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orem\Dropbox\RLC Documents\Models\Biofuels\"/>
    </mc:Choice>
  </mc:AlternateContent>
  <xr:revisionPtr revIDLastSave="0" documentId="13_ncr:1_{FC7FCA02-DF5E-452C-9F9D-3C33381036D6}" xr6:coauthVersionLast="47" xr6:coauthVersionMax="47" xr10:uidLastSave="{00000000-0000-0000-0000-000000000000}"/>
  <bookViews>
    <workbookView xWindow="810" yWindow="1500" windowWidth="24795" windowHeight="14970" firstSheet="8" activeTab="10" xr2:uid="{75659695-55A3-4669-9EC1-635B5ACF4729}"/>
  </bookViews>
  <sheets>
    <sheet name="RFS Data" sheetId="1" r:id="rId1"/>
    <sheet name="RIN Summary" sheetId="2" r:id="rId2"/>
    <sheet name="Monthly RIN Summary" sheetId="3" r:id="rId3"/>
    <sheet name="Monthly Gallon Summary" sheetId="4" r:id="rId4"/>
    <sheet name="Qtrly Gallon Summary" sheetId="5" r:id="rId5"/>
    <sheet name="Production Summary" sheetId="6" r:id="rId6"/>
    <sheet name="D3 Gallon Forecast" sheetId="7" r:id="rId7"/>
    <sheet name="Monthly D3 Gallon Data" sheetId="8" r:id="rId8"/>
    <sheet name="D3 RIN Forecast" sheetId="9" r:id="rId9"/>
    <sheet name="Monthly D3 RIN Data" sheetId="10" r:id="rId10"/>
    <sheet name="D4 Gallon Forecast" sheetId="11" r:id="rId11"/>
    <sheet name="Monthly D4 Gallon Data" sheetId="12" r:id="rId12"/>
    <sheet name="D4 RIN Forecast" sheetId="13" r:id="rId13"/>
    <sheet name="Monthly D4 RIN Data" sheetId="14" r:id="rId14"/>
    <sheet name="D5 Gallon Forecast" sheetId="15" r:id="rId15"/>
    <sheet name="Monthly D5 Gallon Data" sheetId="16" r:id="rId16"/>
    <sheet name="D5 RIN Forecast" sheetId="17" r:id="rId17"/>
    <sheet name="Monthly D5 RIN Data" sheetId="18" r:id="rId18"/>
    <sheet name="D6 Gallon Forecast" sheetId="19" r:id="rId19"/>
    <sheet name="Monthly D6 Gallon Data" sheetId="20" r:id="rId20"/>
    <sheet name="D6 RIN Forecast" sheetId="21" r:id="rId21"/>
    <sheet name="Monthly D6 RIN Data" sheetId="22" r:id="rId22"/>
    <sheet name="D7 Gallon Forecast" sheetId="23" r:id="rId23"/>
    <sheet name="Monthly D7 Gallon Data" sheetId="24" r:id="rId24"/>
    <sheet name="D7 RIN Forecast" sheetId="25" r:id="rId25"/>
    <sheet name="Monthly D7 RIN Data" sheetId="26" r:id="rId26"/>
  </sheets>
  <externalReferences>
    <externalReference r:id="rId27"/>
    <externalReference r:id="rId28"/>
    <externalReference r:id="rId2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21" l="1"/>
  <c r="Y27" i="21"/>
  <c r="X27" i="21"/>
  <c r="W27" i="21"/>
  <c r="V27" i="21"/>
  <c r="U27" i="21"/>
  <c r="T27" i="21"/>
  <c r="S27" i="21"/>
  <c r="R27" i="21"/>
  <c r="Q27" i="21"/>
  <c r="P27" i="21"/>
  <c r="O27" i="21"/>
  <c r="N27" i="21"/>
  <c r="M27" i="21"/>
  <c r="L27" i="21"/>
  <c r="K27" i="21"/>
  <c r="J27" i="21"/>
  <c r="I27" i="21"/>
  <c r="H27" i="21"/>
  <c r="G27" i="21"/>
  <c r="F27" i="21"/>
  <c r="E27" i="21"/>
  <c r="Z26" i="21"/>
  <c r="Y26" i="21"/>
  <c r="X26" i="21"/>
  <c r="W26" i="21"/>
  <c r="V26" i="21"/>
  <c r="U26" i="21"/>
  <c r="T26" i="21"/>
  <c r="T28" i="21" s="1"/>
  <c r="S26" i="21"/>
  <c r="S28" i="21" s="1"/>
  <c r="R26" i="21"/>
  <c r="R28" i="21" s="1"/>
  <c r="Q26" i="21"/>
  <c r="P26" i="21"/>
  <c r="O26" i="21"/>
  <c r="O28" i="21" s="1"/>
  <c r="N26" i="21"/>
  <c r="N28" i="21" s="1"/>
  <c r="M26" i="21"/>
  <c r="M28" i="21" s="1"/>
  <c r="L26" i="21"/>
  <c r="L28" i="21" s="1"/>
  <c r="K26" i="21"/>
  <c r="K28" i="21" s="1"/>
  <c r="J26" i="21"/>
  <c r="J28" i="21" s="1"/>
  <c r="I26" i="21"/>
  <c r="I28" i="21" s="1"/>
  <c r="H26" i="21"/>
  <c r="H28" i="21" s="1"/>
  <c r="G26" i="21"/>
  <c r="G28" i="21" s="1"/>
  <c r="F26" i="21"/>
  <c r="E26" i="21"/>
  <c r="E28" i="21" s="1"/>
  <c r="AQ27" i="19"/>
  <c r="AP27" i="19"/>
  <c r="AO27" i="19"/>
  <c r="AN27" i="19"/>
  <c r="AM27" i="19"/>
  <c r="AL27" i="19"/>
  <c r="AK27" i="19"/>
  <c r="AJ27" i="19"/>
  <c r="AI27" i="19"/>
  <c r="AI28" i="19" s="1"/>
  <c r="AH27" i="19"/>
  <c r="AG27" i="19"/>
  <c r="AF27" i="19"/>
  <c r="AE27" i="19"/>
  <c r="AD27" i="19"/>
  <c r="AC27" i="19"/>
  <c r="AB27" i="19"/>
  <c r="AA27" i="19"/>
  <c r="Z27" i="19"/>
  <c r="Y27" i="19"/>
  <c r="X27" i="19"/>
  <c r="W27" i="19"/>
  <c r="V27" i="19"/>
  <c r="U27" i="19"/>
  <c r="T27" i="19"/>
  <c r="S27" i="19"/>
  <c r="R27" i="19"/>
  <c r="Q27" i="19"/>
  <c r="P27" i="19"/>
  <c r="O27" i="19"/>
  <c r="O28" i="19" s="1"/>
  <c r="N27" i="19"/>
  <c r="M27" i="19"/>
  <c r="L27" i="19"/>
  <c r="K27" i="19"/>
  <c r="J27" i="19"/>
  <c r="I27" i="19"/>
  <c r="H27" i="19"/>
  <c r="G27" i="19"/>
  <c r="F27" i="19"/>
  <c r="E27" i="19"/>
  <c r="D27" i="19"/>
  <c r="C27" i="19"/>
  <c r="AQ26" i="19"/>
  <c r="AP26" i="19"/>
  <c r="AP28" i="19" s="1"/>
  <c r="AO26" i="19"/>
  <c r="AN26" i="19"/>
  <c r="AM26" i="19"/>
  <c r="AL26" i="19"/>
  <c r="AK26" i="19"/>
  <c r="AJ26" i="19"/>
  <c r="AI26" i="19"/>
  <c r="AH26" i="19"/>
  <c r="AG26" i="19"/>
  <c r="AF26" i="19"/>
  <c r="AE26" i="19"/>
  <c r="AD26" i="19"/>
  <c r="AC26" i="19"/>
  <c r="AC28" i="19" s="1"/>
  <c r="AB26" i="19"/>
  <c r="AA26" i="19"/>
  <c r="Z26" i="19"/>
  <c r="Y26" i="19"/>
  <c r="X26" i="19"/>
  <c r="W26" i="19"/>
  <c r="W28" i="19" s="1"/>
  <c r="V26" i="19"/>
  <c r="V28" i="19" s="1"/>
  <c r="U26" i="19"/>
  <c r="T26" i="19"/>
  <c r="S26" i="19"/>
  <c r="R26" i="19"/>
  <c r="Q26" i="19"/>
  <c r="P26" i="19"/>
  <c r="O26" i="19"/>
  <c r="N26" i="19"/>
  <c r="M26" i="19"/>
  <c r="L26" i="19"/>
  <c r="L28" i="19" s="1"/>
  <c r="K26" i="19"/>
  <c r="J26" i="19"/>
  <c r="I26" i="19"/>
  <c r="H26" i="19"/>
  <c r="G26" i="19"/>
  <c r="F26" i="19"/>
  <c r="E26" i="19"/>
  <c r="D26" i="19"/>
  <c r="C26" i="19"/>
  <c r="O32" i="17"/>
  <c r="O33" i="17" s="1"/>
  <c r="N32" i="17"/>
  <c r="N33" i="17" s="1"/>
  <c r="M32" i="17"/>
  <c r="M33" i="17" s="1"/>
  <c r="L32" i="17"/>
  <c r="K32" i="17"/>
  <c r="J32" i="17"/>
  <c r="I32" i="17"/>
  <c r="O31" i="17"/>
  <c r="N31" i="17"/>
  <c r="M31" i="17"/>
  <c r="L31" i="17"/>
  <c r="K31" i="17"/>
  <c r="J31" i="17"/>
  <c r="I31" i="17"/>
  <c r="I33" i="17" s="1"/>
  <c r="AA32" i="15"/>
  <c r="Z32" i="15"/>
  <c r="Y32" i="15"/>
  <c r="X32" i="15"/>
  <c r="X33" i="15" s="1"/>
  <c r="W32" i="15"/>
  <c r="W33" i="15" s="1"/>
  <c r="V32" i="15"/>
  <c r="V33" i="15" s="1"/>
  <c r="U32" i="15"/>
  <c r="U33" i="15" s="1"/>
  <c r="T32" i="15"/>
  <c r="T33" i="15" s="1"/>
  <c r="S32" i="15"/>
  <c r="S33" i="15" s="1"/>
  <c r="R32" i="15"/>
  <c r="Q32" i="15"/>
  <c r="P32" i="15"/>
  <c r="O32" i="15"/>
  <c r="N32" i="15"/>
  <c r="M32" i="15"/>
  <c r="L32" i="15"/>
  <c r="K32" i="15"/>
  <c r="J32" i="15"/>
  <c r="I32" i="15"/>
  <c r="H32" i="15"/>
  <c r="G32" i="15"/>
  <c r="F32" i="15"/>
  <c r="E32" i="15"/>
  <c r="D32" i="15"/>
  <c r="C32" i="15"/>
  <c r="AP31" i="15"/>
  <c r="AO31" i="15"/>
  <c r="AN31" i="15"/>
  <c r="AM31" i="15"/>
  <c r="AL31" i="15"/>
  <c r="AK31" i="15"/>
  <c r="AJ31" i="15"/>
  <c r="AI31" i="15"/>
  <c r="AH31" i="15"/>
  <c r="AG31" i="15"/>
  <c r="AF31" i="15"/>
  <c r="AE31" i="15"/>
  <c r="AD31" i="15"/>
  <c r="AC31" i="15"/>
  <c r="AB31" i="15"/>
  <c r="AA31" i="15"/>
  <c r="Z31" i="15"/>
  <c r="Y31" i="15"/>
  <c r="X31" i="15"/>
  <c r="W31" i="15"/>
  <c r="V31" i="15"/>
  <c r="U31" i="15"/>
  <c r="T31" i="15"/>
  <c r="S31" i="15"/>
  <c r="R31" i="15"/>
  <c r="Q31" i="15"/>
  <c r="P31" i="15"/>
  <c r="O31" i="15"/>
  <c r="N31" i="15"/>
  <c r="M31" i="15"/>
  <c r="L31" i="15"/>
  <c r="K31" i="15"/>
  <c r="J31" i="15"/>
  <c r="I31" i="15"/>
  <c r="H31" i="15"/>
  <c r="G31" i="15"/>
  <c r="F31" i="15"/>
  <c r="E31" i="15"/>
  <c r="D31" i="15"/>
  <c r="C31" i="15"/>
  <c r="AP28" i="15"/>
  <c r="AO28" i="15"/>
  <c r="AN28" i="15"/>
  <c r="AM28" i="15"/>
  <c r="AL28" i="15"/>
  <c r="AK28" i="15"/>
  <c r="AJ28" i="15"/>
  <c r="AI28" i="15"/>
  <c r="AH28" i="15"/>
  <c r="AG28" i="15"/>
  <c r="CI28" i="15" s="1"/>
  <c r="AF28" i="15"/>
  <c r="CG28" i="15" s="1"/>
  <c r="AE28" i="15"/>
  <c r="CE28" i="15" s="1"/>
  <c r="AD28" i="15"/>
  <c r="CC28" i="15" s="1"/>
  <c r="AC28" i="15"/>
  <c r="AC5" i="6" s="1"/>
  <c r="AB28" i="15"/>
  <c r="AB5" i="6" s="1"/>
  <c r="AA28" i="15"/>
  <c r="AA5" i="6" s="1"/>
  <c r="Z28" i="15"/>
  <c r="Z5" i="6" s="1"/>
  <c r="Y28" i="15"/>
  <c r="Y5" i="6" s="1"/>
  <c r="X28" i="15"/>
  <c r="X5" i="6" s="1"/>
  <c r="W28" i="15"/>
  <c r="W5" i="6" s="1"/>
  <c r="V28" i="15"/>
  <c r="V5" i="6" s="1"/>
  <c r="U28" i="15"/>
  <c r="BK28" i="15" s="1"/>
  <c r="T28" i="15"/>
  <c r="S28" i="15"/>
  <c r="R28" i="15"/>
  <c r="Q28" i="15"/>
  <c r="AR18" i="15"/>
  <c r="AP9" i="15"/>
  <c r="AO9" i="15"/>
  <c r="AN9" i="15"/>
  <c r="AM9" i="15"/>
  <c r="AM164" i="15" s="1"/>
  <c r="AL9" i="15"/>
  <c r="AL164" i="15" s="1"/>
  <c r="AK9" i="15"/>
  <c r="AK164" i="15" s="1"/>
  <c r="AJ9" i="15"/>
  <c r="AJ164" i="15" s="1"/>
  <c r="AI9" i="15"/>
  <c r="AI6" i="15" s="1"/>
  <c r="AH9" i="15"/>
  <c r="AH6" i="15" s="1"/>
  <c r="CK6" i="15" s="1"/>
  <c r="AG9" i="15"/>
  <c r="AG6" i="15" s="1"/>
  <c r="CI6" i="15" s="1"/>
  <c r="AF9" i="15"/>
  <c r="AF6" i="15" s="1"/>
  <c r="CG6" i="15" s="1"/>
  <c r="AE9" i="15"/>
  <c r="AE164" i="15" s="1"/>
  <c r="AD9" i="15"/>
  <c r="AD6" i="15" s="1"/>
  <c r="AC9" i="15"/>
  <c r="AC6" i="15" s="1"/>
  <c r="AB9" i="15"/>
  <c r="AB6" i="15" s="1"/>
  <c r="AA9" i="15"/>
  <c r="AA164" i="15" s="1"/>
  <c r="Z9" i="15"/>
  <c r="Z164" i="15" s="1"/>
  <c r="Y9" i="15"/>
  <c r="X9" i="15"/>
  <c r="W9" i="15"/>
  <c r="V9" i="15"/>
  <c r="U9" i="15"/>
  <c r="U6" i="15" s="1"/>
  <c r="U24" i="6" s="1"/>
  <c r="T9" i="15"/>
  <c r="S9" i="15"/>
  <c r="R9" i="15"/>
  <c r="Q9" i="15"/>
  <c r="AB29" i="13"/>
  <c r="AA29" i="13"/>
  <c r="Z29" i="13"/>
  <c r="Y29" i="13"/>
  <c r="X29" i="13"/>
  <c r="W29" i="13"/>
  <c r="V29" i="13"/>
  <c r="V30" i="13" s="1"/>
  <c r="U29" i="13"/>
  <c r="T29" i="13"/>
  <c r="S29" i="13"/>
  <c r="R29" i="13"/>
  <c r="Q29" i="13"/>
  <c r="P29" i="13"/>
  <c r="O29" i="13"/>
  <c r="N29" i="13"/>
  <c r="M29" i="13"/>
  <c r="L29" i="13"/>
  <c r="K29" i="13"/>
  <c r="J29" i="13"/>
  <c r="I29" i="13"/>
  <c r="H29" i="13"/>
  <c r="G29" i="13"/>
  <c r="F29" i="13"/>
  <c r="E29" i="13"/>
  <c r="D29" i="13"/>
  <c r="C29" i="13"/>
  <c r="AA28" i="13"/>
  <c r="Z28" i="13"/>
  <c r="Y28" i="13"/>
  <c r="X28" i="13"/>
  <c r="W28" i="13"/>
  <c r="V28" i="13"/>
  <c r="U28" i="13"/>
  <c r="T28" i="13"/>
  <c r="S28" i="13"/>
  <c r="R28" i="13"/>
  <c r="Q28" i="13"/>
  <c r="P28" i="13"/>
  <c r="P30" i="13" s="1"/>
  <c r="O28" i="13"/>
  <c r="O30" i="13" s="1"/>
  <c r="N28" i="13"/>
  <c r="N30" i="13" s="1"/>
  <c r="M28" i="13"/>
  <c r="L28" i="13"/>
  <c r="K28" i="13"/>
  <c r="J28" i="13"/>
  <c r="I28" i="13"/>
  <c r="I30" i="13" s="1"/>
  <c r="H28" i="13"/>
  <c r="H30" i="13" s="1"/>
  <c r="G28" i="13"/>
  <c r="G30" i="13" s="1"/>
  <c r="F28" i="13"/>
  <c r="F30" i="13" s="1"/>
  <c r="E28" i="13"/>
  <c r="E30" i="13" s="1"/>
  <c r="D28" i="13"/>
  <c r="C28" i="13"/>
  <c r="AA31" i="11"/>
  <c r="Z31" i="11"/>
  <c r="Y31" i="11"/>
  <c r="X31" i="11"/>
  <c r="W31" i="11"/>
  <c r="V31" i="11"/>
  <c r="U31" i="11"/>
  <c r="T31" i="11"/>
  <c r="S31" i="11"/>
  <c r="R31" i="11"/>
  <c r="Q31" i="11"/>
  <c r="P31" i="11"/>
  <c r="O31" i="11"/>
  <c r="N31" i="11"/>
  <c r="M31" i="11"/>
  <c r="M32" i="11" s="1"/>
  <c r="L31" i="11"/>
  <c r="K31" i="11"/>
  <c r="J31" i="11"/>
  <c r="I31" i="11"/>
  <c r="I32" i="11" s="1"/>
  <c r="H31" i="11"/>
  <c r="H32" i="11" s="1"/>
  <c r="G31" i="11"/>
  <c r="F31" i="11"/>
  <c r="F32" i="11" s="1"/>
  <c r="E31" i="11"/>
  <c r="E32" i="11" s="1"/>
  <c r="D31" i="11"/>
  <c r="C31" i="11"/>
  <c r="C32" i="11" s="1"/>
  <c r="AB30" i="11"/>
  <c r="AA30" i="11"/>
  <c r="Z30" i="11"/>
  <c r="Y30" i="11"/>
  <c r="X30" i="11"/>
  <c r="W30" i="11"/>
  <c r="V30" i="11"/>
  <c r="U30" i="11"/>
  <c r="T30" i="11"/>
  <c r="S30" i="11"/>
  <c r="R30" i="11"/>
  <c r="Q30" i="11"/>
  <c r="P30" i="11"/>
  <c r="O30" i="11"/>
  <c r="N30" i="11"/>
  <c r="M30" i="11"/>
  <c r="L30" i="11"/>
  <c r="K30" i="11"/>
  <c r="J30" i="11"/>
  <c r="I30" i="11"/>
  <c r="H30" i="11"/>
  <c r="G30" i="11"/>
  <c r="F30" i="11"/>
  <c r="E30" i="11"/>
  <c r="D30" i="11"/>
  <c r="C30" i="11"/>
  <c r="Q11" i="11"/>
  <c r="AA4" i="11"/>
  <c r="AA8" i="1" s="1"/>
  <c r="Z4" i="11"/>
  <c r="Z8" i="1" s="1"/>
  <c r="Y4" i="11"/>
  <c r="Y8" i="1" s="1"/>
  <c r="X4" i="11"/>
  <c r="X81" i="11" s="1"/>
  <c r="X43" i="6" s="1"/>
  <c r="W4" i="11"/>
  <c r="W81" i="11" s="1"/>
  <c r="W43" i="6" s="1"/>
  <c r="V4" i="11"/>
  <c r="V8" i="1" s="1"/>
  <c r="U4" i="11"/>
  <c r="U81" i="11" s="1"/>
  <c r="U43" i="6" s="1"/>
  <c r="T4" i="11"/>
  <c r="T81" i="11" s="1"/>
  <c r="T43" i="6" s="1"/>
  <c r="S4" i="11"/>
  <c r="R4" i="11"/>
  <c r="Q4" i="11"/>
  <c r="AG19" i="9"/>
  <c r="AF19" i="9"/>
  <c r="AE19" i="9"/>
  <c r="AD19" i="9"/>
  <c r="AC19" i="9"/>
  <c r="AB19" i="9"/>
  <c r="AA19" i="9"/>
  <c r="Z19" i="9"/>
  <c r="Y19" i="9"/>
  <c r="X19" i="9"/>
  <c r="W19" i="9"/>
  <c r="W20" i="9" s="1"/>
  <c r="V19" i="9"/>
  <c r="U19" i="9"/>
  <c r="T19" i="9"/>
  <c r="T20" i="9" s="1"/>
  <c r="S19" i="9"/>
  <c r="R19" i="9"/>
  <c r="R20" i="9" s="1"/>
  <c r="Q19" i="9"/>
  <c r="P19" i="9"/>
  <c r="O19" i="9"/>
  <c r="N19" i="9"/>
  <c r="M19" i="9"/>
  <c r="L19" i="9"/>
  <c r="K19" i="9"/>
  <c r="J19" i="9"/>
  <c r="I19" i="9"/>
  <c r="H19" i="9"/>
  <c r="G19" i="9"/>
  <c r="F19" i="9"/>
  <c r="E19" i="9"/>
  <c r="D19" i="9"/>
  <c r="C19" i="9"/>
  <c r="AG18" i="9"/>
  <c r="AG20" i="9" s="1"/>
  <c r="AF18" i="9"/>
  <c r="AE18" i="9"/>
  <c r="AE20" i="9" s="1"/>
  <c r="AD18" i="9"/>
  <c r="AC18" i="9"/>
  <c r="AC20" i="9" s="1"/>
  <c r="AB18" i="9"/>
  <c r="AB20" i="9" s="1"/>
  <c r="AA18" i="9"/>
  <c r="AA20" i="9" s="1"/>
  <c r="Z18" i="9"/>
  <c r="Z20" i="9" s="1"/>
  <c r="Y18" i="9"/>
  <c r="Y20" i="9" s="1"/>
  <c r="X18" i="9"/>
  <c r="W18" i="9"/>
  <c r="V18" i="9"/>
  <c r="V20" i="9" s="1"/>
  <c r="U18" i="9"/>
  <c r="T18" i="9"/>
  <c r="S18" i="9"/>
  <c r="R18" i="9"/>
  <c r="Q18" i="9"/>
  <c r="P18" i="9"/>
  <c r="O18" i="9"/>
  <c r="N18" i="9"/>
  <c r="N20" i="9" s="1"/>
  <c r="M18" i="9"/>
  <c r="M20" i="9" s="1"/>
  <c r="L18" i="9"/>
  <c r="L20" i="9" s="1"/>
  <c r="K18" i="9"/>
  <c r="K20" i="9" s="1"/>
  <c r="J18" i="9"/>
  <c r="J20" i="9" s="1"/>
  <c r="I18" i="9"/>
  <c r="I20" i="9" s="1"/>
  <c r="H18" i="9"/>
  <c r="H20" i="9" s="1"/>
  <c r="G18" i="9"/>
  <c r="G20" i="9" s="1"/>
  <c r="F18" i="9"/>
  <c r="F20" i="9" s="1"/>
  <c r="E18" i="9"/>
  <c r="E20" i="9" s="1"/>
  <c r="D18" i="9"/>
  <c r="D20" i="9" s="1"/>
  <c r="C18" i="9"/>
  <c r="AQ19" i="7"/>
  <c r="AP19" i="7"/>
  <c r="AO19" i="7"/>
  <c r="AN19" i="7"/>
  <c r="AM19" i="7"/>
  <c r="AL19" i="7"/>
  <c r="AK19" i="7"/>
  <c r="AJ19" i="7"/>
  <c r="AI19" i="7"/>
  <c r="AH19" i="7"/>
  <c r="AH20" i="7" s="1"/>
  <c r="AG19" i="7"/>
  <c r="AF19" i="7"/>
  <c r="AE19" i="7"/>
  <c r="AD19" i="7"/>
  <c r="AC19" i="7"/>
  <c r="AB19" i="7"/>
  <c r="AA19" i="7"/>
  <c r="Z19" i="7"/>
  <c r="Y19" i="7"/>
  <c r="Y20" i="7" s="1"/>
  <c r="X19" i="7"/>
  <c r="X20" i="7" s="1"/>
  <c r="W19" i="7"/>
  <c r="W20" i="7" s="1"/>
  <c r="V19" i="7"/>
  <c r="U19" i="7"/>
  <c r="T19" i="7"/>
  <c r="S19" i="7"/>
  <c r="R19" i="7"/>
  <c r="Q19" i="7"/>
  <c r="P19" i="7"/>
  <c r="O19" i="7"/>
  <c r="N19" i="7"/>
  <c r="M19" i="7"/>
  <c r="L19" i="7"/>
  <c r="K19" i="7"/>
  <c r="J19" i="7"/>
  <c r="I19" i="7"/>
  <c r="H19" i="7"/>
  <c r="G19" i="7"/>
  <c r="G20" i="7" s="1"/>
  <c r="F19" i="7"/>
  <c r="E19" i="7"/>
  <c r="D19" i="7"/>
  <c r="D20" i="7" s="1"/>
  <c r="C19" i="7"/>
  <c r="AQ18" i="7"/>
  <c r="AP18" i="7"/>
  <c r="AO18" i="7"/>
  <c r="AN18" i="7"/>
  <c r="AM18" i="7"/>
  <c r="AL18" i="7"/>
  <c r="AK18" i="7"/>
  <c r="AJ18" i="7"/>
  <c r="AI18" i="7"/>
  <c r="AI20" i="7" s="1"/>
  <c r="AH18" i="7"/>
  <c r="AG18" i="7"/>
  <c r="AF18" i="7"/>
  <c r="AE18" i="7"/>
  <c r="AD18" i="7"/>
  <c r="AC18" i="7"/>
  <c r="AB18" i="7"/>
  <c r="AA18" i="7"/>
  <c r="Z18" i="7"/>
  <c r="Y18" i="7"/>
  <c r="X18" i="7"/>
  <c r="W18" i="7"/>
  <c r="V18" i="7"/>
  <c r="U18" i="7"/>
  <c r="T18" i="7"/>
  <c r="S18" i="7"/>
  <c r="R18" i="7"/>
  <c r="Q18" i="7"/>
  <c r="P18" i="7"/>
  <c r="P20" i="7" s="1"/>
  <c r="O18" i="7"/>
  <c r="O20" i="7" s="1"/>
  <c r="O21" i="7" s="1"/>
  <c r="N18" i="7"/>
  <c r="M18" i="7"/>
  <c r="M20" i="7" s="1"/>
  <c r="L18" i="7"/>
  <c r="K18" i="7"/>
  <c r="J18" i="7"/>
  <c r="I18" i="7"/>
  <c r="I20" i="7" s="1"/>
  <c r="H18" i="7"/>
  <c r="H20" i="7" s="1"/>
  <c r="G18" i="7"/>
  <c r="F18" i="7"/>
  <c r="E18" i="7"/>
  <c r="D18" i="7"/>
  <c r="C18" i="7"/>
  <c r="AD9" i="6"/>
  <c r="AC9" i="6"/>
  <c r="AB9" i="6"/>
  <c r="AA9" i="6"/>
  <c r="Z9" i="6"/>
  <c r="Y9" i="6"/>
  <c r="X9" i="6"/>
  <c r="W9" i="6"/>
  <c r="V9" i="6"/>
  <c r="U9" i="6"/>
  <c r="T9" i="6"/>
  <c r="S9" i="6"/>
  <c r="R9" i="6"/>
  <c r="Q9" i="6"/>
  <c r="P9" i="6"/>
  <c r="O9" i="6"/>
  <c r="N9" i="6"/>
  <c r="M9" i="6"/>
  <c r="L9" i="6"/>
  <c r="K9" i="6"/>
  <c r="J9" i="6"/>
  <c r="I9" i="6"/>
  <c r="H9" i="6"/>
  <c r="G9" i="6"/>
  <c r="F9" i="6"/>
  <c r="E9" i="6"/>
  <c r="D9" i="6"/>
  <c r="C9" i="6"/>
  <c r="I16" i="2"/>
  <c r="H16" i="2"/>
  <c r="G16" i="2"/>
  <c r="F16" i="2"/>
  <c r="E16" i="2"/>
  <c r="D16" i="2"/>
  <c r="C16" i="2"/>
  <c r="AA12" i="2"/>
  <c r="Z12" i="2"/>
  <c r="Y12" i="2"/>
  <c r="X12" i="2"/>
  <c r="W12" i="2"/>
  <c r="V12" i="2"/>
  <c r="U12" i="2"/>
  <c r="U13" i="2" s="1"/>
  <c r="T12" i="2"/>
  <c r="S12" i="2"/>
  <c r="R12" i="2"/>
  <c r="Q12" i="2"/>
  <c r="P12" i="2"/>
  <c r="O12" i="2"/>
  <c r="N12" i="2"/>
  <c r="M12" i="2"/>
  <c r="L12" i="2"/>
  <c r="K12" i="2"/>
  <c r="K13" i="2" s="1"/>
  <c r="J12" i="2"/>
  <c r="I12" i="2"/>
  <c r="H12" i="2"/>
  <c r="G12" i="2"/>
  <c r="F12" i="2"/>
  <c r="E12" i="2"/>
  <c r="D12" i="2"/>
  <c r="D13" i="2" s="1"/>
  <c r="C12" i="2"/>
  <c r="C13" i="2" s="1"/>
  <c r="I11" i="2"/>
  <c r="H11" i="2"/>
  <c r="G11" i="2"/>
  <c r="F11" i="2"/>
  <c r="E11" i="2"/>
  <c r="D11" i="2"/>
  <c r="C11" i="2"/>
  <c r="AT28" i="11"/>
  <c r="AA22" i="11"/>
  <c r="Z22" i="11"/>
  <c r="Y22" i="11"/>
  <c r="X22" i="11"/>
  <c r="W22" i="11"/>
  <c r="V22" i="11"/>
  <c r="U22" i="11"/>
  <c r="U24" i="11" s="1"/>
  <c r="U385" i="11" s="1"/>
  <c r="T22" i="11"/>
  <c r="T24" i="11" s="1"/>
  <c r="S22" i="11"/>
  <c r="R22" i="11"/>
  <c r="Q22" i="11"/>
  <c r="AQ12" i="11"/>
  <c r="AP12" i="11"/>
  <c r="AO12" i="11"/>
  <c r="AN12" i="11"/>
  <c r="AM12" i="11"/>
  <c r="AM15" i="11" s="1"/>
  <c r="AM257" i="11" s="1"/>
  <c r="AL12" i="11"/>
  <c r="AL15" i="11" s="1"/>
  <c r="AL257" i="11" s="1"/>
  <c r="AK12" i="11"/>
  <c r="AK15" i="11" s="1"/>
  <c r="AK257" i="11" s="1"/>
  <c r="AJ12" i="11"/>
  <c r="AI12" i="11"/>
  <c r="AH12" i="11"/>
  <c r="AH15" i="11" s="1"/>
  <c r="AH257" i="11" s="1"/>
  <c r="AG12" i="11"/>
  <c r="AF12" i="11"/>
  <c r="AE12" i="11"/>
  <c r="AD12" i="11"/>
  <c r="AC12" i="11"/>
  <c r="AB12" i="11"/>
  <c r="AA12" i="11"/>
  <c r="Z12" i="11"/>
  <c r="Y12" i="11"/>
  <c r="X12" i="11"/>
  <c r="W12" i="11"/>
  <c r="V12" i="11"/>
  <c r="U12" i="11"/>
  <c r="T12" i="11"/>
  <c r="S12" i="11"/>
  <c r="R12" i="11"/>
  <c r="Q12" i="11"/>
  <c r="BM12" i="11" s="1"/>
  <c r="AQ6" i="11"/>
  <c r="AP6" i="11"/>
  <c r="AP113" i="11" s="1"/>
  <c r="AO6" i="11"/>
  <c r="AO113" i="11" s="1"/>
  <c r="AN6" i="11"/>
  <c r="AM6" i="11"/>
  <c r="AM113" i="11" s="1"/>
  <c r="AL6" i="11"/>
  <c r="AL113" i="11" s="1"/>
  <c r="AK6" i="11"/>
  <c r="AJ6" i="11"/>
  <c r="AJ113" i="11" s="1"/>
  <c r="AI6" i="11"/>
  <c r="AI113" i="11" s="1"/>
  <c r="AH6" i="11"/>
  <c r="AH113" i="11" s="1"/>
  <c r="AG6" i="11"/>
  <c r="AG113" i="11" s="1"/>
  <c r="AF6" i="11"/>
  <c r="AE6" i="11"/>
  <c r="AD6" i="11"/>
  <c r="AD113" i="11" s="1"/>
  <c r="AD45" i="6" s="1"/>
  <c r="AC6" i="11"/>
  <c r="AB6" i="11"/>
  <c r="AA6" i="11"/>
  <c r="Z6" i="11"/>
  <c r="Y6" i="11"/>
  <c r="X6" i="11"/>
  <c r="W6" i="11"/>
  <c r="V6" i="11"/>
  <c r="V113" i="11" s="1"/>
  <c r="V45" i="6" s="1"/>
  <c r="V70" i="6" s="1"/>
  <c r="U6" i="11"/>
  <c r="U113" i="11" s="1"/>
  <c r="U45" i="6" s="1"/>
  <c r="U70" i="6" s="1"/>
  <c r="T6" i="11"/>
  <c r="T113" i="11" s="1"/>
  <c r="T45" i="6" s="1"/>
  <c r="T70" i="6" s="1"/>
  <c r="S6" i="11"/>
  <c r="S113" i="11" s="1"/>
  <c r="R6" i="11"/>
  <c r="R113" i="11" s="1"/>
  <c r="R45" i="6" s="1"/>
  <c r="R70" i="6" s="1"/>
  <c r="Q6" i="11"/>
  <c r="Q113" i="11" s="1"/>
  <c r="Q45" i="6" s="1"/>
  <c r="Q70" i="6" s="1"/>
  <c r="AG16" i="2"/>
  <c r="AF16" i="2"/>
  <c r="AE16" i="2"/>
  <c r="AD16" i="2"/>
  <c r="AC16" i="2"/>
  <c r="AB16" i="2"/>
  <c r="AA16" i="2"/>
  <c r="Z16" i="2"/>
  <c r="Y16" i="2"/>
  <c r="X16" i="2"/>
  <c r="W16" i="2"/>
  <c r="V16" i="2"/>
  <c r="U16" i="2"/>
  <c r="T16" i="2"/>
  <c r="S16" i="2"/>
  <c r="R16" i="2"/>
  <c r="Q16" i="2"/>
  <c r="P16" i="2"/>
  <c r="O16" i="2"/>
  <c r="N16" i="2"/>
  <c r="M16" i="2"/>
  <c r="L16" i="2"/>
  <c r="K16" i="2"/>
  <c r="J16" i="2"/>
  <c r="AG11" i="2"/>
  <c r="AF11" i="2"/>
  <c r="AE11" i="2"/>
  <c r="AD11" i="2"/>
  <c r="AC11" i="2"/>
  <c r="AB11" i="2"/>
  <c r="AA11" i="2"/>
  <c r="Z11" i="2"/>
  <c r="Y11" i="2"/>
  <c r="X11" i="2"/>
  <c r="W11" i="2"/>
  <c r="V11" i="2"/>
  <c r="U11" i="2"/>
  <c r="T11" i="2"/>
  <c r="S11" i="2"/>
  <c r="R11" i="2"/>
  <c r="Q11" i="2"/>
  <c r="P11" i="2"/>
  <c r="O11" i="2"/>
  <c r="N11" i="2"/>
  <c r="M11" i="2"/>
  <c r="L11" i="2"/>
  <c r="K11" i="2"/>
  <c r="J11" i="2"/>
  <c r="P186" i="26"/>
  <c r="M186" i="26"/>
  <c r="I186" i="26"/>
  <c r="J186" i="26" s="1"/>
  <c r="H186" i="26"/>
  <c r="G186" i="26"/>
  <c r="D186" i="26"/>
  <c r="U185" i="26"/>
  <c r="U186" i="26" s="1"/>
  <c r="T185" i="26"/>
  <c r="T186" i="26" s="1"/>
  <c r="R185" i="26"/>
  <c r="P185" i="26"/>
  <c r="M185" i="26"/>
  <c r="I185" i="26"/>
  <c r="J185" i="26" s="1"/>
  <c r="H185" i="26"/>
  <c r="G185" i="26"/>
  <c r="D185" i="26"/>
  <c r="V184" i="26"/>
  <c r="W184" i="26" s="1"/>
  <c r="U184" i="26"/>
  <c r="T184" i="26"/>
  <c r="R184" i="26"/>
  <c r="S184" i="26" s="1"/>
  <c r="Q184" i="26"/>
  <c r="Q185" i="26" s="1"/>
  <c r="Q186" i="26" s="1"/>
  <c r="P184" i="26"/>
  <c r="M184" i="26"/>
  <c r="I184" i="26"/>
  <c r="J184" i="26" s="1"/>
  <c r="H184" i="26"/>
  <c r="G184" i="26"/>
  <c r="D184" i="26"/>
  <c r="P183" i="26"/>
  <c r="M183" i="26"/>
  <c r="J183" i="26"/>
  <c r="I183" i="26"/>
  <c r="H183" i="26"/>
  <c r="G183" i="26"/>
  <c r="D183" i="26"/>
  <c r="P182" i="26"/>
  <c r="M182" i="26"/>
  <c r="J182" i="26"/>
  <c r="I182" i="26"/>
  <c r="H182" i="26"/>
  <c r="G182" i="26"/>
  <c r="D182" i="26"/>
  <c r="P181" i="26"/>
  <c r="M181" i="26"/>
  <c r="J181" i="26"/>
  <c r="I181" i="26"/>
  <c r="H181" i="26"/>
  <c r="G181" i="26"/>
  <c r="D181" i="26"/>
  <c r="P180" i="26"/>
  <c r="M180" i="26"/>
  <c r="I180" i="26"/>
  <c r="J180" i="26" s="1"/>
  <c r="H180" i="26"/>
  <c r="G180" i="26"/>
  <c r="D180" i="26"/>
  <c r="P179" i="26"/>
  <c r="M179" i="26"/>
  <c r="I179" i="26"/>
  <c r="J179" i="26" s="1"/>
  <c r="H179" i="26"/>
  <c r="G179" i="26"/>
  <c r="D179" i="26"/>
  <c r="Q178" i="26"/>
  <c r="Q179" i="26" s="1"/>
  <c r="Q180" i="26" s="1"/>
  <c r="Q181" i="26" s="1"/>
  <c r="Q182" i="26" s="1"/>
  <c r="Q183" i="26" s="1"/>
  <c r="P178" i="26"/>
  <c r="M178" i="26"/>
  <c r="I178" i="26"/>
  <c r="J178" i="26" s="1"/>
  <c r="H178" i="26"/>
  <c r="G178" i="26"/>
  <c r="D178" i="26"/>
  <c r="Q177" i="26"/>
  <c r="P177" i="26"/>
  <c r="M177" i="26"/>
  <c r="I177" i="26"/>
  <c r="H177" i="26"/>
  <c r="J177" i="26" s="1"/>
  <c r="G177" i="26"/>
  <c r="D177" i="26"/>
  <c r="P176" i="26"/>
  <c r="M176" i="26"/>
  <c r="I176" i="26"/>
  <c r="J176" i="26" s="1"/>
  <c r="H176" i="26"/>
  <c r="G176" i="26"/>
  <c r="D176" i="26"/>
  <c r="V175" i="26"/>
  <c r="U175" i="26"/>
  <c r="U176" i="26" s="1"/>
  <c r="T175" i="26"/>
  <c r="T176" i="26" s="1"/>
  <c r="T177" i="26" s="1"/>
  <c r="T178" i="26" s="1"/>
  <c r="T179" i="26" s="1"/>
  <c r="T180" i="26" s="1"/>
  <c r="T181" i="26" s="1"/>
  <c r="T182" i="26" s="1"/>
  <c r="T183" i="26" s="1"/>
  <c r="Q175" i="26"/>
  <c r="Q176" i="26" s="1"/>
  <c r="P175" i="26"/>
  <c r="M175" i="26"/>
  <c r="J175" i="26"/>
  <c r="I175" i="26"/>
  <c r="H175" i="26"/>
  <c r="G175" i="26"/>
  <c r="D175" i="26"/>
  <c r="P174" i="26"/>
  <c r="M174" i="26"/>
  <c r="I174" i="26"/>
  <c r="H174" i="26"/>
  <c r="G174" i="26"/>
  <c r="D174" i="26"/>
  <c r="V173" i="26"/>
  <c r="Q173" i="26"/>
  <c r="Q174" i="26" s="1"/>
  <c r="P173" i="26"/>
  <c r="M173" i="26"/>
  <c r="I173" i="26"/>
  <c r="J173" i="26" s="1"/>
  <c r="H173" i="26"/>
  <c r="G173" i="26"/>
  <c r="D173" i="26"/>
  <c r="U172" i="26"/>
  <c r="U173" i="26" s="1"/>
  <c r="U174" i="26" s="1"/>
  <c r="T172" i="26"/>
  <c r="T173" i="26" s="1"/>
  <c r="T174" i="26" s="1"/>
  <c r="R172" i="26"/>
  <c r="R173" i="26" s="1"/>
  <c r="Q172" i="26"/>
  <c r="P172" i="26"/>
  <c r="M172" i="26"/>
  <c r="I172" i="26"/>
  <c r="J172" i="26" s="1"/>
  <c r="H172" i="26"/>
  <c r="G172" i="26"/>
  <c r="D172" i="26"/>
  <c r="P171" i="26"/>
  <c r="F171" i="26" s="1"/>
  <c r="M171" i="26"/>
  <c r="H171" i="26"/>
  <c r="D171" i="26"/>
  <c r="P170" i="26"/>
  <c r="M170" i="26"/>
  <c r="H170" i="26"/>
  <c r="F170" i="26"/>
  <c r="G170" i="26" s="1"/>
  <c r="D170" i="26"/>
  <c r="P169" i="26"/>
  <c r="M169" i="26"/>
  <c r="I169" i="26"/>
  <c r="J169" i="26" s="1"/>
  <c r="H169" i="26"/>
  <c r="F169" i="26"/>
  <c r="G169" i="26" s="1"/>
  <c r="D169" i="26"/>
  <c r="P168" i="26"/>
  <c r="F168" i="26" s="1"/>
  <c r="G168" i="26" s="1"/>
  <c r="M168" i="26"/>
  <c r="I168" i="26"/>
  <c r="J168" i="26" s="1"/>
  <c r="H168" i="26"/>
  <c r="D168" i="26"/>
  <c r="Q167" i="26"/>
  <c r="Q168" i="26" s="1"/>
  <c r="Q169" i="26" s="1"/>
  <c r="Q170" i="26" s="1"/>
  <c r="Q171" i="26" s="1"/>
  <c r="P167" i="26"/>
  <c r="F167" i="26" s="1"/>
  <c r="M167" i="26"/>
  <c r="H167" i="26"/>
  <c r="D167" i="26"/>
  <c r="P166" i="26"/>
  <c r="M166" i="26"/>
  <c r="H166" i="26"/>
  <c r="F166" i="26"/>
  <c r="I166" i="26" s="1"/>
  <c r="D166" i="26"/>
  <c r="P165" i="26"/>
  <c r="F165" i="26" s="1"/>
  <c r="I165" i="26" s="1"/>
  <c r="J165" i="26" s="1"/>
  <c r="M165" i="26"/>
  <c r="H165" i="26"/>
  <c r="G165" i="26"/>
  <c r="D165" i="26"/>
  <c r="Q164" i="26"/>
  <c r="Q165" i="26" s="1"/>
  <c r="Q166" i="26" s="1"/>
  <c r="P164" i="26"/>
  <c r="F164" i="26" s="1"/>
  <c r="G164" i="26" s="1"/>
  <c r="M164" i="26"/>
  <c r="J164" i="26"/>
  <c r="I164" i="26"/>
  <c r="H164" i="26"/>
  <c r="D164" i="26"/>
  <c r="P163" i="26"/>
  <c r="M163" i="26"/>
  <c r="H163" i="26"/>
  <c r="F163" i="26"/>
  <c r="I163" i="26" s="1"/>
  <c r="J163" i="26" s="1"/>
  <c r="D163" i="26"/>
  <c r="P162" i="26"/>
  <c r="M162" i="26"/>
  <c r="H162" i="26"/>
  <c r="F162" i="26"/>
  <c r="D162" i="26"/>
  <c r="Q161" i="26"/>
  <c r="Q162" i="26" s="1"/>
  <c r="Q163" i="26" s="1"/>
  <c r="P161" i="26"/>
  <c r="F161" i="26" s="1"/>
  <c r="M161" i="26"/>
  <c r="H161" i="26"/>
  <c r="D161" i="26"/>
  <c r="T160" i="26"/>
  <c r="T161" i="26" s="1"/>
  <c r="T162" i="26" s="1"/>
  <c r="T163" i="26" s="1"/>
  <c r="T164" i="26" s="1"/>
  <c r="T165" i="26" s="1"/>
  <c r="T166" i="26" s="1"/>
  <c r="T167" i="26" s="1"/>
  <c r="T168" i="26" s="1"/>
  <c r="T169" i="26" s="1"/>
  <c r="T170" i="26" s="1"/>
  <c r="T171" i="26" s="1"/>
  <c r="R160" i="26"/>
  <c r="R161" i="26" s="1"/>
  <c r="Q160" i="26"/>
  <c r="P160" i="26"/>
  <c r="M160" i="26"/>
  <c r="I160" i="26"/>
  <c r="J160" i="26" s="1"/>
  <c r="H160" i="26"/>
  <c r="G160" i="26"/>
  <c r="F160" i="26"/>
  <c r="U160" i="26" s="1"/>
  <c r="D160" i="26"/>
  <c r="P159" i="26"/>
  <c r="M159" i="26"/>
  <c r="I159" i="26"/>
  <c r="H159" i="26"/>
  <c r="G159" i="26"/>
  <c r="F159" i="26"/>
  <c r="D159" i="26"/>
  <c r="P158" i="26"/>
  <c r="F158" i="26" s="1"/>
  <c r="I158" i="26" s="1"/>
  <c r="J158" i="26" s="1"/>
  <c r="M158" i="26"/>
  <c r="H158" i="26"/>
  <c r="G158" i="26"/>
  <c r="D158" i="26"/>
  <c r="P157" i="26"/>
  <c r="M157" i="26"/>
  <c r="H157" i="26"/>
  <c r="F157" i="26"/>
  <c r="D157" i="26"/>
  <c r="P156" i="26"/>
  <c r="M156" i="26"/>
  <c r="H156" i="26"/>
  <c r="F156" i="26"/>
  <c r="G156" i="26" s="1"/>
  <c r="D156" i="26"/>
  <c r="P155" i="26"/>
  <c r="M155" i="26"/>
  <c r="I155" i="26"/>
  <c r="J155" i="26" s="1"/>
  <c r="H155" i="26"/>
  <c r="F155" i="26"/>
  <c r="G155" i="26" s="1"/>
  <c r="D155" i="26"/>
  <c r="P154" i="26"/>
  <c r="M154" i="26"/>
  <c r="H154" i="26"/>
  <c r="F154" i="26"/>
  <c r="D154" i="26"/>
  <c r="P153" i="26"/>
  <c r="M153" i="26"/>
  <c r="H153" i="26"/>
  <c r="F153" i="26"/>
  <c r="I153" i="26" s="1"/>
  <c r="J153" i="26" s="1"/>
  <c r="D153" i="26"/>
  <c r="P152" i="26"/>
  <c r="M152" i="26"/>
  <c r="I152" i="26"/>
  <c r="J152" i="26" s="1"/>
  <c r="H152" i="26"/>
  <c r="F152" i="26"/>
  <c r="G152" i="26" s="1"/>
  <c r="D152" i="26"/>
  <c r="P151" i="26"/>
  <c r="F151" i="26" s="1"/>
  <c r="M151" i="26"/>
  <c r="I151" i="26"/>
  <c r="J151" i="26" s="1"/>
  <c r="H151" i="26"/>
  <c r="G151" i="26"/>
  <c r="D151" i="26"/>
  <c r="P150" i="26"/>
  <c r="M150" i="26"/>
  <c r="H150" i="26"/>
  <c r="F150" i="26"/>
  <c r="D150" i="26"/>
  <c r="T149" i="26"/>
  <c r="T150" i="26" s="1"/>
  <c r="T151" i="26" s="1"/>
  <c r="T152" i="26" s="1"/>
  <c r="T153" i="26" s="1"/>
  <c r="T154" i="26" s="1"/>
  <c r="T155" i="26" s="1"/>
  <c r="T156" i="26" s="1"/>
  <c r="T157" i="26" s="1"/>
  <c r="T158" i="26" s="1"/>
  <c r="T159" i="26" s="1"/>
  <c r="P149" i="26"/>
  <c r="M149" i="26"/>
  <c r="J149" i="26"/>
  <c r="H149" i="26"/>
  <c r="F149" i="26"/>
  <c r="I149" i="26" s="1"/>
  <c r="D149" i="26"/>
  <c r="T148" i="26"/>
  <c r="R148" i="26"/>
  <c r="R149" i="26" s="1"/>
  <c r="P148" i="26"/>
  <c r="F148" i="26" s="1"/>
  <c r="M148" i="26"/>
  <c r="B148" i="26" s="1"/>
  <c r="D148" i="26" s="1"/>
  <c r="I148" i="26"/>
  <c r="J148" i="26" s="1"/>
  <c r="H148" i="26"/>
  <c r="P147" i="26"/>
  <c r="M147" i="26"/>
  <c r="I147" i="26"/>
  <c r="J147" i="26" s="1"/>
  <c r="H147" i="26"/>
  <c r="G147" i="26"/>
  <c r="D147" i="26"/>
  <c r="P146" i="26"/>
  <c r="M146" i="26"/>
  <c r="B146" i="26" s="1"/>
  <c r="I146" i="26"/>
  <c r="G146" i="26"/>
  <c r="P145" i="26"/>
  <c r="M145" i="26"/>
  <c r="I145" i="26"/>
  <c r="J145" i="26" s="1"/>
  <c r="H145" i="26"/>
  <c r="G145" i="26"/>
  <c r="D145" i="26"/>
  <c r="P144" i="26"/>
  <c r="F144" i="26" s="1"/>
  <c r="G144" i="26" s="1"/>
  <c r="M144" i="26"/>
  <c r="B144" i="26" s="1"/>
  <c r="D144" i="26" s="1"/>
  <c r="I144" i="26"/>
  <c r="H144" i="26"/>
  <c r="P143" i="26"/>
  <c r="F143" i="26" s="1"/>
  <c r="M143" i="26"/>
  <c r="H143" i="26"/>
  <c r="D143" i="26"/>
  <c r="T142" i="26"/>
  <c r="T143" i="26" s="1"/>
  <c r="T144" i="26" s="1"/>
  <c r="T145" i="26" s="1"/>
  <c r="T146" i="26" s="1"/>
  <c r="T147" i="26" s="1"/>
  <c r="P142" i="26"/>
  <c r="F142" i="26" s="1"/>
  <c r="M142" i="26"/>
  <c r="B142" i="26" s="1"/>
  <c r="P141" i="26"/>
  <c r="F141" i="26" s="1"/>
  <c r="G141" i="26" s="1"/>
  <c r="M141" i="26"/>
  <c r="I141" i="26"/>
  <c r="J141" i="26" s="1"/>
  <c r="H141" i="26"/>
  <c r="D141" i="26"/>
  <c r="P140" i="26"/>
  <c r="M140" i="26"/>
  <c r="I140" i="26"/>
  <c r="G140" i="26"/>
  <c r="F140" i="26"/>
  <c r="B140" i="26"/>
  <c r="T139" i="26"/>
  <c r="T140" i="26" s="1"/>
  <c r="T141" i="26" s="1"/>
  <c r="P139" i="26"/>
  <c r="M139" i="26"/>
  <c r="I139" i="26"/>
  <c r="H139" i="26"/>
  <c r="F139" i="26"/>
  <c r="G139" i="26" s="1"/>
  <c r="D139" i="26"/>
  <c r="T138" i="26"/>
  <c r="R138" i="26"/>
  <c r="P138" i="26"/>
  <c r="M138" i="26"/>
  <c r="B138" i="26" s="1"/>
  <c r="D138" i="26" s="1"/>
  <c r="H138" i="26"/>
  <c r="G138" i="26"/>
  <c r="F138" i="26"/>
  <c r="I138" i="26" s="1"/>
  <c r="J138" i="26" s="1"/>
  <c r="R137" i="26"/>
  <c r="P137" i="26"/>
  <c r="F137" i="26" s="1"/>
  <c r="M137" i="26"/>
  <c r="H137" i="26"/>
  <c r="D137" i="26"/>
  <c r="U136" i="26"/>
  <c r="T136" i="26"/>
  <c r="T137" i="26" s="1"/>
  <c r="R136" i="26"/>
  <c r="P136" i="26"/>
  <c r="M136" i="26"/>
  <c r="F136" i="26"/>
  <c r="I136" i="26" s="1"/>
  <c r="B136" i="26"/>
  <c r="T135" i="26"/>
  <c r="P135" i="26"/>
  <c r="F135" i="26" s="1"/>
  <c r="M135" i="26"/>
  <c r="H135" i="26"/>
  <c r="D135" i="26"/>
  <c r="P134" i="26"/>
  <c r="M134" i="26"/>
  <c r="F134" i="26"/>
  <c r="B134" i="26"/>
  <c r="P133" i="26"/>
  <c r="M133" i="26"/>
  <c r="H133" i="26"/>
  <c r="F133" i="26"/>
  <c r="I133" i="26" s="1"/>
  <c r="J133" i="26" s="1"/>
  <c r="D133" i="26"/>
  <c r="T132" i="26"/>
  <c r="T133" i="26" s="1"/>
  <c r="T134" i="26" s="1"/>
  <c r="P132" i="26"/>
  <c r="F132" i="26" s="1"/>
  <c r="M132" i="26"/>
  <c r="B132" i="26" s="1"/>
  <c r="P131" i="26"/>
  <c r="F131" i="26" s="1"/>
  <c r="G131" i="26" s="1"/>
  <c r="M131" i="26"/>
  <c r="I131" i="26"/>
  <c r="J131" i="26" s="1"/>
  <c r="H131" i="26"/>
  <c r="D131" i="26"/>
  <c r="P130" i="26"/>
  <c r="M130" i="26"/>
  <c r="F130" i="26"/>
  <c r="G130" i="26" s="1"/>
  <c r="B130" i="26"/>
  <c r="D130" i="26" s="1"/>
  <c r="P129" i="26"/>
  <c r="F129" i="26" s="1"/>
  <c r="G129" i="26" s="1"/>
  <c r="M129" i="26"/>
  <c r="I129" i="26"/>
  <c r="J129" i="26" s="1"/>
  <c r="H129" i="26"/>
  <c r="D129" i="26"/>
  <c r="P128" i="26"/>
  <c r="F128" i="26" s="1"/>
  <c r="M128" i="26"/>
  <c r="B128" i="26" s="1"/>
  <c r="D128" i="26" s="1"/>
  <c r="I128" i="26"/>
  <c r="J128" i="26" s="1"/>
  <c r="H128" i="26"/>
  <c r="G128" i="26"/>
  <c r="P127" i="26"/>
  <c r="F127" i="26" s="1"/>
  <c r="M127" i="26"/>
  <c r="H127" i="26"/>
  <c r="D127" i="26"/>
  <c r="P126" i="26"/>
  <c r="M126" i="26"/>
  <c r="B126" i="26" s="1"/>
  <c r="F126" i="26"/>
  <c r="T125" i="26"/>
  <c r="T126" i="26" s="1"/>
  <c r="T127" i="26" s="1"/>
  <c r="T128" i="26" s="1"/>
  <c r="T129" i="26" s="1"/>
  <c r="T130" i="26" s="1"/>
  <c r="T131" i="26" s="1"/>
  <c r="R125" i="26"/>
  <c r="P125" i="26"/>
  <c r="F125" i="26" s="1"/>
  <c r="M125" i="26"/>
  <c r="H125" i="26"/>
  <c r="D125" i="26"/>
  <c r="T124" i="26"/>
  <c r="R124" i="26"/>
  <c r="P124" i="26"/>
  <c r="M124" i="26"/>
  <c r="F124" i="26"/>
  <c r="B124" i="26"/>
  <c r="P123" i="26"/>
  <c r="M123" i="26"/>
  <c r="I123" i="26"/>
  <c r="J123" i="26" s="1"/>
  <c r="H123" i="26"/>
  <c r="G123" i="26"/>
  <c r="F123" i="26"/>
  <c r="D123" i="26"/>
  <c r="P122" i="26"/>
  <c r="F122" i="26" s="1"/>
  <c r="M122" i="26"/>
  <c r="H122" i="26"/>
  <c r="D122" i="26"/>
  <c r="B122" i="26"/>
  <c r="P121" i="26"/>
  <c r="F121" i="26" s="1"/>
  <c r="G121" i="26" s="1"/>
  <c r="M121" i="26"/>
  <c r="I121" i="26"/>
  <c r="J121" i="26" s="1"/>
  <c r="H121" i="26"/>
  <c r="D121" i="26"/>
  <c r="P120" i="26"/>
  <c r="M120" i="26"/>
  <c r="F120" i="26"/>
  <c r="I120" i="26" s="1"/>
  <c r="D120" i="26"/>
  <c r="B120" i="26"/>
  <c r="H120" i="26" s="1"/>
  <c r="P119" i="26"/>
  <c r="M119" i="26"/>
  <c r="J119" i="26"/>
  <c r="I119" i="26"/>
  <c r="H119" i="26"/>
  <c r="F119" i="26"/>
  <c r="D119" i="26"/>
  <c r="P118" i="26"/>
  <c r="F118" i="26" s="1"/>
  <c r="M118" i="26"/>
  <c r="B118" i="26" s="1"/>
  <c r="D118" i="26" s="1"/>
  <c r="I118" i="26"/>
  <c r="H118" i="26"/>
  <c r="G118" i="26"/>
  <c r="Q117" i="26"/>
  <c r="Q118" i="26" s="1"/>
  <c r="Q119" i="26" s="1"/>
  <c r="Q120" i="26" s="1"/>
  <c r="Q121" i="26" s="1"/>
  <c r="Q122" i="26" s="1"/>
  <c r="Q123" i="26" s="1"/>
  <c r="P117" i="26"/>
  <c r="M117" i="26"/>
  <c r="H117" i="26"/>
  <c r="F117" i="26"/>
  <c r="I117" i="26" s="1"/>
  <c r="J117" i="26" s="1"/>
  <c r="D117" i="26"/>
  <c r="P116" i="26"/>
  <c r="M116" i="26"/>
  <c r="H116" i="26"/>
  <c r="F116" i="26"/>
  <c r="D116" i="26"/>
  <c r="T115" i="26"/>
  <c r="T116" i="26" s="1"/>
  <c r="T117" i="26" s="1"/>
  <c r="T118" i="26" s="1"/>
  <c r="T119" i="26" s="1"/>
  <c r="T120" i="26" s="1"/>
  <c r="T121" i="26" s="1"/>
  <c r="T122" i="26" s="1"/>
  <c r="T123" i="26" s="1"/>
  <c r="Q115" i="26"/>
  <c r="Q116" i="26" s="1"/>
  <c r="P115" i="26"/>
  <c r="F115" i="26" s="1"/>
  <c r="M115" i="26"/>
  <c r="H115" i="26"/>
  <c r="D115" i="26"/>
  <c r="P114" i="26"/>
  <c r="M114" i="26"/>
  <c r="H114" i="26"/>
  <c r="G114" i="26"/>
  <c r="F114" i="26"/>
  <c r="I114" i="26" s="1"/>
  <c r="J114" i="26" s="1"/>
  <c r="D114" i="26"/>
  <c r="P113" i="26"/>
  <c r="M113" i="26"/>
  <c r="H113" i="26"/>
  <c r="G113" i="26"/>
  <c r="F113" i="26"/>
  <c r="I113" i="26" s="1"/>
  <c r="J113" i="26" s="1"/>
  <c r="D113" i="26"/>
  <c r="V112" i="26"/>
  <c r="U112" i="26"/>
  <c r="U113" i="26" s="1"/>
  <c r="T112" i="26"/>
  <c r="T113" i="26" s="1"/>
  <c r="T114" i="26" s="1"/>
  <c r="R112" i="26"/>
  <c r="R113" i="26" s="1"/>
  <c r="Q112" i="26"/>
  <c r="Q113" i="26" s="1"/>
  <c r="Q114" i="26" s="1"/>
  <c r="P112" i="26"/>
  <c r="F112" i="26" s="1"/>
  <c r="M112" i="26"/>
  <c r="H112" i="26"/>
  <c r="D112" i="26"/>
  <c r="P111" i="26"/>
  <c r="M111" i="26"/>
  <c r="B111" i="26" s="1"/>
  <c r="F111" i="26"/>
  <c r="I111" i="26" s="1"/>
  <c r="P110" i="26"/>
  <c r="M110" i="26"/>
  <c r="I110" i="26"/>
  <c r="G110" i="26"/>
  <c r="F110" i="26"/>
  <c r="B110" i="26"/>
  <c r="H110" i="26" s="1"/>
  <c r="P109" i="26"/>
  <c r="M109" i="26"/>
  <c r="I109" i="26"/>
  <c r="H109" i="26"/>
  <c r="F109" i="26"/>
  <c r="G109" i="26" s="1"/>
  <c r="B109" i="26"/>
  <c r="D109" i="26" s="1"/>
  <c r="P108" i="26"/>
  <c r="F108" i="26" s="1"/>
  <c r="G108" i="26" s="1"/>
  <c r="M108" i="26"/>
  <c r="B108" i="26" s="1"/>
  <c r="D108" i="26" s="1"/>
  <c r="J108" i="26"/>
  <c r="I108" i="26"/>
  <c r="H108" i="26"/>
  <c r="P107" i="26"/>
  <c r="M107" i="26"/>
  <c r="F107" i="26"/>
  <c r="B107" i="26"/>
  <c r="H107" i="26" s="1"/>
  <c r="P106" i="26"/>
  <c r="M106" i="26"/>
  <c r="H106" i="26"/>
  <c r="F106" i="26"/>
  <c r="I106" i="26" s="1"/>
  <c r="J106" i="26" s="1"/>
  <c r="D106" i="26"/>
  <c r="B106" i="26"/>
  <c r="P105" i="26"/>
  <c r="M105" i="26"/>
  <c r="B105" i="26" s="1"/>
  <c r="F105" i="26"/>
  <c r="P104" i="26"/>
  <c r="M104" i="26"/>
  <c r="B104" i="26" s="1"/>
  <c r="H104" i="26"/>
  <c r="F104" i="26"/>
  <c r="I104" i="26" s="1"/>
  <c r="J104" i="26" s="1"/>
  <c r="D104" i="26"/>
  <c r="T103" i="26"/>
  <c r="T104" i="26" s="1"/>
  <c r="T105" i="26" s="1"/>
  <c r="T106" i="26" s="1"/>
  <c r="T107" i="26" s="1"/>
  <c r="T108" i="26" s="1"/>
  <c r="T109" i="26" s="1"/>
  <c r="T110" i="26" s="1"/>
  <c r="T111" i="26" s="1"/>
  <c r="P103" i="26"/>
  <c r="M103" i="26"/>
  <c r="B103" i="26" s="1"/>
  <c r="I103" i="26"/>
  <c r="G103" i="26"/>
  <c r="F103" i="26"/>
  <c r="P102" i="26"/>
  <c r="M102" i="26"/>
  <c r="F102" i="26"/>
  <c r="I102" i="26" s="1"/>
  <c r="B102" i="26"/>
  <c r="T101" i="26"/>
  <c r="T102" i="26" s="1"/>
  <c r="R101" i="26"/>
  <c r="R102" i="26" s="1"/>
  <c r="P101" i="26"/>
  <c r="F101" i="26" s="1"/>
  <c r="G101" i="26" s="1"/>
  <c r="M101" i="26"/>
  <c r="B101" i="26" s="1"/>
  <c r="I101" i="26"/>
  <c r="T100" i="26"/>
  <c r="R100" i="26"/>
  <c r="P100" i="26"/>
  <c r="M100" i="26"/>
  <c r="G100" i="26"/>
  <c r="F100" i="26"/>
  <c r="B100" i="26"/>
  <c r="P99" i="26"/>
  <c r="M99" i="26"/>
  <c r="I99" i="26"/>
  <c r="G99" i="26"/>
  <c r="F99" i="26"/>
  <c r="D99" i="26"/>
  <c r="B99" i="26"/>
  <c r="H99" i="26" s="1"/>
  <c r="P98" i="26"/>
  <c r="M98" i="26"/>
  <c r="I98" i="26"/>
  <c r="J98" i="26" s="1"/>
  <c r="H98" i="26"/>
  <c r="F98" i="26"/>
  <c r="G98" i="26" s="1"/>
  <c r="B98" i="26"/>
  <c r="D98" i="26" s="1"/>
  <c r="P97" i="26"/>
  <c r="F97" i="26" s="1"/>
  <c r="G97" i="26" s="1"/>
  <c r="M97" i="26"/>
  <c r="B97" i="26" s="1"/>
  <c r="D97" i="26" s="1"/>
  <c r="J97" i="26"/>
  <c r="I97" i="26"/>
  <c r="H97" i="26"/>
  <c r="P96" i="26"/>
  <c r="M96" i="26"/>
  <c r="G96" i="26"/>
  <c r="F96" i="26"/>
  <c r="I96" i="26" s="1"/>
  <c r="D96" i="26"/>
  <c r="B96" i="26"/>
  <c r="H96" i="26" s="1"/>
  <c r="P95" i="26"/>
  <c r="M95" i="26"/>
  <c r="H95" i="26"/>
  <c r="F95" i="26"/>
  <c r="D95" i="26"/>
  <c r="B95" i="26"/>
  <c r="P94" i="26"/>
  <c r="F94" i="26" s="1"/>
  <c r="M94" i="26"/>
  <c r="B94" i="26" s="1"/>
  <c r="T93" i="26"/>
  <c r="T94" i="26" s="1"/>
  <c r="T95" i="26" s="1"/>
  <c r="T96" i="26" s="1"/>
  <c r="T97" i="26" s="1"/>
  <c r="T98" i="26" s="1"/>
  <c r="T99" i="26" s="1"/>
  <c r="P93" i="26"/>
  <c r="F93" i="26" s="1"/>
  <c r="G93" i="26" s="1"/>
  <c r="M93" i="26"/>
  <c r="B93" i="26" s="1"/>
  <c r="I93" i="26"/>
  <c r="P92" i="26"/>
  <c r="M92" i="26"/>
  <c r="G92" i="26"/>
  <c r="F92" i="26"/>
  <c r="I92" i="26" s="1"/>
  <c r="J92" i="26" s="1"/>
  <c r="B92" i="26"/>
  <c r="H92" i="26" s="1"/>
  <c r="T91" i="26"/>
  <c r="T92" i="26" s="1"/>
  <c r="P91" i="26"/>
  <c r="M91" i="26"/>
  <c r="B91" i="26" s="1"/>
  <c r="F91" i="26"/>
  <c r="I91" i="26" s="1"/>
  <c r="T90" i="26"/>
  <c r="P90" i="26"/>
  <c r="F90" i="26" s="1"/>
  <c r="G90" i="26" s="1"/>
  <c r="M90" i="26"/>
  <c r="I90" i="26"/>
  <c r="B90" i="26"/>
  <c r="T89" i="26"/>
  <c r="R89" i="26"/>
  <c r="P89" i="26"/>
  <c r="M89" i="26"/>
  <c r="B89" i="26" s="1"/>
  <c r="F89" i="26"/>
  <c r="I89" i="26" s="1"/>
  <c r="T88" i="26"/>
  <c r="R88" i="26"/>
  <c r="S88" i="26" s="1"/>
  <c r="P88" i="26"/>
  <c r="M88" i="26"/>
  <c r="I88" i="26"/>
  <c r="G88" i="26"/>
  <c r="F88" i="26"/>
  <c r="U88" i="26" s="1"/>
  <c r="B88" i="26"/>
  <c r="Q88" i="26" s="1"/>
  <c r="P87" i="26"/>
  <c r="M87" i="26"/>
  <c r="I87" i="26"/>
  <c r="H87" i="26"/>
  <c r="G87" i="26"/>
  <c r="F87" i="26"/>
  <c r="B87" i="26"/>
  <c r="D87" i="26" s="1"/>
  <c r="P86" i="26"/>
  <c r="F86" i="26" s="1"/>
  <c r="M86" i="26"/>
  <c r="B86" i="26" s="1"/>
  <c r="D86" i="26" s="1"/>
  <c r="J86" i="26"/>
  <c r="I86" i="26"/>
  <c r="H86" i="26"/>
  <c r="G86" i="26"/>
  <c r="P85" i="26"/>
  <c r="F85" i="26" s="1"/>
  <c r="M85" i="26"/>
  <c r="B85" i="26"/>
  <c r="H85" i="26" s="1"/>
  <c r="P84" i="26"/>
  <c r="F84" i="26" s="1"/>
  <c r="M84" i="26"/>
  <c r="D84" i="26"/>
  <c r="B84" i="26"/>
  <c r="H84" i="26" s="1"/>
  <c r="P83" i="26"/>
  <c r="M83" i="26"/>
  <c r="B83" i="26" s="1"/>
  <c r="F83" i="26"/>
  <c r="P82" i="26"/>
  <c r="F82" i="26" s="1"/>
  <c r="G82" i="26" s="1"/>
  <c r="M82" i="26"/>
  <c r="B82" i="26" s="1"/>
  <c r="D82" i="26" s="1"/>
  <c r="I82" i="26"/>
  <c r="J82" i="26" s="1"/>
  <c r="H82" i="26"/>
  <c r="P81" i="26"/>
  <c r="M81" i="26"/>
  <c r="F81" i="26"/>
  <c r="B81" i="26"/>
  <c r="H81" i="26" s="1"/>
  <c r="T80" i="26"/>
  <c r="T81" i="26" s="1"/>
  <c r="T82" i="26" s="1"/>
  <c r="T83" i="26" s="1"/>
  <c r="T84" i="26" s="1"/>
  <c r="T85" i="26" s="1"/>
  <c r="T86" i="26" s="1"/>
  <c r="T87" i="26" s="1"/>
  <c r="P80" i="26"/>
  <c r="M80" i="26"/>
  <c r="F80" i="26"/>
  <c r="B80" i="26"/>
  <c r="H80" i="26" s="1"/>
  <c r="P79" i="26"/>
  <c r="F79" i="26" s="1"/>
  <c r="G79" i="26" s="1"/>
  <c r="M79" i="26"/>
  <c r="I79" i="26"/>
  <c r="B79" i="26"/>
  <c r="T78" i="26"/>
  <c r="T79" i="26" s="1"/>
  <c r="R78" i="26"/>
  <c r="P78" i="26"/>
  <c r="M78" i="26"/>
  <c r="B78" i="26" s="1"/>
  <c r="D78" i="26" s="1"/>
  <c r="H78" i="26"/>
  <c r="G78" i="26"/>
  <c r="F78" i="26"/>
  <c r="I78" i="26" s="1"/>
  <c r="J78" i="26" s="1"/>
  <c r="P77" i="26"/>
  <c r="M77" i="26"/>
  <c r="I77" i="26"/>
  <c r="J77" i="26" s="1"/>
  <c r="G77" i="26"/>
  <c r="F77" i="26"/>
  <c r="D77" i="26"/>
  <c r="B77" i="26"/>
  <c r="H77" i="26" s="1"/>
  <c r="U76" i="26"/>
  <c r="T76" i="26"/>
  <c r="T77" i="26" s="1"/>
  <c r="R76" i="26"/>
  <c r="R77" i="26" s="1"/>
  <c r="Q76" i="26"/>
  <c r="Q77" i="26" s="1"/>
  <c r="P76" i="26"/>
  <c r="M76" i="26"/>
  <c r="I76" i="26"/>
  <c r="G76" i="26"/>
  <c r="F76" i="26"/>
  <c r="B76" i="26"/>
  <c r="D76" i="26" s="1"/>
  <c r="P75" i="26"/>
  <c r="F75" i="26" s="1"/>
  <c r="M75" i="26"/>
  <c r="B75" i="26" s="1"/>
  <c r="D75" i="26" s="1"/>
  <c r="I75" i="26"/>
  <c r="J75" i="26" s="1"/>
  <c r="H75" i="26"/>
  <c r="G75" i="26"/>
  <c r="P74" i="26"/>
  <c r="M74" i="26"/>
  <c r="F74" i="26"/>
  <c r="I74" i="26" s="1"/>
  <c r="B74" i="26"/>
  <c r="H74" i="26" s="1"/>
  <c r="P73" i="26"/>
  <c r="M73" i="26"/>
  <c r="G73" i="26"/>
  <c r="F73" i="26"/>
  <c r="I73" i="26" s="1"/>
  <c r="D73" i="26"/>
  <c r="B73" i="26"/>
  <c r="H73" i="26" s="1"/>
  <c r="P72" i="26"/>
  <c r="M72" i="26"/>
  <c r="B72" i="26" s="1"/>
  <c r="G72" i="26"/>
  <c r="F72" i="26"/>
  <c r="I72" i="26" s="1"/>
  <c r="P71" i="26"/>
  <c r="F71" i="26" s="1"/>
  <c r="G71" i="26" s="1"/>
  <c r="M71" i="26"/>
  <c r="B71" i="26" s="1"/>
  <c r="I71" i="26"/>
  <c r="P70" i="26"/>
  <c r="M70" i="26"/>
  <c r="F70" i="26"/>
  <c r="I70" i="26" s="1"/>
  <c r="J70" i="26" s="1"/>
  <c r="B70" i="26"/>
  <c r="H70" i="26" s="1"/>
  <c r="T69" i="26"/>
  <c r="T70" i="26" s="1"/>
  <c r="T71" i="26" s="1"/>
  <c r="T72" i="26" s="1"/>
  <c r="T73" i="26" s="1"/>
  <c r="T74" i="26" s="1"/>
  <c r="T75" i="26" s="1"/>
  <c r="P69" i="26"/>
  <c r="M69" i="26"/>
  <c r="B69" i="26" s="1"/>
  <c r="F69" i="26"/>
  <c r="P68" i="26"/>
  <c r="F68" i="26" s="1"/>
  <c r="G68" i="26" s="1"/>
  <c r="M68" i="26"/>
  <c r="I68" i="26"/>
  <c r="D68" i="26"/>
  <c r="B68" i="26"/>
  <c r="H68" i="26" s="1"/>
  <c r="P67" i="26"/>
  <c r="M67" i="26"/>
  <c r="F67" i="26"/>
  <c r="B67" i="26"/>
  <c r="R66" i="26"/>
  <c r="R67" i="26" s="1"/>
  <c r="P66" i="26"/>
  <c r="M66" i="26"/>
  <c r="G66" i="26"/>
  <c r="F66" i="26"/>
  <c r="I66" i="26" s="1"/>
  <c r="B66" i="26"/>
  <c r="H66" i="26" s="1"/>
  <c r="U65" i="26"/>
  <c r="U66" i="26" s="1"/>
  <c r="P65" i="26"/>
  <c r="M65" i="26"/>
  <c r="I65" i="26"/>
  <c r="H65" i="26"/>
  <c r="G65" i="26"/>
  <c r="F65" i="26"/>
  <c r="B65" i="26"/>
  <c r="D65" i="26" s="1"/>
  <c r="U64" i="26"/>
  <c r="T64" i="26"/>
  <c r="T65" i="26" s="1"/>
  <c r="T66" i="26" s="1"/>
  <c r="T67" i="26" s="1"/>
  <c r="T68" i="26" s="1"/>
  <c r="R64" i="26"/>
  <c r="R65" i="26" s="1"/>
  <c r="P64" i="26"/>
  <c r="F64" i="26" s="1"/>
  <c r="G64" i="26" s="1"/>
  <c r="M64" i="26"/>
  <c r="B64" i="26" s="1"/>
  <c r="D64" i="26" s="1"/>
  <c r="I64" i="26"/>
  <c r="J64" i="26" s="1"/>
  <c r="H64" i="26"/>
  <c r="P63" i="26"/>
  <c r="F63" i="26" s="1"/>
  <c r="M63" i="26"/>
  <c r="B63" i="26" s="1"/>
  <c r="P62" i="26"/>
  <c r="M62" i="26"/>
  <c r="F62" i="26"/>
  <c r="B62" i="26"/>
  <c r="P61" i="26"/>
  <c r="F61" i="26" s="1"/>
  <c r="M61" i="26"/>
  <c r="B61" i="26" s="1"/>
  <c r="P60" i="26"/>
  <c r="M60" i="26"/>
  <c r="B60" i="26" s="1"/>
  <c r="H60" i="26"/>
  <c r="F60" i="26"/>
  <c r="D60" i="26"/>
  <c r="P59" i="26"/>
  <c r="F59" i="26" s="1"/>
  <c r="M59" i="26"/>
  <c r="B59" i="26" s="1"/>
  <c r="D59" i="26" s="1"/>
  <c r="I59" i="26"/>
  <c r="J59" i="26" s="1"/>
  <c r="H59" i="26"/>
  <c r="G59" i="26"/>
  <c r="P58" i="26"/>
  <c r="M58" i="26"/>
  <c r="I58" i="26"/>
  <c r="F58" i="26"/>
  <c r="G58" i="26" s="1"/>
  <c r="B58" i="26"/>
  <c r="P57" i="26"/>
  <c r="F57" i="26" s="1"/>
  <c r="M57" i="26"/>
  <c r="I57" i="26"/>
  <c r="J57" i="26" s="1"/>
  <c r="G57" i="26"/>
  <c r="B57" i="26"/>
  <c r="H57" i="26" s="1"/>
  <c r="P56" i="26"/>
  <c r="M56" i="26"/>
  <c r="I56" i="26"/>
  <c r="G56" i="26"/>
  <c r="F56" i="26"/>
  <c r="B56" i="26"/>
  <c r="P55" i="26"/>
  <c r="M55" i="26"/>
  <c r="J55" i="26"/>
  <c r="I55" i="26"/>
  <c r="H55" i="26"/>
  <c r="G55" i="26"/>
  <c r="F55" i="26"/>
  <c r="D55" i="26"/>
  <c r="B55" i="26"/>
  <c r="P54" i="26"/>
  <c r="M54" i="26"/>
  <c r="B54" i="26" s="1"/>
  <c r="F54" i="26"/>
  <c r="T53" i="26"/>
  <c r="T54" i="26" s="1"/>
  <c r="T55" i="26" s="1"/>
  <c r="T56" i="26" s="1"/>
  <c r="T57" i="26" s="1"/>
  <c r="T58" i="26" s="1"/>
  <c r="T59" i="26" s="1"/>
  <c r="T60" i="26" s="1"/>
  <c r="T61" i="26" s="1"/>
  <c r="T62" i="26" s="1"/>
  <c r="T63" i="26" s="1"/>
  <c r="R53" i="26"/>
  <c r="R54" i="26" s="1"/>
  <c r="P53" i="26"/>
  <c r="F53" i="26" s="1"/>
  <c r="M53" i="26"/>
  <c r="B53" i="26" s="1"/>
  <c r="T52" i="26"/>
  <c r="R52" i="26"/>
  <c r="P52" i="26"/>
  <c r="F52" i="26" s="1"/>
  <c r="M52" i="26"/>
  <c r="D52" i="26"/>
  <c r="B52" i="26"/>
  <c r="Q52" i="26" s="1"/>
  <c r="P51" i="26"/>
  <c r="F51" i="26" s="1"/>
  <c r="I51" i="26" s="1"/>
  <c r="M51" i="26"/>
  <c r="B51" i="26" s="1"/>
  <c r="D51" i="26" s="1"/>
  <c r="H51" i="26"/>
  <c r="J51" i="26" s="1"/>
  <c r="G51" i="26"/>
  <c r="P50" i="26"/>
  <c r="F50" i="26" s="1"/>
  <c r="M50" i="26"/>
  <c r="B50" i="26" s="1"/>
  <c r="P49" i="26"/>
  <c r="M49" i="26"/>
  <c r="B49" i="26" s="1"/>
  <c r="H49" i="26"/>
  <c r="J49" i="26" s="1"/>
  <c r="G49" i="26"/>
  <c r="F49" i="26"/>
  <c r="I49" i="26" s="1"/>
  <c r="D49" i="26"/>
  <c r="P48" i="26"/>
  <c r="F48" i="26" s="1"/>
  <c r="M48" i="26"/>
  <c r="B48" i="26" s="1"/>
  <c r="P47" i="26"/>
  <c r="M47" i="26"/>
  <c r="F47" i="26"/>
  <c r="B47" i="26"/>
  <c r="H47" i="26" s="1"/>
  <c r="T46" i="26"/>
  <c r="T47" i="26" s="1"/>
  <c r="T48" i="26" s="1"/>
  <c r="T49" i="26" s="1"/>
  <c r="T50" i="26" s="1"/>
  <c r="T51" i="26" s="1"/>
  <c r="P46" i="26"/>
  <c r="F46" i="26" s="1"/>
  <c r="M46" i="26"/>
  <c r="I46" i="26"/>
  <c r="J46" i="26" s="1"/>
  <c r="G46" i="26"/>
  <c r="D46" i="26"/>
  <c r="B46" i="26"/>
  <c r="H46" i="26" s="1"/>
  <c r="P45" i="26"/>
  <c r="M45" i="26"/>
  <c r="I45" i="26"/>
  <c r="J45" i="26" s="1"/>
  <c r="F45" i="26"/>
  <c r="G45" i="26" s="1"/>
  <c r="B45" i="26"/>
  <c r="H45" i="26" s="1"/>
  <c r="R44" i="26"/>
  <c r="P44" i="26"/>
  <c r="F44" i="26" s="1"/>
  <c r="M44" i="26"/>
  <c r="B44" i="26"/>
  <c r="R43" i="26"/>
  <c r="P43" i="26"/>
  <c r="M43" i="26"/>
  <c r="G43" i="26"/>
  <c r="F43" i="26"/>
  <c r="I43" i="26" s="1"/>
  <c r="B43" i="26"/>
  <c r="T42" i="26"/>
  <c r="T43" i="26" s="1"/>
  <c r="T44" i="26" s="1"/>
  <c r="T45" i="26" s="1"/>
  <c r="R42" i="26"/>
  <c r="P42" i="26"/>
  <c r="F42" i="26" s="1"/>
  <c r="M42" i="26"/>
  <c r="B42" i="26" s="1"/>
  <c r="I42" i="26"/>
  <c r="J42" i="26" s="1"/>
  <c r="H42" i="26"/>
  <c r="G42" i="26"/>
  <c r="D42" i="26"/>
  <c r="T41" i="26"/>
  <c r="R41" i="26"/>
  <c r="P41" i="26"/>
  <c r="M41" i="26"/>
  <c r="B41" i="26" s="1"/>
  <c r="D41" i="26" s="1"/>
  <c r="I41" i="26"/>
  <c r="J41" i="26" s="1"/>
  <c r="H41" i="26"/>
  <c r="F41" i="26"/>
  <c r="G41" i="26" s="1"/>
  <c r="T40" i="26"/>
  <c r="R40" i="26"/>
  <c r="P40" i="26"/>
  <c r="M40" i="26"/>
  <c r="B40" i="26" s="1"/>
  <c r="F40" i="26"/>
  <c r="P39" i="26"/>
  <c r="F39" i="26" s="1"/>
  <c r="M39" i="26"/>
  <c r="B39" i="26" s="1"/>
  <c r="P38" i="26"/>
  <c r="M38" i="26"/>
  <c r="B38" i="26" s="1"/>
  <c r="H38" i="26"/>
  <c r="F38" i="26"/>
  <c r="I38" i="26" s="1"/>
  <c r="J38" i="26" s="1"/>
  <c r="D38" i="26"/>
  <c r="P37" i="26"/>
  <c r="F37" i="26" s="1"/>
  <c r="G37" i="26" s="1"/>
  <c r="M37" i="26"/>
  <c r="B37" i="26" s="1"/>
  <c r="H37" i="26" s="1"/>
  <c r="I37" i="26"/>
  <c r="J37" i="26" s="1"/>
  <c r="D37" i="26"/>
  <c r="P36" i="26"/>
  <c r="F36" i="26" s="1"/>
  <c r="M36" i="26"/>
  <c r="B36" i="26" s="1"/>
  <c r="D36" i="26" s="1"/>
  <c r="H36" i="26"/>
  <c r="P35" i="26"/>
  <c r="M35" i="26"/>
  <c r="G35" i="26"/>
  <c r="F35" i="26"/>
  <c r="I35" i="26" s="1"/>
  <c r="B35" i="26"/>
  <c r="P34" i="26"/>
  <c r="M34" i="26"/>
  <c r="H34" i="26"/>
  <c r="F34" i="26"/>
  <c r="D34" i="26"/>
  <c r="B34" i="26"/>
  <c r="P33" i="26"/>
  <c r="M33" i="26"/>
  <c r="B33" i="26" s="1"/>
  <c r="D33" i="26" s="1"/>
  <c r="H33" i="26"/>
  <c r="F33" i="26"/>
  <c r="I33" i="26" s="1"/>
  <c r="J33" i="26" s="1"/>
  <c r="P32" i="26"/>
  <c r="F32" i="26" s="1"/>
  <c r="M32" i="26"/>
  <c r="B32" i="26"/>
  <c r="H32" i="26" s="1"/>
  <c r="P31" i="26"/>
  <c r="M31" i="26"/>
  <c r="F31" i="26"/>
  <c r="I31" i="26" s="1"/>
  <c r="B31" i="26"/>
  <c r="H31" i="26" s="1"/>
  <c r="P30" i="26"/>
  <c r="M30" i="26"/>
  <c r="B30" i="26" s="1"/>
  <c r="F30" i="26"/>
  <c r="T29" i="26"/>
  <c r="T30" i="26" s="1"/>
  <c r="T31" i="26" s="1"/>
  <c r="T32" i="26" s="1"/>
  <c r="T33" i="26" s="1"/>
  <c r="T34" i="26" s="1"/>
  <c r="T35" i="26" s="1"/>
  <c r="T36" i="26" s="1"/>
  <c r="T37" i="26" s="1"/>
  <c r="T38" i="26" s="1"/>
  <c r="T39" i="26" s="1"/>
  <c r="P29" i="26"/>
  <c r="F29" i="26" s="1"/>
  <c r="G29" i="26" s="1"/>
  <c r="M29" i="26"/>
  <c r="B29" i="26" s="1"/>
  <c r="D29" i="26" s="1"/>
  <c r="I29" i="26"/>
  <c r="T28" i="26"/>
  <c r="R28" i="26"/>
  <c r="Q28" i="26"/>
  <c r="Q29" i="26" s="1"/>
  <c r="Q30" i="26" s="1"/>
  <c r="Q31" i="26" s="1"/>
  <c r="Q32" i="26" s="1"/>
  <c r="Q33" i="26" s="1"/>
  <c r="Q34" i="26" s="1"/>
  <c r="Q35" i="26" s="1"/>
  <c r="Q36" i="26" s="1"/>
  <c r="Q37" i="26" s="1"/>
  <c r="Q38" i="26" s="1"/>
  <c r="Q39" i="26" s="1"/>
  <c r="P28" i="26"/>
  <c r="F28" i="26" s="1"/>
  <c r="M28" i="26"/>
  <c r="B28" i="26"/>
  <c r="H28" i="26" s="1"/>
  <c r="P27" i="26"/>
  <c r="M27" i="26"/>
  <c r="F27" i="26"/>
  <c r="B27" i="26"/>
  <c r="H27" i="26" s="1"/>
  <c r="P26" i="26"/>
  <c r="F26" i="26" s="1"/>
  <c r="G26" i="26" s="1"/>
  <c r="M26" i="26"/>
  <c r="B26" i="26" s="1"/>
  <c r="D26" i="26" s="1"/>
  <c r="I26" i="26"/>
  <c r="J26" i="26" s="1"/>
  <c r="H26" i="26"/>
  <c r="P25" i="26"/>
  <c r="M25" i="26"/>
  <c r="I25" i="26"/>
  <c r="G25" i="26"/>
  <c r="F25" i="26"/>
  <c r="B25" i="26"/>
  <c r="P24" i="26"/>
  <c r="F24" i="26" s="1"/>
  <c r="G24" i="26" s="1"/>
  <c r="M24" i="26"/>
  <c r="B24" i="26" s="1"/>
  <c r="D24" i="26" s="1"/>
  <c r="I24" i="26"/>
  <c r="H24" i="26"/>
  <c r="J24" i="26" s="1"/>
  <c r="P23" i="26"/>
  <c r="M23" i="26"/>
  <c r="I23" i="26"/>
  <c r="G23" i="26"/>
  <c r="F23" i="26"/>
  <c r="B23" i="26"/>
  <c r="P22" i="26"/>
  <c r="M22" i="26"/>
  <c r="B22" i="26" s="1"/>
  <c r="D22" i="26" s="1"/>
  <c r="H22" i="26"/>
  <c r="F22" i="26"/>
  <c r="I22" i="26" s="1"/>
  <c r="J22" i="26" s="1"/>
  <c r="P21" i="26"/>
  <c r="F21" i="26" s="1"/>
  <c r="G21" i="26" s="1"/>
  <c r="M21" i="26"/>
  <c r="B21" i="26" s="1"/>
  <c r="I21" i="26"/>
  <c r="P20" i="26"/>
  <c r="M20" i="26"/>
  <c r="H20" i="26"/>
  <c r="F20" i="26"/>
  <c r="I20" i="26" s="1"/>
  <c r="B20" i="26"/>
  <c r="D20" i="26" s="1"/>
  <c r="P19" i="26"/>
  <c r="M19" i="26"/>
  <c r="F19" i="26"/>
  <c r="I19" i="26" s="1"/>
  <c r="J19" i="26" s="1"/>
  <c r="D19" i="26"/>
  <c r="B19" i="26"/>
  <c r="H19" i="26" s="1"/>
  <c r="T18" i="26"/>
  <c r="T19" i="26" s="1"/>
  <c r="T20" i="26" s="1"/>
  <c r="T21" i="26" s="1"/>
  <c r="T22" i="26" s="1"/>
  <c r="T23" i="26" s="1"/>
  <c r="T24" i="26" s="1"/>
  <c r="T25" i="26" s="1"/>
  <c r="T26" i="26" s="1"/>
  <c r="T27" i="26" s="1"/>
  <c r="R18" i="26"/>
  <c r="R19" i="26" s="1"/>
  <c r="P18" i="26"/>
  <c r="F18" i="26" s="1"/>
  <c r="M18" i="26"/>
  <c r="B18" i="26" s="1"/>
  <c r="T17" i="26"/>
  <c r="R17" i="26"/>
  <c r="P17" i="26"/>
  <c r="M17" i="26"/>
  <c r="F17" i="26"/>
  <c r="I17" i="26" s="1"/>
  <c r="B17" i="26"/>
  <c r="U16" i="26"/>
  <c r="T16" i="26"/>
  <c r="R16" i="26"/>
  <c r="P16" i="26"/>
  <c r="M16" i="26"/>
  <c r="I16" i="26"/>
  <c r="G16" i="26"/>
  <c r="F16" i="26"/>
  <c r="D16" i="26"/>
  <c r="B16" i="26"/>
  <c r="Q16" i="26" s="1"/>
  <c r="S16" i="26" s="1"/>
  <c r="P15" i="26"/>
  <c r="F15" i="26" s="1"/>
  <c r="M15" i="26"/>
  <c r="B15" i="26" s="1"/>
  <c r="P14" i="26"/>
  <c r="F14" i="26" s="1"/>
  <c r="M14" i="26"/>
  <c r="B14" i="26"/>
  <c r="H14" i="26" s="1"/>
  <c r="P13" i="26"/>
  <c r="M13" i="26"/>
  <c r="H13" i="26"/>
  <c r="F13" i="26"/>
  <c r="I13" i="26" s="1"/>
  <c r="B13" i="26"/>
  <c r="D13" i="26" s="1"/>
  <c r="P12" i="26"/>
  <c r="F12" i="26" s="1"/>
  <c r="G12" i="26" s="1"/>
  <c r="M12" i="26"/>
  <c r="D12" i="26"/>
  <c r="B12" i="26"/>
  <c r="H12" i="26" s="1"/>
  <c r="P11" i="26"/>
  <c r="F11" i="26" s="1"/>
  <c r="M11" i="26"/>
  <c r="B11" i="26" s="1"/>
  <c r="D11" i="26" s="1"/>
  <c r="I11" i="26"/>
  <c r="J11" i="26" s="1"/>
  <c r="H11" i="26"/>
  <c r="G11" i="26"/>
  <c r="P10" i="26"/>
  <c r="M10" i="26"/>
  <c r="F10" i="26"/>
  <c r="I10" i="26" s="1"/>
  <c r="D10" i="26"/>
  <c r="B10" i="26"/>
  <c r="H10" i="26" s="1"/>
  <c r="P9" i="26"/>
  <c r="F9" i="26" s="1"/>
  <c r="M9" i="26"/>
  <c r="B9" i="26" s="1"/>
  <c r="P8" i="26"/>
  <c r="M8" i="26"/>
  <c r="G8" i="26"/>
  <c r="F8" i="26"/>
  <c r="I8" i="26" s="1"/>
  <c r="J8" i="26" s="1"/>
  <c r="B8" i="26"/>
  <c r="H8" i="26" s="1"/>
  <c r="P7" i="26"/>
  <c r="M7" i="26"/>
  <c r="B7" i="26" s="1"/>
  <c r="D7" i="26" s="1"/>
  <c r="I7" i="26"/>
  <c r="H7" i="26"/>
  <c r="G7" i="26"/>
  <c r="F7" i="26"/>
  <c r="P6" i="26"/>
  <c r="F6" i="26" s="1"/>
  <c r="M6" i="26"/>
  <c r="B6" i="26" s="1"/>
  <c r="R5" i="26"/>
  <c r="R6" i="26" s="1"/>
  <c r="P5" i="26"/>
  <c r="M5" i="26"/>
  <c r="B5" i="26" s="1"/>
  <c r="F5" i="26"/>
  <c r="I5" i="26" s="1"/>
  <c r="R4" i="26"/>
  <c r="P4" i="26"/>
  <c r="F4" i="26" s="1"/>
  <c r="M4" i="26"/>
  <c r="I4" i="26"/>
  <c r="E4" i="26"/>
  <c r="D4" i="26"/>
  <c r="B4" i="26"/>
  <c r="Z194" i="25"/>
  <c r="Y194" i="25"/>
  <c r="X194" i="25"/>
  <c r="W194" i="25"/>
  <c r="V194" i="25"/>
  <c r="U194" i="25"/>
  <c r="T194" i="25"/>
  <c r="S194" i="25"/>
  <c r="R194" i="25"/>
  <c r="Q194" i="25"/>
  <c r="P194" i="25"/>
  <c r="O194" i="25"/>
  <c r="N194" i="25"/>
  <c r="M194" i="25"/>
  <c r="L194" i="25"/>
  <c r="K194" i="25"/>
  <c r="J194" i="25"/>
  <c r="I194" i="25"/>
  <c r="I162" i="25" s="1"/>
  <c r="H194" i="25"/>
  <c r="G194" i="25"/>
  <c r="G162" i="25" s="1"/>
  <c r="F194" i="25"/>
  <c r="E194" i="25"/>
  <c r="E162" i="25" s="1"/>
  <c r="D194" i="25"/>
  <c r="D162" i="25" s="1"/>
  <c r="D130" i="25" s="1"/>
  <c r="C194" i="25"/>
  <c r="C162" i="25" s="1"/>
  <c r="B194" i="25"/>
  <c r="Z193" i="25"/>
  <c r="Y193" i="25"/>
  <c r="X193" i="25"/>
  <c r="W193" i="25"/>
  <c r="V193" i="25"/>
  <c r="U193" i="25"/>
  <c r="T193" i="25"/>
  <c r="S193" i="25"/>
  <c r="R193" i="25"/>
  <c r="Q193" i="25"/>
  <c r="P193" i="25"/>
  <c r="O193" i="25"/>
  <c r="N193" i="25"/>
  <c r="M193" i="25"/>
  <c r="L193" i="25"/>
  <c r="K193" i="25"/>
  <c r="K161" i="25" s="1"/>
  <c r="J193" i="25"/>
  <c r="I193" i="25"/>
  <c r="I161" i="25" s="1"/>
  <c r="H193" i="25"/>
  <c r="G193" i="25"/>
  <c r="G161" i="25" s="1"/>
  <c r="F193" i="25"/>
  <c r="E193" i="25"/>
  <c r="D193" i="25"/>
  <c r="C193" i="25"/>
  <c r="B193" i="25"/>
  <c r="B161" i="25" s="1"/>
  <c r="B129" i="25" s="1"/>
  <c r="Z192" i="25"/>
  <c r="Y192" i="25"/>
  <c r="X192" i="25"/>
  <c r="W192" i="25"/>
  <c r="V192" i="25"/>
  <c r="U192" i="25"/>
  <c r="T192" i="25"/>
  <c r="S192" i="25"/>
  <c r="R192" i="25"/>
  <c r="Q192" i="25"/>
  <c r="P192" i="25"/>
  <c r="O192" i="25"/>
  <c r="N192" i="25"/>
  <c r="N160" i="25" s="1"/>
  <c r="M192" i="25"/>
  <c r="L192" i="25"/>
  <c r="L160" i="25" s="1"/>
  <c r="L128" i="25" s="1"/>
  <c r="K192" i="25"/>
  <c r="J192" i="25"/>
  <c r="J160" i="25" s="1"/>
  <c r="J128" i="25" s="1"/>
  <c r="I192" i="25"/>
  <c r="I160" i="25" s="1"/>
  <c r="I128" i="25" s="1"/>
  <c r="H192" i="25"/>
  <c r="G192" i="25"/>
  <c r="G160" i="25" s="1"/>
  <c r="F192" i="25"/>
  <c r="E192" i="25"/>
  <c r="D192" i="25"/>
  <c r="C192" i="25"/>
  <c r="B192" i="25"/>
  <c r="Z191" i="25"/>
  <c r="Y191" i="25"/>
  <c r="X191" i="25"/>
  <c r="W191" i="25"/>
  <c r="V191" i="25"/>
  <c r="U191" i="25"/>
  <c r="T191" i="25"/>
  <c r="S191" i="25"/>
  <c r="R191" i="25"/>
  <c r="Q191" i="25"/>
  <c r="P191" i="25"/>
  <c r="O191" i="25"/>
  <c r="N191" i="25"/>
  <c r="M191" i="25"/>
  <c r="M159" i="25" s="1"/>
  <c r="M127" i="25" s="1"/>
  <c r="L191" i="25"/>
  <c r="L159" i="25" s="1"/>
  <c r="K191" i="25"/>
  <c r="K159" i="25" s="1"/>
  <c r="J191" i="25"/>
  <c r="J159" i="25" s="1"/>
  <c r="I191" i="25"/>
  <c r="H191" i="25"/>
  <c r="H159" i="25" s="1"/>
  <c r="G191" i="25"/>
  <c r="F191" i="25"/>
  <c r="E191" i="25"/>
  <c r="D191" i="25"/>
  <c r="C191" i="25"/>
  <c r="B191" i="25"/>
  <c r="Z190" i="25"/>
  <c r="Y190" i="25"/>
  <c r="X190" i="25"/>
  <c r="W190" i="25"/>
  <c r="V190" i="25"/>
  <c r="U190" i="25"/>
  <c r="T190" i="25"/>
  <c r="S190" i="25"/>
  <c r="R190" i="25"/>
  <c r="Q190" i="25"/>
  <c r="P190" i="25"/>
  <c r="O190" i="25"/>
  <c r="N190" i="25"/>
  <c r="M190" i="25"/>
  <c r="L190" i="25"/>
  <c r="K190" i="25"/>
  <c r="J190" i="25"/>
  <c r="I190" i="25"/>
  <c r="H190" i="25"/>
  <c r="G190" i="25"/>
  <c r="F190" i="25"/>
  <c r="E190" i="25"/>
  <c r="D190" i="25"/>
  <c r="C190" i="25"/>
  <c r="B190" i="25"/>
  <c r="Z189" i="25"/>
  <c r="Y189" i="25"/>
  <c r="X189" i="25"/>
  <c r="W189" i="25"/>
  <c r="V189" i="25"/>
  <c r="U189" i="25"/>
  <c r="T189" i="25"/>
  <c r="S189" i="25"/>
  <c r="R189" i="25"/>
  <c r="Q189" i="25"/>
  <c r="P189" i="25"/>
  <c r="O189" i="25"/>
  <c r="N189" i="25"/>
  <c r="N157" i="25" s="1"/>
  <c r="N125" i="25" s="1"/>
  <c r="M189" i="25"/>
  <c r="L189" i="25"/>
  <c r="K189" i="25"/>
  <c r="J189" i="25"/>
  <c r="I189" i="25"/>
  <c r="H189" i="25"/>
  <c r="G189" i="25"/>
  <c r="F189" i="25"/>
  <c r="F157" i="25" s="1"/>
  <c r="E189" i="25"/>
  <c r="D189" i="25"/>
  <c r="C189" i="25"/>
  <c r="B189" i="25"/>
  <c r="Z188" i="25"/>
  <c r="Y188" i="25"/>
  <c r="X188" i="25"/>
  <c r="W188" i="25"/>
  <c r="V188" i="25"/>
  <c r="U188" i="25"/>
  <c r="T188" i="25"/>
  <c r="S188" i="25"/>
  <c r="R188" i="25"/>
  <c r="Q188" i="25"/>
  <c r="P188" i="25"/>
  <c r="O188" i="25"/>
  <c r="N188" i="25"/>
  <c r="M188" i="25"/>
  <c r="L188" i="25"/>
  <c r="K188" i="25"/>
  <c r="J188" i="25"/>
  <c r="I188" i="25"/>
  <c r="H188" i="25"/>
  <c r="G188" i="25"/>
  <c r="F188" i="25"/>
  <c r="E188" i="25"/>
  <c r="D188" i="25"/>
  <c r="C188" i="25"/>
  <c r="C156" i="25" s="1"/>
  <c r="B188" i="25"/>
  <c r="B156" i="25" s="1"/>
  <c r="Z187" i="25"/>
  <c r="Y187" i="25"/>
  <c r="X187" i="25"/>
  <c r="W187" i="25"/>
  <c r="V187" i="25"/>
  <c r="U187" i="25"/>
  <c r="T187" i="25"/>
  <c r="S187" i="25"/>
  <c r="R187" i="25"/>
  <c r="Q187" i="25"/>
  <c r="P187" i="25"/>
  <c r="O187" i="25"/>
  <c r="N187" i="25"/>
  <c r="M187" i="25"/>
  <c r="L187" i="25"/>
  <c r="K187" i="25"/>
  <c r="J187" i="25"/>
  <c r="I187" i="25"/>
  <c r="H187" i="25"/>
  <c r="G187" i="25"/>
  <c r="F187" i="25"/>
  <c r="E187" i="25"/>
  <c r="D187" i="25"/>
  <c r="C187" i="25"/>
  <c r="B187" i="25"/>
  <c r="B155" i="25" s="1"/>
  <c r="B123" i="25" s="1"/>
  <c r="Z186" i="25"/>
  <c r="Y186" i="25"/>
  <c r="Y195" i="25" s="1"/>
  <c r="Y12" i="25" s="1"/>
  <c r="X186" i="25"/>
  <c r="W186" i="25"/>
  <c r="V186" i="25"/>
  <c r="U186" i="25"/>
  <c r="T186" i="25"/>
  <c r="S186" i="25"/>
  <c r="R186" i="25"/>
  <c r="Q186" i="25"/>
  <c r="P186" i="25"/>
  <c r="O186" i="25"/>
  <c r="N186" i="25"/>
  <c r="M186" i="25"/>
  <c r="L186" i="25"/>
  <c r="K186" i="25"/>
  <c r="J186" i="25"/>
  <c r="I186" i="25"/>
  <c r="I154" i="25" s="1"/>
  <c r="H186" i="25"/>
  <c r="H154" i="25" s="1"/>
  <c r="G186" i="25"/>
  <c r="G154" i="25" s="1"/>
  <c r="F186" i="25"/>
  <c r="F154" i="25" s="1"/>
  <c r="E186" i="25"/>
  <c r="E154" i="25" s="1"/>
  <c r="E122" i="25" s="1"/>
  <c r="E26" i="25" s="1"/>
  <c r="D186" i="25"/>
  <c r="D154" i="25" s="1"/>
  <c r="C186" i="25"/>
  <c r="C154" i="25" s="1"/>
  <c r="C122" i="25" s="1"/>
  <c r="B186" i="25"/>
  <c r="Z185" i="25"/>
  <c r="Z195" i="25" s="1"/>
  <c r="Z12" i="25" s="1"/>
  <c r="Y185" i="25"/>
  <c r="X185" i="25"/>
  <c r="W185" i="25"/>
  <c r="V185" i="25"/>
  <c r="U185" i="25"/>
  <c r="T185" i="25"/>
  <c r="S185" i="25"/>
  <c r="R185" i="25"/>
  <c r="Q185" i="25"/>
  <c r="P185" i="25"/>
  <c r="O185" i="25"/>
  <c r="N185" i="25"/>
  <c r="M185" i="25"/>
  <c r="L185" i="25"/>
  <c r="K185" i="25"/>
  <c r="J185" i="25"/>
  <c r="I185" i="25"/>
  <c r="I153" i="25" s="1"/>
  <c r="H185" i="25"/>
  <c r="H153" i="25" s="1"/>
  <c r="H121" i="25" s="1"/>
  <c r="G185" i="25"/>
  <c r="G153" i="25" s="1"/>
  <c r="F185" i="25"/>
  <c r="F153" i="25" s="1"/>
  <c r="F121" i="25" s="1"/>
  <c r="E185" i="25"/>
  <c r="E195" i="25" s="1"/>
  <c r="E12" i="25" s="1"/>
  <c r="D185" i="25"/>
  <c r="C185" i="25"/>
  <c r="B185" i="25"/>
  <c r="Z184" i="25"/>
  <c r="Y184" i="25"/>
  <c r="X184" i="25"/>
  <c r="W184" i="25"/>
  <c r="V184" i="25"/>
  <c r="U184" i="25"/>
  <c r="T184" i="25"/>
  <c r="S184" i="25"/>
  <c r="R184" i="25"/>
  <c r="Q184" i="25"/>
  <c r="P184" i="25"/>
  <c r="O184" i="25"/>
  <c r="N184" i="25"/>
  <c r="N152" i="25" s="1"/>
  <c r="M184" i="25"/>
  <c r="M152" i="25" s="1"/>
  <c r="L184" i="25"/>
  <c r="L152" i="25" s="1"/>
  <c r="K184" i="25"/>
  <c r="J184" i="25"/>
  <c r="I184" i="25"/>
  <c r="H184" i="25"/>
  <c r="G184" i="25"/>
  <c r="F184" i="25"/>
  <c r="E184" i="25"/>
  <c r="D184" i="25"/>
  <c r="C184" i="25"/>
  <c r="B184" i="25"/>
  <c r="Z183" i="25"/>
  <c r="Y183" i="25"/>
  <c r="X183" i="25"/>
  <c r="W183" i="25"/>
  <c r="V183" i="25"/>
  <c r="U183" i="25"/>
  <c r="T183" i="25"/>
  <c r="S183" i="25"/>
  <c r="R183" i="25"/>
  <c r="Q183" i="25"/>
  <c r="P183" i="25"/>
  <c r="O183" i="25"/>
  <c r="N183" i="25"/>
  <c r="M183" i="25"/>
  <c r="L183" i="25"/>
  <c r="K183" i="25"/>
  <c r="J183" i="25"/>
  <c r="I183" i="25"/>
  <c r="H183" i="25"/>
  <c r="G183" i="25"/>
  <c r="F183" i="25"/>
  <c r="E183" i="25"/>
  <c r="D183" i="25"/>
  <c r="C183" i="25"/>
  <c r="B183" i="25"/>
  <c r="M179" i="25"/>
  <c r="L179" i="25"/>
  <c r="K179" i="25"/>
  <c r="J179" i="25"/>
  <c r="I179" i="25"/>
  <c r="P178" i="25"/>
  <c r="O178" i="25"/>
  <c r="O162" i="25" s="1"/>
  <c r="N178" i="25"/>
  <c r="N162" i="25" s="1"/>
  <c r="M178" i="25"/>
  <c r="M162" i="25" s="1"/>
  <c r="L178" i="25"/>
  <c r="K178" i="25"/>
  <c r="K162" i="25" s="1"/>
  <c r="J178" i="25"/>
  <c r="J162" i="25" s="1"/>
  <c r="I178" i="25"/>
  <c r="H178" i="25"/>
  <c r="G178" i="25"/>
  <c r="F178" i="25"/>
  <c r="E178" i="25"/>
  <c r="D178" i="25"/>
  <c r="C178" i="25"/>
  <c r="B178" i="25"/>
  <c r="P177" i="25"/>
  <c r="P161" i="25" s="1"/>
  <c r="O177" i="25"/>
  <c r="O161" i="25" s="1"/>
  <c r="N177" i="25"/>
  <c r="N161" i="25" s="1"/>
  <c r="M177" i="25"/>
  <c r="L177" i="25"/>
  <c r="K177" i="25"/>
  <c r="J177" i="25"/>
  <c r="I177" i="25"/>
  <c r="H177" i="25"/>
  <c r="G177" i="25"/>
  <c r="F177" i="25"/>
  <c r="E177" i="25"/>
  <c r="D177" i="25"/>
  <c r="C177" i="25"/>
  <c r="C161" i="25" s="1"/>
  <c r="C129" i="25" s="1"/>
  <c r="B177" i="25"/>
  <c r="P176" i="25"/>
  <c r="P160" i="25" s="1"/>
  <c r="O176" i="25"/>
  <c r="N176" i="25"/>
  <c r="M176" i="25"/>
  <c r="L176" i="25"/>
  <c r="K176" i="25"/>
  <c r="J176" i="25"/>
  <c r="I176" i="25"/>
  <c r="H176" i="25"/>
  <c r="G176" i="25"/>
  <c r="F176" i="25"/>
  <c r="F160" i="25" s="1"/>
  <c r="F128" i="25" s="1"/>
  <c r="F32" i="25" s="1"/>
  <c r="E176" i="25"/>
  <c r="E160" i="25" s="1"/>
  <c r="D176" i="25"/>
  <c r="D160" i="25" s="1"/>
  <c r="C176" i="25"/>
  <c r="C160" i="25" s="1"/>
  <c r="C128" i="25" s="1"/>
  <c r="B176" i="25"/>
  <c r="B160" i="25" s="1"/>
  <c r="B128" i="25" s="1"/>
  <c r="P175" i="25"/>
  <c r="O175" i="25"/>
  <c r="N175" i="25"/>
  <c r="N159" i="25" s="1"/>
  <c r="N127" i="25" s="1"/>
  <c r="M175" i="25"/>
  <c r="L175" i="25"/>
  <c r="K175" i="25"/>
  <c r="J175" i="25"/>
  <c r="I175" i="25"/>
  <c r="H175" i="25"/>
  <c r="G175" i="25"/>
  <c r="G159" i="25" s="1"/>
  <c r="F175" i="25"/>
  <c r="F159" i="25" s="1"/>
  <c r="E175" i="25"/>
  <c r="E159" i="25" s="1"/>
  <c r="D175" i="25"/>
  <c r="D159" i="25" s="1"/>
  <c r="C175" i="25"/>
  <c r="C159" i="25" s="1"/>
  <c r="B175" i="25"/>
  <c r="B159" i="25" s="1"/>
  <c r="P174" i="25"/>
  <c r="O174" i="25"/>
  <c r="N174" i="25"/>
  <c r="M174" i="25"/>
  <c r="L174" i="25"/>
  <c r="K174" i="25"/>
  <c r="J174" i="25"/>
  <c r="I174" i="25"/>
  <c r="H174" i="25"/>
  <c r="G174" i="25"/>
  <c r="G158" i="25" s="1"/>
  <c r="F174" i="25"/>
  <c r="F158" i="25" s="1"/>
  <c r="E174" i="25"/>
  <c r="E158" i="25" s="1"/>
  <c r="D174" i="25"/>
  <c r="D158" i="25" s="1"/>
  <c r="C174" i="25"/>
  <c r="C158" i="25" s="1"/>
  <c r="C126" i="25" s="1"/>
  <c r="B174" i="25"/>
  <c r="B158" i="25" s="1"/>
  <c r="B126" i="25" s="1"/>
  <c r="P173" i="25"/>
  <c r="O173" i="25"/>
  <c r="N173" i="25"/>
  <c r="M173" i="25"/>
  <c r="L173" i="25"/>
  <c r="K173" i="25"/>
  <c r="J173" i="25"/>
  <c r="I173" i="25"/>
  <c r="H173" i="25"/>
  <c r="G173" i="25"/>
  <c r="F173" i="25"/>
  <c r="E173" i="25"/>
  <c r="E157" i="25" s="1"/>
  <c r="D173" i="25"/>
  <c r="D157" i="25" s="1"/>
  <c r="C173" i="25"/>
  <c r="C157" i="25" s="1"/>
  <c r="B173" i="25"/>
  <c r="P172" i="25"/>
  <c r="P156" i="25" s="1"/>
  <c r="O172" i="25"/>
  <c r="N172" i="25"/>
  <c r="M172" i="25"/>
  <c r="L172" i="25"/>
  <c r="K172" i="25"/>
  <c r="J172" i="25"/>
  <c r="I172" i="25"/>
  <c r="H172" i="25"/>
  <c r="G172" i="25"/>
  <c r="F172" i="25"/>
  <c r="E172" i="25"/>
  <c r="D172" i="25"/>
  <c r="C172" i="25"/>
  <c r="B172" i="25"/>
  <c r="P171" i="25"/>
  <c r="P155" i="25" s="1"/>
  <c r="P123" i="25" s="1"/>
  <c r="O171" i="25"/>
  <c r="O155" i="25" s="1"/>
  <c r="N171" i="25"/>
  <c r="N155" i="25" s="1"/>
  <c r="M171" i="25"/>
  <c r="L171" i="25"/>
  <c r="L155" i="25" s="1"/>
  <c r="K171" i="25"/>
  <c r="J171" i="25"/>
  <c r="I171" i="25"/>
  <c r="I155" i="25" s="1"/>
  <c r="H171" i="25"/>
  <c r="H155" i="25" s="1"/>
  <c r="G171" i="25"/>
  <c r="F171" i="25"/>
  <c r="E171" i="25"/>
  <c r="D171" i="25"/>
  <c r="C171" i="25"/>
  <c r="B171" i="25"/>
  <c r="P170" i="25"/>
  <c r="P154" i="25" s="1"/>
  <c r="O170" i="25"/>
  <c r="N170" i="25"/>
  <c r="M170" i="25"/>
  <c r="M154" i="25" s="1"/>
  <c r="L170" i="25"/>
  <c r="L154" i="25" s="1"/>
  <c r="K170" i="25"/>
  <c r="J170" i="25"/>
  <c r="I170" i="25"/>
  <c r="H170" i="25"/>
  <c r="G170" i="25"/>
  <c r="F170" i="25"/>
  <c r="E170" i="25"/>
  <c r="D170" i="25"/>
  <c r="C170" i="25"/>
  <c r="B170" i="25"/>
  <c r="Q169" i="25"/>
  <c r="Q153" i="25" s="1"/>
  <c r="Q121" i="25" s="1"/>
  <c r="P169" i="25"/>
  <c r="O169" i="25"/>
  <c r="O153" i="25" s="1"/>
  <c r="O121" i="25" s="1"/>
  <c r="N169" i="25"/>
  <c r="N153" i="25" s="1"/>
  <c r="N121" i="25" s="1"/>
  <c r="M169" i="25"/>
  <c r="L169" i="25"/>
  <c r="K169" i="25"/>
  <c r="J169" i="25"/>
  <c r="I169" i="25"/>
  <c r="H169" i="25"/>
  <c r="G169" i="25"/>
  <c r="F169" i="25"/>
  <c r="E169" i="25"/>
  <c r="D169" i="25"/>
  <c r="C169" i="25"/>
  <c r="C153" i="25" s="1"/>
  <c r="B169" i="25"/>
  <c r="B153" i="25" s="1"/>
  <c r="Q168" i="25"/>
  <c r="P168" i="25"/>
  <c r="O168" i="25"/>
  <c r="N168" i="25"/>
  <c r="M168" i="25"/>
  <c r="L168" i="25"/>
  <c r="K168" i="25"/>
  <c r="J168" i="25"/>
  <c r="I168" i="25"/>
  <c r="H168" i="25"/>
  <c r="G168" i="25"/>
  <c r="F168" i="25"/>
  <c r="E168" i="25"/>
  <c r="E152" i="25" s="1"/>
  <c r="D168" i="25"/>
  <c r="C168" i="25"/>
  <c r="C152" i="25" s="1"/>
  <c r="C120" i="25" s="1"/>
  <c r="B168" i="25"/>
  <c r="B152" i="25" s="1"/>
  <c r="Q167" i="25"/>
  <c r="P167" i="25"/>
  <c r="O167" i="25"/>
  <c r="N167" i="25"/>
  <c r="M167" i="25"/>
  <c r="L167" i="25"/>
  <c r="K167" i="25"/>
  <c r="J167" i="25"/>
  <c r="I167" i="25"/>
  <c r="H167" i="25"/>
  <c r="G167" i="25"/>
  <c r="F167" i="25"/>
  <c r="E167" i="25"/>
  <c r="D167" i="25"/>
  <c r="C167" i="25"/>
  <c r="B167" i="25"/>
  <c r="P162" i="25"/>
  <c r="L162" i="25"/>
  <c r="H162" i="25"/>
  <c r="F162" i="25"/>
  <c r="M161" i="25"/>
  <c r="L161" i="25"/>
  <c r="J161" i="25"/>
  <c r="F161" i="25"/>
  <c r="M160" i="25"/>
  <c r="M128" i="25" s="1"/>
  <c r="K160" i="25"/>
  <c r="K128" i="25" s="1"/>
  <c r="P159" i="25"/>
  <c r="O159" i="25"/>
  <c r="O127" i="25" s="1"/>
  <c r="P158" i="25"/>
  <c r="P126" i="25" s="1"/>
  <c r="O158" i="25"/>
  <c r="O126" i="25" s="1"/>
  <c r="N158" i="25"/>
  <c r="M158" i="25"/>
  <c r="L158" i="25"/>
  <c r="K158" i="25"/>
  <c r="K126" i="25" s="1"/>
  <c r="J158" i="25"/>
  <c r="I158" i="25"/>
  <c r="H158" i="25"/>
  <c r="M157" i="25"/>
  <c r="L157" i="25"/>
  <c r="K157" i="25"/>
  <c r="J157" i="25"/>
  <c r="I157" i="25"/>
  <c r="H157" i="25"/>
  <c r="G157" i="25"/>
  <c r="G125" i="25" s="1"/>
  <c r="O156" i="25"/>
  <c r="N156" i="25"/>
  <c r="N124" i="25" s="1"/>
  <c r="M156" i="25"/>
  <c r="L156" i="25"/>
  <c r="K156" i="25"/>
  <c r="J156" i="25"/>
  <c r="I156" i="25"/>
  <c r="H156" i="25"/>
  <c r="G156" i="25"/>
  <c r="M155" i="25"/>
  <c r="K155" i="25"/>
  <c r="J155" i="25"/>
  <c r="F155" i="25"/>
  <c r="E155" i="25"/>
  <c r="D155" i="25"/>
  <c r="L153" i="25"/>
  <c r="L121" i="25" s="1"/>
  <c r="K153" i="25"/>
  <c r="J153" i="25"/>
  <c r="O152" i="25"/>
  <c r="K152" i="25"/>
  <c r="J152" i="25"/>
  <c r="I152" i="25"/>
  <c r="I120" i="25" s="1"/>
  <c r="H152" i="25"/>
  <c r="H120" i="25" s="1"/>
  <c r="G152" i="25"/>
  <c r="G120" i="25" s="1"/>
  <c r="F152" i="25"/>
  <c r="D152" i="25"/>
  <c r="Q151" i="25"/>
  <c r="J151" i="25"/>
  <c r="I151" i="25"/>
  <c r="P146" i="25"/>
  <c r="O146" i="25"/>
  <c r="N146" i="25"/>
  <c r="M146" i="25"/>
  <c r="L146" i="25"/>
  <c r="K146" i="25"/>
  <c r="K130" i="25" s="1"/>
  <c r="J146" i="25"/>
  <c r="J130" i="25" s="1"/>
  <c r="I146" i="25"/>
  <c r="I130" i="25" s="1"/>
  <c r="H146" i="25"/>
  <c r="H130" i="25" s="1"/>
  <c r="G146" i="25"/>
  <c r="G130" i="25" s="1"/>
  <c r="F146" i="25"/>
  <c r="E146" i="25"/>
  <c r="D146" i="25"/>
  <c r="C146" i="25"/>
  <c r="B146" i="25"/>
  <c r="P145" i="25"/>
  <c r="O145" i="25"/>
  <c r="N145" i="25"/>
  <c r="M145" i="25"/>
  <c r="M129" i="25" s="1"/>
  <c r="L145" i="25"/>
  <c r="K145" i="25"/>
  <c r="K129" i="25" s="1"/>
  <c r="J145" i="25"/>
  <c r="J129" i="25" s="1"/>
  <c r="I145" i="25"/>
  <c r="H145" i="25"/>
  <c r="G145" i="25"/>
  <c r="F145" i="25"/>
  <c r="E145" i="25"/>
  <c r="D145" i="25"/>
  <c r="C145" i="25"/>
  <c r="B145" i="25"/>
  <c r="P144" i="25"/>
  <c r="P128" i="25" s="1"/>
  <c r="O144" i="25"/>
  <c r="N144" i="25"/>
  <c r="N128" i="25" s="1"/>
  <c r="M144" i="25"/>
  <c r="L144" i="25"/>
  <c r="K144" i="25"/>
  <c r="J144" i="25"/>
  <c r="I144" i="25"/>
  <c r="H144" i="25"/>
  <c r="G144" i="25"/>
  <c r="F144" i="25"/>
  <c r="E144" i="25"/>
  <c r="E128" i="25" s="1"/>
  <c r="D144" i="25"/>
  <c r="D128" i="25" s="1"/>
  <c r="C144" i="25"/>
  <c r="B144" i="25"/>
  <c r="X143" i="25"/>
  <c r="P143" i="25"/>
  <c r="P127" i="25" s="1"/>
  <c r="O143" i="25"/>
  <c r="N143" i="25"/>
  <c r="M143" i="25"/>
  <c r="L143" i="25"/>
  <c r="K143" i="25"/>
  <c r="J143" i="25"/>
  <c r="I143" i="25"/>
  <c r="H143" i="25"/>
  <c r="G143" i="25"/>
  <c r="F143" i="25"/>
  <c r="F127" i="25" s="1"/>
  <c r="E143" i="25"/>
  <c r="D143" i="25"/>
  <c r="C143" i="25"/>
  <c r="B143" i="25"/>
  <c r="P142" i="25"/>
  <c r="O142" i="25"/>
  <c r="N142" i="25"/>
  <c r="M142" i="25"/>
  <c r="L142" i="25"/>
  <c r="K142" i="25"/>
  <c r="J142" i="25"/>
  <c r="I142" i="25"/>
  <c r="I126" i="25" s="1"/>
  <c r="I30" i="25" s="1"/>
  <c r="H142" i="25"/>
  <c r="H126" i="25" s="1"/>
  <c r="G142" i="25"/>
  <c r="F142" i="25"/>
  <c r="E142" i="25"/>
  <c r="D142" i="25"/>
  <c r="C142" i="25"/>
  <c r="B142" i="25"/>
  <c r="P141" i="25"/>
  <c r="O141" i="25"/>
  <c r="N141" i="25"/>
  <c r="M141" i="25"/>
  <c r="L141" i="25"/>
  <c r="K141" i="25"/>
  <c r="J141" i="25"/>
  <c r="J125" i="25" s="1"/>
  <c r="I141" i="25"/>
  <c r="H141" i="25"/>
  <c r="G141" i="25"/>
  <c r="F141" i="25"/>
  <c r="F125" i="25" s="1"/>
  <c r="E141" i="25"/>
  <c r="D141" i="25"/>
  <c r="C141" i="25"/>
  <c r="C125" i="25" s="1"/>
  <c r="B141" i="25"/>
  <c r="P140" i="25"/>
  <c r="P124" i="25" s="1"/>
  <c r="O140" i="25"/>
  <c r="N140" i="25"/>
  <c r="M140" i="25"/>
  <c r="L140" i="25"/>
  <c r="L124" i="25" s="1"/>
  <c r="K140" i="25"/>
  <c r="K124" i="25" s="1"/>
  <c r="J140" i="25"/>
  <c r="J124" i="25" s="1"/>
  <c r="I140" i="25"/>
  <c r="I124" i="25" s="1"/>
  <c r="H140" i="25"/>
  <c r="G140" i="25"/>
  <c r="F140" i="25"/>
  <c r="E140" i="25"/>
  <c r="D140" i="25"/>
  <c r="C140" i="25"/>
  <c r="C124" i="25" s="1"/>
  <c r="B140" i="25"/>
  <c r="P139" i="25"/>
  <c r="O139" i="25"/>
  <c r="N139" i="25"/>
  <c r="M139" i="25"/>
  <c r="M123" i="25" s="1"/>
  <c r="L139" i="25"/>
  <c r="K139" i="25"/>
  <c r="J139" i="25"/>
  <c r="J123" i="25" s="1"/>
  <c r="I139" i="25"/>
  <c r="I123" i="25" s="1"/>
  <c r="H139" i="25"/>
  <c r="G139" i="25"/>
  <c r="F139" i="25"/>
  <c r="E139" i="25"/>
  <c r="D139" i="25"/>
  <c r="C139" i="25"/>
  <c r="B139" i="25"/>
  <c r="P138" i="25"/>
  <c r="O138" i="25"/>
  <c r="N138" i="25"/>
  <c r="M138" i="25"/>
  <c r="L138" i="25"/>
  <c r="K138" i="25"/>
  <c r="J138" i="25"/>
  <c r="I138" i="25"/>
  <c r="H138" i="25"/>
  <c r="G138" i="25"/>
  <c r="G122" i="25" s="1"/>
  <c r="F138" i="25"/>
  <c r="F122" i="25" s="1"/>
  <c r="E138" i="25"/>
  <c r="D138" i="25"/>
  <c r="D122" i="25" s="1"/>
  <c r="D26" i="25" s="1"/>
  <c r="C138" i="25"/>
  <c r="B138" i="25"/>
  <c r="Q137" i="25"/>
  <c r="P137" i="25"/>
  <c r="O137" i="25"/>
  <c r="N137" i="25"/>
  <c r="M137" i="25"/>
  <c r="L137" i="25"/>
  <c r="K137" i="25"/>
  <c r="J137" i="25"/>
  <c r="I137" i="25"/>
  <c r="H137" i="25"/>
  <c r="G137" i="25"/>
  <c r="G121" i="25" s="1"/>
  <c r="F137" i="25"/>
  <c r="E137" i="25"/>
  <c r="D137" i="25"/>
  <c r="C137" i="25"/>
  <c r="B137" i="25"/>
  <c r="S136" i="25"/>
  <c r="Q136" i="25"/>
  <c r="P136" i="25"/>
  <c r="O136" i="25"/>
  <c r="N136" i="25"/>
  <c r="M136" i="25"/>
  <c r="L136" i="25"/>
  <c r="K136" i="25"/>
  <c r="J136" i="25"/>
  <c r="I136" i="25"/>
  <c r="H136" i="25"/>
  <c r="G136" i="25"/>
  <c r="F136" i="25"/>
  <c r="E136" i="25"/>
  <c r="D136" i="25"/>
  <c r="D120" i="25" s="1"/>
  <c r="D24" i="25" s="1"/>
  <c r="C136" i="25"/>
  <c r="B136" i="25"/>
  <c r="B120" i="25" s="1"/>
  <c r="Q135" i="25"/>
  <c r="P135" i="25"/>
  <c r="O135" i="25"/>
  <c r="N135" i="25"/>
  <c r="M135" i="25"/>
  <c r="L135" i="25"/>
  <c r="K135" i="25"/>
  <c r="J135" i="25"/>
  <c r="I135" i="25"/>
  <c r="H135" i="25"/>
  <c r="G135" i="25"/>
  <c r="F135" i="25"/>
  <c r="E135" i="25"/>
  <c r="D135" i="25"/>
  <c r="C135" i="25"/>
  <c r="M130" i="25"/>
  <c r="L130" i="25"/>
  <c r="F130" i="25"/>
  <c r="E130" i="25"/>
  <c r="C130" i="25"/>
  <c r="O129" i="25"/>
  <c r="O33" i="25" s="1"/>
  <c r="N129" i="25"/>
  <c r="I129" i="25"/>
  <c r="G129" i="25"/>
  <c r="F129" i="25"/>
  <c r="L127" i="25"/>
  <c r="K127" i="25"/>
  <c r="J127" i="25"/>
  <c r="H127" i="25"/>
  <c r="L125" i="25"/>
  <c r="E125" i="25"/>
  <c r="D125" i="25"/>
  <c r="B124" i="25"/>
  <c r="H123" i="25"/>
  <c r="M122" i="25"/>
  <c r="L122" i="25"/>
  <c r="B121" i="25"/>
  <c r="O120" i="25"/>
  <c r="K120" i="25"/>
  <c r="J120" i="25"/>
  <c r="I119" i="25"/>
  <c r="X115" i="25"/>
  <c r="X7" i="25" s="1"/>
  <c r="C115" i="25"/>
  <c r="C7" i="25" s="1"/>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C114" i="25"/>
  <c r="B114" i="25"/>
  <c r="Z113" i="25"/>
  <c r="Y113" i="25"/>
  <c r="X113" i="25"/>
  <c r="W113" i="25"/>
  <c r="V113" i="25"/>
  <c r="U113" i="25"/>
  <c r="T113" i="25"/>
  <c r="S113" i="25"/>
  <c r="R113" i="25"/>
  <c r="Q113" i="25"/>
  <c r="P113" i="25"/>
  <c r="O113" i="25"/>
  <c r="O49" i="25" s="1"/>
  <c r="N113" i="25"/>
  <c r="N49" i="25" s="1"/>
  <c r="M113" i="25"/>
  <c r="M49" i="25" s="1"/>
  <c r="L113" i="25"/>
  <c r="K113" i="25"/>
  <c r="J113" i="25"/>
  <c r="J49" i="25" s="1"/>
  <c r="I113" i="25"/>
  <c r="I49" i="25" s="1"/>
  <c r="I33" i="25" s="1"/>
  <c r="H113" i="25"/>
  <c r="G113" i="25"/>
  <c r="F113" i="25"/>
  <c r="E113" i="25"/>
  <c r="D113" i="25"/>
  <c r="C113" i="25"/>
  <c r="B113" i="25"/>
  <c r="Z112" i="25"/>
  <c r="Y112" i="25"/>
  <c r="X112" i="25"/>
  <c r="W112" i="25"/>
  <c r="V112" i="25"/>
  <c r="U112" i="25"/>
  <c r="T112" i="25"/>
  <c r="S112" i="25"/>
  <c r="R112" i="25"/>
  <c r="Q112" i="25"/>
  <c r="P112" i="25"/>
  <c r="O112" i="25"/>
  <c r="N112" i="25"/>
  <c r="M112" i="25"/>
  <c r="L112" i="25"/>
  <c r="K112" i="25"/>
  <c r="J112" i="25"/>
  <c r="I112" i="25"/>
  <c r="H112" i="25"/>
  <c r="G112" i="25"/>
  <c r="F112" i="25"/>
  <c r="E112" i="25"/>
  <c r="D112" i="25"/>
  <c r="C112" i="25"/>
  <c r="B112" i="25"/>
  <c r="Z111" i="25"/>
  <c r="Y111" i="25"/>
  <c r="X111" i="25"/>
  <c r="W111" i="25"/>
  <c r="V111" i="25"/>
  <c r="U111" i="25"/>
  <c r="T111" i="25"/>
  <c r="S111" i="25"/>
  <c r="R111" i="25"/>
  <c r="Q111" i="25"/>
  <c r="P111" i="25"/>
  <c r="O111" i="25"/>
  <c r="N111" i="25"/>
  <c r="M111" i="25"/>
  <c r="L111" i="25"/>
  <c r="K111" i="25"/>
  <c r="J111" i="25"/>
  <c r="I111" i="25"/>
  <c r="H111" i="25"/>
  <c r="G111" i="25"/>
  <c r="F111" i="25"/>
  <c r="E111" i="25"/>
  <c r="D111" i="25"/>
  <c r="C111" i="25"/>
  <c r="B111" i="25"/>
  <c r="Z110" i="25"/>
  <c r="Y110" i="25"/>
  <c r="X110" i="25"/>
  <c r="W110" i="25"/>
  <c r="V110" i="25"/>
  <c r="U110" i="25"/>
  <c r="T110" i="25"/>
  <c r="S110" i="25"/>
  <c r="R110" i="25"/>
  <c r="Q110" i="25"/>
  <c r="P110" i="25"/>
  <c r="O110" i="25"/>
  <c r="N110" i="25"/>
  <c r="M110" i="25"/>
  <c r="L110" i="25"/>
  <c r="K110" i="25"/>
  <c r="J110" i="25"/>
  <c r="I110" i="25"/>
  <c r="H110" i="25"/>
  <c r="G110" i="25"/>
  <c r="F110" i="25"/>
  <c r="E110" i="25"/>
  <c r="D110" i="25"/>
  <c r="C110" i="25"/>
  <c r="B110" i="25"/>
  <c r="Z109" i="25"/>
  <c r="Y109" i="25"/>
  <c r="X109" i="25"/>
  <c r="W109" i="25"/>
  <c r="V109" i="25"/>
  <c r="U109" i="25"/>
  <c r="T109" i="25"/>
  <c r="S109" i="25"/>
  <c r="R109" i="25"/>
  <c r="Q109" i="25"/>
  <c r="P109" i="25"/>
  <c r="O109" i="25"/>
  <c r="N109" i="25"/>
  <c r="M109" i="25"/>
  <c r="L109" i="25"/>
  <c r="K109" i="25"/>
  <c r="J109" i="25"/>
  <c r="I109" i="25"/>
  <c r="H109" i="25"/>
  <c r="G109" i="25"/>
  <c r="F109" i="25"/>
  <c r="E109" i="25"/>
  <c r="D109" i="25"/>
  <c r="C109" i="25"/>
  <c r="B109" i="25"/>
  <c r="Z108" i="25"/>
  <c r="Y108" i="25"/>
  <c r="X108" i="25"/>
  <c r="W108" i="25"/>
  <c r="V108" i="25"/>
  <c r="U108" i="25"/>
  <c r="T108" i="25"/>
  <c r="S108" i="25"/>
  <c r="R108" i="25"/>
  <c r="Q108" i="25"/>
  <c r="P108" i="25"/>
  <c r="O108" i="25"/>
  <c r="N108" i="25"/>
  <c r="M108" i="25"/>
  <c r="L108" i="25"/>
  <c r="K108" i="25"/>
  <c r="J108" i="25"/>
  <c r="I108" i="25"/>
  <c r="H108" i="25"/>
  <c r="G108" i="25"/>
  <c r="G44" i="25" s="1"/>
  <c r="F108" i="25"/>
  <c r="F44" i="25" s="1"/>
  <c r="E108" i="25"/>
  <c r="D108" i="25"/>
  <c r="C108" i="25"/>
  <c r="B108" i="25"/>
  <c r="B115" i="25" s="1"/>
  <c r="B7" i="25" s="1"/>
  <c r="Z107" i="25"/>
  <c r="Y107" i="25"/>
  <c r="X107" i="25"/>
  <c r="W107" i="25"/>
  <c r="V107" i="25"/>
  <c r="U107" i="25"/>
  <c r="T107" i="25"/>
  <c r="S107" i="25"/>
  <c r="R107" i="25"/>
  <c r="Q107" i="25"/>
  <c r="P107" i="25"/>
  <c r="O107" i="25"/>
  <c r="N107" i="25"/>
  <c r="M107" i="25"/>
  <c r="L107" i="25"/>
  <c r="K107" i="25"/>
  <c r="J107" i="25"/>
  <c r="I107" i="25"/>
  <c r="H107" i="25"/>
  <c r="G107" i="25"/>
  <c r="F107" i="25"/>
  <c r="E107" i="25"/>
  <c r="E115" i="25" s="1"/>
  <c r="E7" i="25" s="1"/>
  <c r="D107" i="25"/>
  <c r="D115" i="25" s="1"/>
  <c r="D7" i="25" s="1"/>
  <c r="C107" i="25"/>
  <c r="B107" i="25"/>
  <c r="Z106" i="25"/>
  <c r="Y106" i="25"/>
  <c r="X106" i="25"/>
  <c r="W106" i="25"/>
  <c r="V106" i="25"/>
  <c r="U106" i="25"/>
  <c r="T106" i="25"/>
  <c r="S106" i="25"/>
  <c r="R106" i="25"/>
  <c r="Q106" i="25"/>
  <c r="P106" i="25"/>
  <c r="O106" i="25"/>
  <c r="N106" i="25"/>
  <c r="M106" i="25"/>
  <c r="L106" i="25"/>
  <c r="K106" i="25"/>
  <c r="J106" i="25"/>
  <c r="I106" i="25"/>
  <c r="H106" i="25"/>
  <c r="H115" i="25" s="1"/>
  <c r="H7" i="25" s="1"/>
  <c r="G106" i="25"/>
  <c r="G115" i="25" s="1"/>
  <c r="G7" i="25" s="1"/>
  <c r="F106" i="25"/>
  <c r="E106" i="25"/>
  <c r="D106" i="25"/>
  <c r="C106" i="25"/>
  <c r="B106" i="25"/>
  <c r="Z105" i="25"/>
  <c r="Y105" i="25"/>
  <c r="X105" i="25"/>
  <c r="W105" i="25"/>
  <c r="V105" i="25"/>
  <c r="U105" i="25"/>
  <c r="T105" i="25"/>
  <c r="S105" i="25"/>
  <c r="R105" i="25"/>
  <c r="Q105" i="25"/>
  <c r="P105" i="25"/>
  <c r="O105" i="25"/>
  <c r="N105" i="25"/>
  <c r="M105" i="25"/>
  <c r="L105" i="25"/>
  <c r="K105" i="25"/>
  <c r="J105" i="25"/>
  <c r="J115" i="25" s="1"/>
  <c r="J7" i="25" s="1"/>
  <c r="I105" i="25"/>
  <c r="H105" i="25"/>
  <c r="G105" i="25"/>
  <c r="F105" i="25"/>
  <c r="E105" i="25"/>
  <c r="D105" i="25"/>
  <c r="C105" i="25"/>
  <c r="B105" i="25"/>
  <c r="Z104" i="25"/>
  <c r="Y104" i="25"/>
  <c r="X104" i="25"/>
  <c r="W104" i="25"/>
  <c r="V104" i="25"/>
  <c r="U104" i="25"/>
  <c r="T104" i="25"/>
  <c r="S104" i="25"/>
  <c r="R104" i="25"/>
  <c r="Q104" i="25"/>
  <c r="P104" i="25"/>
  <c r="O104" i="25"/>
  <c r="N104" i="25"/>
  <c r="M104" i="25"/>
  <c r="L104" i="25"/>
  <c r="K104" i="25"/>
  <c r="J104" i="25"/>
  <c r="I104" i="25"/>
  <c r="H104" i="25"/>
  <c r="G104" i="25"/>
  <c r="F104" i="25"/>
  <c r="E104" i="25"/>
  <c r="D104" i="25"/>
  <c r="C104" i="25"/>
  <c r="B104" i="25"/>
  <c r="Z103" i="25"/>
  <c r="Y103" i="25"/>
  <c r="Y115" i="25" s="1"/>
  <c r="X103" i="25"/>
  <c r="W103" i="25"/>
  <c r="V103" i="25"/>
  <c r="U103" i="25"/>
  <c r="T103" i="25"/>
  <c r="S103" i="25"/>
  <c r="R103" i="25"/>
  <c r="Q103" i="25"/>
  <c r="P103" i="25"/>
  <c r="P115" i="25" s="1"/>
  <c r="P7" i="25" s="1"/>
  <c r="O103" i="25"/>
  <c r="N103" i="25"/>
  <c r="M103" i="25"/>
  <c r="L103" i="25"/>
  <c r="K103" i="25"/>
  <c r="J103" i="25"/>
  <c r="I103" i="25"/>
  <c r="H103" i="25"/>
  <c r="G103" i="25"/>
  <c r="F103" i="25"/>
  <c r="E103" i="25"/>
  <c r="D103" i="25"/>
  <c r="C103" i="25"/>
  <c r="B103" i="25"/>
  <c r="P98" i="25"/>
  <c r="O98" i="25"/>
  <c r="N98" i="25"/>
  <c r="M98" i="25"/>
  <c r="M66" i="25" s="1"/>
  <c r="M50" i="25" s="1"/>
  <c r="M34" i="25" s="1"/>
  <c r="L98" i="25"/>
  <c r="K98" i="25"/>
  <c r="K66" i="25" s="1"/>
  <c r="K50" i="25" s="1"/>
  <c r="K34" i="25" s="1"/>
  <c r="J98" i="25"/>
  <c r="I98" i="25"/>
  <c r="H98" i="25"/>
  <c r="G98" i="25"/>
  <c r="F98" i="25"/>
  <c r="E98" i="25"/>
  <c r="D98" i="25"/>
  <c r="C98" i="25"/>
  <c r="B98" i="25"/>
  <c r="P97" i="25"/>
  <c r="P65" i="25" s="1"/>
  <c r="O97" i="25"/>
  <c r="N97" i="25"/>
  <c r="N65" i="25" s="1"/>
  <c r="M97" i="25"/>
  <c r="L97" i="25"/>
  <c r="K97" i="25"/>
  <c r="J97" i="25"/>
  <c r="I97" i="25"/>
  <c r="H97" i="25"/>
  <c r="G97" i="25"/>
  <c r="F97" i="25"/>
  <c r="E97" i="25"/>
  <c r="D97" i="25"/>
  <c r="C97" i="25"/>
  <c r="B97" i="25"/>
  <c r="P96" i="25"/>
  <c r="O96" i="25"/>
  <c r="N96" i="25"/>
  <c r="M96" i="25"/>
  <c r="L96" i="25"/>
  <c r="K96" i="25"/>
  <c r="J96" i="25"/>
  <c r="I96" i="25"/>
  <c r="H96" i="25"/>
  <c r="G96" i="25"/>
  <c r="F96" i="25"/>
  <c r="E96" i="25"/>
  <c r="D96" i="25"/>
  <c r="C96" i="25"/>
  <c r="C64" i="25" s="1"/>
  <c r="C48" i="25" s="1"/>
  <c r="B96" i="25"/>
  <c r="P95" i="25"/>
  <c r="O95" i="25"/>
  <c r="N95" i="25"/>
  <c r="M95" i="25"/>
  <c r="L95" i="25"/>
  <c r="K95" i="25"/>
  <c r="J95" i="25"/>
  <c r="I95" i="25"/>
  <c r="H95" i="25"/>
  <c r="G95" i="25"/>
  <c r="F95" i="25"/>
  <c r="E95" i="25"/>
  <c r="D95" i="25"/>
  <c r="C95" i="25"/>
  <c r="B95" i="25"/>
  <c r="B63" i="25" s="1"/>
  <c r="B47" i="25" s="1"/>
  <c r="P94" i="25"/>
  <c r="O94" i="25"/>
  <c r="N94" i="25"/>
  <c r="M94" i="25"/>
  <c r="L94" i="25"/>
  <c r="K94" i="25"/>
  <c r="J94" i="25"/>
  <c r="I94" i="25"/>
  <c r="H94" i="25"/>
  <c r="G94" i="25"/>
  <c r="F94" i="25"/>
  <c r="E94" i="25"/>
  <c r="D94" i="25"/>
  <c r="C94" i="25"/>
  <c r="B94" i="25"/>
  <c r="P93" i="25"/>
  <c r="O93" i="25"/>
  <c r="N93" i="25"/>
  <c r="M93" i="25"/>
  <c r="L93" i="25"/>
  <c r="K93" i="25"/>
  <c r="J93" i="25"/>
  <c r="I93" i="25"/>
  <c r="H93" i="25"/>
  <c r="H61" i="25" s="1"/>
  <c r="H45" i="25" s="1"/>
  <c r="G93" i="25"/>
  <c r="F93" i="25"/>
  <c r="E93" i="25"/>
  <c r="D93" i="25"/>
  <c r="C93" i="25"/>
  <c r="B93" i="25"/>
  <c r="B61" i="25" s="1"/>
  <c r="B45" i="25" s="1"/>
  <c r="P92" i="25"/>
  <c r="O92" i="25"/>
  <c r="N92" i="25"/>
  <c r="M92" i="25"/>
  <c r="L92" i="25"/>
  <c r="K92" i="25"/>
  <c r="J92" i="25"/>
  <c r="I92" i="25"/>
  <c r="H92" i="25"/>
  <c r="G92" i="25"/>
  <c r="F92" i="25"/>
  <c r="E92" i="25"/>
  <c r="D92" i="25"/>
  <c r="C92" i="25"/>
  <c r="C60" i="25" s="1"/>
  <c r="C44" i="25" s="1"/>
  <c r="C28" i="25" s="1"/>
  <c r="B92" i="25"/>
  <c r="P91" i="25"/>
  <c r="O91" i="25"/>
  <c r="N91" i="25"/>
  <c r="M91" i="25"/>
  <c r="L91" i="25"/>
  <c r="K91" i="25"/>
  <c r="J91" i="25"/>
  <c r="I91" i="25"/>
  <c r="I59" i="25" s="1"/>
  <c r="I43" i="25" s="1"/>
  <c r="H91" i="25"/>
  <c r="G91" i="25"/>
  <c r="F91" i="25"/>
  <c r="E91" i="25"/>
  <c r="D91" i="25"/>
  <c r="C91" i="25"/>
  <c r="B91" i="25"/>
  <c r="B59" i="25" s="1"/>
  <c r="B43" i="25" s="1"/>
  <c r="B27" i="25" s="1"/>
  <c r="P90" i="25"/>
  <c r="O90" i="25"/>
  <c r="O58" i="25" s="1"/>
  <c r="O42" i="25" s="1"/>
  <c r="N90" i="25"/>
  <c r="M90" i="25"/>
  <c r="M58" i="25" s="1"/>
  <c r="L90" i="25"/>
  <c r="L58" i="25" s="1"/>
  <c r="K90" i="25"/>
  <c r="K58" i="25" s="1"/>
  <c r="J90" i="25"/>
  <c r="I90" i="25"/>
  <c r="H90" i="25"/>
  <c r="G90" i="25"/>
  <c r="F90" i="25"/>
  <c r="E90" i="25"/>
  <c r="D90" i="25"/>
  <c r="C90" i="25"/>
  <c r="B90" i="25"/>
  <c r="Q89" i="25"/>
  <c r="P89" i="25"/>
  <c r="O89" i="25"/>
  <c r="N89" i="25"/>
  <c r="N57" i="25" s="1"/>
  <c r="N41" i="25" s="1"/>
  <c r="N25" i="25" s="1"/>
  <c r="M89" i="25"/>
  <c r="M57" i="25" s="1"/>
  <c r="M41" i="25" s="1"/>
  <c r="L89" i="25"/>
  <c r="K89" i="25"/>
  <c r="J89" i="25"/>
  <c r="I89" i="25"/>
  <c r="H89" i="25"/>
  <c r="G89" i="25"/>
  <c r="F89" i="25"/>
  <c r="E89" i="25"/>
  <c r="D89" i="25"/>
  <c r="C89" i="25"/>
  <c r="B89" i="25"/>
  <c r="Q88" i="25"/>
  <c r="P88" i="25"/>
  <c r="O88" i="25"/>
  <c r="N88" i="25"/>
  <c r="N56" i="25" s="1"/>
  <c r="N40" i="25" s="1"/>
  <c r="M88" i="25"/>
  <c r="M56" i="25" s="1"/>
  <c r="M40" i="25" s="1"/>
  <c r="L88" i="25"/>
  <c r="K88" i="25"/>
  <c r="J88" i="25"/>
  <c r="I88" i="25"/>
  <c r="H88" i="25"/>
  <c r="G88" i="25"/>
  <c r="G99" i="25" s="1"/>
  <c r="F88" i="25"/>
  <c r="E88" i="25"/>
  <c r="E99" i="25" s="1"/>
  <c r="E6" i="25" s="1"/>
  <c r="D88" i="25"/>
  <c r="C88" i="25"/>
  <c r="B88" i="25"/>
  <c r="Q87" i="25"/>
  <c r="P87" i="25"/>
  <c r="O87" i="25"/>
  <c r="N87" i="25"/>
  <c r="M87" i="25"/>
  <c r="L87" i="25"/>
  <c r="K87" i="25"/>
  <c r="J87" i="25"/>
  <c r="I87" i="25"/>
  <c r="H87" i="25"/>
  <c r="H99" i="25" s="1"/>
  <c r="H6" i="25" s="1"/>
  <c r="G87" i="25"/>
  <c r="F87" i="25"/>
  <c r="E87" i="25"/>
  <c r="D87" i="25"/>
  <c r="C87" i="25"/>
  <c r="B87" i="25"/>
  <c r="N83" i="25"/>
  <c r="N5" i="25" s="1"/>
  <c r="M83" i="25"/>
  <c r="M5" i="25" s="1"/>
  <c r="P82" i="25"/>
  <c r="P66" i="25" s="1"/>
  <c r="O82" i="25"/>
  <c r="N82" i="25"/>
  <c r="M82" i="25"/>
  <c r="L82" i="25"/>
  <c r="K82" i="25"/>
  <c r="J82" i="25"/>
  <c r="J66" i="25" s="1"/>
  <c r="J50" i="25" s="1"/>
  <c r="J34" i="25" s="1"/>
  <c r="I82" i="25"/>
  <c r="I66" i="25" s="1"/>
  <c r="I50" i="25" s="1"/>
  <c r="I34" i="25" s="1"/>
  <c r="H82" i="25"/>
  <c r="H66" i="25" s="1"/>
  <c r="H50" i="25" s="1"/>
  <c r="H34" i="25" s="1"/>
  <c r="G82" i="25"/>
  <c r="G66" i="25" s="1"/>
  <c r="G50" i="25" s="1"/>
  <c r="G34" i="25" s="1"/>
  <c r="F82" i="25"/>
  <c r="F66" i="25" s="1"/>
  <c r="F50" i="25" s="1"/>
  <c r="F34" i="25" s="1"/>
  <c r="E82" i="25"/>
  <c r="E66" i="25" s="1"/>
  <c r="E50" i="25" s="1"/>
  <c r="E34" i="25" s="1"/>
  <c r="D82" i="25"/>
  <c r="D66" i="25" s="1"/>
  <c r="D50" i="25" s="1"/>
  <c r="D34" i="25" s="1"/>
  <c r="C82" i="25"/>
  <c r="B82" i="25"/>
  <c r="P81" i="25"/>
  <c r="O81" i="25"/>
  <c r="N81" i="25"/>
  <c r="M81" i="25"/>
  <c r="M65" i="25" s="1"/>
  <c r="L81" i="25"/>
  <c r="L65" i="25" s="1"/>
  <c r="L49" i="25" s="1"/>
  <c r="K81" i="25"/>
  <c r="J81" i="25"/>
  <c r="J65" i="25" s="1"/>
  <c r="I81" i="25"/>
  <c r="I65" i="25" s="1"/>
  <c r="H81" i="25"/>
  <c r="H65" i="25" s="1"/>
  <c r="G81" i="25"/>
  <c r="G65" i="25" s="1"/>
  <c r="G49" i="25" s="1"/>
  <c r="G33" i="25" s="1"/>
  <c r="F81" i="25"/>
  <c r="F65" i="25" s="1"/>
  <c r="F49" i="25" s="1"/>
  <c r="E81" i="25"/>
  <c r="E65" i="25" s="1"/>
  <c r="E49" i="25" s="1"/>
  <c r="D81" i="25"/>
  <c r="C81" i="25"/>
  <c r="B81" i="25"/>
  <c r="P80" i="25"/>
  <c r="O80" i="25"/>
  <c r="N80" i="25"/>
  <c r="M80" i="25"/>
  <c r="L80" i="25"/>
  <c r="K80" i="25"/>
  <c r="J80" i="25"/>
  <c r="I80" i="25"/>
  <c r="H80" i="25"/>
  <c r="H64" i="25" s="1"/>
  <c r="H48" i="25" s="1"/>
  <c r="G80" i="25"/>
  <c r="G64" i="25" s="1"/>
  <c r="G48" i="25" s="1"/>
  <c r="F80" i="25"/>
  <c r="F64" i="25" s="1"/>
  <c r="F48" i="25" s="1"/>
  <c r="E80" i="25"/>
  <c r="E64" i="25" s="1"/>
  <c r="E48" i="25" s="1"/>
  <c r="D80" i="25"/>
  <c r="C80" i="25"/>
  <c r="B80" i="25"/>
  <c r="P79" i="25"/>
  <c r="O79" i="25"/>
  <c r="N79" i="25"/>
  <c r="M79" i="25"/>
  <c r="L79" i="25"/>
  <c r="K79" i="25"/>
  <c r="J79" i="25"/>
  <c r="I79" i="25"/>
  <c r="H79" i="25"/>
  <c r="G79" i="25"/>
  <c r="F79" i="25"/>
  <c r="F63" i="25" s="1"/>
  <c r="F47" i="25" s="1"/>
  <c r="F31" i="25" s="1"/>
  <c r="E79" i="25"/>
  <c r="D79" i="25"/>
  <c r="D63" i="25" s="1"/>
  <c r="D47" i="25" s="1"/>
  <c r="C79" i="25"/>
  <c r="B79" i="25"/>
  <c r="P78" i="25"/>
  <c r="P62" i="25" s="1"/>
  <c r="O78" i="25"/>
  <c r="O62" i="25" s="1"/>
  <c r="N78" i="25"/>
  <c r="M78" i="25"/>
  <c r="L78" i="25"/>
  <c r="K78" i="25"/>
  <c r="J78" i="25"/>
  <c r="I78" i="25"/>
  <c r="H78" i="25"/>
  <c r="G78" i="25"/>
  <c r="F78" i="25"/>
  <c r="E78" i="25"/>
  <c r="D78" i="25"/>
  <c r="C78" i="25"/>
  <c r="B78" i="25"/>
  <c r="P77" i="25"/>
  <c r="O77" i="25"/>
  <c r="O61" i="25" s="1"/>
  <c r="O45" i="25" s="1"/>
  <c r="N77" i="25"/>
  <c r="N61" i="25" s="1"/>
  <c r="M77" i="25"/>
  <c r="M61" i="25" s="1"/>
  <c r="L77" i="25"/>
  <c r="K77" i="25"/>
  <c r="J77" i="25"/>
  <c r="I77" i="25"/>
  <c r="H77" i="25"/>
  <c r="G77" i="25"/>
  <c r="F77" i="25"/>
  <c r="E77" i="25"/>
  <c r="D77" i="25"/>
  <c r="C77" i="25"/>
  <c r="B77" i="25"/>
  <c r="P76" i="25"/>
  <c r="P60" i="25" s="1"/>
  <c r="O76" i="25"/>
  <c r="O60" i="25" s="1"/>
  <c r="N76" i="25"/>
  <c r="M76" i="25"/>
  <c r="M60" i="25" s="1"/>
  <c r="M44" i="25" s="1"/>
  <c r="L76" i="25"/>
  <c r="K76" i="25"/>
  <c r="J76" i="25"/>
  <c r="I76" i="25"/>
  <c r="H76" i="25"/>
  <c r="G76" i="25"/>
  <c r="F76" i="25"/>
  <c r="E76" i="25"/>
  <c r="D76" i="25"/>
  <c r="C76" i="25"/>
  <c r="B76" i="25"/>
  <c r="P75" i="25"/>
  <c r="P59" i="25" s="1"/>
  <c r="O75" i="25"/>
  <c r="O59" i="25" s="1"/>
  <c r="O43" i="25" s="1"/>
  <c r="N75" i="25"/>
  <c r="N59" i="25" s="1"/>
  <c r="N43" i="25" s="1"/>
  <c r="M75" i="25"/>
  <c r="M59" i="25" s="1"/>
  <c r="M43" i="25" s="1"/>
  <c r="L75" i="25"/>
  <c r="K75" i="25"/>
  <c r="J75" i="25"/>
  <c r="I75" i="25"/>
  <c r="H75" i="25"/>
  <c r="G75" i="25"/>
  <c r="G59" i="25" s="1"/>
  <c r="F75" i="25"/>
  <c r="E75" i="25"/>
  <c r="E59" i="25" s="1"/>
  <c r="D75" i="25"/>
  <c r="C75" i="25"/>
  <c r="B75" i="25"/>
  <c r="P74" i="25"/>
  <c r="O74" i="25"/>
  <c r="N74" i="25"/>
  <c r="M74" i="25"/>
  <c r="L74" i="25"/>
  <c r="K74" i="25"/>
  <c r="J74" i="25"/>
  <c r="I74" i="25"/>
  <c r="I58" i="25" s="1"/>
  <c r="H74" i="25"/>
  <c r="H58" i="25" s="1"/>
  <c r="G74" i="25"/>
  <c r="G58" i="25" s="1"/>
  <c r="F74" i="25"/>
  <c r="E74" i="25"/>
  <c r="D74" i="25"/>
  <c r="D58" i="25" s="1"/>
  <c r="D42" i="25" s="1"/>
  <c r="C74" i="25"/>
  <c r="C83" i="25" s="1"/>
  <c r="C5" i="25" s="1"/>
  <c r="B74" i="25"/>
  <c r="B83" i="25" s="1"/>
  <c r="B5" i="25" s="1"/>
  <c r="Q73" i="25"/>
  <c r="P73" i="25"/>
  <c r="O73" i="25"/>
  <c r="N73" i="25"/>
  <c r="M73" i="25"/>
  <c r="L73" i="25"/>
  <c r="K73" i="25"/>
  <c r="J73" i="25"/>
  <c r="J57" i="25" s="1"/>
  <c r="J41" i="25" s="1"/>
  <c r="I73" i="25"/>
  <c r="I57" i="25" s="1"/>
  <c r="I41" i="25" s="1"/>
  <c r="H73" i="25"/>
  <c r="H57" i="25" s="1"/>
  <c r="H41" i="25" s="1"/>
  <c r="H25" i="25" s="1"/>
  <c r="G73" i="25"/>
  <c r="G57" i="25" s="1"/>
  <c r="G41" i="25" s="1"/>
  <c r="G25" i="25" s="1"/>
  <c r="F73" i="25"/>
  <c r="F57" i="25" s="1"/>
  <c r="F41" i="25" s="1"/>
  <c r="F25" i="25" s="1"/>
  <c r="E73" i="25"/>
  <c r="D73" i="25"/>
  <c r="D57" i="25" s="1"/>
  <c r="D41" i="25" s="1"/>
  <c r="C73" i="25"/>
  <c r="B73" i="25"/>
  <c r="Q72" i="25"/>
  <c r="P72" i="25"/>
  <c r="O72" i="25"/>
  <c r="N72" i="25"/>
  <c r="M72" i="25"/>
  <c r="L72" i="25"/>
  <c r="L83" i="25" s="1"/>
  <c r="L5" i="25" s="1"/>
  <c r="K72" i="25"/>
  <c r="J72" i="25"/>
  <c r="I72" i="25"/>
  <c r="H72" i="25"/>
  <c r="G72" i="25"/>
  <c r="F72" i="25"/>
  <c r="F56" i="25" s="1"/>
  <c r="E72" i="25"/>
  <c r="E56" i="25" s="1"/>
  <c r="E40" i="25" s="1"/>
  <c r="D72" i="25"/>
  <c r="D56" i="25" s="1"/>
  <c r="D40" i="25" s="1"/>
  <c r="C72" i="25"/>
  <c r="C56" i="25" s="1"/>
  <c r="C40" i="25" s="1"/>
  <c r="C24" i="25" s="1"/>
  <c r="B72" i="25"/>
  <c r="Q71" i="25"/>
  <c r="P71" i="25"/>
  <c r="O71" i="25"/>
  <c r="N71" i="25"/>
  <c r="M71" i="25"/>
  <c r="L71" i="25"/>
  <c r="K71" i="25"/>
  <c r="J71" i="25"/>
  <c r="I71" i="25"/>
  <c r="H71" i="25"/>
  <c r="G71" i="25"/>
  <c r="F71" i="25"/>
  <c r="E71" i="25"/>
  <c r="D71" i="25"/>
  <c r="D55" i="25" s="1"/>
  <c r="C71" i="25"/>
  <c r="B71" i="25"/>
  <c r="L66" i="25"/>
  <c r="C66" i="25"/>
  <c r="C50" i="25" s="1"/>
  <c r="C34" i="25" s="1"/>
  <c r="B66" i="25"/>
  <c r="B50" i="25" s="1"/>
  <c r="O65" i="25"/>
  <c r="C65" i="25"/>
  <c r="C49" i="25" s="1"/>
  <c r="B65" i="25"/>
  <c r="B49" i="25" s="1"/>
  <c r="J64" i="25"/>
  <c r="J48" i="25" s="1"/>
  <c r="I64" i="25"/>
  <c r="I48" i="25" s="1"/>
  <c r="D64" i="25"/>
  <c r="D48" i="25" s="1"/>
  <c r="B64" i="25"/>
  <c r="J63" i="25"/>
  <c r="I63" i="25"/>
  <c r="H63" i="25"/>
  <c r="H47" i="25" s="1"/>
  <c r="G63" i="25"/>
  <c r="G47" i="25" s="1"/>
  <c r="E63" i="25"/>
  <c r="E47" i="25" s="1"/>
  <c r="C63" i="25"/>
  <c r="K62" i="25"/>
  <c r="J62" i="25"/>
  <c r="J46" i="25" s="1"/>
  <c r="I62" i="25"/>
  <c r="I46" i="25" s="1"/>
  <c r="H62" i="25"/>
  <c r="H46" i="25" s="1"/>
  <c r="G62" i="25"/>
  <c r="G46" i="25" s="1"/>
  <c r="F62" i="25"/>
  <c r="F46" i="25" s="1"/>
  <c r="E62" i="25"/>
  <c r="E46" i="25" s="1"/>
  <c r="D62" i="25"/>
  <c r="D46" i="25" s="1"/>
  <c r="C62" i="25"/>
  <c r="C46" i="25" s="1"/>
  <c r="C30" i="25" s="1"/>
  <c r="B62" i="25"/>
  <c r="L61" i="25"/>
  <c r="K61" i="25"/>
  <c r="J61" i="25"/>
  <c r="I61" i="25"/>
  <c r="G61" i="25"/>
  <c r="G45" i="25" s="1"/>
  <c r="F61" i="25"/>
  <c r="E61" i="25"/>
  <c r="D61" i="25"/>
  <c r="C61" i="25"/>
  <c r="N60" i="25"/>
  <c r="N44" i="25" s="1"/>
  <c r="L60" i="25"/>
  <c r="K60" i="25"/>
  <c r="J60" i="25"/>
  <c r="J44" i="25" s="1"/>
  <c r="J28" i="25" s="1"/>
  <c r="I60" i="25"/>
  <c r="H60" i="25"/>
  <c r="H44" i="25" s="1"/>
  <c r="G60" i="25"/>
  <c r="F60" i="25"/>
  <c r="E60" i="25"/>
  <c r="L59" i="25"/>
  <c r="L43" i="25" s="1"/>
  <c r="K59" i="25"/>
  <c r="J59" i="25"/>
  <c r="H59" i="25"/>
  <c r="H43" i="25" s="1"/>
  <c r="F59" i="25"/>
  <c r="D59" i="25"/>
  <c r="P58" i="25"/>
  <c r="P42" i="25" s="1"/>
  <c r="N58" i="25"/>
  <c r="J58" i="25"/>
  <c r="E58" i="25"/>
  <c r="E42" i="25" s="1"/>
  <c r="C58" i="25"/>
  <c r="C42" i="25" s="1"/>
  <c r="Q57" i="25"/>
  <c r="Q41" i="25" s="1"/>
  <c r="Q25" i="25" s="1"/>
  <c r="P57" i="25"/>
  <c r="P41" i="25" s="1"/>
  <c r="O57" i="25"/>
  <c r="O41" i="25" s="1"/>
  <c r="O25" i="25" s="1"/>
  <c r="E57" i="25"/>
  <c r="E41" i="25" s="1"/>
  <c r="C57" i="25"/>
  <c r="C41" i="25" s="1"/>
  <c r="Q56" i="25"/>
  <c r="P56" i="25"/>
  <c r="O56" i="25"/>
  <c r="O40" i="25" s="1"/>
  <c r="L56" i="25"/>
  <c r="L40" i="25" s="1"/>
  <c r="G56" i="25"/>
  <c r="G40" i="25" s="1"/>
  <c r="G24" i="25" s="1"/>
  <c r="B56" i="25"/>
  <c r="B40" i="25" s="1"/>
  <c r="B24" i="25" s="1"/>
  <c r="Q55" i="25"/>
  <c r="P55" i="25"/>
  <c r="O55" i="25"/>
  <c r="M55" i="25"/>
  <c r="L55" i="25"/>
  <c r="C55" i="25"/>
  <c r="B55" i="25"/>
  <c r="P50" i="25"/>
  <c r="B48" i="25"/>
  <c r="J47" i="25"/>
  <c r="I47" i="25"/>
  <c r="C47" i="25"/>
  <c r="P46" i="25"/>
  <c r="P30" i="25" s="1"/>
  <c r="O46" i="25"/>
  <c r="O30" i="25" s="1"/>
  <c r="K46" i="25"/>
  <c r="K30" i="25" s="1"/>
  <c r="N45" i="25"/>
  <c r="N29" i="25" s="1"/>
  <c r="M45" i="25"/>
  <c r="L45" i="25"/>
  <c r="L29" i="25" s="1"/>
  <c r="K45" i="25"/>
  <c r="J45" i="25"/>
  <c r="J29" i="25" s="1"/>
  <c r="I45" i="25"/>
  <c r="P44" i="25"/>
  <c r="O44" i="25"/>
  <c r="L44" i="25"/>
  <c r="L28" i="25" s="1"/>
  <c r="K44" i="25"/>
  <c r="K28" i="25" s="1"/>
  <c r="P43" i="25"/>
  <c r="P27" i="25" s="1"/>
  <c r="J43" i="25"/>
  <c r="G43" i="25"/>
  <c r="L42" i="25"/>
  <c r="K42" i="25"/>
  <c r="J42" i="25"/>
  <c r="I42" i="25"/>
  <c r="H42" i="25"/>
  <c r="G42" i="25"/>
  <c r="Q40" i="25"/>
  <c r="P40" i="25"/>
  <c r="F40" i="25"/>
  <c r="O39" i="25"/>
  <c r="M39" i="25"/>
  <c r="L39" i="25"/>
  <c r="N33" i="25"/>
  <c r="M33" i="25"/>
  <c r="J32" i="25"/>
  <c r="J31" i="25"/>
  <c r="H31" i="25"/>
  <c r="H27" i="25"/>
  <c r="L26" i="25"/>
  <c r="G26" i="25"/>
  <c r="C26" i="25"/>
  <c r="M11" i="25"/>
  <c r="L11" i="25"/>
  <c r="K11" i="25"/>
  <c r="J11" i="25"/>
  <c r="I11" i="25"/>
  <c r="Y7" i="25"/>
  <c r="G6" i="25"/>
  <c r="AS2" i="25"/>
  <c r="AR2" i="25"/>
  <c r="AQ2" i="25"/>
  <c r="AP2" i="25"/>
  <c r="AO2" i="25"/>
  <c r="AN2" i="25"/>
  <c r="AM2" i="25"/>
  <c r="AL2" i="25"/>
  <c r="AK2" i="25"/>
  <c r="AJ2" i="25"/>
  <c r="AI2" i="25"/>
  <c r="AH2" i="25"/>
  <c r="AG2" i="25"/>
  <c r="AF2" i="25"/>
  <c r="AE2" i="25"/>
  <c r="AD2" i="25"/>
  <c r="AC2" i="25"/>
  <c r="S186" i="24"/>
  <c r="R186" i="24"/>
  <c r="Q186" i="24"/>
  <c r="P186" i="24"/>
  <c r="F186" i="24" s="1"/>
  <c r="G186" i="24" s="1"/>
  <c r="M186" i="24"/>
  <c r="I186" i="24"/>
  <c r="J186" i="24" s="1"/>
  <c r="H186" i="24"/>
  <c r="D186" i="24"/>
  <c r="R185" i="24"/>
  <c r="S185" i="24" s="1"/>
  <c r="Q185" i="24"/>
  <c r="P185" i="24"/>
  <c r="M185" i="24"/>
  <c r="I185" i="24"/>
  <c r="J185" i="24" s="1"/>
  <c r="H185" i="24"/>
  <c r="G185" i="24"/>
  <c r="F185" i="24"/>
  <c r="D185" i="24"/>
  <c r="V184" i="24"/>
  <c r="W184" i="24" s="1"/>
  <c r="Z184" i="24" s="1"/>
  <c r="U184" i="24"/>
  <c r="U185" i="24" s="1"/>
  <c r="T184" i="24"/>
  <c r="T185" i="24" s="1"/>
  <c r="T186" i="24" s="1"/>
  <c r="S184" i="24"/>
  <c r="R184" i="24"/>
  <c r="Q184" i="24"/>
  <c r="P184" i="24"/>
  <c r="M184" i="24"/>
  <c r="H184" i="24"/>
  <c r="G184" i="24"/>
  <c r="F184" i="24"/>
  <c r="I184" i="24" s="1"/>
  <c r="J184" i="24" s="1"/>
  <c r="D184" i="24"/>
  <c r="T183" i="24"/>
  <c r="P183" i="24"/>
  <c r="M183" i="24"/>
  <c r="J183" i="24"/>
  <c r="I183" i="24"/>
  <c r="H183" i="24"/>
  <c r="G183" i="24"/>
  <c r="D183" i="24"/>
  <c r="T182" i="24"/>
  <c r="P182" i="24"/>
  <c r="M182" i="24"/>
  <c r="J182" i="24"/>
  <c r="I182" i="24"/>
  <c r="H182" i="24"/>
  <c r="G182" i="24"/>
  <c r="D182" i="24"/>
  <c r="P181" i="24"/>
  <c r="M181" i="24"/>
  <c r="I181" i="24"/>
  <c r="J181" i="24" s="1"/>
  <c r="H181" i="24"/>
  <c r="G181" i="24"/>
  <c r="D181" i="24"/>
  <c r="T180" i="24"/>
  <c r="T181" i="24" s="1"/>
  <c r="P180" i="24"/>
  <c r="M180" i="24"/>
  <c r="I180" i="24"/>
  <c r="J180" i="24" s="1"/>
  <c r="H180" i="24"/>
  <c r="G180" i="24"/>
  <c r="D180" i="24"/>
  <c r="P179" i="24"/>
  <c r="F179" i="24" s="1"/>
  <c r="G179" i="24" s="1"/>
  <c r="M179" i="24"/>
  <c r="I179" i="24"/>
  <c r="J179" i="24" s="1"/>
  <c r="H179" i="24"/>
  <c r="D179" i="24"/>
  <c r="P178" i="24"/>
  <c r="F178" i="24" s="1"/>
  <c r="M178" i="24"/>
  <c r="H178" i="24"/>
  <c r="D178" i="24"/>
  <c r="Q177" i="24"/>
  <c r="Q178" i="24" s="1"/>
  <c r="Q179" i="24" s="1"/>
  <c r="Q180" i="24" s="1"/>
  <c r="Q181" i="24" s="1"/>
  <c r="Q182" i="24" s="1"/>
  <c r="Q183" i="24" s="1"/>
  <c r="P177" i="24"/>
  <c r="F177" i="24" s="1"/>
  <c r="M177" i="24"/>
  <c r="H177" i="24"/>
  <c r="D177" i="24"/>
  <c r="P176" i="24"/>
  <c r="M176" i="24"/>
  <c r="H176" i="24"/>
  <c r="G176" i="24"/>
  <c r="F176" i="24"/>
  <c r="I176" i="24" s="1"/>
  <c r="J176" i="24" s="1"/>
  <c r="D176" i="24"/>
  <c r="P175" i="24"/>
  <c r="F175" i="24" s="1"/>
  <c r="M175" i="24"/>
  <c r="H175" i="24"/>
  <c r="D175" i="24"/>
  <c r="T174" i="24"/>
  <c r="T175" i="24" s="1"/>
  <c r="T176" i="24" s="1"/>
  <c r="T177" i="24" s="1"/>
  <c r="T178" i="24" s="1"/>
  <c r="T179" i="24" s="1"/>
  <c r="R174" i="24"/>
  <c r="Q174" i="24"/>
  <c r="Q175" i="24" s="1"/>
  <c r="Q176" i="24" s="1"/>
  <c r="P174" i="24"/>
  <c r="F174" i="24" s="1"/>
  <c r="M174" i="24"/>
  <c r="H174" i="24"/>
  <c r="D174" i="24"/>
  <c r="T173" i="24"/>
  <c r="S173" i="24"/>
  <c r="R173" i="24"/>
  <c r="Q173" i="24"/>
  <c r="P173" i="24"/>
  <c r="F173" i="24" s="1"/>
  <c r="G173" i="24" s="1"/>
  <c r="M173" i="24"/>
  <c r="I173" i="24"/>
  <c r="J173" i="24" s="1"/>
  <c r="H173" i="24"/>
  <c r="D173" i="24"/>
  <c r="T172" i="24"/>
  <c r="S172" i="24"/>
  <c r="R172" i="24"/>
  <c r="Q172" i="24"/>
  <c r="P172" i="24"/>
  <c r="M172" i="24"/>
  <c r="H172" i="24"/>
  <c r="F172" i="24"/>
  <c r="D172" i="24"/>
  <c r="P171" i="24"/>
  <c r="F171" i="24" s="1"/>
  <c r="M171" i="24"/>
  <c r="H171" i="24"/>
  <c r="D171" i="24"/>
  <c r="P170" i="24"/>
  <c r="M170" i="24"/>
  <c r="H170" i="24"/>
  <c r="G170" i="24"/>
  <c r="F170" i="24"/>
  <c r="I170" i="24" s="1"/>
  <c r="J170" i="24" s="1"/>
  <c r="D170" i="24"/>
  <c r="P169" i="24"/>
  <c r="F169" i="24" s="1"/>
  <c r="M169" i="24"/>
  <c r="H169" i="24"/>
  <c r="D169" i="24"/>
  <c r="P168" i="24"/>
  <c r="F168" i="24" s="1"/>
  <c r="G168" i="24" s="1"/>
  <c r="M168" i="24"/>
  <c r="I168" i="24"/>
  <c r="H168" i="24"/>
  <c r="J168" i="24" s="1"/>
  <c r="D168" i="24"/>
  <c r="P167" i="24"/>
  <c r="F167" i="24" s="1"/>
  <c r="M167" i="24"/>
  <c r="H167" i="24"/>
  <c r="D167" i="24"/>
  <c r="P166" i="24"/>
  <c r="F166" i="24" s="1"/>
  <c r="M166" i="24"/>
  <c r="J166" i="24"/>
  <c r="I166" i="24"/>
  <c r="H166" i="24"/>
  <c r="G166" i="24"/>
  <c r="D166" i="24"/>
  <c r="T165" i="24"/>
  <c r="T166" i="24" s="1"/>
  <c r="T167" i="24" s="1"/>
  <c r="T168" i="24" s="1"/>
  <c r="T169" i="24" s="1"/>
  <c r="T170" i="24" s="1"/>
  <c r="T171" i="24" s="1"/>
  <c r="P165" i="24"/>
  <c r="F165" i="24" s="1"/>
  <c r="M165" i="24"/>
  <c r="H165" i="24"/>
  <c r="D165" i="24"/>
  <c r="P164" i="24"/>
  <c r="M164" i="24"/>
  <c r="H164" i="24"/>
  <c r="G164" i="24"/>
  <c r="F164" i="24"/>
  <c r="I164" i="24" s="1"/>
  <c r="J164" i="24" s="1"/>
  <c r="D164" i="24"/>
  <c r="P163" i="24"/>
  <c r="M163" i="24"/>
  <c r="I163" i="24"/>
  <c r="H163" i="24"/>
  <c r="G163" i="24"/>
  <c r="F163" i="24"/>
  <c r="D163" i="24"/>
  <c r="T162" i="24"/>
  <c r="T163" i="24" s="1"/>
  <c r="T164" i="24" s="1"/>
  <c r="P162" i="24"/>
  <c r="F162" i="24" s="1"/>
  <c r="M162" i="24"/>
  <c r="H162" i="24"/>
  <c r="D162" i="24"/>
  <c r="T161" i="24"/>
  <c r="R161" i="24"/>
  <c r="Q161" i="24"/>
  <c r="Q162" i="24" s="1"/>
  <c r="Q163" i="24" s="1"/>
  <c r="Q164" i="24" s="1"/>
  <c r="Q165" i="24" s="1"/>
  <c r="Q166" i="24" s="1"/>
  <c r="Q167" i="24" s="1"/>
  <c r="Q168" i="24" s="1"/>
  <c r="Q169" i="24" s="1"/>
  <c r="Q170" i="24" s="1"/>
  <c r="Q171" i="24" s="1"/>
  <c r="P161" i="24"/>
  <c r="F161" i="24" s="1"/>
  <c r="M161" i="24"/>
  <c r="H161" i="24"/>
  <c r="D161" i="24"/>
  <c r="T160" i="24"/>
  <c r="S160" i="24"/>
  <c r="R160" i="24"/>
  <c r="Q160" i="24"/>
  <c r="P160" i="24"/>
  <c r="F160" i="24" s="1"/>
  <c r="M160" i="24"/>
  <c r="H160" i="24"/>
  <c r="D160" i="24"/>
  <c r="P159" i="24"/>
  <c r="M159" i="24"/>
  <c r="G159" i="24"/>
  <c r="F159" i="24"/>
  <c r="D159" i="24"/>
  <c r="B159" i="24"/>
  <c r="H159" i="24" s="1"/>
  <c r="J159" i="24" s="1"/>
  <c r="T158" i="24"/>
  <c r="T159" i="24" s="1"/>
  <c r="P158" i="24"/>
  <c r="F158" i="24" s="1"/>
  <c r="M158" i="24"/>
  <c r="B158" i="24" s="1"/>
  <c r="D158" i="24" s="1"/>
  <c r="H158" i="24"/>
  <c r="P157" i="24"/>
  <c r="M157" i="24"/>
  <c r="G157" i="24"/>
  <c r="F157" i="24"/>
  <c r="D157" i="24"/>
  <c r="B157" i="24"/>
  <c r="H157" i="24" s="1"/>
  <c r="J157" i="24" s="1"/>
  <c r="T156" i="24"/>
  <c r="T157" i="24" s="1"/>
  <c r="P156" i="24"/>
  <c r="M156" i="24"/>
  <c r="I156" i="24"/>
  <c r="G156" i="24"/>
  <c r="F156" i="24"/>
  <c r="B156" i="24"/>
  <c r="D156" i="24" s="1"/>
  <c r="P155" i="24"/>
  <c r="F155" i="24" s="1"/>
  <c r="G155" i="24" s="1"/>
  <c r="M155" i="24"/>
  <c r="B155" i="24"/>
  <c r="P154" i="24"/>
  <c r="F154" i="24" s="1"/>
  <c r="M154" i="24"/>
  <c r="B154" i="24" s="1"/>
  <c r="H154" i="24" s="1"/>
  <c r="D154" i="24"/>
  <c r="P153" i="24"/>
  <c r="M153" i="24"/>
  <c r="B153" i="24" s="1"/>
  <c r="I153" i="24"/>
  <c r="F153" i="24"/>
  <c r="G153" i="24" s="1"/>
  <c r="P152" i="24"/>
  <c r="M152" i="24"/>
  <c r="F152" i="24"/>
  <c r="I152" i="24" s="1"/>
  <c r="J152" i="24" s="1"/>
  <c r="D152" i="24"/>
  <c r="B152" i="24"/>
  <c r="H152" i="24" s="1"/>
  <c r="P151" i="24"/>
  <c r="F151" i="24" s="1"/>
  <c r="G151" i="24" s="1"/>
  <c r="M151" i="24"/>
  <c r="B151" i="24" s="1"/>
  <c r="D151" i="24" s="1"/>
  <c r="I151" i="24"/>
  <c r="J151" i="24" s="1"/>
  <c r="H151" i="24"/>
  <c r="P150" i="24"/>
  <c r="M150" i="24"/>
  <c r="I150" i="24"/>
  <c r="J150" i="24" s="1"/>
  <c r="F150" i="24"/>
  <c r="G150" i="24" s="1"/>
  <c r="B150" i="24"/>
  <c r="H150" i="24" s="1"/>
  <c r="P149" i="24"/>
  <c r="F149" i="24" s="1"/>
  <c r="M149" i="24"/>
  <c r="B149" i="24" s="1"/>
  <c r="T148" i="24"/>
  <c r="T149" i="24" s="1"/>
  <c r="T150" i="24" s="1"/>
  <c r="T151" i="24" s="1"/>
  <c r="T152" i="24" s="1"/>
  <c r="T153" i="24" s="1"/>
  <c r="T154" i="24" s="1"/>
  <c r="T155" i="24" s="1"/>
  <c r="R148" i="24"/>
  <c r="R149" i="24" s="1"/>
  <c r="Q148" i="24"/>
  <c r="Q149" i="24" s="1"/>
  <c r="Q150" i="24" s="1"/>
  <c r="Q151" i="24" s="1"/>
  <c r="Q152" i="24" s="1"/>
  <c r="P148" i="24"/>
  <c r="M148" i="24"/>
  <c r="F148" i="24"/>
  <c r="B148" i="24"/>
  <c r="H148" i="24" s="1"/>
  <c r="P147" i="24"/>
  <c r="M147" i="24"/>
  <c r="B147" i="24" s="1"/>
  <c r="I147" i="24"/>
  <c r="G147" i="24"/>
  <c r="F147" i="24"/>
  <c r="P146" i="24"/>
  <c r="M146" i="24"/>
  <c r="B146" i="24" s="1"/>
  <c r="D146" i="24" s="1"/>
  <c r="F146" i="24"/>
  <c r="I146" i="24" s="1"/>
  <c r="P145" i="24"/>
  <c r="M145" i="24"/>
  <c r="I145" i="24"/>
  <c r="H145" i="24"/>
  <c r="G145" i="24"/>
  <c r="F145" i="24"/>
  <c r="D145" i="24"/>
  <c r="B145" i="24"/>
  <c r="P144" i="24"/>
  <c r="F144" i="24" s="1"/>
  <c r="G144" i="24" s="1"/>
  <c r="M144" i="24"/>
  <c r="I144" i="24"/>
  <c r="B144" i="24"/>
  <c r="R143" i="24"/>
  <c r="P143" i="24"/>
  <c r="F143" i="24" s="1"/>
  <c r="G143" i="24" s="1"/>
  <c r="M143" i="24"/>
  <c r="B143" i="24" s="1"/>
  <c r="D143" i="24" s="1"/>
  <c r="I143" i="24"/>
  <c r="J143" i="24" s="1"/>
  <c r="H143" i="24"/>
  <c r="P142" i="24"/>
  <c r="M142" i="24"/>
  <c r="H142" i="24"/>
  <c r="G142" i="24"/>
  <c r="F142" i="24"/>
  <c r="I142" i="24" s="1"/>
  <c r="B142" i="24"/>
  <c r="D142" i="24" s="1"/>
  <c r="R141" i="24"/>
  <c r="R142" i="24" s="1"/>
  <c r="P141" i="24"/>
  <c r="M141" i="24"/>
  <c r="H141" i="24"/>
  <c r="F141" i="24"/>
  <c r="I141" i="24" s="1"/>
  <c r="B141" i="24"/>
  <c r="D141" i="24" s="1"/>
  <c r="P140" i="24"/>
  <c r="F140" i="24" s="1"/>
  <c r="M140" i="24"/>
  <c r="B140" i="24" s="1"/>
  <c r="D140" i="24" s="1"/>
  <c r="I140" i="24"/>
  <c r="H140" i="24"/>
  <c r="G140" i="24"/>
  <c r="T139" i="24"/>
  <c r="T140" i="24" s="1"/>
  <c r="T141" i="24" s="1"/>
  <c r="T142" i="24" s="1"/>
  <c r="T143" i="24" s="1"/>
  <c r="T144" i="24" s="1"/>
  <c r="T145" i="24" s="1"/>
  <c r="T146" i="24" s="1"/>
  <c r="T147" i="24" s="1"/>
  <c r="R139" i="24"/>
  <c r="R140" i="24" s="1"/>
  <c r="P139" i="24"/>
  <c r="M139" i="24"/>
  <c r="I139" i="24"/>
  <c r="J139" i="24" s="1"/>
  <c r="F139" i="24"/>
  <c r="G139" i="24" s="1"/>
  <c r="B139" i="24"/>
  <c r="H139" i="24" s="1"/>
  <c r="P138" i="24"/>
  <c r="M138" i="24"/>
  <c r="I138" i="24"/>
  <c r="F138" i="24"/>
  <c r="G138" i="24" s="1"/>
  <c r="B138" i="24"/>
  <c r="S137" i="24"/>
  <c r="Q137" i="24"/>
  <c r="P137" i="24"/>
  <c r="F137" i="24" s="1"/>
  <c r="M137" i="24"/>
  <c r="B137" i="24" s="1"/>
  <c r="H137" i="24" s="1"/>
  <c r="D137" i="24"/>
  <c r="T136" i="24"/>
  <c r="T137" i="24" s="1"/>
  <c r="T138" i="24" s="1"/>
  <c r="R136" i="24"/>
  <c r="R137" i="24" s="1"/>
  <c r="R138" i="24" s="1"/>
  <c r="Q136" i="24"/>
  <c r="P136" i="24"/>
  <c r="F136" i="24" s="1"/>
  <c r="M136" i="24"/>
  <c r="B136" i="24" s="1"/>
  <c r="H136" i="24" s="1"/>
  <c r="D136" i="24"/>
  <c r="T135" i="24"/>
  <c r="R135" i="24"/>
  <c r="P135" i="24"/>
  <c r="F135" i="24" s="1"/>
  <c r="U135" i="24" s="1"/>
  <c r="V135" i="24" s="1"/>
  <c r="M135" i="24"/>
  <c r="B135" i="24" s="1"/>
  <c r="D135" i="24" s="1"/>
  <c r="H135" i="24"/>
  <c r="G135" i="24"/>
  <c r="T134" i="24"/>
  <c r="R134" i="24"/>
  <c r="P134" i="24"/>
  <c r="M134" i="24"/>
  <c r="G134" i="24"/>
  <c r="F134" i="24"/>
  <c r="B134" i="24"/>
  <c r="V133" i="24"/>
  <c r="W133" i="24" s="1"/>
  <c r="U133" i="24"/>
  <c r="T133" i="24"/>
  <c r="R133" i="24"/>
  <c r="S133" i="24" s="1"/>
  <c r="Q133" i="24"/>
  <c r="P133" i="24"/>
  <c r="F133" i="24" s="1"/>
  <c r="G133" i="24" s="1"/>
  <c r="M133" i="24"/>
  <c r="B133" i="24" s="1"/>
  <c r="I133" i="24"/>
  <c r="T132" i="24"/>
  <c r="R132" i="24"/>
  <c r="P132" i="24"/>
  <c r="M132" i="24"/>
  <c r="G132" i="24"/>
  <c r="F132" i="24"/>
  <c r="U132" i="24" s="1"/>
  <c r="V132" i="24" s="1"/>
  <c r="B132" i="24"/>
  <c r="R131" i="24"/>
  <c r="P131" i="24"/>
  <c r="F131" i="24" s="1"/>
  <c r="M131" i="24"/>
  <c r="B131" i="24" s="1"/>
  <c r="U130" i="24"/>
  <c r="T130" i="24"/>
  <c r="T131" i="24" s="1"/>
  <c r="R130" i="24"/>
  <c r="S130" i="24" s="1"/>
  <c r="P130" i="24"/>
  <c r="M130" i="24"/>
  <c r="H130" i="24"/>
  <c r="G130" i="24"/>
  <c r="F130" i="24"/>
  <c r="I130" i="24" s="1"/>
  <c r="J130" i="24" s="1"/>
  <c r="B130" i="24"/>
  <c r="Q130" i="24" s="1"/>
  <c r="R129" i="24"/>
  <c r="P129" i="24"/>
  <c r="F129" i="24" s="1"/>
  <c r="G129" i="24" s="1"/>
  <c r="M129" i="24"/>
  <c r="B129" i="24" s="1"/>
  <c r="I129" i="24"/>
  <c r="T128" i="24"/>
  <c r="T129" i="24" s="1"/>
  <c r="R128" i="24"/>
  <c r="P128" i="24"/>
  <c r="F128" i="24" s="1"/>
  <c r="G128" i="24" s="1"/>
  <c r="M128" i="24"/>
  <c r="I128" i="24"/>
  <c r="B128" i="24"/>
  <c r="P127" i="24"/>
  <c r="M127" i="24"/>
  <c r="B127" i="24" s="1"/>
  <c r="F127" i="24"/>
  <c r="G127" i="24" s="1"/>
  <c r="T126" i="24"/>
  <c r="T127" i="24" s="1"/>
  <c r="R126" i="24"/>
  <c r="R127" i="24" s="1"/>
  <c r="P126" i="24"/>
  <c r="M126" i="24"/>
  <c r="F126" i="24"/>
  <c r="B126" i="24"/>
  <c r="U125" i="24"/>
  <c r="T125" i="24"/>
  <c r="R125" i="24"/>
  <c r="P125" i="24"/>
  <c r="F125" i="24" s="1"/>
  <c r="M125" i="24"/>
  <c r="B125" i="24" s="1"/>
  <c r="H125" i="24" s="1"/>
  <c r="T124" i="24"/>
  <c r="R124" i="24"/>
  <c r="P124" i="24"/>
  <c r="M124" i="24"/>
  <c r="G124" i="24"/>
  <c r="F124" i="24"/>
  <c r="U124" i="24" s="1"/>
  <c r="V124" i="24" s="1"/>
  <c r="B124" i="24"/>
  <c r="T123" i="24"/>
  <c r="P123" i="24"/>
  <c r="M123" i="24"/>
  <c r="I123" i="24"/>
  <c r="G123" i="24"/>
  <c r="F123" i="24"/>
  <c r="B123" i="24"/>
  <c r="P122" i="24"/>
  <c r="F122" i="24" s="1"/>
  <c r="G122" i="24" s="1"/>
  <c r="M122" i="24"/>
  <c r="B122" i="24" s="1"/>
  <c r="I122" i="24"/>
  <c r="P121" i="24"/>
  <c r="M121" i="24"/>
  <c r="G121" i="24"/>
  <c r="F121" i="24"/>
  <c r="I121" i="24" s="1"/>
  <c r="B121" i="24"/>
  <c r="P120" i="24"/>
  <c r="F120" i="24" s="1"/>
  <c r="G120" i="24" s="1"/>
  <c r="M120" i="24"/>
  <c r="B120" i="24" s="1"/>
  <c r="I120" i="24"/>
  <c r="H120" i="24"/>
  <c r="D120" i="24"/>
  <c r="P119" i="24"/>
  <c r="M119" i="24"/>
  <c r="H119" i="24"/>
  <c r="F119" i="24"/>
  <c r="D119" i="24"/>
  <c r="P118" i="24"/>
  <c r="F118" i="24" s="1"/>
  <c r="I118" i="24" s="1"/>
  <c r="M118" i="24"/>
  <c r="B118" i="24" s="1"/>
  <c r="D118" i="24" s="1"/>
  <c r="G118" i="24"/>
  <c r="P117" i="24"/>
  <c r="F117" i="24" s="1"/>
  <c r="I117" i="24" s="1"/>
  <c r="J117" i="24" s="1"/>
  <c r="M117" i="24"/>
  <c r="H117" i="24"/>
  <c r="G117" i="24"/>
  <c r="D117" i="24"/>
  <c r="P116" i="24"/>
  <c r="M116" i="24"/>
  <c r="H116" i="24"/>
  <c r="F116" i="24"/>
  <c r="I116" i="24" s="1"/>
  <c r="J116" i="24" s="1"/>
  <c r="D116" i="24"/>
  <c r="P115" i="24"/>
  <c r="F115" i="24" s="1"/>
  <c r="G115" i="24" s="1"/>
  <c r="M115" i="24"/>
  <c r="J115" i="24"/>
  <c r="I115" i="24"/>
  <c r="H115" i="24"/>
  <c r="D115" i="24"/>
  <c r="P114" i="24"/>
  <c r="M114" i="24"/>
  <c r="H114" i="24"/>
  <c r="G114" i="24"/>
  <c r="F114" i="24"/>
  <c r="I114" i="24" s="1"/>
  <c r="J114" i="24" s="1"/>
  <c r="D114" i="24"/>
  <c r="T113" i="24"/>
  <c r="T114" i="24" s="1"/>
  <c r="T115" i="24" s="1"/>
  <c r="T116" i="24" s="1"/>
  <c r="T117" i="24" s="1"/>
  <c r="T118" i="24" s="1"/>
  <c r="T119" i="24" s="1"/>
  <c r="T120" i="24" s="1"/>
  <c r="T121" i="24" s="1"/>
  <c r="T122" i="24" s="1"/>
  <c r="P113" i="24"/>
  <c r="M113" i="24"/>
  <c r="J113" i="24"/>
  <c r="I113" i="24"/>
  <c r="H113" i="24"/>
  <c r="F113" i="24"/>
  <c r="G113" i="24" s="1"/>
  <c r="D113" i="24"/>
  <c r="T112" i="24"/>
  <c r="S112" i="24"/>
  <c r="R112" i="24"/>
  <c r="R113" i="24" s="1"/>
  <c r="Q112" i="24"/>
  <c r="Q113" i="24" s="1"/>
  <c r="Q114" i="24" s="1"/>
  <c r="Q115" i="24" s="1"/>
  <c r="Q116" i="24" s="1"/>
  <c r="Q117" i="24" s="1"/>
  <c r="Q118" i="24" s="1"/>
  <c r="Q119" i="24" s="1"/>
  <c r="Q120" i="24" s="1"/>
  <c r="Q121" i="24" s="1"/>
  <c r="Q122" i="24" s="1"/>
  <c r="Q123" i="24" s="1"/>
  <c r="P112" i="24"/>
  <c r="F112" i="24" s="1"/>
  <c r="M112" i="24"/>
  <c r="I112" i="24"/>
  <c r="J112" i="24" s="1"/>
  <c r="H112" i="24"/>
  <c r="D112" i="24"/>
  <c r="P111" i="24"/>
  <c r="M111" i="24"/>
  <c r="H111" i="24"/>
  <c r="F111" i="24"/>
  <c r="I111" i="24" s="1"/>
  <c r="J111" i="24" s="1"/>
  <c r="D111" i="24"/>
  <c r="B111" i="24"/>
  <c r="P110" i="24"/>
  <c r="M110" i="24"/>
  <c r="B110" i="24" s="1"/>
  <c r="D110" i="24" s="1"/>
  <c r="H110" i="24"/>
  <c r="G110" i="24"/>
  <c r="F110" i="24"/>
  <c r="I110" i="24" s="1"/>
  <c r="J110" i="24" s="1"/>
  <c r="P109" i="24"/>
  <c r="M109" i="24"/>
  <c r="F109" i="24"/>
  <c r="B109" i="24"/>
  <c r="H109" i="24" s="1"/>
  <c r="T108" i="24"/>
  <c r="T109" i="24" s="1"/>
  <c r="T110" i="24" s="1"/>
  <c r="T111" i="24" s="1"/>
  <c r="P108" i="24"/>
  <c r="M108" i="24"/>
  <c r="B108" i="24" s="1"/>
  <c r="D108" i="24" s="1"/>
  <c r="H108" i="24"/>
  <c r="F108" i="24"/>
  <c r="P107" i="24"/>
  <c r="M107" i="24"/>
  <c r="F107" i="24"/>
  <c r="D107" i="24"/>
  <c r="B107" i="24"/>
  <c r="H107" i="24" s="1"/>
  <c r="P106" i="24"/>
  <c r="M106" i="24"/>
  <c r="B106" i="24" s="1"/>
  <c r="D106" i="24" s="1"/>
  <c r="H106" i="24"/>
  <c r="G106" i="24"/>
  <c r="F106" i="24"/>
  <c r="I106" i="24" s="1"/>
  <c r="P105" i="24"/>
  <c r="F105" i="24" s="1"/>
  <c r="M105" i="24"/>
  <c r="B105" i="24" s="1"/>
  <c r="P104" i="24"/>
  <c r="M104" i="24"/>
  <c r="G104" i="24"/>
  <c r="F104" i="24"/>
  <c r="I104" i="24" s="1"/>
  <c r="B104" i="24"/>
  <c r="H104" i="24" s="1"/>
  <c r="P103" i="24"/>
  <c r="F103" i="24" s="1"/>
  <c r="I103" i="24" s="1"/>
  <c r="M103" i="24"/>
  <c r="D103" i="24"/>
  <c r="B103" i="24"/>
  <c r="H103" i="24" s="1"/>
  <c r="P102" i="24"/>
  <c r="M102" i="24"/>
  <c r="G102" i="24"/>
  <c r="F102" i="24"/>
  <c r="I102" i="24" s="1"/>
  <c r="B102" i="24"/>
  <c r="P101" i="24"/>
  <c r="F101" i="24" s="1"/>
  <c r="G101" i="24" s="1"/>
  <c r="M101" i="24"/>
  <c r="B101" i="24" s="1"/>
  <c r="D101" i="24" s="1"/>
  <c r="H101" i="24"/>
  <c r="U100" i="24"/>
  <c r="T100" i="24"/>
  <c r="T101" i="24" s="1"/>
  <c r="T102" i="24" s="1"/>
  <c r="T103" i="24" s="1"/>
  <c r="T104" i="24" s="1"/>
  <c r="T105" i="24" s="1"/>
  <c r="T106" i="24" s="1"/>
  <c r="T107" i="24" s="1"/>
  <c r="R100" i="24"/>
  <c r="P100" i="24"/>
  <c r="F100" i="24" s="1"/>
  <c r="M100" i="24"/>
  <c r="B100" i="24" s="1"/>
  <c r="P99" i="24"/>
  <c r="M99" i="24"/>
  <c r="B99" i="24" s="1"/>
  <c r="F99" i="24"/>
  <c r="T98" i="24"/>
  <c r="T99" i="24" s="1"/>
  <c r="P98" i="24"/>
  <c r="M98" i="24"/>
  <c r="F98" i="24"/>
  <c r="I98" i="24" s="1"/>
  <c r="J98" i="24" s="1"/>
  <c r="D98" i="24"/>
  <c r="B98" i="24"/>
  <c r="H98" i="24" s="1"/>
  <c r="P97" i="24"/>
  <c r="F97" i="24" s="1"/>
  <c r="M97" i="24"/>
  <c r="B97" i="24" s="1"/>
  <c r="D97" i="24" s="1"/>
  <c r="J97" i="24"/>
  <c r="I97" i="24"/>
  <c r="H97" i="24"/>
  <c r="G97" i="24"/>
  <c r="P96" i="24"/>
  <c r="M96" i="24"/>
  <c r="F96" i="24"/>
  <c r="I96" i="24" s="1"/>
  <c r="B96" i="24"/>
  <c r="P95" i="24"/>
  <c r="M95" i="24"/>
  <c r="F95" i="24"/>
  <c r="I95" i="24" s="1"/>
  <c r="D95" i="24"/>
  <c r="B95" i="24"/>
  <c r="H95" i="24" s="1"/>
  <c r="P94" i="24"/>
  <c r="F94" i="24" s="1"/>
  <c r="M94" i="24"/>
  <c r="B94" i="24" s="1"/>
  <c r="D94" i="24" s="1"/>
  <c r="I94" i="24"/>
  <c r="H94" i="24"/>
  <c r="G94" i="24"/>
  <c r="P93" i="24"/>
  <c r="M93" i="24"/>
  <c r="F93" i="24"/>
  <c r="I93" i="24" s="1"/>
  <c r="B93" i="24"/>
  <c r="H93" i="24" s="1"/>
  <c r="P92" i="24"/>
  <c r="M92" i="24"/>
  <c r="B92" i="24" s="1"/>
  <c r="I92" i="24"/>
  <c r="F92" i="24"/>
  <c r="G92" i="24" s="1"/>
  <c r="P91" i="24"/>
  <c r="F91" i="24" s="1"/>
  <c r="M91" i="24"/>
  <c r="B91" i="24" s="1"/>
  <c r="H91" i="24" s="1"/>
  <c r="D91" i="24"/>
  <c r="T90" i="24"/>
  <c r="T91" i="24" s="1"/>
  <c r="T92" i="24" s="1"/>
  <c r="T93" i="24" s="1"/>
  <c r="T94" i="24" s="1"/>
  <c r="T95" i="24" s="1"/>
  <c r="T96" i="24" s="1"/>
  <c r="T97" i="24" s="1"/>
  <c r="P90" i="24"/>
  <c r="M90" i="24"/>
  <c r="B90" i="24" s="1"/>
  <c r="I90" i="24"/>
  <c r="G90" i="24"/>
  <c r="F90" i="24"/>
  <c r="P89" i="24"/>
  <c r="M89" i="24"/>
  <c r="B89" i="24" s="1"/>
  <c r="D89" i="24" s="1"/>
  <c r="H89" i="24"/>
  <c r="G89" i="24"/>
  <c r="F89" i="24"/>
  <c r="I89" i="24" s="1"/>
  <c r="J89" i="24" s="1"/>
  <c r="T88" i="24"/>
  <c r="T89" i="24" s="1"/>
  <c r="R88" i="24"/>
  <c r="P88" i="24"/>
  <c r="M88" i="24"/>
  <c r="F88" i="24"/>
  <c r="B88" i="24"/>
  <c r="Q88" i="24" s="1"/>
  <c r="P87" i="24"/>
  <c r="F87" i="24" s="1"/>
  <c r="G87" i="24" s="1"/>
  <c r="M87" i="24"/>
  <c r="B87" i="24" s="1"/>
  <c r="D87" i="24" s="1"/>
  <c r="I87" i="24"/>
  <c r="J87" i="24" s="1"/>
  <c r="H87" i="24"/>
  <c r="P86" i="24"/>
  <c r="F86" i="24" s="1"/>
  <c r="I86" i="24" s="1"/>
  <c r="M86" i="24"/>
  <c r="G86" i="24"/>
  <c r="B86" i="24"/>
  <c r="P85" i="24"/>
  <c r="M85" i="24"/>
  <c r="I85" i="24"/>
  <c r="G85" i="24"/>
  <c r="F85" i="24"/>
  <c r="B85" i="24"/>
  <c r="H85" i="24" s="1"/>
  <c r="P84" i="24"/>
  <c r="F84" i="24" s="1"/>
  <c r="M84" i="24"/>
  <c r="D84" i="24"/>
  <c r="B84" i="24"/>
  <c r="H84" i="24" s="1"/>
  <c r="P83" i="24"/>
  <c r="M83" i="24"/>
  <c r="B83" i="24" s="1"/>
  <c r="D83" i="24" s="1"/>
  <c r="H83" i="24"/>
  <c r="G83" i="24"/>
  <c r="F83" i="24"/>
  <c r="I83" i="24" s="1"/>
  <c r="J83" i="24" s="1"/>
  <c r="T82" i="24"/>
  <c r="T83" i="24" s="1"/>
  <c r="T84" i="24" s="1"/>
  <c r="T85" i="24" s="1"/>
  <c r="T86" i="24" s="1"/>
  <c r="T87" i="24" s="1"/>
  <c r="P82" i="24"/>
  <c r="M82" i="24"/>
  <c r="H82" i="24"/>
  <c r="F82" i="24"/>
  <c r="I82" i="24" s="1"/>
  <c r="J82" i="24" s="1"/>
  <c r="D82" i="24"/>
  <c r="B82" i="24"/>
  <c r="P81" i="24"/>
  <c r="M81" i="24"/>
  <c r="I81" i="24"/>
  <c r="H81" i="24"/>
  <c r="G81" i="24"/>
  <c r="F81" i="24"/>
  <c r="D81" i="24"/>
  <c r="B81" i="24"/>
  <c r="P80" i="24"/>
  <c r="F80" i="24" s="1"/>
  <c r="M80" i="24"/>
  <c r="B80" i="24"/>
  <c r="P79" i="24"/>
  <c r="F79" i="24" s="1"/>
  <c r="M79" i="24"/>
  <c r="B79" i="24" s="1"/>
  <c r="R78" i="24"/>
  <c r="P78" i="24"/>
  <c r="M78" i="24"/>
  <c r="H78" i="24"/>
  <c r="G78" i="24"/>
  <c r="F78" i="24"/>
  <c r="I78" i="24" s="1"/>
  <c r="B78" i="24"/>
  <c r="D78" i="24" s="1"/>
  <c r="T77" i="24"/>
  <c r="T78" i="24" s="1"/>
  <c r="T79" i="24" s="1"/>
  <c r="T80" i="24" s="1"/>
  <c r="T81" i="24" s="1"/>
  <c r="P77" i="24"/>
  <c r="M77" i="24"/>
  <c r="I77" i="24"/>
  <c r="J77" i="24" s="1"/>
  <c r="F77" i="24"/>
  <c r="G77" i="24" s="1"/>
  <c r="D77" i="24"/>
  <c r="B77" i="24"/>
  <c r="H77" i="24" s="1"/>
  <c r="T76" i="24"/>
  <c r="R76" i="24"/>
  <c r="R77" i="24" s="1"/>
  <c r="P76" i="24"/>
  <c r="F76" i="24" s="1"/>
  <c r="G76" i="24" s="1"/>
  <c r="M76" i="24"/>
  <c r="B76" i="24" s="1"/>
  <c r="D76" i="24" s="1"/>
  <c r="J76" i="24"/>
  <c r="I76" i="24"/>
  <c r="H76" i="24"/>
  <c r="P75" i="24"/>
  <c r="F75" i="24" s="1"/>
  <c r="M75" i="24"/>
  <c r="B75" i="24"/>
  <c r="H75" i="24" s="1"/>
  <c r="P74" i="24"/>
  <c r="F74" i="24" s="1"/>
  <c r="M74" i="24"/>
  <c r="B74" i="24" s="1"/>
  <c r="P73" i="24"/>
  <c r="M73" i="24"/>
  <c r="G73" i="24"/>
  <c r="F73" i="24"/>
  <c r="I73" i="24" s="1"/>
  <c r="D73" i="24"/>
  <c r="B73" i="24"/>
  <c r="H73" i="24" s="1"/>
  <c r="P72" i="24"/>
  <c r="M72" i="24"/>
  <c r="B72" i="24" s="1"/>
  <c r="D72" i="24" s="1"/>
  <c r="I72" i="24"/>
  <c r="J72" i="24" s="1"/>
  <c r="H72" i="24"/>
  <c r="F72" i="24"/>
  <c r="G72" i="24" s="1"/>
  <c r="T71" i="24"/>
  <c r="T72" i="24" s="1"/>
  <c r="T73" i="24" s="1"/>
  <c r="T74" i="24" s="1"/>
  <c r="T75" i="24" s="1"/>
  <c r="P71" i="24"/>
  <c r="F71" i="24" s="1"/>
  <c r="M71" i="24"/>
  <c r="B71" i="24" s="1"/>
  <c r="D71" i="24" s="1"/>
  <c r="I71" i="24"/>
  <c r="J71" i="24" s="1"/>
  <c r="H71" i="24"/>
  <c r="G71" i="24"/>
  <c r="P70" i="24"/>
  <c r="M70" i="24"/>
  <c r="G70" i="24"/>
  <c r="F70" i="24"/>
  <c r="I70" i="24" s="1"/>
  <c r="B70" i="24"/>
  <c r="P69" i="24"/>
  <c r="F69" i="24" s="1"/>
  <c r="M69" i="24"/>
  <c r="D69" i="24"/>
  <c r="B69" i="24"/>
  <c r="H69" i="24" s="1"/>
  <c r="P68" i="24"/>
  <c r="F68" i="24" s="1"/>
  <c r="M68" i="24"/>
  <c r="B68" i="24" s="1"/>
  <c r="H68" i="24"/>
  <c r="D68" i="24"/>
  <c r="P67" i="24"/>
  <c r="M67" i="24"/>
  <c r="I67" i="24"/>
  <c r="G67" i="24"/>
  <c r="F67" i="24"/>
  <c r="B67" i="24"/>
  <c r="D67" i="24" s="1"/>
  <c r="T66" i="24"/>
  <c r="T67" i="24" s="1"/>
  <c r="T68" i="24" s="1"/>
  <c r="T69" i="24" s="1"/>
  <c r="T70" i="24" s="1"/>
  <c r="R66" i="24"/>
  <c r="R67" i="24" s="1"/>
  <c r="P66" i="24"/>
  <c r="M66" i="24"/>
  <c r="I66" i="24"/>
  <c r="H66" i="24"/>
  <c r="F66" i="24"/>
  <c r="G66" i="24" s="1"/>
  <c r="D66" i="24"/>
  <c r="B66" i="24"/>
  <c r="P65" i="24"/>
  <c r="F65" i="24" s="1"/>
  <c r="G65" i="24" s="1"/>
  <c r="M65" i="24"/>
  <c r="B65" i="24" s="1"/>
  <c r="D65" i="24" s="1"/>
  <c r="I65" i="24"/>
  <c r="H65" i="24"/>
  <c r="U64" i="24"/>
  <c r="T64" i="24"/>
  <c r="T65" i="24" s="1"/>
  <c r="R64" i="24"/>
  <c r="R65" i="24" s="1"/>
  <c r="P64" i="24"/>
  <c r="M64" i="24"/>
  <c r="F64" i="24"/>
  <c r="G64" i="24" s="1"/>
  <c r="D64" i="24"/>
  <c r="B64" i="24"/>
  <c r="Q64" i="24" s="1"/>
  <c r="P63" i="24"/>
  <c r="M63" i="24"/>
  <c r="I63" i="24"/>
  <c r="F63" i="24"/>
  <c r="G63" i="24" s="1"/>
  <c r="B63" i="24"/>
  <c r="P62" i="24"/>
  <c r="F62" i="24" s="1"/>
  <c r="M62" i="24"/>
  <c r="B62" i="24"/>
  <c r="H62" i="24" s="1"/>
  <c r="P61" i="24"/>
  <c r="M61" i="24"/>
  <c r="B61" i="24" s="1"/>
  <c r="F61" i="24"/>
  <c r="P60" i="24"/>
  <c r="M60" i="24"/>
  <c r="H60" i="24"/>
  <c r="F60" i="24"/>
  <c r="I60" i="24" s="1"/>
  <c r="J60" i="24" s="1"/>
  <c r="D60" i="24"/>
  <c r="B60" i="24"/>
  <c r="P59" i="24"/>
  <c r="M59" i="24"/>
  <c r="F59" i="24"/>
  <c r="G59" i="24" s="1"/>
  <c r="D59" i="24"/>
  <c r="B59" i="24"/>
  <c r="H59" i="24" s="1"/>
  <c r="P58" i="24"/>
  <c r="F58" i="24" s="1"/>
  <c r="M58" i="24"/>
  <c r="B58" i="24"/>
  <c r="H58" i="24" s="1"/>
  <c r="P57" i="24"/>
  <c r="F57" i="24" s="1"/>
  <c r="I57" i="24" s="1"/>
  <c r="M57" i="24"/>
  <c r="G57" i="24"/>
  <c r="B57" i="24"/>
  <c r="P56" i="24"/>
  <c r="F56" i="24" s="1"/>
  <c r="M56" i="24"/>
  <c r="B56" i="24" s="1"/>
  <c r="H56" i="24" s="1"/>
  <c r="D56" i="24"/>
  <c r="R55" i="24"/>
  <c r="R56" i="24" s="1"/>
  <c r="P55" i="24"/>
  <c r="M55" i="24"/>
  <c r="I55" i="24"/>
  <c r="H55" i="24"/>
  <c r="F55" i="24"/>
  <c r="G55" i="24" s="1"/>
  <c r="B55" i="24"/>
  <c r="D55" i="24" s="1"/>
  <c r="P54" i="24"/>
  <c r="F54" i="24" s="1"/>
  <c r="G54" i="24" s="1"/>
  <c r="M54" i="24"/>
  <c r="B54" i="24" s="1"/>
  <c r="D54" i="24" s="1"/>
  <c r="I54" i="24"/>
  <c r="T53" i="24"/>
  <c r="T54" i="24" s="1"/>
  <c r="T55" i="24" s="1"/>
  <c r="T56" i="24" s="1"/>
  <c r="T57" i="24" s="1"/>
  <c r="T58" i="24" s="1"/>
  <c r="T59" i="24" s="1"/>
  <c r="T60" i="24" s="1"/>
  <c r="T61" i="24" s="1"/>
  <c r="T62" i="24" s="1"/>
  <c r="T63" i="24" s="1"/>
  <c r="R53" i="24"/>
  <c r="R54" i="24" s="1"/>
  <c r="P53" i="24"/>
  <c r="F53" i="24" s="1"/>
  <c r="G53" i="24" s="1"/>
  <c r="M53" i="24"/>
  <c r="B53" i="24" s="1"/>
  <c r="D53" i="24" s="1"/>
  <c r="I53" i="24"/>
  <c r="H53" i="24"/>
  <c r="J53" i="24" s="1"/>
  <c r="T52" i="24"/>
  <c r="R52" i="24"/>
  <c r="P52" i="24"/>
  <c r="M52" i="24"/>
  <c r="G52" i="24"/>
  <c r="F52" i="24"/>
  <c r="B52" i="24"/>
  <c r="H52" i="24" s="1"/>
  <c r="T51" i="24"/>
  <c r="P51" i="24"/>
  <c r="M51" i="24"/>
  <c r="F51" i="24"/>
  <c r="D51" i="24"/>
  <c r="B51" i="24"/>
  <c r="H51" i="24" s="1"/>
  <c r="P50" i="24"/>
  <c r="F50" i="24" s="1"/>
  <c r="M50" i="24"/>
  <c r="B50" i="24" s="1"/>
  <c r="D50" i="24" s="1"/>
  <c r="H50" i="24"/>
  <c r="P49" i="24"/>
  <c r="M49" i="24"/>
  <c r="B49" i="24" s="1"/>
  <c r="G49" i="24"/>
  <c r="F49" i="24"/>
  <c r="I49" i="24" s="1"/>
  <c r="P48" i="24"/>
  <c r="M48" i="24"/>
  <c r="B48" i="24" s="1"/>
  <c r="H48" i="24" s="1"/>
  <c r="J48" i="24"/>
  <c r="I48" i="24"/>
  <c r="G48" i="24"/>
  <c r="F48" i="24"/>
  <c r="D48" i="24"/>
  <c r="P47" i="24"/>
  <c r="F47" i="24" s="1"/>
  <c r="M47" i="24"/>
  <c r="B47" i="24"/>
  <c r="P46" i="24"/>
  <c r="F46" i="24" s="1"/>
  <c r="G46" i="24" s="1"/>
  <c r="M46" i="24"/>
  <c r="I46" i="24"/>
  <c r="B46" i="24"/>
  <c r="H46" i="24" s="1"/>
  <c r="P45" i="24"/>
  <c r="F45" i="24" s="1"/>
  <c r="M45" i="24"/>
  <c r="B45" i="24" s="1"/>
  <c r="T44" i="24"/>
  <c r="T45" i="24" s="1"/>
  <c r="T46" i="24" s="1"/>
  <c r="T47" i="24" s="1"/>
  <c r="T48" i="24" s="1"/>
  <c r="T49" i="24" s="1"/>
  <c r="T50" i="24" s="1"/>
  <c r="P44" i="24"/>
  <c r="M44" i="24"/>
  <c r="G44" i="24"/>
  <c r="F44" i="24"/>
  <c r="I44" i="24" s="1"/>
  <c r="J44" i="24" s="1"/>
  <c r="D44" i="24"/>
  <c r="B44" i="24"/>
  <c r="H44" i="24" s="1"/>
  <c r="P43" i="24"/>
  <c r="F43" i="24" s="1"/>
  <c r="G43" i="24" s="1"/>
  <c r="M43" i="24"/>
  <c r="B43" i="24" s="1"/>
  <c r="D43" i="24" s="1"/>
  <c r="I43" i="24"/>
  <c r="H43" i="24"/>
  <c r="J43" i="24" s="1"/>
  <c r="T42" i="24"/>
  <c r="T43" i="24" s="1"/>
  <c r="R42" i="24"/>
  <c r="R43" i="24" s="1"/>
  <c r="P42" i="24"/>
  <c r="F42" i="24" s="1"/>
  <c r="G42" i="24" s="1"/>
  <c r="M42" i="24"/>
  <c r="B42" i="24" s="1"/>
  <c r="D42" i="24" s="1"/>
  <c r="J42" i="24"/>
  <c r="I42" i="24"/>
  <c r="H42" i="24"/>
  <c r="P41" i="24"/>
  <c r="F41" i="24" s="1"/>
  <c r="M41" i="24"/>
  <c r="B41" i="24"/>
  <c r="H41" i="24" s="1"/>
  <c r="V40" i="24"/>
  <c r="U40" i="24"/>
  <c r="T40" i="24"/>
  <c r="T41" i="24" s="1"/>
  <c r="R40" i="24"/>
  <c r="R41" i="24" s="1"/>
  <c r="P40" i="24"/>
  <c r="M40" i="24"/>
  <c r="G40" i="24"/>
  <c r="F40" i="24"/>
  <c r="I40" i="24" s="1"/>
  <c r="D40" i="24"/>
  <c r="B40" i="24"/>
  <c r="T39" i="24"/>
  <c r="P39" i="24"/>
  <c r="F39" i="24" s="1"/>
  <c r="G39" i="24" s="1"/>
  <c r="M39" i="24"/>
  <c r="B39" i="24" s="1"/>
  <c r="I39" i="24"/>
  <c r="P38" i="24"/>
  <c r="M38" i="24"/>
  <c r="F38" i="24"/>
  <c r="G38" i="24" s="1"/>
  <c r="D38" i="24"/>
  <c r="B38" i="24"/>
  <c r="H38" i="24" s="1"/>
  <c r="P37" i="24"/>
  <c r="M37" i="24"/>
  <c r="H37" i="24"/>
  <c r="F37" i="24"/>
  <c r="D37" i="24"/>
  <c r="B37" i="24"/>
  <c r="P36" i="24"/>
  <c r="F36" i="24" s="1"/>
  <c r="G36" i="24" s="1"/>
  <c r="M36" i="24"/>
  <c r="B36" i="24" s="1"/>
  <c r="I36" i="24"/>
  <c r="J36" i="24" s="1"/>
  <c r="H36" i="24"/>
  <c r="D36" i="24"/>
  <c r="P35" i="24"/>
  <c r="F35" i="24" s="1"/>
  <c r="G35" i="24" s="1"/>
  <c r="M35" i="24"/>
  <c r="I35" i="24"/>
  <c r="J35" i="24" s="1"/>
  <c r="H35" i="24"/>
  <c r="B35" i="24"/>
  <c r="D35" i="24" s="1"/>
  <c r="P34" i="24"/>
  <c r="M34" i="24"/>
  <c r="H34" i="24"/>
  <c r="F34" i="24"/>
  <c r="D34" i="24"/>
  <c r="B34" i="24"/>
  <c r="T33" i="24"/>
  <c r="T34" i="24" s="1"/>
  <c r="T35" i="24" s="1"/>
  <c r="T36" i="24" s="1"/>
  <c r="T37" i="24" s="1"/>
  <c r="T38" i="24" s="1"/>
  <c r="P33" i="24"/>
  <c r="F33" i="24" s="1"/>
  <c r="I33" i="24" s="1"/>
  <c r="J33" i="24" s="1"/>
  <c r="M33" i="24"/>
  <c r="H33" i="24"/>
  <c r="G33" i="24"/>
  <c r="B33" i="24"/>
  <c r="D33" i="24" s="1"/>
  <c r="P32" i="24"/>
  <c r="M32" i="24"/>
  <c r="B32" i="24" s="1"/>
  <c r="I32" i="24"/>
  <c r="G32" i="24"/>
  <c r="F32" i="24"/>
  <c r="P31" i="24"/>
  <c r="M31" i="24"/>
  <c r="I31" i="24"/>
  <c r="J31" i="24" s="1"/>
  <c r="F31" i="24"/>
  <c r="G31" i="24" s="1"/>
  <c r="D31" i="24"/>
  <c r="B31" i="24"/>
  <c r="H31" i="24" s="1"/>
  <c r="T30" i="24"/>
  <c r="T31" i="24" s="1"/>
  <c r="T32" i="24" s="1"/>
  <c r="P30" i="24"/>
  <c r="F30" i="24" s="1"/>
  <c r="M30" i="24"/>
  <c r="B30" i="24" s="1"/>
  <c r="D30" i="24" s="1"/>
  <c r="I30" i="24"/>
  <c r="J30" i="24" s="1"/>
  <c r="H30" i="24"/>
  <c r="G30" i="24"/>
  <c r="P29" i="24"/>
  <c r="M29" i="24"/>
  <c r="B29" i="24" s="1"/>
  <c r="F29" i="24"/>
  <c r="T28" i="24"/>
  <c r="T29" i="24" s="1"/>
  <c r="R28" i="24"/>
  <c r="R29" i="24" s="1"/>
  <c r="P28" i="24"/>
  <c r="M28" i="24"/>
  <c r="G28" i="24"/>
  <c r="F28" i="24"/>
  <c r="U28" i="24" s="1"/>
  <c r="D28" i="24"/>
  <c r="B28" i="24"/>
  <c r="Q28" i="24" s="1"/>
  <c r="P27" i="24"/>
  <c r="M27" i="24"/>
  <c r="B27" i="24" s="1"/>
  <c r="D27" i="24" s="1"/>
  <c r="F27" i="24"/>
  <c r="P26" i="24"/>
  <c r="M26" i="24"/>
  <c r="J26" i="24"/>
  <c r="I26" i="24"/>
  <c r="H26" i="24"/>
  <c r="G26" i="24"/>
  <c r="F26" i="24"/>
  <c r="D26" i="24"/>
  <c r="B26" i="24"/>
  <c r="P25" i="24"/>
  <c r="F25" i="24" s="1"/>
  <c r="G25" i="24" s="1"/>
  <c r="M25" i="24"/>
  <c r="I25" i="24"/>
  <c r="B25" i="24"/>
  <c r="H25" i="24" s="1"/>
  <c r="J25" i="24" s="1"/>
  <c r="P24" i="24"/>
  <c r="F24" i="24" s="1"/>
  <c r="I24" i="24" s="1"/>
  <c r="M24" i="24"/>
  <c r="B24" i="24" s="1"/>
  <c r="G24" i="24"/>
  <c r="P23" i="24"/>
  <c r="M23" i="24"/>
  <c r="J23" i="24"/>
  <c r="I23" i="24"/>
  <c r="H23" i="24"/>
  <c r="G23" i="24"/>
  <c r="F23" i="24"/>
  <c r="B23" i="24"/>
  <c r="D23" i="24" s="1"/>
  <c r="P22" i="24"/>
  <c r="M22" i="24"/>
  <c r="F22" i="24"/>
  <c r="D22" i="24"/>
  <c r="B22" i="24"/>
  <c r="H22" i="24" s="1"/>
  <c r="P21" i="24"/>
  <c r="F21" i="24" s="1"/>
  <c r="G21" i="24" s="1"/>
  <c r="M21" i="24"/>
  <c r="B21" i="24" s="1"/>
  <c r="I21" i="24"/>
  <c r="P20" i="24"/>
  <c r="M20" i="24"/>
  <c r="G20" i="24"/>
  <c r="F20" i="24"/>
  <c r="I20" i="24" s="1"/>
  <c r="B20" i="24"/>
  <c r="P19" i="24"/>
  <c r="M19" i="24"/>
  <c r="G19" i="24"/>
  <c r="F19" i="24"/>
  <c r="I19" i="24" s="1"/>
  <c r="B19" i="24"/>
  <c r="P18" i="24"/>
  <c r="F18" i="24" s="1"/>
  <c r="M18" i="24"/>
  <c r="B18" i="24"/>
  <c r="H18" i="24" s="1"/>
  <c r="T17" i="24"/>
  <c r="T18" i="24" s="1"/>
  <c r="T19" i="24" s="1"/>
  <c r="T20" i="24" s="1"/>
  <c r="T21" i="24" s="1"/>
  <c r="T22" i="24" s="1"/>
  <c r="T23" i="24" s="1"/>
  <c r="T24" i="24" s="1"/>
  <c r="T25" i="24" s="1"/>
  <c r="T26" i="24" s="1"/>
  <c r="T27" i="24" s="1"/>
  <c r="R17" i="24"/>
  <c r="R18" i="24" s="1"/>
  <c r="P17" i="24"/>
  <c r="F17" i="24" s="1"/>
  <c r="G17" i="24" s="1"/>
  <c r="M17" i="24"/>
  <c r="B17" i="24" s="1"/>
  <c r="D17" i="24" s="1"/>
  <c r="J17" i="24"/>
  <c r="I17" i="24"/>
  <c r="H17" i="24"/>
  <c r="T16" i="24"/>
  <c r="R16" i="24"/>
  <c r="Q16" i="24"/>
  <c r="P16" i="24"/>
  <c r="M16" i="24"/>
  <c r="H16" i="24"/>
  <c r="F16" i="24"/>
  <c r="U16" i="24" s="1"/>
  <c r="V16" i="24" s="1"/>
  <c r="D16" i="24"/>
  <c r="B16" i="24"/>
  <c r="P15" i="24"/>
  <c r="M15" i="24"/>
  <c r="B15" i="24" s="1"/>
  <c r="I15" i="24"/>
  <c r="G15" i="24"/>
  <c r="F15" i="24"/>
  <c r="P14" i="24"/>
  <c r="F14" i="24" s="1"/>
  <c r="M14" i="24"/>
  <c r="B14" i="24" s="1"/>
  <c r="P13" i="24"/>
  <c r="M13" i="24"/>
  <c r="F13" i="24"/>
  <c r="I13" i="24" s="1"/>
  <c r="B13" i="24"/>
  <c r="H13" i="24" s="1"/>
  <c r="P12" i="24"/>
  <c r="M12" i="24"/>
  <c r="G12" i="24"/>
  <c r="F12" i="24"/>
  <c r="I12" i="24" s="1"/>
  <c r="J12" i="24" s="1"/>
  <c r="B12" i="24"/>
  <c r="H12" i="24" s="1"/>
  <c r="P11" i="24"/>
  <c r="M11" i="24"/>
  <c r="F11" i="24"/>
  <c r="I11" i="24" s="1"/>
  <c r="J11" i="24" s="1"/>
  <c r="D11" i="24"/>
  <c r="B11" i="24"/>
  <c r="H11" i="24" s="1"/>
  <c r="P10" i="24"/>
  <c r="F10" i="24" s="1"/>
  <c r="M10" i="24"/>
  <c r="B10" i="24" s="1"/>
  <c r="D10" i="24" s="1"/>
  <c r="H10" i="24"/>
  <c r="P9" i="24"/>
  <c r="M9" i="24"/>
  <c r="H9" i="24"/>
  <c r="G9" i="24"/>
  <c r="F9" i="24"/>
  <c r="I9" i="24" s="1"/>
  <c r="J9" i="24" s="1"/>
  <c r="B9" i="24"/>
  <c r="D9" i="24" s="1"/>
  <c r="P8" i="24"/>
  <c r="M8" i="24"/>
  <c r="B8" i="24" s="1"/>
  <c r="I8" i="24"/>
  <c r="F8" i="24"/>
  <c r="G8" i="24" s="1"/>
  <c r="P7" i="24"/>
  <c r="F7" i="24" s="1"/>
  <c r="I7" i="24" s="1"/>
  <c r="M7" i="24"/>
  <c r="G7" i="24"/>
  <c r="B7" i="24"/>
  <c r="H7" i="24" s="1"/>
  <c r="T6" i="24"/>
  <c r="T7" i="24" s="1"/>
  <c r="T8" i="24" s="1"/>
  <c r="T9" i="24" s="1"/>
  <c r="T10" i="24" s="1"/>
  <c r="T11" i="24" s="1"/>
  <c r="T12" i="24" s="1"/>
  <c r="T13" i="24" s="1"/>
  <c r="T14" i="24" s="1"/>
  <c r="T15" i="24" s="1"/>
  <c r="P6" i="24"/>
  <c r="M6" i="24"/>
  <c r="B6" i="24" s="1"/>
  <c r="D6" i="24" s="1"/>
  <c r="H6" i="24"/>
  <c r="F6" i="24"/>
  <c r="I6" i="24" s="1"/>
  <c r="J6" i="24" s="1"/>
  <c r="R5" i="24"/>
  <c r="P5" i="24"/>
  <c r="M5" i="24"/>
  <c r="F5" i="24"/>
  <c r="D5" i="24"/>
  <c r="B5" i="24"/>
  <c r="Q5" i="24" s="1"/>
  <c r="Q6" i="24" s="1"/>
  <c r="U4" i="24"/>
  <c r="T4" i="24"/>
  <c r="T5" i="24" s="1"/>
  <c r="R4" i="24"/>
  <c r="P4" i="24"/>
  <c r="M4" i="24"/>
  <c r="H4" i="24"/>
  <c r="F4" i="24"/>
  <c r="I4" i="24" s="1"/>
  <c r="D4" i="24"/>
  <c r="B4" i="24"/>
  <c r="Q4" i="24" s="1"/>
  <c r="S4" i="24" s="1"/>
  <c r="AG193" i="23"/>
  <c r="AF193" i="23"/>
  <c r="AE193" i="23"/>
  <c r="AD193" i="23"/>
  <c r="AC193" i="23"/>
  <c r="AB193" i="23"/>
  <c r="AA193" i="23"/>
  <c r="Z193" i="23"/>
  <c r="Y193" i="23"/>
  <c r="X193" i="23"/>
  <c r="W193" i="23"/>
  <c r="V193" i="23"/>
  <c r="V12" i="23" s="1"/>
  <c r="U193" i="23"/>
  <c r="T193" i="23"/>
  <c r="S193" i="23"/>
  <c r="R193" i="23"/>
  <c r="Q193" i="23"/>
  <c r="AV192" i="23"/>
  <c r="AP192" i="23"/>
  <c r="AL192" i="23"/>
  <c r="P192" i="23"/>
  <c r="AT192" i="23" s="1"/>
  <c r="O192" i="23"/>
  <c r="AR192" i="23" s="1"/>
  <c r="N192" i="23"/>
  <c r="M192" i="23"/>
  <c r="L192" i="23"/>
  <c r="K192" i="23"/>
  <c r="K160" i="23" s="1"/>
  <c r="K128" i="23" s="1"/>
  <c r="AL128" i="23" s="1"/>
  <c r="J192" i="23"/>
  <c r="I192" i="23"/>
  <c r="H192" i="23"/>
  <c r="G192" i="23"/>
  <c r="F192" i="23"/>
  <c r="E192" i="23"/>
  <c r="D192" i="23"/>
  <c r="C192" i="23"/>
  <c r="B192" i="23"/>
  <c r="AV191" i="23"/>
  <c r="AN191" i="23"/>
  <c r="AL191" i="23"/>
  <c r="P191" i="23"/>
  <c r="AT191" i="23" s="1"/>
  <c r="O191" i="23"/>
  <c r="AR191" i="23" s="1"/>
  <c r="N191" i="23"/>
  <c r="M191" i="23"/>
  <c r="L191" i="23"/>
  <c r="K191" i="23"/>
  <c r="J191" i="23"/>
  <c r="I191" i="23"/>
  <c r="H191" i="23"/>
  <c r="G191" i="23"/>
  <c r="F191" i="23"/>
  <c r="E191" i="23"/>
  <c r="D191" i="23"/>
  <c r="C191" i="23"/>
  <c r="B191" i="23"/>
  <c r="AV190" i="23"/>
  <c r="P190" i="23"/>
  <c r="AT190" i="23" s="1"/>
  <c r="O190" i="23"/>
  <c r="AR190" i="23" s="1"/>
  <c r="N190" i="23"/>
  <c r="AP190" i="23" s="1"/>
  <c r="M190" i="23"/>
  <c r="L190" i="23"/>
  <c r="AN190" i="23" s="1"/>
  <c r="K190" i="23"/>
  <c r="AL190" i="23" s="1"/>
  <c r="J190" i="23"/>
  <c r="I190" i="23"/>
  <c r="H190" i="23"/>
  <c r="G190" i="23"/>
  <c r="F190" i="23"/>
  <c r="E190" i="23"/>
  <c r="D190" i="23"/>
  <c r="C190" i="23"/>
  <c r="B190" i="23"/>
  <c r="AV189" i="23"/>
  <c r="AT189" i="23"/>
  <c r="AL189" i="23"/>
  <c r="P189" i="23"/>
  <c r="O189" i="23"/>
  <c r="AR189" i="23" s="1"/>
  <c r="N189" i="23"/>
  <c r="AP189" i="23" s="1"/>
  <c r="M189" i="23"/>
  <c r="L189" i="23"/>
  <c r="AN189" i="23" s="1"/>
  <c r="K189" i="23"/>
  <c r="J189" i="23"/>
  <c r="I189" i="23"/>
  <c r="I157" i="23" s="1"/>
  <c r="H189" i="23"/>
  <c r="G189" i="23"/>
  <c r="F189" i="23"/>
  <c r="E189" i="23"/>
  <c r="D189" i="23"/>
  <c r="C189" i="23"/>
  <c r="B189" i="23"/>
  <c r="AV188" i="23"/>
  <c r="AR188" i="23"/>
  <c r="AN188" i="23"/>
  <c r="P188" i="23"/>
  <c r="AT188" i="23" s="1"/>
  <c r="O188" i="23"/>
  <c r="N188" i="23"/>
  <c r="M188" i="23"/>
  <c r="L188" i="23"/>
  <c r="K188" i="23"/>
  <c r="AL188" i="23" s="1"/>
  <c r="J188" i="23"/>
  <c r="I188" i="23"/>
  <c r="H188" i="23"/>
  <c r="G188" i="23"/>
  <c r="F188" i="23"/>
  <c r="E188" i="23"/>
  <c r="D188" i="23"/>
  <c r="C188" i="23"/>
  <c r="B188" i="23"/>
  <c r="AV187" i="23"/>
  <c r="AL187" i="23"/>
  <c r="P187" i="23"/>
  <c r="AT187" i="23" s="1"/>
  <c r="O187" i="23"/>
  <c r="AR187" i="23" s="1"/>
  <c r="N187" i="23"/>
  <c r="AP187" i="23" s="1"/>
  <c r="M187" i="23"/>
  <c r="L187" i="23"/>
  <c r="AN187" i="23" s="1"/>
  <c r="K187" i="23"/>
  <c r="J187" i="23"/>
  <c r="J155" i="23" s="1"/>
  <c r="I187" i="23"/>
  <c r="H187" i="23"/>
  <c r="G187" i="23"/>
  <c r="F187" i="23"/>
  <c r="E187" i="23"/>
  <c r="E155" i="23" s="1"/>
  <c r="E123" i="23" s="1"/>
  <c r="D187" i="23"/>
  <c r="D155" i="23" s="1"/>
  <c r="D123" i="23" s="1"/>
  <c r="C187" i="23"/>
  <c r="B187" i="23"/>
  <c r="B155" i="23" s="1"/>
  <c r="AV186" i="23"/>
  <c r="AN186" i="23"/>
  <c r="P186" i="23"/>
  <c r="AT186" i="23" s="1"/>
  <c r="O186" i="23"/>
  <c r="AR186" i="23" s="1"/>
  <c r="N186" i="23"/>
  <c r="AP186" i="23" s="1"/>
  <c r="M186" i="23"/>
  <c r="L186" i="23"/>
  <c r="K186" i="23"/>
  <c r="J186" i="23"/>
  <c r="J154" i="23" s="1"/>
  <c r="J122" i="23" s="1"/>
  <c r="I186" i="23"/>
  <c r="H186" i="23"/>
  <c r="G186" i="23"/>
  <c r="F186" i="23"/>
  <c r="E186" i="23"/>
  <c r="E154" i="23" s="1"/>
  <c r="D186" i="23"/>
  <c r="C186" i="23"/>
  <c r="B186" i="23"/>
  <c r="AV185" i="23"/>
  <c r="AT185" i="23"/>
  <c r="P185" i="23"/>
  <c r="O185" i="23"/>
  <c r="AR185" i="23" s="1"/>
  <c r="N185" i="23"/>
  <c r="AP185" i="23" s="1"/>
  <c r="M185" i="23"/>
  <c r="M153" i="23" s="1"/>
  <c r="L185" i="23"/>
  <c r="AN185" i="23" s="1"/>
  <c r="K185" i="23"/>
  <c r="K153" i="23" s="1"/>
  <c r="K121" i="23" s="1"/>
  <c r="J185" i="23"/>
  <c r="J153" i="23" s="1"/>
  <c r="I185" i="23"/>
  <c r="H185" i="23"/>
  <c r="G185" i="23"/>
  <c r="F185" i="23"/>
  <c r="E185" i="23"/>
  <c r="D185" i="23"/>
  <c r="C185" i="23"/>
  <c r="B185" i="23"/>
  <c r="AV184" i="23"/>
  <c r="AT184" i="23"/>
  <c r="AR184" i="23"/>
  <c r="AP184" i="23"/>
  <c r="P184" i="23"/>
  <c r="O184" i="23"/>
  <c r="N184" i="23"/>
  <c r="M184" i="23"/>
  <c r="M193" i="23" s="1"/>
  <c r="L184" i="23"/>
  <c r="AN184" i="23" s="1"/>
  <c r="K184" i="23"/>
  <c r="K193" i="23" s="1"/>
  <c r="AL193" i="23" s="1"/>
  <c r="J184" i="23"/>
  <c r="J152" i="23" s="1"/>
  <c r="I184" i="23"/>
  <c r="I152" i="23" s="1"/>
  <c r="H184" i="23"/>
  <c r="G184" i="23"/>
  <c r="G152" i="23" s="1"/>
  <c r="F184" i="23"/>
  <c r="E184" i="23"/>
  <c r="E152" i="23" s="1"/>
  <c r="D184" i="23"/>
  <c r="D152" i="23" s="1"/>
  <c r="C184" i="23"/>
  <c r="B184" i="23"/>
  <c r="B152" i="23" s="1"/>
  <c r="AV183" i="23"/>
  <c r="AT183" i="23"/>
  <c r="AR183" i="23"/>
  <c r="AP183" i="23"/>
  <c r="AN183" i="23"/>
  <c r="Q183" i="23"/>
  <c r="Q151" i="23" s="1"/>
  <c r="AV151" i="23" s="1"/>
  <c r="P183" i="23"/>
  <c r="O183" i="23"/>
  <c r="N183" i="23"/>
  <c r="M183" i="23"/>
  <c r="L183" i="23"/>
  <c r="K183" i="23"/>
  <c r="J183" i="23"/>
  <c r="I183" i="23"/>
  <c r="H183" i="23"/>
  <c r="H151" i="23" s="1"/>
  <c r="H119" i="23" s="1"/>
  <c r="G183" i="23"/>
  <c r="F183" i="23"/>
  <c r="E183" i="23"/>
  <c r="D183" i="23"/>
  <c r="C183" i="23"/>
  <c r="B183" i="23"/>
  <c r="AV182" i="23"/>
  <c r="AT182" i="23"/>
  <c r="AR182" i="23"/>
  <c r="AP182" i="23"/>
  <c r="AN182" i="23"/>
  <c r="Q182" i="23"/>
  <c r="P182" i="23"/>
  <c r="O182" i="23"/>
  <c r="N182" i="23"/>
  <c r="M182" i="23"/>
  <c r="L182" i="23"/>
  <c r="K182" i="23"/>
  <c r="J182" i="23"/>
  <c r="I182" i="23"/>
  <c r="H182" i="23"/>
  <c r="H150" i="23" s="1"/>
  <c r="G182" i="23"/>
  <c r="F182" i="23"/>
  <c r="E182" i="23"/>
  <c r="D182" i="23"/>
  <c r="C182" i="23"/>
  <c r="B182" i="23"/>
  <c r="AV181" i="23"/>
  <c r="AT181" i="23"/>
  <c r="AR181" i="23"/>
  <c r="AP181" i="23"/>
  <c r="AN181" i="23"/>
  <c r="Q181" i="23"/>
  <c r="P181" i="23"/>
  <c r="P193" i="23" s="1"/>
  <c r="O181" i="23"/>
  <c r="N181" i="23"/>
  <c r="M181" i="23"/>
  <c r="L181" i="23"/>
  <c r="K181" i="23"/>
  <c r="J181" i="23"/>
  <c r="I181" i="23"/>
  <c r="I149" i="23" s="1"/>
  <c r="H181" i="23"/>
  <c r="H193" i="23" s="1"/>
  <c r="G181" i="23"/>
  <c r="F181" i="23"/>
  <c r="E181" i="23"/>
  <c r="D181" i="23"/>
  <c r="C181" i="23"/>
  <c r="B181" i="23"/>
  <c r="AG180" i="23"/>
  <c r="AF180" i="23"/>
  <c r="AE180" i="23"/>
  <c r="AD180" i="23"/>
  <c r="AC180" i="23"/>
  <c r="AB180" i="23"/>
  <c r="AA180" i="23"/>
  <c r="Z180" i="23"/>
  <c r="Y180" i="23"/>
  <c r="X180" i="23"/>
  <c r="W180" i="23"/>
  <c r="V180" i="23"/>
  <c r="U180" i="23"/>
  <c r="T180" i="23"/>
  <c r="S180" i="23"/>
  <c r="R180" i="23"/>
  <c r="Q180" i="23"/>
  <c r="P180" i="23"/>
  <c r="O180" i="23"/>
  <c r="N180" i="23"/>
  <c r="M180" i="23"/>
  <c r="L180" i="23"/>
  <c r="K180" i="23"/>
  <c r="J180" i="23"/>
  <c r="I180" i="23"/>
  <c r="H180" i="23"/>
  <c r="G180" i="23"/>
  <c r="F180" i="23"/>
  <c r="E180" i="23"/>
  <c r="D180" i="23"/>
  <c r="C180" i="23"/>
  <c r="B180" i="23"/>
  <c r="C177" i="23"/>
  <c r="C11" i="23" s="1"/>
  <c r="AT176" i="23"/>
  <c r="AR176" i="23"/>
  <c r="AP176" i="23"/>
  <c r="AN176" i="23"/>
  <c r="P176" i="23"/>
  <c r="P160" i="23" s="1"/>
  <c r="AT160" i="23" s="1"/>
  <c r="O176" i="23"/>
  <c r="O160" i="23" s="1"/>
  <c r="AR160" i="23" s="1"/>
  <c r="N176" i="23"/>
  <c r="M176" i="23"/>
  <c r="M160" i="23" s="1"/>
  <c r="L176" i="23"/>
  <c r="K176" i="23"/>
  <c r="AL176" i="23" s="1"/>
  <c r="J176" i="23"/>
  <c r="I176" i="23"/>
  <c r="H176" i="23"/>
  <c r="G176" i="23"/>
  <c r="G160" i="23" s="1"/>
  <c r="F176" i="23"/>
  <c r="F160" i="23" s="1"/>
  <c r="F128" i="23" s="1"/>
  <c r="E176" i="23"/>
  <c r="D176" i="23"/>
  <c r="D160" i="23" s="1"/>
  <c r="C176" i="23"/>
  <c r="C160" i="23" s="1"/>
  <c r="B176" i="23"/>
  <c r="B160" i="23" s="1"/>
  <c r="AT175" i="23"/>
  <c r="AP175" i="23"/>
  <c r="AN175" i="23"/>
  <c r="AL175" i="23"/>
  <c r="P175" i="23"/>
  <c r="O175" i="23"/>
  <c r="N175" i="23"/>
  <c r="M175" i="23"/>
  <c r="L175" i="23"/>
  <c r="K175" i="23"/>
  <c r="J175" i="23"/>
  <c r="I175" i="23"/>
  <c r="H175" i="23"/>
  <c r="G175" i="23"/>
  <c r="F175" i="23"/>
  <c r="E175" i="23"/>
  <c r="D175" i="23"/>
  <c r="C175" i="23"/>
  <c r="B175" i="23"/>
  <c r="B159" i="23" s="1"/>
  <c r="AT174" i="23"/>
  <c r="AR174" i="23"/>
  <c r="AP174" i="23"/>
  <c r="P174" i="23"/>
  <c r="O174" i="23"/>
  <c r="N174" i="23"/>
  <c r="M174" i="23"/>
  <c r="M158" i="23" s="1"/>
  <c r="L174" i="23"/>
  <c r="K174" i="23"/>
  <c r="J174" i="23"/>
  <c r="I174" i="23"/>
  <c r="H174" i="23"/>
  <c r="H158" i="23" s="1"/>
  <c r="G174" i="23"/>
  <c r="F174" i="23"/>
  <c r="F158" i="23" s="1"/>
  <c r="E174" i="23"/>
  <c r="E158" i="23" s="1"/>
  <c r="D174" i="23"/>
  <c r="C174" i="23"/>
  <c r="B174" i="23"/>
  <c r="B158" i="23" s="1"/>
  <c r="P173" i="23"/>
  <c r="AT173" i="23" s="1"/>
  <c r="O173" i="23"/>
  <c r="AR173" i="23" s="1"/>
  <c r="N173" i="23"/>
  <c r="AP173" i="23" s="1"/>
  <c r="M173" i="23"/>
  <c r="L173" i="23"/>
  <c r="K173" i="23"/>
  <c r="J173" i="23"/>
  <c r="I173" i="23"/>
  <c r="H173" i="23"/>
  <c r="G173" i="23"/>
  <c r="F173" i="23"/>
  <c r="E173" i="23"/>
  <c r="D173" i="23"/>
  <c r="C173" i="23"/>
  <c r="B173" i="23"/>
  <c r="AT172" i="23"/>
  <c r="AR172" i="23"/>
  <c r="P172" i="23"/>
  <c r="O172" i="23"/>
  <c r="N172" i="23"/>
  <c r="M172" i="23"/>
  <c r="L172" i="23"/>
  <c r="AN172" i="23" s="1"/>
  <c r="K172" i="23"/>
  <c r="AL172" i="23" s="1"/>
  <c r="J172" i="23"/>
  <c r="I172" i="23"/>
  <c r="H172" i="23"/>
  <c r="G172" i="23"/>
  <c r="F172" i="23"/>
  <c r="E172" i="23"/>
  <c r="D172" i="23"/>
  <c r="C172" i="23"/>
  <c r="C156" i="23" s="1"/>
  <c r="B172" i="23"/>
  <c r="B156" i="23" s="1"/>
  <c r="AR171" i="23"/>
  <c r="AP171" i="23"/>
  <c r="AN171" i="23"/>
  <c r="P171" i="23"/>
  <c r="O171" i="23"/>
  <c r="N171" i="23"/>
  <c r="N155" i="23" s="1"/>
  <c r="N123" i="23" s="1"/>
  <c r="AP123" i="23" s="1"/>
  <c r="M171" i="23"/>
  <c r="M155" i="23" s="1"/>
  <c r="L171" i="23"/>
  <c r="K171" i="23"/>
  <c r="AL171" i="23" s="1"/>
  <c r="J171" i="23"/>
  <c r="I171" i="23"/>
  <c r="H171" i="23"/>
  <c r="G171" i="23"/>
  <c r="G155" i="23" s="1"/>
  <c r="F171" i="23"/>
  <c r="F155" i="23" s="1"/>
  <c r="E171" i="23"/>
  <c r="D171" i="23"/>
  <c r="C171" i="23"/>
  <c r="B171" i="23"/>
  <c r="AT170" i="23"/>
  <c r="P170" i="23"/>
  <c r="O170" i="23"/>
  <c r="N170" i="23"/>
  <c r="AP170" i="23" s="1"/>
  <c r="M170" i="23"/>
  <c r="L170" i="23"/>
  <c r="AN170" i="23" s="1"/>
  <c r="K170" i="23"/>
  <c r="J170" i="23"/>
  <c r="I170" i="23"/>
  <c r="H170" i="23"/>
  <c r="G170" i="23"/>
  <c r="F170" i="23"/>
  <c r="E170" i="23"/>
  <c r="D170" i="23"/>
  <c r="D154" i="23" s="1"/>
  <c r="C170" i="23"/>
  <c r="C154" i="23" s="1"/>
  <c r="B170" i="23"/>
  <c r="B154" i="23" s="1"/>
  <c r="AT169" i="23"/>
  <c r="AR169" i="23"/>
  <c r="AP169" i="23"/>
  <c r="P169" i="23"/>
  <c r="P153" i="23" s="1"/>
  <c r="O169" i="23"/>
  <c r="N169" i="23"/>
  <c r="M169" i="23"/>
  <c r="L169" i="23"/>
  <c r="AN169" i="23" s="1"/>
  <c r="K169" i="23"/>
  <c r="J169" i="23"/>
  <c r="I169" i="23"/>
  <c r="H169" i="23"/>
  <c r="H153" i="23" s="1"/>
  <c r="G169" i="23"/>
  <c r="G153" i="23" s="1"/>
  <c r="F169" i="23"/>
  <c r="E169" i="23"/>
  <c r="D169" i="23"/>
  <c r="D153" i="23" s="1"/>
  <c r="C169" i="23"/>
  <c r="C153" i="23" s="1"/>
  <c r="B169" i="23"/>
  <c r="B153" i="23" s="1"/>
  <c r="AT168" i="23"/>
  <c r="P168" i="23"/>
  <c r="P152" i="23" s="1"/>
  <c r="AT152" i="23" s="1"/>
  <c r="O168" i="23"/>
  <c r="AR168" i="23" s="1"/>
  <c r="N168" i="23"/>
  <c r="AP168" i="23" s="1"/>
  <c r="M168" i="23"/>
  <c r="M152" i="23" s="1"/>
  <c r="M120" i="23" s="1"/>
  <c r="L168" i="23"/>
  <c r="K168" i="23"/>
  <c r="J168" i="23"/>
  <c r="I168" i="23"/>
  <c r="H168" i="23"/>
  <c r="H152" i="23" s="1"/>
  <c r="G168" i="23"/>
  <c r="F168" i="23"/>
  <c r="E168" i="23"/>
  <c r="D168" i="23"/>
  <c r="C168" i="23"/>
  <c r="B168" i="23"/>
  <c r="AV167" i="23"/>
  <c r="AT167" i="23"/>
  <c r="AR167" i="23"/>
  <c r="AP167" i="23"/>
  <c r="Q167" i="23"/>
  <c r="P167" i="23"/>
  <c r="O167" i="23"/>
  <c r="N167" i="23"/>
  <c r="M167" i="23"/>
  <c r="L167" i="23"/>
  <c r="K167" i="23"/>
  <c r="J167" i="23"/>
  <c r="I167" i="23"/>
  <c r="H167" i="23"/>
  <c r="G167" i="23"/>
  <c r="G151" i="23" s="1"/>
  <c r="F167" i="23"/>
  <c r="F151" i="23" s="1"/>
  <c r="F119" i="23" s="1"/>
  <c r="E167" i="23"/>
  <c r="D167" i="23"/>
  <c r="C167" i="23"/>
  <c r="B167" i="23"/>
  <c r="AV166" i="23"/>
  <c r="Q166" i="23"/>
  <c r="P166" i="23"/>
  <c r="AT166" i="23" s="1"/>
  <c r="O166" i="23"/>
  <c r="AR166" i="23" s="1"/>
  <c r="N166" i="23"/>
  <c r="AP166" i="23" s="1"/>
  <c r="M166" i="23"/>
  <c r="L166" i="23"/>
  <c r="AN166" i="23" s="1"/>
  <c r="K166" i="23"/>
  <c r="J166" i="23"/>
  <c r="I166" i="23"/>
  <c r="H166" i="23"/>
  <c r="G166" i="23"/>
  <c r="G150" i="23" s="1"/>
  <c r="F166" i="23"/>
  <c r="E166" i="23"/>
  <c r="D166" i="23"/>
  <c r="D150" i="23" s="1"/>
  <c r="C166" i="23"/>
  <c r="C150" i="23" s="1"/>
  <c r="B166" i="23"/>
  <c r="B150" i="23" s="1"/>
  <c r="AV165" i="23"/>
  <c r="AR165" i="23"/>
  <c r="AP165" i="23"/>
  <c r="AG165" i="23"/>
  <c r="AG149" i="23" s="1"/>
  <c r="AG117" i="23" s="1"/>
  <c r="AF165" i="23"/>
  <c r="AE165" i="23"/>
  <c r="AD165" i="23"/>
  <c r="AD149" i="23" s="1"/>
  <c r="AC165" i="23"/>
  <c r="AC149" i="23" s="1"/>
  <c r="AB165" i="23"/>
  <c r="AA165" i="23"/>
  <c r="Z165" i="23"/>
  <c r="Y165" i="23"/>
  <c r="X165" i="23"/>
  <c r="X149" i="23" s="1"/>
  <c r="W165" i="23"/>
  <c r="V165" i="23"/>
  <c r="V149" i="23" s="1"/>
  <c r="U165" i="23"/>
  <c r="U149" i="23" s="1"/>
  <c r="T165" i="23"/>
  <c r="T149" i="23" s="1"/>
  <c r="S165" i="23"/>
  <c r="S149" i="23" s="1"/>
  <c r="R165" i="23"/>
  <c r="R149" i="23" s="1"/>
  <c r="Q165" i="23"/>
  <c r="Q149" i="23" s="1"/>
  <c r="P165" i="23"/>
  <c r="AT165" i="23" s="1"/>
  <c r="O165" i="23"/>
  <c r="N165" i="23"/>
  <c r="M165" i="23"/>
  <c r="L165" i="23"/>
  <c r="K165" i="23"/>
  <c r="J165" i="23"/>
  <c r="J149" i="23" s="1"/>
  <c r="I165" i="23"/>
  <c r="H165" i="23"/>
  <c r="H149" i="23" s="1"/>
  <c r="G165" i="23"/>
  <c r="F165" i="23"/>
  <c r="E165" i="23"/>
  <c r="D165" i="23"/>
  <c r="C165" i="23"/>
  <c r="B165" i="23"/>
  <c r="AG164" i="23"/>
  <c r="AF164" i="23"/>
  <c r="AE164" i="23"/>
  <c r="AD164" i="23"/>
  <c r="AC164" i="23"/>
  <c r="AB164" i="23"/>
  <c r="AA164" i="23"/>
  <c r="Z164" i="23"/>
  <c r="Y164" i="23"/>
  <c r="X164" i="23"/>
  <c r="W164" i="23"/>
  <c r="V164" i="23"/>
  <c r="U164" i="23"/>
  <c r="T164" i="23"/>
  <c r="S164" i="23"/>
  <c r="R164" i="23"/>
  <c r="Q164" i="23"/>
  <c r="P164" i="23"/>
  <c r="O164" i="23"/>
  <c r="N164" i="23"/>
  <c r="M164" i="23"/>
  <c r="L164" i="23"/>
  <c r="K164" i="23"/>
  <c r="J164" i="23"/>
  <c r="I164" i="23"/>
  <c r="H164" i="23"/>
  <c r="G164" i="23"/>
  <c r="F164" i="23"/>
  <c r="E164" i="23"/>
  <c r="D164" i="23"/>
  <c r="C164" i="23"/>
  <c r="B164" i="23"/>
  <c r="AL160" i="23"/>
  <c r="N160" i="23"/>
  <c r="AP160" i="23" s="1"/>
  <c r="J160" i="23"/>
  <c r="J128" i="23" s="1"/>
  <c r="I160" i="23"/>
  <c r="H160" i="23"/>
  <c r="E160" i="23"/>
  <c r="E128" i="23" s="1"/>
  <c r="AT159" i="23"/>
  <c r="P159" i="23"/>
  <c r="M159" i="23"/>
  <c r="L159" i="23"/>
  <c r="AN159" i="23" s="1"/>
  <c r="K159" i="23"/>
  <c r="J159" i="23"/>
  <c r="J127" i="23" s="1"/>
  <c r="I159" i="23"/>
  <c r="I127" i="23" s="1"/>
  <c r="H159" i="23"/>
  <c r="H127" i="23" s="1"/>
  <c r="G159" i="23"/>
  <c r="G127" i="23" s="1"/>
  <c r="F159" i="23"/>
  <c r="F127" i="23" s="1"/>
  <c r="E159" i="23"/>
  <c r="E127" i="23" s="1"/>
  <c r="D159" i="23"/>
  <c r="C159" i="23"/>
  <c r="AR158" i="23"/>
  <c r="P158" i="23"/>
  <c r="AT158" i="23" s="1"/>
  <c r="O158" i="23"/>
  <c r="J158" i="23"/>
  <c r="J126" i="23" s="1"/>
  <c r="G158" i="23"/>
  <c r="D158" i="23"/>
  <c r="C158" i="23"/>
  <c r="C126" i="23" s="1"/>
  <c r="AT157" i="23"/>
  <c r="AR157" i="23"/>
  <c r="P157" i="23"/>
  <c r="O157" i="23"/>
  <c r="M157" i="23"/>
  <c r="J157" i="23"/>
  <c r="D157" i="23"/>
  <c r="C157" i="23"/>
  <c r="B157" i="23"/>
  <c r="B125" i="23" s="1"/>
  <c r="B29" i="23" s="1"/>
  <c r="AT156" i="23"/>
  <c r="AR156" i="23"/>
  <c r="AN156" i="23"/>
  <c r="AL156" i="23"/>
  <c r="P156" i="23"/>
  <c r="O156" i="23"/>
  <c r="M156" i="23"/>
  <c r="L156" i="23"/>
  <c r="K156" i="23"/>
  <c r="J156" i="23"/>
  <c r="I156" i="23"/>
  <c r="H156" i="23"/>
  <c r="G156" i="23"/>
  <c r="F156" i="23"/>
  <c r="F124" i="23" s="1"/>
  <c r="E156" i="23"/>
  <c r="E124" i="23" s="1"/>
  <c r="AP155" i="23"/>
  <c r="AN155" i="23"/>
  <c r="AL155" i="23"/>
  <c r="L155" i="23"/>
  <c r="K155" i="23"/>
  <c r="I155" i="23"/>
  <c r="H155" i="23"/>
  <c r="C155" i="23"/>
  <c r="AT154" i="23"/>
  <c r="AP154" i="23"/>
  <c r="AN154" i="23"/>
  <c r="P154" i="23"/>
  <c r="N154" i="23"/>
  <c r="M154" i="23"/>
  <c r="L154" i="23"/>
  <c r="K154" i="23"/>
  <c r="G154" i="23"/>
  <c r="F154" i="23"/>
  <c r="AT153" i="23"/>
  <c r="AP153" i="23"/>
  <c r="N153" i="23"/>
  <c r="I153" i="23"/>
  <c r="F153" i="23"/>
  <c r="F121" i="23" s="1"/>
  <c r="O152" i="23"/>
  <c r="AR152" i="23" s="1"/>
  <c r="F152" i="23"/>
  <c r="C152" i="23"/>
  <c r="AT151" i="23"/>
  <c r="AR151" i="23"/>
  <c r="P151" i="23"/>
  <c r="O151" i="23"/>
  <c r="N151" i="23"/>
  <c r="AP151" i="23" s="1"/>
  <c r="M151" i="23"/>
  <c r="K151" i="23"/>
  <c r="K119" i="23" s="1"/>
  <c r="D151" i="23"/>
  <c r="C151" i="23"/>
  <c r="B151" i="23"/>
  <c r="Q150" i="23"/>
  <c r="P150" i="23"/>
  <c r="AT150" i="23" s="1"/>
  <c r="O150" i="23"/>
  <c r="N150" i="23"/>
  <c r="AP150" i="23" s="1"/>
  <c r="M150" i="23"/>
  <c r="M118" i="23" s="1"/>
  <c r="L150" i="23"/>
  <c r="AN150" i="23" s="1"/>
  <c r="K150" i="23"/>
  <c r="J150" i="23"/>
  <c r="AV149" i="23"/>
  <c r="AR149" i="23"/>
  <c r="AP149" i="23"/>
  <c r="AF149" i="23"/>
  <c r="AE149" i="23"/>
  <c r="AB149" i="23"/>
  <c r="AB117" i="23" s="1"/>
  <c r="AA149" i="23"/>
  <c r="Z149" i="23"/>
  <c r="Y149" i="23"/>
  <c r="W149" i="23"/>
  <c r="P149" i="23"/>
  <c r="O149" i="23"/>
  <c r="N149" i="23"/>
  <c r="K149" i="23"/>
  <c r="E149" i="23"/>
  <c r="C149" i="23"/>
  <c r="AG148" i="23"/>
  <c r="AF148" i="23"/>
  <c r="AE148" i="23"/>
  <c r="AD148" i="23"/>
  <c r="AC148" i="23"/>
  <c r="AB148" i="23"/>
  <c r="AA148" i="23"/>
  <c r="Z148" i="23"/>
  <c r="Y148" i="23"/>
  <c r="X148" i="23"/>
  <c r="W148" i="23"/>
  <c r="V148" i="23"/>
  <c r="U148" i="23"/>
  <c r="T148" i="23"/>
  <c r="S148" i="23"/>
  <c r="R148" i="23"/>
  <c r="Q148" i="23"/>
  <c r="P148" i="23"/>
  <c r="O148" i="23"/>
  <c r="N148" i="23"/>
  <c r="M148" i="23"/>
  <c r="L148" i="23"/>
  <c r="K148" i="23"/>
  <c r="J148" i="23"/>
  <c r="I148" i="23"/>
  <c r="H148" i="23"/>
  <c r="G148" i="23"/>
  <c r="F148" i="23"/>
  <c r="E148" i="23"/>
  <c r="D148" i="23"/>
  <c r="C148" i="23"/>
  <c r="B148" i="23"/>
  <c r="AF145" i="23"/>
  <c r="AF9" i="23" s="1"/>
  <c r="AE145" i="23"/>
  <c r="AE9" i="23" s="1"/>
  <c r="X145" i="23"/>
  <c r="W145" i="23"/>
  <c r="R145" i="23"/>
  <c r="H145" i="23"/>
  <c r="H9" i="23" s="1"/>
  <c r="F145" i="23"/>
  <c r="F9" i="23" s="1"/>
  <c r="E145" i="23"/>
  <c r="E9" i="23" s="1"/>
  <c r="D145" i="23"/>
  <c r="D9" i="23" s="1"/>
  <c r="AV144" i="23"/>
  <c r="AP144" i="23"/>
  <c r="AN144" i="23"/>
  <c r="P144" i="23"/>
  <c r="AT144" i="23" s="1"/>
  <c r="O144" i="23"/>
  <c r="AR144" i="23" s="1"/>
  <c r="N144" i="23"/>
  <c r="M144" i="23"/>
  <c r="L144" i="23"/>
  <c r="K144" i="23"/>
  <c r="AL144" i="23" s="1"/>
  <c r="J144" i="23"/>
  <c r="I144" i="23"/>
  <c r="H144" i="23"/>
  <c r="G144" i="23"/>
  <c r="F144" i="23"/>
  <c r="E144" i="23"/>
  <c r="D144" i="23"/>
  <c r="D128" i="23" s="1"/>
  <c r="C144" i="23"/>
  <c r="B144" i="23"/>
  <c r="B128" i="23" s="1"/>
  <c r="AV143" i="23"/>
  <c r="AT143" i="23"/>
  <c r="AN143" i="23"/>
  <c r="AL143" i="23"/>
  <c r="P143" i="23"/>
  <c r="O143" i="23"/>
  <c r="AR143" i="23" s="1"/>
  <c r="N143" i="23"/>
  <c r="AP143" i="23" s="1"/>
  <c r="M143" i="23"/>
  <c r="L143" i="23"/>
  <c r="K143" i="23"/>
  <c r="J143" i="23"/>
  <c r="I143" i="23"/>
  <c r="H143" i="23"/>
  <c r="G143" i="23"/>
  <c r="F143" i="23"/>
  <c r="E143" i="23"/>
  <c r="D143" i="23"/>
  <c r="D127" i="23" s="1"/>
  <c r="C143" i="23"/>
  <c r="C127" i="23" s="1"/>
  <c r="B143" i="23"/>
  <c r="AV142" i="23"/>
  <c r="AL142" i="23"/>
  <c r="P142" i="23"/>
  <c r="O142" i="23"/>
  <c r="N142" i="23"/>
  <c r="M142" i="23"/>
  <c r="L142" i="23"/>
  <c r="K142" i="23"/>
  <c r="J142" i="23"/>
  <c r="I142" i="23"/>
  <c r="H142" i="23"/>
  <c r="H126" i="23" s="1"/>
  <c r="G142" i="23"/>
  <c r="G126" i="23" s="1"/>
  <c r="F142" i="23"/>
  <c r="E142" i="23"/>
  <c r="D142" i="23"/>
  <c r="C142" i="23"/>
  <c r="B142" i="23"/>
  <c r="AV141" i="23"/>
  <c r="AP141" i="23"/>
  <c r="P141" i="23"/>
  <c r="AT141" i="23" s="1"/>
  <c r="O141" i="23"/>
  <c r="AR141" i="23" s="1"/>
  <c r="N141" i="23"/>
  <c r="M141" i="23"/>
  <c r="M125" i="23" s="1"/>
  <c r="L141" i="23"/>
  <c r="K141" i="23"/>
  <c r="J141" i="23"/>
  <c r="J125" i="23" s="1"/>
  <c r="I141" i="23"/>
  <c r="I125" i="23" s="1"/>
  <c r="H141" i="23"/>
  <c r="G141" i="23"/>
  <c r="F141" i="23"/>
  <c r="E141" i="23"/>
  <c r="D141" i="23"/>
  <c r="D125" i="23" s="1"/>
  <c r="C141" i="23"/>
  <c r="B141" i="23"/>
  <c r="AV140" i="23"/>
  <c r="AT140" i="23"/>
  <c r="AP140" i="23"/>
  <c r="P140" i="23"/>
  <c r="O140" i="23"/>
  <c r="N140" i="23"/>
  <c r="M140" i="23"/>
  <c r="M124" i="23" s="1"/>
  <c r="L140" i="23"/>
  <c r="K140" i="23"/>
  <c r="AL140" i="23" s="1"/>
  <c r="J140" i="23"/>
  <c r="J124" i="23" s="1"/>
  <c r="I140" i="23"/>
  <c r="I124" i="23" s="1"/>
  <c r="H140" i="23"/>
  <c r="H124" i="23" s="1"/>
  <c r="G140" i="23"/>
  <c r="G124" i="23" s="1"/>
  <c r="F140" i="23"/>
  <c r="E140" i="23"/>
  <c r="D140" i="23"/>
  <c r="C140" i="23"/>
  <c r="C124" i="23" s="1"/>
  <c r="B140" i="23"/>
  <c r="AV139" i="23"/>
  <c r="AT139" i="23"/>
  <c r="AR139" i="23"/>
  <c r="P139" i="23"/>
  <c r="O139" i="23"/>
  <c r="N139" i="23"/>
  <c r="AP139" i="23" s="1"/>
  <c r="M139" i="23"/>
  <c r="L139" i="23"/>
  <c r="AN139" i="23" s="1"/>
  <c r="K139" i="23"/>
  <c r="AL139" i="23" s="1"/>
  <c r="J139" i="23"/>
  <c r="J123" i="23" s="1"/>
  <c r="I139" i="23"/>
  <c r="H139" i="23"/>
  <c r="H123" i="23" s="1"/>
  <c r="G139" i="23"/>
  <c r="G123" i="23" s="1"/>
  <c r="F139" i="23"/>
  <c r="F123" i="23" s="1"/>
  <c r="E139" i="23"/>
  <c r="D139" i="23"/>
  <c r="C139" i="23"/>
  <c r="C123" i="23" s="1"/>
  <c r="B139" i="23"/>
  <c r="B123" i="23" s="1"/>
  <c r="AV138" i="23"/>
  <c r="AT138" i="23"/>
  <c r="AP138" i="23"/>
  <c r="P138" i="23"/>
  <c r="P122" i="23" s="1"/>
  <c r="AT122" i="23" s="1"/>
  <c r="O138" i="23"/>
  <c r="N138" i="23"/>
  <c r="M138" i="23"/>
  <c r="L138" i="23"/>
  <c r="AN138" i="23" s="1"/>
  <c r="K138" i="23"/>
  <c r="J138" i="23"/>
  <c r="I138" i="23"/>
  <c r="H138" i="23"/>
  <c r="G138" i="23"/>
  <c r="F138" i="23"/>
  <c r="E138" i="23"/>
  <c r="D138" i="23"/>
  <c r="C138" i="23"/>
  <c r="B138" i="23"/>
  <c r="AV137" i="23"/>
  <c r="AT137" i="23"/>
  <c r="AR137" i="23"/>
  <c r="AP137" i="23"/>
  <c r="AN137" i="23"/>
  <c r="P137" i="23"/>
  <c r="O137" i="23"/>
  <c r="N137" i="23"/>
  <c r="M137" i="23"/>
  <c r="L137" i="23"/>
  <c r="K137" i="23"/>
  <c r="J137" i="23"/>
  <c r="I137" i="23"/>
  <c r="H137" i="23"/>
  <c r="G137" i="23"/>
  <c r="F137" i="23"/>
  <c r="E137" i="23"/>
  <c r="D137" i="23"/>
  <c r="D121" i="23" s="1"/>
  <c r="C137" i="23"/>
  <c r="B137" i="23"/>
  <c r="AV136" i="23"/>
  <c r="AP136" i="23"/>
  <c r="AN136" i="23"/>
  <c r="P136" i="23"/>
  <c r="O136" i="23"/>
  <c r="N136" i="23"/>
  <c r="M136" i="23"/>
  <c r="L136" i="23"/>
  <c r="K136" i="23"/>
  <c r="J136" i="23"/>
  <c r="I136" i="23"/>
  <c r="H136" i="23"/>
  <c r="G136" i="23"/>
  <c r="F136" i="23"/>
  <c r="E136" i="23"/>
  <c r="D136" i="23"/>
  <c r="C136" i="23"/>
  <c r="B136" i="23"/>
  <c r="Q135" i="23"/>
  <c r="P135" i="23"/>
  <c r="O135" i="23"/>
  <c r="N135" i="23"/>
  <c r="AP135" i="23" s="1"/>
  <c r="M135" i="23"/>
  <c r="L135" i="23"/>
  <c r="K135" i="23"/>
  <c r="J135" i="23"/>
  <c r="I135" i="23"/>
  <c r="H135" i="23"/>
  <c r="G135" i="23"/>
  <c r="G119" i="23" s="1"/>
  <c r="F135" i="23"/>
  <c r="E135" i="23"/>
  <c r="D135" i="23"/>
  <c r="C135" i="23"/>
  <c r="B135" i="23"/>
  <c r="AV134" i="23"/>
  <c r="AT134" i="23"/>
  <c r="AR134" i="23"/>
  <c r="AG134" i="23"/>
  <c r="AG145" i="23" s="1"/>
  <c r="AF134" i="23"/>
  <c r="AE134" i="23"/>
  <c r="AD134" i="23"/>
  <c r="AC134" i="23"/>
  <c r="AB134" i="23"/>
  <c r="AA134" i="23"/>
  <c r="Z134" i="23"/>
  <c r="Y134" i="23"/>
  <c r="X134" i="23"/>
  <c r="W134" i="23"/>
  <c r="V134" i="23"/>
  <c r="V145" i="23" s="1"/>
  <c r="U134" i="23"/>
  <c r="U145" i="23" s="1"/>
  <c r="T134" i="23"/>
  <c r="S134" i="23"/>
  <c r="S145" i="23" s="1"/>
  <c r="R134" i="23"/>
  <c r="Q134" i="23"/>
  <c r="P134" i="23"/>
  <c r="O134" i="23"/>
  <c r="N134" i="23"/>
  <c r="AP134" i="23" s="1"/>
  <c r="M134" i="23"/>
  <c r="L134" i="23"/>
  <c r="AN134" i="23" s="1"/>
  <c r="K134" i="23"/>
  <c r="K118" i="23" s="1"/>
  <c r="J134" i="23"/>
  <c r="I134" i="23"/>
  <c r="H134" i="23"/>
  <c r="H118" i="23" s="1"/>
  <c r="G134" i="23"/>
  <c r="F134" i="23"/>
  <c r="E134" i="23"/>
  <c r="D134" i="23"/>
  <c r="C134" i="23"/>
  <c r="B134" i="23"/>
  <c r="AN133" i="23"/>
  <c r="Q133" i="23"/>
  <c r="AV133" i="23" s="1"/>
  <c r="P133" i="23"/>
  <c r="AT133" i="23" s="1"/>
  <c r="O133" i="23"/>
  <c r="N133" i="23"/>
  <c r="M133" i="23"/>
  <c r="L133" i="23"/>
  <c r="K133" i="23"/>
  <c r="J133" i="23"/>
  <c r="I133" i="23"/>
  <c r="H133" i="23"/>
  <c r="G133" i="23"/>
  <c r="F133" i="23"/>
  <c r="E133" i="23"/>
  <c r="D133" i="23"/>
  <c r="C133" i="23"/>
  <c r="B133" i="23"/>
  <c r="AG132" i="23"/>
  <c r="AF132" i="23"/>
  <c r="AE132" i="23"/>
  <c r="AD132" i="23"/>
  <c r="AC132" i="23"/>
  <c r="AB132" i="23"/>
  <c r="AA132" i="23"/>
  <c r="Z132" i="23"/>
  <c r="Y132" i="23"/>
  <c r="X132" i="23"/>
  <c r="W132" i="23"/>
  <c r="V132" i="23"/>
  <c r="U132" i="23"/>
  <c r="T132" i="23"/>
  <c r="S132" i="23"/>
  <c r="R132" i="23"/>
  <c r="Q132" i="23"/>
  <c r="P132" i="23"/>
  <c r="O132" i="23"/>
  <c r="N132" i="23"/>
  <c r="M132" i="23"/>
  <c r="L132" i="23"/>
  <c r="K132" i="23"/>
  <c r="J132" i="23"/>
  <c r="I132" i="23"/>
  <c r="H132" i="23"/>
  <c r="G132" i="23"/>
  <c r="F132" i="23"/>
  <c r="E132" i="23"/>
  <c r="D132" i="23"/>
  <c r="C132" i="23"/>
  <c r="B132" i="23"/>
  <c r="P128" i="23"/>
  <c r="AT128" i="23" s="1"/>
  <c r="O128" i="23"/>
  <c r="AR128" i="23" s="1"/>
  <c r="C128" i="23"/>
  <c r="P127" i="23"/>
  <c r="AT127" i="23" s="1"/>
  <c r="M127" i="23"/>
  <c r="M31" i="23" s="1"/>
  <c r="L127" i="23"/>
  <c r="F126" i="23"/>
  <c r="E126" i="23"/>
  <c r="D126" i="23"/>
  <c r="B126" i="23"/>
  <c r="AT125" i="23"/>
  <c r="P125" i="23"/>
  <c r="P124" i="23"/>
  <c r="AT124" i="23" s="1"/>
  <c r="B124" i="23"/>
  <c r="M123" i="23"/>
  <c r="L123" i="23"/>
  <c r="AN123" i="23" s="1"/>
  <c r="K123" i="23"/>
  <c r="AL123" i="23" s="1"/>
  <c r="AP122" i="23"/>
  <c r="AN122" i="23"/>
  <c r="N122" i="23"/>
  <c r="M122" i="23"/>
  <c r="L122" i="23"/>
  <c r="K122" i="23"/>
  <c r="G122" i="23"/>
  <c r="F122" i="23"/>
  <c r="E122" i="23"/>
  <c r="D122" i="23"/>
  <c r="C122" i="23"/>
  <c r="B122" i="23"/>
  <c r="AT121" i="23"/>
  <c r="P121" i="23"/>
  <c r="N121" i="23"/>
  <c r="AP121" i="23" s="1"/>
  <c r="M121" i="23"/>
  <c r="C121" i="23"/>
  <c r="J120" i="23"/>
  <c r="I120" i="23"/>
  <c r="H120" i="23"/>
  <c r="G120" i="23"/>
  <c r="F120" i="23"/>
  <c r="E120" i="23"/>
  <c r="E24" i="23" s="1"/>
  <c r="D120" i="23"/>
  <c r="C120" i="23"/>
  <c r="N119" i="23"/>
  <c r="AP119" i="23" s="1"/>
  <c r="M119" i="23"/>
  <c r="C119" i="23"/>
  <c r="B119" i="23"/>
  <c r="P118" i="23"/>
  <c r="AT118" i="23" s="1"/>
  <c r="L118" i="23"/>
  <c r="AN118" i="23" s="1"/>
  <c r="D118" i="23"/>
  <c r="C118" i="23"/>
  <c r="B118" i="23"/>
  <c r="AE117" i="23"/>
  <c r="U117" i="23"/>
  <c r="S117" i="23"/>
  <c r="R117" i="23"/>
  <c r="Q117" i="23"/>
  <c r="K117" i="23"/>
  <c r="E117" i="23"/>
  <c r="AG116" i="23"/>
  <c r="AF116" i="23"/>
  <c r="AE116" i="23"/>
  <c r="AD116" i="23"/>
  <c r="AC116" i="23"/>
  <c r="AB116" i="23"/>
  <c r="AA116" i="23"/>
  <c r="Z116" i="23"/>
  <c r="Y116" i="23"/>
  <c r="X116" i="23"/>
  <c r="W116" i="23"/>
  <c r="V116" i="23"/>
  <c r="U116" i="23"/>
  <c r="T116" i="23"/>
  <c r="S116" i="23"/>
  <c r="R116" i="23"/>
  <c r="Q116" i="23"/>
  <c r="P116" i="23"/>
  <c r="O116" i="23"/>
  <c r="N116" i="23"/>
  <c r="M116" i="23"/>
  <c r="L116" i="23"/>
  <c r="K116" i="23"/>
  <c r="J116" i="23"/>
  <c r="I116" i="23"/>
  <c r="H116" i="23"/>
  <c r="G116" i="23"/>
  <c r="F116" i="23"/>
  <c r="E116" i="23"/>
  <c r="D116" i="23"/>
  <c r="C116" i="23"/>
  <c r="B116" i="23"/>
  <c r="AG113" i="23"/>
  <c r="AF113" i="23"/>
  <c r="AE113" i="23"/>
  <c r="AE7" i="23" s="1"/>
  <c r="AD113" i="23"/>
  <c r="AD7" i="23" s="1"/>
  <c r="AC113" i="23"/>
  <c r="AB113" i="23"/>
  <c r="AA113" i="23"/>
  <c r="Z113" i="23"/>
  <c r="Y113" i="23"/>
  <c r="Y7" i="23" s="1"/>
  <c r="X113" i="23"/>
  <c r="W113" i="23"/>
  <c r="V113" i="23"/>
  <c r="V7" i="23" s="1"/>
  <c r="U113" i="23"/>
  <c r="U7" i="23" s="1"/>
  <c r="T113" i="23"/>
  <c r="S113" i="23"/>
  <c r="R113" i="23"/>
  <c r="H113" i="23"/>
  <c r="E113" i="23"/>
  <c r="AV112" i="23"/>
  <c r="AT112" i="23"/>
  <c r="AR112" i="23"/>
  <c r="AP112" i="23"/>
  <c r="AN112" i="23"/>
  <c r="P112" i="23"/>
  <c r="O112" i="23"/>
  <c r="N112" i="23"/>
  <c r="M112" i="23"/>
  <c r="L112" i="23"/>
  <c r="K112" i="23"/>
  <c r="AL112" i="23" s="1"/>
  <c r="J112" i="23"/>
  <c r="I112" i="23"/>
  <c r="H112" i="23"/>
  <c r="G112" i="23"/>
  <c r="F112" i="23"/>
  <c r="E112" i="23"/>
  <c r="D112" i="23"/>
  <c r="C112" i="23"/>
  <c r="C113" i="23" s="1"/>
  <c r="C7" i="23" s="1"/>
  <c r="B112" i="23"/>
  <c r="AV111" i="23"/>
  <c r="AT111" i="23"/>
  <c r="AR111" i="23"/>
  <c r="AP111" i="23"/>
  <c r="AN111" i="23"/>
  <c r="AL111" i="23"/>
  <c r="P111" i="23"/>
  <c r="O111" i="23"/>
  <c r="N111" i="23"/>
  <c r="M111" i="23"/>
  <c r="L111" i="23"/>
  <c r="K111" i="23"/>
  <c r="J111" i="23"/>
  <c r="I111" i="23"/>
  <c r="H111" i="23"/>
  <c r="G111" i="23"/>
  <c r="F111" i="23"/>
  <c r="E111" i="23"/>
  <c r="D111" i="23"/>
  <c r="C111" i="23"/>
  <c r="B111" i="23"/>
  <c r="B113" i="23" s="1"/>
  <c r="B7" i="23" s="1"/>
  <c r="AV110" i="23"/>
  <c r="AR110" i="23"/>
  <c r="AP110" i="23"/>
  <c r="AN110" i="23"/>
  <c r="AL110" i="23"/>
  <c r="P110" i="23"/>
  <c r="AT110" i="23" s="1"/>
  <c r="O110" i="23"/>
  <c r="N110" i="23"/>
  <c r="M110" i="23"/>
  <c r="L110" i="23"/>
  <c r="K110" i="23"/>
  <c r="J110" i="23"/>
  <c r="I110" i="23"/>
  <c r="H110" i="23"/>
  <c r="G110" i="23"/>
  <c r="F110" i="23"/>
  <c r="E110" i="23"/>
  <c r="D110" i="23"/>
  <c r="C110" i="23"/>
  <c r="B110" i="23"/>
  <c r="AV109" i="23"/>
  <c r="AP109" i="23"/>
  <c r="AN109" i="23"/>
  <c r="AL109" i="23"/>
  <c r="P109" i="23"/>
  <c r="O109" i="23"/>
  <c r="AR109" i="23" s="1"/>
  <c r="N109" i="23"/>
  <c r="M109" i="23"/>
  <c r="L109" i="23"/>
  <c r="K109" i="23"/>
  <c r="J109" i="23"/>
  <c r="I109" i="23"/>
  <c r="H109" i="23"/>
  <c r="G109" i="23"/>
  <c r="F109" i="23"/>
  <c r="E109" i="23"/>
  <c r="D109" i="23"/>
  <c r="C109" i="23"/>
  <c r="B109" i="23"/>
  <c r="AV108" i="23"/>
  <c r="AT108" i="23"/>
  <c r="AN108" i="23"/>
  <c r="AL108" i="23"/>
  <c r="P108" i="23"/>
  <c r="O108" i="23"/>
  <c r="AR108" i="23" s="1"/>
  <c r="N108" i="23"/>
  <c r="AP108" i="23" s="1"/>
  <c r="M108" i="23"/>
  <c r="L108" i="23"/>
  <c r="K108" i="23"/>
  <c r="J108" i="23"/>
  <c r="I108" i="23"/>
  <c r="H108" i="23"/>
  <c r="G108" i="23"/>
  <c r="F108" i="23"/>
  <c r="E108" i="23"/>
  <c r="D108" i="23"/>
  <c r="C108" i="23"/>
  <c r="B108" i="23"/>
  <c r="AV107" i="23"/>
  <c r="AR107" i="23"/>
  <c r="AP107" i="23"/>
  <c r="AN107" i="23"/>
  <c r="AL107" i="23"/>
  <c r="P107" i="23"/>
  <c r="AT107" i="23" s="1"/>
  <c r="O107" i="23"/>
  <c r="O43" i="23" s="1"/>
  <c r="N107" i="23"/>
  <c r="M107" i="23"/>
  <c r="L107" i="23"/>
  <c r="K107" i="23"/>
  <c r="J107" i="23"/>
  <c r="I107" i="23"/>
  <c r="H107" i="23"/>
  <c r="G107" i="23"/>
  <c r="F107" i="23"/>
  <c r="E107" i="23"/>
  <c r="D107" i="23"/>
  <c r="C107" i="23"/>
  <c r="B107" i="23"/>
  <c r="AV106" i="23"/>
  <c r="P106" i="23"/>
  <c r="AT106" i="23" s="1"/>
  <c r="O106" i="23"/>
  <c r="N106" i="23"/>
  <c r="AP106" i="23" s="1"/>
  <c r="M106" i="23"/>
  <c r="M42" i="23" s="1"/>
  <c r="M26" i="23" s="1"/>
  <c r="L106" i="23"/>
  <c r="L113" i="23" s="1"/>
  <c r="AN113" i="23" s="1"/>
  <c r="K106" i="23"/>
  <c r="J106" i="23"/>
  <c r="I106" i="23"/>
  <c r="H106" i="23"/>
  <c r="G106" i="23"/>
  <c r="F106" i="23"/>
  <c r="E106" i="23"/>
  <c r="D106" i="23"/>
  <c r="C106" i="23"/>
  <c r="B106" i="23"/>
  <c r="AV105" i="23"/>
  <c r="P105" i="23"/>
  <c r="AT105" i="23" s="1"/>
  <c r="O105" i="23"/>
  <c r="AR105" i="23" s="1"/>
  <c r="N105" i="23"/>
  <c r="AP105" i="23" s="1"/>
  <c r="M105" i="23"/>
  <c r="L105" i="23"/>
  <c r="AN105" i="23" s="1"/>
  <c r="K105" i="23"/>
  <c r="J105" i="23"/>
  <c r="I105" i="23"/>
  <c r="H105" i="23"/>
  <c r="G105" i="23"/>
  <c r="F105" i="23"/>
  <c r="E105" i="23"/>
  <c r="D105" i="23"/>
  <c r="C105" i="23"/>
  <c r="B105" i="23"/>
  <c r="AV104" i="23"/>
  <c r="AR104" i="23"/>
  <c r="P104" i="23"/>
  <c r="AT104" i="23" s="1"/>
  <c r="O104" i="23"/>
  <c r="N104" i="23"/>
  <c r="AP104" i="23" s="1"/>
  <c r="M104" i="23"/>
  <c r="L104" i="23"/>
  <c r="AN104" i="23" s="1"/>
  <c r="K104" i="23"/>
  <c r="J104" i="23"/>
  <c r="I104" i="23"/>
  <c r="H104" i="23"/>
  <c r="G104" i="23"/>
  <c r="F104" i="23"/>
  <c r="E104" i="23"/>
  <c r="D104" i="23"/>
  <c r="C104" i="23"/>
  <c r="B104" i="23"/>
  <c r="AN103" i="23"/>
  <c r="Q103" i="23"/>
  <c r="AV103" i="23" s="1"/>
  <c r="P103" i="23"/>
  <c r="AT103" i="23" s="1"/>
  <c r="O103" i="23"/>
  <c r="AR103" i="23" s="1"/>
  <c r="N103" i="23"/>
  <c r="AP103" i="23" s="1"/>
  <c r="M103" i="23"/>
  <c r="L103" i="23"/>
  <c r="K103" i="23"/>
  <c r="J103" i="23"/>
  <c r="I103" i="23"/>
  <c r="H103" i="23"/>
  <c r="G103" i="23"/>
  <c r="F103" i="23"/>
  <c r="E103" i="23"/>
  <c r="D103" i="23"/>
  <c r="C103" i="23"/>
  <c r="B103" i="23"/>
  <c r="AV102" i="23"/>
  <c r="AR102" i="23"/>
  <c r="AP102" i="23"/>
  <c r="Q102" i="23"/>
  <c r="P102" i="23"/>
  <c r="AT102" i="23" s="1"/>
  <c r="O102" i="23"/>
  <c r="N102" i="23"/>
  <c r="M102" i="23"/>
  <c r="L102" i="23"/>
  <c r="AN102" i="23" s="1"/>
  <c r="K102" i="23"/>
  <c r="J102" i="23"/>
  <c r="I102" i="23"/>
  <c r="H102" i="23"/>
  <c r="G102" i="23"/>
  <c r="F102" i="23"/>
  <c r="E102" i="23"/>
  <c r="D102" i="23"/>
  <c r="C102" i="23"/>
  <c r="B102" i="23"/>
  <c r="AP101" i="23"/>
  <c r="AN101" i="23"/>
  <c r="Q101" i="23"/>
  <c r="Q113" i="23" s="1"/>
  <c r="P101" i="23"/>
  <c r="O101" i="23"/>
  <c r="N101" i="23"/>
  <c r="N113" i="23" s="1"/>
  <c r="M101" i="23"/>
  <c r="L101" i="23"/>
  <c r="K101" i="23"/>
  <c r="J101" i="23"/>
  <c r="J113" i="23" s="1"/>
  <c r="J7" i="23" s="1"/>
  <c r="I101" i="23"/>
  <c r="H101" i="23"/>
  <c r="G101" i="23"/>
  <c r="F101" i="23"/>
  <c r="E101" i="23"/>
  <c r="D101" i="23"/>
  <c r="D113" i="23" s="1"/>
  <c r="D7" i="23" s="1"/>
  <c r="C101" i="23"/>
  <c r="B101" i="23"/>
  <c r="AG100" i="23"/>
  <c r="AF100" i="23"/>
  <c r="AE100" i="23"/>
  <c r="AD100" i="23"/>
  <c r="AC100" i="23"/>
  <c r="AB100" i="23"/>
  <c r="AA100" i="23"/>
  <c r="Z100" i="23"/>
  <c r="Y100" i="23"/>
  <c r="X100" i="23"/>
  <c r="W100" i="23"/>
  <c r="V100" i="23"/>
  <c r="U100" i="23"/>
  <c r="T100" i="23"/>
  <c r="S100" i="23"/>
  <c r="R100" i="23"/>
  <c r="Q100" i="23"/>
  <c r="P100" i="23"/>
  <c r="O100" i="23"/>
  <c r="N100" i="23"/>
  <c r="M100" i="23"/>
  <c r="L100" i="23"/>
  <c r="K100" i="23"/>
  <c r="J100" i="23"/>
  <c r="I100" i="23"/>
  <c r="H100" i="23"/>
  <c r="G100" i="23"/>
  <c r="F100" i="23"/>
  <c r="E100" i="23"/>
  <c r="D100" i="23"/>
  <c r="C100" i="23"/>
  <c r="B100" i="23"/>
  <c r="Y97" i="23"/>
  <c r="Y6" i="23" s="1"/>
  <c r="W97" i="23"/>
  <c r="W6" i="23" s="1"/>
  <c r="AV96" i="23"/>
  <c r="AT96" i="23"/>
  <c r="AL96" i="23"/>
  <c r="AG96" i="23"/>
  <c r="AF96" i="23"/>
  <c r="AE96" i="23"/>
  <c r="AD96" i="23"/>
  <c r="AC96" i="23"/>
  <c r="AB96" i="23"/>
  <c r="AA96" i="23"/>
  <c r="Z96" i="23"/>
  <c r="Y96" i="23"/>
  <c r="X96" i="23"/>
  <c r="W96" i="23"/>
  <c r="V96" i="23"/>
  <c r="U96" i="23"/>
  <c r="T96" i="23"/>
  <c r="S96" i="23"/>
  <c r="R96" i="23"/>
  <c r="Q96" i="23"/>
  <c r="P96" i="23"/>
  <c r="O96" i="23"/>
  <c r="AR96" i="23" s="1"/>
  <c r="N96" i="23"/>
  <c r="AP96" i="23" s="1"/>
  <c r="M96" i="23"/>
  <c r="L96" i="23"/>
  <c r="K96" i="23"/>
  <c r="J96" i="23"/>
  <c r="I96" i="23"/>
  <c r="H96" i="23"/>
  <c r="G96" i="23"/>
  <c r="F96" i="23"/>
  <c r="E96" i="23"/>
  <c r="D96" i="23"/>
  <c r="C96" i="23"/>
  <c r="B96" i="23"/>
  <c r="AN95" i="23"/>
  <c r="AG95" i="23"/>
  <c r="AF95" i="23"/>
  <c r="AE95" i="23"/>
  <c r="AD95" i="23"/>
  <c r="AC95" i="23"/>
  <c r="AB95" i="23"/>
  <c r="AA95" i="23"/>
  <c r="Z95" i="23"/>
  <c r="Y95" i="23"/>
  <c r="X95" i="23"/>
  <c r="W95" i="23"/>
  <c r="V95" i="23"/>
  <c r="U95" i="23"/>
  <c r="T95" i="23"/>
  <c r="S95" i="23"/>
  <c r="R95" i="23"/>
  <c r="Q95" i="23"/>
  <c r="P95" i="23"/>
  <c r="AT95" i="23" s="1"/>
  <c r="O95" i="23"/>
  <c r="AR95" i="23" s="1"/>
  <c r="N95" i="23"/>
  <c r="AP95" i="23" s="1"/>
  <c r="M95" i="23"/>
  <c r="L95" i="23"/>
  <c r="K95" i="23"/>
  <c r="AL95" i="23" s="1"/>
  <c r="J95" i="23"/>
  <c r="I95" i="23"/>
  <c r="H95" i="23"/>
  <c r="G95" i="23"/>
  <c r="G63" i="23" s="1"/>
  <c r="G47" i="23" s="1"/>
  <c r="F95" i="23"/>
  <c r="E95" i="23"/>
  <c r="D95" i="23"/>
  <c r="D63" i="23" s="1"/>
  <c r="D47" i="23" s="1"/>
  <c r="D31" i="23" s="1"/>
  <c r="C95" i="23"/>
  <c r="B95" i="23"/>
  <c r="AN94" i="23"/>
  <c r="AL94" i="23"/>
  <c r="AG94" i="23"/>
  <c r="AF94" i="23"/>
  <c r="AE94" i="23"/>
  <c r="AD94" i="23"/>
  <c r="AC94" i="23"/>
  <c r="AB94" i="23"/>
  <c r="AA94" i="23"/>
  <c r="Z94" i="23"/>
  <c r="Y94" i="23"/>
  <c r="X94" i="23"/>
  <c r="W94" i="23"/>
  <c r="V94" i="23"/>
  <c r="U94" i="23"/>
  <c r="T94" i="23"/>
  <c r="S94" i="23"/>
  <c r="R94" i="23"/>
  <c r="Q94" i="23"/>
  <c r="P94" i="23"/>
  <c r="AT94" i="23" s="1"/>
  <c r="O94" i="23"/>
  <c r="AR94" i="23" s="1"/>
  <c r="N94" i="23"/>
  <c r="AP94" i="23" s="1"/>
  <c r="M94" i="23"/>
  <c r="L94" i="23"/>
  <c r="L62" i="23" s="1"/>
  <c r="L46" i="23" s="1"/>
  <c r="K94" i="23"/>
  <c r="J94" i="23"/>
  <c r="I94" i="23"/>
  <c r="H94" i="23"/>
  <c r="G94" i="23"/>
  <c r="F94" i="23"/>
  <c r="E94" i="23"/>
  <c r="D94" i="23"/>
  <c r="C94" i="23"/>
  <c r="B94" i="23"/>
  <c r="AV93" i="23"/>
  <c r="AP93" i="23"/>
  <c r="AG93" i="23"/>
  <c r="AF93" i="23"/>
  <c r="AE93" i="23"/>
  <c r="AD93" i="23"/>
  <c r="AC93" i="23"/>
  <c r="AB93" i="23"/>
  <c r="AA93" i="23"/>
  <c r="Z93" i="23"/>
  <c r="Y93" i="23"/>
  <c r="X93" i="23"/>
  <c r="X95" i="25" s="1"/>
  <c r="W93" i="23"/>
  <c r="V93" i="23"/>
  <c r="U93" i="23"/>
  <c r="T93" i="23"/>
  <c r="S93" i="23"/>
  <c r="R93" i="23"/>
  <c r="Q93" i="23"/>
  <c r="P93" i="23"/>
  <c r="AT93" i="23" s="1"/>
  <c r="O93" i="23"/>
  <c r="AR93" i="23" s="1"/>
  <c r="N93" i="23"/>
  <c r="N61" i="23" s="1"/>
  <c r="M93" i="23"/>
  <c r="L93" i="23"/>
  <c r="AN93" i="23" s="1"/>
  <c r="K93" i="23"/>
  <c r="AL93" i="23" s="1"/>
  <c r="J93" i="23"/>
  <c r="I93" i="23"/>
  <c r="H93" i="23"/>
  <c r="G93" i="23"/>
  <c r="F93" i="23"/>
  <c r="F61" i="23" s="1"/>
  <c r="F45" i="23" s="1"/>
  <c r="E93" i="23"/>
  <c r="D93" i="23"/>
  <c r="C93" i="23"/>
  <c r="B93" i="23"/>
  <c r="AV92" i="23"/>
  <c r="AG92" i="23"/>
  <c r="AF92" i="23"/>
  <c r="AE92" i="23"/>
  <c r="AD92" i="23"/>
  <c r="AC92" i="23"/>
  <c r="AB92" i="23"/>
  <c r="AA92" i="23"/>
  <c r="Z92" i="23"/>
  <c r="Y92" i="23"/>
  <c r="X92" i="23"/>
  <c r="W92" i="23"/>
  <c r="V92" i="23"/>
  <c r="U92" i="23"/>
  <c r="T92" i="23"/>
  <c r="S92" i="23"/>
  <c r="R92" i="23"/>
  <c r="Q92" i="23"/>
  <c r="P92" i="23"/>
  <c r="AT92" i="23" s="1"/>
  <c r="O92" i="23"/>
  <c r="AR92" i="23" s="1"/>
  <c r="N92" i="23"/>
  <c r="AP92" i="23" s="1"/>
  <c r="M92" i="23"/>
  <c r="L92" i="23"/>
  <c r="AN92" i="23" s="1"/>
  <c r="K92" i="23"/>
  <c r="AL92" i="23" s="1"/>
  <c r="J92" i="23"/>
  <c r="I92" i="23"/>
  <c r="H92" i="23"/>
  <c r="G92" i="23"/>
  <c r="F92" i="23"/>
  <c r="E92" i="23"/>
  <c r="D92" i="23"/>
  <c r="C92" i="23"/>
  <c r="B92" i="23"/>
  <c r="AV91" i="23"/>
  <c r="AT91" i="23"/>
  <c r="AG91" i="23"/>
  <c r="AF91" i="23"/>
  <c r="AE91" i="23"/>
  <c r="AD91" i="23"/>
  <c r="AC91" i="23"/>
  <c r="AB91" i="23"/>
  <c r="AA91" i="23"/>
  <c r="Z91" i="23"/>
  <c r="Y91" i="23"/>
  <c r="X91" i="23"/>
  <c r="W91" i="23"/>
  <c r="V91" i="23"/>
  <c r="U91" i="23"/>
  <c r="T91" i="23"/>
  <c r="S91" i="23"/>
  <c r="R91" i="23"/>
  <c r="Q91" i="23"/>
  <c r="P91" i="23"/>
  <c r="O91" i="23"/>
  <c r="AR91" i="23" s="1"/>
  <c r="N91" i="23"/>
  <c r="AP91" i="23" s="1"/>
  <c r="M91" i="23"/>
  <c r="L91" i="23"/>
  <c r="AN91" i="23" s="1"/>
  <c r="K91" i="23"/>
  <c r="AL91" i="23" s="1"/>
  <c r="J91" i="23"/>
  <c r="I91" i="23"/>
  <c r="I59" i="23" s="1"/>
  <c r="I43" i="23" s="1"/>
  <c r="H91" i="23"/>
  <c r="H97" i="23" s="1"/>
  <c r="H6" i="23" s="1"/>
  <c r="G91" i="23"/>
  <c r="F91" i="23"/>
  <c r="F59" i="23" s="1"/>
  <c r="E91" i="23"/>
  <c r="E59" i="23" s="1"/>
  <c r="D91" i="23"/>
  <c r="D59" i="23" s="1"/>
  <c r="C91" i="23"/>
  <c r="B91" i="23"/>
  <c r="AV90" i="23"/>
  <c r="AR90" i="23"/>
  <c r="AG90" i="23"/>
  <c r="AF90" i="23"/>
  <c r="AE90" i="23"/>
  <c r="AD90" i="23"/>
  <c r="AC90" i="23"/>
  <c r="AB90" i="23"/>
  <c r="AA90" i="23"/>
  <c r="Z90" i="23"/>
  <c r="Y90" i="23"/>
  <c r="X90" i="23"/>
  <c r="W90" i="23"/>
  <c r="V90" i="23"/>
  <c r="V92" i="25" s="1"/>
  <c r="U90" i="23"/>
  <c r="T90" i="23"/>
  <c r="S90" i="23"/>
  <c r="R90" i="23"/>
  <c r="Q90" i="23"/>
  <c r="P90" i="23"/>
  <c r="AT90" i="23" s="1"/>
  <c r="O90" i="23"/>
  <c r="N90" i="23"/>
  <c r="AP90" i="23" s="1"/>
  <c r="M90" i="23"/>
  <c r="L90" i="23"/>
  <c r="AN90" i="23" s="1"/>
  <c r="K90" i="23"/>
  <c r="J90" i="23"/>
  <c r="I90" i="23"/>
  <c r="H90" i="23"/>
  <c r="G90" i="23"/>
  <c r="F90" i="23"/>
  <c r="E90" i="23"/>
  <c r="D90" i="23"/>
  <c r="C90" i="23"/>
  <c r="B90" i="23"/>
  <c r="AT89" i="23"/>
  <c r="AR89" i="23"/>
  <c r="AG89" i="23"/>
  <c r="AF89" i="23"/>
  <c r="AE89" i="23"/>
  <c r="AD89" i="23"/>
  <c r="AC89" i="23"/>
  <c r="AB89" i="23"/>
  <c r="AA89" i="23"/>
  <c r="Z89" i="23"/>
  <c r="Y89" i="23"/>
  <c r="X89" i="23"/>
  <c r="W89" i="23"/>
  <c r="V89" i="23"/>
  <c r="U89" i="23"/>
  <c r="T89" i="23"/>
  <c r="S89" i="23"/>
  <c r="R89" i="23"/>
  <c r="Q89" i="23"/>
  <c r="P89" i="23"/>
  <c r="O89" i="23"/>
  <c r="N89" i="23"/>
  <c r="N57" i="23" s="1"/>
  <c r="M89" i="23"/>
  <c r="M57" i="23" s="1"/>
  <c r="M41" i="23" s="1"/>
  <c r="M25" i="23" s="1"/>
  <c r="L89" i="23"/>
  <c r="L57" i="23" s="1"/>
  <c r="K89" i="23"/>
  <c r="J89" i="23"/>
  <c r="I89" i="23"/>
  <c r="H89" i="23"/>
  <c r="G89" i="23"/>
  <c r="F89" i="23"/>
  <c r="E89" i="23"/>
  <c r="D89" i="23"/>
  <c r="C89" i="23"/>
  <c r="B89" i="23"/>
  <c r="AT88" i="23"/>
  <c r="AP88" i="23"/>
  <c r="AG88" i="23"/>
  <c r="AF88" i="23"/>
  <c r="AE88" i="23"/>
  <c r="AD88" i="23"/>
  <c r="AC88" i="23"/>
  <c r="AB88" i="23"/>
  <c r="AA88" i="23"/>
  <c r="Z88" i="23"/>
  <c r="Y88" i="23"/>
  <c r="X88" i="23"/>
  <c r="W88" i="23"/>
  <c r="V88" i="23"/>
  <c r="U88" i="23"/>
  <c r="T88" i="23"/>
  <c r="S88" i="23"/>
  <c r="R88" i="23"/>
  <c r="Q88" i="23"/>
  <c r="P88" i="23"/>
  <c r="O88" i="23"/>
  <c r="AR88" i="23" s="1"/>
  <c r="N88" i="23"/>
  <c r="M88" i="23"/>
  <c r="L88" i="23"/>
  <c r="AN88" i="23" s="1"/>
  <c r="K88" i="23"/>
  <c r="J88" i="23"/>
  <c r="I88" i="23"/>
  <c r="H88" i="23"/>
  <c r="H56" i="23" s="1"/>
  <c r="H40" i="23" s="1"/>
  <c r="H24" i="23" s="1"/>
  <c r="G88" i="23"/>
  <c r="F88" i="23"/>
  <c r="F56" i="23" s="1"/>
  <c r="F40" i="23" s="1"/>
  <c r="F24" i="23" s="1"/>
  <c r="E88" i="23"/>
  <c r="E56" i="23" s="1"/>
  <c r="D88" i="23"/>
  <c r="D56" i="23" s="1"/>
  <c r="D40" i="23" s="1"/>
  <c r="D24" i="23" s="1"/>
  <c r="C88" i="23"/>
  <c r="B88" i="23"/>
  <c r="AT87" i="23"/>
  <c r="AP87" i="23"/>
  <c r="AG87" i="23"/>
  <c r="AF87" i="23"/>
  <c r="AE87" i="23"/>
  <c r="AD87" i="23"/>
  <c r="AC87" i="23"/>
  <c r="AB87" i="23"/>
  <c r="AA87" i="23"/>
  <c r="Z87" i="23"/>
  <c r="Y87" i="23"/>
  <c r="X87" i="23"/>
  <c r="W87" i="23"/>
  <c r="V87" i="23"/>
  <c r="U87" i="23"/>
  <c r="T87" i="23"/>
  <c r="S87" i="23"/>
  <c r="R87" i="23"/>
  <c r="Q87" i="23"/>
  <c r="AV87" i="23" s="1"/>
  <c r="P87" i="23"/>
  <c r="O87" i="23"/>
  <c r="AR87" i="23" s="1"/>
  <c r="N87" i="23"/>
  <c r="M87" i="23"/>
  <c r="L87" i="23"/>
  <c r="AN87" i="23" s="1"/>
  <c r="K87" i="23"/>
  <c r="J87" i="23"/>
  <c r="I87" i="23"/>
  <c r="H87" i="23"/>
  <c r="G87" i="23"/>
  <c r="F87" i="23"/>
  <c r="E87" i="23"/>
  <c r="D87" i="23"/>
  <c r="C87" i="23"/>
  <c r="B87" i="23"/>
  <c r="AV86" i="23"/>
  <c r="AR86" i="23"/>
  <c r="AP86" i="23"/>
  <c r="AG86" i="23"/>
  <c r="AG97" i="23" s="1"/>
  <c r="AG6" i="23" s="1"/>
  <c r="AF86" i="23"/>
  <c r="AE86" i="23"/>
  <c r="AD86" i="23"/>
  <c r="AC86" i="23"/>
  <c r="AB86" i="23"/>
  <c r="AA86" i="23"/>
  <c r="Z86" i="23"/>
  <c r="Y86" i="23"/>
  <c r="X86" i="23"/>
  <c r="X88" i="25" s="1"/>
  <c r="W86" i="23"/>
  <c r="V86" i="23"/>
  <c r="U86" i="23"/>
  <c r="T86" i="23"/>
  <c r="S86" i="23"/>
  <c r="S88" i="25" s="1"/>
  <c r="R86" i="23"/>
  <c r="Q86" i="23"/>
  <c r="P86" i="23"/>
  <c r="O86" i="23"/>
  <c r="N86" i="23"/>
  <c r="M86" i="23"/>
  <c r="L86" i="23"/>
  <c r="K86" i="23"/>
  <c r="K54" i="23" s="1"/>
  <c r="K38" i="23" s="1"/>
  <c r="K22" i="23" s="1"/>
  <c r="J86" i="23"/>
  <c r="I86" i="23"/>
  <c r="H86" i="23"/>
  <c r="G86" i="23"/>
  <c r="F86" i="23"/>
  <c r="E86" i="23"/>
  <c r="D86" i="23"/>
  <c r="C86" i="23"/>
  <c r="B86" i="23"/>
  <c r="AV85" i="23"/>
  <c r="AR85" i="23"/>
  <c r="AP85" i="23"/>
  <c r="AG85" i="23"/>
  <c r="AF85" i="23"/>
  <c r="AE85" i="23"/>
  <c r="AD85" i="23"/>
  <c r="AC85" i="23"/>
  <c r="AB85" i="23"/>
  <c r="AA85" i="23"/>
  <c r="Z85" i="23"/>
  <c r="Y85" i="23"/>
  <c r="X85" i="23"/>
  <c r="W85" i="23"/>
  <c r="V85" i="23"/>
  <c r="U85" i="23"/>
  <c r="T85" i="23"/>
  <c r="S85" i="23"/>
  <c r="R85" i="23"/>
  <c r="Q85" i="23"/>
  <c r="P85" i="23"/>
  <c r="AT85" i="23" s="1"/>
  <c r="O85" i="23"/>
  <c r="N85" i="23"/>
  <c r="M85" i="23"/>
  <c r="L85" i="23"/>
  <c r="AN85" i="23" s="1"/>
  <c r="K85" i="23"/>
  <c r="J85" i="23"/>
  <c r="I85" i="23"/>
  <c r="H85" i="23"/>
  <c r="H53" i="23" s="1"/>
  <c r="G85" i="23"/>
  <c r="F85" i="23"/>
  <c r="E85" i="23"/>
  <c r="D85" i="23"/>
  <c r="C85" i="23"/>
  <c r="B85" i="23"/>
  <c r="AG84" i="23"/>
  <c r="AF84" i="23"/>
  <c r="AE84" i="23"/>
  <c r="AD84" i="23"/>
  <c r="AC84" i="23"/>
  <c r="AB84" i="23"/>
  <c r="AA84" i="23"/>
  <c r="Z84" i="23"/>
  <c r="Y84" i="23"/>
  <c r="X84" i="23"/>
  <c r="W84" i="23"/>
  <c r="V84" i="23"/>
  <c r="U84" i="23"/>
  <c r="T84" i="23"/>
  <c r="S84" i="23"/>
  <c r="R84" i="23"/>
  <c r="Q84" i="23"/>
  <c r="P84" i="23"/>
  <c r="O84" i="23"/>
  <c r="N84" i="23"/>
  <c r="M84" i="23"/>
  <c r="L84" i="23"/>
  <c r="K84" i="23"/>
  <c r="J84" i="23"/>
  <c r="I84" i="23"/>
  <c r="H84" i="23"/>
  <c r="G84" i="23"/>
  <c r="F84" i="23"/>
  <c r="E84" i="23"/>
  <c r="D84" i="23"/>
  <c r="C84" i="23"/>
  <c r="B84" i="23"/>
  <c r="P80" i="23"/>
  <c r="P64" i="23" s="1"/>
  <c r="P48" i="23" s="1"/>
  <c r="O80" i="23"/>
  <c r="AR80" i="23" s="1"/>
  <c r="N80" i="23"/>
  <c r="AP80" i="23" s="1"/>
  <c r="M80" i="23"/>
  <c r="L80" i="23"/>
  <c r="AN80" i="23" s="1"/>
  <c r="K80" i="23"/>
  <c r="J80" i="23"/>
  <c r="I80" i="23"/>
  <c r="H80" i="23"/>
  <c r="G80" i="23"/>
  <c r="F80" i="23"/>
  <c r="E80" i="23"/>
  <c r="D80" i="23"/>
  <c r="C80" i="23"/>
  <c r="B80" i="23"/>
  <c r="AT79" i="23"/>
  <c r="AR79" i="23"/>
  <c r="AP79" i="23"/>
  <c r="AN79" i="23"/>
  <c r="AL79" i="23"/>
  <c r="P79" i="23"/>
  <c r="P63" i="23" s="1"/>
  <c r="AT63" i="23" s="1"/>
  <c r="O79" i="23"/>
  <c r="O63" i="23" s="1"/>
  <c r="N79" i="23"/>
  <c r="M79" i="23"/>
  <c r="M63" i="23" s="1"/>
  <c r="M47" i="23" s="1"/>
  <c r="L79" i="23"/>
  <c r="K79" i="23"/>
  <c r="K63" i="23" s="1"/>
  <c r="AL63" i="23" s="1"/>
  <c r="J79" i="23"/>
  <c r="J63" i="23" s="1"/>
  <c r="I79" i="23"/>
  <c r="H79" i="23"/>
  <c r="G79" i="23"/>
  <c r="F79" i="23"/>
  <c r="E79" i="23"/>
  <c r="D79" i="23"/>
  <c r="C79" i="23"/>
  <c r="B79" i="23"/>
  <c r="AT78" i="23"/>
  <c r="AN78" i="23"/>
  <c r="P78" i="23"/>
  <c r="O78" i="23"/>
  <c r="N78" i="23"/>
  <c r="M78" i="23"/>
  <c r="L78" i="23"/>
  <c r="K78" i="23"/>
  <c r="AL78" i="23" s="1"/>
  <c r="J78" i="23"/>
  <c r="I78" i="23"/>
  <c r="H78" i="23"/>
  <c r="H62" i="23" s="1"/>
  <c r="H46" i="23" s="1"/>
  <c r="H30" i="23" s="1"/>
  <c r="G78" i="23"/>
  <c r="F78" i="23"/>
  <c r="E78" i="23"/>
  <c r="D78" i="23"/>
  <c r="C78" i="23"/>
  <c r="B78" i="23"/>
  <c r="AR77" i="23"/>
  <c r="AN77" i="23"/>
  <c r="AL77" i="23"/>
  <c r="P77" i="23"/>
  <c r="AT77" i="23" s="1"/>
  <c r="O77" i="23"/>
  <c r="N77" i="23"/>
  <c r="AP77" i="23" s="1"/>
  <c r="M77" i="23"/>
  <c r="M61" i="23" s="1"/>
  <c r="M45" i="23" s="1"/>
  <c r="M29" i="23" s="1"/>
  <c r="L77" i="23"/>
  <c r="K77" i="23"/>
  <c r="J77" i="23"/>
  <c r="I77" i="23"/>
  <c r="I61" i="23" s="1"/>
  <c r="H77" i="23"/>
  <c r="G77" i="23"/>
  <c r="F77" i="23"/>
  <c r="E77" i="23"/>
  <c r="E61" i="23" s="1"/>
  <c r="E45" i="23" s="1"/>
  <c r="D77" i="23"/>
  <c r="D61" i="23" s="1"/>
  <c r="C77" i="23"/>
  <c r="B77" i="23"/>
  <c r="B61" i="23" s="1"/>
  <c r="B45" i="23" s="1"/>
  <c r="AT76" i="23"/>
  <c r="AL76" i="23"/>
  <c r="P76" i="23"/>
  <c r="P60" i="23" s="1"/>
  <c r="O76" i="23"/>
  <c r="N76" i="23"/>
  <c r="M76" i="23"/>
  <c r="L76" i="23"/>
  <c r="AN76" i="23" s="1"/>
  <c r="K76" i="23"/>
  <c r="J76" i="23"/>
  <c r="I76" i="23"/>
  <c r="H76" i="23"/>
  <c r="G76" i="23"/>
  <c r="F76" i="23"/>
  <c r="E76" i="23"/>
  <c r="D76" i="23"/>
  <c r="C76" i="23"/>
  <c r="B76" i="23"/>
  <c r="AT75" i="23"/>
  <c r="AR75" i="23"/>
  <c r="AP75" i="23"/>
  <c r="AN75" i="23"/>
  <c r="AL75" i="23"/>
  <c r="P75" i="23"/>
  <c r="O75" i="23"/>
  <c r="N75" i="23"/>
  <c r="M75" i="23"/>
  <c r="L75" i="23"/>
  <c r="K75" i="23"/>
  <c r="J75" i="23"/>
  <c r="I75" i="23"/>
  <c r="H75" i="23"/>
  <c r="G75" i="23"/>
  <c r="F75" i="23"/>
  <c r="E75" i="23"/>
  <c r="D75" i="23"/>
  <c r="C75" i="23"/>
  <c r="C59" i="23" s="1"/>
  <c r="B75" i="23"/>
  <c r="AN74" i="23"/>
  <c r="P74" i="23"/>
  <c r="P58" i="23" s="1"/>
  <c r="O74" i="23"/>
  <c r="AR74" i="23" s="1"/>
  <c r="N74" i="23"/>
  <c r="M74" i="23"/>
  <c r="M58" i="23" s="1"/>
  <c r="L74" i="23"/>
  <c r="L58" i="23" s="1"/>
  <c r="AN58" i="23" s="1"/>
  <c r="K74" i="23"/>
  <c r="K58" i="23" s="1"/>
  <c r="J74" i="23"/>
  <c r="J58" i="23" s="1"/>
  <c r="J42" i="23" s="1"/>
  <c r="I74" i="23"/>
  <c r="H74" i="23"/>
  <c r="G74" i="23"/>
  <c r="G58" i="23" s="1"/>
  <c r="G42" i="23" s="1"/>
  <c r="G26" i="23" s="1"/>
  <c r="F74" i="23"/>
  <c r="E74" i="23"/>
  <c r="D74" i="23"/>
  <c r="C74" i="23"/>
  <c r="B74" i="23"/>
  <c r="AR73" i="23"/>
  <c r="P73" i="23"/>
  <c r="O73" i="23"/>
  <c r="N73" i="23"/>
  <c r="AP73" i="23" s="1"/>
  <c r="M73" i="23"/>
  <c r="L73" i="23"/>
  <c r="AN73" i="23" s="1"/>
  <c r="K73" i="23"/>
  <c r="J73" i="23"/>
  <c r="I73" i="23"/>
  <c r="H73" i="23"/>
  <c r="H57" i="23" s="1"/>
  <c r="G73" i="23"/>
  <c r="G57" i="23" s="1"/>
  <c r="F73" i="23"/>
  <c r="E73" i="23"/>
  <c r="E57" i="23" s="1"/>
  <c r="D73" i="23"/>
  <c r="D57" i="23" s="1"/>
  <c r="C73" i="23"/>
  <c r="B73" i="23"/>
  <c r="P72" i="23"/>
  <c r="O72" i="23"/>
  <c r="N72" i="23"/>
  <c r="AP72" i="23" s="1"/>
  <c r="M72" i="23"/>
  <c r="M56" i="23" s="1"/>
  <c r="M40" i="23" s="1"/>
  <c r="L72" i="23"/>
  <c r="K72" i="23"/>
  <c r="K56" i="23" s="1"/>
  <c r="K40" i="23" s="1"/>
  <c r="J72" i="23"/>
  <c r="J56" i="23" s="1"/>
  <c r="I72" i="23"/>
  <c r="H72" i="23"/>
  <c r="G72" i="23"/>
  <c r="F72" i="23"/>
  <c r="E72" i="23"/>
  <c r="D72" i="23"/>
  <c r="C72" i="23"/>
  <c r="B72" i="23"/>
  <c r="B56" i="23" s="1"/>
  <c r="AV71" i="23"/>
  <c r="AR71" i="23"/>
  <c r="AP71" i="23"/>
  <c r="AN71" i="23"/>
  <c r="Q71" i="23"/>
  <c r="P71" i="23"/>
  <c r="O71" i="23"/>
  <c r="N71" i="23"/>
  <c r="N55" i="23" s="1"/>
  <c r="AP55" i="23" s="1"/>
  <c r="M71" i="23"/>
  <c r="M55" i="23" s="1"/>
  <c r="M39" i="23" s="1"/>
  <c r="M23" i="23" s="1"/>
  <c r="L71" i="23"/>
  <c r="L55" i="23" s="1"/>
  <c r="AN55" i="23" s="1"/>
  <c r="K71" i="23"/>
  <c r="J71" i="23"/>
  <c r="I71" i="23"/>
  <c r="I55" i="23" s="1"/>
  <c r="I39" i="23" s="1"/>
  <c r="H71" i="23"/>
  <c r="G71" i="23"/>
  <c r="F71" i="23"/>
  <c r="E71" i="23"/>
  <c r="D71" i="23"/>
  <c r="C71" i="23"/>
  <c r="B71" i="23"/>
  <c r="B55" i="23" s="1"/>
  <c r="B39" i="23" s="1"/>
  <c r="B23" i="23" s="1"/>
  <c r="AT70" i="23"/>
  <c r="AP70" i="23"/>
  <c r="Q70" i="23"/>
  <c r="AV70" i="23" s="1"/>
  <c r="P70" i="23"/>
  <c r="O70" i="23"/>
  <c r="AR70" i="23" s="1"/>
  <c r="N70" i="23"/>
  <c r="M70" i="23"/>
  <c r="L70" i="23"/>
  <c r="K70" i="23"/>
  <c r="J70" i="23"/>
  <c r="I70" i="23"/>
  <c r="H70" i="23"/>
  <c r="G70" i="23"/>
  <c r="G54" i="23" s="1"/>
  <c r="F70" i="23"/>
  <c r="E70" i="23"/>
  <c r="E54" i="23" s="1"/>
  <c r="D70" i="23"/>
  <c r="C70" i="23"/>
  <c r="C54" i="23" s="1"/>
  <c r="C38" i="23" s="1"/>
  <c r="B70" i="23"/>
  <c r="B54" i="23" s="1"/>
  <c r="AV69" i="23"/>
  <c r="AT69" i="23"/>
  <c r="AP69" i="23"/>
  <c r="Q69" i="23"/>
  <c r="P69" i="23"/>
  <c r="O69" i="23"/>
  <c r="N69" i="23"/>
  <c r="N53" i="23" s="1"/>
  <c r="M69" i="23"/>
  <c r="M53" i="23" s="1"/>
  <c r="L69" i="23"/>
  <c r="K69" i="23"/>
  <c r="J69" i="23"/>
  <c r="I69" i="23"/>
  <c r="H69" i="23"/>
  <c r="G69" i="23"/>
  <c r="F69" i="23"/>
  <c r="E69" i="23"/>
  <c r="D69" i="23"/>
  <c r="C69" i="23"/>
  <c r="B69" i="23"/>
  <c r="AG68" i="23"/>
  <c r="AF68" i="23"/>
  <c r="AE68" i="23"/>
  <c r="AD68" i="23"/>
  <c r="AC68" i="23"/>
  <c r="AB68" i="23"/>
  <c r="AA68" i="23"/>
  <c r="Z68" i="23"/>
  <c r="Y68" i="23"/>
  <c r="X68" i="23"/>
  <c r="W68" i="23"/>
  <c r="V68" i="23"/>
  <c r="U68" i="23"/>
  <c r="T68" i="23"/>
  <c r="S68" i="23"/>
  <c r="R68" i="23"/>
  <c r="Q68" i="23"/>
  <c r="P68" i="23"/>
  <c r="O68" i="23"/>
  <c r="N68" i="23"/>
  <c r="M68" i="23"/>
  <c r="L68" i="23"/>
  <c r="K68" i="23"/>
  <c r="J68" i="23"/>
  <c r="I68" i="23"/>
  <c r="H68" i="23"/>
  <c r="G68" i="23"/>
  <c r="F68" i="23"/>
  <c r="E68" i="23"/>
  <c r="D68" i="23"/>
  <c r="C68" i="23"/>
  <c r="B68" i="23"/>
  <c r="AT64" i="23"/>
  <c r="AR64" i="23"/>
  <c r="AP64" i="23"/>
  <c r="O64" i="23"/>
  <c r="O48" i="23" s="1"/>
  <c r="N64" i="23"/>
  <c r="N48" i="23" s="1"/>
  <c r="M64" i="23"/>
  <c r="M48" i="23" s="1"/>
  <c r="J64" i="23"/>
  <c r="I64" i="23"/>
  <c r="B64" i="23"/>
  <c r="B48" i="23" s="1"/>
  <c r="AN63" i="23"/>
  <c r="N63" i="23"/>
  <c r="L63" i="23"/>
  <c r="L47" i="23" s="1"/>
  <c r="AN47" i="23" s="1"/>
  <c r="I63" i="23"/>
  <c r="H63" i="23"/>
  <c r="H47" i="23" s="1"/>
  <c r="H31" i="23" s="1"/>
  <c r="F63" i="23"/>
  <c r="F47" i="23" s="1"/>
  <c r="F31" i="23" s="1"/>
  <c r="E63" i="23"/>
  <c r="E47" i="23" s="1"/>
  <c r="E31" i="23" s="1"/>
  <c r="C63" i="23"/>
  <c r="C47" i="23" s="1"/>
  <c r="C31" i="23" s="1"/>
  <c r="B63" i="23"/>
  <c r="AN62" i="23"/>
  <c r="AL62" i="23"/>
  <c r="K62" i="23"/>
  <c r="K46" i="23" s="1"/>
  <c r="J62" i="23"/>
  <c r="I62" i="23"/>
  <c r="I46" i="23" s="1"/>
  <c r="G62" i="23"/>
  <c r="G46" i="23" s="1"/>
  <c r="F62" i="23"/>
  <c r="F46" i="23" s="1"/>
  <c r="E62" i="23"/>
  <c r="D62" i="23"/>
  <c r="C62" i="23"/>
  <c r="B62" i="23"/>
  <c r="AT61" i="23"/>
  <c r="AP61" i="23"/>
  <c r="P61" i="23"/>
  <c r="O61" i="23"/>
  <c r="AR61" i="23" s="1"/>
  <c r="L61" i="23"/>
  <c r="C61" i="23"/>
  <c r="C45" i="23" s="1"/>
  <c r="AT60" i="23"/>
  <c r="AN60" i="23"/>
  <c r="AL60" i="23"/>
  <c r="M60" i="23"/>
  <c r="M44" i="23" s="1"/>
  <c r="L60" i="23"/>
  <c r="K60" i="23"/>
  <c r="K44" i="23" s="1"/>
  <c r="AL44" i="23" s="1"/>
  <c r="J60" i="23"/>
  <c r="I60" i="23"/>
  <c r="I44" i="23" s="1"/>
  <c r="I28" i="23" s="1"/>
  <c r="H60" i="23"/>
  <c r="H44" i="23" s="1"/>
  <c r="H28" i="23" s="1"/>
  <c r="G60" i="23"/>
  <c r="G44" i="23" s="1"/>
  <c r="F60" i="23"/>
  <c r="F44" i="23" s="1"/>
  <c r="AT59" i="23"/>
  <c r="AR59" i="23"/>
  <c r="AP59" i="23"/>
  <c r="AN59" i="23"/>
  <c r="P59" i="23"/>
  <c r="P43" i="23" s="1"/>
  <c r="O59" i="23"/>
  <c r="N59" i="23"/>
  <c r="M59" i="23"/>
  <c r="L59" i="23"/>
  <c r="L43" i="23" s="1"/>
  <c r="AN43" i="23" s="1"/>
  <c r="K59" i="23"/>
  <c r="J59" i="23"/>
  <c r="J43" i="23" s="1"/>
  <c r="J27" i="23" s="1"/>
  <c r="G59" i="23"/>
  <c r="B59" i="23"/>
  <c r="O58" i="23"/>
  <c r="AR58" i="23" s="1"/>
  <c r="I58" i="23"/>
  <c r="H58" i="23"/>
  <c r="H42" i="23" s="1"/>
  <c r="F58" i="23"/>
  <c r="F42" i="23" s="1"/>
  <c r="E58" i="23"/>
  <c r="E42" i="23" s="1"/>
  <c r="D58" i="23"/>
  <c r="D42" i="23" s="1"/>
  <c r="D26" i="23" s="1"/>
  <c r="C58" i="23"/>
  <c r="C42" i="23" s="1"/>
  <c r="K57" i="23"/>
  <c r="K41" i="23" s="1"/>
  <c r="K25" i="23" s="1"/>
  <c r="J57" i="23"/>
  <c r="I57" i="23"/>
  <c r="C57" i="23"/>
  <c r="C41" i="23" s="1"/>
  <c r="C25" i="23" s="1"/>
  <c r="B57" i="23"/>
  <c r="B41" i="23" s="1"/>
  <c r="N56" i="23"/>
  <c r="I56" i="23"/>
  <c r="I40" i="23" s="1"/>
  <c r="G56" i="23"/>
  <c r="AV55" i="23"/>
  <c r="Q55" i="23"/>
  <c r="K55" i="23"/>
  <c r="K39" i="23" s="1"/>
  <c r="K23" i="23" s="1"/>
  <c r="G55" i="23"/>
  <c r="G39" i="23" s="1"/>
  <c r="F55" i="23"/>
  <c r="F39" i="23" s="1"/>
  <c r="F23" i="23" s="1"/>
  <c r="E55" i="23"/>
  <c r="E39" i="23" s="1"/>
  <c r="D55" i="23"/>
  <c r="D39" i="23" s="1"/>
  <c r="AR54" i="23"/>
  <c r="AP54" i="23"/>
  <c r="Q54" i="23"/>
  <c r="O54" i="23"/>
  <c r="O38" i="23" s="1"/>
  <c r="N54" i="23"/>
  <c r="N38" i="23" s="1"/>
  <c r="J54" i="23"/>
  <c r="J38" i="23" s="1"/>
  <c r="D54" i="23"/>
  <c r="D38" i="23" s="1"/>
  <c r="D22" i="23" s="1"/>
  <c r="AV53" i="23"/>
  <c r="Q53" i="23"/>
  <c r="P53" i="23"/>
  <c r="G53" i="23"/>
  <c r="C53" i="23"/>
  <c r="AG52" i="23"/>
  <c r="AF52" i="23"/>
  <c r="AE52" i="23"/>
  <c r="AD52" i="23"/>
  <c r="AC52" i="23"/>
  <c r="AB52" i="23"/>
  <c r="AA52" i="23"/>
  <c r="Z52" i="23"/>
  <c r="Y52" i="23"/>
  <c r="X52" i="23"/>
  <c r="W52" i="23"/>
  <c r="V52" i="23"/>
  <c r="U52" i="23"/>
  <c r="T52" i="23"/>
  <c r="S52" i="23"/>
  <c r="R52" i="23"/>
  <c r="Q52" i="23"/>
  <c r="P52" i="23"/>
  <c r="O52" i="23"/>
  <c r="N52" i="23"/>
  <c r="M52" i="23"/>
  <c r="L52" i="23"/>
  <c r="K52" i="23"/>
  <c r="J52" i="23"/>
  <c r="I52" i="23"/>
  <c r="H52" i="23"/>
  <c r="G52" i="23"/>
  <c r="F52" i="23"/>
  <c r="E52" i="23"/>
  <c r="D52" i="23"/>
  <c r="C52" i="23"/>
  <c r="B52" i="23"/>
  <c r="AP48" i="23"/>
  <c r="J48" i="23"/>
  <c r="J32" i="23" s="1"/>
  <c r="I48" i="23"/>
  <c r="P47" i="23"/>
  <c r="J47" i="23"/>
  <c r="I47" i="23"/>
  <c r="I31" i="23" s="1"/>
  <c r="J46" i="23"/>
  <c r="J30" i="23" s="1"/>
  <c r="E46" i="23"/>
  <c r="E30" i="23" s="1"/>
  <c r="D46" i="23"/>
  <c r="D30" i="23" s="1"/>
  <c r="C46" i="23"/>
  <c r="C30" i="23" s="1"/>
  <c r="B46" i="23"/>
  <c r="B30" i="23" s="1"/>
  <c r="AP45" i="23"/>
  <c r="N45" i="23"/>
  <c r="I45" i="23"/>
  <c r="D45" i="23"/>
  <c r="L44" i="23"/>
  <c r="J44" i="23"/>
  <c r="J28" i="23" s="1"/>
  <c r="AT43" i="23"/>
  <c r="N43" i="23"/>
  <c r="G43" i="23"/>
  <c r="G27" i="23" s="1"/>
  <c r="F43" i="23"/>
  <c r="F27" i="23" s="1"/>
  <c r="E43" i="23"/>
  <c r="E27" i="23" s="1"/>
  <c r="D43" i="23"/>
  <c r="D27" i="23" s="1"/>
  <c r="C43" i="23"/>
  <c r="B43" i="23"/>
  <c r="I42" i="23"/>
  <c r="H41" i="23"/>
  <c r="G41" i="23"/>
  <c r="E41" i="23"/>
  <c r="D41" i="23"/>
  <c r="D25" i="23" s="1"/>
  <c r="J40" i="23"/>
  <c r="J24" i="23" s="1"/>
  <c r="G40" i="23"/>
  <c r="G24" i="23" s="1"/>
  <c r="E40" i="23"/>
  <c r="AV39" i="23"/>
  <c r="Q39" i="23"/>
  <c r="L39" i="23"/>
  <c r="AR38" i="23"/>
  <c r="AP38" i="23"/>
  <c r="G38" i="23"/>
  <c r="E38" i="23"/>
  <c r="B38" i="23"/>
  <c r="H37" i="23"/>
  <c r="G37" i="23"/>
  <c r="AG36" i="23"/>
  <c r="AF36" i="23"/>
  <c r="AE36" i="23"/>
  <c r="AD36" i="23"/>
  <c r="AC36" i="23"/>
  <c r="AB36" i="23"/>
  <c r="AA36" i="23"/>
  <c r="Z36" i="23"/>
  <c r="Y36" i="23"/>
  <c r="X36" i="23"/>
  <c r="W36" i="23"/>
  <c r="V36" i="23"/>
  <c r="U36" i="23"/>
  <c r="T36" i="23"/>
  <c r="S36" i="23"/>
  <c r="R36" i="23"/>
  <c r="Q36" i="23"/>
  <c r="P36" i="23"/>
  <c r="O36" i="23"/>
  <c r="N36" i="23"/>
  <c r="M36" i="23"/>
  <c r="L36" i="23"/>
  <c r="K36" i="23"/>
  <c r="J36" i="23"/>
  <c r="I36" i="23"/>
  <c r="H36" i="23"/>
  <c r="G36" i="23"/>
  <c r="F36" i="23"/>
  <c r="E36" i="23"/>
  <c r="D36" i="23"/>
  <c r="C36" i="23"/>
  <c r="B36" i="23"/>
  <c r="J31" i="23"/>
  <c r="G31" i="23"/>
  <c r="G30" i="23"/>
  <c r="F30" i="23"/>
  <c r="L27" i="23"/>
  <c r="AN27" i="23" s="1"/>
  <c r="F26" i="23"/>
  <c r="E26" i="23"/>
  <c r="I24" i="23"/>
  <c r="G23" i="23"/>
  <c r="AG20" i="23"/>
  <c r="AF20" i="23"/>
  <c r="AE20" i="23"/>
  <c r="AD20" i="23"/>
  <c r="AC20" i="23"/>
  <c r="AB20" i="23"/>
  <c r="AA20" i="23"/>
  <c r="Z20" i="23"/>
  <c r="Y20" i="23"/>
  <c r="X20" i="23"/>
  <c r="W20" i="23"/>
  <c r="V20" i="23"/>
  <c r="U20" i="23"/>
  <c r="T20" i="23"/>
  <c r="S20" i="23"/>
  <c r="R20" i="23"/>
  <c r="Q20" i="23"/>
  <c r="P20" i="23"/>
  <c r="O20" i="23"/>
  <c r="N20" i="23"/>
  <c r="M20" i="23"/>
  <c r="L20" i="23"/>
  <c r="K20" i="23"/>
  <c r="J20" i="23"/>
  <c r="I20" i="23"/>
  <c r="H20" i="23"/>
  <c r="G20" i="23"/>
  <c r="F20" i="23"/>
  <c r="E20" i="23"/>
  <c r="D20" i="23"/>
  <c r="C20" i="23"/>
  <c r="B20" i="23"/>
  <c r="AG12" i="23"/>
  <c r="AF12" i="23"/>
  <c r="AE12" i="23"/>
  <c r="AD12" i="23"/>
  <c r="AC12" i="23"/>
  <c r="AB12" i="23"/>
  <c r="AA12" i="23"/>
  <c r="Z12" i="23"/>
  <c r="Y12" i="23"/>
  <c r="X12" i="23"/>
  <c r="W12" i="23"/>
  <c r="U12" i="23"/>
  <c r="T12" i="23"/>
  <c r="S12" i="23"/>
  <c r="R12" i="23"/>
  <c r="M12" i="23"/>
  <c r="AN12" i="23" s="1"/>
  <c r="K12" i="23"/>
  <c r="AJ12" i="23" s="1"/>
  <c r="H12" i="23"/>
  <c r="AG9" i="23"/>
  <c r="X9" i="23"/>
  <c r="W9" i="23"/>
  <c r="V9" i="23"/>
  <c r="U9" i="23"/>
  <c r="S9" i="23"/>
  <c r="R9" i="23"/>
  <c r="AG7" i="23"/>
  <c r="AF7" i="23"/>
  <c r="AC7" i="23"/>
  <c r="AB7" i="23"/>
  <c r="AA7" i="23"/>
  <c r="Z7" i="23"/>
  <c r="X7" i="23"/>
  <c r="W7" i="23"/>
  <c r="T7" i="23"/>
  <c r="S7" i="23"/>
  <c r="R7" i="23"/>
  <c r="L7" i="23"/>
  <c r="AL7" i="23" s="1"/>
  <c r="H7" i="23"/>
  <c r="AI7" i="25" s="1"/>
  <c r="E7" i="23"/>
  <c r="AJ186" i="22"/>
  <c r="Y186" i="22"/>
  <c r="X186" i="22"/>
  <c r="W186" i="22"/>
  <c r="V186" i="22"/>
  <c r="U186" i="22"/>
  <c r="R186" i="22"/>
  <c r="N186" i="22"/>
  <c r="J186" i="22"/>
  <c r="G186" i="22"/>
  <c r="D186" i="22"/>
  <c r="AO185" i="22"/>
  <c r="AK185" i="22"/>
  <c r="AK186" i="22" s="1"/>
  <c r="AJ185" i="22"/>
  <c r="AI185" i="22"/>
  <c r="AI186" i="22" s="1"/>
  <c r="AH185" i="22"/>
  <c r="AG185" i="22"/>
  <c r="AG186" i="22" s="1"/>
  <c r="AH186" i="22" s="1"/>
  <c r="AF185" i="22"/>
  <c r="AF186" i="22" s="1"/>
  <c r="AB185" i="22"/>
  <c r="AA185" i="22"/>
  <c r="AA186" i="22" s="1"/>
  <c r="AB186" i="22" s="1"/>
  <c r="X185" i="22"/>
  <c r="W185" i="22"/>
  <c r="V185" i="22"/>
  <c r="U185" i="22"/>
  <c r="R185" i="22"/>
  <c r="N185" i="22"/>
  <c r="J185" i="22"/>
  <c r="G185" i="22"/>
  <c r="D185" i="22"/>
  <c r="AV184" i="22"/>
  <c r="AR184" i="22"/>
  <c r="AQ184" i="22"/>
  <c r="AO184" i="22"/>
  <c r="AN184" i="22"/>
  <c r="AM184" i="22"/>
  <c r="AM185" i="22" s="1"/>
  <c r="AM186" i="22" s="1"/>
  <c r="AL184" i="22"/>
  <c r="AK184" i="22"/>
  <c r="AJ184" i="22"/>
  <c r="AI184" i="22"/>
  <c r="AG184" i="22"/>
  <c r="AF184" i="22"/>
  <c r="AH184" i="22" s="1"/>
  <c r="AD184" i="22"/>
  <c r="AC184" i="22"/>
  <c r="AC185" i="22" s="1"/>
  <c r="AC186" i="22" s="1"/>
  <c r="AB184" i="22"/>
  <c r="AA184" i="22"/>
  <c r="Z184" i="22"/>
  <c r="Z185" i="22" s="1"/>
  <c r="Z186" i="22" s="1"/>
  <c r="X184" i="22"/>
  <c r="W184" i="22"/>
  <c r="V184" i="22"/>
  <c r="U184" i="22"/>
  <c r="R184" i="22"/>
  <c r="N184" i="22"/>
  <c r="J184" i="22"/>
  <c r="G184" i="22"/>
  <c r="D184" i="22"/>
  <c r="AC183" i="22"/>
  <c r="X183" i="22"/>
  <c r="W183" i="22"/>
  <c r="V183" i="22"/>
  <c r="U183" i="22"/>
  <c r="R183" i="22"/>
  <c r="N183" i="22"/>
  <c r="J183" i="22"/>
  <c r="G183" i="22"/>
  <c r="D183" i="22"/>
  <c r="X182" i="22"/>
  <c r="Y182" i="22" s="1"/>
  <c r="W182" i="22"/>
  <c r="V182" i="22"/>
  <c r="U182" i="22"/>
  <c r="R182" i="22"/>
  <c r="N182" i="22"/>
  <c r="J182" i="22"/>
  <c r="G182" i="22"/>
  <c r="D182" i="22"/>
  <c r="X181" i="22"/>
  <c r="W181" i="22"/>
  <c r="V181" i="22"/>
  <c r="U181" i="22"/>
  <c r="R181" i="22"/>
  <c r="N181" i="22"/>
  <c r="J181" i="22"/>
  <c r="G181" i="22"/>
  <c r="D181" i="22"/>
  <c r="X180" i="22"/>
  <c r="W180" i="22"/>
  <c r="V180" i="22"/>
  <c r="U180" i="22"/>
  <c r="R180" i="22"/>
  <c r="N180" i="22"/>
  <c r="J180" i="22"/>
  <c r="G180" i="22"/>
  <c r="D180" i="22"/>
  <c r="X179" i="22"/>
  <c r="W179" i="22"/>
  <c r="V179" i="22"/>
  <c r="U179" i="22"/>
  <c r="R179" i="22"/>
  <c r="N179" i="22"/>
  <c r="J179" i="22"/>
  <c r="G179" i="22"/>
  <c r="D179" i="22"/>
  <c r="X178" i="22"/>
  <c r="W178" i="22"/>
  <c r="V178" i="22"/>
  <c r="U178" i="22"/>
  <c r="R178" i="22"/>
  <c r="N178" i="22"/>
  <c r="J178" i="22"/>
  <c r="G178" i="22"/>
  <c r="D178" i="22"/>
  <c r="Y177" i="22"/>
  <c r="X177" i="22"/>
  <c r="W177" i="22"/>
  <c r="V177" i="22"/>
  <c r="U177" i="22"/>
  <c r="R177" i="22"/>
  <c r="N177" i="22"/>
  <c r="J177" i="22"/>
  <c r="G177" i="22"/>
  <c r="D177" i="22"/>
  <c r="X176" i="22"/>
  <c r="W176" i="22"/>
  <c r="V176" i="22"/>
  <c r="U176" i="22"/>
  <c r="R176" i="22"/>
  <c r="N176" i="22"/>
  <c r="J176" i="22"/>
  <c r="G176" i="22"/>
  <c r="D176" i="22"/>
  <c r="X175" i="22"/>
  <c r="Y175" i="22" s="1"/>
  <c r="W175" i="22"/>
  <c r="V175" i="22"/>
  <c r="U175" i="22"/>
  <c r="R175" i="22"/>
  <c r="N175" i="22"/>
  <c r="J175" i="22"/>
  <c r="G175" i="22"/>
  <c r="D175" i="22"/>
  <c r="AE174" i="22"/>
  <c r="AD174" i="22"/>
  <c r="AD175" i="22" s="1"/>
  <c r="AC174" i="22"/>
  <c r="AC175" i="22" s="1"/>
  <c r="AC176" i="22" s="1"/>
  <c r="AC177" i="22" s="1"/>
  <c r="AC178" i="22" s="1"/>
  <c r="AC179" i="22" s="1"/>
  <c r="AC180" i="22" s="1"/>
  <c r="AC181" i="22" s="1"/>
  <c r="AC182" i="22" s="1"/>
  <c r="Y174" i="22"/>
  <c r="X174" i="22"/>
  <c r="W174" i="22"/>
  <c r="V174" i="22"/>
  <c r="U174" i="22"/>
  <c r="R174" i="22"/>
  <c r="N174" i="22"/>
  <c r="J174" i="22"/>
  <c r="G174" i="22"/>
  <c r="D174" i="22"/>
  <c r="AR173" i="22"/>
  <c r="AQ173" i="22"/>
  <c r="AQ174" i="22" s="1"/>
  <c r="AQ175" i="22" s="1"/>
  <c r="AK173" i="22"/>
  <c r="X173" i="22"/>
  <c r="W173" i="22"/>
  <c r="V173" i="22"/>
  <c r="Y173" i="22" s="1"/>
  <c r="U173" i="22"/>
  <c r="R173" i="22"/>
  <c r="N173" i="22"/>
  <c r="J173" i="22"/>
  <c r="G173" i="22"/>
  <c r="D173" i="22"/>
  <c r="AR172" i="22"/>
  <c r="AS172" i="22" s="1"/>
  <c r="AQ172" i="22"/>
  <c r="AO172" i="22"/>
  <c r="AN172" i="22"/>
  <c r="AN173" i="22" s="1"/>
  <c r="AN174" i="22" s="1"/>
  <c r="AN175" i="22" s="1"/>
  <c r="AN176" i="22" s="1"/>
  <c r="AN177" i="22" s="1"/>
  <c r="AN178" i="22" s="1"/>
  <c r="AN179" i="22" s="1"/>
  <c r="AN180" i="22" s="1"/>
  <c r="AN181" i="22" s="1"/>
  <c r="AN182" i="22" s="1"/>
  <c r="AN183" i="22" s="1"/>
  <c r="AM172" i="22"/>
  <c r="AK172" i="22"/>
  <c r="AJ172" i="22"/>
  <c r="AI172" i="22"/>
  <c r="AI173" i="22" s="1"/>
  <c r="AI174" i="22" s="1"/>
  <c r="AI175" i="22" s="1"/>
  <c r="AI176" i="22" s="1"/>
  <c r="AI177" i="22" s="1"/>
  <c r="AI178" i="22" s="1"/>
  <c r="AI179" i="22" s="1"/>
  <c r="AI180" i="22" s="1"/>
  <c r="AI181" i="22" s="1"/>
  <c r="AI182" i="22" s="1"/>
  <c r="AI183" i="22" s="1"/>
  <c r="AG172" i="22"/>
  <c r="AF172" i="22"/>
  <c r="AF173" i="22" s="1"/>
  <c r="AF174" i="22" s="1"/>
  <c r="AF175" i="22" s="1"/>
  <c r="AF176" i="22" s="1"/>
  <c r="AF177" i="22" s="1"/>
  <c r="AF178" i="22" s="1"/>
  <c r="AF179" i="22" s="1"/>
  <c r="AF180" i="22" s="1"/>
  <c r="AF181" i="22" s="1"/>
  <c r="AF182" i="22" s="1"/>
  <c r="AF183" i="22" s="1"/>
  <c r="AD172" i="22"/>
  <c r="AD173" i="22" s="1"/>
  <c r="AE173" i="22" s="1"/>
  <c r="AC172" i="22"/>
  <c r="AC173" i="22" s="1"/>
  <c r="AA172" i="22"/>
  <c r="AA173" i="22" s="1"/>
  <c r="Z172" i="22"/>
  <c r="Z173" i="22" s="1"/>
  <c r="Z174" i="22" s="1"/>
  <c r="Z175" i="22" s="1"/>
  <c r="Z176" i="22" s="1"/>
  <c r="Z177" i="22" s="1"/>
  <c r="Z178" i="22" s="1"/>
  <c r="Z179" i="22" s="1"/>
  <c r="Z180" i="22" s="1"/>
  <c r="Z181" i="22" s="1"/>
  <c r="Z182" i="22" s="1"/>
  <c r="Z183" i="22" s="1"/>
  <c r="X172" i="22"/>
  <c r="Y172" i="22" s="1"/>
  <c r="W172" i="22"/>
  <c r="V172" i="22"/>
  <c r="U172" i="22"/>
  <c r="R172" i="22"/>
  <c r="N172" i="22"/>
  <c r="J172" i="22"/>
  <c r="G172" i="22"/>
  <c r="D172" i="22"/>
  <c r="AF171" i="22"/>
  <c r="X171" i="22"/>
  <c r="Y171" i="22" s="1"/>
  <c r="W171" i="22"/>
  <c r="V171" i="22"/>
  <c r="U171" i="22"/>
  <c r="R171" i="22"/>
  <c r="N171" i="22"/>
  <c r="J171" i="22"/>
  <c r="G171" i="22"/>
  <c r="D171" i="22"/>
  <c r="Y170" i="22"/>
  <c r="X170" i="22"/>
  <c r="W170" i="22"/>
  <c r="V170" i="22"/>
  <c r="U170" i="22"/>
  <c r="R170" i="22"/>
  <c r="N170" i="22"/>
  <c r="J170" i="22"/>
  <c r="G170" i="22"/>
  <c r="D170" i="22"/>
  <c r="AC169" i="22"/>
  <c r="AC170" i="22" s="1"/>
  <c r="AC171" i="22" s="1"/>
  <c r="X169" i="22"/>
  <c r="Y169" i="22" s="1"/>
  <c r="W169" i="22"/>
  <c r="V169" i="22"/>
  <c r="U169" i="22"/>
  <c r="R169" i="22"/>
  <c r="N169" i="22"/>
  <c r="J169" i="22"/>
  <c r="G169" i="22"/>
  <c r="D169" i="22"/>
  <c r="AF168" i="22"/>
  <c r="AF169" i="22" s="1"/>
  <c r="AF170" i="22" s="1"/>
  <c r="AC168" i="22"/>
  <c r="X168" i="22"/>
  <c r="Y168" i="22" s="1"/>
  <c r="W168" i="22"/>
  <c r="V168" i="22"/>
  <c r="U168" i="22"/>
  <c r="R168" i="22"/>
  <c r="N168" i="22"/>
  <c r="J168" i="22"/>
  <c r="G168" i="22"/>
  <c r="D168" i="22"/>
  <c r="X167" i="22"/>
  <c r="Y167" i="22" s="1"/>
  <c r="W167" i="22"/>
  <c r="V167" i="22"/>
  <c r="U167" i="22"/>
  <c r="R167" i="22"/>
  <c r="N167" i="22"/>
  <c r="J167" i="22"/>
  <c r="G167" i="22"/>
  <c r="D167" i="22"/>
  <c r="X166" i="22"/>
  <c r="W166" i="22"/>
  <c r="V166" i="22"/>
  <c r="U166" i="22"/>
  <c r="R166" i="22"/>
  <c r="N166" i="22"/>
  <c r="J166" i="22"/>
  <c r="G166" i="22"/>
  <c r="D166" i="22"/>
  <c r="AM165" i="22"/>
  <c r="AM166" i="22" s="1"/>
  <c r="AM167" i="22" s="1"/>
  <c r="AM168" i="22" s="1"/>
  <c r="AM169" i="22" s="1"/>
  <c r="AM170" i="22" s="1"/>
  <c r="AM171" i="22" s="1"/>
  <c r="AC165" i="22"/>
  <c r="AC166" i="22" s="1"/>
  <c r="AC167" i="22" s="1"/>
  <c r="Z165" i="22"/>
  <c r="Z166" i="22" s="1"/>
  <c r="Z167" i="22" s="1"/>
  <c r="Z168" i="22" s="1"/>
  <c r="Z169" i="22" s="1"/>
  <c r="Z170" i="22" s="1"/>
  <c r="Z171" i="22" s="1"/>
  <c r="X165" i="22"/>
  <c r="Y165" i="22" s="1"/>
  <c r="W165" i="22"/>
  <c r="V165" i="22"/>
  <c r="U165" i="22"/>
  <c r="R165" i="22"/>
  <c r="N165" i="22"/>
  <c r="J165" i="22"/>
  <c r="G165" i="22"/>
  <c r="D165" i="22"/>
  <c r="X164" i="22"/>
  <c r="W164" i="22"/>
  <c r="V164" i="22"/>
  <c r="U164" i="22"/>
  <c r="R164" i="22"/>
  <c r="N164" i="22"/>
  <c r="J164" i="22"/>
  <c r="G164" i="22"/>
  <c r="D164" i="22"/>
  <c r="X163" i="22"/>
  <c r="Y163" i="22" s="1"/>
  <c r="W163" i="22"/>
  <c r="V163" i="22"/>
  <c r="U163" i="22"/>
  <c r="R163" i="22"/>
  <c r="N163" i="22"/>
  <c r="J163" i="22"/>
  <c r="G163" i="22"/>
  <c r="D163" i="22"/>
  <c r="AM162" i="22"/>
  <c r="AM163" i="22" s="1"/>
  <c r="AM164" i="22" s="1"/>
  <c r="AJ162" i="22"/>
  <c r="AI162" i="22"/>
  <c r="AI163" i="22" s="1"/>
  <c r="AI164" i="22" s="1"/>
  <c r="AI165" i="22" s="1"/>
  <c r="AI166" i="22" s="1"/>
  <c r="AI167" i="22" s="1"/>
  <c r="AI168" i="22" s="1"/>
  <c r="AI169" i="22" s="1"/>
  <c r="AI170" i="22" s="1"/>
  <c r="AI171" i="22" s="1"/>
  <c r="X162" i="22"/>
  <c r="Y162" i="22" s="1"/>
  <c r="W162" i="22"/>
  <c r="V162" i="22"/>
  <c r="U162" i="22"/>
  <c r="R162" i="22"/>
  <c r="N162" i="22"/>
  <c r="J162" i="22"/>
  <c r="G162" i="22"/>
  <c r="D162" i="22"/>
  <c r="AM161" i="22"/>
  <c r="AL161" i="22"/>
  <c r="AK161" i="22"/>
  <c r="AK162" i="22" s="1"/>
  <c r="AJ161" i="22"/>
  <c r="AI161" i="22"/>
  <c r="AG161" i="22"/>
  <c r="AF161" i="22"/>
  <c r="AF162" i="22" s="1"/>
  <c r="AF163" i="22" s="1"/>
  <c r="AF164" i="22" s="1"/>
  <c r="AF165" i="22" s="1"/>
  <c r="AF166" i="22" s="1"/>
  <c r="AF167" i="22" s="1"/>
  <c r="AD161" i="22"/>
  <c r="AD162" i="22" s="1"/>
  <c r="AC161" i="22"/>
  <c r="AC162" i="22" s="1"/>
  <c r="AC163" i="22" s="1"/>
  <c r="AC164" i="22" s="1"/>
  <c r="X161" i="22"/>
  <c r="Y161" i="22" s="1"/>
  <c r="W161" i="22"/>
  <c r="V161" i="22"/>
  <c r="U161" i="22"/>
  <c r="R161" i="22"/>
  <c r="N161" i="22"/>
  <c r="J161" i="22"/>
  <c r="G161" i="22"/>
  <c r="D161" i="22"/>
  <c r="AU160" i="22"/>
  <c r="AR160" i="22"/>
  <c r="AV160" i="22" s="1"/>
  <c r="AQ160" i="22"/>
  <c r="AQ161" i="22" s="1"/>
  <c r="AP160" i="22"/>
  <c r="AO160" i="22"/>
  <c r="AO161" i="22" s="1"/>
  <c r="AN160" i="22"/>
  <c r="AN161" i="22" s="1"/>
  <c r="AM160" i="22"/>
  <c r="AL160" i="22"/>
  <c r="AK160" i="22"/>
  <c r="AJ160" i="22"/>
  <c r="AI160" i="22"/>
  <c r="AG160" i="22"/>
  <c r="AF160" i="22"/>
  <c r="AE160" i="22"/>
  <c r="AD160" i="22"/>
  <c r="AC160" i="22"/>
  <c r="AA160" i="22"/>
  <c r="Z160" i="22"/>
  <c r="Z161" i="22" s="1"/>
  <c r="Z162" i="22" s="1"/>
  <c r="Z163" i="22" s="1"/>
  <c r="Z164" i="22" s="1"/>
  <c r="X160" i="22"/>
  <c r="W160" i="22"/>
  <c r="V160" i="22"/>
  <c r="U160" i="22"/>
  <c r="R160" i="22"/>
  <c r="N160" i="22"/>
  <c r="J160" i="22"/>
  <c r="G160" i="22"/>
  <c r="D160" i="22"/>
  <c r="X159" i="22"/>
  <c r="W159" i="22"/>
  <c r="V159" i="22"/>
  <c r="U159" i="22"/>
  <c r="R159" i="22"/>
  <c r="N159" i="22"/>
  <c r="J159" i="22"/>
  <c r="G159" i="22"/>
  <c r="D159" i="22"/>
  <c r="X158" i="22"/>
  <c r="Y158" i="22" s="1"/>
  <c r="W158" i="22"/>
  <c r="V158" i="22"/>
  <c r="U158" i="22"/>
  <c r="R158" i="22"/>
  <c r="N158" i="22"/>
  <c r="J158" i="22"/>
  <c r="G158" i="22"/>
  <c r="D158" i="22"/>
  <c r="X157" i="22"/>
  <c r="W157" i="22"/>
  <c r="V157" i="22"/>
  <c r="U157" i="22"/>
  <c r="R157" i="22"/>
  <c r="N157" i="22"/>
  <c r="J157" i="22"/>
  <c r="G157" i="22"/>
  <c r="D157" i="22"/>
  <c r="X156" i="22"/>
  <c r="Y156" i="22" s="1"/>
  <c r="W156" i="22"/>
  <c r="V156" i="22"/>
  <c r="U156" i="22"/>
  <c r="R156" i="22"/>
  <c r="N156" i="22"/>
  <c r="J156" i="22"/>
  <c r="G156" i="22"/>
  <c r="D156" i="22"/>
  <c r="AF155" i="22"/>
  <c r="AF156" i="22" s="1"/>
  <c r="AF157" i="22" s="1"/>
  <c r="AF158" i="22" s="1"/>
  <c r="AF159" i="22" s="1"/>
  <c r="X155" i="22"/>
  <c r="Y155" i="22" s="1"/>
  <c r="W155" i="22"/>
  <c r="V155" i="22"/>
  <c r="U155" i="22"/>
  <c r="R155" i="22"/>
  <c r="N155" i="22"/>
  <c r="J155" i="22"/>
  <c r="G155" i="22"/>
  <c r="D155" i="22"/>
  <c r="AF154" i="22"/>
  <c r="X154" i="22"/>
  <c r="W154" i="22"/>
  <c r="V154" i="22"/>
  <c r="U154" i="22"/>
  <c r="R154" i="22"/>
  <c r="N154" i="22"/>
  <c r="J154" i="22"/>
  <c r="G154" i="22"/>
  <c r="D154" i="22"/>
  <c r="X153" i="22"/>
  <c r="W153" i="22"/>
  <c r="V153" i="22"/>
  <c r="U153" i="22"/>
  <c r="R153" i="22"/>
  <c r="N153" i="22"/>
  <c r="J153" i="22"/>
  <c r="G153" i="22"/>
  <c r="D153" i="22"/>
  <c r="X152" i="22"/>
  <c r="W152" i="22"/>
  <c r="V152" i="22"/>
  <c r="U152" i="22"/>
  <c r="R152" i="22"/>
  <c r="N152" i="22"/>
  <c r="J152" i="22"/>
  <c r="G152" i="22"/>
  <c r="D152" i="22"/>
  <c r="AF151" i="22"/>
  <c r="AF152" i="22" s="1"/>
  <c r="AF153" i="22" s="1"/>
  <c r="Y151" i="22"/>
  <c r="X151" i="22"/>
  <c r="W151" i="22"/>
  <c r="V151" i="22"/>
  <c r="U151" i="22"/>
  <c r="R151" i="22"/>
  <c r="N151" i="22"/>
  <c r="J151" i="22"/>
  <c r="G151" i="22"/>
  <c r="D151" i="22"/>
  <c r="AB150" i="22"/>
  <c r="AA150" i="22"/>
  <c r="AA151" i="22" s="1"/>
  <c r="Z150" i="22"/>
  <c r="Z151" i="22" s="1"/>
  <c r="Z152" i="22" s="1"/>
  <c r="Z153" i="22" s="1"/>
  <c r="Z154" i="22" s="1"/>
  <c r="Z155" i="22" s="1"/>
  <c r="Z156" i="22" s="1"/>
  <c r="Z157" i="22" s="1"/>
  <c r="Z158" i="22" s="1"/>
  <c r="Z159" i="22" s="1"/>
  <c r="X150" i="22"/>
  <c r="W150" i="22"/>
  <c r="V150" i="22"/>
  <c r="U150" i="22"/>
  <c r="R150" i="22"/>
  <c r="N150" i="22"/>
  <c r="J150" i="22"/>
  <c r="G150" i="22"/>
  <c r="D150" i="22"/>
  <c r="AQ149" i="22"/>
  <c r="AO149" i="22"/>
  <c r="AI149" i="22"/>
  <c r="AI150" i="22" s="1"/>
  <c r="AI151" i="22" s="1"/>
  <c r="AI152" i="22" s="1"/>
  <c r="AI153" i="22" s="1"/>
  <c r="AI154" i="22" s="1"/>
  <c r="AI155" i="22" s="1"/>
  <c r="AI156" i="22" s="1"/>
  <c r="AI157" i="22" s="1"/>
  <c r="AI158" i="22" s="1"/>
  <c r="AI159" i="22" s="1"/>
  <c r="AC149" i="22"/>
  <c r="AC150" i="22" s="1"/>
  <c r="AC151" i="22" s="1"/>
  <c r="AC152" i="22" s="1"/>
  <c r="AC153" i="22" s="1"/>
  <c r="AC154" i="22" s="1"/>
  <c r="AC155" i="22" s="1"/>
  <c r="AC156" i="22" s="1"/>
  <c r="AC157" i="22" s="1"/>
  <c r="AC158" i="22" s="1"/>
  <c r="AC159" i="22" s="1"/>
  <c r="AB149" i="22"/>
  <c r="X149" i="22"/>
  <c r="W149" i="22"/>
  <c r="V149" i="22"/>
  <c r="U149" i="22"/>
  <c r="R149" i="22"/>
  <c r="N149" i="22"/>
  <c r="J149" i="22"/>
  <c r="G149" i="22"/>
  <c r="D149" i="22"/>
  <c r="AR148" i="22"/>
  <c r="AQ148" i="22"/>
  <c r="AO148" i="22"/>
  <c r="AN148" i="22"/>
  <c r="AN149" i="22" s="1"/>
  <c r="AN150" i="22" s="1"/>
  <c r="AN151" i="22" s="1"/>
  <c r="AN152" i="22" s="1"/>
  <c r="AN153" i="22" s="1"/>
  <c r="AN154" i="22" s="1"/>
  <c r="AN155" i="22" s="1"/>
  <c r="AN156" i="22" s="1"/>
  <c r="AN157" i="22" s="1"/>
  <c r="AN158" i="22" s="1"/>
  <c r="AN159" i="22" s="1"/>
  <c r="AM148" i="22"/>
  <c r="AM149" i="22" s="1"/>
  <c r="AM150" i="22" s="1"/>
  <c r="AM151" i="22" s="1"/>
  <c r="AM152" i="22" s="1"/>
  <c r="AM153" i="22" s="1"/>
  <c r="AM154" i="22" s="1"/>
  <c r="AM155" i="22" s="1"/>
  <c r="AM156" i="22" s="1"/>
  <c r="AM157" i="22" s="1"/>
  <c r="AM158" i="22" s="1"/>
  <c r="AM159" i="22" s="1"/>
  <c r="AK148" i="22"/>
  <c r="AJ148" i="22"/>
  <c r="AI148" i="22"/>
  <c r="AG148" i="22"/>
  <c r="AF148" i="22"/>
  <c r="AF149" i="22" s="1"/>
  <c r="AF150" i="22" s="1"/>
  <c r="AD148" i="22"/>
  <c r="AC148" i="22"/>
  <c r="AA148" i="22"/>
  <c r="AA149" i="22" s="1"/>
  <c r="Z148" i="22"/>
  <c r="Z149" i="22" s="1"/>
  <c r="Y148" i="22"/>
  <c r="X148" i="22"/>
  <c r="W148" i="22"/>
  <c r="V148" i="22"/>
  <c r="U148" i="22"/>
  <c r="R148" i="22"/>
  <c r="N148" i="22"/>
  <c r="J148" i="22"/>
  <c r="G148" i="22"/>
  <c r="D148" i="22"/>
  <c r="Z147" i="22"/>
  <c r="X147" i="22"/>
  <c r="Y147" i="22" s="1"/>
  <c r="W147" i="22"/>
  <c r="V147" i="22"/>
  <c r="U147" i="22"/>
  <c r="R147" i="22"/>
  <c r="N147" i="22"/>
  <c r="J147" i="22"/>
  <c r="G147" i="22"/>
  <c r="D147" i="22"/>
  <c r="Y146" i="22"/>
  <c r="X146" i="22"/>
  <c r="W146" i="22"/>
  <c r="V146" i="22"/>
  <c r="U146" i="22"/>
  <c r="R146" i="22"/>
  <c r="N146" i="22"/>
  <c r="J146" i="22"/>
  <c r="G146" i="22"/>
  <c r="D146" i="22"/>
  <c r="Y145" i="22"/>
  <c r="X145" i="22"/>
  <c r="W145" i="22"/>
  <c r="V145" i="22"/>
  <c r="U145" i="22"/>
  <c r="R145" i="22"/>
  <c r="N145" i="22"/>
  <c r="J145" i="22"/>
  <c r="G145" i="22"/>
  <c r="D145" i="22"/>
  <c r="Y144" i="22"/>
  <c r="X144" i="22"/>
  <c r="W144" i="22"/>
  <c r="V144" i="22"/>
  <c r="U144" i="22"/>
  <c r="R144" i="22"/>
  <c r="N144" i="22"/>
  <c r="J144" i="22"/>
  <c r="G144" i="22"/>
  <c r="D144" i="22"/>
  <c r="X143" i="22"/>
  <c r="W143" i="22"/>
  <c r="V143" i="22"/>
  <c r="U143" i="22"/>
  <c r="R143" i="22"/>
  <c r="N143" i="22"/>
  <c r="J143" i="22"/>
  <c r="G143" i="22"/>
  <c r="D143" i="22"/>
  <c r="AM142" i="22"/>
  <c r="AM143" i="22" s="1"/>
  <c r="AM144" i="22" s="1"/>
  <c r="AM145" i="22" s="1"/>
  <c r="AM146" i="22" s="1"/>
  <c r="AM147" i="22" s="1"/>
  <c r="X142" i="22"/>
  <c r="Y142" i="22" s="1"/>
  <c r="W142" i="22"/>
  <c r="V142" i="22"/>
  <c r="U142" i="22"/>
  <c r="R142" i="22"/>
  <c r="N142" i="22"/>
  <c r="J142" i="22"/>
  <c r="G142" i="22"/>
  <c r="D142" i="22"/>
  <c r="AM141" i="22"/>
  <c r="Y141" i="22"/>
  <c r="X141" i="22"/>
  <c r="W141" i="22"/>
  <c r="V141" i="22"/>
  <c r="U141" i="22"/>
  <c r="R141" i="22"/>
  <c r="N141" i="22"/>
  <c r="J141" i="22"/>
  <c r="G141" i="22"/>
  <c r="D141" i="22"/>
  <c r="Z140" i="22"/>
  <c r="Z141" i="22" s="1"/>
  <c r="Z142" i="22" s="1"/>
  <c r="Z143" i="22" s="1"/>
  <c r="Z144" i="22" s="1"/>
  <c r="Z145" i="22" s="1"/>
  <c r="Z146" i="22" s="1"/>
  <c r="X140" i="22"/>
  <c r="Y140" i="22" s="1"/>
  <c r="W140" i="22"/>
  <c r="V140" i="22"/>
  <c r="U140" i="22"/>
  <c r="R140" i="22"/>
  <c r="N140" i="22"/>
  <c r="J140" i="22"/>
  <c r="G140" i="22"/>
  <c r="D140" i="22"/>
  <c r="Z139" i="22"/>
  <c r="X139" i="22"/>
  <c r="W139" i="22"/>
  <c r="V139" i="22"/>
  <c r="U139" i="22"/>
  <c r="R139" i="22"/>
  <c r="N139" i="22"/>
  <c r="J139" i="22"/>
  <c r="G139" i="22"/>
  <c r="D139" i="22"/>
  <c r="AE138" i="22"/>
  <c r="AD138" i="22"/>
  <c r="AD139" i="22" s="1"/>
  <c r="AC138" i="22"/>
  <c r="AC139" i="22" s="1"/>
  <c r="AC140" i="22" s="1"/>
  <c r="AC141" i="22" s="1"/>
  <c r="AC142" i="22" s="1"/>
  <c r="AC143" i="22" s="1"/>
  <c r="AC144" i="22" s="1"/>
  <c r="AC145" i="22" s="1"/>
  <c r="AC146" i="22" s="1"/>
  <c r="AC147" i="22" s="1"/>
  <c r="X138" i="22"/>
  <c r="Y138" i="22" s="1"/>
  <c r="W138" i="22"/>
  <c r="V138" i="22"/>
  <c r="U138" i="22"/>
  <c r="R138" i="22"/>
  <c r="N138" i="22"/>
  <c r="J138" i="22"/>
  <c r="G138" i="22"/>
  <c r="D138" i="22"/>
  <c r="AS137" i="22"/>
  <c r="AR137" i="22"/>
  <c r="AR138" i="22" s="1"/>
  <c r="AQ137" i="22"/>
  <c r="AQ138" i="22" s="1"/>
  <c r="AO137" i="22"/>
  <c r="AN137" i="22"/>
  <c r="AN138" i="22" s="1"/>
  <c r="AN139" i="22" s="1"/>
  <c r="AN140" i="22" s="1"/>
  <c r="AN141" i="22" s="1"/>
  <c r="AN142" i="22" s="1"/>
  <c r="AN143" i="22" s="1"/>
  <c r="AN144" i="22" s="1"/>
  <c r="AN145" i="22" s="1"/>
  <c r="AN146" i="22" s="1"/>
  <c r="AN147" i="22" s="1"/>
  <c r="AM137" i="22"/>
  <c r="AM138" i="22" s="1"/>
  <c r="AM139" i="22" s="1"/>
  <c r="AM140" i="22" s="1"/>
  <c r="AA137" i="22"/>
  <c r="X137" i="22"/>
  <c r="Y137" i="22" s="1"/>
  <c r="W137" i="22"/>
  <c r="V137" i="22"/>
  <c r="U137" i="22"/>
  <c r="R137" i="22"/>
  <c r="N137" i="22"/>
  <c r="J137" i="22"/>
  <c r="G137" i="22"/>
  <c r="D137" i="22"/>
  <c r="AR136" i="22"/>
  <c r="AS136" i="22" s="1"/>
  <c r="AQ136" i="22"/>
  <c r="AP136" i="22"/>
  <c r="AO136" i="22"/>
  <c r="AN136" i="22"/>
  <c r="AM136" i="22"/>
  <c r="AL136" i="22"/>
  <c r="AK136" i="22"/>
  <c r="AK137" i="22" s="1"/>
  <c r="AJ136" i="22"/>
  <c r="AI136" i="22"/>
  <c r="AH136" i="22"/>
  <c r="AG136" i="22"/>
  <c r="AF136" i="22"/>
  <c r="AF137" i="22" s="1"/>
  <c r="AF138" i="22" s="1"/>
  <c r="AF139" i="22" s="1"/>
  <c r="AF140" i="22" s="1"/>
  <c r="AF141" i="22" s="1"/>
  <c r="AF142" i="22" s="1"/>
  <c r="AF143" i="22" s="1"/>
  <c r="AF144" i="22" s="1"/>
  <c r="AF145" i="22" s="1"/>
  <c r="AF146" i="22" s="1"/>
  <c r="AF147" i="22" s="1"/>
  <c r="AE136" i="22"/>
  <c r="AD136" i="22"/>
  <c r="AD137" i="22" s="1"/>
  <c r="AE137" i="22" s="1"/>
  <c r="AC136" i="22"/>
  <c r="AC137" i="22" s="1"/>
  <c r="AA136" i="22"/>
  <c r="AB136" i="22" s="1"/>
  <c r="Z136" i="22"/>
  <c r="Z137" i="22" s="1"/>
  <c r="Z138" i="22" s="1"/>
  <c r="Y136" i="22"/>
  <c r="X136" i="22"/>
  <c r="W136" i="22"/>
  <c r="V136" i="22"/>
  <c r="U136" i="22"/>
  <c r="R136" i="22"/>
  <c r="N136" i="22"/>
  <c r="J136" i="22"/>
  <c r="G136" i="22"/>
  <c r="D136" i="22"/>
  <c r="X135" i="22"/>
  <c r="W135" i="22"/>
  <c r="Y135" i="22" s="1"/>
  <c r="V135" i="22"/>
  <c r="U135" i="22"/>
  <c r="R135" i="22"/>
  <c r="N135" i="22"/>
  <c r="J135" i="22"/>
  <c r="G135" i="22"/>
  <c r="D135" i="22"/>
  <c r="Y134" i="22"/>
  <c r="X134" i="22"/>
  <c r="W134" i="22"/>
  <c r="V134" i="22"/>
  <c r="U134" i="22"/>
  <c r="R134" i="22"/>
  <c r="N134" i="22"/>
  <c r="J134" i="22"/>
  <c r="G134" i="22"/>
  <c r="D134" i="22"/>
  <c r="Y133" i="22"/>
  <c r="X133" i="22"/>
  <c r="W133" i="22"/>
  <c r="V133" i="22"/>
  <c r="U133" i="22"/>
  <c r="R133" i="22"/>
  <c r="N133" i="22"/>
  <c r="J133" i="22"/>
  <c r="G133" i="22"/>
  <c r="D133" i="22"/>
  <c r="AN132" i="22"/>
  <c r="AN133" i="22" s="1"/>
  <c r="AN134" i="22" s="1"/>
  <c r="AN135" i="22" s="1"/>
  <c r="X132" i="22"/>
  <c r="W132" i="22"/>
  <c r="V132" i="22"/>
  <c r="U132" i="22"/>
  <c r="R132" i="22"/>
  <c r="N132" i="22"/>
  <c r="J132" i="22"/>
  <c r="G132" i="22"/>
  <c r="D132" i="22"/>
  <c r="X131" i="22"/>
  <c r="W131" i="22"/>
  <c r="V131" i="22"/>
  <c r="U131" i="22"/>
  <c r="R131" i="22"/>
  <c r="N131" i="22"/>
  <c r="J131" i="22"/>
  <c r="G131" i="22"/>
  <c r="D131" i="22"/>
  <c r="AN130" i="22"/>
  <c r="AN131" i="22" s="1"/>
  <c r="AF130" i="22"/>
  <c r="AF131" i="22" s="1"/>
  <c r="AF132" i="22" s="1"/>
  <c r="AF133" i="22" s="1"/>
  <c r="AF134" i="22" s="1"/>
  <c r="AF135" i="22" s="1"/>
  <c r="AC130" i="22"/>
  <c r="AC131" i="22" s="1"/>
  <c r="AC132" i="22" s="1"/>
  <c r="AC133" i="22" s="1"/>
  <c r="AC134" i="22" s="1"/>
  <c r="AC135" i="22" s="1"/>
  <c r="X130" i="22"/>
  <c r="W130" i="22"/>
  <c r="V130" i="22"/>
  <c r="U130" i="22"/>
  <c r="R130" i="22"/>
  <c r="N130" i="22"/>
  <c r="J130" i="22"/>
  <c r="G130" i="22"/>
  <c r="D130" i="22"/>
  <c r="X129" i="22"/>
  <c r="W129" i="22"/>
  <c r="Y129" i="22" s="1"/>
  <c r="V129" i="22"/>
  <c r="U129" i="22"/>
  <c r="R129" i="22"/>
  <c r="N129" i="22"/>
  <c r="J129" i="22"/>
  <c r="G129" i="22"/>
  <c r="D129" i="22"/>
  <c r="X128" i="22"/>
  <c r="W128" i="22"/>
  <c r="V128" i="22"/>
  <c r="U128" i="22"/>
  <c r="R128" i="22"/>
  <c r="N128" i="22"/>
  <c r="J128" i="22"/>
  <c r="G128" i="22"/>
  <c r="D128" i="22"/>
  <c r="AF127" i="22"/>
  <c r="AF128" i="22" s="1"/>
  <c r="AF129" i="22" s="1"/>
  <c r="AC127" i="22"/>
  <c r="AC128" i="22" s="1"/>
  <c r="AC129" i="22" s="1"/>
  <c r="X127" i="22"/>
  <c r="Y127" i="22" s="1"/>
  <c r="W127" i="22"/>
  <c r="V127" i="22"/>
  <c r="U127" i="22"/>
  <c r="R127" i="22"/>
  <c r="N127" i="22"/>
  <c r="J127" i="22"/>
  <c r="G127" i="22"/>
  <c r="D127" i="22"/>
  <c r="AR126" i="22"/>
  <c r="AM126" i="22"/>
  <c r="AM127" i="22" s="1"/>
  <c r="AM128" i="22" s="1"/>
  <c r="AM129" i="22" s="1"/>
  <c r="AM130" i="22" s="1"/>
  <c r="AM131" i="22" s="1"/>
  <c r="AM132" i="22" s="1"/>
  <c r="AM133" i="22" s="1"/>
  <c r="AM134" i="22" s="1"/>
  <c r="AM135" i="22" s="1"/>
  <c r="AI126" i="22"/>
  <c r="AI127" i="22" s="1"/>
  <c r="AI128" i="22" s="1"/>
  <c r="AI129" i="22" s="1"/>
  <c r="AI130" i="22" s="1"/>
  <c r="AI131" i="22" s="1"/>
  <c r="AI132" i="22" s="1"/>
  <c r="AI133" i="22" s="1"/>
  <c r="AI134" i="22" s="1"/>
  <c r="AI135" i="22" s="1"/>
  <c r="AH126" i="22"/>
  <c r="X126" i="22"/>
  <c r="W126" i="22"/>
  <c r="Y126" i="22" s="1"/>
  <c r="V126" i="22"/>
  <c r="U126" i="22"/>
  <c r="R126" i="22"/>
  <c r="N126" i="22"/>
  <c r="J126" i="22"/>
  <c r="G126" i="22"/>
  <c r="D126" i="22"/>
  <c r="AG125" i="22"/>
  <c r="AG126" i="22" s="1"/>
  <c r="AG127" i="22" s="1"/>
  <c r="AF125" i="22"/>
  <c r="AF126" i="22" s="1"/>
  <c r="AC125" i="22"/>
  <c r="AC126" i="22" s="1"/>
  <c r="Z125" i="22"/>
  <c r="Z126" i="22" s="1"/>
  <c r="Z127" i="22" s="1"/>
  <c r="Z128" i="22" s="1"/>
  <c r="Z129" i="22" s="1"/>
  <c r="Z130" i="22" s="1"/>
  <c r="Z131" i="22" s="1"/>
  <c r="Z132" i="22" s="1"/>
  <c r="Z133" i="22" s="1"/>
  <c r="Z134" i="22" s="1"/>
  <c r="Z135" i="22" s="1"/>
  <c r="X125" i="22"/>
  <c r="Y125" i="22" s="1"/>
  <c r="W125" i="22"/>
  <c r="V125" i="22"/>
  <c r="U125" i="22"/>
  <c r="R125" i="22"/>
  <c r="N125" i="22"/>
  <c r="J125" i="22"/>
  <c r="G125" i="22"/>
  <c r="D125" i="22"/>
  <c r="AR124" i="22"/>
  <c r="AR125" i="22" s="1"/>
  <c r="AQ124" i="22"/>
  <c r="AO124" i="22"/>
  <c r="AN124" i="22"/>
  <c r="AN125" i="22" s="1"/>
  <c r="AN126" i="22" s="1"/>
  <c r="AN127" i="22" s="1"/>
  <c r="AN128" i="22" s="1"/>
  <c r="AN129" i="22" s="1"/>
  <c r="AM124" i="22"/>
  <c r="AM125" i="22" s="1"/>
  <c r="AK124" i="22"/>
  <c r="AK125" i="22" s="1"/>
  <c r="AK126" i="22" s="1"/>
  <c r="AJ124" i="22"/>
  <c r="AI124" i="22"/>
  <c r="AI125" i="22" s="1"/>
  <c r="AG124" i="22"/>
  <c r="AH124" i="22" s="1"/>
  <c r="AF124" i="22"/>
  <c r="AD124" i="22"/>
  <c r="AC124" i="22"/>
  <c r="AB124" i="22"/>
  <c r="AA124" i="22"/>
  <c r="AA125" i="22" s="1"/>
  <c r="Z124" i="22"/>
  <c r="X124" i="22"/>
  <c r="Y124" i="22" s="1"/>
  <c r="W124" i="22"/>
  <c r="V124" i="22"/>
  <c r="U124" i="22"/>
  <c r="R124" i="22"/>
  <c r="N124" i="22"/>
  <c r="J124" i="22"/>
  <c r="G124" i="22"/>
  <c r="D124" i="22"/>
  <c r="Y123" i="22"/>
  <c r="X123" i="22"/>
  <c r="W123" i="22"/>
  <c r="V123" i="22"/>
  <c r="U123" i="22"/>
  <c r="R123" i="22"/>
  <c r="N123" i="22"/>
  <c r="J123" i="22"/>
  <c r="G123" i="22"/>
  <c r="D123" i="22"/>
  <c r="Y122" i="22"/>
  <c r="X122" i="22"/>
  <c r="W122" i="22"/>
  <c r="V122" i="22"/>
  <c r="U122" i="22"/>
  <c r="R122" i="22"/>
  <c r="N122" i="22"/>
  <c r="J122" i="22"/>
  <c r="G122" i="22"/>
  <c r="D122" i="22"/>
  <c r="X121" i="22"/>
  <c r="Y121" i="22" s="1"/>
  <c r="W121" i="22"/>
  <c r="V121" i="22"/>
  <c r="U121" i="22"/>
  <c r="R121" i="22"/>
  <c r="N121" i="22"/>
  <c r="J121" i="22"/>
  <c r="G121" i="22"/>
  <c r="D121" i="22"/>
  <c r="X120" i="22"/>
  <c r="W120" i="22"/>
  <c r="V120" i="22"/>
  <c r="U120" i="22"/>
  <c r="R120" i="22"/>
  <c r="N120" i="22"/>
  <c r="J120" i="22"/>
  <c r="G120" i="22"/>
  <c r="D120" i="22"/>
  <c r="AO119" i="22"/>
  <c r="X119" i="22"/>
  <c r="Y119" i="22" s="1"/>
  <c r="W119" i="22"/>
  <c r="V119" i="22"/>
  <c r="U119" i="22"/>
  <c r="R119" i="22"/>
  <c r="N119" i="22"/>
  <c r="J119" i="22"/>
  <c r="G119" i="22"/>
  <c r="D119" i="22"/>
  <c r="AO118" i="22"/>
  <c r="X118" i="22"/>
  <c r="Y118" i="22" s="1"/>
  <c r="W118" i="22"/>
  <c r="V118" i="22"/>
  <c r="U118" i="22"/>
  <c r="R118" i="22"/>
  <c r="N118" i="22"/>
  <c r="J118" i="22"/>
  <c r="G118" i="22"/>
  <c r="D118" i="22"/>
  <c r="AO117" i="22"/>
  <c r="X117" i="22"/>
  <c r="W117" i="22"/>
  <c r="V117" i="22"/>
  <c r="U117" i="22"/>
  <c r="R117" i="22"/>
  <c r="N117" i="22"/>
  <c r="J117" i="22"/>
  <c r="G117" i="22"/>
  <c r="D117" i="22"/>
  <c r="AI116" i="22"/>
  <c r="AI117" i="22" s="1"/>
  <c r="AI118" i="22" s="1"/>
  <c r="AI119" i="22" s="1"/>
  <c r="AI120" i="22" s="1"/>
  <c r="AI121" i="22" s="1"/>
  <c r="AI122" i="22" s="1"/>
  <c r="AI123" i="22" s="1"/>
  <c r="AF116" i="22"/>
  <c r="AF117" i="22" s="1"/>
  <c r="AF118" i="22" s="1"/>
  <c r="AF119" i="22" s="1"/>
  <c r="AF120" i="22" s="1"/>
  <c r="AF121" i="22" s="1"/>
  <c r="AF122" i="22" s="1"/>
  <c r="AF123" i="22" s="1"/>
  <c r="Y116" i="22"/>
  <c r="X116" i="22"/>
  <c r="W116" i="22"/>
  <c r="V116" i="22"/>
  <c r="U116" i="22"/>
  <c r="R116" i="22"/>
  <c r="N116" i="22"/>
  <c r="J116" i="22"/>
  <c r="G116" i="22"/>
  <c r="D116" i="22"/>
  <c r="AO115" i="22"/>
  <c r="AO116" i="22" s="1"/>
  <c r="AC115" i="22"/>
  <c r="AC116" i="22" s="1"/>
  <c r="AC117" i="22" s="1"/>
  <c r="AC118" i="22" s="1"/>
  <c r="AC119" i="22" s="1"/>
  <c r="AC120" i="22" s="1"/>
  <c r="AC121" i="22" s="1"/>
  <c r="AC122" i="22" s="1"/>
  <c r="AC123" i="22" s="1"/>
  <c r="X115" i="22"/>
  <c r="Y115" i="22" s="1"/>
  <c r="W115" i="22"/>
  <c r="V115" i="22"/>
  <c r="U115" i="22"/>
  <c r="R115" i="22"/>
  <c r="N115" i="22"/>
  <c r="J115" i="22"/>
  <c r="G115" i="22"/>
  <c r="D115" i="22"/>
  <c r="AO114" i="22"/>
  <c r="AI114" i="22"/>
  <c r="AI115" i="22" s="1"/>
  <c r="AC114" i="22"/>
  <c r="Z114" i="22"/>
  <c r="Z115" i="22" s="1"/>
  <c r="Z116" i="22" s="1"/>
  <c r="Z117" i="22" s="1"/>
  <c r="Z118" i="22" s="1"/>
  <c r="Z119" i="22" s="1"/>
  <c r="Z120" i="22" s="1"/>
  <c r="Z121" i="22" s="1"/>
  <c r="Z122" i="22" s="1"/>
  <c r="Z123" i="22" s="1"/>
  <c r="Y114" i="22"/>
  <c r="X114" i="22"/>
  <c r="W114" i="22"/>
  <c r="V114" i="22"/>
  <c r="U114" i="22"/>
  <c r="R114" i="22"/>
  <c r="N114" i="22"/>
  <c r="J114" i="22"/>
  <c r="G114" i="22"/>
  <c r="D114" i="22"/>
  <c r="AR113" i="22"/>
  <c r="AO113" i="22"/>
  <c r="AD113" i="22"/>
  <c r="AA113" i="22"/>
  <c r="Z113" i="22"/>
  <c r="X113" i="22"/>
  <c r="W113" i="22"/>
  <c r="Y113" i="22" s="1"/>
  <c r="V113" i="22"/>
  <c r="U113" i="22"/>
  <c r="R113" i="22"/>
  <c r="N113" i="22"/>
  <c r="J113" i="22"/>
  <c r="G113" i="22"/>
  <c r="D113" i="22"/>
  <c r="AR112" i="22"/>
  <c r="AS112" i="22" s="1"/>
  <c r="AQ112" i="22"/>
  <c r="AO112" i="22"/>
  <c r="AN112" i="22"/>
  <c r="AN113" i="22" s="1"/>
  <c r="AM112" i="22"/>
  <c r="AM113" i="22" s="1"/>
  <c r="AM114" i="22" s="1"/>
  <c r="AM115" i="22" s="1"/>
  <c r="AM116" i="22" s="1"/>
  <c r="AM117" i="22" s="1"/>
  <c r="AM118" i="22" s="1"/>
  <c r="AM119" i="22" s="1"/>
  <c r="AM120" i="22" s="1"/>
  <c r="AM121" i="22" s="1"/>
  <c r="AM122" i="22" s="1"/>
  <c r="AM123" i="22" s="1"/>
  <c r="AK112" i="22"/>
  <c r="AJ112" i="22"/>
  <c r="AI112" i="22"/>
  <c r="AI113" i="22" s="1"/>
  <c r="AG112" i="22"/>
  <c r="AG113" i="22" s="1"/>
  <c r="AF112" i="22"/>
  <c r="AF113" i="22" s="1"/>
  <c r="AF114" i="22" s="1"/>
  <c r="AF115" i="22" s="1"/>
  <c r="AE112" i="22"/>
  <c r="AD112" i="22"/>
  <c r="AC112" i="22"/>
  <c r="AC113" i="22" s="1"/>
  <c r="AB112" i="22"/>
  <c r="AA112" i="22"/>
  <c r="Z112" i="22"/>
  <c r="Y112" i="22"/>
  <c r="X112" i="22"/>
  <c r="W112" i="22"/>
  <c r="V112" i="22"/>
  <c r="U112" i="22"/>
  <c r="R112" i="22"/>
  <c r="N112" i="22"/>
  <c r="J112" i="22"/>
  <c r="G112" i="22"/>
  <c r="D112" i="22"/>
  <c r="AC111" i="22"/>
  <c r="X111" i="22"/>
  <c r="Y111" i="22" s="1"/>
  <c r="W111" i="22"/>
  <c r="V111" i="22"/>
  <c r="U111" i="22"/>
  <c r="R111" i="22"/>
  <c r="N111" i="22"/>
  <c r="J111" i="22"/>
  <c r="G111" i="22"/>
  <c r="D111" i="22"/>
  <c r="X110" i="22"/>
  <c r="W110" i="22"/>
  <c r="V110" i="22"/>
  <c r="U110" i="22"/>
  <c r="R110" i="22"/>
  <c r="N110" i="22"/>
  <c r="J110" i="22"/>
  <c r="G110" i="22"/>
  <c r="D110" i="22"/>
  <c r="X109" i="22"/>
  <c r="Y109" i="22" s="1"/>
  <c r="W109" i="22"/>
  <c r="V109" i="22"/>
  <c r="U109" i="22"/>
  <c r="R109" i="22"/>
  <c r="N109" i="22"/>
  <c r="J109" i="22"/>
  <c r="G109" i="22"/>
  <c r="D109" i="22"/>
  <c r="X108" i="22"/>
  <c r="Y108" i="22" s="1"/>
  <c r="W108" i="22"/>
  <c r="V108" i="22"/>
  <c r="U108" i="22"/>
  <c r="R108" i="22"/>
  <c r="N108" i="22"/>
  <c r="J108" i="22"/>
  <c r="G108" i="22"/>
  <c r="D108" i="22"/>
  <c r="AC107" i="22"/>
  <c r="AC108" i="22" s="1"/>
  <c r="AC109" i="22" s="1"/>
  <c r="AC110" i="22" s="1"/>
  <c r="X107" i="22"/>
  <c r="Y107" i="22" s="1"/>
  <c r="W107" i="22"/>
  <c r="V107" i="22"/>
  <c r="U107" i="22"/>
  <c r="R107" i="22"/>
  <c r="N107" i="22"/>
  <c r="J107" i="22"/>
  <c r="G107" i="22"/>
  <c r="D107" i="22"/>
  <c r="X106" i="22"/>
  <c r="W106" i="22"/>
  <c r="V106" i="22"/>
  <c r="U106" i="22"/>
  <c r="R106" i="22"/>
  <c r="N106" i="22"/>
  <c r="J106" i="22"/>
  <c r="G106" i="22"/>
  <c r="D106" i="22"/>
  <c r="X105" i="22"/>
  <c r="W105" i="22"/>
  <c r="Y105" i="22" s="1"/>
  <c r="V105" i="22"/>
  <c r="U105" i="22"/>
  <c r="R105" i="22"/>
  <c r="N105" i="22"/>
  <c r="J105" i="22"/>
  <c r="G105" i="22"/>
  <c r="D105" i="22"/>
  <c r="AI104" i="22"/>
  <c r="AI105" i="22" s="1"/>
  <c r="AI106" i="22" s="1"/>
  <c r="AI107" i="22" s="1"/>
  <c r="AI108" i="22" s="1"/>
  <c r="AI109" i="22" s="1"/>
  <c r="AI110" i="22" s="1"/>
  <c r="AI111" i="22" s="1"/>
  <c r="Y104" i="22"/>
  <c r="X104" i="22"/>
  <c r="W104" i="22"/>
  <c r="V104" i="22"/>
  <c r="U104" i="22"/>
  <c r="R104" i="22"/>
  <c r="N104" i="22"/>
  <c r="J104" i="22"/>
  <c r="G104" i="22"/>
  <c r="D104" i="22"/>
  <c r="AG103" i="22"/>
  <c r="AG104" i="22" s="1"/>
  <c r="AF103" i="22"/>
  <c r="AF104" i="22" s="1"/>
  <c r="AF105" i="22" s="1"/>
  <c r="AF106" i="22" s="1"/>
  <c r="AF107" i="22" s="1"/>
  <c r="AF108" i="22" s="1"/>
  <c r="AF109" i="22" s="1"/>
  <c r="AF110" i="22" s="1"/>
  <c r="AF111" i="22" s="1"/>
  <c r="X103" i="22"/>
  <c r="Y103" i="22" s="1"/>
  <c r="W103" i="22"/>
  <c r="V103" i="22"/>
  <c r="U103" i="22"/>
  <c r="R103" i="22"/>
  <c r="N103" i="22"/>
  <c r="J103" i="22"/>
  <c r="G103" i="22"/>
  <c r="D103" i="22"/>
  <c r="AJ102" i="22"/>
  <c r="X102" i="22"/>
  <c r="W102" i="22"/>
  <c r="V102" i="22"/>
  <c r="Y102" i="22" s="1"/>
  <c r="U102" i="22"/>
  <c r="R102" i="22"/>
  <c r="N102" i="22"/>
  <c r="J102" i="22"/>
  <c r="G102" i="22"/>
  <c r="D102" i="22"/>
  <c r="AJ101" i="22"/>
  <c r="AI101" i="22"/>
  <c r="AI102" i="22" s="1"/>
  <c r="AI103" i="22" s="1"/>
  <c r="AG101" i="22"/>
  <c r="AG102" i="22" s="1"/>
  <c r="AF101" i="22"/>
  <c r="AF102" i="22" s="1"/>
  <c r="AD101" i="22"/>
  <c r="AC101" i="22"/>
  <c r="AC102" i="22" s="1"/>
  <c r="AC103" i="22" s="1"/>
  <c r="AC104" i="22" s="1"/>
  <c r="AC105" i="22" s="1"/>
  <c r="AC106" i="22" s="1"/>
  <c r="AA101" i="22"/>
  <c r="Y101" i="22"/>
  <c r="X101" i="22"/>
  <c r="W101" i="22"/>
  <c r="V101" i="22"/>
  <c r="U101" i="22"/>
  <c r="R101" i="22"/>
  <c r="N101" i="22"/>
  <c r="J101" i="22"/>
  <c r="G101" i="22"/>
  <c r="D101" i="22"/>
  <c r="AR100" i="22"/>
  <c r="AQ100" i="22"/>
  <c r="AQ101" i="22" s="1"/>
  <c r="AO100" i="22"/>
  <c r="AN100" i="22"/>
  <c r="AM100" i="22"/>
  <c r="AM101" i="22" s="1"/>
  <c r="AM102" i="22" s="1"/>
  <c r="AM103" i="22" s="1"/>
  <c r="AM104" i="22" s="1"/>
  <c r="AM105" i="22" s="1"/>
  <c r="AM106" i="22" s="1"/>
  <c r="AM107" i="22" s="1"/>
  <c r="AM108" i="22" s="1"/>
  <c r="AM109" i="22" s="1"/>
  <c r="AM110" i="22" s="1"/>
  <c r="AM111" i="22" s="1"/>
  <c r="AK100" i="22"/>
  <c r="AJ100" i="22"/>
  <c r="AI100" i="22"/>
  <c r="AG100" i="22"/>
  <c r="AH100" i="22" s="1"/>
  <c r="AF100" i="22"/>
  <c r="AD100" i="22"/>
  <c r="AE100" i="22" s="1"/>
  <c r="AC100" i="22"/>
  <c r="AA100" i="22"/>
  <c r="Z100" i="22"/>
  <c r="AB100" i="22" s="1"/>
  <c r="X100" i="22"/>
  <c r="W100" i="22"/>
  <c r="V100" i="22"/>
  <c r="U100" i="22"/>
  <c r="R100" i="22"/>
  <c r="N100" i="22"/>
  <c r="J100" i="22"/>
  <c r="G100" i="22"/>
  <c r="D100" i="22"/>
  <c r="X99" i="22"/>
  <c r="W99" i="22"/>
  <c r="V99" i="22"/>
  <c r="U99" i="22"/>
  <c r="R99" i="22"/>
  <c r="N99" i="22"/>
  <c r="J99" i="22"/>
  <c r="G99" i="22"/>
  <c r="D99" i="22"/>
  <c r="X98" i="22"/>
  <c r="Y98" i="22" s="1"/>
  <c r="W98" i="22"/>
  <c r="V98" i="22"/>
  <c r="U98" i="22"/>
  <c r="R98" i="22"/>
  <c r="N98" i="22"/>
  <c r="J98" i="22"/>
  <c r="G98" i="22"/>
  <c r="D98" i="22"/>
  <c r="AC97" i="22"/>
  <c r="AC98" i="22" s="1"/>
  <c r="AC99" i="22" s="1"/>
  <c r="Y97" i="22"/>
  <c r="X97" i="22"/>
  <c r="W97" i="22"/>
  <c r="V97" i="22"/>
  <c r="U97" i="22"/>
  <c r="R97" i="22"/>
  <c r="N97" i="22"/>
  <c r="J97" i="22"/>
  <c r="G97" i="22"/>
  <c r="D97" i="22"/>
  <c r="X96" i="22"/>
  <c r="W96" i="22"/>
  <c r="V96" i="22"/>
  <c r="Y96" i="22" s="1"/>
  <c r="U96" i="22"/>
  <c r="R96" i="22"/>
  <c r="N96" i="22"/>
  <c r="J96" i="22"/>
  <c r="G96" i="22"/>
  <c r="D96" i="22"/>
  <c r="AN95" i="22"/>
  <c r="AN96" i="22" s="1"/>
  <c r="AN97" i="22" s="1"/>
  <c r="AN98" i="22" s="1"/>
  <c r="AN99" i="22" s="1"/>
  <c r="AI95" i="22"/>
  <c r="AI96" i="22" s="1"/>
  <c r="AI97" i="22" s="1"/>
  <c r="AI98" i="22" s="1"/>
  <c r="AI99" i="22" s="1"/>
  <c r="X95" i="22"/>
  <c r="W95" i="22"/>
  <c r="V95" i="22"/>
  <c r="U95" i="22"/>
  <c r="R95" i="22"/>
  <c r="N95" i="22"/>
  <c r="J95" i="22"/>
  <c r="G95" i="22"/>
  <c r="D95" i="22"/>
  <c r="AI94" i="22"/>
  <c r="X94" i="22"/>
  <c r="W94" i="22"/>
  <c r="V94" i="22"/>
  <c r="U94" i="22"/>
  <c r="R94" i="22"/>
  <c r="N94" i="22"/>
  <c r="J94" i="22"/>
  <c r="G94" i="22"/>
  <c r="D94" i="22"/>
  <c r="Y93" i="22"/>
  <c r="X93" i="22"/>
  <c r="W93" i="22"/>
  <c r="V93" i="22"/>
  <c r="U93" i="22"/>
  <c r="R93" i="22"/>
  <c r="N93" i="22"/>
  <c r="J93" i="22"/>
  <c r="G93" i="22"/>
  <c r="D93" i="22"/>
  <c r="AN92" i="22"/>
  <c r="AN93" i="22" s="1"/>
  <c r="AN94" i="22" s="1"/>
  <c r="AI92" i="22"/>
  <c r="AI93" i="22" s="1"/>
  <c r="X92" i="22"/>
  <c r="Y92" i="22" s="1"/>
  <c r="W92" i="22"/>
  <c r="V92" i="22"/>
  <c r="U92" i="22"/>
  <c r="R92" i="22"/>
  <c r="N92" i="22"/>
  <c r="J92" i="22"/>
  <c r="G92" i="22"/>
  <c r="D92" i="22"/>
  <c r="AR91" i="22"/>
  <c r="AO91" i="22"/>
  <c r="AO92" i="22" s="1"/>
  <c r="AN91" i="22"/>
  <c r="X91" i="22"/>
  <c r="Y91" i="22" s="1"/>
  <c r="W91" i="22"/>
  <c r="V91" i="22"/>
  <c r="U91" i="22"/>
  <c r="R91" i="22"/>
  <c r="N91" i="22"/>
  <c r="J91" i="22"/>
  <c r="G91" i="22"/>
  <c r="D91" i="22"/>
  <c r="AO90" i="22"/>
  <c r="AI90" i="22"/>
  <c r="AI91" i="22" s="1"/>
  <c r="Z90" i="22"/>
  <c r="Z91" i="22" s="1"/>
  <c r="Z92" i="22" s="1"/>
  <c r="Z93" i="22" s="1"/>
  <c r="Z94" i="22" s="1"/>
  <c r="Z95" i="22" s="1"/>
  <c r="Z96" i="22" s="1"/>
  <c r="Z97" i="22" s="1"/>
  <c r="Z98" i="22" s="1"/>
  <c r="Z99" i="22" s="1"/>
  <c r="Y90" i="22"/>
  <c r="X90" i="22"/>
  <c r="W90" i="22"/>
  <c r="V90" i="22"/>
  <c r="U90" i="22"/>
  <c r="R90" i="22"/>
  <c r="N90" i="22"/>
  <c r="J90" i="22"/>
  <c r="G90" i="22"/>
  <c r="D90" i="22"/>
  <c r="AR89" i="22"/>
  <c r="AR90" i="22" s="1"/>
  <c r="AQ89" i="22"/>
  <c r="AN89" i="22"/>
  <c r="AN90" i="22" s="1"/>
  <c r="AM89" i="22"/>
  <c r="AM90" i="22" s="1"/>
  <c r="AM91" i="22" s="1"/>
  <c r="AM92" i="22" s="1"/>
  <c r="AM93" i="22" s="1"/>
  <c r="AM94" i="22" s="1"/>
  <c r="AM95" i="22" s="1"/>
  <c r="AM96" i="22" s="1"/>
  <c r="AM97" i="22" s="1"/>
  <c r="AM98" i="22" s="1"/>
  <c r="AM99" i="22" s="1"/>
  <c r="AF89" i="22"/>
  <c r="AF90" i="22" s="1"/>
  <c r="AF91" i="22" s="1"/>
  <c r="AF92" i="22" s="1"/>
  <c r="AF93" i="22" s="1"/>
  <c r="AF94" i="22" s="1"/>
  <c r="AF95" i="22" s="1"/>
  <c r="AF96" i="22" s="1"/>
  <c r="AF97" i="22" s="1"/>
  <c r="AF98" i="22" s="1"/>
  <c r="AF99" i="22" s="1"/>
  <c r="Z89" i="22"/>
  <c r="X89" i="22"/>
  <c r="W89" i="22"/>
  <c r="V89" i="22"/>
  <c r="U89" i="22"/>
  <c r="R89" i="22"/>
  <c r="N89" i="22"/>
  <c r="J89" i="22"/>
  <c r="G89" i="22"/>
  <c r="D89" i="22"/>
  <c r="AS88" i="22"/>
  <c r="AR88" i="22"/>
  <c r="AQ88" i="22"/>
  <c r="AP88" i="22"/>
  <c r="AO88" i="22"/>
  <c r="AO89" i="22" s="1"/>
  <c r="AN88" i="22"/>
  <c r="AM88" i="22"/>
  <c r="AK88" i="22"/>
  <c r="AL88" i="22" s="1"/>
  <c r="AJ88" i="22"/>
  <c r="AI88" i="22"/>
  <c r="AI89" i="22" s="1"/>
  <c r="AG88" i="22"/>
  <c r="AF88" i="22"/>
  <c r="AD88" i="22"/>
  <c r="AC88" i="22"/>
  <c r="AC89" i="22" s="1"/>
  <c r="AC90" i="22" s="1"/>
  <c r="AC91" i="22" s="1"/>
  <c r="AC92" i="22" s="1"/>
  <c r="AC93" i="22" s="1"/>
  <c r="AC94" i="22" s="1"/>
  <c r="AC95" i="22" s="1"/>
  <c r="AC96" i="22" s="1"/>
  <c r="AA88" i="22"/>
  <c r="Z88" i="22"/>
  <c r="X88" i="22"/>
  <c r="Y88" i="22" s="1"/>
  <c r="W88" i="22"/>
  <c r="V88" i="22"/>
  <c r="U88" i="22"/>
  <c r="R88" i="22"/>
  <c r="N88" i="22"/>
  <c r="J88" i="22"/>
  <c r="G88" i="22"/>
  <c r="D88" i="22"/>
  <c r="X87" i="22"/>
  <c r="W87" i="22"/>
  <c r="V87" i="22"/>
  <c r="U87" i="22"/>
  <c r="R87" i="22"/>
  <c r="N87" i="22"/>
  <c r="J87" i="22"/>
  <c r="G87" i="22"/>
  <c r="D87" i="22"/>
  <c r="X86" i="22"/>
  <c r="W86" i="22"/>
  <c r="V86" i="22"/>
  <c r="Y86" i="22" s="1"/>
  <c r="U86" i="22"/>
  <c r="R86" i="22"/>
  <c r="N86" i="22"/>
  <c r="J86" i="22"/>
  <c r="G86" i="22"/>
  <c r="D86" i="22"/>
  <c r="X85" i="22"/>
  <c r="Y85" i="22" s="1"/>
  <c r="W85" i="22"/>
  <c r="V85" i="22"/>
  <c r="U85" i="22"/>
  <c r="R85" i="22"/>
  <c r="N85" i="22"/>
  <c r="J85" i="22"/>
  <c r="G85" i="22"/>
  <c r="D85" i="22"/>
  <c r="AI84" i="22"/>
  <c r="AI85" i="22" s="1"/>
  <c r="AI86" i="22" s="1"/>
  <c r="AI87" i="22" s="1"/>
  <c r="X84" i="22"/>
  <c r="Y84" i="22" s="1"/>
  <c r="W84" i="22"/>
  <c r="V84" i="22"/>
  <c r="U84" i="22"/>
  <c r="R84" i="22"/>
  <c r="N84" i="22"/>
  <c r="J84" i="22"/>
  <c r="G84" i="22"/>
  <c r="D84" i="22"/>
  <c r="X83" i="22"/>
  <c r="Y83" i="22" s="1"/>
  <c r="W83" i="22"/>
  <c r="V83" i="22"/>
  <c r="U83" i="22"/>
  <c r="R83" i="22"/>
  <c r="N83" i="22"/>
  <c r="J83" i="22"/>
  <c r="G83" i="22"/>
  <c r="D83" i="22"/>
  <c r="AM82" i="22"/>
  <c r="AM83" i="22" s="1"/>
  <c r="AM84" i="22" s="1"/>
  <c r="AM85" i="22" s="1"/>
  <c r="AM86" i="22" s="1"/>
  <c r="AM87" i="22" s="1"/>
  <c r="X82" i="22"/>
  <c r="Y82" i="22" s="1"/>
  <c r="W82" i="22"/>
  <c r="V82" i="22"/>
  <c r="U82" i="22"/>
  <c r="R82" i="22"/>
  <c r="N82" i="22"/>
  <c r="J82" i="22"/>
  <c r="G82" i="22"/>
  <c r="D82" i="22"/>
  <c r="AG81" i="22"/>
  <c r="AF81" i="22"/>
  <c r="AF82" i="22" s="1"/>
  <c r="AF83" i="22" s="1"/>
  <c r="AF84" i="22" s="1"/>
  <c r="AF85" i="22" s="1"/>
  <c r="AF86" i="22" s="1"/>
  <c r="AF87" i="22" s="1"/>
  <c r="AD81" i="22"/>
  <c r="Z81" i="22"/>
  <c r="Z82" i="22" s="1"/>
  <c r="Z83" i="22" s="1"/>
  <c r="Z84" i="22" s="1"/>
  <c r="Z85" i="22" s="1"/>
  <c r="Z86" i="22" s="1"/>
  <c r="Z87" i="22" s="1"/>
  <c r="Y81" i="22"/>
  <c r="X81" i="22"/>
  <c r="W81" i="22"/>
  <c r="V81" i="22"/>
  <c r="U81" i="22"/>
  <c r="R81" i="22"/>
  <c r="N81" i="22"/>
  <c r="J81" i="22"/>
  <c r="G81" i="22"/>
  <c r="D81" i="22"/>
  <c r="AM80" i="22"/>
  <c r="AM81" i="22" s="1"/>
  <c r="AC80" i="22"/>
  <c r="AC81" i="22" s="1"/>
  <c r="AC82" i="22" s="1"/>
  <c r="AC83" i="22" s="1"/>
  <c r="AC84" i="22" s="1"/>
  <c r="AC85" i="22" s="1"/>
  <c r="AC86" i="22" s="1"/>
  <c r="AC87" i="22" s="1"/>
  <c r="Z80" i="22"/>
  <c r="X80" i="22"/>
  <c r="Y80" i="22" s="1"/>
  <c r="W80" i="22"/>
  <c r="V80" i="22"/>
  <c r="U80" i="22"/>
  <c r="R80" i="22"/>
  <c r="N80" i="22"/>
  <c r="J80" i="22"/>
  <c r="G80" i="22"/>
  <c r="D80" i="22"/>
  <c r="AE79" i="22"/>
  <c r="AD79" i="22"/>
  <c r="AD80" i="22" s="1"/>
  <c r="AC79" i="22"/>
  <c r="X79" i="22"/>
  <c r="Y79" i="22" s="1"/>
  <c r="W79" i="22"/>
  <c r="V79" i="22"/>
  <c r="U79" i="22"/>
  <c r="R79" i="22"/>
  <c r="N79" i="22"/>
  <c r="J79" i="22"/>
  <c r="G79" i="22"/>
  <c r="D79" i="22"/>
  <c r="AH78" i="22"/>
  <c r="AF78" i="22"/>
  <c r="AF79" i="22" s="1"/>
  <c r="AF80" i="22" s="1"/>
  <c r="AD78" i="22"/>
  <c r="AE78" i="22" s="1"/>
  <c r="AC78" i="22"/>
  <c r="Z78" i="22"/>
  <c r="Z79" i="22" s="1"/>
  <c r="Y78" i="22"/>
  <c r="X78" i="22"/>
  <c r="W78" i="22"/>
  <c r="V78" i="22"/>
  <c r="U78" i="22"/>
  <c r="R78" i="22"/>
  <c r="N78" i="22"/>
  <c r="J78" i="22"/>
  <c r="G78" i="22"/>
  <c r="D78" i="22"/>
  <c r="AO77" i="22"/>
  <c r="AO78" i="22" s="1"/>
  <c r="AN77" i="22"/>
  <c r="AM77" i="22"/>
  <c r="AM78" i="22" s="1"/>
  <c r="AM79" i="22" s="1"/>
  <c r="AK77" i="22"/>
  <c r="AK78" i="22" s="1"/>
  <c r="AJ77" i="22"/>
  <c r="AI77" i="22"/>
  <c r="AI78" i="22" s="1"/>
  <c r="AI79" i="22" s="1"/>
  <c r="AI80" i="22" s="1"/>
  <c r="AI81" i="22" s="1"/>
  <c r="AI82" i="22" s="1"/>
  <c r="AI83" i="22" s="1"/>
  <c r="AH77" i="22"/>
  <c r="AD77" i="22"/>
  <c r="AE77" i="22" s="1"/>
  <c r="X77" i="22"/>
  <c r="Y77" i="22" s="1"/>
  <c r="W77" i="22"/>
  <c r="V77" i="22"/>
  <c r="U77" i="22"/>
  <c r="R77" i="22"/>
  <c r="N77" i="22"/>
  <c r="J77" i="22"/>
  <c r="G77" i="22"/>
  <c r="D77" i="22"/>
  <c r="AR76" i="22"/>
  <c r="AQ76" i="22"/>
  <c r="AO76" i="22"/>
  <c r="AP76" i="22" s="1"/>
  <c r="AN76" i="22"/>
  <c r="AM76" i="22"/>
  <c r="AK76" i="22"/>
  <c r="AJ76" i="22"/>
  <c r="AI76" i="22"/>
  <c r="AH76" i="22"/>
  <c r="AG76" i="22"/>
  <c r="AG77" i="22" s="1"/>
  <c r="AG78" i="22" s="1"/>
  <c r="AG79" i="22" s="1"/>
  <c r="AG80" i="22" s="1"/>
  <c r="AF76" i="22"/>
  <c r="AF77" i="22" s="1"/>
  <c r="AD76" i="22"/>
  <c r="AE76" i="22" s="1"/>
  <c r="AC76" i="22"/>
  <c r="AC77" i="22" s="1"/>
  <c r="AA76" i="22"/>
  <c r="Z76" i="22"/>
  <c r="Z77" i="22" s="1"/>
  <c r="X76" i="22"/>
  <c r="Y76" i="22" s="1"/>
  <c r="W76" i="22"/>
  <c r="V76" i="22"/>
  <c r="U76" i="22"/>
  <c r="R76" i="22"/>
  <c r="N76" i="22"/>
  <c r="J76" i="22"/>
  <c r="G76" i="22"/>
  <c r="D76" i="22"/>
  <c r="X75" i="22"/>
  <c r="W75" i="22"/>
  <c r="V75" i="22"/>
  <c r="U75" i="22"/>
  <c r="R75" i="22"/>
  <c r="N75" i="22"/>
  <c r="J75" i="22"/>
  <c r="G75" i="22"/>
  <c r="D75" i="22"/>
  <c r="Z74" i="22"/>
  <c r="Z75" i="22" s="1"/>
  <c r="X74" i="22"/>
  <c r="W74" i="22"/>
  <c r="V74" i="22"/>
  <c r="U74" i="22"/>
  <c r="R74" i="22"/>
  <c r="N74" i="22"/>
  <c r="J74" i="22"/>
  <c r="G74" i="22"/>
  <c r="D74" i="22"/>
  <c r="X73" i="22"/>
  <c r="Y73" i="22" s="1"/>
  <c r="W73" i="22"/>
  <c r="V73" i="22"/>
  <c r="U73" i="22"/>
  <c r="R73" i="22"/>
  <c r="N73" i="22"/>
  <c r="J73" i="22"/>
  <c r="G73" i="22"/>
  <c r="D73" i="22"/>
  <c r="AN72" i="22"/>
  <c r="AN73" i="22" s="1"/>
  <c r="AN74" i="22" s="1"/>
  <c r="AN75" i="22" s="1"/>
  <c r="X72" i="22"/>
  <c r="Y72" i="22" s="1"/>
  <c r="W72" i="22"/>
  <c r="V72" i="22"/>
  <c r="U72" i="22"/>
  <c r="R72" i="22"/>
  <c r="N72" i="22"/>
  <c r="J72" i="22"/>
  <c r="G72" i="22"/>
  <c r="D72" i="22"/>
  <c r="X71" i="22"/>
  <c r="Y71" i="22" s="1"/>
  <c r="W71" i="22"/>
  <c r="V71" i="22"/>
  <c r="U71" i="22"/>
  <c r="R71" i="22"/>
  <c r="N71" i="22"/>
  <c r="J71" i="22"/>
  <c r="G71" i="22"/>
  <c r="D71" i="22"/>
  <c r="AM70" i="22"/>
  <c r="AM71" i="22" s="1"/>
  <c r="AM72" i="22" s="1"/>
  <c r="AM73" i="22" s="1"/>
  <c r="AM74" i="22" s="1"/>
  <c r="AM75" i="22" s="1"/>
  <c r="AI70" i="22"/>
  <c r="AI71" i="22" s="1"/>
  <c r="AI72" i="22" s="1"/>
  <c r="AI73" i="22" s="1"/>
  <c r="AI74" i="22" s="1"/>
  <c r="AI75" i="22" s="1"/>
  <c r="Y70" i="22"/>
  <c r="X70" i="22"/>
  <c r="W70" i="22"/>
  <c r="V70" i="22"/>
  <c r="U70" i="22"/>
  <c r="R70" i="22"/>
  <c r="N70" i="22"/>
  <c r="J70" i="22"/>
  <c r="G70" i="22"/>
  <c r="D70" i="22"/>
  <c r="X69" i="22"/>
  <c r="W69" i="22"/>
  <c r="V69" i="22"/>
  <c r="U69" i="22"/>
  <c r="R69" i="22"/>
  <c r="N69" i="22"/>
  <c r="J69" i="22"/>
  <c r="G69" i="22"/>
  <c r="D69" i="22"/>
  <c r="AP68" i="22"/>
  <c r="AI68" i="22"/>
  <c r="AI69" i="22" s="1"/>
  <c r="X68" i="22"/>
  <c r="W68" i="22"/>
  <c r="V68" i="22"/>
  <c r="U68" i="22"/>
  <c r="R68" i="22"/>
  <c r="N68" i="22"/>
  <c r="J68" i="22"/>
  <c r="G68" i="22"/>
  <c r="D68" i="22"/>
  <c r="AO67" i="22"/>
  <c r="AO68" i="22" s="1"/>
  <c r="AO69" i="22" s="1"/>
  <c r="AN67" i="22"/>
  <c r="AN68" i="22" s="1"/>
  <c r="AN69" i="22" s="1"/>
  <c r="AN70" i="22" s="1"/>
  <c r="AN71" i="22" s="1"/>
  <c r="AM67" i="22"/>
  <c r="AM68" i="22" s="1"/>
  <c r="AM69" i="22" s="1"/>
  <c r="X67" i="22"/>
  <c r="W67" i="22"/>
  <c r="V67" i="22"/>
  <c r="U67" i="22"/>
  <c r="R67" i="22"/>
  <c r="N67" i="22"/>
  <c r="J67" i="22"/>
  <c r="G67" i="22"/>
  <c r="D67" i="22"/>
  <c r="AP66" i="22"/>
  <c r="AK66" i="22"/>
  <c r="AD66" i="22"/>
  <c r="X66" i="22"/>
  <c r="W66" i="22"/>
  <c r="V66" i="22"/>
  <c r="U66" i="22"/>
  <c r="R66" i="22"/>
  <c r="N66" i="22"/>
  <c r="J66" i="22"/>
  <c r="G66" i="22"/>
  <c r="D66" i="22"/>
  <c r="AD65" i="22"/>
  <c r="AC65" i="22"/>
  <c r="AA65" i="22"/>
  <c r="Z65" i="22"/>
  <c r="Z66" i="22" s="1"/>
  <c r="Z67" i="22" s="1"/>
  <c r="Z68" i="22" s="1"/>
  <c r="Z69" i="22" s="1"/>
  <c r="Z70" i="22" s="1"/>
  <c r="Z71" i="22" s="1"/>
  <c r="Z72" i="22" s="1"/>
  <c r="Z73" i="22" s="1"/>
  <c r="Y65" i="22"/>
  <c r="X65" i="22"/>
  <c r="W65" i="22"/>
  <c r="V65" i="22"/>
  <c r="U65" i="22"/>
  <c r="R65" i="22"/>
  <c r="N65" i="22"/>
  <c r="J65" i="22"/>
  <c r="G65" i="22"/>
  <c r="D65" i="22"/>
  <c r="AS64" i="22"/>
  <c r="AR64" i="22"/>
  <c r="AQ64" i="22"/>
  <c r="AO64" i="22"/>
  <c r="AO65" i="22" s="1"/>
  <c r="AO66" i="22" s="1"/>
  <c r="AN64" i="22"/>
  <c r="AN65" i="22" s="1"/>
  <c r="AN66" i="22" s="1"/>
  <c r="AM64" i="22"/>
  <c r="AM65" i="22" s="1"/>
  <c r="AM66" i="22" s="1"/>
  <c r="AK64" i="22"/>
  <c r="AK65" i="22" s="1"/>
  <c r="AJ64" i="22"/>
  <c r="AI64" i="22"/>
  <c r="AI65" i="22" s="1"/>
  <c r="AI66" i="22" s="1"/>
  <c r="AI67" i="22" s="1"/>
  <c r="AH64" i="22"/>
  <c r="AG64" i="22"/>
  <c r="AG65" i="22" s="1"/>
  <c r="AF64" i="22"/>
  <c r="AF65" i="22" s="1"/>
  <c r="AF66" i="22" s="1"/>
  <c r="AF67" i="22" s="1"/>
  <c r="AF68" i="22" s="1"/>
  <c r="AF69" i="22" s="1"/>
  <c r="AF70" i="22" s="1"/>
  <c r="AF71" i="22" s="1"/>
  <c r="AF72" i="22" s="1"/>
  <c r="AF73" i="22" s="1"/>
  <c r="AF74" i="22" s="1"/>
  <c r="AF75" i="22" s="1"/>
  <c r="AE64" i="22"/>
  <c r="AD64" i="22"/>
  <c r="AC64" i="22"/>
  <c r="AB64" i="22"/>
  <c r="AA64" i="22"/>
  <c r="Z64" i="22"/>
  <c r="X64" i="22"/>
  <c r="W64" i="22"/>
  <c r="Y64" i="22" s="1"/>
  <c r="V64" i="22"/>
  <c r="U64" i="22"/>
  <c r="R64" i="22"/>
  <c r="N64" i="22"/>
  <c r="J64" i="22"/>
  <c r="G64" i="22"/>
  <c r="D64" i="22"/>
  <c r="AF63" i="22"/>
  <c r="AC63" i="22"/>
  <c r="X63" i="22"/>
  <c r="W63" i="22"/>
  <c r="Y63" i="22" s="1"/>
  <c r="V63" i="22"/>
  <c r="U63" i="22"/>
  <c r="R63" i="22"/>
  <c r="N63" i="22"/>
  <c r="J63" i="22"/>
  <c r="G63" i="22"/>
  <c r="D63" i="22"/>
  <c r="AI62" i="22"/>
  <c r="AI63" i="22" s="1"/>
  <c r="X62" i="22"/>
  <c r="Y62" i="22" s="1"/>
  <c r="W62" i="22"/>
  <c r="V62" i="22"/>
  <c r="U62" i="22"/>
  <c r="R62" i="22"/>
  <c r="N62" i="22"/>
  <c r="J62" i="22"/>
  <c r="G62" i="22"/>
  <c r="D62" i="22"/>
  <c r="X61" i="22"/>
  <c r="W61" i="22"/>
  <c r="Y61" i="22" s="1"/>
  <c r="V61" i="22"/>
  <c r="U61" i="22"/>
  <c r="R61" i="22"/>
  <c r="N61" i="22"/>
  <c r="J61" i="22"/>
  <c r="G61" i="22"/>
  <c r="D61" i="22"/>
  <c r="AM60" i="22"/>
  <c r="AM61" i="22" s="1"/>
  <c r="AM62" i="22" s="1"/>
  <c r="AM63" i="22" s="1"/>
  <c r="X60" i="22"/>
  <c r="Y60" i="22" s="1"/>
  <c r="W60" i="22"/>
  <c r="V60" i="22"/>
  <c r="U60" i="22"/>
  <c r="R60" i="22"/>
  <c r="N60" i="22"/>
  <c r="J60" i="22"/>
  <c r="G60" i="22"/>
  <c r="D60" i="22"/>
  <c r="X59" i="22"/>
  <c r="W59" i="22"/>
  <c r="V59" i="22"/>
  <c r="Y59" i="22" s="1"/>
  <c r="U59" i="22"/>
  <c r="R59" i="22"/>
  <c r="N59" i="22"/>
  <c r="J59" i="22"/>
  <c r="G59" i="22"/>
  <c r="D59" i="22"/>
  <c r="X58" i="22"/>
  <c r="W58" i="22"/>
  <c r="V58" i="22"/>
  <c r="Y58" i="22" s="1"/>
  <c r="U58" i="22"/>
  <c r="R58" i="22"/>
  <c r="N58" i="22"/>
  <c r="J58" i="22"/>
  <c r="G58" i="22"/>
  <c r="D58" i="22"/>
  <c r="AN57" i="22"/>
  <c r="AN58" i="22" s="1"/>
  <c r="AN59" i="22" s="1"/>
  <c r="AN60" i="22" s="1"/>
  <c r="AN61" i="22" s="1"/>
  <c r="AN62" i="22" s="1"/>
  <c r="AN63" i="22" s="1"/>
  <c r="AD57" i="22"/>
  <c r="AD58" i="22" s="1"/>
  <c r="X57" i="22"/>
  <c r="Y57" i="22" s="1"/>
  <c r="W57" i="22"/>
  <c r="V57" i="22"/>
  <c r="U57" i="22"/>
  <c r="R57" i="22"/>
  <c r="N57" i="22"/>
  <c r="J57" i="22"/>
  <c r="G57" i="22"/>
  <c r="D57" i="22"/>
  <c r="Z56" i="22"/>
  <c r="Z57" i="22" s="1"/>
  <c r="Z58" i="22" s="1"/>
  <c r="Z59" i="22" s="1"/>
  <c r="Z60" i="22" s="1"/>
  <c r="Z61" i="22" s="1"/>
  <c r="Z62" i="22" s="1"/>
  <c r="Z63" i="22" s="1"/>
  <c r="X56" i="22"/>
  <c r="Y56" i="22" s="1"/>
  <c r="W56" i="22"/>
  <c r="V56" i="22"/>
  <c r="U56" i="22"/>
  <c r="R56" i="22"/>
  <c r="N56" i="22"/>
  <c r="J56" i="22"/>
  <c r="G56" i="22"/>
  <c r="D56" i="22"/>
  <c r="AM55" i="22"/>
  <c r="AM56" i="22" s="1"/>
  <c r="AM57" i="22" s="1"/>
  <c r="AM58" i="22" s="1"/>
  <c r="AM59" i="22" s="1"/>
  <c r="AI55" i="22"/>
  <c r="AI56" i="22" s="1"/>
  <c r="AI57" i="22" s="1"/>
  <c r="AI58" i="22" s="1"/>
  <c r="AI59" i="22" s="1"/>
  <c r="AI60" i="22" s="1"/>
  <c r="AI61" i="22" s="1"/>
  <c r="AD55" i="22"/>
  <c r="AD56" i="22" s="1"/>
  <c r="AC55" i="22"/>
  <c r="AC56" i="22" s="1"/>
  <c r="AC57" i="22" s="1"/>
  <c r="AC58" i="22" s="1"/>
  <c r="AC59" i="22" s="1"/>
  <c r="AC60" i="22" s="1"/>
  <c r="AC61" i="22" s="1"/>
  <c r="AC62" i="22" s="1"/>
  <c r="Z55" i="22"/>
  <c r="X55" i="22"/>
  <c r="W55" i="22"/>
  <c r="V55" i="22"/>
  <c r="U55" i="22"/>
  <c r="R55" i="22"/>
  <c r="N55" i="22"/>
  <c r="J55" i="22"/>
  <c r="G55" i="22"/>
  <c r="D55" i="22"/>
  <c r="AQ54" i="22"/>
  <c r="AI54" i="22"/>
  <c r="AF54" i="22"/>
  <c r="AF55" i="22" s="1"/>
  <c r="AF56" i="22" s="1"/>
  <c r="AF57" i="22" s="1"/>
  <c r="AF58" i="22" s="1"/>
  <c r="AF59" i="22" s="1"/>
  <c r="AF60" i="22" s="1"/>
  <c r="AF61" i="22" s="1"/>
  <c r="AF62" i="22" s="1"/>
  <c r="X54" i="22"/>
  <c r="W54" i="22"/>
  <c r="V54" i="22"/>
  <c r="U54" i="22"/>
  <c r="R54" i="22"/>
  <c r="N54" i="22"/>
  <c r="J54" i="22"/>
  <c r="G54" i="22"/>
  <c r="D54" i="22"/>
  <c r="AS53" i="22"/>
  <c r="AR53" i="22"/>
  <c r="AQ53" i="22"/>
  <c r="AT53" i="22" s="1"/>
  <c r="AO53" i="22"/>
  <c r="AM53" i="22"/>
  <c r="AM54" i="22" s="1"/>
  <c r="AK53" i="22"/>
  <c r="Z53" i="22"/>
  <c r="Z54" i="22" s="1"/>
  <c r="X53" i="22"/>
  <c r="W53" i="22"/>
  <c r="V53" i="22"/>
  <c r="U53" i="22"/>
  <c r="R53" i="22"/>
  <c r="N53" i="22"/>
  <c r="J53" i="22"/>
  <c r="G53" i="22"/>
  <c r="D53" i="22"/>
  <c r="AT52" i="22"/>
  <c r="AR52" i="22"/>
  <c r="AQ52" i="22"/>
  <c r="AO52" i="22"/>
  <c r="AN52" i="22"/>
  <c r="AN53" i="22" s="1"/>
  <c r="AN54" i="22" s="1"/>
  <c r="AN55" i="22" s="1"/>
  <c r="AN56" i="22" s="1"/>
  <c r="AM52" i="22"/>
  <c r="AL52" i="22"/>
  <c r="AK52" i="22"/>
  <c r="AJ52" i="22"/>
  <c r="AI52" i="22"/>
  <c r="AI53" i="22" s="1"/>
  <c r="AG52" i="22"/>
  <c r="AF52" i="22"/>
  <c r="AF53" i="22" s="1"/>
  <c r="AD52" i="22"/>
  <c r="AD53" i="22" s="1"/>
  <c r="AD54" i="22" s="1"/>
  <c r="AC52" i="22"/>
  <c r="AC53" i="22" s="1"/>
  <c r="AC54" i="22" s="1"/>
  <c r="AB52" i="22"/>
  <c r="AA52" i="22"/>
  <c r="AA53" i="22" s="1"/>
  <c r="Z52" i="22"/>
  <c r="X52" i="22"/>
  <c r="W52" i="22"/>
  <c r="V52" i="22"/>
  <c r="U52" i="22"/>
  <c r="R52" i="22"/>
  <c r="N52" i="22"/>
  <c r="J52" i="22"/>
  <c r="G52" i="22"/>
  <c r="D52" i="22"/>
  <c r="X51" i="22"/>
  <c r="Y51" i="22" s="1"/>
  <c r="W51" i="22"/>
  <c r="V51" i="22"/>
  <c r="U51" i="22"/>
  <c r="R51" i="22"/>
  <c r="N51" i="22"/>
  <c r="J51" i="22"/>
  <c r="G51" i="22"/>
  <c r="D51" i="22"/>
  <c r="AF50" i="22"/>
  <c r="AF51" i="22" s="1"/>
  <c r="X50" i="22"/>
  <c r="Y50" i="22" s="1"/>
  <c r="W50" i="22"/>
  <c r="V50" i="22"/>
  <c r="U50" i="22"/>
  <c r="R50" i="22"/>
  <c r="N50" i="22"/>
  <c r="J50" i="22"/>
  <c r="G50" i="22"/>
  <c r="D50" i="22"/>
  <c r="X49" i="22"/>
  <c r="W49" i="22"/>
  <c r="V49" i="22"/>
  <c r="U49" i="22"/>
  <c r="R49" i="22"/>
  <c r="N49" i="22"/>
  <c r="J49" i="22"/>
  <c r="G49" i="22"/>
  <c r="D49" i="22"/>
  <c r="X48" i="22"/>
  <c r="W48" i="22"/>
  <c r="V48" i="22"/>
  <c r="Y48" i="22" s="1"/>
  <c r="U48" i="22"/>
  <c r="R48" i="22"/>
  <c r="N48" i="22"/>
  <c r="J48" i="22"/>
  <c r="G48" i="22"/>
  <c r="D48" i="22"/>
  <c r="X47" i="22"/>
  <c r="W47" i="22"/>
  <c r="V47" i="22"/>
  <c r="U47" i="22"/>
  <c r="R47" i="22"/>
  <c r="N47" i="22"/>
  <c r="J47" i="22"/>
  <c r="G47" i="22"/>
  <c r="D47" i="22"/>
  <c r="X46" i="22"/>
  <c r="W46" i="22"/>
  <c r="V46" i="22"/>
  <c r="U46" i="22"/>
  <c r="R46" i="22"/>
  <c r="N46" i="22"/>
  <c r="J46" i="22"/>
  <c r="G46" i="22"/>
  <c r="D46" i="22"/>
  <c r="AF45" i="22"/>
  <c r="AF46" i="22" s="1"/>
  <c r="AF47" i="22" s="1"/>
  <c r="AF48" i="22" s="1"/>
  <c r="AF49" i="22" s="1"/>
  <c r="X45" i="22"/>
  <c r="W45" i="22"/>
  <c r="V45" i="22"/>
  <c r="U45" i="22"/>
  <c r="R45" i="22"/>
  <c r="N45" i="22"/>
  <c r="J45" i="22"/>
  <c r="G45" i="22"/>
  <c r="D45" i="22"/>
  <c r="AH44" i="22"/>
  <c r="AG44" i="22"/>
  <c r="AG45" i="22" s="1"/>
  <c r="X44" i="22"/>
  <c r="W44" i="22"/>
  <c r="Y44" i="22" s="1"/>
  <c r="V44" i="22"/>
  <c r="U44" i="22"/>
  <c r="R44" i="22"/>
  <c r="N44" i="22"/>
  <c r="J44" i="22"/>
  <c r="G44" i="22"/>
  <c r="D44" i="22"/>
  <c r="AG43" i="22"/>
  <c r="AH43" i="22" s="1"/>
  <c r="AD43" i="22"/>
  <c r="AC43" i="22"/>
  <c r="AC44" i="22" s="1"/>
  <c r="AC45" i="22" s="1"/>
  <c r="AC46" i="22" s="1"/>
  <c r="AC47" i="22" s="1"/>
  <c r="AC48" i="22" s="1"/>
  <c r="AC49" i="22" s="1"/>
  <c r="AC50" i="22" s="1"/>
  <c r="AC51" i="22" s="1"/>
  <c r="X43" i="22"/>
  <c r="W43" i="22"/>
  <c r="V43" i="22"/>
  <c r="U43" i="22"/>
  <c r="R43" i="22"/>
  <c r="N43" i="22"/>
  <c r="J43" i="22"/>
  <c r="G43" i="22"/>
  <c r="D43" i="22"/>
  <c r="AG42" i="22"/>
  <c r="AC42" i="22"/>
  <c r="AE42" i="22" s="1"/>
  <c r="AA42" i="22"/>
  <c r="Z42" i="22"/>
  <c r="Z43" i="22" s="1"/>
  <c r="Z44" i="22" s="1"/>
  <c r="Z45" i="22" s="1"/>
  <c r="Z46" i="22" s="1"/>
  <c r="Z47" i="22" s="1"/>
  <c r="Z48" i="22" s="1"/>
  <c r="Z49" i="22" s="1"/>
  <c r="Z50" i="22" s="1"/>
  <c r="Z51" i="22" s="1"/>
  <c r="Y42" i="22"/>
  <c r="X42" i="22"/>
  <c r="W42" i="22"/>
  <c r="V42" i="22"/>
  <c r="U42" i="22"/>
  <c r="R42" i="22"/>
  <c r="N42" i="22"/>
  <c r="J42" i="22"/>
  <c r="G42" i="22"/>
  <c r="D42" i="22"/>
  <c r="AQ41" i="22"/>
  <c r="AM41" i="22"/>
  <c r="AM42" i="22" s="1"/>
  <c r="AM43" i="22" s="1"/>
  <c r="AM44" i="22" s="1"/>
  <c r="AM45" i="22" s="1"/>
  <c r="AM46" i="22" s="1"/>
  <c r="AM47" i="22" s="1"/>
  <c r="AM48" i="22" s="1"/>
  <c r="AM49" i="22" s="1"/>
  <c r="AM50" i="22" s="1"/>
  <c r="AM51" i="22" s="1"/>
  <c r="AK41" i="22"/>
  <c r="AK42" i="22" s="1"/>
  <c r="AJ41" i="22"/>
  <c r="AI41" i="22"/>
  <c r="AI42" i="22" s="1"/>
  <c r="AI43" i="22" s="1"/>
  <c r="AI44" i="22" s="1"/>
  <c r="AI45" i="22" s="1"/>
  <c r="AI46" i="22" s="1"/>
  <c r="AI47" i="22" s="1"/>
  <c r="AI48" i="22" s="1"/>
  <c r="AI49" i="22" s="1"/>
  <c r="AI50" i="22" s="1"/>
  <c r="AI51" i="22" s="1"/>
  <c r="AH41" i="22"/>
  <c r="AG41" i="22"/>
  <c r="AF41" i="22"/>
  <c r="AF42" i="22" s="1"/>
  <c r="AF43" i="22" s="1"/>
  <c r="AF44" i="22" s="1"/>
  <c r="AD41" i="22"/>
  <c r="AD42" i="22" s="1"/>
  <c r="X41" i="22"/>
  <c r="W41" i="22"/>
  <c r="V41" i="22"/>
  <c r="U41" i="22"/>
  <c r="R41" i="22"/>
  <c r="N41" i="22"/>
  <c r="J41" i="22"/>
  <c r="G41" i="22"/>
  <c r="D41" i="22"/>
  <c r="AS40" i="22"/>
  <c r="AR40" i="22"/>
  <c r="AQ40" i="22"/>
  <c r="AT40" i="22" s="1"/>
  <c r="AO40" i="22"/>
  <c r="AO41" i="22" s="1"/>
  <c r="AN40" i="22"/>
  <c r="AU40" i="22" s="1"/>
  <c r="AM40" i="22"/>
  <c r="AK40" i="22"/>
  <c r="AL40" i="22" s="1"/>
  <c r="AJ40" i="22"/>
  <c r="AI40" i="22"/>
  <c r="AG40" i="22"/>
  <c r="AH40" i="22" s="1"/>
  <c r="AF40" i="22"/>
  <c r="AE40" i="22"/>
  <c r="AD40" i="22"/>
  <c r="AC40" i="22"/>
  <c r="AC41" i="22" s="1"/>
  <c r="AE41" i="22" s="1"/>
  <c r="AB40" i="22"/>
  <c r="AA40" i="22"/>
  <c r="AA41" i="22" s="1"/>
  <c r="AB41" i="22" s="1"/>
  <c r="Z40" i="22"/>
  <c r="Z41" i="22" s="1"/>
  <c r="X40" i="22"/>
  <c r="W40" i="22"/>
  <c r="V40" i="22"/>
  <c r="U40" i="22"/>
  <c r="R40" i="22"/>
  <c r="N40" i="22"/>
  <c r="J40" i="22"/>
  <c r="G40" i="22"/>
  <c r="D40" i="22"/>
  <c r="X39" i="22"/>
  <c r="W39" i="22"/>
  <c r="Y39" i="22" s="1"/>
  <c r="V39" i="22"/>
  <c r="U39" i="22"/>
  <c r="R39" i="22"/>
  <c r="N39" i="22"/>
  <c r="J39" i="22"/>
  <c r="G39" i="22"/>
  <c r="D39" i="22"/>
  <c r="X38" i="22"/>
  <c r="Y38" i="22" s="1"/>
  <c r="W38" i="22"/>
  <c r="V38" i="22"/>
  <c r="U38" i="22"/>
  <c r="R38" i="22"/>
  <c r="N38" i="22"/>
  <c r="J38" i="22"/>
  <c r="G38" i="22"/>
  <c r="D38" i="22"/>
  <c r="X37" i="22"/>
  <c r="W37" i="22"/>
  <c r="Y37" i="22" s="1"/>
  <c r="V37" i="22"/>
  <c r="U37" i="22"/>
  <c r="R37" i="22"/>
  <c r="N37" i="22"/>
  <c r="J37" i="22"/>
  <c r="G37" i="22"/>
  <c r="D37" i="22"/>
  <c r="X36" i="22"/>
  <c r="Y36" i="22" s="1"/>
  <c r="W36" i="22"/>
  <c r="V36" i="22"/>
  <c r="U36" i="22"/>
  <c r="R36" i="22"/>
  <c r="N36" i="22"/>
  <c r="J36" i="22"/>
  <c r="G36" i="22"/>
  <c r="D36" i="22"/>
  <c r="AF35" i="22"/>
  <c r="AF36" i="22" s="1"/>
  <c r="AF37" i="22" s="1"/>
  <c r="AF38" i="22" s="1"/>
  <c r="AF39" i="22" s="1"/>
  <c r="X35" i="22"/>
  <c r="W35" i="22"/>
  <c r="V35" i="22"/>
  <c r="U35" i="22"/>
  <c r="R35" i="22"/>
  <c r="N35" i="22"/>
  <c r="J35" i="22"/>
  <c r="G35" i="22"/>
  <c r="D35" i="22"/>
  <c r="Y34" i="22"/>
  <c r="X34" i="22"/>
  <c r="W34" i="22"/>
  <c r="V34" i="22"/>
  <c r="U34" i="22"/>
  <c r="R34" i="22"/>
  <c r="N34" i="22"/>
  <c r="J34" i="22"/>
  <c r="G34" i="22"/>
  <c r="D34" i="22"/>
  <c r="AI33" i="22"/>
  <c r="AI34" i="22" s="1"/>
  <c r="AI35" i="22" s="1"/>
  <c r="AI36" i="22" s="1"/>
  <c r="AI37" i="22" s="1"/>
  <c r="AI38" i="22" s="1"/>
  <c r="AI39" i="22" s="1"/>
  <c r="Y33" i="22"/>
  <c r="X33" i="22"/>
  <c r="W33" i="22"/>
  <c r="V33" i="22"/>
  <c r="U33" i="22"/>
  <c r="R33" i="22"/>
  <c r="N33" i="22"/>
  <c r="J33" i="22"/>
  <c r="G33" i="22"/>
  <c r="D33" i="22"/>
  <c r="AK32" i="22"/>
  <c r="AK33" i="22" s="1"/>
  <c r="AK34" i="22" s="1"/>
  <c r="AK35" i="22" s="1"/>
  <c r="AI32" i="22"/>
  <c r="AE32" i="22"/>
  <c r="AD32" i="22"/>
  <c r="AD33" i="22" s="1"/>
  <c r="AC32" i="22"/>
  <c r="AC33" i="22" s="1"/>
  <c r="AC34" i="22" s="1"/>
  <c r="AC35" i="22" s="1"/>
  <c r="AC36" i="22" s="1"/>
  <c r="AC37" i="22" s="1"/>
  <c r="AC38" i="22" s="1"/>
  <c r="AC39" i="22" s="1"/>
  <c r="X32" i="22"/>
  <c r="Y32" i="22" s="1"/>
  <c r="W32" i="22"/>
  <c r="V32" i="22"/>
  <c r="U32" i="22"/>
  <c r="R32" i="22"/>
  <c r="N32" i="22"/>
  <c r="J32" i="22"/>
  <c r="G32" i="22"/>
  <c r="D32" i="22"/>
  <c r="AQ31" i="22"/>
  <c r="Z31" i="22"/>
  <c r="Z32" i="22" s="1"/>
  <c r="Z33" i="22" s="1"/>
  <c r="Z34" i="22" s="1"/>
  <c r="Z35" i="22" s="1"/>
  <c r="Z36" i="22" s="1"/>
  <c r="Z37" i="22" s="1"/>
  <c r="Z38" i="22" s="1"/>
  <c r="Z39" i="22" s="1"/>
  <c r="Y31" i="22"/>
  <c r="X31" i="22"/>
  <c r="W31" i="22"/>
  <c r="V31" i="22"/>
  <c r="U31" i="22"/>
  <c r="R31" i="22"/>
  <c r="N31" i="22"/>
  <c r="J31" i="22"/>
  <c r="G31" i="22"/>
  <c r="D31" i="22"/>
  <c r="AJ30" i="22"/>
  <c r="AI30" i="22"/>
  <c r="AI31" i="22" s="1"/>
  <c r="AF30" i="22"/>
  <c r="AF31" i="22" s="1"/>
  <c r="AF32" i="22" s="1"/>
  <c r="AF33" i="22" s="1"/>
  <c r="AF34" i="22" s="1"/>
  <c r="AE30" i="22"/>
  <c r="AD30" i="22"/>
  <c r="AD31" i="22" s="1"/>
  <c r="AE31" i="22" s="1"/>
  <c r="AC30" i="22"/>
  <c r="AC31" i="22" s="1"/>
  <c r="X30" i="22"/>
  <c r="Y30" i="22" s="1"/>
  <c r="W30" i="22"/>
  <c r="V30" i="22"/>
  <c r="U30" i="22"/>
  <c r="R30" i="22"/>
  <c r="N30" i="22"/>
  <c r="J30" i="22"/>
  <c r="G30" i="22"/>
  <c r="D30" i="22"/>
  <c r="AQ29" i="22"/>
  <c r="AQ30" i="22" s="1"/>
  <c r="AN29" i="22"/>
  <c r="AN30" i="22" s="1"/>
  <c r="AN31" i="22" s="1"/>
  <c r="AN32" i="22" s="1"/>
  <c r="AN33" i="22" s="1"/>
  <c r="AN34" i="22" s="1"/>
  <c r="AN35" i="22" s="1"/>
  <c r="AN36" i="22" s="1"/>
  <c r="AN37" i="22" s="1"/>
  <c r="AN38" i="22" s="1"/>
  <c r="AN39" i="22" s="1"/>
  <c r="AM29" i="22"/>
  <c r="AM30" i="22" s="1"/>
  <c r="AM31" i="22" s="1"/>
  <c r="AM32" i="22" s="1"/>
  <c r="AM33" i="22" s="1"/>
  <c r="AM34" i="22" s="1"/>
  <c r="AM35" i="22" s="1"/>
  <c r="AM36" i="22" s="1"/>
  <c r="AM37" i="22" s="1"/>
  <c r="AM38" i="22" s="1"/>
  <c r="AM39" i="22" s="1"/>
  <c r="AL29" i="22"/>
  <c r="AK29" i="22"/>
  <c r="AK30" i="22" s="1"/>
  <c r="AK31" i="22" s="1"/>
  <c r="AJ29" i="22"/>
  <c r="AF29" i="22"/>
  <c r="AD29" i="22"/>
  <c r="AC29" i="22"/>
  <c r="X29" i="22"/>
  <c r="W29" i="22"/>
  <c r="V29" i="22"/>
  <c r="U29" i="22"/>
  <c r="R29" i="22"/>
  <c r="N29" i="22"/>
  <c r="J29" i="22"/>
  <c r="G29" i="22"/>
  <c r="D29" i="22"/>
  <c r="AR28" i="22"/>
  <c r="AS28" i="22" s="1"/>
  <c r="AQ28" i="22"/>
  <c r="AT28" i="22" s="1"/>
  <c r="AO28" i="22"/>
  <c r="AN28" i="22"/>
  <c r="AM28" i="22"/>
  <c r="AL28" i="22"/>
  <c r="AK28" i="22"/>
  <c r="AJ28" i="22"/>
  <c r="AI28" i="22"/>
  <c r="AI29" i="22" s="1"/>
  <c r="AG28" i="22"/>
  <c r="AF28" i="22"/>
  <c r="AD28" i="22"/>
  <c r="AC28" i="22"/>
  <c r="AE28" i="22" s="1"/>
  <c r="AA28" i="22"/>
  <c r="Z28" i="22"/>
  <c r="Z29" i="22" s="1"/>
  <c r="Z30" i="22" s="1"/>
  <c r="X28" i="22"/>
  <c r="W28" i="22"/>
  <c r="V28" i="22"/>
  <c r="U28" i="22"/>
  <c r="R28" i="22"/>
  <c r="N28" i="22"/>
  <c r="J28" i="22"/>
  <c r="G28" i="22"/>
  <c r="D28" i="22"/>
  <c r="X27" i="22"/>
  <c r="W27" i="22"/>
  <c r="V27" i="22"/>
  <c r="U27" i="22"/>
  <c r="R27" i="22"/>
  <c r="N27" i="22"/>
  <c r="J27" i="22"/>
  <c r="G27" i="22"/>
  <c r="D27" i="22"/>
  <c r="X26" i="22"/>
  <c r="Y26" i="22" s="1"/>
  <c r="W26" i="22"/>
  <c r="V26" i="22"/>
  <c r="U26" i="22"/>
  <c r="R26" i="22"/>
  <c r="N26" i="22"/>
  <c r="J26" i="22"/>
  <c r="G26" i="22"/>
  <c r="D26" i="22"/>
  <c r="AC25" i="22"/>
  <c r="AC26" i="22" s="1"/>
  <c r="AC27" i="22" s="1"/>
  <c r="X25" i="22"/>
  <c r="Y25" i="22" s="1"/>
  <c r="W25" i="22"/>
  <c r="V25" i="22"/>
  <c r="U25" i="22"/>
  <c r="R25" i="22"/>
  <c r="N25" i="22"/>
  <c r="J25" i="22"/>
  <c r="G25" i="22"/>
  <c r="D25" i="22"/>
  <c r="X24" i="22"/>
  <c r="Y24" i="22" s="1"/>
  <c r="W24" i="22"/>
  <c r="V24" i="22"/>
  <c r="U24" i="22"/>
  <c r="R24" i="22"/>
  <c r="N24" i="22"/>
  <c r="J24" i="22"/>
  <c r="G24" i="22"/>
  <c r="D24" i="22"/>
  <c r="X23" i="22"/>
  <c r="W23" i="22"/>
  <c r="V23" i="22"/>
  <c r="U23" i="22"/>
  <c r="R23" i="22"/>
  <c r="N23" i="22"/>
  <c r="J23" i="22"/>
  <c r="G23" i="22"/>
  <c r="D23" i="22"/>
  <c r="X22" i="22"/>
  <c r="Y22" i="22" s="1"/>
  <c r="W22" i="22"/>
  <c r="V22" i="22"/>
  <c r="U22" i="22"/>
  <c r="R22" i="22"/>
  <c r="N22" i="22"/>
  <c r="J22" i="22"/>
  <c r="G22" i="22"/>
  <c r="D22" i="22"/>
  <c r="X21" i="22"/>
  <c r="W21" i="22"/>
  <c r="V21" i="22"/>
  <c r="Y21" i="22" s="1"/>
  <c r="U21" i="22"/>
  <c r="R21" i="22"/>
  <c r="N21" i="22"/>
  <c r="J21" i="22"/>
  <c r="G21" i="22"/>
  <c r="D21" i="22"/>
  <c r="AQ20" i="22"/>
  <c r="AQ21" i="22" s="1"/>
  <c r="AO20" i="22"/>
  <c r="AO21" i="22" s="1"/>
  <c r="X20" i="22"/>
  <c r="W20" i="22"/>
  <c r="V20" i="22"/>
  <c r="U20" i="22"/>
  <c r="R20" i="22"/>
  <c r="N20" i="22"/>
  <c r="J20" i="22"/>
  <c r="G20" i="22"/>
  <c r="D20" i="22"/>
  <c r="AK19" i="22"/>
  <c r="AK20" i="22" s="1"/>
  <c r="Y19" i="22"/>
  <c r="X19" i="22"/>
  <c r="W19" i="22"/>
  <c r="V19" i="22"/>
  <c r="U19" i="22"/>
  <c r="R19" i="22"/>
  <c r="N19" i="22"/>
  <c r="J19" i="22"/>
  <c r="G19" i="22"/>
  <c r="D19" i="22"/>
  <c r="AQ18" i="22"/>
  <c r="AQ19" i="22" s="1"/>
  <c r="AN18" i="22"/>
  <c r="AN19" i="22" s="1"/>
  <c r="AK18" i="22"/>
  <c r="Y18" i="22"/>
  <c r="X18" i="22"/>
  <c r="W18" i="22"/>
  <c r="V18" i="22"/>
  <c r="U18" i="22"/>
  <c r="R18" i="22"/>
  <c r="N18" i="22"/>
  <c r="J18" i="22"/>
  <c r="G18" i="22"/>
  <c r="D18" i="22"/>
  <c r="AR17" i="22"/>
  <c r="AO17" i="22"/>
  <c r="AO18" i="22" s="1"/>
  <c r="AO19" i="22" s="1"/>
  <c r="AN17" i="22"/>
  <c r="AK17" i="22"/>
  <c r="AJ17" i="22"/>
  <c r="AU17" i="22" s="1"/>
  <c r="AG17" i="22"/>
  <c r="AG18" i="22" s="1"/>
  <c r="Z17" i="22"/>
  <c r="X17" i="22"/>
  <c r="W17" i="22"/>
  <c r="V17" i="22"/>
  <c r="U17" i="22"/>
  <c r="R17" i="22"/>
  <c r="N17" i="22"/>
  <c r="J17" i="22"/>
  <c r="G17" i="22"/>
  <c r="D17" i="22"/>
  <c r="AU16" i="22"/>
  <c r="AR16" i="22"/>
  <c r="AQ16" i="22"/>
  <c r="AQ17" i="22" s="1"/>
  <c r="AO16" i="22"/>
  <c r="AN16" i="22"/>
  <c r="AM16" i="22"/>
  <c r="AK16" i="22"/>
  <c r="AJ16" i="22"/>
  <c r="AI16" i="22"/>
  <c r="AG16" i="22"/>
  <c r="AF16" i="22"/>
  <c r="AD16" i="22"/>
  <c r="AC16" i="22"/>
  <c r="AC17" i="22" s="1"/>
  <c r="AC18" i="22" s="1"/>
  <c r="AC19" i="22" s="1"/>
  <c r="AC20" i="22" s="1"/>
  <c r="AC21" i="22" s="1"/>
  <c r="AC22" i="22" s="1"/>
  <c r="AC23" i="22" s="1"/>
  <c r="AC24" i="22" s="1"/>
  <c r="AB16" i="22"/>
  <c r="AA16" i="22"/>
  <c r="AA17" i="22" s="1"/>
  <c r="AA18" i="22" s="1"/>
  <c r="Z16" i="22"/>
  <c r="Y16" i="22"/>
  <c r="X16" i="22"/>
  <c r="W16" i="22"/>
  <c r="V16" i="22"/>
  <c r="U16" i="22"/>
  <c r="R16" i="22"/>
  <c r="N16" i="22"/>
  <c r="J16" i="22"/>
  <c r="G16" i="22"/>
  <c r="D16" i="22"/>
  <c r="X15" i="22"/>
  <c r="W15" i="22"/>
  <c r="V15" i="22"/>
  <c r="U15" i="22"/>
  <c r="R15" i="22"/>
  <c r="N15" i="22"/>
  <c r="J15" i="22"/>
  <c r="G15" i="22"/>
  <c r="D15" i="22"/>
  <c r="Y14" i="22"/>
  <c r="X14" i="22"/>
  <c r="W14" i="22"/>
  <c r="V14" i="22"/>
  <c r="U14" i="22"/>
  <c r="R14" i="22"/>
  <c r="N14" i="22"/>
  <c r="J14" i="22"/>
  <c r="G14" i="22"/>
  <c r="D14" i="22"/>
  <c r="X13" i="22"/>
  <c r="Y13" i="22" s="1"/>
  <c r="W13" i="22"/>
  <c r="V13" i="22"/>
  <c r="U13" i="22"/>
  <c r="R13" i="22"/>
  <c r="N13" i="22"/>
  <c r="J13" i="22"/>
  <c r="G13" i="22"/>
  <c r="D13" i="22"/>
  <c r="X12" i="22"/>
  <c r="W12" i="22"/>
  <c r="V12" i="22"/>
  <c r="U12" i="22"/>
  <c r="R12" i="22"/>
  <c r="N12" i="22"/>
  <c r="J12" i="22"/>
  <c r="G12" i="22"/>
  <c r="D12" i="22"/>
  <c r="Y11" i="22"/>
  <c r="X11" i="22"/>
  <c r="W11" i="22"/>
  <c r="V11" i="22"/>
  <c r="U11" i="22"/>
  <c r="R11" i="22"/>
  <c r="N11" i="22"/>
  <c r="J11" i="22"/>
  <c r="G11" i="22"/>
  <c r="D11" i="22"/>
  <c r="AF10" i="22"/>
  <c r="AF11" i="22" s="1"/>
  <c r="AF12" i="22" s="1"/>
  <c r="AF13" i="22" s="1"/>
  <c r="AF14" i="22" s="1"/>
  <c r="AF15" i="22" s="1"/>
  <c r="X10" i="22"/>
  <c r="W10" i="22"/>
  <c r="V10" i="22"/>
  <c r="U10" i="22"/>
  <c r="R10" i="22"/>
  <c r="N10" i="22"/>
  <c r="J10" i="22"/>
  <c r="G10" i="22"/>
  <c r="D10" i="22"/>
  <c r="X9" i="22"/>
  <c r="Y9" i="22" s="1"/>
  <c r="W9" i="22"/>
  <c r="V9" i="22"/>
  <c r="U9" i="22"/>
  <c r="R9" i="22"/>
  <c r="N9" i="22"/>
  <c r="J9" i="22"/>
  <c r="G9" i="22"/>
  <c r="D9" i="22"/>
  <c r="AK8" i="22"/>
  <c r="AK9" i="22" s="1"/>
  <c r="AF8" i="22"/>
  <c r="AF9" i="22" s="1"/>
  <c r="Y8" i="22"/>
  <c r="X8" i="22"/>
  <c r="W8" i="22"/>
  <c r="V8" i="22"/>
  <c r="U8" i="22"/>
  <c r="R8" i="22"/>
  <c r="N8" i="22"/>
  <c r="J8" i="22"/>
  <c r="G8" i="22"/>
  <c r="D8" i="22"/>
  <c r="AF7" i="22"/>
  <c r="X7" i="22"/>
  <c r="W7" i="22"/>
  <c r="V7" i="22"/>
  <c r="Y7" i="22" s="1"/>
  <c r="U7" i="22"/>
  <c r="R7" i="22"/>
  <c r="N7" i="22"/>
  <c r="J7" i="22"/>
  <c r="G7" i="22"/>
  <c r="D7" i="22"/>
  <c r="AK6" i="22"/>
  <c r="AK7" i="22" s="1"/>
  <c r="AF6" i="22"/>
  <c r="AE6" i="22"/>
  <c r="AD6" i="22"/>
  <c r="AD7" i="22" s="1"/>
  <c r="AA6" i="22"/>
  <c r="AA7" i="22" s="1"/>
  <c r="X6" i="22"/>
  <c r="W6" i="22"/>
  <c r="V6" i="22"/>
  <c r="U6" i="22"/>
  <c r="R6" i="22"/>
  <c r="N6" i="22"/>
  <c r="J6" i="22"/>
  <c r="G6" i="22"/>
  <c r="D6" i="22"/>
  <c r="AO5" i="22"/>
  <c r="AN5" i="22"/>
  <c r="AN6" i="22" s="1"/>
  <c r="AN7" i="22" s="1"/>
  <c r="AN8" i="22" s="1"/>
  <c r="AN9" i="22" s="1"/>
  <c r="AN10" i="22" s="1"/>
  <c r="AN11" i="22" s="1"/>
  <c r="AN12" i="22" s="1"/>
  <c r="AN13" i="22" s="1"/>
  <c r="AN14" i="22" s="1"/>
  <c r="AN15" i="22" s="1"/>
  <c r="AM5" i="22"/>
  <c r="AM6" i="22" s="1"/>
  <c r="AM7" i="22" s="1"/>
  <c r="AM8" i="22" s="1"/>
  <c r="AM9" i="22" s="1"/>
  <c r="AM10" i="22" s="1"/>
  <c r="AM11" i="22" s="1"/>
  <c r="AM12" i="22" s="1"/>
  <c r="AM13" i="22" s="1"/>
  <c r="AM14" i="22" s="1"/>
  <c r="AM15" i="22" s="1"/>
  <c r="AL5" i="22"/>
  <c r="AI5" i="22"/>
  <c r="AI6" i="22" s="1"/>
  <c r="AI7" i="22" s="1"/>
  <c r="AI8" i="22" s="1"/>
  <c r="AI9" i="22" s="1"/>
  <c r="AI10" i="22" s="1"/>
  <c r="AI11" i="22" s="1"/>
  <c r="AI12" i="22" s="1"/>
  <c r="AI13" i="22" s="1"/>
  <c r="AI14" i="22" s="1"/>
  <c r="AI15" i="22" s="1"/>
  <c r="AG5" i="22"/>
  <c r="AG6" i="22" s="1"/>
  <c r="AC5" i="22"/>
  <c r="AC6" i="22" s="1"/>
  <c r="AC7" i="22" s="1"/>
  <c r="AC8" i="22" s="1"/>
  <c r="AC9" i="22" s="1"/>
  <c r="AC10" i="22" s="1"/>
  <c r="AC11" i="22" s="1"/>
  <c r="AC12" i="22" s="1"/>
  <c r="AC13" i="22" s="1"/>
  <c r="AC14" i="22" s="1"/>
  <c r="AC15" i="22" s="1"/>
  <c r="AB5" i="22"/>
  <c r="AA5" i="22"/>
  <c r="Z5" i="22"/>
  <c r="Z6" i="22" s="1"/>
  <c r="Z7" i="22" s="1"/>
  <c r="Z8" i="22" s="1"/>
  <c r="Z9" i="22" s="1"/>
  <c r="Z10" i="22" s="1"/>
  <c r="Z11" i="22" s="1"/>
  <c r="Z12" i="22" s="1"/>
  <c r="Z13" i="22" s="1"/>
  <c r="Z14" i="22" s="1"/>
  <c r="Z15" i="22" s="1"/>
  <c r="X5" i="22"/>
  <c r="W5" i="22"/>
  <c r="V5" i="22"/>
  <c r="Y5" i="22" s="1"/>
  <c r="U5" i="22"/>
  <c r="R5" i="22"/>
  <c r="N5" i="22"/>
  <c r="J5" i="22"/>
  <c r="G5" i="22"/>
  <c r="D5" i="22"/>
  <c r="AU4" i="22"/>
  <c r="AS4" i="22"/>
  <c r="AR4" i="22"/>
  <c r="AQ4" i="22"/>
  <c r="AO4" i="22"/>
  <c r="AN4" i="22"/>
  <c r="AP4" i="22" s="1"/>
  <c r="AM4" i="22"/>
  <c r="AK4" i="22"/>
  <c r="AK5" i="22" s="1"/>
  <c r="AJ4" i="22"/>
  <c r="AJ5" i="22" s="1"/>
  <c r="AI4" i="22"/>
  <c r="AH4" i="22"/>
  <c r="AG4" i="22"/>
  <c r="AF4" i="22"/>
  <c r="AF5" i="22" s="1"/>
  <c r="AD4" i="22"/>
  <c r="AD5" i="22" s="1"/>
  <c r="AC4" i="22"/>
  <c r="AB4" i="22"/>
  <c r="AA4" i="22"/>
  <c r="Z4" i="22"/>
  <c r="X4" i="22"/>
  <c r="W4" i="22"/>
  <c r="V4" i="22"/>
  <c r="U4" i="22"/>
  <c r="R4" i="22"/>
  <c r="N4" i="22"/>
  <c r="J4" i="22"/>
  <c r="G4" i="22"/>
  <c r="D4" i="22"/>
  <c r="Z365" i="21"/>
  <c r="Y365" i="21"/>
  <c r="X365" i="21"/>
  <c r="W365" i="21"/>
  <c r="V365" i="21"/>
  <c r="U365" i="21"/>
  <c r="T365" i="21"/>
  <c r="S365" i="21"/>
  <c r="R365" i="21"/>
  <c r="P364" i="21"/>
  <c r="P332" i="21" s="1"/>
  <c r="O364" i="21"/>
  <c r="N364" i="21"/>
  <c r="M364" i="21"/>
  <c r="L364" i="21"/>
  <c r="L332" i="21" s="1"/>
  <c r="K364" i="21"/>
  <c r="K332" i="21" s="1"/>
  <c r="J364" i="21"/>
  <c r="I364" i="21"/>
  <c r="H364" i="21"/>
  <c r="G364" i="21"/>
  <c r="F364" i="21"/>
  <c r="E364" i="21"/>
  <c r="D364" i="21"/>
  <c r="C364" i="21"/>
  <c r="B364" i="21"/>
  <c r="P363" i="21"/>
  <c r="O363" i="21"/>
  <c r="N363" i="21"/>
  <c r="M363" i="21"/>
  <c r="L363" i="21"/>
  <c r="L331" i="21" s="1"/>
  <c r="K363" i="21"/>
  <c r="J363" i="21"/>
  <c r="I363" i="21"/>
  <c r="I331" i="21" s="1"/>
  <c r="H363" i="21"/>
  <c r="H331" i="21" s="1"/>
  <c r="G363" i="21"/>
  <c r="G331" i="21" s="1"/>
  <c r="F363" i="21"/>
  <c r="F331" i="21" s="1"/>
  <c r="E363" i="21"/>
  <c r="E331" i="21" s="1"/>
  <c r="D363" i="21"/>
  <c r="D331" i="21" s="1"/>
  <c r="C363" i="21"/>
  <c r="B363" i="21"/>
  <c r="P362" i="21"/>
  <c r="O362" i="21"/>
  <c r="N362" i="21"/>
  <c r="M362" i="21"/>
  <c r="L362" i="21"/>
  <c r="K362" i="21"/>
  <c r="J362" i="21"/>
  <c r="I362" i="21"/>
  <c r="H362" i="21"/>
  <c r="G362" i="21"/>
  <c r="F362" i="21"/>
  <c r="E362" i="21"/>
  <c r="D362" i="21"/>
  <c r="D330" i="21" s="1"/>
  <c r="C362" i="21"/>
  <c r="B362" i="21"/>
  <c r="B330" i="21" s="1"/>
  <c r="P361" i="21"/>
  <c r="O361" i="21"/>
  <c r="O329" i="21" s="1"/>
  <c r="N361" i="21"/>
  <c r="N329" i="21" s="1"/>
  <c r="M361" i="21"/>
  <c r="M329" i="21" s="1"/>
  <c r="L361" i="21"/>
  <c r="L329" i="21" s="1"/>
  <c r="K361" i="21"/>
  <c r="J361" i="21"/>
  <c r="I361" i="21"/>
  <c r="H361" i="21"/>
  <c r="G361" i="21"/>
  <c r="F361" i="21"/>
  <c r="E361" i="21"/>
  <c r="D361" i="21"/>
  <c r="C361" i="21"/>
  <c r="B361" i="21"/>
  <c r="P360" i="21"/>
  <c r="O360" i="21"/>
  <c r="N360" i="21"/>
  <c r="M360" i="21"/>
  <c r="L360" i="21"/>
  <c r="L328" i="21" s="1"/>
  <c r="K360" i="21"/>
  <c r="J360" i="21"/>
  <c r="J328" i="21" s="1"/>
  <c r="I360" i="21"/>
  <c r="I328" i="21" s="1"/>
  <c r="H360" i="21"/>
  <c r="H328" i="21" s="1"/>
  <c r="G360" i="21"/>
  <c r="G328" i="21" s="1"/>
  <c r="F360" i="21"/>
  <c r="F328" i="21" s="1"/>
  <c r="E360" i="21"/>
  <c r="E328" i="21" s="1"/>
  <c r="D360" i="21"/>
  <c r="D328" i="21" s="1"/>
  <c r="C360" i="21"/>
  <c r="B360" i="21"/>
  <c r="P359" i="21"/>
  <c r="O359" i="21"/>
  <c r="N359" i="21"/>
  <c r="M359" i="21"/>
  <c r="L359" i="21"/>
  <c r="K359" i="21"/>
  <c r="J359" i="21"/>
  <c r="I359" i="21"/>
  <c r="H359" i="21"/>
  <c r="G359" i="21"/>
  <c r="F359" i="21"/>
  <c r="E359" i="21"/>
  <c r="D359" i="21"/>
  <c r="C359" i="21"/>
  <c r="B359" i="21"/>
  <c r="P358" i="21"/>
  <c r="O358" i="21"/>
  <c r="O326" i="21" s="1"/>
  <c r="N358" i="21"/>
  <c r="M358" i="21"/>
  <c r="L358" i="21"/>
  <c r="K358" i="21"/>
  <c r="J358" i="21"/>
  <c r="I358" i="21"/>
  <c r="H358" i="21"/>
  <c r="G358" i="21"/>
  <c r="F358" i="21"/>
  <c r="E358" i="21"/>
  <c r="D358" i="21"/>
  <c r="C358" i="21"/>
  <c r="B358" i="21"/>
  <c r="P357" i="21"/>
  <c r="O357" i="21"/>
  <c r="N357" i="21"/>
  <c r="M357" i="21"/>
  <c r="L357" i="21"/>
  <c r="K357" i="21"/>
  <c r="J357" i="21"/>
  <c r="I357" i="21"/>
  <c r="H357" i="21"/>
  <c r="H325" i="21" s="1"/>
  <c r="G357" i="21"/>
  <c r="F357" i="21"/>
  <c r="E357" i="21"/>
  <c r="D357" i="21"/>
  <c r="C357" i="21"/>
  <c r="B357" i="21"/>
  <c r="P356" i="21"/>
  <c r="O356" i="21"/>
  <c r="N356" i="21"/>
  <c r="M356" i="21"/>
  <c r="L356" i="21"/>
  <c r="K356" i="21"/>
  <c r="J356" i="21"/>
  <c r="I356" i="21"/>
  <c r="H356" i="21"/>
  <c r="G356" i="21"/>
  <c r="F356" i="21"/>
  <c r="E356" i="21"/>
  <c r="D356" i="21"/>
  <c r="C356" i="21"/>
  <c r="B356" i="21"/>
  <c r="Q355" i="21"/>
  <c r="P355" i="21"/>
  <c r="P323" i="21" s="1"/>
  <c r="O355" i="21"/>
  <c r="O323" i="21" s="1"/>
  <c r="N355" i="21"/>
  <c r="M355" i="21"/>
  <c r="L355" i="21"/>
  <c r="K355" i="21"/>
  <c r="J355" i="21"/>
  <c r="I355" i="21"/>
  <c r="H355" i="21"/>
  <c r="G355" i="21"/>
  <c r="F355" i="21"/>
  <c r="E355" i="21"/>
  <c r="D355" i="21"/>
  <c r="C355" i="21"/>
  <c r="B355" i="21"/>
  <c r="Q354" i="21"/>
  <c r="P354" i="21"/>
  <c r="O354" i="21"/>
  <c r="N354" i="21"/>
  <c r="M354" i="21"/>
  <c r="L354" i="21"/>
  <c r="K354" i="21"/>
  <c r="K322" i="21" s="1"/>
  <c r="J354" i="21"/>
  <c r="J322" i="21" s="1"/>
  <c r="I354" i="21"/>
  <c r="H354" i="21"/>
  <c r="G354" i="21"/>
  <c r="F354" i="21"/>
  <c r="E354" i="21"/>
  <c r="D354" i="21"/>
  <c r="C354" i="21"/>
  <c r="B354" i="21"/>
  <c r="Q353" i="21"/>
  <c r="P353" i="21"/>
  <c r="O353" i="21"/>
  <c r="N353" i="21"/>
  <c r="M353" i="21"/>
  <c r="L353" i="21"/>
  <c r="K353" i="21"/>
  <c r="J353" i="21"/>
  <c r="I353" i="21"/>
  <c r="H353" i="21"/>
  <c r="G353" i="21"/>
  <c r="F353" i="21"/>
  <c r="E353" i="21"/>
  <c r="E365" i="21" s="1"/>
  <c r="D353" i="21"/>
  <c r="C353" i="21"/>
  <c r="C321" i="21" s="1"/>
  <c r="B353" i="21"/>
  <c r="Z352" i="21"/>
  <c r="Y352" i="21"/>
  <c r="X352" i="21"/>
  <c r="W352" i="21"/>
  <c r="V352" i="21"/>
  <c r="U352" i="21"/>
  <c r="T352" i="21"/>
  <c r="S352" i="21"/>
  <c r="R352" i="21"/>
  <c r="Q352" i="21"/>
  <c r="P352" i="21"/>
  <c r="O352" i="21"/>
  <c r="N352" i="21"/>
  <c r="M352" i="21"/>
  <c r="L352" i="21"/>
  <c r="K352" i="21"/>
  <c r="J352" i="21"/>
  <c r="I352" i="21"/>
  <c r="H352" i="21"/>
  <c r="G352" i="21"/>
  <c r="F352" i="21"/>
  <c r="E352" i="21"/>
  <c r="D352" i="21"/>
  <c r="C352" i="21"/>
  <c r="B352" i="21"/>
  <c r="Z349" i="21"/>
  <c r="Y349" i="21"/>
  <c r="X349" i="21"/>
  <c r="W349" i="21"/>
  <c r="V349" i="21"/>
  <c r="U349" i="21"/>
  <c r="T349" i="21"/>
  <c r="S349" i="21"/>
  <c r="R349" i="21"/>
  <c r="N349" i="21"/>
  <c r="N21" i="21" s="1"/>
  <c r="M349" i="21"/>
  <c r="L349" i="21"/>
  <c r="K349" i="21"/>
  <c r="K21" i="21" s="1"/>
  <c r="J349" i="21"/>
  <c r="J21" i="21" s="1"/>
  <c r="I349" i="21"/>
  <c r="I21" i="21" s="1"/>
  <c r="P348" i="21"/>
  <c r="O348" i="21"/>
  <c r="O332" i="21" s="1"/>
  <c r="N348" i="21"/>
  <c r="M348" i="21"/>
  <c r="L348" i="21"/>
  <c r="K348" i="21"/>
  <c r="J348" i="21"/>
  <c r="I348" i="21"/>
  <c r="I332" i="21" s="1"/>
  <c r="H348" i="21"/>
  <c r="H332" i="21" s="1"/>
  <c r="G348" i="21"/>
  <c r="G332" i="21" s="1"/>
  <c r="F348" i="21"/>
  <c r="E348" i="21"/>
  <c r="E332" i="21" s="1"/>
  <c r="D348" i="21"/>
  <c r="C348" i="21"/>
  <c r="B348" i="21"/>
  <c r="P347" i="21"/>
  <c r="P331" i="21" s="1"/>
  <c r="O347" i="21"/>
  <c r="N347" i="21"/>
  <c r="N331" i="21" s="1"/>
  <c r="M347" i="21"/>
  <c r="L347" i="21"/>
  <c r="K347" i="21"/>
  <c r="K331" i="21" s="1"/>
  <c r="J347" i="21"/>
  <c r="I347" i="21"/>
  <c r="H347" i="21"/>
  <c r="G347" i="21"/>
  <c r="F347" i="21"/>
  <c r="E347" i="21"/>
  <c r="D347" i="21"/>
  <c r="C347" i="21"/>
  <c r="B347" i="21"/>
  <c r="P346" i="21"/>
  <c r="P330" i="21" s="1"/>
  <c r="O346" i="21"/>
  <c r="O330" i="21" s="1"/>
  <c r="N346" i="21"/>
  <c r="N330" i="21" s="1"/>
  <c r="M346" i="21"/>
  <c r="M330" i="21" s="1"/>
  <c r="L346" i="21"/>
  <c r="L330" i="21" s="1"/>
  <c r="K346" i="21"/>
  <c r="J346" i="21"/>
  <c r="I346" i="21"/>
  <c r="I330" i="21" s="1"/>
  <c r="H346" i="21"/>
  <c r="G346" i="21"/>
  <c r="F346" i="21"/>
  <c r="E346" i="21"/>
  <c r="D346" i="21"/>
  <c r="C346" i="21"/>
  <c r="B346" i="21"/>
  <c r="P345" i="21"/>
  <c r="P329" i="21" s="1"/>
  <c r="O345" i="21"/>
  <c r="N345" i="21"/>
  <c r="M345" i="21"/>
  <c r="L345" i="21"/>
  <c r="K345" i="21"/>
  <c r="J345" i="21"/>
  <c r="J329" i="21" s="1"/>
  <c r="I345" i="21"/>
  <c r="I329" i="21" s="1"/>
  <c r="H345" i="21"/>
  <c r="H329" i="21" s="1"/>
  <c r="G345" i="21"/>
  <c r="G329" i="21" s="1"/>
  <c r="F345" i="21"/>
  <c r="E345" i="21"/>
  <c r="E329" i="21" s="1"/>
  <c r="D345" i="21"/>
  <c r="C345" i="21"/>
  <c r="C329" i="21" s="1"/>
  <c r="B345" i="21"/>
  <c r="B329" i="21" s="1"/>
  <c r="P344" i="21"/>
  <c r="O344" i="21"/>
  <c r="N344" i="21"/>
  <c r="M344" i="21"/>
  <c r="L344" i="21"/>
  <c r="K344" i="21"/>
  <c r="J344" i="21"/>
  <c r="I344" i="21"/>
  <c r="H344" i="21"/>
  <c r="G344" i="21"/>
  <c r="F344" i="21"/>
  <c r="E344" i="21"/>
  <c r="D344" i="21"/>
  <c r="C344" i="21"/>
  <c r="C328" i="21" s="1"/>
  <c r="B344" i="21"/>
  <c r="B328" i="21" s="1"/>
  <c r="P343" i="21"/>
  <c r="O343" i="21"/>
  <c r="N343" i="21"/>
  <c r="M343" i="21"/>
  <c r="L343" i="21"/>
  <c r="K343" i="21"/>
  <c r="K327" i="21" s="1"/>
  <c r="J343" i="21"/>
  <c r="J327" i="21" s="1"/>
  <c r="I343" i="21"/>
  <c r="H343" i="21"/>
  <c r="G343" i="21"/>
  <c r="F343" i="21"/>
  <c r="E343" i="21"/>
  <c r="D343" i="21"/>
  <c r="D327" i="21" s="1"/>
  <c r="C343" i="21"/>
  <c r="C327" i="21" s="1"/>
  <c r="B343" i="21"/>
  <c r="B327" i="21" s="1"/>
  <c r="P342" i="21"/>
  <c r="O342" i="21"/>
  <c r="N342" i="21"/>
  <c r="M342" i="21"/>
  <c r="L342" i="21"/>
  <c r="K342" i="21"/>
  <c r="J342" i="21"/>
  <c r="I342" i="21"/>
  <c r="I326" i="21" s="1"/>
  <c r="H342" i="21"/>
  <c r="H326" i="21" s="1"/>
  <c r="G342" i="21"/>
  <c r="G326" i="21" s="1"/>
  <c r="F342" i="21"/>
  <c r="F326" i="21" s="1"/>
  <c r="E342" i="21"/>
  <c r="E326" i="21" s="1"/>
  <c r="D342" i="21"/>
  <c r="D326" i="21" s="1"/>
  <c r="C342" i="21"/>
  <c r="C326" i="21" s="1"/>
  <c r="B342" i="21"/>
  <c r="P341" i="21"/>
  <c r="O341" i="21"/>
  <c r="N341" i="21"/>
  <c r="M341" i="21"/>
  <c r="L341" i="21"/>
  <c r="L325" i="21" s="1"/>
  <c r="K341" i="21"/>
  <c r="J341" i="21"/>
  <c r="I341" i="21"/>
  <c r="H341" i="21"/>
  <c r="G341" i="21"/>
  <c r="F341" i="21"/>
  <c r="E341" i="21"/>
  <c r="D341" i="21"/>
  <c r="C341" i="21"/>
  <c r="C325" i="21" s="1"/>
  <c r="B341" i="21"/>
  <c r="B325" i="21" s="1"/>
  <c r="P340" i="21"/>
  <c r="O340" i="21"/>
  <c r="O324" i="21" s="1"/>
  <c r="N340" i="21"/>
  <c r="N324" i="21" s="1"/>
  <c r="M340" i="21"/>
  <c r="M324" i="21" s="1"/>
  <c r="L340" i="21"/>
  <c r="K340" i="21"/>
  <c r="K324" i="21" s="1"/>
  <c r="J340" i="21"/>
  <c r="I340" i="21"/>
  <c r="H340" i="21"/>
  <c r="G340" i="21"/>
  <c r="F340" i="21"/>
  <c r="E340" i="21"/>
  <c r="D340" i="21"/>
  <c r="C340" i="21"/>
  <c r="C324" i="21" s="1"/>
  <c r="B340" i="21"/>
  <c r="Q339" i="21"/>
  <c r="P339" i="21"/>
  <c r="O339" i="21"/>
  <c r="N339" i="21"/>
  <c r="M339" i="21"/>
  <c r="L339" i="21"/>
  <c r="K339" i="21"/>
  <c r="K323" i="21" s="1"/>
  <c r="J339" i="21"/>
  <c r="I339" i="21"/>
  <c r="H339" i="21"/>
  <c r="G339" i="21"/>
  <c r="F339" i="21"/>
  <c r="E339" i="21"/>
  <c r="D339" i="21"/>
  <c r="C339" i="21"/>
  <c r="B339" i="21"/>
  <c r="Q338" i="21"/>
  <c r="P338" i="21"/>
  <c r="O338" i="21"/>
  <c r="N338" i="21"/>
  <c r="M338" i="21"/>
  <c r="L338" i="21"/>
  <c r="K338" i="21"/>
  <c r="J338" i="21"/>
  <c r="I338" i="21"/>
  <c r="H338" i="21"/>
  <c r="G338" i="21"/>
  <c r="G322" i="21" s="1"/>
  <c r="F338" i="21"/>
  <c r="F322" i="21" s="1"/>
  <c r="E338" i="21"/>
  <c r="E322" i="21" s="1"/>
  <c r="D338" i="21"/>
  <c r="C338" i="21"/>
  <c r="B338" i="21"/>
  <c r="Q337" i="21"/>
  <c r="Q349" i="21" s="1"/>
  <c r="P337" i="21"/>
  <c r="P321" i="21" s="1"/>
  <c r="O337" i="21"/>
  <c r="O321" i="21" s="1"/>
  <c r="N337" i="21"/>
  <c r="M337" i="21"/>
  <c r="L337" i="21"/>
  <c r="K337" i="21"/>
  <c r="J337" i="21"/>
  <c r="J321" i="21" s="1"/>
  <c r="I337" i="21"/>
  <c r="I321" i="21" s="1"/>
  <c r="H337" i="21"/>
  <c r="H349" i="21" s="1"/>
  <c r="H21" i="21" s="1"/>
  <c r="G337" i="21"/>
  <c r="F337" i="21"/>
  <c r="F349" i="21" s="1"/>
  <c r="F21" i="21" s="1"/>
  <c r="E337" i="21"/>
  <c r="D337" i="21"/>
  <c r="C337" i="21"/>
  <c r="B337" i="21"/>
  <c r="Z336" i="21"/>
  <c r="Y336" i="21"/>
  <c r="X336" i="21"/>
  <c r="W336" i="21"/>
  <c r="V336" i="21"/>
  <c r="U336" i="21"/>
  <c r="T336" i="21"/>
  <c r="S336" i="21"/>
  <c r="R336" i="21"/>
  <c r="Q336" i="21"/>
  <c r="P336" i="21"/>
  <c r="O336" i="21"/>
  <c r="N336" i="21"/>
  <c r="M336" i="21"/>
  <c r="L336" i="21"/>
  <c r="K336" i="21"/>
  <c r="J336" i="21"/>
  <c r="I336" i="21"/>
  <c r="H336" i="21"/>
  <c r="G336" i="21"/>
  <c r="F336" i="21"/>
  <c r="E336" i="21"/>
  <c r="D336" i="21"/>
  <c r="C336" i="21"/>
  <c r="B336" i="21"/>
  <c r="Z332" i="21"/>
  <c r="Y332" i="21"/>
  <c r="X332" i="21"/>
  <c r="W332" i="21"/>
  <c r="V332" i="21"/>
  <c r="U332" i="21"/>
  <c r="T332" i="21"/>
  <c r="S332" i="21"/>
  <c r="R332" i="21"/>
  <c r="Q332" i="21"/>
  <c r="J332" i="21"/>
  <c r="F332" i="21"/>
  <c r="D332" i="21"/>
  <c r="C332" i="21"/>
  <c r="B332" i="21"/>
  <c r="Z331" i="21"/>
  <c r="Y331" i="21"/>
  <c r="X331" i="21"/>
  <c r="W331" i="21"/>
  <c r="V331" i="21"/>
  <c r="U331" i="21"/>
  <c r="U333" i="21" s="1"/>
  <c r="T331" i="21"/>
  <c r="S331" i="21"/>
  <c r="R331" i="21"/>
  <c r="Q331" i="21"/>
  <c r="O331" i="21"/>
  <c r="M331" i="21"/>
  <c r="J331" i="21"/>
  <c r="C331" i="21"/>
  <c r="B331" i="21"/>
  <c r="Z330" i="21"/>
  <c r="Y330" i="21"/>
  <c r="X330" i="21"/>
  <c r="W330" i="21"/>
  <c r="V330" i="21"/>
  <c r="U330" i="21"/>
  <c r="T330" i="21"/>
  <c r="S330" i="21"/>
  <c r="R330" i="21"/>
  <c r="Q330" i="21"/>
  <c r="K330" i="21"/>
  <c r="J330" i="21"/>
  <c r="H330" i="21"/>
  <c r="G330" i="21"/>
  <c r="F330" i="21"/>
  <c r="E330" i="21"/>
  <c r="C330" i="21"/>
  <c r="Z329" i="21"/>
  <c r="Z333" i="21" s="1"/>
  <c r="Y329" i="21"/>
  <c r="Y333" i="21" s="1"/>
  <c r="X329" i="21"/>
  <c r="W329" i="21"/>
  <c r="V329" i="21"/>
  <c r="U329" i="21"/>
  <c r="T329" i="21"/>
  <c r="S329" i="21"/>
  <c r="R329" i="21"/>
  <c r="Q329" i="21"/>
  <c r="K329" i="21"/>
  <c r="F329" i="21"/>
  <c r="D329" i="21"/>
  <c r="Z328" i="21"/>
  <c r="Y328" i="21"/>
  <c r="X328" i="21"/>
  <c r="W328" i="21"/>
  <c r="V328" i="21"/>
  <c r="U328" i="21"/>
  <c r="T328" i="21"/>
  <c r="S328" i="21"/>
  <c r="R328" i="21"/>
  <c r="Q328" i="21"/>
  <c r="P328" i="21"/>
  <c r="O328" i="21"/>
  <c r="N328" i="21"/>
  <c r="M328" i="21"/>
  <c r="K328" i="21"/>
  <c r="Z327" i="21"/>
  <c r="Y327" i="21"/>
  <c r="X327" i="21"/>
  <c r="W327" i="21"/>
  <c r="V327" i="21"/>
  <c r="U327" i="21"/>
  <c r="T327" i="21"/>
  <c r="S327" i="21"/>
  <c r="R327" i="21"/>
  <c r="Q327" i="21"/>
  <c r="P327" i="21"/>
  <c r="O327" i="21"/>
  <c r="N327" i="21"/>
  <c r="M327" i="21"/>
  <c r="L327" i="21"/>
  <c r="I327" i="21"/>
  <c r="H327" i="21"/>
  <c r="G327" i="21"/>
  <c r="Z326" i="21"/>
  <c r="Y326" i="21"/>
  <c r="X326" i="21"/>
  <c r="W326" i="21"/>
  <c r="V326" i="21"/>
  <c r="U326" i="21"/>
  <c r="T326" i="21"/>
  <c r="S326" i="21"/>
  <c r="R326" i="21"/>
  <c r="Q326" i="21"/>
  <c r="P326" i="21"/>
  <c r="N326" i="21"/>
  <c r="M326" i="21"/>
  <c r="L326" i="21"/>
  <c r="K326" i="21"/>
  <c r="J326" i="21"/>
  <c r="B326" i="21"/>
  <c r="Z325" i="21"/>
  <c r="Y325" i="21"/>
  <c r="X325" i="21"/>
  <c r="W325" i="21"/>
  <c r="V325" i="21"/>
  <c r="U325" i="21"/>
  <c r="T325" i="21"/>
  <c r="S325" i="21"/>
  <c r="R325" i="21"/>
  <c r="Q325" i="21"/>
  <c r="P325" i="21"/>
  <c r="O325" i="21"/>
  <c r="N325" i="21"/>
  <c r="M325" i="21"/>
  <c r="I325" i="21"/>
  <c r="G325" i="21"/>
  <c r="F325" i="21"/>
  <c r="E325" i="21"/>
  <c r="D325" i="21"/>
  <c r="Z324" i="21"/>
  <c r="Y324" i="21"/>
  <c r="X324" i="21"/>
  <c r="W324" i="21"/>
  <c r="V324" i="21"/>
  <c r="U324" i="21"/>
  <c r="T324" i="21"/>
  <c r="S324" i="21"/>
  <c r="R324" i="21"/>
  <c r="Q324" i="21"/>
  <c r="P324" i="21"/>
  <c r="L324" i="21"/>
  <c r="J324" i="21"/>
  <c r="I324" i="21"/>
  <c r="H324" i="21"/>
  <c r="G324" i="21"/>
  <c r="F324" i="21"/>
  <c r="E324" i="21"/>
  <c r="D324" i="21"/>
  <c r="Z323" i="21"/>
  <c r="Y323" i="21"/>
  <c r="X323" i="21"/>
  <c r="W323" i="21"/>
  <c r="V323" i="21"/>
  <c r="U323" i="21"/>
  <c r="T323" i="21"/>
  <c r="S323" i="21"/>
  <c r="R323" i="21"/>
  <c r="N323" i="21"/>
  <c r="M323" i="21"/>
  <c r="L323" i="21"/>
  <c r="J323" i="21"/>
  <c r="I323" i="21"/>
  <c r="H323" i="21"/>
  <c r="G323" i="21"/>
  <c r="F323" i="21"/>
  <c r="E323" i="21"/>
  <c r="D323" i="21"/>
  <c r="C323" i="21"/>
  <c r="B323" i="21"/>
  <c r="Z322" i="21"/>
  <c r="Y322" i="21"/>
  <c r="X322" i="21"/>
  <c r="W322" i="21"/>
  <c r="V322" i="21"/>
  <c r="U322" i="21"/>
  <c r="T322" i="21"/>
  <c r="S322" i="21"/>
  <c r="R322" i="21"/>
  <c r="Q322" i="21"/>
  <c r="P322" i="21"/>
  <c r="O322" i="21"/>
  <c r="M322" i="21"/>
  <c r="H322" i="21"/>
  <c r="Z321" i="21"/>
  <c r="Y321" i="21"/>
  <c r="X321" i="21"/>
  <c r="W321" i="21"/>
  <c r="V321" i="21"/>
  <c r="U321" i="21"/>
  <c r="T321" i="21"/>
  <c r="T333" i="21" s="1"/>
  <c r="S321" i="21"/>
  <c r="S333" i="21" s="1"/>
  <c r="R321" i="21"/>
  <c r="Q321" i="21"/>
  <c r="N321" i="21"/>
  <c r="M321" i="21"/>
  <c r="L321" i="21"/>
  <c r="K321" i="21"/>
  <c r="Z320" i="21"/>
  <c r="Y320" i="21"/>
  <c r="X320" i="21"/>
  <c r="W320" i="21"/>
  <c r="V320" i="21"/>
  <c r="U320" i="21"/>
  <c r="T320" i="21"/>
  <c r="S320" i="21"/>
  <c r="R320" i="21"/>
  <c r="Q320" i="21"/>
  <c r="P320" i="21"/>
  <c r="O320" i="21"/>
  <c r="N320" i="21"/>
  <c r="M320" i="21"/>
  <c r="L320" i="21"/>
  <c r="K320" i="21"/>
  <c r="J320" i="21"/>
  <c r="I320" i="21"/>
  <c r="H320" i="21"/>
  <c r="G320" i="21"/>
  <c r="F320" i="21"/>
  <c r="E320" i="21"/>
  <c r="D320" i="21"/>
  <c r="C320" i="21"/>
  <c r="B320" i="21"/>
  <c r="Z317" i="21"/>
  <c r="Y317" i="21"/>
  <c r="Y19" i="21" s="1"/>
  <c r="X317" i="21"/>
  <c r="W317" i="21"/>
  <c r="W19" i="21" s="1"/>
  <c r="V317" i="21"/>
  <c r="V19" i="21" s="1"/>
  <c r="U317" i="21"/>
  <c r="T317" i="21"/>
  <c r="S317" i="21"/>
  <c r="R317" i="21"/>
  <c r="Q317" i="21"/>
  <c r="P316" i="21"/>
  <c r="O316" i="21"/>
  <c r="N316" i="21"/>
  <c r="M316" i="21"/>
  <c r="L316" i="21"/>
  <c r="K316" i="21"/>
  <c r="J316" i="21"/>
  <c r="I316" i="21"/>
  <c r="I268" i="21" s="1"/>
  <c r="H316" i="21"/>
  <c r="H268" i="21" s="1"/>
  <c r="G316" i="21"/>
  <c r="G268" i="21" s="1"/>
  <c r="F316" i="21"/>
  <c r="E316" i="21"/>
  <c r="D316" i="21"/>
  <c r="C316" i="21"/>
  <c r="B316" i="21"/>
  <c r="P315" i="21"/>
  <c r="O315" i="21"/>
  <c r="N315" i="21"/>
  <c r="M315" i="21"/>
  <c r="L315" i="21"/>
  <c r="K315" i="21"/>
  <c r="J315" i="21"/>
  <c r="I315" i="21"/>
  <c r="H315" i="21"/>
  <c r="G315" i="21"/>
  <c r="F315" i="21"/>
  <c r="E315" i="21"/>
  <c r="E267" i="21" s="1"/>
  <c r="D315" i="21"/>
  <c r="C315" i="21"/>
  <c r="B315" i="21"/>
  <c r="B267" i="21" s="1"/>
  <c r="P314" i="21"/>
  <c r="O314" i="21"/>
  <c r="N314" i="21"/>
  <c r="N266" i="21" s="1"/>
  <c r="M314" i="21"/>
  <c r="L314" i="21"/>
  <c r="K314" i="21"/>
  <c r="J314" i="21"/>
  <c r="I314" i="21"/>
  <c r="H314" i="21"/>
  <c r="G314" i="21"/>
  <c r="F314" i="21"/>
  <c r="E314" i="21"/>
  <c r="D314" i="21"/>
  <c r="C314" i="21"/>
  <c r="B314" i="21"/>
  <c r="P313" i="21"/>
  <c r="O313" i="21"/>
  <c r="O265" i="21" s="1"/>
  <c r="N313" i="21"/>
  <c r="M313" i="21"/>
  <c r="M265" i="21" s="1"/>
  <c r="L313" i="21"/>
  <c r="K313" i="21"/>
  <c r="J313" i="21"/>
  <c r="I313" i="21"/>
  <c r="I265" i="21" s="1"/>
  <c r="H313" i="21"/>
  <c r="G313" i="21"/>
  <c r="F313" i="21"/>
  <c r="E313" i="21"/>
  <c r="D313" i="21"/>
  <c r="C313" i="21"/>
  <c r="B313" i="21"/>
  <c r="P312" i="21"/>
  <c r="O312" i="21"/>
  <c r="N312" i="21"/>
  <c r="M312" i="21"/>
  <c r="L312" i="21"/>
  <c r="K312" i="21"/>
  <c r="J312" i="21"/>
  <c r="I312" i="21"/>
  <c r="H312" i="21"/>
  <c r="H264" i="21" s="1"/>
  <c r="G312" i="21"/>
  <c r="F312" i="21"/>
  <c r="E312" i="21"/>
  <c r="D312" i="21"/>
  <c r="C312" i="21"/>
  <c r="B312" i="21"/>
  <c r="B264" i="21" s="1"/>
  <c r="P311" i="21"/>
  <c r="O311" i="21"/>
  <c r="N311" i="21"/>
  <c r="M311" i="21"/>
  <c r="L311" i="21"/>
  <c r="K311" i="21"/>
  <c r="J311" i="21"/>
  <c r="I311" i="21"/>
  <c r="H311" i="21"/>
  <c r="G311" i="21"/>
  <c r="F311" i="21"/>
  <c r="E311" i="21"/>
  <c r="D311" i="21"/>
  <c r="C311" i="21"/>
  <c r="B311" i="21"/>
  <c r="P310" i="21"/>
  <c r="O310" i="21"/>
  <c r="N310" i="21"/>
  <c r="N262" i="21" s="1"/>
  <c r="M310" i="21"/>
  <c r="L310" i="21"/>
  <c r="K310" i="21"/>
  <c r="J310" i="21"/>
  <c r="I310" i="21"/>
  <c r="H310" i="21"/>
  <c r="G310" i="21"/>
  <c r="F310" i="21"/>
  <c r="E310" i="21"/>
  <c r="D310" i="21"/>
  <c r="C310" i="21"/>
  <c r="B310" i="21"/>
  <c r="P309" i="21"/>
  <c r="O309" i="21"/>
  <c r="N309" i="21"/>
  <c r="M309" i="21"/>
  <c r="L309" i="21"/>
  <c r="K309" i="21"/>
  <c r="J309" i="21"/>
  <c r="I309" i="21"/>
  <c r="H309" i="21"/>
  <c r="G309" i="21"/>
  <c r="F309" i="21"/>
  <c r="E309" i="21"/>
  <c r="E261" i="21" s="1"/>
  <c r="D309" i="21"/>
  <c r="C309" i="21"/>
  <c r="B309" i="21"/>
  <c r="P308" i="21"/>
  <c r="O308" i="21"/>
  <c r="N308" i="21"/>
  <c r="M308" i="21"/>
  <c r="L308" i="21"/>
  <c r="K308" i="21"/>
  <c r="J308" i="21"/>
  <c r="I308" i="21"/>
  <c r="H308" i="21"/>
  <c r="G308" i="21"/>
  <c r="F308" i="21"/>
  <c r="E308" i="21"/>
  <c r="D308" i="21"/>
  <c r="C308" i="21"/>
  <c r="B308" i="21"/>
  <c r="Q307" i="21"/>
  <c r="P307" i="21"/>
  <c r="P317" i="21" s="1"/>
  <c r="O307" i="21"/>
  <c r="N307" i="21"/>
  <c r="M307" i="21"/>
  <c r="M259" i="21" s="1"/>
  <c r="L307" i="21"/>
  <c r="K307" i="21"/>
  <c r="K259" i="21" s="1"/>
  <c r="J307" i="21"/>
  <c r="J259" i="21" s="1"/>
  <c r="I307" i="21"/>
  <c r="H307" i="21"/>
  <c r="G307" i="21"/>
  <c r="F307" i="21"/>
  <c r="E307" i="21"/>
  <c r="D307" i="21"/>
  <c r="C307" i="21"/>
  <c r="B307" i="21"/>
  <c r="Q306" i="21"/>
  <c r="P306" i="21"/>
  <c r="O306" i="21"/>
  <c r="N306" i="21"/>
  <c r="M306" i="21"/>
  <c r="L306" i="21"/>
  <c r="K306" i="21"/>
  <c r="K317" i="21" s="1"/>
  <c r="K19" i="21" s="1"/>
  <c r="J306" i="21"/>
  <c r="I306" i="21"/>
  <c r="H306" i="21"/>
  <c r="G306" i="21"/>
  <c r="F306" i="21"/>
  <c r="F258" i="21" s="1"/>
  <c r="E306" i="21"/>
  <c r="E258" i="21" s="1"/>
  <c r="D306" i="21"/>
  <c r="D258" i="21" s="1"/>
  <c r="C306" i="21"/>
  <c r="B306" i="21"/>
  <c r="Q305" i="21"/>
  <c r="P305" i="21"/>
  <c r="O305" i="21"/>
  <c r="N305" i="21"/>
  <c r="M305" i="21"/>
  <c r="L305" i="21"/>
  <c r="K305" i="21"/>
  <c r="J305" i="21"/>
  <c r="I305" i="21"/>
  <c r="H305" i="21"/>
  <c r="G305" i="21"/>
  <c r="F305" i="21"/>
  <c r="E305" i="21"/>
  <c r="D305" i="21"/>
  <c r="D317" i="21" s="1"/>
  <c r="D19" i="21" s="1"/>
  <c r="C305" i="21"/>
  <c r="B305" i="21"/>
  <c r="Z304" i="21"/>
  <c r="Y304" i="21"/>
  <c r="X304" i="21"/>
  <c r="W304" i="21"/>
  <c r="V304" i="21"/>
  <c r="U304" i="21"/>
  <c r="T304" i="21"/>
  <c r="S304" i="21"/>
  <c r="R304" i="21"/>
  <c r="Q304" i="21"/>
  <c r="P304" i="21"/>
  <c r="O304" i="21"/>
  <c r="N304" i="21"/>
  <c r="M304" i="21"/>
  <c r="L304" i="21"/>
  <c r="K304" i="21"/>
  <c r="J304" i="21"/>
  <c r="I304" i="21"/>
  <c r="H304" i="21"/>
  <c r="G304" i="21"/>
  <c r="F304" i="21"/>
  <c r="E304" i="21"/>
  <c r="D304" i="21"/>
  <c r="C304" i="21"/>
  <c r="B304" i="21"/>
  <c r="P300" i="21"/>
  <c r="O300" i="21"/>
  <c r="N300" i="21"/>
  <c r="M300" i="21"/>
  <c r="L300" i="21"/>
  <c r="K300" i="21"/>
  <c r="J300" i="21"/>
  <c r="I300" i="21"/>
  <c r="H300" i="21"/>
  <c r="G300" i="21"/>
  <c r="F300" i="21"/>
  <c r="E300" i="21"/>
  <c r="D300" i="21"/>
  <c r="C300" i="21"/>
  <c r="B300" i="21"/>
  <c r="P299" i="21"/>
  <c r="O299" i="21"/>
  <c r="N299" i="21"/>
  <c r="M299" i="21"/>
  <c r="L299" i="21"/>
  <c r="L267" i="21" s="1"/>
  <c r="K299" i="21"/>
  <c r="K267" i="21" s="1"/>
  <c r="J299" i="21"/>
  <c r="I299" i="21"/>
  <c r="H299" i="21"/>
  <c r="G299" i="21"/>
  <c r="F299" i="21"/>
  <c r="E299" i="21"/>
  <c r="D299" i="21"/>
  <c r="C299" i="21"/>
  <c r="B299" i="21"/>
  <c r="P298" i="21"/>
  <c r="O298" i="21"/>
  <c r="N298" i="21"/>
  <c r="M298" i="21"/>
  <c r="M266" i="21" s="1"/>
  <c r="L298" i="21"/>
  <c r="K298" i="21"/>
  <c r="J298" i="21"/>
  <c r="I298" i="21"/>
  <c r="H298" i="21"/>
  <c r="G298" i="21"/>
  <c r="G266" i="21" s="1"/>
  <c r="F298" i="21"/>
  <c r="E298" i="21"/>
  <c r="D298" i="21"/>
  <c r="D301" i="21" s="1"/>
  <c r="C298" i="21"/>
  <c r="B298" i="21"/>
  <c r="P297" i="21"/>
  <c r="O297" i="21"/>
  <c r="N297" i="21"/>
  <c r="M297" i="21"/>
  <c r="L297" i="21"/>
  <c r="K297" i="21"/>
  <c r="J297" i="21"/>
  <c r="I297" i="21"/>
  <c r="H297" i="21"/>
  <c r="G297" i="21"/>
  <c r="F297" i="21"/>
  <c r="E297" i="21"/>
  <c r="D297" i="21"/>
  <c r="C297" i="21"/>
  <c r="B297" i="21"/>
  <c r="P296" i="21"/>
  <c r="O296" i="21"/>
  <c r="N296" i="21"/>
  <c r="M296" i="21"/>
  <c r="L296" i="21"/>
  <c r="K296" i="21"/>
  <c r="J296" i="21"/>
  <c r="I296" i="21"/>
  <c r="H296" i="21"/>
  <c r="G296" i="21"/>
  <c r="F296" i="21"/>
  <c r="E296" i="21"/>
  <c r="D296" i="21"/>
  <c r="C296" i="21"/>
  <c r="B296" i="21"/>
  <c r="P295" i="21"/>
  <c r="O295" i="21"/>
  <c r="N295" i="21"/>
  <c r="M295" i="21"/>
  <c r="L295" i="21"/>
  <c r="K295" i="21"/>
  <c r="J295" i="21"/>
  <c r="I295" i="21"/>
  <c r="H295" i="21"/>
  <c r="G295" i="21"/>
  <c r="F295" i="21"/>
  <c r="E295" i="21"/>
  <c r="D295" i="21"/>
  <c r="C295" i="21"/>
  <c r="B295" i="21"/>
  <c r="P294" i="21"/>
  <c r="O294" i="21"/>
  <c r="N294" i="21"/>
  <c r="M294" i="21"/>
  <c r="L294" i="21"/>
  <c r="K294" i="21"/>
  <c r="J294" i="21"/>
  <c r="I294" i="21"/>
  <c r="H294" i="21"/>
  <c r="G294" i="21"/>
  <c r="F294" i="21"/>
  <c r="E294" i="21"/>
  <c r="D294" i="21"/>
  <c r="C294" i="21"/>
  <c r="B294" i="21"/>
  <c r="P293" i="21"/>
  <c r="O293" i="21"/>
  <c r="N293" i="21"/>
  <c r="M293" i="21"/>
  <c r="L293" i="21"/>
  <c r="K293" i="21"/>
  <c r="J293" i="21"/>
  <c r="I293" i="21"/>
  <c r="H293" i="21"/>
  <c r="G293" i="21"/>
  <c r="F293" i="21"/>
  <c r="E293" i="21"/>
  <c r="D293" i="21"/>
  <c r="C293" i="21"/>
  <c r="B293" i="21"/>
  <c r="P292" i="21"/>
  <c r="O292" i="21"/>
  <c r="N292" i="21"/>
  <c r="M292" i="21"/>
  <c r="L292" i="21"/>
  <c r="K292" i="21"/>
  <c r="J292" i="21"/>
  <c r="I292" i="21"/>
  <c r="H292" i="21"/>
  <c r="H260" i="21" s="1"/>
  <c r="G292" i="21"/>
  <c r="G260" i="21" s="1"/>
  <c r="F292" i="21"/>
  <c r="F260" i="21" s="1"/>
  <c r="E292" i="21"/>
  <c r="D292" i="21"/>
  <c r="C292" i="21"/>
  <c r="B292" i="21"/>
  <c r="Q291" i="21"/>
  <c r="P291" i="21"/>
  <c r="O291" i="21"/>
  <c r="N291" i="21"/>
  <c r="M291" i="21"/>
  <c r="L291" i="21"/>
  <c r="K291" i="21"/>
  <c r="J291" i="21"/>
  <c r="I291" i="21"/>
  <c r="H291" i="21"/>
  <c r="G291" i="21"/>
  <c r="F291" i="21"/>
  <c r="E291" i="21"/>
  <c r="D291" i="21"/>
  <c r="C291" i="21"/>
  <c r="C301" i="21" s="1"/>
  <c r="C18" i="21" s="1"/>
  <c r="B291" i="21"/>
  <c r="Q290" i="21"/>
  <c r="Q301" i="21" s="1"/>
  <c r="P290" i="21"/>
  <c r="O290" i="21"/>
  <c r="N290" i="21"/>
  <c r="M290" i="21"/>
  <c r="L290" i="21"/>
  <c r="K290" i="21"/>
  <c r="J290" i="21"/>
  <c r="I290" i="21"/>
  <c r="H290" i="21"/>
  <c r="H258" i="21" s="1"/>
  <c r="G290" i="21"/>
  <c r="F290" i="21"/>
  <c r="E290" i="21"/>
  <c r="D290" i="21"/>
  <c r="C290" i="21"/>
  <c r="B290" i="21"/>
  <c r="Q289" i="21"/>
  <c r="P289" i="21"/>
  <c r="O289" i="21"/>
  <c r="N289" i="21"/>
  <c r="M289" i="21"/>
  <c r="L289" i="21"/>
  <c r="K289" i="21"/>
  <c r="J289" i="21"/>
  <c r="J301" i="21" s="1"/>
  <c r="J18" i="21" s="1"/>
  <c r="I289" i="21"/>
  <c r="H289" i="21"/>
  <c r="G289" i="21"/>
  <c r="F289" i="21"/>
  <c r="E289" i="21"/>
  <c r="D289" i="21"/>
  <c r="C289" i="21"/>
  <c r="B289" i="21"/>
  <c r="Z288" i="21"/>
  <c r="Y288" i="21"/>
  <c r="X288" i="21"/>
  <c r="W288" i="21"/>
  <c r="V288" i="21"/>
  <c r="U288" i="21"/>
  <c r="T288" i="21"/>
  <c r="S288" i="21"/>
  <c r="R288" i="21"/>
  <c r="Q288" i="21"/>
  <c r="P288" i="21"/>
  <c r="O288" i="21"/>
  <c r="N288" i="21"/>
  <c r="M288" i="21"/>
  <c r="L288" i="21"/>
  <c r="K288" i="21"/>
  <c r="J288" i="21"/>
  <c r="I288" i="21"/>
  <c r="H288" i="21"/>
  <c r="G288" i="21"/>
  <c r="F288" i="21"/>
  <c r="E288" i="21"/>
  <c r="D288" i="21"/>
  <c r="C288" i="21"/>
  <c r="B288" i="21"/>
  <c r="P284" i="21"/>
  <c r="P268" i="21" s="1"/>
  <c r="O284" i="21"/>
  <c r="O268" i="21" s="1"/>
  <c r="N284" i="21"/>
  <c r="N268" i="21" s="1"/>
  <c r="M284" i="21"/>
  <c r="L284" i="21"/>
  <c r="K284" i="21"/>
  <c r="K268" i="21" s="1"/>
  <c r="J284" i="21"/>
  <c r="I284" i="21"/>
  <c r="H284" i="21"/>
  <c r="G284" i="21"/>
  <c r="F284" i="21"/>
  <c r="F268" i="21" s="1"/>
  <c r="E284" i="21"/>
  <c r="D284" i="21"/>
  <c r="C284" i="21"/>
  <c r="B284" i="21"/>
  <c r="P283" i="21"/>
  <c r="P267" i="21" s="1"/>
  <c r="O283" i="21"/>
  <c r="O267" i="21" s="1"/>
  <c r="N283" i="21"/>
  <c r="M283" i="21"/>
  <c r="M267" i="21" s="1"/>
  <c r="L283" i="21"/>
  <c r="K283" i="21"/>
  <c r="J283" i="21"/>
  <c r="I283" i="21"/>
  <c r="H283" i="21"/>
  <c r="H267" i="21" s="1"/>
  <c r="G283" i="21"/>
  <c r="F283" i="21"/>
  <c r="E283" i="21"/>
  <c r="D283" i="21"/>
  <c r="C283" i="21"/>
  <c r="B283" i="21"/>
  <c r="P282" i="21"/>
  <c r="O282" i="21"/>
  <c r="N282" i="21"/>
  <c r="M282" i="21"/>
  <c r="L282" i="21"/>
  <c r="K282" i="21"/>
  <c r="J282" i="21"/>
  <c r="J266" i="21" s="1"/>
  <c r="I282" i="21"/>
  <c r="H282" i="21"/>
  <c r="G282" i="21"/>
  <c r="F282" i="21"/>
  <c r="E282" i="21"/>
  <c r="D282" i="21"/>
  <c r="C282" i="21"/>
  <c r="B282" i="21"/>
  <c r="P281" i="21"/>
  <c r="O281" i="21"/>
  <c r="N281" i="21"/>
  <c r="M281" i="21"/>
  <c r="L281" i="21"/>
  <c r="K281" i="21"/>
  <c r="J281" i="21"/>
  <c r="I281" i="21"/>
  <c r="H281" i="21"/>
  <c r="G281" i="21"/>
  <c r="F281" i="21"/>
  <c r="E281" i="21"/>
  <c r="D281" i="21"/>
  <c r="C281" i="21"/>
  <c r="C265" i="21" s="1"/>
  <c r="B281" i="21"/>
  <c r="B265" i="21" s="1"/>
  <c r="P280" i="21"/>
  <c r="O280" i="21"/>
  <c r="O264" i="21" s="1"/>
  <c r="N280" i="21"/>
  <c r="N264" i="21" s="1"/>
  <c r="M280" i="21"/>
  <c r="M264" i="21" s="1"/>
  <c r="L280" i="21"/>
  <c r="L264" i="21" s="1"/>
  <c r="K280" i="21"/>
  <c r="J280" i="21"/>
  <c r="J264" i="21" s="1"/>
  <c r="I280" i="21"/>
  <c r="H280" i="21"/>
  <c r="G280" i="21"/>
  <c r="F280" i="21"/>
  <c r="F264" i="21" s="1"/>
  <c r="E280" i="21"/>
  <c r="E264" i="21" s="1"/>
  <c r="D280" i="21"/>
  <c r="D264" i="21" s="1"/>
  <c r="C280" i="21"/>
  <c r="C264" i="21" s="1"/>
  <c r="B280" i="21"/>
  <c r="P279" i="21"/>
  <c r="O279" i="21"/>
  <c r="N279" i="21"/>
  <c r="N263" i="21" s="1"/>
  <c r="M279" i="21"/>
  <c r="M263" i="21" s="1"/>
  <c r="L279" i="21"/>
  <c r="K279" i="21"/>
  <c r="J279" i="21"/>
  <c r="I279" i="21"/>
  <c r="I263" i="21" s="1"/>
  <c r="H279" i="21"/>
  <c r="H263" i="21" s="1"/>
  <c r="G279" i="21"/>
  <c r="F279" i="21"/>
  <c r="E279" i="21"/>
  <c r="E263" i="21" s="1"/>
  <c r="D279" i="21"/>
  <c r="C279" i="21"/>
  <c r="C263" i="21" s="1"/>
  <c r="B279" i="21"/>
  <c r="P278" i="21"/>
  <c r="O278" i="21"/>
  <c r="N278" i="21"/>
  <c r="M278" i="21"/>
  <c r="M262" i="21" s="1"/>
  <c r="L278" i="21"/>
  <c r="L262" i="21" s="1"/>
  <c r="K278" i="21"/>
  <c r="K262" i="21" s="1"/>
  <c r="J278" i="21"/>
  <c r="I278" i="21"/>
  <c r="H278" i="21"/>
  <c r="G278" i="21"/>
  <c r="G262" i="21" s="1"/>
  <c r="F278" i="21"/>
  <c r="F262" i="21" s="1"/>
  <c r="E278" i="21"/>
  <c r="E262" i="21" s="1"/>
  <c r="D278" i="21"/>
  <c r="D262" i="21" s="1"/>
  <c r="C278" i="21"/>
  <c r="C262" i="21" s="1"/>
  <c r="B278" i="21"/>
  <c r="P277" i="21"/>
  <c r="P261" i="21" s="1"/>
  <c r="O277" i="21"/>
  <c r="N277" i="21"/>
  <c r="M277" i="21"/>
  <c r="L277" i="21"/>
  <c r="K277" i="21"/>
  <c r="J277" i="21"/>
  <c r="I277" i="21"/>
  <c r="H277" i="21"/>
  <c r="G277" i="21"/>
  <c r="F277" i="21"/>
  <c r="F261" i="21" s="1"/>
  <c r="E277" i="21"/>
  <c r="D277" i="21"/>
  <c r="C277" i="21"/>
  <c r="B277" i="21"/>
  <c r="P276" i="21"/>
  <c r="P260" i="21" s="1"/>
  <c r="O276" i="21"/>
  <c r="O260" i="21" s="1"/>
  <c r="N276" i="21"/>
  <c r="M276" i="21"/>
  <c r="M260" i="21" s="1"/>
  <c r="L276" i="21"/>
  <c r="L260" i="21" s="1"/>
  <c r="K276" i="21"/>
  <c r="K260" i="21" s="1"/>
  <c r="J276" i="21"/>
  <c r="J260" i="21" s="1"/>
  <c r="I276" i="21"/>
  <c r="I260" i="21" s="1"/>
  <c r="H276" i="21"/>
  <c r="G276" i="21"/>
  <c r="F276" i="21"/>
  <c r="E276" i="21"/>
  <c r="D276" i="21"/>
  <c r="C276" i="21"/>
  <c r="B276" i="21"/>
  <c r="Q275" i="21"/>
  <c r="P275" i="21"/>
  <c r="O275" i="21"/>
  <c r="N275" i="21"/>
  <c r="M275" i="21"/>
  <c r="L275" i="21"/>
  <c r="K275" i="21"/>
  <c r="J275" i="21"/>
  <c r="I275" i="21"/>
  <c r="I259" i="21" s="1"/>
  <c r="H275" i="21"/>
  <c r="H259" i="21" s="1"/>
  <c r="G275" i="21"/>
  <c r="F275" i="21"/>
  <c r="E275" i="21"/>
  <c r="D275" i="21"/>
  <c r="C275" i="21"/>
  <c r="C259" i="21" s="1"/>
  <c r="B275" i="21"/>
  <c r="Q274" i="21"/>
  <c r="P274" i="21"/>
  <c r="O274" i="21"/>
  <c r="N274" i="21"/>
  <c r="M274" i="21"/>
  <c r="L274" i="21"/>
  <c r="K274" i="21"/>
  <c r="J274" i="21"/>
  <c r="I274" i="21"/>
  <c r="I258" i="21" s="1"/>
  <c r="H274" i="21"/>
  <c r="G274" i="21"/>
  <c r="F274" i="21"/>
  <c r="E274" i="21"/>
  <c r="D274" i="21"/>
  <c r="C274" i="21"/>
  <c r="C258" i="21" s="1"/>
  <c r="B274" i="21"/>
  <c r="B258" i="21" s="1"/>
  <c r="Q273" i="21"/>
  <c r="P273" i="21"/>
  <c r="O273" i="21"/>
  <c r="N273" i="21"/>
  <c r="M273" i="21"/>
  <c r="L273" i="21"/>
  <c r="L257" i="21" s="1"/>
  <c r="K273" i="21"/>
  <c r="K257" i="21" s="1"/>
  <c r="J273" i="21"/>
  <c r="J257" i="21" s="1"/>
  <c r="I273" i="21"/>
  <c r="I285" i="21" s="1"/>
  <c r="I17" i="21" s="1"/>
  <c r="H273" i="21"/>
  <c r="H285" i="21" s="1"/>
  <c r="G273" i="21"/>
  <c r="G285" i="21" s="1"/>
  <c r="F273" i="21"/>
  <c r="E273" i="21"/>
  <c r="D273" i="21"/>
  <c r="C273" i="21"/>
  <c r="B273" i="21"/>
  <c r="Z272" i="21"/>
  <c r="Y272" i="21"/>
  <c r="X272" i="21"/>
  <c r="W272" i="21"/>
  <c r="V272" i="21"/>
  <c r="U272" i="21"/>
  <c r="T272" i="21"/>
  <c r="S272" i="21"/>
  <c r="R272" i="21"/>
  <c r="Q272" i="21"/>
  <c r="P272" i="21"/>
  <c r="O272" i="21"/>
  <c r="N272" i="21"/>
  <c r="M272" i="21"/>
  <c r="L272" i="21"/>
  <c r="K272" i="21"/>
  <c r="J272" i="21"/>
  <c r="I272" i="21"/>
  <c r="H272" i="21"/>
  <c r="G272" i="21"/>
  <c r="F272" i="21"/>
  <c r="E272" i="21"/>
  <c r="D272" i="21"/>
  <c r="C272" i="21"/>
  <c r="B272" i="21"/>
  <c r="E268" i="21"/>
  <c r="D268" i="21"/>
  <c r="C268" i="21"/>
  <c r="B268" i="21"/>
  <c r="Q267" i="21"/>
  <c r="I267" i="21"/>
  <c r="G267" i="21"/>
  <c r="D267" i="21"/>
  <c r="C267" i="21"/>
  <c r="Q266" i="21"/>
  <c r="L266" i="21"/>
  <c r="K266" i="21"/>
  <c r="I266" i="21"/>
  <c r="H266" i="21"/>
  <c r="F266" i="21"/>
  <c r="E266" i="21"/>
  <c r="D266" i="21"/>
  <c r="C266" i="21"/>
  <c r="B266" i="21"/>
  <c r="Z265" i="21"/>
  <c r="Y265" i="21"/>
  <c r="X265" i="21"/>
  <c r="W265" i="21"/>
  <c r="V265" i="21"/>
  <c r="U265" i="21"/>
  <c r="T265" i="21"/>
  <c r="S265" i="21"/>
  <c r="R265" i="21"/>
  <c r="Q265" i="21"/>
  <c r="L265" i="21"/>
  <c r="H265" i="21"/>
  <c r="G265" i="21"/>
  <c r="F265" i="21"/>
  <c r="E265" i="21"/>
  <c r="D265" i="21"/>
  <c r="Q264" i="21"/>
  <c r="P264" i="21"/>
  <c r="K264" i="21"/>
  <c r="I264" i="21"/>
  <c r="Z263" i="21"/>
  <c r="Y263" i="21"/>
  <c r="X263" i="21"/>
  <c r="W263" i="21"/>
  <c r="V263" i="21"/>
  <c r="U263" i="21"/>
  <c r="T263" i="21"/>
  <c r="S263" i="21"/>
  <c r="R263" i="21"/>
  <c r="Q263" i="21"/>
  <c r="P263" i="21"/>
  <c r="O263" i="21"/>
  <c r="L263" i="21"/>
  <c r="K263" i="21"/>
  <c r="J263" i="21"/>
  <c r="Z262" i="21"/>
  <c r="Y262" i="21"/>
  <c r="X262" i="21"/>
  <c r="W262" i="21"/>
  <c r="V262" i="21"/>
  <c r="U262" i="21"/>
  <c r="T262" i="21"/>
  <c r="S262" i="21"/>
  <c r="R262" i="21"/>
  <c r="Q262" i="21"/>
  <c r="P262" i="21"/>
  <c r="H262" i="21"/>
  <c r="B262" i="21"/>
  <c r="Z261" i="21"/>
  <c r="Y261" i="21"/>
  <c r="X261" i="21"/>
  <c r="W261" i="21"/>
  <c r="V261" i="21"/>
  <c r="U261" i="21"/>
  <c r="T261" i="21"/>
  <c r="S261" i="21"/>
  <c r="R261" i="21"/>
  <c r="Q261" i="21"/>
  <c r="K261" i="21"/>
  <c r="D261" i="21"/>
  <c r="C261" i="21"/>
  <c r="B261" i="21"/>
  <c r="Z260" i="21"/>
  <c r="Y260" i="21"/>
  <c r="X260" i="21"/>
  <c r="W260" i="21"/>
  <c r="V260" i="21"/>
  <c r="U260" i="21"/>
  <c r="T260" i="21"/>
  <c r="S260" i="21"/>
  <c r="R260" i="21"/>
  <c r="Q260" i="21"/>
  <c r="N260" i="21"/>
  <c r="E260" i="21"/>
  <c r="D260" i="21"/>
  <c r="C260" i="21"/>
  <c r="B260" i="21"/>
  <c r="Z259" i="21"/>
  <c r="Y259" i="21"/>
  <c r="X259" i="21"/>
  <c r="W259" i="21"/>
  <c r="V259" i="21"/>
  <c r="U259" i="21"/>
  <c r="T259" i="21"/>
  <c r="S259" i="21"/>
  <c r="R259" i="21"/>
  <c r="G259" i="21"/>
  <c r="F259" i="21"/>
  <c r="E259" i="21"/>
  <c r="D259" i="21"/>
  <c r="B259" i="21"/>
  <c r="Z258" i="21"/>
  <c r="Y258" i="21"/>
  <c r="X258" i="21"/>
  <c r="W258" i="21"/>
  <c r="V258" i="21"/>
  <c r="U258" i="21"/>
  <c r="T258" i="21"/>
  <c r="S258" i="21"/>
  <c r="R258" i="21"/>
  <c r="N258" i="21"/>
  <c r="M258" i="21"/>
  <c r="L258" i="21"/>
  <c r="G258" i="21"/>
  <c r="Z257" i="21"/>
  <c r="Y257" i="21"/>
  <c r="X257" i="21"/>
  <c r="W257" i="21"/>
  <c r="V257" i="21"/>
  <c r="U257" i="21"/>
  <c r="T257" i="21"/>
  <c r="S257" i="21"/>
  <c r="R257" i="21"/>
  <c r="Q257" i="21"/>
  <c r="P257" i="21"/>
  <c r="O257" i="21"/>
  <c r="N257" i="21"/>
  <c r="I257" i="21"/>
  <c r="G257" i="21"/>
  <c r="Z256" i="21"/>
  <c r="Y256" i="21"/>
  <c r="X256" i="21"/>
  <c r="W256" i="21"/>
  <c r="V256" i="21"/>
  <c r="U256" i="21"/>
  <c r="T256" i="21"/>
  <c r="S256" i="21"/>
  <c r="R256" i="21"/>
  <c r="Q256" i="21"/>
  <c r="P256" i="21"/>
  <c r="O256" i="21"/>
  <c r="N256" i="21"/>
  <c r="M256" i="21"/>
  <c r="L256" i="21"/>
  <c r="K256" i="21"/>
  <c r="J256" i="21"/>
  <c r="I256" i="21"/>
  <c r="H256" i="21"/>
  <c r="G256" i="21"/>
  <c r="F256" i="21"/>
  <c r="E256" i="21"/>
  <c r="D256" i="21"/>
  <c r="C256" i="21"/>
  <c r="B256" i="21"/>
  <c r="Z252" i="21"/>
  <c r="Y252" i="21"/>
  <c r="X252" i="21"/>
  <c r="W252" i="21"/>
  <c r="V252" i="21"/>
  <c r="U252" i="21"/>
  <c r="T252" i="21"/>
  <c r="S252" i="21"/>
  <c r="R252" i="21"/>
  <c r="Q252" i="21"/>
  <c r="P252" i="21"/>
  <c r="O252" i="21"/>
  <c r="N252" i="21"/>
  <c r="M252" i="21"/>
  <c r="L252" i="21"/>
  <c r="K252" i="21"/>
  <c r="J252" i="21"/>
  <c r="I252" i="21"/>
  <c r="H252" i="21"/>
  <c r="G252" i="21"/>
  <c r="F252" i="21"/>
  <c r="E252" i="21"/>
  <c r="D252" i="21"/>
  <c r="C252" i="21"/>
  <c r="B252" i="21"/>
  <c r="B204" i="21" s="1"/>
  <c r="Z251" i="21"/>
  <c r="Y251" i="21"/>
  <c r="X251" i="21"/>
  <c r="W251" i="21"/>
  <c r="V251" i="21"/>
  <c r="U251" i="21"/>
  <c r="T251" i="21"/>
  <c r="S251" i="21"/>
  <c r="R251" i="21"/>
  <c r="Q251" i="21"/>
  <c r="P251" i="21"/>
  <c r="O251" i="21"/>
  <c r="N251" i="21"/>
  <c r="M251" i="21"/>
  <c r="L251" i="21"/>
  <c r="K251" i="21"/>
  <c r="J251" i="21"/>
  <c r="I251" i="21"/>
  <c r="H251" i="21"/>
  <c r="G251" i="21"/>
  <c r="F251" i="21"/>
  <c r="E251" i="21"/>
  <c r="D251" i="21"/>
  <c r="C251" i="21"/>
  <c r="B251" i="21"/>
  <c r="Z250" i="21"/>
  <c r="Y250" i="21"/>
  <c r="X250" i="21"/>
  <c r="W250" i="21"/>
  <c r="V250" i="21"/>
  <c r="U250" i="21"/>
  <c r="T250" i="21"/>
  <c r="S250" i="21"/>
  <c r="R250" i="21"/>
  <c r="Q250" i="21"/>
  <c r="P250" i="21"/>
  <c r="O250" i="21"/>
  <c r="N250" i="21"/>
  <c r="M250" i="21"/>
  <c r="L250" i="21"/>
  <c r="K250" i="21"/>
  <c r="J250" i="21"/>
  <c r="I250" i="21"/>
  <c r="H250" i="21"/>
  <c r="H202" i="21" s="1"/>
  <c r="G250" i="21"/>
  <c r="F250" i="21"/>
  <c r="E250" i="21"/>
  <c r="D250" i="21"/>
  <c r="C250" i="21"/>
  <c r="B250" i="21"/>
  <c r="Z249" i="21"/>
  <c r="Y249" i="21"/>
  <c r="X249" i="21"/>
  <c r="W249" i="21"/>
  <c r="V249" i="21"/>
  <c r="U249" i="21"/>
  <c r="T249" i="21"/>
  <c r="S249" i="21"/>
  <c r="R249" i="21"/>
  <c r="Q249" i="21"/>
  <c r="P249" i="21"/>
  <c r="O249" i="21"/>
  <c r="N249" i="21"/>
  <c r="M249" i="21"/>
  <c r="L249" i="21"/>
  <c r="K249" i="21"/>
  <c r="J249" i="21"/>
  <c r="I249" i="21"/>
  <c r="H249" i="21"/>
  <c r="G249" i="21"/>
  <c r="F249" i="21"/>
  <c r="E249" i="21"/>
  <c r="D249" i="21"/>
  <c r="D201" i="21" s="1"/>
  <c r="C249" i="21"/>
  <c r="B249" i="21"/>
  <c r="Z248" i="21"/>
  <c r="Y248" i="21"/>
  <c r="X248" i="21"/>
  <c r="W248" i="21"/>
  <c r="V248" i="21"/>
  <c r="U248" i="21"/>
  <c r="T248" i="21"/>
  <c r="S248" i="21"/>
  <c r="R248" i="21"/>
  <c r="Q248" i="21"/>
  <c r="P248" i="21"/>
  <c r="O248" i="21"/>
  <c r="N248" i="21"/>
  <c r="N200" i="21" s="1"/>
  <c r="M248" i="21"/>
  <c r="L248" i="21"/>
  <c r="K248" i="21"/>
  <c r="J248" i="21"/>
  <c r="I248" i="21"/>
  <c r="H248" i="21"/>
  <c r="G248" i="21"/>
  <c r="F248" i="21"/>
  <c r="E248" i="21"/>
  <c r="D248" i="21"/>
  <c r="C248" i="21"/>
  <c r="B248" i="21"/>
  <c r="Z247" i="21"/>
  <c r="Y247" i="21"/>
  <c r="X247" i="21"/>
  <c r="W247" i="21"/>
  <c r="V247" i="21"/>
  <c r="U247" i="21"/>
  <c r="T247" i="21"/>
  <c r="S247" i="21"/>
  <c r="R247" i="21"/>
  <c r="Q247" i="21"/>
  <c r="P247" i="21"/>
  <c r="P199" i="21" s="1"/>
  <c r="O247" i="21"/>
  <c r="N247" i="21"/>
  <c r="M247" i="21"/>
  <c r="L247" i="21"/>
  <c r="K247" i="21"/>
  <c r="J247" i="21"/>
  <c r="I247" i="21"/>
  <c r="H247" i="21"/>
  <c r="G247" i="21"/>
  <c r="F247" i="21"/>
  <c r="E247" i="21"/>
  <c r="D247" i="21"/>
  <c r="C247" i="21"/>
  <c r="B247" i="21"/>
  <c r="Z246" i="21"/>
  <c r="Y246" i="21"/>
  <c r="X246" i="21"/>
  <c r="W246" i="21"/>
  <c r="V246" i="21"/>
  <c r="U246" i="21"/>
  <c r="T246" i="21"/>
  <c r="S246" i="21"/>
  <c r="R246" i="21"/>
  <c r="Q246" i="21"/>
  <c r="P246" i="21"/>
  <c r="O246" i="21"/>
  <c r="N246" i="21"/>
  <c r="M246" i="21"/>
  <c r="L246" i="21"/>
  <c r="K246" i="21"/>
  <c r="J246" i="21"/>
  <c r="I246" i="21"/>
  <c r="H246" i="21"/>
  <c r="G246" i="21"/>
  <c r="F246" i="21"/>
  <c r="E246" i="21"/>
  <c r="D246" i="21"/>
  <c r="C246" i="21"/>
  <c r="B246" i="21"/>
  <c r="Z245" i="21"/>
  <c r="Y245" i="21"/>
  <c r="X245" i="21"/>
  <c r="W245" i="21"/>
  <c r="V245" i="21"/>
  <c r="U245" i="21"/>
  <c r="T245" i="21"/>
  <c r="S245" i="21"/>
  <c r="R245" i="21"/>
  <c r="Q245" i="21"/>
  <c r="P245" i="21"/>
  <c r="O245" i="21"/>
  <c r="N245" i="21"/>
  <c r="M245" i="21"/>
  <c r="L245" i="21"/>
  <c r="K245" i="21"/>
  <c r="J245" i="21"/>
  <c r="I245" i="21"/>
  <c r="H245" i="21"/>
  <c r="G245" i="21"/>
  <c r="F245" i="21"/>
  <c r="E245" i="21"/>
  <c r="D245" i="21"/>
  <c r="C245" i="21"/>
  <c r="B245" i="21"/>
  <c r="Z244" i="21"/>
  <c r="Y244" i="21"/>
  <c r="X244" i="21"/>
  <c r="W244" i="21"/>
  <c r="V244" i="21"/>
  <c r="U244" i="21"/>
  <c r="T244" i="21"/>
  <c r="S244" i="21"/>
  <c r="S253" i="21" s="1"/>
  <c r="S15" i="21" s="1"/>
  <c r="R244" i="21"/>
  <c r="Q244" i="21"/>
  <c r="P244" i="21"/>
  <c r="O244" i="21"/>
  <c r="N244" i="21"/>
  <c r="M244" i="21"/>
  <c r="L244" i="21"/>
  <c r="K244" i="21"/>
  <c r="J244" i="21"/>
  <c r="I244" i="21"/>
  <c r="H244" i="21"/>
  <c r="G244" i="21"/>
  <c r="F244" i="21"/>
  <c r="E244" i="21"/>
  <c r="D244" i="21"/>
  <c r="D196" i="21" s="1"/>
  <c r="C244" i="21"/>
  <c r="B244" i="21"/>
  <c r="Z243" i="21"/>
  <c r="Y243" i="21"/>
  <c r="X243" i="21"/>
  <c r="W243" i="21"/>
  <c r="V243" i="21"/>
  <c r="V253" i="21" s="1"/>
  <c r="V15" i="21" s="1"/>
  <c r="U243" i="21"/>
  <c r="T243" i="21"/>
  <c r="S243" i="21"/>
  <c r="R243" i="21"/>
  <c r="Q243" i="21"/>
  <c r="P243" i="21"/>
  <c r="O243" i="21"/>
  <c r="O253" i="21" s="1"/>
  <c r="O15" i="21" s="1"/>
  <c r="N243" i="21"/>
  <c r="M243" i="21"/>
  <c r="L243" i="21"/>
  <c r="K243" i="21"/>
  <c r="J243" i="21"/>
  <c r="I243" i="21"/>
  <c r="H243" i="21"/>
  <c r="G243" i="21"/>
  <c r="F243" i="21"/>
  <c r="E243" i="21"/>
  <c r="D243" i="21"/>
  <c r="C243" i="21"/>
  <c r="B243" i="21"/>
  <c r="Z242" i="21"/>
  <c r="Y242" i="21"/>
  <c r="Y253" i="21" s="1"/>
  <c r="X242" i="21"/>
  <c r="W242" i="21"/>
  <c r="V242" i="21"/>
  <c r="U242" i="21"/>
  <c r="T242" i="21"/>
  <c r="S242" i="21"/>
  <c r="R242" i="21"/>
  <c r="Q242" i="21"/>
  <c r="P242" i="21"/>
  <c r="O242" i="21"/>
  <c r="N242" i="21"/>
  <c r="M242" i="21"/>
  <c r="L242" i="21"/>
  <c r="K242" i="21"/>
  <c r="J242" i="21"/>
  <c r="J194" i="21" s="1"/>
  <c r="I242" i="21"/>
  <c r="H242" i="21"/>
  <c r="G242" i="21"/>
  <c r="F242" i="21"/>
  <c r="E242" i="21"/>
  <c r="D242" i="21"/>
  <c r="C242" i="21"/>
  <c r="B242" i="21"/>
  <c r="Z241" i="21"/>
  <c r="Y241" i="21"/>
  <c r="X241" i="21"/>
  <c r="W241" i="21"/>
  <c r="V241" i="21"/>
  <c r="U241" i="21"/>
  <c r="T241" i="21"/>
  <c r="S241" i="21"/>
  <c r="R241" i="21"/>
  <c r="Q241" i="21"/>
  <c r="P241" i="21"/>
  <c r="O241" i="21"/>
  <c r="N241" i="21"/>
  <c r="M241" i="21"/>
  <c r="L241" i="21"/>
  <c r="K241" i="21"/>
  <c r="J241" i="21"/>
  <c r="I241" i="21"/>
  <c r="H241" i="21"/>
  <c r="G241" i="21"/>
  <c r="F241" i="21"/>
  <c r="E241" i="21"/>
  <c r="D241" i="21"/>
  <c r="C241" i="21"/>
  <c r="B241" i="21"/>
  <c r="P236" i="21"/>
  <c r="P237" i="21" s="1"/>
  <c r="P14" i="21" s="1"/>
  <c r="O236" i="21"/>
  <c r="N236" i="21"/>
  <c r="M236" i="21"/>
  <c r="L236" i="21"/>
  <c r="K236" i="21"/>
  <c r="J236" i="21"/>
  <c r="I236" i="21"/>
  <c r="H236" i="21"/>
  <c r="G236" i="21"/>
  <c r="F236" i="21"/>
  <c r="E236" i="21"/>
  <c r="D236" i="21"/>
  <c r="C236" i="21"/>
  <c r="B236" i="21"/>
  <c r="P235" i="21"/>
  <c r="O235" i="21"/>
  <c r="N235" i="21"/>
  <c r="N203" i="21" s="1"/>
  <c r="N43" i="21" s="1"/>
  <c r="M235" i="21"/>
  <c r="L235" i="21"/>
  <c r="K235" i="21"/>
  <c r="J235" i="21"/>
  <c r="I235" i="21"/>
  <c r="H235" i="21"/>
  <c r="G235" i="21"/>
  <c r="F235" i="21"/>
  <c r="E235" i="21"/>
  <c r="D235" i="21"/>
  <c r="C235" i="21"/>
  <c r="B235" i="21"/>
  <c r="B203" i="21" s="1"/>
  <c r="P234" i="21"/>
  <c r="O234" i="21"/>
  <c r="N234" i="21"/>
  <c r="M234" i="21"/>
  <c r="L234" i="21"/>
  <c r="K234" i="21"/>
  <c r="J234" i="21"/>
  <c r="I234" i="21"/>
  <c r="H234" i="21"/>
  <c r="G234" i="21"/>
  <c r="F234" i="21"/>
  <c r="E234" i="21"/>
  <c r="E202" i="21" s="1"/>
  <c r="D234" i="21"/>
  <c r="C234" i="21"/>
  <c r="B234" i="21"/>
  <c r="P233" i="21"/>
  <c r="O233" i="21"/>
  <c r="N233" i="21"/>
  <c r="M233" i="21"/>
  <c r="L233" i="21"/>
  <c r="K233" i="21"/>
  <c r="J233" i="21"/>
  <c r="I233" i="21"/>
  <c r="H233" i="21"/>
  <c r="H201" i="21" s="1"/>
  <c r="G233" i="21"/>
  <c r="F233" i="21"/>
  <c r="E233" i="21"/>
  <c r="D233" i="21"/>
  <c r="C233" i="21"/>
  <c r="B233" i="21"/>
  <c r="P232" i="21"/>
  <c r="O232" i="21"/>
  <c r="N232" i="21"/>
  <c r="M232" i="21"/>
  <c r="L232" i="21"/>
  <c r="K232" i="21"/>
  <c r="J232" i="21"/>
  <c r="I232" i="21"/>
  <c r="H232" i="21"/>
  <c r="G232" i="21"/>
  <c r="F232" i="21"/>
  <c r="E232" i="21"/>
  <c r="D232" i="21"/>
  <c r="C232" i="21"/>
  <c r="B232" i="21"/>
  <c r="P231" i="21"/>
  <c r="O231" i="21"/>
  <c r="N231" i="21"/>
  <c r="N199" i="21" s="1"/>
  <c r="M231" i="21"/>
  <c r="L231" i="21"/>
  <c r="K231" i="21"/>
  <c r="J231" i="21"/>
  <c r="I231" i="21"/>
  <c r="H231" i="21"/>
  <c r="G231" i="21"/>
  <c r="F231" i="21"/>
  <c r="E231" i="21"/>
  <c r="D231" i="21"/>
  <c r="C231" i="21"/>
  <c r="B231" i="21"/>
  <c r="P230" i="21"/>
  <c r="O230" i="21"/>
  <c r="N230" i="21"/>
  <c r="M230" i="21"/>
  <c r="L230" i="21"/>
  <c r="K230" i="21"/>
  <c r="J230" i="21"/>
  <c r="I230" i="21"/>
  <c r="H230" i="21"/>
  <c r="G230" i="21"/>
  <c r="F230" i="21"/>
  <c r="E230" i="21"/>
  <c r="D230" i="21"/>
  <c r="C230" i="21"/>
  <c r="B230" i="21"/>
  <c r="P229" i="21"/>
  <c r="O229" i="21"/>
  <c r="N229" i="21"/>
  <c r="M229" i="21"/>
  <c r="L229" i="21"/>
  <c r="K229" i="21"/>
  <c r="K237" i="21" s="1"/>
  <c r="K14" i="21" s="1"/>
  <c r="J229" i="21"/>
  <c r="I229" i="21"/>
  <c r="I237" i="21" s="1"/>
  <c r="I14" i="21" s="1"/>
  <c r="H229" i="21"/>
  <c r="G229" i="21"/>
  <c r="F229" i="21"/>
  <c r="E229" i="21"/>
  <c r="D229" i="21"/>
  <c r="C229" i="21"/>
  <c r="B229" i="21"/>
  <c r="P228" i="21"/>
  <c r="O228" i="21"/>
  <c r="N228" i="21"/>
  <c r="M228" i="21"/>
  <c r="L228" i="21"/>
  <c r="K228" i="21"/>
  <c r="J228" i="21"/>
  <c r="I228" i="21"/>
  <c r="H228" i="21"/>
  <c r="G228" i="21"/>
  <c r="F228" i="21"/>
  <c r="E228" i="21"/>
  <c r="D228" i="21"/>
  <c r="C228" i="21"/>
  <c r="B228" i="21"/>
  <c r="Q227" i="21"/>
  <c r="P227" i="21"/>
  <c r="O227" i="21"/>
  <c r="N227" i="21"/>
  <c r="M227" i="21"/>
  <c r="L227" i="21"/>
  <c r="K227" i="21"/>
  <c r="J227" i="21"/>
  <c r="I227" i="21"/>
  <c r="H227" i="21"/>
  <c r="G227" i="21"/>
  <c r="F227" i="21"/>
  <c r="E227" i="21"/>
  <c r="D227" i="21"/>
  <c r="D195" i="21" s="1"/>
  <c r="C227" i="21"/>
  <c r="B227" i="21"/>
  <c r="Q226" i="21"/>
  <c r="P226" i="21"/>
  <c r="O226" i="21"/>
  <c r="N226" i="21"/>
  <c r="M226" i="21"/>
  <c r="L226" i="21"/>
  <c r="K226" i="21"/>
  <c r="J226" i="21"/>
  <c r="I226" i="21"/>
  <c r="H226" i="21"/>
  <c r="G226" i="21"/>
  <c r="G194" i="21" s="1"/>
  <c r="F226" i="21"/>
  <c r="E226" i="21"/>
  <c r="D226" i="21"/>
  <c r="C226" i="21"/>
  <c r="B226" i="21"/>
  <c r="Q225" i="21"/>
  <c r="P225" i="21"/>
  <c r="O225" i="21"/>
  <c r="N225" i="21"/>
  <c r="M225" i="21"/>
  <c r="L225" i="21"/>
  <c r="K225" i="21"/>
  <c r="J225" i="21"/>
  <c r="I225" i="21"/>
  <c r="H225" i="21"/>
  <c r="G225" i="21"/>
  <c r="F225" i="21"/>
  <c r="E225" i="21"/>
  <c r="D225" i="21"/>
  <c r="C225" i="21"/>
  <c r="B225" i="21"/>
  <c r="M221" i="21"/>
  <c r="M13" i="21" s="1"/>
  <c r="K221" i="21"/>
  <c r="K13" i="21" s="1"/>
  <c r="I221" i="21"/>
  <c r="I13" i="21" s="1"/>
  <c r="F221" i="21"/>
  <c r="F13" i="21" s="1"/>
  <c r="Z220" i="21"/>
  <c r="Y220" i="21"/>
  <c r="X220" i="21"/>
  <c r="W220" i="21"/>
  <c r="V220" i="21"/>
  <c r="U220" i="21"/>
  <c r="T220" i="21"/>
  <c r="S220" i="21"/>
  <c r="R220" i="21"/>
  <c r="Q220" i="21"/>
  <c r="P220" i="21"/>
  <c r="O220" i="21"/>
  <c r="N220" i="21"/>
  <c r="N204" i="21" s="1"/>
  <c r="M220" i="21"/>
  <c r="L220" i="21"/>
  <c r="L204" i="21" s="1"/>
  <c r="K220" i="21"/>
  <c r="J220" i="21"/>
  <c r="I220" i="21"/>
  <c r="I204" i="21" s="1"/>
  <c r="H220" i="21"/>
  <c r="H204" i="21" s="1"/>
  <c r="G220" i="21"/>
  <c r="G204" i="21" s="1"/>
  <c r="F220" i="21"/>
  <c r="F204" i="21" s="1"/>
  <c r="E220" i="21"/>
  <c r="D220" i="21"/>
  <c r="C220" i="21"/>
  <c r="B220" i="21"/>
  <c r="Z219" i="21"/>
  <c r="Y219" i="21"/>
  <c r="X219" i="21"/>
  <c r="W219" i="21"/>
  <c r="V219" i="21"/>
  <c r="U219" i="21"/>
  <c r="T219" i="21"/>
  <c r="S219" i="21"/>
  <c r="R219" i="21"/>
  <c r="Q219" i="21"/>
  <c r="P219" i="21"/>
  <c r="O219" i="21"/>
  <c r="N219" i="21"/>
  <c r="M219" i="21"/>
  <c r="L219" i="21"/>
  <c r="K219" i="21"/>
  <c r="K203" i="21" s="1"/>
  <c r="J219" i="21"/>
  <c r="J203" i="21" s="1"/>
  <c r="I219" i="21"/>
  <c r="H219" i="21"/>
  <c r="G219" i="21"/>
  <c r="F219" i="21"/>
  <c r="E219" i="21"/>
  <c r="D219" i="21"/>
  <c r="C219" i="21"/>
  <c r="B219" i="21"/>
  <c r="Z218" i="21"/>
  <c r="Y218" i="21"/>
  <c r="X218" i="21"/>
  <c r="W218" i="21"/>
  <c r="V218" i="21"/>
  <c r="U218" i="21"/>
  <c r="T218" i="21"/>
  <c r="S218" i="21"/>
  <c r="R218" i="21"/>
  <c r="Q218" i="21"/>
  <c r="P218" i="21"/>
  <c r="P202" i="21" s="1"/>
  <c r="O218" i="21"/>
  <c r="O202" i="21" s="1"/>
  <c r="N218" i="21"/>
  <c r="N202" i="21" s="1"/>
  <c r="M218" i="21"/>
  <c r="L218" i="21"/>
  <c r="L202" i="21" s="1"/>
  <c r="K218" i="21"/>
  <c r="K202" i="21" s="1"/>
  <c r="J218" i="21"/>
  <c r="I218" i="21"/>
  <c r="H218" i="21"/>
  <c r="G218" i="21"/>
  <c r="F218" i="21"/>
  <c r="E218" i="21"/>
  <c r="D218" i="21"/>
  <c r="C218" i="21"/>
  <c r="B218" i="21"/>
  <c r="Z217" i="21"/>
  <c r="Y217" i="21"/>
  <c r="X217" i="21"/>
  <c r="W217" i="21"/>
  <c r="V217" i="21"/>
  <c r="U217" i="21"/>
  <c r="T217" i="21"/>
  <c r="S217" i="21"/>
  <c r="R217" i="21"/>
  <c r="Q217" i="21"/>
  <c r="P217" i="21"/>
  <c r="P201" i="21" s="1"/>
  <c r="O217" i="21"/>
  <c r="N217" i="21"/>
  <c r="N201" i="21" s="1"/>
  <c r="M217" i="21"/>
  <c r="L217" i="21"/>
  <c r="K217" i="21"/>
  <c r="J217" i="21"/>
  <c r="I217" i="21"/>
  <c r="H217" i="21"/>
  <c r="G217" i="21"/>
  <c r="F217" i="21"/>
  <c r="E217" i="21"/>
  <c r="D217" i="21"/>
  <c r="C217" i="21"/>
  <c r="C201" i="21" s="1"/>
  <c r="B217" i="21"/>
  <c r="Z216" i="21"/>
  <c r="Y216" i="21"/>
  <c r="X216" i="21"/>
  <c r="W216" i="21"/>
  <c r="V216" i="21"/>
  <c r="U216" i="21"/>
  <c r="T216" i="21"/>
  <c r="S216" i="21"/>
  <c r="R216" i="21"/>
  <c r="Q216" i="21"/>
  <c r="P216" i="21"/>
  <c r="O216" i="21"/>
  <c r="N216" i="21"/>
  <c r="M216" i="21"/>
  <c r="L216" i="21"/>
  <c r="K216" i="21"/>
  <c r="J216" i="21"/>
  <c r="I216" i="21"/>
  <c r="H216" i="21"/>
  <c r="G216" i="21"/>
  <c r="F216" i="21"/>
  <c r="F200" i="21" s="1"/>
  <c r="E216" i="21"/>
  <c r="D216" i="21"/>
  <c r="D200" i="21" s="1"/>
  <c r="D40" i="21" s="1"/>
  <c r="C216" i="21"/>
  <c r="C200" i="21" s="1"/>
  <c r="B216" i="21"/>
  <c r="B200" i="21" s="1"/>
  <c r="Z215" i="21"/>
  <c r="Y215" i="21"/>
  <c r="X215" i="21"/>
  <c r="W215" i="21"/>
  <c r="V215" i="21"/>
  <c r="U215" i="21"/>
  <c r="T215" i="21"/>
  <c r="S215" i="21"/>
  <c r="R215" i="21"/>
  <c r="Q215" i="21"/>
  <c r="P215" i="21"/>
  <c r="O215" i="21"/>
  <c r="O199" i="21" s="1"/>
  <c r="N215" i="21"/>
  <c r="M215" i="21"/>
  <c r="L215" i="21"/>
  <c r="K215" i="21"/>
  <c r="J215" i="21"/>
  <c r="I215" i="21"/>
  <c r="I199" i="21" s="1"/>
  <c r="H215" i="21"/>
  <c r="G215" i="21"/>
  <c r="G199" i="21" s="1"/>
  <c r="G39" i="21" s="1"/>
  <c r="F215" i="21"/>
  <c r="F199" i="21" s="1"/>
  <c r="E215" i="21"/>
  <c r="E199" i="21" s="1"/>
  <c r="D215" i="21"/>
  <c r="D199" i="21" s="1"/>
  <c r="C215" i="21"/>
  <c r="C199" i="21" s="1"/>
  <c r="B215" i="21"/>
  <c r="Z214" i="21"/>
  <c r="Y214" i="21"/>
  <c r="X214" i="21"/>
  <c r="W214" i="21"/>
  <c r="V214" i="21"/>
  <c r="U214" i="21"/>
  <c r="T214" i="21"/>
  <c r="S214" i="21"/>
  <c r="R214" i="21"/>
  <c r="Q214" i="21"/>
  <c r="P214" i="21"/>
  <c r="O214" i="21"/>
  <c r="N214" i="21"/>
  <c r="M214" i="21"/>
  <c r="L214" i="21"/>
  <c r="L198" i="21" s="1"/>
  <c r="K214" i="21"/>
  <c r="J214" i="21"/>
  <c r="J198" i="21" s="1"/>
  <c r="I214" i="21"/>
  <c r="H214" i="21"/>
  <c r="H198" i="21" s="1"/>
  <c r="G214" i="21"/>
  <c r="F214" i="21"/>
  <c r="E214" i="21"/>
  <c r="E198" i="21" s="1"/>
  <c r="D214" i="21"/>
  <c r="D198" i="21" s="1"/>
  <c r="C214" i="21"/>
  <c r="C198" i="21" s="1"/>
  <c r="B214" i="21"/>
  <c r="B198" i="21" s="1"/>
  <c r="Z213" i="21"/>
  <c r="Y213" i="21"/>
  <c r="X213" i="21"/>
  <c r="W213" i="21"/>
  <c r="V213" i="21"/>
  <c r="U213" i="21"/>
  <c r="T213" i="21"/>
  <c r="S213" i="21"/>
  <c r="R213" i="21"/>
  <c r="Q213" i="21"/>
  <c r="P213" i="21"/>
  <c r="O213" i="21"/>
  <c r="O197" i="21" s="1"/>
  <c r="N213" i="21"/>
  <c r="M213" i="21"/>
  <c r="M197" i="21" s="1"/>
  <c r="L213" i="21"/>
  <c r="K213" i="21"/>
  <c r="K197" i="21" s="1"/>
  <c r="J213" i="21"/>
  <c r="J197" i="21" s="1"/>
  <c r="I213" i="21"/>
  <c r="H213" i="21"/>
  <c r="H197" i="21" s="1"/>
  <c r="G213" i="21"/>
  <c r="F213" i="21"/>
  <c r="E213" i="21"/>
  <c r="E221" i="21" s="1"/>
  <c r="E13" i="21" s="1"/>
  <c r="D213" i="21"/>
  <c r="C213" i="21"/>
  <c r="B213" i="21"/>
  <c r="Z212" i="21"/>
  <c r="Y212" i="21"/>
  <c r="X212" i="21"/>
  <c r="W212" i="21"/>
  <c r="V212" i="21"/>
  <c r="U212" i="21"/>
  <c r="T212" i="21"/>
  <c r="S212" i="21"/>
  <c r="R212" i="21"/>
  <c r="Q212" i="21"/>
  <c r="P212" i="21"/>
  <c r="P196" i="21" s="1"/>
  <c r="P36" i="21" s="1"/>
  <c r="O212" i="21"/>
  <c r="O196" i="21" s="1"/>
  <c r="N212" i="21"/>
  <c r="N196" i="21" s="1"/>
  <c r="M212" i="21"/>
  <c r="M196" i="21" s="1"/>
  <c r="L212" i="21"/>
  <c r="K212" i="21"/>
  <c r="K196" i="21" s="1"/>
  <c r="J212" i="21"/>
  <c r="J196" i="21" s="1"/>
  <c r="I212" i="21"/>
  <c r="I196" i="21" s="1"/>
  <c r="H212" i="21"/>
  <c r="H196" i="21" s="1"/>
  <c r="G212" i="21"/>
  <c r="G221" i="21" s="1"/>
  <c r="G13" i="21" s="1"/>
  <c r="F212" i="21"/>
  <c r="E212" i="21"/>
  <c r="D212" i="21"/>
  <c r="C212" i="21"/>
  <c r="B212" i="21"/>
  <c r="Z211" i="21"/>
  <c r="Y211" i="21"/>
  <c r="X211" i="21"/>
  <c r="W211" i="21"/>
  <c r="V211" i="21"/>
  <c r="U211" i="21"/>
  <c r="T211" i="21"/>
  <c r="S211" i="21"/>
  <c r="R211" i="21"/>
  <c r="Q211" i="21"/>
  <c r="Q195" i="21" s="1"/>
  <c r="P211" i="21"/>
  <c r="P195" i="21" s="1"/>
  <c r="O211" i="21"/>
  <c r="N211" i="21"/>
  <c r="N195" i="21" s="1"/>
  <c r="M211" i="21"/>
  <c r="M195" i="21" s="1"/>
  <c r="L211" i="21"/>
  <c r="L195" i="21" s="1"/>
  <c r="K211" i="21"/>
  <c r="K195" i="21" s="1"/>
  <c r="J211" i="21"/>
  <c r="I211" i="21"/>
  <c r="H211" i="21"/>
  <c r="G211" i="21"/>
  <c r="F211" i="21"/>
  <c r="E211" i="21"/>
  <c r="D211" i="21"/>
  <c r="C211" i="21"/>
  <c r="B211" i="21"/>
  <c r="Z210" i="21"/>
  <c r="Y210" i="21"/>
  <c r="X210" i="21"/>
  <c r="W210" i="21"/>
  <c r="V210" i="21"/>
  <c r="U210" i="21"/>
  <c r="T210" i="21"/>
  <c r="S210" i="21"/>
  <c r="R210" i="21"/>
  <c r="Q210" i="21"/>
  <c r="Q194" i="21" s="1"/>
  <c r="P210" i="21"/>
  <c r="P194" i="21" s="1"/>
  <c r="O210" i="21"/>
  <c r="N210" i="21"/>
  <c r="M210" i="21"/>
  <c r="L210" i="21"/>
  <c r="K210" i="21"/>
  <c r="J210" i="21"/>
  <c r="I210" i="21"/>
  <c r="H210" i="21"/>
  <c r="G210" i="21"/>
  <c r="F210" i="21"/>
  <c r="E210" i="21"/>
  <c r="D210" i="21"/>
  <c r="C210" i="21"/>
  <c r="B210" i="21"/>
  <c r="Z209" i="21"/>
  <c r="Y209" i="21"/>
  <c r="X209" i="21"/>
  <c r="W209" i="21"/>
  <c r="V209" i="21"/>
  <c r="U209" i="21"/>
  <c r="T209" i="21"/>
  <c r="S209" i="21"/>
  <c r="R209" i="21"/>
  <c r="Q209" i="21"/>
  <c r="P209" i="21"/>
  <c r="O209" i="21"/>
  <c r="N209" i="21"/>
  <c r="M209" i="21"/>
  <c r="L209" i="21"/>
  <c r="K209" i="21"/>
  <c r="J209" i="21"/>
  <c r="I209" i="21"/>
  <c r="H209" i="21"/>
  <c r="G209" i="21"/>
  <c r="F209" i="21"/>
  <c r="E209" i="21"/>
  <c r="E193" i="21" s="1"/>
  <c r="D209" i="21"/>
  <c r="C209" i="21"/>
  <c r="B209" i="21"/>
  <c r="K204" i="21"/>
  <c r="E204" i="21"/>
  <c r="D204" i="21"/>
  <c r="C204" i="21"/>
  <c r="I203" i="21"/>
  <c r="H203" i="21"/>
  <c r="G203" i="21"/>
  <c r="F203" i="21"/>
  <c r="E203" i="21"/>
  <c r="D203" i="21"/>
  <c r="C203" i="21"/>
  <c r="M202" i="21"/>
  <c r="J202" i="21"/>
  <c r="I202" i="21"/>
  <c r="G202" i="21"/>
  <c r="F202" i="21"/>
  <c r="O201" i="21"/>
  <c r="M201" i="21"/>
  <c r="L201" i="21"/>
  <c r="K201" i="21"/>
  <c r="J201" i="21"/>
  <c r="I201" i="21"/>
  <c r="P200" i="21"/>
  <c r="O200" i="21"/>
  <c r="M200" i="21"/>
  <c r="L200" i="21"/>
  <c r="F198" i="21"/>
  <c r="F38" i="21" s="1"/>
  <c r="G197" i="21"/>
  <c r="F197" i="21"/>
  <c r="E197" i="21"/>
  <c r="D197" i="21"/>
  <c r="C197" i="21"/>
  <c r="B197" i="21"/>
  <c r="G196" i="21"/>
  <c r="F196" i="21"/>
  <c r="E196" i="21"/>
  <c r="C196" i="21"/>
  <c r="B196" i="21"/>
  <c r="I195" i="21"/>
  <c r="H195" i="21"/>
  <c r="G195" i="21"/>
  <c r="F195" i="21"/>
  <c r="E195" i="21"/>
  <c r="O194" i="21"/>
  <c r="N194" i="21"/>
  <c r="M194" i="21"/>
  <c r="L194" i="21"/>
  <c r="K194" i="21"/>
  <c r="I194" i="21"/>
  <c r="H194" i="21"/>
  <c r="O193" i="21"/>
  <c r="N193" i="21"/>
  <c r="L193" i="21"/>
  <c r="K193" i="21"/>
  <c r="U189" i="21"/>
  <c r="T189" i="21"/>
  <c r="T11" i="21" s="1"/>
  <c r="Z188" i="21"/>
  <c r="Z156" i="21" s="1"/>
  <c r="Y188" i="21"/>
  <c r="Y156" i="21" s="1"/>
  <c r="X188" i="21"/>
  <c r="X156" i="21" s="1"/>
  <c r="W188" i="21"/>
  <c r="W156" i="21" s="1"/>
  <c r="V188" i="21"/>
  <c r="V156" i="21" s="1"/>
  <c r="U188" i="21"/>
  <c r="U156" i="21" s="1"/>
  <c r="T188" i="21"/>
  <c r="S188" i="21"/>
  <c r="R188" i="21"/>
  <c r="Q188" i="21"/>
  <c r="P188" i="21"/>
  <c r="O188" i="21"/>
  <c r="N188" i="21"/>
  <c r="M188" i="21"/>
  <c r="L188" i="21"/>
  <c r="K188" i="21"/>
  <c r="J188" i="21"/>
  <c r="I188" i="21"/>
  <c r="H188" i="21"/>
  <c r="G188" i="21"/>
  <c r="F188" i="21"/>
  <c r="E188" i="21"/>
  <c r="D188" i="21"/>
  <c r="D156" i="21" s="1"/>
  <c r="C188" i="21"/>
  <c r="B188" i="21"/>
  <c r="Z187" i="21"/>
  <c r="Y187" i="21"/>
  <c r="Y155" i="21" s="1"/>
  <c r="X187" i="21"/>
  <c r="W187" i="21"/>
  <c r="W155" i="21" s="1"/>
  <c r="V187" i="21"/>
  <c r="V155" i="21" s="1"/>
  <c r="U187" i="21"/>
  <c r="T187" i="21"/>
  <c r="S187" i="21"/>
  <c r="R187" i="21"/>
  <c r="Q187" i="21"/>
  <c r="P187" i="21"/>
  <c r="O187" i="21"/>
  <c r="N187" i="21"/>
  <c r="M187" i="21"/>
  <c r="L187" i="21"/>
  <c r="L155" i="21" s="1"/>
  <c r="K187" i="21"/>
  <c r="J187" i="21"/>
  <c r="I187" i="21"/>
  <c r="H187" i="21"/>
  <c r="H155" i="21" s="1"/>
  <c r="G187" i="21"/>
  <c r="G155" i="21" s="1"/>
  <c r="F187" i="21"/>
  <c r="F155" i="21" s="1"/>
  <c r="E187" i="21"/>
  <c r="E155" i="21" s="1"/>
  <c r="D187" i="21"/>
  <c r="C187" i="21"/>
  <c r="B187" i="21"/>
  <c r="B155" i="21" s="1"/>
  <c r="Z186" i="21"/>
  <c r="Z154" i="21" s="1"/>
  <c r="Y186" i="21"/>
  <c r="Y154" i="21" s="1"/>
  <c r="X186" i="21"/>
  <c r="W186" i="21"/>
  <c r="W154" i="21" s="1"/>
  <c r="V186" i="21"/>
  <c r="U186" i="21"/>
  <c r="T186" i="21"/>
  <c r="S186" i="21"/>
  <c r="R186" i="21"/>
  <c r="Q186" i="21"/>
  <c r="P186" i="21"/>
  <c r="O186" i="21"/>
  <c r="N186" i="21"/>
  <c r="M186" i="21"/>
  <c r="L186" i="21"/>
  <c r="K186" i="21"/>
  <c r="J186" i="21"/>
  <c r="J154" i="21" s="1"/>
  <c r="I186" i="21"/>
  <c r="I154" i="21" s="1"/>
  <c r="H186" i="21"/>
  <c r="H154" i="21" s="1"/>
  <c r="G186" i="21"/>
  <c r="F186" i="21"/>
  <c r="E186" i="21"/>
  <c r="D186" i="21"/>
  <c r="C186" i="21"/>
  <c r="B186" i="21"/>
  <c r="Z185" i="21"/>
  <c r="Z153" i="21" s="1"/>
  <c r="Y185" i="21"/>
  <c r="X185" i="21"/>
  <c r="W185" i="21"/>
  <c r="V185" i="21"/>
  <c r="U185" i="21"/>
  <c r="T185" i="21"/>
  <c r="S185" i="21"/>
  <c r="R185" i="21"/>
  <c r="R153" i="21" s="1"/>
  <c r="Q185" i="21"/>
  <c r="P185" i="21"/>
  <c r="O185" i="21"/>
  <c r="N185" i="21"/>
  <c r="M185" i="21"/>
  <c r="M153" i="21" s="1"/>
  <c r="L185" i="21"/>
  <c r="K185" i="21"/>
  <c r="J185" i="21"/>
  <c r="I185" i="21"/>
  <c r="H185" i="21"/>
  <c r="G185" i="21"/>
  <c r="F185" i="21"/>
  <c r="E185" i="21"/>
  <c r="E153" i="21" s="1"/>
  <c r="D185" i="21"/>
  <c r="C185" i="21"/>
  <c r="B185" i="21"/>
  <c r="Z184" i="21"/>
  <c r="Y184" i="21"/>
  <c r="X184" i="21"/>
  <c r="W184" i="21"/>
  <c r="V184" i="21"/>
  <c r="U184" i="21"/>
  <c r="U152" i="21" s="1"/>
  <c r="T184" i="21"/>
  <c r="S184" i="21"/>
  <c r="R184" i="21"/>
  <c r="Q184" i="21"/>
  <c r="P184" i="21"/>
  <c r="O184" i="21"/>
  <c r="N184" i="21"/>
  <c r="M184" i="21"/>
  <c r="L184" i="21"/>
  <c r="L152" i="21" s="1"/>
  <c r="K184" i="21"/>
  <c r="J184" i="21"/>
  <c r="J152" i="21" s="1"/>
  <c r="I184" i="21"/>
  <c r="I152" i="21" s="1"/>
  <c r="H184" i="21"/>
  <c r="G184" i="21"/>
  <c r="F184" i="21"/>
  <c r="E184" i="21"/>
  <c r="D184" i="21"/>
  <c r="C184" i="21"/>
  <c r="B184" i="21"/>
  <c r="Z183" i="21"/>
  <c r="Y183" i="21"/>
  <c r="X183" i="21"/>
  <c r="X151" i="21" s="1"/>
  <c r="W183" i="21"/>
  <c r="V183" i="21"/>
  <c r="U183" i="21"/>
  <c r="U151" i="21" s="1"/>
  <c r="T183" i="21"/>
  <c r="T151" i="21" s="1"/>
  <c r="S183" i="21"/>
  <c r="S189" i="21" s="1"/>
  <c r="R183" i="21"/>
  <c r="R151" i="21" s="1"/>
  <c r="Q183" i="21"/>
  <c r="Q151" i="21" s="1"/>
  <c r="P183" i="21"/>
  <c r="O183" i="21"/>
  <c r="N183" i="21"/>
  <c r="N189" i="21" s="1"/>
  <c r="N11" i="21" s="1"/>
  <c r="M183" i="21"/>
  <c r="L183" i="21"/>
  <c r="L151" i="21" s="1"/>
  <c r="K183" i="21"/>
  <c r="K151" i="21" s="1"/>
  <c r="J183" i="21"/>
  <c r="J151" i="21" s="1"/>
  <c r="I183" i="21"/>
  <c r="H183" i="21"/>
  <c r="G183" i="21"/>
  <c r="F183" i="21"/>
  <c r="E183" i="21"/>
  <c r="D183" i="21"/>
  <c r="C183" i="21"/>
  <c r="B183" i="21"/>
  <c r="Z182" i="21"/>
  <c r="Y182" i="21"/>
  <c r="X182" i="21"/>
  <c r="W182" i="21"/>
  <c r="V182" i="21"/>
  <c r="V189" i="21" s="1"/>
  <c r="U182" i="21"/>
  <c r="U150" i="21" s="1"/>
  <c r="T182" i="21"/>
  <c r="T150" i="21" s="1"/>
  <c r="S182" i="21"/>
  <c r="S150" i="21" s="1"/>
  <c r="R182" i="21"/>
  <c r="Q182" i="21"/>
  <c r="P182" i="21"/>
  <c r="O182" i="21"/>
  <c r="N182" i="21"/>
  <c r="M182" i="21"/>
  <c r="L182" i="21"/>
  <c r="K182" i="21"/>
  <c r="J182" i="21"/>
  <c r="I182" i="21"/>
  <c r="H182" i="21"/>
  <c r="G182" i="21"/>
  <c r="F182" i="21"/>
  <c r="E182" i="21"/>
  <c r="D182" i="21"/>
  <c r="C182" i="21"/>
  <c r="B182" i="21"/>
  <c r="Z181" i="21"/>
  <c r="Y181" i="21"/>
  <c r="X181" i="21"/>
  <c r="W181" i="21"/>
  <c r="V181" i="21"/>
  <c r="U181" i="21"/>
  <c r="U149" i="21" s="1"/>
  <c r="T181" i="21"/>
  <c r="S181" i="21"/>
  <c r="R181" i="21"/>
  <c r="Q181" i="21"/>
  <c r="P181" i="21"/>
  <c r="O181" i="21"/>
  <c r="N181" i="21"/>
  <c r="M181" i="21"/>
  <c r="L181" i="21"/>
  <c r="K181" i="21"/>
  <c r="J181" i="21"/>
  <c r="I181" i="21"/>
  <c r="H181" i="21"/>
  <c r="G181" i="21"/>
  <c r="F181" i="21"/>
  <c r="E181" i="21"/>
  <c r="D181" i="21"/>
  <c r="D149" i="21" s="1"/>
  <c r="C181" i="21"/>
  <c r="C149" i="21" s="1"/>
  <c r="B181" i="21"/>
  <c r="Z180" i="21"/>
  <c r="Z148" i="21" s="1"/>
  <c r="Y180" i="21"/>
  <c r="X180" i="21"/>
  <c r="X148" i="21" s="1"/>
  <c r="W180" i="21"/>
  <c r="V180" i="21"/>
  <c r="V148" i="21" s="1"/>
  <c r="U180" i="21"/>
  <c r="U148" i="21" s="1"/>
  <c r="T180" i="21"/>
  <c r="S180" i="21"/>
  <c r="S148" i="21" s="1"/>
  <c r="R180" i="21"/>
  <c r="Q180" i="21"/>
  <c r="P180" i="21"/>
  <c r="O180" i="21"/>
  <c r="N180" i="21"/>
  <c r="M180" i="21"/>
  <c r="L180" i="21"/>
  <c r="K180" i="21"/>
  <c r="K148" i="21" s="1"/>
  <c r="J180" i="21"/>
  <c r="I180" i="21"/>
  <c r="H180" i="21"/>
  <c r="G180" i="21"/>
  <c r="F180" i="21"/>
  <c r="F148" i="21" s="1"/>
  <c r="E180" i="21"/>
  <c r="D180" i="21"/>
  <c r="C180" i="21"/>
  <c r="C148" i="21" s="1"/>
  <c r="B180" i="21"/>
  <c r="B148" i="21" s="1"/>
  <c r="Z179" i="21"/>
  <c r="Z147" i="21" s="1"/>
  <c r="Y179" i="21"/>
  <c r="Y147" i="21" s="1"/>
  <c r="X179" i="21"/>
  <c r="X147" i="21" s="1"/>
  <c r="W179" i="21"/>
  <c r="W147" i="21" s="1"/>
  <c r="V179" i="21"/>
  <c r="V147" i="21" s="1"/>
  <c r="U179" i="21"/>
  <c r="T179" i="21"/>
  <c r="S179" i="21"/>
  <c r="R179" i="21"/>
  <c r="Q179" i="21"/>
  <c r="P179" i="21"/>
  <c r="O179" i="21"/>
  <c r="N179" i="21"/>
  <c r="M179" i="21"/>
  <c r="L179" i="21"/>
  <c r="K179" i="21"/>
  <c r="J179" i="21"/>
  <c r="I179" i="21"/>
  <c r="I147" i="21" s="1"/>
  <c r="H179" i="21"/>
  <c r="G179" i="21"/>
  <c r="F179" i="21"/>
  <c r="E179" i="21"/>
  <c r="D179" i="21"/>
  <c r="C179" i="21"/>
  <c r="B179" i="21"/>
  <c r="Z178" i="21"/>
  <c r="Y178" i="21"/>
  <c r="Y146" i="21" s="1"/>
  <c r="X178" i="21"/>
  <c r="W178" i="21"/>
  <c r="V178" i="21"/>
  <c r="U178" i="21"/>
  <c r="T178" i="21"/>
  <c r="S178" i="21"/>
  <c r="R178" i="21"/>
  <c r="Q178" i="21"/>
  <c r="Q146" i="21" s="1"/>
  <c r="P178" i="21"/>
  <c r="O178" i="21"/>
  <c r="N178" i="21"/>
  <c r="N146" i="21" s="1"/>
  <c r="M178" i="21"/>
  <c r="L178" i="21"/>
  <c r="L146" i="21" s="1"/>
  <c r="K178" i="21"/>
  <c r="J178" i="21"/>
  <c r="J146" i="21" s="1"/>
  <c r="I178" i="21"/>
  <c r="H178" i="21"/>
  <c r="G178" i="21"/>
  <c r="F178" i="21"/>
  <c r="E178" i="21"/>
  <c r="D178" i="21"/>
  <c r="C178" i="21"/>
  <c r="B178" i="21"/>
  <c r="Z177" i="21"/>
  <c r="Y177" i="21"/>
  <c r="X177" i="21"/>
  <c r="W177" i="21"/>
  <c r="V177" i="21"/>
  <c r="U177" i="21"/>
  <c r="T177" i="21"/>
  <c r="S177" i="21"/>
  <c r="R177" i="21"/>
  <c r="Q177" i="21"/>
  <c r="Q189" i="21" s="1"/>
  <c r="Q11" i="21" s="1"/>
  <c r="P177" i="21"/>
  <c r="O177" i="21"/>
  <c r="O189" i="21" s="1"/>
  <c r="O11" i="21" s="1"/>
  <c r="N177" i="21"/>
  <c r="N145" i="21" s="1"/>
  <c r="M177" i="21"/>
  <c r="L177" i="21"/>
  <c r="K177" i="21"/>
  <c r="J177" i="21"/>
  <c r="I177" i="21"/>
  <c r="H177" i="21"/>
  <c r="G177" i="21"/>
  <c r="F177" i="21"/>
  <c r="E177" i="21"/>
  <c r="D177" i="21"/>
  <c r="C177" i="21"/>
  <c r="B177" i="21"/>
  <c r="Z173" i="21"/>
  <c r="Y173" i="21"/>
  <c r="X173" i="21"/>
  <c r="W173" i="21"/>
  <c r="V173" i="21"/>
  <c r="U173" i="21"/>
  <c r="P173" i="21"/>
  <c r="P10" i="21" s="1"/>
  <c r="P172" i="21"/>
  <c r="P156" i="21" s="1"/>
  <c r="O172" i="21"/>
  <c r="N172" i="21"/>
  <c r="N156" i="21" s="1"/>
  <c r="M172" i="21"/>
  <c r="M156" i="21" s="1"/>
  <c r="L172" i="21"/>
  <c r="L156" i="21" s="1"/>
  <c r="K172" i="21"/>
  <c r="J172" i="21"/>
  <c r="I172" i="21"/>
  <c r="H172" i="21"/>
  <c r="G172" i="21"/>
  <c r="G156" i="21" s="1"/>
  <c r="F172" i="21"/>
  <c r="F156" i="21" s="1"/>
  <c r="E172" i="21"/>
  <c r="D172" i="21"/>
  <c r="C172" i="21"/>
  <c r="B172" i="21"/>
  <c r="T171" i="21"/>
  <c r="S171" i="21"/>
  <c r="R171" i="21"/>
  <c r="Q171" i="21"/>
  <c r="Q155" i="21" s="1"/>
  <c r="P171" i="21"/>
  <c r="P155" i="21" s="1"/>
  <c r="O171" i="21"/>
  <c r="N171" i="21"/>
  <c r="M171" i="21"/>
  <c r="L171" i="21"/>
  <c r="K171" i="21"/>
  <c r="J171" i="21"/>
  <c r="I171" i="21"/>
  <c r="I155" i="21" s="1"/>
  <c r="H171" i="21"/>
  <c r="G171" i="21"/>
  <c r="F171" i="21"/>
  <c r="E171" i="21"/>
  <c r="D171" i="21"/>
  <c r="D155" i="21" s="1"/>
  <c r="C171" i="21"/>
  <c r="C155" i="21" s="1"/>
  <c r="B171" i="21"/>
  <c r="T170" i="21"/>
  <c r="S170" i="21"/>
  <c r="R170" i="21"/>
  <c r="Q170" i="21"/>
  <c r="P170" i="21"/>
  <c r="O170" i="21"/>
  <c r="N170" i="21"/>
  <c r="M170" i="21"/>
  <c r="L170" i="21"/>
  <c r="K170" i="21"/>
  <c r="K154" i="21" s="1"/>
  <c r="J170" i="21"/>
  <c r="I170" i="21"/>
  <c r="H170" i="21"/>
  <c r="G170" i="21"/>
  <c r="F170" i="21"/>
  <c r="F154" i="21" s="1"/>
  <c r="E170" i="21"/>
  <c r="D170" i="21"/>
  <c r="C170" i="21"/>
  <c r="B170" i="21"/>
  <c r="B154" i="21" s="1"/>
  <c r="T169" i="21"/>
  <c r="T153" i="21" s="1"/>
  <c r="S169" i="21"/>
  <c r="S153" i="21" s="1"/>
  <c r="R169" i="21"/>
  <c r="Q169" i="21"/>
  <c r="P169" i="21"/>
  <c r="O169" i="21"/>
  <c r="N169" i="21"/>
  <c r="M169" i="21"/>
  <c r="L169" i="21"/>
  <c r="K169" i="21"/>
  <c r="J169" i="21"/>
  <c r="I169" i="21"/>
  <c r="H169" i="21"/>
  <c r="G169" i="21"/>
  <c r="F169" i="21"/>
  <c r="E169" i="21"/>
  <c r="D169" i="21"/>
  <c r="C169" i="21"/>
  <c r="C153" i="21" s="1"/>
  <c r="B169" i="21"/>
  <c r="B153" i="21" s="1"/>
  <c r="T168" i="21"/>
  <c r="T152" i="21" s="1"/>
  <c r="S168" i="21"/>
  <c r="R168" i="21"/>
  <c r="Q168" i="21"/>
  <c r="P168" i="21"/>
  <c r="O168" i="21"/>
  <c r="N168" i="21"/>
  <c r="M168" i="21"/>
  <c r="L168" i="21"/>
  <c r="K168" i="21"/>
  <c r="J168" i="21"/>
  <c r="I168" i="21"/>
  <c r="H168" i="21"/>
  <c r="G168" i="21"/>
  <c r="F168" i="21"/>
  <c r="F152" i="21" s="1"/>
  <c r="E168" i="21"/>
  <c r="D168" i="21"/>
  <c r="D152" i="21" s="1"/>
  <c r="C168" i="21"/>
  <c r="C152" i="21" s="1"/>
  <c r="B168" i="21"/>
  <c r="T167" i="21"/>
  <c r="S167" i="21"/>
  <c r="S151" i="21" s="1"/>
  <c r="R167" i="21"/>
  <c r="Q167" i="21"/>
  <c r="P167" i="21"/>
  <c r="O167" i="21"/>
  <c r="N167" i="21"/>
  <c r="M167" i="21"/>
  <c r="M151" i="21" s="1"/>
  <c r="L167" i="21"/>
  <c r="K167" i="21"/>
  <c r="J167" i="21"/>
  <c r="I167" i="21"/>
  <c r="H167" i="21"/>
  <c r="G167" i="21"/>
  <c r="F167" i="21"/>
  <c r="E167" i="21"/>
  <c r="D167" i="21"/>
  <c r="C167" i="21"/>
  <c r="B167" i="21"/>
  <c r="T166" i="21"/>
  <c r="S166" i="21"/>
  <c r="R166" i="21"/>
  <c r="Q166" i="21"/>
  <c r="P166" i="21"/>
  <c r="P150" i="21" s="1"/>
  <c r="O166" i="21"/>
  <c r="N166" i="21"/>
  <c r="N150" i="21" s="1"/>
  <c r="M166" i="21"/>
  <c r="L166" i="21"/>
  <c r="L150" i="21" s="1"/>
  <c r="K166" i="21"/>
  <c r="J166" i="21"/>
  <c r="J150" i="21" s="1"/>
  <c r="I166" i="21"/>
  <c r="H166" i="21"/>
  <c r="G166" i="21"/>
  <c r="F166" i="21"/>
  <c r="E166" i="21"/>
  <c r="D166" i="21"/>
  <c r="C166" i="21"/>
  <c r="B166" i="21"/>
  <c r="B150" i="21" s="1"/>
  <c r="T165" i="21"/>
  <c r="S165" i="21"/>
  <c r="S149" i="21" s="1"/>
  <c r="R165" i="21"/>
  <c r="R149" i="21" s="1"/>
  <c r="Q165" i="21"/>
  <c r="P165" i="21"/>
  <c r="O165" i="21"/>
  <c r="O149" i="21" s="1"/>
  <c r="N165" i="21"/>
  <c r="M165" i="21"/>
  <c r="L165" i="21"/>
  <c r="L149" i="21" s="1"/>
  <c r="K165" i="21"/>
  <c r="J165" i="21"/>
  <c r="I165" i="21"/>
  <c r="I149" i="21" s="1"/>
  <c r="H165" i="21"/>
  <c r="H149" i="21" s="1"/>
  <c r="G165" i="21"/>
  <c r="G149" i="21" s="1"/>
  <c r="F165" i="21"/>
  <c r="E165" i="21"/>
  <c r="D165" i="21"/>
  <c r="C165" i="21"/>
  <c r="B165" i="21"/>
  <c r="B149" i="21" s="1"/>
  <c r="T164" i="21"/>
  <c r="S164" i="21"/>
  <c r="R164" i="21"/>
  <c r="R148" i="21" s="1"/>
  <c r="Q164" i="21"/>
  <c r="P164" i="21"/>
  <c r="O164" i="21"/>
  <c r="O148" i="21" s="1"/>
  <c r="N164" i="21"/>
  <c r="M164" i="21"/>
  <c r="L164" i="21"/>
  <c r="K164" i="21"/>
  <c r="J164" i="21"/>
  <c r="J173" i="21" s="1"/>
  <c r="J10" i="21" s="1"/>
  <c r="I164" i="21"/>
  <c r="H164" i="21"/>
  <c r="G164" i="21"/>
  <c r="F164" i="21"/>
  <c r="E164" i="21"/>
  <c r="E148" i="21" s="1"/>
  <c r="D164" i="21"/>
  <c r="D148" i="21" s="1"/>
  <c r="C164" i="21"/>
  <c r="B164" i="21"/>
  <c r="T163" i="21"/>
  <c r="S163" i="21"/>
  <c r="R163" i="21"/>
  <c r="R147" i="21" s="1"/>
  <c r="Q163" i="21"/>
  <c r="P163" i="21"/>
  <c r="O163" i="21"/>
  <c r="N163" i="21"/>
  <c r="M163" i="21"/>
  <c r="L163" i="21"/>
  <c r="L147" i="21" s="1"/>
  <c r="K163" i="21"/>
  <c r="J163" i="21"/>
  <c r="I163" i="21"/>
  <c r="H163" i="21"/>
  <c r="G163" i="21"/>
  <c r="G147" i="21" s="1"/>
  <c r="F163" i="21"/>
  <c r="E163" i="21"/>
  <c r="D163" i="21"/>
  <c r="C163" i="21"/>
  <c r="B163" i="21"/>
  <c r="B147" i="21" s="1"/>
  <c r="T162" i="21"/>
  <c r="T146" i="21" s="1"/>
  <c r="S162" i="21"/>
  <c r="R162" i="21"/>
  <c r="Q162" i="21"/>
  <c r="P162" i="21"/>
  <c r="O162" i="21"/>
  <c r="N162" i="21"/>
  <c r="M162" i="21"/>
  <c r="L162" i="21"/>
  <c r="K162" i="21"/>
  <c r="J162" i="21"/>
  <c r="I162" i="21"/>
  <c r="H162" i="21"/>
  <c r="G162" i="21"/>
  <c r="F162" i="21"/>
  <c r="E162" i="21"/>
  <c r="D162" i="21"/>
  <c r="C162" i="21"/>
  <c r="B162" i="21"/>
  <c r="B146" i="21" s="1"/>
  <c r="T161" i="21"/>
  <c r="S161" i="21"/>
  <c r="S145" i="21" s="1"/>
  <c r="R161" i="21"/>
  <c r="Q161" i="21"/>
  <c r="Q145" i="21" s="1"/>
  <c r="P161" i="21"/>
  <c r="O161" i="21"/>
  <c r="N161" i="21"/>
  <c r="M161" i="21"/>
  <c r="L161" i="21"/>
  <c r="L145" i="21" s="1"/>
  <c r="K161" i="21"/>
  <c r="J161" i="21"/>
  <c r="I161" i="21"/>
  <c r="I145" i="21" s="1"/>
  <c r="H161" i="21"/>
  <c r="G161" i="21"/>
  <c r="F161" i="21"/>
  <c r="E161" i="21"/>
  <c r="D161" i="21"/>
  <c r="C161" i="21"/>
  <c r="B161" i="21"/>
  <c r="O156" i="21"/>
  <c r="K156" i="21"/>
  <c r="J156" i="21"/>
  <c r="H156" i="21"/>
  <c r="E156" i="21"/>
  <c r="C156" i="21"/>
  <c r="B156" i="21"/>
  <c r="Z155" i="21"/>
  <c r="U155" i="21"/>
  <c r="S155" i="21"/>
  <c r="R155" i="21"/>
  <c r="O155" i="21"/>
  <c r="N155" i="21"/>
  <c r="M155" i="21"/>
  <c r="K155" i="21"/>
  <c r="J155" i="21"/>
  <c r="X154" i="21"/>
  <c r="V154" i="21"/>
  <c r="U154" i="21"/>
  <c r="T154" i="21"/>
  <c r="S154" i="21"/>
  <c r="R154" i="21"/>
  <c r="Q154" i="21"/>
  <c r="P154" i="21"/>
  <c r="O154" i="21"/>
  <c r="N154" i="21"/>
  <c r="M154" i="21"/>
  <c r="L154" i="21"/>
  <c r="G154" i="21"/>
  <c r="Y153" i="21"/>
  <c r="X153" i="21"/>
  <c r="W153" i="21"/>
  <c r="V153" i="21"/>
  <c r="U153" i="21"/>
  <c r="U157" i="21" s="1"/>
  <c r="Q153" i="21"/>
  <c r="P153" i="21"/>
  <c r="O153" i="21"/>
  <c r="N153" i="21"/>
  <c r="L153" i="21"/>
  <c r="K153" i="21"/>
  <c r="J153" i="21"/>
  <c r="Z152" i="21"/>
  <c r="Y152" i="21"/>
  <c r="X152" i="21"/>
  <c r="W152" i="21"/>
  <c r="V152" i="21"/>
  <c r="S152" i="21"/>
  <c r="R152" i="21"/>
  <c r="O152" i="21"/>
  <c r="N152" i="21"/>
  <c r="M152" i="21"/>
  <c r="H152" i="21"/>
  <c r="E152" i="21"/>
  <c r="B152" i="21"/>
  <c r="Z151" i="21"/>
  <c r="Y151" i="21"/>
  <c r="W151" i="21"/>
  <c r="V151" i="21"/>
  <c r="P151" i="21"/>
  <c r="I151" i="21"/>
  <c r="H151" i="21"/>
  <c r="G151" i="21"/>
  <c r="F151" i="21"/>
  <c r="E151" i="21"/>
  <c r="D151" i="21"/>
  <c r="C151" i="21"/>
  <c r="B151" i="21"/>
  <c r="Z150" i="21"/>
  <c r="Y150" i="21"/>
  <c r="X150" i="21"/>
  <c r="W150" i="21"/>
  <c r="I150" i="21"/>
  <c r="H150" i="21"/>
  <c r="G150" i="21"/>
  <c r="F150" i="21"/>
  <c r="E150" i="21"/>
  <c r="D150" i="21"/>
  <c r="C150" i="21"/>
  <c r="Z149" i="21"/>
  <c r="X149" i="21"/>
  <c r="W149" i="21"/>
  <c r="V149" i="21"/>
  <c r="Q149" i="21"/>
  <c r="N149" i="21"/>
  <c r="K149" i="21"/>
  <c r="J149" i="21"/>
  <c r="F149" i="21"/>
  <c r="E149" i="21"/>
  <c r="Y148" i="21"/>
  <c r="T148" i="21"/>
  <c r="Q148" i="21"/>
  <c r="P148" i="21"/>
  <c r="N148" i="21"/>
  <c r="M148" i="21"/>
  <c r="L148" i="21"/>
  <c r="J148" i="21"/>
  <c r="J36" i="21" s="1"/>
  <c r="I148" i="21"/>
  <c r="H148" i="21"/>
  <c r="G148" i="21"/>
  <c r="U147" i="21"/>
  <c r="T147" i="21"/>
  <c r="S147" i="21"/>
  <c r="Q147" i="21"/>
  <c r="P147" i="21"/>
  <c r="O147" i="21"/>
  <c r="N147" i="21"/>
  <c r="M147" i="21"/>
  <c r="K147" i="21"/>
  <c r="J147" i="21"/>
  <c r="H147" i="21"/>
  <c r="F147" i="21"/>
  <c r="X146" i="21"/>
  <c r="W146" i="21"/>
  <c r="V146" i="21"/>
  <c r="U146" i="21"/>
  <c r="S146" i="21"/>
  <c r="R146" i="21"/>
  <c r="P146" i="21"/>
  <c r="M146" i="21"/>
  <c r="K146" i="21"/>
  <c r="I146" i="21"/>
  <c r="Z145" i="21"/>
  <c r="Y145" i="21"/>
  <c r="X145" i="21"/>
  <c r="W145" i="21"/>
  <c r="V145" i="21"/>
  <c r="U145" i="21"/>
  <c r="T145" i="21"/>
  <c r="O145" i="21"/>
  <c r="D145" i="21"/>
  <c r="B141" i="21"/>
  <c r="B8" i="21" s="1"/>
  <c r="P140" i="21"/>
  <c r="O140" i="21"/>
  <c r="N140" i="21"/>
  <c r="M140" i="21"/>
  <c r="L140" i="21"/>
  <c r="K140" i="21"/>
  <c r="J140" i="21"/>
  <c r="I140" i="21"/>
  <c r="H140" i="21"/>
  <c r="G140" i="21"/>
  <c r="G108" i="21" s="1"/>
  <c r="F140" i="21"/>
  <c r="F108" i="21" s="1"/>
  <c r="E140" i="21"/>
  <c r="D140" i="21"/>
  <c r="C140" i="21"/>
  <c r="B140" i="21"/>
  <c r="P139" i="21"/>
  <c r="P141" i="21" s="1"/>
  <c r="P8" i="21" s="1"/>
  <c r="O139" i="21"/>
  <c r="N139" i="21"/>
  <c r="M139" i="21"/>
  <c r="M107" i="21" s="1"/>
  <c r="L139" i="21"/>
  <c r="K139" i="21"/>
  <c r="J139" i="21"/>
  <c r="J107" i="21" s="1"/>
  <c r="I139" i="21"/>
  <c r="I107" i="21" s="1"/>
  <c r="H139" i="21"/>
  <c r="G139" i="21"/>
  <c r="F139" i="21"/>
  <c r="E139" i="21"/>
  <c r="D139" i="21"/>
  <c r="C139" i="21"/>
  <c r="B139" i="21"/>
  <c r="P138" i="21"/>
  <c r="O138" i="21"/>
  <c r="N138" i="21"/>
  <c r="M138" i="21"/>
  <c r="M106" i="21" s="1"/>
  <c r="L138" i="21"/>
  <c r="L106" i="21" s="1"/>
  <c r="K138" i="21"/>
  <c r="J138" i="21"/>
  <c r="I138" i="21"/>
  <c r="I106" i="21" s="1"/>
  <c r="H138" i="21"/>
  <c r="G138" i="21"/>
  <c r="F138" i="21"/>
  <c r="E138" i="21"/>
  <c r="D138" i="21"/>
  <c r="C138" i="21"/>
  <c r="B138" i="21"/>
  <c r="P137" i="21"/>
  <c r="P105" i="21" s="1"/>
  <c r="O137" i="21"/>
  <c r="O105" i="21" s="1"/>
  <c r="N137" i="21"/>
  <c r="M137" i="21"/>
  <c r="L137" i="21"/>
  <c r="L105" i="21" s="1"/>
  <c r="K137" i="21"/>
  <c r="J137" i="21"/>
  <c r="I137" i="21"/>
  <c r="H137" i="21"/>
  <c r="G137" i="21"/>
  <c r="F137" i="21"/>
  <c r="F105" i="21" s="1"/>
  <c r="E137" i="21"/>
  <c r="E105" i="21" s="1"/>
  <c r="D137" i="21"/>
  <c r="C137" i="21"/>
  <c r="B137" i="21"/>
  <c r="P136" i="21"/>
  <c r="O136" i="21"/>
  <c r="N136" i="21"/>
  <c r="M136" i="21"/>
  <c r="L136" i="21"/>
  <c r="K136" i="21"/>
  <c r="J136" i="21"/>
  <c r="I136" i="21"/>
  <c r="I104" i="21" s="1"/>
  <c r="H136" i="21"/>
  <c r="G136" i="21"/>
  <c r="F136" i="21"/>
  <c r="E136" i="21"/>
  <c r="D136" i="21"/>
  <c r="C136" i="21"/>
  <c r="B136" i="21"/>
  <c r="P135" i="21"/>
  <c r="O135" i="21"/>
  <c r="N135" i="21"/>
  <c r="M135" i="21"/>
  <c r="L135" i="21"/>
  <c r="K135" i="21"/>
  <c r="J135" i="21"/>
  <c r="I135" i="21"/>
  <c r="H135" i="21"/>
  <c r="G135" i="21"/>
  <c r="F135" i="21"/>
  <c r="F103" i="21" s="1"/>
  <c r="E135" i="21"/>
  <c r="D135" i="21"/>
  <c r="C135" i="21"/>
  <c r="B135" i="21"/>
  <c r="P134" i="21"/>
  <c r="O134" i="21"/>
  <c r="N134" i="21"/>
  <c r="M134" i="21"/>
  <c r="L134" i="21"/>
  <c r="K134" i="21"/>
  <c r="J134" i="21"/>
  <c r="I134" i="21"/>
  <c r="H134" i="21"/>
  <c r="G134" i="21"/>
  <c r="F134" i="21"/>
  <c r="F102" i="21" s="1"/>
  <c r="E134" i="21"/>
  <c r="D134" i="21"/>
  <c r="C134" i="21"/>
  <c r="C102" i="21" s="1"/>
  <c r="B134" i="21"/>
  <c r="B102" i="21" s="1"/>
  <c r="P133" i="21"/>
  <c r="O133" i="21"/>
  <c r="N133" i="21"/>
  <c r="M133" i="21"/>
  <c r="L133" i="21"/>
  <c r="K133" i="21"/>
  <c r="J133" i="21"/>
  <c r="I133" i="21"/>
  <c r="H133" i="21"/>
  <c r="G133" i="21"/>
  <c r="F133" i="21"/>
  <c r="F101" i="21" s="1"/>
  <c r="E133" i="21"/>
  <c r="E101" i="21" s="1"/>
  <c r="D133" i="21"/>
  <c r="C133" i="21"/>
  <c r="B133" i="21"/>
  <c r="P132" i="21"/>
  <c r="O132" i="21"/>
  <c r="N132" i="21"/>
  <c r="M132" i="21"/>
  <c r="L132" i="21"/>
  <c r="K132" i="21"/>
  <c r="J132" i="21"/>
  <c r="I132" i="21"/>
  <c r="I100" i="21" s="1"/>
  <c r="H132" i="21"/>
  <c r="H100" i="21" s="1"/>
  <c r="G132" i="21"/>
  <c r="F132" i="21"/>
  <c r="E132" i="21"/>
  <c r="E100" i="21" s="1"/>
  <c r="D132" i="21"/>
  <c r="C132" i="21"/>
  <c r="B132" i="21"/>
  <c r="Q131" i="21"/>
  <c r="P131" i="21"/>
  <c r="O131" i="21"/>
  <c r="N131" i="21"/>
  <c r="M131" i="21"/>
  <c r="L131" i="21"/>
  <c r="L99" i="21" s="1"/>
  <c r="K131" i="21"/>
  <c r="K99" i="21" s="1"/>
  <c r="J131" i="21"/>
  <c r="I131" i="21"/>
  <c r="H131" i="21"/>
  <c r="H99" i="21" s="1"/>
  <c r="G131" i="21"/>
  <c r="F131" i="21"/>
  <c r="E131" i="21"/>
  <c r="D131" i="21"/>
  <c r="C131" i="21"/>
  <c r="B131" i="21"/>
  <c r="Q130" i="21"/>
  <c r="P130" i="21"/>
  <c r="O130" i="21"/>
  <c r="O98" i="21" s="1"/>
  <c r="N130" i="21"/>
  <c r="N98" i="21" s="1"/>
  <c r="M130" i="21"/>
  <c r="L130" i="21"/>
  <c r="K130" i="21"/>
  <c r="K98" i="21" s="1"/>
  <c r="J130" i="21"/>
  <c r="I130" i="21"/>
  <c r="H130" i="21"/>
  <c r="G130" i="21"/>
  <c r="F130" i="21"/>
  <c r="E130" i="21"/>
  <c r="E98" i="21" s="1"/>
  <c r="D130" i="21"/>
  <c r="C130" i="21"/>
  <c r="B130" i="21"/>
  <c r="Q129" i="21"/>
  <c r="Q97" i="21" s="1"/>
  <c r="P129" i="21"/>
  <c r="O129" i="21"/>
  <c r="N129" i="21"/>
  <c r="M129" i="21"/>
  <c r="L129" i="21"/>
  <c r="K129" i="21"/>
  <c r="J129" i="21"/>
  <c r="J141" i="21" s="1"/>
  <c r="J8" i="21" s="1"/>
  <c r="I129" i="21"/>
  <c r="H129" i="21"/>
  <c r="G129" i="21"/>
  <c r="F129" i="21"/>
  <c r="E129" i="21"/>
  <c r="D129" i="21"/>
  <c r="C129" i="21"/>
  <c r="B129" i="21"/>
  <c r="P124" i="21"/>
  <c r="P108" i="21" s="1"/>
  <c r="O124" i="21"/>
  <c r="O108" i="21" s="1"/>
  <c r="N124" i="21"/>
  <c r="N108" i="21" s="1"/>
  <c r="M124" i="21"/>
  <c r="L124" i="21"/>
  <c r="K124" i="21"/>
  <c r="J124" i="21"/>
  <c r="I124" i="21"/>
  <c r="H124" i="21"/>
  <c r="G124" i="21"/>
  <c r="F124" i="21"/>
  <c r="E124" i="21"/>
  <c r="E108" i="21" s="1"/>
  <c r="D124" i="21"/>
  <c r="C124" i="21"/>
  <c r="B124" i="21"/>
  <c r="B108" i="21" s="1"/>
  <c r="P123" i="21"/>
  <c r="O123" i="21"/>
  <c r="N123" i="21"/>
  <c r="M123" i="21"/>
  <c r="L123" i="21"/>
  <c r="K123" i="21"/>
  <c r="J123" i="21"/>
  <c r="I123" i="21"/>
  <c r="H123" i="21"/>
  <c r="G123" i="21"/>
  <c r="G107" i="21" s="1"/>
  <c r="F123" i="21"/>
  <c r="E123" i="21"/>
  <c r="E107" i="21" s="1"/>
  <c r="D123" i="21"/>
  <c r="D107" i="21" s="1"/>
  <c r="C123" i="21"/>
  <c r="C107" i="21" s="1"/>
  <c r="B123" i="21"/>
  <c r="B107" i="21" s="1"/>
  <c r="P122" i="21"/>
  <c r="O122" i="21"/>
  <c r="N122" i="21"/>
  <c r="M122" i="21"/>
  <c r="L122" i="21"/>
  <c r="K122" i="21"/>
  <c r="J122" i="21"/>
  <c r="I122" i="21"/>
  <c r="H122" i="21"/>
  <c r="G122" i="21"/>
  <c r="F122" i="21"/>
  <c r="E122" i="21"/>
  <c r="E106" i="21" s="1"/>
  <c r="D122" i="21"/>
  <c r="D106" i="21" s="1"/>
  <c r="C122" i="21"/>
  <c r="C106" i="21" s="1"/>
  <c r="B122" i="21"/>
  <c r="B106" i="21" s="1"/>
  <c r="P121" i="21"/>
  <c r="O121" i="21"/>
  <c r="N121" i="21"/>
  <c r="M121" i="21"/>
  <c r="L121" i="21"/>
  <c r="K121" i="21"/>
  <c r="J121" i="21"/>
  <c r="J105" i="21" s="1"/>
  <c r="I121" i="21"/>
  <c r="H121" i="21"/>
  <c r="G121" i="21"/>
  <c r="F121" i="21"/>
  <c r="E121" i="21"/>
  <c r="D121" i="21"/>
  <c r="D105" i="21" s="1"/>
  <c r="C121" i="21"/>
  <c r="C105" i="21" s="1"/>
  <c r="C41" i="21" s="1"/>
  <c r="B121" i="21"/>
  <c r="P120" i="21"/>
  <c r="P104" i="21" s="1"/>
  <c r="O120" i="21"/>
  <c r="N120" i="21"/>
  <c r="N104" i="21" s="1"/>
  <c r="M120" i="21"/>
  <c r="M104" i="21" s="1"/>
  <c r="L120" i="21"/>
  <c r="L104" i="21" s="1"/>
  <c r="L40" i="21" s="1"/>
  <c r="K120" i="21"/>
  <c r="J120" i="21"/>
  <c r="I120" i="21"/>
  <c r="H120" i="21"/>
  <c r="G120" i="21"/>
  <c r="G104" i="21" s="1"/>
  <c r="F120" i="21"/>
  <c r="E120" i="21"/>
  <c r="D120" i="21"/>
  <c r="C120" i="21"/>
  <c r="B120" i="21"/>
  <c r="P119" i="21"/>
  <c r="P103" i="21" s="1"/>
  <c r="O119" i="21"/>
  <c r="N119" i="21"/>
  <c r="N103" i="21" s="1"/>
  <c r="M119" i="21"/>
  <c r="M103" i="21" s="1"/>
  <c r="L119" i="21"/>
  <c r="K119" i="21"/>
  <c r="K103" i="21" s="1"/>
  <c r="J119" i="21"/>
  <c r="J103" i="21" s="1"/>
  <c r="I119" i="21"/>
  <c r="I103" i="21" s="1"/>
  <c r="H119" i="21"/>
  <c r="H103" i="21" s="1"/>
  <c r="G119" i="21"/>
  <c r="F119" i="21"/>
  <c r="E119" i="21"/>
  <c r="D119" i="21"/>
  <c r="C119" i="21"/>
  <c r="B119" i="21"/>
  <c r="P118" i="21"/>
  <c r="P102" i="21" s="1"/>
  <c r="O118" i="21"/>
  <c r="N118" i="21"/>
  <c r="N102" i="21" s="1"/>
  <c r="M118" i="21"/>
  <c r="L118" i="21"/>
  <c r="L102" i="21" s="1"/>
  <c r="L38" i="21" s="1"/>
  <c r="K118" i="21"/>
  <c r="K125" i="21" s="1"/>
  <c r="K7" i="21" s="1"/>
  <c r="J118" i="21"/>
  <c r="I118" i="21"/>
  <c r="H118" i="21"/>
  <c r="G118" i="21"/>
  <c r="F118" i="21"/>
  <c r="E118" i="21"/>
  <c r="D118" i="21"/>
  <c r="C118" i="21"/>
  <c r="B118" i="21"/>
  <c r="P117" i="21"/>
  <c r="P101" i="21" s="1"/>
  <c r="O117" i="21"/>
  <c r="N117" i="21"/>
  <c r="M117" i="21"/>
  <c r="L117" i="21"/>
  <c r="K117" i="21"/>
  <c r="J117" i="21"/>
  <c r="I117" i="21"/>
  <c r="H117" i="21"/>
  <c r="G117" i="21"/>
  <c r="F117" i="21"/>
  <c r="E117" i="21"/>
  <c r="D117" i="21"/>
  <c r="C117" i="21"/>
  <c r="C101" i="21" s="1"/>
  <c r="B117" i="21"/>
  <c r="P116" i="21"/>
  <c r="P100" i="21" s="1"/>
  <c r="O116" i="21"/>
  <c r="N116" i="21"/>
  <c r="M116" i="21"/>
  <c r="L116" i="21"/>
  <c r="K116" i="21"/>
  <c r="J116" i="21"/>
  <c r="I116" i="21"/>
  <c r="H116" i="21"/>
  <c r="G116" i="21"/>
  <c r="F116" i="21"/>
  <c r="F100" i="21" s="1"/>
  <c r="E116" i="21"/>
  <c r="D116" i="21"/>
  <c r="C116" i="21"/>
  <c r="B116" i="21"/>
  <c r="Q115" i="21"/>
  <c r="P115" i="21"/>
  <c r="O115" i="21"/>
  <c r="N115" i="21"/>
  <c r="M115" i="21"/>
  <c r="L115" i="21"/>
  <c r="K115" i="21"/>
  <c r="J115" i="21"/>
  <c r="I115" i="21"/>
  <c r="I99" i="21" s="1"/>
  <c r="H115" i="21"/>
  <c r="G115" i="21"/>
  <c r="F115" i="21"/>
  <c r="E115" i="21"/>
  <c r="E99" i="21" s="1"/>
  <c r="D115" i="21"/>
  <c r="D99" i="21" s="1"/>
  <c r="C115" i="21"/>
  <c r="C99" i="21" s="1"/>
  <c r="B115" i="21"/>
  <c r="Q114" i="21"/>
  <c r="P114" i="21"/>
  <c r="O114" i="21"/>
  <c r="N114" i="21"/>
  <c r="M114" i="21"/>
  <c r="L114" i="21"/>
  <c r="K114" i="21"/>
  <c r="J114" i="21"/>
  <c r="I114" i="21"/>
  <c r="H114" i="21"/>
  <c r="G114" i="21"/>
  <c r="F114" i="21"/>
  <c r="E114" i="21"/>
  <c r="D114" i="21"/>
  <c r="D98" i="21" s="1"/>
  <c r="C114" i="21"/>
  <c r="C98" i="21" s="1"/>
  <c r="B114" i="21"/>
  <c r="B98" i="21" s="1"/>
  <c r="Q113" i="21"/>
  <c r="P113" i="21"/>
  <c r="O113" i="21"/>
  <c r="O97" i="21" s="1"/>
  <c r="N113" i="21"/>
  <c r="M113" i="21"/>
  <c r="L113" i="21"/>
  <c r="L97" i="21" s="1"/>
  <c r="K113" i="21"/>
  <c r="J113" i="21"/>
  <c r="I113" i="21"/>
  <c r="H113" i="21"/>
  <c r="G113" i="21"/>
  <c r="F113" i="21"/>
  <c r="E113" i="21"/>
  <c r="D113" i="21"/>
  <c r="C113" i="21"/>
  <c r="B113" i="21"/>
  <c r="M108" i="21"/>
  <c r="L108" i="21"/>
  <c r="K108" i="21"/>
  <c r="K44" i="21" s="1"/>
  <c r="J108" i="21"/>
  <c r="I108" i="21"/>
  <c r="H108" i="21"/>
  <c r="H44" i="21" s="1"/>
  <c r="C108" i="21"/>
  <c r="O107" i="21"/>
  <c r="N107" i="21"/>
  <c r="L107" i="21"/>
  <c r="K107" i="21"/>
  <c r="F107" i="21"/>
  <c r="P106" i="21"/>
  <c r="O106" i="21"/>
  <c r="N106" i="21"/>
  <c r="I105" i="21"/>
  <c r="B105" i="21"/>
  <c r="H104" i="21"/>
  <c r="F104" i="21"/>
  <c r="E104" i="21"/>
  <c r="D104" i="21"/>
  <c r="C104" i="21"/>
  <c r="C40" i="21" s="1"/>
  <c r="B104" i="21"/>
  <c r="G103" i="21"/>
  <c r="E103" i="21"/>
  <c r="D103" i="21"/>
  <c r="C103" i="21"/>
  <c r="B103" i="21"/>
  <c r="O102" i="21"/>
  <c r="M102" i="21"/>
  <c r="K102" i="21"/>
  <c r="I102" i="21"/>
  <c r="H102" i="21"/>
  <c r="G102" i="21"/>
  <c r="E102" i="21"/>
  <c r="D102" i="21"/>
  <c r="O101" i="21"/>
  <c r="N101" i="21"/>
  <c r="M101" i="21"/>
  <c r="L101" i="21"/>
  <c r="K101" i="21"/>
  <c r="J101" i="21"/>
  <c r="J37" i="21" s="1"/>
  <c r="I101" i="21"/>
  <c r="H101" i="21"/>
  <c r="G101" i="21"/>
  <c r="B101" i="21"/>
  <c r="N100" i="21"/>
  <c r="M100" i="21"/>
  <c r="M36" i="21" s="1"/>
  <c r="L100" i="21"/>
  <c r="K100" i="21"/>
  <c r="J100" i="21"/>
  <c r="B100" i="21"/>
  <c r="Q99" i="21"/>
  <c r="P99" i="21"/>
  <c r="O99" i="21"/>
  <c r="N99" i="21"/>
  <c r="M99" i="21"/>
  <c r="B99" i="21"/>
  <c r="Q98" i="21"/>
  <c r="P98" i="21"/>
  <c r="H98" i="21"/>
  <c r="N97" i="21"/>
  <c r="K97" i="21"/>
  <c r="H97" i="21"/>
  <c r="G97" i="21"/>
  <c r="F97" i="21"/>
  <c r="E97" i="21"/>
  <c r="D97" i="21"/>
  <c r="C97" i="21"/>
  <c r="B97" i="21"/>
  <c r="V93" i="21"/>
  <c r="V5" i="21" s="1"/>
  <c r="B93" i="21"/>
  <c r="B5" i="21" s="1"/>
  <c r="Z92" i="21"/>
  <c r="Y92" i="21"/>
  <c r="X92" i="21"/>
  <c r="W92" i="21"/>
  <c r="V92" i="21"/>
  <c r="U92" i="21"/>
  <c r="T92" i="21"/>
  <c r="S92" i="21"/>
  <c r="R92" i="21"/>
  <c r="Q92" i="21"/>
  <c r="P92" i="21"/>
  <c r="O92" i="21"/>
  <c r="N92" i="21"/>
  <c r="N60" i="21" s="1"/>
  <c r="M92" i="21"/>
  <c r="M60" i="21" s="1"/>
  <c r="L92" i="21"/>
  <c r="K92" i="21"/>
  <c r="K60" i="21" s="1"/>
  <c r="J92" i="21"/>
  <c r="I92" i="21"/>
  <c r="H92" i="21"/>
  <c r="G92" i="21"/>
  <c r="F92" i="21"/>
  <c r="E92" i="21"/>
  <c r="D92" i="21"/>
  <c r="C92" i="21"/>
  <c r="B92" i="21"/>
  <c r="Z91" i="21"/>
  <c r="Y91" i="21"/>
  <c r="X91" i="21"/>
  <c r="W91" i="21"/>
  <c r="V91" i="21"/>
  <c r="U91" i="21"/>
  <c r="T91" i="21"/>
  <c r="S91" i="21"/>
  <c r="R91" i="21"/>
  <c r="Q91" i="21"/>
  <c r="P91" i="21"/>
  <c r="P59" i="21" s="1"/>
  <c r="O91" i="21"/>
  <c r="N91" i="21"/>
  <c r="N59" i="21" s="1"/>
  <c r="M91" i="21"/>
  <c r="M59" i="21" s="1"/>
  <c r="L91" i="21"/>
  <c r="K91" i="21"/>
  <c r="J91" i="21"/>
  <c r="I91" i="21"/>
  <c r="H91" i="21"/>
  <c r="G91" i="21"/>
  <c r="G59" i="21" s="1"/>
  <c r="F91" i="21"/>
  <c r="F59" i="21" s="1"/>
  <c r="F43" i="21" s="1"/>
  <c r="E91" i="21"/>
  <c r="D91" i="21"/>
  <c r="C91" i="21"/>
  <c r="B91"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Z89" i="21"/>
  <c r="Y89" i="21"/>
  <c r="X89" i="21"/>
  <c r="W89" i="21"/>
  <c r="V89" i="21"/>
  <c r="U89" i="21"/>
  <c r="T89" i="21"/>
  <c r="S89" i="21"/>
  <c r="R89" i="21"/>
  <c r="Q89" i="21"/>
  <c r="P89" i="21"/>
  <c r="O89" i="21"/>
  <c r="N89" i="21"/>
  <c r="M89" i="21"/>
  <c r="M57" i="21" s="1"/>
  <c r="L89" i="21"/>
  <c r="K89" i="21"/>
  <c r="J89" i="21"/>
  <c r="I89" i="21"/>
  <c r="H89" i="21"/>
  <c r="G89" i="21"/>
  <c r="F89" i="21"/>
  <c r="E89" i="21"/>
  <c r="D89" i="21"/>
  <c r="D57" i="21" s="1"/>
  <c r="C89" i="21"/>
  <c r="B89" i="21"/>
  <c r="Z88" i="21"/>
  <c r="Y88" i="21"/>
  <c r="X88" i="21"/>
  <c r="W88" i="21"/>
  <c r="V88" i="21"/>
  <c r="U88" i="21"/>
  <c r="T88" i="21"/>
  <c r="S88" i="21"/>
  <c r="R88" i="21"/>
  <c r="Q88" i="21"/>
  <c r="P88" i="21"/>
  <c r="P56" i="21" s="1"/>
  <c r="O88" i="21"/>
  <c r="N88" i="21"/>
  <c r="M88" i="21"/>
  <c r="L88" i="21"/>
  <c r="K88" i="21"/>
  <c r="J88" i="21"/>
  <c r="I88" i="21"/>
  <c r="H88" i="21"/>
  <c r="G88" i="21"/>
  <c r="F88" i="21"/>
  <c r="E88" i="21"/>
  <c r="D88" i="21"/>
  <c r="D56" i="21" s="1"/>
  <c r="C88" i="21"/>
  <c r="C56" i="21" s="1"/>
  <c r="B88" i="21"/>
  <c r="Z87" i="21"/>
  <c r="Y87" i="21"/>
  <c r="X87" i="21"/>
  <c r="W87" i="21"/>
  <c r="V87" i="21"/>
  <c r="U87" i="21"/>
  <c r="T87" i="21"/>
  <c r="S87" i="21"/>
  <c r="R87" i="21"/>
  <c r="Q87" i="21"/>
  <c r="P87" i="21"/>
  <c r="O87" i="21"/>
  <c r="N87" i="21"/>
  <c r="M87" i="21"/>
  <c r="M55" i="21" s="1"/>
  <c r="L87" i="21"/>
  <c r="K87" i="21"/>
  <c r="J87" i="21"/>
  <c r="J55" i="21" s="1"/>
  <c r="I87" i="21"/>
  <c r="H87" i="21"/>
  <c r="G87" i="21"/>
  <c r="G55" i="21" s="1"/>
  <c r="F87" i="21"/>
  <c r="F55" i="21" s="1"/>
  <c r="E87" i="21"/>
  <c r="D87" i="21"/>
  <c r="D55" i="21" s="1"/>
  <c r="C87" i="21"/>
  <c r="C55" i="21" s="1"/>
  <c r="B87" i="21"/>
  <c r="Z86" i="21"/>
  <c r="Y86" i="21"/>
  <c r="X86" i="21"/>
  <c r="W86" i="21"/>
  <c r="V86" i="21"/>
  <c r="U86" i="21"/>
  <c r="T86" i="21"/>
  <c r="S86" i="21"/>
  <c r="R86" i="21"/>
  <c r="Q86" i="21"/>
  <c r="P86" i="21"/>
  <c r="O86" i="21"/>
  <c r="N86" i="21"/>
  <c r="M86" i="21"/>
  <c r="M54" i="21" s="1"/>
  <c r="L86" i="21"/>
  <c r="K86" i="21"/>
  <c r="J86" i="21"/>
  <c r="J54" i="21" s="1"/>
  <c r="I86" i="21"/>
  <c r="I54" i="21" s="1"/>
  <c r="H86" i="21"/>
  <c r="G86" i="21"/>
  <c r="G54" i="21" s="1"/>
  <c r="F86" i="21"/>
  <c r="F54" i="21" s="1"/>
  <c r="E86" i="21"/>
  <c r="D86" i="21"/>
  <c r="C86" i="21"/>
  <c r="B86" i="21"/>
  <c r="Z85" i="21"/>
  <c r="Z93" i="21" s="1"/>
  <c r="Z5" i="21" s="1"/>
  <c r="Y85" i="21"/>
  <c r="X85" i="21"/>
  <c r="X93" i="21" s="1"/>
  <c r="W85" i="21"/>
  <c r="V85" i="21"/>
  <c r="U85" i="21"/>
  <c r="T85" i="21"/>
  <c r="S85" i="21"/>
  <c r="R85" i="21"/>
  <c r="Q85" i="21"/>
  <c r="P85" i="21"/>
  <c r="P53" i="21" s="1"/>
  <c r="O85" i="21"/>
  <c r="N85" i="21"/>
  <c r="M85" i="21"/>
  <c r="M53" i="21" s="1"/>
  <c r="L85" i="21"/>
  <c r="L53" i="21" s="1"/>
  <c r="K85" i="21"/>
  <c r="J85" i="21"/>
  <c r="J53" i="21" s="1"/>
  <c r="I85" i="21"/>
  <c r="H85" i="21"/>
  <c r="G85" i="21"/>
  <c r="F85" i="21"/>
  <c r="E85" i="21"/>
  <c r="D85" i="21"/>
  <c r="D93" i="21" s="1"/>
  <c r="D5" i="21" s="1"/>
  <c r="C85" i="21"/>
  <c r="C53" i="21" s="1"/>
  <c r="C37" i="21" s="1"/>
  <c r="B85" i="21"/>
  <c r="B53" i="21" s="1"/>
  <c r="B37" i="21" s="1"/>
  <c r="Z84" i="21"/>
  <c r="Y84" i="21"/>
  <c r="X84" i="21"/>
  <c r="W84" i="21"/>
  <c r="V84" i="21"/>
  <c r="U84" i="21"/>
  <c r="T84" i="21"/>
  <c r="S84" i="21"/>
  <c r="R84" i="21"/>
  <c r="Q84" i="21"/>
  <c r="P84" i="21"/>
  <c r="P52" i="21" s="1"/>
  <c r="O84" i="21"/>
  <c r="O52" i="21" s="1"/>
  <c r="N84" i="21"/>
  <c r="M84" i="21"/>
  <c r="M52" i="21" s="1"/>
  <c r="L84" i="21"/>
  <c r="K84" i="21"/>
  <c r="J84" i="21"/>
  <c r="I84" i="21"/>
  <c r="H84" i="21"/>
  <c r="G84" i="21"/>
  <c r="G93" i="21" s="1"/>
  <c r="G5" i="21" s="1"/>
  <c r="F84" i="21"/>
  <c r="E84" i="21"/>
  <c r="D84" i="21"/>
  <c r="C84" i="21"/>
  <c r="B84" i="21"/>
  <c r="Z83" i="21"/>
  <c r="Y83" i="21"/>
  <c r="X83" i="21"/>
  <c r="W83" i="21"/>
  <c r="V83" i="21"/>
  <c r="U83" i="21"/>
  <c r="T83" i="21"/>
  <c r="S83" i="21"/>
  <c r="R83" i="21"/>
  <c r="Q83" i="21"/>
  <c r="P83" i="21"/>
  <c r="P51" i="21" s="1"/>
  <c r="O83" i="21"/>
  <c r="O51" i="21" s="1"/>
  <c r="N83" i="21"/>
  <c r="M83" i="21"/>
  <c r="L83" i="21"/>
  <c r="L51" i="21" s="1"/>
  <c r="L35" i="21" s="1"/>
  <c r="K83" i="21"/>
  <c r="J83" i="21"/>
  <c r="I83" i="21"/>
  <c r="H83" i="21"/>
  <c r="G83" i="21"/>
  <c r="F83" i="21"/>
  <c r="E83" i="21"/>
  <c r="D83" i="21"/>
  <c r="C83" i="21"/>
  <c r="B83" i="21"/>
  <c r="Z82" i="21"/>
  <c r="Y82" i="21"/>
  <c r="X82" i="21"/>
  <c r="W82" i="21"/>
  <c r="V82" i="21"/>
  <c r="U82" i="21"/>
  <c r="T82" i="21"/>
  <c r="S82" i="21"/>
  <c r="R82" i="21"/>
  <c r="Q82" i="21"/>
  <c r="P82" i="21"/>
  <c r="O82" i="21"/>
  <c r="N82" i="21"/>
  <c r="M82" i="21"/>
  <c r="M50" i="21" s="1"/>
  <c r="L82" i="21"/>
  <c r="K82" i="21"/>
  <c r="J82" i="21"/>
  <c r="I82" i="21"/>
  <c r="H82" i="21"/>
  <c r="G82" i="21"/>
  <c r="F82" i="21"/>
  <c r="E82" i="21"/>
  <c r="D82" i="21"/>
  <c r="C82" i="21"/>
  <c r="B82" i="21"/>
  <c r="Z81" i="21"/>
  <c r="Y81" i="21"/>
  <c r="X81" i="21"/>
  <c r="W81" i="21"/>
  <c r="W93" i="21" s="1"/>
  <c r="W5" i="21" s="1"/>
  <c r="V81" i="21"/>
  <c r="U81" i="21"/>
  <c r="T81" i="21"/>
  <c r="S81" i="21"/>
  <c r="R81" i="21"/>
  <c r="Q81" i="21"/>
  <c r="P81" i="21"/>
  <c r="O81" i="21"/>
  <c r="O93" i="21" s="1"/>
  <c r="O5" i="21" s="1"/>
  <c r="N81" i="21"/>
  <c r="M81" i="21"/>
  <c r="L81" i="21"/>
  <c r="K81" i="21"/>
  <c r="J81" i="21"/>
  <c r="I81" i="21"/>
  <c r="H81" i="21"/>
  <c r="G81" i="21"/>
  <c r="F81" i="21"/>
  <c r="E81" i="21"/>
  <c r="D81" i="21"/>
  <c r="C81" i="21"/>
  <c r="B81" i="21"/>
  <c r="I77" i="21"/>
  <c r="I4" i="21" s="1"/>
  <c r="D77" i="21"/>
  <c r="D4" i="21" s="1"/>
  <c r="B77" i="21"/>
  <c r="B4" i="21" s="1"/>
  <c r="P76" i="21"/>
  <c r="O76" i="21"/>
  <c r="N76" i="21"/>
  <c r="M76" i="21"/>
  <c r="L76" i="21"/>
  <c r="K76" i="21"/>
  <c r="J76" i="21"/>
  <c r="I76" i="21"/>
  <c r="I60" i="21" s="1"/>
  <c r="H76" i="21"/>
  <c r="H60" i="21" s="1"/>
  <c r="G76" i="21"/>
  <c r="F76" i="21"/>
  <c r="F60" i="21" s="1"/>
  <c r="E76" i="21"/>
  <c r="D76" i="21"/>
  <c r="C76" i="21"/>
  <c r="B76" i="21"/>
  <c r="P75" i="21"/>
  <c r="O75" i="21"/>
  <c r="N75" i="21"/>
  <c r="M75" i="21"/>
  <c r="L75" i="21"/>
  <c r="K75" i="21"/>
  <c r="K59" i="21" s="1"/>
  <c r="K43" i="21" s="1"/>
  <c r="J75" i="21"/>
  <c r="J59" i="21" s="1"/>
  <c r="I75" i="21"/>
  <c r="I59" i="21" s="1"/>
  <c r="H75" i="21"/>
  <c r="G75" i="21"/>
  <c r="F75" i="21"/>
  <c r="E75" i="21"/>
  <c r="E59" i="21" s="1"/>
  <c r="D75" i="21"/>
  <c r="C75" i="21"/>
  <c r="B75" i="21"/>
  <c r="P74" i="21"/>
  <c r="O74" i="21"/>
  <c r="N74" i="21"/>
  <c r="M74" i="21"/>
  <c r="L74" i="21"/>
  <c r="L58" i="21" s="1"/>
  <c r="L42" i="21" s="1"/>
  <c r="K74" i="21"/>
  <c r="J74" i="21"/>
  <c r="I74" i="21"/>
  <c r="H74" i="21"/>
  <c r="H58" i="21" s="1"/>
  <c r="G74" i="21"/>
  <c r="G58" i="21" s="1"/>
  <c r="F74" i="21"/>
  <c r="F58" i="21" s="1"/>
  <c r="E74" i="21"/>
  <c r="E58" i="21" s="1"/>
  <c r="D74" i="21"/>
  <c r="C74" i="21"/>
  <c r="B74" i="21"/>
  <c r="P73" i="21"/>
  <c r="P57" i="21" s="1"/>
  <c r="O73" i="21"/>
  <c r="O57" i="21" s="1"/>
  <c r="N73" i="21"/>
  <c r="M73" i="21"/>
  <c r="L73" i="21"/>
  <c r="K73" i="21"/>
  <c r="J73" i="21"/>
  <c r="I73" i="21"/>
  <c r="I57" i="21" s="1"/>
  <c r="H73" i="21"/>
  <c r="G73" i="21"/>
  <c r="G57" i="21" s="1"/>
  <c r="F73" i="21"/>
  <c r="E73" i="21"/>
  <c r="D73" i="21"/>
  <c r="C73" i="21"/>
  <c r="B73" i="21"/>
  <c r="B57" i="21" s="1"/>
  <c r="P72" i="21"/>
  <c r="O72" i="21"/>
  <c r="N72" i="21"/>
  <c r="M72" i="21"/>
  <c r="L72" i="21"/>
  <c r="K72" i="21"/>
  <c r="J72" i="21"/>
  <c r="I72" i="21"/>
  <c r="H72" i="21"/>
  <c r="G72" i="21"/>
  <c r="F72" i="21"/>
  <c r="E72" i="21"/>
  <c r="E56" i="21" s="1"/>
  <c r="D72" i="21"/>
  <c r="C72" i="21"/>
  <c r="B72" i="21"/>
  <c r="B56" i="21" s="1"/>
  <c r="B40" i="21" s="1"/>
  <c r="P71" i="21"/>
  <c r="O71" i="21"/>
  <c r="O55" i="21" s="1"/>
  <c r="N71" i="21"/>
  <c r="N55" i="21" s="1"/>
  <c r="M71" i="21"/>
  <c r="L71" i="21"/>
  <c r="K71" i="21"/>
  <c r="J71" i="21"/>
  <c r="I71" i="21"/>
  <c r="H71" i="21"/>
  <c r="G71" i="21"/>
  <c r="F71" i="21"/>
  <c r="E71" i="21"/>
  <c r="D71" i="21"/>
  <c r="C71" i="21"/>
  <c r="B71" i="21"/>
  <c r="B55" i="21" s="1"/>
  <c r="P70" i="21"/>
  <c r="O70" i="21"/>
  <c r="N70" i="21"/>
  <c r="M70" i="21"/>
  <c r="L70" i="21"/>
  <c r="K70" i="21"/>
  <c r="J70" i="21"/>
  <c r="I70" i="21"/>
  <c r="H70" i="21"/>
  <c r="G70" i="21"/>
  <c r="F70" i="21"/>
  <c r="E70" i="21"/>
  <c r="E54" i="21" s="1"/>
  <c r="D70" i="21"/>
  <c r="D54" i="21" s="1"/>
  <c r="C70" i="21"/>
  <c r="B70" i="21"/>
  <c r="P69" i="21"/>
  <c r="O69" i="21"/>
  <c r="N69" i="21"/>
  <c r="M69" i="21"/>
  <c r="L69" i="21"/>
  <c r="K69" i="21"/>
  <c r="K53" i="21" s="1"/>
  <c r="K37" i="21" s="1"/>
  <c r="J69" i="21"/>
  <c r="I69" i="21"/>
  <c r="H69" i="21"/>
  <c r="H53" i="21" s="1"/>
  <c r="G69" i="21"/>
  <c r="G53" i="21" s="1"/>
  <c r="G37" i="21" s="1"/>
  <c r="F69" i="21"/>
  <c r="F53" i="21" s="1"/>
  <c r="F37" i="21" s="1"/>
  <c r="E69" i="21"/>
  <c r="E53" i="21" s="1"/>
  <c r="E37" i="21" s="1"/>
  <c r="D69" i="21"/>
  <c r="C69" i="21"/>
  <c r="B69" i="21"/>
  <c r="P68" i="21"/>
  <c r="O68" i="21"/>
  <c r="N68" i="21"/>
  <c r="M68" i="21"/>
  <c r="L68" i="21"/>
  <c r="K68" i="21"/>
  <c r="J68" i="21"/>
  <c r="J52" i="21" s="1"/>
  <c r="I68" i="21"/>
  <c r="H68" i="21"/>
  <c r="G68" i="21"/>
  <c r="G52" i="21" s="1"/>
  <c r="F68" i="21"/>
  <c r="E68" i="21"/>
  <c r="D68" i="21"/>
  <c r="D52" i="21" s="1"/>
  <c r="C68" i="21"/>
  <c r="B68" i="21"/>
  <c r="Q67" i="21"/>
  <c r="P67" i="21"/>
  <c r="O67" i="21"/>
  <c r="N67" i="21"/>
  <c r="N51" i="21" s="1"/>
  <c r="M67" i="21"/>
  <c r="L67" i="21"/>
  <c r="K67" i="21"/>
  <c r="J67" i="21"/>
  <c r="I67" i="21"/>
  <c r="H67" i="21"/>
  <c r="G67" i="21"/>
  <c r="G51" i="21" s="1"/>
  <c r="F67" i="21"/>
  <c r="E67" i="21"/>
  <c r="D67" i="21"/>
  <c r="C67" i="21"/>
  <c r="C77" i="21" s="1"/>
  <c r="C4" i="21" s="1"/>
  <c r="B67" i="21"/>
  <c r="Q66" i="21"/>
  <c r="P66" i="21"/>
  <c r="P50" i="21" s="1"/>
  <c r="O66" i="21"/>
  <c r="O50" i="21" s="1"/>
  <c r="N66" i="21"/>
  <c r="N50" i="21" s="1"/>
  <c r="M66" i="21"/>
  <c r="L66" i="21"/>
  <c r="K66" i="21"/>
  <c r="J66" i="21"/>
  <c r="J50" i="21" s="1"/>
  <c r="I66" i="21"/>
  <c r="H66" i="21"/>
  <c r="G66" i="21"/>
  <c r="F66" i="21"/>
  <c r="E66" i="21"/>
  <c r="D66" i="21"/>
  <c r="C66" i="21"/>
  <c r="B66" i="21"/>
  <c r="Q65" i="21"/>
  <c r="P65" i="21"/>
  <c r="O65" i="21"/>
  <c r="N65" i="21"/>
  <c r="M65" i="21"/>
  <c r="L65" i="21"/>
  <c r="K65" i="21"/>
  <c r="J65" i="21"/>
  <c r="I65" i="21"/>
  <c r="I49" i="21" s="1"/>
  <c r="H65" i="21"/>
  <c r="G65" i="21"/>
  <c r="F65" i="21"/>
  <c r="E65" i="21"/>
  <c r="D65" i="21"/>
  <c r="C65" i="21"/>
  <c r="B65" i="21"/>
  <c r="P60" i="21"/>
  <c r="O60" i="21"/>
  <c r="J60" i="21"/>
  <c r="G60" i="21"/>
  <c r="D60" i="21"/>
  <c r="C60" i="21"/>
  <c r="C44" i="21" s="1"/>
  <c r="B60" i="21"/>
  <c r="B44" i="21" s="1"/>
  <c r="D59" i="21"/>
  <c r="D43" i="21" s="1"/>
  <c r="C59" i="21"/>
  <c r="B59" i="21"/>
  <c r="P58" i="21"/>
  <c r="M58" i="21"/>
  <c r="I58" i="21"/>
  <c r="I42" i="21" s="1"/>
  <c r="D58" i="21"/>
  <c r="C58" i="21"/>
  <c r="B58" i="21"/>
  <c r="L57" i="21"/>
  <c r="L41" i="21" s="1"/>
  <c r="K57" i="21"/>
  <c r="J57" i="21"/>
  <c r="H57" i="21"/>
  <c r="F57" i="21"/>
  <c r="E57" i="21"/>
  <c r="C57" i="21"/>
  <c r="N56" i="21"/>
  <c r="M56" i="21"/>
  <c r="L56" i="21"/>
  <c r="K56" i="21"/>
  <c r="J56" i="21"/>
  <c r="I56" i="21"/>
  <c r="H56" i="21"/>
  <c r="G56" i="21"/>
  <c r="F56" i="21"/>
  <c r="P55" i="21"/>
  <c r="L55" i="21"/>
  <c r="K55" i="21"/>
  <c r="I55" i="21"/>
  <c r="H55" i="21"/>
  <c r="P54" i="21"/>
  <c r="O54" i="21"/>
  <c r="N54" i="21"/>
  <c r="L54" i="21"/>
  <c r="K54" i="21"/>
  <c r="O53" i="21"/>
  <c r="O37" i="21" s="1"/>
  <c r="N53" i="21"/>
  <c r="I53" i="21"/>
  <c r="L52" i="21"/>
  <c r="I52" i="21"/>
  <c r="I36" i="21" s="1"/>
  <c r="C52" i="21"/>
  <c r="B52" i="21"/>
  <c r="B36" i="21" s="1"/>
  <c r="K51" i="21"/>
  <c r="K35" i="21" s="1"/>
  <c r="I51" i="21"/>
  <c r="I35" i="21" s="1"/>
  <c r="F51" i="21"/>
  <c r="E51" i="21"/>
  <c r="D51" i="21"/>
  <c r="B51" i="21"/>
  <c r="I50" i="21"/>
  <c r="H50" i="21"/>
  <c r="G50" i="21"/>
  <c r="F50" i="21"/>
  <c r="E50" i="21"/>
  <c r="D50" i="21"/>
  <c r="B50" i="21"/>
  <c r="N49" i="21"/>
  <c r="K49" i="21"/>
  <c r="J49" i="21"/>
  <c r="H49" i="21"/>
  <c r="G49" i="21"/>
  <c r="F49" i="21"/>
  <c r="E49" i="21"/>
  <c r="D49" i="21"/>
  <c r="C49" i="21"/>
  <c r="B49" i="21"/>
  <c r="N44" i="21"/>
  <c r="C43" i="21"/>
  <c r="P42" i="21"/>
  <c r="P41" i="21"/>
  <c r="O41" i="21"/>
  <c r="F40" i="21"/>
  <c r="I39" i="21"/>
  <c r="F39" i="21"/>
  <c r="D39" i="21"/>
  <c r="C39" i="21"/>
  <c r="E38" i="21"/>
  <c r="D38" i="21"/>
  <c r="P35" i="21"/>
  <c r="N35" i="21"/>
  <c r="P34" i="21"/>
  <c r="Z28" i="21"/>
  <c r="Y28" i="21"/>
  <c r="X28" i="21"/>
  <c r="W28" i="21"/>
  <c r="V28" i="21"/>
  <c r="U28" i="21"/>
  <c r="Q28" i="21"/>
  <c r="P28" i="21"/>
  <c r="F28" i="21"/>
  <c r="AC23" i="21"/>
  <c r="AC22" i="21"/>
  <c r="E22" i="21"/>
  <c r="AC21" i="21"/>
  <c r="Q21" i="21"/>
  <c r="M21" i="21"/>
  <c r="L21" i="21"/>
  <c r="AC20" i="21"/>
  <c r="AC19" i="21"/>
  <c r="Z19" i="21"/>
  <c r="X19" i="21"/>
  <c r="U19" i="21"/>
  <c r="T19" i="21"/>
  <c r="S19" i="21"/>
  <c r="R19" i="21"/>
  <c r="Q19" i="21"/>
  <c r="P19" i="21"/>
  <c r="AC18" i="21"/>
  <c r="Z18" i="21"/>
  <c r="Y18" i="21"/>
  <c r="X18" i="21"/>
  <c r="W18" i="21"/>
  <c r="V18" i="21"/>
  <c r="U18" i="21"/>
  <c r="T18" i="21"/>
  <c r="S18" i="21"/>
  <c r="R18" i="21"/>
  <c r="Q18" i="21"/>
  <c r="D18" i="21"/>
  <c r="AC17" i="21"/>
  <c r="H17" i="21"/>
  <c r="G17" i="21"/>
  <c r="AC16" i="21"/>
  <c r="AC15" i="21"/>
  <c r="Y15" i="21"/>
  <c r="AC14" i="21"/>
  <c r="AC13" i="21"/>
  <c r="AC12" i="21"/>
  <c r="AC11" i="21"/>
  <c r="V11" i="21"/>
  <c r="V9" i="21" s="1"/>
  <c r="U11" i="21"/>
  <c r="U9" i="21" s="1"/>
  <c r="S11" i="21"/>
  <c r="AC10" i="21"/>
  <c r="Z10" i="21"/>
  <c r="Y10" i="21"/>
  <c r="X10" i="21"/>
  <c r="W10" i="21"/>
  <c r="V10" i="21"/>
  <c r="U10" i="21"/>
  <c r="AC9" i="21"/>
  <c r="AC8" i="21"/>
  <c r="AC7" i="21"/>
  <c r="AC6" i="21"/>
  <c r="AC5" i="21"/>
  <c r="X5" i="21"/>
  <c r="AC4" i="21"/>
  <c r="AC3" i="21"/>
  <c r="AS2" i="21"/>
  <c r="AR2" i="21"/>
  <c r="AQ2" i="21"/>
  <c r="AP2" i="21"/>
  <c r="AO2" i="21"/>
  <c r="AN2" i="21"/>
  <c r="AM2" i="21"/>
  <c r="AL2" i="21"/>
  <c r="AM186" i="20"/>
  <c r="AL186" i="20"/>
  <c r="Z186" i="20"/>
  <c r="Y186" i="20"/>
  <c r="W186" i="20"/>
  <c r="X186" i="20" s="1"/>
  <c r="V186" i="20"/>
  <c r="U186" i="20"/>
  <c r="R186" i="20"/>
  <c r="N186" i="20"/>
  <c r="J186" i="20"/>
  <c r="G186" i="20"/>
  <c r="D186" i="20"/>
  <c r="AM185" i="20"/>
  <c r="AL185" i="20"/>
  <c r="AI185" i="20"/>
  <c r="AH185" i="20"/>
  <c r="AH186" i="20" s="1"/>
  <c r="AF185" i="20"/>
  <c r="AE185" i="20"/>
  <c r="AE186" i="20" s="1"/>
  <c r="AC185" i="20"/>
  <c r="AC186" i="20" s="1"/>
  <c r="AB185" i="20"/>
  <c r="AB186" i="20" s="1"/>
  <c r="Z185" i="20"/>
  <c r="Y185" i="20"/>
  <c r="X185" i="20"/>
  <c r="W185" i="20"/>
  <c r="V185" i="20"/>
  <c r="U185" i="20"/>
  <c r="R185" i="20"/>
  <c r="N185" i="20"/>
  <c r="J185" i="20"/>
  <c r="G185" i="20"/>
  <c r="D185" i="20"/>
  <c r="AT184" i="20"/>
  <c r="AR184" i="20"/>
  <c r="AQ184" i="20"/>
  <c r="AQ185" i="20" s="1"/>
  <c r="AQ186" i="20" s="1"/>
  <c r="AP184" i="20"/>
  <c r="AP185" i="20" s="1"/>
  <c r="AO184" i="20"/>
  <c r="AN184" i="20"/>
  <c r="AM184" i="20"/>
  <c r="AL184" i="20"/>
  <c r="AJ184" i="20"/>
  <c r="AI184" i="20"/>
  <c r="AH184" i="20"/>
  <c r="AF184" i="20"/>
  <c r="AG184" i="20" s="1"/>
  <c r="AE184" i="20"/>
  <c r="AC184" i="20"/>
  <c r="AB184" i="20"/>
  <c r="Z184" i="20"/>
  <c r="Y184" i="20"/>
  <c r="AA184" i="20" s="1"/>
  <c r="X184" i="20"/>
  <c r="W184" i="20"/>
  <c r="V184" i="20"/>
  <c r="U184" i="20"/>
  <c r="R184" i="20"/>
  <c r="N184" i="20"/>
  <c r="J184" i="20"/>
  <c r="G184" i="20"/>
  <c r="D184" i="20"/>
  <c r="W183" i="20"/>
  <c r="V183" i="20"/>
  <c r="U183" i="20"/>
  <c r="R183" i="20"/>
  <c r="N183" i="20"/>
  <c r="J183" i="20"/>
  <c r="G183" i="20"/>
  <c r="D183" i="20"/>
  <c r="AH182" i="20"/>
  <c r="AH183" i="20" s="1"/>
  <c r="AE182" i="20"/>
  <c r="AE183" i="20" s="1"/>
  <c r="AB182" i="20"/>
  <c r="AB183" i="20" s="1"/>
  <c r="W182" i="20"/>
  <c r="X182" i="20" s="1"/>
  <c r="V182" i="20"/>
  <c r="U182" i="20"/>
  <c r="R182" i="20"/>
  <c r="N182" i="20"/>
  <c r="J182" i="20"/>
  <c r="G182" i="20"/>
  <c r="D182" i="20"/>
  <c r="AM181" i="20"/>
  <c r="AM182" i="20" s="1"/>
  <c r="AM183" i="20" s="1"/>
  <c r="AE181" i="20"/>
  <c r="W181" i="20"/>
  <c r="X181" i="20" s="1"/>
  <c r="V181" i="20"/>
  <c r="U181" i="20"/>
  <c r="R181" i="20"/>
  <c r="N181" i="20"/>
  <c r="J181" i="20"/>
  <c r="G181" i="20"/>
  <c r="D181" i="20"/>
  <c r="AN180" i="20"/>
  <c r="AN181" i="20" s="1"/>
  <c r="AN182" i="20" s="1"/>
  <c r="AN183" i="20" s="1"/>
  <c r="AH180" i="20"/>
  <c r="AH181" i="20" s="1"/>
  <c r="X180" i="20"/>
  <c r="W180" i="20"/>
  <c r="V180" i="20"/>
  <c r="U180" i="20"/>
  <c r="R180" i="20"/>
  <c r="N180" i="20"/>
  <c r="J180" i="20"/>
  <c r="G180" i="20"/>
  <c r="D180" i="20"/>
  <c r="AN179" i="20"/>
  <c r="X179" i="20"/>
  <c r="W179" i="20"/>
  <c r="V179" i="20"/>
  <c r="U179" i="20"/>
  <c r="R179" i="20"/>
  <c r="N179" i="20"/>
  <c r="J179" i="20"/>
  <c r="G179" i="20"/>
  <c r="D179" i="20"/>
  <c r="W178" i="20"/>
  <c r="V178" i="20"/>
  <c r="U178" i="20"/>
  <c r="R178" i="20"/>
  <c r="N178" i="20"/>
  <c r="J178" i="20"/>
  <c r="G178" i="20"/>
  <c r="D178" i="20"/>
  <c r="AE177" i="20"/>
  <c r="AE178" i="20" s="1"/>
  <c r="AE179" i="20" s="1"/>
  <c r="AE180" i="20" s="1"/>
  <c r="X177" i="20"/>
  <c r="W177" i="20"/>
  <c r="V177" i="20"/>
  <c r="U177" i="20"/>
  <c r="R177" i="20"/>
  <c r="N177" i="20"/>
  <c r="J177" i="20"/>
  <c r="G177" i="20"/>
  <c r="D177" i="20"/>
  <c r="AN176" i="20"/>
  <c r="AN177" i="20" s="1"/>
  <c r="AN178" i="20" s="1"/>
  <c r="AM176" i="20"/>
  <c r="AM177" i="20" s="1"/>
  <c r="AM178" i="20" s="1"/>
  <c r="AM179" i="20" s="1"/>
  <c r="AM180" i="20" s="1"/>
  <c r="W176" i="20"/>
  <c r="X176" i="20" s="1"/>
  <c r="V176" i="20"/>
  <c r="U176" i="20"/>
  <c r="R176" i="20"/>
  <c r="N176" i="20"/>
  <c r="J176" i="20"/>
  <c r="G176" i="20"/>
  <c r="D176" i="20"/>
  <c r="W175" i="20"/>
  <c r="X175" i="20" s="1"/>
  <c r="V175" i="20"/>
  <c r="U175" i="20"/>
  <c r="R175" i="20"/>
  <c r="N175" i="20"/>
  <c r="J175" i="20"/>
  <c r="G175" i="20"/>
  <c r="D175" i="20"/>
  <c r="AH174" i="20"/>
  <c r="AH175" i="20" s="1"/>
  <c r="AH176" i="20" s="1"/>
  <c r="AH177" i="20" s="1"/>
  <c r="AH178" i="20" s="1"/>
  <c r="AH179" i="20" s="1"/>
  <c r="AF174" i="20"/>
  <c r="AE174" i="20"/>
  <c r="AE175" i="20" s="1"/>
  <c r="AE176" i="20" s="1"/>
  <c r="AA174" i="20"/>
  <c r="Z174" i="20"/>
  <c r="Y174" i="20"/>
  <c r="X174" i="20"/>
  <c r="W174" i="20"/>
  <c r="V174" i="20"/>
  <c r="U174" i="20"/>
  <c r="R174" i="20"/>
  <c r="N174" i="20"/>
  <c r="J174" i="20"/>
  <c r="G174" i="20"/>
  <c r="D174" i="20"/>
  <c r="AP173" i="20"/>
  <c r="AJ173" i="20"/>
  <c r="AF173" i="20"/>
  <c r="AG173" i="20" s="1"/>
  <c r="AE173" i="20"/>
  <c r="AC173" i="20"/>
  <c r="AB173" i="20"/>
  <c r="AB174" i="20" s="1"/>
  <c r="AB175" i="20" s="1"/>
  <c r="AB176" i="20" s="1"/>
  <c r="AB177" i="20" s="1"/>
  <c r="AB178" i="20" s="1"/>
  <c r="AB179" i="20" s="1"/>
  <c r="AB180" i="20" s="1"/>
  <c r="AB181" i="20" s="1"/>
  <c r="Z173" i="20"/>
  <c r="AA173" i="20" s="1"/>
  <c r="Y173" i="20"/>
  <c r="W173" i="20"/>
  <c r="X173" i="20" s="1"/>
  <c r="V173" i="20"/>
  <c r="U173" i="20"/>
  <c r="R173" i="20"/>
  <c r="N173" i="20"/>
  <c r="J173" i="20"/>
  <c r="G173" i="20"/>
  <c r="D173" i="20"/>
  <c r="AQ172" i="20"/>
  <c r="AP172" i="20"/>
  <c r="AN172" i="20"/>
  <c r="AN173" i="20" s="1"/>
  <c r="AN174" i="20" s="1"/>
  <c r="AN175" i="20" s="1"/>
  <c r="AM172" i="20"/>
  <c r="AM173" i="20" s="1"/>
  <c r="AM174" i="20" s="1"/>
  <c r="AM175" i="20" s="1"/>
  <c r="AL172" i="20"/>
  <c r="AJ172" i="20"/>
  <c r="AK172" i="20" s="1"/>
  <c r="AI172" i="20"/>
  <c r="AH172" i="20"/>
  <c r="AH173" i="20" s="1"/>
  <c r="AG172" i="20"/>
  <c r="AF172" i="20"/>
  <c r="AE172" i="20"/>
  <c r="AD172" i="20"/>
  <c r="AC172" i="20"/>
  <c r="AB172" i="20"/>
  <c r="Z172" i="20"/>
  <c r="AA172" i="20" s="1"/>
  <c r="Y172" i="20"/>
  <c r="W172" i="20"/>
  <c r="V172" i="20"/>
  <c r="U172" i="20"/>
  <c r="R172" i="20"/>
  <c r="N172" i="20"/>
  <c r="J172" i="20"/>
  <c r="G172" i="20"/>
  <c r="D172" i="20"/>
  <c r="X171" i="20"/>
  <c r="W171" i="20"/>
  <c r="V171" i="20"/>
  <c r="U171" i="20"/>
  <c r="R171" i="20"/>
  <c r="N171" i="20"/>
  <c r="J171" i="20"/>
  <c r="G171" i="20"/>
  <c r="D171" i="20"/>
  <c r="W170" i="20"/>
  <c r="V170" i="20"/>
  <c r="X170" i="20" s="1"/>
  <c r="U170" i="20"/>
  <c r="R170" i="20"/>
  <c r="N170" i="20"/>
  <c r="J170" i="20"/>
  <c r="G170" i="20"/>
  <c r="D170" i="20"/>
  <c r="AN169" i="20"/>
  <c r="AN170" i="20" s="1"/>
  <c r="AN171" i="20" s="1"/>
  <c r="W169" i="20"/>
  <c r="X169" i="20" s="1"/>
  <c r="V169" i="20"/>
  <c r="U169" i="20"/>
  <c r="R169" i="20"/>
  <c r="N169" i="20"/>
  <c r="J169" i="20"/>
  <c r="G169" i="20"/>
  <c r="D169" i="20"/>
  <c r="AH168" i="20"/>
  <c r="AH169" i="20" s="1"/>
  <c r="AH170" i="20" s="1"/>
  <c r="AH171" i="20" s="1"/>
  <c r="AB168" i="20"/>
  <c r="AB169" i="20" s="1"/>
  <c r="AB170" i="20" s="1"/>
  <c r="AB171" i="20" s="1"/>
  <c r="X168" i="20"/>
  <c r="W168" i="20"/>
  <c r="V168" i="20"/>
  <c r="U168" i="20"/>
  <c r="R168" i="20"/>
  <c r="N168" i="20"/>
  <c r="J168" i="20"/>
  <c r="G168" i="20"/>
  <c r="D168" i="20"/>
  <c r="W167" i="20"/>
  <c r="X167" i="20" s="1"/>
  <c r="V167" i="20"/>
  <c r="U167" i="20"/>
  <c r="R167" i="20"/>
  <c r="N167" i="20"/>
  <c r="J167" i="20"/>
  <c r="G167" i="20"/>
  <c r="D167" i="20"/>
  <c r="AE166" i="20"/>
  <c r="AE167" i="20" s="1"/>
  <c r="AE168" i="20" s="1"/>
  <c r="AE169" i="20" s="1"/>
  <c r="AE170" i="20" s="1"/>
  <c r="AE171" i="20" s="1"/>
  <c r="W166" i="20"/>
  <c r="X166" i="20" s="1"/>
  <c r="V166" i="20"/>
  <c r="U166" i="20"/>
  <c r="R166" i="20"/>
  <c r="N166" i="20"/>
  <c r="J166" i="20"/>
  <c r="G166" i="20"/>
  <c r="D166" i="20"/>
  <c r="W165" i="20"/>
  <c r="X165" i="20" s="1"/>
  <c r="V165" i="20"/>
  <c r="U165" i="20"/>
  <c r="R165" i="20"/>
  <c r="N165" i="20"/>
  <c r="J165" i="20"/>
  <c r="G165" i="20"/>
  <c r="D165" i="20"/>
  <c r="AH164" i="20"/>
  <c r="AH165" i="20" s="1"/>
  <c r="AH166" i="20" s="1"/>
  <c r="AH167" i="20" s="1"/>
  <c r="Z164" i="20"/>
  <c r="Z165" i="20" s="1"/>
  <c r="W164" i="20"/>
  <c r="X164" i="20" s="1"/>
  <c r="V164" i="20"/>
  <c r="U164" i="20"/>
  <c r="R164" i="20"/>
  <c r="N164" i="20"/>
  <c r="J164" i="20"/>
  <c r="G164" i="20"/>
  <c r="D164" i="20"/>
  <c r="AB163" i="20"/>
  <c r="AB164" i="20" s="1"/>
  <c r="AB165" i="20" s="1"/>
  <c r="AB166" i="20" s="1"/>
  <c r="AB167" i="20" s="1"/>
  <c r="Z163" i="20"/>
  <c r="X163" i="20"/>
  <c r="W163" i="20"/>
  <c r="V163" i="20"/>
  <c r="U163" i="20"/>
  <c r="R163" i="20"/>
  <c r="N163" i="20"/>
  <c r="J163" i="20"/>
  <c r="G163" i="20"/>
  <c r="D163" i="20"/>
  <c r="AN162" i="20"/>
  <c r="AN163" i="20" s="1"/>
  <c r="AN164" i="20" s="1"/>
  <c r="AN165" i="20" s="1"/>
  <c r="AN166" i="20" s="1"/>
  <c r="AN167" i="20" s="1"/>
  <c r="AN168" i="20" s="1"/>
  <c r="Z162" i="20"/>
  <c r="W162" i="20"/>
  <c r="X162" i="20" s="1"/>
  <c r="V162" i="20"/>
  <c r="U162" i="20"/>
  <c r="R162" i="20"/>
  <c r="N162" i="20"/>
  <c r="J162" i="20"/>
  <c r="G162" i="20"/>
  <c r="D162" i="20"/>
  <c r="AQ161" i="20"/>
  <c r="AQ162" i="20" s="1"/>
  <c r="AQ163" i="20" s="1"/>
  <c r="AQ164" i="20" s="1"/>
  <c r="AQ165" i="20" s="1"/>
  <c r="AQ166" i="20" s="1"/>
  <c r="AQ167" i="20" s="1"/>
  <c r="AQ168" i="20" s="1"/>
  <c r="AQ169" i="20" s="1"/>
  <c r="AQ170" i="20" s="1"/>
  <c r="AQ171" i="20" s="1"/>
  <c r="AP161" i="20"/>
  <c r="AO161" i="20"/>
  <c r="AN161" i="20"/>
  <c r="AL161" i="20"/>
  <c r="AL162" i="20" s="1"/>
  <c r="AL163" i="20" s="1"/>
  <c r="AC161" i="20"/>
  <c r="Z161" i="20"/>
  <c r="W161" i="20"/>
  <c r="X161" i="20" s="1"/>
  <c r="V161" i="20"/>
  <c r="U161" i="20"/>
  <c r="R161" i="20"/>
  <c r="N161" i="20"/>
  <c r="J161" i="20"/>
  <c r="G161" i="20"/>
  <c r="D161" i="20"/>
  <c r="AQ160" i="20"/>
  <c r="AP160" i="20"/>
  <c r="AR160" i="20" s="1"/>
  <c r="AN160" i="20"/>
  <c r="AM160" i="20"/>
  <c r="AM161" i="20" s="1"/>
  <c r="AM162" i="20" s="1"/>
  <c r="AM163" i="20" s="1"/>
  <c r="AM164" i="20" s="1"/>
  <c r="AM165" i="20" s="1"/>
  <c r="AM166" i="20" s="1"/>
  <c r="AM167" i="20" s="1"/>
  <c r="AM168" i="20" s="1"/>
  <c r="AM169" i="20" s="1"/>
  <c r="AM170" i="20" s="1"/>
  <c r="AM171" i="20" s="1"/>
  <c r="AL160" i="20"/>
  <c r="AK160" i="20"/>
  <c r="AJ160" i="20"/>
  <c r="AJ161" i="20" s="1"/>
  <c r="AI160" i="20"/>
  <c r="AH160" i="20"/>
  <c r="AH161" i="20" s="1"/>
  <c r="AH162" i="20" s="1"/>
  <c r="AH163" i="20" s="1"/>
  <c r="AG160" i="20"/>
  <c r="AF160" i="20"/>
  <c r="AF161" i="20" s="1"/>
  <c r="AE160" i="20"/>
  <c r="AE161" i="20" s="1"/>
  <c r="AE162" i="20" s="1"/>
  <c r="AE163" i="20" s="1"/>
  <c r="AE164" i="20" s="1"/>
  <c r="AE165" i="20" s="1"/>
  <c r="AD160" i="20"/>
  <c r="AC160" i="20"/>
  <c r="AB160" i="20"/>
  <c r="AB161" i="20" s="1"/>
  <c r="AB162" i="20" s="1"/>
  <c r="Z160" i="20"/>
  <c r="Y160" i="20"/>
  <c r="X160" i="20"/>
  <c r="W160" i="20"/>
  <c r="V160" i="20"/>
  <c r="U160" i="20"/>
  <c r="R160" i="20"/>
  <c r="N160" i="20"/>
  <c r="J160" i="20"/>
  <c r="G160" i="20"/>
  <c r="D160" i="20"/>
  <c r="X159" i="20"/>
  <c r="W159" i="20"/>
  <c r="V159" i="20"/>
  <c r="U159" i="20"/>
  <c r="R159" i="20"/>
  <c r="N159" i="20"/>
  <c r="J159" i="20"/>
  <c r="G159" i="20"/>
  <c r="D159" i="20"/>
  <c r="W158" i="20"/>
  <c r="X158" i="20" s="1"/>
  <c r="V158" i="20"/>
  <c r="U158" i="20"/>
  <c r="R158" i="20"/>
  <c r="N158" i="20"/>
  <c r="J158" i="20"/>
  <c r="G158" i="20"/>
  <c r="D158" i="20"/>
  <c r="X157" i="20"/>
  <c r="W157" i="20"/>
  <c r="V157" i="20"/>
  <c r="U157" i="20"/>
  <c r="R157" i="20"/>
  <c r="N157" i="20"/>
  <c r="J157" i="20"/>
  <c r="G157" i="20"/>
  <c r="D157" i="20"/>
  <c r="W156" i="20"/>
  <c r="V156" i="20"/>
  <c r="X156" i="20" s="1"/>
  <c r="U156" i="20"/>
  <c r="R156" i="20"/>
  <c r="N156" i="20"/>
  <c r="J156" i="20"/>
  <c r="G156" i="20"/>
  <c r="D156" i="20"/>
  <c r="W155" i="20"/>
  <c r="X155" i="20" s="1"/>
  <c r="V155" i="20"/>
  <c r="U155" i="20"/>
  <c r="R155" i="20"/>
  <c r="N155" i="20"/>
  <c r="J155" i="20"/>
  <c r="G155" i="20"/>
  <c r="D155" i="20"/>
  <c r="W154" i="20"/>
  <c r="X154" i="20" s="1"/>
  <c r="V154" i="20"/>
  <c r="U154" i="20"/>
  <c r="R154" i="20"/>
  <c r="N154" i="20"/>
  <c r="J154" i="20"/>
  <c r="G154" i="20"/>
  <c r="D154" i="20"/>
  <c r="AH153" i="20"/>
  <c r="AH154" i="20" s="1"/>
  <c r="AH155" i="20" s="1"/>
  <c r="AH156" i="20" s="1"/>
  <c r="AH157" i="20" s="1"/>
  <c r="AH158" i="20" s="1"/>
  <c r="AH159" i="20" s="1"/>
  <c r="X153" i="20"/>
  <c r="W153" i="20"/>
  <c r="V153" i="20"/>
  <c r="U153" i="20"/>
  <c r="R153" i="20"/>
  <c r="N153" i="20"/>
  <c r="J153" i="20"/>
  <c r="G153" i="20"/>
  <c r="D153" i="20"/>
  <c r="AH152" i="20"/>
  <c r="X152" i="20"/>
  <c r="W152" i="20"/>
  <c r="V152" i="20"/>
  <c r="U152" i="20"/>
  <c r="R152" i="20"/>
  <c r="N152" i="20"/>
  <c r="J152" i="20"/>
  <c r="G152" i="20"/>
  <c r="D152" i="20"/>
  <c r="AP151" i="20"/>
  <c r="AN151" i="20"/>
  <c r="AN152" i="20" s="1"/>
  <c r="AN153" i="20" s="1"/>
  <c r="AN154" i="20" s="1"/>
  <c r="AN155" i="20" s="1"/>
  <c r="AN156" i="20" s="1"/>
  <c r="AN157" i="20" s="1"/>
  <c r="AN158" i="20" s="1"/>
  <c r="AN159" i="20" s="1"/>
  <c r="AB151" i="20"/>
  <c r="AB152" i="20" s="1"/>
  <c r="AB153" i="20" s="1"/>
  <c r="AB154" i="20" s="1"/>
  <c r="AB155" i="20" s="1"/>
  <c r="AB156" i="20" s="1"/>
  <c r="AB157" i="20" s="1"/>
  <c r="AB158" i="20" s="1"/>
  <c r="AB159" i="20" s="1"/>
  <c r="W151" i="20"/>
  <c r="X151" i="20" s="1"/>
  <c r="V151" i="20"/>
  <c r="U151" i="20"/>
  <c r="R151" i="20"/>
  <c r="N151" i="20"/>
  <c r="J151" i="20"/>
  <c r="G151" i="20"/>
  <c r="D151" i="20"/>
  <c r="AI150" i="20"/>
  <c r="AF150" i="20"/>
  <c r="AF151" i="20" s="1"/>
  <c r="AB150" i="20"/>
  <c r="Z150" i="20"/>
  <c r="Z151" i="20" s="1"/>
  <c r="X150" i="20"/>
  <c r="W150" i="20"/>
  <c r="V150" i="20"/>
  <c r="U150" i="20"/>
  <c r="R150" i="20"/>
  <c r="N150" i="20"/>
  <c r="J150" i="20"/>
  <c r="G150" i="20"/>
  <c r="D150" i="20"/>
  <c r="AT149" i="20"/>
  <c r="AP149" i="20"/>
  <c r="AP150" i="20" s="1"/>
  <c r="AM149" i="20"/>
  <c r="AM150" i="20" s="1"/>
  <c r="AM151" i="20" s="1"/>
  <c r="AM152" i="20" s="1"/>
  <c r="AM153" i="20" s="1"/>
  <c r="AM154" i="20" s="1"/>
  <c r="AM155" i="20" s="1"/>
  <c r="AM156" i="20" s="1"/>
  <c r="AM157" i="20" s="1"/>
  <c r="AM158" i="20" s="1"/>
  <c r="AM159" i="20" s="1"/>
  <c r="AJ149" i="20"/>
  <c r="AH149" i="20"/>
  <c r="AH150" i="20" s="1"/>
  <c r="AH151" i="20" s="1"/>
  <c r="AE149" i="20"/>
  <c r="AE150" i="20" s="1"/>
  <c r="AE151" i="20" s="1"/>
  <c r="AE152" i="20" s="1"/>
  <c r="AE153" i="20" s="1"/>
  <c r="AE154" i="20" s="1"/>
  <c r="AE155" i="20" s="1"/>
  <c r="AE156" i="20" s="1"/>
  <c r="AE157" i="20" s="1"/>
  <c r="AE158" i="20" s="1"/>
  <c r="AE159" i="20" s="1"/>
  <c r="AB149" i="20"/>
  <c r="Z149" i="20"/>
  <c r="Y149" i="20"/>
  <c r="Y150" i="20" s="1"/>
  <c r="W149" i="20"/>
  <c r="X149" i="20" s="1"/>
  <c r="V149" i="20"/>
  <c r="U149" i="20"/>
  <c r="R149" i="20"/>
  <c r="N149" i="20"/>
  <c r="J149" i="20"/>
  <c r="G149" i="20"/>
  <c r="D149" i="20"/>
  <c r="AT148" i="20"/>
  <c r="AX148" i="20" s="1"/>
  <c r="AQ148" i="20"/>
  <c r="AQ149" i="20" s="1"/>
  <c r="AQ150" i="20" s="1"/>
  <c r="AQ151" i="20" s="1"/>
  <c r="AQ152" i="20" s="1"/>
  <c r="AQ153" i="20" s="1"/>
  <c r="AQ154" i="20" s="1"/>
  <c r="AQ155" i="20" s="1"/>
  <c r="AQ156" i="20" s="1"/>
  <c r="AQ157" i="20" s="1"/>
  <c r="AQ158" i="20" s="1"/>
  <c r="AQ159" i="20" s="1"/>
  <c r="AP148" i="20"/>
  <c r="AO148" i="20"/>
  <c r="AN148" i="20"/>
  <c r="AN149" i="20" s="1"/>
  <c r="AN150" i="20" s="1"/>
  <c r="AM148" i="20"/>
  <c r="AL148" i="20"/>
  <c r="AL149" i="20" s="1"/>
  <c r="AL150" i="20" s="1"/>
  <c r="AJ148" i="20"/>
  <c r="AI148" i="20"/>
  <c r="AI149" i="20" s="1"/>
  <c r="AH148" i="20"/>
  <c r="AG148" i="20"/>
  <c r="AF148" i="20"/>
  <c r="AF149" i="20" s="1"/>
  <c r="AE148" i="20"/>
  <c r="AC148" i="20"/>
  <c r="AB148" i="20"/>
  <c r="AA148" i="20"/>
  <c r="Z148" i="20"/>
  <c r="Y148" i="20"/>
  <c r="X148" i="20"/>
  <c r="W148" i="20"/>
  <c r="V148" i="20"/>
  <c r="U148" i="20"/>
  <c r="R148" i="20"/>
  <c r="N148" i="20"/>
  <c r="J148" i="20"/>
  <c r="G148" i="20"/>
  <c r="D148" i="20"/>
  <c r="W147" i="20"/>
  <c r="V147" i="20"/>
  <c r="X147" i="20" s="1"/>
  <c r="U147" i="20"/>
  <c r="R147" i="20"/>
  <c r="N147" i="20"/>
  <c r="J147" i="20"/>
  <c r="G147" i="20"/>
  <c r="D147" i="20"/>
  <c r="W146" i="20"/>
  <c r="X146" i="20" s="1"/>
  <c r="V146" i="20"/>
  <c r="U146" i="20"/>
  <c r="R146" i="20"/>
  <c r="N146" i="20"/>
  <c r="J146" i="20"/>
  <c r="G146" i="20"/>
  <c r="D146" i="20"/>
  <c r="W145" i="20"/>
  <c r="V145" i="20"/>
  <c r="X145" i="20" s="1"/>
  <c r="U145" i="20"/>
  <c r="R145" i="20"/>
  <c r="N145" i="20"/>
  <c r="J145" i="20"/>
  <c r="G145" i="20"/>
  <c r="D145" i="20"/>
  <c r="W144" i="20"/>
  <c r="V144" i="20"/>
  <c r="U144" i="20"/>
  <c r="R144" i="20"/>
  <c r="N144" i="20"/>
  <c r="J144" i="20"/>
  <c r="G144" i="20"/>
  <c r="D144" i="20"/>
  <c r="AB143" i="20"/>
  <c r="AB144" i="20" s="1"/>
  <c r="AB145" i="20" s="1"/>
  <c r="AB146" i="20" s="1"/>
  <c r="AB147" i="20" s="1"/>
  <c r="W143" i="20"/>
  <c r="X143" i="20" s="1"/>
  <c r="V143" i="20"/>
  <c r="U143" i="20"/>
  <c r="R143" i="20"/>
  <c r="N143" i="20"/>
  <c r="J143" i="20"/>
  <c r="G143" i="20"/>
  <c r="D143" i="20"/>
  <c r="W142" i="20"/>
  <c r="V142" i="20"/>
  <c r="U142" i="20"/>
  <c r="R142" i="20"/>
  <c r="N142" i="20"/>
  <c r="J142" i="20"/>
  <c r="G142" i="20"/>
  <c r="D142" i="20"/>
  <c r="AH141" i="20"/>
  <c r="AH142" i="20" s="1"/>
  <c r="AH143" i="20" s="1"/>
  <c r="AH144" i="20" s="1"/>
  <c r="AH145" i="20" s="1"/>
  <c r="AH146" i="20" s="1"/>
  <c r="AH147" i="20" s="1"/>
  <c r="W141" i="20"/>
  <c r="X141" i="20" s="1"/>
  <c r="V141" i="20"/>
  <c r="U141" i="20"/>
  <c r="R141" i="20"/>
  <c r="N141" i="20"/>
  <c r="J141" i="20"/>
  <c r="G141" i="20"/>
  <c r="D141" i="20"/>
  <c r="AM140" i="20"/>
  <c r="AM141" i="20" s="1"/>
  <c r="AM142" i="20" s="1"/>
  <c r="AM143" i="20" s="1"/>
  <c r="AM144" i="20" s="1"/>
  <c r="AM145" i="20" s="1"/>
  <c r="AM146" i="20" s="1"/>
  <c r="AM147" i="20" s="1"/>
  <c r="AH140" i="20"/>
  <c r="W140" i="20"/>
  <c r="X140" i="20" s="1"/>
  <c r="V140" i="20"/>
  <c r="U140" i="20"/>
  <c r="R140" i="20"/>
  <c r="N140" i="20"/>
  <c r="J140" i="20"/>
  <c r="G140" i="20"/>
  <c r="D140" i="20"/>
  <c r="W139" i="20"/>
  <c r="X139" i="20" s="1"/>
  <c r="V139" i="20"/>
  <c r="U139" i="20"/>
  <c r="R139" i="20"/>
  <c r="N139" i="20"/>
  <c r="J139" i="20"/>
  <c r="G139" i="20"/>
  <c r="D139" i="20"/>
  <c r="AP138" i="20"/>
  <c r="AJ138" i="20"/>
  <c r="AJ139" i="20" s="1"/>
  <c r="AH138" i="20"/>
  <c r="AH139" i="20" s="1"/>
  <c r="AD138" i="20"/>
  <c r="AC138" i="20"/>
  <c r="AC139" i="20" s="1"/>
  <c r="AB138" i="20"/>
  <c r="AB139" i="20" s="1"/>
  <c r="AB140" i="20" s="1"/>
  <c r="AB141" i="20" s="1"/>
  <c r="AB142" i="20" s="1"/>
  <c r="Y138" i="20"/>
  <c r="X138" i="20"/>
  <c r="W138" i="20"/>
  <c r="V138" i="20"/>
  <c r="U138" i="20"/>
  <c r="R138" i="20"/>
  <c r="N138" i="20"/>
  <c r="J138" i="20"/>
  <c r="G138" i="20"/>
  <c r="D138" i="20"/>
  <c r="AM137" i="20"/>
  <c r="AM138" i="20" s="1"/>
  <c r="AM139" i="20" s="1"/>
  <c r="AI137" i="20"/>
  <c r="AI138" i="20" s="1"/>
  <c r="AI139" i="20" s="1"/>
  <c r="AH137" i="20"/>
  <c r="AC137" i="20"/>
  <c r="AD137" i="20" s="1"/>
  <c r="Z137" i="20"/>
  <c r="Y137" i="20"/>
  <c r="X137" i="20"/>
  <c r="W137" i="20"/>
  <c r="V137" i="20"/>
  <c r="U137" i="20"/>
  <c r="R137" i="20"/>
  <c r="N137" i="20"/>
  <c r="J137" i="20"/>
  <c r="G137" i="20"/>
  <c r="D137" i="20"/>
  <c r="AT136" i="20"/>
  <c r="AS136" i="20"/>
  <c r="AQ136" i="20"/>
  <c r="AQ137" i="20" s="1"/>
  <c r="AP136" i="20"/>
  <c r="AP137" i="20" s="1"/>
  <c r="AN136" i="20"/>
  <c r="AN137" i="20" s="1"/>
  <c r="AN138" i="20" s="1"/>
  <c r="AN139" i="20" s="1"/>
  <c r="AN140" i="20" s="1"/>
  <c r="AN141" i="20" s="1"/>
  <c r="AN142" i="20" s="1"/>
  <c r="AN143" i="20" s="1"/>
  <c r="AN144" i="20" s="1"/>
  <c r="AN145" i="20" s="1"/>
  <c r="AN146" i="20" s="1"/>
  <c r="AN147" i="20" s="1"/>
  <c r="AM136" i="20"/>
  <c r="AL136" i="20"/>
  <c r="AO136" i="20" s="1"/>
  <c r="AJ136" i="20"/>
  <c r="AJ137" i="20" s="1"/>
  <c r="AI136" i="20"/>
  <c r="AH136" i="20"/>
  <c r="AG136" i="20"/>
  <c r="AF136" i="20"/>
  <c r="AF137" i="20" s="1"/>
  <c r="AE136" i="20"/>
  <c r="AE137" i="20" s="1"/>
  <c r="AC136" i="20"/>
  <c r="AB136" i="20"/>
  <c r="AB137" i="20" s="1"/>
  <c r="AA136" i="20"/>
  <c r="Z136" i="20"/>
  <c r="Y136" i="20"/>
  <c r="W136" i="20"/>
  <c r="X136" i="20" s="1"/>
  <c r="V136" i="20"/>
  <c r="U136" i="20"/>
  <c r="R136" i="20"/>
  <c r="N136" i="20"/>
  <c r="J136" i="20"/>
  <c r="G136" i="20"/>
  <c r="D136" i="20"/>
  <c r="W135" i="20"/>
  <c r="V135" i="20"/>
  <c r="X135" i="20" s="1"/>
  <c r="U135" i="20"/>
  <c r="R135" i="20"/>
  <c r="N135" i="20"/>
  <c r="J135" i="20"/>
  <c r="G135" i="20"/>
  <c r="D135" i="20"/>
  <c r="W134" i="20"/>
  <c r="X134" i="20" s="1"/>
  <c r="V134" i="20"/>
  <c r="U134" i="20"/>
  <c r="R134" i="20"/>
  <c r="N134" i="20"/>
  <c r="J134" i="20"/>
  <c r="G134" i="20"/>
  <c r="D134" i="20"/>
  <c r="W133" i="20"/>
  <c r="V133" i="20"/>
  <c r="U133" i="20"/>
  <c r="R133" i="20"/>
  <c r="N133" i="20"/>
  <c r="J133" i="20"/>
  <c r="G133" i="20"/>
  <c r="D133" i="20"/>
  <c r="AH132" i="20"/>
  <c r="AH133" i="20" s="1"/>
  <c r="AH134" i="20" s="1"/>
  <c r="AH135" i="20" s="1"/>
  <c r="W132" i="20"/>
  <c r="V132" i="20"/>
  <c r="U132" i="20"/>
  <c r="R132" i="20"/>
  <c r="N132" i="20"/>
  <c r="J132" i="20"/>
  <c r="G132" i="20"/>
  <c r="D132" i="20"/>
  <c r="W131" i="20"/>
  <c r="X131" i="20" s="1"/>
  <c r="V131" i="20"/>
  <c r="U131" i="20"/>
  <c r="R131" i="20"/>
  <c r="N131" i="20"/>
  <c r="J131" i="20"/>
  <c r="G131" i="20"/>
  <c r="D131" i="20"/>
  <c r="AQ130" i="20"/>
  <c r="AQ131" i="20" s="1"/>
  <c r="AQ132" i="20" s="1"/>
  <c r="AQ133" i="20" s="1"/>
  <c r="AQ134" i="20" s="1"/>
  <c r="AQ135" i="20" s="1"/>
  <c r="AH130" i="20"/>
  <c r="AH131" i="20" s="1"/>
  <c r="W130" i="20"/>
  <c r="X130" i="20" s="1"/>
  <c r="V130" i="20"/>
  <c r="U130" i="20"/>
  <c r="R130" i="20"/>
  <c r="N130" i="20"/>
  <c r="J130" i="20"/>
  <c r="G130" i="20"/>
  <c r="D130" i="20"/>
  <c r="X129" i="20"/>
  <c r="W129" i="20"/>
  <c r="V129" i="20"/>
  <c r="U129" i="20"/>
  <c r="R129" i="20"/>
  <c r="N129" i="20"/>
  <c r="J129" i="20"/>
  <c r="G129" i="20"/>
  <c r="D129" i="20"/>
  <c r="AH128" i="20"/>
  <c r="AH129" i="20" s="1"/>
  <c r="X128" i="20"/>
  <c r="W128" i="20"/>
  <c r="V128" i="20"/>
  <c r="U128" i="20"/>
  <c r="R128" i="20"/>
  <c r="N128" i="20"/>
  <c r="J128" i="20"/>
  <c r="G128" i="20"/>
  <c r="D128" i="20"/>
  <c r="W127" i="20"/>
  <c r="V127" i="20"/>
  <c r="U127" i="20"/>
  <c r="R127" i="20"/>
  <c r="N127" i="20"/>
  <c r="J127" i="20"/>
  <c r="G127" i="20"/>
  <c r="D127" i="20"/>
  <c r="AL126" i="20"/>
  <c r="AJ126" i="20"/>
  <c r="AB126" i="20"/>
  <c r="AB127" i="20" s="1"/>
  <c r="AB128" i="20" s="1"/>
  <c r="AB129" i="20" s="1"/>
  <c r="AB130" i="20" s="1"/>
  <c r="AB131" i="20" s="1"/>
  <c r="AB132" i="20" s="1"/>
  <c r="AB133" i="20" s="1"/>
  <c r="AB134" i="20" s="1"/>
  <c r="AB135" i="20" s="1"/>
  <c r="W126" i="20"/>
  <c r="X126" i="20" s="1"/>
  <c r="V126" i="20"/>
  <c r="U126" i="20"/>
  <c r="R126" i="20"/>
  <c r="N126" i="20"/>
  <c r="J126" i="20"/>
  <c r="G126" i="20"/>
  <c r="D126" i="20"/>
  <c r="AR125" i="20"/>
  <c r="AQ125" i="20"/>
  <c r="AQ126" i="20" s="1"/>
  <c r="AQ127" i="20" s="1"/>
  <c r="AQ128" i="20" s="1"/>
  <c r="AQ129" i="20" s="1"/>
  <c r="AP125" i="20"/>
  <c r="AP126" i="20" s="1"/>
  <c r="AM125" i="20"/>
  <c r="AL125" i="20"/>
  <c r="AB125" i="20"/>
  <c r="Z125" i="20"/>
  <c r="W125" i="20"/>
  <c r="X125" i="20" s="1"/>
  <c r="V125" i="20"/>
  <c r="U125" i="20"/>
  <c r="R125" i="20"/>
  <c r="N125" i="20"/>
  <c r="J125" i="20"/>
  <c r="G125" i="20"/>
  <c r="D125" i="20"/>
  <c r="AQ124" i="20"/>
  <c r="AR124" i="20" s="1"/>
  <c r="AP124" i="20"/>
  <c r="AN124" i="20"/>
  <c r="AM124" i="20"/>
  <c r="AL124" i="20"/>
  <c r="AK124" i="20"/>
  <c r="AJ124" i="20"/>
  <c r="AJ125" i="20" s="1"/>
  <c r="AI124" i="20"/>
  <c r="AT124" i="20" s="1"/>
  <c r="AH124" i="20"/>
  <c r="AH125" i="20" s="1"/>
  <c r="AH126" i="20" s="1"/>
  <c r="AH127" i="20" s="1"/>
  <c r="AF124" i="20"/>
  <c r="AF125" i="20" s="1"/>
  <c r="AE124" i="20"/>
  <c r="AC124" i="20"/>
  <c r="AB124" i="20"/>
  <c r="Z124" i="20"/>
  <c r="AA124" i="20" s="1"/>
  <c r="Y124" i="20"/>
  <c r="W124" i="20"/>
  <c r="X124" i="20" s="1"/>
  <c r="V124" i="20"/>
  <c r="U124" i="20"/>
  <c r="R124" i="20"/>
  <c r="N124" i="20"/>
  <c r="J124" i="20"/>
  <c r="G124" i="20"/>
  <c r="D124" i="20"/>
  <c r="X123" i="20"/>
  <c r="W123" i="20"/>
  <c r="V123" i="20"/>
  <c r="U123" i="20"/>
  <c r="R123" i="20"/>
  <c r="N123" i="20"/>
  <c r="J123" i="20"/>
  <c r="G123" i="20"/>
  <c r="D123" i="20"/>
  <c r="W122" i="20"/>
  <c r="X122" i="20" s="1"/>
  <c r="V122" i="20"/>
  <c r="U122" i="20"/>
  <c r="R122" i="20"/>
  <c r="N122" i="20"/>
  <c r="J122" i="20"/>
  <c r="G122" i="20"/>
  <c r="D122" i="20"/>
  <c r="X121" i="20"/>
  <c r="W121" i="20"/>
  <c r="V121" i="20"/>
  <c r="U121" i="20"/>
  <c r="R121" i="20"/>
  <c r="N121" i="20"/>
  <c r="J121" i="20"/>
  <c r="G121" i="20"/>
  <c r="D121" i="20"/>
  <c r="W120" i="20"/>
  <c r="V120" i="20"/>
  <c r="U120" i="20"/>
  <c r="R120" i="20"/>
  <c r="N120" i="20"/>
  <c r="J120" i="20"/>
  <c r="G120" i="20"/>
  <c r="D120" i="20"/>
  <c r="AJ119" i="20"/>
  <c r="W119" i="20"/>
  <c r="X119" i="20" s="1"/>
  <c r="V119" i="20"/>
  <c r="U119" i="20"/>
  <c r="R119" i="20"/>
  <c r="N119" i="20"/>
  <c r="J119" i="20"/>
  <c r="G119" i="20"/>
  <c r="D119" i="20"/>
  <c r="AJ118" i="20"/>
  <c r="AE118" i="20"/>
  <c r="AE119" i="20" s="1"/>
  <c r="AE120" i="20" s="1"/>
  <c r="AE121" i="20" s="1"/>
  <c r="AE122" i="20" s="1"/>
  <c r="AE123" i="20" s="1"/>
  <c r="X118" i="20"/>
  <c r="W118" i="20"/>
  <c r="V118" i="20"/>
  <c r="U118" i="20"/>
  <c r="R118" i="20"/>
  <c r="N118" i="20"/>
  <c r="J118" i="20"/>
  <c r="G118" i="20"/>
  <c r="D118" i="20"/>
  <c r="AI117" i="20"/>
  <c r="AT117" i="20" s="1"/>
  <c r="AE117" i="20"/>
  <c r="W117" i="20"/>
  <c r="V117" i="20"/>
  <c r="U117" i="20"/>
  <c r="R117" i="20"/>
  <c r="N117" i="20"/>
  <c r="J117" i="20"/>
  <c r="G117" i="20"/>
  <c r="D117" i="20"/>
  <c r="AJ116" i="20"/>
  <c r="AJ117" i="20" s="1"/>
  <c r="AI116" i="20"/>
  <c r="AT116" i="20" s="1"/>
  <c r="W116" i="20"/>
  <c r="X116" i="20" s="1"/>
  <c r="V116" i="20"/>
  <c r="U116" i="20"/>
  <c r="R116" i="20"/>
  <c r="N116" i="20"/>
  <c r="J116" i="20"/>
  <c r="G116" i="20"/>
  <c r="D116" i="20"/>
  <c r="AT115" i="20"/>
  <c r="W115" i="20"/>
  <c r="V115" i="20"/>
  <c r="X115" i="20" s="1"/>
  <c r="U115" i="20"/>
  <c r="R115" i="20"/>
  <c r="N115" i="20"/>
  <c r="J115" i="20"/>
  <c r="G115" i="20"/>
  <c r="D115" i="20"/>
  <c r="AT114" i="20"/>
  <c r="AX114" i="20" s="1"/>
  <c r="AQ114" i="20"/>
  <c r="AQ115" i="20" s="1"/>
  <c r="AQ116" i="20" s="1"/>
  <c r="AQ117" i="20" s="1"/>
  <c r="AQ118" i="20" s="1"/>
  <c r="AQ119" i="20" s="1"/>
  <c r="AQ120" i="20" s="1"/>
  <c r="AQ121" i="20" s="1"/>
  <c r="AQ122" i="20" s="1"/>
  <c r="AQ123" i="20" s="1"/>
  <c r="AP114" i="20"/>
  <c r="AJ114" i="20"/>
  <c r="AJ115" i="20" s="1"/>
  <c r="AI114" i="20"/>
  <c r="AI115" i="20" s="1"/>
  <c r="AE114" i="20"/>
  <c r="AE115" i="20" s="1"/>
  <c r="AE116" i="20" s="1"/>
  <c r="Y114" i="20"/>
  <c r="W114" i="20"/>
  <c r="X114" i="20" s="1"/>
  <c r="V114" i="20"/>
  <c r="U114" i="20"/>
  <c r="R114" i="20"/>
  <c r="N114" i="20"/>
  <c r="J114" i="20"/>
  <c r="G114" i="20"/>
  <c r="D114" i="20"/>
  <c r="AT113" i="20"/>
  <c r="AX113" i="20" s="1"/>
  <c r="AJ113" i="20"/>
  <c r="AI113" i="20"/>
  <c r="AH113" i="20"/>
  <c r="AH114" i="20" s="1"/>
  <c r="AG113" i="20"/>
  <c r="AF113" i="20"/>
  <c r="AF114" i="20" s="1"/>
  <c r="AE113" i="20"/>
  <c r="AC113" i="20"/>
  <c r="AB113" i="20"/>
  <c r="AB114" i="20" s="1"/>
  <c r="AB115" i="20" s="1"/>
  <c r="AB116" i="20" s="1"/>
  <c r="AB117" i="20" s="1"/>
  <c r="AB118" i="20" s="1"/>
  <c r="AB119" i="20" s="1"/>
  <c r="AB120" i="20" s="1"/>
  <c r="AB121" i="20" s="1"/>
  <c r="AB122" i="20" s="1"/>
  <c r="AB123" i="20" s="1"/>
  <c r="AA113" i="20"/>
  <c r="Z113" i="20"/>
  <c r="Y113" i="20"/>
  <c r="W113" i="20"/>
  <c r="X113" i="20" s="1"/>
  <c r="V113" i="20"/>
  <c r="U113" i="20"/>
  <c r="R113" i="20"/>
  <c r="N113" i="20"/>
  <c r="J113" i="20"/>
  <c r="G113" i="20"/>
  <c r="D113" i="20"/>
  <c r="AT112" i="20"/>
  <c r="AX112" i="20" s="1"/>
  <c r="AR112" i="20"/>
  <c r="AQ112" i="20"/>
  <c r="AQ113" i="20" s="1"/>
  <c r="AP112" i="20"/>
  <c r="AP113" i="20" s="1"/>
  <c r="AN112" i="20"/>
  <c r="AM112" i="20"/>
  <c r="AM113" i="20" s="1"/>
  <c r="AM114" i="20" s="1"/>
  <c r="AM115" i="20" s="1"/>
  <c r="AM116" i="20" s="1"/>
  <c r="AM117" i="20" s="1"/>
  <c r="AM118" i="20" s="1"/>
  <c r="AM119" i="20" s="1"/>
  <c r="AM120" i="20" s="1"/>
  <c r="AM121" i="20" s="1"/>
  <c r="AM122" i="20" s="1"/>
  <c r="AM123" i="20" s="1"/>
  <c r="AL112" i="20"/>
  <c r="AK112" i="20"/>
  <c r="AJ112" i="20"/>
  <c r="AI112" i="20"/>
  <c r="AH112" i="20"/>
  <c r="AF112" i="20"/>
  <c r="AG112" i="20" s="1"/>
  <c r="AE112" i="20"/>
  <c r="AC112" i="20"/>
  <c r="AD112" i="20" s="1"/>
  <c r="AB112" i="20"/>
  <c r="Z112" i="20"/>
  <c r="Y112" i="20"/>
  <c r="AA112" i="20" s="1"/>
  <c r="W112" i="20"/>
  <c r="V112" i="20"/>
  <c r="U112" i="20"/>
  <c r="R112" i="20"/>
  <c r="N112" i="20"/>
  <c r="J112" i="20"/>
  <c r="G112" i="20"/>
  <c r="D112" i="20"/>
  <c r="W111" i="20"/>
  <c r="V111" i="20"/>
  <c r="U111" i="20"/>
  <c r="R111" i="20"/>
  <c r="N111" i="20"/>
  <c r="J111" i="20"/>
  <c r="G111" i="20"/>
  <c r="D111" i="20"/>
  <c r="W110" i="20"/>
  <c r="X110" i="20" s="1"/>
  <c r="V110" i="20"/>
  <c r="U110" i="20"/>
  <c r="R110" i="20"/>
  <c r="N110" i="20"/>
  <c r="J110" i="20"/>
  <c r="G110" i="20"/>
  <c r="D110" i="20"/>
  <c r="W109" i="20"/>
  <c r="X109" i="20" s="1"/>
  <c r="V109" i="20"/>
  <c r="U109" i="20"/>
  <c r="R109" i="20"/>
  <c r="N109" i="20"/>
  <c r="J109" i="20"/>
  <c r="G109" i="20"/>
  <c r="D109" i="20"/>
  <c r="AQ108" i="20"/>
  <c r="AQ109" i="20" s="1"/>
  <c r="AQ110" i="20" s="1"/>
  <c r="AQ111" i="20" s="1"/>
  <c r="W108" i="20"/>
  <c r="X108" i="20" s="1"/>
  <c r="V108" i="20"/>
  <c r="U108" i="20"/>
  <c r="R108" i="20"/>
  <c r="N108" i="20"/>
  <c r="J108" i="20"/>
  <c r="G108" i="20"/>
  <c r="D108" i="20"/>
  <c r="X107" i="20"/>
  <c r="W107" i="20"/>
  <c r="V107" i="20"/>
  <c r="U107" i="20"/>
  <c r="R107" i="20"/>
  <c r="N107" i="20"/>
  <c r="J107" i="20"/>
  <c r="G107" i="20"/>
  <c r="D107" i="20"/>
  <c r="W106" i="20"/>
  <c r="X106" i="20" s="1"/>
  <c r="V106" i="20"/>
  <c r="U106" i="20"/>
  <c r="R106" i="20"/>
  <c r="N106" i="20"/>
  <c r="J106" i="20"/>
  <c r="G106" i="20"/>
  <c r="D106" i="20"/>
  <c r="W105" i="20"/>
  <c r="V105" i="20"/>
  <c r="X105" i="20" s="1"/>
  <c r="U105" i="20"/>
  <c r="R105" i="20"/>
  <c r="N105" i="20"/>
  <c r="J105" i="20"/>
  <c r="G105" i="20"/>
  <c r="D105" i="20"/>
  <c r="AM104" i="20"/>
  <c r="AM105" i="20" s="1"/>
  <c r="AM106" i="20" s="1"/>
  <c r="AM107" i="20" s="1"/>
  <c r="AM108" i="20" s="1"/>
  <c r="AM109" i="20" s="1"/>
  <c r="AM110" i="20" s="1"/>
  <c r="AM111" i="20" s="1"/>
  <c r="AE104" i="20"/>
  <c r="AE105" i="20" s="1"/>
  <c r="AE106" i="20" s="1"/>
  <c r="AE107" i="20" s="1"/>
  <c r="AE108" i="20" s="1"/>
  <c r="AE109" i="20" s="1"/>
  <c r="AE110" i="20" s="1"/>
  <c r="AE111" i="20" s="1"/>
  <c r="W104" i="20"/>
  <c r="V104" i="20"/>
  <c r="U104" i="20"/>
  <c r="R104" i="20"/>
  <c r="N104" i="20"/>
  <c r="J104" i="20"/>
  <c r="G104" i="20"/>
  <c r="D104" i="20"/>
  <c r="AF103" i="20"/>
  <c r="W103" i="20"/>
  <c r="X103" i="20" s="1"/>
  <c r="V103" i="20"/>
  <c r="U103" i="20"/>
  <c r="R103" i="20"/>
  <c r="N103" i="20"/>
  <c r="J103" i="20"/>
  <c r="G103" i="20"/>
  <c r="D103" i="20"/>
  <c r="AM102" i="20"/>
  <c r="AM103" i="20" s="1"/>
  <c r="AL102" i="20"/>
  <c r="AI102" i="20"/>
  <c r="AT102" i="20" s="1"/>
  <c r="AG102" i="20"/>
  <c r="AB102" i="20"/>
  <c r="AB103" i="20" s="1"/>
  <c r="AB104" i="20" s="1"/>
  <c r="AB105" i="20" s="1"/>
  <c r="AB106" i="20" s="1"/>
  <c r="AB107" i="20" s="1"/>
  <c r="AB108" i="20" s="1"/>
  <c r="AB109" i="20" s="1"/>
  <c r="AB110" i="20" s="1"/>
  <c r="AB111" i="20" s="1"/>
  <c r="W102" i="20"/>
  <c r="X102" i="20" s="1"/>
  <c r="V102" i="20"/>
  <c r="U102" i="20"/>
  <c r="R102" i="20"/>
  <c r="N102" i="20"/>
  <c r="J102" i="20"/>
  <c r="G102" i="20"/>
  <c r="D102" i="20"/>
  <c r="AQ101" i="20"/>
  <c r="AQ102" i="20" s="1"/>
  <c r="AQ103" i="20" s="1"/>
  <c r="AQ104" i="20" s="1"/>
  <c r="AQ105" i="20" s="1"/>
  <c r="AQ106" i="20" s="1"/>
  <c r="AQ107" i="20" s="1"/>
  <c r="AN101" i="20"/>
  <c r="AN102" i="20" s="1"/>
  <c r="AN103" i="20" s="1"/>
  <c r="AN104" i="20" s="1"/>
  <c r="AN105" i="20" s="1"/>
  <c r="AN106" i="20" s="1"/>
  <c r="AN107" i="20" s="1"/>
  <c r="AN108" i="20" s="1"/>
  <c r="AN109" i="20" s="1"/>
  <c r="AN110" i="20" s="1"/>
  <c r="AN111" i="20" s="1"/>
  <c r="AM101" i="20"/>
  <c r="AL101" i="20"/>
  <c r="AK101" i="20"/>
  <c r="AJ101" i="20"/>
  <c r="AJ102" i="20" s="1"/>
  <c r="AI101" i="20"/>
  <c r="AT101" i="20" s="1"/>
  <c r="AH101" i="20"/>
  <c r="AH102" i="20" s="1"/>
  <c r="AH103" i="20" s="1"/>
  <c r="AH104" i="20" s="1"/>
  <c r="AH105" i="20" s="1"/>
  <c r="AH106" i="20" s="1"/>
  <c r="AH107" i="20" s="1"/>
  <c r="AH108" i="20" s="1"/>
  <c r="AH109" i="20" s="1"/>
  <c r="AH110" i="20" s="1"/>
  <c r="AH111" i="20" s="1"/>
  <c r="AG101" i="20"/>
  <c r="AF101" i="20"/>
  <c r="AF102" i="20" s="1"/>
  <c r="AB101" i="20"/>
  <c r="W101" i="20"/>
  <c r="X101" i="20" s="1"/>
  <c r="V101" i="20"/>
  <c r="U101" i="20"/>
  <c r="R101" i="20"/>
  <c r="N101" i="20"/>
  <c r="J101" i="20"/>
  <c r="G101" i="20"/>
  <c r="D101" i="20"/>
  <c r="AU100" i="20"/>
  <c r="AY100" i="20" s="1"/>
  <c r="AT100" i="20"/>
  <c r="AS100" i="20"/>
  <c r="AQ100" i="20"/>
  <c r="AP100" i="20"/>
  <c r="AP101" i="20" s="1"/>
  <c r="AO100" i="20"/>
  <c r="AN100" i="20"/>
  <c r="AM100" i="20"/>
  <c r="AL100" i="20"/>
  <c r="AJ100" i="20"/>
  <c r="AK100" i="20" s="1"/>
  <c r="AI100" i="20"/>
  <c r="AH100" i="20"/>
  <c r="AF100" i="20"/>
  <c r="AE100" i="20"/>
  <c r="AE101" i="20" s="1"/>
  <c r="AE102" i="20" s="1"/>
  <c r="AE103" i="20" s="1"/>
  <c r="AD100" i="20"/>
  <c r="AC100" i="20"/>
  <c r="AC101" i="20" s="1"/>
  <c r="AB100" i="20"/>
  <c r="Z100" i="20"/>
  <c r="Z101" i="20" s="1"/>
  <c r="Y100" i="20"/>
  <c r="W100" i="20"/>
  <c r="X100" i="20" s="1"/>
  <c r="V100" i="20"/>
  <c r="U100" i="20"/>
  <c r="R100" i="20"/>
  <c r="N100" i="20"/>
  <c r="J100" i="20"/>
  <c r="G100" i="20"/>
  <c r="D100" i="20"/>
  <c r="W99" i="20"/>
  <c r="V99" i="20"/>
  <c r="U99" i="20"/>
  <c r="R99" i="20"/>
  <c r="N99" i="20"/>
  <c r="J99" i="20"/>
  <c r="G99" i="20"/>
  <c r="D99" i="20"/>
  <c r="W98" i="20"/>
  <c r="V98" i="20"/>
  <c r="X98" i="20" s="1"/>
  <c r="U98" i="20"/>
  <c r="R98" i="20"/>
  <c r="N98" i="20"/>
  <c r="J98" i="20"/>
  <c r="G98" i="20"/>
  <c r="D98" i="20"/>
  <c r="W97" i="20"/>
  <c r="V97" i="20"/>
  <c r="X97" i="20" s="1"/>
  <c r="U97" i="20"/>
  <c r="R97" i="20"/>
  <c r="N97" i="20"/>
  <c r="J97" i="20"/>
  <c r="G97" i="20"/>
  <c r="D97" i="20"/>
  <c r="W96" i="20"/>
  <c r="X96" i="20" s="1"/>
  <c r="V96" i="20"/>
  <c r="U96" i="20"/>
  <c r="R96" i="20"/>
  <c r="N96" i="20"/>
  <c r="J96" i="20"/>
  <c r="G96" i="20"/>
  <c r="D96" i="20"/>
  <c r="AM95" i="20"/>
  <c r="AM96" i="20" s="1"/>
  <c r="AM97" i="20" s="1"/>
  <c r="AM98" i="20" s="1"/>
  <c r="AM99" i="20" s="1"/>
  <c r="AE95" i="20"/>
  <c r="AE96" i="20" s="1"/>
  <c r="AE97" i="20" s="1"/>
  <c r="AE98" i="20" s="1"/>
  <c r="AE99" i="20" s="1"/>
  <c r="W95" i="20"/>
  <c r="X95" i="20" s="1"/>
  <c r="V95" i="20"/>
  <c r="U95" i="20"/>
  <c r="R95" i="20"/>
  <c r="N95" i="20"/>
  <c r="J95" i="20"/>
  <c r="G95" i="20"/>
  <c r="D95" i="20"/>
  <c r="AQ94" i="20"/>
  <c r="AQ95" i="20" s="1"/>
  <c r="AQ96" i="20" s="1"/>
  <c r="AQ97" i="20" s="1"/>
  <c r="AQ98" i="20" s="1"/>
  <c r="AQ99" i="20" s="1"/>
  <c r="W94" i="20"/>
  <c r="V94" i="20"/>
  <c r="X94" i="20" s="1"/>
  <c r="U94" i="20"/>
  <c r="R94" i="20"/>
  <c r="N94" i="20"/>
  <c r="J94" i="20"/>
  <c r="G94" i="20"/>
  <c r="D94" i="20"/>
  <c r="X93" i="20"/>
  <c r="W93" i="20"/>
  <c r="V93" i="20"/>
  <c r="U93" i="20"/>
  <c r="R93" i="20"/>
  <c r="N93" i="20"/>
  <c r="J93" i="20"/>
  <c r="G93" i="20"/>
  <c r="D93" i="20"/>
  <c r="AJ92" i="20"/>
  <c r="AJ93" i="20" s="1"/>
  <c r="X92" i="20"/>
  <c r="W92" i="20"/>
  <c r="V92" i="20"/>
  <c r="U92" i="20"/>
  <c r="R92" i="20"/>
  <c r="N92" i="20"/>
  <c r="J92" i="20"/>
  <c r="G92" i="20"/>
  <c r="D92" i="20"/>
  <c r="AM91" i="20"/>
  <c r="AM92" i="20" s="1"/>
  <c r="AM93" i="20" s="1"/>
  <c r="AM94" i="20" s="1"/>
  <c r="AJ91" i="20"/>
  <c r="Z91" i="20"/>
  <c r="W91" i="20"/>
  <c r="V91" i="20"/>
  <c r="X91" i="20" s="1"/>
  <c r="U91" i="20"/>
  <c r="R91" i="20"/>
  <c r="N91" i="20"/>
  <c r="J91" i="20"/>
  <c r="G91" i="20"/>
  <c r="D91" i="20"/>
  <c r="AQ90" i="20"/>
  <c r="AQ91" i="20" s="1"/>
  <c r="AQ92" i="20" s="1"/>
  <c r="AQ93" i="20" s="1"/>
  <c r="AM90" i="20"/>
  <c r="AL90" i="20"/>
  <c r="AC90" i="20"/>
  <c r="Z90" i="20"/>
  <c r="Y90" i="20"/>
  <c r="W90" i="20"/>
  <c r="X90" i="20" s="1"/>
  <c r="V90" i="20"/>
  <c r="U90" i="20"/>
  <c r="R90" i="20"/>
  <c r="N90" i="20"/>
  <c r="J90" i="20"/>
  <c r="G90" i="20"/>
  <c r="D90" i="20"/>
  <c r="AQ89" i="20"/>
  <c r="AM89" i="20"/>
  <c r="AL89" i="20"/>
  <c r="AJ89" i="20"/>
  <c r="AJ90" i="20" s="1"/>
  <c r="AF89" i="20"/>
  <c r="AE89" i="20"/>
  <c r="AE90" i="20" s="1"/>
  <c r="AE91" i="20" s="1"/>
  <c r="AE92" i="20" s="1"/>
  <c r="AE93" i="20" s="1"/>
  <c r="AE94" i="20" s="1"/>
  <c r="AA89" i="20"/>
  <c r="Y89" i="20"/>
  <c r="W89" i="20"/>
  <c r="X89" i="20" s="1"/>
  <c r="V89" i="20"/>
  <c r="U89" i="20"/>
  <c r="R89" i="20"/>
  <c r="N89" i="20"/>
  <c r="J89" i="20"/>
  <c r="G89" i="20"/>
  <c r="D89" i="20"/>
  <c r="AQ88" i="20"/>
  <c r="AP88" i="20"/>
  <c r="AN88" i="20"/>
  <c r="AU88" i="20" s="1"/>
  <c r="AM88" i="20"/>
  <c r="AL88" i="20"/>
  <c r="AO88" i="20" s="1"/>
  <c r="AJ88" i="20"/>
  <c r="AI88" i="20"/>
  <c r="AH88" i="20"/>
  <c r="AH89" i="20" s="1"/>
  <c r="AH90" i="20" s="1"/>
  <c r="AH91" i="20" s="1"/>
  <c r="AH92" i="20" s="1"/>
  <c r="AH93" i="20" s="1"/>
  <c r="AH94" i="20" s="1"/>
  <c r="AH95" i="20" s="1"/>
  <c r="AH96" i="20" s="1"/>
  <c r="AH97" i="20" s="1"/>
  <c r="AH98" i="20" s="1"/>
  <c r="AH99" i="20" s="1"/>
  <c r="AG88" i="20"/>
  <c r="AF88" i="20"/>
  <c r="AE88" i="20"/>
  <c r="AC88" i="20"/>
  <c r="AC89" i="20" s="1"/>
  <c r="AB88" i="20"/>
  <c r="AA88" i="20"/>
  <c r="Z88" i="20"/>
  <c r="Z89" i="20" s="1"/>
  <c r="Y88" i="20"/>
  <c r="X88" i="20"/>
  <c r="W88" i="20"/>
  <c r="V88" i="20"/>
  <c r="U88" i="20"/>
  <c r="R88" i="20"/>
  <c r="N88" i="20"/>
  <c r="J88" i="20"/>
  <c r="G88" i="20"/>
  <c r="D88" i="20"/>
  <c r="AN87" i="20"/>
  <c r="W87" i="20"/>
  <c r="V87" i="20"/>
  <c r="U87" i="20"/>
  <c r="R87" i="20"/>
  <c r="N87" i="20"/>
  <c r="J87" i="20"/>
  <c r="G87" i="20"/>
  <c r="D87" i="20"/>
  <c r="W86" i="20"/>
  <c r="X86" i="20" s="1"/>
  <c r="V86" i="20"/>
  <c r="U86" i="20"/>
  <c r="R86" i="20"/>
  <c r="N86" i="20"/>
  <c r="J86" i="20"/>
  <c r="G86" i="20"/>
  <c r="D86" i="20"/>
  <c r="AE85" i="20"/>
  <c r="AE86" i="20" s="1"/>
  <c r="AE87" i="20" s="1"/>
  <c r="X85" i="20"/>
  <c r="W85" i="20"/>
  <c r="V85" i="20"/>
  <c r="U85" i="20"/>
  <c r="R85" i="20"/>
  <c r="N85" i="20"/>
  <c r="J85" i="20"/>
  <c r="G85" i="20"/>
  <c r="D85" i="20"/>
  <c r="X84" i="20"/>
  <c r="W84" i="20"/>
  <c r="V84" i="20"/>
  <c r="U84" i="20"/>
  <c r="R84" i="20"/>
  <c r="N84" i="20"/>
  <c r="J84" i="20"/>
  <c r="G84" i="20"/>
  <c r="D84" i="20"/>
  <c r="AN83" i="20"/>
  <c r="AN84" i="20" s="1"/>
  <c r="AN85" i="20" s="1"/>
  <c r="AN86" i="20" s="1"/>
  <c r="AH83" i="20"/>
  <c r="AH84" i="20" s="1"/>
  <c r="AH85" i="20" s="1"/>
  <c r="AH86" i="20" s="1"/>
  <c r="AH87" i="20" s="1"/>
  <c r="W83" i="20"/>
  <c r="V83" i="20"/>
  <c r="X83" i="20" s="1"/>
  <c r="U83" i="20"/>
  <c r="R83" i="20"/>
  <c r="N83" i="20"/>
  <c r="J83" i="20"/>
  <c r="G83" i="20"/>
  <c r="D83" i="20"/>
  <c r="W82" i="20"/>
  <c r="V82" i="20"/>
  <c r="U82" i="20"/>
  <c r="R82" i="20"/>
  <c r="N82" i="20"/>
  <c r="J82" i="20"/>
  <c r="G82" i="20"/>
  <c r="D82" i="20"/>
  <c r="W81" i="20"/>
  <c r="X81" i="20" s="1"/>
  <c r="V81" i="20"/>
  <c r="U81" i="20"/>
  <c r="R81" i="20"/>
  <c r="N81" i="20"/>
  <c r="J81" i="20"/>
  <c r="G81" i="20"/>
  <c r="D81" i="20"/>
  <c r="W80" i="20"/>
  <c r="V80" i="20"/>
  <c r="U80" i="20"/>
  <c r="R80" i="20"/>
  <c r="N80" i="20"/>
  <c r="J80" i="20"/>
  <c r="G80" i="20"/>
  <c r="D80" i="20"/>
  <c r="AN79" i="20"/>
  <c r="AN80" i="20" s="1"/>
  <c r="AN81" i="20" s="1"/>
  <c r="AN82" i="20" s="1"/>
  <c r="W79" i="20"/>
  <c r="X79" i="20" s="1"/>
  <c r="V79" i="20"/>
  <c r="U79" i="20"/>
  <c r="R79" i="20"/>
  <c r="N79" i="20"/>
  <c r="J79" i="20"/>
  <c r="G79" i="20"/>
  <c r="D79" i="20"/>
  <c r="AQ78" i="20"/>
  <c r="AQ79" i="20" s="1"/>
  <c r="AQ80" i="20" s="1"/>
  <c r="AQ81" i="20" s="1"/>
  <c r="AQ82" i="20" s="1"/>
  <c r="AQ83" i="20" s="1"/>
  <c r="AQ84" i="20" s="1"/>
  <c r="AQ85" i="20" s="1"/>
  <c r="AQ86" i="20" s="1"/>
  <c r="AQ87" i="20" s="1"/>
  <c r="AP78" i="20"/>
  <c r="AL78" i="20"/>
  <c r="Y78" i="20"/>
  <c r="W78" i="20"/>
  <c r="X78" i="20" s="1"/>
  <c r="V78" i="20"/>
  <c r="U78" i="20"/>
  <c r="R78" i="20"/>
  <c r="N78" i="20"/>
  <c r="J78" i="20"/>
  <c r="G78" i="20"/>
  <c r="D78" i="20"/>
  <c r="AQ77" i="20"/>
  <c r="AP77" i="20"/>
  <c r="AN77" i="20"/>
  <c r="AN78" i="20" s="1"/>
  <c r="AJ77" i="20"/>
  <c r="AE77" i="20"/>
  <c r="AE78" i="20" s="1"/>
  <c r="AE79" i="20" s="1"/>
  <c r="AE80" i="20" s="1"/>
  <c r="AE81" i="20" s="1"/>
  <c r="AE82" i="20" s="1"/>
  <c r="AE83" i="20" s="1"/>
  <c r="AE84" i="20" s="1"/>
  <c r="AC77" i="20"/>
  <c r="Z77" i="20"/>
  <c r="Y77" i="20"/>
  <c r="W77" i="20"/>
  <c r="X77" i="20" s="1"/>
  <c r="V77" i="20"/>
  <c r="U77" i="20"/>
  <c r="R77" i="20"/>
  <c r="N77" i="20"/>
  <c r="J77" i="20"/>
  <c r="G77" i="20"/>
  <c r="D77" i="20"/>
  <c r="AT76" i="20"/>
  <c r="AR76" i="20"/>
  <c r="AQ76" i="20"/>
  <c r="AP76" i="20"/>
  <c r="AN76" i="20"/>
  <c r="AM76" i="20"/>
  <c r="AL76" i="20"/>
  <c r="AL77" i="20" s="1"/>
  <c r="AJ76" i="20"/>
  <c r="AK76" i="20" s="1"/>
  <c r="AI76" i="20"/>
  <c r="AI77" i="20" s="1"/>
  <c r="AH76" i="20"/>
  <c r="AH77" i="20" s="1"/>
  <c r="AH78" i="20" s="1"/>
  <c r="AH79" i="20" s="1"/>
  <c r="AH80" i="20" s="1"/>
  <c r="AH81" i="20" s="1"/>
  <c r="AH82" i="20" s="1"/>
  <c r="AG76" i="20"/>
  <c r="AF76" i="20"/>
  <c r="AF77" i="20" s="1"/>
  <c r="AE76" i="20"/>
  <c r="AC76" i="20"/>
  <c r="AB76" i="20"/>
  <c r="AB77" i="20" s="1"/>
  <c r="AA76" i="20"/>
  <c r="Z76" i="20"/>
  <c r="Y76" i="20"/>
  <c r="W76" i="20"/>
  <c r="V76" i="20"/>
  <c r="X76" i="20" s="1"/>
  <c r="U76" i="20"/>
  <c r="R76" i="20"/>
  <c r="N76" i="20"/>
  <c r="J76" i="20"/>
  <c r="G76" i="20"/>
  <c r="D76" i="20"/>
  <c r="X75" i="20"/>
  <c r="W75" i="20"/>
  <c r="V75" i="20"/>
  <c r="U75" i="20"/>
  <c r="R75" i="20"/>
  <c r="N75" i="20"/>
  <c r="J75" i="20"/>
  <c r="G75" i="20"/>
  <c r="D75" i="20"/>
  <c r="X74" i="20"/>
  <c r="W74" i="20"/>
  <c r="V74" i="20"/>
  <c r="U74" i="20"/>
  <c r="R74" i="20"/>
  <c r="N74" i="20"/>
  <c r="J74" i="20"/>
  <c r="G74" i="20"/>
  <c r="D74" i="20"/>
  <c r="W73" i="20"/>
  <c r="X73" i="20" s="1"/>
  <c r="V73" i="20"/>
  <c r="U73" i="20"/>
  <c r="R73" i="20"/>
  <c r="N73" i="20"/>
  <c r="J73" i="20"/>
  <c r="G73" i="20"/>
  <c r="D73" i="20"/>
  <c r="X72" i="20"/>
  <c r="W72" i="20"/>
  <c r="V72" i="20"/>
  <c r="U72" i="20"/>
  <c r="R72" i="20"/>
  <c r="N72" i="20"/>
  <c r="J72" i="20"/>
  <c r="G72" i="20"/>
  <c r="D72" i="20"/>
  <c r="AM71" i="20"/>
  <c r="AM72" i="20" s="1"/>
  <c r="AM73" i="20" s="1"/>
  <c r="AM74" i="20" s="1"/>
  <c r="AM75" i="20" s="1"/>
  <c r="W71" i="20"/>
  <c r="X71" i="20" s="1"/>
  <c r="V71" i="20"/>
  <c r="U71" i="20"/>
  <c r="R71" i="20"/>
  <c r="N71" i="20"/>
  <c r="J71" i="20"/>
  <c r="G71" i="20"/>
  <c r="D71" i="20"/>
  <c r="W70" i="20"/>
  <c r="V70" i="20"/>
  <c r="X70" i="20" s="1"/>
  <c r="U70" i="20"/>
  <c r="R70" i="20"/>
  <c r="N70" i="20"/>
  <c r="J70" i="20"/>
  <c r="G70" i="20"/>
  <c r="D70" i="20"/>
  <c r="W69" i="20"/>
  <c r="V69" i="20"/>
  <c r="U69" i="20"/>
  <c r="R69" i="20"/>
  <c r="N69" i="20"/>
  <c r="J69" i="20"/>
  <c r="G69" i="20"/>
  <c r="D69" i="20"/>
  <c r="W68" i="20"/>
  <c r="V68" i="20"/>
  <c r="X68" i="20" s="1"/>
  <c r="U68" i="20"/>
  <c r="R68" i="20"/>
  <c r="N68" i="20"/>
  <c r="J68" i="20"/>
  <c r="G68" i="20"/>
  <c r="D68" i="20"/>
  <c r="W67" i="20"/>
  <c r="V67" i="20"/>
  <c r="U67" i="20"/>
  <c r="R67" i="20"/>
  <c r="N67" i="20"/>
  <c r="J67" i="20"/>
  <c r="G67" i="20"/>
  <c r="D67" i="20"/>
  <c r="AL66" i="20"/>
  <c r="AF66" i="20"/>
  <c r="AB66" i="20"/>
  <c r="AB67" i="20" s="1"/>
  <c r="AB68" i="20" s="1"/>
  <c r="AB69" i="20" s="1"/>
  <c r="AB70" i="20" s="1"/>
  <c r="AB71" i="20" s="1"/>
  <c r="AB72" i="20" s="1"/>
  <c r="AB73" i="20" s="1"/>
  <c r="AB74" i="20" s="1"/>
  <c r="AB75" i="20" s="1"/>
  <c r="X66" i="20"/>
  <c r="W66" i="20"/>
  <c r="V66" i="20"/>
  <c r="U66" i="20"/>
  <c r="R66" i="20"/>
  <c r="N66" i="20"/>
  <c r="J66" i="20"/>
  <c r="G66" i="20"/>
  <c r="D66" i="20"/>
  <c r="AP65" i="20"/>
  <c r="AE65" i="20"/>
  <c r="AE66" i="20" s="1"/>
  <c r="AE67" i="20" s="1"/>
  <c r="AE68" i="20" s="1"/>
  <c r="AE69" i="20" s="1"/>
  <c r="AE70" i="20" s="1"/>
  <c r="AE71" i="20" s="1"/>
  <c r="AE72" i="20" s="1"/>
  <c r="AE73" i="20" s="1"/>
  <c r="AE74" i="20" s="1"/>
  <c r="AE75" i="20" s="1"/>
  <c r="AC65" i="20"/>
  <c r="AB65" i="20"/>
  <c r="AA65" i="20"/>
  <c r="Z65" i="20"/>
  <c r="Y65" i="20"/>
  <c r="W65" i="20"/>
  <c r="X65" i="20" s="1"/>
  <c r="V65" i="20"/>
  <c r="U65" i="20"/>
  <c r="R65" i="20"/>
  <c r="N65" i="20"/>
  <c r="J65" i="20"/>
  <c r="G65" i="20"/>
  <c r="D65" i="20"/>
  <c r="AR64" i="20"/>
  <c r="AQ64" i="20"/>
  <c r="AQ65" i="20" s="1"/>
  <c r="AQ66" i="20" s="1"/>
  <c r="AQ67" i="20" s="1"/>
  <c r="AQ68" i="20" s="1"/>
  <c r="AQ69" i="20" s="1"/>
  <c r="AQ70" i="20" s="1"/>
  <c r="AQ71" i="20" s="1"/>
  <c r="AQ72" i="20" s="1"/>
  <c r="AQ73" i="20" s="1"/>
  <c r="AQ74" i="20" s="1"/>
  <c r="AQ75" i="20" s="1"/>
  <c r="AP64" i="20"/>
  <c r="AN64" i="20"/>
  <c r="AN65" i="20" s="1"/>
  <c r="AN66" i="20" s="1"/>
  <c r="AN67" i="20" s="1"/>
  <c r="AN68" i="20" s="1"/>
  <c r="AN69" i="20" s="1"/>
  <c r="AN70" i="20" s="1"/>
  <c r="AN71" i="20" s="1"/>
  <c r="AN72" i="20" s="1"/>
  <c r="AN73" i="20" s="1"/>
  <c r="AN74" i="20" s="1"/>
  <c r="AN75" i="20" s="1"/>
  <c r="AM64" i="20"/>
  <c r="AM65" i="20" s="1"/>
  <c r="AM66" i="20" s="1"/>
  <c r="AM67" i="20" s="1"/>
  <c r="AM68" i="20" s="1"/>
  <c r="AM69" i="20" s="1"/>
  <c r="AM70" i="20" s="1"/>
  <c r="AL64" i="20"/>
  <c r="AL65" i="20" s="1"/>
  <c r="AJ64" i="20"/>
  <c r="AJ65" i="20" s="1"/>
  <c r="AI64" i="20"/>
  <c r="AH64" i="20"/>
  <c r="AG64" i="20"/>
  <c r="AF64" i="20"/>
  <c r="AF65" i="20" s="1"/>
  <c r="AE64" i="20"/>
  <c r="AC64" i="20"/>
  <c r="AB64" i="20"/>
  <c r="Z64" i="20"/>
  <c r="Y64" i="20"/>
  <c r="W64" i="20"/>
  <c r="V64" i="20"/>
  <c r="X64" i="20" s="1"/>
  <c r="U64" i="20"/>
  <c r="R64" i="20"/>
  <c r="N64" i="20"/>
  <c r="J64" i="20"/>
  <c r="G64" i="20"/>
  <c r="D64" i="20"/>
  <c r="X63" i="20"/>
  <c r="W63" i="20"/>
  <c r="V63" i="20"/>
  <c r="U63" i="20"/>
  <c r="R63" i="20"/>
  <c r="N63" i="20"/>
  <c r="J63" i="20"/>
  <c r="G63" i="20"/>
  <c r="D63" i="20"/>
  <c r="W62" i="20"/>
  <c r="V62" i="20"/>
  <c r="X62" i="20" s="1"/>
  <c r="U62" i="20"/>
  <c r="R62" i="20"/>
  <c r="N62" i="20"/>
  <c r="J62" i="20"/>
  <c r="G62" i="20"/>
  <c r="D62" i="20"/>
  <c r="X61" i="20"/>
  <c r="W61" i="20"/>
  <c r="V61" i="20"/>
  <c r="U61" i="20"/>
  <c r="R61" i="20"/>
  <c r="N61" i="20"/>
  <c r="J61" i="20"/>
  <c r="G61" i="20"/>
  <c r="D61" i="20"/>
  <c r="AB60" i="20"/>
  <c r="AB61" i="20" s="1"/>
  <c r="AB62" i="20" s="1"/>
  <c r="AB63" i="20" s="1"/>
  <c r="W60" i="20"/>
  <c r="V60" i="20"/>
  <c r="U60" i="20"/>
  <c r="R60" i="20"/>
  <c r="N60" i="20"/>
  <c r="J60" i="20"/>
  <c r="G60" i="20"/>
  <c r="D60" i="20"/>
  <c r="W59" i="20"/>
  <c r="V59" i="20"/>
  <c r="X59" i="20" s="1"/>
  <c r="U59" i="20"/>
  <c r="R59" i="20"/>
  <c r="N59" i="20"/>
  <c r="J59" i="20"/>
  <c r="G59" i="20"/>
  <c r="D59" i="20"/>
  <c r="X58" i="20"/>
  <c r="W58" i="20"/>
  <c r="V58" i="20"/>
  <c r="U58" i="20"/>
  <c r="R58" i="20"/>
  <c r="N58" i="20"/>
  <c r="J58" i="20"/>
  <c r="G58" i="20"/>
  <c r="D58" i="20"/>
  <c r="AN57" i="20"/>
  <c r="AN58" i="20" s="1"/>
  <c r="AN59" i="20" s="1"/>
  <c r="AN60" i="20" s="1"/>
  <c r="AN61" i="20" s="1"/>
  <c r="AN62" i="20" s="1"/>
  <c r="AN63" i="20" s="1"/>
  <c r="AJ57" i="20"/>
  <c r="AJ58" i="20" s="1"/>
  <c r="AJ59" i="20" s="1"/>
  <c r="W57" i="20"/>
  <c r="X57" i="20" s="1"/>
  <c r="V57" i="20"/>
  <c r="U57" i="20"/>
  <c r="R57" i="20"/>
  <c r="N57" i="20"/>
  <c r="J57" i="20"/>
  <c r="G57" i="20"/>
  <c r="D57" i="20"/>
  <c r="AQ56" i="20"/>
  <c r="AQ57" i="20" s="1"/>
  <c r="AQ58" i="20" s="1"/>
  <c r="AQ59" i="20" s="1"/>
  <c r="AQ60" i="20" s="1"/>
  <c r="AQ61" i="20" s="1"/>
  <c r="AQ62" i="20" s="1"/>
  <c r="AQ63" i="20" s="1"/>
  <c r="AH56" i="20"/>
  <c r="AH57" i="20" s="1"/>
  <c r="AH58" i="20" s="1"/>
  <c r="AH59" i="20" s="1"/>
  <c r="AH60" i="20" s="1"/>
  <c r="AH61" i="20" s="1"/>
  <c r="AH62" i="20" s="1"/>
  <c r="AH63" i="20" s="1"/>
  <c r="W56" i="20"/>
  <c r="X56" i="20" s="1"/>
  <c r="V56" i="20"/>
  <c r="U56" i="20"/>
  <c r="R56" i="20"/>
  <c r="N56" i="20"/>
  <c r="J56" i="20"/>
  <c r="G56" i="20"/>
  <c r="D56" i="20"/>
  <c r="AQ55" i="20"/>
  <c r="AN55" i="20"/>
  <c r="AN56" i="20" s="1"/>
  <c r="AJ55" i="20"/>
  <c r="AJ56" i="20" s="1"/>
  <c r="W55" i="20"/>
  <c r="X55" i="20" s="1"/>
  <c r="V55" i="20"/>
  <c r="U55" i="20"/>
  <c r="R55" i="20"/>
  <c r="N55" i="20"/>
  <c r="J55" i="20"/>
  <c r="G55" i="20"/>
  <c r="D55" i="20"/>
  <c r="AJ54" i="20"/>
  <c r="W54" i="20"/>
  <c r="V54" i="20"/>
  <c r="X54" i="20" s="1"/>
  <c r="U54" i="20"/>
  <c r="R54" i="20"/>
  <c r="N54" i="20"/>
  <c r="J54" i="20"/>
  <c r="G54" i="20"/>
  <c r="D54" i="20"/>
  <c r="AQ53" i="20"/>
  <c r="AQ54" i="20" s="1"/>
  <c r="AP53" i="20"/>
  <c r="AI53" i="20"/>
  <c r="AH53" i="20"/>
  <c r="AH54" i="20" s="1"/>
  <c r="AH55" i="20" s="1"/>
  <c r="AE53" i="20"/>
  <c r="AE54" i="20" s="1"/>
  <c r="AE55" i="20" s="1"/>
  <c r="AE56" i="20" s="1"/>
  <c r="AE57" i="20" s="1"/>
  <c r="AE58" i="20" s="1"/>
  <c r="AE59" i="20" s="1"/>
  <c r="AE60" i="20" s="1"/>
  <c r="AE61" i="20" s="1"/>
  <c r="AE62" i="20" s="1"/>
  <c r="AE63" i="20" s="1"/>
  <c r="AC53" i="20"/>
  <c r="X53" i="20"/>
  <c r="W53" i="20"/>
  <c r="V53" i="20"/>
  <c r="U53" i="20"/>
  <c r="R53" i="20"/>
  <c r="N53" i="20"/>
  <c r="J53" i="20"/>
  <c r="G53" i="20"/>
  <c r="D53" i="20"/>
  <c r="AX52" i="20"/>
  <c r="AT52" i="20"/>
  <c r="AR52" i="20"/>
  <c r="AQ52" i="20"/>
  <c r="AP52" i="20"/>
  <c r="AN52" i="20"/>
  <c r="AN53" i="20" s="1"/>
  <c r="AN54" i="20" s="1"/>
  <c r="AM52" i="20"/>
  <c r="AM53" i="20" s="1"/>
  <c r="AM54" i="20" s="1"/>
  <c r="AM55" i="20" s="1"/>
  <c r="AM56" i="20" s="1"/>
  <c r="AM57" i="20" s="1"/>
  <c r="AM58" i="20" s="1"/>
  <c r="AM59" i="20" s="1"/>
  <c r="AM60" i="20" s="1"/>
  <c r="AM61" i="20" s="1"/>
  <c r="AM62" i="20" s="1"/>
  <c r="AM63" i="20" s="1"/>
  <c r="AL52" i="20"/>
  <c r="AJ52" i="20"/>
  <c r="AJ53" i="20" s="1"/>
  <c r="AI52" i="20"/>
  <c r="AK52" i="20" s="1"/>
  <c r="AH52" i="20"/>
  <c r="AF52" i="20"/>
  <c r="AE52" i="20"/>
  <c r="AD52" i="20"/>
  <c r="AC52" i="20"/>
  <c r="AB52" i="20"/>
  <c r="AB53" i="20" s="1"/>
  <c r="AB54" i="20" s="1"/>
  <c r="AB55" i="20" s="1"/>
  <c r="AB56" i="20" s="1"/>
  <c r="AB57" i="20" s="1"/>
  <c r="AB58" i="20" s="1"/>
  <c r="AB59" i="20" s="1"/>
  <c r="Z52" i="20"/>
  <c r="Y52" i="20"/>
  <c r="X52" i="20"/>
  <c r="W52" i="20"/>
  <c r="V52" i="20"/>
  <c r="U52" i="20"/>
  <c r="R52" i="20"/>
  <c r="N52" i="20"/>
  <c r="J52" i="20"/>
  <c r="G52" i="20"/>
  <c r="D52" i="20"/>
  <c r="W51" i="20"/>
  <c r="X51" i="20" s="1"/>
  <c r="V51" i="20"/>
  <c r="U51" i="20"/>
  <c r="R51" i="20"/>
  <c r="N51" i="20"/>
  <c r="J51" i="20"/>
  <c r="G51" i="20"/>
  <c r="D51" i="20"/>
  <c r="X50" i="20"/>
  <c r="W50" i="20"/>
  <c r="V50" i="20"/>
  <c r="U50" i="20"/>
  <c r="R50" i="20"/>
  <c r="N50" i="20"/>
  <c r="J50" i="20"/>
  <c r="G50" i="20"/>
  <c r="D50" i="20"/>
  <c r="W49" i="20"/>
  <c r="V49" i="20"/>
  <c r="U49" i="20"/>
  <c r="R49" i="20"/>
  <c r="N49" i="20"/>
  <c r="J49" i="20"/>
  <c r="G49" i="20"/>
  <c r="D49" i="20"/>
  <c r="W48" i="20"/>
  <c r="V48" i="20"/>
  <c r="X48" i="20" s="1"/>
  <c r="U48" i="20"/>
  <c r="R48" i="20"/>
  <c r="N48" i="20"/>
  <c r="J48" i="20"/>
  <c r="G48" i="20"/>
  <c r="D48" i="20"/>
  <c r="X47" i="20"/>
  <c r="W47" i="20"/>
  <c r="V47" i="20"/>
  <c r="U47" i="20"/>
  <c r="R47" i="20"/>
  <c r="N47" i="20"/>
  <c r="J47" i="20"/>
  <c r="G47" i="20"/>
  <c r="D47" i="20"/>
  <c r="W46" i="20"/>
  <c r="X46" i="20" s="1"/>
  <c r="V46" i="20"/>
  <c r="U46" i="20"/>
  <c r="R46" i="20"/>
  <c r="N46" i="20"/>
  <c r="J46" i="20"/>
  <c r="G46" i="20"/>
  <c r="D46" i="20"/>
  <c r="W45" i="20"/>
  <c r="V45" i="20"/>
  <c r="U45" i="20"/>
  <c r="R45" i="20"/>
  <c r="N45" i="20"/>
  <c r="J45" i="20"/>
  <c r="G45" i="20"/>
  <c r="D45" i="20"/>
  <c r="W44" i="20"/>
  <c r="X44" i="20" s="1"/>
  <c r="V44" i="20"/>
  <c r="U44" i="20"/>
  <c r="R44" i="20"/>
  <c r="N44" i="20"/>
  <c r="J44" i="20"/>
  <c r="G44" i="20"/>
  <c r="D44" i="20"/>
  <c r="Z43" i="20"/>
  <c r="W43" i="20"/>
  <c r="X43" i="20" s="1"/>
  <c r="V43" i="20"/>
  <c r="U43" i="20"/>
  <c r="R43" i="20"/>
  <c r="N43" i="20"/>
  <c r="J43" i="20"/>
  <c r="G43" i="20"/>
  <c r="D43" i="20"/>
  <c r="AI42" i="20"/>
  <c r="AH42" i="20"/>
  <c r="AH43" i="20" s="1"/>
  <c r="AH44" i="20" s="1"/>
  <c r="AH45" i="20" s="1"/>
  <c r="AH46" i="20" s="1"/>
  <c r="AH47" i="20" s="1"/>
  <c r="AH48" i="20" s="1"/>
  <c r="AH49" i="20" s="1"/>
  <c r="AH50" i="20" s="1"/>
  <c r="AH51" i="20" s="1"/>
  <c r="AE42" i="20"/>
  <c r="AE43" i="20" s="1"/>
  <c r="AE44" i="20" s="1"/>
  <c r="AE45" i="20" s="1"/>
  <c r="AE46" i="20" s="1"/>
  <c r="AE47" i="20" s="1"/>
  <c r="AE48" i="20" s="1"/>
  <c r="AE49" i="20" s="1"/>
  <c r="AE50" i="20" s="1"/>
  <c r="AE51" i="20" s="1"/>
  <c r="W42" i="20"/>
  <c r="X42" i="20" s="1"/>
  <c r="V42" i="20"/>
  <c r="U42" i="20"/>
  <c r="R42" i="20"/>
  <c r="N42" i="20"/>
  <c r="J42" i="20"/>
  <c r="G42" i="20"/>
  <c r="D42" i="20"/>
  <c r="AT41" i="20"/>
  <c r="AQ41" i="20"/>
  <c r="AQ42" i="20" s="1"/>
  <c r="AQ43" i="20" s="1"/>
  <c r="AQ44" i="20" s="1"/>
  <c r="AQ45" i="20" s="1"/>
  <c r="AQ46" i="20" s="1"/>
  <c r="AQ47" i="20" s="1"/>
  <c r="AQ48" i="20" s="1"/>
  <c r="AQ49" i="20" s="1"/>
  <c r="AQ50" i="20" s="1"/>
  <c r="AQ51" i="20" s="1"/>
  <c r="AL41" i="20"/>
  <c r="AL42" i="20" s="1"/>
  <c r="AL43" i="20" s="1"/>
  <c r="AL44" i="20" s="1"/>
  <c r="AI41" i="20"/>
  <c r="AH41" i="20"/>
  <c r="AB41" i="20"/>
  <c r="AB42" i="20" s="1"/>
  <c r="AB43" i="20" s="1"/>
  <c r="AB44" i="20" s="1"/>
  <c r="AB45" i="20" s="1"/>
  <c r="AB46" i="20" s="1"/>
  <c r="AB47" i="20" s="1"/>
  <c r="AB48" i="20" s="1"/>
  <c r="AB49" i="20" s="1"/>
  <c r="AB50" i="20" s="1"/>
  <c r="AB51" i="20" s="1"/>
  <c r="Z41" i="20"/>
  <c r="Z42" i="20" s="1"/>
  <c r="X41" i="20"/>
  <c r="W41" i="20"/>
  <c r="V41" i="20"/>
  <c r="U41" i="20"/>
  <c r="R41" i="20"/>
  <c r="N41" i="20"/>
  <c r="J41" i="20"/>
  <c r="G41" i="20"/>
  <c r="D41" i="20"/>
  <c r="AT40" i="20"/>
  <c r="AQ40" i="20"/>
  <c r="AP40" i="20"/>
  <c r="AN40" i="20"/>
  <c r="AM40" i="20"/>
  <c r="AM41" i="20" s="1"/>
  <c r="AM42" i="20" s="1"/>
  <c r="AL40" i="20"/>
  <c r="AJ40" i="20"/>
  <c r="AI40" i="20"/>
  <c r="AH40" i="20"/>
  <c r="AF40" i="20"/>
  <c r="AE40" i="20"/>
  <c r="AE41" i="20" s="1"/>
  <c r="AC40" i="20"/>
  <c r="AB40" i="20"/>
  <c r="Z40" i="20"/>
  <c r="Y40" i="20"/>
  <c r="X40" i="20"/>
  <c r="W40" i="20"/>
  <c r="V40" i="20"/>
  <c r="U40" i="20"/>
  <c r="R40" i="20"/>
  <c r="N40" i="20"/>
  <c r="J40" i="20"/>
  <c r="G40" i="20"/>
  <c r="D40" i="20"/>
  <c r="W39" i="20"/>
  <c r="X39" i="20" s="1"/>
  <c r="V39" i="20"/>
  <c r="U39" i="20"/>
  <c r="R39" i="20"/>
  <c r="N39" i="20"/>
  <c r="J39" i="20"/>
  <c r="G39" i="20"/>
  <c r="D39" i="20"/>
  <c r="W38" i="20"/>
  <c r="V38" i="20"/>
  <c r="U38" i="20"/>
  <c r="R38" i="20"/>
  <c r="N38" i="20"/>
  <c r="J38" i="20"/>
  <c r="G38" i="20"/>
  <c r="D38" i="20"/>
  <c r="W37" i="20"/>
  <c r="X37" i="20" s="1"/>
  <c r="V37" i="20"/>
  <c r="U37" i="20"/>
  <c r="R37" i="20"/>
  <c r="N37" i="20"/>
  <c r="J37" i="20"/>
  <c r="G37" i="20"/>
  <c r="D37" i="20"/>
  <c r="W36" i="20"/>
  <c r="X36" i="20" s="1"/>
  <c r="V36" i="20"/>
  <c r="U36" i="20"/>
  <c r="R36" i="20"/>
  <c r="N36" i="20"/>
  <c r="J36" i="20"/>
  <c r="G36" i="20"/>
  <c r="D36" i="20"/>
  <c r="W35" i="20"/>
  <c r="X35" i="20" s="1"/>
  <c r="V35" i="20"/>
  <c r="U35" i="20"/>
  <c r="R35" i="20"/>
  <c r="N35" i="20"/>
  <c r="J35" i="20"/>
  <c r="G35" i="20"/>
  <c r="D35" i="20"/>
  <c r="AJ34" i="20"/>
  <c r="X34" i="20"/>
  <c r="W34" i="20"/>
  <c r="V34" i="20"/>
  <c r="U34" i="20"/>
  <c r="R34" i="20"/>
  <c r="N34" i="20"/>
  <c r="J34" i="20"/>
  <c r="G34" i="20"/>
  <c r="D34" i="20"/>
  <c r="W33" i="20"/>
  <c r="V33" i="20"/>
  <c r="U33" i="20"/>
  <c r="R33" i="20"/>
  <c r="N33" i="20"/>
  <c r="J33" i="20"/>
  <c r="G33" i="20"/>
  <c r="D33" i="20"/>
  <c r="AJ32" i="20"/>
  <c r="AJ33" i="20" s="1"/>
  <c r="W32" i="20"/>
  <c r="V32" i="20"/>
  <c r="X32" i="20" s="1"/>
  <c r="U32" i="20"/>
  <c r="R32" i="20"/>
  <c r="N32" i="20"/>
  <c r="J32" i="20"/>
  <c r="G32" i="20"/>
  <c r="D32" i="20"/>
  <c r="AH31" i="20"/>
  <c r="AH32" i="20" s="1"/>
  <c r="AH33" i="20" s="1"/>
  <c r="AH34" i="20" s="1"/>
  <c r="AH35" i="20" s="1"/>
  <c r="AH36" i="20" s="1"/>
  <c r="AH37" i="20" s="1"/>
  <c r="AH38" i="20" s="1"/>
  <c r="AH39" i="20" s="1"/>
  <c r="X31" i="20"/>
  <c r="W31" i="20"/>
  <c r="V31" i="20"/>
  <c r="U31" i="20"/>
  <c r="R31" i="20"/>
  <c r="N31" i="20"/>
  <c r="J31" i="20"/>
  <c r="G31" i="20"/>
  <c r="D31" i="20"/>
  <c r="AR30" i="20"/>
  <c r="AQ30" i="20"/>
  <c r="AQ31" i="20" s="1"/>
  <c r="AQ32" i="20" s="1"/>
  <c r="AQ33" i="20" s="1"/>
  <c r="AQ34" i="20" s="1"/>
  <c r="AQ35" i="20" s="1"/>
  <c r="AQ36" i="20" s="1"/>
  <c r="AQ37" i="20" s="1"/>
  <c r="AQ38" i="20" s="1"/>
  <c r="AQ39" i="20" s="1"/>
  <c r="AP30" i="20"/>
  <c r="AP31" i="20" s="1"/>
  <c r="AN30" i="20"/>
  <c r="AN31" i="20" s="1"/>
  <c r="AN32" i="20" s="1"/>
  <c r="AN33" i="20" s="1"/>
  <c r="AN34" i="20" s="1"/>
  <c r="AN35" i="20" s="1"/>
  <c r="AN36" i="20" s="1"/>
  <c r="AN37" i="20" s="1"/>
  <c r="AN38" i="20" s="1"/>
  <c r="AN39" i="20" s="1"/>
  <c r="AM30" i="20"/>
  <c r="AM31" i="20" s="1"/>
  <c r="AM32" i="20" s="1"/>
  <c r="AM33" i="20" s="1"/>
  <c r="AM34" i="20" s="1"/>
  <c r="AM35" i="20" s="1"/>
  <c r="AM36" i="20" s="1"/>
  <c r="AM37" i="20" s="1"/>
  <c r="AM38" i="20" s="1"/>
  <c r="AM39" i="20" s="1"/>
  <c r="AF30" i="20"/>
  <c r="X30" i="20"/>
  <c r="W30" i="20"/>
  <c r="V30" i="20"/>
  <c r="U30" i="20"/>
  <c r="R30" i="20"/>
  <c r="N30" i="20"/>
  <c r="J30" i="20"/>
  <c r="G30" i="20"/>
  <c r="D30" i="20"/>
  <c r="AR29" i="20"/>
  <c r="AQ29" i="20"/>
  <c r="AP29" i="20"/>
  <c r="AN29" i="20"/>
  <c r="AM29" i="20"/>
  <c r="AL29" i="20"/>
  <c r="AJ29" i="20"/>
  <c r="AJ30" i="20" s="1"/>
  <c r="AJ31" i="20" s="1"/>
  <c r="AF29" i="20"/>
  <c r="Z29" i="20"/>
  <c r="Y29" i="20"/>
  <c r="W29" i="20"/>
  <c r="V29" i="20"/>
  <c r="U29" i="20"/>
  <c r="R29" i="20"/>
  <c r="N29" i="20"/>
  <c r="J29" i="20"/>
  <c r="G29" i="20"/>
  <c r="D29" i="20"/>
  <c r="AT28" i="20"/>
  <c r="AQ28" i="20"/>
  <c r="AR28" i="20" s="1"/>
  <c r="AP28" i="20"/>
  <c r="AO28" i="20"/>
  <c r="AN28" i="20"/>
  <c r="AM28" i="20"/>
  <c r="AL28" i="20"/>
  <c r="AJ28" i="20"/>
  <c r="AI28" i="20"/>
  <c r="AI29" i="20" s="1"/>
  <c r="AH28" i="20"/>
  <c r="AH29" i="20" s="1"/>
  <c r="AH30" i="20" s="1"/>
  <c r="AF28" i="20"/>
  <c r="AE28" i="20"/>
  <c r="AC28" i="20"/>
  <c r="AB28" i="20"/>
  <c r="AA28" i="20"/>
  <c r="Z28" i="20"/>
  <c r="Y28" i="20"/>
  <c r="W28" i="20"/>
  <c r="V28" i="20"/>
  <c r="U28" i="20"/>
  <c r="R28" i="20"/>
  <c r="N28" i="20"/>
  <c r="J28" i="20"/>
  <c r="G28" i="20"/>
  <c r="D28" i="20"/>
  <c r="W27" i="20"/>
  <c r="X27" i="20" s="1"/>
  <c r="V27" i="20"/>
  <c r="U27" i="20"/>
  <c r="R27" i="20"/>
  <c r="N27" i="20"/>
  <c r="J27" i="20"/>
  <c r="G27" i="20"/>
  <c r="D27" i="20"/>
  <c r="X26" i="20"/>
  <c r="W26" i="20"/>
  <c r="V26" i="20"/>
  <c r="U26" i="20"/>
  <c r="R26" i="20"/>
  <c r="N26" i="20"/>
  <c r="J26" i="20"/>
  <c r="G26" i="20"/>
  <c r="D26" i="20"/>
  <c r="AE25" i="20"/>
  <c r="AE26" i="20" s="1"/>
  <c r="AE27" i="20" s="1"/>
  <c r="W25" i="20"/>
  <c r="X25" i="20" s="1"/>
  <c r="V25" i="20"/>
  <c r="U25" i="20"/>
  <c r="R25" i="20"/>
  <c r="N25" i="20"/>
  <c r="J25" i="20"/>
  <c r="G25" i="20"/>
  <c r="D25" i="20"/>
  <c r="W24" i="20"/>
  <c r="V24" i="20"/>
  <c r="X24" i="20" s="1"/>
  <c r="U24" i="20"/>
  <c r="R24" i="20"/>
  <c r="N24" i="20"/>
  <c r="J24" i="20"/>
  <c r="G24" i="20"/>
  <c r="D24" i="20"/>
  <c r="AQ23" i="20"/>
  <c r="AQ24" i="20" s="1"/>
  <c r="AQ25" i="20" s="1"/>
  <c r="AQ26" i="20" s="1"/>
  <c r="AQ27" i="20" s="1"/>
  <c r="W23" i="20"/>
  <c r="X23" i="20" s="1"/>
  <c r="V23" i="20"/>
  <c r="U23" i="20"/>
  <c r="R23" i="20"/>
  <c r="N23" i="20"/>
  <c r="J23" i="20"/>
  <c r="G23" i="20"/>
  <c r="D23" i="20"/>
  <c r="X22" i="20"/>
  <c r="W22" i="20"/>
  <c r="V22" i="20"/>
  <c r="U22" i="20"/>
  <c r="R22" i="20"/>
  <c r="N22" i="20"/>
  <c r="J22" i="20"/>
  <c r="G22" i="20"/>
  <c r="D22" i="20"/>
  <c r="AB21" i="20"/>
  <c r="AB22" i="20" s="1"/>
  <c r="AB23" i="20" s="1"/>
  <c r="AB24" i="20" s="1"/>
  <c r="AB25" i="20" s="1"/>
  <c r="AB26" i="20" s="1"/>
  <c r="AB27" i="20" s="1"/>
  <c r="W21" i="20"/>
  <c r="V21" i="20"/>
  <c r="X21" i="20" s="1"/>
  <c r="U21" i="20"/>
  <c r="R21" i="20"/>
  <c r="N21" i="20"/>
  <c r="J21" i="20"/>
  <c r="G21" i="20"/>
  <c r="D21" i="20"/>
  <c r="AQ20" i="20"/>
  <c r="AQ21" i="20" s="1"/>
  <c r="AQ22" i="20" s="1"/>
  <c r="AN20" i="20"/>
  <c r="AN21" i="20" s="1"/>
  <c r="AN22" i="20" s="1"/>
  <c r="AN23" i="20" s="1"/>
  <c r="AN24" i="20" s="1"/>
  <c r="AN25" i="20" s="1"/>
  <c r="AN26" i="20" s="1"/>
  <c r="AN27" i="20" s="1"/>
  <c r="AJ20" i="20"/>
  <c r="AB20" i="20"/>
  <c r="W20" i="20"/>
  <c r="V20" i="20"/>
  <c r="U20" i="20"/>
  <c r="R20" i="20"/>
  <c r="N20" i="20"/>
  <c r="J20" i="20"/>
  <c r="G20" i="20"/>
  <c r="D20" i="20"/>
  <c r="AQ19" i="20"/>
  <c r="AP19" i="20"/>
  <c r="AP20" i="20" s="1"/>
  <c r="Y19" i="20"/>
  <c r="W19" i="20"/>
  <c r="V19" i="20"/>
  <c r="X19" i="20" s="1"/>
  <c r="U19" i="20"/>
  <c r="R19" i="20"/>
  <c r="N19" i="20"/>
  <c r="J19" i="20"/>
  <c r="G19" i="20"/>
  <c r="D19" i="20"/>
  <c r="AR18" i="20"/>
  <c r="AQ18" i="20"/>
  <c r="AP18" i="20"/>
  <c r="AM18" i="20"/>
  <c r="AM19" i="20" s="1"/>
  <c r="AM20" i="20" s="1"/>
  <c r="AM21" i="20" s="1"/>
  <c r="AM22" i="20" s="1"/>
  <c r="AM23" i="20" s="1"/>
  <c r="AM24" i="20" s="1"/>
  <c r="AM25" i="20" s="1"/>
  <c r="AM26" i="20" s="1"/>
  <c r="AM27" i="20" s="1"/>
  <c r="AI18" i="20"/>
  <c r="Y18" i="20"/>
  <c r="X18" i="20"/>
  <c r="W18" i="20"/>
  <c r="V18" i="20"/>
  <c r="U18" i="20"/>
  <c r="R18" i="20"/>
  <c r="N18" i="20"/>
  <c r="J18" i="20"/>
  <c r="G18" i="20"/>
  <c r="D18" i="20"/>
  <c r="AR17" i="20"/>
  <c r="AN17" i="20"/>
  <c r="AN18" i="20" s="1"/>
  <c r="AN19" i="20" s="1"/>
  <c r="AM17" i="20"/>
  <c r="AJ17" i="20"/>
  <c r="AJ18" i="20" s="1"/>
  <c r="AJ19" i="20" s="1"/>
  <c r="AI17" i="20"/>
  <c r="AT17" i="20" s="1"/>
  <c r="AG17" i="20"/>
  <c r="W17" i="20"/>
  <c r="V17" i="20"/>
  <c r="U17" i="20"/>
  <c r="R17" i="20"/>
  <c r="N17" i="20"/>
  <c r="J17" i="20"/>
  <c r="G17" i="20"/>
  <c r="D17" i="20"/>
  <c r="AT16" i="20"/>
  <c r="AX16" i="20" s="1"/>
  <c r="AS16" i="20"/>
  <c r="AR16" i="20"/>
  <c r="AQ16" i="20"/>
  <c r="AQ17" i="20" s="1"/>
  <c r="AP16" i="20"/>
  <c r="AP17" i="20" s="1"/>
  <c r="AN16" i="20"/>
  <c r="AM16" i="20"/>
  <c r="AL16" i="20"/>
  <c r="AJ16" i="20"/>
  <c r="AI16" i="20"/>
  <c r="AH16" i="20"/>
  <c r="AK16" i="20" s="1"/>
  <c r="AG16" i="20"/>
  <c r="AF16" i="20"/>
  <c r="AF17" i="20" s="1"/>
  <c r="AF18" i="20" s="1"/>
  <c r="AE16" i="20"/>
  <c r="AE17" i="20" s="1"/>
  <c r="AE18" i="20" s="1"/>
  <c r="AE19" i="20" s="1"/>
  <c r="AE20" i="20" s="1"/>
  <c r="AE21" i="20" s="1"/>
  <c r="AE22" i="20" s="1"/>
  <c r="AE23" i="20" s="1"/>
  <c r="AE24" i="20" s="1"/>
  <c r="AC16" i="20"/>
  <c r="AB16" i="20"/>
  <c r="AB17" i="20" s="1"/>
  <c r="AB18" i="20" s="1"/>
  <c r="AB19" i="20" s="1"/>
  <c r="Z16" i="20"/>
  <c r="Y16" i="20"/>
  <c r="Y17" i="20" s="1"/>
  <c r="W16" i="20"/>
  <c r="X16" i="20" s="1"/>
  <c r="V16" i="20"/>
  <c r="U16" i="20"/>
  <c r="R16" i="20"/>
  <c r="N16" i="20"/>
  <c r="J16" i="20"/>
  <c r="G16" i="20"/>
  <c r="D16" i="20"/>
  <c r="W15" i="20"/>
  <c r="V15" i="20"/>
  <c r="U15" i="20"/>
  <c r="R15" i="20"/>
  <c r="N15" i="20"/>
  <c r="J15" i="20"/>
  <c r="G15" i="20"/>
  <c r="D15" i="20"/>
  <c r="W14" i="20"/>
  <c r="X14" i="20" s="1"/>
  <c r="V14" i="20"/>
  <c r="U14" i="20"/>
  <c r="R14" i="20"/>
  <c r="N14" i="20"/>
  <c r="J14" i="20"/>
  <c r="G14" i="20"/>
  <c r="D14" i="20"/>
  <c r="W13" i="20"/>
  <c r="X13" i="20" s="1"/>
  <c r="V13" i="20"/>
  <c r="U13" i="20"/>
  <c r="R13" i="20"/>
  <c r="N13" i="20"/>
  <c r="J13" i="20"/>
  <c r="G13" i="20"/>
  <c r="D13" i="20"/>
  <c r="X12" i="20"/>
  <c r="W12" i="20"/>
  <c r="V12" i="20"/>
  <c r="U12" i="20"/>
  <c r="R12" i="20"/>
  <c r="N12" i="20"/>
  <c r="J12" i="20"/>
  <c r="G12" i="20"/>
  <c r="D12" i="20"/>
  <c r="AN11" i="20"/>
  <c r="AN12" i="20" s="1"/>
  <c r="AN13" i="20" s="1"/>
  <c r="AN14" i="20" s="1"/>
  <c r="AN15" i="20" s="1"/>
  <c r="AM11" i="20"/>
  <c r="AM12" i="20" s="1"/>
  <c r="AM13" i="20" s="1"/>
  <c r="AM14" i="20" s="1"/>
  <c r="AM15" i="20" s="1"/>
  <c r="W11" i="20"/>
  <c r="X11" i="20" s="1"/>
  <c r="V11" i="20"/>
  <c r="U11" i="20"/>
  <c r="R11" i="20"/>
  <c r="N11" i="20"/>
  <c r="J11" i="20"/>
  <c r="G11" i="20"/>
  <c r="D11" i="20"/>
  <c r="X10" i="20"/>
  <c r="W10" i="20"/>
  <c r="V10" i="20"/>
  <c r="U10" i="20"/>
  <c r="R10" i="20"/>
  <c r="N10" i="20"/>
  <c r="J10" i="20"/>
  <c r="G10" i="20"/>
  <c r="D10" i="20"/>
  <c r="AN9" i="20"/>
  <c r="AN10" i="20" s="1"/>
  <c r="W9" i="20"/>
  <c r="X9" i="20" s="1"/>
  <c r="V9" i="20"/>
  <c r="U9" i="20"/>
  <c r="R9" i="20"/>
  <c r="N9" i="20"/>
  <c r="J9" i="20"/>
  <c r="G9" i="20"/>
  <c r="D9" i="20"/>
  <c r="AH8" i="20"/>
  <c r="AH9" i="20" s="1"/>
  <c r="AH10" i="20" s="1"/>
  <c r="AH11" i="20" s="1"/>
  <c r="AH12" i="20" s="1"/>
  <c r="AH13" i="20" s="1"/>
  <c r="AH14" i="20" s="1"/>
  <c r="AH15" i="20" s="1"/>
  <c r="W8" i="20"/>
  <c r="X8" i="20" s="1"/>
  <c r="V8" i="20"/>
  <c r="U8" i="20"/>
  <c r="R8" i="20"/>
  <c r="N8" i="20"/>
  <c r="J8" i="20"/>
  <c r="G8" i="20"/>
  <c r="D8" i="20"/>
  <c r="AL7" i="20"/>
  <c r="W7" i="20"/>
  <c r="V7" i="20"/>
  <c r="U7" i="20"/>
  <c r="R7" i="20"/>
  <c r="N7" i="20"/>
  <c r="J7" i="20"/>
  <c r="G7" i="20"/>
  <c r="D7" i="20"/>
  <c r="AQ6" i="20"/>
  <c r="AQ7" i="20" s="1"/>
  <c r="AQ8" i="20" s="1"/>
  <c r="AQ9" i="20" s="1"/>
  <c r="AQ10" i="20" s="1"/>
  <c r="AQ11" i="20" s="1"/>
  <c r="AQ12" i="20" s="1"/>
  <c r="AQ13" i="20" s="1"/>
  <c r="AQ14" i="20" s="1"/>
  <c r="AQ15" i="20" s="1"/>
  <c r="AH6" i="20"/>
  <c r="AH7" i="20" s="1"/>
  <c r="AB6" i="20"/>
  <c r="AB7" i="20" s="1"/>
  <c r="AB8" i="20" s="1"/>
  <c r="AB9" i="20" s="1"/>
  <c r="AB10" i="20" s="1"/>
  <c r="AB11" i="20" s="1"/>
  <c r="AB12" i="20" s="1"/>
  <c r="AB13" i="20" s="1"/>
  <c r="AB14" i="20" s="1"/>
  <c r="AB15" i="20" s="1"/>
  <c r="W6" i="20"/>
  <c r="V6" i="20"/>
  <c r="U6" i="20"/>
  <c r="R6" i="20"/>
  <c r="N6" i="20"/>
  <c r="J6" i="20"/>
  <c r="G6" i="20"/>
  <c r="D6" i="20"/>
  <c r="AP5" i="20"/>
  <c r="AP6" i="20" s="1"/>
  <c r="AP7" i="20" s="1"/>
  <c r="AN5" i="20"/>
  <c r="AN6" i="20" s="1"/>
  <c r="AN7" i="20" s="1"/>
  <c r="AN8" i="20" s="1"/>
  <c r="AM5" i="20"/>
  <c r="AM6" i="20" s="1"/>
  <c r="AM7" i="20" s="1"/>
  <c r="AM8" i="20" s="1"/>
  <c r="AM9" i="20" s="1"/>
  <c r="AM10" i="20" s="1"/>
  <c r="AL5" i="20"/>
  <c r="AL6" i="20" s="1"/>
  <c r="AJ5" i="20"/>
  <c r="AI5" i="20"/>
  <c r="W5" i="20"/>
  <c r="V5" i="20"/>
  <c r="U5" i="20"/>
  <c r="R5" i="20"/>
  <c r="N5" i="20"/>
  <c r="J5" i="20"/>
  <c r="G5" i="20"/>
  <c r="D5" i="20"/>
  <c r="AT4" i="20"/>
  <c r="AR4" i="20"/>
  <c r="AQ4" i="20"/>
  <c r="AQ5" i="20" s="1"/>
  <c r="AR5" i="20" s="1"/>
  <c r="AP4" i="20"/>
  <c r="AN4" i="20"/>
  <c r="AM4" i="20"/>
  <c r="AL4" i="20"/>
  <c r="AO4" i="20" s="1"/>
  <c r="AJ4" i="20"/>
  <c r="AI4" i="20"/>
  <c r="AH4" i="20"/>
  <c r="AH5" i="20" s="1"/>
  <c r="AF4" i="20"/>
  <c r="AE4" i="20"/>
  <c r="AD4" i="20"/>
  <c r="AC4" i="20"/>
  <c r="AC5" i="20" s="1"/>
  <c r="AD5" i="20" s="1"/>
  <c r="AB4" i="20"/>
  <c r="AB5" i="20" s="1"/>
  <c r="AA4" i="20"/>
  <c r="Z4" i="20"/>
  <c r="Z5" i="20" s="1"/>
  <c r="Y4" i="20"/>
  <c r="Y5" i="20" s="1"/>
  <c r="W4" i="20"/>
  <c r="V4" i="20"/>
  <c r="X4" i="20" s="1"/>
  <c r="U4" i="20"/>
  <c r="R4" i="20"/>
  <c r="N4" i="20"/>
  <c r="J4" i="20"/>
  <c r="G4" i="20"/>
  <c r="D4" i="20"/>
  <c r="M406" i="19"/>
  <c r="L406" i="19"/>
  <c r="O405" i="19"/>
  <c r="N405" i="19"/>
  <c r="M405" i="19"/>
  <c r="L405" i="19"/>
  <c r="K405" i="19"/>
  <c r="J405" i="19"/>
  <c r="I405" i="19"/>
  <c r="H405" i="19"/>
  <c r="G405" i="19"/>
  <c r="F405" i="19"/>
  <c r="E405" i="19"/>
  <c r="D405" i="19"/>
  <c r="C405" i="19"/>
  <c r="Q404" i="19"/>
  <c r="P404" i="19"/>
  <c r="O404" i="19"/>
  <c r="N404" i="19"/>
  <c r="M404" i="19"/>
  <c r="L404" i="19"/>
  <c r="K404" i="19"/>
  <c r="J404" i="19"/>
  <c r="I404" i="19"/>
  <c r="H404" i="19"/>
  <c r="G404" i="19"/>
  <c r="F404" i="19"/>
  <c r="E404" i="19"/>
  <c r="D404" i="19"/>
  <c r="C404" i="19"/>
  <c r="Q403" i="19"/>
  <c r="P403" i="19"/>
  <c r="O403" i="19"/>
  <c r="N403" i="19"/>
  <c r="M403" i="19"/>
  <c r="L403" i="19"/>
  <c r="K403" i="19"/>
  <c r="J403" i="19"/>
  <c r="I403" i="19"/>
  <c r="H403" i="19"/>
  <c r="G403" i="19"/>
  <c r="F403" i="19"/>
  <c r="E403" i="19"/>
  <c r="D403" i="19"/>
  <c r="C403" i="19"/>
  <c r="Q393" i="19"/>
  <c r="P393" i="19"/>
  <c r="O393" i="19"/>
  <c r="N393" i="19"/>
  <c r="M393" i="19"/>
  <c r="L393" i="19"/>
  <c r="K393" i="19"/>
  <c r="J393" i="19"/>
  <c r="I393" i="19"/>
  <c r="H393" i="19"/>
  <c r="G393" i="19"/>
  <c r="F393" i="19"/>
  <c r="E393" i="19"/>
  <c r="D393" i="19"/>
  <c r="C393" i="19"/>
  <c r="B393" i="19"/>
  <c r="B391" i="19"/>
  <c r="B390" i="19"/>
  <c r="O388" i="19"/>
  <c r="M388" i="19"/>
  <c r="B388" i="19"/>
  <c r="O387" i="19"/>
  <c r="N387" i="19"/>
  <c r="M387" i="19"/>
  <c r="L387" i="19"/>
  <c r="K387" i="19"/>
  <c r="J387" i="19"/>
  <c r="I387" i="19"/>
  <c r="H387" i="19"/>
  <c r="G387" i="19"/>
  <c r="F387" i="19"/>
  <c r="E387" i="19"/>
  <c r="D387" i="19"/>
  <c r="C387" i="19"/>
  <c r="B387" i="19"/>
  <c r="Q386" i="19"/>
  <c r="P386" i="19"/>
  <c r="O386" i="19"/>
  <c r="N386" i="19"/>
  <c r="M386" i="19"/>
  <c r="L386" i="19"/>
  <c r="K386" i="19"/>
  <c r="J386" i="19"/>
  <c r="I386" i="19"/>
  <c r="H386" i="19"/>
  <c r="G386" i="19"/>
  <c r="F386" i="19"/>
  <c r="E386" i="19"/>
  <c r="D386" i="19"/>
  <c r="C386" i="19"/>
  <c r="B386" i="19"/>
  <c r="Q385" i="19"/>
  <c r="P385" i="19"/>
  <c r="O385" i="19"/>
  <c r="N385" i="19"/>
  <c r="M385" i="19"/>
  <c r="L385" i="19"/>
  <c r="K385" i="19"/>
  <c r="J385" i="19"/>
  <c r="I385" i="19"/>
  <c r="H385" i="19"/>
  <c r="G385" i="19"/>
  <c r="F385" i="19"/>
  <c r="E385" i="19"/>
  <c r="D385" i="19"/>
  <c r="C385" i="19"/>
  <c r="B385" i="19"/>
  <c r="Q383" i="19"/>
  <c r="P383" i="19"/>
  <c r="Q380" i="19"/>
  <c r="P380" i="19"/>
  <c r="Q379" i="19"/>
  <c r="P379" i="19"/>
  <c r="BK377" i="19"/>
  <c r="BP376" i="19"/>
  <c r="BO376" i="19"/>
  <c r="BO377" i="19" s="1"/>
  <c r="BN376" i="19"/>
  <c r="BM376" i="19"/>
  <c r="BM377" i="19" s="1"/>
  <c r="BH376" i="19"/>
  <c r="BG376" i="19"/>
  <c r="BG377" i="19" s="1"/>
  <c r="BE376" i="19"/>
  <c r="BE377" i="19" s="1"/>
  <c r="Q376" i="19"/>
  <c r="BM373" i="19"/>
  <c r="BK373" i="19"/>
  <c r="BG373" i="19"/>
  <c r="BE373" i="19"/>
  <c r="BD373" i="19"/>
  <c r="BR372" i="19"/>
  <c r="BM372" i="19"/>
  <c r="BK372" i="19"/>
  <c r="BG372" i="19"/>
  <c r="BE372" i="19"/>
  <c r="O372" i="19"/>
  <c r="N372" i="19"/>
  <c r="M372" i="19"/>
  <c r="L372" i="19"/>
  <c r="L388" i="19" s="1"/>
  <c r="K372" i="19"/>
  <c r="K388" i="19" s="1"/>
  <c r="J372" i="19"/>
  <c r="I372" i="19"/>
  <c r="H372" i="19"/>
  <c r="G372" i="19"/>
  <c r="F372" i="19"/>
  <c r="F388" i="19" s="1"/>
  <c r="E372" i="19"/>
  <c r="D372" i="19"/>
  <c r="C372" i="19"/>
  <c r="B372" i="19"/>
  <c r="BR371" i="19"/>
  <c r="BO371" i="19"/>
  <c r="BM371" i="19"/>
  <c r="BK371" i="19"/>
  <c r="BI371" i="19"/>
  <c r="BI373" i="19" s="1"/>
  <c r="BG371" i="19"/>
  <c r="BE371" i="19"/>
  <c r="BD371" i="19"/>
  <c r="BC371" i="19"/>
  <c r="BR370" i="19"/>
  <c r="BP370" i="19"/>
  <c r="BO370" i="19"/>
  <c r="BN370" i="19"/>
  <c r="BM370" i="19"/>
  <c r="BL370" i="19"/>
  <c r="BL376" i="19" s="1"/>
  <c r="BK370" i="19"/>
  <c r="BK376" i="19" s="1"/>
  <c r="BJ370" i="19"/>
  <c r="BJ376" i="19" s="1"/>
  <c r="BI370" i="19"/>
  <c r="BH370" i="19"/>
  <c r="BG370" i="19"/>
  <c r="BF370" i="19"/>
  <c r="BF376" i="19" s="1"/>
  <c r="BE370" i="19"/>
  <c r="BD370" i="19"/>
  <c r="BD376" i="19" s="1"/>
  <c r="BD377" i="19" s="1"/>
  <c r="R370" i="19"/>
  <c r="R376" i="19" s="1"/>
  <c r="BP369" i="19"/>
  <c r="BO369" i="19"/>
  <c r="BN369" i="19"/>
  <c r="BM369" i="19"/>
  <c r="BL369" i="19"/>
  <c r="BK369" i="19"/>
  <c r="BJ369" i="19"/>
  <c r="BI369" i="19"/>
  <c r="BH369" i="19"/>
  <c r="BG369" i="19"/>
  <c r="BF369" i="19"/>
  <c r="BE369" i="19"/>
  <c r="BD369" i="19"/>
  <c r="BC369" i="19"/>
  <c r="AQ369" i="19"/>
  <c r="AP369" i="19"/>
  <c r="AO369" i="19"/>
  <c r="AN369" i="19"/>
  <c r="AM369" i="19"/>
  <c r="AL369" i="19"/>
  <c r="AK369" i="19"/>
  <c r="AJ369" i="19"/>
  <c r="AI369" i="19"/>
  <c r="AH369" i="19"/>
  <c r="AG369" i="19"/>
  <c r="AF369" i="19"/>
  <c r="AE369" i="19"/>
  <c r="AD369" i="19"/>
  <c r="AC369" i="19"/>
  <c r="AB369" i="19"/>
  <c r="AA369" i="19"/>
  <c r="Z369" i="19"/>
  <c r="Y369" i="19"/>
  <c r="X369" i="19"/>
  <c r="W369" i="19"/>
  <c r="V369" i="19"/>
  <c r="U369" i="19"/>
  <c r="T369" i="19"/>
  <c r="S369" i="19"/>
  <c r="R369" i="19"/>
  <c r="Q369" i="19"/>
  <c r="P369" i="19"/>
  <c r="O369" i="19"/>
  <c r="N369" i="19"/>
  <c r="M369" i="19"/>
  <c r="L369" i="19"/>
  <c r="K369" i="19"/>
  <c r="J369" i="19"/>
  <c r="I369" i="19"/>
  <c r="H369" i="19"/>
  <c r="G369" i="19"/>
  <c r="F369" i="19"/>
  <c r="E369" i="19"/>
  <c r="D369" i="19"/>
  <c r="C369" i="19"/>
  <c r="B369" i="19"/>
  <c r="AQ365" i="19"/>
  <c r="AP365" i="19"/>
  <c r="AO365" i="19"/>
  <c r="AN365" i="19"/>
  <c r="AM365" i="19"/>
  <c r="AL365" i="19"/>
  <c r="AK365" i="19"/>
  <c r="AK22" i="19" s="1"/>
  <c r="AJ365" i="19"/>
  <c r="AI365" i="19"/>
  <c r="AH365" i="19"/>
  <c r="AG365" i="19"/>
  <c r="AF365" i="19"/>
  <c r="AE365" i="19"/>
  <c r="AD365" i="19"/>
  <c r="AC365" i="19"/>
  <c r="AB365" i="19"/>
  <c r="AA365" i="19"/>
  <c r="Z365" i="19"/>
  <c r="Y365" i="19"/>
  <c r="X365" i="19"/>
  <c r="W365" i="19"/>
  <c r="V365" i="19"/>
  <c r="U365" i="19"/>
  <c r="T365" i="19"/>
  <c r="S365" i="19"/>
  <c r="R365" i="19"/>
  <c r="H365" i="19"/>
  <c r="H22" i="19" s="1"/>
  <c r="G365" i="19"/>
  <c r="BP364" i="19"/>
  <c r="P364" i="19"/>
  <c r="BN364" i="19" s="1"/>
  <c r="O364" i="19"/>
  <c r="N364" i="19"/>
  <c r="M364" i="19"/>
  <c r="L364" i="19"/>
  <c r="K364" i="19"/>
  <c r="J364" i="19"/>
  <c r="I364" i="19"/>
  <c r="I332" i="19" s="1"/>
  <c r="H364" i="19"/>
  <c r="H332" i="19" s="1"/>
  <c r="G364" i="19"/>
  <c r="F364" i="19"/>
  <c r="F332" i="19" s="1"/>
  <c r="E364" i="19"/>
  <c r="D364" i="19"/>
  <c r="C364" i="19"/>
  <c r="C332" i="19" s="1"/>
  <c r="B364" i="19"/>
  <c r="B332" i="19" s="1"/>
  <c r="BP363" i="19"/>
  <c r="BN363" i="19"/>
  <c r="P363" i="19"/>
  <c r="O363" i="19"/>
  <c r="N363" i="19"/>
  <c r="M363" i="19"/>
  <c r="L363" i="19"/>
  <c r="K363" i="19"/>
  <c r="J363" i="19"/>
  <c r="I363" i="19"/>
  <c r="H363" i="19"/>
  <c r="G363" i="19"/>
  <c r="F363" i="19"/>
  <c r="F331" i="19" s="1"/>
  <c r="E363" i="19"/>
  <c r="D363" i="19"/>
  <c r="C363" i="19"/>
  <c r="C331" i="19" s="1"/>
  <c r="B363" i="19"/>
  <c r="BP362" i="19"/>
  <c r="P362" i="19"/>
  <c r="BN362" i="19" s="1"/>
  <c r="O362" i="19"/>
  <c r="O330" i="19" s="1"/>
  <c r="N362" i="19"/>
  <c r="N330" i="19" s="1"/>
  <c r="M362" i="19"/>
  <c r="L362" i="19"/>
  <c r="L330" i="19" s="1"/>
  <c r="K362" i="19"/>
  <c r="J362" i="19"/>
  <c r="I362" i="19"/>
  <c r="H362" i="19"/>
  <c r="G362" i="19"/>
  <c r="F362" i="19"/>
  <c r="E362" i="19"/>
  <c r="D362" i="19"/>
  <c r="C362" i="19"/>
  <c r="B362" i="19"/>
  <c r="BP361" i="19"/>
  <c r="P361" i="19"/>
  <c r="BN361" i="19" s="1"/>
  <c r="O361" i="19"/>
  <c r="N361" i="19"/>
  <c r="M361" i="19"/>
  <c r="L361" i="19"/>
  <c r="K361" i="19"/>
  <c r="J361" i="19"/>
  <c r="I361" i="19"/>
  <c r="H361" i="19"/>
  <c r="H329" i="19" s="1"/>
  <c r="G361" i="19"/>
  <c r="G329" i="19" s="1"/>
  <c r="F361" i="19"/>
  <c r="F329" i="19" s="1"/>
  <c r="E361" i="19"/>
  <c r="D361" i="19"/>
  <c r="C361" i="19"/>
  <c r="B361" i="19"/>
  <c r="BP360" i="19"/>
  <c r="P360" i="19"/>
  <c r="BN360" i="19" s="1"/>
  <c r="O360" i="19"/>
  <c r="N360" i="19"/>
  <c r="M360" i="19"/>
  <c r="L360" i="19"/>
  <c r="K360" i="19"/>
  <c r="J360" i="19"/>
  <c r="I360" i="19"/>
  <c r="H360" i="19"/>
  <c r="G360" i="19"/>
  <c r="G328" i="19" s="1"/>
  <c r="F360" i="19"/>
  <c r="F328" i="19" s="1"/>
  <c r="E360" i="19"/>
  <c r="E365" i="19" s="1"/>
  <c r="E22" i="19" s="1"/>
  <c r="D360" i="19"/>
  <c r="C360" i="19"/>
  <c r="C328" i="19" s="1"/>
  <c r="B360" i="19"/>
  <c r="B328" i="19" s="1"/>
  <c r="BP359" i="19"/>
  <c r="BN359" i="19"/>
  <c r="P359" i="19"/>
  <c r="O359" i="19"/>
  <c r="N359" i="19"/>
  <c r="M359" i="19"/>
  <c r="L359" i="19"/>
  <c r="K359" i="19"/>
  <c r="J359" i="19"/>
  <c r="I359" i="19"/>
  <c r="H359" i="19"/>
  <c r="G359" i="19"/>
  <c r="F359" i="19"/>
  <c r="F327" i="19" s="1"/>
  <c r="E359" i="19"/>
  <c r="D359" i="19"/>
  <c r="C359" i="19"/>
  <c r="B359" i="19"/>
  <c r="BP358" i="19"/>
  <c r="BN358" i="19"/>
  <c r="P358" i="19"/>
  <c r="O358" i="19"/>
  <c r="O326" i="19" s="1"/>
  <c r="N358" i="19"/>
  <c r="M358" i="19"/>
  <c r="L358" i="19"/>
  <c r="L326" i="19" s="1"/>
  <c r="K358" i="19"/>
  <c r="J358" i="19"/>
  <c r="I358" i="19"/>
  <c r="H358" i="19"/>
  <c r="G358" i="19"/>
  <c r="F358" i="19"/>
  <c r="F326" i="19" s="1"/>
  <c r="E358" i="19"/>
  <c r="D358" i="19"/>
  <c r="C358" i="19"/>
  <c r="C326" i="19" s="1"/>
  <c r="B358" i="19"/>
  <c r="BP357" i="19"/>
  <c r="BN357" i="19"/>
  <c r="P357" i="19"/>
  <c r="O357" i="19"/>
  <c r="N357" i="19"/>
  <c r="N325" i="19" s="1"/>
  <c r="M357" i="19"/>
  <c r="L357" i="19"/>
  <c r="L325" i="19" s="1"/>
  <c r="K357" i="19"/>
  <c r="K325" i="19" s="1"/>
  <c r="J357" i="19"/>
  <c r="J365" i="19" s="1"/>
  <c r="J22" i="19" s="1"/>
  <c r="I357" i="19"/>
  <c r="H357" i="19"/>
  <c r="H325" i="19" s="1"/>
  <c r="G357" i="19"/>
  <c r="G325" i="19" s="1"/>
  <c r="F357" i="19"/>
  <c r="F325" i="19" s="1"/>
  <c r="E357" i="19"/>
  <c r="D357" i="19"/>
  <c r="C357" i="19"/>
  <c r="B357" i="19"/>
  <c r="BP356" i="19"/>
  <c r="P356" i="19"/>
  <c r="BN356" i="19" s="1"/>
  <c r="O356" i="19"/>
  <c r="N356" i="19"/>
  <c r="M356" i="19"/>
  <c r="L356" i="19"/>
  <c r="K356" i="19"/>
  <c r="J356" i="19"/>
  <c r="I356" i="19"/>
  <c r="H356" i="19"/>
  <c r="H324" i="19" s="1"/>
  <c r="G356" i="19"/>
  <c r="F356" i="19"/>
  <c r="F324" i="19" s="1"/>
  <c r="E356" i="19"/>
  <c r="D356" i="19"/>
  <c r="D365" i="19" s="1"/>
  <c r="C356" i="19"/>
  <c r="C324" i="19" s="1"/>
  <c r="B356" i="19"/>
  <c r="B324" i="19" s="1"/>
  <c r="BP355" i="19"/>
  <c r="Q355" i="19"/>
  <c r="P355" i="19"/>
  <c r="BN355" i="19" s="1"/>
  <c r="O355" i="19"/>
  <c r="N355" i="19"/>
  <c r="M355" i="19"/>
  <c r="L355" i="19"/>
  <c r="K355" i="19"/>
  <c r="J355" i="19"/>
  <c r="I355" i="19"/>
  <c r="H355" i="19"/>
  <c r="G355" i="19"/>
  <c r="F355" i="19"/>
  <c r="F323" i="19" s="1"/>
  <c r="E355" i="19"/>
  <c r="D355" i="19"/>
  <c r="C355" i="19"/>
  <c r="B355" i="19"/>
  <c r="BP354" i="19"/>
  <c r="BN354" i="19"/>
  <c r="Q354" i="19"/>
  <c r="Q322" i="19" s="1"/>
  <c r="BP322" i="19" s="1"/>
  <c r="P354" i="19"/>
  <c r="O354" i="19"/>
  <c r="N354" i="19"/>
  <c r="M354" i="19"/>
  <c r="L354" i="19"/>
  <c r="K354" i="19"/>
  <c r="J354" i="19"/>
  <c r="I354" i="19"/>
  <c r="H354" i="19"/>
  <c r="G354" i="19"/>
  <c r="F354" i="19"/>
  <c r="F322" i="19" s="1"/>
  <c r="E354" i="19"/>
  <c r="D354" i="19"/>
  <c r="C354" i="19"/>
  <c r="C322" i="19" s="1"/>
  <c r="B354" i="19"/>
  <c r="Q353" i="19"/>
  <c r="P353" i="19"/>
  <c r="O353" i="19"/>
  <c r="N353" i="19"/>
  <c r="M353" i="19"/>
  <c r="M365" i="19" s="1"/>
  <c r="M22" i="19" s="1"/>
  <c r="L353" i="19"/>
  <c r="K353" i="19"/>
  <c r="J353" i="19"/>
  <c r="I353" i="19"/>
  <c r="H353" i="19"/>
  <c r="G353" i="19"/>
  <c r="F353" i="19"/>
  <c r="F321" i="19" s="1"/>
  <c r="E353" i="19"/>
  <c r="D353" i="19"/>
  <c r="C353" i="19"/>
  <c r="C321" i="19" s="1"/>
  <c r="B353" i="19"/>
  <c r="B365" i="19" s="1"/>
  <c r="AQ352" i="19"/>
  <c r="AP352" i="19"/>
  <c r="AO352" i="19"/>
  <c r="AN352" i="19"/>
  <c r="AM352" i="19"/>
  <c r="AL352" i="19"/>
  <c r="AK352" i="19"/>
  <c r="AJ352" i="19"/>
  <c r="AI352" i="19"/>
  <c r="AH352" i="19"/>
  <c r="AG352" i="19"/>
  <c r="AF352" i="19"/>
  <c r="AE352" i="19"/>
  <c r="AD352" i="19"/>
  <c r="AC352" i="19"/>
  <c r="AB352" i="19"/>
  <c r="AA352" i="19"/>
  <c r="Z352" i="19"/>
  <c r="Y352" i="19"/>
  <c r="X352" i="19"/>
  <c r="W352" i="19"/>
  <c r="V352" i="19"/>
  <c r="U352" i="19"/>
  <c r="T352" i="19"/>
  <c r="S352" i="19"/>
  <c r="R352" i="19"/>
  <c r="Q352" i="19"/>
  <c r="P352" i="19"/>
  <c r="O352" i="19"/>
  <c r="N352" i="19"/>
  <c r="M352" i="19"/>
  <c r="L352" i="19"/>
  <c r="K352" i="19"/>
  <c r="J352" i="19"/>
  <c r="I352" i="19"/>
  <c r="H352" i="19"/>
  <c r="G352" i="19"/>
  <c r="F352" i="19"/>
  <c r="E352" i="19"/>
  <c r="D352" i="19"/>
  <c r="C352" i="19"/>
  <c r="B352" i="19"/>
  <c r="AG349" i="19"/>
  <c r="AF349" i="19"/>
  <c r="AE349" i="19"/>
  <c r="BN348" i="19"/>
  <c r="P348" i="19"/>
  <c r="P332" i="19" s="1"/>
  <c r="BN332" i="19" s="1"/>
  <c r="O348" i="19"/>
  <c r="N348" i="19"/>
  <c r="M348" i="19"/>
  <c r="L348" i="19"/>
  <c r="K348" i="19"/>
  <c r="J348" i="19"/>
  <c r="I348" i="19"/>
  <c r="H348" i="19"/>
  <c r="G348" i="19"/>
  <c r="F348" i="19"/>
  <c r="E348" i="19"/>
  <c r="E332" i="19" s="1"/>
  <c r="D348" i="19"/>
  <c r="C348" i="19"/>
  <c r="B348" i="19"/>
  <c r="BN347" i="19"/>
  <c r="P347" i="19"/>
  <c r="O347" i="19"/>
  <c r="N347" i="19"/>
  <c r="N331" i="19" s="1"/>
  <c r="M347" i="19"/>
  <c r="M331" i="19" s="1"/>
  <c r="L347" i="19"/>
  <c r="K347" i="19"/>
  <c r="K331" i="19" s="1"/>
  <c r="J347" i="19"/>
  <c r="J331" i="19" s="1"/>
  <c r="I347" i="19"/>
  <c r="I331" i="19" s="1"/>
  <c r="H347" i="19"/>
  <c r="G347" i="19"/>
  <c r="F347" i="19"/>
  <c r="E347" i="19"/>
  <c r="E331" i="19" s="1"/>
  <c r="D347" i="19"/>
  <c r="C347" i="19"/>
  <c r="B347" i="19"/>
  <c r="BN346" i="19"/>
  <c r="P346" i="19"/>
  <c r="O346" i="19"/>
  <c r="N346" i="19"/>
  <c r="M346" i="19"/>
  <c r="L346" i="19"/>
  <c r="K346" i="19"/>
  <c r="K330" i="19" s="1"/>
  <c r="K42" i="19" s="1"/>
  <c r="J346" i="19"/>
  <c r="I346" i="19"/>
  <c r="H346" i="19"/>
  <c r="G346" i="19"/>
  <c r="F346" i="19"/>
  <c r="E346" i="19"/>
  <c r="E330" i="19" s="1"/>
  <c r="D346" i="19"/>
  <c r="D330" i="19" s="1"/>
  <c r="C346" i="19"/>
  <c r="B346" i="19"/>
  <c r="P345" i="19"/>
  <c r="O345" i="19"/>
  <c r="N345" i="19"/>
  <c r="M345" i="19"/>
  <c r="M329" i="19" s="1"/>
  <c r="L345" i="19"/>
  <c r="L329" i="19" s="1"/>
  <c r="K345" i="19"/>
  <c r="J345" i="19"/>
  <c r="J329" i="19" s="1"/>
  <c r="I345" i="19"/>
  <c r="H345" i="19"/>
  <c r="G345" i="19"/>
  <c r="F345" i="19"/>
  <c r="E345" i="19"/>
  <c r="D345" i="19"/>
  <c r="C345" i="19"/>
  <c r="B345" i="19"/>
  <c r="BN344" i="19"/>
  <c r="P344" i="19"/>
  <c r="O344" i="19"/>
  <c r="N344" i="19"/>
  <c r="M344" i="19"/>
  <c r="M328" i="19" s="1"/>
  <c r="L344" i="19"/>
  <c r="L328" i="19" s="1"/>
  <c r="K344" i="19"/>
  <c r="K328" i="19" s="1"/>
  <c r="J344" i="19"/>
  <c r="J328" i="19" s="1"/>
  <c r="I344" i="19"/>
  <c r="I328" i="19" s="1"/>
  <c r="H344" i="19"/>
  <c r="G344" i="19"/>
  <c r="F344" i="19"/>
  <c r="E344" i="19"/>
  <c r="D344" i="19"/>
  <c r="C344" i="19"/>
  <c r="B344" i="19"/>
  <c r="P343" i="19"/>
  <c r="O343" i="19"/>
  <c r="O327" i="19" s="1"/>
  <c r="N343" i="19"/>
  <c r="N327" i="19" s="1"/>
  <c r="M343" i="19"/>
  <c r="M327" i="19" s="1"/>
  <c r="L343" i="19"/>
  <c r="L327" i="19" s="1"/>
  <c r="K343" i="19"/>
  <c r="K327" i="19" s="1"/>
  <c r="J343" i="19"/>
  <c r="I343" i="19"/>
  <c r="H343" i="19"/>
  <c r="G343" i="19"/>
  <c r="F343" i="19"/>
  <c r="E343" i="19"/>
  <c r="D343" i="19"/>
  <c r="D327" i="19" s="1"/>
  <c r="C343" i="19"/>
  <c r="B343" i="19"/>
  <c r="BN342" i="19"/>
  <c r="P342" i="19"/>
  <c r="O342" i="19"/>
  <c r="N342" i="19"/>
  <c r="N326" i="19" s="1"/>
  <c r="M342" i="19"/>
  <c r="L342" i="19"/>
  <c r="K342" i="19"/>
  <c r="J342" i="19"/>
  <c r="J326" i="19" s="1"/>
  <c r="I342" i="19"/>
  <c r="I326" i="19" s="1"/>
  <c r="H342" i="19"/>
  <c r="G342" i="19"/>
  <c r="F342" i="19"/>
  <c r="E342" i="19"/>
  <c r="E326" i="19" s="1"/>
  <c r="D342" i="19"/>
  <c r="D326" i="19" s="1"/>
  <c r="C342" i="19"/>
  <c r="B342" i="19"/>
  <c r="BN341" i="19"/>
  <c r="P341" i="19"/>
  <c r="P325" i="19" s="1"/>
  <c r="BN325" i="19" s="1"/>
  <c r="O341" i="19"/>
  <c r="O325" i="19" s="1"/>
  <c r="N341" i="19"/>
  <c r="M341" i="19"/>
  <c r="L341" i="19"/>
  <c r="K341" i="19"/>
  <c r="J341" i="19"/>
  <c r="I341" i="19"/>
  <c r="I325" i="19" s="1"/>
  <c r="H341" i="19"/>
  <c r="G341" i="19"/>
  <c r="F341" i="19"/>
  <c r="E341" i="19"/>
  <c r="E325" i="19" s="1"/>
  <c r="D341" i="19"/>
  <c r="D325" i="19" s="1"/>
  <c r="C341" i="19"/>
  <c r="B341" i="19"/>
  <c r="BN340" i="19"/>
  <c r="P340" i="19"/>
  <c r="P324" i="19" s="1"/>
  <c r="BN324" i="19" s="1"/>
  <c r="O340" i="19"/>
  <c r="O324" i="19" s="1"/>
  <c r="N340" i="19"/>
  <c r="N324" i="19" s="1"/>
  <c r="M340" i="19"/>
  <c r="M324" i="19" s="1"/>
  <c r="L340" i="19"/>
  <c r="K340" i="19"/>
  <c r="J340" i="19"/>
  <c r="J324" i="19" s="1"/>
  <c r="I340" i="19"/>
  <c r="I324" i="19" s="1"/>
  <c r="H340" i="19"/>
  <c r="G340" i="19"/>
  <c r="F340" i="19"/>
  <c r="E340" i="19"/>
  <c r="D340" i="19"/>
  <c r="C340" i="19"/>
  <c r="B340" i="19"/>
  <c r="Q339" i="19"/>
  <c r="BP339" i="19" s="1"/>
  <c r="P339" i="19"/>
  <c r="O339" i="19"/>
  <c r="N339" i="19"/>
  <c r="M339" i="19"/>
  <c r="L339" i="19"/>
  <c r="K339" i="19"/>
  <c r="J339" i="19"/>
  <c r="I339" i="19"/>
  <c r="I323" i="19" s="1"/>
  <c r="H339" i="19"/>
  <c r="G339" i="19"/>
  <c r="F339" i="19"/>
  <c r="E339" i="19"/>
  <c r="E323" i="19" s="1"/>
  <c r="D339" i="19"/>
  <c r="C339" i="19"/>
  <c r="B339" i="19"/>
  <c r="BN338" i="19"/>
  <c r="Q338" i="19"/>
  <c r="BP338" i="19" s="1"/>
  <c r="P338" i="19"/>
  <c r="O338" i="19"/>
  <c r="O322" i="19" s="1"/>
  <c r="N338" i="19"/>
  <c r="M338" i="19"/>
  <c r="L338" i="19"/>
  <c r="L322" i="19" s="1"/>
  <c r="K338" i="19"/>
  <c r="K322" i="19" s="1"/>
  <c r="J338" i="19"/>
  <c r="J322" i="19" s="1"/>
  <c r="I338" i="19"/>
  <c r="H338" i="19"/>
  <c r="G338" i="19"/>
  <c r="F338" i="19"/>
  <c r="E338" i="19"/>
  <c r="E322" i="19" s="1"/>
  <c r="D338" i="19"/>
  <c r="D322" i="19" s="1"/>
  <c r="C338" i="19"/>
  <c r="B338" i="19"/>
  <c r="BN337" i="19"/>
  <c r="Q337" i="19"/>
  <c r="BP337" i="19" s="1"/>
  <c r="P337" i="19"/>
  <c r="O337" i="19"/>
  <c r="N337" i="19"/>
  <c r="M337" i="19"/>
  <c r="L337" i="19"/>
  <c r="K337" i="19"/>
  <c r="J337" i="19"/>
  <c r="I337" i="19"/>
  <c r="H337" i="19"/>
  <c r="H349" i="19" s="1"/>
  <c r="H21" i="19" s="1"/>
  <c r="H20" i="19" s="1"/>
  <c r="G337" i="19"/>
  <c r="G349" i="19" s="1"/>
  <c r="F337" i="19"/>
  <c r="F349" i="19" s="1"/>
  <c r="E337" i="19"/>
  <c r="E321" i="19" s="1"/>
  <c r="D337" i="19"/>
  <c r="D321" i="19" s="1"/>
  <c r="C337" i="19"/>
  <c r="C349" i="19" s="1"/>
  <c r="B337" i="19"/>
  <c r="B349" i="19" s="1"/>
  <c r="AQ336" i="19"/>
  <c r="AP336" i="19"/>
  <c r="AO336" i="19"/>
  <c r="AN336" i="19"/>
  <c r="AM336" i="19"/>
  <c r="AL336" i="19"/>
  <c r="AK336" i="19"/>
  <c r="AJ336" i="19"/>
  <c r="AI336" i="19"/>
  <c r="AH336" i="19"/>
  <c r="AG336" i="19"/>
  <c r="AF336" i="19"/>
  <c r="AE336" i="19"/>
  <c r="AD336" i="19"/>
  <c r="AC336" i="19"/>
  <c r="AB336" i="19"/>
  <c r="AA336" i="19"/>
  <c r="Z336" i="19"/>
  <c r="Y336" i="19"/>
  <c r="X336" i="19"/>
  <c r="W336" i="19"/>
  <c r="V336" i="19"/>
  <c r="U336" i="19"/>
  <c r="T336" i="19"/>
  <c r="S336" i="19"/>
  <c r="R336" i="19"/>
  <c r="Q336" i="19"/>
  <c r="P336" i="19"/>
  <c r="O336" i="19"/>
  <c r="N336" i="19"/>
  <c r="M336" i="19"/>
  <c r="L336" i="19"/>
  <c r="K336" i="19"/>
  <c r="J336" i="19"/>
  <c r="I336" i="19"/>
  <c r="H336" i="19"/>
  <c r="G336" i="19"/>
  <c r="F336" i="19"/>
  <c r="E336" i="19"/>
  <c r="D336" i="19"/>
  <c r="C336" i="19"/>
  <c r="B336" i="19"/>
  <c r="O332" i="19"/>
  <c r="N332" i="19"/>
  <c r="M332" i="19"/>
  <c r="L332" i="19"/>
  <c r="K332" i="19"/>
  <c r="J332" i="19"/>
  <c r="G332" i="19"/>
  <c r="O331" i="19"/>
  <c r="L331" i="19"/>
  <c r="H331" i="19"/>
  <c r="G331" i="19"/>
  <c r="B331" i="19"/>
  <c r="M330" i="19"/>
  <c r="J330" i="19"/>
  <c r="H330" i="19"/>
  <c r="G330" i="19"/>
  <c r="F330" i="19"/>
  <c r="C330" i="19"/>
  <c r="B330" i="19"/>
  <c r="O329" i="19"/>
  <c r="N329" i="19"/>
  <c r="C329" i="19"/>
  <c r="B329" i="19"/>
  <c r="O328" i="19"/>
  <c r="N328" i="19"/>
  <c r="H328" i="19"/>
  <c r="J327" i="19"/>
  <c r="I327" i="19"/>
  <c r="H327" i="19"/>
  <c r="G327" i="19"/>
  <c r="C327" i="19"/>
  <c r="B327" i="19"/>
  <c r="K326" i="19"/>
  <c r="H326" i="19"/>
  <c r="G326" i="19"/>
  <c r="B326" i="19"/>
  <c r="M325" i="19"/>
  <c r="C325" i="19"/>
  <c r="B325" i="19"/>
  <c r="L324" i="19"/>
  <c r="G324" i="19"/>
  <c r="Q323" i="19"/>
  <c r="BP323" i="19" s="1"/>
  <c r="O323" i="19"/>
  <c r="N323" i="19"/>
  <c r="M323" i="19"/>
  <c r="L323" i="19"/>
  <c r="K323" i="19"/>
  <c r="J323" i="19"/>
  <c r="H323" i="19"/>
  <c r="G323" i="19"/>
  <c r="G333" i="19" s="1"/>
  <c r="B323" i="19"/>
  <c r="N322" i="19"/>
  <c r="M322" i="19"/>
  <c r="I322" i="19"/>
  <c r="H322" i="19"/>
  <c r="G322" i="19"/>
  <c r="B322" i="19"/>
  <c r="Q321" i="19"/>
  <c r="BP321" i="19" s="1"/>
  <c r="H321" i="19"/>
  <c r="G321" i="19"/>
  <c r="B321" i="19"/>
  <c r="AQ320" i="19"/>
  <c r="AP320" i="19"/>
  <c r="AO320" i="19"/>
  <c r="AN320" i="19"/>
  <c r="AM320" i="19"/>
  <c r="AL320" i="19"/>
  <c r="AK320" i="19"/>
  <c r="AJ320" i="19"/>
  <c r="AI320" i="19"/>
  <c r="AH320" i="19"/>
  <c r="AG320" i="19"/>
  <c r="AF320" i="19"/>
  <c r="AE320" i="19"/>
  <c r="AD320" i="19"/>
  <c r="AC320" i="19"/>
  <c r="AB320" i="19"/>
  <c r="AA320" i="19"/>
  <c r="Z320" i="19"/>
  <c r="Y320" i="19"/>
  <c r="X320" i="19"/>
  <c r="W320" i="19"/>
  <c r="V320" i="19"/>
  <c r="U320" i="19"/>
  <c r="T320" i="19"/>
  <c r="S320" i="19"/>
  <c r="R320" i="19"/>
  <c r="Q320" i="19"/>
  <c r="P320" i="19"/>
  <c r="O320" i="19"/>
  <c r="N320" i="19"/>
  <c r="M320" i="19"/>
  <c r="L320" i="19"/>
  <c r="K320" i="19"/>
  <c r="J320" i="19"/>
  <c r="I320" i="19"/>
  <c r="H320" i="19"/>
  <c r="G320" i="19"/>
  <c r="F320" i="19"/>
  <c r="E320" i="19"/>
  <c r="D320" i="19"/>
  <c r="C320" i="19"/>
  <c r="B320" i="19"/>
  <c r="AP317" i="19"/>
  <c r="AO317" i="19"/>
  <c r="AO19" i="19" s="1"/>
  <c r="AK317" i="19"/>
  <c r="AK19" i="19" s="1"/>
  <c r="AI317" i="19"/>
  <c r="AI19" i="19" s="1"/>
  <c r="AG317" i="19"/>
  <c r="AE317" i="19"/>
  <c r="AD317" i="19"/>
  <c r="AD19" i="19" s="1"/>
  <c r="BK316" i="19"/>
  <c r="AQ316" i="19"/>
  <c r="AP316" i="19"/>
  <c r="AO316" i="19"/>
  <c r="AN316" i="19"/>
  <c r="AM316" i="19"/>
  <c r="AL316" i="19"/>
  <c r="AK316" i="19"/>
  <c r="AJ316" i="19"/>
  <c r="AI316" i="19"/>
  <c r="AH316" i="19"/>
  <c r="AG316" i="19"/>
  <c r="AF316" i="19"/>
  <c r="AF268" i="19" s="1"/>
  <c r="AE316" i="19"/>
  <c r="AE268" i="19" s="1"/>
  <c r="AD316" i="19"/>
  <c r="AC316" i="19"/>
  <c r="AB316" i="19"/>
  <c r="AA316" i="19"/>
  <c r="Z316" i="19"/>
  <c r="Y316" i="19"/>
  <c r="X316" i="19"/>
  <c r="W316" i="19"/>
  <c r="V316" i="19"/>
  <c r="U316" i="19"/>
  <c r="T316" i="19"/>
  <c r="S316" i="19"/>
  <c r="R316" i="19"/>
  <c r="Q316" i="19"/>
  <c r="BP316" i="19" s="1"/>
  <c r="P316" i="19"/>
  <c r="BN316" i="19" s="1"/>
  <c r="O316" i="19"/>
  <c r="BL316" i="19" s="1"/>
  <c r="N316" i="19"/>
  <c r="M316" i="19"/>
  <c r="L316" i="19"/>
  <c r="K316" i="19"/>
  <c r="J316" i="19"/>
  <c r="J268" i="19" s="1"/>
  <c r="I316" i="19"/>
  <c r="I268" i="19" s="1"/>
  <c r="H316" i="19"/>
  <c r="G316" i="19"/>
  <c r="F316" i="19"/>
  <c r="E316" i="19"/>
  <c r="D316" i="19"/>
  <c r="D268" i="19" s="1"/>
  <c r="C316" i="19"/>
  <c r="B316" i="19"/>
  <c r="BN315" i="19"/>
  <c r="BK315" i="19"/>
  <c r="AQ315" i="19"/>
  <c r="AP315" i="19"/>
  <c r="AO315" i="19"/>
  <c r="AN315" i="19"/>
  <c r="AM315" i="19"/>
  <c r="AL315" i="19"/>
  <c r="AK315" i="19"/>
  <c r="AJ315" i="19"/>
  <c r="AI315" i="19"/>
  <c r="AH315" i="19"/>
  <c r="AG315" i="19"/>
  <c r="AG267" i="19" s="1"/>
  <c r="AF315" i="19"/>
  <c r="AE315" i="19"/>
  <c r="AD315" i="19"/>
  <c r="AC315" i="19"/>
  <c r="AB315" i="19"/>
  <c r="AA315" i="19"/>
  <c r="Z315" i="19"/>
  <c r="Y315" i="19"/>
  <c r="X315" i="19"/>
  <c r="X267" i="19" s="1"/>
  <c r="W315" i="19"/>
  <c r="V315" i="19"/>
  <c r="U315" i="19"/>
  <c r="T315" i="19"/>
  <c r="S315" i="19"/>
  <c r="R315" i="19"/>
  <c r="Q315" i="19"/>
  <c r="BP315" i="19" s="1"/>
  <c r="P315" i="19"/>
  <c r="O315" i="19"/>
  <c r="BL315" i="19" s="1"/>
  <c r="N315" i="19"/>
  <c r="M315" i="19"/>
  <c r="L315" i="19"/>
  <c r="L267" i="19" s="1"/>
  <c r="K315" i="19"/>
  <c r="K267" i="19" s="1"/>
  <c r="J315" i="19"/>
  <c r="I315" i="19"/>
  <c r="H315" i="19"/>
  <c r="G315" i="19"/>
  <c r="F315" i="19"/>
  <c r="E315" i="19"/>
  <c r="D315" i="19"/>
  <c r="C315" i="19"/>
  <c r="B315" i="19"/>
  <c r="B267" i="19" s="1"/>
  <c r="BN314" i="19"/>
  <c r="BL314" i="19"/>
  <c r="BK314" i="19"/>
  <c r="AQ314" i="19"/>
  <c r="AP314" i="19"/>
  <c r="AP266" i="19" s="1"/>
  <c r="AO314" i="19"/>
  <c r="AN314" i="19"/>
  <c r="AM314" i="19"/>
  <c r="AL314" i="19"/>
  <c r="AK314" i="19"/>
  <c r="AJ314" i="19"/>
  <c r="AJ266" i="19" s="1"/>
  <c r="AI314" i="19"/>
  <c r="AI266" i="19" s="1"/>
  <c r="AH314" i="19"/>
  <c r="AG314" i="19"/>
  <c r="AF314" i="19"/>
  <c r="AE314" i="19"/>
  <c r="AD314" i="19"/>
  <c r="AC314" i="19"/>
  <c r="AB314" i="19"/>
  <c r="AA314" i="19"/>
  <c r="Z314" i="19"/>
  <c r="Z266" i="19" s="1"/>
  <c r="Y314" i="19"/>
  <c r="Y266" i="19" s="1"/>
  <c r="X314" i="19"/>
  <c r="W314" i="19"/>
  <c r="V314" i="19"/>
  <c r="U314" i="19"/>
  <c r="T314" i="19"/>
  <c r="S314" i="19"/>
  <c r="R314" i="19"/>
  <c r="Q314" i="19"/>
  <c r="BP314" i="19" s="1"/>
  <c r="P314" i="19"/>
  <c r="O314" i="19"/>
  <c r="N314" i="19"/>
  <c r="N266" i="19" s="1"/>
  <c r="M314" i="19"/>
  <c r="M266" i="19" s="1"/>
  <c r="L314" i="19"/>
  <c r="K314" i="19"/>
  <c r="J314" i="19"/>
  <c r="I314" i="19"/>
  <c r="H314" i="19"/>
  <c r="G314" i="19"/>
  <c r="F314" i="19"/>
  <c r="E314" i="19"/>
  <c r="D314" i="19"/>
  <c r="C314" i="19"/>
  <c r="C266" i="19" s="1"/>
  <c r="B314" i="19"/>
  <c r="BP313" i="19"/>
  <c r="BK313" i="19"/>
  <c r="AQ313" i="19"/>
  <c r="AP313" i="19"/>
  <c r="AO313" i="19"/>
  <c r="AN313" i="19"/>
  <c r="AM313" i="19"/>
  <c r="AL313" i="19"/>
  <c r="AK313" i="19"/>
  <c r="AK265" i="19" s="1"/>
  <c r="AJ313" i="19"/>
  <c r="AI313" i="19"/>
  <c r="AH313" i="19"/>
  <c r="AG313" i="19"/>
  <c r="AF313" i="19"/>
  <c r="AE313" i="19"/>
  <c r="AD313" i="19"/>
  <c r="AC313" i="19"/>
  <c r="AB313" i="19"/>
  <c r="AA313" i="19"/>
  <c r="AA265" i="19" s="1"/>
  <c r="Z313" i="19"/>
  <c r="Y313" i="19"/>
  <c r="X313" i="19"/>
  <c r="W313" i="19"/>
  <c r="V313" i="19"/>
  <c r="U313" i="19"/>
  <c r="T313" i="19"/>
  <c r="S313" i="19"/>
  <c r="R313" i="19"/>
  <c r="Q313" i="19"/>
  <c r="P313" i="19"/>
  <c r="BN313" i="19" s="1"/>
  <c r="O313" i="19"/>
  <c r="N313" i="19"/>
  <c r="M313" i="19"/>
  <c r="L313" i="19"/>
  <c r="K313" i="19"/>
  <c r="J313" i="19"/>
  <c r="J265" i="19" s="1"/>
  <c r="I313" i="19"/>
  <c r="H313" i="19"/>
  <c r="G313" i="19"/>
  <c r="F313" i="19"/>
  <c r="E313" i="19"/>
  <c r="E265" i="19" s="1"/>
  <c r="D313" i="19"/>
  <c r="C313" i="19"/>
  <c r="B313" i="19"/>
  <c r="BN312" i="19"/>
  <c r="BL312" i="19"/>
  <c r="BK312" i="19"/>
  <c r="AQ312" i="19"/>
  <c r="AP312" i="19"/>
  <c r="AO312" i="19"/>
  <c r="AN312" i="19"/>
  <c r="AM312" i="19"/>
  <c r="AM264" i="19" s="1"/>
  <c r="AL312" i="19"/>
  <c r="AK312" i="19"/>
  <c r="AJ312" i="19"/>
  <c r="AI312" i="19"/>
  <c r="AH312" i="19"/>
  <c r="AG312" i="19"/>
  <c r="AF312" i="19"/>
  <c r="AE312" i="19"/>
  <c r="AD312" i="19"/>
  <c r="AC312" i="19"/>
  <c r="AC264" i="19" s="1"/>
  <c r="AB312" i="19"/>
  <c r="AB264" i="19" s="1"/>
  <c r="AA312" i="19"/>
  <c r="Z312" i="19"/>
  <c r="Y312" i="19"/>
  <c r="X312" i="19"/>
  <c r="W312" i="19"/>
  <c r="V312" i="19"/>
  <c r="U312" i="19"/>
  <c r="T312" i="19"/>
  <c r="S312" i="19"/>
  <c r="R312" i="19"/>
  <c r="Q312" i="19"/>
  <c r="P312" i="19"/>
  <c r="O312" i="19"/>
  <c r="N312" i="19"/>
  <c r="M312" i="19"/>
  <c r="L312" i="19"/>
  <c r="K312" i="19"/>
  <c r="J312" i="19"/>
  <c r="I312" i="19"/>
  <c r="H312" i="19"/>
  <c r="G312" i="19"/>
  <c r="F312" i="19"/>
  <c r="E312" i="19"/>
  <c r="D312" i="19"/>
  <c r="C312" i="19"/>
  <c r="B312" i="19"/>
  <c r="BP311" i="19"/>
  <c r="BN311" i="19"/>
  <c r="BK311" i="19"/>
  <c r="BL311" i="19" s="1"/>
  <c r="AQ311" i="19"/>
  <c r="AP311" i="19"/>
  <c r="AO311" i="19"/>
  <c r="AO263" i="19" s="1"/>
  <c r="AN311" i="19"/>
  <c r="AM311" i="19"/>
  <c r="AL311" i="19"/>
  <c r="AK311" i="19"/>
  <c r="AJ311" i="19"/>
  <c r="AI311" i="19"/>
  <c r="AH311" i="19"/>
  <c r="AG311" i="19"/>
  <c r="AF311" i="19"/>
  <c r="AE311" i="19"/>
  <c r="AD311" i="19"/>
  <c r="AC311" i="19"/>
  <c r="AB311" i="19"/>
  <c r="AA311" i="19"/>
  <c r="Z311" i="19"/>
  <c r="Y311" i="19"/>
  <c r="X311" i="19"/>
  <c r="W311" i="19"/>
  <c r="V311" i="19"/>
  <c r="U311" i="19"/>
  <c r="T311" i="19"/>
  <c r="S311" i="19"/>
  <c r="S263" i="19" s="1"/>
  <c r="R311" i="19"/>
  <c r="Q311" i="19"/>
  <c r="P311" i="19"/>
  <c r="O311" i="19"/>
  <c r="N311" i="19"/>
  <c r="M311" i="19"/>
  <c r="L311" i="19"/>
  <c r="K311" i="19"/>
  <c r="J311" i="19"/>
  <c r="I311" i="19"/>
  <c r="I263" i="19" s="1"/>
  <c r="H311" i="19"/>
  <c r="H263" i="19" s="1"/>
  <c r="G311" i="19"/>
  <c r="F311" i="19"/>
  <c r="E311" i="19"/>
  <c r="D311" i="19"/>
  <c r="C311" i="19"/>
  <c r="B311" i="19"/>
  <c r="BP310" i="19"/>
  <c r="BL310" i="19"/>
  <c r="BK310" i="19"/>
  <c r="AQ310" i="19"/>
  <c r="AP310" i="19"/>
  <c r="AO310" i="19"/>
  <c r="AN310" i="19"/>
  <c r="AM310" i="19"/>
  <c r="AL310" i="19"/>
  <c r="AK310" i="19"/>
  <c r="AJ310" i="19"/>
  <c r="AI310" i="19"/>
  <c r="AH310" i="19"/>
  <c r="AG310" i="19"/>
  <c r="AF310" i="19"/>
  <c r="AE310" i="19"/>
  <c r="AD310" i="19"/>
  <c r="AC310" i="19"/>
  <c r="AB310" i="19"/>
  <c r="AA310" i="19"/>
  <c r="Z310" i="19"/>
  <c r="Y310" i="19"/>
  <c r="X310" i="19"/>
  <c r="W310" i="19"/>
  <c r="V310" i="19"/>
  <c r="U310" i="19"/>
  <c r="T310" i="19"/>
  <c r="S310" i="19"/>
  <c r="R310" i="19"/>
  <c r="Q310" i="19"/>
  <c r="P310" i="19"/>
  <c r="BN310" i="19" s="1"/>
  <c r="O310" i="19"/>
  <c r="N310" i="19"/>
  <c r="M310" i="19"/>
  <c r="L310" i="19"/>
  <c r="K310" i="19"/>
  <c r="J310" i="19"/>
  <c r="I310" i="19"/>
  <c r="H310" i="19"/>
  <c r="G310" i="19"/>
  <c r="F310" i="19"/>
  <c r="E310" i="19"/>
  <c r="D310" i="19"/>
  <c r="C310" i="19"/>
  <c r="B310" i="19"/>
  <c r="B262" i="19" s="1"/>
  <c r="BP309" i="19"/>
  <c r="BN309" i="19"/>
  <c r="BL309" i="19"/>
  <c r="BK309" i="19"/>
  <c r="AQ309" i="19"/>
  <c r="AP309" i="19"/>
  <c r="AO309" i="19"/>
  <c r="AN309" i="19"/>
  <c r="AN317" i="19" s="1"/>
  <c r="AN19" i="19" s="1"/>
  <c r="AM309" i="19"/>
  <c r="AL309" i="19"/>
  <c r="AK309" i="19"/>
  <c r="AJ309" i="19"/>
  <c r="AI309" i="19"/>
  <c r="AH309" i="19"/>
  <c r="AG309" i="19"/>
  <c r="AF309" i="19"/>
  <c r="AE309" i="19"/>
  <c r="AD309" i="19"/>
  <c r="AC309" i="19"/>
  <c r="AB309" i="19"/>
  <c r="AA309" i="19"/>
  <c r="Z309" i="19"/>
  <c r="Y309" i="19"/>
  <c r="X309" i="19"/>
  <c r="W309" i="19"/>
  <c r="W261" i="19" s="1"/>
  <c r="V309" i="19"/>
  <c r="U309" i="19"/>
  <c r="T309" i="19"/>
  <c r="S309" i="19"/>
  <c r="R309" i="19"/>
  <c r="Q309" i="19"/>
  <c r="P309" i="19"/>
  <c r="O309" i="19"/>
  <c r="N309" i="19"/>
  <c r="M309" i="19"/>
  <c r="L309" i="19"/>
  <c r="K309" i="19"/>
  <c r="J309" i="19"/>
  <c r="I309" i="19"/>
  <c r="H309" i="19"/>
  <c r="G309" i="19"/>
  <c r="F309" i="19"/>
  <c r="E309" i="19"/>
  <c r="D309" i="19"/>
  <c r="C309" i="19"/>
  <c r="B309" i="19"/>
  <c r="BP308" i="19"/>
  <c r="BK308" i="19"/>
  <c r="AQ308" i="19"/>
  <c r="AP308" i="19"/>
  <c r="AO308" i="19"/>
  <c r="AN308" i="19"/>
  <c r="AM308" i="19"/>
  <c r="AL308" i="19"/>
  <c r="AK308" i="19"/>
  <c r="AJ308" i="19"/>
  <c r="AI308" i="19"/>
  <c r="AH308" i="19"/>
  <c r="AG308" i="19"/>
  <c r="AF308" i="19"/>
  <c r="AE308" i="19"/>
  <c r="AD308" i="19"/>
  <c r="AC308" i="19"/>
  <c r="AC317" i="19" s="1"/>
  <c r="AC19" i="19" s="1"/>
  <c r="AB308" i="19"/>
  <c r="AA308" i="19"/>
  <c r="Z308" i="19"/>
  <c r="Z260" i="19" s="1"/>
  <c r="Y308" i="19"/>
  <c r="X308" i="19"/>
  <c r="W308" i="19"/>
  <c r="V308" i="19"/>
  <c r="U308" i="19"/>
  <c r="T308" i="19"/>
  <c r="S308" i="19"/>
  <c r="R308" i="19"/>
  <c r="Q308" i="19"/>
  <c r="P308" i="19"/>
  <c r="BN308" i="19" s="1"/>
  <c r="O308" i="19"/>
  <c r="BL308" i="19" s="1"/>
  <c r="N308" i="19"/>
  <c r="M308" i="19"/>
  <c r="L308" i="19"/>
  <c r="K308" i="19"/>
  <c r="J308" i="19"/>
  <c r="I308" i="19"/>
  <c r="H308" i="19"/>
  <c r="G308" i="19"/>
  <c r="G317" i="19" s="1"/>
  <c r="G19" i="19" s="1"/>
  <c r="F308" i="19"/>
  <c r="E308" i="19"/>
  <c r="D308" i="19"/>
  <c r="D260" i="19" s="1"/>
  <c r="C308" i="19"/>
  <c r="B308" i="19"/>
  <c r="BK307" i="19"/>
  <c r="AQ307" i="19"/>
  <c r="AP307" i="19"/>
  <c r="AO307" i="19"/>
  <c r="AN307" i="19"/>
  <c r="AM307" i="19"/>
  <c r="AL307" i="19"/>
  <c r="AK307" i="19"/>
  <c r="AJ307" i="19"/>
  <c r="AI307" i="19"/>
  <c r="AH307" i="19"/>
  <c r="AH259" i="19" s="1"/>
  <c r="AG307" i="19"/>
  <c r="AF307" i="19"/>
  <c r="AF259" i="19" s="1"/>
  <c r="AE307" i="19"/>
  <c r="AD307" i="19"/>
  <c r="AC307" i="19"/>
  <c r="AB307" i="19"/>
  <c r="AB259" i="19" s="1"/>
  <c r="AA307" i="19"/>
  <c r="AA259" i="19" s="1"/>
  <c r="Z307" i="19"/>
  <c r="Y307" i="19"/>
  <c r="X307" i="19"/>
  <c r="W307" i="19"/>
  <c r="V307" i="19"/>
  <c r="U307" i="19"/>
  <c r="T307" i="19"/>
  <c r="S307" i="19"/>
  <c r="R307" i="19"/>
  <c r="Q307" i="19"/>
  <c r="BP307" i="19" s="1"/>
  <c r="P307" i="19"/>
  <c r="BN307" i="19" s="1"/>
  <c r="O307" i="19"/>
  <c r="N307" i="19"/>
  <c r="M307" i="19"/>
  <c r="L307" i="19"/>
  <c r="K307" i="19"/>
  <c r="J307" i="19"/>
  <c r="I307" i="19"/>
  <c r="H307" i="19"/>
  <c r="G307" i="19"/>
  <c r="F307" i="19"/>
  <c r="F259" i="19" s="1"/>
  <c r="E307" i="19"/>
  <c r="E259" i="19" s="1"/>
  <c r="D307" i="19"/>
  <c r="C307" i="19"/>
  <c r="B307" i="19"/>
  <c r="BN306" i="19"/>
  <c r="BK306" i="19"/>
  <c r="AQ306" i="19"/>
  <c r="AP306" i="19"/>
  <c r="AO306" i="19"/>
  <c r="AN306" i="19"/>
  <c r="AM306" i="19"/>
  <c r="AL306" i="19"/>
  <c r="AK306" i="19"/>
  <c r="AJ306" i="19"/>
  <c r="AI306" i="19"/>
  <c r="AH306" i="19"/>
  <c r="AG306" i="19"/>
  <c r="AF306" i="19"/>
  <c r="AE306" i="19"/>
  <c r="AD306" i="19"/>
  <c r="AD258" i="19" s="1"/>
  <c r="AC306" i="19"/>
  <c r="AB306" i="19"/>
  <c r="AA306" i="19"/>
  <c r="Z306" i="19"/>
  <c r="Y306" i="19"/>
  <c r="X306" i="19"/>
  <c r="X258" i="19" s="1"/>
  <c r="W306" i="19"/>
  <c r="V306" i="19"/>
  <c r="U306" i="19"/>
  <c r="T306" i="19"/>
  <c r="S306" i="19"/>
  <c r="R306" i="19"/>
  <c r="Q306" i="19"/>
  <c r="P306" i="19"/>
  <c r="O306" i="19"/>
  <c r="BL306" i="19" s="1"/>
  <c r="N306" i="19"/>
  <c r="M306" i="19"/>
  <c r="L306" i="19"/>
  <c r="K306" i="19"/>
  <c r="J306" i="19"/>
  <c r="I306" i="19"/>
  <c r="H306" i="19"/>
  <c r="H317" i="19" s="1"/>
  <c r="G306" i="19"/>
  <c r="F306" i="19"/>
  <c r="E306" i="19"/>
  <c r="D306" i="19"/>
  <c r="C306" i="19"/>
  <c r="B306" i="19"/>
  <c r="BK305" i="19"/>
  <c r="AQ305" i="19"/>
  <c r="AP305" i="19"/>
  <c r="AO305" i="19"/>
  <c r="AN305" i="19"/>
  <c r="AM305" i="19"/>
  <c r="AL305" i="19"/>
  <c r="AL317" i="19" s="1"/>
  <c r="AL19" i="19" s="1"/>
  <c r="AK305" i="19"/>
  <c r="AJ305" i="19"/>
  <c r="AI305" i="19"/>
  <c r="AH305" i="19"/>
  <c r="AG305" i="19"/>
  <c r="AG257" i="19" s="1"/>
  <c r="AF305" i="19"/>
  <c r="AF257" i="19" s="1"/>
  <c r="AE305" i="19"/>
  <c r="AE257" i="19" s="1"/>
  <c r="AD305" i="19"/>
  <c r="AC305" i="19"/>
  <c r="AB305" i="19"/>
  <c r="AA305" i="19"/>
  <c r="Z305" i="19"/>
  <c r="Z317" i="19" s="1"/>
  <c r="Y305" i="19"/>
  <c r="X305" i="19"/>
  <c r="W305" i="19"/>
  <c r="V305" i="19"/>
  <c r="U305" i="19"/>
  <c r="T305" i="19"/>
  <c r="S305" i="19"/>
  <c r="R305" i="19"/>
  <c r="Q305" i="19"/>
  <c r="BP305" i="19" s="1"/>
  <c r="P305" i="19"/>
  <c r="O305" i="19"/>
  <c r="N305" i="19"/>
  <c r="M305" i="19"/>
  <c r="L305" i="19"/>
  <c r="K305" i="19"/>
  <c r="K317" i="19" s="1"/>
  <c r="K19" i="19" s="1"/>
  <c r="J305" i="19"/>
  <c r="I305" i="19"/>
  <c r="H305" i="19"/>
  <c r="G305" i="19"/>
  <c r="F305" i="19"/>
  <c r="E305" i="19"/>
  <c r="D305" i="19"/>
  <c r="D317" i="19" s="1"/>
  <c r="C305" i="19"/>
  <c r="B305" i="19"/>
  <c r="AQ304" i="19"/>
  <c r="AP304" i="19"/>
  <c r="AO304" i="19"/>
  <c r="AN304" i="19"/>
  <c r="AM304" i="19"/>
  <c r="AL304" i="19"/>
  <c r="AK304" i="19"/>
  <c r="AJ304" i="19"/>
  <c r="AI304" i="19"/>
  <c r="AH304" i="19"/>
  <c r="AG304" i="19"/>
  <c r="AF304" i="19"/>
  <c r="AE304" i="19"/>
  <c r="AD304" i="19"/>
  <c r="AC304" i="19"/>
  <c r="AB304" i="19"/>
  <c r="AA304" i="19"/>
  <c r="Z304" i="19"/>
  <c r="Y304" i="19"/>
  <c r="X304" i="19"/>
  <c r="W304" i="19"/>
  <c r="V304" i="19"/>
  <c r="U304" i="19"/>
  <c r="T304" i="19"/>
  <c r="S304" i="19"/>
  <c r="R304" i="19"/>
  <c r="Q304" i="19"/>
  <c r="P304" i="19"/>
  <c r="O304" i="19"/>
  <c r="N304" i="19"/>
  <c r="M304" i="19"/>
  <c r="L304" i="19"/>
  <c r="K304" i="19"/>
  <c r="J304" i="19"/>
  <c r="I304" i="19"/>
  <c r="H304" i="19"/>
  <c r="G304" i="19"/>
  <c r="F304" i="19"/>
  <c r="E304" i="19"/>
  <c r="D304" i="19"/>
  <c r="C304" i="19"/>
  <c r="B304" i="19"/>
  <c r="AG301" i="19"/>
  <c r="AF301" i="19"/>
  <c r="P301" i="19"/>
  <c r="BL300" i="19"/>
  <c r="BK300" i="19"/>
  <c r="AQ300" i="19"/>
  <c r="AQ268" i="19" s="1"/>
  <c r="AP300" i="19"/>
  <c r="AO300" i="19"/>
  <c r="AN300" i="19"/>
  <c r="AN268" i="19" s="1"/>
  <c r="AM300" i="19"/>
  <c r="AL300" i="19"/>
  <c r="AL268" i="19" s="1"/>
  <c r="AK300" i="19"/>
  <c r="AJ300" i="19"/>
  <c r="AI300" i="19"/>
  <c r="AH300" i="19"/>
  <c r="AG300" i="19"/>
  <c r="AF300" i="19"/>
  <c r="AE300" i="19"/>
  <c r="AD300" i="19"/>
  <c r="AC300" i="19"/>
  <c r="AB300" i="19"/>
  <c r="AB268" i="19" s="1"/>
  <c r="AA300" i="19"/>
  <c r="Z300" i="19"/>
  <c r="Y300" i="19"/>
  <c r="X300" i="19"/>
  <c r="W300" i="19"/>
  <c r="W268" i="19" s="1"/>
  <c r="V300" i="19"/>
  <c r="U300" i="19"/>
  <c r="U268" i="19" s="1"/>
  <c r="T300" i="19"/>
  <c r="S300" i="19"/>
  <c r="S268" i="19" s="1"/>
  <c r="R300" i="19"/>
  <c r="R268" i="19" s="1"/>
  <c r="Q300" i="19"/>
  <c r="BP300" i="19" s="1"/>
  <c r="P300" i="19"/>
  <c r="O300" i="19"/>
  <c r="N300" i="19"/>
  <c r="M300" i="19"/>
  <c r="L300" i="19"/>
  <c r="L268" i="19" s="1"/>
  <c r="K300" i="19"/>
  <c r="J300" i="19"/>
  <c r="I300" i="19"/>
  <c r="H300" i="19"/>
  <c r="G300" i="19"/>
  <c r="F300" i="19"/>
  <c r="F268" i="19" s="1"/>
  <c r="E300" i="19"/>
  <c r="D300" i="19"/>
  <c r="C300" i="19"/>
  <c r="B300" i="19"/>
  <c r="BL299" i="19"/>
  <c r="BK299" i="19"/>
  <c r="AQ299" i="19"/>
  <c r="AP299" i="19"/>
  <c r="AP267" i="19" s="1"/>
  <c r="AO299" i="19"/>
  <c r="AO267" i="19" s="1"/>
  <c r="AN299" i="19"/>
  <c r="AN267" i="19" s="1"/>
  <c r="AM299" i="19"/>
  <c r="AM267" i="19" s="1"/>
  <c r="AL299" i="19"/>
  <c r="AK299" i="19"/>
  <c r="AJ299" i="19"/>
  <c r="AI299" i="19"/>
  <c r="AI267" i="19" s="1"/>
  <c r="AH299" i="19"/>
  <c r="AG299" i="19"/>
  <c r="AF299" i="19"/>
  <c r="AE299" i="19"/>
  <c r="AD299" i="19"/>
  <c r="AC299" i="19"/>
  <c r="AB299" i="19"/>
  <c r="AA299" i="19"/>
  <c r="Z299" i="19"/>
  <c r="Y299" i="19"/>
  <c r="X299" i="19"/>
  <c r="W299" i="19"/>
  <c r="V299" i="19"/>
  <c r="U299" i="19"/>
  <c r="T299" i="19"/>
  <c r="S299" i="19"/>
  <c r="S267" i="19" s="1"/>
  <c r="R299" i="19"/>
  <c r="Q299" i="19"/>
  <c r="BP299" i="19" s="1"/>
  <c r="P299" i="19"/>
  <c r="BN299" i="19" s="1"/>
  <c r="O299" i="19"/>
  <c r="N299" i="19"/>
  <c r="M299" i="19"/>
  <c r="L299" i="19"/>
  <c r="K299" i="19"/>
  <c r="J299" i="19"/>
  <c r="I299" i="19"/>
  <c r="H299" i="19"/>
  <c r="G299" i="19"/>
  <c r="F299" i="19"/>
  <c r="E299" i="19"/>
  <c r="D299" i="19"/>
  <c r="C299" i="19"/>
  <c r="B299" i="19"/>
  <c r="BK298" i="19"/>
  <c r="BL298" i="19" s="1"/>
  <c r="AQ298" i="19"/>
  <c r="AP298" i="19"/>
  <c r="AO298" i="19"/>
  <c r="AO266" i="19" s="1"/>
  <c r="AN298" i="19"/>
  <c r="AN266" i="19" s="1"/>
  <c r="AM298" i="19"/>
  <c r="AL298" i="19"/>
  <c r="AK298" i="19"/>
  <c r="AJ298" i="19"/>
  <c r="AI298" i="19"/>
  <c r="AH298" i="19"/>
  <c r="AG298" i="19"/>
  <c r="AF298" i="19"/>
  <c r="AF266" i="19" s="1"/>
  <c r="AE298" i="19"/>
  <c r="AD298" i="19"/>
  <c r="AC298" i="19"/>
  <c r="AB298" i="19"/>
  <c r="AA298" i="19"/>
  <c r="Z298" i="19"/>
  <c r="Y298" i="19"/>
  <c r="X298" i="19"/>
  <c r="W298" i="19"/>
  <c r="V298" i="19"/>
  <c r="U298" i="19"/>
  <c r="U266" i="19" s="1"/>
  <c r="T298" i="19"/>
  <c r="S298" i="19"/>
  <c r="S266" i="19" s="1"/>
  <c r="R298" i="19"/>
  <c r="R266" i="19" s="1"/>
  <c r="Q298" i="19"/>
  <c r="P298" i="19"/>
  <c r="BN298" i="19" s="1"/>
  <c r="O298" i="19"/>
  <c r="O266" i="19" s="1"/>
  <c r="BL266" i="19" s="1"/>
  <c r="N298" i="19"/>
  <c r="M298" i="19"/>
  <c r="L298" i="19"/>
  <c r="K298" i="19"/>
  <c r="J298" i="19"/>
  <c r="J266" i="19" s="1"/>
  <c r="I298" i="19"/>
  <c r="H298" i="19"/>
  <c r="G298" i="19"/>
  <c r="F298" i="19"/>
  <c r="E298" i="19"/>
  <c r="D298" i="19"/>
  <c r="C298" i="19"/>
  <c r="B298" i="19"/>
  <c r="BP297" i="19"/>
  <c r="BN297" i="19"/>
  <c r="BK297" i="19"/>
  <c r="BL297" i="19" s="1"/>
  <c r="AQ297" i="19"/>
  <c r="AP297" i="19"/>
  <c r="AP265" i="19" s="1"/>
  <c r="AO297" i="19"/>
  <c r="AN297" i="19"/>
  <c r="AM297" i="19"/>
  <c r="AL297" i="19"/>
  <c r="AK297" i="19"/>
  <c r="AJ297" i="19"/>
  <c r="AI297" i="19"/>
  <c r="AH297" i="19"/>
  <c r="AG297" i="19"/>
  <c r="AF297" i="19"/>
  <c r="AE297" i="19"/>
  <c r="AD297" i="19"/>
  <c r="AC297" i="19"/>
  <c r="AB297" i="19"/>
  <c r="AA297" i="19"/>
  <c r="Z297" i="19"/>
  <c r="Y297" i="19"/>
  <c r="Y265" i="19" s="1"/>
  <c r="X297" i="19"/>
  <c r="W297" i="19"/>
  <c r="V297" i="19"/>
  <c r="V265" i="19" s="1"/>
  <c r="U297" i="19"/>
  <c r="T297" i="19"/>
  <c r="S297" i="19"/>
  <c r="R297" i="19"/>
  <c r="R265" i="19" s="1"/>
  <c r="Q297" i="19"/>
  <c r="Q265" i="19" s="1"/>
  <c r="BP265" i="19" s="1"/>
  <c r="P297" i="19"/>
  <c r="O297" i="19"/>
  <c r="N297" i="19"/>
  <c r="M297" i="19"/>
  <c r="L297" i="19"/>
  <c r="K297" i="19"/>
  <c r="J297" i="19"/>
  <c r="I297" i="19"/>
  <c r="H297" i="19"/>
  <c r="G297" i="19"/>
  <c r="F297" i="19"/>
  <c r="E297" i="19"/>
  <c r="D297" i="19"/>
  <c r="C297" i="19"/>
  <c r="B297" i="19"/>
  <c r="BP296" i="19"/>
  <c r="BN296" i="19"/>
  <c r="BK296" i="19"/>
  <c r="AQ296" i="19"/>
  <c r="AP296" i="19"/>
  <c r="AO296" i="19"/>
  <c r="AO264" i="19" s="1"/>
  <c r="AN296" i="19"/>
  <c r="AM296" i="19"/>
  <c r="AL296" i="19"/>
  <c r="AK296" i="19"/>
  <c r="AJ296" i="19"/>
  <c r="AI296" i="19"/>
  <c r="AH296" i="19"/>
  <c r="AG296" i="19"/>
  <c r="AF296" i="19"/>
  <c r="AE296" i="19"/>
  <c r="AD296" i="19"/>
  <c r="AC296" i="19"/>
  <c r="AB296" i="19"/>
  <c r="AA296" i="19"/>
  <c r="Z296" i="19"/>
  <c r="Y296" i="19"/>
  <c r="X296" i="19"/>
  <c r="X264" i="19" s="1"/>
  <c r="W296" i="19"/>
  <c r="W264" i="19" s="1"/>
  <c r="V296" i="19"/>
  <c r="U296" i="19"/>
  <c r="U264" i="19" s="1"/>
  <c r="T296" i="19"/>
  <c r="T264" i="19" s="1"/>
  <c r="S296" i="19"/>
  <c r="R296" i="19"/>
  <c r="Q296" i="19"/>
  <c r="P296" i="19"/>
  <c r="O296" i="19"/>
  <c r="N296" i="19"/>
  <c r="N264" i="19" s="1"/>
  <c r="M296" i="19"/>
  <c r="L296" i="19"/>
  <c r="K296" i="19"/>
  <c r="J296" i="19"/>
  <c r="I296" i="19"/>
  <c r="H296" i="19"/>
  <c r="G296" i="19"/>
  <c r="G264" i="19" s="1"/>
  <c r="F296" i="19"/>
  <c r="E296" i="19"/>
  <c r="E264" i="19" s="1"/>
  <c r="D296" i="19"/>
  <c r="C296" i="19"/>
  <c r="B296" i="19"/>
  <c r="B264" i="19" s="1"/>
  <c r="BP295" i="19"/>
  <c r="BL295" i="19"/>
  <c r="BK295" i="19"/>
  <c r="AQ295" i="19"/>
  <c r="AP295" i="19"/>
  <c r="AO295" i="19"/>
  <c r="AN295" i="19"/>
  <c r="AM295" i="19"/>
  <c r="AL295" i="19"/>
  <c r="AL263" i="19" s="1"/>
  <c r="AK295" i="19"/>
  <c r="AJ295" i="19"/>
  <c r="AI295" i="19"/>
  <c r="AH295" i="19"/>
  <c r="AG295" i="19"/>
  <c r="AF295" i="19"/>
  <c r="AE295" i="19"/>
  <c r="AD295" i="19"/>
  <c r="AC295" i="19"/>
  <c r="AB295" i="19"/>
  <c r="AA295" i="19"/>
  <c r="AA263" i="19" s="1"/>
  <c r="Z295" i="19"/>
  <c r="Y295" i="19"/>
  <c r="X295" i="19"/>
  <c r="W295" i="19"/>
  <c r="V295" i="19"/>
  <c r="U295" i="19"/>
  <c r="U263" i="19" s="1"/>
  <c r="T295" i="19"/>
  <c r="S295" i="19"/>
  <c r="R295" i="19"/>
  <c r="Q295" i="19"/>
  <c r="P295" i="19"/>
  <c r="O295" i="19"/>
  <c r="N295" i="19"/>
  <c r="M295" i="19"/>
  <c r="L295" i="19"/>
  <c r="K295" i="19"/>
  <c r="J295" i="19"/>
  <c r="I295" i="19"/>
  <c r="H295" i="19"/>
  <c r="G295" i="19"/>
  <c r="G263" i="19" s="1"/>
  <c r="F295" i="19"/>
  <c r="E295" i="19"/>
  <c r="E263" i="19" s="1"/>
  <c r="D295" i="19"/>
  <c r="C295" i="19"/>
  <c r="B295" i="19"/>
  <c r="B263" i="19" s="1"/>
  <c r="BP294" i="19"/>
  <c r="BN294" i="19"/>
  <c r="BL294" i="19"/>
  <c r="BK294" i="19"/>
  <c r="AQ294" i="19"/>
  <c r="AP294" i="19"/>
  <c r="AO294" i="19"/>
  <c r="AN294" i="19"/>
  <c r="AN262" i="19" s="1"/>
  <c r="AM294" i="19"/>
  <c r="AL294" i="19"/>
  <c r="AK294" i="19"/>
  <c r="AJ294" i="19"/>
  <c r="AI294" i="19"/>
  <c r="AH294" i="19"/>
  <c r="AG294" i="19"/>
  <c r="AF294" i="19"/>
  <c r="AE294" i="19"/>
  <c r="AD294" i="19"/>
  <c r="AD262" i="19" s="1"/>
  <c r="AC294" i="19"/>
  <c r="AB294" i="19"/>
  <c r="AB262" i="19" s="1"/>
  <c r="AA294" i="19"/>
  <c r="Z294" i="19"/>
  <c r="Z262" i="19" s="1"/>
  <c r="Y294" i="19"/>
  <c r="X294" i="19"/>
  <c r="W294" i="19"/>
  <c r="V294" i="19"/>
  <c r="U294" i="19"/>
  <c r="T294" i="19"/>
  <c r="S294" i="19"/>
  <c r="R294" i="19"/>
  <c r="R262" i="19" s="1"/>
  <c r="Q294" i="19"/>
  <c r="P294" i="19"/>
  <c r="O294" i="19"/>
  <c r="N294" i="19"/>
  <c r="M294" i="19"/>
  <c r="L294" i="19"/>
  <c r="K294" i="19"/>
  <c r="J294" i="19"/>
  <c r="I294" i="19"/>
  <c r="H294" i="19"/>
  <c r="H262" i="19" s="1"/>
  <c r="G294" i="19"/>
  <c r="G262" i="19" s="1"/>
  <c r="F294" i="19"/>
  <c r="F262" i="19" s="1"/>
  <c r="E294" i="19"/>
  <c r="D294" i="19"/>
  <c r="D262" i="19" s="1"/>
  <c r="C294" i="19"/>
  <c r="B294" i="19"/>
  <c r="BP293" i="19"/>
  <c r="BK293" i="19"/>
  <c r="AQ293" i="19"/>
  <c r="AP293" i="19"/>
  <c r="AO293" i="19"/>
  <c r="AN293" i="19"/>
  <c r="AM293" i="19"/>
  <c r="AL293" i="19"/>
  <c r="AK293" i="19"/>
  <c r="AJ293" i="19"/>
  <c r="AI293" i="19"/>
  <c r="AH293" i="19"/>
  <c r="AG293" i="19"/>
  <c r="AF293" i="19"/>
  <c r="AE293" i="19"/>
  <c r="AD293" i="19"/>
  <c r="AC293" i="19"/>
  <c r="AB293" i="19"/>
  <c r="AA293" i="19"/>
  <c r="Z293" i="19"/>
  <c r="Z261" i="19" s="1"/>
  <c r="Y293" i="19"/>
  <c r="X293" i="19"/>
  <c r="W293" i="19"/>
  <c r="V293" i="19"/>
  <c r="U293" i="19"/>
  <c r="T293" i="19"/>
  <c r="T261" i="19" s="1"/>
  <c r="S293" i="19"/>
  <c r="R293" i="19"/>
  <c r="Q293" i="19"/>
  <c r="P293" i="19"/>
  <c r="BN293" i="19" s="1"/>
  <c r="O293" i="19"/>
  <c r="BL293" i="19" s="1"/>
  <c r="N293" i="19"/>
  <c r="M293" i="19"/>
  <c r="L293" i="19"/>
  <c r="K293" i="19"/>
  <c r="J293" i="19"/>
  <c r="I293" i="19"/>
  <c r="H293" i="19"/>
  <c r="G293" i="19"/>
  <c r="F293" i="19"/>
  <c r="E293" i="19"/>
  <c r="E261" i="19" s="1"/>
  <c r="D293" i="19"/>
  <c r="D261" i="19" s="1"/>
  <c r="C293" i="19"/>
  <c r="B293" i="19"/>
  <c r="BK292" i="19"/>
  <c r="AQ292" i="19"/>
  <c r="AP292" i="19"/>
  <c r="AO292" i="19"/>
  <c r="AN292" i="19"/>
  <c r="AM292" i="19"/>
  <c r="AL292" i="19"/>
  <c r="AK292" i="19"/>
  <c r="AJ292" i="19"/>
  <c r="AI292" i="19"/>
  <c r="AH292" i="19"/>
  <c r="AG292" i="19"/>
  <c r="AF292" i="19"/>
  <c r="AE292" i="19"/>
  <c r="AD292" i="19"/>
  <c r="AC292" i="19"/>
  <c r="AB292" i="19"/>
  <c r="AA292" i="19"/>
  <c r="AA260" i="19" s="1"/>
  <c r="Z292" i="19"/>
  <c r="Y292" i="19"/>
  <c r="X292" i="19"/>
  <c r="W292" i="19"/>
  <c r="V292" i="19"/>
  <c r="V260" i="19" s="1"/>
  <c r="U292" i="19"/>
  <c r="T292" i="19"/>
  <c r="S292" i="19"/>
  <c r="R292" i="19"/>
  <c r="Q292" i="19"/>
  <c r="BP292" i="19" s="1"/>
  <c r="P292" i="19"/>
  <c r="BN292" i="19" s="1"/>
  <c r="O292" i="19"/>
  <c r="N292" i="19"/>
  <c r="M292" i="19"/>
  <c r="L292" i="19"/>
  <c r="K292" i="19"/>
  <c r="J292" i="19"/>
  <c r="I292" i="19"/>
  <c r="H292" i="19"/>
  <c r="G292" i="19"/>
  <c r="F292" i="19"/>
  <c r="E292" i="19"/>
  <c r="E260" i="19" s="1"/>
  <c r="D292" i="19"/>
  <c r="C292" i="19"/>
  <c r="B292" i="19"/>
  <c r="BN291" i="19"/>
  <c r="BK291" i="19"/>
  <c r="AQ291" i="19"/>
  <c r="AP291" i="19"/>
  <c r="AO291" i="19"/>
  <c r="AN291" i="19"/>
  <c r="AM291" i="19"/>
  <c r="AL291" i="19"/>
  <c r="AK291" i="19"/>
  <c r="AJ291" i="19"/>
  <c r="AI291" i="19"/>
  <c r="AH291" i="19"/>
  <c r="AG291" i="19"/>
  <c r="AF291" i="19"/>
  <c r="AE291" i="19"/>
  <c r="AE301" i="19" s="1"/>
  <c r="AD291" i="19"/>
  <c r="AC291" i="19"/>
  <c r="AB291" i="19"/>
  <c r="AA291" i="19"/>
  <c r="Z291" i="19"/>
  <c r="Y291" i="19"/>
  <c r="X291" i="19"/>
  <c r="W291" i="19"/>
  <c r="V291" i="19"/>
  <c r="U291" i="19"/>
  <c r="T291" i="19"/>
  <c r="S291" i="19"/>
  <c r="R291" i="19"/>
  <c r="Q291" i="19"/>
  <c r="BP291" i="19" s="1"/>
  <c r="P291" i="19"/>
  <c r="O291" i="19"/>
  <c r="BL291" i="19" s="1"/>
  <c r="N291" i="19"/>
  <c r="M291" i="19"/>
  <c r="L291" i="19"/>
  <c r="K291" i="19"/>
  <c r="J291" i="19"/>
  <c r="I291" i="19"/>
  <c r="I301" i="19" s="1"/>
  <c r="H291" i="19"/>
  <c r="G291" i="19"/>
  <c r="G259" i="19" s="1"/>
  <c r="F291" i="19"/>
  <c r="E291" i="19"/>
  <c r="D291" i="19"/>
  <c r="C291" i="19"/>
  <c r="B291" i="19"/>
  <c r="BK290" i="19"/>
  <c r="AQ290" i="19"/>
  <c r="AP290" i="19"/>
  <c r="AP301" i="19" s="1"/>
  <c r="AP18" i="19" s="1"/>
  <c r="AO290" i="19"/>
  <c r="AN290" i="19"/>
  <c r="AM290" i="19"/>
  <c r="AL290" i="19"/>
  <c r="AK290" i="19"/>
  <c r="AJ290" i="19"/>
  <c r="AI290" i="19"/>
  <c r="AH290" i="19"/>
  <c r="AG290" i="19"/>
  <c r="AF290" i="19"/>
  <c r="AE290" i="19"/>
  <c r="AD290" i="19"/>
  <c r="AC290" i="19"/>
  <c r="AB290" i="19"/>
  <c r="AA290" i="19"/>
  <c r="Z290" i="19"/>
  <c r="Y290" i="19"/>
  <c r="X290" i="19"/>
  <c r="W290" i="19"/>
  <c r="V290" i="19"/>
  <c r="V258" i="19" s="1"/>
  <c r="U290" i="19"/>
  <c r="T290" i="19"/>
  <c r="T301" i="19" s="1"/>
  <c r="T18" i="19" s="1"/>
  <c r="S290" i="19"/>
  <c r="R290" i="19"/>
  <c r="Q290" i="19"/>
  <c r="BP290" i="19" s="1"/>
  <c r="P290" i="19"/>
  <c r="BN290" i="19" s="1"/>
  <c r="O290" i="19"/>
  <c r="N290" i="19"/>
  <c r="M290" i="19"/>
  <c r="L290" i="19"/>
  <c r="K290" i="19"/>
  <c r="J290" i="19"/>
  <c r="I290" i="19"/>
  <c r="H290" i="19"/>
  <c r="G290" i="19"/>
  <c r="F290" i="19"/>
  <c r="E290" i="19"/>
  <c r="D290" i="19"/>
  <c r="C290" i="19"/>
  <c r="B290" i="19"/>
  <c r="BN289" i="19"/>
  <c r="BK289" i="19"/>
  <c r="BL289" i="19" s="1"/>
  <c r="AQ289" i="19"/>
  <c r="AQ301" i="19" s="1"/>
  <c r="AQ18" i="19" s="1"/>
  <c r="AP289" i="19"/>
  <c r="AO289" i="19"/>
  <c r="AN289" i="19"/>
  <c r="AM289" i="19"/>
  <c r="AL289" i="19"/>
  <c r="AK289" i="19"/>
  <c r="AK301" i="19" s="1"/>
  <c r="AK18" i="19" s="1"/>
  <c r="AJ289" i="19"/>
  <c r="AJ257" i="19" s="1"/>
  <c r="AI289" i="19"/>
  <c r="AH289" i="19"/>
  <c r="AG289" i="19"/>
  <c r="AF289" i="19"/>
  <c r="AE289" i="19"/>
  <c r="AD289" i="19"/>
  <c r="AD301" i="19" s="1"/>
  <c r="AC289" i="19"/>
  <c r="AB289" i="19"/>
  <c r="AA289" i="19"/>
  <c r="Z289" i="19"/>
  <c r="Y289" i="19"/>
  <c r="Y301" i="19" s="1"/>
  <c r="X289" i="19"/>
  <c r="W289" i="19"/>
  <c r="V289" i="19"/>
  <c r="U289" i="19"/>
  <c r="U301" i="19" s="1"/>
  <c r="U18" i="19" s="1"/>
  <c r="T289" i="19"/>
  <c r="S289" i="19"/>
  <c r="S301" i="19" s="1"/>
  <c r="S18" i="19" s="1"/>
  <c r="R289" i="19"/>
  <c r="Q289" i="19"/>
  <c r="P289" i="19"/>
  <c r="O289" i="19"/>
  <c r="N289" i="19"/>
  <c r="M289" i="19"/>
  <c r="L289" i="19"/>
  <c r="K289" i="19"/>
  <c r="J289" i="19"/>
  <c r="I289" i="19"/>
  <c r="H289" i="19"/>
  <c r="H301" i="19" s="1"/>
  <c r="G289" i="19"/>
  <c r="F289" i="19"/>
  <c r="E289" i="19"/>
  <c r="D289" i="19"/>
  <c r="C289" i="19"/>
  <c r="C301" i="19" s="1"/>
  <c r="B289" i="19"/>
  <c r="AQ288" i="19"/>
  <c r="AP288" i="19"/>
  <c r="AO288" i="19"/>
  <c r="AN288" i="19"/>
  <c r="AM288" i="19"/>
  <c r="AL288" i="19"/>
  <c r="AK288" i="19"/>
  <c r="AJ288" i="19"/>
  <c r="AI288" i="19"/>
  <c r="AH288" i="19"/>
  <c r="AG288" i="19"/>
  <c r="AF288" i="19"/>
  <c r="AE288" i="19"/>
  <c r="AD288" i="19"/>
  <c r="AC288" i="19"/>
  <c r="AB288" i="19"/>
  <c r="AA288" i="19"/>
  <c r="Z288" i="19"/>
  <c r="Y288" i="19"/>
  <c r="X288" i="19"/>
  <c r="W288" i="19"/>
  <c r="V288" i="19"/>
  <c r="U288" i="19"/>
  <c r="T288" i="19"/>
  <c r="S288" i="19"/>
  <c r="R288" i="19"/>
  <c r="Q288" i="19"/>
  <c r="P288" i="19"/>
  <c r="O288" i="19"/>
  <c r="N288" i="19"/>
  <c r="M288" i="19"/>
  <c r="L288" i="19"/>
  <c r="K288" i="19"/>
  <c r="J288" i="19"/>
  <c r="I288" i="19"/>
  <c r="H288" i="19"/>
  <c r="G288" i="19"/>
  <c r="F288" i="19"/>
  <c r="E288" i="19"/>
  <c r="D288" i="19"/>
  <c r="C288" i="19"/>
  <c r="B288" i="19"/>
  <c r="AG285" i="19"/>
  <c r="W285" i="19"/>
  <c r="U285" i="19"/>
  <c r="T285" i="19"/>
  <c r="R285" i="19"/>
  <c r="P285" i="19"/>
  <c r="O285" i="19"/>
  <c r="O17" i="19" s="1"/>
  <c r="N285" i="19"/>
  <c r="BN284" i="19"/>
  <c r="AQ284" i="19"/>
  <c r="AP284" i="19"/>
  <c r="AO284" i="19"/>
  <c r="AN284" i="19"/>
  <c r="AM284" i="19"/>
  <c r="AL284" i="19"/>
  <c r="AK284" i="19"/>
  <c r="AK268" i="19" s="1"/>
  <c r="AJ284" i="19"/>
  <c r="AJ268" i="19" s="1"/>
  <c r="AI284" i="19"/>
  <c r="AI268" i="19" s="1"/>
  <c r="AH284" i="19"/>
  <c r="AG284" i="19"/>
  <c r="AF284" i="19"/>
  <c r="AE284" i="19"/>
  <c r="AD284" i="19"/>
  <c r="AC284" i="19"/>
  <c r="AC268" i="19" s="1"/>
  <c r="AB284" i="19"/>
  <c r="AA284" i="19"/>
  <c r="Z284" i="19"/>
  <c r="Y284" i="19"/>
  <c r="Y268" i="19" s="1"/>
  <c r="X284" i="19"/>
  <c r="X268" i="19" s="1"/>
  <c r="W284" i="19"/>
  <c r="V284" i="19"/>
  <c r="U284" i="19"/>
  <c r="T284" i="19"/>
  <c r="S284" i="19"/>
  <c r="R284" i="19"/>
  <c r="Q284" i="19"/>
  <c r="P284" i="19"/>
  <c r="O284" i="19"/>
  <c r="BL284" i="19" s="1"/>
  <c r="N284" i="19"/>
  <c r="N268" i="19" s="1"/>
  <c r="M284" i="19"/>
  <c r="M268" i="19" s="1"/>
  <c r="L284" i="19"/>
  <c r="K284" i="19"/>
  <c r="J284" i="19"/>
  <c r="I284" i="19"/>
  <c r="H284" i="19"/>
  <c r="G284" i="19"/>
  <c r="G268" i="19" s="1"/>
  <c r="F284" i="19"/>
  <c r="E284" i="19"/>
  <c r="D284" i="19"/>
  <c r="C284" i="19"/>
  <c r="C268" i="19" s="1"/>
  <c r="B284" i="19"/>
  <c r="B268" i="19" s="1"/>
  <c r="BP283" i="19"/>
  <c r="AQ283" i="19"/>
  <c r="AP283" i="19"/>
  <c r="AO283" i="19"/>
  <c r="AN283" i="19"/>
  <c r="AM283" i="19"/>
  <c r="AL283" i="19"/>
  <c r="AK283" i="19"/>
  <c r="AJ283" i="19"/>
  <c r="AI283" i="19"/>
  <c r="AH283" i="19"/>
  <c r="AG283" i="19"/>
  <c r="AF283" i="19"/>
  <c r="AE283" i="19"/>
  <c r="AE267" i="19" s="1"/>
  <c r="AD283" i="19"/>
  <c r="AC283" i="19"/>
  <c r="AB283" i="19"/>
  <c r="AB267" i="19" s="1"/>
  <c r="AA283" i="19"/>
  <c r="Z283" i="19"/>
  <c r="Y283" i="19"/>
  <c r="X283" i="19"/>
  <c r="W283" i="19"/>
  <c r="V283" i="19"/>
  <c r="U283" i="19"/>
  <c r="T283" i="19"/>
  <c r="S283" i="19"/>
  <c r="R283" i="19"/>
  <c r="Q283" i="19"/>
  <c r="P283" i="19"/>
  <c r="O283" i="19"/>
  <c r="N283" i="19"/>
  <c r="N267" i="19" s="1"/>
  <c r="M283" i="19"/>
  <c r="L283" i="19"/>
  <c r="K283" i="19"/>
  <c r="J283" i="19"/>
  <c r="I283" i="19"/>
  <c r="I267" i="19" s="1"/>
  <c r="H283" i="19"/>
  <c r="G283" i="19"/>
  <c r="F283" i="19"/>
  <c r="F267" i="19" s="1"/>
  <c r="E283" i="19"/>
  <c r="E267" i="19" s="1"/>
  <c r="D283" i="19"/>
  <c r="D267" i="19" s="1"/>
  <c r="C283" i="19"/>
  <c r="C267" i="19" s="1"/>
  <c r="B283" i="19"/>
  <c r="BL282" i="19"/>
  <c r="AQ282" i="19"/>
  <c r="AP282" i="19"/>
  <c r="AO282" i="19"/>
  <c r="AN282" i="19"/>
  <c r="AM282" i="19"/>
  <c r="AL282" i="19"/>
  <c r="AL266" i="19" s="1"/>
  <c r="AK282" i="19"/>
  <c r="AJ282" i="19"/>
  <c r="AI282" i="19"/>
  <c r="AH282" i="19"/>
  <c r="AG282" i="19"/>
  <c r="AG266" i="19" s="1"/>
  <c r="AF282" i="19"/>
  <c r="AE282" i="19"/>
  <c r="AD282" i="19"/>
  <c r="AD266" i="19" s="1"/>
  <c r="AC282" i="19"/>
  <c r="AC266" i="19" s="1"/>
  <c r="AB282" i="19"/>
  <c r="AB266" i="19" s="1"/>
  <c r="AA282" i="19"/>
  <c r="AA266" i="19" s="1"/>
  <c r="Z282" i="19"/>
  <c r="Y282" i="19"/>
  <c r="X282" i="19"/>
  <c r="W282" i="19"/>
  <c r="V282" i="19"/>
  <c r="U282" i="19"/>
  <c r="T282" i="19"/>
  <c r="S282" i="19"/>
  <c r="R282" i="19"/>
  <c r="Q282" i="19"/>
  <c r="BP282" i="19" s="1"/>
  <c r="P282" i="19"/>
  <c r="O282" i="19"/>
  <c r="N282" i="19"/>
  <c r="M282" i="19"/>
  <c r="L282" i="19"/>
  <c r="K282" i="19"/>
  <c r="K266" i="19" s="1"/>
  <c r="J282" i="19"/>
  <c r="I282" i="19"/>
  <c r="H282" i="19"/>
  <c r="H266" i="19" s="1"/>
  <c r="G282" i="19"/>
  <c r="G266" i="19" s="1"/>
  <c r="F282" i="19"/>
  <c r="F266" i="19" s="1"/>
  <c r="E282" i="19"/>
  <c r="E266" i="19" s="1"/>
  <c r="D282" i="19"/>
  <c r="C282" i="19"/>
  <c r="B282" i="19"/>
  <c r="B266" i="19" s="1"/>
  <c r="BP281" i="19"/>
  <c r="BN281" i="19"/>
  <c r="BL281" i="19"/>
  <c r="AQ281" i="19"/>
  <c r="AP281" i="19"/>
  <c r="AO281" i="19"/>
  <c r="AN281" i="19"/>
  <c r="AM281" i="19"/>
  <c r="AL281" i="19"/>
  <c r="AK281" i="19"/>
  <c r="AJ281" i="19"/>
  <c r="AI281" i="19"/>
  <c r="AI265" i="19" s="1"/>
  <c r="AH281" i="19"/>
  <c r="AG281" i="19"/>
  <c r="AF281" i="19"/>
  <c r="AE281" i="19"/>
  <c r="AE265" i="19" s="1"/>
  <c r="AD281" i="19"/>
  <c r="AD265" i="19" s="1"/>
  <c r="AC281" i="19"/>
  <c r="AC265" i="19" s="1"/>
  <c r="AB281" i="19"/>
  <c r="AB265" i="19" s="1"/>
  <c r="AA281" i="19"/>
  <c r="Z281" i="19"/>
  <c r="Y281" i="19"/>
  <c r="X281" i="19"/>
  <c r="X265" i="19" s="1"/>
  <c r="W281" i="19"/>
  <c r="V281" i="19"/>
  <c r="U281" i="19"/>
  <c r="T281" i="19"/>
  <c r="S281" i="19"/>
  <c r="R281" i="19"/>
  <c r="Q281" i="19"/>
  <c r="P281" i="19"/>
  <c r="O281" i="19"/>
  <c r="N281" i="19"/>
  <c r="M281" i="19"/>
  <c r="M265" i="19" s="1"/>
  <c r="L281" i="19"/>
  <c r="K281" i="19"/>
  <c r="J281" i="19"/>
  <c r="I281" i="19"/>
  <c r="I265" i="19" s="1"/>
  <c r="H281" i="19"/>
  <c r="H265" i="19" s="1"/>
  <c r="G281" i="19"/>
  <c r="G265" i="19" s="1"/>
  <c r="F281" i="19"/>
  <c r="F265" i="19" s="1"/>
  <c r="E281" i="19"/>
  <c r="D281" i="19"/>
  <c r="C281" i="19"/>
  <c r="B281" i="19"/>
  <c r="B265" i="19" s="1"/>
  <c r="BP280" i="19"/>
  <c r="BN280" i="19"/>
  <c r="AQ280" i="19"/>
  <c r="AP280" i="19"/>
  <c r="AO280" i="19"/>
  <c r="AN280" i="19"/>
  <c r="AM280" i="19"/>
  <c r="AL280" i="19"/>
  <c r="AK280" i="19"/>
  <c r="AK264" i="19" s="1"/>
  <c r="AJ280" i="19"/>
  <c r="AI280" i="19"/>
  <c r="AH280" i="19"/>
  <c r="AG280" i="19"/>
  <c r="AG264" i="19" s="1"/>
  <c r="AF280" i="19"/>
  <c r="AF264" i="19" s="1"/>
  <c r="AE280" i="19"/>
  <c r="AE264" i="19" s="1"/>
  <c r="AD280" i="19"/>
  <c r="AD264" i="19" s="1"/>
  <c r="AC280" i="19"/>
  <c r="AB280" i="19"/>
  <c r="AA280" i="19"/>
  <c r="Z280" i="19"/>
  <c r="Y280" i="19"/>
  <c r="X280" i="19"/>
  <c r="W280" i="19"/>
  <c r="V280" i="19"/>
  <c r="U280" i="19"/>
  <c r="T280" i="19"/>
  <c r="S280" i="19"/>
  <c r="R280" i="19"/>
  <c r="Q280" i="19"/>
  <c r="P280" i="19"/>
  <c r="O280" i="19"/>
  <c r="O264" i="19" s="1"/>
  <c r="N280" i="19"/>
  <c r="M280" i="19"/>
  <c r="L280" i="19"/>
  <c r="K280" i="19"/>
  <c r="K264" i="19" s="1"/>
  <c r="J280" i="19"/>
  <c r="J264" i="19" s="1"/>
  <c r="I280" i="19"/>
  <c r="I264" i="19" s="1"/>
  <c r="H280" i="19"/>
  <c r="H264" i="19" s="1"/>
  <c r="G280" i="19"/>
  <c r="F280" i="19"/>
  <c r="E280" i="19"/>
  <c r="D280" i="19"/>
  <c r="D264" i="19" s="1"/>
  <c r="C280" i="19"/>
  <c r="B280" i="19"/>
  <c r="BN279" i="19"/>
  <c r="BL279" i="19"/>
  <c r="AQ279" i="19"/>
  <c r="AP279" i="19"/>
  <c r="AO279" i="19"/>
  <c r="AN279" i="19"/>
  <c r="AM279" i="19"/>
  <c r="AM263" i="19" s="1"/>
  <c r="AL279" i="19"/>
  <c r="AK279" i="19"/>
  <c r="AJ279" i="19"/>
  <c r="AI279" i="19"/>
  <c r="AI263" i="19" s="1"/>
  <c r="AH279" i="19"/>
  <c r="AG279" i="19"/>
  <c r="AG263" i="19" s="1"/>
  <c r="AF279" i="19"/>
  <c r="AF263" i="19" s="1"/>
  <c r="AE279" i="19"/>
  <c r="AD279" i="19"/>
  <c r="AC279" i="19"/>
  <c r="AB279" i="19"/>
  <c r="AA279" i="19"/>
  <c r="Z279" i="19"/>
  <c r="Y279" i="19"/>
  <c r="X279" i="19"/>
  <c r="W279" i="19"/>
  <c r="V279" i="19"/>
  <c r="U279" i="19"/>
  <c r="T279" i="19"/>
  <c r="S279" i="19"/>
  <c r="R279" i="19"/>
  <c r="Q279" i="19"/>
  <c r="P279" i="19"/>
  <c r="O279" i="19"/>
  <c r="N279" i="19"/>
  <c r="M279" i="19"/>
  <c r="M263" i="19" s="1"/>
  <c r="L279" i="19"/>
  <c r="L263" i="19" s="1"/>
  <c r="K279" i="19"/>
  <c r="K263" i="19" s="1"/>
  <c r="J279" i="19"/>
  <c r="J263" i="19" s="1"/>
  <c r="I279" i="19"/>
  <c r="H279" i="19"/>
  <c r="G279" i="19"/>
  <c r="F279" i="19"/>
  <c r="E279" i="19"/>
  <c r="D279" i="19"/>
  <c r="C279" i="19"/>
  <c r="B279" i="19"/>
  <c r="BP278" i="19"/>
  <c r="BN278" i="19"/>
  <c r="AQ278" i="19"/>
  <c r="AP278" i="19"/>
  <c r="AO278" i="19"/>
  <c r="AO262" i="19" s="1"/>
  <c r="AN278" i="19"/>
  <c r="AM278" i="19"/>
  <c r="AL278" i="19"/>
  <c r="AK278" i="19"/>
  <c r="AK262" i="19" s="1"/>
  <c r="AJ278" i="19"/>
  <c r="AJ262" i="19" s="1"/>
  <c r="AI278" i="19"/>
  <c r="AI262" i="19" s="1"/>
  <c r="AH278" i="19"/>
  <c r="AH262" i="19" s="1"/>
  <c r="AG278" i="19"/>
  <c r="AF278" i="19"/>
  <c r="AF262" i="19" s="1"/>
  <c r="AE278" i="19"/>
  <c r="AE262" i="19" s="1"/>
  <c r="AD278" i="19"/>
  <c r="AC278" i="19"/>
  <c r="AB278" i="19"/>
  <c r="AA278" i="19"/>
  <c r="Z278" i="19"/>
  <c r="Y278" i="19"/>
  <c r="X278" i="19"/>
  <c r="W278" i="19"/>
  <c r="V278" i="19"/>
  <c r="U278" i="19"/>
  <c r="T278" i="19"/>
  <c r="S278" i="19"/>
  <c r="S262" i="19" s="1"/>
  <c r="R278" i="19"/>
  <c r="Q278" i="19"/>
  <c r="P278" i="19"/>
  <c r="O278" i="19"/>
  <c r="N278" i="19"/>
  <c r="N262" i="19" s="1"/>
  <c r="M278" i="19"/>
  <c r="M262" i="19" s="1"/>
  <c r="L278" i="19"/>
  <c r="L262" i="19" s="1"/>
  <c r="K278" i="19"/>
  <c r="J278" i="19"/>
  <c r="J262" i="19" s="1"/>
  <c r="I278" i="19"/>
  <c r="I262" i="19" s="1"/>
  <c r="H278" i="19"/>
  <c r="G278" i="19"/>
  <c r="F278" i="19"/>
  <c r="E278" i="19"/>
  <c r="D278" i="19"/>
  <c r="C278" i="19"/>
  <c r="B278" i="19"/>
  <c r="AQ277" i="19"/>
  <c r="AP277" i="19"/>
  <c r="AO277" i="19"/>
  <c r="AN277" i="19"/>
  <c r="AM277" i="19"/>
  <c r="AM261" i="19" s="1"/>
  <c r="AL277" i="19"/>
  <c r="AL261" i="19" s="1"/>
  <c r="AK277" i="19"/>
  <c r="AK261" i="19" s="1"/>
  <c r="AJ277" i="19"/>
  <c r="AI277" i="19"/>
  <c r="AI261" i="19" s="1"/>
  <c r="AH277" i="19"/>
  <c r="AG277" i="19"/>
  <c r="AG261" i="19" s="1"/>
  <c r="AF277" i="19"/>
  <c r="AF261" i="19" s="1"/>
  <c r="AE277" i="19"/>
  <c r="AE261" i="19" s="1"/>
  <c r="AD277" i="19"/>
  <c r="AD261" i="19" s="1"/>
  <c r="AC277" i="19"/>
  <c r="AB277" i="19"/>
  <c r="AA277" i="19"/>
  <c r="Z277" i="19"/>
  <c r="Y277" i="19"/>
  <c r="X277" i="19"/>
  <c r="W277" i="19"/>
  <c r="V277" i="19"/>
  <c r="U277" i="19"/>
  <c r="T277" i="19"/>
  <c r="S277" i="19"/>
  <c r="R277" i="19"/>
  <c r="Q277" i="19"/>
  <c r="P277" i="19"/>
  <c r="O277" i="19"/>
  <c r="N277" i="19"/>
  <c r="N261" i="19" s="1"/>
  <c r="M277" i="19"/>
  <c r="M261" i="19" s="1"/>
  <c r="L277" i="19"/>
  <c r="K277" i="19"/>
  <c r="K261" i="19" s="1"/>
  <c r="J277" i="19"/>
  <c r="J261" i="19" s="1"/>
  <c r="I277" i="19"/>
  <c r="I261" i="19" s="1"/>
  <c r="H277" i="19"/>
  <c r="H261" i="19" s="1"/>
  <c r="G277" i="19"/>
  <c r="G261" i="19" s="1"/>
  <c r="F277" i="19"/>
  <c r="E277" i="19"/>
  <c r="D277" i="19"/>
  <c r="C277" i="19"/>
  <c r="B277" i="19"/>
  <c r="BL276" i="19"/>
  <c r="AQ276" i="19"/>
  <c r="AP276" i="19"/>
  <c r="AO276" i="19"/>
  <c r="AO260" i="19" s="1"/>
  <c r="AN276" i="19"/>
  <c r="AN260" i="19" s="1"/>
  <c r="AM276" i="19"/>
  <c r="AL276" i="19"/>
  <c r="AL260" i="19" s="1"/>
  <c r="AK276" i="19"/>
  <c r="AJ276" i="19"/>
  <c r="AJ260" i="19" s="1"/>
  <c r="AI276" i="19"/>
  <c r="AH276" i="19"/>
  <c r="AG276" i="19"/>
  <c r="AF276" i="19"/>
  <c r="AF260" i="19" s="1"/>
  <c r="AE276" i="19"/>
  <c r="AD276" i="19"/>
  <c r="AD260" i="19" s="1"/>
  <c r="AC276" i="19"/>
  <c r="AC260" i="19" s="1"/>
  <c r="AB276" i="19"/>
  <c r="AB260" i="19" s="1"/>
  <c r="AA276" i="19"/>
  <c r="Z276" i="19"/>
  <c r="Y276" i="19"/>
  <c r="X276" i="19"/>
  <c r="W276" i="19"/>
  <c r="V276" i="19"/>
  <c r="U276" i="19"/>
  <c r="T276" i="19"/>
  <c r="S276" i="19"/>
  <c r="S260" i="19" s="1"/>
  <c r="R276" i="19"/>
  <c r="R260" i="19" s="1"/>
  <c r="Q276" i="19"/>
  <c r="P276" i="19"/>
  <c r="O276" i="19"/>
  <c r="N276" i="19"/>
  <c r="N260" i="19" s="1"/>
  <c r="M276" i="19"/>
  <c r="L276" i="19"/>
  <c r="L260" i="19" s="1"/>
  <c r="K276" i="19"/>
  <c r="J276" i="19"/>
  <c r="J260" i="19" s="1"/>
  <c r="I276" i="19"/>
  <c r="I260" i="19" s="1"/>
  <c r="H276" i="19"/>
  <c r="H260" i="19" s="1"/>
  <c r="G276" i="19"/>
  <c r="G260" i="19" s="1"/>
  <c r="F276" i="19"/>
  <c r="F260" i="19" s="1"/>
  <c r="E276" i="19"/>
  <c r="D276" i="19"/>
  <c r="C276" i="19"/>
  <c r="B276" i="19"/>
  <c r="BP275" i="19"/>
  <c r="AQ275" i="19"/>
  <c r="AP275" i="19"/>
  <c r="AO275" i="19"/>
  <c r="AO259" i="19" s="1"/>
  <c r="AN275" i="19"/>
  <c r="AN259" i="19" s="1"/>
  <c r="AM275" i="19"/>
  <c r="AL275" i="19"/>
  <c r="AL259" i="19" s="1"/>
  <c r="AK275" i="19"/>
  <c r="AK259" i="19" s="1"/>
  <c r="AJ275" i="19"/>
  <c r="AJ259" i="19" s="1"/>
  <c r="AI275" i="19"/>
  <c r="AH275" i="19"/>
  <c r="AG275" i="19"/>
  <c r="AF275" i="19"/>
  <c r="AE275" i="19"/>
  <c r="AE259" i="19" s="1"/>
  <c r="AD275" i="19"/>
  <c r="AD259" i="19" s="1"/>
  <c r="AC275" i="19"/>
  <c r="AB275" i="19"/>
  <c r="AA275" i="19"/>
  <c r="Z275" i="19"/>
  <c r="Y275" i="19"/>
  <c r="X275" i="19"/>
  <c r="W275" i="19"/>
  <c r="V275" i="19"/>
  <c r="U275" i="19"/>
  <c r="T275" i="19"/>
  <c r="S275" i="19"/>
  <c r="S259" i="19" s="1"/>
  <c r="R275" i="19"/>
  <c r="R259" i="19" s="1"/>
  <c r="Q275" i="19"/>
  <c r="P275" i="19"/>
  <c r="BN275" i="19" s="1"/>
  <c r="O275" i="19"/>
  <c r="N275" i="19"/>
  <c r="N259" i="19" s="1"/>
  <c r="M275" i="19"/>
  <c r="M259" i="19" s="1"/>
  <c r="L275" i="19"/>
  <c r="K275" i="19"/>
  <c r="K259" i="19" s="1"/>
  <c r="J275" i="19"/>
  <c r="I275" i="19"/>
  <c r="I259" i="19" s="1"/>
  <c r="H275" i="19"/>
  <c r="H259" i="19" s="1"/>
  <c r="G275" i="19"/>
  <c r="F275" i="19"/>
  <c r="E275" i="19"/>
  <c r="D275" i="19"/>
  <c r="C275" i="19"/>
  <c r="B275" i="19"/>
  <c r="AQ274" i="19"/>
  <c r="AP274" i="19"/>
  <c r="AO274" i="19"/>
  <c r="AO258" i="19" s="1"/>
  <c r="AN274" i="19"/>
  <c r="AN258" i="19" s="1"/>
  <c r="AM274" i="19"/>
  <c r="AL274" i="19"/>
  <c r="AK274" i="19"/>
  <c r="AK258" i="19" s="1"/>
  <c r="AJ274" i="19"/>
  <c r="AJ258" i="19" s="1"/>
  <c r="AI274" i="19"/>
  <c r="AH274" i="19"/>
  <c r="AH258" i="19" s="1"/>
  <c r="AG274" i="19"/>
  <c r="AG258" i="19" s="1"/>
  <c r="AF274" i="19"/>
  <c r="AE274" i="19"/>
  <c r="AD274" i="19"/>
  <c r="AC274" i="19"/>
  <c r="AB274" i="19"/>
  <c r="AA274" i="19"/>
  <c r="Z274" i="19"/>
  <c r="Y274" i="19"/>
  <c r="X274" i="19"/>
  <c r="W274" i="19"/>
  <c r="V274" i="19"/>
  <c r="U274" i="19"/>
  <c r="U258" i="19" s="1"/>
  <c r="T274" i="19"/>
  <c r="S274" i="19"/>
  <c r="S258" i="19" s="1"/>
  <c r="R274" i="19"/>
  <c r="R258" i="19" s="1"/>
  <c r="Q274" i="19"/>
  <c r="BP274" i="19" s="1"/>
  <c r="P274" i="19"/>
  <c r="O274" i="19"/>
  <c r="N274" i="19"/>
  <c r="N258" i="19" s="1"/>
  <c r="M274" i="19"/>
  <c r="M258" i="19" s="1"/>
  <c r="L274" i="19"/>
  <c r="K274" i="19"/>
  <c r="J274" i="19"/>
  <c r="I274" i="19"/>
  <c r="H274" i="19"/>
  <c r="G274" i="19"/>
  <c r="F274" i="19"/>
  <c r="E274" i="19"/>
  <c r="D274" i="19"/>
  <c r="C274" i="19"/>
  <c r="B274" i="19"/>
  <c r="BL273" i="19"/>
  <c r="AQ273" i="19"/>
  <c r="AP273" i="19"/>
  <c r="AO273" i="19"/>
  <c r="AN273" i="19"/>
  <c r="AN257" i="19" s="1"/>
  <c r="AM273" i="19"/>
  <c r="AL273" i="19"/>
  <c r="AK273" i="19"/>
  <c r="AJ273" i="19"/>
  <c r="AI273" i="19"/>
  <c r="AH273" i="19"/>
  <c r="AG273" i="19"/>
  <c r="AF273" i="19"/>
  <c r="AE273" i="19"/>
  <c r="AD273" i="19"/>
  <c r="AC273" i="19"/>
  <c r="AB273" i="19"/>
  <c r="AA273" i="19"/>
  <c r="Z273" i="19"/>
  <c r="Z285" i="19" s="1"/>
  <c r="Y273" i="19"/>
  <c r="X273" i="19"/>
  <c r="W273" i="19"/>
  <c r="W257" i="19" s="1"/>
  <c r="V273" i="19"/>
  <c r="U273" i="19"/>
  <c r="T273" i="19"/>
  <c r="T257" i="19" s="1"/>
  <c r="S273" i="19"/>
  <c r="R273" i="19"/>
  <c r="Q273" i="19"/>
  <c r="P273" i="19"/>
  <c r="O273" i="19"/>
  <c r="N273" i="19"/>
  <c r="M273" i="19"/>
  <c r="L273" i="19"/>
  <c r="K273" i="19"/>
  <c r="J273" i="19"/>
  <c r="I273" i="19"/>
  <c r="H273" i="19"/>
  <c r="G273" i="19"/>
  <c r="F273" i="19"/>
  <c r="E273" i="19"/>
  <c r="D273" i="19"/>
  <c r="C273" i="19"/>
  <c r="B273" i="19"/>
  <c r="AQ272" i="19"/>
  <c r="AP272" i="19"/>
  <c r="AO272" i="19"/>
  <c r="AN272" i="19"/>
  <c r="AM272" i="19"/>
  <c r="AL272" i="19"/>
  <c r="AK272" i="19"/>
  <c r="AJ272" i="19"/>
  <c r="AI272" i="19"/>
  <c r="AH272" i="19"/>
  <c r="AG272" i="19"/>
  <c r="AF272" i="19"/>
  <c r="AE272" i="19"/>
  <c r="AD272" i="19"/>
  <c r="AC272" i="19"/>
  <c r="AB272" i="19"/>
  <c r="AA272" i="19"/>
  <c r="Z272" i="19"/>
  <c r="Y272" i="19"/>
  <c r="X272" i="19"/>
  <c r="W272" i="19"/>
  <c r="V272" i="19"/>
  <c r="U272" i="19"/>
  <c r="T272" i="19"/>
  <c r="S272" i="19"/>
  <c r="R272" i="19"/>
  <c r="Q272" i="19"/>
  <c r="P272" i="19"/>
  <c r="O272" i="19"/>
  <c r="N272" i="19"/>
  <c r="M272" i="19"/>
  <c r="L272" i="19"/>
  <c r="K272" i="19"/>
  <c r="J272" i="19"/>
  <c r="I272" i="19"/>
  <c r="H272" i="19"/>
  <c r="G272" i="19"/>
  <c r="F272" i="19"/>
  <c r="E272" i="19"/>
  <c r="D272" i="19"/>
  <c r="C272" i="19"/>
  <c r="B272" i="19"/>
  <c r="AP268" i="19"/>
  <c r="AO268" i="19"/>
  <c r="AD268" i="19"/>
  <c r="AA268" i="19"/>
  <c r="Z268" i="19"/>
  <c r="V268" i="19"/>
  <c r="T268" i="19"/>
  <c r="H268" i="19"/>
  <c r="E268" i="19"/>
  <c r="AQ267" i="19"/>
  <c r="AL267" i="19"/>
  <c r="AK267" i="19"/>
  <c r="AJ267" i="19"/>
  <c r="AF267" i="19"/>
  <c r="AD267" i="19"/>
  <c r="AC267" i="19"/>
  <c r="AA267" i="19"/>
  <c r="Z267" i="19"/>
  <c r="Y267" i="19"/>
  <c r="W267" i="19"/>
  <c r="J267" i="19"/>
  <c r="H267" i="19"/>
  <c r="G267" i="19"/>
  <c r="AQ266" i="19"/>
  <c r="AK266" i="19"/>
  <c r="AH266" i="19"/>
  <c r="AE266" i="19"/>
  <c r="X266" i="19"/>
  <c r="V266" i="19"/>
  <c r="L266" i="19"/>
  <c r="I266" i="19"/>
  <c r="D266" i="19"/>
  <c r="BN265" i="19"/>
  <c r="AQ265" i="19"/>
  <c r="AO265" i="19"/>
  <c r="AN265" i="19"/>
  <c r="AM265" i="19"/>
  <c r="AL265" i="19"/>
  <c r="AJ265" i="19"/>
  <c r="AG265" i="19"/>
  <c r="Z265" i="19"/>
  <c r="P265" i="19"/>
  <c r="N265" i="19"/>
  <c r="K265" i="19"/>
  <c r="D265" i="19"/>
  <c r="C265" i="19"/>
  <c r="BN264" i="19"/>
  <c r="BL264" i="19"/>
  <c r="AQ264" i="19"/>
  <c r="AP264" i="19"/>
  <c r="AN264" i="19"/>
  <c r="AL264" i="19"/>
  <c r="AI264" i="19"/>
  <c r="AA264" i="19"/>
  <c r="Z264" i="19"/>
  <c r="S264" i="19"/>
  <c r="R264" i="19"/>
  <c r="P264" i="19"/>
  <c r="M264" i="19"/>
  <c r="F264" i="19"/>
  <c r="BL263" i="19"/>
  <c r="AQ263" i="19"/>
  <c r="AP263" i="19"/>
  <c r="AN263" i="19"/>
  <c r="AK263" i="19"/>
  <c r="AH263" i="19"/>
  <c r="AE263" i="19"/>
  <c r="AD263" i="19"/>
  <c r="AC263" i="19"/>
  <c r="AB263" i="19"/>
  <c r="Y263" i="19"/>
  <c r="V263" i="19"/>
  <c r="T263" i="19"/>
  <c r="R263" i="19"/>
  <c r="O263" i="19"/>
  <c r="F263" i="19"/>
  <c r="BP262" i="19"/>
  <c r="AQ262" i="19"/>
  <c r="AP262" i="19"/>
  <c r="AM262" i="19"/>
  <c r="AC262" i="19"/>
  <c r="Y262" i="19"/>
  <c r="X262" i="19"/>
  <c r="W262" i="19"/>
  <c r="V262" i="19"/>
  <c r="U262" i="19"/>
  <c r="T262" i="19"/>
  <c r="Q262" i="19"/>
  <c r="AQ261" i="19"/>
  <c r="AP261" i="19"/>
  <c r="AO261" i="19"/>
  <c r="AJ261" i="19"/>
  <c r="AC261" i="19"/>
  <c r="AA261" i="19"/>
  <c r="Y261" i="19"/>
  <c r="X261" i="19"/>
  <c r="V261" i="19"/>
  <c r="U261" i="19"/>
  <c r="S261" i="19"/>
  <c r="C261" i="19"/>
  <c r="B261" i="19"/>
  <c r="AQ260" i="19"/>
  <c r="AP260" i="19"/>
  <c r="AK260" i="19"/>
  <c r="AH260" i="19"/>
  <c r="AE260" i="19"/>
  <c r="Y260" i="19"/>
  <c r="X260" i="19"/>
  <c r="W260" i="19"/>
  <c r="U260" i="19"/>
  <c r="T260" i="19"/>
  <c r="O260" i="19"/>
  <c r="BL260" i="19" s="1"/>
  <c r="K260" i="19"/>
  <c r="C260" i="19"/>
  <c r="B260" i="19"/>
  <c r="AQ259" i="19"/>
  <c r="AI259" i="19"/>
  <c r="AG259" i="19"/>
  <c r="AC259" i="19"/>
  <c r="Z259" i="19"/>
  <c r="Y259" i="19"/>
  <c r="X259" i="19"/>
  <c r="W259" i="19"/>
  <c r="V259" i="19"/>
  <c r="U259" i="19"/>
  <c r="P259" i="19"/>
  <c r="BN259" i="19" s="1"/>
  <c r="D259" i="19"/>
  <c r="C259" i="19"/>
  <c r="B259" i="19"/>
  <c r="AI258" i="19"/>
  <c r="AC258" i="19"/>
  <c r="AB258" i="19"/>
  <c r="Y258" i="19"/>
  <c r="W258" i="19"/>
  <c r="L258" i="19"/>
  <c r="K258" i="19"/>
  <c r="J258" i="19"/>
  <c r="H258" i="19"/>
  <c r="G258" i="19"/>
  <c r="F258" i="19"/>
  <c r="C258" i="19"/>
  <c r="B258" i="19"/>
  <c r="AD257" i="19"/>
  <c r="AC257" i="19"/>
  <c r="AB257" i="19"/>
  <c r="AA257" i="19"/>
  <c r="Z257" i="19"/>
  <c r="Y257" i="19"/>
  <c r="R257" i="19"/>
  <c r="O257" i="19"/>
  <c r="N257" i="19"/>
  <c r="M257" i="19"/>
  <c r="K257" i="19"/>
  <c r="I257" i="19"/>
  <c r="H257" i="19"/>
  <c r="E257" i="19"/>
  <c r="C257" i="19"/>
  <c r="AQ256" i="19"/>
  <c r="AP256" i="19"/>
  <c r="AO256" i="19"/>
  <c r="AN256" i="19"/>
  <c r="AM256" i="19"/>
  <c r="AL256" i="19"/>
  <c r="AK256" i="19"/>
  <c r="AJ256" i="19"/>
  <c r="AI256" i="19"/>
  <c r="AH256" i="19"/>
  <c r="AG256" i="19"/>
  <c r="AF256" i="19"/>
  <c r="AE256" i="19"/>
  <c r="AD256" i="19"/>
  <c r="AC256" i="19"/>
  <c r="AB256" i="19"/>
  <c r="AA256" i="19"/>
  <c r="Z256" i="19"/>
  <c r="Y256" i="19"/>
  <c r="X256" i="19"/>
  <c r="W256" i="19"/>
  <c r="V256" i="19"/>
  <c r="U256" i="19"/>
  <c r="T256" i="19"/>
  <c r="S256" i="19"/>
  <c r="R256" i="19"/>
  <c r="Q256" i="19"/>
  <c r="P256" i="19"/>
  <c r="O256" i="19"/>
  <c r="N256" i="19"/>
  <c r="M256" i="19"/>
  <c r="L256" i="19"/>
  <c r="K256" i="19"/>
  <c r="J256" i="19"/>
  <c r="I256" i="19"/>
  <c r="H256" i="19"/>
  <c r="G256" i="19"/>
  <c r="F256" i="19"/>
  <c r="E256" i="19"/>
  <c r="D256" i="19"/>
  <c r="C256" i="19"/>
  <c r="B256" i="19"/>
  <c r="AQ253" i="19"/>
  <c r="AP253" i="19"/>
  <c r="AO253" i="19"/>
  <c r="AN253" i="19"/>
  <c r="AM253" i="19"/>
  <c r="AL253" i="19"/>
  <c r="AK253" i="19"/>
  <c r="AJ253" i="19"/>
  <c r="AI253" i="19"/>
  <c r="AH253" i="19"/>
  <c r="AG253" i="19"/>
  <c r="AF253" i="19"/>
  <c r="AE253" i="19"/>
  <c r="AE15" i="19" s="1"/>
  <c r="AD253" i="19"/>
  <c r="AD15" i="19" s="1"/>
  <c r="AC253" i="19"/>
  <c r="AB253" i="19"/>
  <c r="AA253" i="19"/>
  <c r="AA15" i="19" s="1"/>
  <c r="Z253" i="19"/>
  <c r="Y253" i="19"/>
  <c r="X253" i="19"/>
  <c r="W253" i="19"/>
  <c r="V253" i="19"/>
  <c r="U253" i="19"/>
  <c r="T253" i="19"/>
  <c r="S253" i="19"/>
  <c r="R253" i="19"/>
  <c r="Q253" i="19"/>
  <c r="BP253" i="19" s="1"/>
  <c r="N253" i="19"/>
  <c r="BJ253" i="19" s="1"/>
  <c r="D253" i="19"/>
  <c r="D15" i="19" s="1"/>
  <c r="BP252" i="19"/>
  <c r="BJ252" i="19"/>
  <c r="P252" i="19"/>
  <c r="BN252" i="19" s="1"/>
  <c r="O252" i="19"/>
  <c r="N252" i="19"/>
  <c r="M252" i="19"/>
  <c r="BH252" i="19" s="1"/>
  <c r="L252" i="19"/>
  <c r="BF252" i="19" s="1"/>
  <c r="K252" i="19"/>
  <c r="J252" i="19"/>
  <c r="I252" i="19"/>
  <c r="H252" i="19"/>
  <c r="H204" i="19" s="1"/>
  <c r="G252" i="19"/>
  <c r="F252" i="19"/>
  <c r="E252" i="19"/>
  <c r="D252" i="19"/>
  <c r="C252" i="19"/>
  <c r="B252" i="19"/>
  <c r="BP251" i="19"/>
  <c r="BH251" i="19"/>
  <c r="P251" i="19"/>
  <c r="BN251" i="19" s="1"/>
  <c r="O251" i="19"/>
  <c r="N251" i="19"/>
  <c r="BJ251" i="19" s="1"/>
  <c r="M251" i="19"/>
  <c r="L251" i="19"/>
  <c r="K251" i="19"/>
  <c r="J251" i="19"/>
  <c r="I251" i="19"/>
  <c r="H251" i="19"/>
  <c r="H203" i="19" s="1"/>
  <c r="G251" i="19"/>
  <c r="F251" i="19"/>
  <c r="E251" i="19"/>
  <c r="D251" i="19"/>
  <c r="C251" i="19"/>
  <c r="B251" i="19"/>
  <c r="BP250" i="19"/>
  <c r="BF250" i="19"/>
  <c r="P250" i="19"/>
  <c r="BN250" i="19" s="1"/>
  <c r="O250" i="19"/>
  <c r="BL250" i="19" s="1"/>
  <c r="N250" i="19"/>
  <c r="BJ250" i="19" s="1"/>
  <c r="M250" i="19"/>
  <c r="L250" i="19"/>
  <c r="K250" i="19"/>
  <c r="J250" i="19"/>
  <c r="J202" i="19" s="1"/>
  <c r="I250" i="19"/>
  <c r="H250" i="19"/>
  <c r="G250" i="19"/>
  <c r="F250" i="19"/>
  <c r="E250" i="19"/>
  <c r="E202" i="19" s="1"/>
  <c r="D250" i="19"/>
  <c r="C250" i="19"/>
  <c r="B250" i="19"/>
  <c r="BP249" i="19"/>
  <c r="BN249" i="19"/>
  <c r="P249" i="19"/>
  <c r="O249" i="19"/>
  <c r="BL249" i="19" s="1"/>
  <c r="N249" i="19"/>
  <c r="BJ249" i="19" s="1"/>
  <c r="M249" i="19"/>
  <c r="BH249" i="19" s="1"/>
  <c r="L249" i="19"/>
  <c r="K249" i="19"/>
  <c r="J249" i="19"/>
  <c r="J201" i="19" s="1"/>
  <c r="I249" i="19"/>
  <c r="H249" i="19"/>
  <c r="G249" i="19"/>
  <c r="F249" i="19"/>
  <c r="E249" i="19"/>
  <c r="E201" i="19" s="1"/>
  <c r="D249" i="19"/>
  <c r="C249" i="19"/>
  <c r="B249" i="19"/>
  <c r="B201" i="19" s="1"/>
  <c r="BP248" i="19"/>
  <c r="BN248" i="19"/>
  <c r="P248" i="19"/>
  <c r="O248" i="19"/>
  <c r="N248" i="19"/>
  <c r="BJ248" i="19" s="1"/>
  <c r="M248" i="19"/>
  <c r="BH248" i="19" s="1"/>
  <c r="L248" i="19"/>
  <c r="K248" i="19"/>
  <c r="J248" i="19"/>
  <c r="J200" i="19" s="1"/>
  <c r="I248" i="19"/>
  <c r="I200" i="19" s="1"/>
  <c r="H248" i="19"/>
  <c r="G248" i="19"/>
  <c r="F248" i="19"/>
  <c r="E248" i="19"/>
  <c r="D248" i="19"/>
  <c r="D200" i="19" s="1"/>
  <c r="C248" i="19"/>
  <c r="B248" i="19"/>
  <c r="BP247" i="19"/>
  <c r="BN247" i="19"/>
  <c r="BL247" i="19"/>
  <c r="BJ247" i="19"/>
  <c r="P247" i="19"/>
  <c r="O247" i="19"/>
  <c r="N247" i="19"/>
  <c r="M247" i="19"/>
  <c r="BH247" i="19" s="1"/>
  <c r="L247" i="19"/>
  <c r="BF247" i="19" s="1"/>
  <c r="K247" i="19"/>
  <c r="J247" i="19"/>
  <c r="I247" i="19"/>
  <c r="H247" i="19"/>
  <c r="G247" i="19"/>
  <c r="F247" i="19"/>
  <c r="E247" i="19"/>
  <c r="D247" i="19"/>
  <c r="D199" i="19" s="1"/>
  <c r="C247" i="19"/>
  <c r="B247" i="19"/>
  <c r="BP246" i="19"/>
  <c r="BN246" i="19"/>
  <c r="BL246" i="19"/>
  <c r="BJ246" i="19"/>
  <c r="P246" i="19"/>
  <c r="O246" i="19"/>
  <c r="N246" i="19"/>
  <c r="M246" i="19"/>
  <c r="BH246" i="19" s="1"/>
  <c r="L246" i="19"/>
  <c r="BF246" i="19" s="1"/>
  <c r="K246" i="19"/>
  <c r="J246" i="19"/>
  <c r="I246" i="19"/>
  <c r="I198" i="19" s="1"/>
  <c r="H246" i="19"/>
  <c r="G246" i="19"/>
  <c r="F246" i="19"/>
  <c r="E246" i="19"/>
  <c r="D246" i="19"/>
  <c r="C246" i="19"/>
  <c r="B246" i="19"/>
  <c r="BP245" i="19"/>
  <c r="BN245" i="19"/>
  <c r="BL245" i="19"/>
  <c r="BJ245" i="19"/>
  <c r="BH245" i="19"/>
  <c r="P245" i="19"/>
  <c r="O245" i="19"/>
  <c r="N245" i="19"/>
  <c r="M245" i="19"/>
  <c r="L245" i="19"/>
  <c r="K245" i="19"/>
  <c r="J245" i="19"/>
  <c r="I245" i="19"/>
  <c r="H245" i="19"/>
  <c r="H197" i="19" s="1"/>
  <c r="G245" i="19"/>
  <c r="F245" i="19"/>
  <c r="E245" i="19"/>
  <c r="D245" i="19"/>
  <c r="C245" i="19"/>
  <c r="B245" i="19"/>
  <c r="BP244" i="19"/>
  <c r="BL244" i="19"/>
  <c r="BJ244" i="19"/>
  <c r="BH244" i="19"/>
  <c r="BF244" i="19"/>
  <c r="P244" i="19"/>
  <c r="P196" i="19" s="1"/>
  <c r="BN196" i="19" s="1"/>
  <c r="O244" i="19"/>
  <c r="N244" i="19"/>
  <c r="M244" i="19"/>
  <c r="L244" i="19"/>
  <c r="K244" i="19"/>
  <c r="J244" i="19"/>
  <c r="I244" i="19"/>
  <c r="H244" i="19"/>
  <c r="H196" i="19" s="1"/>
  <c r="G244" i="19"/>
  <c r="G196" i="19" s="1"/>
  <c r="F244" i="19"/>
  <c r="E244" i="19"/>
  <c r="D244" i="19"/>
  <c r="C244" i="19"/>
  <c r="B244" i="19"/>
  <c r="B196" i="19" s="1"/>
  <c r="BP243" i="19"/>
  <c r="BL243" i="19"/>
  <c r="BJ243" i="19"/>
  <c r="BH243" i="19"/>
  <c r="BF243" i="19"/>
  <c r="Q243" i="19"/>
  <c r="P243" i="19"/>
  <c r="BN243" i="19" s="1"/>
  <c r="O243" i="19"/>
  <c r="N243" i="19"/>
  <c r="M243" i="19"/>
  <c r="L243" i="19"/>
  <c r="K243" i="19"/>
  <c r="J243" i="19"/>
  <c r="I243" i="19"/>
  <c r="H243" i="19"/>
  <c r="G243" i="19"/>
  <c r="F243" i="19"/>
  <c r="E243" i="19"/>
  <c r="D243" i="19"/>
  <c r="C243" i="19"/>
  <c r="B243" i="19"/>
  <c r="BP242" i="19"/>
  <c r="BL242" i="19"/>
  <c r="BJ242" i="19"/>
  <c r="BH242" i="19"/>
  <c r="BF242" i="19"/>
  <c r="Q242" i="19"/>
  <c r="P242" i="19"/>
  <c r="BN242" i="19" s="1"/>
  <c r="O242" i="19"/>
  <c r="N242" i="19"/>
  <c r="M242" i="19"/>
  <c r="L242" i="19"/>
  <c r="K242" i="19"/>
  <c r="J242" i="19"/>
  <c r="I242" i="19"/>
  <c r="H242" i="19"/>
  <c r="G242" i="19"/>
  <c r="F242" i="19"/>
  <c r="E242" i="19"/>
  <c r="D242" i="19"/>
  <c r="C242" i="19"/>
  <c r="B242" i="19"/>
  <c r="BP241" i="19"/>
  <c r="BL241" i="19"/>
  <c r="BJ241" i="19"/>
  <c r="BH241" i="19"/>
  <c r="BF241" i="19"/>
  <c r="Q241" i="19"/>
  <c r="P241" i="19"/>
  <c r="BN241" i="19" s="1"/>
  <c r="O241" i="19"/>
  <c r="N241" i="19"/>
  <c r="M241" i="19"/>
  <c r="L241" i="19"/>
  <c r="K241" i="19"/>
  <c r="J241" i="19"/>
  <c r="I241" i="19"/>
  <c r="H241" i="19"/>
  <c r="G241" i="19"/>
  <c r="G193" i="19" s="1"/>
  <c r="F241" i="19"/>
  <c r="E241" i="19"/>
  <c r="D241" i="19"/>
  <c r="C241" i="19"/>
  <c r="B241" i="19"/>
  <c r="AQ240" i="19"/>
  <c r="AP240" i="19"/>
  <c r="AO240" i="19"/>
  <c r="AN240" i="19"/>
  <c r="AM240" i="19"/>
  <c r="AL240" i="19"/>
  <c r="AK240" i="19"/>
  <c r="AJ240" i="19"/>
  <c r="AI240" i="19"/>
  <c r="AH240" i="19"/>
  <c r="AG240" i="19"/>
  <c r="AF240" i="19"/>
  <c r="AE240" i="19"/>
  <c r="AD240" i="19"/>
  <c r="AC240" i="19"/>
  <c r="AB240" i="19"/>
  <c r="AA240" i="19"/>
  <c r="Z240" i="19"/>
  <c r="Y240" i="19"/>
  <c r="X240" i="19"/>
  <c r="W240" i="19"/>
  <c r="V240" i="19"/>
  <c r="U240" i="19"/>
  <c r="T240" i="19"/>
  <c r="S240" i="19"/>
  <c r="R240" i="19"/>
  <c r="Q240" i="19"/>
  <c r="P240" i="19"/>
  <c r="O240" i="19"/>
  <c r="N240" i="19"/>
  <c r="M240" i="19"/>
  <c r="L240" i="19"/>
  <c r="K240" i="19"/>
  <c r="J240" i="19"/>
  <c r="I240" i="19"/>
  <c r="H240" i="19"/>
  <c r="G240" i="19"/>
  <c r="F240" i="19"/>
  <c r="E240" i="19"/>
  <c r="D240" i="19"/>
  <c r="C240" i="19"/>
  <c r="B240" i="19"/>
  <c r="AQ237" i="19"/>
  <c r="AP237" i="19"/>
  <c r="AO237" i="19"/>
  <c r="AN237" i="19"/>
  <c r="AM237" i="19"/>
  <c r="AL237" i="19"/>
  <c r="AK237" i="19"/>
  <c r="AJ237" i="19"/>
  <c r="AI237" i="19"/>
  <c r="AH237" i="19"/>
  <c r="AG237" i="19"/>
  <c r="AF237" i="19"/>
  <c r="AE237" i="19"/>
  <c r="AE14" i="19" s="1"/>
  <c r="AD237" i="19"/>
  <c r="AD14" i="19" s="1"/>
  <c r="AC237" i="19"/>
  <c r="AB237" i="19"/>
  <c r="AA237" i="19"/>
  <c r="Z237" i="19"/>
  <c r="Y237" i="19"/>
  <c r="X237" i="19"/>
  <c r="W237" i="19"/>
  <c r="V237" i="19"/>
  <c r="U237" i="19"/>
  <c r="T237" i="19"/>
  <c r="S237" i="19"/>
  <c r="R237" i="19"/>
  <c r="H237" i="19"/>
  <c r="F237" i="19"/>
  <c r="F14" i="19" s="1"/>
  <c r="B237" i="19"/>
  <c r="BP236" i="19"/>
  <c r="BN236" i="19"/>
  <c r="BL236" i="19"/>
  <c r="BJ236" i="19"/>
  <c r="BH236" i="19"/>
  <c r="P236" i="19"/>
  <c r="O236" i="19"/>
  <c r="N236" i="19"/>
  <c r="M236" i="19"/>
  <c r="L236" i="19"/>
  <c r="BF236" i="19" s="1"/>
  <c r="K236" i="19"/>
  <c r="J236" i="19"/>
  <c r="I236" i="19"/>
  <c r="H236" i="19"/>
  <c r="G236" i="19"/>
  <c r="F236" i="19"/>
  <c r="E236" i="19"/>
  <c r="D236" i="19"/>
  <c r="C236" i="19"/>
  <c r="B236" i="19"/>
  <c r="B204" i="19" s="1"/>
  <c r="BP235" i="19"/>
  <c r="BN235" i="19"/>
  <c r="BL235" i="19"/>
  <c r="BJ235" i="19"/>
  <c r="BH235" i="19"/>
  <c r="BF235" i="19"/>
  <c r="P235" i="19"/>
  <c r="O235" i="19"/>
  <c r="N235" i="19"/>
  <c r="M235" i="19"/>
  <c r="L235" i="19"/>
  <c r="K235" i="19"/>
  <c r="J235" i="19"/>
  <c r="I235" i="19"/>
  <c r="H235" i="19"/>
  <c r="G235" i="19"/>
  <c r="F235" i="19"/>
  <c r="E235" i="19"/>
  <c r="D235" i="19"/>
  <c r="D203" i="19" s="1"/>
  <c r="C235" i="19"/>
  <c r="B235" i="19"/>
  <c r="BP234" i="19"/>
  <c r="BN234" i="19"/>
  <c r="BL234" i="19"/>
  <c r="BJ234" i="19"/>
  <c r="BH234" i="19"/>
  <c r="BF234" i="19"/>
  <c r="P234" i="19"/>
  <c r="O234" i="19"/>
  <c r="N234" i="19"/>
  <c r="M234" i="19"/>
  <c r="L234" i="19"/>
  <c r="K234" i="19"/>
  <c r="J234" i="19"/>
  <c r="I234" i="19"/>
  <c r="H234" i="19"/>
  <c r="G234" i="19"/>
  <c r="F234" i="19"/>
  <c r="E234" i="19"/>
  <c r="D234" i="19"/>
  <c r="D202" i="19" s="1"/>
  <c r="C234" i="19"/>
  <c r="B234" i="19"/>
  <c r="BP233" i="19"/>
  <c r="BL233" i="19"/>
  <c r="BJ233" i="19"/>
  <c r="BH233" i="19"/>
  <c r="BF233" i="19"/>
  <c r="P233" i="19"/>
  <c r="P201" i="19" s="1"/>
  <c r="BN201" i="19" s="1"/>
  <c r="O233" i="19"/>
  <c r="O201" i="19" s="1"/>
  <c r="BL201" i="19" s="1"/>
  <c r="N233" i="19"/>
  <c r="M233" i="19"/>
  <c r="L233" i="19"/>
  <c r="K233" i="19"/>
  <c r="J233" i="19"/>
  <c r="I233" i="19"/>
  <c r="I201" i="19" s="1"/>
  <c r="H233" i="19"/>
  <c r="G233" i="19"/>
  <c r="F233" i="19"/>
  <c r="E233" i="19"/>
  <c r="D233" i="19"/>
  <c r="C233" i="19"/>
  <c r="C237" i="19" s="1"/>
  <c r="C14" i="19" s="1"/>
  <c r="B233" i="19"/>
  <c r="BP232" i="19"/>
  <c r="BJ232" i="19"/>
  <c r="BH232" i="19"/>
  <c r="BF232" i="19"/>
  <c r="P232" i="19"/>
  <c r="O232" i="19"/>
  <c r="O200" i="19" s="1"/>
  <c r="BL200" i="19" s="1"/>
  <c r="N232" i="19"/>
  <c r="M232" i="19"/>
  <c r="M200" i="19" s="1"/>
  <c r="L232" i="19"/>
  <c r="K232" i="19"/>
  <c r="J232" i="19"/>
  <c r="I232" i="19"/>
  <c r="H232" i="19"/>
  <c r="G232" i="19"/>
  <c r="F232" i="19"/>
  <c r="E232" i="19"/>
  <c r="D232" i="19"/>
  <c r="C232" i="19"/>
  <c r="B232" i="19"/>
  <c r="BP231" i="19"/>
  <c r="BL231" i="19"/>
  <c r="BF231" i="19"/>
  <c r="P231" i="19"/>
  <c r="BN231" i="19" s="1"/>
  <c r="O231" i="19"/>
  <c r="N231" i="19"/>
  <c r="BJ231" i="19" s="1"/>
  <c r="M231" i="19"/>
  <c r="M199" i="19" s="1"/>
  <c r="BH199" i="19" s="1"/>
  <c r="L231" i="19"/>
  <c r="L199" i="19" s="1"/>
  <c r="BF199" i="19" s="1"/>
  <c r="K231" i="19"/>
  <c r="J231" i="19"/>
  <c r="I231" i="19"/>
  <c r="H231" i="19"/>
  <c r="G231" i="19"/>
  <c r="G237" i="19" s="1"/>
  <c r="F231" i="19"/>
  <c r="E231" i="19"/>
  <c r="D231" i="19"/>
  <c r="C231" i="19"/>
  <c r="B231" i="19"/>
  <c r="BP230" i="19"/>
  <c r="BF230" i="19"/>
  <c r="P230" i="19"/>
  <c r="BN230" i="19" s="1"/>
  <c r="O230" i="19"/>
  <c r="N230" i="19"/>
  <c r="BJ230" i="19" s="1"/>
  <c r="M230" i="19"/>
  <c r="L230" i="19"/>
  <c r="K230" i="19"/>
  <c r="K198" i="19" s="1"/>
  <c r="J230" i="19"/>
  <c r="I230" i="19"/>
  <c r="H230" i="19"/>
  <c r="G230" i="19"/>
  <c r="F230" i="19"/>
  <c r="E230" i="19"/>
  <c r="D230" i="19"/>
  <c r="C230" i="19"/>
  <c r="B230" i="19"/>
  <c r="BP229" i="19"/>
  <c r="P229" i="19"/>
  <c r="BN229" i="19" s="1"/>
  <c r="O229" i="19"/>
  <c r="N229" i="19"/>
  <c r="BJ229" i="19" s="1"/>
  <c r="M229" i="19"/>
  <c r="L229" i="19"/>
  <c r="K229" i="19"/>
  <c r="J229" i="19"/>
  <c r="J197" i="19" s="1"/>
  <c r="I229" i="19"/>
  <c r="H229" i="19"/>
  <c r="G229" i="19"/>
  <c r="F229" i="19"/>
  <c r="E229" i="19"/>
  <c r="E237" i="19" s="1"/>
  <c r="E14" i="19" s="1"/>
  <c r="D229" i="19"/>
  <c r="C229" i="19"/>
  <c r="B229" i="19"/>
  <c r="BP228" i="19"/>
  <c r="P228" i="19"/>
  <c r="BN228" i="19" s="1"/>
  <c r="O228" i="19"/>
  <c r="BL228" i="19" s="1"/>
  <c r="N228" i="19"/>
  <c r="BJ228" i="19" s="1"/>
  <c r="M228" i="19"/>
  <c r="BH228" i="19" s="1"/>
  <c r="L228" i="19"/>
  <c r="L196" i="19" s="1"/>
  <c r="K228" i="19"/>
  <c r="J228" i="19"/>
  <c r="J196" i="19" s="1"/>
  <c r="I228" i="19"/>
  <c r="I196" i="19" s="1"/>
  <c r="H228" i="19"/>
  <c r="G228" i="19"/>
  <c r="F228" i="19"/>
  <c r="E228" i="19"/>
  <c r="D228" i="19"/>
  <c r="C228" i="19"/>
  <c r="B228" i="19"/>
  <c r="BP227" i="19"/>
  <c r="Q227" i="19"/>
  <c r="P227" i="19"/>
  <c r="BN227" i="19" s="1"/>
  <c r="O227" i="19"/>
  <c r="BL227" i="19" s="1"/>
  <c r="N227" i="19"/>
  <c r="BJ227" i="19" s="1"/>
  <c r="M227" i="19"/>
  <c r="L227" i="19"/>
  <c r="BF227" i="19" s="1"/>
  <c r="K227" i="19"/>
  <c r="J227" i="19"/>
  <c r="J195" i="19" s="1"/>
  <c r="I227" i="19"/>
  <c r="H227" i="19"/>
  <c r="G227" i="19"/>
  <c r="F227" i="19"/>
  <c r="E227" i="19"/>
  <c r="D227" i="19"/>
  <c r="D237" i="19" s="1"/>
  <c r="D14" i="19" s="1"/>
  <c r="C227" i="19"/>
  <c r="B227" i="19"/>
  <c r="BP226" i="19"/>
  <c r="BJ226" i="19"/>
  <c r="Q226" i="19"/>
  <c r="Q194" i="19" s="1"/>
  <c r="P226" i="19"/>
  <c r="BN226" i="19" s="1"/>
  <c r="O226" i="19"/>
  <c r="N226" i="19"/>
  <c r="N194" i="19" s="1"/>
  <c r="BJ194" i="19" s="1"/>
  <c r="M226" i="19"/>
  <c r="BH226" i="19" s="1"/>
  <c r="L226" i="19"/>
  <c r="BF226" i="19" s="1"/>
  <c r="K226" i="19"/>
  <c r="J226" i="19"/>
  <c r="I226" i="19"/>
  <c r="H226" i="19"/>
  <c r="G226" i="19"/>
  <c r="F226" i="19"/>
  <c r="E226" i="19"/>
  <c r="D226" i="19"/>
  <c r="C226" i="19"/>
  <c r="B226" i="19"/>
  <c r="BP225" i="19"/>
  <c r="Q225" i="19"/>
  <c r="Q237" i="19" s="1"/>
  <c r="BP237" i="19" s="1"/>
  <c r="P225" i="19"/>
  <c r="O225" i="19"/>
  <c r="N225" i="19"/>
  <c r="M225" i="19"/>
  <c r="BH225" i="19" s="1"/>
  <c r="L225" i="19"/>
  <c r="K225" i="19"/>
  <c r="J225" i="19"/>
  <c r="I225" i="19"/>
  <c r="H225" i="19"/>
  <c r="G225" i="19"/>
  <c r="F225" i="19"/>
  <c r="E225" i="19"/>
  <c r="D225" i="19"/>
  <c r="C225" i="19"/>
  <c r="B225" i="19"/>
  <c r="AQ224" i="19"/>
  <c r="AP224" i="19"/>
  <c r="AO224" i="19"/>
  <c r="AN224" i="19"/>
  <c r="AM224" i="19"/>
  <c r="AL224" i="19"/>
  <c r="AK224" i="19"/>
  <c r="AJ224" i="19"/>
  <c r="AI224" i="19"/>
  <c r="AH224" i="19"/>
  <c r="AG224" i="19"/>
  <c r="AF224" i="19"/>
  <c r="AE224" i="19"/>
  <c r="AD224" i="19"/>
  <c r="AC224" i="19"/>
  <c r="AB224" i="19"/>
  <c r="AA224" i="19"/>
  <c r="Z224" i="19"/>
  <c r="Y224" i="19"/>
  <c r="X224" i="19"/>
  <c r="W224" i="19"/>
  <c r="V224" i="19"/>
  <c r="U224" i="19"/>
  <c r="T224" i="19"/>
  <c r="S224" i="19"/>
  <c r="R224" i="19"/>
  <c r="Q224" i="19"/>
  <c r="P224" i="19"/>
  <c r="O224" i="19"/>
  <c r="N224" i="19"/>
  <c r="M224" i="19"/>
  <c r="L224" i="19"/>
  <c r="K224" i="19"/>
  <c r="J224" i="19"/>
  <c r="I224" i="19"/>
  <c r="H224" i="19"/>
  <c r="G224" i="19"/>
  <c r="F224" i="19"/>
  <c r="E224" i="19"/>
  <c r="D224" i="19"/>
  <c r="C224" i="19"/>
  <c r="B224" i="19"/>
  <c r="AQ221" i="19"/>
  <c r="AP221" i="19"/>
  <c r="AO221" i="19"/>
  <c r="AN221" i="19"/>
  <c r="AM221" i="19"/>
  <c r="AL221" i="19"/>
  <c r="AK221" i="19"/>
  <c r="AJ221" i="19"/>
  <c r="AI221" i="19"/>
  <c r="AH221" i="19"/>
  <c r="AG221" i="19"/>
  <c r="AF221" i="19"/>
  <c r="AE221" i="19"/>
  <c r="AD221" i="19"/>
  <c r="AC221" i="19"/>
  <c r="AB221" i="19"/>
  <c r="AA221" i="19"/>
  <c r="Z221" i="19"/>
  <c r="Y221" i="19"/>
  <c r="X221" i="19"/>
  <c r="W221" i="19"/>
  <c r="V221" i="19"/>
  <c r="U221" i="19"/>
  <c r="T221" i="19"/>
  <c r="S221" i="19"/>
  <c r="R221" i="19"/>
  <c r="Q221" i="19"/>
  <c r="BP221" i="19" s="1"/>
  <c r="O221" i="19"/>
  <c r="M221" i="19"/>
  <c r="BH221" i="19" s="1"/>
  <c r="L221" i="19"/>
  <c r="F221" i="19"/>
  <c r="F13" i="19" s="1"/>
  <c r="BP220" i="19"/>
  <c r="BN220" i="19"/>
  <c r="BL220" i="19"/>
  <c r="BJ220" i="19"/>
  <c r="BH220" i="19"/>
  <c r="BF220" i="19"/>
  <c r="P220" i="19"/>
  <c r="O220" i="19"/>
  <c r="N220" i="19"/>
  <c r="M220" i="19"/>
  <c r="L220" i="19"/>
  <c r="K220" i="19"/>
  <c r="J220" i="19"/>
  <c r="I220" i="19"/>
  <c r="H220" i="19"/>
  <c r="G220" i="19"/>
  <c r="F220" i="19"/>
  <c r="E220" i="19"/>
  <c r="D220" i="19"/>
  <c r="C220" i="19"/>
  <c r="B220" i="19"/>
  <c r="BP219" i="19"/>
  <c r="BN219" i="19"/>
  <c r="BL219" i="19"/>
  <c r="BJ219" i="19"/>
  <c r="BH219" i="19"/>
  <c r="BF219" i="19"/>
  <c r="P219" i="19"/>
  <c r="O219" i="19"/>
  <c r="N219" i="19"/>
  <c r="N203" i="19" s="1"/>
  <c r="BJ203" i="19" s="1"/>
  <c r="M219" i="19"/>
  <c r="L219" i="19"/>
  <c r="K219" i="19"/>
  <c r="J219" i="19"/>
  <c r="I219" i="19"/>
  <c r="H219" i="19"/>
  <c r="G219" i="19"/>
  <c r="F219" i="19"/>
  <c r="E219" i="19"/>
  <c r="D219" i="19"/>
  <c r="C219" i="19"/>
  <c r="C203" i="19" s="1"/>
  <c r="B219" i="19"/>
  <c r="BP218" i="19"/>
  <c r="BN218" i="19"/>
  <c r="BL218" i="19"/>
  <c r="BJ218" i="19"/>
  <c r="BH218" i="19"/>
  <c r="BF218" i="19"/>
  <c r="P218" i="19"/>
  <c r="O218" i="19"/>
  <c r="N218" i="19"/>
  <c r="N202" i="19" s="1"/>
  <c r="BJ202" i="19" s="1"/>
  <c r="M218" i="19"/>
  <c r="L218" i="19"/>
  <c r="K218" i="19"/>
  <c r="K202" i="19" s="1"/>
  <c r="J218" i="19"/>
  <c r="I218" i="19"/>
  <c r="H218" i="19"/>
  <c r="G218" i="19"/>
  <c r="F218" i="19"/>
  <c r="F202" i="19" s="1"/>
  <c r="E218" i="19"/>
  <c r="D218" i="19"/>
  <c r="C218" i="19"/>
  <c r="B218" i="19"/>
  <c r="BP217" i="19"/>
  <c r="BN217" i="19"/>
  <c r="BL217" i="19"/>
  <c r="BJ217" i="19"/>
  <c r="BH217" i="19"/>
  <c r="BF217" i="19"/>
  <c r="P217" i="19"/>
  <c r="O217" i="19"/>
  <c r="N217" i="19"/>
  <c r="N201" i="19" s="1"/>
  <c r="M217" i="19"/>
  <c r="L217" i="19"/>
  <c r="K217" i="19"/>
  <c r="J217" i="19"/>
  <c r="I217" i="19"/>
  <c r="H217" i="19"/>
  <c r="G217" i="19"/>
  <c r="F217" i="19"/>
  <c r="F201" i="19" s="1"/>
  <c r="E217" i="19"/>
  <c r="D217" i="19"/>
  <c r="C217" i="19"/>
  <c r="C201" i="19" s="1"/>
  <c r="B217" i="19"/>
  <c r="BP216" i="19"/>
  <c r="BN216" i="19"/>
  <c r="BL216" i="19"/>
  <c r="BJ216" i="19"/>
  <c r="BH216" i="19"/>
  <c r="BF216" i="19"/>
  <c r="P216" i="19"/>
  <c r="O216" i="19"/>
  <c r="N216" i="19"/>
  <c r="N200" i="19" s="1"/>
  <c r="M216" i="19"/>
  <c r="L216" i="19"/>
  <c r="K216" i="19"/>
  <c r="K200" i="19" s="1"/>
  <c r="J216" i="19"/>
  <c r="I216" i="19"/>
  <c r="H216" i="19"/>
  <c r="G216" i="19"/>
  <c r="F216" i="19"/>
  <c r="E216" i="19"/>
  <c r="D216" i="19"/>
  <c r="C216" i="19"/>
  <c r="C200" i="19" s="1"/>
  <c r="B216" i="19"/>
  <c r="B200" i="19" s="1"/>
  <c r="BP215" i="19"/>
  <c r="BN215" i="19"/>
  <c r="BL215" i="19"/>
  <c r="BJ215" i="19"/>
  <c r="BH215" i="19"/>
  <c r="BF215" i="19"/>
  <c r="P215" i="19"/>
  <c r="O215" i="19"/>
  <c r="N215" i="19"/>
  <c r="M215" i="19"/>
  <c r="L215" i="19"/>
  <c r="K215" i="19"/>
  <c r="K199" i="19" s="1"/>
  <c r="J215" i="19"/>
  <c r="I215" i="19"/>
  <c r="H215" i="19"/>
  <c r="G215" i="19"/>
  <c r="F215" i="19"/>
  <c r="E215" i="19"/>
  <c r="D215" i="19"/>
  <c r="C215" i="19"/>
  <c r="C199" i="19" s="1"/>
  <c r="B215" i="19"/>
  <c r="BP214" i="19"/>
  <c r="BN214" i="19"/>
  <c r="BL214" i="19"/>
  <c r="BJ214" i="19"/>
  <c r="BH214" i="19"/>
  <c r="BF214" i="19"/>
  <c r="P214" i="19"/>
  <c r="O214" i="19"/>
  <c r="N214" i="19"/>
  <c r="M214" i="19"/>
  <c r="L214" i="19"/>
  <c r="K214" i="19"/>
  <c r="J214" i="19"/>
  <c r="I214" i="19"/>
  <c r="H214" i="19"/>
  <c r="G214" i="19"/>
  <c r="F214" i="19"/>
  <c r="F198" i="19" s="1"/>
  <c r="E214" i="19"/>
  <c r="D214" i="19"/>
  <c r="C214" i="19"/>
  <c r="C198" i="19" s="1"/>
  <c r="B214" i="19"/>
  <c r="BP213" i="19"/>
  <c r="BN213" i="19"/>
  <c r="BL213" i="19"/>
  <c r="BJ213" i="19"/>
  <c r="BH213" i="19"/>
  <c r="BF213" i="19"/>
  <c r="P213" i="19"/>
  <c r="O213" i="19"/>
  <c r="N213" i="19"/>
  <c r="M213" i="19"/>
  <c r="L213" i="19"/>
  <c r="K213" i="19"/>
  <c r="K197" i="19" s="1"/>
  <c r="J213" i="19"/>
  <c r="I213" i="19"/>
  <c r="H213" i="19"/>
  <c r="G213" i="19"/>
  <c r="F213" i="19"/>
  <c r="F197" i="19" s="1"/>
  <c r="E213" i="19"/>
  <c r="D213" i="19"/>
  <c r="C213" i="19"/>
  <c r="C197" i="19" s="1"/>
  <c r="B213" i="19"/>
  <c r="BP212" i="19"/>
  <c r="BN212" i="19"/>
  <c r="BL212" i="19"/>
  <c r="BJ212" i="19"/>
  <c r="BH212" i="19"/>
  <c r="BF212" i="19"/>
  <c r="P212" i="19"/>
  <c r="O212" i="19"/>
  <c r="N212" i="19"/>
  <c r="N196" i="19" s="1"/>
  <c r="BJ196" i="19" s="1"/>
  <c r="M212" i="19"/>
  <c r="L212" i="19"/>
  <c r="K212" i="19"/>
  <c r="J212" i="19"/>
  <c r="I212" i="19"/>
  <c r="H212" i="19"/>
  <c r="G212" i="19"/>
  <c r="F212" i="19"/>
  <c r="F196" i="19" s="1"/>
  <c r="E212" i="19"/>
  <c r="D212" i="19"/>
  <c r="D196" i="19" s="1"/>
  <c r="C212" i="19"/>
  <c r="C196" i="19" s="1"/>
  <c r="B212" i="19"/>
  <c r="B221" i="19" s="1"/>
  <c r="B13" i="19" s="1"/>
  <c r="BP211" i="19"/>
  <c r="BN211" i="19"/>
  <c r="BL211" i="19"/>
  <c r="BJ211" i="19"/>
  <c r="BH211" i="19"/>
  <c r="Q211" i="19"/>
  <c r="P211" i="19"/>
  <c r="O211" i="19"/>
  <c r="O195" i="19" s="1"/>
  <c r="BL195" i="19" s="1"/>
  <c r="N211" i="19"/>
  <c r="N195" i="19" s="1"/>
  <c r="M211" i="19"/>
  <c r="L211" i="19"/>
  <c r="BF211" i="19" s="1"/>
  <c r="K211" i="19"/>
  <c r="J211" i="19"/>
  <c r="I211" i="19"/>
  <c r="H211" i="19"/>
  <c r="G211" i="19"/>
  <c r="F211" i="19"/>
  <c r="F195" i="19" s="1"/>
  <c r="E211" i="19"/>
  <c r="E195" i="19" s="1"/>
  <c r="D211" i="19"/>
  <c r="D195" i="19" s="1"/>
  <c r="C211" i="19"/>
  <c r="B211" i="19"/>
  <c r="BP210" i="19"/>
  <c r="BN210" i="19"/>
  <c r="BL210" i="19"/>
  <c r="BJ210" i="19"/>
  <c r="BF210" i="19"/>
  <c r="Q210" i="19"/>
  <c r="P210" i="19"/>
  <c r="P221" i="19" s="1"/>
  <c r="BN221" i="19" s="1"/>
  <c r="O210" i="19"/>
  <c r="N210" i="19"/>
  <c r="M210" i="19"/>
  <c r="BH210" i="19" s="1"/>
  <c r="L210" i="19"/>
  <c r="K210" i="19"/>
  <c r="J210" i="19"/>
  <c r="I210" i="19"/>
  <c r="I194" i="19" s="1"/>
  <c r="H210" i="19"/>
  <c r="G210" i="19"/>
  <c r="F210" i="19"/>
  <c r="F194" i="19" s="1"/>
  <c r="E210" i="19"/>
  <c r="E194" i="19" s="1"/>
  <c r="D210" i="19"/>
  <c r="D194" i="19" s="1"/>
  <c r="C210" i="19"/>
  <c r="B210" i="19"/>
  <c r="BN209" i="19"/>
  <c r="BL209" i="19"/>
  <c r="BJ209" i="19"/>
  <c r="BH209" i="19"/>
  <c r="BF209" i="19"/>
  <c r="Q209" i="19"/>
  <c r="BP209" i="19" s="1"/>
  <c r="P209" i="19"/>
  <c r="O209" i="19"/>
  <c r="N209" i="19"/>
  <c r="N221" i="19" s="1"/>
  <c r="M209" i="19"/>
  <c r="L209" i="19"/>
  <c r="K209" i="19"/>
  <c r="J209" i="19"/>
  <c r="I209" i="19"/>
  <c r="H209" i="19"/>
  <c r="H221" i="19" s="1"/>
  <c r="G209" i="19"/>
  <c r="G221" i="19" s="1"/>
  <c r="G13" i="19" s="1"/>
  <c r="F209" i="19"/>
  <c r="E209" i="19"/>
  <c r="D209" i="19"/>
  <c r="C209" i="19"/>
  <c r="B209" i="19"/>
  <c r="AQ208" i="19"/>
  <c r="AP208" i="19"/>
  <c r="AO208" i="19"/>
  <c r="AN208" i="19"/>
  <c r="AM208" i="19"/>
  <c r="AL208" i="19"/>
  <c r="AK208" i="19"/>
  <c r="AJ208" i="19"/>
  <c r="AI208" i="19"/>
  <c r="AH208" i="19"/>
  <c r="AG208" i="19"/>
  <c r="AF208" i="19"/>
  <c r="AE208" i="19"/>
  <c r="AD208" i="19"/>
  <c r="AC208" i="19"/>
  <c r="AB208" i="19"/>
  <c r="AA208" i="19"/>
  <c r="Z208" i="19"/>
  <c r="Y208" i="19"/>
  <c r="X208" i="19"/>
  <c r="W208" i="19"/>
  <c r="V208" i="19"/>
  <c r="U208" i="19"/>
  <c r="T208" i="19"/>
  <c r="S208" i="19"/>
  <c r="R208" i="19"/>
  <c r="Q208" i="19"/>
  <c r="P208" i="19"/>
  <c r="O208" i="19"/>
  <c r="N208" i="19"/>
  <c r="M208" i="19"/>
  <c r="L208" i="19"/>
  <c r="K208" i="19"/>
  <c r="J208" i="19"/>
  <c r="I208" i="19"/>
  <c r="H208" i="19"/>
  <c r="G208" i="19"/>
  <c r="F208" i="19"/>
  <c r="E208" i="19"/>
  <c r="D208" i="19"/>
  <c r="C208" i="19"/>
  <c r="B208" i="19"/>
  <c r="AH205" i="19"/>
  <c r="AF205" i="19"/>
  <c r="U205" i="19"/>
  <c r="BP204" i="19"/>
  <c r="BN204" i="19"/>
  <c r="AQ204" i="19"/>
  <c r="AP204" i="19"/>
  <c r="AO204" i="19"/>
  <c r="AN204" i="19"/>
  <c r="AM204" i="19"/>
  <c r="AL204" i="19"/>
  <c r="AK204" i="19"/>
  <c r="AJ204" i="19"/>
  <c r="AI204" i="19"/>
  <c r="AH204" i="19"/>
  <c r="AG204" i="19"/>
  <c r="AF204" i="19"/>
  <c r="AE204" i="19"/>
  <c r="AD204" i="19"/>
  <c r="AC204" i="19"/>
  <c r="AB204" i="19"/>
  <c r="AA204" i="19"/>
  <c r="Z204" i="19"/>
  <c r="Y204" i="19"/>
  <c r="X204" i="19"/>
  <c r="W204" i="19"/>
  <c r="V204" i="19"/>
  <c r="U204" i="19"/>
  <c r="T204" i="19"/>
  <c r="S204" i="19"/>
  <c r="R204" i="19"/>
  <c r="Q204" i="19"/>
  <c r="P204" i="19"/>
  <c r="N204" i="19"/>
  <c r="BJ204" i="19" s="1"/>
  <c r="M204" i="19"/>
  <c r="BH204" i="19" s="1"/>
  <c r="L204" i="19"/>
  <c r="BF204" i="19" s="1"/>
  <c r="K204" i="19"/>
  <c r="J204" i="19"/>
  <c r="I204" i="19"/>
  <c r="G204" i="19"/>
  <c r="F204" i="19"/>
  <c r="F205" i="19" s="1"/>
  <c r="E204" i="19"/>
  <c r="D204" i="19"/>
  <c r="C204" i="19"/>
  <c r="BP203" i="19"/>
  <c r="AQ203" i="19"/>
  <c r="AP203" i="19"/>
  <c r="AO203" i="19"/>
  <c r="AN203" i="19"/>
  <c r="AM203" i="19"/>
  <c r="AL203" i="19"/>
  <c r="AK203" i="19"/>
  <c r="AJ203" i="19"/>
  <c r="AI203" i="19"/>
  <c r="AH203" i="19"/>
  <c r="AG203" i="19"/>
  <c r="AF203" i="19"/>
  <c r="AE203" i="19"/>
  <c r="AD203" i="19"/>
  <c r="AC203" i="19"/>
  <c r="AB203" i="19"/>
  <c r="AA203" i="19"/>
  <c r="Z203" i="19"/>
  <c r="Y203" i="19"/>
  <c r="X203" i="19"/>
  <c r="W203" i="19"/>
  <c r="V203" i="19"/>
  <c r="U203" i="19"/>
  <c r="T203" i="19"/>
  <c r="S203" i="19"/>
  <c r="R203" i="19"/>
  <c r="Q203" i="19"/>
  <c r="P203" i="19"/>
  <c r="BN203" i="19" s="1"/>
  <c r="M203" i="19"/>
  <c r="BH203" i="19" s="1"/>
  <c r="K203" i="19"/>
  <c r="J203" i="19"/>
  <c r="I203" i="19"/>
  <c r="G203" i="19"/>
  <c r="F203" i="19"/>
  <c r="E203" i="19"/>
  <c r="E43" i="19" s="1"/>
  <c r="B203" i="19"/>
  <c r="BL202" i="19"/>
  <c r="BF202" i="19"/>
  <c r="AQ202" i="19"/>
  <c r="AP202" i="19"/>
  <c r="AO202" i="19"/>
  <c r="AN202" i="19"/>
  <c r="AM202" i="19"/>
  <c r="AL202" i="19"/>
  <c r="AK202" i="19"/>
  <c r="AJ202" i="19"/>
  <c r="AI202" i="19"/>
  <c r="AH202" i="19"/>
  <c r="AG202" i="19"/>
  <c r="AF202" i="19"/>
  <c r="AE202" i="19"/>
  <c r="AD202" i="19"/>
  <c r="AC202" i="19"/>
  <c r="AB202" i="19"/>
  <c r="AA202" i="19"/>
  <c r="Z202" i="19"/>
  <c r="Y202" i="19"/>
  <c r="X202" i="19"/>
  <c r="W202" i="19"/>
  <c r="V202" i="19"/>
  <c r="U202" i="19"/>
  <c r="T202" i="19"/>
  <c r="S202" i="19"/>
  <c r="R202" i="19"/>
  <c r="Q202" i="19"/>
  <c r="BP202" i="19" s="1"/>
  <c r="P202" i="19"/>
  <c r="BN202" i="19" s="1"/>
  <c r="O202" i="19"/>
  <c r="L202" i="19"/>
  <c r="I202" i="19"/>
  <c r="H202" i="19"/>
  <c r="C202" i="19"/>
  <c r="BJ201" i="19"/>
  <c r="BH201" i="19"/>
  <c r="AQ201" i="19"/>
  <c r="AP201" i="19"/>
  <c r="AO201" i="19"/>
  <c r="AN201" i="19"/>
  <c r="AM201" i="19"/>
  <c r="AL201" i="19"/>
  <c r="AK201" i="19"/>
  <c r="AJ201" i="19"/>
  <c r="AI201" i="19"/>
  <c r="AH201" i="19"/>
  <c r="AG201" i="19"/>
  <c r="AF201" i="19"/>
  <c r="AE201" i="19"/>
  <c r="AD201" i="19"/>
  <c r="AC201" i="19"/>
  <c r="AB201" i="19"/>
  <c r="AA201" i="19"/>
  <c r="Z201" i="19"/>
  <c r="Y201" i="19"/>
  <c r="X201" i="19"/>
  <c r="W201" i="19"/>
  <c r="V201" i="19"/>
  <c r="U201" i="19"/>
  <c r="T201" i="19"/>
  <c r="S201" i="19"/>
  <c r="R201" i="19"/>
  <c r="Q201" i="19"/>
  <c r="BP201" i="19" s="1"/>
  <c r="M201" i="19"/>
  <c r="H201" i="19"/>
  <c r="G201" i="19"/>
  <c r="D201" i="19"/>
  <c r="BJ200" i="19"/>
  <c r="BH200" i="19"/>
  <c r="AQ200" i="19"/>
  <c r="AP200" i="19"/>
  <c r="AO200" i="19"/>
  <c r="AN200" i="19"/>
  <c r="AM200" i="19"/>
  <c r="AL200" i="19"/>
  <c r="AK200" i="19"/>
  <c r="AJ200" i="19"/>
  <c r="AI200" i="19"/>
  <c r="AH200" i="19"/>
  <c r="AG200" i="19"/>
  <c r="AF200" i="19"/>
  <c r="AE200" i="19"/>
  <c r="AD200" i="19"/>
  <c r="AC200" i="19"/>
  <c r="AB200" i="19"/>
  <c r="AA200" i="19"/>
  <c r="Z200" i="19"/>
  <c r="Y200" i="19"/>
  <c r="X200" i="19"/>
  <c r="W200" i="19"/>
  <c r="V200" i="19"/>
  <c r="U200" i="19"/>
  <c r="T200" i="19"/>
  <c r="S200" i="19"/>
  <c r="R200" i="19"/>
  <c r="Q200" i="19"/>
  <c r="BP200" i="19" s="1"/>
  <c r="H200" i="19"/>
  <c r="G200" i="19"/>
  <c r="F200" i="19"/>
  <c r="E200" i="19"/>
  <c r="BP199" i="19"/>
  <c r="AQ199" i="19"/>
  <c r="AP199" i="19"/>
  <c r="AO199" i="19"/>
  <c r="AN199" i="19"/>
  <c r="AM199" i="19"/>
  <c r="AL199" i="19"/>
  <c r="AK199" i="19"/>
  <c r="AJ199" i="19"/>
  <c r="AI199" i="19"/>
  <c r="AH199" i="19"/>
  <c r="AG199" i="19"/>
  <c r="AF199" i="19"/>
  <c r="AE199" i="19"/>
  <c r="AD199" i="19"/>
  <c r="AC199" i="19"/>
  <c r="AB199" i="19"/>
  <c r="AA199" i="19"/>
  <c r="Z199" i="19"/>
  <c r="Y199" i="19"/>
  <c r="X199" i="19"/>
  <c r="W199" i="19"/>
  <c r="V199" i="19"/>
  <c r="U199" i="19"/>
  <c r="T199" i="19"/>
  <c r="S199" i="19"/>
  <c r="R199" i="19"/>
  <c r="Q199" i="19"/>
  <c r="O199" i="19"/>
  <c r="BL199" i="19" s="1"/>
  <c r="J199" i="19"/>
  <c r="I199" i="19"/>
  <c r="H199" i="19"/>
  <c r="G199" i="19"/>
  <c r="F199" i="19"/>
  <c r="E199" i="19"/>
  <c r="B199" i="19"/>
  <c r="AQ198" i="19"/>
  <c r="AP198" i="19"/>
  <c r="AO198" i="19"/>
  <c r="AN198" i="19"/>
  <c r="AM198" i="19"/>
  <c r="AL198" i="19"/>
  <c r="AK198" i="19"/>
  <c r="AJ198" i="19"/>
  <c r="AI198" i="19"/>
  <c r="AH198" i="19"/>
  <c r="AG198" i="19"/>
  <c r="AF198" i="19"/>
  <c r="AE198" i="19"/>
  <c r="AD198" i="19"/>
  <c r="AC198" i="19"/>
  <c r="AB198" i="19"/>
  <c r="AA198" i="19"/>
  <c r="Z198" i="19"/>
  <c r="Y198" i="19"/>
  <c r="X198" i="19"/>
  <c r="W198" i="19"/>
  <c r="V198" i="19"/>
  <c r="U198" i="19"/>
  <c r="T198" i="19"/>
  <c r="S198" i="19"/>
  <c r="R198" i="19"/>
  <c r="Q198" i="19"/>
  <c r="BP198" i="19" s="1"/>
  <c r="P198" i="19"/>
  <c r="BN198" i="19" s="1"/>
  <c r="L198" i="19"/>
  <c r="BF198" i="19" s="1"/>
  <c r="H198" i="19"/>
  <c r="G198" i="19"/>
  <c r="E198" i="19"/>
  <c r="D198" i="19"/>
  <c r="AQ197" i="19"/>
  <c r="AP197" i="19"/>
  <c r="AO197" i="19"/>
  <c r="AN197" i="19"/>
  <c r="AM197" i="19"/>
  <c r="AL197" i="19"/>
  <c r="AK197" i="19"/>
  <c r="AJ197" i="19"/>
  <c r="AI197" i="19"/>
  <c r="AH197" i="19"/>
  <c r="AG197" i="19"/>
  <c r="AF197" i="19"/>
  <c r="AE197" i="19"/>
  <c r="AD197" i="19"/>
  <c r="AC197" i="19"/>
  <c r="AB197" i="19"/>
  <c r="AA197" i="19"/>
  <c r="Z197" i="19"/>
  <c r="Y197" i="19"/>
  <c r="X197" i="19"/>
  <c r="W197" i="19"/>
  <c r="V197" i="19"/>
  <c r="U197" i="19"/>
  <c r="T197" i="19"/>
  <c r="S197" i="19"/>
  <c r="R197" i="19"/>
  <c r="Q197" i="19"/>
  <c r="BP197" i="19" s="1"/>
  <c r="G197" i="19"/>
  <c r="D197" i="19"/>
  <c r="BH196" i="19"/>
  <c r="BF196" i="19"/>
  <c r="AQ196" i="19"/>
  <c r="AP196" i="19"/>
  <c r="AO196" i="19"/>
  <c r="AO205" i="19" s="1"/>
  <c r="AN196" i="19"/>
  <c r="AM196" i="19"/>
  <c r="AL196" i="19"/>
  <c r="AK196" i="19"/>
  <c r="AJ196" i="19"/>
  <c r="AI196" i="19"/>
  <c r="AH196" i="19"/>
  <c r="AG196" i="19"/>
  <c r="AF196" i="19"/>
  <c r="AE196" i="19"/>
  <c r="AD196" i="19"/>
  <c r="AC196" i="19"/>
  <c r="AB196" i="19"/>
  <c r="AA196" i="19"/>
  <c r="Z196" i="19"/>
  <c r="Y196" i="19"/>
  <c r="X196" i="19"/>
  <c r="W196" i="19"/>
  <c r="V196" i="19"/>
  <c r="U196" i="19"/>
  <c r="T196" i="19"/>
  <c r="S196" i="19"/>
  <c r="R196" i="19"/>
  <c r="Q196" i="19"/>
  <c r="BP196" i="19" s="1"/>
  <c r="O196" i="19"/>
  <c r="BL196" i="19" s="1"/>
  <c r="M196" i="19"/>
  <c r="E196" i="19"/>
  <c r="BJ195" i="19"/>
  <c r="BF195" i="19"/>
  <c r="AQ195" i="19"/>
  <c r="AP195" i="19"/>
  <c r="AO195" i="19"/>
  <c r="AN195" i="19"/>
  <c r="AM195" i="19"/>
  <c r="AL195" i="19"/>
  <c r="AL205" i="19" s="1"/>
  <c r="AK195" i="19"/>
  <c r="AJ195" i="19"/>
  <c r="AI195" i="19"/>
  <c r="AH195" i="19"/>
  <c r="AG195" i="19"/>
  <c r="AF195" i="19"/>
  <c r="AE195" i="19"/>
  <c r="AD195" i="19"/>
  <c r="AC195" i="19"/>
  <c r="AB195" i="19"/>
  <c r="AA195" i="19"/>
  <c r="Z195" i="19"/>
  <c r="Y195" i="19"/>
  <c r="X195" i="19"/>
  <c r="X205" i="19" s="1"/>
  <c r="W195" i="19"/>
  <c r="V195" i="19"/>
  <c r="U195" i="19"/>
  <c r="T195" i="19"/>
  <c r="S195" i="19"/>
  <c r="R195" i="19"/>
  <c r="Q195" i="19"/>
  <c r="BP195" i="19" s="1"/>
  <c r="P195" i="19"/>
  <c r="BN195" i="19" s="1"/>
  <c r="L195" i="19"/>
  <c r="I195" i="19"/>
  <c r="C195" i="19"/>
  <c r="B195" i="19"/>
  <c r="BP194" i="19"/>
  <c r="AQ194" i="19"/>
  <c r="AP194" i="19"/>
  <c r="AO194" i="19"/>
  <c r="AN194" i="19"/>
  <c r="AM194" i="19"/>
  <c r="AL194" i="19"/>
  <c r="AK194" i="19"/>
  <c r="AJ194" i="19"/>
  <c r="AI194" i="19"/>
  <c r="AH194" i="19"/>
  <c r="AG194" i="19"/>
  <c r="AF194" i="19"/>
  <c r="AE194" i="19"/>
  <c r="AD194" i="19"/>
  <c r="AC194" i="19"/>
  <c r="AB194" i="19"/>
  <c r="AA194" i="19"/>
  <c r="Z194" i="19"/>
  <c r="Y194" i="19"/>
  <c r="X194" i="19"/>
  <c r="W194" i="19"/>
  <c r="V194" i="19"/>
  <c r="U194" i="19"/>
  <c r="T194" i="19"/>
  <c r="S194" i="19"/>
  <c r="R194" i="19"/>
  <c r="P194" i="19"/>
  <c r="BN194" i="19" s="1"/>
  <c r="M194" i="19"/>
  <c r="BH194" i="19" s="1"/>
  <c r="L194" i="19"/>
  <c r="BF194" i="19" s="1"/>
  <c r="J194" i="19"/>
  <c r="C194" i="19"/>
  <c r="B194" i="19"/>
  <c r="BP193" i="19"/>
  <c r="BN193" i="19"/>
  <c r="BH193" i="19"/>
  <c r="AQ193" i="19"/>
  <c r="AP193" i="19"/>
  <c r="AO193" i="19"/>
  <c r="AN193" i="19"/>
  <c r="AM193" i="19"/>
  <c r="AL193" i="19"/>
  <c r="AK193" i="19"/>
  <c r="AJ193" i="19"/>
  <c r="AI193" i="19"/>
  <c r="AH193" i="19"/>
  <c r="AG193" i="19"/>
  <c r="AF193" i="19"/>
  <c r="AE193" i="19"/>
  <c r="AD193" i="19"/>
  <c r="AC193" i="19"/>
  <c r="AB193" i="19"/>
  <c r="AA193" i="19"/>
  <c r="Z193" i="19"/>
  <c r="Z205" i="19" s="1"/>
  <c r="Y193" i="19"/>
  <c r="X193" i="19"/>
  <c r="W193" i="19"/>
  <c r="V193" i="19"/>
  <c r="U193" i="19"/>
  <c r="T193" i="19"/>
  <c r="S193" i="19"/>
  <c r="R193" i="19"/>
  <c r="Q193" i="19"/>
  <c r="P193" i="19"/>
  <c r="M193" i="19"/>
  <c r="F193" i="19"/>
  <c r="C193" i="19"/>
  <c r="AQ192" i="19"/>
  <c r="AP192" i="19"/>
  <c r="AO192" i="19"/>
  <c r="AN192" i="19"/>
  <c r="AM192" i="19"/>
  <c r="AL192" i="19"/>
  <c r="AK192"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C192" i="19"/>
  <c r="B192" i="19"/>
  <c r="AQ189" i="19"/>
  <c r="AP189" i="19"/>
  <c r="AO189" i="19"/>
  <c r="AN189" i="19"/>
  <c r="AN11" i="19" s="1"/>
  <c r="AN9" i="19" s="1"/>
  <c r="AM189" i="19"/>
  <c r="AM11" i="19" s="1"/>
  <c r="AL189" i="19"/>
  <c r="AL11" i="19" s="1"/>
  <c r="AK189" i="19"/>
  <c r="AJ189" i="19"/>
  <c r="AI189" i="19"/>
  <c r="AH189" i="19"/>
  <c r="AG189" i="19"/>
  <c r="AF189" i="19"/>
  <c r="AE189" i="19"/>
  <c r="AD189" i="19"/>
  <c r="AC189" i="19"/>
  <c r="AB189" i="19"/>
  <c r="AA189" i="19"/>
  <c r="AA11" i="19" s="1"/>
  <c r="Z189" i="19"/>
  <c r="Z11" i="19" s="1"/>
  <c r="Y189" i="19"/>
  <c r="X189" i="19"/>
  <c r="W189" i="19"/>
  <c r="V189" i="19"/>
  <c r="V11" i="19" s="1"/>
  <c r="U189" i="19"/>
  <c r="T189" i="19"/>
  <c r="S189" i="19"/>
  <c r="R189" i="19"/>
  <c r="R11" i="19" s="1"/>
  <c r="Q189" i="19"/>
  <c r="P189" i="19"/>
  <c r="BP188" i="19"/>
  <c r="BN188" i="19"/>
  <c r="P188" i="19"/>
  <c r="O188" i="19"/>
  <c r="BL188" i="19" s="1"/>
  <c r="N188" i="19"/>
  <c r="BJ188" i="19" s="1"/>
  <c r="M188" i="19"/>
  <c r="BH188" i="19" s="1"/>
  <c r="L188" i="19"/>
  <c r="K188" i="19"/>
  <c r="J188" i="19"/>
  <c r="I188" i="19"/>
  <c r="H188" i="19"/>
  <c r="G188" i="19"/>
  <c r="F188" i="19"/>
  <c r="E188" i="19"/>
  <c r="D188" i="19"/>
  <c r="C188" i="19"/>
  <c r="B188" i="19"/>
  <c r="B156" i="19" s="1"/>
  <c r="BP187" i="19"/>
  <c r="BF187" i="19"/>
  <c r="P187" i="19"/>
  <c r="BN187" i="19" s="1"/>
  <c r="O187" i="19"/>
  <c r="N187" i="19"/>
  <c r="M187" i="19"/>
  <c r="BH187" i="19" s="1"/>
  <c r="L187" i="19"/>
  <c r="L155" i="19" s="1"/>
  <c r="K187" i="19"/>
  <c r="K155" i="19" s="1"/>
  <c r="J187" i="19"/>
  <c r="I187" i="19"/>
  <c r="H187" i="19"/>
  <c r="G187" i="19"/>
  <c r="F187" i="19"/>
  <c r="E187" i="19"/>
  <c r="E155" i="19" s="1"/>
  <c r="D187" i="19"/>
  <c r="C187" i="19"/>
  <c r="B187" i="19"/>
  <c r="BP186" i="19"/>
  <c r="BJ186" i="19"/>
  <c r="P186" i="19"/>
  <c r="BN186" i="19" s="1"/>
  <c r="O186" i="19"/>
  <c r="BL186" i="19" s="1"/>
  <c r="N186" i="19"/>
  <c r="N154" i="19" s="1"/>
  <c r="M186" i="19"/>
  <c r="BH186" i="19" s="1"/>
  <c r="L186" i="19"/>
  <c r="BF186" i="19" s="1"/>
  <c r="K186" i="19"/>
  <c r="J186" i="19"/>
  <c r="J154" i="19" s="1"/>
  <c r="J42" i="19" s="1"/>
  <c r="I186" i="19"/>
  <c r="I154" i="19" s="1"/>
  <c r="H186" i="19"/>
  <c r="G186" i="19"/>
  <c r="F186" i="19"/>
  <c r="E186" i="19"/>
  <c r="D186" i="19"/>
  <c r="D154" i="19" s="1"/>
  <c r="C186" i="19"/>
  <c r="B186" i="19"/>
  <c r="BP185" i="19"/>
  <c r="BN185" i="19"/>
  <c r="BH185" i="19"/>
  <c r="P185" i="19"/>
  <c r="O185" i="19"/>
  <c r="BL185" i="19" s="1"/>
  <c r="N185" i="19"/>
  <c r="BJ185" i="19" s="1"/>
  <c r="M185" i="19"/>
  <c r="L185" i="19"/>
  <c r="BF185" i="19" s="1"/>
  <c r="K185" i="19"/>
  <c r="J185" i="19"/>
  <c r="I185" i="19"/>
  <c r="H185" i="19"/>
  <c r="G185" i="19"/>
  <c r="F185" i="19"/>
  <c r="E185" i="19"/>
  <c r="D185" i="19"/>
  <c r="C185" i="19"/>
  <c r="B185" i="19"/>
  <c r="BP184" i="19"/>
  <c r="BN184" i="19"/>
  <c r="BL184" i="19"/>
  <c r="BF184" i="19"/>
  <c r="P184" i="19"/>
  <c r="O184" i="19"/>
  <c r="N184" i="19"/>
  <c r="BJ184" i="19" s="1"/>
  <c r="M184" i="19"/>
  <c r="BH184" i="19" s="1"/>
  <c r="L184" i="19"/>
  <c r="K184" i="19"/>
  <c r="J184" i="19"/>
  <c r="I184" i="19"/>
  <c r="I152" i="19" s="1"/>
  <c r="H184" i="19"/>
  <c r="H152" i="19" s="1"/>
  <c r="G184" i="19"/>
  <c r="F184" i="19"/>
  <c r="E184" i="19"/>
  <c r="D184" i="19"/>
  <c r="C184" i="19"/>
  <c r="B184" i="19"/>
  <c r="B152" i="19" s="1"/>
  <c r="BP183" i="19"/>
  <c r="BL183" i="19"/>
  <c r="BJ183" i="19"/>
  <c r="P183" i="19"/>
  <c r="BN183" i="19" s="1"/>
  <c r="O183" i="19"/>
  <c r="N183" i="19"/>
  <c r="M183" i="19"/>
  <c r="BH183" i="19" s="1"/>
  <c r="L183" i="19"/>
  <c r="BF183" i="19" s="1"/>
  <c r="K183" i="19"/>
  <c r="J183" i="19"/>
  <c r="I183" i="19"/>
  <c r="H183" i="19"/>
  <c r="G183" i="19"/>
  <c r="F183" i="19"/>
  <c r="E183" i="19"/>
  <c r="D183" i="19"/>
  <c r="C183" i="19"/>
  <c r="B183" i="19"/>
  <c r="B151" i="19" s="1"/>
  <c r="BP182" i="19"/>
  <c r="BN182" i="19"/>
  <c r="BL182" i="19"/>
  <c r="BJ182" i="19"/>
  <c r="BH182" i="19"/>
  <c r="P182" i="19"/>
  <c r="O182" i="19"/>
  <c r="N182" i="19"/>
  <c r="M182" i="19"/>
  <c r="L182" i="19"/>
  <c r="K182" i="19"/>
  <c r="J182" i="19"/>
  <c r="J150" i="19" s="1"/>
  <c r="I182" i="19"/>
  <c r="I150" i="19" s="1"/>
  <c r="H182" i="19"/>
  <c r="G182" i="19"/>
  <c r="F182" i="19"/>
  <c r="E182" i="19"/>
  <c r="D182" i="19"/>
  <c r="C182" i="19"/>
  <c r="B182" i="19"/>
  <c r="BP181" i="19"/>
  <c r="BN181" i="19"/>
  <c r="BL181" i="19"/>
  <c r="BJ181" i="19"/>
  <c r="BH181" i="19"/>
  <c r="BF181" i="19"/>
  <c r="P181" i="19"/>
  <c r="O181" i="19"/>
  <c r="N181" i="19"/>
  <c r="M181" i="19"/>
  <c r="L181" i="19"/>
  <c r="K181" i="19"/>
  <c r="J181" i="19"/>
  <c r="I181" i="19"/>
  <c r="I149" i="19" s="1"/>
  <c r="H181" i="19"/>
  <c r="G181" i="19"/>
  <c r="F181" i="19"/>
  <c r="E181" i="19"/>
  <c r="D181" i="19"/>
  <c r="C181" i="19"/>
  <c r="B181" i="19"/>
  <c r="BP180" i="19"/>
  <c r="BL180" i="19"/>
  <c r="BJ180" i="19"/>
  <c r="BH180" i="19"/>
  <c r="BF180" i="19"/>
  <c r="P180" i="19"/>
  <c r="BN180" i="19" s="1"/>
  <c r="O180" i="19"/>
  <c r="N180" i="19"/>
  <c r="M180" i="19"/>
  <c r="L180" i="19"/>
  <c r="K180" i="19"/>
  <c r="J180" i="19"/>
  <c r="J148" i="19" s="1"/>
  <c r="I180" i="19"/>
  <c r="H180" i="19"/>
  <c r="G180" i="19"/>
  <c r="F180" i="19"/>
  <c r="E180" i="19"/>
  <c r="D180" i="19"/>
  <c r="C180" i="19"/>
  <c r="B180" i="19"/>
  <c r="BL179" i="19"/>
  <c r="BJ179" i="19"/>
  <c r="BF179" i="19"/>
  <c r="Q179" i="19"/>
  <c r="BP179" i="19" s="1"/>
  <c r="P179" i="19"/>
  <c r="O179" i="19"/>
  <c r="N179" i="19"/>
  <c r="M179" i="19"/>
  <c r="BH179" i="19" s="1"/>
  <c r="L179" i="19"/>
  <c r="K179" i="19"/>
  <c r="J179" i="19"/>
  <c r="J147" i="19" s="1"/>
  <c r="I179" i="19"/>
  <c r="H179" i="19"/>
  <c r="G179" i="19"/>
  <c r="F179" i="19"/>
  <c r="E179" i="19"/>
  <c r="D179" i="19"/>
  <c r="C179" i="19"/>
  <c r="B179" i="19"/>
  <c r="BL178" i="19"/>
  <c r="BJ178" i="19"/>
  <c r="BF178" i="19"/>
  <c r="Q178" i="19"/>
  <c r="BP178" i="19" s="1"/>
  <c r="P178" i="19"/>
  <c r="O178" i="19"/>
  <c r="N178" i="19"/>
  <c r="M178" i="19"/>
  <c r="BH178" i="19" s="1"/>
  <c r="L178" i="19"/>
  <c r="K178" i="19"/>
  <c r="J178" i="19"/>
  <c r="I178" i="19"/>
  <c r="H178" i="19"/>
  <c r="H146" i="19" s="1"/>
  <c r="G178" i="19"/>
  <c r="F178" i="19"/>
  <c r="E178" i="19"/>
  <c r="D178" i="19"/>
  <c r="C178" i="19"/>
  <c r="B178" i="19"/>
  <c r="BL177" i="19"/>
  <c r="BJ177" i="19"/>
  <c r="BF177" i="19"/>
  <c r="Q177" i="19"/>
  <c r="BP177" i="19" s="1"/>
  <c r="P177" i="19"/>
  <c r="O177" i="19"/>
  <c r="N177" i="19"/>
  <c r="M177" i="19"/>
  <c r="BH177" i="19" s="1"/>
  <c r="L177" i="19"/>
  <c r="K177" i="19"/>
  <c r="J177" i="19"/>
  <c r="I177" i="19"/>
  <c r="H177" i="19"/>
  <c r="G177" i="19"/>
  <c r="F177" i="19"/>
  <c r="E177" i="19"/>
  <c r="D177" i="19"/>
  <c r="C177" i="19"/>
  <c r="B177" i="19"/>
  <c r="AQ176" i="19"/>
  <c r="AP176" i="19"/>
  <c r="AO176" i="19"/>
  <c r="AN176" i="19"/>
  <c r="AM176" i="19"/>
  <c r="AL176" i="19"/>
  <c r="AK176"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C176" i="19"/>
  <c r="B176" i="19"/>
  <c r="AQ173" i="19"/>
  <c r="AP173" i="19"/>
  <c r="AO173" i="19"/>
  <c r="AO10" i="19" s="1"/>
  <c r="AN173" i="19"/>
  <c r="AN10" i="19" s="1"/>
  <c r="AM173" i="19"/>
  <c r="AL173" i="19"/>
  <c r="AK173" i="19"/>
  <c r="AJ173" i="19"/>
  <c r="AI173" i="19"/>
  <c r="AH173" i="19"/>
  <c r="AG173" i="19"/>
  <c r="AF173" i="19"/>
  <c r="AE173" i="19"/>
  <c r="AE10" i="19" s="1"/>
  <c r="AE9" i="19" s="1"/>
  <c r="AD173" i="19"/>
  <c r="AC173" i="19"/>
  <c r="AB173" i="19"/>
  <c r="AA173" i="19"/>
  <c r="Z173" i="19"/>
  <c r="Y173" i="19"/>
  <c r="X173" i="19"/>
  <c r="W173" i="19"/>
  <c r="V173" i="19"/>
  <c r="U173" i="19"/>
  <c r="T173" i="19"/>
  <c r="T172" i="21" s="1"/>
  <c r="T156" i="21" s="1"/>
  <c r="S173" i="19"/>
  <c r="S172" i="21" s="1"/>
  <c r="S156" i="21" s="1"/>
  <c r="R173" i="19"/>
  <c r="H173" i="19"/>
  <c r="H10" i="19" s="1"/>
  <c r="BP172" i="19"/>
  <c r="BN172" i="19"/>
  <c r="BL172" i="19"/>
  <c r="BH172" i="19"/>
  <c r="BF172" i="19"/>
  <c r="P172" i="19"/>
  <c r="O172" i="19"/>
  <c r="N172" i="19"/>
  <c r="M172" i="19"/>
  <c r="L172" i="19"/>
  <c r="K172" i="19"/>
  <c r="J172" i="19"/>
  <c r="J156" i="19" s="1"/>
  <c r="I172" i="19"/>
  <c r="I156" i="19" s="1"/>
  <c r="H172" i="19"/>
  <c r="G172" i="19"/>
  <c r="F172" i="19"/>
  <c r="E172" i="19"/>
  <c r="E156" i="19" s="1"/>
  <c r="D172" i="19"/>
  <c r="D156" i="19" s="1"/>
  <c r="C172" i="19"/>
  <c r="C156" i="19" s="1"/>
  <c r="B172" i="19"/>
  <c r="BP171" i="19"/>
  <c r="BN171" i="19"/>
  <c r="BL171" i="19"/>
  <c r="BJ171" i="19"/>
  <c r="BF171" i="19"/>
  <c r="P171" i="19"/>
  <c r="O171" i="19"/>
  <c r="N171" i="19"/>
  <c r="M171" i="19"/>
  <c r="BH171" i="19" s="1"/>
  <c r="L171" i="19"/>
  <c r="K171" i="19"/>
  <c r="J171" i="19"/>
  <c r="I171" i="19"/>
  <c r="H171" i="19"/>
  <c r="G171" i="19"/>
  <c r="G155" i="19" s="1"/>
  <c r="F171" i="19"/>
  <c r="E171" i="19"/>
  <c r="D171" i="19"/>
  <c r="C171" i="19"/>
  <c r="C155" i="19" s="1"/>
  <c r="B171" i="19"/>
  <c r="B155" i="19" s="1"/>
  <c r="BP170" i="19"/>
  <c r="BL170" i="19"/>
  <c r="BJ170" i="19"/>
  <c r="BH170" i="19"/>
  <c r="BF170" i="19"/>
  <c r="P170" i="19"/>
  <c r="BN170" i="19" s="1"/>
  <c r="O170" i="19"/>
  <c r="N170" i="19"/>
  <c r="M170" i="19"/>
  <c r="L170" i="19"/>
  <c r="K170" i="19"/>
  <c r="J170" i="19"/>
  <c r="I170" i="19"/>
  <c r="H170" i="19"/>
  <c r="G170" i="19"/>
  <c r="G154" i="19" s="1"/>
  <c r="F170" i="19"/>
  <c r="E170" i="19"/>
  <c r="E154" i="19" s="1"/>
  <c r="D170" i="19"/>
  <c r="C170" i="19"/>
  <c r="C154" i="19" s="1"/>
  <c r="B170" i="19"/>
  <c r="B154" i="19" s="1"/>
  <c r="BP169" i="19"/>
  <c r="BJ169" i="19"/>
  <c r="BH169" i="19"/>
  <c r="BF169" i="19"/>
  <c r="P169" i="19"/>
  <c r="BN169" i="19" s="1"/>
  <c r="O169" i="19"/>
  <c r="N169" i="19"/>
  <c r="N153" i="19" s="1"/>
  <c r="BJ153" i="19" s="1"/>
  <c r="M169" i="19"/>
  <c r="L169" i="19"/>
  <c r="K169" i="19"/>
  <c r="J169" i="19"/>
  <c r="I169" i="19"/>
  <c r="H169" i="19"/>
  <c r="G169" i="19"/>
  <c r="G153" i="19" s="1"/>
  <c r="F169" i="19"/>
  <c r="E169" i="19"/>
  <c r="D169" i="19"/>
  <c r="D153" i="19" s="1"/>
  <c r="C169" i="19"/>
  <c r="B169" i="19"/>
  <c r="BP168" i="19"/>
  <c r="BF168" i="19"/>
  <c r="P168" i="19"/>
  <c r="O168" i="19"/>
  <c r="N168" i="19"/>
  <c r="M168" i="19"/>
  <c r="L168" i="19"/>
  <c r="K168" i="19"/>
  <c r="J168" i="19"/>
  <c r="I168" i="19"/>
  <c r="H168" i="19"/>
  <c r="G168" i="19"/>
  <c r="G152" i="19" s="1"/>
  <c r="F168" i="19"/>
  <c r="E168" i="19"/>
  <c r="D168" i="19"/>
  <c r="D152" i="19" s="1"/>
  <c r="C168" i="19"/>
  <c r="B168" i="19"/>
  <c r="BP167" i="19"/>
  <c r="BN167" i="19"/>
  <c r="P167" i="19"/>
  <c r="O167" i="19"/>
  <c r="O151" i="19" s="1"/>
  <c r="BL151" i="19" s="1"/>
  <c r="N167" i="19"/>
  <c r="M167" i="19"/>
  <c r="L167" i="19"/>
  <c r="K167" i="19"/>
  <c r="J167" i="19"/>
  <c r="I167" i="19"/>
  <c r="I151" i="19" s="1"/>
  <c r="H167" i="19"/>
  <c r="H151" i="19" s="1"/>
  <c r="G167" i="19"/>
  <c r="F167" i="19"/>
  <c r="E167" i="19"/>
  <c r="D167" i="19"/>
  <c r="C167" i="19"/>
  <c r="C151" i="19" s="1"/>
  <c r="B167" i="19"/>
  <c r="BP166" i="19"/>
  <c r="BJ166" i="19"/>
  <c r="P166" i="19"/>
  <c r="O166" i="19"/>
  <c r="N166" i="19"/>
  <c r="N150" i="19" s="1"/>
  <c r="M166" i="19"/>
  <c r="BH166" i="19" s="1"/>
  <c r="L166" i="19"/>
  <c r="K166" i="19"/>
  <c r="K150" i="19" s="1"/>
  <c r="J166" i="19"/>
  <c r="I166" i="19"/>
  <c r="H166" i="19"/>
  <c r="H150" i="19" s="1"/>
  <c r="G166" i="19"/>
  <c r="F166" i="19"/>
  <c r="E166" i="19"/>
  <c r="D166" i="19"/>
  <c r="C166" i="19"/>
  <c r="B166" i="19"/>
  <c r="BP165" i="19"/>
  <c r="BN165" i="19"/>
  <c r="P165" i="19"/>
  <c r="P149" i="19" s="1"/>
  <c r="O165" i="19"/>
  <c r="N165" i="19"/>
  <c r="M165" i="19"/>
  <c r="L165" i="19"/>
  <c r="BF165" i="19" s="1"/>
  <c r="K165" i="19"/>
  <c r="K149" i="19" s="1"/>
  <c r="J165" i="19"/>
  <c r="J149" i="19" s="1"/>
  <c r="I165" i="19"/>
  <c r="H165" i="19"/>
  <c r="G165" i="19"/>
  <c r="F165" i="19"/>
  <c r="E165" i="19"/>
  <c r="D165" i="19"/>
  <c r="D149" i="19" s="1"/>
  <c r="C165" i="19"/>
  <c r="B165" i="19"/>
  <c r="BP164" i="19"/>
  <c r="BN164" i="19"/>
  <c r="BL164" i="19"/>
  <c r="P164" i="19"/>
  <c r="O164" i="19"/>
  <c r="N164" i="19"/>
  <c r="M164" i="19"/>
  <c r="L164" i="19"/>
  <c r="K164" i="19"/>
  <c r="K148" i="19" s="1"/>
  <c r="J164" i="19"/>
  <c r="I164" i="19"/>
  <c r="I148" i="19" s="1"/>
  <c r="H164" i="19"/>
  <c r="G164" i="19"/>
  <c r="F164" i="19"/>
  <c r="F148" i="19" s="1"/>
  <c r="E164" i="19"/>
  <c r="D164" i="19"/>
  <c r="C164" i="19"/>
  <c r="B164" i="19"/>
  <c r="B148" i="19" s="1"/>
  <c r="B36" i="19" s="1"/>
  <c r="BN163" i="19"/>
  <c r="BL163" i="19"/>
  <c r="Q163" i="19"/>
  <c r="BP163" i="19" s="1"/>
  <c r="P163" i="19"/>
  <c r="O163" i="19"/>
  <c r="N163" i="19"/>
  <c r="BJ163" i="19" s="1"/>
  <c r="M163" i="19"/>
  <c r="L163" i="19"/>
  <c r="K163" i="19"/>
  <c r="K147" i="19" s="1"/>
  <c r="J163" i="19"/>
  <c r="I163" i="19"/>
  <c r="H163" i="19"/>
  <c r="G163" i="19"/>
  <c r="F163" i="19"/>
  <c r="F147" i="19" s="1"/>
  <c r="E163" i="19"/>
  <c r="E147" i="19" s="1"/>
  <c r="D163" i="19"/>
  <c r="C163" i="19"/>
  <c r="C147" i="19" s="1"/>
  <c r="B163" i="19"/>
  <c r="B147" i="19" s="1"/>
  <c r="BP162" i="19"/>
  <c r="BN162" i="19"/>
  <c r="BL162" i="19"/>
  <c r="Q162" i="19"/>
  <c r="Q146" i="19" s="1"/>
  <c r="P162" i="19"/>
  <c r="O162" i="19"/>
  <c r="N162" i="19"/>
  <c r="BJ162" i="19" s="1"/>
  <c r="M162" i="19"/>
  <c r="M146" i="19" s="1"/>
  <c r="L162" i="19"/>
  <c r="K162" i="19"/>
  <c r="K146" i="19" s="1"/>
  <c r="J162" i="19"/>
  <c r="I162" i="19"/>
  <c r="I146" i="19" s="1"/>
  <c r="H162" i="19"/>
  <c r="G162" i="19"/>
  <c r="F162" i="19"/>
  <c r="F146" i="19" s="1"/>
  <c r="E162" i="19"/>
  <c r="D162" i="19"/>
  <c r="C162" i="19"/>
  <c r="C146" i="19" s="1"/>
  <c r="B162" i="19"/>
  <c r="B146" i="19" s="1"/>
  <c r="BP161" i="19"/>
  <c r="BN161" i="19"/>
  <c r="BL161" i="19"/>
  <c r="Q161" i="19"/>
  <c r="P161" i="19"/>
  <c r="O161" i="19"/>
  <c r="N161" i="19"/>
  <c r="M161" i="19"/>
  <c r="L161" i="19"/>
  <c r="L145" i="19" s="1"/>
  <c r="BF145" i="19" s="1"/>
  <c r="K161" i="19"/>
  <c r="J161" i="19"/>
  <c r="I161" i="19"/>
  <c r="H161" i="19"/>
  <c r="G161" i="19"/>
  <c r="F161" i="19"/>
  <c r="F145" i="19" s="1"/>
  <c r="E161" i="19"/>
  <c r="D161" i="19"/>
  <c r="C161" i="19"/>
  <c r="B161" i="19"/>
  <c r="AQ160" i="19"/>
  <c r="AP160" i="19"/>
  <c r="AO160" i="19"/>
  <c r="AN160" i="19"/>
  <c r="AM160" i="19"/>
  <c r="AL160" i="19"/>
  <c r="AK160"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C160" i="19"/>
  <c r="B160" i="19"/>
  <c r="S157" i="19"/>
  <c r="BL156" i="19"/>
  <c r="AQ156" i="19"/>
  <c r="AP156" i="19"/>
  <c r="AO156" i="19"/>
  <c r="AN156" i="19"/>
  <c r="AM156" i="19"/>
  <c r="AL156" i="19"/>
  <c r="AK156" i="19"/>
  <c r="AJ156" i="19"/>
  <c r="AI156" i="19"/>
  <c r="AH156" i="19"/>
  <c r="AG156" i="19"/>
  <c r="AF156" i="19"/>
  <c r="AE156" i="19"/>
  <c r="AD156" i="19"/>
  <c r="AC156" i="19"/>
  <c r="AB156" i="19"/>
  <c r="AA156" i="19"/>
  <c r="Z156" i="19"/>
  <c r="Y156" i="19"/>
  <c r="X156" i="19"/>
  <c r="W156" i="19"/>
  <c r="V156" i="19"/>
  <c r="U156" i="19"/>
  <c r="T156" i="19"/>
  <c r="S156" i="19"/>
  <c r="R156" i="19"/>
  <c r="R157" i="19" s="1"/>
  <c r="Q156" i="19"/>
  <c r="BP156" i="19" s="1"/>
  <c r="P156" i="19"/>
  <c r="BN156" i="19" s="1"/>
  <c r="O156" i="19"/>
  <c r="H156" i="19"/>
  <c r="G156" i="19"/>
  <c r="F156" i="19"/>
  <c r="BP155" i="19"/>
  <c r="BF155" i="19"/>
  <c r="AQ155" i="19"/>
  <c r="AP155" i="19"/>
  <c r="AO155" i="19"/>
  <c r="AN155" i="19"/>
  <c r="AM155" i="19"/>
  <c r="AL155" i="19"/>
  <c r="AK155" i="19"/>
  <c r="AJ155" i="19"/>
  <c r="AI155" i="19"/>
  <c r="AH155" i="19"/>
  <c r="AG155" i="19"/>
  <c r="AF155" i="19"/>
  <c r="AE155" i="19"/>
  <c r="AD155" i="19"/>
  <c r="AC155" i="19"/>
  <c r="AB155" i="19"/>
  <c r="AA155" i="19"/>
  <c r="Z155" i="19"/>
  <c r="Y155" i="19"/>
  <c r="X155" i="19"/>
  <c r="W155" i="19"/>
  <c r="V155" i="19"/>
  <c r="U155" i="19"/>
  <c r="T155" i="19"/>
  <c r="S155" i="19"/>
  <c r="R155" i="19"/>
  <c r="Q155" i="19"/>
  <c r="P155" i="19"/>
  <c r="BN155" i="19" s="1"/>
  <c r="M155" i="19"/>
  <c r="BH155" i="19" s="1"/>
  <c r="J155" i="19"/>
  <c r="I155" i="19"/>
  <c r="H155" i="19"/>
  <c r="F155" i="19"/>
  <c r="BJ154" i="19"/>
  <c r="AQ154" i="19"/>
  <c r="AP154" i="19"/>
  <c r="AO154" i="19"/>
  <c r="AN154" i="19"/>
  <c r="AM154" i="19"/>
  <c r="AL154" i="19"/>
  <c r="AK154" i="19"/>
  <c r="AJ154" i="19"/>
  <c r="AI154" i="19"/>
  <c r="AH154" i="19"/>
  <c r="AG154" i="19"/>
  <c r="AF154" i="19"/>
  <c r="AE154" i="19"/>
  <c r="AD154" i="19"/>
  <c r="AC154" i="19"/>
  <c r="AB154" i="19"/>
  <c r="AA154" i="19"/>
  <c r="Z154" i="19"/>
  <c r="Y154" i="19"/>
  <c r="X154" i="19"/>
  <c r="W154" i="19"/>
  <c r="V154" i="19"/>
  <c r="U154" i="19"/>
  <c r="T154" i="19"/>
  <c r="S154" i="19"/>
  <c r="R154" i="19"/>
  <c r="Q154" i="19"/>
  <c r="BP154" i="19" s="1"/>
  <c r="P154" i="19"/>
  <c r="BN154" i="19" s="1"/>
  <c r="M154" i="19"/>
  <c r="BH154" i="19" s="1"/>
  <c r="L154" i="19"/>
  <c r="BF154" i="19" s="1"/>
  <c r="K154" i="19"/>
  <c r="H154" i="19"/>
  <c r="F154" i="19"/>
  <c r="AQ153" i="19"/>
  <c r="AP153" i="19"/>
  <c r="AO153" i="19"/>
  <c r="AN153" i="19"/>
  <c r="AM153" i="19"/>
  <c r="AL153" i="19"/>
  <c r="AK153" i="19"/>
  <c r="AJ153" i="19"/>
  <c r="AI153" i="19"/>
  <c r="AH153" i="19"/>
  <c r="AG153" i="19"/>
  <c r="AG157" i="19" s="1"/>
  <c r="AF153" i="19"/>
  <c r="AE153" i="19"/>
  <c r="AD153" i="19"/>
  <c r="AC153" i="19"/>
  <c r="AB153" i="19"/>
  <c r="AA153" i="19"/>
  <c r="Z153" i="19"/>
  <c r="Y153" i="19"/>
  <c r="X153" i="19"/>
  <c r="W153" i="19"/>
  <c r="V153" i="19"/>
  <c r="U153" i="19"/>
  <c r="T153" i="19"/>
  <c r="S153" i="19"/>
  <c r="R153" i="19"/>
  <c r="Q153" i="19"/>
  <c r="BP153" i="19" s="1"/>
  <c r="P153" i="19"/>
  <c r="BN153" i="19" s="1"/>
  <c r="M153" i="19"/>
  <c r="BH153" i="19" s="1"/>
  <c r="K153" i="19"/>
  <c r="J153" i="19"/>
  <c r="I153" i="19"/>
  <c r="H153" i="19"/>
  <c r="F153" i="19"/>
  <c r="E153" i="19"/>
  <c r="B153" i="19"/>
  <c r="AQ152" i="19"/>
  <c r="AP152" i="19"/>
  <c r="AO152" i="19"/>
  <c r="AN152" i="19"/>
  <c r="AM152" i="19"/>
  <c r="AL152" i="19"/>
  <c r="AK152" i="19"/>
  <c r="AJ152" i="19"/>
  <c r="AI152" i="19"/>
  <c r="AH152" i="19"/>
  <c r="AG152" i="19"/>
  <c r="AF152" i="19"/>
  <c r="AE152" i="19"/>
  <c r="AD152" i="19"/>
  <c r="AC152" i="19"/>
  <c r="AB152" i="19"/>
  <c r="AA152" i="19"/>
  <c r="Z152" i="19"/>
  <c r="Y152" i="19"/>
  <c r="X152" i="19"/>
  <c r="W152" i="19"/>
  <c r="V152" i="19"/>
  <c r="U152" i="19"/>
  <c r="T152" i="19"/>
  <c r="S152" i="19"/>
  <c r="R152" i="19"/>
  <c r="Q152" i="19"/>
  <c r="BP152" i="19" s="1"/>
  <c r="L152" i="19"/>
  <c r="BF152" i="19" s="1"/>
  <c r="K152" i="19"/>
  <c r="J152" i="19"/>
  <c r="F152" i="19"/>
  <c r="BP151" i="19"/>
  <c r="AQ151" i="19"/>
  <c r="AP151" i="19"/>
  <c r="AO151" i="19"/>
  <c r="AN151" i="19"/>
  <c r="AM151" i="19"/>
  <c r="AL151" i="19"/>
  <c r="AK151" i="19"/>
  <c r="AJ151" i="19"/>
  <c r="AI151" i="19"/>
  <c r="AI157" i="19" s="1"/>
  <c r="AH151" i="19"/>
  <c r="AG151" i="19"/>
  <c r="AF151" i="19"/>
  <c r="AE151" i="19"/>
  <c r="AD151" i="19"/>
  <c r="AC151" i="19"/>
  <c r="AB151" i="19"/>
  <c r="AA151" i="19"/>
  <c r="Z151" i="19"/>
  <c r="Y151" i="19"/>
  <c r="X151" i="19"/>
  <c r="W151" i="19"/>
  <c r="V151" i="19"/>
  <c r="U151" i="19"/>
  <c r="T151" i="19"/>
  <c r="S151" i="19"/>
  <c r="R151" i="19"/>
  <c r="Q151" i="19"/>
  <c r="J151" i="19"/>
  <c r="G151" i="19"/>
  <c r="F151" i="19"/>
  <c r="D151" i="19"/>
  <c r="BP150" i="19"/>
  <c r="BJ150" i="19"/>
  <c r="AQ150" i="19"/>
  <c r="AP150" i="19"/>
  <c r="AO150" i="19"/>
  <c r="AN150" i="19"/>
  <c r="AM150" i="19"/>
  <c r="AL150" i="19"/>
  <c r="AK150" i="19"/>
  <c r="AJ150" i="19"/>
  <c r="AI150" i="19"/>
  <c r="AH150" i="19"/>
  <c r="AG150" i="19"/>
  <c r="AF150" i="19"/>
  <c r="AE150" i="19"/>
  <c r="AD150" i="19"/>
  <c r="AC150" i="19"/>
  <c r="AB150" i="19"/>
  <c r="AA150" i="19"/>
  <c r="Z150" i="19"/>
  <c r="Y150" i="19"/>
  <c r="X150" i="19"/>
  <c r="W150" i="19"/>
  <c r="V150" i="19"/>
  <c r="U150" i="19"/>
  <c r="T150" i="19"/>
  <c r="S150" i="19"/>
  <c r="R150" i="19"/>
  <c r="Q150" i="19"/>
  <c r="G150" i="19"/>
  <c r="F150" i="19"/>
  <c r="E150" i="19"/>
  <c r="D150" i="19"/>
  <c r="C150" i="19"/>
  <c r="B150" i="19"/>
  <c r="BP149" i="19"/>
  <c r="BN149" i="19"/>
  <c r="AQ149" i="19"/>
  <c r="AP149" i="19"/>
  <c r="AO149" i="19"/>
  <c r="AN149" i="19"/>
  <c r="AM149" i="19"/>
  <c r="AL149" i="19"/>
  <c r="AK149" i="19"/>
  <c r="AJ149" i="19"/>
  <c r="AI149" i="19"/>
  <c r="AH149" i="19"/>
  <c r="AG149" i="19"/>
  <c r="AF149" i="19"/>
  <c r="AE149" i="19"/>
  <c r="AD149" i="19"/>
  <c r="AC149" i="19"/>
  <c r="AB149" i="19"/>
  <c r="AA149" i="19"/>
  <c r="Z149" i="19"/>
  <c r="Y149" i="19"/>
  <c r="X149" i="19"/>
  <c r="W149" i="19"/>
  <c r="V149" i="19"/>
  <c r="U149" i="19"/>
  <c r="T149" i="19"/>
  <c r="S149" i="19"/>
  <c r="R149" i="19"/>
  <c r="Q149" i="19"/>
  <c r="H149" i="19"/>
  <c r="G149" i="19"/>
  <c r="F149" i="19"/>
  <c r="E149" i="19"/>
  <c r="C149" i="19"/>
  <c r="B149" i="19"/>
  <c r="BP148" i="19"/>
  <c r="BN148" i="19"/>
  <c r="BL148" i="19"/>
  <c r="AQ148" i="19"/>
  <c r="AP148" i="19"/>
  <c r="AO148" i="19"/>
  <c r="AN148" i="19"/>
  <c r="AM148" i="19"/>
  <c r="AL148" i="19"/>
  <c r="AK148"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H148" i="19"/>
  <c r="G148" i="19"/>
  <c r="E148" i="19"/>
  <c r="D148" i="19"/>
  <c r="C148" i="19"/>
  <c r="BL147" i="19"/>
  <c r="AQ147" i="19"/>
  <c r="AP147" i="19"/>
  <c r="AO147" i="19"/>
  <c r="AN147" i="19"/>
  <c r="AM147" i="19"/>
  <c r="AL147" i="19"/>
  <c r="AK147" i="19"/>
  <c r="AJ147" i="19"/>
  <c r="AI147" i="19"/>
  <c r="AH147" i="19"/>
  <c r="AG147" i="19"/>
  <c r="AF147" i="19"/>
  <c r="AE147" i="19"/>
  <c r="AD147" i="19"/>
  <c r="AC147" i="19"/>
  <c r="AB147" i="19"/>
  <c r="AA147" i="19"/>
  <c r="Z147" i="19"/>
  <c r="Y147" i="19"/>
  <c r="X147" i="19"/>
  <c r="W147" i="19"/>
  <c r="V147" i="19"/>
  <c r="U147" i="19"/>
  <c r="T147" i="19"/>
  <c r="S147" i="19"/>
  <c r="R147" i="19"/>
  <c r="O147" i="19"/>
  <c r="I147" i="19"/>
  <c r="H147" i="19"/>
  <c r="G147" i="19"/>
  <c r="D147" i="19"/>
  <c r="BL146" i="19"/>
  <c r="BJ146" i="19"/>
  <c r="BH146" i="19"/>
  <c r="AQ146" i="19"/>
  <c r="AP146" i="19"/>
  <c r="AO146" i="19"/>
  <c r="AN146" i="19"/>
  <c r="AM146" i="19"/>
  <c r="AL146" i="19"/>
  <c r="AK146" i="19"/>
  <c r="AJ146" i="19"/>
  <c r="AJ157" i="19" s="1"/>
  <c r="AI146" i="19"/>
  <c r="AH146" i="19"/>
  <c r="AG146" i="19"/>
  <c r="AF146" i="19"/>
  <c r="AE146" i="19"/>
  <c r="AD146" i="19"/>
  <c r="AC146" i="19"/>
  <c r="AB146" i="19"/>
  <c r="AA146" i="19"/>
  <c r="Z146" i="19"/>
  <c r="Y146" i="19"/>
  <c r="X146" i="19"/>
  <c r="W146" i="19"/>
  <c r="V146" i="19"/>
  <c r="V157" i="19" s="1"/>
  <c r="U146" i="19"/>
  <c r="T146" i="19"/>
  <c r="S146" i="19"/>
  <c r="R146" i="19"/>
  <c r="O146" i="19"/>
  <c r="N146" i="19"/>
  <c r="G146" i="19"/>
  <c r="E146" i="19"/>
  <c r="D146" i="19"/>
  <c r="BL145" i="19"/>
  <c r="AQ145" i="19"/>
  <c r="AP145" i="19"/>
  <c r="AO145" i="19"/>
  <c r="AO157" i="19" s="1"/>
  <c r="AN145" i="19"/>
  <c r="AM145" i="19"/>
  <c r="AL145" i="19"/>
  <c r="AK145" i="19"/>
  <c r="AJ145" i="19"/>
  <c r="AI145" i="19"/>
  <c r="AH145" i="19"/>
  <c r="AG145" i="19"/>
  <c r="AF145" i="19"/>
  <c r="AE145" i="19"/>
  <c r="AD145" i="19"/>
  <c r="AC145" i="19"/>
  <c r="AC157" i="19" s="1"/>
  <c r="AB145" i="19"/>
  <c r="AA145" i="19"/>
  <c r="Z145" i="19"/>
  <c r="Z157" i="19" s="1"/>
  <c r="Y145" i="19"/>
  <c r="X145" i="19"/>
  <c r="W145" i="19"/>
  <c r="W157" i="19" s="1"/>
  <c r="V145" i="19"/>
  <c r="U145" i="19"/>
  <c r="T145" i="19"/>
  <c r="S145" i="19"/>
  <c r="R145" i="19"/>
  <c r="O145" i="19"/>
  <c r="E145" i="19"/>
  <c r="D145" i="19"/>
  <c r="AQ144" i="19"/>
  <c r="AP144" i="19"/>
  <c r="AO144" i="19"/>
  <c r="AN144" i="19"/>
  <c r="AM144" i="19"/>
  <c r="AL144" i="19"/>
  <c r="AK144"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C144" i="19"/>
  <c r="B144" i="19"/>
  <c r="AQ141" i="19"/>
  <c r="AP141" i="19"/>
  <c r="AO141" i="19"/>
  <c r="AN141" i="19"/>
  <c r="AM141" i="19"/>
  <c r="AL141" i="19"/>
  <c r="AK141" i="19"/>
  <c r="AJ141" i="19"/>
  <c r="AI141" i="19"/>
  <c r="AH141" i="19"/>
  <c r="AG141" i="19"/>
  <c r="AF141" i="19"/>
  <c r="AE141" i="19"/>
  <c r="AD141" i="19"/>
  <c r="AC141" i="19"/>
  <c r="AB141" i="19"/>
  <c r="AA141" i="19"/>
  <c r="Z141" i="19"/>
  <c r="Y141" i="19"/>
  <c r="X141" i="19"/>
  <c r="W141" i="19"/>
  <c r="V141" i="19"/>
  <c r="U141" i="19"/>
  <c r="T141" i="19"/>
  <c r="S141" i="19"/>
  <c r="R141" i="19"/>
  <c r="Q141" i="19"/>
  <c r="C141" i="19"/>
  <c r="C8" i="19" s="1"/>
  <c r="B141" i="19"/>
  <c r="B8" i="19" s="1"/>
  <c r="BN140" i="19"/>
  <c r="BH140" i="19"/>
  <c r="P140" i="19"/>
  <c r="O140" i="19"/>
  <c r="BL140" i="19" s="1"/>
  <c r="N140" i="19"/>
  <c r="M140" i="19"/>
  <c r="M108" i="19" s="1"/>
  <c r="BH108" i="19" s="1"/>
  <c r="L140" i="19"/>
  <c r="K140" i="19"/>
  <c r="J140" i="19"/>
  <c r="J108" i="19" s="1"/>
  <c r="I140" i="19"/>
  <c r="H140" i="19"/>
  <c r="G140" i="19"/>
  <c r="F140" i="19"/>
  <c r="E140" i="19"/>
  <c r="D140" i="19"/>
  <c r="C140" i="19"/>
  <c r="B140" i="19"/>
  <c r="BL139" i="19"/>
  <c r="BF139" i="19"/>
  <c r="P139" i="19"/>
  <c r="O139" i="19"/>
  <c r="N139" i="19"/>
  <c r="BJ139" i="19" s="1"/>
  <c r="M139" i="19"/>
  <c r="L139" i="19"/>
  <c r="K139" i="19"/>
  <c r="J139" i="19"/>
  <c r="J107" i="19" s="1"/>
  <c r="I139" i="19"/>
  <c r="I107" i="19" s="1"/>
  <c r="H139" i="19"/>
  <c r="H107" i="19" s="1"/>
  <c r="G139" i="19"/>
  <c r="F139" i="19"/>
  <c r="E139" i="19"/>
  <c r="D139" i="19"/>
  <c r="C139" i="19"/>
  <c r="B139" i="19"/>
  <c r="BH138" i="19"/>
  <c r="P138" i="19"/>
  <c r="BN138" i="19" s="1"/>
  <c r="O138" i="19"/>
  <c r="N138" i="19"/>
  <c r="BJ138" i="19" s="1"/>
  <c r="M138" i="19"/>
  <c r="L138" i="19"/>
  <c r="BF138" i="19" s="1"/>
  <c r="K138" i="19"/>
  <c r="K106" i="19" s="1"/>
  <c r="J138" i="19"/>
  <c r="I138" i="19"/>
  <c r="I106" i="19" s="1"/>
  <c r="H138" i="19"/>
  <c r="G138" i="19"/>
  <c r="F138" i="19"/>
  <c r="E138" i="19"/>
  <c r="D138" i="19"/>
  <c r="D106" i="19" s="1"/>
  <c r="C138" i="19"/>
  <c r="B138" i="19"/>
  <c r="BN137" i="19"/>
  <c r="BL137" i="19"/>
  <c r="BJ137" i="19"/>
  <c r="P137" i="19"/>
  <c r="O137" i="19"/>
  <c r="N137" i="19"/>
  <c r="M137" i="19"/>
  <c r="BH137" i="19" s="1"/>
  <c r="L137" i="19"/>
  <c r="BF137" i="19" s="1"/>
  <c r="K137" i="19"/>
  <c r="J137" i="19"/>
  <c r="I137" i="19"/>
  <c r="H137" i="19"/>
  <c r="G137" i="19"/>
  <c r="F137" i="19"/>
  <c r="E137" i="19"/>
  <c r="D137" i="19"/>
  <c r="C137" i="19"/>
  <c r="B137" i="19"/>
  <c r="BN136" i="19"/>
  <c r="BL136" i="19"/>
  <c r="BJ136" i="19"/>
  <c r="BH136" i="19"/>
  <c r="P136" i="19"/>
  <c r="O136" i="19"/>
  <c r="N136" i="19"/>
  <c r="M136" i="19"/>
  <c r="L136" i="19"/>
  <c r="BF136" i="19" s="1"/>
  <c r="K136" i="19"/>
  <c r="J136" i="19"/>
  <c r="I136" i="19"/>
  <c r="H136" i="19"/>
  <c r="G136" i="19"/>
  <c r="F136" i="19"/>
  <c r="E136" i="19"/>
  <c r="D136" i="19"/>
  <c r="C136" i="19"/>
  <c r="B136" i="19"/>
  <c r="BL135" i="19"/>
  <c r="BJ135" i="19"/>
  <c r="BH135" i="19"/>
  <c r="BF135" i="19"/>
  <c r="P135" i="19"/>
  <c r="BN135" i="19" s="1"/>
  <c r="O135" i="19"/>
  <c r="N135" i="19"/>
  <c r="M135" i="19"/>
  <c r="L135" i="19"/>
  <c r="K135" i="19"/>
  <c r="J135" i="19"/>
  <c r="I135" i="19"/>
  <c r="H135" i="19"/>
  <c r="G135" i="19"/>
  <c r="F135" i="19"/>
  <c r="E135" i="19"/>
  <c r="D135" i="19"/>
  <c r="C135" i="19"/>
  <c r="B135" i="19"/>
  <c r="BJ134" i="19"/>
  <c r="BH134" i="19"/>
  <c r="P134" i="19"/>
  <c r="BN134" i="19" s="1"/>
  <c r="O134" i="19"/>
  <c r="BL134" i="19" s="1"/>
  <c r="N134" i="19"/>
  <c r="M134" i="19"/>
  <c r="L134" i="19"/>
  <c r="BF134" i="19" s="1"/>
  <c r="K134" i="19"/>
  <c r="J134" i="19"/>
  <c r="I134" i="19"/>
  <c r="H134" i="19"/>
  <c r="G134" i="19"/>
  <c r="F134" i="19"/>
  <c r="E134" i="19"/>
  <c r="D134" i="19"/>
  <c r="C134" i="19"/>
  <c r="B134" i="19"/>
  <c r="P133" i="19"/>
  <c r="BN133" i="19" s="1"/>
  <c r="O133" i="19"/>
  <c r="N133" i="19"/>
  <c r="BJ133" i="19" s="1"/>
  <c r="M133" i="19"/>
  <c r="BH133" i="19" s="1"/>
  <c r="L133" i="19"/>
  <c r="BF133" i="19" s="1"/>
  <c r="K133" i="19"/>
  <c r="J133" i="19"/>
  <c r="I133" i="19"/>
  <c r="H133" i="19"/>
  <c r="G133" i="19"/>
  <c r="G101" i="19" s="1"/>
  <c r="F133" i="19"/>
  <c r="E133" i="19"/>
  <c r="D133" i="19"/>
  <c r="C133" i="19"/>
  <c r="B133" i="19"/>
  <c r="P132" i="19"/>
  <c r="BN132" i="19" s="1"/>
  <c r="O132" i="19"/>
  <c r="N132" i="19"/>
  <c r="BJ132" i="19" s="1"/>
  <c r="M132" i="19"/>
  <c r="BH132" i="19" s="1"/>
  <c r="L132" i="19"/>
  <c r="BF132" i="19" s="1"/>
  <c r="K132" i="19"/>
  <c r="J132" i="19"/>
  <c r="I132" i="19"/>
  <c r="H132" i="19"/>
  <c r="G132" i="19"/>
  <c r="F132" i="19"/>
  <c r="F100" i="19" s="1"/>
  <c r="E132" i="19"/>
  <c r="E100" i="19" s="1"/>
  <c r="D132" i="19"/>
  <c r="C132" i="19"/>
  <c r="B132" i="19"/>
  <c r="BP131" i="19"/>
  <c r="BN131" i="19"/>
  <c r="BF131" i="19"/>
  <c r="Q131" i="19"/>
  <c r="P131" i="19"/>
  <c r="O131" i="19"/>
  <c r="BL131" i="19" s="1"/>
  <c r="N131" i="19"/>
  <c r="BJ131" i="19" s="1"/>
  <c r="M131" i="19"/>
  <c r="BH131" i="19" s="1"/>
  <c r="L131" i="19"/>
  <c r="K131" i="19"/>
  <c r="J131" i="19"/>
  <c r="J99" i="19" s="1"/>
  <c r="I131" i="19"/>
  <c r="I99" i="19" s="1"/>
  <c r="H131" i="19"/>
  <c r="G131" i="19"/>
  <c r="F131" i="19"/>
  <c r="E131" i="19"/>
  <c r="E99" i="19" s="1"/>
  <c r="D131" i="19"/>
  <c r="C131" i="19"/>
  <c r="B131" i="19"/>
  <c r="BP130" i="19"/>
  <c r="BN130" i="19"/>
  <c r="BL130" i="19"/>
  <c r="BJ130" i="19"/>
  <c r="BH130" i="19"/>
  <c r="BF130" i="19"/>
  <c r="Q130" i="19"/>
  <c r="P130" i="19"/>
  <c r="O130" i="19"/>
  <c r="N130" i="19"/>
  <c r="M130" i="19"/>
  <c r="L130" i="19"/>
  <c r="K130" i="19"/>
  <c r="J130" i="19"/>
  <c r="I130" i="19"/>
  <c r="I98" i="19" s="1"/>
  <c r="H130" i="19"/>
  <c r="G130" i="19"/>
  <c r="F130" i="19"/>
  <c r="F98" i="19" s="1"/>
  <c r="E130" i="19"/>
  <c r="D130" i="19"/>
  <c r="C130" i="19"/>
  <c r="B130" i="19"/>
  <c r="BN129" i="19"/>
  <c r="BH129" i="19"/>
  <c r="BF129" i="19"/>
  <c r="Q129" i="19"/>
  <c r="BP129" i="19" s="1"/>
  <c r="P129" i="19"/>
  <c r="O129" i="19"/>
  <c r="N129" i="19"/>
  <c r="M129" i="19"/>
  <c r="M141" i="19" s="1"/>
  <c r="L129" i="19"/>
  <c r="K129" i="19"/>
  <c r="J129" i="19"/>
  <c r="I129" i="19"/>
  <c r="H129" i="19"/>
  <c r="G129" i="19"/>
  <c r="F129" i="19"/>
  <c r="F141" i="19" s="1"/>
  <c r="F8" i="19" s="1"/>
  <c r="E129" i="19"/>
  <c r="D129" i="19"/>
  <c r="C129" i="19"/>
  <c r="B129" i="19"/>
  <c r="B97" i="19" s="1"/>
  <c r="AQ128" i="19"/>
  <c r="AP128" i="19"/>
  <c r="AO128" i="19"/>
  <c r="AN128" i="19"/>
  <c r="AM128" i="19"/>
  <c r="AL128" i="19"/>
  <c r="AK128" i="19"/>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C128" i="19"/>
  <c r="B128" i="19"/>
  <c r="L125" i="19"/>
  <c r="BL124" i="19"/>
  <c r="P124" i="19"/>
  <c r="O124" i="19"/>
  <c r="N124" i="19"/>
  <c r="BJ124" i="19" s="1"/>
  <c r="M124" i="19"/>
  <c r="BH124" i="19" s="1"/>
  <c r="L124" i="19"/>
  <c r="BF124" i="19" s="1"/>
  <c r="K124" i="19"/>
  <c r="J124" i="19"/>
  <c r="I124" i="19"/>
  <c r="H124" i="19"/>
  <c r="G124" i="19"/>
  <c r="F124" i="19"/>
  <c r="E124" i="19"/>
  <c r="D124" i="19"/>
  <c r="C124" i="19"/>
  <c r="C108" i="19" s="1"/>
  <c r="C44" i="19" s="1"/>
  <c r="B124" i="19"/>
  <c r="B108" i="19" s="1"/>
  <c r="BL123" i="19"/>
  <c r="BJ123" i="19"/>
  <c r="BF123" i="19"/>
  <c r="P123" i="19"/>
  <c r="BN123" i="19" s="1"/>
  <c r="O123" i="19"/>
  <c r="N123" i="19"/>
  <c r="M123" i="19"/>
  <c r="BH123" i="19" s="1"/>
  <c r="L123" i="19"/>
  <c r="K123" i="19"/>
  <c r="J123" i="19"/>
  <c r="I123" i="19"/>
  <c r="H123" i="19"/>
  <c r="G123" i="19"/>
  <c r="G107" i="19" s="1"/>
  <c r="F123" i="19"/>
  <c r="E123" i="19"/>
  <c r="D123" i="19"/>
  <c r="C123" i="19"/>
  <c r="B123" i="19"/>
  <c r="B107" i="19" s="1"/>
  <c r="BN122" i="19"/>
  <c r="BJ122" i="19"/>
  <c r="BH122" i="19"/>
  <c r="BF122" i="19"/>
  <c r="BD122" i="19"/>
  <c r="BC122" i="19"/>
  <c r="P122" i="19"/>
  <c r="O122" i="19"/>
  <c r="BL122" i="19" s="1"/>
  <c r="N122" i="19"/>
  <c r="M122" i="19"/>
  <c r="L122" i="19"/>
  <c r="K122" i="19"/>
  <c r="J122" i="19"/>
  <c r="I122" i="19"/>
  <c r="H122" i="19"/>
  <c r="H106" i="19" s="1"/>
  <c r="G122" i="19"/>
  <c r="G106" i="19" s="1"/>
  <c r="F122" i="19"/>
  <c r="F106" i="19" s="1"/>
  <c r="E122" i="19"/>
  <c r="D122" i="19"/>
  <c r="C122" i="19"/>
  <c r="B122" i="19"/>
  <c r="B106" i="19" s="1"/>
  <c r="BN121" i="19"/>
  <c r="BL121" i="19"/>
  <c r="BJ121" i="19"/>
  <c r="BH121" i="19"/>
  <c r="BF121" i="19"/>
  <c r="BD121" i="19"/>
  <c r="BC121" i="19"/>
  <c r="P121" i="19"/>
  <c r="O121" i="19"/>
  <c r="O105" i="19" s="1"/>
  <c r="N121" i="19"/>
  <c r="M121" i="19"/>
  <c r="L121" i="19"/>
  <c r="K121" i="19"/>
  <c r="J121" i="19"/>
  <c r="I121" i="19"/>
  <c r="H121" i="19"/>
  <c r="H105" i="19" s="1"/>
  <c r="G121" i="19"/>
  <c r="G105" i="19" s="1"/>
  <c r="F121" i="19"/>
  <c r="F105" i="19" s="1"/>
  <c r="E121" i="19"/>
  <c r="D121" i="19"/>
  <c r="C121" i="19"/>
  <c r="B121" i="19"/>
  <c r="B105" i="19" s="1"/>
  <c r="BN120" i="19"/>
  <c r="BL120" i="19"/>
  <c r="BH120" i="19"/>
  <c r="BF120" i="19"/>
  <c r="BC120" i="19"/>
  <c r="P120" i="19"/>
  <c r="P104" i="19" s="1"/>
  <c r="BN104" i="19" s="1"/>
  <c r="O120" i="19"/>
  <c r="BD120" i="19" s="1"/>
  <c r="N120" i="19"/>
  <c r="BJ120" i="19" s="1"/>
  <c r="M120" i="19"/>
  <c r="L120" i="19"/>
  <c r="L104" i="19" s="1"/>
  <c r="BF104" i="19" s="1"/>
  <c r="K120" i="19"/>
  <c r="J120" i="19"/>
  <c r="I120" i="19"/>
  <c r="H120" i="19"/>
  <c r="H104" i="19" s="1"/>
  <c r="G120" i="19"/>
  <c r="F120" i="19"/>
  <c r="F104" i="19" s="1"/>
  <c r="E120" i="19"/>
  <c r="D120" i="19"/>
  <c r="C120" i="19"/>
  <c r="B120" i="19"/>
  <c r="BN119" i="19"/>
  <c r="BL119" i="19"/>
  <c r="BJ119" i="19"/>
  <c r="BH119" i="19"/>
  <c r="BF119" i="19"/>
  <c r="BD119" i="19"/>
  <c r="BC119" i="19"/>
  <c r="P119" i="19"/>
  <c r="O119" i="19"/>
  <c r="N119" i="19"/>
  <c r="M119" i="19"/>
  <c r="L119" i="19"/>
  <c r="K119" i="19"/>
  <c r="J119" i="19"/>
  <c r="I119" i="19"/>
  <c r="H119" i="19"/>
  <c r="H103" i="19" s="1"/>
  <c r="G119" i="19"/>
  <c r="F119" i="19"/>
  <c r="E119" i="19"/>
  <c r="D119" i="19"/>
  <c r="D103" i="19" s="1"/>
  <c r="C119" i="19"/>
  <c r="C103" i="19" s="1"/>
  <c r="B119" i="19"/>
  <c r="BN118" i="19"/>
  <c r="BL118" i="19"/>
  <c r="BJ118" i="19"/>
  <c r="BH118" i="19"/>
  <c r="P118" i="19"/>
  <c r="O118" i="19"/>
  <c r="N118" i="19"/>
  <c r="M118" i="19"/>
  <c r="L118" i="19"/>
  <c r="K118" i="19"/>
  <c r="K102" i="19" s="1"/>
  <c r="J118" i="19"/>
  <c r="I118" i="19"/>
  <c r="H118" i="19"/>
  <c r="H102" i="19" s="1"/>
  <c r="G118" i="19"/>
  <c r="F118" i="19"/>
  <c r="E118" i="19"/>
  <c r="E102" i="19" s="1"/>
  <c r="D118" i="19"/>
  <c r="C118" i="19"/>
  <c r="C102" i="19" s="1"/>
  <c r="B118" i="19"/>
  <c r="B102" i="19" s="1"/>
  <c r="BF117" i="19"/>
  <c r="P117" i="19"/>
  <c r="BN117" i="19" s="1"/>
  <c r="O117" i="19"/>
  <c r="N117" i="19"/>
  <c r="BJ117" i="19" s="1"/>
  <c r="M117" i="19"/>
  <c r="BH117" i="19" s="1"/>
  <c r="L117" i="19"/>
  <c r="K117" i="19"/>
  <c r="J117" i="19"/>
  <c r="I117" i="19"/>
  <c r="H117" i="19"/>
  <c r="H101" i="19" s="1"/>
  <c r="G117" i="19"/>
  <c r="F117" i="19"/>
  <c r="E117" i="19"/>
  <c r="D117" i="19"/>
  <c r="D101" i="19" s="1"/>
  <c r="C117" i="19"/>
  <c r="B117" i="19"/>
  <c r="BD116" i="19"/>
  <c r="BC116" i="19"/>
  <c r="P116" i="19"/>
  <c r="BN116" i="19" s="1"/>
  <c r="O116" i="19"/>
  <c r="BL116" i="19" s="1"/>
  <c r="N116" i="19"/>
  <c r="N100" i="19" s="1"/>
  <c r="BJ100" i="19" s="1"/>
  <c r="M116" i="19"/>
  <c r="M100" i="19" s="1"/>
  <c r="BH100" i="19" s="1"/>
  <c r="L116" i="19"/>
  <c r="K116" i="19"/>
  <c r="K100" i="19" s="1"/>
  <c r="J116" i="19"/>
  <c r="I116" i="19"/>
  <c r="H116" i="19"/>
  <c r="G116" i="19"/>
  <c r="F116" i="19"/>
  <c r="E116" i="19"/>
  <c r="D116" i="19"/>
  <c r="C116" i="19"/>
  <c r="B116" i="19"/>
  <c r="BL115" i="19"/>
  <c r="BF115" i="19"/>
  <c r="Q115" i="19"/>
  <c r="P115" i="19"/>
  <c r="O115" i="19"/>
  <c r="N115" i="19"/>
  <c r="M115" i="19"/>
  <c r="L115" i="19"/>
  <c r="K115" i="19"/>
  <c r="J115" i="19"/>
  <c r="I115" i="19"/>
  <c r="H115" i="19"/>
  <c r="G115" i="19"/>
  <c r="F115" i="19"/>
  <c r="E115" i="19"/>
  <c r="D115" i="19"/>
  <c r="C115" i="19"/>
  <c r="B115" i="19"/>
  <c r="B99" i="19" s="1"/>
  <c r="BP114" i="19"/>
  <c r="BN114" i="19"/>
  <c r="BH114" i="19"/>
  <c r="BF114" i="19"/>
  <c r="BC114" i="19"/>
  <c r="Q114" i="19"/>
  <c r="Q98" i="19" s="1"/>
  <c r="P114" i="19"/>
  <c r="P98" i="19" s="1"/>
  <c r="BN98" i="19" s="1"/>
  <c r="O114" i="19"/>
  <c r="O126" i="19" s="1"/>
  <c r="N114" i="19"/>
  <c r="BD114" i="19" s="1"/>
  <c r="M114" i="19"/>
  <c r="L114" i="19"/>
  <c r="K114" i="19"/>
  <c r="J114" i="19"/>
  <c r="I114" i="19"/>
  <c r="H114" i="19"/>
  <c r="G114" i="19"/>
  <c r="F114" i="19"/>
  <c r="E114" i="19"/>
  <c r="D114" i="19"/>
  <c r="D98" i="19" s="1"/>
  <c r="C114" i="19"/>
  <c r="C98" i="19" s="1"/>
  <c r="B114" i="19"/>
  <c r="B98" i="19" s="1"/>
  <c r="BJ113" i="19"/>
  <c r="BH113" i="19"/>
  <c r="BD113" i="19"/>
  <c r="BC113" i="19"/>
  <c r="Q113" i="19"/>
  <c r="P113" i="19"/>
  <c r="O113" i="19"/>
  <c r="BL113" i="19" s="1"/>
  <c r="N113" i="19"/>
  <c r="M113" i="19"/>
  <c r="L113" i="19"/>
  <c r="BF113" i="19" s="1"/>
  <c r="K113" i="19"/>
  <c r="K125" i="19" s="1"/>
  <c r="K7" i="19" s="1"/>
  <c r="J113" i="19"/>
  <c r="I113" i="19"/>
  <c r="H113" i="19"/>
  <c r="G113" i="19"/>
  <c r="F113" i="19"/>
  <c r="E113" i="19"/>
  <c r="D113" i="19"/>
  <c r="C113" i="19"/>
  <c r="B113" i="19"/>
  <c r="AQ112" i="19"/>
  <c r="AP112" i="19"/>
  <c r="AO112" i="19"/>
  <c r="AN112" i="19"/>
  <c r="AM112" i="19"/>
  <c r="AL112" i="19"/>
  <c r="AK112"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C112" i="19"/>
  <c r="B112" i="19"/>
  <c r="K110" i="19"/>
  <c r="K109" i="19"/>
  <c r="P108" i="19"/>
  <c r="K108" i="19"/>
  <c r="I108" i="19"/>
  <c r="H108" i="19"/>
  <c r="F108" i="19"/>
  <c r="E108" i="19"/>
  <c r="D108" i="19"/>
  <c r="BJ107" i="19"/>
  <c r="O107" i="19"/>
  <c r="BL107" i="19" s="1"/>
  <c r="N107" i="19"/>
  <c r="L107" i="19"/>
  <c r="BF107" i="19" s="1"/>
  <c r="K107" i="19"/>
  <c r="F107" i="19"/>
  <c r="F43" i="19" s="1"/>
  <c r="E107" i="19"/>
  <c r="C107" i="19"/>
  <c r="BJ106" i="19"/>
  <c r="P106" i="19"/>
  <c r="BN106" i="19" s="1"/>
  <c r="O106" i="19"/>
  <c r="BL106" i="19" s="1"/>
  <c r="N106" i="19"/>
  <c r="M106" i="19"/>
  <c r="BH106" i="19" s="1"/>
  <c r="L106" i="19"/>
  <c r="BF106" i="19" s="1"/>
  <c r="J106" i="19"/>
  <c r="E106" i="19"/>
  <c r="C106" i="19"/>
  <c r="BL105" i="19"/>
  <c r="P105" i="19"/>
  <c r="BN105" i="19" s="1"/>
  <c r="N105" i="19"/>
  <c r="BJ105" i="19" s="1"/>
  <c r="M105" i="19"/>
  <c r="BH105" i="19" s="1"/>
  <c r="K105" i="19"/>
  <c r="J105" i="19"/>
  <c r="I105" i="19"/>
  <c r="E105" i="19"/>
  <c r="D105" i="19"/>
  <c r="C105" i="19"/>
  <c r="O104" i="19"/>
  <c r="BL104" i="19" s="1"/>
  <c r="N104" i="19"/>
  <c r="BJ104" i="19" s="1"/>
  <c r="M104" i="19"/>
  <c r="BH104" i="19" s="1"/>
  <c r="K104" i="19"/>
  <c r="J104" i="19"/>
  <c r="I104" i="19"/>
  <c r="G104" i="19"/>
  <c r="E104" i="19"/>
  <c r="D104" i="19"/>
  <c r="C104" i="19"/>
  <c r="O103" i="19"/>
  <c r="BL103" i="19" s="1"/>
  <c r="N103" i="19"/>
  <c r="BJ103" i="19" s="1"/>
  <c r="M103" i="19"/>
  <c r="BH103" i="19" s="1"/>
  <c r="L103" i="19"/>
  <c r="BF103" i="19" s="1"/>
  <c r="K103" i="19"/>
  <c r="J103" i="19"/>
  <c r="J39" i="19" s="1"/>
  <c r="I103" i="19"/>
  <c r="G103" i="19"/>
  <c r="F103" i="19"/>
  <c r="E103" i="19"/>
  <c r="P102" i="19"/>
  <c r="BN102" i="19" s="1"/>
  <c r="O102" i="19"/>
  <c r="BL102" i="19" s="1"/>
  <c r="N102" i="19"/>
  <c r="BJ102" i="19" s="1"/>
  <c r="M102" i="19"/>
  <c r="BH102" i="19" s="1"/>
  <c r="J102" i="19"/>
  <c r="I102" i="19"/>
  <c r="F102" i="19"/>
  <c r="D102" i="19"/>
  <c r="BF101" i="19"/>
  <c r="P101" i="19"/>
  <c r="BN101" i="19" s="1"/>
  <c r="O101" i="19"/>
  <c r="BL101" i="19" s="1"/>
  <c r="N101" i="19"/>
  <c r="BJ101" i="19" s="1"/>
  <c r="M101" i="19"/>
  <c r="BH101" i="19" s="1"/>
  <c r="L101" i="19"/>
  <c r="K101" i="19"/>
  <c r="J101" i="19"/>
  <c r="E101" i="19"/>
  <c r="B101" i="19"/>
  <c r="P100" i="19"/>
  <c r="BN100" i="19" s="1"/>
  <c r="O100" i="19"/>
  <c r="BL100" i="19" s="1"/>
  <c r="I100" i="19"/>
  <c r="G100" i="19"/>
  <c r="D100" i="19"/>
  <c r="C100" i="19"/>
  <c r="B100" i="19"/>
  <c r="O99" i="19"/>
  <c r="BL99" i="19" s="1"/>
  <c r="L99" i="19"/>
  <c r="BF99" i="19" s="1"/>
  <c r="K99" i="19"/>
  <c r="H99" i="19"/>
  <c r="G99" i="19"/>
  <c r="F99" i="19"/>
  <c r="D99" i="19"/>
  <c r="C99" i="19"/>
  <c r="BP98" i="19"/>
  <c r="N98" i="19"/>
  <c r="BJ98" i="19" s="1"/>
  <c r="M98" i="19"/>
  <c r="BH98" i="19" s="1"/>
  <c r="L98" i="19"/>
  <c r="BF98" i="19" s="1"/>
  <c r="K98" i="19"/>
  <c r="J98" i="19"/>
  <c r="N97" i="19"/>
  <c r="M97" i="19"/>
  <c r="L97" i="19"/>
  <c r="BF97" i="19" s="1"/>
  <c r="K97" i="19"/>
  <c r="J97" i="19"/>
  <c r="I97" i="19"/>
  <c r="H97" i="19"/>
  <c r="G97" i="19"/>
  <c r="E97" i="19"/>
  <c r="C97" i="19"/>
  <c r="AQ96" i="19"/>
  <c r="AP96" i="19"/>
  <c r="AO96" i="19"/>
  <c r="AN96" i="19"/>
  <c r="AM96" i="19"/>
  <c r="AL96" i="19"/>
  <c r="AK96"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C96" i="19"/>
  <c r="B96" i="19"/>
  <c r="BP93" i="19"/>
  <c r="AQ93" i="19"/>
  <c r="AP93" i="19"/>
  <c r="AO93" i="19"/>
  <c r="AN93" i="19"/>
  <c r="AM93" i="19"/>
  <c r="AL93" i="19"/>
  <c r="AK93" i="19"/>
  <c r="AJ93" i="19"/>
  <c r="AI93" i="19"/>
  <c r="AH93" i="19"/>
  <c r="AG93" i="19"/>
  <c r="AG5" i="19" s="1"/>
  <c r="AF93" i="19"/>
  <c r="AF5" i="19" s="1"/>
  <c r="AE93" i="19"/>
  <c r="AE5" i="19" s="1"/>
  <c r="AD93" i="19"/>
  <c r="AD5" i="19" s="1"/>
  <c r="AC93" i="19"/>
  <c r="AB93" i="19"/>
  <c r="AA93" i="19"/>
  <c r="Z93" i="19"/>
  <c r="Y93" i="19"/>
  <c r="X93" i="19"/>
  <c r="W93" i="19"/>
  <c r="V93" i="19"/>
  <c r="U93" i="19"/>
  <c r="T93" i="19"/>
  <c r="S93" i="19"/>
  <c r="R93" i="19"/>
  <c r="R5" i="19" s="1"/>
  <c r="Q93" i="19"/>
  <c r="BP92" i="19"/>
  <c r="BF92" i="19"/>
  <c r="P92" i="19"/>
  <c r="BN92" i="19" s="1"/>
  <c r="O92" i="19"/>
  <c r="N92" i="19"/>
  <c r="BJ92" i="19" s="1"/>
  <c r="M92" i="19"/>
  <c r="BH92" i="19" s="1"/>
  <c r="L92" i="19"/>
  <c r="K92" i="19"/>
  <c r="J92" i="19"/>
  <c r="I92" i="19"/>
  <c r="H92" i="19"/>
  <c r="G92" i="19"/>
  <c r="F92" i="19"/>
  <c r="E92" i="19"/>
  <c r="D92" i="19"/>
  <c r="C92" i="19"/>
  <c r="B92" i="19"/>
  <c r="BP91" i="19"/>
  <c r="P91" i="19"/>
  <c r="O91" i="19"/>
  <c r="N91" i="19"/>
  <c r="BJ91" i="19" s="1"/>
  <c r="M91" i="19"/>
  <c r="BH91" i="19" s="1"/>
  <c r="L91" i="19"/>
  <c r="BF91" i="19" s="1"/>
  <c r="K91" i="19"/>
  <c r="J91" i="19"/>
  <c r="I91" i="19"/>
  <c r="H91" i="19"/>
  <c r="G91" i="19"/>
  <c r="G59" i="19" s="1"/>
  <c r="F91" i="19"/>
  <c r="F59" i="19" s="1"/>
  <c r="E91" i="19"/>
  <c r="E59" i="19" s="1"/>
  <c r="D91" i="19"/>
  <c r="D59" i="19" s="1"/>
  <c r="C91" i="19"/>
  <c r="B91" i="19"/>
  <c r="BP90" i="19"/>
  <c r="P90" i="19"/>
  <c r="BN90" i="19" s="1"/>
  <c r="O90" i="19"/>
  <c r="BL90" i="19" s="1"/>
  <c r="N90" i="19"/>
  <c r="BJ90" i="19" s="1"/>
  <c r="M90" i="19"/>
  <c r="BH90" i="19" s="1"/>
  <c r="L90" i="19"/>
  <c r="BF90" i="19" s="1"/>
  <c r="K90" i="19"/>
  <c r="J90" i="19"/>
  <c r="I90" i="19"/>
  <c r="I58" i="19" s="1"/>
  <c r="H90" i="19"/>
  <c r="H58" i="19" s="1"/>
  <c r="H42" i="19" s="1"/>
  <c r="G90" i="19"/>
  <c r="F90" i="19"/>
  <c r="F58" i="19" s="1"/>
  <c r="F42" i="19" s="1"/>
  <c r="E90" i="19"/>
  <c r="D90" i="19"/>
  <c r="C90" i="19"/>
  <c r="B90" i="19"/>
  <c r="BP89" i="19"/>
  <c r="P89" i="19"/>
  <c r="BN89" i="19" s="1"/>
  <c r="O89" i="19"/>
  <c r="BL89" i="19" s="1"/>
  <c r="N89" i="19"/>
  <c r="M89" i="19"/>
  <c r="L89" i="19"/>
  <c r="BF89" i="19" s="1"/>
  <c r="K89" i="19"/>
  <c r="J89" i="19"/>
  <c r="I89" i="19"/>
  <c r="H89" i="19"/>
  <c r="G89" i="19"/>
  <c r="F89" i="19"/>
  <c r="E89" i="19"/>
  <c r="D89" i="19"/>
  <c r="C89" i="19"/>
  <c r="B89" i="19"/>
  <c r="BP88" i="19"/>
  <c r="P88" i="19"/>
  <c r="BN88" i="19" s="1"/>
  <c r="O88" i="19"/>
  <c r="BL88" i="19" s="1"/>
  <c r="N88" i="19"/>
  <c r="BJ88" i="19" s="1"/>
  <c r="M88" i="19"/>
  <c r="BH88" i="19" s="1"/>
  <c r="L88" i="19"/>
  <c r="BF88" i="19" s="1"/>
  <c r="K88" i="19"/>
  <c r="K56" i="19" s="1"/>
  <c r="K40" i="19" s="1"/>
  <c r="J88" i="19"/>
  <c r="I88" i="19"/>
  <c r="H88" i="19"/>
  <c r="G88" i="19"/>
  <c r="F88" i="19"/>
  <c r="E88" i="19"/>
  <c r="D88" i="19"/>
  <c r="C88" i="19"/>
  <c r="B88" i="19"/>
  <c r="BP87" i="19"/>
  <c r="BN87" i="19"/>
  <c r="P87" i="19"/>
  <c r="O87" i="19"/>
  <c r="BL87" i="19" s="1"/>
  <c r="N87" i="19"/>
  <c r="BJ87" i="19" s="1"/>
  <c r="M87" i="19"/>
  <c r="BH87" i="19" s="1"/>
  <c r="L87" i="19"/>
  <c r="BF87" i="19" s="1"/>
  <c r="K87" i="19"/>
  <c r="J87" i="19"/>
  <c r="I87" i="19"/>
  <c r="H87" i="19"/>
  <c r="G87" i="19"/>
  <c r="F87" i="19"/>
  <c r="F93" i="19" s="1"/>
  <c r="F5" i="19" s="1"/>
  <c r="E87" i="19"/>
  <c r="D87" i="19"/>
  <c r="D55" i="19" s="1"/>
  <c r="C87" i="19"/>
  <c r="C55" i="19" s="1"/>
  <c r="B87" i="19"/>
  <c r="B55" i="19" s="1"/>
  <c r="BP86" i="19"/>
  <c r="BN86" i="19"/>
  <c r="BL86" i="19"/>
  <c r="P86" i="19"/>
  <c r="O86" i="19"/>
  <c r="N86" i="19"/>
  <c r="BJ86" i="19" s="1"/>
  <c r="M86" i="19"/>
  <c r="BH86" i="19" s="1"/>
  <c r="L86" i="19"/>
  <c r="BF86" i="19" s="1"/>
  <c r="K86" i="19"/>
  <c r="J86" i="19"/>
  <c r="J54" i="19" s="1"/>
  <c r="I86" i="19"/>
  <c r="I54" i="19" s="1"/>
  <c r="I38" i="19" s="1"/>
  <c r="H86" i="19"/>
  <c r="G86" i="19"/>
  <c r="F86" i="19"/>
  <c r="E86" i="19"/>
  <c r="E93" i="19" s="1"/>
  <c r="D86" i="19"/>
  <c r="D54" i="19" s="1"/>
  <c r="D38" i="19" s="1"/>
  <c r="C86" i="19"/>
  <c r="B86" i="19"/>
  <c r="BP85" i="19"/>
  <c r="BN85" i="19"/>
  <c r="BL85" i="19"/>
  <c r="BJ85" i="19"/>
  <c r="P85" i="19"/>
  <c r="O85" i="19"/>
  <c r="N85" i="19"/>
  <c r="M85" i="19"/>
  <c r="BH85" i="19" s="1"/>
  <c r="L85" i="19"/>
  <c r="BF85" i="19" s="1"/>
  <c r="K85" i="19"/>
  <c r="J85" i="19"/>
  <c r="I85" i="19"/>
  <c r="H85" i="19"/>
  <c r="G85" i="19"/>
  <c r="G93" i="19" s="1"/>
  <c r="G5" i="19" s="1"/>
  <c r="F85" i="19"/>
  <c r="E85" i="19"/>
  <c r="D85" i="19"/>
  <c r="C85" i="19"/>
  <c r="B85" i="19"/>
  <c r="BP84" i="19"/>
  <c r="BN84" i="19"/>
  <c r="BL84" i="19"/>
  <c r="BJ84" i="19"/>
  <c r="BH84" i="19"/>
  <c r="P84" i="19"/>
  <c r="O84" i="19"/>
  <c r="N84" i="19"/>
  <c r="M84" i="19"/>
  <c r="L84" i="19"/>
  <c r="BF84" i="19" s="1"/>
  <c r="K84" i="19"/>
  <c r="J84" i="19"/>
  <c r="I84" i="19"/>
  <c r="H84" i="19"/>
  <c r="G84" i="19"/>
  <c r="F84" i="19"/>
  <c r="E84" i="19"/>
  <c r="D84" i="19"/>
  <c r="C84" i="19"/>
  <c r="B84" i="19"/>
  <c r="BP83" i="19"/>
  <c r="BN83" i="19"/>
  <c r="BL83" i="19"/>
  <c r="BJ83" i="19"/>
  <c r="BH83" i="19"/>
  <c r="BF83" i="19"/>
  <c r="Q83" i="19"/>
  <c r="P83" i="19"/>
  <c r="O83" i="19"/>
  <c r="N83" i="19"/>
  <c r="M83" i="19"/>
  <c r="L83" i="19"/>
  <c r="K83" i="19"/>
  <c r="J83" i="19"/>
  <c r="I83" i="19"/>
  <c r="H83" i="19"/>
  <c r="G83" i="19"/>
  <c r="F83" i="19"/>
  <c r="E83" i="19"/>
  <c r="D83" i="19"/>
  <c r="C83" i="19"/>
  <c r="C51" i="19" s="1"/>
  <c r="B83" i="19"/>
  <c r="B51" i="19" s="1"/>
  <c r="B35" i="19" s="1"/>
  <c r="BP82" i="19"/>
  <c r="BN82" i="19"/>
  <c r="BL82" i="19"/>
  <c r="BJ82" i="19"/>
  <c r="BH82" i="19"/>
  <c r="BF82" i="19"/>
  <c r="Q82" i="19"/>
  <c r="P82" i="19"/>
  <c r="O82" i="19"/>
  <c r="N82" i="19"/>
  <c r="M82" i="19"/>
  <c r="L82" i="19"/>
  <c r="K82" i="19"/>
  <c r="J82" i="19"/>
  <c r="I82" i="19"/>
  <c r="H82" i="19"/>
  <c r="H50" i="19" s="1"/>
  <c r="G82" i="19"/>
  <c r="F82" i="19"/>
  <c r="F50" i="19" s="1"/>
  <c r="F34" i="19" s="1"/>
  <c r="E82" i="19"/>
  <c r="D82" i="19"/>
  <c r="C82" i="19"/>
  <c r="C50" i="19" s="1"/>
  <c r="B82" i="19"/>
  <c r="B50" i="19" s="1"/>
  <c r="B34" i="19" s="1"/>
  <c r="BP81" i="19"/>
  <c r="BN81" i="19"/>
  <c r="BL81" i="19"/>
  <c r="BJ81" i="19"/>
  <c r="BH81" i="19"/>
  <c r="BF81" i="19"/>
  <c r="Q81" i="19"/>
  <c r="P81" i="19"/>
  <c r="O81" i="19"/>
  <c r="N81" i="19"/>
  <c r="M81" i="19"/>
  <c r="M49" i="19" s="1"/>
  <c r="L81" i="19"/>
  <c r="K81" i="19"/>
  <c r="J81" i="19"/>
  <c r="I81" i="19"/>
  <c r="H81" i="19"/>
  <c r="H49" i="19" s="1"/>
  <c r="G81" i="19"/>
  <c r="G49" i="19" s="1"/>
  <c r="F81" i="19"/>
  <c r="F49" i="19" s="1"/>
  <c r="E81" i="19"/>
  <c r="D81" i="19"/>
  <c r="D93" i="19" s="1"/>
  <c r="D5" i="19" s="1"/>
  <c r="C81" i="19"/>
  <c r="B81" i="19"/>
  <c r="AQ80" i="19"/>
  <c r="AP80" i="19"/>
  <c r="AO80" i="19"/>
  <c r="AN80" i="19"/>
  <c r="AM80" i="19"/>
  <c r="AL80" i="19"/>
  <c r="AK80"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C80" i="19"/>
  <c r="B80" i="19"/>
  <c r="BN76" i="19"/>
  <c r="BL76" i="19"/>
  <c r="BJ76" i="19"/>
  <c r="P76" i="19"/>
  <c r="O76" i="19"/>
  <c r="N76" i="19"/>
  <c r="M76" i="19"/>
  <c r="L76" i="19"/>
  <c r="BF76" i="19" s="1"/>
  <c r="K76" i="19"/>
  <c r="J76" i="19"/>
  <c r="I76" i="19"/>
  <c r="I60" i="19" s="1"/>
  <c r="H76" i="19"/>
  <c r="H60" i="19" s="1"/>
  <c r="G76" i="19"/>
  <c r="G60" i="19" s="1"/>
  <c r="F76" i="19"/>
  <c r="F60" i="19" s="1"/>
  <c r="E76" i="19"/>
  <c r="E60" i="19" s="1"/>
  <c r="D76" i="19"/>
  <c r="C76" i="19"/>
  <c r="C60" i="19" s="1"/>
  <c r="B76" i="19"/>
  <c r="P75" i="19"/>
  <c r="BN75" i="19" s="1"/>
  <c r="O75" i="19"/>
  <c r="N75" i="19"/>
  <c r="M75" i="19"/>
  <c r="BH75" i="19" s="1"/>
  <c r="L75" i="19"/>
  <c r="BF75" i="19" s="1"/>
  <c r="K75" i="19"/>
  <c r="K59" i="19" s="1"/>
  <c r="K43" i="19" s="1"/>
  <c r="J75" i="19"/>
  <c r="I75" i="19"/>
  <c r="H75" i="19"/>
  <c r="G75" i="19"/>
  <c r="F75" i="19"/>
  <c r="E75" i="19"/>
  <c r="D75" i="19"/>
  <c r="C75" i="19"/>
  <c r="B75" i="19"/>
  <c r="B59" i="19" s="1"/>
  <c r="B43" i="19" s="1"/>
  <c r="BJ74" i="19"/>
  <c r="BH74" i="19"/>
  <c r="BF74" i="19"/>
  <c r="P74" i="19"/>
  <c r="O74" i="19"/>
  <c r="N74" i="19"/>
  <c r="M74" i="19"/>
  <c r="M58" i="19" s="1"/>
  <c r="L74" i="19"/>
  <c r="K74" i="19"/>
  <c r="J74" i="19"/>
  <c r="I74" i="19"/>
  <c r="H74" i="19"/>
  <c r="G74" i="19"/>
  <c r="G58" i="19" s="1"/>
  <c r="F74" i="19"/>
  <c r="E74" i="19"/>
  <c r="E58" i="19" s="1"/>
  <c r="D74" i="19"/>
  <c r="C74" i="19"/>
  <c r="B74" i="19"/>
  <c r="BN73" i="19"/>
  <c r="BL73" i="19"/>
  <c r="BJ73" i="19"/>
  <c r="BH73" i="19"/>
  <c r="BF73" i="19"/>
  <c r="P73" i="19"/>
  <c r="O73" i="19"/>
  <c r="N73" i="19"/>
  <c r="M73" i="19"/>
  <c r="L73" i="19"/>
  <c r="K73" i="19"/>
  <c r="J73" i="19"/>
  <c r="I73" i="19"/>
  <c r="H73" i="19"/>
  <c r="G73" i="19"/>
  <c r="G57" i="19" s="1"/>
  <c r="F73" i="19"/>
  <c r="F57" i="19" s="1"/>
  <c r="E73" i="19"/>
  <c r="E57" i="19" s="1"/>
  <c r="D73" i="19"/>
  <c r="D57" i="19" s="1"/>
  <c r="C73" i="19"/>
  <c r="B73" i="19"/>
  <c r="BN72" i="19"/>
  <c r="BL72" i="19"/>
  <c r="BF72" i="19"/>
  <c r="P72" i="19"/>
  <c r="O72" i="19"/>
  <c r="N72" i="19"/>
  <c r="M72" i="19"/>
  <c r="BH72" i="19" s="1"/>
  <c r="L72" i="19"/>
  <c r="K72" i="19"/>
  <c r="J72" i="19"/>
  <c r="I72" i="19"/>
  <c r="H72" i="19"/>
  <c r="G72" i="19"/>
  <c r="G56" i="19" s="1"/>
  <c r="G40" i="19" s="1"/>
  <c r="F72" i="19"/>
  <c r="E72" i="19"/>
  <c r="E56" i="19" s="1"/>
  <c r="D72" i="19"/>
  <c r="C72" i="19"/>
  <c r="B72" i="19"/>
  <c r="P71" i="19"/>
  <c r="BN71" i="19" s="1"/>
  <c r="O71" i="19"/>
  <c r="BL71" i="19" s="1"/>
  <c r="N71" i="19"/>
  <c r="BJ71" i="19" s="1"/>
  <c r="M71" i="19"/>
  <c r="L71" i="19"/>
  <c r="BF71" i="19" s="1"/>
  <c r="K71" i="19"/>
  <c r="J71" i="19"/>
  <c r="J55" i="19" s="1"/>
  <c r="I71" i="19"/>
  <c r="H71" i="19"/>
  <c r="G71" i="19"/>
  <c r="F71" i="19"/>
  <c r="E71" i="19"/>
  <c r="D71" i="19"/>
  <c r="C71" i="19"/>
  <c r="B71" i="19"/>
  <c r="BH70" i="19"/>
  <c r="P70" i="19"/>
  <c r="BN70" i="19" s="1"/>
  <c r="O70" i="19"/>
  <c r="BL70" i="19" s="1"/>
  <c r="N70" i="19"/>
  <c r="BJ70" i="19" s="1"/>
  <c r="M70" i="19"/>
  <c r="M54" i="19" s="1"/>
  <c r="L70" i="19"/>
  <c r="L54" i="19" s="1"/>
  <c r="K70" i="19"/>
  <c r="K54" i="19" s="1"/>
  <c r="J70" i="19"/>
  <c r="I70" i="19"/>
  <c r="H70" i="19"/>
  <c r="G70" i="19"/>
  <c r="F70" i="19"/>
  <c r="E70" i="19"/>
  <c r="D70" i="19"/>
  <c r="C70" i="19"/>
  <c r="B70" i="19"/>
  <c r="BL69" i="19"/>
  <c r="BJ69" i="19"/>
  <c r="BH69" i="19"/>
  <c r="BF69" i="19"/>
  <c r="P69" i="19"/>
  <c r="O69" i="19"/>
  <c r="N69" i="19"/>
  <c r="M69" i="19"/>
  <c r="L69" i="19"/>
  <c r="K69" i="19"/>
  <c r="J69" i="19"/>
  <c r="I69" i="19"/>
  <c r="H69" i="19"/>
  <c r="G69" i="19"/>
  <c r="F69" i="19"/>
  <c r="E69" i="19"/>
  <c r="D69" i="19"/>
  <c r="C69" i="19"/>
  <c r="B69" i="19"/>
  <c r="BN68" i="19"/>
  <c r="BL68" i="19"/>
  <c r="BJ68" i="19"/>
  <c r="BH68" i="19"/>
  <c r="P68" i="19"/>
  <c r="P52" i="19" s="1"/>
  <c r="O68" i="19"/>
  <c r="N68" i="19"/>
  <c r="M68" i="19"/>
  <c r="L68" i="19"/>
  <c r="BF68" i="19" s="1"/>
  <c r="K68" i="19"/>
  <c r="K52" i="19" s="1"/>
  <c r="J68" i="19"/>
  <c r="J52" i="19" s="1"/>
  <c r="I68" i="19"/>
  <c r="H68" i="19"/>
  <c r="G68" i="19"/>
  <c r="F68" i="19"/>
  <c r="E68" i="19"/>
  <c r="E52" i="19" s="1"/>
  <c r="D68" i="19"/>
  <c r="D52" i="19" s="1"/>
  <c r="C68" i="19"/>
  <c r="B68" i="19"/>
  <c r="B52" i="19" s="1"/>
  <c r="BP67" i="19"/>
  <c r="BN67" i="19"/>
  <c r="BL67" i="19"/>
  <c r="Q67" i="19"/>
  <c r="Q51" i="19" s="1"/>
  <c r="BP51" i="19" s="1"/>
  <c r="P67" i="19"/>
  <c r="P51" i="19" s="1"/>
  <c r="O67" i="19"/>
  <c r="O51" i="19" s="1"/>
  <c r="N67" i="19"/>
  <c r="BJ67" i="19" s="1"/>
  <c r="M67" i="19"/>
  <c r="BH67" i="19" s="1"/>
  <c r="L67" i="19"/>
  <c r="BF67" i="19" s="1"/>
  <c r="K67" i="19"/>
  <c r="J67" i="19"/>
  <c r="J51" i="19" s="1"/>
  <c r="I67" i="19"/>
  <c r="H67" i="19"/>
  <c r="G67" i="19"/>
  <c r="F67" i="19"/>
  <c r="E67" i="19"/>
  <c r="D67" i="19"/>
  <c r="C67" i="19"/>
  <c r="B67" i="19"/>
  <c r="Q66" i="19"/>
  <c r="BP66" i="19" s="1"/>
  <c r="P66" i="19"/>
  <c r="O66" i="19"/>
  <c r="N66" i="19"/>
  <c r="M66" i="19"/>
  <c r="BH66" i="19" s="1"/>
  <c r="L66" i="19"/>
  <c r="K66" i="19"/>
  <c r="J66" i="19"/>
  <c r="I66" i="19"/>
  <c r="H66" i="19"/>
  <c r="G66" i="19"/>
  <c r="F66" i="19"/>
  <c r="E66" i="19"/>
  <c r="D66" i="19"/>
  <c r="C66" i="19"/>
  <c r="B66" i="19"/>
  <c r="BH65" i="19"/>
  <c r="BF65" i="19"/>
  <c r="Q65" i="19"/>
  <c r="P65" i="19"/>
  <c r="O65" i="19"/>
  <c r="N65" i="19"/>
  <c r="M65" i="19"/>
  <c r="L65" i="19"/>
  <c r="K65" i="19"/>
  <c r="J65" i="19"/>
  <c r="I65" i="19"/>
  <c r="H65" i="19"/>
  <c r="G65" i="19"/>
  <c r="F65" i="19"/>
  <c r="E65" i="19"/>
  <c r="D65" i="19"/>
  <c r="D49" i="19" s="1"/>
  <c r="C65" i="19"/>
  <c r="C49" i="19" s="1"/>
  <c r="B65" i="19"/>
  <c r="AQ64" i="19"/>
  <c r="AP64" i="19"/>
  <c r="AO64" i="19"/>
  <c r="AN64" i="19"/>
  <c r="AM64" i="19"/>
  <c r="AL64" i="19"/>
  <c r="AK64" i="19"/>
  <c r="AJ64" i="19"/>
  <c r="AI64" i="19"/>
  <c r="AH64" i="19"/>
  <c r="AG64" i="19"/>
  <c r="AF64" i="19"/>
  <c r="AE64" i="19"/>
  <c r="AD64" i="19"/>
  <c r="AC64" i="19"/>
  <c r="AB64" i="19"/>
  <c r="AA64" i="19"/>
  <c r="Z64" i="19"/>
  <c r="Y64" i="19"/>
  <c r="X64" i="19"/>
  <c r="W64" i="19"/>
  <c r="V64" i="19"/>
  <c r="U64" i="19"/>
  <c r="T64" i="19"/>
  <c r="S64" i="19"/>
  <c r="R64" i="19"/>
  <c r="Q64" i="19"/>
  <c r="P64" i="19"/>
  <c r="O64" i="19"/>
  <c r="N64" i="19"/>
  <c r="M64" i="19"/>
  <c r="L64" i="19"/>
  <c r="K64" i="19"/>
  <c r="J64" i="19"/>
  <c r="I64" i="19"/>
  <c r="H64" i="19"/>
  <c r="G64" i="19"/>
  <c r="F64" i="19"/>
  <c r="E64" i="19"/>
  <c r="D64" i="19"/>
  <c r="C64" i="19"/>
  <c r="B64" i="19"/>
  <c r="P60" i="19"/>
  <c r="N60" i="19"/>
  <c r="L60" i="19"/>
  <c r="K60" i="19"/>
  <c r="B60" i="19"/>
  <c r="M59" i="19"/>
  <c r="L59" i="19"/>
  <c r="N58" i="19"/>
  <c r="L58" i="19"/>
  <c r="K58" i="19"/>
  <c r="J58" i="19"/>
  <c r="P57" i="19"/>
  <c r="O57" i="19"/>
  <c r="L57" i="19"/>
  <c r="K57" i="19"/>
  <c r="J57" i="19"/>
  <c r="I57" i="19"/>
  <c r="H57" i="19"/>
  <c r="P56" i="19"/>
  <c r="O56" i="19"/>
  <c r="M56" i="19"/>
  <c r="J56" i="19"/>
  <c r="I56" i="19"/>
  <c r="H56" i="19"/>
  <c r="F56" i="19"/>
  <c r="P55" i="19"/>
  <c r="O55" i="19"/>
  <c r="O39" i="19" s="1"/>
  <c r="L55" i="19"/>
  <c r="K55" i="19"/>
  <c r="I55" i="19"/>
  <c r="I39" i="19" s="1"/>
  <c r="H55" i="19"/>
  <c r="H39" i="19" s="1"/>
  <c r="G55" i="19"/>
  <c r="G39" i="19" s="1"/>
  <c r="F55" i="19"/>
  <c r="F39" i="19" s="1"/>
  <c r="E55" i="19"/>
  <c r="P54" i="19"/>
  <c r="O54" i="19"/>
  <c r="N54" i="19"/>
  <c r="H54" i="19"/>
  <c r="G54" i="19"/>
  <c r="F54" i="19"/>
  <c r="E54" i="19"/>
  <c r="O53" i="19"/>
  <c r="N53" i="19"/>
  <c r="M53" i="19"/>
  <c r="L53" i="19"/>
  <c r="K53" i="19"/>
  <c r="K37" i="19" s="1"/>
  <c r="J53" i="19"/>
  <c r="I53" i="19"/>
  <c r="H53" i="19"/>
  <c r="G53" i="19"/>
  <c r="G37" i="19" s="1"/>
  <c r="F53" i="19"/>
  <c r="E53" i="19"/>
  <c r="C53" i="19"/>
  <c r="O52" i="19"/>
  <c r="N52" i="19"/>
  <c r="M52" i="19"/>
  <c r="L52" i="19"/>
  <c r="I52" i="19"/>
  <c r="H52" i="19"/>
  <c r="G52" i="19"/>
  <c r="F52" i="19"/>
  <c r="C52" i="19"/>
  <c r="C36" i="19" s="1"/>
  <c r="N51" i="19"/>
  <c r="M51" i="19"/>
  <c r="L51" i="19"/>
  <c r="BP50" i="19"/>
  <c r="Q50" i="19"/>
  <c r="M50" i="19"/>
  <c r="M34" i="19" s="1"/>
  <c r="BH34" i="19" s="1"/>
  <c r="L50" i="19"/>
  <c r="K50" i="19"/>
  <c r="G50" i="19"/>
  <c r="E50" i="19"/>
  <c r="D50" i="19"/>
  <c r="L49" i="19"/>
  <c r="K49" i="19"/>
  <c r="J49" i="19"/>
  <c r="I49" i="19"/>
  <c r="E49" i="19"/>
  <c r="AQ48" i="19"/>
  <c r="AP48" i="19"/>
  <c r="AO48" i="19"/>
  <c r="AN48" i="19"/>
  <c r="AM48" i="19"/>
  <c r="AL48" i="19"/>
  <c r="AK48" i="19"/>
  <c r="AJ48" i="19"/>
  <c r="AI48" i="19"/>
  <c r="AH48" i="19"/>
  <c r="AG48" i="19"/>
  <c r="AF48" i="19"/>
  <c r="AE48" i="19"/>
  <c r="AD48" i="19"/>
  <c r="AC48" i="19"/>
  <c r="AB48" i="19"/>
  <c r="AA48" i="19"/>
  <c r="Z48" i="19"/>
  <c r="Y48" i="19"/>
  <c r="X48" i="19"/>
  <c r="W48" i="19"/>
  <c r="V48" i="19"/>
  <c r="U48" i="19"/>
  <c r="T48" i="19"/>
  <c r="S48" i="19"/>
  <c r="R48" i="19"/>
  <c r="Q48" i="19"/>
  <c r="P48" i="19"/>
  <c r="O48" i="19"/>
  <c r="N48" i="19"/>
  <c r="M48" i="19"/>
  <c r="L48" i="19"/>
  <c r="K48" i="19"/>
  <c r="J48" i="19"/>
  <c r="I48" i="19"/>
  <c r="H48" i="19"/>
  <c r="G48" i="19"/>
  <c r="F48" i="19"/>
  <c r="E48" i="19"/>
  <c r="D48" i="19"/>
  <c r="C48" i="19"/>
  <c r="B48" i="19"/>
  <c r="N42" i="19"/>
  <c r="BJ42" i="19" s="1"/>
  <c r="L42" i="19"/>
  <c r="BF42" i="19" s="1"/>
  <c r="I40" i="19"/>
  <c r="I36" i="19"/>
  <c r="AQ32" i="19"/>
  <c r="AP32" i="19"/>
  <c r="AO32" i="19"/>
  <c r="AN32" i="19"/>
  <c r="AM32" i="19"/>
  <c r="AL32" i="19"/>
  <c r="AK32" i="19"/>
  <c r="AJ32" i="19"/>
  <c r="AI32" i="19"/>
  <c r="AH32" i="19"/>
  <c r="AG32" i="19"/>
  <c r="AF32" i="19"/>
  <c r="AE32" i="19"/>
  <c r="AD32" i="19"/>
  <c r="AC32" i="19"/>
  <c r="AB32" i="19"/>
  <c r="AA32" i="19"/>
  <c r="Z32" i="19"/>
  <c r="Y32" i="19"/>
  <c r="X32" i="19"/>
  <c r="W32" i="19"/>
  <c r="V32" i="19"/>
  <c r="U32" i="19"/>
  <c r="T32" i="19"/>
  <c r="S32" i="19"/>
  <c r="R32" i="19"/>
  <c r="Q32" i="19"/>
  <c r="P32" i="19"/>
  <c r="O32" i="19"/>
  <c r="N32" i="19"/>
  <c r="M32" i="19"/>
  <c r="L32" i="19"/>
  <c r="K32" i="19"/>
  <c r="J32" i="19"/>
  <c r="I32" i="19"/>
  <c r="H32" i="19"/>
  <c r="G32" i="19"/>
  <c r="F32" i="19"/>
  <c r="E32" i="19"/>
  <c r="D32" i="19"/>
  <c r="C32" i="19"/>
  <c r="B32" i="19"/>
  <c r="T29" i="19"/>
  <c r="S29" i="19"/>
  <c r="O29" i="19"/>
  <c r="N29" i="19"/>
  <c r="M29" i="19"/>
  <c r="L29" i="19"/>
  <c r="K29" i="19"/>
  <c r="J29" i="19"/>
  <c r="I29" i="19"/>
  <c r="H29" i="19"/>
  <c r="G29" i="19"/>
  <c r="AL28" i="19"/>
  <c r="P28" i="19"/>
  <c r="M28" i="19"/>
  <c r="AJ28" i="19"/>
  <c r="N28" i="19"/>
  <c r="I28" i="19"/>
  <c r="AN28" i="19"/>
  <c r="AM28" i="19"/>
  <c r="AK28" i="19"/>
  <c r="R28" i="19"/>
  <c r="Q28" i="19"/>
  <c r="AQ22" i="19"/>
  <c r="AP22" i="19"/>
  <c r="AO22" i="19"/>
  <c r="AN22" i="19"/>
  <c r="AM22" i="19"/>
  <c r="AL22" i="19"/>
  <c r="AJ22" i="19"/>
  <c r="AI22" i="19"/>
  <c r="AH22" i="19"/>
  <c r="AG22" i="19"/>
  <c r="AF22" i="19"/>
  <c r="AE22" i="19"/>
  <c r="AD22" i="19"/>
  <c r="AC22" i="19"/>
  <c r="AB22" i="19"/>
  <c r="AA22" i="19"/>
  <c r="Z22" i="19"/>
  <c r="Y22" i="19"/>
  <c r="X22" i="19"/>
  <c r="W22" i="19"/>
  <c r="V22" i="19"/>
  <c r="U22" i="19"/>
  <c r="T22" i="19"/>
  <c r="S22" i="19"/>
  <c r="R22" i="19"/>
  <c r="G22" i="19"/>
  <c r="D22" i="19"/>
  <c r="B22" i="19"/>
  <c r="BP21" i="19"/>
  <c r="AQ21" i="19"/>
  <c r="AQ349" i="19" s="1"/>
  <c r="AP21" i="19"/>
  <c r="AP349" i="19" s="1"/>
  <c r="AO21" i="19"/>
  <c r="AO349" i="19" s="1"/>
  <c r="AN21" i="19"/>
  <c r="AN349" i="19" s="1"/>
  <c r="AM21" i="19"/>
  <c r="AM349" i="19" s="1"/>
  <c r="AL21" i="19"/>
  <c r="AL349" i="19" s="1"/>
  <c r="AK21" i="19"/>
  <c r="AK349" i="19" s="1"/>
  <c r="AJ21" i="19"/>
  <c r="AJ349" i="19" s="1"/>
  <c r="AI21" i="19"/>
  <c r="AI349" i="19" s="1"/>
  <c r="AH21" i="19"/>
  <c r="AH349" i="19" s="1"/>
  <c r="AG21" i="19"/>
  <c r="AF21" i="19"/>
  <c r="AE21" i="19"/>
  <c r="AD21" i="19"/>
  <c r="AD349" i="19" s="1"/>
  <c r="AC21" i="19"/>
  <c r="AC349" i="19" s="1"/>
  <c r="AB21" i="19"/>
  <c r="AB349" i="19" s="1"/>
  <c r="AA21" i="19"/>
  <c r="AA349" i="19" s="1"/>
  <c r="Z21" i="19"/>
  <c r="Z349" i="19" s="1"/>
  <c r="Y21" i="19"/>
  <c r="Y349" i="19" s="1"/>
  <c r="X21" i="19"/>
  <c r="X349" i="19" s="1"/>
  <c r="W21" i="19"/>
  <c r="W349" i="19" s="1"/>
  <c r="V21" i="19"/>
  <c r="V349" i="19" s="1"/>
  <c r="U21" i="19"/>
  <c r="U349" i="19" s="1"/>
  <c r="T21" i="19"/>
  <c r="T349" i="19" s="1"/>
  <c r="S21" i="19"/>
  <c r="S349" i="19" s="1"/>
  <c r="R21" i="19"/>
  <c r="R349" i="19" s="1"/>
  <c r="Q21" i="19"/>
  <c r="Q349" i="19" s="1"/>
  <c r="G21" i="19"/>
  <c r="F21" i="19"/>
  <c r="C21" i="19"/>
  <c r="B21" i="19"/>
  <c r="BP20" i="19"/>
  <c r="AP19" i="19"/>
  <c r="AG19" i="19"/>
  <c r="AE19" i="19"/>
  <c r="Z19" i="19"/>
  <c r="H19" i="19"/>
  <c r="D19" i="19"/>
  <c r="AG18" i="19"/>
  <c r="AF18" i="19"/>
  <c r="AE18" i="19"/>
  <c r="AD18" i="19"/>
  <c r="Y18" i="19"/>
  <c r="I18" i="19"/>
  <c r="H18" i="19"/>
  <c r="C18" i="19"/>
  <c r="N17" i="19"/>
  <c r="AQ15" i="19"/>
  <c r="AP15" i="19"/>
  <c r="AO15" i="19"/>
  <c r="AN15" i="19"/>
  <c r="AM15" i="19"/>
  <c r="AL15" i="19"/>
  <c r="AK15" i="19"/>
  <c r="AJ15" i="19"/>
  <c r="AI15" i="19"/>
  <c r="AH15" i="19"/>
  <c r="AG15" i="19"/>
  <c r="AF15" i="19"/>
  <c r="AC15" i="19"/>
  <c r="AB15" i="19"/>
  <c r="Z15" i="19"/>
  <c r="Y15" i="19"/>
  <c r="X15" i="19"/>
  <c r="W15" i="19"/>
  <c r="V15" i="19"/>
  <c r="U15" i="19"/>
  <c r="T15" i="19"/>
  <c r="S15" i="19"/>
  <c r="R15" i="19"/>
  <c r="Q15" i="19"/>
  <c r="N15" i="19"/>
  <c r="BJ15" i="19" s="1"/>
  <c r="AQ14" i="19"/>
  <c r="AP14" i="19"/>
  <c r="AO14" i="19"/>
  <c r="AN14" i="19"/>
  <c r="AM14" i="19"/>
  <c r="AL14" i="19"/>
  <c r="AK14" i="19"/>
  <c r="AJ14" i="19"/>
  <c r="AI14" i="19"/>
  <c r="AH14" i="19"/>
  <c r="AG14" i="19"/>
  <c r="AF14" i="19"/>
  <c r="AC14" i="19"/>
  <c r="AB14" i="19"/>
  <c r="AA14" i="19"/>
  <c r="Z14" i="19"/>
  <c r="Y14" i="19"/>
  <c r="X14" i="19"/>
  <c r="W14" i="19"/>
  <c r="V14" i="19"/>
  <c r="U14" i="19"/>
  <c r="T14" i="19"/>
  <c r="S14" i="19"/>
  <c r="R14" i="19"/>
  <c r="Q14" i="19"/>
  <c r="BP14" i="19" s="1"/>
  <c r="H14" i="19"/>
  <c r="G14" i="19"/>
  <c r="B14" i="19"/>
  <c r="BN13" i="19"/>
  <c r="BH13" i="19"/>
  <c r="P13" i="19"/>
  <c r="M13" i="19"/>
  <c r="H13" i="19"/>
  <c r="AQ11" i="19"/>
  <c r="AP11" i="19"/>
  <c r="AO11" i="19"/>
  <c r="AK11" i="19"/>
  <c r="AJ11" i="19"/>
  <c r="AI11" i="19"/>
  <c r="AH11" i="19"/>
  <c r="AG11" i="19"/>
  <c r="AF11" i="19"/>
  <c r="AE11" i="19"/>
  <c r="AD11" i="19"/>
  <c r="AD9" i="19" s="1"/>
  <c r="AC11" i="19"/>
  <c r="AC9" i="19" s="1"/>
  <c r="AB11" i="19"/>
  <c r="AB9" i="19" s="1"/>
  <c r="Y11" i="19"/>
  <c r="X11" i="19"/>
  <c r="W11" i="19"/>
  <c r="U11" i="19"/>
  <c r="T11" i="19"/>
  <c r="S11" i="19"/>
  <c r="AQ10" i="19"/>
  <c r="AP10" i="19"/>
  <c r="AP9" i="19" s="1"/>
  <c r="AM10" i="19"/>
  <c r="AL10" i="19"/>
  <c r="AL9" i="19" s="1"/>
  <c r="AK10" i="19"/>
  <c r="AJ10" i="19"/>
  <c r="AJ9" i="19" s="1"/>
  <c r="AI10" i="19"/>
  <c r="AI9" i="19" s="1"/>
  <c r="AH10" i="19"/>
  <c r="AG10" i="19"/>
  <c r="AG9" i="19" s="1"/>
  <c r="AF10" i="19"/>
  <c r="AD10" i="19"/>
  <c r="AC10" i="19"/>
  <c r="AB10" i="19"/>
  <c r="AA10" i="19"/>
  <c r="Z10" i="19"/>
  <c r="Y10" i="19"/>
  <c r="X10" i="19"/>
  <c r="W10" i="19"/>
  <c r="W9" i="19" s="1"/>
  <c r="V10" i="19"/>
  <c r="V9" i="19" s="1"/>
  <c r="U10" i="19"/>
  <c r="T10" i="19"/>
  <c r="AQ9" i="19"/>
  <c r="AO9" i="19"/>
  <c r="AK9" i="19"/>
  <c r="AA9" i="19"/>
  <c r="Z9" i="19"/>
  <c r="Y9" i="19"/>
  <c r="X9" i="19"/>
  <c r="U9" i="19"/>
  <c r="T9" i="19"/>
  <c r="BP8" i="19"/>
  <c r="AC5" i="19"/>
  <c r="AB5" i="19"/>
  <c r="AA5" i="19"/>
  <c r="Z5" i="19"/>
  <c r="Y5" i="19"/>
  <c r="X5" i="19"/>
  <c r="W5" i="19"/>
  <c r="V5" i="19"/>
  <c r="U5" i="19"/>
  <c r="T5" i="19"/>
  <c r="S5" i="19"/>
  <c r="Q5" i="19"/>
  <c r="BP5" i="19" s="1"/>
  <c r="E5" i="19"/>
  <c r="AR186" i="18"/>
  <c r="AE186" i="18"/>
  <c r="N186" i="18" s="1"/>
  <c r="AB186" i="18"/>
  <c r="X186" i="18"/>
  <c r="V186" i="18"/>
  <c r="S186" i="18"/>
  <c r="P186" i="18"/>
  <c r="M186" i="18"/>
  <c r="J186" i="18"/>
  <c r="E186" i="18"/>
  <c r="D186" i="18"/>
  <c r="AV185" i="18"/>
  <c r="AU185" i="18"/>
  <c r="AU186" i="18" s="1"/>
  <c r="AQ185" i="18"/>
  <c r="AP185" i="18"/>
  <c r="AP186" i="18" s="1"/>
  <c r="AQ186" i="18" s="1"/>
  <c r="AO185" i="18"/>
  <c r="AO186" i="18" s="1"/>
  <c r="AM185" i="18"/>
  <c r="AM186" i="18" s="1"/>
  <c r="AJ185" i="18"/>
  <c r="AJ186" i="18" s="1"/>
  <c r="AE185" i="18"/>
  <c r="N185" i="18" s="1"/>
  <c r="P185" i="18" s="1"/>
  <c r="AB185" i="18"/>
  <c r="X185" i="18"/>
  <c r="V185" i="18"/>
  <c r="S185" i="18"/>
  <c r="M185" i="18"/>
  <c r="J185" i="18"/>
  <c r="E185" i="18"/>
  <c r="D185" i="18"/>
  <c r="BB184" i="18"/>
  <c r="AZ184" i="18"/>
  <c r="AY184" i="18"/>
  <c r="AY185" i="18" s="1"/>
  <c r="AY186" i="18" s="1"/>
  <c r="AX184" i="18"/>
  <c r="AX185" i="18" s="1"/>
  <c r="AV184" i="18"/>
  <c r="AW184" i="18" s="1"/>
  <c r="AU184" i="18"/>
  <c r="AS184" i="18"/>
  <c r="AR184" i="18"/>
  <c r="AR185" i="18" s="1"/>
  <c r="AP184" i="18"/>
  <c r="AQ184" i="18" s="1"/>
  <c r="AO184" i="18"/>
  <c r="AM184" i="18"/>
  <c r="AL184" i="18"/>
  <c r="AL185" i="18" s="1"/>
  <c r="AL186" i="18" s="1"/>
  <c r="AJ184" i="18"/>
  <c r="AH184" i="18"/>
  <c r="AG184" i="18"/>
  <c r="AG185" i="18" s="1"/>
  <c r="AF184" i="18"/>
  <c r="AF185" i="18" s="1"/>
  <c r="AE184" i="18"/>
  <c r="N184" i="18" s="1"/>
  <c r="P184" i="18" s="1"/>
  <c r="AB184" i="18"/>
  <c r="X184" i="18"/>
  <c r="V184" i="18"/>
  <c r="S184" i="18"/>
  <c r="M184" i="18"/>
  <c r="J184" i="18"/>
  <c r="E184" i="18"/>
  <c r="D184" i="18"/>
  <c r="AE183" i="18"/>
  <c r="N183" i="18" s="1"/>
  <c r="P183" i="18" s="1"/>
  <c r="AB183" i="18"/>
  <c r="E183" i="18" s="1"/>
  <c r="X183" i="18"/>
  <c r="V183" i="18"/>
  <c r="S183" i="18"/>
  <c r="M183" i="18"/>
  <c r="J183" i="18"/>
  <c r="D183" i="18"/>
  <c r="AE182" i="18"/>
  <c r="N182" i="18" s="1"/>
  <c r="P182" i="18" s="1"/>
  <c r="AB182" i="18"/>
  <c r="E182" i="18" s="1"/>
  <c r="G182" i="18" s="1"/>
  <c r="X182" i="18"/>
  <c r="W182" i="18"/>
  <c r="V182" i="18"/>
  <c r="S182" i="18"/>
  <c r="M182" i="18"/>
  <c r="J182" i="18"/>
  <c r="D182" i="18"/>
  <c r="AE181" i="18"/>
  <c r="AB181" i="18"/>
  <c r="X181" i="18"/>
  <c r="V181" i="18"/>
  <c r="S181" i="18"/>
  <c r="N181" i="18"/>
  <c r="M181" i="18"/>
  <c r="J181" i="18"/>
  <c r="E181" i="18"/>
  <c r="G181" i="18" s="1"/>
  <c r="D181" i="18"/>
  <c r="AL180" i="18"/>
  <c r="AL181" i="18" s="1"/>
  <c r="AL182" i="18" s="1"/>
  <c r="AL183" i="18" s="1"/>
  <c r="AE180" i="18"/>
  <c r="AB180" i="18"/>
  <c r="X180" i="18"/>
  <c r="V180" i="18"/>
  <c r="S180" i="18"/>
  <c r="N180" i="18"/>
  <c r="P180" i="18" s="1"/>
  <c r="M180" i="18"/>
  <c r="J180" i="18"/>
  <c r="E180" i="18"/>
  <c r="W180" i="18" s="1"/>
  <c r="D180" i="18"/>
  <c r="AY179" i="18"/>
  <c r="AY180" i="18" s="1"/>
  <c r="AY181" i="18" s="1"/>
  <c r="AY182" i="18" s="1"/>
  <c r="AY183" i="18" s="1"/>
  <c r="AE179" i="18"/>
  <c r="N179" i="18" s="1"/>
  <c r="P179" i="18" s="1"/>
  <c r="AB179" i="18"/>
  <c r="X179" i="18"/>
  <c r="V179" i="18"/>
  <c r="S179" i="18"/>
  <c r="M179" i="18"/>
  <c r="J179" i="18"/>
  <c r="E179" i="18"/>
  <c r="D179" i="18"/>
  <c r="AU178" i="18"/>
  <c r="AU179" i="18" s="1"/>
  <c r="AU180" i="18" s="1"/>
  <c r="AU181" i="18" s="1"/>
  <c r="AU182" i="18" s="1"/>
  <c r="AU183" i="18" s="1"/>
  <c r="AE178" i="18"/>
  <c r="AB178" i="18"/>
  <c r="E178" i="18" s="1"/>
  <c r="G178" i="18" s="1"/>
  <c r="X178" i="18"/>
  <c r="V178" i="18"/>
  <c r="S178" i="18"/>
  <c r="N178" i="18"/>
  <c r="P178" i="18" s="1"/>
  <c r="M178" i="18"/>
  <c r="J178" i="18"/>
  <c r="D178" i="18"/>
  <c r="AE177" i="18"/>
  <c r="N177" i="18" s="1"/>
  <c r="P177" i="18" s="1"/>
  <c r="AB177" i="18"/>
  <c r="X177" i="18"/>
  <c r="V177" i="18"/>
  <c r="S177" i="18"/>
  <c r="M177" i="18"/>
  <c r="J177" i="18"/>
  <c r="E177" i="18"/>
  <c r="D177" i="18"/>
  <c r="AO176" i="18"/>
  <c r="AO177" i="18" s="1"/>
  <c r="AO178" i="18" s="1"/>
  <c r="AO179" i="18" s="1"/>
  <c r="AO180" i="18" s="1"/>
  <c r="AO181" i="18" s="1"/>
  <c r="AO182" i="18" s="1"/>
  <c r="AO183" i="18" s="1"/>
  <c r="AL176" i="18"/>
  <c r="AL177" i="18" s="1"/>
  <c r="AL178" i="18" s="1"/>
  <c r="AL179" i="18" s="1"/>
  <c r="AJ176" i="18"/>
  <c r="AJ177" i="18" s="1"/>
  <c r="AE176" i="18"/>
  <c r="AB176" i="18"/>
  <c r="X176" i="18"/>
  <c r="V176" i="18"/>
  <c r="S176" i="18"/>
  <c r="N176" i="18"/>
  <c r="P176" i="18" s="1"/>
  <c r="M176" i="18"/>
  <c r="J176" i="18"/>
  <c r="E176" i="18"/>
  <c r="D176" i="18"/>
  <c r="AO175" i="18"/>
  <c r="AE175" i="18"/>
  <c r="N175" i="18" s="1"/>
  <c r="P175" i="18" s="1"/>
  <c r="AB175" i="18"/>
  <c r="E175" i="18" s="1"/>
  <c r="X175" i="18"/>
  <c r="V175" i="18"/>
  <c r="S175" i="18"/>
  <c r="M175" i="18"/>
  <c r="J175" i="18"/>
  <c r="D175" i="18"/>
  <c r="AJ174" i="18"/>
  <c r="AJ175" i="18" s="1"/>
  <c r="AE174" i="18"/>
  <c r="N174" i="18" s="1"/>
  <c r="P174" i="18" s="1"/>
  <c r="AB174" i="18"/>
  <c r="E174" i="18" s="1"/>
  <c r="X174" i="18"/>
  <c r="V174" i="18"/>
  <c r="S174" i="18"/>
  <c r="M174" i="18"/>
  <c r="J174" i="18"/>
  <c r="D174" i="18"/>
  <c r="AU173" i="18"/>
  <c r="AU174" i="18" s="1"/>
  <c r="AU175" i="18" s="1"/>
  <c r="AU176" i="18" s="1"/>
  <c r="AU177" i="18" s="1"/>
  <c r="AS173" i="18"/>
  <c r="AS174" i="18" s="1"/>
  <c r="AP173" i="18"/>
  <c r="AQ173" i="18" s="1"/>
  <c r="AG173" i="18"/>
  <c r="AE173" i="18"/>
  <c r="AB173" i="18"/>
  <c r="E173" i="18" s="1"/>
  <c r="G173" i="18" s="1"/>
  <c r="X173" i="18"/>
  <c r="W173" i="18"/>
  <c r="V173" i="18"/>
  <c r="S173" i="18"/>
  <c r="N173" i="18"/>
  <c r="P173" i="18" s="1"/>
  <c r="M173" i="18"/>
  <c r="J173" i="18"/>
  <c r="D173" i="18"/>
  <c r="AY172" i="18"/>
  <c r="AY173" i="18" s="1"/>
  <c r="AY174" i="18" s="1"/>
  <c r="AY175" i="18" s="1"/>
  <c r="AY176" i="18" s="1"/>
  <c r="AY177" i="18" s="1"/>
  <c r="AY178" i="18" s="1"/>
  <c r="AX172" i="18"/>
  <c r="AV172" i="18"/>
  <c r="AU172" i="18"/>
  <c r="AS172" i="18"/>
  <c r="AR172" i="18"/>
  <c r="AR173" i="18" s="1"/>
  <c r="AQ172" i="18"/>
  <c r="AP172" i="18"/>
  <c r="AO172" i="18"/>
  <c r="AO173" i="18" s="1"/>
  <c r="AO174" i="18" s="1"/>
  <c r="AM172" i="18"/>
  <c r="AM173" i="18" s="1"/>
  <c r="AL172" i="18"/>
  <c r="AL173" i="18" s="1"/>
  <c r="AL174" i="18" s="1"/>
  <c r="AL175" i="18" s="1"/>
  <c r="AJ172" i="18"/>
  <c r="AJ173" i="18" s="1"/>
  <c r="AG172" i="18"/>
  <c r="AH172" i="18" s="1"/>
  <c r="AF172" i="18"/>
  <c r="AE172" i="18"/>
  <c r="AB172" i="18"/>
  <c r="X172" i="18"/>
  <c r="V172" i="18"/>
  <c r="S172" i="18"/>
  <c r="N172" i="18"/>
  <c r="P172" i="18" s="1"/>
  <c r="M172" i="18"/>
  <c r="J172" i="18"/>
  <c r="G172" i="18"/>
  <c r="E172" i="18"/>
  <c r="D172" i="18"/>
  <c r="AE171" i="18"/>
  <c r="AB171" i="18"/>
  <c r="X171" i="18"/>
  <c r="Y171" i="18" s="1"/>
  <c r="W171" i="18"/>
  <c r="V171" i="18"/>
  <c r="S171" i="18"/>
  <c r="N171" i="18"/>
  <c r="P171" i="18" s="1"/>
  <c r="M171" i="18"/>
  <c r="J171" i="18"/>
  <c r="G171" i="18"/>
  <c r="E171" i="18"/>
  <c r="D171" i="18"/>
  <c r="AE170" i="18"/>
  <c r="N170" i="18" s="1"/>
  <c r="P170" i="18" s="1"/>
  <c r="AB170" i="18"/>
  <c r="E170" i="18" s="1"/>
  <c r="G170" i="18" s="1"/>
  <c r="X170" i="18"/>
  <c r="W170" i="18"/>
  <c r="Y170" i="18" s="1"/>
  <c r="V170" i="18"/>
  <c r="S170" i="18"/>
  <c r="M170" i="18"/>
  <c r="J170" i="18"/>
  <c r="D170" i="18"/>
  <c r="AE169" i="18"/>
  <c r="AB169" i="18"/>
  <c r="E169" i="18" s="1"/>
  <c r="G169" i="18" s="1"/>
  <c r="X169" i="18"/>
  <c r="V169" i="18"/>
  <c r="S169" i="18"/>
  <c r="N169" i="18"/>
  <c r="P169" i="18" s="1"/>
  <c r="M169" i="18"/>
  <c r="J169" i="18"/>
  <c r="D169" i="18"/>
  <c r="AE168" i="18"/>
  <c r="AB168" i="18"/>
  <c r="E168" i="18" s="1"/>
  <c r="X168" i="18"/>
  <c r="W168" i="18"/>
  <c r="V168" i="18"/>
  <c r="S168" i="18"/>
  <c r="P168" i="18"/>
  <c r="N168" i="18"/>
  <c r="M168" i="18"/>
  <c r="J168" i="18"/>
  <c r="G168" i="18"/>
  <c r="D168" i="18"/>
  <c r="AO167" i="18"/>
  <c r="AO168" i="18" s="1"/>
  <c r="AO169" i="18" s="1"/>
  <c r="AO170" i="18" s="1"/>
  <c r="AO171" i="18" s="1"/>
  <c r="AE167" i="18"/>
  <c r="AB167" i="18"/>
  <c r="X167" i="18"/>
  <c r="V167" i="18"/>
  <c r="S167" i="18"/>
  <c r="N167" i="18"/>
  <c r="P167" i="18" s="1"/>
  <c r="M167" i="18"/>
  <c r="J167" i="18"/>
  <c r="E167" i="18"/>
  <c r="D167" i="18"/>
  <c r="AE166" i="18"/>
  <c r="N166" i="18" s="1"/>
  <c r="AB166" i="18"/>
  <c r="X166" i="18"/>
  <c r="V166" i="18"/>
  <c r="S166" i="18"/>
  <c r="P166" i="18"/>
  <c r="M166" i="18"/>
  <c r="J166" i="18"/>
  <c r="E166" i="18"/>
  <c r="D166" i="18"/>
  <c r="AE165" i="18"/>
  <c r="N165" i="18" s="1"/>
  <c r="AB165" i="18"/>
  <c r="E165" i="18" s="1"/>
  <c r="X165" i="18"/>
  <c r="V165" i="18"/>
  <c r="S165" i="18"/>
  <c r="P165" i="18"/>
  <c r="M165" i="18"/>
  <c r="J165" i="18"/>
  <c r="D165" i="18"/>
  <c r="AE164" i="18"/>
  <c r="N164" i="18" s="1"/>
  <c r="AB164" i="18"/>
  <c r="Y164" i="18"/>
  <c r="X164" i="18"/>
  <c r="W164" i="18"/>
  <c r="V164" i="18"/>
  <c r="S164" i="18"/>
  <c r="P164" i="18"/>
  <c r="M164" i="18"/>
  <c r="J164" i="18"/>
  <c r="E164" i="18"/>
  <c r="G164" i="18" s="1"/>
  <c r="D164" i="18"/>
  <c r="AW163" i="18"/>
  <c r="AV163" i="18"/>
  <c r="AV164" i="18" s="1"/>
  <c r="AU163" i="18"/>
  <c r="AU164" i="18" s="1"/>
  <c r="AU165" i="18" s="1"/>
  <c r="AU166" i="18" s="1"/>
  <c r="AU167" i="18" s="1"/>
  <c r="AU168" i="18" s="1"/>
  <c r="AU169" i="18" s="1"/>
  <c r="AU170" i="18" s="1"/>
  <c r="AU171" i="18" s="1"/>
  <c r="AO163" i="18"/>
  <c r="AO164" i="18" s="1"/>
  <c r="AO165" i="18" s="1"/>
  <c r="AO166" i="18" s="1"/>
  <c r="AE163" i="18"/>
  <c r="N163" i="18" s="1"/>
  <c r="P163" i="18" s="1"/>
  <c r="AB163" i="18"/>
  <c r="X163" i="18"/>
  <c r="V163" i="18"/>
  <c r="S163" i="18"/>
  <c r="M163" i="18"/>
  <c r="J163" i="18"/>
  <c r="G163" i="18"/>
  <c r="E163" i="18"/>
  <c r="W163" i="18" s="1"/>
  <c r="D163" i="18"/>
  <c r="AV162" i="18"/>
  <c r="AW162" i="18" s="1"/>
  <c r="AO162" i="18"/>
  <c r="AM162" i="18"/>
  <c r="AE162" i="18"/>
  <c r="N162" i="18" s="1"/>
  <c r="P162" i="18" s="1"/>
  <c r="AB162" i="18"/>
  <c r="X162" i="18"/>
  <c r="V162" i="18"/>
  <c r="S162" i="18"/>
  <c r="M162" i="18"/>
  <c r="J162" i="18"/>
  <c r="E162" i="18"/>
  <c r="D162" i="18"/>
  <c r="AX161" i="18"/>
  <c r="AX162" i="18" s="1"/>
  <c r="AV161" i="18"/>
  <c r="AW161" i="18" s="1"/>
  <c r="AM161" i="18"/>
  <c r="AJ161" i="18"/>
  <c r="AJ162" i="18" s="1"/>
  <c r="AG161" i="18"/>
  <c r="AE161" i="18"/>
  <c r="N161" i="18" s="1"/>
  <c r="P161" i="18" s="1"/>
  <c r="AB161" i="18"/>
  <c r="E161" i="18" s="1"/>
  <c r="G161" i="18" s="1"/>
  <c r="X161" i="18"/>
  <c r="Y161" i="18" s="1"/>
  <c r="W161" i="18"/>
  <c r="V161" i="18"/>
  <c r="S161" i="18"/>
  <c r="M161" i="18"/>
  <c r="J161" i="18"/>
  <c r="D161" i="18"/>
  <c r="AY160" i="18"/>
  <c r="AY161" i="18" s="1"/>
  <c r="AX160" i="18"/>
  <c r="AW160" i="18"/>
  <c r="AV160" i="18"/>
  <c r="AU160" i="18"/>
  <c r="AU161" i="18" s="1"/>
  <c r="AU162" i="18" s="1"/>
  <c r="AS160" i="18"/>
  <c r="AS161" i="18" s="1"/>
  <c r="AQ160" i="18"/>
  <c r="AP160" i="18"/>
  <c r="AP161" i="18" s="1"/>
  <c r="AO160" i="18"/>
  <c r="AO161" i="18" s="1"/>
  <c r="AM160" i="18"/>
  <c r="AL160" i="18"/>
  <c r="AL161" i="18" s="1"/>
  <c r="AL162" i="18" s="1"/>
  <c r="AL163" i="18" s="1"/>
  <c r="AL164" i="18" s="1"/>
  <c r="AL165" i="18" s="1"/>
  <c r="AL166" i="18" s="1"/>
  <c r="AL167" i="18" s="1"/>
  <c r="AL168" i="18" s="1"/>
  <c r="AL169" i="18" s="1"/>
  <c r="AL170" i="18" s="1"/>
  <c r="AL171" i="18" s="1"/>
  <c r="AJ160" i="18"/>
  <c r="AH160" i="18"/>
  <c r="AG160" i="18"/>
  <c r="BB160" i="18" s="1"/>
  <c r="AF160" i="18"/>
  <c r="AE160" i="18"/>
  <c r="N160" i="18" s="1"/>
  <c r="AB160" i="18"/>
  <c r="E160" i="18" s="1"/>
  <c r="X160" i="18"/>
  <c r="V160" i="18"/>
  <c r="S160" i="18"/>
  <c r="M160" i="18"/>
  <c r="J160" i="18"/>
  <c r="D160" i="18"/>
  <c r="AE159" i="18"/>
  <c r="AB159" i="18"/>
  <c r="Y159" i="18"/>
  <c r="X159" i="18"/>
  <c r="V159" i="18"/>
  <c r="S159" i="18"/>
  <c r="N159" i="18"/>
  <c r="P159" i="18" s="1"/>
  <c r="M159" i="18"/>
  <c r="J159" i="18"/>
  <c r="E159" i="18"/>
  <c r="W159" i="18" s="1"/>
  <c r="D159" i="18"/>
  <c r="AE158" i="18"/>
  <c r="AB158" i="18"/>
  <c r="X158" i="18"/>
  <c r="V158" i="18"/>
  <c r="S158" i="18"/>
  <c r="P158" i="18"/>
  <c r="N158" i="18"/>
  <c r="M158" i="18"/>
  <c r="J158" i="18"/>
  <c r="E158" i="18"/>
  <c r="D158" i="18"/>
  <c r="AE157" i="18"/>
  <c r="N157" i="18" s="1"/>
  <c r="P157" i="18" s="1"/>
  <c r="AB157" i="18"/>
  <c r="E157" i="18" s="1"/>
  <c r="X157" i="18"/>
  <c r="V157" i="18"/>
  <c r="S157" i="18"/>
  <c r="M157" i="18"/>
  <c r="J157" i="18"/>
  <c r="D157" i="18"/>
  <c r="AE156" i="18"/>
  <c r="N156" i="18" s="1"/>
  <c r="AB156" i="18"/>
  <c r="E156" i="18" s="1"/>
  <c r="G156" i="18" s="1"/>
  <c r="X156" i="18"/>
  <c r="V156" i="18"/>
  <c r="S156" i="18"/>
  <c r="M156" i="18"/>
  <c r="J156" i="18"/>
  <c r="D156" i="18"/>
  <c r="AY155" i="18"/>
  <c r="AY156" i="18" s="1"/>
  <c r="AY157" i="18" s="1"/>
  <c r="AY158" i="18" s="1"/>
  <c r="AY159" i="18" s="1"/>
  <c r="AE155" i="18"/>
  <c r="AB155" i="18"/>
  <c r="E155" i="18" s="1"/>
  <c r="X155" i="18"/>
  <c r="V155" i="18"/>
  <c r="S155" i="18"/>
  <c r="P155" i="18"/>
  <c r="N155" i="18"/>
  <c r="M155" i="18"/>
  <c r="J155" i="18"/>
  <c r="D155" i="18"/>
  <c r="AE154" i="18"/>
  <c r="AB154" i="18"/>
  <c r="E154" i="18" s="1"/>
  <c r="X154" i="18"/>
  <c r="V154" i="18"/>
  <c r="S154" i="18"/>
  <c r="N154" i="18"/>
  <c r="P154" i="18" s="1"/>
  <c r="M154" i="18"/>
  <c r="J154" i="18"/>
  <c r="D154" i="18"/>
  <c r="AL153" i="18"/>
  <c r="AL154" i="18" s="1"/>
  <c r="AL155" i="18" s="1"/>
  <c r="AL156" i="18" s="1"/>
  <c r="AL157" i="18" s="1"/>
  <c r="AL158" i="18" s="1"/>
  <c r="AL159" i="18" s="1"/>
  <c r="AE153" i="18"/>
  <c r="N153" i="18" s="1"/>
  <c r="P153" i="18" s="1"/>
  <c r="AB153" i="18"/>
  <c r="E153" i="18" s="1"/>
  <c r="X153" i="18"/>
  <c r="V153" i="18"/>
  <c r="S153" i="18"/>
  <c r="M153" i="18"/>
  <c r="J153" i="18"/>
  <c r="D153" i="18"/>
  <c r="AE152" i="18"/>
  <c r="N152" i="18" s="1"/>
  <c r="P152" i="18" s="1"/>
  <c r="AB152" i="18"/>
  <c r="E152" i="18" s="1"/>
  <c r="X152" i="18"/>
  <c r="V152" i="18"/>
  <c r="S152" i="18"/>
  <c r="M152" i="18"/>
  <c r="J152" i="18"/>
  <c r="D152" i="18"/>
  <c r="AV151" i="18"/>
  <c r="AE151" i="18"/>
  <c r="N151" i="18" s="1"/>
  <c r="P151" i="18" s="1"/>
  <c r="AB151" i="18"/>
  <c r="E151" i="18" s="1"/>
  <c r="X151" i="18"/>
  <c r="V151" i="18"/>
  <c r="S151" i="18"/>
  <c r="M151" i="18"/>
  <c r="J151" i="18"/>
  <c r="D151" i="18"/>
  <c r="AV150" i="18"/>
  <c r="AS150" i="18"/>
  <c r="AL150" i="18"/>
  <c r="AL151" i="18" s="1"/>
  <c r="AL152" i="18" s="1"/>
  <c r="AE150" i="18"/>
  <c r="AB150" i="18"/>
  <c r="X150" i="18"/>
  <c r="V150" i="18"/>
  <c r="S150" i="18"/>
  <c r="N150" i="18"/>
  <c r="P150" i="18" s="1"/>
  <c r="M150" i="18"/>
  <c r="J150" i="18"/>
  <c r="G150" i="18"/>
  <c r="E150" i="18"/>
  <c r="D150" i="18"/>
  <c r="AS149" i="18"/>
  <c r="AP149" i="18"/>
  <c r="AL149" i="18"/>
  <c r="AJ149" i="18"/>
  <c r="AI149" i="18"/>
  <c r="AI150" i="18" s="1"/>
  <c r="AI151" i="18" s="1"/>
  <c r="AF149" i="18"/>
  <c r="AE149" i="18"/>
  <c r="AB149" i="18"/>
  <c r="X149" i="18"/>
  <c r="Y149" i="18" s="1"/>
  <c r="W149" i="18"/>
  <c r="V149" i="18"/>
  <c r="S149" i="18"/>
  <c r="N149" i="18"/>
  <c r="P149" i="18" s="1"/>
  <c r="M149" i="18"/>
  <c r="J149" i="18"/>
  <c r="G149" i="18"/>
  <c r="E149" i="18"/>
  <c r="D149" i="18"/>
  <c r="AY148" i="18"/>
  <c r="AY149" i="18" s="1"/>
  <c r="AY150" i="18" s="1"/>
  <c r="AY151" i="18" s="1"/>
  <c r="AY152" i="18" s="1"/>
  <c r="AY153" i="18" s="1"/>
  <c r="AY154" i="18" s="1"/>
  <c r="AX148" i="18"/>
  <c r="AX149" i="18" s="1"/>
  <c r="AW148" i="18"/>
  <c r="AV148" i="18"/>
  <c r="AV149" i="18" s="1"/>
  <c r="AU148" i="18"/>
  <c r="AU149" i="18" s="1"/>
  <c r="AU150" i="18" s="1"/>
  <c r="AU151" i="18" s="1"/>
  <c r="AU152" i="18" s="1"/>
  <c r="AU153" i="18" s="1"/>
  <c r="AU154" i="18" s="1"/>
  <c r="AU155" i="18" s="1"/>
  <c r="AU156" i="18" s="1"/>
  <c r="AU157" i="18" s="1"/>
  <c r="AU158" i="18" s="1"/>
  <c r="AU159" i="18" s="1"/>
  <c r="AS148" i="18"/>
  <c r="AT148" i="18" s="1"/>
  <c r="AR148" i="18"/>
  <c r="AR149" i="18" s="1"/>
  <c r="AR150" i="18" s="1"/>
  <c r="AR151" i="18" s="1"/>
  <c r="AR152" i="18" s="1"/>
  <c r="AP148" i="18"/>
  <c r="AQ148" i="18" s="1"/>
  <c r="AO148" i="18"/>
  <c r="AO149" i="18" s="1"/>
  <c r="AO150" i="18" s="1"/>
  <c r="AO151" i="18" s="1"/>
  <c r="AO152" i="18" s="1"/>
  <c r="AO153" i="18" s="1"/>
  <c r="AO154" i="18" s="1"/>
  <c r="AO155" i="18" s="1"/>
  <c r="AO156" i="18" s="1"/>
  <c r="AO157" i="18" s="1"/>
  <c r="AO158" i="18" s="1"/>
  <c r="AO159" i="18" s="1"/>
  <c r="AN148" i="18"/>
  <c r="AM148" i="18"/>
  <c r="AM149" i="18" s="1"/>
  <c r="AL148" i="18"/>
  <c r="AK148" i="18"/>
  <c r="AJ148" i="18"/>
  <c r="AI148" i="18"/>
  <c r="AH148" i="18"/>
  <c r="AG148" i="18"/>
  <c r="AF148" i="18"/>
  <c r="AE148" i="18"/>
  <c r="N148" i="18" s="1"/>
  <c r="P148" i="18" s="1"/>
  <c r="AB148" i="18"/>
  <c r="E148" i="18" s="1"/>
  <c r="G148" i="18" s="1"/>
  <c r="X148" i="18"/>
  <c r="Y148" i="18" s="1"/>
  <c r="W148" i="18"/>
  <c r="V148" i="18"/>
  <c r="S148" i="18"/>
  <c r="M148" i="18"/>
  <c r="J148" i="18"/>
  <c r="D148" i="18"/>
  <c r="AY147" i="18"/>
  <c r="AE147" i="18"/>
  <c r="AB147" i="18"/>
  <c r="E147" i="18" s="1"/>
  <c r="G147" i="18" s="1"/>
  <c r="X147" i="18"/>
  <c r="V147" i="18"/>
  <c r="S147" i="18"/>
  <c r="N147" i="18"/>
  <c r="P147" i="18" s="1"/>
  <c r="M147" i="18"/>
  <c r="J147" i="18"/>
  <c r="D147" i="18"/>
  <c r="AE146" i="18"/>
  <c r="AB146" i="18"/>
  <c r="E146" i="18" s="1"/>
  <c r="G146" i="18" s="1"/>
  <c r="X146" i="18"/>
  <c r="V146" i="18"/>
  <c r="S146" i="18"/>
  <c r="N146" i="18"/>
  <c r="P146" i="18" s="1"/>
  <c r="M146" i="18"/>
  <c r="J146" i="18"/>
  <c r="D146" i="18"/>
  <c r="AE145" i="18"/>
  <c r="N145" i="18" s="1"/>
  <c r="P145" i="18" s="1"/>
  <c r="AB145" i="18"/>
  <c r="X145" i="18"/>
  <c r="Y145" i="18" s="1"/>
  <c r="W145" i="18"/>
  <c r="V145" i="18"/>
  <c r="S145" i="18"/>
  <c r="M145" i="18"/>
  <c r="J145" i="18"/>
  <c r="E145" i="18"/>
  <c r="G145" i="18" s="1"/>
  <c r="D145" i="18"/>
  <c r="AE144" i="18"/>
  <c r="AB144" i="18"/>
  <c r="X144" i="18"/>
  <c r="V144" i="18"/>
  <c r="S144" i="18"/>
  <c r="P144" i="18"/>
  <c r="N144" i="18"/>
  <c r="M144" i="18"/>
  <c r="J144" i="18"/>
  <c r="G144" i="18"/>
  <c r="E144" i="18"/>
  <c r="D144" i="18"/>
  <c r="AE143" i="18"/>
  <c r="AB143" i="18"/>
  <c r="E143" i="18" s="1"/>
  <c r="X143" i="18"/>
  <c r="V143" i="18"/>
  <c r="S143" i="18"/>
  <c r="N143" i="18"/>
  <c r="P143" i="18" s="1"/>
  <c r="M143" i="18"/>
  <c r="J143" i="18"/>
  <c r="D143" i="18"/>
  <c r="AE142" i="18"/>
  <c r="AB142" i="18"/>
  <c r="X142" i="18"/>
  <c r="V142" i="18"/>
  <c r="S142" i="18"/>
  <c r="N142" i="18"/>
  <c r="P142" i="18" s="1"/>
  <c r="M142" i="18"/>
  <c r="J142" i="18"/>
  <c r="E142" i="18"/>
  <c r="D142" i="18"/>
  <c r="AE141" i="18"/>
  <c r="AB141" i="18"/>
  <c r="E141" i="18" s="1"/>
  <c r="X141" i="18"/>
  <c r="V141" i="18"/>
  <c r="S141" i="18"/>
  <c r="N141" i="18"/>
  <c r="P141" i="18" s="1"/>
  <c r="M141" i="18"/>
  <c r="J141" i="18"/>
  <c r="D141" i="18"/>
  <c r="AO140" i="18"/>
  <c r="AO141" i="18" s="1"/>
  <c r="AO142" i="18" s="1"/>
  <c r="AO143" i="18" s="1"/>
  <c r="AO144" i="18" s="1"/>
  <c r="AO145" i="18" s="1"/>
  <c r="AO146" i="18" s="1"/>
  <c r="AO147" i="18" s="1"/>
  <c r="AE140" i="18"/>
  <c r="N140" i="18" s="1"/>
  <c r="P140" i="18" s="1"/>
  <c r="AB140" i="18"/>
  <c r="X140" i="18"/>
  <c r="V140" i="18"/>
  <c r="S140" i="18"/>
  <c r="M140" i="18"/>
  <c r="J140" i="18"/>
  <c r="E140" i="18"/>
  <c r="D140" i="18"/>
  <c r="AV139" i="18"/>
  <c r="AV140" i="18" s="1"/>
  <c r="AE139" i="18"/>
  <c r="AB139" i="18"/>
  <c r="X139" i="18"/>
  <c r="Y139" i="18" s="1"/>
  <c r="V139" i="18"/>
  <c r="S139" i="18"/>
  <c r="P139" i="18"/>
  <c r="N139" i="18"/>
  <c r="M139" i="18"/>
  <c r="J139" i="18"/>
  <c r="G139" i="18"/>
  <c r="E139" i="18"/>
  <c r="W139" i="18" s="1"/>
  <c r="D139" i="18"/>
  <c r="AO138" i="18"/>
  <c r="AO139" i="18" s="1"/>
  <c r="AJ138" i="18"/>
  <c r="AJ139" i="18" s="1"/>
  <c r="AJ140" i="18" s="1"/>
  <c r="AE138" i="18"/>
  <c r="N138" i="18" s="1"/>
  <c r="P138" i="18" s="1"/>
  <c r="AB138" i="18"/>
  <c r="E138" i="18" s="1"/>
  <c r="X138" i="18"/>
  <c r="V138" i="18"/>
  <c r="S138" i="18"/>
  <c r="M138" i="18"/>
  <c r="J138" i="18"/>
  <c r="D138" i="18"/>
  <c r="AY137" i="18"/>
  <c r="AY138" i="18" s="1"/>
  <c r="AY139" i="18" s="1"/>
  <c r="AY140" i="18" s="1"/>
  <c r="AY141" i="18" s="1"/>
  <c r="AY142" i="18" s="1"/>
  <c r="AY143" i="18" s="1"/>
  <c r="AY144" i="18" s="1"/>
  <c r="AY145" i="18" s="1"/>
  <c r="AY146" i="18" s="1"/>
  <c r="AX137" i="18"/>
  <c r="AV137" i="18"/>
  <c r="AV138" i="18" s="1"/>
  <c r="AW138" i="18" s="1"/>
  <c r="AU137" i="18"/>
  <c r="AU138" i="18" s="1"/>
  <c r="AU139" i="18" s="1"/>
  <c r="AU140" i="18" s="1"/>
  <c r="AU141" i="18" s="1"/>
  <c r="AU142" i="18" s="1"/>
  <c r="AU143" i="18" s="1"/>
  <c r="AU144" i="18" s="1"/>
  <c r="AU145" i="18" s="1"/>
  <c r="AU146" i="18" s="1"/>
  <c r="AU147" i="18" s="1"/>
  <c r="AO137" i="18"/>
  <c r="AJ137" i="18"/>
  <c r="AE137" i="18"/>
  <c r="N137" i="18" s="1"/>
  <c r="P137" i="18" s="1"/>
  <c r="AB137" i="18"/>
  <c r="E137" i="18" s="1"/>
  <c r="X137" i="18"/>
  <c r="Y137" i="18" s="1"/>
  <c r="W137" i="18"/>
  <c r="V137" i="18"/>
  <c r="S137" i="18"/>
  <c r="M137" i="18"/>
  <c r="J137" i="18"/>
  <c r="G137" i="18"/>
  <c r="D137" i="18"/>
  <c r="BB136" i="18"/>
  <c r="AY136" i="18"/>
  <c r="AX136" i="18"/>
  <c r="AZ136" i="18" s="1"/>
  <c r="AV136" i="18"/>
  <c r="AW136" i="18" s="1"/>
  <c r="AU136" i="18"/>
  <c r="AS136" i="18"/>
  <c r="AS137" i="18" s="1"/>
  <c r="AQ136" i="18"/>
  <c r="AP136" i="18"/>
  <c r="AP137" i="18" s="1"/>
  <c r="AO136" i="18"/>
  <c r="AM136" i="18"/>
  <c r="AL136" i="18"/>
  <c r="AL137" i="18" s="1"/>
  <c r="AL138" i="18" s="1"/>
  <c r="AL139" i="18" s="1"/>
  <c r="AL140" i="18" s="1"/>
  <c r="AL141" i="18" s="1"/>
  <c r="AL142" i="18" s="1"/>
  <c r="AL143" i="18" s="1"/>
  <c r="AL144" i="18" s="1"/>
  <c r="AL145" i="18" s="1"/>
  <c r="AL146" i="18" s="1"/>
  <c r="AL147" i="18" s="1"/>
  <c r="AJ136" i="18"/>
  <c r="AG136" i="18"/>
  <c r="AG137" i="18" s="1"/>
  <c r="AF136" i="18"/>
  <c r="AE136" i="18"/>
  <c r="N136" i="18" s="1"/>
  <c r="AB136" i="18"/>
  <c r="E136" i="18" s="1"/>
  <c r="X136" i="18"/>
  <c r="V136" i="18"/>
  <c r="S136" i="18"/>
  <c r="M136" i="18"/>
  <c r="J136" i="18"/>
  <c r="D136" i="18"/>
  <c r="AO135" i="18"/>
  <c r="AE135" i="18"/>
  <c r="AB135" i="18"/>
  <c r="X135" i="18"/>
  <c r="W135" i="18"/>
  <c r="Y135" i="18" s="1"/>
  <c r="V135" i="18"/>
  <c r="S135" i="18"/>
  <c r="N135" i="18"/>
  <c r="P135" i="18" s="1"/>
  <c r="M135" i="18"/>
  <c r="J135" i="18"/>
  <c r="E135" i="18"/>
  <c r="G135" i="18" s="1"/>
  <c r="D135" i="18"/>
  <c r="AE134" i="18"/>
  <c r="AB134" i="18"/>
  <c r="E134" i="18" s="1"/>
  <c r="X134" i="18"/>
  <c r="V134" i="18"/>
  <c r="S134" i="18"/>
  <c r="N134" i="18"/>
  <c r="P134" i="18" s="1"/>
  <c r="M134" i="18"/>
  <c r="J134" i="18"/>
  <c r="D134" i="18"/>
  <c r="AO133" i="18"/>
  <c r="AO134" i="18" s="1"/>
  <c r="AE133" i="18"/>
  <c r="AB133" i="18"/>
  <c r="X133" i="18"/>
  <c r="Y133" i="18" s="1"/>
  <c r="W133" i="18"/>
  <c r="V133" i="18"/>
  <c r="S133" i="18"/>
  <c r="N133" i="18"/>
  <c r="P133" i="18" s="1"/>
  <c r="M133" i="18"/>
  <c r="J133" i="18"/>
  <c r="E133" i="18"/>
  <c r="G133" i="18" s="1"/>
  <c r="D133" i="18"/>
  <c r="AE132" i="18"/>
  <c r="AB132" i="18"/>
  <c r="E132" i="18" s="1"/>
  <c r="X132" i="18"/>
  <c r="V132" i="18"/>
  <c r="S132" i="18"/>
  <c r="N132" i="18"/>
  <c r="P132" i="18" s="1"/>
  <c r="M132" i="18"/>
  <c r="J132" i="18"/>
  <c r="D132" i="18"/>
  <c r="AO131" i="18"/>
  <c r="AO132" i="18" s="1"/>
  <c r="AE131" i="18"/>
  <c r="AB131" i="18"/>
  <c r="X131" i="18"/>
  <c r="W131" i="18"/>
  <c r="V131" i="18"/>
  <c r="S131" i="18"/>
  <c r="N131" i="18"/>
  <c r="P131" i="18" s="1"/>
  <c r="M131" i="18"/>
  <c r="J131" i="18"/>
  <c r="E131" i="18"/>
  <c r="G131" i="18" s="1"/>
  <c r="D131" i="18"/>
  <c r="AE130" i="18"/>
  <c r="N130" i="18" s="1"/>
  <c r="P130" i="18" s="1"/>
  <c r="AB130" i="18"/>
  <c r="E130" i="18" s="1"/>
  <c r="X130" i="18"/>
  <c r="V130" i="18"/>
  <c r="S130" i="18"/>
  <c r="M130" i="18"/>
  <c r="J130" i="18"/>
  <c r="D130" i="18"/>
  <c r="AY129" i="18"/>
  <c r="AY130" i="18" s="1"/>
  <c r="AY131" i="18" s="1"/>
  <c r="AY132" i="18" s="1"/>
  <c r="AY133" i="18" s="1"/>
  <c r="AY134" i="18" s="1"/>
  <c r="AY135" i="18" s="1"/>
  <c r="AE129" i="18"/>
  <c r="N129" i="18" s="1"/>
  <c r="AB129" i="18"/>
  <c r="X129" i="18"/>
  <c r="V129" i="18"/>
  <c r="S129" i="18"/>
  <c r="P129" i="18"/>
  <c r="M129" i="18"/>
  <c r="J129" i="18"/>
  <c r="E129" i="18"/>
  <c r="W129" i="18" s="1"/>
  <c r="Y129" i="18" s="1"/>
  <c r="D129" i="18"/>
  <c r="AY128" i="18"/>
  <c r="AE128" i="18"/>
  <c r="N128" i="18" s="1"/>
  <c r="AB128" i="18"/>
  <c r="E128" i="18" s="1"/>
  <c r="G128" i="18" s="1"/>
  <c r="X128" i="18"/>
  <c r="V128" i="18"/>
  <c r="S128" i="18"/>
  <c r="M128" i="18"/>
  <c r="J128" i="18"/>
  <c r="D128" i="18"/>
  <c r="AU127" i="18"/>
  <c r="AU128" i="18" s="1"/>
  <c r="AU129" i="18" s="1"/>
  <c r="AU130" i="18" s="1"/>
  <c r="AU131" i="18" s="1"/>
  <c r="AU132" i="18" s="1"/>
  <c r="AU133" i="18" s="1"/>
  <c r="AU134" i="18" s="1"/>
  <c r="AU135" i="18" s="1"/>
  <c r="AE127" i="18"/>
  <c r="AB127" i="18"/>
  <c r="X127" i="18"/>
  <c r="V127" i="18"/>
  <c r="S127" i="18"/>
  <c r="P127" i="18"/>
  <c r="N127" i="18"/>
  <c r="M127" i="18"/>
  <c r="J127" i="18"/>
  <c r="E127" i="18"/>
  <c r="D127" i="18"/>
  <c r="AU126" i="18"/>
  <c r="AJ126" i="18"/>
  <c r="AJ127" i="18" s="1"/>
  <c r="AJ128" i="18" s="1"/>
  <c r="AG126" i="18"/>
  <c r="AF126" i="18"/>
  <c r="AE126" i="18"/>
  <c r="N126" i="18" s="1"/>
  <c r="W126" i="18" s="1"/>
  <c r="AB126" i="18"/>
  <c r="X126" i="18"/>
  <c r="V126" i="18"/>
  <c r="S126" i="18"/>
  <c r="P126" i="18"/>
  <c r="M126" i="18"/>
  <c r="J126" i="18"/>
  <c r="G126" i="18"/>
  <c r="E126" i="18"/>
  <c r="D126" i="18"/>
  <c r="AY125" i="18"/>
  <c r="AY126" i="18" s="1"/>
  <c r="AY127" i="18" s="1"/>
  <c r="AX125" i="18"/>
  <c r="AZ125" i="18" s="1"/>
  <c r="AW125" i="18"/>
  <c r="AV125" i="18"/>
  <c r="AV126" i="18" s="1"/>
  <c r="AV127" i="18" s="1"/>
  <c r="AU125" i="18"/>
  <c r="AS125" i="18"/>
  <c r="AQ125" i="18"/>
  <c r="AP125" i="18"/>
  <c r="AP126" i="18" s="1"/>
  <c r="AO125" i="18"/>
  <c r="AO126" i="18" s="1"/>
  <c r="AO127" i="18" s="1"/>
  <c r="AO128" i="18" s="1"/>
  <c r="AO129" i="18" s="1"/>
  <c r="AO130" i="18" s="1"/>
  <c r="AM125" i="18"/>
  <c r="AE125" i="18"/>
  <c r="AB125" i="18"/>
  <c r="X125" i="18"/>
  <c r="W125" i="18"/>
  <c r="V125" i="18"/>
  <c r="S125" i="18"/>
  <c r="N125" i="18"/>
  <c r="P125" i="18" s="1"/>
  <c r="M125" i="18"/>
  <c r="J125" i="18"/>
  <c r="E125" i="18"/>
  <c r="G125" i="18" s="1"/>
  <c r="D125" i="18"/>
  <c r="AY124" i="18"/>
  <c r="AX124" i="18"/>
  <c r="AZ124" i="18" s="1"/>
  <c r="AV124" i="18"/>
  <c r="AW124" i="18" s="1"/>
  <c r="AU124" i="18"/>
  <c r="AS124" i="18"/>
  <c r="AQ124" i="18"/>
  <c r="AP124" i="18"/>
  <c r="AO124" i="18"/>
  <c r="AM124" i="18"/>
  <c r="AL124" i="18"/>
  <c r="AL125" i="18" s="1"/>
  <c r="AL126" i="18" s="1"/>
  <c r="AL127" i="18" s="1"/>
  <c r="AL128" i="18" s="1"/>
  <c r="AL129" i="18" s="1"/>
  <c r="AL130" i="18" s="1"/>
  <c r="AL131" i="18" s="1"/>
  <c r="AL132" i="18" s="1"/>
  <c r="AL133" i="18" s="1"/>
  <c r="AL134" i="18" s="1"/>
  <c r="AL135" i="18" s="1"/>
  <c r="AJ124" i="18"/>
  <c r="AJ125" i="18" s="1"/>
  <c r="AG124" i="18"/>
  <c r="AG125" i="18" s="1"/>
  <c r="AF124" i="18"/>
  <c r="AF125" i="18" s="1"/>
  <c r="AE124" i="18"/>
  <c r="N124" i="18" s="1"/>
  <c r="AB124" i="18"/>
  <c r="E124" i="18" s="1"/>
  <c r="X124" i="18"/>
  <c r="V124" i="18"/>
  <c r="S124" i="18"/>
  <c r="M124" i="18"/>
  <c r="J124" i="18"/>
  <c r="D124" i="18"/>
  <c r="AY123" i="18"/>
  <c r="AE123" i="18"/>
  <c r="AB123" i="18"/>
  <c r="X123" i="18"/>
  <c r="V123" i="18"/>
  <c r="S123" i="18"/>
  <c r="N123" i="18"/>
  <c r="P123" i="18" s="1"/>
  <c r="M123" i="18"/>
  <c r="J123" i="18"/>
  <c r="E123" i="18"/>
  <c r="D123" i="18"/>
  <c r="AE122" i="18"/>
  <c r="AB122" i="18"/>
  <c r="X122" i="18"/>
  <c r="V122" i="18"/>
  <c r="S122" i="18"/>
  <c r="N122" i="18"/>
  <c r="P122" i="18" s="1"/>
  <c r="M122" i="18"/>
  <c r="J122" i="18"/>
  <c r="G122" i="18"/>
  <c r="E122" i="18"/>
  <c r="W122" i="18" s="1"/>
  <c r="Y122" i="18" s="1"/>
  <c r="D122" i="18"/>
  <c r="AY121" i="18"/>
  <c r="AY122" i="18" s="1"/>
  <c r="AE121" i="18"/>
  <c r="AB121" i="18"/>
  <c r="X121" i="18"/>
  <c r="V121" i="18"/>
  <c r="S121" i="18"/>
  <c r="P121" i="18"/>
  <c r="N121" i="18"/>
  <c r="M121" i="18"/>
  <c r="J121" i="18"/>
  <c r="E121" i="18"/>
  <c r="D121" i="18"/>
  <c r="AI120" i="18"/>
  <c r="AI121" i="18" s="1"/>
  <c r="AI122" i="18" s="1"/>
  <c r="AI123" i="18" s="1"/>
  <c r="AE120" i="18"/>
  <c r="N120" i="18" s="1"/>
  <c r="P120" i="18" s="1"/>
  <c r="AB120" i="18"/>
  <c r="X120" i="18"/>
  <c r="Y120" i="18" s="1"/>
  <c r="V120" i="18"/>
  <c r="S120" i="18"/>
  <c r="M120" i="18"/>
  <c r="J120" i="18"/>
  <c r="E120" i="18"/>
  <c r="W120" i="18" s="1"/>
  <c r="D120" i="18"/>
  <c r="AE119" i="18"/>
  <c r="AB119" i="18"/>
  <c r="E119" i="18" s="1"/>
  <c r="W119" i="18" s="1"/>
  <c r="X119" i="18"/>
  <c r="V119" i="18"/>
  <c r="S119" i="18"/>
  <c r="P119" i="18"/>
  <c r="N119" i="18"/>
  <c r="M119" i="18"/>
  <c r="J119" i="18"/>
  <c r="G119" i="18"/>
  <c r="D119" i="18"/>
  <c r="AI118" i="18"/>
  <c r="AI119" i="18" s="1"/>
  <c r="AE118" i="18"/>
  <c r="N118" i="18" s="1"/>
  <c r="P118" i="18" s="1"/>
  <c r="AB118" i="18"/>
  <c r="X118" i="18"/>
  <c r="V118" i="18"/>
  <c r="S118" i="18"/>
  <c r="M118" i="18"/>
  <c r="J118" i="18"/>
  <c r="E118" i="18"/>
  <c r="D118" i="18"/>
  <c r="AE117" i="18"/>
  <c r="N117" i="18" s="1"/>
  <c r="P117" i="18" s="1"/>
  <c r="AB117" i="18"/>
  <c r="X117" i="18"/>
  <c r="V117" i="18"/>
  <c r="S117" i="18"/>
  <c r="M117" i="18"/>
  <c r="J117" i="18"/>
  <c r="E117" i="18"/>
  <c r="D117" i="18"/>
  <c r="AO116" i="18"/>
  <c r="AO117" i="18" s="1"/>
  <c r="AO118" i="18" s="1"/>
  <c r="AO119" i="18" s="1"/>
  <c r="AO120" i="18" s="1"/>
  <c r="AO121" i="18" s="1"/>
  <c r="AO122" i="18" s="1"/>
  <c r="AO123" i="18" s="1"/>
  <c r="AL116" i="18"/>
  <c r="AL117" i="18" s="1"/>
  <c r="AL118" i="18" s="1"/>
  <c r="AL119" i="18" s="1"/>
  <c r="AL120" i="18" s="1"/>
  <c r="AL121" i="18" s="1"/>
  <c r="AL122" i="18" s="1"/>
  <c r="AL123" i="18" s="1"/>
  <c r="AI116" i="18"/>
  <c r="AI117" i="18" s="1"/>
  <c r="AE116" i="18"/>
  <c r="N116" i="18" s="1"/>
  <c r="P116" i="18" s="1"/>
  <c r="AB116" i="18"/>
  <c r="X116" i="18"/>
  <c r="V116" i="18"/>
  <c r="S116" i="18"/>
  <c r="M116" i="18"/>
  <c r="J116" i="18"/>
  <c r="E116" i="18"/>
  <c r="D116" i="18"/>
  <c r="AY115" i="18"/>
  <c r="AY116" i="18" s="1"/>
  <c r="AY117" i="18" s="1"/>
  <c r="AY118" i="18" s="1"/>
  <c r="AY119" i="18" s="1"/>
  <c r="AY120" i="18" s="1"/>
  <c r="AV115" i="18"/>
  <c r="AU115" i="18"/>
  <c r="AU116" i="18" s="1"/>
  <c r="AU117" i="18" s="1"/>
  <c r="AU118" i="18" s="1"/>
  <c r="AU119" i="18" s="1"/>
  <c r="AU120" i="18" s="1"/>
  <c r="AU121" i="18" s="1"/>
  <c r="AU122" i="18" s="1"/>
  <c r="AU123" i="18" s="1"/>
  <c r="AS115" i="18"/>
  <c r="AE115" i="18"/>
  <c r="N115" i="18" s="1"/>
  <c r="AB115" i="18"/>
  <c r="E115" i="18" s="1"/>
  <c r="X115" i="18"/>
  <c r="V115" i="18"/>
  <c r="S115" i="18"/>
  <c r="M115" i="18"/>
  <c r="J115" i="18"/>
  <c r="G115" i="18"/>
  <c r="D115" i="18"/>
  <c r="AS114" i="18"/>
  <c r="AM114" i="18"/>
  <c r="AL114" i="18"/>
  <c r="AL115" i="18" s="1"/>
  <c r="AH114" i="18"/>
  <c r="AG114" i="18"/>
  <c r="AF114" i="18"/>
  <c r="AE114" i="18"/>
  <c r="N114" i="18" s="1"/>
  <c r="P114" i="18" s="1"/>
  <c r="AB114" i="18"/>
  <c r="E114" i="18" s="1"/>
  <c r="X114" i="18"/>
  <c r="V114" i="18"/>
  <c r="S114" i="18"/>
  <c r="M114" i="18"/>
  <c r="J114" i="18"/>
  <c r="D114" i="18"/>
  <c r="AY113" i="18"/>
  <c r="AY114" i="18" s="1"/>
  <c r="AX113" i="18"/>
  <c r="AV113" i="18"/>
  <c r="AV114" i="18" s="1"/>
  <c r="AU113" i="18"/>
  <c r="AU114" i="18" s="1"/>
  <c r="AS113" i="18"/>
  <c r="AP113" i="18"/>
  <c r="AO113" i="18"/>
  <c r="AO114" i="18" s="1"/>
  <c r="AO115" i="18" s="1"/>
  <c r="AF113" i="18"/>
  <c r="AE113" i="18"/>
  <c r="AB113" i="18"/>
  <c r="X113" i="18"/>
  <c r="V113" i="18"/>
  <c r="S113" i="18"/>
  <c r="N113" i="18"/>
  <c r="P113" i="18" s="1"/>
  <c r="M113" i="18"/>
  <c r="J113" i="18"/>
  <c r="E113" i="18"/>
  <c r="W113" i="18" s="1"/>
  <c r="Y113" i="18" s="1"/>
  <c r="D113" i="18"/>
  <c r="AZ112" i="18"/>
  <c r="AY112" i="18"/>
  <c r="AX112" i="18"/>
  <c r="AW112" i="18"/>
  <c r="AV112" i="18"/>
  <c r="AU112" i="18"/>
  <c r="AS112" i="18"/>
  <c r="AP112" i="18"/>
  <c r="AQ112" i="18" s="1"/>
  <c r="AO112" i="18"/>
  <c r="AN112" i="18"/>
  <c r="AM112" i="18"/>
  <c r="AM113" i="18" s="1"/>
  <c r="AL112" i="18"/>
  <c r="AL113" i="18" s="1"/>
  <c r="AK112" i="18"/>
  <c r="AJ112" i="18"/>
  <c r="AI112" i="18"/>
  <c r="AI113" i="18" s="1"/>
  <c r="AI114" i="18" s="1"/>
  <c r="AI115" i="18" s="1"/>
  <c r="AH112" i="18"/>
  <c r="AG112" i="18"/>
  <c r="AG113" i="18" s="1"/>
  <c r="AF112" i="18"/>
  <c r="AE112" i="18"/>
  <c r="AB112" i="18"/>
  <c r="E112" i="18" s="1"/>
  <c r="W112" i="18" s="1"/>
  <c r="Y112" i="18" s="1"/>
  <c r="X112" i="18"/>
  <c r="V112" i="18"/>
  <c r="S112" i="18"/>
  <c r="N112" i="18"/>
  <c r="P112" i="18" s="1"/>
  <c r="M112" i="18"/>
  <c r="J112" i="18"/>
  <c r="G112" i="18"/>
  <c r="D112" i="18"/>
  <c r="AE111" i="18"/>
  <c r="N111" i="18" s="1"/>
  <c r="AB111" i="18"/>
  <c r="E111" i="18" s="1"/>
  <c r="G111" i="18" s="1"/>
  <c r="X111" i="18"/>
  <c r="V111" i="18"/>
  <c r="S111" i="18"/>
  <c r="P111" i="18"/>
  <c r="M111" i="18"/>
  <c r="J111" i="18"/>
  <c r="D111" i="18"/>
  <c r="AY110" i="18"/>
  <c r="AY111" i="18" s="1"/>
  <c r="AE110" i="18"/>
  <c r="AB110" i="18"/>
  <c r="X110" i="18"/>
  <c r="V110" i="18"/>
  <c r="S110" i="18"/>
  <c r="P110" i="18"/>
  <c r="N110" i="18"/>
  <c r="M110" i="18"/>
  <c r="J110" i="18"/>
  <c r="E110" i="18"/>
  <c r="W110" i="18" s="1"/>
  <c r="D110" i="18"/>
  <c r="AE109" i="18"/>
  <c r="N109" i="18" s="1"/>
  <c r="P109" i="18" s="1"/>
  <c r="AB109" i="18"/>
  <c r="E109" i="18" s="1"/>
  <c r="G109" i="18" s="1"/>
  <c r="X109" i="18"/>
  <c r="W109" i="18"/>
  <c r="V109" i="18"/>
  <c r="S109" i="18"/>
  <c r="M109" i="18"/>
  <c r="J109" i="18"/>
  <c r="D109" i="18"/>
  <c r="AE108" i="18"/>
  <c r="AB108" i="18"/>
  <c r="X108" i="18"/>
  <c r="V108" i="18"/>
  <c r="S108" i="18"/>
  <c r="P108" i="18"/>
  <c r="N108" i="18"/>
  <c r="M108" i="18"/>
  <c r="J108" i="18"/>
  <c r="E108" i="18"/>
  <c r="W108" i="18" s="1"/>
  <c r="Y108" i="18" s="1"/>
  <c r="D108" i="18"/>
  <c r="AE107" i="18"/>
  <c r="N107" i="18" s="1"/>
  <c r="P107" i="18" s="1"/>
  <c r="AB107" i="18"/>
  <c r="E107" i="18" s="1"/>
  <c r="X107" i="18"/>
  <c r="V107" i="18"/>
  <c r="S107" i="18"/>
  <c r="M107" i="18"/>
  <c r="J107" i="18"/>
  <c r="D107" i="18"/>
  <c r="AE106" i="18"/>
  <c r="N106" i="18" s="1"/>
  <c r="AB106" i="18"/>
  <c r="X106" i="18"/>
  <c r="Y106" i="18" s="1"/>
  <c r="W106" i="18"/>
  <c r="V106" i="18"/>
  <c r="S106" i="18"/>
  <c r="P106" i="18"/>
  <c r="M106" i="18"/>
  <c r="J106" i="18"/>
  <c r="E106" i="18"/>
  <c r="G106" i="18" s="1"/>
  <c r="D106" i="18"/>
  <c r="AE105" i="18"/>
  <c r="N105" i="18" s="1"/>
  <c r="P105" i="18" s="1"/>
  <c r="AB105" i="18"/>
  <c r="E105" i="18" s="1"/>
  <c r="X105" i="18"/>
  <c r="V105" i="18"/>
  <c r="S105" i="18"/>
  <c r="M105" i="18"/>
  <c r="J105" i="18"/>
  <c r="D105" i="18"/>
  <c r="AE104" i="18"/>
  <c r="AB104" i="18"/>
  <c r="X104" i="18"/>
  <c r="V104" i="18"/>
  <c r="S104" i="18"/>
  <c r="P104" i="18"/>
  <c r="N104" i="18"/>
  <c r="M104" i="18"/>
  <c r="J104" i="18"/>
  <c r="G104" i="18"/>
  <c r="E104" i="18"/>
  <c r="D104" i="18"/>
  <c r="AE103" i="18"/>
  <c r="AB103" i="18"/>
  <c r="X103" i="18"/>
  <c r="Y103" i="18" s="1"/>
  <c r="V103" i="18"/>
  <c r="S103" i="18"/>
  <c r="N103" i="18"/>
  <c r="P103" i="18" s="1"/>
  <c r="M103" i="18"/>
  <c r="J103" i="18"/>
  <c r="G103" i="18"/>
  <c r="E103" i="18"/>
  <c r="W103" i="18" s="1"/>
  <c r="D103" i="18"/>
  <c r="AH102" i="18"/>
  <c r="AG102" i="18"/>
  <c r="AF102" i="18"/>
  <c r="AE102" i="18"/>
  <c r="N102" i="18" s="1"/>
  <c r="P102" i="18" s="1"/>
  <c r="AB102" i="18"/>
  <c r="E102" i="18" s="1"/>
  <c r="X102" i="18"/>
  <c r="V102" i="18"/>
  <c r="S102" i="18"/>
  <c r="M102" i="18"/>
  <c r="J102" i="18"/>
  <c r="D102" i="18"/>
  <c r="AY101" i="18"/>
  <c r="AY102" i="18" s="1"/>
  <c r="AY103" i="18" s="1"/>
  <c r="AY104" i="18" s="1"/>
  <c r="AY105" i="18" s="1"/>
  <c r="AY106" i="18" s="1"/>
  <c r="AY107" i="18" s="1"/>
  <c r="AY108" i="18" s="1"/>
  <c r="AY109" i="18" s="1"/>
  <c r="AX101" i="18"/>
  <c r="AS101" i="18"/>
  <c r="AS102" i="18" s="1"/>
  <c r="AQ101" i="18"/>
  <c r="AG101" i="18"/>
  <c r="AH101" i="18" s="1"/>
  <c r="AF101" i="18"/>
  <c r="AE101" i="18"/>
  <c r="N101" i="18" s="1"/>
  <c r="AB101" i="18"/>
  <c r="E101" i="18" s="1"/>
  <c r="X101" i="18"/>
  <c r="V101" i="18"/>
  <c r="S101" i="18"/>
  <c r="M101" i="18"/>
  <c r="J101" i="18"/>
  <c r="D101" i="18"/>
  <c r="AY100" i="18"/>
  <c r="AX100" i="18"/>
  <c r="AZ100" i="18" s="1"/>
  <c r="AV100" i="18"/>
  <c r="AU100" i="18"/>
  <c r="AU101" i="18" s="1"/>
  <c r="AU102" i="18" s="1"/>
  <c r="AU103" i="18" s="1"/>
  <c r="AU104" i="18" s="1"/>
  <c r="AU105" i="18" s="1"/>
  <c r="AU106" i="18" s="1"/>
  <c r="AU107" i="18" s="1"/>
  <c r="AU108" i="18" s="1"/>
  <c r="AU109" i="18" s="1"/>
  <c r="AU110" i="18" s="1"/>
  <c r="AU111" i="18" s="1"/>
  <c r="AS100" i="18"/>
  <c r="AR100" i="18"/>
  <c r="AP100" i="18"/>
  <c r="AP101" i="18" s="1"/>
  <c r="AP102" i="18" s="1"/>
  <c r="AO100" i="18"/>
  <c r="AO101" i="18" s="1"/>
  <c r="AO102" i="18" s="1"/>
  <c r="AO103" i="18" s="1"/>
  <c r="AO104" i="18" s="1"/>
  <c r="AO105" i="18" s="1"/>
  <c r="AO106" i="18" s="1"/>
  <c r="AO107" i="18" s="1"/>
  <c r="AO108" i="18" s="1"/>
  <c r="AO109" i="18" s="1"/>
  <c r="AO110" i="18" s="1"/>
  <c r="AO111" i="18" s="1"/>
  <c r="AN100" i="18"/>
  <c r="AM100" i="18"/>
  <c r="AM101" i="18" s="1"/>
  <c r="AL100" i="18"/>
  <c r="AL101" i="18" s="1"/>
  <c r="AL102" i="18" s="1"/>
  <c r="AL103" i="18" s="1"/>
  <c r="AL104" i="18" s="1"/>
  <c r="AL105" i="18" s="1"/>
  <c r="AL106" i="18" s="1"/>
  <c r="AL107" i="18" s="1"/>
  <c r="AL108" i="18" s="1"/>
  <c r="AL109" i="18" s="1"/>
  <c r="AL110" i="18" s="1"/>
  <c r="AL111" i="18" s="1"/>
  <c r="AJ100" i="18"/>
  <c r="AH100" i="18"/>
  <c r="AG100" i="18"/>
  <c r="AF100" i="18"/>
  <c r="AE100" i="18"/>
  <c r="AB100" i="18"/>
  <c r="X100" i="18"/>
  <c r="V100" i="18"/>
  <c r="S100" i="18"/>
  <c r="N100" i="18"/>
  <c r="P100" i="18" s="1"/>
  <c r="M100" i="18"/>
  <c r="J100" i="18"/>
  <c r="G100" i="18"/>
  <c r="E100" i="18"/>
  <c r="D100" i="18"/>
  <c r="AE99" i="18"/>
  <c r="AB99" i="18"/>
  <c r="X99" i="18"/>
  <c r="V99" i="18"/>
  <c r="S99" i="18"/>
  <c r="N99" i="18"/>
  <c r="P99" i="18" s="1"/>
  <c r="M99" i="18"/>
  <c r="J99" i="18"/>
  <c r="G99" i="18"/>
  <c r="E99" i="18"/>
  <c r="W99" i="18" s="1"/>
  <c r="Y99" i="18" s="1"/>
  <c r="D99" i="18"/>
  <c r="AE98" i="18"/>
  <c r="N98" i="18" s="1"/>
  <c r="P98" i="18" s="1"/>
  <c r="AB98" i="18"/>
  <c r="E98" i="18" s="1"/>
  <c r="G98" i="18" s="1"/>
  <c r="X98" i="18"/>
  <c r="W98" i="18"/>
  <c r="V98" i="18"/>
  <c r="S98" i="18"/>
  <c r="M98" i="18"/>
  <c r="J98" i="18"/>
  <c r="D98" i="18"/>
  <c r="AE97" i="18"/>
  <c r="AB97" i="18"/>
  <c r="E97" i="18" s="1"/>
  <c r="X97" i="18"/>
  <c r="V97" i="18"/>
  <c r="S97" i="18"/>
  <c r="P97" i="18"/>
  <c r="N97" i="18"/>
  <c r="M97" i="18"/>
  <c r="J97" i="18"/>
  <c r="D97" i="18"/>
  <c r="AE96" i="18"/>
  <c r="AB96" i="18"/>
  <c r="X96" i="18"/>
  <c r="Y96" i="18" s="1"/>
  <c r="V96" i="18"/>
  <c r="S96" i="18"/>
  <c r="N96" i="18"/>
  <c r="P96" i="18" s="1"/>
  <c r="M96" i="18"/>
  <c r="J96" i="18"/>
  <c r="G96" i="18"/>
  <c r="E96" i="18"/>
  <c r="W96" i="18" s="1"/>
  <c r="D96" i="18"/>
  <c r="AR95" i="18"/>
  <c r="AR96" i="18" s="1"/>
  <c r="AR97" i="18" s="1"/>
  <c r="AR98" i="18" s="1"/>
  <c r="AR99" i="18" s="1"/>
  <c r="AL95" i="18"/>
  <c r="AL96" i="18" s="1"/>
  <c r="AL97" i="18" s="1"/>
  <c r="AL98" i="18" s="1"/>
  <c r="AL99" i="18" s="1"/>
  <c r="AE95" i="18"/>
  <c r="AB95" i="18"/>
  <c r="X95" i="18"/>
  <c r="V95" i="18"/>
  <c r="S95" i="18"/>
  <c r="P95" i="18"/>
  <c r="N95" i="18"/>
  <c r="M95" i="18"/>
  <c r="J95" i="18"/>
  <c r="E95" i="18"/>
  <c r="D95" i="18"/>
  <c r="AE94" i="18"/>
  <c r="N94" i="18" s="1"/>
  <c r="P94" i="18" s="1"/>
  <c r="AB94" i="18"/>
  <c r="X94" i="18"/>
  <c r="V94" i="18"/>
  <c r="S94" i="18"/>
  <c r="M94" i="18"/>
  <c r="J94" i="18"/>
  <c r="E94" i="18"/>
  <c r="D94" i="18"/>
  <c r="AE93" i="18"/>
  <c r="N93" i="18" s="1"/>
  <c r="AB93" i="18"/>
  <c r="E93" i="18" s="1"/>
  <c r="G93" i="18" s="1"/>
  <c r="X93" i="18"/>
  <c r="Y93" i="18" s="1"/>
  <c r="W93" i="18"/>
  <c r="V93" i="18"/>
  <c r="S93" i="18"/>
  <c r="P93" i="18"/>
  <c r="M93" i="18"/>
  <c r="J93" i="18"/>
  <c r="D93" i="18"/>
  <c r="AY92" i="18"/>
  <c r="AY93" i="18" s="1"/>
  <c r="AY94" i="18" s="1"/>
  <c r="AY95" i="18" s="1"/>
  <c r="AY96" i="18" s="1"/>
  <c r="AY97" i="18" s="1"/>
  <c r="AY98" i="18" s="1"/>
  <c r="AY99" i="18" s="1"/>
  <c r="AE92" i="18"/>
  <c r="AB92" i="18"/>
  <c r="X92" i="18"/>
  <c r="V92" i="18"/>
  <c r="S92" i="18"/>
  <c r="N92" i="18"/>
  <c r="W92" i="18" s="1"/>
  <c r="Y92" i="18" s="1"/>
  <c r="M92" i="18"/>
  <c r="J92" i="18"/>
  <c r="G92" i="18"/>
  <c r="E92" i="18"/>
  <c r="D92" i="18"/>
  <c r="AP91" i="18"/>
  <c r="AE91" i="18"/>
  <c r="AB91" i="18"/>
  <c r="X91" i="18"/>
  <c r="Y91" i="18" s="1"/>
  <c r="V91" i="18"/>
  <c r="S91" i="18"/>
  <c r="P91" i="18"/>
  <c r="N91" i="18"/>
  <c r="M91" i="18"/>
  <c r="J91" i="18"/>
  <c r="E91" i="18"/>
  <c r="W91" i="18" s="1"/>
  <c r="D91" i="18"/>
  <c r="AP90" i="18"/>
  <c r="AM90" i="18"/>
  <c r="AL90" i="18"/>
  <c r="AL91" i="18" s="1"/>
  <c r="AL92" i="18" s="1"/>
  <c r="AL93" i="18" s="1"/>
  <c r="AL94" i="18" s="1"/>
  <c r="AG90" i="18"/>
  <c r="AF90" i="18"/>
  <c r="AE90" i="18"/>
  <c r="N90" i="18" s="1"/>
  <c r="P90" i="18" s="1"/>
  <c r="AB90" i="18"/>
  <c r="X90" i="18"/>
  <c r="V90" i="18"/>
  <c r="S90" i="18"/>
  <c r="M90" i="18"/>
  <c r="J90" i="18"/>
  <c r="E90" i="18"/>
  <c r="D90" i="18"/>
  <c r="AM89" i="18"/>
  <c r="AL89" i="18"/>
  <c r="AJ89" i="18"/>
  <c r="AH89" i="18"/>
  <c r="AG89" i="18"/>
  <c r="AF89" i="18"/>
  <c r="AE89" i="18"/>
  <c r="N89" i="18" s="1"/>
  <c r="P89" i="18" s="1"/>
  <c r="AB89" i="18"/>
  <c r="E89" i="18" s="1"/>
  <c r="G89" i="18" s="1"/>
  <c r="X89" i="18"/>
  <c r="Y89" i="18" s="1"/>
  <c r="W89" i="18"/>
  <c r="V89" i="18"/>
  <c r="S89" i="18"/>
  <c r="M89" i="18"/>
  <c r="J89" i="18"/>
  <c r="D89" i="18"/>
  <c r="AY88" i="18"/>
  <c r="AY89" i="18" s="1"/>
  <c r="AY90" i="18" s="1"/>
  <c r="AY91" i="18" s="1"/>
  <c r="AX88" i="18"/>
  <c r="AZ88" i="18" s="1"/>
  <c r="AV88" i="18"/>
  <c r="AW88" i="18" s="1"/>
  <c r="AU88" i="18"/>
  <c r="AU89" i="18" s="1"/>
  <c r="AU90" i="18" s="1"/>
  <c r="AU91" i="18" s="1"/>
  <c r="AU92" i="18" s="1"/>
  <c r="AU93" i="18" s="1"/>
  <c r="AU94" i="18" s="1"/>
  <c r="AU95" i="18" s="1"/>
  <c r="AU96" i="18" s="1"/>
  <c r="AU97" i="18" s="1"/>
  <c r="AU98" i="18" s="1"/>
  <c r="AU99" i="18" s="1"/>
  <c r="AS88" i="18"/>
  <c r="AS89" i="18" s="1"/>
  <c r="AR88" i="18"/>
  <c r="AR89" i="18" s="1"/>
  <c r="AR90" i="18" s="1"/>
  <c r="AR91" i="18" s="1"/>
  <c r="AR92" i="18" s="1"/>
  <c r="AR93" i="18" s="1"/>
  <c r="AR94" i="18" s="1"/>
  <c r="AQ88" i="18"/>
  <c r="AP88" i="18"/>
  <c r="AP89" i="18" s="1"/>
  <c r="AO88" i="18"/>
  <c r="AO89" i="18" s="1"/>
  <c r="AO90" i="18" s="1"/>
  <c r="AN88" i="18"/>
  <c r="AM88" i="18"/>
  <c r="AL88" i="18"/>
  <c r="AJ88" i="18"/>
  <c r="AG88" i="18"/>
  <c r="AH88" i="18" s="1"/>
  <c r="AF88" i="18"/>
  <c r="AE88" i="18"/>
  <c r="AB88" i="18"/>
  <c r="E88" i="18" s="1"/>
  <c r="X88" i="18"/>
  <c r="V88" i="18"/>
  <c r="S88" i="18"/>
  <c r="P88" i="18"/>
  <c r="N88" i="18"/>
  <c r="W88" i="18" s="1"/>
  <c r="M88" i="18"/>
  <c r="J88" i="18"/>
  <c r="D88" i="18"/>
  <c r="AE87" i="18"/>
  <c r="AB87" i="18"/>
  <c r="X87" i="18"/>
  <c r="V87" i="18"/>
  <c r="S87" i="18"/>
  <c r="P87" i="18"/>
  <c r="N87" i="18"/>
  <c r="W87" i="18" s="1"/>
  <c r="M87" i="18"/>
  <c r="J87" i="18"/>
  <c r="G87" i="18"/>
  <c r="E87" i="18"/>
  <c r="D87" i="18"/>
  <c r="AE86" i="18"/>
  <c r="AB86" i="18"/>
  <c r="X86" i="18"/>
  <c r="V86" i="18"/>
  <c r="S86" i="18"/>
  <c r="N86" i="18"/>
  <c r="P86" i="18" s="1"/>
  <c r="M86" i="18"/>
  <c r="J86" i="18"/>
  <c r="E86" i="18"/>
  <c r="D86" i="18"/>
  <c r="AE85" i="18"/>
  <c r="N85" i="18" s="1"/>
  <c r="P85" i="18" s="1"/>
  <c r="AB85" i="18"/>
  <c r="E85" i="18" s="1"/>
  <c r="X85" i="18"/>
  <c r="V85" i="18"/>
  <c r="S85" i="18"/>
  <c r="M85" i="18"/>
  <c r="J85" i="18"/>
  <c r="D85" i="18"/>
  <c r="AE84" i="18"/>
  <c r="N84" i="18" s="1"/>
  <c r="P84" i="18" s="1"/>
  <c r="AB84" i="18"/>
  <c r="E84" i="18" s="1"/>
  <c r="X84" i="18"/>
  <c r="V84" i="18"/>
  <c r="S84" i="18"/>
  <c r="M84" i="18"/>
  <c r="J84" i="18"/>
  <c r="D84" i="18"/>
  <c r="AE83" i="18"/>
  <c r="AB83" i="18"/>
  <c r="X83" i="18"/>
  <c r="V83" i="18"/>
  <c r="S83" i="18"/>
  <c r="N83" i="18"/>
  <c r="P83" i="18" s="1"/>
  <c r="M83" i="18"/>
  <c r="J83" i="18"/>
  <c r="E83" i="18"/>
  <c r="D83" i="18"/>
  <c r="AL82" i="18"/>
  <c r="AL83" i="18" s="1"/>
  <c r="AL84" i="18" s="1"/>
  <c r="AL85" i="18" s="1"/>
  <c r="AL86" i="18" s="1"/>
  <c r="AL87" i="18" s="1"/>
  <c r="AE82" i="18"/>
  <c r="AB82" i="18"/>
  <c r="X82" i="18"/>
  <c r="V82" i="18"/>
  <c r="S82" i="18"/>
  <c r="P82" i="18"/>
  <c r="N82" i="18"/>
  <c r="M82" i="18"/>
  <c r="J82" i="18"/>
  <c r="G82" i="18"/>
  <c r="E82" i="18"/>
  <c r="W82" i="18" s="1"/>
  <c r="D82" i="18"/>
  <c r="AO81" i="18"/>
  <c r="AO82" i="18" s="1"/>
  <c r="AO83" i="18" s="1"/>
  <c r="AO84" i="18" s="1"/>
  <c r="AO85" i="18" s="1"/>
  <c r="AO86" i="18" s="1"/>
  <c r="AO87" i="18" s="1"/>
  <c r="AE81" i="18"/>
  <c r="N81" i="18" s="1"/>
  <c r="P81" i="18" s="1"/>
  <c r="AB81" i="18"/>
  <c r="X81" i="18"/>
  <c r="V81" i="18"/>
  <c r="S81" i="18"/>
  <c r="M81" i="18"/>
  <c r="J81" i="18"/>
  <c r="G81" i="18"/>
  <c r="E81" i="18"/>
  <c r="W81" i="18" s="1"/>
  <c r="Y81" i="18" s="1"/>
  <c r="D81" i="18"/>
  <c r="AE80" i="18"/>
  <c r="N80" i="18" s="1"/>
  <c r="P80" i="18" s="1"/>
  <c r="AB80" i="18"/>
  <c r="E80" i="18" s="1"/>
  <c r="G80" i="18" s="1"/>
  <c r="Y80" i="18"/>
  <c r="X80" i="18"/>
  <c r="W80" i="18"/>
  <c r="V80" i="18"/>
  <c r="S80" i="18"/>
  <c r="M80" i="18"/>
  <c r="J80" i="18"/>
  <c r="D80" i="18"/>
  <c r="AE79" i="18"/>
  <c r="AB79" i="18"/>
  <c r="E79" i="18" s="1"/>
  <c r="G79" i="18" s="1"/>
  <c r="X79" i="18"/>
  <c r="V79" i="18"/>
  <c r="S79" i="18"/>
  <c r="N79" i="18"/>
  <c r="P79" i="18" s="1"/>
  <c r="M79" i="18"/>
  <c r="J79" i="18"/>
  <c r="D79" i="18"/>
  <c r="AS78" i="18"/>
  <c r="AS79" i="18" s="1"/>
  <c r="AP78" i="18"/>
  <c r="AQ78" i="18" s="1"/>
  <c r="AO78" i="18"/>
  <c r="AO79" i="18" s="1"/>
  <c r="AO80" i="18" s="1"/>
  <c r="AE78" i="18"/>
  <c r="AB78" i="18"/>
  <c r="X78" i="18"/>
  <c r="V78" i="18"/>
  <c r="S78" i="18"/>
  <c r="N78" i="18"/>
  <c r="M78" i="18"/>
  <c r="J78" i="18"/>
  <c r="G78" i="18"/>
  <c r="E78" i="18"/>
  <c r="D78" i="18"/>
  <c r="AS77" i="18"/>
  <c r="AQ77" i="18"/>
  <c r="AP77" i="18"/>
  <c r="AO77" i="18"/>
  <c r="AL77" i="18"/>
  <c r="AL78" i="18" s="1"/>
  <c r="AL79" i="18" s="1"/>
  <c r="AL80" i="18" s="1"/>
  <c r="AL81" i="18" s="1"/>
  <c r="AJ77" i="18"/>
  <c r="AJ78" i="18" s="1"/>
  <c r="AJ79" i="18" s="1"/>
  <c r="AG77" i="18"/>
  <c r="AF77" i="18"/>
  <c r="AE77" i="18"/>
  <c r="AB77" i="18"/>
  <c r="X77" i="18"/>
  <c r="V77" i="18"/>
  <c r="S77" i="18"/>
  <c r="N77" i="18"/>
  <c r="P77" i="18" s="1"/>
  <c r="M77" i="18"/>
  <c r="J77" i="18"/>
  <c r="G77" i="18"/>
  <c r="E77" i="18"/>
  <c r="W77" i="18" s="1"/>
  <c r="Y77" i="18" s="1"/>
  <c r="D77" i="18"/>
  <c r="AY76" i="18"/>
  <c r="AY77" i="18" s="1"/>
  <c r="AY78" i="18" s="1"/>
  <c r="AY79" i="18" s="1"/>
  <c r="AY80" i="18" s="1"/>
  <c r="AY81" i="18" s="1"/>
  <c r="AY82" i="18" s="1"/>
  <c r="AY83" i="18" s="1"/>
  <c r="AY84" i="18" s="1"/>
  <c r="AY85" i="18" s="1"/>
  <c r="AY86" i="18" s="1"/>
  <c r="AY87" i="18" s="1"/>
  <c r="AX76" i="18"/>
  <c r="AX77" i="18" s="1"/>
  <c r="AW76" i="18"/>
  <c r="AV76" i="18"/>
  <c r="AV77" i="18" s="1"/>
  <c r="AU76" i="18"/>
  <c r="AU77" i="18" s="1"/>
  <c r="AU78" i="18" s="1"/>
  <c r="AU79" i="18" s="1"/>
  <c r="AU80" i="18" s="1"/>
  <c r="AU81" i="18" s="1"/>
  <c r="AU82" i="18" s="1"/>
  <c r="AU83" i="18" s="1"/>
  <c r="AU84" i="18" s="1"/>
  <c r="AU85" i="18" s="1"/>
  <c r="AU86" i="18" s="1"/>
  <c r="AU87" i="18" s="1"/>
  <c r="AS76" i="18"/>
  <c r="AP76" i="18"/>
  <c r="AQ76" i="18" s="1"/>
  <c r="AO76" i="18"/>
  <c r="AM76" i="18"/>
  <c r="AL76" i="18"/>
  <c r="AJ76" i="18"/>
  <c r="AG76" i="18"/>
  <c r="AF76" i="18"/>
  <c r="AH76" i="18" s="1"/>
  <c r="AE76" i="18"/>
  <c r="N76" i="18" s="1"/>
  <c r="AB76" i="18"/>
  <c r="E76" i="18" s="1"/>
  <c r="G76" i="18" s="1"/>
  <c r="X76" i="18"/>
  <c r="Y76" i="18" s="1"/>
  <c r="W76" i="18"/>
  <c r="V76" i="18"/>
  <c r="S76" i="18"/>
  <c r="M76" i="18"/>
  <c r="J76" i="18"/>
  <c r="D76" i="18"/>
  <c r="AE75" i="18"/>
  <c r="AB75" i="18"/>
  <c r="E75" i="18" s="1"/>
  <c r="X75" i="18"/>
  <c r="V75" i="18"/>
  <c r="S75" i="18"/>
  <c r="N75" i="18"/>
  <c r="P75" i="18" s="1"/>
  <c r="M75" i="18"/>
  <c r="J75" i="18"/>
  <c r="D75" i="18"/>
  <c r="AE74" i="18"/>
  <c r="AB74" i="18"/>
  <c r="X74" i="18"/>
  <c r="W74" i="18"/>
  <c r="Y74" i="18" s="1"/>
  <c r="V74" i="18"/>
  <c r="S74" i="18"/>
  <c r="N74" i="18"/>
  <c r="P74" i="18" s="1"/>
  <c r="M74" i="18"/>
  <c r="J74" i="18"/>
  <c r="G74" i="18"/>
  <c r="E74" i="18"/>
  <c r="D74" i="18"/>
  <c r="AL73" i="18"/>
  <c r="AL74" i="18" s="1"/>
  <c r="AL75" i="18" s="1"/>
  <c r="AE73" i="18"/>
  <c r="AB73" i="18"/>
  <c r="X73" i="18"/>
  <c r="V73" i="18"/>
  <c r="S73" i="18"/>
  <c r="N73" i="18"/>
  <c r="P73" i="18" s="1"/>
  <c r="M73" i="18"/>
  <c r="J73" i="18"/>
  <c r="G73" i="18"/>
  <c r="E73" i="18"/>
  <c r="D73" i="18"/>
  <c r="AO72" i="18"/>
  <c r="AO73" i="18" s="1"/>
  <c r="AO74" i="18" s="1"/>
  <c r="AO75" i="18" s="1"/>
  <c r="AE72" i="18"/>
  <c r="N72" i="18" s="1"/>
  <c r="P72" i="18" s="1"/>
  <c r="AB72" i="18"/>
  <c r="X72" i="18"/>
  <c r="V72" i="18"/>
  <c r="S72" i="18"/>
  <c r="M72" i="18"/>
  <c r="J72" i="18"/>
  <c r="E72" i="18"/>
  <c r="D72" i="18"/>
  <c r="AU71" i="18"/>
  <c r="AU72" i="18" s="1"/>
  <c r="AU73" i="18" s="1"/>
  <c r="AU74" i="18" s="1"/>
  <c r="AU75" i="18" s="1"/>
  <c r="AE71" i="18"/>
  <c r="N71" i="18" s="1"/>
  <c r="AB71" i="18"/>
  <c r="E71" i="18" s="1"/>
  <c r="G71" i="18" s="1"/>
  <c r="X71" i="18"/>
  <c r="W71" i="18"/>
  <c r="Y71" i="18" s="1"/>
  <c r="V71" i="18"/>
  <c r="S71" i="18"/>
  <c r="P71" i="18"/>
  <c r="M71" i="18"/>
  <c r="J71" i="18"/>
  <c r="D71" i="18"/>
  <c r="AU70" i="18"/>
  <c r="AE70" i="18"/>
  <c r="AB70" i="18"/>
  <c r="X70" i="18"/>
  <c r="V70" i="18"/>
  <c r="S70" i="18"/>
  <c r="N70" i="18"/>
  <c r="P70" i="18" s="1"/>
  <c r="M70" i="18"/>
  <c r="J70" i="18"/>
  <c r="E70" i="18"/>
  <c r="D70" i="18"/>
  <c r="AU69" i="18"/>
  <c r="AE69" i="18"/>
  <c r="AB69" i="18"/>
  <c r="X69" i="18"/>
  <c r="V69" i="18"/>
  <c r="S69" i="18"/>
  <c r="P69" i="18"/>
  <c r="N69" i="18"/>
  <c r="M69" i="18"/>
  <c r="J69" i="18"/>
  <c r="E69" i="18"/>
  <c r="W69" i="18" s="1"/>
  <c r="D69" i="18"/>
  <c r="AE68" i="18"/>
  <c r="N68" i="18" s="1"/>
  <c r="P68" i="18" s="1"/>
  <c r="AB68" i="18"/>
  <c r="X68" i="18"/>
  <c r="V68" i="18"/>
  <c r="S68" i="18"/>
  <c r="M68" i="18"/>
  <c r="J68" i="18"/>
  <c r="E68" i="18"/>
  <c r="W68" i="18" s="1"/>
  <c r="D68" i="18"/>
  <c r="AX67" i="18"/>
  <c r="AX68" i="18" s="1"/>
  <c r="AE67" i="18"/>
  <c r="N67" i="18" s="1"/>
  <c r="P67" i="18" s="1"/>
  <c r="AB67" i="18"/>
  <c r="E67" i="18" s="1"/>
  <c r="G67" i="18" s="1"/>
  <c r="Y67" i="18"/>
  <c r="X67" i="18"/>
  <c r="W67" i="18"/>
  <c r="V67" i="18"/>
  <c r="S67" i="18"/>
  <c r="M67" i="18"/>
  <c r="J67" i="18"/>
  <c r="D67" i="18"/>
  <c r="AY66" i="18"/>
  <c r="AY67" i="18" s="1"/>
  <c r="AY68" i="18" s="1"/>
  <c r="AY69" i="18" s="1"/>
  <c r="AY70" i="18" s="1"/>
  <c r="AY71" i="18" s="1"/>
  <c r="AY72" i="18" s="1"/>
  <c r="AY73" i="18" s="1"/>
  <c r="AY74" i="18" s="1"/>
  <c r="AY75" i="18" s="1"/>
  <c r="AX66" i="18"/>
  <c r="AU66" i="18"/>
  <c r="AU67" i="18" s="1"/>
  <c r="AU68" i="18" s="1"/>
  <c r="AE66" i="18"/>
  <c r="N66" i="18" s="1"/>
  <c r="P66" i="18" s="1"/>
  <c r="AB66" i="18"/>
  <c r="E66" i="18" s="1"/>
  <c r="G66" i="18" s="1"/>
  <c r="X66" i="18"/>
  <c r="W66" i="18"/>
  <c r="V66" i="18"/>
  <c r="S66" i="18"/>
  <c r="M66" i="18"/>
  <c r="J66" i="18"/>
  <c r="D66" i="18"/>
  <c r="AY65" i="18"/>
  <c r="AX65" i="18"/>
  <c r="AZ65" i="18" s="1"/>
  <c r="AV65" i="18"/>
  <c r="AV66" i="18" s="1"/>
  <c r="AU65" i="18"/>
  <c r="AR65" i="18"/>
  <c r="AQ65" i="18"/>
  <c r="AP65" i="18"/>
  <c r="AP66" i="18" s="1"/>
  <c r="AO65" i="18"/>
  <c r="AO66" i="18" s="1"/>
  <c r="AO67" i="18" s="1"/>
  <c r="AO68" i="18" s="1"/>
  <c r="AO69" i="18" s="1"/>
  <c r="AO70" i="18" s="1"/>
  <c r="AO71" i="18" s="1"/>
  <c r="AM65" i="18"/>
  <c r="AL65" i="18"/>
  <c r="AL66" i="18" s="1"/>
  <c r="AL67" i="18" s="1"/>
  <c r="AL68" i="18" s="1"/>
  <c r="AL69" i="18" s="1"/>
  <c r="AL70" i="18" s="1"/>
  <c r="AL71" i="18" s="1"/>
  <c r="AL72" i="18" s="1"/>
  <c r="AE65" i="18"/>
  <c r="AB65" i="18"/>
  <c r="X65" i="18"/>
  <c r="V65" i="18"/>
  <c r="S65" i="18"/>
  <c r="N65" i="18"/>
  <c r="P65" i="18" s="1"/>
  <c r="M65" i="18"/>
  <c r="J65" i="18"/>
  <c r="E65" i="18"/>
  <c r="W65" i="18" s="1"/>
  <c r="D65" i="18"/>
  <c r="AZ64" i="18"/>
  <c r="AY64" i="18"/>
  <c r="AX64" i="18"/>
  <c r="AV64" i="18"/>
  <c r="AW64" i="18" s="1"/>
  <c r="AU64" i="18"/>
  <c r="AS64" i="18"/>
  <c r="AR64" i="18"/>
  <c r="AQ64" i="18"/>
  <c r="AP64" i="18"/>
  <c r="AO64" i="18"/>
  <c r="AM64" i="18"/>
  <c r="AN64" i="18" s="1"/>
  <c r="AL64" i="18"/>
  <c r="AJ64" i="18"/>
  <c r="AJ65" i="18" s="1"/>
  <c r="AH64" i="18"/>
  <c r="AG64" i="18"/>
  <c r="AF64" i="18"/>
  <c r="AE64" i="18"/>
  <c r="AB64" i="18"/>
  <c r="X64" i="18"/>
  <c r="V64" i="18"/>
  <c r="S64" i="18"/>
  <c r="N64" i="18"/>
  <c r="P64" i="18" s="1"/>
  <c r="M64" i="18"/>
  <c r="J64" i="18"/>
  <c r="E64" i="18"/>
  <c r="D64" i="18"/>
  <c r="AE63" i="18"/>
  <c r="N63" i="18" s="1"/>
  <c r="P63" i="18" s="1"/>
  <c r="AB63" i="18"/>
  <c r="E63" i="18" s="1"/>
  <c r="X63" i="18"/>
  <c r="V63" i="18"/>
  <c r="S63" i="18"/>
  <c r="M63" i="18"/>
  <c r="J63" i="18"/>
  <c r="D63" i="18"/>
  <c r="AE62" i="18"/>
  <c r="N62" i="18" s="1"/>
  <c r="P62" i="18" s="1"/>
  <c r="AB62" i="18"/>
  <c r="E62" i="18" s="1"/>
  <c r="X62" i="18"/>
  <c r="V62" i="18"/>
  <c r="S62" i="18"/>
  <c r="M62" i="18"/>
  <c r="J62" i="18"/>
  <c r="D62" i="18"/>
  <c r="AE61" i="18"/>
  <c r="AB61" i="18"/>
  <c r="X61" i="18"/>
  <c r="W61" i="18"/>
  <c r="V61" i="18"/>
  <c r="S61" i="18"/>
  <c r="N61" i="18"/>
  <c r="P61" i="18" s="1"/>
  <c r="M61" i="18"/>
  <c r="J61" i="18"/>
  <c r="G61" i="18"/>
  <c r="E61" i="18"/>
  <c r="D61" i="18"/>
  <c r="AE60" i="18"/>
  <c r="N60" i="18" s="1"/>
  <c r="P60" i="18" s="1"/>
  <c r="AB60" i="18"/>
  <c r="X60" i="18"/>
  <c r="V60" i="18"/>
  <c r="S60" i="18"/>
  <c r="M60" i="18"/>
  <c r="J60" i="18"/>
  <c r="G60" i="18"/>
  <c r="E60" i="18"/>
  <c r="D60" i="18"/>
  <c r="AY59" i="18"/>
  <c r="AY60" i="18" s="1"/>
  <c r="AY61" i="18" s="1"/>
  <c r="AY62" i="18" s="1"/>
  <c r="AY63" i="18" s="1"/>
  <c r="AE59" i="18"/>
  <c r="N59" i="18" s="1"/>
  <c r="P59" i="18" s="1"/>
  <c r="AB59" i="18"/>
  <c r="E59" i="18" s="1"/>
  <c r="G59" i="18" s="1"/>
  <c r="X59" i="18"/>
  <c r="V59" i="18"/>
  <c r="S59" i="18"/>
  <c r="M59" i="18"/>
  <c r="J59" i="18"/>
  <c r="D59" i="18"/>
  <c r="AU58" i="18"/>
  <c r="AU59" i="18" s="1"/>
  <c r="AU60" i="18" s="1"/>
  <c r="AU61" i="18" s="1"/>
  <c r="AU62" i="18" s="1"/>
  <c r="AU63" i="18" s="1"/>
  <c r="AE58" i="18"/>
  <c r="N58" i="18" s="1"/>
  <c r="P58" i="18" s="1"/>
  <c r="AB58" i="18"/>
  <c r="X58" i="18"/>
  <c r="V58" i="18"/>
  <c r="S58" i="18"/>
  <c r="M58" i="18"/>
  <c r="J58" i="18"/>
  <c r="G58" i="18"/>
  <c r="E58" i="18"/>
  <c r="D58" i="18"/>
  <c r="AU57" i="18"/>
  <c r="AE57" i="18"/>
  <c r="AB57" i="18"/>
  <c r="X57" i="18"/>
  <c r="V57" i="18"/>
  <c r="S57" i="18"/>
  <c r="N57" i="18"/>
  <c r="P57" i="18" s="1"/>
  <c r="M57" i="18"/>
  <c r="J57" i="18"/>
  <c r="G57" i="18"/>
  <c r="E57" i="18"/>
  <c r="W57" i="18" s="1"/>
  <c r="D57" i="18"/>
  <c r="AE56" i="18"/>
  <c r="N56" i="18" s="1"/>
  <c r="P56" i="18" s="1"/>
  <c r="AB56" i="18"/>
  <c r="X56" i="18"/>
  <c r="V56" i="18"/>
  <c r="S56" i="18"/>
  <c r="M56" i="18"/>
  <c r="J56" i="18"/>
  <c r="E56" i="18"/>
  <c r="D56" i="18"/>
  <c r="AU55" i="18"/>
  <c r="AU56" i="18" s="1"/>
  <c r="AE55" i="18"/>
  <c r="AB55" i="18"/>
  <c r="E55" i="18" s="1"/>
  <c r="X55" i="18"/>
  <c r="V55" i="18"/>
  <c r="S55" i="18"/>
  <c r="N55" i="18"/>
  <c r="P55" i="18" s="1"/>
  <c r="M55" i="18"/>
  <c r="J55" i="18"/>
  <c r="D55" i="18"/>
  <c r="AU54" i="18"/>
  <c r="AP54" i="18"/>
  <c r="AP55" i="18" s="1"/>
  <c r="AE54" i="18"/>
  <c r="AB54" i="18"/>
  <c r="X54" i="18"/>
  <c r="Y54" i="18" s="1"/>
  <c r="W54" i="18"/>
  <c r="V54" i="18"/>
  <c r="S54" i="18"/>
  <c r="P54" i="18"/>
  <c r="N54" i="18"/>
  <c r="M54" i="18"/>
  <c r="J54" i="18"/>
  <c r="G54" i="18"/>
  <c r="E54" i="18"/>
  <c r="D54" i="18"/>
  <c r="AU53" i="18"/>
  <c r="AS53" i="18"/>
  <c r="AP53" i="18"/>
  <c r="AO53" i="18"/>
  <c r="AQ53" i="18" s="1"/>
  <c r="AM53" i="18"/>
  <c r="AL53" i="18"/>
  <c r="AL54" i="18" s="1"/>
  <c r="AL55" i="18" s="1"/>
  <c r="AL56" i="18" s="1"/>
  <c r="AL57" i="18" s="1"/>
  <c r="AL58" i="18" s="1"/>
  <c r="AL59" i="18" s="1"/>
  <c r="AL60" i="18" s="1"/>
  <c r="AL61" i="18" s="1"/>
  <c r="AL62" i="18" s="1"/>
  <c r="AL63" i="18" s="1"/>
  <c r="AJ53" i="18"/>
  <c r="AJ54" i="18" s="1"/>
  <c r="AG53" i="18"/>
  <c r="AE53" i="18"/>
  <c r="AB53" i="18"/>
  <c r="X53" i="18"/>
  <c r="V53" i="18"/>
  <c r="S53" i="18"/>
  <c r="N53" i="18"/>
  <c r="P53" i="18" s="1"/>
  <c r="M53" i="18"/>
  <c r="J53" i="18"/>
  <c r="E53" i="18"/>
  <c r="D53" i="18"/>
  <c r="AY52" i="18"/>
  <c r="AY53" i="18" s="1"/>
  <c r="AY54" i="18" s="1"/>
  <c r="AY55" i="18" s="1"/>
  <c r="AY56" i="18" s="1"/>
  <c r="AY57" i="18" s="1"/>
  <c r="AY58" i="18" s="1"/>
  <c r="AX52" i="18"/>
  <c r="AW52" i="18"/>
  <c r="AV52" i="18"/>
  <c r="AV53" i="18" s="1"/>
  <c r="AU52" i="18"/>
  <c r="AS52" i="18"/>
  <c r="AP52" i="18"/>
  <c r="AQ52" i="18" s="1"/>
  <c r="AO52" i="18"/>
  <c r="AM52" i="18"/>
  <c r="AL52" i="18"/>
  <c r="AJ52" i="18"/>
  <c r="AG52" i="18"/>
  <c r="AF52" i="18"/>
  <c r="AF53" i="18" s="1"/>
  <c r="AE52" i="18"/>
  <c r="N52" i="18" s="1"/>
  <c r="AB52" i="18"/>
  <c r="E52" i="18" s="1"/>
  <c r="G52" i="18" s="1"/>
  <c r="X52" i="18"/>
  <c r="V52" i="18"/>
  <c r="S52" i="18"/>
  <c r="M52" i="18"/>
  <c r="J52" i="18"/>
  <c r="D52" i="18"/>
  <c r="AE51" i="18"/>
  <c r="AB51" i="18"/>
  <c r="E51" i="18" s="1"/>
  <c r="G51" i="18" s="1"/>
  <c r="X51" i="18"/>
  <c r="V51" i="18"/>
  <c r="S51" i="18"/>
  <c r="N51" i="18"/>
  <c r="W51" i="18" s="1"/>
  <c r="M51" i="18"/>
  <c r="J51" i="18"/>
  <c r="D51" i="18"/>
  <c r="AE50" i="18"/>
  <c r="AB50" i="18"/>
  <c r="X50" i="18"/>
  <c r="V50" i="18"/>
  <c r="S50" i="18"/>
  <c r="N50" i="18"/>
  <c r="P50" i="18" s="1"/>
  <c r="M50" i="18"/>
  <c r="J50" i="18"/>
  <c r="E50" i="18"/>
  <c r="D50" i="18"/>
  <c r="AE49" i="18"/>
  <c r="N49" i="18" s="1"/>
  <c r="P49" i="18" s="1"/>
  <c r="AB49" i="18"/>
  <c r="X49" i="18"/>
  <c r="V49" i="18"/>
  <c r="S49" i="18"/>
  <c r="M49" i="18"/>
  <c r="J49" i="18"/>
  <c r="G49" i="18"/>
  <c r="E49" i="18"/>
  <c r="D49" i="18"/>
  <c r="AE48" i="18"/>
  <c r="N48" i="18" s="1"/>
  <c r="AB48" i="18"/>
  <c r="E48" i="18" s="1"/>
  <c r="G48" i="18" s="1"/>
  <c r="X48" i="18"/>
  <c r="V48" i="18"/>
  <c r="S48" i="18"/>
  <c r="M48" i="18"/>
  <c r="J48" i="18"/>
  <c r="D48" i="18"/>
  <c r="AE47" i="18"/>
  <c r="N47" i="18" s="1"/>
  <c r="P47" i="18" s="1"/>
  <c r="AB47" i="18"/>
  <c r="E47" i="18" s="1"/>
  <c r="X47" i="18"/>
  <c r="V47" i="18"/>
  <c r="S47" i="18"/>
  <c r="M47" i="18"/>
  <c r="J47" i="18"/>
  <c r="D47" i="18"/>
  <c r="AO46" i="18"/>
  <c r="AO47" i="18" s="1"/>
  <c r="AO48" i="18" s="1"/>
  <c r="AO49" i="18" s="1"/>
  <c r="AO50" i="18" s="1"/>
  <c r="AO51" i="18" s="1"/>
  <c r="AL46" i="18"/>
  <c r="AL47" i="18" s="1"/>
  <c r="AL48" i="18" s="1"/>
  <c r="AL49" i="18" s="1"/>
  <c r="AL50" i="18" s="1"/>
  <c r="AL51" i="18" s="1"/>
  <c r="AE46" i="18"/>
  <c r="AB46" i="18"/>
  <c r="X46" i="18"/>
  <c r="V46" i="18"/>
  <c r="S46" i="18"/>
  <c r="P46" i="18"/>
  <c r="N46" i="18"/>
  <c r="M46" i="18"/>
  <c r="J46" i="18"/>
  <c r="G46" i="18"/>
  <c r="E46" i="18"/>
  <c r="W46" i="18" s="1"/>
  <c r="Y46" i="18" s="1"/>
  <c r="D46" i="18"/>
  <c r="AO45" i="18"/>
  <c r="AE45" i="18"/>
  <c r="N45" i="18" s="1"/>
  <c r="P45" i="18" s="1"/>
  <c r="AB45" i="18"/>
  <c r="X45" i="18"/>
  <c r="V45" i="18"/>
  <c r="S45" i="18"/>
  <c r="M45" i="18"/>
  <c r="J45" i="18"/>
  <c r="E45" i="18"/>
  <c r="D45" i="18"/>
  <c r="AU44" i="18"/>
  <c r="AU45" i="18" s="1"/>
  <c r="AU46" i="18" s="1"/>
  <c r="AU47" i="18" s="1"/>
  <c r="AU48" i="18" s="1"/>
  <c r="AU49" i="18" s="1"/>
  <c r="AU50" i="18" s="1"/>
  <c r="AU51" i="18" s="1"/>
  <c r="AS44" i="18"/>
  <c r="AS45" i="18" s="1"/>
  <c r="AE44" i="18"/>
  <c r="AB44" i="18"/>
  <c r="E44" i="18" s="1"/>
  <c r="G44" i="18" s="1"/>
  <c r="X44" i="18"/>
  <c r="W44" i="18"/>
  <c r="Y44" i="18" s="1"/>
  <c r="V44" i="18"/>
  <c r="S44" i="18"/>
  <c r="N44" i="18"/>
  <c r="P44" i="18" s="1"/>
  <c r="M44" i="18"/>
  <c r="J44" i="18"/>
  <c r="D44" i="18"/>
  <c r="AY43" i="18"/>
  <c r="AY44" i="18" s="1"/>
  <c r="AY45" i="18" s="1"/>
  <c r="AY46" i="18" s="1"/>
  <c r="AY47" i="18" s="1"/>
  <c r="AY48" i="18" s="1"/>
  <c r="AY49" i="18" s="1"/>
  <c r="AY50" i="18" s="1"/>
  <c r="AY51" i="18" s="1"/>
  <c r="AU43" i="18"/>
  <c r="AE43" i="18"/>
  <c r="AB43" i="18"/>
  <c r="X43" i="18"/>
  <c r="V43" i="18"/>
  <c r="S43" i="18"/>
  <c r="P43" i="18"/>
  <c r="N43" i="18"/>
  <c r="M43" i="18"/>
  <c r="J43" i="18"/>
  <c r="E43" i="18"/>
  <c r="D43" i="18"/>
  <c r="AS42" i="18"/>
  <c r="AS43" i="18" s="1"/>
  <c r="AL42" i="18"/>
  <c r="AL43" i="18" s="1"/>
  <c r="AL44" i="18" s="1"/>
  <c r="AL45" i="18" s="1"/>
  <c r="AJ42" i="18"/>
  <c r="AJ43" i="18" s="1"/>
  <c r="AE42" i="18"/>
  <c r="AB42" i="18"/>
  <c r="X42" i="18"/>
  <c r="V42" i="18"/>
  <c r="S42" i="18"/>
  <c r="N42" i="18"/>
  <c r="P42" i="18" s="1"/>
  <c r="M42" i="18"/>
  <c r="J42" i="18"/>
  <c r="E42" i="18"/>
  <c r="D42" i="18"/>
  <c r="AY41" i="18"/>
  <c r="AY42" i="18" s="1"/>
  <c r="AM41" i="18"/>
  <c r="AN41" i="18" s="1"/>
  <c r="AL41" i="18"/>
  <c r="AJ41" i="18"/>
  <c r="AE41" i="18"/>
  <c r="N41" i="18" s="1"/>
  <c r="P41" i="18" s="1"/>
  <c r="AB41" i="18"/>
  <c r="E41" i="18" s="1"/>
  <c r="G41" i="18" s="1"/>
  <c r="X41" i="18"/>
  <c r="V41" i="18"/>
  <c r="S41" i="18"/>
  <c r="M41" i="18"/>
  <c r="J41" i="18"/>
  <c r="D41" i="18"/>
  <c r="AY40" i="18"/>
  <c r="AX40" i="18"/>
  <c r="AV40" i="18"/>
  <c r="AU40" i="18"/>
  <c r="AU41" i="18" s="1"/>
  <c r="AU42" i="18" s="1"/>
  <c r="AS40" i="18"/>
  <c r="AS41" i="18" s="1"/>
  <c r="AQ40" i="18"/>
  <c r="AP40" i="18"/>
  <c r="AP41" i="18" s="1"/>
  <c r="AO40" i="18"/>
  <c r="AO41" i="18" s="1"/>
  <c r="AO42" i="18" s="1"/>
  <c r="AO43" i="18" s="1"/>
  <c r="AO44" i="18" s="1"/>
  <c r="AN40" i="18"/>
  <c r="AM40" i="18"/>
  <c r="AL40" i="18"/>
  <c r="AJ40" i="18"/>
  <c r="AG40" i="18"/>
  <c r="AF40" i="18"/>
  <c r="AE40" i="18"/>
  <c r="N40" i="18" s="1"/>
  <c r="AB40" i="18"/>
  <c r="E40" i="18" s="1"/>
  <c r="X40" i="18"/>
  <c r="V40" i="18"/>
  <c r="S40" i="18"/>
  <c r="M40" i="18"/>
  <c r="J40" i="18"/>
  <c r="D40" i="18"/>
  <c r="AE39" i="18"/>
  <c r="AB39" i="18"/>
  <c r="X39" i="18"/>
  <c r="V39" i="18"/>
  <c r="S39" i="18"/>
  <c r="N39" i="18"/>
  <c r="P39" i="18" s="1"/>
  <c r="M39" i="18"/>
  <c r="J39" i="18"/>
  <c r="E39" i="18"/>
  <c r="W39" i="18" s="1"/>
  <c r="D39" i="18"/>
  <c r="AE38" i="18"/>
  <c r="N38" i="18" s="1"/>
  <c r="P38" i="18" s="1"/>
  <c r="AB38" i="18"/>
  <c r="X38" i="18"/>
  <c r="V38" i="18"/>
  <c r="S38" i="18"/>
  <c r="M38" i="18"/>
  <c r="J38" i="18"/>
  <c r="E38" i="18"/>
  <c r="D38" i="18"/>
  <c r="AY37" i="18"/>
  <c r="AY38" i="18" s="1"/>
  <c r="AY39" i="18" s="1"/>
  <c r="AE37" i="18"/>
  <c r="N37" i="18" s="1"/>
  <c r="AB37" i="18"/>
  <c r="E37" i="18" s="1"/>
  <c r="G37" i="18" s="1"/>
  <c r="X37" i="18"/>
  <c r="V37" i="18"/>
  <c r="S37" i="18"/>
  <c r="M37" i="18"/>
  <c r="J37" i="18"/>
  <c r="D37" i="18"/>
  <c r="AU36" i="18"/>
  <c r="AU37" i="18" s="1"/>
  <c r="AU38" i="18" s="1"/>
  <c r="AU39" i="18" s="1"/>
  <c r="AE36" i="18"/>
  <c r="N36" i="18" s="1"/>
  <c r="P36" i="18" s="1"/>
  <c r="AB36" i="18"/>
  <c r="X36" i="18"/>
  <c r="V36" i="18"/>
  <c r="S36" i="18"/>
  <c r="M36" i="18"/>
  <c r="J36" i="18"/>
  <c r="E36" i="18"/>
  <c r="D36" i="18"/>
  <c r="AE35" i="18"/>
  <c r="AB35" i="18"/>
  <c r="X35" i="18"/>
  <c r="V35" i="18"/>
  <c r="S35" i="18"/>
  <c r="P35" i="18"/>
  <c r="N35" i="18"/>
  <c r="M35" i="18"/>
  <c r="J35" i="18"/>
  <c r="E35" i="18"/>
  <c r="D35" i="18"/>
  <c r="AE34" i="18"/>
  <c r="N34" i="18" s="1"/>
  <c r="P34" i="18" s="1"/>
  <c r="AB34" i="18"/>
  <c r="E34" i="18" s="1"/>
  <c r="X34" i="18"/>
  <c r="V34" i="18"/>
  <c r="S34" i="18"/>
  <c r="M34" i="18"/>
  <c r="J34" i="18"/>
  <c r="D34" i="18"/>
  <c r="AE33" i="18"/>
  <c r="N33" i="18" s="1"/>
  <c r="P33" i="18" s="1"/>
  <c r="AB33" i="18"/>
  <c r="E33" i="18" s="1"/>
  <c r="G33" i="18" s="1"/>
  <c r="X33" i="18"/>
  <c r="W33" i="18"/>
  <c r="Y33" i="18" s="1"/>
  <c r="V33" i="18"/>
  <c r="S33" i="18"/>
  <c r="M33" i="18"/>
  <c r="J33" i="18"/>
  <c r="D33" i="18"/>
  <c r="AO32" i="18"/>
  <c r="AO33" i="18" s="1"/>
  <c r="AO34" i="18" s="1"/>
  <c r="AO35" i="18" s="1"/>
  <c r="AO36" i="18" s="1"/>
  <c r="AO37" i="18" s="1"/>
  <c r="AO38" i="18" s="1"/>
  <c r="AO39" i="18" s="1"/>
  <c r="AE32" i="18"/>
  <c r="AB32" i="18"/>
  <c r="Y32" i="18"/>
  <c r="X32" i="18"/>
  <c r="W32" i="18"/>
  <c r="V32" i="18"/>
  <c r="S32" i="18"/>
  <c r="N32" i="18"/>
  <c r="P32" i="18" s="1"/>
  <c r="M32" i="18"/>
  <c r="J32" i="18"/>
  <c r="G32" i="18"/>
  <c r="E32" i="18"/>
  <c r="D32" i="18"/>
  <c r="AO31" i="18"/>
  <c r="AE31" i="18"/>
  <c r="AB31" i="18"/>
  <c r="X31" i="18"/>
  <c r="V31" i="18"/>
  <c r="S31" i="18"/>
  <c r="N31" i="18"/>
  <c r="P31" i="18" s="1"/>
  <c r="M31" i="18"/>
  <c r="J31" i="18"/>
  <c r="E31" i="18"/>
  <c r="D31" i="18"/>
  <c r="AY30" i="18"/>
  <c r="AY31" i="18" s="1"/>
  <c r="AY32" i="18" s="1"/>
  <c r="AY33" i="18" s="1"/>
  <c r="AY34" i="18" s="1"/>
  <c r="AY35" i="18" s="1"/>
  <c r="AY36" i="18" s="1"/>
  <c r="AX30" i="18"/>
  <c r="AE30" i="18"/>
  <c r="N30" i="18" s="1"/>
  <c r="P30" i="18" s="1"/>
  <c r="AB30" i="18"/>
  <c r="E30" i="18" s="1"/>
  <c r="G30" i="18" s="1"/>
  <c r="X30" i="18"/>
  <c r="W30" i="18"/>
  <c r="Y30" i="18" s="1"/>
  <c r="V30" i="18"/>
  <c r="S30" i="18"/>
  <c r="M30" i="18"/>
  <c r="J30" i="18"/>
  <c r="D30" i="18"/>
  <c r="AY29" i="18"/>
  <c r="AX29" i="18"/>
  <c r="AZ29" i="18" s="1"/>
  <c r="AS29" i="18"/>
  <c r="AS30" i="18" s="1"/>
  <c r="AG29" i="18"/>
  <c r="AF29" i="18"/>
  <c r="AF30" i="18" s="1"/>
  <c r="AE29" i="18"/>
  <c r="N29" i="18" s="1"/>
  <c r="AB29" i="18"/>
  <c r="E29" i="18" s="1"/>
  <c r="G29" i="18" s="1"/>
  <c r="X29" i="18"/>
  <c r="V29" i="18"/>
  <c r="S29" i="18"/>
  <c r="M29" i="18"/>
  <c r="J29" i="18"/>
  <c r="D29" i="18"/>
  <c r="AY28" i="18"/>
  <c r="AX28" i="18"/>
  <c r="AZ28" i="18" s="1"/>
  <c r="AV28" i="18"/>
  <c r="AU28" i="18"/>
  <c r="AU29" i="18" s="1"/>
  <c r="AU30" i="18" s="1"/>
  <c r="AU31" i="18" s="1"/>
  <c r="AU32" i="18" s="1"/>
  <c r="AU33" i="18" s="1"/>
  <c r="AU34" i="18" s="1"/>
  <c r="AU35" i="18" s="1"/>
  <c r="AS28" i="18"/>
  <c r="AP28" i="18"/>
  <c r="AP29" i="18" s="1"/>
  <c r="AP30" i="18" s="1"/>
  <c r="AO28" i="18"/>
  <c r="AO29" i="18" s="1"/>
  <c r="AO30" i="18" s="1"/>
  <c r="AM28" i="18"/>
  <c r="AL28" i="18"/>
  <c r="AK28" i="18"/>
  <c r="AJ28" i="18"/>
  <c r="AJ29" i="18" s="1"/>
  <c r="AH28" i="18"/>
  <c r="AG28" i="18"/>
  <c r="AF28" i="18"/>
  <c r="AE28" i="18"/>
  <c r="AB28" i="18"/>
  <c r="X28" i="18"/>
  <c r="W28" i="18"/>
  <c r="V28" i="18"/>
  <c r="S28" i="18"/>
  <c r="N28" i="18"/>
  <c r="M28" i="18"/>
  <c r="J28" i="18"/>
  <c r="G28" i="18"/>
  <c r="E28" i="18"/>
  <c r="AI28" i="18" s="1"/>
  <c r="D28" i="18"/>
  <c r="AE27" i="18"/>
  <c r="N27" i="18" s="1"/>
  <c r="P27" i="18" s="1"/>
  <c r="AB27" i="18"/>
  <c r="X27" i="18"/>
  <c r="V27" i="18"/>
  <c r="S27" i="18"/>
  <c r="M27" i="18"/>
  <c r="J27" i="18"/>
  <c r="G27" i="18"/>
  <c r="E27" i="18"/>
  <c r="D27" i="18"/>
  <c r="AE26" i="18"/>
  <c r="N26" i="18" s="1"/>
  <c r="P26" i="18" s="1"/>
  <c r="AB26" i="18"/>
  <c r="E26" i="18" s="1"/>
  <c r="X26" i="18"/>
  <c r="V26" i="18"/>
  <c r="S26" i="18"/>
  <c r="M26" i="18"/>
  <c r="J26" i="18"/>
  <c r="D26" i="18"/>
  <c r="AE25" i="18"/>
  <c r="AB25" i="18"/>
  <c r="E25" i="18" s="1"/>
  <c r="X25" i="18"/>
  <c r="V25" i="18"/>
  <c r="S25" i="18"/>
  <c r="N25" i="18"/>
  <c r="P25" i="18" s="1"/>
  <c r="M25" i="18"/>
  <c r="J25" i="18"/>
  <c r="D25" i="18"/>
  <c r="AE24" i="18"/>
  <c r="AB24" i="18"/>
  <c r="X24" i="18"/>
  <c r="V24" i="18"/>
  <c r="S24" i="18"/>
  <c r="N24" i="18"/>
  <c r="P24" i="18" s="1"/>
  <c r="M24" i="18"/>
  <c r="J24" i="18"/>
  <c r="E24" i="18"/>
  <c r="D24" i="18"/>
  <c r="AE23" i="18"/>
  <c r="N23" i="18" s="1"/>
  <c r="P23" i="18" s="1"/>
  <c r="AB23" i="18"/>
  <c r="X23" i="18"/>
  <c r="V23" i="18"/>
  <c r="S23" i="18"/>
  <c r="M23" i="18"/>
  <c r="J23" i="18"/>
  <c r="E23" i="18"/>
  <c r="D23" i="18"/>
  <c r="AY22" i="18"/>
  <c r="AY23" i="18" s="1"/>
  <c r="AY24" i="18" s="1"/>
  <c r="AY25" i="18" s="1"/>
  <c r="AY26" i="18" s="1"/>
  <c r="AY27" i="18" s="1"/>
  <c r="AU22" i="18"/>
  <c r="AU23" i="18" s="1"/>
  <c r="AU24" i="18" s="1"/>
  <c r="AU25" i="18" s="1"/>
  <c r="AU26" i="18" s="1"/>
  <c r="AU27" i="18" s="1"/>
  <c r="AE22" i="18"/>
  <c r="AB22" i="18"/>
  <c r="E22" i="18" s="1"/>
  <c r="X22" i="18"/>
  <c r="V22" i="18"/>
  <c r="S22" i="18"/>
  <c r="P22" i="18"/>
  <c r="N22" i="18"/>
  <c r="M22" i="18"/>
  <c r="J22" i="18"/>
  <c r="D22" i="18"/>
  <c r="AE21" i="18"/>
  <c r="AB21" i="18"/>
  <c r="X21" i="18"/>
  <c r="W21" i="18"/>
  <c r="V21" i="18"/>
  <c r="S21" i="18"/>
  <c r="P21" i="18"/>
  <c r="N21" i="18"/>
  <c r="M21" i="18"/>
  <c r="J21" i="18"/>
  <c r="G21" i="18"/>
  <c r="E21" i="18"/>
  <c r="D21" i="18"/>
  <c r="AE20" i="18"/>
  <c r="AB20" i="18"/>
  <c r="X20" i="18"/>
  <c r="V20" i="18"/>
  <c r="S20" i="18"/>
  <c r="N20" i="18"/>
  <c r="P20" i="18" s="1"/>
  <c r="M20" i="18"/>
  <c r="J20" i="18"/>
  <c r="E20" i="18"/>
  <c r="D20" i="18"/>
  <c r="AY19" i="18"/>
  <c r="AY20" i="18" s="1"/>
  <c r="AY21" i="18" s="1"/>
  <c r="AF19" i="18"/>
  <c r="AE19" i="18"/>
  <c r="N19" i="18" s="1"/>
  <c r="P19" i="18" s="1"/>
  <c r="AB19" i="18"/>
  <c r="E19" i="18" s="1"/>
  <c r="G19" i="18" s="1"/>
  <c r="X19" i="18"/>
  <c r="W19" i="18"/>
  <c r="V19" i="18"/>
  <c r="S19" i="18"/>
  <c r="M19" i="18"/>
  <c r="J19" i="18"/>
  <c r="D19" i="18"/>
  <c r="AX18" i="18"/>
  <c r="AS18" i="18"/>
  <c r="AF18" i="18"/>
  <c r="AE18" i="18"/>
  <c r="N18" i="18" s="1"/>
  <c r="P18" i="18" s="1"/>
  <c r="AB18" i="18"/>
  <c r="E18" i="18" s="1"/>
  <c r="G18" i="18" s="1"/>
  <c r="X18" i="18"/>
  <c r="W18" i="18"/>
  <c r="V18" i="18"/>
  <c r="S18" i="18"/>
  <c r="M18" i="18"/>
  <c r="J18" i="18"/>
  <c r="D18" i="18"/>
  <c r="AX17" i="18"/>
  <c r="AZ17" i="18" s="1"/>
  <c r="AV17" i="18"/>
  <c r="AW17" i="18" s="1"/>
  <c r="AU17" i="18"/>
  <c r="AU18" i="18" s="1"/>
  <c r="AU19" i="18" s="1"/>
  <c r="AU20" i="18" s="1"/>
  <c r="AU21" i="18" s="1"/>
  <c r="AS17" i="18"/>
  <c r="AP17" i="18"/>
  <c r="AP18" i="18" s="1"/>
  <c r="AL17" i="18"/>
  <c r="AL18" i="18" s="1"/>
  <c r="AL19" i="18" s="1"/>
  <c r="AL20" i="18" s="1"/>
  <c r="AL21" i="18" s="1"/>
  <c r="AL22" i="18" s="1"/>
  <c r="AL23" i="18" s="1"/>
  <c r="AL24" i="18" s="1"/>
  <c r="AL25" i="18" s="1"/>
  <c r="AL26" i="18" s="1"/>
  <c r="AL27" i="18" s="1"/>
  <c r="AE17" i="18"/>
  <c r="AB17" i="18"/>
  <c r="X17" i="18"/>
  <c r="V17" i="18"/>
  <c r="S17" i="18"/>
  <c r="N17" i="18"/>
  <c r="P17" i="18" s="1"/>
  <c r="M17" i="18"/>
  <c r="J17" i="18"/>
  <c r="G17" i="18"/>
  <c r="E17" i="18"/>
  <c r="W17" i="18" s="1"/>
  <c r="D17" i="18"/>
  <c r="AY16" i="18"/>
  <c r="AY17" i="18" s="1"/>
  <c r="AY18" i="18" s="1"/>
  <c r="AX16" i="18"/>
  <c r="AZ16" i="18" s="1"/>
  <c r="AV16" i="18"/>
  <c r="AW16" i="18" s="1"/>
  <c r="AU16" i="18"/>
  <c r="AS16" i="18"/>
  <c r="AP16" i="18"/>
  <c r="AQ16" i="18" s="1"/>
  <c r="AO16" i="18"/>
  <c r="AO17" i="18" s="1"/>
  <c r="AO18" i="18" s="1"/>
  <c r="AO19" i="18" s="1"/>
  <c r="AO20" i="18" s="1"/>
  <c r="AO21" i="18" s="1"/>
  <c r="AO22" i="18" s="1"/>
  <c r="AO23" i="18" s="1"/>
  <c r="AO24" i="18" s="1"/>
  <c r="AO25" i="18" s="1"/>
  <c r="AO26" i="18" s="1"/>
  <c r="AO27" i="18" s="1"/>
  <c r="AM16" i="18"/>
  <c r="AL16" i="18"/>
  <c r="AJ16" i="18"/>
  <c r="AJ17" i="18" s="1"/>
  <c r="AJ18" i="18" s="1"/>
  <c r="AG16" i="18"/>
  <c r="AF16" i="18"/>
  <c r="AF17" i="18" s="1"/>
  <c r="AE16" i="18"/>
  <c r="N16" i="18" s="1"/>
  <c r="AB16" i="18"/>
  <c r="X16" i="18"/>
  <c r="V16" i="18"/>
  <c r="S16" i="18"/>
  <c r="M16" i="18"/>
  <c r="J16" i="18"/>
  <c r="E16" i="18"/>
  <c r="D16" i="18"/>
  <c r="AE15" i="18"/>
  <c r="N15" i="18" s="1"/>
  <c r="P15" i="18" s="1"/>
  <c r="AB15" i="18"/>
  <c r="E15" i="18" s="1"/>
  <c r="G15" i="18" s="1"/>
  <c r="X15" i="18"/>
  <c r="Y15" i="18" s="1"/>
  <c r="W15" i="18"/>
  <c r="V15" i="18"/>
  <c r="S15" i="18"/>
  <c r="M15" i="18"/>
  <c r="J15" i="18"/>
  <c r="D15" i="18"/>
  <c r="AE14" i="18"/>
  <c r="AB14" i="18"/>
  <c r="X14" i="18"/>
  <c r="V14" i="18"/>
  <c r="S14" i="18"/>
  <c r="P14" i="18"/>
  <c r="N14" i="18"/>
  <c r="M14" i="18"/>
  <c r="J14" i="18"/>
  <c r="E14" i="18"/>
  <c r="W14" i="18" s="1"/>
  <c r="Y14" i="18" s="1"/>
  <c r="D14" i="18"/>
  <c r="AE13" i="18"/>
  <c r="AB13" i="18"/>
  <c r="X13" i="18"/>
  <c r="V13" i="18"/>
  <c r="S13" i="18"/>
  <c r="P13" i="18"/>
  <c r="N13" i="18"/>
  <c r="M13" i="18"/>
  <c r="J13" i="18"/>
  <c r="G13" i="18"/>
  <c r="E13" i="18"/>
  <c r="D13" i="18"/>
  <c r="AE12" i="18"/>
  <c r="N12" i="18" s="1"/>
  <c r="P12" i="18" s="1"/>
  <c r="AB12" i="18"/>
  <c r="E12" i="18" s="1"/>
  <c r="X12" i="18"/>
  <c r="V12" i="18"/>
  <c r="S12" i="18"/>
  <c r="M12" i="18"/>
  <c r="J12" i="18"/>
  <c r="D12" i="18"/>
  <c r="AE11" i="18"/>
  <c r="N11" i="18" s="1"/>
  <c r="P11" i="18" s="1"/>
  <c r="AB11" i="18"/>
  <c r="E11" i="18" s="1"/>
  <c r="G11" i="18" s="1"/>
  <c r="X11" i="18"/>
  <c r="W11" i="18"/>
  <c r="V11" i="18"/>
  <c r="S11" i="18"/>
  <c r="M11" i="18"/>
  <c r="J11" i="18"/>
  <c r="D11" i="18"/>
  <c r="AE10" i="18"/>
  <c r="AB10" i="18"/>
  <c r="Y10" i="18"/>
  <c r="X10" i="18"/>
  <c r="W10" i="18"/>
  <c r="V10" i="18"/>
  <c r="S10" i="18"/>
  <c r="P10" i="18"/>
  <c r="N10" i="18"/>
  <c r="M10" i="18"/>
  <c r="J10" i="18"/>
  <c r="G10" i="18"/>
  <c r="E10" i="18"/>
  <c r="D10" i="18"/>
  <c r="AO9" i="18"/>
  <c r="AO10" i="18" s="1"/>
  <c r="AO11" i="18" s="1"/>
  <c r="AO12" i="18" s="1"/>
  <c r="AO13" i="18" s="1"/>
  <c r="AO14" i="18" s="1"/>
  <c r="AO15" i="18" s="1"/>
  <c r="AE9" i="18"/>
  <c r="AB9" i="18"/>
  <c r="X9" i="18"/>
  <c r="V9" i="18"/>
  <c r="S9" i="18"/>
  <c r="N9" i="18"/>
  <c r="P9" i="18" s="1"/>
  <c r="M9" i="18"/>
  <c r="J9" i="18"/>
  <c r="E9" i="18"/>
  <c r="D9" i="18"/>
  <c r="AY8" i="18"/>
  <c r="AY9" i="18" s="1"/>
  <c r="AY10" i="18" s="1"/>
  <c r="AY11" i="18" s="1"/>
  <c r="AY12" i="18" s="1"/>
  <c r="AY13" i="18" s="1"/>
  <c r="AY14" i="18" s="1"/>
  <c r="AY15" i="18" s="1"/>
  <c r="AX8" i="18"/>
  <c r="AE8" i="18"/>
  <c r="N8" i="18" s="1"/>
  <c r="AB8" i="18"/>
  <c r="E8" i="18" s="1"/>
  <c r="G8" i="18" s="1"/>
  <c r="X8" i="18"/>
  <c r="V8" i="18"/>
  <c r="S8" i="18"/>
  <c r="M8" i="18"/>
  <c r="J8" i="18"/>
  <c r="D8" i="18"/>
  <c r="AY7" i="18"/>
  <c r="AX7" i="18"/>
  <c r="AU7" i="18"/>
  <c r="AU8" i="18" s="1"/>
  <c r="AU9" i="18" s="1"/>
  <c r="AU10" i="18" s="1"/>
  <c r="AU11" i="18" s="1"/>
  <c r="AU12" i="18" s="1"/>
  <c r="AU13" i="18" s="1"/>
  <c r="AU14" i="18" s="1"/>
  <c r="AU15" i="18" s="1"/>
  <c r="AE7" i="18"/>
  <c r="AB7" i="18"/>
  <c r="X7" i="18"/>
  <c r="V7" i="18"/>
  <c r="S7" i="18"/>
  <c r="P7" i="18"/>
  <c r="N7" i="18"/>
  <c r="W7" i="18" s="1"/>
  <c r="M7" i="18"/>
  <c r="J7" i="18"/>
  <c r="E7" i="18"/>
  <c r="G7" i="18" s="1"/>
  <c r="D7" i="18"/>
  <c r="AX6" i="18"/>
  <c r="AZ6" i="18" s="1"/>
  <c r="AO6" i="18"/>
  <c r="AO7" i="18" s="1"/>
  <c r="AO8" i="18" s="1"/>
  <c r="AE6" i="18"/>
  <c r="AB6" i="18"/>
  <c r="X6" i="18"/>
  <c r="V6" i="18"/>
  <c r="S6" i="18"/>
  <c r="N6" i="18"/>
  <c r="P6" i="18" s="1"/>
  <c r="M6" i="18"/>
  <c r="J6" i="18"/>
  <c r="E6" i="18"/>
  <c r="D6" i="18"/>
  <c r="AR5" i="18"/>
  <c r="AP5" i="18"/>
  <c r="AO5" i="18"/>
  <c r="AM5" i="18"/>
  <c r="AJ5" i="18"/>
  <c r="AG5" i="18"/>
  <c r="AF5" i="18"/>
  <c r="AE5" i="18"/>
  <c r="N5" i="18" s="1"/>
  <c r="P5" i="18" s="1"/>
  <c r="AB5" i="18"/>
  <c r="X5" i="18"/>
  <c r="V5" i="18"/>
  <c r="S5" i="18"/>
  <c r="M5" i="18"/>
  <c r="J5" i="18"/>
  <c r="G5" i="18"/>
  <c r="E5" i="18"/>
  <c r="D5" i="18"/>
  <c r="BA4" i="18"/>
  <c r="BC4" i="18" s="1"/>
  <c r="AY4" i="18"/>
  <c r="AY5" i="18" s="1"/>
  <c r="AY6" i="18" s="1"/>
  <c r="AX4" i="18"/>
  <c r="AX5" i="18" s="1"/>
  <c r="AV4" i="18"/>
  <c r="AU4" i="18"/>
  <c r="AU5" i="18" s="1"/>
  <c r="AU6" i="18" s="1"/>
  <c r="AS4" i="18"/>
  <c r="AR4" i="18"/>
  <c r="AP4" i="18"/>
  <c r="AQ4" i="18" s="1"/>
  <c r="AO4" i="18"/>
  <c r="AM4" i="18"/>
  <c r="AL4" i="18"/>
  <c r="AL5" i="18" s="1"/>
  <c r="AL6" i="18" s="1"/>
  <c r="AL7" i="18" s="1"/>
  <c r="AL8" i="18" s="1"/>
  <c r="AL9" i="18" s="1"/>
  <c r="AL10" i="18" s="1"/>
  <c r="AL11" i="18" s="1"/>
  <c r="AL12" i="18" s="1"/>
  <c r="AL13" i="18" s="1"/>
  <c r="AL14" i="18" s="1"/>
  <c r="AL15" i="18" s="1"/>
  <c r="AK4" i="18"/>
  <c r="AJ4" i="18"/>
  <c r="BB4" i="18" s="1"/>
  <c r="AI4" i="18"/>
  <c r="AI5" i="18" s="1"/>
  <c r="AI6" i="18" s="1"/>
  <c r="AI7" i="18" s="1"/>
  <c r="AI8" i="18" s="1"/>
  <c r="AI9" i="18" s="1"/>
  <c r="AI10" i="18" s="1"/>
  <c r="AI11" i="18" s="1"/>
  <c r="AI12" i="18" s="1"/>
  <c r="AI13" i="18" s="1"/>
  <c r="AI14" i="18" s="1"/>
  <c r="AI15" i="18" s="1"/>
  <c r="AG4" i="18"/>
  <c r="AF4" i="18"/>
  <c r="AE4" i="18"/>
  <c r="N4" i="18" s="1"/>
  <c r="P4" i="18" s="1"/>
  <c r="AB4" i="18"/>
  <c r="E4" i="18" s="1"/>
  <c r="G4" i="18" s="1"/>
  <c r="Y4" i="18"/>
  <c r="X4" i="18"/>
  <c r="W4" i="18"/>
  <c r="V4" i="18"/>
  <c r="S4" i="18"/>
  <c r="M4" i="18"/>
  <c r="J4" i="18"/>
  <c r="D4" i="18"/>
  <c r="P450" i="17"/>
  <c r="P27" i="17" s="1"/>
  <c r="L450" i="17"/>
  <c r="K450" i="17"/>
  <c r="J450" i="17"/>
  <c r="J27" i="17" s="1"/>
  <c r="P449" i="17"/>
  <c r="P417" i="17" s="1"/>
  <c r="O449" i="17"/>
  <c r="N449" i="17"/>
  <c r="N417" i="17" s="1"/>
  <c r="M449" i="17"/>
  <c r="L449" i="17"/>
  <c r="K449" i="17"/>
  <c r="J449" i="17"/>
  <c r="I449" i="17"/>
  <c r="H449" i="17"/>
  <c r="G449" i="17"/>
  <c r="G417" i="17" s="1"/>
  <c r="F449" i="17"/>
  <c r="F417" i="17" s="1"/>
  <c r="E449" i="17"/>
  <c r="D449" i="17"/>
  <c r="D417" i="17" s="1"/>
  <c r="C449" i="17"/>
  <c r="C417" i="17" s="1"/>
  <c r="B449" i="17"/>
  <c r="T448" i="17"/>
  <c r="S448" i="17"/>
  <c r="R448" i="17"/>
  <c r="Q448" i="17"/>
  <c r="P448" i="17"/>
  <c r="O448" i="17"/>
  <c r="N448" i="17"/>
  <c r="M448" i="17"/>
  <c r="L448" i="17"/>
  <c r="K448" i="17"/>
  <c r="K416" i="17" s="1"/>
  <c r="J448" i="17"/>
  <c r="I448" i="17"/>
  <c r="H448" i="17"/>
  <c r="G448" i="17"/>
  <c r="F448" i="17"/>
  <c r="E448" i="17"/>
  <c r="D448" i="17"/>
  <c r="D416" i="17" s="1"/>
  <c r="C448" i="17"/>
  <c r="C416" i="17" s="1"/>
  <c r="B448" i="17"/>
  <c r="T447" i="17"/>
  <c r="S447" i="17"/>
  <c r="R447" i="17"/>
  <c r="Q447" i="17"/>
  <c r="P447" i="17"/>
  <c r="P415" i="17" s="1"/>
  <c r="O447" i="17"/>
  <c r="N447" i="17"/>
  <c r="M447" i="17"/>
  <c r="L447" i="17"/>
  <c r="K447" i="17"/>
  <c r="J447" i="17"/>
  <c r="I447" i="17"/>
  <c r="H447" i="17"/>
  <c r="G447" i="17"/>
  <c r="F447" i="17"/>
  <c r="E447" i="17"/>
  <c r="D447" i="17"/>
  <c r="C447" i="17"/>
  <c r="B447" i="17"/>
  <c r="T446" i="17"/>
  <c r="S446" i="17"/>
  <c r="R446" i="17"/>
  <c r="Q446" i="17"/>
  <c r="P446" i="17"/>
  <c r="O446" i="17"/>
  <c r="N446" i="17"/>
  <c r="M446" i="17"/>
  <c r="M414" i="17" s="1"/>
  <c r="L446" i="17"/>
  <c r="K446" i="17"/>
  <c r="J446" i="17"/>
  <c r="I446" i="17"/>
  <c r="H446" i="17"/>
  <c r="G446" i="17"/>
  <c r="G414" i="17" s="1"/>
  <c r="F446" i="17"/>
  <c r="E446" i="17"/>
  <c r="D446" i="17"/>
  <c r="C446" i="17"/>
  <c r="B446" i="17"/>
  <c r="T445" i="17"/>
  <c r="S445" i="17"/>
  <c r="R445" i="17"/>
  <c r="Q445" i="17"/>
  <c r="P445" i="17"/>
  <c r="P413" i="17" s="1"/>
  <c r="O445" i="17"/>
  <c r="N445" i="17"/>
  <c r="M445" i="17"/>
  <c r="M413" i="17" s="1"/>
  <c r="L445" i="17"/>
  <c r="K445" i="17"/>
  <c r="J445" i="17"/>
  <c r="J413" i="17" s="1"/>
  <c r="I445" i="17"/>
  <c r="H445" i="17"/>
  <c r="G445" i="17"/>
  <c r="F445" i="17"/>
  <c r="E445" i="17"/>
  <c r="D445" i="17"/>
  <c r="C445" i="17"/>
  <c r="B445" i="17"/>
  <c r="T444" i="17"/>
  <c r="S444" i="17"/>
  <c r="R444" i="17"/>
  <c r="Q444" i="17"/>
  <c r="P444" i="17"/>
  <c r="O444" i="17"/>
  <c r="N444" i="17"/>
  <c r="N412" i="17" s="1"/>
  <c r="M444" i="17"/>
  <c r="L444" i="17"/>
  <c r="K444" i="17"/>
  <c r="J444" i="17"/>
  <c r="J412" i="17" s="1"/>
  <c r="I444" i="17"/>
  <c r="H444" i="17"/>
  <c r="G444" i="17"/>
  <c r="G412" i="17" s="1"/>
  <c r="F444" i="17"/>
  <c r="E444" i="17"/>
  <c r="D444" i="17"/>
  <c r="C444" i="17"/>
  <c r="B444" i="17"/>
  <c r="T443" i="17"/>
  <c r="S443" i="17"/>
  <c r="R443" i="17"/>
  <c r="Q443" i="17"/>
  <c r="P443" i="17"/>
  <c r="O443" i="17"/>
  <c r="N443" i="17"/>
  <c r="M443" i="17"/>
  <c r="L443" i="17"/>
  <c r="K443" i="17"/>
  <c r="K411" i="17" s="1"/>
  <c r="J443" i="17"/>
  <c r="J411" i="17" s="1"/>
  <c r="I443" i="17"/>
  <c r="H443" i="17"/>
  <c r="H411" i="17" s="1"/>
  <c r="G443" i="17"/>
  <c r="G411" i="17" s="1"/>
  <c r="F443" i="17"/>
  <c r="E443" i="17"/>
  <c r="D443" i="17"/>
  <c r="D411" i="17" s="1"/>
  <c r="C443" i="17"/>
  <c r="B443" i="17"/>
  <c r="T442" i="17"/>
  <c r="S442" i="17"/>
  <c r="R442" i="17"/>
  <c r="Q442" i="17"/>
  <c r="P442" i="17"/>
  <c r="O442" i="17"/>
  <c r="N442" i="17"/>
  <c r="M442" i="17"/>
  <c r="L442" i="17"/>
  <c r="K442" i="17"/>
  <c r="J442" i="17"/>
  <c r="I442" i="17"/>
  <c r="H442" i="17"/>
  <c r="H410" i="17" s="1"/>
  <c r="G442" i="17"/>
  <c r="G410" i="17" s="1"/>
  <c r="F442" i="17"/>
  <c r="E442" i="17"/>
  <c r="E410" i="17" s="1"/>
  <c r="D442" i="17"/>
  <c r="D410" i="17" s="1"/>
  <c r="C442" i="17"/>
  <c r="B442" i="17"/>
  <c r="T441" i="17"/>
  <c r="S441" i="17"/>
  <c r="R441" i="17"/>
  <c r="Q441" i="17"/>
  <c r="P441" i="17"/>
  <c r="O441" i="17"/>
  <c r="N441" i="17"/>
  <c r="N409" i="17" s="1"/>
  <c r="M441" i="17"/>
  <c r="L441" i="17"/>
  <c r="K441" i="17"/>
  <c r="J441" i="17"/>
  <c r="I441" i="17"/>
  <c r="H441" i="17"/>
  <c r="G441" i="17"/>
  <c r="F441" i="17"/>
  <c r="E441" i="17"/>
  <c r="E409" i="17" s="1"/>
  <c r="D441" i="17"/>
  <c r="D409" i="17" s="1"/>
  <c r="C441" i="17"/>
  <c r="B441" i="17"/>
  <c r="T440" i="17"/>
  <c r="S440" i="17"/>
  <c r="R440" i="17"/>
  <c r="Q440" i="17"/>
  <c r="Q408" i="17" s="1"/>
  <c r="P440" i="17"/>
  <c r="O440" i="17"/>
  <c r="N440" i="17"/>
  <c r="M440" i="17"/>
  <c r="L440" i="17"/>
  <c r="K440" i="17"/>
  <c r="K408" i="17" s="1"/>
  <c r="J440" i="17"/>
  <c r="I440" i="17"/>
  <c r="I450" i="17" s="1"/>
  <c r="I27" i="17" s="1"/>
  <c r="H440" i="17"/>
  <c r="G440" i="17"/>
  <c r="F440" i="17"/>
  <c r="E440" i="17"/>
  <c r="D440" i="17"/>
  <c r="C440" i="17"/>
  <c r="B440" i="17"/>
  <c r="B408" i="17" s="1"/>
  <c r="T439" i="17"/>
  <c r="S439" i="17"/>
  <c r="R439" i="17"/>
  <c r="Q439" i="17"/>
  <c r="Q407" i="17" s="1"/>
  <c r="P439" i="17"/>
  <c r="O439" i="17"/>
  <c r="N439" i="17"/>
  <c r="N407" i="17" s="1"/>
  <c r="M439" i="17"/>
  <c r="L439" i="17"/>
  <c r="K439" i="17"/>
  <c r="J439" i="17"/>
  <c r="I439" i="17"/>
  <c r="H439" i="17"/>
  <c r="G439" i="17"/>
  <c r="F439" i="17"/>
  <c r="E439" i="17"/>
  <c r="D439" i="17"/>
  <c r="C439" i="17"/>
  <c r="B439" i="17"/>
  <c r="T438" i="17"/>
  <c r="S438" i="17"/>
  <c r="R438" i="17"/>
  <c r="Q438" i="17"/>
  <c r="Q406" i="17" s="1"/>
  <c r="P438" i="17"/>
  <c r="O438" i="17"/>
  <c r="N438" i="17"/>
  <c r="N406" i="17" s="1"/>
  <c r="M438" i="17"/>
  <c r="L438" i="17"/>
  <c r="K438" i="17"/>
  <c r="K406" i="17" s="1"/>
  <c r="J438" i="17"/>
  <c r="I438" i="17"/>
  <c r="H438" i="17"/>
  <c r="G438" i="17"/>
  <c r="F438" i="17"/>
  <c r="E438" i="17"/>
  <c r="D438" i="17"/>
  <c r="C438" i="17"/>
  <c r="C406" i="17" s="1"/>
  <c r="B438" i="17"/>
  <c r="H434" i="17"/>
  <c r="H26" i="17" s="1"/>
  <c r="P433" i="17"/>
  <c r="O433" i="17"/>
  <c r="N433" i="17"/>
  <c r="M433" i="17"/>
  <c r="L433" i="17"/>
  <c r="L417" i="17" s="1"/>
  <c r="K433" i="17"/>
  <c r="J433" i="17"/>
  <c r="J417" i="17" s="1"/>
  <c r="I433" i="17"/>
  <c r="H433" i="17"/>
  <c r="G433" i="17"/>
  <c r="F433" i="17"/>
  <c r="E433" i="17"/>
  <c r="E417" i="17" s="1"/>
  <c r="D433" i="17"/>
  <c r="C433" i="17"/>
  <c r="B433" i="17"/>
  <c r="P432" i="17"/>
  <c r="P416" i="17" s="1"/>
  <c r="O432" i="17"/>
  <c r="N432" i="17"/>
  <c r="M432" i="17"/>
  <c r="L432" i="17"/>
  <c r="L416" i="17" s="1"/>
  <c r="K432" i="17"/>
  <c r="J432" i="17"/>
  <c r="I432" i="17"/>
  <c r="I416" i="17" s="1"/>
  <c r="H432" i="17"/>
  <c r="H416" i="17" s="1"/>
  <c r="G432" i="17"/>
  <c r="G416" i="17" s="1"/>
  <c r="F432" i="17"/>
  <c r="E432" i="17"/>
  <c r="E416" i="17" s="1"/>
  <c r="D432" i="17"/>
  <c r="C432" i="17"/>
  <c r="B432" i="17"/>
  <c r="P431" i="17"/>
  <c r="O431" i="17"/>
  <c r="O415" i="17" s="1"/>
  <c r="N431" i="17"/>
  <c r="N415" i="17" s="1"/>
  <c r="M431" i="17"/>
  <c r="L431" i="17"/>
  <c r="L415" i="17" s="1"/>
  <c r="K431" i="17"/>
  <c r="J431" i="17"/>
  <c r="I431" i="17"/>
  <c r="I415" i="17" s="1"/>
  <c r="H431" i="17"/>
  <c r="G431" i="17"/>
  <c r="G415" i="17" s="1"/>
  <c r="F431" i="17"/>
  <c r="F415" i="17" s="1"/>
  <c r="E431" i="17"/>
  <c r="E415" i="17" s="1"/>
  <c r="D431" i="17"/>
  <c r="C431" i="17"/>
  <c r="B431" i="17"/>
  <c r="P430" i="17"/>
  <c r="O430" i="17"/>
  <c r="N430" i="17"/>
  <c r="M430" i="17"/>
  <c r="L430" i="17"/>
  <c r="K430" i="17"/>
  <c r="J430" i="17"/>
  <c r="I430" i="17"/>
  <c r="I414" i="17" s="1"/>
  <c r="H430" i="17"/>
  <c r="G430" i="17"/>
  <c r="F430" i="17"/>
  <c r="F414" i="17" s="1"/>
  <c r="E430" i="17"/>
  <c r="D430" i="17"/>
  <c r="D414" i="17" s="1"/>
  <c r="C430" i="17"/>
  <c r="C414" i="17" s="1"/>
  <c r="B430" i="17"/>
  <c r="B414" i="17" s="1"/>
  <c r="P429" i="17"/>
  <c r="O429" i="17"/>
  <c r="N429" i="17"/>
  <c r="M429" i="17"/>
  <c r="L429" i="17"/>
  <c r="K429" i="17"/>
  <c r="J429" i="17"/>
  <c r="I429" i="17"/>
  <c r="H429" i="17"/>
  <c r="G429" i="17"/>
  <c r="F429" i="17"/>
  <c r="E429" i="17"/>
  <c r="D429" i="17"/>
  <c r="D413" i="17" s="1"/>
  <c r="D418" i="17" s="1"/>
  <c r="C429" i="17"/>
  <c r="B429" i="17"/>
  <c r="P428" i="17"/>
  <c r="P412" i="17" s="1"/>
  <c r="O428" i="17"/>
  <c r="N428" i="17"/>
  <c r="M428" i="17"/>
  <c r="L428" i="17"/>
  <c r="K428" i="17"/>
  <c r="J428" i="17"/>
  <c r="I428" i="17"/>
  <c r="H428" i="17"/>
  <c r="G428" i="17"/>
  <c r="F428" i="17"/>
  <c r="F412" i="17" s="1"/>
  <c r="E428" i="17"/>
  <c r="D428" i="17"/>
  <c r="C428" i="17"/>
  <c r="C412" i="17" s="1"/>
  <c r="B428" i="17"/>
  <c r="P427" i="17"/>
  <c r="P411" i="17" s="1"/>
  <c r="O427" i="17"/>
  <c r="O411" i="17" s="1"/>
  <c r="N427" i="17"/>
  <c r="N411" i="17" s="1"/>
  <c r="M427" i="17"/>
  <c r="M411" i="17" s="1"/>
  <c r="L427" i="17"/>
  <c r="K427" i="17"/>
  <c r="J427" i="17"/>
  <c r="I427" i="17"/>
  <c r="H427" i="17"/>
  <c r="G427" i="17"/>
  <c r="F427" i="17"/>
  <c r="E427" i="17"/>
  <c r="D427" i="17"/>
  <c r="C427" i="17"/>
  <c r="B427" i="17"/>
  <c r="P426" i="17"/>
  <c r="O426" i="17"/>
  <c r="N426" i="17"/>
  <c r="N410" i="17" s="1"/>
  <c r="M426" i="17"/>
  <c r="M410" i="17" s="1"/>
  <c r="L426" i="17"/>
  <c r="L410" i="17" s="1"/>
  <c r="K426" i="17"/>
  <c r="K410" i="17" s="1"/>
  <c r="J426" i="17"/>
  <c r="J410" i="17" s="1"/>
  <c r="I426" i="17"/>
  <c r="H426" i="17"/>
  <c r="G426" i="17"/>
  <c r="F426" i="17"/>
  <c r="E426" i="17"/>
  <c r="D426" i="17"/>
  <c r="C426" i="17"/>
  <c r="B426" i="17"/>
  <c r="P425" i="17"/>
  <c r="O425" i="17"/>
  <c r="N425" i="17"/>
  <c r="M425" i="17"/>
  <c r="L425" i="17"/>
  <c r="K425" i="17"/>
  <c r="J425" i="17"/>
  <c r="J409" i="17" s="1"/>
  <c r="I425" i="17"/>
  <c r="I409" i="17" s="1"/>
  <c r="H425" i="17"/>
  <c r="H409" i="17" s="1"/>
  <c r="G425" i="17"/>
  <c r="G409" i="17" s="1"/>
  <c r="F425" i="17"/>
  <c r="E425" i="17"/>
  <c r="D425" i="17"/>
  <c r="C425" i="17"/>
  <c r="B425" i="17"/>
  <c r="Q424" i="17"/>
  <c r="P424" i="17"/>
  <c r="O424" i="17"/>
  <c r="N424" i="17"/>
  <c r="M424" i="17"/>
  <c r="L424" i="17"/>
  <c r="K424" i="17"/>
  <c r="J424" i="17"/>
  <c r="I424" i="17"/>
  <c r="I408" i="17" s="1"/>
  <c r="H424" i="17"/>
  <c r="G424" i="17"/>
  <c r="G408" i="17" s="1"/>
  <c r="F424" i="17"/>
  <c r="F408" i="17" s="1"/>
  <c r="E424" i="17"/>
  <c r="E408" i="17" s="1"/>
  <c r="D424" i="17"/>
  <c r="D408" i="17" s="1"/>
  <c r="C424" i="17"/>
  <c r="C408" i="17" s="1"/>
  <c r="B424" i="17"/>
  <c r="Q423" i="17"/>
  <c r="P423" i="17"/>
  <c r="O423" i="17"/>
  <c r="N423" i="17"/>
  <c r="M423" i="17"/>
  <c r="L423" i="17"/>
  <c r="K423" i="17"/>
  <c r="J423" i="17"/>
  <c r="I423" i="17"/>
  <c r="H423" i="17"/>
  <c r="G423" i="17"/>
  <c r="G407" i="17" s="1"/>
  <c r="F423" i="17"/>
  <c r="E423" i="17"/>
  <c r="D423" i="17"/>
  <c r="D407" i="17" s="1"/>
  <c r="C423" i="17"/>
  <c r="C407" i="17" s="1"/>
  <c r="B423" i="17"/>
  <c r="Q422" i="17"/>
  <c r="P422" i="17"/>
  <c r="P406" i="17" s="1"/>
  <c r="O422" i="17"/>
  <c r="N422" i="17"/>
  <c r="M422" i="17"/>
  <c r="L422" i="17"/>
  <c r="K422" i="17"/>
  <c r="J422" i="17"/>
  <c r="I422" i="17"/>
  <c r="H422" i="17"/>
  <c r="G422" i="17"/>
  <c r="F422" i="17"/>
  <c r="E422" i="17"/>
  <c r="D422" i="17"/>
  <c r="C422" i="17"/>
  <c r="B422" i="17"/>
  <c r="O417" i="17"/>
  <c r="M417" i="17"/>
  <c r="B417" i="17"/>
  <c r="O416" i="17"/>
  <c r="N416" i="17"/>
  <c r="M416" i="17"/>
  <c r="J416" i="17"/>
  <c r="M415" i="17"/>
  <c r="K415" i="17"/>
  <c r="D415" i="17"/>
  <c r="P414" i="17"/>
  <c r="O414" i="17"/>
  <c r="N414" i="17"/>
  <c r="L414" i="17"/>
  <c r="K414" i="17"/>
  <c r="J414" i="17"/>
  <c r="H414" i="17"/>
  <c r="N413" i="17"/>
  <c r="L413" i="17"/>
  <c r="K413" i="17"/>
  <c r="I413" i="17"/>
  <c r="H413" i="17"/>
  <c r="G413" i="17"/>
  <c r="F413" i="17"/>
  <c r="E413" i="17"/>
  <c r="C413" i="17"/>
  <c r="B413" i="17"/>
  <c r="K412" i="17"/>
  <c r="I412" i="17"/>
  <c r="H412" i="17"/>
  <c r="E412" i="17"/>
  <c r="D412" i="17"/>
  <c r="B412" i="17"/>
  <c r="F411" i="17"/>
  <c r="E411" i="17"/>
  <c r="C411" i="17"/>
  <c r="B411" i="17"/>
  <c r="P410" i="17"/>
  <c r="P418" i="17" s="1"/>
  <c r="O410" i="17"/>
  <c r="C410" i="17"/>
  <c r="B410" i="17"/>
  <c r="P409" i="17"/>
  <c r="O409" i="17"/>
  <c r="L409" i="17"/>
  <c r="B409" i="17"/>
  <c r="P408" i="17"/>
  <c r="O408" i="17"/>
  <c r="M408" i="17"/>
  <c r="L408" i="17"/>
  <c r="J408" i="17"/>
  <c r="H408" i="17"/>
  <c r="P407" i="17"/>
  <c r="O407" i="17"/>
  <c r="M407" i="17"/>
  <c r="L407" i="17"/>
  <c r="K407" i="17"/>
  <c r="J407" i="17"/>
  <c r="I407" i="17"/>
  <c r="F407" i="17"/>
  <c r="E407" i="17"/>
  <c r="B407" i="17"/>
  <c r="M406" i="17"/>
  <c r="L406" i="17"/>
  <c r="J406" i="17"/>
  <c r="I406" i="17"/>
  <c r="H406" i="17"/>
  <c r="G406" i="17"/>
  <c r="F406" i="17"/>
  <c r="D406" i="17"/>
  <c r="B406" i="17"/>
  <c r="I402" i="17"/>
  <c r="I24" i="17" s="1"/>
  <c r="G402" i="17"/>
  <c r="G24" i="17" s="1"/>
  <c r="T401" i="17"/>
  <c r="S401" i="17"/>
  <c r="R401" i="17"/>
  <c r="Q401" i="17"/>
  <c r="P401" i="17"/>
  <c r="O401" i="17"/>
  <c r="O369" i="17" s="1"/>
  <c r="N401" i="17"/>
  <c r="M401" i="17"/>
  <c r="L401" i="17"/>
  <c r="K401" i="17"/>
  <c r="J401" i="17"/>
  <c r="I401" i="17"/>
  <c r="H401" i="17"/>
  <c r="G401" i="17"/>
  <c r="F401" i="17"/>
  <c r="E401" i="17"/>
  <c r="D401" i="17"/>
  <c r="C401" i="17"/>
  <c r="B401" i="17"/>
  <c r="T400" i="17"/>
  <c r="S400" i="17"/>
  <c r="R400" i="17"/>
  <c r="Q400" i="17"/>
  <c r="P400" i="17"/>
  <c r="O400" i="17"/>
  <c r="O368" i="17" s="1"/>
  <c r="N400" i="17"/>
  <c r="M400" i="17"/>
  <c r="L400" i="17"/>
  <c r="L368" i="17" s="1"/>
  <c r="K400" i="17"/>
  <c r="J400" i="17"/>
  <c r="I400" i="17"/>
  <c r="H400" i="17"/>
  <c r="G400" i="17"/>
  <c r="F400" i="17"/>
  <c r="F368" i="17" s="1"/>
  <c r="E400" i="17"/>
  <c r="E368" i="17" s="1"/>
  <c r="D400" i="17"/>
  <c r="D368" i="17" s="1"/>
  <c r="C400" i="17"/>
  <c r="B400" i="17"/>
  <c r="T399" i="17"/>
  <c r="S399" i="17"/>
  <c r="R399" i="17"/>
  <c r="Q399" i="17"/>
  <c r="P399" i="17"/>
  <c r="P367" i="17" s="1"/>
  <c r="O399" i="17"/>
  <c r="O367" i="17" s="1"/>
  <c r="N399" i="17"/>
  <c r="M399" i="17"/>
  <c r="L399" i="17"/>
  <c r="K399" i="17"/>
  <c r="J399" i="17"/>
  <c r="I399" i="17"/>
  <c r="I367" i="17" s="1"/>
  <c r="H399" i="17"/>
  <c r="G399" i="17"/>
  <c r="F399" i="17"/>
  <c r="E399" i="17"/>
  <c r="D399" i="17"/>
  <c r="C399" i="17"/>
  <c r="C367" i="17" s="1"/>
  <c r="B399" i="17"/>
  <c r="T398" i="17"/>
  <c r="S398" i="17"/>
  <c r="R398" i="17"/>
  <c r="Q398" i="17"/>
  <c r="P398" i="17"/>
  <c r="O398" i="17"/>
  <c r="N398" i="17"/>
  <c r="M398" i="17"/>
  <c r="M366" i="17" s="1"/>
  <c r="L398" i="17"/>
  <c r="L366" i="17" s="1"/>
  <c r="K398" i="17"/>
  <c r="J398" i="17"/>
  <c r="I398" i="17"/>
  <c r="H398" i="17"/>
  <c r="G398" i="17"/>
  <c r="F398" i="17"/>
  <c r="F366" i="17" s="1"/>
  <c r="E398" i="17"/>
  <c r="D398" i="17"/>
  <c r="C398" i="17"/>
  <c r="B398" i="17"/>
  <c r="T397" i="17"/>
  <c r="S397" i="17"/>
  <c r="R397" i="17"/>
  <c r="Q397" i="17"/>
  <c r="P397" i="17"/>
  <c r="P365" i="17" s="1"/>
  <c r="O397" i="17"/>
  <c r="N397" i="17"/>
  <c r="M397" i="17"/>
  <c r="M365" i="17" s="1"/>
  <c r="L397" i="17"/>
  <c r="K397" i="17"/>
  <c r="J397" i="17"/>
  <c r="J365" i="17" s="1"/>
  <c r="I397" i="17"/>
  <c r="I365" i="17" s="1"/>
  <c r="H397" i="17"/>
  <c r="G397" i="17"/>
  <c r="F397" i="17"/>
  <c r="E397" i="17"/>
  <c r="D397" i="17"/>
  <c r="C397" i="17"/>
  <c r="C365" i="17" s="1"/>
  <c r="B397" i="17"/>
  <c r="T396" i="17"/>
  <c r="S396" i="17"/>
  <c r="R396" i="17"/>
  <c r="Q396" i="17"/>
  <c r="P396" i="17"/>
  <c r="P364" i="17" s="1"/>
  <c r="O396" i="17"/>
  <c r="N396" i="17"/>
  <c r="M396" i="17"/>
  <c r="M364" i="17" s="1"/>
  <c r="L396" i="17"/>
  <c r="K396" i="17"/>
  <c r="K402" i="17" s="1"/>
  <c r="J396" i="17"/>
  <c r="I396" i="17"/>
  <c r="H396" i="17"/>
  <c r="G396" i="17"/>
  <c r="G364" i="17" s="1"/>
  <c r="F396" i="17"/>
  <c r="F364" i="17" s="1"/>
  <c r="E396" i="17"/>
  <c r="D396" i="17"/>
  <c r="D364" i="17" s="1"/>
  <c r="C396" i="17"/>
  <c r="C364" i="17" s="1"/>
  <c r="B396" i="17"/>
  <c r="T395" i="17"/>
  <c r="S395" i="17"/>
  <c r="R395" i="17"/>
  <c r="Q395" i="17"/>
  <c r="P395" i="17"/>
  <c r="O395" i="17"/>
  <c r="N395" i="17"/>
  <c r="M395" i="17"/>
  <c r="M363" i="17" s="1"/>
  <c r="L395" i="17"/>
  <c r="K395" i="17"/>
  <c r="K363" i="17" s="1"/>
  <c r="J395" i="17"/>
  <c r="I395" i="17"/>
  <c r="H395" i="17"/>
  <c r="G395" i="17"/>
  <c r="F395" i="17"/>
  <c r="E395" i="17"/>
  <c r="D395" i="17"/>
  <c r="D363" i="17" s="1"/>
  <c r="C395" i="17"/>
  <c r="C363" i="17" s="1"/>
  <c r="B395" i="17"/>
  <c r="T394" i="17"/>
  <c r="S394" i="17"/>
  <c r="R394" i="17"/>
  <c r="Q394" i="17"/>
  <c r="P394" i="17"/>
  <c r="P362" i="17" s="1"/>
  <c r="O394" i="17"/>
  <c r="N394" i="17"/>
  <c r="M394" i="17"/>
  <c r="L394" i="17"/>
  <c r="K394" i="17"/>
  <c r="J394" i="17"/>
  <c r="I394" i="17"/>
  <c r="I362" i="17" s="1"/>
  <c r="H394" i="17"/>
  <c r="H362" i="17" s="1"/>
  <c r="G394" i="17"/>
  <c r="F394" i="17"/>
  <c r="E394" i="17"/>
  <c r="D394" i="17"/>
  <c r="C394" i="17"/>
  <c r="B394" i="17"/>
  <c r="T393" i="17"/>
  <c r="S393" i="17"/>
  <c r="R393" i="17"/>
  <c r="Q393" i="17"/>
  <c r="P393" i="17"/>
  <c r="P361" i="17" s="1"/>
  <c r="O393" i="17"/>
  <c r="N393" i="17"/>
  <c r="M393" i="17"/>
  <c r="M361" i="17" s="1"/>
  <c r="L393" i="17"/>
  <c r="K393" i="17"/>
  <c r="J393" i="17"/>
  <c r="I393" i="17"/>
  <c r="H393" i="17"/>
  <c r="G393" i="17"/>
  <c r="F393" i="17"/>
  <c r="E393" i="17"/>
  <c r="D393" i="17"/>
  <c r="C393" i="17"/>
  <c r="B393" i="17"/>
  <c r="T392" i="17"/>
  <c r="S392" i="17"/>
  <c r="R392" i="17"/>
  <c r="Q392" i="17"/>
  <c r="Q360" i="17" s="1"/>
  <c r="P392" i="17"/>
  <c r="P360" i="17" s="1"/>
  <c r="O392" i="17"/>
  <c r="N392" i="17"/>
  <c r="M392" i="17"/>
  <c r="M360" i="17" s="1"/>
  <c r="L392" i="17"/>
  <c r="K392" i="17"/>
  <c r="J392" i="17"/>
  <c r="J360" i="17" s="1"/>
  <c r="I392" i="17"/>
  <c r="H392" i="17"/>
  <c r="G392" i="17"/>
  <c r="F392" i="17"/>
  <c r="E392" i="17"/>
  <c r="D392" i="17"/>
  <c r="C392" i="17"/>
  <c r="B392" i="17"/>
  <c r="T391" i="17"/>
  <c r="S391" i="17"/>
  <c r="R391" i="17"/>
  <c r="R402" i="17" s="1"/>
  <c r="R24" i="17" s="1"/>
  <c r="Q391" i="17"/>
  <c r="Q359" i="17" s="1"/>
  <c r="P391" i="17"/>
  <c r="O391" i="17"/>
  <c r="N391" i="17"/>
  <c r="N359" i="17" s="1"/>
  <c r="M391" i="17"/>
  <c r="M359" i="17" s="1"/>
  <c r="L391" i="17"/>
  <c r="K391" i="17"/>
  <c r="J391" i="17"/>
  <c r="I391" i="17"/>
  <c r="H391" i="17"/>
  <c r="G391" i="17"/>
  <c r="G359" i="17" s="1"/>
  <c r="F391" i="17"/>
  <c r="E391" i="17"/>
  <c r="D391" i="17"/>
  <c r="C391" i="17"/>
  <c r="B391" i="17"/>
  <c r="T390" i="17"/>
  <c r="S390" i="17"/>
  <c r="R390" i="17"/>
  <c r="Q390" i="17"/>
  <c r="P390" i="17"/>
  <c r="O390" i="17"/>
  <c r="O402" i="17" s="1"/>
  <c r="O24" i="17" s="1"/>
  <c r="N390" i="17"/>
  <c r="M390" i="17"/>
  <c r="L390" i="17"/>
  <c r="K390" i="17"/>
  <c r="K358" i="17" s="1"/>
  <c r="J390" i="17"/>
  <c r="J358" i="17" s="1"/>
  <c r="I390" i="17"/>
  <c r="H390" i="17"/>
  <c r="G390" i="17"/>
  <c r="G358" i="17" s="1"/>
  <c r="F390" i="17"/>
  <c r="E390" i="17"/>
  <c r="D390" i="17"/>
  <c r="D358" i="17" s="1"/>
  <c r="C390" i="17"/>
  <c r="B390" i="17"/>
  <c r="I386" i="17"/>
  <c r="P385" i="17"/>
  <c r="O385" i="17"/>
  <c r="N385" i="17"/>
  <c r="N369" i="17" s="1"/>
  <c r="M385" i="17"/>
  <c r="L385" i="17"/>
  <c r="K385" i="17"/>
  <c r="J385" i="17"/>
  <c r="I385" i="17"/>
  <c r="H385" i="17"/>
  <c r="G385" i="17"/>
  <c r="F385" i="17"/>
  <c r="E385" i="17"/>
  <c r="E369" i="17" s="1"/>
  <c r="D385" i="17"/>
  <c r="C385" i="17"/>
  <c r="B385" i="17"/>
  <c r="P384" i="17"/>
  <c r="O384" i="17"/>
  <c r="N384" i="17"/>
  <c r="M384" i="17"/>
  <c r="L384" i="17"/>
  <c r="K384" i="17"/>
  <c r="J384" i="17"/>
  <c r="J368" i="17" s="1"/>
  <c r="I384" i="17"/>
  <c r="I368" i="17" s="1"/>
  <c r="H384" i="17"/>
  <c r="G384" i="17"/>
  <c r="F384" i="17"/>
  <c r="E384" i="17"/>
  <c r="D384" i="17"/>
  <c r="C384" i="17"/>
  <c r="B384" i="17"/>
  <c r="B368" i="17" s="1"/>
  <c r="P383" i="17"/>
  <c r="O383" i="17"/>
  <c r="N383" i="17"/>
  <c r="N367" i="17" s="1"/>
  <c r="M383" i="17"/>
  <c r="L383" i="17"/>
  <c r="K383" i="17"/>
  <c r="J383" i="17"/>
  <c r="I383" i="17"/>
  <c r="H383" i="17"/>
  <c r="G383" i="17"/>
  <c r="F383" i="17"/>
  <c r="E383" i="17"/>
  <c r="D383" i="17"/>
  <c r="C383" i="17"/>
  <c r="B383" i="17"/>
  <c r="P382" i="17"/>
  <c r="O382" i="17"/>
  <c r="O366" i="17" s="1"/>
  <c r="N382" i="17"/>
  <c r="N366" i="17" s="1"/>
  <c r="M382" i="17"/>
  <c r="L382" i="17"/>
  <c r="K382" i="17"/>
  <c r="K366" i="17" s="1"/>
  <c r="J382" i="17"/>
  <c r="I382" i="17"/>
  <c r="H382" i="17"/>
  <c r="G382" i="17"/>
  <c r="F382" i="17"/>
  <c r="E382" i="17"/>
  <c r="D382" i="17"/>
  <c r="D366" i="17" s="1"/>
  <c r="C382" i="17"/>
  <c r="C366" i="17" s="1"/>
  <c r="B382" i="17"/>
  <c r="P381" i="17"/>
  <c r="O381" i="17"/>
  <c r="O365" i="17" s="1"/>
  <c r="N381" i="17"/>
  <c r="M381" i="17"/>
  <c r="L381" i="17"/>
  <c r="K381" i="17"/>
  <c r="K365" i="17" s="1"/>
  <c r="J381" i="17"/>
  <c r="I381" i="17"/>
  <c r="H381" i="17"/>
  <c r="H365" i="17" s="1"/>
  <c r="G381" i="17"/>
  <c r="F381" i="17"/>
  <c r="E381" i="17"/>
  <c r="D381" i="17"/>
  <c r="C381" i="17"/>
  <c r="B381" i="17"/>
  <c r="P380" i="17"/>
  <c r="O380" i="17"/>
  <c r="N380" i="17"/>
  <c r="M380" i="17"/>
  <c r="L380" i="17"/>
  <c r="L364" i="17" s="1"/>
  <c r="K380" i="17"/>
  <c r="J380" i="17"/>
  <c r="I380" i="17"/>
  <c r="H380" i="17"/>
  <c r="H364" i="17" s="1"/>
  <c r="G380" i="17"/>
  <c r="F380" i="17"/>
  <c r="E380" i="17"/>
  <c r="E364" i="17" s="1"/>
  <c r="D380" i="17"/>
  <c r="C380" i="17"/>
  <c r="B380" i="17"/>
  <c r="P379" i="17"/>
  <c r="O379" i="17"/>
  <c r="N379" i="17"/>
  <c r="M379" i="17"/>
  <c r="L379" i="17"/>
  <c r="L363" i="17" s="1"/>
  <c r="K379" i="17"/>
  <c r="J379" i="17"/>
  <c r="I379" i="17"/>
  <c r="I363" i="17" s="1"/>
  <c r="H379" i="17"/>
  <c r="G379" i="17"/>
  <c r="F379" i="17"/>
  <c r="E379" i="17"/>
  <c r="E363" i="17" s="1"/>
  <c r="D379" i="17"/>
  <c r="C379" i="17"/>
  <c r="B379" i="17"/>
  <c r="B363" i="17" s="1"/>
  <c r="P378" i="17"/>
  <c r="O378" i="17"/>
  <c r="O362" i="17" s="1"/>
  <c r="N378" i="17"/>
  <c r="N386" i="17" s="1"/>
  <c r="N23" i="17" s="1"/>
  <c r="M378" i="17"/>
  <c r="M362" i="17" s="1"/>
  <c r="L378" i="17"/>
  <c r="L362" i="17" s="1"/>
  <c r="K378" i="17"/>
  <c r="J378" i="17"/>
  <c r="I378" i="17"/>
  <c r="H378" i="17"/>
  <c r="G378" i="17"/>
  <c r="F378" i="17"/>
  <c r="F362" i="17" s="1"/>
  <c r="E378" i="17"/>
  <c r="D378" i="17"/>
  <c r="C378" i="17"/>
  <c r="B378" i="17"/>
  <c r="P377" i="17"/>
  <c r="O377" i="17"/>
  <c r="N377" i="17"/>
  <c r="M377" i="17"/>
  <c r="L377" i="17"/>
  <c r="K377" i="17"/>
  <c r="J377" i="17"/>
  <c r="I377" i="17"/>
  <c r="I361" i="17" s="1"/>
  <c r="H377" i="17"/>
  <c r="G377" i="17"/>
  <c r="F377" i="17"/>
  <c r="F361" i="17" s="1"/>
  <c r="E377" i="17"/>
  <c r="D377" i="17"/>
  <c r="C377" i="17"/>
  <c r="C361" i="17" s="1"/>
  <c r="B377" i="17"/>
  <c r="Q376" i="17"/>
  <c r="P376" i="17"/>
  <c r="O376" i="17"/>
  <c r="O360" i="17" s="1"/>
  <c r="N376" i="17"/>
  <c r="M376" i="17"/>
  <c r="L376" i="17"/>
  <c r="K376" i="17"/>
  <c r="J376" i="17"/>
  <c r="I376" i="17"/>
  <c r="H376" i="17"/>
  <c r="G376" i="17"/>
  <c r="F376" i="17"/>
  <c r="E376" i="17"/>
  <c r="D376" i="17"/>
  <c r="C376" i="17"/>
  <c r="B376" i="17"/>
  <c r="B360" i="17" s="1"/>
  <c r="Q375" i="17"/>
  <c r="P375" i="17"/>
  <c r="O375" i="17"/>
  <c r="N375" i="17"/>
  <c r="M375" i="17"/>
  <c r="L375" i="17"/>
  <c r="L359" i="17" s="1"/>
  <c r="K375" i="17"/>
  <c r="J375" i="17"/>
  <c r="I375" i="17"/>
  <c r="H375" i="17"/>
  <c r="G375" i="17"/>
  <c r="F375" i="17"/>
  <c r="F359" i="17" s="1"/>
  <c r="E375" i="17"/>
  <c r="D375" i="17"/>
  <c r="C375" i="17"/>
  <c r="B375" i="17"/>
  <c r="Q374" i="17"/>
  <c r="P374" i="17"/>
  <c r="P358" i="17" s="1"/>
  <c r="O374" i="17"/>
  <c r="N374" i="17"/>
  <c r="M374" i="17"/>
  <c r="L374" i="17"/>
  <c r="K374" i="17"/>
  <c r="J374" i="17"/>
  <c r="I374" i="17"/>
  <c r="I358" i="17" s="1"/>
  <c r="H374" i="17"/>
  <c r="G374" i="17"/>
  <c r="F374" i="17"/>
  <c r="E374" i="17"/>
  <c r="D374" i="17"/>
  <c r="C374" i="17"/>
  <c r="B374" i="17"/>
  <c r="P369" i="17"/>
  <c r="M369" i="17"/>
  <c r="L369" i="17"/>
  <c r="K369" i="17"/>
  <c r="J369" i="17"/>
  <c r="I369" i="17"/>
  <c r="H369" i="17"/>
  <c r="G369" i="17"/>
  <c r="F369" i="17"/>
  <c r="C369" i="17"/>
  <c r="P368" i="17"/>
  <c r="N368" i="17"/>
  <c r="M368" i="17"/>
  <c r="K368" i="17"/>
  <c r="H368" i="17"/>
  <c r="G368" i="17"/>
  <c r="M367" i="17"/>
  <c r="K367" i="17"/>
  <c r="J367" i="17"/>
  <c r="H367" i="17"/>
  <c r="G367" i="17"/>
  <c r="F367" i="17"/>
  <c r="E367" i="17"/>
  <c r="D367" i="17"/>
  <c r="B367" i="17"/>
  <c r="J366" i="17"/>
  <c r="I366" i="17"/>
  <c r="H366" i="17"/>
  <c r="G366" i="17"/>
  <c r="E366" i="17"/>
  <c r="B366" i="17"/>
  <c r="G365" i="17"/>
  <c r="F365" i="17"/>
  <c r="E365" i="17"/>
  <c r="D365" i="17"/>
  <c r="B365" i="17"/>
  <c r="N364" i="17"/>
  <c r="B364" i="17"/>
  <c r="P363" i="17"/>
  <c r="O363" i="17"/>
  <c r="N363" i="17"/>
  <c r="J363" i="17"/>
  <c r="N362" i="17"/>
  <c r="K362" i="17"/>
  <c r="G362" i="17"/>
  <c r="D362" i="17"/>
  <c r="O361" i="17"/>
  <c r="N361" i="17"/>
  <c r="L361" i="17"/>
  <c r="K361" i="17"/>
  <c r="J361" i="17"/>
  <c r="H361" i="17"/>
  <c r="E361" i="17"/>
  <c r="N360" i="17"/>
  <c r="L360" i="17"/>
  <c r="K360" i="17"/>
  <c r="I360" i="17"/>
  <c r="H360" i="17"/>
  <c r="G360" i="17"/>
  <c r="F360" i="17"/>
  <c r="E360" i="17"/>
  <c r="K359" i="17"/>
  <c r="I359" i="17"/>
  <c r="H359" i="17"/>
  <c r="E359" i="17"/>
  <c r="C359" i="17"/>
  <c r="B359" i="17"/>
  <c r="Q358" i="17"/>
  <c r="N358" i="17"/>
  <c r="H358" i="17"/>
  <c r="F358" i="17"/>
  <c r="E358" i="17"/>
  <c r="C358" i="17"/>
  <c r="B358" i="17"/>
  <c r="T353" i="17"/>
  <c r="S353" i="17"/>
  <c r="R353" i="17"/>
  <c r="Q353" i="17"/>
  <c r="P353" i="17"/>
  <c r="O353" i="17"/>
  <c r="N353" i="17"/>
  <c r="N289" i="17" s="1"/>
  <c r="M353" i="17"/>
  <c r="L353" i="17"/>
  <c r="K353" i="17"/>
  <c r="K289" i="17" s="1"/>
  <c r="J353" i="17"/>
  <c r="I353" i="17"/>
  <c r="H353" i="17"/>
  <c r="G353" i="17"/>
  <c r="F353" i="17"/>
  <c r="E353" i="17"/>
  <c r="D353" i="17"/>
  <c r="C353" i="17"/>
  <c r="B353" i="17"/>
  <c r="T352" i="17"/>
  <c r="S352" i="17"/>
  <c r="R352" i="17"/>
  <c r="Q352" i="17"/>
  <c r="P352" i="17"/>
  <c r="O352" i="17"/>
  <c r="N352" i="17"/>
  <c r="M352" i="17"/>
  <c r="L352" i="17"/>
  <c r="K352" i="17"/>
  <c r="J352" i="17"/>
  <c r="I352" i="17"/>
  <c r="H352" i="17"/>
  <c r="G352" i="17"/>
  <c r="F352" i="17"/>
  <c r="E352" i="17"/>
  <c r="D352" i="17"/>
  <c r="C352" i="17"/>
  <c r="B352" i="17"/>
  <c r="T351" i="17"/>
  <c r="S351" i="17"/>
  <c r="R351" i="17"/>
  <c r="Q351" i="17"/>
  <c r="P351" i="17"/>
  <c r="O351" i="17"/>
  <c r="N351" i="17"/>
  <c r="M351" i="17"/>
  <c r="L351" i="17"/>
  <c r="K351" i="17"/>
  <c r="J351" i="17"/>
  <c r="I351" i="17"/>
  <c r="H351" i="17"/>
  <c r="G351" i="17"/>
  <c r="F351" i="17"/>
  <c r="E351" i="17"/>
  <c r="D351" i="17"/>
  <c r="C351" i="17"/>
  <c r="B351" i="17"/>
  <c r="T350" i="17"/>
  <c r="S350" i="17"/>
  <c r="R350" i="17"/>
  <c r="Q350" i="17"/>
  <c r="P350" i="17"/>
  <c r="O350" i="17"/>
  <c r="N350" i="17"/>
  <c r="M350" i="17"/>
  <c r="L350" i="17"/>
  <c r="K350" i="17"/>
  <c r="J350" i="17"/>
  <c r="I350" i="17"/>
  <c r="H350" i="17"/>
  <c r="H286" i="17" s="1"/>
  <c r="G350" i="17"/>
  <c r="F350" i="17"/>
  <c r="E350" i="17"/>
  <c r="D350" i="17"/>
  <c r="C350" i="17"/>
  <c r="C286" i="17" s="1"/>
  <c r="B350" i="17"/>
  <c r="B286" i="17" s="1"/>
  <c r="T349" i="17"/>
  <c r="S349" i="17"/>
  <c r="R349" i="17"/>
  <c r="Q349" i="17"/>
  <c r="P349" i="17"/>
  <c r="O349" i="17"/>
  <c r="N349" i="17"/>
  <c r="M349" i="17"/>
  <c r="L349" i="17"/>
  <c r="K349" i="17"/>
  <c r="J349" i="17"/>
  <c r="I349" i="17"/>
  <c r="H349" i="17"/>
  <c r="G349" i="17"/>
  <c r="F349" i="17"/>
  <c r="E349" i="17"/>
  <c r="D349" i="17"/>
  <c r="C349" i="17"/>
  <c r="B349" i="17"/>
  <c r="B285" i="17" s="1"/>
  <c r="T348" i="17"/>
  <c r="S348" i="17"/>
  <c r="R348" i="17"/>
  <c r="Q348" i="17"/>
  <c r="P348" i="17"/>
  <c r="O348" i="17"/>
  <c r="N348" i="17"/>
  <c r="M348" i="17"/>
  <c r="L348" i="17"/>
  <c r="K348" i="17"/>
  <c r="J348" i="17"/>
  <c r="I348" i="17"/>
  <c r="H348" i="17"/>
  <c r="G348" i="17"/>
  <c r="F348" i="17"/>
  <c r="E348" i="17"/>
  <c r="D348" i="17"/>
  <c r="C348" i="17"/>
  <c r="B348" i="17"/>
  <c r="T347" i="17"/>
  <c r="S347" i="17"/>
  <c r="R347" i="17"/>
  <c r="Q347" i="17"/>
  <c r="P347" i="17"/>
  <c r="P283" i="17" s="1"/>
  <c r="O347" i="17"/>
  <c r="N347" i="17"/>
  <c r="M347" i="17"/>
  <c r="L347" i="17"/>
  <c r="K347" i="17"/>
  <c r="J347" i="17"/>
  <c r="I347" i="17"/>
  <c r="H347" i="17"/>
  <c r="G347" i="17"/>
  <c r="F347" i="17"/>
  <c r="E347" i="17"/>
  <c r="D347" i="17"/>
  <c r="C347" i="17"/>
  <c r="B347" i="17"/>
  <c r="T346" i="17"/>
  <c r="S346" i="17"/>
  <c r="R346" i="17"/>
  <c r="Q346" i="17"/>
  <c r="P346" i="17"/>
  <c r="O346" i="17"/>
  <c r="O282" i="17" s="1"/>
  <c r="N346" i="17"/>
  <c r="N282" i="17" s="1"/>
  <c r="M346" i="17"/>
  <c r="L346" i="17"/>
  <c r="L282" i="17" s="1"/>
  <c r="K346" i="17"/>
  <c r="J346" i="17"/>
  <c r="I346" i="17"/>
  <c r="H346" i="17"/>
  <c r="G346" i="17"/>
  <c r="F346" i="17"/>
  <c r="E346" i="17"/>
  <c r="D346" i="17"/>
  <c r="C346" i="17"/>
  <c r="B346" i="17"/>
  <c r="T345" i="17"/>
  <c r="S345" i="17"/>
  <c r="R345" i="17"/>
  <c r="Q345" i="17"/>
  <c r="P345" i="17"/>
  <c r="O345" i="17"/>
  <c r="N345" i="17"/>
  <c r="M345" i="17"/>
  <c r="L345" i="17"/>
  <c r="K345" i="17"/>
  <c r="K281" i="17" s="1"/>
  <c r="J345" i="17"/>
  <c r="I345" i="17"/>
  <c r="I281" i="17" s="1"/>
  <c r="H345" i="17"/>
  <c r="G345" i="17"/>
  <c r="F345" i="17"/>
  <c r="E345" i="17"/>
  <c r="D345" i="17"/>
  <c r="C345" i="17"/>
  <c r="B345" i="17"/>
  <c r="T344" i="17"/>
  <c r="S344" i="17"/>
  <c r="R344" i="17"/>
  <c r="Q344" i="17"/>
  <c r="P344" i="17"/>
  <c r="O344" i="17"/>
  <c r="N344" i="17"/>
  <c r="M344" i="17"/>
  <c r="L344" i="17"/>
  <c r="K344" i="17"/>
  <c r="J344" i="17"/>
  <c r="I344" i="17"/>
  <c r="H344" i="17"/>
  <c r="G344" i="17"/>
  <c r="G280" i="17" s="1"/>
  <c r="F344" i="17"/>
  <c r="F280" i="17" s="1"/>
  <c r="E344" i="17"/>
  <c r="D344" i="17"/>
  <c r="C344" i="17"/>
  <c r="B344" i="17"/>
  <c r="T343" i="17"/>
  <c r="S343" i="17"/>
  <c r="R343" i="17"/>
  <c r="Q343" i="17"/>
  <c r="P343" i="17"/>
  <c r="O343" i="17"/>
  <c r="N343" i="17"/>
  <c r="M343" i="17"/>
  <c r="L343" i="17"/>
  <c r="K343" i="17"/>
  <c r="J343" i="17"/>
  <c r="I343" i="17"/>
  <c r="H343" i="17"/>
  <c r="G343" i="17"/>
  <c r="F343" i="17"/>
  <c r="E343" i="17"/>
  <c r="D343" i="17"/>
  <c r="C343" i="17"/>
  <c r="B343" i="17"/>
  <c r="T342" i="17"/>
  <c r="S342" i="17"/>
  <c r="S354" i="17" s="1"/>
  <c r="S21" i="17" s="1"/>
  <c r="R342" i="17"/>
  <c r="Q342" i="17"/>
  <c r="P342" i="17"/>
  <c r="O342" i="17"/>
  <c r="N342" i="17"/>
  <c r="M342" i="17"/>
  <c r="L342" i="17"/>
  <c r="K342" i="17"/>
  <c r="J342" i="17"/>
  <c r="I342" i="17"/>
  <c r="H342" i="17"/>
  <c r="G342" i="17"/>
  <c r="F342" i="17"/>
  <c r="E342" i="17"/>
  <c r="D342" i="17"/>
  <c r="C342" i="17"/>
  <c r="B342" i="17"/>
  <c r="B354" i="17" s="1"/>
  <c r="I338" i="17"/>
  <c r="I20" i="17" s="1"/>
  <c r="P337" i="17"/>
  <c r="O337" i="17"/>
  <c r="N337" i="17"/>
  <c r="N305" i="17" s="1"/>
  <c r="M337" i="17"/>
  <c r="M305" i="17" s="1"/>
  <c r="L337" i="17"/>
  <c r="K337" i="17"/>
  <c r="J337" i="17"/>
  <c r="I337" i="17"/>
  <c r="H337" i="17"/>
  <c r="G337" i="17"/>
  <c r="F337" i="17"/>
  <c r="E337" i="17"/>
  <c r="E305" i="17" s="1"/>
  <c r="E289" i="17" s="1"/>
  <c r="D337" i="17"/>
  <c r="C337" i="17"/>
  <c r="B337" i="17"/>
  <c r="P336" i="17"/>
  <c r="P303" i="17" s="1"/>
  <c r="P287" i="17" s="1"/>
  <c r="O336" i="17"/>
  <c r="N336" i="17"/>
  <c r="M336" i="17"/>
  <c r="L336" i="17"/>
  <c r="K336" i="17"/>
  <c r="K304" i="17" s="1"/>
  <c r="J336" i="17"/>
  <c r="J304" i="17" s="1"/>
  <c r="I336" i="17"/>
  <c r="H336" i="17"/>
  <c r="G336" i="17"/>
  <c r="F336" i="17"/>
  <c r="E336" i="17"/>
  <c r="D336" i="17"/>
  <c r="C336" i="17"/>
  <c r="C304" i="17" s="1"/>
  <c r="C288" i="17" s="1"/>
  <c r="B336" i="17"/>
  <c r="B304" i="17" s="1"/>
  <c r="B288" i="17" s="1"/>
  <c r="P335" i="17"/>
  <c r="O335" i="17"/>
  <c r="N335" i="17"/>
  <c r="M335" i="17"/>
  <c r="L335" i="17"/>
  <c r="K335" i="17"/>
  <c r="J335" i="17"/>
  <c r="I335" i="17"/>
  <c r="H335" i="17"/>
  <c r="H303" i="17" s="1"/>
  <c r="H287" i="17" s="1"/>
  <c r="G335" i="17"/>
  <c r="G303" i="17" s="1"/>
  <c r="F335" i="17"/>
  <c r="E335" i="17"/>
  <c r="D335" i="17"/>
  <c r="C335" i="17"/>
  <c r="B335" i="17"/>
  <c r="P334" i="17"/>
  <c r="O334" i="17"/>
  <c r="N334" i="17"/>
  <c r="M334" i="17"/>
  <c r="L334" i="17"/>
  <c r="K334" i="17"/>
  <c r="J334" i="17"/>
  <c r="I334" i="17"/>
  <c r="H334" i="17"/>
  <c r="G334" i="17"/>
  <c r="F334" i="17"/>
  <c r="E334" i="17"/>
  <c r="E302" i="17" s="1"/>
  <c r="E286" i="17" s="1"/>
  <c r="D334" i="17"/>
  <c r="D302" i="17" s="1"/>
  <c r="C334" i="17"/>
  <c r="B334" i="17"/>
  <c r="P333" i="17"/>
  <c r="O333" i="17"/>
  <c r="N333" i="17"/>
  <c r="N301" i="17" s="1"/>
  <c r="N285" i="17" s="1"/>
  <c r="M333" i="17"/>
  <c r="L333" i="17"/>
  <c r="K333" i="17"/>
  <c r="K301" i="17" s="1"/>
  <c r="K285" i="17" s="1"/>
  <c r="J333" i="17"/>
  <c r="I333" i="17"/>
  <c r="H333" i="17"/>
  <c r="G333" i="17"/>
  <c r="F333" i="17"/>
  <c r="E333" i="17"/>
  <c r="D333" i="17"/>
  <c r="C333" i="17"/>
  <c r="B333" i="17"/>
  <c r="B301" i="17" s="1"/>
  <c r="P332" i="17"/>
  <c r="O332" i="17"/>
  <c r="N332" i="17"/>
  <c r="M332" i="17"/>
  <c r="L332" i="17"/>
  <c r="L300" i="17" s="1"/>
  <c r="K332" i="17"/>
  <c r="J332" i="17"/>
  <c r="I332" i="17"/>
  <c r="I300" i="17" s="1"/>
  <c r="I284" i="17" s="1"/>
  <c r="H332" i="17"/>
  <c r="H300" i="17" s="1"/>
  <c r="G332" i="17"/>
  <c r="G300" i="17" s="1"/>
  <c r="G284" i="17" s="1"/>
  <c r="F332" i="17"/>
  <c r="E332" i="17"/>
  <c r="E300" i="17" s="1"/>
  <c r="D332" i="17"/>
  <c r="C332" i="17"/>
  <c r="B332" i="17"/>
  <c r="P331" i="17"/>
  <c r="O331" i="17"/>
  <c r="N331" i="17"/>
  <c r="M331" i="17"/>
  <c r="L331" i="17"/>
  <c r="K331" i="17"/>
  <c r="J331" i="17"/>
  <c r="I331" i="17"/>
  <c r="I299" i="17" s="1"/>
  <c r="I283" i="17" s="1"/>
  <c r="H331" i="17"/>
  <c r="H299" i="17" s="1"/>
  <c r="G331" i="17"/>
  <c r="F331" i="17"/>
  <c r="E331" i="17"/>
  <c r="E299" i="17" s="1"/>
  <c r="D331" i="17"/>
  <c r="C331" i="17"/>
  <c r="C299" i="17" s="1"/>
  <c r="B331" i="17"/>
  <c r="P330" i="17"/>
  <c r="O330" i="17"/>
  <c r="O297" i="17" s="1"/>
  <c r="N330" i="17"/>
  <c r="N298" i="17" s="1"/>
  <c r="M330" i="17"/>
  <c r="L330" i="17"/>
  <c r="K330" i="17"/>
  <c r="J330" i="17"/>
  <c r="I330" i="17"/>
  <c r="H330" i="17"/>
  <c r="G330" i="17"/>
  <c r="F330" i="17"/>
  <c r="F298" i="17" s="1"/>
  <c r="F282" i="17" s="1"/>
  <c r="E330" i="17"/>
  <c r="D330" i="17"/>
  <c r="C330" i="17"/>
  <c r="C298" i="17" s="1"/>
  <c r="C282" i="17" s="1"/>
  <c r="B330" i="17"/>
  <c r="B298" i="17" s="1"/>
  <c r="B282" i="17" s="1"/>
  <c r="P329" i="17"/>
  <c r="O329" i="17"/>
  <c r="N329" i="17"/>
  <c r="M329" i="17"/>
  <c r="L329" i="17"/>
  <c r="L297" i="17" s="1"/>
  <c r="K329" i="17"/>
  <c r="J329" i="17"/>
  <c r="I329" i="17"/>
  <c r="H329" i="17"/>
  <c r="G329" i="17"/>
  <c r="F329" i="17"/>
  <c r="E329" i="17"/>
  <c r="D329" i="17"/>
  <c r="C329" i="17"/>
  <c r="B329" i="17"/>
  <c r="Q328" i="17"/>
  <c r="P328" i="17"/>
  <c r="P338" i="17" s="1"/>
  <c r="P20" i="17" s="1"/>
  <c r="O328" i="17"/>
  <c r="N328" i="17"/>
  <c r="M328" i="17"/>
  <c r="L328" i="17"/>
  <c r="K328" i="17"/>
  <c r="J328" i="17"/>
  <c r="I328" i="17"/>
  <c r="H328" i="17"/>
  <c r="H296" i="17" s="1"/>
  <c r="G328" i="17"/>
  <c r="F328" i="17"/>
  <c r="E328" i="17"/>
  <c r="D328" i="17"/>
  <c r="C328" i="17"/>
  <c r="B328" i="17"/>
  <c r="Q327" i="17"/>
  <c r="P327" i="17"/>
  <c r="P294" i="17" s="1"/>
  <c r="O327" i="17"/>
  <c r="N327" i="17"/>
  <c r="M327" i="17"/>
  <c r="M295" i="17" s="1"/>
  <c r="L327" i="17"/>
  <c r="K327" i="17"/>
  <c r="J327" i="17"/>
  <c r="I327" i="17"/>
  <c r="H327" i="17"/>
  <c r="G327" i="17"/>
  <c r="F327" i="17"/>
  <c r="E327" i="17"/>
  <c r="D327" i="17"/>
  <c r="C327" i="17"/>
  <c r="B327" i="17"/>
  <c r="Q326" i="17"/>
  <c r="P326" i="17"/>
  <c r="O326" i="17"/>
  <c r="O338" i="17" s="1"/>
  <c r="N326" i="17"/>
  <c r="M326" i="17"/>
  <c r="L326" i="17"/>
  <c r="L338" i="17" s="1"/>
  <c r="K326" i="17"/>
  <c r="J326" i="17"/>
  <c r="J294" i="17" s="1"/>
  <c r="I326" i="17"/>
  <c r="I294" i="17" s="1"/>
  <c r="H326" i="17"/>
  <c r="G326" i="17"/>
  <c r="F326" i="17"/>
  <c r="E326" i="17"/>
  <c r="D326" i="17"/>
  <c r="C326" i="17"/>
  <c r="B326" i="17"/>
  <c r="T325" i="17"/>
  <c r="S325" i="17"/>
  <c r="R325" i="17"/>
  <c r="Q325" i="17"/>
  <c r="P325" i="17"/>
  <c r="O325" i="17"/>
  <c r="N325" i="17"/>
  <c r="M325" i="17"/>
  <c r="L325" i="17"/>
  <c r="K325" i="17"/>
  <c r="J325" i="17"/>
  <c r="I325" i="17"/>
  <c r="H325" i="17"/>
  <c r="G325" i="17"/>
  <c r="F325" i="17"/>
  <c r="E325" i="17"/>
  <c r="D325" i="17"/>
  <c r="C325" i="17"/>
  <c r="B325" i="17"/>
  <c r="P321" i="17"/>
  <c r="O321" i="17"/>
  <c r="O305" i="17" s="1"/>
  <c r="O289" i="17" s="1"/>
  <c r="N321" i="17"/>
  <c r="M321" i="17"/>
  <c r="L321" i="17"/>
  <c r="K321" i="17"/>
  <c r="J321" i="17"/>
  <c r="I321" i="17"/>
  <c r="H321" i="17"/>
  <c r="G321" i="17"/>
  <c r="F321" i="17"/>
  <c r="F305" i="17" s="1"/>
  <c r="F289" i="17" s="1"/>
  <c r="E321" i="17"/>
  <c r="D321" i="17"/>
  <c r="C321" i="17"/>
  <c r="C305" i="17" s="1"/>
  <c r="C289" i="17" s="1"/>
  <c r="B321" i="17"/>
  <c r="B305" i="17" s="1"/>
  <c r="B289" i="17" s="1"/>
  <c r="P320" i="17"/>
  <c r="P304" i="17" s="1"/>
  <c r="P288" i="17" s="1"/>
  <c r="O320" i="17"/>
  <c r="N320" i="17"/>
  <c r="M320" i="17"/>
  <c r="M304" i="17" s="1"/>
  <c r="M288" i="17" s="1"/>
  <c r="L320" i="17"/>
  <c r="L304" i="17" s="1"/>
  <c r="L288" i="17" s="1"/>
  <c r="K320" i="17"/>
  <c r="J320" i="17"/>
  <c r="I320" i="17"/>
  <c r="H320" i="17"/>
  <c r="G320" i="17"/>
  <c r="F320" i="17"/>
  <c r="E320" i="17"/>
  <c r="D320" i="17"/>
  <c r="C320" i="17"/>
  <c r="B320" i="17"/>
  <c r="P319" i="17"/>
  <c r="O319" i="17"/>
  <c r="N319" i="17"/>
  <c r="N303" i="17" s="1"/>
  <c r="N287" i="17" s="1"/>
  <c r="M319" i="17"/>
  <c r="M303" i="17" s="1"/>
  <c r="L319" i="17"/>
  <c r="L303" i="17" s="1"/>
  <c r="K319" i="17"/>
  <c r="J319" i="17"/>
  <c r="J303" i="17" s="1"/>
  <c r="I319" i="17"/>
  <c r="I303" i="17" s="1"/>
  <c r="H319" i="17"/>
  <c r="G319" i="17"/>
  <c r="F319" i="17"/>
  <c r="E319" i="17"/>
  <c r="D319" i="17"/>
  <c r="C319" i="17"/>
  <c r="B319" i="17"/>
  <c r="P318" i="17"/>
  <c r="O318" i="17"/>
  <c r="O302" i="17" s="1"/>
  <c r="O286" i="17" s="1"/>
  <c r="N318" i="17"/>
  <c r="M318" i="17"/>
  <c r="L318" i="17"/>
  <c r="L302" i="17" s="1"/>
  <c r="L286" i="17" s="1"/>
  <c r="K318" i="17"/>
  <c r="K302" i="17" s="1"/>
  <c r="K286" i="17" s="1"/>
  <c r="J318" i="17"/>
  <c r="J302" i="17" s="1"/>
  <c r="J286" i="17" s="1"/>
  <c r="I318" i="17"/>
  <c r="I302" i="17" s="1"/>
  <c r="I286" i="17" s="1"/>
  <c r="H318" i="17"/>
  <c r="G318" i="17"/>
  <c r="G302" i="17" s="1"/>
  <c r="F318" i="17"/>
  <c r="F302" i="17" s="1"/>
  <c r="E318" i="17"/>
  <c r="D318" i="17"/>
  <c r="C318" i="17"/>
  <c r="B318" i="17"/>
  <c r="P317" i="17"/>
  <c r="P301" i="17" s="1"/>
  <c r="O317" i="17"/>
  <c r="N317" i="17"/>
  <c r="M317" i="17"/>
  <c r="M301" i="17" s="1"/>
  <c r="M285" i="17" s="1"/>
  <c r="L317" i="17"/>
  <c r="K317" i="17"/>
  <c r="J317" i="17"/>
  <c r="I317" i="17"/>
  <c r="H317" i="17"/>
  <c r="G317" i="17"/>
  <c r="G301" i="17" s="1"/>
  <c r="G285" i="17" s="1"/>
  <c r="F317" i="17"/>
  <c r="F301" i="17" s="1"/>
  <c r="F285" i="17" s="1"/>
  <c r="E317" i="17"/>
  <c r="D317" i="17"/>
  <c r="D301" i="17" s="1"/>
  <c r="D285" i="17" s="1"/>
  <c r="C317" i="17"/>
  <c r="C301" i="17" s="1"/>
  <c r="C285" i="17" s="1"/>
  <c r="B317" i="17"/>
  <c r="P316" i="17"/>
  <c r="O316" i="17"/>
  <c r="N316" i="17"/>
  <c r="M316" i="17"/>
  <c r="L316" i="17"/>
  <c r="K316" i="17"/>
  <c r="K300" i="17" s="1"/>
  <c r="K284" i="17" s="1"/>
  <c r="J316" i="17"/>
  <c r="I316" i="17"/>
  <c r="H316" i="17"/>
  <c r="G316" i="17"/>
  <c r="F316" i="17"/>
  <c r="F300" i="17" s="1"/>
  <c r="F284" i="17" s="1"/>
  <c r="E316" i="17"/>
  <c r="D316" i="17"/>
  <c r="D300" i="17" s="1"/>
  <c r="C316" i="17"/>
  <c r="B316" i="17"/>
  <c r="P315" i="17"/>
  <c r="O315" i="17"/>
  <c r="N315" i="17"/>
  <c r="M315" i="17"/>
  <c r="M299" i="17" s="1"/>
  <c r="M283" i="17" s="1"/>
  <c r="L315" i="17"/>
  <c r="K315" i="17"/>
  <c r="K299" i="17" s="1"/>
  <c r="K283" i="17" s="1"/>
  <c r="J315" i="17"/>
  <c r="I315" i="17"/>
  <c r="H315" i="17"/>
  <c r="G315" i="17"/>
  <c r="F315" i="17"/>
  <c r="F299" i="17" s="1"/>
  <c r="F283" i="17" s="1"/>
  <c r="E315" i="17"/>
  <c r="D315" i="17"/>
  <c r="D299" i="17" s="1"/>
  <c r="C315" i="17"/>
  <c r="B315" i="17"/>
  <c r="P314" i="17"/>
  <c r="P298" i="17" s="1"/>
  <c r="P282" i="17" s="1"/>
  <c r="O314" i="17"/>
  <c r="N314" i="17"/>
  <c r="M314" i="17"/>
  <c r="L314" i="17"/>
  <c r="K314" i="17"/>
  <c r="J314" i="17"/>
  <c r="I314" i="17"/>
  <c r="I298" i="17" s="1"/>
  <c r="I282" i="17" s="1"/>
  <c r="H314" i="17"/>
  <c r="H298" i="17" s="1"/>
  <c r="H282" i="17" s="1"/>
  <c r="G314" i="17"/>
  <c r="F314" i="17"/>
  <c r="E314" i="17"/>
  <c r="D314" i="17"/>
  <c r="C314" i="17"/>
  <c r="B314" i="17"/>
  <c r="P313" i="17"/>
  <c r="P297" i="17" s="1"/>
  <c r="P281" i="17" s="1"/>
  <c r="O313" i="17"/>
  <c r="N313" i="17"/>
  <c r="N297" i="17" s="1"/>
  <c r="M313" i="17"/>
  <c r="M297" i="17" s="1"/>
  <c r="L313" i="17"/>
  <c r="K313" i="17"/>
  <c r="J313" i="17"/>
  <c r="I313" i="17"/>
  <c r="H313" i="17"/>
  <c r="G313" i="17"/>
  <c r="G297" i="17" s="1"/>
  <c r="G281" i="17" s="1"/>
  <c r="F313" i="17"/>
  <c r="E313" i="17"/>
  <c r="D313" i="17"/>
  <c r="D297" i="17" s="1"/>
  <c r="D281" i="17" s="1"/>
  <c r="C313" i="17"/>
  <c r="B313" i="17"/>
  <c r="Q312" i="17"/>
  <c r="P312" i="17"/>
  <c r="O312" i="17"/>
  <c r="N312" i="17"/>
  <c r="M312" i="17"/>
  <c r="L312" i="17"/>
  <c r="K312" i="17"/>
  <c r="K296" i="17" s="1"/>
  <c r="J312" i="17"/>
  <c r="J296" i="17" s="1"/>
  <c r="I312" i="17"/>
  <c r="H312" i="17"/>
  <c r="G312" i="17"/>
  <c r="F312" i="17"/>
  <c r="E312" i="17"/>
  <c r="D312" i="17"/>
  <c r="D296" i="17" s="1"/>
  <c r="C312" i="17"/>
  <c r="B312" i="17"/>
  <c r="Q311" i="17"/>
  <c r="Q295" i="17" s="1"/>
  <c r="Q279" i="17" s="1"/>
  <c r="P311" i="17"/>
  <c r="O311" i="17"/>
  <c r="O295" i="17" s="1"/>
  <c r="O279" i="17" s="1"/>
  <c r="N311" i="17"/>
  <c r="N295" i="17" s="1"/>
  <c r="N279" i="17" s="1"/>
  <c r="M311" i="17"/>
  <c r="L311" i="17"/>
  <c r="K311" i="17"/>
  <c r="J311" i="17"/>
  <c r="I311" i="17"/>
  <c r="H311" i="17"/>
  <c r="G311" i="17"/>
  <c r="G295" i="17" s="1"/>
  <c r="F311" i="17"/>
  <c r="E311" i="17"/>
  <c r="D311" i="17"/>
  <c r="C311" i="17"/>
  <c r="B311" i="17"/>
  <c r="Q310" i="17"/>
  <c r="P310" i="17"/>
  <c r="O310" i="17"/>
  <c r="N310" i="17"/>
  <c r="M310" i="17"/>
  <c r="L310" i="17"/>
  <c r="K310" i="17"/>
  <c r="J310" i="17"/>
  <c r="I310" i="17"/>
  <c r="H310" i="17"/>
  <c r="G310" i="17"/>
  <c r="F310" i="17"/>
  <c r="E310" i="17"/>
  <c r="D310" i="17"/>
  <c r="C310" i="17"/>
  <c r="B310" i="17"/>
  <c r="T309" i="17"/>
  <c r="S309" i="17"/>
  <c r="R309" i="17"/>
  <c r="Q309" i="17"/>
  <c r="P309" i="17"/>
  <c r="O309" i="17"/>
  <c r="N309" i="17"/>
  <c r="M309" i="17"/>
  <c r="L309" i="17"/>
  <c r="K309" i="17"/>
  <c r="J309" i="17"/>
  <c r="I309" i="17"/>
  <c r="H309" i="17"/>
  <c r="G309" i="17"/>
  <c r="F309" i="17"/>
  <c r="E309" i="17"/>
  <c r="D309" i="17"/>
  <c r="C309" i="17"/>
  <c r="B309" i="17"/>
  <c r="L305" i="17"/>
  <c r="K305" i="17"/>
  <c r="J305" i="17"/>
  <c r="I305" i="17"/>
  <c r="H305" i="17"/>
  <c r="D305" i="17"/>
  <c r="D289" i="17" s="1"/>
  <c r="O304" i="17"/>
  <c r="O288" i="17" s="1"/>
  <c r="N304" i="17"/>
  <c r="N288" i="17" s="1"/>
  <c r="I304" i="17"/>
  <c r="H304" i="17"/>
  <c r="G304" i="17"/>
  <c r="G288" i="17" s="1"/>
  <c r="F304" i="17"/>
  <c r="E304" i="17"/>
  <c r="O303" i="17"/>
  <c r="O287" i="17" s="1"/>
  <c r="K303" i="17"/>
  <c r="F303" i="17"/>
  <c r="E303" i="17"/>
  <c r="D303" i="17"/>
  <c r="C303" i="17"/>
  <c r="C287" i="17" s="1"/>
  <c r="B303" i="17"/>
  <c r="B287" i="17" s="1"/>
  <c r="P302" i="17"/>
  <c r="N302" i="17"/>
  <c r="M302" i="17"/>
  <c r="M286" i="17" s="1"/>
  <c r="H302" i="17"/>
  <c r="C302" i="17"/>
  <c r="B302" i="17"/>
  <c r="O301" i="17"/>
  <c r="L301" i="17"/>
  <c r="L285" i="17" s="1"/>
  <c r="J301" i="17"/>
  <c r="I301" i="17"/>
  <c r="H301" i="17"/>
  <c r="E301" i="17"/>
  <c r="E285" i="17" s="1"/>
  <c r="J300" i="17"/>
  <c r="C300" i="17"/>
  <c r="C284" i="17" s="1"/>
  <c r="B300" i="17"/>
  <c r="B284" i="17" s="1"/>
  <c r="P299" i="17"/>
  <c r="O299" i="17"/>
  <c r="N299" i="17"/>
  <c r="N283" i="17" s="1"/>
  <c r="L299" i="17"/>
  <c r="L283" i="17" s="1"/>
  <c r="G299" i="17"/>
  <c r="G283" i="17" s="1"/>
  <c r="B299" i="17"/>
  <c r="O298" i="17"/>
  <c r="M298" i="17"/>
  <c r="L298" i="17"/>
  <c r="K298" i="17"/>
  <c r="K282" i="17" s="1"/>
  <c r="D298" i="17"/>
  <c r="D282" i="17" s="1"/>
  <c r="K297" i="17"/>
  <c r="J297" i="17"/>
  <c r="I297" i="17"/>
  <c r="H297" i="17"/>
  <c r="B297" i="17"/>
  <c r="B281" i="17" s="1"/>
  <c r="P296" i="17"/>
  <c r="P280" i="17" s="1"/>
  <c r="O296" i="17"/>
  <c r="O280" i="17" s="1"/>
  <c r="M296" i="17"/>
  <c r="L296" i="17"/>
  <c r="L280" i="17" s="1"/>
  <c r="I296" i="17"/>
  <c r="G296" i="17"/>
  <c r="F296" i="17"/>
  <c r="E296" i="17"/>
  <c r="L295" i="17"/>
  <c r="J295" i="17"/>
  <c r="I295" i="17"/>
  <c r="F295" i="17"/>
  <c r="E295" i="17"/>
  <c r="D295" i="17"/>
  <c r="C295" i="17"/>
  <c r="B295" i="17"/>
  <c r="F294" i="17"/>
  <c r="C294" i="17"/>
  <c r="B294" i="17"/>
  <c r="L289" i="17"/>
  <c r="J289" i="17"/>
  <c r="I289" i="17"/>
  <c r="H289" i="17"/>
  <c r="K288" i="17"/>
  <c r="I288" i="17"/>
  <c r="F288" i="17"/>
  <c r="E288" i="17"/>
  <c r="M287" i="17"/>
  <c r="K287" i="17"/>
  <c r="F287" i="17"/>
  <c r="E287" i="17"/>
  <c r="D287" i="17"/>
  <c r="P286" i="17"/>
  <c r="N286" i="17"/>
  <c r="P285" i="17"/>
  <c r="O285" i="17"/>
  <c r="J285" i="17"/>
  <c r="I285" i="17"/>
  <c r="H285" i="17"/>
  <c r="L284" i="17"/>
  <c r="J284" i="17"/>
  <c r="H284" i="17"/>
  <c r="E284" i="17"/>
  <c r="D284" i="17"/>
  <c r="H283" i="17"/>
  <c r="E283" i="17"/>
  <c r="D283" i="17"/>
  <c r="C283" i="17"/>
  <c r="B283" i="17"/>
  <c r="O281" i="17"/>
  <c r="J281" i="17"/>
  <c r="H281" i="17"/>
  <c r="M280" i="17"/>
  <c r="K280" i="17"/>
  <c r="E280" i="17"/>
  <c r="D280" i="17"/>
  <c r="M279" i="17"/>
  <c r="L279" i="17"/>
  <c r="J279" i="17"/>
  <c r="I279" i="17"/>
  <c r="G279" i="17"/>
  <c r="J278" i="17"/>
  <c r="I278" i="17"/>
  <c r="F274" i="17"/>
  <c r="F16" i="17" s="1"/>
  <c r="T273" i="17"/>
  <c r="T241" i="17" s="1"/>
  <c r="S273" i="17"/>
  <c r="R273" i="17"/>
  <c r="Q273" i="17"/>
  <c r="P273" i="17"/>
  <c r="O273" i="17"/>
  <c r="N273" i="17"/>
  <c r="M273" i="17"/>
  <c r="L273" i="17"/>
  <c r="K273" i="17"/>
  <c r="J273" i="17"/>
  <c r="I273" i="17"/>
  <c r="H273" i="17"/>
  <c r="G273" i="17"/>
  <c r="G274" i="17" s="1"/>
  <c r="G16" i="17" s="1"/>
  <c r="F273" i="17"/>
  <c r="E273" i="17"/>
  <c r="D273" i="17"/>
  <c r="C273" i="17"/>
  <c r="B273" i="17"/>
  <c r="T272" i="17"/>
  <c r="T240" i="17" s="1"/>
  <c r="S272" i="17"/>
  <c r="R272" i="17"/>
  <c r="R240" i="17" s="1"/>
  <c r="Q272" i="17"/>
  <c r="Q240" i="17" s="1"/>
  <c r="P272" i="17"/>
  <c r="O272" i="17"/>
  <c r="N272" i="17"/>
  <c r="M272" i="17"/>
  <c r="L272" i="17"/>
  <c r="K272" i="17"/>
  <c r="J272" i="17"/>
  <c r="I272" i="17"/>
  <c r="H272" i="17"/>
  <c r="G272" i="17"/>
  <c r="F272" i="17"/>
  <c r="E272" i="17"/>
  <c r="D272" i="17"/>
  <c r="C272" i="17"/>
  <c r="B272" i="17"/>
  <c r="T271" i="17"/>
  <c r="S271" i="17"/>
  <c r="R271" i="17"/>
  <c r="Q271" i="17"/>
  <c r="Q239" i="17" s="1"/>
  <c r="P271" i="17"/>
  <c r="O271" i="17"/>
  <c r="O239" i="17" s="1"/>
  <c r="N271" i="17"/>
  <c r="N239" i="17" s="1"/>
  <c r="M271" i="17"/>
  <c r="L271" i="17"/>
  <c r="K271" i="17"/>
  <c r="J271" i="17"/>
  <c r="I271" i="17"/>
  <c r="H271" i="17"/>
  <c r="H239" i="17" s="1"/>
  <c r="G271" i="17"/>
  <c r="F271" i="17"/>
  <c r="E271" i="17"/>
  <c r="D271" i="17"/>
  <c r="C271" i="17"/>
  <c r="B271" i="17"/>
  <c r="T270" i="17"/>
  <c r="S270" i="17"/>
  <c r="R270" i="17"/>
  <c r="Q270" i="17"/>
  <c r="P270" i="17"/>
  <c r="O270" i="17"/>
  <c r="N270" i="17"/>
  <c r="N238" i="17" s="1"/>
  <c r="M270" i="17"/>
  <c r="L270" i="17"/>
  <c r="L238" i="17" s="1"/>
  <c r="K270" i="17"/>
  <c r="K238" i="17" s="1"/>
  <c r="J270" i="17"/>
  <c r="I270" i="17"/>
  <c r="H270" i="17"/>
  <c r="G270" i="17"/>
  <c r="F270" i="17"/>
  <c r="E270" i="17"/>
  <c r="D270" i="17"/>
  <c r="C270" i="17"/>
  <c r="B270" i="17"/>
  <c r="T269" i="17"/>
  <c r="S269" i="17"/>
  <c r="R269" i="17"/>
  <c r="Q269" i="17"/>
  <c r="P269" i="17"/>
  <c r="O269" i="17"/>
  <c r="N269" i="17"/>
  <c r="M269" i="17"/>
  <c r="L269" i="17"/>
  <c r="K269" i="17"/>
  <c r="K237" i="17" s="1"/>
  <c r="J269" i="17"/>
  <c r="I269" i="17"/>
  <c r="I237" i="17" s="1"/>
  <c r="H269" i="17"/>
  <c r="H237" i="17" s="1"/>
  <c r="G269" i="17"/>
  <c r="F269" i="17"/>
  <c r="E269" i="17"/>
  <c r="D269" i="17"/>
  <c r="C269" i="17"/>
  <c r="B269" i="17"/>
  <c r="T268" i="17"/>
  <c r="S268" i="17"/>
  <c r="R268" i="17"/>
  <c r="Q268" i="17"/>
  <c r="P268" i="17"/>
  <c r="O268" i="17"/>
  <c r="N268" i="17"/>
  <c r="M268" i="17"/>
  <c r="L268" i="17"/>
  <c r="K268" i="17"/>
  <c r="J268" i="17"/>
  <c r="I268" i="17"/>
  <c r="H268" i="17"/>
  <c r="H236" i="17" s="1"/>
  <c r="G268" i="17"/>
  <c r="F268" i="17"/>
  <c r="F236" i="17" s="1"/>
  <c r="E268" i="17"/>
  <c r="E236" i="17" s="1"/>
  <c r="D268" i="17"/>
  <c r="C268" i="17"/>
  <c r="B268" i="17"/>
  <c r="T267" i="17"/>
  <c r="S267" i="17"/>
  <c r="R267" i="17"/>
  <c r="Q267" i="17"/>
  <c r="P267" i="17"/>
  <c r="O267" i="17"/>
  <c r="N267" i="17"/>
  <c r="M267" i="17"/>
  <c r="L267" i="17"/>
  <c r="K267" i="17"/>
  <c r="J267" i="17"/>
  <c r="I267" i="17"/>
  <c r="H267" i="17"/>
  <c r="G267" i="17"/>
  <c r="F267" i="17"/>
  <c r="E267" i="17"/>
  <c r="E235" i="17" s="1"/>
  <c r="D267" i="17"/>
  <c r="C267" i="17"/>
  <c r="C235" i="17" s="1"/>
  <c r="B267" i="17"/>
  <c r="B235" i="17" s="1"/>
  <c r="T266" i="17"/>
  <c r="S266" i="17"/>
  <c r="R266" i="17"/>
  <c r="Q266" i="17"/>
  <c r="P266" i="17"/>
  <c r="O266" i="17"/>
  <c r="O234" i="17" s="1"/>
  <c r="N266" i="17"/>
  <c r="M266" i="17"/>
  <c r="L266" i="17"/>
  <c r="K266" i="17"/>
  <c r="J266" i="17"/>
  <c r="I266" i="17"/>
  <c r="H266" i="17"/>
  <c r="H274" i="17" s="1"/>
  <c r="H16" i="17" s="1"/>
  <c r="G266" i="17"/>
  <c r="F266" i="17"/>
  <c r="E266" i="17"/>
  <c r="D266" i="17"/>
  <c r="C266" i="17"/>
  <c r="B266" i="17"/>
  <c r="B234" i="17" s="1"/>
  <c r="T265" i="17"/>
  <c r="S265" i="17"/>
  <c r="S233" i="17" s="1"/>
  <c r="R265" i="17"/>
  <c r="R233" i="17" s="1"/>
  <c r="Q265" i="17"/>
  <c r="P265" i="17"/>
  <c r="O265" i="17"/>
  <c r="N265" i="17"/>
  <c r="M265" i="17"/>
  <c r="L265" i="17"/>
  <c r="K265" i="17"/>
  <c r="J265" i="17"/>
  <c r="I265" i="17"/>
  <c r="H265" i="17"/>
  <c r="G265" i="17"/>
  <c r="F265" i="17"/>
  <c r="E265" i="17"/>
  <c r="E274" i="17" s="1"/>
  <c r="E16" i="17" s="1"/>
  <c r="D265" i="17"/>
  <c r="C265" i="17"/>
  <c r="B265" i="17"/>
  <c r="T264" i="17"/>
  <c r="S264" i="17"/>
  <c r="R264" i="17"/>
  <c r="R232" i="17" s="1"/>
  <c r="Q264" i="17"/>
  <c r="Q232" i="17" s="1"/>
  <c r="P264" i="17"/>
  <c r="P232" i="17" s="1"/>
  <c r="O264" i="17"/>
  <c r="N264" i="17"/>
  <c r="M264" i="17"/>
  <c r="L264" i="17"/>
  <c r="K264" i="17"/>
  <c r="J264" i="17"/>
  <c r="I264" i="17"/>
  <c r="H264" i="17"/>
  <c r="G264" i="17"/>
  <c r="F264" i="17"/>
  <c r="E264" i="17"/>
  <c r="D264" i="17"/>
  <c r="C264" i="17"/>
  <c r="B264" i="17"/>
  <c r="T263" i="17"/>
  <c r="S263" i="17"/>
  <c r="R263" i="17"/>
  <c r="Q263" i="17"/>
  <c r="Q274" i="17" s="1"/>
  <c r="P263" i="17"/>
  <c r="O263" i="17"/>
  <c r="O231" i="17" s="1"/>
  <c r="N263" i="17"/>
  <c r="M263" i="17"/>
  <c r="M231" i="17" s="1"/>
  <c r="L263" i="17"/>
  <c r="L231" i="17" s="1"/>
  <c r="K263" i="17"/>
  <c r="J263" i="17"/>
  <c r="I263" i="17"/>
  <c r="H263" i="17"/>
  <c r="G263" i="17"/>
  <c r="F263" i="17"/>
  <c r="E263" i="17"/>
  <c r="D263" i="17"/>
  <c r="C263" i="17"/>
  <c r="B263" i="17"/>
  <c r="T262" i="17"/>
  <c r="S262" i="17"/>
  <c r="R262" i="17"/>
  <c r="Q262" i="17"/>
  <c r="P262" i="17"/>
  <c r="O262" i="17"/>
  <c r="N262" i="17"/>
  <c r="M262" i="17"/>
  <c r="L262" i="17"/>
  <c r="K262" i="17"/>
  <c r="J262" i="17"/>
  <c r="J230" i="17" s="1"/>
  <c r="I262" i="17"/>
  <c r="H262" i="17"/>
  <c r="G262" i="17"/>
  <c r="F262" i="17"/>
  <c r="E262" i="17"/>
  <c r="D262" i="17"/>
  <c r="C262" i="17"/>
  <c r="B262" i="17"/>
  <c r="T257" i="17"/>
  <c r="S257" i="17"/>
  <c r="S241" i="17" s="1"/>
  <c r="R257" i="17"/>
  <c r="Q257" i="17"/>
  <c r="Q241" i="17" s="1"/>
  <c r="P257" i="17"/>
  <c r="O257" i="17"/>
  <c r="N257" i="17"/>
  <c r="M257" i="17"/>
  <c r="L257" i="17"/>
  <c r="K257" i="17"/>
  <c r="J257" i="17"/>
  <c r="I257" i="17"/>
  <c r="H257" i="17"/>
  <c r="G257" i="17"/>
  <c r="F257" i="17"/>
  <c r="E257" i="17"/>
  <c r="D257" i="17"/>
  <c r="C257" i="17"/>
  <c r="B257" i="17"/>
  <c r="T256" i="17"/>
  <c r="S256" i="17"/>
  <c r="R256" i="17"/>
  <c r="Q256" i="17"/>
  <c r="P256" i="17"/>
  <c r="P240" i="17" s="1"/>
  <c r="O256" i="17"/>
  <c r="N256" i="17"/>
  <c r="M256" i="17"/>
  <c r="L256" i="17"/>
  <c r="K256" i="17"/>
  <c r="J256" i="17"/>
  <c r="J240" i="17" s="1"/>
  <c r="I256" i="17"/>
  <c r="I240" i="17" s="1"/>
  <c r="H256" i="17"/>
  <c r="H240" i="17" s="1"/>
  <c r="G256" i="17"/>
  <c r="F256" i="17"/>
  <c r="F240" i="17" s="1"/>
  <c r="E256" i="17"/>
  <c r="D256" i="17"/>
  <c r="C256" i="17"/>
  <c r="B256" i="17"/>
  <c r="T255" i="17"/>
  <c r="S255" i="17"/>
  <c r="R255" i="17"/>
  <c r="R239" i="17" s="1"/>
  <c r="Q255" i="17"/>
  <c r="P255" i="17"/>
  <c r="O255" i="17"/>
  <c r="N255" i="17"/>
  <c r="M255" i="17"/>
  <c r="M239" i="17" s="1"/>
  <c r="L255" i="17"/>
  <c r="K255" i="17"/>
  <c r="K239" i="17" s="1"/>
  <c r="J255" i="17"/>
  <c r="I255" i="17"/>
  <c r="H255" i="17"/>
  <c r="G255" i="17"/>
  <c r="G239" i="17" s="1"/>
  <c r="F255" i="17"/>
  <c r="E255" i="17"/>
  <c r="D255" i="17"/>
  <c r="C255" i="17"/>
  <c r="B255" i="17"/>
  <c r="T254" i="17"/>
  <c r="S254" i="17"/>
  <c r="R254" i="17"/>
  <c r="Q254" i="17"/>
  <c r="P254" i="17"/>
  <c r="O254" i="17"/>
  <c r="N254" i="17"/>
  <c r="M254" i="17"/>
  <c r="L254" i="17"/>
  <c r="K254" i="17"/>
  <c r="J254" i="17"/>
  <c r="J238" i="17" s="1"/>
  <c r="I254" i="17"/>
  <c r="H254" i="17"/>
  <c r="H238" i="17" s="1"/>
  <c r="G254" i="17"/>
  <c r="F254" i="17"/>
  <c r="E254" i="17"/>
  <c r="D254" i="17"/>
  <c r="D238" i="17" s="1"/>
  <c r="C254" i="17"/>
  <c r="C238" i="17" s="1"/>
  <c r="B254" i="17"/>
  <c r="T253" i="17"/>
  <c r="S253" i="17"/>
  <c r="R253" i="17"/>
  <c r="R237" i="17" s="1"/>
  <c r="Q253" i="17"/>
  <c r="Q237" i="17" s="1"/>
  <c r="P253" i="17"/>
  <c r="O253" i="17"/>
  <c r="N253" i="17"/>
  <c r="M253" i="17"/>
  <c r="L253" i="17"/>
  <c r="L237" i="17" s="1"/>
  <c r="K253" i="17"/>
  <c r="J253" i="17"/>
  <c r="I253" i="17"/>
  <c r="H253" i="17"/>
  <c r="G253" i="17"/>
  <c r="G237" i="17" s="1"/>
  <c r="F253" i="17"/>
  <c r="E253" i="17"/>
  <c r="E237" i="17" s="1"/>
  <c r="D253" i="17"/>
  <c r="C253" i="17"/>
  <c r="B253" i="17"/>
  <c r="T252" i="17"/>
  <c r="T236" i="17" s="1"/>
  <c r="S252" i="17"/>
  <c r="S236" i="17" s="1"/>
  <c r="R252" i="17"/>
  <c r="Q252" i="17"/>
  <c r="P252" i="17"/>
  <c r="P236" i="17" s="1"/>
  <c r="O252" i="17"/>
  <c r="O236" i="17" s="1"/>
  <c r="N252" i="17"/>
  <c r="M252" i="17"/>
  <c r="L252" i="17"/>
  <c r="K252" i="17"/>
  <c r="J252" i="17"/>
  <c r="I252" i="17"/>
  <c r="I236" i="17" s="1"/>
  <c r="H252" i="17"/>
  <c r="G252" i="17"/>
  <c r="F252" i="17"/>
  <c r="E252" i="17"/>
  <c r="D252" i="17"/>
  <c r="D236" i="17" s="1"/>
  <c r="C252" i="17"/>
  <c r="B252" i="17"/>
  <c r="T251" i="17"/>
  <c r="S251" i="17"/>
  <c r="R251" i="17"/>
  <c r="Q251" i="17"/>
  <c r="P251" i="17"/>
  <c r="P235" i="17" s="1"/>
  <c r="O251" i="17"/>
  <c r="O235" i="17" s="1"/>
  <c r="N251" i="17"/>
  <c r="M251" i="17"/>
  <c r="L251" i="17"/>
  <c r="L235" i="17" s="1"/>
  <c r="K251" i="17"/>
  <c r="K235" i="17" s="1"/>
  <c r="J251" i="17"/>
  <c r="I251" i="17"/>
  <c r="H251" i="17"/>
  <c r="G251" i="17"/>
  <c r="F251" i="17"/>
  <c r="F235" i="17" s="1"/>
  <c r="E251" i="17"/>
  <c r="D251" i="17"/>
  <c r="C251" i="17"/>
  <c r="B251" i="17"/>
  <c r="T250" i="17"/>
  <c r="T234" i="17" s="1"/>
  <c r="S250" i="17"/>
  <c r="R250" i="17"/>
  <c r="R234" i="17" s="1"/>
  <c r="Q250" i="17"/>
  <c r="P250" i="17"/>
  <c r="O250" i="17"/>
  <c r="N250" i="17"/>
  <c r="N234" i="17" s="1"/>
  <c r="M250" i="17"/>
  <c r="L250" i="17"/>
  <c r="K250" i="17"/>
  <c r="J250" i="17"/>
  <c r="I250" i="17"/>
  <c r="H250" i="17"/>
  <c r="G250" i="17"/>
  <c r="F250" i="17"/>
  <c r="E250" i="17"/>
  <c r="D250" i="17"/>
  <c r="C250" i="17"/>
  <c r="B250" i="17"/>
  <c r="T249" i="17"/>
  <c r="S249" i="17"/>
  <c r="R249" i="17"/>
  <c r="Q249" i="17"/>
  <c r="Q233" i="17" s="1"/>
  <c r="P249" i="17"/>
  <c r="O249" i="17"/>
  <c r="N249" i="17"/>
  <c r="M249" i="17"/>
  <c r="L249" i="17"/>
  <c r="K249" i="17"/>
  <c r="K233" i="17" s="1"/>
  <c r="J249" i="17"/>
  <c r="J233" i="17" s="1"/>
  <c r="I249" i="17"/>
  <c r="H249" i="17"/>
  <c r="G249" i="17"/>
  <c r="F249" i="17"/>
  <c r="E249" i="17"/>
  <c r="E233" i="17" s="1"/>
  <c r="D249" i="17"/>
  <c r="C249" i="17"/>
  <c r="B249" i="17"/>
  <c r="T248" i="17"/>
  <c r="S248" i="17"/>
  <c r="S232" i="17" s="1"/>
  <c r="R248" i="17"/>
  <c r="Q248" i="17"/>
  <c r="P248" i="17"/>
  <c r="O248" i="17"/>
  <c r="N248" i="17"/>
  <c r="M248" i="17"/>
  <c r="L248" i="17"/>
  <c r="K248" i="17"/>
  <c r="J248" i="17"/>
  <c r="I248" i="17"/>
  <c r="H248" i="17"/>
  <c r="G248" i="17"/>
  <c r="F248" i="17"/>
  <c r="E248" i="17"/>
  <c r="D248" i="17"/>
  <c r="D232" i="17" s="1"/>
  <c r="C248" i="17"/>
  <c r="B248" i="17"/>
  <c r="B232" i="17" s="1"/>
  <c r="T247" i="17"/>
  <c r="S247" i="17"/>
  <c r="R247" i="17"/>
  <c r="Q247" i="17"/>
  <c r="P247" i="17"/>
  <c r="P231" i="17" s="1"/>
  <c r="O247" i="17"/>
  <c r="N247" i="17"/>
  <c r="M247" i="17"/>
  <c r="L247" i="17"/>
  <c r="K247" i="17"/>
  <c r="J247" i="17"/>
  <c r="I247" i="17"/>
  <c r="H247" i="17"/>
  <c r="G247" i="17"/>
  <c r="F247" i="17"/>
  <c r="E247" i="17"/>
  <c r="D247" i="17"/>
  <c r="D231" i="17" s="1"/>
  <c r="C247" i="17"/>
  <c r="C231" i="17" s="1"/>
  <c r="B247" i="17"/>
  <c r="T246" i="17"/>
  <c r="S246" i="17"/>
  <c r="S230" i="17" s="1"/>
  <c r="R246" i="17"/>
  <c r="Q246" i="17"/>
  <c r="P246" i="17"/>
  <c r="O246" i="17"/>
  <c r="N246" i="17"/>
  <c r="M246" i="17"/>
  <c r="M258" i="17" s="1"/>
  <c r="M15" i="17" s="1"/>
  <c r="L246" i="17"/>
  <c r="K246" i="17"/>
  <c r="J246" i="17"/>
  <c r="I246" i="17"/>
  <c r="H246" i="17"/>
  <c r="G246" i="17"/>
  <c r="F246" i="17"/>
  <c r="E246" i="17"/>
  <c r="D246" i="17"/>
  <c r="C246" i="17"/>
  <c r="B246" i="17"/>
  <c r="R241" i="17"/>
  <c r="P241" i="17"/>
  <c r="O241" i="17"/>
  <c r="N241" i="17"/>
  <c r="M241" i="17"/>
  <c r="L241" i="17"/>
  <c r="K241" i="17"/>
  <c r="J241" i="17"/>
  <c r="I241" i="17"/>
  <c r="B241" i="17"/>
  <c r="S240" i="17"/>
  <c r="O240" i="17"/>
  <c r="N240" i="17"/>
  <c r="M240" i="17"/>
  <c r="L240" i="17"/>
  <c r="K240" i="17"/>
  <c r="G240" i="17"/>
  <c r="E240" i="17"/>
  <c r="P239" i="17"/>
  <c r="L239" i="17"/>
  <c r="J239" i="17"/>
  <c r="I239" i="17"/>
  <c r="F239" i="17"/>
  <c r="E239" i="17"/>
  <c r="D239" i="17"/>
  <c r="C239" i="17"/>
  <c r="B239" i="17"/>
  <c r="T238" i="17"/>
  <c r="O238" i="17"/>
  <c r="M238" i="17"/>
  <c r="I238" i="17"/>
  <c r="G238" i="17"/>
  <c r="F238" i="17"/>
  <c r="E238" i="17"/>
  <c r="B238" i="17"/>
  <c r="T237" i="17"/>
  <c r="S237" i="17"/>
  <c r="J237" i="17"/>
  <c r="F237" i="17"/>
  <c r="D237" i="17"/>
  <c r="C237" i="17"/>
  <c r="B237" i="17"/>
  <c r="R236" i="17"/>
  <c r="Q236" i="17"/>
  <c r="G236" i="17"/>
  <c r="C236" i="17"/>
  <c r="B236" i="17"/>
  <c r="T235" i="17"/>
  <c r="S235" i="17"/>
  <c r="R235" i="17"/>
  <c r="Q235" i="17"/>
  <c r="N235" i="17"/>
  <c r="M235" i="17"/>
  <c r="D235" i="17"/>
  <c r="S234" i="17"/>
  <c r="Q234" i="17"/>
  <c r="P234" i="17"/>
  <c r="M234" i="17"/>
  <c r="L234" i="17"/>
  <c r="K234" i="17"/>
  <c r="J234" i="17"/>
  <c r="I234" i="17"/>
  <c r="H234" i="17"/>
  <c r="C234" i="17"/>
  <c r="T233" i="17"/>
  <c r="P233" i="17"/>
  <c r="N233" i="17"/>
  <c r="M233" i="17"/>
  <c r="L233" i="17"/>
  <c r="I233" i="17"/>
  <c r="H233" i="17"/>
  <c r="G233" i="17"/>
  <c r="F233" i="17"/>
  <c r="M232" i="17"/>
  <c r="K232" i="17"/>
  <c r="J232" i="17"/>
  <c r="I232" i="17"/>
  <c r="H232" i="17"/>
  <c r="F232" i="17"/>
  <c r="E232" i="17"/>
  <c r="C232" i="17"/>
  <c r="N231" i="17"/>
  <c r="J231" i="17"/>
  <c r="H231" i="17"/>
  <c r="G231" i="17"/>
  <c r="F231" i="17"/>
  <c r="B231" i="17"/>
  <c r="M230" i="17"/>
  <c r="K230" i="17"/>
  <c r="G230" i="17"/>
  <c r="E230" i="17"/>
  <c r="D230" i="17"/>
  <c r="C230" i="17"/>
  <c r="J226" i="17"/>
  <c r="T225" i="17"/>
  <c r="S225" i="17"/>
  <c r="R225" i="17"/>
  <c r="Q225" i="17"/>
  <c r="P225" i="17"/>
  <c r="O225" i="17"/>
  <c r="N225" i="17"/>
  <c r="N193" i="17" s="1"/>
  <c r="M225" i="17"/>
  <c r="L225" i="17"/>
  <c r="K225" i="17"/>
  <c r="J225" i="17"/>
  <c r="I225" i="17"/>
  <c r="H225" i="17"/>
  <c r="G225" i="17"/>
  <c r="G193" i="17" s="1"/>
  <c r="F225" i="17"/>
  <c r="E225" i="17"/>
  <c r="E193" i="17" s="1"/>
  <c r="D225" i="17"/>
  <c r="C225" i="17"/>
  <c r="B225" i="17"/>
  <c r="T224" i="17"/>
  <c r="S224" i="17"/>
  <c r="R224" i="17"/>
  <c r="Q224" i="17"/>
  <c r="P224" i="17"/>
  <c r="O224" i="17"/>
  <c r="O192" i="17" s="1"/>
  <c r="N224" i="17"/>
  <c r="M224" i="17"/>
  <c r="L224" i="17"/>
  <c r="K224" i="17"/>
  <c r="J224" i="17"/>
  <c r="I224" i="17"/>
  <c r="H224" i="17"/>
  <c r="G224" i="17"/>
  <c r="F224" i="17"/>
  <c r="E224" i="17"/>
  <c r="D224" i="17"/>
  <c r="D192" i="17" s="1"/>
  <c r="C224" i="17"/>
  <c r="B224" i="17"/>
  <c r="T223" i="17"/>
  <c r="S223" i="17"/>
  <c r="R223" i="17"/>
  <c r="Q223" i="17"/>
  <c r="P223" i="17"/>
  <c r="O223" i="17"/>
  <c r="N223" i="17"/>
  <c r="M223" i="17"/>
  <c r="L223" i="17"/>
  <c r="K223" i="17"/>
  <c r="J223" i="17"/>
  <c r="I223" i="17"/>
  <c r="H223" i="17"/>
  <c r="H191" i="17" s="1"/>
  <c r="G223" i="17"/>
  <c r="G191" i="17" s="1"/>
  <c r="F223" i="17"/>
  <c r="E223" i="17"/>
  <c r="D223" i="17"/>
  <c r="C223" i="17"/>
  <c r="B223" i="17"/>
  <c r="T222" i="17"/>
  <c r="T226" i="17" s="1"/>
  <c r="S222" i="17"/>
  <c r="R222" i="17"/>
  <c r="Q222" i="17"/>
  <c r="P222" i="17"/>
  <c r="O222" i="17"/>
  <c r="N222" i="17"/>
  <c r="M222" i="17"/>
  <c r="L222" i="17"/>
  <c r="K222" i="17"/>
  <c r="J222" i="17"/>
  <c r="I222" i="17"/>
  <c r="H222" i="17"/>
  <c r="H190" i="17" s="1"/>
  <c r="G222" i="17"/>
  <c r="F222" i="17"/>
  <c r="E222" i="17"/>
  <c r="D222" i="17"/>
  <c r="C222" i="17"/>
  <c r="B222" i="17"/>
  <c r="T221" i="17"/>
  <c r="S221" i="17"/>
  <c r="R221" i="17"/>
  <c r="Q221" i="17"/>
  <c r="Q226" i="17" s="1"/>
  <c r="P221" i="17"/>
  <c r="O221" i="17"/>
  <c r="O189" i="17" s="1"/>
  <c r="N221" i="17"/>
  <c r="M221" i="17"/>
  <c r="L221" i="17"/>
  <c r="K221" i="17"/>
  <c r="J221" i="17"/>
  <c r="I221" i="17"/>
  <c r="H221" i="17"/>
  <c r="G221" i="17"/>
  <c r="F221" i="17"/>
  <c r="F189" i="17" s="1"/>
  <c r="E221" i="17"/>
  <c r="E189" i="17" s="1"/>
  <c r="D221" i="17"/>
  <c r="D189" i="17" s="1"/>
  <c r="C221" i="17"/>
  <c r="C189" i="17" s="1"/>
  <c r="B221" i="17"/>
  <c r="B189" i="17" s="1"/>
  <c r="T220" i="17"/>
  <c r="S220" i="17"/>
  <c r="R220" i="17"/>
  <c r="Q220" i="17"/>
  <c r="P220" i="17"/>
  <c r="O220" i="17"/>
  <c r="N220" i="17"/>
  <c r="N188" i="17" s="1"/>
  <c r="M220" i="17"/>
  <c r="L220" i="17"/>
  <c r="L188" i="17" s="1"/>
  <c r="K220" i="17"/>
  <c r="J220" i="17"/>
  <c r="I220" i="17"/>
  <c r="H220" i="17"/>
  <c r="G220" i="17"/>
  <c r="F220" i="17"/>
  <c r="E220" i="17"/>
  <c r="D220" i="17"/>
  <c r="C220" i="17"/>
  <c r="B220" i="17"/>
  <c r="T219" i="17"/>
  <c r="S219" i="17"/>
  <c r="R219" i="17"/>
  <c r="Q219" i="17"/>
  <c r="P219" i="17"/>
  <c r="O219" i="17"/>
  <c r="N219" i="17"/>
  <c r="M219" i="17"/>
  <c r="L219" i="17"/>
  <c r="K219" i="17"/>
  <c r="K187" i="17" s="1"/>
  <c r="J219" i="17"/>
  <c r="I219" i="17"/>
  <c r="H219" i="17"/>
  <c r="G219" i="17"/>
  <c r="F219" i="17"/>
  <c r="E219" i="17"/>
  <c r="D219" i="17"/>
  <c r="C219" i="17"/>
  <c r="B219" i="17"/>
  <c r="T218" i="17"/>
  <c r="S218" i="17"/>
  <c r="R218" i="17"/>
  <c r="Q218" i="17"/>
  <c r="P218" i="17"/>
  <c r="O218" i="17"/>
  <c r="O186" i="17" s="1"/>
  <c r="N218" i="17"/>
  <c r="M218" i="17"/>
  <c r="L218" i="17"/>
  <c r="K218" i="17"/>
  <c r="J218" i="17"/>
  <c r="I218" i="17"/>
  <c r="H218" i="17"/>
  <c r="H186" i="17" s="1"/>
  <c r="G218" i="17"/>
  <c r="F218" i="17"/>
  <c r="E218" i="17"/>
  <c r="D218" i="17"/>
  <c r="C218" i="17"/>
  <c r="B218" i="17"/>
  <c r="T217" i="17"/>
  <c r="S217" i="17"/>
  <c r="R217" i="17"/>
  <c r="Q217" i="17"/>
  <c r="P217" i="17"/>
  <c r="O217" i="17"/>
  <c r="N217" i="17"/>
  <c r="N185" i="17" s="1"/>
  <c r="M217" i="17"/>
  <c r="M185" i="17" s="1"/>
  <c r="L217" i="17"/>
  <c r="L185" i="17" s="1"/>
  <c r="K217" i="17"/>
  <c r="J217" i="17"/>
  <c r="I217" i="17"/>
  <c r="H217" i="17"/>
  <c r="G217" i="17"/>
  <c r="F217" i="17"/>
  <c r="E217" i="17"/>
  <c r="E185" i="17" s="1"/>
  <c r="D217" i="17"/>
  <c r="C217" i="17"/>
  <c r="B217" i="17"/>
  <c r="T216" i="17"/>
  <c r="S216" i="17"/>
  <c r="R216" i="17"/>
  <c r="Q216" i="17"/>
  <c r="P216" i="17"/>
  <c r="O216" i="17"/>
  <c r="N216" i="17"/>
  <c r="M216" i="17"/>
  <c r="L216" i="17"/>
  <c r="K216" i="17"/>
  <c r="J216" i="17"/>
  <c r="I216" i="17"/>
  <c r="I184" i="17" s="1"/>
  <c r="H216" i="17"/>
  <c r="H184" i="17" s="1"/>
  <c r="G216" i="17"/>
  <c r="F216" i="17"/>
  <c r="E216" i="17"/>
  <c r="D216" i="17"/>
  <c r="C216" i="17"/>
  <c r="B216" i="17"/>
  <c r="T215" i="17"/>
  <c r="S215" i="17"/>
  <c r="S226" i="17" s="1"/>
  <c r="R215" i="17"/>
  <c r="Q215" i="17"/>
  <c r="P215" i="17"/>
  <c r="O215" i="17"/>
  <c r="N215" i="17"/>
  <c r="M215" i="17"/>
  <c r="L215" i="17"/>
  <c r="K215" i="17"/>
  <c r="K183" i="17" s="1"/>
  <c r="J215" i="17"/>
  <c r="I215" i="17"/>
  <c r="H215" i="17"/>
  <c r="G215" i="17"/>
  <c r="F215" i="17"/>
  <c r="E215" i="17"/>
  <c r="D215" i="17"/>
  <c r="C215" i="17"/>
  <c r="B215" i="17"/>
  <c r="T214" i="17"/>
  <c r="S214" i="17"/>
  <c r="R214" i="17"/>
  <c r="R226" i="17" s="1"/>
  <c r="Q214" i="17"/>
  <c r="P214" i="17"/>
  <c r="P226" i="17" s="1"/>
  <c r="O214" i="17"/>
  <c r="O226" i="17" s="1"/>
  <c r="N214" i="17"/>
  <c r="M214" i="17"/>
  <c r="L214" i="17"/>
  <c r="K214" i="17"/>
  <c r="J214" i="17"/>
  <c r="I214" i="17"/>
  <c r="H214" i="17"/>
  <c r="G214" i="17"/>
  <c r="F214" i="17"/>
  <c r="E214" i="17"/>
  <c r="D214" i="17"/>
  <c r="C214" i="17"/>
  <c r="B214" i="17"/>
  <c r="F210" i="17"/>
  <c r="F12" i="17" s="1"/>
  <c r="E210" i="17"/>
  <c r="E12" i="17" s="1"/>
  <c r="P209" i="17"/>
  <c r="O209" i="17"/>
  <c r="N209" i="17"/>
  <c r="M209" i="17"/>
  <c r="L209" i="17"/>
  <c r="L193" i="17" s="1"/>
  <c r="K209" i="17"/>
  <c r="J209" i="17"/>
  <c r="J193" i="17" s="1"/>
  <c r="I209" i="17"/>
  <c r="I193" i="17" s="1"/>
  <c r="H209" i="17"/>
  <c r="G209" i="17"/>
  <c r="F209" i="17"/>
  <c r="F193" i="17" s="1"/>
  <c r="E209" i="17"/>
  <c r="D209" i="17"/>
  <c r="C209" i="17"/>
  <c r="C193" i="17" s="1"/>
  <c r="B209" i="17"/>
  <c r="B193" i="17" s="1"/>
  <c r="P208" i="17"/>
  <c r="P192" i="17" s="1"/>
  <c r="O208" i="17"/>
  <c r="N208" i="17"/>
  <c r="N192" i="17" s="1"/>
  <c r="M208" i="17"/>
  <c r="L208" i="17"/>
  <c r="K208" i="17"/>
  <c r="J208" i="17"/>
  <c r="I208" i="17"/>
  <c r="I192" i="17" s="1"/>
  <c r="H208" i="17"/>
  <c r="G208" i="17"/>
  <c r="F208" i="17"/>
  <c r="E208" i="17"/>
  <c r="D208" i="17"/>
  <c r="C208" i="17"/>
  <c r="C192" i="17" s="1"/>
  <c r="B208" i="17"/>
  <c r="P207" i="17"/>
  <c r="O207" i="17"/>
  <c r="N207" i="17"/>
  <c r="M207" i="17"/>
  <c r="M191" i="17" s="1"/>
  <c r="L207" i="17"/>
  <c r="K207" i="17"/>
  <c r="K191" i="17" s="1"/>
  <c r="J207" i="17"/>
  <c r="I207" i="17"/>
  <c r="H207" i="17"/>
  <c r="G207" i="17"/>
  <c r="F207" i="17"/>
  <c r="F191" i="17" s="1"/>
  <c r="E207" i="17"/>
  <c r="D207" i="17"/>
  <c r="C207" i="17"/>
  <c r="C191" i="17" s="1"/>
  <c r="B207" i="17"/>
  <c r="P206" i="17"/>
  <c r="O206" i="17"/>
  <c r="O190" i="17" s="1"/>
  <c r="N206" i="17"/>
  <c r="N190" i="17" s="1"/>
  <c r="M206" i="17"/>
  <c r="M190" i="17" s="1"/>
  <c r="L206" i="17"/>
  <c r="K206" i="17"/>
  <c r="J206" i="17"/>
  <c r="I206" i="17"/>
  <c r="H206" i="17"/>
  <c r="G206" i="17"/>
  <c r="F206" i="17"/>
  <c r="E206" i="17"/>
  <c r="D206" i="17"/>
  <c r="C206" i="17"/>
  <c r="C190" i="17" s="1"/>
  <c r="B206" i="17"/>
  <c r="P205" i="17"/>
  <c r="O205" i="17"/>
  <c r="N205" i="17"/>
  <c r="N189" i="17" s="1"/>
  <c r="M205" i="17"/>
  <c r="M189" i="17" s="1"/>
  <c r="L205" i="17"/>
  <c r="K205" i="17"/>
  <c r="J205" i="17"/>
  <c r="I205" i="17"/>
  <c r="I189" i="17" s="1"/>
  <c r="H205" i="17"/>
  <c r="H189" i="17" s="1"/>
  <c r="G205" i="17"/>
  <c r="F205" i="17"/>
  <c r="E205" i="17"/>
  <c r="D205" i="17"/>
  <c r="C205" i="17"/>
  <c r="B205" i="17"/>
  <c r="P204" i="17"/>
  <c r="P188" i="17" s="1"/>
  <c r="O204" i="17"/>
  <c r="N204" i="17"/>
  <c r="M204" i="17"/>
  <c r="L204" i="17"/>
  <c r="K204" i="17"/>
  <c r="K188" i="17" s="1"/>
  <c r="J204" i="17"/>
  <c r="I204" i="17"/>
  <c r="I188" i="17" s="1"/>
  <c r="H204" i="17"/>
  <c r="G204" i="17"/>
  <c r="F204" i="17"/>
  <c r="F188" i="17" s="1"/>
  <c r="E204" i="17"/>
  <c r="E188" i="17" s="1"/>
  <c r="D204" i="17"/>
  <c r="D188" i="17" s="1"/>
  <c r="C204" i="17"/>
  <c r="B204" i="17"/>
  <c r="P203" i="17"/>
  <c r="P187" i="17" s="1"/>
  <c r="O203" i="17"/>
  <c r="N203" i="17"/>
  <c r="N187" i="17" s="1"/>
  <c r="M203" i="17"/>
  <c r="L203" i="17"/>
  <c r="K203" i="17"/>
  <c r="J203" i="17"/>
  <c r="J187" i="17" s="1"/>
  <c r="I203" i="17"/>
  <c r="I187" i="17" s="1"/>
  <c r="H203" i="17"/>
  <c r="H187" i="17" s="1"/>
  <c r="G203" i="17"/>
  <c r="F203" i="17"/>
  <c r="E203" i="17"/>
  <c r="D203" i="17"/>
  <c r="D187" i="17" s="1"/>
  <c r="C203" i="17"/>
  <c r="C187" i="17" s="1"/>
  <c r="B203" i="17"/>
  <c r="B187" i="17" s="1"/>
  <c r="P202" i="17"/>
  <c r="O202" i="17"/>
  <c r="N202" i="17"/>
  <c r="M202" i="17"/>
  <c r="L202" i="17"/>
  <c r="K202" i="17"/>
  <c r="J202" i="17"/>
  <c r="I202" i="17"/>
  <c r="H202" i="17"/>
  <c r="G202" i="17"/>
  <c r="G186" i="17" s="1"/>
  <c r="F202" i="17"/>
  <c r="E202" i="17"/>
  <c r="E186" i="17" s="1"/>
  <c r="D202" i="17"/>
  <c r="C202" i="17"/>
  <c r="C186" i="17" s="1"/>
  <c r="B202" i="17"/>
  <c r="P201" i="17"/>
  <c r="P185" i="17" s="1"/>
  <c r="O201" i="17"/>
  <c r="O185" i="17" s="1"/>
  <c r="N201" i="17"/>
  <c r="M201" i="17"/>
  <c r="L201" i="17"/>
  <c r="K201" i="17"/>
  <c r="J201" i="17"/>
  <c r="I201" i="17"/>
  <c r="H201" i="17"/>
  <c r="G201" i="17"/>
  <c r="G185" i="17" s="1"/>
  <c r="F201" i="17"/>
  <c r="E201" i="17"/>
  <c r="D201" i="17"/>
  <c r="D210" i="17" s="1"/>
  <c r="D12" i="17" s="1"/>
  <c r="C201" i="17"/>
  <c r="B201" i="17"/>
  <c r="B185" i="17" s="1"/>
  <c r="Q200" i="17"/>
  <c r="P200" i="17"/>
  <c r="P184" i="17" s="1"/>
  <c r="O200" i="17"/>
  <c r="O184" i="17" s="1"/>
  <c r="N200" i="17"/>
  <c r="M200" i="17"/>
  <c r="L200" i="17"/>
  <c r="L184" i="17" s="1"/>
  <c r="K200" i="17"/>
  <c r="J200" i="17"/>
  <c r="I200" i="17"/>
  <c r="H200" i="17"/>
  <c r="G200" i="17"/>
  <c r="F200" i="17"/>
  <c r="E200" i="17"/>
  <c r="D200" i="17"/>
  <c r="D184" i="17" s="1"/>
  <c r="C200" i="17"/>
  <c r="B200" i="17"/>
  <c r="Q199" i="17"/>
  <c r="Q183" i="17" s="1"/>
  <c r="P199" i="17"/>
  <c r="P183" i="17" s="1"/>
  <c r="O199" i="17"/>
  <c r="O183" i="17" s="1"/>
  <c r="N199" i="17"/>
  <c r="N183" i="17" s="1"/>
  <c r="M199" i="17"/>
  <c r="M183" i="17" s="1"/>
  <c r="L199" i="17"/>
  <c r="K199" i="17"/>
  <c r="J199" i="17"/>
  <c r="I199" i="17"/>
  <c r="I183" i="17" s="1"/>
  <c r="H199" i="17"/>
  <c r="G199" i="17"/>
  <c r="F199" i="17"/>
  <c r="E199" i="17"/>
  <c r="D199" i="17"/>
  <c r="C199" i="17"/>
  <c r="B199" i="17"/>
  <c r="Q198" i="17"/>
  <c r="P198" i="17"/>
  <c r="O198" i="17"/>
  <c r="N198" i="17"/>
  <c r="M198" i="17"/>
  <c r="L198" i="17"/>
  <c r="L182" i="17" s="1"/>
  <c r="K198" i="17"/>
  <c r="J198" i="17"/>
  <c r="I198" i="17"/>
  <c r="H198" i="17"/>
  <c r="G198" i="17"/>
  <c r="F198" i="17"/>
  <c r="E198" i="17"/>
  <c r="D198" i="17"/>
  <c r="C198" i="17"/>
  <c r="B198" i="17"/>
  <c r="B182" i="17" s="1"/>
  <c r="P193" i="17"/>
  <c r="O193" i="17"/>
  <c r="M193" i="17"/>
  <c r="K193" i="17"/>
  <c r="H193" i="17"/>
  <c r="D193" i="17"/>
  <c r="M192" i="17"/>
  <c r="L192" i="17"/>
  <c r="K192" i="17"/>
  <c r="J192" i="17"/>
  <c r="H192" i="17"/>
  <c r="G192" i="17"/>
  <c r="F192" i="17"/>
  <c r="E192" i="17"/>
  <c r="P191" i="17"/>
  <c r="L191" i="17"/>
  <c r="J191" i="17"/>
  <c r="I191" i="17"/>
  <c r="E191" i="17"/>
  <c r="D191" i="17"/>
  <c r="B191" i="17"/>
  <c r="P190" i="17"/>
  <c r="I190" i="17"/>
  <c r="G190" i="17"/>
  <c r="F190" i="17"/>
  <c r="E190" i="17"/>
  <c r="D190" i="17"/>
  <c r="B190" i="17"/>
  <c r="P189" i="17"/>
  <c r="L189" i="17"/>
  <c r="K189" i="17"/>
  <c r="J189" i="17"/>
  <c r="O188" i="17"/>
  <c r="M188" i="17"/>
  <c r="J188" i="17"/>
  <c r="H188" i="17"/>
  <c r="G188" i="17"/>
  <c r="C188" i="17"/>
  <c r="B188" i="17"/>
  <c r="O187" i="17"/>
  <c r="M187" i="17"/>
  <c r="L187" i="17"/>
  <c r="G187" i="17"/>
  <c r="F187" i="17"/>
  <c r="E187" i="17"/>
  <c r="P186" i="17"/>
  <c r="N186" i="17"/>
  <c r="L186" i="17"/>
  <c r="K186" i="17"/>
  <c r="J186" i="17"/>
  <c r="I186" i="17"/>
  <c r="F186" i="17"/>
  <c r="D186" i="17"/>
  <c r="B186" i="17"/>
  <c r="K185" i="17"/>
  <c r="I185" i="17"/>
  <c r="H185" i="17"/>
  <c r="F185" i="17"/>
  <c r="D185" i="17"/>
  <c r="Q184" i="17"/>
  <c r="N184" i="17"/>
  <c r="M184" i="17"/>
  <c r="K184" i="17"/>
  <c r="J184" i="17"/>
  <c r="F184" i="17"/>
  <c r="E184" i="17"/>
  <c r="C184" i="17"/>
  <c r="H183" i="17"/>
  <c r="G183" i="17"/>
  <c r="F183" i="17"/>
  <c r="E183" i="17"/>
  <c r="C183" i="17"/>
  <c r="B183" i="17"/>
  <c r="Q182" i="17"/>
  <c r="P182" i="17"/>
  <c r="O182" i="17"/>
  <c r="N182" i="17"/>
  <c r="E182" i="17"/>
  <c r="T177" i="17"/>
  <c r="S177" i="17"/>
  <c r="R177" i="17"/>
  <c r="Q177" i="17"/>
  <c r="P177" i="17"/>
  <c r="O177" i="17"/>
  <c r="N177" i="17"/>
  <c r="M177" i="17"/>
  <c r="L177" i="17"/>
  <c r="K177" i="17"/>
  <c r="J177" i="17"/>
  <c r="I177" i="17"/>
  <c r="H177" i="17"/>
  <c r="G177" i="17"/>
  <c r="F177" i="17"/>
  <c r="E177" i="17"/>
  <c r="D177" i="17"/>
  <c r="C177" i="17"/>
  <c r="B177" i="17"/>
  <c r="T176" i="17"/>
  <c r="S176" i="17"/>
  <c r="R176" i="17"/>
  <c r="Q176" i="17"/>
  <c r="P176" i="17"/>
  <c r="O176" i="17"/>
  <c r="N176" i="17"/>
  <c r="M176" i="17"/>
  <c r="L176" i="17"/>
  <c r="K176" i="17"/>
  <c r="J176" i="17"/>
  <c r="I176" i="17"/>
  <c r="H176" i="17"/>
  <c r="G176" i="17"/>
  <c r="F176" i="17"/>
  <c r="E176" i="17"/>
  <c r="D176" i="17"/>
  <c r="C176" i="17"/>
  <c r="B176" i="17"/>
  <c r="B112" i="17" s="1"/>
  <c r="T175" i="17"/>
  <c r="S175" i="17"/>
  <c r="R175" i="17"/>
  <c r="Q175" i="17"/>
  <c r="P175" i="17"/>
  <c r="O175" i="17"/>
  <c r="N175" i="17"/>
  <c r="M175" i="17"/>
  <c r="L175" i="17"/>
  <c r="K175" i="17"/>
  <c r="J175" i="17"/>
  <c r="I175" i="17"/>
  <c r="H175" i="17"/>
  <c r="G175" i="17"/>
  <c r="F175" i="17"/>
  <c r="E175" i="17"/>
  <c r="D175" i="17"/>
  <c r="C175" i="17"/>
  <c r="B175" i="17"/>
  <c r="T174" i="17"/>
  <c r="S174" i="17"/>
  <c r="R174" i="17"/>
  <c r="Q174" i="17"/>
  <c r="P174" i="17"/>
  <c r="P110" i="17" s="1"/>
  <c r="O174" i="17"/>
  <c r="N174" i="17"/>
  <c r="M174" i="17"/>
  <c r="L174" i="17"/>
  <c r="K174" i="17"/>
  <c r="J174" i="17"/>
  <c r="I174" i="17"/>
  <c r="H174" i="17"/>
  <c r="G174" i="17"/>
  <c r="F174" i="17"/>
  <c r="E174" i="17"/>
  <c r="D174" i="17"/>
  <c r="C174" i="17"/>
  <c r="B174" i="17"/>
  <c r="T173" i="17"/>
  <c r="S173" i="17"/>
  <c r="R173" i="17"/>
  <c r="Q173" i="17"/>
  <c r="P173" i="17"/>
  <c r="O173" i="17"/>
  <c r="N173" i="17"/>
  <c r="M173" i="17"/>
  <c r="L173" i="17"/>
  <c r="L109" i="17" s="1"/>
  <c r="K173" i="17"/>
  <c r="J173" i="17"/>
  <c r="I173" i="17"/>
  <c r="H173" i="17"/>
  <c r="G173" i="17"/>
  <c r="F173" i="17"/>
  <c r="E173" i="17"/>
  <c r="D173" i="17"/>
  <c r="C173" i="17"/>
  <c r="B173" i="17"/>
  <c r="T172" i="17"/>
  <c r="S172" i="17"/>
  <c r="R172" i="17"/>
  <c r="Q172" i="17"/>
  <c r="P172" i="17"/>
  <c r="O172" i="17"/>
  <c r="N172" i="17"/>
  <c r="M172" i="17"/>
  <c r="L172" i="17"/>
  <c r="L108" i="17" s="1"/>
  <c r="K172" i="17"/>
  <c r="J172" i="17"/>
  <c r="I172" i="17"/>
  <c r="H172" i="17"/>
  <c r="G172" i="17"/>
  <c r="F172" i="17"/>
  <c r="E172" i="17"/>
  <c r="D172" i="17"/>
  <c r="C172" i="17"/>
  <c r="B172" i="17"/>
  <c r="T171" i="17"/>
  <c r="S171" i="17"/>
  <c r="S178" i="17" s="1"/>
  <c r="R171" i="17"/>
  <c r="Q171" i="17"/>
  <c r="P171" i="17"/>
  <c r="O171" i="17"/>
  <c r="N171" i="17"/>
  <c r="M171" i="17"/>
  <c r="L171" i="17"/>
  <c r="K171" i="17"/>
  <c r="J171" i="17"/>
  <c r="I171" i="17"/>
  <c r="H171" i="17"/>
  <c r="G171" i="17"/>
  <c r="F171" i="17"/>
  <c r="E171" i="17"/>
  <c r="D171" i="17"/>
  <c r="C171" i="17"/>
  <c r="B171" i="17"/>
  <c r="T170" i="17"/>
  <c r="S170" i="17"/>
  <c r="R170" i="17"/>
  <c r="Q170" i="17"/>
  <c r="P170" i="17"/>
  <c r="O170" i="17"/>
  <c r="N170" i="17"/>
  <c r="M170" i="17"/>
  <c r="L170" i="17"/>
  <c r="K170" i="17"/>
  <c r="K178" i="17" s="1"/>
  <c r="K13" i="17" s="1"/>
  <c r="J170" i="17"/>
  <c r="I170" i="17"/>
  <c r="H170" i="17"/>
  <c r="G170" i="17"/>
  <c r="F170" i="17"/>
  <c r="F106" i="17" s="1"/>
  <c r="E170" i="17"/>
  <c r="D170" i="17"/>
  <c r="D106" i="17" s="1"/>
  <c r="C170" i="17"/>
  <c r="B170" i="17"/>
  <c r="T169" i="17"/>
  <c r="S169" i="17"/>
  <c r="R169" i="17"/>
  <c r="R178" i="17" s="1"/>
  <c r="R13" i="17" s="1"/>
  <c r="Q169" i="17"/>
  <c r="P169" i="17"/>
  <c r="O169" i="17"/>
  <c r="N169" i="17"/>
  <c r="M169" i="17"/>
  <c r="L169" i="17"/>
  <c r="K169" i="17"/>
  <c r="J169" i="17"/>
  <c r="I169" i="17"/>
  <c r="H169" i="17"/>
  <c r="H178" i="17" s="1"/>
  <c r="H13" i="17" s="1"/>
  <c r="G169" i="17"/>
  <c r="F169" i="17"/>
  <c r="E169" i="17"/>
  <c r="D169" i="17"/>
  <c r="C169" i="17"/>
  <c r="B169" i="17"/>
  <c r="T168" i="17"/>
  <c r="S168" i="17"/>
  <c r="R168" i="17"/>
  <c r="Q168" i="17"/>
  <c r="P168" i="17"/>
  <c r="O168" i="17"/>
  <c r="N168" i="17"/>
  <c r="M168" i="17"/>
  <c r="L168" i="17"/>
  <c r="K168" i="17"/>
  <c r="J168" i="17"/>
  <c r="J178" i="17" s="1"/>
  <c r="I168" i="17"/>
  <c r="H168" i="17"/>
  <c r="G168" i="17"/>
  <c r="F168" i="17"/>
  <c r="E168" i="17"/>
  <c r="E178" i="17" s="1"/>
  <c r="D168" i="17"/>
  <c r="C168" i="17"/>
  <c r="B168" i="17"/>
  <c r="T167" i="17"/>
  <c r="S167" i="17"/>
  <c r="R167" i="17"/>
  <c r="Q167" i="17"/>
  <c r="Q103" i="17" s="1"/>
  <c r="P167" i="17"/>
  <c r="O167" i="17"/>
  <c r="N167" i="17"/>
  <c r="M167" i="17"/>
  <c r="L167" i="17"/>
  <c r="K167" i="17"/>
  <c r="J167" i="17"/>
  <c r="I167" i="17"/>
  <c r="H167" i="17"/>
  <c r="G167" i="17"/>
  <c r="F167" i="17"/>
  <c r="E167" i="17"/>
  <c r="D167" i="17"/>
  <c r="C167" i="17"/>
  <c r="B167" i="17"/>
  <c r="T166" i="17"/>
  <c r="T178" i="17" s="1"/>
  <c r="S166" i="17"/>
  <c r="R166" i="17"/>
  <c r="Q166" i="17"/>
  <c r="P166" i="17"/>
  <c r="O166" i="17"/>
  <c r="N166" i="17"/>
  <c r="M166" i="17"/>
  <c r="L166" i="17"/>
  <c r="K166" i="17"/>
  <c r="J166" i="17"/>
  <c r="I166" i="17"/>
  <c r="H166" i="17"/>
  <c r="G166" i="17"/>
  <c r="F166" i="17"/>
  <c r="E166" i="17"/>
  <c r="D166" i="17"/>
  <c r="D178" i="17" s="1"/>
  <c r="C166" i="17"/>
  <c r="B166" i="17"/>
  <c r="P162" i="17"/>
  <c r="P9" i="17" s="1"/>
  <c r="J162" i="17"/>
  <c r="J9" i="17" s="1"/>
  <c r="I162" i="17"/>
  <c r="I9" i="17" s="1"/>
  <c r="P161" i="17"/>
  <c r="O161" i="17"/>
  <c r="N161" i="17"/>
  <c r="M161" i="17"/>
  <c r="L161" i="17"/>
  <c r="K161" i="17"/>
  <c r="J161" i="17"/>
  <c r="I161" i="17"/>
  <c r="H161" i="17"/>
  <c r="H129" i="17" s="1"/>
  <c r="H113" i="17" s="1"/>
  <c r="G161" i="17"/>
  <c r="F161" i="17"/>
  <c r="E161" i="17"/>
  <c r="D161" i="17"/>
  <c r="C161" i="17"/>
  <c r="B161" i="17"/>
  <c r="P160" i="17"/>
  <c r="P128" i="17" s="1"/>
  <c r="P112" i="17" s="1"/>
  <c r="O160" i="17"/>
  <c r="N160" i="17"/>
  <c r="M160" i="17"/>
  <c r="L160" i="17"/>
  <c r="K160" i="17"/>
  <c r="J160" i="17"/>
  <c r="I160" i="17"/>
  <c r="H160" i="17"/>
  <c r="G160" i="17"/>
  <c r="F160" i="17"/>
  <c r="E160" i="17"/>
  <c r="D160" i="17"/>
  <c r="C160" i="17"/>
  <c r="B160" i="17"/>
  <c r="P159" i="17"/>
  <c r="O159" i="17"/>
  <c r="O127" i="17" s="1"/>
  <c r="O111" i="17" s="1"/>
  <c r="N159" i="17"/>
  <c r="M159" i="17"/>
  <c r="M127" i="17" s="1"/>
  <c r="M111" i="17" s="1"/>
  <c r="L159" i="17"/>
  <c r="K159" i="17"/>
  <c r="K127" i="17" s="1"/>
  <c r="K111" i="17" s="1"/>
  <c r="J159" i="17"/>
  <c r="I159" i="17"/>
  <c r="H159" i="17"/>
  <c r="G159" i="17"/>
  <c r="F159" i="17"/>
  <c r="E159" i="17"/>
  <c r="D159" i="17"/>
  <c r="C159" i="17"/>
  <c r="B159" i="17"/>
  <c r="B127" i="17" s="1"/>
  <c r="B111" i="17" s="1"/>
  <c r="B47" i="17" s="1"/>
  <c r="P158" i="17"/>
  <c r="O158" i="17"/>
  <c r="N158" i="17"/>
  <c r="M158" i="17"/>
  <c r="L158" i="17"/>
  <c r="K158" i="17"/>
  <c r="K126" i="17" s="1"/>
  <c r="J158" i="17"/>
  <c r="J126" i="17" s="1"/>
  <c r="J110" i="17" s="1"/>
  <c r="I158" i="17"/>
  <c r="H158" i="17"/>
  <c r="H126" i="17" s="1"/>
  <c r="H110" i="17" s="1"/>
  <c r="G158" i="17"/>
  <c r="F158" i="17"/>
  <c r="E158" i="17"/>
  <c r="D158" i="17"/>
  <c r="C158" i="17"/>
  <c r="B158" i="17"/>
  <c r="P157" i="17"/>
  <c r="O157" i="17"/>
  <c r="N157" i="17"/>
  <c r="M157" i="17"/>
  <c r="L157" i="17"/>
  <c r="K157" i="17"/>
  <c r="K125" i="17" s="1"/>
  <c r="K109" i="17" s="1"/>
  <c r="J157" i="17"/>
  <c r="I157" i="17"/>
  <c r="H157" i="17"/>
  <c r="G157" i="17"/>
  <c r="G125" i="17" s="1"/>
  <c r="G109" i="17" s="1"/>
  <c r="F157" i="17"/>
  <c r="E157" i="17"/>
  <c r="D157" i="17"/>
  <c r="C157" i="17"/>
  <c r="B157" i="17"/>
  <c r="P156" i="17"/>
  <c r="O156" i="17"/>
  <c r="N156" i="17"/>
  <c r="M156" i="17"/>
  <c r="L156" i="17"/>
  <c r="K156" i="17"/>
  <c r="J156" i="17"/>
  <c r="I156" i="17"/>
  <c r="H156" i="17"/>
  <c r="G156" i="17"/>
  <c r="F156" i="17"/>
  <c r="E156" i="17"/>
  <c r="D156" i="17"/>
  <c r="D124" i="17" s="1"/>
  <c r="D108" i="17" s="1"/>
  <c r="C156" i="17"/>
  <c r="B156" i="17"/>
  <c r="P155" i="17"/>
  <c r="O155" i="17"/>
  <c r="N155" i="17"/>
  <c r="M155" i="17"/>
  <c r="L155" i="17"/>
  <c r="L123" i="17" s="1"/>
  <c r="L107" i="17" s="1"/>
  <c r="K155" i="17"/>
  <c r="K123" i="17" s="1"/>
  <c r="K107" i="17" s="1"/>
  <c r="J155" i="17"/>
  <c r="I155" i="17"/>
  <c r="H155" i="17"/>
  <c r="G155" i="17"/>
  <c r="F155" i="17"/>
  <c r="E155" i="17"/>
  <c r="D155" i="17"/>
  <c r="C155" i="17"/>
  <c r="C123" i="17" s="1"/>
  <c r="C107" i="17" s="1"/>
  <c r="B155" i="17"/>
  <c r="P154" i="17"/>
  <c r="O154" i="17"/>
  <c r="N154" i="17"/>
  <c r="M154" i="17"/>
  <c r="L154" i="17"/>
  <c r="L122" i="17" s="1"/>
  <c r="L106" i="17" s="1"/>
  <c r="K154" i="17"/>
  <c r="J154" i="17"/>
  <c r="I154" i="17"/>
  <c r="I122" i="17" s="1"/>
  <c r="I106" i="17" s="1"/>
  <c r="H154" i="17"/>
  <c r="G154" i="17"/>
  <c r="F154" i="17"/>
  <c r="E154" i="17"/>
  <c r="D154" i="17"/>
  <c r="C154" i="17"/>
  <c r="B154" i="17"/>
  <c r="P153" i="17"/>
  <c r="O153" i="17"/>
  <c r="N153" i="17"/>
  <c r="M153" i="17"/>
  <c r="L153" i="17"/>
  <c r="K153" i="17"/>
  <c r="K162" i="17" s="1"/>
  <c r="K9" i="17" s="1"/>
  <c r="J153" i="17"/>
  <c r="I153" i="17"/>
  <c r="I121" i="17" s="1"/>
  <c r="H153" i="17"/>
  <c r="G153" i="17"/>
  <c r="F153" i="17"/>
  <c r="F121" i="17" s="1"/>
  <c r="F105" i="17" s="1"/>
  <c r="E153" i="17"/>
  <c r="E121" i="17" s="1"/>
  <c r="E105" i="17" s="1"/>
  <c r="D153" i="17"/>
  <c r="C153" i="17"/>
  <c r="B153" i="17"/>
  <c r="Q152" i="17"/>
  <c r="P152" i="17"/>
  <c r="O152" i="17"/>
  <c r="N152" i="17"/>
  <c r="M152" i="17"/>
  <c r="L152" i="17"/>
  <c r="K152" i="17"/>
  <c r="J152" i="17"/>
  <c r="I152" i="17"/>
  <c r="H152" i="17"/>
  <c r="G152" i="17"/>
  <c r="F152" i="17"/>
  <c r="E152" i="17"/>
  <c r="D152" i="17"/>
  <c r="C152" i="17"/>
  <c r="B152" i="17"/>
  <c r="B120" i="17" s="1"/>
  <c r="B104" i="17" s="1"/>
  <c r="Q151" i="17"/>
  <c r="P151" i="17"/>
  <c r="O151" i="17"/>
  <c r="N151" i="17"/>
  <c r="M151" i="17"/>
  <c r="L151" i="17"/>
  <c r="K151" i="17"/>
  <c r="J151" i="17"/>
  <c r="I151" i="17"/>
  <c r="H151" i="17"/>
  <c r="G151" i="17"/>
  <c r="F151" i="17"/>
  <c r="E151" i="17"/>
  <c r="E162" i="17" s="1"/>
  <c r="E9" i="17" s="1"/>
  <c r="D151" i="17"/>
  <c r="C151" i="17"/>
  <c r="B151" i="17"/>
  <c r="Q150" i="17"/>
  <c r="P150" i="17"/>
  <c r="P118" i="17" s="1"/>
  <c r="O150" i="17"/>
  <c r="N150" i="17"/>
  <c r="M150" i="17"/>
  <c r="L150" i="17"/>
  <c r="K150" i="17"/>
  <c r="J150" i="17"/>
  <c r="I150" i="17"/>
  <c r="H150" i="17"/>
  <c r="G150" i="17"/>
  <c r="F150" i="17"/>
  <c r="E150" i="17"/>
  <c r="D150" i="17"/>
  <c r="C150" i="17"/>
  <c r="B150" i="17"/>
  <c r="I146" i="17"/>
  <c r="T145" i="17"/>
  <c r="S145" i="17"/>
  <c r="R145" i="17"/>
  <c r="Q145" i="17"/>
  <c r="P145" i="17"/>
  <c r="O145" i="17"/>
  <c r="N145" i="17"/>
  <c r="N129" i="17" s="1"/>
  <c r="M145" i="17"/>
  <c r="L145" i="17"/>
  <c r="L129" i="17" s="1"/>
  <c r="L113" i="17" s="1"/>
  <c r="L49" i="17" s="1"/>
  <c r="K145" i="17"/>
  <c r="K129" i="17" s="1"/>
  <c r="J145" i="17"/>
  <c r="J129" i="17" s="1"/>
  <c r="J113" i="17" s="1"/>
  <c r="I145" i="17"/>
  <c r="H145" i="17"/>
  <c r="G145" i="17"/>
  <c r="F145" i="17"/>
  <c r="F129" i="17" s="1"/>
  <c r="F113" i="17" s="1"/>
  <c r="E145" i="17"/>
  <c r="D145" i="17"/>
  <c r="D129" i="17" s="1"/>
  <c r="D113" i="17" s="1"/>
  <c r="C145" i="17"/>
  <c r="C129" i="17" s="1"/>
  <c r="B145" i="17"/>
  <c r="T144" i="17"/>
  <c r="S144" i="17"/>
  <c r="R144" i="17"/>
  <c r="Q144" i="17"/>
  <c r="P144" i="17"/>
  <c r="O144" i="17"/>
  <c r="N144" i="17"/>
  <c r="M144" i="17"/>
  <c r="L144" i="17"/>
  <c r="K144" i="17"/>
  <c r="K128" i="17" s="1"/>
  <c r="K112" i="17" s="1"/>
  <c r="J144" i="17"/>
  <c r="J128" i="17" s="1"/>
  <c r="J112" i="17" s="1"/>
  <c r="I144" i="17"/>
  <c r="H144" i="17"/>
  <c r="H128" i="17" s="1"/>
  <c r="H112" i="17" s="1"/>
  <c r="G144" i="17"/>
  <c r="G128" i="17" s="1"/>
  <c r="G112" i="17" s="1"/>
  <c r="F144" i="17"/>
  <c r="E144" i="17"/>
  <c r="D144" i="17"/>
  <c r="C144" i="17"/>
  <c r="C128" i="17" s="1"/>
  <c r="C112" i="17" s="1"/>
  <c r="B144" i="17"/>
  <c r="T143" i="17"/>
  <c r="S143" i="17"/>
  <c r="R143" i="17"/>
  <c r="Q143" i="17"/>
  <c r="P143" i="17"/>
  <c r="O143" i="17"/>
  <c r="N143" i="17"/>
  <c r="M143" i="17"/>
  <c r="L143" i="17"/>
  <c r="K143" i="17"/>
  <c r="J143" i="17"/>
  <c r="I143" i="17"/>
  <c r="H143" i="17"/>
  <c r="G143" i="17"/>
  <c r="F143" i="17"/>
  <c r="F127" i="17" s="1"/>
  <c r="F111" i="17" s="1"/>
  <c r="E143" i="17"/>
  <c r="D143" i="17"/>
  <c r="D127" i="17" s="1"/>
  <c r="D111" i="17" s="1"/>
  <c r="C143" i="17"/>
  <c r="B143" i="17"/>
  <c r="T142" i="17"/>
  <c r="S142" i="17"/>
  <c r="R142" i="17"/>
  <c r="Q142" i="17"/>
  <c r="P142" i="17"/>
  <c r="P126" i="17" s="1"/>
  <c r="O142" i="17"/>
  <c r="N142" i="17"/>
  <c r="N126" i="17" s="1"/>
  <c r="N110" i="17" s="1"/>
  <c r="M142" i="17"/>
  <c r="M126" i="17" s="1"/>
  <c r="M110" i="17" s="1"/>
  <c r="L142" i="17"/>
  <c r="K142" i="17"/>
  <c r="J142" i="17"/>
  <c r="I142" i="17"/>
  <c r="H142" i="17"/>
  <c r="G142" i="17"/>
  <c r="F142" i="17"/>
  <c r="E142" i="17"/>
  <c r="E126" i="17" s="1"/>
  <c r="D142" i="17"/>
  <c r="C142" i="17"/>
  <c r="C126" i="17" s="1"/>
  <c r="B142" i="17"/>
  <c r="T141" i="17"/>
  <c r="S141" i="17"/>
  <c r="R141" i="17"/>
  <c r="Q141" i="17"/>
  <c r="P141" i="17"/>
  <c r="O141" i="17"/>
  <c r="N141" i="17"/>
  <c r="N125" i="17" s="1"/>
  <c r="N109" i="17" s="1"/>
  <c r="M141" i="17"/>
  <c r="M125" i="17" s="1"/>
  <c r="L141" i="17"/>
  <c r="L125" i="17" s="1"/>
  <c r="K141" i="17"/>
  <c r="J141" i="17"/>
  <c r="J125" i="17" s="1"/>
  <c r="J109" i="17" s="1"/>
  <c r="I141" i="17"/>
  <c r="I125" i="17" s="1"/>
  <c r="I109" i="17" s="1"/>
  <c r="H141" i="17"/>
  <c r="G141" i="17"/>
  <c r="F141" i="17"/>
  <c r="E141" i="17"/>
  <c r="D141" i="17"/>
  <c r="C141" i="17"/>
  <c r="B141" i="17"/>
  <c r="B125" i="17" s="1"/>
  <c r="B109" i="17" s="1"/>
  <c r="T140" i="17"/>
  <c r="S140" i="17"/>
  <c r="R140" i="17"/>
  <c r="Q140" i="17"/>
  <c r="P140" i="17"/>
  <c r="O140" i="17"/>
  <c r="N140" i="17"/>
  <c r="M140" i="17"/>
  <c r="L140" i="17"/>
  <c r="K140" i="17"/>
  <c r="K124" i="17" s="1"/>
  <c r="K108" i="17" s="1"/>
  <c r="J140" i="17"/>
  <c r="J124" i="17" s="1"/>
  <c r="I140" i="17"/>
  <c r="I124" i="17" s="1"/>
  <c r="H140" i="17"/>
  <c r="G140" i="17"/>
  <c r="F140" i="17"/>
  <c r="E140" i="17"/>
  <c r="D140" i="17"/>
  <c r="C140" i="17"/>
  <c r="C124" i="17" s="1"/>
  <c r="C108" i="17" s="1"/>
  <c r="B140" i="17"/>
  <c r="T139" i="17"/>
  <c r="S139" i="17"/>
  <c r="R139" i="17"/>
  <c r="Q139" i="17"/>
  <c r="P139" i="17"/>
  <c r="O139" i="17"/>
  <c r="N139" i="17"/>
  <c r="M139" i="17"/>
  <c r="L139" i="17"/>
  <c r="K139" i="17"/>
  <c r="J139" i="17"/>
  <c r="J123" i="17" s="1"/>
  <c r="J107" i="17" s="1"/>
  <c r="I139" i="17"/>
  <c r="H139" i="17"/>
  <c r="H123" i="17" s="1"/>
  <c r="H107" i="17" s="1"/>
  <c r="G139" i="17"/>
  <c r="G123" i="17" s="1"/>
  <c r="F139" i="17"/>
  <c r="F123" i="17" s="1"/>
  <c r="E139" i="17"/>
  <c r="E123" i="17" s="1"/>
  <c r="D139" i="17"/>
  <c r="D123" i="17" s="1"/>
  <c r="C139" i="17"/>
  <c r="B139" i="17"/>
  <c r="T138" i="17"/>
  <c r="S138" i="17"/>
  <c r="R138" i="17"/>
  <c r="Q138" i="17"/>
  <c r="P138" i="17"/>
  <c r="O138" i="17"/>
  <c r="O122" i="17" s="1"/>
  <c r="N138" i="17"/>
  <c r="M138" i="17"/>
  <c r="L138" i="17"/>
  <c r="K138" i="17"/>
  <c r="K122" i="17" s="1"/>
  <c r="K106" i="17" s="1"/>
  <c r="J138" i="17"/>
  <c r="I138" i="17"/>
  <c r="H138" i="17"/>
  <c r="G138" i="17"/>
  <c r="F138" i="17"/>
  <c r="E138" i="17"/>
  <c r="E122" i="17" s="1"/>
  <c r="E106" i="17" s="1"/>
  <c r="D138" i="17"/>
  <c r="D122" i="17" s="1"/>
  <c r="C138" i="17"/>
  <c r="C122" i="17" s="1"/>
  <c r="B138" i="17"/>
  <c r="B122" i="17" s="1"/>
  <c r="B106" i="17" s="1"/>
  <c r="T137" i="17"/>
  <c r="S137" i="17"/>
  <c r="R137" i="17"/>
  <c r="Q137" i="17"/>
  <c r="P137" i="17"/>
  <c r="P121" i="17" s="1"/>
  <c r="O137" i="17"/>
  <c r="O121" i="17" s="1"/>
  <c r="O105" i="17" s="1"/>
  <c r="N137" i="17"/>
  <c r="M137" i="17"/>
  <c r="L137" i="17"/>
  <c r="L121" i="17" s="1"/>
  <c r="K137" i="17"/>
  <c r="J137" i="17"/>
  <c r="I137" i="17"/>
  <c r="H137" i="17"/>
  <c r="H121" i="17" s="1"/>
  <c r="H105" i="17" s="1"/>
  <c r="G137" i="17"/>
  <c r="F137" i="17"/>
  <c r="E137" i="17"/>
  <c r="D137" i="17"/>
  <c r="C137" i="17"/>
  <c r="B137" i="17"/>
  <c r="B121" i="17" s="1"/>
  <c r="B105" i="17" s="1"/>
  <c r="T136" i="17"/>
  <c r="S136" i="17"/>
  <c r="R136" i="17"/>
  <c r="Q136" i="17"/>
  <c r="P136" i="17"/>
  <c r="O136" i="17"/>
  <c r="N136" i="17"/>
  <c r="M136" i="17"/>
  <c r="L136" i="17"/>
  <c r="L120" i="17" s="1"/>
  <c r="L104" i="17" s="1"/>
  <c r="K136" i="17"/>
  <c r="J136" i="17"/>
  <c r="J120" i="17" s="1"/>
  <c r="I136" i="17"/>
  <c r="I120" i="17" s="1"/>
  <c r="H136" i="17"/>
  <c r="G136" i="17"/>
  <c r="F136" i="17"/>
  <c r="E136" i="17"/>
  <c r="E120" i="17" s="1"/>
  <c r="E104" i="17" s="1"/>
  <c r="D136" i="17"/>
  <c r="C136" i="17"/>
  <c r="B136" i="17"/>
  <c r="T135" i="17"/>
  <c r="S135" i="17"/>
  <c r="R135" i="17"/>
  <c r="Q135" i="17"/>
  <c r="Q119" i="17" s="1"/>
  <c r="P135" i="17"/>
  <c r="P119" i="17" s="1"/>
  <c r="O135" i="17"/>
  <c r="O119" i="17" s="1"/>
  <c r="O103" i="17" s="1"/>
  <c r="N135" i="17"/>
  <c r="M135" i="17"/>
  <c r="L135" i="17"/>
  <c r="K135" i="17"/>
  <c r="J135" i="17"/>
  <c r="I135" i="17"/>
  <c r="H135" i="17"/>
  <c r="G135" i="17"/>
  <c r="F135" i="17"/>
  <c r="F119" i="17" s="1"/>
  <c r="F103" i="17" s="1"/>
  <c r="E135" i="17"/>
  <c r="D135" i="17"/>
  <c r="C135" i="17"/>
  <c r="B135" i="17"/>
  <c r="T134" i="17"/>
  <c r="S134" i="17"/>
  <c r="R134" i="17"/>
  <c r="Q134" i="17"/>
  <c r="P134" i="17"/>
  <c r="O134" i="17"/>
  <c r="O118" i="17" s="1"/>
  <c r="N134" i="17"/>
  <c r="N118" i="17" s="1"/>
  <c r="M134" i="17"/>
  <c r="M118" i="17" s="1"/>
  <c r="L134" i="17"/>
  <c r="K134" i="17"/>
  <c r="J134" i="17"/>
  <c r="I134" i="17"/>
  <c r="H134" i="17"/>
  <c r="G134" i="17"/>
  <c r="F134" i="17"/>
  <c r="E134" i="17"/>
  <c r="D134" i="17"/>
  <c r="C134" i="17"/>
  <c r="B134" i="17"/>
  <c r="P129" i="17"/>
  <c r="P113" i="17" s="1"/>
  <c r="O129" i="17"/>
  <c r="I129" i="17"/>
  <c r="I113" i="17" s="1"/>
  <c r="G129" i="17"/>
  <c r="G113" i="17" s="1"/>
  <c r="E129" i="17"/>
  <c r="M128" i="17"/>
  <c r="M112" i="17" s="1"/>
  <c r="L128" i="17"/>
  <c r="F128" i="17"/>
  <c r="E128" i="17"/>
  <c r="D128" i="17"/>
  <c r="D112" i="17" s="1"/>
  <c r="B128" i="17"/>
  <c r="P127" i="17"/>
  <c r="P111" i="17" s="1"/>
  <c r="N127" i="17"/>
  <c r="N111" i="17" s="1"/>
  <c r="L127" i="17"/>
  <c r="L111" i="17" s="1"/>
  <c r="J127" i="17"/>
  <c r="J111" i="17" s="1"/>
  <c r="I127" i="17"/>
  <c r="E127" i="17"/>
  <c r="C127" i="17"/>
  <c r="C111" i="17" s="1"/>
  <c r="L126" i="17"/>
  <c r="G126" i="17"/>
  <c r="F126" i="17"/>
  <c r="B126" i="17"/>
  <c r="B110" i="17" s="1"/>
  <c r="O125" i="17"/>
  <c r="O109" i="17" s="1"/>
  <c r="H125" i="17"/>
  <c r="H109" i="17" s="1"/>
  <c r="C125" i="17"/>
  <c r="P124" i="17"/>
  <c r="O124" i="17"/>
  <c r="O108" i="17" s="1"/>
  <c r="N124" i="17"/>
  <c r="N108" i="17" s="1"/>
  <c r="L124" i="17"/>
  <c r="G124" i="17"/>
  <c r="F124" i="17"/>
  <c r="F108" i="17" s="1"/>
  <c r="E124" i="17"/>
  <c r="B124" i="17"/>
  <c r="B108" i="17" s="1"/>
  <c r="O123" i="17"/>
  <c r="O107" i="17" s="1"/>
  <c r="M123" i="17"/>
  <c r="I123" i="17"/>
  <c r="I107" i="17" s="1"/>
  <c r="B123" i="17"/>
  <c r="B107" i="17" s="1"/>
  <c r="P122" i="17"/>
  <c r="J122" i="17"/>
  <c r="H122" i="17"/>
  <c r="H106" i="17" s="1"/>
  <c r="F122" i="17"/>
  <c r="M121" i="17"/>
  <c r="G121" i="17"/>
  <c r="C121" i="17"/>
  <c r="Q120" i="17"/>
  <c r="Q104" i="17" s="1"/>
  <c r="P120" i="17"/>
  <c r="P104" i="17" s="1"/>
  <c r="O120" i="17"/>
  <c r="O104" i="17" s="1"/>
  <c r="N120" i="17"/>
  <c r="N104" i="17" s="1"/>
  <c r="M120" i="17"/>
  <c r="M104" i="17" s="1"/>
  <c r="K120" i="17"/>
  <c r="K104" i="17" s="1"/>
  <c r="D120" i="17"/>
  <c r="D104" i="17" s="1"/>
  <c r="N119" i="17"/>
  <c r="M119" i="17"/>
  <c r="L119" i="17"/>
  <c r="L103" i="17" s="1"/>
  <c r="K119" i="17"/>
  <c r="K103" i="17" s="1"/>
  <c r="J119" i="17"/>
  <c r="J103" i="17" s="1"/>
  <c r="I119" i="17"/>
  <c r="I103" i="17" s="1"/>
  <c r="H119" i="17"/>
  <c r="H103" i="17" s="1"/>
  <c r="G119" i="17"/>
  <c r="K118" i="17"/>
  <c r="J118" i="17"/>
  <c r="I118" i="17"/>
  <c r="H118" i="17"/>
  <c r="G118" i="17"/>
  <c r="F118" i="17"/>
  <c r="E118" i="17"/>
  <c r="D118" i="17"/>
  <c r="N113" i="17"/>
  <c r="K113" i="17"/>
  <c r="E113" i="17"/>
  <c r="C113" i="17"/>
  <c r="F112" i="17"/>
  <c r="E111" i="17"/>
  <c r="L110" i="17"/>
  <c r="K110" i="17"/>
  <c r="G110" i="17"/>
  <c r="E110" i="17"/>
  <c r="C110" i="17"/>
  <c r="C46" i="17" s="1"/>
  <c r="M109" i="17"/>
  <c r="P108" i="17"/>
  <c r="J108" i="17"/>
  <c r="I108" i="17"/>
  <c r="G108" i="17"/>
  <c r="M107" i="17"/>
  <c r="G107" i="17"/>
  <c r="F107" i="17"/>
  <c r="E107" i="17"/>
  <c r="E43" i="17" s="1"/>
  <c r="D107" i="17"/>
  <c r="D43" i="17" s="1"/>
  <c r="O106" i="17"/>
  <c r="J106" i="17"/>
  <c r="C106" i="17"/>
  <c r="L105" i="17"/>
  <c r="I105" i="17"/>
  <c r="I41" i="17" s="1"/>
  <c r="G105" i="17"/>
  <c r="C105" i="17"/>
  <c r="I104" i="17"/>
  <c r="P103" i="17"/>
  <c r="N103" i="17"/>
  <c r="M103" i="17"/>
  <c r="M102" i="17"/>
  <c r="K102" i="17"/>
  <c r="J102" i="17"/>
  <c r="I102" i="17"/>
  <c r="E102" i="17"/>
  <c r="M98" i="17"/>
  <c r="P97" i="17"/>
  <c r="P65" i="17" s="1"/>
  <c r="O97" i="17"/>
  <c r="N97" i="17"/>
  <c r="M97" i="17"/>
  <c r="L97" i="17"/>
  <c r="K97" i="17"/>
  <c r="J97" i="17"/>
  <c r="I97" i="17"/>
  <c r="H97" i="17"/>
  <c r="G97" i="17"/>
  <c r="F97" i="17"/>
  <c r="E97" i="17"/>
  <c r="D97" i="17"/>
  <c r="C97" i="17"/>
  <c r="B97" i="17"/>
  <c r="P96" i="17"/>
  <c r="O96" i="17"/>
  <c r="N96" i="17"/>
  <c r="M96" i="17"/>
  <c r="M64" i="17" s="1"/>
  <c r="L96" i="17"/>
  <c r="K96" i="17"/>
  <c r="J96" i="17"/>
  <c r="I96" i="17"/>
  <c r="H96" i="17"/>
  <c r="G96" i="17"/>
  <c r="F96" i="17"/>
  <c r="E96" i="17"/>
  <c r="D96" i="17"/>
  <c r="D64" i="17" s="1"/>
  <c r="C96" i="17"/>
  <c r="C64" i="17" s="1"/>
  <c r="B96" i="17"/>
  <c r="P95" i="17"/>
  <c r="O95" i="17"/>
  <c r="N95" i="17"/>
  <c r="M95" i="17"/>
  <c r="L95" i="17"/>
  <c r="K95" i="17"/>
  <c r="J95" i="17"/>
  <c r="I95" i="17"/>
  <c r="H95" i="17"/>
  <c r="G95" i="17"/>
  <c r="F95" i="17"/>
  <c r="E95" i="17"/>
  <c r="D95" i="17"/>
  <c r="C95" i="17"/>
  <c r="B95" i="17"/>
  <c r="P94" i="17"/>
  <c r="O94" i="17"/>
  <c r="N94" i="17"/>
  <c r="M94" i="17"/>
  <c r="L94" i="17"/>
  <c r="K94" i="17"/>
  <c r="J94" i="17"/>
  <c r="I94" i="17"/>
  <c r="I62" i="17" s="1"/>
  <c r="H94" i="17"/>
  <c r="G94" i="17"/>
  <c r="F94" i="17"/>
  <c r="E94" i="17"/>
  <c r="D94" i="17"/>
  <c r="C94" i="17"/>
  <c r="B94" i="17"/>
  <c r="P93" i="17"/>
  <c r="P61" i="17" s="1"/>
  <c r="O93" i="17"/>
  <c r="O61" i="17" s="1"/>
  <c r="N93" i="17"/>
  <c r="M93" i="17"/>
  <c r="L93" i="17"/>
  <c r="K93" i="17"/>
  <c r="J93" i="17"/>
  <c r="I93" i="17"/>
  <c r="H93" i="17"/>
  <c r="G93" i="17"/>
  <c r="F93" i="17"/>
  <c r="F61" i="17" s="1"/>
  <c r="E93" i="17"/>
  <c r="D93" i="17"/>
  <c r="C93" i="17"/>
  <c r="B93" i="17"/>
  <c r="P92" i="17"/>
  <c r="O92" i="17"/>
  <c r="N92" i="17"/>
  <c r="M92" i="17"/>
  <c r="L92" i="17"/>
  <c r="K92" i="17"/>
  <c r="J92" i="17"/>
  <c r="I92" i="17"/>
  <c r="H92" i="17"/>
  <c r="G92" i="17"/>
  <c r="F92" i="17"/>
  <c r="F60" i="17" s="1"/>
  <c r="E92" i="17"/>
  <c r="D92" i="17"/>
  <c r="C92" i="17"/>
  <c r="B92" i="17"/>
  <c r="P91" i="17"/>
  <c r="O91" i="17"/>
  <c r="N91" i="17"/>
  <c r="M91" i="17"/>
  <c r="L91" i="17"/>
  <c r="K91" i="17"/>
  <c r="J91" i="17"/>
  <c r="J59" i="17" s="1"/>
  <c r="I91" i="17"/>
  <c r="I59" i="17" s="1"/>
  <c r="H91" i="17"/>
  <c r="G91" i="17"/>
  <c r="F91" i="17"/>
  <c r="E91" i="17"/>
  <c r="D91" i="17"/>
  <c r="C91" i="17"/>
  <c r="B91" i="17"/>
  <c r="P90" i="17"/>
  <c r="O90" i="17"/>
  <c r="N90" i="17"/>
  <c r="M90" i="17"/>
  <c r="L90" i="17"/>
  <c r="K90" i="17"/>
  <c r="J90" i="17"/>
  <c r="J58" i="17" s="1"/>
  <c r="I90" i="17"/>
  <c r="H90" i="17"/>
  <c r="H58" i="17" s="1"/>
  <c r="G90" i="17"/>
  <c r="F90" i="17"/>
  <c r="F58" i="17" s="1"/>
  <c r="E90" i="17"/>
  <c r="E58" i="17" s="1"/>
  <c r="D90" i="17"/>
  <c r="D58" i="17" s="1"/>
  <c r="C90" i="17"/>
  <c r="B90" i="17"/>
  <c r="P89" i="17"/>
  <c r="P57" i="17" s="1"/>
  <c r="O89" i="17"/>
  <c r="N89" i="17"/>
  <c r="M89" i="17"/>
  <c r="L89" i="17"/>
  <c r="K89" i="17"/>
  <c r="J89" i="17"/>
  <c r="I89" i="17"/>
  <c r="H89" i="17"/>
  <c r="G89" i="17"/>
  <c r="F89" i="17"/>
  <c r="E89" i="17"/>
  <c r="E57" i="17" s="1"/>
  <c r="D89" i="17"/>
  <c r="D57" i="17" s="1"/>
  <c r="C89" i="17"/>
  <c r="C57" i="17" s="1"/>
  <c r="B89" i="17"/>
  <c r="B57" i="17" s="1"/>
  <c r="Q88" i="17"/>
  <c r="P88" i="17"/>
  <c r="O88" i="17"/>
  <c r="N88" i="17"/>
  <c r="M88" i="17"/>
  <c r="L88" i="17"/>
  <c r="L56" i="17" s="1"/>
  <c r="K88" i="17"/>
  <c r="J88" i="17"/>
  <c r="I88" i="17"/>
  <c r="H88" i="17"/>
  <c r="G88" i="17"/>
  <c r="F88" i="17"/>
  <c r="E88" i="17"/>
  <c r="D88" i="17"/>
  <c r="C88" i="17"/>
  <c r="B88" i="17"/>
  <c r="B56" i="17" s="1"/>
  <c r="Q87" i="17"/>
  <c r="P87" i="17"/>
  <c r="O87" i="17"/>
  <c r="N87" i="17"/>
  <c r="M87" i="17"/>
  <c r="L87" i="17"/>
  <c r="K87" i="17"/>
  <c r="J87" i="17"/>
  <c r="I87" i="17"/>
  <c r="H87" i="17"/>
  <c r="G87" i="17"/>
  <c r="F87" i="17"/>
  <c r="E87" i="17"/>
  <c r="D87" i="17"/>
  <c r="C87" i="17"/>
  <c r="B87" i="17"/>
  <c r="Q86" i="17"/>
  <c r="P86" i="17"/>
  <c r="O86" i="17"/>
  <c r="N86" i="17"/>
  <c r="M86" i="17"/>
  <c r="L86" i="17"/>
  <c r="K86" i="17"/>
  <c r="J86" i="17"/>
  <c r="I86" i="17"/>
  <c r="H86" i="17"/>
  <c r="H98" i="17" s="1"/>
  <c r="H5" i="17" s="1"/>
  <c r="G86" i="17"/>
  <c r="F86" i="17"/>
  <c r="E86" i="17"/>
  <c r="D86" i="17"/>
  <c r="C86" i="17"/>
  <c r="B86" i="17"/>
  <c r="N82" i="17"/>
  <c r="N4" i="17" s="1"/>
  <c r="G82" i="17"/>
  <c r="G4" i="17" s="1"/>
  <c r="C82" i="17"/>
  <c r="C4" i="17" s="1"/>
  <c r="B82" i="17"/>
  <c r="B4" i="17" s="1"/>
  <c r="P81" i="17"/>
  <c r="O81" i="17"/>
  <c r="N81" i="17"/>
  <c r="M81" i="17"/>
  <c r="L81" i="17"/>
  <c r="L65" i="17" s="1"/>
  <c r="K81" i="17"/>
  <c r="J81" i="17"/>
  <c r="I81" i="17"/>
  <c r="H81" i="17"/>
  <c r="H65" i="17" s="1"/>
  <c r="G81" i="17"/>
  <c r="F81" i="17"/>
  <c r="E81" i="17"/>
  <c r="D81" i="17"/>
  <c r="D65" i="17" s="1"/>
  <c r="C81" i="17"/>
  <c r="B81" i="17"/>
  <c r="B65" i="17" s="1"/>
  <c r="P80" i="17"/>
  <c r="P64" i="17" s="1"/>
  <c r="O80" i="17"/>
  <c r="N80" i="17"/>
  <c r="M80" i="17"/>
  <c r="L80" i="17"/>
  <c r="K80" i="17"/>
  <c r="K64" i="17" s="1"/>
  <c r="J80" i="17"/>
  <c r="I80" i="17"/>
  <c r="I64" i="17" s="1"/>
  <c r="H80" i="17"/>
  <c r="G80" i="17"/>
  <c r="F80" i="17"/>
  <c r="E80" i="17"/>
  <c r="D80" i="17"/>
  <c r="C80" i="17"/>
  <c r="B80" i="17"/>
  <c r="P79" i="17"/>
  <c r="P63" i="17" s="1"/>
  <c r="O79" i="17"/>
  <c r="O63" i="17" s="1"/>
  <c r="N79" i="17"/>
  <c r="N63" i="17" s="1"/>
  <c r="M79" i="17"/>
  <c r="L79" i="17"/>
  <c r="K79" i="17"/>
  <c r="J79" i="17"/>
  <c r="J63" i="17" s="1"/>
  <c r="I79" i="17"/>
  <c r="H79" i="17"/>
  <c r="G79" i="17"/>
  <c r="G63" i="17" s="1"/>
  <c r="F79" i="17"/>
  <c r="F63" i="17" s="1"/>
  <c r="E79" i="17"/>
  <c r="D79" i="17"/>
  <c r="C79" i="17"/>
  <c r="B79" i="17"/>
  <c r="B63" i="17" s="1"/>
  <c r="P78" i="17"/>
  <c r="O78" i="17"/>
  <c r="N78" i="17"/>
  <c r="N62" i="17" s="1"/>
  <c r="M78" i="17"/>
  <c r="M62" i="17" s="1"/>
  <c r="L78" i="17"/>
  <c r="L62" i="17" s="1"/>
  <c r="K78" i="17"/>
  <c r="K62" i="17" s="1"/>
  <c r="J78" i="17"/>
  <c r="J62" i="17" s="1"/>
  <c r="I78" i="17"/>
  <c r="H78" i="17"/>
  <c r="G78" i="17"/>
  <c r="G62" i="17" s="1"/>
  <c r="F78" i="17"/>
  <c r="F62" i="17" s="1"/>
  <c r="E78" i="17"/>
  <c r="D78" i="17"/>
  <c r="D62" i="17" s="1"/>
  <c r="C78" i="17"/>
  <c r="C62" i="17" s="1"/>
  <c r="B78" i="17"/>
  <c r="P77" i="17"/>
  <c r="O77" i="17"/>
  <c r="N77" i="17"/>
  <c r="N61" i="17" s="1"/>
  <c r="M77" i="17"/>
  <c r="L77" i="17"/>
  <c r="K77" i="17"/>
  <c r="K61" i="17" s="1"/>
  <c r="J77" i="17"/>
  <c r="J61" i="17" s="1"/>
  <c r="J45" i="17" s="1"/>
  <c r="I77" i="17"/>
  <c r="I61" i="17" s="1"/>
  <c r="H77" i="17"/>
  <c r="H61" i="17" s="1"/>
  <c r="G77" i="17"/>
  <c r="G61" i="17" s="1"/>
  <c r="F77" i="17"/>
  <c r="E77" i="17"/>
  <c r="D77" i="17"/>
  <c r="D61" i="17" s="1"/>
  <c r="C77" i="17"/>
  <c r="C61" i="17" s="1"/>
  <c r="B77" i="17"/>
  <c r="B61" i="17" s="1"/>
  <c r="B45" i="17" s="1"/>
  <c r="P76" i="17"/>
  <c r="P60" i="17" s="1"/>
  <c r="O76" i="17"/>
  <c r="N76" i="17"/>
  <c r="M76" i="17"/>
  <c r="L76" i="17"/>
  <c r="K76" i="17"/>
  <c r="J76" i="17"/>
  <c r="I76" i="17"/>
  <c r="H76" i="17"/>
  <c r="H60" i="17" s="1"/>
  <c r="G76" i="17"/>
  <c r="G60" i="17" s="1"/>
  <c r="F76" i="17"/>
  <c r="E76" i="17"/>
  <c r="E60" i="17" s="1"/>
  <c r="D76" i="17"/>
  <c r="C76" i="17"/>
  <c r="B76" i="17"/>
  <c r="P75" i="17"/>
  <c r="P59" i="17" s="1"/>
  <c r="O75" i="17"/>
  <c r="N75" i="17"/>
  <c r="M75" i="17"/>
  <c r="M59" i="17" s="1"/>
  <c r="L75" i="17"/>
  <c r="K75" i="17"/>
  <c r="J75" i="17"/>
  <c r="I75" i="17"/>
  <c r="H75" i="17"/>
  <c r="H59" i="17" s="1"/>
  <c r="G75" i="17"/>
  <c r="F75" i="17"/>
  <c r="E75" i="17"/>
  <c r="E59" i="17" s="1"/>
  <c r="D75" i="17"/>
  <c r="D59" i="17" s="1"/>
  <c r="C75" i="17"/>
  <c r="C59" i="17" s="1"/>
  <c r="B75" i="17"/>
  <c r="B59" i="17" s="1"/>
  <c r="P74" i="17"/>
  <c r="P58" i="17" s="1"/>
  <c r="O74" i="17"/>
  <c r="O58" i="17" s="1"/>
  <c r="O42" i="17" s="1"/>
  <c r="N74" i="17"/>
  <c r="M74" i="17"/>
  <c r="M58" i="17" s="1"/>
  <c r="L74" i="17"/>
  <c r="K74" i="17"/>
  <c r="K58" i="17" s="1"/>
  <c r="J74" i="17"/>
  <c r="I74" i="17"/>
  <c r="H74" i="17"/>
  <c r="G74" i="17"/>
  <c r="F74" i="17"/>
  <c r="E74" i="17"/>
  <c r="D74" i="17"/>
  <c r="C74" i="17"/>
  <c r="C58" i="17" s="1"/>
  <c r="B74" i="17"/>
  <c r="B58" i="17" s="1"/>
  <c r="P73" i="17"/>
  <c r="O73" i="17"/>
  <c r="N73" i="17"/>
  <c r="M73" i="17"/>
  <c r="L73" i="17"/>
  <c r="L57" i="17" s="1"/>
  <c r="K73" i="17"/>
  <c r="K57" i="17" s="1"/>
  <c r="J73" i="17"/>
  <c r="J57" i="17" s="1"/>
  <c r="I73" i="17"/>
  <c r="I57" i="17" s="1"/>
  <c r="H73" i="17"/>
  <c r="H57" i="17" s="1"/>
  <c r="G73" i="17"/>
  <c r="F73" i="17"/>
  <c r="E73" i="17"/>
  <c r="D73" i="17"/>
  <c r="C73" i="17"/>
  <c r="B73" i="17"/>
  <c r="Q72" i="17"/>
  <c r="Q56" i="17" s="1"/>
  <c r="P72" i="17"/>
  <c r="O72" i="17"/>
  <c r="N72" i="17"/>
  <c r="N56" i="17" s="1"/>
  <c r="M72" i="17"/>
  <c r="L72" i="17"/>
  <c r="K72" i="17"/>
  <c r="K56" i="17" s="1"/>
  <c r="J72" i="17"/>
  <c r="I72" i="17"/>
  <c r="I56" i="17" s="1"/>
  <c r="H72" i="17"/>
  <c r="H56" i="17" s="1"/>
  <c r="G72" i="17"/>
  <c r="G56" i="17" s="1"/>
  <c r="F72" i="17"/>
  <c r="F56" i="17" s="1"/>
  <c r="E72" i="17"/>
  <c r="E56" i="17" s="1"/>
  <c r="D72" i="17"/>
  <c r="D56" i="17" s="1"/>
  <c r="C72" i="17"/>
  <c r="B72" i="17"/>
  <c r="Q71" i="17"/>
  <c r="P71" i="17"/>
  <c r="O71" i="17"/>
  <c r="O55" i="17" s="1"/>
  <c r="N71" i="17"/>
  <c r="N55" i="17" s="1"/>
  <c r="M71" i="17"/>
  <c r="M82" i="17" s="1"/>
  <c r="M4" i="17" s="1"/>
  <c r="M3" i="17" s="1"/>
  <c r="L71" i="17"/>
  <c r="K71" i="17"/>
  <c r="J71" i="17"/>
  <c r="I71" i="17"/>
  <c r="H71" i="17"/>
  <c r="G71" i="17"/>
  <c r="G55" i="17" s="1"/>
  <c r="F71" i="17"/>
  <c r="E71" i="17"/>
  <c r="E55" i="17" s="1"/>
  <c r="D71" i="17"/>
  <c r="D55" i="17" s="1"/>
  <c r="C71" i="17"/>
  <c r="B71" i="17"/>
  <c r="B55" i="17" s="1"/>
  <c r="Q70" i="17"/>
  <c r="P70" i="17"/>
  <c r="O70" i="17"/>
  <c r="N70" i="17"/>
  <c r="M70" i="17"/>
  <c r="M54" i="17" s="1"/>
  <c r="L70" i="17"/>
  <c r="L54" i="17" s="1"/>
  <c r="K70" i="17"/>
  <c r="K54" i="17" s="1"/>
  <c r="J70" i="17"/>
  <c r="I70" i="17"/>
  <c r="H70" i="17"/>
  <c r="G70" i="17"/>
  <c r="F70" i="17"/>
  <c r="E70" i="17"/>
  <c r="D70" i="17"/>
  <c r="D54" i="17" s="1"/>
  <c r="C70" i="17"/>
  <c r="C54" i="17" s="1"/>
  <c r="B70" i="17"/>
  <c r="O65" i="17"/>
  <c r="N65" i="17"/>
  <c r="M65" i="17"/>
  <c r="I65" i="17"/>
  <c r="G65" i="17"/>
  <c r="F65" i="17"/>
  <c r="E65" i="17"/>
  <c r="C65" i="17"/>
  <c r="O64" i="17"/>
  <c r="N64" i="17"/>
  <c r="J64" i="17"/>
  <c r="B64" i="17"/>
  <c r="M63" i="17"/>
  <c r="L63" i="17"/>
  <c r="K63" i="17"/>
  <c r="I63" i="17"/>
  <c r="C63" i="17"/>
  <c r="P62" i="17"/>
  <c r="O62" i="17"/>
  <c r="H62" i="17"/>
  <c r="M61" i="17"/>
  <c r="L61" i="17"/>
  <c r="E61" i="17"/>
  <c r="N60" i="17"/>
  <c r="M60" i="17"/>
  <c r="L60" i="17"/>
  <c r="K60" i="17"/>
  <c r="J60" i="17"/>
  <c r="I60" i="17"/>
  <c r="D60" i="17"/>
  <c r="C60" i="17"/>
  <c r="B60" i="17"/>
  <c r="K59" i="17"/>
  <c r="G59" i="17"/>
  <c r="F59" i="17"/>
  <c r="N58" i="17"/>
  <c r="G58" i="17"/>
  <c r="O57" i="17"/>
  <c r="N57" i="17"/>
  <c r="M57" i="17"/>
  <c r="O56" i="17"/>
  <c r="M56" i="17"/>
  <c r="J56" i="17"/>
  <c r="Q55" i="17"/>
  <c r="P55" i="17"/>
  <c r="M55" i="17"/>
  <c r="M39" i="17" s="1"/>
  <c r="L55" i="17"/>
  <c r="K55" i="17"/>
  <c r="J55" i="17"/>
  <c r="I55" i="17"/>
  <c r="J54" i="17"/>
  <c r="H54" i="17"/>
  <c r="G54" i="17"/>
  <c r="F54" i="17"/>
  <c r="E54" i="17"/>
  <c r="B54" i="17"/>
  <c r="N49" i="17"/>
  <c r="N46" i="17"/>
  <c r="M46" i="17"/>
  <c r="F44" i="17"/>
  <c r="N39" i="17"/>
  <c r="L27" i="17"/>
  <c r="K27" i="17"/>
  <c r="K24" i="17"/>
  <c r="I23" i="17"/>
  <c r="B21" i="17"/>
  <c r="O20" i="17"/>
  <c r="L20" i="17"/>
  <c r="Q16" i="17"/>
  <c r="R10" i="17"/>
  <c r="K10" i="17"/>
  <c r="H10" i="17"/>
  <c r="I8" i="17"/>
  <c r="M5" i="17"/>
  <c r="AI2" i="17"/>
  <c r="AH2" i="17"/>
  <c r="AG2" i="17"/>
  <c r="AF2" i="17"/>
  <c r="AE2" i="17"/>
  <c r="AD2" i="17"/>
  <c r="AC2" i="17"/>
  <c r="AB2" i="17"/>
  <c r="AA2" i="17"/>
  <c r="Z2" i="17"/>
  <c r="Y2" i="17"/>
  <c r="AX186" i="16"/>
  <c r="AZ186" i="16" s="1"/>
  <c r="AW186" i="16"/>
  <c r="AV186" i="16"/>
  <c r="AU186" i="16"/>
  <c r="AE186" i="16"/>
  <c r="AB186" i="16"/>
  <c r="E186" i="16" s="1"/>
  <c r="X186" i="16"/>
  <c r="W186" i="16"/>
  <c r="Y186" i="16" s="1"/>
  <c r="V186" i="16"/>
  <c r="S186" i="16"/>
  <c r="P186" i="16"/>
  <c r="N186" i="16"/>
  <c r="M186" i="16"/>
  <c r="J186" i="16"/>
  <c r="G186" i="16"/>
  <c r="D186" i="16"/>
  <c r="AU185" i="16"/>
  <c r="AS185" i="16"/>
  <c r="AS186" i="16" s="1"/>
  <c r="AP185" i="16"/>
  <c r="AO185" i="16"/>
  <c r="AO186" i="16" s="1"/>
  <c r="AN185" i="16"/>
  <c r="AM185" i="16"/>
  <c r="AM186" i="16" s="1"/>
  <c r="AN186" i="16" s="1"/>
  <c r="AJ185" i="16"/>
  <c r="AJ186" i="16" s="1"/>
  <c r="AE185" i="16"/>
  <c r="AB185" i="16"/>
  <c r="X185" i="16"/>
  <c r="V185" i="16"/>
  <c r="S185" i="16"/>
  <c r="N185" i="16"/>
  <c r="P185" i="16" s="1"/>
  <c r="M185" i="16"/>
  <c r="J185" i="16"/>
  <c r="E185" i="16"/>
  <c r="D185" i="16"/>
  <c r="AZ184" i="16"/>
  <c r="AY184" i="16"/>
  <c r="AY185" i="16" s="1"/>
  <c r="AY186" i="16" s="1"/>
  <c r="AX184" i="16"/>
  <c r="AX185" i="16" s="1"/>
  <c r="AW184" i="16"/>
  <c r="AV184" i="16"/>
  <c r="AV185" i="16" s="1"/>
  <c r="AU184" i="16"/>
  <c r="AS184" i="16"/>
  <c r="AP184" i="16"/>
  <c r="AQ184" i="16" s="1"/>
  <c r="AO184" i="16"/>
  <c r="AM184" i="16"/>
  <c r="AN184" i="16" s="1"/>
  <c r="AL184" i="16"/>
  <c r="AL185" i="16" s="1"/>
  <c r="AL186" i="16" s="1"/>
  <c r="AJ184" i="16"/>
  <c r="AI184" i="16"/>
  <c r="AG184" i="16"/>
  <c r="AF184" i="16"/>
  <c r="AF185" i="16" s="1"/>
  <c r="AF186" i="16" s="1"/>
  <c r="AE184" i="16"/>
  <c r="N184" i="16" s="1"/>
  <c r="AB184" i="16"/>
  <c r="E184" i="16" s="1"/>
  <c r="G184" i="16" s="1"/>
  <c r="Y184" i="16"/>
  <c r="X184" i="16"/>
  <c r="W184" i="16"/>
  <c r="V184" i="16"/>
  <c r="S184" i="16"/>
  <c r="M184" i="16"/>
  <c r="J184" i="16"/>
  <c r="D184" i="16"/>
  <c r="AO183" i="16"/>
  <c r="AE183" i="16"/>
  <c r="AB183" i="16"/>
  <c r="X183" i="16"/>
  <c r="W183" i="16"/>
  <c r="V183" i="16"/>
  <c r="S183" i="16"/>
  <c r="P183" i="16"/>
  <c r="N183" i="16"/>
  <c r="M183" i="16"/>
  <c r="J183" i="16"/>
  <c r="G183" i="16"/>
  <c r="E183" i="16"/>
  <c r="D183" i="16"/>
  <c r="AL182" i="16"/>
  <c r="AL183" i="16" s="1"/>
  <c r="AE182" i="16"/>
  <c r="AB182" i="16"/>
  <c r="X182" i="16"/>
  <c r="Y182" i="16" s="1"/>
  <c r="V182" i="16"/>
  <c r="S182" i="16"/>
  <c r="P182" i="16"/>
  <c r="N182" i="16"/>
  <c r="M182" i="16"/>
  <c r="J182" i="16"/>
  <c r="G182" i="16"/>
  <c r="E182" i="16"/>
  <c r="W182" i="16" s="1"/>
  <c r="D182" i="16"/>
  <c r="AY181" i="16"/>
  <c r="AY182" i="16" s="1"/>
  <c r="AY183" i="16" s="1"/>
  <c r="AE181" i="16"/>
  <c r="AB181" i="16"/>
  <c r="E181" i="16" s="1"/>
  <c r="G181" i="16" s="1"/>
  <c r="X181" i="16"/>
  <c r="V181" i="16"/>
  <c r="S181" i="16"/>
  <c r="N181" i="16"/>
  <c r="M181" i="16"/>
  <c r="J181" i="16"/>
  <c r="D181" i="16"/>
  <c r="AE180" i="16"/>
  <c r="AB180" i="16"/>
  <c r="X180" i="16"/>
  <c r="V180" i="16"/>
  <c r="S180" i="16"/>
  <c r="N180" i="16"/>
  <c r="P180" i="16" s="1"/>
  <c r="M180" i="16"/>
  <c r="J180" i="16"/>
  <c r="G180" i="16"/>
  <c r="E180" i="16"/>
  <c r="D180" i="16"/>
  <c r="AE179" i="16"/>
  <c r="N179" i="16" s="1"/>
  <c r="P179" i="16" s="1"/>
  <c r="AB179" i="16"/>
  <c r="X179" i="16"/>
  <c r="V179" i="16"/>
  <c r="S179" i="16"/>
  <c r="M179" i="16"/>
  <c r="J179" i="16"/>
  <c r="E179" i="16"/>
  <c r="D179" i="16"/>
  <c r="AE178" i="16"/>
  <c r="N178" i="16" s="1"/>
  <c r="AB178" i="16"/>
  <c r="E178" i="16" s="1"/>
  <c r="X178" i="16"/>
  <c r="V178" i="16"/>
  <c r="S178" i="16"/>
  <c r="P178" i="16"/>
  <c r="M178" i="16"/>
  <c r="J178" i="16"/>
  <c r="D178" i="16"/>
  <c r="AE177" i="16"/>
  <c r="AB177" i="16"/>
  <c r="E177" i="16" s="1"/>
  <c r="G177" i="16" s="1"/>
  <c r="X177" i="16"/>
  <c r="V177" i="16"/>
  <c r="S177" i="16"/>
  <c r="N177" i="16"/>
  <c r="P177" i="16" s="1"/>
  <c r="M177" i="16"/>
  <c r="J177" i="16"/>
  <c r="D177" i="16"/>
  <c r="AE176" i="16"/>
  <c r="AB176" i="16"/>
  <c r="X176" i="16"/>
  <c r="W176" i="16"/>
  <c r="V176" i="16"/>
  <c r="S176" i="16"/>
  <c r="N176" i="16"/>
  <c r="P176" i="16" s="1"/>
  <c r="M176" i="16"/>
  <c r="J176" i="16"/>
  <c r="G176" i="16"/>
  <c r="E176" i="16"/>
  <c r="D176" i="16"/>
  <c r="AE175" i="16"/>
  <c r="N175" i="16" s="1"/>
  <c r="P175" i="16" s="1"/>
  <c r="AB175" i="16"/>
  <c r="E175" i="16" s="1"/>
  <c r="W175" i="16" s="1"/>
  <c r="X175" i="16"/>
  <c r="Y175" i="16" s="1"/>
  <c r="V175" i="16"/>
  <c r="S175" i="16"/>
  <c r="M175" i="16"/>
  <c r="J175" i="16"/>
  <c r="G175" i="16"/>
  <c r="D175" i="16"/>
  <c r="AY174" i="16"/>
  <c r="AY175" i="16" s="1"/>
  <c r="AY176" i="16" s="1"/>
  <c r="AY177" i="16" s="1"/>
  <c r="AY178" i="16" s="1"/>
  <c r="AY179" i="16" s="1"/>
  <c r="AY180" i="16" s="1"/>
  <c r="AO174" i="16"/>
  <c r="AO175" i="16" s="1"/>
  <c r="AO176" i="16" s="1"/>
  <c r="AO177" i="16" s="1"/>
  <c r="AO178" i="16" s="1"/>
  <c r="AO179" i="16" s="1"/>
  <c r="AO180" i="16" s="1"/>
  <c r="AO181" i="16" s="1"/>
  <c r="AO182" i="16" s="1"/>
  <c r="AE174" i="16"/>
  <c r="AB174" i="16"/>
  <c r="X174" i="16"/>
  <c r="V174" i="16"/>
  <c r="S174" i="16"/>
  <c r="P174" i="16"/>
  <c r="N174" i="16"/>
  <c r="M174" i="16"/>
  <c r="J174" i="16"/>
  <c r="E174" i="16"/>
  <c r="D174" i="16"/>
  <c r="AV173" i="16"/>
  <c r="AU173" i="16"/>
  <c r="AU174" i="16" s="1"/>
  <c r="AU175" i="16" s="1"/>
  <c r="AU176" i="16" s="1"/>
  <c r="AU177" i="16" s="1"/>
  <c r="AU178" i="16" s="1"/>
  <c r="AU179" i="16" s="1"/>
  <c r="AU180" i="16" s="1"/>
  <c r="AU181" i="16" s="1"/>
  <c r="AU182" i="16" s="1"/>
  <c r="AU183" i="16" s="1"/>
  <c r="AS173" i="16"/>
  <c r="AS174" i="16" s="1"/>
  <c r="AO173" i="16"/>
  <c r="AE173" i="16"/>
  <c r="AB173" i="16"/>
  <c r="X173" i="16"/>
  <c r="V173" i="16"/>
  <c r="S173" i="16"/>
  <c r="P173" i="16"/>
  <c r="N173" i="16"/>
  <c r="M173" i="16"/>
  <c r="J173" i="16"/>
  <c r="E173" i="16"/>
  <c r="D173" i="16"/>
  <c r="AY172" i="16"/>
  <c r="AY173" i="16" s="1"/>
  <c r="AX172" i="16"/>
  <c r="AZ172" i="16" s="1"/>
  <c r="AW172" i="16"/>
  <c r="AV172" i="16"/>
  <c r="AU172" i="16"/>
  <c r="AS172" i="16"/>
  <c r="AP172" i="16"/>
  <c r="AQ172" i="16" s="1"/>
  <c r="AO172" i="16"/>
  <c r="AM172" i="16"/>
  <c r="AL172" i="16"/>
  <c r="AL173" i="16" s="1"/>
  <c r="AL174" i="16" s="1"/>
  <c r="AL175" i="16" s="1"/>
  <c r="AL176" i="16" s="1"/>
  <c r="AL177" i="16" s="1"/>
  <c r="AL178" i="16" s="1"/>
  <c r="AL179" i="16" s="1"/>
  <c r="AL180" i="16" s="1"/>
  <c r="AL181" i="16" s="1"/>
  <c r="AJ172" i="16"/>
  <c r="AI172" i="16"/>
  <c r="AG172" i="16"/>
  <c r="AG173" i="16" s="1"/>
  <c r="AF172" i="16"/>
  <c r="AF173" i="16" s="1"/>
  <c r="AF174" i="16" s="1"/>
  <c r="AF175" i="16" s="1"/>
  <c r="AF176" i="16" s="1"/>
  <c r="AF177" i="16" s="1"/>
  <c r="AF178" i="16" s="1"/>
  <c r="AF179" i="16" s="1"/>
  <c r="AF180" i="16" s="1"/>
  <c r="AF181" i="16" s="1"/>
  <c r="AF182" i="16" s="1"/>
  <c r="AF183" i="16" s="1"/>
  <c r="AE172" i="16"/>
  <c r="AB172" i="16"/>
  <c r="Y172" i="16"/>
  <c r="X172" i="16"/>
  <c r="V172" i="16"/>
  <c r="S172" i="16"/>
  <c r="P172" i="16"/>
  <c r="N172" i="16"/>
  <c r="W172" i="16" s="1"/>
  <c r="M172" i="16"/>
  <c r="J172" i="16"/>
  <c r="G172" i="16"/>
  <c r="D172" i="16"/>
  <c r="AE171" i="16"/>
  <c r="N171" i="16" s="1"/>
  <c r="P171" i="16" s="1"/>
  <c r="AB171" i="16"/>
  <c r="E171" i="16" s="1"/>
  <c r="G171" i="16" s="1"/>
  <c r="X171" i="16"/>
  <c r="V171" i="16"/>
  <c r="S171" i="16"/>
  <c r="M171" i="16"/>
  <c r="J171" i="16"/>
  <c r="D171" i="16"/>
  <c r="AE170" i="16"/>
  <c r="AB170" i="16"/>
  <c r="X170" i="16"/>
  <c r="V170" i="16"/>
  <c r="S170" i="16"/>
  <c r="N170" i="16"/>
  <c r="P170" i="16" s="1"/>
  <c r="M170" i="16"/>
  <c r="J170" i="16"/>
  <c r="G170" i="16"/>
  <c r="E170" i="16"/>
  <c r="D170" i="16"/>
  <c r="AE169" i="16"/>
  <c r="AB169" i="16"/>
  <c r="X169" i="16"/>
  <c r="V169" i="16"/>
  <c r="S169" i="16"/>
  <c r="N169" i="16"/>
  <c r="P169" i="16" s="1"/>
  <c r="M169" i="16"/>
  <c r="J169" i="16"/>
  <c r="G169" i="16"/>
  <c r="E169" i="16"/>
  <c r="D169" i="16"/>
  <c r="AF168" i="16"/>
  <c r="AF169" i="16" s="1"/>
  <c r="AF170" i="16" s="1"/>
  <c r="AF171" i="16" s="1"/>
  <c r="AE168" i="16"/>
  <c r="N168" i="16" s="1"/>
  <c r="P168" i="16" s="1"/>
  <c r="AB168" i="16"/>
  <c r="E168" i="16" s="1"/>
  <c r="X168" i="16"/>
  <c r="V168" i="16"/>
  <c r="S168" i="16"/>
  <c r="M168" i="16"/>
  <c r="J168" i="16"/>
  <c r="D168" i="16"/>
  <c r="AE167" i="16"/>
  <c r="N167" i="16" s="1"/>
  <c r="P167" i="16" s="1"/>
  <c r="AB167" i="16"/>
  <c r="E167" i="16" s="1"/>
  <c r="G167" i="16" s="1"/>
  <c r="X167" i="16"/>
  <c r="Y167" i="16" s="1"/>
  <c r="W167" i="16"/>
  <c r="V167" i="16"/>
  <c r="S167" i="16"/>
  <c r="M167" i="16"/>
  <c r="J167" i="16"/>
  <c r="D167" i="16"/>
  <c r="AU166" i="16"/>
  <c r="AU167" i="16" s="1"/>
  <c r="AU168" i="16" s="1"/>
  <c r="AU169" i="16" s="1"/>
  <c r="AU170" i="16" s="1"/>
  <c r="AU171" i="16" s="1"/>
  <c r="AE166" i="16"/>
  <c r="N166" i="16" s="1"/>
  <c r="AB166" i="16"/>
  <c r="X166" i="16"/>
  <c r="V166" i="16"/>
  <c r="S166" i="16"/>
  <c r="M166" i="16"/>
  <c r="J166" i="16"/>
  <c r="G166" i="16"/>
  <c r="E166" i="16"/>
  <c r="D166" i="16"/>
  <c r="AU165" i="16"/>
  <c r="AO165" i="16"/>
  <c r="AO166" i="16" s="1"/>
  <c r="AO167" i="16" s="1"/>
  <c r="AO168" i="16" s="1"/>
  <c r="AO169" i="16" s="1"/>
  <c r="AO170" i="16" s="1"/>
  <c r="AO171" i="16" s="1"/>
  <c r="AE165" i="16"/>
  <c r="AB165" i="16"/>
  <c r="X165" i="16"/>
  <c r="V165" i="16"/>
  <c r="S165" i="16"/>
  <c r="P165" i="16"/>
  <c r="N165" i="16"/>
  <c r="M165" i="16"/>
  <c r="J165" i="16"/>
  <c r="E165" i="16"/>
  <c r="D165" i="16"/>
  <c r="AY164" i="16"/>
  <c r="AY165" i="16" s="1"/>
  <c r="AY166" i="16" s="1"/>
  <c r="AY167" i="16" s="1"/>
  <c r="AY168" i="16" s="1"/>
  <c r="AY169" i="16" s="1"/>
  <c r="AY170" i="16" s="1"/>
  <c r="AY171" i="16" s="1"/>
  <c r="AE164" i="16"/>
  <c r="N164" i="16" s="1"/>
  <c r="AB164" i="16"/>
  <c r="X164" i="16"/>
  <c r="V164" i="16"/>
  <c r="S164" i="16"/>
  <c r="P164" i="16"/>
  <c r="M164" i="16"/>
  <c r="J164" i="16"/>
  <c r="E164" i="16"/>
  <c r="D164" i="16"/>
  <c r="AE163" i="16"/>
  <c r="AB163" i="16"/>
  <c r="E163" i="16" s="1"/>
  <c r="G163" i="16" s="1"/>
  <c r="X163" i="16"/>
  <c r="V163" i="16"/>
  <c r="S163" i="16"/>
  <c r="N163" i="16"/>
  <c r="M163" i="16"/>
  <c r="J163" i="16"/>
  <c r="D163" i="16"/>
  <c r="AY162" i="16"/>
  <c r="AY163" i="16" s="1"/>
  <c r="AS162" i="16"/>
  <c r="AS163" i="16" s="1"/>
  <c r="AL162" i="16"/>
  <c r="AL163" i="16" s="1"/>
  <c r="AL164" i="16" s="1"/>
  <c r="AL165" i="16" s="1"/>
  <c r="AL166" i="16" s="1"/>
  <c r="AL167" i="16" s="1"/>
  <c r="AL168" i="16" s="1"/>
  <c r="AL169" i="16" s="1"/>
  <c r="AL170" i="16" s="1"/>
  <c r="AL171" i="16" s="1"/>
  <c r="AE162" i="16"/>
  <c r="AB162" i="16"/>
  <c r="X162" i="16"/>
  <c r="V162" i="16"/>
  <c r="S162" i="16"/>
  <c r="P162" i="16"/>
  <c r="N162" i="16"/>
  <c r="M162" i="16"/>
  <c r="J162" i="16"/>
  <c r="E162" i="16"/>
  <c r="D162" i="16"/>
  <c r="AS161" i="16"/>
  <c r="AO161" i="16"/>
  <c r="AO162" i="16" s="1"/>
  <c r="AO163" i="16" s="1"/>
  <c r="AO164" i="16" s="1"/>
  <c r="AL161" i="16"/>
  <c r="AJ161" i="16"/>
  <c r="AJ162" i="16" s="1"/>
  <c r="AG161" i="16"/>
  <c r="AG162" i="16" s="1"/>
  <c r="AG163" i="16" s="1"/>
  <c r="AF161" i="16"/>
  <c r="AF162" i="16" s="1"/>
  <c r="AF163" i="16" s="1"/>
  <c r="AF164" i="16" s="1"/>
  <c r="AF165" i="16" s="1"/>
  <c r="AF166" i="16" s="1"/>
  <c r="AF167" i="16" s="1"/>
  <c r="AE161" i="16"/>
  <c r="N161" i="16" s="1"/>
  <c r="P161" i="16" s="1"/>
  <c r="AB161" i="16"/>
  <c r="X161" i="16"/>
  <c r="V161" i="16"/>
  <c r="S161" i="16"/>
  <c r="M161" i="16"/>
  <c r="J161" i="16"/>
  <c r="E161" i="16"/>
  <c r="D161" i="16"/>
  <c r="AY160" i="16"/>
  <c r="AY161" i="16" s="1"/>
  <c r="AX160" i="16"/>
  <c r="AX161" i="16" s="1"/>
  <c r="AW160" i="16"/>
  <c r="AV160" i="16"/>
  <c r="AV161" i="16" s="1"/>
  <c r="AU160" i="16"/>
  <c r="AU161" i="16" s="1"/>
  <c r="AU162" i="16" s="1"/>
  <c r="AU163" i="16" s="1"/>
  <c r="AU164" i="16" s="1"/>
  <c r="AS160" i="16"/>
  <c r="AT160" i="16" s="1"/>
  <c r="AR160" i="16"/>
  <c r="AR161" i="16" s="1"/>
  <c r="AP160" i="16"/>
  <c r="AQ160" i="16" s="1"/>
  <c r="AO160" i="16"/>
  <c r="AM160" i="16"/>
  <c r="AL160" i="16"/>
  <c r="AJ160" i="16"/>
  <c r="AG160" i="16"/>
  <c r="AF160" i="16"/>
  <c r="AH160" i="16" s="1"/>
  <c r="AE160" i="16"/>
  <c r="N160" i="16" s="1"/>
  <c r="P160" i="16" s="1"/>
  <c r="AB160" i="16"/>
  <c r="E160" i="16" s="1"/>
  <c r="G160" i="16" s="1"/>
  <c r="X160" i="16"/>
  <c r="W160" i="16"/>
  <c r="Y160" i="16" s="1"/>
  <c r="V160" i="16"/>
  <c r="S160" i="16"/>
  <c r="M160" i="16"/>
  <c r="J160" i="16"/>
  <c r="D160" i="16"/>
  <c r="AE159" i="16"/>
  <c r="AB159" i="16"/>
  <c r="X159" i="16"/>
  <c r="V159" i="16"/>
  <c r="S159" i="16"/>
  <c r="N159" i="16"/>
  <c r="P159" i="16" s="1"/>
  <c r="M159" i="16"/>
  <c r="J159" i="16"/>
  <c r="G159" i="16"/>
  <c r="E159" i="16"/>
  <c r="W159" i="16" s="1"/>
  <c r="D159" i="16"/>
  <c r="AE158" i="16"/>
  <c r="AB158" i="16"/>
  <c r="E158" i="16" s="1"/>
  <c r="X158" i="16"/>
  <c r="V158" i="16"/>
  <c r="S158" i="16"/>
  <c r="P158" i="16"/>
  <c r="N158" i="16"/>
  <c r="M158" i="16"/>
  <c r="J158" i="16"/>
  <c r="D158" i="16"/>
  <c r="AE157" i="16"/>
  <c r="N157" i="16" s="1"/>
  <c r="P157" i="16" s="1"/>
  <c r="AB157" i="16"/>
  <c r="E157" i="16" s="1"/>
  <c r="G157" i="16" s="1"/>
  <c r="X157" i="16"/>
  <c r="W157" i="16"/>
  <c r="Y157" i="16" s="1"/>
  <c r="V157" i="16"/>
  <c r="S157" i="16"/>
  <c r="M157" i="16"/>
  <c r="J157" i="16"/>
  <c r="D157" i="16"/>
  <c r="AE156" i="16"/>
  <c r="AB156" i="16"/>
  <c r="X156" i="16"/>
  <c r="V156" i="16"/>
  <c r="S156" i="16"/>
  <c r="P156" i="16"/>
  <c r="N156" i="16"/>
  <c r="M156" i="16"/>
  <c r="J156" i="16"/>
  <c r="G156" i="16"/>
  <c r="E156" i="16"/>
  <c r="W156" i="16" s="1"/>
  <c r="Y156" i="16" s="1"/>
  <c r="D156" i="16"/>
  <c r="AL155" i="16"/>
  <c r="AL156" i="16" s="1"/>
  <c r="AL157" i="16" s="1"/>
  <c r="AL158" i="16" s="1"/>
  <c r="AL159" i="16" s="1"/>
  <c r="AE155" i="16"/>
  <c r="N155" i="16" s="1"/>
  <c r="P155" i="16" s="1"/>
  <c r="AB155" i="16"/>
  <c r="X155" i="16"/>
  <c r="V155" i="16"/>
  <c r="S155" i="16"/>
  <c r="M155" i="16"/>
  <c r="J155" i="16"/>
  <c r="G155" i="16"/>
  <c r="E155" i="16"/>
  <c r="D155" i="16"/>
  <c r="AE154" i="16"/>
  <c r="N154" i="16" s="1"/>
  <c r="AB154" i="16"/>
  <c r="X154" i="16"/>
  <c r="V154" i="16"/>
  <c r="S154" i="16"/>
  <c r="P154" i="16"/>
  <c r="M154" i="16"/>
  <c r="J154" i="16"/>
  <c r="E154" i="16"/>
  <c r="D154" i="16"/>
  <c r="AU153" i="16"/>
  <c r="AU154" i="16" s="1"/>
  <c r="AU155" i="16" s="1"/>
  <c r="AU156" i="16" s="1"/>
  <c r="AU157" i="16" s="1"/>
  <c r="AU158" i="16" s="1"/>
  <c r="AU159" i="16" s="1"/>
  <c r="AE153" i="16"/>
  <c r="AB153" i="16"/>
  <c r="E153" i="16" s="1"/>
  <c r="X153" i="16"/>
  <c r="V153" i="16"/>
  <c r="S153" i="16"/>
  <c r="N153" i="16"/>
  <c r="M153" i="16"/>
  <c r="J153" i="16"/>
  <c r="G153" i="16"/>
  <c r="D153" i="16"/>
  <c r="AS152" i="16"/>
  <c r="AF152" i="16"/>
  <c r="AF153" i="16" s="1"/>
  <c r="AF154" i="16" s="1"/>
  <c r="AF155" i="16" s="1"/>
  <c r="AF156" i="16" s="1"/>
  <c r="AF157" i="16" s="1"/>
  <c r="AF158" i="16" s="1"/>
  <c r="AF159" i="16" s="1"/>
  <c r="AE152" i="16"/>
  <c r="AB152" i="16"/>
  <c r="X152" i="16"/>
  <c r="V152" i="16"/>
  <c r="S152" i="16"/>
  <c r="N152" i="16"/>
  <c r="P152" i="16" s="1"/>
  <c r="M152" i="16"/>
  <c r="J152" i="16"/>
  <c r="G152" i="16"/>
  <c r="E152" i="16"/>
  <c r="D152" i="16"/>
  <c r="AU151" i="16"/>
  <c r="AU152" i="16" s="1"/>
  <c r="AP151" i="16"/>
  <c r="AJ151" i="16"/>
  <c r="AF151" i="16"/>
  <c r="AE151" i="16"/>
  <c r="N151" i="16" s="1"/>
  <c r="P151" i="16" s="1"/>
  <c r="AB151" i="16"/>
  <c r="E151" i="16" s="1"/>
  <c r="X151" i="16"/>
  <c r="V151" i="16"/>
  <c r="S151" i="16"/>
  <c r="M151" i="16"/>
  <c r="J151" i="16"/>
  <c r="D151" i="16"/>
  <c r="AU150" i="16"/>
  <c r="AS150" i="16"/>
  <c r="AS151" i="16" s="1"/>
  <c r="AQ150" i="16"/>
  <c r="AI150" i="16"/>
  <c r="AE150" i="16"/>
  <c r="N150" i="16" s="1"/>
  <c r="AB150" i="16"/>
  <c r="E150" i="16" s="1"/>
  <c r="G150" i="16" s="1"/>
  <c r="X150" i="16"/>
  <c r="V150" i="16"/>
  <c r="S150" i="16"/>
  <c r="M150" i="16"/>
  <c r="J150" i="16"/>
  <c r="D150" i="16"/>
  <c r="AX149" i="16"/>
  <c r="AU149" i="16"/>
  <c r="AS149" i="16"/>
  <c r="AQ149" i="16"/>
  <c r="AP149" i="16"/>
  <c r="AP150" i="16" s="1"/>
  <c r="AO149" i="16"/>
  <c r="AO150" i="16" s="1"/>
  <c r="AO151" i="16" s="1"/>
  <c r="AO152" i="16" s="1"/>
  <c r="AO153" i="16" s="1"/>
  <c r="AO154" i="16" s="1"/>
  <c r="AO155" i="16" s="1"/>
  <c r="AO156" i="16" s="1"/>
  <c r="AO157" i="16" s="1"/>
  <c r="AO158" i="16" s="1"/>
  <c r="AO159" i="16" s="1"/>
  <c r="AL149" i="16"/>
  <c r="AL150" i="16" s="1"/>
  <c r="AL151" i="16" s="1"/>
  <c r="AL152" i="16" s="1"/>
  <c r="AL153" i="16" s="1"/>
  <c r="AL154" i="16" s="1"/>
  <c r="AK149" i="16"/>
  <c r="AJ149" i="16"/>
  <c r="AJ150" i="16" s="1"/>
  <c r="AK150" i="16" s="1"/>
  <c r="AG149" i="16"/>
  <c r="AE149" i="16"/>
  <c r="AB149" i="16"/>
  <c r="X149" i="16"/>
  <c r="V149" i="16"/>
  <c r="S149" i="16"/>
  <c r="P149" i="16"/>
  <c r="N149" i="16"/>
  <c r="M149" i="16"/>
  <c r="J149" i="16"/>
  <c r="G149" i="16"/>
  <c r="E149" i="16"/>
  <c r="D149" i="16"/>
  <c r="AY148" i="16"/>
  <c r="AX148" i="16"/>
  <c r="AV148" i="16"/>
  <c r="AU148" i="16"/>
  <c r="AS148" i="16"/>
  <c r="AQ148" i="16"/>
  <c r="AP148" i="16"/>
  <c r="AO148" i="16"/>
  <c r="AM148" i="16"/>
  <c r="AN148" i="16" s="1"/>
  <c r="AL148" i="16"/>
  <c r="AK148" i="16"/>
  <c r="AJ148" i="16"/>
  <c r="AI148" i="16"/>
  <c r="AI149" i="16" s="1"/>
  <c r="AG148" i="16"/>
  <c r="AH148" i="16" s="1"/>
  <c r="AF148" i="16"/>
  <c r="AF149" i="16" s="1"/>
  <c r="AF150" i="16" s="1"/>
  <c r="AE148" i="16"/>
  <c r="N148" i="16" s="1"/>
  <c r="AB148" i="16"/>
  <c r="E148" i="16" s="1"/>
  <c r="X148" i="16"/>
  <c r="V148" i="16"/>
  <c r="S148" i="16"/>
  <c r="M148" i="16"/>
  <c r="J148" i="16"/>
  <c r="D148" i="16"/>
  <c r="AE147" i="16"/>
  <c r="AB147" i="16"/>
  <c r="E147" i="16" s="1"/>
  <c r="G147" i="16" s="1"/>
  <c r="X147" i="16"/>
  <c r="V147" i="16"/>
  <c r="S147" i="16"/>
  <c r="N147" i="16"/>
  <c r="M147" i="16"/>
  <c r="J147" i="16"/>
  <c r="D147" i="16"/>
  <c r="AE146" i="16"/>
  <c r="AB146" i="16"/>
  <c r="X146" i="16"/>
  <c r="V146" i="16"/>
  <c r="S146" i="16"/>
  <c r="N146" i="16"/>
  <c r="P146" i="16" s="1"/>
  <c r="M146" i="16"/>
  <c r="J146" i="16"/>
  <c r="E146" i="16"/>
  <c r="D146" i="16"/>
  <c r="AE145" i="16"/>
  <c r="N145" i="16" s="1"/>
  <c r="P145" i="16" s="1"/>
  <c r="AB145" i="16"/>
  <c r="E145" i="16" s="1"/>
  <c r="G145" i="16" s="1"/>
  <c r="X145" i="16"/>
  <c r="W145" i="16"/>
  <c r="Y145" i="16" s="1"/>
  <c r="V145" i="16"/>
  <c r="S145" i="16"/>
  <c r="M145" i="16"/>
  <c r="J145" i="16"/>
  <c r="D145" i="16"/>
  <c r="AE144" i="16"/>
  <c r="AB144" i="16"/>
  <c r="X144" i="16"/>
  <c r="Y144" i="16" s="1"/>
  <c r="W144" i="16"/>
  <c r="V144" i="16"/>
  <c r="S144" i="16"/>
  <c r="P144" i="16"/>
  <c r="N144" i="16"/>
  <c r="M144" i="16"/>
  <c r="J144" i="16"/>
  <c r="G144" i="16"/>
  <c r="E144" i="16"/>
  <c r="D144" i="16"/>
  <c r="AE143" i="16"/>
  <c r="AB143" i="16"/>
  <c r="X143" i="16"/>
  <c r="Y143" i="16" s="1"/>
  <c r="V143" i="16"/>
  <c r="S143" i="16"/>
  <c r="P143" i="16"/>
  <c r="N143" i="16"/>
  <c r="M143" i="16"/>
  <c r="J143" i="16"/>
  <c r="G143" i="16"/>
  <c r="E143" i="16"/>
  <c r="W143" i="16" s="1"/>
  <c r="D143" i="16"/>
  <c r="AE142" i="16"/>
  <c r="N142" i="16" s="1"/>
  <c r="P142" i="16" s="1"/>
  <c r="AB142" i="16"/>
  <c r="E142" i="16" s="1"/>
  <c r="G142" i="16" s="1"/>
  <c r="X142" i="16"/>
  <c r="V142" i="16"/>
  <c r="S142" i="16"/>
  <c r="M142" i="16"/>
  <c r="J142" i="16"/>
  <c r="D142" i="16"/>
  <c r="AU141" i="16"/>
  <c r="AU142" i="16" s="1"/>
  <c r="AU143" i="16" s="1"/>
  <c r="AU144" i="16" s="1"/>
  <c r="AU145" i="16" s="1"/>
  <c r="AU146" i="16" s="1"/>
  <c r="AU147" i="16" s="1"/>
  <c r="AE141" i="16"/>
  <c r="AB141" i="16"/>
  <c r="X141" i="16"/>
  <c r="V141" i="16"/>
  <c r="S141" i="16"/>
  <c r="N141" i="16"/>
  <c r="P141" i="16" s="1"/>
  <c r="M141" i="16"/>
  <c r="J141" i="16"/>
  <c r="G141" i="16"/>
  <c r="E141" i="16"/>
  <c r="D141" i="16"/>
  <c r="AO140" i="16"/>
  <c r="AO141" i="16" s="1"/>
  <c r="AO142" i="16" s="1"/>
  <c r="AO143" i="16" s="1"/>
  <c r="AO144" i="16" s="1"/>
  <c r="AO145" i="16" s="1"/>
  <c r="AO146" i="16" s="1"/>
  <c r="AO147" i="16" s="1"/>
  <c r="AE140" i="16"/>
  <c r="N140" i="16" s="1"/>
  <c r="P140" i="16" s="1"/>
  <c r="AB140" i="16"/>
  <c r="X140" i="16"/>
  <c r="V140" i="16"/>
  <c r="S140" i="16"/>
  <c r="M140" i="16"/>
  <c r="J140" i="16"/>
  <c r="E140" i="16"/>
  <c r="D140" i="16"/>
  <c r="AX139" i="16"/>
  <c r="AX140" i="16" s="1"/>
  <c r="AE139" i="16"/>
  <c r="AB139" i="16"/>
  <c r="E139" i="16" s="1"/>
  <c r="Y139" i="16"/>
  <c r="X139" i="16"/>
  <c r="V139" i="16"/>
  <c r="S139" i="16"/>
  <c r="P139" i="16"/>
  <c r="N139" i="16"/>
  <c r="W139" i="16" s="1"/>
  <c r="M139" i="16"/>
  <c r="J139" i="16"/>
  <c r="G139" i="16"/>
  <c r="D139" i="16"/>
  <c r="AP138" i="16"/>
  <c r="AP139" i="16" s="1"/>
  <c r="AO138" i="16"/>
  <c r="AO139" i="16" s="1"/>
  <c r="AE138" i="16"/>
  <c r="AB138" i="16"/>
  <c r="X138" i="16"/>
  <c r="V138" i="16"/>
  <c r="S138" i="16"/>
  <c r="P138" i="16"/>
  <c r="N138" i="16"/>
  <c r="M138" i="16"/>
  <c r="J138" i="16"/>
  <c r="E138" i="16"/>
  <c r="D138" i="16"/>
  <c r="AQ137" i="16"/>
  <c r="AP137" i="16"/>
  <c r="AO137" i="16"/>
  <c r="AM137" i="16"/>
  <c r="AL137" i="16"/>
  <c r="AL138" i="16" s="1"/>
  <c r="AL139" i="16" s="1"/>
  <c r="AL140" i="16" s="1"/>
  <c r="AL141" i="16" s="1"/>
  <c r="AL142" i="16" s="1"/>
  <c r="AL143" i="16" s="1"/>
  <c r="AL144" i="16" s="1"/>
  <c r="AL145" i="16" s="1"/>
  <c r="AL146" i="16" s="1"/>
  <c r="AL147" i="16" s="1"/>
  <c r="AJ137" i="16"/>
  <c r="AG137" i="16"/>
  <c r="AG138" i="16" s="1"/>
  <c r="AG139" i="16" s="1"/>
  <c r="AF137" i="16"/>
  <c r="AE137" i="16"/>
  <c r="N137" i="16" s="1"/>
  <c r="P137" i="16" s="1"/>
  <c r="AB137" i="16"/>
  <c r="E137" i="16" s="1"/>
  <c r="X137" i="16"/>
  <c r="V137" i="16"/>
  <c r="S137" i="16"/>
  <c r="M137" i="16"/>
  <c r="J137" i="16"/>
  <c r="D137" i="16"/>
  <c r="AY136" i="16"/>
  <c r="AY137" i="16" s="1"/>
  <c r="AX136" i="16"/>
  <c r="AX137" i="16" s="1"/>
  <c r="AX138" i="16" s="1"/>
  <c r="AV136" i="16"/>
  <c r="AU136" i="16"/>
  <c r="AU137" i="16" s="1"/>
  <c r="AU138" i="16" s="1"/>
  <c r="AU139" i="16" s="1"/>
  <c r="AU140" i="16" s="1"/>
  <c r="AS136" i="16"/>
  <c r="AR136" i="16"/>
  <c r="AR137" i="16" s="1"/>
  <c r="AQ136" i="16"/>
  <c r="AP136" i="16"/>
  <c r="AO136" i="16"/>
  <c r="AN136" i="16"/>
  <c r="AM136" i="16"/>
  <c r="AL136" i="16"/>
  <c r="AJ136" i="16"/>
  <c r="AH136" i="16"/>
  <c r="AG136" i="16"/>
  <c r="AF136" i="16"/>
  <c r="AE136" i="16"/>
  <c r="AB136" i="16"/>
  <c r="E136" i="16" s="1"/>
  <c r="G136" i="16" s="1"/>
  <c r="X136" i="16"/>
  <c r="V136" i="16"/>
  <c r="S136" i="16"/>
  <c r="P136" i="16"/>
  <c r="N136" i="16"/>
  <c r="M136" i="16"/>
  <c r="J136" i="16"/>
  <c r="D136" i="16"/>
  <c r="AE135" i="16"/>
  <c r="AB135" i="16"/>
  <c r="X135" i="16"/>
  <c r="V135" i="16"/>
  <c r="S135" i="16"/>
  <c r="N135" i="16"/>
  <c r="P135" i="16" s="1"/>
  <c r="M135" i="16"/>
  <c r="J135" i="16"/>
  <c r="G135" i="16"/>
  <c r="E135" i="16"/>
  <c r="D135" i="16"/>
  <c r="AY134" i="16"/>
  <c r="AY135" i="16" s="1"/>
  <c r="AE134" i="16"/>
  <c r="N134" i="16" s="1"/>
  <c r="AB134" i="16"/>
  <c r="X134" i="16"/>
  <c r="V134" i="16"/>
  <c r="S134" i="16"/>
  <c r="P134" i="16"/>
  <c r="M134" i="16"/>
  <c r="J134" i="16"/>
  <c r="E134" i="16"/>
  <c r="D134" i="16"/>
  <c r="AL133" i="16"/>
  <c r="AL134" i="16" s="1"/>
  <c r="AL135" i="16" s="1"/>
  <c r="AE133" i="16"/>
  <c r="AB133" i="16"/>
  <c r="X133" i="16"/>
  <c r="W133" i="16"/>
  <c r="Y133" i="16" s="1"/>
  <c r="V133" i="16"/>
  <c r="S133" i="16"/>
  <c r="N133" i="16"/>
  <c r="P133" i="16" s="1"/>
  <c r="M133" i="16"/>
  <c r="J133" i="16"/>
  <c r="E133" i="16"/>
  <c r="G133" i="16" s="1"/>
  <c r="D133" i="16"/>
  <c r="AE132" i="16"/>
  <c r="AB132" i="16"/>
  <c r="E132" i="16" s="1"/>
  <c r="X132" i="16"/>
  <c r="V132" i="16"/>
  <c r="S132" i="16"/>
  <c r="P132" i="16"/>
  <c r="N132" i="16"/>
  <c r="M132" i="16"/>
  <c r="J132" i="16"/>
  <c r="D132" i="16"/>
  <c r="AY131" i="16"/>
  <c r="AY132" i="16" s="1"/>
  <c r="AY133" i="16" s="1"/>
  <c r="AE131" i="16"/>
  <c r="N131" i="16" s="1"/>
  <c r="AB131" i="16"/>
  <c r="E131" i="16" s="1"/>
  <c r="G131" i="16" s="1"/>
  <c r="X131" i="16"/>
  <c r="V131" i="16"/>
  <c r="S131" i="16"/>
  <c r="M131" i="16"/>
  <c r="J131" i="16"/>
  <c r="D131" i="16"/>
  <c r="AE130" i="16"/>
  <c r="AB130" i="16"/>
  <c r="X130" i="16"/>
  <c r="V130" i="16"/>
  <c r="S130" i="16"/>
  <c r="N130" i="16"/>
  <c r="P130" i="16" s="1"/>
  <c r="M130" i="16"/>
  <c r="J130" i="16"/>
  <c r="G130" i="16"/>
  <c r="E130" i="16"/>
  <c r="W130" i="16" s="1"/>
  <c r="D130" i="16"/>
  <c r="AX129" i="16"/>
  <c r="AO129" i="16"/>
  <c r="AO130" i="16" s="1"/>
  <c r="AO131" i="16" s="1"/>
  <c r="AO132" i="16" s="1"/>
  <c r="AO133" i="16" s="1"/>
  <c r="AO134" i="16" s="1"/>
  <c r="AO135" i="16" s="1"/>
  <c r="AL129" i="16"/>
  <c r="AL130" i="16" s="1"/>
  <c r="AL131" i="16" s="1"/>
  <c r="AL132" i="16" s="1"/>
  <c r="AE129" i="16"/>
  <c r="N129" i="16" s="1"/>
  <c r="P129" i="16" s="1"/>
  <c r="AB129" i="16"/>
  <c r="X129" i="16"/>
  <c r="V129" i="16"/>
  <c r="S129" i="16"/>
  <c r="M129" i="16"/>
  <c r="J129" i="16"/>
  <c r="E129" i="16"/>
  <c r="D129" i="16"/>
  <c r="AY128" i="16"/>
  <c r="AY129" i="16" s="1"/>
  <c r="AY130" i="16" s="1"/>
  <c r="AX128" i="16"/>
  <c r="AZ128" i="16" s="1"/>
  <c r="AU128" i="16"/>
  <c r="AU129" i="16" s="1"/>
  <c r="AU130" i="16" s="1"/>
  <c r="AU131" i="16" s="1"/>
  <c r="AU132" i="16" s="1"/>
  <c r="AU133" i="16" s="1"/>
  <c r="AU134" i="16" s="1"/>
  <c r="AU135" i="16" s="1"/>
  <c r="AE128" i="16"/>
  <c r="AB128" i="16"/>
  <c r="E128" i="16" s="1"/>
  <c r="X128" i="16"/>
  <c r="W128" i="16"/>
  <c r="Y128" i="16" s="1"/>
  <c r="V128" i="16"/>
  <c r="S128" i="16"/>
  <c r="N128" i="16"/>
  <c r="P128" i="16" s="1"/>
  <c r="M128" i="16"/>
  <c r="J128" i="16"/>
  <c r="G128" i="16"/>
  <c r="D128" i="16"/>
  <c r="AY127" i="16"/>
  <c r="AX127" i="16"/>
  <c r="AZ127" i="16" s="1"/>
  <c r="AU127" i="16"/>
  <c r="AL127" i="16"/>
  <c r="AL128" i="16" s="1"/>
  <c r="AE127" i="16"/>
  <c r="AB127" i="16"/>
  <c r="X127" i="16"/>
  <c r="V127" i="16"/>
  <c r="S127" i="16"/>
  <c r="N127" i="16"/>
  <c r="P127" i="16" s="1"/>
  <c r="M127" i="16"/>
  <c r="J127" i="16"/>
  <c r="G127" i="16"/>
  <c r="E127" i="16"/>
  <c r="D127" i="16"/>
  <c r="AY126" i="16"/>
  <c r="AL126" i="16"/>
  <c r="AJ126" i="16"/>
  <c r="AJ127" i="16" s="1"/>
  <c r="AH126" i="16"/>
  <c r="AG126" i="16"/>
  <c r="AG127" i="16" s="1"/>
  <c r="AG128" i="16" s="1"/>
  <c r="AF126" i="16"/>
  <c r="AF127" i="16" s="1"/>
  <c r="AF128" i="16" s="1"/>
  <c r="AF129" i="16" s="1"/>
  <c r="AF130" i="16" s="1"/>
  <c r="AF131" i="16" s="1"/>
  <c r="AF132" i="16" s="1"/>
  <c r="AF133" i="16" s="1"/>
  <c r="AF134" i="16" s="1"/>
  <c r="AF135" i="16" s="1"/>
  <c r="AE126" i="16"/>
  <c r="N126" i="16" s="1"/>
  <c r="P126" i="16" s="1"/>
  <c r="AB126" i="16"/>
  <c r="E126" i="16" s="1"/>
  <c r="X126" i="16"/>
  <c r="V126" i="16"/>
  <c r="S126" i="16"/>
  <c r="M126" i="16"/>
  <c r="J126" i="16"/>
  <c r="D126" i="16"/>
  <c r="AY125" i="16"/>
  <c r="AX125" i="16"/>
  <c r="AX126" i="16" s="1"/>
  <c r="AZ126" i="16" s="1"/>
  <c r="AU125" i="16"/>
  <c r="AU126" i="16" s="1"/>
  <c r="AH125" i="16"/>
  <c r="AG125" i="16"/>
  <c r="AE125" i="16"/>
  <c r="N125" i="16" s="1"/>
  <c r="P125" i="16" s="1"/>
  <c r="AB125" i="16"/>
  <c r="E125" i="16" s="1"/>
  <c r="X125" i="16"/>
  <c r="V125" i="16"/>
  <c r="S125" i="16"/>
  <c r="M125" i="16"/>
  <c r="J125" i="16"/>
  <c r="D125" i="16"/>
  <c r="AZ124" i="16"/>
  <c r="AY124" i="16"/>
  <c r="AX124" i="16"/>
  <c r="AV124" i="16"/>
  <c r="AU124" i="16"/>
  <c r="AS124" i="16"/>
  <c r="AR124" i="16"/>
  <c r="AP124" i="16"/>
  <c r="AP125" i="16" s="1"/>
  <c r="AP126" i="16" s="1"/>
  <c r="AO124" i="16"/>
  <c r="AO125" i="16" s="1"/>
  <c r="AO126" i="16" s="1"/>
  <c r="AO127" i="16" s="1"/>
  <c r="AO128" i="16" s="1"/>
  <c r="AM124" i="16"/>
  <c r="AL124" i="16"/>
  <c r="AL125" i="16" s="1"/>
  <c r="AJ124" i="16"/>
  <c r="AJ125" i="16" s="1"/>
  <c r="AG124" i="16"/>
  <c r="AF124" i="16"/>
  <c r="AF125" i="16" s="1"/>
  <c r="AE124" i="16"/>
  <c r="AB124" i="16"/>
  <c r="X124" i="16"/>
  <c r="V124" i="16"/>
  <c r="S124" i="16"/>
  <c r="N124" i="16"/>
  <c r="P124" i="16" s="1"/>
  <c r="M124" i="16"/>
  <c r="J124" i="16"/>
  <c r="E124" i="16"/>
  <c r="D124" i="16"/>
  <c r="AE123" i="16"/>
  <c r="N123" i="16" s="1"/>
  <c r="AB123" i="16"/>
  <c r="X123" i="16"/>
  <c r="V123" i="16"/>
  <c r="S123" i="16"/>
  <c r="P123" i="16"/>
  <c r="M123" i="16"/>
  <c r="J123" i="16"/>
  <c r="E123" i="16"/>
  <c r="D123" i="16"/>
  <c r="AF122" i="16"/>
  <c r="AF123" i="16" s="1"/>
  <c r="AE122" i="16"/>
  <c r="AB122" i="16"/>
  <c r="X122" i="16"/>
  <c r="Y122" i="16" s="1"/>
  <c r="W122" i="16"/>
  <c r="V122" i="16"/>
  <c r="S122" i="16"/>
  <c r="P122" i="16"/>
  <c r="N122" i="16"/>
  <c r="M122" i="16"/>
  <c r="J122" i="16"/>
  <c r="G122" i="16"/>
  <c r="E122" i="16"/>
  <c r="D122" i="16"/>
  <c r="AI121" i="16"/>
  <c r="AI122" i="16" s="1"/>
  <c r="AI123" i="16" s="1"/>
  <c r="AE121" i="16"/>
  <c r="AB121" i="16"/>
  <c r="X121" i="16"/>
  <c r="Y121" i="16" s="1"/>
  <c r="V121" i="16"/>
  <c r="S121" i="16"/>
  <c r="P121" i="16"/>
  <c r="N121" i="16"/>
  <c r="M121" i="16"/>
  <c r="J121" i="16"/>
  <c r="G121" i="16"/>
  <c r="E121" i="16"/>
  <c r="W121" i="16" s="1"/>
  <c r="D121" i="16"/>
  <c r="AE120" i="16"/>
  <c r="N120" i="16" s="1"/>
  <c r="P120" i="16" s="1"/>
  <c r="AB120" i="16"/>
  <c r="E120" i="16" s="1"/>
  <c r="G120" i="16" s="1"/>
  <c r="X120" i="16"/>
  <c r="V120" i="16"/>
  <c r="S120" i="16"/>
  <c r="M120" i="16"/>
  <c r="J120" i="16"/>
  <c r="D120" i="16"/>
  <c r="AE119" i="16"/>
  <c r="AB119" i="16"/>
  <c r="X119" i="16"/>
  <c r="Y119" i="16" s="1"/>
  <c r="W119" i="16"/>
  <c r="V119" i="16"/>
  <c r="S119" i="16"/>
  <c r="N119" i="16"/>
  <c r="P119" i="16" s="1"/>
  <c r="M119" i="16"/>
  <c r="J119" i="16"/>
  <c r="E119" i="16"/>
  <c r="G119" i="16" s="1"/>
  <c r="D119" i="16"/>
  <c r="AE118" i="16"/>
  <c r="AB118" i="16"/>
  <c r="X118" i="16"/>
  <c r="V118" i="16"/>
  <c r="S118" i="16"/>
  <c r="N118" i="16"/>
  <c r="P118" i="16" s="1"/>
  <c r="M118" i="16"/>
  <c r="J118" i="16"/>
  <c r="G118" i="16"/>
  <c r="E118" i="16"/>
  <c r="D118" i="16"/>
  <c r="AE117" i="16"/>
  <c r="N117" i="16" s="1"/>
  <c r="P117" i="16" s="1"/>
  <c r="AB117" i="16"/>
  <c r="E117" i="16" s="1"/>
  <c r="X117" i="16"/>
  <c r="V117" i="16"/>
  <c r="S117" i="16"/>
  <c r="M117" i="16"/>
  <c r="J117" i="16"/>
  <c r="D117" i="16"/>
  <c r="AV116" i="16"/>
  <c r="AE116" i="16"/>
  <c r="AB116" i="16"/>
  <c r="X116" i="16"/>
  <c r="V116" i="16"/>
  <c r="S116" i="16"/>
  <c r="P116" i="16"/>
  <c r="N116" i="16"/>
  <c r="M116" i="16"/>
  <c r="J116" i="16"/>
  <c r="G116" i="16"/>
  <c r="E116" i="16"/>
  <c r="W116" i="16" s="1"/>
  <c r="Y116" i="16" s="1"/>
  <c r="D116" i="16"/>
  <c r="AY115" i="16"/>
  <c r="AY116" i="16" s="1"/>
  <c r="AY117" i="16" s="1"/>
  <c r="AY118" i="16" s="1"/>
  <c r="AY119" i="16" s="1"/>
  <c r="AY120" i="16" s="1"/>
  <c r="AY121" i="16" s="1"/>
  <c r="AY122" i="16" s="1"/>
  <c r="AY123" i="16" s="1"/>
  <c r="AV115" i="16"/>
  <c r="AE115" i="16"/>
  <c r="N115" i="16" s="1"/>
  <c r="AB115" i="16"/>
  <c r="E115" i="16" s="1"/>
  <c r="X115" i="16"/>
  <c r="V115" i="16"/>
  <c r="S115" i="16"/>
  <c r="P115" i="16"/>
  <c r="M115" i="16"/>
  <c r="J115" i="16"/>
  <c r="D115" i="16"/>
  <c r="AV114" i="16"/>
  <c r="AW114" i="16" s="1"/>
  <c r="AU114" i="16"/>
  <c r="AU115" i="16" s="1"/>
  <c r="AU116" i="16" s="1"/>
  <c r="AU117" i="16" s="1"/>
  <c r="AU118" i="16" s="1"/>
  <c r="AU119" i="16" s="1"/>
  <c r="AU120" i="16" s="1"/>
  <c r="AU121" i="16" s="1"/>
  <c r="AU122" i="16" s="1"/>
  <c r="AU123" i="16" s="1"/>
  <c r="AS114" i="16"/>
  <c r="AI114" i="16"/>
  <c r="AI115" i="16" s="1"/>
  <c r="AI116" i="16" s="1"/>
  <c r="AI117" i="16" s="1"/>
  <c r="AI118" i="16" s="1"/>
  <c r="AI119" i="16" s="1"/>
  <c r="AI120" i="16" s="1"/>
  <c r="AE114" i="16"/>
  <c r="N114" i="16" s="1"/>
  <c r="P114" i="16" s="1"/>
  <c r="AB114" i="16"/>
  <c r="E114" i="16" s="1"/>
  <c r="X114" i="16"/>
  <c r="V114" i="16"/>
  <c r="S114" i="16"/>
  <c r="M114" i="16"/>
  <c r="J114" i="16"/>
  <c r="D114" i="16"/>
  <c r="AW113" i="16"/>
  <c r="AV113" i="16"/>
  <c r="AU113" i="16"/>
  <c r="AS113" i="16"/>
  <c r="AP113" i="16"/>
  <c r="AP114" i="16" s="1"/>
  <c r="AO113" i="16"/>
  <c r="AM113" i="16"/>
  <c r="AE113" i="16"/>
  <c r="N113" i="16" s="1"/>
  <c r="P113" i="16" s="1"/>
  <c r="AB113" i="16"/>
  <c r="X113" i="16"/>
  <c r="V113" i="16"/>
  <c r="S113" i="16"/>
  <c r="M113" i="16"/>
  <c r="J113" i="16"/>
  <c r="E113" i="16"/>
  <c r="D113" i="16"/>
  <c r="AY112" i="16"/>
  <c r="AY113" i="16" s="1"/>
  <c r="AY114" i="16" s="1"/>
  <c r="AX112" i="16"/>
  <c r="AX113" i="16" s="1"/>
  <c r="AW112" i="16"/>
  <c r="AV112" i="16"/>
  <c r="AU112" i="16"/>
  <c r="AS112" i="16"/>
  <c r="AP112" i="16"/>
  <c r="AO112" i="16"/>
  <c r="AM112" i="16"/>
  <c r="AL112" i="16"/>
  <c r="AK112" i="16"/>
  <c r="AJ112" i="16"/>
  <c r="AJ113" i="16" s="1"/>
  <c r="AI112" i="16"/>
  <c r="AI113" i="16" s="1"/>
  <c r="AG112" i="16"/>
  <c r="AG113" i="16" s="1"/>
  <c r="AF112" i="16"/>
  <c r="AF113" i="16" s="1"/>
  <c r="AF114" i="16" s="1"/>
  <c r="AF115" i="16" s="1"/>
  <c r="AF116" i="16" s="1"/>
  <c r="AF117" i="16" s="1"/>
  <c r="AF118" i="16" s="1"/>
  <c r="AF119" i="16" s="1"/>
  <c r="AF120" i="16" s="1"/>
  <c r="AF121" i="16" s="1"/>
  <c r="AE112" i="16"/>
  <c r="N112" i="16" s="1"/>
  <c r="AB112" i="16"/>
  <c r="E112" i="16" s="1"/>
  <c r="G112" i="16" s="1"/>
  <c r="X112" i="16"/>
  <c r="W112" i="16"/>
  <c r="Y112" i="16" s="1"/>
  <c r="V112" i="16"/>
  <c r="S112" i="16"/>
  <c r="M112" i="16"/>
  <c r="J112" i="16"/>
  <c r="D112" i="16"/>
  <c r="AE111" i="16"/>
  <c r="AB111" i="16"/>
  <c r="X111" i="16"/>
  <c r="V111" i="16"/>
  <c r="S111" i="16"/>
  <c r="P111" i="16"/>
  <c r="N111" i="16"/>
  <c r="M111" i="16"/>
  <c r="J111" i="16"/>
  <c r="E111" i="16"/>
  <c r="D111" i="16"/>
  <c r="AE110" i="16"/>
  <c r="AB110" i="16"/>
  <c r="E110" i="16" s="1"/>
  <c r="X110" i="16"/>
  <c r="V110" i="16"/>
  <c r="S110" i="16"/>
  <c r="P110" i="16"/>
  <c r="N110" i="16"/>
  <c r="M110" i="16"/>
  <c r="J110" i="16"/>
  <c r="D110" i="16"/>
  <c r="AE109" i="16"/>
  <c r="N109" i="16" s="1"/>
  <c r="AB109" i="16"/>
  <c r="E109" i="16" s="1"/>
  <c r="X109" i="16"/>
  <c r="V109" i="16"/>
  <c r="S109" i="16"/>
  <c r="M109" i="16"/>
  <c r="J109" i="16"/>
  <c r="G109" i="16"/>
  <c r="D109" i="16"/>
  <c r="AV108" i="16"/>
  <c r="AV109" i="16" s="1"/>
  <c r="AE108" i="16"/>
  <c r="AB108" i="16"/>
  <c r="X108" i="16"/>
  <c r="V108" i="16"/>
  <c r="S108" i="16"/>
  <c r="N108" i="16"/>
  <c r="P108" i="16" s="1"/>
  <c r="M108" i="16"/>
  <c r="J108" i="16"/>
  <c r="E108" i="16"/>
  <c r="D108" i="16"/>
  <c r="AE107" i="16"/>
  <c r="N107" i="16" s="1"/>
  <c r="AB107" i="16"/>
  <c r="X107" i="16"/>
  <c r="V107" i="16"/>
  <c r="S107" i="16"/>
  <c r="M107" i="16"/>
  <c r="J107" i="16"/>
  <c r="G107" i="16"/>
  <c r="E107" i="16"/>
  <c r="D107" i="16"/>
  <c r="AP106" i="16"/>
  <c r="AO106" i="16"/>
  <c r="AO107" i="16" s="1"/>
  <c r="AO108" i="16" s="1"/>
  <c r="AO109" i="16" s="1"/>
  <c r="AO110" i="16" s="1"/>
  <c r="AO111" i="16" s="1"/>
  <c r="AE106" i="16"/>
  <c r="AB106" i="16"/>
  <c r="X106" i="16"/>
  <c r="V106" i="16"/>
  <c r="S106" i="16"/>
  <c r="N106" i="16"/>
  <c r="P106" i="16" s="1"/>
  <c r="M106" i="16"/>
  <c r="J106" i="16"/>
  <c r="E106" i="16"/>
  <c r="W106" i="16" s="1"/>
  <c r="D106" i="16"/>
  <c r="AV105" i="16"/>
  <c r="AV106" i="16" s="1"/>
  <c r="AV107" i="16" s="1"/>
  <c r="AE105" i="16"/>
  <c r="AB105" i="16"/>
  <c r="Y105" i="16"/>
  <c r="X105" i="16"/>
  <c r="W105" i="16"/>
  <c r="V105" i="16"/>
  <c r="S105" i="16"/>
  <c r="P105" i="16"/>
  <c r="N105" i="16"/>
  <c r="M105" i="16"/>
  <c r="J105" i="16"/>
  <c r="G105" i="16"/>
  <c r="E105" i="16"/>
  <c r="D105" i="16"/>
  <c r="AQ104" i="16"/>
  <c r="AP104" i="16"/>
  <c r="AP105" i="16" s="1"/>
  <c r="AE104" i="16"/>
  <c r="N104" i="16" s="1"/>
  <c r="AB104" i="16"/>
  <c r="X104" i="16"/>
  <c r="V104" i="16"/>
  <c r="S104" i="16"/>
  <c r="P104" i="16"/>
  <c r="M104" i="16"/>
  <c r="J104" i="16"/>
  <c r="E104" i="16"/>
  <c r="D104" i="16"/>
  <c r="AY103" i="16"/>
  <c r="AY104" i="16" s="1"/>
  <c r="AY105" i="16" s="1"/>
  <c r="AY106" i="16" s="1"/>
  <c r="AY107" i="16" s="1"/>
  <c r="AY108" i="16" s="1"/>
  <c r="AY109" i="16" s="1"/>
  <c r="AY110" i="16" s="1"/>
  <c r="AY111" i="16" s="1"/>
  <c r="AV103" i="16"/>
  <c r="AV104" i="16" s="1"/>
  <c r="AU103" i="16"/>
  <c r="AU104" i="16" s="1"/>
  <c r="AU105" i="16" s="1"/>
  <c r="AE103" i="16"/>
  <c r="AB103" i="16"/>
  <c r="E103" i="16" s="1"/>
  <c r="G103" i="16" s="1"/>
  <c r="Y103" i="16"/>
  <c r="X103" i="16"/>
  <c r="V103" i="16"/>
  <c r="S103" i="16"/>
  <c r="N103" i="16"/>
  <c r="W103" i="16" s="1"/>
  <c r="M103" i="16"/>
  <c r="J103" i="16"/>
  <c r="D103" i="16"/>
  <c r="AU102" i="16"/>
  <c r="AP102" i="16"/>
  <c r="AP103" i="16" s="1"/>
  <c r="AQ103" i="16" s="1"/>
  <c r="AE102" i="16"/>
  <c r="N102" i="16" s="1"/>
  <c r="P102" i="16" s="1"/>
  <c r="AB102" i="16"/>
  <c r="E102" i="16" s="1"/>
  <c r="G102" i="16" s="1"/>
  <c r="X102" i="16"/>
  <c r="Y102" i="16" s="1"/>
  <c r="W102" i="16"/>
  <c r="V102" i="16"/>
  <c r="S102" i="16"/>
  <c r="M102" i="16"/>
  <c r="J102" i="16"/>
  <c r="D102" i="16"/>
  <c r="AX101" i="16"/>
  <c r="AS101" i="16"/>
  <c r="AO101" i="16"/>
  <c r="AO102" i="16" s="1"/>
  <c r="AO103" i="16" s="1"/>
  <c r="AO104" i="16" s="1"/>
  <c r="AO105" i="16" s="1"/>
  <c r="AM101" i="16"/>
  <c r="AM102" i="16" s="1"/>
  <c r="AL101" i="16"/>
  <c r="AJ101" i="16"/>
  <c r="AE101" i="16"/>
  <c r="AB101" i="16"/>
  <c r="X101" i="16"/>
  <c r="V101" i="16"/>
  <c r="S101" i="16"/>
  <c r="P101" i="16"/>
  <c r="N101" i="16"/>
  <c r="M101" i="16"/>
  <c r="J101" i="16"/>
  <c r="E101" i="16"/>
  <c r="D101" i="16"/>
  <c r="AY100" i="16"/>
  <c r="AY101" i="16" s="1"/>
  <c r="AY102" i="16" s="1"/>
  <c r="AX100" i="16"/>
  <c r="AV100" i="16"/>
  <c r="AV101" i="16" s="1"/>
  <c r="AV102" i="16" s="1"/>
  <c r="AW102" i="16" s="1"/>
  <c r="AU100" i="16"/>
  <c r="AU101" i="16" s="1"/>
  <c r="AS100" i="16"/>
  <c r="AP100" i="16"/>
  <c r="AP101" i="16" s="1"/>
  <c r="AO100" i="16"/>
  <c r="AM100" i="16"/>
  <c r="AN100" i="16" s="1"/>
  <c r="AL100" i="16"/>
  <c r="AJ100" i="16"/>
  <c r="AG100" i="16"/>
  <c r="AF100" i="16"/>
  <c r="AF101" i="16" s="1"/>
  <c r="AF102" i="16" s="1"/>
  <c r="AF103" i="16" s="1"/>
  <c r="AF104" i="16" s="1"/>
  <c r="AF105" i="16" s="1"/>
  <c r="AF106" i="16" s="1"/>
  <c r="AF107" i="16" s="1"/>
  <c r="AF108" i="16" s="1"/>
  <c r="AF109" i="16" s="1"/>
  <c r="AF110" i="16" s="1"/>
  <c r="AF111" i="16" s="1"/>
  <c r="AE100" i="16"/>
  <c r="N100" i="16" s="1"/>
  <c r="AB100" i="16"/>
  <c r="E100" i="16" s="1"/>
  <c r="X100" i="16"/>
  <c r="V100" i="16"/>
  <c r="S100" i="16"/>
  <c r="M100" i="16"/>
  <c r="J100" i="16"/>
  <c r="D100" i="16"/>
  <c r="AE99" i="16"/>
  <c r="AB99" i="16"/>
  <c r="Y99" i="16"/>
  <c r="X99" i="16"/>
  <c r="V99" i="16"/>
  <c r="S99" i="16"/>
  <c r="P99" i="16"/>
  <c r="N99" i="16"/>
  <c r="M99" i="16"/>
  <c r="J99" i="16"/>
  <c r="G99" i="16"/>
  <c r="E99" i="16"/>
  <c r="W99" i="16" s="1"/>
  <c r="D99" i="16"/>
  <c r="AE98" i="16"/>
  <c r="N98" i="16" s="1"/>
  <c r="P98" i="16" s="1"/>
  <c r="AB98" i="16"/>
  <c r="E98" i="16" s="1"/>
  <c r="G98" i="16" s="1"/>
  <c r="X98" i="16"/>
  <c r="V98" i="16"/>
  <c r="S98" i="16"/>
  <c r="M98" i="16"/>
  <c r="J98" i="16"/>
  <c r="D98" i="16"/>
  <c r="AE97" i="16"/>
  <c r="N97" i="16" s="1"/>
  <c r="P97" i="16" s="1"/>
  <c r="AB97" i="16"/>
  <c r="E97" i="16" s="1"/>
  <c r="G97" i="16" s="1"/>
  <c r="Y97" i="16"/>
  <c r="X97" i="16"/>
  <c r="W97" i="16"/>
  <c r="V97" i="16"/>
  <c r="S97" i="16"/>
  <c r="M97" i="16"/>
  <c r="J97" i="16"/>
  <c r="D97" i="16"/>
  <c r="AE96" i="16"/>
  <c r="AB96" i="16"/>
  <c r="X96" i="16"/>
  <c r="V96" i="16"/>
  <c r="S96" i="16"/>
  <c r="N96" i="16"/>
  <c r="P96" i="16" s="1"/>
  <c r="M96" i="16"/>
  <c r="J96" i="16"/>
  <c r="E96" i="16"/>
  <c r="W96" i="16" s="1"/>
  <c r="D96" i="16"/>
  <c r="AE95" i="16"/>
  <c r="AB95" i="16"/>
  <c r="E95" i="16" s="1"/>
  <c r="G95" i="16" s="1"/>
  <c r="X95" i="16"/>
  <c r="V95" i="16"/>
  <c r="S95" i="16"/>
  <c r="P95" i="16"/>
  <c r="N95" i="16"/>
  <c r="W95" i="16" s="1"/>
  <c r="Y95" i="16" s="1"/>
  <c r="M95" i="16"/>
  <c r="J95" i="16"/>
  <c r="D95" i="16"/>
  <c r="AE94" i="16"/>
  <c r="AB94" i="16"/>
  <c r="X94" i="16"/>
  <c r="V94" i="16"/>
  <c r="S94" i="16"/>
  <c r="P94" i="16"/>
  <c r="N94" i="16"/>
  <c r="M94" i="16"/>
  <c r="J94" i="16"/>
  <c r="E94" i="16"/>
  <c r="D94" i="16"/>
  <c r="AE93" i="16"/>
  <c r="N93" i="16" s="1"/>
  <c r="AB93" i="16"/>
  <c r="X93" i="16"/>
  <c r="V93" i="16"/>
  <c r="S93" i="16"/>
  <c r="P93" i="16"/>
  <c r="M93" i="16"/>
  <c r="J93" i="16"/>
  <c r="E93" i="16"/>
  <c r="W93" i="16" s="1"/>
  <c r="Y93" i="16" s="1"/>
  <c r="D93" i="16"/>
  <c r="AL92" i="16"/>
  <c r="AL93" i="16" s="1"/>
  <c r="AL94" i="16" s="1"/>
  <c r="AL95" i="16" s="1"/>
  <c r="AL96" i="16" s="1"/>
  <c r="AL97" i="16" s="1"/>
  <c r="AL98" i="16" s="1"/>
  <c r="AL99" i="16" s="1"/>
  <c r="AE92" i="16"/>
  <c r="N92" i="16" s="1"/>
  <c r="P92" i="16" s="1"/>
  <c r="AB92" i="16"/>
  <c r="E92" i="16" s="1"/>
  <c r="X92" i="16"/>
  <c r="V92" i="16"/>
  <c r="S92" i="16"/>
  <c r="M92" i="16"/>
  <c r="J92" i="16"/>
  <c r="D92" i="16"/>
  <c r="AQ91" i="16"/>
  <c r="AP91" i="16"/>
  <c r="AP92" i="16" s="1"/>
  <c r="AP93" i="16" s="1"/>
  <c r="AO91" i="16"/>
  <c r="AO92" i="16" s="1"/>
  <c r="AO93" i="16" s="1"/>
  <c r="AO94" i="16" s="1"/>
  <c r="AO95" i="16" s="1"/>
  <c r="AO96" i="16" s="1"/>
  <c r="AO97" i="16" s="1"/>
  <c r="AO98" i="16" s="1"/>
  <c r="AO99" i="16" s="1"/>
  <c r="AE91" i="16"/>
  <c r="N91" i="16" s="1"/>
  <c r="AB91" i="16"/>
  <c r="X91" i="16"/>
  <c r="V91" i="16"/>
  <c r="S91" i="16"/>
  <c r="P91" i="16"/>
  <c r="M91" i="16"/>
  <c r="J91" i="16"/>
  <c r="G91" i="16"/>
  <c r="E91" i="16"/>
  <c r="D91" i="16"/>
  <c r="AY90" i="16"/>
  <c r="AY91" i="16" s="1"/>
  <c r="AY92" i="16" s="1"/>
  <c r="AY93" i="16" s="1"/>
  <c r="AY94" i="16" s="1"/>
  <c r="AY95" i="16" s="1"/>
  <c r="AY96" i="16" s="1"/>
  <c r="AY97" i="16" s="1"/>
  <c r="AY98" i="16" s="1"/>
  <c r="AY99" i="16" s="1"/>
  <c r="AF90" i="16"/>
  <c r="AF91" i="16" s="1"/>
  <c r="AF92" i="16" s="1"/>
  <c r="AF93" i="16" s="1"/>
  <c r="AF94" i="16" s="1"/>
  <c r="AF95" i="16" s="1"/>
  <c r="AF96" i="16" s="1"/>
  <c r="AF97" i="16" s="1"/>
  <c r="AF98" i="16" s="1"/>
  <c r="AF99" i="16" s="1"/>
  <c r="AE90" i="16"/>
  <c r="N90" i="16" s="1"/>
  <c r="P90" i="16" s="1"/>
  <c r="AB90" i="16"/>
  <c r="E90" i="16" s="1"/>
  <c r="X90" i="16"/>
  <c r="V90" i="16"/>
  <c r="S90" i="16"/>
  <c r="M90" i="16"/>
  <c r="J90" i="16"/>
  <c r="D90" i="16"/>
  <c r="AV89" i="16"/>
  <c r="AP89" i="16"/>
  <c r="AP90" i="16" s="1"/>
  <c r="AO89" i="16"/>
  <c r="AO90" i="16" s="1"/>
  <c r="AL89" i="16"/>
  <c r="AL90" i="16" s="1"/>
  <c r="AL91" i="16" s="1"/>
  <c r="AJ89" i="16"/>
  <c r="AF89" i="16"/>
  <c r="AE89" i="16"/>
  <c r="N89" i="16" s="1"/>
  <c r="AB89" i="16"/>
  <c r="X89" i="16"/>
  <c r="V89" i="16"/>
  <c r="S89" i="16"/>
  <c r="M89" i="16"/>
  <c r="J89" i="16"/>
  <c r="E89" i="16"/>
  <c r="D89" i="16"/>
  <c r="AY88" i="16"/>
  <c r="AY89" i="16" s="1"/>
  <c r="AX88" i="16"/>
  <c r="AV88" i="16"/>
  <c r="AU88" i="16"/>
  <c r="AU89" i="16" s="1"/>
  <c r="AU90" i="16" s="1"/>
  <c r="AU91" i="16" s="1"/>
  <c r="AU92" i="16" s="1"/>
  <c r="AU93" i="16" s="1"/>
  <c r="AU94" i="16" s="1"/>
  <c r="AU95" i="16" s="1"/>
  <c r="AU96" i="16" s="1"/>
  <c r="AU97" i="16" s="1"/>
  <c r="AU98" i="16" s="1"/>
  <c r="AU99" i="16" s="1"/>
  <c r="AT88" i="16"/>
  <c r="AS88" i="16"/>
  <c r="AS89" i="16" s="1"/>
  <c r="AQ88" i="16"/>
  <c r="AP88" i="16"/>
  <c r="AO88" i="16"/>
  <c r="AM88" i="16"/>
  <c r="AM89" i="16" s="1"/>
  <c r="AM90" i="16" s="1"/>
  <c r="AL88" i="16"/>
  <c r="AJ88" i="16"/>
  <c r="AH88" i="16"/>
  <c r="AG88" i="16"/>
  <c r="AG89" i="16" s="1"/>
  <c r="AF88" i="16"/>
  <c r="AE88" i="16"/>
  <c r="AB88" i="16"/>
  <c r="E88" i="16" s="1"/>
  <c r="X88" i="16"/>
  <c r="V88" i="16"/>
  <c r="S88" i="16"/>
  <c r="P88" i="16"/>
  <c r="N88" i="16"/>
  <c r="AR88" i="16" s="1"/>
  <c r="M88" i="16"/>
  <c r="J88" i="16"/>
  <c r="D88" i="16"/>
  <c r="AE87" i="16"/>
  <c r="N87" i="16" s="1"/>
  <c r="P87" i="16" s="1"/>
  <c r="AB87" i="16"/>
  <c r="E87" i="16" s="1"/>
  <c r="W87" i="16" s="1"/>
  <c r="X87" i="16"/>
  <c r="V87" i="16"/>
  <c r="S87" i="16"/>
  <c r="M87" i="16"/>
  <c r="J87" i="16"/>
  <c r="D87" i="16"/>
  <c r="AE86" i="16"/>
  <c r="AB86" i="16"/>
  <c r="X86" i="16"/>
  <c r="Y86" i="16" s="1"/>
  <c r="V86" i="16"/>
  <c r="S86" i="16"/>
  <c r="N86" i="16"/>
  <c r="P86" i="16" s="1"/>
  <c r="M86" i="16"/>
  <c r="J86" i="16"/>
  <c r="G86" i="16"/>
  <c r="E86" i="16"/>
  <c r="W86" i="16" s="1"/>
  <c r="D86" i="16"/>
  <c r="AL85" i="16"/>
  <c r="AL86" i="16" s="1"/>
  <c r="AL87" i="16" s="1"/>
  <c r="AE85" i="16"/>
  <c r="N85" i="16" s="1"/>
  <c r="P85" i="16" s="1"/>
  <c r="AB85" i="16"/>
  <c r="X85" i="16"/>
  <c r="V85" i="16"/>
  <c r="S85" i="16"/>
  <c r="M85" i="16"/>
  <c r="J85" i="16"/>
  <c r="E85" i="16"/>
  <c r="G85" i="16" s="1"/>
  <c r="D85" i="16"/>
  <c r="AO84" i="16"/>
  <c r="AO85" i="16" s="1"/>
  <c r="AO86" i="16" s="1"/>
  <c r="AO87" i="16" s="1"/>
  <c r="AE84" i="16"/>
  <c r="AB84" i="16"/>
  <c r="X84" i="16"/>
  <c r="V84" i="16"/>
  <c r="S84" i="16"/>
  <c r="P84" i="16"/>
  <c r="N84" i="16"/>
  <c r="M84" i="16"/>
  <c r="J84" i="16"/>
  <c r="E84" i="16"/>
  <c r="W84" i="16" s="1"/>
  <c r="Y84" i="16" s="1"/>
  <c r="D84" i="16"/>
  <c r="AE83" i="16"/>
  <c r="AB83" i="16"/>
  <c r="X83" i="16"/>
  <c r="V83" i="16"/>
  <c r="S83" i="16"/>
  <c r="P83" i="16"/>
  <c r="N83" i="16"/>
  <c r="W83" i="16" s="1"/>
  <c r="Y83" i="16" s="1"/>
  <c r="M83" i="16"/>
  <c r="J83" i="16"/>
  <c r="E83" i="16"/>
  <c r="G83" i="16" s="1"/>
  <c r="D83" i="16"/>
  <c r="AL82" i="16"/>
  <c r="AL83" i="16" s="1"/>
  <c r="AL84" i="16" s="1"/>
  <c r="AE82" i="16"/>
  <c r="N82" i="16" s="1"/>
  <c r="AB82" i="16"/>
  <c r="X82" i="16"/>
  <c r="V82" i="16"/>
  <c r="S82" i="16"/>
  <c r="P82" i="16"/>
  <c r="M82" i="16"/>
  <c r="J82" i="16"/>
  <c r="E82" i="16"/>
  <c r="W82" i="16" s="1"/>
  <c r="Y82" i="16" s="1"/>
  <c r="D82" i="16"/>
  <c r="AE81" i="16"/>
  <c r="AB81" i="16"/>
  <c r="E81" i="16" s="1"/>
  <c r="X81" i="16"/>
  <c r="V81" i="16"/>
  <c r="S81" i="16"/>
  <c r="N81" i="16"/>
  <c r="P81" i="16" s="1"/>
  <c r="M81" i="16"/>
  <c r="J81" i="16"/>
  <c r="D81" i="16"/>
  <c r="AF80" i="16"/>
  <c r="AF81" i="16" s="1"/>
  <c r="AF82" i="16" s="1"/>
  <c r="AF83" i="16" s="1"/>
  <c r="AF84" i="16" s="1"/>
  <c r="AF85" i="16" s="1"/>
  <c r="AF86" i="16" s="1"/>
  <c r="AF87" i="16" s="1"/>
  <c r="AE80" i="16"/>
  <c r="N80" i="16" s="1"/>
  <c r="P80" i="16" s="1"/>
  <c r="AB80" i="16"/>
  <c r="E80" i="16" s="1"/>
  <c r="G80" i="16" s="1"/>
  <c r="X80" i="16"/>
  <c r="V80" i="16"/>
  <c r="S80" i="16"/>
  <c r="M80" i="16"/>
  <c r="J80" i="16"/>
  <c r="D80" i="16"/>
  <c r="AY79" i="16"/>
  <c r="AY80" i="16" s="1"/>
  <c r="AY81" i="16" s="1"/>
  <c r="AY82" i="16" s="1"/>
  <c r="AY83" i="16" s="1"/>
  <c r="AY84" i="16" s="1"/>
  <c r="AY85" i="16" s="1"/>
  <c r="AY86" i="16" s="1"/>
  <c r="AY87" i="16" s="1"/>
  <c r="AE79" i="16"/>
  <c r="AB79" i="16"/>
  <c r="X79" i="16"/>
  <c r="V79" i="16"/>
  <c r="S79" i="16"/>
  <c r="P79" i="16"/>
  <c r="N79" i="16"/>
  <c r="M79" i="16"/>
  <c r="J79" i="16"/>
  <c r="E79" i="16"/>
  <c r="D79" i="16"/>
  <c r="AY78" i="16"/>
  <c r="AE78" i="16"/>
  <c r="AB78" i="16"/>
  <c r="E78" i="16" s="1"/>
  <c r="G78" i="16" s="1"/>
  <c r="X78" i="16"/>
  <c r="V78" i="16"/>
  <c r="S78" i="16"/>
  <c r="N78" i="16"/>
  <c r="W78" i="16" s="1"/>
  <c r="M78" i="16"/>
  <c r="J78" i="16"/>
  <c r="D78" i="16"/>
  <c r="AS77" i="16"/>
  <c r="AP77" i="16"/>
  <c r="AO77" i="16"/>
  <c r="AO78" i="16" s="1"/>
  <c r="AO79" i="16" s="1"/>
  <c r="AO80" i="16" s="1"/>
  <c r="AO81" i="16" s="1"/>
  <c r="AO82" i="16" s="1"/>
  <c r="AO83" i="16" s="1"/>
  <c r="AN77" i="16"/>
  <c r="AM77" i="16"/>
  <c r="AM78" i="16" s="1"/>
  <c r="AL77" i="16"/>
  <c r="AL78" i="16" s="1"/>
  <c r="AL79" i="16" s="1"/>
  <c r="AL80" i="16" s="1"/>
  <c r="AL81" i="16" s="1"/>
  <c r="AJ77" i="16"/>
  <c r="AE77" i="16"/>
  <c r="AB77" i="16"/>
  <c r="Y77" i="16"/>
  <c r="X77" i="16"/>
  <c r="V77" i="16"/>
  <c r="S77" i="16"/>
  <c r="P77" i="16"/>
  <c r="N77" i="16"/>
  <c r="M77" i="16"/>
  <c r="J77" i="16"/>
  <c r="G77" i="16"/>
  <c r="E77" i="16"/>
  <c r="W77" i="16" s="1"/>
  <c r="D77" i="16"/>
  <c r="AZ76" i="16"/>
  <c r="AY76" i="16"/>
  <c r="AY77" i="16" s="1"/>
  <c r="AX76" i="16"/>
  <c r="AX77" i="16" s="1"/>
  <c r="AV76" i="16"/>
  <c r="AV77" i="16" s="1"/>
  <c r="AU76" i="16"/>
  <c r="AU77" i="16" s="1"/>
  <c r="AU78" i="16" s="1"/>
  <c r="AU79" i="16" s="1"/>
  <c r="AU80" i="16" s="1"/>
  <c r="AU81" i="16" s="1"/>
  <c r="AU82" i="16" s="1"/>
  <c r="AU83" i="16" s="1"/>
  <c r="AU84" i="16" s="1"/>
  <c r="AU85" i="16" s="1"/>
  <c r="AU86" i="16" s="1"/>
  <c r="AU87" i="16" s="1"/>
  <c r="AS76" i="16"/>
  <c r="AQ76" i="16"/>
  <c r="AP76" i="16"/>
  <c r="AO76" i="16"/>
  <c r="AM76" i="16"/>
  <c r="AL76" i="16"/>
  <c r="AJ76" i="16"/>
  <c r="AG76" i="16"/>
  <c r="AF76" i="16"/>
  <c r="AF77" i="16" s="1"/>
  <c r="AF78" i="16" s="1"/>
  <c r="AF79" i="16" s="1"/>
  <c r="AE76" i="16"/>
  <c r="N76" i="16" s="1"/>
  <c r="P76" i="16" s="1"/>
  <c r="AB76" i="16"/>
  <c r="E76" i="16" s="1"/>
  <c r="Y76" i="16"/>
  <c r="X76" i="16"/>
  <c r="W76" i="16"/>
  <c r="V76" i="16"/>
  <c r="S76" i="16"/>
  <c r="M76" i="16"/>
  <c r="J76" i="16"/>
  <c r="D76" i="16"/>
  <c r="AE75" i="16"/>
  <c r="N75" i="16" s="1"/>
  <c r="P75" i="16" s="1"/>
  <c r="AB75" i="16"/>
  <c r="E75" i="16" s="1"/>
  <c r="X75" i="16"/>
  <c r="V75" i="16"/>
  <c r="S75" i="16"/>
  <c r="M75" i="16"/>
  <c r="J75" i="16"/>
  <c r="D75" i="16"/>
  <c r="AE74" i="16"/>
  <c r="AB74" i="16"/>
  <c r="X74" i="16"/>
  <c r="V74" i="16"/>
  <c r="S74" i="16"/>
  <c r="N74" i="16"/>
  <c r="P74" i="16" s="1"/>
  <c r="M74" i="16"/>
  <c r="J74" i="16"/>
  <c r="E74" i="16"/>
  <c r="W74" i="16" s="1"/>
  <c r="D74" i="16"/>
  <c r="AE73" i="16"/>
  <c r="N73" i="16" s="1"/>
  <c r="P73" i="16" s="1"/>
  <c r="AB73" i="16"/>
  <c r="E73" i="16" s="1"/>
  <c r="G73" i="16" s="1"/>
  <c r="X73" i="16"/>
  <c r="Y73" i="16" s="1"/>
  <c r="W73" i="16"/>
  <c r="V73" i="16"/>
  <c r="S73" i="16"/>
  <c r="M73" i="16"/>
  <c r="J73" i="16"/>
  <c r="D73" i="16"/>
  <c r="AE72" i="16"/>
  <c r="AB72" i="16"/>
  <c r="X72" i="16"/>
  <c r="V72" i="16"/>
  <c r="S72" i="16"/>
  <c r="P72" i="16"/>
  <c r="N72" i="16"/>
  <c r="M72" i="16"/>
  <c r="J72" i="16"/>
  <c r="E72" i="16"/>
  <c r="W72" i="16" s="1"/>
  <c r="Y72" i="16" s="1"/>
  <c r="D72" i="16"/>
  <c r="AE71" i="16"/>
  <c r="N71" i="16" s="1"/>
  <c r="P71" i="16" s="1"/>
  <c r="AB71" i="16"/>
  <c r="E71" i="16" s="1"/>
  <c r="X71" i="16"/>
  <c r="V71" i="16"/>
  <c r="S71" i="16"/>
  <c r="M71" i="16"/>
  <c r="J71" i="16"/>
  <c r="D71" i="16"/>
  <c r="AL70" i="16"/>
  <c r="AL71" i="16" s="1"/>
  <c r="AL72" i="16" s="1"/>
  <c r="AL73" i="16" s="1"/>
  <c r="AL74" i="16" s="1"/>
  <c r="AL75" i="16" s="1"/>
  <c r="AE70" i="16"/>
  <c r="N70" i="16" s="1"/>
  <c r="AB70" i="16"/>
  <c r="E70" i="16" s="1"/>
  <c r="G70" i="16" s="1"/>
  <c r="X70" i="16"/>
  <c r="V70" i="16"/>
  <c r="S70" i="16"/>
  <c r="M70" i="16"/>
  <c r="J70" i="16"/>
  <c r="D70" i="16"/>
  <c r="AO69" i="16"/>
  <c r="AO70" i="16" s="1"/>
  <c r="AO71" i="16" s="1"/>
  <c r="AO72" i="16" s="1"/>
  <c r="AO73" i="16" s="1"/>
  <c r="AO74" i="16" s="1"/>
  <c r="AO75" i="16" s="1"/>
  <c r="AE69" i="16"/>
  <c r="AB69" i="16"/>
  <c r="X69" i="16"/>
  <c r="W69" i="16"/>
  <c r="V69" i="16"/>
  <c r="S69" i="16"/>
  <c r="P69" i="16"/>
  <c r="N69" i="16"/>
  <c r="M69" i="16"/>
  <c r="J69" i="16"/>
  <c r="E69" i="16"/>
  <c r="G69" i="16" s="1"/>
  <c r="D69" i="16"/>
  <c r="AG68" i="16"/>
  <c r="AF68" i="16"/>
  <c r="AF69" i="16" s="1"/>
  <c r="AF70" i="16" s="1"/>
  <c r="AF71" i="16" s="1"/>
  <c r="AF72" i="16" s="1"/>
  <c r="AF73" i="16" s="1"/>
  <c r="AF74" i="16" s="1"/>
  <c r="AF75" i="16" s="1"/>
  <c r="AE68" i="16"/>
  <c r="N68" i="16" s="1"/>
  <c r="P68" i="16" s="1"/>
  <c r="AB68" i="16"/>
  <c r="E68" i="16" s="1"/>
  <c r="G68" i="16" s="1"/>
  <c r="X68" i="16"/>
  <c r="V68" i="16"/>
  <c r="S68" i="16"/>
  <c r="M68" i="16"/>
  <c r="J68" i="16"/>
  <c r="D68" i="16"/>
  <c r="AO67" i="16"/>
  <c r="AO68" i="16" s="1"/>
  <c r="AE67" i="16"/>
  <c r="AB67" i="16"/>
  <c r="X67" i="16"/>
  <c r="V67" i="16"/>
  <c r="S67" i="16"/>
  <c r="P67" i="16"/>
  <c r="N67" i="16"/>
  <c r="M67" i="16"/>
  <c r="J67" i="16"/>
  <c r="G67" i="16"/>
  <c r="E67" i="16"/>
  <c r="D67" i="16"/>
  <c r="AE66" i="16"/>
  <c r="AB66" i="16"/>
  <c r="E66" i="16" s="1"/>
  <c r="X66" i="16"/>
  <c r="V66" i="16"/>
  <c r="S66" i="16"/>
  <c r="P66" i="16"/>
  <c r="N66" i="16"/>
  <c r="M66" i="16"/>
  <c r="J66" i="16"/>
  <c r="D66" i="16"/>
  <c r="AU65" i="16"/>
  <c r="AU66" i="16" s="1"/>
  <c r="AU67" i="16" s="1"/>
  <c r="AU68" i="16" s="1"/>
  <c r="AU69" i="16" s="1"/>
  <c r="AU70" i="16" s="1"/>
  <c r="AU71" i="16" s="1"/>
  <c r="AU72" i="16" s="1"/>
  <c r="AU73" i="16" s="1"/>
  <c r="AU74" i="16" s="1"/>
  <c r="AU75" i="16" s="1"/>
  <c r="AP65" i="16"/>
  <c r="AM65" i="16"/>
  <c r="AL65" i="16"/>
  <c r="AL66" i="16" s="1"/>
  <c r="AL67" i="16" s="1"/>
  <c r="AL68" i="16" s="1"/>
  <c r="AL69" i="16" s="1"/>
  <c r="AJ65" i="16"/>
  <c r="AJ66" i="16" s="1"/>
  <c r="AG65" i="16"/>
  <c r="AG66" i="16" s="1"/>
  <c r="AG67" i="16" s="1"/>
  <c r="AH67" i="16" s="1"/>
  <c r="AF65" i="16"/>
  <c r="AF66" i="16" s="1"/>
  <c r="AF67" i="16" s="1"/>
  <c r="AE65" i="16"/>
  <c r="N65" i="16" s="1"/>
  <c r="P65" i="16" s="1"/>
  <c r="AB65" i="16"/>
  <c r="E65" i="16" s="1"/>
  <c r="W65" i="16" s="1"/>
  <c r="X65" i="16"/>
  <c r="Y65" i="16" s="1"/>
  <c r="V65" i="16"/>
  <c r="S65" i="16"/>
  <c r="M65" i="16"/>
  <c r="J65" i="16"/>
  <c r="D65" i="16"/>
  <c r="AY64" i="16"/>
  <c r="AY65" i="16" s="1"/>
  <c r="AY66" i="16" s="1"/>
  <c r="AY67" i="16" s="1"/>
  <c r="AY68" i="16" s="1"/>
  <c r="AY69" i="16" s="1"/>
  <c r="AY70" i="16" s="1"/>
  <c r="AY71" i="16" s="1"/>
  <c r="AY72" i="16" s="1"/>
  <c r="AY73" i="16" s="1"/>
  <c r="AY74" i="16" s="1"/>
  <c r="AY75" i="16" s="1"/>
  <c r="AX64" i="16"/>
  <c r="AW64" i="16"/>
  <c r="AV64" i="16"/>
  <c r="AV65" i="16" s="1"/>
  <c r="AU64" i="16"/>
  <c r="AS64" i="16"/>
  <c r="AS65" i="16" s="1"/>
  <c r="AQ64" i="16"/>
  <c r="AP64" i="16"/>
  <c r="AO64" i="16"/>
  <c r="AO65" i="16" s="1"/>
  <c r="AO66" i="16" s="1"/>
  <c r="AM64" i="16"/>
  <c r="AN64" i="16" s="1"/>
  <c r="AL64" i="16"/>
  <c r="AJ64" i="16"/>
  <c r="AH64" i="16"/>
  <c r="AG64" i="16"/>
  <c r="AF64" i="16"/>
  <c r="AE64" i="16"/>
  <c r="AB64" i="16"/>
  <c r="E64" i="16" s="1"/>
  <c r="X64" i="16"/>
  <c r="V64" i="16"/>
  <c r="S64" i="16"/>
  <c r="N64" i="16"/>
  <c r="M64" i="16"/>
  <c r="J64" i="16"/>
  <c r="D64" i="16"/>
  <c r="AE63" i="16"/>
  <c r="AB63" i="16"/>
  <c r="X63" i="16"/>
  <c r="Y63" i="16" s="1"/>
  <c r="V63" i="16"/>
  <c r="S63" i="16"/>
  <c r="P63" i="16"/>
  <c r="N63" i="16"/>
  <c r="M63" i="16"/>
  <c r="J63" i="16"/>
  <c r="G63" i="16"/>
  <c r="E63" i="16"/>
  <c r="W63" i="16" s="1"/>
  <c r="D63" i="16"/>
  <c r="AF62" i="16"/>
  <c r="AF63" i="16" s="1"/>
  <c r="AE62" i="16"/>
  <c r="AB62" i="16"/>
  <c r="E62" i="16" s="1"/>
  <c r="X62" i="16"/>
  <c r="V62" i="16"/>
  <c r="S62" i="16"/>
  <c r="P62" i="16"/>
  <c r="N62" i="16"/>
  <c r="M62" i="16"/>
  <c r="J62" i="16"/>
  <c r="D62" i="16"/>
  <c r="AE61" i="16"/>
  <c r="AB61" i="16"/>
  <c r="X61" i="16"/>
  <c r="V61" i="16"/>
  <c r="S61" i="16"/>
  <c r="N61" i="16"/>
  <c r="P61" i="16" s="1"/>
  <c r="M61" i="16"/>
  <c r="J61" i="16"/>
  <c r="E61" i="16"/>
  <c r="D61" i="16"/>
  <c r="AY60" i="16"/>
  <c r="AY61" i="16" s="1"/>
  <c r="AY62" i="16" s="1"/>
  <c r="AY63" i="16" s="1"/>
  <c r="AE60" i="16"/>
  <c r="N60" i="16" s="1"/>
  <c r="AB60" i="16"/>
  <c r="E60" i="16" s="1"/>
  <c r="G60" i="16" s="1"/>
  <c r="X60" i="16"/>
  <c r="W60" i="16"/>
  <c r="Y60" i="16" s="1"/>
  <c r="V60" i="16"/>
  <c r="S60" i="16"/>
  <c r="P60" i="16"/>
  <c r="M60" i="16"/>
  <c r="J60" i="16"/>
  <c r="D60" i="16"/>
  <c r="AE59" i="16"/>
  <c r="AB59" i="16"/>
  <c r="X59" i="16"/>
  <c r="V59" i="16"/>
  <c r="S59" i="16"/>
  <c r="N59" i="16"/>
  <c r="P59" i="16" s="1"/>
  <c r="M59" i="16"/>
  <c r="J59" i="16"/>
  <c r="E59" i="16"/>
  <c r="D59" i="16"/>
  <c r="AE58" i="16"/>
  <c r="AB58" i="16"/>
  <c r="E58" i="16" s="1"/>
  <c r="G58" i="16" s="1"/>
  <c r="X58" i="16"/>
  <c r="Y58" i="16" s="1"/>
  <c r="V58" i="16"/>
  <c r="S58" i="16"/>
  <c r="P58" i="16"/>
  <c r="N58" i="16"/>
  <c r="W58" i="16" s="1"/>
  <c r="M58" i="16"/>
  <c r="J58" i="16"/>
  <c r="D58" i="16"/>
  <c r="AE57" i="16"/>
  <c r="AB57" i="16"/>
  <c r="X57" i="16"/>
  <c r="V57" i="16"/>
  <c r="S57" i="16"/>
  <c r="N57" i="16"/>
  <c r="P57" i="16" s="1"/>
  <c r="M57" i="16"/>
  <c r="J57" i="16"/>
  <c r="G57" i="16"/>
  <c r="E57" i="16"/>
  <c r="W57" i="16" s="1"/>
  <c r="Y57" i="16" s="1"/>
  <c r="D57" i="16"/>
  <c r="AY56" i="16"/>
  <c r="AY57" i="16" s="1"/>
  <c r="AY58" i="16" s="1"/>
  <c r="AY59" i="16" s="1"/>
  <c r="AE56" i="16"/>
  <c r="N56" i="16" s="1"/>
  <c r="P56" i="16" s="1"/>
  <c r="AB56" i="16"/>
  <c r="E56" i="16" s="1"/>
  <c r="G56" i="16" s="1"/>
  <c r="X56" i="16"/>
  <c r="V56" i="16"/>
  <c r="S56" i="16"/>
  <c r="M56" i="16"/>
  <c r="J56" i="16"/>
  <c r="D56" i="16"/>
  <c r="AS55" i="16"/>
  <c r="AS56" i="16" s="1"/>
  <c r="AP55" i="16"/>
  <c r="AP56" i="16" s="1"/>
  <c r="AM55" i="16"/>
  <c r="AM56" i="16" s="1"/>
  <c r="AE55" i="16"/>
  <c r="N55" i="16" s="1"/>
  <c r="AB55" i="16"/>
  <c r="X55" i="16"/>
  <c r="V55" i="16"/>
  <c r="S55" i="16"/>
  <c r="P55" i="16"/>
  <c r="M55" i="16"/>
  <c r="J55" i="16"/>
  <c r="E55" i="16"/>
  <c r="W55" i="16" s="1"/>
  <c r="Y55" i="16" s="1"/>
  <c r="D55" i="16"/>
  <c r="AY54" i="16"/>
  <c r="AY55" i="16" s="1"/>
  <c r="AE54" i="16"/>
  <c r="N54" i="16" s="1"/>
  <c r="P54" i="16" s="1"/>
  <c r="AB54" i="16"/>
  <c r="E54" i="16" s="1"/>
  <c r="G54" i="16" s="1"/>
  <c r="Y54" i="16"/>
  <c r="X54" i="16"/>
  <c r="W54" i="16"/>
  <c r="V54" i="16"/>
  <c r="S54" i="16"/>
  <c r="M54" i="16"/>
  <c r="J54" i="16"/>
  <c r="D54" i="16"/>
  <c r="AY53" i="16"/>
  <c r="AW53" i="16"/>
  <c r="AV53" i="16"/>
  <c r="AV54" i="16" s="1"/>
  <c r="AU53" i="16"/>
  <c r="AU54" i="16" s="1"/>
  <c r="AU55" i="16" s="1"/>
  <c r="AU56" i="16" s="1"/>
  <c r="AU57" i="16" s="1"/>
  <c r="AU58" i="16" s="1"/>
  <c r="AU59" i="16" s="1"/>
  <c r="AU60" i="16" s="1"/>
  <c r="AU61" i="16" s="1"/>
  <c r="AU62" i="16" s="1"/>
  <c r="AU63" i="16" s="1"/>
  <c r="AS53" i="16"/>
  <c r="AS54" i="16" s="1"/>
  <c r="AP53" i="16"/>
  <c r="AP54" i="16" s="1"/>
  <c r="AM53" i="16"/>
  <c r="AM54" i="16" s="1"/>
  <c r="AL53" i="16"/>
  <c r="AL54" i="16" s="1"/>
  <c r="AL55" i="16" s="1"/>
  <c r="AL56" i="16" s="1"/>
  <c r="AL57" i="16" s="1"/>
  <c r="AL58" i="16" s="1"/>
  <c r="AL59" i="16" s="1"/>
  <c r="AL60" i="16" s="1"/>
  <c r="AL61" i="16" s="1"/>
  <c r="AL62" i="16" s="1"/>
  <c r="AL63" i="16" s="1"/>
  <c r="AE53" i="16"/>
  <c r="AB53" i="16"/>
  <c r="X53" i="16"/>
  <c r="W53" i="16"/>
  <c r="Y53" i="16" s="1"/>
  <c r="V53" i="16"/>
  <c r="S53" i="16"/>
  <c r="P53" i="16"/>
  <c r="N53" i="16"/>
  <c r="M53" i="16"/>
  <c r="J53" i="16"/>
  <c r="G53" i="16"/>
  <c r="E53" i="16"/>
  <c r="D53" i="16"/>
  <c r="AZ52" i="16"/>
  <c r="AY52" i="16"/>
  <c r="AX52" i="16"/>
  <c r="AX53" i="16" s="1"/>
  <c r="AZ53" i="16" s="1"/>
  <c r="AV52" i="16"/>
  <c r="AW52" i="16" s="1"/>
  <c r="AU52" i="16"/>
  <c r="AS52" i="16"/>
  <c r="AP52" i="16"/>
  <c r="AO52" i="16"/>
  <c r="AQ52" i="16" s="1"/>
  <c r="AN52" i="16"/>
  <c r="AM52" i="16"/>
  <c r="AL52" i="16"/>
  <c r="AJ52" i="16"/>
  <c r="AJ53" i="16" s="1"/>
  <c r="AI52" i="16"/>
  <c r="AI53" i="16" s="1"/>
  <c r="AI54" i="16" s="1"/>
  <c r="AI55" i="16" s="1"/>
  <c r="AG52" i="16"/>
  <c r="AG53" i="16" s="1"/>
  <c r="AF52" i="16"/>
  <c r="AF53" i="16" s="1"/>
  <c r="AF54" i="16" s="1"/>
  <c r="AF55" i="16" s="1"/>
  <c r="AF56" i="16" s="1"/>
  <c r="AF57" i="16" s="1"/>
  <c r="AF58" i="16" s="1"/>
  <c r="AF59" i="16" s="1"/>
  <c r="AF60" i="16" s="1"/>
  <c r="AF61" i="16" s="1"/>
  <c r="AE52" i="16"/>
  <c r="N52" i="16" s="1"/>
  <c r="AB52" i="16"/>
  <c r="E52" i="16" s="1"/>
  <c r="X52" i="16"/>
  <c r="V52" i="16"/>
  <c r="S52" i="16"/>
  <c r="M52" i="16"/>
  <c r="J52" i="16"/>
  <c r="D52" i="16"/>
  <c r="AE51" i="16"/>
  <c r="AB51" i="16"/>
  <c r="E51" i="16" s="1"/>
  <c r="G51" i="16" s="1"/>
  <c r="X51" i="16"/>
  <c r="W51" i="16"/>
  <c r="Y51" i="16" s="1"/>
  <c r="V51" i="16"/>
  <c r="S51" i="16"/>
  <c r="N51" i="16"/>
  <c r="P51" i="16" s="1"/>
  <c r="M51" i="16"/>
  <c r="J51" i="16"/>
  <c r="D51" i="16"/>
  <c r="AE50" i="16"/>
  <c r="AB50" i="16"/>
  <c r="X50" i="16"/>
  <c r="Y50" i="16" s="1"/>
  <c r="V50" i="16"/>
  <c r="S50" i="16"/>
  <c r="P50" i="16"/>
  <c r="N50" i="16"/>
  <c r="M50" i="16"/>
  <c r="J50" i="16"/>
  <c r="E50" i="16"/>
  <c r="W50" i="16" s="1"/>
  <c r="D50" i="16"/>
  <c r="AE49" i="16"/>
  <c r="N49" i="16" s="1"/>
  <c r="P49" i="16" s="1"/>
  <c r="AB49" i="16"/>
  <c r="E49" i="16" s="1"/>
  <c r="X49" i="16"/>
  <c r="V49" i="16"/>
  <c r="S49" i="16"/>
  <c r="M49" i="16"/>
  <c r="J49" i="16"/>
  <c r="D49" i="16"/>
  <c r="AE48" i="16"/>
  <c r="N48" i="16" s="1"/>
  <c r="AB48" i="16"/>
  <c r="E48" i="16" s="1"/>
  <c r="G48" i="16" s="1"/>
  <c r="X48" i="16"/>
  <c r="V48" i="16"/>
  <c r="S48" i="16"/>
  <c r="M48" i="16"/>
  <c r="J48" i="16"/>
  <c r="D48" i="16"/>
  <c r="AL47" i="16"/>
  <c r="AL48" i="16" s="1"/>
  <c r="AL49" i="16" s="1"/>
  <c r="AL50" i="16" s="1"/>
  <c r="AL51" i="16" s="1"/>
  <c r="AE47" i="16"/>
  <c r="AB47" i="16"/>
  <c r="X47" i="16"/>
  <c r="V47" i="16"/>
  <c r="S47" i="16"/>
  <c r="N47" i="16"/>
  <c r="P47" i="16" s="1"/>
  <c r="M47" i="16"/>
  <c r="J47" i="16"/>
  <c r="G47" i="16"/>
  <c r="E47" i="16"/>
  <c r="D47" i="16"/>
  <c r="AE46" i="16"/>
  <c r="N46" i="16" s="1"/>
  <c r="AB46" i="16"/>
  <c r="E46" i="16" s="1"/>
  <c r="G46" i="16" s="1"/>
  <c r="X46" i="16"/>
  <c r="V46" i="16"/>
  <c r="S46" i="16"/>
  <c r="M46" i="16"/>
  <c r="J46" i="16"/>
  <c r="D46" i="16"/>
  <c r="AE45" i="16"/>
  <c r="AB45" i="16"/>
  <c r="X45" i="16"/>
  <c r="Y45" i="16" s="1"/>
  <c r="V45" i="16"/>
  <c r="S45" i="16"/>
  <c r="P45" i="16"/>
  <c r="N45" i="16"/>
  <c r="M45" i="16"/>
  <c r="J45" i="16"/>
  <c r="E45" i="16"/>
  <c r="W45" i="16" s="1"/>
  <c r="D45" i="16"/>
  <c r="AE44" i="16"/>
  <c r="AB44" i="16"/>
  <c r="E44" i="16" s="1"/>
  <c r="X44" i="16"/>
  <c r="V44" i="16"/>
  <c r="S44" i="16"/>
  <c r="P44" i="16"/>
  <c r="N44" i="16"/>
  <c r="M44" i="16"/>
  <c r="J44" i="16"/>
  <c r="D44" i="16"/>
  <c r="AU43" i="16"/>
  <c r="AU44" i="16" s="1"/>
  <c r="AU45" i="16" s="1"/>
  <c r="AU46" i="16" s="1"/>
  <c r="AU47" i="16" s="1"/>
  <c r="AU48" i="16" s="1"/>
  <c r="AU49" i="16" s="1"/>
  <c r="AU50" i="16" s="1"/>
  <c r="AU51" i="16" s="1"/>
  <c r="AF43" i="16"/>
  <c r="AF44" i="16" s="1"/>
  <c r="AF45" i="16" s="1"/>
  <c r="AF46" i="16" s="1"/>
  <c r="AF47" i="16" s="1"/>
  <c r="AF48" i="16" s="1"/>
  <c r="AF49" i="16" s="1"/>
  <c r="AF50" i="16" s="1"/>
  <c r="AF51" i="16" s="1"/>
  <c r="AE43" i="16"/>
  <c r="N43" i="16" s="1"/>
  <c r="P43" i="16" s="1"/>
  <c r="AB43" i="16"/>
  <c r="E43" i="16" s="1"/>
  <c r="X43" i="16"/>
  <c r="V43" i="16"/>
  <c r="S43" i="16"/>
  <c r="M43" i="16"/>
  <c r="J43" i="16"/>
  <c r="D43" i="16"/>
  <c r="AO42" i="16"/>
  <c r="AO43" i="16" s="1"/>
  <c r="AO44" i="16" s="1"/>
  <c r="AO45" i="16" s="1"/>
  <c r="AO46" i="16" s="1"/>
  <c r="AO47" i="16" s="1"/>
  <c r="AO48" i="16" s="1"/>
  <c r="AO49" i="16" s="1"/>
  <c r="AO50" i="16" s="1"/>
  <c r="AO51" i="16" s="1"/>
  <c r="AM42" i="16"/>
  <c r="AL42" i="16"/>
  <c r="AL43" i="16" s="1"/>
  <c r="AL44" i="16" s="1"/>
  <c r="AL45" i="16" s="1"/>
  <c r="AL46" i="16" s="1"/>
  <c r="AE42" i="16"/>
  <c r="AB42" i="16"/>
  <c r="X42" i="16"/>
  <c r="W42" i="16"/>
  <c r="Y42" i="16" s="1"/>
  <c r="V42" i="16"/>
  <c r="S42" i="16"/>
  <c r="N42" i="16"/>
  <c r="P42" i="16" s="1"/>
  <c r="M42" i="16"/>
  <c r="J42" i="16"/>
  <c r="E42" i="16"/>
  <c r="G42" i="16" s="1"/>
  <c r="D42" i="16"/>
  <c r="AO41" i="16"/>
  <c r="AN41" i="16"/>
  <c r="AM41" i="16"/>
  <c r="AL41" i="16"/>
  <c r="AJ41" i="16"/>
  <c r="AJ42" i="16" s="1"/>
  <c r="AF41" i="16"/>
  <c r="AF42" i="16" s="1"/>
  <c r="AE41" i="16"/>
  <c r="N41" i="16" s="1"/>
  <c r="P41" i="16" s="1"/>
  <c r="AB41" i="16"/>
  <c r="E41" i="16" s="1"/>
  <c r="X41" i="16"/>
  <c r="V41" i="16"/>
  <c r="S41" i="16"/>
  <c r="M41" i="16"/>
  <c r="J41" i="16"/>
  <c r="D41" i="16"/>
  <c r="AY40" i="16"/>
  <c r="AY41" i="16" s="1"/>
  <c r="AY42" i="16" s="1"/>
  <c r="AY43" i="16" s="1"/>
  <c r="AY44" i="16" s="1"/>
  <c r="AY45" i="16" s="1"/>
  <c r="AY46" i="16" s="1"/>
  <c r="AY47" i="16" s="1"/>
  <c r="AY48" i="16" s="1"/>
  <c r="AY49" i="16" s="1"/>
  <c r="AY50" i="16" s="1"/>
  <c r="AY51" i="16" s="1"/>
  <c r="AX40" i="16"/>
  <c r="AV40" i="16"/>
  <c r="AU40" i="16"/>
  <c r="AU41" i="16" s="1"/>
  <c r="AU42" i="16" s="1"/>
  <c r="AS40" i="16"/>
  <c r="AS41" i="16" s="1"/>
  <c r="AS42" i="16" s="1"/>
  <c r="AP40" i="16"/>
  <c r="AQ40" i="16" s="1"/>
  <c r="AO40" i="16"/>
  <c r="AM40" i="16"/>
  <c r="AL40" i="16"/>
  <c r="AN40" i="16" s="1"/>
  <c r="AJ40" i="16"/>
  <c r="AG40" i="16"/>
  <c r="AF40" i="16"/>
  <c r="AE40" i="16"/>
  <c r="AB40" i="16"/>
  <c r="E40" i="16" s="1"/>
  <c r="W40" i="16" s="1"/>
  <c r="X40" i="16"/>
  <c r="Y40" i="16" s="1"/>
  <c r="V40" i="16"/>
  <c r="S40" i="16"/>
  <c r="N40" i="16"/>
  <c r="M40" i="16"/>
  <c r="J40" i="16"/>
  <c r="D40" i="16"/>
  <c r="AE39" i="16"/>
  <c r="AB39" i="16"/>
  <c r="X39" i="16"/>
  <c r="V39" i="16"/>
  <c r="S39" i="16"/>
  <c r="P39" i="16"/>
  <c r="N39" i="16"/>
  <c r="M39" i="16"/>
  <c r="J39" i="16"/>
  <c r="E39" i="16"/>
  <c r="W39" i="16" s="1"/>
  <c r="D39" i="16"/>
  <c r="AE38" i="16"/>
  <c r="N38" i="16" s="1"/>
  <c r="P38" i="16" s="1"/>
  <c r="AB38" i="16"/>
  <c r="E38" i="16" s="1"/>
  <c r="X38" i="16"/>
  <c r="V38" i="16"/>
  <c r="S38" i="16"/>
  <c r="M38" i="16"/>
  <c r="J38" i="16"/>
  <c r="D38" i="16"/>
  <c r="AU37" i="16"/>
  <c r="AU38" i="16" s="1"/>
  <c r="AU39" i="16" s="1"/>
  <c r="AE37" i="16"/>
  <c r="N37" i="16" s="1"/>
  <c r="P37" i="16" s="1"/>
  <c r="AB37" i="16"/>
  <c r="E37" i="16" s="1"/>
  <c r="X37" i="16"/>
  <c r="V37" i="16"/>
  <c r="S37" i="16"/>
  <c r="M37" i="16"/>
  <c r="J37" i="16"/>
  <c r="G37" i="16"/>
  <c r="D37" i="16"/>
  <c r="AL36" i="16"/>
  <c r="AL37" i="16" s="1"/>
  <c r="AL38" i="16" s="1"/>
  <c r="AL39" i="16" s="1"/>
  <c r="AE36" i="16"/>
  <c r="AB36" i="16"/>
  <c r="X36" i="16"/>
  <c r="V36" i="16"/>
  <c r="S36" i="16"/>
  <c r="N36" i="16"/>
  <c r="P36" i="16" s="1"/>
  <c r="M36" i="16"/>
  <c r="J36" i="16"/>
  <c r="E36" i="16"/>
  <c r="D36" i="16"/>
  <c r="AE35" i="16"/>
  <c r="N35" i="16" s="1"/>
  <c r="P35" i="16" s="1"/>
  <c r="AB35" i="16"/>
  <c r="E35" i="16" s="1"/>
  <c r="G35" i="16" s="1"/>
  <c r="X35" i="16"/>
  <c r="V35" i="16"/>
  <c r="S35" i="16"/>
  <c r="M35" i="16"/>
  <c r="J35" i="16"/>
  <c r="D35" i="16"/>
  <c r="AO34" i="16"/>
  <c r="AO35" i="16" s="1"/>
  <c r="AO36" i="16" s="1"/>
  <c r="AO37" i="16" s="1"/>
  <c r="AO38" i="16" s="1"/>
  <c r="AO39" i="16" s="1"/>
  <c r="AE34" i="16"/>
  <c r="AB34" i="16"/>
  <c r="X34" i="16"/>
  <c r="Y34" i="16" s="1"/>
  <c r="V34" i="16"/>
  <c r="S34" i="16"/>
  <c r="P34" i="16"/>
  <c r="N34" i="16"/>
  <c r="M34" i="16"/>
  <c r="J34" i="16"/>
  <c r="G34" i="16"/>
  <c r="E34" i="16"/>
  <c r="W34" i="16" s="1"/>
  <c r="D34" i="16"/>
  <c r="AE33" i="16"/>
  <c r="AB33" i="16"/>
  <c r="E33" i="16" s="1"/>
  <c r="W33" i="16" s="1"/>
  <c r="X33" i="16"/>
  <c r="V33" i="16"/>
  <c r="S33" i="16"/>
  <c r="P33" i="16"/>
  <c r="N33" i="16"/>
  <c r="M33" i="16"/>
  <c r="J33" i="16"/>
  <c r="G33" i="16"/>
  <c r="D33" i="16"/>
  <c r="AY32" i="16"/>
  <c r="AY33" i="16" s="1"/>
  <c r="AY34" i="16" s="1"/>
  <c r="AY35" i="16" s="1"/>
  <c r="AY36" i="16" s="1"/>
  <c r="AY37" i="16" s="1"/>
  <c r="AY38" i="16" s="1"/>
  <c r="AY39" i="16" s="1"/>
  <c r="AE32" i="16"/>
  <c r="N32" i="16" s="1"/>
  <c r="P32" i="16" s="1"/>
  <c r="AB32" i="16"/>
  <c r="E32" i="16" s="1"/>
  <c r="G32" i="16" s="1"/>
  <c r="X32" i="16"/>
  <c r="Y32" i="16" s="1"/>
  <c r="W32" i="16"/>
  <c r="V32" i="16"/>
  <c r="S32" i="16"/>
  <c r="M32" i="16"/>
  <c r="J32" i="16"/>
  <c r="D32" i="16"/>
  <c r="AS31" i="16"/>
  <c r="AS32" i="16" s="1"/>
  <c r="AR31" i="16"/>
  <c r="AR32" i="16" s="1"/>
  <c r="AR33" i="16" s="1"/>
  <c r="AR34" i="16" s="1"/>
  <c r="AR35" i="16" s="1"/>
  <c r="AR36" i="16" s="1"/>
  <c r="AR37" i="16" s="1"/>
  <c r="AR38" i="16" s="1"/>
  <c r="AR39" i="16" s="1"/>
  <c r="AE31" i="16"/>
  <c r="AB31" i="16"/>
  <c r="X31" i="16"/>
  <c r="V31" i="16"/>
  <c r="S31" i="16"/>
  <c r="P31" i="16"/>
  <c r="N31" i="16"/>
  <c r="M31" i="16"/>
  <c r="J31" i="16"/>
  <c r="E31" i="16"/>
  <c r="W31" i="16" s="1"/>
  <c r="Y31" i="16" s="1"/>
  <c r="D31" i="16"/>
  <c r="AO30" i="16"/>
  <c r="AO31" i="16" s="1"/>
  <c r="AO32" i="16" s="1"/>
  <c r="AO33" i="16" s="1"/>
  <c r="AL30" i="16"/>
  <c r="AL31" i="16" s="1"/>
  <c r="AL32" i="16" s="1"/>
  <c r="AL33" i="16" s="1"/>
  <c r="AL34" i="16" s="1"/>
  <c r="AL35" i="16" s="1"/>
  <c r="AE30" i="16"/>
  <c r="N30" i="16" s="1"/>
  <c r="P30" i="16" s="1"/>
  <c r="AB30" i="16"/>
  <c r="X30" i="16"/>
  <c r="V30" i="16"/>
  <c r="S30" i="16"/>
  <c r="M30" i="16"/>
  <c r="J30" i="16"/>
  <c r="E30" i="16"/>
  <c r="D30" i="16"/>
  <c r="AY29" i="16"/>
  <c r="AY30" i="16" s="1"/>
  <c r="AY31" i="16" s="1"/>
  <c r="AX29" i="16"/>
  <c r="AV29" i="16"/>
  <c r="AU29" i="16"/>
  <c r="AU30" i="16" s="1"/>
  <c r="AU31" i="16" s="1"/>
  <c r="AU32" i="16" s="1"/>
  <c r="AU33" i="16" s="1"/>
  <c r="AU34" i="16" s="1"/>
  <c r="AU35" i="16" s="1"/>
  <c r="AU36" i="16" s="1"/>
  <c r="AS29" i="16"/>
  <c r="AS30" i="16" s="1"/>
  <c r="AG29" i="16"/>
  <c r="AG30" i="16" s="1"/>
  <c r="AF29" i="16"/>
  <c r="AF30" i="16" s="1"/>
  <c r="AF31" i="16" s="1"/>
  <c r="AF32" i="16" s="1"/>
  <c r="AF33" i="16" s="1"/>
  <c r="AF34" i="16" s="1"/>
  <c r="AF35" i="16" s="1"/>
  <c r="AF36" i="16" s="1"/>
  <c r="AF37" i="16" s="1"/>
  <c r="AF38" i="16" s="1"/>
  <c r="AF39" i="16" s="1"/>
  <c r="AE29" i="16"/>
  <c r="AB29" i="16"/>
  <c r="E29" i="16" s="1"/>
  <c r="G29" i="16" s="1"/>
  <c r="X29" i="16"/>
  <c r="V29" i="16"/>
  <c r="S29" i="16"/>
  <c r="N29" i="16"/>
  <c r="M29" i="16"/>
  <c r="J29" i="16"/>
  <c r="D29" i="16"/>
  <c r="AZ28" i="16"/>
  <c r="AY28" i="16"/>
  <c r="AX28" i="16"/>
  <c r="AV28" i="16"/>
  <c r="AU28" i="16"/>
  <c r="AW28" i="16" s="1"/>
  <c r="AT28" i="16"/>
  <c r="AS28" i="16"/>
  <c r="AR28" i="16"/>
  <c r="AR29" i="16" s="1"/>
  <c r="AR30" i="16" s="1"/>
  <c r="AP28" i="16"/>
  <c r="AP29" i="16" s="1"/>
  <c r="AO28" i="16"/>
  <c r="AO29" i="16" s="1"/>
  <c r="AM28" i="16"/>
  <c r="AM29" i="16" s="1"/>
  <c r="AL28" i="16"/>
  <c r="AL29" i="16" s="1"/>
  <c r="AJ28" i="16"/>
  <c r="AJ29" i="16" s="1"/>
  <c r="AH28" i="16"/>
  <c r="AG28" i="16"/>
  <c r="AF28" i="16"/>
  <c r="AE28" i="16"/>
  <c r="AB28" i="16"/>
  <c r="X28" i="16"/>
  <c r="V28" i="16"/>
  <c r="S28" i="16"/>
  <c r="P28" i="16"/>
  <c r="N28" i="16"/>
  <c r="M28" i="16"/>
  <c r="J28" i="16"/>
  <c r="G28" i="16"/>
  <c r="E28" i="16"/>
  <c r="D28" i="16"/>
  <c r="AE27" i="16"/>
  <c r="N27" i="16" s="1"/>
  <c r="P27" i="16" s="1"/>
  <c r="AB27" i="16"/>
  <c r="E27" i="16" s="1"/>
  <c r="X27" i="16"/>
  <c r="V27" i="16"/>
  <c r="S27" i="16"/>
  <c r="M27" i="16"/>
  <c r="J27" i="16"/>
  <c r="D27" i="16"/>
  <c r="AE26" i="16"/>
  <c r="N26" i="16" s="1"/>
  <c r="P26" i="16" s="1"/>
  <c r="AB26" i="16"/>
  <c r="E26" i="16" s="1"/>
  <c r="X26" i="16"/>
  <c r="V26" i="16"/>
  <c r="S26" i="16"/>
  <c r="M26" i="16"/>
  <c r="J26" i="16"/>
  <c r="G26" i="16"/>
  <c r="D26" i="16"/>
  <c r="AE25" i="16"/>
  <c r="AB25" i="16"/>
  <c r="X25" i="16"/>
  <c r="V25" i="16"/>
  <c r="S25" i="16"/>
  <c r="N25" i="16"/>
  <c r="P25" i="16" s="1"/>
  <c r="M25" i="16"/>
  <c r="J25" i="16"/>
  <c r="G25" i="16"/>
  <c r="E25" i="16"/>
  <c r="D25" i="16"/>
  <c r="AE24" i="16"/>
  <c r="N24" i="16" s="1"/>
  <c r="P24" i="16" s="1"/>
  <c r="AB24" i="16"/>
  <c r="E24" i="16" s="1"/>
  <c r="G24" i="16" s="1"/>
  <c r="X24" i="16"/>
  <c r="V24" i="16"/>
  <c r="S24" i="16"/>
  <c r="M24" i="16"/>
  <c r="J24" i="16"/>
  <c r="D24" i="16"/>
  <c r="AE23" i="16"/>
  <c r="AB23" i="16"/>
  <c r="X23" i="16"/>
  <c r="V23" i="16"/>
  <c r="S23" i="16"/>
  <c r="P23" i="16"/>
  <c r="N23" i="16"/>
  <c r="M23" i="16"/>
  <c r="J23" i="16"/>
  <c r="G23" i="16"/>
  <c r="E23" i="16"/>
  <c r="D23" i="16"/>
  <c r="AE22" i="16"/>
  <c r="AB22" i="16"/>
  <c r="E22" i="16" s="1"/>
  <c r="X22" i="16"/>
  <c r="V22" i="16"/>
  <c r="S22" i="16"/>
  <c r="P22" i="16"/>
  <c r="N22" i="16"/>
  <c r="M22" i="16"/>
  <c r="J22" i="16"/>
  <c r="D22" i="16"/>
  <c r="AE21" i="16"/>
  <c r="N21" i="16" s="1"/>
  <c r="AB21" i="16"/>
  <c r="E21" i="16" s="1"/>
  <c r="G21" i="16" s="1"/>
  <c r="X21" i="16"/>
  <c r="Y21" i="16" s="1"/>
  <c r="W21" i="16"/>
  <c r="V21" i="16"/>
  <c r="S21" i="16"/>
  <c r="P21" i="16"/>
  <c r="M21" i="16"/>
  <c r="J21" i="16"/>
  <c r="D21" i="16"/>
  <c r="AE20" i="16"/>
  <c r="AB20" i="16"/>
  <c r="X20" i="16"/>
  <c r="W20" i="16"/>
  <c r="Y20" i="16" s="1"/>
  <c r="V20" i="16"/>
  <c r="S20" i="16"/>
  <c r="N20" i="16"/>
  <c r="P20" i="16" s="1"/>
  <c r="M20" i="16"/>
  <c r="J20" i="16"/>
  <c r="E20" i="16"/>
  <c r="G20" i="16" s="1"/>
  <c r="D20" i="16"/>
  <c r="AI19" i="16"/>
  <c r="AE19" i="16"/>
  <c r="N19" i="16" s="1"/>
  <c r="P19" i="16" s="1"/>
  <c r="AB19" i="16"/>
  <c r="E19" i="16" s="1"/>
  <c r="X19" i="16"/>
  <c r="V19" i="16"/>
  <c r="S19" i="16"/>
  <c r="M19" i="16"/>
  <c r="J19" i="16"/>
  <c r="D19" i="16"/>
  <c r="AX18" i="16"/>
  <c r="AX19" i="16" s="1"/>
  <c r="AX20" i="16" s="1"/>
  <c r="AX21" i="16" s="1"/>
  <c r="AU18" i="16"/>
  <c r="AU19" i="16" s="1"/>
  <c r="AU20" i="16" s="1"/>
  <c r="AU21" i="16" s="1"/>
  <c r="AU22" i="16" s="1"/>
  <c r="AU23" i="16" s="1"/>
  <c r="AU24" i="16" s="1"/>
  <c r="AU25" i="16" s="1"/>
  <c r="AU26" i="16" s="1"/>
  <c r="AU27" i="16" s="1"/>
  <c r="AS18" i="16"/>
  <c r="AF18" i="16"/>
  <c r="AF19" i="16" s="1"/>
  <c r="AF20" i="16" s="1"/>
  <c r="AF21" i="16" s="1"/>
  <c r="AF22" i="16" s="1"/>
  <c r="AF23" i="16" s="1"/>
  <c r="AF24" i="16" s="1"/>
  <c r="AF25" i="16" s="1"/>
  <c r="AF26" i="16" s="1"/>
  <c r="AF27" i="16" s="1"/>
  <c r="AE18" i="16"/>
  <c r="AB18" i="16"/>
  <c r="E18" i="16" s="1"/>
  <c r="G18" i="16" s="1"/>
  <c r="X18" i="16"/>
  <c r="Y18" i="16" s="1"/>
  <c r="W18" i="16"/>
  <c r="V18" i="16"/>
  <c r="S18" i="16"/>
  <c r="P18" i="16"/>
  <c r="N18" i="16"/>
  <c r="M18" i="16"/>
  <c r="J18" i="16"/>
  <c r="D18" i="16"/>
  <c r="AU17" i="16"/>
  <c r="AS17" i="16"/>
  <c r="AP17" i="16"/>
  <c r="AP18" i="16" s="1"/>
  <c r="AO17" i="16"/>
  <c r="AE17" i="16"/>
  <c r="AB17" i="16"/>
  <c r="X17" i="16"/>
  <c r="Y17" i="16" s="1"/>
  <c r="V17" i="16"/>
  <c r="S17" i="16"/>
  <c r="P17" i="16"/>
  <c r="N17" i="16"/>
  <c r="M17" i="16"/>
  <c r="J17" i="16"/>
  <c r="G17" i="16"/>
  <c r="E17" i="16"/>
  <c r="W17" i="16" s="1"/>
  <c r="D17" i="16"/>
  <c r="AY16" i="16"/>
  <c r="AY17" i="16" s="1"/>
  <c r="AY18" i="16" s="1"/>
  <c r="AX16" i="16"/>
  <c r="AX17" i="16" s="1"/>
  <c r="AV16" i="16"/>
  <c r="AW16" i="16" s="1"/>
  <c r="AU16" i="16"/>
  <c r="AS16" i="16"/>
  <c r="AP16" i="16"/>
  <c r="AQ16" i="16" s="1"/>
  <c r="AO16" i="16"/>
  <c r="AM16" i="16"/>
  <c r="AL16" i="16"/>
  <c r="AL17" i="16" s="1"/>
  <c r="AL18" i="16" s="1"/>
  <c r="AL19" i="16" s="1"/>
  <c r="AL20" i="16" s="1"/>
  <c r="AL21" i="16" s="1"/>
  <c r="AL22" i="16" s="1"/>
  <c r="AL23" i="16" s="1"/>
  <c r="AL24" i="16" s="1"/>
  <c r="AL25" i="16" s="1"/>
  <c r="AL26" i="16" s="1"/>
  <c r="AL27" i="16" s="1"/>
  <c r="AJ16" i="16"/>
  <c r="AK16" i="16" s="1"/>
  <c r="AI16" i="16"/>
  <c r="AI17" i="16" s="1"/>
  <c r="AI18" i="16" s="1"/>
  <c r="AH16" i="16"/>
  <c r="AG16" i="16"/>
  <c r="AG17" i="16" s="1"/>
  <c r="AF16" i="16"/>
  <c r="AF17" i="16" s="1"/>
  <c r="AE16" i="16"/>
  <c r="N16" i="16" s="1"/>
  <c r="AB16" i="16"/>
  <c r="E16" i="16" s="1"/>
  <c r="X16" i="16"/>
  <c r="V16" i="16"/>
  <c r="S16" i="16"/>
  <c r="M16" i="16"/>
  <c r="J16" i="16"/>
  <c r="D16" i="16"/>
  <c r="AE15" i="16"/>
  <c r="N15" i="16" s="1"/>
  <c r="P15" i="16" s="1"/>
  <c r="AB15" i="16"/>
  <c r="E15" i="16" s="1"/>
  <c r="X15" i="16"/>
  <c r="V15" i="16"/>
  <c r="S15" i="16"/>
  <c r="M15" i="16"/>
  <c r="J15" i="16"/>
  <c r="D15" i="16"/>
  <c r="AL14" i="16"/>
  <c r="AL15" i="16" s="1"/>
  <c r="AE14" i="16"/>
  <c r="AB14" i="16"/>
  <c r="X14" i="16"/>
  <c r="V14" i="16"/>
  <c r="S14" i="16"/>
  <c r="N14" i="16"/>
  <c r="P14" i="16" s="1"/>
  <c r="M14" i="16"/>
  <c r="J14" i="16"/>
  <c r="E14" i="16"/>
  <c r="W14" i="16" s="1"/>
  <c r="D14" i="16"/>
  <c r="AF13" i="16"/>
  <c r="AF14" i="16" s="1"/>
  <c r="AF15" i="16" s="1"/>
  <c r="AE13" i="16"/>
  <c r="N13" i="16" s="1"/>
  <c r="P13" i="16" s="1"/>
  <c r="AB13" i="16"/>
  <c r="E13" i="16" s="1"/>
  <c r="G13" i="16" s="1"/>
  <c r="X13" i="16"/>
  <c r="W13" i="16"/>
  <c r="V13" i="16"/>
  <c r="S13" i="16"/>
  <c r="M13" i="16"/>
  <c r="J13" i="16"/>
  <c r="D13" i="16"/>
  <c r="AE12" i="16"/>
  <c r="AB12" i="16"/>
  <c r="X12" i="16"/>
  <c r="V12" i="16"/>
  <c r="S12" i="16"/>
  <c r="N12" i="16"/>
  <c r="P12" i="16" s="1"/>
  <c r="M12" i="16"/>
  <c r="J12" i="16"/>
  <c r="G12" i="16"/>
  <c r="E12" i="16"/>
  <c r="D12" i="16"/>
  <c r="AE11" i="16"/>
  <c r="AB11" i="16"/>
  <c r="E11" i="16" s="1"/>
  <c r="W11" i="16" s="1"/>
  <c r="X11" i="16"/>
  <c r="Y11" i="16" s="1"/>
  <c r="V11" i="16"/>
  <c r="S11" i="16"/>
  <c r="P11" i="16"/>
  <c r="N11" i="16"/>
  <c r="M11" i="16"/>
  <c r="J11" i="16"/>
  <c r="G11" i="16"/>
  <c r="D11" i="16"/>
  <c r="AF10" i="16"/>
  <c r="AF11" i="16" s="1"/>
  <c r="AF12" i="16" s="1"/>
  <c r="AE10" i="16"/>
  <c r="N10" i="16" s="1"/>
  <c r="AB10" i="16"/>
  <c r="E10" i="16" s="1"/>
  <c r="G10" i="16" s="1"/>
  <c r="X10" i="16"/>
  <c r="V10" i="16"/>
  <c r="S10" i="16"/>
  <c r="M10" i="16"/>
  <c r="J10" i="16"/>
  <c r="D10" i="16"/>
  <c r="AE9" i="16"/>
  <c r="AB9" i="16"/>
  <c r="X9" i="16"/>
  <c r="W9" i="16"/>
  <c r="Y9" i="16" s="1"/>
  <c r="V9" i="16"/>
  <c r="S9" i="16"/>
  <c r="N9" i="16"/>
  <c r="P9" i="16" s="1"/>
  <c r="M9" i="16"/>
  <c r="J9" i="16"/>
  <c r="G9" i="16"/>
  <c r="E9" i="16"/>
  <c r="D9" i="16"/>
  <c r="AG8" i="16"/>
  <c r="AG9" i="16" s="1"/>
  <c r="AE8" i="16"/>
  <c r="N8" i="16" s="1"/>
  <c r="P8" i="16" s="1"/>
  <c r="AB8" i="16"/>
  <c r="E8" i="16" s="1"/>
  <c r="X8" i="16"/>
  <c r="V8" i="16"/>
  <c r="S8" i="16"/>
  <c r="M8" i="16"/>
  <c r="J8" i="16"/>
  <c r="D8" i="16"/>
  <c r="AG7" i="16"/>
  <c r="AF7" i="16"/>
  <c r="AF8" i="16" s="1"/>
  <c r="AF9" i="16" s="1"/>
  <c r="AE7" i="16"/>
  <c r="AB7" i="16"/>
  <c r="E7" i="16" s="1"/>
  <c r="G7" i="16" s="1"/>
  <c r="X7" i="16"/>
  <c r="V7" i="16"/>
  <c r="S7" i="16"/>
  <c r="N7" i="16"/>
  <c r="W7" i="16" s="1"/>
  <c r="M7" i="16"/>
  <c r="J7" i="16"/>
  <c r="D7" i="16"/>
  <c r="AU6" i="16"/>
  <c r="AU7" i="16" s="1"/>
  <c r="AU8" i="16" s="1"/>
  <c r="AU9" i="16" s="1"/>
  <c r="AU10" i="16" s="1"/>
  <c r="AU11" i="16" s="1"/>
  <c r="AU12" i="16" s="1"/>
  <c r="AU13" i="16" s="1"/>
  <c r="AU14" i="16" s="1"/>
  <c r="AU15" i="16" s="1"/>
  <c r="AR6" i="16"/>
  <c r="AR7" i="16" s="1"/>
  <c r="AR8" i="16" s="1"/>
  <c r="AR9" i="16" s="1"/>
  <c r="AR10" i="16" s="1"/>
  <c r="AR11" i="16" s="1"/>
  <c r="AR12" i="16" s="1"/>
  <c r="AR13" i="16" s="1"/>
  <c r="AR14" i="16" s="1"/>
  <c r="AR15" i="16" s="1"/>
  <c r="AQ6" i="16"/>
  <c r="AP6" i="16"/>
  <c r="AP7" i="16" s="1"/>
  <c r="AO6" i="16"/>
  <c r="AO7" i="16" s="1"/>
  <c r="AO8" i="16" s="1"/>
  <c r="AO9" i="16" s="1"/>
  <c r="AO10" i="16" s="1"/>
  <c r="AO11" i="16" s="1"/>
  <c r="AO12" i="16" s="1"/>
  <c r="AO13" i="16" s="1"/>
  <c r="AO14" i="16" s="1"/>
  <c r="AO15" i="16" s="1"/>
  <c r="AL6" i="16"/>
  <c r="AL7" i="16" s="1"/>
  <c r="AL8" i="16" s="1"/>
  <c r="AL9" i="16" s="1"/>
  <c r="AL10" i="16" s="1"/>
  <c r="AL11" i="16" s="1"/>
  <c r="AL12" i="16" s="1"/>
  <c r="AL13" i="16" s="1"/>
  <c r="AE6" i="16"/>
  <c r="AB6" i="16"/>
  <c r="X6" i="16"/>
  <c r="Y6" i="16" s="1"/>
  <c r="V6" i="16"/>
  <c r="S6" i="16"/>
  <c r="P6" i="16"/>
  <c r="N6" i="16"/>
  <c r="M6" i="16"/>
  <c r="J6" i="16"/>
  <c r="G6" i="16"/>
  <c r="E6" i="16"/>
  <c r="W6" i="16" s="1"/>
  <c r="D6" i="16"/>
  <c r="AY5" i="16"/>
  <c r="AY6" i="16" s="1"/>
  <c r="AY7" i="16" s="1"/>
  <c r="AY8" i="16" s="1"/>
  <c r="AY9" i="16" s="1"/>
  <c r="AY10" i="16" s="1"/>
  <c r="AY11" i="16" s="1"/>
  <c r="AY12" i="16" s="1"/>
  <c r="AY13" i="16" s="1"/>
  <c r="AY14" i="16" s="1"/>
  <c r="AY15" i="16" s="1"/>
  <c r="AX5" i="16"/>
  <c r="AO5" i="16"/>
  <c r="AM5" i="16"/>
  <c r="AL5" i="16"/>
  <c r="AJ5" i="16"/>
  <c r="AI5" i="16"/>
  <c r="AI6" i="16" s="1"/>
  <c r="AI7" i="16" s="1"/>
  <c r="AI8" i="16" s="1"/>
  <c r="AI9" i="16" s="1"/>
  <c r="AI10" i="16" s="1"/>
  <c r="AI11" i="16" s="1"/>
  <c r="AI12" i="16" s="1"/>
  <c r="AI13" i="16" s="1"/>
  <c r="AH5" i="16"/>
  <c r="AG5" i="16"/>
  <c r="AG6" i="16" s="1"/>
  <c r="AF5" i="16"/>
  <c r="AF6" i="16" s="1"/>
  <c r="AE5" i="16"/>
  <c r="N5" i="16" s="1"/>
  <c r="P5" i="16" s="1"/>
  <c r="AB5" i="16"/>
  <c r="E5" i="16" s="1"/>
  <c r="X5" i="16"/>
  <c r="V5" i="16"/>
  <c r="S5" i="16"/>
  <c r="M5" i="16"/>
  <c r="J5" i="16"/>
  <c r="D5" i="16"/>
  <c r="AZ4" i="16"/>
  <c r="AY4" i="16"/>
  <c r="AX4" i="16"/>
  <c r="AV4" i="16"/>
  <c r="AU4" i="16"/>
  <c r="AU5" i="16" s="1"/>
  <c r="AS4" i="16"/>
  <c r="AS5" i="16" s="1"/>
  <c r="AQ4" i="16"/>
  <c r="AP4" i="16"/>
  <c r="AP5" i="16" s="1"/>
  <c r="AQ5" i="16" s="1"/>
  <c r="AO4" i="16"/>
  <c r="AN4" i="16"/>
  <c r="AM4" i="16"/>
  <c r="AL4" i="16"/>
  <c r="AJ4" i="16"/>
  <c r="AH4" i="16"/>
  <c r="AG4" i="16"/>
  <c r="AF4" i="16"/>
  <c r="AE4" i="16"/>
  <c r="AB4" i="16"/>
  <c r="E4" i="16" s="1"/>
  <c r="AI4" i="16" s="1"/>
  <c r="X4" i="16"/>
  <c r="W4" i="16"/>
  <c r="V4" i="16"/>
  <c r="S4" i="16"/>
  <c r="P4" i="16"/>
  <c r="N4" i="16"/>
  <c r="AR4" i="16" s="1"/>
  <c r="AR5" i="16" s="1"/>
  <c r="M4" i="16"/>
  <c r="J4" i="16"/>
  <c r="G4" i="16"/>
  <c r="D4" i="16"/>
  <c r="AP436" i="15"/>
  <c r="AO436" i="15"/>
  <c r="AN436" i="15"/>
  <c r="AM436" i="15"/>
  <c r="AL436" i="15"/>
  <c r="AK436" i="15"/>
  <c r="AJ436" i="15"/>
  <c r="AI436" i="15"/>
  <c r="AH436" i="15"/>
  <c r="AG436" i="15"/>
  <c r="AF436" i="15"/>
  <c r="AE436" i="15"/>
  <c r="AD436" i="15"/>
  <c r="AC436" i="15"/>
  <c r="AB436" i="15"/>
  <c r="AA436" i="15"/>
  <c r="Z436" i="15"/>
  <c r="Y436" i="15"/>
  <c r="X436" i="15"/>
  <c r="W436" i="15"/>
  <c r="V436" i="15"/>
  <c r="U436" i="15"/>
  <c r="T436" i="15"/>
  <c r="T449" i="17" s="1"/>
  <c r="S436" i="15"/>
  <c r="S449" i="17" s="1"/>
  <c r="R436" i="15"/>
  <c r="R449" i="17" s="1"/>
  <c r="L436" i="15"/>
  <c r="AS436" i="15" s="1"/>
  <c r="BC435" i="15"/>
  <c r="AY435" i="15"/>
  <c r="AS435" i="15"/>
  <c r="P435" i="15"/>
  <c r="BA435" i="15" s="1"/>
  <c r="O435" i="15"/>
  <c r="N435" i="15"/>
  <c r="AW435" i="15" s="1"/>
  <c r="M435" i="15"/>
  <c r="AU435" i="15" s="1"/>
  <c r="K435" i="15"/>
  <c r="K403" i="15" s="1"/>
  <c r="J435" i="15"/>
  <c r="J403" i="15" s="1"/>
  <c r="I435" i="15"/>
  <c r="I403" i="15" s="1"/>
  <c r="H435" i="15"/>
  <c r="G435" i="15"/>
  <c r="F435" i="15"/>
  <c r="F403" i="15" s="1"/>
  <c r="E435" i="15"/>
  <c r="D435" i="15"/>
  <c r="C435" i="15"/>
  <c r="B435" i="15"/>
  <c r="BC434" i="15"/>
  <c r="BA434" i="15"/>
  <c r="AU434" i="15"/>
  <c r="AS434" i="15"/>
  <c r="P434" i="15"/>
  <c r="O434" i="15"/>
  <c r="AY434" i="15" s="1"/>
  <c r="N434" i="15"/>
  <c r="AW434" i="15" s="1"/>
  <c r="M434" i="15"/>
  <c r="K434" i="15"/>
  <c r="J434" i="15"/>
  <c r="I434" i="15"/>
  <c r="I402" i="15" s="1"/>
  <c r="H434" i="15"/>
  <c r="H402" i="15" s="1"/>
  <c r="G434" i="15"/>
  <c r="G402" i="15" s="1"/>
  <c r="F434" i="15"/>
  <c r="E434" i="15"/>
  <c r="E402" i="15" s="1"/>
  <c r="D434" i="15"/>
  <c r="C434" i="15"/>
  <c r="C402" i="15" s="1"/>
  <c r="B434" i="15"/>
  <c r="BC433" i="15"/>
  <c r="AY433" i="15"/>
  <c r="AW433" i="15"/>
  <c r="AS433" i="15"/>
  <c r="P433" i="15"/>
  <c r="BA433" i="15" s="1"/>
  <c r="O433" i="15"/>
  <c r="N433" i="15"/>
  <c r="M433" i="15"/>
  <c r="AU433" i="15" s="1"/>
  <c r="K433" i="15"/>
  <c r="J433" i="15"/>
  <c r="I433" i="15"/>
  <c r="H433" i="15"/>
  <c r="H401" i="15" s="1"/>
  <c r="G433" i="15"/>
  <c r="F433" i="15"/>
  <c r="F401" i="15" s="1"/>
  <c r="E433" i="15"/>
  <c r="D433" i="15"/>
  <c r="C433" i="15"/>
  <c r="B433" i="15"/>
  <c r="BC432" i="15"/>
  <c r="AY432" i="15"/>
  <c r="AU432" i="15"/>
  <c r="AS432" i="15"/>
  <c r="P432" i="15"/>
  <c r="BA432" i="15" s="1"/>
  <c r="O432" i="15"/>
  <c r="N432" i="15"/>
  <c r="AW432" i="15" s="1"/>
  <c r="M432" i="15"/>
  <c r="K432" i="15"/>
  <c r="J432" i="15"/>
  <c r="I432" i="15"/>
  <c r="I400" i="15" s="1"/>
  <c r="H432" i="15"/>
  <c r="G432" i="15"/>
  <c r="F432" i="15"/>
  <c r="E432" i="15"/>
  <c r="E400" i="15" s="1"/>
  <c r="D432" i="15"/>
  <c r="C432" i="15"/>
  <c r="C400" i="15" s="1"/>
  <c r="B432" i="15"/>
  <c r="B400" i="15" s="1"/>
  <c r="BC431" i="15"/>
  <c r="BA431" i="15"/>
  <c r="AY431" i="15"/>
  <c r="AU431" i="15"/>
  <c r="AS431" i="15"/>
  <c r="P431" i="15"/>
  <c r="O431" i="15"/>
  <c r="N431" i="15"/>
  <c r="AW431" i="15" s="1"/>
  <c r="M431" i="15"/>
  <c r="K431" i="15"/>
  <c r="J431" i="15"/>
  <c r="I431" i="15"/>
  <c r="H431" i="15"/>
  <c r="G431" i="15"/>
  <c r="G399" i="15" s="1"/>
  <c r="F431" i="15"/>
  <c r="E431" i="15"/>
  <c r="D431" i="15"/>
  <c r="C431" i="15"/>
  <c r="B431" i="15"/>
  <c r="B399" i="15" s="1"/>
  <c r="BC430" i="15"/>
  <c r="BA430" i="15"/>
  <c r="AY430" i="15"/>
  <c r="AW430" i="15"/>
  <c r="AU430" i="15"/>
  <c r="AS430" i="15"/>
  <c r="P430" i="15"/>
  <c r="O430" i="15"/>
  <c r="N430" i="15"/>
  <c r="M430" i="15"/>
  <c r="K430" i="15"/>
  <c r="J430" i="15"/>
  <c r="I430" i="15"/>
  <c r="H430" i="15"/>
  <c r="G430" i="15"/>
  <c r="F430" i="15"/>
  <c r="E430" i="15"/>
  <c r="D430" i="15"/>
  <c r="C430" i="15"/>
  <c r="B430" i="15"/>
  <c r="BC429" i="15"/>
  <c r="AY429" i="15"/>
  <c r="AW429" i="15"/>
  <c r="AU429" i="15"/>
  <c r="AS429" i="15"/>
  <c r="P429" i="15"/>
  <c r="BA429" i="15" s="1"/>
  <c r="O429" i="15"/>
  <c r="N429" i="15"/>
  <c r="M429" i="15"/>
  <c r="L429" i="15"/>
  <c r="K429" i="15"/>
  <c r="J429" i="15"/>
  <c r="I429" i="15"/>
  <c r="H429" i="15"/>
  <c r="G429" i="15"/>
  <c r="F429" i="15"/>
  <c r="E429" i="15"/>
  <c r="D429" i="15"/>
  <c r="C429" i="15"/>
  <c r="B429" i="15"/>
  <c r="B397" i="15" s="1"/>
  <c r="BC428" i="15"/>
  <c r="AW428" i="15"/>
  <c r="AU428" i="15"/>
  <c r="AS428" i="15"/>
  <c r="P428" i="15"/>
  <c r="BA428" i="15" s="1"/>
  <c r="O428" i="15"/>
  <c r="N428" i="15"/>
  <c r="M428" i="15"/>
  <c r="L428" i="15"/>
  <c r="K428" i="15"/>
  <c r="J428" i="15"/>
  <c r="I428" i="15"/>
  <c r="H428" i="15"/>
  <c r="G428" i="15"/>
  <c r="F428" i="15"/>
  <c r="E428" i="15"/>
  <c r="D428" i="15"/>
  <c r="C428" i="15"/>
  <c r="C396" i="15" s="1"/>
  <c r="B428" i="15"/>
  <c r="BC427" i="15"/>
  <c r="AU427" i="15"/>
  <c r="AS427" i="15"/>
  <c r="P427" i="15"/>
  <c r="BA427" i="15" s="1"/>
  <c r="O427" i="15"/>
  <c r="AY427" i="15" s="1"/>
  <c r="N427" i="15"/>
  <c r="M427" i="15"/>
  <c r="L427" i="15"/>
  <c r="K427" i="15"/>
  <c r="J427" i="15"/>
  <c r="I427" i="15"/>
  <c r="H427" i="15"/>
  <c r="G427" i="15"/>
  <c r="F427" i="15"/>
  <c r="E427" i="15"/>
  <c r="D427" i="15"/>
  <c r="C427" i="15"/>
  <c r="B427" i="15"/>
  <c r="B395" i="15" s="1"/>
  <c r="AU426" i="15"/>
  <c r="AS426" i="15"/>
  <c r="Q426" i="15"/>
  <c r="P426" i="15"/>
  <c r="BA426" i="15" s="1"/>
  <c r="O426" i="15"/>
  <c r="AY426" i="15" s="1"/>
  <c r="N426" i="15"/>
  <c r="M426" i="15"/>
  <c r="L426" i="15"/>
  <c r="K426" i="15"/>
  <c r="J426" i="15"/>
  <c r="I426" i="15"/>
  <c r="H426" i="15"/>
  <c r="G426" i="15"/>
  <c r="F426" i="15"/>
  <c r="E426" i="15"/>
  <c r="D426" i="15"/>
  <c r="C426" i="15"/>
  <c r="B426" i="15"/>
  <c r="AU425" i="15"/>
  <c r="AS425" i="15"/>
  <c r="Q425" i="15"/>
  <c r="BC425" i="15" s="1"/>
  <c r="P425" i="15"/>
  <c r="BA425" i="15" s="1"/>
  <c r="O425" i="15"/>
  <c r="AY425" i="15" s="1"/>
  <c r="N425" i="15"/>
  <c r="M425" i="15"/>
  <c r="L425" i="15"/>
  <c r="K425" i="15"/>
  <c r="J425" i="15"/>
  <c r="I425" i="15"/>
  <c r="H425" i="15"/>
  <c r="G425" i="15"/>
  <c r="F425" i="15"/>
  <c r="E425" i="15"/>
  <c r="D425" i="15"/>
  <c r="C425" i="15"/>
  <c r="C393" i="15" s="1"/>
  <c r="B425" i="15"/>
  <c r="B393" i="15" s="1"/>
  <c r="AW424" i="15"/>
  <c r="AU424" i="15"/>
  <c r="AS424" i="15"/>
  <c r="Q424" i="15"/>
  <c r="P424" i="15"/>
  <c r="O424" i="15"/>
  <c r="N424" i="15"/>
  <c r="M424" i="15"/>
  <c r="L424" i="15"/>
  <c r="K424" i="15"/>
  <c r="J424" i="15"/>
  <c r="I424" i="15"/>
  <c r="H424" i="15"/>
  <c r="G424" i="15"/>
  <c r="F424" i="15"/>
  <c r="E424" i="15"/>
  <c r="D424" i="15"/>
  <c r="C424" i="15"/>
  <c r="B424" i="15"/>
  <c r="AP423" i="15"/>
  <c r="AO423" i="15"/>
  <c r="AN423" i="15"/>
  <c r="AM423" i="15"/>
  <c r="AL423" i="15"/>
  <c r="AK423" i="15"/>
  <c r="AJ423" i="15"/>
  <c r="AI423" i="15"/>
  <c r="AH423" i="15"/>
  <c r="AG423" i="15"/>
  <c r="AF423" i="15"/>
  <c r="AE423" i="15"/>
  <c r="AD423" i="15"/>
  <c r="AC423" i="15"/>
  <c r="AB423" i="15"/>
  <c r="AA423" i="15"/>
  <c r="Z423" i="15"/>
  <c r="Y423" i="15"/>
  <c r="X423" i="15"/>
  <c r="W423" i="15"/>
  <c r="V423" i="15"/>
  <c r="U423" i="15"/>
  <c r="T423" i="15"/>
  <c r="S423" i="15"/>
  <c r="R423" i="15"/>
  <c r="Q423" i="15"/>
  <c r="P423" i="15"/>
  <c r="O423" i="15"/>
  <c r="N423" i="15"/>
  <c r="M423" i="15"/>
  <c r="L423" i="15"/>
  <c r="K423" i="15"/>
  <c r="J423" i="15"/>
  <c r="I423" i="15"/>
  <c r="H423" i="15"/>
  <c r="G423" i="15"/>
  <c r="F423" i="15"/>
  <c r="E423" i="15"/>
  <c r="D423" i="15"/>
  <c r="C423" i="15"/>
  <c r="B423" i="15"/>
  <c r="AP420" i="15"/>
  <c r="AO420" i="15"/>
  <c r="AN420" i="15"/>
  <c r="AN26" i="15" s="1"/>
  <c r="AM420" i="15"/>
  <c r="AL420" i="15"/>
  <c r="AL26" i="15" s="1"/>
  <c r="AK420" i="15"/>
  <c r="AJ420" i="15"/>
  <c r="AJ26" i="15" s="1"/>
  <c r="AI420" i="15"/>
  <c r="AH420" i="15"/>
  <c r="AG420" i="15"/>
  <c r="AF420" i="15"/>
  <c r="AE420" i="15"/>
  <c r="AD420" i="15"/>
  <c r="AC420" i="15"/>
  <c r="AB420" i="15"/>
  <c r="AA420" i="15"/>
  <c r="Z420" i="15"/>
  <c r="Y420" i="15"/>
  <c r="X420" i="15"/>
  <c r="W420" i="15"/>
  <c r="V420" i="15"/>
  <c r="U420" i="15"/>
  <c r="T420" i="15"/>
  <c r="S420" i="15"/>
  <c r="R420" i="15"/>
  <c r="R26" i="15" s="1"/>
  <c r="Q420" i="15"/>
  <c r="BC420" i="15" s="1"/>
  <c r="N420" i="15"/>
  <c r="C420" i="15"/>
  <c r="BC419" i="15"/>
  <c r="BA419" i="15"/>
  <c r="AY419" i="15"/>
  <c r="AW419" i="15"/>
  <c r="AU419" i="15"/>
  <c r="AS419" i="15"/>
  <c r="P419" i="15"/>
  <c r="O419" i="15"/>
  <c r="O403" i="15" s="1"/>
  <c r="AY403" i="15" s="1"/>
  <c r="N419" i="15"/>
  <c r="M419" i="15"/>
  <c r="L419" i="15"/>
  <c r="K419" i="15"/>
  <c r="J419" i="15"/>
  <c r="I419" i="15"/>
  <c r="H419" i="15"/>
  <c r="G419" i="15"/>
  <c r="G403" i="15" s="1"/>
  <c r="F419" i="15"/>
  <c r="E419" i="15"/>
  <c r="E403" i="15" s="1"/>
  <c r="D419" i="15"/>
  <c r="C419" i="15"/>
  <c r="B419" i="15"/>
  <c r="BC418" i="15"/>
  <c r="AW418" i="15"/>
  <c r="AU418" i="15"/>
  <c r="AS418" i="15"/>
  <c r="P418" i="15"/>
  <c r="BA418" i="15" s="1"/>
  <c r="O418" i="15"/>
  <c r="AY418" i="15" s="1"/>
  <c r="N418" i="15"/>
  <c r="M418" i="15"/>
  <c r="L418" i="15"/>
  <c r="K418" i="15"/>
  <c r="J418" i="15"/>
  <c r="I418" i="15"/>
  <c r="H418" i="15"/>
  <c r="G418" i="15"/>
  <c r="F418" i="15"/>
  <c r="E418" i="15"/>
  <c r="D418" i="15"/>
  <c r="D402" i="15" s="1"/>
  <c r="C418" i="15"/>
  <c r="B418" i="15"/>
  <c r="BC417" i="15"/>
  <c r="BA417" i="15"/>
  <c r="AW417" i="15"/>
  <c r="AS417" i="15"/>
  <c r="P417" i="15"/>
  <c r="O417" i="15"/>
  <c r="N417" i="15"/>
  <c r="M417" i="15"/>
  <c r="M401" i="15" s="1"/>
  <c r="AU401" i="15" s="1"/>
  <c r="L417" i="15"/>
  <c r="L401" i="15" s="1"/>
  <c r="K417" i="15"/>
  <c r="J417" i="15"/>
  <c r="I417" i="15"/>
  <c r="H417" i="15"/>
  <c r="G417" i="15"/>
  <c r="F417" i="15"/>
  <c r="E417" i="15"/>
  <c r="D417" i="15"/>
  <c r="C417" i="15"/>
  <c r="B417" i="15"/>
  <c r="BC416" i="15"/>
  <c r="BA416" i="15"/>
  <c r="AY416" i="15"/>
  <c r="AU416" i="15"/>
  <c r="AS416" i="15"/>
  <c r="P416" i="15"/>
  <c r="P400" i="15" s="1"/>
  <c r="O416" i="15"/>
  <c r="O400" i="15" s="1"/>
  <c r="N416" i="15"/>
  <c r="M416" i="15"/>
  <c r="M400" i="15" s="1"/>
  <c r="AU400" i="15" s="1"/>
  <c r="L416" i="15"/>
  <c r="L400" i="15" s="1"/>
  <c r="K416" i="15"/>
  <c r="K400" i="15" s="1"/>
  <c r="J416" i="15"/>
  <c r="I416" i="15"/>
  <c r="H416" i="15"/>
  <c r="H400" i="15" s="1"/>
  <c r="G416" i="15"/>
  <c r="F416" i="15"/>
  <c r="E416" i="15"/>
  <c r="D416" i="15"/>
  <c r="C416" i="15"/>
  <c r="B416" i="15"/>
  <c r="BC415" i="15"/>
  <c r="AW415" i="15"/>
  <c r="AS415" i="15"/>
  <c r="P415" i="15"/>
  <c r="O415" i="15"/>
  <c r="N415" i="15"/>
  <c r="N399" i="15" s="1"/>
  <c r="AW399" i="15" s="1"/>
  <c r="M415" i="15"/>
  <c r="L415" i="15"/>
  <c r="L399" i="15" s="1"/>
  <c r="K415" i="15"/>
  <c r="K399" i="15" s="1"/>
  <c r="J415" i="15"/>
  <c r="J399" i="15" s="1"/>
  <c r="I415" i="15"/>
  <c r="H415" i="15"/>
  <c r="G415" i="15"/>
  <c r="F415" i="15"/>
  <c r="E415" i="15"/>
  <c r="D415" i="15"/>
  <c r="C415" i="15"/>
  <c r="B415" i="15"/>
  <c r="BC414" i="15"/>
  <c r="P414" i="15"/>
  <c r="O414" i="15"/>
  <c r="N414" i="15"/>
  <c r="M414" i="15"/>
  <c r="L414" i="15"/>
  <c r="K414" i="15"/>
  <c r="K398" i="15" s="1"/>
  <c r="J414" i="15"/>
  <c r="J398" i="15" s="1"/>
  <c r="I414" i="15"/>
  <c r="I398" i="15" s="1"/>
  <c r="H414" i="15"/>
  <c r="H398" i="15" s="1"/>
  <c r="G414" i="15"/>
  <c r="F414" i="15"/>
  <c r="E414" i="15"/>
  <c r="D414" i="15"/>
  <c r="C414" i="15"/>
  <c r="B414" i="15"/>
  <c r="BC413" i="15"/>
  <c r="BA413" i="15"/>
  <c r="P413" i="15"/>
  <c r="O413" i="15"/>
  <c r="AY413" i="15" s="1"/>
  <c r="N413" i="15"/>
  <c r="AW413" i="15" s="1"/>
  <c r="M413" i="15"/>
  <c r="L413" i="15"/>
  <c r="AS413" i="15" s="1"/>
  <c r="K413" i="15"/>
  <c r="K397" i="15" s="1"/>
  <c r="J413" i="15"/>
  <c r="J397" i="15" s="1"/>
  <c r="I413" i="15"/>
  <c r="I397" i="15" s="1"/>
  <c r="H413" i="15"/>
  <c r="H397" i="15" s="1"/>
  <c r="G413" i="15"/>
  <c r="G397" i="15" s="1"/>
  <c r="F413" i="15"/>
  <c r="E413" i="15"/>
  <c r="D413" i="15"/>
  <c r="C413" i="15"/>
  <c r="C397" i="15" s="1"/>
  <c r="B413" i="15"/>
  <c r="BC412" i="15"/>
  <c r="AY412" i="15"/>
  <c r="P412" i="15"/>
  <c r="O412" i="15"/>
  <c r="N412" i="15"/>
  <c r="AW412" i="15" s="1"/>
  <c r="M412" i="15"/>
  <c r="AU412" i="15" s="1"/>
  <c r="L412" i="15"/>
  <c r="AS412" i="15" s="1"/>
  <c r="K412" i="15"/>
  <c r="J412" i="15"/>
  <c r="J396" i="15" s="1"/>
  <c r="I412" i="15"/>
  <c r="I396" i="15" s="1"/>
  <c r="H412" i="15"/>
  <c r="G412" i="15"/>
  <c r="G396" i="15" s="1"/>
  <c r="F412" i="15"/>
  <c r="F396" i="15" s="1"/>
  <c r="E412" i="15"/>
  <c r="D412" i="15"/>
  <c r="C412" i="15"/>
  <c r="B412" i="15"/>
  <c r="BC411" i="15"/>
  <c r="AW411" i="15"/>
  <c r="P411" i="15"/>
  <c r="BA411" i="15" s="1"/>
  <c r="O411" i="15"/>
  <c r="AY411" i="15" s="1"/>
  <c r="N411" i="15"/>
  <c r="M411" i="15"/>
  <c r="AU411" i="15" s="1"/>
  <c r="L411" i="15"/>
  <c r="AS411" i="15" s="1"/>
  <c r="K411" i="15"/>
  <c r="J411" i="15"/>
  <c r="I411" i="15"/>
  <c r="I395" i="15" s="1"/>
  <c r="H411" i="15"/>
  <c r="H395" i="15" s="1"/>
  <c r="G411" i="15"/>
  <c r="G395" i="15" s="1"/>
  <c r="F411" i="15"/>
  <c r="F395" i="15" s="1"/>
  <c r="E411" i="15"/>
  <c r="E395" i="15" s="1"/>
  <c r="D411" i="15"/>
  <c r="C411" i="15"/>
  <c r="B411" i="15"/>
  <c r="BC410" i="15"/>
  <c r="Q410" i="15"/>
  <c r="P410" i="15"/>
  <c r="O410" i="15"/>
  <c r="O420" i="15" s="1"/>
  <c r="N410" i="15"/>
  <c r="AW410" i="15" s="1"/>
  <c r="M410" i="15"/>
  <c r="L410" i="15"/>
  <c r="K410" i="15"/>
  <c r="K394" i="15" s="1"/>
  <c r="J410" i="15"/>
  <c r="J394" i="15" s="1"/>
  <c r="I410" i="15"/>
  <c r="I394" i="15" s="1"/>
  <c r="H410" i="15"/>
  <c r="H394" i="15" s="1"/>
  <c r="G410" i="15"/>
  <c r="G394" i="15" s="1"/>
  <c r="F410" i="15"/>
  <c r="F394" i="15" s="1"/>
  <c r="E410" i="15"/>
  <c r="E394" i="15" s="1"/>
  <c r="D410" i="15"/>
  <c r="C410" i="15"/>
  <c r="B410" i="15"/>
  <c r="BC409" i="15"/>
  <c r="Q409" i="15"/>
  <c r="P409" i="15"/>
  <c r="O409" i="15"/>
  <c r="N409" i="15"/>
  <c r="AW409" i="15" s="1"/>
  <c r="M409" i="15"/>
  <c r="L409" i="15"/>
  <c r="K409" i="15"/>
  <c r="K393" i="15" s="1"/>
  <c r="J409" i="15"/>
  <c r="J393" i="15" s="1"/>
  <c r="I409" i="15"/>
  <c r="I393" i="15" s="1"/>
  <c r="H409" i="15"/>
  <c r="H393" i="15" s="1"/>
  <c r="G409" i="15"/>
  <c r="G393" i="15" s="1"/>
  <c r="F409" i="15"/>
  <c r="F393" i="15" s="1"/>
  <c r="E409" i="15"/>
  <c r="E393" i="15" s="1"/>
  <c r="D409" i="15"/>
  <c r="C409" i="15"/>
  <c r="B409" i="15"/>
  <c r="BC408" i="15"/>
  <c r="Q408" i="15"/>
  <c r="P408" i="15"/>
  <c r="O408" i="15"/>
  <c r="N408" i="15"/>
  <c r="AW408" i="15" s="1"/>
  <c r="M408" i="15"/>
  <c r="L408" i="15"/>
  <c r="K408" i="15"/>
  <c r="J408" i="15"/>
  <c r="I408" i="15"/>
  <c r="H408" i="15"/>
  <c r="G408" i="15"/>
  <c r="F408" i="15"/>
  <c r="E408" i="15"/>
  <c r="D408" i="15"/>
  <c r="D420" i="15" s="1"/>
  <c r="C408" i="15"/>
  <c r="B408" i="15"/>
  <c r="AP407" i="15"/>
  <c r="AO407" i="15"/>
  <c r="AN407" i="15"/>
  <c r="AM407" i="15"/>
  <c r="AL407" i="15"/>
  <c r="AK407" i="15"/>
  <c r="AJ407" i="15"/>
  <c r="AI407" i="15"/>
  <c r="AH407" i="15"/>
  <c r="AG407" i="15"/>
  <c r="AF407" i="15"/>
  <c r="AE407" i="15"/>
  <c r="AD407" i="15"/>
  <c r="AC407" i="15"/>
  <c r="AB407" i="15"/>
  <c r="AA407" i="15"/>
  <c r="Z407" i="15"/>
  <c r="Y407" i="15"/>
  <c r="X407" i="15"/>
  <c r="W407" i="15"/>
  <c r="V407" i="15"/>
  <c r="U407" i="15"/>
  <c r="T407" i="15"/>
  <c r="S407" i="15"/>
  <c r="R407" i="15"/>
  <c r="Q407" i="15"/>
  <c r="P407" i="15"/>
  <c r="O407" i="15"/>
  <c r="N407" i="15"/>
  <c r="M407" i="15"/>
  <c r="L407" i="15"/>
  <c r="K407" i="15"/>
  <c r="J407" i="15"/>
  <c r="I407" i="15"/>
  <c r="H407" i="15"/>
  <c r="G407" i="15"/>
  <c r="F407" i="15"/>
  <c r="E407" i="15"/>
  <c r="D407" i="15"/>
  <c r="C407" i="15"/>
  <c r="B407" i="15"/>
  <c r="AH404" i="15"/>
  <c r="BC403" i="15"/>
  <c r="AP403" i="15"/>
  <c r="AO403" i="15"/>
  <c r="AN403" i="15"/>
  <c r="AM403" i="15"/>
  <c r="AL403" i="15"/>
  <c r="AK403" i="15"/>
  <c r="AJ403" i="15"/>
  <c r="AI403" i="15"/>
  <c r="AI404" i="15" s="1"/>
  <c r="AH403" i="15"/>
  <c r="AG403" i="15"/>
  <c r="AF403" i="15"/>
  <c r="AE403" i="15"/>
  <c r="AD403" i="15"/>
  <c r="AC403" i="15"/>
  <c r="AB403" i="15"/>
  <c r="AA403" i="15"/>
  <c r="Z403" i="15"/>
  <c r="Y403" i="15"/>
  <c r="X403" i="15"/>
  <c r="W403" i="15"/>
  <c r="V403" i="15"/>
  <c r="U403" i="15"/>
  <c r="T403" i="15"/>
  <c r="S403" i="15"/>
  <c r="R403" i="15"/>
  <c r="Q403" i="15"/>
  <c r="P403" i="15"/>
  <c r="BA403" i="15" s="1"/>
  <c r="L403" i="15"/>
  <c r="AS403" i="15" s="1"/>
  <c r="H403" i="15"/>
  <c r="D403" i="15"/>
  <c r="C403" i="15"/>
  <c r="AS402" i="15"/>
  <c r="AP402" i="15"/>
  <c r="AO402" i="15"/>
  <c r="AN402" i="15"/>
  <c r="AM402" i="15"/>
  <c r="AL402" i="15"/>
  <c r="AK402" i="15"/>
  <c r="AJ402" i="15"/>
  <c r="AI402" i="15"/>
  <c r="AH402" i="15"/>
  <c r="AG402" i="15"/>
  <c r="AF402" i="15"/>
  <c r="AE402" i="15"/>
  <c r="AD402" i="15"/>
  <c r="AC402" i="15"/>
  <c r="AB402" i="15"/>
  <c r="AA402" i="15"/>
  <c r="Z402" i="15"/>
  <c r="Y402" i="15"/>
  <c r="X402" i="15"/>
  <c r="W402" i="15"/>
  <c r="V402" i="15"/>
  <c r="U402" i="15"/>
  <c r="T402" i="15"/>
  <c r="S402" i="15"/>
  <c r="R402" i="15"/>
  <c r="Q402" i="15"/>
  <c r="BC402" i="15" s="1"/>
  <c r="P402" i="15"/>
  <c r="BA402" i="15" s="1"/>
  <c r="M402" i="15"/>
  <c r="AU402" i="15" s="1"/>
  <c r="L402" i="15"/>
  <c r="K402" i="15"/>
  <c r="B402" i="15"/>
  <c r="AS401" i="15"/>
  <c r="AP401" i="15"/>
  <c r="AO401" i="15"/>
  <c r="AN401" i="15"/>
  <c r="AM401" i="15"/>
  <c r="AL401" i="15"/>
  <c r="AK401" i="15"/>
  <c r="AJ401" i="15"/>
  <c r="AI401" i="15"/>
  <c r="AH401" i="15"/>
  <c r="AG401" i="15"/>
  <c r="AF401" i="15"/>
  <c r="AE401" i="15"/>
  <c r="AD401" i="15"/>
  <c r="AC401" i="15"/>
  <c r="AB401" i="15"/>
  <c r="AA401" i="15"/>
  <c r="Z401" i="15"/>
  <c r="Y401" i="15"/>
  <c r="X401" i="15"/>
  <c r="W401" i="15"/>
  <c r="V401" i="15"/>
  <c r="U401" i="15"/>
  <c r="T401" i="15"/>
  <c r="S401" i="15"/>
  <c r="R401" i="15"/>
  <c r="Q401" i="15"/>
  <c r="BC401" i="15" s="1"/>
  <c r="P401" i="15"/>
  <c r="BA401" i="15" s="1"/>
  <c r="N401" i="15"/>
  <c r="AW401" i="15" s="1"/>
  <c r="J401" i="15"/>
  <c r="C401" i="15"/>
  <c r="B401" i="15"/>
  <c r="BA400" i="15"/>
  <c r="AY400" i="15"/>
  <c r="AS400" i="15"/>
  <c r="AP400" i="15"/>
  <c r="AO400" i="15"/>
  <c r="AN400" i="15"/>
  <c r="AM400" i="15"/>
  <c r="AL400" i="15"/>
  <c r="AK400" i="15"/>
  <c r="AJ400" i="15"/>
  <c r="AI400" i="15"/>
  <c r="AH400" i="15"/>
  <c r="AG400" i="15"/>
  <c r="AF400" i="15"/>
  <c r="AE400" i="15"/>
  <c r="AD400" i="15"/>
  <c r="AC400" i="15"/>
  <c r="AB400" i="15"/>
  <c r="AA400" i="15"/>
  <c r="Z400" i="15"/>
  <c r="Y400" i="15"/>
  <c r="X400" i="15"/>
  <c r="W400" i="15"/>
  <c r="V400" i="15"/>
  <c r="U400" i="15"/>
  <c r="T400" i="15"/>
  <c r="S400" i="15"/>
  <c r="R400" i="15"/>
  <c r="Q400" i="15"/>
  <c r="BC400" i="15" s="1"/>
  <c r="F400" i="15"/>
  <c r="BC399" i="15"/>
  <c r="AS399" i="15"/>
  <c r="AP399" i="15"/>
  <c r="AO399" i="15"/>
  <c r="AN399" i="15"/>
  <c r="AM399" i="15"/>
  <c r="AL399" i="15"/>
  <c r="AK399" i="15"/>
  <c r="AJ399" i="15"/>
  <c r="AI399" i="15"/>
  <c r="AH399" i="15"/>
  <c r="AG399" i="15"/>
  <c r="AF399" i="15"/>
  <c r="AE399" i="15"/>
  <c r="AD399" i="15"/>
  <c r="AC399" i="15"/>
  <c r="AB399" i="15"/>
  <c r="AA399" i="15"/>
  <c r="Z399" i="15"/>
  <c r="Y399" i="15"/>
  <c r="X399" i="15"/>
  <c r="W399" i="15"/>
  <c r="V399" i="15"/>
  <c r="U399" i="15"/>
  <c r="T399" i="15"/>
  <c r="S399" i="15"/>
  <c r="R399" i="15"/>
  <c r="Q399" i="15"/>
  <c r="I399" i="15"/>
  <c r="H399" i="15"/>
  <c r="F399" i="15"/>
  <c r="E399" i="15"/>
  <c r="D399" i="15"/>
  <c r="C399" i="15"/>
  <c r="BC398" i="15"/>
  <c r="AP398" i="15"/>
  <c r="AO398" i="15"/>
  <c r="AN398" i="15"/>
  <c r="AM398" i="15"/>
  <c r="AL398" i="15"/>
  <c r="AK398" i="15"/>
  <c r="AJ398" i="15"/>
  <c r="AI398" i="15"/>
  <c r="AH398" i="15"/>
  <c r="AG398" i="15"/>
  <c r="AG404" i="15" s="1"/>
  <c r="AF398" i="15"/>
  <c r="AE398" i="15"/>
  <c r="AD398" i="15"/>
  <c r="AC398" i="15"/>
  <c r="AB398" i="15"/>
  <c r="AA398" i="15"/>
  <c r="Z398" i="15"/>
  <c r="Y398" i="15"/>
  <c r="X398" i="15"/>
  <c r="W398" i="15"/>
  <c r="V398" i="15"/>
  <c r="U398" i="15"/>
  <c r="T398" i="15"/>
  <c r="S398" i="15"/>
  <c r="R398" i="15"/>
  <c r="Q398" i="15"/>
  <c r="G398" i="15"/>
  <c r="F398" i="15"/>
  <c r="E398" i="15"/>
  <c r="D398" i="15"/>
  <c r="C398" i="15"/>
  <c r="B398" i="15"/>
  <c r="BC397" i="15"/>
  <c r="AP397" i="15"/>
  <c r="AO397" i="15"/>
  <c r="AN397" i="15"/>
  <c r="AM397" i="15"/>
  <c r="AL397" i="15"/>
  <c r="AK397" i="15"/>
  <c r="AJ397" i="15"/>
  <c r="AI397" i="15"/>
  <c r="AH397" i="15"/>
  <c r="AG397" i="15"/>
  <c r="AF397" i="15"/>
  <c r="AE397" i="15"/>
  <c r="AD397" i="15"/>
  <c r="AC397" i="15"/>
  <c r="AB397" i="15"/>
  <c r="AA397" i="15"/>
  <c r="Z397" i="15"/>
  <c r="Y397" i="15"/>
  <c r="X397" i="15"/>
  <c r="W397" i="15"/>
  <c r="V397" i="15"/>
  <c r="U397" i="15"/>
  <c r="T397" i="15"/>
  <c r="S397" i="15"/>
  <c r="R397" i="15"/>
  <c r="Q397" i="15"/>
  <c r="O397" i="15"/>
  <c r="AY397" i="15" s="1"/>
  <c r="N397" i="15"/>
  <c r="AW397" i="15" s="1"/>
  <c r="L397" i="15"/>
  <c r="AS397" i="15" s="1"/>
  <c r="F397" i="15"/>
  <c r="E397" i="15"/>
  <c r="D397" i="15"/>
  <c r="AP396" i="15"/>
  <c r="AO396" i="15"/>
  <c r="AN396" i="15"/>
  <c r="AM396" i="15"/>
  <c r="AL396" i="15"/>
  <c r="AK396" i="15"/>
  <c r="AJ396" i="15"/>
  <c r="AI396" i="15"/>
  <c r="AH396" i="15"/>
  <c r="AG396" i="15"/>
  <c r="AF396" i="15"/>
  <c r="AE396" i="15"/>
  <c r="AE404" i="15" s="1"/>
  <c r="AD396" i="15"/>
  <c r="AC396" i="15"/>
  <c r="AB396" i="15"/>
  <c r="AA396" i="15"/>
  <c r="Z396" i="15"/>
  <c r="Y396" i="15"/>
  <c r="X396" i="15"/>
  <c r="W396" i="15"/>
  <c r="V396" i="15"/>
  <c r="U396" i="15"/>
  <c r="T396" i="15"/>
  <c r="S396" i="15"/>
  <c r="R396" i="15"/>
  <c r="Q396" i="15"/>
  <c r="BC396" i="15" s="1"/>
  <c r="N396" i="15"/>
  <c r="AW396" i="15" s="1"/>
  <c r="M396" i="15"/>
  <c r="AU396" i="15" s="1"/>
  <c r="L396" i="15"/>
  <c r="AS396" i="15" s="1"/>
  <c r="K396" i="15"/>
  <c r="H396" i="15"/>
  <c r="E396" i="15"/>
  <c r="B396" i="15"/>
  <c r="AP395" i="15"/>
  <c r="AO395" i="15"/>
  <c r="AN395" i="15"/>
  <c r="AM395" i="15"/>
  <c r="AL395" i="15"/>
  <c r="AK395" i="15"/>
  <c r="AK404" i="15" s="1"/>
  <c r="AJ395" i="15"/>
  <c r="AI395" i="15"/>
  <c r="AH395" i="15"/>
  <c r="AG395" i="15"/>
  <c r="AF395" i="15"/>
  <c r="AF404" i="15" s="1"/>
  <c r="AE395" i="15"/>
  <c r="AD395" i="15"/>
  <c r="AC395" i="15"/>
  <c r="AB395" i="15"/>
  <c r="AA395" i="15"/>
  <c r="Z395" i="15"/>
  <c r="Y395" i="15"/>
  <c r="X395" i="15"/>
  <c r="W395" i="15"/>
  <c r="V395" i="15"/>
  <c r="U395" i="15"/>
  <c r="T395" i="15"/>
  <c r="S395" i="15"/>
  <c r="R395" i="15"/>
  <c r="Q395" i="15"/>
  <c r="BC395" i="15" s="1"/>
  <c r="O395" i="15"/>
  <c r="AY395" i="15" s="1"/>
  <c r="M395" i="15"/>
  <c r="AU395" i="15" s="1"/>
  <c r="L395" i="15"/>
  <c r="AS395" i="15" s="1"/>
  <c r="K395" i="15"/>
  <c r="J395" i="15"/>
  <c r="D395" i="15"/>
  <c r="AP394" i="15"/>
  <c r="AO394" i="15"/>
  <c r="AN394" i="15"/>
  <c r="AM394" i="15"/>
  <c r="AL394" i="15"/>
  <c r="AK394" i="15"/>
  <c r="AJ394" i="15"/>
  <c r="AI394" i="15"/>
  <c r="AH394" i="15"/>
  <c r="AG394" i="15"/>
  <c r="AF394" i="15"/>
  <c r="AE394" i="15"/>
  <c r="AD394" i="15"/>
  <c r="AC394" i="15"/>
  <c r="AB394" i="15"/>
  <c r="AA394" i="15"/>
  <c r="Z394" i="15"/>
  <c r="Y394" i="15"/>
  <c r="X394" i="15"/>
  <c r="W394" i="15"/>
  <c r="V394" i="15"/>
  <c r="U394" i="15"/>
  <c r="T394" i="15"/>
  <c r="S394" i="15"/>
  <c r="R394" i="15"/>
  <c r="D394" i="15"/>
  <c r="B394" i="15"/>
  <c r="AP393" i="15"/>
  <c r="AO393" i="15"/>
  <c r="AN393" i="15"/>
  <c r="AM393" i="15"/>
  <c r="AL393" i="15"/>
  <c r="AK393" i="15"/>
  <c r="AJ393" i="15"/>
  <c r="AI393" i="15"/>
  <c r="AH393" i="15"/>
  <c r="AG393" i="15"/>
  <c r="AF393" i="15"/>
  <c r="AE393" i="15"/>
  <c r="AD393" i="15"/>
  <c r="AC393" i="15"/>
  <c r="AB393" i="15"/>
  <c r="AA393" i="15"/>
  <c r="Z393" i="15"/>
  <c r="Y393" i="15"/>
  <c r="X393" i="15"/>
  <c r="W393" i="15"/>
  <c r="V393" i="15"/>
  <c r="U393" i="15"/>
  <c r="T393" i="15"/>
  <c r="S393" i="15"/>
  <c r="R393" i="15"/>
  <c r="Q393" i="15"/>
  <c r="BC393" i="15" s="1"/>
  <c r="D393" i="15"/>
  <c r="AP392" i="15"/>
  <c r="AO392" i="15"/>
  <c r="AN392" i="15"/>
  <c r="AM392" i="15"/>
  <c r="AL392" i="15"/>
  <c r="AK392" i="15"/>
  <c r="AJ392" i="15"/>
  <c r="AJ404" i="15" s="1"/>
  <c r="AI392" i="15"/>
  <c r="AH392" i="15"/>
  <c r="AG392" i="15"/>
  <c r="AF392" i="15"/>
  <c r="AE392" i="15"/>
  <c r="AD392" i="15"/>
  <c r="AD404" i="15" s="1"/>
  <c r="AC392" i="15"/>
  <c r="AC404" i="15" s="1"/>
  <c r="AB392" i="15"/>
  <c r="AA392" i="15"/>
  <c r="Z392" i="15"/>
  <c r="Y392" i="15"/>
  <c r="X392" i="15"/>
  <c r="W392" i="15"/>
  <c r="V392" i="15"/>
  <c r="U392" i="15"/>
  <c r="T392" i="15"/>
  <c r="S392" i="15"/>
  <c r="R392" i="15"/>
  <c r="D392" i="15"/>
  <c r="C392" i="15"/>
  <c r="B392" i="15"/>
  <c r="AP391" i="15"/>
  <c r="AO391" i="15"/>
  <c r="AN391" i="15"/>
  <c r="AM391" i="15"/>
  <c r="AL391" i="15"/>
  <c r="AK391" i="15"/>
  <c r="AJ391" i="15"/>
  <c r="AI391" i="15"/>
  <c r="AH391" i="15"/>
  <c r="AG391" i="15"/>
  <c r="AF391" i="15"/>
  <c r="AE391" i="15"/>
  <c r="AD391" i="15"/>
  <c r="AC391" i="15"/>
  <c r="AB391" i="15"/>
  <c r="AA391" i="15"/>
  <c r="Z391" i="15"/>
  <c r="Y391" i="15"/>
  <c r="X391" i="15"/>
  <c r="W391" i="15"/>
  <c r="V391" i="15"/>
  <c r="U391" i="15"/>
  <c r="T391" i="15"/>
  <c r="S391" i="15"/>
  <c r="R391" i="15"/>
  <c r="Q391" i="15"/>
  <c r="P391" i="15"/>
  <c r="O391" i="15"/>
  <c r="N391" i="15"/>
  <c r="M391" i="15"/>
  <c r="L391" i="15"/>
  <c r="K391" i="15"/>
  <c r="J391" i="15"/>
  <c r="I391" i="15"/>
  <c r="H391" i="15"/>
  <c r="G391" i="15"/>
  <c r="F391" i="15"/>
  <c r="E391" i="15"/>
  <c r="D391" i="15"/>
  <c r="C391" i="15"/>
  <c r="B391" i="15"/>
  <c r="AP388" i="15"/>
  <c r="AP24" i="15" s="1"/>
  <c r="CS24" i="15" s="1"/>
  <c r="AO388" i="15"/>
  <c r="AN388" i="15"/>
  <c r="AM388" i="15"/>
  <c r="AL388" i="15"/>
  <c r="AK388" i="15"/>
  <c r="AJ388" i="15"/>
  <c r="AI388" i="15"/>
  <c r="AH388" i="15"/>
  <c r="AG388" i="15"/>
  <c r="AF388" i="15"/>
  <c r="AE388" i="15"/>
  <c r="AD388" i="15"/>
  <c r="AC388" i="15"/>
  <c r="AB388" i="15"/>
  <c r="AA388" i="15"/>
  <c r="Z388" i="15"/>
  <c r="Y388" i="15"/>
  <c r="Y24" i="15" s="1"/>
  <c r="BS24" i="15" s="1"/>
  <c r="X388" i="15"/>
  <c r="W388" i="15"/>
  <c r="V388" i="15"/>
  <c r="V24" i="15" s="1"/>
  <c r="BM24" i="15" s="1"/>
  <c r="U388" i="15"/>
  <c r="U24" i="15" s="1"/>
  <c r="BK24" i="15" s="1"/>
  <c r="T388" i="15"/>
  <c r="S388" i="15"/>
  <c r="R388" i="15"/>
  <c r="G388" i="15"/>
  <c r="G24" i="15" s="1"/>
  <c r="BC387" i="15"/>
  <c r="BA387" i="15"/>
  <c r="AY387" i="15"/>
  <c r="AW387" i="15"/>
  <c r="AU387" i="15"/>
  <c r="P387" i="15"/>
  <c r="O387" i="15"/>
  <c r="N387" i="15"/>
  <c r="M387" i="15"/>
  <c r="L387" i="15"/>
  <c r="AS387" i="15" s="1"/>
  <c r="K387" i="15"/>
  <c r="J387" i="15"/>
  <c r="I387" i="15"/>
  <c r="H387" i="15"/>
  <c r="G387" i="15"/>
  <c r="F387" i="15"/>
  <c r="E387" i="15"/>
  <c r="D387" i="15"/>
  <c r="C387" i="15"/>
  <c r="B387" i="15"/>
  <c r="B355" i="15" s="1"/>
  <c r="BC386" i="15"/>
  <c r="BA386" i="15"/>
  <c r="AY386" i="15"/>
  <c r="AW386" i="15"/>
  <c r="AU386" i="15"/>
  <c r="AS386" i="15"/>
  <c r="P386" i="15"/>
  <c r="O386" i="15"/>
  <c r="N386" i="15"/>
  <c r="M386" i="15"/>
  <c r="L386" i="15"/>
  <c r="K386" i="15"/>
  <c r="J386" i="15"/>
  <c r="I386" i="15"/>
  <c r="H386" i="15"/>
  <c r="G386" i="15"/>
  <c r="F386" i="15"/>
  <c r="F354" i="15" s="1"/>
  <c r="F50" i="15" s="1"/>
  <c r="E386" i="15"/>
  <c r="D386" i="15"/>
  <c r="C386" i="15"/>
  <c r="C354" i="15" s="1"/>
  <c r="B386" i="15"/>
  <c r="BC385" i="15"/>
  <c r="AY385" i="15"/>
  <c r="AW385" i="15"/>
  <c r="AU385" i="15"/>
  <c r="AS385" i="15"/>
  <c r="P385" i="15"/>
  <c r="P353" i="15" s="1"/>
  <c r="BA353" i="15" s="1"/>
  <c r="O385" i="15"/>
  <c r="N385" i="15"/>
  <c r="M385" i="15"/>
  <c r="L385" i="15"/>
  <c r="K385" i="15"/>
  <c r="J385" i="15"/>
  <c r="I385" i="15"/>
  <c r="H385" i="15"/>
  <c r="H353" i="15" s="1"/>
  <c r="G385" i="15"/>
  <c r="F385" i="15"/>
  <c r="E385" i="15"/>
  <c r="D385" i="15"/>
  <c r="C385" i="15"/>
  <c r="B385" i="15"/>
  <c r="BC384" i="15"/>
  <c r="AW384" i="15"/>
  <c r="AU384" i="15"/>
  <c r="AS384" i="15"/>
  <c r="P384" i="15"/>
  <c r="O384" i="15"/>
  <c r="AY384" i="15" s="1"/>
  <c r="N384" i="15"/>
  <c r="M384" i="15"/>
  <c r="L384" i="15"/>
  <c r="K384" i="15"/>
  <c r="J384" i="15"/>
  <c r="I384" i="15"/>
  <c r="I352" i="15" s="1"/>
  <c r="H384" i="15"/>
  <c r="G384" i="15"/>
  <c r="F384" i="15"/>
  <c r="E384" i="15"/>
  <c r="D384" i="15"/>
  <c r="C384" i="15"/>
  <c r="B384" i="15"/>
  <c r="BC383" i="15"/>
  <c r="AU383" i="15"/>
  <c r="AS383" i="15"/>
  <c r="P383" i="15"/>
  <c r="BA383" i="15" s="1"/>
  <c r="O383" i="15"/>
  <c r="N383" i="15"/>
  <c r="AW383" i="15" s="1"/>
  <c r="M383" i="15"/>
  <c r="L383" i="15"/>
  <c r="K383" i="15"/>
  <c r="J383" i="15"/>
  <c r="I383" i="15"/>
  <c r="H383" i="15"/>
  <c r="G383" i="15"/>
  <c r="F383" i="15"/>
  <c r="E383" i="15"/>
  <c r="D383" i="15"/>
  <c r="C383" i="15"/>
  <c r="B383" i="15"/>
  <c r="BC382" i="15"/>
  <c r="BA382" i="15"/>
  <c r="AS382" i="15"/>
  <c r="P382" i="15"/>
  <c r="P350" i="15" s="1"/>
  <c r="BA350" i="15" s="1"/>
  <c r="O382" i="15"/>
  <c r="AY382" i="15" s="1"/>
  <c r="N382" i="15"/>
  <c r="M382" i="15"/>
  <c r="AU382" i="15" s="1"/>
  <c r="L382" i="15"/>
  <c r="K382" i="15"/>
  <c r="J382" i="15"/>
  <c r="I382" i="15"/>
  <c r="H382" i="15"/>
  <c r="G382" i="15"/>
  <c r="F382" i="15"/>
  <c r="E382" i="15"/>
  <c r="E350" i="15" s="1"/>
  <c r="D382" i="15"/>
  <c r="C382" i="15"/>
  <c r="B382" i="15"/>
  <c r="BC381" i="15"/>
  <c r="AW381" i="15"/>
  <c r="P381" i="15"/>
  <c r="BA381" i="15" s="1"/>
  <c r="O381" i="15"/>
  <c r="AY381" i="15" s="1"/>
  <c r="N381" i="15"/>
  <c r="M381" i="15"/>
  <c r="AU381" i="15" s="1"/>
  <c r="L381" i="15"/>
  <c r="AS381" i="15" s="1"/>
  <c r="K381" i="15"/>
  <c r="J381" i="15"/>
  <c r="I381" i="15"/>
  <c r="H381" i="15"/>
  <c r="G381" i="15"/>
  <c r="F381" i="15"/>
  <c r="F349" i="15" s="1"/>
  <c r="E381" i="15"/>
  <c r="D381" i="15"/>
  <c r="D349" i="15" s="1"/>
  <c r="C381" i="15"/>
  <c r="B381" i="15"/>
  <c r="BC380" i="15"/>
  <c r="BA380" i="15"/>
  <c r="AS380" i="15"/>
  <c r="P380" i="15"/>
  <c r="O380" i="15"/>
  <c r="AY380" i="15" s="1"/>
  <c r="N380" i="15"/>
  <c r="AW380" i="15" s="1"/>
  <c r="M380" i="15"/>
  <c r="AU380" i="15" s="1"/>
  <c r="L380" i="15"/>
  <c r="K380" i="15"/>
  <c r="J380" i="15"/>
  <c r="I380" i="15"/>
  <c r="H380" i="15"/>
  <c r="G380" i="15"/>
  <c r="F380" i="15"/>
  <c r="E380" i="15"/>
  <c r="D380" i="15"/>
  <c r="C380" i="15"/>
  <c r="C388" i="15" s="1"/>
  <c r="C24" i="15" s="1"/>
  <c r="B380" i="15"/>
  <c r="BC379" i="15"/>
  <c r="BA379" i="15"/>
  <c r="AU379" i="15"/>
  <c r="P379" i="15"/>
  <c r="O379" i="15"/>
  <c r="AY379" i="15" s="1"/>
  <c r="N379" i="15"/>
  <c r="AW379" i="15" s="1"/>
  <c r="M379" i="15"/>
  <c r="L379" i="15"/>
  <c r="AS379" i="15" s="1"/>
  <c r="K379" i="15"/>
  <c r="J379" i="15"/>
  <c r="I379" i="15"/>
  <c r="H379" i="15"/>
  <c r="G379" i="15"/>
  <c r="F379" i="15"/>
  <c r="E379" i="15"/>
  <c r="D379" i="15"/>
  <c r="D347" i="15" s="1"/>
  <c r="C379" i="15"/>
  <c r="B379" i="15"/>
  <c r="B347" i="15" s="1"/>
  <c r="AY378" i="15"/>
  <c r="AW378" i="15"/>
  <c r="AS378" i="15"/>
  <c r="Q378" i="15"/>
  <c r="P378" i="15"/>
  <c r="O378" i="15"/>
  <c r="N378" i="15"/>
  <c r="M378" i="15"/>
  <c r="AU378" i="15" s="1"/>
  <c r="L378" i="15"/>
  <c r="K378" i="15"/>
  <c r="J378" i="15"/>
  <c r="I378" i="15"/>
  <c r="H378" i="15"/>
  <c r="G378" i="15"/>
  <c r="F378" i="15"/>
  <c r="E378" i="15"/>
  <c r="D378" i="15"/>
  <c r="C378" i="15"/>
  <c r="B378" i="15"/>
  <c r="AS377" i="15"/>
  <c r="Q377" i="15"/>
  <c r="BC377" i="15" s="1"/>
  <c r="P377" i="15"/>
  <c r="O377" i="15"/>
  <c r="N377" i="15"/>
  <c r="M377" i="15"/>
  <c r="AU377" i="15" s="1"/>
  <c r="L377" i="15"/>
  <c r="K377" i="15"/>
  <c r="J377" i="15"/>
  <c r="I377" i="15"/>
  <c r="H377" i="15"/>
  <c r="G377" i="15"/>
  <c r="F377" i="15"/>
  <c r="E377" i="15"/>
  <c r="D377" i="15"/>
  <c r="C377" i="15"/>
  <c r="B377" i="15"/>
  <c r="Q376" i="15"/>
  <c r="P376" i="15"/>
  <c r="O376" i="15"/>
  <c r="N376" i="15"/>
  <c r="M376" i="15"/>
  <c r="L376" i="15"/>
  <c r="K376" i="15"/>
  <c r="K388" i="15" s="1"/>
  <c r="K24" i="15" s="1"/>
  <c r="J376" i="15"/>
  <c r="J388" i="15" s="1"/>
  <c r="J24" i="15" s="1"/>
  <c r="I376" i="15"/>
  <c r="I388" i="15" s="1"/>
  <c r="I24" i="15" s="1"/>
  <c r="H376" i="15"/>
  <c r="G376" i="15"/>
  <c r="F376" i="15"/>
  <c r="E376" i="15"/>
  <c r="D376" i="15"/>
  <c r="C376" i="15"/>
  <c r="B376" i="15"/>
  <c r="AP375" i="15"/>
  <c r="AO375" i="15"/>
  <c r="AN375" i="15"/>
  <c r="AM375" i="15"/>
  <c r="AL375" i="15"/>
  <c r="AK375" i="15"/>
  <c r="AJ375" i="15"/>
  <c r="AI375" i="15"/>
  <c r="AH375" i="15"/>
  <c r="AG375" i="15"/>
  <c r="AF375" i="15"/>
  <c r="AE375" i="15"/>
  <c r="AD375" i="15"/>
  <c r="AC375" i="15"/>
  <c r="AB375" i="15"/>
  <c r="AA375" i="15"/>
  <c r="Z375" i="15"/>
  <c r="Y375" i="15"/>
  <c r="X375" i="15"/>
  <c r="W375" i="15"/>
  <c r="V375" i="15"/>
  <c r="U375" i="15"/>
  <c r="T375" i="15"/>
  <c r="S375" i="15"/>
  <c r="R375" i="15"/>
  <c r="Q375" i="15"/>
  <c r="P375" i="15"/>
  <c r="O375" i="15"/>
  <c r="N375" i="15"/>
  <c r="M375" i="15"/>
  <c r="L375" i="15"/>
  <c r="K375" i="15"/>
  <c r="J375" i="15"/>
  <c r="I375" i="15"/>
  <c r="H375" i="15"/>
  <c r="G375" i="15"/>
  <c r="F375" i="15"/>
  <c r="E375" i="15"/>
  <c r="D375" i="15"/>
  <c r="C375" i="15"/>
  <c r="B375" i="15"/>
  <c r="O372" i="15"/>
  <c r="AY372" i="15" s="1"/>
  <c r="B372" i="15"/>
  <c r="B23" i="15" s="1"/>
  <c r="AW371" i="15"/>
  <c r="AS371" i="15"/>
  <c r="P371" i="15"/>
  <c r="BA371" i="15" s="1"/>
  <c r="O371" i="15"/>
  <c r="AY371" i="15" s="1"/>
  <c r="N371" i="15"/>
  <c r="M371" i="15"/>
  <c r="AU371" i="15" s="1"/>
  <c r="L371" i="15"/>
  <c r="K371" i="15"/>
  <c r="J371" i="15"/>
  <c r="I371" i="15"/>
  <c r="H371" i="15"/>
  <c r="G371" i="15"/>
  <c r="G355" i="15" s="1"/>
  <c r="F371" i="15"/>
  <c r="E371" i="15"/>
  <c r="E355" i="15" s="1"/>
  <c r="D371" i="15"/>
  <c r="C371" i="15"/>
  <c r="B371" i="15"/>
  <c r="AY370" i="15"/>
  <c r="AW370" i="15"/>
  <c r="AU370" i="15"/>
  <c r="AS370" i="15"/>
  <c r="P370" i="15"/>
  <c r="BA370" i="15" s="1"/>
  <c r="O370" i="15"/>
  <c r="N370" i="15"/>
  <c r="M370" i="15"/>
  <c r="L370" i="15"/>
  <c r="K370" i="15"/>
  <c r="J370" i="15"/>
  <c r="I370" i="15"/>
  <c r="H370" i="15"/>
  <c r="H354" i="15" s="1"/>
  <c r="G370" i="15"/>
  <c r="G354" i="15" s="1"/>
  <c r="F370" i="15"/>
  <c r="E370" i="15"/>
  <c r="D370" i="15"/>
  <c r="C370" i="15"/>
  <c r="B370" i="15"/>
  <c r="BA369" i="15"/>
  <c r="AY369" i="15"/>
  <c r="AW369" i="15"/>
  <c r="AS369" i="15"/>
  <c r="P369" i="15"/>
  <c r="O369" i="15"/>
  <c r="N369" i="15"/>
  <c r="M369" i="15"/>
  <c r="L369" i="15"/>
  <c r="K369" i="15"/>
  <c r="K353" i="15" s="1"/>
  <c r="J369" i="15"/>
  <c r="J353" i="15" s="1"/>
  <c r="I369" i="15"/>
  <c r="H369" i="15"/>
  <c r="G369" i="15"/>
  <c r="G353" i="15" s="1"/>
  <c r="F369" i="15"/>
  <c r="E369" i="15"/>
  <c r="D369" i="15"/>
  <c r="D353" i="15" s="1"/>
  <c r="C369" i="15"/>
  <c r="B369" i="15"/>
  <c r="BA368" i="15"/>
  <c r="AY368" i="15"/>
  <c r="AW368" i="15"/>
  <c r="AU368" i="15"/>
  <c r="P368" i="15"/>
  <c r="O368" i="15"/>
  <c r="N368" i="15"/>
  <c r="M368" i="15"/>
  <c r="M352" i="15" s="1"/>
  <c r="L368" i="15"/>
  <c r="AS368" i="15" s="1"/>
  <c r="K368" i="15"/>
  <c r="K352" i="15" s="1"/>
  <c r="J368" i="15"/>
  <c r="I368" i="15"/>
  <c r="H368" i="15"/>
  <c r="H352" i="15" s="1"/>
  <c r="G368" i="15"/>
  <c r="G352" i="15" s="1"/>
  <c r="F368" i="15"/>
  <c r="F352" i="15" s="1"/>
  <c r="E368" i="15"/>
  <c r="E352" i="15" s="1"/>
  <c r="D368" i="15"/>
  <c r="D352" i="15" s="1"/>
  <c r="C368" i="15"/>
  <c r="C352" i="15" s="1"/>
  <c r="B368" i="15"/>
  <c r="B352" i="15" s="1"/>
  <c r="BA367" i="15"/>
  <c r="AS367" i="15"/>
  <c r="P367" i="15"/>
  <c r="P351" i="15" s="1"/>
  <c r="BA351" i="15" s="1"/>
  <c r="O367" i="15"/>
  <c r="AY367" i="15" s="1"/>
  <c r="N367" i="15"/>
  <c r="M367" i="15"/>
  <c r="AU367" i="15" s="1"/>
  <c r="L367" i="15"/>
  <c r="K367" i="15"/>
  <c r="K351" i="15" s="1"/>
  <c r="J367" i="15"/>
  <c r="J351" i="15" s="1"/>
  <c r="I367" i="15"/>
  <c r="H367" i="15"/>
  <c r="G367" i="15"/>
  <c r="G351" i="15" s="1"/>
  <c r="F367" i="15"/>
  <c r="E367" i="15"/>
  <c r="D367" i="15"/>
  <c r="C367" i="15"/>
  <c r="B367" i="15"/>
  <c r="AY366" i="15"/>
  <c r="AU366" i="15"/>
  <c r="P366" i="15"/>
  <c r="BA366" i="15" s="1"/>
  <c r="O366" i="15"/>
  <c r="N366" i="15"/>
  <c r="AW366" i="15" s="1"/>
  <c r="M366" i="15"/>
  <c r="M350" i="15" s="1"/>
  <c r="L366" i="15"/>
  <c r="AS366" i="15" s="1"/>
  <c r="K366" i="15"/>
  <c r="K350" i="15" s="1"/>
  <c r="J366" i="15"/>
  <c r="J350" i="15" s="1"/>
  <c r="I366" i="15"/>
  <c r="H366" i="15"/>
  <c r="H350" i="15" s="1"/>
  <c r="G366" i="15"/>
  <c r="G350" i="15" s="1"/>
  <c r="F366" i="15"/>
  <c r="F350" i="15" s="1"/>
  <c r="E366" i="15"/>
  <c r="D366" i="15"/>
  <c r="C366" i="15"/>
  <c r="B366" i="15"/>
  <c r="P365" i="15"/>
  <c r="O365" i="15"/>
  <c r="N365" i="15"/>
  <c r="M365" i="15"/>
  <c r="L365" i="15"/>
  <c r="K365" i="15"/>
  <c r="K349" i="15" s="1"/>
  <c r="J365" i="15"/>
  <c r="J349" i="15" s="1"/>
  <c r="I365" i="15"/>
  <c r="I349" i="15" s="1"/>
  <c r="H365" i="15"/>
  <c r="G365" i="15"/>
  <c r="F365" i="15"/>
  <c r="E365" i="15"/>
  <c r="D365" i="15"/>
  <c r="C365" i="15"/>
  <c r="B365" i="15"/>
  <c r="AU364" i="15"/>
  <c r="P364" i="15"/>
  <c r="O364" i="15"/>
  <c r="AY364" i="15" s="1"/>
  <c r="N364" i="15"/>
  <c r="AW364" i="15" s="1"/>
  <c r="M364" i="15"/>
  <c r="L364" i="15"/>
  <c r="AS364" i="15" s="1"/>
  <c r="K364" i="15"/>
  <c r="J364" i="15"/>
  <c r="I364" i="15"/>
  <c r="H364" i="15"/>
  <c r="G364" i="15"/>
  <c r="F364" i="15"/>
  <c r="F348" i="15" s="1"/>
  <c r="E364" i="15"/>
  <c r="D364" i="15"/>
  <c r="D348" i="15" s="1"/>
  <c r="C364" i="15"/>
  <c r="B364" i="15"/>
  <c r="BA363" i="15"/>
  <c r="AW363" i="15"/>
  <c r="AU363" i="15"/>
  <c r="AS363" i="15"/>
  <c r="P363" i="15"/>
  <c r="P347" i="15" s="1"/>
  <c r="BA347" i="15" s="1"/>
  <c r="O363" i="15"/>
  <c r="N363" i="15"/>
  <c r="M363" i="15"/>
  <c r="L363" i="15"/>
  <c r="K363" i="15"/>
  <c r="J363" i="15"/>
  <c r="I363" i="15"/>
  <c r="H363" i="15"/>
  <c r="G363" i="15"/>
  <c r="F363" i="15"/>
  <c r="F347" i="15" s="1"/>
  <c r="E363" i="15"/>
  <c r="D363" i="15"/>
  <c r="C363" i="15"/>
  <c r="B363" i="15"/>
  <c r="BC362" i="15"/>
  <c r="BA362" i="15"/>
  <c r="AU362" i="15"/>
  <c r="Q362" i="15"/>
  <c r="P362" i="15"/>
  <c r="O362" i="15"/>
  <c r="N362" i="15"/>
  <c r="M362" i="15"/>
  <c r="L362" i="15"/>
  <c r="K362" i="15"/>
  <c r="J362" i="15"/>
  <c r="J346" i="15" s="1"/>
  <c r="I362" i="15"/>
  <c r="I346" i="15" s="1"/>
  <c r="H362" i="15"/>
  <c r="G362" i="15"/>
  <c r="F362" i="15"/>
  <c r="E362" i="15"/>
  <c r="D362" i="15"/>
  <c r="C362" i="15"/>
  <c r="C346" i="15" s="1"/>
  <c r="B362" i="15"/>
  <c r="BA361" i="15"/>
  <c r="AW361" i="15"/>
  <c r="AS361" i="15"/>
  <c r="Q361" i="15"/>
  <c r="P361" i="15"/>
  <c r="O361" i="15"/>
  <c r="AY361" i="15" s="1"/>
  <c r="N361" i="15"/>
  <c r="M361" i="15"/>
  <c r="AU361" i="15" s="1"/>
  <c r="L361" i="15"/>
  <c r="K361" i="15"/>
  <c r="J361" i="15"/>
  <c r="J345" i="15" s="1"/>
  <c r="I361" i="15"/>
  <c r="I345" i="15" s="1"/>
  <c r="H361" i="15"/>
  <c r="H345" i="15" s="1"/>
  <c r="G361" i="15"/>
  <c r="F361" i="15"/>
  <c r="F345" i="15" s="1"/>
  <c r="E361" i="15"/>
  <c r="D361" i="15"/>
  <c r="C361" i="15"/>
  <c r="C345" i="15" s="1"/>
  <c r="B361" i="15"/>
  <c r="BC360" i="15"/>
  <c r="AY360" i="15"/>
  <c r="AW360" i="15"/>
  <c r="AU360" i="15"/>
  <c r="Q360" i="15"/>
  <c r="P360" i="15"/>
  <c r="O360" i="15"/>
  <c r="N360" i="15"/>
  <c r="M360" i="15"/>
  <c r="L360" i="15"/>
  <c r="K360" i="15"/>
  <c r="J360" i="15"/>
  <c r="I360" i="15"/>
  <c r="H360" i="15"/>
  <c r="G360" i="15"/>
  <c r="F360" i="15"/>
  <c r="E360" i="15"/>
  <c r="D360" i="15"/>
  <c r="D344" i="15" s="1"/>
  <c r="C360" i="15"/>
  <c r="B360" i="15"/>
  <c r="AP359" i="15"/>
  <c r="AO359" i="15"/>
  <c r="AN359" i="15"/>
  <c r="AM359" i="15"/>
  <c r="AL359" i="15"/>
  <c r="AK359" i="15"/>
  <c r="AJ359" i="15"/>
  <c r="AI359" i="15"/>
  <c r="AH359" i="15"/>
  <c r="AG359" i="15"/>
  <c r="AF359" i="15"/>
  <c r="AE359" i="15"/>
  <c r="AD359" i="15"/>
  <c r="AC359" i="15"/>
  <c r="AB359" i="15"/>
  <c r="AA359" i="15"/>
  <c r="Z359" i="15"/>
  <c r="Y359" i="15"/>
  <c r="X359" i="15"/>
  <c r="W359" i="15"/>
  <c r="V359" i="15"/>
  <c r="U359" i="15"/>
  <c r="T359" i="15"/>
  <c r="S359" i="15"/>
  <c r="R359" i="15"/>
  <c r="Q359" i="15"/>
  <c r="P359" i="15"/>
  <c r="O359" i="15"/>
  <c r="N359" i="15"/>
  <c r="M359" i="15"/>
  <c r="L359" i="15"/>
  <c r="K359" i="15"/>
  <c r="J359" i="15"/>
  <c r="I359" i="15"/>
  <c r="H359" i="15"/>
  <c r="G359" i="15"/>
  <c r="F359" i="15"/>
  <c r="E359" i="15"/>
  <c r="D359" i="15"/>
  <c r="C359" i="15"/>
  <c r="B359" i="15"/>
  <c r="AY355" i="15"/>
  <c r="AW355" i="15"/>
  <c r="P355" i="15"/>
  <c r="BA355" i="15" s="1"/>
  <c r="O355" i="15"/>
  <c r="N355" i="15"/>
  <c r="M355" i="15"/>
  <c r="AU355" i="15" s="1"/>
  <c r="L355" i="15"/>
  <c r="AS355" i="15" s="1"/>
  <c r="K355" i="15"/>
  <c r="J355" i="15"/>
  <c r="I355" i="15"/>
  <c r="H355" i="15"/>
  <c r="F355" i="15"/>
  <c r="C355" i="15"/>
  <c r="AY354" i="15"/>
  <c r="AU354" i="15"/>
  <c r="P354" i="15"/>
  <c r="BA354" i="15" s="1"/>
  <c r="O354" i="15"/>
  <c r="N354" i="15"/>
  <c r="AW354" i="15" s="1"/>
  <c r="M354" i="15"/>
  <c r="L354" i="15"/>
  <c r="AS354" i="15" s="1"/>
  <c r="K354" i="15"/>
  <c r="J354" i="15"/>
  <c r="I354" i="15"/>
  <c r="E354" i="15"/>
  <c r="D354" i="15"/>
  <c r="B354" i="15"/>
  <c r="O353" i="15"/>
  <c r="AY353" i="15" s="1"/>
  <c r="N353" i="15"/>
  <c r="AW353" i="15" s="1"/>
  <c r="L353" i="15"/>
  <c r="AS353" i="15" s="1"/>
  <c r="I353" i="15"/>
  <c r="F353" i="15"/>
  <c r="C353" i="15"/>
  <c r="AW352" i="15"/>
  <c r="AU352" i="15"/>
  <c r="AS352" i="15"/>
  <c r="O352" i="15"/>
  <c r="AY352" i="15" s="1"/>
  <c r="N352" i="15"/>
  <c r="L352" i="15"/>
  <c r="J352" i="15"/>
  <c r="AS351" i="15"/>
  <c r="M351" i="15"/>
  <c r="AU351" i="15" s="1"/>
  <c r="L351" i="15"/>
  <c r="I351" i="15"/>
  <c r="F351" i="15"/>
  <c r="E351" i="15"/>
  <c r="D351" i="15"/>
  <c r="C351" i="15"/>
  <c r="B351" i="15"/>
  <c r="AU350" i="15"/>
  <c r="O350" i="15"/>
  <c r="AY350" i="15" s="1"/>
  <c r="I350" i="15"/>
  <c r="D350" i="15"/>
  <c r="C350" i="15"/>
  <c r="B350" i="15"/>
  <c r="H349" i="15"/>
  <c r="G349" i="15"/>
  <c r="E349" i="15"/>
  <c r="C349" i="15"/>
  <c r="B349" i="15"/>
  <c r="AY348" i="15"/>
  <c r="AW348" i="15"/>
  <c r="AU348" i="15"/>
  <c r="AS348" i="15"/>
  <c r="O348" i="15"/>
  <c r="N348" i="15"/>
  <c r="M348" i="15"/>
  <c r="L348" i="15"/>
  <c r="K348" i="15"/>
  <c r="J348" i="15"/>
  <c r="I348" i="15"/>
  <c r="H348" i="15"/>
  <c r="G348" i="15"/>
  <c r="B348" i="15"/>
  <c r="N347" i="15"/>
  <c r="AW347" i="15" s="1"/>
  <c r="M347" i="15"/>
  <c r="AU347" i="15" s="1"/>
  <c r="L347" i="15"/>
  <c r="AS347" i="15" s="1"/>
  <c r="K347" i="15"/>
  <c r="J347" i="15"/>
  <c r="I347" i="15"/>
  <c r="H347" i="15"/>
  <c r="G347" i="15"/>
  <c r="E347" i="15"/>
  <c r="C347" i="15"/>
  <c r="M346" i="15"/>
  <c r="AU346" i="15" s="1"/>
  <c r="K346" i="15"/>
  <c r="H346" i="15"/>
  <c r="G346" i="15"/>
  <c r="F346" i="15"/>
  <c r="E346" i="15"/>
  <c r="D346" i="15"/>
  <c r="B346" i="15"/>
  <c r="K345" i="15"/>
  <c r="G345" i="15"/>
  <c r="E345" i="15"/>
  <c r="D345" i="15"/>
  <c r="B345" i="15"/>
  <c r="Q344" i="15"/>
  <c r="C344" i="15"/>
  <c r="B344" i="15"/>
  <c r="AP343" i="15"/>
  <c r="AO343" i="15"/>
  <c r="AN343" i="15"/>
  <c r="AM343" i="15"/>
  <c r="AL343" i="15"/>
  <c r="AK343" i="15"/>
  <c r="AJ343" i="15"/>
  <c r="AI343" i="15"/>
  <c r="AH343" i="15"/>
  <c r="AG343" i="15"/>
  <c r="AF343" i="15"/>
  <c r="AE343" i="15"/>
  <c r="AD343" i="15"/>
  <c r="AC343" i="15"/>
  <c r="AB343" i="15"/>
  <c r="AA343" i="15"/>
  <c r="Z343" i="15"/>
  <c r="Y343" i="15"/>
  <c r="X343" i="15"/>
  <c r="W343" i="15"/>
  <c r="V343" i="15"/>
  <c r="U343" i="15"/>
  <c r="T343" i="15"/>
  <c r="S343" i="15"/>
  <c r="R343" i="15"/>
  <c r="Q343" i="15"/>
  <c r="P343" i="15"/>
  <c r="O343" i="15"/>
  <c r="N343" i="15"/>
  <c r="M343" i="15"/>
  <c r="L343" i="15"/>
  <c r="K343" i="15"/>
  <c r="J343" i="15"/>
  <c r="I343" i="15"/>
  <c r="H343" i="15"/>
  <c r="G343" i="15"/>
  <c r="F343" i="15"/>
  <c r="E343" i="15"/>
  <c r="D343" i="15"/>
  <c r="C343" i="15"/>
  <c r="B343" i="15"/>
  <c r="AP340" i="15"/>
  <c r="AO340" i="15"/>
  <c r="AN340" i="15"/>
  <c r="AM340" i="15"/>
  <c r="AL340" i="15"/>
  <c r="AK340" i="15"/>
  <c r="AJ340" i="15"/>
  <c r="AI340" i="15"/>
  <c r="AH340" i="15"/>
  <c r="AG340" i="15"/>
  <c r="AG21" i="15" s="1"/>
  <c r="CI21" i="15" s="1"/>
  <c r="AF340" i="15"/>
  <c r="AE340" i="15"/>
  <c r="AD340" i="15"/>
  <c r="AC340" i="15"/>
  <c r="AB340" i="15"/>
  <c r="AA340" i="15"/>
  <c r="Z340" i="15"/>
  <c r="Y340" i="15"/>
  <c r="X340" i="15"/>
  <c r="W340" i="15"/>
  <c r="V340" i="15"/>
  <c r="U340" i="15"/>
  <c r="T340" i="15"/>
  <c r="S340" i="15"/>
  <c r="R340" i="15"/>
  <c r="BC339" i="15"/>
  <c r="BA339" i="15"/>
  <c r="AY339" i="15"/>
  <c r="AW339" i="15"/>
  <c r="AU339" i="15"/>
  <c r="AS339" i="15"/>
  <c r="P339" i="15"/>
  <c r="O339" i="15"/>
  <c r="N339" i="15"/>
  <c r="M339" i="15"/>
  <c r="L339" i="15"/>
  <c r="K339" i="15"/>
  <c r="J339" i="15"/>
  <c r="I339" i="15"/>
  <c r="H339" i="15"/>
  <c r="G339" i="15"/>
  <c r="F339" i="15"/>
  <c r="E339" i="15"/>
  <c r="D339" i="15"/>
  <c r="C339" i="15"/>
  <c r="B339" i="15"/>
  <c r="BC338" i="15"/>
  <c r="AW338" i="15"/>
  <c r="AU338" i="15"/>
  <c r="AS338" i="15"/>
  <c r="P338" i="15"/>
  <c r="O338" i="15"/>
  <c r="O290" i="15" s="1"/>
  <c r="AY290" i="15" s="1"/>
  <c r="N338" i="15"/>
  <c r="N290" i="15" s="1"/>
  <c r="AW290" i="15" s="1"/>
  <c r="M338" i="15"/>
  <c r="L338" i="15"/>
  <c r="K338" i="15"/>
  <c r="J338" i="15"/>
  <c r="I338" i="15"/>
  <c r="H338" i="15"/>
  <c r="G338" i="15"/>
  <c r="F338" i="15"/>
  <c r="E338" i="15"/>
  <c r="D338" i="15"/>
  <c r="C338" i="15"/>
  <c r="B338" i="15"/>
  <c r="BC337" i="15"/>
  <c r="AS337" i="15"/>
  <c r="P337" i="15"/>
  <c r="BA337" i="15" s="1"/>
  <c r="O337" i="15"/>
  <c r="N337" i="15"/>
  <c r="AW337" i="15" s="1"/>
  <c r="M337" i="15"/>
  <c r="AU337" i="15" s="1"/>
  <c r="L337" i="15"/>
  <c r="K337" i="15"/>
  <c r="J337" i="15"/>
  <c r="I337" i="15"/>
  <c r="H337" i="15"/>
  <c r="G337" i="15"/>
  <c r="F337" i="15"/>
  <c r="E337" i="15"/>
  <c r="D337" i="15"/>
  <c r="C337" i="15"/>
  <c r="B337" i="15"/>
  <c r="BC336" i="15"/>
  <c r="P336" i="15"/>
  <c r="O336" i="15"/>
  <c r="AY336" i="15" s="1"/>
  <c r="N336" i="15"/>
  <c r="M336" i="15"/>
  <c r="L336" i="15"/>
  <c r="AS336" i="15" s="1"/>
  <c r="K336" i="15"/>
  <c r="J336" i="15"/>
  <c r="I336" i="15"/>
  <c r="I288" i="15" s="1"/>
  <c r="H336" i="15"/>
  <c r="G336" i="15"/>
  <c r="F336" i="15"/>
  <c r="E336" i="15"/>
  <c r="E288" i="15" s="1"/>
  <c r="D336" i="15"/>
  <c r="C336" i="15"/>
  <c r="B336" i="15"/>
  <c r="BC335" i="15"/>
  <c r="P335" i="15"/>
  <c r="BA335" i="15" s="1"/>
  <c r="O335" i="15"/>
  <c r="AY335" i="15" s="1"/>
  <c r="N335" i="15"/>
  <c r="AW335" i="15" s="1"/>
  <c r="M335" i="15"/>
  <c r="AU335" i="15" s="1"/>
  <c r="L335" i="15"/>
  <c r="AS335" i="15" s="1"/>
  <c r="K335" i="15"/>
  <c r="J335" i="15"/>
  <c r="I335" i="15"/>
  <c r="H335" i="15"/>
  <c r="G335" i="15"/>
  <c r="G287" i="15" s="1"/>
  <c r="F335" i="15"/>
  <c r="E335" i="15"/>
  <c r="D335" i="15"/>
  <c r="C335" i="15"/>
  <c r="B335" i="15"/>
  <c r="BC334" i="15"/>
  <c r="P334" i="15"/>
  <c r="BA334" i="15" s="1"/>
  <c r="O334" i="15"/>
  <c r="AY334" i="15" s="1"/>
  <c r="N334" i="15"/>
  <c r="AW334" i="15" s="1"/>
  <c r="M334" i="15"/>
  <c r="AU334" i="15" s="1"/>
  <c r="L334" i="15"/>
  <c r="AS334" i="15" s="1"/>
  <c r="K334" i="15"/>
  <c r="J334" i="15"/>
  <c r="I334" i="15"/>
  <c r="H334" i="15"/>
  <c r="G334" i="15"/>
  <c r="F334" i="15"/>
  <c r="E334" i="15"/>
  <c r="D334" i="15"/>
  <c r="C334" i="15"/>
  <c r="C286" i="15" s="1"/>
  <c r="B334" i="15"/>
  <c r="BC333" i="15"/>
  <c r="P333" i="15"/>
  <c r="O333" i="15"/>
  <c r="AY333" i="15" s="1"/>
  <c r="N333" i="15"/>
  <c r="M333" i="15"/>
  <c r="L333" i="15"/>
  <c r="AS333" i="15" s="1"/>
  <c r="K333" i="15"/>
  <c r="J333" i="15"/>
  <c r="I333" i="15"/>
  <c r="H333" i="15"/>
  <c r="G333" i="15"/>
  <c r="F333" i="15"/>
  <c r="E333" i="15"/>
  <c r="D333" i="15"/>
  <c r="C333" i="15"/>
  <c r="B333" i="15"/>
  <c r="BC332" i="15"/>
  <c r="P332" i="15"/>
  <c r="BA332" i="15" s="1"/>
  <c r="O332" i="15"/>
  <c r="AY332" i="15" s="1"/>
  <c r="N332" i="15"/>
  <c r="M332" i="15"/>
  <c r="AU332" i="15" s="1"/>
  <c r="L332" i="15"/>
  <c r="K332" i="15"/>
  <c r="J332" i="15"/>
  <c r="I332" i="15"/>
  <c r="H332" i="15"/>
  <c r="G332" i="15"/>
  <c r="F332" i="15"/>
  <c r="E332" i="15"/>
  <c r="D332" i="15"/>
  <c r="C332" i="15"/>
  <c r="B332" i="15"/>
  <c r="B284" i="15" s="1"/>
  <c r="BC331" i="15"/>
  <c r="BA331" i="15"/>
  <c r="AY331" i="15"/>
  <c r="P331" i="15"/>
  <c r="O331" i="15"/>
  <c r="N331" i="15"/>
  <c r="AW331" i="15" s="1"/>
  <c r="M331" i="15"/>
  <c r="AU331" i="15" s="1"/>
  <c r="L331" i="15"/>
  <c r="AS331" i="15" s="1"/>
  <c r="K331" i="15"/>
  <c r="J331" i="15"/>
  <c r="I331" i="15"/>
  <c r="I283" i="15" s="1"/>
  <c r="H331" i="15"/>
  <c r="G331" i="15"/>
  <c r="G283" i="15" s="1"/>
  <c r="F331" i="15"/>
  <c r="E331" i="15"/>
  <c r="D331" i="15"/>
  <c r="C331" i="15"/>
  <c r="B331" i="15"/>
  <c r="BC330" i="15"/>
  <c r="BA330" i="15"/>
  <c r="AY330" i="15"/>
  <c r="AS330" i="15"/>
  <c r="Q330" i="15"/>
  <c r="P330" i="15"/>
  <c r="O330" i="15"/>
  <c r="N330" i="15"/>
  <c r="AW330" i="15" s="1"/>
  <c r="M330" i="15"/>
  <c r="AU330" i="15" s="1"/>
  <c r="L330" i="15"/>
  <c r="K330" i="15"/>
  <c r="J330" i="15"/>
  <c r="I330" i="15"/>
  <c r="H330" i="15"/>
  <c r="H282" i="15" s="1"/>
  <c r="G330" i="15"/>
  <c r="F330" i="15"/>
  <c r="E330" i="15"/>
  <c r="E282" i="15" s="1"/>
  <c r="D330" i="15"/>
  <c r="C330" i="15"/>
  <c r="B330" i="15"/>
  <c r="BC329" i="15"/>
  <c r="BA329" i="15"/>
  <c r="AY329" i="15"/>
  <c r="AW329" i="15"/>
  <c r="Q329" i="15"/>
  <c r="Q340" i="15" s="1"/>
  <c r="P329" i="15"/>
  <c r="O329" i="15"/>
  <c r="N329" i="15"/>
  <c r="M329" i="15"/>
  <c r="AU329" i="15" s="1"/>
  <c r="L329" i="15"/>
  <c r="AS329" i="15" s="1"/>
  <c r="K329" i="15"/>
  <c r="J329" i="15"/>
  <c r="J340" i="15" s="1"/>
  <c r="J21" i="15" s="1"/>
  <c r="I329" i="15"/>
  <c r="H329" i="15"/>
  <c r="G329" i="15"/>
  <c r="F329" i="15"/>
  <c r="E329" i="15"/>
  <c r="D329" i="15"/>
  <c r="D281" i="15" s="1"/>
  <c r="C329" i="15"/>
  <c r="C281" i="15" s="1"/>
  <c r="B329" i="15"/>
  <c r="BC328" i="15"/>
  <c r="AY328" i="15"/>
  <c r="AW328" i="15"/>
  <c r="Q328" i="15"/>
  <c r="P328" i="15"/>
  <c r="BA328" i="15" s="1"/>
  <c r="O328" i="15"/>
  <c r="N328" i="15"/>
  <c r="M328" i="15"/>
  <c r="AU328" i="15" s="1"/>
  <c r="L328" i="15"/>
  <c r="K328" i="15"/>
  <c r="J328" i="15"/>
  <c r="I328" i="15"/>
  <c r="H328" i="15"/>
  <c r="G328" i="15"/>
  <c r="F328" i="15"/>
  <c r="F340" i="15" s="1"/>
  <c r="F21" i="15" s="1"/>
  <c r="E328" i="15"/>
  <c r="D328" i="15"/>
  <c r="C328" i="15"/>
  <c r="B328" i="15"/>
  <c r="AP327" i="15"/>
  <c r="AO327" i="15"/>
  <c r="AN327" i="15"/>
  <c r="AM327" i="15"/>
  <c r="AL327" i="15"/>
  <c r="AK327" i="15"/>
  <c r="AJ327" i="15"/>
  <c r="AI327" i="15"/>
  <c r="AH327" i="15"/>
  <c r="AG327" i="15"/>
  <c r="AF327" i="15"/>
  <c r="AE327" i="15"/>
  <c r="AD327" i="15"/>
  <c r="AC327" i="15"/>
  <c r="AB327" i="15"/>
  <c r="AA327" i="15"/>
  <c r="Z327" i="15"/>
  <c r="Y327" i="15"/>
  <c r="X327" i="15"/>
  <c r="W327" i="15"/>
  <c r="V327" i="15"/>
  <c r="U327" i="15"/>
  <c r="T327" i="15"/>
  <c r="S327" i="15"/>
  <c r="R327" i="15"/>
  <c r="Q327" i="15"/>
  <c r="P327" i="15"/>
  <c r="O327" i="15"/>
  <c r="N327" i="15"/>
  <c r="M327" i="15"/>
  <c r="L327" i="15"/>
  <c r="K327" i="15"/>
  <c r="J327" i="15"/>
  <c r="I327" i="15"/>
  <c r="H327" i="15"/>
  <c r="G327" i="15"/>
  <c r="F327" i="15"/>
  <c r="E327" i="15"/>
  <c r="D327" i="15"/>
  <c r="C327" i="15"/>
  <c r="B327" i="15"/>
  <c r="O325" i="15"/>
  <c r="AW323" i="15"/>
  <c r="P323" i="15"/>
  <c r="BA323" i="15" s="1"/>
  <c r="O323" i="15"/>
  <c r="AY323" i="15" s="1"/>
  <c r="N323" i="15"/>
  <c r="M323" i="15"/>
  <c r="AU323" i="15" s="1"/>
  <c r="L323" i="15"/>
  <c r="AS323" i="15" s="1"/>
  <c r="K323" i="15"/>
  <c r="J323" i="15"/>
  <c r="I323" i="15"/>
  <c r="H323" i="15"/>
  <c r="G323" i="15"/>
  <c r="F323" i="15"/>
  <c r="E323" i="15"/>
  <c r="E291" i="15" s="1"/>
  <c r="D323" i="15"/>
  <c r="C323" i="15"/>
  <c r="C291" i="15" s="1"/>
  <c r="B323" i="15"/>
  <c r="B291" i="15" s="1"/>
  <c r="AY322" i="15"/>
  <c r="AS322" i="15"/>
  <c r="P322" i="15"/>
  <c r="BA322" i="15" s="1"/>
  <c r="O322" i="15"/>
  <c r="N322" i="15"/>
  <c r="AW322" i="15" s="1"/>
  <c r="M322" i="15"/>
  <c r="L322" i="15"/>
  <c r="K322" i="15"/>
  <c r="J322" i="15"/>
  <c r="I322" i="15"/>
  <c r="H322" i="15"/>
  <c r="G322" i="15"/>
  <c r="G290" i="15" s="1"/>
  <c r="F322" i="15"/>
  <c r="F290" i="15" s="1"/>
  <c r="E322" i="15"/>
  <c r="E290" i="15" s="1"/>
  <c r="D322" i="15"/>
  <c r="D290" i="15" s="1"/>
  <c r="C322" i="15"/>
  <c r="B322" i="15"/>
  <c r="AY321" i="15"/>
  <c r="P321" i="15"/>
  <c r="O321" i="15"/>
  <c r="N321" i="15"/>
  <c r="M321" i="15"/>
  <c r="L321" i="15"/>
  <c r="K321" i="15"/>
  <c r="K289" i="15" s="1"/>
  <c r="J321" i="15"/>
  <c r="I321" i="15"/>
  <c r="H321" i="15"/>
  <c r="H289" i="15" s="1"/>
  <c r="G321" i="15"/>
  <c r="F321" i="15"/>
  <c r="E321" i="15"/>
  <c r="D321" i="15"/>
  <c r="C321" i="15"/>
  <c r="C289" i="15" s="1"/>
  <c r="B321" i="15"/>
  <c r="P320" i="15"/>
  <c r="BA320" i="15" s="1"/>
  <c r="O320" i="15"/>
  <c r="AY320" i="15" s="1"/>
  <c r="N320" i="15"/>
  <c r="AW320" i="15" s="1"/>
  <c r="M320" i="15"/>
  <c r="AU320" i="15" s="1"/>
  <c r="L320" i="15"/>
  <c r="AS320" i="15" s="1"/>
  <c r="K320" i="15"/>
  <c r="K288" i="15" s="1"/>
  <c r="J320" i="15"/>
  <c r="I320" i="15"/>
  <c r="H320" i="15"/>
  <c r="G320" i="15"/>
  <c r="F320" i="15"/>
  <c r="E320" i="15"/>
  <c r="D320" i="15"/>
  <c r="D288" i="15" s="1"/>
  <c r="C320" i="15"/>
  <c r="B320" i="15"/>
  <c r="P319" i="15"/>
  <c r="O319" i="15"/>
  <c r="N319" i="15"/>
  <c r="M319" i="15"/>
  <c r="L319" i="15"/>
  <c r="K319" i="15"/>
  <c r="K287" i="15" s="1"/>
  <c r="J319" i="15"/>
  <c r="J287" i="15" s="1"/>
  <c r="I319" i="15"/>
  <c r="H319" i="15"/>
  <c r="G319" i="15"/>
  <c r="F319" i="15"/>
  <c r="E319" i="15"/>
  <c r="D319" i="15"/>
  <c r="C319" i="15"/>
  <c r="B319" i="15"/>
  <c r="P318" i="15"/>
  <c r="O318" i="15"/>
  <c r="AY318" i="15" s="1"/>
  <c r="N318" i="15"/>
  <c r="M318" i="15"/>
  <c r="L318" i="15"/>
  <c r="K318" i="15"/>
  <c r="J318" i="15"/>
  <c r="I318" i="15"/>
  <c r="H318" i="15"/>
  <c r="G318" i="15"/>
  <c r="F318" i="15"/>
  <c r="E318" i="15"/>
  <c r="D318" i="15"/>
  <c r="C318" i="15"/>
  <c r="B318" i="15"/>
  <c r="B286" i="15" s="1"/>
  <c r="BA317" i="15"/>
  <c r="AY317" i="15"/>
  <c r="AW317" i="15"/>
  <c r="AU317" i="15"/>
  <c r="P317" i="15"/>
  <c r="O317" i="15"/>
  <c r="N317" i="15"/>
  <c r="M317" i="15"/>
  <c r="L317" i="15"/>
  <c r="K317" i="15"/>
  <c r="J317" i="15"/>
  <c r="I317" i="15"/>
  <c r="H317" i="15"/>
  <c r="G317" i="15"/>
  <c r="F317" i="15"/>
  <c r="E317" i="15"/>
  <c r="D317" i="15"/>
  <c r="C317" i="15"/>
  <c r="B317" i="15"/>
  <c r="BA316" i="15"/>
  <c r="AY316" i="15"/>
  <c r="AW316" i="15"/>
  <c r="AU316" i="15"/>
  <c r="AS316" i="15"/>
  <c r="P316" i="15"/>
  <c r="O316" i="15"/>
  <c r="N316" i="15"/>
  <c r="M316" i="15"/>
  <c r="L316" i="15"/>
  <c r="K316" i="15"/>
  <c r="J316" i="15"/>
  <c r="I316" i="15"/>
  <c r="H316" i="15"/>
  <c r="H284" i="15" s="1"/>
  <c r="G316" i="15"/>
  <c r="F316" i="15"/>
  <c r="F284" i="15" s="1"/>
  <c r="E316" i="15"/>
  <c r="D316" i="15"/>
  <c r="C316" i="15"/>
  <c r="B316" i="15"/>
  <c r="BA315" i="15"/>
  <c r="AY315" i="15"/>
  <c r="AW315" i="15"/>
  <c r="AU315" i="15"/>
  <c r="AS315" i="15"/>
  <c r="P315" i="15"/>
  <c r="O315" i="15"/>
  <c r="N315" i="15"/>
  <c r="M315" i="15"/>
  <c r="L315" i="15"/>
  <c r="K315" i="15"/>
  <c r="J315" i="15"/>
  <c r="I315" i="15"/>
  <c r="H315" i="15"/>
  <c r="G315" i="15"/>
  <c r="F315" i="15"/>
  <c r="F283" i="15" s="1"/>
  <c r="E315" i="15"/>
  <c r="E283" i="15" s="1"/>
  <c r="D315" i="15"/>
  <c r="D283" i="15" s="1"/>
  <c r="C315" i="15"/>
  <c r="B315" i="15"/>
  <c r="B283" i="15" s="1"/>
  <c r="BC314" i="15"/>
  <c r="BA314" i="15"/>
  <c r="AY314" i="15"/>
  <c r="AU314" i="15"/>
  <c r="Q314" i="15"/>
  <c r="P314" i="15"/>
  <c r="O314" i="15"/>
  <c r="N314" i="15"/>
  <c r="M314" i="15"/>
  <c r="L314" i="15"/>
  <c r="K314" i="15"/>
  <c r="J314" i="15"/>
  <c r="J282" i="15" s="1"/>
  <c r="I314" i="15"/>
  <c r="H314" i="15"/>
  <c r="G314" i="15"/>
  <c r="F314" i="15"/>
  <c r="F282" i="15" s="1"/>
  <c r="E314" i="15"/>
  <c r="D314" i="15"/>
  <c r="C314" i="15"/>
  <c r="B314" i="15"/>
  <c r="B282" i="15" s="1"/>
  <c r="BA313" i="15"/>
  <c r="Q313" i="15"/>
  <c r="BC313" i="15" s="1"/>
  <c r="P313" i="15"/>
  <c r="O313" i="15"/>
  <c r="AY313" i="15" s="1"/>
  <c r="N313" i="15"/>
  <c r="AW313" i="15" s="1"/>
  <c r="M313" i="15"/>
  <c r="AU313" i="15" s="1"/>
  <c r="L313" i="15"/>
  <c r="AS313" i="15" s="1"/>
  <c r="K313" i="15"/>
  <c r="J313" i="15"/>
  <c r="I313" i="15"/>
  <c r="H313" i="15"/>
  <c r="G313" i="15"/>
  <c r="F313" i="15"/>
  <c r="E313" i="15"/>
  <c r="E281" i="15" s="1"/>
  <c r="D313" i="15"/>
  <c r="C313" i="15"/>
  <c r="B313" i="15"/>
  <c r="Q312" i="15"/>
  <c r="BC312" i="15" s="1"/>
  <c r="P312" i="15"/>
  <c r="O312" i="15"/>
  <c r="N312" i="15"/>
  <c r="AW312" i="15" s="1"/>
  <c r="M312" i="15"/>
  <c r="L312" i="15"/>
  <c r="K312" i="15"/>
  <c r="J312" i="15"/>
  <c r="J280" i="15" s="1"/>
  <c r="I312" i="15"/>
  <c r="I280" i="15" s="1"/>
  <c r="H312" i="15"/>
  <c r="G312" i="15"/>
  <c r="F312" i="15"/>
  <c r="E312" i="15"/>
  <c r="D312" i="15"/>
  <c r="C312" i="15"/>
  <c r="B312" i="15"/>
  <c r="AP311" i="15"/>
  <c r="AO311" i="15"/>
  <c r="AN311" i="15"/>
  <c r="AM311" i="15"/>
  <c r="AL311" i="15"/>
  <c r="AK311" i="15"/>
  <c r="AJ311" i="15"/>
  <c r="AI311" i="15"/>
  <c r="AH311" i="15"/>
  <c r="AG311" i="15"/>
  <c r="AF311" i="15"/>
  <c r="AE311" i="15"/>
  <c r="AD311" i="15"/>
  <c r="AC311" i="15"/>
  <c r="AB311" i="15"/>
  <c r="AA311" i="15"/>
  <c r="Z311" i="15"/>
  <c r="Y311" i="15"/>
  <c r="X311" i="15"/>
  <c r="W311" i="15"/>
  <c r="V311" i="15"/>
  <c r="U311" i="15"/>
  <c r="T311" i="15"/>
  <c r="S311" i="15"/>
  <c r="R311" i="15"/>
  <c r="Q311" i="15"/>
  <c r="P311" i="15"/>
  <c r="O311" i="15"/>
  <c r="N311" i="15"/>
  <c r="M311" i="15"/>
  <c r="L311" i="15"/>
  <c r="K311" i="15"/>
  <c r="J311" i="15"/>
  <c r="I311" i="15"/>
  <c r="H311" i="15"/>
  <c r="G311" i="15"/>
  <c r="F311" i="15"/>
  <c r="E311" i="15"/>
  <c r="D311" i="15"/>
  <c r="C311" i="15"/>
  <c r="B311" i="15"/>
  <c r="AP308" i="15"/>
  <c r="AO308" i="15"/>
  <c r="AN308" i="15"/>
  <c r="AM308" i="15"/>
  <c r="AL308" i="15"/>
  <c r="AK308" i="15"/>
  <c r="AJ308" i="15"/>
  <c r="AI308" i="15"/>
  <c r="AH308" i="15"/>
  <c r="AG308" i="15"/>
  <c r="AF308" i="15"/>
  <c r="AE308" i="15"/>
  <c r="AD308" i="15"/>
  <c r="AC308" i="15"/>
  <c r="AB308" i="15"/>
  <c r="AA308" i="15"/>
  <c r="Z308" i="15"/>
  <c r="Y308" i="15"/>
  <c r="X308" i="15"/>
  <c r="W308" i="15"/>
  <c r="V308" i="15"/>
  <c r="U308" i="15"/>
  <c r="T308" i="15"/>
  <c r="S308" i="15"/>
  <c r="R308" i="15"/>
  <c r="H308" i="15"/>
  <c r="H19" i="15" s="1"/>
  <c r="AW307" i="15"/>
  <c r="AS307" i="15"/>
  <c r="P307" i="15"/>
  <c r="BA307" i="15" s="1"/>
  <c r="O307" i="15"/>
  <c r="AY307" i="15" s="1"/>
  <c r="N307" i="15"/>
  <c r="M307" i="15"/>
  <c r="AU307" i="15" s="1"/>
  <c r="L307" i="15"/>
  <c r="K307" i="15"/>
  <c r="J307" i="15"/>
  <c r="I307" i="15"/>
  <c r="H307" i="15"/>
  <c r="G307" i="15"/>
  <c r="F307" i="15"/>
  <c r="E307" i="15"/>
  <c r="D307" i="15"/>
  <c r="C307" i="15"/>
  <c r="B307" i="15"/>
  <c r="AU306" i="15"/>
  <c r="AS306" i="15"/>
  <c r="P306" i="15"/>
  <c r="BA306" i="15" s="1"/>
  <c r="O306" i="15"/>
  <c r="AY306" i="15" s="1"/>
  <c r="N306" i="15"/>
  <c r="M306" i="15"/>
  <c r="L306" i="15"/>
  <c r="K306" i="15"/>
  <c r="J306" i="15"/>
  <c r="I306" i="15"/>
  <c r="H306" i="15"/>
  <c r="G306" i="15"/>
  <c r="F306" i="15"/>
  <c r="E306" i="15"/>
  <c r="D306" i="15"/>
  <c r="C306" i="15"/>
  <c r="B306" i="15"/>
  <c r="BA305" i="15"/>
  <c r="AY305" i="15"/>
  <c r="AU305" i="15"/>
  <c r="AS305" i="15"/>
  <c r="P305" i="15"/>
  <c r="O305" i="15"/>
  <c r="N305" i="15"/>
  <c r="AW305" i="15" s="1"/>
  <c r="M305" i="15"/>
  <c r="L305" i="15"/>
  <c r="K305" i="15"/>
  <c r="J305" i="15"/>
  <c r="I305" i="15"/>
  <c r="H305" i="15"/>
  <c r="G305" i="15"/>
  <c r="F305" i="15"/>
  <c r="E305" i="15"/>
  <c r="E289" i="15" s="1"/>
  <c r="D305" i="15"/>
  <c r="D289" i="15" s="1"/>
  <c r="C305" i="15"/>
  <c r="B305" i="15"/>
  <c r="B289" i="15" s="1"/>
  <c r="BA304" i="15"/>
  <c r="AY304" i="15"/>
  <c r="AW304" i="15"/>
  <c r="AU304" i="15"/>
  <c r="AS304" i="15"/>
  <c r="P304" i="15"/>
  <c r="O304" i="15"/>
  <c r="N304" i="15"/>
  <c r="M304" i="15"/>
  <c r="L304" i="15"/>
  <c r="K304" i="15"/>
  <c r="J304" i="15"/>
  <c r="I304" i="15"/>
  <c r="H304" i="15"/>
  <c r="G304" i="15"/>
  <c r="F304" i="15"/>
  <c r="E304" i="15"/>
  <c r="D304" i="15"/>
  <c r="C304" i="15"/>
  <c r="C288" i="15" s="1"/>
  <c r="B304" i="15"/>
  <c r="BA303" i="15"/>
  <c r="AY303" i="15"/>
  <c r="AW303" i="15"/>
  <c r="AS303" i="15"/>
  <c r="P303" i="15"/>
  <c r="O303" i="15"/>
  <c r="N303" i="15"/>
  <c r="M303" i="15"/>
  <c r="AU303" i="15" s="1"/>
  <c r="L303" i="15"/>
  <c r="K303" i="15"/>
  <c r="J303" i="15"/>
  <c r="I303" i="15"/>
  <c r="H303" i="15"/>
  <c r="G303" i="15"/>
  <c r="F303" i="15"/>
  <c r="E303" i="15"/>
  <c r="D303" i="15"/>
  <c r="C303" i="15"/>
  <c r="C287" i="15" s="1"/>
  <c r="B303" i="15"/>
  <c r="B287" i="15" s="1"/>
  <c r="AY302" i="15"/>
  <c r="P302" i="15"/>
  <c r="O302" i="15"/>
  <c r="N302" i="15"/>
  <c r="M302" i="15"/>
  <c r="AU302" i="15" s="1"/>
  <c r="L302" i="15"/>
  <c r="AS302" i="15" s="1"/>
  <c r="K302" i="15"/>
  <c r="J302" i="15"/>
  <c r="I302" i="15"/>
  <c r="H302" i="15"/>
  <c r="G302" i="15"/>
  <c r="F302" i="15"/>
  <c r="E302" i="15"/>
  <c r="E286" i="15" s="1"/>
  <c r="D302" i="15"/>
  <c r="C302" i="15"/>
  <c r="B302" i="15"/>
  <c r="P301" i="15"/>
  <c r="O301" i="15"/>
  <c r="AY301" i="15" s="1"/>
  <c r="N301" i="15"/>
  <c r="AW301" i="15" s="1"/>
  <c r="M301" i="15"/>
  <c r="AU301" i="15" s="1"/>
  <c r="L301" i="15"/>
  <c r="AS301" i="15" s="1"/>
  <c r="K301" i="15"/>
  <c r="J301" i="15"/>
  <c r="I301" i="15"/>
  <c r="H301" i="15"/>
  <c r="H285" i="15" s="1"/>
  <c r="G301" i="15"/>
  <c r="F301" i="15"/>
  <c r="E301" i="15"/>
  <c r="D301" i="15"/>
  <c r="C301" i="15"/>
  <c r="B301" i="15"/>
  <c r="P300" i="15"/>
  <c r="O300" i="15"/>
  <c r="AY300" i="15" s="1"/>
  <c r="N300" i="15"/>
  <c r="AW300" i="15" s="1"/>
  <c r="M300" i="15"/>
  <c r="L300" i="15"/>
  <c r="K300" i="15"/>
  <c r="K308" i="15" s="1"/>
  <c r="J300" i="15"/>
  <c r="J308" i="15" s="1"/>
  <c r="I300" i="15"/>
  <c r="H300" i="15"/>
  <c r="G300" i="15"/>
  <c r="G284" i="15" s="1"/>
  <c r="F300" i="15"/>
  <c r="E300" i="15"/>
  <c r="D300" i="15"/>
  <c r="C300" i="15"/>
  <c r="B300" i="15"/>
  <c r="BA299" i="15"/>
  <c r="AS299" i="15"/>
  <c r="P299" i="15"/>
  <c r="P283" i="15" s="1"/>
  <c r="BA283" i="15" s="1"/>
  <c r="O299" i="15"/>
  <c r="AY299" i="15" s="1"/>
  <c r="N299" i="15"/>
  <c r="AW299" i="15" s="1"/>
  <c r="M299" i="15"/>
  <c r="AU299" i="15" s="1"/>
  <c r="L299" i="15"/>
  <c r="K299" i="15"/>
  <c r="J299" i="15"/>
  <c r="I299" i="15"/>
  <c r="H299" i="15"/>
  <c r="G299" i="15"/>
  <c r="F299" i="15"/>
  <c r="E299" i="15"/>
  <c r="D299" i="15"/>
  <c r="C299" i="15"/>
  <c r="B299" i="15"/>
  <c r="AY298" i="15"/>
  <c r="AW298" i="15"/>
  <c r="AU298" i="15"/>
  <c r="AS298" i="15"/>
  <c r="Q298" i="15"/>
  <c r="P298" i="15"/>
  <c r="O298" i="15"/>
  <c r="N298" i="15"/>
  <c r="M298" i="15"/>
  <c r="L298" i="15"/>
  <c r="K298" i="15"/>
  <c r="J298" i="15"/>
  <c r="I298" i="15"/>
  <c r="H298" i="15"/>
  <c r="G298" i="15"/>
  <c r="F298" i="15"/>
  <c r="E298" i="15"/>
  <c r="D298" i="15"/>
  <c r="C298" i="15"/>
  <c r="B298" i="15"/>
  <c r="BC297" i="15"/>
  <c r="AY297" i="15"/>
  <c r="AW297" i="15"/>
  <c r="AU297" i="15"/>
  <c r="AS297" i="15"/>
  <c r="Q297" i="15"/>
  <c r="P297" i="15"/>
  <c r="O297" i="15"/>
  <c r="N297" i="15"/>
  <c r="M297" i="15"/>
  <c r="L297" i="15"/>
  <c r="K297" i="15"/>
  <c r="J297" i="15"/>
  <c r="I297" i="15"/>
  <c r="H297" i="15"/>
  <c r="G297" i="15"/>
  <c r="F297" i="15"/>
  <c r="E297" i="15"/>
  <c r="D297" i="15"/>
  <c r="C297" i="15"/>
  <c r="B297" i="15"/>
  <c r="BC296" i="15"/>
  <c r="BA296" i="15"/>
  <c r="AY296" i="15"/>
  <c r="AW296" i="15"/>
  <c r="AU296" i="15"/>
  <c r="Q296" i="15"/>
  <c r="P296" i="15"/>
  <c r="O296" i="15"/>
  <c r="N296" i="15"/>
  <c r="M296" i="15"/>
  <c r="L296" i="15"/>
  <c r="AS296" i="15" s="1"/>
  <c r="K296" i="15"/>
  <c r="J296" i="15"/>
  <c r="I296" i="15"/>
  <c r="I308" i="15" s="1"/>
  <c r="I19" i="15" s="1"/>
  <c r="H296" i="15"/>
  <c r="G296" i="15"/>
  <c r="F296" i="15"/>
  <c r="E296" i="15"/>
  <c r="D296" i="15"/>
  <c r="C296" i="15"/>
  <c r="B296" i="15"/>
  <c r="AP295" i="15"/>
  <c r="AO295" i="15"/>
  <c r="AN295" i="15"/>
  <c r="AM295" i="15"/>
  <c r="AL295" i="15"/>
  <c r="AK295" i="15"/>
  <c r="AJ295" i="15"/>
  <c r="AI295" i="15"/>
  <c r="AH295" i="15"/>
  <c r="AG295" i="15"/>
  <c r="AF295" i="15"/>
  <c r="AE295" i="15"/>
  <c r="AD295" i="15"/>
  <c r="AC295" i="15"/>
  <c r="AB295" i="15"/>
  <c r="AA295" i="15"/>
  <c r="Z295" i="15"/>
  <c r="Y295" i="15"/>
  <c r="X295" i="15"/>
  <c r="W295" i="15"/>
  <c r="V295" i="15"/>
  <c r="U295" i="15"/>
  <c r="T295" i="15"/>
  <c r="S295" i="15"/>
  <c r="R295" i="15"/>
  <c r="Q295" i="15"/>
  <c r="P295" i="15"/>
  <c r="O295" i="15"/>
  <c r="N295" i="15"/>
  <c r="M295" i="15"/>
  <c r="L295" i="15"/>
  <c r="K295" i="15"/>
  <c r="J295" i="15"/>
  <c r="I295" i="15"/>
  <c r="H295" i="15"/>
  <c r="G295" i="15"/>
  <c r="F295" i="15"/>
  <c r="E295" i="15"/>
  <c r="D295" i="15"/>
  <c r="C295" i="15"/>
  <c r="B295" i="15"/>
  <c r="O291" i="15"/>
  <c r="AY291" i="15" s="1"/>
  <c r="L291" i="15"/>
  <c r="AS291" i="15" s="1"/>
  <c r="K291" i="15"/>
  <c r="J291" i="15"/>
  <c r="I291" i="15"/>
  <c r="H291" i="15"/>
  <c r="G291" i="15"/>
  <c r="F291" i="15"/>
  <c r="D291" i="15"/>
  <c r="L290" i="15"/>
  <c r="AS290" i="15" s="1"/>
  <c r="C290" i="15"/>
  <c r="J289" i="15"/>
  <c r="I289" i="15"/>
  <c r="F289" i="15"/>
  <c r="AY288" i="15"/>
  <c r="AS288" i="15"/>
  <c r="O288" i="15"/>
  <c r="L288" i="15"/>
  <c r="B288" i="15"/>
  <c r="O286" i="15"/>
  <c r="AY286" i="15" s="1"/>
  <c r="D286" i="15"/>
  <c r="K285" i="15"/>
  <c r="I285" i="15"/>
  <c r="G285" i="15"/>
  <c r="F285" i="15"/>
  <c r="E285" i="15"/>
  <c r="D285" i="15"/>
  <c r="C285" i="15"/>
  <c r="B285" i="15"/>
  <c r="I284" i="15"/>
  <c r="E284" i="15"/>
  <c r="D284" i="15"/>
  <c r="C284" i="15"/>
  <c r="O283" i="15"/>
  <c r="AY283" i="15" s="1"/>
  <c r="N283" i="15"/>
  <c r="AW283" i="15" s="1"/>
  <c r="M283" i="15"/>
  <c r="AU283" i="15" s="1"/>
  <c r="L283" i="15"/>
  <c r="AS283" i="15" s="1"/>
  <c r="K283" i="15"/>
  <c r="J283" i="15"/>
  <c r="Q282" i="15"/>
  <c r="BC282" i="15" s="1"/>
  <c r="O282" i="15"/>
  <c r="AY282" i="15" s="1"/>
  <c r="AW281" i="15"/>
  <c r="Q281" i="15"/>
  <c r="BC281" i="15" s="1"/>
  <c r="O281" i="15"/>
  <c r="AY281" i="15" s="1"/>
  <c r="N281" i="15"/>
  <c r="M281" i="15"/>
  <c r="AU281" i="15" s="1"/>
  <c r="L281" i="15"/>
  <c r="AS281" i="15" s="1"/>
  <c r="K281" i="15"/>
  <c r="H281" i="15"/>
  <c r="AW280" i="15"/>
  <c r="Q280" i="15"/>
  <c r="P280" i="15"/>
  <c r="O280" i="15"/>
  <c r="N280" i="15"/>
  <c r="K280" i="15"/>
  <c r="AP279" i="15"/>
  <c r="AO279" i="15"/>
  <c r="AN279" i="15"/>
  <c r="AM279" i="15"/>
  <c r="AL279" i="15"/>
  <c r="AK279" i="15"/>
  <c r="AJ279" i="15"/>
  <c r="AI279" i="15"/>
  <c r="AH279" i="15"/>
  <c r="AG279" i="15"/>
  <c r="AF279" i="15"/>
  <c r="AE279" i="15"/>
  <c r="AD279" i="15"/>
  <c r="AC279" i="15"/>
  <c r="AB279" i="15"/>
  <c r="AA279" i="15"/>
  <c r="Z279" i="15"/>
  <c r="Y279" i="15"/>
  <c r="X279" i="15"/>
  <c r="W279" i="15"/>
  <c r="V279" i="15"/>
  <c r="U279" i="15"/>
  <c r="T279" i="15"/>
  <c r="S279" i="15"/>
  <c r="R279" i="15"/>
  <c r="Q279" i="15"/>
  <c r="P279" i="15"/>
  <c r="O279" i="15"/>
  <c r="N279" i="15"/>
  <c r="M279" i="15"/>
  <c r="L279" i="15"/>
  <c r="K279" i="15"/>
  <c r="J279" i="15"/>
  <c r="I279" i="15"/>
  <c r="H279" i="15"/>
  <c r="G279" i="15"/>
  <c r="F279" i="15"/>
  <c r="E279" i="15"/>
  <c r="D279" i="15"/>
  <c r="C279" i="15"/>
  <c r="B279" i="15"/>
  <c r="AP276" i="15"/>
  <c r="AO276" i="15"/>
  <c r="AN276" i="15"/>
  <c r="AM276" i="15"/>
  <c r="AL276" i="15"/>
  <c r="AK276" i="15"/>
  <c r="AJ276" i="15"/>
  <c r="AI276" i="15"/>
  <c r="AH276" i="15"/>
  <c r="AG276" i="15"/>
  <c r="AF276" i="15"/>
  <c r="AE276" i="15"/>
  <c r="AD276" i="15"/>
  <c r="AC276" i="15"/>
  <c r="AB276" i="15"/>
  <c r="AA276" i="15"/>
  <c r="Z276" i="15"/>
  <c r="Z16" i="15" s="1"/>
  <c r="BU16" i="15" s="1"/>
  <c r="Y276" i="15"/>
  <c r="X276" i="15"/>
  <c r="W276" i="15"/>
  <c r="V276" i="15"/>
  <c r="U276" i="15"/>
  <c r="T276" i="15"/>
  <c r="S276" i="15"/>
  <c r="R276" i="15"/>
  <c r="BC275" i="15"/>
  <c r="AS275" i="15"/>
  <c r="P275" i="15"/>
  <c r="BA275" i="15" s="1"/>
  <c r="O275" i="15"/>
  <c r="AY275" i="15" s="1"/>
  <c r="N275" i="15"/>
  <c r="AW275" i="15" s="1"/>
  <c r="M275" i="15"/>
  <c r="AU275" i="15" s="1"/>
  <c r="L275" i="15"/>
  <c r="K275" i="15"/>
  <c r="J275" i="15"/>
  <c r="I275" i="15"/>
  <c r="H275" i="15"/>
  <c r="G275" i="15"/>
  <c r="F275" i="15"/>
  <c r="E275" i="15"/>
  <c r="D275" i="15"/>
  <c r="C275" i="15"/>
  <c r="B275" i="15"/>
  <c r="BC274" i="15"/>
  <c r="AS274" i="15"/>
  <c r="P274" i="15"/>
  <c r="O274" i="15"/>
  <c r="AY274" i="15" s="1"/>
  <c r="N274" i="15"/>
  <c r="M274" i="15"/>
  <c r="AU274" i="15" s="1"/>
  <c r="L274" i="15"/>
  <c r="K274" i="15"/>
  <c r="J274" i="15"/>
  <c r="I274" i="15"/>
  <c r="H274" i="15"/>
  <c r="G274" i="15"/>
  <c r="F274" i="15"/>
  <c r="E274" i="15"/>
  <c r="D274" i="15"/>
  <c r="C274" i="15"/>
  <c r="B274" i="15"/>
  <c r="BC273" i="15"/>
  <c r="AY273" i="15"/>
  <c r="P273" i="15"/>
  <c r="BA273" i="15" s="1"/>
  <c r="O273" i="15"/>
  <c r="N273" i="15"/>
  <c r="AW273" i="15" s="1"/>
  <c r="M273" i="15"/>
  <c r="L273" i="15"/>
  <c r="K273" i="15"/>
  <c r="J273" i="15"/>
  <c r="I273" i="15"/>
  <c r="H273" i="15"/>
  <c r="G273" i="15"/>
  <c r="F273" i="15"/>
  <c r="E273" i="15"/>
  <c r="D273" i="15"/>
  <c r="C273" i="15"/>
  <c r="B273" i="15"/>
  <c r="BC272" i="15"/>
  <c r="P272" i="15"/>
  <c r="BA272" i="15" s="1"/>
  <c r="O272" i="15"/>
  <c r="AY272" i="15" s="1"/>
  <c r="N272" i="15"/>
  <c r="AW272" i="15" s="1"/>
  <c r="M272" i="15"/>
  <c r="AU272" i="15" s="1"/>
  <c r="L272" i="15"/>
  <c r="AS272" i="15" s="1"/>
  <c r="K272" i="15"/>
  <c r="J272" i="15"/>
  <c r="I272" i="15"/>
  <c r="H272" i="15"/>
  <c r="G272" i="15"/>
  <c r="F272" i="15"/>
  <c r="E272" i="15"/>
  <c r="D272" i="15"/>
  <c r="C272" i="15"/>
  <c r="B272" i="15"/>
  <c r="BC271" i="15"/>
  <c r="P271" i="15"/>
  <c r="O271" i="15"/>
  <c r="AY271" i="15" s="1"/>
  <c r="N271" i="15"/>
  <c r="M271" i="15"/>
  <c r="AU271" i="15" s="1"/>
  <c r="L271" i="15"/>
  <c r="AS271" i="15" s="1"/>
  <c r="K271" i="15"/>
  <c r="J271" i="15"/>
  <c r="I271" i="15"/>
  <c r="H271" i="15"/>
  <c r="G271" i="15"/>
  <c r="F271" i="15"/>
  <c r="E271" i="15"/>
  <c r="D271" i="15"/>
  <c r="C271" i="15"/>
  <c r="B271" i="15"/>
  <c r="BC270" i="15"/>
  <c r="P270" i="15"/>
  <c r="BA270" i="15" s="1"/>
  <c r="O270" i="15"/>
  <c r="AY270" i="15" s="1"/>
  <c r="N270" i="15"/>
  <c r="AW270" i="15" s="1"/>
  <c r="M270" i="15"/>
  <c r="AU270" i="15" s="1"/>
  <c r="L270" i="15"/>
  <c r="L238" i="15" s="1"/>
  <c r="K270" i="15"/>
  <c r="J270" i="15"/>
  <c r="J238" i="15" s="1"/>
  <c r="I270" i="15"/>
  <c r="H270" i="15"/>
  <c r="G270" i="15"/>
  <c r="F270" i="15"/>
  <c r="E270" i="15"/>
  <c r="D270" i="15"/>
  <c r="C270" i="15"/>
  <c r="B270" i="15"/>
  <c r="BC269" i="15"/>
  <c r="P269" i="15"/>
  <c r="BA269" i="15" s="1"/>
  <c r="O269" i="15"/>
  <c r="N269" i="15"/>
  <c r="AW269" i="15" s="1"/>
  <c r="M269" i="15"/>
  <c r="AU269" i="15" s="1"/>
  <c r="L269" i="15"/>
  <c r="AS269" i="15" s="1"/>
  <c r="K269" i="15"/>
  <c r="J269" i="15"/>
  <c r="I269" i="15"/>
  <c r="I237" i="15" s="1"/>
  <c r="H269" i="15"/>
  <c r="G269" i="15"/>
  <c r="F269" i="15"/>
  <c r="E269" i="15"/>
  <c r="D269" i="15"/>
  <c r="D276" i="15" s="1"/>
  <c r="D16" i="15" s="1"/>
  <c r="C269" i="15"/>
  <c r="B269" i="15"/>
  <c r="BC268" i="15"/>
  <c r="AU268" i="15"/>
  <c r="P268" i="15"/>
  <c r="O268" i="15"/>
  <c r="N268" i="15"/>
  <c r="AW268" i="15" s="1"/>
  <c r="M268" i="15"/>
  <c r="M236" i="15" s="1"/>
  <c r="L268" i="15"/>
  <c r="K268" i="15"/>
  <c r="J268" i="15"/>
  <c r="I268" i="15"/>
  <c r="H268" i="15"/>
  <c r="G268" i="15"/>
  <c r="F268" i="15"/>
  <c r="E268" i="15"/>
  <c r="D268" i="15"/>
  <c r="C268" i="15"/>
  <c r="B268" i="15"/>
  <c r="BC267" i="15"/>
  <c r="AS267" i="15"/>
  <c r="P267" i="15"/>
  <c r="BA267" i="15" s="1"/>
  <c r="O267" i="15"/>
  <c r="AY267" i="15" s="1"/>
  <c r="N267" i="15"/>
  <c r="M267" i="15"/>
  <c r="L267" i="15"/>
  <c r="L235" i="15" s="1"/>
  <c r="AS235" i="15" s="1"/>
  <c r="K267" i="15"/>
  <c r="K235" i="15" s="1"/>
  <c r="J267" i="15"/>
  <c r="I267" i="15"/>
  <c r="H267" i="15"/>
  <c r="G267" i="15"/>
  <c r="F267" i="15"/>
  <c r="E267" i="15"/>
  <c r="D267" i="15"/>
  <c r="C267" i="15"/>
  <c r="B267" i="15"/>
  <c r="BA266" i="15"/>
  <c r="Q266" i="15"/>
  <c r="P266" i="15"/>
  <c r="O266" i="15"/>
  <c r="AY266" i="15" s="1"/>
  <c r="N266" i="15"/>
  <c r="M266" i="15"/>
  <c r="L266" i="15"/>
  <c r="K266" i="15"/>
  <c r="K234" i="15" s="1"/>
  <c r="J266" i="15"/>
  <c r="I266" i="15"/>
  <c r="I234" i="15" s="1"/>
  <c r="H266" i="15"/>
  <c r="G266" i="15"/>
  <c r="F266" i="15"/>
  <c r="E266" i="15"/>
  <c r="D266" i="15"/>
  <c r="C266" i="15"/>
  <c r="B266" i="15"/>
  <c r="BA265" i="15"/>
  <c r="Q265" i="15"/>
  <c r="BC265" i="15" s="1"/>
  <c r="P265" i="15"/>
  <c r="O265" i="15"/>
  <c r="AY265" i="15" s="1"/>
  <c r="N265" i="15"/>
  <c r="M265" i="15"/>
  <c r="AU265" i="15" s="1"/>
  <c r="L265" i="15"/>
  <c r="AS265" i="15" s="1"/>
  <c r="K265" i="15"/>
  <c r="J265" i="15"/>
  <c r="J233" i="15" s="1"/>
  <c r="I265" i="15"/>
  <c r="I233" i="15" s="1"/>
  <c r="H265" i="15"/>
  <c r="G265" i="15"/>
  <c r="G233" i="15" s="1"/>
  <c r="F265" i="15"/>
  <c r="E265" i="15"/>
  <c r="D265" i="15"/>
  <c r="C265" i="15"/>
  <c r="B265" i="15"/>
  <c r="BA264" i="15"/>
  <c r="Q264" i="15"/>
  <c r="P264" i="15"/>
  <c r="O264" i="15"/>
  <c r="AY264" i="15" s="1"/>
  <c r="N264" i="15"/>
  <c r="AW264" i="15" s="1"/>
  <c r="M264" i="15"/>
  <c r="L264" i="15"/>
  <c r="K264" i="15"/>
  <c r="J264" i="15"/>
  <c r="I264" i="15"/>
  <c r="I276" i="15" s="1"/>
  <c r="I16" i="15" s="1"/>
  <c r="H264" i="15"/>
  <c r="G264" i="15"/>
  <c r="F264" i="15"/>
  <c r="F276" i="15" s="1"/>
  <c r="F16" i="15" s="1"/>
  <c r="E264" i="15"/>
  <c r="D264" i="15"/>
  <c r="C264" i="15"/>
  <c r="C276" i="15" s="1"/>
  <c r="C16" i="15" s="1"/>
  <c r="B264" i="15"/>
  <c r="AP263" i="15"/>
  <c r="AO263" i="15"/>
  <c r="AN263" i="15"/>
  <c r="AM263" i="15"/>
  <c r="AL263" i="15"/>
  <c r="AK263" i="15"/>
  <c r="AJ263" i="15"/>
  <c r="AI263" i="15"/>
  <c r="AH263" i="15"/>
  <c r="AG263" i="15"/>
  <c r="AF263" i="15"/>
  <c r="AE263" i="15"/>
  <c r="AD263" i="15"/>
  <c r="AC263" i="15"/>
  <c r="AB263" i="15"/>
  <c r="AA263" i="15"/>
  <c r="Z263" i="15"/>
  <c r="Y263" i="15"/>
  <c r="X263" i="15"/>
  <c r="W263" i="15"/>
  <c r="V263" i="15"/>
  <c r="U263" i="15"/>
  <c r="T263" i="15"/>
  <c r="S263" i="15"/>
  <c r="R263" i="15"/>
  <c r="Q263" i="15"/>
  <c r="P263" i="15"/>
  <c r="O263" i="15"/>
  <c r="N263" i="15"/>
  <c r="M263" i="15"/>
  <c r="L263" i="15"/>
  <c r="K263" i="15"/>
  <c r="J263" i="15"/>
  <c r="I263" i="15"/>
  <c r="H263" i="15"/>
  <c r="G263" i="15"/>
  <c r="F263" i="15"/>
  <c r="E263" i="15"/>
  <c r="D263" i="15"/>
  <c r="C263" i="15"/>
  <c r="B263" i="15"/>
  <c r="AP260" i="15"/>
  <c r="AO260" i="15"/>
  <c r="AN260" i="15"/>
  <c r="AM260" i="15"/>
  <c r="AM15" i="15" s="1"/>
  <c r="AL260" i="15"/>
  <c r="AK260" i="15"/>
  <c r="AJ260" i="15"/>
  <c r="AI260" i="15"/>
  <c r="AH260" i="15"/>
  <c r="AG260" i="15"/>
  <c r="AF260" i="15"/>
  <c r="AE260" i="15"/>
  <c r="AD260" i="15"/>
  <c r="AC260" i="15"/>
  <c r="AB260" i="15"/>
  <c r="AA260" i="15"/>
  <c r="Z260" i="15"/>
  <c r="Y260" i="15"/>
  <c r="X260" i="15"/>
  <c r="W260" i="15"/>
  <c r="V260" i="15"/>
  <c r="U260" i="15"/>
  <c r="T260" i="15"/>
  <c r="S260" i="15"/>
  <c r="R260" i="15"/>
  <c r="Q260" i="15"/>
  <c r="O260" i="15"/>
  <c r="BC259" i="15"/>
  <c r="P259" i="15"/>
  <c r="O259" i="15"/>
  <c r="AY259" i="15" s="1"/>
  <c r="N259" i="15"/>
  <c r="M259" i="15"/>
  <c r="L259" i="15"/>
  <c r="K259" i="15"/>
  <c r="K243" i="15" s="1"/>
  <c r="J259" i="15"/>
  <c r="J243" i="15" s="1"/>
  <c r="I259" i="15"/>
  <c r="H259" i="15"/>
  <c r="H243" i="15" s="1"/>
  <c r="G259" i="15"/>
  <c r="G243" i="15" s="1"/>
  <c r="F259" i="15"/>
  <c r="F243" i="15" s="1"/>
  <c r="E259" i="15"/>
  <c r="D259" i="15"/>
  <c r="C259" i="15"/>
  <c r="B259" i="15"/>
  <c r="BC258" i="15"/>
  <c r="P258" i="15"/>
  <c r="BA258" i="15" s="1"/>
  <c r="O258" i="15"/>
  <c r="N258" i="15"/>
  <c r="AW258" i="15" s="1"/>
  <c r="M258" i="15"/>
  <c r="L258" i="15"/>
  <c r="AS258" i="15" s="1"/>
  <c r="K258" i="15"/>
  <c r="K242" i="15" s="1"/>
  <c r="J258" i="15"/>
  <c r="I258" i="15"/>
  <c r="H258" i="15"/>
  <c r="H242" i="15" s="1"/>
  <c r="G258" i="15"/>
  <c r="F258" i="15"/>
  <c r="F242" i="15" s="1"/>
  <c r="E258" i="15"/>
  <c r="E242" i="15" s="1"/>
  <c r="D258" i="15"/>
  <c r="D242" i="15" s="1"/>
  <c r="C258" i="15"/>
  <c r="C242" i="15" s="1"/>
  <c r="B258" i="15"/>
  <c r="BC257" i="15"/>
  <c r="BA257" i="15"/>
  <c r="P257" i="15"/>
  <c r="P241" i="15" s="1"/>
  <c r="BA241" i="15" s="1"/>
  <c r="O257" i="15"/>
  <c r="AY257" i="15" s="1"/>
  <c r="N257" i="15"/>
  <c r="M257" i="15"/>
  <c r="AU257" i="15" s="1"/>
  <c r="L257" i="15"/>
  <c r="AS257" i="15" s="1"/>
  <c r="K257" i="15"/>
  <c r="K241" i="15" s="1"/>
  <c r="J257" i="15"/>
  <c r="I257" i="15"/>
  <c r="I241" i="15" s="1"/>
  <c r="H257" i="15"/>
  <c r="G257" i="15"/>
  <c r="F257" i="15"/>
  <c r="F241" i="15" s="1"/>
  <c r="E257" i="15"/>
  <c r="E241" i="15" s="1"/>
  <c r="D257" i="15"/>
  <c r="D241" i="15" s="1"/>
  <c r="C257" i="15"/>
  <c r="C241" i="15" s="1"/>
  <c r="B257" i="15"/>
  <c r="BC256" i="15"/>
  <c r="AY256" i="15"/>
  <c r="P256" i="15"/>
  <c r="BA256" i="15" s="1"/>
  <c r="O256" i="15"/>
  <c r="N256" i="15"/>
  <c r="AW256" i="15" s="1"/>
  <c r="M256" i="15"/>
  <c r="L256" i="15"/>
  <c r="AS256" i="15" s="1"/>
  <c r="K256" i="15"/>
  <c r="J256" i="15"/>
  <c r="J240" i="15" s="1"/>
  <c r="I256" i="15"/>
  <c r="I240" i="15" s="1"/>
  <c r="H256" i="15"/>
  <c r="H240" i="15" s="1"/>
  <c r="G256" i="15"/>
  <c r="F256" i="15"/>
  <c r="F240" i="15" s="1"/>
  <c r="E256" i="15"/>
  <c r="D256" i="15"/>
  <c r="D240" i="15" s="1"/>
  <c r="C256" i="15"/>
  <c r="C240" i="15" s="1"/>
  <c r="B256" i="15"/>
  <c r="B240" i="15" s="1"/>
  <c r="BC255" i="15"/>
  <c r="BA255" i="15"/>
  <c r="AW255" i="15"/>
  <c r="P255" i="15"/>
  <c r="O255" i="15"/>
  <c r="AY255" i="15" s="1"/>
  <c r="N255" i="15"/>
  <c r="M255" i="15"/>
  <c r="AU255" i="15" s="1"/>
  <c r="L255" i="15"/>
  <c r="K255" i="15"/>
  <c r="J255" i="15"/>
  <c r="J239" i="15" s="1"/>
  <c r="I255" i="15"/>
  <c r="I239" i="15" s="1"/>
  <c r="H255" i="15"/>
  <c r="H239" i="15" s="1"/>
  <c r="G255" i="15"/>
  <c r="G239" i="15" s="1"/>
  <c r="F255" i="15"/>
  <c r="F239" i="15" s="1"/>
  <c r="E255" i="15"/>
  <c r="E239" i="15" s="1"/>
  <c r="D255" i="15"/>
  <c r="D239" i="15" s="1"/>
  <c r="C255" i="15"/>
  <c r="C239" i="15" s="1"/>
  <c r="B255" i="15"/>
  <c r="B239" i="15" s="1"/>
  <c r="BC254" i="15"/>
  <c r="BA254" i="15"/>
  <c r="AY254" i="15"/>
  <c r="AU254" i="15"/>
  <c r="P254" i="15"/>
  <c r="O254" i="15"/>
  <c r="N254" i="15"/>
  <c r="AW254" i="15" s="1"/>
  <c r="M254" i="15"/>
  <c r="L254" i="15"/>
  <c r="AS254" i="15" s="1"/>
  <c r="K254" i="15"/>
  <c r="J254" i="15"/>
  <c r="I254" i="15"/>
  <c r="I238" i="15" s="1"/>
  <c r="H254" i="15"/>
  <c r="H238" i="15" s="1"/>
  <c r="G254" i="15"/>
  <c r="G238" i="15" s="1"/>
  <c r="F254" i="15"/>
  <c r="F238" i="15" s="1"/>
  <c r="E254" i="15"/>
  <c r="E238" i="15" s="1"/>
  <c r="D254" i="15"/>
  <c r="D238" i="15" s="1"/>
  <c r="C254" i="15"/>
  <c r="C238" i="15" s="1"/>
  <c r="B254" i="15"/>
  <c r="B238" i="15" s="1"/>
  <c r="BC253" i="15"/>
  <c r="BA253" i="15"/>
  <c r="AY253" i="15"/>
  <c r="AW253" i="15"/>
  <c r="AS253" i="15"/>
  <c r="P253" i="15"/>
  <c r="O253" i="15"/>
  <c r="N253" i="15"/>
  <c r="M253" i="15"/>
  <c r="AU253" i="15" s="1"/>
  <c r="L253" i="15"/>
  <c r="K253" i="15"/>
  <c r="K237" i="15" s="1"/>
  <c r="J253" i="15"/>
  <c r="J237" i="15" s="1"/>
  <c r="I253" i="15"/>
  <c r="H253" i="15"/>
  <c r="H237" i="15" s="1"/>
  <c r="G253" i="15"/>
  <c r="G237" i="15" s="1"/>
  <c r="F253" i="15"/>
  <c r="F237" i="15" s="1"/>
  <c r="E253" i="15"/>
  <c r="E237" i="15" s="1"/>
  <c r="D253" i="15"/>
  <c r="D237" i="15" s="1"/>
  <c r="C253" i="15"/>
  <c r="C237" i="15" s="1"/>
  <c r="B253" i="15"/>
  <c r="B237" i="15" s="1"/>
  <c r="BC252" i="15"/>
  <c r="BA252" i="15"/>
  <c r="AY252" i="15"/>
  <c r="AW252" i="15"/>
  <c r="AU252" i="15"/>
  <c r="P252" i="15"/>
  <c r="O252" i="15"/>
  <c r="N252" i="15"/>
  <c r="M252" i="15"/>
  <c r="L252" i="15"/>
  <c r="AS252" i="15" s="1"/>
  <c r="K252" i="15"/>
  <c r="K236" i="15" s="1"/>
  <c r="J252" i="15"/>
  <c r="I252" i="15"/>
  <c r="H252" i="15"/>
  <c r="G252" i="15"/>
  <c r="F252" i="15"/>
  <c r="F236" i="15" s="1"/>
  <c r="E252" i="15"/>
  <c r="E236" i="15" s="1"/>
  <c r="D252" i="15"/>
  <c r="D236" i="15" s="1"/>
  <c r="C252" i="15"/>
  <c r="B252" i="15"/>
  <c r="BC251" i="15"/>
  <c r="BA251" i="15"/>
  <c r="AY251" i="15"/>
  <c r="AW251" i="15"/>
  <c r="AU251" i="15"/>
  <c r="AS251" i="15"/>
  <c r="P251" i="15"/>
  <c r="O251" i="15"/>
  <c r="N251" i="15"/>
  <c r="M251" i="15"/>
  <c r="L251" i="15"/>
  <c r="K251" i="15"/>
  <c r="J251" i="15"/>
  <c r="I251" i="15"/>
  <c r="H251" i="15"/>
  <c r="G251" i="15"/>
  <c r="F251" i="15"/>
  <c r="E251" i="15"/>
  <c r="E235" i="15" s="1"/>
  <c r="D251" i="15"/>
  <c r="D235" i="15" s="1"/>
  <c r="C251" i="15"/>
  <c r="C235" i="15" s="1"/>
  <c r="B251" i="15"/>
  <c r="BC250" i="15"/>
  <c r="BA250" i="15"/>
  <c r="AY250" i="15"/>
  <c r="AW250" i="15"/>
  <c r="AU250" i="15"/>
  <c r="AS250" i="15"/>
  <c r="Q250" i="15"/>
  <c r="P250" i="15"/>
  <c r="O250" i="15"/>
  <c r="N250" i="15"/>
  <c r="M250" i="15"/>
  <c r="L250" i="15"/>
  <c r="K250" i="15"/>
  <c r="J250" i="15"/>
  <c r="I250" i="15"/>
  <c r="H250" i="15"/>
  <c r="H234" i="15" s="1"/>
  <c r="G250" i="15"/>
  <c r="F250" i="15"/>
  <c r="F234" i="15" s="1"/>
  <c r="E250" i="15"/>
  <c r="E234" i="15" s="1"/>
  <c r="D250" i="15"/>
  <c r="C250" i="15"/>
  <c r="C234" i="15" s="1"/>
  <c r="B250" i="15"/>
  <c r="B234" i="15" s="1"/>
  <c r="BC249" i="15"/>
  <c r="BA249" i="15"/>
  <c r="AY249" i="15"/>
  <c r="AW249" i="15"/>
  <c r="AU249" i="15"/>
  <c r="AS249" i="15"/>
  <c r="Q249" i="15"/>
  <c r="P249" i="15"/>
  <c r="O249" i="15"/>
  <c r="N249" i="15"/>
  <c r="M249" i="15"/>
  <c r="L249" i="15"/>
  <c r="K249" i="15"/>
  <c r="J249" i="15"/>
  <c r="I249" i="15"/>
  <c r="H249" i="15"/>
  <c r="G249" i="15"/>
  <c r="F249" i="15"/>
  <c r="E249" i="15"/>
  <c r="E233" i="15" s="1"/>
  <c r="D249" i="15"/>
  <c r="D233" i="15" s="1"/>
  <c r="C249" i="15"/>
  <c r="C233" i="15" s="1"/>
  <c r="B249" i="15"/>
  <c r="B233" i="15" s="1"/>
  <c r="BC248" i="15"/>
  <c r="BA248" i="15"/>
  <c r="AY248" i="15"/>
  <c r="AW248" i="15"/>
  <c r="AU248" i="15"/>
  <c r="AS248" i="15"/>
  <c r="Q248" i="15"/>
  <c r="P248" i="15"/>
  <c r="P260" i="15" s="1"/>
  <c r="BA260" i="15" s="1"/>
  <c r="O248" i="15"/>
  <c r="N248" i="15"/>
  <c r="M248" i="15"/>
  <c r="L248" i="15"/>
  <c r="K248" i="15"/>
  <c r="J248" i="15"/>
  <c r="I248" i="15"/>
  <c r="H248" i="15"/>
  <c r="G248" i="15"/>
  <c r="F248" i="15"/>
  <c r="E248" i="15"/>
  <c r="D248" i="15"/>
  <c r="C248" i="15"/>
  <c r="B248" i="15"/>
  <c r="AP247" i="15"/>
  <c r="AO247" i="15"/>
  <c r="AN247" i="15"/>
  <c r="AM247" i="15"/>
  <c r="AL247" i="15"/>
  <c r="AK247" i="15"/>
  <c r="AJ247" i="15"/>
  <c r="AI247" i="15"/>
  <c r="AH247" i="15"/>
  <c r="AG247" i="15"/>
  <c r="AF247" i="15"/>
  <c r="AE247" i="15"/>
  <c r="AD247" i="15"/>
  <c r="AC247" i="15"/>
  <c r="AB247" i="15"/>
  <c r="AA247" i="15"/>
  <c r="Z247" i="15"/>
  <c r="Y247" i="15"/>
  <c r="X247" i="15"/>
  <c r="W247" i="15"/>
  <c r="V247" i="15"/>
  <c r="U247" i="15"/>
  <c r="T247" i="15"/>
  <c r="S247" i="15"/>
  <c r="R247" i="15"/>
  <c r="Q247" i="15"/>
  <c r="P247" i="15"/>
  <c r="O247" i="15"/>
  <c r="N247" i="15"/>
  <c r="M247" i="15"/>
  <c r="L247" i="15"/>
  <c r="K247" i="15"/>
  <c r="J247" i="15"/>
  <c r="I247" i="15"/>
  <c r="H247" i="15"/>
  <c r="G247" i="15"/>
  <c r="F247" i="15"/>
  <c r="E247" i="15"/>
  <c r="D247" i="15"/>
  <c r="C247" i="15"/>
  <c r="B247" i="15"/>
  <c r="U244" i="15"/>
  <c r="BC243" i="15"/>
  <c r="AP243" i="15"/>
  <c r="AO243" i="15"/>
  <c r="AN243" i="15"/>
  <c r="AM243" i="15"/>
  <c r="AL243" i="15"/>
  <c r="AK243" i="15"/>
  <c r="AJ243" i="15"/>
  <c r="AI243" i="15"/>
  <c r="AH243" i="15"/>
  <c r="AG243" i="15"/>
  <c r="AF243" i="15"/>
  <c r="AE243" i="15"/>
  <c r="AD243" i="15"/>
  <c r="AC243" i="15"/>
  <c r="AB243" i="15"/>
  <c r="AA243" i="15"/>
  <c r="Z243" i="15"/>
  <c r="Y243" i="15"/>
  <c r="X243" i="15"/>
  <c r="W243" i="15"/>
  <c r="V243" i="15"/>
  <c r="U243" i="15"/>
  <c r="T243" i="15"/>
  <c r="S243" i="15"/>
  <c r="R243" i="15"/>
  <c r="Q243" i="15"/>
  <c r="I243" i="15"/>
  <c r="E243" i="15"/>
  <c r="D243" i="15"/>
  <c r="C243" i="15"/>
  <c r="B243" i="15"/>
  <c r="BC242" i="15"/>
  <c r="AP242" i="15"/>
  <c r="AO242" i="15"/>
  <c r="AN242" i="15"/>
  <c r="AM242" i="15"/>
  <c r="AL242" i="15"/>
  <c r="AK242" i="15"/>
  <c r="AJ242" i="15"/>
  <c r="AI242" i="15"/>
  <c r="AH242" i="15"/>
  <c r="AG242" i="15"/>
  <c r="AF242" i="15"/>
  <c r="AE242" i="15"/>
  <c r="AD242" i="15"/>
  <c r="AC242" i="15"/>
  <c r="AB242" i="15"/>
  <c r="AA242" i="15"/>
  <c r="Z242" i="15"/>
  <c r="Y242" i="15"/>
  <c r="X242" i="15"/>
  <c r="W242" i="15"/>
  <c r="V242" i="15"/>
  <c r="U242" i="15"/>
  <c r="T242" i="15"/>
  <c r="S242" i="15"/>
  <c r="R242" i="15"/>
  <c r="Q242" i="15"/>
  <c r="J242" i="15"/>
  <c r="I242" i="15"/>
  <c r="G242" i="15"/>
  <c r="B242" i="15"/>
  <c r="AP241" i="15"/>
  <c r="AO241" i="15"/>
  <c r="AN241" i="15"/>
  <c r="AM241" i="15"/>
  <c r="AL241" i="15"/>
  <c r="AK241" i="15"/>
  <c r="AJ241" i="15"/>
  <c r="AI241" i="15"/>
  <c r="AH241" i="15"/>
  <c r="AG241" i="15"/>
  <c r="AF241" i="15"/>
  <c r="AE241" i="15"/>
  <c r="AD241" i="15"/>
  <c r="AC241" i="15"/>
  <c r="AB241" i="15"/>
  <c r="AA241" i="15"/>
  <c r="Z241" i="15"/>
  <c r="Y241" i="15"/>
  <c r="X241" i="15"/>
  <c r="W241" i="15"/>
  <c r="V241" i="15"/>
  <c r="U241" i="15"/>
  <c r="T241" i="15"/>
  <c r="S241" i="15"/>
  <c r="R241" i="15"/>
  <c r="Q241" i="15"/>
  <c r="BC241" i="15" s="1"/>
  <c r="O241" i="15"/>
  <c r="AY241" i="15" s="1"/>
  <c r="J241" i="15"/>
  <c r="H241" i="15"/>
  <c r="G241" i="15"/>
  <c r="B241" i="15"/>
  <c r="AP240" i="15"/>
  <c r="AO240" i="15"/>
  <c r="AN240" i="15"/>
  <c r="AM240" i="15"/>
  <c r="AL240" i="15"/>
  <c r="AK240" i="15"/>
  <c r="AJ240" i="15"/>
  <c r="AI240" i="15"/>
  <c r="AH240" i="15"/>
  <c r="AG240" i="15"/>
  <c r="AF240" i="15"/>
  <c r="AE240" i="15"/>
  <c r="AD240" i="15"/>
  <c r="AC240" i="15"/>
  <c r="AB240" i="15"/>
  <c r="AA240" i="15"/>
  <c r="Z240" i="15"/>
  <c r="Y240" i="15"/>
  <c r="X240" i="15"/>
  <c r="W240" i="15"/>
  <c r="V240" i="15"/>
  <c r="U240" i="15"/>
  <c r="T240" i="15"/>
  <c r="S240" i="15"/>
  <c r="R240" i="15"/>
  <c r="Q240" i="15"/>
  <c r="BC240" i="15" s="1"/>
  <c r="O240" i="15"/>
  <c r="AY240" i="15" s="1"/>
  <c r="N240" i="15"/>
  <c r="AW240" i="15" s="1"/>
  <c r="K240" i="15"/>
  <c r="E240" i="15"/>
  <c r="AP239" i="15"/>
  <c r="AO239" i="15"/>
  <c r="AN239" i="15"/>
  <c r="AM239" i="15"/>
  <c r="AL239" i="15"/>
  <c r="AK239" i="15"/>
  <c r="AJ239" i="15"/>
  <c r="AI239" i="15"/>
  <c r="AH239" i="15"/>
  <c r="AG239" i="15"/>
  <c r="AF239" i="15"/>
  <c r="AE239" i="15"/>
  <c r="AD239" i="15"/>
  <c r="AC239" i="15"/>
  <c r="AB239" i="15"/>
  <c r="AA239" i="15"/>
  <c r="Z239" i="15"/>
  <c r="Y239" i="15"/>
  <c r="X239" i="15"/>
  <c r="W239" i="15"/>
  <c r="V239" i="15"/>
  <c r="U239" i="15"/>
  <c r="T239" i="15"/>
  <c r="S239" i="15"/>
  <c r="R239" i="15"/>
  <c r="Q239" i="15"/>
  <c r="BC239" i="15" s="1"/>
  <c r="O239" i="15"/>
  <c r="AY239" i="15" s="1"/>
  <c r="M239" i="15"/>
  <c r="AU239" i="15" s="1"/>
  <c r="L239" i="15"/>
  <c r="AS239" i="15" s="1"/>
  <c r="K239" i="15"/>
  <c r="BC238" i="15"/>
  <c r="AS238" i="15"/>
  <c r="AP238" i="15"/>
  <c r="AO238" i="15"/>
  <c r="AN238" i="15"/>
  <c r="AM238" i="15"/>
  <c r="AL238" i="15"/>
  <c r="AK238" i="15"/>
  <c r="AJ238" i="15"/>
  <c r="AI238" i="15"/>
  <c r="AH238" i="15"/>
  <c r="AG238" i="15"/>
  <c r="AF238" i="15"/>
  <c r="AE238" i="15"/>
  <c r="AD238" i="15"/>
  <c r="AC238" i="15"/>
  <c r="AB238" i="15"/>
  <c r="AA238" i="15"/>
  <c r="Z238" i="15"/>
  <c r="Y238" i="15"/>
  <c r="X238" i="15"/>
  <c r="W238" i="15"/>
  <c r="V238" i="15"/>
  <c r="U238" i="15"/>
  <c r="T238" i="15"/>
  <c r="S238" i="15"/>
  <c r="R238" i="15"/>
  <c r="Q238" i="15"/>
  <c r="AW237" i="15"/>
  <c r="AP237" i="15"/>
  <c r="AP244" i="15" s="1"/>
  <c r="AO237" i="15"/>
  <c r="AN237" i="15"/>
  <c r="AM237" i="15"/>
  <c r="AL237" i="15"/>
  <c r="AK237" i="15"/>
  <c r="AJ237" i="15"/>
  <c r="AI237" i="15"/>
  <c r="AH237" i="15"/>
  <c r="AG237" i="15"/>
  <c r="AF237" i="15"/>
  <c r="AE237" i="15"/>
  <c r="AD237" i="15"/>
  <c r="AC237" i="15"/>
  <c r="AB237" i="15"/>
  <c r="AA237" i="15"/>
  <c r="Z237" i="15"/>
  <c r="Y237" i="15"/>
  <c r="X237" i="15"/>
  <c r="W237" i="15"/>
  <c r="V237" i="15"/>
  <c r="U237" i="15"/>
  <c r="T237" i="15"/>
  <c r="T244" i="15" s="1"/>
  <c r="S237" i="15"/>
  <c r="R237" i="15"/>
  <c r="Q237" i="15"/>
  <c r="BC237" i="15" s="1"/>
  <c r="N237" i="15"/>
  <c r="AU236" i="15"/>
  <c r="AP236" i="15"/>
  <c r="AO236" i="15"/>
  <c r="AN236" i="15"/>
  <c r="AM236" i="15"/>
  <c r="AL236" i="15"/>
  <c r="AK236" i="15"/>
  <c r="AJ236" i="15"/>
  <c r="AI236" i="15"/>
  <c r="AH236" i="15"/>
  <c r="AG236" i="15"/>
  <c r="AF236" i="15"/>
  <c r="AE236" i="15"/>
  <c r="AD236" i="15"/>
  <c r="AC236" i="15"/>
  <c r="AB236" i="15"/>
  <c r="AA236" i="15"/>
  <c r="Z236" i="15"/>
  <c r="Y236" i="15"/>
  <c r="X236" i="15"/>
  <c r="W236" i="15"/>
  <c r="V236" i="15"/>
  <c r="U236" i="15"/>
  <c r="T236" i="15"/>
  <c r="S236" i="15"/>
  <c r="R236" i="15"/>
  <c r="Q236" i="15"/>
  <c r="BC236" i="15" s="1"/>
  <c r="J236" i="15"/>
  <c r="H236" i="15"/>
  <c r="G236" i="15"/>
  <c r="C236" i="15"/>
  <c r="B236" i="15"/>
  <c r="BC235" i="15"/>
  <c r="BA235" i="15"/>
  <c r="AP235" i="15"/>
  <c r="AO235" i="15"/>
  <c r="AN235" i="15"/>
  <c r="AM235" i="15"/>
  <c r="AL235" i="15"/>
  <c r="AK235" i="15"/>
  <c r="AJ235" i="15"/>
  <c r="AI235" i="15"/>
  <c r="AH235" i="15"/>
  <c r="AG235" i="15"/>
  <c r="AF235" i="15"/>
  <c r="AE235" i="15"/>
  <c r="AD235" i="15"/>
  <c r="AC235" i="15"/>
  <c r="AB235" i="15"/>
  <c r="AA235" i="15"/>
  <c r="Z235" i="15"/>
  <c r="Y235" i="15"/>
  <c r="X235" i="15"/>
  <c r="X244" i="15" s="1"/>
  <c r="W235" i="15"/>
  <c r="V235" i="15"/>
  <c r="U235" i="15"/>
  <c r="T235" i="15"/>
  <c r="S235" i="15"/>
  <c r="R235" i="15"/>
  <c r="Q235" i="15"/>
  <c r="P235" i="15"/>
  <c r="J235" i="15"/>
  <c r="I235" i="15"/>
  <c r="H235" i="15"/>
  <c r="G235" i="15"/>
  <c r="F235" i="15"/>
  <c r="AP234" i="15"/>
  <c r="AO234" i="15"/>
  <c r="AN234" i="15"/>
  <c r="AM234" i="15"/>
  <c r="AL234" i="15"/>
  <c r="AK234" i="15"/>
  <c r="AJ234" i="15"/>
  <c r="AI234" i="15"/>
  <c r="AH234" i="15"/>
  <c r="AG234" i="15"/>
  <c r="AF234" i="15"/>
  <c r="AE234" i="15"/>
  <c r="AD234" i="15"/>
  <c r="AC234" i="15"/>
  <c r="AB234" i="15"/>
  <c r="AA234" i="15"/>
  <c r="Z234" i="15"/>
  <c r="Y234" i="15"/>
  <c r="X234" i="15"/>
  <c r="W234" i="15"/>
  <c r="V234" i="15"/>
  <c r="U234" i="15"/>
  <c r="T234" i="15"/>
  <c r="S234" i="15"/>
  <c r="R234" i="15"/>
  <c r="P234" i="15"/>
  <c r="BA234" i="15" s="1"/>
  <c r="J234" i="15"/>
  <c r="G234" i="15"/>
  <c r="D234" i="15"/>
  <c r="BC233" i="15"/>
  <c r="AP233" i="15"/>
  <c r="AO233" i="15"/>
  <c r="AO244" i="15" s="1"/>
  <c r="AN233" i="15"/>
  <c r="AM233" i="15"/>
  <c r="AL233" i="15"/>
  <c r="AK233" i="15"/>
  <c r="AJ233" i="15"/>
  <c r="AI233" i="15"/>
  <c r="AH233" i="15"/>
  <c r="AG233" i="15"/>
  <c r="AF233" i="15"/>
  <c r="AE233" i="15"/>
  <c r="AD233" i="15"/>
  <c r="AC233" i="15"/>
  <c r="AB233" i="15"/>
  <c r="AA233" i="15"/>
  <c r="Z233" i="15"/>
  <c r="Y233" i="15"/>
  <c r="X233" i="15"/>
  <c r="W233" i="15"/>
  <c r="V233" i="15"/>
  <c r="U233" i="15"/>
  <c r="T233" i="15"/>
  <c r="S233" i="15"/>
  <c r="S244" i="15" s="1"/>
  <c r="R233" i="15"/>
  <c r="Q233" i="15"/>
  <c r="P233" i="15"/>
  <c r="BA233" i="15" s="1"/>
  <c r="O233" i="15"/>
  <c r="AY233" i="15" s="1"/>
  <c r="M233" i="15"/>
  <c r="AU233" i="15" s="1"/>
  <c r="AP232" i="15"/>
  <c r="AO232" i="15"/>
  <c r="AN232" i="15"/>
  <c r="AM232" i="15"/>
  <c r="AL232" i="15"/>
  <c r="AK232" i="15"/>
  <c r="AJ232" i="15"/>
  <c r="AJ244" i="15" s="1"/>
  <c r="AI232" i="15"/>
  <c r="AI244" i="15" s="1"/>
  <c r="AH232" i="15"/>
  <c r="AG232" i="15"/>
  <c r="AF232" i="15"/>
  <c r="AF244" i="15" s="1"/>
  <c r="AE232" i="15"/>
  <c r="AD232" i="15"/>
  <c r="AC232" i="15"/>
  <c r="AB232" i="15"/>
  <c r="AA232" i="15"/>
  <c r="Z232" i="15"/>
  <c r="Y232" i="15"/>
  <c r="X232" i="15"/>
  <c r="W232" i="15"/>
  <c r="V232" i="15"/>
  <c r="U232" i="15"/>
  <c r="T232" i="15"/>
  <c r="S232" i="15"/>
  <c r="R232" i="15"/>
  <c r="Q232" i="15"/>
  <c r="P232" i="15"/>
  <c r="O232" i="15"/>
  <c r="AY232" i="15" s="1"/>
  <c r="N232" i="15"/>
  <c r="M232" i="15"/>
  <c r="L232" i="15"/>
  <c r="K232" i="15"/>
  <c r="J232" i="15"/>
  <c r="G232" i="15"/>
  <c r="AP231" i="15"/>
  <c r="AO231" i="15"/>
  <c r="AN231" i="15"/>
  <c r="AM231" i="15"/>
  <c r="AL231" i="15"/>
  <c r="AK231" i="15"/>
  <c r="AJ231" i="15"/>
  <c r="AI231" i="15"/>
  <c r="AH231" i="15"/>
  <c r="AG231" i="15"/>
  <c r="AF231" i="15"/>
  <c r="AE231" i="15"/>
  <c r="AD231" i="15"/>
  <c r="AC231" i="15"/>
  <c r="AB231" i="15"/>
  <c r="AA231" i="15"/>
  <c r="Z231" i="15"/>
  <c r="Y231" i="15"/>
  <c r="X231" i="15"/>
  <c r="W231" i="15"/>
  <c r="V231" i="15"/>
  <c r="U231" i="15"/>
  <c r="T231" i="15"/>
  <c r="S231" i="15"/>
  <c r="R231" i="15"/>
  <c r="Q231" i="15"/>
  <c r="P231" i="15"/>
  <c r="O231" i="15"/>
  <c r="N231" i="15"/>
  <c r="M231" i="15"/>
  <c r="L231" i="15"/>
  <c r="K231" i="15"/>
  <c r="J231" i="15"/>
  <c r="I231" i="15"/>
  <c r="H231" i="15"/>
  <c r="G231" i="15"/>
  <c r="F231" i="15"/>
  <c r="E231" i="15"/>
  <c r="D231" i="15"/>
  <c r="C231" i="15"/>
  <c r="B231" i="15"/>
  <c r="AP228" i="15"/>
  <c r="AO228" i="15"/>
  <c r="AN228" i="15"/>
  <c r="AM228" i="15"/>
  <c r="AL228" i="15"/>
  <c r="AK228" i="15"/>
  <c r="AJ228" i="15"/>
  <c r="AI228" i="15"/>
  <c r="AH228" i="15"/>
  <c r="AG228" i="15"/>
  <c r="AF228" i="15"/>
  <c r="AE228" i="15"/>
  <c r="AD228" i="15"/>
  <c r="AC228" i="15"/>
  <c r="AB228" i="15"/>
  <c r="AA228" i="15"/>
  <c r="Z228" i="15"/>
  <c r="Y228" i="15"/>
  <c r="X228" i="15"/>
  <c r="W228" i="15"/>
  <c r="V228" i="15"/>
  <c r="U228" i="15"/>
  <c r="T228" i="15"/>
  <c r="S228" i="15"/>
  <c r="R228" i="15"/>
  <c r="Q228" i="15"/>
  <c r="BC228" i="15" s="1"/>
  <c r="BC227" i="15"/>
  <c r="BA227" i="15"/>
  <c r="AU227" i="15"/>
  <c r="P227" i="15"/>
  <c r="O227" i="15"/>
  <c r="AY227" i="15" s="1"/>
  <c r="N227" i="15"/>
  <c r="AW227" i="15" s="1"/>
  <c r="M227" i="15"/>
  <c r="L227" i="15"/>
  <c r="AS227" i="15" s="1"/>
  <c r="K227" i="15"/>
  <c r="J227" i="15"/>
  <c r="I227" i="15"/>
  <c r="H227" i="15"/>
  <c r="G227" i="15"/>
  <c r="F227" i="15"/>
  <c r="E227" i="15"/>
  <c r="D227" i="15"/>
  <c r="C227" i="15"/>
  <c r="B227" i="15"/>
  <c r="BC226" i="15"/>
  <c r="AS226" i="15"/>
  <c r="P226" i="15"/>
  <c r="BA226" i="15" s="1"/>
  <c r="O226" i="15"/>
  <c r="AY226" i="15" s="1"/>
  <c r="N226" i="15"/>
  <c r="AW226" i="15" s="1"/>
  <c r="M226" i="15"/>
  <c r="AU226" i="15" s="1"/>
  <c r="L226" i="15"/>
  <c r="K226" i="15"/>
  <c r="J226" i="15"/>
  <c r="I226" i="15"/>
  <c r="H226" i="15"/>
  <c r="G226" i="15"/>
  <c r="F226" i="15"/>
  <c r="E226" i="15"/>
  <c r="E194" i="15" s="1"/>
  <c r="D226" i="15"/>
  <c r="C226" i="15"/>
  <c r="B226" i="15"/>
  <c r="BC225" i="15"/>
  <c r="P225" i="15"/>
  <c r="BA225" i="15" s="1"/>
  <c r="O225" i="15"/>
  <c r="AY225" i="15" s="1"/>
  <c r="N225" i="15"/>
  <c r="AW225" i="15" s="1"/>
  <c r="M225" i="15"/>
  <c r="AU225" i="15" s="1"/>
  <c r="L225" i="15"/>
  <c r="L193" i="15" s="1"/>
  <c r="AS193" i="15" s="1"/>
  <c r="K225" i="15"/>
  <c r="K193" i="15" s="1"/>
  <c r="J225" i="15"/>
  <c r="J193" i="15" s="1"/>
  <c r="I225" i="15"/>
  <c r="I193" i="15" s="1"/>
  <c r="H225" i="15"/>
  <c r="H193" i="15" s="1"/>
  <c r="G225" i="15"/>
  <c r="G193" i="15" s="1"/>
  <c r="F225" i="15"/>
  <c r="E225" i="15"/>
  <c r="D225" i="15"/>
  <c r="D193" i="15" s="1"/>
  <c r="C225" i="15"/>
  <c r="B225" i="15"/>
  <c r="BC224" i="15"/>
  <c r="P224" i="15"/>
  <c r="BA224" i="15" s="1"/>
  <c r="O224" i="15"/>
  <c r="AY224" i="15" s="1"/>
  <c r="N224" i="15"/>
  <c r="AW224" i="15" s="1"/>
  <c r="M224" i="15"/>
  <c r="AU224" i="15" s="1"/>
  <c r="L224" i="15"/>
  <c r="AS224" i="15" s="1"/>
  <c r="K224" i="15"/>
  <c r="J224" i="15"/>
  <c r="I224" i="15"/>
  <c r="H224" i="15"/>
  <c r="H192" i="15" s="1"/>
  <c r="G224" i="15"/>
  <c r="F224" i="15"/>
  <c r="F192" i="15" s="1"/>
  <c r="E224" i="15"/>
  <c r="D224" i="15"/>
  <c r="C224" i="15"/>
  <c r="B224" i="15"/>
  <c r="BC223" i="15"/>
  <c r="AS223" i="15"/>
  <c r="P223" i="15"/>
  <c r="BA223" i="15" s="1"/>
  <c r="O223" i="15"/>
  <c r="AY223" i="15" s="1"/>
  <c r="N223" i="15"/>
  <c r="AW223" i="15" s="1"/>
  <c r="M223" i="15"/>
  <c r="AU223" i="15" s="1"/>
  <c r="L223" i="15"/>
  <c r="K223" i="15"/>
  <c r="J223" i="15"/>
  <c r="J191" i="15" s="1"/>
  <c r="I223" i="15"/>
  <c r="H223" i="15"/>
  <c r="G223" i="15"/>
  <c r="F223" i="15"/>
  <c r="E223" i="15"/>
  <c r="E191" i="15" s="1"/>
  <c r="D223" i="15"/>
  <c r="C223" i="15"/>
  <c r="B223" i="15"/>
  <c r="BC222" i="15"/>
  <c r="P222" i="15"/>
  <c r="O222" i="15"/>
  <c r="AY222" i="15" s="1"/>
  <c r="N222" i="15"/>
  <c r="M222" i="15"/>
  <c r="L222" i="15"/>
  <c r="K222" i="15"/>
  <c r="K190" i="15" s="1"/>
  <c r="J222" i="15"/>
  <c r="I222" i="15"/>
  <c r="H222" i="15"/>
  <c r="G222" i="15"/>
  <c r="F222" i="15"/>
  <c r="E222" i="15"/>
  <c r="D222" i="15"/>
  <c r="C222" i="15"/>
  <c r="B222" i="15"/>
  <c r="BC221" i="15"/>
  <c r="P221" i="15"/>
  <c r="BA221" i="15" s="1"/>
  <c r="O221" i="15"/>
  <c r="AY221" i="15" s="1"/>
  <c r="N221" i="15"/>
  <c r="AW221" i="15" s="1"/>
  <c r="M221" i="15"/>
  <c r="AU221" i="15" s="1"/>
  <c r="L221" i="15"/>
  <c r="AS221" i="15" s="1"/>
  <c r="K221" i="15"/>
  <c r="K189" i="15" s="1"/>
  <c r="J221" i="15"/>
  <c r="I221" i="15"/>
  <c r="H221" i="15"/>
  <c r="G221" i="15"/>
  <c r="F221" i="15"/>
  <c r="F189" i="15" s="1"/>
  <c r="E221" i="15"/>
  <c r="D221" i="15"/>
  <c r="C221" i="15"/>
  <c r="B221" i="15"/>
  <c r="BC220" i="15"/>
  <c r="BA220" i="15"/>
  <c r="P220" i="15"/>
  <c r="O220" i="15"/>
  <c r="AY220" i="15" s="1"/>
  <c r="N220" i="15"/>
  <c r="AW220" i="15" s="1"/>
  <c r="M220" i="15"/>
  <c r="AU220" i="15" s="1"/>
  <c r="L220" i="15"/>
  <c r="AS220" i="15" s="1"/>
  <c r="K220" i="15"/>
  <c r="J220" i="15"/>
  <c r="I220" i="15"/>
  <c r="H220" i="15"/>
  <c r="G220" i="15"/>
  <c r="F220" i="15"/>
  <c r="E220" i="15"/>
  <c r="D220" i="15"/>
  <c r="C220" i="15"/>
  <c r="B220" i="15"/>
  <c r="B188" i="15" s="1"/>
  <c r="BC219" i="15"/>
  <c r="AY219" i="15"/>
  <c r="P219" i="15"/>
  <c r="BA219" i="15" s="1"/>
  <c r="O219" i="15"/>
  <c r="N219" i="15"/>
  <c r="AW219" i="15" s="1"/>
  <c r="M219" i="15"/>
  <c r="AU219" i="15" s="1"/>
  <c r="L219" i="15"/>
  <c r="AS219" i="15" s="1"/>
  <c r="K219" i="15"/>
  <c r="J219" i="15"/>
  <c r="I219" i="15"/>
  <c r="H219" i="15"/>
  <c r="G219" i="15"/>
  <c r="F219" i="15"/>
  <c r="F187" i="15" s="1"/>
  <c r="E219" i="15"/>
  <c r="D219" i="15"/>
  <c r="C219" i="15"/>
  <c r="C187" i="15" s="1"/>
  <c r="B219" i="15"/>
  <c r="BC218" i="15"/>
  <c r="AW218" i="15"/>
  <c r="AS218" i="15"/>
  <c r="Q218" i="15"/>
  <c r="P218" i="15"/>
  <c r="BA218" i="15" s="1"/>
  <c r="O218" i="15"/>
  <c r="AY218" i="15" s="1"/>
  <c r="N218" i="15"/>
  <c r="M218" i="15"/>
  <c r="AU218" i="15" s="1"/>
  <c r="L218" i="15"/>
  <c r="K218" i="15"/>
  <c r="J218" i="15"/>
  <c r="I218" i="15"/>
  <c r="H218" i="15"/>
  <c r="G218" i="15"/>
  <c r="F218" i="15"/>
  <c r="E218" i="15"/>
  <c r="D218" i="15"/>
  <c r="C218" i="15"/>
  <c r="C186" i="15" s="1"/>
  <c r="B218" i="15"/>
  <c r="BC217" i="15"/>
  <c r="AW217" i="15"/>
  <c r="AS217" i="15"/>
  <c r="Q217" i="15"/>
  <c r="P217" i="15"/>
  <c r="BA217" i="15" s="1"/>
  <c r="O217" i="15"/>
  <c r="AY217" i="15" s="1"/>
  <c r="N217" i="15"/>
  <c r="M217" i="15"/>
  <c r="AU217" i="15" s="1"/>
  <c r="L217" i="15"/>
  <c r="K217" i="15"/>
  <c r="K185" i="15" s="1"/>
  <c r="J217" i="15"/>
  <c r="J185" i="15" s="1"/>
  <c r="I217" i="15"/>
  <c r="H217" i="15"/>
  <c r="H185" i="15" s="1"/>
  <c r="G217" i="15"/>
  <c r="F217" i="15"/>
  <c r="E217" i="15"/>
  <c r="D217" i="15"/>
  <c r="C217" i="15"/>
  <c r="B217" i="15"/>
  <c r="BC216" i="15"/>
  <c r="AW216" i="15"/>
  <c r="AS216" i="15"/>
  <c r="Q216" i="15"/>
  <c r="P216" i="15"/>
  <c r="BA216" i="15" s="1"/>
  <c r="O216" i="15"/>
  <c r="AY216" i="15" s="1"/>
  <c r="N216" i="15"/>
  <c r="M216" i="15"/>
  <c r="L216" i="15"/>
  <c r="K216" i="15"/>
  <c r="J216" i="15"/>
  <c r="I216" i="15"/>
  <c r="H216" i="15"/>
  <c r="G216" i="15"/>
  <c r="F216" i="15"/>
  <c r="E216" i="15"/>
  <c r="D216" i="15"/>
  <c r="C216" i="15"/>
  <c r="B216" i="15"/>
  <c r="AP215" i="15"/>
  <c r="AO215" i="15"/>
  <c r="AN215" i="15"/>
  <c r="AM215" i="15"/>
  <c r="AL215" i="15"/>
  <c r="AK215" i="15"/>
  <c r="AJ215" i="15"/>
  <c r="AI215" i="15"/>
  <c r="AH215" i="15"/>
  <c r="AG215" i="15"/>
  <c r="AF215" i="15"/>
  <c r="AE215" i="15"/>
  <c r="AD215" i="15"/>
  <c r="AC215" i="15"/>
  <c r="AB215" i="15"/>
  <c r="AA215" i="15"/>
  <c r="Z215" i="15"/>
  <c r="Y215" i="15"/>
  <c r="X215" i="15"/>
  <c r="W215" i="15"/>
  <c r="V215" i="15"/>
  <c r="U215" i="15"/>
  <c r="T215" i="15"/>
  <c r="S215" i="15"/>
  <c r="R215" i="15"/>
  <c r="Q215" i="15"/>
  <c r="P215" i="15"/>
  <c r="O215" i="15"/>
  <c r="N215" i="15"/>
  <c r="M215" i="15"/>
  <c r="L215" i="15"/>
  <c r="K215" i="15"/>
  <c r="J215" i="15"/>
  <c r="I215" i="15"/>
  <c r="H215" i="15"/>
  <c r="G215" i="15"/>
  <c r="F215" i="15"/>
  <c r="E215" i="15"/>
  <c r="D215" i="15"/>
  <c r="C215" i="15"/>
  <c r="B215" i="15"/>
  <c r="K212" i="15"/>
  <c r="K12" i="15" s="1"/>
  <c r="AY211" i="15"/>
  <c r="P211" i="15"/>
  <c r="O211" i="15"/>
  <c r="N211" i="15"/>
  <c r="AW211" i="15" s="1"/>
  <c r="M211" i="15"/>
  <c r="L211" i="15"/>
  <c r="K211" i="15"/>
  <c r="J211" i="15"/>
  <c r="J195" i="15" s="1"/>
  <c r="I211" i="15"/>
  <c r="H211" i="15"/>
  <c r="G211" i="15"/>
  <c r="G195" i="15" s="1"/>
  <c r="F211" i="15"/>
  <c r="E211" i="15"/>
  <c r="D211" i="15"/>
  <c r="C211" i="15"/>
  <c r="B211" i="15"/>
  <c r="P210" i="15"/>
  <c r="O210" i="15"/>
  <c r="N210" i="15"/>
  <c r="M210" i="15"/>
  <c r="L210" i="15"/>
  <c r="K210" i="15"/>
  <c r="K194" i="15" s="1"/>
  <c r="J210" i="15"/>
  <c r="J194" i="15" s="1"/>
  <c r="I210" i="15"/>
  <c r="I194" i="15" s="1"/>
  <c r="H210" i="15"/>
  <c r="H194" i="15" s="1"/>
  <c r="G210" i="15"/>
  <c r="G194" i="15" s="1"/>
  <c r="F210" i="15"/>
  <c r="E210" i="15"/>
  <c r="D210" i="15"/>
  <c r="C210" i="15"/>
  <c r="B210" i="15"/>
  <c r="P209" i="15"/>
  <c r="O209" i="15"/>
  <c r="N209" i="15"/>
  <c r="AW209" i="15" s="1"/>
  <c r="M209" i="15"/>
  <c r="AU209" i="15" s="1"/>
  <c r="L209" i="15"/>
  <c r="AS209" i="15" s="1"/>
  <c r="K209" i="15"/>
  <c r="J209" i="15"/>
  <c r="I209" i="15"/>
  <c r="H209" i="15"/>
  <c r="G209" i="15"/>
  <c r="F209" i="15"/>
  <c r="E209" i="15"/>
  <c r="D209" i="15"/>
  <c r="C209" i="15"/>
  <c r="B209" i="15"/>
  <c r="AS208" i="15"/>
  <c r="P208" i="15"/>
  <c r="O208" i="15"/>
  <c r="N208" i="15"/>
  <c r="AW208" i="15" s="1"/>
  <c r="M208" i="15"/>
  <c r="L208" i="15"/>
  <c r="K208" i="15"/>
  <c r="J208" i="15"/>
  <c r="I208" i="15"/>
  <c r="H208" i="15"/>
  <c r="G208" i="15"/>
  <c r="F208" i="15"/>
  <c r="E208" i="15"/>
  <c r="D208" i="15"/>
  <c r="D192" i="15" s="1"/>
  <c r="C208" i="15"/>
  <c r="B208" i="15"/>
  <c r="AY207" i="15"/>
  <c r="AW207" i="15"/>
  <c r="AU207" i="15"/>
  <c r="AS207" i="15"/>
  <c r="P207" i="15"/>
  <c r="BA207" i="15" s="1"/>
  <c r="O207" i="15"/>
  <c r="N207" i="15"/>
  <c r="M207" i="15"/>
  <c r="L207" i="15"/>
  <c r="K207" i="15"/>
  <c r="J207" i="15"/>
  <c r="I207" i="15"/>
  <c r="H207" i="15"/>
  <c r="G207" i="15"/>
  <c r="G191" i="15" s="1"/>
  <c r="F207" i="15"/>
  <c r="F191" i="15" s="1"/>
  <c r="E207" i="15"/>
  <c r="D207" i="15"/>
  <c r="D191" i="15" s="1"/>
  <c r="C207" i="15"/>
  <c r="C191" i="15" s="1"/>
  <c r="B207" i="15"/>
  <c r="B191" i="15" s="1"/>
  <c r="AY206" i="15"/>
  <c r="AW206" i="15"/>
  <c r="AU206" i="15"/>
  <c r="AS206" i="15"/>
  <c r="P206" i="15"/>
  <c r="O206" i="15"/>
  <c r="N206" i="15"/>
  <c r="M206" i="15"/>
  <c r="L206" i="15"/>
  <c r="K206" i="15"/>
  <c r="J206" i="15"/>
  <c r="I206" i="15"/>
  <c r="H206" i="15"/>
  <c r="G206" i="15"/>
  <c r="G190" i="15" s="1"/>
  <c r="F206" i="15"/>
  <c r="F190" i="15" s="1"/>
  <c r="E206" i="15"/>
  <c r="E190" i="15" s="1"/>
  <c r="D206" i="15"/>
  <c r="D190" i="15" s="1"/>
  <c r="C206" i="15"/>
  <c r="C190" i="15" s="1"/>
  <c r="B206" i="15"/>
  <c r="BA205" i="15"/>
  <c r="AY205" i="15"/>
  <c r="AU205" i="15"/>
  <c r="P205" i="15"/>
  <c r="O205" i="15"/>
  <c r="N205" i="15"/>
  <c r="M205" i="15"/>
  <c r="L205" i="15"/>
  <c r="K205" i="15"/>
  <c r="J205" i="15"/>
  <c r="I205" i="15"/>
  <c r="H205" i="15"/>
  <c r="H189" i="15" s="1"/>
  <c r="G205" i="15"/>
  <c r="F205" i="15"/>
  <c r="E205" i="15"/>
  <c r="D205" i="15"/>
  <c r="C205" i="15"/>
  <c r="B205" i="15"/>
  <c r="BA204" i="15"/>
  <c r="AW204" i="15"/>
  <c r="AU204" i="15"/>
  <c r="P204" i="15"/>
  <c r="P188" i="15" s="1"/>
  <c r="O204" i="15"/>
  <c r="N204" i="15"/>
  <c r="M204" i="15"/>
  <c r="M188" i="15" s="1"/>
  <c r="L204" i="15"/>
  <c r="K204" i="15"/>
  <c r="J204" i="15"/>
  <c r="J188" i="15" s="1"/>
  <c r="I204" i="15"/>
  <c r="I188" i="15" s="1"/>
  <c r="H204" i="15"/>
  <c r="G204" i="15"/>
  <c r="F204" i="15"/>
  <c r="E204" i="15"/>
  <c r="D204" i="15"/>
  <c r="C204" i="15"/>
  <c r="C188" i="15" s="1"/>
  <c r="B204" i="15"/>
  <c r="P203" i="15"/>
  <c r="O203" i="15"/>
  <c r="N203" i="15"/>
  <c r="M203" i="15"/>
  <c r="L203" i="15"/>
  <c r="AS203" i="15" s="1"/>
  <c r="K203" i="15"/>
  <c r="K187" i="15" s="1"/>
  <c r="J203" i="15"/>
  <c r="J187" i="15" s="1"/>
  <c r="I203" i="15"/>
  <c r="I187" i="15" s="1"/>
  <c r="H203" i="15"/>
  <c r="G203" i="15"/>
  <c r="F203" i="15"/>
  <c r="E203" i="15"/>
  <c r="D203" i="15"/>
  <c r="C203" i="15"/>
  <c r="B203" i="15"/>
  <c r="Q202" i="15"/>
  <c r="P202" i="15"/>
  <c r="O202" i="15"/>
  <c r="AY202" i="15" s="1"/>
  <c r="N202" i="15"/>
  <c r="N186" i="15" s="1"/>
  <c r="M202" i="15"/>
  <c r="AU202" i="15" s="1"/>
  <c r="L202" i="15"/>
  <c r="L186" i="15" s="1"/>
  <c r="AS186" i="15" s="1"/>
  <c r="K202" i="15"/>
  <c r="J202" i="15"/>
  <c r="I202" i="15"/>
  <c r="H202" i="15"/>
  <c r="G202" i="15"/>
  <c r="F202" i="15"/>
  <c r="E202" i="15"/>
  <c r="D202" i="15"/>
  <c r="C202" i="15"/>
  <c r="B202" i="15"/>
  <c r="BC201" i="15"/>
  <c r="AY201" i="15"/>
  <c r="AS201" i="15"/>
  <c r="Q201" i="15"/>
  <c r="Q185" i="15" s="1"/>
  <c r="BC185" i="15" s="1"/>
  <c r="P201" i="15"/>
  <c r="BA201" i="15" s="1"/>
  <c r="O201" i="15"/>
  <c r="O185" i="15" s="1"/>
  <c r="AY185" i="15" s="1"/>
  <c r="N201" i="15"/>
  <c r="M201" i="15"/>
  <c r="L201" i="15"/>
  <c r="L185" i="15" s="1"/>
  <c r="AS185" i="15" s="1"/>
  <c r="K201" i="15"/>
  <c r="J201" i="15"/>
  <c r="I201" i="15"/>
  <c r="I185" i="15" s="1"/>
  <c r="H201" i="15"/>
  <c r="G201" i="15"/>
  <c r="F201" i="15"/>
  <c r="E201" i="15"/>
  <c r="D201" i="15"/>
  <c r="C201" i="15"/>
  <c r="C185" i="15" s="1"/>
  <c r="B201" i="15"/>
  <c r="B185" i="15" s="1"/>
  <c r="BA200" i="15"/>
  <c r="AW200" i="15"/>
  <c r="AU200" i="15"/>
  <c r="Q200" i="15"/>
  <c r="P200" i="15"/>
  <c r="O200" i="15"/>
  <c r="N200" i="15"/>
  <c r="M200" i="15"/>
  <c r="L200" i="15"/>
  <c r="K200" i="15"/>
  <c r="J200" i="15"/>
  <c r="I200" i="15"/>
  <c r="H200" i="15"/>
  <c r="G200" i="15"/>
  <c r="F200" i="15"/>
  <c r="F184" i="15" s="1"/>
  <c r="E200" i="15"/>
  <c r="D200" i="15"/>
  <c r="C200" i="15"/>
  <c r="C184" i="15" s="1"/>
  <c r="B200" i="15"/>
  <c r="AP199" i="15"/>
  <c r="AO199" i="15"/>
  <c r="AN199" i="15"/>
  <c r="AM199" i="15"/>
  <c r="AL199" i="15"/>
  <c r="AK199" i="15"/>
  <c r="AJ199" i="15"/>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C199" i="15"/>
  <c r="B199" i="15"/>
  <c r="O195" i="15"/>
  <c r="AY195" i="15" s="1"/>
  <c r="H195" i="15"/>
  <c r="F195" i="15"/>
  <c r="E195" i="15"/>
  <c r="D195" i="15"/>
  <c r="C195" i="15"/>
  <c r="B195" i="15"/>
  <c r="F194" i="15"/>
  <c r="D194" i="15"/>
  <c r="C194" i="15"/>
  <c r="B194" i="15"/>
  <c r="N193" i="15"/>
  <c r="AW193" i="15" s="1"/>
  <c r="F193" i="15"/>
  <c r="E193" i="15"/>
  <c r="C193" i="15"/>
  <c r="B193" i="15"/>
  <c r="N192" i="15"/>
  <c r="AW192" i="15" s="1"/>
  <c r="L192" i="15"/>
  <c r="AS192" i="15" s="1"/>
  <c r="K192" i="15"/>
  <c r="J192" i="15"/>
  <c r="I192" i="15"/>
  <c r="G192" i="15"/>
  <c r="E192" i="15"/>
  <c r="B192" i="15"/>
  <c r="P191" i="15"/>
  <c r="BA191" i="15" s="1"/>
  <c r="O191" i="15"/>
  <c r="AY191" i="15" s="1"/>
  <c r="N191" i="15"/>
  <c r="AW191" i="15" s="1"/>
  <c r="M191" i="15"/>
  <c r="AU191" i="15" s="1"/>
  <c r="L191" i="15"/>
  <c r="AS191" i="15" s="1"/>
  <c r="K191" i="15"/>
  <c r="I191" i="15"/>
  <c r="H191" i="15"/>
  <c r="O190" i="15"/>
  <c r="AY190" i="15" s="1"/>
  <c r="H190" i="15"/>
  <c r="AY189" i="15"/>
  <c r="P189" i="15"/>
  <c r="BA189" i="15" s="1"/>
  <c r="O189" i="15"/>
  <c r="D189" i="15"/>
  <c r="B189" i="15"/>
  <c r="BA188" i="15"/>
  <c r="AU188" i="15"/>
  <c r="N188" i="15"/>
  <c r="AW188" i="15" s="1"/>
  <c r="G188" i="15"/>
  <c r="L187" i="15"/>
  <c r="AS187" i="15" s="1"/>
  <c r="G187" i="15"/>
  <c r="E187" i="15"/>
  <c r="D187" i="15"/>
  <c r="B187" i="15"/>
  <c r="AW186" i="15"/>
  <c r="O186" i="15"/>
  <c r="AY186" i="15" s="1"/>
  <c r="M186" i="15"/>
  <c r="AU186" i="15" s="1"/>
  <c r="K186" i="15"/>
  <c r="J186" i="15"/>
  <c r="I186" i="15"/>
  <c r="H186" i="15"/>
  <c r="G186" i="15"/>
  <c r="F186" i="15"/>
  <c r="E186" i="15"/>
  <c r="D186" i="15"/>
  <c r="B186" i="15"/>
  <c r="P185" i="15"/>
  <c r="BA185" i="15" s="1"/>
  <c r="N185" i="15"/>
  <c r="AW185" i="15" s="1"/>
  <c r="G185" i="15"/>
  <c r="F185" i="15"/>
  <c r="E185" i="15"/>
  <c r="N184" i="15"/>
  <c r="H184" i="15"/>
  <c r="G184" i="15"/>
  <c r="D184" i="15"/>
  <c r="AP183" i="15"/>
  <c r="AO183" i="15"/>
  <c r="AN183" i="15"/>
  <c r="AM183" i="15"/>
  <c r="AL183" i="15"/>
  <c r="AK183"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C183" i="15"/>
  <c r="B183" i="15"/>
  <c r="AP180" i="15"/>
  <c r="AO180" i="15"/>
  <c r="AN180" i="15"/>
  <c r="AM180" i="15"/>
  <c r="AL180" i="15"/>
  <c r="AK180" i="15"/>
  <c r="AJ180" i="15"/>
  <c r="AI180" i="15"/>
  <c r="AH180" i="15"/>
  <c r="AG180" i="15"/>
  <c r="AF180" i="15"/>
  <c r="AE180" i="15"/>
  <c r="AD180" i="15"/>
  <c r="AC180" i="15"/>
  <c r="AB180" i="15"/>
  <c r="AA180" i="15"/>
  <c r="Z180" i="15"/>
  <c r="Y180" i="15"/>
  <c r="X180" i="15"/>
  <c r="W180" i="15"/>
  <c r="V180" i="15"/>
  <c r="U180" i="15"/>
  <c r="T180" i="15"/>
  <c r="S180" i="15"/>
  <c r="R180" i="15"/>
  <c r="Q180" i="15"/>
  <c r="BC180" i="15" s="1"/>
  <c r="O180" i="15"/>
  <c r="G180" i="15"/>
  <c r="BC179" i="15"/>
  <c r="AY179" i="15"/>
  <c r="P179" i="15"/>
  <c r="O179" i="15"/>
  <c r="N179" i="15"/>
  <c r="AW179" i="15" s="1"/>
  <c r="M179" i="15"/>
  <c r="AU179" i="15" s="1"/>
  <c r="L179" i="15"/>
  <c r="K179" i="15"/>
  <c r="J179" i="15"/>
  <c r="I179" i="15"/>
  <c r="H179" i="15"/>
  <c r="G179" i="15"/>
  <c r="F179" i="15"/>
  <c r="E179" i="15"/>
  <c r="D179" i="15"/>
  <c r="C179" i="15"/>
  <c r="B179" i="15"/>
  <c r="BC178" i="15"/>
  <c r="AS178" i="15"/>
  <c r="P178" i="15"/>
  <c r="BA178" i="15" s="1"/>
  <c r="O178" i="15"/>
  <c r="AY178" i="15" s="1"/>
  <c r="N178" i="15"/>
  <c r="M178" i="15"/>
  <c r="AU178" i="15" s="1"/>
  <c r="L178" i="15"/>
  <c r="K178" i="15"/>
  <c r="J178" i="15"/>
  <c r="I178" i="15"/>
  <c r="H178" i="15"/>
  <c r="G178" i="15"/>
  <c r="F178" i="15"/>
  <c r="E178" i="15"/>
  <c r="D178" i="15"/>
  <c r="C178" i="15"/>
  <c r="B178" i="15"/>
  <c r="BC177" i="15"/>
  <c r="AU177" i="15"/>
  <c r="P177" i="15"/>
  <c r="BA177" i="15" s="1"/>
  <c r="O177" i="15"/>
  <c r="AY177" i="15" s="1"/>
  <c r="N177" i="15"/>
  <c r="AW177" i="15" s="1"/>
  <c r="M177" i="15"/>
  <c r="L177" i="15"/>
  <c r="AS177" i="15" s="1"/>
  <c r="K177" i="15"/>
  <c r="J177" i="15"/>
  <c r="I177" i="15"/>
  <c r="H177" i="15"/>
  <c r="G177" i="15"/>
  <c r="F177" i="15"/>
  <c r="E177" i="15"/>
  <c r="D177" i="15"/>
  <c r="C177" i="15"/>
  <c r="B177" i="15"/>
  <c r="BC176" i="15"/>
  <c r="AS176" i="15"/>
  <c r="P176" i="15"/>
  <c r="BA176" i="15" s="1"/>
  <c r="O176" i="15"/>
  <c r="AY176" i="15" s="1"/>
  <c r="N176" i="15"/>
  <c r="AW176" i="15" s="1"/>
  <c r="M176" i="15"/>
  <c r="AU176" i="15" s="1"/>
  <c r="L176" i="15"/>
  <c r="K176" i="15"/>
  <c r="J176" i="15"/>
  <c r="I176" i="15"/>
  <c r="H176" i="15"/>
  <c r="G176" i="15"/>
  <c r="F176" i="15"/>
  <c r="E176" i="15"/>
  <c r="D176" i="15"/>
  <c r="C176" i="15"/>
  <c r="B176" i="15"/>
  <c r="BC175" i="15"/>
  <c r="P175" i="15"/>
  <c r="BA175" i="15" s="1"/>
  <c r="O175" i="15"/>
  <c r="AY175" i="15" s="1"/>
  <c r="N175" i="15"/>
  <c r="AW175" i="15" s="1"/>
  <c r="M175" i="15"/>
  <c r="AU175" i="15" s="1"/>
  <c r="L175" i="15"/>
  <c r="AS175" i="15" s="1"/>
  <c r="K175" i="15"/>
  <c r="J175" i="15"/>
  <c r="I175" i="15"/>
  <c r="H175" i="15"/>
  <c r="G175" i="15"/>
  <c r="F175" i="15"/>
  <c r="E175" i="15"/>
  <c r="D175" i="15"/>
  <c r="C175" i="15"/>
  <c r="B175" i="15"/>
  <c r="BC174" i="15"/>
  <c r="P174" i="15"/>
  <c r="BA174" i="15" s="1"/>
  <c r="O174" i="15"/>
  <c r="AY174" i="15" s="1"/>
  <c r="N174" i="15"/>
  <c r="AW174" i="15" s="1"/>
  <c r="M174" i="15"/>
  <c r="AU174" i="15" s="1"/>
  <c r="L174" i="15"/>
  <c r="AS174" i="15" s="1"/>
  <c r="K174" i="15"/>
  <c r="J174" i="15"/>
  <c r="I174" i="15"/>
  <c r="H174" i="15"/>
  <c r="G174" i="15"/>
  <c r="F174" i="15"/>
  <c r="E174" i="15"/>
  <c r="D174" i="15"/>
  <c r="C174" i="15"/>
  <c r="B174" i="15"/>
  <c r="BC173" i="15"/>
  <c r="P173" i="15"/>
  <c r="BA173" i="15" s="1"/>
  <c r="O173" i="15"/>
  <c r="AY173" i="15" s="1"/>
  <c r="N173" i="15"/>
  <c r="M173" i="15"/>
  <c r="AU173" i="15" s="1"/>
  <c r="L173" i="15"/>
  <c r="AS173" i="15" s="1"/>
  <c r="K173" i="15"/>
  <c r="J173" i="15"/>
  <c r="I173" i="15"/>
  <c r="I109" i="15" s="1"/>
  <c r="H173" i="15"/>
  <c r="H109" i="15" s="1"/>
  <c r="G173" i="15"/>
  <c r="F173" i="15"/>
  <c r="E173" i="15"/>
  <c r="D173" i="15"/>
  <c r="C173" i="15"/>
  <c r="B173" i="15"/>
  <c r="BC172" i="15"/>
  <c r="BA172" i="15"/>
  <c r="AU172" i="15"/>
  <c r="P172" i="15"/>
  <c r="O172" i="15"/>
  <c r="AY172" i="15" s="1"/>
  <c r="N172" i="15"/>
  <c r="AW172" i="15" s="1"/>
  <c r="M172" i="15"/>
  <c r="L172" i="15"/>
  <c r="AS172" i="15" s="1"/>
  <c r="K172" i="15"/>
  <c r="J172" i="15"/>
  <c r="I172" i="15"/>
  <c r="H172" i="15"/>
  <c r="G172" i="15"/>
  <c r="F172" i="15"/>
  <c r="E172" i="15"/>
  <c r="D172" i="15"/>
  <c r="C172" i="15"/>
  <c r="B172" i="15"/>
  <c r="BC171" i="15"/>
  <c r="BA171" i="15"/>
  <c r="AY171" i="15"/>
  <c r="AS171" i="15"/>
  <c r="P171" i="15"/>
  <c r="O171" i="15"/>
  <c r="N171" i="15"/>
  <c r="AW171" i="15" s="1"/>
  <c r="M171" i="15"/>
  <c r="AU171" i="15" s="1"/>
  <c r="L171" i="15"/>
  <c r="K171" i="15"/>
  <c r="J171" i="15"/>
  <c r="I171" i="15"/>
  <c r="H171" i="15"/>
  <c r="G171" i="15"/>
  <c r="G107" i="15" s="1"/>
  <c r="F171" i="15"/>
  <c r="E171" i="15"/>
  <c r="D171" i="15"/>
  <c r="C171" i="15"/>
  <c r="B171" i="15"/>
  <c r="BC170" i="15"/>
  <c r="BA170" i="15"/>
  <c r="AY170" i="15"/>
  <c r="AW170" i="15"/>
  <c r="Q170" i="15"/>
  <c r="P170" i="15"/>
  <c r="O170" i="15"/>
  <c r="N170" i="15"/>
  <c r="M170" i="15"/>
  <c r="AU170" i="15" s="1"/>
  <c r="L170" i="15"/>
  <c r="AS170" i="15" s="1"/>
  <c r="K170" i="15"/>
  <c r="J170" i="15"/>
  <c r="I170" i="15"/>
  <c r="H170" i="15"/>
  <c r="G170" i="15"/>
  <c r="F170" i="15"/>
  <c r="E170" i="15"/>
  <c r="D170" i="15"/>
  <c r="C170" i="15"/>
  <c r="B170" i="15"/>
  <c r="BA169" i="15"/>
  <c r="AY169" i="15"/>
  <c r="AW169" i="15"/>
  <c r="Q169" i="15"/>
  <c r="P169" i="15"/>
  <c r="O169" i="15"/>
  <c r="N169" i="15"/>
  <c r="M169" i="15"/>
  <c r="AU169" i="15" s="1"/>
  <c r="L169" i="15"/>
  <c r="AS169" i="15" s="1"/>
  <c r="K169" i="15"/>
  <c r="J169" i="15"/>
  <c r="I169" i="15"/>
  <c r="H169" i="15"/>
  <c r="G169" i="15"/>
  <c r="F169" i="15"/>
  <c r="E169" i="15"/>
  <c r="D169" i="15"/>
  <c r="C169" i="15"/>
  <c r="B169" i="15"/>
  <c r="BA168" i="15"/>
  <c r="AY168" i="15"/>
  <c r="AW168" i="15"/>
  <c r="Q168" i="15"/>
  <c r="P168" i="15"/>
  <c r="O168" i="15"/>
  <c r="N168" i="15"/>
  <c r="M168" i="15"/>
  <c r="L168" i="15"/>
  <c r="K168" i="15"/>
  <c r="J168" i="15"/>
  <c r="I168" i="15"/>
  <c r="H168" i="15"/>
  <c r="G168" i="15"/>
  <c r="F168" i="15"/>
  <c r="E168" i="15"/>
  <c r="D168" i="15"/>
  <c r="C168" i="15"/>
  <c r="B168" i="15"/>
  <c r="AP167" i="15"/>
  <c r="AO167" i="15"/>
  <c r="AN167" i="15"/>
  <c r="AM167" i="15"/>
  <c r="AL167" i="15"/>
  <c r="AK167"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C167" i="15"/>
  <c r="B167" i="15"/>
  <c r="Y164" i="15"/>
  <c r="X164" i="15"/>
  <c r="J164" i="15"/>
  <c r="J9" i="15" s="1"/>
  <c r="AW163" i="15"/>
  <c r="AS163" i="15"/>
  <c r="P163" i="15"/>
  <c r="O163" i="15"/>
  <c r="N163" i="15"/>
  <c r="M163" i="15"/>
  <c r="AU163" i="15" s="1"/>
  <c r="L163" i="15"/>
  <c r="K163" i="15"/>
  <c r="J163" i="15"/>
  <c r="I163" i="15"/>
  <c r="H163" i="15"/>
  <c r="G163" i="15"/>
  <c r="F163" i="15"/>
  <c r="E163" i="15"/>
  <c r="E131" i="15" s="1"/>
  <c r="E115" i="15" s="1"/>
  <c r="D163" i="15"/>
  <c r="C163" i="15"/>
  <c r="B163" i="15"/>
  <c r="AY162" i="15"/>
  <c r="P162" i="15"/>
  <c r="BA162" i="15" s="1"/>
  <c r="O162" i="15"/>
  <c r="N162" i="15"/>
  <c r="AW162" i="15" s="1"/>
  <c r="M162" i="15"/>
  <c r="AU162" i="15" s="1"/>
  <c r="L162" i="15"/>
  <c r="AS162" i="15" s="1"/>
  <c r="K162" i="15"/>
  <c r="J162" i="15"/>
  <c r="I162" i="15"/>
  <c r="H162" i="15"/>
  <c r="G162" i="15"/>
  <c r="F162" i="15"/>
  <c r="E162" i="15"/>
  <c r="D162" i="15"/>
  <c r="D130" i="15" s="1"/>
  <c r="C162" i="15"/>
  <c r="B162" i="15"/>
  <c r="AU161" i="15"/>
  <c r="P161" i="15"/>
  <c r="O161" i="15"/>
  <c r="AY161" i="15" s="1"/>
  <c r="N161" i="15"/>
  <c r="AW161" i="15" s="1"/>
  <c r="M161" i="15"/>
  <c r="L161" i="15"/>
  <c r="AS161" i="15" s="1"/>
  <c r="K161" i="15"/>
  <c r="J161" i="15"/>
  <c r="I161" i="15"/>
  <c r="H161" i="15"/>
  <c r="G161" i="15"/>
  <c r="F161" i="15"/>
  <c r="E161" i="15"/>
  <c r="D161" i="15"/>
  <c r="C161" i="15"/>
  <c r="B161" i="15"/>
  <c r="AY160" i="15"/>
  <c r="AU160" i="15"/>
  <c r="P160" i="15"/>
  <c r="BA160" i="15" s="1"/>
  <c r="O160" i="15"/>
  <c r="N160" i="15"/>
  <c r="M160" i="15"/>
  <c r="L160" i="15"/>
  <c r="AS160" i="15" s="1"/>
  <c r="K160" i="15"/>
  <c r="K128" i="15" s="1"/>
  <c r="K112" i="15" s="1"/>
  <c r="J160" i="15"/>
  <c r="J128" i="15" s="1"/>
  <c r="J112" i="15" s="1"/>
  <c r="I160" i="15"/>
  <c r="H160" i="15"/>
  <c r="G160" i="15"/>
  <c r="G128" i="15" s="1"/>
  <c r="G112" i="15" s="1"/>
  <c r="F160" i="15"/>
  <c r="E160" i="15"/>
  <c r="D160" i="15"/>
  <c r="C160" i="15"/>
  <c r="B160" i="15"/>
  <c r="B128" i="15" s="1"/>
  <c r="B112" i="15" s="1"/>
  <c r="AW159" i="15"/>
  <c r="AS159" i="15"/>
  <c r="P159" i="15"/>
  <c r="O159" i="15"/>
  <c r="AY159" i="15" s="1"/>
  <c r="N159" i="15"/>
  <c r="M159" i="15"/>
  <c r="L159" i="15"/>
  <c r="K159" i="15"/>
  <c r="J159" i="15"/>
  <c r="I159" i="15"/>
  <c r="H159" i="15"/>
  <c r="G159" i="15"/>
  <c r="F159" i="15"/>
  <c r="E159" i="15"/>
  <c r="D159" i="15"/>
  <c r="C159" i="15"/>
  <c r="B159" i="15"/>
  <c r="AY158" i="15"/>
  <c r="AS158" i="15"/>
  <c r="P158" i="15"/>
  <c r="BA158" i="15" s="1"/>
  <c r="O158" i="15"/>
  <c r="N158" i="15"/>
  <c r="AW158" i="15" s="1"/>
  <c r="M158" i="15"/>
  <c r="AU158" i="15" s="1"/>
  <c r="L158" i="15"/>
  <c r="K158" i="15"/>
  <c r="J158" i="15"/>
  <c r="I158" i="15"/>
  <c r="H158" i="15"/>
  <c r="G158" i="15"/>
  <c r="F158" i="15"/>
  <c r="E158" i="15"/>
  <c r="E126" i="15" s="1"/>
  <c r="E110" i="15" s="1"/>
  <c r="D158" i="15"/>
  <c r="C158" i="15"/>
  <c r="C126" i="15" s="1"/>
  <c r="C110" i="15" s="1"/>
  <c r="B158" i="15"/>
  <c r="B126" i="15" s="1"/>
  <c r="B110" i="15" s="1"/>
  <c r="BA157" i="15"/>
  <c r="AY157" i="15"/>
  <c r="AU157" i="15"/>
  <c r="P157" i="15"/>
  <c r="O157" i="15"/>
  <c r="N157" i="15"/>
  <c r="AW157" i="15" s="1"/>
  <c r="M157" i="15"/>
  <c r="L157" i="15"/>
  <c r="AS157" i="15" s="1"/>
  <c r="K157" i="15"/>
  <c r="K125" i="15" s="1"/>
  <c r="K109" i="15" s="1"/>
  <c r="K45" i="15" s="1"/>
  <c r="J157" i="15"/>
  <c r="I157" i="15"/>
  <c r="H157" i="15"/>
  <c r="G157" i="15"/>
  <c r="F157" i="15"/>
  <c r="F125" i="15" s="1"/>
  <c r="E157" i="15"/>
  <c r="E125" i="15" s="1"/>
  <c r="E109" i="15" s="1"/>
  <c r="D157" i="15"/>
  <c r="D125" i="15" s="1"/>
  <c r="D109" i="15" s="1"/>
  <c r="C157" i="15"/>
  <c r="B157" i="15"/>
  <c r="B125" i="15" s="1"/>
  <c r="B109" i="15" s="1"/>
  <c r="BA156" i="15"/>
  <c r="AW156" i="15"/>
  <c r="AU156" i="15"/>
  <c r="P156" i="15"/>
  <c r="O156" i="15"/>
  <c r="AY156" i="15" s="1"/>
  <c r="N156" i="15"/>
  <c r="M156" i="15"/>
  <c r="L156" i="15"/>
  <c r="AS156" i="15" s="1"/>
  <c r="K156" i="15"/>
  <c r="J156" i="15"/>
  <c r="I156" i="15"/>
  <c r="H156" i="15"/>
  <c r="G156" i="15"/>
  <c r="F156" i="15"/>
  <c r="E156" i="15"/>
  <c r="D156" i="15"/>
  <c r="C156" i="15"/>
  <c r="B156" i="15"/>
  <c r="BA155" i="15"/>
  <c r="AW155" i="15"/>
  <c r="AU155" i="15"/>
  <c r="P155" i="15"/>
  <c r="O155" i="15"/>
  <c r="AY155" i="15" s="1"/>
  <c r="N155" i="15"/>
  <c r="M155" i="15"/>
  <c r="L155" i="15"/>
  <c r="AS155" i="15" s="1"/>
  <c r="K155" i="15"/>
  <c r="J155" i="15"/>
  <c r="I155" i="15"/>
  <c r="H155" i="15"/>
  <c r="G155" i="15"/>
  <c r="F155" i="15"/>
  <c r="E155" i="15"/>
  <c r="D155" i="15"/>
  <c r="C155" i="15"/>
  <c r="B155" i="15"/>
  <c r="BC154" i="15"/>
  <c r="AW154" i="15"/>
  <c r="Q154" i="15"/>
  <c r="P154" i="15"/>
  <c r="BA154" i="15" s="1"/>
  <c r="O154" i="15"/>
  <c r="AY154" i="15" s="1"/>
  <c r="N154" i="15"/>
  <c r="M154" i="15"/>
  <c r="AU154" i="15" s="1"/>
  <c r="L154" i="15"/>
  <c r="AS154" i="15" s="1"/>
  <c r="K154" i="15"/>
  <c r="J154" i="15"/>
  <c r="I154" i="15"/>
  <c r="H154" i="15"/>
  <c r="G154" i="15"/>
  <c r="G122" i="15" s="1"/>
  <c r="G106" i="15" s="1"/>
  <c r="F154" i="15"/>
  <c r="F164" i="15" s="1"/>
  <c r="F9" i="15" s="1"/>
  <c r="E154" i="15"/>
  <c r="D154" i="15"/>
  <c r="C154" i="15"/>
  <c r="B154" i="15"/>
  <c r="Q153" i="15"/>
  <c r="BC153" i="15" s="1"/>
  <c r="P153" i="15"/>
  <c r="BA153" i="15" s="1"/>
  <c r="O153" i="15"/>
  <c r="AY153" i="15" s="1"/>
  <c r="N153" i="15"/>
  <c r="AW153" i="15" s="1"/>
  <c r="M153" i="15"/>
  <c r="AU153" i="15" s="1"/>
  <c r="L153" i="15"/>
  <c r="K153" i="15"/>
  <c r="J153" i="15"/>
  <c r="I153" i="15"/>
  <c r="H153" i="15"/>
  <c r="G153" i="15"/>
  <c r="F153" i="15"/>
  <c r="E153" i="15"/>
  <c r="D153" i="15"/>
  <c r="C153" i="15"/>
  <c r="B153" i="15"/>
  <c r="AS152" i="15"/>
  <c r="Q152" i="15"/>
  <c r="BC152" i="15" s="1"/>
  <c r="P152" i="15"/>
  <c r="O152" i="15"/>
  <c r="N152" i="15"/>
  <c r="M152" i="15"/>
  <c r="L152" i="15"/>
  <c r="K152" i="15"/>
  <c r="J152" i="15"/>
  <c r="I152" i="15"/>
  <c r="H152" i="15"/>
  <c r="G152" i="15"/>
  <c r="F152" i="15"/>
  <c r="E152" i="15"/>
  <c r="D152" i="15"/>
  <c r="C152" i="15"/>
  <c r="B152" i="15"/>
  <c r="AP151" i="15"/>
  <c r="AO151" i="15"/>
  <c r="AN151" i="15"/>
  <c r="AM151" i="15"/>
  <c r="AL151" i="15"/>
  <c r="AK151"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C151" i="15"/>
  <c r="B151" i="15"/>
  <c r="AP148" i="15"/>
  <c r="AO148" i="15"/>
  <c r="AN148" i="15"/>
  <c r="AM148" i="15"/>
  <c r="AL148" i="15"/>
  <c r="AK148" i="15"/>
  <c r="AJ148" i="15"/>
  <c r="AI148" i="15"/>
  <c r="AH148" i="15"/>
  <c r="AG148" i="15"/>
  <c r="AF148" i="15"/>
  <c r="AE148" i="15"/>
  <c r="AD148" i="15"/>
  <c r="AC148" i="15"/>
  <c r="AB148" i="15"/>
  <c r="AA148" i="15"/>
  <c r="Z148" i="15"/>
  <c r="Y148" i="15"/>
  <c r="X148" i="15"/>
  <c r="W148" i="15"/>
  <c r="V148" i="15"/>
  <c r="U148" i="15"/>
  <c r="T148" i="15"/>
  <c r="S148" i="15"/>
  <c r="R148" i="15"/>
  <c r="O148" i="15"/>
  <c r="M148" i="15"/>
  <c r="L148" i="15"/>
  <c r="J148" i="15"/>
  <c r="J8" i="15" s="1"/>
  <c r="J7" i="15" s="1"/>
  <c r="I148" i="15"/>
  <c r="I8" i="15" s="1"/>
  <c r="BC147" i="15"/>
  <c r="BA147" i="15"/>
  <c r="AS147" i="15"/>
  <c r="P147" i="15"/>
  <c r="O147" i="15"/>
  <c r="AY147" i="15" s="1"/>
  <c r="N147" i="15"/>
  <c r="AW147" i="15" s="1"/>
  <c r="M147" i="15"/>
  <c r="AU147" i="15" s="1"/>
  <c r="L147" i="15"/>
  <c r="L131" i="15" s="1"/>
  <c r="K147" i="15"/>
  <c r="J147" i="15"/>
  <c r="I147" i="15"/>
  <c r="H147" i="15"/>
  <c r="G147" i="15"/>
  <c r="G131" i="15" s="1"/>
  <c r="G115" i="15" s="1"/>
  <c r="F147" i="15"/>
  <c r="F131" i="15" s="1"/>
  <c r="F115" i="15" s="1"/>
  <c r="E147" i="15"/>
  <c r="D147" i="15"/>
  <c r="D131" i="15" s="1"/>
  <c r="D115" i="15" s="1"/>
  <c r="C147" i="15"/>
  <c r="C131" i="15" s="1"/>
  <c r="C115" i="15" s="1"/>
  <c r="B147" i="15"/>
  <c r="B131" i="15" s="1"/>
  <c r="B115" i="15" s="1"/>
  <c r="BC146" i="15"/>
  <c r="BA146" i="15"/>
  <c r="AY146" i="15"/>
  <c r="P146" i="15"/>
  <c r="O146" i="15"/>
  <c r="O130" i="15" s="1"/>
  <c r="N146" i="15"/>
  <c r="AW146" i="15" s="1"/>
  <c r="M146" i="15"/>
  <c r="AU146" i="15" s="1"/>
  <c r="L146" i="15"/>
  <c r="AS146" i="15" s="1"/>
  <c r="K146" i="15"/>
  <c r="J146" i="15"/>
  <c r="J130" i="15" s="1"/>
  <c r="I146" i="15"/>
  <c r="H146" i="15"/>
  <c r="H130" i="15" s="1"/>
  <c r="H114" i="15" s="1"/>
  <c r="G146" i="15"/>
  <c r="F146" i="15"/>
  <c r="E146" i="15"/>
  <c r="E130" i="15" s="1"/>
  <c r="E114" i="15" s="1"/>
  <c r="D146" i="15"/>
  <c r="C146" i="15"/>
  <c r="C130" i="15" s="1"/>
  <c r="C114" i="15" s="1"/>
  <c r="B146" i="15"/>
  <c r="B130" i="15" s="1"/>
  <c r="B114" i="15" s="1"/>
  <c r="BC145" i="15"/>
  <c r="BA145" i="15"/>
  <c r="AY145" i="15"/>
  <c r="AW145" i="15"/>
  <c r="P145" i="15"/>
  <c r="O145" i="15"/>
  <c r="N145" i="15"/>
  <c r="M145" i="15"/>
  <c r="L145" i="15"/>
  <c r="AS145" i="15" s="1"/>
  <c r="K145" i="15"/>
  <c r="J145" i="15"/>
  <c r="I145" i="15"/>
  <c r="H145" i="15"/>
  <c r="G145" i="15"/>
  <c r="F145" i="15"/>
  <c r="E145" i="15"/>
  <c r="D145" i="15"/>
  <c r="D129" i="15" s="1"/>
  <c r="D113" i="15" s="1"/>
  <c r="C145" i="15"/>
  <c r="B145" i="15"/>
  <c r="B129" i="15" s="1"/>
  <c r="B113" i="15" s="1"/>
  <c r="BC144" i="15"/>
  <c r="BA144" i="15"/>
  <c r="AY144" i="15"/>
  <c r="AW144" i="15"/>
  <c r="AU144" i="15"/>
  <c r="P144" i="15"/>
  <c r="O144" i="15"/>
  <c r="N144" i="15"/>
  <c r="M144" i="15"/>
  <c r="L144" i="15"/>
  <c r="AS144" i="15" s="1"/>
  <c r="K144" i="15"/>
  <c r="J144" i="15"/>
  <c r="I144" i="15"/>
  <c r="H144" i="15"/>
  <c r="G144" i="15"/>
  <c r="F144" i="15"/>
  <c r="E144" i="15"/>
  <c r="D144" i="15"/>
  <c r="C144" i="15"/>
  <c r="B144" i="15"/>
  <c r="BC143" i="15"/>
  <c r="BA143" i="15"/>
  <c r="AY143" i="15"/>
  <c r="AW143" i="15"/>
  <c r="AU143" i="15"/>
  <c r="AS143" i="15"/>
  <c r="P143" i="15"/>
  <c r="O143" i="15"/>
  <c r="O127" i="15" s="1"/>
  <c r="N143" i="15"/>
  <c r="M143" i="15"/>
  <c r="L143" i="15"/>
  <c r="K143" i="15"/>
  <c r="J143" i="15"/>
  <c r="I143" i="15"/>
  <c r="H143" i="15"/>
  <c r="G143" i="15"/>
  <c r="F143" i="15"/>
  <c r="E143" i="15"/>
  <c r="D143" i="15"/>
  <c r="C143" i="15"/>
  <c r="B143" i="15"/>
  <c r="B127" i="15" s="1"/>
  <c r="B111" i="15" s="1"/>
  <c r="BC142" i="15"/>
  <c r="BA142" i="15"/>
  <c r="AY142" i="15"/>
  <c r="AW142" i="15"/>
  <c r="AU142" i="15"/>
  <c r="AS142" i="15"/>
  <c r="P142" i="15"/>
  <c r="O142" i="15"/>
  <c r="N142" i="15"/>
  <c r="N126" i="15" s="1"/>
  <c r="M142" i="15"/>
  <c r="L142" i="15"/>
  <c r="K142" i="15"/>
  <c r="J142" i="15"/>
  <c r="I142" i="15"/>
  <c r="H142" i="15"/>
  <c r="G142" i="15"/>
  <c r="F142" i="15"/>
  <c r="E142" i="15"/>
  <c r="D142" i="15"/>
  <c r="C142" i="15"/>
  <c r="B142" i="15"/>
  <c r="BC141" i="15"/>
  <c r="AW141" i="15"/>
  <c r="AU141" i="15"/>
  <c r="AS141" i="15"/>
  <c r="P141" i="15"/>
  <c r="O141" i="15"/>
  <c r="N141" i="15"/>
  <c r="M141" i="15"/>
  <c r="L141" i="15"/>
  <c r="K141" i="15"/>
  <c r="J141" i="15"/>
  <c r="I141" i="15"/>
  <c r="H141" i="15"/>
  <c r="H125" i="15" s="1"/>
  <c r="G141" i="15"/>
  <c r="F141" i="15"/>
  <c r="E141" i="15"/>
  <c r="D141" i="15"/>
  <c r="C141" i="15"/>
  <c r="B141" i="15"/>
  <c r="BC140" i="15"/>
  <c r="AU140" i="15"/>
  <c r="AS140" i="15"/>
  <c r="P140" i="15"/>
  <c r="O140" i="15"/>
  <c r="N140" i="15"/>
  <c r="N124" i="15" s="1"/>
  <c r="AW124" i="15" s="1"/>
  <c r="M140" i="15"/>
  <c r="M124" i="15" s="1"/>
  <c r="L140" i="15"/>
  <c r="L124" i="15" s="1"/>
  <c r="K140" i="15"/>
  <c r="K124" i="15" s="1"/>
  <c r="J140" i="15"/>
  <c r="I140" i="15"/>
  <c r="H140" i="15"/>
  <c r="G140" i="15"/>
  <c r="F140" i="15"/>
  <c r="E140" i="15"/>
  <c r="E124" i="15" s="1"/>
  <c r="D140" i="15"/>
  <c r="C140" i="15"/>
  <c r="B140" i="15"/>
  <c r="BC139" i="15"/>
  <c r="P139" i="15"/>
  <c r="O139" i="15"/>
  <c r="N139" i="15"/>
  <c r="M139" i="15"/>
  <c r="L139" i="15"/>
  <c r="K139" i="15"/>
  <c r="K123" i="15" s="1"/>
  <c r="K107" i="15" s="1"/>
  <c r="J139" i="15"/>
  <c r="J123" i="15" s="1"/>
  <c r="J107" i="15" s="1"/>
  <c r="I139" i="15"/>
  <c r="H139" i="15"/>
  <c r="G139" i="15"/>
  <c r="F139" i="15"/>
  <c r="E139" i="15"/>
  <c r="D139" i="15"/>
  <c r="C139" i="15"/>
  <c r="B139" i="15"/>
  <c r="Q138" i="15"/>
  <c r="P138" i="15"/>
  <c r="O138" i="15"/>
  <c r="O122" i="15" s="1"/>
  <c r="N138" i="15"/>
  <c r="M138" i="15"/>
  <c r="L138" i="15"/>
  <c r="K138" i="15"/>
  <c r="K122" i="15" s="1"/>
  <c r="K106" i="15" s="1"/>
  <c r="J138" i="15"/>
  <c r="J122" i="15" s="1"/>
  <c r="J106" i="15" s="1"/>
  <c r="I138" i="15"/>
  <c r="I122" i="15" s="1"/>
  <c r="H138" i="15"/>
  <c r="G138" i="15"/>
  <c r="F138" i="15"/>
  <c r="E138" i="15"/>
  <c r="D138" i="15"/>
  <c r="C138" i="15"/>
  <c r="B138" i="15"/>
  <c r="BC137" i="15"/>
  <c r="AW137" i="15"/>
  <c r="Q137" i="15"/>
  <c r="Q121" i="15" s="1"/>
  <c r="P137" i="15"/>
  <c r="O137" i="15"/>
  <c r="N137" i="15"/>
  <c r="N121" i="15" s="1"/>
  <c r="M137" i="15"/>
  <c r="L137" i="15"/>
  <c r="AS137" i="15" s="1"/>
  <c r="K137" i="15"/>
  <c r="J137" i="15"/>
  <c r="I137" i="15"/>
  <c r="H137" i="15"/>
  <c r="H121" i="15" s="1"/>
  <c r="H105" i="15" s="1"/>
  <c r="G137" i="15"/>
  <c r="F137" i="15"/>
  <c r="E137" i="15"/>
  <c r="D137" i="15"/>
  <c r="C137" i="15"/>
  <c r="B137" i="15"/>
  <c r="AS136" i="15"/>
  <c r="Q136" i="15"/>
  <c r="BC136" i="15" s="1"/>
  <c r="P136" i="15"/>
  <c r="O136" i="15"/>
  <c r="N136" i="15"/>
  <c r="M136" i="15"/>
  <c r="L136" i="15"/>
  <c r="K136" i="15"/>
  <c r="J136" i="15"/>
  <c r="I136" i="15"/>
  <c r="H136" i="15"/>
  <c r="G136" i="15"/>
  <c r="F136" i="15"/>
  <c r="E136" i="15"/>
  <c r="D136" i="15"/>
  <c r="C136" i="15"/>
  <c r="B136" i="15"/>
  <c r="AP135" i="15"/>
  <c r="AO135" i="15"/>
  <c r="AN135" i="15"/>
  <c r="AM135" i="15"/>
  <c r="AL135" i="15"/>
  <c r="AK135" i="15"/>
  <c r="AJ135" i="15"/>
  <c r="AI135" i="15"/>
  <c r="AH135" i="15"/>
  <c r="AG135" i="15"/>
  <c r="AF135" i="15"/>
  <c r="AE135" i="15"/>
  <c r="AD135" i="15"/>
  <c r="AC135" i="15"/>
  <c r="AB135" i="15"/>
  <c r="AA135" i="15"/>
  <c r="Z135" i="15"/>
  <c r="Y135" i="15"/>
  <c r="X135" i="15"/>
  <c r="W135" i="15"/>
  <c r="V135" i="15"/>
  <c r="U135" i="15"/>
  <c r="T135" i="15"/>
  <c r="S135" i="15"/>
  <c r="R135" i="15"/>
  <c r="Q135" i="15"/>
  <c r="P135" i="15"/>
  <c r="O135" i="15"/>
  <c r="N135" i="15"/>
  <c r="M135" i="15"/>
  <c r="L135" i="15"/>
  <c r="K135" i="15"/>
  <c r="J135" i="15"/>
  <c r="I135" i="15"/>
  <c r="H135" i="15"/>
  <c r="G135" i="15"/>
  <c r="F135" i="15"/>
  <c r="E135" i="15"/>
  <c r="D135" i="15"/>
  <c r="C135" i="15"/>
  <c r="B135" i="15"/>
  <c r="AU131" i="15"/>
  <c r="AS131" i="15"/>
  <c r="N131" i="15"/>
  <c r="M131" i="15"/>
  <c r="M115" i="15" s="1"/>
  <c r="J131" i="15"/>
  <c r="J115" i="15" s="1"/>
  <c r="I131" i="15"/>
  <c r="I115" i="15" s="1"/>
  <c r="H131" i="15"/>
  <c r="H115" i="15" s="1"/>
  <c r="AY130" i="15"/>
  <c r="P130" i="15"/>
  <c r="BA130" i="15" s="1"/>
  <c r="N130" i="15"/>
  <c r="AW130" i="15" s="1"/>
  <c r="M130" i="15"/>
  <c r="L130" i="15"/>
  <c r="K130" i="15"/>
  <c r="I130" i="15"/>
  <c r="I114" i="15" s="1"/>
  <c r="F130" i="15"/>
  <c r="F114" i="15" s="1"/>
  <c r="O129" i="15"/>
  <c r="AY129" i="15" s="1"/>
  <c r="N129" i="15"/>
  <c r="L129" i="15"/>
  <c r="AS129" i="15" s="1"/>
  <c r="K129" i="15"/>
  <c r="K113" i="15" s="1"/>
  <c r="J129" i="15"/>
  <c r="J113" i="15" s="1"/>
  <c r="J49" i="15" s="1"/>
  <c r="I129" i="15"/>
  <c r="I113" i="15" s="1"/>
  <c r="I49" i="15" s="1"/>
  <c r="H129" i="15"/>
  <c r="H113" i="15" s="1"/>
  <c r="G129" i="15"/>
  <c r="G113" i="15" s="1"/>
  <c r="F129" i="15"/>
  <c r="E129" i="15"/>
  <c r="E113" i="15" s="1"/>
  <c r="C129" i="15"/>
  <c r="AU128" i="15"/>
  <c r="O128" i="15"/>
  <c r="AY128" i="15" s="1"/>
  <c r="M128" i="15"/>
  <c r="L128" i="15"/>
  <c r="I128" i="15"/>
  <c r="I112" i="15" s="1"/>
  <c r="H128" i="15"/>
  <c r="H112" i="15" s="1"/>
  <c r="F128" i="15"/>
  <c r="F112" i="15" s="1"/>
  <c r="E128" i="15"/>
  <c r="E112" i="15" s="1"/>
  <c r="D128" i="15"/>
  <c r="N127" i="15"/>
  <c r="L127" i="15"/>
  <c r="K127" i="15"/>
  <c r="K111" i="15" s="1"/>
  <c r="K47" i="15" s="1"/>
  <c r="J127" i="15"/>
  <c r="J111" i="15" s="1"/>
  <c r="I127" i="15"/>
  <c r="I111" i="15" s="1"/>
  <c r="H127" i="15"/>
  <c r="H111" i="15" s="1"/>
  <c r="G127" i="15"/>
  <c r="G111" i="15" s="1"/>
  <c r="F127" i="15"/>
  <c r="F111" i="15" s="1"/>
  <c r="E127" i="15"/>
  <c r="E111" i="15" s="1"/>
  <c r="D127" i="15"/>
  <c r="D111" i="15" s="1"/>
  <c r="C127" i="15"/>
  <c r="C111" i="15" s="1"/>
  <c r="P126" i="15"/>
  <c r="O126" i="15"/>
  <c r="AY126" i="15" s="1"/>
  <c r="M126" i="15"/>
  <c r="L126" i="15"/>
  <c r="AS126" i="15" s="1"/>
  <c r="K126" i="15"/>
  <c r="K110" i="15" s="1"/>
  <c r="J126" i="15"/>
  <c r="J110" i="15" s="1"/>
  <c r="I126" i="15"/>
  <c r="I110" i="15" s="1"/>
  <c r="H126" i="15"/>
  <c r="H110" i="15" s="1"/>
  <c r="G126" i="15"/>
  <c r="G110" i="15" s="1"/>
  <c r="F126" i="15"/>
  <c r="F110" i="15" s="1"/>
  <c r="AU125" i="15"/>
  <c r="N125" i="15"/>
  <c r="AW125" i="15" s="1"/>
  <c r="M125" i="15"/>
  <c r="L125" i="15"/>
  <c r="AS125" i="15" s="1"/>
  <c r="J125" i="15"/>
  <c r="I125" i="15"/>
  <c r="G125" i="15"/>
  <c r="J124" i="15"/>
  <c r="I124" i="15"/>
  <c r="H124" i="15"/>
  <c r="G124" i="15"/>
  <c r="D124" i="15"/>
  <c r="C124" i="15"/>
  <c r="B124" i="15"/>
  <c r="I123" i="15"/>
  <c r="H123" i="15"/>
  <c r="G123" i="15"/>
  <c r="F123" i="15"/>
  <c r="E123" i="15"/>
  <c r="D123" i="15"/>
  <c r="C123" i="15"/>
  <c r="C107" i="15" s="1"/>
  <c r="B123" i="15"/>
  <c r="AY122" i="15"/>
  <c r="F122" i="15"/>
  <c r="F106" i="15" s="1"/>
  <c r="E122" i="15"/>
  <c r="E106" i="15" s="1"/>
  <c r="D122" i="15"/>
  <c r="D106" i="15" s="1"/>
  <c r="C122" i="15"/>
  <c r="C106" i="15" s="1"/>
  <c r="B122" i="15"/>
  <c r="BC121" i="15"/>
  <c r="AW121" i="15"/>
  <c r="I121" i="15"/>
  <c r="I105" i="15" s="1"/>
  <c r="G121" i="15"/>
  <c r="G105" i="15" s="1"/>
  <c r="F121" i="15"/>
  <c r="F105" i="15" s="1"/>
  <c r="E121" i="15"/>
  <c r="E105" i="15" s="1"/>
  <c r="D121" i="15"/>
  <c r="D105" i="15" s="1"/>
  <c r="C121" i="15"/>
  <c r="C105" i="15" s="1"/>
  <c r="B121" i="15"/>
  <c r="B105" i="15" s="1"/>
  <c r="Q120" i="15"/>
  <c r="BC120" i="15" s="1"/>
  <c r="L120" i="15"/>
  <c r="I120" i="15"/>
  <c r="G120" i="15"/>
  <c r="F120" i="15"/>
  <c r="C120" i="15"/>
  <c r="C104" i="15" s="1"/>
  <c r="B120" i="15"/>
  <c r="AP119" i="15"/>
  <c r="AO119" i="15"/>
  <c r="AN119" i="15"/>
  <c r="AM119" i="15"/>
  <c r="AL119" i="15"/>
  <c r="AK119"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C119" i="15"/>
  <c r="B119" i="15"/>
  <c r="AU115" i="15"/>
  <c r="BA114" i="15"/>
  <c r="AY114" i="15"/>
  <c r="P114" i="15"/>
  <c r="O114" i="15"/>
  <c r="D114" i="15"/>
  <c r="O113" i="15"/>
  <c r="AY113" i="15" s="1"/>
  <c r="L113" i="15"/>
  <c r="AS113" i="15" s="1"/>
  <c r="C113" i="15"/>
  <c r="O112" i="15"/>
  <c r="M112" i="15"/>
  <c r="AU112" i="15" s="1"/>
  <c r="O110" i="15"/>
  <c r="AY110" i="15" s="1"/>
  <c r="L110" i="15"/>
  <c r="AS110" i="15" s="1"/>
  <c r="N109" i="15"/>
  <c r="AW109" i="15" s="1"/>
  <c r="M109" i="15"/>
  <c r="AU109" i="15" s="1"/>
  <c r="L109" i="15"/>
  <c r="AS109" i="15" s="1"/>
  <c r="J109" i="15"/>
  <c r="K108" i="15"/>
  <c r="J108" i="15"/>
  <c r="I108" i="15"/>
  <c r="H108" i="15"/>
  <c r="I107" i="15"/>
  <c r="H107" i="15"/>
  <c r="F107" i="15"/>
  <c r="E107" i="15"/>
  <c r="I106" i="15"/>
  <c r="N105" i="15"/>
  <c r="AW105" i="15" s="1"/>
  <c r="F104" i="15"/>
  <c r="AP103" i="15"/>
  <c r="AO103" i="15"/>
  <c r="AN103" i="15"/>
  <c r="AM103" i="15"/>
  <c r="AL103" i="15"/>
  <c r="AK103"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C103" i="15"/>
  <c r="B103" i="15"/>
  <c r="AP100" i="15"/>
  <c r="AO100" i="15"/>
  <c r="AN100" i="15"/>
  <c r="AN5" i="15" s="1"/>
  <c r="AM100" i="15"/>
  <c r="AL100" i="15"/>
  <c r="AK100" i="15"/>
  <c r="AJ100" i="15"/>
  <c r="AI100" i="15"/>
  <c r="AH100" i="15"/>
  <c r="AG100" i="15"/>
  <c r="AF100" i="15"/>
  <c r="AE100" i="15"/>
  <c r="AD100" i="15"/>
  <c r="AC100" i="15"/>
  <c r="AB100" i="15"/>
  <c r="AA100" i="15"/>
  <c r="Z100" i="15"/>
  <c r="Y100" i="15"/>
  <c r="X100" i="15"/>
  <c r="W100" i="15"/>
  <c r="V100" i="15"/>
  <c r="U100" i="15"/>
  <c r="T100" i="15"/>
  <c r="S100" i="15"/>
  <c r="R100" i="15"/>
  <c r="R5" i="15" s="1"/>
  <c r="BE5" i="15" s="1"/>
  <c r="Q100" i="15"/>
  <c r="BC100" i="15" s="1"/>
  <c r="BC99" i="15"/>
  <c r="AU99" i="15"/>
  <c r="AS99" i="15"/>
  <c r="P99" i="15"/>
  <c r="BA99" i="15" s="1"/>
  <c r="O99" i="15"/>
  <c r="AY99" i="15" s="1"/>
  <c r="N99" i="15"/>
  <c r="AW99" i="15" s="1"/>
  <c r="M99" i="15"/>
  <c r="L99" i="15"/>
  <c r="K99" i="15"/>
  <c r="J99" i="15"/>
  <c r="I99" i="15"/>
  <c r="H99" i="15"/>
  <c r="G99" i="15"/>
  <c r="F99" i="15"/>
  <c r="E99" i="15"/>
  <c r="D99" i="15"/>
  <c r="C99" i="15"/>
  <c r="B99" i="15"/>
  <c r="BC98" i="15"/>
  <c r="P98" i="15"/>
  <c r="BA98" i="15" s="1"/>
  <c r="O98" i="15"/>
  <c r="AY98" i="15" s="1"/>
  <c r="N98" i="15"/>
  <c r="AW98" i="15" s="1"/>
  <c r="M98" i="15"/>
  <c r="AU98" i="15" s="1"/>
  <c r="L98" i="15"/>
  <c r="AS98" i="15" s="1"/>
  <c r="K98" i="15"/>
  <c r="J98" i="15"/>
  <c r="I98" i="15"/>
  <c r="H98" i="15"/>
  <c r="G98" i="15"/>
  <c r="F98" i="15"/>
  <c r="E98" i="15"/>
  <c r="D98" i="15"/>
  <c r="C98" i="15"/>
  <c r="B98" i="15"/>
  <c r="BC97" i="15"/>
  <c r="P97" i="15"/>
  <c r="BA97" i="15" s="1"/>
  <c r="O97" i="15"/>
  <c r="N97" i="15"/>
  <c r="M97" i="15"/>
  <c r="L97" i="15"/>
  <c r="K97" i="15"/>
  <c r="K65" i="15" s="1"/>
  <c r="J97" i="15"/>
  <c r="I97" i="15"/>
  <c r="H97" i="15"/>
  <c r="G97" i="15"/>
  <c r="F97" i="15"/>
  <c r="E97" i="15"/>
  <c r="D97" i="15"/>
  <c r="C97" i="15"/>
  <c r="C100" i="15" s="1"/>
  <c r="C5" i="15" s="1"/>
  <c r="B97" i="15"/>
  <c r="BC96" i="15"/>
  <c r="P96" i="15"/>
  <c r="BA96" i="15" s="1"/>
  <c r="O96" i="15"/>
  <c r="AY96" i="15" s="1"/>
  <c r="N96" i="15"/>
  <c r="AW96" i="15" s="1"/>
  <c r="M96" i="15"/>
  <c r="AU96" i="15" s="1"/>
  <c r="L96" i="15"/>
  <c r="AS96" i="15" s="1"/>
  <c r="K96" i="15"/>
  <c r="J96" i="15"/>
  <c r="I96" i="15"/>
  <c r="H96" i="15"/>
  <c r="G96" i="15"/>
  <c r="F96" i="15"/>
  <c r="E96" i="15"/>
  <c r="D96" i="15"/>
  <c r="C96" i="15"/>
  <c r="B96" i="15"/>
  <c r="B100" i="15" s="1"/>
  <c r="BC95" i="15"/>
  <c r="AY95" i="15"/>
  <c r="AS95" i="15"/>
  <c r="P95" i="15"/>
  <c r="BA95" i="15" s="1"/>
  <c r="O95" i="15"/>
  <c r="N95" i="15"/>
  <c r="AW95" i="15" s="1"/>
  <c r="M95" i="15"/>
  <c r="AU95" i="15" s="1"/>
  <c r="L95" i="15"/>
  <c r="K95" i="15"/>
  <c r="K63" i="15" s="1"/>
  <c r="J95" i="15"/>
  <c r="I95" i="15"/>
  <c r="H95" i="15"/>
  <c r="G95" i="15"/>
  <c r="F95" i="15"/>
  <c r="E95" i="15"/>
  <c r="D95" i="15"/>
  <c r="C95" i="15"/>
  <c r="B95" i="15"/>
  <c r="BC94" i="15"/>
  <c r="AW94" i="15"/>
  <c r="AS94" i="15"/>
  <c r="P94" i="15"/>
  <c r="BA94" i="15" s="1"/>
  <c r="O94" i="15"/>
  <c r="AY94" i="15" s="1"/>
  <c r="N94" i="15"/>
  <c r="N62" i="15" s="1"/>
  <c r="AW62" i="15" s="1"/>
  <c r="M94" i="15"/>
  <c r="AU94" i="15" s="1"/>
  <c r="L94" i="15"/>
  <c r="K94" i="15"/>
  <c r="J94" i="15"/>
  <c r="I94" i="15"/>
  <c r="H94" i="15"/>
  <c r="G94" i="15"/>
  <c r="F94" i="15"/>
  <c r="E94" i="15"/>
  <c r="D94" i="15"/>
  <c r="C94" i="15"/>
  <c r="B94" i="15"/>
  <c r="BC93" i="15"/>
  <c r="AU93" i="15"/>
  <c r="P93" i="15"/>
  <c r="BA93" i="15" s="1"/>
  <c r="O93" i="15"/>
  <c r="AY93" i="15" s="1"/>
  <c r="N93" i="15"/>
  <c r="AW93" i="15" s="1"/>
  <c r="M93" i="15"/>
  <c r="L93" i="15"/>
  <c r="AS93" i="15" s="1"/>
  <c r="K93" i="15"/>
  <c r="J93" i="15"/>
  <c r="I93" i="15"/>
  <c r="H93" i="15"/>
  <c r="G93" i="15"/>
  <c r="F93" i="15"/>
  <c r="E93" i="15"/>
  <c r="D93" i="15"/>
  <c r="C93" i="15"/>
  <c r="B93" i="15"/>
  <c r="BC92" i="15"/>
  <c r="P92" i="15"/>
  <c r="BA92" i="15" s="1"/>
  <c r="O92" i="15"/>
  <c r="N92" i="15"/>
  <c r="AW92" i="15" s="1"/>
  <c r="M92" i="15"/>
  <c r="AU92" i="15" s="1"/>
  <c r="L92" i="15"/>
  <c r="AS92" i="15" s="1"/>
  <c r="K92" i="15"/>
  <c r="J92" i="15"/>
  <c r="I92" i="15"/>
  <c r="H92" i="15"/>
  <c r="G92" i="15"/>
  <c r="F92" i="15"/>
  <c r="E92" i="15"/>
  <c r="D92" i="15"/>
  <c r="C92" i="15"/>
  <c r="B92" i="15"/>
  <c r="BC91" i="15"/>
  <c r="P91" i="15"/>
  <c r="BA91" i="15" s="1"/>
  <c r="O91" i="15"/>
  <c r="AY91" i="15" s="1"/>
  <c r="N91" i="15"/>
  <c r="AW91" i="15" s="1"/>
  <c r="M91" i="15"/>
  <c r="AU91" i="15" s="1"/>
  <c r="L91" i="15"/>
  <c r="AS91" i="15" s="1"/>
  <c r="K91" i="15"/>
  <c r="J91" i="15"/>
  <c r="I91" i="15"/>
  <c r="H91" i="15"/>
  <c r="G91" i="15"/>
  <c r="G59" i="15" s="1"/>
  <c r="G43" i="15" s="1"/>
  <c r="F91" i="15"/>
  <c r="F59" i="15" s="1"/>
  <c r="F43" i="15" s="1"/>
  <c r="E91" i="15"/>
  <c r="E59" i="15" s="1"/>
  <c r="D91" i="15"/>
  <c r="C91" i="15"/>
  <c r="B91" i="15"/>
  <c r="Q90" i="15"/>
  <c r="BC90" i="15" s="1"/>
  <c r="P90" i="15"/>
  <c r="BA90" i="15" s="1"/>
  <c r="O90" i="15"/>
  <c r="AY90" i="15" s="1"/>
  <c r="N90" i="15"/>
  <c r="AW90" i="15" s="1"/>
  <c r="M90" i="15"/>
  <c r="AU90" i="15" s="1"/>
  <c r="L90" i="15"/>
  <c r="AS90" i="15" s="1"/>
  <c r="K90" i="15"/>
  <c r="J90" i="15"/>
  <c r="I90" i="15"/>
  <c r="H90" i="15"/>
  <c r="G90" i="15"/>
  <c r="F90" i="15"/>
  <c r="E90" i="15"/>
  <c r="E58" i="15" s="1"/>
  <c r="D90" i="15"/>
  <c r="C90" i="15"/>
  <c r="B90" i="15"/>
  <c r="AU89" i="15"/>
  <c r="Q89" i="15"/>
  <c r="BC89" i="15" s="1"/>
  <c r="P89" i="15"/>
  <c r="BA89" i="15" s="1"/>
  <c r="O89" i="15"/>
  <c r="AY89" i="15" s="1"/>
  <c r="N89" i="15"/>
  <c r="AW89" i="15" s="1"/>
  <c r="M89" i="15"/>
  <c r="L89" i="15"/>
  <c r="AS89" i="15" s="1"/>
  <c r="K89" i="15"/>
  <c r="J89" i="15"/>
  <c r="I89" i="15"/>
  <c r="H89" i="15"/>
  <c r="G89" i="15"/>
  <c r="F89" i="15"/>
  <c r="E89" i="15"/>
  <c r="D89" i="15"/>
  <c r="C89" i="15"/>
  <c r="B89" i="15"/>
  <c r="Q88" i="15"/>
  <c r="BC88" i="15" s="1"/>
  <c r="P88" i="15"/>
  <c r="O88" i="15"/>
  <c r="AY88" i="15" s="1"/>
  <c r="N88" i="15"/>
  <c r="M88" i="15"/>
  <c r="L88" i="15"/>
  <c r="K88" i="15"/>
  <c r="J88" i="15"/>
  <c r="I88" i="15"/>
  <c r="H88" i="15"/>
  <c r="G88" i="15"/>
  <c r="F88" i="15"/>
  <c r="E88" i="15"/>
  <c r="D88" i="15"/>
  <c r="C88" i="15"/>
  <c r="B88" i="15"/>
  <c r="AP87" i="15"/>
  <c r="AO87" i="15"/>
  <c r="AN87" i="15"/>
  <c r="AM87" i="15"/>
  <c r="AL87" i="15"/>
  <c r="AK87"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C87" i="15"/>
  <c r="B87" i="15"/>
  <c r="N84" i="15"/>
  <c r="AW84" i="15" s="1"/>
  <c r="P83" i="15"/>
  <c r="O83" i="15"/>
  <c r="N83" i="15"/>
  <c r="AW83" i="15" s="1"/>
  <c r="M83" i="15"/>
  <c r="AU83" i="15" s="1"/>
  <c r="L83" i="15"/>
  <c r="K83" i="15"/>
  <c r="J83" i="15"/>
  <c r="I83" i="15"/>
  <c r="H83" i="15"/>
  <c r="G83" i="15"/>
  <c r="F83" i="15"/>
  <c r="E83" i="15"/>
  <c r="D83" i="15"/>
  <c r="C83" i="15"/>
  <c r="B83" i="15"/>
  <c r="AU82" i="15"/>
  <c r="P82" i="15"/>
  <c r="O82" i="15"/>
  <c r="N82" i="15"/>
  <c r="AW82" i="15" s="1"/>
  <c r="M82" i="15"/>
  <c r="L82" i="15"/>
  <c r="AS82" i="15" s="1"/>
  <c r="K82" i="15"/>
  <c r="J82" i="15"/>
  <c r="I82" i="15"/>
  <c r="H82" i="15"/>
  <c r="G82" i="15"/>
  <c r="F82" i="15"/>
  <c r="E82" i="15"/>
  <c r="D82" i="15"/>
  <c r="C82" i="15"/>
  <c r="C66" i="15" s="1"/>
  <c r="B82" i="15"/>
  <c r="AU81" i="15"/>
  <c r="AS81" i="15"/>
  <c r="P81" i="15"/>
  <c r="BA81" i="15" s="1"/>
  <c r="O81" i="15"/>
  <c r="AY81" i="15" s="1"/>
  <c r="N81" i="15"/>
  <c r="AW81" i="15" s="1"/>
  <c r="M81" i="15"/>
  <c r="L81" i="15"/>
  <c r="K81" i="15"/>
  <c r="J81" i="15"/>
  <c r="I81" i="15"/>
  <c r="H81" i="15"/>
  <c r="G81" i="15"/>
  <c r="F81" i="15"/>
  <c r="E81" i="15"/>
  <c r="D81" i="15"/>
  <c r="D65" i="15" s="1"/>
  <c r="D49" i="15" s="1"/>
  <c r="C81" i="15"/>
  <c r="C65" i="15" s="1"/>
  <c r="B81" i="15"/>
  <c r="B65" i="15" s="1"/>
  <c r="BA80" i="15"/>
  <c r="AY80" i="15"/>
  <c r="AW80" i="15"/>
  <c r="AU80" i="15"/>
  <c r="AS80" i="15"/>
  <c r="P80" i="15"/>
  <c r="O80" i="15"/>
  <c r="N80" i="15"/>
  <c r="M80" i="15"/>
  <c r="L80" i="15"/>
  <c r="K80" i="15"/>
  <c r="J80" i="15"/>
  <c r="I80" i="15"/>
  <c r="H80" i="15"/>
  <c r="G80" i="15"/>
  <c r="G64" i="15" s="1"/>
  <c r="F80" i="15"/>
  <c r="F64" i="15" s="1"/>
  <c r="E80" i="15"/>
  <c r="E64" i="15" s="1"/>
  <c r="D80" i="15"/>
  <c r="D64" i="15" s="1"/>
  <c r="C80" i="15"/>
  <c r="C64" i="15" s="1"/>
  <c r="B80" i="15"/>
  <c r="BA79" i="15"/>
  <c r="AY79" i="15"/>
  <c r="AW79" i="15"/>
  <c r="AU79" i="15"/>
  <c r="P79" i="15"/>
  <c r="O79" i="15"/>
  <c r="N79" i="15"/>
  <c r="M79" i="15"/>
  <c r="L79" i="15"/>
  <c r="L63" i="15" s="1"/>
  <c r="AS63" i="15" s="1"/>
  <c r="K79" i="15"/>
  <c r="J79" i="15"/>
  <c r="I79" i="15"/>
  <c r="H79" i="15"/>
  <c r="H63" i="15" s="1"/>
  <c r="G79" i="15"/>
  <c r="G63" i="15" s="1"/>
  <c r="F79" i="15"/>
  <c r="F63" i="15" s="1"/>
  <c r="E79" i="15"/>
  <c r="E63" i="15" s="1"/>
  <c r="D79" i="15"/>
  <c r="D63" i="15" s="1"/>
  <c r="C79" i="15"/>
  <c r="C63" i="15" s="1"/>
  <c r="B79" i="15"/>
  <c r="B63" i="15" s="1"/>
  <c r="BA78" i="15"/>
  <c r="AW78" i="15"/>
  <c r="AU78" i="15"/>
  <c r="P78" i="15"/>
  <c r="O78" i="15"/>
  <c r="N78" i="15"/>
  <c r="M78" i="15"/>
  <c r="M62" i="15" s="1"/>
  <c r="L78" i="15"/>
  <c r="K78" i="15"/>
  <c r="K62" i="15" s="1"/>
  <c r="J78" i="15"/>
  <c r="J62" i="15" s="1"/>
  <c r="I78" i="15"/>
  <c r="I62" i="15" s="1"/>
  <c r="H78" i="15"/>
  <c r="H62" i="15" s="1"/>
  <c r="G78" i="15"/>
  <c r="F78" i="15"/>
  <c r="E78" i="15"/>
  <c r="E62" i="15" s="1"/>
  <c r="D78" i="15"/>
  <c r="C78" i="15"/>
  <c r="B78" i="15"/>
  <c r="BA77" i="15"/>
  <c r="P77" i="15"/>
  <c r="O77" i="15"/>
  <c r="N77" i="15"/>
  <c r="AW77" i="15" s="1"/>
  <c r="M77" i="15"/>
  <c r="L77" i="15"/>
  <c r="K77" i="15"/>
  <c r="K61" i="15" s="1"/>
  <c r="J77" i="15"/>
  <c r="J61" i="15" s="1"/>
  <c r="I77" i="15"/>
  <c r="I61" i="15" s="1"/>
  <c r="H77" i="15"/>
  <c r="H61" i="15" s="1"/>
  <c r="H45" i="15" s="1"/>
  <c r="G77" i="15"/>
  <c r="G61" i="15" s="1"/>
  <c r="F77" i="15"/>
  <c r="F61" i="15" s="1"/>
  <c r="E77" i="15"/>
  <c r="E61" i="15" s="1"/>
  <c r="D77" i="15"/>
  <c r="D61" i="15" s="1"/>
  <c r="C77" i="15"/>
  <c r="B77" i="15"/>
  <c r="AS76" i="15"/>
  <c r="P76" i="15"/>
  <c r="O76" i="15"/>
  <c r="N76" i="15"/>
  <c r="M76" i="15"/>
  <c r="L76" i="15"/>
  <c r="K76" i="15"/>
  <c r="J76" i="15"/>
  <c r="I76" i="15"/>
  <c r="H76" i="15"/>
  <c r="H60" i="15" s="1"/>
  <c r="G76" i="15"/>
  <c r="F76" i="15"/>
  <c r="E76" i="15"/>
  <c r="D76" i="15"/>
  <c r="C76" i="15"/>
  <c r="B76" i="15"/>
  <c r="P75" i="15"/>
  <c r="BA75" i="15" s="1"/>
  <c r="O75" i="15"/>
  <c r="AY75" i="15" s="1"/>
  <c r="N75" i="15"/>
  <c r="M75" i="15"/>
  <c r="AU75" i="15" s="1"/>
  <c r="L75" i="15"/>
  <c r="K75" i="15"/>
  <c r="J75" i="15"/>
  <c r="I75" i="15"/>
  <c r="H75" i="15"/>
  <c r="G75" i="15"/>
  <c r="F75" i="15"/>
  <c r="E75" i="15"/>
  <c r="D75" i="15"/>
  <c r="C75" i="15"/>
  <c r="B75" i="15"/>
  <c r="B59" i="15" s="1"/>
  <c r="AY74" i="15"/>
  <c r="AS74" i="15"/>
  <c r="Q74" i="15"/>
  <c r="P74" i="15"/>
  <c r="O74" i="15"/>
  <c r="N74" i="15"/>
  <c r="M74" i="15"/>
  <c r="L74" i="15"/>
  <c r="K74" i="15"/>
  <c r="J74" i="15"/>
  <c r="I74" i="15"/>
  <c r="H74" i="15"/>
  <c r="G74" i="15"/>
  <c r="F74" i="15"/>
  <c r="E74" i="15"/>
  <c r="D74" i="15"/>
  <c r="C74" i="15"/>
  <c r="C58" i="15" s="1"/>
  <c r="B74" i="15"/>
  <c r="AY73" i="15"/>
  <c r="AW73" i="15"/>
  <c r="AU73" i="15"/>
  <c r="AS73" i="15"/>
  <c r="Q73" i="15"/>
  <c r="BC73" i="15" s="1"/>
  <c r="P73" i="15"/>
  <c r="BA73" i="15" s="1"/>
  <c r="O73" i="15"/>
  <c r="N73" i="15"/>
  <c r="M73" i="15"/>
  <c r="L73" i="15"/>
  <c r="K73" i="15"/>
  <c r="J73" i="15"/>
  <c r="I73" i="15"/>
  <c r="H73" i="15"/>
  <c r="H57" i="15" s="1"/>
  <c r="G73" i="15"/>
  <c r="F73" i="15"/>
  <c r="F57" i="15" s="1"/>
  <c r="E73" i="15"/>
  <c r="D73" i="15"/>
  <c r="D57" i="15" s="1"/>
  <c r="C73" i="15"/>
  <c r="C57" i="15" s="1"/>
  <c r="B73" i="15"/>
  <c r="B57" i="15" s="1"/>
  <c r="BC72" i="15"/>
  <c r="BA72" i="15"/>
  <c r="AY72" i="15"/>
  <c r="AW72" i="15"/>
  <c r="AU72" i="15"/>
  <c r="AS72" i="15"/>
  <c r="Q72" i="15"/>
  <c r="P72" i="15"/>
  <c r="O72" i="15"/>
  <c r="N72" i="15"/>
  <c r="M72" i="15"/>
  <c r="L72" i="15"/>
  <c r="K72" i="15"/>
  <c r="K84" i="15" s="1"/>
  <c r="J72" i="15"/>
  <c r="I72" i="15"/>
  <c r="I56" i="15" s="1"/>
  <c r="H72" i="15"/>
  <c r="G72" i="15"/>
  <c r="F72" i="15"/>
  <c r="F56" i="15" s="1"/>
  <c r="E72" i="15"/>
  <c r="D72" i="15"/>
  <c r="C72" i="15"/>
  <c r="B72" i="15"/>
  <c r="AP71" i="15"/>
  <c r="AO71" i="15"/>
  <c r="AN71" i="15"/>
  <c r="AM71" i="15"/>
  <c r="AL71" i="15"/>
  <c r="AK71"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C71" i="15"/>
  <c r="B71" i="15"/>
  <c r="AW67" i="15"/>
  <c r="N67" i="15"/>
  <c r="K67" i="15"/>
  <c r="J67" i="15"/>
  <c r="I67" i="15"/>
  <c r="H67" i="15"/>
  <c r="G67" i="15"/>
  <c r="F67" i="15"/>
  <c r="E67" i="15"/>
  <c r="D67" i="15"/>
  <c r="C67" i="15"/>
  <c r="B67" i="15"/>
  <c r="N66" i="15"/>
  <c r="AW66" i="15" s="1"/>
  <c r="L66" i="15"/>
  <c r="AS66" i="15" s="1"/>
  <c r="K66" i="15"/>
  <c r="J66" i="15"/>
  <c r="I66" i="15"/>
  <c r="H66" i="15"/>
  <c r="G66" i="15"/>
  <c r="F66" i="15"/>
  <c r="E66" i="15"/>
  <c r="D66" i="15"/>
  <c r="B66" i="15"/>
  <c r="P65" i="15"/>
  <c r="J65" i="15"/>
  <c r="I65" i="15"/>
  <c r="H65" i="15"/>
  <c r="G65" i="15"/>
  <c r="F65" i="15"/>
  <c r="E65" i="15"/>
  <c r="AW64" i="15"/>
  <c r="P64" i="15"/>
  <c r="BA64" i="15" s="1"/>
  <c r="O64" i="15"/>
  <c r="AY64" i="15" s="1"/>
  <c r="N64" i="15"/>
  <c r="M64" i="15"/>
  <c r="L64" i="15"/>
  <c r="K64" i="15"/>
  <c r="J64" i="15"/>
  <c r="I64" i="15"/>
  <c r="H64" i="15"/>
  <c r="BA63" i="15"/>
  <c r="AW63" i="15"/>
  <c r="AU63" i="15"/>
  <c r="P63" i="15"/>
  <c r="O63" i="15"/>
  <c r="AY63" i="15" s="1"/>
  <c r="N63" i="15"/>
  <c r="M63" i="15"/>
  <c r="P62" i="15"/>
  <c r="BA62" i="15" s="1"/>
  <c r="G62" i="15"/>
  <c r="F62" i="15"/>
  <c r="D62" i="15"/>
  <c r="C62" i="15"/>
  <c r="B62" i="15"/>
  <c r="C61" i="15"/>
  <c r="B61" i="15"/>
  <c r="F60" i="15"/>
  <c r="E60" i="15"/>
  <c r="D60" i="15"/>
  <c r="C60" i="15"/>
  <c r="B60" i="15"/>
  <c r="P59" i="15"/>
  <c r="O59" i="15"/>
  <c r="M59" i="15"/>
  <c r="L59" i="15"/>
  <c r="AS59" i="15" s="1"/>
  <c r="K59" i="15"/>
  <c r="J59" i="15"/>
  <c r="I59" i="15"/>
  <c r="I43" i="15" s="1"/>
  <c r="H59" i="15"/>
  <c r="D59" i="15"/>
  <c r="C59" i="15"/>
  <c r="L58" i="15"/>
  <c r="AS58" i="15" s="1"/>
  <c r="K58" i="15"/>
  <c r="J58" i="15"/>
  <c r="J42" i="15" s="1"/>
  <c r="I58" i="15"/>
  <c r="H58" i="15"/>
  <c r="G58" i="15"/>
  <c r="F58" i="15"/>
  <c r="F42" i="15" s="1"/>
  <c r="D58" i="15"/>
  <c r="B58" i="15"/>
  <c r="AU57" i="15"/>
  <c r="AS57" i="15"/>
  <c r="Q57" i="15"/>
  <c r="BC57" i="15" s="1"/>
  <c r="P57" i="15"/>
  <c r="BA57" i="15" s="1"/>
  <c r="O57" i="15"/>
  <c r="AY57" i="15" s="1"/>
  <c r="N57" i="15"/>
  <c r="M57" i="15"/>
  <c r="L57" i="15"/>
  <c r="K57" i="15"/>
  <c r="J57" i="15"/>
  <c r="I57" i="15"/>
  <c r="G57" i="15"/>
  <c r="Q56" i="15"/>
  <c r="P56" i="15"/>
  <c r="O56" i="15"/>
  <c r="N56" i="15"/>
  <c r="M56" i="15"/>
  <c r="L56" i="15"/>
  <c r="J56" i="15"/>
  <c r="H56" i="15"/>
  <c r="D56" i="15"/>
  <c r="C56" i="15"/>
  <c r="B56" i="15"/>
  <c r="AP55" i="15"/>
  <c r="AO55" i="15"/>
  <c r="AN55" i="15"/>
  <c r="AM55" i="15"/>
  <c r="AL55" i="15"/>
  <c r="AK55" i="15"/>
  <c r="AJ55" i="15"/>
  <c r="AI55" i="15"/>
  <c r="AH55" i="15"/>
  <c r="AG55" i="15"/>
  <c r="AF55" i="15"/>
  <c r="AE55" i="15"/>
  <c r="AD55" i="15"/>
  <c r="AC55" i="15"/>
  <c r="AB55" i="15"/>
  <c r="AA55" i="15"/>
  <c r="Z55" i="15"/>
  <c r="Y55" i="15"/>
  <c r="X55" i="15"/>
  <c r="W55" i="15"/>
  <c r="V55" i="15"/>
  <c r="U55" i="15"/>
  <c r="T55" i="15"/>
  <c r="S55" i="15"/>
  <c r="R55" i="15"/>
  <c r="Q55" i="15"/>
  <c r="P55" i="15"/>
  <c r="O55" i="15"/>
  <c r="N55" i="15"/>
  <c r="M55" i="15"/>
  <c r="L55" i="15"/>
  <c r="K55" i="15"/>
  <c r="J55" i="15"/>
  <c r="I55" i="15"/>
  <c r="H55" i="15"/>
  <c r="G55" i="15"/>
  <c r="F55" i="15"/>
  <c r="E55" i="15"/>
  <c r="D55" i="15"/>
  <c r="C55" i="15"/>
  <c r="B55" i="15"/>
  <c r="C49" i="15"/>
  <c r="C46"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D39" i="15"/>
  <c r="C39" i="15"/>
  <c r="B39" i="15"/>
  <c r="BV34" i="15"/>
  <c r="BU34" i="15"/>
  <c r="BT34" i="15"/>
  <c r="BS34" i="15"/>
  <c r="BR34" i="15"/>
  <c r="BQ34" i="15"/>
  <c r="BP34" i="15"/>
  <c r="BO34" i="15"/>
  <c r="BN34" i="15"/>
  <c r="BM34" i="15"/>
  <c r="BL34" i="15"/>
  <c r="BK34" i="15"/>
  <c r="BJ34" i="15"/>
  <c r="BI34" i="15"/>
  <c r="BH34" i="15"/>
  <c r="BG34" i="15"/>
  <c r="BF34" i="15"/>
  <c r="BE34" i="15"/>
  <c r="BD34" i="15"/>
  <c r="BC34" i="15"/>
  <c r="BB34" i="15"/>
  <c r="BA34" i="15"/>
  <c r="DA28" i="15"/>
  <c r="CY28" i="15"/>
  <c r="CU28" i="15"/>
  <c r="CS28" i="15"/>
  <c r="BM28" i="15"/>
  <c r="BI28" i="15"/>
  <c r="BH28" i="15"/>
  <c r="BG28" i="15"/>
  <c r="BF28" i="15"/>
  <c r="BE28" i="15"/>
  <c r="BD28" i="15"/>
  <c r="BB28" i="15"/>
  <c r="AV28" i="15"/>
  <c r="AT28" i="15"/>
  <c r="AR28" i="15"/>
  <c r="CO28" i="15"/>
  <c r="DA27" i="15"/>
  <c r="CY27" i="15"/>
  <c r="CU27" i="15"/>
  <c r="CS27" i="15"/>
  <c r="CQ27" i="15"/>
  <c r="CM27" i="15"/>
  <c r="CK27" i="15"/>
  <c r="CG27" i="15"/>
  <c r="BY27" i="15"/>
  <c r="BU27" i="15"/>
  <c r="BQ27" i="15"/>
  <c r="BM27" i="15"/>
  <c r="BK27" i="15"/>
  <c r="BI27" i="15"/>
  <c r="BE27" i="15"/>
  <c r="AS27" i="15"/>
  <c r="AP27" i="15"/>
  <c r="AO27" i="15"/>
  <c r="AN27" i="15"/>
  <c r="AM27" i="15"/>
  <c r="AM25" i="15" s="1"/>
  <c r="CO25" i="15" s="1"/>
  <c r="AL27" i="15"/>
  <c r="AK27" i="15"/>
  <c r="AJ27" i="15"/>
  <c r="AI27" i="15"/>
  <c r="AI25" i="15" s="1"/>
  <c r="AH27" i="15"/>
  <c r="AG27" i="15"/>
  <c r="CI27" i="15" s="1"/>
  <c r="AF27" i="15"/>
  <c r="AE27" i="15"/>
  <c r="CE27" i="15" s="1"/>
  <c r="AD27" i="15"/>
  <c r="CC27" i="15" s="1"/>
  <c r="AC27" i="15"/>
  <c r="CA27" i="15" s="1"/>
  <c r="AB27" i="15"/>
  <c r="AA27" i="15"/>
  <c r="BW27" i="15" s="1"/>
  <c r="Z27" i="15"/>
  <c r="Y27" i="15"/>
  <c r="BS27" i="15" s="1"/>
  <c r="X27" i="15"/>
  <c r="W27" i="15"/>
  <c r="BO27" i="15" s="1"/>
  <c r="V27" i="15"/>
  <c r="U27" i="15"/>
  <c r="T27" i="15"/>
  <c r="S27" i="15"/>
  <c r="BG27" i="15" s="1"/>
  <c r="R27" i="15"/>
  <c r="L27" i="15"/>
  <c r="DA26" i="15"/>
  <c r="CY26" i="15"/>
  <c r="CU26" i="15"/>
  <c r="CS26" i="15"/>
  <c r="CQ26" i="15"/>
  <c r="CK26" i="15"/>
  <c r="BW26" i="15"/>
  <c r="BO26" i="15"/>
  <c r="BM26" i="15"/>
  <c r="BK26" i="15"/>
  <c r="BI26" i="15"/>
  <c r="BG26" i="15"/>
  <c r="BE26" i="15"/>
  <c r="BC26" i="15"/>
  <c r="AP26" i="15"/>
  <c r="AO26" i="15"/>
  <c r="AM26" i="15"/>
  <c r="CO26" i="15" s="1"/>
  <c r="AK26" i="15"/>
  <c r="AI26" i="15"/>
  <c r="AH26" i="15"/>
  <c r="AG26" i="15"/>
  <c r="AF26" i="15"/>
  <c r="AE26" i="15"/>
  <c r="AD26" i="15"/>
  <c r="AC26" i="15"/>
  <c r="AB26" i="15"/>
  <c r="AA26" i="15"/>
  <c r="AA25" i="15" s="1"/>
  <c r="BW25" i="15" s="1"/>
  <c r="Z26" i="15"/>
  <c r="Y26" i="15"/>
  <c r="X26" i="15"/>
  <c r="X25" i="15" s="1"/>
  <c r="W26" i="15"/>
  <c r="V26" i="15"/>
  <c r="V25" i="15" s="1"/>
  <c r="U26" i="15"/>
  <c r="T26" i="15"/>
  <c r="S26" i="15"/>
  <c r="Q26" i="15"/>
  <c r="D26" i="15"/>
  <c r="C26" i="15"/>
  <c r="DA25" i="15"/>
  <c r="CY25" i="15"/>
  <c r="CU25" i="15"/>
  <c r="CS25" i="15"/>
  <c r="CK25" i="15"/>
  <c r="BQ25" i="15"/>
  <c r="BO25" i="15"/>
  <c r="BM25" i="15"/>
  <c r="AP25" i="15"/>
  <c r="AO25" i="15"/>
  <c r="AL25" i="15"/>
  <c r="AK25" i="15"/>
  <c r="AH25" i="15"/>
  <c r="W25" i="15"/>
  <c r="U25" i="15"/>
  <c r="BK25" i="15" s="1"/>
  <c r="T25" i="15"/>
  <c r="BI25" i="15" s="1"/>
  <c r="S25" i="15"/>
  <c r="BG25" i="15" s="1"/>
  <c r="DA24" i="15"/>
  <c r="CY24" i="15"/>
  <c r="CU24" i="15"/>
  <c r="CM24" i="15"/>
  <c r="CK24" i="15"/>
  <c r="CI24" i="15"/>
  <c r="CG24" i="15"/>
  <c r="CE24" i="15"/>
  <c r="CC24" i="15"/>
  <c r="CA24" i="15"/>
  <c r="BY24" i="15"/>
  <c r="BU24" i="15"/>
  <c r="BQ24" i="15"/>
  <c r="AO24" i="15"/>
  <c r="AN24" i="15"/>
  <c r="CQ24" i="15" s="1"/>
  <c r="AM24" i="15"/>
  <c r="CO24" i="15" s="1"/>
  <c r="AL24" i="15"/>
  <c r="AK24" i="15"/>
  <c r="AJ24" i="15"/>
  <c r="AI24" i="15"/>
  <c r="AH24" i="15"/>
  <c r="AG24" i="15"/>
  <c r="AF24" i="15"/>
  <c r="AE24" i="15"/>
  <c r="AD24" i="15"/>
  <c r="AC24" i="15"/>
  <c r="AB24" i="15"/>
  <c r="AA24" i="15"/>
  <c r="BW24" i="15" s="1"/>
  <c r="Z24" i="15"/>
  <c r="X24" i="15"/>
  <c r="W24" i="15"/>
  <c r="BO24" i="15" s="1"/>
  <c r="T24" i="15"/>
  <c r="BI24" i="15" s="1"/>
  <c r="S24" i="15"/>
  <c r="BG24" i="15" s="1"/>
  <c r="R24" i="15"/>
  <c r="BE24" i="15" s="1"/>
  <c r="DA23" i="15"/>
  <c r="CY23" i="15"/>
  <c r="CU23" i="15"/>
  <c r="O23" i="15"/>
  <c r="DA22" i="15"/>
  <c r="CY22" i="15"/>
  <c r="CU22" i="15"/>
  <c r="DA21" i="15"/>
  <c r="CY21" i="15"/>
  <c r="CU21" i="15"/>
  <c r="CS21" i="15"/>
  <c r="CO21" i="15"/>
  <c r="CM21" i="15"/>
  <c r="CG21" i="15"/>
  <c r="BY21" i="15"/>
  <c r="BU21" i="15"/>
  <c r="BS21" i="15"/>
  <c r="BQ21" i="15"/>
  <c r="BI21" i="15"/>
  <c r="BE21" i="15"/>
  <c r="AP21" i="15"/>
  <c r="AO21" i="15"/>
  <c r="AN21" i="15"/>
  <c r="CQ21" i="15" s="1"/>
  <c r="AM21" i="15"/>
  <c r="AL21" i="15"/>
  <c r="AK21" i="15"/>
  <c r="AJ21" i="15"/>
  <c r="AI21" i="15"/>
  <c r="AH21" i="15"/>
  <c r="CK21" i="15" s="1"/>
  <c r="AF21" i="15"/>
  <c r="AE21" i="15"/>
  <c r="CE21" i="15" s="1"/>
  <c r="AD21" i="15"/>
  <c r="CC21" i="15" s="1"/>
  <c r="AC21" i="15"/>
  <c r="CA21" i="15" s="1"/>
  <c r="AB21" i="15"/>
  <c r="AA21" i="15"/>
  <c r="BW21" i="15" s="1"/>
  <c r="Z21" i="15"/>
  <c r="Y21" i="15"/>
  <c r="X21" i="15"/>
  <c r="W21" i="15"/>
  <c r="BO21" i="15" s="1"/>
  <c r="V21" i="15"/>
  <c r="BM21" i="15" s="1"/>
  <c r="U21" i="15"/>
  <c r="BK21" i="15" s="1"/>
  <c r="T21" i="15"/>
  <c r="S21" i="15"/>
  <c r="BG21" i="15" s="1"/>
  <c r="R21" i="15"/>
  <c r="DA19" i="15"/>
  <c r="CY19" i="15"/>
  <c r="CS19" i="15"/>
  <c r="CQ19" i="15"/>
  <c r="CO19" i="15"/>
  <c r="CM19" i="15"/>
  <c r="CK19" i="15"/>
  <c r="CI19" i="15"/>
  <c r="CG19" i="15"/>
  <c r="CE19" i="15"/>
  <c r="CC19" i="15"/>
  <c r="CA19" i="15"/>
  <c r="BY19" i="15"/>
  <c r="BW19" i="15"/>
  <c r="BU19" i="15"/>
  <c r="BS19" i="15"/>
  <c r="BQ19" i="15"/>
  <c r="BO19" i="15"/>
  <c r="BM19" i="15"/>
  <c r="BK19" i="15"/>
  <c r="BI19" i="15"/>
  <c r="BG19" i="15"/>
  <c r="BE19" i="15"/>
  <c r="BC19" i="15"/>
  <c r="Q19" i="15"/>
  <c r="Q308" i="15" s="1"/>
  <c r="K19" i="15"/>
  <c r="J19" i="15"/>
  <c r="DA18" i="15"/>
  <c r="CY18" i="15"/>
  <c r="CU18" i="15"/>
  <c r="DA17" i="15"/>
  <c r="CY17" i="15"/>
  <c r="AR17" i="15"/>
  <c r="CU17" i="15" s="1"/>
  <c r="DA16" i="15"/>
  <c r="CY16" i="15"/>
  <c r="CU16" i="15"/>
  <c r="CK16" i="15"/>
  <c r="CI16" i="15"/>
  <c r="CG16" i="15"/>
  <c r="CE16" i="15"/>
  <c r="CC16" i="15"/>
  <c r="CA16" i="15"/>
  <c r="BW16" i="15"/>
  <c r="AP16" i="15"/>
  <c r="CS16" i="15" s="1"/>
  <c r="AO16" i="15"/>
  <c r="AN16" i="15"/>
  <c r="AM16" i="15"/>
  <c r="CO16" i="15" s="1"/>
  <c r="AL16" i="15"/>
  <c r="AK16" i="15"/>
  <c r="AJ16" i="15"/>
  <c r="CM16" i="15" s="1"/>
  <c r="AI16" i="15"/>
  <c r="AH16" i="15"/>
  <c r="AG16" i="15"/>
  <c r="AF16" i="15"/>
  <c r="AE16" i="15"/>
  <c r="AD16" i="15"/>
  <c r="AC16" i="15"/>
  <c r="AB16" i="15"/>
  <c r="BY16" i="15" s="1"/>
  <c r="AA16" i="15"/>
  <c r="Y16" i="15"/>
  <c r="BS16" i="15" s="1"/>
  <c r="X16" i="15"/>
  <c r="BQ16" i="15" s="1"/>
  <c r="W16" i="15"/>
  <c r="BO16" i="15" s="1"/>
  <c r="V16" i="15"/>
  <c r="U16" i="15"/>
  <c r="T16" i="15"/>
  <c r="S16" i="15"/>
  <c r="BG16" i="15" s="1"/>
  <c r="R16" i="15"/>
  <c r="DA15" i="15"/>
  <c r="CY15" i="15"/>
  <c r="CQ15" i="15"/>
  <c r="CO15" i="15"/>
  <c r="CM15" i="15"/>
  <c r="CI15" i="15"/>
  <c r="CG15" i="15"/>
  <c r="CE15" i="15"/>
  <c r="CA15" i="15"/>
  <c r="BY15" i="15"/>
  <c r="BM15" i="15"/>
  <c r="BE15" i="15"/>
  <c r="BA15" i="15"/>
  <c r="AP15" i="15"/>
  <c r="CS15" i="15" s="1"/>
  <c r="AO15" i="15"/>
  <c r="AN15" i="15"/>
  <c r="AL15" i="15"/>
  <c r="AL14" i="15" s="1"/>
  <c r="AK15" i="15"/>
  <c r="AJ15" i="15"/>
  <c r="AI15" i="15"/>
  <c r="AI14" i="15" s="1"/>
  <c r="AH15" i="15"/>
  <c r="CK15" i="15" s="1"/>
  <c r="AG15" i="15"/>
  <c r="AF15" i="15"/>
  <c r="AF14" i="15" s="1"/>
  <c r="CG14" i="15" s="1"/>
  <c r="AE15" i="15"/>
  <c r="AD15" i="15"/>
  <c r="CC15" i="15" s="1"/>
  <c r="AC15" i="15"/>
  <c r="AB15" i="15"/>
  <c r="AA15" i="15"/>
  <c r="BW15" i="15" s="1"/>
  <c r="Z15" i="15"/>
  <c r="Y15" i="15"/>
  <c r="X15" i="15"/>
  <c r="W15" i="15"/>
  <c r="V15" i="15"/>
  <c r="U15" i="15"/>
  <c r="BK15" i="15" s="1"/>
  <c r="T15" i="15"/>
  <c r="BI15" i="15" s="1"/>
  <c r="S15" i="15"/>
  <c r="BG15" i="15" s="1"/>
  <c r="R15" i="15"/>
  <c r="P15" i="15"/>
  <c r="DA14" i="15"/>
  <c r="CY14" i="15"/>
  <c r="CU14" i="15"/>
  <c r="CE14" i="15"/>
  <c r="AO14" i="15"/>
  <c r="AK14" i="15"/>
  <c r="AG14" i="15"/>
  <c r="CI14" i="15" s="1"/>
  <c r="AE14" i="15"/>
  <c r="AD14" i="15"/>
  <c r="CC14" i="15" s="1"/>
  <c r="AC14" i="15"/>
  <c r="CA14" i="15" s="1"/>
  <c r="AA14" i="15"/>
  <c r="BW14" i="15" s="1"/>
  <c r="S14" i="15"/>
  <c r="BG14" i="15" s="1"/>
  <c r="DA13" i="15"/>
  <c r="CY13" i="15"/>
  <c r="DA12" i="15"/>
  <c r="CY12" i="15"/>
  <c r="DA10" i="15"/>
  <c r="CY10" i="15"/>
  <c r="CU10" i="15"/>
  <c r="DA9" i="15"/>
  <c r="CY9" i="15"/>
  <c r="CU9" i="15"/>
  <c r="CS9" i="15"/>
  <c r="CO9" i="15"/>
  <c r="AP164" i="15"/>
  <c r="DA8" i="15"/>
  <c r="CY8" i="15"/>
  <c r="CU8" i="15"/>
  <c r="DA7" i="15"/>
  <c r="CY7" i="15"/>
  <c r="CU7" i="15"/>
  <c r="DA6" i="15"/>
  <c r="CY6" i="15"/>
  <c r="CU6" i="15"/>
  <c r="AP6" i="15"/>
  <c r="W6" i="15"/>
  <c r="W24" i="6" s="1"/>
  <c r="V6" i="15"/>
  <c r="V24" i="6" s="1"/>
  <c r="T6" i="15"/>
  <c r="T24" i="6" s="1"/>
  <c r="DA5" i="15"/>
  <c r="CY5" i="15"/>
  <c r="CU5" i="15"/>
  <c r="CQ5" i="15"/>
  <c r="CO5" i="15"/>
  <c r="CM5" i="15"/>
  <c r="CK5" i="15"/>
  <c r="CI5" i="15"/>
  <c r="CG5" i="15"/>
  <c r="CE5" i="15"/>
  <c r="BV5" i="15"/>
  <c r="BC5" i="15"/>
  <c r="AP5" i="15"/>
  <c r="CS5" i="15" s="1"/>
  <c r="AO5" i="15"/>
  <c r="AM5" i="15"/>
  <c r="AL5" i="15"/>
  <c r="AK5" i="15"/>
  <c r="AJ5" i="15"/>
  <c r="AI5" i="15"/>
  <c r="AH5" i="15"/>
  <c r="AG5" i="15"/>
  <c r="AF5" i="15"/>
  <c r="AE5" i="15"/>
  <c r="AD5" i="15"/>
  <c r="CC5" i="15" s="1"/>
  <c r="AC5" i="15"/>
  <c r="CA5" i="15" s="1"/>
  <c r="AB5" i="15"/>
  <c r="BY5" i="15" s="1"/>
  <c r="AA5" i="15"/>
  <c r="BW5" i="15" s="1"/>
  <c r="Z5" i="15"/>
  <c r="BU5" i="15" s="1"/>
  <c r="Y5" i="15"/>
  <c r="BS5" i="15" s="1"/>
  <c r="X5" i="15"/>
  <c r="BQ5" i="15" s="1"/>
  <c r="W5" i="15"/>
  <c r="BO5" i="15" s="1"/>
  <c r="V5" i="15"/>
  <c r="BM5" i="15" s="1"/>
  <c r="U5" i="15"/>
  <c r="BK5" i="15" s="1"/>
  <c r="T5" i="15"/>
  <c r="BI5" i="15" s="1"/>
  <c r="S5" i="15"/>
  <c r="BG5" i="15" s="1"/>
  <c r="Q5" i="15"/>
  <c r="B5" i="15"/>
  <c r="DA4" i="15"/>
  <c r="CY4" i="15"/>
  <c r="CU4" i="15"/>
  <c r="BV4" i="15"/>
  <c r="N4" i="15"/>
  <c r="K4" i="15"/>
  <c r="DA3" i="15"/>
  <c r="CY3" i="15"/>
  <c r="CU3" i="15"/>
  <c r="BV3" i="15"/>
  <c r="AT186" i="14"/>
  <c r="AJ186" i="14"/>
  <c r="AG186" i="14"/>
  <c r="AD186" i="14"/>
  <c r="Z186" i="14"/>
  <c r="G186" i="14" s="1"/>
  <c r="V186" i="14"/>
  <c r="F186" i="14" s="1"/>
  <c r="P186" i="14"/>
  <c r="N186" i="14"/>
  <c r="M186" i="14"/>
  <c r="J186" i="14"/>
  <c r="L186" i="14" s="1"/>
  <c r="I186" i="14"/>
  <c r="H186" i="14"/>
  <c r="Q186" i="14" s="1"/>
  <c r="E186" i="14"/>
  <c r="AU185" i="14"/>
  <c r="AU186" i="14" s="1"/>
  <c r="AT185" i="14"/>
  <c r="AJ185" i="14"/>
  <c r="AG185" i="14"/>
  <c r="AD185" i="14"/>
  <c r="Z185" i="14"/>
  <c r="V185" i="14"/>
  <c r="M185" i="14"/>
  <c r="J185" i="14"/>
  <c r="L185" i="14" s="1"/>
  <c r="I185" i="14"/>
  <c r="H185" i="14"/>
  <c r="Q185" i="14" s="1"/>
  <c r="G185" i="14"/>
  <c r="P185" i="14" s="1"/>
  <c r="F185" i="14"/>
  <c r="E185" i="14"/>
  <c r="AU184" i="14"/>
  <c r="AT184" i="14"/>
  <c r="AM184" i="14"/>
  <c r="AL184" i="14"/>
  <c r="AK184" i="14"/>
  <c r="AJ184" i="14"/>
  <c r="M184" i="14" s="1"/>
  <c r="AG184" i="14"/>
  <c r="J184" i="14" s="1"/>
  <c r="AD184" i="14"/>
  <c r="H184" i="14" s="1"/>
  <c r="Z184" i="14"/>
  <c r="V184" i="14"/>
  <c r="G184" i="14"/>
  <c r="F184" i="14"/>
  <c r="E184" i="14"/>
  <c r="AJ183" i="14"/>
  <c r="AG183" i="14"/>
  <c r="J183" i="14" s="1"/>
  <c r="AD183" i="14"/>
  <c r="H183" i="14" s="1"/>
  <c r="Q183" i="14" s="1"/>
  <c r="Z183" i="14"/>
  <c r="G183" i="14" s="1"/>
  <c r="V183" i="14"/>
  <c r="F183" i="14" s="1"/>
  <c r="P183" i="14"/>
  <c r="R183" i="14" s="1"/>
  <c r="O183" i="14"/>
  <c r="N183" i="14"/>
  <c r="M183" i="14"/>
  <c r="L183" i="14"/>
  <c r="E183" i="14"/>
  <c r="AJ182" i="14"/>
  <c r="AG182" i="14"/>
  <c r="AD182" i="14"/>
  <c r="Z182" i="14"/>
  <c r="V182" i="14"/>
  <c r="P182" i="14"/>
  <c r="O182" i="14"/>
  <c r="M182" i="14"/>
  <c r="N182" i="14" s="1"/>
  <c r="L182" i="14"/>
  <c r="J182" i="14"/>
  <c r="H182" i="14"/>
  <c r="Q182" i="14" s="1"/>
  <c r="G182" i="14"/>
  <c r="F182" i="14"/>
  <c r="E182" i="14"/>
  <c r="AJ181" i="14"/>
  <c r="M181" i="14" s="1"/>
  <c r="N181" i="14" s="1"/>
  <c r="AG181" i="14"/>
  <c r="J181" i="14" s="1"/>
  <c r="L181" i="14" s="1"/>
  <c r="AD181" i="14"/>
  <c r="H181" i="14" s="1"/>
  <c r="Q181" i="14" s="1"/>
  <c r="Z181" i="14"/>
  <c r="V181" i="14"/>
  <c r="G181" i="14"/>
  <c r="P181" i="14" s="1"/>
  <c r="F181" i="14"/>
  <c r="E181" i="14"/>
  <c r="AJ180" i="14"/>
  <c r="AG180" i="14"/>
  <c r="J180" i="14" s="1"/>
  <c r="L180" i="14" s="1"/>
  <c r="AD180" i="14"/>
  <c r="H180" i="14" s="1"/>
  <c r="Z180" i="14"/>
  <c r="G180" i="14" s="1"/>
  <c r="P180" i="14" s="1"/>
  <c r="V180" i="14"/>
  <c r="F180" i="14" s="1"/>
  <c r="Q180" i="14"/>
  <c r="O180" i="14"/>
  <c r="R180" i="14" s="1"/>
  <c r="N180" i="14"/>
  <c r="M180" i="14"/>
  <c r="E180" i="14"/>
  <c r="AJ179" i="14"/>
  <c r="AG179" i="14"/>
  <c r="AD179" i="14"/>
  <c r="Z179" i="14"/>
  <c r="V179" i="14"/>
  <c r="Q179" i="14"/>
  <c r="P179" i="14"/>
  <c r="M179" i="14"/>
  <c r="O179" i="14" s="1"/>
  <c r="R179" i="14" s="1"/>
  <c r="L179" i="14"/>
  <c r="J179" i="14"/>
  <c r="H179" i="14"/>
  <c r="G179" i="14"/>
  <c r="F179" i="14"/>
  <c r="I179" i="14" s="1"/>
  <c r="E179" i="14"/>
  <c r="AJ178" i="14"/>
  <c r="M178" i="14" s="1"/>
  <c r="AG178" i="14"/>
  <c r="J178" i="14" s="1"/>
  <c r="L178" i="14" s="1"/>
  <c r="AD178" i="14"/>
  <c r="H178" i="14" s="1"/>
  <c r="Q178" i="14" s="1"/>
  <c r="Z178" i="14"/>
  <c r="V178" i="14"/>
  <c r="I178" i="14"/>
  <c r="G178" i="14"/>
  <c r="P178" i="14" s="1"/>
  <c r="F178" i="14"/>
  <c r="E178" i="14"/>
  <c r="AJ177" i="14"/>
  <c r="M177" i="14" s="1"/>
  <c r="AG177" i="14"/>
  <c r="J177" i="14" s="1"/>
  <c r="L177" i="14" s="1"/>
  <c r="AD177" i="14"/>
  <c r="H177" i="14" s="1"/>
  <c r="Z177" i="14"/>
  <c r="G177" i="14" s="1"/>
  <c r="P177" i="14" s="1"/>
  <c r="V177" i="14"/>
  <c r="F177" i="14" s="1"/>
  <c r="Q177" i="14"/>
  <c r="E177" i="14"/>
  <c r="AS176" i="14"/>
  <c r="AJ176" i="14"/>
  <c r="AG176" i="14"/>
  <c r="AD176" i="14"/>
  <c r="Z176" i="14"/>
  <c r="V176" i="14"/>
  <c r="Q176" i="14"/>
  <c r="P176" i="14"/>
  <c r="R176" i="14" s="1"/>
  <c r="O176" i="14"/>
  <c r="N176" i="14"/>
  <c r="M176" i="14"/>
  <c r="J176" i="14"/>
  <c r="L176" i="14" s="1"/>
  <c r="H176" i="14"/>
  <c r="G176" i="14"/>
  <c r="F176" i="14"/>
  <c r="I176" i="14" s="1"/>
  <c r="E176" i="14"/>
  <c r="AS175" i="14"/>
  <c r="AL175" i="14"/>
  <c r="AJ175" i="14"/>
  <c r="M175" i="14" s="1"/>
  <c r="N175" i="14" s="1"/>
  <c r="AG175" i="14"/>
  <c r="AD175" i="14"/>
  <c r="Z175" i="14"/>
  <c r="V175" i="14"/>
  <c r="L175" i="14"/>
  <c r="J175" i="14"/>
  <c r="I175" i="14"/>
  <c r="H175" i="14"/>
  <c r="Q175" i="14" s="1"/>
  <c r="G175" i="14"/>
  <c r="P175" i="14" s="1"/>
  <c r="F175" i="14"/>
  <c r="E175" i="14"/>
  <c r="AL174" i="14"/>
  <c r="AK174" i="14"/>
  <c r="AK175" i="14" s="1"/>
  <c r="AJ174" i="14"/>
  <c r="M174" i="14" s="1"/>
  <c r="N174" i="14" s="1"/>
  <c r="AG174" i="14"/>
  <c r="J174" i="14" s="1"/>
  <c r="L174" i="14" s="1"/>
  <c r="AD174" i="14"/>
  <c r="H174" i="14" s="1"/>
  <c r="Q174" i="14" s="1"/>
  <c r="Z174" i="14"/>
  <c r="G174" i="14" s="1"/>
  <c r="P174" i="14" s="1"/>
  <c r="V174" i="14"/>
  <c r="F174" i="14" s="1"/>
  <c r="E174" i="14"/>
  <c r="AX173" i="14"/>
  <c r="AT173" i="14"/>
  <c r="AL173" i="14"/>
  <c r="AJ173" i="14"/>
  <c r="AG173" i="14"/>
  <c r="AD173" i="14"/>
  <c r="H173" i="14" s="1"/>
  <c r="Q173" i="14" s="1"/>
  <c r="Z173" i="14"/>
  <c r="G173" i="14" s="1"/>
  <c r="V173" i="14"/>
  <c r="F173" i="14" s="1"/>
  <c r="O173" i="14"/>
  <c r="N173" i="14"/>
  <c r="M173" i="14"/>
  <c r="L173" i="14"/>
  <c r="E173" i="14"/>
  <c r="AU172" i="14"/>
  <c r="AT172" i="14"/>
  <c r="AS172" i="14"/>
  <c r="AS173" i="14" s="1"/>
  <c r="AS174" i="14" s="1"/>
  <c r="AQ172" i="14"/>
  <c r="AQ173" i="14" s="1"/>
  <c r="AQ174" i="14" s="1"/>
  <c r="AQ175" i="14" s="1"/>
  <c r="AQ176" i="14" s="1"/>
  <c r="AQ177" i="14" s="1"/>
  <c r="AQ178" i="14" s="1"/>
  <c r="AQ179" i="14" s="1"/>
  <c r="AQ180" i="14" s="1"/>
  <c r="AP172" i="14"/>
  <c r="AP173" i="14" s="1"/>
  <c r="AP174" i="14" s="1"/>
  <c r="AO172" i="14"/>
  <c r="AO173" i="14" s="1"/>
  <c r="AN172" i="14"/>
  <c r="AM172" i="14"/>
  <c r="AL172" i="14"/>
  <c r="AK172" i="14"/>
  <c r="AK173" i="14" s="1"/>
  <c r="AJ172" i="14"/>
  <c r="AG172" i="14"/>
  <c r="AD172" i="14"/>
  <c r="Z172" i="14"/>
  <c r="V172" i="14"/>
  <c r="N172" i="14"/>
  <c r="M172" i="14"/>
  <c r="AW172" i="14" s="1"/>
  <c r="AW173" i="14" s="1"/>
  <c r="AW174" i="14" s="1"/>
  <c r="L172" i="14"/>
  <c r="H172" i="14"/>
  <c r="Q172" i="14" s="1"/>
  <c r="G172" i="14"/>
  <c r="P172" i="14" s="1"/>
  <c r="F172" i="14"/>
  <c r="E172" i="14"/>
  <c r="AJ171" i="14"/>
  <c r="AG171" i="14"/>
  <c r="J171" i="14" s="1"/>
  <c r="L171" i="14" s="1"/>
  <c r="AD171" i="14"/>
  <c r="H171" i="14" s="1"/>
  <c r="Q171" i="14" s="1"/>
  <c r="Z171" i="14"/>
  <c r="G171" i="14" s="1"/>
  <c r="P171" i="14" s="1"/>
  <c r="V171" i="14"/>
  <c r="F171" i="14" s="1"/>
  <c r="M171" i="14"/>
  <c r="N171" i="14" s="1"/>
  <c r="E171" i="14"/>
  <c r="AJ170" i="14"/>
  <c r="AG170" i="14"/>
  <c r="J170" i="14" s="1"/>
  <c r="L170" i="14" s="1"/>
  <c r="AD170" i="14"/>
  <c r="H170" i="14" s="1"/>
  <c r="Z170" i="14"/>
  <c r="G170" i="14" s="1"/>
  <c r="V170" i="14"/>
  <c r="Q170" i="14"/>
  <c r="P170" i="14"/>
  <c r="N170" i="14"/>
  <c r="M170" i="14"/>
  <c r="O445" i="13" s="1"/>
  <c r="F170" i="14"/>
  <c r="E170" i="14"/>
  <c r="AJ169" i="14"/>
  <c r="AG169" i="14"/>
  <c r="AD169" i="14"/>
  <c r="Z169" i="14"/>
  <c r="V169" i="14"/>
  <c r="P169" i="14"/>
  <c r="N169" i="14"/>
  <c r="M169" i="14"/>
  <c r="O444" i="13" s="1"/>
  <c r="L169" i="14"/>
  <c r="J169" i="14"/>
  <c r="H169" i="14"/>
  <c r="G169" i="14"/>
  <c r="F169" i="14"/>
  <c r="E169" i="14"/>
  <c r="AJ168" i="14"/>
  <c r="M168" i="14" s="1"/>
  <c r="N168" i="14" s="1"/>
  <c r="AG168" i="14"/>
  <c r="AD168" i="14"/>
  <c r="Z168" i="14"/>
  <c r="V168" i="14"/>
  <c r="Q168" i="14"/>
  <c r="L168" i="14"/>
  <c r="J168" i="14"/>
  <c r="H168" i="14"/>
  <c r="G168" i="14"/>
  <c r="P168" i="14" s="1"/>
  <c r="F168" i="14"/>
  <c r="E168" i="14"/>
  <c r="AJ167" i="14"/>
  <c r="M167" i="14" s="1"/>
  <c r="N167" i="14" s="1"/>
  <c r="AG167" i="14"/>
  <c r="J167" i="14" s="1"/>
  <c r="L167" i="14" s="1"/>
  <c r="AD167" i="14"/>
  <c r="H167" i="14" s="1"/>
  <c r="Q167" i="14" s="1"/>
  <c r="Z167" i="14"/>
  <c r="G167" i="14" s="1"/>
  <c r="P167" i="14" s="1"/>
  <c r="V167" i="14"/>
  <c r="F167" i="14" s="1"/>
  <c r="E167" i="14"/>
  <c r="AU166" i="14"/>
  <c r="AU167" i="14" s="1"/>
  <c r="AU168" i="14" s="1"/>
  <c r="AU169" i="14" s="1"/>
  <c r="AU170" i="14" s="1"/>
  <c r="AU171" i="14" s="1"/>
  <c r="AT166" i="14"/>
  <c r="AT167" i="14" s="1"/>
  <c r="AT168" i="14" s="1"/>
  <c r="AT169" i="14" s="1"/>
  <c r="AT170" i="14" s="1"/>
  <c r="AT171" i="14" s="1"/>
  <c r="AJ166" i="14"/>
  <c r="AG166" i="14"/>
  <c r="J166" i="14" s="1"/>
  <c r="L166" i="14" s="1"/>
  <c r="AD166" i="14"/>
  <c r="H166" i="14" s="1"/>
  <c r="Q166" i="14" s="1"/>
  <c r="Z166" i="14"/>
  <c r="G166" i="14" s="1"/>
  <c r="P166" i="14" s="1"/>
  <c r="V166" i="14"/>
  <c r="F166" i="14" s="1"/>
  <c r="M166" i="14"/>
  <c r="N166" i="14" s="1"/>
  <c r="E166" i="14"/>
  <c r="AU165" i="14"/>
  <c r="AT165" i="14"/>
  <c r="AJ165" i="14"/>
  <c r="AG165" i="14"/>
  <c r="AD165" i="14"/>
  <c r="Z165" i="14"/>
  <c r="V165" i="14"/>
  <c r="P165" i="14"/>
  <c r="N165" i="14"/>
  <c r="M165" i="14"/>
  <c r="J165" i="14"/>
  <c r="L165" i="14" s="1"/>
  <c r="H165" i="14"/>
  <c r="Q165" i="14" s="1"/>
  <c r="G165" i="14"/>
  <c r="F165" i="14"/>
  <c r="O165" i="14" s="1"/>
  <c r="E165" i="14"/>
  <c r="AJ164" i="14"/>
  <c r="M164" i="14" s="1"/>
  <c r="N164" i="14" s="1"/>
  <c r="AG164" i="14"/>
  <c r="J164" i="14" s="1"/>
  <c r="L164" i="14" s="1"/>
  <c r="AD164" i="14"/>
  <c r="Z164" i="14"/>
  <c r="V164" i="14"/>
  <c r="O164" i="14"/>
  <c r="R164" i="14" s="1"/>
  <c r="I164" i="14"/>
  <c r="H164" i="14"/>
  <c r="Q164" i="14" s="1"/>
  <c r="G164" i="14"/>
  <c r="P164" i="14" s="1"/>
  <c r="F164" i="14"/>
  <c r="E164" i="14"/>
  <c r="AJ163" i="14"/>
  <c r="M163" i="14" s="1"/>
  <c r="N163" i="14" s="1"/>
  <c r="AG163" i="14"/>
  <c r="J163" i="14" s="1"/>
  <c r="L163" i="14" s="1"/>
  <c r="AD163" i="14"/>
  <c r="Z163" i="14"/>
  <c r="G163" i="14" s="1"/>
  <c r="V163" i="14"/>
  <c r="F163" i="14" s="1"/>
  <c r="P163" i="14"/>
  <c r="H163" i="14"/>
  <c r="Q163" i="14" s="1"/>
  <c r="E163" i="14"/>
  <c r="AU162" i="14"/>
  <c r="AU163" i="14" s="1"/>
  <c r="AU164" i="14" s="1"/>
  <c r="AJ162" i="14"/>
  <c r="AG162" i="14"/>
  <c r="AD162" i="14"/>
  <c r="Z162" i="14"/>
  <c r="G162" i="14" s="1"/>
  <c r="P162" i="14" s="1"/>
  <c r="V162" i="14"/>
  <c r="F162" i="14" s="1"/>
  <c r="N162" i="14"/>
  <c r="M162" i="14"/>
  <c r="O437" i="13" s="1"/>
  <c r="O421" i="13" s="1"/>
  <c r="J162" i="14"/>
  <c r="H162" i="14"/>
  <c r="Q162" i="14" s="1"/>
  <c r="E162" i="14"/>
  <c r="AU161" i="14"/>
  <c r="AT161" i="14"/>
  <c r="AT162" i="14" s="1"/>
  <c r="AT163" i="14" s="1"/>
  <c r="AT164" i="14" s="1"/>
  <c r="AM161" i="14"/>
  <c r="AJ161" i="14"/>
  <c r="AG161" i="14"/>
  <c r="AD161" i="14"/>
  <c r="Z161" i="14"/>
  <c r="V161" i="14"/>
  <c r="F161" i="14" s="1"/>
  <c r="M161" i="14"/>
  <c r="N161" i="14" s="1"/>
  <c r="L161" i="14"/>
  <c r="J161" i="14"/>
  <c r="H161" i="14"/>
  <c r="Q161" i="14" s="1"/>
  <c r="G161" i="14"/>
  <c r="P161" i="14" s="1"/>
  <c r="E161" i="14"/>
  <c r="AU160" i="14"/>
  <c r="AT160" i="14"/>
  <c r="AQ160" i="14"/>
  <c r="AQ161" i="14" s="1"/>
  <c r="AQ162" i="14" s="1"/>
  <c r="AQ163" i="14" s="1"/>
  <c r="AQ164" i="14" s="1"/>
  <c r="AQ165" i="14" s="1"/>
  <c r="AQ166" i="14" s="1"/>
  <c r="AQ167" i="14" s="1"/>
  <c r="AQ168" i="14" s="1"/>
  <c r="AQ169" i="14" s="1"/>
  <c r="AQ170" i="14" s="1"/>
  <c r="AQ171" i="14" s="1"/>
  <c r="AO160" i="14"/>
  <c r="AO161" i="14" s="1"/>
  <c r="AM160" i="14"/>
  <c r="AL160" i="14"/>
  <c r="AK160" i="14"/>
  <c r="AJ160" i="14"/>
  <c r="M160" i="14" s="1"/>
  <c r="AG160" i="14"/>
  <c r="J160" i="14" s="1"/>
  <c r="AD160" i="14"/>
  <c r="H160" i="14" s="1"/>
  <c r="Q160" i="14" s="1"/>
  <c r="Z160" i="14"/>
  <c r="G160" i="14" s="1"/>
  <c r="V160" i="14"/>
  <c r="F160" i="14"/>
  <c r="E160" i="14"/>
  <c r="AJ159" i="14"/>
  <c r="M159" i="14" s="1"/>
  <c r="N159" i="14" s="1"/>
  <c r="AG159" i="14"/>
  <c r="J159" i="14" s="1"/>
  <c r="L159" i="14" s="1"/>
  <c r="AD159" i="14"/>
  <c r="H159" i="14" s="1"/>
  <c r="Q159" i="14" s="1"/>
  <c r="Z159" i="14"/>
  <c r="G159" i="14" s="1"/>
  <c r="P159" i="14" s="1"/>
  <c r="V159" i="14"/>
  <c r="F159" i="14" s="1"/>
  <c r="E159" i="14"/>
  <c r="AP158" i="14"/>
  <c r="AP159" i="14" s="1"/>
  <c r="AJ158" i="14"/>
  <c r="M158" i="14" s="1"/>
  <c r="N158" i="14" s="1"/>
  <c r="AG158" i="14"/>
  <c r="AD158" i="14"/>
  <c r="Z158" i="14"/>
  <c r="V158" i="14"/>
  <c r="P158" i="14"/>
  <c r="J158" i="14"/>
  <c r="L158" i="14" s="1"/>
  <c r="H158" i="14"/>
  <c r="Q158" i="14" s="1"/>
  <c r="G158" i="14"/>
  <c r="F158" i="14"/>
  <c r="E158" i="14"/>
  <c r="AJ157" i="14"/>
  <c r="M157" i="14" s="1"/>
  <c r="N157" i="14" s="1"/>
  <c r="AG157" i="14"/>
  <c r="AD157" i="14"/>
  <c r="Z157" i="14"/>
  <c r="V157" i="14"/>
  <c r="Q157" i="14"/>
  <c r="L157" i="14"/>
  <c r="J157" i="14"/>
  <c r="H157" i="14"/>
  <c r="I157" i="14" s="1"/>
  <c r="G157" i="14"/>
  <c r="P157" i="14" s="1"/>
  <c r="F157" i="14"/>
  <c r="O157" i="14" s="1"/>
  <c r="E157" i="14"/>
  <c r="AJ156" i="14"/>
  <c r="M156" i="14" s="1"/>
  <c r="N156" i="14" s="1"/>
  <c r="AG156" i="14"/>
  <c r="AD156" i="14"/>
  <c r="H156" i="14" s="1"/>
  <c r="Q156" i="14" s="1"/>
  <c r="Z156" i="14"/>
  <c r="G156" i="14" s="1"/>
  <c r="P156" i="14" s="1"/>
  <c r="V156" i="14"/>
  <c r="F156" i="14" s="1"/>
  <c r="J156" i="14"/>
  <c r="L156" i="14" s="1"/>
  <c r="E156" i="14"/>
  <c r="AJ155" i="14"/>
  <c r="AG155" i="14"/>
  <c r="AD155" i="14"/>
  <c r="H155" i="14" s="1"/>
  <c r="Q155" i="14" s="1"/>
  <c r="Z155" i="14"/>
  <c r="G155" i="14" s="1"/>
  <c r="V155" i="14"/>
  <c r="F155" i="14" s="1"/>
  <c r="P155" i="14"/>
  <c r="N155" i="14"/>
  <c r="M155" i="14"/>
  <c r="J155" i="14"/>
  <c r="O155" i="14" s="1"/>
  <c r="R155" i="14" s="1"/>
  <c r="E155" i="14"/>
  <c r="AJ154" i="14"/>
  <c r="AG154" i="14"/>
  <c r="AD154" i="14"/>
  <c r="H154" i="14" s="1"/>
  <c r="Q154" i="14" s="1"/>
  <c r="Z154" i="14"/>
  <c r="V154" i="14"/>
  <c r="P154" i="14"/>
  <c r="N154" i="14"/>
  <c r="M154" i="14"/>
  <c r="J154" i="14"/>
  <c r="O154" i="14" s="1"/>
  <c r="G154" i="14"/>
  <c r="F154" i="14"/>
  <c r="E154" i="14"/>
  <c r="AJ153" i="14"/>
  <c r="M153" i="14" s="1"/>
  <c r="AG153" i="14"/>
  <c r="J153" i="14" s="1"/>
  <c r="AD153" i="14"/>
  <c r="H153" i="14" s="1"/>
  <c r="Q153" i="14" s="1"/>
  <c r="Z153" i="14"/>
  <c r="V153" i="14"/>
  <c r="G153" i="14"/>
  <c r="P153" i="14" s="1"/>
  <c r="F153" i="14"/>
  <c r="E153" i="14"/>
  <c r="AJ152" i="14"/>
  <c r="M152" i="14" s="1"/>
  <c r="AG152" i="14"/>
  <c r="J152" i="14" s="1"/>
  <c r="L152" i="14" s="1"/>
  <c r="AD152" i="14"/>
  <c r="H152" i="14" s="1"/>
  <c r="Q152" i="14" s="1"/>
  <c r="Z152" i="14"/>
  <c r="G152" i="14" s="1"/>
  <c r="P152" i="14" s="1"/>
  <c r="V152" i="14"/>
  <c r="F152" i="14" s="1"/>
  <c r="E152" i="14"/>
  <c r="AJ151" i="14"/>
  <c r="AG151" i="14"/>
  <c r="AD151" i="14"/>
  <c r="Z151" i="14"/>
  <c r="G151" i="14" s="1"/>
  <c r="V151" i="14"/>
  <c r="F151" i="14" s="1"/>
  <c r="N151" i="14"/>
  <c r="M151" i="14"/>
  <c r="J151" i="14"/>
  <c r="H151" i="14"/>
  <c r="Q151" i="14" s="1"/>
  <c r="E151" i="14"/>
  <c r="AU150" i="14"/>
  <c r="AU151" i="14" s="1"/>
  <c r="AU152" i="14" s="1"/>
  <c r="AU153" i="14" s="1"/>
  <c r="AU154" i="14" s="1"/>
  <c r="AU155" i="14" s="1"/>
  <c r="AU156" i="14" s="1"/>
  <c r="AU157" i="14" s="1"/>
  <c r="AU158" i="14" s="1"/>
  <c r="AU159" i="14" s="1"/>
  <c r="AT150" i="14"/>
  <c r="AT151" i="14" s="1"/>
  <c r="AT152" i="14" s="1"/>
  <c r="AT153" i="14" s="1"/>
  <c r="AT154" i="14" s="1"/>
  <c r="AT155" i="14" s="1"/>
  <c r="AT156" i="14" s="1"/>
  <c r="AT157" i="14" s="1"/>
  <c r="AT158" i="14" s="1"/>
  <c r="AT159" i="14" s="1"/>
  <c r="AJ150" i="14"/>
  <c r="AG150" i="14"/>
  <c r="AD150" i="14"/>
  <c r="Z150" i="14"/>
  <c r="V150" i="14"/>
  <c r="N150" i="14"/>
  <c r="M150" i="14"/>
  <c r="L150" i="14"/>
  <c r="J150" i="14"/>
  <c r="H150" i="14"/>
  <c r="Q150" i="14" s="1"/>
  <c r="G150" i="14"/>
  <c r="P150" i="14" s="1"/>
  <c r="F150" i="14"/>
  <c r="E150" i="14"/>
  <c r="AT149" i="14"/>
  <c r="AM149" i="14"/>
  <c r="AL149" i="14"/>
  <c r="AJ149" i="14"/>
  <c r="AG149" i="14"/>
  <c r="J149" i="14" s="1"/>
  <c r="L149" i="14" s="1"/>
  <c r="AD149" i="14"/>
  <c r="H149" i="14" s="1"/>
  <c r="Q149" i="14" s="1"/>
  <c r="Z149" i="14"/>
  <c r="V149" i="14"/>
  <c r="M149" i="14"/>
  <c r="N149" i="14" s="1"/>
  <c r="G149" i="14"/>
  <c r="P149" i="14" s="1"/>
  <c r="F149" i="14"/>
  <c r="E149" i="14"/>
  <c r="BA148" i="14"/>
  <c r="AZ148" i="14"/>
  <c r="AU148" i="14"/>
  <c r="AU149" i="14" s="1"/>
  <c r="AT148" i="14"/>
  <c r="AP148" i="14"/>
  <c r="AP149" i="14" s="1"/>
  <c r="AP150" i="14" s="1"/>
  <c r="AP151" i="14" s="1"/>
  <c r="AP152" i="14" s="1"/>
  <c r="AP153" i="14" s="1"/>
  <c r="AP154" i="14" s="1"/>
  <c r="AP155" i="14" s="1"/>
  <c r="AP156" i="14" s="1"/>
  <c r="AP157" i="14" s="1"/>
  <c r="AM148" i="14"/>
  <c r="AL148" i="14"/>
  <c r="AK148" i="14"/>
  <c r="AJ148" i="14"/>
  <c r="M148" i="14" s="1"/>
  <c r="AG148" i="14"/>
  <c r="J148" i="14" s="1"/>
  <c r="AD148" i="14"/>
  <c r="H148" i="14" s="1"/>
  <c r="AQ148" i="14" s="1"/>
  <c r="Z148" i="14"/>
  <c r="G148" i="14" s="1"/>
  <c r="V148" i="14"/>
  <c r="Q148" i="14"/>
  <c r="P148" i="14"/>
  <c r="F148" i="14"/>
  <c r="E148" i="14"/>
  <c r="AJ147" i="14"/>
  <c r="M147" i="14" s="1"/>
  <c r="AG147" i="14"/>
  <c r="AD147" i="14"/>
  <c r="Z147" i="14"/>
  <c r="V147" i="14"/>
  <c r="Q147" i="14"/>
  <c r="P147" i="14"/>
  <c r="J147" i="14"/>
  <c r="L147" i="14" s="1"/>
  <c r="H147" i="14"/>
  <c r="G147" i="14"/>
  <c r="F147" i="14"/>
  <c r="I147" i="14" s="1"/>
  <c r="E147" i="14"/>
  <c r="AJ146" i="14"/>
  <c r="M146" i="14" s="1"/>
  <c r="N146" i="14" s="1"/>
  <c r="AG146" i="14"/>
  <c r="AD146" i="14"/>
  <c r="Z146" i="14"/>
  <c r="V146" i="14"/>
  <c r="Q146" i="14"/>
  <c r="L146" i="14"/>
  <c r="J146" i="14"/>
  <c r="H146" i="14"/>
  <c r="G146" i="14"/>
  <c r="P146" i="14" s="1"/>
  <c r="F146" i="14"/>
  <c r="E146" i="14"/>
  <c r="AJ145" i="14"/>
  <c r="M145" i="14" s="1"/>
  <c r="N145" i="14" s="1"/>
  <c r="AG145" i="14"/>
  <c r="J145" i="14" s="1"/>
  <c r="L145" i="14" s="1"/>
  <c r="AD145" i="14"/>
  <c r="H145" i="14" s="1"/>
  <c r="Q145" i="14" s="1"/>
  <c r="Z145" i="14"/>
  <c r="G145" i="14" s="1"/>
  <c r="P145" i="14" s="1"/>
  <c r="V145" i="14"/>
  <c r="F145" i="14" s="1"/>
  <c r="E145" i="14"/>
  <c r="AJ144" i="14"/>
  <c r="AG144" i="14"/>
  <c r="AD144" i="14"/>
  <c r="H144" i="14" s="1"/>
  <c r="Z144" i="14"/>
  <c r="G144" i="14" s="1"/>
  <c r="P144" i="14" s="1"/>
  <c r="V144" i="14"/>
  <c r="F144" i="14" s="1"/>
  <c r="O144" i="14" s="1"/>
  <c r="Q144" i="14"/>
  <c r="N144" i="14"/>
  <c r="M144" i="14"/>
  <c r="J144" i="14"/>
  <c r="L144" i="14" s="1"/>
  <c r="E144" i="14"/>
  <c r="AU143" i="14"/>
  <c r="AU144" i="14" s="1"/>
  <c r="AU145" i="14" s="1"/>
  <c r="AU146" i="14" s="1"/>
  <c r="AU147" i="14" s="1"/>
  <c r="AJ143" i="14"/>
  <c r="AG143" i="14"/>
  <c r="AD143" i="14"/>
  <c r="Z143" i="14"/>
  <c r="V143" i="14"/>
  <c r="P143" i="14"/>
  <c r="O143" i="14"/>
  <c r="R143" i="14" s="1"/>
  <c r="N143" i="14"/>
  <c r="M143" i="14"/>
  <c r="J143" i="14"/>
  <c r="L143" i="14" s="1"/>
  <c r="H143" i="14"/>
  <c r="Q143" i="14" s="1"/>
  <c r="G143" i="14"/>
  <c r="F143" i="14"/>
  <c r="I143" i="14" s="1"/>
  <c r="E143" i="14"/>
  <c r="AJ142" i="14"/>
  <c r="M142" i="14" s="1"/>
  <c r="AG142" i="14"/>
  <c r="J142" i="14" s="1"/>
  <c r="L142" i="14" s="1"/>
  <c r="AD142" i="14"/>
  <c r="Z142" i="14"/>
  <c r="V142" i="14"/>
  <c r="H142" i="14"/>
  <c r="Q142" i="14" s="1"/>
  <c r="G142" i="14"/>
  <c r="P142" i="14" s="1"/>
  <c r="F142" i="14"/>
  <c r="E142" i="14"/>
  <c r="AJ141" i="14"/>
  <c r="M141" i="14" s="1"/>
  <c r="N141" i="14" s="1"/>
  <c r="AG141" i="14"/>
  <c r="J141" i="14" s="1"/>
  <c r="L141" i="14" s="1"/>
  <c r="AD141" i="14"/>
  <c r="Z141" i="14"/>
  <c r="G141" i="14" s="1"/>
  <c r="P141" i="14" s="1"/>
  <c r="V141" i="14"/>
  <c r="Q141" i="14"/>
  <c r="H141" i="14"/>
  <c r="F141" i="14"/>
  <c r="E141" i="14"/>
  <c r="AU140" i="14"/>
  <c r="AU141" i="14" s="1"/>
  <c r="AU142" i="14" s="1"/>
  <c r="AJ140" i="14"/>
  <c r="M140" i="14" s="1"/>
  <c r="N140" i="14" s="1"/>
  <c r="AG140" i="14"/>
  <c r="AD140" i="14"/>
  <c r="Z140" i="14"/>
  <c r="G140" i="14" s="1"/>
  <c r="V140" i="14"/>
  <c r="F140" i="14" s="1"/>
  <c r="Q140" i="14"/>
  <c r="P140" i="14"/>
  <c r="J140" i="14"/>
  <c r="L140" i="14" s="1"/>
  <c r="H140" i="14"/>
  <c r="E140" i="14"/>
  <c r="AU139" i="14"/>
  <c r="AT139" i="14"/>
  <c r="AT140" i="14" s="1"/>
  <c r="AT141" i="14" s="1"/>
  <c r="AT142" i="14" s="1"/>
  <c r="AT143" i="14" s="1"/>
  <c r="AT144" i="14" s="1"/>
  <c r="AT145" i="14" s="1"/>
  <c r="AT146" i="14" s="1"/>
  <c r="AT147" i="14" s="1"/>
  <c r="AJ139" i="14"/>
  <c r="AG139" i="14"/>
  <c r="AD139" i="14"/>
  <c r="Z139" i="14"/>
  <c r="V139" i="14"/>
  <c r="N139" i="14"/>
  <c r="M139" i="14"/>
  <c r="J139" i="14"/>
  <c r="L139" i="14" s="1"/>
  <c r="H139" i="14"/>
  <c r="Q139" i="14" s="1"/>
  <c r="G139" i="14"/>
  <c r="P139" i="14" s="1"/>
  <c r="F139" i="14"/>
  <c r="E139" i="14"/>
  <c r="AT138" i="14"/>
  <c r="AK138" i="14"/>
  <c r="AJ138" i="14"/>
  <c r="AG138" i="14"/>
  <c r="AD138" i="14"/>
  <c r="H138" i="14" s="1"/>
  <c r="Q138" i="14" s="1"/>
  <c r="Z138" i="14"/>
  <c r="V138" i="14"/>
  <c r="M138" i="14"/>
  <c r="N138" i="14" s="1"/>
  <c r="J138" i="14"/>
  <c r="G138" i="14"/>
  <c r="P138" i="14" s="1"/>
  <c r="F138" i="14"/>
  <c r="E138" i="14"/>
  <c r="AK137" i="14"/>
  <c r="AJ137" i="14"/>
  <c r="M137" i="14" s="1"/>
  <c r="AG137" i="14"/>
  <c r="J137" i="14" s="1"/>
  <c r="L137" i="14" s="1"/>
  <c r="AD137" i="14"/>
  <c r="H137" i="14" s="1"/>
  <c r="Q137" i="14" s="1"/>
  <c r="Z137" i="14"/>
  <c r="G137" i="14" s="1"/>
  <c r="V137" i="14"/>
  <c r="P137" i="14"/>
  <c r="F137" i="14"/>
  <c r="E137" i="14"/>
  <c r="AU136" i="14"/>
  <c r="AU137" i="14" s="1"/>
  <c r="AU138" i="14" s="1"/>
  <c r="AT136" i="14"/>
  <c r="AT137" i="14" s="1"/>
  <c r="AS136" i="14"/>
  <c r="AQ136" i="14"/>
  <c r="AM136" i="14"/>
  <c r="AM137" i="14" s="1"/>
  <c r="AL136" i="14"/>
  <c r="AK136" i="14"/>
  <c r="AJ136" i="14"/>
  <c r="M136" i="14" s="1"/>
  <c r="AG136" i="14"/>
  <c r="AD136" i="14"/>
  <c r="H136" i="14" s="1"/>
  <c r="Q136" i="14" s="1"/>
  <c r="Z136" i="14"/>
  <c r="V136" i="14"/>
  <c r="L136" i="14"/>
  <c r="J136" i="14"/>
  <c r="G136" i="14"/>
  <c r="F136" i="14"/>
  <c r="E136" i="14"/>
  <c r="AJ135" i="14"/>
  <c r="M135" i="14" s="1"/>
  <c r="N135" i="14" s="1"/>
  <c r="AG135" i="14"/>
  <c r="AD135" i="14"/>
  <c r="Z135" i="14"/>
  <c r="V135" i="14"/>
  <c r="O135" i="14"/>
  <c r="L135" i="14"/>
  <c r="J135" i="14"/>
  <c r="H135" i="14"/>
  <c r="Q135" i="14" s="1"/>
  <c r="G135" i="14"/>
  <c r="F135" i="14"/>
  <c r="E135" i="14"/>
  <c r="AJ134" i="14"/>
  <c r="M134" i="14" s="1"/>
  <c r="AG134" i="14"/>
  <c r="J134" i="14" s="1"/>
  <c r="L134" i="14" s="1"/>
  <c r="AD134" i="14"/>
  <c r="H134" i="14" s="1"/>
  <c r="Z134" i="14"/>
  <c r="G134" i="14" s="1"/>
  <c r="P134" i="14" s="1"/>
  <c r="V134" i="14"/>
  <c r="F134" i="14" s="1"/>
  <c r="Q134" i="14"/>
  <c r="E134" i="14"/>
  <c r="AJ133" i="14"/>
  <c r="AG133" i="14"/>
  <c r="J133" i="14" s="1"/>
  <c r="L133" i="14" s="1"/>
  <c r="AD133" i="14"/>
  <c r="H133" i="14" s="1"/>
  <c r="Z133" i="14"/>
  <c r="G133" i="14" s="1"/>
  <c r="P133" i="14" s="1"/>
  <c r="V133" i="14"/>
  <c r="F133" i="14" s="1"/>
  <c r="Q133" i="14"/>
  <c r="O133" i="14"/>
  <c r="R133" i="14" s="1"/>
  <c r="N133" i="14"/>
  <c r="M133" i="14"/>
  <c r="E133" i="14"/>
  <c r="AJ132" i="14"/>
  <c r="M132" i="14" s="1"/>
  <c r="N132" i="14" s="1"/>
  <c r="AG132" i="14"/>
  <c r="AD132" i="14"/>
  <c r="Z132" i="14"/>
  <c r="V132" i="14"/>
  <c r="F132" i="14" s="1"/>
  <c r="O132" i="14" s="1"/>
  <c r="R132" i="14" s="1"/>
  <c r="J132" i="14"/>
  <c r="L132" i="14" s="1"/>
  <c r="H132" i="14"/>
  <c r="Q132" i="14" s="1"/>
  <c r="G132" i="14"/>
  <c r="P132" i="14" s="1"/>
  <c r="E132" i="14"/>
  <c r="AJ131" i="14"/>
  <c r="AG131" i="14"/>
  <c r="J131" i="14" s="1"/>
  <c r="L131" i="14" s="1"/>
  <c r="AD131" i="14"/>
  <c r="H131" i="14" s="1"/>
  <c r="Q131" i="14" s="1"/>
  <c r="Z131" i="14"/>
  <c r="V131" i="14"/>
  <c r="M131" i="14"/>
  <c r="N131" i="14" s="1"/>
  <c r="G131" i="14"/>
  <c r="P131" i="14" s="1"/>
  <c r="F131" i="14"/>
  <c r="O131" i="14" s="1"/>
  <c r="E131" i="14"/>
  <c r="AJ130" i="14"/>
  <c r="M130" i="14" s="1"/>
  <c r="AG130" i="14"/>
  <c r="AD130" i="14"/>
  <c r="H130" i="14" s="1"/>
  <c r="Z130" i="14"/>
  <c r="G130" i="14" s="1"/>
  <c r="V130" i="14"/>
  <c r="F130" i="14" s="1"/>
  <c r="Q130" i="14"/>
  <c r="P130" i="14"/>
  <c r="N130" i="14"/>
  <c r="J130" i="14"/>
  <c r="L130" i="14" s="1"/>
  <c r="E130" i="14"/>
  <c r="AJ129" i="14"/>
  <c r="M129" i="14" s="1"/>
  <c r="N129" i="14" s="1"/>
  <c r="AG129" i="14"/>
  <c r="AD129" i="14"/>
  <c r="Z129" i="14"/>
  <c r="V129" i="14"/>
  <c r="F129" i="14" s="1"/>
  <c r="J129" i="14"/>
  <c r="H129" i="14"/>
  <c r="Q129" i="14" s="1"/>
  <c r="G129" i="14"/>
  <c r="E129" i="14"/>
  <c r="AJ128" i="14"/>
  <c r="AG128" i="14"/>
  <c r="AD128" i="14"/>
  <c r="Z128" i="14"/>
  <c r="V128" i="14"/>
  <c r="M128" i="14"/>
  <c r="N128" i="14" s="1"/>
  <c r="J128" i="14"/>
  <c r="L128" i="14" s="1"/>
  <c r="H128" i="14"/>
  <c r="Q128" i="14" s="1"/>
  <c r="G128" i="14"/>
  <c r="P128" i="14" s="1"/>
  <c r="F128" i="14"/>
  <c r="E128" i="14"/>
  <c r="AJ127" i="14"/>
  <c r="M127" i="14" s="1"/>
  <c r="AG127" i="14"/>
  <c r="J127" i="14" s="1"/>
  <c r="AD127" i="14"/>
  <c r="H127" i="14" s="1"/>
  <c r="Q127" i="14" s="1"/>
  <c r="Z127" i="14"/>
  <c r="G127" i="14" s="1"/>
  <c r="P127" i="14" s="1"/>
  <c r="V127" i="14"/>
  <c r="F127" i="14" s="1"/>
  <c r="E127" i="14"/>
  <c r="AU126" i="14"/>
  <c r="AU127" i="14" s="1"/>
  <c r="AU128" i="14" s="1"/>
  <c r="AU129" i="14" s="1"/>
  <c r="AU130" i="14" s="1"/>
  <c r="AU131" i="14" s="1"/>
  <c r="AU132" i="14" s="1"/>
  <c r="AU133" i="14" s="1"/>
  <c r="AU134" i="14" s="1"/>
  <c r="AU135" i="14" s="1"/>
  <c r="AJ126" i="14"/>
  <c r="M126" i="14" s="1"/>
  <c r="N126" i="14" s="1"/>
  <c r="AG126" i="14"/>
  <c r="J126" i="14" s="1"/>
  <c r="L126" i="14" s="1"/>
  <c r="AD126" i="14"/>
  <c r="H126" i="14" s="1"/>
  <c r="Q126" i="14" s="1"/>
  <c r="Z126" i="14"/>
  <c r="G126" i="14" s="1"/>
  <c r="P126" i="14" s="1"/>
  <c r="V126" i="14"/>
  <c r="F126" i="14"/>
  <c r="E126" i="14"/>
  <c r="AU125" i="14"/>
  <c r="AT125" i="14"/>
  <c r="AT126" i="14" s="1"/>
  <c r="AT127" i="14" s="1"/>
  <c r="AT128" i="14" s="1"/>
  <c r="AT129" i="14" s="1"/>
  <c r="AT130" i="14" s="1"/>
  <c r="AT131" i="14" s="1"/>
  <c r="AT132" i="14" s="1"/>
  <c r="AT133" i="14" s="1"/>
  <c r="AT134" i="14" s="1"/>
  <c r="AT135" i="14" s="1"/>
  <c r="AJ125" i="14"/>
  <c r="AG125" i="14"/>
  <c r="AD125" i="14"/>
  <c r="Z125" i="14"/>
  <c r="V125" i="14"/>
  <c r="Q125" i="14"/>
  <c r="N125" i="14"/>
  <c r="M125" i="14"/>
  <c r="J125" i="14"/>
  <c r="H125" i="14"/>
  <c r="G125" i="14"/>
  <c r="P125" i="14" s="1"/>
  <c r="F125" i="14"/>
  <c r="E125" i="14"/>
  <c r="AU124" i="14"/>
  <c r="AT124" i="14"/>
  <c r="AS124" i="14"/>
  <c r="AQ124" i="14"/>
  <c r="AQ125" i="14" s="1"/>
  <c r="AO124" i="14"/>
  <c r="AM124" i="14"/>
  <c r="AL124" i="14"/>
  <c r="AK124" i="14"/>
  <c r="AJ124" i="14"/>
  <c r="M124" i="14" s="1"/>
  <c r="AG124" i="14"/>
  <c r="J124" i="14" s="1"/>
  <c r="L124" i="14" s="1"/>
  <c r="AD124" i="14"/>
  <c r="H124" i="14" s="1"/>
  <c r="Q124" i="14" s="1"/>
  <c r="Z124" i="14"/>
  <c r="G124" i="14" s="1"/>
  <c r="V124" i="14"/>
  <c r="F124" i="14"/>
  <c r="E124" i="14"/>
  <c r="AJ123" i="14"/>
  <c r="AG123" i="14"/>
  <c r="AD123" i="14"/>
  <c r="H123" i="14" s="1"/>
  <c r="Q123" i="14" s="1"/>
  <c r="Z123" i="14"/>
  <c r="G123" i="14" s="1"/>
  <c r="V123" i="14"/>
  <c r="F123" i="14" s="1"/>
  <c r="P123" i="14"/>
  <c r="N123" i="14"/>
  <c r="M123" i="14"/>
  <c r="K446" i="13" s="1"/>
  <c r="K430" i="13" s="1"/>
  <c r="L123" i="14"/>
  <c r="J123" i="14"/>
  <c r="E123" i="14"/>
  <c r="AJ122" i="14"/>
  <c r="M122" i="14" s="1"/>
  <c r="AG122" i="14"/>
  <c r="AD122" i="14"/>
  <c r="Z122" i="14"/>
  <c r="V122" i="14"/>
  <c r="L122" i="14"/>
  <c r="J122" i="14"/>
  <c r="H122" i="14"/>
  <c r="Q122" i="14" s="1"/>
  <c r="G122" i="14"/>
  <c r="P122" i="14" s="1"/>
  <c r="F122" i="14"/>
  <c r="E122" i="14"/>
  <c r="AJ121" i="14"/>
  <c r="M121" i="14" s="1"/>
  <c r="N121" i="14" s="1"/>
  <c r="AG121" i="14"/>
  <c r="J121" i="14" s="1"/>
  <c r="L121" i="14" s="1"/>
  <c r="AD121" i="14"/>
  <c r="H121" i="14" s="1"/>
  <c r="Q121" i="14" s="1"/>
  <c r="Z121" i="14"/>
  <c r="V121" i="14"/>
  <c r="G121" i="14"/>
  <c r="P121" i="14" s="1"/>
  <c r="F121" i="14"/>
  <c r="E121" i="14"/>
  <c r="AJ120" i="14"/>
  <c r="M120" i="14" s="1"/>
  <c r="AG120" i="14"/>
  <c r="J120" i="14" s="1"/>
  <c r="AD120" i="14"/>
  <c r="H120" i="14" s="1"/>
  <c r="Q120" i="14" s="1"/>
  <c r="Z120" i="14"/>
  <c r="V120" i="14"/>
  <c r="F120" i="14" s="1"/>
  <c r="P120" i="14"/>
  <c r="L120" i="14"/>
  <c r="G120" i="14"/>
  <c r="E120" i="14"/>
  <c r="AJ119" i="14"/>
  <c r="AG119" i="14"/>
  <c r="AD119" i="14"/>
  <c r="Z119" i="14"/>
  <c r="V119" i="14"/>
  <c r="M119" i="14"/>
  <c r="N119" i="14" s="1"/>
  <c r="J119" i="14"/>
  <c r="L119" i="14" s="1"/>
  <c r="H119" i="14"/>
  <c r="Q119" i="14" s="1"/>
  <c r="G119" i="14"/>
  <c r="P119" i="14" s="1"/>
  <c r="F119" i="14"/>
  <c r="E119" i="14"/>
  <c r="AU118" i="14"/>
  <c r="AU119" i="14" s="1"/>
  <c r="AU120" i="14" s="1"/>
  <c r="AU121" i="14" s="1"/>
  <c r="AU122" i="14" s="1"/>
  <c r="AU123" i="14" s="1"/>
  <c r="AJ118" i="14"/>
  <c r="M118" i="14" s="1"/>
  <c r="N118" i="14" s="1"/>
  <c r="AG118" i="14"/>
  <c r="J118" i="14" s="1"/>
  <c r="L118" i="14" s="1"/>
  <c r="AD118" i="14"/>
  <c r="H118" i="14" s="1"/>
  <c r="Q118" i="14" s="1"/>
  <c r="Z118" i="14"/>
  <c r="V118" i="14"/>
  <c r="P118" i="14"/>
  <c r="G118" i="14"/>
  <c r="F118" i="14"/>
  <c r="E118" i="14"/>
  <c r="AJ117" i="14"/>
  <c r="M117" i="14" s="1"/>
  <c r="AG117" i="14"/>
  <c r="J117" i="14" s="1"/>
  <c r="L117" i="14" s="1"/>
  <c r="AD117" i="14"/>
  <c r="H117" i="14" s="1"/>
  <c r="Z117" i="14"/>
  <c r="G117" i="14" s="1"/>
  <c r="V117" i="14"/>
  <c r="F117" i="14" s="1"/>
  <c r="Q117" i="14"/>
  <c r="P117" i="14"/>
  <c r="O117" i="14"/>
  <c r="E117" i="14"/>
  <c r="AT116" i="14"/>
  <c r="AT117" i="14" s="1"/>
  <c r="AT118" i="14" s="1"/>
  <c r="AT119" i="14" s="1"/>
  <c r="AT120" i="14" s="1"/>
  <c r="AT121" i="14" s="1"/>
  <c r="AT122" i="14" s="1"/>
  <c r="AT123" i="14" s="1"/>
  <c r="AJ116" i="14"/>
  <c r="AG116" i="14"/>
  <c r="AD116" i="14"/>
  <c r="H116" i="14" s="1"/>
  <c r="Q116" i="14" s="1"/>
  <c r="Z116" i="14"/>
  <c r="G116" i="14" s="1"/>
  <c r="P116" i="14" s="1"/>
  <c r="V116" i="14"/>
  <c r="F116" i="14" s="1"/>
  <c r="N116" i="14"/>
  <c r="M116" i="14"/>
  <c r="K439" i="13" s="1"/>
  <c r="K423" i="13" s="1"/>
  <c r="L116" i="14"/>
  <c r="J116" i="14"/>
  <c r="O116" i="14" s="1"/>
  <c r="R116" i="14" s="1"/>
  <c r="E116" i="14"/>
  <c r="AM115" i="14"/>
  <c r="AL115" i="14"/>
  <c r="AJ115" i="14"/>
  <c r="AG115" i="14"/>
  <c r="AD115" i="14"/>
  <c r="Z115" i="14"/>
  <c r="V115" i="14"/>
  <c r="P115" i="14"/>
  <c r="M115" i="14"/>
  <c r="N115" i="14" s="1"/>
  <c r="J115" i="14"/>
  <c r="L115" i="14" s="1"/>
  <c r="H115" i="14"/>
  <c r="Q115" i="14" s="1"/>
  <c r="G115" i="14"/>
  <c r="F115" i="14"/>
  <c r="E115" i="14"/>
  <c r="AM114" i="14"/>
  <c r="AL114" i="14"/>
  <c r="AK114" i="14"/>
  <c r="AJ114" i="14"/>
  <c r="M114" i="14" s="1"/>
  <c r="AG114" i="14"/>
  <c r="J114" i="14" s="1"/>
  <c r="L114" i="14" s="1"/>
  <c r="AD114" i="14"/>
  <c r="Z114" i="14"/>
  <c r="V114" i="14"/>
  <c r="H114" i="14"/>
  <c r="Q114" i="14" s="1"/>
  <c r="G114" i="14"/>
  <c r="P114" i="14" s="1"/>
  <c r="F114" i="14"/>
  <c r="E114" i="14"/>
  <c r="AM113" i="14"/>
  <c r="AL113" i="14"/>
  <c r="AK113" i="14"/>
  <c r="AJ113" i="14"/>
  <c r="M113" i="14" s="1"/>
  <c r="K436" i="13" s="1"/>
  <c r="K420" i="13" s="1"/>
  <c r="AG113" i="14"/>
  <c r="J113" i="14" s="1"/>
  <c r="AD113" i="14"/>
  <c r="H113" i="14" s="1"/>
  <c r="Z113" i="14"/>
  <c r="G113" i="14" s="1"/>
  <c r="V113" i="14"/>
  <c r="F113" i="14" s="1"/>
  <c r="I113" i="14" s="1"/>
  <c r="Q113" i="14"/>
  <c r="P113" i="14"/>
  <c r="N113" i="14"/>
  <c r="E113" i="14"/>
  <c r="AU112" i="14"/>
  <c r="AU113" i="14" s="1"/>
  <c r="AU114" i="14" s="1"/>
  <c r="AU115" i="14" s="1"/>
  <c r="AU116" i="14" s="1"/>
  <c r="AU117" i="14" s="1"/>
  <c r="AT112" i="14"/>
  <c r="AT113" i="14" s="1"/>
  <c r="AT114" i="14" s="1"/>
  <c r="AT115" i="14" s="1"/>
  <c r="AS112" i="14"/>
  <c r="AQ112" i="14"/>
  <c r="AM112" i="14"/>
  <c r="AL112" i="14"/>
  <c r="AK112" i="14"/>
  <c r="AN112" i="14" s="1"/>
  <c r="AJ112" i="14"/>
  <c r="AG112" i="14"/>
  <c r="AD112" i="14"/>
  <c r="Z112" i="14"/>
  <c r="G112" i="14" s="1"/>
  <c r="V112" i="14"/>
  <c r="Q112" i="14"/>
  <c r="M112" i="14"/>
  <c r="J112" i="14"/>
  <c r="L112" i="14" s="1"/>
  <c r="H112" i="14"/>
  <c r="F112" i="14"/>
  <c r="E112" i="14"/>
  <c r="AJ111" i="14"/>
  <c r="AG111" i="14"/>
  <c r="AD111" i="14"/>
  <c r="Z111" i="14"/>
  <c r="V111" i="14"/>
  <c r="M111" i="14"/>
  <c r="L111" i="14"/>
  <c r="J111" i="14"/>
  <c r="H111" i="14"/>
  <c r="Q111" i="14" s="1"/>
  <c r="G111" i="14"/>
  <c r="P111" i="14" s="1"/>
  <c r="F111" i="14"/>
  <c r="E111" i="14"/>
  <c r="AJ110" i="14"/>
  <c r="M110" i="14" s="1"/>
  <c r="N110" i="14" s="1"/>
  <c r="AG110" i="14"/>
  <c r="J110" i="14" s="1"/>
  <c r="L110" i="14" s="1"/>
  <c r="AD110" i="14"/>
  <c r="H110" i="14" s="1"/>
  <c r="Z110" i="14"/>
  <c r="G110" i="14" s="1"/>
  <c r="P110" i="14" s="1"/>
  <c r="V110" i="14"/>
  <c r="F110" i="14" s="1"/>
  <c r="Q110" i="14"/>
  <c r="E110" i="14"/>
  <c r="AT109" i="14"/>
  <c r="AT110" i="14" s="1"/>
  <c r="AT111" i="14" s="1"/>
  <c r="AJ109" i="14"/>
  <c r="M109" i="14" s="1"/>
  <c r="AG109" i="14"/>
  <c r="J109" i="14" s="1"/>
  <c r="AD109" i="14"/>
  <c r="H109" i="14" s="1"/>
  <c r="Q109" i="14" s="1"/>
  <c r="Z109" i="14"/>
  <c r="V109" i="14"/>
  <c r="F109" i="14" s="1"/>
  <c r="P109" i="14"/>
  <c r="G109" i="14"/>
  <c r="E109" i="14"/>
  <c r="AJ108" i="14"/>
  <c r="AG108" i="14"/>
  <c r="AD108" i="14"/>
  <c r="Z108" i="14"/>
  <c r="V108" i="14"/>
  <c r="M108" i="14"/>
  <c r="N108" i="14" s="1"/>
  <c r="J108" i="14"/>
  <c r="L108" i="14" s="1"/>
  <c r="H108" i="14"/>
  <c r="Q108" i="14" s="1"/>
  <c r="G108" i="14"/>
  <c r="P108" i="14" s="1"/>
  <c r="F108" i="14"/>
  <c r="O108" i="14" s="1"/>
  <c r="R108" i="14" s="1"/>
  <c r="E108" i="14"/>
  <c r="AJ107" i="14"/>
  <c r="M107" i="14" s="1"/>
  <c r="N107" i="14" s="1"/>
  <c r="AG107" i="14"/>
  <c r="AD107" i="14"/>
  <c r="Z107" i="14"/>
  <c r="V107" i="14"/>
  <c r="P107" i="14"/>
  <c r="J107" i="14"/>
  <c r="L107" i="14" s="1"/>
  <c r="I107" i="14"/>
  <c r="H107" i="14"/>
  <c r="Q107" i="14" s="1"/>
  <c r="G107" i="14"/>
  <c r="F107" i="14"/>
  <c r="E107" i="14"/>
  <c r="AJ106" i="14"/>
  <c r="M106" i="14" s="1"/>
  <c r="N106" i="14" s="1"/>
  <c r="AG106" i="14"/>
  <c r="J106" i="14" s="1"/>
  <c r="L106" i="14" s="1"/>
  <c r="AD106" i="14"/>
  <c r="H106" i="14" s="1"/>
  <c r="Z106" i="14"/>
  <c r="G106" i="14" s="1"/>
  <c r="P106" i="14" s="1"/>
  <c r="R106" i="14" s="1"/>
  <c r="V106" i="14"/>
  <c r="F106" i="14" s="1"/>
  <c r="Q106" i="14"/>
  <c r="O106" i="14"/>
  <c r="E106" i="14"/>
  <c r="AJ105" i="14"/>
  <c r="AG105" i="14"/>
  <c r="AD105" i="14"/>
  <c r="Z105" i="14"/>
  <c r="G105" i="14" s="1"/>
  <c r="P105" i="14" s="1"/>
  <c r="V105" i="14"/>
  <c r="F105" i="14" s="1"/>
  <c r="M105" i="14"/>
  <c r="J105" i="14"/>
  <c r="O105" i="14" s="1"/>
  <c r="H105" i="14"/>
  <c r="E105" i="14"/>
  <c r="AJ104" i="14"/>
  <c r="AG104" i="14"/>
  <c r="AD104" i="14"/>
  <c r="Z104" i="14"/>
  <c r="V104" i="14"/>
  <c r="P104" i="14"/>
  <c r="O104" i="14"/>
  <c r="R104" i="14" s="1"/>
  <c r="M104" i="14"/>
  <c r="J104" i="14"/>
  <c r="L104" i="14" s="1"/>
  <c r="I104" i="14"/>
  <c r="H104" i="14"/>
  <c r="Q104" i="14" s="1"/>
  <c r="G104" i="14"/>
  <c r="F104" i="14"/>
  <c r="E104" i="14"/>
  <c r="AJ103" i="14"/>
  <c r="M103" i="14" s="1"/>
  <c r="AG103" i="14"/>
  <c r="J103" i="14" s="1"/>
  <c r="L103" i="14" s="1"/>
  <c r="AD103" i="14"/>
  <c r="Z103" i="14"/>
  <c r="G103" i="14" s="1"/>
  <c r="P103" i="14" s="1"/>
  <c r="V103" i="14"/>
  <c r="F103" i="14" s="1"/>
  <c r="I103" i="14" s="1"/>
  <c r="H103" i="14"/>
  <c r="Q103" i="14" s="1"/>
  <c r="E103" i="14"/>
  <c r="AW102" i="14"/>
  <c r="AJ102" i="14"/>
  <c r="M102" i="14" s="1"/>
  <c r="N102" i="14" s="1"/>
  <c r="AG102" i="14"/>
  <c r="J102" i="14" s="1"/>
  <c r="L102" i="14" s="1"/>
  <c r="AD102" i="14"/>
  <c r="H102" i="14" s="1"/>
  <c r="Q102" i="14" s="1"/>
  <c r="Z102" i="14"/>
  <c r="G102" i="14" s="1"/>
  <c r="P102" i="14" s="1"/>
  <c r="V102" i="14"/>
  <c r="F102" i="14" s="1"/>
  <c r="E102" i="14"/>
  <c r="AW101" i="14"/>
  <c r="AX101" i="14" s="1"/>
  <c r="AJ101" i="14"/>
  <c r="AG101" i="14"/>
  <c r="AD101" i="14"/>
  <c r="Z101" i="14"/>
  <c r="V101" i="14"/>
  <c r="F101" i="14" s="1"/>
  <c r="O101" i="14" s="1"/>
  <c r="M101" i="14"/>
  <c r="N101" i="14" s="1"/>
  <c r="L101" i="14"/>
  <c r="J101" i="14"/>
  <c r="H101" i="14"/>
  <c r="Q101" i="14" s="1"/>
  <c r="G101" i="14"/>
  <c r="P101" i="14" s="1"/>
  <c r="E101" i="14"/>
  <c r="AW100" i="14"/>
  <c r="AX100" i="14" s="1"/>
  <c r="AU100" i="14"/>
  <c r="AU101" i="14" s="1"/>
  <c r="AU102" i="14" s="1"/>
  <c r="AU103" i="14" s="1"/>
  <c r="AU104" i="14" s="1"/>
  <c r="AU105" i="14" s="1"/>
  <c r="AU106" i="14" s="1"/>
  <c r="AU107" i="14" s="1"/>
  <c r="AU108" i="14" s="1"/>
  <c r="AU109" i="14" s="1"/>
  <c r="AU110" i="14" s="1"/>
  <c r="AU111" i="14" s="1"/>
  <c r="AT100" i="14"/>
  <c r="AT101" i="14" s="1"/>
  <c r="AT102" i="14" s="1"/>
  <c r="AT103" i="14" s="1"/>
  <c r="AT104" i="14" s="1"/>
  <c r="AT105" i="14" s="1"/>
  <c r="AT106" i="14" s="1"/>
  <c r="AT107" i="14" s="1"/>
  <c r="AT108" i="14" s="1"/>
  <c r="AQ100" i="14"/>
  <c r="AQ101" i="14" s="1"/>
  <c r="AP100" i="14"/>
  <c r="AN100" i="14"/>
  <c r="AM100" i="14"/>
  <c r="AL100" i="14"/>
  <c r="AK100" i="14"/>
  <c r="AJ100" i="14"/>
  <c r="AG100" i="14"/>
  <c r="AD100" i="14"/>
  <c r="Z100" i="14"/>
  <c r="V100" i="14"/>
  <c r="N100" i="14"/>
  <c r="M100" i="14"/>
  <c r="J100" i="14"/>
  <c r="AS100" i="14" s="1"/>
  <c r="H100" i="14"/>
  <c r="Q100" i="14" s="1"/>
  <c r="G100" i="14"/>
  <c r="P100" i="14" s="1"/>
  <c r="F100" i="14"/>
  <c r="E100" i="14"/>
  <c r="AJ99" i="14"/>
  <c r="M99" i="14" s="1"/>
  <c r="N99" i="14" s="1"/>
  <c r="AG99" i="14"/>
  <c r="J99" i="14" s="1"/>
  <c r="L99" i="14" s="1"/>
  <c r="AD99" i="14"/>
  <c r="H99" i="14" s="1"/>
  <c r="Z99" i="14"/>
  <c r="G99" i="14" s="1"/>
  <c r="P99" i="14" s="1"/>
  <c r="V99" i="14"/>
  <c r="Q99" i="14"/>
  <c r="F99" i="14"/>
  <c r="E99" i="14"/>
  <c r="AJ98" i="14"/>
  <c r="AG98" i="14"/>
  <c r="AD98" i="14"/>
  <c r="H98" i="14" s="1"/>
  <c r="Z98" i="14"/>
  <c r="V98" i="14"/>
  <c r="F98" i="14" s="1"/>
  <c r="Q98" i="14"/>
  <c r="P98" i="14"/>
  <c r="M98" i="14"/>
  <c r="N98" i="14" s="1"/>
  <c r="J98" i="14"/>
  <c r="L98" i="14" s="1"/>
  <c r="G98" i="14"/>
  <c r="E98" i="14"/>
  <c r="AJ97" i="14"/>
  <c r="AG97" i="14"/>
  <c r="AD97" i="14"/>
  <c r="Z97" i="14"/>
  <c r="V97" i="14"/>
  <c r="Q97" i="14"/>
  <c r="P97" i="14"/>
  <c r="M97" i="14"/>
  <c r="N97" i="14" s="1"/>
  <c r="J97" i="14"/>
  <c r="I97" i="14"/>
  <c r="H97" i="14"/>
  <c r="G97" i="14"/>
  <c r="F97" i="14"/>
  <c r="E97" i="14"/>
  <c r="AJ96" i="14"/>
  <c r="M96" i="14" s="1"/>
  <c r="N96" i="14" s="1"/>
  <c r="AG96" i="14"/>
  <c r="J96" i="14" s="1"/>
  <c r="L96" i="14" s="1"/>
  <c r="AD96" i="14"/>
  <c r="H96" i="14" s="1"/>
  <c r="Q96" i="14" s="1"/>
  <c r="Z96" i="14"/>
  <c r="V96" i="14"/>
  <c r="P96" i="14"/>
  <c r="G96" i="14"/>
  <c r="F96" i="14"/>
  <c r="E96" i="14"/>
  <c r="AJ95" i="14"/>
  <c r="M95" i="14" s="1"/>
  <c r="AG95" i="14"/>
  <c r="J95" i="14" s="1"/>
  <c r="L95" i="14" s="1"/>
  <c r="AD95" i="14"/>
  <c r="H95" i="14" s="1"/>
  <c r="Q95" i="14" s="1"/>
  <c r="Z95" i="14"/>
  <c r="G95" i="14" s="1"/>
  <c r="P95" i="14" s="1"/>
  <c r="V95" i="14"/>
  <c r="F95" i="14" s="1"/>
  <c r="E95" i="14"/>
  <c r="AJ94" i="14"/>
  <c r="AG94" i="14"/>
  <c r="J94" i="14" s="1"/>
  <c r="L94" i="14" s="1"/>
  <c r="AD94" i="14"/>
  <c r="H94" i="14" s="1"/>
  <c r="Q94" i="14" s="1"/>
  <c r="Z94" i="14"/>
  <c r="G94" i="14" s="1"/>
  <c r="P94" i="14" s="1"/>
  <c r="V94" i="14"/>
  <c r="F94" i="14" s="1"/>
  <c r="O94" i="14" s="1"/>
  <c r="M94" i="14"/>
  <c r="N94" i="14" s="1"/>
  <c r="I94" i="14"/>
  <c r="E94" i="14"/>
  <c r="AT93" i="14"/>
  <c r="AT94" i="14" s="1"/>
  <c r="AT95" i="14" s="1"/>
  <c r="AT96" i="14" s="1"/>
  <c r="AT97" i="14" s="1"/>
  <c r="AT98" i="14" s="1"/>
  <c r="AT99" i="14" s="1"/>
  <c r="AJ93" i="14"/>
  <c r="AG93" i="14"/>
  <c r="AD93" i="14"/>
  <c r="Z93" i="14"/>
  <c r="V93" i="14"/>
  <c r="M93" i="14"/>
  <c r="J93" i="14"/>
  <c r="L93" i="14" s="1"/>
  <c r="H93" i="14"/>
  <c r="Q93" i="14" s="1"/>
  <c r="G93" i="14"/>
  <c r="P93" i="14" s="1"/>
  <c r="F93" i="14"/>
  <c r="E93" i="14"/>
  <c r="AJ92" i="14"/>
  <c r="M92" i="14" s="1"/>
  <c r="N92" i="14" s="1"/>
  <c r="AG92" i="14"/>
  <c r="J92" i="14" s="1"/>
  <c r="L92" i="14" s="1"/>
  <c r="AD92" i="14"/>
  <c r="H92" i="14" s="1"/>
  <c r="Q92" i="14" s="1"/>
  <c r="Z92" i="14"/>
  <c r="V92" i="14"/>
  <c r="F92" i="14" s="1"/>
  <c r="G92" i="14"/>
  <c r="P92" i="14" s="1"/>
  <c r="E92" i="14"/>
  <c r="AJ91" i="14"/>
  <c r="AG91" i="14"/>
  <c r="J91" i="14" s="1"/>
  <c r="L91" i="14" s="1"/>
  <c r="AD91" i="14"/>
  <c r="H91" i="14" s="1"/>
  <c r="Q91" i="14" s="1"/>
  <c r="Z91" i="14"/>
  <c r="G91" i="14" s="1"/>
  <c r="V91" i="14"/>
  <c r="F91" i="14" s="1"/>
  <c r="I91" i="14" s="1"/>
  <c r="P91" i="14"/>
  <c r="N91" i="14"/>
  <c r="M91" i="14"/>
  <c r="I438" i="13" s="1"/>
  <c r="I422" i="13" s="1"/>
  <c r="E91" i="14"/>
  <c r="AJ90" i="14"/>
  <c r="AG90" i="14"/>
  <c r="AD90" i="14"/>
  <c r="Z90" i="14"/>
  <c r="G90" i="14" s="1"/>
  <c r="V90" i="14"/>
  <c r="F90" i="14" s="1"/>
  <c r="Q90" i="14"/>
  <c r="M90" i="14"/>
  <c r="N90" i="14" s="1"/>
  <c r="J90" i="14"/>
  <c r="O90" i="14" s="1"/>
  <c r="H90" i="14"/>
  <c r="E90" i="14"/>
  <c r="AU89" i="14"/>
  <c r="AU90" i="14" s="1"/>
  <c r="AU91" i="14" s="1"/>
  <c r="AU92" i="14" s="1"/>
  <c r="AU93" i="14" s="1"/>
  <c r="AU94" i="14" s="1"/>
  <c r="AU95" i="14" s="1"/>
  <c r="AU96" i="14" s="1"/>
  <c r="AU97" i="14" s="1"/>
  <c r="AU98" i="14" s="1"/>
  <c r="AU99" i="14" s="1"/>
  <c r="AT89" i="14"/>
  <c r="AT90" i="14" s="1"/>
  <c r="AT91" i="14" s="1"/>
  <c r="AT92" i="14" s="1"/>
  <c r="AM89" i="14"/>
  <c r="AJ89" i="14"/>
  <c r="AG89" i="14"/>
  <c r="AD89" i="14"/>
  <c r="Z89" i="14"/>
  <c r="V89" i="14"/>
  <c r="N89" i="14"/>
  <c r="M89" i="14"/>
  <c r="I436" i="13" s="1"/>
  <c r="I420" i="13" s="1"/>
  <c r="J89" i="14"/>
  <c r="L89" i="14" s="1"/>
  <c r="H89" i="14"/>
  <c r="Q89" i="14" s="1"/>
  <c r="G89" i="14"/>
  <c r="P89" i="14" s="1"/>
  <c r="F89" i="14"/>
  <c r="E89" i="14"/>
  <c r="BA88" i="14"/>
  <c r="AU88" i="14"/>
  <c r="AT88" i="14"/>
  <c r="AQ88" i="14"/>
  <c r="AQ89" i="14" s="1"/>
  <c r="AP88" i="14"/>
  <c r="AP89" i="14" s="1"/>
  <c r="AO88" i="14"/>
  <c r="AR88" i="14" s="1"/>
  <c r="AM88" i="14"/>
  <c r="AL88" i="14"/>
  <c r="AZ88" i="14" s="1"/>
  <c r="AK88" i="14"/>
  <c r="AK89" i="14" s="1"/>
  <c r="AJ88" i="14"/>
  <c r="M88" i="14" s="1"/>
  <c r="AG88" i="14"/>
  <c r="J88" i="14" s="1"/>
  <c r="AD88" i="14"/>
  <c r="H88" i="14" s="1"/>
  <c r="Z88" i="14"/>
  <c r="V88" i="14"/>
  <c r="Q88" i="14"/>
  <c r="G88" i="14"/>
  <c r="P88" i="14" s="1"/>
  <c r="F88" i="14"/>
  <c r="E88" i="14"/>
  <c r="AJ87" i="14"/>
  <c r="M87" i="14" s="1"/>
  <c r="AG87" i="14"/>
  <c r="J87" i="14" s="1"/>
  <c r="AD87" i="14"/>
  <c r="H87" i="14" s="1"/>
  <c r="Q87" i="14" s="1"/>
  <c r="Z87" i="14"/>
  <c r="V87" i="14"/>
  <c r="F87" i="14" s="1"/>
  <c r="P87" i="14"/>
  <c r="G87" i="14"/>
  <c r="E87" i="14"/>
  <c r="AT86" i="14"/>
  <c r="AT87" i="14" s="1"/>
  <c r="AJ86" i="14"/>
  <c r="AG86" i="14"/>
  <c r="AD86" i="14"/>
  <c r="Z86" i="14"/>
  <c r="V86" i="14"/>
  <c r="Q86" i="14"/>
  <c r="M86" i="14"/>
  <c r="N86" i="14" s="1"/>
  <c r="L86" i="14"/>
  <c r="J86" i="14"/>
  <c r="H86" i="14"/>
  <c r="G86" i="14"/>
  <c r="P86" i="14" s="1"/>
  <c r="F86" i="14"/>
  <c r="E86" i="14"/>
  <c r="AJ85" i="14"/>
  <c r="M85" i="14" s="1"/>
  <c r="N85" i="14" s="1"/>
  <c r="AG85" i="14"/>
  <c r="AD85" i="14"/>
  <c r="Z85" i="14"/>
  <c r="V85" i="14"/>
  <c r="P85" i="14"/>
  <c r="J85" i="14"/>
  <c r="L85" i="14" s="1"/>
  <c r="H85" i="14"/>
  <c r="Q85" i="14" s="1"/>
  <c r="G85" i="14"/>
  <c r="F85" i="14"/>
  <c r="E85" i="14"/>
  <c r="AJ84" i="14"/>
  <c r="M84" i="14" s="1"/>
  <c r="N84" i="14" s="1"/>
  <c r="AG84" i="14"/>
  <c r="J84" i="14" s="1"/>
  <c r="L84" i="14" s="1"/>
  <c r="AD84" i="14"/>
  <c r="H84" i="14" s="1"/>
  <c r="Q84" i="14" s="1"/>
  <c r="Z84" i="14"/>
  <c r="G84" i="14" s="1"/>
  <c r="P84" i="14" s="1"/>
  <c r="V84" i="14"/>
  <c r="F84" i="14" s="1"/>
  <c r="E84" i="14"/>
  <c r="AJ83" i="14"/>
  <c r="AG83" i="14"/>
  <c r="J83" i="14" s="1"/>
  <c r="AD83" i="14"/>
  <c r="H83" i="14" s="1"/>
  <c r="Q83" i="14" s="1"/>
  <c r="Z83" i="14"/>
  <c r="G83" i="14" s="1"/>
  <c r="P83" i="14" s="1"/>
  <c r="V83" i="14"/>
  <c r="F83" i="14" s="1"/>
  <c r="M83" i="14"/>
  <c r="L83" i="14"/>
  <c r="E83" i="14"/>
  <c r="AJ82" i="14"/>
  <c r="AG82" i="14"/>
  <c r="AD82" i="14"/>
  <c r="Z82" i="14"/>
  <c r="V82" i="14"/>
  <c r="N82" i="14"/>
  <c r="M82" i="14"/>
  <c r="J82" i="14"/>
  <c r="L82" i="14" s="1"/>
  <c r="H82" i="14"/>
  <c r="Q82" i="14" s="1"/>
  <c r="G82" i="14"/>
  <c r="F82" i="14"/>
  <c r="E82" i="14"/>
  <c r="AJ81" i="14"/>
  <c r="M81" i="14" s="1"/>
  <c r="N81" i="14" s="1"/>
  <c r="AG81" i="14"/>
  <c r="J81" i="14" s="1"/>
  <c r="L81" i="14" s="1"/>
  <c r="AD81" i="14"/>
  <c r="Z81" i="14"/>
  <c r="V81" i="14"/>
  <c r="H81" i="14"/>
  <c r="Q81" i="14" s="1"/>
  <c r="G81" i="14"/>
  <c r="P81" i="14" s="1"/>
  <c r="F81" i="14"/>
  <c r="E81" i="14"/>
  <c r="AJ80" i="14"/>
  <c r="AG80" i="14"/>
  <c r="J80" i="14" s="1"/>
  <c r="L80" i="14" s="1"/>
  <c r="AD80" i="14"/>
  <c r="H80" i="14" s="1"/>
  <c r="Z80" i="14"/>
  <c r="G80" i="14" s="1"/>
  <c r="V80" i="14"/>
  <c r="F80" i="14" s="1"/>
  <c r="Q80" i="14"/>
  <c r="P80" i="14"/>
  <c r="M80" i="14"/>
  <c r="E80" i="14"/>
  <c r="AT79" i="14"/>
  <c r="AT80" i="14" s="1"/>
  <c r="AT81" i="14" s="1"/>
  <c r="AT82" i="14" s="1"/>
  <c r="AT83" i="14" s="1"/>
  <c r="AT84" i="14" s="1"/>
  <c r="AT85" i="14" s="1"/>
  <c r="AJ79" i="14"/>
  <c r="AG79" i="14"/>
  <c r="AD79" i="14"/>
  <c r="Z79" i="14"/>
  <c r="V79" i="14"/>
  <c r="N79" i="14"/>
  <c r="M79" i="14"/>
  <c r="J79" i="14"/>
  <c r="L79" i="14" s="1"/>
  <c r="H79" i="14"/>
  <c r="Q79" i="14" s="1"/>
  <c r="G79" i="14"/>
  <c r="P79" i="14" s="1"/>
  <c r="F79" i="14"/>
  <c r="E79" i="14"/>
  <c r="AU78" i="14"/>
  <c r="AU79" i="14" s="1"/>
  <c r="AU80" i="14" s="1"/>
  <c r="AU81" i="14" s="1"/>
  <c r="AU82" i="14" s="1"/>
  <c r="AU83" i="14" s="1"/>
  <c r="AU84" i="14" s="1"/>
  <c r="AU85" i="14" s="1"/>
  <c r="AU86" i="14" s="1"/>
  <c r="AU87" i="14" s="1"/>
  <c r="AM78" i="14"/>
  <c r="AJ78" i="14"/>
  <c r="M78" i="14" s="1"/>
  <c r="AG78" i="14"/>
  <c r="AD78" i="14"/>
  <c r="Z78" i="14"/>
  <c r="V78" i="14"/>
  <c r="J78" i="14"/>
  <c r="L78" i="14" s="1"/>
  <c r="H78" i="14"/>
  <c r="Q78" i="14" s="1"/>
  <c r="G78" i="14"/>
  <c r="P78" i="14" s="1"/>
  <c r="F78" i="14"/>
  <c r="E78" i="14"/>
  <c r="AM77" i="14"/>
  <c r="AL77" i="14"/>
  <c r="AL78" i="14" s="1"/>
  <c r="AJ77" i="14"/>
  <c r="M77" i="14" s="1"/>
  <c r="N77" i="14" s="1"/>
  <c r="AG77" i="14"/>
  <c r="J77" i="14" s="1"/>
  <c r="L77" i="14" s="1"/>
  <c r="AD77" i="14"/>
  <c r="H77" i="14" s="1"/>
  <c r="Z77" i="14"/>
  <c r="V77" i="14"/>
  <c r="Q77" i="14"/>
  <c r="G77" i="14"/>
  <c r="P77" i="14" s="1"/>
  <c r="F77" i="14"/>
  <c r="E77" i="14"/>
  <c r="AU76" i="14"/>
  <c r="AU77" i="14" s="1"/>
  <c r="AT76" i="14"/>
  <c r="AT77" i="14" s="1"/>
  <c r="AT78" i="14" s="1"/>
  <c r="AM76" i="14"/>
  <c r="AL76" i="14"/>
  <c r="AK76" i="14"/>
  <c r="AN76" i="14" s="1"/>
  <c r="AJ76" i="14"/>
  <c r="M76" i="14" s="1"/>
  <c r="AG76" i="14"/>
  <c r="J76" i="14" s="1"/>
  <c r="AD76" i="14"/>
  <c r="H76" i="14" s="1"/>
  <c r="AQ76" i="14" s="1"/>
  <c r="Z76" i="14"/>
  <c r="V76" i="14"/>
  <c r="F76" i="14" s="1"/>
  <c r="O76" i="14" s="1"/>
  <c r="Q76" i="14"/>
  <c r="R76" i="14" s="1"/>
  <c r="P76" i="14"/>
  <c r="G76" i="14"/>
  <c r="AP76" i="14" s="1"/>
  <c r="AZ76" i="14" s="1"/>
  <c r="E76" i="14"/>
  <c r="AJ75" i="14"/>
  <c r="AG75" i="14"/>
  <c r="J75" i="14" s="1"/>
  <c r="AD75" i="14"/>
  <c r="Z75" i="14"/>
  <c r="V75" i="14"/>
  <c r="M75" i="14"/>
  <c r="N75" i="14" s="1"/>
  <c r="L75" i="14"/>
  <c r="H75" i="14"/>
  <c r="Q75" i="14" s="1"/>
  <c r="G75" i="14"/>
  <c r="P75" i="14" s="1"/>
  <c r="F75" i="14"/>
  <c r="E75" i="14"/>
  <c r="AJ74" i="14"/>
  <c r="M74" i="14" s="1"/>
  <c r="N74" i="14" s="1"/>
  <c r="AG74" i="14"/>
  <c r="J74" i="14" s="1"/>
  <c r="L74" i="14" s="1"/>
  <c r="AD74" i="14"/>
  <c r="Z74" i="14"/>
  <c r="V74" i="14"/>
  <c r="P74" i="14"/>
  <c r="H74" i="14"/>
  <c r="Q74" i="14" s="1"/>
  <c r="G74" i="14"/>
  <c r="F74" i="14"/>
  <c r="E74" i="14"/>
  <c r="AJ73" i="14"/>
  <c r="M73" i="14" s="1"/>
  <c r="AG73" i="14"/>
  <c r="J73" i="14" s="1"/>
  <c r="L73" i="14" s="1"/>
  <c r="AD73" i="14"/>
  <c r="H73" i="14" s="1"/>
  <c r="Q73" i="14" s="1"/>
  <c r="Z73" i="14"/>
  <c r="G73" i="14" s="1"/>
  <c r="V73" i="14"/>
  <c r="F73" i="14" s="1"/>
  <c r="E73" i="14"/>
  <c r="AJ72" i="14"/>
  <c r="AG72" i="14"/>
  <c r="J72" i="14" s="1"/>
  <c r="L72" i="14" s="1"/>
  <c r="AD72" i="14"/>
  <c r="H72" i="14" s="1"/>
  <c r="Z72" i="14"/>
  <c r="G72" i="14" s="1"/>
  <c r="V72" i="14"/>
  <c r="F72" i="14" s="1"/>
  <c r="Q72" i="14"/>
  <c r="P72" i="14"/>
  <c r="N72" i="14"/>
  <c r="M72" i="14"/>
  <c r="G443" i="13" s="1"/>
  <c r="G427" i="13" s="1"/>
  <c r="E72" i="14"/>
  <c r="AJ71" i="14"/>
  <c r="AG71" i="14"/>
  <c r="AD71" i="14"/>
  <c r="Z71" i="14"/>
  <c r="G71" i="14" s="1"/>
  <c r="P71" i="14" s="1"/>
  <c r="V71" i="14"/>
  <c r="N71" i="14"/>
  <c r="M71" i="14"/>
  <c r="J71" i="14"/>
  <c r="L71" i="14" s="1"/>
  <c r="H71" i="14"/>
  <c r="Q71" i="14" s="1"/>
  <c r="F71" i="14"/>
  <c r="E71" i="14"/>
  <c r="AJ70" i="14"/>
  <c r="M70" i="14" s="1"/>
  <c r="AG70" i="14"/>
  <c r="J70" i="14" s="1"/>
  <c r="L70" i="14" s="1"/>
  <c r="AD70" i="14"/>
  <c r="Z70" i="14"/>
  <c r="V70" i="14"/>
  <c r="P70" i="14"/>
  <c r="H70" i="14"/>
  <c r="Q70" i="14" s="1"/>
  <c r="G70" i="14"/>
  <c r="F70" i="14"/>
  <c r="E70" i="14"/>
  <c r="AJ69" i="14"/>
  <c r="AG69" i="14"/>
  <c r="J69" i="14" s="1"/>
  <c r="L69" i="14" s="1"/>
  <c r="AD69" i="14"/>
  <c r="H69" i="14" s="1"/>
  <c r="Z69" i="14"/>
  <c r="V69" i="14"/>
  <c r="F69" i="14" s="1"/>
  <c r="O69" i="14" s="1"/>
  <c r="Q69" i="14"/>
  <c r="M69" i="14"/>
  <c r="G69" i="14"/>
  <c r="P69" i="14" s="1"/>
  <c r="E69" i="14"/>
  <c r="AJ68" i="14"/>
  <c r="AG68" i="14"/>
  <c r="AD68" i="14"/>
  <c r="Z68" i="14"/>
  <c r="G68" i="14" s="1"/>
  <c r="P68" i="14" s="1"/>
  <c r="V68" i="14"/>
  <c r="F68" i="14" s="1"/>
  <c r="I68" i="14" s="1"/>
  <c r="Q68" i="14"/>
  <c r="M68" i="14"/>
  <c r="L68" i="14"/>
  <c r="J68" i="14"/>
  <c r="H68" i="14"/>
  <c r="E68" i="14"/>
  <c r="AU67" i="14"/>
  <c r="AU68" i="14" s="1"/>
  <c r="AU69" i="14" s="1"/>
  <c r="AU70" i="14" s="1"/>
  <c r="AU71" i="14" s="1"/>
  <c r="AU72" i="14" s="1"/>
  <c r="AU73" i="14" s="1"/>
  <c r="AU74" i="14" s="1"/>
  <c r="AU75" i="14" s="1"/>
  <c r="AT67" i="14"/>
  <c r="AT68" i="14" s="1"/>
  <c r="AT69" i="14" s="1"/>
  <c r="AT70" i="14" s="1"/>
  <c r="AT71" i="14" s="1"/>
  <c r="AT72" i="14" s="1"/>
  <c r="AT73" i="14" s="1"/>
  <c r="AT74" i="14" s="1"/>
  <c r="AT75" i="14" s="1"/>
  <c r="AM67" i="14"/>
  <c r="AJ67" i="14"/>
  <c r="M67" i="14" s="1"/>
  <c r="AG67" i="14"/>
  <c r="AD67" i="14"/>
  <c r="Z67" i="14"/>
  <c r="V67" i="14"/>
  <c r="L67" i="14"/>
  <c r="J67" i="14"/>
  <c r="H67" i="14"/>
  <c r="Q67" i="14" s="1"/>
  <c r="G67" i="14"/>
  <c r="P67" i="14" s="1"/>
  <c r="F67" i="14"/>
  <c r="E67" i="14"/>
  <c r="AU66" i="14"/>
  <c r="AM66" i="14"/>
  <c r="AJ66" i="14"/>
  <c r="M66" i="14" s="1"/>
  <c r="AG66" i="14"/>
  <c r="J66" i="14" s="1"/>
  <c r="AD66" i="14"/>
  <c r="H66" i="14" s="1"/>
  <c r="Z66" i="14"/>
  <c r="V66" i="14"/>
  <c r="Q66" i="14"/>
  <c r="N66" i="14"/>
  <c r="L66" i="14"/>
  <c r="G66" i="14"/>
  <c r="P66" i="14" s="1"/>
  <c r="F66" i="14"/>
  <c r="E66" i="14"/>
  <c r="AM65" i="14"/>
  <c r="AJ65" i="14"/>
  <c r="M65" i="14" s="1"/>
  <c r="AG65" i="14"/>
  <c r="AD65" i="14"/>
  <c r="H65" i="14" s="1"/>
  <c r="Z65" i="14"/>
  <c r="V65" i="14"/>
  <c r="F65" i="14" s="1"/>
  <c r="Q65" i="14"/>
  <c r="L65" i="14"/>
  <c r="J65" i="14"/>
  <c r="G65" i="14"/>
  <c r="P65" i="14" s="1"/>
  <c r="E65" i="14"/>
  <c r="AU64" i="14"/>
  <c r="AU65" i="14" s="1"/>
  <c r="AT64" i="14"/>
  <c r="AT65" i="14" s="1"/>
  <c r="AT66" i="14" s="1"/>
  <c r="AQ64" i="14"/>
  <c r="AP64" i="14"/>
  <c r="AM64" i="14"/>
  <c r="AL64" i="14"/>
  <c r="AL65" i="14" s="1"/>
  <c r="AL66" i="14" s="1"/>
  <c r="AL67" i="14" s="1"/>
  <c r="AK64" i="14"/>
  <c r="AJ64" i="14"/>
  <c r="AG64" i="14"/>
  <c r="J64" i="14" s="1"/>
  <c r="AD64" i="14"/>
  <c r="Z64" i="14"/>
  <c r="V64" i="14"/>
  <c r="M64" i="14"/>
  <c r="H64" i="14"/>
  <c r="Q64" i="14" s="1"/>
  <c r="G64" i="14"/>
  <c r="P64" i="14" s="1"/>
  <c r="F64" i="14"/>
  <c r="E64" i="14"/>
  <c r="AJ63" i="14"/>
  <c r="M63" i="14" s="1"/>
  <c r="N63" i="14" s="1"/>
  <c r="AG63" i="14"/>
  <c r="AD63" i="14"/>
  <c r="Z63" i="14"/>
  <c r="V63" i="14"/>
  <c r="P63" i="14"/>
  <c r="L63" i="14"/>
  <c r="J63" i="14"/>
  <c r="H63" i="14"/>
  <c r="Q63" i="14" s="1"/>
  <c r="G63" i="14"/>
  <c r="F63" i="14"/>
  <c r="E63" i="14"/>
  <c r="AJ62" i="14"/>
  <c r="M62" i="14" s="1"/>
  <c r="AG62" i="14"/>
  <c r="J62" i="14" s="1"/>
  <c r="L62" i="14" s="1"/>
  <c r="AD62" i="14"/>
  <c r="Z62" i="14"/>
  <c r="G62" i="14" s="1"/>
  <c r="V62" i="14"/>
  <c r="F62" i="14" s="1"/>
  <c r="Q62" i="14"/>
  <c r="P62" i="14"/>
  <c r="H62" i="14"/>
  <c r="E62" i="14"/>
  <c r="AJ61" i="14"/>
  <c r="AG61" i="14"/>
  <c r="J61" i="14" s="1"/>
  <c r="L61" i="14" s="1"/>
  <c r="AD61" i="14"/>
  <c r="H61" i="14" s="1"/>
  <c r="Z61" i="14"/>
  <c r="G61" i="14" s="1"/>
  <c r="P61" i="14" s="1"/>
  <c r="V61" i="14"/>
  <c r="F61" i="14" s="1"/>
  <c r="Q61" i="14"/>
  <c r="M61" i="14"/>
  <c r="N61" i="14" s="1"/>
  <c r="E61" i="14"/>
  <c r="AJ60" i="14"/>
  <c r="AG60" i="14"/>
  <c r="AD60" i="14"/>
  <c r="Z60" i="14"/>
  <c r="V60" i="14"/>
  <c r="M60" i="14"/>
  <c r="J60" i="14"/>
  <c r="L60" i="14" s="1"/>
  <c r="H60" i="14"/>
  <c r="Q60" i="14" s="1"/>
  <c r="G60" i="14"/>
  <c r="P60" i="14" s="1"/>
  <c r="F60" i="14"/>
  <c r="E60" i="14"/>
  <c r="AJ59" i="14"/>
  <c r="AG59" i="14"/>
  <c r="J59" i="14" s="1"/>
  <c r="L59" i="14" s="1"/>
  <c r="AD59" i="14"/>
  <c r="Z59" i="14"/>
  <c r="V59" i="14"/>
  <c r="M59" i="14"/>
  <c r="H59" i="14"/>
  <c r="Q59" i="14" s="1"/>
  <c r="G59" i="14"/>
  <c r="P59" i="14" s="1"/>
  <c r="F59" i="14"/>
  <c r="E59" i="14"/>
  <c r="AJ58" i="14"/>
  <c r="M58" i="14" s="1"/>
  <c r="AG58" i="14"/>
  <c r="J58" i="14" s="1"/>
  <c r="L58" i="14" s="1"/>
  <c r="AD58" i="14"/>
  <c r="H58" i="14" s="1"/>
  <c r="Z58" i="14"/>
  <c r="G58" i="14" s="1"/>
  <c r="V58" i="14"/>
  <c r="F58" i="14" s="1"/>
  <c r="Q58" i="14"/>
  <c r="P58" i="14"/>
  <c r="E58" i="14"/>
  <c r="AU57" i="14"/>
  <c r="AU58" i="14" s="1"/>
  <c r="AU59" i="14" s="1"/>
  <c r="AU60" i="14" s="1"/>
  <c r="AU61" i="14" s="1"/>
  <c r="AU62" i="14" s="1"/>
  <c r="AU63" i="14" s="1"/>
  <c r="AJ57" i="14"/>
  <c r="AG57" i="14"/>
  <c r="AD57" i="14"/>
  <c r="Z57" i="14"/>
  <c r="V57" i="14"/>
  <c r="Q57" i="14"/>
  <c r="N57" i="14"/>
  <c r="M57" i="14"/>
  <c r="J57" i="14"/>
  <c r="L57" i="14" s="1"/>
  <c r="H57" i="14"/>
  <c r="G57" i="14"/>
  <c r="P57" i="14" s="1"/>
  <c r="F57" i="14"/>
  <c r="E57" i="14"/>
  <c r="AM56" i="14"/>
  <c r="AM57" i="14" s="1"/>
  <c r="AJ56" i="14"/>
  <c r="AG56" i="14"/>
  <c r="AD56" i="14"/>
  <c r="Z56" i="14"/>
  <c r="G56" i="14" s="1"/>
  <c r="P56" i="14" s="1"/>
  <c r="V56" i="14"/>
  <c r="Q56" i="14"/>
  <c r="N56" i="14"/>
  <c r="M56" i="14"/>
  <c r="F439" i="13" s="1"/>
  <c r="F423" i="13" s="1"/>
  <c r="J56" i="14"/>
  <c r="L56" i="14" s="1"/>
  <c r="H56" i="14"/>
  <c r="F56" i="14"/>
  <c r="E56" i="14"/>
  <c r="AU55" i="14"/>
  <c r="AU56" i="14" s="1"/>
  <c r="AM55" i="14"/>
  <c r="AJ55" i="14"/>
  <c r="M55" i="14" s="1"/>
  <c r="AG55" i="14"/>
  <c r="AD55" i="14"/>
  <c r="H55" i="14" s="1"/>
  <c r="Z55" i="14"/>
  <c r="V55" i="14"/>
  <c r="Q55" i="14"/>
  <c r="N55" i="14"/>
  <c r="J55" i="14"/>
  <c r="L55" i="14" s="1"/>
  <c r="G55" i="14"/>
  <c r="P55" i="14" s="1"/>
  <c r="F55" i="14"/>
  <c r="E55" i="14"/>
  <c r="AJ54" i="14"/>
  <c r="AG54" i="14"/>
  <c r="J54" i="14" s="1"/>
  <c r="AD54" i="14"/>
  <c r="H54" i="14" s="1"/>
  <c r="Z54" i="14"/>
  <c r="V54" i="14"/>
  <c r="F54" i="14" s="1"/>
  <c r="Q54" i="14"/>
  <c r="N54" i="14"/>
  <c r="M54" i="14"/>
  <c r="F437" i="13" s="1"/>
  <c r="F421" i="13" s="1"/>
  <c r="G54" i="14"/>
  <c r="P54" i="14" s="1"/>
  <c r="E54" i="14"/>
  <c r="AK53" i="14"/>
  <c r="AJ53" i="14"/>
  <c r="AG53" i="14"/>
  <c r="J53" i="14" s="1"/>
  <c r="L53" i="14" s="1"/>
  <c r="AD53" i="14"/>
  <c r="H53" i="14" s="1"/>
  <c r="Z53" i="14"/>
  <c r="V53" i="14"/>
  <c r="N53" i="14"/>
  <c r="M53" i="14"/>
  <c r="G53" i="14"/>
  <c r="P53" i="14" s="1"/>
  <c r="F53" i="14"/>
  <c r="E53" i="14"/>
  <c r="AU52" i="14"/>
  <c r="AU53" i="14" s="1"/>
  <c r="AU54" i="14" s="1"/>
  <c r="AT52" i="14"/>
  <c r="AT53" i="14" s="1"/>
  <c r="AT54" i="14" s="1"/>
  <c r="AT55" i="14" s="1"/>
  <c r="AT56" i="14" s="1"/>
  <c r="AT57" i="14" s="1"/>
  <c r="AT58" i="14" s="1"/>
  <c r="AT59" i="14" s="1"/>
  <c r="AT60" i="14" s="1"/>
  <c r="AT61" i="14" s="1"/>
  <c r="AT62" i="14" s="1"/>
  <c r="AT63" i="14" s="1"/>
  <c r="AR52" i="14"/>
  <c r="AQ52" i="14"/>
  <c r="BA52" i="14" s="1"/>
  <c r="AP52" i="14"/>
  <c r="AP53" i="14" s="1"/>
  <c r="AO52" i="14"/>
  <c r="AM52" i="14"/>
  <c r="AM53" i="14" s="1"/>
  <c r="AM54" i="14" s="1"/>
  <c r="AL52" i="14"/>
  <c r="AK52" i="14"/>
  <c r="AJ52" i="14"/>
  <c r="M52" i="14" s="1"/>
  <c r="AG52" i="14"/>
  <c r="AD52" i="14"/>
  <c r="Z52" i="14"/>
  <c r="V52" i="14"/>
  <c r="P52" i="14"/>
  <c r="J52" i="14"/>
  <c r="I52" i="14"/>
  <c r="H52" i="14"/>
  <c r="Q52" i="14" s="1"/>
  <c r="G52" i="14"/>
  <c r="F52" i="14"/>
  <c r="E52" i="14"/>
  <c r="AJ51" i="14"/>
  <c r="M51" i="14" s="1"/>
  <c r="AG51" i="14"/>
  <c r="AD51" i="14"/>
  <c r="H51" i="14" s="1"/>
  <c r="Q51" i="14" s="1"/>
  <c r="Z51" i="14"/>
  <c r="G51" i="14" s="1"/>
  <c r="P51" i="14" s="1"/>
  <c r="V51" i="14"/>
  <c r="F51" i="14" s="1"/>
  <c r="O51" i="14"/>
  <c r="R51" i="14" s="1"/>
  <c r="N51" i="14"/>
  <c r="J51" i="14"/>
  <c r="L51" i="14" s="1"/>
  <c r="E51" i="14"/>
  <c r="AJ50" i="14"/>
  <c r="M50" i="14" s="1"/>
  <c r="E445" i="13" s="1"/>
  <c r="E429" i="13" s="1"/>
  <c r="AG50" i="14"/>
  <c r="AD50" i="14"/>
  <c r="Z50" i="14"/>
  <c r="V50" i="14"/>
  <c r="L50" i="14"/>
  <c r="J50" i="14"/>
  <c r="H50" i="14"/>
  <c r="Q50" i="14" s="1"/>
  <c r="G50" i="14"/>
  <c r="P50" i="14" s="1"/>
  <c r="F50" i="14"/>
  <c r="E50" i="14"/>
  <c r="AU49" i="14"/>
  <c r="AU50" i="14" s="1"/>
  <c r="AU51" i="14" s="1"/>
  <c r="AJ49" i="14"/>
  <c r="M49" i="14" s="1"/>
  <c r="AG49" i="14"/>
  <c r="AD49" i="14"/>
  <c r="Z49" i="14"/>
  <c r="G49" i="14" s="1"/>
  <c r="P49" i="14" s="1"/>
  <c r="V49" i="14"/>
  <c r="F49" i="14" s="1"/>
  <c r="Q49" i="14"/>
  <c r="L49" i="14"/>
  <c r="J49" i="14"/>
  <c r="I49" i="14"/>
  <c r="H49" i="14"/>
  <c r="E49" i="14"/>
  <c r="AJ48" i="14"/>
  <c r="M48" i="14" s="1"/>
  <c r="AG48" i="14"/>
  <c r="J48" i="14" s="1"/>
  <c r="AD48" i="14"/>
  <c r="H48" i="14" s="1"/>
  <c r="Z48" i="14"/>
  <c r="G48" i="14" s="1"/>
  <c r="P48" i="14" s="1"/>
  <c r="V48" i="14"/>
  <c r="F48" i="14" s="1"/>
  <c r="E48" i="14"/>
  <c r="AJ47" i="14"/>
  <c r="AG47" i="14"/>
  <c r="AD47" i="14"/>
  <c r="H47" i="14" s="1"/>
  <c r="Q47" i="14" s="1"/>
  <c r="Z47" i="14"/>
  <c r="V47" i="14"/>
  <c r="F47" i="14" s="1"/>
  <c r="O47" i="14"/>
  <c r="R47" i="14" s="1"/>
  <c r="N47" i="14"/>
  <c r="M47" i="14"/>
  <c r="J47" i="14"/>
  <c r="L47" i="14" s="1"/>
  <c r="G47" i="14"/>
  <c r="P47" i="14" s="1"/>
  <c r="E47" i="14"/>
  <c r="AJ46" i="14"/>
  <c r="M46" i="14" s="1"/>
  <c r="N46" i="14" s="1"/>
  <c r="AG46" i="14"/>
  <c r="AD46" i="14"/>
  <c r="H46" i="14" s="1"/>
  <c r="Q46" i="14" s="1"/>
  <c r="Z46" i="14"/>
  <c r="G46" i="14" s="1"/>
  <c r="V46" i="14"/>
  <c r="J46" i="14"/>
  <c r="L46" i="14" s="1"/>
  <c r="F46" i="14"/>
  <c r="E46" i="14"/>
  <c r="AJ45" i="14"/>
  <c r="AG45" i="14"/>
  <c r="AD45" i="14"/>
  <c r="H45" i="14" s="1"/>
  <c r="Z45" i="14"/>
  <c r="G45" i="14" s="1"/>
  <c r="V45" i="14"/>
  <c r="F45" i="14" s="1"/>
  <c r="Q45" i="14"/>
  <c r="P45" i="14"/>
  <c r="M45" i="14"/>
  <c r="N45" i="14" s="1"/>
  <c r="J45" i="14"/>
  <c r="L45" i="14" s="1"/>
  <c r="E45" i="14"/>
  <c r="AJ44" i="14"/>
  <c r="AG44" i="14"/>
  <c r="J44" i="14" s="1"/>
  <c r="AD44" i="14"/>
  <c r="H44" i="14" s="1"/>
  <c r="Z44" i="14"/>
  <c r="G44" i="14" s="1"/>
  <c r="V44" i="14"/>
  <c r="F44" i="14" s="1"/>
  <c r="Q44" i="14"/>
  <c r="P44" i="14"/>
  <c r="M44" i="14"/>
  <c r="E439" i="13" s="1"/>
  <c r="E423" i="13" s="1"/>
  <c r="E44" i="14"/>
  <c r="AJ43" i="14"/>
  <c r="AG43" i="14"/>
  <c r="AD43" i="14"/>
  <c r="Z43" i="14"/>
  <c r="V43" i="14"/>
  <c r="N43" i="14"/>
  <c r="M43" i="14"/>
  <c r="L43" i="14"/>
  <c r="J43" i="14"/>
  <c r="H43" i="14"/>
  <c r="Q43" i="14" s="1"/>
  <c r="G43" i="14"/>
  <c r="P43" i="14" s="1"/>
  <c r="F43" i="14"/>
  <c r="E43" i="14"/>
  <c r="AJ42" i="14"/>
  <c r="M42" i="14" s="1"/>
  <c r="E437" i="13" s="1"/>
  <c r="E421" i="13" s="1"/>
  <c r="AG42" i="14"/>
  <c r="AD42" i="14"/>
  <c r="H42" i="14" s="1"/>
  <c r="Z42" i="14"/>
  <c r="V42" i="14"/>
  <c r="Q42" i="14"/>
  <c r="N42" i="14"/>
  <c r="L42" i="14"/>
  <c r="J42" i="14"/>
  <c r="G42" i="14"/>
  <c r="P42" i="14" s="1"/>
  <c r="F42" i="14"/>
  <c r="E42" i="14"/>
  <c r="AM41" i="14"/>
  <c r="AJ41" i="14"/>
  <c r="M41" i="14" s="1"/>
  <c r="N41" i="14" s="1"/>
  <c r="AG41" i="14"/>
  <c r="J41" i="14" s="1"/>
  <c r="L41" i="14" s="1"/>
  <c r="AD41" i="14"/>
  <c r="H41" i="14" s="1"/>
  <c r="Q41" i="14" s="1"/>
  <c r="Z41" i="14"/>
  <c r="G41" i="14" s="1"/>
  <c r="P41" i="14" s="1"/>
  <c r="V41" i="14"/>
  <c r="F41" i="14"/>
  <c r="E41" i="14"/>
  <c r="AW40" i="14"/>
  <c r="AW41" i="14" s="1"/>
  <c r="AU40" i="14"/>
  <c r="AU41" i="14" s="1"/>
  <c r="AU42" i="14" s="1"/>
  <c r="AU43" i="14" s="1"/>
  <c r="AU44" i="14" s="1"/>
  <c r="AU45" i="14" s="1"/>
  <c r="AU46" i="14" s="1"/>
  <c r="AU47" i="14" s="1"/>
  <c r="AU48" i="14" s="1"/>
  <c r="AT40" i="14"/>
  <c r="AT41" i="14" s="1"/>
  <c r="AT42" i="14" s="1"/>
  <c r="AT43" i="14" s="1"/>
  <c r="AT44" i="14" s="1"/>
  <c r="AT45" i="14" s="1"/>
  <c r="AT46" i="14" s="1"/>
  <c r="AT47" i="14" s="1"/>
  <c r="AT48" i="14" s="1"/>
  <c r="AT49" i="14" s="1"/>
  <c r="AT50" i="14" s="1"/>
  <c r="AT51" i="14" s="1"/>
  <c r="AM40" i="14"/>
  <c r="AL40" i="14"/>
  <c r="AK40" i="14"/>
  <c r="AK41" i="14" s="1"/>
  <c r="AJ40" i="14"/>
  <c r="AG40" i="14"/>
  <c r="AD40" i="14"/>
  <c r="Z40" i="14"/>
  <c r="V40" i="14"/>
  <c r="F40" i="14" s="1"/>
  <c r="N40" i="14"/>
  <c r="M40" i="14"/>
  <c r="J40" i="14"/>
  <c r="H40" i="14"/>
  <c r="G40" i="14"/>
  <c r="E40" i="14"/>
  <c r="AG39" i="14"/>
  <c r="J39" i="14" s="1"/>
  <c r="L39" i="14" s="1"/>
  <c r="AD39" i="14"/>
  <c r="H39" i="14" s="1"/>
  <c r="Z39" i="14"/>
  <c r="G39" i="14" s="1"/>
  <c r="P39" i="14" s="1"/>
  <c r="V39" i="14"/>
  <c r="F39" i="14" s="1"/>
  <c r="Q39" i="14"/>
  <c r="E39" i="14"/>
  <c r="AJ38" i="14"/>
  <c r="AI38" i="14"/>
  <c r="AG38" i="14"/>
  <c r="AD38" i="14"/>
  <c r="H38" i="14" s="1"/>
  <c r="Q38" i="14" s="1"/>
  <c r="Z38" i="14"/>
  <c r="V38" i="14"/>
  <c r="P38" i="14"/>
  <c r="M38" i="14"/>
  <c r="N38" i="14" s="1"/>
  <c r="J38" i="14"/>
  <c r="L38" i="14" s="1"/>
  <c r="I38" i="14"/>
  <c r="G38" i="14"/>
  <c r="F38" i="14"/>
  <c r="E38" i="14"/>
  <c r="AI37" i="14"/>
  <c r="AJ37" i="14" s="1"/>
  <c r="M37" i="14" s="1"/>
  <c r="AG37" i="14"/>
  <c r="AD37" i="14"/>
  <c r="Z37" i="14"/>
  <c r="G37" i="14" s="1"/>
  <c r="P37" i="14" s="1"/>
  <c r="V37" i="14"/>
  <c r="F37" i="14" s="1"/>
  <c r="I37" i="14" s="1"/>
  <c r="Q37" i="14"/>
  <c r="L37" i="14"/>
  <c r="J37" i="14"/>
  <c r="H37" i="14"/>
  <c r="E37" i="14"/>
  <c r="AT36" i="14"/>
  <c r="AT37" i="14" s="1"/>
  <c r="AT38" i="14" s="1"/>
  <c r="AT39" i="14" s="1"/>
  <c r="AI36" i="14"/>
  <c r="AJ36" i="14" s="1"/>
  <c r="M36" i="14" s="1"/>
  <c r="N36" i="14" s="1"/>
  <c r="AG36" i="14"/>
  <c r="AD36" i="14"/>
  <c r="Z36" i="14"/>
  <c r="V36" i="14"/>
  <c r="Q36" i="14"/>
  <c r="L36" i="14"/>
  <c r="J36" i="14"/>
  <c r="H36" i="14"/>
  <c r="G36" i="14"/>
  <c r="P36" i="14" s="1"/>
  <c r="F36" i="14"/>
  <c r="E36" i="14"/>
  <c r="AG35" i="14"/>
  <c r="J35" i="14" s="1"/>
  <c r="L35" i="14" s="1"/>
  <c r="AD35" i="14"/>
  <c r="H35" i="14" s="1"/>
  <c r="Q35" i="14" s="1"/>
  <c r="Z35" i="14"/>
  <c r="G35" i="14" s="1"/>
  <c r="P35" i="14" s="1"/>
  <c r="V35" i="14"/>
  <c r="F35" i="14" s="1"/>
  <c r="E35" i="14"/>
  <c r="AJ34" i="14"/>
  <c r="M34" i="14" s="1"/>
  <c r="AG34" i="14"/>
  <c r="AI34" i="14" s="1"/>
  <c r="AD34" i="14"/>
  <c r="Z34" i="14"/>
  <c r="V34" i="14"/>
  <c r="F34" i="14" s="1"/>
  <c r="J34" i="14"/>
  <c r="L34" i="14" s="1"/>
  <c r="H34" i="14"/>
  <c r="Q34" i="14" s="1"/>
  <c r="G34" i="14"/>
  <c r="P34" i="14" s="1"/>
  <c r="E34" i="14"/>
  <c r="AJ33" i="14"/>
  <c r="M33" i="14" s="1"/>
  <c r="AG33" i="14"/>
  <c r="AI33" i="14" s="1"/>
  <c r="AD33" i="14"/>
  <c r="H33" i="14" s="1"/>
  <c r="Q33" i="14" s="1"/>
  <c r="Z33" i="14"/>
  <c r="V33" i="14"/>
  <c r="P33" i="14"/>
  <c r="G33" i="14"/>
  <c r="F33" i="14"/>
  <c r="I33" i="14" s="1"/>
  <c r="E33" i="14"/>
  <c r="AG32" i="14"/>
  <c r="AI32" i="14" s="1"/>
  <c r="AJ32" i="14" s="1"/>
  <c r="M32" i="14" s="1"/>
  <c r="AD32" i="14"/>
  <c r="Z32" i="14"/>
  <c r="V32" i="14"/>
  <c r="J32" i="14"/>
  <c r="L32" i="14" s="1"/>
  <c r="H32" i="14"/>
  <c r="Q32" i="14" s="1"/>
  <c r="G32" i="14"/>
  <c r="P32" i="14" s="1"/>
  <c r="F32" i="14"/>
  <c r="E32" i="14"/>
  <c r="AI31" i="14"/>
  <c r="AJ31" i="14" s="1"/>
  <c r="AG31" i="14"/>
  <c r="J31" i="14" s="1"/>
  <c r="AD31" i="14"/>
  <c r="Z31" i="14"/>
  <c r="G31" i="14" s="1"/>
  <c r="V31" i="14"/>
  <c r="F31" i="14" s="1"/>
  <c r="O31" i="14" s="1"/>
  <c r="R31" i="14" s="1"/>
  <c r="P31" i="14"/>
  <c r="M31" i="14"/>
  <c r="L31" i="14"/>
  <c r="I31" i="14"/>
  <c r="H31" i="14"/>
  <c r="Q31" i="14" s="1"/>
  <c r="E31" i="14"/>
  <c r="AT30" i="14"/>
  <c r="AT31" i="14" s="1"/>
  <c r="AT32" i="14" s="1"/>
  <c r="AT33" i="14" s="1"/>
  <c r="AT34" i="14" s="1"/>
  <c r="AT35" i="14" s="1"/>
  <c r="AG30" i="14"/>
  <c r="AD30" i="14"/>
  <c r="H30" i="14" s="1"/>
  <c r="Q30" i="14" s="1"/>
  <c r="Z30" i="14"/>
  <c r="G30" i="14" s="1"/>
  <c r="P30" i="14" s="1"/>
  <c r="V30" i="14"/>
  <c r="F30" i="14" s="1"/>
  <c r="E30" i="14"/>
  <c r="AU29" i="14"/>
  <c r="AU30" i="14" s="1"/>
  <c r="AU31" i="14" s="1"/>
  <c r="AU32" i="14" s="1"/>
  <c r="AU33" i="14" s="1"/>
  <c r="AU34" i="14" s="1"/>
  <c r="AU35" i="14" s="1"/>
  <c r="AU36" i="14" s="1"/>
  <c r="AU37" i="14" s="1"/>
  <c r="AU38" i="14" s="1"/>
  <c r="AU39" i="14" s="1"/>
  <c r="AT29" i="14"/>
  <c r="AG29" i="14"/>
  <c r="AD29" i="14"/>
  <c r="Z29" i="14"/>
  <c r="G29" i="14" s="1"/>
  <c r="P29" i="14" s="1"/>
  <c r="V29" i="14"/>
  <c r="F29" i="14" s="1"/>
  <c r="H29" i="14"/>
  <c r="Q29" i="14" s="1"/>
  <c r="E29" i="14"/>
  <c r="AU28" i="14"/>
  <c r="AT28" i="14"/>
  <c r="AM28" i="14"/>
  <c r="AL28" i="14"/>
  <c r="AK28" i="14"/>
  <c r="AI28" i="14"/>
  <c r="AJ28" i="14" s="1"/>
  <c r="M28" i="14" s="1"/>
  <c r="AG28" i="14"/>
  <c r="J28" i="14" s="1"/>
  <c r="AD28" i="14"/>
  <c r="H28" i="14" s="1"/>
  <c r="Z28" i="14"/>
  <c r="G28" i="14" s="1"/>
  <c r="V28" i="14"/>
  <c r="F28" i="14"/>
  <c r="E28" i="14"/>
  <c r="AG27" i="14"/>
  <c r="AI27" i="14" s="1"/>
  <c r="AJ27" i="14" s="1"/>
  <c r="M27" i="14" s="1"/>
  <c r="AD27" i="14"/>
  <c r="H27" i="14" s="1"/>
  <c r="Z27" i="14"/>
  <c r="V27" i="14"/>
  <c r="Q27" i="14"/>
  <c r="J27" i="14"/>
  <c r="L27" i="14" s="1"/>
  <c r="G27" i="14"/>
  <c r="P27" i="14" s="1"/>
  <c r="F27" i="14"/>
  <c r="E27" i="14"/>
  <c r="AI26" i="14"/>
  <c r="AJ26" i="14" s="1"/>
  <c r="M26" i="14" s="1"/>
  <c r="AG26" i="14"/>
  <c r="AD26" i="14"/>
  <c r="Z26" i="14"/>
  <c r="V26" i="14"/>
  <c r="F26" i="14" s="1"/>
  <c r="Q26" i="14"/>
  <c r="J26" i="14"/>
  <c r="L26" i="14" s="1"/>
  <c r="H26" i="14"/>
  <c r="G26" i="14"/>
  <c r="P26" i="14" s="1"/>
  <c r="E26" i="14"/>
  <c r="AI25" i="14"/>
  <c r="AJ25" i="14" s="1"/>
  <c r="M25" i="14" s="1"/>
  <c r="AG25" i="14"/>
  <c r="AD25" i="14"/>
  <c r="Z25" i="14"/>
  <c r="V25" i="14"/>
  <c r="J25" i="14"/>
  <c r="L25" i="14" s="1"/>
  <c r="H25" i="14"/>
  <c r="Q25" i="14" s="1"/>
  <c r="G25" i="14"/>
  <c r="P25" i="14" s="1"/>
  <c r="F25" i="14"/>
  <c r="E25" i="14"/>
  <c r="AG24" i="14"/>
  <c r="J24" i="14" s="1"/>
  <c r="L24" i="14" s="1"/>
  <c r="AD24" i="14"/>
  <c r="H24" i="14" s="1"/>
  <c r="Q24" i="14" s="1"/>
  <c r="Z24" i="14"/>
  <c r="G24" i="14" s="1"/>
  <c r="P24" i="14" s="1"/>
  <c r="V24" i="14"/>
  <c r="F24" i="14" s="1"/>
  <c r="E24" i="14"/>
  <c r="AI23" i="14"/>
  <c r="AJ23" i="14" s="1"/>
  <c r="M23" i="14" s="1"/>
  <c r="AG23" i="14"/>
  <c r="AD23" i="14"/>
  <c r="Z23" i="14"/>
  <c r="V23" i="14"/>
  <c r="F23" i="14" s="1"/>
  <c r="Q23" i="14"/>
  <c r="O23" i="14"/>
  <c r="R23" i="14" s="1"/>
  <c r="N23" i="14"/>
  <c r="J23" i="14"/>
  <c r="L23" i="14" s="1"/>
  <c r="H23" i="14"/>
  <c r="G23" i="14"/>
  <c r="P23" i="14" s="1"/>
  <c r="E23" i="14"/>
  <c r="AG22" i="14"/>
  <c r="AI22" i="14" s="1"/>
  <c r="AJ22" i="14" s="1"/>
  <c r="AD22" i="14"/>
  <c r="H22" i="14" s="1"/>
  <c r="Q22" i="14" s="1"/>
  <c r="Z22" i="14"/>
  <c r="V22" i="14"/>
  <c r="P22" i="14"/>
  <c r="M22" i="14"/>
  <c r="G22" i="14"/>
  <c r="F22" i="14"/>
  <c r="E22" i="14"/>
  <c r="AI21" i="14"/>
  <c r="AJ21" i="14" s="1"/>
  <c r="M21" i="14" s="1"/>
  <c r="AG21" i="14"/>
  <c r="AD21" i="14"/>
  <c r="Z21" i="14"/>
  <c r="V21" i="14"/>
  <c r="Q21" i="14"/>
  <c r="L21" i="14"/>
  <c r="J21" i="14"/>
  <c r="H21" i="14"/>
  <c r="G21" i="14"/>
  <c r="P21" i="14" s="1"/>
  <c r="F21" i="14"/>
  <c r="E21" i="14"/>
  <c r="AG20" i="14"/>
  <c r="AD20" i="14"/>
  <c r="H20" i="14" s="1"/>
  <c r="Z20" i="14"/>
  <c r="G20" i="14" s="1"/>
  <c r="V20" i="14"/>
  <c r="F20" i="14" s="1"/>
  <c r="I20" i="14" s="1"/>
  <c r="Q20" i="14"/>
  <c r="P20" i="14"/>
  <c r="E20" i="14"/>
  <c r="AM19" i="14"/>
  <c r="AJ19" i="14"/>
  <c r="AG19" i="14"/>
  <c r="AI19" i="14" s="1"/>
  <c r="AD19" i="14"/>
  <c r="Z19" i="14"/>
  <c r="G19" i="14" s="1"/>
  <c r="V19" i="14"/>
  <c r="P19" i="14"/>
  <c r="M19" i="14"/>
  <c r="N19" i="14" s="1"/>
  <c r="J19" i="14"/>
  <c r="L19" i="14" s="1"/>
  <c r="I19" i="14"/>
  <c r="H19" i="14"/>
  <c r="Q19" i="14" s="1"/>
  <c r="F19" i="14"/>
  <c r="E19" i="14"/>
  <c r="AM18" i="14"/>
  <c r="AG18" i="14"/>
  <c r="J18" i="14" s="1"/>
  <c r="L18" i="14" s="1"/>
  <c r="AD18" i="14"/>
  <c r="H18" i="14" s="1"/>
  <c r="Q18" i="14" s="1"/>
  <c r="Z18" i="14"/>
  <c r="G18" i="14" s="1"/>
  <c r="P18" i="14" s="1"/>
  <c r="V18" i="14"/>
  <c r="F18" i="14" s="1"/>
  <c r="E18" i="14"/>
  <c r="AU17" i="14"/>
  <c r="AU18" i="14" s="1"/>
  <c r="AU19" i="14" s="1"/>
  <c r="AU20" i="14" s="1"/>
  <c r="AU21" i="14" s="1"/>
  <c r="AU22" i="14" s="1"/>
  <c r="AU23" i="14" s="1"/>
  <c r="AU24" i="14" s="1"/>
  <c r="AU25" i="14" s="1"/>
  <c r="AU26" i="14" s="1"/>
  <c r="AU27" i="14" s="1"/>
  <c r="AT17" i="14"/>
  <c r="AT18" i="14" s="1"/>
  <c r="AT19" i="14" s="1"/>
  <c r="AT20" i="14" s="1"/>
  <c r="AT21" i="14" s="1"/>
  <c r="AT22" i="14" s="1"/>
  <c r="AT23" i="14" s="1"/>
  <c r="AT24" i="14" s="1"/>
  <c r="AT25" i="14" s="1"/>
  <c r="AT26" i="14" s="1"/>
  <c r="AT27" i="14" s="1"/>
  <c r="AQ17" i="14"/>
  <c r="AM17" i="14"/>
  <c r="AG17" i="14"/>
  <c r="AD17" i="14"/>
  <c r="Z17" i="14"/>
  <c r="V17" i="14"/>
  <c r="H17" i="14"/>
  <c r="Q17" i="14" s="1"/>
  <c r="G17" i="14"/>
  <c r="F17" i="14"/>
  <c r="I17" i="14" s="1"/>
  <c r="E17" i="14"/>
  <c r="AU16" i="14"/>
  <c r="AT16" i="14"/>
  <c r="AQ16" i="14"/>
  <c r="BA16" i="14" s="1"/>
  <c r="AP16" i="14"/>
  <c r="AN16" i="14"/>
  <c r="AM16" i="14"/>
  <c r="AL16" i="14"/>
  <c r="AK16" i="14"/>
  <c r="AG16" i="14"/>
  <c r="AD16" i="14"/>
  <c r="Z16" i="14"/>
  <c r="V16" i="14"/>
  <c r="P16" i="14"/>
  <c r="H16" i="14"/>
  <c r="Q16" i="14" s="1"/>
  <c r="G16" i="14"/>
  <c r="F16" i="14"/>
  <c r="E16" i="14"/>
  <c r="AG15" i="14"/>
  <c r="J15" i="14" s="1"/>
  <c r="L15" i="14" s="1"/>
  <c r="AD15" i="14"/>
  <c r="Z15" i="14"/>
  <c r="G15" i="14" s="1"/>
  <c r="P15" i="14" s="1"/>
  <c r="V15" i="14"/>
  <c r="F15" i="14" s="1"/>
  <c r="Q15" i="14"/>
  <c r="H15" i="14"/>
  <c r="E15" i="14"/>
  <c r="AI14" i="14"/>
  <c r="AJ14" i="14" s="1"/>
  <c r="AG14" i="14"/>
  <c r="AD14" i="14"/>
  <c r="Z14" i="14"/>
  <c r="V14" i="14"/>
  <c r="Q14" i="14"/>
  <c r="M14" i="14"/>
  <c r="J14" i="14"/>
  <c r="L14" i="14" s="1"/>
  <c r="I14" i="14"/>
  <c r="H14" i="14"/>
  <c r="G14" i="14"/>
  <c r="P14" i="14" s="1"/>
  <c r="F14" i="14"/>
  <c r="E14" i="14"/>
  <c r="AJ13" i="14"/>
  <c r="M13" i="14" s="1"/>
  <c r="AI13" i="14"/>
  <c r="AG13" i="14"/>
  <c r="J13" i="14" s="1"/>
  <c r="L13" i="14" s="1"/>
  <c r="AD13" i="14"/>
  <c r="H13" i="14" s="1"/>
  <c r="Q13" i="14" s="1"/>
  <c r="Z13" i="14"/>
  <c r="G13" i="14" s="1"/>
  <c r="P13" i="14" s="1"/>
  <c r="V13" i="14"/>
  <c r="F13" i="14" s="1"/>
  <c r="E13" i="14"/>
  <c r="AI12" i="14"/>
  <c r="AJ12" i="14" s="1"/>
  <c r="AG12" i="14"/>
  <c r="AD12" i="14"/>
  <c r="Z12" i="14"/>
  <c r="V12" i="14"/>
  <c r="F12" i="14" s="1"/>
  <c r="Q12" i="14"/>
  <c r="M12" i="14"/>
  <c r="B443" i="13" s="1"/>
  <c r="B427" i="13" s="1"/>
  <c r="J12" i="14"/>
  <c r="L12" i="14" s="1"/>
  <c r="H12" i="14"/>
  <c r="G12" i="14"/>
  <c r="P12" i="14" s="1"/>
  <c r="E12" i="14"/>
  <c r="AG11" i="14"/>
  <c r="AI11" i="14" s="1"/>
  <c r="AJ11" i="14" s="1"/>
  <c r="M11" i="14" s="1"/>
  <c r="AD11" i="14"/>
  <c r="Z11" i="14"/>
  <c r="V11" i="14"/>
  <c r="J11" i="14"/>
  <c r="L11" i="14" s="1"/>
  <c r="H11" i="14"/>
  <c r="Q11" i="14" s="1"/>
  <c r="G11" i="14"/>
  <c r="P11" i="14" s="1"/>
  <c r="F11" i="14"/>
  <c r="E11" i="14"/>
  <c r="AG10" i="14"/>
  <c r="AD10" i="14"/>
  <c r="H10" i="14" s="1"/>
  <c r="Q10" i="14" s="1"/>
  <c r="Z10" i="14"/>
  <c r="V10" i="14"/>
  <c r="F10" i="14" s="1"/>
  <c r="I10" i="14" s="1"/>
  <c r="P10" i="14"/>
  <c r="G10" i="14"/>
  <c r="E10" i="14"/>
  <c r="AJ9" i="14"/>
  <c r="M9" i="14" s="1"/>
  <c r="AI9" i="14"/>
  <c r="AG9" i="14"/>
  <c r="AD9" i="14"/>
  <c r="Z9" i="14"/>
  <c r="V9" i="14"/>
  <c r="P9" i="14"/>
  <c r="N9" i="14"/>
  <c r="J9" i="14"/>
  <c r="H9" i="14"/>
  <c r="Q9" i="14" s="1"/>
  <c r="G9" i="14"/>
  <c r="F9" i="14"/>
  <c r="E9" i="14"/>
  <c r="AI8" i="14"/>
  <c r="AJ8" i="14" s="1"/>
  <c r="M8" i="14" s="1"/>
  <c r="AG8" i="14"/>
  <c r="J8" i="14" s="1"/>
  <c r="L8" i="14" s="1"/>
  <c r="AD8" i="14"/>
  <c r="Z8" i="14"/>
  <c r="G8" i="14" s="1"/>
  <c r="P8" i="14" s="1"/>
  <c r="V8" i="14"/>
  <c r="H8" i="14"/>
  <c r="Q8" i="14" s="1"/>
  <c r="F8" i="14"/>
  <c r="E8" i="14"/>
  <c r="AI7" i="14"/>
  <c r="AJ7" i="14" s="1"/>
  <c r="AG7" i="14"/>
  <c r="AD7" i="14"/>
  <c r="Z7" i="14"/>
  <c r="G7" i="14" s="1"/>
  <c r="V7" i="14"/>
  <c r="F7" i="14" s="1"/>
  <c r="M7" i="14"/>
  <c r="L7" i="14"/>
  <c r="J7" i="14"/>
  <c r="H7" i="14"/>
  <c r="Q7" i="14" s="1"/>
  <c r="E7" i="14"/>
  <c r="AT6" i="14"/>
  <c r="AT7" i="14" s="1"/>
  <c r="AT8" i="14" s="1"/>
  <c r="AT9" i="14" s="1"/>
  <c r="AT10" i="14" s="1"/>
  <c r="AT11" i="14" s="1"/>
  <c r="AT12" i="14" s="1"/>
  <c r="AT13" i="14" s="1"/>
  <c r="AT14" i="14" s="1"/>
  <c r="AT15" i="14" s="1"/>
  <c r="AK6" i="14"/>
  <c r="AG6" i="14"/>
  <c r="J6" i="14" s="1"/>
  <c r="L6" i="14" s="1"/>
  <c r="AD6" i="14"/>
  <c r="Z6" i="14"/>
  <c r="V6" i="14"/>
  <c r="F6" i="14" s="1"/>
  <c r="I6" i="14"/>
  <c r="H6" i="14"/>
  <c r="Q6" i="14" s="1"/>
  <c r="G6" i="14"/>
  <c r="P6" i="14" s="1"/>
  <c r="E6" i="14"/>
  <c r="AT5" i="14"/>
  <c r="AK5" i="14"/>
  <c r="AI5" i="14"/>
  <c r="AJ5" i="14" s="1"/>
  <c r="M5" i="14" s="1"/>
  <c r="AG5" i="14"/>
  <c r="AD5" i="14"/>
  <c r="H5" i="14" s="1"/>
  <c r="Z5" i="14"/>
  <c r="G5" i="14" s="1"/>
  <c r="P5" i="14" s="1"/>
  <c r="V5" i="14"/>
  <c r="F5" i="14" s="1"/>
  <c r="Q5" i="14"/>
  <c r="J5" i="14"/>
  <c r="E5" i="14"/>
  <c r="AU4" i="14"/>
  <c r="AV4" i="14" s="1"/>
  <c r="AT4" i="14"/>
  <c r="AS4" i="14"/>
  <c r="AQ4" i="14"/>
  <c r="AO4" i="14"/>
  <c r="AM4" i="14"/>
  <c r="AL4" i="14"/>
  <c r="AK4" i="14"/>
  <c r="AJ4" i="14"/>
  <c r="AI4" i="14"/>
  <c r="AG4" i="14"/>
  <c r="AD4" i="14"/>
  <c r="Z4" i="14"/>
  <c r="V4" i="14"/>
  <c r="P4" i="14"/>
  <c r="M4" i="14"/>
  <c r="B435" i="13" s="1"/>
  <c r="L4" i="14"/>
  <c r="J4" i="14"/>
  <c r="H4" i="14"/>
  <c r="Q4" i="14" s="1"/>
  <c r="G4" i="14"/>
  <c r="AP4" i="14" s="1"/>
  <c r="AP5" i="14" s="1"/>
  <c r="AP6" i="14" s="1"/>
  <c r="F4" i="14"/>
  <c r="E4" i="14"/>
  <c r="P446" i="13"/>
  <c r="P430" i="13" s="1"/>
  <c r="O446" i="13"/>
  <c r="O430" i="13" s="1"/>
  <c r="N446" i="13"/>
  <c r="N430" i="13" s="1"/>
  <c r="M446" i="13"/>
  <c r="M430" i="13" s="1"/>
  <c r="L446" i="13"/>
  <c r="L430" i="13" s="1"/>
  <c r="I446" i="13"/>
  <c r="G446" i="13"/>
  <c r="F446" i="13"/>
  <c r="E446" i="13"/>
  <c r="P445" i="13"/>
  <c r="N445" i="13"/>
  <c r="M445" i="13"/>
  <c r="M429" i="13" s="1"/>
  <c r="J445" i="13"/>
  <c r="J429" i="13" s="1"/>
  <c r="I445" i="13"/>
  <c r="I429" i="13" s="1"/>
  <c r="G445" i="13"/>
  <c r="D445" i="13"/>
  <c r="P444" i="13"/>
  <c r="N444" i="13"/>
  <c r="M444" i="13"/>
  <c r="L444" i="13"/>
  <c r="K444" i="13"/>
  <c r="I444" i="13"/>
  <c r="I428" i="13" s="1"/>
  <c r="H444" i="13"/>
  <c r="H428" i="13" s="1"/>
  <c r="G444" i="13"/>
  <c r="G428" i="13" s="1"/>
  <c r="F444" i="13"/>
  <c r="F428" i="13" s="1"/>
  <c r="P443" i="13"/>
  <c r="O443" i="13"/>
  <c r="N443" i="13"/>
  <c r="M443" i="13"/>
  <c r="L443" i="13"/>
  <c r="J443" i="13"/>
  <c r="J427" i="13" s="1"/>
  <c r="I443" i="13"/>
  <c r="H443" i="13"/>
  <c r="D443" i="13"/>
  <c r="D427" i="13" s="1"/>
  <c r="P442" i="13"/>
  <c r="O442" i="13"/>
  <c r="N442" i="13"/>
  <c r="N426" i="13" s="1"/>
  <c r="M442" i="13"/>
  <c r="L442" i="13"/>
  <c r="K442" i="13"/>
  <c r="J442" i="13"/>
  <c r="G442" i="13"/>
  <c r="E442" i="13"/>
  <c r="E426" i="13" s="1"/>
  <c r="C442" i="13"/>
  <c r="C426" i="13" s="1"/>
  <c r="O441" i="13"/>
  <c r="N441" i="13"/>
  <c r="L441" i="13"/>
  <c r="K441" i="13"/>
  <c r="K425" i="13" s="1"/>
  <c r="J441" i="13"/>
  <c r="I441" i="13"/>
  <c r="I425" i="13" s="1"/>
  <c r="H441" i="13"/>
  <c r="H425" i="13" s="1"/>
  <c r="E441" i="13"/>
  <c r="E425" i="13" s="1"/>
  <c r="O440" i="13"/>
  <c r="M440" i="13"/>
  <c r="L440" i="13"/>
  <c r="F440" i="13"/>
  <c r="E440" i="13"/>
  <c r="B440" i="13"/>
  <c r="P439" i="13"/>
  <c r="P423" i="13" s="1"/>
  <c r="O439" i="13"/>
  <c r="O423" i="13" s="1"/>
  <c r="M439" i="13"/>
  <c r="M423" i="13" s="1"/>
  <c r="L439" i="13"/>
  <c r="P438" i="13"/>
  <c r="P422" i="13" s="1"/>
  <c r="O438" i="13"/>
  <c r="N438" i="13"/>
  <c r="N422" i="13" s="1"/>
  <c r="M438" i="13"/>
  <c r="M422" i="13" s="1"/>
  <c r="K438" i="13"/>
  <c r="K422" i="13" s="1"/>
  <c r="H438" i="13"/>
  <c r="F438" i="13"/>
  <c r="E438" i="13"/>
  <c r="C438" i="13"/>
  <c r="Q437" i="13"/>
  <c r="P437" i="13"/>
  <c r="N437" i="13"/>
  <c r="M437" i="13"/>
  <c r="L437" i="13"/>
  <c r="L421" i="13" s="1"/>
  <c r="J437" i="13"/>
  <c r="J421" i="13" s="1"/>
  <c r="I437" i="13"/>
  <c r="I421" i="13" s="1"/>
  <c r="G437" i="13"/>
  <c r="G421" i="13" s="1"/>
  <c r="P436" i="13"/>
  <c r="O436" i="13"/>
  <c r="N436" i="13"/>
  <c r="L436" i="13"/>
  <c r="L420" i="13" s="1"/>
  <c r="J436" i="13"/>
  <c r="H436" i="13"/>
  <c r="H420" i="13" s="1"/>
  <c r="F436" i="13"/>
  <c r="F420" i="13" s="1"/>
  <c r="E436" i="13"/>
  <c r="E420" i="13" s="1"/>
  <c r="P435" i="13"/>
  <c r="O435" i="13"/>
  <c r="L435" i="13"/>
  <c r="J435" i="13"/>
  <c r="H435" i="13"/>
  <c r="G435" i="13"/>
  <c r="G419" i="13" s="1"/>
  <c r="F435" i="13"/>
  <c r="E435" i="13"/>
  <c r="I430" i="13"/>
  <c r="G430" i="13"/>
  <c r="F430" i="13"/>
  <c r="E430" i="13"/>
  <c r="P429" i="13"/>
  <c r="O429" i="13"/>
  <c r="N429" i="13"/>
  <c r="G429" i="13"/>
  <c r="D429" i="13"/>
  <c r="P428" i="13"/>
  <c r="O428" i="13"/>
  <c r="N428" i="13"/>
  <c r="M428" i="13"/>
  <c r="L428" i="13"/>
  <c r="K428" i="13"/>
  <c r="P427" i="13"/>
  <c r="O427" i="13"/>
  <c r="N427" i="13"/>
  <c r="M427" i="13"/>
  <c r="L427" i="13"/>
  <c r="I427" i="13"/>
  <c r="H427" i="13"/>
  <c r="P426" i="13"/>
  <c r="O426" i="13"/>
  <c r="M426" i="13"/>
  <c r="L426" i="13"/>
  <c r="K426" i="13"/>
  <c r="J426" i="13"/>
  <c r="G426" i="13"/>
  <c r="O425" i="13"/>
  <c r="N425" i="13"/>
  <c r="L425" i="13"/>
  <c r="J425" i="13"/>
  <c r="O424" i="13"/>
  <c r="M424" i="13"/>
  <c r="L424" i="13"/>
  <c r="F424" i="13"/>
  <c r="E424" i="13"/>
  <c r="B424" i="13"/>
  <c r="L423" i="13"/>
  <c r="O422" i="13"/>
  <c r="H422" i="13"/>
  <c r="F422" i="13"/>
  <c r="E422" i="13"/>
  <c r="C422" i="13"/>
  <c r="Q421" i="13"/>
  <c r="P421" i="13"/>
  <c r="N421" i="13"/>
  <c r="M421" i="13"/>
  <c r="P420" i="13"/>
  <c r="O420" i="13"/>
  <c r="N420" i="13"/>
  <c r="J420" i="13"/>
  <c r="P419" i="13"/>
  <c r="J419" i="13"/>
  <c r="H419" i="13"/>
  <c r="I415" i="13"/>
  <c r="G415" i="13"/>
  <c r="F415" i="13"/>
  <c r="F24" i="13" s="1"/>
  <c r="C415" i="13"/>
  <c r="P414" i="13"/>
  <c r="O414" i="13"/>
  <c r="N414" i="13"/>
  <c r="M414" i="13"/>
  <c r="L414" i="13"/>
  <c r="K414" i="13"/>
  <c r="J414" i="13"/>
  <c r="I414" i="13"/>
  <c r="H414" i="13"/>
  <c r="G414" i="13"/>
  <c r="F414" i="13"/>
  <c r="E414" i="13"/>
  <c r="D414" i="13"/>
  <c r="C414" i="13"/>
  <c r="B414" i="13"/>
  <c r="P413" i="13"/>
  <c r="O413" i="13"/>
  <c r="N413" i="13"/>
  <c r="M413" i="13"/>
  <c r="L413" i="13"/>
  <c r="K413" i="13"/>
  <c r="K333" i="13" s="1"/>
  <c r="J413" i="13"/>
  <c r="I413" i="13"/>
  <c r="H413" i="13"/>
  <c r="G413" i="13"/>
  <c r="F413" i="13"/>
  <c r="E413" i="13"/>
  <c r="D413" i="13"/>
  <c r="C413" i="13"/>
  <c r="B413" i="13"/>
  <c r="P412" i="13"/>
  <c r="P332" i="13" s="1"/>
  <c r="O412" i="13"/>
  <c r="N412" i="13"/>
  <c r="M412" i="13"/>
  <c r="L412" i="13"/>
  <c r="K412" i="13"/>
  <c r="J412" i="13"/>
  <c r="I412" i="13"/>
  <c r="H412" i="13"/>
  <c r="G412" i="13"/>
  <c r="F412" i="13"/>
  <c r="E412" i="13"/>
  <c r="D412" i="13"/>
  <c r="C412" i="13"/>
  <c r="B412" i="13"/>
  <c r="P411" i="13"/>
  <c r="O411" i="13"/>
  <c r="N411" i="13"/>
  <c r="M411" i="13"/>
  <c r="M331" i="13" s="1"/>
  <c r="L411" i="13"/>
  <c r="K411" i="13"/>
  <c r="J411" i="13"/>
  <c r="I411" i="13"/>
  <c r="H411" i="13"/>
  <c r="G411" i="13"/>
  <c r="F411" i="13"/>
  <c r="E411" i="13"/>
  <c r="E331" i="13" s="1"/>
  <c r="D411" i="13"/>
  <c r="C411" i="13"/>
  <c r="B411" i="13"/>
  <c r="P410" i="13"/>
  <c r="O410" i="13"/>
  <c r="N410" i="13"/>
  <c r="M410" i="13"/>
  <c r="L410" i="13"/>
  <c r="K410" i="13"/>
  <c r="J410" i="13"/>
  <c r="J330" i="13" s="1"/>
  <c r="I410" i="13"/>
  <c r="H410" i="13"/>
  <c r="G410" i="13"/>
  <c r="F410" i="13"/>
  <c r="E410" i="13"/>
  <c r="D410" i="13"/>
  <c r="C410" i="13"/>
  <c r="B410" i="13"/>
  <c r="P409" i="13"/>
  <c r="O409" i="13"/>
  <c r="N409" i="13"/>
  <c r="M409" i="13"/>
  <c r="L409" i="13"/>
  <c r="K409" i="13"/>
  <c r="J409" i="13"/>
  <c r="I409" i="13"/>
  <c r="H409" i="13"/>
  <c r="G409" i="13"/>
  <c r="F409" i="13"/>
  <c r="E409" i="13"/>
  <c r="D409" i="13"/>
  <c r="C409" i="13"/>
  <c r="B409" i="13"/>
  <c r="P408" i="13"/>
  <c r="O408" i="13"/>
  <c r="N408" i="13"/>
  <c r="M408" i="13"/>
  <c r="L408" i="13"/>
  <c r="K408" i="13"/>
  <c r="J408" i="13"/>
  <c r="I408" i="13"/>
  <c r="H408" i="13"/>
  <c r="G408" i="13"/>
  <c r="F408" i="13"/>
  <c r="E408" i="13"/>
  <c r="D408" i="13"/>
  <c r="C408" i="13"/>
  <c r="B408" i="13"/>
  <c r="P407" i="13"/>
  <c r="O407" i="13"/>
  <c r="N407" i="13"/>
  <c r="M407" i="13"/>
  <c r="L407" i="13"/>
  <c r="L327" i="13" s="1"/>
  <c r="K407" i="13"/>
  <c r="J407" i="13"/>
  <c r="I407" i="13"/>
  <c r="H407" i="13"/>
  <c r="G407" i="13"/>
  <c r="F407" i="13"/>
  <c r="E407" i="13"/>
  <c r="D407" i="13"/>
  <c r="C407" i="13"/>
  <c r="B407" i="13"/>
  <c r="P406" i="13"/>
  <c r="O406" i="13"/>
  <c r="N406" i="13"/>
  <c r="M406" i="13"/>
  <c r="L406" i="13"/>
  <c r="K406" i="13"/>
  <c r="J406" i="13"/>
  <c r="J415" i="13" s="1"/>
  <c r="J24" i="13" s="1"/>
  <c r="I406" i="13"/>
  <c r="H406" i="13"/>
  <c r="G406" i="13"/>
  <c r="F406" i="13"/>
  <c r="E406" i="13"/>
  <c r="D406" i="13"/>
  <c r="C406" i="13"/>
  <c r="B406" i="13"/>
  <c r="Q405" i="13"/>
  <c r="P405" i="13"/>
  <c r="O405" i="13"/>
  <c r="N405" i="13"/>
  <c r="M405" i="13"/>
  <c r="L405" i="13"/>
  <c r="K405" i="13"/>
  <c r="J405" i="13"/>
  <c r="I405" i="13"/>
  <c r="H405" i="13"/>
  <c r="G405" i="13"/>
  <c r="F405" i="13"/>
  <c r="E405" i="13"/>
  <c r="D405" i="13"/>
  <c r="C405" i="13"/>
  <c r="B405" i="13"/>
  <c r="Q404" i="13"/>
  <c r="P404" i="13"/>
  <c r="O404" i="13"/>
  <c r="N404" i="13"/>
  <c r="M404" i="13"/>
  <c r="L404" i="13"/>
  <c r="K404" i="13"/>
  <c r="J404" i="13"/>
  <c r="I404" i="13"/>
  <c r="H404" i="13"/>
  <c r="G404" i="13"/>
  <c r="F404" i="13"/>
  <c r="E404" i="13"/>
  <c r="D404" i="13"/>
  <c r="C404" i="13"/>
  <c r="B404" i="13"/>
  <c r="Q403" i="13"/>
  <c r="P403" i="13"/>
  <c r="O403" i="13"/>
  <c r="N403" i="13"/>
  <c r="M403" i="13"/>
  <c r="L403" i="13"/>
  <c r="K403" i="13"/>
  <c r="J403" i="13"/>
  <c r="I403" i="13"/>
  <c r="H403" i="13"/>
  <c r="G403" i="13"/>
  <c r="F403" i="13"/>
  <c r="E403" i="13"/>
  <c r="D403" i="13"/>
  <c r="C403" i="13"/>
  <c r="B403" i="13"/>
  <c r="AP402" i="13"/>
  <c r="AO402" i="13"/>
  <c r="AN402" i="13"/>
  <c r="AM402" i="13"/>
  <c r="AL402" i="13"/>
  <c r="AK402" i="13"/>
  <c r="AJ402" i="13"/>
  <c r="AI402" i="13"/>
  <c r="AH402" i="13"/>
  <c r="AG402" i="13"/>
  <c r="AF402" i="13"/>
  <c r="AE402" i="13"/>
  <c r="AD402" i="13"/>
  <c r="AC402" i="13"/>
  <c r="AB402" i="13"/>
  <c r="AA402" i="13"/>
  <c r="Z402" i="13"/>
  <c r="Y402" i="13"/>
  <c r="X402" i="13"/>
  <c r="W402" i="13"/>
  <c r="V402" i="13"/>
  <c r="U402" i="13"/>
  <c r="T402" i="13"/>
  <c r="S402" i="13"/>
  <c r="R402" i="13"/>
  <c r="Q402" i="13"/>
  <c r="P402" i="13"/>
  <c r="O402" i="13"/>
  <c r="N402" i="13"/>
  <c r="M402" i="13"/>
  <c r="L402" i="13"/>
  <c r="K402" i="13"/>
  <c r="J402" i="13"/>
  <c r="I402" i="13"/>
  <c r="H402" i="13"/>
  <c r="G402" i="13"/>
  <c r="F402" i="13"/>
  <c r="E402" i="13"/>
  <c r="D402" i="13"/>
  <c r="C402" i="13"/>
  <c r="B402" i="13"/>
  <c r="AP399" i="13"/>
  <c r="AO399" i="13"/>
  <c r="AN399" i="13"/>
  <c r="AM399" i="13"/>
  <c r="AL399" i="13"/>
  <c r="AK399" i="13"/>
  <c r="AJ399" i="13"/>
  <c r="AI399" i="13"/>
  <c r="AH399" i="13"/>
  <c r="AG399" i="13"/>
  <c r="AF399" i="13"/>
  <c r="AE399" i="13"/>
  <c r="AD399" i="13"/>
  <c r="AC399" i="13"/>
  <c r="AB399" i="13"/>
  <c r="AA399" i="13"/>
  <c r="Z399" i="13"/>
  <c r="Y399" i="13"/>
  <c r="X399" i="13"/>
  <c r="W399" i="13"/>
  <c r="V399" i="13"/>
  <c r="U399" i="13"/>
  <c r="T399" i="13"/>
  <c r="S399" i="13"/>
  <c r="R399" i="13"/>
  <c r="Q399" i="13"/>
  <c r="K399" i="13"/>
  <c r="J399" i="13"/>
  <c r="I399" i="13"/>
  <c r="P398" i="13"/>
  <c r="O398" i="13"/>
  <c r="N398" i="13"/>
  <c r="M398" i="13"/>
  <c r="L398" i="13"/>
  <c r="K398" i="13"/>
  <c r="J398" i="13"/>
  <c r="I398" i="13"/>
  <c r="H398" i="13"/>
  <c r="G398" i="13"/>
  <c r="F398" i="13"/>
  <c r="E398" i="13"/>
  <c r="D398" i="13"/>
  <c r="C398" i="13"/>
  <c r="B398" i="13"/>
  <c r="P397" i="13"/>
  <c r="O397" i="13"/>
  <c r="N397" i="13"/>
  <c r="M397" i="13"/>
  <c r="M333" i="13" s="1"/>
  <c r="L397" i="13"/>
  <c r="K397" i="13"/>
  <c r="J397" i="13"/>
  <c r="I397" i="13"/>
  <c r="H397" i="13"/>
  <c r="G397" i="13"/>
  <c r="F397" i="13"/>
  <c r="E397" i="13"/>
  <c r="D397" i="13"/>
  <c r="C397" i="13"/>
  <c r="B397" i="13"/>
  <c r="P396" i="13"/>
  <c r="O396" i="13"/>
  <c r="N396" i="13"/>
  <c r="M396" i="13"/>
  <c r="M332" i="13" s="1"/>
  <c r="L396" i="13"/>
  <c r="K396" i="13"/>
  <c r="J396" i="13"/>
  <c r="J332" i="13" s="1"/>
  <c r="I396" i="13"/>
  <c r="I332" i="13" s="1"/>
  <c r="H396" i="13"/>
  <c r="H332" i="13" s="1"/>
  <c r="G396" i="13"/>
  <c r="G332" i="13" s="1"/>
  <c r="F396" i="13"/>
  <c r="E396" i="13"/>
  <c r="D396" i="13"/>
  <c r="C396" i="13"/>
  <c r="B396" i="13"/>
  <c r="P395" i="13"/>
  <c r="O395" i="13"/>
  <c r="N395" i="13"/>
  <c r="M395" i="13"/>
  <c r="L395" i="13"/>
  <c r="K395" i="13"/>
  <c r="J395" i="13"/>
  <c r="J331" i="13" s="1"/>
  <c r="I395" i="13"/>
  <c r="H395" i="13"/>
  <c r="G395" i="13"/>
  <c r="F395" i="13"/>
  <c r="F331" i="13" s="1"/>
  <c r="E395" i="13"/>
  <c r="D395" i="13"/>
  <c r="C395" i="13"/>
  <c r="B395" i="13"/>
  <c r="P394" i="13"/>
  <c r="O394" i="13"/>
  <c r="N394" i="13"/>
  <c r="M394" i="13"/>
  <c r="L394" i="13"/>
  <c r="K394" i="13"/>
  <c r="J394" i="13"/>
  <c r="I394" i="13"/>
  <c r="H394" i="13"/>
  <c r="G394" i="13"/>
  <c r="F394" i="13"/>
  <c r="E394" i="13"/>
  <c r="D394" i="13"/>
  <c r="C394" i="13"/>
  <c r="B394" i="13"/>
  <c r="P393" i="13"/>
  <c r="O393" i="13"/>
  <c r="N393" i="13"/>
  <c r="M393" i="13"/>
  <c r="L393" i="13"/>
  <c r="K393" i="13"/>
  <c r="J393" i="13"/>
  <c r="I393" i="13"/>
  <c r="H393" i="13"/>
  <c r="G393" i="13"/>
  <c r="G329" i="13" s="1"/>
  <c r="F393" i="13"/>
  <c r="E393" i="13"/>
  <c r="D393" i="13"/>
  <c r="C393" i="13"/>
  <c r="B393" i="13"/>
  <c r="P392" i="13"/>
  <c r="O392" i="13"/>
  <c r="N392" i="13"/>
  <c r="M392" i="13"/>
  <c r="L392" i="13"/>
  <c r="K392" i="13"/>
  <c r="J392" i="13"/>
  <c r="I392" i="13"/>
  <c r="H392" i="13"/>
  <c r="G392" i="13"/>
  <c r="F392" i="13"/>
  <c r="E392" i="13"/>
  <c r="D392" i="13"/>
  <c r="D328" i="13" s="1"/>
  <c r="C392" i="13"/>
  <c r="B392" i="13"/>
  <c r="P391" i="13"/>
  <c r="P327" i="13" s="1"/>
  <c r="O391" i="13"/>
  <c r="N391" i="13"/>
  <c r="M391" i="13"/>
  <c r="L391" i="13"/>
  <c r="K391" i="13"/>
  <c r="J391" i="13"/>
  <c r="I391" i="13"/>
  <c r="H391" i="13"/>
  <c r="G391" i="13"/>
  <c r="F391" i="13"/>
  <c r="E391" i="13"/>
  <c r="D391" i="13"/>
  <c r="C391" i="13"/>
  <c r="B391" i="13"/>
  <c r="P390" i="13"/>
  <c r="O390" i="13"/>
  <c r="N390" i="13"/>
  <c r="M390" i="13"/>
  <c r="L390" i="13"/>
  <c r="K390" i="13"/>
  <c r="J390" i="13"/>
  <c r="I390" i="13"/>
  <c r="H390" i="13"/>
  <c r="G390" i="13"/>
  <c r="F390" i="13"/>
  <c r="E390" i="13"/>
  <c r="D390" i="13"/>
  <c r="C390" i="13"/>
  <c r="B390" i="13"/>
  <c r="Q389" i="13"/>
  <c r="P389" i="13"/>
  <c r="O389" i="13"/>
  <c r="N389" i="13"/>
  <c r="M389" i="13"/>
  <c r="L389" i="13"/>
  <c r="K389" i="13"/>
  <c r="J389" i="13"/>
  <c r="I389" i="13"/>
  <c r="H389" i="13"/>
  <c r="G389" i="13"/>
  <c r="F389" i="13"/>
  <c r="E389" i="13"/>
  <c r="D389" i="13"/>
  <c r="C389" i="13"/>
  <c r="C325" i="13" s="1"/>
  <c r="B389" i="13"/>
  <c r="Q388" i="13"/>
  <c r="P388" i="13"/>
  <c r="O388" i="13"/>
  <c r="N388" i="13"/>
  <c r="M388" i="13"/>
  <c r="L388" i="13"/>
  <c r="K388" i="13"/>
  <c r="J388" i="13"/>
  <c r="I388" i="13"/>
  <c r="H388" i="13"/>
  <c r="G388" i="13"/>
  <c r="F388" i="13"/>
  <c r="E388" i="13"/>
  <c r="D388" i="13"/>
  <c r="C388" i="13"/>
  <c r="B388" i="13"/>
  <c r="Q387" i="13"/>
  <c r="P387" i="13"/>
  <c r="O387" i="13"/>
  <c r="N387" i="13"/>
  <c r="M387" i="13"/>
  <c r="M399" i="13" s="1"/>
  <c r="L387" i="13"/>
  <c r="L399" i="13" s="1"/>
  <c r="K387" i="13"/>
  <c r="J387" i="13"/>
  <c r="I387" i="13"/>
  <c r="H387" i="13"/>
  <c r="G387" i="13"/>
  <c r="F387" i="13"/>
  <c r="E387" i="13"/>
  <c r="D387" i="13"/>
  <c r="C387" i="13"/>
  <c r="B387" i="13"/>
  <c r="AE383" i="13"/>
  <c r="W383" i="13"/>
  <c r="W23" i="13" s="1"/>
  <c r="BO23" i="13" s="1"/>
  <c r="O383" i="13"/>
  <c r="O23" i="13" s="1"/>
  <c r="J383" i="13"/>
  <c r="J23" i="13" s="1"/>
  <c r="AP382" i="13"/>
  <c r="AO382" i="13"/>
  <c r="AN382" i="13"/>
  <c r="AM382" i="13"/>
  <c r="AL382" i="13"/>
  <c r="AK382" i="13"/>
  <c r="AJ382" i="13"/>
  <c r="AI382" i="13"/>
  <c r="AH382" i="13"/>
  <c r="AG382" i="13"/>
  <c r="AF382" i="13"/>
  <c r="AE382" i="13"/>
  <c r="AD382" i="13"/>
  <c r="AC382" i="13"/>
  <c r="AB382" i="13"/>
  <c r="AA382" i="13"/>
  <c r="Z382" i="13"/>
  <c r="Y382" i="13"/>
  <c r="X382" i="13"/>
  <c r="W382" i="13"/>
  <c r="V382" i="13"/>
  <c r="U382" i="13"/>
  <c r="T382" i="13"/>
  <c r="S382" i="13"/>
  <c r="R382" i="13"/>
  <c r="Q382" i="13"/>
  <c r="P382" i="13"/>
  <c r="O382" i="13"/>
  <c r="N382" i="13"/>
  <c r="N350" i="13" s="1"/>
  <c r="N334" i="13" s="1"/>
  <c r="M382" i="13"/>
  <c r="L382" i="13"/>
  <c r="L350" i="13" s="1"/>
  <c r="L334" i="13" s="1"/>
  <c r="J382" i="13"/>
  <c r="I382" i="13"/>
  <c r="I350" i="13" s="1"/>
  <c r="I334" i="13" s="1"/>
  <c r="H382" i="13"/>
  <c r="G382" i="13"/>
  <c r="F382" i="13"/>
  <c r="E382" i="13"/>
  <c r="D382" i="13"/>
  <c r="C382" i="13"/>
  <c r="B382" i="13"/>
  <c r="AP381" i="13"/>
  <c r="AO381" i="13"/>
  <c r="AN381" i="13"/>
  <c r="AM381" i="13"/>
  <c r="AL381" i="13"/>
  <c r="AK381" i="13"/>
  <c r="AJ381" i="13"/>
  <c r="AI381" i="13"/>
  <c r="AH381" i="13"/>
  <c r="AG381" i="13"/>
  <c r="AF381" i="13"/>
  <c r="AE381" i="13"/>
  <c r="AD381" i="13"/>
  <c r="AC381" i="13"/>
  <c r="AB381" i="13"/>
  <c r="AA381" i="13"/>
  <c r="Z381" i="13"/>
  <c r="Y381" i="13"/>
  <c r="X381" i="13"/>
  <c r="W381" i="13"/>
  <c r="V381" i="13"/>
  <c r="U381" i="13"/>
  <c r="T381" i="13"/>
  <c r="S381" i="13"/>
  <c r="R381" i="13"/>
  <c r="Q381" i="13"/>
  <c r="P381" i="13"/>
  <c r="P349" i="13" s="1"/>
  <c r="O381" i="13"/>
  <c r="N381" i="13"/>
  <c r="M381" i="13"/>
  <c r="M349" i="13" s="1"/>
  <c r="L381" i="13"/>
  <c r="J381" i="13"/>
  <c r="I381" i="13"/>
  <c r="I349" i="13" s="1"/>
  <c r="I333" i="13" s="1"/>
  <c r="H381" i="13"/>
  <c r="H349" i="13" s="1"/>
  <c r="G381" i="13"/>
  <c r="F381" i="13"/>
  <c r="E381" i="13"/>
  <c r="D381" i="13"/>
  <c r="C381" i="13"/>
  <c r="B381" i="13"/>
  <c r="AP380" i="13"/>
  <c r="AO380" i="13"/>
  <c r="AN380" i="13"/>
  <c r="AM380" i="13"/>
  <c r="AL380" i="13"/>
  <c r="AK380" i="13"/>
  <c r="AJ380" i="13"/>
  <c r="AI380" i="13"/>
  <c r="AH380" i="13"/>
  <c r="AG380" i="13"/>
  <c r="AF380" i="13"/>
  <c r="AE380" i="13"/>
  <c r="AD380" i="13"/>
  <c r="AC380" i="13"/>
  <c r="AB380" i="13"/>
  <c r="AA380" i="13"/>
  <c r="Z380" i="13"/>
  <c r="Y380" i="13"/>
  <c r="X380" i="13"/>
  <c r="W380" i="13"/>
  <c r="V380" i="13"/>
  <c r="U380" i="13"/>
  <c r="T380" i="13"/>
  <c r="S380" i="13"/>
  <c r="R380" i="13"/>
  <c r="Q380" i="13"/>
  <c r="P380" i="13"/>
  <c r="O380" i="13"/>
  <c r="N380" i="13"/>
  <c r="M380" i="13"/>
  <c r="L380" i="13"/>
  <c r="L348" i="13" s="1"/>
  <c r="L332" i="13" s="1"/>
  <c r="J380" i="13"/>
  <c r="I380" i="13"/>
  <c r="H380" i="13"/>
  <c r="G380" i="13"/>
  <c r="F380" i="13"/>
  <c r="E380" i="13"/>
  <c r="E348" i="13" s="1"/>
  <c r="E332" i="13" s="1"/>
  <c r="D380" i="13"/>
  <c r="C380" i="13"/>
  <c r="B380" i="13"/>
  <c r="AP379" i="13"/>
  <c r="AO379" i="13"/>
  <c r="AN379" i="13"/>
  <c r="AM379" i="13"/>
  <c r="AL379" i="13"/>
  <c r="AK379" i="13"/>
  <c r="AJ379" i="13"/>
  <c r="AI379" i="13"/>
  <c r="AH379" i="13"/>
  <c r="AG379" i="13"/>
  <c r="AF379" i="13"/>
  <c r="AE379" i="13"/>
  <c r="AD379" i="13"/>
  <c r="AC379" i="13"/>
  <c r="AB379" i="13"/>
  <c r="AA379" i="13"/>
  <c r="Z379" i="13"/>
  <c r="Y379" i="13"/>
  <c r="X379" i="13"/>
  <c r="W379" i="13"/>
  <c r="V379" i="13"/>
  <c r="U379" i="13"/>
  <c r="T379" i="13"/>
  <c r="S379" i="13"/>
  <c r="R379" i="13"/>
  <c r="Q379" i="13"/>
  <c r="P379" i="13"/>
  <c r="O379" i="13"/>
  <c r="N379" i="13"/>
  <c r="M379" i="13"/>
  <c r="L379" i="13"/>
  <c r="J379" i="13"/>
  <c r="I379" i="13"/>
  <c r="H379" i="13"/>
  <c r="G379" i="13"/>
  <c r="G347" i="13" s="1"/>
  <c r="F379" i="13"/>
  <c r="E379" i="13"/>
  <c r="D379" i="13"/>
  <c r="C379" i="13"/>
  <c r="B379" i="13"/>
  <c r="AP378" i="13"/>
  <c r="AP383" i="13" s="1"/>
  <c r="AO378" i="13"/>
  <c r="AN378" i="13"/>
  <c r="AM378" i="13"/>
  <c r="AL378" i="13"/>
  <c r="AK378" i="13"/>
  <c r="AJ378" i="13"/>
  <c r="AI378" i="13"/>
  <c r="AH378" i="13"/>
  <c r="AG378" i="13"/>
  <c r="AF378" i="13"/>
  <c r="AE378" i="13"/>
  <c r="AD378" i="13"/>
  <c r="AC378" i="13"/>
  <c r="AB378" i="13"/>
  <c r="AA378" i="13"/>
  <c r="Z378" i="13"/>
  <c r="Y378" i="13"/>
  <c r="X378" i="13"/>
  <c r="W378" i="13"/>
  <c r="V378" i="13"/>
  <c r="U378" i="13"/>
  <c r="T378" i="13"/>
  <c r="S378" i="13"/>
  <c r="R378" i="13"/>
  <c r="Q378" i="13"/>
  <c r="P378" i="13"/>
  <c r="O378" i="13"/>
  <c r="N378" i="13"/>
  <c r="M378" i="13"/>
  <c r="L378" i="13"/>
  <c r="J378" i="13"/>
  <c r="I378" i="13"/>
  <c r="H378" i="13"/>
  <c r="G378" i="13"/>
  <c r="F378" i="13"/>
  <c r="E378" i="13"/>
  <c r="D378" i="13"/>
  <c r="C378" i="13"/>
  <c r="B378" i="13"/>
  <c r="AP377" i="13"/>
  <c r="AO377" i="13"/>
  <c r="AN377" i="13"/>
  <c r="AM377" i="13"/>
  <c r="AL377" i="13"/>
  <c r="AK377" i="13"/>
  <c r="AJ377" i="13"/>
  <c r="AI377" i="13"/>
  <c r="AH377" i="13"/>
  <c r="AG377" i="13"/>
  <c r="AF377" i="13"/>
  <c r="AE377" i="13"/>
  <c r="AD377" i="13"/>
  <c r="AC377" i="13"/>
  <c r="AB377" i="13"/>
  <c r="AA377" i="13"/>
  <c r="Z377" i="13"/>
  <c r="Y377" i="13"/>
  <c r="X377" i="13"/>
  <c r="W377" i="13"/>
  <c r="V377" i="13"/>
  <c r="U377" i="13"/>
  <c r="T377" i="13"/>
  <c r="S377" i="13"/>
  <c r="R377" i="13"/>
  <c r="Q377" i="13"/>
  <c r="P377" i="13"/>
  <c r="O377" i="13"/>
  <c r="N377" i="13"/>
  <c r="M377" i="13"/>
  <c r="L377" i="13"/>
  <c r="J377" i="13"/>
  <c r="I377" i="13"/>
  <c r="H377" i="13"/>
  <c r="G377" i="13"/>
  <c r="G345" i="13" s="1"/>
  <c r="F377" i="13"/>
  <c r="E377" i="13"/>
  <c r="D377" i="13"/>
  <c r="C377" i="13"/>
  <c r="B377" i="13"/>
  <c r="AP376" i="13"/>
  <c r="AO376" i="13"/>
  <c r="AN376" i="13"/>
  <c r="AM376" i="13"/>
  <c r="AL376" i="13"/>
  <c r="AK376" i="13"/>
  <c r="AJ376" i="13"/>
  <c r="AI376" i="13"/>
  <c r="AH376" i="13"/>
  <c r="AG376" i="13"/>
  <c r="AF376" i="13"/>
  <c r="AE376" i="13"/>
  <c r="AD376" i="13"/>
  <c r="AC376" i="13"/>
  <c r="AB376" i="13"/>
  <c r="AA376" i="13"/>
  <c r="Z376" i="13"/>
  <c r="Y376" i="13"/>
  <c r="X376" i="13"/>
  <c r="W376" i="13"/>
  <c r="V376" i="13"/>
  <c r="U376" i="13"/>
  <c r="T376" i="13"/>
  <c r="S376" i="13"/>
  <c r="R376" i="13"/>
  <c r="Q376" i="13"/>
  <c r="P376" i="13"/>
  <c r="O376" i="13"/>
  <c r="N376" i="13"/>
  <c r="M376" i="13"/>
  <c r="L376" i="13"/>
  <c r="L344" i="13" s="1"/>
  <c r="L328" i="13" s="1"/>
  <c r="J376" i="13"/>
  <c r="I376" i="13"/>
  <c r="H376" i="13"/>
  <c r="G376" i="13"/>
  <c r="F376" i="13"/>
  <c r="E376" i="13"/>
  <c r="D376" i="13"/>
  <c r="D344" i="13" s="1"/>
  <c r="C376" i="13"/>
  <c r="C344" i="13" s="1"/>
  <c r="B376" i="13"/>
  <c r="AP375" i="13"/>
  <c r="AO375" i="13"/>
  <c r="AN375" i="13"/>
  <c r="AM375" i="13"/>
  <c r="AL375" i="13"/>
  <c r="AK375" i="13"/>
  <c r="AJ375" i="13"/>
  <c r="AI375" i="13"/>
  <c r="AH375" i="13"/>
  <c r="AG375" i="13"/>
  <c r="AF375" i="13"/>
  <c r="AE375" i="13"/>
  <c r="AD375" i="13"/>
  <c r="AC375" i="13"/>
  <c r="AB375" i="13"/>
  <c r="AA375" i="13"/>
  <c r="Z375" i="13"/>
  <c r="Y375" i="13"/>
  <c r="X375" i="13"/>
  <c r="W375" i="13"/>
  <c r="V375" i="13"/>
  <c r="U375" i="13"/>
  <c r="T375" i="13"/>
  <c r="S375" i="13"/>
  <c r="R375" i="13"/>
  <c r="Q375" i="13"/>
  <c r="P375" i="13"/>
  <c r="O375" i="13"/>
  <c r="N375" i="13"/>
  <c r="M375" i="13"/>
  <c r="L375" i="13"/>
  <c r="J375" i="13"/>
  <c r="I375" i="13"/>
  <c r="H375" i="13"/>
  <c r="G375" i="13"/>
  <c r="F375" i="13"/>
  <c r="E375" i="13"/>
  <c r="D375" i="13"/>
  <c r="C375" i="13"/>
  <c r="B375" i="13"/>
  <c r="AP374" i="13"/>
  <c r="AO374" i="13"/>
  <c r="AN374" i="13"/>
  <c r="AM374" i="13"/>
  <c r="AL374" i="13"/>
  <c r="AK374" i="13"/>
  <c r="AJ374" i="13"/>
  <c r="AI374" i="13"/>
  <c r="AH374" i="13"/>
  <c r="AG374" i="13"/>
  <c r="AF374" i="13"/>
  <c r="AE374" i="13"/>
  <c r="AD374" i="13"/>
  <c r="AC374" i="13"/>
  <c r="AB374" i="13"/>
  <c r="AA374" i="13"/>
  <c r="Z374" i="13"/>
  <c r="Y374" i="13"/>
  <c r="X374" i="13"/>
  <c r="W374" i="13"/>
  <c r="V374" i="13"/>
  <c r="U374" i="13"/>
  <c r="T374" i="13"/>
  <c r="S374" i="13"/>
  <c r="R374" i="13"/>
  <c r="Q374" i="13"/>
  <c r="P374" i="13"/>
  <c r="O374" i="13"/>
  <c r="N374" i="13"/>
  <c r="M374" i="13"/>
  <c r="L374" i="13"/>
  <c r="J374" i="13"/>
  <c r="I374" i="13"/>
  <c r="H374" i="13"/>
  <c r="G374" i="13"/>
  <c r="F374" i="13"/>
  <c r="E374" i="13"/>
  <c r="D374" i="13"/>
  <c r="C374" i="13"/>
  <c r="B374" i="13"/>
  <c r="AP373" i="13"/>
  <c r="AO373" i="13"/>
  <c r="AN373" i="13"/>
  <c r="AM373" i="13"/>
  <c r="AM383" i="13" s="1"/>
  <c r="AM23" i="13" s="1"/>
  <c r="AL373" i="13"/>
  <c r="AK373" i="13"/>
  <c r="AJ373" i="13"/>
  <c r="AI373" i="13"/>
  <c r="AH373" i="13"/>
  <c r="AG373" i="13"/>
  <c r="AF373" i="13"/>
  <c r="AE373" i="13"/>
  <c r="AD373" i="13"/>
  <c r="AC373" i="13"/>
  <c r="AB373" i="13"/>
  <c r="AA373" i="13"/>
  <c r="Z373" i="13"/>
  <c r="Y373" i="13"/>
  <c r="X373" i="13"/>
  <c r="W373" i="13"/>
  <c r="V373" i="13"/>
  <c r="U373" i="13"/>
  <c r="T373" i="13"/>
  <c r="S373" i="13"/>
  <c r="R373" i="13"/>
  <c r="Q373" i="13"/>
  <c r="Q341" i="13" s="1"/>
  <c r="Q325" i="13" s="1"/>
  <c r="P373" i="13"/>
  <c r="P341" i="13" s="1"/>
  <c r="P325" i="13" s="1"/>
  <c r="O373" i="13"/>
  <c r="N373" i="13"/>
  <c r="N341" i="13" s="1"/>
  <c r="N325" i="13" s="1"/>
  <c r="M373" i="13"/>
  <c r="L373" i="13"/>
  <c r="J373" i="13"/>
  <c r="I373" i="13"/>
  <c r="H373" i="13"/>
  <c r="G373" i="13"/>
  <c r="F373" i="13"/>
  <c r="E373" i="13"/>
  <c r="E341" i="13" s="1"/>
  <c r="D373" i="13"/>
  <c r="C373" i="13"/>
  <c r="B373" i="13"/>
  <c r="AP372" i="13"/>
  <c r="AO372" i="13"/>
  <c r="AN372" i="13"/>
  <c r="AM372" i="13"/>
  <c r="AL372" i="13"/>
  <c r="AK372" i="13"/>
  <c r="AJ372" i="13"/>
  <c r="AI372" i="13"/>
  <c r="AH372" i="13"/>
  <c r="AG372" i="13"/>
  <c r="AF372" i="13"/>
  <c r="AE372" i="13"/>
  <c r="AD372" i="13"/>
  <c r="AC372" i="13"/>
  <c r="AB372" i="13"/>
  <c r="AA372" i="13"/>
  <c r="Z372" i="13"/>
  <c r="Y372" i="13"/>
  <c r="X372" i="13"/>
  <c r="W372" i="13"/>
  <c r="V372" i="13"/>
  <c r="U372" i="13"/>
  <c r="T372" i="13"/>
  <c r="S372" i="13"/>
  <c r="R372" i="13"/>
  <c r="Q372" i="13"/>
  <c r="P372" i="13"/>
  <c r="O372" i="13"/>
  <c r="N372" i="13"/>
  <c r="N340" i="13" s="1"/>
  <c r="M372" i="13"/>
  <c r="M340" i="13" s="1"/>
  <c r="M324" i="13" s="1"/>
  <c r="L372" i="13"/>
  <c r="K372" i="13"/>
  <c r="K340" i="13" s="1"/>
  <c r="J372" i="13"/>
  <c r="I372" i="13"/>
  <c r="H372" i="13"/>
  <c r="G372" i="13"/>
  <c r="F372" i="13"/>
  <c r="E372" i="13"/>
  <c r="D372" i="13"/>
  <c r="C372" i="13"/>
  <c r="B372" i="13"/>
  <c r="AP371" i="13"/>
  <c r="AO371" i="13"/>
  <c r="AN371" i="13"/>
  <c r="AM371" i="13"/>
  <c r="AL371" i="13"/>
  <c r="AK371" i="13"/>
  <c r="AK383" i="13" s="1"/>
  <c r="AJ371" i="13"/>
  <c r="AI371" i="13"/>
  <c r="AI383" i="13" s="1"/>
  <c r="AI23" i="13" s="1"/>
  <c r="AH371" i="13"/>
  <c r="AG371" i="13"/>
  <c r="AG383" i="13" s="1"/>
  <c r="AF371" i="13"/>
  <c r="AE371" i="13"/>
  <c r="AD371" i="13"/>
  <c r="AC371" i="13"/>
  <c r="AB371" i="13"/>
  <c r="AA371" i="13"/>
  <c r="Z371" i="13"/>
  <c r="Y371" i="13"/>
  <c r="X371" i="13"/>
  <c r="W371" i="13"/>
  <c r="V371" i="13"/>
  <c r="U371" i="13"/>
  <c r="U383" i="13" s="1"/>
  <c r="T371" i="13"/>
  <c r="S371" i="13"/>
  <c r="R371" i="13"/>
  <c r="Q371" i="13"/>
  <c r="P371" i="13"/>
  <c r="O371" i="13"/>
  <c r="N371" i="13"/>
  <c r="M371" i="13"/>
  <c r="L371" i="13"/>
  <c r="K371" i="13"/>
  <c r="J371" i="13"/>
  <c r="J339" i="13" s="1"/>
  <c r="J323" i="13" s="1"/>
  <c r="I371" i="13"/>
  <c r="I339" i="13" s="1"/>
  <c r="H371" i="13"/>
  <c r="G371" i="13"/>
  <c r="G339" i="13" s="1"/>
  <c r="F371" i="13"/>
  <c r="E371" i="13"/>
  <c r="D371" i="13"/>
  <c r="C371" i="13"/>
  <c r="B371" i="13"/>
  <c r="J367" i="13"/>
  <c r="P366" i="13"/>
  <c r="O366" i="13"/>
  <c r="O350" i="13" s="1"/>
  <c r="N366" i="13"/>
  <c r="M366" i="13"/>
  <c r="M350" i="13" s="1"/>
  <c r="M334" i="13" s="1"/>
  <c r="L366" i="13"/>
  <c r="K366" i="13"/>
  <c r="J366" i="13"/>
  <c r="I366" i="13"/>
  <c r="H366" i="13"/>
  <c r="G366" i="13"/>
  <c r="F366" i="13"/>
  <c r="F350" i="13" s="1"/>
  <c r="E366" i="13"/>
  <c r="E350" i="13" s="1"/>
  <c r="D366" i="13"/>
  <c r="D350" i="13" s="1"/>
  <c r="C366" i="13"/>
  <c r="C350" i="13" s="1"/>
  <c r="B366" i="13"/>
  <c r="B350" i="13" s="1"/>
  <c r="P365" i="13"/>
  <c r="O365" i="13"/>
  <c r="N365" i="13"/>
  <c r="M365" i="13"/>
  <c r="L365" i="13"/>
  <c r="L349" i="13" s="1"/>
  <c r="K365" i="13"/>
  <c r="J365" i="13"/>
  <c r="I365" i="13"/>
  <c r="H365" i="13"/>
  <c r="G365" i="13"/>
  <c r="F365" i="13"/>
  <c r="E365" i="13"/>
  <c r="E349" i="13" s="1"/>
  <c r="D365" i="13"/>
  <c r="C365" i="13"/>
  <c r="B365" i="13"/>
  <c r="B349" i="13" s="1"/>
  <c r="B333" i="13" s="1"/>
  <c r="P364" i="13"/>
  <c r="O364" i="13"/>
  <c r="N364" i="13"/>
  <c r="M364" i="13"/>
  <c r="L364" i="13"/>
  <c r="K364" i="13"/>
  <c r="J364" i="13"/>
  <c r="I364" i="13"/>
  <c r="I348" i="13" s="1"/>
  <c r="H364" i="13"/>
  <c r="G364" i="13"/>
  <c r="G348" i="13" s="1"/>
  <c r="F364" i="13"/>
  <c r="F348" i="13" s="1"/>
  <c r="E364" i="13"/>
  <c r="D364" i="13"/>
  <c r="C364" i="13"/>
  <c r="B364" i="13"/>
  <c r="P363" i="13"/>
  <c r="P347" i="13" s="1"/>
  <c r="O363" i="13"/>
  <c r="O347" i="13" s="1"/>
  <c r="O331" i="13" s="1"/>
  <c r="N363" i="13"/>
  <c r="N347" i="13" s="1"/>
  <c r="M363" i="13"/>
  <c r="L363" i="13"/>
  <c r="K363" i="13"/>
  <c r="J363" i="13"/>
  <c r="I363" i="13"/>
  <c r="H363" i="13"/>
  <c r="G363" i="13"/>
  <c r="F363" i="13"/>
  <c r="F347" i="13" s="1"/>
  <c r="E363" i="13"/>
  <c r="D363" i="13"/>
  <c r="D347" i="13" s="1"/>
  <c r="D331" i="13" s="1"/>
  <c r="C363" i="13"/>
  <c r="C347" i="13" s="1"/>
  <c r="B363" i="13"/>
  <c r="P362" i="13"/>
  <c r="P346" i="13" s="1"/>
  <c r="P330" i="13" s="1"/>
  <c r="O362" i="13"/>
  <c r="O346" i="13" s="1"/>
  <c r="N362" i="13"/>
  <c r="N346" i="13" s="1"/>
  <c r="M362" i="13"/>
  <c r="M346" i="13" s="1"/>
  <c r="L362" i="13"/>
  <c r="L346" i="13" s="1"/>
  <c r="K362" i="13"/>
  <c r="K346" i="13" s="1"/>
  <c r="J362" i="13"/>
  <c r="I362" i="13"/>
  <c r="H362" i="13"/>
  <c r="G362" i="13"/>
  <c r="F362" i="13"/>
  <c r="E362" i="13"/>
  <c r="D362" i="13"/>
  <c r="C362" i="13"/>
  <c r="B362" i="13"/>
  <c r="P361" i="13"/>
  <c r="O361" i="13"/>
  <c r="N361" i="13"/>
  <c r="N345" i="13" s="1"/>
  <c r="N329" i="13" s="1"/>
  <c r="M361" i="13"/>
  <c r="M345" i="13" s="1"/>
  <c r="L361" i="13"/>
  <c r="K361" i="13"/>
  <c r="K345" i="13" s="1"/>
  <c r="J361" i="13"/>
  <c r="I361" i="13"/>
  <c r="I345" i="13" s="1"/>
  <c r="H361" i="13"/>
  <c r="H345" i="13" s="1"/>
  <c r="G361" i="13"/>
  <c r="F361" i="13"/>
  <c r="E361" i="13"/>
  <c r="D361" i="13"/>
  <c r="C361" i="13"/>
  <c r="B361" i="13"/>
  <c r="P360" i="13"/>
  <c r="O360" i="13"/>
  <c r="N360" i="13"/>
  <c r="M360" i="13"/>
  <c r="L360" i="13"/>
  <c r="K360" i="13"/>
  <c r="J360" i="13"/>
  <c r="I360" i="13"/>
  <c r="H360" i="13"/>
  <c r="H344" i="13" s="1"/>
  <c r="G360" i="13"/>
  <c r="F360" i="13"/>
  <c r="E360" i="13"/>
  <c r="E344" i="13" s="1"/>
  <c r="D360" i="13"/>
  <c r="C360" i="13"/>
  <c r="B360" i="13"/>
  <c r="P359" i="13"/>
  <c r="P343" i="13" s="1"/>
  <c r="O359" i="13"/>
  <c r="N359" i="13"/>
  <c r="M359" i="13"/>
  <c r="L359" i="13"/>
  <c r="K359" i="13"/>
  <c r="J359" i="13"/>
  <c r="I359" i="13"/>
  <c r="I367" i="13" s="1"/>
  <c r="H359" i="13"/>
  <c r="H343" i="13" s="1"/>
  <c r="G359" i="13"/>
  <c r="F359" i="13"/>
  <c r="F343" i="13" s="1"/>
  <c r="E359" i="13"/>
  <c r="E343" i="13" s="1"/>
  <c r="E327" i="13" s="1"/>
  <c r="D359" i="13"/>
  <c r="D343" i="13" s="1"/>
  <c r="D327" i="13" s="1"/>
  <c r="C359" i="13"/>
  <c r="C343" i="13" s="1"/>
  <c r="C327" i="13" s="1"/>
  <c r="B359" i="13"/>
  <c r="P358" i="13"/>
  <c r="O358" i="13"/>
  <c r="N358" i="13"/>
  <c r="M358" i="13"/>
  <c r="M342" i="13" s="1"/>
  <c r="M326" i="13" s="1"/>
  <c r="L358" i="13"/>
  <c r="K358" i="13"/>
  <c r="J358" i="13"/>
  <c r="J342" i="13" s="1"/>
  <c r="J326" i="13" s="1"/>
  <c r="I358" i="13"/>
  <c r="H358" i="13"/>
  <c r="G358" i="13"/>
  <c r="G342" i="13" s="1"/>
  <c r="G326" i="13" s="1"/>
  <c r="F358" i="13"/>
  <c r="F342" i="13" s="1"/>
  <c r="E358" i="13"/>
  <c r="D358" i="13"/>
  <c r="C358" i="13"/>
  <c r="B358" i="13"/>
  <c r="Q357" i="13"/>
  <c r="P357" i="13"/>
  <c r="O357" i="13"/>
  <c r="N357" i="13"/>
  <c r="M357" i="13"/>
  <c r="L357" i="13"/>
  <c r="K357" i="13"/>
  <c r="J357" i="13"/>
  <c r="J341" i="13" s="1"/>
  <c r="I357" i="13"/>
  <c r="H357" i="13"/>
  <c r="H341" i="13" s="1"/>
  <c r="G357" i="13"/>
  <c r="G341" i="13" s="1"/>
  <c r="F357" i="13"/>
  <c r="E357" i="13"/>
  <c r="D357" i="13"/>
  <c r="C357" i="13"/>
  <c r="B357" i="13"/>
  <c r="Q356" i="13"/>
  <c r="P356" i="13"/>
  <c r="P340" i="13" s="1"/>
  <c r="P324" i="13" s="1"/>
  <c r="O356" i="13"/>
  <c r="N356" i="13"/>
  <c r="M356" i="13"/>
  <c r="L356" i="13"/>
  <c r="K356" i="13"/>
  <c r="J356" i="13"/>
  <c r="I356" i="13"/>
  <c r="H356" i="13"/>
  <c r="G356" i="13"/>
  <c r="F356" i="13"/>
  <c r="E356" i="13"/>
  <c r="E340" i="13" s="1"/>
  <c r="D356" i="13"/>
  <c r="D340" i="13" s="1"/>
  <c r="D324" i="13" s="1"/>
  <c r="C356" i="13"/>
  <c r="B356" i="13"/>
  <c r="Q355" i="13"/>
  <c r="P355" i="13"/>
  <c r="P339" i="13" s="1"/>
  <c r="O355" i="13"/>
  <c r="N355" i="13"/>
  <c r="M355" i="13"/>
  <c r="L355" i="13"/>
  <c r="K355" i="13"/>
  <c r="J355" i="13"/>
  <c r="I355" i="13"/>
  <c r="H355" i="13"/>
  <c r="G355" i="13"/>
  <c r="F355" i="13"/>
  <c r="E355" i="13"/>
  <c r="D355" i="13"/>
  <c r="D339" i="13" s="1"/>
  <c r="C355" i="13"/>
  <c r="C367" i="13" s="1"/>
  <c r="C22" i="13" s="1"/>
  <c r="B355" i="13"/>
  <c r="P350" i="13"/>
  <c r="K350" i="13"/>
  <c r="J350" i="13"/>
  <c r="J334" i="13" s="1"/>
  <c r="H350" i="13"/>
  <c r="H334" i="13" s="1"/>
  <c r="G350" i="13"/>
  <c r="G334" i="13" s="1"/>
  <c r="O349" i="13"/>
  <c r="N349" i="13"/>
  <c r="K349" i="13"/>
  <c r="J349" i="13"/>
  <c r="J333" i="13" s="1"/>
  <c r="G349" i="13"/>
  <c r="G333" i="13" s="1"/>
  <c r="F349" i="13"/>
  <c r="F333" i="13" s="1"/>
  <c r="C349" i="13"/>
  <c r="C333" i="13" s="1"/>
  <c r="P348" i="13"/>
  <c r="O348" i="13"/>
  <c r="N348" i="13"/>
  <c r="M348" i="13"/>
  <c r="K348" i="13"/>
  <c r="J348" i="13"/>
  <c r="H348" i="13"/>
  <c r="D348" i="13"/>
  <c r="D332" i="13" s="1"/>
  <c r="C348" i="13"/>
  <c r="C332" i="13" s="1"/>
  <c r="B348" i="13"/>
  <c r="B332" i="13" s="1"/>
  <c r="M347" i="13"/>
  <c r="L347" i="13"/>
  <c r="K347" i="13"/>
  <c r="K331" i="13" s="1"/>
  <c r="J347" i="13"/>
  <c r="I347" i="13"/>
  <c r="I331" i="13" s="1"/>
  <c r="H347" i="13"/>
  <c r="H331" i="13" s="1"/>
  <c r="E347" i="13"/>
  <c r="B347" i="13"/>
  <c r="J346" i="13"/>
  <c r="I346" i="13"/>
  <c r="H346" i="13"/>
  <c r="H330" i="13" s="1"/>
  <c r="G346" i="13"/>
  <c r="F346" i="13"/>
  <c r="F330" i="13" s="1"/>
  <c r="E346" i="13"/>
  <c r="E330" i="13" s="1"/>
  <c r="D346" i="13"/>
  <c r="B346" i="13"/>
  <c r="O345" i="13"/>
  <c r="O329" i="13" s="1"/>
  <c r="F345" i="13"/>
  <c r="E345" i="13"/>
  <c r="D345" i="13"/>
  <c r="C345" i="13"/>
  <c r="C329" i="13" s="1"/>
  <c r="B345" i="13"/>
  <c r="B329" i="13" s="1"/>
  <c r="P344" i="13"/>
  <c r="O344" i="13"/>
  <c r="O328" i="13" s="1"/>
  <c r="N344" i="13"/>
  <c r="M344" i="13"/>
  <c r="K344" i="13"/>
  <c r="J344" i="13"/>
  <c r="J328" i="13" s="1"/>
  <c r="B344" i="13"/>
  <c r="O343" i="13"/>
  <c r="O327" i="13" s="1"/>
  <c r="N343" i="13"/>
  <c r="N327" i="13" s="1"/>
  <c r="M343" i="13"/>
  <c r="M327" i="13" s="1"/>
  <c r="L343" i="13"/>
  <c r="K343" i="13"/>
  <c r="J343" i="13"/>
  <c r="J327" i="13" s="1"/>
  <c r="I343" i="13"/>
  <c r="I327" i="13" s="1"/>
  <c r="P342" i="13"/>
  <c r="P326" i="13" s="1"/>
  <c r="O342" i="13"/>
  <c r="O326" i="13" s="1"/>
  <c r="N342" i="13"/>
  <c r="L342" i="13"/>
  <c r="I342" i="13"/>
  <c r="H342" i="13"/>
  <c r="E342" i="13"/>
  <c r="E326" i="13" s="1"/>
  <c r="D342" i="13"/>
  <c r="D326" i="13" s="1"/>
  <c r="O341" i="13"/>
  <c r="M341" i="13"/>
  <c r="L341" i="13"/>
  <c r="L325" i="13" s="1"/>
  <c r="K341" i="13"/>
  <c r="I341" i="13"/>
  <c r="I325" i="13" s="1"/>
  <c r="F341" i="13"/>
  <c r="D341" i="13"/>
  <c r="D325" i="13" s="1"/>
  <c r="C341" i="13"/>
  <c r="B341" i="13"/>
  <c r="B325" i="13" s="1"/>
  <c r="L340" i="13"/>
  <c r="J340" i="13"/>
  <c r="J324" i="13" s="1"/>
  <c r="I340" i="13"/>
  <c r="I324" i="13" s="1"/>
  <c r="H340" i="13"/>
  <c r="F340" i="13"/>
  <c r="C340" i="13"/>
  <c r="B340" i="13"/>
  <c r="B324" i="13" s="1"/>
  <c r="F339" i="13"/>
  <c r="E339" i="13"/>
  <c r="C339" i="13"/>
  <c r="B339" i="13"/>
  <c r="AP338" i="13"/>
  <c r="AO338" i="13"/>
  <c r="AN338" i="13"/>
  <c r="AM338" i="13"/>
  <c r="AL338" i="13"/>
  <c r="AK338" i="13"/>
  <c r="AJ338" i="13"/>
  <c r="AI338" i="13"/>
  <c r="AH338" i="13"/>
  <c r="AG338" i="13"/>
  <c r="AF338" i="13"/>
  <c r="AE338" i="13"/>
  <c r="AD338" i="13"/>
  <c r="AC338" i="13"/>
  <c r="AB338" i="13"/>
  <c r="AA338" i="13"/>
  <c r="Z338" i="13"/>
  <c r="Y338" i="13"/>
  <c r="X338" i="13"/>
  <c r="W338" i="13"/>
  <c r="V338" i="13"/>
  <c r="U338" i="13"/>
  <c r="T338" i="13"/>
  <c r="S338" i="13"/>
  <c r="R338" i="13"/>
  <c r="Q338" i="13"/>
  <c r="P338" i="13"/>
  <c r="O338" i="13"/>
  <c r="N338" i="13"/>
  <c r="M338" i="13"/>
  <c r="L338" i="13"/>
  <c r="K338" i="13"/>
  <c r="J338" i="13"/>
  <c r="I338" i="13"/>
  <c r="H338" i="13"/>
  <c r="G338" i="13"/>
  <c r="F338" i="13"/>
  <c r="E338" i="13"/>
  <c r="D338" i="13"/>
  <c r="C338" i="13"/>
  <c r="B338" i="13"/>
  <c r="P334" i="13"/>
  <c r="O334" i="13"/>
  <c r="L333" i="13"/>
  <c r="E333" i="13"/>
  <c r="O332" i="13"/>
  <c r="N332" i="13"/>
  <c r="L331" i="13"/>
  <c r="G331" i="13"/>
  <c r="I330" i="13"/>
  <c r="G330" i="13"/>
  <c r="D330" i="13"/>
  <c r="B330" i="13"/>
  <c r="F329" i="13"/>
  <c r="E329" i="13"/>
  <c r="D329" i="13"/>
  <c r="P328" i="13"/>
  <c r="N328" i="13"/>
  <c r="M328" i="13"/>
  <c r="B328" i="13"/>
  <c r="K327" i="13"/>
  <c r="N326" i="13"/>
  <c r="F326" i="13"/>
  <c r="O325" i="13"/>
  <c r="K325" i="13"/>
  <c r="J325" i="13"/>
  <c r="G325" i="13"/>
  <c r="L324" i="13"/>
  <c r="K324" i="13"/>
  <c r="H324" i="13"/>
  <c r="F324" i="13"/>
  <c r="E324" i="13"/>
  <c r="C324" i="13"/>
  <c r="E323" i="13"/>
  <c r="D323" i="13"/>
  <c r="C323" i="13"/>
  <c r="B323" i="13"/>
  <c r="AO319" i="13"/>
  <c r="AN319" i="13"/>
  <c r="AM319" i="13"/>
  <c r="AM19" i="13" s="1"/>
  <c r="AP318" i="13"/>
  <c r="AO318" i="13"/>
  <c r="AN318" i="13"/>
  <c r="AM318" i="13"/>
  <c r="AM270" i="13" s="1"/>
  <c r="AL318" i="13"/>
  <c r="AK318" i="13"/>
  <c r="AJ318" i="13"/>
  <c r="AI318" i="13"/>
  <c r="AH318" i="13"/>
  <c r="AG318" i="13"/>
  <c r="AF318" i="13"/>
  <c r="AE318" i="13"/>
  <c r="AD318" i="13"/>
  <c r="AC318" i="13"/>
  <c r="AB318" i="13"/>
  <c r="AA318" i="13"/>
  <c r="Z318" i="13"/>
  <c r="Y318" i="13"/>
  <c r="X318" i="13"/>
  <c r="W318" i="13"/>
  <c r="V318" i="13"/>
  <c r="U318" i="13"/>
  <c r="T318" i="13"/>
  <c r="S318" i="13"/>
  <c r="R318" i="13"/>
  <c r="Q318" i="13"/>
  <c r="P318" i="13"/>
  <c r="O318" i="13"/>
  <c r="N318" i="13"/>
  <c r="M318" i="13"/>
  <c r="L318" i="13"/>
  <c r="K318" i="13"/>
  <c r="J318" i="13"/>
  <c r="I318" i="13"/>
  <c r="H318" i="13"/>
  <c r="G318" i="13"/>
  <c r="F318" i="13"/>
  <c r="E318" i="13"/>
  <c r="D318" i="13"/>
  <c r="C318" i="13"/>
  <c r="B318" i="13"/>
  <c r="AP317" i="13"/>
  <c r="AO317" i="13"/>
  <c r="AN317" i="13"/>
  <c r="AM317" i="13"/>
  <c r="AL317" i="13"/>
  <c r="AK317" i="13"/>
  <c r="AJ317" i="13"/>
  <c r="AJ269" i="13" s="1"/>
  <c r="AI317" i="13"/>
  <c r="AH317" i="13"/>
  <c r="AG317" i="13"/>
  <c r="AF317" i="13"/>
  <c r="AE317" i="13"/>
  <c r="AD317" i="13"/>
  <c r="AC317" i="13"/>
  <c r="AB317" i="13"/>
  <c r="AA317" i="13"/>
  <c r="Z317" i="13"/>
  <c r="Y317" i="13"/>
  <c r="X317" i="13"/>
  <c r="W317" i="13"/>
  <c r="V317" i="13"/>
  <c r="U317" i="13"/>
  <c r="T317" i="13"/>
  <c r="S317" i="13"/>
  <c r="R317" i="13"/>
  <c r="Q317" i="13"/>
  <c r="P317" i="13"/>
  <c r="O317" i="13"/>
  <c r="N317" i="13"/>
  <c r="N269" i="13" s="1"/>
  <c r="M317" i="13"/>
  <c r="L317" i="13"/>
  <c r="K317" i="13"/>
  <c r="J317" i="13"/>
  <c r="I317" i="13"/>
  <c r="H317" i="13"/>
  <c r="G317" i="13"/>
  <c r="F317" i="13"/>
  <c r="E317" i="13"/>
  <c r="D317" i="13"/>
  <c r="C317" i="13"/>
  <c r="B317" i="13"/>
  <c r="AP316" i="13"/>
  <c r="AO316" i="13"/>
  <c r="AN316" i="13"/>
  <c r="AM316" i="13"/>
  <c r="AL316" i="13"/>
  <c r="AK316" i="13"/>
  <c r="AJ316" i="13"/>
  <c r="AI316" i="13"/>
  <c r="AH316" i="13"/>
  <c r="AG316" i="13"/>
  <c r="AG268" i="13" s="1"/>
  <c r="AF316" i="13"/>
  <c r="AE316" i="13"/>
  <c r="AD316" i="13"/>
  <c r="AC316" i="13"/>
  <c r="AB316" i="13"/>
  <c r="AA316" i="13"/>
  <c r="Z316" i="13"/>
  <c r="Y316" i="13"/>
  <c r="X316" i="13"/>
  <c r="W316" i="13"/>
  <c r="V316" i="13"/>
  <c r="U316" i="13"/>
  <c r="T316" i="13"/>
  <c r="S316" i="13"/>
  <c r="R316" i="13"/>
  <c r="Q316" i="13"/>
  <c r="P316" i="13"/>
  <c r="O316" i="13"/>
  <c r="N316" i="13"/>
  <c r="M316" i="13"/>
  <c r="L316" i="13"/>
  <c r="K316" i="13"/>
  <c r="K268" i="13" s="1"/>
  <c r="J316" i="13"/>
  <c r="I316" i="13"/>
  <c r="H316" i="13"/>
  <c r="G316" i="13"/>
  <c r="F316" i="13"/>
  <c r="E316" i="13"/>
  <c r="D316" i="13"/>
  <c r="C316" i="13"/>
  <c r="B316" i="13"/>
  <c r="AP315" i="13"/>
  <c r="AO315" i="13"/>
  <c r="AN315" i="13"/>
  <c r="AM315" i="13"/>
  <c r="AL315" i="13"/>
  <c r="AK315" i="13"/>
  <c r="AJ315" i="13"/>
  <c r="AI315" i="13"/>
  <c r="AH315" i="13"/>
  <c r="AG315" i="13"/>
  <c r="AF315" i="13"/>
  <c r="AE315" i="13"/>
  <c r="AD315" i="13"/>
  <c r="AD267" i="13" s="1"/>
  <c r="AC315" i="13"/>
  <c r="AB315" i="13"/>
  <c r="AA315" i="13"/>
  <c r="Z315" i="13"/>
  <c r="Y315" i="13"/>
  <c r="X315" i="13"/>
  <c r="W315" i="13"/>
  <c r="V315" i="13"/>
  <c r="U315" i="13"/>
  <c r="T315" i="13"/>
  <c r="S315" i="13"/>
  <c r="R315" i="13"/>
  <c r="Q315" i="13"/>
  <c r="P315" i="13"/>
  <c r="O315" i="13"/>
  <c r="N315" i="13"/>
  <c r="M315" i="13"/>
  <c r="L315" i="13"/>
  <c r="K315" i="13"/>
  <c r="J315" i="13"/>
  <c r="I315" i="13"/>
  <c r="H315" i="13"/>
  <c r="H267" i="13" s="1"/>
  <c r="G315" i="13"/>
  <c r="F315" i="13"/>
  <c r="E315" i="13"/>
  <c r="D315" i="13"/>
  <c r="C315" i="13"/>
  <c r="B315" i="13"/>
  <c r="AP314" i="13"/>
  <c r="AO314" i="13"/>
  <c r="AN314" i="13"/>
  <c r="AM314" i="13"/>
  <c r="AL314" i="13"/>
  <c r="AK314" i="13"/>
  <c r="AJ314" i="13"/>
  <c r="AI314" i="13"/>
  <c r="AH314" i="13"/>
  <c r="AG314" i="13"/>
  <c r="AF314" i="13"/>
  <c r="AE314" i="13"/>
  <c r="AD314" i="13"/>
  <c r="AC314" i="13"/>
  <c r="AB314" i="13"/>
  <c r="AA314" i="13"/>
  <c r="AA266" i="13" s="1"/>
  <c r="Z314" i="13"/>
  <c r="Y314" i="13"/>
  <c r="X314" i="13"/>
  <c r="W314" i="13"/>
  <c r="V314" i="13"/>
  <c r="U314" i="13"/>
  <c r="T314" i="13"/>
  <c r="S314" i="13"/>
  <c r="R314" i="13"/>
  <c r="Q314" i="13"/>
  <c r="P314" i="13"/>
  <c r="O314" i="13"/>
  <c r="N314" i="13"/>
  <c r="M314" i="13"/>
  <c r="L314" i="13"/>
  <c r="K314" i="13"/>
  <c r="J314" i="13"/>
  <c r="I314" i="13"/>
  <c r="H314" i="13"/>
  <c r="G314" i="13"/>
  <c r="F314" i="13"/>
  <c r="E314" i="13"/>
  <c r="D314" i="13"/>
  <c r="C314" i="13"/>
  <c r="B314" i="13"/>
  <c r="AP313" i="13"/>
  <c r="AO313" i="13"/>
  <c r="AN313" i="13"/>
  <c r="AM313" i="13"/>
  <c r="AL313" i="13"/>
  <c r="AK313" i="13"/>
  <c r="AJ313" i="13"/>
  <c r="AI313" i="13"/>
  <c r="AH313" i="13"/>
  <c r="AG313" i="13"/>
  <c r="AF313" i="13"/>
  <c r="AE313" i="13"/>
  <c r="AD313" i="13"/>
  <c r="AC313" i="13"/>
  <c r="AB313" i="13"/>
  <c r="AA313" i="13"/>
  <c r="Z313" i="13"/>
  <c r="Y313" i="13"/>
  <c r="X313" i="13"/>
  <c r="X265" i="13" s="1"/>
  <c r="W313" i="13"/>
  <c r="V313" i="13"/>
  <c r="U313" i="13"/>
  <c r="T313" i="13"/>
  <c r="S313" i="13"/>
  <c r="R313" i="13"/>
  <c r="Q313" i="13"/>
  <c r="P313" i="13"/>
  <c r="O313" i="13"/>
  <c r="N313" i="13"/>
  <c r="M313" i="13"/>
  <c r="L313" i="13"/>
  <c r="K313" i="13"/>
  <c r="K265" i="13" s="1"/>
  <c r="J313" i="13"/>
  <c r="I313" i="13"/>
  <c r="H313" i="13"/>
  <c r="G313" i="13"/>
  <c r="F313" i="13"/>
  <c r="E313" i="13"/>
  <c r="D313" i="13"/>
  <c r="C313" i="13"/>
  <c r="B313" i="13"/>
  <c r="B265" i="13" s="1"/>
  <c r="AP312" i="13"/>
  <c r="AP319" i="13" s="1"/>
  <c r="AP19" i="13" s="1"/>
  <c r="AO312" i="13"/>
  <c r="AN312" i="13"/>
  <c r="AM312" i="13"/>
  <c r="AL312" i="13"/>
  <c r="AK312" i="13"/>
  <c r="AJ312" i="13"/>
  <c r="AI312" i="13"/>
  <c r="AH312" i="13"/>
  <c r="AG312" i="13"/>
  <c r="AF312" i="13"/>
  <c r="AE312" i="13"/>
  <c r="AD312" i="13"/>
  <c r="AC312" i="13"/>
  <c r="AB312" i="13"/>
  <c r="AA312" i="13"/>
  <c r="Z312" i="13"/>
  <c r="Y312" i="13"/>
  <c r="X312" i="13"/>
  <c r="W312" i="13"/>
  <c r="V312" i="13"/>
  <c r="U312" i="13"/>
  <c r="T312" i="13"/>
  <c r="S312" i="13"/>
  <c r="R312" i="13"/>
  <c r="Q312" i="13"/>
  <c r="P312" i="13"/>
  <c r="O312" i="13"/>
  <c r="N312" i="13"/>
  <c r="M312" i="13"/>
  <c r="L312" i="13"/>
  <c r="K312" i="13"/>
  <c r="J312" i="13"/>
  <c r="I312" i="13"/>
  <c r="H312" i="13"/>
  <c r="G312" i="13"/>
  <c r="F312" i="13"/>
  <c r="E312" i="13"/>
  <c r="D312" i="13"/>
  <c r="C312" i="13"/>
  <c r="B312" i="13"/>
  <c r="AP311" i="13"/>
  <c r="AO311" i="13"/>
  <c r="AN311" i="13"/>
  <c r="AN263" i="13" s="1"/>
  <c r="AM311" i="13"/>
  <c r="AL311" i="13"/>
  <c r="AK311" i="13"/>
  <c r="AJ311" i="13"/>
  <c r="AI311" i="13"/>
  <c r="AH311" i="13"/>
  <c r="AG311" i="13"/>
  <c r="AF311" i="13"/>
  <c r="AE311" i="13"/>
  <c r="AD311" i="13"/>
  <c r="AC311" i="13"/>
  <c r="AB311" i="13"/>
  <c r="AA311" i="13"/>
  <c r="Z311" i="13"/>
  <c r="Y311" i="13"/>
  <c r="X311" i="13"/>
  <c r="W311" i="13"/>
  <c r="V311" i="13"/>
  <c r="U311" i="13"/>
  <c r="T311" i="13"/>
  <c r="S311" i="13"/>
  <c r="R311" i="13"/>
  <c r="Q311" i="13"/>
  <c r="Q319" i="13" s="1"/>
  <c r="Q19" i="13" s="1"/>
  <c r="P311" i="13"/>
  <c r="O311" i="13"/>
  <c r="N311" i="13"/>
  <c r="M311" i="13"/>
  <c r="L311" i="13"/>
  <c r="K311" i="13"/>
  <c r="J311" i="13"/>
  <c r="I311" i="13"/>
  <c r="H311" i="13"/>
  <c r="G311" i="13"/>
  <c r="F311" i="13"/>
  <c r="E311" i="13"/>
  <c r="D311" i="13"/>
  <c r="C311" i="13"/>
  <c r="B311" i="13"/>
  <c r="AP310" i="13"/>
  <c r="AO310" i="13"/>
  <c r="AN310" i="13"/>
  <c r="AM310" i="13"/>
  <c r="AL310" i="13"/>
  <c r="AK310" i="13"/>
  <c r="AJ310" i="13"/>
  <c r="AI310" i="13"/>
  <c r="AH310" i="13"/>
  <c r="AG310" i="13"/>
  <c r="AF310" i="13"/>
  <c r="AE310" i="13"/>
  <c r="AD310" i="13"/>
  <c r="AC310" i="13"/>
  <c r="AB310" i="13"/>
  <c r="AA310" i="13"/>
  <c r="Z310" i="13"/>
  <c r="Y310" i="13"/>
  <c r="X310" i="13"/>
  <c r="W310" i="13"/>
  <c r="V310" i="13"/>
  <c r="U310" i="13"/>
  <c r="T310" i="13"/>
  <c r="T319" i="13" s="1"/>
  <c r="T19" i="13" s="1"/>
  <c r="S310" i="13"/>
  <c r="R310" i="13"/>
  <c r="Q310" i="13"/>
  <c r="P310" i="13"/>
  <c r="O310" i="13"/>
  <c r="O262" i="13" s="1"/>
  <c r="N310" i="13"/>
  <c r="M310" i="13"/>
  <c r="L310" i="13"/>
  <c r="K310" i="13"/>
  <c r="J310" i="13"/>
  <c r="I310" i="13"/>
  <c r="H310" i="13"/>
  <c r="G310" i="13"/>
  <c r="F310" i="13"/>
  <c r="E310" i="13"/>
  <c r="D310" i="13"/>
  <c r="C310" i="13"/>
  <c r="B310" i="13"/>
  <c r="AP309" i="13"/>
  <c r="AO309" i="13"/>
  <c r="AN309" i="13"/>
  <c r="AM309" i="13"/>
  <c r="AL309" i="13"/>
  <c r="AK309" i="13"/>
  <c r="AJ309" i="13"/>
  <c r="AI309" i="13"/>
  <c r="AH309" i="13"/>
  <c r="AG309" i="13"/>
  <c r="AF309" i="13"/>
  <c r="AE309" i="13"/>
  <c r="AD309" i="13"/>
  <c r="AC309" i="13"/>
  <c r="AB309" i="13"/>
  <c r="AA309" i="13"/>
  <c r="Z309" i="13"/>
  <c r="Y309" i="13"/>
  <c r="X309" i="13"/>
  <c r="W309" i="13"/>
  <c r="W319" i="13" s="1"/>
  <c r="W19" i="13" s="1"/>
  <c r="V309" i="13"/>
  <c r="U309" i="13"/>
  <c r="T309" i="13"/>
  <c r="S309" i="13"/>
  <c r="R309" i="13"/>
  <c r="Q309" i="13"/>
  <c r="P309" i="13"/>
  <c r="O309" i="13"/>
  <c r="N309" i="13"/>
  <c r="M309" i="13"/>
  <c r="L309" i="13"/>
  <c r="K309" i="13"/>
  <c r="J309" i="13"/>
  <c r="I309" i="13"/>
  <c r="H309" i="13"/>
  <c r="G309" i="13"/>
  <c r="F309" i="13"/>
  <c r="E309" i="13"/>
  <c r="D309" i="13"/>
  <c r="C309" i="13"/>
  <c r="B309" i="13"/>
  <c r="AP308" i="13"/>
  <c r="AO308" i="13"/>
  <c r="AN308" i="13"/>
  <c r="AM308" i="13"/>
  <c r="AL308" i="13"/>
  <c r="AK308" i="13"/>
  <c r="AJ308" i="13"/>
  <c r="AI308" i="13"/>
  <c r="AH308" i="13"/>
  <c r="AG308" i="13"/>
  <c r="AF308" i="13"/>
  <c r="AE308" i="13"/>
  <c r="AE260" i="13" s="1"/>
  <c r="AD308" i="13"/>
  <c r="AC308" i="13"/>
  <c r="AB308" i="13"/>
  <c r="AA308" i="13"/>
  <c r="Z308" i="13"/>
  <c r="Y308" i="13"/>
  <c r="X308" i="13"/>
  <c r="W308" i="13"/>
  <c r="V308" i="13"/>
  <c r="U308" i="13"/>
  <c r="T308" i="13"/>
  <c r="S308" i="13"/>
  <c r="R308" i="13"/>
  <c r="R260" i="13" s="1"/>
  <c r="Q308" i="13"/>
  <c r="P308" i="13"/>
  <c r="O308" i="13"/>
  <c r="N308" i="13"/>
  <c r="M308" i="13"/>
  <c r="L308" i="13"/>
  <c r="K308" i="13"/>
  <c r="J308" i="13"/>
  <c r="I308" i="13"/>
  <c r="H308" i="13"/>
  <c r="G308" i="13"/>
  <c r="F308" i="13"/>
  <c r="E308" i="13"/>
  <c r="D308" i="13"/>
  <c r="C308" i="13"/>
  <c r="B308" i="13"/>
  <c r="AP307" i="13"/>
  <c r="AO307" i="13"/>
  <c r="AN307" i="13"/>
  <c r="AM307" i="13"/>
  <c r="AL307" i="13"/>
  <c r="AK307" i="13"/>
  <c r="AJ307" i="13"/>
  <c r="AI307" i="13"/>
  <c r="AH307" i="13"/>
  <c r="AG307" i="13"/>
  <c r="AF307" i="13"/>
  <c r="AE307" i="13"/>
  <c r="AD307" i="13"/>
  <c r="AC307" i="13"/>
  <c r="AB307" i="13"/>
  <c r="AA307" i="13"/>
  <c r="AA319" i="13" s="1"/>
  <c r="Z307" i="13"/>
  <c r="Y307" i="13"/>
  <c r="X307" i="13"/>
  <c r="W307" i="13"/>
  <c r="V307" i="13"/>
  <c r="V319" i="13" s="1"/>
  <c r="U307" i="13"/>
  <c r="T307" i="13"/>
  <c r="S307" i="13"/>
  <c r="R307" i="13"/>
  <c r="Q307" i="13"/>
  <c r="P307" i="13"/>
  <c r="O307" i="13"/>
  <c r="N307" i="13"/>
  <c r="M307" i="13"/>
  <c r="L307" i="13"/>
  <c r="K307" i="13"/>
  <c r="J307" i="13"/>
  <c r="I307" i="13"/>
  <c r="H307" i="13"/>
  <c r="G307" i="13"/>
  <c r="F307" i="13"/>
  <c r="F319" i="13" s="1"/>
  <c r="E307" i="13"/>
  <c r="E319" i="13" s="1"/>
  <c r="D307" i="13"/>
  <c r="C307" i="13"/>
  <c r="B307" i="13"/>
  <c r="Z303" i="13"/>
  <c r="Z18" i="13" s="1"/>
  <c r="BR18" i="13" s="1"/>
  <c r="B303" i="13"/>
  <c r="B18" i="13" s="1"/>
  <c r="AP302" i="13"/>
  <c r="AO302" i="13"/>
  <c r="AO270" i="13" s="1"/>
  <c r="AN302" i="13"/>
  <c r="AM302" i="13"/>
  <c r="AL302" i="13"/>
  <c r="AL270" i="13" s="1"/>
  <c r="AK302" i="13"/>
  <c r="AJ302" i="13"/>
  <c r="AI302" i="13"/>
  <c r="AI270" i="13" s="1"/>
  <c r="AH302" i="13"/>
  <c r="AH270" i="13" s="1"/>
  <c r="AG302" i="13"/>
  <c r="AF302" i="13"/>
  <c r="AE302" i="13"/>
  <c r="AD302" i="13"/>
  <c r="AC302" i="13"/>
  <c r="AB302" i="13"/>
  <c r="AA302" i="13"/>
  <c r="Z302" i="13"/>
  <c r="Y302" i="13"/>
  <c r="X302" i="13"/>
  <c r="W302" i="13"/>
  <c r="V302" i="13"/>
  <c r="U302" i="13"/>
  <c r="T302" i="13"/>
  <c r="S302" i="13"/>
  <c r="R302" i="13"/>
  <c r="Q302" i="13"/>
  <c r="P302" i="13"/>
  <c r="P270" i="13" s="1"/>
  <c r="O302" i="13"/>
  <c r="N302" i="13"/>
  <c r="M302" i="13"/>
  <c r="L302" i="13"/>
  <c r="L270" i="13" s="1"/>
  <c r="K302" i="13"/>
  <c r="J302" i="13"/>
  <c r="I302" i="13"/>
  <c r="H302" i="13"/>
  <c r="G302" i="13"/>
  <c r="F302" i="13"/>
  <c r="E302" i="13"/>
  <c r="D302" i="13"/>
  <c r="C302" i="13"/>
  <c r="B302" i="13"/>
  <c r="AP301" i="13"/>
  <c r="AO301" i="13"/>
  <c r="AO269" i="13" s="1"/>
  <c r="AN301" i="13"/>
  <c r="AM301" i="13"/>
  <c r="AL301" i="13"/>
  <c r="AL269" i="13" s="1"/>
  <c r="AK301" i="13"/>
  <c r="AJ301" i="13"/>
  <c r="AI301" i="13"/>
  <c r="AI269" i="13" s="1"/>
  <c r="AH301" i="13"/>
  <c r="AG301" i="13"/>
  <c r="AF301" i="13"/>
  <c r="AF269" i="13" s="1"/>
  <c r="AE301" i="13"/>
  <c r="AE269" i="13" s="1"/>
  <c r="AD301" i="13"/>
  <c r="AC301" i="13"/>
  <c r="AB301" i="13"/>
  <c r="AA301" i="13"/>
  <c r="Z301" i="13"/>
  <c r="Y301" i="13"/>
  <c r="X301" i="13"/>
  <c r="W301" i="13"/>
  <c r="V301" i="13"/>
  <c r="U301" i="13"/>
  <c r="T301" i="13"/>
  <c r="S301" i="13"/>
  <c r="S269" i="13" s="1"/>
  <c r="R301" i="13"/>
  <c r="Q301" i="13"/>
  <c r="P301" i="13"/>
  <c r="O301" i="13"/>
  <c r="N301" i="13"/>
  <c r="M301" i="13"/>
  <c r="M269" i="13" s="1"/>
  <c r="L301" i="13"/>
  <c r="K301" i="13"/>
  <c r="J301" i="13"/>
  <c r="I301" i="13"/>
  <c r="I269" i="13" s="1"/>
  <c r="H301" i="13"/>
  <c r="G301" i="13"/>
  <c r="F301" i="13"/>
  <c r="E301" i="13"/>
  <c r="D301" i="13"/>
  <c r="C301" i="13"/>
  <c r="B301" i="13"/>
  <c r="AP300" i="13"/>
  <c r="AO300" i="13"/>
  <c r="AN300" i="13"/>
  <c r="AM300" i="13"/>
  <c r="AL300" i="13"/>
  <c r="AL268" i="13" s="1"/>
  <c r="AK300" i="13"/>
  <c r="AJ300" i="13"/>
  <c r="AI300" i="13"/>
  <c r="AI268" i="13" s="1"/>
  <c r="AH300" i="13"/>
  <c r="AG300" i="13"/>
  <c r="AF300" i="13"/>
  <c r="AF268" i="13" s="1"/>
  <c r="AE300" i="13"/>
  <c r="AD300" i="13"/>
  <c r="AC300" i="13"/>
  <c r="AB300" i="13"/>
  <c r="AB268" i="13" s="1"/>
  <c r="AA300" i="13"/>
  <c r="Z300" i="13"/>
  <c r="Y300" i="13"/>
  <c r="X300" i="13"/>
  <c r="W300" i="13"/>
  <c r="V300" i="13"/>
  <c r="U300" i="13"/>
  <c r="T300" i="13"/>
  <c r="S300" i="13"/>
  <c r="R300" i="13"/>
  <c r="Q300" i="13"/>
  <c r="P300" i="13"/>
  <c r="P268" i="13" s="1"/>
  <c r="O300" i="13"/>
  <c r="N300" i="13"/>
  <c r="M300" i="13"/>
  <c r="L300" i="13"/>
  <c r="K300" i="13"/>
  <c r="J300" i="13"/>
  <c r="J268" i="13" s="1"/>
  <c r="I300" i="13"/>
  <c r="H300" i="13"/>
  <c r="G300" i="13"/>
  <c r="F300" i="13"/>
  <c r="F268" i="13" s="1"/>
  <c r="E300" i="13"/>
  <c r="D300" i="13"/>
  <c r="C300" i="13"/>
  <c r="B300" i="13"/>
  <c r="AP299" i="13"/>
  <c r="AO299" i="13"/>
  <c r="AN299" i="13"/>
  <c r="AM299" i="13"/>
  <c r="AL299" i="13"/>
  <c r="AK299" i="13"/>
  <c r="AJ299" i="13"/>
  <c r="AI299" i="13"/>
  <c r="AI267" i="13" s="1"/>
  <c r="AH299" i="13"/>
  <c r="AG299" i="13"/>
  <c r="AF299" i="13"/>
  <c r="AF267" i="13" s="1"/>
  <c r="AE299" i="13"/>
  <c r="AD299" i="13"/>
  <c r="AC299" i="13"/>
  <c r="AC267" i="13" s="1"/>
  <c r="AB299" i="13"/>
  <c r="AA299" i="13"/>
  <c r="Z299" i="13"/>
  <c r="Y299" i="13"/>
  <c r="Y267" i="13" s="1"/>
  <c r="X299" i="13"/>
  <c r="W299" i="13"/>
  <c r="V299" i="13"/>
  <c r="U299" i="13"/>
  <c r="T299" i="13"/>
  <c r="S299" i="13"/>
  <c r="R299" i="13"/>
  <c r="Q299" i="13"/>
  <c r="P299" i="13"/>
  <c r="O299" i="13"/>
  <c r="N299" i="13"/>
  <c r="M299" i="13"/>
  <c r="M267" i="13" s="1"/>
  <c r="L299" i="13"/>
  <c r="K299" i="13"/>
  <c r="J299" i="13"/>
  <c r="J267" i="13" s="1"/>
  <c r="I299" i="13"/>
  <c r="H299" i="13"/>
  <c r="G299" i="13"/>
  <c r="G267" i="13" s="1"/>
  <c r="F299" i="13"/>
  <c r="E299" i="13"/>
  <c r="D299" i="13"/>
  <c r="D267" i="13" s="1"/>
  <c r="C299" i="13"/>
  <c r="C267" i="13" s="1"/>
  <c r="B299" i="13"/>
  <c r="AP298" i="13"/>
  <c r="AO298" i="13"/>
  <c r="AN298" i="13"/>
  <c r="AM298" i="13"/>
  <c r="AL298" i="13"/>
  <c r="AK298" i="13"/>
  <c r="AJ298" i="13"/>
  <c r="AI298" i="13"/>
  <c r="AH298" i="13"/>
  <c r="AG298" i="13"/>
  <c r="AF298" i="13"/>
  <c r="AF266" i="13" s="1"/>
  <c r="AE298" i="13"/>
  <c r="AD298" i="13"/>
  <c r="AC298" i="13"/>
  <c r="AC266" i="13" s="1"/>
  <c r="AB298" i="13"/>
  <c r="AA298" i="13"/>
  <c r="Z298" i="13"/>
  <c r="Z266" i="13" s="1"/>
  <c r="Y298" i="13"/>
  <c r="X298" i="13"/>
  <c r="W298" i="13"/>
  <c r="V298" i="13"/>
  <c r="V266" i="13" s="1"/>
  <c r="U298" i="13"/>
  <c r="T298" i="13"/>
  <c r="S298" i="13"/>
  <c r="R298" i="13"/>
  <c r="Q298" i="13"/>
  <c r="P298" i="13"/>
  <c r="O298" i="13"/>
  <c r="N298" i="13"/>
  <c r="M298" i="13"/>
  <c r="L298" i="13"/>
  <c r="K298" i="13"/>
  <c r="J298" i="13"/>
  <c r="J266" i="13" s="1"/>
  <c r="I298" i="13"/>
  <c r="H298" i="13"/>
  <c r="G298" i="13"/>
  <c r="G266" i="13" s="1"/>
  <c r="F298" i="13"/>
  <c r="E298" i="13"/>
  <c r="D298" i="13"/>
  <c r="D266" i="13" s="1"/>
  <c r="C298" i="13"/>
  <c r="B298" i="13"/>
  <c r="AP297" i="13"/>
  <c r="AP265" i="13" s="1"/>
  <c r="AO297" i="13"/>
  <c r="AO265" i="13" s="1"/>
  <c r="AN297" i="13"/>
  <c r="AM297" i="13"/>
  <c r="AL297" i="13"/>
  <c r="AK297" i="13"/>
  <c r="AJ297" i="13"/>
  <c r="AI297" i="13"/>
  <c r="AH297" i="13"/>
  <c r="AG297" i="13"/>
  <c r="AF297" i="13"/>
  <c r="AE297" i="13"/>
  <c r="AD297" i="13"/>
  <c r="AC297" i="13"/>
  <c r="AB297" i="13"/>
  <c r="AA297" i="13"/>
  <c r="Z297" i="13"/>
  <c r="Z265" i="13" s="1"/>
  <c r="Y297" i="13"/>
  <c r="X297" i="13"/>
  <c r="W297" i="13"/>
  <c r="W265" i="13" s="1"/>
  <c r="V297" i="13"/>
  <c r="U297" i="13"/>
  <c r="T297" i="13"/>
  <c r="T265" i="13" s="1"/>
  <c r="S297" i="13"/>
  <c r="S265" i="13" s="1"/>
  <c r="R297" i="13"/>
  <c r="Q297" i="13"/>
  <c r="P297" i="13"/>
  <c r="O297" i="13"/>
  <c r="N297" i="13"/>
  <c r="M297" i="13"/>
  <c r="L297" i="13"/>
  <c r="K297" i="13"/>
  <c r="J297" i="13"/>
  <c r="I297" i="13"/>
  <c r="H297" i="13"/>
  <c r="G297" i="13"/>
  <c r="G265" i="13" s="1"/>
  <c r="F297" i="13"/>
  <c r="E297" i="13"/>
  <c r="D297" i="13"/>
  <c r="D265" i="13" s="1"/>
  <c r="C297" i="13"/>
  <c r="B297" i="13"/>
  <c r="AP296" i="13"/>
  <c r="AP264" i="13" s="1"/>
  <c r="AO296" i="13"/>
  <c r="AN296" i="13"/>
  <c r="AM296" i="13"/>
  <c r="AM264" i="13" s="1"/>
  <c r="AL296" i="13"/>
  <c r="AL264" i="13" s="1"/>
  <c r="AK296" i="13"/>
  <c r="AJ296" i="13"/>
  <c r="AI296" i="13"/>
  <c r="AH296" i="13"/>
  <c r="AG296" i="13"/>
  <c r="AF296" i="13"/>
  <c r="AE296" i="13"/>
  <c r="AD296" i="13"/>
  <c r="AC296" i="13"/>
  <c r="AB296" i="13"/>
  <c r="AA296" i="13"/>
  <c r="Z296" i="13"/>
  <c r="Y296" i="13"/>
  <c r="Y264" i="13" s="1"/>
  <c r="X296" i="13"/>
  <c r="W296" i="13"/>
  <c r="V296" i="13"/>
  <c r="U296" i="13"/>
  <c r="T296" i="13"/>
  <c r="T264" i="13" s="1"/>
  <c r="S296" i="13"/>
  <c r="R296" i="13"/>
  <c r="Q296" i="13"/>
  <c r="P296" i="13"/>
  <c r="P264" i="13" s="1"/>
  <c r="O296" i="13"/>
  <c r="N296" i="13"/>
  <c r="M296" i="13"/>
  <c r="L296" i="13"/>
  <c r="K296" i="13"/>
  <c r="J296" i="13"/>
  <c r="I296" i="13"/>
  <c r="H296" i="13"/>
  <c r="G296" i="13"/>
  <c r="F296" i="13"/>
  <c r="E296" i="13"/>
  <c r="D296" i="13"/>
  <c r="D264" i="13" s="1"/>
  <c r="C296" i="13"/>
  <c r="B296" i="13"/>
  <c r="AP295" i="13"/>
  <c r="AP263" i="13" s="1"/>
  <c r="AO295" i="13"/>
  <c r="AN295" i="13"/>
  <c r="AM295" i="13"/>
  <c r="AM263" i="13" s="1"/>
  <c r="AL295" i="13"/>
  <c r="AK295" i="13"/>
  <c r="AJ295" i="13"/>
  <c r="AJ263" i="13" s="1"/>
  <c r="AI295" i="13"/>
  <c r="AI263" i="13" s="1"/>
  <c r="AH295" i="13"/>
  <c r="AG295" i="13"/>
  <c r="AF295" i="13"/>
  <c r="AE295" i="13"/>
  <c r="AD295" i="13"/>
  <c r="AC295" i="13"/>
  <c r="AB295" i="13"/>
  <c r="AA295" i="13"/>
  <c r="Z295" i="13"/>
  <c r="Y295" i="13"/>
  <c r="X295" i="13"/>
  <c r="W295" i="13"/>
  <c r="W263" i="13" s="1"/>
  <c r="V295" i="13"/>
  <c r="U295" i="13"/>
  <c r="T295" i="13"/>
  <c r="S295" i="13"/>
  <c r="R295" i="13"/>
  <c r="Q295" i="13"/>
  <c r="Q263" i="13" s="1"/>
  <c r="P295" i="13"/>
  <c r="O295" i="13"/>
  <c r="N295" i="13"/>
  <c r="M295" i="13"/>
  <c r="M263" i="13" s="1"/>
  <c r="L295" i="13"/>
  <c r="K295" i="13"/>
  <c r="J295" i="13"/>
  <c r="I295" i="13"/>
  <c r="H295" i="13"/>
  <c r="G295" i="13"/>
  <c r="F295" i="13"/>
  <c r="E295" i="13"/>
  <c r="D295" i="13"/>
  <c r="C295" i="13"/>
  <c r="B295" i="13"/>
  <c r="AP294" i="13"/>
  <c r="AP262" i="13" s="1"/>
  <c r="AO294" i="13"/>
  <c r="AN294" i="13"/>
  <c r="AM294" i="13"/>
  <c r="AM262" i="13" s="1"/>
  <c r="AL294" i="13"/>
  <c r="AK294" i="13"/>
  <c r="AJ294" i="13"/>
  <c r="AI294" i="13"/>
  <c r="AH294" i="13"/>
  <c r="AG294" i="13"/>
  <c r="AF294" i="13"/>
  <c r="AF262" i="13" s="1"/>
  <c r="AE294" i="13"/>
  <c r="AD294" i="13"/>
  <c r="AC294" i="13"/>
  <c r="AB294" i="13"/>
  <c r="AA294" i="13"/>
  <c r="Z294" i="13"/>
  <c r="Y294" i="13"/>
  <c r="X294" i="13"/>
  <c r="W294" i="13"/>
  <c r="V294" i="13"/>
  <c r="U294" i="13"/>
  <c r="T294" i="13"/>
  <c r="T262" i="13" s="1"/>
  <c r="S294" i="13"/>
  <c r="R294" i="13"/>
  <c r="Q294" i="13"/>
  <c r="Q262" i="13" s="1"/>
  <c r="P294" i="13"/>
  <c r="O294" i="13"/>
  <c r="N294" i="13"/>
  <c r="N262" i="13" s="1"/>
  <c r="M294" i="13"/>
  <c r="L294" i="13"/>
  <c r="K294" i="13"/>
  <c r="J294" i="13"/>
  <c r="J262" i="13" s="1"/>
  <c r="I294" i="13"/>
  <c r="H294" i="13"/>
  <c r="G294" i="13"/>
  <c r="F294" i="13"/>
  <c r="E294" i="13"/>
  <c r="D294" i="13"/>
  <c r="C294" i="13"/>
  <c r="B294" i="13"/>
  <c r="AP293" i="13"/>
  <c r="AO293" i="13"/>
  <c r="AN293" i="13"/>
  <c r="AM293" i="13"/>
  <c r="AM261" i="13" s="1"/>
  <c r="AL293" i="13"/>
  <c r="AK293" i="13"/>
  <c r="AJ293" i="13"/>
  <c r="AJ261" i="13" s="1"/>
  <c r="AI293" i="13"/>
  <c r="AH293" i="13"/>
  <c r="AG293" i="13"/>
  <c r="AG261" i="13" s="1"/>
  <c r="AF293" i="13"/>
  <c r="AE293" i="13"/>
  <c r="AD293" i="13"/>
  <c r="AC293" i="13"/>
  <c r="AC261" i="13" s="1"/>
  <c r="AB293" i="13"/>
  <c r="AA293" i="13"/>
  <c r="Z293" i="13"/>
  <c r="Y293" i="13"/>
  <c r="X293" i="13"/>
  <c r="X303" i="13" s="1"/>
  <c r="W293" i="13"/>
  <c r="V293" i="13"/>
  <c r="U293" i="13"/>
  <c r="T293" i="13"/>
  <c r="S293" i="13"/>
  <c r="R293" i="13"/>
  <c r="Q293" i="13"/>
  <c r="Q261" i="13" s="1"/>
  <c r="P293" i="13"/>
  <c r="O293" i="13"/>
  <c r="N293" i="13"/>
  <c r="N261" i="13" s="1"/>
  <c r="M293" i="13"/>
  <c r="L293" i="13"/>
  <c r="K293" i="13"/>
  <c r="K261" i="13" s="1"/>
  <c r="J293" i="13"/>
  <c r="I293" i="13"/>
  <c r="H293" i="13"/>
  <c r="H261" i="13" s="1"/>
  <c r="H117" i="13" s="1"/>
  <c r="G293" i="13"/>
  <c r="G261" i="13" s="1"/>
  <c r="F293" i="13"/>
  <c r="E293" i="13"/>
  <c r="D293" i="13"/>
  <c r="C293" i="13"/>
  <c r="B293" i="13"/>
  <c r="AP292" i="13"/>
  <c r="AO292" i="13"/>
  <c r="AN292" i="13"/>
  <c r="AM292" i="13"/>
  <c r="AL292" i="13"/>
  <c r="AK292" i="13"/>
  <c r="AJ292" i="13"/>
  <c r="AJ260" i="13" s="1"/>
  <c r="AI292" i="13"/>
  <c r="AH292" i="13"/>
  <c r="AG292" i="13"/>
  <c r="AG260" i="13" s="1"/>
  <c r="AF292" i="13"/>
  <c r="AE292" i="13"/>
  <c r="AD292" i="13"/>
  <c r="AD260" i="13" s="1"/>
  <c r="AC292" i="13"/>
  <c r="AB292" i="13"/>
  <c r="AA292" i="13"/>
  <c r="Z292" i="13"/>
  <c r="Z260" i="13" s="1"/>
  <c r="Y292" i="13"/>
  <c r="X292" i="13"/>
  <c r="W292" i="13"/>
  <c r="V292" i="13"/>
  <c r="U292" i="13"/>
  <c r="T292" i="13"/>
  <c r="S292" i="13"/>
  <c r="R292" i="13"/>
  <c r="Q292" i="13"/>
  <c r="P292" i="13"/>
  <c r="O292" i="13"/>
  <c r="O303" i="13" s="1"/>
  <c r="O18" i="13" s="1"/>
  <c r="N292" i="13"/>
  <c r="N260" i="13" s="1"/>
  <c r="M292" i="13"/>
  <c r="L292" i="13"/>
  <c r="K292" i="13"/>
  <c r="K260" i="13" s="1"/>
  <c r="J292" i="13"/>
  <c r="I292" i="13"/>
  <c r="H292" i="13"/>
  <c r="H260" i="13" s="1"/>
  <c r="G292" i="13"/>
  <c r="F292" i="13"/>
  <c r="E292" i="13"/>
  <c r="E260" i="13" s="1"/>
  <c r="D292" i="13"/>
  <c r="C292" i="13"/>
  <c r="B292" i="13"/>
  <c r="AP291" i="13"/>
  <c r="AO291" i="13"/>
  <c r="AN291" i="13"/>
  <c r="AM291" i="13"/>
  <c r="AL291" i="13"/>
  <c r="AK291" i="13"/>
  <c r="AJ291" i="13"/>
  <c r="AI291" i="13"/>
  <c r="AH291" i="13"/>
  <c r="AG291" i="13"/>
  <c r="AF291" i="13"/>
  <c r="AE291" i="13"/>
  <c r="AD291" i="13"/>
  <c r="AC291" i="13"/>
  <c r="AB291" i="13"/>
  <c r="AA291" i="13"/>
  <c r="Z291" i="13"/>
  <c r="Y291" i="13"/>
  <c r="X291" i="13"/>
  <c r="X259" i="13" s="1"/>
  <c r="W291" i="13"/>
  <c r="W303" i="13" s="1"/>
  <c r="W18" i="13" s="1"/>
  <c r="V291" i="13"/>
  <c r="U291" i="13"/>
  <c r="T291" i="13"/>
  <c r="S291" i="13"/>
  <c r="R291" i="13"/>
  <c r="Q291" i="13"/>
  <c r="P291" i="13"/>
  <c r="O291" i="13"/>
  <c r="N291" i="13"/>
  <c r="M291" i="13"/>
  <c r="L291" i="13"/>
  <c r="K291" i="13"/>
  <c r="J291" i="13"/>
  <c r="I291" i="13"/>
  <c r="H291" i="13"/>
  <c r="G291" i="13"/>
  <c r="F291" i="13"/>
  <c r="E291" i="13"/>
  <c r="D291" i="13"/>
  <c r="C291" i="13"/>
  <c r="B291" i="13"/>
  <c r="B259" i="13" s="1"/>
  <c r="AP287" i="13"/>
  <c r="AP17" i="13" s="1"/>
  <c r="AK287" i="13"/>
  <c r="AK17" i="13" s="1"/>
  <c r="R287" i="13"/>
  <c r="R17" i="13" s="1"/>
  <c r="AP286" i="13"/>
  <c r="AP270" i="13" s="1"/>
  <c r="AO286" i="13"/>
  <c r="AN286" i="13"/>
  <c r="AN270" i="13" s="1"/>
  <c r="AM286" i="13"/>
  <c r="AL286" i="13"/>
  <c r="AK286" i="13"/>
  <c r="AJ286" i="13"/>
  <c r="AJ270" i="13" s="1"/>
  <c r="AI286" i="13"/>
  <c r="AH286" i="13"/>
  <c r="AG286" i="13"/>
  <c r="AF286" i="13"/>
  <c r="AE286" i="13"/>
  <c r="AE270" i="13" s="1"/>
  <c r="AD286" i="13"/>
  <c r="AC286" i="13"/>
  <c r="AB286" i="13"/>
  <c r="AB270" i="13" s="1"/>
  <c r="AA286" i="13"/>
  <c r="Z286" i="13"/>
  <c r="Y286" i="13"/>
  <c r="X286" i="13"/>
  <c r="X270" i="13" s="1"/>
  <c r="W286" i="13"/>
  <c r="W270" i="13" s="1"/>
  <c r="V286" i="13"/>
  <c r="U286" i="13"/>
  <c r="T286" i="13"/>
  <c r="S286" i="13"/>
  <c r="R286" i="13"/>
  <c r="Q286" i="13"/>
  <c r="P286" i="13"/>
  <c r="O286" i="13"/>
  <c r="O270" i="13" s="1"/>
  <c r="N286" i="13"/>
  <c r="N270" i="13" s="1"/>
  <c r="M286" i="13"/>
  <c r="L286" i="13"/>
  <c r="K286" i="13"/>
  <c r="J286" i="13"/>
  <c r="J270" i="13" s="1"/>
  <c r="I286" i="13"/>
  <c r="I270" i="13" s="1"/>
  <c r="H286" i="13"/>
  <c r="G286" i="13"/>
  <c r="G270" i="13" s="1"/>
  <c r="F286" i="13"/>
  <c r="F270" i="13" s="1"/>
  <c r="E286" i="13"/>
  <c r="D286" i="13"/>
  <c r="C286" i="13"/>
  <c r="C270" i="13" s="1"/>
  <c r="B286" i="13"/>
  <c r="B270" i="13" s="1"/>
  <c r="AP285" i="13"/>
  <c r="AP269" i="13" s="1"/>
  <c r="AO285" i="13"/>
  <c r="AN285" i="13"/>
  <c r="AM285" i="13"/>
  <c r="AM269" i="13" s="1"/>
  <c r="AL285" i="13"/>
  <c r="AK285" i="13"/>
  <c r="AK269" i="13" s="1"/>
  <c r="AJ285" i="13"/>
  <c r="AI285" i="13"/>
  <c r="AH285" i="13"/>
  <c r="AG285" i="13"/>
  <c r="AG269" i="13" s="1"/>
  <c r="AF285" i="13"/>
  <c r="AE285" i="13"/>
  <c r="AD285" i="13"/>
  <c r="AC285" i="13"/>
  <c r="AC269" i="13" s="1"/>
  <c r="AB285" i="13"/>
  <c r="AB269" i="13" s="1"/>
  <c r="AA285" i="13"/>
  <c r="Z285" i="13"/>
  <c r="Z269" i="13" s="1"/>
  <c r="Y285" i="13"/>
  <c r="Y269" i="13" s="1"/>
  <c r="X285" i="13"/>
  <c r="W285" i="13"/>
  <c r="V285" i="13"/>
  <c r="U285" i="13"/>
  <c r="U269" i="13" s="1"/>
  <c r="T285" i="13"/>
  <c r="S285" i="13"/>
  <c r="R285" i="13"/>
  <c r="Q285" i="13"/>
  <c r="P285" i="13"/>
  <c r="O285" i="13"/>
  <c r="O269" i="13" s="1"/>
  <c r="N285" i="13"/>
  <c r="M285" i="13"/>
  <c r="L285" i="13"/>
  <c r="K285" i="13"/>
  <c r="J285" i="13"/>
  <c r="I285" i="13"/>
  <c r="H285" i="13"/>
  <c r="G285" i="13"/>
  <c r="F285" i="13"/>
  <c r="E285" i="13"/>
  <c r="D285" i="13"/>
  <c r="D269" i="13" s="1"/>
  <c r="C285" i="13"/>
  <c r="C269" i="13" s="1"/>
  <c r="B285" i="13"/>
  <c r="AP284" i="13"/>
  <c r="AO284" i="13"/>
  <c r="AO268" i="13" s="1"/>
  <c r="AN284" i="13"/>
  <c r="AN268" i="13" s="1"/>
  <c r="AM284" i="13"/>
  <c r="AM268" i="13" s="1"/>
  <c r="AL284" i="13"/>
  <c r="AK284" i="13"/>
  <c r="AJ284" i="13"/>
  <c r="AJ268" i="13" s="1"/>
  <c r="AI284" i="13"/>
  <c r="AH284" i="13"/>
  <c r="AH268" i="13" s="1"/>
  <c r="AG284" i="13"/>
  <c r="AF284" i="13"/>
  <c r="AE284" i="13"/>
  <c r="AD284" i="13"/>
  <c r="AD268" i="13" s="1"/>
  <c r="AC284" i="13"/>
  <c r="AB284" i="13"/>
  <c r="AA284" i="13"/>
  <c r="Z284" i="13"/>
  <c r="Y284" i="13"/>
  <c r="Y268" i="13" s="1"/>
  <c r="X284" i="13"/>
  <c r="W284" i="13"/>
  <c r="W268" i="13" s="1"/>
  <c r="V284" i="13"/>
  <c r="V268" i="13" s="1"/>
  <c r="U284" i="13"/>
  <c r="T284" i="13"/>
  <c r="T268" i="13" s="1"/>
  <c r="S284" i="13"/>
  <c r="S268" i="13" s="1"/>
  <c r="R284" i="13"/>
  <c r="R268" i="13" s="1"/>
  <c r="Q284" i="13"/>
  <c r="Q268" i="13" s="1"/>
  <c r="P284" i="13"/>
  <c r="O284" i="13"/>
  <c r="N284" i="13"/>
  <c r="M284" i="13"/>
  <c r="L284" i="13"/>
  <c r="L268" i="13" s="1"/>
  <c r="K284" i="13"/>
  <c r="J284" i="13"/>
  <c r="I284" i="13"/>
  <c r="H284" i="13"/>
  <c r="H268" i="13" s="1"/>
  <c r="G284" i="13"/>
  <c r="F284" i="13"/>
  <c r="E284" i="13"/>
  <c r="D284" i="13"/>
  <c r="C284" i="13"/>
  <c r="B284" i="13"/>
  <c r="AP283" i="13"/>
  <c r="AP267" i="13" s="1"/>
  <c r="AO283" i="13"/>
  <c r="AO267" i="13" s="1"/>
  <c r="AN283" i="13"/>
  <c r="AM283" i="13"/>
  <c r="AL283" i="13"/>
  <c r="AL267" i="13" s="1"/>
  <c r="AK283" i="13"/>
  <c r="AK267" i="13" s="1"/>
  <c r="AJ283" i="13"/>
  <c r="AJ267" i="13" s="1"/>
  <c r="AI283" i="13"/>
  <c r="AH283" i="13"/>
  <c r="AG283" i="13"/>
  <c r="AF283" i="13"/>
  <c r="AE283" i="13"/>
  <c r="AE267" i="13" s="1"/>
  <c r="AD283" i="13"/>
  <c r="AC283" i="13"/>
  <c r="AB283" i="13"/>
  <c r="AB267" i="13" s="1"/>
  <c r="AA283" i="13"/>
  <c r="Z283" i="13"/>
  <c r="Y283" i="13"/>
  <c r="X283" i="13"/>
  <c r="W283" i="13"/>
  <c r="V283" i="13"/>
  <c r="U283" i="13"/>
  <c r="T283" i="13"/>
  <c r="T267" i="13" s="1"/>
  <c r="S283" i="13"/>
  <c r="S267" i="13" s="1"/>
  <c r="R283" i="13"/>
  <c r="Q283" i="13"/>
  <c r="P283" i="13"/>
  <c r="P267" i="13" s="1"/>
  <c r="O283" i="13"/>
  <c r="O267" i="13" s="1"/>
  <c r="N283" i="13"/>
  <c r="M283" i="13"/>
  <c r="L283" i="13"/>
  <c r="K283" i="13"/>
  <c r="K267" i="13" s="1"/>
  <c r="J283" i="13"/>
  <c r="I283" i="13"/>
  <c r="I267" i="13" s="1"/>
  <c r="H283" i="13"/>
  <c r="G283" i="13"/>
  <c r="F283" i="13"/>
  <c r="E283" i="13"/>
  <c r="E267" i="13" s="1"/>
  <c r="D283" i="13"/>
  <c r="C283" i="13"/>
  <c r="B283" i="13"/>
  <c r="AP282" i="13"/>
  <c r="AO282" i="13"/>
  <c r="AO266" i="13" s="1"/>
  <c r="AN282" i="13"/>
  <c r="AM282" i="13"/>
  <c r="AM266" i="13" s="1"/>
  <c r="AL282" i="13"/>
  <c r="AL266" i="13" s="1"/>
  <c r="AK282" i="13"/>
  <c r="AJ282" i="13"/>
  <c r="AI282" i="13"/>
  <c r="AI266" i="13" s="1"/>
  <c r="AH282" i="13"/>
  <c r="AH266" i="13" s="1"/>
  <c r="AG282" i="13"/>
  <c r="AG266" i="13" s="1"/>
  <c r="AF282" i="13"/>
  <c r="AE282" i="13"/>
  <c r="AD282" i="13"/>
  <c r="AD266" i="13" s="1"/>
  <c r="AC282" i="13"/>
  <c r="AB282" i="13"/>
  <c r="AB266" i="13" s="1"/>
  <c r="AA282" i="13"/>
  <c r="Z282" i="13"/>
  <c r="Y282" i="13"/>
  <c r="Y266" i="13" s="1"/>
  <c r="X282" i="13"/>
  <c r="W282" i="13"/>
  <c r="V282" i="13"/>
  <c r="U282" i="13"/>
  <c r="T282" i="13"/>
  <c r="S282" i="13"/>
  <c r="R282" i="13"/>
  <c r="Q282" i="13"/>
  <c r="Q266" i="13" s="1"/>
  <c r="P282" i="13"/>
  <c r="P266" i="13" s="1"/>
  <c r="O282" i="13"/>
  <c r="N282" i="13"/>
  <c r="M282" i="13"/>
  <c r="M266" i="13" s="1"/>
  <c r="L282" i="13"/>
  <c r="L266" i="13" s="1"/>
  <c r="K282" i="13"/>
  <c r="K266" i="13" s="1"/>
  <c r="J282" i="13"/>
  <c r="I282" i="13"/>
  <c r="H282" i="13"/>
  <c r="H266" i="13" s="1"/>
  <c r="G282" i="13"/>
  <c r="F282" i="13"/>
  <c r="F266" i="13" s="1"/>
  <c r="E282" i="13"/>
  <c r="D282" i="13"/>
  <c r="C282" i="13"/>
  <c r="C266" i="13" s="1"/>
  <c r="B282" i="13"/>
  <c r="AP281" i="13"/>
  <c r="AO281" i="13"/>
  <c r="AN281" i="13"/>
  <c r="AM281" i="13"/>
  <c r="AL281" i="13"/>
  <c r="AL265" i="13" s="1"/>
  <c r="AK281" i="13"/>
  <c r="AJ281" i="13"/>
  <c r="AJ265" i="13" s="1"/>
  <c r="AI281" i="13"/>
  <c r="AI265" i="13" s="1"/>
  <c r="AH281" i="13"/>
  <c r="AG281" i="13"/>
  <c r="AF281" i="13"/>
  <c r="AE281" i="13"/>
  <c r="AE265" i="13" s="1"/>
  <c r="AD281" i="13"/>
  <c r="AD265" i="13" s="1"/>
  <c r="AC281" i="13"/>
  <c r="AB281" i="13"/>
  <c r="AB265" i="13" s="1"/>
  <c r="AA281" i="13"/>
  <c r="AA265" i="13" s="1"/>
  <c r="Z281" i="13"/>
  <c r="Y281" i="13"/>
  <c r="Y265" i="13" s="1"/>
  <c r="X281" i="13"/>
  <c r="W281" i="13"/>
  <c r="V281" i="13"/>
  <c r="V265" i="13" s="1"/>
  <c r="U281" i="13"/>
  <c r="U265" i="13" s="1"/>
  <c r="T281" i="13"/>
  <c r="S281" i="13"/>
  <c r="R281" i="13"/>
  <c r="Q281" i="13"/>
  <c r="P281" i="13"/>
  <c r="O281" i="13"/>
  <c r="N281" i="13"/>
  <c r="N265" i="13" s="1"/>
  <c r="M281" i="13"/>
  <c r="M265" i="13" s="1"/>
  <c r="L281" i="13"/>
  <c r="K281" i="13"/>
  <c r="J281" i="13"/>
  <c r="J265" i="13" s="1"/>
  <c r="I281" i="13"/>
  <c r="I265" i="13" s="1"/>
  <c r="H281" i="13"/>
  <c r="H265" i="13" s="1"/>
  <c r="G281" i="13"/>
  <c r="F281" i="13"/>
  <c r="E281" i="13"/>
  <c r="E265" i="13" s="1"/>
  <c r="D281" i="13"/>
  <c r="C281" i="13"/>
  <c r="C265" i="13" s="1"/>
  <c r="B281" i="13"/>
  <c r="AP280" i="13"/>
  <c r="AO280" i="13"/>
  <c r="AN280" i="13"/>
  <c r="AN264" i="13" s="1"/>
  <c r="AM280" i="13"/>
  <c r="AL280" i="13"/>
  <c r="AK280" i="13"/>
  <c r="AJ280" i="13"/>
  <c r="AI280" i="13"/>
  <c r="AI264" i="13" s="1"/>
  <c r="AH280" i="13"/>
  <c r="AG280" i="13"/>
  <c r="AG264" i="13" s="1"/>
  <c r="AF280" i="13"/>
  <c r="AF264" i="13" s="1"/>
  <c r="AE280" i="13"/>
  <c r="AD280" i="13"/>
  <c r="AC280" i="13"/>
  <c r="AC264" i="13" s="1"/>
  <c r="AB280" i="13"/>
  <c r="AB264" i="13" s="1"/>
  <c r="AA280" i="13"/>
  <c r="Z280" i="13"/>
  <c r="Y280" i="13"/>
  <c r="X280" i="13"/>
  <c r="W280" i="13"/>
  <c r="V280" i="13"/>
  <c r="U280" i="13"/>
  <c r="T280" i="13"/>
  <c r="S280" i="13"/>
  <c r="S264" i="13" s="1"/>
  <c r="R280" i="13"/>
  <c r="R264" i="13" s="1"/>
  <c r="Q280" i="13"/>
  <c r="P280" i="13"/>
  <c r="O280" i="13"/>
  <c r="N280" i="13"/>
  <c r="N264" i="13" s="1"/>
  <c r="M280" i="13"/>
  <c r="M264" i="13" s="1"/>
  <c r="L280" i="13"/>
  <c r="K280" i="13"/>
  <c r="J280" i="13"/>
  <c r="J264" i="13" s="1"/>
  <c r="I280" i="13"/>
  <c r="H280" i="13"/>
  <c r="G280" i="13"/>
  <c r="G264" i="13" s="1"/>
  <c r="F280" i="13"/>
  <c r="F264" i="13" s="1"/>
  <c r="E280" i="13"/>
  <c r="E264" i="13" s="1"/>
  <c r="D280" i="13"/>
  <c r="C280" i="13"/>
  <c r="B280" i="13"/>
  <c r="B264" i="13" s="1"/>
  <c r="AP279" i="13"/>
  <c r="AO279" i="13"/>
  <c r="AO263" i="13" s="1"/>
  <c r="AN279" i="13"/>
  <c r="AM279" i="13"/>
  <c r="AL279" i="13"/>
  <c r="AK279" i="13"/>
  <c r="AK263" i="13" s="1"/>
  <c r="AJ279" i="13"/>
  <c r="AI279" i="13"/>
  <c r="AH279" i="13"/>
  <c r="AG279" i="13"/>
  <c r="AG263" i="13" s="1"/>
  <c r="AF279" i="13"/>
  <c r="AF263" i="13" s="1"/>
  <c r="AE279" i="13"/>
  <c r="AD279" i="13"/>
  <c r="AC279" i="13"/>
  <c r="AC263" i="13" s="1"/>
  <c r="AB279" i="13"/>
  <c r="AA279" i="13"/>
  <c r="Z279" i="13"/>
  <c r="Y279" i="13"/>
  <c r="Y263" i="13" s="1"/>
  <c r="X279" i="13"/>
  <c r="X263" i="13" s="1"/>
  <c r="W279" i="13"/>
  <c r="V279" i="13"/>
  <c r="U279" i="13"/>
  <c r="T279" i="13"/>
  <c r="S279" i="13"/>
  <c r="S263" i="13" s="1"/>
  <c r="R279" i="13"/>
  <c r="Q279" i="13"/>
  <c r="P279" i="13"/>
  <c r="O279" i="13"/>
  <c r="O263" i="13" s="1"/>
  <c r="N279" i="13"/>
  <c r="M279" i="13"/>
  <c r="L279" i="13"/>
  <c r="K279" i="13"/>
  <c r="J279" i="13"/>
  <c r="I279" i="13"/>
  <c r="H279" i="13"/>
  <c r="H263" i="13" s="1"/>
  <c r="G279" i="13"/>
  <c r="G263" i="13" s="1"/>
  <c r="F279" i="13"/>
  <c r="E279" i="13"/>
  <c r="D279" i="13"/>
  <c r="D263" i="13" s="1"/>
  <c r="C279" i="13"/>
  <c r="C263" i="13" s="1"/>
  <c r="B279" i="13"/>
  <c r="B263" i="13" s="1"/>
  <c r="AP278" i="13"/>
  <c r="AO278" i="13"/>
  <c r="AN278" i="13"/>
  <c r="AN262" i="13" s="1"/>
  <c r="AM278" i="13"/>
  <c r="AL278" i="13"/>
  <c r="AL262" i="13" s="1"/>
  <c r="AK278" i="13"/>
  <c r="AJ278" i="13"/>
  <c r="AI278" i="13"/>
  <c r="AH278" i="13"/>
  <c r="AG278" i="13"/>
  <c r="AF278" i="13"/>
  <c r="AE278" i="13"/>
  <c r="AD278" i="13"/>
  <c r="AC278" i="13"/>
  <c r="AC262" i="13" s="1"/>
  <c r="AB278" i="13"/>
  <c r="AA278" i="13"/>
  <c r="Z278" i="13"/>
  <c r="Z262" i="13" s="1"/>
  <c r="Y278" i="13"/>
  <c r="X278" i="13"/>
  <c r="X262" i="13" s="1"/>
  <c r="W278" i="13"/>
  <c r="W262" i="13" s="1"/>
  <c r="V278" i="13"/>
  <c r="V262" i="13" s="1"/>
  <c r="U278" i="13"/>
  <c r="U262" i="13" s="1"/>
  <c r="T278" i="13"/>
  <c r="S278" i="13"/>
  <c r="R278" i="13"/>
  <c r="Q278" i="13"/>
  <c r="P278" i="13"/>
  <c r="P262" i="13" s="1"/>
  <c r="O278" i="13"/>
  <c r="N278" i="13"/>
  <c r="M278" i="13"/>
  <c r="L278" i="13"/>
  <c r="K278" i="13"/>
  <c r="J278" i="13"/>
  <c r="I278" i="13"/>
  <c r="H278" i="13"/>
  <c r="G278" i="13"/>
  <c r="F278" i="13"/>
  <c r="E278" i="13"/>
  <c r="D278" i="13"/>
  <c r="C278" i="13"/>
  <c r="B278" i="13"/>
  <c r="AP277" i="13"/>
  <c r="AP261" i="13" s="1"/>
  <c r="AO277" i="13"/>
  <c r="AO261" i="13" s="1"/>
  <c r="AN277" i="13"/>
  <c r="AN261" i="13" s="1"/>
  <c r="AM277" i="13"/>
  <c r="AL277" i="13"/>
  <c r="AK277" i="13"/>
  <c r="AJ277" i="13"/>
  <c r="AI277" i="13"/>
  <c r="AI261" i="13" s="1"/>
  <c r="AH277" i="13"/>
  <c r="AG277" i="13"/>
  <c r="AF277" i="13"/>
  <c r="AF261" i="13" s="1"/>
  <c r="AE277" i="13"/>
  <c r="AD277" i="13"/>
  <c r="AC277" i="13"/>
  <c r="AB277" i="13"/>
  <c r="AA277" i="13"/>
  <c r="Z277" i="13"/>
  <c r="Y277" i="13"/>
  <c r="X277" i="13"/>
  <c r="W277" i="13"/>
  <c r="W261" i="13" s="1"/>
  <c r="V277" i="13"/>
  <c r="U277" i="13"/>
  <c r="T277" i="13"/>
  <c r="T261" i="13" s="1"/>
  <c r="S277" i="13"/>
  <c r="R277" i="13"/>
  <c r="R261" i="13" s="1"/>
  <c r="Q277" i="13"/>
  <c r="P277" i="13"/>
  <c r="O277" i="13"/>
  <c r="O261" i="13" s="1"/>
  <c r="N277" i="13"/>
  <c r="M277" i="13"/>
  <c r="M261" i="13" s="1"/>
  <c r="L277" i="13"/>
  <c r="K277" i="13"/>
  <c r="J277" i="13"/>
  <c r="I277" i="13"/>
  <c r="I261" i="13" s="1"/>
  <c r="H277" i="13"/>
  <c r="G277" i="13"/>
  <c r="F277" i="13"/>
  <c r="E277" i="13"/>
  <c r="D277" i="13"/>
  <c r="C277" i="13"/>
  <c r="B277" i="13"/>
  <c r="AP276" i="13"/>
  <c r="AP260" i="13" s="1"/>
  <c r="AO276" i="13"/>
  <c r="AN276" i="13"/>
  <c r="AM276" i="13"/>
  <c r="AM260" i="13" s="1"/>
  <c r="AL276" i="13"/>
  <c r="AL260" i="13" s="1"/>
  <c r="AK276" i="13"/>
  <c r="AK260" i="13" s="1"/>
  <c r="AJ276" i="13"/>
  <c r="AI276" i="13"/>
  <c r="AH276" i="13"/>
  <c r="AH260" i="13" s="1"/>
  <c r="AG276" i="13"/>
  <c r="AF276" i="13"/>
  <c r="AF260" i="13" s="1"/>
  <c r="AE276" i="13"/>
  <c r="AD276" i="13"/>
  <c r="AC276" i="13"/>
  <c r="AC260" i="13" s="1"/>
  <c r="AB276" i="13"/>
  <c r="AA276" i="13"/>
  <c r="Z276" i="13"/>
  <c r="Y276" i="13"/>
  <c r="X276" i="13"/>
  <c r="W276" i="13"/>
  <c r="V276" i="13"/>
  <c r="U276" i="13"/>
  <c r="T276" i="13"/>
  <c r="T260" i="13" s="1"/>
  <c r="S276" i="13"/>
  <c r="R276" i="13"/>
  <c r="Q276" i="13"/>
  <c r="Q260" i="13" s="1"/>
  <c r="P276" i="13"/>
  <c r="P260" i="13" s="1"/>
  <c r="O276" i="13"/>
  <c r="O260" i="13" s="1"/>
  <c r="N276" i="13"/>
  <c r="M276" i="13"/>
  <c r="L276" i="13"/>
  <c r="L260" i="13" s="1"/>
  <c r="K276" i="13"/>
  <c r="J276" i="13"/>
  <c r="J260" i="13" s="1"/>
  <c r="I276" i="13"/>
  <c r="H276" i="13"/>
  <c r="G276" i="13"/>
  <c r="G260" i="13" s="1"/>
  <c r="F276" i="13"/>
  <c r="F260" i="13" s="1"/>
  <c r="E276" i="13"/>
  <c r="D276" i="13"/>
  <c r="C276" i="13"/>
  <c r="B276" i="13"/>
  <c r="AP275" i="13"/>
  <c r="AP259" i="13" s="1"/>
  <c r="AO275" i="13"/>
  <c r="AN275" i="13"/>
  <c r="AM275" i="13"/>
  <c r="AL275" i="13"/>
  <c r="AK275" i="13"/>
  <c r="AJ275" i="13"/>
  <c r="AI275" i="13"/>
  <c r="AH275" i="13"/>
  <c r="AG275" i="13"/>
  <c r="AF275" i="13"/>
  <c r="AE275" i="13"/>
  <c r="AD275" i="13"/>
  <c r="AC275" i="13"/>
  <c r="AB275" i="13"/>
  <c r="AA275" i="13"/>
  <c r="Z275" i="13"/>
  <c r="Z259" i="13" s="1"/>
  <c r="Y275" i="13"/>
  <c r="X275" i="13"/>
  <c r="W275" i="13"/>
  <c r="V275" i="13"/>
  <c r="U275" i="13"/>
  <c r="T275" i="13"/>
  <c r="S275" i="13"/>
  <c r="R275" i="13"/>
  <c r="R259" i="13" s="1"/>
  <c r="Q275" i="13"/>
  <c r="P275" i="13"/>
  <c r="O275" i="13"/>
  <c r="N275" i="13"/>
  <c r="M275" i="13"/>
  <c r="M259" i="13" s="1"/>
  <c r="L275" i="13"/>
  <c r="K275" i="13"/>
  <c r="J275" i="13"/>
  <c r="I275" i="13"/>
  <c r="H275" i="13"/>
  <c r="G275" i="13"/>
  <c r="F275" i="13"/>
  <c r="E275" i="13"/>
  <c r="D275" i="13"/>
  <c r="C275" i="13"/>
  <c r="B275" i="13"/>
  <c r="AK270" i="13"/>
  <c r="AG270" i="13"/>
  <c r="AF270" i="13"/>
  <c r="AD270" i="13"/>
  <c r="AC270" i="13"/>
  <c r="Y270" i="13"/>
  <c r="V270" i="13"/>
  <c r="T270" i="13"/>
  <c r="S270" i="13"/>
  <c r="R270" i="13"/>
  <c r="Q270" i="13"/>
  <c r="M270" i="13"/>
  <c r="K270" i="13"/>
  <c r="H270" i="13"/>
  <c r="D270" i="13"/>
  <c r="AH269" i="13"/>
  <c r="AD269" i="13"/>
  <c r="AA269" i="13"/>
  <c r="V269" i="13"/>
  <c r="T269" i="13"/>
  <c r="Q269" i="13"/>
  <c r="P269" i="13"/>
  <c r="L269" i="13"/>
  <c r="K269" i="13"/>
  <c r="J269" i="13"/>
  <c r="H269" i="13"/>
  <c r="G269" i="13"/>
  <c r="F269" i="13"/>
  <c r="E269" i="13"/>
  <c r="AE268" i="13"/>
  <c r="AC268" i="13"/>
  <c r="AA268" i="13"/>
  <c r="Z268" i="13"/>
  <c r="X268" i="13"/>
  <c r="N268" i="13"/>
  <c r="M268" i="13"/>
  <c r="I268" i="13"/>
  <c r="G268" i="13"/>
  <c r="E268" i="13"/>
  <c r="D268" i="13"/>
  <c r="C268" i="13"/>
  <c r="B268" i="13"/>
  <c r="AM267" i="13"/>
  <c r="AG267" i="13"/>
  <c r="AA267" i="13"/>
  <c r="Z267" i="13"/>
  <c r="X267" i="13"/>
  <c r="W267" i="13"/>
  <c r="V267" i="13"/>
  <c r="U267" i="13"/>
  <c r="N267" i="13"/>
  <c r="F267" i="13"/>
  <c r="B267" i="13"/>
  <c r="AP266" i="13"/>
  <c r="AN266" i="13"/>
  <c r="AJ266" i="13"/>
  <c r="X266" i="13"/>
  <c r="W266" i="13"/>
  <c r="U266" i="13"/>
  <c r="T266" i="13"/>
  <c r="S266" i="13"/>
  <c r="R266" i="13"/>
  <c r="N266" i="13"/>
  <c r="B266" i="13"/>
  <c r="AN265" i="13"/>
  <c r="AM265" i="13"/>
  <c r="AK265" i="13"/>
  <c r="AG265" i="13"/>
  <c r="AF265" i="13"/>
  <c r="AC265" i="13"/>
  <c r="R265" i="13"/>
  <c r="Q265" i="13"/>
  <c r="P265" i="13"/>
  <c r="O265" i="13"/>
  <c r="AO264" i="13"/>
  <c r="AK264" i="13"/>
  <c r="AJ264" i="13"/>
  <c r="AH264" i="13"/>
  <c r="AA264" i="13"/>
  <c r="Z264" i="13"/>
  <c r="X264" i="13"/>
  <c r="W264" i="13"/>
  <c r="V264" i="13"/>
  <c r="U264" i="13"/>
  <c r="Q264" i="13"/>
  <c r="O264" i="13"/>
  <c r="L264" i="13"/>
  <c r="H264" i="13"/>
  <c r="AL263" i="13"/>
  <c r="AH263" i="13"/>
  <c r="AE263" i="13"/>
  <c r="Z263" i="13"/>
  <c r="U263" i="13"/>
  <c r="T263" i="13"/>
  <c r="R263" i="13"/>
  <c r="P263" i="13"/>
  <c r="N263" i="13"/>
  <c r="L263" i="13"/>
  <c r="K263" i="13"/>
  <c r="J263" i="13"/>
  <c r="I263" i="13"/>
  <c r="AK262" i="13"/>
  <c r="AJ262" i="13"/>
  <c r="AI262" i="13"/>
  <c r="AH262" i="13"/>
  <c r="AG262" i="13"/>
  <c r="AE262" i="13"/>
  <c r="AD262" i="13"/>
  <c r="AB262" i="13"/>
  <c r="R262" i="13"/>
  <c r="M262" i="13"/>
  <c r="L262" i="13"/>
  <c r="K262" i="13"/>
  <c r="I262" i="13"/>
  <c r="H262" i="13"/>
  <c r="G262" i="13"/>
  <c r="F262" i="13"/>
  <c r="B262" i="13"/>
  <c r="AK261" i="13"/>
  <c r="AH261" i="13"/>
  <c r="AE261" i="13"/>
  <c r="AD261" i="13"/>
  <c r="AB261" i="13"/>
  <c r="AA261" i="13"/>
  <c r="Z261" i="13"/>
  <c r="Y261" i="13"/>
  <c r="J261" i="13"/>
  <c r="F261" i="13"/>
  <c r="E261" i="13"/>
  <c r="D261" i="13"/>
  <c r="C261" i="13"/>
  <c r="AN260" i="13"/>
  <c r="AB260" i="13"/>
  <c r="AA260" i="13"/>
  <c r="Y260" i="13"/>
  <c r="X260" i="13"/>
  <c r="W260" i="13"/>
  <c r="V260" i="13"/>
  <c r="U260" i="13"/>
  <c r="C260" i="13"/>
  <c r="B260" i="13"/>
  <c r="AO259" i="13"/>
  <c r="AK259" i="13"/>
  <c r="AH259" i="13"/>
  <c r="W259" i="13"/>
  <c r="V259" i="13"/>
  <c r="U259" i="13"/>
  <c r="T259" i="13"/>
  <c r="T271" i="13" s="1"/>
  <c r="S259" i="13"/>
  <c r="O259" i="13"/>
  <c r="D259" i="13"/>
  <c r="P254" i="13"/>
  <c r="O254" i="13"/>
  <c r="N254" i="13"/>
  <c r="M254" i="13"/>
  <c r="L254" i="13"/>
  <c r="K254" i="13"/>
  <c r="J254" i="13"/>
  <c r="I254" i="13"/>
  <c r="H254" i="13"/>
  <c r="G254" i="13"/>
  <c r="F254" i="13"/>
  <c r="E254" i="13"/>
  <c r="D254" i="13"/>
  <c r="C254" i="13"/>
  <c r="B254" i="13"/>
  <c r="P253" i="13"/>
  <c r="O253" i="13"/>
  <c r="O205" i="13" s="1"/>
  <c r="N253" i="13"/>
  <c r="M253" i="13"/>
  <c r="L253" i="13"/>
  <c r="K253" i="13"/>
  <c r="K205" i="13" s="1"/>
  <c r="J253" i="13"/>
  <c r="I253" i="13"/>
  <c r="H253" i="13"/>
  <c r="G253" i="13"/>
  <c r="F253" i="13"/>
  <c r="E253" i="13"/>
  <c r="D253" i="13"/>
  <c r="C253" i="13"/>
  <c r="B253" i="13"/>
  <c r="P252" i="13"/>
  <c r="P204" i="13" s="1"/>
  <c r="O252" i="13"/>
  <c r="O204" i="13" s="1"/>
  <c r="N252" i="13"/>
  <c r="M252" i="13"/>
  <c r="L252" i="13"/>
  <c r="L204" i="13" s="1"/>
  <c r="K252" i="13"/>
  <c r="J252" i="13"/>
  <c r="I252" i="13"/>
  <c r="H252" i="13"/>
  <c r="G252" i="13"/>
  <c r="F252" i="13"/>
  <c r="E252" i="13"/>
  <c r="D252" i="13"/>
  <c r="C252" i="13"/>
  <c r="B252" i="13"/>
  <c r="P251" i="13"/>
  <c r="O251" i="13"/>
  <c r="N251" i="13"/>
  <c r="M251" i="13"/>
  <c r="L251" i="13"/>
  <c r="K251" i="13"/>
  <c r="J251" i="13"/>
  <c r="I251" i="13"/>
  <c r="I203" i="13" s="1"/>
  <c r="H251" i="13"/>
  <c r="G251" i="13"/>
  <c r="F251" i="13"/>
  <c r="E251" i="13"/>
  <c r="E203" i="13" s="1"/>
  <c r="D251" i="13"/>
  <c r="C251" i="13"/>
  <c r="B251" i="13"/>
  <c r="P250" i="13"/>
  <c r="O250" i="13"/>
  <c r="N250" i="13"/>
  <c r="M250" i="13"/>
  <c r="L250" i="13"/>
  <c r="K250" i="13"/>
  <c r="J250" i="13"/>
  <c r="J202" i="13" s="1"/>
  <c r="I250" i="13"/>
  <c r="I202" i="13" s="1"/>
  <c r="H250" i="13"/>
  <c r="G250" i="13"/>
  <c r="F250" i="13"/>
  <c r="E250" i="13"/>
  <c r="D250" i="13"/>
  <c r="C250" i="13"/>
  <c r="B250" i="13"/>
  <c r="P249" i="13"/>
  <c r="O249" i="13"/>
  <c r="N249" i="13"/>
  <c r="M249" i="13"/>
  <c r="L249" i="13"/>
  <c r="K249" i="13"/>
  <c r="J249" i="13"/>
  <c r="I249" i="13"/>
  <c r="H249" i="13"/>
  <c r="G249" i="13"/>
  <c r="F249" i="13"/>
  <c r="E249" i="13"/>
  <c r="D249" i="13"/>
  <c r="C249" i="13"/>
  <c r="B249" i="13"/>
  <c r="P248" i="13"/>
  <c r="O248" i="13"/>
  <c r="N248" i="13"/>
  <c r="M248" i="13"/>
  <c r="L248" i="13"/>
  <c r="K248" i="13"/>
  <c r="J248" i="13"/>
  <c r="I248" i="13"/>
  <c r="H248" i="13"/>
  <c r="G248" i="13"/>
  <c r="F248" i="13"/>
  <c r="E248" i="13"/>
  <c r="D248" i="13"/>
  <c r="C248" i="13"/>
  <c r="B248" i="13"/>
  <c r="P247" i="13"/>
  <c r="O247" i="13"/>
  <c r="N247" i="13"/>
  <c r="M247" i="13"/>
  <c r="L247" i="13"/>
  <c r="K247" i="13"/>
  <c r="J247" i="13"/>
  <c r="I247" i="13"/>
  <c r="H247" i="13"/>
  <c r="G247" i="13"/>
  <c r="F247" i="13"/>
  <c r="E247" i="13"/>
  <c r="D247" i="13"/>
  <c r="C247" i="13"/>
  <c r="B247" i="13"/>
  <c r="P246" i="13"/>
  <c r="O246" i="13"/>
  <c r="N246" i="13"/>
  <c r="M246" i="13"/>
  <c r="L246" i="13"/>
  <c r="K246" i="13"/>
  <c r="J246" i="13"/>
  <c r="I246" i="13"/>
  <c r="H246" i="13"/>
  <c r="G246" i="13"/>
  <c r="F246" i="13"/>
  <c r="E246" i="13"/>
  <c r="E255" i="13" s="1"/>
  <c r="D246" i="13"/>
  <c r="C246" i="13"/>
  <c r="B246" i="13"/>
  <c r="Q245" i="13"/>
  <c r="P245" i="13"/>
  <c r="O245" i="13"/>
  <c r="N245" i="13"/>
  <c r="M245" i="13"/>
  <c r="L245" i="13"/>
  <c r="K245" i="13"/>
  <c r="J245" i="13"/>
  <c r="I245" i="13"/>
  <c r="H245" i="13"/>
  <c r="G245" i="13"/>
  <c r="F245" i="13"/>
  <c r="E245" i="13"/>
  <c r="D245" i="13"/>
  <c r="D255" i="13" s="1"/>
  <c r="C245" i="13"/>
  <c r="B245" i="13"/>
  <c r="B255" i="13" s="1"/>
  <c r="B15" i="13" s="1"/>
  <c r="Q244" i="13"/>
  <c r="P244" i="13"/>
  <c r="O244" i="13"/>
  <c r="N244" i="13"/>
  <c r="N196" i="13" s="1"/>
  <c r="M244" i="13"/>
  <c r="L244" i="13"/>
  <c r="K244" i="13"/>
  <c r="J244" i="13"/>
  <c r="J196" i="13" s="1"/>
  <c r="I244" i="13"/>
  <c r="H244" i="13"/>
  <c r="G244" i="13"/>
  <c r="F244" i="13"/>
  <c r="E244" i="13"/>
  <c r="D244" i="13"/>
  <c r="C244" i="13"/>
  <c r="B244" i="13"/>
  <c r="Q243" i="13"/>
  <c r="P243" i="13"/>
  <c r="O243" i="13"/>
  <c r="O255" i="13" s="1"/>
  <c r="O15" i="13" s="1"/>
  <c r="N243" i="13"/>
  <c r="M243" i="13"/>
  <c r="L243" i="13"/>
  <c r="K243" i="13"/>
  <c r="J243" i="13"/>
  <c r="I243" i="13"/>
  <c r="H243" i="13"/>
  <c r="H255" i="13" s="1"/>
  <c r="G243" i="13"/>
  <c r="F243" i="13"/>
  <c r="E243" i="13"/>
  <c r="D243" i="13"/>
  <c r="C243" i="13"/>
  <c r="C255" i="13" s="1"/>
  <c r="B243" i="13"/>
  <c r="P238" i="13"/>
  <c r="O238" i="13"/>
  <c r="N238" i="13"/>
  <c r="M238" i="13"/>
  <c r="L238" i="13"/>
  <c r="L206" i="13" s="1"/>
  <c r="K238" i="13"/>
  <c r="J238" i="13"/>
  <c r="I238" i="13"/>
  <c r="H238" i="13"/>
  <c r="G238" i="13"/>
  <c r="G206" i="13" s="1"/>
  <c r="F238" i="13"/>
  <c r="E238" i="13"/>
  <c r="E206" i="13" s="1"/>
  <c r="D238" i="13"/>
  <c r="D206" i="13" s="1"/>
  <c r="C238" i="13"/>
  <c r="B238" i="13"/>
  <c r="P237" i="13"/>
  <c r="O237" i="13"/>
  <c r="N237" i="13"/>
  <c r="M237" i="13"/>
  <c r="L237" i="13"/>
  <c r="K237" i="13"/>
  <c r="J237" i="13"/>
  <c r="I237" i="13"/>
  <c r="I205" i="13" s="1"/>
  <c r="H237" i="13"/>
  <c r="H205" i="13" s="1"/>
  <c r="G237" i="13"/>
  <c r="F237" i="13"/>
  <c r="E237" i="13"/>
  <c r="D237" i="13"/>
  <c r="D205" i="13" s="1"/>
  <c r="C237" i="13"/>
  <c r="B237" i="13"/>
  <c r="B205" i="13" s="1"/>
  <c r="P236" i="13"/>
  <c r="O236" i="13"/>
  <c r="N236" i="13"/>
  <c r="M236" i="13"/>
  <c r="L236" i="13"/>
  <c r="K236" i="13"/>
  <c r="J236" i="13"/>
  <c r="I236" i="13"/>
  <c r="H236" i="13"/>
  <c r="H204" i="13" s="1"/>
  <c r="G236" i="13"/>
  <c r="F236" i="13"/>
  <c r="E236" i="13"/>
  <c r="D236" i="13"/>
  <c r="C236" i="13"/>
  <c r="B236" i="13"/>
  <c r="P235" i="13"/>
  <c r="O235" i="13"/>
  <c r="N235" i="13"/>
  <c r="M235" i="13"/>
  <c r="L235" i="13"/>
  <c r="K235" i="13"/>
  <c r="K203" i="13" s="1"/>
  <c r="J235" i="13"/>
  <c r="I235" i="13"/>
  <c r="H235" i="13"/>
  <c r="G235" i="13"/>
  <c r="F235" i="13"/>
  <c r="E235" i="13"/>
  <c r="D235" i="13"/>
  <c r="C235" i="13"/>
  <c r="C203" i="13" s="1"/>
  <c r="B235" i="13"/>
  <c r="B203" i="13" s="1"/>
  <c r="P234" i="13"/>
  <c r="O234" i="13"/>
  <c r="O202" i="13" s="1"/>
  <c r="N234" i="13"/>
  <c r="N202" i="13" s="1"/>
  <c r="M234" i="13"/>
  <c r="L234" i="13"/>
  <c r="K234" i="13"/>
  <c r="J234" i="13"/>
  <c r="I234" i="13"/>
  <c r="H234" i="13"/>
  <c r="H202" i="13" s="1"/>
  <c r="G234" i="13"/>
  <c r="F234" i="13"/>
  <c r="E234" i="13"/>
  <c r="D234" i="13"/>
  <c r="C234" i="13"/>
  <c r="B234" i="13"/>
  <c r="P233" i="13"/>
  <c r="O233" i="13"/>
  <c r="O201" i="13" s="1"/>
  <c r="N233" i="13"/>
  <c r="N201" i="13" s="1"/>
  <c r="M233" i="13"/>
  <c r="L233" i="13"/>
  <c r="L201" i="13" s="1"/>
  <c r="K233" i="13"/>
  <c r="K201" i="13" s="1"/>
  <c r="J233" i="13"/>
  <c r="I233" i="13"/>
  <c r="H233" i="13"/>
  <c r="H201" i="13" s="1"/>
  <c r="G233" i="13"/>
  <c r="F233" i="13"/>
  <c r="E233" i="13"/>
  <c r="D233" i="13"/>
  <c r="C233" i="13"/>
  <c r="B233" i="13"/>
  <c r="P232" i="13"/>
  <c r="O232" i="13"/>
  <c r="N232" i="13"/>
  <c r="M232" i="13"/>
  <c r="L232" i="13"/>
  <c r="K232" i="13"/>
  <c r="J232" i="13"/>
  <c r="I232" i="13"/>
  <c r="I200" i="13" s="1"/>
  <c r="H232" i="13"/>
  <c r="H200" i="13" s="1"/>
  <c r="G232" i="13"/>
  <c r="F232" i="13"/>
  <c r="E232" i="13"/>
  <c r="E200" i="13" s="1"/>
  <c r="D232" i="13"/>
  <c r="C232" i="13"/>
  <c r="B232" i="13"/>
  <c r="B200" i="13" s="1"/>
  <c r="P231" i="13"/>
  <c r="O231" i="13"/>
  <c r="N231" i="13"/>
  <c r="M231" i="13"/>
  <c r="M199" i="13" s="1"/>
  <c r="L231" i="13"/>
  <c r="K231" i="13"/>
  <c r="J231" i="13"/>
  <c r="I231" i="13"/>
  <c r="H231" i="13"/>
  <c r="G231" i="13"/>
  <c r="F231" i="13"/>
  <c r="F199" i="13" s="1"/>
  <c r="E231" i="13"/>
  <c r="E199" i="13" s="1"/>
  <c r="D231" i="13"/>
  <c r="C231" i="13"/>
  <c r="B231" i="13"/>
  <c r="P230" i="13"/>
  <c r="O230" i="13"/>
  <c r="N230" i="13"/>
  <c r="M230" i="13"/>
  <c r="L230" i="13"/>
  <c r="L198" i="13" s="1"/>
  <c r="K230" i="13"/>
  <c r="J230" i="13"/>
  <c r="I230" i="13"/>
  <c r="H230" i="13"/>
  <c r="G230" i="13"/>
  <c r="F230" i="13"/>
  <c r="E230" i="13"/>
  <c r="D230" i="13"/>
  <c r="C230" i="13"/>
  <c r="C198" i="13" s="1"/>
  <c r="B230" i="13"/>
  <c r="B198" i="13" s="1"/>
  <c r="Q229" i="13"/>
  <c r="P229" i="13"/>
  <c r="O229" i="13"/>
  <c r="N229" i="13"/>
  <c r="M229" i="13"/>
  <c r="L229" i="13"/>
  <c r="K229" i="13"/>
  <c r="J229" i="13"/>
  <c r="I229" i="13"/>
  <c r="H229" i="13"/>
  <c r="G229" i="13"/>
  <c r="G197" i="13" s="1"/>
  <c r="F229" i="13"/>
  <c r="F197" i="13" s="1"/>
  <c r="E229" i="13"/>
  <c r="D229" i="13"/>
  <c r="C229" i="13"/>
  <c r="C197" i="13" s="1"/>
  <c r="B229" i="13"/>
  <c r="Q228" i="13"/>
  <c r="P228" i="13"/>
  <c r="O228" i="13"/>
  <c r="O196" i="13" s="1"/>
  <c r="N228" i="13"/>
  <c r="M228" i="13"/>
  <c r="L228" i="13"/>
  <c r="L196" i="13" s="1"/>
  <c r="K228" i="13"/>
  <c r="K239" i="13" s="1"/>
  <c r="K14" i="13" s="1"/>
  <c r="J228" i="13"/>
  <c r="I228" i="13"/>
  <c r="H228" i="13"/>
  <c r="G228" i="13"/>
  <c r="F228" i="13"/>
  <c r="E228" i="13"/>
  <c r="D228" i="13"/>
  <c r="C228" i="13"/>
  <c r="B228" i="13"/>
  <c r="Q227" i="13"/>
  <c r="P227" i="13"/>
  <c r="O227" i="13"/>
  <c r="N227" i="13"/>
  <c r="M227" i="13"/>
  <c r="L227" i="13"/>
  <c r="K227" i="13"/>
  <c r="J227" i="13"/>
  <c r="I227" i="13"/>
  <c r="I195" i="13" s="1"/>
  <c r="H227" i="13"/>
  <c r="G227" i="13"/>
  <c r="F227" i="13"/>
  <c r="E227" i="13"/>
  <c r="D227" i="13"/>
  <c r="C227" i="13"/>
  <c r="B227" i="13"/>
  <c r="AH223" i="13"/>
  <c r="AE223" i="13"/>
  <c r="AE13" i="13" s="1"/>
  <c r="I223" i="13"/>
  <c r="I13" i="13" s="1"/>
  <c r="E223" i="13"/>
  <c r="E13" i="13" s="1"/>
  <c r="AP222" i="13"/>
  <c r="AO222" i="13"/>
  <c r="AN222" i="13"/>
  <c r="AM222" i="13"/>
  <c r="AL222" i="13"/>
  <c r="AK222" i="13"/>
  <c r="AJ222" i="13"/>
  <c r="AI222" i="13"/>
  <c r="AH222" i="13"/>
  <c r="AG222" i="13"/>
  <c r="AF222" i="13"/>
  <c r="AE222" i="13"/>
  <c r="AD222" i="13"/>
  <c r="AC222" i="13"/>
  <c r="AB222" i="13"/>
  <c r="AA222" i="13"/>
  <c r="Z222" i="13"/>
  <c r="Y222" i="13"/>
  <c r="X222" i="13"/>
  <c r="W222" i="13"/>
  <c r="V222" i="13"/>
  <c r="U222" i="13"/>
  <c r="T222" i="13"/>
  <c r="S222" i="13"/>
  <c r="R222" i="13"/>
  <c r="Q222" i="13"/>
  <c r="P222" i="13"/>
  <c r="O222" i="13"/>
  <c r="N222" i="13"/>
  <c r="M222" i="13"/>
  <c r="L222" i="13"/>
  <c r="K222" i="13"/>
  <c r="J222" i="13"/>
  <c r="J206" i="13" s="1"/>
  <c r="I222" i="13"/>
  <c r="I206" i="13" s="1"/>
  <c r="H222" i="13"/>
  <c r="G222" i="13"/>
  <c r="F222" i="13"/>
  <c r="E222" i="13"/>
  <c r="D222" i="13"/>
  <c r="C222" i="13"/>
  <c r="B222" i="13"/>
  <c r="B206" i="13" s="1"/>
  <c r="AP221" i="13"/>
  <c r="AO221" i="13"/>
  <c r="AN221" i="13"/>
  <c r="AM221" i="13"/>
  <c r="AL221" i="13"/>
  <c r="AK221" i="13"/>
  <c r="AJ221" i="13"/>
  <c r="AI221" i="13"/>
  <c r="AH221" i="13"/>
  <c r="AG221" i="13"/>
  <c r="AF221" i="13"/>
  <c r="AE221" i="13"/>
  <c r="AD221" i="13"/>
  <c r="AC221" i="13"/>
  <c r="AB221" i="13"/>
  <c r="AA221" i="13"/>
  <c r="Z221" i="13"/>
  <c r="Y221" i="13"/>
  <c r="X221" i="13"/>
  <c r="W221" i="13"/>
  <c r="V221" i="13"/>
  <c r="U221" i="13"/>
  <c r="T221" i="13"/>
  <c r="S221" i="13"/>
  <c r="R221" i="13"/>
  <c r="Q221" i="13"/>
  <c r="P221" i="13"/>
  <c r="P205" i="13" s="1"/>
  <c r="O221" i="13"/>
  <c r="N221" i="13"/>
  <c r="M221" i="13"/>
  <c r="M205" i="13" s="1"/>
  <c r="L221" i="13"/>
  <c r="K221" i="13"/>
  <c r="J221" i="13"/>
  <c r="J205" i="13" s="1"/>
  <c r="I221" i="13"/>
  <c r="H221" i="13"/>
  <c r="G221" i="13"/>
  <c r="G205" i="13" s="1"/>
  <c r="F221" i="13"/>
  <c r="E221" i="13"/>
  <c r="D221" i="13"/>
  <c r="C221" i="13"/>
  <c r="B221" i="13"/>
  <c r="AP220" i="13"/>
  <c r="AO220" i="13"/>
  <c r="AN220" i="13"/>
  <c r="AM220" i="13"/>
  <c r="AL220" i="13"/>
  <c r="AK220" i="13"/>
  <c r="AJ220" i="13"/>
  <c r="AI220" i="13"/>
  <c r="AH220" i="13"/>
  <c r="AG220" i="13"/>
  <c r="AF220" i="13"/>
  <c r="AE220" i="13"/>
  <c r="AD220" i="13"/>
  <c r="AC220" i="13"/>
  <c r="AB220" i="13"/>
  <c r="AA220" i="13"/>
  <c r="Z220" i="13"/>
  <c r="Y220" i="13"/>
  <c r="X220" i="13"/>
  <c r="W220" i="13"/>
  <c r="V220" i="13"/>
  <c r="U220" i="13"/>
  <c r="T220" i="13"/>
  <c r="S220" i="13"/>
  <c r="R220" i="13"/>
  <c r="Q220" i="13"/>
  <c r="P220" i="13"/>
  <c r="O220" i="13"/>
  <c r="N220" i="13"/>
  <c r="M220" i="13"/>
  <c r="M204" i="13" s="1"/>
  <c r="M124" i="13" s="1"/>
  <c r="L220" i="13"/>
  <c r="K220" i="13"/>
  <c r="K204" i="13" s="1"/>
  <c r="J220" i="13"/>
  <c r="J204" i="13" s="1"/>
  <c r="I220" i="13"/>
  <c r="H220" i="13"/>
  <c r="G220" i="13"/>
  <c r="G204" i="13" s="1"/>
  <c r="F220" i="13"/>
  <c r="E220" i="13"/>
  <c r="D220" i="13"/>
  <c r="D204" i="13" s="1"/>
  <c r="C220" i="13"/>
  <c r="C204" i="13" s="1"/>
  <c r="B220" i="13"/>
  <c r="AP219" i="13"/>
  <c r="AO219" i="13"/>
  <c r="AN219" i="13"/>
  <c r="AM219" i="13"/>
  <c r="AL219" i="13"/>
  <c r="AK219" i="13"/>
  <c r="AJ219" i="13"/>
  <c r="AI219" i="13"/>
  <c r="AH219" i="13"/>
  <c r="AG219" i="13"/>
  <c r="AF219" i="13"/>
  <c r="AE219" i="13"/>
  <c r="AD219" i="13"/>
  <c r="AC219" i="13"/>
  <c r="AB219" i="13"/>
  <c r="AA219" i="13"/>
  <c r="Z219" i="13"/>
  <c r="Y219" i="13"/>
  <c r="X219" i="13"/>
  <c r="W219" i="13"/>
  <c r="V219" i="13"/>
  <c r="U219" i="13"/>
  <c r="T219" i="13"/>
  <c r="S219" i="13"/>
  <c r="R219" i="13"/>
  <c r="Q219" i="13"/>
  <c r="P219" i="13"/>
  <c r="P203" i="13" s="1"/>
  <c r="O219" i="13"/>
  <c r="O203" i="13" s="1"/>
  <c r="N219" i="13"/>
  <c r="M219" i="13"/>
  <c r="L219" i="13"/>
  <c r="K219" i="13"/>
  <c r="J219" i="13"/>
  <c r="I219" i="13"/>
  <c r="H219" i="13"/>
  <c r="H203" i="13" s="1"/>
  <c r="G219" i="13"/>
  <c r="G203" i="13" s="1"/>
  <c r="F219" i="13"/>
  <c r="E219" i="13"/>
  <c r="D219" i="13"/>
  <c r="C219" i="13"/>
  <c r="B219" i="13"/>
  <c r="AP218" i="13"/>
  <c r="AO218" i="13"/>
  <c r="AN218" i="13"/>
  <c r="AM218" i="13"/>
  <c r="AL218" i="13"/>
  <c r="AK218" i="13"/>
  <c r="AJ218" i="13"/>
  <c r="AI218" i="13"/>
  <c r="AH218" i="13"/>
  <c r="AG218" i="13"/>
  <c r="AF218" i="13"/>
  <c r="AE218" i="13"/>
  <c r="AD218" i="13"/>
  <c r="AC218" i="13"/>
  <c r="AB218" i="13"/>
  <c r="AA218" i="13"/>
  <c r="Z218" i="13"/>
  <c r="Y218" i="13"/>
  <c r="X218" i="13"/>
  <c r="W218" i="13"/>
  <c r="V218" i="13"/>
  <c r="U218" i="13"/>
  <c r="T218" i="13"/>
  <c r="S218" i="13"/>
  <c r="R218" i="13"/>
  <c r="Q218" i="13"/>
  <c r="P218" i="13"/>
  <c r="O218" i="13"/>
  <c r="N218" i="13"/>
  <c r="M218" i="13"/>
  <c r="L218" i="13"/>
  <c r="K218" i="13"/>
  <c r="J218" i="13"/>
  <c r="I218" i="13"/>
  <c r="H218" i="13"/>
  <c r="G218" i="13"/>
  <c r="G202" i="13" s="1"/>
  <c r="F218" i="13"/>
  <c r="E218" i="13"/>
  <c r="E202" i="13" s="1"/>
  <c r="D218" i="13"/>
  <c r="D202" i="13" s="1"/>
  <c r="C218" i="13"/>
  <c r="B218" i="13"/>
  <c r="AP217" i="13"/>
  <c r="AO217" i="13"/>
  <c r="AN217" i="13"/>
  <c r="AM217" i="13"/>
  <c r="AL217" i="13"/>
  <c r="AK217" i="13"/>
  <c r="AJ217" i="13"/>
  <c r="AI217" i="13"/>
  <c r="AH217" i="13"/>
  <c r="AG217" i="13"/>
  <c r="AF217" i="13"/>
  <c r="AE217" i="13"/>
  <c r="AD217" i="13"/>
  <c r="AC217" i="13"/>
  <c r="AB217" i="13"/>
  <c r="AA217" i="13"/>
  <c r="Z217" i="13"/>
  <c r="Y217" i="13"/>
  <c r="X217" i="13"/>
  <c r="W217" i="13"/>
  <c r="V217" i="13"/>
  <c r="U217" i="13"/>
  <c r="T217" i="13"/>
  <c r="S217" i="13"/>
  <c r="R217" i="13"/>
  <c r="Q217" i="13"/>
  <c r="P217" i="13"/>
  <c r="O217" i="13"/>
  <c r="N217" i="13"/>
  <c r="M217" i="13"/>
  <c r="L217" i="13"/>
  <c r="K217" i="13"/>
  <c r="J217" i="13"/>
  <c r="I217" i="13"/>
  <c r="I201" i="13" s="1"/>
  <c r="I121" i="13" s="1"/>
  <c r="H217" i="13"/>
  <c r="G217" i="13"/>
  <c r="F217" i="13"/>
  <c r="E217" i="13"/>
  <c r="D217" i="13"/>
  <c r="D201" i="13" s="1"/>
  <c r="C217" i="13"/>
  <c r="B217" i="13"/>
  <c r="B201" i="13" s="1"/>
  <c r="AP216" i="13"/>
  <c r="AO216" i="13"/>
  <c r="AN216" i="13"/>
  <c r="AM216" i="13"/>
  <c r="AL216" i="13"/>
  <c r="AK216" i="13"/>
  <c r="AJ216" i="13"/>
  <c r="AI216" i="13"/>
  <c r="AH216" i="13"/>
  <c r="AG216" i="13"/>
  <c r="AF216" i="13"/>
  <c r="AE216" i="13"/>
  <c r="AD216" i="13"/>
  <c r="AC216" i="13"/>
  <c r="AB216" i="13"/>
  <c r="AA216" i="13"/>
  <c r="Z216" i="13"/>
  <c r="Y216" i="13"/>
  <c r="X216" i="13"/>
  <c r="W216" i="13"/>
  <c r="V216" i="13"/>
  <c r="U216" i="13"/>
  <c r="T216" i="13"/>
  <c r="S216" i="13"/>
  <c r="R216" i="13"/>
  <c r="Q216" i="13"/>
  <c r="P216" i="13"/>
  <c r="O216" i="13"/>
  <c r="N216" i="13"/>
  <c r="N200" i="13" s="1"/>
  <c r="M216" i="13"/>
  <c r="M200" i="13" s="1"/>
  <c r="L216" i="13"/>
  <c r="K216" i="13"/>
  <c r="J216" i="13"/>
  <c r="I216" i="13"/>
  <c r="H216" i="13"/>
  <c r="G216" i="13"/>
  <c r="F216" i="13"/>
  <c r="E216" i="13"/>
  <c r="D216" i="13"/>
  <c r="C216" i="13"/>
  <c r="B216" i="13"/>
  <c r="AP215" i="13"/>
  <c r="AO215" i="13"/>
  <c r="AN215" i="13"/>
  <c r="AM215" i="13"/>
  <c r="AL215" i="13"/>
  <c r="AK215" i="13"/>
  <c r="AJ215" i="13"/>
  <c r="AI215" i="13"/>
  <c r="AH215" i="13"/>
  <c r="AG215" i="13"/>
  <c r="AF215" i="13"/>
  <c r="AE215" i="13"/>
  <c r="AD215" i="13"/>
  <c r="AC215" i="13"/>
  <c r="AB215" i="13"/>
  <c r="AA215" i="13"/>
  <c r="Z215" i="13"/>
  <c r="Y215" i="13"/>
  <c r="X215" i="13"/>
  <c r="W215" i="13"/>
  <c r="V215" i="13"/>
  <c r="U215" i="13"/>
  <c r="T215" i="13"/>
  <c r="S215" i="13"/>
  <c r="R215" i="13"/>
  <c r="Q215" i="13"/>
  <c r="P215" i="13"/>
  <c r="O215" i="13"/>
  <c r="N215" i="13"/>
  <c r="N199" i="13" s="1"/>
  <c r="M215" i="13"/>
  <c r="L215" i="13"/>
  <c r="K215" i="13"/>
  <c r="K199" i="13" s="1"/>
  <c r="J215" i="13"/>
  <c r="I215" i="13"/>
  <c r="H215" i="13"/>
  <c r="G215" i="13"/>
  <c r="F215" i="13"/>
  <c r="E215" i="13"/>
  <c r="D215" i="13"/>
  <c r="C215" i="13"/>
  <c r="B215" i="13"/>
  <c r="AP214" i="13"/>
  <c r="AO214" i="13"/>
  <c r="AN214" i="13"/>
  <c r="AM214" i="13"/>
  <c r="AL214" i="13"/>
  <c r="AK214" i="13"/>
  <c r="AJ214" i="13"/>
  <c r="AI214" i="13"/>
  <c r="AH214" i="13"/>
  <c r="AG214" i="13"/>
  <c r="AF214" i="13"/>
  <c r="AE214" i="13"/>
  <c r="AD214" i="13"/>
  <c r="AC214" i="13"/>
  <c r="AB214" i="13"/>
  <c r="AA214" i="13"/>
  <c r="Z214" i="13"/>
  <c r="Y214" i="13"/>
  <c r="X214" i="13"/>
  <c r="W214" i="13"/>
  <c r="V214" i="13"/>
  <c r="U214" i="13"/>
  <c r="T214" i="13"/>
  <c r="S214" i="13"/>
  <c r="R214" i="13"/>
  <c r="Q214" i="13"/>
  <c r="P214" i="13"/>
  <c r="O214" i="13"/>
  <c r="O223" i="13" s="1"/>
  <c r="N214" i="13"/>
  <c r="N198" i="13" s="1"/>
  <c r="M214" i="13"/>
  <c r="L214" i="13"/>
  <c r="K214" i="13"/>
  <c r="J214" i="13"/>
  <c r="I214" i="13"/>
  <c r="H214" i="13"/>
  <c r="H198" i="13" s="1"/>
  <c r="G214" i="13"/>
  <c r="G198" i="13" s="1"/>
  <c r="F214" i="13"/>
  <c r="E214" i="13"/>
  <c r="E198" i="13" s="1"/>
  <c r="D214" i="13"/>
  <c r="C214" i="13"/>
  <c r="B214" i="13"/>
  <c r="AP213" i="13"/>
  <c r="AO213" i="13"/>
  <c r="AN213" i="13"/>
  <c r="AM213" i="13"/>
  <c r="AL213" i="13"/>
  <c r="AK213" i="13"/>
  <c r="AJ213" i="13"/>
  <c r="AI213" i="13"/>
  <c r="AH213" i="13"/>
  <c r="AG213" i="13"/>
  <c r="AF213" i="13"/>
  <c r="AE213" i="13"/>
  <c r="AD213" i="13"/>
  <c r="AC213" i="13"/>
  <c r="AB213" i="13"/>
  <c r="AA213" i="13"/>
  <c r="Z213" i="13"/>
  <c r="Y213" i="13"/>
  <c r="X213" i="13"/>
  <c r="W213" i="13"/>
  <c r="V213" i="13"/>
  <c r="U213" i="13"/>
  <c r="T213" i="13"/>
  <c r="S213" i="13"/>
  <c r="R213" i="13"/>
  <c r="Q213" i="13"/>
  <c r="P213" i="13"/>
  <c r="O213" i="13"/>
  <c r="N213" i="13"/>
  <c r="N197" i="13" s="1"/>
  <c r="M213" i="13"/>
  <c r="L213" i="13"/>
  <c r="L223" i="13" s="1"/>
  <c r="K213" i="13"/>
  <c r="J213" i="13"/>
  <c r="I213" i="13"/>
  <c r="H213" i="13"/>
  <c r="H197" i="13" s="1"/>
  <c r="G213" i="13"/>
  <c r="F213" i="13"/>
  <c r="E213" i="13"/>
  <c r="E197" i="13" s="1"/>
  <c r="D213" i="13"/>
  <c r="C213" i="13"/>
  <c r="B213" i="13"/>
  <c r="AP212" i="13"/>
  <c r="AO212" i="13"/>
  <c r="AN212" i="13"/>
  <c r="AM212" i="13"/>
  <c r="AL212" i="13"/>
  <c r="AK212" i="13"/>
  <c r="AJ212" i="13"/>
  <c r="AI212" i="13"/>
  <c r="AH212" i="13"/>
  <c r="AG212" i="13"/>
  <c r="AF212" i="13"/>
  <c r="AE212" i="13"/>
  <c r="AD212" i="13"/>
  <c r="AC212" i="13"/>
  <c r="AB212" i="13"/>
  <c r="AA212" i="13"/>
  <c r="Z212" i="13"/>
  <c r="Y212" i="13"/>
  <c r="X212" i="13"/>
  <c r="W212" i="13"/>
  <c r="V212" i="13"/>
  <c r="U212" i="13"/>
  <c r="T212" i="13"/>
  <c r="S212" i="13"/>
  <c r="R212" i="13"/>
  <c r="Q212" i="13"/>
  <c r="Q196" i="13" s="1"/>
  <c r="P212" i="13"/>
  <c r="O212" i="13"/>
  <c r="N212" i="13"/>
  <c r="M212" i="13"/>
  <c r="L212" i="13"/>
  <c r="K212" i="13"/>
  <c r="J212" i="13"/>
  <c r="I212" i="13"/>
  <c r="I196" i="13" s="1"/>
  <c r="H212" i="13"/>
  <c r="H196" i="13" s="1"/>
  <c r="G212" i="13"/>
  <c r="F212" i="13"/>
  <c r="E212" i="13"/>
  <c r="E196" i="13" s="1"/>
  <c r="D212" i="13"/>
  <c r="C212" i="13"/>
  <c r="C196" i="13" s="1"/>
  <c r="B212" i="13"/>
  <c r="B196" i="13" s="1"/>
  <c r="AP211" i="13"/>
  <c r="AO211" i="13"/>
  <c r="AN211" i="13"/>
  <c r="AM211" i="13"/>
  <c r="AL211" i="13"/>
  <c r="AK211" i="13"/>
  <c r="AJ211" i="13"/>
  <c r="AI211" i="13"/>
  <c r="AH211" i="13"/>
  <c r="AG211" i="13"/>
  <c r="AF211" i="13"/>
  <c r="AE211" i="13"/>
  <c r="AD211" i="13"/>
  <c r="AC211" i="13"/>
  <c r="AB211" i="13"/>
  <c r="AA211" i="13"/>
  <c r="Z211" i="13"/>
  <c r="Y211" i="13"/>
  <c r="X211" i="13"/>
  <c r="W211" i="13"/>
  <c r="V211" i="13"/>
  <c r="V223" i="13" s="1"/>
  <c r="V13" i="13" s="1"/>
  <c r="U211" i="13"/>
  <c r="T211" i="13"/>
  <c r="S211" i="13"/>
  <c r="R211" i="13"/>
  <c r="Q211" i="13"/>
  <c r="P211" i="13"/>
  <c r="O211" i="13"/>
  <c r="N211" i="13"/>
  <c r="M211" i="13"/>
  <c r="L211" i="13"/>
  <c r="K211" i="13"/>
  <c r="J211" i="13"/>
  <c r="I211" i="13"/>
  <c r="H211" i="13"/>
  <c r="G211" i="13"/>
  <c r="F211" i="13"/>
  <c r="E211" i="13"/>
  <c r="E195" i="13" s="1"/>
  <c r="D211" i="13"/>
  <c r="C211" i="13"/>
  <c r="B211" i="13"/>
  <c r="P206" i="13"/>
  <c r="P126" i="13" s="1"/>
  <c r="O206" i="13"/>
  <c r="N206" i="13"/>
  <c r="M206" i="13"/>
  <c r="K206" i="13"/>
  <c r="H206" i="13"/>
  <c r="N205" i="13"/>
  <c r="L205" i="13"/>
  <c r="I204" i="13"/>
  <c r="F204" i="13"/>
  <c r="E204" i="13"/>
  <c r="B204" i="13"/>
  <c r="M203" i="13"/>
  <c r="L203" i="13"/>
  <c r="F203" i="13"/>
  <c r="D203" i="13"/>
  <c r="F202" i="13"/>
  <c r="F122" i="13" s="1"/>
  <c r="C202" i="13"/>
  <c r="B202" i="13"/>
  <c r="G201" i="13"/>
  <c r="F201" i="13"/>
  <c r="C201" i="13"/>
  <c r="P200" i="13"/>
  <c r="O200" i="13"/>
  <c r="L200" i="13"/>
  <c r="K200" i="13"/>
  <c r="F200" i="13"/>
  <c r="D200" i="13"/>
  <c r="C200" i="13"/>
  <c r="P199" i="13"/>
  <c r="O199" i="13"/>
  <c r="L199" i="13"/>
  <c r="I199" i="13"/>
  <c r="H199" i="13"/>
  <c r="C199" i="13"/>
  <c r="C119" i="13" s="1"/>
  <c r="P198" i="13"/>
  <c r="O198" i="13"/>
  <c r="M198" i="13"/>
  <c r="K198" i="13"/>
  <c r="I198" i="13"/>
  <c r="F198" i="13"/>
  <c r="Q197" i="13"/>
  <c r="P197" i="13"/>
  <c r="M197" i="13"/>
  <c r="L197" i="13"/>
  <c r="K197" i="13"/>
  <c r="K117" i="13" s="1"/>
  <c r="J197" i="13"/>
  <c r="I197" i="13"/>
  <c r="P196" i="13"/>
  <c r="P116" i="13" s="1"/>
  <c r="M196" i="13"/>
  <c r="G196" i="13"/>
  <c r="J195" i="13"/>
  <c r="G195" i="13"/>
  <c r="D195" i="13"/>
  <c r="C195" i="13"/>
  <c r="P190" i="13"/>
  <c r="O190" i="13"/>
  <c r="N190" i="13"/>
  <c r="M190" i="13"/>
  <c r="L190" i="13"/>
  <c r="K190" i="13"/>
  <c r="J190" i="13"/>
  <c r="I190" i="13"/>
  <c r="H190" i="13"/>
  <c r="G190" i="13"/>
  <c r="F190" i="13"/>
  <c r="E190" i="13"/>
  <c r="E142" i="13" s="1"/>
  <c r="D190" i="13"/>
  <c r="C190" i="13"/>
  <c r="B190" i="13"/>
  <c r="P189" i="13"/>
  <c r="P141" i="13" s="1"/>
  <c r="O189" i="13"/>
  <c r="N189" i="13"/>
  <c r="M189" i="13"/>
  <c r="L189" i="13"/>
  <c r="K189" i="13"/>
  <c r="J189" i="13"/>
  <c r="I189" i="13"/>
  <c r="H189" i="13"/>
  <c r="G189" i="13"/>
  <c r="F189" i="13"/>
  <c r="E189" i="13"/>
  <c r="D189" i="13"/>
  <c r="C189" i="13"/>
  <c r="B189" i="13"/>
  <c r="P188" i="13"/>
  <c r="O188" i="13"/>
  <c r="N188" i="13"/>
  <c r="M188" i="13"/>
  <c r="L188" i="13"/>
  <c r="K188" i="13"/>
  <c r="J188" i="13"/>
  <c r="I188" i="13"/>
  <c r="H188" i="13"/>
  <c r="G188" i="13"/>
  <c r="G140" i="13" s="1"/>
  <c r="G124" i="13" s="1"/>
  <c r="F188" i="13"/>
  <c r="F140" i="13" s="1"/>
  <c r="E188" i="13"/>
  <c r="D188" i="13"/>
  <c r="C188" i="13"/>
  <c r="B188" i="13"/>
  <c r="P187" i="13"/>
  <c r="O187" i="13"/>
  <c r="N187" i="13"/>
  <c r="M187" i="13"/>
  <c r="L187" i="13"/>
  <c r="K187" i="13"/>
  <c r="J187" i="13"/>
  <c r="I187" i="13"/>
  <c r="H187" i="13"/>
  <c r="G187" i="13"/>
  <c r="G139" i="13" s="1"/>
  <c r="G123" i="13" s="1"/>
  <c r="F187" i="13"/>
  <c r="E187" i="13"/>
  <c r="D187" i="13"/>
  <c r="C187" i="13"/>
  <c r="B187" i="13"/>
  <c r="P186" i="13"/>
  <c r="O186" i="13"/>
  <c r="O138" i="13" s="1"/>
  <c r="N186" i="13"/>
  <c r="M186" i="13"/>
  <c r="L186" i="13"/>
  <c r="K186" i="13"/>
  <c r="J186" i="13"/>
  <c r="I186" i="13"/>
  <c r="H186" i="13"/>
  <c r="G186" i="13"/>
  <c r="G138" i="13" s="1"/>
  <c r="F186" i="13"/>
  <c r="E186" i="13"/>
  <c r="D186" i="13"/>
  <c r="C186" i="13"/>
  <c r="B186" i="13"/>
  <c r="P185" i="13"/>
  <c r="O185" i="13"/>
  <c r="N185" i="13"/>
  <c r="M185" i="13"/>
  <c r="L185" i="13"/>
  <c r="K185" i="13"/>
  <c r="J185" i="13"/>
  <c r="I185" i="13"/>
  <c r="H185" i="13"/>
  <c r="G185" i="13"/>
  <c r="F185" i="13"/>
  <c r="E185" i="13"/>
  <c r="E137" i="13" s="1"/>
  <c r="D185" i="13"/>
  <c r="D137" i="13" s="1"/>
  <c r="D121" i="13" s="1"/>
  <c r="C185" i="13"/>
  <c r="B185" i="13"/>
  <c r="P184" i="13"/>
  <c r="O184" i="13"/>
  <c r="N184" i="13"/>
  <c r="M184" i="13"/>
  <c r="L184" i="13"/>
  <c r="K184" i="13"/>
  <c r="J184" i="13"/>
  <c r="I184" i="13"/>
  <c r="H184" i="13"/>
  <c r="G184" i="13"/>
  <c r="F184" i="13"/>
  <c r="E184" i="13"/>
  <c r="D184" i="13"/>
  <c r="C184" i="13"/>
  <c r="B184" i="13"/>
  <c r="P183" i="13"/>
  <c r="O183" i="13"/>
  <c r="N183" i="13"/>
  <c r="M183" i="13"/>
  <c r="L183" i="13"/>
  <c r="K183" i="13"/>
  <c r="J183" i="13"/>
  <c r="I183" i="13"/>
  <c r="H183" i="13"/>
  <c r="G183" i="13"/>
  <c r="F183" i="13"/>
  <c r="E183" i="13"/>
  <c r="D183" i="13"/>
  <c r="C183" i="13"/>
  <c r="B183" i="13"/>
  <c r="P182" i="13"/>
  <c r="O182" i="13"/>
  <c r="N182" i="13"/>
  <c r="N134" i="13" s="1"/>
  <c r="M182" i="13"/>
  <c r="L182" i="13"/>
  <c r="K182" i="13"/>
  <c r="K134" i="13" s="1"/>
  <c r="K118" i="13" s="1"/>
  <c r="J182" i="13"/>
  <c r="J134" i="13" s="1"/>
  <c r="I182" i="13"/>
  <c r="H182" i="13"/>
  <c r="G182" i="13"/>
  <c r="F182" i="13"/>
  <c r="E182" i="13"/>
  <c r="D182" i="13"/>
  <c r="C182" i="13"/>
  <c r="B182" i="13"/>
  <c r="Q181" i="13"/>
  <c r="P181" i="13"/>
  <c r="O181" i="13"/>
  <c r="O133" i="13" s="1"/>
  <c r="N181" i="13"/>
  <c r="N133" i="13" s="1"/>
  <c r="M181" i="13"/>
  <c r="L181" i="13"/>
  <c r="K181" i="13"/>
  <c r="J181" i="13"/>
  <c r="I181" i="13"/>
  <c r="H181" i="13"/>
  <c r="G181" i="13"/>
  <c r="F181" i="13"/>
  <c r="E181" i="13"/>
  <c r="D181" i="13"/>
  <c r="C181" i="13"/>
  <c r="B181" i="13"/>
  <c r="Q180" i="13"/>
  <c r="P180" i="13"/>
  <c r="O180" i="13"/>
  <c r="N180" i="13"/>
  <c r="M180" i="13"/>
  <c r="L180" i="13"/>
  <c r="K180" i="13"/>
  <c r="J180" i="13"/>
  <c r="I180" i="13"/>
  <c r="H180" i="13"/>
  <c r="G180" i="13"/>
  <c r="F180" i="13"/>
  <c r="E180" i="13"/>
  <c r="E132" i="13" s="1"/>
  <c r="E116" i="13" s="1"/>
  <c r="D180" i="13"/>
  <c r="C180" i="13"/>
  <c r="B180" i="13"/>
  <c r="Q179" i="13"/>
  <c r="P179" i="13"/>
  <c r="O179" i="13"/>
  <c r="N179" i="13"/>
  <c r="M179" i="13"/>
  <c r="M191" i="13" s="1"/>
  <c r="M11" i="13" s="1"/>
  <c r="L179" i="13"/>
  <c r="L191" i="13" s="1"/>
  <c r="L11" i="13" s="1"/>
  <c r="K179" i="13"/>
  <c r="J179" i="13"/>
  <c r="I179" i="13"/>
  <c r="H179" i="13"/>
  <c r="G179" i="13"/>
  <c r="F179" i="13"/>
  <c r="E179" i="13"/>
  <c r="D179" i="13"/>
  <c r="C179" i="13"/>
  <c r="B179" i="13"/>
  <c r="L175" i="13"/>
  <c r="L10" i="13" s="1"/>
  <c r="P174" i="13"/>
  <c r="O174" i="13"/>
  <c r="N174" i="13"/>
  <c r="M174" i="13"/>
  <c r="L174" i="13"/>
  <c r="K174" i="13"/>
  <c r="J174" i="13"/>
  <c r="I174" i="13"/>
  <c r="H174" i="13"/>
  <c r="G174" i="13"/>
  <c r="F174" i="13"/>
  <c r="F142" i="13" s="1"/>
  <c r="E174" i="13"/>
  <c r="D174" i="13"/>
  <c r="C174" i="13"/>
  <c r="C142" i="13" s="1"/>
  <c r="B174" i="13"/>
  <c r="B142" i="13" s="1"/>
  <c r="P173" i="13"/>
  <c r="O173" i="13"/>
  <c r="N173" i="13"/>
  <c r="M173" i="13"/>
  <c r="L173" i="13"/>
  <c r="K173" i="13"/>
  <c r="J173" i="13"/>
  <c r="I173" i="13"/>
  <c r="H173" i="13"/>
  <c r="G173" i="13"/>
  <c r="F173" i="13"/>
  <c r="E173" i="13"/>
  <c r="D173" i="13"/>
  <c r="C173" i="13"/>
  <c r="B173" i="13"/>
  <c r="P172" i="13"/>
  <c r="O172" i="13"/>
  <c r="O140" i="13" s="1"/>
  <c r="N172" i="13"/>
  <c r="M172" i="13"/>
  <c r="L172" i="13"/>
  <c r="L140" i="13" s="1"/>
  <c r="K172" i="13"/>
  <c r="J172" i="13"/>
  <c r="I172" i="13"/>
  <c r="H172" i="13"/>
  <c r="G172" i="13"/>
  <c r="F172" i="13"/>
  <c r="E172" i="13"/>
  <c r="D172" i="13"/>
  <c r="D140" i="13" s="1"/>
  <c r="D124" i="13" s="1"/>
  <c r="C172" i="13"/>
  <c r="B172" i="13"/>
  <c r="P171" i="13"/>
  <c r="P139" i="13" s="1"/>
  <c r="O171" i="13"/>
  <c r="O139" i="13" s="1"/>
  <c r="O123" i="13" s="1"/>
  <c r="N171" i="13"/>
  <c r="M171" i="13"/>
  <c r="L171" i="13"/>
  <c r="K171" i="13"/>
  <c r="J171" i="13"/>
  <c r="I171" i="13"/>
  <c r="I139" i="13" s="1"/>
  <c r="I123" i="13" s="1"/>
  <c r="H171" i="13"/>
  <c r="G171" i="13"/>
  <c r="F171" i="13"/>
  <c r="E171" i="13"/>
  <c r="D171" i="13"/>
  <c r="C171" i="13"/>
  <c r="C139" i="13" s="1"/>
  <c r="B171" i="13"/>
  <c r="P170" i="13"/>
  <c r="P138" i="13" s="1"/>
  <c r="O170" i="13"/>
  <c r="N170" i="13"/>
  <c r="M170" i="13"/>
  <c r="M138" i="13" s="1"/>
  <c r="L170" i="13"/>
  <c r="L138" i="13" s="1"/>
  <c r="K170" i="13"/>
  <c r="J170" i="13"/>
  <c r="J138" i="13" s="1"/>
  <c r="J122" i="13" s="1"/>
  <c r="I170" i="13"/>
  <c r="H170" i="13"/>
  <c r="G170" i="13"/>
  <c r="F170" i="13"/>
  <c r="F138" i="13" s="1"/>
  <c r="E170" i="13"/>
  <c r="D170" i="13"/>
  <c r="C170" i="13"/>
  <c r="B170" i="13"/>
  <c r="P169" i="13"/>
  <c r="O169" i="13"/>
  <c r="N169" i="13"/>
  <c r="M169" i="13"/>
  <c r="L169" i="13"/>
  <c r="K169" i="13"/>
  <c r="J169" i="13"/>
  <c r="J137" i="13" s="1"/>
  <c r="I169" i="13"/>
  <c r="I137" i="13" s="1"/>
  <c r="H169" i="13"/>
  <c r="G169" i="13"/>
  <c r="G137" i="13" s="1"/>
  <c r="F169" i="13"/>
  <c r="E169" i="13"/>
  <c r="D169" i="13"/>
  <c r="C169" i="13"/>
  <c r="B169" i="13"/>
  <c r="P168" i="13"/>
  <c r="P136" i="13" s="1"/>
  <c r="O168" i="13"/>
  <c r="N168" i="13"/>
  <c r="M168" i="13"/>
  <c r="L168" i="13"/>
  <c r="K168" i="13"/>
  <c r="J168" i="13"/>
  <c r="I168" i="13"/>
  <c r="H168" i="13"/>
  <c r="G168" i="13"/>
  <c r="G136" i="13" s="1"/>
  <c r="F168" i="13"/>
  <c r="F136" i="13" s="1"/>
  <c r="E168" i="13"/>
  <c r="D168" i="13"/>
  <c r="C168" i="13"/>
  <c r="C136" i="13" s="1"/>
  <c r="B168" i="13"/>
  <c r="P167" i="13"/>
  <c r="O167" i="13"/>
  <c r="N167" i="13"/>
  <c r="M167" i="13"/>
  <c r="M135" i="13" s="1"/>
  <c r="L167" i="13"/>
  <c r="K167" i="13"/>
  <c r="J167" i="13"/>
  <c r="I167" i="13"/>
  <c r="H167" i="13"/>
  <c r="G167" i="13"/>
  <c r="F167" i="13"/>
  <c r="E167" i="13"/>
  <c r="E175" i="13" s="1"/>
  <c r="E10" i="13" s="1"/>
  <c r="D167" i="13"/>
  <c r="D135" i="13" s="1"/>
  <c r="C167" i="13"/>
  <c r="C135" i="13" s="1"/>
  <c r="B167" i="13"/>
  <c r="P166" i="13"/>
  <c r="O166" i="13"/>
  <c r="N166" i="13"/>
  <c r="M166" i="13"/>
  <c r="L166" i="13"/>
  <c r="K166" i="13"/>
  <c r="J166" i="13"/>
  <c r="I166" i="13"/>
  <c r="H166" i="13"/>
  <c r="G166" i="13"/>
  <c r="F166" i="13"/>
  <c r="E166" i="13"/>
  <c r="D166" i="13"/>
  <c r="C166" i="13"/>
  <c r="B166" i="13"/>
  <c r="Q165" i="13"/>
  <c r="P165" i="13"/>
  <c r="P133" i="13" s="1"/>
  <c r="O165" i="13"/>
  <c r="N165" i="13"/>
  <c r="M165" i="13"/>
  <c r="M133" i="13" s="1"/>
  <c r="L165" i="13"/>
  <c r="K165" i="13"/>
  <c r="J165" i="13"/>
  <c r="I165" i="13"/>
  <c r="H165" i="13"/>
  <c r="G165" i="13"/>
  <c r="G133" i="13" s="1"/>
  <c r="F165" i="13"/>
  <c r="E165" i="13"/>
  <c r="D165" i="13"/>
  <c r="C165" i="13"/>
  <c r="B165" i="13"/>
  <c r="Q164" i="13"/>
  <c r="Q132" i="13" s="1"/>
  <c r="P164" i="13"/>
  <c r="P132" i="13" s="1"/>
  <c r="O164" i="13"/>
  <c r="N164" i="13"/>
  <c r="M164" i="13"/>
  <c r="M132" i="13" s="1"/>
  <c r="L164" i="13"/>
  <c r="K164" i="13"/>
  <c r="J164" i="13"/>
  <c r="I164" i="13"/>
  <c r="H164" i="13"/>
  <c r="G164" i="13"/>
  <c r="F164" i="13"/>
  <c r="E164" i="13"/>
  <c r="D164" i="13"/>
  <c r="C164" i="13"/>
  <c r="B164" i="13"/>
  <c r="Q163" i="13"/>
  <c r="P163" i="13"/>
  <c r="O163" i="13"/>
  <c r="N163" i="13"/>
  <c r="M163" i="13"/>
  <c r="L163" i="13"/>
  <c r="K163" i="13"/>
  <c r="J163" i="13"/>
  <c r="I163" i="13"/>
  <c r="H163" i="13"/>
  <c r="G163" i="13"/>
  <c r="F163" i="13"/>
  <c r="E163" i="13"/>
  <c r="D163" i="13"/>
  <c r="C163" i="13"/>
  <c r="B163" i="13"/>
  <c r="J159" i="13"/>
  <c r="J9" i="13" s="1"/>
  <c r="AP158" i="13"/>
  <c r="AO158" i="13"/>
  <c r="AN158" i="13"/>
  <c r="AM158" i="13"/>
  <c r="AL158" i="13"/>
  <c r="AK158"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O142" i="13" s="1"/>
  <c r="O126" i="13" s="1"/>
  <c r="N158" i="13"/>
  <c r="N142" i="13" s="1"/>
  <c r="N126" i="13" s="1"/>
  <c r="M158" i="13"/>
  <c r="L158" i="13"/>
  <c r="K158" i="13"/>
  <c r="K142" i="13" s="1"/>
  <c r="K126" i="13" s="1"/>
  <c r="J158" i="13"/>
  <c r="I158" i="13"/>
  <c r="I142" i="13" s="1"/>
  <c r="I126" i="13" s="1"/>
  <c r="H158" i="13"/>
  <c r="H142" i="13" s="1"/>
  <c r="G158" i="13"/>
  <c r="G142" i="13" s="1"/>
  <c r="F158" i="13"/>
  <c r="E158" i="13"/>
  <c r="D158" i="13"/>
  <c r="C158" i="13"/>
  <c r="B158" i="13"/>
  <c r="AP157" i="13"/>
  <c r="AO157" i="13"/>
  <c r="AN157" i="13"/>
  <c r="AM157" i="13"/>
  <c r="AL157" i="13"/>
  <c r="AK157"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L141" i="13" s="1"/>
  <c r="L125" i="13" s="1"/>
  <c r="K157" i="13"/>
  <c r="J157" i="13"/>
  <c r="I157" i="13"/>
  <c r="H157" i="13"/>
  <c r="H141" i="13" s="1"/>
  <c r="G157" i="13"/>
  <c r="F157" i="13"/>
  <c r="E157" i="13"/>
  <c r="E141" i="13" s="1"/>
  <c r="D157" i="13"/>
  <c r="D141" i="13" s="1"/>
  <c r="C157" i="13"/>
  <c r="B157" i="13"/>
  <c r="AP156" i="13"/>
  <c r="AO156" i="13"/>
  <c r="AN156" i="13"/>
  <c r="AM156" i="13"/>
  <c r="AL156" i="13"/>
  <c r="AK156" i="13"/>
  <c r="AJ156" i="13"/>
  <c r="AI156" i="13"/>
  <c r="AH156" i="13"/>
  <c r="AG156" i="13"/>
  <c r="AF156" i="13"/>
  <c r="AE156" i="13"/>
  <c r="AD156" i="13"/>
  <c r="AC156" i="13"/>
  <c r="AB156" i="13"/>
  <c r="AA156" i="13"/>
  <c r="Z156" i="13"/>
  <c r="Y156" i="13"/>
  <c r="X156" i="13"/>
  <c r="W156" i="13"/>
  <c r="V156" i="13"/>
  <c r="U156" i="13"/>
  <c r="T156" i="13"/>
  <c r="S156" i="13"/>
  <c r="R156" i="13"/>
  <c r="Q156" i="13"/>
  <c r="P156" i="13"/>
  <c r="P140" i="13" s="1"/>
  <c r="P124" i="13" s="1"/>
  <c r="O156" i="13"/>
  <c r="N156" i="13"/>
  <c r="M156" i="13"/>
  <c r="L156" i="13"/>
  <c r="K156" i="13"/>
  <c r="J156" i="13"/>
  <c r="I156" i="13"/>
  <c r="H156" i="13"/>
  <c r="H140" i="13" s="1"/>
  <c r="G156" i="13"/>
  <c r="F156" i="13"/>
  <c r="E156" i="13"/>
  <c r="E140" i="13" s="1"/>
  <c r="E124" i="13" s="1"/>
  <c r="D156" i="13"/>
  <c r="C156" i="13"/>
  <c r="C140" i="13" s="1"/>
  <c r="C124" i="13" s="1"/>
  <c r="B156" i="13"/>
  <c r="B140" i="13" s="1"/>
  <c r="AP155" i="13"/>
  <c r="AO155" i="13"/>
  <c r="AN155" i="13"/>
  <c r="AM155" i="13"/>
  <c r="AL155" i="13"/>
  <c r="AK155"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E139" i="13" s="1"/>
  <c r="E123" i="13" s="1"/>
  <c r="D155" i="13"/>
  <c r="C155" i="13"/>
  <c r="B155" i="13"/>
  <c r="B139" i="13" s="1"/>
  <c r="B123" i="13" s="1"/>
  <c r="AP154" i="13"/>
  <c r="AO154" i="13"/>
  <c r="AN154" i="13"/>
  <c r="AM154" i="13"/>
  <c r="AL154" i="13"/>
  <c r="AK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E138" i="13" s="1"/>
  <c r="D154" i="13"/>
  <c r="C154" i="13"/>
  <c r="B154" i="13"/>
  <c r="B138" i="13" s="1"/>
  <c r="B122" i="13" s="1"/>
  <c r="AP153" i="13"/>
  <c r="AO153" i="13"/>
  <c r="AN153" i="13"/>
  <c r="AM153" i="13"/>
  <c r="AL153" i="13"/>
  <c r="AK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O137" i="13" s="1"/>
  <c r="N153" i="13"/>
  <c r="N137" i="13" s="1"/>
  <c r="M153" i="13"/>
  <c r="M137" i="13" s="1"/>
  <c r="L153" i="13"/>
  <c r="L137" i="13" s="1"/>
  <c r="K153" i="13"/>
  <c r="K137" i="13" s="1"/>
  <c r="J153" i="13"/>
  <c r="I153" i="13"/>
  <c r="H153" i="13"/>
  <c r="G153" i="13"/>
  <c r="F153" i="13"/>
  <c r="E153" i="13"/>
  <c r="D153" i="13"/>
  <c r="C153" i="13"/>
  <c r="B153" i="13"/>
  <c r="AP152" i="13"/>
  <c r="AO152" i="13"/>
  <c r="AN152" i="13"/>
  <c r="AM152" i="13"/>
  <c r="AL152" i="13"/>
  <c r="AK152"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O136" i="13" s="1"/>
  <c r="O120" i="13" s="1"/>
  <c r="N152" i="13"/>
  <c r="N136" i="13" s="1"/>
  <c r="N120" i="13" s="1"/>
  <c r="M152" i="13"/>
  <c r="M136" i="13" s="1"/>
  <c r="M120" i="13" s="1"/>
  <c r="L152" i="13"/>
  <c r="L136" i="13" s="1"/>
  <c r="K152" i="13"/>
  <c r="K136" i="13" s="1"/>
  <c r="J152" i="13"/>
  <c r="I152" i="13"/>
  <c r="H152" i="13"/>
  <c r="G152" i="13"/>
  <c r="F152" i="13"/>
  <c r="E152" i="13"/>
  <c r="D152" i="13"/>
  <c r="D136" i="13" s="1"/>
  <c r="C152" i="13"/>
  <c r="B152" i="13"/>
  <c r="AP151" i="13"/>
  <c r="AO151" i="13"/>
  <c r="AN151" i="13"/>
  <c r="AM151" i="13"/>
  <c r="AL151" i="13"/>
  <c r="AK151" i="13"/>
  <c r="AJ151" i="13"/>
  <c r="AI151" i="13"/>
  <c r="AH151" i="13"/>
  <c r="AG151" i="13"/>
  <c r="AF151" i="13"/>
  <c r="AE151" i="13"/>
  <c r="AD151" i="13"/>
  <c r="AC151" i="13"/>
  <c r="AB151" i="13"/>
  <c r="AA151" i="13"/>
  <c r="Z151" i="13"/>
  <c r="Y151" i="13"/>
  <c r="X151" i="13"/>
  <c r="W151" i="13"/>
  <c r="V151" i="13"/>
  <c r="U151" i="13"/>
  <c r="T151" i="13"/>
  <c r="S151" i="13"/>
  <c r="R151" i="13"/>
  <c r="Q151" i="13"/>
  <c r="P151" i="13"/>
  <c r="P135" i="13" s="1"/>
  <c r="P119" i="13" s="1"/>
  <c r="O151" i="13"/>
  <c r="O135" i="13" s="1"/>
  <c r="O119" i="13" s="1"/>
  <c r="N151" i="13"/>
  <c r="M151" i="13"/>
  <c r="L151" i="13"/>
  <c r="L135" i="13" s="1"/>
  <c r="K151" i="13"/>
  <c r="J151" i="13"/>
  <c r="J135" i="13" s="1"/>
  <c r="I151" i="13"/>
  <c r="I135" i="13" s="1"/>
  <c r="H151" i="13"/>
  <c r="H135" i="13" s="1"/>
  <c r="G151" i="13"/>
  <c r="G135" i="13" s="1"/>
  <c r="F151" i="13"/>
  <c r="F135" i="13" s="1"/>
  <c r="E151" i="13"/>
  <c r="D151" i="13"/>
  <c r="C151" i="13"/>
  <c r="B151" i="13"/>
  <c r="AP150" i="13"/>
  <c r="AO150" i="13"/>
  <c r="AN150" i="13"/>
  <c r="AM150" i="13"/>
  <c r="AL150" i="13"/>
  <c r="AK150" i="13"/>
  <c r="AJ150" i="13"/>
  <c r="AI150" i="13"/>
  <c r="AI159" i="13" s="1"/>
  <c r="AH150" i="13"/>
  <c r="AG150" i="13"/>
  <c r="AF150" i="13"/>
  <c r="AE150" i="13"/>
  <c r="AD150" i="13"/>
  <c r="AC150" i="13"/>
  <c r="AC159" i="13" s="1"/>
  <c r="AB150" i="13"/>
  <c r="AA150" i="13"/>
  <c r="Z150" i="13"/>
  <c r="Y150" i="13"/>
  <c r="X150" i="13"/>
  <c r="W150" i="13"/>
  <c r="V150" i="13"/>
  <c r="U150" i="13"/>
  <c r="T150" i="13"/>
  <c r="S150" i="13"/>
  <c r="R150" i="13"/>
  <c r="Q150" i="13"/>
  <c r="P150" i="13"/>
  <c r="O150" i="13"/>
  <c r="N150" i="13"/>
  <c r="M150" i="13"/>
  <c r="M134" i="13" s="1"/>
  <c r="M118" i="13" s="1"/>
  <c r="L150" i="13"/>
  <c r="K150" i="13"/>
  <c r="J150" i="13"/>
  <c r="I150" i="13"/>
  <c r="I134" i="13" s="1"/>
  <c r="I118" i="13" s="1"/>
  <c r="H150" i="13"/>
  <c r="G150" i="13"/>
  <c r="F150" i="13"/>
  <c r="F134" i="13" s="1"/>
  <c r="E150" i="13"/>
  <c r="D150" i="13"/>
  <c r="C150" i="13"/>
  <c r="B150" i="13"/>
  <c r="AP149" i="13"/>
  <c r="AO149" i="13"/>
  <c r="AN149" i="13"/>
  <c r="AM149" i="13"/>
  <c r="AL149" i="13"/>
  <c r="AK149" i="13"/>
  <c r="AJ149" i="13"/>
  <c r="AI149" i="13"/>
  <c r="AH149" i="13"/>
  <c r="AG149" i="13"/>
  <c r="AF149" i="13"/>
  <c r="AF159" i="13" s="1"/>
  <c r="AE149" i="13"/>
  <c r="AD149" i="13"/>
  <c r="AC149" i="13"/>
  <c r="AB149" i="13"/>
  <c r="AA149" i="13"/>
  <c r="Z149" i="13"/>
  <c r="Z159" i="13" s="1"/>
  <c r="Z9" i="13" s="1"/>
  <c r="Y149" i="13"/>
  <c r="X149" i="13"/>
  <c r="W149" i="13"/>
  <c r="V149" i="13"/>
  <c r="U149" i="13"/>
  <c r="T149" i="13"/>
  <c r="S149" i="13"/>
  <c r="R149" i="13"/>
  <c r="Q149" i="13"/>
  <c r="Q133" i="13" s="1"/>
  <c r="Q117" i="13" s="1"/>
  <c r="P149" i="13"/>
  <c r="O149" i="13"/>
  <c r="N149" i="13"/>
  <c r="M149" i="13"/>
  <c r="L149" i="13"/>
  <c r="K149" i="13"/>
  <c r="J149" i="13"/>
  <c r="I149" i="13"/>
  <c r="H149" i="13"/>
  <c r="G149" i="13"/>
  <c r="F149" i="13"/>
  <c r="F133" i="13" s="1"/>
  <c r="E149" i="13"/>
  <c r="D149" i="13"/>
  <c r="C149" i="13"/>
  <c r="C133" i="13" s="1"/>
  <c r="B149" i="13"/>
  <c r="B133" i="13" s="1"/>
  <c r="AP148" i="13"/>
  <c r="AO148" i="13"/>
  <c r="AN148" i="13"/>
  <c r="AM148" i="13"/>
  <c r="AL148" i="13"/>
  <c r="AK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O132" i="13" s="1"/>
  <c r="O116" i="13" s="1"/>
  <c r="N148" i="13"/>
  <c r="M148" i="13"/>
  <c r="L148" i="13"/>
  <c r="K148" i="13"/>
  <c r="J148" i="13"/>
  <c r="I148" i="13"/>
  <c r="H148" i="13"/>
  <c r="G148" i="13"/>
  <c r="G159" i="13" s="1"/>
  <c r="G9" i="13" s="1"/>
  <c r="F148" i="13"/>
  <c r="F132" i="13" s="1"/>
  <c r="E148" i="13"/>
  <c r="D148" i="13"/>
  <c r="C148" i="13"/>
  <c r="C132" i="13" s="1"/>
  <c r="C116" i="13" s="1"/>
  <c r="C36" i="13" s="1"/>
  <c r="B148" i="13"/>
  <c r="AP147" i="13"/>
  <c r="AO147" i="13"/>
  <c r="AN147" i="13"/>
  <c r="AM147" i="13"/>
  <c r="AL147" i="13"/>
  <c r="AK147" i="13"/>
  <c r="AJ147" i="13"/>
  <c r="AI147" i="13"/>
  <c r="AH147" i="13"/>
  <c r="AG147" i="13"/>
  <c r="AF147" i="13"/>
  <c r="AE147" i="13"/>
  <c r="AD147" i="13"/>
  <c r="AC147" i="13"/>
  <c r="AB147" i="13"/>
  <c r="AA147" i="13"/>
  <c r="Z147" i="13"/>
  <c r="Y147" i="13"/>
  <c r="X147" i="13"/>
  <c r="W147" i="13"/>
  <c r="V147" i="13"/>
  <c r="U147" i="13"/>
  <c r="T147" i="13"/>
  <c r="S147" i="13"/>
  <c r="R147" i="13"/>
  <c r="Q147" i="13"/>
  <c r="Q159" i="13" s="1"/>
  <c r="P147" i="13"/>
  <c r="O147" i="13"/>
  <c r="N147" i="13"/>
  <c r="M147" i="13"/>
  <c r="L147" i="13"/>
  <c r="K147" i="13"/>
  <c r="J147" i="13"/>
  <c r="I147" i="13"/>
  <c r="H147" i="13"/>
  <c r="G147" i="13"/>
  <c r="F147" i="13"/>
  <c r="E147" i="13"/>
  <c r="D147" i="13"/>
  <c r="D159" i="13" s="1"/>
  <c r="D9" i="13" s="1"/>
  <c r="C147" i="13"/>
  <c r="B147" i="13"/>
  <c r="P142" i="13"/>
  <c r="M142" i="13"/>
  <c r="M126" i="13" s="1"/>
  <c r="L142" i="13"/>
  <c r="J142" i="13"/>
  <c r="J126" i="13" s="1"/>
  <c r="M141" i="13"/>
  <c r="J141" i="13"/>
  <c r="J125" i="13" s="1"/>
  <c r="I141" i="13"/>
  <c r="G141" i="13"/>
  <c r="G125" i="13" s="1"/>
  <c r="F141" i="13"/>
  <c r="C141" i="13"/>
  <c r="B141" i="13"/>
  <c r="N140" i="13"/>
  <c r="M140" i="13"/>
  <c r="J140" i="13"/>
  <c r="I140" i="13"/>
  <c r="I124" i="13" s="1"/>
  <c r="M139" i="13"/>
  <c r="K139" i="13"/>
  <c r="K123" i="13" s="1"/>
  <c r="J139" i="13"/>
  <c r="F139" i="13"/>
  <c r="F123" i="13" s="1"/>
  <c r="D139" i="13"/>
  <c r="H138" i="13"/>
  <c r="H122" i="13" s="1"/>
  <c r="D138" i="13"/>
  <c r="C138" i="13"/>
  <c r="P137" i="13"/>
  <c r="B136" i="13"/>
  <c r="N135" i="13"/>
  <c r="H134" i="13"/>
  <c r="G134" i="13"/>
  <c r="K133" i="13"/>
  <c r="J133" i="13"/>
  <c r="J117" i="13" s="1"/>
  <c r="H133" i="13"/>
  <c r="E133" i="13"/>
  <c r="D133" i="13"/>
  <c r="N132" i="13"/>
  <c r="L132" i="13"/>
  <c r="K132" i="13"/>
  <c r="H132" i="13"/>
  <c r="G132" i="13"/>
  <c r="G116" i="13" s="1"/>
  <c r="K131" i="13"/>
  <c r="I131" i="13"/>
  <c r="H131" i="13"/>
  <c r="E131" i="13"/>
  <c r="D131" i="13"/>
  <c r="B131" i="13"/>
  <c r="P123" i="13"/>
  <c r="D122" i="13"/>
  <c r="C122" i="13"/>
  <c r="B120" i="13"/>
  <c r="N119" i="13"/>
  <c r="H119" i="13"/>
  <c r="H118" i="13"/>
  <c r="G118" i="13"/>
  <c r="F118" i="13"/>
  <c r="E117" i="13"/>
  <c r="C117" i="13"/>
  <c r="C37" i="13" s="1"/>
  <c r="Q116" i="13"/>
  <c r="P111" i="13"/>
  <c r="P110" i="13"/>
  <c r="O110" i="13"/>
  <c r="N110" i="13"/>
  <c r="M110" i="13"/>
  <c r="L110" i="13"/>
  <c r="K110" i="13"/>
  <c r="K62" i="13" s="1"/>
  <c r="J110" i="13"/>
  <c r="I110" i="13"/>
  <c r="H110" i="13"/>
  <c r="G110" i="13"/>
  <c r="F110" i="13"/>
  <c r="E110" i="13"/>
  <c r="D110" i="13"/>
  <c r="C110" i="13"/>
  <c r="B110" i="13"/>
  <c r="P109" i="13"/>
  <c r="O109" i="13"/>
  <c r="N109" i="13"/>
  <c r="M109" i="13"/>
  <c r="L109" i="13"/>
  <c r="K109" i="13"/>
  <c r="J109" i="13"/>
  <c r="I109" i="13"/>
  <c r="I61" i="13" s="1"/>
  <c r="H109" i="13"/>
  <c r="H61" i="13" s="1"/>
  <c r="G109" i="13"/>
  <c r="G61" i="13" s="1"/>
  <c r="G45" i="13" s="1"/>
  <c r="F109" i="13"/>
  <c r="F61" i="13" s="1"/>
  <c r="E109" i="13"/>
  <c r="D109" i="13"/>
  <c r="C109" i="13"/>
  <c r="B109" i="13"/>
  <c r="P108" i="13"/>
  <c r="O108" i="13"/>
  <c r="N108" i="13"/>
  <c r="M108" i="13"/>
  <c r="L108" i="13"/>
  <c r="K108" i="13"/>
  <c r="J108" i="13"/>
  <c r="I108" i="13"/>
  <c r="H108" i="13"/>
  <c r="G108" i="13"/>
  <c r="F108" i="13"/>
  <c r="F60" i="13" s="1"/>
  <c r="E108" i="13"/>
  <c r="E60" i="13" s="1"/>
  <c r="D108" i="13"/>
  <c r="D60" i="13" s="1"/>
  <c r="D44" i="13" s="1"/>
  <c r="C108" i="13"/>
  <c r="C60" i="13" s="1"/>
  <c r="B108" i="13"/>
  <c r="B60" i="13" s="1"/>
  <c r="P107" i="13"/>
  <c r="O107" i="13"/>
  <c r="N107" i="13"/>
  <c r="M107" i="13"/>
  <c r="L107" i="13"/>
  <c r="K107" i="13"/>
  <c r="J107" i="13"/>
  <c r="I107" i="13"/>
  <c r="H107" i="13"/>
  <c r="G107" i="13"/>
  <c r="F107" i="13"/>
  <c r="E107" i="13"/>
  <c r="E59" i="13" s="1"/>
  <c r="D107" i="13"/>
  <c r="C107" i="13"/>
  <c r="B107" i="13"/>
  <c r="P106" i="13"/>
  <c r="O106" i="13"/>
  <c r="N106" i="13"/>
  <c r="M106" i="13"/>
  <c r="L106" i="13"/>
  <c r="K106" i="13"/>
  <c r="J106" i="13"/>
  <c r="I106" i="13"/>
  <c r="H106" i="13"/>
  <c r="G106" i="13"/>
  <c r="F106" i="13"/>
  <c r="E106" i="13"/>
  <c r="D106" i="13"/>
  <c r="C106" i="13"/>
  <c r="B106" i="13"/>
  <c r="P105" i="13"/>
  <c r="O105" i="13"/>
  <c r="N105" i="13"/>
  <c r="M105" i="13"/>
  <c r="L105" i="13"/>
  <c r="K105" i="13"/>
  <c r="J105" i="13"/>
  <c r="I105" i="13"/>
  <c r="H105" i="13"/>
  <c r="G105" i="13"/>
  <c r="F105" i="13"/>
  <c r="E105" i="13"/>
  <c r="D105" i="13"/>
  <c r="C105" i="13"/>
  <c r="B105" i="13"/>
  <c r="P104" i="13"/>
  <c r="O104" i="13"/>
  <c r="N104" i="13"/>
  <c r="M104" i="13"/>
  <c r="L104" i="13"/>
  <c r="L56" i="13" s="1"/>
  <c r="K104" i="13"/>
  <c r="J104" i="13"/>
  <c r="I104" i="13"/>
  <c r="H104" i="13"/>
  <c r="G104" i="13"/>
  <c r="F104" i="13"/>
  <c r="E104" i="13"/>
  <c r="D104" i="13"/>
  <c r="C104" i="13"/>
  <c r="B104" i="13"/>
  <c r="P103" i="13"/>
  <c r="O103" i="13"/>
  <c r="N103" i="13"/>
  <c r="M103" i="13"/>
  <c r="L103" i="13"/>
  <c r="L55" i="13" s="1"/>
  <c r="K103" i="13"/>
  <c r="J103" i="13"/>
  <c r="I103" i="13"/>
  <c r="H103" i="13"/>
  <c r="G103" i="13"/>
  <c r="F103" i="13"/>
  <c r="E103" i="13"/>
  <c r="D103" i="13"/>
  <c r="C103" i="13"/>
  <c r="B103" i="13"/>
  <c r="P102" i="13"/>
  <c r="O102" i="13"/>
  <c r="N102" i="13"/>
  <c r="M102" i="13"/>
  <c r="L102" i="13"/>
  <c r="K102" i="13"/>
  <c r="J102" i="13"/>
  <c r="I102" i="13"/>
  <c r="I54" i="13" s="1"/>
  <c r="H102" i="13"/>
  <c r="H54" i="13" s="1"/>
  <c r="G102" i="13"/>
  <c r="F102" i="13"/>
  <c r="F54" i="13" s="1"/>
  <c r="E102" i="13"/>
  <c r="D102" i="13"/>
  <c r="C102" i="13"/>
  <c r="B102" i="13"/>
  <c r="Q101" i="13"/>
  <c r="P101" i="13"/>
  <c r="O101" i="13"/>
  <c r="N101" i="13"/>
  <c r="M101" i="13"/>
  <c r="L101" i="13"/>
  <c r="K101" i="13"/>
  <c r="J101" i="13"/>
  <c r="I101" i="13"/>
  <c r="H101" i="13"/>
  <c r="G101" i="13"/>
  <c r="G53" i="13" s="1"/>
  <c r="F101" i="13"/>
  <c r="F53" i="13" s="1"/>
  <c r="E101" i="13"/>
  <c r="E53" i="13" s="1"/>
  <c r="D101" i="13"/>
  <c r="D53" i="13" s="1"/>
  <c r="C101" i="13"/>
  <c r="B101" i="13"/>
  <c r="Q100" i="13"/>
  <c r="P100" i="13"/>
  <c r="O100" i="13"/>
  <c r="N100" i="13"/>
  <c r="M100" i="13"/>
  <c r="L100" i="13"/>
  <c r="K100" i="13"/>
  <c r="J100" i="13"/>
  <c r="J111" i="13" s="1"/>
  <c r="I100" i="13"/>
  <c r="H100" i="13"/>
  <c r="G100" i="13"/>
  <c r="F100" i="13"/>
  <c r="E100" i="13"/>
  <c r="D100" i="13"/>
  <c r="C100" i="13"/>
  <c r="B100" i="13"/>
  <c r="Q99" i="13"/>
  <c r="P99" i="13"/>
  <c r="O99" i="13"/>
  <c r="N99" i="13"/>
  <c r="M99" i="13"/>
  <c r="L99" i="13"/>
  <c r="K99" i="13"/>
  <c r="J99" i="13"/>
  <c r="I99" i="13"/>
  <c r="H99" i="13"/>
  <c r="G99" i="13"/>
  <c r="F99" i="13"/>
  <c r="E99" i="13"/>
  <c r="D99" i="13"/>
  <c r="C99" i="13"/>
  <c r="B99" i="13"/>
  <c r="AP94" i="13"/>
  <c r="AO94" i="13"/>
  <c r="AN94" i="13"/>
  <c r="AM94" i="13"/>
  <c r="AL94" i="13"/>
  <c r="AK94" i="13"/>
  <c r="AJ94" i="13"/>
  <c r="AI94" i="13"/>
  <c r="AH94" i="13"/>
  <c r="AG94" i="13"/>
  <c r="AF94" i="13"/>
  <c r="AE94" i="13"/>
  <c r="AD94" i="13"/>
  <c r="AC94" i="13"/>
  <c r="AB94" i="13"/>
  <c r="AA94" i="13"/>
  <c r="Z94" i="13"/>
  <c r="Y94" i="13"/>
  <c r="X94" i="13"/>
  <c r="W94" i="13"/>
  <c r="V94" i="13"/>
  <c r="U94" i="13"/>
  <c r="T94" i="13"/>
  <c r="S94" i="13"/>
  <c r="R94" i="13"/>
  <c r="Q94" i="13"/>
  <c r="P94" i="13"/>
  <c r="P62" i="13" s="1"/>
  <c r="P46" i="13" s="1"/>
  <c r="O94" i="13"/>
  <c r="N94" i="13"/>
  <c r="M94" i="13"/>
  <c r="L94" i="13"/>
  <c r="K94" i="13"/>
  <c r="J94" i="13"/>
  <c r="I94" i="13"/>
  <c r="H94" i="13"/>
  <c r="G94" i="13"/>
  <c r="F94" i="13"/>
  <c r="E94" i="13"/>
  <c r="D94" i="13"/>
  <c r="C94" i="13"/>
  <c r="B94" i="13"/>
  <c r="AP93" i="13"/>
  <c r="AO93" i="13"/>
  <c r="AN93" i="13"/>
  <c r="AM93" i="13"/>
  <c r="AL93" i="13"/>
  <c r="AK93"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M61" i="13" s="1"/>
  <c r="L93" i="13"/>
  <c r="L61" i="13" s="1"/>
  <c r="K93" i="13"/>
  <c r="J93" i="13"/>
  <c r="I93" i="13"/>
  <c r="H93" i="13"/>
  <c r="G93" i="13"/>
  <c r="F93" i="13"/>
  <c r="E93" i="13"/>
  <c r="D93" i="13"/>
  <c r="C93" i="13"/>
  <c r="B93" i="13"/>
  <c r="AP92" i="13"/>
  <c r="AO92" i="13"/>
  <c r="AN92" i="13"/>
  <c r="AM92" i="13"/>
  <c r="AL92" i="13"/>
  <c r="AK92"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J60" i="13" s="1"/>
  <c r="I92" i="13"/>
  <c r="I60" i="13" s="1"/>
  <c r="I44" i="13" s="1"/>
  <c r="H92" i="13"/>
  <c r="G92" i="13"/>
  <c r="F92" i="13"/>
  <c r="E92" i="13"/>
  <c r="D92" i="13"/>
  <c r="C92" i="13"/>
  <c r="B92" i="13"/>
  <c r="AP91" i="13"/>
  <c r="AO91" i="13"/>
  <c r="AN91" i="13"/>
  <c r="AM91" i="13"/>
  <c r="AL91" i="13"/>
  <c r="AK91"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G59" i="13" s="1"/>
  <c r="G43" i="13" s="1"/>
  <c r="F91" i="13"/>
  <c r="F59" i="13" s="1"/>
  <c r="F43" i="13" s="1"/>
  <c r="E91" i="13"/>
  <c r="D91" i="13"/>
  <c r="C91" i="13"/>
  <c r="B91" i="13"/>
  <c r="AP90" i="13"/>
  <c r="AO90" i="13"/>
  <c r="AN90" i="13"/>
  <c r="AM90" i="13"/>
  <c r="AL90" i="13"/>
  <c r="AK90"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D58" i="13" s="1"/>
  <c r="D42" i="13" s="1"/>
  <c r="C90" i="13"/>
  <c r="B90" i="13"/>
  <c r="AP89" i="13"/>
  <c r="AO89" i="13"/>
  <c r="AN89" i="13"/>
  <c r="AM89" i="13"/>
  <c r="AL89" i="13"/>
  <c r="AK89"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C89" i="13"/>
  <c r="B89" i="13"/>
  <c r="AP88" i="13"/>
  <c r="AO88" i="13"/>
  <c r="AN88" i="13"/>
  <c r="AM88" i="13"/>
  <c r="AL88" i="13"/>
  <c r="AK88"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C88" i="13"/>
  <c r="B88" i="13"/>
  <c r="AP87" i="13"/>
  <c r="AO87" i="13"/>
  <c r="AN87" i="13"/>
  <c r="AM87" i="13"/>
  <c r="AL87" i="13"/>
  <c r="AK87" i="13"/>
  <c r="AJ87" i="13"/>
  <c r="AI87" i="13"/>
  <c r="AH87" i="13"/>
  <c r="AG87" i="13"/>
  <c r="AF87" i="13"/>
  <c r="AE87" i="13"/>
  <c r="AD87" i="13"/>
  <c r="AC87" i="13"/>
  <c r="AB87" i="13"/>
  <c r="AA87" i="13"/>
  <c r="Z87" i="13"/>
  <c r="Y87" i="13"/>
  <c r="X87" i="13"/>
  <c r="W87" i="13"/>
  <c r="V87" i="13"/>
  <c r="U87" i="13"/>
  <c r="T87" i="13"/>
  <c r="S87" i="13"/>
  <c r="R87" i="13"/>
  <c r="Q87" i="13"/>
  <c r="P87" i="13"/>
  <c r="P55" i="13" s="1"/>
  <c r="O87" i="13"/>
  <c r="N87" i="13"/>
  <c r="M87" i="13"/>
  <c r="L87" i="13"/>
  <c r="K87" i="13"/>
  <c r="J87" i="13"/>
  <c r="J55" i="13" s="1"/>
  <c r="I87" i="13"/>
  <c r="H87" i="13"/>
  <c r="G87" i="13"/>
  <c r="F87" i="13"/>
  <c r="E87" i="13"/>
  <c r="D87" i="13"/>
  <c r="C87" i="13"/>
  <c r="B87" i="13"/>
  <c r="AP86" i="13"/>
  <c r="AO86" i="13"/>
  <c r="AN86" i="13"/>
  <c r="AN95" i="13" s="1"/>
  <c r="AN5" i="13" s="1"/>
  <c r="AM86" i="13"/>
  <c r="AL86" i="13"/>
  <c r="AK86" i="13"/>
  <c r="AJ86" i="13"/>
  <c r="AI86" i="13"/>
  <c r="AH86" i="13"/>
  <c r="AG86" i="13"/>
  <c r="AF86" i="13"/>
  <c r="AE86" i="13"/>
  <c r="AD86" i="13"/>
  <c r="AC86" i="13"/>
  <c r="AB86" i="13"/>
  <c r="AA86" i="13"/>
  <c r="Z86" i="13"/>
  <c r="Y86" i="13"/>
  <c r="X86" i="13"/>
  <c r="W86" i="13"/>
  <c r="V86" i="13"/>
  <c r="U86" i="13"/>
  <c r="T86" i="13"/>
  <c r="S86" i="13"/>
  <c r="R86" i="13"/>
  <c r="Q86" i="13"/>
  <c r="P86" i="13"/>
  <c r="O86" i="13"/>
  <c r="N86" i="13"/>
  <c r="N54" i="13" s="1"/>
  <c r="M86" i="13"/>
  <c r="M54" i="13" s="1"/>
  <c r="L86" i="13"/>
  <c r="K86" i="13"/>
  <c r="J86" i="13"/>
  <c r="I86" i="13"/>
  <c r="H86" i="13"/>
  <c r="G86" i="13"/>
  <c r="F86" i="13"/>
  <c r="E86" i="13"/>
  <c r="D86" i="13"/>
  <c r="C86" i="13"/>
  <c r="B86" i="13"/>
  <c r="AP85" i="13"/>
  <c r="AO85" i="13"/>
  <c r="AN85" i="13"/>
  <c r="AM85" i="13"/>
  <c r="AL85" i="13"/>
  <c r="AK85" i="13"/>
  <c r="AK95" i="13" s="1"/>
  <c r="AK5" i="13" s="1"/>
  <c r="AJ85" i="13"/>
  <c r="AI85" i="13"/>
  <c r="AH85" i="13"/>
  <c r="AG85" i="13"/>
  <c r="AF85" i="13"/>
  <c r="AE85" i="13"/>
  <c r="AD85" i="13"/>
  <c r="AC85" i="13"/>
  <c r="AB85" i="13"/>
  <c r="AA85" i="13"/>
  <c r="Z85" i="13"/>
  <c r="Y85" i="13"/>
  <c r="X85" i="13"/>
  <c r="W85" i="13"/>
  <c r="V85" i="13"/>
  <c r="U85" i="13"/>
  <c r="T85" i="13"/>
  <c r="S85" i="13"/>
  <c r="R85" i="13"/>
  <c r="Q85" i="13"/>
  <c r="P85" i="13"/>
  <c r="O85" i="13"/>
  <c r="O95" i="13" s="1"/>
  <c r="O5" i="13" s="1"/>
  <c r="N85" i="13"/>
  <c r="M85" i="13"/>
  <c r="L85" i="13"/>
  <c r="K85" i="13"/>
  <c r="K53" i="13" s="1"/>
  <c r="K37" i="13" s="1"/>
  <c r="J85" i="13"/>
  <c r="J53" i="13" s="1"/>
  <c r="J37" i="13" s="1"/>
  <c r="I85" i="13"/>
  <c r="H85" i="13"/>
  <c r="G85" i="13"/>
  <c r="F85" i="13"/>
  <c r="E85" i="13"/>
  <c r="D85" i="13"/>
  <c r="C85" i="13"/>
  <c r="B85" i="13"/>
  <c r="AP84" i="13"/>
  <c r="AO84" i="13"/>
  <c r="AN84" i="13"/>
  <c r="AM84" i="13"/>
  <c r="AL84" i="13"/>
  <c r="AK84"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H52" i="13" s="1"/>
  <c r="G84" i="13"/>
  <c r="G52" i="13" s="1"/>
  <c r="F84" i="13"/>
  <c r="E84" i="13"/>
  <c r="D84" i="13"/>
  <c r="C84" i="13"/>
  <c r="B84" i="13"/>
  <c r="AP83" i="13"/>
  <c r="AO83" i="13"/>
  <c r="AN83" i="13"/>
  <c r="AM83" i="13"/>
  <c r="AL83" i="13"/>
  <c r="AK83" i="13"/>
  <c r="AJ83" i="13"/>
  <c r="AI83" i="13"/>
  <c r="AH83" i="13"/>
  <c r="AG83" i="13"/>
  <c r="AF83" i="13"/>
  <c r="AE83" i="13"/>
  <c r="AD83" i="13"/>
  <c r="AC83" i="13"/>
  <c r="AB83" i="13"/>
  <c r="AB95" i="13" s="1"/>
  <c r="AA83" i="13"/>
  <c r="AA95" i="13" s="1"/>
  <c r="AA5" i="13" s="1"/>
  <c r="BS5" i="13" s="1"/>
  <c r="Z83" i="13"/>
  <c r="Y83" i="13"/>
  <c r="X83" i="13"/>
  <c r="W83" i="13"/>
  <c r="V83" i="13"/>
  <c r="U83" i="13"/>
  <c r="T83" i="13"/>
  <c r="S83" i="13"/>
  <c r="R83" i="13"/>
  <c r="Q83" i="13"/>
  <c r="P83" i="13"/>
  <c r="O83" i="13"/>
  <c r="N83" i="13"/>
  <c r="M83" i="13"/>
  <c r="L83" i="13"/>
  <c r="K83" i="13"/>
  <c r="J83" i="13"/>
  <c r="I83" i="13"/>
  <c r="H83" i="13"/>
  <c r="G83" i="13"/>
  <c r="F83" i="13"/>
  <c r="F95" i="13" s="1"/>
  <c r="F5" i="13" s="1"/>
  <c r="E83" i="13"/>
  <c r="D83" i="13"/>
  <c r="C83" i="13"/>
  <c r="B83" i="13"/>
  <c r="P78" i="13"/>
  <c r="O78" i="13"/>
  <c r="N78" i="13"/>
  <c r="M78" i="13"/>
  <c r="M62" i="13" s="1"/>
  <c r="L78" i="13"/>
  <c r="K78" i="13"/>
  <c r="J78" i="13"/>
  <c r="I78" i="13"/>
  <c r="H78" i="13"/>
  <c r="G78" i="13"/>
  <c r="F78" i="13"/>
  <c r="E78" i="13"/>
  <c r="D78" i="13"/>
  <c r="C78" i="13"/>
  <c r="C62" i="13" s="1"/>
  <c r="B78" i="13"/>
  <c r="B62" i="13" s="1"/>
  <c r="P77" i="13"/>
  <c r="O77" i="13"/>
  <c r="N77" i="13"/>
  <c r="N61" i="13" s="1"/>
  <c r="M77" i="13"/>
  <c r="L77" i="13"/>
  <c r="K77" i="13"/>
  <c r="K61" i="13" s="1"/>
  <c r="J77" i="13"/>
  <c r="I77" i="13"/>
  <c r="H77" i="13"/>
  <c r="G77" i="13"/>
  <c r="F77" i="13"/>
  <c r="E77" i="13"/>
  <c r="D77" i="13"/>
  <c r="D79" i="13" s="1"/>
  <c r="C77" i="13"/>
  <c r="B77" i="13"/>
  <c r="B61" i="13" s="1"/>
  <c r="P76" i="13"/>
  <c r="P60" i="13" s="1"/>
  <c r="O76" i="13"/>
  <c r="O60" i="13" s="1"/>
  <c r="N76" i="13"/>
  <c r="N60" i="13" s="1"/>
  <c r="M76" i="13"/>
  <c r="M60" i="13" s="1"/>
  <c r="M44" i="13" s="1"/>
  <c r="L76" i="13"/>
  <c r="K76" i="13"/>
  <c r="K60" i="13" s="1"/>
  <c r="J76" i="13"/>
  <c r="I76" i="13"/>
  <c r="H76" i="13"/>
  <c r="H60" i="13" s="1"/>
  <c r="G76" i="13"/>
  <c r="F76" i="13"/>
  <c r="E76" i="13"/>
  <c r="D76" i="13"/>
  <c r="C76" i="13"/>
  <c r="B76" i="13"/>
  <c r="P75" i="13"/>
  <c r="P59" i="13" s="1"/>
  <c r="O75" i="13"/>
  <c r="O59" i="13" s="1"/>
  <c r="O43" i="13" s="1"/>
  <c r="N75" i="13"/>
  <c r="M75" i="13"/>
  <c r="L75" i="13"/>
  <c r="L59" i="13" s="1"/>
  <c r="K75" i="13"/>
  <c r="J75" i="13"/>
  <c r="J59" i="13" s="1"/>
  <c r="I75" i="13"/>
  <c r="H75" i="13"/>
  <c r="H59" i="13" s="1"/>
  <c r="G75" i="13"/>
  <c r="F75" i="13"/>
  <c r="E75" i="13"/>
  <c r="D75" i="13"/>
  <c r="C75" i="13"/>
  <c r="B75" i="13"/>
  <c r="P74" i="13"/>
  <c r="P58" i="13" s="1"/>
  <c r="O74" i="13"/>
  <c r="O58" i="13" s="1"/>
  <c r="N74" i="13"/>
  <c r="M74" i="13"/>
  <c r="M58" i="13" s="1"/>
  <c r="L74" i="13"/>
  <c r="K74" i="13"/>
  <c r="K58" i="13" s="1"/>
  <c r="J74" i="13"/>
  <c r="J58" i="13" s="1"/>
  <c r="J42" i="13" s="1"/>
  <c r="I74" i="13"/>
  <c r="I58" i="13" s="1"/>
  <c r="H74" i="13"/>
  <c r="G74" i="13"/>
  <c r="F74" i="13"/>
  <c r="F58" i="13" s="1"/>
  <c r="F42" i="13" s="1"/>
  <c r="E74" i="13"/>
  <c r="E58" i="13" s="1"/>
  <c r="D74" i="13"/>
  <c r="C74" i="13"/>
  <c r="B74" i="13"/>
  <c r="P73" i="13"/>
  <c r="O73" i="13"/>
  <c r="N73" i="13"/>
  <c r="N57" i="13" s="1"/>
  <c r="M73" i="13"/>
  <c r="L73" i="13"/>
  <c r="K73" i="13"/>
  <c r="J73" i="13"/>
  <c r="J57" i="13" s="1"/>
  <c r="I73" i="13"/>
  <c r="H73" i="13"/>
  <c r="H57" i="13" s="1"/>
  <c r="G73" i="13"/>
  <c r="G57" i="13" s="1"/>
  <c r="F73" i="13"/>
  <c r="F57" i="13" s="1"/>
  <c r="E73" i="13"/>
  <c r="D73" i="13"/>
  <c r="C73" i="13"/>
  <c r="B73" i="13"/>
  <c r="P72" i="13"/>
  <c r="O72" i="13"/>
  <c r="N72" i="13"/>
  <c r="M72" i="13"/>
  <c r="L72" i="13"/>
  <c r="K72" i="13"/>
  <c r="K56" i="13" s="1"/>
  <c r="J72" i="13"/>
  <c r="I72" i="13"/>
  <c r="H72" i="13"/>
  <c r="G72" i="13"/>
  <c r="G56" i="13" s="1"/>
  <c r="F72" i="13"/>
  <c r="F56" i="13" s="1"/>
  <c r="E72" i="13"/>
  <c r="D72" i="13"/>
  <c r="D56" i="13" s="1"/>
  <c r="C72" i="13"/>
  <c r="C56" i="13" s="1"/>
  <c r="B72" i="13"/>
  <c r="P71" i="13"/>
  <c r="O71" i="13"/>
  <c r="O55" i="13" s="1"/>
  <c r="N71" i="13"/>
  <c r="N55" i="13" s="1"/>
  <c r="M71" i="13"/>
  <c r="L71" i="13"/>
  <c r="K71" i="13"/>
  <c r="J71" i="13"/>
  <c r="I71" i="13"/>
  <c r="H71" i="13"/>
  <c r="H55" i="13" s="1"/>
  <c r="G71" i="13"/>
  <c r="G55" i="13" s="1"/>
  <c r="F71" i="13"/>
  <c r="F55" i="13" s="1"/>
  <c r="E71" i="13"/>
  <c r="D71" i="13"/>
  <c r="D55" i="13" s="1"/>
  <c r="C71" i="13"/>
  <c r="B71" i="13"/>
  <c r="P70" i="13"/>
  <c r="O70" i="13"/>
  <c r="N70" i="13"/>
  <c r="M70" i="13"/>
  <c r="L70" i="13"/>
  <c r="L54" i="13" s="1"/>
  <c r="K70" i="13"/>
  <c r="J70" i="13"/>
  <c r="I70" i="13"/>
  <c r="H70" i="13"/>
  <c r="G70" i="13"/>
  <c r="F70" i="13"/>
  <c r="E70" i="13"/>
  <c r="D70" i="13"/>
  <c r="C70" i="13"/>
  <c r="C54" i="13" s="1"/>
  <c r="B70" i="13"/>
  <c r="Q69" i="13"/>
  <c r="P69" i="13"/>
  <c r="P53" i="13" s="1"/>
  <c r="O69" i="13"/>
  <c r="N69" i="13"/>
  <c r="M69" i="13"/>
  <c r="L69" i="13"/>
  <c r="K69" i="13"/>
  <c r="J69" i="13"/>
  <c r="I69" i="13"/>
  <c r="I53" i="13" s="1"/>
  <c r="H69" i="13"/>
  <c r="G69" i="13"/>
  <c r="F69" i="13"/>
  <c r="E69" i="13"/>
  <c r="D69" i="13"/>
  <c r="C69" i="13"/>
  <c r="B69" i="13"/>
  <c r="Q68" i="13"/>
  <c r="P68" i="13"/>
  <c r="O68" i="13"/>
  <c r="O52" i="13" s="1"/>
  <c r="N68" i="13"/>
  <c r="N52" i="13" s="1"/>
  <c r="M68" i="13"/>
  <c r="M52" i="13" s="1"/>
  <c r="L68" i="13"/>
  <c r="K68" i="13"/>
  <c r="J68" i="13"/>
  <c r="I68" i="13"/>
  <c r="H68" i="13"/>
  <c r="G68" i="13"/>
  <c r="F68" i="13"/>
  <c r="E68" i="13"/>
  <c r="D68" i="13"/>
  <c r="C68" i="13"/>
  <c r="B68" i="13"/>
  <c r="Q67" i="13"/>
  <c r="P67" i="13"/>
  <c r="O67" i="13"/>
  <c r="N67" i="13"/>
  <c r="M67" i="13"/>
  <c r="L67" i="13"/>
  <c r="K67" i="13"/>
  <c r="J67" i="13"/>
  <c r="I67" i="13"/>
  <c r="H67" i="13"/>
  <c r="G67" i="13"/>
  <c r="F67" i="13"/>
  <c r="E67" i="13"/>
  <c r="D67" i="13"/>
  <c r="C67" i="13"/>
  <c r="C51" i="13" s="1"/>
  <c r="B67" i="13"/>
  <c r="B51" i="13" s="1"/>
  <c r="L62" i="13"/>
  <c r="J62" i="13"/>
  <c r="I62" i="13"/>
  <c r="I46" i="13" s="1"/>
  <c r="H62" i="13"/>
  <c r="G62" i="13"/>
  <c r="F62" i="13"/>
  <c r="E62" i="13"/>
  <c r="D62" i="13"/>
  <c r="E61" i="13"/>
  <c r="D61" i="13"/>
  <c r="C61" i="13"/>
  <c r="N59" i="13"/>
  <c r="C59" i="13"/>
  <c r="B59" i="13"/>
  <c r="N58" i="13"/>
  <c r="C58" i="13"/>
  <c r="B58" i="13"/>
  <c r="P57" i="13"/>
  <c r="O57" i="13"/>
  <c r="M57" i="13"/>
  <c r="L57" i="13"/>
  <c r="K57" i="13"/>
  <c r="P56" i="13"/>
  <c r="O56" i="13"/>
  <c r="N56" i="13"/>
  <c r="N40" i="13" s="1"/>
  <c r="M56" i="13"/>
  <c r="M40" i="13" s="1"/>
  <c r="J56" i="13"/>
  <c r="I56" i="13"/>
  <c r="H56" i="13"/>
  <c r="M55" i="13"/>
  <c r="K55" i="13"/>
  <c r="I55" i="13"/>
  <c r="E55" i="13"/>
  <c r="B55" i="13"/>
  <c r="J54" i="13"/>
  <c r="D54" i="13"/>
  <c r="B54" i="13"/>
  <c r="C53" i="13"/>
  <c r="F52" i="13"/>
  <c r="D52" i="13"/>
  <c r="C52" i="13"/>
  <c r="B52" i="13"/>
  <c r="Q51" i="13"/>
  <c r="P51" i="13"/>
  <c r="O51" i="13"/>
  <c r="M46" i="13"/>
  <c r="E44" i="13"/>
  <c r="C44" i="13"/>
  <c r="O40" i="13"/>
  <c r="F38" i="13"/>
  <c r="C30" i="13"/>
  <c r="I24" i="13"/>
  <c r="G24" i="13"/>
  <c r="C24" i="13"/>
  <c r="AP23" i="13"/>
  <c r="AK23" i="13"/>
  <c r="AG23" i="13"/>
  <c r="AE23" i="13"/>
  <c r="U23" i="13"/>
  <c r="J22" i="13"/>
  <c r="I22" i="13"/>
  <c r="J21" i="13"/>
  <c r="AO19" i="13"/>
  <c r="AN19" i="13"/>
  <c r="CF19" i="13" s="1"/>
  <c r="AA19" i="13"/>
  <c r="BS19" i="13" s="1"/>
  <c r="V19" i="13"/>
  <c r="F19" i="13"/>
  <c r="E19" i="13"/>
  <c r="X18" i="13"/>
  <c r="H15" i="13"/>
  <c r="E15" i="13"/>
  <c r="D15" i="13"/>
  <c r="C15" i="13"/>
  <c r="BZ13" i="13"/>
  <c r="AH13" i="13"/>
  <c r="O13" i="13"/>
  <c r="L13" i="13"/>
  <c r="AI9" i="13"/>
  <c r="AF9" i="13"/>
  <c r="AC9" i="13"/>
  <c r="Q9" i="13"/>
  <c r="P6" i="13"/>
  <c r="J6" i="13"/>
  <c r="AB5" i="13"/>
  <c r="BT5" i="13" s="1"/>
  <c r="D4" i="13"/>
  <c r="CH2" i="13"/>
  <c r="CG2" i="13"/>
  <c r="CF2" i="13"/>
  <c r="CE2" i="13"/>
  <c r="CD2" i="13"/>
  <c r="CC2" i="13"/>
  <c r="CB2" i="13"/>
  <c r="CA2" i="13"/>
  <c r="BZ2" i="13"/>
  <c r="BY2" i="13"/>
  <c r="BX2" i="13"/>
  <c r="BW2" i="13"/>
  <c r="BV2" i="13"/>
  <c r="BU2" i="13"/>
  <c r="BT2" i="13"/>
  <c r="BS2" i="13"/>
  <c r="BR2" i="13"/>
  <c r="BQ2" i="13"/>
  <c r="BP2" i="13"/>
  <c r="BO2" i="13"/>
  <c r="BN2" i="13"/>
  <c r="BM2" i="13"/>
  <c r="BL2" i="13"/>
  <c r="BK2" i="13"/>
  <c r="BJ2" i="13"/>
  <c r="BI2" i="13"/>
  <c r="BH2" i="13"/>
  <c r="BG2" i="13"/>
  <c r="BF2" i="13"/>
  <c r="BE2" i="13"/>
  <c r="BD2" i="13"/>
  <c r="BC2" i="13"/>
  <c r="BB2" i="13"/>
  <c r="BV184" i="12"/>
  <c r="AP184" i="12"/>
  <c r="AG184" i="12"/>
  <c r="AD184" i="12"/>
  <c r="Z184" i="12"/>
  <c r="G184" i="12" s="1"/>
  <c r="V184" i="12"/>
  <c r="F184" i="12" s="1"/>
  <c r="Q184" i="12"/>
  <c r="P184" i="12"/>
  <c r="N184" i="12"/>
  <c r="L184" i="12"/>
  <c r="H184" i="12"/>
  <c r="E184" i="12"/>
  <c r="BV183" i="12"/>
  <c r="AM183" i="12"/>
  <c r="AM184" i="12" s="1"/>
  <c r="AI183" i="12"/>
  <c r="AI184" i="12" s="1"/>
  <c r="AH183" i="12"/>
  <c r="AH184" i="12" s="1"/>
  <c r="AG183" i="12"/>
  <c r="AD183" i="12"/>
  <c r="H183" i="12" s="1"/>
  <c r="Q183" i="12" s="1"/>
  <c r="Z183" i="12"/>
  <c r="G183" i="12" s="1"/>
  <c r="P183" i="12" s="1"/>
  <c r="V183" i="12"/>
  <c r="F183" i="12" s="1"/>
  <c r="N183" i="12"/>
  <c r="L183" i="12"/>
  <c r="E183" i="12"/>
  <c r="BV182" i="12"/>
  <c r="BS182" i="12"/>
  <c r="BO182" i="12"/>
  <c r="BE182" i="12" s="1"/>
  <c r="BI182" i="12"/>
  <c r="AS182" i="12"/>
  <c r="AS183" i="12" s="1"/>
  <c r="AS184" i="12" s="1"/>
  <c r="AR182" i="12"/>
  <c r="AR183" i="12" s="1"/>
  <c r="AR184" i="12" s="1"/>
  <c r="AQ182" i="12"/>
  <c r="AQ183" i="12" s="1"/>
  <c r="AQ184" i="12" s="1"/>
  <c r="AP182" i="12"/>
  <c r="AP183" i="12" s="1"/>
  <c r="AM182" i="12"/>
  <c r="AL182" i="12"/>
  <c r="AL183" i="12" s="1"/>
  <c r="AL184" i="12" s="1"/>
  <c r="AK182" i="12"/>
  <c r="AK183" i="12" s="1"/>
  <c r="AK184" i="12" s="1"/>
  <c r="AJ182" i="12"/>
  <c r="AJ183" i="12" s="1"/>
  <c r="AJ184" i="12" s="1"/>
  <c r="AI182" i="12"/>
  <c r="AH182" i="12"/>
  <c r="AG182" i="12"/>
  <c r="AD182" i="12"/>
  <c r="Z182" i="12"/>
  <c r="V182" i="12"/>
  <c r="N182" i="12"/>
  <c r="AT182" i="12" s="1"/>
  <c r="AT183" i="12" s="1"/>
  <c r="AT184" i="12" s="1"/>
  <c r="L182" i="12"/>
  <c r="H182" i="12"/>
  <c r="G182" i="12"/>
  <c r="F182" i="12"/>
  <c r="O182" i="12" s="1"/>
  <c r="E182" i="12"/>
  <c r="AG181" i="12"/>
  <c r="AD181" i="12"/>
  <c r="Z181" i="12"/>
  <c r="V181" i="12"/>
  <c r="F181" i="12" s="1"/>
  <c r="P181" i="12"/>
  <c r="O181" i="12"/>
  <c r="N181" i="12"/>
  <c r="L181" i="12"/>
  <c r="I181" i="12"/>
  <c r="H181" i="12"/>
  <c r="Q181" i="12" s="1"/>
  <c r="G181" i="12"/>
  <c r="E181" i="12"/>
  <c r="AG180" i="12"/>
  <c r="AD180" i="12"/>
  <c r="H180" i="12" s="1"/>
  <c r="I180" i="12" s="1"/>
  <c r="Z180" i="12"/>
  <c r="V180" i="12"/>
  <c r="Q180" i="12"/>
  <c r="N180" i="12"/>
  <c r="L180" i="12"/>
  <c r="G180" i="12"/>
  <c r="P180" i="12" s="1"/>
  <c r="F180" i="12"/>
  <c r="O180" i="12" s="1"/>
  <c r="E180" i="12"/>
  <c r="AS179" i="12"/>
  <c r="AS180" i="12" s="1"/>
  <c r="AS181" i="12" s="1"/>
  <c r="AG179" i="12"/>
  <c r="AD179" i="12"/>
  <c r="Z179" i="12"/>
  <c r="V179" i="12"/>
  <c r="F179" i="12" s="1"/>
  <c r="I179" i="12" s="1"/>
  <c r="Q179" i="12"/>
  <c r="N179" i="12"/>
  <c r="P414" i="11" s="1"/>
  <c r="P398" i="11" s="1"/>
  <c r="BK398" i="11" s="1"/>
  <c r="L179" i="12"/>
  <c r="H179" i="12"/>
  <c r="G179" i="12"/>
  <c r="P179" i="12" s="1"/>
  <c r="E179" i="12"/>
  <c r="AG178" i="12"/>
  <c r="AD178" i="12"/>
  <c r="Z178" i="12"/>
  <c r="V178" i="12"/>
  <c r="N178" i="12"/>
  <c r="L178" i="12"/>
  <c r="H178" i="12"/>
  <c r="Q178" i="12" s="1"/>
  <c r="G178" i="12"/>
  <c r="P178" i="12" s="1"/>
  <c r="F178" i="12"/>
  <c r="E178" i="12"/>
  <c r="AG177" i="12"/>
  <c r="AD177" i="12"/>
  <c r="H177" i="12" s="1"/>
  <c r="Q177" i="12" s="1"/>
  <c r="Z177" i="12"/>
  <c r="G177" i="12" s="1"/>
  <c r="V177" i="12"/>
  <c r="F177" i="12" s="1"/>
  <c r="O177" i="12" s="1"/>
  <c r="N177" i="12"/>
  <c r="L177" i="12"/>
  <c r="E177" i="12"/>
  <c r="AS176" i="12"/>
  <c r="AS177" i="12" s="1"/>
  <c r="AS178" i="12" s="1"/>
  <c r="AG176" i="12"/>
  <c r="AD176" i="12"/>
  <c r="Z176" i="12"/>
  <c r="V176" i="12"/>
  <c r="N176" i="12"/>
  <c r="L176" i="12"/>
  <c r="H176" i="12"/>
  <c r="Q176" i="12" s="1"/>
  <c r="G176" i="12"/>
  <c r="F176" i="12"/>
  <c r="O176" i="12" s="1"/>
  <c r="E176" i="12"/>
  <c r="AG175" i="12"/>
  <c r="AD175" i="12"/>
  <c r="Z175" i="12"/>
  <c r="V175" i="12"/>
  <c r="F175" i="12" s="1"/>
  <c r="I175" i="12" s="1"/>
  <c r="N175" i="12"/>
  <c r="P410" i="11" s="1"/>
  <c r="L175" i="12"/>
  <c r="H175" i="12"/>
  <c r="Q175" i="12" s="1"/>
  <c r="G175" i="12"/>
  <c r="P175" i="12" s="1"/>
  <c r="E175" i="12"/>
  <c r="AG174" i="12"/>
  <c r="AD174" i="12"/>
  <c r="H174" i="12" s="1"/>
  <c r="Q174" i="12" s="1"/>
  <c r="Z174" i="12"/>
  <c r="V174" i="12"/>
  <c r="N174" i="12"/>
  <c r="L174" i="12"/>
  <c r="G174" i="12"/>
  <c r="P174" i="12" s="1"/>
  <c r="F174" i="12"/>
  <c r="O174" i="12" s="1"/>
  <c r="E174" i="12"/>
  <c r="AQ173" i="12"/>
  <c r="AQ174" i="12" s="1"/>
  <c r="AQ175" i="12" s="1"/>
  <c r="AQ176" i="12" s="1"/>
  <c r="AQ177" i="12" s="1"/>
  <c r="AQ178" i="12" s="1"/>
  <c r="AQ179" i="12" s="1"/>
  <c r="AQ180" i="12" s="1"/>
  <c r="AQ181" i="12" s="1"/>
  <c r="AM173" i="12"/>
  <c r="AM174" i="12" s="1"/>
  <c r="AM175" i="12" s="1"/>
  <c r="AM176" i="12" s="1"/>
  <c r="AM177" i="12" s="1"/>
  <c r="AM178" i="12" s="1"/>
  <c r="AM179" i="12" s="1"/>
  <c r="AM180" i="12" s="1"/>
  <c r="AM181" i="12" s="1"/>
  <c r="AG173" i="12"/>
  <c r="AD173" i="12"/>
  <c r="Z173" i="12"/>
  <c r="V173" i="12"/>
  <c r="F173" i="12" s="1"/>
  <c r="P173" i="12"/>
  <c r="O173" i="12"/>
  <c r="N173" i="12"/>
  <c r="L173" i="12"/>
  <c r="H173" i="12"/>
  <c r="Q173" i="12" s="1"/>
  <c r="G173" i="12"/>
  <c r="E173" i="12"/>
  <c r="BV172" i="12"/>
  <c r="BP172" i="12"/>
  <c r="AT172" i="12"/>
  <c r="AT173" i="12" s="1"/>
  <c r="AT174" i="12" s="1"/>
  <c r="AT175" i="12" s="1"/>
  <c r="AT176" i="12" s="1"/>
  <c r="AT177" i="12" s="1"/>
  <c r="AT178" i="12" s="1"/>
  <c r="AT179" i="12" s="1"/>
  <c r="AT180" i="12" s="1"/>
  <c r="AT181" i="12" s="1"/>
  <c r="AP172" i="12"/>
  <c r="AP173" i="12" s="1"/>
  <c r="AP174" i="12" s="1"/>
  <c r="AP175" i="12" s="1"/>
  <c r="AP176" i="12" s="1"/>
  <c r="AP177" i="12" s="1"/>
  <c r="AP178" i="12" s="1"/>
  <c r="AP179" i="12" s="1"/>
  <c r="AP180" i="12" s="1"/>
  <c r="AP181" i="12" s="1"/>
  <c r="AH172" i="12"/>
  <c r="AH173" i="12" s="1"/>
  <c r="AH174" i="12" s="1"/>
  <c r="AH175" i="12" s="1"/>
  <c r="AH176" i="12" s="1"/>
  <c r="AH177" i="12" s="1"/>
  <c r="AH178" i="12" s="1"/>
  <c r="AH179" i="12" s="1"/>
  <c r="AH180" i="12" s="1"/>
  <c r="AH181" i="12" s="1"/>
  <c r="AG172" i="12"/>
  <c r="AD172" i="12"/>
  <c r="Z172" i="12"/>
  <c r="G172" i="12" s="1"/>
  <c r="P172" i="12" s="1"/>
  <c r="V172" i="12"/>
  <c r="Q172" i="12"/>
  <c r="N172" i="12"/>
  <c r="P407" i="11" s="1"/>
  <c r="BK407" i="11" s="1"/>
  <c r="L172" i="12"/>
  <c r="H172" i="12"/>
  <c r="F172" i="12"/>
  <c r="E172" i="12"/>
  <c r="BV171" i="12"/>
  <c r="AI171" i="12"/>
  <c r="AI172" i="12" s="1"/>
  <c r="AI173" i="12" s="1"/>
  <c r="AI174" i="12" s="1"/>
  <c r="AI175" i="12" s="1"/>
  <c r="AI176" i="12" s="1"/>
  <c r="AI177" i="12" s="1"/>
  <c r="AI178" i="12" s="1"/>
  <c r="AI179" i="12" s="1"/>
  <c r="AI180" i="12" s="1"/>
  <c r="AI181" i="12" s="1"/>
  <c r="AG171" i="12"/>
  <c r="AD171" i="12"/>
  <c r="H171" i="12" s="1"/>
  <c r="Q171" i="12" s="1"/>
  <c r="Z171" i="12"/>
  <c r="G171" i="12" s="1"/>
  <c r="P171" i="12" s="1"/>
  <c r="V171" i="12"/>
  <c r="F171" i="12" s="1"/>
  <c r="N171" i="12"/>
  <c r="L171" i="12"/>
  <c r="E171" i="12"/>
  <c r="BV170" i="12"/>
  <c r="AS170" i="12"/>
  <c r="AS171" i="12" s="1"/>
  <c r="AS172" i="12" s="1"/>
  <c r="AS173" i="12" s="1"/>
  <c r="AS174" i="12" s="1"/>
  <c r="AS175" i="12" s="1"/>
  <c r="AR170" i="12"/>
  <c r="AQ170" i="12"/>
  <c r="AQ171" i="12" s="1"/>
  <c r="AQ172" i="12" s="1"/>
  <c r="AP170" i="12"/>
  <c r="AP171" i="12" s="1"/>
  <c r="AM170" i="12"/>
  <c r="AM171" i="12" s="1"/>
  <c r="AM172" i="12" s="1"/>
  <c r="AL170" i="12"/>
  <c r="AL171" i="12" s="1"/>
  <c r="AL172" i="12" s="1"/>
  <c r="AL173" i="12" s="1"/>
  <c r="AL174" i="12" s="1"/>
  <c r="AL175" i="12" s="1"/>
  <c r="AL176" i="12" s="1"/>
  <c r="AL177" i="12" s="1"/>
  <c r="AK170" i="12"/>
  <c r="AJ170" i="12"/>
  <c r="AJ171" i="12" s="1"/>
  <c r="AJ172" i="12" s="1"/>
  <c r="AJ173" i="12" s="1"/>
  <c r="AJ174" i="12" s="1"/>
  <c r="AJ175" i="12" s="1"/>
  <c r="AJ176" i="12" s="1"/>
  <c r="AJ177" i="12" s="1"/>
  <c r="AJ178" i="12" s="1"/>
  <c r="AJ179" i="12" s="1"/>
  <c r="AJ180" i="12" s="1"/>
  <c r="AJ181" i="12" s="1"/>
  <c r="AI170" i="12"/>
  <c r="AH170" i="12"/>
  <c r="AH171" i="12" s="1"/>
  <c r="AG170" i="12"/>
  <c r="AD170" i="12"/>
  <c r="H170" i="12" s="1"/>
  <c r="Z170" i="12"/>
  <c r="V170" i="12"/>
  <c r="N170" i="12"/>
  <c r="AT170" i="12" s="1"/>
  <c r="AT171" i="12" s="1"/>
  <c r="L170" i="12"/>
  <c r="G170" i="12"/>
  <c r="P170" i="12" s="1"/>
  <c r="AV170" i="12" s="1"/>
  <c r="F170" i="12"/>
  <c r="E170" i="12"/>
  <c r="BV169" i="12"/>
  <c r="AG169" i="12"/>
  <c r="AD169" i="12"/>
  <c r="H169" i="12" s="1"/>
  <c r="Q169" i="12" s="1"/>
  <c r="Z169" i="12"/>
  <c r="V169" i="12"/>
  <c r="N169" i="12"/>
  <c r="O416" i="11" s="1"/>
  <c r="O400" i="11" s="1"/>
  <c r="L169" i="12"/>
  <c r="J169" i="12"/>
  <c r="G169" i="12"/>
  <c r="P169" i="12" s="1"/>
  <c r="F169" i="12"/>
  <c r="E169" i="12"/>
  <c r="BV168" i="12"/>
  <c r="AG168" i="12"/>
  <c r="AD168" i="12"/>
  <c r="H168" i="12" s="1"/>
  <c r="Q168" i="12" s="1"/>
  <c r="Z168" i="12"/>
  <c r="V168" i="12"/>
  <c r="F168" i="12" s="1"/>
  <c r="N168" i="12"/>
  <c r="J168" i="12"/>
  <c r="L168" i="12" s="1"/>
  <c r="G168" i="12"/>
  <c r="P168" i="12" s="1"/>
  <c r="E168" i="12"/>
  <c r="BV167" i="12"/>
  <c r="AG167" i="12"/>
  <c r="J167" i="12" s="1"/>
  <c r="AD167" i="12"/>
  <c r="Z167" i="12"/>
  <c r="V167" i="12"/>
  <c r="F167" i="12" s="1"/>
  <c r="Q167" i="12"/>
  <c r="N167" i="12"/>
  <c r="O414" i="11" s="1"/>
  <c r="O398" i="11" s="1"/>
  <c r="L167" i="12"/>
  <c r="H167" i="12"/>
  <c r="G167" i="12"/>
  <c r="P167" i="12" s="1"/>
  <c r="E167" i="12"/>
  <c r="BV166" i="12"/>
  <c r="AG166" i="12"/>
  <c r="J166" i="12" s="1"/>
  <c r="L166" i="12" s="1"/>
  <c r="AD166" i="12"/>
  <c r="H166" i="12" s="1"/>
  <c r="Q166" i="12" s="1"/>
  <c r="Z166" i="12"/>
  <c r="G166" i="12" s="1"/>
  <c r="P166" i="12" s="1"/>
  <c r="V166" i="12"/>
  <c r="N166" i="12"/>
  <c r="F166" i="12"/>
  <c r="E166" i="12"/>
  <c r="BV165" i="12"/>
  <c r="AG165" i="12"/>
  <c r="AD165" i="12"/>
  <c r="H165" i="12" s="1"/>
  <c r="Q165" i="12" s="1"/>
  <c r="Z165" i="12"/>
  <c r="G165" i="12" s="1"/>
  <c r="P165" i="12" s="1"/>
  <c r="V165" i="12"/>
  <c r="N165" i="12"/>
  <c r="O412" i="11" s="1"/>
  <c r="O396" i="11" s="1"/>
  <c r="L165" i="12"/>
  <c r="J165" i="12"/>
  <c r="F165" i="12"/>
  <c r="E165" i="12"/>
  <c r="BV164" i="12"/>
  <c r="AG164" i="12"/>
  <c r="AD164" i="12"/>
  <c r="Z164" i="12"/>
  <c r="V164" i="12"/>
  <c r="F164" i="12" s="1"/>
  <c r="Q164" i="12"/>
  <c r="P164" i="12"/>
  <c r="N164" i="12"/>
  <c r="J164" i="12"/>
  <c r="L164" i="12" s="1"/>
  <c r="H164" i="12"/>
  <c r="G164" i="12"/>
  <c r="E164" i="12"/>
  <c r="BV163" i="12"/>
  <c r="AG163" i="12"/>
  <c r="AD163" i="12"/>
  <c r="H163" i="12" s="1"/>
  <c r="Z163" i="12"/>
  <c r="V163" i="12"/>
  <c r="Q163" i="12"/>
  <c r="P163" i="12"/>
  <c r="N163" i="12"/>
  <c r="O163" i="12" s="1"/>
  <c r="L163" i="12"/>
  <c r="J163" i="12"/>
  <c r="I163" i="12"/>
  <c r="G163" i="12"/>
  <c r="F163" i="12"/>
  <c r="E163" i="12"/>
  <c r="BV162" i="12"/>
  <c r="AG162" i="12"/>
  <c r="J162" i="12" s="1"/>
  <c r="L162" i="12" s="1"/>
  <c r="AD162" i="12"/>
  <c r="H162" i="12" s="1"/>
  <c r="Q162" i="12" s="1"/>
  <c r="Z162" i="12"/>
  <c r="G162" i="12" s="1"/>
  <c r="V162" i="12"/>
  <c r="F162" i="12" s="1"/>
  <c r="P162" i="12"/>
  <c r="N162" i="12"/>
  <c r="E162" i="12"/>
  <c r="BV161" i="12"/>
  <c r="AJ161" i="12"/>
  <c r="AJ162" i="12" s="1"/>
  <c r="AJ163" i="12" s="1"/>
  <c r="AJ164" i="12" s="1"/>
  <c r="AJ165" i="12" s="1"/>
  <c r="AJ166" i="12" s="1"/>
  <c r="AJ167" i="12" s="1"/>
  <c r="AJ168" i="12" s="1"/>
  <c r="AJ169" i="12" s="1"/>
  <c r="AH161" i="12"/>
  <c r="AH162" i="12" s="1"/>
  <c r="AH163" i="12" s="1"/>
  <c r="AH164" i="12" s="1"/>
  <c r="AH165" i="12" s="1"/>
  <c r="AH166" i="12" s="1"/>
  <c r="AH167" i="12" s="1"/>
  <c r="AH168" i="12" s="1"/>
  <c r="AH169" i="12" s="1"/>
  <c r="AG161" i="12"/>
  <c r="AD161" i="12"/>
  <c r="Z161" i="12"/>
  <c r="V161" i="12"/>
  <c r="F161" i="12" s="1"/>
  <c r="N161" i="12"/>
  <c r="J161" i="12"/>
  <c r="L161" i="12" s="1"/>
  <c r="H161" i="12"/>
  <c r="Q161" i="12" s="1"/>
  <c r="G161" i="12"/>
  <c r="E161" i="12"/>
  <c r="BV160" i="12"/>
  <c r="AL160" i="12"/>
  <c r="AL161" i="12" s="1"/>
  <c r="AL162" i="12" s="1"/>
  <c r="AL163" i="12" s="1"/>
  <c r="AL164" i="12" s="1"/>
  <c r="AL165" i="12" s="1"/>
  <c r="AL166" i="12" s="1"/>
  <c r="AL167" i="12" s="1"/>
  <c r="AL168" i="12" s="1"/>
  <c r="AL169" i="12" s="1"/>
  <c r="AK160" i="12"/>
  <c r="AK161" i="12" s="1"/>
  <c r="AK162" i="12" s="1"/>
  <c r="AK163" i="12" s="1"/>
  <c r="AK164" i="12" s="1"/>
  <c r="AK165" i="12" s="1"/>
  <c r="AK166" i="12" s="1"/>
  <c r="AK167" i="12" s="1"/>
  <c r="AK168" i="12" s="1"/>
  <c r="AK169" i="12" s="1"/>
  <c r="AG160" i="12"/>
  <c r="J160" i="12" s="1"/>
  <c r="L160" i="12" s="1"/>
  <c r="AD160" i="12"/>
  <c r="Z160" i="12"/>
  <c r="V160" i="12"/>
  <c r="Q160" i="12"/>
  <c r="P160" i="12"/>
  <c r="N160" i="12"/>
  <c r="O407" i="11" s="1"/>
  <c r="O391" i="11" s="1"/>
  <c r="H160" i="12"/>
  <c r="I160" i="12" s="1"/>
  <c r="G160" i="12"/>
  <c r="F160" i="12"/>
  <c r="E160" i="12"/>
  <c r="BV159" i="12"/>
  <c r="AS159" i="12"/>
  <c r="AS160" i="12" s="1"/>
  <c r="AS161" i="12" s="1"/>
  <c r="AS162" i="12" s="1"/>
  <c r="AS163" i="12" s="1"/>
  <c r="AS164" i="12" s="1"/>
  <c r="AS165" i="12" s="1"/>
  <c r="AS166" i="12" s="1"/>
  <c r="AS167" i="12" s="1"/>
  <c r="AS168" i="12" s="1"/>
  <c r="AS169" i="12" s="1"/>
  <c r="AQ159" i="12"/>
  <c r="AQ160" i="12" s="1"/>
  <c r="AQ161" i="12" s="1"/>
  <c r="AQ162" i="12" s="1"/>
  <c r="AQ163" i="12" s="1"/>
  <c r="AQ164" i="12" s="1"/>
  <c r="AQ165" i="12" s="1"/>
  <c r="AQ166" i="12" s="1"/>
  <c r="AQ167" i="12" s="1"/>
  <c r="AQ168" i="12" s="1"/>
  <c r="AQ169" i="12" s="1"/>
  <c r="AL159" i="12"/>
  <c r="AG159" i="12"/>
  <c r="J159" i="12" s="1"/>
  <c r="L159" i="12" s="1"/>
  <c r="AR159" i="12" s="1"/>
  <c r="AR160" i="12" s="1"/>
  <c r="AR161" i="12" s="1"/>
  <c r="AR162" i="12" s="1"/>
  <c r="AR163" i="12" s="1"/>
  <c r="AR164" i="12" s="1"/>
  <c r="AD159" i="12"/>
  <c r="Z159" i="12"/>
  <c r="V159" i="12"/>
  <c r="F159" i="12" s="1"/>
  <c r="O159" i="12" s="1"/>
  <c r="N159" i="12"/>
  <c r="H159" i="12"/>
  <c r="G159" i="12"/>
  <c r="P159" i="12" s="1"/>
  <c r="E159" i="12"/>
  <c r="BV158" i="12"/>
  <c r="AS158" i="12"/>
  <c r="AQ158" i="12"/>
  <c r="AL158" i="12"/>
  <c r="AK158" i="12"/>
  <c r="AK159" i="12" s="1"/>
  <c r="AJ158" i="12"/>
  <c r="AJ159" i="12" s="1"/>
  <c r="AJ160" i="12" s="1"/>
  <c r="AI158" i="12"/>
  <c r="AI159" i="12" s="1"/>
  <c r="AI160" i="12" s="1"/>
  <c r="AI161" i="12" s="1"/>
  <c r="AI162" i="12" s="1"/>
  <c r="AI163" i="12" s="1"/>
  <c r="AI164" i="12" s="1"/>
  <c r="AI165" i="12" s="1"/>
  <c r="AI166" i="12" s="1"/>
  <c r="AI167" i="12" s="1"/>
  <c r="AI168" i="12" s="1"/>
  <c r="AI169" i="12" s="1"/>
  <c r="AH158" i="12"/>
  <c r="AH159" i="12" s="1"/>
  <c r="AH160" i="12" s="1"/>
  <c r="AG158" i="12"/>
  <c r="AD158" i="12"/>
  <c r="H158" i="12" s="1"/>
  <c r="AN158" i="12" s="1"/>
  <c r="Z158" i="12"/>
  <c r="G158" i="12" s="1"/>
  <c r="AM158" i="12" s="1"/>
  <c r="AM159" i="12" s="1"/>
  <c r="AM160" i="12" s="1"/>
  <c r="V158" i="12"/>
  <c r="F158" i="12" s="1"/>
  <c r="P158" i="12"/>
  <c r="AV158" i="12" s="1"/>
  <c r="N158" i="12"/>
  <c r="J158" i="12"/>
  <c r="L158" i="12" s="1"/>
  <c r="AR158" i="12" s="1"/>
  <c r="E158" i="12"/>
  <c r="BI157" i="12"/>
  <c r="BH157" i="12"/>
  <c r="BG157" i="12"/>
  <c r="BF157" i="12"/>
  <c r="BE157" i="12"/>
  <c r="AG157" i="12"/>
  <c r="J157" i="12" s="1"/>
  <c r="L157" i="12" s="1"/>
  <c r="AD157" i="12"/>
  <c r="H157" i="12" s="1"/>
  <c r="Z157" i="12"/>
  <c r="G157" i="12" s="1"/>
  <c r="V157" i="12"/>
  <c r="F157" i="12" s="1"/>
  <c r="Q157" i="12"/>
  <c r="P157" i="12"/>
  <c r="N157" i="12"/>
  <c r="E157" i="12"/>
  <c r="AG156" i="12"/>
  <c r="AD156" i="12"/>
  <c r="Z156" i="12"/>
  <c r="G156" i="12" s="1"/>
  <c r="P156" i="12" s="1"/>
  <c r="V156" i="12"/>
  <c r="N156" i="12"/>
  <c r="L156" i="12"/>
  <c r="J156" i="12"/>
  <c r="H156" i="12"/>
  <c r="Q156" i="12" s="1"/>
  <c r="F156" i="12"/>
  <c r="E156" i="12"/>
  <c r="AG155" i="12"/>
  <c r="AD155" i="12"/>
  <c r="Z155" i="12"/>
  <c r="G155" i="12" s="1"/>
  <c r="P155" i="12" s="1"/>
  <c r="V155" i="12"/>
  <c r="F155" i="12" s="1"/>
  <c r="N155" i="12"/>
  <c r="O155" i="12" s="1"/>
  <c r="J155" i="12"/>
  <c r="L155" i="12" s="1"/>
  <c r="H155" i="12"/>
  <c r="Q155" i="12" s="1"/>
  <c r="E155" i="12"/>
  <c r="AQ154" i="12"/>
  <c r="AQ155" i="12" s="1"/>
  <c r="AQ156" i="12" s="1"/>
  <c r="AQ157" i="12" s="1"/>
  <c r="AG154" i="12"/>
  <c r="AD154" i="12"/>
  <c r="Z154" i="12"/>
  <c r="V154" i="12"/>
  <c r="O154" i="12"/>
  <c r="N154" i="12"/>
  <c r="J154" i="12"/>
  <c r="L154" i="12" s="1"/>
  <c r="I154" i="12"/>
  <c r="H154" i="12"/>
  <c r="Q154" i="12" s="1"/>
  <c r="G154" i="12"/>
  <c r="P154" i="12" s="1"/>
  <c r="F154" i="12"/>
  <c r="E154" i="12"/>
  <c r="AG153" i="12"/>
  <c r="J153" i="12" s="1"/>
  <c r="L153" i="12" s="1"/>
  <c r="AD153" i="12"/>
  <c r="H153" i="12" s="1"/>
  <c r="Q153" i="12" s="1"/>
  <c r="Z153" i="12"/>
  <c r="G153" i="12" s="1"/>
  <c r="P153" i="12" s="1"/>
  <c r="V153" i="12"/>
  <c r="N153" i="12"/>
  <c r="F153" i="12"/>
  <c r="E153" i="12"/>
  <c r="AQ152" i="12"/>
  <c r="AQ153" i="12" s="1"/>
  <c r="AG152" i="12"/>
  <c r="AD152" i="12"/>
  <c r="Z152" i="12"/>
  <c r="V152" i="12"/>
  <c r="F152" i="12" s="1"/>
  <c r="N152" i="12"/>
  <c r="L152" i="12"/>
  <c r="J152" i="12"/>
  <c r="O152" i="12" s="1"/>
  <c r="H152" i="12"/>
  <c r="Q152" i="12" s="1"/>
  <c r="G152" i="12"/>
  <c r="E152" i="12"/>
  <c r="AQ151" i="12"/>
  <c r="AG151" i="12"/>
  <c r="AD151" i="12"/>
  <c r="Z151" i="12"/>
  <c r="V151" i="12"/>
  <c r="F151" i="12" s="1"/>
  <c r="N151" i="12"/>
  <c r="J151" i="12"/>
  <c r="L151" i="12" s="1"/>
  <c r="I151" i="12"/>
  <c r="H151" i="12"/>
  <c r="Q151" i="12" s="1"/>
  <c r="G151" i="12"/>
  <c r="P151" i="12" s="1"/>
  <c r="E151" i="12"/>
  <c r="AG150" i="12"/>
  <c r="J150" i="12" s="1"/>
  <c r="AD150" i="12"/>
  <c r="Z150" i="12"/>
  <c r="V150" i="12"/>
  <c r="F150" i="12" s="1"/>
  <c r="Q150" i="12"/>
  <c r="P150" i="12"/>
  <c r="N150" i="12"/>
  <c r="L150" i="12"/>
  <c r="H150" i="12"/>
  <c r="G150" i="12"/>
  <c r="E150" i="12"/>
  <c r="AQ149" i="12"/>
  <c r="AQ150" i="12" s="1"/>
  <c r="AG149" i="12"/>
  <c r="J149" i="12" s="1"/>
  <c r="L149" i="12" s="1"/>
  <c r="AD149" i="12"/>
  <c r="Z149" i="12"/>
  <c r="V149" i="12"/>
  <c r="N149" i="12"/>
  <c r="N408" i="11" s="1"/>
  <c r="N392" i="11" s="1"/>
  <c r="H149" i="12"/>
  <c r="Q149" i="12" s="1"/>
  <c r="G149" i="12"/>
  <c r="P149" i="12" s="1"/>
  <c r="F149" i="12"/>
  <c r="E149" i="12"/>
  <c r="AI148" i="12"/>
  <c r="AI149" i="12" s="1"/>
  <c r="AI150" i="12" s="1"/>
  <c r="AI151" i="12" s="1"/>
  <c r="AI152" i="12" s="1"/>
  <c r="AI153" i="12" s="1"/>
  <c r="AI154" i="12" s="1"/>
  <c r="AI155" i="12" s="1"/>
  <c r="AI156" i="12" s="1"/>
  <c r="AI157" i="12" s="1"/>
  <c r="AH148" i="12"/>
  <c r="AH149" i="12" s="1"/>
  <c r="AH150" i="12" s="1"/>
  <c r="AH151" i="12" s="1"/>
  <c r="AH152" i="12" s="1"/>
  <c r="AH153" i="12" s="1"/>
  <c r="AH154" i="12" s="1"/>
  <c r="AH155" i="12" s="1"/>
  <c r="AH156" i="12" s="1"/>
  <c r="AH157" i="12" s="1"/>
  <c r="AG148" i="12"/>
  <c r="J148" i="12" s="1"/>
  <c r="AD148" i="12"/>
  <c r="H148" i="12" s="1"/>
  <c r="Q148" i="12" s="1"/>
  <c r="Z148" i="12"/>
  <c r="G148" i="12" s="1"/>
  <c r="P148" i="12" s="1"/>
  <c r="V148" i="12"/>
  <c r="N148" i="12"/>
  <c r="L148" i="12"/>
  <c r="F148" i="12"/>
  <c r="E148" i="12"/>
  <c r="AQ147" i="12"/>
  <c r="AQ148" i="12" s="1"/>
  <c r="AK147" i="12"/>
  <c r="AK148" i="12" s="1"/>
  <c r="AG147" i="12"/>
  <c r="AD147" i="12"/>
  <c r="Z147" i="12"/>
  <c r="V147" i="12"/>
  <c r="N147" i="12"/>
  <c r="N406" i="11" s="1"/>
  <c r="J147" i="12"/>
  <c r="L147" i="12" s="1"/>
  <c r="H147" i="12"/>
  <c r="Q147" i="12" s="1"/>
  <c r="G147" i="12"/>
  <c r="P147" i="12" s="1"/>
  <c r="F147" i="12"/>
  <c r="E147" i="12"/>
  <c r="AS146" i="12"/>
  <c r="AS147" i="12" s="1"/>
  <c r="AS148" i="12" s="1"/>
  <c r="AS149" i="12" s="1"/>
  <c r="AS150" i="12" s="1"/>
  <c r="AS151" i="12" s="1"/>
  <c r="AS152" i="12" s="1"/>
  <c r="AS153" i="12" s="1"/>
  <c r="AS154" i="12" s="1"/>
  <c r="AS155" i="12" s="1"/>
  <c r="AS156" i="12" s="1"/>
  <c r="AS157" i="12" s="1"/>
  <c r="AQ146" i="12"/>
  <c r="AK146" i="12"/>
  <c r="AJ146" i="12"/>
  <c r="AJ147" i="12" s="1"/>
  <c r="AJ148" i="12" s="1"/>
  <c r="AJ149" i="12" s="1"/>
  <c r="AJ150" i="12" s="1"/>
  <c r="AJ151" i="12" s="1"/>
  <c r="AJ152" i="12" s="1"/>
  <c r="AJ153" i="12" s="1"/>
  <c r="AJ154" i="12" s="1"/>
  <c r="AJ155" i="12" s="1"/>
  <c r="AJ156" i="12" s="1"/>
  <c r="AJ157" i="12" s="1"/>
  <c r="AI146" i="12"/>
  <c r="AI147" i="12" s="1"/>
  <c r="AH146" i="12"/>
  <c r="AH147" i="12" s="1"/>
  <c r="AG146" i="12"/>
  <c r="J146" i="12" s="1"/>
  <c r="AD146" i="12"/>
  <c r="Z146" i="12"/>
  <c r="V146" i="12"/>
  <c r="F146" i="12" s="1"/>
  <c r="N146" i="12"/>
  <c r="AT146" i="12" s="1"/>
  <c r="H146" i="12"/>
  <c r="AN146" i="12" s="1"/>
  <c r="G146" i="12"/>
  <c r="E146" i="12"/>
  <c r="AG145" i="12"/>
  <c r="J145" i="12" s="1"/>
  <c r="L145" i="12" s="1"/>
  <c r="AD145" i="12"/>
  <c r="H145" i="12" s="1"/>
  <c r="Z145" i="12"/>
  <c r="V145" i="12"/>
  <c r="F145" i="12" s="1"/>
  <c r="I145" i="12" s="1"/>
  <c r="Q145" i="12"/>
  <c r="P145" i="12"/>
  <c r="N145" i="12"/>
  <c r="G145" i="12"/>
  <c r="E145" i="12"/>
  <c r="AH144" i="12"/>
  <c r="AH145" i="12" s="1"/>
  <c r="AG144" i="12"/>
  <c r="AD144" i="12"/>
  <c r="Z144" i="12"/>
  <c r="V144" i="12"/>
  <c r="N144" i="12"/>
  <c r="J144" i="12"/>
  <c r="L144" i="12" s="1"/>
  <c r="H144" i="12"/>
  <c r="Q144" i="12" s="1"/>
  <c r="G144" i="12"/>
  <c r="P144" i="12" s="1"/>
  <c r="F144" i="12"/>
  <c r="E144" i="12"/>
  <c r="AG143" i="12"/>
  <c r="AD143" i="12"/>
  <c r="H143" i="12" s="1"/>
  <c r="Z143" i="12"/>
  <c r="G143" i="12" s="1"/>
  <c r="V143" i="12"/>
  <c r="F143" i="12" s="1"/>
  <c r="Q143" i="12"/>
  <c r="P143" i="12"/>
  <c r="N143" i="12"/>
  <c r="J143" i="12"/>
  <c r="L143" i="12" s="1"/>
  <c r="E143" i="12"/>
  <c r="AQ142" i="12"/>
  <c r="AQ143" i="12" s="1"/>
  <c r="AQ144" i="12" s="1"/>
  <c r="AQ145" i="12" s="1"/>
  <c r="AG142" i="12"/>
  <c r="AD142" i="12"/>
  <c r="Z142" i="12"/>
  <c r="V142" i="12"/>
  <c r="F142" i="12" s="1"/>
  <c r="P142" i="12"/>
  <c r="N142" i="12"/>
  <c r="M413" i="11" s="1"/>
  <c r="J142" i="12"/>
  <c r="L142" i="12" s="1"/>
  <c r="H142" i="12"/>
  <c r="Q142" i="12" s="1"/>
  <c r="G142" i="12"/>
  <c r="E142" i="12"/>
  <c r="AG141" i="12"/>
  <c r="J141" i="12" s="1"/>
  <c r="L141" i="12" s="1"/>
  <c r="AD141" i="12"/>
  <c r="Z141" i="12"/>
  <c r="V141" i="12"/>
  <c r="N141" i="12"/>
  <c r="H141" i="12"/>
  <c r="Q141" i="12" s="1"/>
  <c r="G141" i="12"/>
  <c r="P141" i="12" s="1"/>
  <c r="F141" i="12"/>
  <c r="E141" i="12"/>
  <c r="AG140" i="12"/>
  <c r="J140" i="12" s="1"/>
  <c r="AD140" i="12"/>
  <c r="H140" i="12" s="1"/>
  <c r="Z140" i="12"/>
  <c r="V140" i="12"/>
  <c r="Q140" i="12"/>
  <c r="P140" i="12"/>
  <c r="N140" i="12"/>
  <c r="G140" i="12"/>
  <c r="I140" i="12" s="1"/>
  <c r="F140" i="12"/>
  <c r="E140" i="12"/>
  <c r="AK139" i="12"/>
  <c r="AK140" i="12" s="1"/>
  <c r="AJ139" i="12"/>
  <c r="AJ140" i="12" s="1"/>
  <c r="AJ141" i="12" s="1"/>
  <c r="AJ142" i="12" s="1"/>
  <c r="AJ143" i="12" s="1"/>
  <c r="AJ144" i="12" s="1"/>
  <c r="AJ145" i="12" s="1"/>
  <c r="AG139" i="12"/>
  <c r="J139" i="12" s="1"/>
  <c r="L139" i="12" s="1"/>
  <c r="AD139" i="12"/>
  <c r="H139" i="12" s="1"/>
  <c r="Q139" i="12" s="1"/>
  <c r="Z139" i="12"/>
  <c r="G139" i="12" s="1"/>
  <c r="P139" i="12" s="1"/>
  <c r="V139" i="12"/>
  <c r="O139" i="12"/>
  <c r="N139" i="12"/>
  <c r="F139" i="12"/>
  <c r="I139" i="12" s="1"/>
  <c r="E139" i="12"/>
  <c r="AI138" i="12"/>
  <c r="AI139" i="12" s="1"/>
  <c r="AI140" i="12" s="1"/>
  <c r="AI141" i="12" s="1"/>
  <c r="AI142" i="12" s="1"/>
  <c r="AI143" i="12" s="1"/>
  <c r="AI144" i="12" s="1"/>
  <c r="AI145" i="12" s="1"/>
  <c r="AG138" i="12"/>
  <c r="J138" i="12" s="1"/>
  <c r="AD138" i="12"/>
  <c r="H138" i="12" s="1"/>
  <c r="Q138" i="12" s="1"/>
  <c r="Z138" i="12"/>
  <c r="G138" i="12" s="1"/>
  <c r="V138" i="12"/>
  <c r="F138" i="12" s="1"/>
  <c r="N138" i="12"/>
  <c r="E138" i="12"/>
  <c r="AG137" i="12"/>
  <c r="AD137" i="12"/>
  <c r="Z137" i="12"/>
  <c r="V137" i="12"/>
  <c r="Q137" i="12"/>
  <c r="P137" i="12"/>
  <c r="N137" i="12"/>
  <c r="L137" i="12"/>
  <c r="J137" i="12"/>
  <c r="H137" i="12"/>
  <c r="G137" i="12"/>
  <c r="F137" i="12"/>
  <c r="E137" i="12"/>
  <c r="AQ136" i="12"/>
  <c r="AQ137" i="12" s="1"/>
  <c r="AQ138" i="12" s="1"/>
  <c r="AQ139" i="12" s="1"/>
  <c r="AQ140" i="12" s="1"/>
  <c r="AQ141" i="12" s="1"/>
  <c r="AG136" i="12"/>
  <c r="J136" i="12" s="1"/>
  <c r="L136" i="12" s="1"/>
  <c r="AD136" i="12"/>
  <c r="Z136" i="12"/>
  <c r="V136" i="12"/>
  <c r="N136" i="12"/>
  <c r="H136" i="12"/>
  <c r="Q136" i="12" s="1"/>
  <c r="G136" i="12"/>
  <c r="P136" i="12" s="1"/>
  <c r="F136" i="12"/>
  <c r="E136" i="12"/>
  <c r="AW135" i="12"/>
  <c r="AQ135" i="12"/>
  <c r="AG135" i="12"/>
  <c r="AD135" i="12"/>
  <c r="H135" i="12" s="1"/>
  <c r="Q135" i="12" s="1"/>
  <c r="Z135" i="12"/>
  <c r="G135" i="12" s="1"/>
  <c r="P135" i="12" s="1"/>
  <c r="V135" i="12"/>
  <c r="N135" i="12"/>
  <c r="M406" i="11" s="1"/>
  <c r="BF406" i="11" s="1"/>
  <c r="J135" i="12"/>
  <c r="L135" i="12" s="1"/>
  <c r="I135" i="12"/>
  <c r="F135" i="12"/>
  <c r="O135" i="12" s="1"/>
  <c r="R135" i="12" s="1"/>
  <c r="BM135" i="12" s="1"/>
  <c r="E135" i="12"/>
  <c r="AS134" i="12"/>
  <c r="AS135" i="12" s="1"/>
  <c r="AS136" i="12" s="1"/>
  <c r="AS137" i="12" s="1"/>
  <c r="AS138" i="12" s="1"/>
  <c r="AS139" i="12" s="1"/>
  <c r="AS140" i="12" s="1"/>
  <c r="AS141" i="12" s="1"/>
  <c r="AS142" i="12" s="1"/>
  <c r="AS143" i="12" s="1"/>
  <c r="AS144" i="12" s="1"/>
  <c r="AS145" i="12" s="1"/>
  <c r="AQ134" i="12"/>
  <c r="AN134" i="12"/>
  <c r="AN135" i="12" s="1"/>
  <c r="AL134" i="12"/>
  <c r="AK134" i="12"/>
  <c r="AK135" i="12" s="1"/>
  <c r="AK136" i="12" s="1"/>
  <c r="AK137" i="12" s="1"/>
  <c r="AK138" i="12" s="1"/>
  <c r="AJ134" i="12"/>
  <c r="AJ135" i="12" s="1"/>
  <c r="AJ136" i="12" s="1"/>
  <c r="AJ137" i="12" s="1"/>
  <c r="AJ138" i="12" s="1"/>
  <c r="AI134" i="12"/>
  <c r="AI135" i="12" s="1"/>
  <c r="AI136" i="12" s="1"/>
  <c r="AI137" i="12" s="1"/>
  <c r="AH134" i="12"/>
  <c r="AH135" i="12" s="1"/>
  <c r="AH136" i="12" s="1"/>
  <c r="AH137" i="12" s="1"/>
  <c r="AH138" i="12" s="1"/>
  <c r="AH139" i="12" s="1"/>
  <c r="AH140" i="12" s="1"/>
  <c r="AH141" i="12" s="1"/>
  <c r="AH142" i="12" s="1"/>
  <c r="AH143" i="12" s="1"/>
  <c r="AG134" i="12"/>
  <c r="AD134" i="12"/>
  <c r="H134" i="12" s="1"/>
  <c r="Q134" i="12" s="1"/>
  <c r="AW134" i="12" s="1"/>
  <c r="Z134" i="12"/>
  <c r="G134" i="12" s="1"/>
  <c r="V134" i="12"/>
  <c r="F134" i="12" s="1"/>
  <c r="N134" i="12"/>
  <c r="AT134" i="12" s="1"/>
  <c r="J134" i="12"/>
  <c r="AP134" i="12" s="1"/>
  <c r="E134" i="12"/>
  <c r="AG133" i="12"/>
  <c r="J133" i="12" s="1"/>
  <c r="L133" i="12" s="1"/>
  <c r="AD133" i="12"/>
  <c r="Z133" i="12"/>
  <c r="G133" i="12" s="1"/>
  <c r="P133" i="12" s="1"/>
  <c r="V133" i="12"/>
  <c r="F133" i="12" s="1"/>
  <c r="Q133" i="12"/>
  <c r="N133" i="12"/>
  <c r="H133" i="12"/>
  <c r="E133" i="12"/>
  <c r="AG132" i="12"/>
  <c r="AD132" i="12"/>
  <c r="H132" i="12" s="1"/>
  <c r="Q132" i="12" s="1"/>
  <c r="Z132" i="12"/>
  <c r="V132" i="12"/>
  <c r="N132" i="12"/>
  <c r="J132" i="12"/>
  <c r="L132" i="12" s="1"/>
  <c r="G132" i="12"/>
  <c r="P132" i="12" s="1"/>
  <c r="F132" i="12"/>
  <c r="E132" i="12"/>
  <c r="AG131" i="12"/>
  <c r="J131" i="12" s="1"/>
  <c r="AD131" i="12"/>
  <c r="H131" i="12" s="1"/>
  <c r="Z131" i="12"/>
  <c r="G131" i="12" s="1"/>
  <c r="V131" i="12"/>
  <c r="F131" i="12" s="1"/>
  <c r="O131" i="12" s="1"/>
  <c r="R131" i="12" s="1"/>
  <c r="Q131" i="12"/>
  <c r="P131" i="12"/>
  <c r="N131" i="12"/>
  <c r="L131" i="12"/>
  <c r="E131" i="12"/>
  <c r="AG130" i="12"/>
  <c r="AD130" i="12"/>
  <c r="Z130" i="12"/>
  <c r="V130" i="12"/>
  <c r="N130" i="12"/>
  <c r="L413" i="11" s="1"/>
  <c r="J130" i="12"/>
  <c r="L130" i="12" s="1"/>
  <c r="H130" i="12"/>
  <c r="Q130" i="12" s="1"/>
  <c r="G130" i="12"/>
  <c r="P130" i="12" s="1"/>
  <c r="F130" i="12"/>
  <c r="E130" i="12"/>
  <c r="AG129" i="12"/>
  <c r="J129" i="12" s="1"/>
  <c r="L129" i="12" s="1"/>
  <c r="AD129" i="12"/>
  <c r="H129" i="12" s="1"/>
  <c r="Z129" i="12"/>
  <c r="G129" i="12" s="1"/>
  <c r="P129" i="12" s="1"/>
  <c r="V129" i="12"/>
  <c r="Q129" i="12"/>
  <c r="N129" i="12"/>
  <c r="F129" i="12"/>
  <c r="I129" i="12" s="1"/>
  <c r="E129" i="12"/>
  <c r="AQ128" i="12"/>
  <c r="AQ129" i="12" s="1"/>
  <c r="AQ130" i="12" s="1"/>
  <c r="AQ131" i="12" s="1"/>
  <c r="AQ132" i="12" s="1"/>
  <c r="AQ133" i="12" s="1"/>
  <c r="AG128" i="12"/>
  <c r="AD128" i="12"/>
  <c r="Z128" i="12"/>
  <c r="G128" i="12" s="1"/>
  <c r="P128" i="12" s="1"/>
  <c r="V128" i="12"/>
  <c r="F128" i="12" s="1"/>
  <c r="Q128" i="12"/>
  <c r="N128" i="12"/>
  <c r="L411" i="11" s="1"/>
  <c r="L128" i="12"/>
  <c r="J128" i="12"/>
  <c r="H128" i="12"/>
  <c r="E128" i="12"/>
  <c r="AI127" i="12"/>
  <c r="AI128" i="12" s="1"/>
  <c r="AI129" i="12" s="1"/>
  <c r="AI130" i="12" s="1"/>
  <c r="AI131" i="12" s="1"/>
  <c r="AI132" i="12" s="1"/>
  <c r="AI133" i="12" s="1"/>
  <c r="AG127" i="12"/>
  <c r="J127" i="12" s="1"/>
  <c r="L127" i="12" s="1"/>
  <c r="AD127" i="12"/>
  <c r="H127" i="12" s="1"/>
  <c r="Z127" i="12"/>
  <c r="G127" i="12" s="1"/>
  <c r="P127" i="12" s="1"/>
  <c r="V127" i="12"/>
  <c r="F127" i="12" s="1"/>
  <c r="Q127" i="12"/>
  <c r="N127" i="12"/>
  <c r="E127" i="12"/>
  <c r="AG126" i="12"/>
  <c r="J126" i="12" s="1"/>
  <c r="L126" i="12" s="1"/>
  <c r="AD126" i="12"/>
  <c r="H126" i="12" s="1"/>
  <c r="Q126" i="12" s="1"/>
  <c r="Z126" i="12"/>
  <c r="V126" i="12"/>
  <c r="F126" i="12" s="1"/>
  <c r="N126" i="12"/>
  <c r="G126" i="12"/>
  <c r="P126" i="12" s="1"/>
  <c r="E126" i="12"/>
  <c r="AM125" i="12"/>
  <c r="AM126" i="12" s="1"/>
  <c r="AM127" i="12" s="1"/>
  <c r="AM128" i="12" s="1"/>
  <c r="AM129" i="12" s="1"/>
  <c r="AM130" i="12" s="1"/>
  <c r="AM131" i="12" s="1"/>
  <c r="AM132" i="12" s="1"/>
  <c r="AM133" i="12" s="1"/>
  <c r="AJ125" i="12"/>
  <c r="AJ126" i="12" s="1"/>
  <c r="AJ127" i="12" s="1"/>
  <c r="AJ128" i="12" s="1"/>
  <c r="AJ129" i="12" s="1"/>
  <c r="AJ130" i="12" s="1"/>
  <c r="AJ131" i="12" s="1"/>
  <c r="AJ132" i="12" s="1"/>
  <c r="AJ133" i="12" s="1"/>
  <c r="AG125" i="12"/>
  <c r="J125" i="12" s="1"/>
  <c r="L125" i="12" s="1"/>
  <c r="AD125" i="12"/>
  <c r="Z125" i="12"/>
  <c r="V125" i="12"/>
  <c r="N125" i="12"/>
  <c r="H125" i="12"/>
  <c r="Q125" i="12" s="1"/>
  <c r="G125" i="12"/>
  <c r="P125" i="12" s="1"/>
  <c r="F125" i="12"/>
  <c r="E125" i="12"/>
  <c r="AP124" i="12"/>
  <c r="AP125" i="12" s="1"/>
  <c r="AP126" i="12" s="1"/>
  <c r="AP127" i="12" s="1"/>
  <c r="AP128" i="12" s="1"/>
  <c r="AI124" i="12"/>
  <c r="AI125" i="12" s="1"/>
  <c r="AI126" i="12" s="1"/>
  <c r="AG124" i="12"/>
  <c r="AD124" i="12"/>
  <c r="H124" i="12" s="1"/>
  <c r="Z124" i="12"/>
  <c r="V124" i="12"/>
  <c r="Q124" i="12"/>
  <c r="P124" i="12"/>
  <c r="O124" i="12"/>
  <c r="N124" i="12"/>
  <c r="J124" i="12"/>
  <c r="L124" i="12" s="1"/>
  <c r="G124" i="12"/>
  <c r="I124" i="12" s="1"/>
  <c r="F124" i="12"/>
  <c r="E124" i="12"/>
  <c r="AS123" i="12"/>
  <c r="AS124" i="12" s="1"/>
  <c r="AS125" i="12" s="1"/>
  <c r="AS126" i="12" s="1"/>
  <c r="AS127" i="12" s="1"/>
  <c r="AS128" i="12" s="1"/>
  <c r="AS129" i="12" s="1"/>
  <c r="AS130" i="12" s="1"/>
  <c r="AS131" i="12" s="1"/>
  <c r="AS132" i="12" s="1"/>
  <c r="AS133" i="12" s="1"/>
  <c r="AR123" i="12"/>
  <c r="AR124" i="12" s="1"/>
  <c r="AR125" i="12" s="1"/>
  <c r="AR126" i="12" s="1"/>
  <c r="AR127" i="12" s="1"/>
  <c r="AR128" i="12" s="1"/>
  <c r="AR129" i="12" s="1"/>
  <c r="AR130" i="12" s="1"/>
  <c r="AR131" i="12" s="1"/>
  <c r="AR132" i="12" s="1"/>
  <c r="AR133" i="12" s="1"/>
  <c r="AQ123" i="12"/>
  <c r="AQ124" i="12" s="1"/>
  <c r="AQ125" i="12" s="1"/>
  <c r="AQ126" i="12" s="1"/>
  <c r="AQ127" i="12" s="1"/>
  <c r="AG123" i="12"/>
  <c r="AD123" i="12"/>
  <c r="Z123" i="12"/>
  <c r="G123" i="12" s="1"/>
  <c r="P123" i="12" s="1"/>
  <c r="V123" i="12"/>
  <c r="N123" i="12"/>
  <c r="L406" i="11" s="1"/>
  <c r="J123" i="12"/>
  <c r="L123" i="12" s="1"/>
  <c r="I123" i="12"/>
  <c r="H123" i="12"/>
  <c r="Q123" i="12" s="1"/>
  <c r="F123" i="12"/>
  <c r="E123" i="12"/>
  <c r="AS122" i="12"/>
  <c r="AQ122" i="12"/>
  <c r="AK122" i="12"/>
  <c r="AJ122" i="12"/>
  <c r="AJ123" i="12" s="1"/>
  <c r="AJ124" i="12" s="1"/>
  <c r="AI122" i="12"/>
  <c r="AI123" i="12" s="1"/>
  <c r="AH122" i="12"/>
  <c r="AH123" i="12" s="1"/>
  <c r="AH124" i="12" s="1"/>
  <c r="AH125" i="12" s="1"/>
  <c r="AH126" i="12" s="1"/>
  <c r="AH127" i="12" s="1"/>
  <c r="AH128" i="12" s="1"/>
  <c r="AH129" i="12" s="1"/>
  <c r="AH130" i="12" s="1"/>
  <c r="AH131" i="12" s="1"/>
  <c r="AH132" i="12" s="1"/>
  <c r="AH133" i="12" s="1"/>
  <c r="AG122" i="12"/>
  <c r="J122" i="12" s="1"/>
  <c r="AP122" i="12" s="1"/>
  <c r="AP123" i="12" s="1"/>
  <c r="AD122" i="12"/>
  <c r="Z122" i="12"/>
  <c r="G122" i="12" s="1"/>
  <c r="AM122" i="12" s="1"/>
  <c r="AM123" i="12" s="1"/>
  <c r="AM124" i="12" s="1"/>
  <c r="V122" i="12"/>
  <c r="F122" i="12" s="1"/>
  <c r="AL122" i="12" s="1"/>
  <c r="AL123" i="12" s="1"/>
  <c r="AL124" i="12" s="1"/>
  <c r="AL125" i="12" s="1"/>
  <c r="AL126" i="12" s="1"/>
  <c r="AL127" i="12" s="1"/>
  <c r="AL128" i="12" s="1"/>
  <c r="AL129" i="12" s="1"/>
  <c r="AL130" i="12" s="1"/>
  <c r="AL131" i="12" s="1"/>
  <c r="AL132" i="12" s="1"/>
  <c r="R122" i="12"/>
  <c r="AX122" i="12" s="1"/>
  <c r="Q122" i="12"/>
  <c r="AW122" i="12" s="1"/>
  <c r="P122" i="12"/>
  <c r="AV122" i="12" s="1"/>
  <c r="AV123" i="12" s="1"/>
  <c r="AV124" i="12" s="1"/>
  <c r="AV125" i="12" s="1"/>
  <c r="AV126" i="12" s="1"/>
  <c r="AV127" i="12" s="1"/>
  <c r="O122" i="12"/>
  <c r="AU122" i="12" s="1"/>
  <c r="N122" i="12"/>
  <c r="AT122" i="12" s="1"/>
  <c r="L122" i="12"/>
  <c r="AR122" i="12" s="1"/>
  <c r="I122" i="12"/>
  <c r="AO122" i="12" s="1"/>
  <c r="AO123" i="12" s="1"/>
  <c r="AO124" i="12" s="1"/>
  <c r="H122" i="12"/>
  <c r="AN122" i="12" s="1"/>
  <c r="E122" i="12"/>
  <c r="AG121" i="12"/>
  <c r="J121" i="12" s="1"/>
  <c r="L121" i="12" s="1"/>
  <c r="AD121" i="12"/>
  <c r="H121" i="12" s="1"/>
  <c r="Q121" i="12" s="1"/>
  <c r="Z121" i="12"/>
  <c r="V121" i="12"/>
  <c r="P121" i="12"/>
  <c r="O121" i="12"/>
  <c r="N121" i="12"/>
  <c r="G121" i="12"/>
  <c r="F121" i="12"/>
  <c r="E121" i="12"/>
  <c r="AG120" i="12"/>
  <c r="AD120" i="12"/>
  <c r="H120" i="12" s="1"/>
  <c r="Q120" i="12" s="1"/>
  <c r="Z120" i="12"/>
  <c r="G120" i="12" s="1"/>
  <c r="V120" i="12"/>
  <c r="P120" i="12"/>
  <c r="N120" i="12"/>
  <c r="J120" i="12"/>
  <c r="L120" i="12" s="1"/>
  <c r="F120" i="12"/>
  <c r="E120" i="12"/>
  <c r="AG119" i="12"/>
  <c r="AD119" i="12"/>
  <c r="Z119" i="12"/>
  <c r="V119" i="12"/>
  <c r="N119" i="12"/>
  <c r="K414" i="11" s="1"/>
  <c r="BB414" i="11" s="1"/>
  <c r="L119" i="12"/>
  <c r="J119" i="12"/>
  <c r="H119" i="12"/>
  <c r="Q119" i="12" s="1"/>
  <c r="G119" i="12"/>
  <c r="P119" i="12" s="1"/>
  <c r="F119" i="12"/>
  <c r="E119" i="12"/>
  <c r="AH118" i="12"/>
  <c r="AH119" i="12" s="1"/>
  <c r="AH120" i="12" s="1"/>
  <c r="AH121" i="12" s="1"/>
  <c r="AG118" i="12"/>
  <c r="J118" i="12" s="1"/>
  <c r="L118" i="12" s="1"/>
  <c r="AD118" i="12"/>
  <c r="H118" i="12" s="1"/>
  <c r="Q118" i="12" s="1"/>
  <c r="Z118" i="12"/>
  <c r="G118" i="12" s="1"/>
  <c r="P118" i="12" s="1"/>
  <c r="V118" i="12"/>
  <c r="F118" i="12" s="1"/>
  <c r="N118" i="12"/>
  <c r="E118" i="12"/>
  <c r="AJ117" i="12"/>
  <c r="AJ118" i="12" s="1"/>
  <c r="AJ119" i="12" s="1"/>
  <c r="AJ120" i="12" s="1"/>
  <c r="AJ121" i="12" s="1"/>
  <c r="AI117" i="12"/>
  <c r="AI118" i="12" s="1"/>
  <c r="AI119" i="12" s="1"/>
  <c r="AI120" i="12" s="1"/>
  <c r="AI121" i="12" s="1"/>
  <c r="AG117" i="12"/>
  <c r="AD117" i="12"/>
  <c r="Z117" i="12"/>
  <c r="V117" i="12"/>
  <c r="N117" i="12"/>
  <c r="J117" i="12"/>
  <c r="L117" i="12" s="1"/>
  <c r="H117" i="12"/>
  <c r="Q117" i="12" s="1"/>
  <c r="G117" i="12"/>
  <c r="P117" i="12" s="1"/>
  <c r="F117" i="12"/>
  <c r="E117" i="12"/>
  <c r="AJ116" i="12"/>
  <c r="AH116" i="12"/>
  <c r="AH117" i="12" s="1"/>
  <c r="AG116" i="12"/>
  <c r="J116" i="12" s="1"/>
  <c r="L116" i="12" s="1"/>
  <c r="AD116" i="12"/>
  <c r="Z116" i="12"/>
  <c r="G116" i="12" s="1"/>
  <c r="P116" i="12" s="1"/>
  <c r="V116" i="12"/>
  <c r="F116" i="12" s="1"/>
  <c r="N116" i="12"/>
  <c r="K411" i="11" s="1"/>
  <c r="K395" i="11" s="1"/>
  <c r="H116" i="12"/>
  <c r="Q116" i="12" s="1"/>
  <c r="E116" i="12"/>
  <c r="AM115" i="12"/>
  <c r="AM116" i="12" s="1"/>
  <c r="AM117" i="12" s="1"/>
  <c r="AM118" i="12" s="1"/>
  <c r="AJ115" i="12"/>
  <c r="AI115" i="12"/>
  <c r="AI116" i="12" s="1"/>
  <c r="AG115" i="12"/>
  <c r="J115" i="12" s="1"/>
  <c r="AD115" i="12"/>
  <c r="H115" i="12" s="1"/>
  <c r="Q115" i="12" s="1"/>
  <c r="Z115" i="12"/>
  <c r="G115" i="12" s="1"/>
  <c r="V115" i="12"/>
  <c r="F115" i="12" s="1"/>
  <c r="N115" i="12"/>
  <c r="E115" i="12"/>
  <c r="AQ114" i="12"/>
  <c r="AQ115" i="12" s="1"/>
  <c r="AQ116" i="12" s="1"/>
  <c r="AQ117" i="12" s="1"/>
  <c r="AQ118" i="12" s="1"/>
  <c r="AQ119" i="12" s="1"/>
  <c r="AQ120" i="12" s="1"/>
  <c r="AQ121" i="12" s="1"/>
  <c r="AG114" i="12"/>
  <c r="J114" i="12" s="1"/>
  <c r="L114" i="12" s="1"/>
  <c r="AD114" i="12"/>
  <c r="H114" i="12" s="1"/>
  <c r="Q114" i="12" s="1"/>
  <c r="Z114" i="12"/>
  <c r="V114" i="12"/>
  <c r="F114" i="12" s="1"/>
  <c r="N114" i="12"/>
  <c r="K409" i="11" s="1"/>
  <c r="G114" i="12"/>
  <c r="P114" i="12" s="1"/>
  <c r="E114" i="12"/>
  <c r="AI113" i="12"/>
  <c r="AI114" i="12" s="1"/>
  <c r="AH113" i="12"/>
  <c r="AH114" i="12" s="1"/>
  <c r="AH115" i="12" s="1"/>
  <c r="AG113" i="12"/>
  <c r="J113" i="12" s="1"/>
  <c r="L113" i="12" s="1"/>
  <c r="AD113" i="12"/>
  <c r="H113" i="12" s="1"/>
  <c r="Z113" i="12"/>
  <c r="G113" i="12" s="1"/>
  <c r="P113" i="12" s="1"/>
  <c r="V113" i="12"/>
  <c r="Q113" i="12"/>
  <c r="N113" i="12"/>
  <c r="F113" i="12"/>
  <c r="E113" i="12"/>
  <c r="AS112" i="12"/>
  <c r="AS113" i="12" s="1"/>
  <c r="AS114" i="12" s="1"/>
  <c r="AS115" i="12" s="1"/>
  <c r="AS116" i="12" s="1"/>
  <c r="AS117" i="12" s="1"/>
  <c r="AS118" i="12" s="1"/>
  <c r="AS119" i="12" s="1"/>
  <c r="AS120" i="12" s="1"/>
  <c r="AS121" i="12" s="1"/>
  <c r="AG112" i="12"/>
  <c r="AD112" i="12"/>
  <c r="Z112" i="12"/>
  <c r="V112" i="12"/>
  <c r="F112" i="12" s="1"/>
  <c r="N112" i="12"/>
  <c r="K407" i="11" s="1"/>
  <c r="J112" i="12"/>
  <c r="L112" i="12" s="1"/>
  <c r="H112" i="12"/>
  <c r="Q112" i="12" s="1"/>
  <c r="G112" i="12"/>
  <c r="P112" i="12" s="1"/>
  <c r="E112" i="12"/>
  <c r="AJ111" i="12"/>
  <c r="AJ112" i="12" s="1"/>
  <c r="AJ113" i="12" s="1"/>
  <c r="AJ114" i="12" s="1"/>
  <c r="AI111" i="12"/>
  <c r="AI112" i="12" s="1"/>
  <c r="AH111" i="12"/>
  <c r="AH112" i="12" s="1"/>
  <c r="AG111" i="12"/>
  <c r="J111" i="12" s="1"/>
  <c r="L111" i="12" s="1"/>
  <c r="AD111" i="12"/>
  <c r="H111" i="12" s="1"/>
  <c r="Z111" i="12"/>
  <c r="G111" i="12" s="1"/>
  <c r="P111" i="12" s="1"/>
  <c r="V111" i="12"/>
  <c r="F111" i="12" s="1"/>
  <c r="I111" i="12" s="1"/>
  <c r="Q111" i="12"/>
  <c r="O111" i="12"/>
  <c r="R111" i="12" s="1"/>
  <c r="N111" i="12"/>
  <c r="K406" i="11" s="1"/>
  <c r="K390" i="11" s="1"/>
  <c r="E111" i="12"/>
  <c r="AW110" i="12"/>
  <c r="AS110" i="12"/>
  <c r="AS111" i="12" s="1"/>
  <c r="AQ110" i="12"/>
  <c r="AQ111" i="12" s="1"/>
  <c r="AQ112" i="12" s="1"/>
  <c r="AQ113" i="12" s="1"/>
  <c r="AN110" i="12"/>
  <c r="AN111" i="12" s="1"/>
  <c r="AM110" i="12"/>
  <c r="AM111" i="12" s="1"/>
  <c r="AM112" i="12" s="1"/>
  <c r="AM113" i="12" s="1"/>
  <c r="AM114" i="12" s="1"/>
  <c r="AJ110" i="12"/>
  <c r="AI110" i="12"/>
  <c r="AH110" i="12"/>
  <c r="AG110" i="12"/>
  <c r="AD110" i="12"/>
  <c r="Z110" i="12"/>
  <c r="V110" i="12"/>
  <c r="N110" i="12"/>
  <c r="J110" i="12"/>
  <c r="I110" i="12"/>
  <c r="AO110" i="12" s="1"/>
  <c r="H110" i="12"/>
  <c r="Q110" i="12" s="1"/>
  <c r="G110" i="12"/>
  <c r="P110" i="12" s="1"/>
  <c r="AV110" i="12" s="1"/>
  <c r="AV111" i="12" s="1"/>
  <c r="AV112" i="12" s="1"/>
  <c r="AV113" i="12" s="1"/>
  <c r="AV114" i="12" s="1"/>
  <c r="F110" i="12"/>
  <c r="E110" i="12"/>
  <c r="AK110" i="12" s="1"/>
  <c r="AK111" i="12" s="1"/>
  <c r="AK112" i="12" s="1"/>
  <c r="AK113" i="12" s="1"/>
  <c r="AK114" i="12" s="1"/>
  <c r="AK115" i="12" s="1"/>
  <c r="AK116" i="12" s="1"/>
  <c r="AK117" i="12" s="1"/>
  <c r="AK118" i="12" s="1"/>
  <c r="AK119" i="12" s="1"/>
  <c r="AK120" i="12" s="1"/>
  <c r="AK121" i="12" s="1"/>
  <c r="AG109" i="12"/>
  <c r="AD109" i="12"/>
  <c r="H109" i="12" s="1"/>
  <c r="Z109" i="12"/>
  <c r="G109" i="12" s="1"/>
  <c r="P109" i="12" s="1"/>
  <c r="V109" i="12"/>
  <c r="F109" i="12" s="1"/>
  <c r="Q109" i="12"/>
  <c r="N109" i="12"/>
  <c r="J109" i="12"/>
  <c r="O109" i="12" s="1"/>
  <c r="R109" i="12" s="1"/>
  <c r="I109" i="12"/>
  <c r="E109" i="12"/>
  <c r="AG108" i="12"/>
  <c r="J108" i="12" s="1"/>
  <c r="AD108" i="12"/>
  <c r="Z108" i="12"/>
  <c r="G108" i="12" s="1"/>
  <c r="P108" i="12" s="1"/>
  <c r="V108" i="12"/>
  <c r="N108" i="12"/>
  <c r="J415" i="11" s="1"/>
  <c r="L108" i="12"/>
  <c r="H108" i="12"/>
  <c r="Q108" i="12" s="1"/>
  <c r="F108" i="12"/>
  <c r="O108" i="12" s="1"/>
  <c r="E108" i="12"/>
  <c r="AG107" i="12"/>
  <c r="AD107" i="12"/>
  <c r="Z107" i="12"/>
  <c r="G107" i="12" s="1"/>
  <c r="P107" i="12" s="1"/>
  <c r="V107" i="12"/>
  <c r="Q107" i="12"/>
  <c r="N107" i="12"/>
  <c r="J414" i="11" s="1"/>
  <c r="J398" i="11" s="1"/>
  <c r="J107" i="12"/>
  <c r="L107" i="12" s="1"/>
  <c r="H107" i="12"/>
  <c r="F107" i="12"/>
  <c r="E107" i="12"/>
  <c r="AS106" i="12"/>
  <c r="AS107" i="12" s="1"/>
  <c r="AS108" i="12" s="1"/>
  <c r="AS109" i="12" s="1"/>
  <c r="AG106" i="12"/>
  <c r="J106" i="12" s="1"/>
  <c r="L106" i="12" s="1"/>
  <c r="AD106" i="12"/>
  <c r="Z106" i="12"/>
  <c r="G106" i="12" s="1"/>
  <c r="P106" i="12" s="1"/>
  <c r="V106" i="12"/>
  <c r="N106" i="12"/>
  <c r="H106" i="12"/>
  <c r="Q106" i="12" s="1"/>
  <c r="F106" i="12"/>
  <c r="O106" i="12" s="1"/>
  <c r="E106" i="12"/>
  <c r="AT105" i="12"/>
  <c r="AT106" i="12" s="1"/>
  <c r="AS105" i="12"/>
  <c r="AG105" i="12"/>
  <c r="AD105" i="12"/>
  <c r="H105" i="12" s="1"/>
  <c r="Q105" i="12" s="1"/>
  <c r="Z105" i="12"/>
  <c r="V105" i="12"/>
  <c r="N105" i="12"/>
  <c r="J105" i="12"/>
  <c r="L105" i="12" s="1"/>
  <c r="G105" i="12"/>
  <c r="P105" i="12" s="1"/>
  <c r="F105" i="12"/>
  <c r="E105" i="12"/>
  <c r="AG104" i="12"/>
  <c r="J104" i="12" s="1"/>
  <c r="L104" i="12" s="1"/>
  <c r="AD104" i="12"/>
  <c r="H104" i="12" s="1"/>
  <c r="Q104" i="12" s="1"/>
  <c r="Z104" i="12"/>
  <c r="G104" i="12" s="1"/>
  <c r="P104" i="12" s="1"/>
  <c r="V104" i="12"/>
  <c r="F104" i="12" s="1"/>
  <c r="N104" i="12"/>
  <c r="E104" i="12"/>
  <c r="AQ103" i="12"/>
  <c r="AQ104" i="12" s="1"/>
  <c r="AQ105" i="12" s="1"/>
  <c r="AQ106" i="12" s="1"/>
  <c r="AQ107" i="12" s="1"/>
  <c r="AQ108" i="12" s="1"/>
  <c r="AQ109" i="12" s="1"/>
  <c r="AG103" i="12"/>
  <c r="AD103" i="12"/>
  <c r="Z103" i="12"/>
  <c r="V103" i="12"/>
  <c r="Q103" i="12"/>
  <c r="N103" i="12"/>
  <c r="J103" i="12"/>
  <c r="L103" i="12" s="1"/>
  <c r="H103" i="12"/>
  <c r="G103" i="12"/>
  <c r="P103" i="12" s="1"/>
  <c r="F103" i="12"/>
  <c r="E103" i="12"/>
  <c r="AG102" i="12"/>
  <c r="J102" i="12" s="1"/>
  <c r="L102" i="12" s="1"/>
  <c r="AD102" i="12"/>
  <c r="H102" i="12" s="1"/>
  <c r="Z102" i="12"/>
  <c r="G102" i="12" s="1"/>
  <c r="P102" i="12" s="1"/>
  <c r="V102" i="12"/>
  <c r="F102" i="12" s="1"/>
  <c r="Q102" i="12"/>
  <c r="N102" i="12"/>
  <c r="E102" i="12"/>
  <c r="AQ101" i="12"/>
  <c r="AQ102" i="12" s="1"/>
  <c r="AJ101" i="12"/>
  <c r="AJ102" i="12" s="1"/>
  <c r="AJ103" i="12" s="1"/>
  <c r="AJ104" i="12" s="1"/>
  <c r="AJ105" i="12" s="1"/>
  <c r="AJ106" i="12" s="1"/>
  <c r="AJ107" i="12" s="1"/>
  <c r="AJ108" i="12" s="1"/>
  <c r="AJ109" i="12" s="1"/>
  <c r="AI101" i="12"/>
  <c r="AI102" i="12" s="1"/>
  <c r="AI103" i="12" s="1"/>
  <c r="AI104" i="12" s="1"/>
  <c r="AI105" i="12" s="1"/>
  <c r="AI106" i="12" s="1"/>
  <c r="AI107" i="12" s="1"/>
  <c r="AI108" i="12" s="1"/>
  <c r="AI109" i="12" s="1"/>
  <c r="AG101" i="12"/>
  <c r="AD101" i="12"/>
  <c r="Z101" i="12"/>
  <c r="V101" i="12"/>
  <c r="N101" i="12"/>
  <c r="L101" i="12"/>
  <c r="J101" i="12"/>
  <c r="H101" i="12"/>
  <c r="Q101" i="12" s="1"/>
  <c r="G101" i="12"/>
  <c r="P101" i="12" s="1"/>
  <c r="F101" i="12"/>
  <c r="E101" i="12"/>
  <c r="AT100" i="12"/>
  <c r="AT101" i="12" s="1"/>
  <c r="AT102" i="12" s="1"/>
  <c r="AT103" i="12" s="1"/>
  <c r="AT104" i="12" s="1"/>
  <c r="AQ100" i="12"/>
  <c r="AI100" i="12"/>
  <c r="AG100" i="12"/>
  <c r="J100" i="12" s="1"/>
  <c r="L100" i="12" s="1"/>
  <c r="AD100" i="12"/>
  <c r="Z100" i="12"/>
  <c r="G100" i="12" s="1"/>
  <c r="V100" i="12"/>
  <c r="F100" i="12" s="1"/>
  <c r="P100" i="12"/>
  <c r="N100" i="12"/>
  <c r="H100" i="12"/>
  <c r="Q100" i="12" s="1"/>
  <c r="E100" i="12"/>
  <c r="AQ99" i="12"/>
  <c r="AK99" i="12"/>
  <c r="AK100" i="12" s="1"/>
  <c r="AK101" i="12" s="1"/>
  <c r="AK102" i="12" s="1"/>
  <c r="AK103" i="12" s="1"/>
  <c r="AK104" i="12" s="1"/>
  <c r="AK105" i="12" s="1"/>
  <c r="AK106" i="12" s="1"/>
  <c r="AK107" i="12" s="1"/>
  <c r="AK108" i="12" s="1"/>
  <c r="AK109" i="12" s="1"/>
  <c r="AJ99" i="12"/>
  <c r="AJ100" i="12" s="1"/>
  <c r="AH99" i="12"/>
  <c r="AH100" i="12" s="1"/>
  <c r="AH101" i="12" s="1"/>
  <c r="AH102" i="12" s="1"/>
  <c r="AH103" i="12" s="1"/>
  <c r="AH104" i="12" s="1"/>
  <c r="AH105" i="12" s="1"/>
  <c r="AH106" i="12" s="1"/>
  <c r="AH107" i="12" s="1"/>
  <c r="AH108" i="12" s="1"/>
  <c r="AH109" i="12" s="1"/>
  <c r="AG99" i="12"/>
  <c r="J99" i="12" s="1"/>
  <c r="L99" i="12" s="1"/>
  <c r="AR99" i="12" s="1"/>
  <c r="AD99" i="12"/>
  <c r="H99" i="12" s="1"/>
  <c r="Q99" i="12" s="1"/>
  <c r="Z99" i="12"/>
  <c r="G99" i="12" s="1"/>
  <c r="P99" i="12" s="1"/>
  <c r="V99" i="12"/>
  <c r="N99" i="12"/>
  <c r="F99" i="12"/>
  <c r="E99" i="12"/>
  <c r="AT98" i="12"/>
  <c r="AT99" i="12" s="1"/>
  <c r="AS98" i="12"/>
  <c r="AS99" i="12" s="1"/>
  <c r="AS100" i="12" s="1"/>
  <c r="AS101" i="12" s="1"/>
  <c r="AS102" i="12" s="1"/>
  <c r="AS103" i="12" s="1"/>
  <c r="AS104" i="12" s="1"/>
  <c r="AR98" i="12"/>
  <c r="AQ98" i="12"/>
  <c r="AP98" i="12"/>
  <c r="AM98" i="12"/>
  <c r="AM99" i="12" s="1"/>
  <c r="AM100" i="12" s="1"/>
  <c r="AM101" i="12" s="1"/>
  <c r="AM102" i="12" s="1"/>
  <c r="AM103" i="12" s="1"/>
  <c r="AM104" i="12" s="1"/>
  <c r="AM105" i="12" s="1"/>
  <c r="AM106" i="12" s="1"/>
  <c r="AM107" i="12" s="1"/>
  <c r="AL98" i="12"/>
  <c r="AL99" i="12" s="1"/>
  <c r="AL100" i="12" s="1"/>
  <c r="AL101" i="12" s="1"/>
  <c r="AL102" i="12" s="1"/>
  <c r="AL103" i="12" s="1"/>
  <c r="AL104" i="12" s="1"/>
  <c r="AL105" i="12" s="1"/>
  <c r="AL106" i="12" s="1"/>
  <c r="AK98" i="12"/>
  <c r="AJ98" i="12"/>
  <c r="AI98" i="12"/>
  <c r="AI99" i="12" s="1"/>
  <c r="AH98" i="12"/>
  <c r="AG98" i="12"/>
  <c r="AD98" i="12"/>
  <c r="Z98" i="12"/>
  <c r="V98" i="12"/>
  <c r="F98" i="12" s="1"/>
  <c r="I98" i="12" s="1"/>
  <c r="AO98" i="12" s="1"/>
  <c r="P98" i="12"/>
  <c r="AV98" i="12" s="1"/>
  <c r="N98" i="12"/>
  <c r="J98" i="12"/>
  <c r="L98" i="12" s="1"/>
  <c r="H98" i="12"/>
  <c r="G98" i="12"/>
  <c r="E98" i="12"/>
  <c r="AG97" i="12"/>
  <c r="J97" i="12" s="1"/>
  <c r="L97" i="12" s="1"/>
  <c r="AD97" i="12"/>
  <c r="H97" i="12" s="1"/>
  <c r="Z97" i="12"/>
  <c r="G97" i="12" s="1"/>
  <c r="V97" i="12"/>
  <c r="Q97" i="12"/>
  <c r="P97" i="12"/>
  <c r="N97" i="12"/>
  <c r="F97" i="12"/>
  <c r="E97" i="12"/>
  <c r="AG96" i="12"/>
  <c r="AD96" i="12"/>
  <c r="Z96" i="12"/>
  <c r="G96" i="12" s="1"/>
  <c r="P96" i="12" s="1"/>
  <c r="V96" i="12"/>
  <c r="Q96" i="12"/>
  <c r="N96" i="12"/>
  <c r="I415" i="11" s="1"/>
  <c r="L96" i="12"/>
  <c r="J96" i="12"/>
  <c r="H96" i="12"/>
  <c r="F96" i="12"/>
  <c r="E96" i="12"/>
  <c r="AG95" i="12"/>
  <c r="J95" i="12" s="1"/>
  <c r="L95" i="12" s="1"/>
  <c r="AD95" i="12"/>
  <c r="Z95" i="12"/>
  <c r="G95" i="12" s="1"/>
  <c r="P95" i="12" s="1"/>
  <c r="V95" i="12"/>
  <c r="F95" i="12" s="1"/>
  <c r="O95" i="12" s="1"/>
  <c r="R95" i="12" s="1"/>
  <c r="Q95" i="12"/>
  <c r="N95" i="12"/>
  <c r="H95" i="12"/>
  <c r="E95" i="12"/>
  <c r="AG94" i="12"/>
  <c r="AD94" i="12"/>
  <c r="Z94" i="12"/>
  <c r="V94" i="12"/>
  <c r="N94" i="12"/>
  <c r="I413" i="11" s="1"/>
  <c r="I397" i="11" s="1"/>
  <c r="L94" i="12"/>
  <c r="J94" i="12"/>
  <c r="H94" i="12"/>
  <c r="Q94" i="12" s="1"/>
  <c r="G94" i="12"/>
  <c r="P94" i="12" s="1"/>
  <c r="F94" i="12"/>
  <c r="E94" i="12"/>
  <c r="AG93" i="12"/>
  <c r="AD93" i="12"/>
  <c r="Z93" i="12"/>
  <c r="G93" i="12" s="1"/>
  <c r="V93" i="12"/>
  <c r="F93" i="12" s="1"/>
  <c r="O93" i="12" s="1"/>
  <c r="R93" i="12" s="1"/>
  <c r="P93" i="12"/>
  <c r="N93" i="12"/>
  <c r="I412" i="11" s="1"/>
  <c r="I396" i="11" s="1"/>
  <c r="L93" i="12"/>
  <c r="J93" i="12"/>
  <c r="H93" i="12"/>
  <c r="Q93" i="12" s="1"/>
  <c r="E93" i="12"/>
  <c r="AG92" i="12"/>
  <c r="J92" i="12" s="1"/>
  <c r="L92" i="12" s="1"/>
  <c r="AD92" i="12"/>
  <c r="H92" i="12" s="1"/>
  <c r="Q92" i="12" s="1"/>
  <c r="Z92" i="12"/>
  <c r="G92" i="12" s="1"/>
  <c r="V92" i="12"/>
  <c r="N92" i="12"/>
  <c r="F92" i="12"/>
  <c r="E92" i="12"/>
  <c r="AG91" i="12"/>
  <c r="AD91" i="12"/>
  <c r="Z91" i="12"/>
  <c r="G91" i="12" s="1"/>
  <c r="V91" i="12"/>
  <c r="F91" i="12" s="1"/>
  <c r="P91" i="12"/>
  <c r="N91" i="12"/>
  <c r="I410" i="11" s="1"/>
  <c r="L91" i="12"/>
  <c r="J91" i="12"/>
  <c r="H91" i="12"/>
  <c r="Q91" i="12" s="1"/>
  <c r="E91" i="12"/>
  <c r="AI90" i="12"/>
  <c r="AI91" i="12" s="1"/>
  <c r="AI92" i="12" s="1"/>
  <c r="AI93" i="12" s="1"/>
  <c r="AI94" i="12" s="1"/>
  <c r="AI95" i="12" s="1"/>
  <c r="AI96" i="12" s="1"/>
  <c r="AI97" i="12" s="1"/>
  <c r="AH90" i="12"/>
  <c r="AH91" i="12" s="1"/>
  <c r="AH92" i="12" s="1"/>
  <c r="AH93" i="12" s="1"/>
  <c r="AH94" i="12" s="1"/>
  <c r="AH95" i="12" s="1"/>
  <c r="AH96" i="12" s="1"/>
  <c r="AH97" i="12" s="1"/>
  <c r="AG90" i="12"/>
  <c r="J90" i="12" s="1"/>
  <c r="L90" i="12" s="1"/>
  <c r="AD90" i="12"/>
  <c r="Z90" i="12"/>
  <c r="V90" i="12"/>
  <c r="P90" i="12"/>
  <c r="N90" i="12"/>
  <c r="H90" i="12"/>
  <c r="Q90" i="12" s="1"/>
  <c r="G90" i="12"/>
  <c r="F90" i="12"/>
  <c r="E90" i="12"/>
  <c r="AS89" i="12"/>
  <c r="AS90" i="12" s="1"/>
  <c r="AS91" i="12" s="1"/>
  <c r="AS92" i="12" s="1"/>
  <c r="AS93" i="12" s="1"/>
  <c r="AS94" i="12" s="1"/>
  <c r="AS95" i="12" s="1"/>
  <c r="AS96" i="12" s="1"/>
  <c r="AS97" i="12" s="1"/>
  <c r="AH89" i="12"/>
  <c r="AG89" i="12"/>
  <c r="J89" i="12" s="1"/>
  <c r="L89" i="12" s="1"/>
  <c r="AD89" i="12"/>
  <c r="H89" i="12" s="1"/>
  <c r="Z89" i="12"/>
  <c r="G89" i="12" s="1"/>
  <c r="P89" i="12" s="1"/>
  <c r="V89" i="12"/>
  <c r="F89" i="12" s="1"/>
  <c r="I89" i="12" s="1"/>
  <c r="Q89" i="12"/>
  <c r="N89" i="12"/>
  <c r="E89" i="12"/>
  <c r="AS88" i="12"/>
  <c r="AJ88" i="12"/>
  <c r="AJ89" i="12" s="1"/>
  <c r="AJ90" i="12" s="1"/>
  <c r="AJ91" i="12" s="1"/>
  <c r="AJ92" i="12" s="1"/>
  <c r="AJ93" i="12" s="1"/>
  <c r="AJ94" i="12" s="1"/>
  <c r="AJ95" i="12" s="1"/>
  <c r="AJ96" i="12" s="1"/>
  <c r="AJ97" i="12" s="1"/>
  <c r="AG88" i="12"/>
  <c r="AD88" i="12"/>
  <c r="Z88" i="12"/>
  <c r="V88" i="12"/>
  <c r="P88" i="12"/>
  <c r="O88" i="12"/>
  <c r="R88" i="12" s="1"/>
  <c r="N88" i="12"/>
  <c r="J88" i="12"/>
  <c r="L88" i="12" s="1"/>
  <c r="H88" i="12"/>
  <c r="Q88" i="12" s="1"/>
  <c r="G88" i="12"/>
  <c r="F88" i="12"/>
  <c r="I88" i="12" s="1"/>
  <c r="E88" i="12"/>
  <c r="AJ87" i="12"/>
  <c r="AI87" i="12"/>
  <c r="AI88" i="12" s="1"/>
  <c r="AI89" i="12" s="1"/>
  <c r="AH87" i="12"/>
  <c r="AH88" i="12" s="1"/>
  <c r="AG87" i="12"/>
  <c r="J87" i="12" s="1"/>
  <c r="L87" i="12" s="1"/>
  <c r="AD87" i="12"/>
  <c r="H87" i="12" s="1"/>
  <c r="Z87" i="12"/>
  <c r="G87" i="12" s="1"/>
  <c r="V87" i="12"/>
  <c r="F87" i="12" s="1"/>
  <c r="I87" i="12" s="1"/>
  <c r="Q87" i="12"/>
  <c r="P87" i="12"/>
  <c r="O87" i="12"/>
  <c r="N87" i="12"/>
  <c r="I406" i="11" s="1"/>
  <c r="E87" i="12"/>
  <c r="AS86" i="12"/>
  <c r="AS87" i="12" s="1"/>
  <c r="AR86" i="12"/>
  <c r="AQ86" i="12"/>
  <c r="AQ87" i="12" s="1"/>
  <c r="AQ88" i="12" s="1"/>
  <c r="AQ89" i="12" s="1"/>
  <c r="AQ90" i="12" s="1"/>
  <c r="AQ91" i="12" s="1"/>
  <c r="AQ92" i="12" s="1"/>
  <c r="AQ93" i="12" s="1"/>
  <c r="AQ94" i="12" s="1"/>
  <c r="AQ95" i="12" s="1"/>
  <c r="AQ96" i="12" s="1"/>
  <c r="AQ97" i="12" s="1"/>
  <c r="AP86" i="12"/>
  <c r="AP87" i="12" s="1"/>
  <c r="AN86" i="12"/>
  <c r="AN87" i="12" s="1"/>
  <c r="AN88" i="12" s="1"/>
  <c r="AN89" i="12" s="1"/>
  <c r="AN90" i="12" s="1"/>
  <c r="AL86" i="12"/>
  <c r="AL87" i="12" s="1"/>
  <c r="AL88" i="12" s="1"/>
  <c r="AJ86" i="12"/>
  <c r="AI86" i="12"/>
  <c r="AH86" i="12"/>
  <c r="AG86" i="12"/>
  <c r="AD86" i="12"/>
  <c r="Z86" i="12"/>
  <c r="V86" i="12"/>
  <c r="N86" i="12"/>
  <c r="AT86" i="12" s="1"/>
  <c r="L86" i="12"/>
  <c r="J86" i="12"/>
  <c r="H86" i="12"/>
  <c r="Q86" i="12" s="1"/>
  <c r="AW86" i="12" s="1"/>
  <c r="AW87" i="12" s="1"/>
  <c r="AW88" i="12" s="1"/>
  <c r="G86" i="12"/>
  <c r="P86" i="12" s="1"/>
  <c r="AV86" i="12" s="1"/>
  <c r="AV87" i="12" s="1"/>
  <c r="AV88" i="12" s="1"/>
  <c r="F86" i="12"/>
  <c r="E86" i="12"/>
  <c r="AK86" i="12" s="1"/>
  <c r="AK87" i="12" s="1"/>
  <c r="AK88" i="12" s="1"/>
  <c r="AK89" i="12" s="1"/>
  <c r="AK90" i="12" s="1"/>
  <c r="AK91" i="12" s="1"/>
  <c r="AK92" i="12" s="1"/>
  <c r="AK93" i="12" s="1"/>
  <c r="AK94" i="12" s="1"/>
  <c r="AK95" i="12" s="1"/>
  <c r="AK96" i="12" s="1"/>
  <c r="AK97" i="12" s="1"/>
  <c r="AG85" i="12"/>
  <c r="J85" i="12" s="1"/>
  <c r="L85" i="12" s="1"/>
  <c r="AD85" i="12"/>
  <c r="H85" i="12" s="1"/>
  <c r="Q85" i="12" s="1"/>
  <c r="Z85" i="12"/>
  <c r="G85" i="12" s="1"/>
  <c r="P85" i="12" s="1"/>
  <c r="V85" i="12"/>
  <c r="F85" i="12" s="1"/>
  <c r="N85" i="12"/>
  <c r="E85" i="12"/>
  <c r="AK84" i="12"/>
  <c r="AK85" i="12" s="1"/>
  <c r="AG84" i="12"/>
  <c r="AD84" i="12"/>
  <c r="Z84" i="12"/>
  <c r="V84" i="12"/>
  <c r="R84" i="12"/>
  <c r="Q84" i="12"/>
  <c r="N84" i="12"/>
  <c r="L84" i="12"/>
  <c r="J84" i="12"/>
  <c r="H84" i="12"/>
  <c r="G84" i="12"/>
  <c r="P84" i="12" s="1"/>
  <c r="F84" i="12"/>
  <c r="O84" i="12" s="1"/>
  <c r="E84" i="12"/>
  <c r="AG83" i="12"/>
  <c r="J83" i="12" s="1"/>
  <c r="L83" i="12" s="1"/>
  <c r="AD83" i="12"/>
  <c r="H83" i="12" s="1"/>
  <c r="Q83" i="12" s="1"/>
  <c r="Z83" i="12"/>
  <c r="G83" i="12" s="1"/>
  <c r="P83" i="12" s="1"/>
  <c r="V83" i="12"/>
  <c r="F83" i="12" s="1"/>
  <c r="N83" i="12"/>
  <c r="E83" i="12"/>
  <c r="AK82" i="12"/>
  <c r="AK83" i="12" s="1"/>
  <c r="AG82" i="12"/>
  <c r="AD82" i="12"/>
  <c r="Z82" i="12"/>
  <c r="V82" i="12"/>
  <c r="Q82" i="12"/>
  <c r="R82" i="12" s="1"/>
  <c r="O82" i="12"/>
  <c r="N82" i="12"/>
  <c r="L82" i="12"/>
  <c r="J82" i="12"/>
  <c r="H82" i="12"/>
  <c r="G82" i="12"/>
  <c r="P82" i="12" s="1"/>
  <c r="F82" i="12"/>
  <c r="I82" i="12" s="1"/>
  <c r="E82" i="12"/>
  <c r="AG81" i="12"/>
  <c r="J81" i="12" s="1"/>
  <c r="L81" i="12" s="1"/>
  <c r="AD81" i="12"/>
  <c r="H81" i="12" s="1"/>
  <c r="Q81" i="12" s="1"/>
  <c r="Z81" i="12"/>
  <c r="G81" i="12" s="1"/>
  <c r="P81" i="12" s="1"/>
  <c r="V81" i="12"/>
  <c r="F81" i="12" s="1"/>
  <c r="N81" i="12"/>
  <c r="E81" i="12"/>
  <c r="AG80" i="12"/>
  <c r="AD80" i="12"/>
  <c r="Z80" i="12"/>
  <c r="V80" i="12"/>
  <c r="R80" i="12"/>
  <c r="Q80" i="12"/>
  <c r="O80" i="12"/>
  <c r="N80" i="12"/>
  <c r="H411" i="11" s="1"/>
  <c r="H395" i="11" s="1"/>
  <c r="L80" i="12"/>
  <c r="J80" i="12"/>
  <c r="H80" i="12"/>
  <c r="I80" i="12" s="1"/>
  <c r="G80" i="12"/>
  <c r="P80" i="12" s="1"/>
  <c r="F80" i="12"/>
  <c r="E80" i="12"/>
  <c r="AG79" i="12"/>
  <c r="J79" i="12" s="1"/>
  <c r="L79" i="12" s="1"/>
  <c r="AD79" i="12"/>
  <c r="H79" i="12" s="1"/>
  <c r="Q79" i="12" s="1"/>
  <c r="Z79" i="12"/>
  <c r="G79" i="12" s="1"/>
  <c r="V79" i="12"/>
  <c r="F79" i="12" s="1"/>
  <c r="P79" i="12"/>
  <c r="N79" i="12"/>
  <c r="E79" i="12"/>
  <c r="AG78" i="12"/>
  <c r="AD78" i="12"/>
  <c r="Z78" i="12"/>
  <c r="V78" i="12"/>
  <c r="Q78" i="12"/>
  <c r="N78" i="12"/>
  <c r="O78" i="12" s="1"/>
  <c r="R78" i="12" s="1"/>
  <c r="L78" i="12"/>
  <c r="J78" i="12"/>
  <c r="H78" i="12"/>
  <c r="G78" i="12"/>
  <c r="P78" i="12" s="1"/>
  <c r="F78" i="12"/>
  <c r="I78" i="12" s="1"/>
  <c r="E78" i="12"/>
  <c r="AJ77" i="12"/>
  <c r="AJ78" i="12" s="1"/>
  <c r="AJ79" i="12" s="1"/>
  <c r="AJ80" i="12" s="1"/>
  <c r="AJ81" i="12" s="1"/>
  <c r="AJ82" i="12" s="1"/>
  <c r="AJ83" i="12" s="1"/>
  <c r="AJ84" i="12" s="1"/>
  <c r="AJ85" i="12" s="1"/>
  <c r="AG77" i="12"/>
  <c r="J77" i="12" s="1"/>
  <c r="L77" i="12" s="1"/>
  <c r="AD77" i="12"/>
  <c r="H77" i="12" s="1"/>
  <c r="Q77" i="12" s="1"/>
  <c r="Z77" i="12"/>
  <c r="G77" i="12" s="1"/>
  <c r="P77" i="12" s="1"/>
  <c r="V77" i="12"/>
  <c r="F77" i="12" s="1"/>
  <c r="N77" i="12"/>
  <c r="E77" i="12"/>
  <c r="AG76" i="12"/>
  <c r="AD76" i="12"/>
  <c r="Z76" i="12"/>
  <c r="V76" i="12"/>
  <c r="Q76" i="12"/>
  <c r="N76" i="12"/>
  <c r="H407" i="11" s="1"/>
  <c r="H391" i="11" s="1"/>
  <c r="L76" i="12"/>
  <c r="J76" i="12"/>
  <c r="H76" i="12"/>
  <c r="G76" i="12"/>
  <c r="P76" i="12" s="1"/>
  <c r="F76" i="12"/>
  <c r="I76" i="12" s="1"/>
  <c r="E76" i="12"/>
  <c r="AN75" i="12"/>
  <c r="AN76" i="12" s="1"/>
  <c r="AN77" i="12" s="1"/>
  <c r="AN78" i="12" s="1"/>
  <c r="AN79" i="12" s="1"/>
  <c r="AN80" i="12" s="1"/>
  <c r="AN81" i="12" s="1"/>
  <c r="AN82" i="12" s="1"/>
  <c r="AN83" i="12" s="1"/>
  <c r="AN84" i="12" s="1"/>
  <c r="AN85" i="12" s="1"/>
  <c r="AJ75" i="12"/>
  <c r="AJ76" i="12" s="1"/>
  <c r="AH75" i="12"/>
  <c r="AH76" i="12" s="1"/>
  <c r="AH77" i="12" s="1"/>
  <c r="AH78" i="12" s="1"/>
  <c r="AH79" i="12" s="1"/>
  <c r="AH80" i="12" s="1"/>
  <c r="AH81" i="12" s="1"/>
  <c r="AH82" i="12" s="1"/>
  <c r="AH83" i="12" s="1"/>
  <c r="AH84" i="12" s="1"/>
  <c r="AH85" i="12" s="1"/>
  <c r="AG75" i="12"/>
  <c r="J75" i="12" s="1"/>
  <c r="L75" i="12" s="1"/>
  <c r="AD75" i="12"/>
  <c r="H75" i="12" s="1"/>
  <c r="Z75" i="12"/>
  <c r="G75" i="12" s="1"/>
  <c r="V75" i="12"/>
  <c r="F75" i="12" s="1"/>
  <c r="I75" i="12" s="1"/>
  <c r="Q75" i="12"/>
  <c r="P75" i="12"/>
  <c r="O75" i="12"/>
  <c r="R75" i="12" s="1"/>
  <c r="N75" i="12"/>
  <c r="E75" i="12"/>
  <c r="AS74" i="12"/>
  <c r="AS75" i="12" s="1"/>
  <c r="AS76" i="12" s="1"/>
  <c r="AS77" i="12" s="1"/>
  <c r="AS78" i="12" s="1"/>
  <c r="AS79" i="12" s="1"/>
  <c r="AS80" i="12" s="1"/>
  <c r="AS81" i="12" s="1"/>
  <c r="AS82" i="12" s="1"/>
  <c r="AS83" i="12" s="1"/>
  <c r="AS84" i="12" s="1"/>
  <c r="AS85" i="12" s="1"/>
  <c r="AR74" i="12"/>
  <c r="AQ74" i="12"/>
  <c r="AQ75" i="12" s="1"/>
  <c r="AQ76" i="12" s="1"/>
  <c r="AQ77" i="12" s="1"/>
  <c r="AQ78" i="12" s="1"/>
  <c r="AQ79" i="12" s="1"/>
  <c r="AQ80" i="12" s="1"/>
  <c r="AQ81" i="12" s="1"/>
  <c r="AQ82" i="12" s="1"/>
  <c r="AQ83" i="12" s="1"/>
  <c r="AQ84" i="12" s="1"/>
  <c r="AQ85" i="12" s="1"/>
  <c r="AP74" i="12"/>
  <c r="AN74" i="12"/>
  <c r="AM74" i="12"/>
  <c r="AM75" i="12" s="1"/>
  <c r="AM76" i="12" s="1"/>
  <c r="AK74" i="12"/>
  <c r="AK75" i="12" s="1"/>
  <c r="AK76" i="12" s="1"/>
  <c r="AK77" i="12" s="1"/>
  <c r="AK78" i="12" s="1"/>
  <c r="AK79" i="12" s="1"/>
  <c r="AK80" i="12" s="1"/>
  <c r="AK81" i="12" s="1"/>
  <c r="AJ74" i="12"/>
  <c r="AI74" i="12"/>
  <c r="AI75" i="12" s="1"/>
  <c r="AI76" i="12" s="1"/>
  <c r="AI77" i="12" s="1"/>
  <c r="AI78" i="12" s="1"/>
  <c r="AI79" i="12" s="1"/>
  <c r="AI80" i="12" s="1"/>
  <c r="AI81" i="12" s="1"/>
  <c r="AI82" i="12" s="1"/>
  <c r="AI83" i="12" s="1"/>
  <c r="AI84" i="12" s="1"/>
  <c r="AI85" i="12" s="1"/>
  <c r="AH74" i="12"/>
  <c r="AG74" i="12"/>
  <c r="AD74" i="12"/>
  <c r="Z74" i="12"/>
  <c r="V74" i="12"/>
  <c r="Q74" i="12"/>
  <c r="AW74" i="12" s="1"/>
  <c r="N74" i="12"/>
  <c r="L74" i="12"/>
  <c r="J74" i="12"/>
  <c r="H74" i="12"/>
  <c r="G74" i="12"/>
  <c r="P74" i="12" s="1"/>
  <c r="AV74" i="12" s="1"/>
  <c r="AV75" i="12" s="1"/>
  <c r="AV76" i="12" s="1"/>
  <c r="F74" i="12"/>
  <c r="O74" i="12" s="1"/>
  <c r="E74" i="12"/>
  <c r="AG73" i="12"/>
  <c r="J73" i="12" s="1"/>
  <c r="L73" i="12" s="1"/>
  <c r="AD73" i="12"/>
  <c r="H73" i="12" s="1"/>
  <c r="Q73" i="12" s="1"/>
  <c r="Z73" i="12"/>
  <c r="G73" i="12" s="1"/>
  <c r="P73" i="12" s="1"/>
  <c r="V73" i="12"/>
  <c r="F73" i="12" s="1"/>
  <c r="N73" i="12"/>
  <c r="E73" i="12"/>
  <c r="AG72" i="12"/>
  <c r="AD72" i="12"/>
  <c r="Z72" i="12"/>
  <c r="V72" i="12"/>
  <c r="Q72" i="12"/>
  <c r="R72" i="12" s="1"/>
  <c r="O72" i="12"/>
  <c r="N72" i="12"/>
  <c r="G415" i="11" s="1"/>
  <c r="L72" i="12"/>
  <c r="J72" i="12"/>
  <c r="H72" i="12"/>
  <c r="G72" i="12"/>
  <c r="P72" i="12" s="1"/>
  <c r="F72" i="12"/>
  <c r="I72" i="12" s="1"/>
  <c r="E72" i="12"/>
  <c r="AJ71" i="12"/>
  <c r="AJ72" i="12" s="1"/>
  <c r="AJ73" i="12" s="1"/>
  <c r="AG71" i="12"/>
  <c r="J71" i="12" s="1"/>
  <c r="L71" i="12" s="1"/>
  <c r="AD71" i="12"/>
  <c r="H71" i="12" s="1"/>
  <c r="Z71" i="12"/>
  <c r="G71" i="12" s="1"/>
  <c r="P71" i="12" s="1"/>
  <c r="V71" i="12"/>
  <c r="F71" i="12" s="1"/>
  <c r="Q71" i="12"/>
  <c r="N71" i="12"/>
  <c r="E71" i="12"/>
  <c r="AG70" i="12"/>
  <c r="AD70" i="12"/>
  <c r="Z70" i="12"/>
  <c r="V70" i="12"/>
  <c r="Q70" i="12"/>
  <c r="O70" i="12"/>
  <c r="R70" i="12" s="1"/>
  <c r="N70" i="12"/>
  <c r="L70" i="12"/>
  <c r="J70" i="12"/>
  <c r="H70" i="12"/>
  <c r="I70" i="12" s="1"/>
  <c r="G70" i="12"/>
  <c r="P70" i="12" s="1"/>
  <c r="F70" i="12"/>
  <c r="E70" i="12"/>
  <c r="AK69" i="12"/>
  <c r="AK70" i="12" s="1"/>
  <c r="AK71" i="12" s="1"/>
  <c r="AK72" i="12" s="1"/>
  <c r="AK73" i="12" s="1"/>
  <c r="AJ69" i="12"/>
  <c r="AJ70" i="12" s="1"/>
  <c r="AG69" i="12"/>
  <c r="J69" i="12" s="1"/>
  <c r="L69" i="12" s="1"/>
  <c r="AD69" i="12"/>
  <c r="H69" i="12" s="1"/>
  <c r="Q69" i="12" s="1"/>
  <c r="Z69" i="12"/>
  <c r="G69" i="12" s="1"/>
  <c r="P69" i="12" s="1"/>
  <c r="V69" i="12"/>
  <c r="F69" i="12" s="1"/>
  <c r="N69" i="12"/>
  <c r="E69" i="12"/>
  <c r="AG68" i="12"/>
  <c r="AD68" i="12"/>
  <c r="Z68" i="12"/>
  <c r="V68" i="12"/>
  <c r="Q68" i="12"/>
  <c r="N68" i="12"/>
  <c r="L68" i="12"/>
  <c r="J68" i="12"/>
  <c r="H68" i="12"/>
  <c r="G68" i="12"/>
  <c r="P68" i="12" s="1"/>
  <c r="F68" i="12"/>
  <c r="I68" i="12" s="1"/>
  <c r="E68" i="12"/>
  <c r="AJ67" i="12"/>
  <c r="AJ68" i="12" s="1"/>
  <c r="AG67" i="12"/>
  <c r="J67" i="12" s="1"/>
  <c r="L67" i="12" s="1"/>
  <c r="AD67" i="12"/>
  <c r="H67" i="12" s="1"/>
  <c r="Z67" i="12"/>
  <c r="G67" i="12" s="1"/>
  <c r="P67" i="12" s="1"/>
  <c r="V67" i="12"/>
  <c r="F67" i="12" s="1"/>
  <c r="I67" i="12" s="1"/>
  <c r="Q67" i="12"/>
  <c r="O67" i="12"/>
  <c r="N67" i="12"/>
  <c r="E67" i="12"/>
  <c r="AN66" i="12"/>
  <c r="AN67" i="12" s="1"/>
  <c r="AN68" i="12" s="1"/>
  <c r="AN69" i="12" s="1"/>
  <c r="AN70" i="12" s="1"/>
  <c r="AN71" i="12" s="1"/>
  <c r="AN72" i="12" s="1"/>
  <c r="AN73" i="12" s="1"/>
  <c r="AG66" i="12"/>
  <c r="AD66" i="12"/>
  <c r="Z66" i="12"/>
  <c r="V66" i="12"/>
  <c r="Q66" i="12"/>
  <c r="O66" i="12"/>
  <c r="R66" i="12" s="1"/>
  <c r="N66" i="12"/>
  <c r="G409" i="11" s="1"/>
  <c r="L66" i="12"/>
  <c r="J66" i="12"/>
  <c r="H66" i="12"/>
  <c r="G66" i="12"/>
  <c r="P66" i="12" s="1"/>
  <c r="F66" i="12"/>
  <c r="I66" i="12" s="1"/>
  <c r="E66" i="12"/>
  <c r="AN65" i="12"/>
  <c r="AG65" i="12"/>
  <c r="J65" i="12" s="1"/>
  <c r="L65" i="12" s="1"/>
  <c r="AD65" i="12"/>
  <c r="H65" i="12" s="1"/>
  <c r="Z65" i="12"/>
  <c r="G65" i="12" s="1"/>
  <c r="P65" i="12" s="1"/>
  <c r="V65" i="12"/>
  <c r="F65" i="12" s="1"/>
  <c r="Q65" i="12"/>
  <c r="N65" i="12"/>
  <c r="E65" i="12"/>
  <c r="AG64" i="12"/>
  <c r="AD64" i="12"/>
  <c r="Z64" i="12"/>
  <c r="V64" i="12"/>
  <c r="R64" i="12"/>
  <c r="Q64" i="12"/>
  <c r="O64" i="12"/>
  <c r="N64" i="12"/>
  <c r="L64" i="12"/>
  <c r="J64" i="12"/>
  <c r="I64" i="12"/>
  <c r="H64" i="12"/>
  <c r="G64" i="12"/>
  <c r="P64" i="12" s="1"/>
  <c r="F64" i="12"/>
  <c r="E64" i="12"/>
  <c r="AJ63" i="12"/>
  <c r="AJ64" i="12" s="1"/>
  <c r="AJ65" i="12" s="1"/>
  <c r="AJ66" i="12" s="1"/>
  <c r="AH63" i="12"/>
  <c r="AH64" i="12" s="1"/>
  <c r="AH65" i="12" s="1"/>
  <c r="AH66" i="12" s="1"/>
  <c r="AH67" i="12" s="1"/>
  <c r="AH68" i="12" s="1"/>
  <c r="AH69" i="12" s="1"/>
  <c r="AH70" i="12" s="1"/>
  <c r="AH71" i="12" s="1"/>
  <c r="AH72" i="12" s="1"/>
  <c r="AH73" i="12" s="1"/>
  <c r="AG63" i="12"/>
  <c r="J63" i="12" s="1"/>
  <c r="L63" i="12" s="1"/>
  <c r="AD63" i="12"/>
  <c r="H63" i="12" s="1"/>
  <c r="Q63" i="12" s="1"/>
  <c r="Z63" i="12"/>
  <c r="G63" i="12" s="1"/>
  <c r="V63" i="12"/>
  <c r="F63" i="12" s="1"/>
  <c r="I63" i="12" s="1"/>
  <c r="P63" i="12"/>
  <c r="O63" i="12"/>
  <c r="N63" i="12"/>
  <c r="E63" i="12"/>
  <c r="AS62" i="12"/>
  <c r="AS63" i="12" s="1"/>
  <c r="AS64" i="12" s="1"/>
  <c r="AS65" i="12" s="1"/>
  <c r="AS66" i="12" s="1"/>
  <c r="AS67" i="12" s="1"/>
  <c r="AS68" i="12" s="1"/>
  <c r="AS69" i="12" s="1"/>
  <c r="AS70" i="12" s="1"/>
  <c r="AS71" i="12" s="1"/>
  <c r="AS72" i="12" s="1"/>
  <c r="AS73" i="12" s="1"/>
  <c r="AR62" i="12"/>
  <c r="AQ62" i="12"/>
  <c r="AQ63" i="12" s="1"/>
  <c r="AQ64" i="12" s="1"/>
  <c r="AQ65" i="12" s="1"/>
  <c r="AQ66" i="12" s="1"/>
  <c r="AQ67" i="12" s="1"/>
  <c r="AQ68" i="12" s="1"/>
  <c r="AQ69" i="12" s="1"/>
  <c r="AQ70" i="12" s="1"/>
  <c r="AQ71" i="12" s="1"/>
  <c r="AQ72" i="12" s="1"/>
  <c r="AQ73" i="12" s="1"/>
  <c r="AP62" i="12"/>
  <c r="AO62" i="12"/>
  <c r="AN62" i="12"/>
  <c r="AN63" i="12" s="1"/>
  <c r="AN64" i="12" s="1"/>
  <c r="AM62" i="12"/>
  <c r="AM63" i="12" s="1"/>
  <c r="AM64" i="12" s="1"/>
  <c r="AL62" i="12"/>
  <c r="AL63" i="12" s="1"/>
  <c r="AL64" i="12" s="1"/>
  <c r="AJ62" i="12"/>
  <c r="AI62" i="12"/>
  <c r="AI63" i="12" s="1"/>
  <c r="AI64" i="12" s="1"/>
  <c r="AI65" i="12" s="1"/>
  <c r="AI66" i="12" s="1"/>
  <c r="AI67" i="12" s="1"/>
  <c r="AI68" i="12" s="1"/>
  <c r="AI69" i="12" s="1"/>
  <c r="AI70" i="12" s="1"/>
  <c r="AI71" i="12" s="1"/>
  <c r="AI72" i="12" s="1"/>
  <c r="AI73" i="12" s="1"/>
  <c r="AH62" i="12"/>
  <c r="AG62" i="12"/>
  <c r="AD62" i="12"/>
  <c r="Z62" i="12"/>
  <c r="V62" i="12"/>
  <c r="R62" i="12"/>
  <c r="AX62" i="12" s="1"/>
  <c r="Q62" i="12"/>
  <c r="AW62" i="12" s="1"/>
  <c r="O62" i="12"/>
  <c r="AU62" i="12" s="1"/>
  <c r="N62" i="12"/>
  <c r="L62" i="12"/>
  <c r="J62" i="12"/>
  <c r="I62" i="12"/>
  <c r="H62" i="12"/>
  <c r="G62" i="12"/>
  <c r="P62" i="12" s="1"/>
  <c r="AV62" i="12" s="1"/>
  <c r="F62" i="12"/>
  <c r="E62" i="12"/>
  <c r="AK62" i="12" s="1"/>
  <c r="AK63" i="12" s="1"/>
  <c r="AK64" i="12" s="1"/>
  <c r="AK65" i="12" s="1"/>
  <c r="AK66" i="12" s="1"/>
  <c r="AK67" i="12" s="1"/>
  <c r="AK68" i="12" s="1"/>
  <c r="AG61" i="12"/>
  <c r="J61" i="12" s="1"/>
  <c r="L61" i="12" s="1"/>
  <c r="AD61" i="12"/>
  <c r="H61" i="12" s="1"/>
  <c r="Z61" i="12"/>
  <c r="G61" i="12" s="1"/>
  <c r="P61" i="12" s="1"/>
  <c r="V61" i="12"/>
  <c r="F61" i="12" s="1"/>
  <c r="Q61" i="12"/>
  <c r="N61" i="12"/>
  <c r="E61" i="12"/>
  <c r="AK60" i="12"/>
  <c r="AK61" i="12" s="1"/>
  <c r="AG60" i="12"/>
  <c r="AD60" i="12"/>
  <c r="Z60" i="12"/>
  <c r="V60" i="12"/>
  <c r="R60" i="12"/>
  <c r="Q60" i="12"/>
  <c r="O60" i="12"/>
  <c r="N60" i="12"/>
  <c r="F415" i="11" s="1"/>
  <c r="L60" i="12"/>
  <c r="J60" i="12"/>
  <c r="H60" i="12"/>
  <c r="I60" i="12" s="1"/>
  <c r="G60" i="12"/>
  <c r="P60" i="12" s="1"/>
  <c r="F60" i="12"/>
  <c r="E60" i="12"/>
  <c r="AG59" i="12"/>
  <c r="J59" i="12" s="1"/>
  <c r="L59" i="12" s="1"/>
  <c r="AD59" i="12"/>
  <c r="H59" i="12" s="1"/>
  <c r="Q59" i="12" s="1"/>
  <c r="Z59" i="12"/>
  <c r="G59" i="12" s="1"/>
  <c r="V59" i="12"/>
  <c r="F59" i="12" s="1"/>
  <c r="P59" i="12"/>
  <c r="N59" i="12"/>
  <c r="E59" i="12"/>
  <c r="AG58" i="12"/>
  <c r="AD58" i="12"/>
  <c r="Z58" i="12"/>
  <c r="V58" i="12"/>
  <c r="Q58" i="12"/>
  <c r="N58" i="12"/>
  <c r="L58" i="12"/>
  <c r="J58" i="12"/>
  <c r="H58" i="12"/>
  <c r="G58" i="12"/>
  <c r="P58" i="12" s="1"/>
  <c r="F58" i="12"/>
  <c r="I58" i="12" s="1"/>
  <c r="E58" i="12"/>
  <c r="AG57" i="12"/>
  <c r="J57" i="12" s="1"/>
  <c r="L57" i="12" s="1"/>
  <c r="AD57" i="12"/>
  <c r="H57" i="12" s="1"/>
  <c r="Q57" i="12" s="1"/>
  <c r="Z57" i="12"/>
  <c r="G57" i="12" s="1"/>
  <c r="P57" i="12" s="1"/>
  <c r="V57" i="12"/>
  <c r="F57" i="12" s="1"/>
  <c r="N57" i="12"/>
  <c r="E57" i="12"/>
  <c r="AL56" i="12"/>
  <c r="AL57" i="12" s="1"/>
  <c r="AL58" i="12" s="1"/>
  <c r="AL59" i="12" s="1"/>
  <c r="AL60" i="12" s="1"/>
  <c r="AL61" i="12" s="1"/>
  <c r="AG56" i="12"/>
  <c r="AD56" i="12"/>
  <c r="Z56" i="12"/>
  <c r="V56" i="12"/>
  <c r="Q56" i="12"/>
  <c r="O56" i="12"/>
  <c r="R56" i="12" s="1"/>
  <c r="N56" i="12"/>
  <c r="F411" i="11" s="1"/>
  <c r="L56" i="12"/>
  <c r="J56" i="12"/>
  <c r="H56" i="12"/>
  <c r="G56" i="12"/>
  <c r="P56" i="12" s="1"/>
  <c r="F56" i="12"/>
  <c r="I56" i="12" s="1"/>
  <c r="E56" i="12"/>
  <c r="AG55" i="12"/>
  <c r="J55" i="12" s="1"/>
  <c r="L55" i="12" s="1"/>
  <c r="AD55" i="12"/>
  <c r="H55" i="12" s="1"/>
  <c r="Q55" i="12" s="1"/>
  <c r="Z55" i="12"/>
  <c r="G55" i="12" s="1"/>
  <c r="V55" i="12"/>
  <c r="F55" i="12" s="1"/>
  <c r="I55" i="12" s="1"/>
  <c r="P55" i="12"/>
  <c r="O55" i="12"/>
  <c r="N55" i="12"/>
  <c r="E55" i="12"/>
  <c r="AG54" i="12"/>
  <c r="AD54" i="12"/>
  <c r="Z54" i="12"/>
  <c r="V54" i="12"/>
  <c r="Q54" i="12"/>
  <c r="N54" i="12"/>
  <c r="F409" i="11" s="1"/>
  <c r="L54" i="12"/>
  <c r="J54" i="12"/>
  <c r="I54" i="12"/>
  <c r="H54" i="12"/>
  <c r="G54" i="12"/>
  <c r="P54" i="12" s="1"/>
  <c r="F54" i="12"/>
  <c r="E54" i="12"/>
  <c r="AK53" i="12"/>
  <c r="AK54" i="12" s="1"/>
  <c r="AK55" i="12" s="1"/>
  <c r="AK56" i="12" s="1"/>
  <c r="AK57" i="12" s="1"/>
  <c r="AK58" i="12" s="1"/>
  <c r="AK59" i="12" s="1"/>
  <c r="AJ53" i="12"/>
  <c r="AJ54" i="12" s="1"/>
  <c r="AJ55" i="12" s="1"/>
  <c r="AJ56" i="12" s="1"/>
  <c r="AJ57" i="12" s="1"/>
  <c r="AJ58" i="12" s="1"/>
  <c r="AJ59" i="12" s="1"/>
  <c r="AJ60" i="12" s="1"/>
  <c r="AJ61" i="12" s="1"/>
  <c r="AG53" i="12"/>
  <c r="J53" i="12" s="1"/>
  <c r="L53" i="12" s="1"/>
  <c r="AD53" i="12"/>
  <c r="H53" i="12" s="1"/>
  <c r="Q53" i="12" s="1"/>
  <c r="Z53" i="12"/>
  <c r="G53" i="12" s="1"/>
  <c r="P53" i="12" s="1"/>
  <c r="V53" i="12"/>
  <c r="F53" i="12" s="1"/>
  <c r="N53" i="12"/>
  <c r="E53" i="12"/>
  <c r="AQ52" i="12"/>
  <c r="AQ53" i="12" s="1"/>
  <c r="AQ54" i="12" s="1"/>
  <c r="AQ55" i="12" s="1"/>
  <c r="AQ56" i="12" s="1"/>
  <c r="AQ57" i="12" s="1"/>
  <c r="AQ58" i="12" s="1"/>
  <c r="AQ59" i="12" s="1"/>
  <c r="AQ60" i="12" s="1"/>
  <c r="AQ61" i="12" s="1"/>
  <c r="AG52" i="12"/>
  <c r="AD52" i="12"/>
  <c r="Z52" i="12"/>
  <c r="V52" i="12"/>
  <c r="Q52" i="12"/>
  <c r="O52" i="12"/>
  <c r="R52" i="12" s="1"/>
  <c r="N52" i="12"/>
  <c r="L52" i="12"/>
  <c r="J52" i="12"/>
  <c r="I52" i="12"/>
  <c r="H52" i="12"/>
  <c r="G52" i="12"/>
  <c r="P52" i="12" s="1"/>
  <c r="F52" i="12"/>
  <c r="E52" i="12"/>
  <c r="AJ51" i="12"/>
  <c r="AJ52" i="12" s="1"/>
  <c r="AI51" i="12"/>
  <c r="AI52" i="12" s="1"/>
  <c r="AI53" i="12" s="1"/>
  <c r="AI54" i="12" s="1"/>
  <c r="AI55" i="12" s="1"/>
  <c r="AI56" i="12" s="1"/>
  <c r="AI57" i="12" s="1"/>
  <c r="AI58" i="12" s="1"/>
  <c r="AI59" i="12" s="1"/>
  <c r="AI60" i="12" s="1"/>
  <c r="AI61" i="12" s="1"/>
  <c r="AH51" i="12"/>
  <c r="AH52" i="12" s="1"/>
  <c r="AH53" i="12" s="1"/>
  <c r="AH54" i="12" s="1"/>
  <c r="AH55" i="12" s="1"/>
  <c r="AH56" i="12" s="1"/>
  <c r="AH57" i="12" s="1"/>
  <c r="AH58" i="12" s="1"/>
  <c r="AH59" i="12" s="1"/>
  <c r="AH60" i="12" s="1"/>
  <c r="AH61" i="12" s="1"/>
  <c r="AG51" i="12"/>
  <c r="J51" i="12" s="1"/>
  <c r="L51" i="12" s="1"/>
  <c r="AD51" i="12"/>
  <c r="H51" i="12" s="1"/>
  <c r="Q51" i="12" s="1"/>
  <c r="Z51" i="12"/>
  <c r="G51" i="12" s="1"/>
  <c r="V51" i="12"/>
  <c r="F51" i="12" s="1"/>
  <c r="I51" i="12" s="1"/>
  <c r="P51" i="12"/>
  <c r="O51" i="12"/>
  <c r="R51" i="12" s="1"/>
  <c r="N51" i="12"/>
  <c r="E51" i="12"/>
  <c r="AS50" i="12"/>
  <c r="AS51" i="12" s="1"/>
  <c r="AS52" i="12" s="1"/>
  <c r="AS53" i="12" s="1"/>
  <c r="AS54" i="12" s="1"/>
  <c r="AS55" i="12" s="1"/>
  <c r="AS56" i="12" s="1"/>
  <c r="AS57" i="12" s="1"/>
  <c r="AS58" i="12" s="1"/>
  <c r="AS59" i="12" s="1"/>
  <c r="AS60" i="12" s="1"/>
  <c r="AS61" i="12" s="1"/>
  <c r="AR50" i="12"/>
  <c r="AQ50" i="12"/>
  <c r="AQ51" i="12" s="1"/>
  <c r="AP50" i="12"/>
  <c r="AN50" i="12"/>
  <c r="AN51" i="12" s="1"/>
  <c r="AN52" i="12" s="1"/>
  <c r="AN53" i="12" s="1"/>
  <c r="AN54" i="12" s="1"/>
  <c r="AN55" i="12" s="1"/>
  <c r="AN56" i="12" s="1"/>
  <c r="AN57" i="12" s="1"/>
  <c r="AN58" i="12" s="1"/>
  <c r="AN59" i="12" s="1"/>
  <c r="AN60" i="12" s="1"/>
  <c r="AN61" i="12" s="1"/>
  <c r="AM50" i="12"/>
  <c r="AM51" i="12" s="1"/>
  <c r="AM52" i="12" s="1"/>
  <c r="AM53" i="12" s="1"/>
  <c r="AM54" i="12" s="1"/>
  <c r="AM55" i="12" s="1"/>
  <c r="AM56" i="12" s="1"/>
  <c r="AM57" i="12" s="1"/>
  <c r="AM58" i="12" s="1"/>
  <c r="AM59" i="12" s="1"/>
  <c r="AM60" i="12" s="1"/>
  <c r="AM61" i="12" s="1"/>
  <c r="AL50" i="12"/>
  <c r="AL51" i="12" s="1"/>
  <c r="AL52" i="12" s="1"/>
  <c r="AL53" i="12" s="1"/>
  <c r="AL54" i="12" s="1"/>
  <c r="AL55" i="12" s="1"/>
  <c r="AJ50" i="12"/>
  <c r="AI50" i="12"/>
  <c r="AH50" i="12"/>
  <c r="AG50" i="12"/>
  <c r="AD50" i="12"/>
  <c r="Z50" i="12"/>
  <c r="V50" i="12"/>
  <c r="Q50" i="12"/>
  <c r="AW50" i="12" s="1"/>
  <c r="O50" i="12"/>
  <c r="AU50" i="12" s="1"/>
  <c r="N50" i="12"/>
  <c r="AT50" i="12" s="1"/>
  <c r="AT51" i="12" s="1"/>
  <c r="L50" i="12"/>
  <c r="J50" i="12"/>
  <c r="I50" i="12"/>
  <c r="AO50" i="12" s="1"/>
  <c r="H50" i="12"/>
  <c r="G50" i="12"/>
  <c r="P50" i="12" s="1"/>
  <c r="AV50" i="12" s="1"/>
  <c r="AV51" i="12" s="1"/>
  <c r="AV52" i="12" s="1"/>
  <c r="AV53" i="12" s="1"/>
  <c r="AV54" i="12" s="1"/>
  <c r="F50" i="12"/>
  <c r="E50" i="12"/>
  <c r="AK50" i="12" s="1"/>
  <c r="AK51" i="12" s="1"/>
  <c r="AK52" i="12" s="1"/>
  <c r="AG49" i="12"/>
  <c r="J49" i="12" s="1"/>
  <c r="L49" i="12" s="1"/>
  <c r="AD49" i="12"/>
  <c r="H49" i="12" s="1"/>
  <c r="Q49" i="12" s="1"/>
  <c r="Z49" i="12"/>
  <c r="G49" i="12" s="1"/>
  <c r="P49" i="12" s="1"/>
  <c r="V49" i="12"/>
  <c r="F49" i="12" s="1"/>
  <c r="N49" i="12"/>
  <c r="E49" i="12"/>
  <c r="AG48" i="12"/>
  <c r="AD48" i="12"/>
  <c r="Z48" i="12"/>
  <c r="V48" i="12"/>
  <c r="Q48" i="12"/>
  <c r="O48" i="12"/>
  <c r="R48" i="12" s="1"/>
  <c r="N48" i="12"/>
  <c r="L48" i="12"/>
  <c r="J48" i="12"/>
  <c r="H48" i="12"/>
  <c r="I48" i="12" s="1"/>
  <c r="G48" i="12"/>
  <c r="P48" i="12" s="1"/>
  <c r="F48" i="12"/>
  <c r="E48" i="12"/>
  <c r="AJ47" i="12"/>
  <c r="AJ48" i="12" s="1"/>
  <c r="AJ49" i="12" s="1"/>
  <c r="AG47" i="12"/>
  <c r="J47" i="12" s="1"/>
  <c r="L47" i="12" s="1"/>
  <c r="AD47" i="12"/>
  <c r="H47" i="12" s="1"/>
  <c r="Z47" i="12"/>
  <c r="G47" i="12" s="1"/>
  <c r="P47" i="12" s="1"/>
  <c r="V47" i="12"/>
  <c r="F47" i="12" s="1"/>
  <c r="Q47" i="12"/>
  <c r="N47" i="12"/>
  <c r="E47" i="12"/>
  <c r="AG46" i="12"/>
  <c r="AD46" i="12"/>
  <c r="Z46" i="12"/>
  <c r="V46" i="12"/>
  <c r="Q46" i="12"/>
  <c r="O46" i="12"/>
  <c r="R46" i="12" s="1"/>
  <c r="N46" i="12"/>
  <c r="L46" i="12"/>
  <c r="J46" i="12"/>
  <c r="H46" i="12"/>
  <c r="G46" i="12"/>
  <c r="P46" i="12" s="1"/>
  <c r="F46" i="12"/>
  <c r="I46" i="12" s="1"/>
  <c r="E46" i="12"/>
  <c r="AJ45" i="12"/>
  <c r="AJ46" i="12" s="1"/>
  <c r="AG45" i="12"/>
  <c r="J45" i="12" s="1"/>
  <c r="L45" i="12" s="1"/>
  <c r="AD45" i="12"/>
  <c r="H45" i="12" s="1"/>
  <c r="Q45" i="12" s="1"/>
  <c r="Z45" i="12"/>
  <c r="G45" i="12" s="1"/>
  <c r="P45" i="12" s="1"/>
  <c r="V45" i="12"/>
  <c r="F45" i="12" s="1"/>
  <c r="N45" i="12"/>
  <c r="E45" i="12"/>
  <c r="AG44" i="12"/>
  <c r="AD44" i="12"/>
  <c r="Z44" i="12"/>
  <c r="V44" i="12"/>
  <c r="Q44" i="12"/>
  <c r="O44" i="12"/>
  <c r="R44" i="12" s="1"/>
  <c r="N44" i="12"/>
  <c r="E411" i="11" s="1"/>
  <c r="E395" i="11" s="1"/>
  <c r="L44" i="12"/>
  <c r="J44" i="12"/>
  <c r="H44" i="12"/>
  <c r="G44" i="12"/>
  <c r="P44" i="12" s="1"/>
  <c r="F44" i="12"/>
  <c r="I44" i="12" s="1"/>
  <c r="E44" i="12"/>
  <c r="AG43" i="12"/>
  <c r="J43" i="12" s="1"/>
  <c r="L43" i="12" s="1"/>
  <c r="AD43" i="12"/>
  <c r="H43" i="12" s="1"/>
  <c r="Z43" i="12"/>
  <c r="G43" i="12" s="1"/>
  <c r="P43" i="12" s="1"/>
  <c r="R43" i="12" s="1"/>
  <c r="V43" i="12"/>
  <c r="F43" i="12" s="1"/>
  <c r="Q43" i="12"/>
  <c r="O43" i="12"/>
  <c r="N43" i="12"/>
  <c r="E43" i="12"/>
  <c r="AG42" i="12"/>
  <c r="AD42" i="12"/>
  <c r="Z42" i="12"/>
  <c r="V42" i="12"/>
  <c r="Q42" i="12"/>
  <c r="N42" i="12"/>
  <c r="E409" i="11" s="1"/>
  <c r="E393" i="11" s="1"/>
  <c r="L42" i="12"/>
  <c r="J42" i="12"/>
  <c r="I42" i="12"/>
  <c r="H42" i="12"/>
  <c r="G42" i="12"/>
  <c r="P42" i="12" s="1"/>
  <c r="F42" i="12"/>
  <c r="E42" i="12"/>
  <c r="AJ41" i="12"/>
  <c r="AJ42" i="12" s="1"/>
  <c r="AJ43" i="12" s="1"/>
  <c r="AJ44" i="12" s="1"/>
  <c r="AG41" i="12"/>
  <c r="J41" i="12" s="1"/>
  <c r="L41" i="12" s="1"/>
  <c r="AD41" i="12"/>
  <c r="H41" i="12" s="1"/>
  <c r="Z41" i="12"/>
  <c r="G41" i="12" s="1"/>
  <c r="P41" i="12" s="1"/>
  <c r="V41" i="12"/>
  <c r="F41" i="12" s="1"/>
  <c r="Q41" i="12"/>
  <c r="N41" i="12"/>
  <c r="E41" i="12"/>
  <c r="AQ40" i="12"/>
  <c r="AQ41" i="12" s="1"/>
  <c r="AQ42" i="12" s="1"/>
  <c r="AQ43" i="12" s="1"/>
  <c r="AQ44" i="12" s="1"/>
  <c r="AQ45" i="12" s="1"/>
  <c r="AQ46" i="12" s="1"/>
  <c r="AQ47" i="12" s="1"/>
  <c r="AQ48" i="12" s="1"/>
  <c r="AQ49" i="12" s="1"/>
  <c r="AG40" i="12"/>
  <c r="AD40" i="12"/>
  <c r="Z40" i="12"/>
  <c r="V40" i="12"/>
  <c r="R40" i="12"/>
  <c r="Q40" i="12"/>
  <c r="N40" i="12"/>
  <c r="O40" i="12" s="1"/>
  <c r="L40" i="12"/>
  <c r="J40" i="12"/>
  <c r="I40" i="12"/>
  <c r="H40" i="12"/>
  <c r="G40" i="12"/>
  <c r="P40" i="12" s="1"/>
  <c r="F40" i="12"/>
  <c r="E40" i="12"/>
  <c r="AJ39" i="12"/>
  <c r="AJ40" i="12" s="1"/>
  <c r="AH39" i="12"/>
  <c r="AH40" i="12" s="1"/>
  <c r="AH41" i="12" s="1"/>
  <c r="AH42" i="12" s="1"/>
  <c r="AH43" i="12" s="1"/>
  <c r="AH44" i="12" s="1"/>
  <c r="AH45" i="12" s="1"/>
  <c r="AH46" i="12" s="1"/>
  <c r="AH47" i="12" s="1"/>
  <c r="AH48" i="12" s="1"/>
  <c r="AH49" i="12" s="1"/>
  <c r="AG39" i="12"/>
  <c r="J39" i="12" s="1"/>
  <c r="L39" i="12" s="1"/>
  <c r="AD39" i="12"/>
  <c r="H39" i="12" s="1"/>
  <c r="Z39" i="12"/>
  <c r="G39" i="12" s="1"/>
  <c r="V39" i="12"/>
  <c r="F39" i="12" s="1"/>
  <c r="I39" i="12" s="1"/>
  <c r="Q39" i="12"/>
  <c r="P39" i="12"/>
  <c r="N39" i="12"/>
  <c r="E39" i="12"/>
  <c r="AK39" i="12" s="1"/>
  <c r="AK40" i="12" s="1"/>
  <c r="AK41" i="12" s="1"/>
  <c r="AK42" i="12" s="1"/>
  <c r="AK43" i="12" s="1"/>
  <c r="AK44" i="12" s="1"/>
  <c r="AK45" i="12" s="1"/>
  <c r="AK46" i="12" s="1"/>
  <c r="AK47" i="12" s="1"/>
  <c r="AK48" i="12" s="1"/>
  <c r="AK49" i="12" s="1"/>
  <c r="AS38" i="12"/>
  <c r="AS39" i="12" s="1"/>
  <c r="AS40" i="12" s="1"/>
  <c r="AS41" i="12" s="1"/>
  <c r="AS42" i="12" s="1"/>
  <c r="AS43" i="12" s="1"/>
  <c r="AS44" i="12" s="1"/>
  <c r="AS45" i="12" s="1"/>
  <c r="AS46" i="12" s="1"/>
  <c r="AS47" i="12" s="1"/>
  <c r="AS48" i="12" s="1"/>
  <c r="AS49" i="12" s="1"/>
  <c r="AR38" i="12"/>
  <c r="AR39" i="12" s="1"/>
  <c r="AR40" i="12" s="1"/>
  <c r="AR41" i="12" s="1"/>
  <c r="AR42" i="12" s="1"/>
  <c r="AR43" i="12" s="1"/>
  <c r="AR44" i="12" s="1"/>
  <c r="AR45" i="12" s="1"/>
  <c r="AR46" i="12" s="1"/>
  <c r="AQ38" i="12"/>
  <c r="AQ39" i="12" s="1"/>
  <c r="AP38" i="12"/>
  <c r="AP39" i="12" s="1"/>
  <c r="AP40" i="12" s="1"/>
  <c r="AP41" i="12" s="1"/>
  <c r="AP42" i="12" s="1"/>
  <c r="AP43" i="12" s="1"/>
  <c r="AP44" i="12" s="1"/>
  <c r="AM38" i="12"/>
  <c r="AM39" i="12" s="1"/>
  <c r="AM40" i="12" s="1"/>
  <c r="AL38" i="12"/>
  <c r="AL39" i="12" s="1"/>
  <c r="AL40" i="12" s="1"/>
  <c r="AK38" i="12"/>
  <c r="AJ38" i="12"/>
  <c r="AI38" i="12"/>
  <c r="AI39" i="12" s="1"/>
  <c r="AI40" i="12" s="1"/>
  <c r="AI41" i="12" s="1"/>
  <c r="AI42" i="12" s="1"/>
  <c r="AI43" i="12" s="1"/>
  <c r="AI44" i="12" s="1"/>
  <c r="AI45" i="12" s="1"/>
  <c r="AI46" i="12" s="1"/>
  <c r="AI47" i="12" s="1"/>
  <c r="AI48" i="12" s="1"/>
  <c r="AI49" i="12" s="1"/>
  <c r="AH38" i="12"/>
  <c r="AG38" i="12"/>
  <c r="AD38" i="12"/>
  <c r="Z38" i="12"/>
  <c r="V38" i="12"/>
  <c r="Q38" i="12"/>
  <c r="AW38" i="12" s="1"/>
  <c r="O38" i="12"/>
  <c r="AU38" i="12" s="1"/>
  <c r="N38" i="12"/>
  <c r="AT38" i="12" s="1"/>
  <c r="AT39" i="12" s="1"/>
  <c r="L38" i="12"/>
  <c r="J38" i="12"/>
  <c r="H38" i="12"/>
  <c r="I38" i="12" s="1"/>
  <c r="AO38" i="12" s="1"/>
  <c r="AO39" i="12" s="1"/>
  <c r="AO40" i="12" s="1"/>
  <c r="G38" i="12"/>
  <c r="P38" i="12" s="1"/>
  <c r="AV38" i="12" s="1"/>
  <c r="AV39" i="12" s="1"/>
  <c r="AV40" i="12" s="1"/>
  <c r="F38" i="12"/>
  <c r="E38" i="12"/>
  <c r="AG37" i="12"/>
  <c r="J37" i="12" s="1"/>
  <c r="L37" i="12" s="1"/>
  <c r="AD37" i="12"/>
  <c r="H37" i="12" s="1"/>
  <c r="Q37" i="12" s="1"/>
  <c r="Z37" i="12"/>
  <c r="G37" i="12" s="1"/>
  <c r="P37" i="12" s="1"/>
  <c r="V37" i="12"/>
  <c r="F37" i="12" s="1"/>
  <c r="N37" i="12"/>
  <c r="E37" i="12"/>
  <c r="AG36" i="12"/>
  <c r="AD36" i="12"/>
  <c r="Z36" i="12"/>
  <c r="V36" i="12"/>
  <c r="Q36" i="12"/>
  <c r="N36" i="12"/>
  <c r="D415" i="11" s="1"/>
  <c r="D399" i="11" s="1"/>
  <c r="L36" i="12"/>
  <c r="J36" i="12"/>
  <c r="H36" i="12"/>
  <c r="G36" i="12"/>
  <c r="P36" i="12" s="1"/>
  <c r="F36" i="12"/>
  <c r="I36" i="12" s="1"/>
  <c r="E36" i="12"/>
  <c r="AG35" i="12"/>
  <c r="J35" i="12" s="1"/>
  <c r="L35" i="12" s="1"/>
  <c r="AD35" i="12"/>
  <c r="H35" i="12" s="1"/>
  <c r="Z35" i="12"/>
  <c r="G35" i="12" s="1"/>
  <c r="P35" i="12" s="1"/>
  <c r="V35" i="12"/>
  <c r="F35" i="12" s="1"/>
  <c r="Q35" i="12"/>
  <c r="R35" i="12" s="1"/>
  <c r="O35" i="12"/>
  <c r="N35" i="12"/>
  <c r="E35" i="12"/>
  <c r="AG34" i="12"/>
  <c r="AD34" i="12"/>
  <c r="Z34" i="12"/>
  <c r="V34" i="12"/>
  <c r="Q34" i="12"/>
  <c r="N34" i="12"/>
  <c r="O34" i="12" s="1"/>
  <c r="R34" i="12" s="1"/>
  <c r="L34" i="12"/>
  <c r="J34" i="12"/>
  <c r="H34" i="12"/>
  <c r="G34" i="12"/>
  <c r="P34" i="12" s="1"/>
  <c r="F34" i="12"/>
  <c r="I34" i="12" s="1"/>
  <c r="E34" i="12"/>
  <c r="AG33" i="12"/>
  <c r="J33" i="12" s="1"/>
  <c r="L33" i="12" s="1"/>
  <c r="AD33" i="12"/>
  <c r="H33" i="12" s="1"/>
  <c r="AN33" i="12" s="1"/>
  <c r="AN34" i="12" s="1"/>
  <c r="AN35" i="12" s="1"/>
  <c r="AN36" i="12" s="1"/>
  <c r="AN37" i="12" s="1"/>
  <c r="Z33" i="12"/>
  <c r="G33" i="12" s="1"/>
  <c r="V33" i="12"/>
  <c r="F33" i="12" s="1"/>
  <c r="I33" i="12" s="1"/>
  <c r="P33" i="12"/>
  <c r="O33" i="12"/>
  <c r="N33" i="12"/>
  <c r="E33" i="12"/>
  <c r="AG32" i="12"/>
  <c r="AD32" i="12"/>
  <c r="Z32" i="12"/>
  <c r="V32" i="12"/>
  <c r="Q32" i="12"/>
  <c r="O32" i="12"/>
  <c r="N32" i="12"/>
  <c r="D411" i="11" s="1"/>
  <c r="D395" i="11" s="1"/>
  <c r="L32" i="12"/>
  <c r="J32" i="12"/>
  <c r="I32" i="12"/>
  <c r="H32" i="12"/>
  <c r="G32" i="12"/>
  <c r="P32" i="12" s="1"/>
  <c r="F32" i="12"/>
  <c r="E32" i="12"/>
  <c r="AG31" i="12"/>
  <c r="J31" i="12" s="1"/>
  <c r="L31" i="12" s="1"/>
  <c r="AD31" i="12"/>
  <c r="H31" i="12" s="1"/>
  <c r="Q31" i="12" s="1"/>
  <c r="Z31" i="12"/>
  <c r="G31" i="12" s="1"/>
  <c r="V31" i="12"/>
  <c r="F31" i="12" s="1"/>
  <c r="P31" i="12"/>
  <c r="R31" i="12" s="1"/>
  <c r="O31" i="12"/>
  <c r="N31" i="12"/>
  <c r="E31" i="12"/>
  <c r="AG30" i="12"/>
  <c r="AD30" i="12"/>
  <c r="Z30" i="12"/>
  <c r="V30" i="12"/>
  <c r="Q30" i="12"/>
  <c r="O30" i="12"/>
  <c r="R30" i="12" s="1"/>
  <c r="N30" i="12"/>
  <c r="D409" i="11" s="1"/>
  <c r="L30" i="12"/>
  <c r="J30" i="12"/>
  <c r="I30" i="12"/>
  <c r="H30" i="12"/>
  <c r="G30" i="12"/>
  <c r="P30" i="12" s="1"/>
  <c r="F30" i="12"/>
  <c r="E30" i="12"/>
  <c r="AG29" i="12"/>
  <c r="J29" i="12" s="1"/>
  <c r="L29" i="12" s="1"/>
  <c r="AD29" i="12"/>
  <c r="H29" i="12" s="1"/>
  <c r="Z29" i="12"/>
  <c r="G29" i="12" s="1"/>
  <c r="V29" i="12"/>
  <c r="F29" i="12" s="1"/>
  <c r="Q29" i="12"/>
  <c r="P29" i="12"/>
  <c r="N29" i="12"/>
  <c r="E29" i="12"/>
  <c r="AK28" i="12"/>
  <c r="AG28" i="12"/>
  <c r="AD28" i="12"/>
  <c r="Z28" i="12"/>
  <c r="V28" i="12"/>
  <c r="N28" i="12"/>
  <c r="O28" i="12" s="1"/>
  <c r="L28" i="12"/>
  <c r="J28" i="12"/>
  <c r="I28" i="12"/>
  <c r="H28" i="12"/>
  <c r="Q28" i="12" s="1"/>
  <c r="G28" i="12"/>
  <c r="P28" i="12" s="1"/>
  <c r="F28" i="12"/>
  <c r="E28" i="12"/>
  <c r="AJ27" i="12"/>
  <c r="AJ28" i="12" s="1"/>
  <c r="AJ29" i="12" s="1"/>
  <c r="AJ30" i="12" s="1"/>
  <c r="AJ31" i="12" s="1"/>
  <c r="AJ32" i="12" s="1"/>
  <c r="AJ33" i="12" s="1"/>
  <c r="AJ34" i="12" s="1"/>
  <c r="AJ35" i="12" s="1"/>
  <c r="AJ36" i="12" s="1"/>
  <c r="AJ37" i="12" s="1"/>
  <c r="AH27" i="12"/>
  <c r="AH28" i="12" s="1"/>
  <c r="AH29" i="12" s="1"/>
  <c r="AH30" i="12" s="1"/>
  <c r="AH31" i="12" s="1"/>
  <c r="AH32" i="12" s="1"/>
  <c r="AH33" i="12" s="1"/>
  <c r="AH34" i="12" s="1"/>
  <c r="AH35" i="12" s="1"/>
  <c r="AH36" i="12" s="1"/>
  <c r="AH37" i="12" s="1"/>
  <c r="AG27" i="12"/>
  <c r="J27" i="12" s="1"/>
  <c r="L27" i="12" s="1"/>
  <c r="AD27" i="12"/>
  <c r="H27" i="12" s="1"/>
  <c r="Z27" i="12"/>
  <c r="G27" i="12" s="1"/>
  <c r="P27" i="12" s="1"/>
  <c r="V27" i="12"/>
  <c r="F27" i="12" s="1"/>
  <c r="Q27" i="12"/>
  <c r="N27" i="12"/>
  <c r="E27" i="12"/>
  <c r="AS26" i="12"/>
  <c r="AS27" i="12" s="1"/>
  <c r="AS28" i="12" s="1"/>
  <c r="AS29" i="12" s="1"/>
  <c r="AS30" i="12" s="1"/>
  <c r="AS31" i="12" s="1"/>
  <c r="AS32" i="12" s="1"/>
  <c r="AS33" i="12" s="1"/>
  <c r="AS34" i="12" s="1"/>
  <c r="AS35" i="12" s="1"/>
  <c r="AS36" i="12" s="1"/>
  <c r="AS37" i="12" s="1"/>
  <c r="AR26" i="12"/>
  <c r="AQ26" i="12"/>
  <c r="AQ27" i="12" s="1"/>
  <c r="AQ28" i="12" s="1"/>
  <c r="AQ29" i="12" s="1"/>
  <c r="AQ30" i="12" s="1"/>
  <c r="AQ31" i="12" s="1"/>
  <c r="AQ32" i="12" s="1"/>
  <c r="AQ33" i="12" s="1"/>
  <c r="AQ34" i="12" s="1"/>
  <c r="AQ35" i="12" s="1"/>
  <c r="AQ36" i="12" s="1"/>
  <c r="AQ37" i="12" s="1"/>
  <c r="AP26" i="12"/>
  <c r="AN26" i="12"/>
  <c r="AN27" i="12" s="1"/>
  <c r="AN28" i="12" s="1"/>
  <c r="AN29" i="12" s="1"/>
  <c r="AN30" i="12" s="1"/>
  <c r="AN31" i="12" s="1"/>
  <c r="AN32" i="12" s="1"/>
  <c r="AL26" i="12"/>
  <c r="AK26" i="12"/>
  <c r="AK27" i="12" s="1"/>
  <c r="AJ26" i="12"/>
  <c r="AI26" i="12"/>
  <c r="AI27" i="12" s="1"/>
  <c r="AI28" i="12" s="1"/>
  <c r="AI29" i="12" s="1"/>
  <c r="AI30" i="12" s="1"/>
  <c r="AI31" i="12" s="1"/>
  <c r="AI32" i="12" s="1"/>
  <c r="AI33" i="12" s="1"/>
  <c r="AI34" i="12" s="1"/>
  <c r="AI35" i="12" s="1"/>
  <c r="AI36" i="12" s="1"/>
  <c r="AI37" i="12" s="1"/>
  <c r="AH26" i="12"/>
  <c r="AG26" i="12"/>
  <c r="AD26" i="12"/>
  <c r="Z26" i="12"/>
  <c r="V26" i="12"/>
  <c r="Q26" i="12"/>
  <c r="AW26" i="12" s="1"/>
  <c r="AW27" i="12" s="1"/>
  <c r="AW28" i="12" s="1"/>
  <c r="O26" i="12"/>
  <c r="AU26" i="12" s="1"/>
  <c r="N26" i="12"/>
  <c r="L26" i="12"/>
  <c r="J26" i="12"/>
  <c r="H26" i="12"/>
  <c r="G26" i="12"/>
  <c r="P26" i="12" s="1"/>
  <c r="AV26" i="12" s="1"/>
  <c r="F26" i="12"/>
  <c r="I26" i="12" s="1"/>
  <c r="AO26" i="12" s="1"/>
  <c r="E26" i="12"/>
  <c r="AG25" i="12"/>
  <c r="J25" i="12" s="1"/>
  <c r="L25" i="12" s="1"/>
  <c r="AD25" i="12"/>
  <c r="H25" i="12" s="1"/>
  <c r="Z25" i="12"/>
  <c r="G25" i="12" s="1"/>
  <c r="V25" i="12"/>
  <c r="F25" i="12" s="1"/>
  <c r="I25" i="12" s="1"/>
  <c r="Q25" i="12"/>
  <c r="P25" i="12"/>
  <c r="N25" i="12"/>
  <c r="E25" i="12"/>
  <c r="AG24" i="12"/>
  <c r="AD24" i="12"/>
  <c r="Z24" i="12"/>
  <c r="V24" i="12"/>
  <c r="Q24" i="12"/>
  <c r="N24" i="12"/>
  <c r="C415" i="11" s="1"/>
  <c r="C399" i="11" s="1"/>
  <c r="L24" i="12"/>
  <c r="J24" i="12"/>
  <c r="H24" i="12"/>
  <c r="G24" i="12"/>
  <c r="P24" i="12" s="1"/>
  <c r="F24" i="12"/>
  <c r="I24" i="12" s="1"/>
  <c r="E24" i="12"/>
  <c r="AG23" i="12"/>
  <c r="J23" i="12" s="1"/>
  <c r="L23" i="12" s="1"/>
  <c r="AD23" i="12"/>
  <c r="H23" i="12" s="1"/>
  <c r="Q23" i="12" s="1"/>
  <c r="Z23" i="12"/>
  <c r="G23" i="12" s="1"/>
  <c r="P23" i="12" s="1"/>
  <c r="V23" i="12"/>
  <c r="F23" i="12" s="1"/>
  <c r="N23" i="12"/>
  <c r="E23" i="12"/>
  <c r="AG22" i="12"/>
  <c r="AD22" i="12"/>
  <c r="Z22" i="12"/>
  <c r="V22" i="12"/>
  <c r="Q22" i="12"/>
  <c r="R22" i="12" s="1"/>
  <c r="O22" i="12"/>
  <c r="N22" i="12"/>
  <c r="C413" i="11" s="1"/>
  <c r="C397" i="11" s="1"/>
  <c r="L22" i="12"/>
  <c r="J22" i="12"/>
  <c r="I22" i="12"/>
  <c r="H22" i="12"/>
  <c r="G22" i="12"/>
  <c r="P22" i="12" s="1"/>
  <c r="F22" i="12"/>
  <c r="E22" i="12"/>
  <c r="AG21" i="12"/>
  <c r="J21" i="12" s="1"/>
  <c r="L21" i="12" s="1"/>
  <c r="AD21" i="12"/>
  <c r="H21" i="12" s="1"/>
  <c r="Z21" i="12"/>
  <c r="G21" i="12" s="1"/>
  <c r="V21" i="12"/>
  <c r="F21" i="12" s="1"/>
  <c r="I21" i="12" s="1"/>
  <c r="Q21" i="12"/>
  <c r="P21" i="12"/>
  <c r="N21" i="12"/>
  <c r="E21" i="12"/>
  <c r="AL20" i="12"/>
  <c r="AL21" i="12" s="1"/>
  <c r="AL22" i="12" s="1"/>
  <c r="AL23" i="12" s="1"/>
  <c r="AL24" i="12" s="1"/>
  <c r="AL25" i="12" s="1"/>
  <c r="AG20" i="12"/>
  <c r="AD20" i="12"/>
  <c r="Z20" i="12"/>
  <c r="V20" i="12"/>
  <c r="O20" i="12"/>
  <c r="N20" i="12"/>
  <c r="C411" i="11" s="1"/>
  <c r="J20" i="12"/>
  <c r="L20" i="12" s="1"/>
  <c r="H20" i="12"/>
  <c r="Q20" i="12" s="1"/>
  <c r="R20" i="12" s="1"/>
  <c r="G20" i="12"/>
  <c r="P20" i="12" s="1"/>
  <c r="F20" i="12"/>
  <c r="E20" i="12"/>
  <c r="AJ19" i="12"/>
  <c r="AJ20" i="12" s="1"/>
  <c r="AJ21" i="12" s="1"/>
  <c r="AJ22" i="12" s="1"/>
  <c r="AJ23" i="12" s="1"/>
  <c r="AJ24" i="12" s="1"/>
  <c r="AJ25" i="12" s="1"/>
  <c r="AG19" i="12"/>
  <c r="J19" i="12" s="1"/>
  <c r="L19" i="12" s="1"/>
  <c r="AD19" i="12"/>
  <c r="H19" i="12" s="1"/>
  <c r="Z19" i="12"/>
  <c r="G19" i="12" s="1"/>
  <c r="V19" i="12"/>
  <c r="F19" i="12" s="1"/>
  <c r="Q19" i="12"/>
  <c r="P19" i="12"/>
  <c r="O19" i="12"/>
  <c r="N19" i="12"/>
  <c r="E19" i="12"/>
  <c r="AG18" i="12"/>
  <c r="AD18" i="12"/>
  <c r="Z18" i="12"/>
  <c r="V18" i="12"/>
  <c r="N18" i="12"/>
  <c r="C409" i="11" s="1"/>
  <c r="L18" i="12"/>
  <c r="J18" i="12"/>
  <c r="H18" i="12"/>
  <c r="Q18" i="12" s="1"/>
  <c r="G18" i="12"/>
  <c r="P18" i="12" s="1"/>
  <c r="F18" i="12"/>
  <c r="E18" i="12"/>
  <c r="AJ17" i="12"/>
  <c r="AJ18" i="12" s="1"/>
  <c r="AG17" i="12"/>
  <c r="J17" i="12" s="1"/>
  <c r="AD17" i="12"/>
  <c r="H17" i="12" s="1"/>
  <c r="Z17" i="12"/>
  <c r="G17" i="12" s="1"/>
  <c r="P17" i="12" s="1"/>
  <c r="V17" i="12"/>
  <c r="F17" i="12" s="1"/>
  <c r="Q17" i="12"/>
  <c r="N17" i="12"/>
  <c r="E17" i="12"/>
  <c r="AG16" i="12"/>
  <c r="AD16" i="12"/>
  <c r="Z16" i="12"/>
  <c r="V16" i="12"/>
  <c r="Q16" i="12"/>
  <c r="N16" i="12"/>
  <c r="L16" i="12"/>
  <c r="J16" i="12"/>
  <c r="H16" i="12"/>
  <c r="G16" i="12"/>
  <c r="P16" i="12" s="1"/>
  <c r="F16" i="12"/>
  <c r="E16" i="12"/>
  <c r="AJ15" i="12"/>
  <c r="AJ16" i="12" s="1"/>
  <c r="AH15" i="12"/>
  <c r="AH16" i="12" s="1"/>
  <c r="AH17" i="12" s="1"/>
  <c r="AH18" i="12" s="1"/>
  <c r="AH19" i="12" s="1"/>
  <c r="AH20" i="12" s="1"/>
  <c r="AH21" i="12" s="1"/>
  <c r="AH22" i="12" s="1"/>
  <c r="AH23" i="12" s="1"/>
  <c r="AH24" i="12" s="1"/>
  <c r="AH25" i="12" s="1"/>
  <c r="AG15" i="12"/>
  <c r="J15" i="12" s="1"/>
  <c r="L15" i="12" s="1"/>
  <c r="AD15" i="12"/>
  <c r="H15" i="12" s="1"/>
  <c r="AN15" i="12" s="1"/>
  <c r="Z15" i="12"/>
  <c r="G15" i="12" s="1"/>
  <c r="V15" i="12"/>
  <c r="F15" i="12" s="1"/>
  <c r="Q15" i="12"/>
  <c r="P15" i="12"/>
  <c r="N15" i="12"/>
  <c r="E15" i="12"/>
  <c r="AV14" i="12"/>
  <c r="AS14" i="12"/>
  <c r="AS15" i="12" s="1"/>
  <c r="AS16" i="12" s="1"/>
  <c r="AS17" i="12" s="1"/>
  <c r="AS18" i="12" s="1"/>
  <c r="AS19" i="12" s="1"/>
  <c r="AS20" i="12" s="1"/>
  <c r="AS21" i="12" s="1"/>
  <c r="AS22" i="12" s="1"/>
  <c r="AS23" i="12" s="1"/>
  <c r="AS24" i="12" s="1"/>
  <c r="AS25" i="12" s="1"/>
  <c r="AR14" i="12"/>
  <c r="AQ14" i="12"/>
  <c r="AQ15" i="12" s="1"/>
  <c r="AQ16" i="12" s="1"/>
  <c r="AQ17" i="12" s="1"/>
  <c r="AQ18" i="12" s="1"/>
  <c r="AQ19" i="12" s="1"/>
  <c r="AQ20" i="12" s="1"/>
  <c r="AQ21" i="12" s="1"/>
  <c r="AQ22" i="12" s="1"/>
  <c r="AQ23" i="12" s="1"/>
  <c r="AQ24" i="12" s="1"/>
  <c r="AQ25" i="12" s="1"/>
  <c r="AP14" i="12"/>
  <c r="AO14" i="12"/>
  <c r="AN14" i="12"/>
  <c r="AM14" i="12"/>
  <c r="AM15" i="12" s="1"/>
  <c r="AM16" i="12" s="1"/>
  <c r="AL14" i="12"/>
  <c r="AL15" i="12" s="1"/>
  <c r="AL16" i="12" s="1"/>
  <c r="AL17" i="12" s="1"/>
  <c r="AL18" i="12" s="1"/>
  <c r="AL19" i="12" s="1"/>
  <c r="AJ14" i="12"/>
  <c r="AI14" i="12"/>
  <c r="AI15" i="12" s="1"/>
  <c r="AI16" i="12" s="1"/>
  <c r="AI17" i="12" s="1"/>
  <c r="AI18" i="12" s="1"/>
  <c r="AI19" i="12" s="1"/>
  <c r="AI20" i="12" s="1"/>
  <c r="AI21" i="12" s="1"/>
  <c r="AI22" i="12" s="1"/>
  <c r="AI23" i="12" s="1"/>
  <c r="AI24" i="12" s="1"/>
  <c r="AI25" i="12" s="1"/>
  <c r="AH14" i="12"/>
  <c r="AG14" i="12"/>
  <c r="AD14" i="12"/>
  <c r="Z14" i="12"/>
  <c r="V14" i="12"/>
  <c r="Q14" i="12"/>
  <c r="AW14" i="12" s="1"/>
  <c r="AW15" i="12" s="1"/>
  <c r="N14" i="12"/>
  <c r="L14" i="12"/>
  <c r="J14" i="12"/>
  <c r="I14" i="12"/>
  <c r="H14" i="12"/>
  <c r="G14" i="12"/>
  <c r="P14" i="12" s="1"/>
  <c r="F14" i="12"/>
  <c r="E14" i="12"/>
  <c r="AK14" i="12" s="1"/>
  <c r="AG13" i="12"/>
  <c r="J13" i="12" s="1"/>
  <c r="L13" i="12" s="1"/>
  <c r="AD13" i="12"/>
  <c r="H13" i="12" s="1"/>
  <c r="Z13" i="12"/>
  <c r="G13" i="12" s="1"/>
  <c r="P13" i="12" s="1"/>
  <c r="V13" i="12"/>
  <c r="F13" i="12" s="1"/>
  <c r="Q13" i="12"/>
  <c r="O13" i="12"/>
  <c r="N13" i="12"/>
  <c r="E13" i="12"/>
  <c r="AG12" i="12"/>
  <c r="AD12" i="12"/>
  <c r="Z12" i="12"/>
  <c r="V12" i="12"/>
  <c r="R12" i="12"/>
  <c r="Q12" i="12"/>
  <c r="O12" i="12"/>
  <c r="N12" i="12"/>
  <c r="B415" i="11" s="1"/>
  <c r="B399" i="11" s="1"/>
  <c r="L12" i="12"/>
  <c r="J12" i="12"/>
  <c r="I12" i="12"/>
  <c r="H12" i="12"/>
  <c r="G12" i="12"/>
  <c r="P12" i="12" s="1"/>
  <c r="F12" i="12"/>
  <c r="E12" i="12"/>
  <c r="AG11" i="12"/>
  <c r="J11" i="12" s="1"/>
  <c r="L11" i="12" s="1"/>
  <c r="AD11" i="12"/>
  <c r="H11" i="12" s="1"/>
  <c r="Z11" i="12"/>
  <c r="G11" i="12" s="1"/>
  <c r="P11" i="12" s="1"/>
  <c r="V11" i="12"/>
  <c r="F11" i="12" s="1"/>
  <c r="R11" i="12"/>
  <c r="Q11" i="12"/>
  <c r="O11" i="12"/>
  <c r="N11" i="12"/>
  <c r="E11" i="12"/>
  <c r="AG10" i="12"/>
  <c r="AD10" i="12"/>
  <c r="Z10" i="12"/>
  <c r="V10" i="12"/>
  <c r="O10" i="12"/>
  <c r="R10" i="12" s="1"/>
  <c r="N10" i="12"/>
  <c r="B413" i="11" s="1"/>
  <c r="B397" i="11" s="1"/>
  <c r="L10" i="12"/>
  <c r="J10" i="12"/>
  <c r="H10" i="12"/>
  <c r="Q10" i="12" s="1"/>
  <c r="G10" i="12"/>
  <c r="P10" i="12" s="1"/>
  <c r="F10" i="12"/>
  <c r="E10" i="12"/>
  <c r="AJ9" i="12"/>
  <c r="AJ10" i="12" s="1"/>
  <c r="AJ11" i="12" s="1"/>
  <c r="AJ12" i="12" s="1"/>
  <c r="AJ13" i="12" s="1"/>
  <c r="AG9" i="12"/>
  <c r="J9" i="12" s="1"/>
  <c r="L9" i="12" s="1"/>
  <c r="AD9" i="12"/>
  <c r="H9" i="12" s="1"/>
  <c r="Q9" i="12" s="1"/>
  <c r="Z9" i="12"/>
  <c r="G9" i="12" s="1"/>
  <c r="V9" i="12"/>
  <c r="F9" i="12" s="1"/>
  <c r="O9" i="12" s="1"/>
  <c r="P9" i="12"/>
  <c r="N9" i="12"/>
  <c r="E9" i="12"/>
  <c r="AG8" i="12"/>
  <c r="AD8" i="12"/>
  <c r="Z8" i="12"/>
  <c r="V8" i="12"/>
  <c r="O8" i="12"/>
  <c r="N8" i="12"/>
  <c r="B411" i="11" s="1"/>
  <c r="L8" i="12"/>
  <c r="J8" i="12"/>
  <c r="H8" i="12"/>
  <c r="Q8" i="12" s="1"/>
  <c r="G8" i="12"/>
  <c r="F8" i="12"/>
  <c r="E8" i="12"/>
  <c r="AJ7" i="12"/>
  <c r="AJ8" i="12" s="1"/>
  <c r="AG7" i="12"/>
  <c r="J7" i="12" s="1"/>
  <c r="AD7" i="12"/>
  <c r="H7" i="12" s="1"/>
  <c r="Q7" i="12" s="1"/>
  <c r="Z7" i="12"/>
  <c r="G7" i="12" s="1"/>
  <c r="P7" i="12" s="1"/>
  <c r="V7" i="12"/>
  <c r="F7" i="12" s="1"/>
  <c r="N7" i="12"/>
  <c r="E7" i="12"/>
  <c r="AG6" i="12"/>
  <c r="AD6" i="12"/>
  <c r="Z6" i="12"/>
  <c r="V6" i="12"/>
  <c r="N6" i="12"/>
  <c r="B409" i="11" s="1"/>
  <c r="B393" i="11" s="1"/>
  <c r="L6" i="12"/>
  <c r="J6" i="12"/>
  <c r="H6" i="12"/>
  <c r="Q6" i="12" s="1"/>
  <c r="G6" i="12"/>
  <c r="P6" i="12" s="1"/>
  <c r="F6" i="12"/>
  <c r="E6" i="12"/>
  <c r="AJ5" i="12"/>
  <c r="AJ6" i="12" s="1"/>
  <c r="AG5" i="12"/>
  <c r="J5" i="12" s="1"/>
  <c r="L5" i="12" s="1"/>
  <c r="AD5" i="12"/>
  <c r="H5" i="12" s="1"/>
  <c r="Z5" i="12"/>
  <c r="G5" i="12" s="1"/>
  <c r="V5" i="12"/>
  <c r="F5" i="12" s="1"/>
  <c r="I5" i="12" s="1"/>
  <c r="Q5" i="12"/>
  <c r="P5" i="12"/>
  <c r="O5" i="12"/>
  <c r="N5" i="12"/>
  <c r="E5" i="12"/>
  <c r="AQ4" i="12"/>
  <c r="AQ5" i="12" s="1"/>
  <c r="AQ6" i="12" s="1"/>
  <c r="AQ7" i="12" s="1"/>
  <c r="AQ8" i="12" s="1"/>
  <c r="AQ9" i="12" s="1"/>
  <c r="AQ10" i="12" s="1"/>
  <c r="AQ11" i="12" s="1"/>
  <c r="AQ12" i="12" s="1"/>
  <c r="AQ13" i="12" s="1"/>
  <c r="AG4" i="12"/>
  <c r="AD4" i="12"/>
  <c r="Z4" i="12"/>
  <c r="V4" i="12"/>
  <c r="O4" i="12"/>
  <c r="R4" i="12" s="1"/>
  <c r="N4" i="12"/>
  <c r="B407" i="11" s="1"/>
  <c r="B391" i="11" s="1"/>
  <c r="L4" i="12"/>
  <c r="J4" i="12"/>
  <c r="H4" i="12"/>
  <c r="Q4" i="12" s="1"/>
  <c r="G4" i="12"/>
  <c r="P4" i="12" s="1"/>
  <c r="F4" i="12"/>
  <c r="I4" i="12" s="1"/>
  <c r="E4" i="12"/>
  <c r="AJ3" i="12"/>
  <c r="AJ4" i="12" s="1"/>
  <c r="AH3" i="12"/>
  <c r="AH4" i="12" s="1"/>
  <c r="AH5" i="12" s="1"/>
  <c r="AH6" i="12" s="1"/>
  <c r="AH7" i="12" s="1"/>
  <c r="AH8" i="12" s="1"/>
  <c r="AH9" i="12" s="1"/>
  <c r="AH10" i="12" s="1"/>
  <c r="AH11" i="12" s="1"/>
  <c r="AH12" i="12" s="1"/>
  <c r="AH13" i="12" s="1"/>
  <c r="AG3" i="12"/>
  <c r="J3" i="12" s="1"/>
  <c r="L3" i="12" s="1"/>
  <c r="AD3" i="12"/>
  <c r="H3" i="12" s="1"/>
  <c r="Q3" i="12" s="1"/>
  <c r="Z3" i="12"/>
  <c r="G3" i="12" s="1"/>
  <c r="AM3" i="12" s="1"/>
  <c r="V3" i="12"/>
  <c r="F3" i="12" s="1"/>
  <c r="P3" i="12"/>
  <c r="N3" i="12"/>
  <c r="E3" i="12"/>
  <c r="AV2" i="12"/>
  <c r="AS2" i="12"/>
  <c r="AS3" i="12" s="1"/>
  <c r="AS4" i="12" s="1"/>
  <c r="AS5" i="12" s="1"/>
  <c r="AS6" i="12" s="1"/>
  <c r="AS7" i="12" s="1"/>
  <c r="AS8" i="12" s="1"/>
  <c r="AS9" i="12" s="1"/>
  <c r="AS10" i="12" s="1"/>
  <c r="AS11" i="12" s="1"/>
  <c r="AS12" i="12" s="1"/>
  <c r="AS13" i="12" s="1"/>
  <c r="AR2" i="12"/>
  <c r="AQ2" i="12"/>
  <c r="AQ3" i="12" s="1"/>
  <c r="AP2" i="12"/>
  <c r="AM2" i="12"/>
  <c r="AL2" i="12"/>
  <c r="AK2" i="12"/>
  <c r="AJ2" i="12"/>
  <c r="AI2" i="12"/>
  <c r="AI3" i="12" s="1"/>
  <c r="AI4" i="12" s="1"/>
  <c r="AI5" i="12" s="1"/>
  <c r="AI6" i="12" s="1"/>
  <c r="AI7" i="12" s="1"/>
  <c r="AI8" i="12" s="1"/>
  <c r="AI9" i="12" s="1"/>
  <c r="AI10" i="12" s="1"/>
  <c r="AI11" i="12" s="1"/>
  <c r="AI12" i="12" s="1"/>
  <c r="AI13" i="12" s="1"/>
  <c r="AH2" i="12"/>
  <c r="AG2" i="12"/>
  <c r="AD2" i="12"/>
  <c r="Z2" i="12"/>
  <c r="V2" i="12"/>
  <c r="Q2" i="12"/>
  <c r="AW2" i="12" s="1"/>
  <c r="N2" i="12"/>
  <c r="L2" i="12"/>
  <c r="J2" i="12"/>
  <c r="I2" i="12"/>
  <c r="AO2" i="12" s="1"/>
  <c r="H2" i="12"/>
  <c r="AN2" i="12" s="1"/>
  <c r="G2" i="12"/>
  <c r="P2" i="12" s="1"/>
  <c r="F2" i="12"/>
  <c r="E2" i="12"/>
  <c r="AQ417" i="11"/>
  <c r="AP417" i="11"/>
  <c r="AO417" i="11"/>
  <c r="AN417" i="11"/>
  <c r="AM417" i="11"/>
  <c r="AL417" i="11"/>
  <c r="AK417" i="11"/>
  <c r="AK26" i="11" s="1"/>
  <c r="AJ417" i="11"/>
  <c r="AI417" i="11"/>
  <c r="AI26" i="11" s="1"/>
  <c r="AH417" i="11"/>
  <c r="AH26" i="11" s="1"/>
  <c r="AG417" i="11"/>
  <c r="AF417" i="11"/>
  <c r="AE417" i="11"/>
  <c r="AE26" i="11" s="1"/>
  <c r="AD417" i="11"/>
  <c r="AD26" i="11" s="1"/>
  <c r="AC417" i="11"/>
  <c r="AC26" i="11" s="1"/>
  <c r="AB417" i="11"/>
  <c r="AA417" i="11"/>
  <c r="Z417" i="11"/>
  <c r="Y417" i="11"/>
  <c r="X417" i="11"/>
  <c r="W417" i="11"/>
  <c r="V417" i="11"/>
  <c r="U417" i="11"/>
  <c r="T417" i="11"/>
  <c r="S417" i="11"/>
  <c r="R417" i="11"/>
  <c r="BM416" i="11"/>
  <c r="BK416" i="11"/>
  <c r="P416" i="11"/>
  <c r="N416" i="11"/>
  <c r="M416" i="11"/>
  <c r="BF416" i="11" s="1"/>
  <c r="L416" i="11"/>
  <c r="BD416" i="11" s="1"/>
  <c r="K416" i="11"/>
  <c r="J416" i="11"/>
  <c r="I416" i="11"/>
  <c r="H416" i="11"/>
  <c r="G416" i="11"/>
  <c r="F416" i="11"/>
  <c r="E416" i="11"/>
  <c r="E400" i="11" s="1"/>
  <c r="D416" i="11"/>
  <c r="D400" i="11" s="1"/>
  <c r="C416" i="11"/>
  <c r="C400" i="11" s="1"/>
  <c r="B416" i="11"/>
  <c r="B400" i="11" s="1"/>
  <c r="BM415" i="11"/>
  <c r="BK415" i="11"/>
  <c r="P415" i="11"/>
  <c r="O415" i="11"/>
  <c r="N415" i="11"/>
  <c r="M415" i="11"/>
  <c r="BF415" i="11" s="1"/>
  <c r="L415" i="11"/>
  <c r="BD415" i="11" s="1"/>
  <c r="K415" i="11"/>
  <c r="BB415" i="11" s="1"/>
  <c r="H415" i="11"/>
  <c r="E415" i="11"/>
  <c r="E399" i="11" s="1"/>
  <c r="BM414" i="11"/>
  <c r="BK414" i="11"/>
  <c r="BF414" i="11"/>
  <c r="BD414" i="11"/>
  <c r="N414" i="11"/>
  <c r="M414" i="11"/>
  <c r="L414" i="11"/>
  <c r="I414" i="11"/>
  <c r="I398" i="11" s="1"/>
  <c r="H414" i="11"/>
  <c r="H398" i="11" s="1"/>
  <c r="G414" i="11"/>
  <c r="G398" i="11" s="1"/>
  <c r="F414" i="11"/>
  <c r="F398" i="11" s="1"/>
  <c r="E414" i="11"/>
  <c r="E398" i="11" s="1"/>
  <c r="D414" i="11"/>
  <c r="D398" i="11" s="1"/>
  <c r="C414" i="11"/>
  <c r="C398" i="11" s="1"/>
  <c r="B414" i="11"/>
  <c r="B398" i="11" s="1"/>
  <c r="BM413" i="11"/>
  <c r="BB413" i="11"/>
  <c r="P413" i="11"/>
  <c r="BK413" i="11" s="1"/>
  <c r="O413" i="11"/>
  <c r="N413" i="11"/>
  <c r="K413" i="11"/>
  <c r="K397" i="11" s="1"/>
  <c r="BB397" i="11" s="1"/>
  <c r="J413" i="11"/>
  <c r="H413" i="11"/>
  <c r="H397" i="11" s="1"/>
  <c r="G413" i="11"/>
  <c r="G397" i="11" s="1"/>
  <c r="E413" i="11"/>
  <c r="E397" i="11" s="1"/>
  <c r="D413" i="11"/>
  <c r="D397" i="11" s="1"/>
  <c r="BM412" i="11"/>
  <c r="BK412" i="11"/>
  <c r="BF412" i="11"/>
  <c r="BD412" i="11"/>
  <c r="BB412" i="11"/>
  <c r="P412" i="11"/>
  <c r="N412" i="11"/>
  <c r="N396" i="11" s="1"/>
  <c r="M412" i="11"/>
  <c r="L412" i="11"/>
  <c r="L396" i="11" s="1"/>
  <c r="BD396" i="11" s="1"/>
  <c r="K412" i="11"/>
  <c r="K396" i="11" s="1"/>
  <c r="J412" i="11"/>
  <c r="H412" i="11"/>
  <c r="H396" i="11" s="1"/>
  <c r="G412" i="11"/>
  <c r="F412" i="11"/>
  <c r="F396" i="11" s="1"/>
  <c r="E412" i="11"/>
  <c r="E396" i="11" s="1"/>
  <c r="D412" i="11"/>
  <c r="C412" i="11"/>
  <c r="C396" i="11" s="1"/>
  <c r="B412" i="11"/>
  <c r="B396" i="11" s="1"/>
  <c r="BM411" i="11"/>
  <c r="BB411" i="11"/>
  <c r="P411" i="11"/>
  <c r="O411" i="11"/>
  <c r="O395" i="11" s="1"/>
  <c r="N411" i="11"/>
  <c r="N395" i="11" s="1"/>
  <c r="M411" i="11"/>
  <c r="M395" i="11" s="1"/>
  <c r="BF395" i="11" s="1"/>
  <c r="J411" i="11"/>
  <c r="I411" i="11"/>
  <c r="BM410" i="11"/>
  <c r="O410" i="11"/>
  <c r="O394" i="11" s="1"/>
  <c r="N410" i="11"/>
  <c r="N394" i="11" s="1"/>
  <c r="M410" i="11"/>
  <c r="L410" i="11"/>
  <c r="BD410" i="11" s="1"/>
  <c r="K410" i="11"/>
  <c r="J410" i="11"/>
  <c r="J394" i="11" s="1"/>
  <c r="H410" i="11"/>
  <c r="G410" i="11"/>
  <c r="F410" i="11"/>
  <c r="E410" i="11"/>
  <c r="D410" i="11"/>
  <c r="C410" i="11"/>
  <c r="B410" i="11"/>
  <c r="BM409" i="11"/>
  <c r="P409" i="11"/>
  <c r="BK409" i="11" s="1"/>
  <c r="O409" i="11"/>
  <c r="O393" i="11" s="1"/>
  <c r="N409" i="11"/>
  <c r="N393" i="11" s="1"/>
  <c r="M409" i="11"/>
  <c r="BF409" i="11" s="1"/>
  <c r="L409" i="11"/>
  <c r="BD409" i="11" s="1"/>
  <c r="J409" i="11"/>
  <c r="J393" i="11" s="1"/>
  <c r="I409" i="11"/>
  <c r="I393" i="11" s="1"/>
  <c r="H409" i="11"/>
  <c r="H393" i="11" s="1"/>
  <c r="BM408" i="11"/>
  <c r="BF408" i="11"/>
  <c r="P408" i="11"/>
  <c r="O408" i="11"/>
  <c r="O392" i="11" s="1"/>
  <c r="M408" i="11"/>
  <c r="L408" i="11"/>
  <c r="K408" i="11"/>
  <c r="K392" i="11" s="1"/>
  <c r="J408" i="11"/>
  <c r="J392" i="11" s="1"/>
  <c r="I408" i="11"/>
  <c r="I392" i="11" s="1"/>
  <c r="H408" i="11"/>
  <c r="H392" i="11" s="1"/>
  <c r="G408" i="11"/>
  <c r="F408" i="11"/>
  <c r="E408" i="11"/>
  <c r="D408" i="11"/>
  <c r="C408" i="11"/>
  <c r="C392" i="11" s="1"/>
  <c r="B408" i="11"/>
  <c r="Q407" i="11"/>
  <c r="BM407" i="11" s="1"/>
  <c r="N407" i="11"/>
  <c r="N391" i="11" s="1"/>
  <c r="M407" i="11"/>
  <c r="BF407" i="11" s="1"/>
  <c r="L407" i="11"/>
  <c r="BD407" i="11" s="1"/>
  <c r="J407" i="11"/>
  <c r="I407" i="11"/>
  <c r="G407" i="11"/>
  <c r="G391" i="11" s="1"/>
  <c r="F407" i="11"/>
  <c r="F391" i="11" s="1"/>
  <c r="E407" i="11"/>
  <c r="E391" i="11" s="1"/>
  <c r="D407" i="11"/>
  <c r="D391" i="11" s="1"/>
  <c r="C407" i="11"/>
  <c r="C391" i="11" s="1"/>
  <c r="BM406" i="11"/>
  <c r="Q406" i="11"/>
  <c r="Q417" i="11" s="1"/>
  <c r="P406" i="11"/>
  <c r="BK406" i="11" s="1"/>
  <c r="O406" i="11"/>
  <c r="J406" i="11"/>
  <c r="H406" i="11"/>
  <c r="G406" i="11"/>
  <c r="G390" i="11" s="1"/>
  <c r="F406" i="11"/>
  <c r="F390" i="11" s="1"/>
  <c r="E406" i="11"/>
  <c r="E390" i="11" s="1"/>
  <c r="D406" i="11"/>
  <c r="D390" i="11" s="1"/>
  <c r="C406" i="11"/>
  <c r="C390" i="11" s="1"/>
  <c r="B406" i="11"/>
  <c r="B390" i="11" s="1"/>
  <c r="BM405" i="11"/>
  <c r="Q405" i="11"/>
  <c r="P405" i="11"/>
  <c r="BK405" i="11" s="1"/>
  <c r="N405" i="11"/>
  <c r="M405" i="11"/>
  <c r="L405" i="11"/>
  <c r="J405" i="11"/>
  <c r="I405" i="11"/>
  <c r="I389" i="11" s="1"/>
  <c r="F405" i="11"/>
  <c r="F389" i="11" s="1"/>
  <c r="E405" i="11"/>
  <c r="E389" i="11" s="1"/>
  <c r="AQ404" i="11"/>
  <c r="AP404" i="11"/>
  <c r="AO404" i="11"/>
  <c r="AN404" i="11"/>
  <c r="AM404" i="11"/>
  <c r="AL404" i="11"/>
  <c r="AK404" i="11"/>
  <c r="AJ404" i="11"/>
  <c r="AI404" i="11"/>
  <c r="AH404" i="11"/>
  <c r="AG404" i="11"/>
  <c r="AF404" i="11"/>
  <c r="AE404" i="11"/>
  <c r="AD404" i="11"/>
  <c r="AC404" i="11"/>
  <c r="AB404" i="11"/>
  <c r="AA404" i="11"/>
  <c r="Z404" i="11"/>
  <c r="Y404" i="11"/>
  <c r="X404" i="11"/>
  <c r="W404" i="11"/>
  <c r="V404" i="11"/>
  <c r="U404" i="11"/>
  <c r="T404" i="11"/>
  <c r="S404" i="11"/>
  <c r="R404" i="11"/>
  <c r="Q404" i="11"/>
  <c r="P404" i="11"/>
  <c r="O404" i="11"/>
  <c r="N404" i="11"/>
  <c r="M404" i="11"/>
  <c r="L404" i="11"/>
  <c r="K404" i="11"/>
  <c r="J404" i="11"/>
  <c r="I404" i="11"/>
  <c r="H404" i="11"/>
  <c r="G404" i="11"/>
  <c r="F404" i="11"/>
  <c r="E404" i="11"/>
  <c r="D404" i="11"/>
  <c r="C404" i="11"/>
  <c r="B404" i="11"/>
  <c r="AC401" i="11"/>
  <c r="AC25" i="11" s="1"/>
  <c r="AA401" i="11"/>
  <c r="Z401" i="11"/>
  <c r="Z25" i="11" s="1"/>
  <c r="Y401" i="11"/>
  <c r="AQ400" i="11"/>
  <c r="AP400" i="11"/>
  <c r="AO400" i="11"/>
  <c r="AN400" i="11"/>
  <c r="AM400" i="11"/>
  <c r="AL400" i="11"/>
  <c r="AK400" i="11"/>
  <c r="AJ400" i="11"/>
  <c r="AI400" i="11"/>
  <c r="AH400" i="11"/>
  <c r="AG400" i="11"/>
  <c r="AF400" i="11"/>
  <c r="AE400" i="11"/>
  <c r="AD400" i="11"/>
  <c r="AC400" i="11"/>
  <c r="AB400" i="11"/>
  <c r="AA400" i="11"/>
  <c r="Z400" i="11"/>
  <c r="Y400" i="11"/>
  <c r="X400" i="11"/>
  <c r="W400" i="11"/>
  <c r="V400" i="11"/>
  <c r="U400" i="11"/>
  <c r="T400" i="11"/>
  <c r="S400" i="11"/>
  <c r="R400" i="11"/>
  <c r="Q400" i="11"/>
  <c r="BM400" i="11" s="1"/>
  <c r="P400" i="11"/>
  <c r="BK400" i="11" s="1"/>
  <c r="N400" i="11"/>
  <c r="M400" i="11"/>
  <c r="BF400" i="11" s="1"/>
  <c r="L400" i="11"/>
  <c r="BD400" i="11" s="1"/>
  <c r="J400" i="11"/>
  <c r="I400" i="11"/>
  <c r="H400" i="11"/>
  <c r="G400" i="11"/>
  <c r="F400" i="11"/>
  <c r="AQ399" i="11"/>
  <c r="AP399" i="11"/>
  <c r="AO399" i="11"/>
  <c r="AN399" i="11"/>
  <c r="AM399" i="11"/>
  <c r="AL399" i="11"/>
  <c r="AK399" i="11"/>
  <c r="AJ399" i="11"/>
  <c r="AI399" i="11"/>
  <c r="AH399" i="11"/>
  <c r="AG399" i="11"/>
  <c r="AF399" i="11"/>
  <c r="AE399" i="11"/>
  <c r="AD399" i="11"/>
  <c r="AC399" i="11"/>
  <c r="AB399" i="11"/>
  <c r="AA399" i="11"/>
  <c r="Z399" i="11"/>
  <c r="Y399" i="11"/>
  <c r="X399" i="11"/>
  <c r="W399" i="11"/>
  <c r="V399" i="11"/>
  <c r="U399" i="11"/>
  <c r="T399" i="11"/>
  <c r="S399" i="11"/>
  <c r="R399" i="11"/>
  <c r="Q399" i="11"/>
  <c r="BM399" i="11" s="1"/>
  <c r="P399" i="11"/>
  <c r="BK399" i="11" s="1"/>
  <c r="O399" i="11"/>
  <c r="N399" i="11"/>
  <c r="M399" i="11"/>
  <c r="BF399" i="11" s="1"/>
  <c r="L399" i="11"/>
  <c r="BD399" i="11" s="1"/>
  <c r="K399" i="11"/>
  <c r="BB399" i="11" s="1"/>
  <c r="J399" i="11"/>
  <c r="I399" i="11"/>
  <c r="H399" i="11"/>
  <c r="G399" i="11"/>
  <c r="F399" i="11"/>
  <c r="BD398" i="11"/>
  <c r="BB398" i="11"/>
  <c r="AQ398" i="11"/>
  <c r="AP398" i="11"/>
  <c r="AO398" i="11"/>
  <c r="AN398" i="11"/>
  <c r="AM398" i="11"/>
  <c r="AL398" i="11"/>
  <c r="AK398" i="11"/>
  <c r="AJ398" i="11"/>
  <c r="AI398" i="11"/>
  <c r="AH398" i="11"/>
  <c r="AG398" i="11"/>
  <c r="AF398" i="11"/>
  <c r="AE398" i="11"/>
  <c r="AD398" i="11"/>
  <c r="AC398" i="11"/>
  <c r="AB398" i="11"/>
  <c r="AA398" i="11"/>
  <c r="Z398" i="11"/>
  <c r="Y398" i="11"/>
  <c r="X398" i="11"/>
  <c r="W398" i="11"/>
  <c r="W401" i="11" s="1"/>
  <c r="V398" i="11"/>
  <c r="U398" i="11"/>
  <c r="T398" i="11"/>
  <c r="S398" i="11"/>
  <c r="R398" i="11"/>
  <c r="Q398" i="11"/>
  <c r="BM398" i="11" s="1"/>
  <c r="N398" i="11"/>
  <c r="M398" i="11"/>
  <c r="BF398" i="11" s="1"/>
  <c r="L398" i="11"/>
  <c r="K398" i="11"/>
  <c r="BK397" i="11"/>
  <c r="AQ397" i="11"/>
  <c r="AP397" i="11"/>
  <c r="AO397" i="11"/>
  <c r="AN397" i="11"/>
  <c r="AM397" i="11"/>
  <c r="AL397" i="11"/>
  <c r="AK397" i="11"/>
  <c r="AJ397" i="11"/>
  <c r="AI397" i="11"/>
  <c r="AH397" i="11"/>
  <c r="AG397" i="11"/>
  <c r="AF397" i="11"/>
  <c r="AE397" i="11"/>
  <c r="AD397" i="11"/>
  <c r="AC397" i="11"/>
  <c r="AB397" i="11"/>
  <c r="AA397" i="11"/>
  <c r="Z397" i="11"/>
  <c r="Y397" i="11"/>
  <c r="X397" i="11"/>
  <c r="W397" i="11"/>
  <c r="V397" i="11"/>
  <c r="U397" i="11"/>
  <c r="T397" i="11"/>
  <c r="S397" i="11"/>
  <c r="R397" i="11"/>
  <c r="Q397" i="11"/>
  <c r="BM397" i="11" s="1"/>
  <c r="P397" i="11"/>
  <c r="O397" i="11"/>
  <c r="N397" i="11"/>
  <c r="J397" i="11"/>
  <c r="BK396" i="11"/>
  <c r="BF396" i="11"/>
  <c r="BB396" i="11"/>
  <c r="AQ396" i="11"/>
  <c r="AP396" i="11"/>
  <c r="AO396" i="11"/>
  <c r="AN396" i="11"/>
  <c r="AM396" i="11"/>
  <c r="AL396" i="11"/>
  <c r="AK396" i="11"/>
  <c r="AJ396" i="11"/>
  <c r="AI396" i="11"/>
  <c r="AH396" i="11"/>
  <c r="AG396" i="11"/>
  <c r="AF396" i="11"/>
  <c r="AE396" i="11"/>
  <c r="AD396" i="11"/>
  <c r="AC396" i="11"/>
  <c r="AB396" i="11"/>
  <c r="AA396" i="11"/>
  <c r="Z396" i="11"/>
  <c r="Y396" i="11"/>
  <c r="X396" i="11"/>
  <c r="W396" i="11"/>
  <c r="V396" i="11"/>
  <c r="V401" i="11" s="1"/>
  <c r="V25" i="11" s="1"/>
  <c r="U396" i="11"/>
  <c r="T396" i="11"/>
  <c r="S396" i="11"/>
  <c r="R396" i="11"/>
  <c r="Q396" i="11"/>
  <c r="BM396" i="11" s="1"/>
  <c r="P396" i="11"/>
  <c r="M396" i="11"/>
  <c r="J396" i="11"/>
  <c r="G396" i="11"/>
  <c r="D396" i="11"/>
  <c r="BM395" i="11"/>
  <c r="BB395" i="11"/>
  <c r="AQ395" i="11"/>
  <c r="AP395" i="11"/>
  <c r="AO395" i="11"/>
  <c r="AN395" i="11"/>
  <c r="AM395" i="11"/>
  <c r="AL395" i="11"/>
  <c r="AK395" i="11"/>
  <c r="AJ395" i="11"/>
  <c r="AI395" i="11"/>
  <c r="AH395" i="11"/>
  <c r="AG395" i="11"/>
  <c r="AF395" i="11"/>
  <c r="AE395" i="11"/>
  <c r="AD395" i="11"/>
  <c r="AC395" i="11"/>
  <c r="AB395" i="11"/>
  <c r="AA395" i="11"/>
  <c r="Z395" i="11"/>
  <c r="Y395" i="11"/>
  <c r="X395" i="11"/>
  <c r="W395" i="11"/>
  <c r="V395" i="11"/>
  <c r="U395" i="11"/>
  <c r="T395" i="11"/>
  <c r="S395" i="11"/>
  <c r="R395" i="11"/>
  <c r="Q395" i="11"/>
  <c r="J395" i="11"/>
  <c r="I395" i="11"/>
  <c r="F395" i="11"/>
  <c r="C395" i="11"/>
  <c r="B395" i="11"/>
  <c r="BM394" i="11"/>
  <c r="AQ394" i="11"/>
  <c r="AP394" i="11"/>
  <c r="AO394" i="11"/>
  <c r="AN394" i="11"/>
  <c r="AM394" i="11"/>
  <c r="AL394" i="11"/>
  <c r="AK394" i="11"/>
  <c r="AJ394" i="11"/>
  <c r="AI394" i="11"/>
  <c r="AH394" i="11"/>
  <c r="AG394" i="11"/>
  <c r="AF394" i="11"/>
  <c r="AE394" i="11"/>
  <c r="AD394" i="11"/>
  <c r="AC394" i="11"/>
  <c r="AB394" i="11"/>
  <c r="AA394" i="11"/>
  <c r="Z394" i="11"/>
  <c r="Y394" i="11"/>
  <c r="X394" i="11"/>
  <c r="W394" i="11"/>
  <c r="V394" i="11"/>
  <c r="U394" i="11"/>
  <c r="T394" i="11"/>
  <c r="S394" i="11"/>
  <c r="R394" i="11"/>
  <c r="Q394" i="11"/>
  <c r="L394" i="11"/>
  <c r="BD394" i="11" s="1"/>
  <c r="I394" i="11"/>
  <c r="H394" i="11"/>
  <c r="G394" i="11"/>
  <c r="F394" i="11"/>
  <c r="E394" i="11"/>
  <c r="D394" i="11"/>
  <c r="C394" i="11"/>
  <c r="B394" i="11"/>
  <c r="BM393" i="11"/>
  <c r="BK393" i="11"/>
  <c r="BF393" i="11"/>
  <c r="AQ393" i="11"/>
  <c r="AP393" i="11"/>
  <c r="AO393" i="11"/>
  <c r="AN393" i="11"/>
  <c r="AM393" i="11"/>
  <c r="AL393" i="11"/>
  <c r="AK393" i="11"/>
  <c r="AJ393" i="11"/>
  <c r="AI393" i="11"/>
  <c r="AH393" i="11"/>
  <c r="AG393" i="11"/>
  <c r="AF393" i="11"/>
  <c r="AE393" i="11"/>
  <c r="AD393" i="11"/>
  <c r="AC393" i="11"/>
  <c r="AB393" i="11"/>
  <c r="AA393" i="11"/>
  <c r="Z393" i="11"/>
  <c r="Y393" i="11"/>
  <c r="X393" i="11"/>
  <c r="W393" i="11"/>
  <c r="V393" i="11"/>
  <c r="U393" i="11"/>
  <c r="T393" i="11"/>
  <c r="S393" i="11"/>
  <c r="R393" i="11"/>
  <c r="Q393" i="11"/>
  <c r="P393" i="11"/>
  <c r="M393" i="11"/>
  <c r="L393" i="11"/>
  <c r="BD393" i="11" s="1"/>
  <c r="G393" i="11"/>
  <c r="F393" i="11"/>
  <c r="D393" i="11"/>
  <c r="C393" i="11"/>
  <c r="AQ392" i="11"/>
  <c r="AP392" i="11"/>
  <c r="AO392" i="11"/>
  <c r="AN392" i="11"/>
  <c r="AM392" i="11"/>
  <c r="AL392" i="11"/>
  <c r="AK392" i="11"/>
  <c r="AJ392" i="11"/>
  <c r="AI392" i="11"/>
  <c r="AH392" i="11"/>
  <c r="AG392" i="11"/>
  <c r="AF392" i="11"/>
  <c r="AE392" i="11"/>
  <c r="AD392" i="11"/>
  <c r="AC392" i="11"/>
  <c r="AB392" i="11"/>
  <c r="AA392" i="11"/>
  <c r="Z392" i="11"/>
  <c r="Y392" i="11"/>
  <c r="X392" i="11"/>
  <c r="W392" i="11"/>
  <c r="V392" i="11"/>
  <c r="U392" i="11"/>
  <c r="T392" i="11"/>
  <c r="S392" i="11"/>
  <c r="R392" i="11"/>
  <c r="Q392" i="11"/>
  <c r="BM392" i="11" s="1"/>
  <c r="M392" i="11"/>
  <c r="BF392" i="11" s="1"/>
  <c r="G392" i="11"/>
  <c r="F392" i="11"/>
  <c r="E392" i="11"/>
  <c r="D392" i="11"/>
  <c r="B392" i="11"/>
  <c r="AQ391" i="11"/>
  <c r="AP391" i="11"/>
  <c r="AO391" i="11"/>
  <c r="AN391" i="11"/>
  <c r="AM391" i="11"/>
  <c r="AL391" i="11"/>
  <c r="AK391" i="11"/>
  <c r="AJ391" i="11"/>
  <c r="AI391" i="11"/>
  <c r="AH391" i="11"/>
  <c r="AG391" i="11"/>
  <c r="AF391" i="11"/>
  <c r="AE391" i="11"/>
  <c r="AD391" i="11"/>
  <c r="AC391" i="11"/>
  <c r="AB391" i="11"/>
  <c r="AA391" i="11"/>
  <c r="Z391" i="11"/>
  <c r="Y391" i="11"/>
  <c r="X391" i="11"/>
  <c r="W391" i="11"/>
  <c r="V391" i="11"/>
  <c r="U391" i="11"/>
  <c r="T391" i="11"/>
  <c r="S391" i="11"/>
  <c r="R391" i="11"/>
  <c r="Q391" i="11"/>
  <c r="BM391" i="11" s="1"/>
  <c r="P391" i="11"/>
  <c r="BK391" i="11" s="1"/>
  <c r="L391" i="11"/>
  <c r="BD391" i="11" s="1"/>
  <c r="K391" i="11"/>
  <c r="J391" i="11"/>
  <c r="I391" i="11"/>
  <c r="BK390" i="11"/>
  <c r="AQ390" i="11"/>
  <c r="AP390" i="11"/>
  <c r="AO390" i="11"/>
  <c r="AN390" i="11"/>
  <c r="AM390" i="11"/>
  <c r="AL390" i="11"/>
  <c r="AK390" i="11"/>
  <c r="AJ390" i="11"/>
  <c r="AI390" i="11"/>
  <c r="AH390" i="11"/>
  <c r="AG390" i="11"/>
  <c r="AF390" i="11"/>
  <c r="AE390" i="11"/>
  <c r="AD390" i="11"/>
  <c r="AC390" i="11"/>
  <c r="AB390" i="11"/>
  <c r="AA390" i="11"/>
  <c r="Z390" i="11"/>
  <c r="Y390" i="11"/>
  <c r="X390" i="11"/>
  <c r="W390" i="11"/>
  <c r="V390" i="11"/>
  <c r="U390" i="11"/>
  <c r="T390" i="11"/>
  <c r="S390" i="11"/>
  <c r="R390" i="11"/>
  <c r="Q390" i="11"/>
  <c r="BM390" i="11" s="1"/>
  <c r="P390" i="11"/>
  <c r="O390" i="11"/>
  <c r="M390" i="11"/>
  <c r="BF390" i="11" s="1"/>
  <c r="J390" i="11"/>
  <c r="I390" i="11"/>
  <c r="H390" i="11"/>
  <c r="BK389" i="11"/>
  <c r="AQ389" i="11"/>
  <c r="AQ401" i="11" s="1"/>
  <c r="AQ25" i="11" s="1"/>
  <c r="AP389" i="11"/>
  <c r="AO389" i="11"/>
  <c r="AN389" i="11"/>
  <c r="AM389" i="11"/>
  <c r="AL389" i="11"/>
  <c r="AK389" i="11"/>
  <c r="AJ389" i="11"/>
  <c r="AI389" i="11"/>
  <c r="AI401" i="11" s="1"/>
  <c r="AI25" i="11" s="1"/>
  <c r="AH389" i="11"/>
  <c r="AG389" i="11"/>
  <c r="AG401" i="11" s="1"/>
  <c r="AG25" i="11" s="1"/>
  <c r="AF389" i="11"/>
  <c r="AF401" i="11" s="1"/>
  <c r="AF25" i="11" s="1"/>
  <c r="AE389" i="11"/>
  <c r="AD389" i="11"/>
  <c r="AC389" i="11"/>
  <c r="AB389" i="11"/>
  <c r="AA389" i="11"/>
  <c r="Z389" i="11"/>
  <c r="Y389" i="11"/>
  <c r="X389" i="11"/>
  <c r="W389" i="11"/>
  <c r="V389" i="11"/>
  <c r="U389" i="11"/>
  <c r="U401" i="11" s="1"/>
  <c r="U25" i="11" s="1"/>
  <c r="T389" i="11"/>
  <c r="S389" i="11"/>
  <c r="R389" i="11"/>
  <c r="Q389" i="11"/>
  <c r="P389" i="11"/>
  <c r="N389" i="11"/>
  <c r="J389" i="11"/>
  <c r="AQ388" i="11"/>
  <c r="AP388" i="11"/>
  <c r="AO388" i="11"/>
  <c r="AN388" i="11"/>
  <c r="AM388" i="11"/>
  <c r="AL388" i="11"/>
  <c r="AK388" i="11"/>
  <c r="AJ388" i="11"/>
  <c r="AI388" i="11"/>
  <c r="AH388" i="11"/>
  <c r="AG388" i="11"/>
  <c r="AF388" i="11"/>
  <c r="AE388" i="11"/>
  <c r="AD388" i="11"/>
  <c r="AC388" i="11"/>
  <c r="AB388" i="11"/>
  <c r="AA388" i="11"/>
  <c r="Z388" i="11"/>
  <c r="Y388" i="11"/>
  <c r="X388" i="11"/>
  <c r="W388" i="11"/>
  <c r="V388" i="11"/>
  <c r="U388" i="11"/>
  <c r="T388" i="11"/>
  <c r="S388" i="11"/>
  <c r="R388" i="11"/>
  <c r="Q388" i="11"/>
  <c r="P388" i="11"/>
  <c r="O388" i="11"/>
  <c r="N388" i="11"/>
  <c r="M388" i="11"/>
  <c r="L388" i="11"/>
  <c r="K388" i="11"/>
  <c r="J388" i="11"/>
  <c r="I388" i="11"/>
  <c r="H388" i="11"/>
  <c r="G388" i="11"/>
  <c r="F388" i="11"/>
  <c r="E388" i="11"/>
  <c r="D388" i="11"/>
  <c r="C388" i="11"/>
  <c r="B388" i="11"/>
  <c r="BF384" i="11"/>
  <c r="BD384" i="11"/>
  <c r="BB384" i="11"/>
  <c r="P384" i="11"/>
  <c r="O384" i="11"/>
  <c r="N384" i="11"/>
  <c r="M384" i="11"/>
  <c r="L384" i="11"/>
  <c r="K384" i="11"/>
  <c r="J384" i="11"/>
  <c r="I384" i="11"/>
  <c r="H384" i="11"/>
  <c r="G384" i="11"/>
  <c r="G336" i="11" s="1"/>
  <c r="F384" i="11"/>
  <c r="E384" i="11"/>
  <c r="D384" i="11"/>
  <c r="C384" i="11"/>
  <c r="B384" i="11"/>
  <c r="BK383" i="11"/>
  <c r="BF383" i="11"/>
  <c r="BD383" i="11"/>
  <c r="P383" i="11"/>
  <c r="O383" i="11"/>
  <c r="N383" i="11"/>
  <c r="M383" i="11"/>
  <c r="L383" i="11"/>
  <c r="K383" i="11"/>
  <c r="J383" i="11"/>
  <c r="J335" i="11" s="1"/>
  <c r="I383" i="11"/>
  <c r="H383" i="11"/>
  <c r="H335" i="11" s="1"/>
  <c r="G383" i="11"/>
  <c r="G335" i="11" s="1"/>
  <c r="F383" i="11"/>
  <c r="E383" i="11"/>
  <c r="D383" i="11"/>
  <c r="D335" i="11" s="1"/>
  <c r="C383" i="11"/>
  <c r="B383" i="11"/>
  <c r="BK382" i="11"/>
  <c r="BF382" i="11"/>
  <c r="P382" i="11"/>
  <c r="O382" i="11"/>
  <c r="N382" i="11"/>
  <c r="N334" i="11" s="1"/>
  <c r="M382" i="11"/>
  <c r="L382" i="11"/>
  <c r="BD382" i="11" s="1"/>
  <c r="K382" i="11"/>
  <c r="J382" i="11"/>
  <c r="I382" i="11"/>
  <c r="H382" i="11"/>
  <c r="G382" i="11"/>
  <c r="F382" i="11"/>
  <c r="E382" i="11"/>
  <c r="D382" i="11"/>
  <c r="C382" i="11"/>
  <c r="B382" i="11"/>
  <c r="BF381" i="11"/>
  <c r="P381" i="11"/>
  <c r="BK381" i="11" s="1"/>
  <c r="O381" i="11"/>
  <c r="N381" i="11"/>
  <c r="M381" i="11"/>
  <c r="L381" i="11"/>
  <c r="BD381" i="11" s="1"/>
  <c r="K381" i="11"/>
  <c r="BB381" i="11" s="1"/>
  <c r="J381" i="11"/>
  <c r="I381" i="11"/>
  <c r="H381" i="11"/>
  <c r="G381" i="11"/>
  <c r="F381" i="11"/>
  <c r="E381" i="11"/>
  <c r="D381" i="11"/>
  <c r="C381" i="11"/>
  <c r="B381" i="11"/>
  <c r="P380" i="11"/>
  <c r="BK380" i="11" s="1"/>
  <c r="O380" i="11"/>
  <c r="N380" i="11"/>
  <c r="M380" i="11"/>
  <c r="L380" i="11"/>
  <c r="BD380" i="11" s="1"/>
  <c r="K380" i="11"/>
  <c r="BB380" i="11" s="1"/>
  <c r="J380" i="11"/>
  <c r="J332" i="11" s="1"/>
  <c r="I380" i="11"/>
  <c r="H380" i="11"/>
  <c r="G380" i="11"/>
  <c r="F380" i="11"/>
  <c r="E380" i="11"/>
  <c r="D380" i="11"/>
  <c r="C380" i="11"/>
  <c r="B380" i="11"/>
  <c r="BK379" i="11"/>
  <c r="BD379" i="11"/>
  <c r="BB379" i="11"/>
  <c r="P379" i="11"/>
  <c r="O379" i="11"/>
  <c r="N379" i="11"/>
  <c r="M379" i="11"/>
  <c r="BF379" i="11" s="1"/>
  <c r="L379" i="11"/>
  <c r="K379" i="11"/>
  <c r="J379" i="11"/>
  <c r="I379" i="11"/>
  <c r="H379" i="11"/>
  <c r="G379" i="11"/>
  <c r="F379" i="11"/>
  <c r="E379" i="11"/>
  <c r="D379" i="11"/>
  <c r="C379" i="11"/>
  <c r="B379" i="11"/>
  <c r="BK378" i="11"/>
  <c r="BF378" i="11"/>
  <c r="BD378" i="11"/>
  <c r="BB378" i="11"/>
  <c r="P378" i="11"/>
  <c r="O378" i="11"/>
  <c r="N378" i="11"/>
  <c r="M378" i="11"/>
  <c r="L378" i="11"/>
  <c r="K378" i="11"/>
  <c r="J378" i="11"/>
  <c r="I378" i="11"/>
  <c r="H378" i="11"/>
  <c r="G378" i="11"/>
  <c r="F378" i="11"/>
  <c r="E378" i="11"/>
  <c r="D378" i="11"/>
  <c r="C378" i="11"/>
  <c r="B378" i="11"/>
  <c r="B385" i="11" s="1"/>
  <c r="B24" i="11" s="1"/>
  <c r="BK377" i="11"/>
  <c r="BF377" i="11"/>
  <c r="BB377" i="11"/>
  <c r="P377" i="11"/>
  <c r="O377" i="11"/>
  <c r="N377" i="11"/>
  <c r="N329" i="11" s="1"/>
  <c r="M377" i="11"/>
  <c r="L377" i="11"/>
  <c r="BD377" i="11" s="1"/>
  <c r="K377" i="11"/>
  <c r="J377" i="11"/>
  <c r="I377" i="11"/>
  <c r="H377" i="11"/>
  <c r="G377" i="11"/>
  <c r="F377" i="11"/>
  <c r="E377" i="11"/>
  <c r="D377" i="11"/>
  <c r="D329" i="11" s="1"/>
  <c r="C377" i="11"/>
  <c r="B377" i="11"/>
  <c r="B329" i="11" s="1"/>
  <c r="P376" i="11"/>
  <c r="BK376" i="11" s="1"/>
  <c r="O376" i="11"/>
  <c r="N376" i="11"/>
  <c r="M376" i="11"/>
  <c r="BF376" i="11" s="1"/>
  <c r="L376" i="11"/>
  <c r="BD376" i="11" s="1"/>
  <c r="K376" i="11"/>
  <c r="J376" i="11"/>
  <c r="I376" i="11"/>
  <c r="H376" i="11"/>
  <c r="G376" i="11"/>
  <c r="F376" i="11"/>
  <c r="E376" i="11"/>
  <c r="E328" i="11" s="1"/>
  <c r="D376" i="11"/>
  <c r="C376" i="11"/>
  <c r="B376" i="11"/>
  <c r="Q375" i="11"/>
  <c r="BM375" i="11" s="1"/>
  <c r="P375" i="11"/>
  <c r="BK375" i="11" s="1"/>
  <c r="O375" i="11"/>
  <c r="N375" i="11"/>
  <c r="M375" i="11"/>
  <c r="BF375" i="11" s="1"/>
  <c r="L375" i="11"/>
  <c r="BD375" i="11" s="1"/>
  <c r="K375" i="11"/>
  <c r="J375" i="11"/>
  <c r="J327" i="11" s="1"/>
  <c r="I375" i="11"/>
  <c r="H375" i="11"/>
  <c r="G375" i="11"/>
  <c r="F375" i="11"/>
  <c r="E375" i="11"/>
  <c r="D375" i="11"/>
  <c r="C375" i="11"/>
  <c r="B375" i="11"/>
  <c r="Q374" i="11"/>
  <c r="Q326" i="11" s="1"/>
  <c r="P374" i="11"/>
  <c r="O374" i="11"/>
  <c r="O385" i="11" s="1"/>
  <c r="O24" i="11" s="1"/>
  <c r="BI24" i="11" s="1"/>
  <c r="N374" i="11"/>
  <c r="N385" i="11" s="1"/>
  <c r="N24" i="11" s="1"/>
  <c r="BG24" i="11" s="1"/>
  <c r="M374" i="11"/>
  <c r="L374" i="11"/>
  <c r="K374" i="11"/>
  <c r="J374" i="11"/>
  <c r="I374" i="11"/>
  <c r="H374" i="11"/>
  <c r="G374" i="11"/>
  <c r="F374" i="11"/>
  <c r="E374" i="11"/>
  <c r="D374" i="11"/>
  <c r="C374" i="11"/>
  <c r="B374" i="11"/>
  <c r="BF373" i="11"/>
  <c r="BD373" i="11"/>
  <c r="Q373" i="11"/>
  <c r="BM373" i="11" s="1"/>
  <c r="P373" i="11"/>
  <c r="O373" i="11"/>
  <c r="N373" i="11"/>
  <c r="M373" i="11"/>
  <c r="L373" i="11"/>
  <c r="K373" i="11"/>
  <c r="J373" i="11"/>
  <c r="I373" i="11"/>
  <c r="H373" i="11"/>
  <c r="G373" i="11"/>
  <c r="F373" i="11"/>
  <c r="E373" i="11"/>
  <c r="D373" i="11"/>
  <c r="C373" i="11"/>
  <c r="B373" i="11"/>
  <c r="AQ372" i="11"/>
  <c r="AP372" i="11"/>
  <c r="AO372" i="11"/>
  <c r="AN372" i="11"/>
  <c r="AM372" i="11"/>
  <c r="AL372" i="11"/>
  <c r="AK372" i="11"/>
  <c r="AJ372" i="11"/>
  <c r="AI372" i="11"/>
  <c r="AH372" i="11"/>
  <c r="AG372" i="11"/>
  <c r="AF372" i="11"/>
  <c r="AE372" i="11"/>
  <c r="AD372" i="11"/>
  <c r="AC372" i="11"/>
  <c r="AB372" i="11"/>
  <c r="AA372" i="11"/>
  <c r="Z372" i="11"/>
  <c r="Y372" i="11"/>
  <c r="X372" i="11"/>
  <c r="W372" i="11"/>
  <c r="V372" i="11"/>
  <c r="U372" i="11"/>
  <c r="T372" i="11"/>
  <c r="S372" i="11"/>
  <c r="R372" i="11"/>
  <c r="Q372" i="11"/>
  <c r="P372" i="11"/>
  <c r="O372" i="11"/>
  <c r="N372" i="11"/>
  <c r="M372" i="11"/>
  <c r="L372" i="11"/>
  <c r="K372" i="11"/>
  <c r="J372" i="11"/>
  <c r="I372" i="11"/>
  <c r="H372" i="11"/>
  <c r="G372" i="11"/>
  <c r="F372" i="11"/>
  <c r="E372" i="11"/>
  <c r="D372" i="11"/>
  <c r="C372" i="11"/>
  <c r="B372" i="11"/>
  <c r="AQ369" i="11"/>
  <c r="AP369" i="11"/>
  <c r="AO369" i="11"/>
  <c r="AN369" i="11"/>
  <c r="AM369" i="11"/>
  <c r="AL369" i="11"/>
  <c r="AK369" i="11"/>
  <c r="AJ369" i="11"/>
  <c r="AI369" i="11"/>
  <c r="AH369" i="11"/>
  <c r="AG369" i="11"/>
  <c r="AF369" i="11"/>
  <c r="AF23" i="11" s="1"/>
  <c r="AE369" i="11"/>
  <c r="AE23" i="11" s="1"/>
  <c r="AD369" i="11"/>
  <c r="AC369" i="11"/>
  <c r="AC23" i="11" s="1"/>
  <c r="AB369" i="11"/>
  <c r="AB23" i="11" s="1"/>
  <c r="AA369" i="11"/>
  <c r="Z369" i="11"/>
  <c r="Y369" i="11"/>
  <c r="X369" i="11"/>
  <c r="W369" i="11"/>
  <c r="V369" i="11"/>
  <c r="U369" i="11"/>
  <c r="T369" i="11"/>
  <c r="S369" i="11"/>
  <c r="R369" i="11"/>
  <c r="I369" i="11"/>
  <c r="I23" i="11" s="1"/>
  <c r="G369" i="11"/>
  <c r="G23" i="11" s="1"/>
  <c r="F369" i="11"/>
  <c r="F23" i="11" s="1"/>
  <c r="BM368" i="11"/>
  <c r="BL368" i="11"/>
  <c r="BK368" i="11"/>
  <c r="BF368" i="11"/>
  <c r="BD368" i="11"/>
  <c r="BB368" i="11"/>
  <c r="P368" i="11"/>
  <c r="O368" i="11"/>
  <c r="N368" i="11"/>
  <c r="M368" i="11"/>
  <c r="L368" i="11"/>
  <c r="K368" i="11"/>
  <c r="J368" i="11"/>
  <c r="I368" i="11"/>
  <c r="H368" i="11"/>
  <c r="G368" i="11"/>
  <c r="F368" i="11"/>
  <c r="E368" i="11"/>
  <c r="D368" i="11"/>
  <c r="C368" i="11"/>
  <c r="B368" i="11"/>
  <c r="BL367" i="11"/>
  <c r="BM367" i="11" s="1"/>
  <c r="BK367" i="11"/>
  <c r="BF367" i="11"/>
  <c r="BD367" i="11"/>
  <c r="BB367" i="11"/>
  <c r="P367" i="11"/>
  <c r="O367" i="11"/>
  <c r="N367" i="11"/>
  <c r="M367" i="11"/>
  <c r="L367" i="11"/>
  <c r="K367" i="11"/>
  <c r="J367" i="11"/>
  <c r="I367" i="11"/>
  <c r="H367" i="11"/>
  <c r="G367" i="11"/>
  <c r="F367" i="11"/>
  <c r="E367" i="11"/>
  <c r="D367" i="11"/>
  <c r="C367" i="11"/>
  <c r="B367" i="11"/>
  <c r="BL366" i="11"/>
  <c r="BM366" i="11" s="1"/>
  <c r="BK366" i="11"/>
  <c r="BF366" i="11"/>
  <c r="BD366" i="11"/>
  <c r="BB366" i="11"/>
  <c r="P366" i="11"/>
  <c r="O366" i="11"/>
  <c r="N366" i="11"/>
  <c r="M366" i="11"/>
  <c r="L366" i="11"/>
  <c r="K366" i="11"/>
  <c r="J366" i="11"/>
  <c r="I366" i="11"/>
  <c r="H366" i="11"/>
  <c r="G366" i="11"/>
  <c r="F366" i="11"/>
  <c r="E366" i="11"/>
  <c r="D366" i="11"/>
  <c r="C366" i="11"/>
  <c r="B366" i="11"/>
  <c r="B369" i="11" s="1"/>
  <c r="B23" i="11" s="1"/>
  <c r="BF365" i="11"/>
  <c r="BD365" i="11"/>
  <c r="BB365" i="11"/>
  <c r="P365" i="11"/>
  <c r="BK365" i="11" s="1"/>
  <c r="O365" i="11"/>
  <c r="N365" i="11"/>
  <c r="BL365" i="11" s="1"/>
  <c r="BM365" i="11" s="1"/>
  <c r="M365" i="11"/>
  <c r="L365" i="11"/>
  <c r="K365" i="11"/>
  <c r="J365" i="11"/>
  <c r="I365" i="11"/>
  <c r="H365" i="11"/>
  <c r="G365" i="11"/>
  <c r="F365" i="11"/>
  <c r="E365" i="11"/>
  <c r="D365" i="11"/>
  <c r="C365" i="11"/>
  <c r="B365" i="11"/>
  <c r="BD364" i="11"/>
  <c r="BB364" i="11"/>
  <c r="P364" i="11"/>
  <c r="BK364" i="11" s="1"/>
  <c r="O364" i="11"/>
  <c r="N364" i="11"/>
  <c r="BL364" i="11" s="1"/>
  <c r="BM364" i="11" s="1"/>
  <c r="M364" i="11"/>
  <c r="BF364" i="11" s="1"/>
  <c r="L364" i="11"/>
  <c r="K364" i="11"/>
  <c r="J364" i="11"/>
  <c r="I364" i="11"/>
  <c r="H364" i="11"/>
  <c r="G364" i="11"/>
  <c r="F364" i="11"/>
  <c r="E364" i="11"/>
  <c r="D364" i="11"/>
  <c r="C364" i="11"/>
  <c r="B364" i="11"/>
  <c r="BB363" i="11"/>
  <c r="P363" i="11"/>
  <c r="BK363" i="11" s="1"/>
  <c r="O363" i="11"/>
  <c r="N363" i="11"/>
  <c r="BL363" i="11" s="1"/>
  <c r="BM363" i="11" s="1"/>
  <c r="M363" i="11"/>
  <c r="BF363" i="11" s="1"/>
  <c r="L363" i="11"/>
  <c r="BD363" i="11" s="1"/>
  <c r="K363" i="11"/>
  <c r="J363" i="11"/>
  <c r="I363" i="11"/>
  <c r="H363" i="11"/>
  <c r="G363" i="11"/>
  <c r="F363" i="11"/>
  <c r="E363" i="11"/>
  <c r="D363" i="11"/>
  <c r="C363" i="11"/>
  <c r="B363" i="11"/>
  <c r="P362" i="11"/>
  <c r="BK362" i="11" s="1"/>
  <c r="O362" i="11"/>
  <c r="N362" i="11"/>
  <c r="BL362" i="11" s="1"/>
  <c r="BM362" i="11" s="1"/>
  <c r="M362" i="11"/>
  <c r="BF362" i="11" s="1"/>
  <c r="L362" i="11"/>
  <c r="BD362" i="11" s="1"/>
  <c r="K362" i="11"/>
  <c r="BB362" i="11" s="1"/>
  <c r="J362" i="11"/>
  <c r="I362" i="11"/>
  <c r="H362" i="11"/>
  <c r="G362" i="11"/>
  <c r="F362" i="11"/>
  <c r="E362" i="11"/>
  <c r="D362" i="11"/>
  <c r="C362" i="11"/>
  <c r="B362" i="11"/>
  <c r="P361" i="11"/>
  <c r="BK361" i="11" s="1"/>
  <c r="O361" i="11"/>
  <c r="N361" i="11"/>
  <c r="BL361" i="11" s="1"/>
  <c r="BM361" i="11" s="1"/>
  <c r="M361" i="11"/>
  <c r="BF361" i="11" s="1"/>
  <c r="L361" i="11"/>
  <c r="BD361" i="11" s="1"/>
  <c r="K361" i="11"/>
  <c r="BB361" i="11" s="1"/>
  <c r="J361" i="11"/>
  <c r="I361" i="11"/>
  <c r="H361" i="11"/>
  <c r="G361" i="11"/>
  <c r="F361" i="11"/>
  <c r="E361" i="11"/>
  <c r="D361" i="11"/>
  <c r="C361" i="11"/>
  <c r="B361" i="11"/>
  <c r="BK360" i="11"/>
  <c r="P360" i="11"/>
  <c r="O360" i="11"/>
  <c r="N360" i="11"/>
  <c r="BL360" i="11" s="1"/>
  <c r="BM360" i="11" s="1"/>
  <c r="M360" i="11"/>
  <c r="BF360" i="11" s="1"/>
  <c r="L360" i="11"/>
  <c r="BD360" i="11" s="1"/>
  <c r="K360" i="11"/>
  <c r="J360" i="11"/>
  <c r="I360" i="11"/>
  <c r="H360" i="11"/>
  <c r="G360" i="11"/>
  <c r="F360" i="11"/>
  <c r="E360" i="11"/>
  <c r="D360" i="11"/>
  <c r="C360" i="11"/>
  <c r="B360" i="11"/>
  <c r="BL359" i="11"/>
  <c r="BK359" i="11"/>
  <c r="BD359" i="11"/>
  <c r="Q359" i="11"/>
  <c r="P359" i="11"/>
  <c r="O359" i="11"/>
  <c r="N359" i="11"/>
  <c r="M359" i="11"/>
  <c r="BF359" i="11" s="1"/>
  <c r="L359" i="11"/>
  <c r="K359" i="11"/>
  <c r="J359" i="11"/>
  <c r="I359" i="11"/>
  <c r="H359" i="11"/>
  <c r="G359" i="11"/>
  <c r="F359" i="11"/>
  <c r="E359" i="11"/>
  <c r="D359" i="11"/>
  <c r="C359" i="11"/>
  <c r="B359" i="11"/>
  <c r="BM358" i="11"/>
  <c r="BK358" i="11"/>
  <c r="BF358" i="11"/>
  <c r="Q358" i="11"/>
  <c r="P358" i="11"/>
  <c r="O358" i="11"/>
  <c r="N358" i="11"/>
  <c r="BL358" i="11" s="1"/>
  <c r="M358" i="11"/>
  <c r="L358" i="11"/>
  <c r="BD358" i="11" s="1"/>
  <c r="K358" i="11"/>
  <c r="J358" i="11"/>
  <c r="I358" i="11"/>
  <c r="H358" i="11"/>
  <c r="G358" i="11"/>
  <c r="F358" i="11"/>
  <c r="E358" i="11"/>
  <c r="D358" i="11"/>
  <c r="C358" i="11"/>
  <c r="B358" i="11"/>
  <c r="BL357" i="11"/>
  <c r="BF357" i="11"/>
  <c r="BD357" i="11"/>
  <c r="Q357" i="11"/>
  <c r="Q369" i="11" s="1"/>
  <c r="P357" i="11"/>
  <c r="O357" i="11"/>
  <c r="N357" i="11"/>
  <c r="M357" i="11"/>
  <c r="L357" i="11"/>
  <c r="K357" i="11"/>
  <c r="J357" i="11"/>
  <c r="I357" i="11"/>
  <c r="H357" i="11"/>
  <c r="G357" i="11"/>
  <c r="F357" i="11"/>
  <c r="E357" i="11"/>
  <c r="E369" i="11" s="1"/>
  <c r="E23" i="11" s="1"/>
  <c r="D357" i="11"/>
  <c r="C357" i="11"/>
  <c r="B357" i="11"/>
  <c r="AQ356" i="11"/>
  <c r="AP356" i="11"/>
  <c r="AO356" i="11"/>
  <c r="AN356" i="11"/>
  <c r="AM356" i="11"/>
  <c r="AL356" i="11"/>
  <c r="AK356" i="11"/>
  <c r="AJ356" i="11"/>
  <c r="AI356" i="11"/>
  <c r="AH356" i="11"/>
  <c r="AG356" i="11"/>
  <c r="AF356" i="11"/>
  <c r="AE356" i="11"/>
  <c r="AD356" i="11"/>
  <c r="AC356" i="11"/>
  <c r="AB356" i="11"/>
  <c r="AA356" i="11"/>
  <c r="Z356" i="11"/>
  <c r="Y356" i="11"/>
  <c r="X356" i="11"/>
  <c r="W356" i="11"/>
  <c r="V356" i="11"/>
  <c r="U356" i="11"/>
  <c r="T356" i="11"/>
  <c r="S356" i="11"/>
  <c r="R356" i="11"/>
  <c r="Q356" i="11"/>
  <c r="P356" i="11"/>
  <c r="O356" i="11"/>
  <c r="N356" i="11"/>
  <c r="M356" i="11"/>
  <c r="L356" i="11"/>
  <c r="K356" i="11"/>
  <c r="J356" i="11"/>
  <c r="I356" i="11"/>
  <c r="H356" i="11"/>
  <c r="G356" i="11"/>
  <c r="F356" i="11"/>
  <c r="E356" i="11"/>
  <c r="D356" i="11"/>
  <c r="C356" i="11"/>
  <c r="B356" i="11"/>
  <c r="N353" i="11"/>
  <c r="N22" i="11" s="1"/>
  <c r="BG22" i="11" s="1"/>
  <c r="J353" i="11"/>
  <c r="J22" i="11" s="1"/>
  <c r="BF352" i="11"/>
  <c r="BB352" i="11"/>
  <c r="P352" i="11"/>
  <c r="O352" i="11"/>
  <c r="N352" i="11"/>
  <c r="M352" i="11"/>
  <c r="M336" i="11" s="1"/>
  <c r="L352" i="11"/>
  <c r="BD352" i="11" s="1"/>
  <c r="K352" i="11"/>
  <c r="J352" i="11"/>
  <c r="J336" i="11" s="1"/>
  <c r="I352" i="11"/>
  <c r="H352" i="11"/>
  <c r="G352" i="11"/>
  <c r="F352" i="11"/>
  <c r="E352" i="11"/>
  <c r="D352" i="11"/>
  <c r="C352" i="11"/>
  <c r="B352" i="11"/>
  <c r="BK351" i="11"/>
  <c r="BF351" i="11"/>
  <c r="BD351" i="11"/>
  <c r="BB351" i="11"/>
  <c r="P351" i="11"/>
  <c r="P335" i="11" s="1"/>
  <c r="O351" i="11"/>
  <c r="N351" i="11"/>
  <c r="N335" i="11" s="1"/>
  <c r="M351" i="11"/>
  <c r="L351" i="11"/>
  <c r="K351" i="11"/>
  <c r="J351" i="11"/>
  <c r="I351" i="11"/>
  <c r="H351" i="11"/>
  <c r="G351" i="11"/>
  <c r="F351" i="11"/>
  <c r="E351" i="11"/>
  <c r="D351" i="11"/>
  <c r="C351" i="11"/>
  <c r="B351" i="11"/>
  <c r="BK350" i="11"/>
  <c r="BB350" i="11"/>
  <c r="P350" i="11"/>
  <c r="O350" i="11"/>
  <c r="O334" i="11" s="1"/>
  <c r="N350" i="11"/>
  <c r="M350" i="11"/>
  <c r="L350" i="11"/>
  <c r="K350" i="11"/>
  <c r="J350" i="11"/>
  <c r="J334" i="11" s="1"/>
  <c r="I350" i="11"/>
  <c r="I334" i="11" s="1"/>
  <c r="H350" i="11"/>
  <c r="H334" i="11" s="1"/>
  <c r="G350" i="11"/>
  <c r="G334" i="11" s="1"/>
  <c r="F350" i="11"/>
  <c r="E350" i="11"/>
  <c r="D350" i="11"/>
  <c r="C350" i="11"/>
  <c r="B350" i="11"/>
  <c r="BK349" i="11"/>
  <c r="P349" i="11"/>
  <c r="O349" i="11"/>
  <c r="N349" i="11"/>
  <c r="M349" i="11"/>
  <c r="L349" i="11"/>
  <c r="K349" i="11"/>
  <c r="J349" i="11"/>
  <c r="I349" i="11"/>
  <c r="I333" i="11" s="1"/>
  <c r="H349" i="11"/>
  <c r="G349" i="11"/>
  <c r="F349" i="11"/>
  <c r="F333" i="11" s="1"/>
  <c r="E349" i="11"/>
  <c r="D349" i="11"/>
  <c r="D333" i="11" s="1"/>
  <c r="C349" i="11"/>
  <c r="B349" i="11"/>
  <c r="B333" i="11" s="1"/>
  <c r="BD348" i="11"/>
  <c r="P348" i="11"/>
  <c r="O348" i="11"/>
  <c r="N348" i="11"/>
  <c r="M348" i="11"/>
  <c r="BF348" i="11" s="1"/>
  <c r="L348" i="11"/>
  <c r="K348" i="11"/>
  <c r="J348" i="11"/>
  <c r="I348" i="11"/>
  <c r="H348" i="11"/>
  <c r="H332" i="11" s="1"/>
  <c r="G348" i="11"/>
  <c r="F348" i="11"/>
  <c r="F332" i="11" s="1"/>
  <c r="E348" i="11"/>
  <c r="D348" i="11"/>
  <c r="C348" i="11"/>
  <c r="B348" i="11"/>
  <c r="B332" i="11" s="1"/>
  <c r="BK347" i="11"/>
  <c r="BD347" i="11"/>
  <c r="BB347" i="11"/>
  <c r="P347" i="11"/>
  <c r="O347" i="11"/>
  <c r="N347" i="11"/>
  <c r="N331" i="11" s="1"/>
  <c r="M347" i="11"/>
  <c r="BF347" i="11" s="1"/>
  <c r="L347" i="11"/>
  <c r="K347" i="11"/>
  <c r="J347" i="11"/>
  <c r="I347" i="11"/>
  <c r="H347" i="11"/>
  <c r="G347" i="11"/>
  <c r="G331" i="11" s="1"/>
  <c r="F347" i="11"/>
  <c r="E347" i="11"/>
  <c r="E331" i="11" s="1"/>
  <c r="D347" i="11"/>
  <c r="C347" i="11"/>
  <c r="B347" i="11"/>
  <c r="B331" i="11" s="1"/>
  <c r="BK346" i="11"/>
  <c r="BD346" i="11"/>
  <c r="BB346" i="11"/>
  <c r="P346" i="11"/>
  <c r="O346" i="11"/>
  <c r="N346" i="11"/>
  <c r="M346" i="11"/>
  <c r="L346" i="11"/>
  <c r="K346" i="11"/>
  <c r="J346" i="11"/>
  <c r="I346" i="11"/>
  <c r="H346" i="11"/>
  <c r="G346" i="11"/>
  <c r="G330" i="11" s="1"/>
  <c r="F346" i="11"/>
  <c r="E346" i="11"/>
  <c r="D346" i="11"/>
  <c r="C346" i="11"/>
  <c r="B346" i="11"/>
  <c r="BK345" i="11"/>
  <c r="BD345" i="11"/>
  <c r="P345" i="11"/>
  <c r="BH346" i="11" s="1"/>
  <c r="O345" i="11"/>
  <c r="N345" i="11"/>
  <c r="M345" i="11"/>
  <c r="BF345" i="11" s="1"/>
  <c r="L345" i="11"/>
  <c r="K345" i="11"/>
  <c r="BB345" i="11" s="1"/>
  <c r="J345" i="11"/>
  <c r="I345" i="11"/>
  <c r="H345" i="11"/>
  <c r="H329" i="11" s="1"/>
  <c r="G345" i="11"/>
  <c r="F345" i="11"/>
  <c r="F329" i="11" s="1"/>
  <c r="E345" i="11"/>
  <c r="E329" i="11" s="1"/>
  <c r="D345" i="11"/>
  <c r="C345" i="11"/>
  <c r="B345" i="11"/>
  <c r="BK344" i="11"/>
  <c r="P344" i="11"/>
  <c r="O344" i="11"/>
  <c r="O328" i="11" s="1"/>
  <c r="N344" i="11"/>
  <c r="M344" i="11"/>
  <c r="BF344" i="11" s="1"/>
  <c r="L344" i="11"/>
  <c r="BD344" i="11" s="1"/>
  <c r="K344" i="11"/>
  <c r="J344" i="11"/>
  <c r="I344" i="11"/>
  <c r="I328" i="11" s="1"/>
  <c r="H344" i="11"/>
  <c r="H328" i="11" s="1"/>
  <c r="G344" i="11"/>
  <c r="G328" i="11" s="1"/>
  <c r="F344" i="11"/>
  <c r="F328" i="11" s="1"/>
  <c r="E344" i="11"/>
  <c r="D344" i="11"/>
  <c r="D328" i="11" s="1"/>
  <c r="C344" i="11"/>
  <c r="B344" i="11"/>
  <c r="BK343" i="11"/>
  <c r="BF343" i="11"/>
  <c r="BD343" i="11"/>
  <c r="Q343" i="11"/>
  <c r="P343" i="11"/>
  <c r="P327" i="11" s="1"/>
  <c r="BK327" i="11" s="1"/>
  <c r="O343" i="11"/>
  <c r="N343" i="11"/>
  <c r="M343" i="11"/>
  <c r="L343" i="11"/>
  <c r="L327" i="11" s="1"/>
  <c r="K343" i="11"/>
  <c r="J343" i="11"/>
  <c r="I343" i="11"/>
  <c r="H343" i="11"/>
  <c r="G343" i="11"/>
  <c r="F343" i="11"/>
  <c r="E343" i="11"/>
  <c r="D343" i="11"/>
  <c r="C343" i="11"/>
  <c r="B343" i="11"/>
  <c r="BK342" i="11"/>
  <c r="Q342" i="11"/>
  <c r="BM342" i="11" s="1"/>
  <c r="P342" i="11"/>
  <c r="O342" i="11"/>
  <c r="N342" i="11"/>
  <c r="M342" i="11"/>
  <c r="L342" i="11"/>
  <c r="K342" i="11"/>
  <c r="J342" i="11"/>
  <c r="I342" i="11"/>
  <c r="I326" i="11" s="1"/>
  <c r="H342" i="11"/>
  <c r="G342" i="11"/>
  <c r="F342" i="11"/>
  <c r="E342" i="11"/>
  <c r="D342" i="11"/>
  <c r="D326" i="11" s="1"/>
  <c r="C342" i="11"/>
  <c r="C326" i="11" s="1"/>
  <c r="C181" i="4" s="1"/>
  <c r="B342" i="11"/>
  <c r="BM341" i="11"/>
  <c r="Q341" i="11"/>
  <c r="P341" i="11"/>
  <c r="O341" i="11"/>
  <c r="O325" i="11" s="1"/>
  <c r="N341" i="11"/>
  <c r="M341" i="11"/>
  <c r="BF341" i="11" s="1"/>
  <c r="L341" i="11"/>
  <c r="BD341" i="11" s="1"/>
  <c r="K341" i="11"/>
  <c r="J341" i="11"/>
  <c r="I341" i="11"/>
  <c r="H341" i="11"/>
  <c r="G341" i="11"/>
  <c r="F341" i="11"/>
  <c r="E341" i="11"/>
  <c r="D341" i="11"/>
  <c r="C341" i="11"/>
  <c r="B341" i="11"/>
  <c r="AQ340" i="11"/>
  <c r="AP340" i="11"/>
  <c r="AO340" i="11"/>
  <c r="AN340" i="11"/>
  <c r="AM340" i="11"/>
  <c r="AL340" i="11"/>
  <c r="AK340" i="11"/>
  <c r="AJ340" i="11"/>
  <c r="AI340" i="11"/>
  <c r="AH340" i="11"/>
  <c r="AG340" i="11"/>
  <c r="AF340" i="11"/>
  <c r="AE340" i="11"/>
  <c r="AD340" i="11"/>
  <c r="AC340" i="11"/>
  <c r="AB340" i="11"/>
  <c r="AA340" i="11"/>
  <c r="Z340" i="11"/>
  <c r="Y340" i="11"/>
  <c r="X340" i="11"/>
  <c r="W340" i="11"/>
  <c r="V340" i="11"/>
  <c r="U340" i="11"/>
  <c r="T340" i="11"/>
  <c r="S340" i="11"/>
  <c r="R340" i="11"/>
  <c r="Q340" i="11"/>
  <c r="P340" i="11"/>
  <c r="O340" i="11"/>
  <c r="N340" i="11"/>
  <c r="M340" i="11"/>
  <c r="L340" i="11"/>
  <c r="K340" i="11"/>
  <c r="J340" i="11"/>
  <c r="I340" i="11"/>
  <c r="H340" i="11"/>
  <c r="G340" i="11"/>
  <c r="F340" i="11"/>
  <c r="E340" i="11"/>
  <c r="D340" i="11"/>
  <c r="C340" i="11"/>
  <c r="B340" i="11"/>
  <c r="BF336" i="11"/>
  <c r="BB336" i="11"/>
  <c r="O336" i="11"/>
  <c r="N336" i="11"/>
  <c r="L336" i="11"/>
  <c r="BD336" i="11" s="1"/>
  <c r="K336" i="11"/>
  <c r="I336" i="11"/>
  <c r="H336" i="11"/>
  <c r="F336" i="11"/>
  <c r="E336" i="11"/>
  <c r="D336" i="11"/>
  <c r="C336" i="11"/>
  <c r="B336" i="11"/>
  <c r="BK335" i="11"/>
  <c r="BF335" i="11"/>
  <c r="O335" i="11"/>
  <c r="M335" i="11"/>
  <c r="L335" i="11"/>
  <c r="BD335" i="11" s="1"/>
  <c r="I335" i="11"/>
  <c r="F335" i="11"/>
  <c r="E335" i="11"/>
  <c r="C335" i="11"/>
  <c r="B335" i="11"/>
  <c r="BK334" i="11"/>
  <c r="P334" i="11"/>
  <c r="F334" i="11"/>
  <c r="E334" i="11"/>
  <c r="D334" i="11"/>
  <c r="C334" i="11"/>
  <c r="B334" i="11"/>
  <c r="P333" i="11"/>
  <c r="BK333" i="11" s="1"/>
  <c r="O333" i="11"/>
  <c r="N333" i="11"/>
  <c r="J333" i="11"/>
  <c r="C333" i="11"/>
  <c r="O332" i="11"/>
  <c r="N332" i="11"/>
  <c r="L332" i="11"/>
  <c r="BD332" i="11" s="1"/>
  <c r="K332" i="11"/>
  <c r="BB332" i="11" s="1"/>
  <c r="G332" i="11"/>
  <c r="E332" i="11"/>
  <c r="D332" i="11"/>
  <c r="C332" i="11"/>
  <c r="BD331" i="11"/>
  <c r="P331" i="11"/>
  <c r="BK331" i="11" s="1"/>
  <c r="O331" i="11"/>
  <c r="M331" i="11"/>
  <c r="BF331" i="11" s="1"/>
  <c r="L331" i="11"/>
  <c r="J331" i="11"/>
  <c r="I331" i="11"/>
  <c r="H331" i="11"/>
  <c r="F331" i="11"/>
  <c r="C331" i="11"/>
  <c r="P330" i="11"/>
  <c r="BK330" i="11" s="1"/>
  <c r="O330" i="11"/>
  <c r="N330" i="11"/>
  <c r="L330" i="11"/>
  <c r="BD330" i="11" s="1"/>
  <c r="K330" i="11"/>
  <c r="BB330" i="11" s="1"/>
  <c r="J330" i="11"/>
  <c r="I330" i="11"/>
  <c r="H330" i="11"/>
  <c r="F330" i="11"/>
  <c r="E330" i="11"/>
  <c r="D330" i="11"/>
  <c r="BF329" i="11"/>
  <c r="P329" i="11"/>
  <c r="BK329" i="11" s="1"/>
  <c r="O329" i="11"/>
  <c r="M329" i="11"/>
  <c r="L329" i="11"/>
  <c r="BD329" i="11" s="1"/>
  <c r="K329" i="11"/>
  <c r="BB329" i="11" s="1"/>
  <c r="J329" i="11"/>
  <c r="I329" i="11"/>
  <c r="P328" i="11"/>
  <c r="BK328" i="11" s="1"/>
  <c r="N328" i="11"/>
  <c r="M328" i="11"/>
  <c r="BF328" i="11" s="1"/>
  <c r="L328" i="11"/>
  <c r="BD328" i="11" s="1"/>
  <c r="J328" i="11"/>
  <c r="C328" i="11"/>
  <c r="B328" i="11"/>
  <c r="BD327" i="11"/>
  <c r="O327" i="11"/>
  <c r="N327" i="11"/>
  <c r="M327" i="11"/>
  <c r="BF327" i="11" s="1"/>
  <c r="K327" i="11"/>
  <c r="H327" i="11"/>
  <c r="G327" i="11"/>
  <c r="F327" i="11"/>
  <c r="E327" i="11"/>
  <c r="D327" i="11"/>
  <c r="C327" i="11"/>
  <c r="B327" i="11"/>
  <c r="O326" i="11"/>
  <c r="N326" i="11"/>
  <c r="M326" i="11"/>
  <c r="L326" i="11"/>
  <c r="K326" i="11"/>
  <c r="J326" i="11"/>
  <c r="F326" i="11"/>
  <c r="B326" i="11"/>
  <c r="BD325" i="11"/>
  <c r="Q325" i="11"/>
  <c r="N325" i="11"/>
  <c r="N337" i="11" s="1"/>
  <c r="M325" i="11"/>
  <c r="L325" i="11"/>
  <c r="K325" i="11"/>
  <c r="J325" i="11"/>
  <c r="J337" i="11" s="1"/>
  <c r="I325" i="11"/>
  <c r="F325" i="11"/>
  <c r="C325" i="11"/>
  <c r="B325" i="11"/>
  <c r="AQ324" i="11"/>
  <c r="AP324" i="11"/>
  <c r="AO324" i="11"/>
  <c r="AN324" i="11"/>
  <c r="AM324" i="11"/>
  <c r="AL324" i="11"/>
  <c r="AK324" i="11"/>
  <c r="AJ324" i="11"/>
  <c r="AI324" i="11"/>
  <c r="AH324" i="11"/>
  <c r="AG324" i="11"/>
  <c r="AF324" i="11"/>
  <c r="AE324" i="11"/>
  <c r="AD324" i="11"/>
  <c r="AC324" i="11"/>
  <c r="AB324" i="11"/>
  <c r="AA324" i="11"/>
  <c r="Z324" i="11"/>
  <c r="Y324" i="11"/>
  <c r="X324" i="11"/>
  <c r="W324" i="11"/>
  <c r="V324" i="11"/>
  <c r="U324" i="11"/>
  <c r="T324" i="11"/>
  <c r="S324" i="11"/>
  <c r="R324" i="11"/>
  <c r="Q324" i="11"/>
  <c r="P324" i="11"/>
  <c r="O324" i="11"/>
  <c r="N324" i="11"/>
  <c r="M324" i="11"/>
  <c r="L324" i="11"/>
  <c r="K324" i="11"/>
  <c r="J324" i="11"/>
  <c r="I324" i="11"/>
  <c r="H324" i="11"/>
  <c r="G324" i="11"/>
  <c r="F324" i="11"/>
  <c r="E324" i="11"/>
  <c r="D324" i="11"/>
  <c r="C324" i="11"/>
  <c r="B324" i="11"/>
  <c r="AQ321" i="11"/>
  <c r="AP321" i="11"/>
  <c r="AP19" i="11" s="1"/>
  <c r="CH19" i="13" s="1"/>
  <c r="AO321" i="11"/>
  <c r="AN321" i="11"/>
  <c r="AN19" i="11" s="1"/>
  <c r="AM321" i="11"/>
  <c r="AM19" i="11" s="1"/>
  <c r="AL321" i="11"/>
  <c r="AL19" i="11" s="1"/>
  <c r="AK321" i="11"/>
  <c r="AK19" i="11" s="1"/>
  <c r="AJ321" i="11"/>
  <c r="AJ19" i="11" s="1"/>
  <c r="AI321" i="11"/>
  <c r="AI19" i="11" s="1"/>
  <c r="AH321" i="11"/>
  <c r="AH19" i="11" s="1"/>
  <c r="AG321" i="11"/>
  <c r="AF321" i="11"/>
  <c r="AE321" i="11"/>
  <c r="AD321" i="11"/>
  <c r="AC321" i="11"/>
  <c r="AB321" i="11"/>
  <c r="AA321" i="11"/>
  <c r="Z321" i="11"/>
  <c r="Y321" i="11"/>
  <c r="X321" i="11"/>
  <c r="W321" i="11"/>
  <c r="V321" i="11"/>
  <c r="U321" i="11"/>
  <c r="T321" i="11"/>
  <c r="T19" i="11" s="1"/>
  <c r="S321" i="11"/>
  <c r="R321" i="11"/>
  <c r="R19" i="11" s="1"/>
  <c r="BK320" i="11"/>
  <c r="BF320" i="11"/>
  <c r="BD320" i="11"/>
  <c r="BB320" i="11"/>
  <c r="P320" i="11"/>
  <c r="O320" i="11"/>
  <c r="N320" i="11"/>
  <c r="BL320" i="11" s="1"/>
  <c r="BM320" i="11" s="1"/>
  <c r="M320" i="11"/>
  <c r="L320" i="11"/>
  <c r="K320" i="11"/>
  <c r="J320" i="11"/>
  <c r="I320" i="11"/>
  <c r="H320" i="11"/>
  <c r="H272" i="11" s="1"/>
  <c r="G320" i="11"/>
  <c r="F320" i="11"/>
  <c r="E320" i="11"/>
  <c r="D320" i="11"/>
  <c r="C320" i="11"/>
  <c r="B320" i="11"/>
  <c r="BB319" i="11"/>
  <c r="P319" i="11"/>
  <c r="O319" i="11"/>
  <c r="N319" i="11"/>
  <c r="BL319" i="11" s="1"/>
  <c r="BM319" i="11" s="1"/>
  <c r="M319" i="11"/>
  <c r="BF319" i="11" s="1"/>
  <c r="L319" i="11"/>
  <c r="BD319" i="11" s="1"/>
  <c r="K319" i="11"/>
  <c r="J319" i="11"/>
  <c r="I319" i="11"/>
  <c r="H319" i="11"/>
  <c r="G319" i="11"/>
  <c r="F319" i="11"/>
  <c r="E319" i="11"/>
  <c r="D319" i="11"/>
  <c r="C319" i="11"/>
  <c r="B319" i="11"/>
  <c r="P318" i="11"/>
  <c r="BK318" i="11" s="1"/>
  <c r="O318" i="11"/>
  <c r="N318" i="11"/>
  <c r="BL318" i="11" s="1"/>
  <c r="BM318" i="11" s="1"/>
  <c r="M318" i="11"/>
  <c r="BF318" i="11" s="1"/>
  <c r="L318" i="11"/>
  <c r="BD318" i="11" s="1"/>
  <c r="K318" i="11"/>
  <c r="BB318" i="11" s="1"/>
  <c r="J318" i="11"/>
  <c r="I318" i="11"/>
  <c r="H318" i="11"/>
  <c r="G318" i="11"/>
  <c r="F318" i="11"/>
  <c r="F270" i="11" s="1"/>
  <c r="E318" i="11"/>
  <c r="D318" i="11"/>
  <c r="C318" i="11"/>
  <c r="B318" i="11"/>
  <c r="BF317" i="11"/>
  <c r="P317" i="11"/>
  <c r="BK317" i="11" s="1"/>
  <c r="O317" i="11"/>
  <c r="N317" i="11"/>
  <c r="M317" i="11"/>
  <c r="L317" i="11"/>
  <c r="BD317" i="11" s="1"/>
  <c r="K317" i="11"/>
  <c r="BB317" i="11" s="1"/>
  <c r="J317" i="11"/>
  <c r="I317" i="11"/>
  <c r="I269" i="11" s="1"/>
  <c r="I107" i="4" s="1"/>
  <c r="I156" i="4" s="1"/>
  <c r="H317" i="11"/>
  <c r="H269" i="11" s="1"/>
  <c r="H107" i="4" s="1"/>
  <c r="G317" i="11"/>
  <c r="F317" i="11"/>
  <c r="E317" i="11"/>
  <c r="E269" i="11" s="1"/>
  <c r="D317" i="11"/>
  <c r="C317" i="11"/>
  <c r="B317" i="11"/>
  <c r="BK316" i="11"/>
  <c r="BD316" i="11"/>
  <c r="P316" i="11"/>
  <c r="O316" i="11"/>
  <c r="O268" i="11" s="1"/>
  <c r="N316" i="11"/>
  <c r="BL316" i="11" s="1"/>
  <c r="BM316" i="11" s="1"/>
  <c r="M316" i="11"/>
  <c r="BF316" i="11" s="1"/>
  <c r="L316" i="11"/>
  <c r="K316" i="11"/>
  <c r="BB316" i="11" s="1"/>
  <c r="J316" i="11"/>
  <c r="I316" i="11"/>
  <c r="H316" i="11"/>
  <c r="G316" i="11"/>
  <c r="F316" i="11"/>
  <c r="E316" i="11"/>
  <c r="D316" i="11"/>
  <c r="D268" i="11" s="1"/>
  <c r="D106" i="4" s="1"/>
  <c r="C316" i="11"/>
  <c r="B316" i="11"/>
  <c r="BB315" i="11"/>
  <c r="P315" i="11"/>
  <c r="BK315" i="11" s="1"/>
  <c r="O315" i="11"/>
  <c r="N315" i="11"/>
  <c r="M315" i="11"/>
  <c r="L315" i="11"/>
  <c r="BD315" i="11" s="1"/>
  <c r="K315" i="11"/>
  <c r="J315" i="11"/>
  <c r="I315" i="11"/>
  <c r="H315" i="11"/>
  <c r="G315" i="11"/>
  <c r="F315" i="11"/>
  <c r="E315" i="11"/>
  <c r="D315" i="11"/>
  <c r="C315" i="11"/>
  <c r="B315" i="11"/>
  <c r="P314" i="11"/>
  <c r="BK314" i="11" s="1"/>
  <c r="O314" i="11"/>
  <c r="N314" i="11"/>
  <c r="BL314" i="11" s="1"/>
  <c r="BM314" i="11" s="1"/>
  <c r="M314" i="11"/>
  <c r="BF314" i="11" s="1"/>
  <c r="L314" i="11"/>
  <c r="BD314" i="11" s="1"/>
  <c r="K314" i="11"/>
  <c r="BB314" i="11" s="1"/>
  <c r="J314" i="11"/>
  <c r="I314" i="11"/>
  <c r="H314" i="11"/>
  <c r="G314" i="11"/>
  <c r="F314" i="11"/>
  <c r="E314" i="11"/>
  <c r="D314" i="11"/>
  <c r="C314" i="11"/>
  <c r="B314" i="11"/>
  <c r="B266" i="11" s="1"/>
  <c r="BM313" i="11"/>
  <c r="BK313" i="11"/>
  <c r="BF313" i="11"/>
  <c r="P313" i="11"/>
  <c r="O313" i="11"/>
  <c r="N313" i="11"/>
  <c r="BL313" i="11" s="1"/>
  <c r="M313" i="11"/>
  <c r="L313" i="11"/>
  <c r="BD313" i="11" s="1"/>
  <c r="K313" i="11"/>
  <c r="BB313" i="11" s="1"/>
  <c r="J313" i="11"/>
  <c r="I313" i="11"/>
  <c r="H313" i="11"/>
  <c r="H321" i="11" s="1"/>
  <c r="H19" i="11" s="1"/>
  <c r="G313" i="11"/>
  <c r="F313" i="11"/>
  <c r="E313" i="11"/>
  <c r="D313" i="11"/>
  <c r="C313" i="11"/>
  <c r="B313" i="11"/>
  <c r="BM312" i="11"/>
  <c r="BL312" i="11"/>
  <c r="BF312" i="11"/>
  <c r="BD312" i="11"/>
  <c r="P312" i="11"/>
  <c r="BK312" i="11" s="1"/>
  <c r="O312" i="11"/>
  <c r="N312" i="11"/>
  <c r="M312" i="11"/>
  <c r="L312" i="11"/>
  <c r="K312" i="11"/>
  <c r="J312" i="11"/>
  <c r="I312" i="11"/>
  <c r="H312" i="11"/>
  <c r="G312" i="11"/>
  <c r="F312" i="11"/>
  <c r="E312" i="11"/>
  <c r="D312" i="11"/>
  <c r="C312" i="11"/>
  <c r="B312" i="11"/>
  <c r="BM311" i="11"/>
  <c r="BK311" i="11"/>
  <c r="BF311" i="11"/>
  <c r="Q311" i="11"/>
  <c r="Q263" i="11" s="1"/>
  <c r="P311" i="11"/>
  <c r="O311" i="11"/>
  <c r="O263" i="11" s="1"/>
  <c r="N311" i="11"/>
  <c r="BL311" i="11" s="1"/>
  <c r="M311" i="11"/>
  <c r="L311" i="11"/>
  <c r="BD311" i="11" s="1"/>
  <c r="K311" i="11"/>
  <c r="J311" i="11"/>
  <c r="I311" i="11"/>
  <c r="H311" i="11"/>
  <c r="G311" i="11"/>
  <c r="F311" i="11"/>
  <c r="E311" i="11"/>
  <c r="D311" i="11"/>
  <c r="C311" i="11"/>
  <c r="C321" i="11" s="1"/>
  <c r="C19" i="11" s="1"/>
  <c r="B311" i="11"/>
  <c r="BF310" i="11"/>
  <c r="Q310" i="11"/>
  <c r="P310" i="11"/>
  <c r="O310" i="11"/>
  <c r="N310" i="11"/>
  <c r="M310" i="11"/>
  <c r="M262" i="11" s="1"/>
  <c r="BF262" i="11" s="1"/>
  <c r="L310" i="11"/>
  <c r="L262" i="11" s="1"/>
  <c r="BD262" i="11" s="1"/>
  <c r="K310" i="11"/>
  <c r="J310" i="11"/>
  <c r="I310" i="11"/>
  <c r="H310" i="11"/>
  <c r="G310" i="11"/>
  <c r="F310" i="11"/>
  <c r="E310" i="11"/>
  <c r="D310" i="11"/>
  <c r="C310" i="11"/>
  <c r="B310" i="11"/>
  <c r="BL309" i="11"/>
  <c r="BK309" i="11"/>
  <c r="Q309" i="11"/>
  <c r="P309" i="11"/>
  <c r="O309" i="11"/>
  <c r="N309" i="11"/>
  <c r="N321" i="11" s="1"/>
  <c r="M309" i="11"/>
  <c r="L309" i="11"/>
  <c r="BD309" i="11" s="1"/>
  <c r="K309" i="11"/>
  <c r="K321" i="11" s="1"/>
  <c r="J309" i="11"/>
  <c r="I309" i="11"/>
  <c r="H309" i="11"/>
  <c r="G309" i="11"/>
  <c r="F309" i="11"/>
  <c r="E309" i="11"/>
  <c r="D309" i="11"/>
  <c r="C309" i="11"/>
  <c r="B309" i="11"/>
  <c r="AQ308" i="11"/>
  <c r="AP308" i="11"/>
  <c r="AO308" i="11"/>
  <c r="AN308" i="11"/>
  <c r="AM308" i="11"/>
  <c r="AL308" i="11"/>
  <c r="AK308" i="11"/>
  <c r="AJ308" i="11"/>
  <c r="AI308" i="11"/>
  <c r="AH308" i="11"/>
  <c r="AG308" i="11"/>
  <c r="AF308" i="11"/>
  <c r="AE308" i="11"/>
  <c r="AD308" i="11"/>
  <c r="AC308" i="11"/>
  <c r="AB308" i="11"/>
  <c r="AA308" i="11"/>
  <c r="Z308" i="11"/>
  <c r="Y308" i="11"/>
  <c r="X308" i="11"/>
  <c r="W308" i="11"/>
  <c r="V308" i="11"/>
  <c r="U308" i="11"/>
  <c r="T308" i="11"/>
  <c r="S308" i="11"/>
  <c r="R308" i="11"/>
  <c r="Q308" i="11"/>
  <c r="P308" i="11"/>
  <c r="O308" i="11"/>
  <c r="N308" i="11"/>
  <c r="M308" i="11"/>
  <c r="L308" i="11"/>
  <c r="K308" i="11"/>
  <c r="J308" i="11"/>
  <c r="I308" i="11"/>
  <c r="H308" i="11"/>
  <c r="G308" i="11"/>
  <c r="F308" i="11"/>
  <c r="E308" i="11"/>
  <c r="D308" i="11"/>
  <c r="C308" i="11"/>
  <c r="B308" i="11"/>
  <c r="AQ305" i="11"/>
  <c r="AP305" i="11"/>
  <c r="AP18" i="11" s="1"/>
  <c r="AO305" i="11"/>
  <c r="AO18" i="11" s="1"/>
  <c r="AN305" i="11"/>
  <c r="AM305" i="11"/>
  <c r="AL305" i="11"/>
  <c r="AL18" i="11" s="1"/>
  <c r="AK305" i="11"/>
  <c r="AK18" i="11" s="1"/>
  <c r="AJ305" i="11"/>
  <c r="AJ18" i="11" s="1"/>
  <c r="AI305" i="11"/>
  <c r="AI18" i="11" s="1"/>
  <c r="AH305" i="11"/>
  <c r="AH18" i="11" s="1"/>
  <c r="AG305" i="11"/>
  <c r="AF305" i="11"/>
  <c r="AE305" i="11"/>
  <c r="AD305" i="11"/>
  <c r="AC305" i="11"/>
  <c r="AB305" i="11"/>
  <c r="AA305" i="11"/>
  <c r="Z305" i="11"/>
  <c r="Y305" i="11"/>
  <c r="X305" i="11"/>
  <c r="X18" i="11" s="1"/>
  <c r="BP18" i="13" s="1"/>
  <c r="W305" i="11"/>
  <c r="W18" i="11" s="1"/>
  <c r="V305" i="11"/>
  <c r="V18" i="11" s="1"/>
  <c r="U305" i="11"/>
  <c r="T305" i="11"/>
  <c r="T18" i="11" s="1"/>
  <c r="S305" i="11"/>
  <c r="S18" i="11" s="1"/>
  <c r="R305" i="11"/>
  <c r="Q305" i="11"/>
  <c r="N305" i="11"/>
  <c r="BL305" i="11" s="1"/>
  <c r="L305" i="11"/>
  <c r="B305" i="11"/>
  <c r="B18" i="11" s="1"/>
  <c r="BL304" i="11"/>
  <c r="BM304" i="11" s="1"/>
  <c r="BF304" i="11"/>
  <c r="P304" i="11"/>
  <c r="BK304" i="11" s="1"/>
  <c r="O304" i="11"/>
  <c r="N304" i="11"/>
  <c r="N272" i="11" s="1"/>
  <c r="M304" i="11"/>
  <c r="L304" i="11"/>
  <c r="L272" i="11" s="1"/>
  <c r="K304" i="11"/>
  <c r="BB304" i="11" s="1"/>
  <c r="J304" i="11"/>
  <c r="I304" i="11"/>
  <c r="H304" i="11"/>
  <c r="G304" i="11"/>
  <c r="F304" i="11"/>
  <c r="E304" i="11"/>
  <c r="D304" i="11"/>
  <c r="C304" i="11"/>
  <c r="B304" i="11"/>
  <c r="BL303" i="11"/>
  <c r="BM303" i="11" s="1"/>
  <c r="BK303" i="11"/>
  <c r="BF303" i="11"/>
  <c r="BB303" i="11"/>
  <c r="P303" i="11"/>
  <c r="O303" i="11"/>
  <c r="O271" i="11" s="1"/>
  <c r="N303" i="11"/>
  <c r="M303" i="11"/>
  <c r="L303" i="11"/>
  <c r="K303" i="11"/>
  <c r="J303" i="11"/>
  <c r="I303" i="11"/>
  <c r="H303" i="11"/>
  <c r="G303" i="11"/>
  <c r="F303" i="11"/>
  <c r="E303" i="11"/>
  <c r="D303" i="11"/>
  <c r="C303" i="11"/>
  <c r="B303" i="11"/>
  <c r="BK302" i="11"/>
  <c r="BD302" i="11"/>
  <c r="P302" i="11"/>
  <c r="O302" i="11"/>
  <c r="N302" i="11"/>
  <c r="BL302" i="11" s="1"/>
  <c r="BM302" i="11" s="1"/>
  <c r="M302" i="11"/>
  <c r="BF302" i="11" s="1"/>
  <c r="L302" i="11"/>
  <c r="K302" i="11"/>
  <c r="BB302" i="11" s="1"/>
  <c r="J302" i="11"/>
  <c r="I302" i="11"/>
  <c r="H302" i="11"/>
  <c r="G302" i="11"/>
  <c r="F302" i="11"/>
  <c r="E302" i="11"/>
  <c r="D302" i="11"/>
  <c r="C302" i="11"/>
  <c r="B302" i="11"/>
  <c r="BL301" i="11"/>
  <c r="BM301" i="11" s="1"/>
  <c r="BK301" i="11"/>
  <c r="P301" i="11"/>
  <c r="O301" i="11"/>
  <c r="O269" i="11" s="1"/>
  <c r="N301" i="11"/>
  <c r="M301" i="11"/>
  <c r="M305" i="11" s="1"/>
  <c r="L301" i="11"/>
  <c r="BD301" i="11" s="1"/>
  <c r="K301" i="11"/>
  <c r="J301" i="11"/>
  <c r="J269" i="11" s="1"/>
  <c r="I301" i="11"/>
  <c r="H301" i="11"/>
  <c r="G301" i="11"/>
  <c r="F301" i="11"/>
  <c r="E301" i="11"/>
  <c r="D301" i="11"/>
  <c r="C301" i="11"/>
  <c r="B301" i="11"/>
  <c r="BF300" i="11"/>
  <c r="P300" i="11"/>
  <c r="O300" i="11"/>
  <c r="N300" i="11"/>
  <c r="BL300" i="11" s="1"/>
  <c r="BM300" i="11" s="1"/>
  <c r="M300" i="11"/>
  <c r="L300" i="11"/>
  <c r="K300" i="11"/>
  <c r="J300" i="11"/>
  <c r="J268" i="11" s="1"/>
  <c r="I300" i="11"/>
  <c r="I268" i="11" s="1"/>
  <c r="H300" i="11"/>
  <c r="H268" i="11" s="1"/>
  <c r="G300" i="11"/>
  <c r="F300" i="11"/>
  <c r="E300" i="11"/>
  <c r="D300" i="11"/>
  <c r="C300" i="11"/>
  <c r="B300" i="11"/>
  <c r="P299" i="11"/>
  <c r="BK299" i="11" s="1"/>
  <c r="O299" i="11"/>
  <c r="N299" i="11"/>
  <c r="BL299" i="11" s="1"/>
  <c r="BM299" i="11" s="1"/>
  <c r="M299" i="11"/>
  <c r="BF299" i="11" s="1"/>
  <c r="L299" i="11"/>
  <c r="K299" i="11"/>
  <c r="BB299" i="11" s="1"/>
  <c r="J299" i="11"/>
  <c r="J267" i="11" s="1"/>
  <c r="I299" i="11"/>
  <c r="H299" i="11"/>
  <c r="H267" i="11" s="1"/>
  <c r="G299" i="11"/>
  <c r="F299" i="11"/>
  <c r="E299" i="11"/>
  <c r="D299" i="11"/>
  <c r="C299" i="11"/>
  <c r="B299" i="11"/>
  <c r="BF298" i="11"/>
  <c r="P298" i="11"/>
  <c r="P305" i="11" s="1"/>
  <c r="O298" i="11"/>
  <c r="O266" i="11" s="1"/>
  <c r="N298" i="11"/>
  <c r="M298" i="11"/>
  <c r="L298" i="11"/>
  <c r="K298" i="11"/>
  <c r="J298" i="11"/>
  <c r="I298" i="11"/>
  <c r="I266" i="11" s="1"/>
  <c r="H298" i="11"/>
  <c r="G298" i="11"/>
  <c r="F298" i="11"/>
  <c r="E298" i="11"/>
  <c r="D298" i="11"/>
  <c r="C298" i="11"/>
  <c r="B298" i="11"/>
  <c r="BK297" i="11"/>
  <c r="BD297" i="11"/>
  <c r="P297" i="11"/>
  <c r="O297" i="11"/>
  <c r="O265" i="11" s="1"/>
  <c r="N297" i="11"/>
  <c r="M297" i="11"/>
  <c r="L297" i="11"/>
  <c r="K297" i="11"/>
  <c r="J297" i="11"/>
  <c r="J265" i="11" s="1"/>
  <c r="J121" i="11" s="1"/>
  <c r="I297" i="11"/>
  <c r="H297" i="11"/>
  <c r="G297" i="11"/>
  <c r="F297" i="11"/>
  <c r="E297" i="11"/>
  <c r="D297" i="11"/>
  <c r="C297" i="11"/>
  <c r="B297" i="11"/>
  <c r="P296" i="11"/>
  <c r="BK296" i="11" s="1"/>
  <c r="O296" i="11"/>
  <c r="N296" i="11"/>
  <c r="BL296" i="11" s="1"/>
  <c r="BM296" i="11" s="1"/>
  <c r="M296" i="11"/>
  <c r="BF296" i="11" s="1"/>
  <c r="L296" i="11"/>
  <c r="BD296" i="11" s="1"/>
  <c r="K296" i="11"/>
  <c r="J296" i="11"/>
  <c r="I296" i="11"/>
  <c r="H296" i="11"/>
  <c r="H264" i="11" s="1"/>
  <c r="G296" i="11"/>
  <c r="G264" i="11" s="1"/>
  <c r="F296" i="11"/>
  <c r="E296" i="11"/>
  <c r="D296" i="11"/>
  <c r="D264" i="11" s="1"/>
  <c r="C296" i="11"/>
  <c r="C264" i="11" s="1"/>
  <c r="B296" i="11"/>
  <c r="Q295" i="11"/>
  <c r="P295" i="11"/>
  <c r="BK295" i="11" s="1"/>
  <c r="O295" i="11"/>
  <c r="N295" i="11"/>
  <c r="BL295" i="11" s="1"/>
  <c r="BM295" i="11" s="1"/>
  <c r="M295" i="11"/>
  <c r="BF295" i="11" s="1"/>
  <c r="L295" i="11"/>
  <c r="BD295" i="11" s="1"/>
  <c r="K295" i="11"/>
  <c r="J295" i="11"/>
  <c r="I295" i="11"/>
  <c r="H295" i="11"/>
  <c r="G295" i="11"/>
  <c r="F295" i="11"/>
  <c r="F263" i="11" s="1"/>
  <c r="E295" i="11"/>
  <c r="E263" i="11" s="1"/>
  <c r="D295" i="11"/>
  <c r="D263" i="11" s="1"/>
  <c r="C295" i="11"/>
  <c r="B295" i="11"/>
  <c r="BL294" i="11"/>
  <c r="BM294" i="11" s="1"/>
  <c r="Q294" i="11"/>
  <c r="P294" i="11"/>
  <c r="BK294" i="11" s="1"/>
  <c r="O294" i="11"/>
  <c r="N294" i="11"/>
  <c r="M294" i="11"/>
  <c r="BF294" i="11" s="1"/>
  <c r="L294" i="11"/>
  <c r="BD294" i="11" s="1"/>
  <c r="K294" i="11"/>
  <c r="J294" i="11"/>
  <c r="I294" i="11"/>
  <c r="H294" i="11"/>
  <c r="G294" i="11"/>
  <c r="F294" i="11"/>
  <c r="F262" i="11" s="1"/>
  <c r="E294" i="11"/>
  <c r="D294" i="11"/>
  <c r="D262" i="11" s="1"/>
  <c r="C294" i="11"/>
  <c r="C262" i="11" s="1"/>
  <c r="B294" i="11"/>
  <c r="BM293" i="11"/>
  <c r="BL293" i="11"/>
  <c r="BK293" i="11"/>
  <c r="BF293" i="11"/>
  <c r="Q293" i="11"/>
  <c r="P293" i="11"/>
  <c r="O293" i="11"/>
  <c r="N293" i="11"/>
  <c r="M293" i="11"/>
  <c r="L293" i="11"/>
  <c r="BD293" i="11" s="1"/>
  <c r="K293" i="11"/>
  <c r="J293" i="11"/>
  <c r="I293" i="11"/>
  <c r="H293" i="11"/>
  <c r="G293" i="11"/>
  <c r="F293" i="11"/>
  <c r="E293" i="11"/>
  <c r="D293" i="11"/>
  <c r="C293" i="11"/>
  <c r="B293" i="11"/>
  <c r="B261" i="11" s="1"/>
  <c r="AQ292" i="11"/>
  <c r="AP292" i="11"/>
  <c r="AO292" i="11"/>
  <c r="AN292" i="11"/>
  <c r="AM292" i="11"/>
  <c r="AL292" i="11"/>
  <c r="AK292" i="11"/>
  <c r="AJ292" i="11"/>
  <c r="AI292" i="11"/>
  <c r="AH292" i="11"/>
  <c r="AG292" i="11"/>
  <c r="AF292" i="11"/>
  <c r="AE292" i="11"/>
  <c r="AD292" i="11"/>
  <c r="AC292" i="11"/>
  <c r="AB292" i="11"/>
  <c r="AA292" i="11"/>
  <c r="Z292" i="11"/>
  <c r="Y292" i="11"/>
  <c r="X292" i="11"/>
  <c r="W292" i="11"/>
  <c r="V292" i="11"/>
  <c r="U292" i="11"/>
  <c r="T292" i="11"/>
  <c r="S292" i="11"/>
  <c r="R292" i="11"/>
  <c r="Q292" i="11"/>
  <c r="P292" i="11"/>
  <c r="O292" i="11"/>
  <c r="N292" i="11"/>
  <c r="M292" i="11"/>
  <c r="L292" i="11"/>
  <c r="K292" i="11"/>
  <c r="J292" i="11"/>
  <c r="I292" i="11"/>
  <c r="H292" i="11"/>
  <c r="G292" i="11"/>
  <c r="F292" i="11"/>
  <c r="E292" i="11"/>
  <c r="D292" i="11"/>
  <c r="C292" i="11"/>
  <c r="B292" i="11"/>
  <c r="AQ289" i="11"/>
  <c r="AQ270" i="11" s="1"/>
  <c r="AP289" i="11"/>
  <c r="AO289" i="11"/>
  <c r="AN289" i="11"/>
  <c r="AM289" i="11"/>
  <c r="AM270" i="11" s="1"/>
  <c r="AL289" i="11"/>
  <c r="AK289" i="11"/>
  <c r="AJ289" i="11"/>
  <c r="AJ270" i="11" s="1"/>
  <c r="AI289" i="11"/>
  <c r="AH289" i="11"/>
  <c r="AH17" i="11" s="1"/>
  <c r="AG289" i="11"/>
  <c r="AG17" i="11" s="1"/>
  <c r="AF289" i="11"/>
  <c r="AE289" i="11"/>
  <c r="AD289" i="11"/>
  <c r="AD17" i="11" s="1"/>
  <c r="AC289" i="11"/>
  <c r="AC17" i="11" s="1"/>
  <c r="AB289" i="11"/>
  <c r="AB17" i="11" s="1"/>
  <c r="AA289" i="11"/>
  <c r="AA17" i="11" s="1"/>
  <c r="Z289" i="11"/>
  <c r="Y289" i="11"/>
  <c r="X289" i="11"/>
  <c r="W289" i="11"/>
  <c r="V289" i="11"/>
  <c r="U289" i="11"/>
  <c r="U270" i="11" s="1"/>
  <c r="T289" i="11"/>
  <c r="S289" i="11"/>
  <c r="R289" i="11"/>
  <c r="BL288" i="11"/>
  <c r="BM288" i="11" s="1"/>
  <c r="P288" i="11"/>
  <c r="BK288" i="11" s="1"/>
  <c r="O288" i="11"/>
  <c r="N288" i="11"/>
  <c r="M288" i="11"/>
  <c r="BF288" i="11" s="1"/>
  <c r="L288" i="11"/>
  <c r="BD288" i="11" s="1"/>
  <c r="K288" i="11"/>
  <c r="J288" i="11"/>
  <c r="J272" i="11" s="1"/>
  <c r="I288" i="11"/>
  <c r="I272" i="11" s="1"/>
  <c r="H288" i="11"/>
  <c r="G288" i="11"/>
  <c r="G272" i="11" s="1"/>
  <c r="F288" i="11"/>
  <c r="F272" i="11" s="1"/>
  <c r="E288" i="11"/>
  <c r="D288" i="11"/>
  <c r="C288" i="11"/>
  <c r="B288" i="11"/>
  <c r="B272" i="11" s="1"/>
  <c r="BM287" i="11"/>
  <c r="BL287" i="11"/>
  <c r="BK287" i="11"/>
  <c r="BF287" i="11"/>
  <c r="P287" i="11"/>
  <c r="O287" i="11"/>
  <c r="N287" i="11"/>
  <c r="M287" i="11"/>
  <c r="L287" i="11"/>
  <c r="BD287" i="11" s="1"/>
  <c r="K287" i="11"/>
  <c r="BB287" i="11" s="1"/>
  <c r="J287" i="11"/>
  <c r="J271" i="11" s="1"/>
  <c r="I287" i="11"/>
  <c r="I271" i="11" s="1"/>
  <c r="H287" i="11"/>
  <c r="G287" i="11"/>
  <c r="F287" i="11"/>
  <c r="F271" i="11" s="1"/>
  <c r="E287" i="11"/>
  <c r="E271" i="11" s="1"/>
  <c r="D287" i="11"/>
  <c r="C287" i="11"/>
  <c r="B287" i="11"/>
  <c r="BL286" i="11"/>
  <c r="BM286" i="11" s="1"/>
  <c r="BK286" i="11"/>
  <c r="BF286" i="11"/>
  <c r="BD286" i="11"/>
  <c r="P286" i="11"/>
  <c r="O286" i="11"/>
  <c r="N286" i="11"/>
  <c r="M286" i="11"/>
  <c r="L286" i="11"/>
  <c r="K286" i="11"/>
  <c r="BB286" i="11" s="1"/>
  <c r="J286" i="11"/>
  <c r="J270" i="11" s="1"/>
  <c r="I286" i="11"/>
  <c r="I270" i="11" s="1"/>
  <c r="I126" i="11" s="1"/>
  <c r="H286" i="11"/>
  <c r="G286" i="11"/>
  <c r="G270" i="11" s="1"/>
  <c r="F286" i="11"/>
  <c r="E286" i="11"/>
  <c r="E270" i="11" s="1"/>
  <c r="D286" i="11"/>
  <c r="D270" i="11" s="1"/>
  <c r="C286" i="11"/>
  <c r="C270" i="11" s="1"/>
  <c r="B286" i="11"/>
  <c r="B270" i="11" s="1"/>
  <c r="BL285" i="11"/>
  <c r="BM285" i="11" s="1"/>
  <c r="BK285" i="11"/>
  <c r="BF285" i="11"/>
  <c r="BD285" i="11"/>
  <c r="BB285" i="11"/>
  <c r="P285" i="11"/>
  <c r="O285" i="11"/>
  <c r="N285" i="11"/>
  <c r="M285" i="11"/>
  <c r="M266" i="11" s="1"/>
  <c r="L285" i="11"/>
  <c r="K285" i="11"/>
  <c r="J285" i="11"/>
  <c r="I285" i="11"/>
  <c r="H285" i="11"/>
  <c r="G285" i="11"/>
  <c r="G269" i="11" s="1"/>
  <c r="F285" i="11"/>
  <c r="F269" i="11" s="1"/>
  <c r="E285" i="11"/>
  <c r="D285" i="11"/>
  <c r="D269" i="11" s="1"/>
  <c r="C285" i="11"/>
  <c r="C269" i="11" s="1"/>
  <c r="B285" i="11"/>
  <c r="B269" i="11" s="1"/>
  <c r="BM284" i="11"/>
  <c r="BL284" i="11"/>
  <c r="BK284" i="11"/>
  <c r="BF284" i="11"/>
  <c r="BD284" i="11"/>
  <c r="BB284" i="11"/>
  <c r="P284" i="11"/>
  <c r="O284" i="11"/>
  <c r="N284" i="11"/>
  <c r="M284" i="11"/>
  <c r="L284" i="11"/>
  <c r="L265" i="11" s="1"/>
  <c r="K284" i="11"/>
  <c r="J284" i="11"/>
  <c r="I284" i="11"/>
  <c r="H284" i="11"/>
  <c r="G284" i="11"/>
  <c r="F284" i="11"/>
  <c r="F268" i="11" s="1"/>
  <c r="E284" i="11"/>
  <c r="E268" i="11" s="1"/>
  <c r="D284" i="11"/>
  <c r="C284" i="11"/>
  <c r="B284" i="11"/>
  <c r="B268" i="11" s="1"/>
  <c r="BL283" i="11"/>
  <c r="BM283" i="11" s="1"/>
  <c r="BK283" i="11"/>
  <c r="BF283" i="11"/>
  <c r="BD283" i="11"/>
  <c r="BB283" i="11"/>
  <c r="P283" i="11"/>
  <c r="P264" i="11" s="1"/>
  <c r="O283" i="11"/>
  <c r="N283" i="11"/>
  <c r="M283" i="11"/>
  <c r="L283" i="11"/>
  <c r="K283" i="11"/>
  <c r="J283" i="11"/>
  <c r="I283" i="11"/>
  <c r="H283" i="11"/>
  <c r="G283" i="11"/>
  <c r="G267" i="11" s="1"/>
  <c r="F283" i="11"/>
  <c r="E283" i="11"/>
  <c r="E267" i="11" s="1"/>
  <c r="D283" i="11"/>
  <c r="D267" i="11" s="1"/>
  <c r="C283" i="11"/>
  <c r="B283" i="11"/>
  <c r="B267" i="11" s="1"/>
  <c r="BM282" i="11"/>
  <c r="BL282" i="11"/>
  <c r="BK282" i="11"/>
  <c r="BF282" i="11"/>
  <c r="BD282" i="11"/>
  <c r="BB282" i="11"/>
  <c r="P282" i="11"/>
  <c r="P263" i="11" s="1"/>
  <c r="BK263" i="11" s="1"/>
  <c r="O282" i="11"/>
  <c r="N282" i="11"/>
  <c r="M282" i="11"/>
  <c r="L282" i="11"/>
  <c r="K282" i="11"/>
  <c r="J282" i="11"/>
  <c r="I282" i="11"/>
  <c r="H282" i="11"/>
  <c r="G282" i="11"/>
  <c r="F282" i="11"/>
  <c r="E282" i="11"/>
  <c r="E289" i="11" s="1"/>
  <c r="E17" i="11" s="1"/>
  <c r="D282" i="11"/>
  <c r="D266" i="11" s="1"/>
  <c r="C282" i="11"/>
  <c r="B282" i="11"/>
  <c r="BL281" i="11"/>
  <c r="BM281" i="11" s="1"/>
  <c r="BK281" i="11"/>
  <c r="BF281" i="11"/>
  <c r="BD281" i="11"/>
  <c r="BB281" i="11"/>
  <c r="P281" i="11"/>
  <c r="O281" i="11"/>
  <c r="N281" i="11"/>
  <c r="M281" i="11"/>
  <c r="L281" i="11"/>
  <c r="K281" i="11"/>
  <c r="J281" i="11"/>
  <c r="I281" i="11"/>
  <c r="H281" i="11"/>
  <c r="G281" i="11"/>
  <c r="F281" i="11"/>
  <c r="E281" i="11"/>
  <c r="D281" i="11"/>
  <c r="D289" i="11" s="1"/>
  <c r="D17" i="11" s="1"/>
  <c r="C281" i="11"/>
  <c r="B281" i="11"/>
  <c r="BK280" i="11"/>
  <c r="BF280" i="11"/>
  <c r="BD280" i="11"/>
  <c r="P280" i="11"/>
  <c r="O280" i="11"/>
  <c r="N280" i="11"/>
  <c r="BL280" i="11" s="1"/>
  <c r="BM280" i="11" s="1"/>
  <c r="M280" i="11"/>
  <c r="L280" i="11"/>
  <c r="K280" i="11"/>
  <c r="J280" i="11"/>
  <c r="I280" i="11"/>
  <c r="H280" i="11"/>
  <c r="G280" i="11"/>
  <c r="F280" i="11"/>
  <c r="E280" i="11"/>
  <c r="D280" i="11"/>
  <c r="C280" i="11"/>
  <c r="B280" i="11"/>
  <c r="B289" i="11" s="1"/>
  <c r="B17" i="11" s="1"/>
  <c r="BL279" i="11"/>
  <c r="BF279" i="11"/>
  <c r="BD279" i="11"/>
  <c r="Q279" i="11"/>
  <c r="P279" i="11"/>
  <c r="BK279" i="11" s="1"/>
  <c r="O279" i="11"/>
  <c r="N279" i="11"/>
  <c r="M279" i="11"/>
  <c r="L279" i="11"/>
  <c r="K279" i="11"/>
  <c r="J279" i="11"/>
  <c r="I279" i="11"/>
  <c r="H279" i="11"/>
  <c r="G279" i="11"/>
  <c r="F279" i="11"/>
  <c r="E279" i="11"/>
  <c r="D279" i="11"/>
  <c r="C279" i="11"/>
  <c r="B279" i="11"/>
  <c r="BL278" i="11"/>
  <c r="BD278" i="11"/>
  <c r="Q278" i="11"/>
  <c r="BM278" i="11" s="1"/>
  <c r="P278" i="11"/>
  <c r="BK278" i="11" s="1"/>
  <c r="O278" i="11"/>
  <c r="N278" i="11"/>
  <c r="M278" i="11"/>
  <c r="BF278" i="11" s="1"/>
  <c r="L278" i="11"/>
  <c r="K278" i="11"/>
  <c r="J278" i="11"/>
  <c r="J262" i="11" s="1"/>
  <c r="I278" i="11"/>
  <c r="H278" i="11"/>
  <c r="G278" i="11"/>
  <c r="F278" i="11"/>
  <c r="E278" i="11"/>
  <c r="D278" i="11"/>
  <c r="C278" i="11"/>
  <c r="B278" i="11"/>
  <c r="Q277" i="11"/>
  <c r="P277" i="11"/>
  <c r="O277" i="11"/>
  <c r="O289" i="11" s="1"/>
  <c r="N277" i="11"/>
  <c r="M277" i="11"/>
  <c r="L277" i="11"/>
  <c r="BD277" i="11" s="1"/>
  <c r="K277" i="11"/>
  <c r="K289" i="11" s="1"/>
  <c r="J277" i="11"/>
  <c r="I277" i="11"/>
  <c r="H277" i="11"/>
  <c r="H261" i="11" s="1"/>
  <c r="G277" i="11"/>
  <c r="F277" i="11"/>
  <c r="E277" i="11"/>
  <c r="D277" i="11"/>
  <c r="C277" i="11"/>
  <c r="B277" i="11"/>
  <c r="AQ276" i="11"/>
  <c r="AP276" i="11"/>
  <c r="AO276" i="11"/>
  <c r="AN276" i="11"/>
  <c r="AM276" i="11"/>
  <c r="AL276" i="11"/>
  <c r="AK276" i="11"/>
  <c r="AJ276" i="11"/>
  <c r="AI276" i="11"/>
  <c r="AH276" i="11"/>
  <c r="AG276" i="11"/>
  <c r="AF276" i="11"/>
  <c r="AE276" i="11"/>
  <c r="AD276" i="11"/>
  <c r="AC276" i="11"/>
  <c r="AB276" i="11"/>
  <c r="AA276" i="11"/>
  <c r="Z276" i="11"/>
  <c r="Y276" i="11"/>
  <c r="X276" i="11"/>
  <c r="W276" i="11"/>
  <c r="V276" i="11"/>
  <c r="U276" i="11"/>
  <c r="T276" i="11"/>
  <c r="S276" i="11"/>
  <c r="R276" i="11"/>
  <c r="Q276" i="11"/>
  <c r="P276" i="11"/>
  <c r="O276" i="11"/>
  <c r="N276" i="11"/>
  <c r="M276" i="11"/>
  <c r="L276" i="11"/>
  <c r="K276" i="11"/>
  <c r="J276" i="11"/>
  <c r="I276" i="11"/>
  <c r="H276" i="11"/>
  <c r="G276" i="11"/>
  <c r="F276" i="11"/>
  <c r="E276" i="11"/>
  <c r="D276" i="11"/>
  <c r="C276" i="11"/>
  <c r="B276" i="11"/>
  <c r="BL272" i="11"/>
  <c r="BD272" i="11"/>
  <c r="AQ272" i="11"/>
  <c r="AP272" i="11"/>
  <c r="AO272" i="11"/>
  <c r="AN272" i="11"/>
  <c r="AM272" i="11"/>
  <c r="AL272" i="11"/>
  <c r="AK272" i="11"/>
  <c r="AJ272" i="11"/>
  <c r="AI272" i="11"/>
  <c r="AH272" i="11"/>
  <c r="AG272" i="11"/>
  <c r="AF272" i="11"/>
  <c r="AE272" i="11"/>
  <c r="AD272" i="11"/>
  <c r="AC272" i="11"/>
  <c r="AB272" i="11"/>
  <c r="AA272" i="11"/>
  <c r="Z272" i="11"/>
  <c r="Y272" i="11"/>
  <c r="X272" i="11"/>
  <c r="W272" i="11"/>
  <c r="V272" i="11"/>
  <c r="U272" i="11"/>
  <c r="T272" i="11"/>
  <c r="S272" i="11"/>
  <c r="R272" i="11"/>
  <c r="Q272" i="11"/>
  <c r="BM272" i="11" s="1"/>
  <c r="P272" i="11"/>
  <c r="BK272" i="11" s="1"/>
  <c r="O272" i="11"/>
  <c r="E272" i="11"/>
  <c r="D272" i="11"/>
  <c r="C272" i="11"/>
  <c r="AQ271" i="11"/>
  <c r="AP271" i="11"/>
  <c r="AO271" i="11"/>
  <c r="AN271" i="11"/>
  <c r="AM271" i="11"/>
  <c r="AL271" i="11"/>
  <c r="AK271" i="11"/>
  <c r="AJ271" i="11"/>
  <c r="AI271" i="11"/>
  <c r="AH271" i="11"/>
  <c r="AG271" i="11"/>
  <c r="AF271" i="11"/>
  <c r="AE271" i="11"/>
  <c r="AD271" i="11"/>
  <c r="AC271" i="11"/>
  <c r="AB271" i="11"/>
  <c r="AA271" i="11"/>
  <c r="Z271" i="11"/>
  <c r="Y271" i="11"/>
  <c r="X271" i="11"/>
  <c r="W271" i="11"/>
  <c r="V271" i="11"/>
  <c r="U271" i="11"/>
  <c r="T271" i="11"/>
  <c r="S271" i="11"/>
  <c r="R271" i="11"/>
  <c r="Q271" i="11"/>
  <c r="H271" i="11"/>
  <c r="G271" i="11"/>
  <c r="D271" i="11"/>
  <c r="C271" i="11"/>
  <c r="B271" i="11"/>
  <c r="AP270" i="11"/>
  <c r="AO270" i="11"/>
  <c r="AN270" i="11"/>
  <c r="AL270" i="11"/>
  <c r="AK270" i="11"/>
  <c r="AI270" i="11"/>
  <c r="AH270" i="11"/>
  <c r="AG270" i="11"/>
  <c r="AE270" i="11"/>
  <c r="AC270" i="11"/>
  <c r="AB270" i="11"/>
  <c r="AA270" i="11"/>
  <c r="Y270" i="11"/>
  <c r="X270" i="11"/>
  <c r="W270" i="11"/>
  <c r="T270" i="11"/>
  <c r="S270" i="11"/>
  <c r="R270" i="11"/>
  <c r="AQ269" i="11"/>
  <c r="AP269" i="11"/>
  <c r="AO269" i="11"/>
  <c r="AN269" i="11"/>
  <c r="AM269" i="11"/>
  <c r="AL269" i="11"/>
  <c r="AK269" i="11"/>
  <c r="AJ269" i="11"/>
  <c r="AI269" i="11"/>
  <c r="AI107" i="4" s="1"/>
  <c r="AH269" i="11"/>
  <c r="AG269" i="11"/>
  <c r="AF269" i="11"/>
  <c r="AF107" i="4" s="1"/>
  <c r="AE269" i="11"/>
  <c r="AE107" i="4" s="1"/>
  <c r="AD269" i="11"/>
  <c r="AC269" i="11"/>
  <c r="AB269" i="11"/>
  <c r="AA269" i="11"/>
  <c r="Z269" i="11"/>
  <c r="Y269" i="11"/>
  <c r="X269" i="11"/>
  <c r="W269" i="11"/>
  <c r="V269" i="11"/>
  <c r="U269" i="11"/>
  <c r="T269" i="11"/>
  <c r="S269" i="11"/>
  <c r="R269" i="11"/>
  <c r="Q269" i="11"/>
  <c r="P269" i="11"/>
  <c r="BK269" i="11" s="1"/>
  <c r="L269" i="11"/>
  <c r="BD269" i="11" s="1"/>
  <c r="AQ268" i="11"/>
  <c r="AP268" i="11"/>
  <c r="AO268" i="11"/>
  <c r="AN268" i="11"/>
  <c r="AM268" i="11"/>
  <c r="AL268" i="11"/>
  <c r="AK268" i="11"/>
  <c r="AJ268" i="11"/>
  <c r="AI268" i="11"/>
  <c r="AH268" i="11"/>
  <c r="AG268" i="11"/>
  <c r="AF268" i="11"/>
  <c r="AE268" i="11"/>
  <c r="AD268" i="11"/>
  <c r="AC268" i="11"/>
  <c r="AB268" i="11"/>
  <c r="AA268" i="11"/>
  <c r="Z268" i="11"/>
  <c r="Y268" i="11"/>
  <c r="X268" i="11"/>
  <c r="W268" i="11"/>
  <c r="V268" i="11"/>
  <c r="U268" i="11"/>
  <c r="T268" i="11"/>
  <c r="S268" i="11"/>
  <c r="R268" i="11"/>
  <c r="Q268" i="11"/>
  <c r="N268" i="11"/>
  <c r="M268" i="11"/>
  <c r="BF268" i="11" s="1"/>
  <c r="BK267" i="11"/>
  <c r="AQ267" i="11"/>
  <c r="AP267" i="11"/>
  <c r="AO267" i="11"/>
  <c r="AN267" i="11"/>
  <c r="AM267" i="11"/>
  <c r="AL267" i="11"/>
  <c r="AK267" i="11"/>
  <c r="AJ267" i="11"/>
  <c r="AI267" i="11"/>
  <c r="AH267" i="11"/>
  <c r="AG267" i="11"/>
  <c r="AF267" i="11"/>
  <c r="AE267" i="11"/>
  <c r="AD267" i="11"/>
  <c r="AC267" i="11"/>
  <c r="AB267" i="11"/>
  <c r="AA267" i="11"/>
  <c r="Z267" i="11"/>
  <c r="Y267" i="11"/>
  <c r="X267" i="11"/>
  <c r="W267" i="11"/>
  <c r="V267" i="11"/>
  <c r="U267" i="11"/>
  <c r="T267" i="11"/>
  <c r="S267" i="11"/>
  <c r="R267" i="11"/>
  <c r="Q267" i="11"/>
  <c r="P267" i="11"/>
  <c r="O267" i="11"/>
  <c r="C267" i="11"/>
  <c r="BF266" i="11"/>
  <c r="AQ266" i="11"/>
  <c r="AP266" i="11"/>
  <c r="AO266" i="11"/>
  <c r="AO104" i="4" s="1"/>
  <c r="AN266" i="11"/>
  <c r="AN104" i="4" s="1"/>
  <c r="AM266" i="11"/>
  <c r="AM104" i="4" s="1"/>
  <c r="AL266" i="11"/>
  <c r="AK266" i="11"/>
  <c r="AJ266" i="11"/>
  <c r="AI266" i="11"/>
  <c r="AH266" i="11"/>
  <c r="AG266" i="11"/>
  <c r="AF266" i="11"/>
  <c r="AE266" i="11"/>
  <c r="AD266" i="11"/>
  <c r="AC266" i="11"/>
  <c r="AB266" i="11"/>
  <c r="AA266" i="11"/>
  <c r="Z266" i="11"/>
  <c r="Y266" i="11"/>
  <c r="X266" i="11"/>
  <c r="W266" i="11"/>
  <c r="W273" i="11" s="1"/>
  <c r="W49" i="6" s="1"/>
  <c r="W71" i="6" s="1"/>
  <c r="V266" i="11"/>
  <c r="U266" i="11"/>
  <c r="U273" i="11" s="1"/>
  <c r="U49" i="6" s="1"/>
  <c r="T266" i="11"/>
  <c r="S266" i="11"/>
  <c r="S104" i="4" s="1"/>
  <c r="R266" i="11"/>
  <c r="Q266" i="11"/>
  <c r="G266" i="11"/>
  <c r="F266" i="11"/>
  <c r="E266" i="11"/>
  <c r="C266" i="11"/>
  <c r="BK265" i="11"/>
  <c r="BD265" i="11"/>
  <c r="AQ265" i="11"/>
  <c r="AP265" i="11"/>
  <c r="AO265" i="11"/>
  <c r="AN265" i="11"/>
  <c r="AM265" i="11"/>
  <c r="AL265" i="11"/>
  <c r="AK265" i="11"/>
  <c r="AJ265" i="11"/>
  <c r="AI265" i="11"/>
  <c r="AH265" i="11"/>
  <c r="AG265" i="11"/>
  <c r="AG103" i="4" s="1"/>
  <c r="AF265" i="11"/>
  <c r="AE265" i="11"/>
  <c r="AD265" i="11"/>
  <c r="AC265" i="11"/>
  <c r="AB265" i="11"/>
  <c r="AA265" i="11"/>
  <c r="Z265" i="11"/>
  <c r="Y265" i="11"/>
  <c r="X265" i="11"/>
  <c r="W265" i="11"/>
  <c r="V265" i="11"/>
  <c r="U265" i="11"/>
  <c r="T265" i="11"/>
  <c r="S265" i="11"/>
  <c r="R265" i="11"/>
  <c r="Q265" i="11"/>
  <c r="P265" i="11"/>
  <c r="G265" i="11"/>
  <c r="F265" i="11"/>
  <c r="E265" i="11"/>
  <c r="D265" i="11"/>
  <c r="B265" i="11"/>
  <c r="BL264" i="11"/>
  <c r="BM264" i="11" s="1"/>
  <c r="BK264" i="11"/>
  <c r="AQ264" i="11"/>
  <c r="AP264" i="11"/>
  <c r="AO264" i="11"/>
  <c r="AN264" i="11"/>
  <c r="AM264" i="11"/>
  <c r="AL264" i="11"/>
  <c r="AK264" i="11"/>
  <c r="AJ264" i="11"/>
  <c r="AI264" i="11"/>
  <c r="AH264" i="11"/>
  <c r="AG264" i="11"/>
  <c r="AF264" i="11"/>
  <c r="AE264" i="11"/>
  <c r="AD264" i="11"/>
  <c r="AC264" i="11"/>
  <c r="AB264" i="11"/>
  <c r="AA264" i="11"/>
  <c r="Z264" i="11"/>
  <c r="Y264" i="11"/>
  <c r="X264" i="11"/>
  <c r="W264" i="11"/>
  <c r="V264" i="11"/>
  <c r="U264" i="11"/>
  <c r="T264" i="11"/>
  <c r="S264" i="11"/>
  <c r="R264" i="11"/>
  <c r="Q264" i="11"/>
  <c r="O264" i="11"/>
  <c r="N264" i="11"/>
  <c r="M264" i="11"/>
  <c r="BF264" i="11" s="1"/>
  <c r="L264" i="11"/>
  <c r="BD264" i="11" s="1"/>
  <c r="J264" i="11"/>
  <c r="I264" i="11"/>
  <c r="B264" i="11"/>
  <c r="AQ263" i="11"/>
  <c r="AP263" i="11"/>
  <c r="AO263" i="11"/>
  <c r="AN263" i="11"/>
  <c r="AM263" i="11"/>
  <c r="AL263" i="11"/>
  <c r="AK263" i="11"/>
  <c r="AJ263" i="11"/>
  <c r="AI263" i="11"/>
  <c r="AH263" i="11"/>
  <c r="AG263" i="11"/>
  <c r="AF263" i="11"/>
  <c r="AE263" i="11"/>
  <c r="AD263" i="11"/>
  <c r="AC263" i="11"/>
  <c r="AB263" i="11"/>
  <c r="AA263" i="11"/>
  <c r="Z263" i="11"/>
  <c r="Y263" i="11"/>
  <c r="X263" i="11"/>
  <c r="W263" i="11"/>
  <c r="V263" i="11"/>
  <c r="U263" i="11"/>
  <c r="T263" i="11"/>
  <c r="S263" i="11"/>
  <c r="R263" i="11"/>
  <c r="M263" i="11"/>
  <c r="BF263" i="11" s="1"/>
  <c r="L263" i="11"/>
  <c r="BD263" i="11" s="1"/>
  <c r="K263" i="11"/>
  <c r="J263" i="11"/>
  <c r="I263" i="11"/>
  <c r="H263" i="11"/>
  <c r="G263" i="11"/>
  <c r="AQ262" i="11"/>
  <c r="AP262" i="11"/>
  <c r="AO262" i="11"/>
  <c r="AN262" i="11"/>
  <c r="AM262" i="11"/>
  <c r="AL262" i="11"/>
  <c r="AK262" i="11"/>
  <c r="AJ262" i="11"/>
  <c r="AI262" i="11"/>
  <c r="AH262" i="11"/>
  <c r="AG262" i="11"/>
  <c r="AF262" i="11"/>
  <c r="AE262" i="11"/>
  <c r="AD262" i="11"/>
  <c r="AC262" i="11"/>
  <c r="AB262" i="11"/>
  <c r="AA262" i="11"/>
  <c r="Z262" i="11"/>
  <c r="Y262" i="11"/>
  <c r="X262" i="11"/>
  <c r="W262" i="11"/>
  <c r="V262" i="11"/>
  <c r="U262" i="11"/>
  <c r="T262" i="11"/>
  <c r="S262" i="11"/>
  <c r="R262" i="11"/>
  <c r="Q262" i="11"/>
  <c r="P262" i="11"/>
  <c r="BK262" i="11" s="1"/>
  <c r="O262" i="11"/>
  <c r="K262" i="11"/>
  <c r="I262" i="11"/>
  <c r="H262" i="11"/>
  <c r="AQ261" i="11"/>
  <c r="AP261" i="11"/>
  <c r="AP273" i="11" s="1"/>
  <c r="AO261" i="11"/>
  <c r="AN261" i="11"/>
  <c r="AM261" i="11"/>
  <c r="AL261" i="11"/>
  <c r="AK261" i="11"/>
  <c r="AK273" i="11" s="1"/>
  <c r="AJ261" i="11"/>
  <c r="AJ273" i="11" s="1"/>
  <c r="AI261" i="11"/>
  <c r="AH261" i="11"/>
  <c r="AG261" i="11"/>
  <c r="AF261" i="11"/>
  <c r="AE261" i="11"/>
  <c r="AD261" i="11"/>
  <c r="AC261" i="11"/>
  <c r="AB261" i="11"/>
  <c r="AA261" i="11"/>
  <c r="Z261" i="11"/>
  <c r="Y261" i="11"/>
  <c r="X261" i="11"/>
  <c r="W261" i="11"/>
  <c r="V261" i="11"/>
  <c r="U261" i="11"/>
  <c r="T261" i="11"/>
  <c r="T273" i="11" s="1"/>
  <c r="T49" i="6" s="1"/>
  <c r="S261" i="11"/>
  <c r="R261" i="11"/>
  <c r="P261" i="11"/>
  <c r="BK261" i="11" s="1"/>
  <c r="N261" i="11"/>
  <c r="M261" i="11"/>
  <c r="L261" i="11"/>
  <c r="G261" i="11"/>
  <c r="AQ260" i="11"/>
  <c r="AP260" i="11"/>
  <c r="AO260" i="11"/>
  <c r="AN260" i="11"/>
  <c r="AM260" i="11"/>
  <c r="AL260" i="11"/>
  <c r="AK260" i="11"/>
  <c r="AJ260" i="11"/>
  <c r="AI260" i="11"/>
  <c r="AH260" i="11"/>
  <c r="AG260" i="11"/>
  <c r="AF260" i="11"/>
  <c r="AE260" i="11"/>
  <c r="AD260" i="11"/>
  <c r="AC260" i="11"/>
  <c r="AB260" i="11"/>
  <c r="AA260" i="11"/>
  <c r="Z260" i="11"/>
  <c r="Y260" i="11"/>
  <c r="X260" i="11"/>
  <c r="W260" i="11"/>
  <c r="V260" i="11"/>
  <c r="U260" i="11"/>
  <c r="T260" i="11"/>
  <c r="S260" i="11"/>
  <c r="R260" i="11"/>
  <c r="Q260" i="11"/>
  <c r="P260" i="11"/>
  <c r="O260" i="11"/>
  <c r="N260" i="11"/>
  <c r="M260" i="11"/>
  <c r="L260" i="11"/>
  <c r="K260" i="11"/>
  <c r="J260" i="11"/>
  <c r="I260" i="11"/>
  <c r="H260" i="11"/>
  <c r="G260" i="11"/>
  <c r="F260" i="11"/>
  <c r="E260" i="11"/>
  <c r="D260" i="11"/>
  <c r="C260" i="11"/>
  <c r="B260" i="11"/>
  <c r="P258" i="11"/>
  <c r="O258" i="11"/>
  <c r="BB256" i="11"/>
  <c r="P256" i="11"/>
  <c r="BK256" i="11" s="1"/>
  <c r="O256" i="11"/>
  <c r="N256" i="11"/>
  <c r="M256" i="11"/>
  <c r="BF256" i="11" s="1"/>
  <c r="L256" i="11"/>
  <c r="K256" i="11"/>
  <c r="J256" i="11"/>
  <c r="I256" i="11"/>
  <c r="H256" i="11"/>
  <c r="G256" i="11"/>
  <c r="F256" i="11"/>
  <c r="E256" i="11"/>
  <c r="D256" i="11"/>
  <c r="C256" i="11"/>
  <c r="B256" i="11"/>
  <c r="BF255" i="11"/>
  <c r="BD255" i="11"/>
  <c r="BB255" i="11"/>
  <c r="P255" i="11"/>
  <c r="AS247" i="11" s="1"/>
  <c r="O255" i="11"/>
  <c r="N255" i="11"/>
  <c r="M255" i="11"/>
  <c r="L255" i="11"/>
  <c r="K255" i="11"/>
  <c r="J255" i="11"/>
  <c r="I255" i="11"/>
  <c r="H255" i="11"/>
  <c r="G255" i="11"/>
  <c r="F255" i="11"/>
  <c r="E255" i="11"/>
  <c r="D255" i="11"/>
  <c r="C255" i="11"/>
  <c r="B255" i="11"/>
  <c r="BK254" i="11"/>
  <c r="BF254" i="11"/>
  <c r="BD254" i="11"/>
  <c r="BB254" i="11"/>
  <c r="P254" i="11"/>
  <c r="O254" i="11"/>
  <c r="N254" i="11"/>
  <c r="M254" i="11"/>
  <c r="L254" i="11"/>
  <c r="K254" i="11"/>
  <c r="J254" i="11"/>
  <c r="I254" i="11"/>
  <c r="H254" i="11"/>
  <c r="G254" i="11"/>
  <c r="F254" i="11"/>
  <c r="E254" i="11"/>
  <c r="D254" i="11"/>
  <c r="C254" i="11"/>
  <c r="B254" i="11"/>
  <c r="BK253" i="11"/>
  <c r="BH253" i="11"/>
  <c r="BF253" i="11"/>
  <c r="BD253" i="11"/>
  <c r="P253" i="11"/>
  <c r="O253" i="11"/>
  <c r="N253" i="11"/>
  <c r="M253" i="11"/>
  <c r="M205" i="11" s="1"/>
  <c r="L253" i="11"/>
  <c r="K253" i="11"/>
  <c r="J253" i="11"/>
  <c r="I253" i="11"/>
  <c r="H253" i="11"/>
  <c r="G253" i="11"/>
  <c r="F253" i="11"/>
  <c r="F205" i="11" s="1"/>
  <c r="E253" i="11"/>
  <c r="E258" i="11" s="1"/>
  <c r="D253" i="11"/>
  <c r="D205" i="11" s="1"/>
  <c r="C253" i="11"/>
  <c r="B253" i="11"/>
  <c r="P252" i="11"/>
  <c r="BK252" i="11" s="1"/>
  <c r="O252" i="11"/>
  <c r="N252" i="11"/>
  <c r="N258" i="11" s="1"/>
  <c r="M252" i="11"/>
  <c r="BF252" i="11" s="1"/>
  <c r="L252" i="11"/>
  <c r="K252" i="11"/>
  <c r="J252" i="11"/>
  <c r="J204" i="11" s="1"/>
  <c r="I252" i="11"/>
  <c r="H252" i="11"/>
  <c r="H204" i="11" s="1"/>
  <c r="G252" i="11"/>
  <c r="F252" i="11"/>
  <c r="E252" i="11"/>
  <c r="D252" i="11"/>
  <c r="C252" i="11"/>
  <c r="B252" i="11"/>
  <c r="BB251" i="11"/>
  <c r="P251" i="11"/>
  <c r="BK251" i="11" s="1"/>
  <c r="O251" i="11"/>
  <c r="N251" i="11"/>
  <c r="M251" i="11"/>
  <c r="BF251" i="11" s="1"/>
  <c r="L251" i="11"/>
  <c r="BD251" i="11" s="1"/>
  <c r="K251" i="11"/>
  <c r="J251" i="11"/>
  <c r="I251" i="11"/>
  <c r="H251" i="11"/>
  <c r="G251" i="11"/>
  <c r="F251" i="11"/>
  <c r="E251" i="11"/>
  <c r="D251" i="11"/>
  <c r="C251" i="11"/>
  <c r="B251" i="11"/>
  <c r="BK250" i="11"/>
  <c r="BF250" i="11"/>
  <c r="BD250" i="11"/>
  <c r="BB250" i="11"/>
  <c r="P250" i="11"/>
  <c r="O250" i="11"/>
  <c r="N250" i="11"/>
  <c r="M250" i="11"/>
  <c r="L250" i="11"/>
  <c r="K250" i="11"/>
  <c r="J250" i="11"/>
  <c r="I250" i="11"/>
  <c r="H250" i="11"/>
  <c r="G250" i="11"/>
  <c r="F250" i="11"/>
  <c r="E250" i="11"/>
  <c r="D250" i="11"/>
  <c r="D202" i="11" s="1"/>
  <c r="C250" i="11"/>
  <c r="B250" i="11"/>
  <c r="BK249" i="11"/>
  <c r="P249" i="11"/>
  <c r="O249" i="11"/>
  <c r="N249" i="11"/>
  <c r="M249" i="11"/>
  <c r="BF249" i="11" s="1"/>
  <c r="L249" i="11"/>
  <c r="K249" i="11"/>
  <c r="BB249" i="11" s="1"/>
  <c r="J249" i="11"/>
  <c r="I249" i="11"/>
  <c r="H249" i="11"/>
  <c r="G249" i="11"/>
  <c r="F249" i="11"/>
  <c r="E249" i="11"/>
  <c r="E201" i="11" s="1"/>
  <c r="D249" i="11"/>
  <c r="C249" i="11"/>
  <c r="B249" i="11"/>
  <c r="B201" i="11" s="1"/>
  <c r="P248" i="11"/>
  <c r="O248" i="11"/>
  <c r="N248" i="11"/>
  <c r="M248" i="11"/>
  <c r="BF248" i="11" s="1"/>
  <c r="L248" i="11"/>
  <c r="BD248" i="11" s="1"/>
  <c r="K248" i="11"/>
  <c r="J248" i="11"/>
  <c r="I248" i="11"/>
  <c r="H248" i="11"/>
  <c r="H200" i="11" s="1"/>
  <c r="G248" i="11"/>
  <c r="F248" i="11"/>
  <c r="F200" i="11" s="1"/>
  <c r="E248" i="11"/>
  <c r="D248" i="11"/>
  <c r="C248" i="11"/>
  <c r="B248" i="11"/>
  <c r="Q247" i="11"/>
  <c r="P247" i="11"/>
  <c r="BK247" i="11" s="1"/>
  <c r="O247" i="11"/>
  <c r="N247" i="11"/>
  <c r="M247" i="11"/>
  <c r="BF247" i="11" s="1"/>
  <c r="L247" i="11"/>
  <c r="BD247" i="11" s="1"/>
  <c r="K247" i="11"/>
  <c r="J247" i="11"/>
  <c r="I247" i="11"/>
  <c r="H247" i="11"/>
  <c r="G247" i="11"/>
  <c r="F247" i="11"/>
  <c r="E247" i="11"/>
  <c r="D247" i="11"/>
  <c r="C247" i="11"/>
  <c r="B247" i="11"/>
  <c r="BM246" i="11"/>
  <c r="BK246" i="11"/>
  <c r="Q246" i="11"/>
  <c r="P246" i="11"/>
  <c r="O246" i="11"/>
  <c r="N246" i="11"/>
  <c r="M246" i="11"/>
  <c r="AW246" i="11" s="1"/>
  <c r="L246" i="11"/>
  <c r="K246" i="11"/>
  <c r="J246" i="11"/>
  <c r="I246" i="11"/>
  <c r="H246" i="11"/>
  <c r="G246" i="11"/>
  <c r="F246" i="11"/>
  <c r="F198" i="11" s="1"/>
  <c r="E246" i="11"/>
  <c r="D246" i="11"/>
  <c r="C246" i="11"/>
  <c r="C198" i="11" s="1"/>
  <c r="B246" i="11"/>
  <c r="Q245" i="11"/>
  <c r="P245" i="11"/>
  <c r="O245" i="11"/>
  <c r="N245" i="11"/>
  <c r="N257" i="11" s="1"/>
  <c r="N15" i="11" s="1"/>
  <c r="M245" i="11"/>
  <c r="BF245" i="11" s="1"/>
  <c r="L245" i="11"/>
  <c r="BD245" i="11" s="1"/>
  <c r="K245" i="11"/>
  <c r="K257" i="11" s="1"/>
  <c r="BB257" i="11" s="1"/>
  <c r="J245" i="11"/>
  <c r="I245" i="11"/>
  <c r="I257" i="11" s="1"/>
  <c r="I15" i="11" s="1"/>
  <c r="H245" i="11"/>
  <c r="G245" i="11"/>
  <c r="F245" i="11"/>
  <c r="E245" i="11"/>
  <c r="E257" i="11" s="1"/>
  <c r="E15" i="11" s="1"/>
  <c r="D245" i="11"/>
  <c r="D257" i="11" s="1"/>
  <c r="D15" i="11" s="1"/>
  <c r="AV15" i="13" s="1"/>
  <c r="C245" i="11"/>
  <c r="C257" i="11" s="1"/>
  <c r="C15" i="11" s="1"/>
  <c r="B245" i="11"/>
  <c r="B257" i="11" s="1"/>
  <c r="B15" i="11" s="1"/>
  <c r="AQ244" i="11"/>
  <c r="AP244" i="11"/>
  <c r="AO244" i="11"/>
  <c r="AN244" i="11"/>
  <c r="AM244" i="11"/>
  <c r="AL244" i="11"/>
  <c r="AK244" i="11"/>
  <c r="AJ244" i="11"/>
  <c r="AI244" i="11"/>
  <c r="AH244" i="11"/>
  <c r="AG244" i="11"/>
  <c r="AF244" i="11"/>
  <c r="AE244" i="11"/>
  <c r="AD244" i="11"/>
  <c r="AC244" i="11"/>
  <c r="AB244" i="11"/>
  <c r="AA244" i="11"/>
  <c r="Z244" i="11"/>
  <c r="Y244" i="11"/>
  <c r="X244" i="11"/>
  <c r="W244" i="11"/>
  <c r="V244" i="11"/>
  <c r="U244" i="11"/>
  <c r="T244" i="11"/>
  <c r="S244" i="11"/>
  <c r="R244" i="11"/>
  <c r="Q244" i="11"/>
  <c r="P244" i="11"/>
  <c r="O244" i="11"/>
  <c r="N244" i="11"/>
  <c r="M244" i="11"/>
  <c r="L244" i="11"/>
  <c r="K244" i="11"/>
  <c r="J244" i="11"/>
  <c r="I244" i="11"/>
  <c r="H244" i="11"/>
  <c r="G244" i="11"/>
  <c r="F244" i="11"/>
  <c r="E244" i="11"/>
  <c r="D244" i="11"/>
  <c r="C244" i="11"/>
  <c r="B244" i="11"/>
  <c r="BB240" i="11"/>
  <c r="P240" i="11"/>
  <c r="BK240" i="11" s="1"/>
  <c r="O240" i="11"/>
  <c r="O208" i="11" s="1"/>
  <c r="N240" i="11"/>
  <c r="M240" i="11"/>
  <c r="BF240" i="11" s="1"/>
  <c r="L240" i="11"/>
  <c r="BD240" i="11" s="1"/>
  <c r="K240" i="11"/>
  <c r="J240" i="11"/>
  <c r="J208" i="11" s="1"/>
  <c r="I240" i="11"/>
  <c r="H240" i="11"/>
  <c r="G240" i="11"/>
  <c r="F240" i="11"/>
  <c r="E240" i="11"/>
  <c r="D240" i="11"/>
  <c r="C240" i="11"/>
  <c r="B240" i="11"/>
  <c r="BD239" i="11"/>
  <c r="BB239" i="11"/>
  <c r="P239" i="11"/>
  <c r="BK239" i="11" s="1"/>
  <c r="O239" i="11"/>
  <c r="O207" i="11" s="1"/>
  <c r="N239" i="11"/>
  <c r="M239" i="11"/>
  <c r="L239" i="11"/>
  <c r="K239" i="11"/>
  <c r="J239" i="11"/>
  <c r="I239" i="11"/>
  <c r="H239" i="11"/>
  <c r="G239" i="11"/>
  <c r="F239" i="11"/>
  <c r="E239" i="11"/>
  <c r="D239" i="11"/>
  <c r="C239" i="11"/>
  <c r="B239" i="11"/>
  <c r="BF238" i="11"/>
  <c r="BD238" i="11"/>
  <c r="BB238" i="11"/>
  <c r="P238" i="11"/>
  <c r="BK238" i="11" s="1"/>
  <c r="O238" i="11"/>
  <c r="N238" i="11"/>
  <c r="M238" i="11"/>
  <c r="L238" i="11"/>
  <c r="K238" i="11"/>
  <c r="J238" i="11"/>
  <c r="I238" i="11"/>
  <c r="H238" i="11"/>
  <c r="G238" i="11"/>
  <c r="F238" i="11"/>
  <c r="E238" i="11"/>
  <c r="E206" i="11" s="1"/>
  <c r="D238" i="11"/>
  <c r="D206" i="11" s="1"/>
  <c r="C238" i="11"/>
  <c r="B238" i="11"/>
  <c r="BK237" i="11"/>
  <c r="BF237" i="11"/>
  <c r="BD237" i="11"/>
  <c r="BB237" i="11"/>
  <c r="P237" i="11"/>
  <c r="O237" i="11"/>
  <c r="N237" i="11"/>
  <c r="M237" i="11"/>
  <c r="L237" i="11"/>
  <c r="K237" i="11"/>
  <c r="J237" i="11"/>
  <c r="I237" i="11"/>
  <c r="I205" i="11" s="1"/>
  <c r="H237" i="11"/>
  <c r="G237" i="11"/>
  <c r="F237" i="11"/>
  <c r="E237" i="11"/>
  <c r="D237" i="11"/>
  <c r="C237" i="11"/>
  <c r="B237" i="11"/>
  <c r="BK236" i="11"/>
  <c r="BF236" i="11"/>
  <c r="BD236" i="11"/>
  <c r="P236" i="11"/>
  <c r="O236" i="11"/>
  <c r="N236" i="11"/>
  <c r="M236" i="11"/>
  <c r="L236" i="11"/>
  <c r="K236" i="11"/>
  <c r="BB236" i="11" s="1"/>
  <c r="J236" i="11"/>
  <c r="I236" i="11"/>
  <c r="H236" i="11"/>
  <c r="G236" i="11"/>
  <c r="F236" i="11"/>
  <c r="F204" i="11" s="1"/>
  <c r="E236" i="11"/>
  <c r="E204" i="11" s="1"/>
  <c r="D236" i="11"/>
  <c r="C236" i="11"/>
  <c r="C204" i="11" s="1"/>
  <c r="B236" i="11"/>
  <c r="BK235" i="11"/>
  <c r="P235" i="11"/>
  <c r="O235" i="11"/>
  <c r="N235" i="11"/>
  <c r="M235" i="11"/>
  <c r="BF235" i="11" s="1"/>
  <c r="L235" i="11"/>
  <c r="BD235" i="11" s="1"/>
  <c r="K235" i="11"/>
  <c r="BB235" i="11" s="1"/>
  <c r="J235" i="11"/>
  <c r="J203" i="11" s="1"/>
  <c r="I235" i="11"/>
  <c r="I203" i="11" s="1"/>
  <c r="H235" i="11"/>
  <c r="G235" i="11"/>
  <c r="F235" i="11"/>
  <c r="F203" i="11" s="1"/>
  <c r="E235" i="11"/>
  <c r="D235" i="11"/>
  <c r="D203" i="11" s="1"/>
  <c r="C235" i="11"/>
  <c r="B235" i="11"/>
  <c r="P234" i="11"/>
  <c r="BK234" i="11" s="1"/>
  <c r="O234" i="11"/>
  <c r="N234" i="11"/>
  <c r="M234" i="11"/>
  <c r="L234" i="11"/>
  <c r="BD234" i="11" s="1"/>
  <c r="K234" i="11"/>
  <c r="BB234" i="11" s="1"/>
  <c r="J234" i="11"/>
  <c r="I234" i="11"/>
  <c r="H234" i="11"/>
  <c r="H202" i="11" s="1"/>
  <c r="G234" i="11"/>
  <c r="F234" i="11"/>
  <c r="E234" i="11"/>
  <c r="D234" i="11"/>
  <c r="C234" i="11"/>
  <c r="B234" i="11"/>
  <c r="P233" i="11"/>
  <c r="BK233" i="11" s="1"/>
  <c r="O233" i="11"/>
  <c r="N233" i="11"/>
  <c r="M233" i="11"/>
  <c r="BF233" i="11" s="1"/>
  <c r="L233" i="11"/>
  <c r="BD233" i="11" s="1"/>
  <c r="K233" i="11"/>
  <c r="BB233" i="11" s="1"/>
  <c r="J233" i="11"/>
  <c r="J201" i="11" s="1"/>
  <c r="I233" i="11"/>
  <c r="H233" i="11"/>
  <c r="G233" i="11"/>
  <c r="F233" i="11"/>
  <c r="E233" i="11"/>
  <c r="D233" i="11"/>
  <c r="C233" i="11"/>
  <c r="B233" i="11"/>
  <c r="P232" i="11"/>
  <c r="BK232" i="11" s="1"/>
  <c r="O232" i="11"/>
  <c r="N232" i="11"/>
  <c r="M232" i="11"/>
  <c r="L232" i="11"/>
  <c r="K232" i="11"/>
  <c r="K241" i="11" s="1"/>
  <c r="J232" i="11"/>
  <c r="I232" i="11"/>
  <c r="H232" i="11"/>
  <c r="G232" i="11"/>
  <c r="F232" i="11"/>
  <c r="E232" i="11"/>
  <c r="D232" i="11"/>
  <c r="C232" i="11"/>
  <c r="B232" i="11"/>
  <c r="BM231" i="11"/>
  <c r="BF231" i="11"/>
  <c r="Q231" i="11"/>
  <c r="P231" i="11"/>
  <c r="BK231" i="11" s="1"/>
  <c r="O231" i="11"/>
  <c r="N231" i="11"/>
  <c r="M231" i="11"/>
  <c r="L231" i="11"/>
  <c r="BD231" i="11" s="1"/>
  <c r="K231" i="11"/>
  <c r="J231" i="11"/>
  <c r="I231" i="11"/>
  <c r="H231" i="11"/>
  <c r="G231" i="11"/>
  <c r="F231" i="11"/>
  <c r="E231" i="11"/>
  <c r="D231" i="11"/>
  <c r="C231" i="11"/>
  <c r="B231" i="11"/>
  <c r="B199" i="11" s="1"/>
  <c r="BM230" i="11"/>
  <c r="BF230" i="11"/>
  <c r="BD230" i="11"/>
  <c r="Q230" i="11"/>
  <c r="P230" i="11"/>
  <c r="O230" i="11"/>
  <c r="O241" i="11" s="1"/>
  <c r="O14" i="11" s="1"/>
  <c r="N230" i="11"/>
  <c r="M230" i="11"/>
  <c r="L230" i="11"/>
  <c r="K230" i="11"/>
  <c r="J230" i="11"/>
  <c r="I230" i="11"/>
  <c r="H230" i="11"/>
  <c r="G230" i="11"/>
  <c r="F230" i="11"/>
  <c r="E230" i="11"/>
  <c r="D230" i="11"/>
  <c r="C230" i="11"/>
  <c r="B230" i="11"/>
  <c r="BK229" i="11"/>
  <c r="BF229" i="11"/>
  <c r="BD229" i="11"/>
  <c r="Q229" i="11"/>
  <c r="BM229" i="11" s="1"/>
  <c r="P229" i="11"/>
  <c r="O229" i="11"/>
  <c r="N229" i="11"/>
  <c r="M229" i="11"/>
  <c r="L229" i="11"/>
  <c r="K229" i="11"/>
  <c r="J229" i="11"/>
  <c r="I229" i="11"/>
  <c r="H229" i="11"/>
  <c r="G229" i="11"/>
  <c r="F229" i="11"/>
  <c r="E229" i="11"/>
  <c r="D229" i="11"/>
  <c r="C229" i="11"/>
  <c r="B229" i="11"/>
  <c r="AQ228" i="11"/>
  <c r="AP228" i="11"/>
  <c r="AO228" i="11"/>
  <c r="AN228" i="11"/>
  <c r="AM228" i="11"/>
  <c r="AL228" i="11"/>
  <c r="AK228" i="11"/>
  <c r="AJ228" i="11"/>
  <c r="AI228" i="11"/>
  <c r="AH228" i="11"/>
  <c r="AG228" i="11"/>
  <c r="AF228" i="11"/>
  <c r="AE228" i="11"/>
  <c r="AD228" i="11"/>
  <c r="AC228" i="11"/>
  <c r="AB228" i="11"/>
  <c r="AA228" i="11"/>
  <c r="Z228" i="11"/>
  <c r="Y228" i="11"/>
  <c r="X228" i="11"/>
  <c r="W228" i="11"/>
  <c r="V228" i="11"/>
  <c r="U228" i="11"/>
  <c r="T228" i="11"/>
  <c r="S228" i="11"/>
  <c r="R228" i="11"/>
  <c r="Q228" i="11"/>
  <c r="P228" i="11"/>
  <c r="O228" i="11"/>
  <c r="N228" i="11"/>
  <c r="M228" i="11"/>
  <c r="L228" i="11"/>
  <c r="K228" i="11"/>
  <c r="J228" i="11"/>
  <c r="I228" i="11"/>
  <c r="H228" i="11"/>
  <c r="G228" i="11"/>
  <c r="F228" i="11"/>
  <c r="E228" i="11"/>
  <c r="D228" i="11"/>
  <c r="C228" i="11"/>
  <c r="B228" i="11"/>
  <c r="AQ225" i="11"/>
  <c r="AP225" i="11"/>
  <c r="AO225" i="11"/>
  <c r="AN225" i="11"/>
  <c r="AM225" i="11"/>
  <c r="AL225" i="11"/>
  <c r="AK225" i="11"/>
  <c r="AJ225" i="11"/>
  <c r="AI225" i="11"/>
  <c r="AH225" i="11"/>
  <c r="AG225" i="11"/>
  <c r="AF225" i="11"/>
  <c r="AE225" i="11"/>
  <c r="AE13" i="11" s="1"/>
  <c r="AD225" i="11"/>
  <c r="AD13" i="11" s="1"/>
  <c r="AC225" i="11"/>
  <c r="AC13" i="11" s="1"/>
  <c r="AB225" i="11"/>
  <c r="AA225" i="11"/>
  <c r="AA13" i="11" s="1"/>
  <c r="Z225" i="11"/>
  <c r="Y225" i="11"/>
  <c r="X225" i="11"/>
  <c r="W225" i="11"/>
  <c r="V225" i="11"/>
  <c r="U225" i="11"/>
  <c r="T225" i="11"/>
  <c r="S225" i="11"/>
  <c r="R225" i="11"/>
  <c r="G225" i="11"/>
  <c r="BL224" i="11"/>
  <c r="BM224" i="11" s="1"/>
  <c r="BK224" i="11"/>
  <c r="BF224" i="11"/>
  <c r="BD224" i="11"/>
  <c r="BB224" i="11"/>
  <c r="P224" i="11"/>
  <c r="O224" i="11"/>
  <c r="N224" i="11"/>
  <c r="M224" i="11"/>
  <c r="L224" i="11"/>
  <c r="K224" i="11"/>
  <c r="J224" i="11"/>
  <c r="I224" i="11"/>
  <c r="H224" i="11"/>
  <c r="H208" i="11" s="1"/>
  <c r="G224" i="11"/>
  <c r="G208" i="11" s="1"/>
  <c r="F224" i="11"/>
  <c r="F208" i="11" s="1"/>
  <c r="E224" i="11"/>
  <c r="D224" i="11"/>
  <c r="D208" i="11" s="1"/>
  <c r="C224" i="11"/>
  <c r="C208" i="11" s="1"/>
  <c r="B224" i="11"/>
  <c r="B208" i="11" s="1"/>
  <c r="BM223" i="11"/>
  <c r="BL223" i="11"/>
  <c r="BK223" i="11"/>
  <c r="BF223" i="11"/>
  <c r="BD223" i="11"/>
  <c r="BB223" i="11"/>
  <c r="P223" i="11"/>
  <c r="O223" i="11"/>
  <c r="N223" i="11"/>
  <c r="M223" i="11"/>
  <c r="L223" i="11"/>
  <c r="K223" i="11"/>
  <c r="J223" i="11"/>
  <c r="I223" i="11"/>
  <c r="I207" i="11" s="1"/>
  <c r="H223" i="11"/>
  <c r="H207" i="11" s="1"/>
  <c r="G223" i="11"/>
  <c r="G207" i="11" s="1"/>
  <c r="F223" i="11"/>
  <c r="F207" i="11" s="1"/>
  <c r="E223" i="11"/>
  <c r="E207" i="11" s="1"/>
  <c r="D223" i="11"/>
  <c r="D207" i="11" s="1"/>
  <c r="C223" i="11"/>
  <c r="B223" i="11"/>
  <c r="B207" i="11" s="1"/>
  <c r="BL222" i="11"/>
  <c r="BM222" i="11" s="1"/>
  <c r="BF222" i="11"/>
  <c r="BD222" i="11"/>
  <c r="BB222" i="11"/>
  <c r="P222" i="11"/>
  <c r="O222" i="11"/>
  <c r="N222" i="11"/>
  <c r="M222" i="11"/>
  <c r="L222" i="11"/>
  <c r="K222" i="11"/>
  <c r="K206" i="11" s="1"/>
  <c r="J222" i="11"/>
  <c r="I222" i="11"/>
  <c r="I206" i="11" s="1"/>
  <c r="H222" i="11"/>
  <c r="H206" i="11" s="1"/>
  <c r="G222" i="11"/>
  <c r="F222" i="11"/>
  <c r="F206" i="11" s="1"/>
  <c r="E222" i="11"/>
  <c r="D222" i="11"/>
  <c r="D225" i="11" s="1"/>
  <c r="C222" i="11"/>
  <c r="B222" i="11"/>
  <c r="BL221" i="11"/>
  <c r="BM221" i="11" s="1"/>
  <c r="BK221" i="11"/>
  <c r="BF221" i="11"/>
  <c r="BD221" i="11"/>
  <c r="BB221" i="11"/>
  <c r="P221" i="11"/>
  <c r="P205" i="11" s="1"/>
  <c r="O221" i="11"/>
  <c r="O205" i="11" s="1"/>
  <c r="N221" i="11"/>
  <c r="N205" i="11" s="1"/>
  <c r="M221" i="11"/>
  <c r="L221" i="11"/>
  <c r="K221" i="11"/>
  <c r="J221" i="11"/>
  <c r="I221" i="11"/>
  <c r="H221" i="11"/>
  <c r="G221" i="11"/>
  <c r="F221" i="11"/>
  <c r="E221" i="11"/>
  <c r="D221" i="11"/>
  <c r="C221" i="11"/>
  <c r="C225" i="11" s="1"/>
  <c r="C13" i="11" s="1"/>
  <c r="B221" i="11"/>
  <c r="BF220" i="11"/>
  <c r="BD220" i="11"/>
  <c r="BB220" i="11"/>
  <c r="P220" i="11"/>
  <c r="O220" i="11"/>
  <c r="O204" i="11" s="1"/>
  <c r="N220" i="11"/>
  <c r="BL220" i="11" s="1"/>
  <c r="BM220" i="11" s="1"/>
  <c r="M220" i="11"/>
  <c r="L220" i="11"/>
  <c r="K220" i="11"/>
  <c r="J220" i="11"/>
  <c r="I220" i="11"/>
  <c r="H220" i="11"/>
  <c r="G220" i="11"/>
  <c r="F220" i="11"/>
  <c r="E220" i="11"/>
  <c r="D220" i="11"/>
  <c r="C220" i="11"/>
  <c r="B220" i="11"/>
  <c r="B204" i="11" s="1"/>
  <c r="BL219" i="11"/>
  <c r="BM219" i="11" s="1"/>
  <c r="BD219" i="11"/>
  <c r="BB219" i="11"/>
  <c r="P219" i="11"/>
  <c r="O219" i="11"/>
  <c r="O203" i="11" s="1"/>
  <c r="O123" i="11" s="1"/>
  <c r="N219" i="11"/>
  <c r="N203" i="11" s="1"/>
  <c r="M219" i="11"/>
  <c r="L219" i="11"/>
  <c r="K219" i="11"/>
  <c r="J219" i="11"/>
  <c r="I219" i="11"/>
  <c r="H219" i="11"/>
  <c r="G219" i="11"/>
  <c r="F219" i="11"/>
  <c r="E219" i="11"/>
  <c r="D219" i="11"/>
  <c r="C219" i="11"/>
  <c r="B219" i="11"/>
  <c r="BF218" i="11"/>
  <c r="BB218" i="11"/>
  <c r="P218" i="11"/>
  <c r="BK218" i="11" s="1"/>
  <c r="O218" i="11"/>
  <c r="N218" i="11"/>
  <c r="M218" i="11"/>
  <c r="L218" i="11"/>
  <c r="K218" i="11"/>
  <c r="J218" i="11"/>
  <c r="I218" i="11"/>
  <c r="H218" i="11"/>
  <c r="G218" i="11"/>
  <c r="G202" i="11" s="1"/>
  <c r="F218" i="11"/>
  <c r="E218" i="11"/>
  <c r="D218" i="11"/>
  <c r="C218" i="11"/>
  <c r="B218" i="11"/>
  <c r="BD217" i="11"/>
  <c r="BB217" i="11"/>
  <c r="P217" i="11"/>
  <c r="O217" i="11"/>
  <c r="O201" i="11" s="1"/>
  <c r="O121" i="11" s="1"/>
  <c r="N217" i="11"/>
  <c r="M217" i="11"/>
  <c r="L217" i="11"/>
  <c r="K217" i="11"/>
  <c r="J217" i="11"/>
  <c r="I217" i="11"/>
  <c r="H217" i="11"/>
  <c r="G217" i="11"/>
  <c r="F217" i="11"/>
  <c r="E217" i="11"/>
  <c r="D217" i="11"/>
  <c r="C217" i="11"/>
  <c r="B217" i="11"/>
  <c r="BK216" i="11"/>
  <c r="P216" i="11"/>
  <c r="O216" i="11"/>
  <c r="O200" i="11" s="1"/>
  <c r="O120" i="11" s="1"/>
  <c r="N216" i="11"/>
  <c r="M216" i="11"/>
  <c r="L216" i="11"/>
  <c r="K216" i="11"/>
  <c r="J216" i="11"/>
  <c r="J200" i="11" s="1"/>
  <c r="I216" i="11"/>
  <c r="I200" i="11" s="1"/>
  <c r="H216" i="11"/>
  <c r="G216" i="11"/>
  <c r="F216" i="11"/>
  <c r="E216" i="11"/>
  <c r="D216" i="11"/>
  <c r="C216" i="11"/>
  <c r="B216" i="11"/>
  <c r="Q215" i="11"/>
  <c r="P215" i="11"/>
  <c r="BK215" i="11" s="1"/>
  <c r="O215" i="11"/>
  <c r="N215" i="11"/>
  <c r="M215" i="11"/>
  <c r="M199" i="11" s="1"/>
  <c r="L215" i="11"/>
  <c r="K215" i="11"/>
  <c r="K199" i="11" s="1"/>
  <c r="J215" i="11"/>
  <c r="I215" i="11"/>
  <c r="I199" i="11" s="1"/>
  <c r="H215" i="11"/>
  <c r="H199" i="11" s="1"/>
  <c r="G215" i="11"/>
  <c r="F215" i="11"/>
  <c r="E215" i="11"/>
  <c r="D215" i="11"/>
  <c r="C215" i="11"/>
  <c r="C199" i="11" s="1"/>
  <c r="B215" i="11"/>
  <c r="BK214" i="11"/>
  <c r="Q214" i="11"/>
  <c r="P214" i="11"/>
  <c r="O214" i="11"/>
  <c r="N214" i="11"/>
  <c r="M214" i="11"/>
  <c r="M198" i="11" s="1"/>
  <c r="L214" i="11"/>
  <c r="L198" i="11" s="1"/>
  <c r="K214" i="11"/>
  <c r="K198" i="11" s="1"/>
  <c r="J214" i="11"/>
  <c r="J198" i="11" s="1"/>
  <c r="I214" i="11"/>
  <c r="I198" i="11" s="1"/>
  <c r="H214" i="11"/>
  <c r="G214" i="11"/>
  <c r="F214" i="11"/>
  <c r="E214" i="11"/>
  <c r="D214" i="11"/>
  <c r="C214" i="11"/>
  <c r="B214" i="11"/>
  <c r="BD213" i="11"/>
  <c r="Q213" i="11"/>
  <c r="P213" i="11"/>
  <c r="O213" i="11"/>
  <c r="N213" i="11"/>
  <c r="M213" i="11"/>
  <c r="L213" i="11"/>
  <c r="K213" i="11"/>
  <c r="J213" i="11"/>
  <c r="I213" i="11"/>
  <c r="H213" i="11"/>
  <c r="G213" i="11"/>
  <c r="F213" i="11"/>
  <c r="E213" i="11"/>
  <c r="D213" i="11"/>
  <c r="C213" i="11"/>
  <c r="B213" i="11"/>
  <c r="AQ212" i="11"/>
  <c r="AP212" i="11"/>
  <c r="AO212" i="11"/>
  <c r="AN212" i="11"/>
  <c r="AM212" i="11"/>
  <c r="AL212" i="11"/>
  <c r="AK212" i="11"/>
  <c r="AJ212" i="11"/>
  <c r="AI212" i="11"/>
  <c r="AH212" i="11"/>
  <c r="AG212" i="11"/>
  <c r="AF212" i="11"/>
  <c r="AE212" i="11"/>
  <c r="AD212" i="11"/>
  <c r="AC212" i="11"/>
  <c r="AB212" i="11"/>
  <c r="AA212" i="11"/>
  <c r="Z212" i="11"/>
  <c r="Y212" i="11"/>
  <c r="X212" i="11"/>
  <c r="W212" i="11"/>
  <c r="V212" i="11"/>
  <c r="U212" i="11"/>
  <c r="T212" i="11"/>
  <c r="S212" i="11"/>
  <c r="R212" i="11"/>
  <c r="Q212" i="11"/>
  <c r="P212" i="11"/>
  <c r="O212" i="11"/>
  <c r="N212" i="11"/>
  <c r="M212" i="11"/>
  <c r="L212" i="11"/>
  <c r="K212" i="11"/>
  <c r="J212" i="11"/>
  <c r="I212" i="11"/>
  <c r="H212" i="11"/>
  <c r="G212" i="11"/>
  <c r="F212" i="11"/>
  <c r="E212" i="11"/>
  <c r="D212" i="11"/>
  <c r="C212" i="11"/>
  <c r="B212" i="11"/>
  <c r="F210" i="11"/>
  <c r="D210" i="11"/>
  <c r="P208" i="11"/>
  <c r="BK208" i="11" s="1"/>
  <c r="N208" i="11"/>
  <c r="M208" i="11"/>
  <c r="BF208" i="11" s="1"/>
  <c r="K208" i="11"/>
  <c r="BB208" i="11" s="1"/>
  <c r="I208" i="11"/>
  <c r="E208" i="11"/>
  <c r="P207" i="11"/>
  <c r="N207" i="11"/>
  <c r="L207" i="11"/>
  <c r="K207" i="11"/>
  <c r="BB207" i="11" s="1"/>
  <c r="J207" i="11"/>
  <c r="BF206" i="11"/>
  <c r="BD206" i="11"/>
  <c r="BB206" i="11"/>
  <c r="O206" i="11"/>
  <c r="N206" i="11"/>
  <c r="M206" i="11"/>
  <c r="L206" i="11"/>
  <c r="G206" i="11"/>
  <c r="C206" i="11"/>
  <c r="BK205" i="11"/>
  <c r="BF205" i="11"/>
  <c r="BD205" i="11"/>
  <c r="L205" i="11"/>
  <c r="J205" i="11"/>
  <c r="B205" i="11"/>
  <c r="N204" i="11"/>
  <c r="M204" i="11"/>
  <c r="BF204" i="11" s="1"/>
  <c r="D204" i="11"/>
  <c r="L203" i="11"/>
  <c r="BD203" i="11" s="1"/>
  <c r="K203" i="11"/>
  <c r="BB203" i="11" s="1"/>
  <c r="H203" i="11"/>
  <c r="G203" i="11"/>
  <c r="O202" i="11"/>
  <c r="E202" i="11"/>
  <c r="C202" i="11"/>
  <c r="B202" i="11"/>
  <c r="H201" i="11"/>
  <c r="G201" i="11"/>
  <c r="F201" i="11"/>
  <c r="D201" i="11"/>
  <c r="C201" i="11"/>
  <c r="K200" i="11"/>
  <c r="G200" i="11"/>
  <c r="E200" i="11"/>
  <c r="D200" i="11"/>
  <c r="C200" i="11"/>
  <c r="B200" i="11"/>
  <c r="BK199" i="11"/>
  <c r="Q199" i="11"/>
  <c r="P199" i="11"/>
  <c r="O199" i="11"/>
  <c r="J199" i="11"/>
  <c r="G199" i="11"/>
  <c r="F199" i="11"/>
  <c r="E199" i="11"/>
  <c r="D199" i="11"/>
  <c r="G198" i="11"/>
  <c r="E198" i="11"/>
  <c r="B198" i="11"/>
  <c r="O197" i="11"/>
  <c r="M197" i="11"/>
  <c r="L197" i="11"/>
  <c r="K197" i="11"/>
  <c r="I197" i="11"/>
  <c r="D197" i="11"/>
  <c r="B197" i="11"/>
  <c r="AQ196" i="11"/>
  <c r="AP196" i="11"/>
  <c r="AO196" i="11"/>
  <c r="AN196" i="11"/>
  <c r="AM196" i="11"/>
  <c r="AL196" i="11"/>
  <c r="AK196" i="11"/>
  <c r="AJ196" i="11"/>
  <c r="AI196" i="11"/>
  <c r="AH196" i="11"/>
  <c r="AG196" i="11"/>
  <c r="AF196" i="11"/>
  <c r="AE196" i="11"/>
  <c r="AD196" i="11"/>
  <c r="AC196" i="11"/>
  <c r="AB196" i="11"/>
  <c r="AA196" i="11"/>
  <c r="Z196" i="11"/>
  <c r="Y196" i="11"/>
  <c r="X196" i="11"/>
  <c r="W196" i="11"/>
  <c r="V196" i="11"/>
  <c r="U196" i="11"/>
  <c r="T196" i="11"/>
  <c r="S196" i="11"/>
  <c r="R196" i="11"/>
  <c r="Q196" i="11"/>
  <c r="P196" i="11"/>
  <c r="O196" i="11"/>
  <c r="N196" i="11"/>
  <c r="M196" i="11"/>
  <c r="L196" i="11"/>
  <c r="K196" i="11"/>
  <c r="J196" i="11"/>
  <c r="I196" i="11"/>
  <c r="H196" i="11"/>
  <c r="G196" i="11"/>
  <c r="F196" i="11"/>
  <c r="E196" i="11"/>
  <c r="D196" i="11"/>
  <c r="C196" i="11"/>
  <c r="B196" i="11"/>
  <c r="P194" i="11"/>
  <c r="BF192" i="11"/>
  <c r="BD192" i="11"/>
  <c r="BB192" i="11"/>
  <c r="P192" i="11"/>
  <c r="BK192" i="11" s="1"/>
  <c r="O192" i="11"/>
  <c r="N192" i="11"/>
  <c r="M192" i="11"/>
  <c r="M194" i="11" s="1"/>
  <c r="L192" i="11"/>
  <c r="K192" i="11"/>
  <c r="J192" i="11"/>
  <c r="I192" i="11"/>
  <c r="H192" i="11"/>
  <c r="G192" i="11"/>
  <c r="F192" i="11"/>
  <c r="E192" i="11"/>
  <c r="D192" i="11"/>
  <c r="C192" i="11"/>
  <c r="B192" i="11"/>
  <c r="BF191" i="11"/>
  <c r="BD191" i="11"/>
  <c r="BB191" i="11"/>
  <c r="P191" i="11"/>
  <c r="O191" i="11"/>
  <c r="N191" i="11"/>
  <c r="M191" i="11"/>
  <c r="L191" i="11"/>
  <c r="K191" i="11"/>
  <c r="J191" i="11"/>
  <c r="I191" i="11"/>
  <c r="H191" i="11"/>
  <c r="G191" i="11"/>
  <c r="F191" i="11"/>
  <c r="E191" i="11"/>
  <c r="E143" i="11" s="1"/>
  <c r="D191" i="11"/>
  <c r="C191" i="11"/>
  <c r="B191" i="11"/>
  <c r="BK190" i="11"/>
  <c r="BF190" i="11"/>
  <c r="BD190" i="11"/>
  <c r="P190" i="11"/>
  <c r="O190" i="11"/>
  <c r="N190" i="11"/>
  <c r="M190" i="11"/>
  <c r="L190" i="11"/>
  <c r="K190" i="11"/>
  <c r="BB190" i="11" s="1"/>
  <c r="J190" i="11"/>
  <c r="I190" i="11"/>
  <c r="H190" i="11"/>
  <c r="G190" i="11"/>
  <c r="F190" i="11"/>
  <c r="E190" i="11"/>
  <c r="D190" i="11"/>
  <c r="C190" i="11"/>
  <c r="B190" i="11"/>
  <c r="BK189" i="11"/>
  <c r="P189" i="11"/>
  <c r="O189" i="11"/>
  <c r="N189" i="11"/>
  <c r="M189" i="11"/>
  <c r="BF189" i="11" s="1"/>
  <c r="L189" i="11"/>
  <c r="BD189" i="11" s="1"/>
  <c r="K189" i="11"/>
  <c r="BB189" i="11" s="1"/>
  <c r="J189" i="11"/>
  <c r="I189" i="11"/>
  <c r="H189" i="11"/>
  <c r="G189" i="11"/>
  <c r="F189" i="11"/>
  <c r="F141" i="11" s="1"/>
  <c r="F125" i="11" s="1"/>
  <c r="E189" i="11"/>
  <c r="D189" i="11"/>
  <c r="C189" i="11"/>
  <c r="B189" i="11"/>
  <c r="P188" i="11"/>
  <c r="BK188" i="11" s="1"/>
  <c r="O188" i="11"/>
  <c r="N188" i="11"/>
  <c r="M188" i="11"/>
  <c r="BF188" i="11" s="1"/>
  <c r="L188" i="11"/>
  <c r="BD188" i="11" s="1"/>
  <c r="K188" i="11"/>
  <c r="J188" i="11"/>
  <c r="I188" i="11"/>
  <c r="H188" i="11"/>
  <c r="G188" i="11"/>
  <c r="F188" i="11"/>
  <c r="E188" i="11"/>
  <c r="D188" i="11"/>
  <c r="C188" i="11"/>
  <c r="B188" i="11"/>
  <c r="BF187" i="11"/>
  <c r="BD187" i="11"/>
  <c r="BB187" i="11"/>
  <c r="P187" i="11"/>
  <c r="O187" i="11"/>
  <c r="O139" i="11" s="1"/>
  <c r="N187" i="11"/>
  <c r="N139" i="11" s="1"/>
  <c r="M187" i="11"/>
  <c r="L187" i="11"/>
  <c r="K187" i="11"/>
  <c r="J187" i="11"/>
  <c r="I187" i="11"/>
  <c r="H187" i="11"/>
  <c r="G187" i="11"/>
  <c r="F187" i="11"/>
  <c r="E187" i="11"/>
  <c r="D187" i="11"/>
  <c r="C187" i="11"/>
  <c r="B187" i="11"/>
  <c r="BK186" i="11"/>
  <c r="BH186" i="11"/>
  <c r="BF186" i="11"/>
  <c r="BD186" i="11"/>
  <c r="BB186" i="11"/>
  <c r="P186" i="11"/>
  <c r="O186" i="11"/>
  <c r="N186" i="11"/>
  <c r="M186" i="11"/>
  <c r="L186" i="11"/>
  <c r="K186" i="11"/>
  <c r="J186" i="11"/>
  <c r="I186" i="11"/>
  <c r="H186" i="11"/>
  <c r="G186" i="11"/>
  <c r="F186" i="11"/>
  <c r="E186" i="11"/>
  <c r="D186" i="11"/>
  <c r="C186" i="11"/>
  <c r="B186" i="11"/>
  <c r="BK185" i="11"/>
  <c r="BF185" i="11"/>
  <c r="BD185" i="11"/>
  <c r="P185" i="11"/>
  <c r="O185" i="11"/>
  <c r="N185" i="11"/>
  <c r="M185" i="11"/>
  <c r="L185" i="11"/>
  <c r="K185" i="11"/>
  <c r="BB185" i="11" s="1"/>
  <c r="J185" i="11"/>
  <c r="I185" i="11"/>
  <c r="I137" i="11" s="1"/>
  <c r="H185" i="11"/>
  <c r="G185" i="11"/>
  <c r="F185" i="11"/>
  <c r="E185" i="11"/>
  <c r="D185" i="11"/>
  <c r="C185" i="11"/>
  <c r="B185" i="11"/>
  <c r="P184" i="11"/>
  <c r="BK184" i="11" s="1"/>
  <c r="O184" i="11"/>
  <c r="N184" i="11"/>
  <c r="N136" i="11" s="1"/>
  <c r="M184" i="11"/>
  <c r="L184" i="11"/>
  <c r="BD184" i="11" s="1"/>
  <c r="K184" i="11"/>
  <c r="J184" i="11"/>
  <c r="I184" i="11"/>
  <c r="I136" i="11" s="1"/>
  <c r="H184" i="11"/>
  <c r="H136" i="11" s="1"/>
  <c r="G184" i="11"/>
  <c r="G136" i="11" s="1"/>
  <c r="F184" i="11"/>
  <c r="E184" i="11"/>
  <c r="D184" i="11"/>
  <c r="C184" i="11"/>
  <c r="B184" i="11"/>
  <c r="AT183" i="11"/>
  <c r="Q183" i="11"/>
  <c r="P183" i="11"/>
  <c r="BK183" i="11" s="1"/>
  <c r="O183" i="11"/>
  <c r="N183" i="11"/>
  <c r="M183" i="11"/>
  <c r="BF183" i="11" s="1"/>
  <c r="L183" i="11"/>
  <c r="BD183" i="11" s="1"/>
  <c r="K183" i="11"/>
  <c r="J183" i="11"/>
  <c r="I183" i="11"/>
  <c r="H183" i="11"/>
  <c r="G183" i="11"/>
  <c r="F183" i="11"/>
  <c r="E183" i="11"/>
  <c r="D183" i="11"/>
  <c r="C183" i="11"/>
  <c r="B183" i="11"/>
  <c r="BM182" i="11"/>
  <c r="BK182" i="11"/>
  <c r="Q182" i="11"/>
  <c r="AT182" i="11" s="1"/>
  <c r="P182" i="11"/>
  <c r="O182" i="11"/>
  <c r="N182" i="11"/>
  <c r="M182" i="11"/>
  <c r="L182" i="11"/>
  <c r="K182" i="11"/>
  <c r="J182" i="11"/>
  <c r="I182" i="11"/>
  <c r="H182" i="11"/>
  <c r="G182" i="11"/>
  <c r="G194" i="11" s="1"/>
  <c r="F182" i="11"/>
  <c r="E182" i="11"/>
  <c r="E194" i="11" s="1"/>
  <c r="D182" i="11"/>
  <c r="D134" i="11" s="1"/>
  <c r="C182" i="11"/>
  <c r="B182" i="11"/>
  <c r="Q181" i="11"/>
  <c r="BM181" i="11" s="1"/>
  <c r="P181" i="11"/>
  <c r="O181" i="11"/>
  <c r="N181" i="11"/>
  <c r="M181" i="11"/>
  <c r="BF181" i="11" s="1"/>
  <c r="L181" i="11"/>
  <c r="BD181" i="11" s="1"/>
  <c r="K181" i="11"/>
  <c r="J181" i="11"/>
  <c r="I181" i="11"/>
  <c r="I194" i="11" s="1"/>
  <c r="H181" i="11"/>
  <c r="G181" i="11"/>
  <c r="G193" i="11" s="1"/>
  <c r="G11" i="11" s="1"/>
  <c r="F181" i="11"/>
  <c r="E181" i="11"/>
  <c r="D181" i="11"/>
  <c r="C181" i="11"/>
  <c r="B181" i="11"/>
  <c r="AQ180" i="11"/>
  <c r="AP180" i="11"/>
  <c r="AO180" i="11"/>
  <c r="AN180" i="11"/>
  <c r="AM180" i="11"/>
  <c r="AL180" i="11"/>
  <c r="AK180" i="11"/>
  <c r="AJ180" i="11"/>
  <c r="AI180" i="11"/>
  <c r="AH180" i="11"/>
  <c r="AG180" i="11"/>
  <c r="AF180" i="11"/>
  <c r="AE180" i="11"/>
  <c r="AD180" i="11"/>
  <c r="AC180" i="11"/>
  <c r="AB180" i="11"/>
  <c r="AA180" i="11"/>
  <c r="Z180" i="11"/>
  <c r="Y180" i="11"/>
  <c r="X180" i="11"/>
  <c r="W180" i="11"/>
  <c r="V180" i="11"/>
  <c r="U180" i="11"/>
  <c r="T180" i="11"/>
  <c r="S180" i="11"/>
  <c r="R180" i="11"/>
  <c r="Q180" i="11"/>
  <c r="P180" i="11"/>
  <c r="O180" i="11"/>
  <c r="N180" i="11"/>
  <c r="M180" i="11"/>
  <c r="L180" i="11"/>
  <c r="K180" i="11"/>
  <c r="J180" i="11"/>
  <c r="I180" i="11"/>
  <c r="H180" i="11"/>
  <c r="G180" i="11"/>
  <c r="F180" i="11"/>
  <c r="E180" i="11"/>
  <c r="D180" i="11"/>
  <c r="C180" i="11"/>
  <c r="B180" i="11"/>
  <c r="M177" i="11"/>
  <c r="K177" i="11"/>
  <c r="I177" i="11"/>
  <c r="I10" i="11" s="1"/>
  <c r="BF176" i="11"/>
  <c r="BD176" i="11"/>
  <c r="BB176" i="11"/>
  <c r="AQ176" i="11"/>
  <c r="AP176" i="11"/>
  <c r="AO176" i="11"/>
  <c r="AN176" i="11"/>
  <c r="AM176" i="11"/>
  <c r="AL176" i="11"/>
  <c r="AK176" i="11"/>
  <c r="AJ176" i="11"/>
  <c r="AI176" i="11"/>
  <c r="AH176" i="11"/>
  <c r="AG176" i="11"/>
  <c r="AF176" i="11"/>
  <c r="AE176" i="11"/>
  <c r="AD176" i="11"/>
  <c r="AC176" i="11"/>
  <c r="AB176" i="11"/>
  <c r="AA176" i="11"/>
  <c r="Z176" i="11"/>
  <c r="Y176" i="11"/>
  <c r="X176" i="11"/>
  <c r="W176" i="11"/>
  <c r="V176" i="11"/>
  <c r="U176" i="11"/>
  <c r="T176" i="11"/>
  <c r="S176" i="11"/>
  <c r="R176" i="11"/>
  <c r="Q176" i="11"/>
  <c r="P176" i="11"/>
  <c r="O176" i="11"/>
  <c r="AT176" i="11" s="1"/>
  <c r="N176" i="11"/>
  <c r="M176" i="11"/>
  <c r="L176" i="11"/>
  <c r="K176" i="11"/>
  <c r="J176" i="11"/>
  <c r="I176" i="11"/>
  <c r="H176" i="11"/>
  <c r="G176" i="11"/>
  <c r="F176" i="11"/>
  <c r="E176" i="11"/>
  <c r="D176" i="11"/>
  <c r="C176" i="11"/>
  <c r="B176" i="11"/>
  <c r="BM175" i="11"/>
  <c r="BK175" i="11"/>
  <c r="BF175" i="11"/>
  <c r="BD175" i="11"/>
  <c r="BB175" i="11"/>
  <c r="AU175" i="11"/>
  <c r="AT175" i="11"/>
  <c r="AQ175" i="11"/>
  <c r="AP175" i="11"/>
  <c r="AO175" i="11"/>
  <c r="AN175" i="11"/>
  <c r="AM175" i="11"/>
  <c r="AL175" i="11"/>
  <c r="AK175" i="11"/>
  <c r="AJ175" i="11"/>
  <c r="AI175" i="11"/>
  <c r="AH175" i="11"/>
  <c r="AG175" i="11"/>
  <c r="AF175" i="11"/>
  <c r="AE175" i="11"/>
  <c r="AD175" i="11"/>
  <c r="AC175" i="11"/>
  <c r="AB175" i="11"/>
  <c r="AA175" i="11"/>
  <c r="Z175" i="11"/>
  <c r="Y175" i="11"/>
  <c r="X175" i="11"/>
  <c r="W175" i="11"/>
  <c r="V175" i="11"/>
  <c r="U175" i="11"/>
  <c r="T175" i="11"/>
  <c r="S175" i="11"/>
  <c r="R175" i="11"/>
  <c r="Q175" i="11"/>
  <c r="P175" i="11"/>
  <c r="O175" i="11"/>
  <c r="N175" i="11"/>
  <c r="M175" i="11"/>
  <c r="L175" i="11"/>
  <c r="K175" i="11"/>
  <c r="J175" i="11"/>
  <c r="I175" i="11"/>
  <c r="I143" i="11" s="1"/>
  <c r="H175" i="11"/>
  <c r="H143" i="11" s="1"/>
  <c r="G175" i="11"/>
  <c r="G143" i="11" s="1"/>
  <c r="F175" i="11"/>
  <c r="E175" i="11"/>
  <c r="D175" i="11"/>
  <c r="C175" i="11"/>
  <c r="B175" i="11"/>
  <c r="BM174" i="11"/>
  <c r="BK174" i="11"/>
  <c r="BB174" i="11"/>
  <c r="AQ174" i="11"/>
  <c r="AP174" i="11"/>
  <c r="AO174" i="11"/>
  <c r="AN174" i="11"/>
  <c r="AM174" i="11"/>
  <c r="AL174" i="11"/>
  <c r="AK174" i="11"/>
  <c r="AJ174" i="11"/>
  <c r="AI174" i="11"/>
  <c r="AH174" i="11"/>
  <c r="AG174" i="11"/>
  <c r="AF174" i="11"/>
  <c r="AE174" i="11"/>
  <c r="AD174" i="11"/>
  <c r="AC174" i="11"/>
  <c r="AB174" i="11"/>
  <c r="AA174" i="11"/>
  <c r="Z174" i="11"/>
  <c r="Y174" i="11"/>
  <c r="X174" i="11"/>
  <c r="W174" i="11"/>
  <c r="V174" i="11"/>
  <c r="U174" i="11"/>
  <c r="T174" i="11"/>
  <c r="S174" i="11"/>
  <c r="R174" i="11"/>
  <c r="Q174" i="11"/>
  <c r="P174" i="11"/>
  <c r="AU174" i="11" s="1"/>
  <c r="O174" i="11"/>
  <c r="AT174" i="11" s="1"/>
  <c r="N174" i="11"/>
  <c r="M174" i="11"/>
  <c r="L174" i="11"/>
  <c r="BD174" i="11" s="1"/>
  <c r="K174" i="11"/>
  <c r="J174" i="11"/>
  <c r="J142" i="11" s="1"/>
  <c r="I174" i="11"/>
  <c r="H174" i="11"/>
  <c r="G174" i="11"/>
  <c r="F174" i="11"/>
  <c r="E174" i="11"/>
  <c r="D174" i="11"/>
  <c r="D142" i="11" s="1"/>
  <c r="C174" i="11"/>
  <c r="B174" i="11"/>
  <c r="AQ173" i="11"/>
  <c r="AP173" i="11"/>
  <c r="AO173" i="11"/>
  <c r="AN173" i="11"/>
  <c r="AM173" i="11"/>
  <c r="AL173" i="11"/>
  <c r="AK173" i="11"/>
  <c r="AJ173" i="11"/>
  <c r="AI173" i="11"/>
  <c r="AH173" i="11"/>
  <c r="AG173" i="11"/>
  <c r="AF173" i="11"/>
  <c r="AE173" i="11"/>
  <c r="AD173" i="11"/>
  <c r="AC173" i="11"/>
  <c r="AB173" i="11"/>
  <c r="AA173" i="11"/>
  <c r="Z173" i="11"/>
  <c r="Y173" i="11"/>
  <c r="X173" i="11"/>
  <c r="W173" i="11"/>
  <c r="V173" i="11"/>
  <c r="U173" i="11"/>
  <c r="T173" i="11"/>
  <c r="S173" i="11"/>
  <c r="R173" i="11"/>
  <c r="Q173" i="11"/>
  <c r="P173" i="11"/>
  <c r="BK173" i="11" s="1"/>
  <c r="O173" i="11"/>
  <c r="N173" i="11"/>
  <c r="N141" i="11" s="1"/>
  <c r="M173" i="11"/>
  <c r="L173" i="11"/>
  <c r="K173" i="11"/>
  <c r="J173" i="11"/>
  <c r="J141" i="11" s="1"/>
  <c r="I173" i="11"/>
  <c r="H173" i="11"/>
  <c r="G173" i="11"/>
  <c r="F173" i="11"/>
  <c r="E173" i="11"/>
  <c r="D173" i="11"/>
  <c r="C173" i="11"/>
  <c r="B173" i="11"/>
  <c r="BB172" i="11"/>
  <c r="AQ172" i="11"/>
  <c r="AP172" i="11"/>
  <c r="AO172" i="11"/>
  <c r="AN172" i="11"/>
  <c r="AM172" i="11"/>
  <c r="AL172" i="11"/>
  <c r="AK172" i="11"/>
  <c r="AJ172" i="11"/>
  <c r="AI172" i="11"/>
  <c r="AH172" i="11"/>
  <c r="AG172" i="11"/>
  <c r="AF172" i="11"/>
  <c r="AE172" i="11"/>
  <c r="AD172" i="11"/>
  <c r="AC172" i="11"/>
  <c r="AB172" i="11"/>
  <c r="AA172" i="11"/>
  <c r="Z172" i="11"/>
  <c r="Y172" i="11"/>
  <c r="X172" i="11"/>
  <c r="W172" i="11"/>
  <c r="V172" i="11"/>
  <c r="U172" i="11"/>
  <c r="T172" i="11"/>
  <c r="S172" i="11"/>
  <c r="R172" i="11"/>
  <c r="Q172" i="11"/>
  <c r="P172" i="11"/>
  <c r="O172" i="11"/>
  <c r="O177" i="11" s="1"/>
  <c r="O10" i="11" s="1"/>
  <c r="BI10" i="11" s="1"/>
  <c r="N172" i="11"/>
  <c r="N140" i="11" s="1"/>
  <c r="M172" i="11"/>
  <c r="L172" i="11"/>
  <c r="L177" i="11" s="1"/>
  <c r="K172" i="11"/>
  <c r="J172" i="11"/>
  <c r="I172" i="11"/>
  <c r="H172" i="11"/>
  <c r="G172" i="11"/>
  <c r="F172" i="11"/>
  <c r="E172" i="11"/>
  <c r="D172" i="11"/>
  <c r="C172" i="11"/>
  <c r="B172" i="11"/>
  <c r="BK171" i="11"/>
  <c r="BF171" i="11"/>
  <c r="BD171" i="11"/>
  <c r="BB171" i="11"/>
  <c r="AU171" i="11"/>
  <c r="AT171" i="11"/>
  <c r="AQ171" i="11"/>
  <c r="AP171" i="11"/>
  <c r="AO171" i="11"/>
  <c r="AN171" i="11"/>
  <c r="AM171" i="11"/>
  <c r="AL171" i="11"/>
  <c r="AK171" i="11"/>
  <c r="AJ171" i="11"/>
  <c r="AI171" i="11"/>
  <c r="AH171" i="11"/>
  <c r="AG171" i="11"/>
  <c r="AF171" i="11"/>
  <c r="AE171" i="11"/>
  <c r="AD171" i="11"/>
  <c r="AC171" i="11"/>
  <c r="AB171" i="11"/>
  <c r="AA171" i="11"/>
  <c r="Z171" i="11"/>
  <c r="Y171" i="11"/>
  <c r="X171" i="11"/>
  <c r="W171" i="11"/>
  <c r="V171" i="11"/>
  <c r="U171" i="11"/>
  <c r="T171" i="11"/>
  <c r="S171" i="11"/>
  <c r="R171" i="11"/>
  <c r="Q171" i="11"/>
  <c r="P171" i="11"/>
  <c r="O171" i="11"/>
  <c r="N171" i="11"/>
  <c r="M171" i="11"/>
  <c r="L171" i="11"/>
  <c r="K171" i="11"/>
  <c r="J171" i="11"/>
  <c r="I171" i="11"/>
  <c r="H171" i="11"/>
  <c r="G171" i="11"/>
  <c r="F171" i="11"/>
  <c r="E171" i="11"/>
  <c r="D171" i="11"/>
  <c r="C171" i="11"/>
  <c r="B171" i="11"/>
  <c r="BM170" i="11"/>
  <c r="BK170" i="11"/>
  <c r="BF170" i="11"/>
  <c r="BD170" i="11"/>
  <c r="BB170" i="11"/>
  <c r="AU170" i="11"/>
  <c r="AT170" i="11"/>
  <c r="AQ170" i="11"/>
  <c r="AP170" i="11"/>
  <c r="AO170" i="11"/>
  <c r="AN170" i="11"/>
  <c r="AM170" i="11"/>
  <c r="AL170" i="11"/>
  <c r="AK170" i="11"/>
  <c r="AJ170" i="11"/>
  <c r="AI170" i="11"/>
  <c r="AH170" i="11"/>
  <c r="AG170" i="11"/>
  <c r="AF170" i="11"/>
  <c r="AE170" i="11"/>
  <c r="AD170" i="11"/>
  <c r="AC170" i="11"/>
  <c r="AB170" i="11"/>
  <c r="AA170" i="11"/>
  <c r="Z170" i="11"/>
  <c r="Y170" i="11"/>
  <c r="X170" i="11"/>
  <c r="W170" i="11"/>
  <c r="V170" i="11"/>
  <c r="U170" i="11"/>
  <c r="T170" i="11"/>
  <c r="S170" i="11"/>
  <c r="R170" i="11"/>
  <c r="Q170" i="11"/>
  <c r="P170" i="11"/>
  <c r="O170" i="11"/>
  <c r="N170" i="11"/>
  <c r="M170" i="11"/>
  <c r="L170" i="11"/>
  <c r="K170" i="11"/>
  <c r="J170" i="11"/>
  <c r="J138" i="11" s="1"/>
  <c r="I170" i="11"/>
  <c r="H170" i="11"/>
  <c r="H138" i="11" s="1"/>
  <c r="G170" i="11"/>
  <c r="G138" i="11" s="1"/>
  <c r="F170" i="11"/>
  <c r="E170" i="11"/>
  <c r="D170" i="11"/>
  <c r="C170" i="11"/>
  <c r="C138" i="11" s="1"/>
  <c r="B170" i="11"/>
  <c r="BM169" i="11"/>
  <c r="BK169" i="11"/>
  <c r="AQ169" i="11"/>
  <c r="AP169" i="11"/>
  <c r="AO169" i="11"/>
  <c r="AN169" i="11"/>
  <c r="AM169" i="11"/>
  <c r="AL169" i="11"/>
  <c r="AK169" i="11"/>
  <c r="AJ169" i="11"/>
  <c r="AI169" i="11"/>
  <c r="AH169" i="11"/>
  <c r="AG169" i="11"/>
  <c r="AF169" i="11"/>
  <c r="AE169" i="11"/>
  <c r="AD169" i="11"/>
  <c r="AC169" i="11"/>
  <c r="AB169" i="11"/>
  <c r="AA169" i="11"/>
  <c r="Z169" i="11"/>
  <c r="Y169" i="11"/>
  <c r="X169" i="11"/>
  <c r="W169" i="11"/>
  <c r="V169" i="11"/>
  <c r="U169" i="11"/>
  <c r="T169" i="11"/>
  <c r="S169" i="11"/>
  <c r="R169" i="11"/>
  <c r="Q169" i="11"/>
  <c r="P169" i="11"/>
  <c r="AU169" i="11" s="1"/>
  <c r="O169" i="11"/>
  <c r="AT169" i="11" s="1"/>
  <c r="N169" i="11"/>
  <c r="M169" i="11"/>
  <c r="BF169" i="11" s="1"/>
  <c r="L169" i="11"/>
  <c r="BD169" i="11" s="1"/>
  <c r="K169" i="11"/>
  <c r="BB169" i="11" s="1"/>
  <c r="J169" i="11"/>
  <c r="I169" i="11"/>
  <c r="H169" i="11"/>
  <c r="G169" i="11"/>
  <c r="F169" i="11"/>
  <c r="E169" i="11"/>
  <c r="D169" i="11"/>
  <c r="C169" i="11"/>
  <c r="B169" i="11"/>
  <c r="AQ168" i="11"/>
  <c r="AP168" i="11"/>
  <c r="AO168" i="11"/>
  <c r="AN168" i="11"/>
  <c r="AM168" i="11"/>
  <c r="AL168" i="11"/>
  <c r="AK168" i="11"/>
  <c r="AJ168" i="11"/>
  <c r="AI168" i="11"/>
  <c r="AH168" i="11"/>
  <c r="AG168" i="11"/>
  <c r="AF168" i="11"/>
  <c r="AE168" i="11"/>
  <c r="AD168" i="11"/>
  <c r="AC168" i="11"/>
  <c r="AB168" i="11"/>
  <c r="AA168" i="11"/>
  <c r="Z168" i="11"/>
  <c r="Y168" i="11"/>
  <c r="X168" i="11"/>
  <c r="W168" i="11"/>
  <c r="V168" i="11"/>
  <c r="U168" i="11"/>
  <c r="T168" i="11"/>
  <c r="S168" i="11"/>
  <c r="R168" i="11"/>
  <c r="Q168" i="11"/>
  <c r="P168" i="11"/>
  <c r="O168" i="11"/>
  <c r="AT168" i="11" s="1"/>
  <c r="N168" i="11"/>
  <c r="M168" i="11"/>
  <c r="BF168" i="11" s="1"/>
  <c r="L168" i="11"/>
  <c r="BD168" i="11" s="1"/>
  <c r="K168" i="11"/>
  <c r="J168" i="11"/>
  <c r="I168" i="11"/>
  <c r="H168" i="11"/>
  <c r="G168" i="11"/>
  <c r="F168" i="11"/>
  <c r="E168" i="11"/>
  <c r="D168" i="11"/>
  <c r="C168" i="11"/>
  <c r="B168" i="11"/>
  <c r="BF167" i="11"/>
  <c r="BD167" i="11"/>
  <c r="AU167" i="11"/>
  <c r="AQ167" i="11"/>
  <c r="AP167" i="11"/>
  <c r="AO167" i="11"/>
  <c r="AN167" i="11"/>
  <c r="AM167" i="11"/>
  <c r="AL167" i="11"/>
  <c r="AK167" i="11"/>
  <c r="AJ167" i="11"/>
  <c r="AI167" i="11"/>
  <c r="AH167" i="11"/>
  <c r="AG167" i="11"/>
  <c r="AF167" i="11"/>
  <c r="AE167" i="11"/>
  <c r="AD167" i="11"/>
  <c r="AC167" i="11"/>
  <c r="AB167" i="11"/>
  <c r="AA167" i="11"/>
  <c r="Z167" i="11"/>
  <c r="Y167" i="11"/>
  <c r="X167" i="11"/>
  <c r="W167" i="11"/>
  <c r="V167" i="11"/>
  <c r="U167" i="11"/>
  <c r="T167" i="11"/>
  <c r="S167" i="11"/>
  <c r="R167" i="11"/>
  <c r="Q167" i="11"/>
  <c r="BM167" i="11" s="1"/>
  <c r="P167" i="11"/>
  <c r="BK167" i="11" s="1"/>
  <c r="O167" i="11"/>
  <c r="AT167" i="11" s="1"/>
  <c r="N167" i="11"/>
  <c r="M167" i="11"/>
  <c r="L167" i="11"/>
  <c r="K167" i="11"/>
  <c r="J167" i="11"/>
  <c r="I167" i="11"/>
  <c r="H167" i="11"/>
  <c r="G167" i="11"/>
  <c r="G135" i="11" s="1"/>
  <c r="G119" i="11" s="1"/>
  <c r="F167" i="11"/>
  <c r="E167" i="11"/>
  <c r="D167" i="11"/>
  <c r="C167" i="11"/>
  <c r="C135" i="11" s="1"/>
  <c r="B167" i="11"/>
  <c r="BM166" i="11"/>
  <c r="BF166" i="11"/>
  <c r="BD166" i="11"/>
  <c r="AU166" i="11"/>
  <c r="AT166" i="11"/>
  <c r="AQ166" i="11"/>
  <c r="AP166" i="11"/>
  <c r="AO166" i="11"/>
  <c r="AN166" i="11"/>
  <c r="AM166" i="11"/>
  <c r="AL166" i="11"/>
  <c r="AK166" i="11"/>
  <c r="AJ166" i="11"/>
  <c r="AI166" i="11"/>
  <c r="AH166" i="11"/>
  <c r="AG166" i="11"/>
  <c r="AF166" i="11"/>
  <c r="AE166" i="11"/>
  <c r="AD166" i="11"/>
  <c r="AC166" i="11"/>
  <c r="AB166" i="11"/>
  <c r="AA166" i="11"/>
  <c r="Z166" i="11"/>
  <c r="Y166" i="11"/>
  <c r="X166" i="11"/>
  <c r="W166" i="11"/>
  <c r="V166" i="11"/>
  <c r="U166" i="11"/>
  <c r="T166" i="11"/>
  <c r="T177" i="11" s="1"/>
  <c r="S166" i="11"/>
  <c r="R166" i="11"/>
  <c r="Q166" i="11"/>
  <c r="P166" i="11"/>
  <c r="BK166" i="11" s="1"/>
  <c r="O166" i="11"/>
  <c r="N166" i="11"/>
  <c r="M166" i="11"/>
  <c r="L166" i="11"/>
  <c r="K166" i="11"/>
  <c r="J166" i="11"/>
  <c r="I166" i="11"/>
  <c r="H166" i="11"/>
  <c r="G166" i="11"/>
  <c r="G134" i="11" s="1"/>
  <c r="F166" i="11"/>
  <c r="F134" i="11" s="1"/>
  <c r="E166" i="11"/>
  <c r="D166" i="11"/>
  <c r="C166" i="11"/>
  <c r="C134" i="11" s="1"/>
  <c r="B166" i="11"/>
  <c r="BM165" i="11"/>
  <c r="BK165" i="11"/>
  <c r="BF165" i="11"/>
  <c r="BD165" i="11"/>
  <c r="AU165" i="11"/>
  <c r="AT165" i="11"/>
  <c r="AQ165" i="11"/>
  <c r="AP165" i="11"/>
  <c r="AO165" i="11"/>
  <c r="AN165" i="11"/>
  <c r="AM165" i="11"/>
  <c r="AL165" i="11"/>
  <c r="AK165" i="11"/>
  <c r="AJ165" i="11"/>
  <c r="AI165" i="11"/>
  <c r="AH165" i="11"/>
  <c r="AG165" i="11"/>
  <c r="AF165" i="11"/>
  <c r="AE165" i="11"/>
  <c r="AD165" i="11"/>
  <c r="AC165" i="11"/>
  <c r="AB165" i="11"/>
  <c r="AA165" i="11"/>
  <c r="Z165" i="11"/>
  <c r="Y165" i="11"/>
  <c r="X165" i="11"/>
  <c r="W165" i="11"/>
  <c r="V165" i="11"/>
  <c r="U165" i="11"/>
  <c r="U177" i="11" s="1"/>
  <c r="U10" i="11" s="1"/>
  <c r="T165" i="11"/>
  <c r="S165" i="11"/>
  <c r="R165" i="11"/>
  <c r="Q165" i="11"/>
  <c r="P165" i="11"/>
  <c r="O165" i="11"/>
  <c r="N165" i="11"/>
  <c r="M165" i="11"/>
  <c r="L165" i="11"/>
  <c r="K165" i="11"/>
  <c r="J165" i="11"/>
  <c r="I165" i="11"/>
  <c r="H165" i="11"/>
  <c r="G165" i="11"/>
  <c r="F165" i="11"/>
  <c r="E165" i="11"/>
  <c r="D165" i="11"/>
  <c r="D177" i="11" s="1"/>
  <c r="D10" i="11" s="1"/>
  <c r="C165" i="11"/>
  <c r="B165" i="11"/>
  <c r="AQ164" i="11"/>
  <c r="AP164" i="11"/>
  <c r="AO164" i="11"/>
  <c r="AN164" i="11"/>
  <c r="AM164" i="11"/>
  <c r="AL164" i="11"/>
  <c r="AK164" i="11"/>
  <c r="AJ164" i="11"/>
  <c r="AI164" i="11"/>
  <c r="AH164" i="11"/>
  <c r="AG164" i="11"/>
  <c r="AF164" i="11"/>
  <c r="AE164" i="11"/>
  <c r="AD164" i="11"/>
  <c r="AC164" i="11"/>
  <c r="AB164" i="11"/>
  <c r="AA164" i="11"/>
  <c r="Z164" i="11"/>
  <c r="Y164" i="11"/>
  <c r="X164" i="11"/>
  <c r="W164" i="11"/>
  <c r="V164" i="11"/>
  <c r="U164" i="11"/>
  <c r="T164" i="11"/>
  <c r="S164" i="11"/>
  <c r="R164" i="11"/>
  <c r="Q164" i="11"/>
  <c r="P164" i="11"/>
  <c r="O164" i="11"/>
  <c r="N164" i="11"/>
  <c r="M164" i="11"/>
  <c r="L164" i="11"/>
  <c r="K164" i="11"/>
  <c r="J164" i="11"/>
  <c r="I164" i="11"/>
  <c r="H164" i="11"/>
  <c r="G164" i="11"/>
  <c r="F164" i="11"/>
  <c r="E164" i="11"/>
  <c r="D164" i="11"/>
  <c r="C164" i="11"/>
  <c r="B164" i="11"/>
  <c r="AQ161" i="11"/>
  <c r="AP161" i="11"/>
  <c r="AO161" i="11"/>
  <c r="AN161" i="11"/>
  <c r="AM161" i="11"/>
  <c r="AL161" i="11"/>
  <c r="AK161" i="11"/>
  <c r="AJ161" i="11"/>
  <c r="AI161" i="11"/>
  <c r="AH161" i="11"/>
  <c r="AH9" i="11" s="1"/>
  <c r="AG161" i="11"/>
  <c r="AF161" i="11"/>
  <c r="AE161" i="11"/>
  <c r="AE9" i="11" s="1"/>
  <c r="AD161" i="11"/>
  <c r="AD9" i="11" s="1"/>
  <c r="AC161" i="11"/>
  <c r="AC9" i="11" s="1"/>
  <c r="AB161" i="11"/>
  <c r="AB9" i="11" s="1"/>
  <c r="AA161" i="11"/>
  <c r="AA9" i="11" s="1"/>
  <c r="Z161" i="11"/>
  <c r="Z9" i="11" s="1"/>
  <c r="Y161" i="11"/>
  <c r="X161" i="11"/>
  <c r="X9" i="11" s="1"/>
  <c r="W161" i="11"/>
  <c r="W9" i="11" s="1"/>
  <c r="V161" i="11"/>
  <c r="U161" i="11"/>
  <c r="T161" i="11"/>
  <c r="S161" i="11"/>
  <c r="R161" i="11"/>
  <c r="K161" i="11"/>
  <c r="BM160" i="11"/>
  <c r="P160" i="11"/>
  <c r="BK160" i="11" s="1"/>
  <c r="O160" i="11"/>
  <c r="N160" i="11"/>
  <c r="BL160" i="11" s="1"/>
  <c r="M160" i="11"/>
  <c r="M144" i="11" s="1"/>
  <c r="L160" i="11"/>
  <c r="K160" i="11"/>
  <c r="J160" i="11"/>
  <c r="J144" i="11" s="1"/>
  <c r="I160" i="11"/>
  <c r="H160" i="11"/>
  <c r="H144" i="11" s="1"/>
  <c r="G160" i="11"/>
  <c r="G144" i="11" s="1"/>
  <c r="F160" i="11"/>
  <c r="F144" i="11" s="1"/>
  <c r="E160" i="11"/>
  <c r="D160" i="11"/>
  <c r="D144" i="11" s="1"/>
  <c r="C160" i="11"/>
  <c r="B160" i="11"/>
  <c r="BM159" i="11"/>
  <c r="BL159" i="11"/>
  <c r="BK159" i="11"/>
  <c r="P159" i="11"/>
  <c r="O159" i="11"/>
  <c r="O143" i="11" s="1"/>
  <c r="N159" i="11"/>
  <c r="N143" i="11" s="1"/>
  <c r="M159" i="11"/>
  <c r="BF159" i="11" s="1"/>
  <c r="L159" i="11"/>
  <c r="BD159" i="11" s="1"/>
  <c r="K159" i="11"/>
  <c r="J159" i="11"/>
  <c r="J143" i="11" s="1"/>
  <c r="I159" i="11"/>
  <c r="H159" i="11"/>
  <c r="G159" i="11"/>
  <c r="F159" i="11"/>
  <c r="F143" i="11" s="1"/>
  <c r="E159" i="11"/>
  <c r="D159" i="11"/>
  <c r="C159" i="11"/>
  <c r="B159" i="11"/>
  <c r="BL158" i="11"/>
  <c r="BM158" i="11" s="1"/>
  <c r="BK158" i="11"/>
  <c r="P158" i="11"/>
  <c r="O158" i="11"/>
  <c r="N158" i="11"/>
  <c r="M158" i="11"/>
  <c r="BF158" i="11" s="1"/>
  <c r="L158" i="11"/>
  <c r="BD158" i="11" s="1"/>
  <c r="K158" i="11"/>
  <c r="BB158" i="11" s="1"/>
  <c r="J158" i="11"/>
  <c r="I158" i="11"/>
  <c r="H158" i="11"/>
  <c r="H142" i="11" s="1"/>
  <c r="G158" i="11"/>
  <c r="F158" i="11"/>
  <c r="F142" i="11" s="1"/>
  <c r="E158" i="11"/>
  <c r="D158" i="11"/>
  <c r="C158" i="11"/>
  <c r="C142" i="11" s="1"/>
  <c r="B158" i="11"/>
  <c r="BL157" i="11"/>
  <c r="BM157" i="11" s="1"/>
  <c r="BK157" i="11"/>
  <c r="BF157" i="11"/>
  <c r="P157" i="11"/>
  <c r="P141" i="11" s="1"/>
  <c r="BK141" i="11" s="1"/>
  <c r="O157" i="11"/>
  <c r="N157" i="11"/>
  <c r="M157" i="11"/>
  <c r="L157" i="11"/>
  <c r="BD157" i="11" s="1"/>
  <c r="K157" i="11"/>
  <c r="BB157" i="11" s="1"/>
  <c r="J157" i="11"/>
  <c r="I157" i="11"/>
  <c r="H157" i="11"/>
  <c r="G157" i="11"/>
  <c r="G141" i="11" s="1"/>
  <c r="F157" i="11"/>
  <c r="E157" i="11"/>
  <c r="D157" i="11"/>
  <c r="D141" i="11" s="1"/>
  <c r="C157" i="11"/>
  <c r="C141" i="11" s="1"/>
  <c r="B157" i="11"/>
  <c r="B141" i="11" s="1"/>
  <c r="BL156" i="11"/>
  <c r="BM156" i="11" s="1"/>
  <c r="BK156" i="11"/>
  <c r="BF156" i="11"/>
  <c r="BD156" i="11"/>
  <c r="P156" i="11"/>
  <c r="O156" i="11"/>
  <c r="N156" i="11"/>
  <c r="M156" i="11"/>
  <c r="L156" i="11"/>
  <c r="K156" i="11"/>
  <c r="BB156" i="11" s="1"/>
  <c r="J156" i="11"/>
  <c r="J140" i="11" s="1"/>
  <c r="J124" i="11" s="1"/>
  <c r="I156" i="11"/>
  <c r="I140" i="11" s="1"/>
  <c r="H156" i="11"/>
  <c r="H140" i="11" s="1"/>
  <c r="H124" i="11" s="1"/>
  <c r="G156" i="11"/>
  <c r="G140" i="11" s="1"/>
  <c r="F156" i="11"/>
  <c r="F140" i="11" s="1"/>
  <c r="E156" i="11"/>
  <c r="D156" i="11"/>
  <c r="D140" i="11" s="1"/>
  <c r="C156" i="11"/>
  <c r="C140" i="11" s="1"/>
  <c r="B156" i="11"/>
  <c r="B140" i="11" s="1"/>
  <c r="BL155" i="11"/>
  <c r="BM155" i="11" s="1"/>
  <c r="BK155" i="11"/>
  <c r="BF155" i="11"/>
  <c r="BD155" i="11"/>
  <c r="BB155" i="11"/>
  <c r="P155" i="11"/>
  <c r="O155" i="11"/>
  <c r="N155" i="11"/>
  <c r="M155" i="11"/>
  <c r="L155" i="11"/>
  <c r="L139" i="11" s="1"/>
  <c r="K155" i="11"/>
  <c r="K139" i="11" s="1"/>
  <c r="J155" i="11"/>
  <c r="I155" i="11"/>
  <c r="H155" i="11"/>
  <c r="H139" i="11" s="1"/>
  <c r="H123" i="11" s="1"/>
  <c r="G155" i="11"/>
  <c r="G139" i="11" s="1"/>
  <c r="G123" i="11" s="1"/>
  <c r="F155" i="11"/>
  <c r="F139" i="11" s="1"/>
  <c r="E155" i="11"/>
  <c r="E139" i="11" s="1"/>
  <c r="D155" i="11"/>
  <c r="C155" i="11"/>
  <c r="C139" i="11" s="1"/>
  <c r="B155" i="11"/>
  <c r="B139" i="11" s="1"/>
  <c r="BM154" i="11"/>
  <c r="BL154" i="11"/>
  <c r="BF154" i="11"/>
  <c r="BD154" i="11"/>
  <c r="BB154" i="11"/>
  <c r="P154" i="11"/>
  <c r="P138" i="11" s="1"/>
  <c r="O154" i="11"/>
  <c r="N154" i="11"/>
  <c r="M154" i="11"/>
  <c r="L154" i="11"/>
  <c r="K154" i="11"/>
  <c r="J154" i="11"/>
  <c r="I154" i="11"/>
  <c r="I138" i="11" s="1"/>
  <c r="H154" i="11"/>
  <c r="G154" i="11"/>
  <c r="F154" i="11"/>
  <c r="E154" i="11"/>
  <c r="E138" i="11" s="1"/>
  <c r="E88" i="4" s="1"/>
  <c r="D154" i="11"/>
  <c r="D138" i="11" s="1"/>
  <c r="C154" i="11"/>
  <c r="B154" i="11"/>
  <c r="BL153" i="11"/>
  <c r="BM153" i="11" s="1"/>
  <c r="BK153" i="11"/>
  <c r="BF153" i="11"/>
  <c r="BD153" i="11"/>
  <c r="BB153" i="11"/>
  <c r="P153" i="11"/>
  <c r="O153" i="11"/>
  <c r="O137" i="11" s="1"/>
  <c r="N153" i="11"/>
  <c r="N137" i="11" s="1"/>
  <c r="M153" i="11"/>
  <c r="L153" i="11"/>
  <c r="K153" i="11"/>
  <c r="J153" i="11"/>
  <c r="I153" i="11"/>
  <c r="H153" i="11"/>
  <c r="G153" i="11"/>
  <c r="F153" i="11"/>
  <c r="E153" i="11"/>
  <c r="E137" i="11" s="1"/>
  <c r="D153" i="11"/>
  <c r="C153" i="11"/>
  <c r="B153" i="11"/>
  <c r="BM152" i="11"/>
  <c r="BL152" i="11"/>
  <c r="BK152" i="11"/>
  <c r="P152" i="11"/>
  <c r="O152" i="11"/>
  <c r="N152" i="11"/>
  <c r="M152" i="11"/>
  <c r="L152" i="11"/>
  <c r="K152" i="11"/>
  <c r="J152" i="11"/>
  <c r="I152" i="11"/>
  <c r="H152" i="11"/>
  <c r="G152" i="11"/>
  <c r="F152" i="11"/>
  <c r="E152" i="11"/>
  <c r="E136" i="11" s="1"/>
  <c r="D152" i="11"/>
  <c r="D136" i="11" s="1"/>
  <c r="C152" i="11"/>
  <c r="B152" i="11"/>
  <c r="B136" i="11" s="1"/>
  <c r="B120" i="11" s="1"/>
  <c r="BL151" i="11"/>
  <c r="BM151" i="11" s="1"/>
  <c r="BK151" i="11"/>
  <c r="Q151" i="11"/>
  <c r="P151" i="11"/>
  <c r="P135" i="11" s="1"/>
  <c r="O151" i="11"/>
  <c r="O135" i="11" s="1"/>
  <c r="O119" i="11" s="1"/>
  <c r="N151" i="11"/>
  <c r="N135" i="11" s="1"/>
  <c r="M151" i="11"/>
  <c r="M135" i="11" s="1"/>
  <c r="L151" i="11"/>
  <c r="L135" i="11" s="1"/>
  <c r="K151" i="11"/>
  <c r="K135" i="11" s="1"/>
  <c r="J151" i="11"/>
  <c r="J135" i="11" s="1"/>
  <c r="J119" i="11" s="1"/>
  <c r="I151" i="11"/>
  <c r="I135" i="11" s="1"/>
  <c r="H151" i="11"/>
  <c r="H135" i="11" s="1"/>
  <c r="G151" i="11"/>
  <c r="F151" i="11"/>
  <c r="E151" i="11"/>
  <c r="D151" i="11"/>
  <c r="C151" i="11"/>
  <c r="B151" i="11"/>
  <c r="BL150" i="11"/>
  <c r="Q150" i="11"/>
  <c r="P150" i="11"/>
  <c r="O150" i="11"/>
  <c r="O134" i="11" s="1"/>
  <c r="N150" i="11"/>
  <c r="M150" i="11"/>
  <c r="L150" i="11"/>
  <c r="L134" i="11" s="1"/>
  <c r="K150" i="11"/>
  <c r="K134" i="11" s="1"/>
  <c r="K118" i="11" s="1"/>
  <c r="J150" i="11"/>
  <c r="I150" i="11"/>
  <c r="H150" i="11"/>
  <c r="G150" i="11"/>
  <c r="F150" i="11"/>
  <c r="E150" i="11"/>
  <c r="D150" i="11"/>
  <c r="C150" i="11"/>
  <c r="B150" i="11"/>
  <c r="BK149" i="11"/>
  <c r="Q149" i="11"/>
  <c r="P149" i="11"/>
  <c r="O149" i="11"/>
  <c r="N149" i="11"/>
  <c r="M149" i="11"/>
  <c r="L149" i="11"/>
  <c r="K149" i="11"/>
  <c r="J149" i="11"/>
  <c r="I149" i="11"/>
  <c r="H149" i="11"/>
  <c r="G149" i="11"/>
  <c r="F149" i="11"/>
  <c r="F133" i="11" s="1"/>
  <c r="E149" i="11"/>
  <c r="E133" i="11" s="1"/>
  <c r="D149" i="11"/>
  <c r="C149" i="11"/>
  <c r="B149" i="11"/>
  <c r="B133" i="11" s="1"/>
  <c r="AQ148" i="11"/>
  <c r="AP148" i="11"/>
  <c r="AO148" i="11"/>
  <c r="AN148" i="11"/>
  <c r="AM148" i="11"/>
  <c r="AL148" i="11"/>
  <c r="AK148" i="11"/>
  <c r="AJ148" i="11"/>
  <c r="AI148" i="11"/>
  <c r="AH148" i="11"/>
  <c r="AG148" i="11"/>
  <c r="AF148" i="11"/>
  <c r="AE148" i="11"/>
  <c r="AD148" i="11"/>
  <c r="AC148" i="11"/>
  <c r="AB148" i="11"/>
  <c r="AA148" i="11"/>
  <c r="Z148" i="11"/>
  <c r="Y148" i="11"/>
  <c r="X148" i="11"/>
  <c r="W148" i="11"/>
  <c r="V148" i="11"/>
  <c r="U148" i="11"/>
  <c r="T148" i="11"/>
  <c r="S148" i="11"/>
  <c r="R148" i="11"/>
  <c r="Q148" i="11"/>
  <c r="P148" i="11"/>
  <c r="O148" i="11"/>
  <c r="N148" i="11"/>
  <c r="M148" i="11"/>
  <c r="L148" i="11"/>
  <c r="K148" i="11"/>
  <c r="J148" i="11"/>
  <c r="I148" i="11"/>
  <c r="H148" i="11"/>
  <c r="G148" i="11"/>
  <c r="F148" i="11"/>
  <c r="E148" i="11"/>
  <c r="D148" i="11"/>
  <c r="C148" i="11"/>
  <c r="B148" i="11"/>
  <c r="BF144" i="11"/>
  <c r="P144" i="11"/>
  <c r="AS135" i="11" s="1"/>
  <c r="I144" i="11"/>
  <c r="E144" i="11"/>
  <c r="BK143" i="11"/>
  <c r="BF143" i="11"/>
  <c r="P143" i="11"/>
  <c r="M143" i="11"/>
  <c r="D143" i="11"/>
  <c r="C143" i="11"/>
  <c r="B143" i="11"/>
  <c r="BK142" i="11"/>
  <c r="P142" i="11"/>
  <c r="O142" i="11"/>
  <c r="L142" i="11"/>
  <c r="BD142" i="11" s="1"/>
  <c r="I142" i="11"/>
  <c r="G142" i="11"/>
  <c r="E142" i="11"/>
  <c r="B142" i="11"/>
  <c r="E140" i="11"/>
  <c r="BK139" i="11"/>
  <c r="BB139" i="11"/>
  <c r="P139" i="11"/>
  <c r="M139" i="11"/>
  <c r="BF139" i="11" s="1"/>
  <c r="J139" i="11"/>
  <c r="I139" i="11"/>
  <c r="D139" i="11"/>
  <c r="D123" i="11" s="1"/>
  <c r="BF138" i="11"/>
  <c r="BD138" i="11"/>
  <c r="O138" i="11"/>
  <c r="N138" i="11"/>
  <c r="M138" i="11"/>
  <c r="L138" i="11"/>
  <c r="K138" i="11"/>
  <c r="BB138" i="11" s="1"/>
  <c r="BK137" i="11"/>
  <c r="P137" i="11"/>
  <c r="M137" i="11"/>
  <c r="L137" i="11"/>
  <c r="BD137" i="11" s="1"/>
  <c r="K137" i="11"/>
  <c r="BB137" i="11" s="1"/>
  <c r="J137" i="11"/>
  <c r="H137" i="11"/>
  <c r="G137" i="11"/>
  <c r="G121" i="11" s="1"/>
  <c r="B137" i="11"/>
  <c r="P136" i="11"/>
  <c r="BK136" i="11" s="1"/>
  <c r="O136" i="11"/>
  <c r="L136" i="11"/>
  <c r="K136" i="11"/>
  <c r="J136" i="11"/>
  <c r="J120" i="11" s="1"/>
  <c r="F136" i="11"/>
  <c r="C136" i="11"/>
  <c r="C120" i="11" s="1"/>
  <c r="BF135" i="11"/>
  <c r="BD135" i="11"/>
  <c r="Q135" i="11"/>
  <c r="F135" i="11"/>
  <c r="E135" i="11"/>
  <c r="D135" i="11"/>
  <c r="J134" i="11"/>
  <c r="I134" i="11"/>
  <c r="H134" i="11"/>
  <c r="Q133" i="11"/>
  <c r="P133" i="11"/>
  <c r="O133" i="11"/>
  <c r="M133" i="11"/>
  <c r="K133" i="11"/>
  <c r="AQ132" i="11"/>
  <c r="AP132" i="11"/>
  <c r="AO132" i="11"/>
  <c r="AN132" i="11"/>
  <c r="AM132" i="11"/>
  <c r="AL132" i="11"/>
  <c r="AK132" i="11"/>
  <c r="AJ132" i="11"/>
  <c r="AI132" i="11"/>
  <c r="AH132" i="11"/>
  <c r="AG132" i="11"/>
  <c r="AF132" i="11"/>
  <c r="AE132" i="11"/>
  <c r="AD132" i="11"/>
  <c r="AC132" i="11"/>
  <c r="AB132" i="11"/>
  <c r="AA132" i="11"/>
  <c r="Z132" i="11"/>
  <c r="Y132" i="11"/>
  <c r="X132" i="11"/>
  <c r="W132" i="11"/>
  <c r="V132" i="11"/>
  <c r="U132" i="11"/>
  <c r="T132" i="11"/>
  <c r="S132" i="11"/>
  <c r="R132" i="11"/>
  <c r="Q132" i="11"/>
  <c r="P132" i="11"/>
  <c r="O132" i="11"/>
  <c r="N132" i="11"/>
  <c r="M132" i="11"/>
  <c r="L132" i="11"/>
  <c r="K132" i="11"/>
  <c r="J132" i="11"/>
  <c r="I132" i="11"/>
  <c r="H132" i="11"/>
  <c r="G132" i="11"/>
  <c r="F132" i="11"/>
  <c r="E132" i="11"/>
  <c r="D132" i="11"/>
  <c r="C132" i="11"/>
  <c r="B132" i="11"/>
  <c r="AS129" i="11"/>
  <c r="F127" i="11"/>
  <c r="F47" i="11" s="1"/>
  <c r="D127" i="11"/>
  <c r="G126" i="11"/>
  <c r="F126" i="11"/>
  <c r="E126" i="11"/>
  <c r="P125" i="11"/>
  <c r="BK125" i="11" s="1"/>
  <c r="E122" i="11"/>
  <c r="C122" i="11"/>
  <c r="F118" i="11"/>
  <c r="M117" i="11"/>
  <c r="AQ116" i="11"/>
  <c r="AP116" i="11"/>
  <c r="AO116" i="11"/>
  <c r="AN116" i="11"/>
  <c r="AM116" i="11"/>
  <c r="AL116" i="11"/>
  <c r="AK116" i="11"/>
  <c r="AJ116" i="11"/>
  <c r="AI116" i="11"/>
  <c r="AH116" i="11"/>
  <c r="AG116" i="11"/>
  <c r="AF116" i="11"/>
  <c r="AE116" i="11"/>
  <c r="AD116" i="11"/>
  <c r="AC116" i="11"/>
  <c r="AB116" i="11"/>
  <c r="AA116" i="11"/>
  <c r="Z116" i="11"/>
  <c r="Y116" i="11"/>
  <c r="X116" i="11"/>
  <c r="W116" i="11"/>
  <c r="V116" i="11"/>
  <c r="U116" i="11"/>
  <c r="T116" i="11"/>
  <c r="S116" i="11"/>
  <c r="R116" i="11"/>
  <c r="Q116" i="11"/>
  <c r="P116" i="11"/>
  <c r="O116" i="11"/>
  <c r="N116" i="11"/>
  <c r="M116" i="11"/>
  <c r="L116" i="11"/>
  <c r="K116" i="11"/>
  <c r="J116" i="11"/>
  <c r="I116" i="11"/>
  <c r="H116" i="11"/>
  <c r="G116" i="11"/>
  <c r="F116" i="11"/>
  <c r="E116" i="11"/>
  <c r="D116" i="11"/>
  <c r="C116" i="11"/>
  <c r="B116" i="11"/>
  <c r="G114" i="11"/>
  <c r="AQ113" i="11"/>
  <c r="AN113" i="11"/>
  <c r="AK113" i="11"/>
  <c r="BK112" i="11"/>
  <c r="BH112" i="11"/>
  <c r="BF112" i="11"/>
  <c r="BB112" i="11"/>
  <c r="P112" i="11"/>
  <c r="O112" i="11"/>
  <c r="O64" i="11" s="1"/>
  <c r="N112" i="11"/>
  <c r="M112" i="11"/>
  <c r="L112" i="11"/>
  <c r="BD112" i="11" s="1"/>
  <c r="K112" i="11"/>
  <c r="J112" i="11"/>
  <c r="I112" i="11"/>
  <c r="H112" i="11"/>
  <c r="G112" i="11"/>
  <c r="F112" i="11"/>
  <c r="E112" i="11"/>
  <c r="D112" i="11"/>
  <c r="C112" i="11"/>
  <c r="B112" i="11"/>
  <c r="BK111" i="11"/>
  <c r="BF111" i="11"/>
  <c r="BD111" i="11"/>
  <c r="BB111" i="11"/>
  <c r="P111" i="11"/>
  <c r="O111" i="11"/>
  <c r="N111" i="11"/>
  <c r="M111" i="11"/>
  <c r="L111" i="11"/>
  <c r="K111" i="11"/>
  <c r="J111" i="11"/>
  <c r="I111" i="11"/>
  <c r="I114" i="11" s="1"/>
  <c r="H111" i="11"/>
  <c r="G111" i="11"/>
  <c r="F111" i="11"/>
  <c r="E111" i="11"/>
  <c r="D111" i="11"/>
  <c r="C111" i="11"/>
  <c r="B111" i="11"/>
  <c r="BK110" i="11"/>
  <c r="BB110" i="11"/>
  <c r="P110" i="11"/>
  <c r="O110" i="11"/>
  <c r="N110" i="11"/>
  <c r="M110" i="11"/>
  <c r="L110" i="11"/>
  <c r="K110" i="11"/>
  <c r="J110" i="11"/>
  <c r="I110" i="11"/>
  <c r="H110" i="11"/>
  <c r="G110" i="11"/>
  <c r="F110" i="11"/>
  <c r="E110" i="11"/>
  <c r="D110" i="11"/>
  <c r="C110" i="11"/>
  <c r="B110" i="11"/>
  <c r="BK109" i="11"/>
  <c r="P109" i="11"/>
  <c r="O109" i="11"/>
  <c r="N109" i="11"/>
  <c r="M109" i="11"/>
  <c r="BF109" i="11" s="1"/>
  <c r="L109" i="11"/>
  <c r="BD109" i="11" s="1"/>
  <c r="K109" i="11"/>
  <c r="BB109" i="11" s="1"/>
  <c r="J109" i="11"/>
  <c r="J61" i="11" s="1"/>
  <c r="I109" i="11"/>
  <c r="I61" i="11" s="1"/>
  <c r="H109" i="11"/>
  <c r="G109" i="11"/>
  <c r="G61" i="11" s="1"/>
  <c r="F109" i="11"/>
  <c r="E109" i="11"/>
  <c r="D109" i="11"/>
  <c r="C109" i="11"/>
  <c r="B109" i="11"/>
  <c r="BB108" i="11"/>
  <c r="P108" i="11"/>
  <c r="BK108" i="11" s="1"/>
  <c r="O108" i="11"/>
  <c r="N108" i="11"/>
  <c r="M108" i="11"/>
  <c r="BF108" i="11" s="1"/>
  <c r="L108" i="11"/>
  <c r="BD108" i="11" s="1"/>
  <c r="K108" i="11"/>
  <c r="K114" i="11" s="1"/>
  <c r="J108" i="11"/>
  <c r="I108" i="11"/>
  <c r="H108" i="11"/>
  <c r="G108" i="11"/>
  <c r="F108" i="11"/>
  <c r="E108" i="11"/>
  <c r="D108" i="11"/>
  <c r="C108" i="11"/>
  <c r="B108" i="11"/>
  <c r="BD107" i="11"/>
  <c r="BB107" i="11"/>
  <c r="P107" i="11"/>
  <c r="O107" i="11"/>
  <c r="N107" i="11"/>
  <c r="M107" i="11"/>
  <c r="BF107" i="11" s="1"/>
  <c r="L107" i="11"/>
  <c r="K107" i="11"/>
  <c r="J107" i="11"/>
  <c r="I107" i="11"/>
  <c r="H107" i="11"/>
  <c r="G107" i="11"/>
  <c r="F107" i="11"/>
  <c r="F114" i="11" s="1"/>
  <c r="E107" i="11"/>
  <c r="D107" i="11"/>
  <c r="C107" i="11"/>
  <c r="B107" i="11"/>
  <c r="BK106" i="11"/>
  <c r="BF106" i="11"/>
  <c r="BD106" i="11"/>
  <c r="BB106" i="11"/>
  <c r="P106" i="11"/>
  <c r="O106" i="11"/>
  <c r="N106" i="11"/>
  <c r="M106" i="11"/>
  <c r="L106" i="11"/>
  <c r="K106" i="11"/>
  <c r="J106" i="11"/>
  <c r="I106" i="11"/>
  <c r="H106" i="11"/>
  <c r="G106" i="11"/>
  <c r="F106" i="11"/>
  <c r="E106" i="11"/>
  <c r="D106" i="11"/>
  <c r="C106" i="11"/>
  <c r="C58" i="11" s="1"/>
  <c r="B106" i="11"/>
  <c r="BK105" i="11"/>
  <c r="P105" i="11"/>
  <c r="O105" i="11"/>
  <c r="N105" i="11"/>
  <c r="M105" i="11"/>
  <c r="L105" i="11"/>
  <c r="BD105" i="11" s="1"/>
  <c r="K105" i="11"/>
  <c r="J105" i="11"/>
  <c r="I105" i="11"/>
  <c r="H105" i="11"/>
  <c r="G105" i="11"/>
  <c r="G39" i="4" s="1"/>
  <c r="F105" i="11"/>
  <c r="E105" i="11"/>
  <c r="D105" i="11"/>
  <c r="C105" i="11"/>
  <c r="B105" i="11"/>
  <c r="P104" i="11"/>
  <c r="O104" i="11"/>
  <c r="N104" i="11"/>
  <c r="M104" i="11"/>
  <c r="BF104" i="11" s="1"/>
  <c r="L104" i="11"/>
  <c r="K104" i="11"/>
  <c r="J104" i="11"/>
  <c r="I104" i="11"/>
  <c r="H104" i="11"/>
  <c r="G104" i="11"/>
  <c r="F104" i="11"/>
  <c r="E104" i="11"/>
  <c r="D104" i="11"/>
  <c r="C104" i="11"/>
  <c r="B104" i="11"/>
  <c r="BF103" i="11"/>
  <c r="BD103" i="11"/>
  <c r="AS103" i="11"/>
  <c r="Q103" i="11"/>
  <c r="P103" i="11"/>
  <c r="BK103" i="11" s="1"/>
  <c r="O103" i="11"/>
  <c r="N103" i="11"/>
  <c r="M103" i="11"/>
  <c r="L103" i="11"/>
  <c r="K103" i="11"/>
  <c r="J103" i="11"/>
  <c r="I103" i="11"/>
  <c r="H103" i="11"/>
  <c r="G103" i="11"/>
  <c r="F103" i="11"/>
  <c r="E103" i="11"/>
  <c r="D103" i="11"/>
  <c r="C103" i="11"/>
  <c r="B103" i="11"/>
  <c r="Q102" i="11"/>
  <c r="P102" i="11"/>
  <c r="O102" i="11"/>
  <c r="N102" i="11"/>
  <c r="M102" i="11"/>
  <c r="L102" i="11"/>
  <c r="K102" i="11"/>
  <c r="J102" i="11"/>
  <c r="I102" i="11"/>
  <c r="H102" i="11"/>
  <c r="H54" i="11" s="1"/>
  <c r="G102" i="11"/>
  <c r="F102" i="11"/>
  <c r="E102" i="11"/>
  <c r="D102" i="11"/>
  <c r="C102" i="11"/>
  <c r="B102" i="11"/>
  <c r="AS101" i="11"/>
  <c r="Q101" i="11"/>
  <c r="P101" i="11"/>
  <c r="O101" i="11"/>
  <c r="N101" i="11"/>
  <c r="M101" i="11"/>
  <c r="BF101" i="11" s="1"/>
  <c r="L101" i="11"/>
  <c r="BD101" i="11" s="1"/>
  <c r="K101" i="11"/>
  <c r="J101" i="11"/>
  <c r="I101" i="11"/>
  <c r="H101" i="11"/>
  <c r="G101" i="11"/>
  <c r="F101" i="11"/>
  <c r="E101" i="11"/>
  <c r="D101" i="11"/>
  <c r="C101" i="11"/>
  <c r="B101" i="11"/>
  <c r="AQ100" i="11"/>
  <c r="AP100" i="11"/>
  <c r="AO100" i="11"/>
  <c r="AN100" i="11"/>
  <c r="AM100" i="11"/>
  <c r="AL100" i="11"/>
  <c r="AK100" i="11"/>
  <c r="AJ100" i="11"/>
  <c r="AI100" i="11"/>
  <c r="AH100" i="11"/>
  <c r="AG100" i="11"/>
  <c r="AF100" i="11"/>
  <c r="AE100" i="11"/>
  <c r="AD100" i="11"/>
  <c r="AC100" i="11"/>
  <c r="AB100" i="11"/>
  <c r="AA100" i="11"/>
  <c r="Z100" i="11"/>
  <c r="Y100" i="11"/>
  <c r="X100" i="11"/>
  <c r="W100" i="11"/>
  <c r="V100" i="11"/>
  <c r="U100" i="11"/>
  <c r="T100" i="11"/>
  <c r="S100" i="11"/>
  <c r="R100" i="11"/>
  <c r="Q100" i="11"/>
  <c r="P100" i="11"/>
  <c r="O100" i="11"/>
  <c r="N100" i="11"/>
  <c r="M100" i="11"/>
  <c r="L100" i="11"/>
  <c r="K100" i="11"/>
  <c r="J100" i="11"/>
  <c r="I100" i="11"/>
  <c r="H100" i="11"/>
  <c r="G100" i="11"/>
  <c r="F100" i="11"/>
  <c r="E100" i="11"/>
  <c r="D100" i="11"/>
  <c r="C100" i="11"/>
  <c r="B100" i="11"/>
  <c r="AQ97" i="11"/>
  <c r="AP97" i="11"/>
  <c r="AO97" i="11"/>
  <c r="AN97" i="11"/>
  <c r="AN5" i="11" s="1"/>
  <c r="AM97" i="11"/>
  <c r="AL97" i="11"/>
  <c r="AK97" i="11"/>
  <c r="AK5" i="11" s="1"/>
  <c r="AJ97" i="11"/>
  <c r="AJ5" i="11" s="1"/>
  <c r="AI97" i="11"/>
  <c r="AI5" i="11" s="1"/>
  <c r="AH97" i="11"/>
  <c r="AG97" i="11"/>
  <c r="AF97" i="11"/>
  <c r="AE97" i="11"/>
  <c r="AD97" i="11"/>
  <c r="AC97" i="11"/>
  <c r="AB97" i="11"/>
  <c r="AA97" i="11"/>
  <c r="Z97" i="11"/>
  <c r="Y97" i="11"/>
  <c r="Y5" i="11" s="1"/>
  <c r="X97" i="11"/>
  <c r="X5" i="11" s="1"/>
  <c r="W97" i="11"/>
  <c r="W5" i="11" s="1"/>
  <c r="V97" i="11"/>
  <c r="U97" i="11"/>
  <c r="T97" i="11"/>
  <c r="S97" i="11"/>
  <c r="R97" i="11"/>
  <c r="R5" i="11" s="1"/>
  <c r="Q97" i="11"/>
  <c r="BM96" i="11"/>
  <c r="BK96" i="11"/>
  <c r="BF96" i="11"/>
  <c r="BD96" i="11"/>
  <c r="BB96" i="11"/>
  <c r="P96" i="11"/>
  <c r="O96" i="11"/>
  <c r="N96" i="11"/>
  <c r="BL96" i="11" s="1"/>
  <c r="M96" i="11"/>
  <c r="L96" i="11"/>
  <c r="K96" i="11"/>
  <c r="J96" i="11"/>
  <c r="I96" i="11"/>
  <c r="H96" i="11"/>
  <c r="G96" i="11"/>
  <c r="F96" i="11"/>
  <c r="E96" i="11"/>
  <c r="D96" i="11"/>
  <c r="C96" i="11"/>
  <c r="B96" i="11"/>
  <c r="B64" i="11" s="1"/>
  <c r="BM95" i="11"/>
  <c r="BL95" i="11"/>
  <c r="BF95" i="11"/>
  <c r="BD95" i="11"/>
  <c r="BB95" i="11"/>
  <c r="P95" i="11"/>
  <c r="BK95" i="11" s="1"/>
  <c r="O95" i="11"/>
  <c r="N95" i="11"/>
  <c r="N63" i="11" s="1"/>
  <c r="M95" i="11"/>
  <c r="L95" i="11"/>
  <c r="L63" i="11" s="1"/>
  <c r="K95" i="11"/>
  <c r="J95" i="11"/>
  <c r="I95" i="11"/>
  <c r="H95" i="11"/>
  <c r="G95" i="11"/>
  <c r="F95" i="11"/>
  <c r="E95" i="11"/>
  <c r="D95" i="11"/>
  <c r="C95" i="11"/>
  <c r="B95" i="11"/>
  <c r="BL94" i="11"/>
  <c r="BM94" i="11" s="1"/>
  <c r="BK94" i="11"/>
  <c r="BD94" i="11"/>
  <c r="BB94" i="11"/>
  <c r="P94" i="11"/>
  <c r="O94" i="11"/>
  <c r="N94" i="11"/>
  <c r="M94" i="11"/>
  <c r="BF94" i="11" s="1"/>
  <c r="L94" i="11"/>
  <c r="K94" i="11"/>
  <c r="K62" i="11" s="1"/>
  <c r="J94" i="11"/>
  <c r="I94" i="11"/>
  <c r="H94" i="11"/>
  <c r="G94" i="11"/>
  <c r="F94" i="11"/>
  <c r="E94" i="11"/>
  <c r="D94" i="11"/>
  <c r="C94" i="11"/>
  <c r="B94" i="11"/>
  <c r="BF93" i="11"/>
  <c r="BB93" i="11"/>
  <c r="P93" i="11"/>
  <c r="P61" i="11" s="1"/>
  <c r="O93" i="11"/>
  <c r="N93" i="11"/>
  <c r="BL93" i="11" s="1"/>
  <c r="BM93" i="11" s="1"/>
  <c r="M93" i="11"/>
  <c r="M61" i="11" s="1"/>
  <c r="BF61" i="11" s="1"/>
  <c r="L93" i="11"/>
  <c r="BD93" i="11" s="1"/>
  <c r="K93" i="11"/>
  <c r="J93" i="11"/>
  <c r="I93" i="11"/>
  <c r="H93" i="11"/>
  <c r="G93" i="11"/>
  <c r="F93" i="11"/>
  <c r="E93" i="11"/>
  <c r="D93" i="11"/>
  <c r="C93" i="11"/>
  <c r="B93" i="11"/>
  <c r="BD92" i="11"/>
  <c r="P92" i="11"/>
  <c r="BK92" i="11" s="1"/>
  <c r="O92" i="11"/>
  <c r="N92" i="11"/>
  <c r="BL92" i="11" s="1"/>
  <c r="BM92" i="11" s="1"/>
  <c r="M92" i="11"/>
  <c r="BF92" i="11" s="1"/>
  <c r="L92" i="11"/>
  <c r="K92" i="11"/>
  <c r="BB92" i="11" s="1"/>
  <c r="J92" i="11"/>
  <c r="J60" i="11" s="1"/>
  <c r="I92" i="11"/>
  <c r="I60" i="11" s="1"/>
  <c r="H92" i="11"/>
  <c r="G92" i="11"/>
  <c r="F92" i="11"/>
  <c r="E92" i="11"/>
  <c r="D92" i="11"/>
  <c r="C92" i="11"/>
  <c r="B92" i="11"/>
  <c r="BK91" i="11"/>
  <c r="P91" i="11"/>
  <c r="O91" i="11"/>
  <c r="N91" i="11"/>
  <c r="M91" i="11"/>
  <c r="BF91" i="11" s="1"/>
  <c r="L91" i="11"/>
  <c r="BD91" i="11" s="1"/>
  <c r="K91" i="11"/>
  <c r="J91" i="11"/>
  <c r="J57" i="4" s="1"/>
  <c r="J29" i="5" s="1"/>
  <c r="I91" i="11"/>
  <c r="I59" i="11" s="1"/>
  <c r="H91" i="11"/>
  <c r="G91" i="11"/>
  <c r="F91" i="11"/>
  <c r="E91" i="11"/>
  <c r="D91" i="11"/>
  <c r="C91" i="11"/>
  <c r="B91" i="11"/>
  <c r="BB90" i="11"/>
  <c r="P90" i="11"/>
  <c r="BK90" i="11" s="1"/>
  <c r="O90" i="11"/>
  <c r="N90" i="11"/>
  <c r="BL90" i="11" s="1"/>
  <c r="BM90" i="11" s="1"/>
  <c r="M90" i="11"/>
  <c r="BF90" i="11" s="1"/>
  <c r="L90" i="11"/>
  <c r="BD90" i="11" s="1"/>
  <c r="K90" i="11"/>
  <c r="J90" i="11"/>
  <c r="I90" i="11"/>
  <c r="I58" i="11" s="1"/>
  <c r="H90" i="11"/>
  <c r="H58" i="11" s="1"/>
  <c r="G90" i="11"/>
  <c r="G58" i="11" s="1"/>
  <c r="F90" i="11"/>
  <c r="E90" i="11"/>
  <c r="D90" i="11"/>
  <c r="C90" i="11"/>
  <c r="B90" i="11"/>
  <c r="BL89" i="11"/>
  <c r="BM89" i="11" s="1"/>
  <c r="BB89" i="11"/>
  <c r="P89" i="11"/>
  <c r="O89" i="11"/>
  <c r="N89" i="11"/>
  <c r="M89" i="11"/>
  <c r="BF89" i="11" s="1"/>
  <c r="L89" i="11"/>
  <c r="BD89" i="11" s="1"/>
  <c r="K89" i="11"/>
  <c r="J89" i="11"/>
  <c r="I89" i="11"/>
  <c r="H89" i="11"/>
  <c r="G89" i="11"/>
  <c r="F89" i="11"/>
  <c r="E89" i="11"/>
  <c r="D89" i="11"/>
  <c r="C89" i="11"/>
  <c r="B89" i="11"/>
  <c r="BK88" i="11"/>
  <c r="BD88" i="11"/>
  <c r="P88" i="11"/>
  <c r="O88" i="11"/>
  <c r="O97" i="11" s="1"/>
  <c r="N88" i="11"/>
  <c r="BL88" i="11" s="1"/>
  <c r="BM88" i="11" s="1"/>
  <c r="M88" i="11"/>
  <c r="BF88" i="11" s="1"/>
  <c r="L88" i="11"/>
  <c r="K88" i="11"/>
  <c r="J88" i="11"/>
  <c r="I88" i="11"/>
  <c r="H88" i="11"/>
  <c r="G88" i="11"/>
  <c r="F88" i="11"/>
  <c r="E88" i="11"/>
  <c r="D88" i="11"/>
  <c r="D56" i="11" s="1"/>
  <c r="C88" i="11"/>
  <c r="B88" i="11"/>
  <c r="Q87" i="11"/>
  <c r="P87" i="11"/>
  <c r="BK87" i="11" s="1"/>
  <c r="O87" i="11"/>
  <c r="N87" i="11"/>
  <c r="BL87" i="11" s="1"/>
  <c r="M87" i="11"/>
  <c r="L87" i="11"/>
  <c r="BD87" i="11" s="1"/>
  <c r="K87" i="11"/>
  <c r="J87" i="11"/>
  <c r="J53" i="4" s="1"/>
  <c r="I87" i="11"/>
  <c r="H87" i="11"/>
  <c r="G87" i="11"/>
  <c r="G55" i="11" s="1"/>
  <c r="G39" i="11" s="1"/>
  <c r="F87" i="11"/>
  <c r="E87" i="11"/>
  <c r="D87" i="11"/>
  <c r="C87" i="11"/>
  <c r="B87" i="11"/>
  <c r="Q86" i="11"/>
  <c r="BM86" i="11" s="1"/>
  <c r="P86" i="11"/>
  <c r="BK86" i="11" s="1"/>
  <c r="O86" i="11"/>
  <c r="N86" i="11"/>
  <c r="BL86" i="11" s="1"/>
  <c r="M86" i="11"/>
  <c r="BF86" i="11" s="1"/>
  <c r="L86" i="11"/>
  <c r="BD86" i="11" s="1"/>
  <c r="K86" i="11"/>
  <c r="J86" i="11"/>
  <c r="I86" i="11"/>
  <c r="H86" i="11"/>
  <c r="G86" i="11"/>
  <c r="F86" i="11"/>
  <c r="F54" i="11" s="1"/>
  <c r="E86" i="11"/>
  <c r="E54" i="11" s="1"/>
  <c r="D86" i="11"/>
  <c r="C86" i="11"/>
  <c r="B86" i="11"/>
  <c r="B54" i="11" s="1"/>
  <c r="BM85" i="11"/>
  <c r="Q85" i="11"/>
  <c r="P85" i="11"/>
  <c r="BK85" i="11" s="1"/>
  <c r="O85" i="11"/>
  <c r="N85" i="11"/>
  <c r="BL85" i="11" s="1"/>
  <c r="M85" i="11"/>
  <c r="BF85" i="11" s="1"/>
  <c r="L85" i="11"/>
  <c r="K85" i="11"/>
  <c r="J85" i="11"/>
  <c r="I85" i="11"/>
  <c r="H85" i="11"/>
  <c r="G85" i="11"/>
  <c r="F85" i="11"/>
  <c r="E85" i="11"/>
  <c r="D85" i="11"/>
  <c r="C85" i="11"/>
  <c r="C53" i="11" s="1"/>
  <c r="B85" i="11"/>
  <c r="B97" i="11" s="1"/>
  <c r="AQ84" i="11"/>
  <c r="AP84" i="11"/>
  <c r="AO84" i="11"/>
  <c r="AN84" i="11"/>
  <c r="AM84" i="11"/>
  <c r="AL84" i="11"/>
  <c r="AK84" i="11"/>
  <c r="AJ84" i="11"/>
  <c r="AI84" i="11"/>
  <c r="AH84" i="11"/>
  <c r="AG84" i="11"/>
  <c r="AF84" i="11"/>
  <c r="AE84" i="11"/>
  <c r="AD84" i="11"/>
  <c r="AC84" i="11"/>
  <c r="AB84" i="11"/>
  <c r="AA84" i="11"/>
  <c r="Z84" i="11"/>
  <c r="Y84" i="11"/>
  <c r="X84" i="11"/>
  <c r="W84" i="11"/>
  <c r="V84" i="11"/>
  <c r="U84" i="11"/>
  <c r="T84" i="11"/>
  <c r="S84" i="11"/>
  <c r="R84" i="11"/>
  <c r="Q84" i="11"/>
  <c r="P84" i="11"/>
  <c r="O84" i="11"/>
  <c r="N84" i="11"/>
  <c r="M84" i="11"/>
  <c r="L84" i="11"/>
  <c r="K84" i="11"/>
  <c r="J84" i="11"/>
  <c r="I84" i="11"/>
  <c r="H84" i="11"/>
  <c r="G84" i="11"/>
  <c r="F84" i="11"/>
  <c r="E84" i="11"/>
  <c r="D84" i="11"/>
  <c r="C84" i="11"/>
  <c r="B84" i="11"/>
  <c r="O82" i="11"/>
  <c r="N82" i="11"/>
  <c r="BF80" i="11"/>
  <c r="BB80" i="11"/>
  <c r="P80" i="11"/>
  <c r="BH80" i="11" s="1"/>
  <c r="BH81" i="11" s="1"/>
  <c r="O80" i="11"/>
  <c r="N80" i="11"/>
  <c r="M80" i="11"/>
  <c r="L80" i="11"/>
  <c r="BD80" i="11" s="1"/>
  <c r="K80" i="11"/>
  <c r="J80" i="11"/>
  <c r="I80" i="11"/>
  <c r="I64" i="11" s="1"/>
  <c r="H80" i="11"/>
  <c r="G80" i="11"/>
  <c r="G64" i="11" s="1"/>
  <c r="F80" i="11"/>
  <c r="E80" i="11"/>
  <c r="D80" i="11"/>
  <c r="C80" i="11"/>
  <c r="B80" i="11"/>
  <c r="BK79" i="11"/>
  <c r="BF79" i="11"/>
  <c r="BD79" i="11"/>
  <c r="BB79" i="11"/>
  <c r="P79" i="11"/>
  <c r="O79" i="11"/>
  <c r="N79" i="11"/>
  <c r="M79" i="11"/>
  <c r="M63" i="11" s="1"/>
  <c r="L79" i="11"/>
  <c r="K79" i="11"/>
  <c r="J79" i="11"/>
  <c r="J63" i="11" s="1"/>
  <c r="I79" i="11"/>
  <c r="H79" i="11"/>
  <c r="G79" i="11"/>
  <c r="F79" i="11"/>
  <c r="E79" i="11"/>
  <c r="E63" i="11" s="1"/>
  <c r="D79" i="11"/>
  <c r="C79" i="11"/>
  <c r="C63" i="11" s="1"/>
  <c r="B79" i="11"/>
  <c r="B63" i="11" s="1"/>
  <c r="BK78" i="11"/>
  <c r="BB78" i="11"/>
  <c r="P78" i="11"/>
  <c r="P62" i="11" s="1"/>
  <c r="O78" i="11"/>
  <c r="N78" i="11"/>
  <c r="M78" i="11"/>
  <c r="L78" i="11"/>
  <c r="K78" i="11"/>
  <c r="J78" i="11"/>
  <c r="I78" i="11"/>
  <c r="I62" i="11" s="1"/>
  <c r="H78" i="11"/>
  <c r="H62" i="11" s="1"/>
  <c r="G78" i="11"/>
  <c r="G62" i="11" s="1"/>
  <c r="F78" i="11"/>
  <c r="F62" i="11" s="1"/>
  <c r="E78" i="11"/>
  <c r="D78" i="11"/>
  <c r="D62" i="11" s="1"/>
  <c r="C78" i="11"/>
  <c r="B78" i="11"/>
  <c r="BK77" i="11"/>
  <c r="P77" i="11"/>
  <c r="O77" i="11"/>
  <c r="O61" i="11" s="1"/>
  <c r="N77" i="11"/>
  <c r="M77" i="11"/>
  <c r="BF77" i="11" s="1"/>
  <c r="L77" i="11"/>
  <c r="K77" i="11"/>
  <c r="K61" i="11" s="1"/>
  <c r="J77" i="11"/>
  <c r="I77" i="11"/>
  <c r="H77" i="11"/>
  <c r="H61" i="11" s="1"/>
  <c r="G77" i="11"/>
  <c r="F77" i="11"/>
  <c r="E77" i="11"/>
  <c r="D77" i="11"/>
  <c r="C77" i="11"/>
  <c r="B77" i="11"/>
  <c r="P76" i="11"/>
  <c r="O76" i="11"/>
  <c r="N76" i="11"/>
  <c r="N60" i="11" s="1"/>
  <c r="M76" i="11"/>
  <c r="BF76" i="11" s="1"/>
  <c r="L76" i="11"/>
  <c r="K76" i="11"/>
  <c r="J76" i="11"/>
  <c r="I76" i="11"/>
  <c r="H76" i="11"/>
  <c r="G76" i="11"/>
  <c r="F76" i="11"/>
  <c r="E76" i="11"/>
  <c r="E60" i="11" s="1"/>
  <c r="D76" i="11"/>
  <c r="C76" i="11"/>
  <c r="C60" i="11" s="1"/>
  <c r="B76" i="11"/>
  <c r="B60" i="11" s="1"/>
  <c r="BD75" i="11"/>
  <c r="BB75" i="11"/>
  <c r="P75" i="11"/>
  <c r="BH77" i="11" s="1"/>
  <c r="O75" i="11"/>
  <c r="N75" i="11"/>
  <c r="M75" i="11"/>
  <c r="BF75" i="11" s="1"/>
  <c r="L75" i="11"/>
  <c r="K75" i="11"/>
  <c r="J75" i="11"/>
  <c r="I75" i="11"/>
  <c r="H75" i="11"/>
  <c r="G75" i="11"/>
  <c r="F75" i="11"/>
  <c r="E75" i="11"/>
  <c r="D75" i="11"/>
  <c r="C75" i="11"/>
  <c r="B75" i="11"/>
  <c r="B59" i="11" s="1"/>
  <c r="BK74" i="11"/>
  <c r="BH74" i="11"/>
  <c r="BF74" i="11"/>
  <c r="P74" i="11"/>
  <c r="P58" i="11" s="1"/>
  <c r="O74" i="11"/>
  <c r="N74" i="11"/>
  <c r="N58" i="11" s="1"/>
  <c r="M74" i="11"/>
  <c r="M58" i="11" s="1"/>
  <c r="L74" i="11"/>
  <c r="K74" i="11"/>
  <c r="J74" i="11"/>
  <c r="I74" i="11"/>
  <c r="H74" i="11"/>
  <c r="G74" i="11"/>
  <c r="F74" i="11"/>
  <c r="E74" i="11"/>
  <c r="D74" i="11"/>
  <c r="D58" i="11" s="1"/>
  <c r="C74" i="11"/>
  <c r="B74" i="11"/>
  <c r="BK73" i="11"/>
  <c r="P73" i="11"/>
  <c r="O73" i="11"/>
  <c r="O57" i="11" s="1"/>
  <c r="N73" i="11"/>
  <c r="M73" i="11"/>
  <c r="BF73" i="11" s="1"/>
  <c r="L73" i="11"/>
  <c r="BD73" i="11" s="1"/>
  <c r="K73" i="11"/>
  <c r="J73" i="11"/>
  <c r="I73" i="11"/>
  <c r="H73" i="11"/>
  <c r="G73" i="11"/>
  <c r="F73" i="11"/>
  <c r="E73" i="11"/>
  <c r="E57" i="11" s="1"/>
  <c r="D73" i="11"/>
  <c r="C73" i="11"/>
  <c r="B73" i="11"/>
  <c r="P72" i="11"/>
  <c r="O72" i="11"/>
  <c r="N72" i="11"/>
  <c r="M72" i="11"/>
  <c r="BF72" i="11" s="1"/>
  <c r="L72" i="11"/>
  <c r="BD72" i="11" s="1"/>
  <c r="K72" i="11"/>
  <c r="J72" i="11"/>
  <c r="I72" i="11"/>
  <c r="H72" i="11"/>
  <c r="G72" i="11"/>
  <c r="F72" i="11"/>
  <c r="E72" i="11"/>
  <c r="D72" i="11"/>
  <c r="C72" i="11"/>
  <c r="B72" i="11"/>
  <c r="BF71" i="11"/>
  <c r="BD71" i="11"/>
  <c r="Q71" i="11"/>
  <c r="P71" i="11"/>
  <c r="BK71" i="11" s="1"/>
  <c r="O71" i="11"/>
  <c r="N71" i="11"/>
  <c r="M71" i="11"/>
  <c r="L71" i="11"/>
  <c r="K71" i="11"/>
  <c r="J71" i="11"/>
  <c r="I71" i="11"/>
  <c r="H71" i="11"/>
  <c r="H55" i="11" s="1"/>
  <c r="G71" i="11"/>
  <c r="F71" i="11"/>
  <c r="F55" i="11" s="1"/>
  <c r="E71" i="11"/>
  <c r="E55" i="11" s="1"/>
  <c r="D71" i="11"/>
  <c r="D55" i="11" s="1"/>
  <c r="C71" i="11"/>
  <c r="C55" i="11" s="1"/>
  <c r="B71" i="11"/>
  <c r="B55" i="11" s="1"/>
  <c r="Q70" i="11"/>
  <c r="P70" i="11"/>
  <c r="O70" i="11"/>
  <c r="N70" i="11"/>
  <c r="M70" i="11"/>
  <c r="L70" i="11"/>
  <c r="K70" i="11"/>
  <c r="J70" i="11"/>
  <c r="I70" i="11"/>
  <c r="H70" i="11"/>
  <c r="H82" i="11" s="1"/>
  <c r="G70" i="11"/>
  <c r="F70" i="11"/>
  <c r="E70" i="11"/>
  <c r="D70" i="11"/>
  <c r="C70" i="11"/>
  <c r="B70" i="11"/>
  <c r="Q69" i="11"/>
  <c r="P69" i="11"/>
  <c r="O69" i="11"/>
  <c r="N69" i="11"/>
  <c r="M69" i="11"/>
  <c r="L69" i="11"/>
  <c r="K69" i="11"/>
  <c r="J69" i="11"/>
  <c r="I69" i="11"/>
  <c r="H69" i="11"/>
  <c r="G69" i="11"/>
  <c r="F69" i="11"/>
  <c r="E69" i="11"/>
  <c r="D69" i="11"/>
  <c r="D53" i="11" s="1"/>
  <c r="C69" i="11"/>
  <c r="B69" i="11"/>
  <c r="AQ68" i="11"/>
  <c r="AP68" i="11"/>
  <c r="AO68" i="11"/>
  <c r="AN68" i="11"/>
  <c r="AM68" i="11"/>
  <c r="AL68" i="11"/>
  <c r="AK68" i="11"/>
  <c r="AJ68" i="11"/>
  <c r="AI68" i="11"/>
  <c r="AH68" i="11"/>
  <c r="AG68" i="11"/>
  <c r="AF68" i="11"/>
  <c r="AE68" i="11"/>
  <c r="AD68" i="11"/>
  <c r="AC68" i="11"/>
  <c r="AB68" i="11"/>
  <c r="AA68" i="11"/>
  <c r="Z68" i="11"/>
  <c r="Y68" i="11"/>
  <c r="X68" i="11"/>
  <c r="W68" i="11"/>
  <c r="V68" i="11"/>
  <c r="U68" i="11"/>
  <c r="T68" i="11"/>
  <c r="S68" i="11"/>
  <c r="R68" i="11"/>
  <c r="Q68" i="11"/>
  <c r="P68" i="11"/>
  <c r="O68" i="11"/>
  <c r="N68" i="11"/>
  <c r="M68" i="11"/>
  <c r="L68" i="11"/>
  <c r="K68" i="11"/>
  <c r="J68" i="11"/>
  <c r="I68" i="11"/>
  <c r="H68" i="11"/>
  <c r="G68" i="11"/>
  <c r="F68" i="11"/>
  <c r="E68" i="11"/>
  <c r="D68" i="11"/>
  <c r="C68" i="11"/>
  <c r="B68" i="11"/>
  <c r="N64" i="11"/>
  <c r="M64" i="11"/>
  <c r="L64" i="11"/>
  <c r="BD64" i="11" s="1"/>
  <c r="K64" i="11"/>
  <c r="J64" i="11"/>
  <c r="H64" i="11"/>
  <c r="BF63" i="11"/>
  <c r="O63" i="11"/>
  <c r="F63" i="11"/>
  <c r="D63" i="11"/>
  <c r="D47" i="11" s="1"/>
  <c r="BB62" i="11"/>
  <c r="J62" i="11"/>
  <c r="E62" i="11"/>
  <c r="B62" i="11"/>
  <c r="F61" i="11"/>
  <c r="E61" i="11"/>
  <c r="D61" i="11"/>
  <c r="C61" i="11"/>
  <c r="B61" i="11"/>
  <c r="H60" i="11"/>
  <c r="G60" i="11"/>
  <c r="F60" i="11"/>
  <c r="D60" i="11"/>
  <c r="P59" i="11"/>
  <c r="O59" i="11"/>
  <c r="O43" i="11" s="1"/>
  <c r="N59" i="11"/>
  <c r="M59" i="11"/>
  <c r="C59" i="11"/>
  <c r="O58" i="11"/>
  <c r="BD57" i="11"/>
  <c r="N57" i="11"/>
  <c r="L57" i="11"/>
  <c r="D57" i="11"/>
  <c r="C57" i="11"/>
  <c r="B57" i="11"/>
  <c r="M56" i="11"/>
  <c r="L56" i="11"/>
  <c r="J56" i="11"/>
  <c r="I56" i="11"/>
  <c r="H56" i="11"/>
  <c r="G56" i="11"/>
  <c r="F56" i="11"/>
  <c r="E56" i="11"/>
  <c r="B56" i="11"/>
  <c r="Q55" i="11"/>
  <c r="P55" i="11"/>
  <c r="N55" i="11"/>
  <c r="M55" i="11"/>
  <c r="L55" i="11"/>
  <c r="K55" i="11"/>
  <c r="J55" i="11"/>
  <c r="J39" i="11" s="1"/>
  <c r="O54" i="11"/>
  <c r="J54" i="11"/>
  <c r="Q53" i="11"/>
  <c r="L53" i="11"/>
  <c r="I53" i="11"/>
  <c r="H53" i="11"/>
  <c r="G53" i="11"/>
  <c r="F53" i="11"/>
  <c r="AQ52" i="11"/>
  <c r="AP52" i="11"/>
  <c r="AO52" i="11"/>
  <c r="AN52" i="11"/>
  <c r="AM52" i="11"/>
  <c r="AL52" i="11"/>
  <c r="AK52" i="11"/>
  <c r="AJ52" i="11"/>
  <c r="AI52" i="11"/>
  <c r="AH52" i="11"/>
  <c r="AG52" i="11"/>
  <c r="AF52" i="11"/>
  <c r="AE52" i="11"/>
  <c r="AD52" i="11"/>
  <c r="AC52" i="11"/>
  <c r="AB52" i="11"/>
  <c r="AA52" i="11"/>
  <c r="Z52" i="11"/>
  <c r="Y52" i="11"/>
  <c r="X52" i="11"/>
  <c r="W52" i="11"/>
  <c r="V52" i="11"/>
  <c r="U52" i="11"/>
  <c r="T52" i="11"/>
  <c r="S52" i="11"/>
  <c r="R52" i="11"/>
  <c r="Q52" i="11"/>
  <c r="P52" i="11"/>
  <c r="O52" i="11"/>
  <c r="N52" i="11"/>
  <c r="M52" i="11"/>
  <c r="L52" i="11"/>
  <c r="K52" i="11"/>
  <c r="J52" i="11"/>
  <c r="I52" i="11"/>
  <c r="H52" i="11"/>
  <c r="G52" i="11"/>
  <c r="F52" i="11"/>
  <c r="E52" i="11"/>
  <c r="D52" i="11"/>
  <c r="C52" i="11"/>
  <c r="B52" i="11"/>
  <c r="I46" i="11"/>
  <c r="G46" i="11"/>
  <c r="F46" i="11"/>
  <c r="AQ36" i="11"/>
  <c r="AP36" i="11"/>
  <c r="AO36" i="11"/>
  <c r="AN36" i="11"/>
  <c r="AM36" i="11"/>
  <c r="AL36" i="11"/>
  <c r="AK36" i="11"/>
  <c r="AJ36" i="11"/>
  <c r="AI36" i="11"/>
  <c r="AH36" i="11"/>
  <c r="AG36" i="11"/>
  <c r="AF36" i="11"/>
  <c r="AE36" i="11"/>
  <c r="AD36" i="11"/>
  <c r="AC36" i="11"/>
  <c r="AB36" i="11"/>
  <c r="AA36" i="11"/>
  <c r="Z36" i="11"/>
  <c r="Y36" i="11"/>
  <c r="X36" i="11"/>
  <c r="W36" i="11"/>
  <c r="V36" i="11"/>
  <c r="U36" i="11"/>
  <c r="T36" i="11"/>
  <c r="S36" i="11"/>
  <c r="R36" i="11"/>
  <c r="Q36" i="11"/>
  <c r="P36" i="11"/>
  <c r="O36" i="11"/>
  <c r="N36" i="11"/>
  <c r="M36" i="11"/>
  <c r="L36" i="11"/>
  <c r="K36" i="11"/>
  <c r="J36" i="11"/>
  <c r="I36" i="11"/>
  <c r="H36" i="11"/>
  <c r="G36" i="11"/>
  <c r="F36" i="11"/>
  <c r="E36" i="11"/>
  <c r="D36" i="11"/>
  <c r="C36" i="11"/>
  <c r="B36" i="11"/>
  <c r="Q32" i="11"/>
  <c r="P32" i="11"/>
  <c r="BH31" i="11"/>
  <c r="O32" i="11"/>
  <c r="N32" i="11"/>
  <c r="J32" i="11"/>
  <c r="AQ26" i="11"/>
  <c r="AP26" i="11"/>
  <c r="AO26" i="11"/>
  <c r="AN26" i="11"/>
  <c r="AM26" i="11"/>
  <c r="AL26" i="11"/>
  <c r="AJ26" i="11"/>
  <c r="AG26" i="11"/>
  <c r="AF26" i="11"/>
  <c r="AB26" i="11"/>
  <c r="AA26" i="11"/>
  <c r="Z26" i="11"/>
  <c r="Y26" i="11"/>
  <c r="X26" i="11"/>
  <c r="W26" i="11"/>
  <c r="V26" i="11"/>
  <c r="U26" i="11"/>
  <c r="T26" i="11"/>
  <c r="S26" i="11"/>
  <c r="R26" i="11"/>
  <c r="AA25" i="11"/>
  <c r="Y25" i="11"/>
  <c r="W25" i="11"/>
  <c r="BM24" i="11"/>
  <c r="S24" i="11"/>
  <c r="R24" i="11"/>
  <c r="Q24" i="11"/>
  <c r="Q385" i="11" s="1"/>
  <c r="AQ23" i="11"/>
  <c r="AP23" i="11"/>
  <c r="AO23" i="11"/>
  <c r="AN23" i="11"/>
  <c r="AM23" i="11"/>
  <c r="CE23" i="13" s="1"/>
  <c r="AL23" i="11"/>
  <c r="AK23" i="11"/>
  <c r="AJ23" i="11"/>
  <c r="AI23" i="11"/>
  <c r="AH23" i="11"/>
  <c r="AG23" i="11"/>
  <c r="AD23" i="11"/>
  <c r="AA23" i="11"/>
  <c r="Z23" i="11"/>
  <c r="Y23" i="11"/>
  <c r="X23" i="11"/>
  <c r="W23" i="11"/>
  <c r="V23" i="11"/>
  <c r="U23" i="11"/>
  <c r="T23" i="11"/>
  <c r="S23" i="11"/>
  <c r="S21" i="11" s="1"/>
  <c r="R23" i="11"/>
  <c r="R21" i="11" s="1"/>
  <c r="Q23" i="11"/>
  <c r="BM22" i="11"/>
  <c r="S353" i="11"/>
  <c r="R353" i="11"/>
  <c r="Q353" i="11"/>
  <c r="AQ19" i="11"/>
  <c r="AO19" i="11"/>
  <c r="CG19" i="13" s="1"/>
  <c r="AG19" i="11"/>
  <c r="AF19" i="11"/>
  <c r="AE19" i="11"/>
  <c r="AE16" i="11" s="1"/>
  <c r="AD19" i="11"/>
  <c r="AC19" i="11"/>
  <c r="AB19" i="11"/>
  <c r="AB16" i="11" s="1"/>
  <c r="AA19" i="11"/>
  <c r="Z19" i="11"/>
  <c r="Y19" i="11"/>
  <c r="Y16" i="11" s="1"/>
  <c r="X19" i="11"/>
  <c r="W19" i="11"/>
  <c r="BO19" i="13" s="1"/>
  <c r="V19" i="11"/>
  <c r="U19" i="11"/>
  <c r="S19" i="11"/>
  <c r="AQ18" i="11"/>
  <c r="AN18" i="11"/>
  <c r="AM18" i="11"/>
  <c r="AG18" i="11"/>
  <c r="AF18" i="11"/>
  <c r="AE18" i="11"/>
  <c r="AD18" i="11"/>
  <c r="AC18" i="11"/>
  <c r="AB18" i="11"/>
  <c r="AA18" i="11"/>
  <c r="Z18" i="11"/>
  <c r="Y18" i="11"/>
  <c r="U18" i="11"/>
  <c r="R18" i="11"/>
  <c r="Q18" i="11"/>
  <c r="N18" i="11"/>
  <c r="BG18" i="11" s="1"/>
  <c r="AQ17" i="11"/>
  <c r="AP17" i="11"/>
  <c r="AO17" i="11"/>
  <c r="AN17" i="11"/>
  <c r="AM17" i="11"/>
  <c r="AL17" i="11"/>
  <c r="AK17" i="11"/>
  <c r="AJ17" i="11"/>
  <c r="AI17" i="11"/>
  <c r="AE17" i="11"/>
  <c r="Y17" i="11"/>
  <c r="X17" i="11"/>
  <c r="W17" i="11"/>
  <c r="W16" i="11" s="1"/>
  <c r="U17" i="11"/>
  <c r="U16" i="11" s="1"/>
  <c r="T17" i="11"/>
  <c r="T16" i="11" s="1"/>
  <c r="S17" i="11"/>
  <c r="S16" i="11" s="1"/>
  <c r="R17" i="11"/>
  <c r="R16" i="11" s="1"/>
  <c r="AQ16" i="11"/>
  <c r="AP16" i="11"/>
  <c r="AD16" i="11"/>
  <c r="AA16" i="11"/>
  <c r="BG15" i="11"/>
  <c r="AQ15" i="11"/>
  <c r="AQ257" i="11" s="1"/>
  <c r="AO15" i="11"/>
  <c r="AO257" i="11" s="1"/>
  <c r="K15" i="11"/>
  <c r="BA15" i="11" s="1"/>
  <c r="AQ13" i="11"/>
  <c r="AP13" i="11"/>
  <c r="AO13" i="11"/>
  <c r="AN13" i="11"/>
  <c r="AM13" i="11"/>
  <c r="AL13" i="11"/>
  <c r="AK13" i="11"/>
  <c r="AJ13" i="11"/>
  <c r="AI13" i="11"/>
  <c r="AH13" i="11"/>
  <c r="AG13" i="11"/>
  <c r="AF13" i="11"/>
  <c r="AB13" i="11"/>
  <c r="Z13" i="11"/>
  <c r="Y13" i="11"/>
  <c r="X13" i="11"/>
  <c r="W13" i="11"/>
  <c r="V13" i="11"/>
  <c r="BN13" i="13" s="1"/>
  <c r="U13" i="11"/>
  <c r="T13" i="11"/>
  <c r="S13" i="11"/>
  <c r="R13" i="11"/>
  <c r="G13" i="11"/>
  <c r="D13" i="11"/>
  <c r="AP15" i="11"/>
  <c r="AP257" i="11" s="1"/>
  <c r="AN15" i="11"/>
  <c r="AN257" i="11" s="1"/>
  <c r="T10" i="11"/>
  <c r="AQ9" i="11"/>
  <c r="AP9" i="11"/>
  <c r="AO9" i="11"/>
  <c r="AN9" i="11"/>
  <c r="AM9" i="11"/>
  <c r="AL9" i="11"/>
  <c r="AK9" i="11"/>
  <c r="AJ9" i="11"/>
  <c r="AI9" i="11"/>
  <c r="AG9" i="11"/>
  <c r="AF9" i="11"/>
  <c r="Y9" i="11"/>
  <c r="V9" i="11"/>
  <c r="U9" i="11"/>
  <c r="T9" i="11"/>
  <c r="S9" i="11"/>
  <c r="R9" i="11"/>
  <c r="AF113" i="11"/>
  <c r="AE113" i="11"/>
  <c r="AC113" i="11"/>
  <c r="AB113" i="11"/>
  <c r="Z113" i="11"/>
  <c r="Y113" i="11"/>
  <c r="X113" i="11"/>
  <c r="W113" i="11"/>
  <c r="W45" i="6" s="1"/>
  <c r="W70" i="6" s="1"/>
  <c r="AQ5" i="11"/>
  <c r="AP5" i="11"/>
  <c r="AO5" i="11"/>
  <c r="AM5" i="11"/>
  <c r="AL5" i="11"/>
  <c r="AH5" i="11"/>
  <c r="AG5" i="11"/>
  <c r="AF5" i="11"/>
  <c r="AE5" i="11"/>
  <c r="AD5" i="11"/>
  <c r="AC5" i="11"/>
  <c r="AB5" i="11"/>
  <c r="AA5" i="11"/>
  <c r="Z5" i="11"/>
  <c r="V5" i="11"/>
  <c r="U5" i="11"/>
  <c r="T5" i="11"/>
  <c r="S5" i="11"/>
  <c r="Q5" i="11"/>
  <c r="R81" i="11"/>
  <c r="X186" i="10"/>
  <c r="T186" i="10"/>
  <c r="P186" i="10"/>
  <c r="O186" i="10"/>
  <c r="N186" i="10"/>
  <c r="M186" i="10"/>
  <c r="J186" i="10"/>
  <c r="G186" i="10"/>
  <c r="D186" i="10"/>
  <c r="Z185" i="10"/>
  <c r="Z186" i="10" s="1"/>
  <c r="X185" i="10"/>
  <c r="W185" i="10"/>
  <c r="W186" i="10" s="1"/>
  <c r="U185" i="10"/>
  <c r="Q185" i="10"/>
  <c r="Q186" i="10" s="1"/>
  <c r="O185" i="10"/>
  <c r="P185" i="10" s="1"/>
  <c r="N185" i="10"/>
  <c r="M185" i="10"/>
  <c r="J185" i="10"/>
  <c r="G185" i="10"/>
  <c r="D185" i="10"/>
  <c r="AC184" i="10"/>
  <c r="AB184" i="10"/>
  <c r="AA184" i="10"/>
  <c r="AA185" i="10" s="1"/>
  <c r="Z184" i="10"/>
  <c r="Y184" i="10"/>
  <c r="X184" i="10"/>
  <c r="W184" i="10"/>
  <c r="V184" i="10"/>
  <c r="U184" i="10"/>
  <c r="T184" i="10"/>
  <c r="T185" i="10" s="1"/>
  <c r="R184" i="10"/>
  <c r="S184" i="10" s="1"/>
  <c r="Q184" i="10"/>
  <c r="O184" i="10"/>
  <c r="N184" i="10"/>
  <c r="P184" i="10" s="1"/>
  <c r="M184" i="10"/>
  <c r="J184" i="10"/>
  <c r="G184" i="10"/>
  <c r="D184" i="10"/>
  <c r="O183" i="10"/>
  <c r="P183" i="10" s="1"/>
  <c r="N183" i="10"/>
  <c r="M183" i="10"/>
  <c r="J183" i="10"/>
  <c r="G183" i="10"/>
  <c r="D183" i="10"/>
  <c r="P182" i="10"/>
  <c r="O182" i="10"/>
  <c r="N182" i="10"/>
  <c r="M182" i="10"/>
  <c r="J182" i="10"/>
  <c r="G182" i="10"/>
  <c r="D182" i="10"/>
  <c r="O181" i="10"/>
  <c r="N181" i="10"/>
  <c r="M181" i="10"/>
  <c r="J181" i="10"/>
  <c r="G181" i="10"/>
  <c r="D181" i="10"/>
  <c r="O180" i="10"/>
  <c r="N180" i="10"/>
  <c r="P180" i="10" s="1"/>
  <c r="M180" i="10"/>
  <c r="J180" i="10"/>
  <c r="G180" i="10"/>
  <c r="D180" i="10"/>
  <c r="O179" i="10"/>
  <c r="P179" i="10" s="1"/>
  <c r="N179" i="10"/>
  <c r="M179" i="10"/>
  <c r="J179" i="10"/>
  <c r="G179" i="10"/>
  <c r="D179" i="10"/>
  <c r="O178" i="10"/>
  <c r="N178" i="10"/>
  <c r="P178" i="10" s="1"/>
  <c r="M178" i="10"/>
  <c r="J178" i="10"/>
  <c r="G178" i="10"/>
  <c r="D178" i="10"/>
  <c r="O177" i="10"/>
  <c r="P177" i="10" s="1"/>
  <c r="N177" i="10"/>
  <c r="M177" i="10"/>
  <c r="J177" i="10"/>
  <c r="G177" i="10"/>
  <c r="D177" i="10"/>
  <c r="W176" i="10"/>
  <c r="W177" i="10" s="1"/>
  <c r="W178" i="10" s="1"/>
  <c r="W179" i="10" s="1"/>
  <c r="W180" i="10" s="1"/>
  <c r="W181" i="10" s="1"/>
  <c r="W182" i="10" s="1"/>
  <c r="W183" i="10" s="1"/>
  <c r="T176" i="10"/>
  <c r="T177" i="10" s="1"/>
  <c r="T178" i="10" s="1"/>
  <c r="T179" i="10" s="1"/>
  <c r="T180" i="10" s="1"/>
  <c r="T181" i="10" s="1"/>
  <c r="T182" i="10" s="1"/>
  <c r="T183" i="10" s="1"/>
  <c r="O176" i="10"/>
  <c r="P176" i="10" s="1"/>
  <c r="N176" i="10"/>
  <c r="M176" i="10"/>
  <c r="J176" i="10"/>
  <c r="G176" i="10"/>
  <c r="D176" i="10"/>
  <c r="P175" i="10"/>
  <c r="O175" i="10"/>
  <c r="N175" i="10"/>
  <c r="M175" i="10"/>
  <c r="J175" i="10"/>
  <c r="G175" i="10"/>
  <c r="D175" i="10"/>
  <c r="Z174" i="10"/>
  <c r="Z175" i="10" s="1"/>
  <c r="Z176" i="10" s="1"/>
  <c r="Z177" i="10" s="1"/>
  <c r="Z178" i="10" s="1"/>
  <c r="Z179" i="10" s="1"/>
  <c r="Z180" i="10" s="1"/>
  <c r="Z181" i="10" s="1"/>
  <c r="Z182" i="10" s="1"/>
  <c r="Z183" i="10" s="1"/>
  <c r="O174" i="10"/>
  <c r="P174" i="10" s="1"/>
  <c r="N174" i="10"/>
  <c r="M174" i="10"/>
  <c r="J174" i="10"/>
  <c r="G174" i="10"/>
  <c r="D174" i="10"/>
  <c r="W173" i="10"/>
  <c r="W174" i="10" s="1"/>
  <c r="W175" i="10" s="1"/>
  <c r="U173" i="10"/>
  <c r="T173" i="10"/>
  <c r="T174" i="10" s="1"/>
  <c r="T175" i="10" s="1"/>
  <c r="O173" i="10"/>
  <c r="N173" i="10"/>
  <c r="P173" i="10" s="1"/>
  <c r="M173" i="10"/>
  <c r="J173" i="10"/>
  <c r="G173" i="10"/>
  <c r="D173" i="10"/>
  <c r="AA172" i="10"/>
  <c r="AA173" i="10" s="1"/>
  <c r="Z172" i="10"/>
  <c r="Z173" i="10" s="1"/>
  <c r="X172" i="10"/>
  <c r="W172" i="10"/>
  <c r="U172" i="10"/>
  <c r="T172" i="10"/>
  <c r="V172" i="10" s="1"/>
  <c r="S172" i="10"/>
  <c r="R172" i="10"/>
  <c r="R173" i="10" s="1"/>
  <c r="Q172" i="10"/>
  <c r="Q173" i="10" s="1"/>
  <c r="Q174" i="10" s="1"/>
  <c r="Q175" i="10" s="1"/>
  <c r="Q176" i="10" s="1"/>
  <c r="Q177" i="10" s="1"/>
  <c r="Q178" i="10" s="1"/>
  <c r="Q179" i="10" s="1"/>
  <c r="Q180" i="10" s="1"/>
  <c r="Q181" i="10" s="1"/>
  <c r="Q182" i="10" s="1"/>
  <c r="Q183" i="10" s="1"/>
  <c r="P172" i="10"/>
  <c r="O172" i="10"/>
  <c r="N172" i="10"/>
  <c r="M172" i="10"/>
  <c r="J172" i="10"/>
  <c r="G172" i="10"/>
  <c r="D172" i="10"/>
  <c r="P171" i="10"/>
  <c r="O171" i="10"/>
  <c r="N171" i="10"/>
  <c r="M171" i="10"/>
  <c r="J171" i="10"/>
  <c r="G171" i="10"/>
  <c r="D171" i="10"/>
  <c r="P170" i="10"/>
  <c r="O170" i="10"/>
  <c r="N170" i="10"/>
  <c r="M170" i="10"/>
  <c r="J170" i="10"/>
  <c r="G170" i="10"/>
  <c r="D170" i="10"/>
  <c r="O169" i="10"/>
  <c r="N169" i="10"/>
  <c r="P169" i="10" s="1"/>
  <c r="M169" i="10"/>
  <c r="J169" i="10"/>
  <c r="G169" i="10"/>
  <c r="D169" i="10"/>
  <c r="O168" i="10"/>
  <c r="P168" i="10" s="1"/>
  <c r="N168" i="10"/>
  <c r="M168" i="10"/>
  <c r="J168" i="10"/>
  <c r="G168" i="10"/>
  <c r="D168" i="10"/>
  <c r="O167" i="10"/>
  <c r="P167" i="10" s="1"/>
  <c r="N167" i="10"/>
  <c r="M167" i="10"/>
  <c r="J167" i="10"/>
  <c r="G167" i="10"/>
  <c r="D167" i="10"/>
  <c r="O166" i="10"/>
  <c r="P166" i="10" s="1"/>
  <c r="N166" i="10"/>
  <c r="M166" i="10"/>
  <c r="J166" i="10"/>
  <c r="G166" i="10"/>
  <c r="D166" i="10"/>
  <c r="T165" i="10"/>
  <c r="T166" i="10" s="1"/>
  <c r="T167" i="10" s="1"/>
  <c r="T168" i="10" s="1"/>
  <c r="T169" i="10" s="1"/>
  <c r="T170" i="10" s="1"/>
  <c r="T171" i="10" s="1"/>
  <c r="Q165" i="10"/>
  <c r="Q166" i="10" s="1"/>
  <c r="Q167" i="10" s="1"/>
  <c r="Q168" i="10" s="1"/>
  <c r="Q169" i="10" s="1"/>
  <c r="Q170" i="10" s="1"/>
  <c r="Q171" i="10" s="1"/>
  <c r="O165" i="10"/>
  <c r="P165" i="10" s="1"/>
  <c r="N165" i="10"/>
  <c r="M165" i="10"/>
  <c r="J165" i="10"/>
  <c r="G165" i="10"/>
  <c r="D165" i="10"/>
  <c r="O164" i="10"/>
  <c r="P164" i="10" s="1"/>
  <c r="N164" i="10"/>
  <c r="M164" i="10"/>
  <c r="J164" i="10"/>
  <c r="G164" i="10"/>
  <c r="D164" i="10"/>
  <c r="O163" i="10"/>
  <c r="N163" i="10"/>
  <c r="M163" i="10"/>
  <c r="J163" i="10"/>
  <c r="G163" i="10"/>
  <c r="D163" i="10"/>
  <c r="T162" i="10"/>
  <c r="T163" i="10" s="1"/>
  <c r="T164" i="10" s="1"/>
  <c r="O162" i="10"/>
  <c r="N162" i="10"/>
  <c r="P162" i="10" s="1"/>
  <c r="M162" i="10"/>
  <c r="J162" i="10"/>
  <c r="G162" i="10"/>
  <c r="D162" i="10"/>
  <c r="X161" i="10"/>
  <c r="U161" i="10"/>
  <c r="Q161" i="10"/>
  <c r="Q162" i="10" s="1"/>
  <c r="Q163" i="10" s="1"/>
  <c r="Q164" i="10" s="1"/>
  <c r="P161" i="10"/>
  <c r="O161" i="10"/>
  <c r="N161" i="10"/>
  <c r="M161" i="10"/>
  <c r="J161" i="10"/>
  <c r="G161" i="10"/>
  <c r="D161" i="10"/>
  <c r="AA160" i="10"/>
  <c r="AA161" i="10" s="1"/>
  <c r="Z160" i="10"/>
  <c r="Z161" i="10" s="1"/>
  <c r="Z162" i="10" s="1"/>
  <c r="Z163" i="10" s="1"/>
  <c r="Z164" i="10" s="1"/>
  <c r="Z165" i="10" s="1"/>
  <c r="Z166" i="10" s="1"/>
  <c r="Z167" i="10" s="1"/>
  <c r="Z168" i="10" s="1"/>
  <c r="Z169" i="10" s="1"/>
  <c r="Z170" i="10" s="1"/>
  <c r="Z171" i="10" s="1"/>
  <c r="X160" i="10"/>
  <c r="W160" i="10"/>
  <c r="Y160" i="10" s="1"/>
  <c r="U160" i="10"/>
  <c r="V160" i="10" s="1"/>
  <c r="T160" i="10"/>
  <c r="T161" i="10" s="1"/>
  <c r="R160" i="10"/>
  <c r="Q160" i="10"/>
  <c r="O160" i="10"/>
  <c r="P160" i="10" s="1"/>
  <c r="N160" i="10"/>
  <c r="M160" i="10"/>
  <c r="J160" i="10"/>
  <c r="G160" i="10"/>
  <c r="D160" i="10"/>
  <c r="Z159" i="10"/>
  <c r="O159" i="10"/>
  <c r="N159" i="10"/>
  <c r="M159" i="10"/>
  <c r="J159" i="10"/>
  <c r="G159" i="10"/>
  <c r="D159" i="10"/>
  <c r="O158" i="10"/>
  <c r="N158" i="10"/>
  <c r="P158" i="10" s="1"/>
  <c r="M158" i="10"/>
  <c r="J158" i="10"/>
  <c r="G158" i="10"/>
  <c r="D158" i="10"/>
  <c r="O157" i="10"/>
  <c r="P157" i="10" s="1"/>
  <c r="N157" i="10"/>
  <c r="M157" i="10"/>
  <c r="J157" i="10"/>
  <c r="G157" i="10"/>
  <c r="D157" i="10"/>
  <c r="O156" i="10"/>
  <c r="N156" i="10"/>
  <c r="P156" i="10" s="1"/>
  <c r="M156" i="10"/>
  <c r="J156" i="10"/>
  <c r="G156" i="10"/>
  <c r="D156" i="10"/>
  <c r="O155" i="10"/>
  <c r="P155" i="10" s="1"/>
  <c r="N155" i="10"/>
  <c r="M155" i="10"/>
  <c r="J155" i="10"/>
  <c r="G155" i="10"/>
  <c r="D155" i="10"/>
  <c r="O154" i="10"/>
  <c r="P154" i="10" s="1"/>
  <c r="N154" i="10"/>
  <c r="M154" i="10"/>
  <c r="J154" i="10"/>
  <c r="G154" i="10"/>
  <c r="D154" i="10"/>
  <c r="AA153" i="10"/>
  <c r="Z153" i="10"/>
  <c r="Z154" i="10" s="1"/>
  <c r="Z155" i="10" s="1"/>
  <c r="Z156" i="10" s="1"/>
  <c r="Z157" i="10" s="1"/>
  <c r="Z158" i="10" s="1"/>
  <c r="P153" i="10"/>
  <c r="O153" i="10"/>
  <c r="N153" i="10"/>
  <c r="M153" i="10"/>
  <c r="J153" i="10"/>
  <c r="G153" i="10"/>
  <c r="D153" i="10"/>
  <c r="O152" i="10"/>
  <c r="P152" i="10" s="1"/>
  <c r="N152" i="10"/>
  <c r="M152" i="10"/>
  <c r="J152" i="10"/>
  <c r="G152" i="10"/>
  <c r="D152" i="10"/>
  <c r="AA151" i="10"/>
  <c r="AA152" i="10" s="1"/>
  <c r="AB152" i="10" s="1"/>
  <c r="W151" i="10"/>
  <c r="W152" i="10" s="1"/>
  <c r="W153" i="10" s="1"/>
  <c r="W154" i="10" s="1"/>
  <c r="W155" i="10" s="1"/>
  <c r="W156" i="10" s="1"/>
  <c r="W157" i="10" s="1"/>
  <c r="W158" i="10" s="1"/>
  <c r="W159" i="10" s="1"/>
  <c r="O151" i="10"/>
  <c r="N151" i="10"/>
  <c r="P151" i="10" s="1"/>
  <c r="M151" i="10"/>
  <c r="J151" i="10"/>
  <c r="G151" i="10"/>
  <c r="D151" i="10"/>
  <c r="W150" i="10"/>
  <c r="R150" i="10"/>
  <c r="R151" i="10" s="1"/>
  <c r="P150" i="10"/>
  <c r="O150" i="10"/>
  <c r="N150" i="10"/>
  <c r="M150" i="10"/>
  <c r="J150" i="10"/>
  <c r="G150" i="10"/>
  <c r="D150" i="10"/>
  <c r="AA149" i="10"/>
  <c r="AA150" i="10" s="1"/>
  <c r="W149" i="10"/>
  <c r="U149" i="10"/>
  <c r="R149" i="10"/>
  <c r="O149" i="10"/>
  <c r="P149" i="10" s="1"/>
  <c r="N149" i="10"/>
  <c r="M149" i="10"/>
  <c r="J149" i="10"/>
  <c r="G149" i="10"/>
  <c r="D149" i="10"/>
  <c r="AB148" i="10"/>
  <c r="AA148" i="10"/>
  <c r="Z148" i="10"/>
  <c r="Z149" i="10" s="1"/>
  <c r="Z150" i="10" s="1"/>
  <c r="Z151" i="10" s="1"/>
  <c r="Z152" i="10" s="1"/>
  <c r="X148" i="10"/>
  <c r="X149" i="10" s="1"/>
  <c r="Y149" i="10" s="1"/>
  <c r="W148" i="10"/>
  <c r="U148" i="10"/>
  <c r="V148" i="10" s="1"/>
  <c r="T148" i="10"/>
  <c r="T149" i="10" s="1"/>
  <c r="T150" i="10" s="1"/>
  <c r="T151" i="10" s="1"/>
  <c r="T152" i="10" s="1"/>
  <c r="T153" i="10" s="1"/>
  <c r="T154" i="10" s="1"/>
  <c r="T155" i="10" s="1"/>
  <c r="T156" i="10" s="1"/>
  <c r="T157" i="10" s="1"/>
  <c r="T158" i="10" s="1"/>
  <c r="T159" i="10" s="1"/>
  <c r="R148" i="10"/>
  <c r="Q148" i="10"/>
  <c r="O148" i="10"/>
  <c r="N148" i="10"/>
  <c r="P148" i="10" s="1"/>
  <c r="M148" i="10"/>
  <c r="J148" i="10"/>
  <c r="G148" i="10"/>
  <c r="D148" i="10"/>
  <c r="O147" i="10"/>
  <c r="P147" i="10" s="1"/>
  <c r="N147" i="10"/>
  <c r="M147" i="10"/>
  <c r="J147" i="10"/>
  <c r="G147" i="10"/>
  <c r="D147" i="10"/>
  <c r="O146" i="10"/>
  <c r="P146" i="10" s="1"/>
  <c r="N146" i="10"/>
  <c r="M146" i="10"/>
  <c r="J146" i="10"/>
  <c r="G146" i="10"/>
  <c r="D146" i="10"/>
  <c r="O145" i="10"/>
  <c r="N145" i="10"/>
  <c r="M145" i="10"/>
  <c r="J145" i="10"/>
  <c r="G145" i="10"/>
  <c r="D145" i="10"/>
  <c r="Q144" i="10"/>
  <c r="Q145" i="10" s="1"/>
  <c r="Q146" i="10" s="1"/>
  <c r="Q147" i="10" s="1"/>
  <c r="P144" i="10"/>
  <c r="O144" i="10"/>
  <c r="N144" i="10"/>
  <c r="M144" i="10"/>
  <c r="J144" i="10"/>
  <c r="G144" i="10"/>
  <c r="D144" i="10"/>
  <c r="O143" i="10"/>
  <c r="N143" i="10"/>
  <c r="P143" i="10" s="1"/>
  <c r="M143" i="10"/>
  <c r="J143" i="10"/>
  <c r="G143" i="10"/>
  <c r="D143" i="10"/>
  <c r="O142" i="10"/>
  <c r="N142" i="10"/>
  <c r="P142" i="10" s="1"/>
  <c r="M142" i="10"/>
  <c r="J142" i="10"/>
  <c r="G142" i="10"/>
  <c r="D142" i="10"/>
  <c r="Z141" i="10"/>
  <c r="Z142" i="10" s="1"/>
  <c r="Z143" i="10" s="1"/>
  <c r="Z144" i="10" s="1"/>
  <c r="Z145" i="10" s="1"/>
  <c r="Z146" i="10" s="1"/>
  <c r="Z147" i="10" s="1"/>
  <c r="P141" i="10"/>
  <c r="O141" i="10"/>
  <c r="N141" i="10"/>
  <c r="M141" i="10"/>
  <c r="J141" i="10"/>
  <c r="G141" i="10"/>
  <c r="D141" i="10"/>
  <c r="W140" i="10"/>
  <c r="W141" i="10" s="1"/>
  <c r="W142" i="10" s="1"/>
  <c r="W143" i="10" s="1"/>
  <c r="W144" i="10" s="1"/>
  <c r="W145" i="10" s="1"/>
  <c r="W146" i="10" s="1"/>
  <c r="W147" i="10" s="1"/>
  <c r="O140" i="10"/>
  <c r="N140" i="10"/>
  <c r="M140" i="10"/>
  <c r="J140" i="10"/>
  <c r="G140" i="10"/>
  <c r="D140" i="10"/>
  <c r="O139" i="10"/>
  <c r="P139" i="10" s="1"/>
  <c r="N139" i="10"/>
  <c r="M139" i="10"/>
  <c r="J139" i="10"/>
  <c r="G139" i="10"/>
  <c r="D139" i="10"/>
  <c r="AA138" i="10"/>
  <c r="AA139" i="10" s="1"/>
  <c r="Z138" i="10"/>
  <c r="Z139" i="10" s="1"/>
  <c r="Z140" i="10" s="1"/>
  <c r="X138" i="10"/>
  <c r="W138" i="10"/>
  <c r="W139" i="10" s="1"/>
  <c r="U138" i="10"/>
  <c r="P138" i="10"/>
  <c r="O138" i="10"/>
  <c r="N138" i="10"/>
  <c r="M138" i="10"/>
  <c r="J138" i="10"/>
  <c r="G138" i="10"/>
  <c r="D138" i="10"/>
  <c r="AA137" i="10"/>
  <c r="Z137" i="10"/>
  <c r="AB137" i="10" s="1"/>
  <c r="Y137" i="10"/>
  <c r="X137" i="10"/>
  <c r="U137" i="10"/>
  <c r="R137" i="10"/>
  <c r="R138" i="10" s="1"/>
  <c r="Q137" i="10"/>
  <c r="Q138" i="10" s="1"/>
  <c r="Q139" i="10" s="1"/>
  <c r="Q140" i="10" s="1"/>
  <c r="Q141" i="10" s="1"/>
  <c r="Q142" i="10" s="1"/>
  <c r="Q143" i="10" s="1"/>
  <c r="O137" i="10"/>
  <c r="P137" i="10" s="1"/>
  <c r="N137" i="10"/>
  <c r="M137" i="10"/>
  <c r="J137" i="10"/>
  <c r="G137" i="10"/>
  <c r="D137" i="10"/>
  <c r="AA136" i="10"/>
  <c r="Z136" i="10"/>
  <c r="AB136" i="10" s="1"/>
  <c r="Y136" i="10"/>
  <c r="X136" i="10"/>
  <c r="W136" i="10"/>
  <c r="W137" i="10" s="1"/>
  <c r="U136" i="10"/>
  <c r="T136" i="10"/>
  <c r="V136" i="10" s="1"/>
  <c r="R136" i="10"/>
  <c r="Q136" i="10"/>
  <c r="S136" i="10" s="1"/>
  <c r="O136" i="10"/>
  <c r="N136" i="10"/>
  <c r="P136" i="10" s="1"/>
  <c r="M136" i="10"/>
  <c r="J136" i="10"/>
  <c r="G136" i="10"/>
  <c r="D136" i="10"/>
  <c r="O135" i="10"/>
  <c r="P135" i="10" s="1"/>
  <c r="N135" i="10"/>
  <c r="M135" i="10"/>
  <c r="J135" i="10"/>
  <c r="G135" i="10"/>
  <c r="D135" i="10"/>
  <c r="P134" i="10"/>
  <c r="O134" i="10"/>
  <c r="N134" i="10"/>
  <c r="M134" i="10"/>
  <c r="J134" i="10"/>
  <c r="G134" i="10"/>
  <c r="D134" i="10"/>
  <c r="O133" i="10"/>
  <c r="N133" i="10"/>
  <c r="P133" i="10" s="1"/>
  <c r="M133" i="10"/>
  <c r="J133" i="10"/>
  <c r="G133" i="10"/>
  <c r="D133" i="10"/>
  <c r="O132" i="10"/>
  <c r="N132" i="10"/>
  <c r="M132" i="10"/>
  <c r="J132" i="10"/>
  <c r="G132" i="10"/>
  <c r="D132" i="10"/>
  <c r="O131" i="10"/>
  <c r="N131" i="10"/>
  <c r="P131" i="10" s="1"/>
  <c r="M131" i="10"/>
  <c r="J131" i="10"/>
  <c r="G131" i="10"/>
  <c r="D131" i="10"/>
  <c r="P130" i="10"/>
  <c r="O130" i="10"/>
  <c r="N130" i="10"/>
  <c r="M130" i="10"/>
  <c r="J130" i="10"/>
  <c r="G130" i="10"/>
  <c r="D130" i="10"/>
  <c r="O129" i="10"/>
  <c r="N129" i="10"/>
  <c r="M129" i="10"/>
  <c r="J129" i="10"/>
  <c r="G129" i="10"/>
  <c r="D129" i="10"/>
  <c r="Z128" i="10"/>
  <c r="Z129" i="10" s="1"/>
  <c r="Z130" i="10" s="1"/>
  <c r="Z131" i="10" s="1"/>
  <c r="Z132" i="10" s="1"/>
  <c r="Z133" i="10" s="1"/>
  <c r="Z134" i="10" s="1"/>
  <c r="Z135" i="10" s="1"/>
  <c r="X128" i="10"/>
  <c r="X129" i="10" s="1"/>
  <c r="O128" i="10"/>
  <c r="P128" i="10" s="1"/>
  <c r="N128" i="10"/>
  <c r="M128" i="10"/>
  <c r="J128" i="10"/>
  <c r="G128" i="10"/>
  <c r="D128" i="10"/>
  <c r="Z127" i="10"/>
  <c r="X127" i="10"/>
  <c r="W127" i="10"/>
  <c r="W128" i="10" s="1"/>
  <c r="U127" i="10"/>
  <c r="U128" i="10" s="1"/>
  <c r="R127" i="10"/>
  <c r="R128" i="10" s="1"/>
  <c r="P127" i="10"/>
  <c r="O127" i="10"/>
  <c r="N127" i="10"/>
  <c r="M127" i="10"/>
  <c r="J127" i="10"/>
  <c r="G127" i="10"/>
  <c r="D127" i="10"/>
  <c r="Z126" i="10"/>
  <c r="Y126" i="10"/>
  <c r="X126" i="10"/>
  <c r="U126" i="10"/>
  <c r="R126" i="10"/>
  <c r="O126" i="10"/>
  <c r="P126" i="10" s="1"/>
  <c r="N126" i="10"/>
  <c r="M126" i="10"/>
  <c r="J126" i="10"/>
  <c r="G126" i="10"/>
  <c r="D126" i="10"/>
  <c r="Z125" i="10"/>
  <c r="X125" i="10"/>
  <c r="W125" i="10"/>
  <c r="W126" i="10" s="1"/>
  <c r="T125" i="10"/>
  <c r="S125" i="10"/>
  <c r="R125" i="10"/>
  <c r="Q125" i="10"/>
  <c r="Q126" i="10" s="1"/>
  <c r="O125" i="10"/>
  <c r="P125" i="10" s="1"/>
  <c r="N125" i="10"/>
  <c r="M125" i="10"/>
  <c r="J125" i="10"/>
  <c r="G125" i="10"/>
  <c r="D125" i="10"/>
  <c r="AA124" i="10"/>
  <c r="Z124" i="10"/>
  <c r="X124" i="10"/>
  <c r="W124" i="10"/>
  <c r="U124" i="10"/>
  <c r="U125" i="10" s="1"/>
  <c r="T124" i="10"/>
  <c r="R124" i="10"/>
  <c r="Q124" i="10"/>
  <c r="O124" i="10"/>
  <c r="N124" i="10"/>
  <c r="M124" i="10"/>
  <c r="J124" i="10"/>
  <c r="G124" i="10"/>
  <c r="D124" i="10"/>
  <c r="O123" i="10"/>
  <c r="N123" i="10"/>
  <c r="P123" i="10" s="1"/>
  <c r="M123" i="10"/>
  <c r="J123" i="10"/>
  <c r="G123" i="10"/>
  <c r="D123" i="10"/>
  <c r="O122" i="10"/>
  <c r="N122" i="10"/>
  <c r="P122" i="10" s="1"/>
  <c r="M122" i="10"/>
  <c r="J122" i="10"/>
  <c r="G122" i="10"/>
  <c r="D122" i="10"/>
  <c r="O121" i="10"/>
  <c r="P121" i="10" s="1"/>
  <c r="N121" i="10"/>
  <c r="M121" i="10"/>
  <c r="J121" i="10"/>
  <c r="G121" i="10"/>
  <c r="D121" i="10"/>
  <c r="O120" i="10"/>
  <c r="P120" i="10" s="1"/>
  <c r="N120" i="10"/>
  <c r="M120" i="10"/>
  <c r="J120" i="10"/>
  <c r="G120" i="10"/>
  <c r="D120" i="10"/>
  <c r="P119" i="10"/>
  <c r="O119" i="10"/>
  <c r="N119" i="10"/>
  <c r="M119" i="10"/>
  <c r="J119" i="10"/>
  <c r="G119" i="10"/>
  <c r="D119" i="10"/>
  <c r="U118" i="10"/>
  <c r="O118" i="10"/>
  <c r="P118" i="10" s="1"/>
  <c r="N118" i="10"/>
  <c r="M118" i="10"/>
  <c r="J118" i="10"/>
  <c r="G118" i="10"/>
  <c r="D118" i="10"/>
  <c r="O117" i="10"/>
  <c r="P117" i="10" s="1"/>
  <c r="N117" i="10"/>
  <c r="M117" i="10"/>
  <c r="J117" i="10"/>
  <c r="G117" i="10"/>
  <c r="D117" i="10"/>
  <c r="U116" i="10"/>
  <c r="U117" i="10" s="1"/>
  <c r="P116" i="10"/>
  <c r="O116" i="10"/>
  <c r="N116" i="10"/>
  <c r="M116" i="10"/>
  <c r="J116" i="10"/>
  <c r="G116" i="10"/>
  <c r="D116" i="10"/>
  <c r="Z115" i="10"/>
  <c r="Z116" i="10" s="1"/>
  <c r="Z117" i="10" s="1"/>
  <c r="Z118" i="10" s="1"/>
  <c r="Z119" i="10" s="1"/>
  <c r="Z120" i="10" s="1"/>
  <c r="Z121" i="10" s="1"/>
  <c r="Z122" i="10" s="1"/>
  <c r="Z123" i="10" s="1"/>
  <c r="U115" i="10"/>
  <c r="R115" i="10"/>
  <c r="O115" i="10"/>
  <c r="P115" i="10" s="1"/>
  <c r="N115" i="10"/>
  <c r="M115" i="10"/>
  <c r="J115" i="10"/>
  <c r="G115" i="10"/>
  <c r="D115" i="10"/>
  <c r="Z114" i="10"/>
  <c r="W114" i="10"/>
  <c r="W115" i="10" s="1"/>
  <c r="W116" i="10" s="1"/>
  <c r="W117" i="10" s="1"/>
  <c r="W118" i="10" s="1"/>
  <c r="W119" i="10" s="1"/>
  <c r="W120" i="10" s="1"/>
  <c r="W121" i="10" s="1"/>
  <c r="W122" i="10" s="1"/>
  <c r="W123" i="10" s="1"/>
  <c r="T114" i="10"/>
  <c r="R114" i="10"/>
  <c r="S114" i="10" s="1"/>
  <c r="P114" i="10"/>
  <c r="O114" i="10"/>
  <c r="N114" i="10"/>
  <c r="M114" i="10"/>
  <c r="J114" i="10"/>
  <c r="G114" i="10"/>
  <c r="D114" i="10"/>
  <c r="Z113" i="10"/>
  <c r="W113" i="10"/>
  <c r="U113" i="10"/>
  <c r="U114" i="10" s="1"/>
  <c r="T113" i="10"/>
  <c r="V113" i="10" s="1"/>
  <c r="R113" i="10"/>
  <c r="Q113" i="10"/>
  <c r="Q114" i="10" s="1"/>
  <c r="Q115" i="10" s="1"/>
  <c r="Q116" i="10" s="1"/>
  <c r="Q117" i="10" s="1"/>
  <c r="Q118" i="10" s="1"/>
  <c r="Q119" i="10" s="1"/>
  <c r="Q120" i="10" s="1"/>
  <c r="Q121" i="10" s="1"/>
  <c r="Q122" i="10" s="1"/>
  <c r="Q123" i="10" s="1"/>
  <c r="O113" i="10"/>
  <c r="N113" i="10"/>
  <c r="P113" i="10" s="1"/>
  <c r="M113" i="10"/>
  <c r="J113" i="10"/>
  <c r="G113" i="10"/>
  <c r="D113" i="10"/>
  <c r="AA112" i="10"/>
  <c r="Z112" i="10"/>
  <c r="X112" i="10"/>
  <c r="W112" i="10"/>
  <c r="U112" i="10"/>
  <c r="V112" i="10" s="1"/>
  <c r="T112" i="10"/>
  <c r="S112" i="10"/>
  <c r="R112" i="10"/>
  <c r="Q112" i="10"/>
  <c r="O112" i="10"/>
  <c r="N112" i="10"/>
  <c r="P112" i="10" s="1"/>
  <c r="M112" i="10"/>
  <c r="J112" i="10"/>
  <c r="G112" i="10"/>
  <c r="D112" i="10"/>
  <c r="P111" i="10"/>
  <c r="O111" i="10"/>
  <c r="N111" i="10"/>
  <c r="M111" i="10"/>
  <c r="J111" i="10"/>
  <c r="G111" i="10"/>
  <c r="D111" i="10"/>
  <c r="W110" i="10"/>
  <c r="W111" i="10" s="1"/>
  <c r="P110" i="10"/>
  <c r="O110" i="10"/>
  <c r="N110" i="10"/>
  <c r="M110" i="10"/>
  <c r="J110" i="10"/>
  <c r="G110" i="10"/>
  <c r="D110" i="10"/>
  <c r="O109" i="10"/>
  <c r="P109" i="10" s="1"/>
  <c r="N109" i="10"/>
  <c r="M109" i="10"/>
  <c r="J109" i="10"/>
  <c r="G109" i="10"/>
  <c r="D109" i="10"/>
  <c r="O108" i="10"/>
  <c r="N108" i="10"/>
  <c r="P108" i="10" s="1"/>
  <c r="M108" i="10"/>
  <c r="J108" i="10"/>
  <c r="G108" i="10"/>
  <c r="D108" i="10"/>
  <c r="O107" i="10"/>
  <c r="N107" i="10"/>
  <c r="M107" i="10"/>
  <c r="J107" i="10"/>
  <c r="G107" i="10"/>
  <c r="D107" i="10"/>
  <c r="T106" i="10"/>
  <c r="T107" i="10" s="1"/>
  <c r="T108" i="10" s="1"/>
  <c r="T109" i="10" s="1"/>
  <c r="T110" i="10" s="1"/>
  <c r="T111" i="10" s="1"/>
  <c r="Q106" i="10"/>
  <c r="Q107" i="10" s="1"/>
  <c r="Q108" i="10" s="1"/>
  <c r="Q109" i="10" s="1"/>
  <c r="Q110" i="10" s="1"/>
  <c r="Q111" i="10" s="1"/>
  <c r="O106" i="10"/>
  <c r="P106" i="10" s="1"/>
  <c r="N106" i="10"/>
  <c r="M106" i="10"/>
  <c r="J106" i="10"/>
  <c r="G106" i="10"/>
  <c r="D106" i="10"/>
  <c r="P105" i="10"/>
  <c r="O105" i="10"/>
  <c r="N105" i="10"/>
  <c r="M105" i="10"/>
  <c r="J105" i="10"/>
  <c r="G105" i="10"/>
  <c r="D105" i="10"/>
  <c r="O104" i="10"/>
  <c r="P104" i="10" s="1"/>
  <c r="N104" i="10"/>
  <c r="M104" i="10"/>
  <c r="J104" i="10"/>
  <c r="G104" i="10"/>
  <c r="D104" i="10"/>
  <c r="Z103" i="10"/>
  <c r="Z104" i="10" s="1"/>
  <c r="Z105" i="10" s="1"/>
  <c r="Z106" i="10" s="1"/>
  <c r="Z107" i="10" s="1"/>
  <c r="Z108" i="10" s="1"/>
  <c r="Z109" i="10" s="1"/>
  <c r="Z110" i="10" s="1"/>
  <c r="Z111" i="10" s="1"/>
  <c r="O103" i="10"/>
  <c r="P103" i="10" s="1"/>
  <c r="N103" i="10"/>
  <c r="M103" i="10"/>
  <c r="J103" i="10"/>
  <c r="G103" i="10"/>
  <c r="D103" i="10"/>
  <c r="Z102" i="10"/>
  <c r="X102" i="10"/>
  <c r="W102" i="10"/>
  <c r="W103" i="10" s="1"/>
  <c r="W104" i="10" s="1"/>
  <c r="W105" i="10" s="1"/>
  <c r="W106" i="10" s="1"/>
  <c r="W107" i="10" s="1"/>
  <c r="W108" i="10" s="1"/>
  <c r="W109" i="10" s="1"/>
  <c r="T102" i="10"/>
  <c r="T103" i="10" s="1"/>
  <c r="T104" i="10" s="1"/>
  <c r="T105" i="10" s="1"/>
  <c r="Q102" i="10"/>
  <c r="Q103" i="10" s="1"/>
  <c r="Q104" i="10" s="1"/>
  <c r="Q105" i="10" s="1"/>
  <c r="P102" i="10"/>
  <c r="O102" i="10"/>
  <c r="N102" i="10"/>
  <c r="M102" i="10"/>
  <c r="J102" i="10"/>
  <c r="G102" i="10"/>
  <c r="D102" i="10"/>
  <c r="AA101" i="10"/>
  <c r="X101" i="10"/>
  <c r="Y101" i="10" s="1"/>
  <c r="U101" i="10"/>
  <c r="V101" i="10" s="1"/>
  <c r="T101" i="10"/>
  <c r="O101" i="10"/>
  <c r="P101" i="10" s="1"/>
  <c r="N101" i="10"/>
  <c r="M101" i="10"/>
  <c r="J101" i="10"/>
  <c r="G101" i="10"/>
  <c r="D101" i="10"/>
  <c r="AA100" i="10"/>
  <c r="AB100" i="10" s="1"/>
  <c r="Z100" i="10"/>
  <c r="Z101" i="10" s="1"/>
  <c r="Y100" i="10"/>
  <c r="X100" i="10"/>
  <c r="W100" i="10"/>
  <c r="W101" i="10" s="1"/>
  <c r="U100" i="10"/>
  <c r="T100" i="10"/>
  <c r="V100" i="10" s="1"/>
  <c r="R100" i="10"/>
  <c r="Q100" i="10"/>
  <c r="Q101" i="10" s="1"/>
  <c r="O100" i="10"/>
  <c r="N100" i="10"/>
  <c r="P100" i="10" s="1"/>
  <c r="M100" i="10"/>
  <c r="J100" i="10"/>
  <c r="G100" i="10"/>
  <c r="D100" i="10"/>
  <c r="O99" i="10"/>
  <c r="N99" i="10"/>
  <c r="P99" i="10" s="1"/>
  <c r="M99" i="10"/>
  <c r="J99" i="10"/>
  <c r="G99" i="10"/>
  <c r="D99" i="10"/>
  <c r="O98" i="10"/>
  <c r="P98" i="10" s="1"/>
  <c r="N98" i="10"/>
  <c r="M98" i="10"/>
  <c r="J98" i="10"/>
  <c r="G98" i="10"/>
  <c r="D98" i="10"/>
  <c r="O97" i="10"/>
  <c r="N97" i="10"/>
  <c r="P97" i="10" s="1"/>
  <c r="M97" i="10"/>
  <c r="J97" i="10"/>
  <c r="G97" i="10"/>
  <c r="D97" i="10"/>
  <c r="O96" i="10"/>
  <c r="N96" i="10"/>
  <c r="M96" i="10"/>
  <c r="J96" i="10"/>
  <c r="G96" i="10"/>
  <c r="D96" i="10"/>
  <c r="O95" i="10"/>
  <c r="P95" i="10" s="1"/>
  <c r="N95" i="10"/>
  <c r="M95" i="10"/>
  <c r="J95" i="10"/>
  <c r="G95" i="10"/>
  <c r="D95" i="10"/>
  <c r="Z94" i="10"/>
  <c r="Z95" i="10" s="1"/>
  <c r="Z96" i="10" s="1"/>
  <c r="Z97" i="10" s="1"/>
  <c r="Z98" i="10" s="1"/>
  <c r="Z99" i="10" s="1"/>
  <c r="O94" i="10"/>
  <c r="P94" i="10" s="1"/>
  <c r="N94" i="10"/>
  <c r="M94" i="10"/>
  <c r="J94" i="10"/>
  <c r="G94" i="10"/>
  <c r="D94" i="10"/>
  <c r="O93" i="10"/>
  <c r="N93" i="10"/>
  <c r="P93" i="10" s="1"/>
  <c r="M93" i="10"/>
  <c r="J93" i="10"/>
  <c r="G93" i="10"/>
  <c r="D93" i="10"/>
  <c r="O92" i="10"/>
  <c r="N92" i="10"/>
  <c r="P92" i="10" s="1"/>
  <c r="M92" i="10"/>
  <c r="J92" i="10"/>
  <c r="G92" i="10"/>
  <c r="D92" i="10"/>
  <c r="T91" i="10"/>
  <c r="T92" i="10" s="1"/>
  <c r="T93" i="10" s="1"/>
  <c r="T94" i="10" s="1"/>
  <c r="T95" i="10" s="1"/>
  <c r="T96" i="10" s="1"/>
  <c r="T97" i="10" s="1"/>
  <c r="T98" i="10" s="1"/>
  <c r="T99" i="10" s="1"/>
  <c r="Q91" i="10"/>
  <c r="Q92" i="10" s="1"/>
  <c r="Q93" i="10" s="1"/>
  <c r="Q94" i="10" s="1"/>
  <c r="Q95" i="10" s="1"/>
  <c r="Q96" i="10" s="1"/>
  <c r="Q97" i="10" s="1"/>
  <c r="Q98" i="10" s="1"/>
  <c r="Q99" i="10" s="1"/>
  <c r="O91" i="10"/>
  <c r="P91" i="10" s="1"/>
  <c r="N91" i="10"/>
  <c r="M91" i="10"/>
  <c r="J91" i="10"/>
  <c r="G91" i="10"/>
  <c r="D91" i="10"/>
  <c r="R90" i="10"/>
  <c r="O90" i="10"/>
  <c r="P90" i="10" s="1"/>
  <c r="N90" i="10"/>
  <c r="M90" i="10"/>
  <c r="J90" i="10"/>
  <c r="G90" i="10"/>
  <c r="D90" i="10"/>
  <c r="AA89" i="10"/>
  <c r="Y89" i="10"/>
  <c r="W89" i="10"/>
  <c r="W90" i="10" s="1"/>
  <c r="W91" i="10" s="1"/>
  <c r="W92" i="10" s="1"/>
  <c r="W93" i="10" s="1"/>
  <c r="W94" i="10" s="1"/>
  <c r="W95" i="10" s="1"/>
  <c r="W96" i="10" s="1"/>
  <c r="W97" i="10" s="1"/>
  <c r="W98" i="10" s="1"/>
  <c r="W99" i="10" s="1"/>
  <c r="R89" i="10"/>
  <c r="S89" i="10" s="1"/>
  <c r="O89" i="10"/>
  <c r="N89" i="10"/>
  <c r="P89" i="10" s="1"/>
  <c r="M89" i="10"/>
  <c r="J89" i="10"/>
  <c r="G89" i="10"/>
  <c r="D89" i="10"/>
  <c r="AA88" i="10"/>
  <c r="AB88" i="10" s="1"/>
  <c r="Z88" i="10"/>
  <c r="Z89" i="10" s="1"/>
  <c r="Z90" i="10" s="1"/>
  <c r="Z91" i="10" s="1"/>
  <c r="Z92" i="10" s="1"/>
  <c r="Z93" i="10" s="1"/>
  <c r="X88" i="10"/>
  <c r="X89" i="10" s="1"/>
  <c r="X90" i="10" s="1"/>
  <c r="W88" i="10"/>
  <c r="Y88" i="10" s="1"/>
  <c r="U88" i="10"/>
  <c r="T88" i="10"/>
  <c r="T89" i="10" s="1"/>
  <c r="T90" i="10" s="1"/>
  <c r="S88" i="10"/>
  <c r="R88" i="10"/>
  <c r="Q88" i="10"/>
  <c r="Q89" i="10" s="1"/>
  <c r="Q90" i="10" s="1"/>
  <c r="O88" i="10"/>
  <c r="P88" i="10" s="1"/>
  <c r="N88" i="10"/>
  <c r="M88" i="10"/>
  <c r="J88" i="10"/>
  <c r="G88" i="10"/>
  <c r="D88" i="10"/>
  <c r="O87" i="10"/>
  <c r="P87" i="10" s="1"/>
  <c r="N87" i="10"/>
  <c r="M87" i="10"/>
  <c r="J87" i="10"/>
  <c r="G87" i="10"/>
  <c r="D87" i="10"/>
  <c r="W86" i="10"/>
  <c r="W87" i="10" s="1"/>
  <c r="Q86" i="10"/>
  <c r="Q87" i="10" s="1"/>
  <c r="O86" i="10"/>
  <c r="P86" i="10" s="1"/>
  <c r="N86" i="10"/>
  <c r="M86" i="10"/>
  <c r="J86" i="10"/>
  <c r="G86" i="10"/>
  <c r="D86" i="10"/>
  <c r="O85" i="10"/>
  <c r="N85" i="10"/>
  <c r="M85" i="10"/>
  <c r="J85" i="10"/>
  <c r="G85" i="10"/>
  <c r="D85" i="10"/>
  <c r="O84" i="10"/>
  <c r="P84" i="10" s="1"/>
  <c r="N84" i="10"/>
  <c r="M84" i="10"/>
  <c r="J84" i="10"/>
  <c r="G84" i="10"/>
  <c r="D84" i="10"/>
  <c r="O83" i="10"/>
  <c r="P83" i="10" s="1"/>
  <c r="N83" i="10"/>
  <c r="M83" i="10"/>
  <c r="J83" i="10"/>
  <c r="G83" i="10"/>
  <c r="D83" i="10"/>
  <c r="O82" i="10"/>
  <c r="N82" i="10"/>
  <c r="P82" i="10" s="1"/>
  <c r="M82" i="10"/>
  <c r="J82" i="10"/>
  <c r="G82" i="10"/>
  <c r="D82" i="10"/>
  <c r="W81" i="10"/>
  <c r="W82" i="10" s="1"/>
  <c r="W83" i="10" s="1"/>
  <c r="W84" i="10" s="1"/>
  <c r="W85" i="10" s="1"/>
  <c r="Q81" i="10"/>
  <c r="Q82" i="10" s="1"/>
  <c r="Q83" i="10" s="1"/>
  <c r="Q84" i="10" s="1"/>
  <c r="Q85" i="10" s="1"/>
  <c r="P81" i="10"/>
  <c r="O81" i="10"/>
  <c r="N81" i="10"/>
  <c r="M81" i="10"/>
  <c r="J81" i="10"/>
  <c r="G81" i="10"/>
  <c r="D81" i="10"/>
  <c r="O80" i="10"/>
  <c r="P80" i="10" s="1"/>
  <c r="N80" i="10"/>
  <c r="M80" i="10"/>
  <c r="J80" i="10"/>
  <c r="G80" i="10"/>
  <c r="D80" i="10"/>
  <c r="O79" i="10"/>
  <c r="N79" i="10"/>
  <c r="P79" i="10" s="1"/>
  <c r="M79" i="10"/>
  <c r="J79" i="10"/>
  <c r="G79" i="10"/>
  <c r="D79" i="10"/>
  <c r="P78" i="10"/>
  <c r="O78" i="10"/>
  <c r="N78" i="10"/>
  <c r="M78" i="10"/>
  <c r="J78" i="10"/>
  <c r="G78" i="10"/>
  <c r="D78" i="10"/>
  <c r="AB77" i="10"/>
  <c r="AA77" i="10"/>
  <c r="AA78" i="10" s="1"/>
  <c r="Z77" i="10"/>
  <c r="Z78" i="10" s="1"/>
  <c r="Z79" i="10" s="1"/>
  <c r="Z80" i="10" s="1"/>
  <c r="Z81" i="10" s="1"/>
  <c r="Z82" i="10" s="1"/>
  <c r="Z83" i="10" s="1"/>
  <c r="Z84" i="10" s="1"/>
  <c r="Z85" i="10" s="1"/>
  <c r="Z86" i="10" s="1"/>
  <c r="Z87" i="10" s="1"/>
  <c r="Y77" i="10"/>
  <c r="W77" i="10"/>
  <c r="W78" i="10" s="1"/>
  <c r="W79" i="10" s="1"/>
  <c r="W80" i="10" s="1"/>
  <c r="U77" i="10"/>
  <c r="T77" i="10"/>
  <c r="T78" i="10" s="1"/>
  <c r="T79" i="10" s="1"/>
  <c r="T80" i="10" s="1"/>
  <c r="T81" i="10" s="1"/>
  <c r="T82" i="10" s="1"/>
  <c r="T83" i="10" s="1"/>
  <c r="T84" i="10" s="1"/>
  <c r="T85" i="10" s="1"/>
  <c r="T86" i="10" s="1"/>
  <c r="T87" i="10" s="1"/>
  <c r="P77" i="10"/>
  <c r="O77" i="10"/>
  <c r="N77" i="10"/>
  <c r="M77" i="10"/>
  <c r="J77" i="10"/>
  <c r="G77" i="10"/>
  <c r="D77" i="10"/>
  <c r="AB76" i="10"/>
  <c r="AA76" i="10"/>
  <c r="Z76" i="10"/>
  <c r="Y76" i="10"/>
  <c r="X76" i="10"/>
  <c r="X77" i="10" s="1"/>
  <c r="X78" i="10" s="1"/>
  <c r="X79" i="10" s="1"/>
  <c r="W76" i="10"/>
  <c r="U76" i="10"/>
  <c r="V76" i="10" s="1"/>
  <c r="T76" i="10"/>
  <c r="R76" i="10"/>
  <c r="Q76" i="10"/>
  <c r="Q77" i="10" s="1"/>
  <c r="Q78" i="10" s="1"/>
  <c r="Q79" i="10" s="1"/>
  <c r="Q80" i="10" s="1"/>
  <c r="O76" i="10"/>
  <c r="P76" i="10" s="1"/>
  <c r="N76" i="10"/>
  <c r="M76" i="10"/>
  <c r="J76" i="10"/>
  <c r="G76" i="10"/>
  <c r="D76" i="10"/>
  <c r="O75" i="10"/>
  <c r="P75" i="10" s="1"/>
  <c r="N75" i="10"/>
  <c r="M75" i="10"/>
  <c r="J75" i="10"/>
  <c r="G75" i="10"/>
  <c r="D75" i="10"/>
  <c r="T74" i="10"/>
  <c r="T75" i="10" s="1"/>
  <c r="O74" i="10"/>
  <c r="N74" i="10"/>
  <c r="M74" i="10"/>
  <c r="J74" i="10"/>
  <c r="G74" i="10"/>
  <c r="D74" i="10"/>
  <c r="O73" i="10"/>
  <c r="P73" i="10" s="1"/>
  <c r="N73" i="10"/>
  <c r="M73" i="10"/>
  <c r="J73" i="10"/>
  <c r="G73" i="10"/>
  <c r="D73" i="10"/>
  <c r="P72" i="10"/>
  <c r="O72" i="10"/>
  <c r="N72" i="10"/>
  <c r="M72" i="10"/>
  <c r="J72" i="10"/>
  <c r="G72" i="10"/>
  <c r="D72" i="10"/>
  <c r="P71" i="10"/>
  <c r="O71" i="10"/>
  <c r="N71" i="10"/>
  <c r="M71" i="10"/>
  <c r="J71" i="10"/>
  <c r="G71" i="10"/>
  <c r="D71" i="10"/>
  <c r="O70" i="10"/>
  <c r="P70" i="10" s="1"/>
  <c r="N70" i="10"/>
  <c r="M70" i="10"/>
  <c r="J70" i="10"/>
  <c r="G70" i="10"/>
  <c r="D70" i="10"/>
  <c r="T69" i="10"/>
  <c r="T70" i="10" s="1"/>
  <c r="T71" i="10" s="1"/>
  <c r="T72" i="10" s="1"/>
  <c r="T73" i="10" s="1"/>
  <c r="P69" i="10"/>
  <c r="O69" i="10"/>
  <c r="N69" i="10"/>
  <c r="M69" i="10"/>
  <c r="J69" i="10"/>
  <c r="G69" i="10"/>
  <c r="D69" i="10"/>
  <c r="T68" i="10"/>
  <c r="P68" i="10"/>
  <c r="O68" i="10"/>
  <c r="N68" i="10"/>
  <c r="M68" i="10"/>
  <c r="J68" i="10"/>
  <c r="G68" i="10"/>
  <c r="D68" i="10"/>
  <c r="T67" i="10"/>
  <c r="O67" i="10"/>
  <c r="N67" i="10"/>
  <c r="P67" i="10" s="1"/>
  <c r="M67" i="10"/>
  <c r="J67" i="10"/>
  <c r="G67" i="10"/>
  <c r="D67" i="10"/>
  <c r="T66" i="10"/>
  <c r="R66" i="10"/>
  <c r="O66" i="10"/>
  <c r="P66" i="10" s="1"/>
  <c r="N66" i="10"/>
  <c r="M66" i="10"/>
  <c r="J66" i="10"/>
  <c r="G66" i="10"/>
  <c r="D66" i="10"/>
  <c r="AA65" i="10"/>
  <c r="Z65" i="10"/>
  <c r="Z66" i="10" s="1"/>
  <c r="Z67" i="10" s="1"/>
  <c r="Z68" i="10" s="1"/>
  <c r="Z69" i="10" s="1"/>
  <c r="Z70" i="10" s="1"/>
  <c r="Z71" i="10" s="1"/>
  <c r="Z72" i="10" s="1"/>
  <c r="Z73" i="10" s="1"/>
  <c r="Z74" i="10" s="1"/>
  <c r="Z75" i="10" s="1"/>
  <c r="X65" i="10"/>
  <c r="X66" i="10" s="1"/>
  <c r="T65" i="10"/>
  <c r="R65" i="10"/>
  <c r="O65" i="10"/>
  <c r="P65" i="10" s="1"/>
  <c r="N65" i="10"/>
  <c r="M65" i="10"/>
  <c r="J65" i="10"/>
  <c r="G65" i="10"/>
  <c r="D65" i="10"/>
  <c r="AA64" i="10"/>
  <c r="AB64" i="10" s="1"/>
  <c r="Z64" i="10"/>
  <c r="X64" i="10"/>
  <c r="W64" i="10"/>
  <c r="W65" i="10" s="1"/>
  <c r="W66" i="10" s="1"/>
  <c r="W67" i="10" s="1"/>
  <c r="W68" i="10" s="1"/>
  <c r="W69" i="10" s="1"/>
  <c r="W70" i="10" s="1"/>
  <c r="W71" i="10" s="1"/>
  <c r="W72" i="10" s="1"/>
  <c r="W73" i="10" s="1"/>
  <c r="W74" i="10" s="1"/>
  <c r="W75" i="10" s="1"/>
  <c r="U64" i="10"/>
  <c r="T64" i="10"/>
  <c r="S64" i="10"/>
  <c r="R64" i="10"/>
  <c r="Q64" i="10"/>
  <c r="Q65" i="10" s="1"/>
  <c r="O64" i="10"/>
  <c r="P64" i="10" s="1"/>
  <c r="N64" i="10"/>
  <c r="M64" i="10"/>
  <c r="J64" i="10"/>
  <c r="G64" i="10"/>
  <c r="D64" i="10"/>
  <c r="O63" i="10"/>
  <c r="N63" i="10"/>
  <c r="M63" i="10"/>
  <c r="J63" i="10"/>
  <c r="G63" i="10"/>
  <c r="D63" i="10"/>
  <c r="O62" i="10"/>
  <c r="P62" i="10" s="1"/>
  <c r="N62" i="10"/>
  <c r="M62" i="10"/>
  <c r="J62" i="10"/>
  <c r="G62" i="10"/>
  <c r="D62" i="10"/>
  <c r="P61" i="10"/>
  <c r="O61" i="10"/>
  <c r="N61" i="10"/>
  <c r="M61" i="10"/>
  <c r="J61" i="10"/>
  <c r="G61" i="10"/>
  <c r="D61" i="10"/>
  <c r="O60" i="10"/>
  <c r="P60" i="10" s="1"/>
  <c r="N60" i="10"/>
  <c r="M60" i="10"/>
  <c r="J60" i="10"/>
  <c r="G60" i="10"/>
  <c r="D60" i="10"/>
  <c r="O59" i="10"/>
  <c r="P59" i="10" s="1"/>
  <c r="N59" i="10"/>
  <c r="M59" i="10"/>
  <c r="J59" i="10"/>
  <c r="G59" i="10"/>
  <c r="D59" i="10"/>
  <c r="Z58" i="10"/>
  <c r="Z59" i="10" s="1"/>
  <c r="Z60" i="10" s="1"/>
  <c r="Z61" i="10" s="1"/>
  <c r="Z62" i="10" s="1"/>
  <c r="Z63" i="10" s="1"/>
  <c r="O58" i="10"/>
  <c r="P58" i="10" s="1"/>
  <c r="N58" i="10"/>
  <c r="M58" i="10"/>
  <c r="J58" i="10"/>
  <c r="G58" i="10"/>
  <c r="D58" i="10"/>
  <c r="O57" i="10"/>
  <c r="P57" i="10" s="1"/>
  <c r="N57" i="10"/>
  <c r="M57" i="10"/>
  <c r="J57" i="10"/>
  <c r="G57" i="10"/>
  <c r="D57" i="10"/>
  <c r="P56" i="10"/>
  <c r="O56" i="10"/>
  <c r="N56" i="10"/>
  <c r="M56" i="10"/>
  <c r="J56" i="10"/>
  <c r="G56" i="10"/>
  <c r="D56" i="10"/>
  <c r="P55" i="10"/>
  <c r="O55" i="10"/>
  <c r="N55" i="10"/>
  <c r="M55" i="10"/>
  <c r="J55" i="10"/>
  <c r="G55" i="10"/>
  <c r="D55" i="10"/>
  <c r="AA54" i="10"/>
  <c r="AA55" i="10" s="1"/>
  <c r="Z54" i="10"/>
  <c r="Z55" i="10" s="1"/>
  <c r="Z56" i="10" s="1"/>
  <c r="Z57" i="10" s="1"/>
  <c r="O54" i="10"/>
  <c r="N54" i="10"/>
  <c r="P54" i="10" s="1"/>
  <c r="M54" i="10"/>
  <c r="J54" i="10"/>
  <c r="G54" i="10"/>
  <c r="D54" i="10"/>
  <c r="AA53" i="10"/>
  <c r="Z53" i="10"/>
  <c r="AB53" i="10" s="1"/>
  <c r="Y53" i="10"/>
  <c r="X53" i="10"/>
  <c r="X54" i="10" s="1"/>
  <c r="X55" i="10" s="1"/>
  <c r="W53" i="10"/>
  <c r="W54" i="10" s="1"/>
  <c r="W55" i="10" s="1"/>
  <c r="W56" i="10" s="1"/>
  <c r="W57" i="10" s="1"/>
  <c r="W58" i="10" s="1"/>
  <c r="W59" i="10" s="1"/>
  <c r="W60" i="10" s="1"/>
  <c r="W61" i="10" s="1"/>
  <c r="W62" i="10" s="1"/>
  <c r="W63" i="10" s="1"/>
  <c r="V53" i="10"/>
  <c r="U53" i="10"/>
  <c r="U54" i="10" s="1"/>
  <c r="Q53" i="10"/>
  <c r="Q54" i="10" s="1"/>
  <c r="Q55" i="10" s="1"/>
  <c r="Q56" i="10" s="1"/>
  <c r="Q57" i="10" s="1"/>
  <c r="Q58" i="10" s="1"/>
  <c r="Q59" i="10" s="1"/>
  <c r="Q60" i="10" s="1"/>
  <c r="Q61" i="10" s="1"/>
  <c r="Q62" i="10" s="1"/>
  <c r="Q63" i="10" s="1"/>
  <c r="O53" i="10"/>
  <c r="P53" i="10" s="1"/>
  <c r="N53" i="10"/>
  <c r="M53" i="10"/>
  <c r="J53" i="10"/>
  <c r="G53" i="10"/>
  <c r="D53" i="10"/>
  <c r="AA52" i="10"/>
  <c r="Z52" i="10"/>
  <c r="Y52" i="10"/>
  <c r="X52" i="10"/>
  <c r="W52" i="10"/>
  <c r="V52" i="10"/>
  <c r="U52" i="10"/>
  <c r="T52" i="10"/>
  <c r="T53" i="10" s="1"/>
  <c r="T54" i="10" s="1"/>
  <c r="T55" i="10" s="1"/>
  <c r="T56" i="10" s="1"/>
  <c r="T57" i="10" s="1"/>
  <c r="T58" i="10" s="1"/>
  <c r="T59" i="10" s="1"/>
  <c r="T60" i="10" s="1"/>
  <c r="T61" i="10" s="1"/>
  <c r="T62" i="10" s="1"/>
  <c r="T63" i="10" s="1"/>
  <c r="S52" i="10"/>
  <c r="R52" i="10"/>
  <c r="R53" i="10" s="1"/>
  <c r="Q52" i="10"/>
  <c r="O52" i="10"/>
  <c r="P52" i="10" s="1"/>
  <c r="N52" i="10"/>
  <c r="M52" i="10"/>
  <c r="J52" i="10"/>
  <c r="G52" i="10"/>
  <c r="D52" i="10"/>
  <c r="O51" i="10"/>
  <c r="P51" i="10" s="1"/>
  <c r="N51" i="10"/>
  <c r="M51" i="10"/>
  <c r="J51" i="10"/>
  <c r="G51" i="10"/>
  <c r="D51" i="10"/>
  <c r="P50" i="10"/>
  <c r="O50" i="10"/>
  <c r="N50" i="10"/>
  <c r="M50" i="10"/>
  <c r="J50" i="10"/>
  <c r="G50" i="10"/>
  <c r="D50" i="10"/>
  <c r="T49" i="10"/>
  <c r="T50" i="10" s="1"/>
  <c r="T51" i="10" s="1"/>
  <c r="O49" i="10"/>
  <c r="N49" i="10"/>
  <c r="P49" i="10" s="1"/>
  <c r="M49" i="10"/>
  <c r="J49" i="10"/>
  <c r="G49" i="10"/>
  <c r="D49" i="10"/>
  <c r="O48" i="10"/>
  <c r="N48" i="10"/>
  <c r="P48" i="10" s="1"/>
  <c r="M48" i="10"/>
  <c r="J48" i="10"/>
  <c r="G48" i="10"/>
  <c r="D48" i="10"/>
  <c r="O47" i="10"/>
  <c r="N47" i="10"/>
  <c r="P47" i="10" s="1"/>
  <c r="M47" i="10"/>
  <c r="J47" i="10"/>
  <c r="G47" i="10"/>
  <c r="D47" i="10"/>
  <c r="O46" i="10"/>
  <c r="P46" i="10" s="1"/>
  <c r="N46" i="10"/>
  <c r="M46" i="10"/>
  <c r="J46" i="10"/>
  <c r="G46" i="10"/>
  <c r="D46" i="10"/>
  <c r="O45" i="10"/>
  <c r="P45" i="10" s="1"/>
  <c r="N45" i="10"/>
  <c r="M45" i="10"/>
  <c r="J45" i="10"/>
  <c r="G45" i="10"/>
  <c r="D45" i="10"/>
  <c r="O44" i="10"/>
  <c r="N44" i="10"/>
  <c r="P44" i="10" s="1"/>
  <c r="M44" i="10"/>
  <c r="J44" i="10"/>
  <c r="G44" i="10"/>
  <c r="D44" i="10"/>
  <c r="O43" i="10"/>
  <c r="N43" i="10"/>
  <c r="P43" i="10" s="1"/>
  <c r="M43" i="10"/>
  <c r="J43" i="10"/>
  <c r="G43" i="10"/>
  <c r="D43" i="10"/>
  <c r="O42" i="10"/>
  <c r="P42" i="10" s="1"/>
  <c r="N42" i="10"/>
  <c r="M42" i="10"/>
  <c r="J42" i="10"/>
  <c r="G42" i="10"/>
  <c r="D42" i="10"/>
  <c r="AA41" i="10"/>
  <c r="Z41" i="10"/>
  <c r="Z42" i="10" s="1"/>
  <c r="Z43" i="10" s="1"/>
  <c r="Z44" i="10" s="1"/>
  <c r="Z45" i="10" s="1"/>
  <c r="Z46" i="10" s="1"/>
  <c r="Z47" i="10" s="1"/>
  <c r="Z48" i="10" s="1"/>
  <c r="Z49" i="10" s="1"/>
  <c r="Z50" i="10" s="1"/>
  <c r="Z51" i="10" s="1"/>
  <c r="X41" i="10"/>
  <c r="W41" i="10"/>
  <c r="W42" i="10" s="1"/>
  <c r="W43" i="10" s="1"/>
  <c r="W44" i="10" s="1"/>
  <c r="W45" i="10" s="1"/>
  <c r="W46" i="10" s="1"/>
  <c r="W47" i="10" s="1"/>
  <c r="W48" i="10" s="1"/>
  <c r="W49" i="10" s="1"/>
  <c r="W50" i="10" s="1"/>
  <c r="W51" i="10" s="1"/>
  <c r="U41" i="10"/>
  <c r="U42" i="10" s="1"/>
  <c r="O41" i="10"/>
  <c r="P41" i="10" s="1"/>
  <c r="N41" i="10"/>
  <c r="M41" i="10"/>
  <c r="J41" i="10"/>
  <c r="G41" i="10"/>
  <c r="D41" i="10"/>
  <c r="AB40" i="10"/>
  <c r="AA40" i="10"/>
  <c r="Z40" i="10"/>
  <c r="X40" i="10"/>
  <c r="W40" i="10"/>
  <c r="Y40" i="10" s="1"/>
  <c r="U40" i="10"/>
  <c r="T40" i="10"/>
  <c r="T41" i="10" s="1"/>
  <c r="T42" i="10" s="1"/>
  <c r="T43" i="10" s="1"/>
  <c r="T44" i="10" s="1"/>
  <c r="T45" i="10" s="1"/>
  <c r="T46" i="10" s="1"/>
  <c r="T47" i="10" s="1"/>
  <c r="T48" i="10" s="1"/>
  <c r="R40" i="10"/>
  <c r="R41" i="10" s="1"/>
  <c r="Q40" i="10"/>
  <c r="Q41" i="10" s="1"/>
  <c r="Q42" i="10" s="1"/>
  <c r="Q43" i="10" s="1"/>
  <c r="Q44" i="10" s="1"/>
  <c r="Q45" i="10" s="1"/>
  <c r="Q46" i="10" s="1"/>
  <c r="Q47" i="10" s="1"/>
  <c r="Q48" i="10" s="1"/>
  <c r="Q49" i="10" s="1"/>
  <c r="Q50" i="10" s="1"/>
  <c r="Q51" i="10" s="1"/>
  <c r="O40" i="10"/>
  <c r="P40" i="10" s="1"/>
  <c r="N40" i="10"/>
  <c r="M40" i="10"/>
  <c r="J40" i="10"/>
  <c r="G40" i="10"/>
  <c r="D40" i="10"/>
  <c r="O39" i="10"/>
  <c r="P39" i="10" s="1"/>
  <c r="N39" i="10"/>
  <c r="M39" i="10"/>
  <c r="J39" i="10"/>
  <c r="G39" i="10"/>
  <c r="D39" i="10"/>
  <c r="O38" i="10"/>
  <c r="N38" i="10"/>
  <c r="P38" i="10" s="1"/>
  <c r="M38" i="10"/>
  <c r="J38" i="10"/>
  <c r="G38" i="10"/>
  <c r="D38" i="10"/>
  <c r="O37" i="10"/>
  <c r="P37" i="10" s="1"/>
  <c r="N37" i="10"/>
  <c r="M37" i="10"/>
  <c r="J37" i="10"/>
  <c r="G37" i="10"/>
  <c r="D37" i="10"/>
  <c r="O36" i="10"/>
  <c r="N36" i="10"/>
  <c r="P36" i="10" s="1"/>
  <c r="M36" i="10"/>
  <c r="J36" i="10"/>
  <c r="G36" i="10"/>
  <c r="D36" i="10"/>
  <c r="O35" i="10"/>
  <c r="P35" i="10" s="1"/>
  <c r="N35" i="10"/>
  <c r="M35" i="10"/>
  <c r="J35" i="10"/>
  <c r="G35" i="10"/>
  <c r="D35" i="10"/>
  <c r="O34" i="10"/>
  <c r="P34" i="10" s="1"/>
  <c r="N34" i="10"/>
  <c r="M34" i="10"/>
  <c r="J34" i="10"/>
  <c r="G34" i="10"/>
  <c r="D34" i="10"/>
  <c r="O33" i="10"/>
  <c r="N33" i="10"/>
  <c r="P33" i="10" s="1"/>
  <c r="M33" i="10"/>
  <c r="J33" i="10"/>
  <c r="G33" i="10"/>
  <c r="D33" i="10"/>
  <c r="O32" i="10"/>
  <c r="N32" i="10"/>
  <c r="P32" i="10" s="1"/>
  <c r="M32" i="10"/>
  <c r="J32" i="10"/>
  <c r="G32" i="10"/>
  <c r="D32" i="10"/>
  <c r="X31" i="10"/>
  <c r="X32" i="10" s="1"/>
  <c r="O31" i="10"/>
  <c r="P31" i="10" s="1"/>
  <c r="N31" i="10"/>
  <c r="M31" i="10"/>
  <c r="J31" i="10"/>
  <c r="G31" i="10"/>
  <c r="D31" i="10"/>
  <c r="X30" i="10"/>
  <c r="U30" i="10"/>
  <c r="U31" i="10" s="1"/>
  <c r="T30" i="10"/>
  <c r="T31" i="10" s="1"/>
  <c r="T32" i="10" s="1"/>
  <c r="T33" i="10" s="1"/>
  <c r="T34" i="10" s="1"/>
  <c r="T35" i="10" s="1"/>
  <c r="T36" i="10" s="1"/>
  <c r="T37" i="10" s="1"/>
  <c r="T38" i="10" s="1"/>
  <c r="T39" i="10" s="1"/>
  <c r="O30" i="10"/>
  <c r="P30" i="10" s="1"/>
  <c r="N30" i="10"/>
  <c r="M30" i="10"/>
  <c r="J30" i="10"/>
  <c r="G30" i="10"/>
  <c r="D30" i="10"/>
  <c r="AA29" i="10"/>
  <c r="AA30" i="10" s="1"/>
  <c r="X29" i="10"/>
  <c r="T29" i="10"/>
  <c r="R29" i="10"/>
  <c r="R30" i="10" s="1"/>
  <c r="R31" i="10" s="1"/>
  <c r="O29" i="10"/>
  <c r="P29" i="10" s="1"/>
  <c r="N29" i="10"/>
  <c r="M29" i="10"/>
  <c r="J29" i="10"/>
  <c r="G29" i="10"/>
  <c r="D29" i="10"/>
  <c r="AA28" i="10"/>
  <c r="Z28" i="10"/>
  <c r="X28" i="10"/>
  <c r="W28" i="10"/>
  <c r="W29" i="10" s="1"/>
  <c r="W30" i="10" s="1"/>
  <c r="V28" i="10"/>
  <c r="U28" i="10"/>
  <c r="U29" i="10" s="1"/>
  <c r="V29" i="10" s="1"/>
  <c r="T28" i="10"/>
  <c r="R28" i="10"/>
  <c r="Q28" i="10"/>
  <c r="S28" i="10" s="1"/>
  <c r="P28" i="10"/>
  <c r="O28" i="10"/>
  <c r="N28" i="10"/>
  <c r="M28" i="10"/>
  <c r="J28" i="10"/>
  <c r="G28" i="10"/>
  <c r="D28" i="10"/>
  <c r="O27" i="10"/>
  <c r="N27" i="10"/>
  <c r="P27" i="10" s="1"/>
  <c r="M27" i="10"/>
  <c r="J27" i="10"/>
  <c r="G27" i="10"/>
  <c r="D27" i="10"/>
  <c r="O26" i="10"/>
  <c r="N26" i="10"/>
  <c r="P26" i="10" s="1"/>
  <c r="M26" i="10"/>
  <c r="J26" i="10"/>
  <c r="G26" i="10"/>
  <c r="D26" i="10"/>
  <c r="O25" i="10"/>
  <c r="N25" i="10"/>
  <c r="P25" i="10" s="1"/>
  <c r="M25" i="10"/>
  <c r="J25" i="10"/>
  <c r="G25" i="10"/>
  <c r="D25" i="10"/>
  <c r="O24" i="10"/>
  <c r="N24" i="10"/>
  <c r="M24" i="10"/>
  <c r="J24" i="10"/>
  <c r="G24" i="10"/>
  <c r="D24" i="10"/>
  <c r="P23" i="10"/>
  <c r="O23" i="10"/>
  <c r="N23" i="10"/>
  <c r="M23" i="10"/>
  <c r="J23" i="10"/>
  <c r="G23" i="10"/>
  <c r="D23" i="10"/>
  <c r="O22" i="10"/>
  <c r="N22" i="10"/>
  <c r="P22" i="10" s="1"/>
  <c r="M22" i="10"/>
  <c r="J22" i="10"/>
  <c r="G22" i="10"/>
  <c r="D22" i="10"/>
  <c r="Z21" i="10"/>
  <c r="Z22" i="10" s="1"/>
  <c r="Z23" i="10" s="1"/>
  <c r="Z24" i="10" s="1"/>
  <c r="Z25" i="10" s="1"/>
  <c r="Z26" i="10" s="1"/>
  <c r="Z27" i="10" s="1"/>
  <c r="O21" i="10"/>
  <c r="N21" i="10"/>
  <c r="P21" i="10" s="1"/>
  <c r="M21" i="10"/>
  <c r="J21" i="10"/>
  <c r="G21" i="10"/>
  <c r="D21" i="10"/>
  <c r="O20" i="10"/>
  <c r="P20" i="10" s="1"/>
  <c r="N20" i="10"/>
  <c r="M20" i="10"/>
  <c r="J20" i="10"/>
  <c r="G20" i="10"/>
  <c r="D20" i="10"/>
  <c r="AA19" i="10"/>
  <c r="Z19" i="10"/>
  <c r="Z20" i="10" s="1"/>
  <c r="O19" i="10"/>
  <c r="P19" i="10" s="1"/>
  <c r="N19" i="10"/>
  <c r="M19" i="10"/>
  <c r="J19" i="10"/>
  <c r="G19" i="10"/>
  <c r="D19" i="10"/>
  <c r="AB18" i="10"/>
  <c r="AA18" i="10"/>
  <c r="T18" i="10"/>
  <c r="T19" i="10" s="1"/>
  <c r="T20" i="10" s="1"/>
  <c r="T21" i="10" s="1"/>
  <c r="T22" i="10" s="1"/>
  <c r="T23" i="10" s="1"/>
  <c r="T24" i="10" s="1"/>
  <c r="T25" i="10" s="1"/>
  <c r="T26" i="10" s="1"/>
  <c r="T27" i="10" s="1"/>
  <c r="R18" i="10"/>
  <c r="R19" i="10" s="1"/>
  <c r="Q18" i="10"/>
  <c r="O18" i="10"/>
  <c r="P18" i="10" s="1"/>
  <c r="N18" i="10"/>
  <c r="M18" i="10"/>
  <c r="J18" i="10"/>
  <c r="G18" i="10"/>
  <c r="D18" i="10"/>
  <c r="Z17" i="10"/>
  <c r="Z18" i="10" s="1"/>
  <c r="U17" i="10"/>
  <c r="T17" i="10"/>
  <c r="R17" i="10"/>
  <c r="Q17" i="10"/>
  <c r="O17" i="10"/>
  <c r="P17" i="10" s="1"/>
  <c r="N17" i="10"/>
  <c r="M17" i="10"/>
  <c r="J17" i="10"/>
  <c r="G17" i="10"/>
  <c r="D17" i="10"/>
  <c r="AA16" i="10"/>
  <c r="AA17" i="10" s="1"/>
  <c r="Z16" i="10"/>
  <c r="AB16" i="10" s="1"/>
  <c r="X16" i="10"/>
  <c r="W16" i="10"/>
  <c r="W17" i="10" s="1"/>
  <c r="W18" i="10" s="1"/>
  <c r="W19" i="10" s="1"/>
  <c r="W20" i="10" s="1"/>
  <c r="W21" i="10" s="1"/>
  <c r="W22" i="10" s="1"/>
  <c r="W23" i="10" s="1"/>
  <c r="W24" i="10" s="1"/>
  <c r="W25" i="10" s="1"/>
  <c r="W26" i="10" s="1"/>
  <c r="W27" i="10" s="1"/>
  <c r="U16" i="10"/>
  <c r="V16" i="10" s="1"/>
  <c r="T16" i="10"/>
  <c r="R16" i="10"/>
  <c r="S16" i="10" s="1"/>
  <c r="Q16" i="10"/>
  <c r="O16" i="10"/>
  <c r="N16" i="10"/>
  <c r="M16" i="10"/>
  <c r="J16" i="10"/>
  <c r="G16" i="10"/>
  <c r="D16" i="10"/>
  <c r="P15" i="10"/>
  <c r="O15" i="10"/>
  <c r="N15" i="10"/>
  <c r="M15" i="10"/>
  <c r="J15" i="10"/>
  <c r="G15" i="10"/>
  <c r="D15" i="10"/>
  <c r="O14" i="10"/>
  <c r="N14" i="10"/>
  <c r="M14" i="10"/>
  <c r="J14" i="10"/>
  <c r="G14" i="10"/>
  <c r="D14" i="10"/>
  <c r="O13" i="10"/>
  <c r="N13" i="10"/>
  <c r="M13" i="10"/>
  <c r="J13" i="10"/>
  <c r="G13" i="10"/>
  <c r="D13" i="10"/>
  <c r="O12" i="10"/>
  <c r="P12" i="10" s="1"/>
  <c r="N12" i="10"/>
  <c r="M12" i="10"/>
  <c r="J12" i="10"/>
  <c r="G12" i="10"/>
  <c r="D12" i="10"/>
  <c r="O11" i="10"/>
  <c r="N11" i="10"/>
  <c r="P11" i="10" s="1"/>
  <c r="M11" i="10"/>
  <c r="J11" i="10"/>
  <c r="G11" i="10"/>
  <c r="D11" i="10"/>
  <c r="O10" i="10"/>
  <c r="N10" i="10"/>
  <c r="P10" i="10" s="1"/>
  <c r="M10" i="10"/>
  <c r="J10" i="10"/>
  <c r="G10" i="10"/>
  <c r="D10" i="10"/>
  <c r="W9" i="10"/>
  <c r="W10" i="10" s="1"/>
  <c r="W11" i="10" s="1"/>
  <c r="W12" i="10" s="1"/>
  <c r="W13" i="10" s="1"/>
  <c r="W14" i="10" s="1"/>
  <c r="W15" i="10" s="1"/>
  <c r="O9" i="10"/>
  <c r="P9" i="10" s="1"/>
  <c r="N9" i="10"/>
  <c r="M9" i="10"/>
  <c r="J9" i="10"/>
  <c r="G9" i="10"/>
  <c r="D9" i="10"/>
  <c r="O8" i="10"/>
  <c r="P8" i="10" s="1"/>
  <c r="N8" i="10"/>
  <c r="M8" i="10"/>
  <c r="J8" i="10"/>
  <c r="G8" i="10"/>
  <c r="D8" i="10"/>
  <c r="O7" i="10"/>
  <c r="P7" i="10" s="1"/>
  <c r="N7" i="10"/>
  <c r="M7" i="10"/>
  <c r="J7" i="10"/>
  <c r="G7" i="10"/>
  <c r="D7" i="10"/>
  <c r="Z6" i="10"/>
  <c r="Z7" i="10" s="1"/>
  <c r="Z8" i="10" s="1"/>
  <c r="Z9" i="10" s="1"/>
  <c r="Z10" i="10" s="1"/>
  <c r="Z11" i="10" s="1"/>
  <c r="Z12" i="10" s="1"/>
  <c r="Z13" i="10" s="1"/>
  <c r="Z14" i="10" s="1"/>
  <c r="Z15" i="10" s="1"/>
  <c r="O6" i="10"/>
  <c r="P6" i="10" s="1"/>
  <c r="N6" i="10"/>
  <c r="M6" i="10"/>
  <c r="J6" i="10"/>
  <c r="G6" i="10"/>
  <c r="D6" i="10"/>
  <c r="AA5" i="10"/>
  <c r="AA6" i="10" s="1"/>
  <c r="Z5" i="10"/>
  <c r="AB5" i="10" s="1"/>
  <c r="X5" i="10"/>
  <c r="W5" i="10"/>
  <c r="W6" i="10" s="1"/>
  <c r="W7" i="10" s="1"/>
  <c r="W8" i="10" s="1"/>
  <c r="U5" i="10"/>
  <c r="T5" i="10"/>
  <c r="T6" i="10" s="1"/>
  <c r="T7" i="10" s="1"/>
  <c r="T8" i="10" s="1"/>
  <c r="T9" i="10" s="1"/>
  <c r="T10" i="10" s="1"/>
  <c r="T11" i="10" s="1"/>
  <c r="T12" i="10" s="1"/>
  <c r="T13" i="10" s="1"/>
  <c r="T14" i="10" s="1"/>
  <c r="T15" i="10" s="1"/>
  <c r="R5" i="10"/>
  <c r="R6" i="10" s="1"/>
  <c r="S6" i="10" s="1"/>
  <c r="Q5" i="10"/>
  <c r="Q6" i="10" s="1"/>
  <c r="Q7" i="10" s="1"/>
  <c r="Q8" i="10" s="1"/>
  <c r="Q9" i="10" s="1"/>
  <c r="Q10" i="10" s="1"/>
  <c r="Q11" i="10" s="1"/>
  <c r="Q12" i="10" s="1"/>
  <c r="Q13" i="10" s="1"/>
  <c r="Q14" i="10" s="1"/>
  <c r="Q15" i="10" s="1"/>
  <c r="O5" i="10"/>
  <c r="P5" i="10" s="1"/>
  <c r="N5" i="10"/>
  <c r="M5" i="10"/>
  <c r="J5" i="10"/>
  <c r="G5" i="10"/>
  <c r="D5" i="10"/>
  <c r="AA4" i="10"/>
  <c r="AB4" i="10" s="1"/>
  <c r="Z4" i="10"/>
  <c r="X4" i="10"/>
  <c r="Y4" i="10" s="1"/>
  <c r="W4" i="10"/>
  <c r="V4" i="10"/>
  <c r="U4" i="10"/>
  <c r="T4" i="10"/>
  <c r="R4" i="10"/>
  <c r="Q4" i="10"/>
  <c r="S4" i="10" s="1"/>
  <c r="O4" i="10"/>
  <c r="P4" i="10" s="1"/>
  <c r="N4" i="10"/>
  <c r="M4" i="10"/>
  <c r="J4" i="10"/>
  <c r="G4" i="10"/>
  <c r="D4" i="10"/>
  <c r="N229" i="9"/>
  <c r="N14" i="9" s="1"/>
  <c r="B229" i="9"/>
  <c r="AG228" i="9"/>
  <c r="AG196" i="9" s="1"/>
  <c r="AF228" i="9"/>
  <c r="AE228" i="9"/>
  <c r="AD228" i="9"/>
  <c r="AD196" i="9" s="1"/>
  <c r="AC228" i="9"/>
  <c r="AB228" i="9"/>
  <c r="AA228" i="9"/>
  <c r="Z228" i="9"/>
  <c r="Y228" i="9"/>
  <c r="X228" i="9"/>
  <c r="W228" i="9"/>
  <c r="V228" i="9"/>
  <c r="U228" i="9"/>
  <c r="T228" i="9"/>
  <c r="S228" i="9"/>
  <c r="R228" i="9"/>
  <c r="Q228" i="9"/>
  <c r="O228" i="9"/>
  <c r="N228" i="9"/>
  <c r="M228" i="9"/>
  <c r="L228" i="9"/>
  <c r="K228" i="9"/>
  <c r="K196" i="9" s="1"/>
  <c r="J228" i="9"/>
  <c r="I228" i="9"/>
  <c r="H228" i="9"/>
  <c r="H196" i="9" s="1"/>
  <c r="G228" i="9"/>
  <c r="F228" i="9"/>
  <c r="E228" i="9"/>
  <c r="D228" i="9"/>
  <c r="C228" i="9"/>
  <c r="B228" i="9"/>
  <c r="AG227" i="9"/>
  <c r="AF227" i="9"/>
  <c r="AE227" i="9"/>
  <c r="AD227" i="9"/>
  <c r="AC227" i="9"/>
  <c r="AB227" i="9"/>
  <c r="AA227" i="9"/>
  <c r="Z227" i="9"/>
  <c r="Y227" i="9"/>
  <c r="X227" i="9"/>
  <c r="W227" i="9"/>
  <c r="V227" i="9"/>
  <c r="U227" i="9"/>
  <c r="U195" i="9" s="1"/>
  <c r="T227" i="9"/>
  <c r="S227" i="9"/>
  <c r="R227" i="9"/>
  <c r="Q227" i="9"/>
  <c r="P227" i="9"/>
  <c r="O227" i="9"/>
  <c r="N227" i="9"/>
  <c r="M227" i="9"/>
  <c r="L227" i="9"/>
  <c r="K227" i="9"/>
  <c r="J227" i="9"/>
  <c r="I227" i="9"/>
  <c r="H227" i="9"/>
  <c r="G227" i="9"/>
  <c r="F227" i="9"/>
  <c r="E227" i="9"/>
  <c r="D227" i="9"/>
  <c r="C227" i="9"/>
  <c r="B227" i="9"/>
  <c r="AG226" i="9"/>
  <c r="AF226" i="9"/>
  <c r="AE226" i="9"/>
  <c r="AE194" i="9" s="1"/>
  <c r="AD226" i="9"/>
  <c r="AC226" i="9"/>
  <c r="AB226" i="9"/>
  <c r="AA226" i="9"/>
  <c r="Z226" i="9"/>
  <c r="Y226" i="9"/>
  <c r="X226" i="9"/>
  <c r="W226" i="9"/>
  <c r="V226" i="9"/>
  <c r="U226" i="9"/>
  <c r="T226" i="9"/>
  <c r="S226" i="9"/>
  <c r="R226" i="9"/>
  <c r="Q226" i="9"/>
  <c r="P226" i="9"/>
  <c r="O226" i="9"/>
  <c r="N226" i="9"/>
  <c r="M226" i="9"/>
  <c r="L226" i="9"/>
  <c r="K226" i="9"/>
  <c r="J226" i="9"/>
  <c r="I226" i="9"/>
  <c r="I194" i="9" s="1"/>
  <c r="H226" i="9"/>
  <c r="G226" i="9"/>
  <c r="F226" i="9"/>
  <c r="F194" i="9" s="1"/>
  <c r="E226" i="9"/>
  <c r="D226" i="9"/>
  <c r="C226" i="9"/>
  <c r="B226" i="9"/>
  <c r="AG225" i="9"/>
  <c r="AF225" i="9"/>
  <c r="AE225" i="9"/>
  <c r="AD225" i="9"/>
  <c r="AC225" i="9"/>
  <c r="AB225" i="9"/>
  <c r="AA225" i="9"/>
  <c r="Z225" i="9"/>
  <c r="Y225" i="9"/>
  <c r="X225" i="9"/>
  <c r="W225" i="9"/>
  <c r="V225" i="9"/>
  <c r="U225" i="9"/>
  <c r="T225" i="9"/>
  <c r="S225" i="9"/>
  <c r="S193" i="9" s="1"/>
  <c r="R225" i="9"/>
  <c r="Q225" i="9"/>
  <c r="P225" i="9"/>
  <c r="O225" i="9"/>
  <c r="N225" i="9"/>
  <c r="M225" i="9"/>
  <c r="L225" i="9"/>
  <c r="K225" i="9"/>
  <c r="J225" i="9"/>
  <c r="I225" i="9"/>
  <c r="H225" i="9"/>
  <c r="G225" i="9"/>
  <c r="F225" i="9"/>
  <c r="E225" i="9"/>
  <c r="D225" i="9"/>
  <c r="C225" i="9"/>
  <c r="B225" i="9"/>
  <c r="AG224" i="9"/>
  <c r="AF224" i="9"/>
  <c r="AE224" i="9"/>
  <c r="AD224" i="9"/>
  <c r="AC224" i="9"/>
  <c r="AC192" i="9" s="1"/>
  <c r="AB224" i="9"/>
  <c r="AA224" i="9"/>
  <c r="Z224" i="9"/>
  <c r="Z192" i="9" s="1"/>
  <c r="Y224" i="9"/>
  <c r="X224" i="9"/>
  <c r="W224" i="9"/>
  <c r="V224" i="9"/>
  <c r="U224" i="9"/>
  <c r="T224" i="9"/>
  <c r="S224" i="9"/>
  <c r="R224" i="9"/>
  <c r="Q224" i="9"/>
  <c r="P224" i="9"/>
  <c r="O224" i="9"/>
  <c r="N224" i="9"/>
  <c r="M224" i="9"/>
  <c r="L224" i="9"/>
  <c r="K224" i="9"/>
  <c r="J224" i="9"/>
  <c r="I224" i="9"/>
  <c r="H224" i="9"/>
  <c r="G224" i="9"/>
  <c r="G192" i="9" s="1"/>
  <c r="F224" i="9"/>
  <c r="E224" i="9"/>
  <c r="D224" i="9"/>
  <c r="D192" i="9" s="1"/>
  <c r="C224" i="9"/>
  <c r="B224" i="9"/>
  <c r="AG223" i="9"/>
  <c r="AF223" i="9"/>
  <c r="AE223" i="9"/>
  <c r="AD223" i="9"/>
  <c r="AC223" i="9"/>
  <c r="AB223" i="9"/>
  <c r="AA223" i="9"/>
  <c r="Z223" i="9"/>
  <c r="Y223" i="9"/>
  <c r="X223" i="9"/>
  <c r="W223" i="9"/>
  <c r="V223" i="9"/>
  <c r="U223" i="9"/>
  <c r="T223" i="9"/>
  <c r="S223" i="9"/>
  <c r="R223" i="9"/>
  <c r="Q223" i="9"/>
  <c r="Q191" i="9" s="1"/>
  <c r="P223" i="9"/>
  <c r="O223" i="9"/>
  <c r="N223" i="9"/>
  <c r="M223" i="9"/>
  <c r="L223" i="9"/>
  <c r="K223" i="9"/>
  <c r="J223" i="9"/>
  <c r="I223" i="9"/>
  <c r="H223" i="9"/>
  <c r="G223" i="9"/>
  <c r="F223" i="9"/>
  <c r="E223" i="9"/>
  <c r="D223" i="9"/>
  <c r="C223" i="9"/>
  <c r="B223" i="9"/>
  <c r="AG222" i="9"/>
  <c r="AF222" i="9"/>
  <c r="AE222" i="9"/>
  <c r="AD222" i="9"/>
  <c r="AC222" i="9"/>
  <c r="AB222" i="9"/>
  <c r="AA222" i="9"/>
  <c r="AA190" i="9" s="1"/>
  <c r="Z222" i="9"/>
  <c r="Y222" i="9"/>
  <c r="X222" i="9"/>
  <c r="X190" i="9" s="1"/>
  <c r="W222" i="9"/>
  <c r="V222" i="9"/>
  <c r="U222" i="9"/>
  <c r="T222" i="9"/>
  <c r="S222" i="9"/>
  <c r="R222" i="9"/>
  <c r="Q222" i="9"/>
  <c r="P222" i="9"/>
  <c r="O222" i="9"/>
  <c r="N222" i="9"/>
  <c r="M222" i="9"/>
  <c r="L222" i="9"/>
  <c r="K222" i="9"/>
  <c r="J222" i="9"/>
  <c r="I222" i="9"/>
  <c r="H222" i="9"/>
  <c r="G222" i="9"/>
  <c r="F222" i="9"/>
  <c r="E222" i="9"/>
  <c r="E190" i="9" s="1"/>
  <c r="D222" i="9"/>
  <c r="C222" i="9"/>
  <c r="B222" i="9"/>
  <c r="AG221" i="9"/>
  <c r="AF221" i="9"/>
  <c r="AE221" i="9"/>
  <c r="AD221" i="9"/>
  <c r="AC221" i="9"/>
  <c r="AB221" i="9"/>
  <c r="AA221" i="9"/>
  <c r="Z221" i="9"/>
  <c r="Y221" i="9"/>
  <c r="X221" i="9"/>
  <c r="W221" i="9"/>
  <c r="V221" i="9"/>
  <c r="U221" i="9"/>
  <c r="T221" i="9"/>
  <c r="S221" i="9"/>
  <c r="R221" i="9"/>
  <c r="Q221" i="9"/>
  <c r="P221" i="9"/>
  <c r="O221" i="9"/>
  <c r="O189" i="9" s="1"/>
  <c r="N221" i="9"/>
  <c r="M221" i="9"/>
  <c r="L221" i="9"/>
  <c r="L189" i="9" s="1"/>
  <c r="K221" i="9"/>
  <c r="J221" i="9"/>
  <c r="I221" i="9"/>
  <c r="H221" i="9"/>
  <c r="G221" i="9"/>
  <c r="F221" i="9"/>
  <c r="E221" i="9"/>
  <c r="D221" i="9"/>
  <c r="C221" i="9"/>
  <c r="B221" i="9"/>
  <c r="AG220" i="9"/>
  <c r="AF220" i="9"/>
  <c r="AE220" i="9"/>
  <c r="AD220" i="9"/>
  <c r="AC220" i="9"/>
  <c r="AB220" i="9"/>
  <c r="AA220" i="9"/>
  <c r="Z220" i="9"/>
  <c r="Y220" i="9"/>
  <c r="Y188" i="9" s="1"/>
  <c r="X220" i="9"/>
  <c r="W220" i="9"/>
  <c r="V220" i="9"/>
  <c r="V188" i="9" s="1"/>
  <c r="U220" i="9"/>
  <c r="T220" i="9"/>
  <c r="S220" i="9"/>
  <c r="R220" i="9"/>
  <c r="Q220" i="9"/>
  <c r="P220" i="9"/>
  <c r="O220" i="9"/>
  <c r="N220" i="9"/>
  <c r="M220" i="9"/>
  <c r="L220" i="9"/>
  <c r="K220" i="9"/>
  <c r="J220" i="9"/>
  <c r="I220" i="9"/>
  <c r="H220" i="9"/>
  <c r="G220" i="9"/>
  <c r="F220" i="9"/>
  <c r="E220" i="9"/>
  <c r="D220" i="9"/>
  <c r="C220" i="9"/>
  <c r="C188" i="9" s="1"/>
  <c r="B220" i="9"/>
  <c r="AG219" i="9"/>
  <c r="AF219" i="9"/>
  <c r="AE219" i="9"/>
  <c r="AD219" i="9"/>
  <c r="AC219" i="9"/>
  <c r="AB219" i="9"/>
  <c r="AA219" i="9"/>
  <c r="Z219" i="9"/>
  <c r="Y219" i="9"/>
  <c r="X219" i="9"/>
  <c r="W219" i="9"/>
  <c r="V219" i="9"/>
  <c r="U219" i="9"/>
  <c r="T219" i="9"/>
  <c r="S219" i="9"/>
  <c r="R219" i="9"/>
  <c r="Q219" i="9"/>
  <c r="P219" i="9"/>
  <c r="O219" i="9"/>
  <c r="N219" i="9"/>
  <c r="M219" i="9"/>
  <c r="L219" i="9"/>
  <c r="K219" i="9"/>
  <c r="J219" i="9"/>
  <c r="I219" i="9"/>
  <c r="H219" i="9"/>
  <c r="G219" i="9"/>
  <c r="F219" i="9"/>
  <c r="E219" i="9"/>
  <c r="D219" i="9"/>
  <c r="C219" i="9"/>
  <c r="B219" i="9"/>
  <c r="AG218" i="9"/>
  <c r="AF218" i="9"/>
  <c r="AE218" i="9"/>
  <c r="AD218" i="9"/>
  <c r="AC218" i="9"/>
  <c r="AB218" i="9"/>
  <c r="AA218" i="9"/>
  <c r="Z218" i="9"/>
  <c r="Y218" i="9"/>
  <c r="X218" i="9"/>
  <c r="W218" i="9"/>
  <c r="V218" i="9"/>
  <c r="V229" i="9" s="1"/>
  <c r="V14" i="9" s="1"/>
  <c r="U218" i="9"/>
  <c r="U229" i="9" s="1"/>
  <c r="U14" i="9" s="1"/>
  <c r="T218" i="9"/>
  <c r="S218" i="9"/>
  <c r="R218" i="9"/>
  <c r="R229" i="9" s="1"/>
  <c r="R14" i="9" s="1"/>
  <c r="P218" i="9"/>
  <c r="P229" i="9" s="1"/>
  <c r="P14" i="9" s="1"/>
  <c r="O218" i="9"/>
  <c r="N218" i="9"/>
  <c r="M218" i="9"/>
  <c r="L218" i="9"/>
  <c r="K218" i="9"/>
  <c r="J218" i="9"/>
  <c r="I218" i="9"/>
  <c r="H218" i="9"/>
  <c r="G218" i="9"/>
  <c r="F218" i="9"/>
  <c r="E218" i="9"/>
  <c r="D218" i="9"/>
  <c r="C218" i="9"/>
  <c r="B218" i="9"/>
  <c r="AG217" i="9"/>
  <c r="AF217" i="9"/>
  <c r="AF229" i="9" s="1"/>
  <c r="AF14" i="9" s="1"/>
  <c r="AE217" i="9"/>
  <c r="AD217" i="9"/>
  <c r="AC217" i="9"/>
  <c r="AB217" i="9"/>
  <c r="AB229" i="9" s="1"/>
  <c r="AB14" i="9" s="1"/>
  <c r="AA217" i="9"/>
  <c r="Z217" i="9"/>
  <c r="Z229" i="9" s="1"/>
  <c r="Z14" i="9" s="1"/>
  <c r="Y217" i="9"/>
  <c r="X217" i="9"/>
  <c r="W217" i="9"/>
  <c r="V217" i="9"/>
  <c r="U217" i="9"/>
  <c r="T217" i="9"/>
  <c r="S217" i="9"/>
  <c r="R217" i="9"/>
  <c r="P217" i="9"/>
  <c r="O217" i="9"/>
  <c r="N217" i="9"/>
  <c r="M217" i="9"/>
  <c r="L217" i="9"/>
  <c r="L229" i="9" s="1"/>
  <c r="L14" i="9" s="1"/>
  <c r="K217" i="9"/>
  <c r="J217" i="9"/>
  <c r="J229" i="9" s="1"/>
  <c r="J14" i="9" s="1"/>
  <c r="I217" i="9"/>
  <c r="H217" i="9"/>
  <c r="G217" i="9"/>
  <c r="F217" i="9"/>
  <c r="E217" i="9"/>
  <c r="D217" i="9"/>
  <c r="D229" i="9" s="1"/>
  <c r="D14" i="9" s="1"/>
  <c r="C217" i="9"/>
  <c r="B217" i="9"/>
  <c r="AG212" i="9"/>
  <c r="AF212" i="9"/>
  <c r="AF196" i="9" s="1"/>
  <c r="AE212" i="9"/>
  <c r="AE196" i="9" s="1"/>
  <c r="AD212" i="9"/>
  <c r="AC212" i="9"/>
  <c r="AB212" i="9"/>
  <c r="AB196" i="9" s="1"/>
  <c r="AA212" i="9"/>
  <c r="AA196" i="9" s="1"/>
  <c r="Z212" i="9"/>
  <c r="Z196" i="9" s="1"/>
  <c r="Y212" i="9"/>
  <c r="Y196" i="9" s="1"/>
  <c r="X212" i="9"/>
  <c r="X196" i="9" s="1"/>
  <c r="W212" i="9"/>
  <c r="V212" i="9"/>
  <c r="U212" i="9"/>
  <c r="T212" i="9"/>
  <c r="S212" i="9"/>
  <c r="R212" i="9"/>
  <c r="Q212" i="9"/>
  <c r="Q196" i="9" s="1"/>
  <c r="O212" i="9"/>
  <c r="N212" i="9"/>
  <c r="N196" i="9" s="1"/>
  <c r="M212" i="9"/>
  <c r="L212" i="9"/>
  <c r="L196" i="9" s="1"/>
  <c r="K212" i="9"/>
  <c r="J212" i="9"/>
  <c r="J196" i="9" s="1"/>
  <c r="I212" i="9"/>
  <c r="H212" i="9"/>
  <c r="G212" i="9"/>
  <c r="G196" i="9" s="1"/>
  <c r="F212" i="9"/>
  <c r="F196" i="9" s="1"/>
  <c r="E212" i="9"/>
  <c r="E196" i="9" s="1"/>
  <c r="D212" i="9"/>
  <c r="D196" i="9" s="1"/>
  <c r="C212" i="9"/>
  <c r="C196" i="9" s="1"/>
  <c r="B212" i="9"/>
  <c r="B196" i="9" s="1"/>
  <c r="AG211" i="9"/>
  <c r="AF211" i="9"/>
  <c r="AE211" i="9"/>
  <c r="AD211" i="9"/>
  <c r="AC211" i="9"/>
  <c r="AB211" i="9"/>
  <c r="AA211" i="9"/>
  <c r="AA195" i="9" s="1"/>
  <c r="Z211" i="9"/>
  <c r="Z195" i="9" s="1"/>
  <c r="Y211" i="9"/>
  <c r="X211" i="9"/>
  <c r="X195" i="9" s="1"/>
  <c r="W211" i="9"/>
  <c r="V211" i="9"/>
  <c r="V195" i="9" s="1"/>
  <c r="U211" i="9"/>
  <c r="T211" i="9"/>
  <c r="T195" i="9" s="1"/>
  <c r="S211" i="9"/>
  <c r="R211" i="9"/>
  <c r="Q211" i="9"/>
  <c r="Q195" i="9" s="1"/>
  <c r="P211" i="9"/>
  <c r="P195" i="9" s="1"/>
  <c r="O211" i="9"/>
  <c r="O195" i="9" s="1"/>
  <c r="N211" i="9"/>
  <c r="N195" i="9" s="1"/>
  <c r="M211" i="9"/>
  <c r="M195" i="9" s="1"/>
  <c r="L211" i="9"/>
  <c r="L195" i="9" s="1"/>
  <c r="K211" i="9"/>
  <c r="K195" i="9" s="1"/>
  <c r="J211" i="9"/>
  <c r="I211" i="9"/>
  <c r="H211" i="9"/>
  <c r="G211" i="9"/>
  <c r="F211" i="9"/>
  <c r="E211" i="9"/>
  <c r="E195" i="9" s="1"/>
  <c r="D211" i="9"/>
  <c r="D195" i="9" s="1"/>
  <c r="C211" i="9"/>
  <c r="B211" i="9"/>
  <c r="B195" i="9" s="1"/>
  <c r="AG210" i="9"/>
  <c r="AF210" i="9"/>
  <c r="AF194" i="9" s="1"/>
  <c r="AE210" i="9"/>
  <c r="AD210" i="9"/>
  <c r="AD194" i="9" s="1"/>
  <c r="AC210" i="9"/>
  <c r="AB210" i="9"/>
  <c r="AA210" i="9"/>
  <c r="AA194" i="9" s="1"/>
  <c r="Z210" i="9"/>
  <c r="Z194" i="9" s="1"/>
  <c r="Y210" i="9"/>
  <c r="Y194" i="9" s="1"/>
  <c r="X210" i="9"/>
  <c r="X194" i="9" s="1"/>
  <c r="W210" i="9"/>
  <c r="V210" i="9"/>
  <c r="V194" i="9" s="1"/>
  <c r="U210" i="9"/>
  <c r="T210" i="9"/>
  <c r="S210" i="9"/>
  <c r="R210" i="9"/>
  <c r="Q210" i="9"/>
  <c r="P210" i="9"/>
  <c r="O210" i="9"/>
  <c r="O194" i="9" s="1"/>
  <c r="N210" i="9"/>
  <c r="N194" i="9" s="1"/>
  <c r="M210" i="9"/>
  <c r="L210" i="9"/>
  <c r="L194" i="9" s="1"/>
  <c r="K210" i="9"/>
  <c r="J210" i="9"/>
  <c r="J194" i="9" s="1"/>
  <c r="I210" i="9"/>
  <c r="H210" i="9"/>
  <c r="H194" i="9" s="1"/>
  <c r="G210" i="9"/>
  <c r="F210" i="9"/>
  <c r="E210" i="9"/>
  <c r="E194" i="9" s="1"/>
  <c r="D210" i="9"/>
  <c r="D194" i="9" s="1"/>
  <c r="C210" i="9"/>
  <c r="C194" i="9" s="1"/>
  <c r="B210" i="9"/>
  <c r="B194" i="9" s="1"/>
  <c r="AG209" i="9"/>
  <c r="AG193" i="9" s="1"/>
  <c r="AF209" i="9"/>
  <c r="AF193" i="9" s="1"/>
  <c r="AE209" i="9"/>
  <c r="AE193" i="9" s="1"/>
  <c r="AD209" i="9"/>
  <c r="AD193" i="9" s="1"/>
  <c r="AC209" i="9"/>
  <c r="AB209" i="9"/>
  <c r="AA209" i="9"/>
  <c r="Z209" i="9"/>
  <c r="Y209" i="9"/>
  <c r="Y193" i="9" s="1"/>
  <c r="X209" i="9"/>
  <c r="X193" i="9" s="1"/>
  <c r="W209" i="9"/>
  <c r="V209" i="9"/>
  <c r="V193" i="9" s="1"/>
  <c r="U209" i="9"/>
  <c r="T209" i="9"/>
  <c r="T193" i="9" s="1"/>
  <c r="S209" i="9"/>
  <c r="R209" i="9"/>
  <c r="R193" i="9" s="1"/>
  <c r="Q209" i="9"/>
  <c r="P209" i="9"/>
  <c r="O209" i="9"/>
  <c r="O193" i="9" s="1"/>
  <c r="N209" i="9"/>
  <c r="N193" i="9" s="1"/>
  <c r="M209" i="9"/>
  <c r="M193" i="9" s="1"/>
  <c r="L209" i="9"/>
  <c r="L193" i="9" s="1"/>
  <c r="K209" i="9"/>
  <c r="K193" i="9" s="1"/>
  <c r="J209" i="9"/>
  <c r="I209" i="9"/>
  <c r="I193" i="9" s="1"/>
  <c r="H209" i="9"/>
  <c r="G209" i="9"/>
  <c r="G193" i="9" s="1"/>
  <c r="F209" i="9"/>
  <c r="E209" i="9"/>
  <c r="D209" i="9"/>
  <c r="C209" i="9"/>
  <c r="C193" i="9" s="1"/>
  <c r="B209" i="9"/>
  <c r="B193" i="9" s="1"/>
  <c r="AG208" i="9"/>
  <c r="AF208" i="9"/>
  <c r="AF192" i="9" s="1"/>
  <c r="AE208" i="9"/>
  <c r="AD208" i="9"/>
  <c r="AD192" i="9" s="1"/>
  <c r="AC208" i="9"/>
  <c r="AB208" i="9"/>
  <c r="AB192" i="9" s="1"/>
  <c r="AA208" i="9"/>
  <c r="Z208" i="9"/>
  <c r="Y208" i="9"/>
  <c r="Y192" i="9" s="1"/>
  <c r="X208" i="9"/>
  <c r="X192" i="9" s="1"/>
  <c r="W208" i="9"/>
  <c r="V208" i="9"/>
  <c r="U208" i="9"/>
  <c r="U192" i="9" s="1"/>
  <c r="T208" i="9"/>
  <c r="S208" i="9"/>
  <c r="R208" i="9"/>
  <c r="Q208" i="9"/>
  <c r="P208" i="9"/>
  <c r="O208" i="9"/>
  <c r="N208" i="9"/>
  <c r="M208" i="9"/>
  <c r="M192" i="9" s="1"/>
  <c r="L208" i="9"/>
  <c r="L192" i="9" s="1"/>
  <c r="K208" i="9"/>
  <c r="J208" i="9"/>
  <c r="J192" i="9" s="1"/>
  <c r="I208" i="9"/>
  <c r="H208" i="9"/>
  <c r="H192" i="9" s="1"/>
  <c r="G208" i="9"/>
  <c r="F208" i="9"/>
  <c r="F192" i="9" s="1"/>
  <c r="E208" i="9"/>
  <c r="D208" i="9"/>
  <c r="C208" i="9"/>
  <c r="C192" i="9" s="1"/>
  <c r="B208" i="9"/>
  <c r="B192" i="9" s="1"/>
  <c r="AG207" i="9"/>
  <c r="AG191" i="9" s="1"/>
  <c r="AF207" i="9"/>
  <c r="AF191" i="9" s="1"/>
  <c r="AE207" i="9"/>
  <c r="AE191" i="9" s="1"/>
  <c r="AD207" i="9"/>
  <c r="AD191" i="9" s="1"/>
  <c r="AC207" i="9"/>
  <c r="AC191" i="9" s="1"/>
  <c r="AB207" i="9"/>
  <c r="AA207" i="9"/>
  <c r="Z207" i="9"/>
  <c r="Y207" i="9"/>
  <c r="X207" i="9"/>
  <c r="W207" i="9"/>
  <c r="W191" i="9" s="1"/>
  <c r="V207" i="9"/>
  <c r="V191" i="9" s="1"/>
  <c r="U207" i="9"/>
  <c r="T207" i="9"/>
  <c r="T191" i="9" s="1"/>
  <c r="S207" i="9"/>
  <c r="R207" i="9"/>
  <c r="R191" i="9" s="1"/>
  <c r="Q207" i="9"/>
  <c r="P207" i="9"/>
  <c r="P191" i="9" s="1"/>
  <c r="O207" i="9"/>
  <c r="N207" i="9"/>
  <c r="M207" i="9"/>
  <c r="L207" i="9"/>
  <c r="L191" i="9" s="1"/>
  <c r="K207" i="9"/>
  <c r="K191" i="9" s="1"/>
  <c r="J207" i="9"/>
  <c r="I207" i="9"/>
  <c r="H207" i="9"/>
  <c r="G207" i="9"/>
  <c r="F207" i="9"/>
  <c r="E207" i="9"/>
  <c r="D207" i="9"/>
  <c r="C207" i="9"/>
  <c r="B207" i="9"/>
  <c r="AG206" i="9"/>
  <c r="AG190" i="9" s="1"/>
  <c r="AF206" i="9"/>
  <c r="AF190" i="9" s="1"/>
  <c r="AE206" i="9"/>
  <c r="AD206" i="9"/>
  <c r="AD190" i="9" s="1"/>
  <c r="AC206" i="9"/>
  <c r="AB206" i="9"/>
  <c r="AB190" i="9" s="1"/>
  <c r="AA206" i="9"/>
  <c r="Z206" i="9"/>
  <c r="Z190" i="9" s="1"/>
  <c r="Y206" i="9"/>
  <c r="X206" i="9"/>
  <c r="W206" i="9"/>
  <c r="W190" i="9" s="1"/>
  <c r="V206" i="9"/>
  <c r="V190" i="9" s="1"/>
  <c r="U206" i="9"/>
  <c r="U190" i="9" s="1"/>
  <c r="T206" i="9"/>
  <c r="T190" i="9" s="1"/>
  <c r="S206" i="9"/>
  <c r="S190" i="9" s="1"/>
  <c r="R206" i="9"/>
  <c r="R190" i="9" s="1"/>
  <c r="Q206" i="9"/>
  <c r="Q190" i="9" s="1"/>
  <c r="P206" i="9"/>
  <c r="O206" i="9"/>
  <c r="N206" i="9"/>
  <c r="M206" i="9"/>
  <c r="L206" i="9"/>
  <c r="K206" i="9"/>
  <c r="K190" i="9" s="1"/>
  <c r="J206" i="9"/>
  <c r="J190" i="9" s="1"/>
  <c r="I206" i="9"/>
  <c r="H206" i="9"/>
  <c r="H190" i="9" s="1"/>
  <c r="G206" i="9"/>
  <c r="F206" i="9"/>
  <c r="F190" i="9" s="1"/>
  <c r="E206" i="9"/>
  <c r="D206" i="9"/>
  <c r="D190" i="9" s="1"/>
  <c r="C206" i="9"/>
  <c r="B206" i="9"/>
  <c r="AG205" i="9"/>
  <c r="AG189" i="9" s="1"/>
  <c r="AF205" i="9"/>
  <c r="AF189" i="9" s="1"/>
  <c r="AE205" i="9"/>
  <c r="AE189" i="9" s="1"/>
  <c r="AD205" i="9"/>
  <c r="AD189" i="9" s="1"/>
  <c r="AC205" i="9"/>
  <c r="AC189" i="9" s="1"/>
  <c r="AB205" i="9"/>
  <c r="AB189" i="9" s="1"/>
  <c r="AA205" i="9"/>
  <c r="AA189" i="9" s="1"/>
  <c r="Z205" i="9"/>
  <c r="Y205" i="9"/>
  <c r="X205" i="9"/>
  <c r="W205" i="9"/>
  <c r="V205" i="9"/>
  <c r="U205" i="9"/>
  <c r="U189" i="9" s="1"/>
  <c r="T205" i="9"/>
  <c r="T189" i="9" s="1"/>
  <c r="S205" i="9"/>
  <c r="R205" i="9"/>
  <c r="R189" i="9" s="1"/>
  <c r="Q205" i="9"/>
  <c r="P205" i="9"/>
  <c r="P189" i="9" s="1"/>
  <c r="O205" i="9"/>
  <c r="N205" i="9"/>
  <c r="N189" i="9" s="1"/>
  <c r="M205" i="9"/>
  <c r="L205" i="9"/>
  <c r="K205" i="9"/>
  <c r="K189" i="9" s="1"/>
  <c r="J205" i="9"/>
  <c r="J189" i="9" s="1"/>
  <c r="I205" i="9"/>
  <c r="I189" i="9" s="1"/>
  <c r="H205" i="9"/>
  <c r="H189" i="9" s="1"/>
  <c r="G205" i="9"/>
  <c r="G189" i="9" s="1"/>
  <c r="F205" i="9"/>
  <c r="F189" i="9" s="1"/>
  <c r="E205" i="9"/>
  <c r="E189" i="9" s="1"/>
  <c r="D205" i="9"/>
  <c r="C205" i="9"/>
  <c r="B205" i="9"/>
  <c r="AG204" i="9"/>
  <c r="AF204" i="9"/>
  <c r="AE204" i="9"/>
  <c r="AE188" i="9" s="1"/>
  <c r="AD204" i="9"/>
  <c r="AD188" i="9" s="1"/>
  <c r="AC204" i="9"/>
  <c r="AB204" i="9"/>
  <c r="AB188" i="9" s="1"/>
  <c r="AA204" i="9"/>
  <c r="Z204" i="9"/>
  <c r="Z188" i="9" s="1"/>
  <c r="Y204" i="9"/>
  <c r="X204" i="9"/>
  <c r="X188" i="9" s="1"/>
  <c r="W204" i="9"/>
  <c r="V204" i="9"/>
  <c r="U204" i="9"/>
  <c r="U188" i="9" s="1"/>
  <c r="T204" i="9"/>
  <c r="T188" i="9" s="1"/>
  <c r="S204" i="9"/>
  <c r="S188" i="9" s="1"/>
  <c r="R204" i="9"/>
  <c r="R188" i="9" s="1"/>
  <c r="Q204" i="9"/>
  <c r="Q188" i="9" s="1"/>
  <c r="P204" i="9"/>
  <c r="P188" i="9" s="1"/>
  <c r="O204" i="9"/>
  <c r="O188" i="9" s="1"/>
  <c r="N204" i="9"/>
  <c r="M204" i="9"/>
  <c r="L204" i="9"/>
  <c r="K204" i="9"/>
  <c r="J204" i="9"/>
  <c r="I204" i="9"/>
  <c r="I188" i="9" s="1"/>
  <c r="H204" i="9"/>
  <c r="H188" i="9" s="1"/>
  <c r="G204" i="9"/>
  <c r="F204" i="9"/>
  <c r="F188" i="9" s="1"/>
  <c r="E204" i="9"/>
  <c r="D204" i="9"/>
  <c r="D188" i="9" s="1"/>
  <c r="C204" i="9"/>
  <c r="B204" i="9"/>
  <c r="B188" i="9" s="1"/>
  <c r="AG203" i="9"/>
  <c r="AF203" i="9"/>
  <c r="AE203" i="9"/>
  <c r="AE187" i="9" s="1"/>
  <c r="AD203" i="9"/>
  <c r="AD187" i="9" s="1"/>
  <c r="AC203" i="9"/>
  <c r="AC187" i="9" s="1"/>
  <c r="AB203" i="9"/>
  <c r="AB187" i="9" s="1"/>
  <c r="AA203" i="9"/>
  <c r="AA187" i="9" s="1"/>
  <c r="Z203" i="9"/>
  <c r="Z187" i="9" s="1"/>
  <c r="Y203" i="9"/>
  <c r="Y187" i="9" s="1"/>
  <c r="X203" i="9"/>
  <c r="W203" i="9"/>
  <c r="V203" i="9"/>
  <c r="U203" i="9"/>
  <c r="T203" i="9"/>
  <c r="S203" i="9"/>
  <c r="S187" i="9" s="1"/>
  <c r="R203" i="9"/>
  <c r="R187" i="9" s="1"/>
  <c r="Q203" i="9"/>
  <c r="P203" i="9"/>
  <c r="P187" i="9" s="1"/>
  <c r="O203" i="9"/>
  <c r="N203" i="9"/>
  <c r="N187" i="9" s="1"/>
  <c r="M203" i="9"/>
  <c r="L203" i="9"/>
  <c r="L187" i="9" s="1"/>
  <c r="K203" i="9"/>
  <c r="J203" i="9"/>
  <c r="I203" i="9"/>
  <c r="I187" i="9" s="1"/>
  <c r="H203" i="9"/>
  <c r="H187" i="9" s="1"/>
  <c r="G203" i="9"/>
  <c r="G187" i="9" s="1"/>
  <c r="F203" i="9"/>
  <c r="E203" i="9"/>
  <c r="D203" i="9"/>
  <c r="C203" i="9"/>
  <c r="B203" i="9"/>
  <c r="AG202" i="9"/>
  <c r="AF202" i="9"/>
  <c r="AE202" i="9"/>
  <c r="AD202" i="9"/>
  <c r="AC202" i="9"/>
  <c r="AC186" i="9" s="1"/>
  <c r="AB202" i="9"/>
  <c r="AB186" i="9" s="1"/>
  <c r="AA202" i="9"/>
  <c r="Z202" i="9"/>
  <c r="Z186" i="9" s="1"/>
  <c r="Y202" i="9"/>
  <c r="X202" i="9"/>
  <c r="X186" i="9" s="1"/>
  <c r="W202" i="9"/>
  <c r="V202" i="9"/>
  <c r="V186" i="9" s="1"/>
  <c r="U202" i="9"/>
  <c r="T202" i="9"/>
  <c r="S202" i="9"/>
  <c r="R202" i="9"/>
  <c r="P202" i="9"/>
  <c r="O202" i="9"/>
  <c r="N202" i="9"/>
  <c r="M202" i="9"/>
  <c r="L202" i="9"/>
  <c r="L186" i="9" s="1"/>
  <c r="K202" i="9"/>
  <c r="J202" i="9"/>
  <c r="I202" i="9"/>
  <c r="H202" i="9"/>
  <c r="G202" i="9"/>
  <c r="G186" i="9" s="1"/>
  <c r="F202" i="9"/>
  <c r="F186" i="9" s="1"/>
  <c r="E202" i="9"/>
  <c r="D202" i="9"/>
  <c r="D186" i="9" s="1"/>
  <c r="C202" i="9"/>
  <c r="B202" i="9"/>
  <c r="B186" i="9" s="1"/>
  <c r="AG201" i="9"/>
  <c r="AF201" i="9"/>
  <c r="AE201" i="9"/>
  <c r="AD201" i="9"/>
  <c r="AC201" i="9"/>
  <c r="AB201" i="9"/>
  <c r="AA201" i="9"/>
  <c r="AA213" i="9" s="1"/>
  <c r="AA13" i="9" s="1"/>
  <c r="Z201" i="9"/>
  <c r="Z213" i="9" s="1"/>
  <c r="Z13" i="9" s="1"/>
  <c r="Z12" i="9" s="1"/>
  <c r="Y201" i="9"/>
  <c r="X201" i="9"/>
  <c r="W201" i="9"/>
  <c r="V201" i="9"/>
  <c r="U201" i="9"/>
  <c r="T201" i="9"/>
  <c r="S201" i="9"/>
  <c r="R201" i="9"/>
  <c r="P201" i="9"/>
  <c r="P185" i="9" s="1"/>
  <c r="O201" i="9"/>
  <c r="N201" i="9"/>
  <c r="N185" i="9" s="1"/>
  <c r="M201" i="9"/>
  <c r="L201" i="9"/>
  <c r="K201" i="9"/>
  <c r="J201" i="9"/>
  <c r="I201" i="9"/>
  <c r="H201" i="9"/>
  <c r="G201" i="9"/>
  <c r="F201" i="9"/>
  <c r="E201" i="9"/>
  <c r="D201" i="9"/>
  <c r="C201" i="9"/>
  <c r="B201" i="9"/>
  <c r="AC196" i="9"/>
  <c r="W196" i="9"/>
  <c r="V196" i="9"/>
  <c r="U196" i="9"/>
  <c r="T196" i="9"/>
  <c r="S196" i="9"/>
  <c r="R196" i="9"/>
  <c r="O196" i="9"/>
  <c r="M196" i="9"/>
  <c r="AG195" i="9"/>
  <c r="AF195" i="9"/>
  <c r="AE195" i="9"/>
  <c r="AD195" i="9"/>
  <c r="AC195" i="9"/>
  <c r="AB195" i="9"/>
  <c r="Y195" i="9"/>
  <c r="W195" i="9"/>
  <c r="R195" i="9"/>
  <c r="J195" i="9"/>
  <c r="I195" i="9"/>
  <c r="H195" i="9"/>
  <c r="G195" i="9"/>
  <c r="F195" i="9"/>
  <c r="C195" i="9"/>
  <c r="AG194" i="9"/>
  <c r="AB194" i="9"/>
  <c r="W194" i="9"/>
  <c r="U194" i="9"/>
  <c r="T194" i="9"/>
  <c r="S194" i="9"/>
  <c r="R194" i="9"/>
  <c r="Q194" i="9"/>
  <c r="P194" i="9"/>
  <c r="M194" i="9"/>
  <c r="K194" i="9"/>
  <c r="AC193" i="9"/>
  <c r="AB193" i="9"/>
  <c r="AA193" i="9"/>
  <c r="Z193" i="9"/>
  <c r="W193" i="9"/>
  <c r="U193" i="9"/>
  <c r="P193" i="9"/>
  <c r="J193" i="9"/>
  <c r="H193" i="9"/>
  <c r="F193" i="9"/>
  <c r="E193" i="9"/>
  <c r="D193" i="9"/>
  <c r="AG192" i="9"/>
  <c r="AE192" i="9"/>
  <c r="W192" i="9"/>
  <c r="V192" i="9"/>
  <c r="T192" i="9"/>
  <c r="S192" i="9"/>
  <c r="R192" i="9"/>
  <c r="Q192" i="9"/>
  <c r="P192" i="9"/>
  <c r="O192" i="9"/>
  <c r="N192" i="9"/>
  <c r="K192" i="9"/>
  <c r="I192" i="9"/>
  <c r="AB191" i="9"/>
  <c r="AA191" i="9"/>
  <c r="Z191" i="9"/>
  <c r="Y191" i="9"/>
  <c r="X191" i="9"/>
  <c r="U191" i="9"/>
  <c r="S191" i="9"/>
  <c r="N191" i="9"/>
  <c r="M191" i="9"/>
  <c r="J191" i="9"/>
  <c r="I191" i="9"/>
  <c r="H191" i="9"/>
  <c r="G191" i="9"/>
  <c r="F191" i="9"/>
  <c r="E191" i="9"/>
  <c r="D191" i="9"/>
  <c r="C191" i="9"/>
  <c r="B191" i="9"/>
  <c r="AE190" i="9"/>
  <c r="AC190" i="9"/>
  <c r="P190" i="9"/>
  <c r="O190" i="9"/>
  <c r="N190" i="9"/>
  <c r="M190" i="9"/>
  <c r="L190" i="9"/>
  <c r="I190" i="9"/>
  <c r="G190" i="9"/>
  <c r="B190" i="9"/>
  <c r="Z189" i="9"/>
  <c r="Y189" i="9"/>
  <c r="X189" i="9"/>
  <c r="W189" i="9"/>
  <c r="V189" i="9"/>
  <c r="S189" i="9"/>
  <c r="Q189" i="9"/>
  <c r="D189" i="9"/>
  <c r="C189" i="9"/>
  <c r="B189" i="9"/>
  <c r="AG188" i="9"/>
  <c r="AF188" i="9"/>
  <c r="AC188" i="9"/>
  <c r="AA188" i="9"/>
  <c r="N188" i="9"/>
  <c r="M188" i="9"/>
  <c r="L188" i="9"/>
  <c r="K188" i="9"/>
  <c r="J188" i="9"/>
  <c r="G188" i="9"/>
  <c r="E188" i="9"/>
  <c r="AF187" i="9"/>
  <c r="X187" i="9"/>
  <c r="W187" i="9"/>
  <c r="V187" i="9"/>
  <c r="U187" i="9"/>
  <c r="T187" i="9"/>
  <c r="Q187" i="9"/>
  <c r="O187" i="9"/>
  <c r="J187" i="9"/>
  <c r="F187" i="9"/>
  <c r="E187" i="9"/>
  <c r="D187" i="9"/>
  <c r="C187" i="9"/>
  <c r="B187" i="9"/>
  <c r="AG186" i="9"/>
  <c r="AF186" i="9"/>
  <c r="AE186" i="9"/>
  <c r="AD186" i="9"/>
  <c r="AA186" i="9"/>
  <c r="Y186" i="9"/>
  <c r="K186" i="9"/>
  <c r="J186" i="9"/>
  <c r="I186" i="9"/>
  <c r="H186" i="9"/>
  <c r="E186" i="9"/>
  <c r="C186" i="9"/>
  <c r="AD185" i="9"/>
  <c r="AA185" i="9"/>
  <c r="Z185" i="9"/>
  <c r="Z197" i="9" s="1"/>
  <c r="X185" i="9"/>
  <c r="X197" i="9" s="1"/>
  <c r="V185" i="9"/>
  <c r="T185" i="9"/>
  <c r="S185" i="9"/>
  <c r="R185" i="9"/>
  <c r="O185" i="9"/>
  <c r="M185" i="9"/>
  <c r="E185" i="9"/>
  <c r="O180" i="9"/>
  <c r="N180" i="9"/>
  <c r="M180" i="9"/>
  <c r="L180" i="9"/>
  <c r="K180" i="9"/>
  <c r="J180" i="9"/>
  <c r="I180" i="9"/>
  <c r="H180" i="9"/>
  <c r="G180" i="9"/>
  <c r="F180" i="9"/>
  <c r="E180" i="9"/>
  <c r="E148" i="9" s="1"/>
  <c r="D180" i="9"/>
  <c r="C180" i="9"/>
  <c r="B180" i="9"/>
  <c r="P179" i="9"/>
  <c r="O179" i="9"/>
  <c r="O147" i="9" s="1"/>
  <c r="N179" i="9"/>
  <c r="M179" i="9"/>
  <c r="L179" i="9"/>
  <c r="K179" i="9"/>
  <c r="J179" i="9"/>
  <c r="I179" i="9"/>
  <c r="H179" i="9"/>
  <c r="G179" i="9"/>
  <c r="F179" i="9"/>
  <c r="E179" i="9"/>
  <c r="E147" i="9" s="1"/>
  <c r="D179" i="9"/>
  <c r="C179" i="9"/>
  <c r="B179" i="9"/>
  <c r="P178" i="9"/>
  <c r="P146" i="9" s="1"/>
  <c r="O178" i="9"/>
  <c r="O146" i="9" s="1"/>
  <c r="N178" i="9"/>
  <c r="M178" i="9"/>
  <c r="L178" i="9"/>
  <c r="K178" i="9"/>
  <c r="J178" i="9"/>
  <c r="I178" i="9"/>
  <c r="H178" i="9"/>
  <c r="G178" i="9"/>
  <c r="F178" i="9"/>
  <c r="E178" i="9"/>
  <c r="D178" i="9"/>
  <c r="C178" i="9"/>
  <c r="C146" i="9" s="1"/>
  <c r="B178" i="9"/>
  <c r="P177" i="9"/>
  <c r="O177" i="9"/>
  <c r="N177" i="9"/>
  <c r="M177" i="9"/>
  <c r="M145" i="9" s="1"/>
  <c r="L177" i="9"/>
  <c r="K177" i="9"/>
  <c r="J177" i="9"/>
  <c r="I177" i="9"/>
  <c r="H177" i="9"/>
  <c r="G177" i="9"/>
  <c r="F177" i="9"/>
  <c r="E177" i="9"/>
  <c r="D177" i="9"/>
  <c r="C177" i="9"/>
  <c r="B177" i="9"/>
  <c r="P176" i="9"/>
  <c r="O176" i="9"/>
  <c r="N176" i="9"/>
  <c r="M176" i="9"/>
  <c r="L176" i="9"/>
  <c r="K176" i="9"/>
  <c r="J176" i="9"/>
  <c r="I176" i="9"/>
  <c r="H176" i="9"/>
  <c r="G176" i="9"/>
  <c r="F176" i="9"/>
  <c r="E176" i="9"/>
  <c r="D176" i="9"/>
  <c r="C176" i="9"/>
  <c r="B176" i="9"/>
  <c r="P175" i="9"/>
  <c r="O175" i="9"/>
  <c r="N175" i="9"/>
  <c r="M175" i="9"/>
  <c r="L175" i="9"/>
  <c r="K175" i="9"/>
  <c r="K143" i="9" s="1"/>
  <c r="J175" i="9"/>
  <c r="I175" i="9"/>
  <c r="H175" i="9"/>
  <c r="H143" i="9" s="1"/>
  <c r="G175" i="9"/>
  <c r="F175" i="9"/>
  <c r="E175" i="9"/>
  <c r="D175" i="9"/>
  <c r="D143" i="9" s="1"/>
  <c r="C175" i="9"/>
  <c r="B175" i="9"/>
  <c r="P174" i="9"/>
  <c r="O174" i="9"/>
  <c r="N174" i="9"/>
  <c r="M174" i="9"/>
  <c r="L174" i="9"/>
  <c r="K174" i="9"/>
  <c r="J174" i="9"/>
  <c r="I174" i="9"/>
  <c r="H174" i="9"/>
  <c r="G174" i="9"/>
  <c r="F174" i="9"/>
  <c r="E174" i="9"/>
  <c r="D174" i="9"/>
  <c r="C174" i="9"/>
  <c r="B174" i="9"/>
  <c r="P173" i="9"/>
  <c r="O173" i="9"/>
  <c r="N173" i="9"/>
  <c r="M173" i="9"/>
  <c r="L173" i="9"/>
  <c r="K173" i="9"/>
  <c r="J173" i="9"/>
  <c r="I173" i="9"/>
  <c r="I141" i="9" s="1"/>
  <c r="H173" i="9"/>
  <c r="G173" i="9"/>
  <c r="F173" i="9"/>
  <c r="F141" i="9" s="1"/>
  <c r="F29" i="9" s="1"/>
  <c r="E173" i="9"/>
  <c r="D173" i="9"/>
  <c r="C173" i="9"/>
  <c r="B173" i="9"/>
  <c r="P172" i="9"/>
  <c r="O172" i="9"/>
  <c r="N172" i="9"/>
  <c r="M172" i="9"/>
  <c r="L172" i="9"/>
  <c r="K172" i="9"/>
  <c r="J172" i="9"/>
  <c r="J140" i="9" s="1"/>
  <c r="I172" i="9"/>
  <c r="H172" i="9"/>
  <c r="G172" i="9"/>
  <c r="F172" i="9"/>
  <c r="E172" i="9"/>
  <c r="D172" i="9"/>
  <c r="C172" i="9"/>
  <c r="B172" i="9"/>
  <c r="P171" i="9"/>
  <c r="O171" i="9"/>
  <c r="N171" i="9"/>
  <c r="M171" i="9"/>
  <c r="L171" i="9"/>
  <c r="K171" i="9"/>
  <c r="J171" i="9"/>
  <c r="I171" i="9"/>
  <c r="H171" i="9"/>
  <c r="G171" i="9"/>
  <c r="G139" i="9" s="1"/>
  <c r="F171" i="9"/>
  <c r="E171" i="9"/>
  <c r="D171" i="9"/>
  <c r="D139" i="9" s="1"/>
  <c r="D27" i="9" s="1"/>
  <c r="D294" i="4" s="1"/>
  <c r="C171" i="9"/>
  <c r="B171" i="9"/>
  <c r="P170" i="9"/>
  <c r="O170" i="9"/>
  <c r="O181" i="9" s="1"/>
  <c r="O11" i="9" s="1"/>
  <c r="N170" i="9"/>
  <c r="M170" i="9"/>
  <c r="M181" i="9" s="1"/>
  <c r="M11" i="9" s="1"/>
  <c r="L170" i="9"/>
  <c r="L181" i="9" s="1"/>
  <c r="L11" i="9" s="1"/>
  <c r="L9" i="9" s="1"/>
  <c r="K170" i="9"/>
  <c r="J170" i="9"/>
  <c r="I170" i="9"/>
  <c r="H170" i="9"/>
  <c r="G170" i="9"/>
  <c r="F170" i="9"/>
  <c r="E170" i="9"/>
  <c r="D170" i="9"/>
  <c r="C170" i="9"/>
  <c r="B170" i="9"/>
  <c r="P169" i="9"/>
  <c r="O169" i="9"/>
  <c r="N169" i="9"/>
  <c r="M169" i="9"/>
  <c r="L169" i="9"/>
  <c r="K169" i="9"/>
  <c r="J169" i="9"/>
  <c r="I169" i="9"/>
  <c r="H169" i="9"/>
  <c r="G169" i="9"/>
  <c r="F169" i="9"/>
  <c r="E169" i="9"/>
  <c r="D169" i="9"/>
  <c r="C169" i="9"/>
  <c r="B169" i="9"/>
  <c r="L165" i="9"/>
  <c r="L10" i="9" s="1"/>
  <c r="G165" i="9"/>
  <c r="G10" i="9" s="1"/>
  <c r="P164" i="9"/>
  <c r="P148" i="9" s="1"/>
  <c r="O164" i="9"/>
  <c r="O148" i="9" s="1"/>
  <c r="N164" i="9"/>
  <c r="M164" i="9"/>
  <c r="L164" i="9"/>
  <c r="K164" i="9"/>
  <c r="K148" i="9" s="1"/>
  <c r="J164" i="9"/>
  <c r="J148" i="9" s="1"/>
  <c r="I164" i="9"/>
  <c r="H164" i="9"/>
  <c r="H148" i="9" s="1"/>
  <c r="G164" i="9"/>
  <c r="F164" i="9"/>
  <c r="F148" i="9" s="1"/>
  <c r="E164" i="9"/>
  <c r="D164" i="9"/>
  <c r="D148" i="9" s="1"/>
  <c r="C164" i="9"/>
  <c r="B164" i="9"/>
  <c r="P163" i="9"/>
  <c r="O163" i="9"/>
  <c r="N163" i="9"/>
  <c r="N147" i="9" s="1"/>
  <c r="M163" i="9"/>
  <c r="L163" i="9"/>
  <c r="K163" i="9"/>
  <c r="K147" i="9" s="1"/>
  <c r="J163" i="9"/>
  <c r="I163" i="9"/>
  <c r="H163" i="9"/>
  <c r="G163" i="9"/>
  <c r="F163" i="9"/>
  <c r="E163" i="9"/>
  <c r="D163" i="9"/>
  <c r="D147" i="9" s="1"/>
  <c r="C163" i="9"/>
  <c r="B163" i="9"/>
  <c r="P162" i="9"/>
  <c r="O162" i="9"/>
  <c r="N162" i="9"/>
  <c r="M162" i="9"/>
  <c r="L162" i="9"/>
  <c r="K162" i="9"/>
  <c r="J162" i="9"/>
  <c r="I162" i="9"/>
  <c r="I146" i="9" s="1"/>
  <c r="H162" i="9"/>
  <c r="H146" i="9" s="1"/>
  <c r="G162" i="9"/>
  <c r="F162" i="9"/>
  <c r="F146" i="9" s="1"/>
  <c r="E162" i="9"/>
  <c r="D162" i="9"/>
  <c r="C162" i="9"/>
  <c r="B162" i="9"/>
  <c r="B146" i="9" s="1"/>
  <c r="P161" i="9"/>
  <c r="P145" i="9" s="1"/>
  <c r="O161" i="9"/>
  <c r="N161" i="9"/>
  <c r="N145" i="9" s="1"/>
  <c r="M161" i="9"/>
  <c r="L161" i="9"/>
  <c r="L145" i="9" s="1"/>
  <c r="K161" i="9"/>
  <c r="J161" i="9"/>
  <c r="I161" i="9"/>
  <c r="H161" i="9"/>
  <c r="G161" i="9"/>
  <c r="F161" i="9"/>
  <c r="E161" i="9"/>
  <c r="D161" i="9"/>
  <c r="C161" i="9"/>
  <c r="B161" i="9"/>
  <c r="B145" i="9" s="1"/>
  <c r="P160" i="9"/>
  <c r="P144" i="9" s="1"/>
  <c r="O160" i="9"/>
  <c r="O144" i="9" s="1"/>
  <c r="N160" i="9"/>
  <c r="N144" i="9" s="1"/>
  <c r="M160" i="9"/>
  <c r="L160" i="9"/>
  <c r="K160" i="9"/>
  <c r="K144" i="9" s="1"/>
  <c r="J160" i="9"/>
  <c r="I160" i="9"/>
  <c r="H160" i="9"/>
  <c r="G160" i="9"/>
  <c r="G144" i="9" s="1"/>
  <c r="F160" i="9"/>
  <c r="F144" i="9" s="1"/>
  <c r="E160" i="9"/>
  <c r="D160" i="9"/>
  <c r="D144" i="9" s="1"/>
  <c r="C160" i="9"/>
  <c r="B160" i="9"/>
  <c r="P159" i="9"/>
  <c r="P143" i="9" s="1"/>
  <c r="O159" i="9"/>
  <c r="N159" i="9"/>
  <c r="N143" i="9" s="1"/>
  <c r="M159" i="9"/>
  <c r="L159" i="9"/>
  <c r="K159" i="9"/>
  <c r="J159" i="9"/>
  <c r="J143" i="9" s="1"/>
  <c r="I159" i="9"/>
  <c r="H159" i="9"/>
  <c r="G159" i="9"/>
  <c r="F159" i="9"/>
  <c r="E159" i="9"/>
  <c r="D159" i="9"/>
  <c r="C159" i="9"/>
  <c r="B159" i="9"/>
  <c r="P158" i="9"/>
  <c r="P142" i="9" s="1"/>
  <c r="O158" i="9"/>
  <c r="O142" i="9" s="1"/>
  <c r="N158" i="9"/>
  <c r="N142" i="9" s="1"/>
  <c r="M158" i="9"/>
  <c r="M142" i="9" s="1"/>
  <c r="L158" i="9"/>
  <c r="K158" i="9"/>
  <c r="J158" i="9"/>
  <c r="I158" i="9"/>
  <c r="I142" i="9" s="1"/>
  <c r="H158" i="9"/>
  <c r="G158" i="9"/>
  <c r="F158" i="9"/>
  <c r="E158" i="9"/>
  <c r="E142" i="9" s="1"/>
  <c r="D158" i="9"/>
  <c r="D142" i="9" s="1"/>
  <c r="C158" i="9"/>
  <c r="B158" i="9"/>
  <c r="B142" i="9" s="1"/>
  <c r="B30" i="9" s="1"/>
  <c r="B297" i="4" s="1"/>
  <c r="P157" i="9"/>
  <c r="O157" i="9"/>
  <c r="O141" i="9" s="1"/>
  <c r="N157" i="9"/>
  <c r="N141" i="9" s="1"/>
  <c r="M157" i="9"/>
  <c r="L157" i="9"/>
  <c r="L141" i="9" s="1"/>
  <c r="K157" i="9"/>
  <c r="J157" i="9"/>
  <c r="I157" i="9"/>
  <c r="H157" i="9"/>
  <c r="H141" i="9" s="1"/>
  <c r="G157" i="9"/>
  <c r="F157" i="9"/>
  <c r="E157" i="9"/>
  <c r="E141" i="9" s="1"/>
  <c r="D157" i="9"/>
  <c r="C157" i="9"/>
  <c r="C141" i="9" s="1"/>
  <c r="B157" i="9"/>
  <c r="B141" i="9" s="1"/>
  <c r="P156" i="9"/>
  <c r="O156" i="9"/>
  <c r="N156" i="9"/>
  <c r="M156" i="9"/>
  <c r="L156" i="9"/>
  <c r="K156" i="9"/>
  <c r="J156" i="9"/>
  <c r="I156" i="9"/>
  <c r="H156" i="9"/>
  <c r="G156" i="9"/>
  <c r="F156" i="9"/>
  <c r="E156" i="9"/>
  <c r="D156" i="9"/>
  <c r="C156" i="9"/>
  <c r="C140" i="9" s="1"/>
  <c r="B156" i="9"/>
  <c r="B140" i="9" s="1"/>
  <c r="P155" i="9"/>
  <c r="O155" i="9"/>
  <c r="N155" i="9"/>
  <c r="M155" i="9"/>
  <c r="M139" i="9" s="1"/>
  <c r="L155" i="9"/>
  <c r="L139" i="9" s="1"/>
  <c r="K155" i="9"/>
  <c r="J155" i="9"/>
  <c r="J139" i="9" s="1"/>
  <c r="I155" i="9"/>
  <c r="H155" i="9"/>
  <c r="G155" i="9"/>
  <c r="F155" i="9"/>
  <c r="F139" i="9" s="1"/>
  <c r="E155" i="9"/>
  <c r="D155" i="9"/>
  <c r="C155" i="9"/>
  <c r="C139" i="9" s="1"/>
  <c r="B155" i="9"/>
  <c r="B139" i="9" s="1"/>
  <c r="P154" i="9"/>
  <c r="P138" i="9" s="1"/>
  <c r="O154" i="9"/>
  <c r="N154" i="9"/>
  <c r="M154" i="9"/>
  <c r="L154" i="9"/>
  <c r="K154" i="9"/>
  <c r="J154" i="9"/>
  <c r="I154" i="9"/>
  <c r="H154" i="9"/>
  <c r="G154" i="9"/>
  <c r="G138" i="9" s="1"/>
  <c r="F154" i="9"/>
  <c r="E154" i="9"/>
  <c r="D154" i="9"/>
  <c r="C154" i="9"/>
  <c r="B154" i="9"/>
  <c r="P153" i="9"/>
  <c r="O153" i="9"/>
  <c r="N153" i="9"/>
  <c r="M153" i="9"/>
  <c r="L153" i="9"/>
  <c r="K153" i="9"/>
  <c r="K137" i="9" s="1"/>
  <c r="J153" i="9"/>
  <c r="J137" i="9" s="1"/>
  <c r="I153" i="9"/>
  <c r="H153" i="9"/>
  <c r="H137" i="9" s="1"/>
  <c r="G153" i="9"/>
  <c r="F153" i="9"/>
  <c r="F137" i="9" s="1"/>
  <c r="E153" i="9"/>
  <c r="D153" i="9"/>
  <c r="C153" i="9"/>
  <c r="B153" i="9"/>
  <c r="N148" i="9"/>
  <c r="M148" i="9"/>
  <c r="L148" i="9"/>
  <c r="I148" i="9"/>
  <c r="G148" i="9"/>
  <c r="B148" i="9"/>
  <c r="L147" i="9"/>
  <c r="G147" i="9"/>
  <c r="F147" i="9"/>
  <c r="C147" i="9"/>
  <c r="B147" i="9"/>
  <c r="N146" i="9"/>
  <c r="L146" i="9"/>
  <c r="K146" i="9"/>
  <c r="J146" i="9"/>
  <c r="G146" i="9"/>
  <c r="E146" i="9"/>
  <c r="O145" i="9"/>
  <c r="J145" i="9"/>
  <c r="I145" i="9"/>
  <c r="G145" i="9"/>
  <c r="F145" i="9"/>
  <c r="E145" i="9"/>
  <c r="D145" i="9"/>
  <c r="C145" i="9"/>
  <c r="M144" i="9"/>
  <c r="L144" i="9"/>
  <c r="J144" i="9"/>
  <c r="I144" i="9"/>
  <c r="H144" i="9"/>
  <c r="E144" i="9"/>
  <c r="C144" i="9"/>
  <c r="O143" i="9"/>
  <c r="M143" i="9"/>
  <c r="G143" i="9"/>
  <c r="E143" i="9"/>
  <c r="C143" i="9"/>
  <c r="B143" i="9"/>
  <c r="L142" i="9"/>
  <c r="K142" i="9"/>
  <c r="J142" i="9"/>
  <c r="H142" i="9"/>
  <c r="G142" i="9"/>
  <c r="F142" i="9"/>
  <c r="C142" i="9"/>
  <c r="P141" i="9"/>
  <c r="M141" i="9"/>
  <c r="K141" i="9"/>
  <c r="P140" i="9"/>
  <c r="O140" i="9"/>
  <c r="M140" i="9"/>
  <c r="L140" i="9"/>
  <c r="K140" i="9"/>
  <c r="I140" i="9"/>
  <c r="H140" i="9"/>
  <c r="G140" i="9"/>
  <c r="F140" i="9"/>
  <c r="E140" i="9"/>
  <c r="D140" i="9"/>
  <c r="P139" i="9"/>
  <c r="O139" i="9"/>
  <c r="N139" i="9"/>
  <c r="K139" i="9"/>
  <c r="I139" i="9"/>
  <c r="J138" i="9"/>
  <c r="I138" i="9"/>
  <c r="E138" i="9"/>
  <c r="D138" i="9"/>
  <c r="C138" i="9"/>
  <c r="B138" i="9"/>
  <c r="P137" i="9"/>
  <c r="O137" i="9"/>
  <c r="N137" i="9"/>
  <c r="M137" i="9"/>
  <c r="L137" i="9"/>
  <c r="I137" i="9"/>
  <c r="G137" i="9"/>
  <c r="B137" i="9"/>
  <c r="P132" i="9"/>
  <c r="O132" i="9"/>
  <c r="N132" i="9"/>
  <c r="M132" i="9"/>
  <c r="L132" i="9"/>
  <c r="K132" i="9"/>
  <c r="J132" i="9"/>
  <c r="I132" i="9"/>
  <c r="H132" i="9"/>
  <c r="G132" i="9"/>
  <c r="F132" i="9"/>
  <c r="E132" i="9"/>
  <c r="D132" i="9"/>
  <c r="C132" i="9"/>
  <c r="B132" i="9"/>
  <c r="P131" i="9"/>
  <c r="O131" i="9"/>
  <c r="N131" i="9"/>
  <c r="M131" i="9"/>
  <c r="L131" i="9"/>
  <c r="K131" i="9"/>
  <c r="J131" i="9"/>
  <c r="I131" i="9"/>
  <c r="I99" i="9" s="1"/>
  <c r="H131" i="9"/>
  <c r="G131" i="9"/>
  <c r="F131" i="9"/>
  <c r="E131" i="9"/>
  <c r="D131" i="9"/>
  <c r="C131" i="9"/>
  <c r="C99" i="9" s="1"/>
  <c r="B131" i="9"/>
  <c r="P130" i="9"/>
  <c r="P98" i="9" s="1"/>
  <c r="P34" i="9" s="1"/>
  <c r="O130" i="9"/>
  <c r="N130" i="9"/>
  <c r="M130" i="9"/>
  <c r="L130" i="9"/>
  <c r="K130" i="9"/>
  <c r="J130" i="9"/>
  <c r="I130" i="9"/>
  <c r="H130" i="9"/>
  <c r="G130" i="9"/>
  <c r="F130" i="9"/>
  <c r="E130" i="9"/>
  <c r="D130" i="9"/>
  <c r="C130" i="9"/>
  <c r="B130" i="9"/>
  <c r="P129" i="9"/>
  <c r="O129" i="9"/>
  <c r="N129" i="9"/>
  <c r="M129" i="9"/>
  <c r="L129" i="9"/>
  <c r="K129" i="9"/>
  <c r="J129" i="9"/>
  <c r="I129" i="9"/>
  <c r="H129" i="9"/>
  <c r="G129" i="9"/>
  <c r="G97" i="9" s="1"/>
  <c r="F129" i="9"/>
  <c r="E129" i="9"/>
  <c r="D129" i="9"/>
  <c r="C129" i="9"/>
  <c r="B129" i="9"/>
  <c r="P128" i="9"/>
  <c r="O128" i="9"/>
  <c r="N128" i="9"/>
  <c r="N96" i="9" s="1"/>
  <c r="N32" i="9" s="1"/>
  <c r="M128" i="9"/>
  <c r="L128" i="9"/>
  <c r="K128" i="9"/>
  <c r="J128" i="9"/>
  <c r="I128" i="9"/>
  <c r="H128" i="9"/>
  <c r="G128" i="9"/>
  <c r="F128" i="9"/>
  <c r="E128" i="9"/>
  <c r="D128" i="9"/>
  <c r="C128" i="9"/>
  <c r="B128" i="9"/>
  <c r="P127" i="9"/>
  <c r="O127" i="9"/>
  <c r="N127" i="9"/>
  <c r="M127" i="9"/>
  <c r="L127" i="9"/>
  <c r="K127" i="9"/>
  <c r="J127" i="9"/>
  <c r="I127" i="9"/>
  <c r="H127" i="9"/>
  <c r="G127" i="9"/>
  <c r="F127" i="9"/>
  <c r="E127" i="9"/>
  <c r="E95" i="9" s="1"/>
  <c r="D127" i="9"/>
  <c r="C127" i="9"/>
  <c r="B127" i="9"/>
  <c r="P126" i="9"/>
  <c r="O126" i="9"/>
  <c r="O94" i="9" s="1"/>
  <c r="N126" i="9"/>
  <c r="M126" i="9"/>
  <c r="L126" i="9"/>
  <c r="K126" i="9"/>
  <c r="K94" i="9" s="1"/>
  <c r="K30" i="9" s="1"/>
  <c r="K297" i="4" s="1"/>
  <c r="J126" i="9"/>
  <c r="I126" i="9"/>
  <c r="I94" i="9" s="1"/>
  <c r="H126" i="9"/>
  <c r="G126" i="9"/>
  <c r="G94" i="9" s="1"/>
  <c r="F126" i="9"/>
  <c r="E126" i="9"/>
  <c r="D126" i="9"/>
  <c r="C126" i="9"/>
  <c r="B126" i="9"/>
  <c r="P125" i="9"/>
  <c r="O125" i="9"/>
  <c r="N125" i="9"/>
  <c r="M125" i="9"/>
  <c r="L125" i="9"/>
  <c r="K125" i="9"/>
  <c r="J125" i="9"/>
  <c r="I125" i="9"/>
  <c r="H125" i="9"/>
  <c r="G125" i="9"/>
  <c r="F125" i="9"/>
  <c r="E125" i="9"/>
  <c r="D125" i="9"/>
  <c r="C125" i="9"/>
  <c r="C93" i="9" s="1"/>
  <c r="B125" i="9"/>
  <c r="P124" i="9"/>
  <c r="O124" i="9"/>
  <c r="N124" i="9"/>
  <c r="M124" i="9"/>
  <c r="M92" i="9" s="1"/>
  <c r="L124" i="9"/>
  <c r="K124" i="9"/>
  <c r="J124" i="9"/>
  <c r="I124" i="9"/>
  <c r="H124" i="9"/>
  <c r="G124" i="9"/>
  <c r="G92" i="9" s="1"/>
  <c r="F124" i="9"/>
  <c r="F133" i="9" s="1"/>
  <c r="F8" i="9" s="1"/>
  <c r="E124" i="9"/>
  <c r="D124" i="9"/>
  <c r="C124" i="9"/>
  <c r="B124" i="9"/>
  <c r="P123" i="9"/>
  <c r="O123" i="9"/>
  <c r="O91" i="9" s="1"/>
  <c r="N123" i="9"/>
  <c r="N91" i="9" s="1"/>
  <c r="M123" i="9"/>
  <c r="L123" i="9"/>
  <c r="K123" i="9"/>
  <c r="J123" i="9"/>
  <c r="I123" i="9"/>
  <c r="H123" i="9"/>
  <c r="G123" i="9"/>
  <c r="F123" i="9"/>
  <c r="E123" i="9"/>
  <c r="D123" i="9"/>
  <c r="C123" i="9"/>
  <c r="B123" i="9"/>
  <c r="P122" i="9"/>
  <c r="O122" i="9"/>
  <c r="N122" i="9"/>
  <c r="M122" i="9"/>
  <c r="L122" i="9"/>
  <c r="K122" i="9"/>
  <c r="K90" i="9" s="1"/>
  <c r="J122" i="9"/>
  <c r="J133" i="9" s="1"/>
  <c r="J8" i="9" s="1"/>
  <c r="I122" i="9"/>
  <c r="I133" i="9" s="1"/>
  <c r="I8" i="9" s="1"/>
  <c r="H122" i="9"/>
  <c r="G122" i="9"/>
  <c r="F122" i="9"/>
  <c r="E122" i="9"/>
  <c r="D122" i="9"/>
  <c r="C122" i="9"/>
  <c r="B122" i="9"/>
  <c r="P121" i="9"/>
  <c r="O121" i="9"/>
  <c r="N121" i="9"/>
  <c r="M121" i="9"/>
  <c r="L121" i="9"/>
  <c r="K121" i="9"/>
  <c r="J121" i="9"/>
  <c r="I121" i="9"/>
  <c r="H121" i="9"/>
  <c r="G121" i="9"/>
  <c r="F121" i="9"/>
  <c r="E121" i="9"/>
  <c r="D121" i="9"/>
  <c r="C121" i="9"/>
  <c r="B121" i="9"/>
  <c r="O116" i="9"/>
  <c r="N116" i="9"/>
  <c r="M116" i="9"/>
  <c r="M100" i="9" s="1"/>
  <c r="M36" i="9" s="1"/>
  <c r="L116" i="9"/>
  <c r="K116" i="9"/>
  <c r="K100" i="9" s="1"/>
  <c r="J116" i="9"/>
  <c r="J100" i="9" s="1"/>
  <c r="I116" i="9"/>
  <c r="I100" i="9" s="1"/>
  <c r="H116" i="9"/>
  <c r="G116" i="9"/>
  <c r="F116" i="9"/>
  <c r="E116" i="9"/>
  <c r="E100" i="9" s="1"/>
  <c r="D116" i="9"/>
  <c r="C116" i="9"/>
  <c r="B116" i="9"/>
  <c r="B100" i="9" s="1"/>
  <c r="P115" i="9"/>
  <c r="O115" i="9"/>
  <c r="O99" i="9" s="1"/>
  <c r="N115" i="9"/>
  <c r="M115" i="9"/>
  <c r="L115" i="9"/>
  <c r="L99" i="9" s="1"/>
  <c r="K115" i="9"/>
  <c r="J115" i="9"/>
  <c r="J99" i="9" s="1"/>
  <c r="I115" i="9"/>
  <c r="H115" i="9"/>
  <c r="H99" i="9" s="1"/>
  <c r="G115" i="9"/>
  <c r="F115" i="9"/>
  <c r="E115" i="9"/>
  <c r="D115" i="9"/>
  <c r="C115" i="9"/>
  <c r="B115" i="9"/>
  <c r="B99" i="9" s="1"/>
  <c r="P114" i="9"/>
  <c r="O114" i="9"/>
  <c r="N114" i="9"/>
  <c r="N98" i="9" s="1"/>
  <c r="M114" i="9"/>
  <c r="M98" i="9" s="1"/>
  <c r="L114" i="9"/>
  <c r="K114" i="9"/>
  <c r="J114" i="9"/>
  <c r="I114" i="9"/>
  <c r="H114" i="9"/>
  <c r="G114" i="9"/>
  <c r="G98" i="9" s="1"/>
  <c r="F114" i="9"/>
  <c r="E114" i="9"/>
  <c r="D114" i="9"/>
  <c r="C114" i="9"/>
  <c r="C98" i="9" s="1"/>
  <c r="B114" i="9"/>
  <c r="P113" i="9"/>
  <c r="O113" i="9"/>
  <c r="N113" i="9"/>
  <c r="M113" i="9"/>
  <c r="M97" i="9" s="1"/>
  <c r="L113" i="9"/>
  <c r="K113" i="9"/>
  <c r="J113" i="9"/>
  <c r="J97" i="9" s="1"/>
  <c r="I113" i="9"/>
  <c r="H113" i="9"/>
  <c r="H97" i="9" s="1"/>
  <c r="G113" i="9"/>
  <c r="F113" i="9"/>
  <c r="F97" i="9" s="1"/>
  <c r="E113" i="9"/>
  <c r="D113" i="9"/>
  <c r="C113" i="9"/>
  <c r="B113" i="9"/>
  <c r="P112" i="9"/>
  <c r="P96" i="9" s="1"/>
  <c r="P32" i="9" s="1"/>
  <c r="O112" i="9"/>
  <c r="O96" i="9" s="1"/>
  <c r="O32" i="9" s="1"/>
  <c r="N112" i="9"/>
  <c r="M112" i="9"/>
  <c r="M96" i="9" s="1"/>
  <c r="M32" i="9" s="1"/>
  <c r="L112" i="9"/>
  <c r="L96" i="9" s="1"/>
  <c r="K112" i="9"/>
  <c r="K96" i="9" s="1"/>
  <c r="J112" i="9"/>
  <c r="J96" i="9" s="1"/>
  <c r="I112" i="9"/>
  <c r="H112" i="9"/>
  <c r="G112" i="9"/>
  <c r="F112" i="9"/>
  <c r="E112" i="9"/>
  <c r="D112" i="9"/>
  <c r="C112" i="9"/>
  <c r="B112" i="9"/>
  <c r="P111" i="9"/>
  <c r="P95" i="9" s="1"/>
  <c r="P31" i="9" s="1"/>
  <c r="O111" i="9"/>
  <c r="O95" i="9" s="1"/>
  <c r="N111" i="9"/>
  <c r="M111" i="9"/>
  <c r="L111" i="9"/>
  <c r="K111" i="9"/>
  <c r="K95" i="9" s="1"/>
  <c r="J111" i="9"/>
  <c r="I111" i="9"/>
  <c r="H111" i="9"/>
  <c r="H95" i="9" s="1"/>
  <c r="G111" i="9"/>
  <c r="F111" i="9"/>
  <c r="E111" i="9"/>
  <c r="D111" i="9"/>
  <c r="D95" i="9" s="1"/>
  <c r="C111" i="9"/>
  <c r="B111" i="9"/>
  <c r="P110" i="9"/>
  <c r="P94" i="9" s="1"/>
  <c r="P30" i="9" s="1"/>
  <c r="O110" i="9"/>
  <c r="N110" i="9"/>
  <c r="N94" i="9" s="1"/>
  <c r="N30" i="9" s="1"/>
  <c r="M110" i="9"/>
  <c r="L110" i="9"/>
  <c r="K110" i="9"/>
  <c r="J110" i="9"/>
  <c r="I110" i="9"/>
  <c r="H110" i="9"/>
  <c r="G110" i="9"/>
  <c r="F110" i="9"/>
  <c r="F94" i="9" s="1"/>
  <c r="E110" i="9"/>
  <c r="E94" i="9" s="1"/>
  <c r="D110" i="9"/>
  <c r="C110" i="9"/>
  <c r="B110" i="9"/>
  <c r="P109" i="9"/>
  <c r="P93" i="9" s="1"/>
  <c r="P29" i="9" s="1"/>
  <c r="O109" i="9"/>
  <c r="N109" i="9"/>
  <c r="M109" i="9"/>
  <c r="L109" i="9"/>
  <c r="K109" i="9"/>
  <c r="J109" i="9"/>
  <c r="I109" i="9"/>
  <c r="I93" i="9" s="1"/>
  <c r="H109" i="9"/>
  <c r="G109" i="9"/>
  <c r="F109" i="9"/>
  <c r="F93" i="9" s="1"/>
  <c r="E109" i="9"/>
  <c r="D109" i="9"/>
  <c r="C109" i="9"/>
  <c r="B109" i="9"/>
  <c r="B93" i="9" s="1"/>
  <c r="P108" i="9"/>
  <c r="P92" i="9" s="1"/>
  <c r="O108" i="9"/>
  <c r="N108" i="9"/>
  <c r="M108" i="9"/>
  <c r="L108" i="9"/>
  <c r="L92" i="9" s="1"/>
  <c r="K108" i="9"/>
  <c r="J108" i="9"/>
  <c r="I108" i="9"/>
  <c r="H108" i="9"/>
  <c r="G108" i="9"/>
  <c r="F108" i="9"/>
  <c r="E108" i="9"/>
  <c r="D108" i="9"/>
  <c r="C108" i="9"/>
  <c r="C92" i="9" s="1"/>
  <c r="B108" i="9"/>
  <c r="B92" i="9" s="1"/>
  <c r="P107" i="9"/>
  <c r="O107" i="9"/>
  <c r="N107" i="9"/>
  <c r="M107" i="9"/>
  <c r="L107" i="9"/>
  <c r="K107" i="9"/>
  <c r="J107" i="9"/>
  <c r="I107" i="9"/>
  <c r="H107" i="9"/>
  <c r="G107" i="9"/>
  <c r="G91" i="9" s="1"/>
  <c r="F107" i="9"/>
  <c r="E107" i="9"/>
  <c r="D107" i="9"/>
  <c r="D91" i="9" s="1"/>
  <c r="C107" i="9"/>
  <c r="B107" i="9"/>
  <c r="B91" i="9" s="1"/>
  <c r="Q106" i="9"/>
  <c r="P106" i="9"/>
  <c r="O106" i="9"/>
  <c r="N106" i="9"/>
  <c r="N90" i="9" s="1"/>
  <c r="M106" i="9"/>
  <c r="L106" i="9"/>
  <c r="K106" i="9"/>
  <c r="J106" i="9"/>
  <c r="I106" i="9"/>
  <c r="I90" i="9" s="1"/>
  <c r="I26" i="9" s="1"/>
  <c r="H106" i="9"/>
  <c r="G106" i="9"/>
  <c r="F106" i="9"/>
  <c r="F90" i="9" s="1"/>
  <c r="E106" i="9"/>
  <c r="E117" i="9" s="1"/>
  <c r="E7" i="9" s="1"/>
  <c r="D106" i="9"/>
  <c r="D117" i="9" s="1"/>
  <c r="D7" i="9" s="1"/>
  <c r="C106" i="9"/>
  <c r="C117" i="9" s="1"/>
  <c r="C7" i="9" s="1"/>
  <c r="B106" i="9"/>
  <c r="B117" i="9" s="1"/>
  <c r="P105" i="9"/>
  <c r="O105" i="9"/>
  <c r="O89" i="9" s="1"/>
  <c r="N105" i="9"/>
  <c r="M105" i="9"/>
  <c r="L105" i="9"/>
  <c r="L89" i="9" s="1"/>
  <c r="K105" i="9"/>
  <c r="J105" i="9"/>
  <c r="I105" i="9"/>
  <c r="H105" i="9"/>
  <c r="G105" i="9"/>
  <c r="F105" i="9"/>
  <c r="E105" i="9"/>
  <c r="E89" i="9" s="1"/>
  <c r="D105" i="9"/>
  <c r="C105" i="9"/>
  <c r="B105" i="9"/>
  <c r="B89" i="9" s="1"/>
  <c r="O100" i="9"/>
  <c r="N100" i="9"/>
  <c r="H100" i="9"/>
  <c r="G100" i="9"/>
  <c r="F100" i="9"/>
  <c r="D100" i="9"/>
  <c r="C100" i="9"/>
  <c r="P99" i="9"/>
  <c r="N99" i="9"/>
  <c r="M99" i="9"/>
  <c r="K99" i="9"/>
  <c r="F99" i="9"/>
  <c r="F35" i="9" s="1"/>
  <c r="E99" i="9"/>
  <c r="O98" i="9"/>
  <c r="O34" i="9" s="1"/>
  <c r="L98" i="9"/>
  <c r="K98" i="9"/>
  <c r="J98" i="9"/>
  <c r="I98" i="9"/>
  <c r="H98" i="9"/>
  <c r="F98" i="9"/>
  <c r="E98" i="9"/>
  <c r="D98" i="9"/>
  <c r="B98" i="9"/>
  <c r="P97" i="9"/>
  <c r="O97" i="9"/>
  <c r="N97" i="9"/>
  <c r="L97" i="9"/>
  <c r="K97" i="9"/>
  <c r="I97" i="9"/>
  <c r="D97" i="9"/>
  <c r="D33" i="9" s="1"/>
  <c r="C97" i="9"/>
  <c r="C33" i="9" s="1"/>
  <c r="I96" i="9"/>
  <c r="H96" i="9"/>
  <c r="G96" i="9"/>
  <c r="F96" i="9"/>
  <c r="E96" i="9"/>
  <c r="D96" i="9"/>
  <c r="C96" i="9"/>
  <c r="B96" i="9"/>
  <c r="N95" i="9"/>
  <c r="M95" i="9"/>
  <c r="L95" i="9"/>
  <c r="J95" i="9"/>
  <c r="I95" i="9"/>
  <c r="G95" i="9"/>
  <c r="B95" i="9"/>
  <c r="L94" i="9"/>
  <c r="L30" i="9" s="1"/>
  <c r="D94" i="9"/>
  <c r="C94" i="9"/>
  <c r="B94" i="9"/>
  <c r="O93" i="9"/>
  <c r="N93" i="9"/>
  <c r="M93" i="9"/>
  <c r="L93" i="9"/>
  <c r="K93" i="9"/>
  <c r="J93" i="9"/>
  <c r="H93" i="9"/>
  <c r="G93" i="9"/>
  <c r="E93" i="9"/>
  <c r="O92" i="9"/>
  <c r="J92" i="9"/>
  <c r="I92" i="9"/>
  <c r="P91" i="9"/>
  <c r="M91" i="9"/>
  <c r="L91" i="9"/>
  <c r="K91" i="9"/>
  <c r="J91" i="9"/>
  <c r="I91" i="9"/>
  <c r="H91" i="9"/>
  <c r="F91" i="9"/>
  <c r="E91" i="9"/>
  <c r="C91" i="9"/>
  <c r="P90" i="9"/>
  <c r="O90" i="9"/>
  <c r="M90" i="9"/>
  <c r="E90" i="9"/>
  <c r="D90" i="9"/>
  <c r="C90" i="9"/>
  <c r="B90" i="9"/>
  <c r="J89" i="9"/>
  <c r="H89" i="9"/>
  <c r="G89" i="9"/>
  <c r="F89" i="9"/>
  <c r="D89" i="9"/>
  <c r="C89" i="9"/>
  <c r="AB85" i="9"/>
  <c r="AB5" i="9" s="1"/>
  <c r="AA85" i="9"/>
  <c r="AA5" i="9" s="1"/>
  <c r="AG84" i="9"/>
  <c r="AF84" i="9"/>
  <c r="AE84" i="9"/>
  <c r="AD84" i="9"/>
  <c r="AC84" i="9"/>
  <c r="AB84" i="9"/>
  <c r="AA84" i="9"/>
  <c r="Z84" i="9"/>
  <c r="Y84" i="9"/>
  <c r="X84" i="9"/>
  <c r="W84" i="9"/>
  <c r="V84" i="9"/>
  <c r="U84" i="9"/>
  <c r="T84" i="9"/>
  <c r="S84" i="9"/>
  <c r="R84" i="9"/>
  <c r="Q84" i="9"/>
  <c r="O84" i="9"/>
  <c r="O52" i="9" s="1"/>
  <c r="N84" i="9"/>
  <c r="M84" i="9"/>
  <c r="L84" i="9"/>
  <c r="L52" i="9" s="1"/>
  <c r="K84" i="9"/>
  <c r="J84" i="9"/>
  <c r="I84" i="9"/>
  <c r="H84" i="9"/>
  <c r="G84" i="9"/>
  <c r="G52" i="9" s="1"/>
  <c r="G36" i="9" s="1"/>
  <c r="F84" i="9"/>
  <c r="E84" i="9"/>
  <c r="D84" i="9"/>
  <c r="C84" i="9"/>
  <c r="B84"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C83" i="9"/>
  <c r="C51" i="9" s="1"/>
  <c r="B83" i="9"/>
  <c r="AG82" i="9"/>
  <c r="AF82" i="9"/>
  <c r="AE82" i="9"/>
  <c r="AD82" i="9"/>
  <c r="AC82" i="9"/>
  <c r="AB82" i="9"/>
  <c r="AA82" i="9"/>
  <c r="Z82" i="9"/>
  <c r="Y82" i="9"/>
  <c r="X82" i="9"/>
  <c r="W82" i="9"/>
  <c r="V82" i="9"/>
  <c r="U82" i="9"/>
  <c r="T82" i="9"/>
  <c r="S82" i="9"/>
  <c r="R82" i="9"/>
  <c r="Q82" i="9"/>
  <c r="P82" i="9"/>
  <c r="O82" i="9"/>
  <c r="N82" i="9"/>
  <c r="M82" i="9"/>
  <c r="M50" i="9" s="1"/>
  <c r="L82" i="9"/>
  <c r="K82" i="9"/>
  <c r="J82" i="9"/>
  <c r="J50" i="9" s="1"/>
  <c r="I82" i="9"/>
  <c r="I50" i="9" s="1"/>
  <c r="H82" i="9"/>
  <c r="G82" i="9"/>
  <c r="F82" i="9"/>
  <c r="E82" i="9"/>
  <c r="D82" i="9"/>
  <c r="C82" i="9"/>
  <c r="B82"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C81" i="9"/>
  <c r="B81" i="9"/>
  <c r="AG80" i="9"/>
  <c r="AF80" i="9"/>
  <c r="AE80" i="9"/>
  <c r="AD80" i="9"/>
  <c r="AC80" i="9"/>
  <c r="AB80" i="9"/>
  <c r="AA80" i="9"/>
  <c r="Z80" i="9"/>
  <c r="Y80" i="9"/>
  <c r="X80" i="9"/>
  <c r="W80" i="9"/>
  <c r="V80" i="9"/>
  <c r="U80" i="9"/>
  <c r="T80" i="9"/>
  <c r="S80" i="9"/>
  <c r="R80" i="9"/>
  <c r="Q80" i="9"/>
  <c r="P80" i="9"/>
  <c r="O80" i="9"/>
  <c r="N80" i="9"/>
  <c r="M80" i="9"/>
  <c r="L80" i="9"/>
  <c r="L48" i="9" s="1"/>
  <c r="K80" i="9"/>
  <c r="K48" i="9" s="1"/>
  <c r="J80" i="9"/>
  <c r="I80" i="9"/>
  <c r="H80" i="9"/>
  <c r="H48" i="9" s="1"/>
  <c r="G80" i="9"/>
  <c r="F80" i="9"/>
  <c r="E80" i="9"/>
  <c r="D80" i="9"/>
  <c r="C80" i="9"/>
  <c r="B80"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C79" i="9"/>
  <c r="B79" i="9"/>
  <c r="AG78" i="9"/>
  <c r="AF78" i="9"/>
  <c r="AE78" i="9"/>
  <c r="AD78" i="9"/>
  <c r="AC78" i="9"/>
  <c r="AB78" i="9"/>
  <c r="AA78" i="9"/>
  <c r="Z78" i="9"/>
  <c r="Y78" i="9"/>
  <c r="X78" i="9"/>
  <c r="W78" i="9"/>
  <c r="V78" i="9"/>
  <c r="U78" i="9"/>
  <c r="T78" i="9"/>
  <c r="S78" i="9"/>
  <c r="R78" i="9"/>
  <c r="Q78" i="9"/>
  <c r="P78" i="9"/>
  <c r="O78" i="9"/>
  <c r="N78" i="9"/>
  <c r="M78" i="9"/>
  <c r="L78" i="9"/>
  <c r="K78" i="9"/>
  <c r="J78" i="9"/>
  <c r="J46" i="9" s="1"/>
  <c r="I78" i="9"/>
  <c r="I46" i="9" s="1"/>
  <c r="H78" i="9"/>
  <c r="G78" i="9"/>
  <c r="F78" i="9"/>
  <c r="F46" i="9" s="1"/>
  <c r="E78" i="9"/>
  <c r="D78" i="9"/>
  <c r="C78" i="9"/>
  <c r="B78"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C77" i="9"/>
  <c r="B77" i="9"/>
  <c r="AG76" i="9"/>
  <c r="AF76" i="9"/>
  <c r="AE76" i="9"/>
  <c r="AD76" i="9"/>
  <c r="AC76" i="9"/>
  <c r="AB76" i="9"/>
  <c r="AA76" i="9"/>
  <c r="Z76" i="9"/>
  <c r="Y76" i="9"/>
  <c r="Y85" i="9" s="1"/>
  <c r="Y5" i="9" s="1"/>
  <c r="X76" i="9"/>
  <c r="W76" i="9"/>
  <c r="V76" i="9"/>
  <c r="U76" i="9"/>
  <c r="T76" i="9"/>
  <c r="S76" i="9"/>
  <c r="R76" i="9"/>
  <c r="Q76" i="9"/>
  <c r="P76" i="9"/>
  <c r="O76" i="9"/>
  <c r="N76" i="9"/>
  <c r="M76" i="9"/>
  <c r="L76" i="9"/>
  <c r="K76" i="9"/>
  <c r="J76" i="9"/>
  <c r="I76" i="9"/>
  <c r="H76" i="9"/>
  <c r="H44" i="9" s="1"/>
  <c r="G76" i="9"/>
  <c r="G44" i="9" s="1"/>
  <c r="F76" i="9"/>
  <c r="E76" i="9"/>
  <c r="D76" i="9"/>
  <c r="D44" i="9" s="1"/>
  <c r="C76" i="9"/>
  <c r="C44" i="9" s="1"/>
  <c r="B76"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C75" i="9"/>
  <c r="B75" i="9"/>
  <c r="AG74" i="9"/>
  <c r="AF74" i="9"/>
  <c r="AE74" i="9"/>
  <c r="AD74" i="9"/>
  <c r="AC74" i="9"/>
  <c r="AB74" i="9"/>
  <c r="AA74" i="9"/>
  <c r="Z74" i="9"/>
  <c r="Y74" i="9"/>
  <c r="X74" i="9"/>
  <c r="X85" i="9" s="1"/>
  <c r="X5" i="9" s="1"/>
  <c r="W74" i="9"/>
  <c r="W85" i="9" s="1"/>
  <c r="W5" i="9" s="1"/>
  <c r="V74" i="9"/>
  <c r="U74" i="9"/>
  <c r="U85" i="9" s="1"/>
  <c r="U5" i="9" s="1"/>
  <c r="T74" i="9"/>
  <c r="T85" i="9" s="1"/>
  <c r="T5" i="9" s="1"/>
  <c r="S74" i="9"/>
  <c r="S85" i="9" s="1"/>
  <c r="S5" i="9" s="1"/>
  <c r="R74" i="9"/>
  <c r="R85" i="9" s="1"/>
  <c r="R5" i="9" s="1"/>
  <c r="P74" i="9"/>
  <c r="O74" i="9"/>
  <c r="N74" i="9"/>
  <c r="M74" i="9"/>
  <c r="L74" i="9"/>
  <c r="K74" i="9"/>
  <c r="J74" i="9"/>
  <c r="I74" i="9"/>
  <c r="H74" i="9"/>
  <c r="G74" i="9"/>
  <c r="F74" i="9"/>
  <c r="F42" i="9" s="1"/>
  <c r="E74" i="9"/>
  <c r="E42" i="9" s="1"/>
  <c r="D74" i="9"/>
  <c r="C74" i="9"/>
  <c r="B74" i="9"/>
  <c r="B85" i="9" s="1"/>
  <c r="B5" i="9" s="1"/>
  <c r="AG73" i="9"/>
  <c r="AG85" i="9" s="1"/>
  <c r="AF73" i="9"/>
  <c r="AE73" i="9"/>
  <c r="AE85" i="9" s="1"/>
  <c r="AD73" i="9"/>
  <c r="AD85" i="9" s="1"/>
  <c r="AC73" i="9"/>
  <c r="AC85" i="9" s="1"/>
  <c r="AB73" i="9"/>
  <c r="AA73" i="9"/>
  <c r="Z73" i="9"/>
  <c r="Y73" i="9"/>
  <c r="X73" i="9"/>
  <c r="W73" i="9"/>
  <c r="V73" i="9"/>
  <c r="U73" i="9"/>
  <c r="T73" i="9"/>
  <c r="S73" i="9"/>
  <c r="R73" i="9"/>
  <c r="Q73" i="9"/>
  <c r="P73" i="9"/>
  <c r="O73" i="9"/>
  <c r="N73" i="9"/>
  <c r="M73" i="9"/>
  <c r="L73" i="9"/>
  <c r="K73" i="9"/>
  <c r="K85" i="9" s="1"/>
  <c r="K5" i="9" s="1"/>
  <c r="J73" i="9"/>
  <c r="I73" i="9"/>
  <c r="I85" i="9" s="1"/>
  <c r="I5" i="9" s="1"/>
  <c r="H73" i="9"/>
  <c r="G73" i="9"/>
  <c r="G85" i="9" s="1"/>
  <c r="G5" i="9" s="1"/>
  <c r="F73" i="9"/>
  <c r="F85" i="9" s="1"/>
  <c r="F5" i="9" s="1"/>
  <c r="E73" i="9"/>
  <c r="D73" i="9"/>
  <c r="C73" i="9"/>
  <c r="B73" i="9"/>
  <c r="O68" i="9"/>
  <c r="N68" i="9"/>
  <c r="N52" i="9" s="1"/>
  <c r="M68" i="9"/>
  <c r="M52" i="9" s="1"/>
  <c r="L68" i="9"/>
  <c r="K68" i="9"/>
  <c r="K52" i="9" s="1"/>
  <c r="J68" i="9"/>
  <c r="I68" i="9"/>
  <c r="H68" i="9"/>
  <c r="G68" i="9"/>
  <c r="F68" i="9"/>
  <c r="E68" i="9"/>
  <c r="D68" i="9"/>
  <c r="C68" i="9"/>
  <c r="C52" i="9" s="1"/>
  <c r="B68" i="9"/>
  <c r="P67" i="9"/>
  <c r="O67" i="9"/>
  <c r="O51" i="9" s="1"/>
  <c r="N67" i="9"/>
  <c r="M67" i="9"/>
  <c r="L67" i="9"/>
  <c r="K67" i="9"/>
  <c r="J67" i="9"/>
  <c r="I67" i="9"/>
  <c r="H67" i="9"/>
  <c r="G67" i="9"/>
  <c r="F67" i="9"/>
  <c r="E67" i="9"/>
  <c r="D67" i="9"/>
  <c r="D51" i="9" s="1"/>
  <c r="C67" i="9"/>
  <c r="B67" i="9"/>
  <c r="B51" i="9" s="1"/>
  <c r="P66" i="9"/>
  <c r="O66" i="9"/>
  <c r="N66" i="9"/>
  <c r="N50" i="9" s="1"/>
  <c r="M66" i="9"/>
  <c r="L66" i="9"/>
  <c r="L50" i="9" s="1"/>
  <c r="K66" i="9"/>
  <c r="K50" i="9" s="1"/>
  <c r="K34" i="9" s="1"/>
  <c r="J66" i="9"/>
  <c r="I66" i="9"/>
  <c r="H66" i="9"/>
  <c r="G66" i="9"/>
  <c r="G50" i="9" s="1"/>
  <c r="G34" i="9" s="1"/>
  <c r="G301" i="4" s="1"/>
  <c r="F66" i="9"/>
  <c r="F50" i="9" s="1"/>
  <c r="E66" i="9"/>
  <c r="E50" i="9" s="1"/>
  <c r="E34" i="9" s="1"/>
  <c r="E301" i="4" s="1"/>
  <c r="D66" i="9"/>
  <c r="C66" i="9"/>
  <c r="C50" i="9" s="1"/>
  <c r="C34" i="9" s="1"/>
  <c r="C301" i="4" s="1"/>
  <c r="B66" i="9"/>
  <c r="B50" i="9" s="1"/>
  <c r="B34" i="9" s="1"/>
  <c r="B301" i="4" s="1"/>
  <c r="P65" i="9"/>
  <c r="O65" i="9"/>
  <c r="N65" i="9"/>
  <c r="M65" i="9"/>
  <c r="M49" i="9" s="1"/>
  <c r="L65" i="9"/>
  <c r="L49" i="9" s="1"/>
  <c r="L33" i="9" s="1"/>
  <c r="K65" i="9"/>
  <c r="K49" i="9" s="1"/>
  <c r="J65" i="9"/>
  <c r="I65" i="9"/>
  <c r="H65" i="9"/>
  <c r="G65" i="9"/>
  <c r="F65" i="9"/>
  <c r="E65" i="9"/>
  <c r="D65" i="9"/>
  <c r="C65" i="9"/>
  <c r="B65" i="9"/>
  <c r="B49" i="9" s="1"/>
  <c r="P64" i="9"/>
  <c r="O64" i="9"/>
  <c r="N64" i="9"/>
  <c r="M64" i="9"/>
  <c r="L64" i="9"/>
  <c r="K64" i="9"/>
  <c r="J64" i="9"/>
  <c r="J48" i="9" s="1"/>
  <c r="I64" i="9"/>
  <c r="I48" i="9" s="1"/>
  <c r="H64" i="9"/>
  <c r="G64" i="9"/>
  <c r="G48" i="9" s="1"/>
  <c r="G32" i="9" s="1"/>
  <c r="G299" i="4" s="1"/>
  <c r="F64" i="9"/>
  <c r="F48" i="9" s="1"/>
  <c r="F32" i="9" s="1"/>
  <c r="F299" i="4" s="1"/>
  <c r="E64" i="9"/>
  <c r="E48" i="9" s="1"/>
  <c r="E32" i="9" s="1"/>
  <c r="D64" i="9"/>
  <c r="D48" i="9" s="1"/>
  <c r="D32" i="9" s="1"/>
  <c r="C64" i="9"/>
  <c r="B64" i="9"/>
  <c r="B48" i="9" s="1"/>
  <c r="P63" i="9"/>
  <c r="P47" i="9" s="1"/>
  <c r="O63" i="9"/>
  <c r="N63" i="9"/>
  <c r="M63" i="9"/>
  <c r="L63" i="9"/>
  <c r="K63" i="9"/>
  <c r="J63" i="9"/>
  <c r="I63" i="9"/>
  <c r="I47" i="9" s="1"/>
  <c r="H63" i="9"/>
  <c r="G63" i="9"/>
  <c r="F63" i="9"/>
  <c r="E63" i="9"/>
  <c r="D63" i="9"/>
  <c r="C63" i="9"/>
  <c r="B63" i="9"/>
  <c r="P62" i="9"/>
  <c r="O62" i="9"/>
  <c r="N62" i="9"/>
  <c r="M62" i="9"/>
  <c r="L62" i="9"/>
  <c r="K62" i="9"/>
  <c r="J62" i="9"/>
  <c r="I62" i="9"/>
  <c r="H62" i="9"/>
  <c r="H46" i="9" s="1"/>
  <c r="G62" i="9"/>
  <c r="G46" i="9" s="1"/>
  <c r="G30" i="9" s="1"/>
  <c r="F62" i="9"/>
  <c r="E62" i="9"/>
  <c r="E46" i="9" s="1"/>
  <c r="E30" i="9" s="1"/>
  <c r="D62" i="9"/>
  <c r="D46" i="9" s="1"/>
  <c r="C62" i="9"/>
  <c r="C46" i="9" s="1"/>
  <c r="C30" i="9" s="1"/>
  <c r="B62" i="9"/>
  <c r="B46" i="9" s="1"/>
  <c r="P61" i="9"/>
  <c r="O61" i="9"/>
  <c r="N61" i="9"/>
  <c r="M61" i="9"/>
  <c r="M45" i="9" s="1"/>
  <c r="M29" i="9" s="1"/>
  <c r="L61" i="9"/>
  <c r="K61" i="9"/>
  <c r="J61" i="9"/>
  <c r="J45" i="9" s="1"/>
  <c r="I61" i="9"/>
  <c r="I45" i="9" s="1"/>
  <c r="I29" i="9" s="1"/>
  <c r="H61" i="9"/>
  <c r="H45" i="9" s="1"/>
  <c r="H29" i="9" s="1"/>
  <c r="H296" i="4" s="1"/>
  <c r="G61" i="9"/>
  <c r="G45" i="9" s="1"/>
  <c r="F61" i="9"/>
  <c r="E61" i="9"/>
  <c r="D61" i="9"/>
  <c r="C61" i="9"/>
  <c r="B61" i="9"/>
  <c r="P60" i="9"/>
  <c r="O60" i="9"/>
  <c r="N60" i="9"/>
  <c r="M60" i="9"/>
  <c r="L60" i="9"/>
  <c r="K60" i="9"/>
  <c r="J60" i="9"/>
  <c r="I60" i="9"/>
  <c r="H60" i="9"/>
  <c r="G60" i="9"/>
  <c r="F60" i="9"/>
  <c r="F44" i="9" s="1"/>
  <c r="E60" i="9"/>
  <c r="E44" i="9" s="1"/>
  <c r="D60" i="9"/>
  <c r="C60" i="9"/>
  <c r="B60" i="9"/>
  <c r="B44" i="9" s="1"/>
  <c r="B28" i="9" s="1"/>
  <c r="B295" i="4" s="1"/>
  <c r="P59" i="9"/>
  <c r="P43" i="9" s="1"/>
  <c r="P27" i="9" s="1"/>
  <c r="O59" i="9"/>
  <c r="O43" i="9" s="1"/>
  <c r="O27" i="9" s="1"/>
  <c r="N59" i="9"/>
  <c r="M59" i="9"/>
  <c r="L59" i="9"/>
  <c r="L43" i="9" s="1"/>
  <c r="K59" i="9"/>
  <c r="J59" i="9"/>
  <c r="I59" i="9"/>
  <c r="H59" i="9"/>
  <c r="G59" i="9"/>
  <c r="F59" i="9"/>
  <c r="E59" i="9"/>
  <c r="D59" i="9"/>
  <c r="C59" i="9"/>
  <c r="B59" i="9"/>
  <c r="P58" i="9"/>
  <c r="O58" i="9"/>
  <c r="N58" i="9"/>
  <c r="M58" i="9"/>
  <c r="L58" i="9"/>
  <c r="K58" i="9"/>
  <c r="J58" i="9"/>
  <c r="I58" i="9"/>
  <c r="H58" i="9"/>
  <c r="G58" i="9"/>
  <c r="F58" i="9"/>
  <c r="E58" i="9"/>
  <c r="D58" i="9"/>
  <c r="D42" i="9" s="1"/>
  <c r="C58" i="9"/>
  <c r="C42" i="9" s="1"/>
  <c r="B58" i="9"/>
  <c r="P57" i="9"/>
  <c r="O57" i="9"/>
  <c r="N57" i="9"/>
  <c r="M57" i="9"/>
  <c r="L57" i="9"/>
  <c r="L69" i="9" s="1"/>
  <c r="L4" i="9" s="1"/>
  <c r="K57" i="9"/>
  <c r="K69" i="9" s="1"/>
  <c r="K4" i="9" s="1"/>
  <c r="J57" i="9"/>
  <c r="I57" i="9"/>
  <c r="H57" i="9"/>
  <c r="G57" i="9"/>
  <c r="F57" i="9"/>
  <c r="E57" i="9"/>
  <c r="D57" i="9"/>
  <c r="C57" i="9"/>
  <c r="B57" i="9"/>
  <c r="I52" i="9"/>
  <c r="H52" i="9"/>
  <c r="H36" i="9" s="1"/>
  <c r="F52" i="9"/>
  <c r="F36" i="9" s="1"/>
  <c r="E52" i="9"/>
  <c r="D52" i="9"/>
  <c r="D36" i="9" s="1"/>
  <c r="B52" i="9"/>
  <c r="B36" i="9" s="1"/>
  <c r="N51" i="9"/>
  <c r="M51" i="9"/>
  <c r="L51" i="9"/>
  <c r="K51" i="9"/>
  <c r="J51" i="9"/>
  <c r="I51" i="9"/>
  <c r="H51" i="9"/>
  <c r="G51" i="9"/>
  <c r="F51" i="9"/>
  <c r="E51" i="9"/>
  <c r="P50" i="9"/>
  <c r="O50" i="9"/>
  <c r="P49" i="9"/>
  <c r="P33" i="9" s="1"/>
  <c r="O49" i="9"/>
  <c r="N49" i="9"/>
  <c r="N33" i="9" s="1"/>
  <c r="J49" i="9"/>
  <c r="J33" i="9" s="1"/>
  <c r="J300" i="4" s="1"/>
  <c r="I49" i="9"/>
  <c r="H49" i="9"/>
  <c r="G49" i="9"/>
  <c r="F49" i="9"/>
  <c r="E49" i="9"/>
  <c r="D49" i="9"/>
  <c r="C49" i="9"/>
  <c r="P48" i="9"/>
  <c r="O48" i="9"/>
  <c r="N48" i="9"/>
  <c r="M48" i="9"/>
  <c r="O47" i="9"/>
  <c r="O31" i="9" s="1"/>
  <c r="N47" i="9"/>
  <c r="N31" i="9" s="1"/>
  <c r="M47" i="9"/>
  <c r="M31" i="9" s="1"/>
  <c r="L47" i="9"/>
  <c r="K47" i="9"/>
  <c r="J47" i="9"/>
  <c r="H47" i="9"/>
  <c r="G47" i="9"/>
  <c r="F47" i="9"/>
  <c r="E47" i="9"/>
  <c r="D47" i="9"/>
  <c r="C47" i="9"/>
  <c r="B47" i="9"/>
  <c r="P46" i="9"/>
  <c r="O46" i="9"/>
  <c r="N46" i="9"/>
  <c r="M46" i="9"/>
  <c r="L46" i="9"/>
  <c r="K46" i="9"/>
  <c r="P45" i="9"/>
  <c r="O45" i="9"/>
  <c r="L45" i="9"/>
  <c r="L29" i="9" s="1"/>
  <c r="K45" i="9"/>
  <c r="K29" i="9" s="1"/>
  <c r="F45" i="9"/>
  <c r="E45" i="9"/>
  <c r="D45" i="9"/>
  <c r="C45" i="9"/>
  <c r="B45" i="9"/>
  <c r="P44" i="9"/>
  <c r="O44" i="9"/>
  <c r="O28" i="9" s="1"/>
  <c r="N44" i="9"/>
  <c r="M44" i="9"/>
  <c r="L44" i="9"/>
  <c r="K44" i="9"/>
  <c r="J44" i="9"/>
  <c r="I44" i="9"/>
  <c r="N43" i="9"/>
  <c r="M43" i="9"/>
  <c r="M27" i="9" s="1"/>
  <c r="K43" i="9"/>
  <c r="K27" i="9" s="1"/>
  <c r="J43" i="9"/>
  <c r="J27" i="9" s="1"/>
  <c r="I43" i="9"/>
  <c r="I27" i="9" s="1"/>
  <c r="H43" i="9"/>
  <c r="G43" i="9"/>
  <c r="G27" i="9" s="1"/>
  <c r="G294" i="4" s="1"/>
  <c r="F43" i="9"/>
  <c r="F27" i="9" s="1"/>
  <c r="F294" i="4" s="1"/>
  <c r="E43" i="9"/>
  <c r="D43" i="9"/>
  <c r="C43" i="9"/>
  <c r="B43" i="9"/>
  <c r="N42" i="9"/>
  <c r="M42" i="9"/>
  <c r="L42" i="9"/>
  <c r="K42" i="9"/>
  <c r="J42" i="9"/>
  <c r="I42" i="9"/>
  <c r="H42" i="9"/>
  <c r="G42" i="9"/>
  <c r="B42" i="9"/>
  <c r="B26" i="9" s="1"/>
  <c r="B293" i="4" s="1"/>
  <c r="K41" i="9"/>
  <c r="I41" i="9"/>
  <c r="G41" i="9"/>
  <c r="F41" i="9"/>
  <c r="E41" i="9"/>
  <c r="D41" i="9"/>
  <c r="C41" i="9"/>
  <c r="B41" i="9"/>
  <c r="O35" i="9"/>
  <c r="N35" i="9"/>
  <c r="L35" i="9"/>
  <c r="J34" i="9"/>
  <c r="F34" i="9"/>
  <c r="I32" i="9"/>
  <c r="H32" i="9"/>
  <c r="K31" i="9"/>
  <c r="J31" i="9"/>
  <c r="H31" i="9"/>
  <c r="H298" i="4" s="1"/>
  <c r="F30" i="9"/>
  <c r="F297" i="4" s="1"/>
  <c r="D30" i="9"/>
  <c r="D297" i="4" s="1"/>
  <c r="P28" i="9"/>
  <c r="N27" i="9"/>
  <c r="L27" i="9"/>
  <c r="AL24" i="9"/>
  <c r="AK24" i="9"/>
  <c r="AJ24" i="9"/>
  <c r="P20" i="9"/>
  <c r="O20" i="9"/>
  <c r="B14" i="9"/>
  <c r="B7" i="9"/>
  <c r="BL5" i="9"/>
  <c r="AG5" i="9"/>
  <c r="AE5" i="9"/>
  <c r="AD5" i="9"/>
  <c r="AC5" i="9"/>
  <c r="AH186" i="8"/>
  <c r="BO184" i="12" s="1"/>
  <c r="AC186" i="8"/>
  <c r="AA186" i="8"/>
  <c r="Z186" i="8"/>
  <c r="X186" i="8"/>
  <c r="W186" i="8"/>
  <c r="U186" i="8"/>
  <c r="T186" i="8"/>
  <c r="V186" i="8" s="1"/>
  <c r="R186" i="8"/>
  <c r="S186" i="8" s="1"/>
  <c r="Q186" i="8"/>
  <c r="O186" i="8"/>
  <c r="N186" i="8"/>
  <c r="P186" i="8" s="1"/>
  <c r="M186" i="8"/>
  <c r="AB186" i="8" s="1"/>
  <c r="J186" i="8"/>
  <c r="Y186" i="8" s="1"/>
  <c r="G186" i="8"/>
  <c r="D186" i="8"/>
  <c r="AH185" i="8"/>
  <c r="BO183" i="12" s="1"/>
  <c r="AC185" i="8"/>
  <c r="AB185" i="8"/>
  <c r="AA185" i="8"/>
  <c r="Z185" i="8"/>
  <c r="X185" i="8"/>
  <c r="W185" i="8"/>
  <c r="V185" i="8"/>
  <c r="U185" i="8"/>
  <c r="T185" i="8"/>
  <c r="R185" i="8"/>
  <c r="S185" i="8" s="1"/>
  <c r="Q185" i="8"/>
  <c r="O185" i="8"/>
  <c r="P185" i="8" s="1"/>
  <c r="N185" i="8"/>
  <c r="M185" i="8"/>
  <c r="J185" i="8"/>
  <c r="Y185" i="8" s="1"/>
  <c r="G185" i="8"/>
  <c r="D185" i="8"/>
  <c r="AC184" i="8"/>
  <c r="AB184" i="8"/>
  <c r="AA184" i="8"/>
  <c r="Z184" i="8"/>
  <c r="Y184" i="8"/>
  <c r="X184" i="8"/>
  <c r="W184" i="8"/>
  <c r="V184" i="8"/>
  <c r="U184" i="8"/>
  <c r="T184" i="8"/>
  <c r="R184" i="8"/>
  <c r="Q184" i="8"/>
  <c r="S184" i="8" s="1"/>
  <c r="O184" i="8"/>
  <c r="P184" i="8" s="1"/>
  <c r="N184" i="8"/>
  <c r="M184" i="8"/>
  <c r="J184" i="8"/>
  <c r="G184" i="8"/>
  <c r="D184" i="8"/>
  <c r="O183" i="8"/>
  <c r="N183" i="8"/>
  <c r="P183" i="8" s="1"/>
  <c r="M183" i="8"/>
  <c r="J183" i="8"/>
  <c r="G183" i="8"/>
  <c r="D183" i="8"/>
  <c r="O182" i="8"/>
  <c r="N182" i="8"/>
  <c r="P182" i="8" s="1"/>
  <c r="M182" i="8"/>
  <c r="J182" i="8"/>
  <c r="G182" i="8"/>
  <c r="D182" i="8"/>
  <c r="O181" i="8"/>
  <c r="N181" i="8"/>
  <c r="P181" i="8" s="1"/>
  <c r="M181" i="8"/>
  <c r="J181" i="8"/>
  <c r="G181" i="8"/>
  <c r="D181" i="8"/>
  <c r="P180" i="8"/>
  <c r="O180" i="8"/>
  <c r="N180" i="8"/>
  <c r="M180" i="8"/>
  <c r="J180" i="8"/>
  <c r="G180" i="8"/>
  <c r="D180" i="8"/>
  <c r="P179" i="8"/>
  <c r="O179" i="8"/>
  <c r="N179" i="8"/>
  <c r="M179" i="8"/>
  <c r="J179" i="8"/>
  <c r="G179" i="8"/>
  <c r="D179" i="8"/>
  <c r="Z178" i="8"/>
  <c r="Z179" i="8" s="1"/>
  <c r="Z180" i="8" s="1"/>
  <c r="Z181" i="8" s="1"/>
  <c r="Z182" i="8" s="1"/>
  <c r="Z183" i="8" s="1"/>
  <c r="P178" i="8"/>
  <c r="O178" i="8"/>
  <c r="N178" i="8"/>
  <c r="M178" i="8"/>
  <c r="J178" i="8"/>
  <c r="G178" i="8"/>
  <c r="D178" i="8"/>
  <c r="O177" i="8"/>
  <c r="N177" i="8"/>
  <c r="P177" i="8" s="1"/>
  <c r="M177" i="8"/>
  <c r="J177" i="8"/>
  <c r="G177" i="8"/>
  <c r="D177" i="8"/>
  <c r="W176" i="8"/>
  <c r="W177" i="8" s="1"/>
  <c r="W178" i="8" s="1"/>
  <c r="W179" i="8" s="1"/>
  <c r="W180" i="8" s="1"/>
  <c r="W181" i="8" s="1"/>
  <c r="W182" i="8" s="1"/>
  <c r="W183" i="8" s="1"/>
  <c r="O176" i="8"/>
  <c r="N176" i="8"/>
  <c r="P176" i="8" s="1"/>
  <c r="M176" i="8"/>
  <c r="J176" i="8"/>
  <c r="G176" i="8"/>
  <c r="D176" i="8"/>
  <c r="P175" i="8"/>
  <c r="O175" i="8"/>
  <c r="N175" i="8"/>
  <c r="M175" i="8"/>
  <c r="J175" i="8"/>
  <c r="G175" i="8"/>
  <c r="D175" i="8"/>
  <c r="O174" i="8"/>
  <c r="N174" i="8"/>
  <c r="P174" i="8" s="1"/>
  <c r="M174" i="8"/>
  <c r="J174" i="8"/>
  <c r="G174" i="8"/>
  <c r="D174" i="8"/>
  <c r="W173" i="8"/>
  <c r="W174" i="8" s="1"/>
  <c r="W175" i="8" s="1"/>
  <c r="T173" i="8"/>
  <c r="O173" i="8"/>
  <c r="P173" i="8" s="1"/>
  <c r="N173" i="8"/>
  <c r="M173" i="8"/>
  <c r="J173" i="8"/>
  <c r="G173" i="8"/>
  <c r="D173" i="8"/>
  <c r="AA172" i="8"/>
  <c r="AA173" i="8" s="1"/>
  <c r="Z172" i="8"/>
  <c r="Z173" i="8" s="1"/>
  <c r="Z174" i="8" s="1"/>
  <c r="Z175" i="8" s="1"/>
  <c r="Z176" i="8" s="1"/>
  <c r="Z177" i="8" s="1"/>
  <c r="X172" i="8"/>
  <c r="X173" i="8" s="1"/>
  <c r="W172" i="8"/>
  <c r="V172" i="8"/>
  <c r="U172" i="8"/>
  <c r="U173" i="8" s="1"/>
  <c r="U174" i="8" s="1"/>
  <c r="U175" i="8" s="1"/>
  <c r="U176" i="8" s="1"/>
  <c r="T172" i="8"/>
  <c r="R172" i="8"/>
  <c r="R173" i="8" s="1"/>
  <c r="Q172" i="8"/>
  <c r="Q173" i="8" s="1"/>
  <c r="Q174" i="8" s="1"/>
  <c r="Q175" i="8" s="1"/>
  <c r="Q176" i="8" s="1"/>
  <c r="Q177" i="8" s="1"/>
  <c r="Q178" i="8" s="1"/>
  <c r="Q179" i="8" s="1"/>
  <c r="Q180" i="8" s="1"/>
  <c r="Q181" i="8" s="1"/>
  <c r="Q182" i="8" s="1"/>
  <c r="Q183" i="8" s="1"/>
  <c r="O172" i="8"/>
  <c r="N172" i="8"/>
  <c r="AC172" i="8" s="1"/>
  <c r="M172" i="8"/>
  <c r="AB172" i="8" s="1"/>
  <c r="J172" i="8"/>
  <c r="Y172" i="8" s="1"/>
  <c r="G172" i="8"/>
  <c r="D172" i="8"/>
  <c r="O171" i="8"/>
  <c r="N171" i="8"/>
  <c r="P171" i="8" s="1"/>
  <c r="M171" i="8"/>
  <c r="J171" i="8"/>
  <c r="G171" i="8"/>
  <c r="D171" i="8"/>
  <c r="Q170" i="8"/>
  <c r="Q171" i="8" s="1"/>
  <c r="P170" i="8"/>
  <c r="O170" i="8"/>
  <c r="N170" i="8"/>
  <c r="M170" i="8"/>
  <c r="J170" i="8"/>
  <c r="G170" i="8"/>
  <c r="D170" i="8"/>
  <c r="O169" i="8"/>
  <c r="N169" i="8"/>
  <c r="P169" i="8" s="1"/>
  <c r="M169" i="8"/>
  <c r="J169" i="8"/>
  <c r="G169" i="8"/>
  <c r="D169" i="8"/>
  <c r="P168" i="8"/>
  <c r="O168" i="8"/>
  <c r="N168" i="8"/>
  <c r="M168" i="8"/>
  <c r="J168" i="8"/>
  <c r="G168" i="8"/>
  <c r="D168" i="8"/>
  <c r="P167" i="8"/>
  <c r="O167" i="8"/>
  <c r="N167" i="8"/>
  <c r="M167" i="8"/>
  <c r="J167" i="8"/>
  <c r="G167" i="8"/>
  <c r="D167" i="8"/>
  <c r="P166" i="8"/>
  <c r="O166" i="8"/>
  <c r="N166" i="8"/>
  <c r="M166" i="8"/>
  <c r="J166" i="8"/>
  <c r="G166" i="8"/>
  <c r="D166" i="8"/>
  <c r="W165" i="8"/>
  <c r="W166" i="8" s="1"/>
  <c r="W167" i="8" s="1"/>
  <c r="W168" i="8" s="1"/>
  <c r="W169" i="8" s="1"/>
  <c r="W170" i="8" s="1"/>
  <c r="W171" i="8" s="1"/>
  <c r="T165" i="8"/>
  <c r="T166" i="8" s="1"/>
  <c r="T167" i="8" s="1"/>
  <c r="T168" i="8" s="1"/>
  <c r="T169" i="8" s="1"/>
  <c r="T170" i="8" s="1"/>
  <c r="T171" i="8" s="1"/>
  <c r="O165" i="8"/>
  <c r="P165" i="8" s="1"/>
  <c r="N165" i="8"/>
  <c r="M165" i="8"/>
  <c r="J165" i="8"/>
  <c r="G165" i="8"/>
  <c r="D165" i="8"/>
  <c r="O164" i="8"/>
  <c r="N164" i="8"/>
  <c r="P164" i="8" s="1"/>
  <c r="M164" i="8"/>
  <c r="J164" i="8"/>
  <c r="G164" i="8"/>
  <c r="D164" i="8"/>
  <c r="W163" i="8"/>
  <c r="W164" i="8" s="1"/>
  <c r="T163" i="8"/>
  <c r="T164" i="8" s="1"/>
  <c r="O163" i="8"/>
  <c r="N163" i="8"/>
  <c r="P163" i="8" s="1"/>
  <c r="M163" i="8"/>
  <c r="J163" i="8"/>
  <c r="G163" i="8"/>
  <c r="D163" i="8"/>
  <c r="T162" i="8"/>
  <c r="R162" i="8"/>
  <c r="Q162" i="8"/>
  <c r="Q163" i="8" s="1"/>
  <c r="Q164" i="8" s="1"/>
  <c r="Q165" i="8" s="1"/>
  <c r="Q166" i="8" s="1"/>
  <c r="Q167" i="8" s="1"/>
  <c r="Q168" i="8" s="1"/>
  <c r="Q169" i="8" s="1"/>
  <c r="O162" i="8"/>
  <c r="N162" i="8"/>
  <c r="P162" i="8" s="1"/>
  <c r="M162" i="8"/>
  <c r="J162" i="8"/>
  <c r="G162" i="8"/>
  <c r="D162" i="8"/>
  <c r="Q161" i="8"/>
  <c r="O161" i="8"/>
  <c r="N161" i="8"/>
  <c r="P161" i="8" s="1"/>
  <c r="M161" i="8"/>
  <c r="J161" i="8"/>
  <c r="G161" i="8"/>
  <c r="D161" i="8"/>
  <c r="AA160" i="8"/>
  <c r="AA161" i="8" s="1"/>
  <c r="Z160" i="8"/>
  <c r="Z161" i="8" s="1"/>
  <c r="Z162" i="8" s="1"/>
  <c r="Z163" i="8" s="1"/>
  <c r="Z164" i="8" s="1"/>
  <c r="Z165" i="8" s="1"/>
  <c r="Z166" i="8" s="1"/>
  <c r="Z167" i="8" s="1"/>
  <c r="Z168" i="8" s="1"/>
  <c r="Z169" i="8" s="1"/>
  <c r="Z170" i="8" s="1"/>
  <c r="Z171" i="8" s="1"/>
  <c r="X160" i="8"/>
  <c r="X161" i="8" s="1"/>
  <c r="W160" i="8"/>
  <c r="W161" i="8" s="1"/>
  <c r="W162" i="8" s="1"/>
  <c r="V160" i="8"/>
  <c r="U160" i="8"/>
  <c r="U161" i="8" s="1"/>
  <c r="T160" i="8"/>
  <c r="T161" i="8" s="1"/>
  <c r="S160" i="8"/>
  <c r="R160" i="8"/>
  <c r="R161" i="8" s="1"/>
  <c r="S161" i="8" s="1"/>
  <c r="Q160" i="8"/>
  <c r="O160" i="8"/>
  <c r="N160" i="8"/>
  <c r="AC160" i="8" s="1"/>
  <c r="M160" i="8"/>
  <c r="AB160" i="8" s="1"/>
  <c r="J160" i="8"/>
  <c r="Y160" i="8" s="1"/>
  <c r="G160" i="8"/>
  <c r="D160" i="8"/>
  <c r="O159" i="8"/>
  <c r="N159" i="8"/>
  <c r="P159" i="8" s="1"/>
  <c r="M159" i="8"/>
  <c r="J159" i="8"/>
  <c r="G159" i="8"/>
  <c r="D159" i="8"/>
  <c r="O158" i="8"/>
  <c r="N158" i="8"/>
  <c r="P158" i="8" s="1"/>
  <c r="M158" i="8"/>
  <c r="J158" i="8"/>
  <c r="G158" i="8"/>
  <c r="D158" i="8"/>
  <c r="O157" i="8"/>
  <c r="N157" i="8"/>
  <c r="P157" i="8" s="1"/>
  <c r="M157" i="8"/>
  <c r="J157" i="8"/>
  <c r="G157" i="8"/>
  <c r="D157" i="8"/>
  <c r="O156" i="8"/>
  <c r="P156" i="8" s="1"/>
  <c r="N156" i="8"/>
  <c r="M156" i="8"/>
  <c r="J156" i="8"/>
  <c r="G156" i="8"/>
  <c r="D156" i="8"/>
  <c r="O155" i="8"/>
  <c r="N155" i="8"/>
  <c r="M155" i="8"/>
  <c r="J155" i="8"/>
  <c r="G155" i="8"/>
  <c r="D155" i="8"/>
  <c r="Q154" i="8"/>
  <c r="Q155" i="8" s="1"/>
  <c r="Q156" i="8" s="1"/>
  <c r="Q157" i="8" s="1"/>
  <c r="Q158" i="8" s="1"/>
  <c r="Q159" i="8" s="1"/>
  <c r="P154" i="8"/>
  <c r="O154" i="8"/>
  <c r="N154" i="8"/>
  <c r="M154" i="8"/>
  <c r="J154" i="8"/>
  <c r="G154" i="8"/>
  <c r="D154" i="8"/>
  <c r="O153" i="8"/>
  <c r="P153" i="8" s="1"/>
  <c r="N153" i="8"/>
  <c r="M153" i="8"/>
  <c r="J153" i="8"/>
  <c r="G153" i="8"/>
  <c r="D153" i="8"/>
  <c r="O152" i="8"/>
  <c r="N152" i="8"/>
  <c r="P152" i="8" s="1"/>
  <c r="M152" i="8"/>
  <c r="J152" i="8"/>
  <c r="G152" i="8"/>
  <c r="D152" i="8"/>
  <c r="Z151" i="8"/>
  <c r="Z152" i="8" s="1"/>
  <c r="Z153" i="8" s="1"/>
  <c r="Z154" i="8" s="1"/>
  <c r="Z155" i="8" s="1"/>
  <c r="Z156" i="8" s="1"/>
  <c r="Z157" i="8" s="1"/>
  <c r="Z158" i="8" s="1"/>
  <c r="Z159" i="8" s="1"/>
  <c r="O151" i="8"/>
  <c r="N151" i="8"/>
  <c r="P151" i="8" s="1"/>
  <c r="M151" i="8"/>
  <c r="J151" i="8"/>
  <c r="G151" i="8"/>
  <c r="D151" i="8"/>
  <c r="R150" i="8"/>
  <c r="O150" i="8"/>
  <c r="N150" i="8"/>
  <c r="P150" i="8" s="1"/>
  <c r="M150" i="8"/>
  <c r="J150" i="8"/>
  <c r="G150" i="8"/>
  <c r="D150" i="8"/>
  <c r="AA149" i="8"/>
  <c r="Z149" i="8"/>
  <c r="Z150" i="8" s="1"/>
  <c r="X149" i="8"/>
  <c r="X150" i="8" s="1"/>
  <c r="R149" i="8"/>
  <c r="S149" i="8" s="1"/>
  <c r="Q149" i="8"/>
  <c r="Q150" i="8" s="1"/>
  <c r="Q151" i="8" s="1"/>
  <c r="Q152" i="8" s="1"/>
  <c r="Q153" i="8" s="1"/>
  <c r="O149" i="8"/>
  <c r="N149" i="8"/>
  <c r="P149" i="8" s="1"/>
  <c r="M149" i="8"/>
  <c r="J149" i="8"/>
  <c r="G149" i="8"/>
  <c r="D149" i="8"/>
  <c r="AD148" i="8"/>
  <c r="AC148" i="8"/>
  <c r="AB148" i="8"/>
  <c r="AA148" i="8"/>
  <c r="Z148" i="8"/>
  <c r="Y148" i="8"/>
  <c r="X148" i="8"/>
  <c r="W148" i="8"/>
  <c r="W149" i="8" s="1"/>
  <c r="W150" i="8" s="1"/>
  <c r="W151" i="8" s="1"/>
  <c r="W152" i="8" s="1"/>
  <c r="W153" i="8" s="1"/>
  <c r="W154" i="8" s="1"/>
  <c r="W155" i="8" s="1"/>
  <c r="W156" i="8" s="1"/>
  <c r="W157" i="8" s="1"/>
  <c r="W158" i="8" s="1"/>
  <c r="W159" i="8" s="1"/>
  <c r="V148" i="8"/>
  <c r="U148" i="8"/>
  <c r="U149" i="8" s="1"/>
  <c r="T148" i="8"/>
  <c r="T149" i="8" s="1"/>
  <c r="T150" i="8" s="1"/>
  <c r="T151" i="8" s="1"/>
  <c r="T152" i="8" s="1"/>
  <c r="T153" i="8" s="1"/>
  <c r="T154" i="8" s="1"/>
  <c r="T155" i="8" s="1"/>
  <c r="T156" i="8" s="1"/>
  <c r="T157" i="8" s="1"/>
  <c r="T158" i="8" s="1"/>
  <c r="T159" i="8" s="1"/>
  <c r="R148" i="8"/>
  <c r="S148" i="8" s="1"/>
  <c r="Q148" i="8"/>
  <c r="P148" i="8"/>
  <c r="O148" i="8"/>
  <c r="N148" i="8"/>
  <c r="M148" i="8"/>
  <c r="J148" i="8"/>
  <c r="G148" i="8"/>
  <c r="D148" i="8"/>
  <c r="O147" i="8"/>
  <c r="P147" i="8" s="1"/>
  <c r="N147" i="8"/>
  <c r="M147" i="8"/>
  <c r="J147" i="8"/>
  <c r="G147" i="8"/>
  <c r="D147" i="8"/>
  <c r="Z146" i="8"/>
  <c r="Z147" i="8" s="1"/>
  <c r="O146" i="8"/>
  <c r="N146" i="8"/>
  <c r="P146" i="8" s="1"/>
  <c r="M146" i="8"/>
  <c r="J146" i="8"/>
  <c r="G146" i="8"/>
  <c r="D146" i="8"/>
  <c r="T145" i="8"/>
  <c r="T146" i="8" s="1"/>
  <c r="T147" i="8" s="1"/>
  <c r="O145" i="8"/>
  <c r="N145" i="8"/>
  <c r="P145" i="8" s="1"/>
  <c r="M145" i="8"/>
  <c r="J145" i="8"/>
  <c r="G145" i="8"/>
  <c r="D145" i="8"/>
  <c r="O144" i="8"/>
  <c r="N144" i="8"/>
  <c r="P144" i="8" s="1"/>
  <c r="M144" i="8"/>
  <c r="J144" i="8"/>
  <c r="G144" i="8"/>
  <c r="D144" i="8"/>
  <c r="Q143" i="8"/>
  <c r="Q144" i="8" s="1"/>
  <c r="Q145" i="8" s="1"/>
  <c r="Q146" i="8" s="1"/>
  <c r="Q147" i="8" s="1"/>
  <c r="P143" i="8"/>
  <c r="O143" i="8"/>
  <c r="N143" i="8"/>
  <c r="M143" i="8"/>
  <c r="J143" i="8"/>
  <c r="G143" i="8"/>
  <c r="D143" i="8"/>
  <c r="Z142" i="8"/>
  <c r="Z143" i="8" s="1"/>
  <c r="Z144" i="8" s="1"/>
  <c r="Z145" i="8" s="1"/>
  <c r="P142" i="8"/>
  <c r="O142" i="8"/>
  <c r="N142" i="8"/>
  <c r="M142" i="8"/>
  <c r="J142" i="8"/>
  <c r="G142" i="8"/>
  <c r="D142" i="8"/>
  <c r="Z141" i="8"/>
  <c r="U141" i="8"/>
  <c r="P141" i="8"/>
  <c r="O141" i="8"/>
  <c r="N141" i="8"/>
  <c r="M141" i="8"/>
  <c r="J141" i="8"/>
  <c r="G141" i="8"/>
  <c r="D141" i="8"/>
  <c r="V140" i="8"/>
  <c r="U140" i="8"/>
  <c r="Q140" i="8"/>
  <c r="Q141" i="8" s="1"/>
  <c r="Q142" i="8" s="1"/>
  <c r="O140" i="8"/>
  <c r="N140" i="8"/>
  <c r="P140" i="8" s="1"/>
  <c r="M140" i="8"/>
  <c r="J140" i="8"/>
  <c r="G140" i="8"/>
  <c r="D140" i="8"/>
  <c r="U139" i="8"/>
  <c r="O139" i="8"/>
  <c r="N139" i="8"/>
  <c r="P139" i="8" s="1"/>
  <c r="M139" i="8"/>
  <c r="J139" i="8"/>
  <c r="G139" i="8"/>
  <c r="D139" i="8"/>
  <c r="W138" i="8"/>
  <c r="W139" i="8" s="1"/>
  <c r="W140" i="8" s="1"/>
  <c r="W141" i="8" s="1"/>
  <c r="W142" i="8" s="1"/>
  <c r="W143" i="8" s="1"/>
  <c r="W144" i="8" s="1"/>
  <c r="W145" i="8" s="1"/>
  <c r="W146" i="8" s="1"/>
  <c r="W147" i="8" s="1"/>
  <c r="T138" i="8"/>
  <c r="T139" i="8" s="1"/>
  <c r="T140" i="8" s="1"/>
  <c r="T141" i="8" s="1"/>
  <c r="T142" i="8" s="1"/>
  <c r="T143" i="8" s="1"/>
  <c r="T144" i="8" s="1"/>
  <c r="Q138" i="8"/>
  <c r="Q139" i="8" s="1"/>
  <c r="P138" i="8"/>
  <c r="O138" i="8"/>
  <c r="N138" i="8"/>
  <c r="M138" i="8"/>
  <c r="J138" i="8"/>
  <c r="G138" i="8"/>
  <c r="D138" i="8"/>
  <c r="AA137" i="8"/>
  <c r="W137" i="8"/>
  <c r="U137" i="8"/>
  <c r="U138" i="8" s="1"/>
  <c r="R137" i="8"/>
  <c r="Q137" i="8"/>
  <c r="O137" i="8"/>
  <c r="P137" i="8" s="1"/>
  <c r="N137" i="8"/>
  <c r="M137" i="8"/>
  <c r="J137" i="8"/>
  <c r="G137" i="8"/>
  <c r="D137" i="8"/>
  <c r="AA136" i="8"/>
  <c r="Z136" i="8"/>
  <c r="Z137" i="8" s="1"/>
  <c r="Z138" i="8" s="1"/>
  <c r="Z139" i="8" s="1"/>
  <c r="Z140" i="8" s="1"/>
  <c r="X136" i="8"/>
  <c r="X137" i="8" s="1"/>
  <c r="W136" i="8"/>
  <c r="U136" i="8"/>
  <c r="T136" i="8"/>
  <c r="T137" i="8" s="1"/>
  <c r="V137" i="8" s="1"/>
  <c r="R136" i="8"/>
  <c r="S136" i="8" s="1"/>
  <c r="Q136" i="8"/>
  <c r="O136" i="8"/>
  <c r="N136" i="8"/>
  <c r="AC136" i="8" s="1"/>
  <c r="M136" i="8"/>
  <c r="AB136" i="8" s="1"/>
  <c r="J136" i="8"/>
  <c r="Y136" i="8" s="1"/>
  <c r="G136" i="8"/>
  <c r="D136" i="8"/>
  <c r="T135" i="8"/>
  <c r="O135" i="8"/>
  <c r="N135" i="8"/>
  <c r="P135" i="8" s="1"/>
  <c r="M135" i="8"/>
  <c r="J135" i="8"/>
  <c r="G135" i="8"/>
  <c r="D135" i="8"/>
  <c r="P134" i="8"/>
  <c r="O134" i="8"/>
  <c r="N134" i="8"/>
  <c r="M134" i="8"/>
  <c r="J134" i="8"/>
  <c r="G134" i="8"/>
  <c r="D134" i="8"/>
  <c r="O133" i="8"/>
  <c r="N133" i="8"/>
  <c r="P133" i="8" s="1"/>
  <c r="M133" i="8"/>
  <c r="J133" i="8"/>
  <c r="G133" i="8"/>
  <c r="D133" i="8"/>
  <c r="P132" i="8"/>
  <c r="O132" i="8"/>
  <c r="N132" i="8"/>
  <c r="M132" i="8"/>
  <c r="J132" i="8"/>
  <c r="G132" i="8"/>
  <c r="D132" i="8"/>
  <c r="O131" i="8"/>
  <c r="P131" i="8" s="1"/>
  <c r="N131" i="8"/>
  <c r="M131" i="8"/>
  <c r="J131" i="8"/>
  <c r="G131" i="8"/>
  <c r="D131" i="8"/>
  <c r="O130" i="8"/>
  <c r="N130" i="8"/>
  <c r="M130" i="8"/>
  <c r="J130" i="8"/>
  <c r="G130" i="8"/>
  <c r="D130" i="8"/>
  <c r="O129" i="8"/>
  <c r="N129" i="8"/>
  <c r="P129" i="8" s="1"/>
  <c r="M129" i="8"/>
  <c r="J129" i="8"/>
  <c r="G129" i="8"/>
  <c r="D129" i="8"/>
  <c r="O128" i="8"/>
  <c r="N128" i="8"/>
  <c r="P128" i="8" s="1"/>
  <c r="M128" i="8"/>
  <c r="J128" i="8"/>
  <c r="G128" i="8"/>
  <c r="D128" i="8"/>
  <c r="Z127" i="8"/>
  <c r="Z128" i="8" s="1"/>
  <c r="Z129" i="8" s="1"/>
  <c r="Z130" i="8" s="1"/>
  <c r="Z131" i="8" s="1"/>
  <c r="Z132" i="8" s="1"/>
  <c r="Z133" i="8" s="1"/>
  <c r="Z134" i="8" s="1"/>
  <c r="Z135" i="8" s="1"/>
  <c r="O127" i="8"/>
  <c r="N127" i="8"/>
  <c r="P127" i="8" s="1"/>
  <c r="M127" i="8"/>
  <c r="J127" i="8"/>
  <c r="G127" i="8"/>
  <c r="D127" i="8"/>
  <c r="V126" i="8"/>
  <c r="P126" i="8"/>
  <c r="O126" i="8"/>
  <c r="N126" i="8"/>
  <c r="M126" i="8"/>
  <c r="J126" i="8"/>
  <c r="G126" i="8"/>
  <c r="D126" i="8"/>
  <c r="U125" i="8"/>
  <c r="U126" i="8" s="1"/>
  <c r="U127" i="8" s="1"/>
  <c r="O125" i="8"/>
  <c r="N125" i="8"/>
  <c r="P125" i="8" s="1"/>
  <c r="M125" i="8"/>
  <c r="J125" i="8"/>
  <c r="G125" i="8"/>
  <c r="D125" i="8"/>
  <c r="AA124" i="8"/>
  <c r="AA125" i="8" s="1"/>
  <c r="Z124" i="8"/>
  <c r="Z125" i="8" s="1"/>
  <c r="Z126" i="8" s="1"/>
  <c r="X124" i="8"/>
  <c r="X125" i="8" s="1"/>
  <c r="W124" i="8"/>
  <c r="V124" i="8"/>
  <c r="U124" i="8"/>
  <c r="T124" i="8"/>
  <c r="T125" i="8" s="1"/>
  <c r="T126" i="8" s="1"/>
  <c r="T127" i="8" s="1"/>
  <c r="T128" i="8" s="1"/>
  <c r="T129" i="8" s="1"/>
  <c r="T130" i="8" s="1"/>
  <c r="T131" i="8" s="1"/>
  <c r="T132" i="8" s="1"/>
  <c r="T133" i="8" s="1"/>
  <c r="T134" i="8" s="1"/>
  <c r="R124" i="8"/>
  <c r="R125" i="8" s="1"/>
  <c r="Q124" i="8"/>
  <c r="S124" i="8" s="1"/>
  <c r="O124" i="8"/>
  <c r="N124" i="8"/>
  <c r="P124" i="8" s="1"/>
  <c r="M124" i="8"/>
  <c r="J124" i="8"/>
  <c r="G124" i="8"/>
  <c r="D124" i="8"/>
  <c r="O123" i="8"/>
  <c r="N123" i="8"/>
  <c r="P123" i="8" s="1"/>
  <c r="M123" i="8"/>
  <c r="J123" i="8"/>
  <c r="G123" i="8"/>
  <c r="D123" i="8"/>
  <c r="O122" i="8"/>
  <c r="N122" i="8"/>
  <c r="P122" i="8" s="1"/>
  <c r="M122" i="8"/>
  <c r="J122" i="8"/>
  <c r="G122" i="8"/>
  <c r="D122" i="8"/>
  <c r="O121" i="8"/>
  <c r="N121" i="8"/>
  <c r="P121" i="8" s="1"/>
  <c r="M121" i="8"/>
  <c r="J121" i="8"/>
  <c r="G121" i="8"/>
  <c r="D121" i="8"/>
  <c r="Z120" i="8"/>
  <c r="Z121" i="8" s="1"/>
  <c r="Z122" i="8" s="1"/>
  <c r="Z123" i="8" s="1"/>
  <c r="P120" i="8"/>
  <c r="O120" i="8"/>
  <c r="N120" i="8"/>
  <c r="M120" i="8"/>
  <c r="J120" i="8"/>
  <c r="G120" i="8"/>
  <c r="D120" i="8"/>
  <c r="P119" i="8"/>
  <c r="O119" i="8"/>
  <c r="N119" i="8"/>
  <c r="M119" i="8"/>
  <c r="J119" i="8"/>
  <c r="G119" i="8"/>
  <c r="D119" i="8"/>
  <c r="T118" i="8"/>
  <c r="T119" i="8" s="1"/>
  <c r="T120" i="8" s="1"/>
  <c r="T121" i="8" s="1"/>
  <c r="T122" i="8" s="1"/>
  <c r="T123" i="8" s="1"/>
  <c r="P118" i="8"/>
  <c r="O118" i="8"/>
  <c r="N118" i="8"/>
  <c r="M118" i="8"/>
  <c r="J118" i="8"/>
  <c r="G118" i="8"/>
  <c r="D118" i="8"/>
  <c r="O117" i="8"/>
  <c r="N117" i="8"/>
  <c r="P117" i="8" s="1"/>
  <c r="M117" i="8"/>
  <c r="J117" i="8"/>
  <c r="G117" i="8"/>
  <c r="D117" i="8"/>
  <c r="T116" i="8"/>
  <c r="T117" i="8" s="1"/>
  <c r="Q116" i="8"/>
  <c r="Q117" i="8" s="1"/>
  <c r="Q118" i="8" s="1"/>
  <c r="Q119" i="8" s="1"/>
  <c r="Q120" i="8" s="1"/>
  <c r="Q121" i="8" s="1"/>
  <c r="Q122" i="8" s="1"/>
  <c r="Q123" i="8" s="1"/>
  <c r="O116" i="8"/>
  <c r="N116" i="8"/>
  <c r="P116" i="8" s="1"/>
  <c r="M116" i="8"/>
  <c r="J116" i="8"/>
  <c r="G116" i="8"/>
  <c r="D116" i="8"/>
  <c r="O115" i="8"/>
  <c r="N115" i="8"/>
  <c r="P115" i="8" s="1"/>
  <c r="M115" i="8"/>
  <c r="J115" i="8"/>
  <c r="G115" i="8"/>
  <c r="D115" i="8"/>
  <c r="T114" i="8"/>
  <c r="T115" i="8" s="1"/>
  <c r="R114" i="8"/>
  <c r="Q114" i="8"/>
  <c r="Q115" i="8" s="1"/>
  <c r="P114" i="8"/>
  <c r="O114" i="8"/>
  <c r="N114" i="8"/>
  <c r="M114" i="8"/>
  <c r="J114" i="8"/>
  <c r="G114" i="8"/>
  <c r="D114" i="8"/>
  <c r="T113" i="8"/>
  <c r="Q113" i="8"/>
  <c r="S113" i="8" s="1"/>
  <c r="O113" i="8"/>
  <c r="N113" i="8"/>
  <c r="P113" i="8" s="1"/>
  <c r="M113" i="8"/>
  <c r="J113" i="8"/>
  <c r="G113" i="8"/>
  <c r="D113" i="8"/>
  <c r="AA112" i="8"/>
  <c r="AB112" i="8" s="1"/>
  <c r="AC112" i="8" s="1"/>
  <c r="Z112" i="8"/>
  <c r="Z113" i="8" s="1"/>
  <c r="Z114" i="8" s="1"/>
  <c r="Z115" i="8" s="1"/>
  <c r="Z116" i="8" s="1"/>
  <c r="Z117" i="8" s="1"/>
  <c r="Z118" i="8" s="1"/>
  <c r="Z119" i="8" s="1"/>
  <c r="X112" i="8"/>
  <c r="Y112" i="8" s="1"/>
  <c r="W112" i="8"/>
  <c r="W113" i="8" s="1"/>
  <c r="W114" i="8" s="1"/>
  <c r="W115" i="8" s="1"/>
  <c r="W116" i="8" s="1"/>
  <c r="W117" i="8" s="1"/>
  <c r="W118" i="8" s="1"/>
  <c r="W119" i="8" s="1"/>
  <c r="W120" i="8" s="1"/>
  <c r="W121" i="8" s="1"/>
  <c r="W122" i="8" s="1"/>
  <c r="W123" i="8" s="1"/>
  <c r="V112" i="8"/>
  <c r="U112" i="8"/>
  <c r="U113" i="8" s="1"/>
  <c r="V113" i="8" s="1"/>
  <c r="T112" i="8"/>
  <c r="S112" i="8"/>
  <c r="R112" i="8"/>
  <c r="R113" i="8" s="1"/>
  <c r="Q112" i="8"/>
  <c r="P112" i="8"/>
  <c r="O112" i="8"/>
  <c r="N112" i="8"/>
  <c r="M112" i="8"/>
  <c r="J112" i="8"/>
  <c r="G112" i="8"/>
  <c r="D112" i="8"/>
  <c r="O111" i="8"/>
  <c r="N111" i="8"/>
  <c r="P111" i="8" s="1"/>
  <c r="M111" i="8"/>
  <c r="J111" i="8"/>
  <c r="G111" i="8"/>
  <c r="D111" i="8"/>
  <c r="P110" i="8"/>
  <c r="O110" i="8"/>
  <c r="N110" i="8"/>
  <c r="M110" i="8"/>
  <c r="J110" i="8"/>
  <c r="G110" i="8"/>
  <c r="D110" i="8"/>
  <c r="O109" i="8"/>
  <c r="P109" i="8" s="1"/>
  <c r="N109" i="8"/>
  <c r="M109" i="8"/>
  <c r="J109" i="8"/>
  <c r="G109" i="8"/>
  <c r="D109" i="8"/>
  <c r="O108" i="8"/>
  <c r="N108" i="8"/>
  <c r="M108" i="8"/>
  <c r="J108" i="8"/>
  <c r="G108" i="8"/>
  <c r="D108" i="8"/>
  <c r="O107" i="8"/>
  <c r="N107" i="8"/>
  <c r="P107" i="8" s="1"/>
  <c r="M107" i="8"/>
  <c r="J107" i="8"/>
  <c r="G107" i="8"/>
  <c r="D107" i="8"/>
  <c r="O106" i="8"/>
  <c r="P106" i="8" s="1"/>
  <c r="N106" i="8"/>
  <c r="M106" i="8"/>
  <c r="J106" i="8"/>
  <c r="G106" i="8"/>
  <c r="D106" i="8"/>
  <c r="O105" i="8"/>
  <c r="N105" i="8"/>
  <c r="P105" i="8" s="1"/>
  <c r="M105" i="8"/>
  <c r="J105" i="8"/>
  <c r="G105" i="8"/>
  <c r="D105" i="8"/>
  <c r="P104" i="8"/>
  <c r="O104" i="8"/>
  <c r="N104" i="8"/>
  <c r="M104" i="8"/>
  <c r="J104" i="8"/>
  <c r="G104" i="8"/>
  <c r="D104" i="8"/>
  <c r="O103" i="8"/>
  <c r="P103" i="8" s="1"/>
  <c r="N103" i="8"/>
  <c r="M103" i="8"/>
  <c r="J103" i="8"/>
  <c r="G103" i="8"/>
  <c r="D103" i="8"/>
  <c r="O102" i="8"/>
  <c r="N102" i="8"/>
  <c r="P102" i="8" s="1"/>
  <c r="M102" i="8"/>
  <c r="J102" i="8"/>
  <c r="G102" i="8"/>
  <c r="D102" i="8"/>
  <c r="AA101" i="8"/>
  <c r="Z101" i="8"/>
  <c r="Z102" i="8" s="1"/>
  <c r="Z103" i="8" s="1"/>
  <c r="Z104" i="8" s="1"/>
  <c r="Z105" i="8" s="1"/>
  <c r="Z106" i="8" s="1"/>
  <c r="Z107" i="8" s="1"/>
  <c r="Z108" i="8" s="1"/>
  <c r="Z109" i="8" s="1"/>
  <c r="Z110" i="8" s="1"/>
  <c r="Z111" i="8" s="1"/>
  <c r="X101" i="8"/>
  <c r="W101" i="8"/>
  <c r="W102" i="8" s="1"/>
  <c r="W103" i="8" s="1"/>
  <c r="W104" i="8" s="1"/>
  <c r="W105" i="8" s="1"/>
  <c r="W106" i="8" s="1"/>
  <c r="W107" i="8" s="1"/>
  <c r="W108" i="8" s="1"/>
  <c r="W109" i="8" s="1"/>
  <c r="W110" i="8" s="1"/>
  <c r="W111" i="8" s="1"/>
  <c r="V101" i="8"/>
  <c r="U101" i="8"/>
  <c r="U102" i="8" s="1"/>
  <c r="T101" i="8"/>
  <c r="T102" i="8" s="1"/>
  <c r="T103" i="8" s="1"/>
  <c r="T104" i="8" s="1"/>
  <c r="T105" i="8" s="1"/>
  <c r="T106" i="8" s="1"/>
  <c r="T107" i="8" s="1"/>
  <c r="T108" i="8" s="1"/>
  <c r="T109" i="8" s="1"/>
  <c r="T110" i="8" s="1"/>
  <c r="T111" i="8" s="1"/>
  <c r="O101" i="8"/>
  <c r="N101" i="8"/>
  <c r="P101" i="8" s="1"/>
  <c r="M101" i="8"/>
  <c r="J101" i="8"/>
  <c r="G101" i="8"/>
  <c r="D101" i="8"/>
  <c r="AB100" i="8"/>
  <c r="AA100" i="8"/>
  <c r="Z100" i="8"/>
  <c r="Y100" i="8"/>
  <c r="X100" i="8"/>
  <c r="W100" i="8"/>
  <c r="V100" i="8"/>
  <c r="U100" i="8"/>
  <c r="T100" i="8"/>
  <c r="S100" i="8"/>
  <c r="R100" i="8"/>
  <c r="R101" i="8" s="1"/>
  <c r="R102" i="8" s="1"/>
  <c r="Q100" i="8"/>
  <c r="Q101" i="8" s="1"/>
  <c r="O100" i="8"/>
  <c r="N100" i="8"/>
  <c r="P100" i="8" s="1"/>
  <c r="M100" i="8"/>
  <c r="J100" i="8"/>
  <c r="G100" i="8"/>
  <c r="D100" i="8"/>
  <c r="P99" i="8"/>
  <c r="O99" i="8"/>
  <c r="N99" i="8"/>
  <c r="M99" i="8"/>
  <c r="J99" i="8"/>
  <c r="G99" i="8"/>
  <c r="D99" i="8"/>
  <c r="P98" i="8"/>
  <c r="O98" i="8"/>
  <c r="N98" i="8"/>
  <c r="M98" i="8"/>
  <c r="J98" i="8"/>
  <c r="G98" i="8"/>
  <c r="D98" i="8"/>
  <c r="Z97" i="8"/>
  <c r="Z98" i="8" s="1"/>
  <c r="Z99" i="8" s="1"/>
  <c r="W97" i="8"/>
  <c r="W98" i="8" s="1"/>
  <c r="W99" i="8" s="1"/>
  <c r="O97" i="8"/>
  <c r="P97" i="8" s="1"/>
  <c r="N97" i="8"/>
  <c r="M97" i="8"/>
  <c r="J97" i="8"/>
  <c r="G97" i="8"/>
  <c r="D97" i="8"/>
  <c r="T96" i="8"/>
  <c r="T97" i="8" s="1"/>
  <c r="T98" i="8" s="1"/>
  <c r="T99" i="8" s="1"/>
  <c r="O96" i="8"/>
  <c r="N96" i="8"/>
  <c r="P96" i="8" s="1"/>
  <c r="M96" i="8"/>
  <c r="J96" i="8"/>
  <c r="G96" i="8"/>
  <c r="D96" i="8"/>
  <c r="P95" i="8"/>
  <c r="O95" i="8"/>
  <c r="N95" i="8"/>
  <c r="M95" i="8"/>
  <c r="J95" i="8"/>
  <c r="G95" i="8"/>
  <c r="D95" i="8"/>
  <c r="W94" i="8"/>
  <c r="W95" i="8" s="1"/>
  <c r="W96" i="8" s="1"/>
  <c r="O94" i="8"/>
  <c r="P94" i="8" s="1"/>
  <c r="N94" i="8"/>
  <c r="M94" i="8"/>
  <c r="J94" i="8"/>
  <c r="G94" i="8"/>
  <c r="D94" i="8"/>
  <c r="P93" i="8"/>
  <c r="O93" i="8"/>
  <c r="N93" i="8"/>
  <c r="M93" i="8"/>
  <c r="J93" i="8"/>
  <c r="G93" i="8"/>
  <c r="D93" i="8"/>
  <c r="R92" i="8"/>
  <c r="P92" i="8"/>
  <c r="O92" i="8"/>
  <c r="N92" i="8"/>
  <c r="M92" i="8"/>
  <c r="J92" i="8"/>
  <c r="G92" i="8"/>
  <c r="D92" i="8"/>
  <c r="O91" i="8"/>
  <c r="N91" i="8"/>
  <c r="P91" i="8" s="1"/>
  <c r="M91" i="8"/>
  <c r="J91" i="8"/>
  <c r="G91" i="8"/>
  <c r="D91" i="8"/>
  <c r="R90" i="8"/>
  <c r="R91" i="8" s="1"/>
  <c r="S91" i="8" s="1"/>
  <c r="P90" i="8"/>
  <c r="O90" i="8"/>
  <c r="N90" i="8"/>
  <c r="M90" i="8"/>
  <c r="J90" i="8"/>
  <c r="G90" i="8"/>
  <c r="D90" i="8"/>
  <c r="Z89" i="8"/>
  <c r="Z90" i="8" s="1"/>
  <c r="Z91" i="8" s="1"/>
  <c r="Z92" i="8" s="1"/>
  <c r="Z93" i="8" s="1"/>
  <c r="Z94" i="8" s="1"/>
  <c r="Z95" i="8" s="1"/>
  <c r="Z96" i="8" s="1"/>
  <c r="W89" i="8"/>
  <c r="W90" i="8" s="1"/>
  <c r="W91" i="8" s="1"/>
  <c r="W92" i="8" s="1"/>
  <c r="W93" i="8" s="1"/>
  <c r="R89" i="8"/>
  <c r="O89" i="8"/>
  <c r="N89" i="8"/>
  <c r="P89" i="8" s="1"/>
  <c r="M89" i="8"/>
  <c r="J89" i="8"/>
  <c r="G89" i="8"/>
  <c r="D89" i="8"/>
  <c r="AB88" i="8"/>
  <c r="AC88" i="8" s="1"/>
  <c r="AA88" i="8"/>
  <c r="AA89" i="8" s="1"/>
  <c r="Z88" i="8"/>
  <c r="Y88" i="8"/>
  <c r="X88" i="8"/>
  <c r="X89" i="8" s="1"/>
  <c r="W88" i="8"/>
  <c r="U88" i="8"/>
  <c r="V88" i="8" s="1"/>
  <c r="T88" i="8"/>
  <c r="T89" i="8" s="1"/>
  <c r="T90" i="8" s="1"/>
  <c r="T91" i="8" s="1"/>
  <c r="T92" i="8" s="1"/>
  <c r="T93" i="8" s="1"/>
  <c r="T94" i="8" s="1"/>
  <c r="T95" i="8" s="1"/>
  <c r="R88" i="8"/>
  <c r="S88" i="8" s="1"/>
  <c r="Q88" i="8"/>
  <c r="Q89" i="8" s="1"/>
  <c r="Q90" i="8" s="1"/>
  <c r="Q91" i="8" s="1"/>
  <c r="Q92" i="8" s="1"/>
  <c r="Q93" i="8" s="1"/>
  <c r="Q94" i="8" s="1"/>
  <c r="Q95" i="8" s="1"/>
  <c r="Q96" i="8" s="1"/>
  <c r="Q97" i="8" s="1"/>
  <c r="Q98" i="8" s="1"/>
  <c r="Q99" i="8" s="1"/>
  <c r="P88" i="8"/>
  <c r="O88" i="8"/>
  <c r="N88" i="8"/>
  <c r="M88" i="8"/>
  <c r="J88" i="8"/>
  <c r="G88" i="8"/>
  <c r="D88" i="8"/>
  <c r="O87" i="8"/>
  <c r="P87" i="8" s="1"/>
  <c r="N87" i="8"/>
  <c r="M87" i="8"/>
  <c r="J87" i="8"/>
  <c r="G87" i="8"/>
  <c r="D87" i="8"/>
  <c r="O86" i="8"/>
  <c r="N86" i="8"/>
  <c r="M86" i="8"/>
  <c r="J86" i="8"/>
  <c r="G86" i="8"/>
  <c r="D86" i="8"/>
  <c r="O85" i="8"/>
  <c r="N85" i="8"/>
  <c r="P85" i="8" s="1"/>
  <c r="M85" i="8"/>
  <c r="J85" i="8"/>
  <c r="G85" i="8"/>
  <c r="D85" i="8"/>
  <c r="O84" i="8"/>
  <c r="N84" i="8"/>
  <c r="P84" i="8" s="1"/>
  <c r="M84" i="8"/>
  <c r="J84" i="8"/>
  <c r="G84" i="8"/>
  <c r="D84" i="8"/>
  <c r="Z83" i="8"/>
  <c r="Z84" i="8" s="1"/>
  <c r="Z85" i="8" s="1"/>
  <c r="Z86" i="8" s="1"/>
  <c r="Z87" i="8" s="1"/>
  <c r="P83" i="8"/>
  <c r="O83" i="8"/>
  <c r="N83" i="8"/>
  <c r="M83" i="8"/>
  <c r="J83" i="8"/>
  <c r="G83" i="8"/>
  <c r="D83" i="8"/>
  <c r="O82" i="8"/>
  <c r="N82" i="8"/>
  <c r="P82" i="8" s="1"/>
  <c r="M82" i="8"/>
  <c r="J82" i="8"/>
  <c r="G82" i="8"/>
  <c r="D82" i="8"/>
  <c r="O81" i="8"/>
  <c r="N81" i="8"/>
  <c r="P81" i="8" s="1"/>
  <c r="M81" i="8"/>
  <c r="J81" i="8"/>
  <c r="G81" i="8"/>
  <c r="D81" i="8"/>
  <c r="O80" i="8"/>
  <c r="N80" i="8"/>
  <c r="P80" i="8" s="1"/>
  <c r="M80" i="8"/>
  <c r="J80" i="8"/>
  <c r="G80" i="8"/>
  <c r="D80" i="8"/>
  <c r="U79" i="8"/>
  <c r="T79" i="8"/>
  <c r="T80" i="8" s="1"/>
  <c r="T81" i="8" s="1"/>
  <c r="T82" i="8" s="1"/>
  <c r="T83" i="8" s="1"/>
  <c r="T84" i="8" s="1"/>
  <c r="T85" i="8" s="1"/>
  <c r="T86" i="8" s="1"/>
  <c r="T87" i="8" s="1"/>
  <c r="O79" i="8"/>
  <c r="N79" i="8"/>
  <c r="P79" i="8" s="1"/>
  <c r="M79" i="8"/>
  <c r="J79" i="8"/>
  <c r="G79" i="8"/>
  <c r="D79" i="8"/>
  <c r="U78" i="8"/>
  <c r="V78" i="8" s="1"/>
  <c r="T78" i="8"/>
  <c r="O78" i="8"/>
  <c r="N78" i="8"/>
  <c r="P78" i="8" s="1"/>
  <c r="M78" i="8"/>
  <c r="J78" i="8"/>
  <c r="G78" i="8"/>
  <c r="D78" i="8"/>
  <c r="U77" i="8"/>
  <c r="V77" i="8" s="1"/>
  <c r="T77" i="8"/>
  <c r="R77" i="8"/>
  <c r="Q77" i="8"/>
  <c r="Q78" i="8" s="1"/>
  <c r="Q79" i="8" s="1"/>
  <c r="Q80" i="8" s="1"/>
  <c r="Q81" i="8" s="1"/>
  <c r="Q82" i="8" s="1"/>
  <c r="Q83" i="8" s="1"/>
  <c r="Q84" i="8" s="1"/>
  <c r="Q85" i="8" s="1"/>
  <c r="Q86" i="8" s="1"/>
  <c r="Q87" i="8" s="1"/>
  <c r="O77" i="8"/>
  <c r="N77" i="8"/>
  <c r="P77" i="8" s="1"/>
  <c r="M77" i="8"/>
  <c r="J77" i="8"/>
  <c r="G77" i="8"/>
  <c r="D77" i="8"/>
  <c r="AA76" i="8"/>
  <c r="Z76" i="8"/>
  <c r="Z77" i="8" s="1"/>
  <c r="Z78" i="8" s="1"/>
  <c r="Z79" i="8" s="1"/>
  <c r="Z80" i="8" s="1"/>
  <c r="Z81" i="8" s="1"/>
  <c r="Z82" i="8" s="1"/>
  <c r="X76" i="8"/>
  <c r="W76" i="8"/>
  <c r="W77" i="8" s="1"/>
  <c r="W78" i="8" s="1"/>
  <c r="W79" i="8" s="1"/>
  <c r="W80" i="8" s="1"/>
  <c r="W81" i="8" s="1"/>
  <c r="W82" i="8" s="1"/>
  <c r="W83" i="8" s="1"/>
  <c r="W84" i="8" s="1"/>
  <c r="W85" i="8" s="1"/>
  <c r="W86" i="8" s="1"/>
  <c r="W87" i="8" s="1"/>
  <c r="U76" i="8"/>
  <c r="V76" i="8" s="1"/>
  <c r="T76" i="8"/>
  <c r="S76" i="8"/>
  <c r="R76" i="8"/>
  <c r="Q76" i="8"/>
  <c r="P76" i="8"/>
  <c r="O76" i="8"/>
  <c r="N76" i="8"/>
  <c r="M76" i="8"/>
  <c r="J76" i="8"/>
  <c r="G76" i="8"/>
  <c r="D76" i="8"/>
  <c r="O75" i="8"/>
  <c r="P75" i="8" s="1"/>
  <c r="N75" i="8"/>
  <c r="M75" i="8"/>
  <c r="J75" i="8"/>
  <c r="G75" i="8"/>
  <c r="D75" i="8"/>
  <c r="P74" i="8"/>
  <c r="O74" i="8"/>
  <c r="N74" i="8"/>
  <c r="M74" i="8"/>
  <c r="J74" i="8"/>
  <c r="G74" i="8"/>
  <c r="D74" i="8"/>
  <c r="P73" i="8"/>
  <c r="O73" i="8"/>
  <c r="N73" i="8"/>
  <c r="M73" i="8"/>
  <c r="J73" i="8"/>
  <c r="G73" i="8"/>
  <c r="D73" i="8"/>
  <c r="P72" i="8"/>
  <c r="O72" i="8"/>
  <c r="N72" i="8"/>
  <c r="M72" i="8"/>
  <c r="J72" i="8"/>
  <c r="G72" i="8"/>
  <c r="D72" i="8"/>
  <c r="P71" i="8"/>
  <c r="O71" i="8"/>
  <c r="N71" i="8"/>
  <c r="M71" i="8"/>
  <c r="J71" i="8"/>
  <c r="G71" i="8"/>
  <c r="D71" i="8"/>
  <c r="T70" i="8"/>
  <c r="T71" i="8" s="1"/>
  <c r="T72" i="8" s="1"/>
  <c r="T73" i="8" s="1"/>
  <c r="T74" i="8" s="1"/>
  <c r="T75" i="8" s="1"/>
  <c r="P70" i="8"/>
  <c r="O70" i="8"/>
  <c r="N70" i="8"/>
  <c r="M70" i="8"/>
  <c r="J70" i="8"/>
  <c r="G70" i="8"/>
  <c r="D70" i="8"/>
  <c r="T69" i="8"/>
  <c r="O69" i="8"/>
  <c r="N69" i="8"/>
  <c r="M69" i="8"/>
  <c r="J69" i="8"/>
  <c r="G69" i="8"/>
  <c r="D69" i="8"/>
  <c r="P68" i="8"/>
  <c r="O68" i="8"/>
  <c r="N68" i="8"/>
  <c r="M68" i="8"/>
  <c r="J68" i="8"/>
  <c r="G68" i="8"/>
  <c r="D68" i="8"/>
  <c r="O67" i="8"/>
  <c r="N67" i="8"/>
  <c r="M67" i="8"/>
  <c r="J67" i="8"/>
  <c r="G67" i="8"/>
  <c r="D67" i="8"/>
  <c r="Q66" i="8"/>
  <c r="Q67" i="8" s="1"/>
  <c r="Q68" i="8" s="1"/>
  <c r="Q69" i="8" s="1"/>
  <c r="Q70" i="8" s="1"/>
  <c r="Q71" i="8" s="1"/>
  <c r="Q72" i="8" s="1"/>
  <c r="Q73" i="8" s="1"/>
  <c r="Q74" i="8" s="1"/>
  <c r="Q75" i="8" s="1"/>
  <c r="P66" i="8"/>
  <c r="O66" i="8"/>
  <c r="N66" i="8"/>
  <c r="M66" i="8"/>
  <c r="J66" i="8"/>
  <c r="G66" i="8"/>
  <c r="D66" i="8"/>
  <c r="Q65" i="8"/>
  <c r="P65" i="8"/>
  <c r="O65" i="8"/>
  <c r="N65" i="8"/>
  <c r="M65" i="8"/>
  <c r="J65" i="8"/>
  <c r="G65" i="8"/>
  <c r="D65" i="8"/>
  <c r="AA64" i="8"/>
  <c r="AA65" i="8" s="1"/>
  <c r="Z64" i="8"/>
  <c r="Z65" i="8" s="1"/>
  <c r="Z66" i="8" s="1"/>
  <c r="Z67" i="8" s="1"/>
  <c r="Z68" i="8" s="1"/>
  <c r="Z69" i="8" s="1"/>
  <c r="Z70" i="8" s="1"/>
  <c r="Z71" i="8" s="1"/>
  <c r="Z72" i="8" s="1"/>
  <c r="Z73" i="8" s="1"/>
  <c r="Z74" i="8" s="1"/>
  <c r="Z75" i="8" s="1"/>
  <c r="X64" i="8"/>
  <c r="X65" i="8" s="1"/>
  <c r="W64" i="8"/>
  <c r="Y64" i="8" s="1"/>
  <c r="U64" i="8"/>
  <c r="V64" i="8" s="1"/>
  <c r="T64" i="8"/>
  <c r="T65" i="8" s="1"/>
  <c r="T66" i="8" s="1"/>
  <c r="T67" i="8" s="1"/>
  <c r="T68" i="8" s="1"/>
  <c r="S64" i="8"/>
  <c r="R64" i="8"/>
  <c r="R65" i="8" s="1"/>
  <c r="Q64" i="8"/>
  <c r="O64" i="8"/>
  <c r="N64" i="8"/>
  <c r="M64" i="8"/>
  <c r="J64" i="8"/>
  <c r="G64" i="8"/>
  <c r="D64" i="8"/>
  <c r="O63" i="8"/>
  <c r="N63" i="8"/>
  <c r="P63" i="8" s="1"/>
  <c r="M63" i="8"/>
  <c r="J63" i="8"/>
  <c r="G63" i="8"/>
  <c r="D63" i="8"/>
  <c r="O62" i="8"/>
  <c r="N62" i="8"/>
  <c r="P62" i="8" s="1"/>
  <c r="M62" i="8"/>
  <c r="J62" i="8"/>
  <c r="G62" i="8"/>
  <c r="D62" i="8"/>
  <c r="P61" i="8"/>
  <c r="O61" i="8"/>
  <c r="N61" i="8"/>
  <c r="M61" i="8"/>
  <c r="J61" i="8"/>
  <c r="G61" i="8"/>
  <c r="D61" i="8"/>
  <c r="Z60" i="8"/>
  <c r="Z61" i="8" s="1"/>
  <c r="Z62" i="8" s="1"/>
  <c r="Z63" i="8" s="1"/>
  <c r="O60" i="8"/>
  <c r="P60" i="8" s="1"/>
  <c r="N60" i="8"/>
  <c r="M60" i="8"/>
  <c r="J60" i="8"/>
  <c r="G60" i="8"/>
  <c r="D60" i="8"/>
  <c r="O59" i="8"/>
  <c r="N59" i="8"/>
  <c r="P59" i="8" s="1"/>
  <c r="M59" i="8"/>
  <c r="J59" i="8"/>
  <c r="G59" i="8"/>
  <c r="D59" i="8"/>
  <c r="Z58" i="8"/>
  <c r="Z59" i="8" s="1"/>
  <c r="O58" i="8"/>
  <c r="N58" i="8"/>
  <c r="P58" i="8" s="1"/>
  <c r="M58" i="8"/>
  <c r="J58" i="8"/>
  <c r="G58" i="8"/>
  <c r="D58" i="8"/>
  <c r="O57" i="8"/>
  <c r="N57" i="8"/>
  <c r="P57" i="8" s="1"/>
  <c r="M57" i="8"/>
  <c r="J57" i="8"/>
  <c r="G57" i="8"/>
  <c r="D57" i="8"/>
  <c r="O56" i="8"/>
  <c r="N56" i="8"/>
  <c r="P56" i="8" s="1"/>
  <c r="M56" i="8"/>
  <c r="J56" i="8"/>
  <c r="G56" i="8"/>
  <c r="D56" i="8"/>
  <c r="Z55" i="8"/>
  <c r="Z56" i="8" s="1"/>
  <c r="Z57" i="8" s="1"/>
  <c r="P55" i="8"/>
  <c r="O55" i="8"/>
  <c r="N55" i="8"/>
  <c r="M55" i="8"/>
  <c r="J55" i="8"/>
  <c r="G55" i="8"/>
  <c r="D55" i="8"/>
  <c r="X54" i="8"/>
  <c r="U54" i="8"/>
  <c r="T54" i="8"/>
  <c r="T55" i="8" s="1"/>
  <c r="T56" i="8" s="1"/>
  <c r="T57" i="8" s="1"/>
  <c r="T58" i="8" s="1"/>
  <c r="T59" i="8" s="1"/>
  <c r="T60" i="8" s="1"/>
  <c r="T61" i="8" s="1"/>
  <c r="T62" i="8" s="1"/>
  <c r="T63" i="8" s="1"/>
  <c r="R54" i="8"/>
  <c r="R55" i="8" s="1"/>
  <c r="S55" i="8" s="1"/>
  <c r="Q54" i="8"/>
  <c r="Q55" i="8" s="1"/>
  <c r="Q56" i="8" s="1"/>
  <c r="Q57" i="8" s="1"/>
  <c r="Q58" i="8" s="1"/>
  <c r="Q59" i="8" s="1"/>
  <c r="Q60" i="8" s="1"/>
  <c r="Q61" i="8" s="1"/>
  <c r="Q62" i="8" s="1"/>
  <c r="Q63" i="8" s="1"/>
  <c r="O54" i="8"/>
  <c r="P54" i="8" s="1"/>
  <c r="N54" i="8"/>
  <c r="M54" i="8"/>
  <c r="J54" i="8"/>
  <c r="G54" i="8"/>
  <c r="D54" i="8"/>
  <c r="AA53" i="8"/>
  <c r="AB53" i="8" s="1"/>
  <c r="U53" i="8"/>
  <c r="S53" i="8"/>
  <c r="R53" i="8"/>
  <c r="Q53" i="8"/>
  <c r="O53" i="8"/>
  <c r="N53" i="8"/>
  <c r="P53" i="8" s="1"/>
  <c r="M53" i="8"/>
  <c r="J53" i="8"/>
  <c r="G53" i="8"/>
  <c r="D53" i="8"/>
  <c r="AB52" i="8"/>
  <c r="AC52" i="8" s="1"/>
  <c r="AA52" i="8"/>
  <c r="Z52" i="8"/>
  <c r="Z53" i="8" s="1"/>
  <c r="Z54" i="8" s="1"/>
  <c r="X52" i="8"/>
  <c r="X53" i="8" s="1"/>
  <c r="W52" i="8"/>
  <c r="Y52" i="8" s="1"/>
  <c r="U52" i="8"/>
  <c r="V52" i="8" s="1"/>
  <c r="T52" i="8"/>
  <c r="T53" i="8" s="1"/>
  <c r="V53" i="8" s="1"/>
  <c r="R52" i="8"/>
  <c r="Q52" i="8"/>
  <c r="S52" i="8" s="1"/>
  <c r="O52" i="8"/>
  <c r="N52" i="8"/>
  <c r="P52" i="8" s="1"/>
  <c r="M52" i="8"/>
  <c r="J52" i="8"/>
  <c r="G52" i="8"/>
  <c r="D52" i="8"/>
  <c r="O51" i="8"/>
  <c r="N51" i="8"/>
  <c r="P51" i="8" s="1"/>
  <c r="M51" i="8"/>
  <c r="J51" i="8"/>
  <c r="G51" i="8"/>
  <c r="D51" i="8"/>
  <c r="O50" i="8"/>
  <c r="N50" i="8"/>
  <c r="M50" i="8"/>
  <c r="J50" i="8"/>
  <c r="G50" i="8"/>
  <c r="D50" i="8"/>
  <c r="O49" i="8"/>
  <c r="N49" i="8"/>
  <c r="P49" i="8" s="1"/>
  <c r="M49" i="8"/>
  <c r="J49" i="8"/>
  <c r="G49" i="8"/>
  <c r="D49" i="8"/>
  <c r="P48" i="8"/>
  <c r="O48" i="8"/>
  <c r="N48" i="8"/>
  <c r="M48" i="8"/>
  <c r="J48" i="8"/>
  <c r="G48" i="8"/>
  <c r="D48" i="8"/>
  <c r="O47" i="8"/>
  <c r="N47" i="8"/>
  <c r="P47" i="8" s="1"/>
  <c r="M47" i="8"/>
  <c r="J47" i="8"/>
  <c r="G47" i="8"/>
  <c r="D47" i="8"/>
  <c r="O46" i="8"/>
  <c r="N46" i="8"/>
  <c r="P46" i="8" s="1"/>
  <c r="M46" i="8"/>
  <c r="J46" i="8"/>
  <c r="G46" i="8"/>
  <c r="D46" i="8"/>
  <c r="O45" i="8"/>
  <c r="N45" i="8"/>
  <c r="P45" i="8" s="1"/>
  <c r="M45" i="8"/>
  <c r="J45" i="8"/>
  <c r="G45" i="8"/>
  <c r="D45" i="8"/>
  <c r="P44" i="8"/>
  <c r="O44" i="8"/>
  <c r="N44" i="8"/>
  <c r="M44" i="8"/>
  <c r="J44" i="8"/>
  <c r="G44" i="8"/>
  <c r="D44" i="8"/>
  <c r="O43" i="8"/>
  <c r="N43" i="8"/>
  <c r="P43" i="8" s="1"/>
  <c r="M43" i="8"/>
  <c r="J43" i="8"/>
  <c r="G43" i="8"/>
  <c r="D43" i="8"/>
  <c r="AA42" i="8"/>
  <c r="AA43" i="8" s="1"/>
  <c r="Z42" i="8"/>
  <c r="Z43" i="8" s="1"/>
  <c r="Z44" i="8" s="1"/>
  <c r="Z45" i="8" s="1"/>
  <c r="Z46" i="8" s="1"/>
  <c r="Z47" i="8" s="1"/>
  <c r="Z48" i="8" s="1"/>
  <c r="Z49" i="8" s="1"/>
  <c r="Z50" i="8" s="1"/>
  <c r="Z51" i="8" s="1"/>
  <c r="X42" i="8"/>
  <c r="X43" i="8" s="1"/>
  <c r="W42" i="8"/>
  <c r="W43" i="8" s="1"/>
  <c r="W44" i="8" s="1"/>
  <c r="W45" i="8" s="1"/>
  <c r="W46" i="8" s="1"/>
  <c r="W47" i="8" s="1"/>
  <c r="W48" i="8" s="1"/>
  <c r="W49" i="8" s="1"/>
  <c r="W50" i="8" s="1"/>
  <c r="W51" i="8" s="1"/>
  <c r="U42" i="8"/>
  <c r="U43" i="8" s="1"/>
  <c r="O42" i="8"/>
  <c r="N42" i="8"/>
  <c r="P42" i="8" s="1"/>
  <c r="M42" i="8"/>
  <c r="J42" i="8"/>
  <c r="G42" i="8"/>
  <c r="D42" i="8"/>
  <c r="AA41" i="8"/>
  <c r="AB41" i="8" s="1"/>
  <c r="Z41" i="8"/>
  <c r="X41" i="8"/>
  <c r="W41" i="8"/>
  <c r="V41" i="8"/>
  <c r="U41" i="8"/>
  <c r="T41" i="8"/>
  <c r="T42" i="8" s="1"/>
  <c r="T43" i="8" s="1"/>
  <c r="T44" i="8" s="1"/>
  <c r="T45" i="8" s="1"/>
  <c r="T46" i="8" s="1"/>
  <c r="T47" i="8" s="1"/>
  <c r="T48" i="8" s="1"/>
  <c r="T49" i="8" s="1"/>
  <c r="T50" i="8" s="1"/>
  <c r="T51" i="8" s="1"/>
  <c r="R41" i="8"/>
  <c r="R42" i="8" s="1"/>
  <c r="Q41" i="8"/>
  <c r="Q42" i="8" s="1"/>
  <c r="Q43" i="8" s="1"/>
  <c r="Q44" i="8" s="1"/>
  <c r="Q45" i="8" s="1"/>
  <c r="Q46" i="8" s="1"/>
  <c r="Q47" i="8" s="1"/>
  <c r="Q48" i="8" s="1"/>
  <c r="Q49" i="8" s="1"/>
  <c r="Q50" i="8" s="1"/>
  <c r="Q51" i="8" s="1"/>
  <c r="O41" i="8"/>
  <c r="P41" i="8" s="1"/>
  <c r="N41" i="8"/>
  <c r="M41" i="8"/>
  <c r="J41" i="8"/>
  <c r="G41" i="8"/>
  <c r="D41" i="8"/>
  <c r="AA40" i="8"/>
  <c r="Z40" i="8"/>
  <c r="AB40" i="8" s="1"/>
  <c r="X40" i="8"/>
  <c r="W40" i="8"/>
  <c r="Y40" i="8" s="1"/>
  <c r="U40" i="8"/>
  <c r="T40" i="8"/>
  <c r="V40" i="8" s="1"/>
  <c r="R40" i="8"/>
  <c r="Q40" i="8"/>
  <c r="O40" i="8"/>
  <c r="N40" i="8"/>
  <c r="P40" i="8" s="1"/>
  <c r="M40" i="8"/>
  <c r="J40" i="8"/>
  <c r="G40" i="8"/>
  <c r="D40" i="8"/>
  <c r="P39" i="8"/>
  <c r="O39" i="8"/>
  <c r="N39" i="8"/>
  <c r="M39" i="8"/>
  <c r="J39" i="8"/>
  <c r="G39" i="8"/>
  <c r="D39" i="8"/>
  <c r="O38" i="8"/>
  <c r="N38" i="8"/>
  <c r="P38" i="8" s="1"/>
  <c r="M38" i="8"/>
  <c r="J38" i="8"/>
  <c r="G38" i="8"/>
  <c r="D38" i="8"/>
  <c r="P37" i="8"/>
  <c r="O37" i="8"/>
  <c r="N37" i="8"/>
  <c r="M37" i="8"/>
  <c r="J37" i="8"/>
  <c r="G37" i="8"/>
  <c r="D37" i="8"/>
  <c r="P36" i="8"/>
  <c r="O36" i="8"/>
  <c r="N36" i="8"/>
  <c r="M36" i="8"/>
  <c r="J36" i="8"/>
  <c r="G36" i="8"/>
  <c r="D36" i="8"/>
  <c r="O35" i="8"/>
  <c r="N35" i="8"/>
  <c r="P35" i="8" s="1"/>
  <c r="M35" i="8"/>
  <c r="J35" i="8"/>
  <c r="G35" i="8"/>
  <c r="D35" i="8"/>
  <c r="O34" i="8"/>
  <c r="P34" i="8" s="1"/>
  <c r="N34" i="8"/>
  <c r="M34" i="8"/>
  <c r="J34" i="8"/>
  <c r="G34" i="8"/>
  <c r="D34" i="8"/>
  <c r="Q33" i="8"/>
  <c r="Q34" i="8" s="1"/>
  <c r="Q35" i="8" s="1"/>
  <c r="Q36" i="8" s="1"/>
  <c r="Q37" i="8" s="1"/>
  <c r="Q38" i="8" s="1"/>
  <c r="Q39" i="8" s="1"/>
  <c r="O33" i="8"/>
  <c r="P33" i="8" s="1"/>
  <c r="N33" i="8"/>
  <c r="M33" i="8"/>
  <c r="J33" i="8"/>
  <c r="G33" i="8"/>
  <c r="D33" i="8"/>
  <c r="O32" i="8"/>
  <c r="N32" i="8"/>
  <c r="P32" i="8" s="1"/>
  <c r="M32" i="8"/>
  <c r="J32" i="8"/>
  <c r="G32" i="8"/>
  <c r="D32" i="8"/>
  <c r="Q31" i="8"/>
  <c r="Q32" i="8" s="1"/>
  <c r="P31" i="8"/>
  <c r="O31" i="8"/>
  <c r="N31" i="8"/>
  <c r="M31" i="8"/>
  <c r="J31" i="8"/>
  <c r="G31" i="8"/>
  <c r="D31" i="8"/>
  <c r="O30" i="8"/>
  <c r="N30" i="8"/>
  <c r="P30" i="8" s="1"/>
  <c r="M30" i="8"/>
  <c r="J30" i="8"/>
  <c r="G30" i="8"/>
  <c r="D30" i="8"/>
  <c r="X29" i="8"/>
  <c r="X30" i="8" s="1"/>
  <c r="U29" i="8"/>
  <c r="R29" i="8"/>
  <c r="Q29" i="8"/>
  <c r="Q30" i="8" s="1"/>
  <c r="O29" i="8"/>
  <c r="N29" i="8"/>
  <c r="M29" i="8"/>
  <c r="J29" i="8"/>
  <c r="G29" i="8"/>
  <c r="D29" i="8"/>
  <c r="AB28" i="8"/>
  <c r="AA28" i="8"/>
  <c r="AA29" i="8" s="1"/>
  <c r="Z28" i="8"/>
  <c r="Z29" i="8" s="1"/>
  <c r="Z30" i="8" s="1"/>
  <c r="Z31" i="8" s="1"/>
  <c r="Z32" i="8" s="1"/>
  <c r="Z33" i="8" s="1"/>
  <c r="Z34" i="8" s="1"/>
  <c r="Z35" i="8" s="1"/>
  <c r="Z36" i="8" s="1"/>
  <c r="Z37" i="8" s="1"/>
  <c r="Z38" i="8" s="1"/>
  <c r="Z39" i="8" s="1"/>
  <c r="X28" i="8"/>
  <c r="W28" i="8"/>
  <c r="Y28" i="8" s="1"/>
  <c r="V28" i="8"/>
  <c r="U28" i="8"/>
  <c r="T28" i="8"/>
  <c r="T29" i="8" s="1"/>
  <c r="T30" i="8" s="1"/>
  <c r="T31" i="8" s="1"/>
  <c r="T32" i="8" s="1"/>
  <c r="T33" i="8" s="1"/>
  <c r="T34" i="8" s="1"/>
  <c r="T35" i="8" s="1"/>
  <c r="T36" i="8" s="1"/>
  <c r="T37" i="8" s="1"/>
  <c r="T38" i="8" s="1"/>
  <c r="T39" i="8" s="1"/>
  <c r="S28" i="8"/>
  <c r="R28" i="8"/>
  <c r="Q28" i="8"/>
  <c r="P28" i="8"/>
  <c r="O28" i="8"/>
  <c r="N28" i="8"/>
  <c r="M28" i="8"/>
  <c r="J28" i="8"/>
  <c r="G28" i="8"/>
  <c r="D28" i="8"/>
  <c r="O27" i="8"/>
  <c r="N27" i="8"/>
  <c r="P27" i="8" s="1"/>
  <c r="M27" i="8"/>
  <c r="J27" i="8"/>
  <c r="G27" i="8"/>
  <c r="D27" i="8"/>
  <c r="Z26" i="8"/>
  <c r="Z27" i="8" s="1"/>
  <c r="W26" i="8"/>
  <c r="W27" i="8" s="1"/>
  <c r="O26" i="8"/>
  <c r="P26" i="8" s="1"/>
  <c r="N26" i="8"/>
  <c r="M26" i="8"/>
  <c r="J26" i="8"/>
  <c r="G26" i="8"/>
  <c r="D26" i="8"/>
  <c r="P25" i="8"/>
  <c r="O25" i="8"/>
  <c r="N25" i="8"/>
  <c r="M25" i="8"/>
  <c r="J25" i="8"/>
  <c r="G25" i="8"/>
  <c r="D25" i="8"/>
  <c r="O24" i="8"/>
  <c r="N24" i="8"/>
  <c r="P24" i="8" s="1"/>
  <c r="M24" i="8"/>
  <c r="J24" i="8"/>
  <c r="G24" i="8"/>
  <c r="D24" i="8"/>
  <c r="O23" i="8"/>
  <c r="P23" i="8" s="1"/>
  <c r="N23" i="8"/>
  <c r="M23" i="8"/>
  <c r="J23" i="8"/>
  <c r="G23" i="8"/>
  <c r="D23" i="8"/>
  <c r="O22" i="8"/>
  <c r="P22" i="8" s="1"/>
  <c r="N22" i="8"/>
  <c r="M22" i="8"/>
  <c r="J22" i="8"/>
  <c r="G22" i="8"/>
  <c r="D22" i="8"/>
  <c r="P21" i="8"/>
  <c r="O21" i="8"/>
  <c r="N21" i="8"/>
  <c r="M21" i="8"/>
  <c r="J21" i="8"/>
  <c r="G21" i="8"/>
  <c r="D21" i="8"/>
  <c r="O20" i="8"/>
  <c r="N20" i="8"/>
  <c r="P20" i="8" s="1"/>
  <c r="M20" i="8"/>
  <c r="J20" i="8"/>
  <c r="G20" i="8"/>
  <c r="D20" i="8"/>
  <c r="O19" i="8"/>
  <c r="P19" i="8" s="1"/>
  <c r="N19" i="8"/>
  <c r="M19" i="8"/>
  <c r="J19" i="8"/>
  <c r="G19" i="8"/>
  <c r="D19" i="8"/>
  <c r="R18" i="8"/>
  <c r="O18" i="8"/>
  <c r="N18" i="8"/>
  <c r="P18" i="8" s="1"/>
  <c r="M18" i="8"/>
  <c r="J18" i="8"/>
  <c r="G18" i="8"/>
  <c r="D18" i="8"/>
  <c r="W17" i="8"/>
  <c r="W18" i="8" s="1"/>
  <c r="W19" i="8" s="1"/>
  <c r="W20" i="8" s="1"/>
  <c r="W21" i="8" s="1"/>
  <c r="W22" i="8" s="1"/>
  <c r="W23" i="8" s="1"/>
  <c r="W24" i="8" s="1"/>
  <c r="W25" i="8" s="1"/>
  <c r="P17" i="8"/>
  <c r="O17" i="8"/>
  <c r="N17" i="8"/>
  <c r="M17" i="8"/>
  <c r="J17" i="8"/>
  <c r="G17" i="8"/>
  <c r="D17" i="8"/>
  <c r="AA16" i="8"/>
  <c r="AA17" i="8" s="1"/>
  <c r="Z16" i="8"/>
  <c r="Z17" i="8" s="1"/>
  <c r="Z18" i="8" s="1"/>
  <c r="Z19" i="8" s="1"/>
  <c r="Z20" i="8" s="1"/>
  <c r="Z21" i="8" s="1"/>
  <c r="Z22" i="8" s="1"/>
  <c r="Z23" i="8" s="1"/>
  <c r="Z24" i="8" s="1"/>
  <c r="Z25" i="8" s="1"/>
  <c r="Y16" i="8"/>
  <c r="X16" i="8"/>
  <c r="X17" i="8" s="1"/>
  <c r="W16" i="8"/>
  <c r="U16" i="8"/>
  <c r="V16" i="8" s="1"/>
  <c r="T16" i="8"/>
  <c r="T17" i="8" s="1"/>
  <c r="T18" i="8" s="1"/>
  <c r="T19" i="8" s="1"/>
  <c r="T20" i="8" s="1"/>
  <c r="T21" i="8" s="1"/>
  <c r="T22" i="8" s="1"/>
  <c r="T23" i="8" s="1"/>
  <c r="T24" i="8" s="1"/>
  <c r="T25" i="8" s="1"/>
  <c r="T26" i="8" s="1"/>
  <c r="T27" i="8" s="1"/>
  <c r="R16" i="8"/>
  <c r="R17" i="8" s="1"/>
  <c r="Q16" i="8"/>
  <c r="S16" i="8" s="1"/>
  <c r="O16" i="8"/>
  <c r="N16" i="8"/>
  <c r="P16" i="8" s="1"/>
  <c r="M16" i="8"/>
  <c r="J16" i="8"/>
  <c r="G16" i="8"/>
  <c r="D16" i="8"/>
  <c r="O15" i="8"/>
  <c r="N15" i="8"/>
  <c r="P15" i="8" s="1"/>
  <c r="M15" i="8"/>
  <c r="J15" i="8"/>
  <c r="G15" i="8"/>
  <c r="D15" i="8"/>
  <c r="P14" i="8"/>
  <c r="O14" i="8"/>
  <c r="N14" i="8"/>
  <c r="M14" i="8"/>
  <c r="J14" i="8"/>
  <c r="G14" i="8"/>
  <c r="D14" i="8"/>
  <c r="O13" i="8"/>
  <c r="N13" i="8"/>
  <c r="P13" i="8" s="1"/>
  <c r="M13" i="8"/>
  <c r="J13" i="8"/>
  <c r="G13" i="8"/>
  <c r="D13" i="8"/>
  <c r="W12" i="8"/>
  <c r="W13" i="8" s="1"/>
  <c r="W14" i="8" s="1"/>
  <c r="W15" i="8" s="1"/>
  <c r="O12" i="8"/>
  <c r="P12" i="8" s="1"/>
  <c r="N12" i="8"/>
  <c r="M12" i="8"/>
  <c r="J12" i="8"/>
  <c r="G12" i="8"/>
  <c r="D12" i="8"/>
  <c r="O11" i="8"/>
  <c r="P11" i="8" s="1"/>
  <c r="N11" i="8"/>
  <c r="M11" i="8"/>
  <c r="J11" i="8"/>
  <c r="G11" i="8"/>
  <c r="D11" i="8"/>
  <c r="W10" i="8"/>
  <c r="W11" i="8" s="1"/>
  <c r="P10" i="8"/>
  <c r="O10" i="8"/>
  <c r="N10" i="8"/>
  <c r="M10" i="8"/>
  <c r="J10" i="8"/>
  <c r="G10" i="8"/>
  <c r="D10" i="8"/>
  <c r="O9" i="8"/>
  <c r="N9" i="8"/>
  <c r="P9" i="8" s="1"/>
  <c r="M9" i="8"/>
  <c r="J9" i="8"/>
  <c r="G9" i="8"/>
  <c r="D9" i="8"/>
  <c r="P8" i="8"/>
  <c r="O8" i="8"/>
  <c r="N8" i="8"/>
  <c r="M8" i="8"/>
  <c r="J8" i="8"/>
  <c r="G8" i="8"/>
  <c r="D8" i="8"/>
  <c r="Q7" i="8"/>
  <c r="Q8" i="8" s="1"/>
  <c r="Q9" i="8" s="1"/>
  <c r="Q10" i="8" s="1"/>
  <c r="Q11" i="8" s="1"/>
  <c r="Q12" i="8" s="1"/>
  <c r="Q13" i="8" s="1"/>
  <c r="Q14" i="8" s="1"/>
  <c r="Q15" i="8" s="1"/>
  <c r="O7" i="8"/>
  <c r="N7" i="8"/>
  <c r="M7" i="8"/>
  <c r="J7" i="8"/>
  <c r="G7" i="8"/>
  <c r="D7" i="8"/>
  <c r="O6" i="8"/>
  <c r="P6" i="8" s="1"/>
  <c r="N6" i="8"/>
  <c r="M6" i="8"/>
  <c r="J6" i="8"/>
  <c r="G6" i="8"/>
  <c r="D6" i="8"/>
  <c r="AA5" i="8"/>
  <c r="Z5" i="8"/>
  <c r="Z6" i="8" s="1"/>
  <c r="Z7" i="8" s="1"/>
  <c r="Z8" i="8" s="1"/>
  <c r="Z9" i="8" s="1"/>
  <c r="Z10" i="8" s="1"/>
  <c r="Z11" i="8" s="1"/>
  <c r="Z12" i="8" s="1"/>
  <c r="Z13" i="8" s="1"/>
  <c r="Z14" i="8" s="1"/>
  <c r="Z15" i="8" s="1"/>
  <c r="Y5" i="8"/>
  <c r="U5" i="8"/>
  <c r="V5" i="8" s="1"/>
  <c r="T5" i="8"/>
  <c r="T6" i="8" s="1"/>
  <c r="T7" i="8" s="1"/>
  <c r="T8" i="8" s="1"/>
  <c r="T9" i="8" s="1"/>
  <c r="T10" i="8" s="1"/>
  <c r="T11" i="8" s="1"/>
  <c r="T12" i="8" s="1"/>
  <c r="T13" i="8" s="1"/>
  <c r="T14" i="8" s="1"/>
  <c r="T15" i="8" s="1"/>
  <c r="Q5" i="8"/>
  <c r="Q6" i="8" s="1"/>
  <c r="O5" i="8"/>
  <c r="N5" i="8"/>
  <c r="P5" i="8" s="1"/>
  <c r="M5" i="8"/>
  <c r="J5" i="8"/>
  <c r="G5" i="8"/>
  <c r="D5" i="8"/>
  <c r="AA4" i="8"/>
  <c r="AB4" i="8" s="1"/>
  <c r="Z4" i="8"/>
  <c r="Y4" i="8"/>
  <c r="X4" i="8"/>
  <c r="X5" i="8" s="1"/>
  <c r="X6" i="8" s="1"/>
  <c r="W4" i="8"/>
  <c r="W5" i="8" s="1"/>
  <c r="W6" i="8" s="1"/>
  <c r="W7" i="8" s="1"/>
  <c r="W8" i="8" s="1"/>
  <c r="W9" i="8" s="1"/>
  <c r="U4" i="8"/>
  <c r="V4" i="8" s="1"/>
  <c r="T4" i="8"/>
  <c r="S4" i="8"/>
  <c r="R4" i="8"/>
  <c r="R5" i="8" s="1"/>
  <c r="Q4" i="8"/>
  <c r="O4" i="8"/>
  <c r="N4" i="8"/>
  <c r="P4" i="8" s="1"/>
  <c r="M4" i="8"/>
  <c r="J4" i="8"/>
  <c r="G4" i="8"/>
  <c r="D4" i="8"/>
  <c r="BT228" i="7"/>
  <c r="BR228" i="7"/>
  <c r="BP228" i="7"/>
  <c r="BN228" i="7"/>
  <c r="P228" i="7"/>
  <c r="P228" i="9" s="1"/>
  <c r="O228" i="7"/>
  <c r="N228" i="7"/>
  <c r="M228" i="7"/>
  <c r="BL228" i="7" s="1"/>
  <c r="L228" i="7"/>
  <c r="BJ228" i="7" s="1"/>
  <c r="K228" i="7"/>
  <c r="BH228" i="7" s="1"/>
  <c r="J228" i="7"/>
  <c r="I228" i="7"/>
  <c r="H228" i="7"/>
  <c r="G228" i="7"/>
  <c r="F228" i="7"/>
  <c r="F196" i="7" s="1"/>
  <c r="E228" i="7"/>
  <c r="D228" i="7"/>
  <c r="C228" i="7"/>
  <c r="B228" i="7"/>
  <c r="BT227" i="7"/>
  <c r="BR227" i="7"/>
  <c r="BP227" i="7"/>
  <c r="BN227" i="7"/>
  <c r="P227" i="7"/>
  <c r="O227" i="7"/>
  <c r="N227" i="7"/>
  <c r="M227" i="7"/>
  <c r="BL227" i="7" s="1"/>
  <c r="L227" i="7"/>
  <c r="BJ227" i="7" s="1"/>
  <c r="K227" i="7"/>
  <c r="BH227" i="7" s="1"/>
  <c r="J227" i="7"/>
  <c r="I227" i="7"/>
  <c r="H227" i="7"/>
  <c r="G227" i="7"/>
  <c r="F227" i="7"/>
  <c r="E227" i="7"/>
  <c r="D227" i="7"/>
  <c r="C227" i="7"/>
  <c r="B227" i="7"/>
  <c r="BT226" i="7"/>
  <c r="BR226" i="7"/>
  <c r="BP226" i="7"/>
  <c r="BN226" i="7"/>
  <c r="P226" i="7"/>
  <c r="O226" i="7"/>
  <c r="N226" i="7"/>
  <c r="M226" i="7"/>
  <c r="BL226" i="7" s="1"/>
  <c r="L226" i="7"/>
  <c r="BJ226" i="7" s="1"/>
  <c r="K226" i="7"/>
  <c r="BH226" i="7" s="1"/>
  <c r="J226" i="7"/>
  <c r="I226" i="7"/>
  <c r="I194" i="7" s="1"/>
  <c r="H226" i="7"/>
  <c r="G226" i="7"/>
  <c r="F226" i="7"/>
  <c r="E226" i="7"/>
  <c r="D226" i="7"/>
  <c r="C226" i="7"/>
  <c r="B226" i="7"/>
  <c r="BT225" i="7"/>
  <c r="BR225" i="7"/>
  <c r="BP225" i="7"/>
  <c r="BN225" i="7"/>
  <c r="P225" i="7"/>
  <c r="O225" i="7"/>
  <c r="N225" i="7"/>
  <c r="M225" i="7"/>
  <c r="BL225" i="7" s="1"/>
  <c r="L225" i="7"/>
  <c r="BJ225" i="7" s="1"/>
  <c r="K225" i="7"/>
  <c r="BH225" i="7" s="1"/>
  <c r="J225" i="7"/>
  <c r="I225" i="7"/>
  <c r="I193" i="7" s="1"/>
  <c r="H225" i="7"/>
  <c r="G225" i="7"/>
  <c r="F225" i="7"/>
  <c r="E225" i="7"/>
  <c r="D225" i="7"/>
  <c r="C225" i="7"/>
  <c r="B225" i="7"/>
  <c r="BT224" i="7"/>
  <c r="BR224" i="7"/>
  <c r="BP224" i="7"/>
  <c r="BN224" i="7"/>
  <c r="P224" i="7"/>
  <c r="P192" i="7" s="1"/>
  <c r="O224" i="7"/>
  <c r="N224" i="7"/>
  <c r="M224" i="7"/>
  <c r="BL224" i="7" s="1"/>
  <c r="L224" i="7"/>
  <c r="BJ224" i="7" s="1"/>
  <c r="K224" i="7"/>
  <c r="BH224" i="7" s="1"/>
  <c r="J224" i="7"/>
  <c r="I224" i="7"/>
  <c r="H224" i="7"/>
  <c r="G224" i="7"/>
  <c r="F224" i="7"/>
  <c r="E224" i="7"/>
  <c r="D224" i="7"/>
  <c r="C224" i="7"/>
  <c r="B224" i="7"/>
  <c r="BT223" i="7"/>
  <c r="BR223" i="7"/>
  <c r="BP223" i="7"/>
  <c r="BN223" i="7"/>
  <c r="P223" i="7"/>
  <c r="P191" i="7" s="1"/>
  <c r="O223" i="7"/>
  <c r="N223" i="7"/>
  <c r="M223" i="7"/>
  <c r="BL223" i="7" s="1"/>
  <c r="L223" i="7"/>
  <c r="BJ223" i="7" s="1"/>
  <c r="K223" i="7"/>
  <c r="BH223" i="7" s="1"/>
  <c r="J223" i="7"/>
  <c r="I223" i="7"/>
  <c r="H223" i="7"/>
  <c r="G223" i="7"/>
  <c r="F223" i="7"/>
  <c r="E223" i="7"/>
  <c r="D223" i="7"/>
  <c r="C223" i="7"/>
  <c r="B223" i="7"/>
  <c r="BT222" i="7"/>
  <c r="BR222" i="7"/>
  <c r="BP222" i="7"/>
  <c r="BN222" i="7"/>
  <c r="P222" i="7"/>
  <c r="O222" i="7"/>
  <c r="O229" i="7" s="1"/>
  <c r="N222" i="7"/>
  <c r="M222" i="7"/>
  <c r="BL222" i="7" s="1"/>
  <c r="L222" i="7"/>
  <c r="BJ222" i="7" s="1"/>
  <c r="K222" i="7"/>
  <c r="J222" i="7"/>
  <c r="I222" i="7"/>
  <c r="H222" i="7"/>
  <c r="H190" i="7" s="1"/>
  <c r="G222" i="7"/>
  <c r="F222" i="7"/>
  <c r="E222" i="7"/>
  <c r="D222" i="7"/>
  <c r="C222" i="7"/>
  <c r="B222" i="7"/>
  <c r="BT221" i="7"/>
  <c r="BR221" i="7"/>
  <c r="BP221" i="7"/>
  <c r="BN221" i="7"/>
  <c r="BL221" i="7"/>
  <c r="P221" i="7"/>
  <c r="O221" i="7"/>
  <c r="N221" i="7"/>
  <c r="M221" i="7"/>
  <c r="L221" i="7"/>
  <c r="BJ221" i="7" s="1"/>
  <c r="K221" i="7"/>
  <c r="J221" i="7"/>
  <c r="I221" i="7"/>
  <c r="H221" i="7"/>
  <c r="G221" i="7"/>
  <c r="F221" i="7"/>
  <c r="E221" i="7"/>
  <c r="D221" i="7"/>
  <c r="C221" i="7"/>
  <c r="B221" i="7"/>
  <c r="BT220" i="7"/>
  <c r="BR220" i="7"/>
  <c r="BP220" i="7"/>
  <c r="BN220" i="7"/>
  <c r="BL220" i="7"/>
  <c r="BJ220" i="7"/>
  <c r="P220" i="7"/>
  <c r="O220" i="7"/>
  <c r="N220" i="7"/>
  <c r="M220" i="7"/>
  <c r="M188" i="7" s="1"/>
  <c r="L220" i="7"/>
  <c r="K220" i="7"/>
  <c r="J220" i="7"/>
  <c r="I220" i="7"/>
  <c r="H220" i="7"/>
  <c r="G220" i="7"/>
  <c r="F220" i="7"/>
  <c r="F188" i="7" s="1"/>
  <c r="E220" i="7"/>
  <c r="D220" i="7"/>
  <c r="C220" i="7"/>
  <c r="C188" i="7" s="1"/>
  <c r="B220" i="7"/>
  <c r="BT219" i="7"/>
  <c r="BP219" i="7"/>
  <c r="BN219" i="7"/>
  <c r="BL219" i="7"/>
  <c r="BJ219" i="7"/>
  <c r="P219" i="7"/>
  <c r="BR219" i="7" s="1"/>
  <c r="O219" i="7"/>
  <c r="N219" i="7"/>
  <c r="M219" i="7"/>
  <c r="L219" i="7"/>
  <c r="L187" i="7" s="1"/>
  <c r="K219" i="7"/>
  <c r="J219" i="7"/>
  <c r="I219" i="7"/>
  <c r="H219" i="7"/>
  <c r="G219" i="7"/>
  <c r="F219" i="7"/>
  <c r="E219" i="7"/>
  <c r="D219" i="7"/>
  <c r="C219" i="7"/>
  <c r="B219" i="7"/>
  <c r="BT218" i="7"/>
  <c r="BP218" i="7"/>
  <c r="BN218" i="7"/>
  <c r="BL218" i="7"/>
  <c r="BJ218" i="7"/>
  <c r="Q218" i="7"/>
  <c r="Q218" i="9" s="1"/>
  <c r="P218" i="7"/>
  <c r="BR218" i="7" s="1"/>
  <c r="O218" i="7"/>
  <c r="N218" i="7"/>
  <c r="M218" i="7"/>
  <c r="L218" i="7"/>
  <c r="K218" i="7"/>
  <c r="J218" i="7"/>
  <c r="I218" i="7"/>
  <c r="H218" i="7"/>
  <c r="G218" i="7"/>
  <c r="F218" i="7"/>
  <c r="E218" i="7"/>
  <c r="E186" i="7" s="1"/>
  <c r="D218" i="7"/>
  <c r="C218" i="7"/>
  <c r="B218" i="7"/>
  <c r="BT217" i="7"/>
  <c r="BP217" i="7"/>
  <c r="BN217" i="7"/>
  <c r="BL217" i="7"/>
  <c r="BJ217" i="7"/>
  <c r="Q217" i="7"/>
  <c r="Q217" i="9" s="1"/>
  <c r="P217" i="7"/>
  <c r="P229" i="7" s="1"/>
  <c r="BR229" i="7" s="1"/>
  <c r="O217" i="7"/>
  <c r="N217" i="7"/>
  <c r="N229" i="7" s="1"/>
  <c r="M217" i="7"/>
  <c r="L217" i="7"/>
  <c r="L229" i="7" s="1"/>
  <c r="BJ229" i="7" s="1"/>
  <c r="K217" i="7"/>
  <c r="K229" i="7" s="1"/>
  <c r="J217" i="7"/>
  <c r="J229" i="7" s="1"/>
  <c r="J14" i="7" s="1"/>
  <c r="I217" i="7"/>
  <c r="H217" i="7"/>
  <c r="G217" i="7"/>
  <c r="F217" i="7"/>
  <c r="E217" i="7"/>
  <c r="D217" i="7"/>
  <c r="C217" i="7"/>
  <c r="B217" i="7"/>
  <c r="B185" i="7" s="1"/>
  <c r="AQ216" i="7"/>
  <c r="AP216" i="7"/>
  <c r="AO216" i="7"/>
  <c r="AN216" i="7"/>
  <c r="AM216" i="7"/>
  <c r="AL216" i="7"/>
  <c r="AK216" i="7"/>
  <c r="AJ216" i="7"/>
  <c r="AI216" i="7"/>
  <c r="AH216" i="7"/>
  <c r="AG216" i="7"/>
  <c r="AF216" i="7"/>
  <c r="AE216" i="7"/>
  <c r="AD216" i="7"/>
  <c r="AC216" i="7"/>
  <c r="AB216" i="7"/>
  <c r="AA216"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G213" i="7"/>
  <c r="G13" i="7" s="1"/>
  <c r="E213" i="7"/>
  <c r="E13" i="7" s="1"/>
  <c r="BT212" i="7"/>
  <c r="BR212" i="7"/>
  <c r="BP212" i="7"/>
  <c r="BN212" i="7"/>
  <c r="BL212" i="7"/>
  <c r="P212" i="7"/>
  <c r="P212" i="9" s="1"/>
  <c r="O212" i="7"/>
  <c r="O196" i="7" s="1"/>
  <c r="N212" i="7"/>
  <c r="M212" i="7"/>
  <c r="M196" i="7" s="1"/>
  <c r="BL196" i="7" s="1"/>
  <c r="L212" i="7"/>
  <c r="BJ212" i="7" s="1"/>
  <c r="K212" i="7"/>
  <c r="BH212" i="7" s="1"/>
  <c r="J212" i="7"/>
  <c r="I212" i="7"/>
  <c r="H212" i="7"/>
  <c r="G212" i="7"/>
  <c r="G196" i="7" s="1"/>
  <c r="F212" i="7"/>
  <c r="E212" i="7"/>
  <c r="E196" i="7" s="1"/>
  <c r="D212" i="7"/>
  <c r="D196" i="7" s="1"/>
  <c r="C212" i="7"/>
  <c r="C196" i="7" s="1"/>
  <c r="B212" i="7"/>
  <c r="BT211" i="7"/>
  <c r="BR211" i="7"/>
  <c r="BP211" i="7"/>
  <c r="BN211" i="7"/>
  <c r="BL211" i="7"/>
  <c r="P211" i="7"/>
  <c r="O211" i="7"/>
  <c r="O195" i="7" s="1"/>
  <c r="BP195" i="7" s="1"/>
  <c r="N211" i="7"/>
  <c r="M211" i="7"/>
  <c r="L211" i="7"/>
  <c r="BJ211" i="7" s="1"/>
  <c r="K211" i="7"/>
  <c r="BH211" i="7" s="1"/>
  <c r="J211" i="7"/>
  <c r="I211" i="7"/>
  <c r="H211" i="7"/>
  <c r="G211" i="7"/>
  <c r="G195" i="7" s="1"/>
  <c r="F211" i="7"/>
  <c r="E211" i="7"/>
  <c r="D211" i="7"/>
  <c r="C211" i="7"/>
  <c r="C195" i="7" s="1"/>
  <c r="B211" i="7"/>
  <c r="B195" i="7" s="1"/>
  <c r="BT210" i="7"/>
  <c r="BR210" i="7"/>
  <c r="BP210" i="7"/>
  <c r="BN210" i="7"/>
  <c r="BL210" i="7"/>
  <c r="P210" i="7"/>
  <c r="O210" i="7"/>
  <c r="N210" i="7"/>
  <c r="M210" i="7"/>
  <c r="L210" i="7"/>
  <c r="BJ210" i="7" s="1"/>
  <c r="K210" i="7"/>
  <c r="BH210" i="7" s="1"/>
  <c r="J210" i="7"/>
  <c r="I210" i="7"/>
  <c r="H210" i="7"/>
  <c r="G210" i="7"/>
  <c r="G194" i="7" s="1"/>
  <c r="F210" i="7"/>
  <c r="F194" i="7" s="1"/>
  <c r="E210" i="7"/>
  <c r="D210" i="7"/>
  <c r="C210" i="7"/>
  <c r="B210" i="7"/>
  <c r="BT209" i="7"/>
  <c r="BR209" i="7"/>
  <c r="BP209" i="7"/>
  <c r="BN209" i="7"/>
  <c r="BL209" i="7"/>
  <c r="P209" i="7"/>
  <c r="O209" i="7"/>
  <c r="O193" i="7" s="1"/>
  <c r="N209" i="7"/>
  <c r="N193" i="7" s="1"/>
  <c r="BN193" i="7" s="1"/>
  <c r="M209" i="7"/>
  <c r="L209" i="7"/>
  <c r="BJ209" i="7" s="1"/>
  <c r="K209" i="7"/>
  <c r="BH209" i="7" s="1"/>
  <c r="J209" i="7"/>
  <c r="I209" i="7"/>
  <c r="H209" i="7"/>
  <c r="G209" i="7"/>
  <c r="G193" i="7" s="1"/>
  <c r="F209" i="7"/>
  <c r="F193" i="7" s="1"/>
  <c r="E209" i="7"/>
  <c r="D209" i="7"/>
  <c r="C209" i="7"/>
  <c r="C193" i="7" s="1"/>
  <c r="B209" i="7"/>
  <c r="BT208" i="7"/>
  <c r="BR208" i="7"/>
  <c r="BP208" i="7"/>
  <c r="BN208" i="7"/>
  <c r="BL208" i="7"/>
  <c r="P208" i="7"/>
  <c r="O208" i="7"/>
  <c r="O192" i="7" s="1"/>
  <c r="N208" i="7"/>
  <c r="M208" i="7"/>
  <c r="L208" i="7"/>
  <c r="BJ208" i="7" s="1"/>
  <c r="K208" i="7"/>
  <c r="BH208" i="7" s="1"/>
  <c r="J208" i="7"/>
  <c r="I208" i="7"/>
  <c r="H208" i="7"/>
  <c r="H192" i="7" s="1"/>
  <c r="G208" i="7"/>
  <c r="F208" i="7"/>
  <c r="E208" i="7"/>
  <c r="D208" i="7"/>
  <c r="C208" i="7"/>
  <c r="B208" i="7"/>
  <c r="BT207" i="7"/>
  <c r="BR207" i="7"/>
  <c r="BP207" i="7"/>
  <c r="BN207" i="7"/>
  <c r="BL207" i="7"/>
  <c r="P207" i="7"/>
  <c r="O207" i="7"/>
  <c r="N207" i="7"/>
  <c r="M207" i="7"/>
  <c r="L207" i="7"/>
  <c r="BJ207" i="7" s="1"/>
  <c r="K207" i="7"/>
  <c r="BH207" i="7" s="1"/>
  <c r="J207" i="7"/>
  <c r="I207" i="7"/>
  <c r="H207" i="7"/>
  <c r="G207" i="7"/>
  <c r="F207" i="7"/>
  <c r="E207" i="7"/>
  <c r="D207" i="7"/>
  <c r="D191" i="7" s="1"/>
  <c r="C207" i="7"/>
  <c r="C191" i="7" s="1"/>
  <c r="B207" i="7"/>
  <c r="B191" i="7" s="1"/>
  <c r="BT206" i="7"/>
  <c r="BR206" i="7"/>
  <c r="BP206" i="7"/>
  <c r="BN206" i="7"/>
  <c r="BL206" i="7"/>
  <c r="P206" i="7"/>
  <c r="O206" i="7"/>
  <c r="N206" i="7"/>
  <c r="N213" i="7" s="1"/>
  <c r="BN213" i="7" s="1"/>
  <c r="M206" i="7"/>
  <c r="L206" i="7"/>
  <c r="BJ206" i="7" s="1"/>
  <c r="K206" i="7"/>
  <c r="J206" i="7"/>
  <c r="I206" i="7"/>
  <c r="H206" i="7"/>
  <c r="G206" i="7"/>
  <c r="F206" i="7"/>
  <c r="F190" i="7" s="1"/>
  <c r="E206" i="7"/>
  <c r="E190" i="7" s="1"/>
  <c r="D206" i="7"/>
  <c r="D190" i="7" s="1"/>
  <c r="C206" i="7"/>
  <c r="C190" i="7" s="1"/>
  <c r="B206" i="7"/>
  <c r="B190" i="7" s="1"/>
  <c r="BT205" i="7"/>
  <c r="BR205" i="7"/>
  <c r="BP205" i="7"/>
  <c r="BN205" i="7"/>
  <c r="BL205" i="7"/>
  <c r="BJ205" i="7"/>
  <c r="P205" i="7"/>
  <c r="O205" i="7"/>
  <c r="N205" i="7"/>
  <c r="M205" i="7"/>
  <c r="M213" i="7" s="1"/>
  <c r="BL213" i="7" s="1"/>
  <c r="L205" i="7"/>
  <c r="K205" i="7"/>
  <c r="J205" i="7"/>
  <c r="I205" i="7"/>
  <c r="H205" i="7"/>
  <c r="G205" i="7"/>
  <c r="F205" i="7"/>
  <c r="E205" i="7"/>
  <c r="E189" i="7" s="1"/>
  <c r="D205" i="7"/>
  <c r="D189" i="7" s="1"/>
  <c r="C205" i="7"/>
  <c r="C189" i="7" s="1"/>
  <c r="B205" i="7"/>
  <c r="BT204" i="7"/>
  <c r="BR204" i="7"/>
  <c r="BP204" i="7"/>
  <c r="BN204" i="7"/>
  <c r="BL204" i="7"/>
  <c r="BJ204" i="7"/>
  <c r="P204" i="7"/>
  <c r="O204" i="7"/>
  <c r="N204" i="7"/>
  <c r="M204" i="7"/>
  <c r="L204" i="7"/>
  <c r="L213" i="7" s="1"/>
  <c r="K204" i="7"/>
  <c r="J204" i="7"/>
  <c r="I204" i="7"/>
  <c r="H204" i="7"/>
  <c r="G204" i="7"/>
  <c r="F204" i="7"/>
  <c r="E204" i="7"/>
  <c r="D204" i="7"/>
  <c r="C204" i="7"/>
  <c r="B204" i="7"/>
  <c r="BT203" i="7"/>
  <c r="BR203" i="7"/>
  <c r="BP203" i="7"/>
  <c r="BN203" i="7"/>
  <c r="BL203" i="7"/>
  <c r="BJ203" i="7"/>
  <c r="P203" i="7"/>
  <c r="P187" i="7" s="1"/>
  <c r="BR187" i="7" s="1"/>
  <c r="O203" i="7"/>
  <c r="O187" i="7" s="1"/>
  <c r="BP187" i="7" s="1"/>
  <c r="N203" i="7"/>
  <c r="M203" i="7"/>
  <c r="L203" i="7"/>
  <c r="K203" i="7"/>
  <c r="K187" i="7" s="1"/>
  <c r="J203" i="7"/>
  <c r="J187" i="7" s="1"/>
  <c r="I203" i="7"/>
  <c r="H203" i="7"/>
  <c r="G203" i="7"/>
  <c r="F203" i="7"/>
  <c r="E203" i="7"/>
  <c r="D203" i="7"/>
  <c r="C203" i="7"/>
  <c r="B203" i="7"/>
  <c r="BP202" i="7"/>
  <c r="BN202" i="7"/>
  <c r="BL202" i="7"/>
  <c r="BJ202" i="7"/>
  <c r="Q202" i="7"/>
  <c r="BT202" i="7" s="1"/>
  <c r="P202" i="7"/>
  <c r="O202" i="7"/>
  <c r="O186" i="7" s="1"/>
  <c r="BP186" i="7" s="1"/>
  <c r="N202" i="7"/>
  <c r="M202" i="7"/>
  <c r="L202" i="7"/>
  <c r="K202" i="7"/>
  <c r="K186" i="7" s="1"/>
  <c r="J202" i="7"/>
  <c r="I202" i="7"/>
  <c r="H202" i="7"/>
  <c r="G202" i="7"/>
  <c r="F202" i="7"/>
  <c r="E202" i="7"/>
  <c r="D202" i="7"/>
  <c r="C202" i="7"/>
  <c r="B202" i="7"/>
  <c r="BP201" i="7"/>
  <c r="BN201" i="7"/>
  <c r="BL201" i="7"/>
  <c r="BJ201" i="7"/>
  <c r="Q201" i="7"/>
  <c r="P201" i="7"/>
  <c r="O201" i="7"/>
  <c r="N201" i="7"/>
  <c r="M201" i="7"/>
  <c r="L201" i="7"/>
  <c r="K201" i="7"/>
  <c r="K213" i="7" s="1"/>
  <c r="J201" i="7"/>
  <c r="J213" i="7" s="1"/>
  <c r="J13" i="7" s="1"/>
  <c r="I201" i="7"/>
  <c r="I213" i="7" s="1"/>
  <c r="H201" i="7"/>
  <c r="G201" i="7"/>
  <c r="F201" i="7"/>
  <c r="E201" i="7"/>
  <c r="D201" i="7"/>
  <c r="C201" i="7"/>
  <c r="C185" i="7" s="1"/>
  <c r="B201" i="7"/>
  <c r="AQ200" i="7"/>
  <c r="AP200" i="7"/>
  <c r="AO200" i="7"/>
  <c r="AN200" i="7"/>
  <c r="AM200" i="7"/>
  <c r="AL200" i="7"/>
  <c r="AK200" i="7"/>
  <c r="AJ200" i="7"/>
  <c r="AI200" i="7"/>
  <c r="AH200" i="7"/>
  <c r="AG200" i="7"/>
  <c r="AF200" i="7"/>
  <c r="AE200" i="7"/>
  <c r="AD200" i="7"/>
  <c r="AC200" i="7"/>
  <c r="AB200" i="7"/>
  <c r="AA200"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P197" i="7"/>
  <c r="Y197" i="7"/>
  <c r="X197" i="7"/>
  <c r="W197" i="7"/>
  <c r="BT196" i="7"/>
  <c r="BP196" i="7"/>
  <c r="BN196" i="7"/>
  <c r="BJ196" i="7"/>
  <c r="AQ196" i="7"/>
  <c r="AP196" i="7"/>
  <c r="AO196" i="7"/>
  <c r="AN196" i="7"/>
  <c r="AM196" i="7"/>
  <c r="AL196" i="7"/>
  <c r="AK196" i="7"/>
  <c r="AJ196" i="7"/>
  <c r="AI196" i="7"/>
  <c r="AH196" i="7"/>
  <c r="AG196" i="7"/>
  <c r="AF196" i="7"/>
  <c r="AE196" i="7"/>
  <c r="AD196" i="7"/>
  <c r="AC196" i="7"/>
  <c r="AB196" i="7"/>
  <c r="AA196" i="7"/>
  <c r="Z196" i="7"/>
  <c r="Y196" i="7"/>
  <c r="X196" i="7"/>
  <c r="W196" i="7"/>
  <c r="V196" i="7"/>
  <c r="U196" i="7"/>
  <c r="T196" i="7"/>
  <c r="S196" i="7"/>
  <c r="R196" i="7"/>
  <c r="Q196" i="7"/>
  <c r="N196" i="7"/>
  <c r="L196" i="7"/>
  <c r="K196" i="7"/>
  <c r="BH196" i="7" s="1"/>
  <c r="J196" i="7"/>
  <c r="B196" i="7"/>
  <c r="AQ195" i="7"/>
  <c r="AP195" i="7"/>
  <c r="AO195" i="7"/>
  <c r="AN195" i="7"/>
  <c r="AM195" i="7"/>
  <c r="AL195" i="7"/>
  <c r="AK195" i="7"/>
  <c r="AJ195" i="7"/>
  <c r="AI195" i="7"/>
  <c r="AH195" i="7"/>
  <c r="AG195" i="7"/>
  <c r="AF195" i="7"/>
  <c r="AE195" i="7"/>
  <c r="AD195" i="7"/>
  <c r="AC195" i="7"/>
  <c r="AB195" i="7"/>
  <c r="AA195" i="7"/>
  <c r="Z195" i="7"/>
  <c r="Y195" i="7"/>
  <c r="X195" i="7"/>
  <c r="W195" i="7"/>
  <c r="V195" i="7"/>
  <c r="U195" i="7"/>
  <c r="T195" i="7"/>
  <c r="S195" i="7"/>
  <c r="R195" i="7"/>
  <c r="Q195" i="7"/>
  <c r="BT195" i="7" s="1"/>
  <c r="P195" i="7"/>
  <c r="BR195" i="7" s="1"/>
  <c r="N195" i="7"/>
  <c r="BN195" i="7" s="1"/>
  <c r="M195" i="7"/>
  <c r="BL195" i="7" s="1"/>
  <c r="L195" i="7"/>
  <c r="BJ195" i="7" s="1"/>
  <c r="K195" i="7"/>
  <c r="BH195" i="7" s="1"/>
  <c r="J195" i="7"/>
  <c r="I195" i="7"/>
  <c r="AQ194" i="7"/>
  <c r="AP194" i="7"/>
  <c r="AO194" i="7"/>
  <c r="AN194" i="7"/>
  <c r="AM194" i="7"/>
  <c r="AL194" i="7"/>
  <c r="AK194" i="7"/>
  <c r="AJ194" i="7"/>
  <c r="AI194" i="7"/>
  <c r="AH194" i="7"/>
  <c r="AG194" i="7"/>
  <c r="AF194" i="7"/>
  <c r="AE194" i="7"/>
  <c r="AD194" i="7"/>
  <c r="AC194" i="7"/>
  <c r="AB194" i="7"/>
  <c r="AA194" i="7"/>
  <c r="Z194" i="7"/>
  <c r="Y194" i="7"/>
  <c r="X194" i="7"/>
  <c r="W194" i="7"/>
  <c r="V194" i="7"/>
  <c r="U194" i="7"/>
  <c r="T194" i="7"/>
  <c r="S194" i="7"/>
  <c r="R194" i="7"/>
  <c r="Q194" i="7"/>
  <c r="BT194" i="7" s="1"/>
  <c r="P194" i="7"/>
  <c r="BR194" i="7" s="1"/>
  <c r="O194" i="7"/>
  <c r="BP194" i="7" s="1"/>
  <c r="N194" i="7"/>
  <c r="BN194" i="7" s="1"/>
  <c r="M194" i="7"/>
  <c r="BL194" i="7" s="1"/>
  <c r="L194" i="7"/>
  <c r="BJ194" i="7" s="1"/>
  <c r="K194" i="7"/>
  <c r="BH194" i="7" s="1"/>
  <c r="J194" i="7"/>
  <c r="BR193" i="7"/>
  <c r="BP193" i="7"/>
  <c r="BL193" i="7"/>
  <c r="BJ193" i="7"/>
  <c r="BH193" i="7"/>
  <c r="AQ193" i="7"/>
  <c r="AP193" i="7"/>
  <c r="AO193" i="7"/>
  <c r="AN193" i="7"/>
  <c r="AM193" i="7"/>
  <c r="AL193" i="7"/>
  <c r="AK193" i="7"/>
  <c r="AJ193" i="7"/>
  <c r="AI193" i="7"/>
  <c r="AH193" i="7"/>
  <c r="AG193" i="7"/>
  <c r="AF193" i="7"/>
  <c r="AE193" i="7"/>
  <c r="AD193" i="7"/>
  <c r="AC193" i="7"/>
  <c r="AB193" i="7"/>
  <c r="AA193" i="7"/>
  <c r="Z193" i="7"/>
  <c r="Y193" i="7"/>
  <c r="X193" i="7"/>
  <c r="W193" i="7"/>
  <c r="V193" i="7"/>
  <c r="U193" i="7"/>
  <c r="T193" i="7"/>
  <c r="S193" i="7"/>
  <c r="R193" i="7"/>
  <c r="Q193" i="7"/>
  <c r="BT193" i="7" s="1"/>
  <c r="P193" i="7"/>
  <c r="M193" i="7"/>
  <c r="L193" i="7"/>
  <c r="K193" i="7"/>
  <c r="J193" i="7"/>
  <c r="B193" i="7"/>
  <c r="BT192" i="7"/>
  <c r="BR192" i="7"/>
  <c r="BP192" i="7"/>
  <c r="BN192" i="7"/>
  <c r="BL192" i="7"/>
  <c r="BJ192" i="7"/>
  <c r="AQ192" i="7"/>
  <c r="AP192" i="7"/>
  <c r="AO192" i="7"/>
  <c r="AN192" i="7"/>
  <c r="AM192" i="7"/>
  <c r="AL192" i="7"/>
  <c r="AK192" i="7"/>
  <c r="AJ192" i="7"/>
  <c r="AI192" i="7"/>
  <c r="AH192" i="7"/>
  <c r="AG192" i="7"/>
  <c r="AF192" i="7"/>
  <c r="AE192" i="7"/>
  <c r="AD192" i="7"/>
  <c r="AC192" i="7"/>
  <c r="AB192" i="7"/>
  <c r="AA192" i="7"/>
  <c r="Z192" i="7"/>
  <c r="Y192" i="7"/>
  <c r="X192" i="7"/>
  <c r="W192" i="7"/>
  <c r="V192" i="7"/>
  <c r="U192" i="7"/>
  <c r="T192" i="7"/>
  <c r="S192" i="7"/>
  <c r="R192" i="7"/>
  <c r="Q192" i="7"/>
  <c r="N192" i="7"/>
  <c r="M192" i="7"/>
  <c r="L192" i="7"/>
  <c r="J192" i="7"/>
  <c r="I192" i="7"/>
  <c r="G192" i="7"/>
  <c r="F192" i="7"/>
  <c r="E192" i="7"/>
  <c r="D192" i="7"/>
  <c r="C192" i="7"/>
  <c r="B192" i="7"/>
  <c r="BT191" i="7"/>
  <c r="BR191" i="7"/>
  <c r="BP191" i="7"/>
  <c r="AQ191" i="7"/>
  <c r="AP191" i="7"/>
  <c r="AO191" i="7"/>
  <c r="AN191" i="7"/>
  <c r="AM191" i="7"/>
  <c r="AL191" i="7"/>
  <c r="AK191" i="7"/>
  <c r="AJ191" i="7"/>
  <c r="AI191" i="7"/>
  <c r="AH191" i="7"/>
  <c r="AG191" i="7"/>
  <c r="AF191" i="7"/>
  <c r="AE191" i="7"/>
  <c r="AD191" i="7"/>
  <c r="AC191" i="7"/>
  <c r="AC197" i="7" s="1"/>
  <c r="AB191" i="7"/>
  <c r="AA191" i="7"/>
  <c r="Z191" i="7"/>
  <c r="Y191" i="7"/>
  <c r="X191" i="7"/>
  <c r="W191" i="7"/>
  <c r="V191" i="7"/>
  <c r="U191" i="7"/>
  <c r="T191" i="7"/>
  <c r="S191" i="7"/>
  <c r="R191" i="7"/>
  <c r="Q191" i="7"/>
  <c r="O191" i="7"/>
  <c r="N191" i="7"/>
  <c r="BN191" i="7" s="1"/>
  <c r="M191" i="7"/>
  <c r="BL191" i="7" s="1"/>
  <c r="L191" i="7"/>
  <c r="BJ191" i="7" s="1"/>
  <c r="K191" i="7"/>
  <c r="BH191" i="7" s="1"/>
  <c r="J191" i="7"/>
  <c r="I191" i="7"/>
  <c r="H191" i="7"/>
  <c r="G191" i="7"/>
  <c r="F191" i="7"/>
  <c r="E191" i="7"/>
  <c r="AQ190" i="7"/>
  <c r="AP190" i="7"/>
  <c r="AO190" i="7"/>
  <c r="AO197" i="7" s="1"/>
  <c r="AN190" i="7"/>
  <c r="AN197" i="7" s="1"/>
  <c r="AM190" i="7"/>
  <c r="AL190" i="7"/>
  <c r="AK190" i="7"/>
  <c r="AJ190" i="7"/>
  <c r="AI190" i="7"/>
  <c r="AH190" i="7"/>
  <c r="AG190" i="7"/>
  <c r="AF190" i="7"/>
  <c r="AE190" i="7"/>
  <c r="AD190" i="7"/>
  <c r="AC190" i="7"/>
  <c r="AB190" i="7"/>
  <c r="AA190" i="7"/>
  <c r="Z190" i="7"/>
  <c r="Y190" i="7"/>
  <c r="X190" i="7"/>
  <c r="W190" i="7"/>
  <c r="V190" i="7"/>
  <c r="U190" i="7"/>
  <c r="T190" i="7"/>
  <c r="S190" i="7"/>
  <c r="R190" i="7"/>
  <c r="Q190" i="7"/>
  <c r="BT190" i="7" s="1"/>
  <c r="P190" i="7"/>
  <c r="BR190" i="7" s="1"/>
  <c r="O190" i="7"/>
  <c r="BP190" i="7" s="1"/>
  <c r="N190" i="7"/>
  <c r="BN190" i="7" s="1"/>
  <c r="M190" i="7"/>
  <c r="BL190" i="7" s="1"/>
  <c r="L190" i="7"/>
  <c r="BJ190" i="7" s="1"/>
  <c r="K190" i="7"/>
  <c r="J190" i="7"/>
  <c r="I190" i="7"/>
  <c r="AQ189" i="7"/>
  <c r="AP189" i="7"/>
  <c r="AO189" i="7"/>
  <c r="AN189" i="7"/>
  <c r="AM189" i="7"/>
  <c r="AL189" i="7"/>
  <c r="AK189" i="7"/>
  <c r="AJ189" i="7"/>
  <c r="AI189" i="7"/>
  <c r="AH189" i="7"/>
  <c r="AG189" i="7"/>
  <c r="AF189" i="7"/>
  <c r="AE189" i="7"/>
  <c r="AD189" i="7"/>
  <c r="AC189" i="7"/>
  <c r="AB189" i="7"/>
  <c r="AA189" i="7"/>
  <c r="Z189" i="7"/>
  <c r="Y189" i="7"/>
  <c r="X189" i="7"/>
  <c r="W189" i="7"/>
  <c r="V189" i="7"/>
  <c r="U189" i="7"/>
  <c r="T189" i="7"/>
  <c r="S189" i="7"/>
  <c r="R189" i="7"/>
  <c r="Q189" i="7"/>
  <c r="BT189" i="7" s="1"/>
  <c r="P189" i="7"/>
  <c r="BR189" i="7" s="1"/>
  <c r="O189" i="7"/>
  <c r="BP189" i="7" s="1"/>
  <c r="N189" i="7"/>
  <c r="BN189" i="7" s="1"/>
  <c r="M189" i="7"/>
  <c r="BL189" i="7" s="1"/>
  <c r="L189" i="7"/>
  <c r="BJ189" i="7" s="1"/>
  <c r="K189" i="7"/>
  <c r="J189" i="7"/>
  <c r="I189" i="7"/>
  <c r="H189" i="7"/>
  <c r="BT188" i="7"/>
  <c r="BP188" i="7"/>
  <c r="BN188" i="7"/>
  <c r="BL188" i="7"/>
  <c r="BJ188" i="7"/>
  <c r="AQ188" i="7"/>
  <c r="AP188" i="7"/>
  <c r="AO188" i="7"/>
  <c r="AN188" i="7"/>
  <c r="AM188" i="7"/>
  <c r="AL188" i="7"/>
  <c r="AK188" i="7"/>
  <c r="AJ188" i="7"/>
  <c r="AI188" i="7"/>
  <c r="AH188" i="7"/>
  <c r="AG188" i="7"/>
  <c r="AF188" i="7"/>
  <c r="AE188" i="7"/>
  <c r="AD188" i="7"/>
  <c r="AC188" i="7"/>
  <c r="AB188" i="7"/>
  <c r="AA188" i="7"/>
  <c r="Z188" i="7"/>
  <c r="Y188" i="7"/>
  <c r="X188" i="7"/>
  <c r="W188" i="7"/>
  <c r="V188" i="7"/>
  <c r="U188" i="7"/>
  <c r="T188" i="7"/>
  <c r="S188" i="7"/>
  <c r="R188" i="7"/>
  <c r="Q188" i="7"/>
  <c r="P188" i="7"/>
  <c r="BR188" i="7" s="1"/>
  <c r="O188" i="7"/>
  <c r="N188" i="7"/>
  <c r="L188" i="7"/>
  <c r="K188" i="7"/>
  <c r="J188" i="7"/>
  <c r="I188" i="7"/>
  <c r="H188" i="7"/>
  <c r="G188" i="7"/>
  <c r="E188" i="7"/>
  <c r="D188" i="7"/>
  <c r="B188" i="7"/>
  <c r="BT187" i="7"/>
  <c r="BN187" i="7"/>
  <c r="BL187" i="7"/>
  <c r="BJ187" i="7"/>
  <c r="AQ187" i="7"/>
  <c r="AQ197" i="7" s="1"/>
  <c r="AP187" i="7"/>
  <c r="AO187" i="7"/>
  <c r="AN187" i="7"/>
  <c r="AM187" i="7"/>
  <c r="AL187" i="7"/>
  <c r="AK187" i="7"/>
  <c r="AJ187" i="7"/>
  <c r="AI187" i="7"/>
  <c r="AH187" i="7"/>
  <c r="AG187" i="7"/>
  <c r="AF187" i="7"/>
  <c r="AE187" i="7"/>
  <c r="AD187" i="7"/>
  <c r="AC187" i="7"/>
  <c r="AB187" i="7"/>
  <c r="AB197" i="7" s="1"/>
  <c r="AA187" i="7"/>
  <c r="Z187" i="7"/>
  <c r="Y187" i="7"/>
  <c r="X187" i="7"/>
  <c r="W187" i="7"/>
  <c r="V187" i="7"/>
  <c r="V197" i="7" s="1"/>
  <c r="U187" i="7"/>
  <c r="U197" i="7" s="1"/>
  <c r="T187" i="7"/>
  <c r="T197" i="7" s="1"/>
  <c r="S187" i="7"/>
  <c r="R187" i="7"/>
  <c r="Q187" i="7"/>
  <c r="N187" i="7"/>
  <c r="M187" i="7"/>
  <c r="I187" i="7"/>
  <c r="H187" i="7"/>
  <c r="G187" i="7"/>
  <c r="F187" i="7"/>
  <c r="E187" i="7"/>
  <c r="D187" i="7"/>
  <c r="C187" i="7"/>
  <c r="B187" i="7"/>
  <c r="BT186" i="7"/>
  <c r="BN186" i="7"/>
  <c r="AQ186" i="7"/>
  <c r="AP186" i="7"/>
  <c r="AO186" i="7"/>
  <c r="AN186" i="7"/>
  <c r="AM186" i="7"/>
  <c r="AL186" i="7"/>
  <c r="AK186" i="7"/>
  <c r="AJ186" i="7"/>
  <c r="AI186" i="7"/>
  <c r="AH186" i="7"/>
  <c r="AG186" i="7"/>
  <c r="AF186" i="7"/>
  <c r="AE186" i="7"/>
  <c r="AD186" i="7"/>
  <c r="AC186" i="7"/>
  <c r="AB186" i="7"/>
  <c r="AA186" i="7"/>
  <c r="AA197" i="7" s="1"/>
  <c r="Z186" i="7"/>
  <c r="Y186" i="7"/>
  <c r="X186" i="7"/>
  <c r="W186" i="7"/>
  <c r="V186" i="7"/>
  <c r="U186" i="7"/>
  <c r="T186" i="7"/>
  <c r="S186" i="7"/>
  <c r="R186" i="7"/>
  <c r="Q186" i="7"/>
  <c r="N186" i="7"/>
  <c r="M186" i="7"/>
  <c r="BL186" i="7" s="1"/>
  <c r="L186" i="7"/>
  <c r="BJ186" i="7" s="1"/>
  <c r="J186" i="7"/>
  <c r="I186" i="7"/>
  <c r="H186" i="7"/>
  <c r="G186" i="7"/>
  <c r="F186" i="7"/>
  <c r="D186" i="7"/>
  <c r="C186" i="7"/>
  <c r="B186" i="7"/>
  <c r="AQ185" i="7"/>
  <c r="AP185" i="7"/>
  <c r="AO185" i="7"/>
  <c r="AN185" i="7"/>
  <c r="AM185" i="7"/>
  <c r="AL185" i="7"/>
  <c r="AK185" i="7"/>
  <c r="AJ185" i="7"/>
  <c r="AI185" i="7"/>
  <c r="AH185" i="7"/>
  <c r="AG185" i="7"/>
  <c r="AF185" i="7"/>
  <c r="AE185" i="7"/>
  <c r="AD185" i="7"/>
  <c r="AD197" i="7" s="1"/>
  <c r="AC185" i="7"/>
  <c r="AB185" i="7"/>
  <c r="AA185" i="7"/>
  <c r="Z185" i="7"/>
  <c r="Y185" i="7"/>
  <c r="X185" i="7"/>
  <c r="W185" i="7"/>
  <c r="V185" i="7"/>
  <c r="U185" i="7"/>
  <c r="T185" i="7"/>
  <c r="S185" i="7"/>
  <c r="R185" i="7"/>
  <c r="N185" i="7"/>
  <c r="M185" i="7"/>
  <c r="L185" i="7"/>
  <c r="K185" i="7"/>
  <c r="J185" i="7"/>
  <c r="I185" i="7"/>
  <c r="H185" i="7"/>
  <c r="G185" i="7"/>
  <c r="F185" i="7"/>
  <c r="AQ184" i="7"/>
  <c r="AP184" i="7"/>
  <c r="AO184" i="7"/>
  <c r="AN184" i="7"/>
  <c r="AM184" i="7"/>
  <c r="AL184" i="7"/>
  <c r="AK184" i="7"/>
  <c r="AJ184" i="7"/>
  <c r="AI184" i="7"/>
  <c r="AH184" i="7"/>
  <c r="AG184" i="7"/>
  <c r="AF184" i="7"/>
  <c r="AE184" i="7"/>
  <c r="AD184" i="7"/>
  <c r="AC184" i="7"/>
  <c r="AB184" i="7"/>
  <c r="AA184"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H181" i="7"/>
  <c r="H11" i="7" s="1"/>
  <c r="C181" i="7"/>
  <c r="C11" i="7" s="1"/>
  <c r="BR180" i="7"/>
  <c r="BP180" i="7"/>
  <c r="BN180" i="7"/>
  <c r="BL180" i="7"/>
  <c r="P180" i="7"/>
  <c r="P180" i="9" s="1"/>
  <c r="O180" i="7"/>
  <c r="N180" i="7"/>
  <c r="M180" i="7"/>
  <c r="L180" i="7"/>
  <c r="BJ180" i="7" s="1"/>
  <c r="K180" i="7"/>
  <c r="J180" i="7"/>
  <c r="I180" i="7"/>
  <c r="H180" i="7"/>
  <c r="G180" i="7"/>
  <c r="G182" i="7" s="1"/>
  <c r="F180" i="7"/>
  <c r="E180" i="7"/>
  <c r="D180" i="7"/>
  <c r="C180" i="7"/>
  <c r="B180" i="7"/>
  <c r="P179" i="7"/>
  <c r="BR179" i="7" s="1"/>
  <c r="O179" i="7"/>
  <c r="N179" i="7"/>
  <c r="BN179" i="7" s="1"/>
  <c r="M179" i="7"/>
  <c r="BL179" i="7" s="1"/>
  <c r="L179" i="7"/>
  <c r="BJ179" i="7" s="1"/>
  <c r="K179" i="7"/>
  <c r="BH179" i="7" s="1"/>
  <c r="J179" i="7"/>
  <c r="I179" i="7"/>
  <c r="H179" i="7"/>
  <c r="G179" i="7"/>
  <c r="F179" i="7"/>
  <c r="E179" i="7"/>
  <c r="D179" i="7"/>
  <c r="C179" i="7"/>
  <c r="B179" i="7"/>
  <c r="BN178" i="7"/>
  <c r="BL178" i="7"/>
  <c r="BJ178" i="7"/>
  <c r="BH178" i="7"/>
  <c r="BF178" i="7"/>
  <c r="P178" i="7"/>
  <c r="BR178" i="7" s="1"/>
  <c r="O178" i="7"/>
  <c r="BP178" i="7" s="1"/>
  <c r="N178" i="7"/>
  <c r="M178" i="7"/>
  <c r="L178" i="7"/>
  <c r="K178" i="7"/>
  <c r="K146" i="7" s="1"/>
  <c r="BH146" i="7" s="1"/>
  <c r="J178" i="7"/>
  <c r="I178" i="7"/>
  <c r="H178" i="7"/>
  <c r="G178" i="7"/>
  <c r="F178" i="7"/>
  <c r="E178" i="7"/>
  <c r="D178" i="7"/>
  <c r="C178" i="7"/>
  <c r="B178" i="7"/>
  <c r="BR177" i="7"/>
  <c r="BP177" i="7"/>
  <c r="BN177" i="7"/>
  <c r="BL177" i="7"/>
  <c r="BJ177" i="7"/>
  <c r="BH177" i="7"/>
  <c r="BF177" i="7"/>
  <c r="P177" i="7"/>
  <c r="O177" i="7"/>
  <c r="N177" i="7"/>
  <c r="M177" i="7"/>
  <c r="L177" i="7"/>
  <c r="K177" i="7"/>
  <c r="J177" i="7"/>
  <c r="I177" i="7"/>
  <c r="H177" i="7"/>
  <c r="G177" i="7"/>
  <c r="F177" i="7"/>
  <c r="E177" i="7"/>
  <c r="D177" i="7"/>
  <c r="C177" i="7"/>
  <c r="B177" i="7"/>
  <c r="BR176" i="7"/>
  <c r="BP176" i="7"/>
  <c r="P176" i="7"/>
  <c r="O176" i="7"/>
  <c r="N176" i="7"/>
  <c r="BN176" i="7" s="1"/>
  <c r="M176" i="7"/>
  <c r="L176" i="7"/>
  <c r="BJ176" i="7" s="1"/>
  <c r="K176" i="7"/>
  <c r="BH176" i="7" s="1"/>
  <c r="J176" i="7"/>
  <c r="I176" i="7"/>
  <c r="H176" i="7"/>
  <c r="H182" i="7" s="1"/>
  <c r="G176" i="7"/>
  <c r="F176" i="7"/>
  <c r="E176" i="7"/>
  <c r="D176" i="7"/>
  <c r="C176" i="7"/>
  <c r="B176" i="7"/>
  <c r="P175" i="7"/>
  <c r="BR175" i="7" s="1"/>
  <c r="O175" i="7"/>
  <c r="N175" i="7"/>
  <c r="BN175" i="7" s="1"/>
  <c r="M175" i="7"/>
  <c r="BL175" i="7" s="1"/>
  <c r="L175" i="7"/>
  <c r="BJ175" i="7" s="1"/>
  <c r="K175" i="7"/>
  <c r="BH175" i="7" s="1"/>
  <c r="J175" i="7"/>
  <c r="I175" i="7"/>
  <c r="H175" i="7"/>
  <c r="G175" i="7"/>
  <c r="G143" i="7" s="1"/>
  <c r="F175" i="7"/>
  <c r="E175" i="7"/>
  <c r="D175" i="7"/>
  <c r="C175" i="7"/>
  <c r="B175" i="7"/>
  <c r="BR174" i="7"/>
  <c r="BP174" i="7"/>
  <c r="BN174" i="7"/>
  <c r="BL174" i="7"/>
  <c r="BJ174" i="7"/>
  <c r="BH174" i="7"/>
  <c r="BF174" i="7"/>
  <c r="P174" i="7"/>
  <c r="O174" i="7"/>
  <c r="N174" i="7"/>
  <c r="M174" i="7"/>
  <c r="M142" i="7" s="1"/>
  <c r="BL142" i="7" s="1"/>
  <c r="L174" i="7"/>
  <c r="K174" i="7"/>
  <c r="J174" i="7"/>
  <c r="I174" i="7"/>
  <c r="H174" i="7"/>
  <c r="G174" i="7"/>
  <c r="F174" i="7"/>
  <c r="F142" i="7" s="1"/>
  <c r="E174" i="7"/>
  <c r="D174" i="7"/>
  <c r="C174" i="7"/>
  <c r="B174" i="7"/>
  <c r="B142" i="7" s="1"/>
  <c r="BR173" i="7"/>
  <c r="BP173" i="7"/>
  <c r="BN173" i="7"/>
  <c r="BL173" i="7"/>
  <c r="BJ173" i="7"/>
  <c r="BH173" i="7"/>
  <c r="P173" i="7"/>
  <c r="O173" i="7"/>
  <c r="BF173" i="7" s="1"/>
  <c r="N173" i="7"/>
  <c r="M173" i="7"/>
  <c r="L173" i="7"/>
  <c r="L141" i="7" s="1"/>
  <c r="BJ141" i="7" s="1"/>
  <c r="K173" i="7"/>
  <c r="J173" i="7"/>
  <c r="I173" i="7"/>
  <c r="H173" i="7"/>
  <c r="G173" i="7"/>
  <c r="F173" i="7"/>
  <c r="E173" i="7"/>
  <c r="D173" i="7"/>
  <c r="C173" i="7"/>
  <c r="C141" i="7" s="1"/>
  <c r="B173" i="7"/>
  <c r="B181" i="7" s="1"/>
  <c r="B11" i="7" s="1"/>
  <c r="P172" i="7"/>
  <c r="BR172" i="7" s="1"/>
  <c r="O172" i="7"/>
  <c r="BP172" i="7" s="1"/>
  <c r="N172" i="7"/>
  <c r="BN172" i="7" s="1"/>
  <c r="M172" i="7"/>
  <c r="BL172" i="7" s="1"/>
  <c r="L172" i="7"/>
  <c r="BJ172" i="7" s="1"/>
  <c r="K172" i="7"/>
  <c r="J172" i="7"/>
  <c r="I172" i="7"/>
  <c r="H172" i="7"/>
  <c r="G172" i="7"/>
  <c r="F172" i="7"/>
  <c r="E172" i="7"/>
  <c r="D172" i="7"/>
  <c r="C172" i="7"/>
  <c r="B172" i="7"/>
  <c r="B140" i="7" s="1"/>
  <c r="BF171" i="7"/>
  <c r="P171" i="7"/>
  <c r="BR171" i="7" s="1"/>
  <c r="O171" i="7"/>
  <c r="N171" i="7"/>
  <c r="BN171" i="7" s="1"/>
  <c r="M171" i="7"/>
  <c r="BL171" i="7" s="1"/>
  <c r="L171" i="7"/>
  <c r="BJ171" i="7" s="1"/>
  <c r="K171" i="7"/>
  <c r="K139" i="7" s="1"/>
  <c r="J171" i="7"/>
  <c r="I171" i="7"/>
  <c r="H171" i="7"/>
  <c r="G171" i="7"/>
  <c r="F171" i="7"/>
  <c r="E171" i="7"/>
  <c r="D171" i="7"/>
  <c r="C171" i="7"/>
  <c r="B171" i="7"/>
  <c r="BP170" i="7"/>
  <c r="BN170" i="7"/>
  <c r="BL170" i="7"/>
  <c r="BJ170" i="7"/>
  <c r="BF170" i="7"/>
  <c r="Q170" i="7"/>
  <c r="P170" i="7"/>
  <c r="BR170" i="7" s="1"/>
  <c r="O170" i="7"/>
  <c r="N170" i="7"/>
  <c r="M170" i="7"/>
  <c r="L170" i="7"/>
  <c r="L138" i="7" s="1"/>
  <c r="K170" i="7"/>
  <c r="J170" i="7"/>
  <c r="I170" i="7"/>
  <c r="H170" i="7"/>
  <c r="G170" i="7"/>
  <c r="F170" i="7"/>
  <c r="E170" i="7"/>
  <c r="E138" i="7" s="1"/>
  <c r="D170" i="7"/>
  <c r="D138" i="7" s="1"/>
  <c r="D26" i="7" s="1"/>
  <c r="C170" i="7"/>
  <c r="B170" i="7"/>
  <c r="B138" i="7" s="1"/>
  <c r="BT169" i="7"/>
  <c r="BR169" i="7"/>
  <c r="BP169" i="7"/>
  <c r="BN169" i="7"/>
  <c r="BL169" i="7"/>
  <c r="BJ169" i="7"/>
  <c r="BF169" i="7"/>
  <c r="Q169" i="7"/>
  <c r="Q137" i="7" s="1"/>
  <c r="P169" i="7"/>
  <c r="P181" i="7" s="1"/>
  <c r="O169" i="7"/>
  <c r="N169" i="7"/>
  <c r="M169" i="7"/>
  <c r="L169" i="7"/>
  <c r="K169" i="7"/>
  <c r="J169" i="7"/>
  <c r="I169" i="7"/>
  <c r="H169" i="7"/>
  <c r="G169" i="7"/>
  <c r="F169" i="7"/>
  <c r="E169" i="7"/>
  <c r="D169" i="7"/>
  <c r="D137" i="7" s="1"/>
  <c r="C169" i="7"/>
  <c r="B169" i="7"/>
  <c r="AQ168" i="7"/>
  <c r="AP168" i="7"/>
  <c r="AO168" i="7"/>
  <c r="AN168" i="7"/>
  <c r="AM168" i="7"/>
  <c r="AL168" i="7"/>
  <c r="AK168" i="7"/>
  <c r="AJ168" i="7"/>
  <c r="AI168" i="7"/>
  <c r="AH168" i="7"/>
  <c r="AG168" i="7"/>
  <c r="AF168" i="7"/>
  <c r="AE168" i="7"/>
  <c r="AD168" i="7"/>
  <c r="AC168" i="7"/>
  <c r="AB168" i="7"/>
  <c r="AA168"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O167" i="7"/>
  <c r="M167" i="7"/>
  <c r="L167" i="7"/>
  <c r="H166" i="7"/>
  <c r="C165" i="7"/>
  <c r="C10" i="7" s="1"/>
  <c r="BR164" i="7"/>
  <c r="BP164" i="7"/>
  <c r="BN164" i="7"/>
  <c r="P164" i="7"/>
  <c r="O164" i="7"/>
  <c r="BF164" i="7" s="1"/>
  <c r="N164" i="7"/>
  <c r="M164" i="7"/>
  <c r="L164" i="7"/>
  <c r="K164" i="7"/>
  <c r="J164" i="7"/>
  <c r="I164" i="7"/>
  <c r="H164" i="7"/>
  <c r="G164" i="7"/>
  <c r="F164" i="7"/>
  <c r="E164" i="7"/>
  <c r="E148" i="7" s="1"/>
  <c r="D164" i="7"/>
  <c r="D148" i="7" s="1"/>
  <c r="C164" i="7"/>
  <c r="B164" i="7"/>
  <c r="P163" i="7"/>
  <c r="O163" i="7"/>
  <c r="N163" i="7"/>
  <c r="M163" i="7"/>
  <c r="L163" i="7"/>
  <c r="K163" i="7"/>
  <c r="J163" i="7"/>
  <c r="J147" i="7" s="1"/>
  <c r="I163" i="7"/>
  <c r="H163" i="7"/>
  <c r="G163" i="7"/>
  <c r="F163" i="7"/>
  <c r="E163" i="7"/>
  <c r="D163" i="7"/>
  <c r="C163" i="7"/>
  <c r="B163" i="7"/>
  <c r="BL162" i="7"/>
  <c r="BJ162" i="7"/>
  <c r="BH162" i="7"/>
  <c r="BF162" i="7"/>
  <c r="P162" i="7"/>
  <c r="O162" i="7"/>
  <c r="N162" i="7"/>
  <c r="N167" i="7" s="1"/>
  <c r="M162" i="7"/>
  <c r="L162" i="7"/>
  <c r="K162" i="7"/>
  <c r="J162" i="7"/>
  <c r="I162" i="7"/>
  <c r="H162" i="7"/>
  <c r="G162" i="7"/>
  <c r="F162" i="7"/>
  <c r="E162" i="7"/>
  <c r="D162" i="7"/>
  <c r="C162" i="7"/>
  <c r="C146" i="7" s="1"/>
  <c r="B162" i="7"/>
  <c r="BR161" i="7"/>
  <c r="BP161" i="7"/>
  <c r="BN161" i="7"/>
  <c r="BL161" i="7"/>
  <c r="BJ161" i="7"/>
  <c r="BH161" i="7"/>
  <c r="BF161" i="7"/>
  <c r="P161" i="7"/>
  <c r="P145" i="7" s="1"/>
  <c r="BR145" i="7" s="1"/>
  <c r="O161" i="7"/>
  <c r="N161" i="7"/>
  <c r="M161" i="7"/>
  <c r="L161" i="7"/>
  <c r="K161" i="7"/>
  <c r="J161" i="7"/>
  <c r="I161" i="7"/>
  <c r="H161" i="7"/>
  <c r="H145" i="7" s="1"/>
  <c r="G161" i="7"/>
  <c r="F161" i="7"/>
  <c r="F145" i="7" s="1"/>
  <c r="E161" i="7"/>
  <c r="E145" i="7" s="1"/>
  <c r="D161" i="7"/>
  <c r="D145" i="7" s="1"/>
  <c r="C161" i="7"/>
  <c r="C145" i="7" s="1"/>
  <c r="B161" i="7"/>
  <c r="B145" i="7" s="1"/>
  <c r="BR160" i="7"/>
  <c r="P160" i="7"/>
  <c r="O160" i="7"/>
  <c r="N160" i="7"/>
  <c r="M160" i="7"/>
  <c r="BL160" i="7" s="1"/>
  <c r="L160" i="7"/>
  <c r="K160" i="7"/>
  <c r="J160" i="7"/>
  <c r="I160" i="7"/>
  <c r="I144" i="7" s="1"/>
  <c r="H160" i="7"/>
  <c r="H144" i="7" s="1"/>
  <c r="G160" i="7"/>
  <c r="F160" i="7"/>
  <c r="E160" i="7"/>
  <c r="D160" i="7"/>
  <c r="D144" i="7" s="1"/>
  <c r="C160" i="7"/>
  <c r="B160" i="7"/>
  <c r="P159" i="7"/>
  <c r="O159" i="7"/>
  <c r="N159" i="7"/>
  <c r="M159" i="7"/>
  <c r="L159" i="7"/>
  <c r="K159" i="7"/>
  <c r="J159" i="7"/>
  <c r="J143" i="7" s="1"/>
  <c r="I159" i="7"/>
  <c r="H159" i="7"/>
  <c r="G159" i="7"/>
  <c r="F159" i="7"/>
  <c r="E159" i="7"/>
  <c r="D159" i="7"/>
  <c r="C159" i="7"/>
  <c r="B159" i="7"/>
  <c r="BP158" i="7"/>
  <c r="BN158" i="7"/>
  <c r="BL158" i="7"/>
  <c r="BJ158" i="7"/>
  <c r="BH158" i="7"/>
  <c r="BF158" i="7"/>
  <c r="P158" i="7"/>
  <c r="O158" i="7"/>
  <c r="N158" i="7"/>
  <c r="M158" i="7"/>
  <c r="L158" i="7"/>
  <c r="L142" i="7" s="1"/>
  <c r="BJ142" i="7" s="1"/>
  <c r="K158" i="7"/>
  <c r="J158" i="7"/>
  <c r="I158" i="7"/>
  <c r="H158" i="7"/>
  <c r="G158" i="7"/>
  <c r="F158" i="7"/>
  <c r="E158" i="7"/>
  <c r="E142" i="7" s="1"/>
  <c r="D158" i="7"/>
  <c r="C158" i="7"/>
  <c r="B158" i="7"/>
  <c r="BR157" i="7"/>
  <c r="BP157" i="7"/>
  <c r="BN157" i="7"/>
  <c r="BL157" i="7"/>
  <c r="BJ157" i="7"/>
  <c r="BH157" i="7"/>
  <c r="BF157" i="7"/>
  <c r="P157" i="7"/>
  <c r="O157" i="7"/>
  <c r="N157" i="7"/>
  <c r="M157" i="7"/>
  <c r="L157" i="7"/>
  <c r="K157" i="7"/>
  <c r="J157" i="7"/>
  <c r="J141" i="7" s="1"/>
  <c r="I157" i="7"/>
  <c r="H157" i="7"/>
  <c r="G157" i="7"/>
  <c r="G141" i="7" s="1"/>
  <c r="F157" i="7"/>
  <c r="E157" i="7"/>
  <c r="E141" i="7" s="1"/>
  <c r="D157" i="7"/>
  <c r="D141" i="7" s="1"/>
  <c r="C157" i="7"/>
  <c r="B157" i="7"/>
  <c r="B141" i="7" s="1"/>
  <c r="BR156" i="7"/>
  <c r="P156" i="7"/>
  <c r="P140" i="7" s="1"/>
  <c r="BR140" i="7" s="1"/>
  <c r="O156" i="7"/>
  <c r="N156" i="7"/>
  <c r="BN156" i="7" s="1"/>
  <c r="M156" i="7"/>
  <c r="L156" i="7"/>
  <c r="K156" i="7"/>
  <c r="J156" i="7"/>
  <c r="J140" i="7" s="1"/>
  <c r="I156" i="7"/>
  <c r="I140" i="7" s="1"/>
  <c r="H156" i="7"/>
  <c r="G156" i="7"/>
  <c r="G165" i="7" s="1"/>
  <c r="G10" i="7" s="1"/>
  <c r="F156" i="7"/>
  <c r="E156" i="7"/>
  <c r="E140" i="7" s="1"/>
  <c r="D156" i="7"/>
  <c r="C156" i="7"/>
  <c r="B156" i="7"/>
  <c r="P155" i="7"/>
  <c r="O155" i="7"/>
  <c r="N155" i="7"/>
  <c r="M155" i="7"/>
  <c r="L155" i="7"/>
  <c r="BJ155" i="7" s="1"/>
  <c r="K155" i="7"/>
  <c r="J155" i="7"/>
  <c r="J139" i="7" s="1"/>
  <c r="I155" i="7"/>
  <c r="H155" i="7"/>
  <c r="G155" i="7"/>
  <c r="F155" i="7"/>
  <c r="F139" i="7" s="1"/>
  <c r="E155" i="7"/>
  <c r="D155" i="7"/>
  <c r="C155" i="7"/>
  <c r="B155" i="7"/>
  <c r="BP154" i="7"/>
  <c r="BN154" i="7"/>
  <c r="BL154" i="7"/>
  <c r="BJ154" i="7"/>
  <c r="BF154" i="7"/>
  <c r="Q154" i="7"/>
  <c r="P154" i="7"/>
  <c r="BR154" i="7" s="1"/>
  <c r="O154" i="7"/>
  <c r="N154" i="7"/>
  <c r="M154" i="7"/>
  <c r="L154" i="7"/>
  <c r="K154" i="7"/>
  <c r="J154" i="7"/>
  <c r="I154" i="7"/>
  <c r="H154" i="7"/>
  <c r="G154" i="7"/>
  <c r="F154" i="7"/>
  <c r="E154" i="7"/>
  <c r="D154" i="7"/>
  <c r="C154" i="7"/>
  <c r="B154" i="7"/>
  <c r="BT153" i="7"/>
  <c r="BR153" i="7"/>
  <c r="BP153" i="7"/>
  <c r="BN153" i="7"/>
  <c r="BL153" i="7"/>
  <c r="BJ153" i="7"/>
  <c r="BF153" i="7"/>
  <c r="Q153" i="7"/>
  <c r="Q153" i="9" s="1"/>
  <c r="P153" i="7"/>
  <c r="O153" i="7"/>
  <c r="N153" i="7"/>
  <c r="M153" i="7"/>
  <c r="L153" i="7"/>
  <c r="K153" i="7"/>
  <c r="J153" i="7"/>
  <c r="I153" i="7"/>
  <c r="H153" i="7"/>
  <c r="G153" i="7"/>
  <c r="F153" i="7"/>
  <c r="F137" i="7" s="1"/>
  <c r="E153" i="7"/>
  <c r="D153" i="7"/>
  <c r="C153" i="7"/>
  <c r="B153" i="7"/>
  <c r="B165" i="7" s="1"/>
  <c r="B10" i="7" s="1"/>
  <c r="B9" i="7" s="1"/>
  <c r="B16" i="6" s="1"/>
  <c r="AQ152" i="7"/>
  <c r="AP152" i="7"/>
  <c r="AO152" i="7"/>
  <c r="AN152" i="7"/>
  <c r="AM152" i="7"/>
  <c r="AL152" i="7"/>
  <c r="AK152" i="7"/>
  <c r="AJ152" i="7"/>
  <c r="AI152" i="7"/>
  <c r="AH152" i="7"/>
  <c r="AG152" i="7"/>
  <c r="AF152" i="7"/>
  <c r="AE152" i="7"/>
  <c r="AD152" i="7"/>
  <c r="AC152" i="7"/>
  <c r="AB152" i="7"/>
  <c r="AA152"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BN148" i="7"/>
  <c r="P148" i="7"/>
  <c r="BR148" i="7" s="1"/>
  <c r="O148" i="7"/>
  <c r="N148" i="7"/>
  <c r="C148" i="7"/>
  <c r="B148" i="7"/>
  <c r="H147" i="7"/>
  <c r="G147" i="7"/>
  <c r="F147" i="7"/>
  <c r="E147" i="7"/>
  <c r="D147" i="7"/>
  <c r="C147" i="7"/>
  <c r="B147" i="7"/>
  <c r="BL146" i="7"/>
  <c r="M146" i="7"/>
  <c r="L146" i="7"/>
  <c r="BJ146" i="7" s="1"/>
  <c r="J146" i="7"/>
  <c r="I146" i="7"/>
  <c r="H146" i="7"/>
  <c r="G146" i="7"/>
  <c r="F146" i="7"/>
  <c r="E146" i="7"/>
  <c r="D146" i="7"/>
  <c r="B146" i="7"/>
  <c r="O145" i="7"/>
  <c r="BP145" i="7" s="1"/>
  <c r="N145" i="7"/>
  <c r="BN145" i="7" s="1"/>
  <c r="M145" i="7"/>
  <c r="BL145" i="7" s="1"/>
  <c r="L145" i="7"/>
  <c r="BJ145" i="7" s="1"/>
  <c r="K145" i="7"/>
  <c r="BH145" i="7" s="1"/>
  <c r="J145" i="7"/>
  <c r="I145" i="7"/>
  <c r="G145" i="7"/>
  <c r="P144" i="7"/>
  <c r="BR144" i="7" s="1"/>
  <c r="C144" i="7"/>
  <c r="B144" i="7"/>
  <c r="I143" i="7"/>
  <c r="H143" i="7"/>
  <c r="F143" i="7"/>
  <c r="E143" i="7"/>
  <c r="D143" i="7"/>
  <c r="C143" i="7"/>
  <c r="B143" i="7"/>
  <c r="BP142" i="7"/>
  <c r="BN142" i="7"/>
  <c r="O142" i="7"/>
  <c r="N142" i="7"/>
  <c r="K142" i="7"/>
  <c r="J142" i="7"/>
  <c r="I142" i="7"/>
  <c r="H142" i="7"/>
  <c r="G142" i="7"/>
  <c r="D142" i="7"/>
  <c r="C142" i="7"/>
  <c r="BR141" i="7"/>
  <c r="BP141" i="7"/>
  <c r="P141" i="7"/>
  <c r="O141" i="7"/>
  <c r="N141" i="7"/>
  <c r="BN141" i="7" s="1"/>
  <c r="M141" i="7"/>
  <c r="BL141" i="7" s="1"/>
  <c r="K141" i="7"/>
  <c r="I141" i="7"/>
  <c r="H141" i="7"/>
  <c r="N140" i="7"/>
  <c r="BN140" i="7" s="1"/>
  <c r="G140" i="7"/>
  <c r="G28" i="7" s="1"/>
  <c r="D140" i="7"/>
  <c r="C140" i="7"/>
  <c r="BJ139" i="7"/>
  <c r="L139" i="7"/>
  <c r="I139" i="7"/>
  <c r="H139" i="7"/>
  <c r="G139" i="7"/>
  <c r="E139" i="7"/>
  <c r="D139" i="7"/>
  <c r="C139" i="7"/>
  <c r="B139" i="7"/>
  <c r="BP138" i="7"/>
  <c r="BN138" i="7"/>
  <c r="BL138" i="7"/>
  <c r="BJ138" i="7"/>
  <c r="Q138" i="7"/>
  <c r="BT138" i="7" s="1"/>
  <c r="O138" i="7"/>
  <c r="N138" i="7"/>
  <c r="M138" i="7"/>
  <c r="K138" i="7"/>
  <c r="J138" i="7"/>
  <c r="I138" i="7"/>
  <c r="H138" i="7"/>
  <c r="G138" i="7"/>
  <c r="F138" i="7"/>
  <c r="C138" i="7"/>
  <c r="BP137" i="7"/>
  <c r="BN137" i="7"/>
  <c r="BL137" i="7"/>
  <c r="BJ137" i="7"/>
  <c r="O137" i="7"/>
  <c r="N137" i="7"/>
  <c r="M137" i="7"/>
  <c r="L137" i="7"/>
  <c r="K137" i="7"/>
  <c r="G137" i="7"/>
  <c r="C137" i="7"/>
  <c r="B137" i="7"/>
  <c r="AQ136" i="7"/>
  <c r="AP136" i="7"/>
  <c r="AO136" i="7"/>
  <c r="AN136" i="7"/>
  <c r="AM136" i="7"/>
  <c r="AL136" i="7"/>
  <c r="AK136" i="7"/>
  <c r="AJ136" i="7"/>
  <c r="AI136" i="7"/>
  <c r="AH136" i="7"/>
  <c r="AG136" i="7"/>
  <c r="AF136" i="7"/>
  <c r="AE136" i="7"/>
  <c r="AD136" i="7"/>
  <c r="AC136" i="7"/>
  <c r="AB136" i="7"/>
  <c r="AA136"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P134" i="7"/>
  <c r="O134" i="7"/>
  <c r="N134" i="7"/>
  <c r="M134" i="7"/>
  <c r="L134" i="7"/>
  <c r="BR132" i="7"/>
  <c r="BP132" i="7"/>
  <c r="BN132" i="7"/>
  <c r="BL132" i="7"/>
  <c r="BJ132" i="7"/>
  <c r="BH132" i="7"/>
  <c r="BF132" i="7"/>
  <c r="P132" i="7"/>
  <c r="O132" i="7"/>
  <c r="N132" i="7"/>
  <c r="M132" i="7"/>
  <c r="L132" i="7"/>
  <c r="K132" i="7"/>
  <c r="J132" i="7"/>
  <c r="J134" i="7" s="1"/>
  <c r="I132" i="7"/>
  <c r="H132" i="7"/>
  <c r="H134" i="7" s="1"/>
  <c r="G132" i="7"/>
  <c r="F132" i="7"/>
  <c r="E132" i="7"/>
  <c r="D132" i="7"/>
  <c r="C132" i="7"/>
  <c r="B132" i="7"/>
  <c r="BR131" i="7"/>
  <c r="BP131" i="7"/>
  <c r="BN131" i="7"/>
  <c r="BL131" i="7"/>
  <c r="P131" i="7"/>
  <c r="O131" i="7"/>
  <c r="BF131" i="7" s="1"/>
  <c r="N131" i="7"/>
  <c r="M131" i="7"/>
  <c r="L131" i="7"/>
  <c r="BJ131" i="7" s="1"/>
  <c r="K131" i="7"/>
  <c r="J131" i="7"/>
  <c r="I131" i="7"/>
  <c r="H131" i="7"/>
  <c r="G131" i="7"/>
  <c r="G134" i="7" s="1"/>
  <c r="F131" i="7"/>
  <c r="E131" i="7"/>
  <c r="D131" i="7"/>
  <c r="C131" i="7"/>
  <c r="C99" i="7" s="1"/>
  <c r="B131" i="7"/>
  <c r="P130" i="7"/>
  <c r="BR130" i="7" s="1"/>
  <c r="O130" i="7"/>
  <c r="N130" i="7"/>
  <c r="BN130" i="7" s="1"/>
  <c r="M130" i="7"/>
  <c r="BL130" i="7" s="1"/>
  <c r="L130" i="7"/>
  <c r="BJ130" i="7" s="1"/>
  <c r="K130" i="7"/>
  <c r="BH130" i="7" s="1"/>
  <c r="J130" i="7"/>
  <c r="I130" i="7"/>
  <c r="H130" i="7"/>
  <c r="H98" i="7" s="1"/>
  <c r="G130" i="7"/>
  <c r="F130" i="7"/>
  <c r="E130" i="7"/>
  <c r="D130" i="7"/>
  <c r="C130" i="7"/>
  <c r="B130" i="7"/>
  <c r="BJ129" i="7"/>
  <c r="BH129" i="7"/>
  <c r="P129" i="7"/>
  <c r="BR129" i="7" s="1"/>
  <c r="O129" i="7"/>
  <c r="N129" i="7"/>
  <c r="M129" i="7"/>
  <c r="L129" i="7"/>
  <c r="K129" i="7"/>
  <c r="J129" i="7"/>
  <c r="I129" i="7"/>
  <c r="H129" i="7"/>
  <c r="G129" i="7"/>
  <c r="F129" i="7"/>
  <c r="E129" i="7"/>
  <c r="D129" i="7"/>
  <c r="C129" i="7"/>
  <c r="B129" i="7"/>
  <c r="BR128" i="7"/>
  <c r="BP128" i="7"/>
  <c r="BN128" i="7"/>
  <c r="BL128" i="7"/>
  <c r="BJ128" i="7"/>
  <c r="BH128" i="7"/>
  <c r="BF128" i="7"/>
  <c r="P128" i="7"/>
  <c r="O128" i="7"/>
  <c r="N128" i="7"/>
  <c r="M128" i="7"/>
  <c r="L128" i="7"/>
  <c r="K128" i="7"/>
  <c r="J128" i="7"/>
  <c r="I128" i="7"/>
  <c r="H128" i="7"/>
  <c r="G128" i="7"/>
  <c r="F128" i="7"/>
  <c r="E128" i="7"/>
  <c r="D128" i="7"/>
  <c r="C128" i="7"/>
  <c r="B128" i="7"/>
  <c r="BR127" i="7"/>
  <c r="BP127" i="7"/>
  <c r="BN127" i="7"/>
  <c r="BL127" i="7"/>
  <c r="P127" i="7"/>
  <c r="O127" i="7"/>
  <c r="N127" i="7"/>
  <c r="M127" i="7"/>
  <c r="L127" i="7"/>
  <c r="BJ127" i="7" s="1"/>
  <c r="K127" i="7"/>
  <c r="BH127" i="7" s="1"/>
  <c r="J127" i="7"/>
  <c r="I127" i="7"/>
  <c r="H127" i="7"/>
  <c r="G127" i="7"/>
  <c r="F127" i="7"/>
  <c r="E127" i="7"/>
  <c r="E95" i="7" s="1"/>
  <c r="D127" i="7"/>
  <c r="D95" i="7" s="1"/>
  <c r="C127" i="7"/>
  <c r="B127" i="7"/>
  <c r="P126" i="7"/>
  <c r="BR126" i="7" s="1"/>
  <c r="O126" i="7"/>
  <c r="N126" i="7"/>
  <c r="M126" i="7"/>
  <c r="BL126" i="7" s="1"/>
  <c r="L126" i="7"/>
  <c r="BJ126" i="7" s="1"/>
  <c r="K126" i="7"/>
  <c r="J126" i="7"/>
  <c r="J94" i="7" s="1"/>
  <c r="I126" i="7"/>
  <c r="I94" i="7" s="1"/>
  <c r="H126" i="7"/>
  <c r="G126" i="7"/>
  <c r="F126" i="7"/>
  <c r="E126" i="7"/>
  <c r="E94" i="7" s="1"/>
  <c r="D126" i="7"/>
  <c r="C126" i="7"/>
  <c r="B126" i="7"/>
  <c r="BN125" i="7"/>
  <c r="BL125" i="7"/>
  <c r="BJ125" i="7"/>
  <c r="BH125" i="7"/>
  <c r="BF125" i="7"/>
  <c r="P125" i="7"/>
  <c r="O125" i="7"/>
  <c r="N125" i="7"/>
  <c r="M125" i="7"/>
  <c r="L125" i="7"/>
  <c r="K125" i="7"/>
  <c r="J125" i="7"/>
  <c r="I125" i="7"/>
  <c r="H125" i="7"/>
  <c r="G125" i="7"/>
  <c r="F125" i="7"/>
  <c r="E125" i="7"/>
  <c r="D125" i="7"/>
  <c r="C125" i="7"/>
  <c r="B125" i="7"/>
  <c r="BR124" i="7"/>
  <c r="BP124" i="7"/>
  <c r="BN124" i="7"/>
  <c r="BL124" i="7"/>
  <c r="BJ124" i="7"/>
  <c r="BF124" i="7"/>
  <c r="P124" i="7"/>
  <c r="P92" i="7" s="1"/>
  <c r="O124" i="7"/>
  <c r="N124" i="7"/>
  <c r="M124" i="7"/>
  <c r="L124" i="7"/>
  <c r="K124" i="7"/>
  <c r="J124" i="7"/>
  <c r="I124" i="7"/>
  <c r="H124" i="7"/>
  <c r="G124" i="7"/>
  <c r="F124" i="7"/>
  <c r="F92" i="7" s="1"/>
  <c r="E124" i="7"/>
  <c r="D124" i="7"/>
  <c r="C124" i="7"/>
  <c r="B124" i="7"/>
  <c r="BR123" i="7"/>
  <c r="BP123" i="7"/>
  <c r="BN123" i="7"/>
  <c r="P123" i="7"/>
  <c r="O123" i="7"/>
  <c r="BF123" i="7" s="1"/>
  <c r="N123" i="7"/>
  <c r="M123" i="7"/>
  <c r="BL123" i="7" s="1"/>
  <c r="L123" i="7"/>
  <c r="BJ123" i="7" s="1"/>
  <c r="K123" i="7"/>
  <c r="J123" i="7"/>
  <c r="I123" i="7"/>
  <c r="H123" i="7"/>
  <c r="G123" i="7"/>
  <c r="G133" i="7" s="1"/>
  <c r="G8" i="7" s="1"/>
  <c r="F123" i="7"/>
  <c r="E123" i="7"/>
  <c r="E91" i="7" s="1"/>
  <c r="D123" i="7"/>
  <c r="C123" i="7"/>
  <c r="C91" i="7" s="1"/>
  <c r="B123" i="7"/>
  <c r="Q122" i="7"/>
  <c r="Q122" i="9" s="1"/>
  <c r="P122" i="7"/>
  <c r="BR122" i="7" s="1"/>
  <c r="O122" i="7"/>
  <c r="N122" i="7"/>
  <c r="M122" i="7"/>
  <c r="L122" i="7"/>
  <c r="BJ122" i="7" s="1"/>
  <c r="K122" i="7"/>
  <c r="K133" i="7" s="1"/>
  <c r="J122" i="7"/>
  <c r="I122" i="7"/>
  <c r="I90" i="7" s="1"/>
  <c r="H122" i="7"/>
  <c r="G122" i="7"/>
  <c r="F122" i="7"/>
  <c r="E122" i="7"/>
  <c r="D122" i="7"/>
  <c r="D90" i="7" s="1"/>
  <c r="C122" i="7"/>
  <c r="B122" i="7"/>
  <c r="BJ121" i="7"/>
  <c r="Q121" i="7"/>
  <c r="BT121" i="7" s="1"/>
  <c r="P121" i="7"/>
  <c r="BR121" i="7" s="1"/>
  <c r="O121" i="7"/>
  <c r="BP121" i="7" s="1"/>
  <c r="N121" i="7"/>
  <c r="BN121" i="7" s="1"/>
  <c r="M121" i="7"/>
  <c r="M89" i="7" s="1"/>
  <c r="L121" i="7"/>
  <c r="K121" i="7"/>
  <c r="J121" i="7"/>
  <c r="J133" i="7" s="1"/>
  <c r="J8" i="7" s="1"/>
  <c r="I121" i="7"/>
  <c r="I133" i="7" s="1"/>
  <c r="I8" i="7" s="1"/>
  <c r="H121" i="7"/>
  <c r="G121" i="7"/>
  <c r="F121" i="7"/>
  <c r="E121" i="7"/>
  <c r="D121" i="7"/>
  <c r="C121" i="7"/>
  <c r="B121" i="7"/>
  <c r="AQ120" i="7"/>
  <c r="AP120" i="7"/>
  <c r="AO120" i="7"/>
  <c r="AN120" i="7"/>
  <c r="AM120" i="7"/>
  <c r="AL120" i="7"/>
  <c r="AK120" i="7"/>
  <c r="AJ120" i="7"/>
  <c r="AI120" i="7"/>
  <c r="AH120" i="7"/>
  <c r="AG120" i="7"/>
  <c r="AF120" i="7"/>
  <c r="AE120" i="7"/>
  <c r="AD120" i="7"/>
  <c r="AC120" i="7"/>
  <c r="AB120" i="7"/>
  <c r="AA120"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P118" i="7"/>
  <c r="BR116" i="7"/>
  <c r="BP116" i="7"/>
  <c r="BN116" i="7"/>
  <c r="BL116" i="7"/>
  <c r="BJ116" i="7"/>
  <c r="BH116" i="7"/>
  <c r="P116" i="7"/>
  <c r="P116" i="9" s="1"/>
  <c r="O116" i="7"/>
  <c r="N116" i="7"/>
  <c r="M116" i="7"/>
  <c r="M118" i="7" s="1"/>
  <c r="L116" i="7"/>
  <c r="K116" i="7"/>
  <c r="J116" i="7"/>
  <c r="I116" i="7"/>
  <c r="H116" i="7"/>
  <c r="H100" i="7" s="1"/>
  <c r="G116" i="7"/>
  <c r="G118" i="7" s="1"/>
  <c r="F116" i="7"/>
  <c r="E116" i="7"/>
  <c r="D116" i="7"/>
  <c r="D100" i="7" s="1"/>
  <c r="C116" i="7"/>
  <c r="B116" i="7"/>
  <c r="BR115" i="7"/>
  <c r="P115" i="7"/>
  <c r="O115" i="7"/>
  <c r="N115" i="7"/>
  <c r="M115" i="7"/>
  <c r="BL115" i="7" s="1"/>
  <c r="L115" i="7"/>
  <c r="K115" i="7"/>
  <c r="J115" i="7"/>
  <c r="J99" i="7" s="1"/>
  <c r="J35" i="7" s="1"/>
  <c r="I115" i="7"/>
  <c r="I99" i="7" s="1"/>
  <c r="H115" i="7"/>
  <c r="G115" i="7"/>
  <c r="G99" i="7" s="1"/>
  <c r="F115" i="7"/>
  <c r="F99" i="7" s="1"/>
  <c r="E115" i="7"/>
  <c r="D115" i="7"/>
  <c r="C115" i="7"/>
  <c r="B115" i="7"/>
  <c r="P114" i="7"/>
  <c r="O114" i="7"/>
  <c r="N114" i="7"/>
  <c r="M114" i="7"/>
  <c r="L114" i="7"/>
  <c r="K114" i="7"/>
  <c r="J114" i="7"/>
  <c r="I114" i="7"/>
  <c r="H114" i="7"/>
  <c r="G114" i="7"/>
  <c r="F114" i="7"/>
  <c r="E114" i="7"/>
  <c r="D114" i="7"/>
  <c r="C114" i="7"/>
  <c r="B114" i="7"/>
  <c r="BP113" i="7"/>
  <c r="BN113" i="7"/>
  <c r="BL113" i="7"/>
  <c r="BJ113" i="7"/>
  <c r="BH113" i="7"/>
  <c r="BE113" i="7"/>
  <c r="P113" i="7"/>
  <c r="O113" i="7"/>
  <c r="N113" i="7"/>
  <c r="M113" i="7"/>
  <c r="L113" i="7"/>
  <c r="K113" i="7"/>
  <c r="J113" i="7"/>
  <c r="I113" i="7"/>
  <c r="H113" i="7"/>
  <c r="G113" i="7"/>
  <c r="F113" i="7"/>
  <c r="E113" i="7"/>
  <c r="D113" i="7"/>
  <c r="C113" i="7"/>
  <c r="C97" i="7" s="1"/>
  <c r="B113" i="7"/>
  <c r="B97" i="7" s="1"/>
  <c r="BR112" i="7"/>
  <c r="BP112" i="7"/>
  <c r="BN112" i="7"/>
  <c r="BL112" i="7"/>
  <c r="BJ112" i="7"/>
  <c r="BH112" i="7"/>
  <c r="BE112" i="7"/>
  <c r="P112" i="7"/>
  <c r="O112" i="7"/>
  <c r="N112" i="7"/>
  <c r="M112" i="7"/>
  <c r="L112" i="7"/>
  <c r="K112" i="7"/>
  <c r="J112" i="7"/>
  <c r="I112" i="7"/>
  <c r="H112" i="7"/>
  <c r="G112" i="7"/>
  <c r="G96" i="7" s="1"/>
  <c r="F112" i="7"/>
  <c r="F96" i="7" s="1"/>
  <c r="E112" i="7"/>
  <c r="D112" i="7"/>
  <c r="C112" i="7"/>
  <c r="B112" i="7"/>
  <c r="B96" i="7" s="1"/>
  <c r="P111" i="7"/>
  <c r="P95" i="7" s="1"/>
  <c r="BR95" i="7" s="1"/>
  <c r="O111" i="7"/>
  <c r="BP111" i="7" s="1"/>
  <c r="N111" i="7"/>
  <c r="BN111" i="7" s="1"/>
  <c r="M111" i="7"/>
  <c r="L111" i="7"/>
  <c r="K111" i="7"/>
  <c r="J111" i="7"/>
  <c r="I111" i="7"/>
  <c r="I95" i="7" s="1"/>
  <c r="H111" i="7"/>
  <c r="H95" i="7" s="1"/>
  <c r="G111" i="7"/>
  <c r="G95" i="7" s="1"/>
  <c r="F111" i="7"/>
  <c r="E111" i="7"/>
  <c r="D111" i="7"/>
  <c r="C111" i="7"/>
  <c r="B111" i="7"/>
  <c r="BH110" i="7"/>
  <c r="BE110" i="7"/>
  <c r="P110" i="7"/>
  <c r="O110" i="7"/>
  <c r="N110" i="7"/>
  <c r="BN110" i="7" s="1"/>
  <c r="M110" i="7"/>
  <c r="L110" i="7"/>
  <c r="K110" i="7"/>
  <c r="J110" i="7"/>
  <c r="I110" i="7"/>
  <c r="H110" i="7"/>
  <c r="H94" i="7" s="1"/>
  <c r="G110" i="7"/>
  <c r="F110" i="7"/>
  <c r="E110" i="7"/>
  <c r="D110" i="7"/>
  <c r="C110" i="7"/>
  <c r="B110" i="7"/>
  <c r="BR109" i="7"/>
  <c r="BP109" i="7"/>
  <c r="BN109" i="7"/>
  <c r="BL109" i="7"/>
  <c r="BJ109" i="7"/>
  <c r="BH109" i="7"/>
  <c r="BE109" i="7"/>
  <c r="P109" i="7"/>
  <c r="O109" i="7"/>
  <c r="N109" i="7"/>
  <c r="N93" i="7" s="1"/>
  <c r="BN93" i="7" s="1"/>
  <c r="M109" i="7"/>
  <c r="L109" i="7"/>
  <c r="K109" i="7"/>
  <c r="J109" i="7"/>
  <c r="I109" i="7"/>
  <c r="H109" i="7"/>
  <c r="G109" i="7"/>
  <c r="F109" i="7"/>
  <c r="F93" i="7" s="1"/>
  <c r="E109" i="7"/>
  <c r="D109" i="7"/>
  <c r="D93" i="7" s="1"/>
  <c r="C109" i="7"/>
  <c r="B109" i="7"/>
  <c r="BR108" i="7"/>
  <c r="BP108" i="7"/>
  <c r="BN108" i="7"/>
  <c r="BL108" i="7"/>
  <c r="BJ108" i="7"/>
  <c r="P108" i="7"/>
  <c r="O108" i="7"/>
  <c r="BE108" i="7" s="1"/>
  <c r="N108" i="7"/>
  <c r="M108" i="7"/>
  <c r="L108" i="7"/>
  <c r="K108" i="7"/>
  <c r="K92" i="7" s="1"/>
  <c r="J108" i="7"/>
  <c r="I108" i="7"/>
  <c r="I92" i="7" s="1"/>
  <c r="I28" i="7" s="1"/>
  <c r="H108" i="7"/>
  <c r="H92" i="7" s="1"/>
  <c r="G108" i="7"/>
  <c r="F108" i="7"/>
  <c r="E108" i="7"/>
  <c r="D108" i="7"/>
  <c r="C108" i="7"/>
  <c r="C92" i="7" s="1"/>
  <c r="B108" i="7"/>
  <c r="B92" i="7" s="1"/>
  <c r="P107" i="7"/>
  <c r="BR107" i="7" s="1"/>
  <c r="O107" i="7"/>
  <c r="BP107" i="7" s="1"/>
  <c r="N107" i="7"/>
  <c r="M107" i="7"/>
  <c r="BL107" i="7" s="1"/>
  <c r="L107" i="7"/>
  <c r="K107" i="7"/>
  <c r="K91" i="7" s="1"/>
  <c r="K27" i="7" s="1"/>
  <c r="J107" i="7"/>
  <c r="J91" i="7" s="1"/>
  <c r="I107" i="7"/>
  <c r="I91" i="7" s="1"/>
  <c r="H107" i="7"/>
  <c r="G107" i="7"/>
  <c r="G91" i="7" s="1"/>
  <c r="F107" i="7"/>
  <c r="E107" i="7"/>
  <c r="D107" i="7"/>
  <c r="C107" i="7"/>
  <c r="B107" i="7"/>
  <c r="B91" i="7" s="1"/>
  <c r="BT106" i="7"/>
  <c r="P106" i="7"/>
  <c r="O106" i="7"/>
  <c r="N106" i="7"/>
  <c r="M106" i="7"/>
  <c r="BL106" i="7" s="1"/>
  <c r="L106" i="7"/>
  <c r="BJ106" i="7" s="1"/>
  <c r="K106" i="7"/>
  <c r="J106" i="7"/>
  <c r="J90" i="7" s="1"/>
  <c r="I106" i="7"/>
  <c r="H106" i="7"/>
  <c r="G106" i="7"/>
  <c r="F106" i="7"/>
  <c r="F90" i="7" s="1"/>
  <c r="E106" i="7"/>
  <c r="D106" i="7"/>
  <c r="C106" i="7"/>
  <c r="B106" i="7"/>
  <c r="BL105" i="7"/>
  <c r="BJ105" i="7"/>
  <c r="Q105" i="7"/>
  <c r="P105" i="7"/>
  <c r="O105" i="7"/>
  <c r="O89" i="7" s="1"/>
  <c r="N105" i="7"/>
  <c r="M105" i="7"/>
  <c r="M117" i="7" s="1"/>
  <c r="L105" i="7"/>
  <c r="K105" i="7"/>
  <c r="J105" i="7"/>
  <c r="I105" i="7"/>
  <c r="H105" i="7"/>
  <c r="G105" i="7"/>
  <c r="F105" i="7"/>
  <c r="E105" i="7"/>
  <c r="D105" i="7"/>
  <c r="C105" i="7"/>
  <c r="C89" i="7" s="1"/>
  <c r="B105" i="7"/>
  <c r="B89" i="7" s="1"/>
  <c r="AQ104" i="7"/>
  <c r="AP104" i="7"/>
  <c r="AO104" i="7"/>
  <c r="AN104" i="7"/>
  <c r="AM104" i="7"/>
  <c r="AL104"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G101" i="7"/>
  <c r="P100" i="7"/>
  <c r="O100" i="7"/>
  <c r="BP100" i="7" s="1"/>
  <c r="N100" i="7"/>
  <c r="M100" i="7"/>
  <c r="L100" i="7"/>
  <c r="K100" i="7"/>
  <c r="G100" i="7"/>
  <c r="G102" i="7" s="1"/>
  <c r="BR99" i="7"/>
  <c r="P99" i="7"/>
  <c r="E99" i="7"/>
  <c r="D99" i="7"/>
  <c r="B99" i="7"/>
  <c r="J98" i="7"/>
  <c r="I98" i="7"/>
  <c r="G98" i="7"/>
  <c r="F98" i="7"/>
  <c r="E98" i="7"/>
  <c r="D98" i="7"/>
  <c r="C98" i="7"/>
  <c r="B98" i="7"/>
  <c r="BH97" i="7"/>
  <c r="L97" i="7"/>
  <c r="BJ97" i="7" s="1"/>
  <c r="K97" i="7"/>
  <c r="J97" i="7"/>
  <c r="I97" i="7"/>
  <c r="H97" i="7"/>
  <c r="G97" i="7"/>
  <c r="F97" i="7"/>
  <c r="E97" i="7"/>
  <c r="D97" i="7"/>
  <c r="BR96" i="7"/>
  <c r="P96" i="7"/>
  <c r="O96" i="7"/>
  <c r="BP96" i="7" s="1"/>
  <c r="N96" i="7"/>
  <c r="BN96" i="7" s="1"/>
  <c r="M96" i="7"/>
  <c r="L96" i="7"/>
  <c r="BJ96" i="7" s="1"/>
  <c r="K96" i="7"/>
  <c r="BH96" i="7" s="1"/>
  <c r="J96" i="7"/>
  <c r="I96" i="7"/>
  <c r="E96" i="7"/>
  <c r="O95" i="7"/>
  <c r="BP95" i="7" s="1"/>
  <c r="N95" i="7"/>
  <c r="BN95" i="7" s="1"/>
  <c r="J95" i="7"/>
  <c r="C95" i="7"/>
  <c r="B95" i="7"/>
  <c r="B31" i="7" s="1"/>
  <c r="G94" i="7"/>
  <c r="F94" i="7"/>
  <c r="D94" i="7"/>
  <c r="C94" i="7"/>
  <c r="B94" i="7"/>
  <c r="BL93" i="7"/>
  <c r="BJ93" i="7"/>
  <c r="M93" i="7"/>
  <c r="L93" i="7"/>
  <c r="K93" i="7"/>
  <c r="J93" i="7"/>
  <c r="I93" i="7"/>
  <c r="H93" i="7"/>
  <c r="G93" i="7"/>
  <c r="E93" i="7"/>
  <c r="C93" i="7"/>
  <c r="B93" i="7"/>
  <c r="BR92" i="7"/>
  <c r="BJ92" i="7"/>
  <c r="O92" i="7"/>
  <c r="BP92" i="7" s="1"/>
  <c r="N92" i="7"/>
  <c r="BN92" i="7" s="1"/>
  <c r="M92" i="7"/>
  <c r="BL92" i="7" s="1"/>
  <c r="L92" i="7"/>
  <c r="J92" i="7"/>
  <c r="G92" i="7"/>
  <c r="E92" i="7"/>
  <c r="D92" i="7"/>
  <c r="BR91" i="7"/>
  <c r="P91" i="7"/>
  <c r="O91" i="7"/>
  <c r="BP91" i="7" s="1"/>
  <c r="M91" i="7"/>
  <c r="H91" i="7"/>
  <c r="D91" i="7"/>
  <c r="Q90" i="7"/>
  <c r="BT90" i="7" s="1"/>
  <c r="L90" i="7"/>
  <c r="BJ90" i="7" s="1"/>
  <c r="H90" i="7"/>
  <c r="G90" i="7"/>
  <c r="E90" i="7"/>
  <c r="C90" i="7"/>
  <c r="B90" i="7"/>
  <c r="BL89" i="7"/>
  <c r="L89" i="7"/>
  <c r="K89" i="7"/>
  <c r="I89" i="7"/>
  <c r="G89" i="7"/>
  <c r="F89" i="7"/>
  <c r="E89" i="7"/>
  <c r="D89" i="7"/>
  <c r="AQ88" i="7"/>
  <c r="AP88" i="7"/>
  <c r="AO88" i="7"/>
  <c r="AN88" i="7"/>
  <c r="AM88" i="7"/>
  <c r="AL88" i="7"/>
  <c r="AK88" i="7"/>
  <c r="AJ88" i="7"/>
  <c r="AI88"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BN85" i="7"/>
  <c r="BL85" i="7"/>
  <c r="BH85" i="7"/>
  <c r="AQ85" i="7"/>
  <c r="AQ5" i="7" s="1"/>
  <c r="AP85" i="7"/>
  <c r="AP5" i="7" s="1"/>
  <c r="AO85" i="7"/>
  <c r="AO5" i="7" s="1"/>
  <c r="AN85" i="7"/>
  <c r="AM85" i="7"/>
  <c r="AL85" i="7"/>
  <c r="AK85" i="7"/>
  <c r="AK5" i="7" s="1"/>
  <c r="AJ85" i="7"/>
  <c r="AI85" i="7"/>
  <c r="AH85" i="7"/>
  <c r="AG85" i="7"/>
  <c r="AF85" i="7"/>
  <c r="AE85" i="7"/>
  <c r="AD85" i="7"/>
  <c r="AC85" i="7"/>
  <c r="AB85" i="7"/>
  <c r="AA85" i="7"/>
  <c r="Z85" i="7"/>
  <c r="Y85" i="7"/>
  <c r="X85" i="7"/>
  <c r="X5" i="7" s="1"/>
  <c r="W85" i="7"/>
  <c r="W5" i="7" s="1"/>
  <c r="V85" i="7"/>
  <c r="V5" i="7" s="1"/>
  <c r="U85" i="7"/>
  <c r="U5" i="7" s="1"/>
  <c r="T85" i="7"/>
  <c r="T5" i="7" s="1"/>
  <c r="S85" i="7"/>
  <c r="S5" i="7" s="1"/>
  <c r="R85" i="7"/>
  <c r="O85" i="7"/>
  <c r="BT84" i="7"/>
  <c r="BR84" i="7"/>
  <c r="BN84" i="7"/>
  <c r="BL84" i="7"/>
  <c r="P84" i="7"/>
  <c r="P84" i="9" s="1"/>
  <c r="O84" i="7"/>
  <c r="BP84" i="7" s="1"/>
  <c r="N84" i="7"/>
  <c r="M84" i="7"/>
  <c r="L84" i="7"/>
  <c r="BJ84" i="7" s="1"/>
  <c r="K84" i="7"/>
  <c r="BH84" i="7" s="1"/>
  <c r="J84" i="7"/>
  <c r="I84" i="7"/>
  <c r="H84" i="7"/>
  <c r="G84" i="7"/>
  <c r="F84" i="7"/>
  <c r="E84" i="7"/>
  <c r="D84" i="7"/>
  <c r="C84" i="7"/>
  <c r="B84" i="7"/>
  <c r="BT83" i="7"/>
  <c r="BR83" i="7"/>
  <c r="BN83" i="7"/>
  <c r="BL83" i="7"/>
  <c r="P83" i="7"/>
  <c r="O83" i="7"/>
  <c r="N83" i="7"/>
  <c r="M83" i="7"/>
  <c r="L83" i="7"/>
  <c r="BJ83" i="7" s="1"/>
  <c r="K83" i="7"/>
  <c r="BH83" i="7" s="1"/>
  <c r="J83" i="7"/>
  <c r="I83" i="7"/>
  <c r="H83" i="7"/>
  <c r="H51" i="7" s="1"/>
  <c r="G83" i="7"/>
  <c r="F83" i="7"/>
  <c r="E83" i="7"/>
  <c r="D83" i="7"/>
  <c r="C83" i="7"/>
  <c r="B83" i="7"/>
  <c r="BT82" i="7"/>
  <c r="BR82" i="7"/>
  <c r="BN82" i="7"/>
  <c r="BL82" i="7"/>
  <c r="P82" i="7"/>
  <c r="O82" i="7"/>
  <c r="BP82" i="7" s="1"/>
  <c r="N82" i="7"/>
  <c r="M82" i="7"/>
  <c r="L82" i="7"/>
  <c r="BJ82" i="7" s="1"/>
  <c r="K82" i="7"/>
  <c r="BH82" i="7" s="1"/>
  <c r="J82" i="7"/>
  <c r="I82" i="7"/>
  <c r="H82" i="7"/>
  <c r="G82" i="7"/>
  <c r="F82" i="7"/>
  <c r="E82" i="7"/>
  <c r="D82" i="7"/>
  <c r="C82" i="7"/>
  <c r="B82" i="7"/>
  <c r="B50" i="7" s="1"/>
  <c r="BT81" i="7"/>
  <c r="BR81" i="7"/>
  <c r="BN81" i="7"/>
  <c r="BL81" i="7"/>
  <c r="P81" i="7"/>
  <c r="O81" i="7"/>
  <c r="BP81" i="7" s="1"/>
  <c r="N81" i="7"/>
  <c r="M81" i="7"/>
  <c r="L81" i="7"/>
  <c r="BJ81" i="7" s="1"/>
  <c r="K81" i="7"/>
  <c r="BH81" i="7" s="1"/>
  <c r="J81" i="7"/>
  <c r="I81" i="7"/>
  <c r="H81" i="7"/>
  <c r="G81" i="7"/>
  <c r="G49" i="7" s="1"/>
  <c r="G33" i="7" s="1"/>
  <c r="F81" i="7"/>
  <c r="E81" i="7"/>
  <c r="D81" i="7"/>
  <c r="C81" i="7"/>
  <c r="C49" i="7" s="1"/>
  <c r="C33" i="7" s="1"/>
  <c r="B81" i="7"/>
  <c r="BT80" i="7"/>
  <c r="BR80" i="7"/>
  <c r="BP80" i="7"/>
  <c r="BN80" i="7"/>
  <c r="BL80" i="7"/>
  <c r="P80" i="7"/>
  <c r="O80" i="7"/>
  <c r="N80" i="7"/>
  <c r="M80" i="7"/>
  <c r="L80" i="7"/>
  <c r="BJ80" i="7" s="1"/>
  <c r="K80" i="7"/>
  <c r="BH80" i="7" s="1"/>
  <c r="J80" i="7"/>
  <c r="I80" i="7"/>
  <c r="H80" i="7"/>
  <c r="G80" i="7"/>
  <c r="F80" i="7"/>
  <c r="E80" i="7"/>
  <c r="D80" i="7"/>
  <c r="C80" i="7"/>
  <c r="B80" i="7"/>
  <c r="B48" i="7" s="1"/>
  <c r="BT79" i="7"/>
  <c r="BR79" i="7"/>
  <c r="BP79" i="7"/>
  <c r="BN79" i="7"/>
  <c r="BL79" i="7"/>
  <c r="P79" i="7"/>
  <c r="O79" i="7"/>
  <c r="N79" i="7"/>
  <c r="M79" i="7"/>
  <c r="L79" i="7"/>
  <c r="BJ79" i="7" s="1"/>
  <c r="K79" i="7"/>
  <c r="BH79" i="7" s="1"/>
  <c r="J79" i="7"/>
  <c r="I79" i="7"/>
  <c r="H79" i="7"/>
  <c r="G79" i="7"/>
  <c r="F79" i="7"/>
  <c r="E79" i="7"/>
  <c r="D79" i="7"/>
  <c r="D47" i="7" s="1"/>
  <c r="C79" i="7"/>
  <c r="B79" i="7"/>
  <c r="BT78" i="7"/>
  <c r="BR78" i="7"/>
  <c r="BP78" i="7"/>
  <c r="BN78" i="7"/>
  <c r="BL78" i="7"/>
  <c r="P78" i="7"/>
  <c r="O78" i="7"/>
  <c r="N78" i="7"/>
  <c r="N85" i="7" s="1"/>
  <c r="M78" i="7"/>
  <c r="L78" i="7"/>
  <c r="BJ78" i="7" s="1"/>
  <c r="K78" i="7"/>
  <c r="J78" i="7"/>
  <c r="I78" i="7"/>
  <c r="H78" i="7"/>
  <c r="G78" i="7"/>
  <c r="F78" i="7"/>
  <c r="E78" i="7"/>
  <c r="D78" i="7"/>
  <c r="C78" i="7"/>
  <c r="B78" i="7"/>
  <c r="BT77" i="7"/>
  <c r="BR77" i="7"/>
  <c r="BP77" i="7"/>
  <c r="BN77" i="7"/>
  <c r="BL77" i="7"/>
  <c r="BJ77" i="7"/>
  <c r="P77" i="7"/>
  <c r="O77" i="7"/>
  <c r="N77" i="7"/>
  <c r="M77" i="7"/>
  <c r="M85" i="7" s="1"/>
  <c r="L77" i="7"/>
  <c r="K77" i="7"/>
  <c r="J77" i="7"/>
  <c r="I77" i="7"/>
  <c r="H77" i="7"/>
  <c r="G77" i="7"/>
  <c r="F77" i="7"/>
  <c r="F85" i="7" s="1"/>
  <c r="E77" i="7"/>
  <c r="D77" i="7"/>
  <c r="C77" i="7"/>
  <c r="C45" i="7" s="1"/>
  <c r="B77" i="7"/>
  <c r="BT76" i="7"/>
  <c r="BR76" i="7"/>
  <c r="BP76" i="7"/>
  <c r="BN76" i="7"/>
  <c r="BL76" i="7"/>
  <c r="BJ76" i="7"/>
  <c r="P76" i="7"/>
  <c r="O76" i="7"/>
  <c r="N76" i="7"/>
  <c r="M76" i="7"/>
  <c r="L76" i="7"/>
  <c r="K76" i="7"/>
  <c r="J76" i="7"/>
  <c r="I76" i="7"/>
  <c r="H76" i="7"/>
  <c r="G76" i="7"/>
  <c r="F76" i="7"/>
  <c r="E76" i="7"/>
  <c r="E85" i="7" s="1"/>
  <c r="E5" i="7" s="1"/>
  <c r="D76" i="7"/>
  <c r="C76" i="7"/>
  <c r="B76" i="7"/>
  <c r="BT75" i="7"/>
  <c r="BP75" i="7"/>
  <c r="BN75" i="7"/>
  <c r="BL75" i="7"/>
  <c r="BJ75" i="7"/>
  <c r="P75" i="7"/>
  <c r="P43" i="7" s="1"/>
  <c r="O75" i="7"/>
  <c r="O43" i="7" s="1"/>
  <c r="BP43" i="7" s="1"/>
  <c r="N75" i="7"/>
  <c r="M75" i="7"/>
  <c r="L75" i="7"/>
  <c r="K75" i="7"/>
  <c r="K43" i="7" s="1"/>
  <c r="J75" i="7"/>
  <c r="I75" i="7"/>
  <c r="H75" i="7"/>
  <c r="G75" i="7"/>
  <c r="F75" i="7"/>
  <c r="E75" i="7"/>
  <c r="D75" i="7"/>
  <c r="C75" i="7"/>
  <c r="B75" i="7"/>
  <c r="BT74" i="7"/>
  <c r="BN74" i="7"/>
  <c r="BL74" i="7"/>
  <c r="BJ74" i="7"/>
  <c r="Q74" i="7"/>
  <c r="P74" i="7"/>
  <c r="O74" i="7"/>
  <c r="O42" i="7" s="1"/>
  <c r="N74" i="7"/>
  <c r="M74" i="7"/>
  <c r="L74" i="7"/>
  <c r="K74" i="7"/>
  <c r="J74" i="7"/>
  <c r="I74" i="7"/>
  <c r="H74" i="7"/>
  <c r="G74" i="7"/>
  <c r="F74" i="7"/>
  <c r="E74" i="7"/>
  <c r="D74" i="7"/>
  <c r="C74" i="7"/>
  <c r="B74" i="7"/>
  <c r="BT73" i="7"/>
  <c r="BP73" i="7"/>
  <c r="BN73" i="7"/>
  <c r="BL73" i="7"/>
  <c r="BJ73" i="7"/>
  <c r="Q73" i="7"/>
  <c r="P73" i="7"/>
  <c r="O73" i="7"/>
  <c r="N73" i="7"/>
  <c r="M73" i="7"/>
  <c r="L73" i="7"/>
  <c r="K73" i="7"/>
  <c r="K85" i="7" s="1"/>
  <c r="J73" i="7"/>
  <c r="J85" i="7" s="1"/>
  <c r="I73" i="7"/>
  <c r="I85" i="7" s="1"/>
  <c r="I5" i="7" s="1"/>
  <c r="H73" i="7"/>
  <c r="G73" i="7"/>
  <c r="F73" i="7"/>
  <c r="E73" i="7"/>
  <c r="D73" i="7"/>
  <c r="C73" i="7"/>
  <c r="C85" i="7" s="1"/>
  <c r="C5" i="7" s="1"/>
  <c r="B73" i="7"/>
  <c r="AQ72" i="7"/>
  <c r="AP72" i="7"/>
  <c r="AO72" i="7"/>
  <c r="AN72" i="7"/>
  <c r="AM72" i="7"/>
  <c r="AL72" i="7"/>
  <c r="AK72" i="7"/>
  <c r="AJ72" i="7"/>
  <c r="AI72" i="7"/>
  <c r="AH72" i="7"/>
  <c r="AG72" i="7"/>
  <c r="AF72" i="7"/>
  <c r="AE72" i="7"/>
  <c r="AD72" i="7"/>
  <c r="AC72" i="7"/>
  <c r="AB72" i="7"/>
  <c r="AA72" i="7"/>
  <c r="Z72" i="7"/>
  <c r="Y72" i="7"/>
  <c r="X72" i="7"/>
  <c r="W72" i="7"/>
  <c r="V72" i="7"/>
  <c r="U72" i="7"/>
  <c r="T72" i="7"/>
  <c r="S72" i="7"/>
  <c r="R72" i="7"/>
  <c r="Q72" i="7"/>
  <c r="P72" i="7"/>
  <c r="O72" i="7"/>
  <c r="N72" i="7"/>
  <c r="M72" i="7"/>
  <c r="L72" i="7"/>
  <c r="K72" i="7"/>
  <c r="J72" i="7"/>
  <c r="I72" i="7"/>
  <c r="H72" i="7"/>
  <c r="G72" i="7"/>
  <c r="F72" i="7"/>
  <c r="E72" i="7"/>
  <c r="D72" i="7"/>
  <c r="C72" i="7"/>
  <c r="B72" i="7"/>
  <c r="B69" i="7"/>
  <c r="B4" i="7" s="1"/>
  <c r="BR68" i="7"/>
  <c r="BP68" i="7"/>
  <c r="BN68" i="7"/>
  <c r="BL68" i="7"/>
  <c r="BJ68" i="7"/>
  <c r="P68" i="7"/>
  <c r="P68" i="9" s="1"/>
  <c r="O68" i="7"/>
  <c r="N68" i="7"/>
  <c r="M68" i="7"/>
  <c r="L68" i="7"/>
  <c r="L52" i="7" s="1"/>
  <c r="K68" i="7"/>
  <c r="J68" i="7"/>
  <c r="I68" i="7"/>
  <c r="I52" i="7" s="1"/>
  <c r="H68" i="7"/>
  <c r="G68" i="7"/>
  <c r="G52" i="7" s="1"/>
  <c r="F68" i="7"/>
  <c r="F52" i="7" s="1"/>
  <c r="E68" i="7"/>
  <c r="E52" i="7" s="1"/>
  <c r="D68" i="7"/>
  <c r="C68" i="7"/>
  <c r="C52" i="7" s="1"/>
  <c r="B68" i="7"/>
  <c r="BL67" i="7"/>
  <c r="P67" i="7"/>
  <c r="O67" i="7"/>
  <c r="BP67" i="7" s="1"/>
  <c r="N67" i="7"/>
  <c r="M67" i="7"/>
  <c r="M51" i="7" s="1"/>
  <c r="L67" i="7"/>
  <c r="K67" i="7"/>
  <c r="J67" i="7"/>
  <c r="J51" i="7" s="1"/>
  <c r="I67" i="7"/>
  <c r="I51" i="7" s="1"/>
  <c r="H67" i="7"/>
  <c r="G67" i="7"/>
  <c r="F67" i="7"/>
  <c r="F51" i="7" s="1"/>
  <c r="E67" i="7"/>
  <c r="D67" i="7"/>
  <c r="C67" i="7"/>
  <c r="B67" i="7"/>
  <c r="BH66" i="7"/>
  <c r="P66" i="7"/>
  <c r="O66" i="7"/>
  <c r="N66" i="7"/>
  <c r="M66" i="7"/>
  <c r="BL66" i="7" s="1"/>
  <c r="L66" i="7"/>
  <c r="K66" i="7"/>
  <c r="J66" i="7"/>
  <c r="I66" i="7"/>
  <c r="H66" i="7"/>
  <c r="G66" i="7"/>
  <c r="F66" i="7"/>
  <c r="E66" i="7"/>
  <c r="D66" i="7"/>
  <c r="C66" i="7"/>
  <c r="B66" i="7"/>
  <c r="BR65" i="7"/>
  <c r="BP65" i="7"/>
  <c r="BN65" i="7"/>
  <c r="BL65" i="7"/>
  <c r="BH65" i="7"/>
  <c r="P65" i="7"/>
  <c r="O65" i="7"/>
  <c r="N65" i="7"/>
  <c r="M65" i="7"/>
  <c r="L65" i="7"/>
  <c r="BJ65" i="7" s="1"/>
  <c r="K65" i="7"/>
  <c r="J65" i="7"/>
  <c r="I65" i="7"/>
  <c r="H65" i="7"/>
  <c r="G65" i="7"/>
  <c r="F65" i="7"/>
  <c r="E65" i="7"/>
  <c r="E49" i="7" s="1"/>
  <c r="D65" i="7"/>
  <c r="D49" i="7" s="1"/>
  <c r="D33" i="7" s="1"/>
  <c r="C65" i="7"/>
  <c r="B65" i="7"/>
  <c r="B49" i="7" s="1"/>
  <c r="B33" i="7" s="1"/>
  <c r="BR64" i="7"/>
  <c r="BP64" i="7"/>
  <c r="BN64" i="7"/>
  <c r="BL64" i="7"/>
  <c r="BJ64" i="7"/>
  <c r="BE64" i="7"/>
  <c r="P64" i="7"/>
  <c r="O64" i="7"/>
  <c r="N64" i="7"/>
  <c r="M64" i="7"/>
  <c r="L64" i="7"/>
  <c r="K64" i="7"/>
  <c r="J64" i="7"/>
  <c r="J48" i="7" s="1"/>
  <c r="I64" i="7"/>
  <c r="H64" i="7"/>
  <c r="G64" i="7"/>
  <c r="G48" i="7" s="1"/>
  <c r="F64" i="7"/>
  <c r="F48" i="7" s="1"/>
  <c r="E64" i="7"/>
  <c r="D64" i="7"/>
  <c r="C64" i="7"/>
  <c r="B64" i="7"/>
  <c r="BR63" i="7"/>
  <c r="BJ63" i="7"/>
  <c r="P63" i="7"/>
  <c r="P47" i="7" s="1"/>
  <c r="O63" i="7"/>
  <c r="N63" i="7"/>
  <c r="BN63" i="7" s="1"/>
  <c r="M63" i="7"/>
  <c r="L63" i="7"/>
  <c r="L47" i="7" s="1"/>
  <c r="K63" i="7"/>
  <c r="J63" i="7"/>
  <c r="J47" i="7" s="1"/>
  <c r="I63" i="7"/>
  <c r="I47" i="7" s="1"/>
  <c r="H63" i="7"/>
  <c r="H47" i="7" s="1"/>
  <c r="G63" i="7"/>
  <c r="F63" i="7"/>
  <c r="E63" i="7"/>
  <c r="E47" i="7" s="1"/>
  <c r="D63" i="7"/>
  <c r="C63" i="7"/>
  <c r="B63" i="7"/>
  <c r="P62" i="7"/>
  <c r="O62" i="7"/>
  <c r="N62" i="7"/>
  <c r="M62" i="7"/>
  <c r="L62" i="7"/>
  <c r="K62" i="7"/>
  <c r="K46" i="7" s="1"/>
  <c r="J62" i="7"/>
  <c r="I62" i="7"/>
  <c r="I46" i="7" s="1"/>
  <c r="I30" i="7" s="1"/>
  <c r="H62" i="7"/>
  <c r="G62" i="7"/>
  <c r="F62" i="7"/>
  <c r="E62" i="7"/>
  <c r="D62" i="7"/>
  <c r="C62" i="7"/>
  <c r="B62" i="7"/>
  <c r="BJ61" i="7"/>
  <c r="P61" i="7"/>
  <c r="O61" i="7"/>
  <c r="BP61" i="7" s="1"/>
  <c r="N61" i="7"/>
  <c r="BN61" i="7" s="1"/>
  <c r="M61" i="7"/>
  <c r="M45" i="7" s="1"/>
  <c r="BL45" i="7" s="1"/>
  <c r="L61" i="7"/>
  <c r="K61" i="7"/>
  <c r="J61" i="7"/>
  <c r="I61" i="7"/>
  <c r="H61" i="7"/>
  <c r="G61" i="7"/>
  <c r="F61" i="7"/>
  <c r="E61" i="7"/>
  <c r="D61" i="7"/>
  <c r="C61" i="7"/>
  <c r="B61" i="7"/>
  <c r="B45" i="7" s="1"/>
  <c r="BR60" i="7"/>
  <c r="BP60" i="7"/>
  <c r="BN60" i="7"/>
  <c r="BL60" i="7"/>
  <c r="BJ60" i="7"/>
  <c r="P60" i="7"/>
  <c r="O60" i="7"/>
  <c r="N60" i="7"/>
  <c r="M60" i="7"/>
  <c r="L60" i="7"/>
  <c r="K60" i="7"/>
  <c r="J60" i="7"/>
  <c r="I60" i="7"/>
  <c r="H60" i="7"/>
  <c r="G60" i="7"/>
  <c r="F60" i="7"/>
  <c r="F44" i="7" s="1"/>
  <c r="E60" i="7"/>
  <c r="E44" i="7" s="1"/>
  <c r="D60" i="7"/>
  <c r="C60" i="7"/>
  <c r="C44" i="7" s="1"/>
  <c r="B60" i="7"/>
  <c r="B44" i="7" s="1"/>
  <c r="BR59" i="7"/>
  <c r="BP59" i="7"/>
  <c r="BN59" i="7"/>
  <c r="BL59" i="7"/>
  <c r="BJ59" i="7"/>
  <c r="P59" i="7"/>
  <c r="O59" i="7"/>
  <c r="N59" i="7"/>
  <c r="M59" i="7"/>
  <c r="L59" i="7"/>
  <c r="K59" i="7"/>
  <c r="J59" i="7"/>
  <c r="J43" i="7" s="1"/>
  <c r="J27" i="7" s="1"/>
  <c r="I59" i="7"/>
  <c r="I43" i="7" s="1"/>
  <c r="I27" i="7" s="1"/>
  <c r="I393" i="3" s="1"/>
  <c r="H59" i="7"/>
  <c r="G59" i="7"/>
  <c r="G43" i="7" s="1"/>
  <c r="F59" i="7"/>
  <c r="F43" i="7" s="1"/>
  <c r="E59" i="7"/>
  <c r="E43" i="7" s="1"/>
  <c r="D59" i="7"/>
  <c r="C59" i="7"/>
  <c r="C43" i="7" s="1"/>
  <c r="B59" i="7"/>
  <c r="B43" i="7" s="1"/>
  <c r="B27" i="7" s="1"/>
  <c r="BT58" i="7"/>
  <c r="BR58" i="7"/>
  <c r="BP58" i="7"/>
  <c r="Q58" i="7"/>
  <c r="Q58" i="9" s="1"/>
  <c r="P58" i="7"/>
  <c r="O58" i="7"/>
  <c r="N58" i="7"/>
  <c r="M58" i="7"/>
  <c r="L58" i="7"/>
  <c r="BJ58" i="7" s="1"/>
  <c r="K58" i="7"/>
  <c r="K42" i="7" s="1"/>
  <c r="J58" i="7"/>
  <c r="J42" i="7" s="1"/>
  <c r="J26" i="7" s="1"/>
  <c r="I58" i="7"/>
  <c r="I42" i="7" s="1"/>
  <c r="I26" i="7" s="1"/>
  <c r="H58" i="7"/>
  <c r="H42" i="7" s="1"/>
  <c r="G58" i="7"/>
  <c r="G42" i="7" s="1"/>
  <c r="G26" i="7" s="1"/>
  <c r="F58" i="7"/>
  <c r="F42" i="7" s="1"/>
  <c r="F26" i="7" s="1"/>
  <c r="E58" i="7"/>
  <c r="D58" i="7"/>
  <c r="C58" i="7"/>
  <c r="C42" i="7" s="1"/>
  <c r="C26" i="7" s="1"/>
  <c r="B58" i="7"/>
  <c r="Q57" i="7"/>
  <c r="P57" i="7"/>
  <c r="O57" i="7"/>
  <c r="BP57" i="7" s="1"/>
  <c r="N57" i="7"/>
  <c r="M57" i="7"/>
  <c r="L57" i="7"/>
  <c r="K57" i="7"/>
  <c r="J57" i="7"/>
  <c r="I57" i="7"/>
  <c r="H57" i="7"/>
  <c r="G57" i="7"/>
  <c r="G41" i="7" s="1"/>
  <c r="F57" i="7"/>
  <c r="E57" i="7"/>
  <c r="D57" i="7"/>
  <c r="C57" i="7"/>
  <c r="C69" i="7" s="1"/>
  <c r="C4" i="7" s="1"/>
  <c r="B57" i="7"/>
  <c r="AQ56" i="7"/>
  <c r="AP56" i="7"/>
  <c r="AO56" i="7"/>
  <c r="AN56" i="7"/>
  <c r="AM56" i="7"/>
  <c r="AL56" i="7"/>
  <c r="AK56" i="7"/>
  <c r="AJ56" i="7"/>
  <c r="AI56" i="7"/>
  <c r="AH56" i="7"/>
  <c r="AG56" i="7"/>
  <c r="AF56" i="7"/>
  <c r="AE56" i="7"/>
  <c r="AD56" i="7"/>
  <c r="AC56" i="7"/>
  <c r="AB56" i="7"/>
  <c r="AA56" i="7"/>
  <c r="Z56" i="7"/>
  <c r="Y56" i="7"/>
  <c r="X56" i="7"/>
  <c r="W56" i="7"/>
  <c r="V56" i="7"/>
  <c r="U56" i="7"/>
  <c r="T56" i="7"/>
  <c r="S56" i="7"/>
  <c r="R56" i="7"/>
  <c r="Q56" i="7"/>
  <c r="P56" i="7"/>
  <c r="O56" i="7"/>
  <c r="N56" i="7"/>
  <c r="M56" i="7"/>
  <c r="L56" i="7"/>
  <c r="K56" i="7"/>
  <c r="J56" i="7"/>
  <c r="I56" i="7"/>
  <c r="H56" i="7"/>
  <c r="G56" i="7"/>
  <c r="F56" i="7"/>
  <c r="E56" i="7"/>
  <c r="D56" i="7"/>
  <c r="C56" i="7"/>
  <c r="B56" i="7"/>
  <c r="BP52" i="7"/>
  <c r="BN52" i="7"/>
  <c r="BL52" i="7"/>
  <c r="P52" i="7"/>
  <c r="O52" i="7"/>
  <c r="N52" i="7"/>
  <c r="M52" i="7"/>
  <c r="J52" i="7"/>
  <c r="D52" i="7"/>
  <c r="BL51" i="7"/>
  <c r="E51" i="7"/>
  <c r="E35" i="7" s="1"/>
  <c r="D51" i="7"/>
  <c r="C51" i="7"/>
  <c r="B51" i="7"/>
  <c r="B35" i="7" s="1"/>
  <c r="M50" i="7"/>
  <c r="BL50" i="7" s="1"/>
  <c r="K50" i="7"/>
  <c r="J50" i="7"/>
  <c r="J34" i="7" s="1"/>
  <c r="I50" i="7"/>
  <c r="H50" i="7"/>
  <c r="H34" i="7" s="1"/>
  <c r="G50" i="7"/>
  <c r="G34" i="7" s="1"/>
  <c r="F50" i="7"/>
  <c r="F34" i="7" s="1"/>
  <c r="E50" i="7"/>
  <c r="E34" i="7" s="1"/>
  <c r="D50" i="7"/>
  <c r="D34" i="7" s="1"/>
  <c r="C50" i="7"/>
  <c r="P49" i="7"/>
  <c r="O49" i="7"/>
  <c r="N49" i="7"/>
  <c r="M49" i="7"/>
  <c r="L49" i="7"/>
  <c r="K49" i="7"/>
  <c r="J49" i="7"/>
  <c r="J33" i="7" s="1"/>
  <c r="I49" i="7"/>
  <c r="I33" i="7" s="1"/>
  <c r="H49" i="7"/>
  <c r="F49" i="7"/>
  <c r="BJ48" i="7"/>
  <c r="P48" i="7"/>
  <c r="O48" i="7"/>
  <c r="BP48" i="7" s="1"/>
  <c r="N48" i="7"/>
  <c r="BN48" i="7" s="1"/>
  <c r="M48" i="7"/>
  <c r="BL48" i="7" s="1"/>
  <c r="L48" i="7"/>
  <c r="I48" i="7"/>
  <c r="BJ47" i="7"/>
  <c r="N47" i="7"/>
  <c r="BN47" i="7" s="1"/>
  <c r="F47" i="7"/>
  <c r="C47" i="7"/>
  <c r="C31" i="7" s="1"/>
  <c r="B47" i="7"/>
  <c r="J46" i="7"/>
  <c r="J30" i="7" s="1"/>
  <c r="H46" i="7"/>
  <c r="H30" i="7" s="1"/>
  <c r="G46" i="7"/>
  <c r="G30" i="7" s="1"/>
  <c r="F46" i="7"/>
  <c r="F30" i="7" s="1"/>
  <c r="E46" i="7"/>
  <c r="E30" i="7" s="1"/>
  <c r="D46" i="7"/>
  <c r="D30" i="7" s="1"/>
  <c r="C46" i="7"/>
  <c r="C30" i="7" s="1"/>
  <c r="B46" i="7"/>
  <c r="BJ45" i="7"/>
  <c r="O45" i="7"/>
  <c r="N45" i="7"/>
  <c r="BN45" i="7" s="1"/>
  <c r="L45" i="7"/>
  <c r="L29" i="7" s="1"/>
  <c r="K45" i="7"/>
  <c r="K29" i="7" s="1"/>
  <c r="J45" i="7"/>
  <c r="J29" i="7" s="1"/>
  <c r="I45" i="7"/>
  <c r="I29" i="7" s="1"/>
  <c r="H45" i="7"/>
  <c r="H29" i="7" s="1"/>
  <c r="H395" i="3" s="1"/>
  <c r="G45" i="7"/>
  <c r="G29" i="7" s="1"/>
  <c r="F45" i="7"/>
  <c r="E45" i="7"/>
  <c r="D45" i="7"/>
  <c r="P44" i="7"/>
  <c r="O44" i="7"/>
  <c r="N44" i="7"/>
  <c r="M44" i="7"/>
  <c r="L44" i="7"/>
  <c r="K44" i="7"/>
  <c r="J44" i="7"/>
  <c r="J28" i="7" s="1"/>
  <c r="I44" i="7"/>
  <c r="H44" i="7"/>
  <c r="G44" i="7"/>
  <c r="D44" i="7"/>
  <c r="BJ43" i="7"/>
  <c r="N43" i="7"/>
  <c r="BN43" i="7" s="1"/>
  <c r="M43" i="7"/>
  <c r="BL43" i="7" s="1"/>
  <c r="L43" i="7"/>
  <c r="H43" i="7"/>
  <c r="BJ42" i="7"/>
  <c r="L42" i="7"/>
  <c r="E42" i="7"/>
  <c r="D42" i="7"/>
  <c r="B42" i="7"/>
  <c r="B26" i="7" s="1"/>
  <c r="I41" i="7"/>
  <c r="H41" i="7"/>
  <c r="F41" i="7"/>
  <c r="E41" i="7"/>
  <c r="D41" i="7"/>
  <c r="B41" i="7"/>
  <c r="AQ40" i="7"/>
  <c r="AP40" i="7"/>
  <c r="AO40" i="7"/>
  <c r="AN40" i="7"/>
  <c r="AM40" i="7"/>
  <c r="AL40" i="7"/>
  <c r="AK40" i="7"/>
  <c r="AJ40" i="7"/>
  <c r="AI40" i="7"/>
  <c r="AH40" i="7"/>
  <c r="AG40" i="7"/>
  <c r="AF40" i="7"/>
  <c r="AE40" i="7"/>
  <c r="AD40" i="7"/>
  <c r="AC40" i="7"/>
  <c r="AB40" i="7"/>
  <c r="AA40" i="7"/>
  <c r="Z40" i="7"/>
  <c r="Y40" i="7"/>
  <c r="X40" i="7"/>
  <c r="W40" i="7"/>
  <c r="V40" i="7"/>
  <c r="U40" i="7"/>
  <c r="T40" i="7"/>
  <c r="S40" i="7"/>
  <c r="R40" i="7"/>
  <c r="Q40" i="7"/>
  <c r="P40" i="7"/>
  <c r="O40" i="7"/>
  <c r="N40" i="7"/>
  <c r="M40" i="7"/>
  <c r="L40" i="7"/>
  <c r="K40" i="7"/>
  <c r="J40" i="7"/>
  <c r="I40" i="7"/>
  <c r="H40" i="7"/>
  <c r="G40" i="7"/>
  <c r="F40" i="7"/>
  <c r="E40" i="7"/>
  <c r="D40" i="7"/>
  <c r="C40" i="7"/>
  <c r="B40" i="7"/>
  <c r="F35" i="7"/>
  <c r="F401" i="3" s="1"/>
  <c r="D35" i="7"/>
  <c r="C35" i="7"/>
  <c r="I34" i="7"/>
  <c r="B34" i="7"/>
  <c r="H31" i="7"/>
  <c r="E31" i="7"/>
  <c r="D31" i="7"/>
  <c r="M29" i="7"/>
  <c r="BL29" i="7" s="1"/>
  <c r="E28" i="7"/>
  <c r="D28" i="7"/>
  <c r="C28" i="7"/>
  <c r="B28" i="7"/>
  <c r="C27" i="7"/>
  <c r="F25" i="7"/>
  <c r="AQ24" i="7"/>
  <c r="AP24" i="7"/>
  <c r="AO24" i="7"/>
  <c r="AN24" i="7"/>
  <c r="AM24" i="7"/>
  <c r="AL24" i="7"/>
  <c r="AK24" i="7"/>
  <c r="AJ24" i="7"/>
  <c r="AI24" i="7"/>
  <c r="AH24" i="7"/>
  <c r="AG24" i="7"/>
  <c r="AF24" i="7"/>
  <c r="AE24" i="7"/>
  <c r="AD24" i="7"/>
  <c r="AC24" i="7"/>
  <c r="AB24" i="7"/>
  <c r="AA24" i="7"/>
  <c r="Z24" i="7"/>
  <c r="Y24" i="7"/>
  <c r="X24" i="7"/>
  <c r="W24" i="7"/>
  <c r="V24" i="7"/>
  <c r="U24" i="7"/>
  <c r="T24" i="7"/>
  <c r="S24" i="7"/>
  <c r="R24" i="7"/>
  <c r="Q24" i="7"/>
  <c r="P24" i="7"/>
  <c r="O24" i="7"/>
  <c r="N24" i="7"/>
  <c r="M24" i="7"/>
  <c r="L24" i="7"/>
  <c r="K24" i="7"/>
  <c r="J24" i="7"/>
  <c r="I24" i="7"/>
  <c r="H24" i="7"/>
  <c r="G24" i="7"/>
  <c r="F24" i="7"/>
  <c r="E24" i="7"/>
  <c r="D24" i="7"/>
  <c r="C24" i="7"/>
  <c r="B24" i="7"/>
  <c r="BG20" i="7"/>
  <c r="AF20" i="7"/>
  <c r="AE20" i="7"/>
  <c r="J20" i="7"/>
  <c r="L20" i="7"/>
  <c r="P14" i="7"/>
  <c r="BR14" i="7" s="1"/>
  <c r="L14" i="7"/>
  <c r="BJ14" i="7" s="1"/>
  <c r="BL13" i="7"/>
  <c r="N13" i="7"/>
  <c r="M13" i="7"/>
  <c r="I13" i="7"/>
  <c r="C9" i="7"/>
  <c r="C16" i="6" s="1"/>
  <c r="BX5" i="7"/>
  <c r="BV5" i="7"/>
  <c r="AN5" i="7"/>
  <c r="AM5" i="7"/>
  <c r="AL5" i="7"/>
  <c r="AJ5" i="7"/>
  <c r="AI5" i="7"/>
  <c r="AH5" i="7"/>
  <c r="AG5" i="7"/>
  <c r="AF5" i="7"/>
  <c r="AE5" i="7"/>
  <c r="AD5" i="7"/>
  <c r="AC5" i="7"/>
  <c r="AB5" i="7"/>
  <c r="AA5" i="7"/>
  <c r="Z5" i="7"/>
  <c r="Y5" i="7"/>
  <c r="R5" i="7"/>
  <c r="N5" i="7"/>
  <c r="BN5" i="7" s="1"/>
  <c r="M5" i="7"/>
  <c r="BL5" i="7" s="1"/>
  <c r="K5" i="7"/>
  <c r="BG5" i="7" s="1"/>
  <c r="J5" i="7"/>
  <c r="F5" i="7"/>
  <c r="AC67" i="6"/>
  <c r="AB67" i="6"/>
  <c r="AA67" i="6"/>
  <c r="Z67" i="6"/>
  <c r="Y67" i="6"/>
  <c r="X67" i="6"/>
  <c r="AD61" i="6"/>
  <c r="AC61" i="6"/>
  <c r="AB61" i="6"/>
  <c r="AA61" i="6"/>
  <c r="Z61" i="6"/>
  <c r="Y61" i="6"/>
  <c r="X61" i="6"/>
  <c r="W61" i="6"/>
  <c r="V61" i="6"/>
  <c r="U61" i="6"/>
  <c r="T61" i="6"/>
  <c r="S61" i="6"/>
  <c r="R61" i="6"/>
  <c r="Q61" i="6"/>
  <c r="N61" i="6"/>
  <c r="D61" i="6"/>
  <c r="AD60" i="6"/>
  <c r="AC60" i="6"/>
  <c r="AB60" i="6"/>
  <c r="AA60" i="6"/>
  <c r="Z60" i="6"/>
  <c r="Y60" i="6"/>
  <c r="X60" i="6"/>
  <c r="W60" i="6"/>
  <c r="V60" i="6"/>
  <c r="U60" i="6"/>
  <c r="T60" i="6"/>
  <c r="S60" i="6"/>
  <c r="R60" i="6"/>
  <c r="Q60" i="6"/>
  <c r="H60" i="6"/>
  <c r="G60" i="6"/>
  <c r="F60" i="6"/>
  <c r="E60" i="6"/>
  <c r="D60" i="6"/>
  <c r="C60" i="6"/>
  <c r="B60" i="6"/>
  <c r="AD59" i="6"/>
  <c r="AC59" i="6"/>
  <c r="AB59" i="6"/>
  <c r="AA59" i="6"/>
  <c r="Z59" i="6"/>
  <c r="Y59" i="6"/>
  <c r="X59" i="6"/>
  <c r="W59" i="6"/>
  <c r="V59" i="6"/>
  <c r="U59" i="6"/>
  <c r="T59" i="6"/>
  <c r="S59" i="6"/>
  <c r="R59" i="6"/>
  <c r="Q59" i="6"/>
  <c r="P59" i="6"/>
  <c r="O59" i="6"/>
  <c r="N59" i="6"/>
  <c r="M59" i="6"/>
  <c r="L59" i="6"/>
  <c r="H59" i="6"/>
  <c r="G59" i="6"/>
  <c r="F59" i="6"/>
  <c r="B59" i="6"/>
  <c r="AD57" i="6"/>
  <c r="AC57" i="6"/>
  <c r="AB57" i="6"/>
  <c r="AA57" i="6"/>
  <c r="Z57" i="6"/>
  <c r="Y57" i="6"/>
  <c r="X57" i="6"/>
  <c r="W57" i="6"/>
  <c r="V57" i="6"/>
  <c r="U57" i="6"/>
  <c r="T57" i="6"/>
  <c r="S57" i="6"/>
  <c r="R57" i="6"/>
  <c r="Q57" i="6"/>
  <c r="G57" i="6"/>
  <c r="F57" i="6"/>
  <c r="E57" i="6"/>
  <c r="D57" i="6"/>
  <c r="AD53" i="6"/>
  <c r="AC53" i="6"/>
  <c r="AB53" i="6"/>
  <c r="AA53" i="6"/>
  <c r="Z53" i="6"/>
  <c r="Y53" i="6"/>
  <c r="X53" i="6"/>
  <c r="W53" i="6"/>
  <c r="V53" i="6"/>
  <c r="U53" i="6"/>
  <c r="T53" i="6"/>
  <c r="S53" i="6"/>
  <c r="R53" i="6"/>
  <c r="Q53" i="6"/>
  <c r="O53" i="6"/>
  <c r="G53" i="6"/>
  <c r="AC45" i="6"/>
  <c r="AB45" i="6"/>
  <c r="Z45" i="6"/>
  <c r="Z70" i="6" s="1"/>
  <c r="Y45" i="6"/>
  <c r="Y70" i="6" s="1"/>
  <c r="X45" i="6"/>
  <c r="X70" i="6" s="1"/>
  <c r="AD44" i="6"/>
  <c r="AD67" i="6" s="1"/>
  <c r="AC44" i="6"/>
  <c r="AB44" i="6"/>
  <c r="AA44" i="6"/>
  <c r="Z44" i="6"/>
  <c r="Y44" i="6"/>
  <c r="X44" i="6"/>
  <c r="W44" i="6"/>
  <c r="W67" i="6" s="1"/>
  <c r="V44" i="6"/>
  <c r="V67" i="6" s="1"/>
  <c r="U44" i="6"/>
  <c r="U67" i="6" s="1"/>
  <c r="T44" i="6"/>
  <c r="T67" i="6" s="1"/>
  <c r="S44" i="6"/>
  <c r="S67" i="6" s="1"/>
  <c r="R44" i="6"/>
  <c r="R67" i="6" s="1"/>
  <c r="Q44" i="6"/>
  <c r="Q67" i="6" s="1"/>
  <c r="AD32" i="6"/>
  <c r="AC32" i="6"/>
  <c r="AB32" i="6"/>
  <c r="AA32" i="6"/>
  <c r="Z32" i="6"/>
  <c r="Y32" i="6"/>
  <c r="X32" i="6"/>
  <c r="W32" i="6"/>
  <c r="V32" i="6"/>
  <c r="U32" i="6"/>
  <c r="T32" i="6"/>
  <c r="AD26" i="6"/>
  <c r="AC26" i="6"/>
  <c r="AA26" i="6"/>
  <c r="S26" i="6"/>
  <c r="T5" i="6"/>
  <c r="S5" i="6"/>
  <c r="R5" i="6"/>
  <c r="Q5" i="6"/>
  <c r="Y116" i="5"/>
  <c r="B116" i="5"/>
  <c r="E109" i="5"/>
  <c r="G108" i="5"/>
  <c r="F108" i="5"/>
  <c r="E108" i="5"/>
  <c r="D108" i="5"/>
  <c r="C108" i="5"/>
  <c r="AA107" i="5"/>
  <c r="P107" i="5"/>
  <c r="O107" i="5"/>
  <c r="M107" i="5"/>
  <c r="L107" i="5"/>
  <c r="K107" i="5"/>
  <c r="J107" i="5"/>
  <c r="I107" i="5"/>
  <c r="H107" i="5"/>
  <c r="G107" i="5"/>
  <c r="F107" i="5"/>
  <c r="E107" i="5"/>
  <c r="B103" i="5"/>
  <c r="B102" i="5"/>
  <c r="O101" i="5"/>
  <c r="M101" i="5"/>
  <c r="L101" i="5"/>
  <c r="K101" i="5"/>
  <c r="J101" i="5"/>
  <c r="I101" i="5"/>
  <c r="AA99" i="5"/>
  <c r="Y99" i="5"/>
  <c r="W99" i="5"/>
  <c r="V99" i="5"/>
  <c r="U99" i="5"/>
  <c r="T99" i="5"/>
  <c r="S99" i="5"/>
  <c r="R99" i="5"/>
  <c r="Q99" i="5"/>
  <c r="F99" i="5"/>
  <c r="E99" i="5"/>
  <c r="B94" i="5"/>
  <c r="I93" i="5"/>
  <c r="H93" i="5"/>
  <c r="S91" i="5"/>
  <c r="R91" i="5"/>
  <c r="P91" i="5"/>
  <c r="N91" i="5"/>
  <c r="M91" i="5"/>
  <c r="L91" i="5"/>
  <c r="K91" i="5"/>
  <c r="J91" i="5"/>
  <c r="I91" i="5"/>
  <c r="H91" i="5"/>
  <c r="F91" i="5"/>
  <c r="AA83" i="5"/>
  <c r="Z83" i="5"/>
  <c r="Y83" i="5"/>
  <c r="X83" i="5"/>
  <c r="W83" i="5"/>
  <c r="V83" i="5"/>
  <c r="I83" i="5"/>
  <c r="H83" i="5"/>
  <c r="F83" i="5"/>
  <c r="E83" i="5"/>
  <c r="D83" i="5"/>
  <c r="W75" i="5"/>
  <c r="M75" i="5"/>
  <c r="L75" i="5"/>
  <c r="H75" i="5"/>
  <c r="U67" i="5"/>
  <c r="T67" i="5"/>
  <c r="C62" i="5"/>
  <c r="B62" i="5"/>
  <c r="P61" i="5"/>
  <c r="J61" i="5"/>
  <c r="B61" i="5"/>
  <c r="P60" i="5"/>
  <c r="O60" i="5"/>
  <c r="N60" i="5"/>
  <c r="AA58" i="5"/>
  <c r="Z58" i="5"/>
  <c r="Y58" i="5"/>
  <c r="X58" i="5"/>
  <c r="M58" i="5"/>
  <c r="L58" i="5"/>
  <c r="J58" i="5"/>
  <c r="I58" i="5"/>
  <c r="H58" i="5"/>
  <c r="G58" i="5"/>
  <c r="F58" i="5"/>
  <c r="E58" i="5"/>
  <c r="D58" i="5"/>
  <c r="X54" i="5"/>
  <c r="T54" i="5"/>
  <c r="S54" i="5"/>
  <c r="U53" i="5"/>
  <c r="T53" i="5"/>
  <c r="H53" i="5"/>
  <c r="P51" i="5"/>
  <c r="M51" i="5"/>
  <c r="L51" i="5"/>
  <c r="P50" i="5"/>
  <c r="O50" i="5"/>
  <c r="N50" i="5"/>
  <c r="H46" i="5"/>
  <c r="J45" i="5"/>
  <c r="AA42" i="5"/>
  <c r="Z42" i="5"/>
  <c r="L42" i="5"/>
  <c r="K42" i="5"/>
  <c r="J42" i="5"/>
  <c r="I42" i="5"/>
  <c r="H42" i="5"/>
  <c r="G42" i="5"/>
  <c r="F42" i="5"/>
  <c r="E42" i="5"/>
  <c r="D42" i="5"/>
  <c r="AA34" i="5"/>
  <c r="Z34" i="5"/>
  <c r="X34" i="5"/>
  <c r="W34" i="5"/>
  <c r="V34" i="5"/>
  <c r="S34" i="5"/>
  <c r="R34" i="5"/>
  <c r="Q34" i="5"/>
  <c r="E34" i="5"/>
  <c r="D34" i="5"/>
  <c r="G30" i="5"/>
  <c r="F30" i="5"/>
  <c r="R28" i="5"/>
  <c r="Z27" i="5"/>
  <c r="C27" i="5"/>
  <c r="B27" i="5"/>
  <c r="Z26" i="5"/>
  <c r="Q26" i="5"/>
  <c r="P26" i="5"/>
  <c r="N26" i="5"/>
  <c r="M26" i="5"/>
  <c r="L26" i="5"/>
  <c r="K26" i="5"/>
  <c r="J26" i="5"/>
  <c r="I26" i="5"/>
  <c r="H26" i="5"/>
  <c r="G26" i="5"/>
  <c r="F26" i="5"/>
  <c r="D26" i="5"/>
  <c r="L21" i="5"/>
  <c r="K20" i="5"/>
  <c r="H20" i="5"/>
  <c r="Z18" i="5"/>
  <c r="W18" i="5"/>
  <c r="T18" i="5"/>
  <c r="R18" i="5"/>
  <c r="G18" i="5"/>
  <c r="F18" i="5"/>
  <c r="D18" i="5"/>
  <c r="B18" i="5"/>
  <c r="P14" i="5"/>
  <c r="O14" i="5"/>
  <c r="N14" i="5"/>
  <c r="N11" i="5"/>
  <c r="L11" i="5"/>
  <c r="K11" i="5"/>
  <c r="J11" i="5"/>
  <c r="I11" i="5"/>
  <c r="M10" i="5"/>
  <c r="L10" i="5"/>
  <c r="J10" i="5"/>
  <c r="I10" i="5"/>
  <c r="H10" i="5"/>
  <c r="G10" i="5"/>
  <c r="F10" i="5"/>
  <c r="E10" i="5"/>
  <c r="D10" i="5"/>
  <c r="B10" i="5"/>
  <c r="AA2" i="5"/>
  <c r="AA26" i="5" s="1"/>
  <c r="Z2" i="5"/>
  <c r="Z107" i="5" s="1"/>
  <c r="Y2" i="5"/>
  <c r="X2" i="5"/>
  <c r="X116" i="5" s="1"/>
  <c r="W2" i="5"/>
  <c r="W58" i="5" s="1"/>
  <c r="V2" i="5"/>
  <c r="U2" i="5"/>
  <c r="T2" i="5"/>
  <c r="S2" i="5"/>
  <c r="S75" i="5" s="1"/>
  <c r="R2" i="5"/>
  <c r="R75" i="5" s="1"/>
  <c r="Q2" i="5"/>
  <c r="Q75" i="5" s="1"/>
  <c r="P2" i="5"/>
  <c r="P75" i="5" s="1"/>
  <c r="O2" i="5"/>
  <c r="O75" i="5" s="1"/>
  <c r="N2" i="5"/>
  <c r="N75" i="5" s="1"/>
  <c r="M2" i="5"/>
  <c r="M116" i="5" s="1"/>
  <c r="L2" i="5"/>
  <c r="L116" i="5" s="1"/>
  <c r="K2" i="5"/>
  <c r="K75" i="5" s="1"/>
  <c r="J2" i="5"/>
  <c r="J75" i="5" s="1"/>
  <c r="I2" i="5"/>
  <c r="I75" i="5" s="1"/>
  <c r="H2" i="5"/>
  <c r="H116" i="5" s="1"/>
  <c r="G2" i="5"/>
  <c r="G91" i="5" s="1"/>
  <c r="F2" i="5"/>
  <c r="F75" i="5" s="1"/>
  <c r="E2" i="5"/>
  <c r="E26" i="5" s="1"/>
  <c r="D2" i="5"/>
  <c r="D107" i="5" s="1"/>
  <c r="C2" i="5"/>
  <c r="C58" i="5" s="1"/>
  <c r="B2" i="5"/>
  <c r="AQ388" i="4"/>
  <c r="AP388" i="4"/>
  <c r="AO388" i="4"/>
  <c r="AN388" i="4"/>
  <c r="AM388" i="4"/>
  <c r="AL388" i="4"/>
  <c r="AK388" i="4"/>
  <c r="AJ388" i="4"/>
  <c r="AI388" i="4"/>
  <c r="AH388" i="4"/>
  <c r="AG388" i="4"/>
  <c r="AF388" i="4"/>
  <c r="AE388" i="4"/>
  <c r="AD388" i="4"/>
  <c r="AC388" i="4"/>
  <c r="AB388" i="4"/>
  <c r="AA388" i="4"/>
  <c r="Z388" i="4"/>
  <c r="Y388" i="4"/>
  <c r="X388" i="4"/>
  <c r="W388" i="4"/>
  <c r="V388" i="4"/>
  <c r="U388" i="4"/>
  <c r="T388" i="4"/>
  <c r="S388" i="4"/>
  <c r="R388" i="4"/>
  <c r="Q388" i="4"/>
  <c r="P388" i="4"/>
  <c r="O388" i="4"/>
  <c r="N388" i="4"/>
  <c r="M388" i="4"/>
  <c r="L388" i="4"/>
  <c r="K388" i="4"/>
  <c r="J388" i="4"/>
  <c r="I388" i="4"/>
  <c r="H388" i="4"/>
  <c r="G388" i="4"/>
  <c r="F388" i="4"/>
  <c r="E388" i="4"/>
  <c r="D388" i="4"/>
  <c r="C388" i="4"/>
  <c r="B388" i="4"/>
  <c r="AQ372" i="4"/>
  <c r="AP372" i="4"/>
  <c r="AO372" i="4"/>
  <c r="AN372" i="4"/>
  <c r="AM372" i="4"/>
  <c r="AL372" i="4"/>
  <c r="AK372" i="4"/>
  <c r="AJ372" i="4"/>
  <c r="AI372" i="4"/>
  <c r="AH372" i="4"/>
  <c r="AG372" i="4"/>
  <c r="AF372" i="4"/>
  <c r="AE372" i="4"/>
  <c r="AD372" i="4"/>
  <c r="AC372" i="4"/>
  <c r="AB372" i="4"/>
  <c r="AA372" i="4"/>
  <c r="Z372" i="4"/>
  <c r="Y372" i="4"/>
  <c r="X372" i="4"/>
  <c r="W372" i="4"/>
  <c r="V372" i="4"/>
  <c r="U372" i="4"/>
  <c r="T372" i="4"/>
  <c r="S372" i="4"/>
  <c r="R372" i="4"/>
  <c r="Q372" i="4"/>
  <c r="P372" i="4"/>
  <c r="O372" i="4"/>
  <c r="N372" i="4"/>
  <c r="M372" i="4"/>
  <c r="L372" i="4"/>
  <c r="K372" i="4"/>
  <c r="J372" i="4"/>
  <c r="I372" i="4"/>
  <c r="H372" i="4"/>
  <c r="G372" i="4"/>
  <c r="F372" i="4"/>
  <c r="E372" i="4"/>
  <c r="D372" i="4"/>
  <c r="C372" i="4"/>
  <c r="B372" i="4"/>
  <c r="AQ357" i="4"/>
  <c r="AP357" i="4"/>
  <c r="AO357" i="4"/>
  <c r="AN357" i="4"/>
  <c r="AM357" i="4"/>
  <c r="AL357" i="4"/>
  <c r="AK357" i="4"/>
  <c r="AJ357" i="4"/>
  <c r="AI357" i="4"/>
  <c r="AH357" i="4"/>
  <c r="AG357" i="4"/>
  <c r="AF357" i="4"/>
  <c r="AE357" i="4"/>
  <c r="AD357" i="4"/>
  <c r="AC357" i="4"/>
  <c r="AB357" i="4"/>
  <c r="AA357" i="4"/>
  <c r="Z357" i="4"/>
  <c r="Y357" i="4"/>
  <c r="X357" i="4"/>
  <c r="W357" i="4"/>
  <c r="V357" i="4"/>
  <c r="U357" i="4"/>
  <c r="T357" i="4"/>
  <c r="S357" i="4"/>
  <c r="R357" i="4"/>
  <c r="Q357" i="4"/>
  <c r="P357" i="4"/>
  <c r="O357" i="4"/>
  <c r="N357" i="4"/>
  <c r="M357" i="4"/>
  <c r="L357" i="4"/>
  <c r="K357" i="4"/>
  <c r="J357" i="4"/>
  <c r="I357" i="4"/>
  <c r="H357" i="4"/>
  <c r="G357" i="4"/>
  <c r="F357" i="4"/>
  <c r="E357" i="4"/>
  <c r="D357" i="4"/>
  <c r="C357" i="4"/>
  <c r="B357" i="4"/>
  <c r="AQ340" i="4"/>
  <c r="AP340" i="4"/>
  <c r="AO340" i="4"/>
  <c r="AN340" i="4"/>
  <c r="AM340" i="4"/>
  <c r="AL340" i="4"/>
  <c r="AK340" i="4"/>
  <c r="AJ340" i="4"/>
  <c r="AI340" i="4"/>
  <c r="AH340" i="4"/>
  <c r="AG340" i="4"/>
  <c r="AF340" i="4"/>
  <c r="AE340" i="4"/>
  <c r="AD340" i="4"/>
  <c r="AC340" i="4"/>
  <c r="AB340" i="4"/>
  <c r="AA340" i="4"/>
  <c r="Z340" i="4"/>
  <c r="Y340" i="4"/>
  <c r="X340" i="4"/>
  <c r="W340" i="4"/>
  <c r="V340" i="4"/>
  <c r="U340" i="4"/>
  <c r="T340" i="4"/>
  <c r="S340" i="4"/>
  <c r="R340" i="4"/>
  <c r="Q340" i="4"/>
  <c r="P340" i="4"/>
  <c r="O340" i="4"/>
  <c r="N340" i="4"/>
  <c r="M340" i="4"/>
  <c r="L340" i="4"/>
  <c r="K340" i="4"/>
  <c r="J340" i="4"/>
  <c r="I340" i="4"/>
  <c r="H340" i="4"/>
  <c r="G340" i="4"/>
  <c r="F340" i="4"/>
  <c r="E340" i="4"/>
  <c r="D340" i="4"/>
  <c r="C340" i="4"/>
  <c r="B340" i="4"/>
  <c r="AQ324" i="4"/>
  <c r="AP324" i="4"/>
  <c r="AO324" i="4"/>
  <c r="AN324" i="4"/>
  <c r="AM324" i="4"/>
  <c r="AL324" i="4"/>
  <c r="AK324" i="4"/>
  <c r="AJ324" i="4"/>
  <c r="AI324" i="4"/>
  <c r="AH324" i="4"/>
  <c r="AG324" i="4"/>
  <c r="AF324" i="4"/>
  <c r="AE324" i="4"/>
  <c r="AD324" i="4"/>
  <c r="AC324" i="4"/>
  <c r="AB324" i="4"/>
  <c r="AA324" i="4"/>
  <c r="Z324" i="4"/>
  <c r="Y324" i="4"/>
  <c r="X324" i="4"/>
  <c r="W324" i="4"/>
  <c r="V324" i="4"/>
  <c r="U324" i="4"/>
  <c r="T324" i="4"/>
  <c r="S324" i="4"/>
  <c r="R324" i="4"/>
  <c r="Q324" i="4"/>
  <c r="P324" i="4"/>
  <c r="O324" i="4"/>
  <c r="N324" i="4"/>
  <c r="M324" i="4"/>
  <c r="L324" i="4"/>
  <c r="K324" i="4"/>
  <c r="J324" i="4"/>
  <c r="I324" i="4"/>
  <c r="H324" i="4"/>
  <c r="G324" i="4"/>
  <c r="F324" i="4"/>
  <c r="E324" i="4"/>
  <c r="D324" i="4"/>
  <c r="C324" i="4"/>
  <c r="B324" i="4"/>
  <c r="AQ308" i="4"/>
  <c r="AP308" i="4"/>
  <c r="AO308" i="4"/>
  <c r="AN308" i="4"/>
  <c r="AM308" i="4"/>
  <c r="AL308" i="4"/>
  <c r="AK308" i="4"/>
  <c r="AJ308" i="4"/>
  <c r="AI308" i="4"/>
  <c r="AH308" i="4"/>
  <c r="AG308" i="4"/>
  <c r="AF308" i="4"/>
  <c r="AE308" i="4"/>
  <c r="AD308" i="4"/>
  <c r="AC308" i="4"/>
  <c r="AB308" i="4"/>
  <c r="AA308" i="4"/>
  <c r="Z308" i="4"/>
  <c r="Y308" i="4"/>
  <c r="X308" i="4"/>
  <c r="W308" i="4"/>
  <c r="V308" i="4"/>
  <c r="U308" i="4"/>
  <c r="T308" i="4"/>
  <c r="S308" i="4"/>
  <c r="R308" i="4"/>
  <c r="Q308" i="4"/>
  <c r="P308" i="4"/>
  <c r="O308" i="4"/>
  <c r="N308" i="4"/>
  <c r="M308" i="4"/>
  <c r="L308" i="4"/>
  <c r="K308" i="4"/>
  <c r="J308" i="4"/>
  <c r="I308" i="4"/>
  <c r="H308" i="4"/>
  <c r="G308" i="4"/>
  <c r="F308" i="4"/>
  <c r="E308" i="4"/>
  <c r="D308" i="4"/>
  <c r="C308" i="4"/>
  <c r="H303" i="4"/>
  <c r="F303" i="4"/>
  <c r="D303" i="4"/>
  <c r="B303" i="4"/>
  <c r="L302" i="4"/>
  <c r="F302" i="4"/>
  <c r="K301" i="4"/>
  <c r="J301" i="4"/>
  <c r="F301" i="4"/>
  <c r="D300" i="4"/>
  <c r="C300" i="4"/>
  <c r="H299" i="4"/>
  <c r="E299" i="4"/>
  <c r="D299" i="4"/>
  <c r="K298" i="4"/>
  <c r="J298" i="4"/>
  <c r="E297" i="4"/>
  <c r="C297" i="4"/>
  <c r="L294" i="4"/>
  <c r="K294" i="4"/>
  <c r="J294" i="4"/>
  <c r="I294" i="4"/>
  <c r="I293" i="4"/>
  <c r="AQ291" i="4"/>
  <c r="AP291" i="4"/>
  <c r="AO291" i="4"/>
  <c r="AN291" i="4"/>
  <c r="AM291" i="4"/>
  <c r="AL291" i="4"/>
  <c r="AK291" i="4"/>
  <c r="AJ291" i="4"/>
  <c r="AI291" i="4"/>
  <c r="AH291" i="4"/>
  <c r="AG291" i="4"/>
  <c r="AF291" i="4"/>
  <c r="AE291" i="4"/>
  <c r="AD291" i="4"/>
  <c r="AC291" i="4"/>
  <c r="AB291" i="4"/>
  <c r="AA291" i="4"/>
  <c r="Z291" i="4"/>
  <c r="Y291" i="4"/>
  <c r="X291" i="4"/>
  <c r="W291" i="4"/>
  <c r="V291" i="4"/>
  <c r="U291" i="4"/>
  <c r="T291" i="4"/>
  <c r="S291" i="4"/>
  <c r="R291" i="4"/>
  <c r="Q291" i="4"/>
  <c r="P291" i="4"/>
  <c r="O291" i="4"/>
  <c r="N291" i="4"/>
  <c r="M291" i="4"/>
  <c r="L291" i="4"/>
  <c r="K291" i="4"/>
  <c r="J291" i="4"/>
  <c r="I291" i="4"/>
  <c r="H291" i="4"/>
  <c r="G291" i="4"/>
  <c r="F291" i="4"/>
  <c r="E291" i="4"/>
  <c r="D291" i="4"/>
  <c r="C291" i="4"/>
  <c r="B291" i="4"/>
  <c r="B308" i="4" s="1"/>
  <c r="AQ276" i="4"/>
  <c r="AP276" i="4"/>
  <c r="AO276" i="4"/>
  <c r="AN276" i="4"/>
  <c r="AM276" i="4"/>
  <c r="AL276" i="4"/>
  <c r="AK276" i="4"/>
  <c r="AJ276" i="4"/>
  <c r="AI276" i="4"/>
  <c r="AH276" i="4"/>
  <c r="AG276" i="4"/>
  <c r="AF276" i="4"/>
  <c r="AE276" i="4"/>
  <c r="AD276" i="4"/>
  <c r="AC276" i="4"/>
  <c r="AB276" i="4"/>
  <c r="AA276" i="4"/>
  <c r="Z276" i="4"/>
  <c r="Y276" i="4"/>
  <c r="X276" i="4"/>
  <c r="W276" i="4"/>
  <c r="V276" i="4"/>
  <c r="U276" i="4"/>
  <c r="T276" i="4"/>
  <c r="S276" i="4"/>
  <c r="R276" i="4"/>
  <c r="Q276" i="4"/>
  <c r="P276" i="4"/>
  <c r="O276" i="4"/>
  <c r="N276" i="4"/>
  <c r="M276" i="4"/>
  <c r="L276" i="4"/>
  <c r="K276" i="4"/>
  <c r="J276" i="4"/>
  <c r="I276" i="4"/>
  <c r="H276" i="4"/>
  <c r="G276" i="4"/>
  <c r="F276" i="4"/>
  <c r="E276" i="4"/>
  <c r="D276" i="4"/>
  <c r="C276" i="4"/>
  <c r="B276" i="4"/>
  <c r="AP260" i="4"/>
  <c r="AO260" i="4"/>
  <c r="AN260" i="4"/>
  <c r="AL260" i="4"/>
  <c r="AK260" i="4"/>
  <c r="AJ260" i="4"/>
  <c r="AI260" i="4"/>
  <c r="AH260" i="4"/>
  <c r="AG260" i="4"/>
  <c r="AF260" i="4"/>
  <c r="AE260" i="4"/>
  <c r="AD260" i="4"/>
  <c r="T260" i="4"/>
  <c r="S260" i="4"/>
  <c r="R260" i="4"/>
  <c r="P260" i="4"/>
  <c r="O260" i="4"/>
  <c r="M260" i="4"/>
  <c r="K260" i="4"/>
  <c r="H260" i="4"/>
  <c r="AI244" i="4"/>
  <c r="AD244" i="4"/>
  <c r="Y244" i="4"/>
  <c r="X244" i="4"/>
  <c r="N244" i="4"/>
  <c r="M244" i="4"/>
  <c r="L244" i="4"/>
  <c r="J244" i="4"/>
  <c r="I244" i="4"/>
  <c r="H244" i="4"/>
  <c r="G244" i="4"/>
  <c r="F244" i="4"/>
  <c r="C244" i="4"/>
  <c r="B244" i="4"/>
  <c r="F239" i="4"/>
  <c r="AQ228" i="4"/>
  <c r="AQ244" i="4" s="1"/>
  <c r="AP228" i="4"/>
  <c r="AP244" i="4" s="1"/>
  <c r="AO228" i="4"/>
  <c r="AO244" i="4" s="1"/>
  <c r="AN228" i="4"/>
  <c r="AN244" i="4" s="1"/>
  <c r="AM228" i="4"/>
  <c r="AM244" i="4" s="1"/>
  <c r="AL228" i="4"/>
  <c r="AL244" i="4" s="1"/>
  <c r="AK228" i="4"/>
  <c r="AK244" i="4" s="1"/>
  <c r="AJ228" i="4"/>
  <c r="AJ244" i="4" s="1"/>
  <c r="AI228" i="4"/>
  <c r="AH228" i="4"/>
  <c r="AH244" i="4" s="1"/>
  <c r="AG228" i="4"/>
  <c r="AG244" i="4" s="1"/>
  <c r="AF228" i="4"/>
  <c r="AF244" i="4" s="1"/>
  <c r="AE228" i="4"/>
  <c r="AE244" i="4" s="1"/>
  <c r="AD228" i="4"/>
  <c r="AC228" i="4"/>
  <c r="AC260" i="4" s="1"/>
  <c r="AB228" i="4"/>
  <c r="AB260" i="4" s="1"/>
  <c r="AA228" i="4"/>
  <c r="Z228" i="4"/>
  <c r="Y228" i="4"/>
  <c r="Y260" i="4" s="1"/>
  <c r="X228" i="4"/>
  <c r="X260" i="4" s="1"/>
  <c r="W228" i="4"/>
  <c r="W244" i="4" s="1"/>
  <c r="V228" i="4"/>
  <c r="V244" i="4" s="1"/>
  <c r="U228" i="4"/>
  <c r="U244" i="4" s="1"/>
  <c r="T228" i="4"/>
  <c r="T244" i="4" s="1"/>
  <c r="S228" i="4"/>
  <c r="S244" i="4" s="1"/>
  <c r="R228" i="4"/>
  <c r="R244" i="4" s="1"/>
  <c r="Q228" i="4"/>
  <c r="Q244" i="4" s="1"/>
  <c r="P228" i="4"/>
  <c r="P244" i="4" s="1"/>
  <c r="O228" i="4"/>
  <c r="O244" i="4" s="1"/>
  <c r="N228" i="4"/>
  <c r="N260" i="4" s="1"/>
  <c r="M228" i="4"/>
  <c r="L228" i="4"/>
  <c r="L260" i="4" s="1"/>
  <c r="K228" i="4"/>
  <c r="K244" i="4" s="1"/>
  <c r="J228" i="4"/>
  <c r="J260" i="4" s="1"/>
  <c r="I228" i="4"/>
  <c r="I260" i="4" s="1"/>
  <c r="H228" i="4"/>
  <c r="G228" i="4"/>
  <c r="G260" i="4" s="1"/>
  <c r="F228" i="4"/>
  <c r="F260" i="4" s="1"/>
  <c r="E228" i="4"/>
  <c r="D228" i="4"/>
  <c r="C228" i="4"/>
  <c r="B228" i="4"/>
  <c r="M225" i="4"/>
  <c r="P223" i="4"/>
  <c r="O223" i="4"/>
  <c r="N223" i="4"/>
  <c r="M223" i="4"/>
  <c r="L223" i="4"/>
  <c r="K223" i="4"/>
  <c r="J223" i="4"/>
  <c r="I223" i="4"/>
  <c r="H223" i="4"/>
  <c r="G223" i="4"/>
  <c r="F223" i="4"/>
  <c r="E223" i="4"/>
  <c r="D223" i="4"/>
  <c r="C223" i="4"/>
  <c r="B223" i="4"/>
  <c r="P222" i="4"/>
  <c r="O222" i="4"/>
  <c r="N222" i="4"/>
  <c r="M222" i="4"/>
  <c r="M111" i="5" s="1"/>
  <c r="L222" i="4"/>
  <c r="K222" i="4"/>
  <c r="J222" i="4"/>
  <c r="I222" i="4"/>
  <c r="H222" i="4"/>
  <c r="G222" i="4"/>
  <c r="F222" i="4"/>
  <c r="E222" i="4"/>
  <c r="D222" i="4"/>
  <c r="C222" i="4"/>
  <c r="B222" i="4"/>
  <c r="P221" i="4"/>
  <c r="O221" i="4"/>
  <c r="N221" i="4"/>
  <c r="M221" i="4"/>
  <c r="L221" i="4"/>
  <c r="K221" i="4"/>
  <c r="J221" i="4"/>
  <c r="I221" i="4"/>
  <c r="H221" i="4"/>
  <c r="H111" i="5" s="1"/>
  <c r="G221" i="4"/>
  <c r="G111" i="5" s="1"/>
  <c r="F221" i="4"/>
  <c r="F111" i="5" s="1"/>
  <c r="E221" i="4"/>
  <c r="E111" i="5" s="1"/>
  <c r="D221" i="4"/>
  <c r="D111" i="5" s="1"/>
  <c r="C221" i="4"/>
  <c r="C111" i="5" s="1"/>
  <c r="B221" i="4"/>
  <c r="B111" i="5" s="1"/>
  <c r="P220" i="4"/>
  <c r="O220" i="4"/>
  <c r="N220" i="4"/>
  <c r="M220" i="4"/>
  <c r="L220" i="4"/>
  <c r="K220" i="4"/>
  <c r="J220" i="4"/>
  <c r="I220" i="4"/>
  <c r="H220" i="4"/>
  <c r="G220" i="4"/>
  <c r="F220" i="4"/>
  <c r="E220" i="4"/>
  <c r="D220" i="4"/>
  <c r="C220" i="4"/>
  <c r="B220" i="4"/>
  <c r="P219" i="4"/>
  <c r="O219" i="4"/>
  <c r="N219" i="4"/>
  <c r="M219" i="4"/>
  <c r="L219" i="4"/>
  <c r="K219" i="4"/>
  <c r="J219" i="4"/>
  <c r="I219" i="4"/>
  <c r="H219" i="4"/>
  <c r="G219" i="4"/>
  <c r="F219" i="4"/>
  <c r="E219" i="4"/>
  <c r="D219" i="4"/>
  <c r="C219" i="4"/>
  <c r="B219" i="4"/>
  <c r="P218" i="4"/>
  <c r="P110" i="5" s="1"/>
  <c r="O218" i="4"/>
  <c r="O110" i="5" s="1"/>
  <c r="N218" i="4"/>
  <c r="N110" i="5" s="1"/>
  <c r="M218" i="4"/>
  <c r="M110" i="5" s="1"/>
  <c r="L218" i="4"/>
  <c r="K218" i="4"/>
  <c r="J218" i="4"/>
  <c r="I218" i="4"/>
  <c r="H218" i="4"/>
  <c r="G218" i="4"/>
  <c r="F218" i="4"/>
  <c r="E218" i="4"/>
  <c r="C218" i="4"/>
  <c r="B218" i="4"/>
  <c r="P217" i="4"/>
  <c r="O217" i="4"/>
  <c r="N217" i="4"/>
  <c r="M217" i="4"/>
  <c r="L217" i="4"/>
  <c r="K217" i="4"/>
  <c r="J217" i="4"/>
  <c r="I217" i="4"/>
  <c r="H217" i="4"/>
  <c r="G217" i="4"/>
  <c r="F217" i="4"/>
  <c r="F109" i="5" s="1"/>
  <c r="E217" i="4"/>
  <c r="D217" i="4"/>
  <c r="C217" i="4"/>
  <c r="B217" i="4"/>
  <c r="P216" i="4"/>
  <c r="O216" i="4"/>
  <c r="N216" i="4"/>
  <c r="M216" i="4"/>
  <c r="L216" i="4"/>
  <c r="K216" i="4"/>
  <c r="J216" i="4"/>
  <c r="I216" i="4"/>
  <c r="H216" i="4"/>
  <c r="G216" i="4"/>
  <c r="F216" i="4"/>
  <c r="E216" i="4"/>
  <c r="D216" i="4"/>
  <c r="C216" i="4"/>
  <c r="B216" i="4"/>
  <c r="P215" i="4"/>
  <c r="O215" i="4"/>
  <c r="O109" i="5" s="1"/>
  <c r="N215" i="4"/>
  <c r="N109" i="5" s="1"/>
  <c r="M215" i="4"/>
  <c r="M109" i="5" s="1"/>
  <c r="L215" i="4"/>
  <c r="L109" i="5" s="1"/>
  <c r="K215" i="4"/>
  <c r="K109" i="5" s="1"/>
  <c r="J215" i="4"/>
  <c r="J109" i="5" s="1"/>
  <c r="I215" i="4"/>
  <c r="I109" i="5" s="1"/>
  <c r="H215" i="4"/>
  <c r="G215" i="4"/>
  <c r="F215" i="4"/>
  <c r="E215" i="4"/>
  <c r="D215" i="4"/>
  <c r="D109" i="5" s="1"/>
  <c r="C215" i="4"/>
  <c r="B215" i="4"/>
  <c r="B109" i="5" s="1"/>
  <c r="Q214" i="4"/>
  <c r="P214" i="4"/>
  <c r="O214" i="4"/>
  <c r="N214" i="4"/>
  <c r="M214" i="4"/>
  <c r="L214" i="4"/>
  <c r="K214" i="4"/>
  <c r="J214" i="4"/>
  <c r="I214" i="4"/>
  <c r="H214" i="4"/>
  <c r="G214" i="4"/>
  <c r="F214" i="4"/>
  <c r="E214" i="4"/>
  <c r="D214" i="4"/>
  <c r="C214" i="4"/>
  <c r="B214" i="4"/>
  <c r="B108" i="5" s="1"/>
  <c r="Q213" i="4"/>
  <c r="P213" i="4"/>
  <c r="O213" i="4"/>
  <c r="N213" i="4"/>
  <c r="M213" i="4"/>
  <c r="L213" i="4"/>
  <c r="K213" i="4"/>
  <c r="J213" i="4"/>
  <c r="I213" i="4"/>
  <c r="H213" i="4"/>
  <c r="G213" i="4"/>
  <c r="F213" i="4"/>
  <c r="E213" i="4"/>
  <c r="D213" i="4"/>
  <c r="C213" i="4"/>
  <c r="B213" i="4"/>
  <c r="Q212" i="4"/>
  <c r="P212" i="4"/>
  <c r="O212" i="4"/>
  <c r="N212" i="4"/>
  <c r="M212" i="4"/>
  <c r="L212" i="4"/>
  <c r="K212" i="4"/>
  <c r="K108" i="5" s="1"/>
  <c r="J212" i="4"/>
  <c r="J108" i="5" s="1"/>
  <c r="I212" i="4"/>
  <c r="H212" i="4"/>
  <c r="G212" i="4"/>
  <c r="F212" i="4"/>
  <c r="E212" i="4"/>
  <c r="E224" i="4" s="1"/>
  <c r="D212" i="4"/>
  <c r="C212" i="4"/>
  <c r="C224" i="4" s="1"/>
  <c r="B212" i="4"/>
  <c r="B224" i="4" s="1"/>
  <c r="N208" i="4"/>
  <c r="P207" i="4"/>
  <c r="O207" i="4"/>
  <c r="N207" i="4"/>
  <c r="M207" i="4"/>
  <c r="M208" i="4" s="1"/>
  <c r="L207" i="4"/>
  <c r="K207" i="4"/>
  <c r="J207" i="4"/>
  <c r="I207" i="4"/>
  <c r="H207" i="4"/>
  <c r="G207" i="4"/>
  <c r="F207" i="4"/>
  <c r="E207" i="4"/>
  <c r="D207" i="4"/>
  <c r="C207" i="4"/>
  <c r="B207" i="4"/>
  <c r="P206" i="4"/>
  <c r="O206" i="4"/>
  <c r="N206" i="4"/>
  <c r="M206" i="4"/>
  <c r="L206" i="4"/>
  <c r="K206" i="4"/>
  <c r="J206" i="4"/>
  <c r="I206" i="4"/>
  <c r="H206" i="4"/>
  <c r="G206" i="4"/>
  <c r="F206" i="4"/>
  <c r="E206" i="4"/>
  <c r="D206" i="4"/>
  <c r="C206" i="4"/>
  <c r="B206" i="4"/>
  <c r="P205" i="4"/>
  <c r="O205" i="4"/>
  <c r="N205" i="4"/>
  <c r="M205" i="4"/>
  <c r="K205" i="4"/>
  <c r="J205" i="4"/>
  <c r="I205" i="4"/>
  <c r="J103" i="5" s="1"/>
  <c r="H205" i="4"/>
  <c r="I103" i="5" s="1"/>
  <c r="G205" i="4"/>
  <c r="H103" i="5" s="1"/>
  <c r="F205" i="4"/>
  <c r="G103" i="5" s="1"/>
  <c r="E205" i="4"/>
  <c r="F103" i="5" s="1"/>
  <c r="D205" i="4"/>
  <c r="E103" i="5" s="1"/>
  <c r="C205" i="4"/>
  <c r="D103" i="5" s="1"/>
  <c r="B205" i="4"/>
  <c r="C103" i="5" s="1"/>
  <c r="P204" i="4"/>
  <c r="O204" i="4"/>
  <c r="N204" i="4"/>
  <c r="M204" i="4"/>
  <c r="L204" i="4"/>
  <c r="K204" i="4"/>
  <c r="K208" i="4" s="1"/>
  <c r="J204" i="4"/>
  <c r="J208" i="4" s="1"/>
  <c r="I204" i="4"/>
  <c r="I208" i="4" s="1"/>
  <c r="H204" i="4"/>
  <c r="G204" i="4"/>
  <c r="F204" i="4"/>
  <c r="E204" i="4"/>
  <c r="D204" i="4"/>
  <c r="C204" i="4"/>
  <c r="B204" i="4"/>
  <c r="O203" i="4"/>
  <c r="N203" i="4"/>
  <c r="M203" i="4"/>
  <c r="M209" i="4" s="1"/>
  <c r="L203" i="4"/>
  <c r="K203" i="4"/>
  <c r="J203" i="4"/>
  <c r="I203" i="4"/>
  <c r="H203" i="4"/>
  <c r="G203" i="4"/>
  <c r="F203" i="4"/>
  <c r="E203" i="4"/>
  <c r="D203" i="4"/>
  <c r="C203" i="4"/>
  <c r="B203" i="4"/>
  <c r="AS202" i="4"/>
  <c r="P202" i="4"/>
  <c r="O202" i="4"/>
  <c r="N202" i="4"/>
  <c r="M202" i="4"/>
  <c r="N102" i="5" s="1"/>
  <c r="L202" i="4"/>
  <c r="K202" i="4"/>
  <c r="J202" i="4"/>
  <c r="I202" i="4"/>
  <c r="H202" i="4"/>
  <c r="I102" i="5" s="1"/>
  <c r="G202" i="4"/>
  <c r="F202" i="4"/>
  <c r="G102" i="5" s="1"/>
  <c r="E202" i="4"/>
  <c r="F102" i="5" s="1"/>
  <c r="D202" i="4"/>
  <c r="C202" i="4"/>
  <c r="D102" i="5" s="1"/>
  <c r="B202" i="4"/>
  <c r="C102" i="5" s="1"/>
  <c r="AS201" i="4"/>
  <c r="P201" i="4"/>
  <c r="O201" i="4"/>
  <c r="N201" i="4"/>
  <c r="M201" i="4"/>
  <c r="L201" i="4"/>
  <c r="K201" i="4"/>
  <c r="J201" i="4"/>
  <c r="I201" i="4"/>
  <c r="H201" i="4"/>
  <c r="H101" i="5" s="1"/>
  <c r="G201" i="4"/>
  <c r="F201" i="4"/>
  <c r="E201" i="4"/>
  <c r="D201" i="4"/>
  <c r="C201" i="4"/>
  <c r="B201" i="4"/>
  <c r="P200" i="4"/>
  <c r="O200" i="4"/>
  <c r="N200" i="4"/>
  <c r="M200" i="4"/>
  <c r="L200" i="4"/>
  <c r="K200" i="4"/>
  <c r="J200" i="4"/>
  <c r="I200" i="4"/>
  <c r="H200" i="4"/>
  <c r="G200" i="4"/>
  <c r="G101" i="5" s="1"/>
  <c r="F200" i="4"/>
  <c r="E200" i="4"/>
  <c r="D200" i="4"/>
  <c r="C200" i="4"/>
  <c r="B200" i="4"/>
  <c r="P199" i="4"/>
  <c r="O199" i="4"/>
  <c r="N199" i="4"/>
  <c r="N101" i="5" s="1"/>
  <c r="M199" i="4"/>
  <c r="L199" i="4"/>
  <c r="K199" i="4"/>
  <c r="J199" i="4"/>
  <c r="I199" i="4"/>
  <c r="H199" i="4"/>
  <c r="G199" i="4"/>
  <c r="F199" i="4"/>
  <c r="E199" i="4"/>
  <c r="D199" i="4"/>
  <c r="D101" i="5" s="1"/>
  <c r="C199" i="4"/>
  <c r="B199" i="4"/>
  <c r="Q198" i="4"/>
  <c r="P198" i="4"/>
  <c r="AS198" i="4" s="1"/>
  <c r="O198" i="4"/>
  <c r="N198" i="4"/>
  <c r="M198" i="4"/>
  <c r="L198" i="4"/>
  <c r="K198" i="4"/>
  <c r="J198" i="4"/>
  <c r="I198" i="4"/>
  <c r="H198" i="4"/>
  <c r="G198" i="4"/>
  <c r="F198" i="4"/>
  <c r="E198" i="4"/>
  <c r="D198" i="4"/>
  <c r="C198" i="4"/>
  <c r="B198" i="4"/>
  <c r="Q197" i="4"/>
  <c r="P197" i="4"/>
  <c r="O197" i="4"/>
  <c r="N197" i="4"/>
  <c r="M197" i="4"/>
  <c r="L197" i="4"/>
  <c r="K197" i="4"/>
  <c r="J197" i="4"/>
  <c r="I197" i="4"/>
  <c r="F197" i="4"/>
  <c r="D197" i="4"/>
  <c r="C197" i="4"/>
  <c r="B197" i="4"/>
  <c r="Q196" i="4"/>
  <c r="Q100" i="5" s="1"/>
  <c r="P196" i="4"/>
  <c r="O196" i="4"/>
  <c r="O208" i="4" s="1"/>
  <c r="N196" i="4"/>
  <c r="M196" i="4"/>
  <c r="M100" i="5" s="1"/>
  <c r="L196" i="4"/>
  <c r="L100" i="5" s="1"/>
  <c r="K196" i="4"/>
  <c r="K100" i="5" s="1"/>
  <c r="J196" i="4"/>
  <c r="J100" i="5" s="1"/>
  <c r="I196" i="4"/>
  <c r="H196" i="4"/>
  <c r="G196" i="4"/>
  <c r="F196" i="4"/>
  <c r="E196" i="4"/>
  <c r="D196" i="4"/>
  <c r="C196" i="4"/>
  <c r="B196" i="4"/>
  <c r="AQ195" i="4"/>
  <c r="AP195" i="4"/>
  <c r="AO195" i="4"/>
  <c r="AN195" i="4"/>
  <c r="AM195" i="4"/>
  <c r="AL195" i="4"/>
  <c r="AK195" i="4"/>
  <c r="AJ195" i="4"/>
  <c r="AI195" i="4"/>
  <c r="AH195" i="4"/>
  <c r="AG195" i="4"/>
  <c r="AF195" i="4"/>
  <c r="AE195" i="4"/>
  <c r="AD195" i="4"/>
  <c r="AC195" i="4"/>
  <c r="AB195" i="4"/>
  <c r="AA195" i="4"/>
  <c r="Z195" i="4"/>
  <c r="Y195" i="4"/>
  <c r="N191" i="4"/>
  <c r="M191" i="4"/>
  <c r="L191" i="4"/>
  <c r="J191" i="4"/>
  <c r="I191" i="4"/>
  <c r="H191" i="4"/>
  <c r="G191" i="4"/>
  <c r="F191" i="4"/>
  <c r="E191" i="4"/>
  <c r="D191" i="4"/>
  <c r="C191" i="4"/>
  <c r="B191" i="4"/>
  <c r="N190" i="4"/>
  <c r="L190" i="4"/>
  <c r="J190" i="4"/>
  <c r="I190" i="4"/>
  <c r="H190" i="4"/>
  <c r="G190" i="4"/>
  <c r="F190" i="4"/>
  <c r="E190" i="4"/>
  <c r="D190" i="4"/>
  <c r="C190" i="4"/>
  <c r="B190" i="4"/>
  <c r="O189" i="4"/>
  <c r="N189" i="4"/>
  <c r="N95" i="5" s="1"/>
  <c r="J189" i="4"/>
  <c r="I189" i="4"/>
  <c r="I95" i="5" s="1"/>
  <c r="H189" i="4"/>
  <c r="G189" i="4"/>
  <c r="F189" i="4"/>
  <c r="E189" i="4"/>
  <c r="D189" i="4"/>
  <c r="D95" i="5" s="1"/>
  <c r="C189" i="4"/>
  <c r="C95" i="5" s="1"/>
  <c r="B189" i="4"/>
  <c r="P188" i="4"/>
  <c r="N188" i="4"/>
  <c r="J188" i="4"/>
  <c r="I188" i="4"/>
  <c r="F188" i="4"/>
  <c r="D188" i="4"/>
  <c r="C188" i="4"/>
  <c r="B188" i="4"/>
  <c r="O187" i="4"/>
  <c r="N187" i="4"/>
  <c r="K187" i="4"/>
  <c r="J187" i="4"/>
  <c r="H187" i="4"/>
  <c r="G187" i="4"/>
  <c r="F187" i="4"/>
  <c r="E187" i="4"/>
  <c r="D187" i="4"/>
  <c r="B187" i="4"/>
  <c r="O186" i="4"/>
  <c r="M186" i="4"/>
  <c r="L186" i="4"/>
  <c r="J186" i="4"/>
  <c r="I186" i="4"/>
  <c r="H186" i="4"/>
  <c r="G186" i="4"/>
  <c r="F186" i="4"/>
  <c r="E186" i="4"/>
  <c r="B186" i="4"/>
  <c r="N185" i="4"/>
  <c r="L185" i="4"/>
  <c r="J185" i="4"/>
  <c r="I185" i="4"/>
  <c r="H185" i="4"/>
  <c r="G185" i="4"/>
  <c r="F185" i="4"/>
  <c r="D185" i="4"/>
  <c r="N184" i="4"/>
  <c r="M184" i="4"/>
  <c r="K184" i="4"/>
  <c r="J184" i="4"/>
  <c r="I184" i="4"/>
  <c r="H184" i="4"/>
  <c r="E184" i="4"/>
  <c r="D184" i="4"/>
  <c r="D93" i="5" s="1"/>
  <c r="B184" i="4"/>
  <c r="O183" i="4"/>
  <c r="N183" i="4"/>
  <c r="N93" i="5" s="1"/>
  <c r="L183" i="4"/>
  <c r="J183" i="4"/>
  <c r="J93" i="5" s="1"/>
  <c r="I183" i="4"/>
  <c r="H183" i="4"/>
  <c r="G183" i="4"/>
  <c r="F183" i="4"/>
  <c r="E183" i="4"/>
  <c r="D183" i="4"/>
  <c r="C183" i="4"/>
  <c r="B183" i="4"/>
  <c r="P182" i="4"/>
  <c r="N182" i="4"/>
  <c r="M182" i="4"/>
  <c r="K182" i="4"/>
  <c r="H182" i="4"/>
  <c r="G182" i="4"/>
  <c r="F182" i="4"/>
  <c r="E182" i="4"/>
  <c r="D182" i="4"/>
  <c r="C182" i="4"/>
  <c r="B182" i="4"/>
  <c r="N181" i="4"/>
  <c r="N92" i="5" s="1"/>
  <c r="M181" i="4"/>
  <c r="L181" i="4"/>
  <c r="K181" i="4"/>
  <c r="J181" i="4"/>
  <c r="F181" i="4"/>
  <c r="B181" i="4"/>
  <c r="O180" i="4"/>
  <c r="N180" i="4"/>
  <c r="M180" i="4"/>
  <c r="I180" i="4"/>
  <c r="C180" i="4"/>
  <c r="AQ179" i="4"/>
  <c r="AP179" i="4"/>
  <c r="AO179" i="4"/>
  <c r="AN179" i="4"/>
  <c r="AM179" i="4"/>
  <c r="AL179" i="4"/>
  <c r="AK179" i="4"/>
  <c r="AJ179" i="4"/>
  <c r="AI179" i="4"/>
  <c r="AH179" i="4"/>
  <c r="AG179" i="4"/>
  <c r="AF179" i="4"/>
  <c r="AE179" i="4"/>
  <c r="AD179" i="4"/>
  <c r="AC179" i="4"/>
  <c r="AB179" i="4"/>
  <c r="AA179" i="4"/>
  <c r="Z179" i="4"/>
  <c r="Y179" i="4"/>
  <c r="X179" i="4"/>
  <c r="W179" i="4"/>
  <c r="V179" i="4"/>
  <c r="U179" i="4"/>
  <c r="T179" i="4"/>
  <c r="S179" i="4"/>
  <c r="R179" i="4"/>
  <c r="Q179" i="4"/>
  <c r="P179" i="4"/>
  <c r="O179" i="4"/>
  <c r="N179" i="4"/>
  <c r="M179" i="4"/>
  <c r="L179" i="4"/>
  <c r="K179" i="4"/>
  <c r="J179" i="4"/>
  <c r="I179" i="4"/>
  <c r="H179" i="4"/>
  <c r="G179" i="4"/>
  <c r="F179" i="4"/>
  <c r="E179" i="4"/>
  <c r="D179" i="4"/>
  <c r="C179" i="4"/>
  <c r="B179" i="4"/>
  <c r="B170" i="4"/>
  <c r="E166" i="4"/>
  <c r="AQ163" i="4"/>
  <c r="AP163" i="4"/>
  <c r="AO163" i="4"/>
  <c r="AN163" i="4"/>
  <c r="AM163" i="4"/>
  <c r="AL163" i="4"/>
  <c r="AK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E163" i="4"/>
  <c r="D163" i="4"/>
  <c r="C163" i="4"/>
  <c r="B163" i="4"/>
  <c r="I159" i="4"/>
  <c r="G159" i="4"/>
  <c r="G175" i="4" s="1"/>
  <c r="E159" i="4"/>
  <c r="E175" i="4" s="1"/>
  <c r="D159" i="4"/>
  <c r="C159" i="4"/>
  <c r="G158" i="4"/>
  <c r="B158" i="4"/>
  <c r="G157" i="4"/>
  <c r="C157" i="4"/>
  <c r="B157" i="4"/>
  <c r="J156" i="4"/>
  <c r="E152" i="4"/>
  <c r="D152" i="4"/>
  <c r="B152" i="4"/>
  <c r="J151" i="4"/>
  <c r="G151" i="4"/>
  <c r="B151" i="4"/>
  <c r="J150" i="4"/>
  <c r="G150" i="4"/>
  <c r="F150" i="4"/>
  <c r="E150" i="4"/>
  <c r="AQ147" i="4"/>
  <c r="AP147" i="4"/>
  <c r="AO147" i="4"/>
  <c r="AN147" i="4"/>
  <c r="AM147" i="4"/>
  <c r="AL147" i="4"/>
  <c r="AK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E147" i="4"/>
  <c r="D147" i="4"/>
  <c r="C147" i="4"/>
  <c r="B147" i="4"/>
  <c r="J143" i="4"/>
  <c r="I143" i="4"/>
  <c r="H143" i="4"/>
  <c r="F143" i="4"/>
  <c r="E143" i="4"/>
  <c r="J142" i="4"/>
  <c r="D142" i="4"/>
  <c r="D174" i="4" s="1"/>
  <c r="I141" i="4"/>
  <c r="D141" i="4"/>
  <c r="D140" i="4"/>
  <c r="B140" i="4"/>
  <c r="B172" i="4" s="1"/>
  <c r="I139" i="4"/>
  <c r="F139" i="4"/>
  <c r="D139" i="4"/>
  <c r="B139" i="4"/>
  <c r="I138" i="4"/>
  <c r="B138" i="4"/>
  <c r="E137" i="4"/>
  <c r="I136" i="4"/>
  <c r="H136" i="4"/>
  <c r="B136" i="4"/>
  <c r="J135" i="4"/>
  <c r="I135" i="4"/>
  <c r="H135" i="4"/>
  <c r="H167" i="4" s="1"/>
  <c r="D135" i="4"/>
  <c r="E134" i="4"/>
  <c r="D134" i="4"/>
  <c r="C134" i="4"/>
  <c r="H133" i="4"/>
  <c r="H165" i="4" s="1"/>
  <c r="F133" i="4"/>
  <c r="D133" i="4"/>
  <c r="F132" i="4"/>
  <c r="AQ131" i="4"/>
  <c r="AP131" i="4"/>
  <c r="AO131" i="4"/>
  <c r="AN131" i="4"/>
  <c r="AM131" i="4"/>
  <c r="AL131" i="4"/>
  <c r="AK131" i="4"/>
  <c r="AJ131" i="4"/>
  <c r="AI131" i="4"/>
  <c r="AH131" i="4"/>
  <c r="AG131" i="4"/>
  <c r="AF131" i="4"/>
  <c r="AE131" i="4"/>
  <c r="AD131" i="4"/>
  <c r="AC131" i="4"/>
  <c r="AB131" i="4"/>
  <c r="AA131" i="4"/>
  <c r="Z131" i="4"/>
  <c r="W131" i="4"/>
  <c r="H131" i="4"/>
  <c r="G131" i="4"/>
  <c r="F131" i="4"/>
  <c r="D131" i="4"/>
  <c r="C131" i="4"/>
  <c r="B131" i="4"/>
  <c r="P126" i="4"/>
  <c r="O126" i="4"/>
  <c r="N126" i="4"/>
  <c r="M126" i="4"/>
  <c r="AS126" i="4" s="1"/>
  <c r="K126" i="4"/>
  <c r="J126" i="4"/>
  <c r="I126" i="4"/>
  <c r="I78" i="4" s="1"/>
  <c r="H126" i="4"/>
  <c r="H78" i="4" s="1"/>
  <c r="G126" i="4"/>
  <c r="G78" i="4" s="1"/>
  <c r="F126" i="4"/>
  <c r="F78" i="4" s="1"/>
  <c r="F352" i="4" s="1"/>
  <c r="E126" i="4"/>
  <c r="E78" i="4" s="1"/>
  <c r="D126" i="4"/>
  <c r="C126" i="4"/>
  <c r="B126" i="4"/>
  <c r="P125" i="4"/>
  <c r="O125" i="4"/>
  <c r="N125" i="4"/>
  <c r="M125" i="4"/>
  <c r="L125" i="4"/>
  <c r="K125" i="4"/>
  <c r="J125" i="4"/>
  <c r="I125" i="4"/>
  <c r="H125" i="4"/>
  <c r="G125" i="4"/>
  <c r="F125" i="4"/>
  <c r="F158" i="4" s="1"/>
  <c r="E125" i="4"/>
  <c r="E158" i="4" s="1"/>
  <c r="D125" i="4"/>
  <c r="C125" i="4"/>
  <c r="B125" i="4"/>
  <c r="P124" i="4"/>
  <c r="O124" i="4"/>
  <c r="P62" i="5" s="1"/>
  <c r="N124" i="4"/>
  <c r="O62" i="5" s="1"/>
  <c r="M124" i="4"/>
  <c r="L124" i="4"/>
  <c r="K124" i="4"/>
  <c r="L62" i="5" s="1"/>
  <c r="J124" i="4"/>
  <c r="K62" i="5" s="1"/>
  <c r="I124" i="4"/>
  <c r="J62" i="5" s="1"/>
  <c r="H124" i="4"/>
  <c r="G124" i="4"/>
  <c r="F124" i="4"/>
  <c r="E124" i="4"/>
  <c r="D124" i="4"/>
  <c r="C124" i="4"/>
  <c r="D62" i="5" s="1"/>
  <c r="B124" i="4"/>
  <c r="P123" i="4"/>
  <c r="O123" i="4"/>
  <c r="N123" i="4"/>
  <c r="O61" i="5" s="1"/>
  <c r="M123" i="4"/>
  <c r="AS123" i="4" s="1"/>
  <c r="L123" i="4"/>
  <c r="K123" i="4"/>
  <c r="J123" i="4"/>
  <c r="I123" i="4"/>
  <c r="H123" i="4"/>
  <c r="G123" i="4"/>
  <c r="F123" i="4"/>
  <c r="E123" i="4"/>
  <c r="D123" i="4"/>
  <c r="C123" i="4"/>
  <c r="B123" i="4"/>
  <c r="B156" i="4" s="1"/>
  <c r="P122" i="4"/>
  <c r="O122" i="4"/>
  <c r="N122" i="4"/>
  <c r="M122" i="4"/>
  <c r="AS122" i="4" s="1"/>
  <c r="L122" i="4"/>
  <c r="K122" i="4"/>
  <c r="J122" i="4"/>
  <c r="I122" i="4"/>
  <c r="H122" i="4"/>
  <c r="G122" i="4"/>
  <c r="F122" i="4"/>
  <c r="E122" i="4"/>
  <c r="D122" i="4"/>
  <c r="C122" i="4"/>
  <c r="B122" i="4"/>
  <c r="AS121" i="4"/>
  <c r="P121" i="4"/>
  <c r="Q61" i="5" s="1"/>
  <c r="O121" i="4"/>
  <c r="N121" i="4"/>
  <c r="M121" i="4"/>
  <c r="L121" i="4"/>
  <c r="M61" i="5" s="1"/>
  <c r="K121" i="4"/>
  <c r="L61" i="5" s="1"/>
  <c r="J121" i="4"/>
  <c r="K61" i="5" s="1"/>
  <c r="I121" i="4"/>
  <c r="H121" i="4"/>
  <c r="I61" i="5" s="1"/>
  <c r="G121" i="4"/>
  <c r="H61" i="5" s="1"/>
  <c r="F121" i="4"/>
  <c r="G61" i="5" s="1"/>
  <c r="E121" i="4"/>
  <c r="D121" i="4"/>
  <c r="E61" i="5" s="1"/>
  <c r="C121" i="4"/>
  <c r="B121" i="4"/>
  <c r="AS120" i="4"/>
  <c r="P120" i="4"/>
  <c r="O120" i="4"/>
  <c r="N120" i="4"/>
  <c r="M120" i="4"/>
  <c r="L120" i="4"/>
  <c r="K120" i="4"/>
  <c r="K127" i="4" s="1"/>
  <c r="J120" i="4"/>
  <c r="I120" i="4"/>
  <c r="H120" i="4"/>
  <c r="G120" i="4"/>
  <c r="F120" i="4"/>
  <c r="E120" i="4"/>
  <c r="D120" i="4"/>
  <c r="C120" i="4"/>
  <c r="B120" i="4"/>
  <c r="AS119" i="4"/>
  <c r="P119" i="4"/>
  <c r="O119" i="4"/>
  <c r="N119" i="4"/>
  <c r="M119" i="4"/>
  <c r="K119" i="4"/>
  <c r="J119" i="4"/>
  <c r="J71" i="4" s="1"/>
  <c r="I119" i="4"/>
  <c r="H119" i="4"/>
  <c r="G119" i="4"/>
  <c r="F119" i="4"/>
  <c r="E119" i="4"/>
  <c r="D119" i="4"/>
  <c r="C119" i="4"/>
  <c r="B119" i="4"/>
  <c r="AS118" i="4"/>
  <c r="P118" i="4"/>
  <c r="O118" i="4"/>
  <c r="N118" i="4"/>
  <c r="M118" i="4"/>
  <c r="M60" i="5" s="1"/>
  <c r="L118" i="4"/>
  <c r="K118" i="4"/>
  <c r="J118" i="4"/>
  <c r="I118" i="4"/>
  <c r="H118" i="4"/>
  <c r="G118" i="4"/>
  <c r="G60" i="5" s="1"/>
  <c r="F118" i="4"/>
  <c r="E118" i="4"/>
  <c r="E60" i="5" s="1"/>
  <c r="D118" i="4"/>
  <c r="D60" i="5" s="1"/>
  <c r="C118" i="4"/>
  <c r="B118" i="4"/>
  <c r="AS117" i="4"/>
  <c r="Q117" i="4"/>
  <c r="P117" i="4"/>
  <c r="O117" i="4"/>
  <c r="N117" i="4"/>
  <c r="M117" i="4"/>
  <c r="L117" i="4"/>
  <c r="K117" i="4"/>
  <c r="J117" i="4"/>
  <c r="I117" i="4"/>
  <c r="H117" i="4"/>
  <c r="G117" i="4"/>
  <c r="F117" i="4"/>
  <c r="E117" i="4"/>
  <c r="D117" i="4"/>
  <c r="C117" i="4"/>
  <c r="B117" i="4"/>
  <c r="AS116" i="4"/>
  <c r="Q116" i="4"/>
  <c r="P116" i="4"/>
  <c r="O116" i="4"/>
  <c r="N116" i="4"/>
  <c r="M116" i="4"/>
  <c r="L116" i="4"/>
  <c r="K116" i="4"/>
  <c r="J116" i="4"/>
  <c r="I116" i="4"/>
  <c r="H116" i="4"/>
  <c r="G116" i="4"/>
  <c r="F116" i="4"/>
  <c r="F68" i="4" s="1"/>
  <c r="E116" i="4"/>
  <c r="C116" i="4"/>
  <c r="B116" i="4"/>
  <c r="AS115" i="4"/>
  <c r="Q115" i="4"/>
  <c r="P115" i="4"/>
  <c r="O115" i="4"/>
  <c r="O59" i="5" s="1"/>
  <c r="N115" i="4"/>
  <c r="N59" i="5" s="1"/>
  <c r="M115" i="4"/>
  <c r="M59" i="5" s="1"/>
  <c r="L115" i="4"/>
  <c r="K115" i="4"/>
  <c r="J115" i="4"/>
  <c r="J59" i="5" s="1"/>
  <c r="I115" i="4"/>
  <c r="I59" i="5" s="1"/>
  <c r="H115" i="4"/>
  <c r="E115" i="4"/>
  <c r="D115" i="4"/>
  <c r="C115" i="4"/>
  <c r="B115" i="4"/>
  <c r="AQ114" i="4"/>
  <c r="AP114" i="4"/>
  <c r="AO114" i="4"/>
  <c r="AN114" i="4"/>
  <c r="AM114" i="4"/>
  <c r="AL114" i="4"/>
  <c r="AK114" i="4"/>
  <c r="AJ114" i="4"/>
  <c r="AI114" i="4"/>
  <c r="AH114" i="4"/>
  <c r="AG114" i="4"/>
  <c r="AF114" i="4"/>
  <c r="AE114" i="4"/>
  <c r="AD114" i="4"/>
  <c r="AC114" i="4"/>
  <c r="AB114" i="4"/>
  <c r="AA114" i="4"/>
  <c r="Z114" i="4"/>
  <c r="Y114" i="4"/>
  <c r="Y131" i="4" s="1"/>
  <c r="X114" i="4"/>
  <c r="X131" i="4" s="1"/>
  <c r="W114" i="4"/>
  <c r="V114" i="4"/>
  <c r="V131" i="4" s="1"/>
  <c r="U114" i="4"/>
  <c r="U131" i="4" s="1"/>
  <c r="T114" i="4"/>
  <c r="T131" i="4" s="1"/>
  <c r="S114" i="4"/>
  <c r="S131" i="4" s="1"/>
  <c r="R114" i="4"/>
  <c r="R131" i="4" s="1"/>
  <c r="Q114" i="4"/>
  <c r="Q131" i="4" s="1"/>
  <c r="P114" i="4"/>
  <c r="P131" i="4" s="1"/>
  <c r="O114" i="4"/>
  <c r="O131" i="4" s="1"/>
  <c r="N114" i="4"/>
  <c r="N131" i="4" s="1"/>
  <c r="M114" i="4"/>
  <c r="M131" i="4" s="1"/>
  <c r="L114" i="4"/>
  <c r="L131" i="4" s="1"/>
  <c r="K114" i="4"/>
  <c r="K131" i="4" s="1"/>
  <c r="J114" i="4"/>
  <c r="J131" i="4" s="1"/>
  <c r="I114" i="4"/>
  <c r="I131" i="4" s="1"/>
  <c r="H114" i="4"/>
  <c r="G114" i="4"/>
  <c r="F114" i="4"/>
  <c r="E114" i="4"/>
  <c r="E131" i="4" s="1"/>
  <c r="D114" i="4"/>
  <c r="C114" i="4"/>
  <c r="B114" i="4"/>
  <c r="AK111" i="4"/>
  <c r="AI111" i="4"/>
  <c r="AQ110" i="4"/>
  <c r="AP110" i="4"/>
  <c r="AO110" i="4"/>
  <c r="AN110" i="4"/>
  <c r="AM110" i="4"/>
  <c r="AL110" i="4"/>
  <c r="AK110" i="4"/>
  <c r="AJ110" i="4"/>
  <c r="AJ111" i="4" s="1"/>
  <c r="AI110" i="4"/>
  <c r="AH110" i="4"/>
  <c r="AG110" i="4"/>
  <c r="AF110" i="4"/>
  <c r="AE110" i="4"/>
  <c r="AD110" i="4"/>
  <c r="AC110" i="4"/>
  <c r="AB110" i="4"/>
  <c r="AA110" i="4"/>
  <c r="Z110" i="4"/>
  <c r="Y110" i="4"/>
  <c r="X110" i="4"/>
  <c r="W110" i="4"/>
  <c r="V110" i="4"/>
  <c r="U110" i="4"/>
  <c r="U54" i="5" s="1"/>
  <c r="T110" i="4"/>
  <c r="S110" i="4"/>
  <c r="R110" i="4"/>
  <c r="R54" i="5" s="1"/>
  <c r="Q110" i="4"/>
  <c r="P110" i="4"/>
  <c r="O110" i="4"/>
  <c r="N110" i="4"/>
  <c r="L110" i="4"/>
  <c r="J110" i="4"/>
  <c r="J78" i="4" s="1"/>
  <c r="I110" i="4"/>
  <c r="H110" i="4"/>
  <c r="G110" i="4"/>
  <c r="F110" i="4"/>
  <c r="E110" i="4"/>
  <c r="D110" i="4"/>
  <c r="C110" i="4"/>
  <c r="B110" i="4"/>
  <c r="AQ109" i="4"/>
  <c r="AP109" i="4"/>
  <c r="AO109" i="4"/>
  <c r="AN109" i="4"/>
  <c r="AM109" i="4"/>
  <c r="AL109" i="4"/>
  <c r="AK109" i="4"/>
  <c r="AJ109" i="4"/>
  <c r="AI109" i="4"/>
  <c r="AH109" i="4"/>
  <c r="AH111" i="4" s="1"/>
  <c r="AG109" i="4"/>
  <c r="AF109" i="4"/>
  <c r="AE109" i="4"/>
  <c r="AD109" i="4"/>
  <c r="AC109" i="4"/>
  <c r="AB109" i="4"/>
  <c r="AA109" i="4"/>
  <c r="Z109" i="4"/>
  <c r="Y109" i="4"/>
  <c r="X109" i="4"/>
  <c r="W109" i="4"/>
  <c r="V109" i="4"/>
  <c r="U109" i="4"/>
  <c r="T109" i="4"/>
  <c r="S109" i="4"/>
  <c r="R109" i="4"/>
  <c r="Q109" i="4"/>
  <c r="O109" i="4"/>
  <c r="J109" i="4"/>
  <c r="J77" i="4" s="1"/>
  <c r="I109" i="4"/>
  <c r="H109" i="4"/>
  <c r="G109" i="4"/>
  <c r="F109" i="4"/>
  <c r="E109" i="4"/>
  <c r="D109" i="4"/>
  <c r="C109" i="4"/>
  <c r="B109" i="4"/>
  <c r="AQ108" i="4"/>
  <c r="AP108" i="4"/>
  <c r="AO108" i="4"/>
  <c r="AN108" i="4"/>
  <c r="AM108" i="4"/>
  <c r="AL108" i="4"/>
  <c r="AK108" i="4"/>
  <c r="AJ108" i="4"/>
  <c r="AI108" i="4"/>
  <c r="AH108" i="4"/>
  <c r="AG108" i="4"/>
  <c r="AE108" i="4"/>
  <c r="AC108" i="4"/>
  <c r="AB108" i="4"/>
  <c r="AA108" i="4"/>
  <c r="AA54" i="5" s="1"/>
  <c r="Y108" i="4"/>
  <c r="Y54" i="5" s="1"/>
  <c r="X108" i="4"/>
  <c r="W108" i="4"/>
  <c r="W54" i="5" s="1"/>
  <c r="U108" i="4"/>
  <c r="T108" i="4"/>
  <c r="S108" i="4"/>
  <c r="R108" i="4"/>
  <c r="J108" i="4"/>
  <c r="I108" i="4"/>
  <c r="I76" i="4" s="1"/>
  <c r="G108" i="4"/>
  <c r="G54" i="5" s="1"/>
  <c r="F108" i="4"/>
  <c r="E108" i="4"/>
  <c r="E54" i="5" s="1"/>
  <c r="D108" i="4"/>
  <c r="C108" i="4"/>
  <c r="C54" i="5" s="1"/>
  <c r="B108" i="4"/>
  <c r="B54" i="5" s="1"/>
  <c r="AQ107" i="4"/>
  <c r="AP107" i="4"/>
  <c r="AO107" i="4"/>
  <c r="AN107" i="4"/>
  <c r="AM107" i="4"/>
  <c r="AL107" i="4"/>
  <c r="AK107" i="4"/>
  <c r="AJ107" i="4"/>
  <c r="AH107" i="4"/>
  <c r="AG107" i="4"/>
  <c r="AD107" i="4"/>
  <c r="AC107" i="4"/>
  <c r="AB107" i="4"/>
  <c r="AA107" i="4"/>
  <c r="Z107" i="4"/>
  <c r="Y107" i="4"/>
  <c r="X107" i="4"/>
  <c r="W107" i="4"/>
  <c r="V107" i="4"/>
  <c r="U107" i="4"/>
  <c r="T107" i="4"/>
  <c r="S107" i="4"/>
  <c r="R107" i="4"/>
  <c r="Q107" i="4"/>
  <c r="P107" i="4"/>
  <c r="O107" i="4"/>
  <c r="L107" i="4"/>
  <c r="J107" i="4"/>
  <c r="G107" i="4"/>
  <c r="F107" i="4"/>
  <c r="F156" i="4" s="1"/>
  <c r="E107" i="4"/>
  <c r="E53" i="5" s="1"/>
  <c r="D107" i="4"/>
  <c r="D75" i="4" s="1"/>
  <c r="C107" i="4"/>
  <c r="B107" i="4"/>
  <c r="AQ106" i="4"/>
  <c r="AP106" i="4"/>
  <c r="AO106" i="4"/>
  <c r="AN106" i="4"/>
  <c r="AM106" i="4"/>
  <c r="AL106" i="4"/>
  <c r="AK106" i="4"/>
  <c r="AJ106" i="4"/>
  <c r="AI106" i="4"/>
  <c r="AH106" i="4"/>
  <c r="AG106" i="4"/>
  <c r="AF106" i="4"/>
  <c r="AE106" i="4"/>
  <c r="AD106" i="4"/>
  <c r="AC106" i="4"/>
  <c r="AB106" i="4"/>
  <c r="AA106" i="4"/>
  <c r="Z106" i="4"/>
  <c r="Y106" i="4"/>
  <c r="X106" i="4"/>
  <c r="W106" i="4"/>
  <c r="V106" i="4"/>
  <c r="U106" i="4"/>
  <c r="T106" i="4"/>
  <c r="S106" i="4"/>
  <c r="R106" i="4"/>
  <c r="Q106" i="4"/>
  <c r="O106" i="4"/>
  <c r="M106" i="4"/>
  <c r="J106" i="4"/>
  <c r="I106" i="4"/>
  <c r="H106" i="4"/>
  <c r="F106" i="4"/>
  <c r="E106" i="4"/>
  <c r="B106" i="4"/>
  <c r="AQ105" i="4"/>
  <c r="AP105" i="4"/>
  <c r="AO105" i="4"/>
  <c r="AN105" i="4"/>
  <c r="AM105" i="4"/>
  <c r="AL105" i="4"/>
  <c r="AK105" i="4"/>
  <c r="AJ105" i="4"/>
  <c r="AI105" i="4"/>
  <c r="AH105" i="4"/>
  <c r="AG105" i="4"/>
  <c r="AF105" i="4"/>
  <c r="AE105" i="4"/>
  <c r="AD105" i="4"/>
  <c r="AC105" i="4"/>
  <c r="AB105" i="4"/>
  <c r="AA105" i="4"/>
  <c r="Z105" i="4"/>
  <c r="Y105" i="4"/>
  <c r="X105" i="4"/>
  <c r="W105" i="4"/>
  <c r="W53" i="5" s="1"/>
  <c r="V105" i="4"/>
  <c r="V53" i="5" s="1"/>
  <c r="U105" i="4"/>
  <c r="T105" i="4"/>
  <c r="S105" i="4"/>
  <c r="S53" i="5" s="1"/>
  <c r="R105" i="4"/>
  <c r="Q105" i="4"/>
  <c r="Q53" i="5" s="1"/>
  <c r="P105" i="4"/>
  <c r="O105" i="4"/>
  <c r="J105" i="4"/>
  <c r="H105" i="4"/>
  <c r="G105" i="4"/>
  <c r="E105" i="4"/>
  <c r="D105" i="4"/>
  <c r="C105" i="4"/>
  <c r="B105" i="4"/>
  <c r="AQ104" i="4"/>
  <c r="AP104" i="4"/>
  <c r="AL104" i="4"/>
  <c r="AK104" i="4"/>
  <c r="AJ104" i="4"/>
  <c r="AI104" i="4"/>
  <c r="AH104" i="4"/>
  <c r="AG104" i="4"/>
  <c r="AF104" i="4"/>
  <c r="AE104" i="4"/>
  <c r="AD104" i="4"/>
  <c r="AC104" i="4"/>
  <c r="AB104" i="4"/>
  <c r="AA104" i="4"/>
  <c r="Z104" i="4"/>
  <c r="Y104" i="4"/>
  <c r="X104" i="4"/>
  <c r="W104" i="4"/>
  <c r="V104" i="4"/>
  <c r="U104" i="4"/>
  <c r="T104" i="4"/>
  <c r="O104" i="4"/>
  <c r="M104" i="4"/>
  <c r="I104" i="4"/>
  <c r="F104" i="4"/>
  <c r="E104" i="4"/>
  <c r="E72" i="4" s="1"/>
  <c r="D104" i="4"/>
  <c r="C104" i="4"/>
  <c r="B104" i="4"/>
  <c r="B153" i="4" s="1"/>
  <c r="AQ103" i="4"/>
  <c r="AP103" i="4"/>
  <c r="AO103" i="4"/>
  <c r="AN103" i="4"/>
  <c r="AM103" i="4"/>
  <c r="AL103" i="4"/>
  <c r="AK103" i="4"/>
  <c r="AJ103" i="4"/>
  <c r="AI103" i="4"/>
  <c r="AH103" i="4"/>
  <c r="AF103" i="4"/>
  <c r="AE103" i="4"/>
  <c r="AD103" i="4"/>
  <c r="AC103" i="4"/>
  <c r="AB103" i="4"/>
  <c r="AA103" i="4"/>
  <c r="Z103" i="4"/>
  <c r="Y103" i="4"/>
  <c r="X103" i="4"/>
  <c r="X111" i="4" s="1"/>
  <c r="W103" i="4"/>
  <c r="W111" i="4" s="1"/>
  <c r="V103" i="4"/>
  <c r="U103" i="4"/>
  <c r="T103" i="4"/>
  <c r="S103" i="4"/>
  <c r="R103" i="4"/>
  <c r="Q103" i="4"/>
  <c r="P103" i="4"/>
  <c r="O103" i="4"/>
  <c r="L103" i="4"/>
  <c r="J103" i="4"/>
  <c r="G103" i="4"/>
  <c r="F103" i="4"/>
  <c r="E103" i="4"/>
  <c r="D103" i="4"/>
  <c r="B103" i="4"/>
  <c r="AQ102" i="4"/>
  <c r="AP102" i="4"/>
  <c r="AO102" i="4"/>
  <c r="AN102" i="4"/>
  <c r="AM102" i="4"/>
  <c r="AM111" i="4" s="1"/>
  <c r="AL102" i="4"/>
  <c r="AL111" i="4" s="1"/>
  <c r="AK102" i="4"/>
  <c r="AJ102" i="4"/>
  <c r="AI102" i="4"/>
  <c r="AH102" i="4"/>
  <c r="AG102" i="4"/>
  <c r="AF102" i="4"/>
  <c r="AE102" i="4"/>
  <c r="AD102" i="4"/>
  <c r="AC102" i="4"/>
  <c r="AB102" i="4"/>
  <c r="AA102" i="4"/>
  <c r="AA52" i="5" s="1"/>
  <c r="Z102" i="4"/>
  <c r="Y102" i="4"/>
  <c r="X102" i="4"/>
  <c r="W102" i="4"/>
  <c r="V102" i="4"/>
  <c r="U102" i="4"/>
  <c r="T102" i="4"/>
  <c r="S102" i="4"/>
  <c r="R102" i="4"/>
  <c r="Q102" i="4"/>
  <c r="P102" i="4"/>
  <c r="O102" i="4"/>
  <c r="O52" i="5" s="1"/>
  <c r="N102" i="4"/>
  <c r="M102" i="4"/>
  <c r="L102" i="4"/>
  <c r="J102" i="4"/>
  <c r="I102" i="4"/>
  <c r="H102" i="4"/>
  <c r="G102" i="4"/>
  <c r="D102" i="4"/>
  <c r="C102" i="4"/>
  <c r="B102" i="4"/>
  <c r="AQ101" i="4"/>
  <c r="AP101" i="4"/>
  <c r="AO101" i="4"/>
  <c r="AN101" i="4"/>
  <c r="AM101" i="4"/>
  <c r="AL101" i="4"/>
  <c r="AK101" i="4"/>
  <c r="AJ101" i="4"/>
  <c r="AI101" i="4"/>
  <c r="AH101" i="4"/>
  <c r="AG101" i="4"/>
  <c r="AF101" i="4"/>
  <c r="AE101" i="4"/>
  <c r="AD101" i="4"/>
  <c r="AC101" i="4"/>
  <c r="AB101" i="4"/>
  <c r="AA101" i="4"/>
  <c r="Z101" i="4"/>
  <c r="Y101" i="4"/>
  <c r="X101" i="4"/>
  <c r="W101" i="4"/>
  <c r="V101" i="4"/>
  <c r="U101" i="4"/>
  <c r="T101" i="4"/>
  <c r="S101" i="4"/>
  <c r="R101" i="4"/>
  <c r="Q101" i="4"/>
  <c r="P101" i="4"/>
  <c r="O101" i="4"/>
  <c r="O69" i="4" s="1"/>
  <c r="M101" i="4"/>
  <c r="L101" i="4"/>
  <c r="K101" i="4"/>
  <c r="J101" i="4"/>
  <c r="I101" i="4"/>
  <c r="H101" i="4"/>
  <c r="G101" i="4"/>
  <c r="F101" i="4"/>
  <c r="E101" i="4"/>
  <c r="D101" i="4"/>
  <c r="AQ100" i="4"/>
  <c r="AP100" i="4"/>
  <c r="AO100" i="4"/>
  <c r="AN100" i="4"/>
  <c r="AM100" i="4"/>
  <c r="AL100" i="4"/>
  <c r="AK100" i="4"/>
  <c r="AJ100" i="4"/>
  <c r="AI100" i="4"/>
  <c r="AH100" i="4"/>
  <c r="AG100" i="4"/>
  <c r="AF100" i="4"/>
  <c r="AE100" i="4"/>
  <c r="AD100" i="4"/>
  <c r="AC100" i="4"/>
  <c r="AB100" i="4"/>
  <c r="AA100" i="4"/>
  <c r="Z100" i="4"/>
  <c r="Y100" i="4"/>
  <c r="X100" i="4"/>
  <c r="W100" i="4"/>
  <c r="V100" i="4"/>
  <c r="U100" i="4"/>
  <c r="T100" i="4"/>
  <c r="S100" i="4"/>
  <c r="R100" i="4"/>
  <c r="Q100" i="4"/>
  <c r="P100" i="4"/>
  <c r="O100" i="4"/>
  <c r="M100" i="4"/>
  <c r="L100" i="4"/>
  <c r="K100" i="4"/>
  <c r="J100" i="4"/>
  <c r="I100" i="4"/>
  <c r="H100" i="4"/>
  <c r="F100" i="4"/>
  <c r="D100" i="4"/>
  <c r="C100" i="4"/>
  <c r="AQ99" i="4"/>
  <c r="AP99" i="4"/>
  <c r="AO99" i="4"/>
  <c r="AN99" i="4"/>
  <c r="AM99" i="4"/>
  <c r="AL99" i="4"/>
  <c r="AK99" i="4"/>
  <c r="AJ99" i="4"/>
  <c r="AI99" i="4"/>
  <c r="AH99" i="4"/>
  <c r="AG99" i="4"/>
  <c r="AF99" i="4"/>
  <c r="AE99" i="4"/>
  <c r="AD99" i="4"/>
  <c r="AC99" i="4"/>
  <c r="AB99" i="4"/>
  <c r="AA99" i="4"/>
  <c r="Z99" i="4"/>
  <c r="Y99" i="4"/>
  <c r="X99" i="4"/>
  <c r="W99" i="4"/>
  <c r="V99" i="4"/>
  <c r="U99" i="4"/>
  <c r="T99" i="4"/>
  <c r="T51" i="5" s="1"/>
  <c r="S99" i="4"/>
  <c r="R99" i="4"/>
  <c r="P99" i="4"/>
  <c r="N99" i="4"/>
  <c r="M99" i="4"/>
  <c r="L99" i="4"/>
  <c r="H99" i="4"/>
  <c r="G99" i="4"/>
  <c r="B99" i="4"/>
  <c r="AQ98" i="4"/>
  <c r="AP98" i="4"/>
  <c r="AO98" i="4"/>
  <c r="AN98" i="4"/>
  <c r="AM98" i="4"/>
  <c r="AL98" i="4"/>
  <c r="AK98" i="4"/>
  <c r="AJ98" i="4"/>
  <c r="AI98" i="4"/>
  <c r="AH98" i="4"/>
  <c r="AG98" i="4"/>
  <c r="AF98" i="4"/>
  <c r="AE98" i="4"/>
  <c r="AD98" i="4"/>
  <c r="AC98" i="4"/>
  <c r="AB98" i="4"/>
  <c r="AA98" i="4"/>
  <c r="Z98" i="4"/>
  <c r="Y98" i="4"/>
  <c r="X98" i="4"/>
  <c r="W98" i="4"/>
  <c r="V98" i="4"/>
  <c r="U98" i="4"/>
  <c r="T98" i="4"/>
  <c r="S98" i="4"/>
  <c r="R98" i="4"/>
  <c r="Q98" i="4"/>
  <c r="P98" i="4"/>
  <c r="O98" i="4"/>
  <c r="N98" i="4"/>
  <c r="M98" i="4"/>
  <c r="L98" i="4"/>
  <c r="K98" i="4"/>
  <c r="J98" i="4"/>
  <c r="I98" i="4"/>
  <c r="H98" i="4"/>
  <c r="G98" i="4"/>
  <c r="F98" i="4"/>
  <c r="E98" i="4"/>
  <c r="D98" i="4"/>
  <c r="C98" i="4"/>
  <c r="B98" i="4"/>
  <c r="Q96" i="4"/>
  <c r="M94" i="4"/>
  <c r="M143" i="4" s="1"/>
  <c r="J94" i="4"/>
  <c r="I94" i="4"/>
  <c r="H94" i="4"/>
  <c r="G94" i="4"/>
  <c r="G143" i="4" s="1"/>
  <c r="F94" i="4"/>
  <c r="E94" i="4"/>
  <c r="AW93" i="4"/>
  <c r="P93" i="4"/>
  <c r="P142" i="4" s="1"/>
  <c r="O93" i="4"/>
  <c r="N93" i="4"/>
  <c r="M93" i="4"/>
  <c r="M142" i="4" s="1"/>
  <c r="J93" i="4"/>
  <c r="F93" i="4"/>
  <c r="D93" i="4"/>
  <c r="C93" i="4"/>
  <c r="C77" i="4" s="1"/>
  <c r="AW92" i="4"/>
  <c r="O92" i="4"/>
  <c r="O141" i="4" s="1"/>
  <c r="L92" i="4"/>
  <c r="I92" i="4"/>
  <c r="H92" i="4"/>
  <c r="G92" i="4"/>
  <c r="F92" i="4"/>
  <c r="E92" i="4"/>
  <c r="D92" i="4"/>
  <c r="C92" i="4"/>
  <c r="B92" i="4"/>
  <c r="J91" i="4"/>
  <c r="G91" i="4"/>
  <c r="G140" i="4" s="1"/>
  <c r="F91" i="4"/>
  <c r="D91" i="4"/>
  <c r="B91" i="4"/>
  <c r="B75" i="4" s="1"/>
  <c r="N90" i="4"/>
  <c r="N139" i="4" s="1"/>
  <c r="J90" i="4"/>
  <c r="I90" i="4"/>
  <c r="H90" i="4"/>
  <c r="H139" i="4" s="1"/>
  <c r="G90" i="4"/>
  <c r="F90" i="4"/>
  <c r="E90" i="4"/>
  <c r="E139" i="4" s="1"/>
  <c r="D90" i="4"/>
  <c r="C90" i="4"/>
  <c r="C139" i="4" s="1"/>
  <c r="B90" i="4"/>
  <c r="P89" i="4"/>
  <c r="O89" i="4"/>
  <c r="N89" i="4"/>
  <c r="N138" i="4" s="1"/>
  <c r="M89" i="4"/>
  <c r="L89" i="4"/>
  <c r="K89" i="4"/>
  <c r="J89" i="4"/>
  <c r="I89" i="4"/>
  <c r="H89" i="4"/>
  <c r="G89" i="4"/>
  <c r="F89" i="4"/>
  <c r="E89" i="4"/>
  <c r="C89" i="4"/>
  <c r="B89" i="4"/>
  <c r="N88" i="4"/>
  <c r="M88" i="4"/>
  <c r="L88" i="4"/>
  <c r="K88" i="4"/>
  <c r="J88" i="4"/>
  <c r="I88" i="4"/>
  <c r="H88" i="4"/>
  <c r="G88" i="4"/>
  <c r="G137" i="4" s="1"/>
  <c r="N87" i="4"/>
  <c r="N136" i="4" s="1"/>
  <c r="M87" i="4"/>
  <c r="L87" i="4"/>
  <c r="L136" i="4" s="1"/>
  <c r="K87" i="4"/>
  <c r="J87" i="4"/>
  <c r="I87" i="4"/>
  <c r="H87" i="4"/>
  <c r="G87" i="4"/>
  <c r="E87" i="4"/>
  <c r="B87" i="4"/>
  <c r="J86" i="4"/>
  <c r="I86" i="4"/>
  <c r="H86" i="4"/>
  <c r="G86" i="4"/>
  <c r="F86" i="4"/>
  <c r="E86" i="4"/>
  <c r="D86" i="4"/>
  <c r="C86" i="4"/>
  <c r="C135" i="4" s="1"/>
  <c r="B86" i="4"/>
  <c r="AW85" i="4"/>
  <c r="O85" i="4"/>
  <c r="O134" i="4" s="1"/>
  <c r="K85" i="4"/>
  <c r="J85" i="4"/>
  <c r="J69" i="4" s="1"/>
  <c r="I85" i="4"/>
  <c r="G85" i="4"/>
  <c r="F85" i="4"/>
  <c r="F43" i="5" s="1"/>
  <c r="E85" i="4"/>
  <c r="D85" i="4"/>
  <c r="C85" i="4"/>
  <c r="H84" i="4"/>
  <c r="G84" i="4"/>
  <c r="F84" i="4"/>
  <c r="D84" i="4"/>
  <c r="C84" i="4"/>
  <c r="Q83" i="4"/>
  <c r="F83" i="4"/>
  <c r="B83" i="4"/>
  <c r="AQ82" i="4"/>
  <c r="AP82" i="4"/>
  <c r="AO82" i="4"/>
  <c r="AN82" i="4"/>
  <c r="AM82" i="4"/>
  <c r="AL82" i="4"/>
  <c r="AK82" i="4"/>
  <c r="AJ82" i="4"/>
  <c r="AI82" i="4"/>
  <c r="AH82"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C82" i="4"/>
  <c r="B82" i="4"/>
  <c r="F77" i="4"/>
  <c r="D77" i="4"/>
  <c r="D76" i="4"/>
  <c r="J74" i="4"/>
  <c r="I74" i="4"/>
  <c r="AX73" i="4"/>
  <c r="AW73" i="4"/>
  <c r="P73" i="4"/>
  <c r="O73" i="4"/>
  <c r="C73" i="4"/>
  <c r="B73" i="4"/>
  <c r="I72" i="4"/>
  <c r="G71" i="4"/>
  <c r="E71" i="4"/>
  <c r="J70" i="4"/>
  <c r="AQ66" i="4"/>
  <c r="AP66" i="4"/>
  <c r="AO66" i="4"/>
  <c r="AN66" i="4"/>
  <c r="AM66" i="4"/>
  <c r="AL66" i="4"/>
  <c r="AK66" i="4"/>
  <c r="AJ66" i="4"/>
  <c r="AI66" i="4"/>
  <c r="AH66" i="4"/>
  <c r="AG66" i="4"/>
  <c r="AF66" i="4"/>
  <c r="AE66" i="4"/>
  <c r="AD66" i="4"/>
  <c r="AC66" i="4"/>
  <c r="AB66" i="4"/>
  <c r="AA66" i="4"/>
  <c r="X63" i="4"/>
  <c r="W63" i="4"/>
  <c r="V63" i="4"/>
  <c r="R63" i="4"/>
  <c r="G63" i="4"/>
  <c r="F63" i="4"/>
  <c r="AX62" i="4"/>
  <c r="AW62" i="4"/>
  <c r="AQ62" i="4"/>
  <c r="AP62" i="4"/>
  <c r="AO62" i="4"/>
  <c r="AN62" i="4"/>
  <c r="AM62" i="4"/>
  <c r="AL62" i="4"/>
  <c r="AK62" i="4"/>
  <c r="AJ62" i="4"/>
  <c r="AI62" i="4"/>
  <c r="AH62" i="4"/>
  <c r="AG62" i="4"/>
  <c r="AF62" i="4"/>
  <c r="AE62" i="4"/>
  <c r="AD62" i="4"/>
  <c r="AC62" i="4"/>
  <c r="AB62" i="4"/>
  <c r="AA62" i="4"/>
  <c r="Z62" i="4"/>
  <c r="Y62" i="4"/>
  <c r="X62" i="4"/>
  <c r="W62" i="4"/>
  <c r="V62" i="4"/>
  <c r="U62" i="4"/>
  <c r="T62" i="4"/>
  <c r="S62" i="4"/>
  <c r="R62" i="4"/>
  <c r="Q62" i="4"/>
  <c r="P62" i="4"/>
  <c r="O62" i="4"/>
  <c r="N62" i="4"/>
  <c r="M62" i="4"/>
  <c r="L62" i="4"/>
  <c r="K62" i="4"/>
  <c r="AU62" i="4" s="1"/>
  <c r="J62" i="4"/>
  <c r="J159" i="4" s="1"/>
  <c r="I62" i="4"/>
  <c r="I14" i="4" s="1"/>
  <c r="H62" i="4"/>
  <c r="G62" i="4"/>
  <c r="F62" i="4"/>
  <c r="E62" i="4"/>
  <c r="D62" i="4"/>
  <c r="C62" i="4"/>
  <c r="B62" i="4"/>
  <c r="AX61" i="4"/>
  <c r="AQ61" i="4"/>
  <c r="AP61" i="4"/>
  <c r="AO61" i="4"/>
  <c r="AN61" i="4"/>
  <c r="AM61" i="4"/>
  <c r="AL61" i="4"/>
  <c r="AK61" i="4"/>
  <c r="AJ61" i="4"/>
  <c r="AI61" i="4"/>
  <c r="AH61" i="4"/>
  <c r="AG61" i="4"/>
  <c r="AF61" i="4"/>
  <c r="AE61" i="4"/>
  <c r="AD61" i="4"/>
  <c r="AC61" i="4"/>
  <c r="AB61" i="4"/>
  <c r="AA61" i="4"/>
  <c r="Z61" i="4"/>
  <c r="Y61" i="4"/>
  <c r="X61" i="4"/>
  <c r="W61" i="4"/>
  <c r="V61" i="4"/>
  <c r="U61" i="4"/>
  <c r="T61" i="4"/>
  <c r="S61" i="4"/>
  <c r="R61" i="4"/>
  <c r="Q61" i="4"/>
  <c r="P61" i="4"/>
  <c r="O61" i="4"/>
  <c r="N61" i="4"/>
  <c r="M61" i="4"/>
  <c r="L61" i="4"/>
  <c r="K61" i="4"/>
  <c r="J61" i="4"/>
  <c r="I61" i="4"/>
  <c r="I13" i="4" s="1"/>
  <c r="H61" i="4"/>
  <c r="G61" i="4"/>
  <c r="F61" i="4"/>
  <c r="E61" i="4"/>
  <c r="D61" i="4"/>
  <c r="D158" i="4" s="1"/>
  <c r="C61" i="4"/>
  <c r="C158" i="4" s="1"/>
  <c r="B61" i="4"/>
  <c r="AX60" i="4"/>
  <c r="AQ60" i="4"/>
  <c r="AP60" i="4"/>
  <c r="AO60" i="4"/>
  <c r="AN60" i="4"/>
  <c r="AM60" i="4"/>
  <c r="AL60" i="4"/>
  <c r="AK60" i="4"/>
  <c r="AJ60" i="4"/>
  <c r="AI60" i="4"/>
  <c r="AH60" i="4"/>
  <c r="AG60" i="4"/>
  <c r="AF60" i="4"/>
  <c r="AE60" i="4"/>
  <c r="AD60" i="4"/>
  <c r="AC60" i="4"/>
  <c r="AB60" i="4"/>
  <c r="AA60" i="4"/>
  <c r="Z60" i="4"/>
  <c r="Y60" i="4"/>
  <c r="X60" i="4"/>
  <c r="W60" i="4"/>
  <c r="V60" i="4"/>
  <c r="U60" i="4"/>
  <c r="T60" i="4"/>
  <c r="S60" i="4"/>
  <c r="S30" i="5" s="1"/>
  <c r="R60" i="4"/>
  <c r="R30" i="5" s="1"/>
  <c r="Q60" i="4"/>
  <c r="Q30" i="5" s="1"/>
  <c r="P60" i="4"/>
  <c r="P30" i="5" s="1"/>
  <c r="O60" i="4"/>
  <c r="N60" i="4"/>
  <c r="N30" i="5" s="1"/>
  <c r="M60" i="4"/>
  <c r="L60" i="4"/>
  <c r="L30" i="5" s="1"/>
  <c r="K60" i="4"/>
  <c r="J60" i="4"/>
  <c r="I60" i="4"/>
  <c r="H60" i="4"/>
  <c r="H30" i="5" s="1"/>
  <c r="G60" i="4"/>
  <c r="F60" i="4"/>
  <c r="E60" i="4"/>
  <c r="D60" i="4"/>
  <c r="C60" i="4"/>
  <c r="B60" i="4"/>
  <c r="AQ59" i="4"/>
  <c r="AP59" i="4"/>
  <c r="AO59" i="4"/>
  <c r="AN59" i="4"/>
  <c r="AM59" i="4"/>
  <c r="AL59" i="4"/>
  <c r="AK59" i="4"/>
  <c r="AJ59" i="4"/>
  <c r="AI59" i="4"/>
  <c r="AH59" i="4"/>
  <c r="AG59" i="4"/>
  <c r="AF59" i="4"/>
  <c r="AE59" i="4"/>
  <c r="AD59" i="4"/>
  <c r="AC59" i="4"/>
  <c r="AB59" i="4"/>
  <c r="AA59" i="4"/>
  <c r="Z59" i="4"/>
  <c r="Y59" i="4"/>
  <c r="X59" i="4"/>
  <c r="W59" i="4"/>
  <c r="V59" i="4"/>
  <c r="U59" i="4"/>
  <c r="T59" i="4"/>
  <c r="S59" i="4"/>
  <c r="R59" i="4"/>
  <c r="Q59" i="4"/>
  <c r="P59" i="4"/>
  <c r="O59" i="4"/>
  <c r="N59" i="4"/>
  <c r="N11" i="4" s="1"/>
  <c r="M59" i="4"/>
  <c r="L59" i="4"/>
  <c r="L11" i="4" s="1"/>
  <c r="K59" i="4"/>
  <c r="J59" i="4"/>
  <c r="I59" i="4"/>
  <c r="H59" i="4"/>
  <c r="G59" i="4"/>
  <c r="F59" i="4"/>
  <c r="E59" i="4"/>
  <c r="D59" i="4"/>
  <c r="C59" i="4"/>
  <c r="B59" i="4"/>
  <c r="AQ58" i="4"/>
  <c r="AP58" i="4"/>
  <c r="AO58" i="4"/>
  <c r="AN58" i="4"/>
  <c r="AM58" i="4"/>
  <c r="AL58" i="4"/>
  <c r="AK58" i="4"/>
  <c r="AJ58" i="4"/>
  <c r="AI58" i="4"/>
  <c r="AH58" i="4"/>
  <c r="AG58" i="4"/>
  <c r="AF58" i="4"/>
  <c r="AE58" i="4"/>
  <c r="AD58" i="4"/>
  <c r="AC58" i="4"/>
  <c r="AB58" i="4"/>
  <c r="AA58" i="4"/>
  <c r="Z58" i="4"/>
  <c r="Y58" i="4"/>
  <c r="X58" i="4"/>
  <c r="W58" i="4"/>
  <c r="V58" i="4"/>
  <c r="U58" i="4"/>
  <c r="T58" i="4"/>
  <c r="S58" i="4"/>
  <c r="R58" i="4"/>
  <c r="Q58" i="4"/>
  <c r="P58" i="4"/>
  <c r="O58" i="4"/>
  <c r="N58" i="4"/>
  <c r="M58" i="4"/>
  <c r="L58" i="4"/>
  <c r="K58" i="4"/>
  <c r="J58" i="4"/>
  <c r="I58" i="4"/>
  <c r="H58" i="4"/>
  <c r="G58" i="4"/>
  <c r="F58" i="4"/>
  <c r="E58" i="4"/>
  <c r="E155" i="4" s="1"/>
  <c r="D58" i="4"/>
  <c r="C58" i="4"/>
  <c r="B58" i="4"/>
  <c r="AX57" i="4"/>
  <c r="AW57" i="4"/>
  <c r="AQ57" i="4"/>
  <c r="AP57" i="4"/>
  <c r="AO57" i="4"/>
  <c r="AN57" i="4"/>
  <c r="AM57" i="4"/>
  <c r="AL57" i="4"/>
  <c r="AK57" i="4"/>
  <c r="AJ57" i="4"/>
  <c r="AI57" i="4"/>
  <c r="AH57" i="4"/>
  <c r="AG57" i="4"/>
  <c r="AF57" i="4"/>
  <c r="AE57" i="4"/>
  <c r="AD57" i="4"/>
  <c r="AC57" i="4"/>
  <c r="AB57" i="4"/>
  <c r="AA57" i="4"/>
  <c r="Z57" i="4"/>
  <c r="Z29" i="5" s="1"/>
  <c r="Y57" i="4"/>
  <c r="Y29" i="5" s="1"/>
  <c r="X57" i="4"/>
  <c r="X29" i="5" s="1"/>
  <c r="W57" i="4"/>
  <c r="W29" i="5" s="1"/>
  <c r="V57" i="4"/>
  <c r="V29" i="5" s="1"/>
  <c r="U57" i="4"/>
  <c r="U29" i="5" s="1"/>
  <c r="T57" i="4"/>
  <c r="T29" i="5" s="1"/>
  <c r="S57" i="4"/>
  <c r="S29" i="5" s="1"/>
  <c r="R57" i="4"/>
  <c r="Q57" i="4"/>
  <c r="P57" i="4"/>
  <c r="O57" i="4"/>
  <c r="M57" i="4"/>
  <c r="L57" i="4"/>
  <c r="I57" i="4"/>
  <c r="I29" i="5" s="1"/>
  <c r="H57" i="4"/>
  <c r="H29" i="5" s="1"/>
  <c r="G57" i="4"/>
  <c r="G29" i="5" s="1"/>
  <c r="F57" i="4"/>
  <c r="F29" i="5" s="1"/>
  <c r="E57" i="4"/>
  <c r="D57" i="4"/>
  <c r="D29" i="5" s="1"/>
  <c r="C57" i="4"/>
  <c r="B57" i="4"/>
  <c r="B154" i="4" s="1"/>
  <c r="AY56" i="4"/>
  <c r="AX56" i="4"/>
  <c r="AZ56" i="4" s="1"/>
  <c r="AW56" i="4"/>
  <c r="AV56" i="4"/>
  <c r="AQ56" i="4"/>
  <c r="AP56" i="4"/>
  <c r="AO56" i="4"/>
  <c r="AN56" i="4"/>
  <c r="AM56" i="4"/>
  <c r="AL56" i="4"/>
  <c r="AK56" i="4"/>
  <c r="AJ56" i="4"/>
  <c r="AI56" i="4"/>
  <c r="AH56" i="4"/>
  <c r="AG56" i="4"/>
  <c r="AF56" i="4"/>
  <c r="AE56" i="4"/>
  <c r="AD56" i="4"/>
  <c r="AC56" i="4"/>
  <c r="AB56" i="4"/>
  <c r="AA56" i="4"/>
  <c r="Z56" i="4"/>
  <c r="Y56" i="4"/>
  <c r="X56" i="4"/>
  <c r="W56" i="4"/>
  <c r="V56" i="4"/>
  <c r="U56" i="4"/>
  <c r="T56" i="4"/>
  <c r="S56" i="4"/>
  <c r="R56" i="4"/>
  <c r="Q56" i="4"/>
  <c r="P56" i="4"/>
  <c r="O56" i="4"/>
  <c r="N56" i="4"/>
  <c r="M56" i="4"/>
  <c r="L56" i="4"/>
  <c r="K56" i="4"/>
  <c r="AU56" i="4" s="1"/>
  <c r="J56" i="4"/>
  <c r="I56" i="4"/>
  <c r="H56" i="4"/>
  <c r="G56" i="4"/>
  <c r="F56" i="4"/>
  <c r="E56" i="4"/>
  <c r="D56" i="4"/>
  <c r="D28" i="5" s="1"/>
  <c r="C56" i="4"/>
  <c r="C153" i="4" s="1"/>
  <c r="B56" i="4"/>
  <c r="B28" i="5" s="1"/>
  <c r="AQ55" i="4"/>
  <c r="AP55" i="4"/>
  <c r="AO55" i="4"/>
  <c r="AN55" i="4"/>
  <c r="AM55" i="4"/>
  <c r="AL55" i="4"/>
  <c r="AK55" i="4"/>
  <c r="AJ55" i="4"/>
  <c r="AI55" i="4"/>
  <c r="AH55" i="4"/>
  <c r="AG55" i="4"/>
  <c r="AF55" i="4"/>
  <c r="AE55" i="4"/>
  <c r="AD55" i="4"/>
  <c r="AC55" i="4"/>
  <c r="AB55" i="4"/>
  <c r="AA55" i="4"/>
  <c r="Z55" i="4"/>
  <c r="Y55" i="4"/>
  <c r="X55" i="4"/>
  <c r="W55" i="4"/>
  <c r="V55" i="4"/>
  <c r="U55" i="4"/>
  <c r="T55" i="4"/>
  <c r="S55" i="4"/>
  <c r="R55" i="4"/>
  <c r="Q55" i="4"/>
  <c r="P55" i="4"/>
  <c r="O55" i="4"/>
  <c r="N55" i="4"/>
  <c r="M55" i="4"/>
  <c r="L55" i="4"/>
  <c r="K55" i="4"/>
  <c r="J55" i="4"/>
  <c r="I55" i="4"/>
  <c r="H55" i="4"/>
  <c r="G55" i="4"/>
  <c r="G152" i="4" s="1"/>
  <c r="F55" i="4"/>
  <c r="F28" i="5" s="1"/>
  <c r="E55" i="4"/>
  <c r="D55" i="4"/>
  <c r="C55" i="4"/>
  <c r="B55" i="4"/>
  <c r="AQ54" i="4"/>
  <c r="AP54" i="4"/>
  <c r="AO54" i="4"/>
  <c r="AN54" i="4"/>
  <c r="AM54" i="4"/>
  <c r="AL54" i="4"/>
  <c r="AK54" i="4"/>
  <c r="AJ54" i="4"/>
  <c r="AI54" i="4"/>
  <c r="AH54" i="4"/>
  <c r="AG54" i="4"/>
  <c r="AF54" i="4"/>
  <c r="AE54" i="4"/>
  <c r="AD54" i="4"/>
  <c r="AC54" i="4"/>
  <c r="AB54" i="4"/>
  <c r="AA54" i="4"/>
  <c r="Z54" i="4"/>
  <c r="Z28" i="5" s="1"/>
  <c r="Y54" i="4"/>
  <c r="X54" i="4"/>
  <c r="W54" i="4"/>
  <c r="V54" i="4"/>
  <c r="V28" i="5" s="1"/>
  <c r="U54" i="4"/>
  <c r="U28" i="5" s="1"/>
  <c r="T54" i="4"/>
  <c r="T28" i="5" s="1"/>
  <c r="S54" i="4"/>
  <c r="S28" i="5" s="1"/>
  <c r="R54" i="4"/>
  <c r="Q54" i="4"/>
  <c r="P54" i="4"/>
  <c r="O54" i="4"/>
  <c r="N54" i="4"/>
  <c r="N28" i="5" s="1"/>
  <c r="M54" i="4"/>
  <c r="M28" i="5" s="1"/>
  <c r="L54" i="4"/>
  <c r="L28" i="5" s="1"/>
  <c r="K54" i="4"/>
  <c r="J54" i="4"/>
  <c r="I54" i="4"/>
  <c r="I151" i="4" s="1"/>
  <c r="H54" i="4"/>
  <c r="G54" i="4"/>
  <c r="F54" i="4"/>
  <c r="E54" i="4"/>
  <c r="D54" i="4"/>
  <c r="C54" i="4"/>
  <c r="B54" i="4"/>
  <c r="AQ53" i="4"/>
  <c r="AP53" i="4"/>
  <c r="AO53" i="4"/>
  <c r="AN53" i="4"/>
  <c r="AM53" i="4"/>
  <c r="AL53" i="4"/>
  <c r="AK53" i="4"/>
  <c r="AJ53" i="4"/>
  <c r="AI53" i="4"/>
  <c r="AH53" i="4"/>
  <c r="AG53" i="4"/>
  <c r="AF53" i="4"/>
  <c r="AE53" i="4"/>
  <c r="AD53" i="4"/>
  <c r="AC53" i="4"/>
  <c r="AB53" i="4"/>
  <c r="AA53" i="4"/>
  <c r="Z53" i="4"/>
  <c r="Y53" i="4"/>
  <c r="X53" i="4"/>
  <c r="W53" i="4"/>
  <c r="V53" i="4"/>
  <c r="U53" i="4"/>
  <c r="T53" i="4"/>
  <c r="S53" i="4"/>
  <c r="R53" i="4"/>
  <c r="Q53" i="4"/>
  <c r="P53" i="4"/>
  <c r="AX53" i="4" s="1"/>
  <c r="O53" i="4"/>
  <c r="O5" i="4" s="1"/>
  <c r="N53" i="4"/>
  <c r="N5" i="4" s="1"/>
  <c r="M53" i="4"/>
  <c r="L53" i="4"/>
  <c r="K53" i="4"/>
  <c r="H53" i="4"/>
  <c r="G53" i="4"/>
  <c r="F53" i="4"/>
  <c r="E53" i="4"/>
  <c r="D53" i="4"/>
  <c r="C53" i="4"/>
  <c r="B53" i="4"/>
  <c r="AX52" i="4"/>
  <c r="AW52" i="4"/>
  <c r="AU52" i="4"/>
  <c r="AY52" i="4" s="1"/>
  <c r="AZ52" i="4" s="1"/>
  <c r="AQ52" i="4"/>
  <c r="AP52" i="4"/>
  <c r="AP63" i="4" s="1"/>
  <c r="AO52" i="4"/>
  <c r="AN52" i="4"/>
  <c r="AN63" i="4" s="1"/>
  <c r="AM52" i="4"/>
  <c r="AL52" i="4"/>
  <c r="AK52" i="4"/>
  <c r="AJ52" i="4"/>
  <c r="AI52" i="4"/>
  <c r="AH52" i="4"/>
  <c r="AG52" i="4"/>
  <c r="AF52" i="4"/>
  <c r="AE52" i="4"/>
  <c r="AD52" i="4"/>
  <c r="AC52" i="4"/>
  <c r="AB52" i="4"/>
  <c r="AA52" i="4"/>
  <c r="Z52" i="4"/>
  <c r="Y52" i="4"/>
  <c r="X52" i="4"/>
  <c r="W52" i="4"/>
  <c r="V52" i="4"/>
  <c r="U52" i="4"/>
  <c r="T52" i="4"/>
  <c r="T63" i="4" s="1"/>
  <c r="S52" i="4"/>
  <c r="S63" i="4" s="1"/>
  <c r="R52" i="4"/>
  <c r="Q52" i="4"/>
  <c r="P52" i="4"/>
  <c r="O52" i="4"/>
  <c r="N52" i="4"/>
  <c r="M52" i="4"/>
  <c r="L52" i="4"/>
  <c r="K52" i="4"/>
  <c r="J52" i="4"/>
  <c r="I52" i="4"/>
  <c r="H52" i="4"/>
  <c r="G52" i="4"/>
  <c r="F52" i="4"/>
  <c r="E52" i="4"/>
  <c r="C52" i="4"/>
  <c r="B52" i="4"/>
  <c r="AZ51" i="4"/>
  <c r="AX51" i="4"/>
  <c r="AW51" i="4"/>
  <c r="AV51" i="4"/>
  <c r="AU51" i="4"/>
  <c r="AY51" i="4" s="1"/>
  <c r="AQ51" i="4"/>
  <c r="AQ63" i="4" s="1"/>
  <c r="AP51" i="4"/>
  <c r="AO51" i="4"/>
  <c r="AN51" i="4"/>
  <c r="AM51" i="4"/>
  <c r="AL51" i="4"/>
  <c r="AK51" i="4"/>
  <c r="AJ51" i="4"/>
  <c r="AI51" i="4"/>
  <c r="AH51" i="4"/>
  <c r="AG51" i="4"/>
  <c r="AF51" i="4"/>
  <c r="AE51" i="4"/>
  <c r="AD51" i="4"/>
  <c r="AC51" i="4"/>
  <c r="AC63" i="4" s="1"/>
  <c r="AB51" i="4"/>
  <c r="AB63" i="4" s="1"/>
  <c r="AA51" i="4"/>
  <c r="Z51" i="4"/>
  <c r="Z63" i="4" s="1"/>
  <c r="Y51" i="4"/>
  <c r="Y63" i="4" s="1"/>
  <c r="X51" i="4"/>
  <c r="W51" i="4"/>
  <c r="W27" i="5" s="1"/>
  <c r="V51" i="4"/>
  <c r="V27" i="5" s="1"/>
  <c r="U51" i="4"/>
  <c r="U27" i="5" s="1"/>
  <c r="T51" i="4"/>
  <c r="S51" i="4"/>
  <c r="R51" i="4"/>
  <c r="Q51" i="4"/>
  <c r="P51" i="4"/>
  <c r="O51" i="4"/>
  <c r="N51" i="4"/>
  <c r="M51" i="4"/>
  <c r="L51" i="4"/>
  <c r="L27" i="5" s="1"/>
  <c r="K51" i="4"/>
  <c r="J51" i="4"/>
  <c r="I51" i="4"/>
  <c r="H51" i="4"/>
  <c r="H27" i="5" s="1"/>
  <c r="G51" i="4"/>
  <c r="G27" i="5" s="1"/>
  <c r="F51" i="4"/>
  <c r="E51" i="4"/>
  <c r="D51" i="4"/>
  <c r="C51" i="4"/>
  <c r="B51" i="4"/>
  <c r="AQ50" i="4"/>
  <c r="AP50" i="4"/>
  <c r="AO50" i="4"/>
  <c r="AN50" i="4"/>
  <c r="AM50" i="4"/>
  <c r="AL50" i="4"/>
  <c r="AK50" i="4"/>
  <c r="AJ50" i="4"/>
  <c r="AI50" i="4"/>
  <c r="AH50" i="4"/>
  <c r="AG50" i="4"/>
  <c r="AF50" i="4"/>
  <c r="AE50" i="4"/>
  <c r="AD50" i="4"/>
  <c r="AC50" i="4"/>
  <c r="AB50" i="4"/>
  <c r="AA50" i="4"/>
  <c r="M48" i="4"/>
  <c r="AX46" i="4"/>
  <c r="AW46" i="4"/>
  <c r="AU46" i="4"/>
  <c r="AY46" i="4" s="1"/>
  <c r="AZ46" i="4" s="1"/>
  <c r="AS46" i="4"/>
  <c r="P46" i="4"/>
  <c r="O46" i="4"/>
  <c r="O159" i="4" s="1"/>
  <c r="N46" i="4"/>
  <c r="M46" i="4"/>
  <c r="L46" i="4"/>
  <c r="K46" i="4"/>
  <c r="J46" i="4"/>
  <c r="I46" i="4"/>
  <c r="H46" i="4"/>
  <c r="G46" i="4"/>
  <c r="G14" i="4" s="1"/>
  <c r="F46" i="4"/>
  <c r="F14" i="4" s="1"/>
  <c r="E46" i="4"/>
  <c r="E14" i="4" s="1"/>
  <c r="D46" i="4"/>
  <c r="C46" i="4"/>
  <c r="B46" i="4"/>
  <c r="B159" i="4" s="1"/>
  <c r="P45" i="4"/>
  <c r="O45" i="4"/>
  <c r="N45" i="4"/>
  <c r="M45" i="4"/>
  <c r="L45" i="4"/>
  <c r="K45" i="4"/>
  <c r="J45" i="4"/>
  <c r="I45" i="4"/>
  <c r="H45" i="4"/>
  <c r="G45" i="4"/>
  <c r="F45" i="4"/>
  <c r="E45" i="4"/>
  <c r="D45" i="4"/>
  <c r="C45" i="4"/>
  <c r="B45" i="4"/>
  <c r="P44" i="4"/>
  <c r="O44" i="4"/>
  <c r="L44" i="4"/>
  <c r="K44" i="4"/>
  <c r="J44" i="4"/>
  <c r="I44" i="4"/>
  <c r="H44" i="4"/>
  <c r="G44" i="4"/>
  <c r="G22" i="5" s="1"/>
  <c r="F44" i="4"/>
  <c r="F22" i="5" s="1"/>
  <c r="E44" i="4"/>
  <c r="D44" i="4"/>
  <c r="D22" i="5" s="1"/>
  <c r="C44" i="4"/>
  <c r="C22" i="5" s="1"/>
  <c r="B44" i="4"/>
  <c r="B22" i="5" s="1"/>
  <c r="AY43" i="4"/>
  <c r="AU43" i="4"/>
  <c r="AS43" i="4"/>
  <c r="P43" i="4"/>
  <c r="O43" i="4"/>
  <c r="N43" i="4"/>
  <c r="M43" i="4"/>
  <c r="L43" i="4"/>
  <c r="K43" i="4"/>
  <c r="J43" i="4"/>
  <c r="I43" i="4"/>
  <c r="H43" i="4"/>
  <c r="G43" i="4"/>
  <c r="F43" i="4"/>
  <c r="E43" i="4"/>
  <c r="D43" i="4"/>
  <c r="C43" i="4"/>
  <c r="B43" i="4"/>
  <c r="AX42" i="4"/>
  <c r="AS42" i="4"/>
  <c r="P42" i="4"/>
  <c r="N42" i="4"/>
  <c r="M42" i="4"/>
  <c r="M155" i="4" s="1"/>
  <c r="L42" i="4"/>
  <c r="K42" i="4"/>
  <c r="J42" i="4"/>
  <c r="I42" i="4"/>
  <c r="H42" i="4"/>
  <c r="G42" i="4"/>
  <c r="F42" i="4"/>
  <c r="F155" i="4" s="1"/>
  <c r="E42" i="4"/>
  <c r="D42" i="4"/>
  <c r="D10" i="4" s="1"/>
  <c r="C42" i="4"/>
  <c r="B42" i="4"/>
  <c r="AX41" i="4"/>
  <c r="P41" i="4"/>
  <c r="O41" i="4"/>
  <c r="AW41" i="4" s="1"/>
  <c r="N41" i="4"/>
  <c r="M41" i="4"/>
  <c r="M21" i="5" s="1"/>
  <c r="L41" i="4"/>
  <c r="K41" i="4"/>
  <c r="J41" i="4"/>
  <c r="J154" i="4" s="1"/>
  <c r="I41" i="4"/>
  <c r="H41" i="4"/>
  <c r="G41" i="4"/>
  <c r="G21" i="5" s="1"/>
  <c r="F41" i="4"/>
  <c r="E41" i="4"/>
  <c r="E154" i="4" s="1"/>
  <c r="D41" i="4"/>
  <c r="C41" i="4"/>
  <c r="B41" i="4"/>
  <c r="B21" i="5" s="1"/>
  <c r="P40" i="4"/>
  <c r="P8" i="4" s="1"/>
  <c r="O40" i="4"/>
  <c r="O153" i="4" s="1"/>
  <c r="N40" i="4"/>
  <c r="M40" i="4"/>
  <c r="L40" i="4"/>
  <c r="K40" i="4"/>
  <c r="J40" i="4"/>
  <c r="I40" i="4"/>
  <c r="H40" i="4"/>
  <c r="G40" i="4"/>
  <c r="F40" i="4"/>
  <c r="E40" i="4"/>
  <c r="D40" i="4"/>
  <c r="C40" i="4"/>
  <c r="B40" i="4"/>
  <c r="P39" i="4"/>
  <c r="O39" i="4"/>
  <c r="N39" i="4"/>
  <c r="M39" i="4"/>
  <c r="L39" i="4"/>
  <c r="K39" i="4"/>
  <c r="H39" i="4"/>
  <c r="E39" i="4"/>
  <c r="D39" i="4"/>
  <c r="C39" i="4"/>
  <c r="B39" i="4"/>
  <c r="B7" i="4" s="1"/>
  <c r="AX38" i="4"/>
  <c r="AW38" i="4"/>
  <c r="AU38" i="4"/>
  <c r="AY38" i="4" s="1"/>
  <c r="AZ38" i="4" s="1"/>
  <c r="AS38" i="4"/>
  <c r="P38" i="4"/>
  <c r="O38" i="4"/>
  <c r="N38" i="4"/>
  <c r="N151" i="4" s="1"/>
  <c r="M38" i="4"/>
  <c r="M151" i="4" s="1"/>
  <c r="L38" i="4"/>
  <c r="L151" i="4" s="1"/>
  <c r="K38" i="4"/>
  <c r="J38" i="4"/>
  <c r="I38" i="4"/>
  <c r="H38" i="4"/>
  <c r="H151" i="4" s="1"/>
  <c r="G38" i="4"/>
  <c r="F38" i="4"/>
  <c r="E38" i="4"/>
  <c r="D38" i="4"/>
  <c r="C38" i="4"/>
  <c r="B38" i="4"/>
  <c r="B20" i="5" s="1"/>
  <c r="AX37" i="4"/>
  <c r="AZ37" i="4" s="1"/>
  <c r="AW37" i="4"/>
  <c r="AU37" i="4"/>
  <c r="AY37" i="4" s="1"/>
  <c r="Q37" i="4"/>
  <c r="Q150" i="4" s="1"/>
  <c r="P37" i="4"/>
  <c r="P150" i="4" s="1"/>
  <c r="O37" i="4"/>
  <c r="N37" i="4"/>
  <c r="M37" i="4"/>
  <c r="L37" i="4"/>
  <c r="L150" i="4" s="1"/>
  <c r="K37" i="4"/>
  <c r="K150" i="4" s="1"/>
  <c r="J37" i="4"/>
  <c r="I37" i="4"/>
  <c r="H37" i="4"/>
  <c r="H150" i="4" s="1"/>
  <c r="G37" i="4"/>
  <c r="F37" i="4"/>
  <c r="E37" i="4"/>
  <c r="E47" i="4" s="1"/>
  <c r="D37" i="4"/>
  <c r="D5" i="4" s="1"/>
  <c r="C37" i="4"/>
  <c r="B37" i="4"/>
  <c r="B47" i="4" s="1"/>
  <c r="Q36" i="4"/>
  <c r="P36" i="4"/>
  <c r="O36" i="4"/>
  <c r="N36" i="4"/>
  <c r="M36" i="4"/>
  <c r="L36" i="4"/>
  <c r="K36" i="4"/>
  <c r="J36" i="4"/>
  <c r="J4" i="4" s="1"/>
  <c r="I36" i="4"/>
  <c r="H36" i="4"/>
  <c r="H149" i="4" s="1"/>
  <c r="G36" i="4"/>
  <c r="F36" i="4"/>
  <c r="E36" i="4"/>
  <c r="D36" i="4"/>
  <c r="C36" i="4"/>
  <c r="B36" i="4"/>
  <c r="Q35" i="4"/>
  <c r="Q19" i="5" s="1"/>
  <c r="P35" i="4"/>
  <c r="O35" i="4"/>
  <c r="N35" i="4"/>
  <c r="M35" i="4"/>
  <c r="L35" i="4"/>
  <c r="K35" i="4"/>
  <c r="J35" i="4"/>
  <c r="I35" i="4"/>
  <c r="H35" i="4"/>
  <c r="G35" i="4"/>
  <c r="F35" i="4"/>
  <c r="E35" i="4"/>
  <c r="D35" i="4"/>
  <c r="C35" i="4"/>
  <c r="B35" i="4"/>
  <c r="AQ34" i="4"/>
  <c r="AP34" i="4"/>
  <c r="AO34" i="4"/>
  <c r="AN34" i="4"/>
  <c r="AM34" i="4"/>
  <c r="AL34" i="4"/>
  <c r="AK34" i="4"/>
  <c r="AJ34" i="4"/>
  <c r="AI34" i="4"/>
  <c r="AH34" i="4"/>
  <c r="AG34" i="4"/>
  <c r="AF34" i="4"/>
  <c r="AE34" i="4"/>
  <c r="AD34" i="4"/>
  <c r="AC34" i="4"/>
  <c r="AB34" i="4"/>
  <c r="AA34" i="4"/>
  <c r="AS30" i="4"/>
  <c r="P30" i="4"/>
  <c r="O30" i="4"/>
  <c r="N30" i="4"/>
  <c r="N14" i="4" s="1"/>
  <c r="M30" i="4"/>
  <c r="L30" i="4"/>
  <c r="L14" i="4" s="1"/>
  <c r="K30" i="4"/>
  <c r="J30" i="4"/>
  <c r="I30" i="4"/>
  <c r="H30" i="4"/>
  <c r="G30" i="4"/>
  <c r="F30" i="4"/>
  <c r="E30" i="4"/>
  <c r="D30" i="4"/>
  <c r="B30" i="4"/>
  <c r="B14" i="4" s="1"/>
  <c r="AY29" i="4"/>
  <c r="AW29" i="4"/>
  <c r="AV29" i="4"/>
  <c r="AU29" i="4"/>
  <c r="AS29" i="4"/>
  <c r="P29" i="4"/>
  <c r="AX29" i="4" s="1"/>
  <c r="AZ29" i="4" s="1"/>
  <c r="O29" i="4"/>
  <c r="N29" i="4"/>
  <c r="M29" i="4"/>
  <c r="L29" i="4"/>
  <c r="K29" i="4"/>
  <c r="J29" i="4"/>
  <c r="I29" i="4"/>
  <c r="H29" i="4"/>
  <c r="G29" i="4"/>
  <c r="G13" i="4" s="1"/>
  <c r="F29" i="4"/>
  <c r="E29" i="4"/>
  <c r="D29" i="4"/>
  <c r="C29" i="4"/>
  <c r="C13" i="4" s="1"/>
  <c r="B29" i="4"/>
  <c r="B13" i="4" s="1"/>
  <c r="AZ28" i="4"/>
  <c r="AY28" i="4"/>
  <c r="AX28" i="4"/>
  <c r="AW28" i="4"/>
  <c r="AU28" i="4"/>
  <c r="AV28" i="4" s="1"/>
  <c r="AS28" i="4"/>
  <c r="P28" i="4"/>
  <c r="O28" i="4"/>
  <c r="N28" i="4"/>
  <c r="M28" i="4"/>
  <c r="L28" i="4"/>
  <c r="K28" i="4"/>
  <c r="J28" i="4"/>
  <c r="I28" i="4"/>
  <c r="H28" i="4"/>
  <c r="G28" i="4"/>
  <c r="G12" i="4" s="1"/>
  <c r="F28" i="4"/>
  <c r="F12" i="4" s="1"/>
  <c r="E28" i="4"/>
  <c r="E12" i="4" s="1"/>
  <c r="D28" i="4"/>
  <c r="C28" i="4"/>
  <c r="B28" i="4"/>
  <c r="P27" i="4"/>
  <c r="O27" i="4"/>
  <c r="N27" i="4"/>
  <c r="M27" i="4"/>
  <c r="AS27" i="4" s="1"/>
  <c r="L27" i="4"/>
  <c r="K27" i="4"/>
  <c r="J27" i="4"/>
  <c r="I27" i="4"/>
  <c r="I11" i="4" s="1"/>
  <c r="H27" i="4"/>
  <c r="H11" i="4" s="1"/>
  <c r="G27" i="4"/>
  <c r="G11" i="4" s="1"/>
  <c r="F27" i="4"/>
  <c r="F11" i="4" s="1"/>
  <c r="E27" i="4"/>
  <c r="E11" i="4" s="1"/>
  <c r="D27" i="4"/>
  <c r="C27" i="4"/>
  <c r="B27" i="4"/>
  <c r="AS26" i="4"/>
  <c r="P26" i="4"/>
  <c r="O26" i="4"/>
  <c r="N26" i="4"/>
  <c r="M26" i="4"/>
  <c r="M32" i="4" s="1"/>
  <c r="L26" i="4"/>
  <c r="K26" i="4"/>
  <c r="J26" i="4"/>
  <c r="J139" i="4" s="1"/>
  <c r="I26" i="4"/>
  <c r="H26" i="4"/>
  <c r="G26" i="4"/>
  <c r="F26" i="4"/>
  <c r="E26" i="4"/>
  <c r="D26" i="4"/>
  <c r="C26" i="4"/>
  <c r="B26" i="4"/>
  <c r="AY25" i="4"/>
  <c r="AU25" i="4"/>
  <c r="AS25" i="4"/>
  <c r="P25" i="4"/>
  <c r="O25" i="4"/>
  <c r="N25" i="4"/>
  <c r="M25" i="4"/>
  <c r="L25" i="4"/>
  <c r="K25" i="4"/>
  <c r="J25" i="4"/>
  <c r="I25" i="4"/>
  <c r="H25" i="4"/>
  <c r="G25" i="4"/>
  <c r="F25" i="4"/>
  <c r="E25" i="4"/>
  <c r="E9" i="4" s="1"/>
  <c r="D25" i="4"/>
  <c r="C25" i="4"/>
  <c r="C9" i="4" s="1"/>
  <c r="B25" i="4"/>
  <c r="AY24" i="4"/>
  <c r="AZ24" i="4" s="1"/>
  <c r="AX24" i="4"/>
  <c r="AW24" i="4"/>
  <c r="AV24" i="4"/>
  <c r="AU24" i="4"/>
  <c r="AS24" i="4"/>
  <c r="P24" i="4"/>
  <c r="O24" i="4"/>
  <c r="N24" i="4"/>
  <c r="M24" i="4"/>
  <c r="L24" i="4"/>
  <c r="K24" i="4"/>
  <c r="J24" i="4"/>
  <c r="J8" i="4" s="1"/>
  <c r="I24" i="4"/>
  <c r="I8" i="4" s="1"/>
  <c r="H24" i="4"/>
  <c r="H137" i="4" s="1"/>
  <c r="G24" i="4"/>
  <c r="F24" i="4"/>
  <c r="E24" i="4"/>
  <c r="D24" i="4"/>
  <c r="D8" i="4" s="1"/>
  <c r="C24" i="4"/>
  <c r="B24" i="4"/>
  <c r="AY23" i="4"/>
  <c r="AZ23" i="4" s="1"/>
  <c r="AX23" i="4"/>
  <c r="AW23" i="4"/>
  <c r="P23" i="4"/>
  <c r="O23" i="4"/>
  <c r="N23" i="4"/>
  <c r="M23" i="4"/>
  <c r="M7" i="4" s="1"/>
  <c r="L23" i="4"/>
  <c r="K23" i="4"/>
  <c r="AU23" i="4" s="1"/>
  <c r="AV23" i="4" s="1"/>
  <c r="J23" i="4"/>
  <c r="J136" i="4" s="1"/>
  <c r="I23" i="4"/>
  <c r="H23" i="4"/>
  <c r="G23" i="4"/>
  <c r="G7" i="4" s="1"/>
  <c r="F23" i="4"/>
  <c r="E23" i="4"/>
  <c r="D23" i="4"/>
  <c r="C23" i="4"/>
  <c r="C7" i="4" s="1"/>
  <c r="B23" i="4"/>
  <c r="P22" i="4"/>
  <c r="O22" i="4"/>
  <c r="N22" i="4"/>
  <c r="M22" i="4"/>
  <c r="AS22" i="4" s="1"/>
  <c r="L22" i="4"/>
  <c r="L14" i="5" s="1"/>
  <c r="K22" i="4"/>
  <c r="J22" i="4"/>
  <c r="I22" i="4"/>
  <c r="H22" i="4"/>
  <c r="G22" i="4"/>
  <c r="F22" i="4"/>
  <c r="E22" i="4"/>
  <c r="D22" i="4"/>
  <c r="C22" i="4"/>
  <c r="B22" i="4"/>
  <c r="Q21" i="4"/>
  <c r="P21" i="4"/>
  <c r="AW21" i="4" s="1"/>
  <c r="O21" i="4"/>
  <c r="N21" i="4"/>
  <c r="N31" i="4" s="1"/>
  <c r="M21" i="4"/>
  <c r="L21" i="4"/>
  <c r="K21" i="4"/>
  <c r="J21" i="4"/>
  <c r="I21" i="4"/>
  <c r="H21" i="4"/>
  <c r="G21" i="4"/>
  <c r="G13" i="5" s="1"/>
  <c r="F21" i="4"/>
  <c r="E21" i="4"/>
  <c r="D21" i="4"/>
  <c r="C21" i="4"/>
  <c r="B21" i="4"/>
  <c r="AX20" i="4"/>
  <c r="Q20" i="4"/>
  <c r="P20" i="4"/>
  <c r="O20" i="4"/>
  <c r="AW20" i="4" s="1"/>
  <c r="N20" i="4"/>
  <c r="M20" i="4"/>
  <c r="L20" i="4"/>
  <c r="K20" i="4"/>
  <c r="J20" i="4"/>
  <c r="I20" i="4"/>
  <c r="H20" i="4"/>
  <c r="G20" i="4"/>
  <c r="F20" i="4"/>
  <c r="F12" i="5" s="1"/>
  <c r="E20" i="4"/>
  <c r="E12" i="5" s="1"/>
  <c r="D20" i="4"/>
  <c r="D12" i="5" s="1"/>
  <c r="C20" i="4"/>
  <c r="B20" i="4"/>
  <c r="AX19" i="4"/>
  <c r="AW19" i="4"/>
  <c r="AS19" i="4"/>
  <c r="Q19" i="4"/>
  <c r="P19" i="4"/>
  <c r="P31" i="4" s="1"/>
  <c r="O19" i="4"/>
  <c r="N19" i="4"/>
  <c r="M19" i="4"/>
  <c r="L19" i="4"/>
  <c r="AU19" i="4" s="1"/>
  <c r="K19" i="4"/>
  <c r="J19" i="4"/>
  <c r="I19" i="4"/>
  <c r="H19" i="4"/>
  <c r="H11" i="5" s="1"/>
  <c r="G19" i="4"/>
  <c r="G11" i="5" s="1"/>
  <c r="F19" i="4"/>
  <c r="E19" i="4"/>
  <c r="D19" i="4"/>
  <c r="C19" i="4"/>
  <c r="B19" i="4"/>
  <c r="AQ18" i="4"/>
  <c r="AP18" i="4"/>
  <c r="AO18" i="4"/>
  <c r="AN18" i="4"/>
  <c r="AM18" i="4"/>
  <c r="AL18" i="4"/>
  <c r="AK18" i="4"/>
  <c r="AJ18" i="4"/>
  <c r="AI18" i="4"/>
  <c r="AH18" i="4"/>
  <c r="AG18" i="4"/>
  <c r="AF18" i="4"/>
  <c r="AE18" i="4"/>
  <c r="AD18" i="4"/>
  <c r="AC18" i="4"/>
  <c r="AB18" i="4"/>
  <c r="AA18" i="4"/>
  <c r="P14" i="4"/>
  <c r="O14" i="4"/>
  <c r="M14" i="4"/>
  <c r="D14" i="4"/>
  <c r="N13" i="4"/>
  <c r="M13" i="4"/>
  <c r="L13" i="4"/>
  <c r="K13" i="4"/>
  <c r="J13" i="4"/>
  <c r="E13" i="4"/>
  <c r="D13" i="4"/>
  <c r="P12" i="4"/>
  <c r="D12" i="4"/>
  <c r="C12" i="4"/>
  <c r="B12" i="4"/>
  <c r="P11" i="4"/>
  <c r="J11" i="4"/>
  <c r="B11" i="4"/>
  <c r="N10" i="4"/>
  <c r="M10" i="4"/>
  <c r="L10" i="4"/>
  <c r="G10" i="4"/>
  <c r="F10" i="4"/>
  <c r="B10" i="4"/>
  <c r="O9" i="4"/>
  <c r="AS9" i="4" s="1"/>
  <c r="L9" i="4"/>
  <c r="I9" i="4"/>
  <c r="H9" i="4"/>
  <c r="G9" i="4"/>
  <c r="F9" i="4"/>
  <c r="O8" i="4"/>
  <c r="N8" i="4"/>
  <c r="M8" i="4"/>
  <c r="H8" i="4"/>
  <c r="G8" i="4"/>
  <c r="F8" i="4"/>
  <c r="E8" i="4"/>
  <c r="N7" i="4"/>
  <c r="L7" i="4"/>
  <c r="H7" i="4"/>
  <c r="D7" i="4"/>
  <c r="P6" i="4"/>
  <c r="O6" i="4"/>
  <c r="N6" i="4"/>
  <c r="N4" i="5" s="1"/>
  <c r="L6" i="4"/>
  <c r="K6" i="4"/>
  <c r="J6" i="4"/>
  <c r="I6" i="4"/>
  <c r="E6" i="4"/>
  <c r="C6" i="4"/>
  <c r="B6" i="4"/>
  <c r="L5" i="4"/>
  <c r="K5" i="4"/>
  <c r="J5" i="4"/>
  <c r="H5" i="4"/>
  <c r="G5" i="4"/>
  <c r="F5" i="4"/>
  <c r="E5" i="4"/>
  <c r="P4" i="4"/>
  <c r="N4" i="4"/>
  <c r="M4" i="4"/>
  <c r="E4" i="4"/>
  <c r="C4" i="4"/>
  <c r="AS3" i="4"/>
  <c r="O3" i="4"/>
  <c r="M3" i="4"/>
  <c r="L3" i="4"/>
  <c r="K3" i="4"/>
  <c r="J3" i="4"/>
  <c r="I3" i="4"/>
  <c r="H3" i="4"/>
  <c r="G3" i="4"/>
  <c r="F3" i="4"/>
  <c r="E3" i="4"/>
  <c r="D3" i="4"/>
  <c r="Z488" i="3"/>
  <c r="Y488" i="3"/>
  <c r="X488" i="3"/>
  <c r="W488" i="3"/>
  <c r="V488" i="3"/>
  <c r="U488" i="3"/>
  <c r="T488" i="3"/>
  <c r="S488" i="3"/>
  <c r="R488" i="3"/>
  <c r="Q488" i="3"/>
  <c r="P488" i="3"/>
  <c r="O488" i="3"/>
  <c r="N488" i="3"/>
  <c r="M488" i="3"/>
  <c r="L488" i="3"/>
  <c r="K488" i="3"/>
  <c r="J488" i="3"/>
  <c r="I488" i="3"/>
  <c r="H488" i="3"/>
  <c r="G488" i="3"/>
  <c r="F488" i="3"/>
  <c r="E488" i="3"/>
  <c r="D488" i="3"/>
  <c r="C488" i="3"/>
  <c r="B488" i="3"/>
  <c r="Z472" i="3"/>
  <c r="Y472" i="3"/>
  <c r="X472" i="3"/>
  <c r="W472" i="3"/>
  <c r="V472" i="3"/>
  <c r="U472" i="3"/>
  <c r="T472" i="3"/>
  <c r="S472" i="3"/>
  <c r="R472" i="3"/>
  <c r="Q472" i="3"/>
  <c r="P472" i="3"/>
  <c r="O472" i="3"/>
  <c r="N472" i="3"/>
  <c r="M472" i="3"/>
  <c r="L472" i="3"/>
  <c r="K472" i="3"/>
  <c r="J472" i="3"/>
  <c r="I472" i="3"/>
  <c r="H472" i="3"/>
  <c r="G472" i="3"/>
  <c r="F472" i="3"/>
  <c r="E472" i="3"/>
  <c r="D472" i="3"/>
  <c r="C472" i="3"/>
  <c r="B472" i="3"/>
  <c r="Z456" i="3"/>
  <c r="Y456" i="3"/>
  <c r="X456" i="3"/>
  <c r="W456" i="3"/>
  <c r="V456" i="3"/>
  <c r="U456" i="3"/>
  <c r="T456" i="3"/>
  <c r="S456" i="3"/>
  <c r="R456" i="3"/>
  <c r="Q456" i="3"/>
  <c r="P456" i="3"/>
  <c r="O456" i="3"/>
  <c r="N456" i="3"/>
  <c r="M456" i="3"/>
  <c r="L456" i="3"/>
  <c r="K456" i="3"/>
  <c r="J456" i="3"/>
  <c r="I456" i="3"/>
  <c r="H456" i="3"/>
  <c r="G456" i="3"/>
  <c r="F456" i="3"/>
  <c r="E456" i="3"/>
  <c r="D456" i="3"/>
  <c r="C456" i="3"/>
  <c r="B456" i="3"/>
  <c r="Z439" i="3"/>
  <c r="Y439" i="3"/>
  <c r="X439" i="3"/>
  <c r="W439" i="3"/>
  <c r="V439" i="3"/>
  <c r="U439" i="3"/>
  <c r="T439" i="3"/>
  <c r="S439" i="3"/>
  <c r="R439" i="3"/>
  <c r="Q439" i="3"/>
  <c r="P439" i="3"/>
  <c r="O439" i="3"/>
  <c r="N439" i="3"/>
  <c r="M439" i="3"/>
  <c r="L439" i="3"/>
  <c r="K439" i="3"/>
  <c r="J439" i="3"/>
  <c r="I439" i="3"/>
  <c r="H439" i="3"/>
  <c r="G439" i="3"/>
  <c r="F439" i="3"/>
  <c r="E439" i="3"/>
  <c r="D439" i="3"/>
  <c r="C439" i="3"/>
  <c r="B439" i="3"/>
  <c r="Z423" i="3"/>
  <c r="Y423" i="3"/>
  <c r="X423" i="3"/>
  <c r="W423" i="3"/>
  <c r="V423" i="3"/>
  <c r="U423" i="3"/>
  <c r="T423" i="3"/>
  <c r="S423" i="3"/>
  <c r="R423" i="3"/>
  <c r="Q423" i="3"/>
  <c r="P423" i="3"/>
  <c r="O423" i="3"/>
  <c r="N423" i="3"/>
  <c r="M423" i="3"/>
  <c r="L423" i="3"/>
  <c r="K423" i="3"/>
  <c r="J423" i="3"/>
  <c r="I423" i="3"/>
  <c r="H423" i="3"/>
  <c r="G423" i="3"/>
  <c r="F423" i="3"/>
  <c r="E423" i="3"/>
  <c r="D423" i="3"/>
  <c r="C423" i="3"/>
  <c r="B423" i="3"/>
  <c r="Z407" i="3"/>
  <c r="Y407" i="3"/>
  <c r="X407" i="3"/>
  <c r="W407" i="3"/>
  <c r="V407" i="3"/>
  <c r="U407" i="3"/>
  <c r="T407" i="3"/>
  <c r="S407" i="3"/>
  <c r="R407" i="3"/>
  <c r="Q407" i="3"/>
  <c r="P407" i="3"/>
  <c r="O407" i="3"/>
  <c r="N407" i="3"/>
  <c r="M407" i="3"/>
  <c r="L407" i="3"/>
  <c r="K407" i="3"/>
  <c r="J407" i="3"/>
  <c r="I407" i="3"/>
  <c r="H407" i="3"/>
  <c r="G407" i="3"/>
  <c r="F407" i="3"/>
  <c r="E407" i="3"/>
  <c r="D407" i="3"/>
  <c r="C407" i="3"/>
  <c r="J401" i="3"/>
  <c r="C401" i="3"/>
  <c r="J400" i="3"/>
  <c r="I400" i="3"/>
  <c r="H400" i="3"/>
  <c r="G400" i="3"/>
  <c r="F400" i="3"/>
  <c r="E400" i="3"/>
  <c r="D400" i="3"/>
  <c r="B400" i="3"/>
  <c r="J399" i="3"/>
  <c r="I399" i="3"/>
  <c r="G399" i="3"/>
  <c r="D399" i="3"/>
  <c r="C399" i="3"/>
  <c r="H397" i="3"/>
  <c r="E397" i="3"/>
  <c r="D397" i="3"/>
  <c r="J396" i="3"/>
  <c r="I396" i="3"/>
  <c r="H396" i="3"/>
  <c r="F396" i="3"/>
  <c r="E396" i="3"/>
  <c r="D396" i="3"/>
  <c r="C396" i="3"/>
  <c r="I394" i="3"/>
  <c r="G394" i="3"/>
  <c r="E394" i="3"/>
  <c r="D394" i="3"/>
  <c r="C394" i="3"/>
  <c r="B394" i="3"/>
  <c r="C393" i="3"/>
  <c r="B393" i="3"/>
  <c r="J392" i="3"/>
  <c r="I392" i="3"/>
  <c r="F392" i="3"/>
  <c r="D392" i="3"/>
  <c r="C392" i="3"/>
  <c r="B392" i="3"/>
  <c r="Z390" i="3"/>
  <c r="Y390" i="3"/>
  <c r="X390" i="3"/>
  <c r="W390" i="3"/>
  <c r="V390" i="3"/>
  <c r="U390" i="3"/>
  <c r="T390" i="3"/>
  <c r="S390" i="3"/>
  <c r="R390" i="3"/>
  <c r="Q390" i="3"/>
  <c r="P390" i="3"/>
  <c r="O390" i="3"/>
  <c r="N390" i="3"/>
  <c r="M390" i="3"/>
  <c r="L390" i="3"/>
  <c r="K390" i="3"/>
  <c r="J390" i="3"/>
  <c r="I390" i="3"/>
  <c r="H390" i="3"/>
  <c r="G390" i="3"/>
  <c r="F390" i="3"/>
  <c r="E390" i="3"/>
  <c r="D390" i="3"/>
  <c r="C390" i="3"/>
  <c r="B390" i="3"/>
  <c r="B407" i="3" s="1"/>
  <c r="Z375" i="3"/>
  <c r="Y375" i="3"/>
  <c r="X375" i="3"/>
  <c r="W375" i="3"/>
  <c r="V375" i="3"/>
  <c r="U375" i="3"/>
  <c r="T375" i="3"/>
  <c r="S375" i="3"/>
  <c r="R375" i="3"/>
  <c r="Q375" i="3"/>
  <c r="P375" i="3"/>
  <c r="O375" i="3"/>
  <c r="N375" i="3"/>
  <c r="M375" i="3"/>
  <c r="L375" i="3"/>
  <c r="K375" i="3"/>
  <c r="J375" i="3"/>
  <c r="I375" i="3"/>
  <c r="H375" i="3"/>
  <c r="G375" i="3"/>
  <c r="F375" i="3"/>
  <c r="E375" i="3"/>
  <c r="D375" i="3"/>
  <c r="C375" i="3"/>
  <c r="B375" i="3"/>
  <c r="Z359" i="3"/>
  <c r="Y359" i="3"/>
  <c r="X359" i="3"/>
  <c r="W359" i="3"/>
  <c r="S359" i="3"/>
  <c r="Q359" i="3"/>
  <c r="E359" i="3"/>
  <c r="D359" i="3"/>
  <c r="Z343" i="3"/>
  <c r="Y343" i="3"/>
  <c r="X343" i="3"/>
  <c r="W343" i="3"/>
  <c r="V343" i="3"/>
  <c r="S343" i="3"/>
  <c r="E343" i="3"/>
  <c r="D343" i="3"/>
  <c r="C343" i="3"/>
  <c r="B343" i="3"/>
  <c r="O339" i="3"/>
  <c r="N339" i="3"/>
  <c r="Z327" i="3"/>
  <c r="Y327" i="3"/>
  <c r="X327" i="3"/>
  <c r="W327" i="3"/>
  <c r="V327" i="3"/>
  <c r="V359" i="3" s="1"/>
  <c r="U327" i="3"/>
  <c r="U343" i="3" s="1"/>
  <c r="T327" i="3"/>
  <c r="T343" i="3" s="1"/>
  <c r="S327" i="3"/>
  <c r="R327" i="3"/>
  <c r="R343" i="3" s="1"/>
  <c r="Q327" i="3"/>
  <c r="Q343" i="3" s="1"/>
  <c r="P327" i="3"/>
  <c r="O327" i="3"/>
  <c r="N327" i="3"/>
  <c r="M327" i="3"/>
  <c r="L327" i="3"/>
  <c r="K327" i="3"/>
  <c r="J327" i="3"/>
  <c r="I327" i="3"/>
  <c r="I343" i="3" s="1"/>
  <c r="H327" i="3"/>
  <c r="G327" i="3"/>
  <c r="G343" i="3" s="1"/>
  <c r="F327" i="3"/>
  <c r="E327" i="3"/>
  <c r="D327" i="3"/>
  <c r="C327" i="3"/>
  <c r="B327" i="3"/>
  <c r="Z309" i="3"/>
  <c r="Y309" i="3"/>
  <c r="X309" i="3"/>
  <c r="W309" i="3"/>
  <c r="V309" i="3"/>
  <c r="U309" i="3"/>
  <c r="T309" i="3"/>
  <c r="S309" i="3"/>
  <c r="R309" i="3"/>
  <c r="Q309" i="3"/>
  <c r="P309" i="3"/>
  <c r="O309" i="3"/>
  <c r="N309" i="3"/>
  <c r="M309" i="3"/>
  <c r="L309" i="3"/>
  <c r="K309" i="3"/>
  <c r="J309" i="3"/>
  <c r="I309" i="3"/>
  <c r="H309" i="3"/>
  <c r="G309" i="3"/>
  <c r="F309" i="3"/>
  <c r="E309" i="3"/>
  <c r="D309" i="3"/>
  <c r="C309" i="3"/>
  <c r="B309" i="3"/>
  <c r="P303" i="3"/>
  <c r="O303" i="3"/>
  <c r="N303" i="3"/>
  <c r="M303" i="3"/>
  <c r="L303" i="3"/>
  <c r="K303" i="3"/>
  <c r="J303" i="3"/>
  <c r="P302" i="3"/>
  <c r="M302" i="3"/>
  <c r="P301" i="3"/>
  <c r="J299" i="3"/>
  <c r="I299" i="3"/>
  <c r="H299" i="3"/>
  <c r="G299" i="3"/>
  <c r="F299" i="3"/>
  <c r="E299" i="3"/>
  <c r="D299" i="3"/>
  <c r="C299" i="3"/>
  <c r="B299" i="3"/>
  <c r="I298" i="3"/>
  <c r="F298" i="3"/>
  <c r="D298" i="3"/>
  <c r="C298" i="3"/>
  <c r="F297" i="3"/>
  <c r="O296" i="3"/>
  <c r="N296" i="3"/>
  <c r="M296" i="3"/>
  <c r="L296" i="3"/>
  <c r="K296" i="3"/>
  <c r="J296" i="3"/>
  <c r="I296" i="3"/>
  <c r="P295" i="3"/>
  <c r="N295" i="3"/>
  <c r="L295" i="3"/>
  <c r="C294" i="3"/>
  <c r="B294" i="3"/>
  <c r="K292" i="3"/>
  <c r="I292" i="3"/>
  <c r="E292" i="3"/>
  <c r="D292" i="3"/>
  <c r="C292" i="3"/>
  <c r="B292" i="3"/>
  <c r="B291" i="3"/>
  <c r="AF287" i="3"/>
  <c r="AD287" i="3"/>
  <c r="AE287" i="3" s="1"/>
  <c r="P287" i="3"/>
  <c r="O287" i="3"/>
  <c r="AG287" i="3" s="1"/>
  <c r="N287" i="3"/>
  <c r="M287" i="3"/>
  <c r="L287" i="3"/>
  <c r="K287" i="3"/>
  <c r="J287" i="3"/>
  <c r="I287" i="3"/>
  <c r="I303" i="3" s="1"/>
  <c r="H287" i="3"/>
  <c r="H303" i="3" s="1"/>
  <c r="G287" i="3"/>
  <c r="F287" i="3"/>
  <c r="F303" i="3" s="1"/>
  <c r="E287" i="3"/>
  <c r="D287" i="3"/>
  <c r="C287" i="3"/>
  <c r="B287" i="3"/>
  <c r="AF286" i="3"/>
  <c r="P286" i="3"/>
  <c r="O286" i="3"/>
  <c r="O302" i="3" s="1"/>
  <c r="N286" i="3"/>
  <c r="N302" i="3" s="1"/>
  <c r="M286" i="3"/>
  <c r="L286" i="3"/>
  <c r="L302" i="3" s="1"/>
  <c r="K286" i="3"/>
  <c r="J286" i="3"/>
  <c r="I286" i="3"/>
  <c r="I302" i="3" s="1"/>
  <c r="H286" i="3"/>
  <c r="G286" i="3"/>
  <c r="F286" i="3"/>
  <c r="E286" i="3"/>
  <c r="D286" i="3"/>
  <c r="C286" i="3"/>
  <c r="B286" i="3"/>
  <c r="AD285" i="3"/>
  <c r="AH285" i="3" s="1"/>
  <c r="P285" i="3"/>
  <c r="O285" i="3"/>
  <c r="N285" i="3"/>
  <c r="N301" i="3" s="1"/>
  <c r="M285" i="3"/>
  <c r="L285" i="3"/>
  <c r="K285" i="3"/>
  <c r="J285" i="3"/>
  <c r="I285" i="3"/>
  <c r="H285" i="3"/>
  <c r="G285" i="3"/>
  <c r="F285" i="3"/>
  <c r="E285" i="3"/>
  <c r="D285" i="3"/>
  <c r="C285" i="3"/>
  <c r="C301" i="3" s="1"/>
  <c r="B285" i="3"/>
  <c r="AG284" i="3"/>
  <c r="P284" i="3"/>
  <c r="P300" i="3" s="1"/>
  <c r="O284" i="3"/>
  <c r="N284" i="3"/>
  <c r="M284" i="3"/>
  <c r="L284" i="3"/>
  <c r="K284" i="3"/>
  <c r="J284" i="3"/>
  <c r="I284" i="3"/>
  <c r="I300" i="3" s="1"/>
  <c r="H284" i="3"/>
  <c r="H300" i="3" s="1"/>
  <c r="G284" i="3"/>
  <c r="G300" i="3" s="1"/>
  <c r="F284" i="3"/>
  <c r="E284" i="3"/>
  <c r="D284" i="3"/>
  <c r="D300" i="3" s="1"/>
  <c r="C284" i="3"/>
  <c r="C300" i="3" s="1"/>
  <c r="B284" i="3"/>
  <c r="B300" i="3" s="1"/>
  <c r="P283" i="3"/>
  <c r="O283" i="3"/>
  <c r="N283" i="3"/>
  <c r="M283" i="3"/>
  <c r="L283" i="3"/>
  <c r="K283" i="3"/>
  <c r="J283" i="3"/>
  <c r="I283" i="3"/>
  <c r="H283" i="3"/>
  <c r="G283" i="3"/>
  <c r="F283" i="3"/>
  <c r="E283" i="3"/>
  <c r="D283" i="3"/>
  <c r="C283" i="3"/>
  <c r="B283" i="3"/>
  <c r="AG282" i="3"/>
  <c r="AF282" i="3"/>
  <c r="P282" i="3"/>
  <c r="O282" i="3"/>
  <c r="N282" i="3"/>
  <c r="N298" i="3" s="1"/>
  <c r="M282" i="3"/>
  <c r="L282" i="3"/>
  <c r="K282" i="3"/>
  <c r="J282" i="3"/>
  <c r="I282" i="3"/>
  <c r="H282" i="3"/>
  <c r="H298" i="3" s="1"/>
  <c r="G282" i="3"/>
  <c r="G298" i="3" s="1"/>
  <c r="F282" i="3"/>
  <c r="E282" i="3"/>
  <c r="E298" i="3" s="1"/>
  <c r="D282" i="3"/>
  <c r="C282" i="3"/>
  <c r="B282" i="3"/>
  <c r="B298" i="3" s="1"/>
  <c r="P281" i="3"/>
  <c r="O281" i="3"/>
  <c r="N281" i="3"/>
  <c r="M281" i="3"/>
  <c r="L281" i="3"/>
  <c r="L233" i="3" s="1"/>
  <c r="K281" i="3"/>
  <c r="K297" i="3" s="1"/>
  <c r="J281" i="3"/>
  <c r="I281" i="3"/>
  <c r="H281" i="3"/>
  <c r="H297" i="3" s="1"/>
  <c r="G281" i="3"/>
  <c r="G297" i="3" s="1"/>
  <c r="F281" i="3"/>
  <c r="E281" i="3"/>
  <c r="E297" i="3" s="1"/>
  <c r="D281" i="3"/>
  <c r="D297" i="3" s="1"/>
  <c r="C281" i="3"/>
  <c r="B281" i="3"/>
  <c r="AG280" i="3"/>
  <c r="P280" i="3"/>
  <c r="O280" i="3"/>
  <c r="AF280" i="3" s="1"/>
  <c r="N280" i="3"/>
  <c r="M280" i="3"/>
  <c r="L280" i="3"/>
  <c r="K280" i="3"/>
  <c r="J280" i="3"/>
  <c r="AD280" i="3" s="1"/>
  <c r="AH280" i="3" s="1"/>
  <c r="I280" i="3"/>
  <c r="H280" i="3"/>
  <c r="H296" i="3" s="1"/>
  <c r="G280" i="3"/>
  <c r="G296" i="3" s="1"/>
  <c r="F280" i="3"/>
  <c r="E280" i="3"/>
  <c r="D280" i="3"/>
  <c r="C280" i="3"/>
  <c r="B280" i="3"/>
  <c r="P279" i="3"/>
  <c r="O279" i="3"/>
  <c r="O231" i="3" s="1"/>
  <c r="AG231" i="3" s="1"/>
  <c r="N279" i="3"/>
  <c r="M279" i="3"/>
  <c r="M295" i="3" s="1"/>
  <c r="L279" i="3"/>
  <c r="K279" i="3"/>
  <c r="K295" i="3" s="1"/>
  <c r="J279" i="3"/>
  <c r="I279" i="3"/>
  <c r="H279" i="3"/>
  <c r="H295" i="3" s="1"/>
  <c r="G279" i="3"/>
  <c r="F279" i="3"/>
  <c r="E279" i="3"/>
  <c r="D279" i="3"/>
  <c r="C279" i="3"/>
  <c r="B279" i="3"/>
  <c r="Q278" i="3"/>
  <c r="P278" i="3"/>
  <c r="P230" i="3" s="1"/>
  <c r="O278" i="3"/>
  <c r="N278" i="3"/>
  <c r="M278" i="3"/>
  <c r="M294" i="3" s="1"/>
  <c r="L278" i="3"/>
  <c r="K278" i="3"/>
  <c r="J278" i="3"/>
  <c r="I278" i="3"/>
  <c r="H278" i="3"/>
  <c r="G278" i="3"/>
  <c r="F278" i="3"/>
  <c r="E278" i="3"/>
  <c r="D278" i="3"/>
  <c r="C278" i="3"/>
  <c r="B278" i="3"/>
  <c r="AG277" i="3"/>
  <c r="AF277" i="3"/>
  <c r="AD277" i="3"/>
  <c r="AE277" i="3" s="1"/>
  <c r="Q277" i="3"/>
  <c r="Q293" i="3" s="1"/>
  <c r="P277" i="3"/>
  <c r="P293" i="3" s="1"/>
  <c r="O277" i="3"/>
  <c r="O293" i="3" s="1"/>
  <c r="N277" i="3"/>
  <c r="M277" i="3"/>
  <c r="L277" i="3"/>
  <c r="K277" i="3"/>
  <c r="J277" i="3"/>
  <c r="I277" i="3"/>
  <c r="H277" i="3"/>
  <c r="G277" i="3"/>
  <c r="F277" i="3"/>
  <c r="E277" i="3"/>
  <c r="D277" i="3"/>
  <c r="C277" i="3"/>
  <c r="B277" i="3"/>
  <c r="AG276" i="3"/>
  <c r="Q276" i="3"/>
  <c r="Q292" i="3" s="1"/>
  <c r="P276" i="3"/>
  <c r="P288" i="3" s="1"/>
  <c r="O276" i="3"/>
  <c r="N276" i="3"/>
  <c r="M276" i="3"/>
  <c r="L276" i="3"/>
  <c r="K276" i="3"/>
  <c r="J276" i="3"/>
  <c r="I276" i="3"/>
  <c r="H276" i="3"/>
  <c r="G276" i="3"/>
  <c r="F276" i="3"/>
  <c r="E276" i="3"/>
  <c r="D276" i="3"/>
  <c r="C276" i="3"/>
  <c r="B276" i="3"/>
  <c r="Z275" i="3"/>
  <c r="Y275" i="3"/>
  <c r="X275" i="3"/>
  <c r="W275" i="3"/>
  <c r="V275" i="3"/>
  <c r="U275" i="3"/>
  <c r="T275" i="3"/>
  <c r="S275" i="3"/>
  <c r="R275" i="3"/>
  <c r="Q275" i="3"/>
  <c r="P275" i="3"/>
  <c r="O275" i="3"/>
  <c r="N275" i="3"/>
  <c r="M275" i="3"/>
  <c r="L275" i="3"/>
  <c r="K275" i="3"/>
  <c r="J275" i="3"/>
  <c r="I275" i="3"/>
  <c r="H275" i="3"/>
  <c r="G275" i="3"/>
  <c r="F275" i="3"/>
  <c r="E275" i="3"/>
  <c r="D275" i="3"/>
  <c r="C275" i="3"/>
  <c r="B275" i="3"/>
  <c r="Z271" i="3"/>
  <c r="Y271" i="3"/>
  <c r="X271" i="3"/>
  <c r="W271" i="3"/>
  <c r="V271" i="3"/>
  <c r="U271" i="3"/>
  <c r="T271" i="3"/>
  <c r="S271" i="3"/>
  <c r="R271" i="3"/>
  <c r="Q271" i="3"/>
  <c r="P271" i="3"/>
  <c r="O271" i="3"/>
  <c r="N271" i="3"/>
  <c r="M271" i="3"/>
  <c r="L271" i="3"/>
  <c r="K271" i="3"/>
  <c r="J271" i="3"/>
  <c r="I271" i="3"/>
  <c r="H271" i="3"/>
  <c r="G271" i="3"/>
  <c r="F271" i="3"/>
  <c r="E271" i="3"/>
  <c r="D271" i="3"/>
  <c r="C271" i="3"/>
  <c r="B271" i="3"/>
  <c r="Z270" i="3"/>
  <c r="Y270" i="3"/>
  <c r="X270" i="3"/>
  <c r="W270" i="3"/>
  <c r="V270" i="3"/>
  <c r="U270" i="3"/>
  <c r="T270" i="3"/>
  <c r="S270" i="3"/>
  <c r="R270" i="3"/>
  <c r="Q270" i="3"/>
  <c r="P270" i="3"/>
  <c r="O270" i="3"/>
  <c r="N270" i="3"/>
  <c r="M270" i="3"/>
  <c r="L270" i="3"/>
  <c r="K270" i="3"/>
  <c r="J270" i="3"/>
  <c r="I270" i="3"/>
  <c r="H270" i="3"/>
  <c r="G270" i="3"/>
  <c r="F270" i="3"/>
  <c r="E270" i="3"/>
  <c r="E302" i="3" s="1"/>
  <c r="D270" i="3"/>
  <c r="C270" i="3"/>
  <c r="C302" i="3" s="1"/>
  <c r="B270" i="3"/>
  <c r="Z269" i="3"/>
  <c r="Y269" i="3"/>
  <c r="X269" i="3"/>
  <c r="W269" i="3"/>
  <c r="V269" i="3"/>
  <c r="U269" i="3"/>
  <c r="T269" i="3"/>
  <c r="S269" i="3"/>
  <c r="R269" i="3"/>
  <c r="Q269" i="3"/>
  <c r="P269" i="3"/>
  <c r="O269" i="3"/>
  <c r="N269" i="3"/>
  <c r="M269" i="3"/>
  <c r="M301" i="3" s="1"/>
  <c r="L269" i="3"/>
  <c r="L301" i="3" s="1"/>
  <c r="K269" i="3"/>
  <c r="J269" i="3"/>
  <c r="J301" i="3" s="1"/>
  <c r="I269" i="3"/>
  <c r="H269" i="3"/>
  <c r="H301" i="3" s="1"/>
  <c r="G269" i="3"/>
  <c r="F269" i="3"/>
  <c r="F301" i="3" s="1"/>
  <c r="E269" i="3"/>
  <c r="D269" i="3"/>
  <c r="D301" i="3" s="1"/>
  <c r="C269" i="3"/>
  <c r="B269" i="3"/>
  <c r="B301" i="3" s="1"/>
  <c r="Z268" i="3"/>
  <c r="Y268" i="3"/>
  <c r="X268" i="3"/>
  <c r="W268" i="3"/>
  <c r="V268" i="3"/>
  <c r="U268" i="3"/>
  <c r="T268" i="3"/>
  <c r="S268" i="3"/>
  <c r="R268" i="3"/>
  <c r="Q268" i="3"/>
  <c r="P268" i="3"/>
  <c r="O268" i="3"/>
  <c r="O300" i="3" s="1"/>
  <c r="N268" i="3"/>
  <c r="M268" i="3"/>
  <c r="M300" i="3" s="1"/>
  <c r="L268" i="3"/>
  <c r="K268" i="3"/>
  <c r="J268" i="3"/>
  <c r="I268" i="3"/>
  <c r="H268" i="3"/>
  <c r="G268" i="3"/>
  <c r="F268" i="3"/>
  <c r="E268" i="3"/>
  <c r="D268" i="3"/>
  <c r="C268" i="3"/>
  <c r="B268" i="3"/>
  <c r="Z267" i="3"/>
  <c r="Y267" i="3"/>
  <c r="X267" i="3"/>
  <c r="W267" i="3"/>
  <c r="V267" i="3"/>
  <c r="U267" i="3"/>
  <c r="T267" i="3"/>
  <c r="S267" i="3"/>
  <c r="R267" i="3"/>
  <c r="Q267" i="3"/>
  <c r="P267" i="3"/>
  <c r="O267" i="3"/>
  <c r="N267" i="3"/>
  <c r="M267" i="3"/>
  <c r="L267" i="3"/>
  <c r="K267" i="3"/>
  <c r="J267" i="3"/>
  <c r="I267" i="3"/>
  <c r="H267" i="3"/>
  <c r="G267" i="3"/>
  <c r="F267" i="3"/>
  <c r="E267" i="3"/>
  <c r="D267" i="3"/>
  <c r="C267" i="3"/>
  <c r="B267" i="3"/>
  <c r="Z266" i="3"/>
  <c r="Y266" i="3"/>
  <c r="X266" i="3"/>
  <c r="W266" i="3"/>
  <c r="V266" i="3"/>
  <c r="U266" i="3"/>
  <c r="T266" i="3"/>
  <c r="S266" i="3"/>
  <c r="R266" i="3"/>
  <c r="Q266" i="3"/>
  <c r="P266" i="3"/>
  <c r="O266" i="3"/>
  <c r="O298" i="3" s="1"/>
  <c r="N266" i="3"/>
  <c r="M266" i="3"/>
  <c r="M298" i="3" s="1"/>
  <c r="L266" i="3"/>
  <c r="L298" i="3" s="1"/>
  <c r="K266" i="3"/>
  <c r="K298" i="3" s="1"/>
  <c r="J266" i="3"/>
  <c r="I266" i="3"/>
  <c r="H266" i="3"/>
  <c r="G266" i="3"/>
  <c r="F266" i="3"/>
  <c r="E266" i="3"/>
  <c r="D266" i="3"/>
  <c r="C266" i="3"/>
  <c r="B266" i="3"/>
  <c r="Z265" i="3"/>
  <c r="Y265" i="3"/>
  <c r="X265" i="3"/>
  <c r="W265" i="3"/>
  <c r="V265" i="3"/>
  <c r="U265" i="3"/>
  <c r="T265" i="3"/>
  <c r="S265" i="3"/>
  <c r="S272" i="3" s="1"/>
  <c r="R265" i="3"/>
  <c r="Q265" i="3"/>
  <c r="P265" i="3"/>
  <c r="O265" i="3"/>
  <c r="N265" i="3"/>
  <c r="M265" i="3"/>
  <c r="L265" i="3"/>
  <c r="K265" i="3"/>
  <c r="J265" i="3"/>
  <c r="I265" i="3"/>
  <c r="H265" i="3"/>
  <c r="G265" i="3"/>
  <c r="F265" i="3"/>
  <c r="E265" i="3"/>
  <c r="D265" i="3"/>
  <c r="C265" i="3"/>
  <c r="B265" i="3"/>
  <c r="B297" i="3" s="1"/>
  <c r="Z264" i="3"/>
  <c r="Y264" i="3"/>
  <c r="X264" i="3"/>
  <c r="W264" i="3"/>
  <c r="V264" i="3"/>
  <c r="U264" i="3"/>
  <c r="T264" i="3"/>
  <c r="S264" i="3"/>
  <c r="R264" i="3"/>
  <c r="Q264" i="3"/>
  <c r="P264" i="3"/>
  <c r="O264" i="3"/>
  <c r="N264" i="3"/>
  <c r="M264" i="3"/>
  <c r="L264" i="3"/>
  <c r="K264" i="3"/>
  <c r="J264" i="3"/>
  <c r="I264" i="3"/>
  <c r="H264" i="3"/>
  <c r="G264" i="3"/>
  <c r="F264" i="3"/>
  <c r="E264" i="3"/>
  <c r="E296" i="3" s="1"/>
  <c r="D264" i="3"/>
  <c r="C264" i="3"/>
  <c r="B264" i="3"/>
  <c r="Z263" i="3"/>
  <c r="Y263" i="3"/>
  <c r="X263" i="3"/>
  <c r="W263" i="3"/>
  <c r="V263" i="3"/>
  <c r="U263" i="3"/>
  <c r="T263" i="3"/>
  <c r="S263" i="3"/>
  <c r="R263" i="3"/>
  <c r="Q263" i="3"/>
  <c r="P263" i="3"/>
  <c r="O263" i="3"/>
  <c r="N263" i="3"/>
  <c r="M263" i="3"/>
  <c r="L263" i="3"/>
  <c r="K263" i="3"/>
  <c r="J263" i="3"/>
  <c r="I263" i="3"/>
  <c r="H263" i="3"/>
  <c r="G263" i="3"/>
  <c r="F263" i="3"/>
  <c r="E263" i="3"/>
  <c r="D263" i="3"/>
  <c r="C263" i="3"/>
  <c r="B263" i="3"/>
  <c r="B295" i="3" s="1"/>
  <c r="Z262" i="3"/>
  <c r="Y262" i="3"/>
  <c r="X262" i="3"/>
  <c r="W262" i="3"/>
  <c r="V262" i="3"/>
  <c r="U262" i="3"/>
  <c r="T262" i="3"/>
  <c r="S262" i="3"/>
  <c r="R262" i="3"/>
  <c r="Q262" i="3"/>
  <c r="P262" i="3"/>
  <c r="O262" i="3"/>
  <c r="N262" i="3"/>
  <c r="M262" i="3"/>
  <c r="L262" i="3"/>
  <c r="K262" i="3"/>
  <c r="K294" i="3" s="1"/>
  <c r="J262" i="3"/>
  <c r="J294" i="3" s="1"/>
  <c r="I262" i="3"/>
  <c r="I294" i="3" s="1"/>
  <c r="H262" i="3"/>
  <c r="G262" i="3"/>
  <c r="G294" i="3" s="1"/>
  <c r="F262" i="3"/>
  <c r="E262" i="3"/>
  <c r="E294" i="3" s="1"/>
  <c r="D262" i="3"/>
  <c r="C262" i="3"/>
  <c r="B262" i="3"/>
  <c r="Z261" i="3"/>
  <c r="Y261" i="3"/>
  <c r="X261" i="3"/>
  <c r="W261" i="3"/>
  <c r="V261" i="3"/>
  <c r="U261" i="3"/>
  <c r="T261" i="3"/>
  <c r="S261" i="3"/>
  <c r="R261" i="3"/>
  <c r="Q261" i="3"/>
  <c r="P261" i="3"/>
  <c r="O261" i="3"/>
  <c r="N261" i="3"/>
  <c r="N293" i="3" s="1"/>
  <c r="M261" i="3"/>
  <c r="L261" i="3"/>
  <c r="L293" i="3" s="1"/>
  <c r="K261" i="3"/>
  <c r="J261" i="3"/>
  <c r="J293" i="3" s="1"/>
  <c r="I261" i="3"/>
  <c r="H261" i="3"/>
  <c r="G261" i="3"/>
  <c r="F261" i="3"/>
  <c r="E261" i="3"/>
  <c r="D261" i="3"/>
  <c r="C261" i="3"/>
  <c r="B261" i="3"/>
  <c r="Z260" i="3"/>
  <c r="Y260" i="3"/>
  <c r="X260" i="3"/>
  <c r="W260" i="3"/>
  <c r="V260" i="3"/>
  <c r="U260" i="3"/>
  <c r="T260" i="3"/>
  <c r="S260" i="3"/>
  <c r="R260" i="3"/>
  <c r="Q260" i="3"/>
  <c r="P260" i="3"/>
  <c r="O260" i="3"/>
  <c r="N260" i="3"/>
  <c r="M260" i="3"/>
  <c r="L260" i="3"/>
  <c r="L272" i="3" s="1"/>
  <c r="K260" i="3"/>
  <c r="J260" i="3"/>
  <c r="I260" i="3"/>
  <c r="H260" i="3"/>
  <c r="G260" i="3"/>
  <c r="F260" i="3"/>
  <c r="E260" i="3"/>
  <c r="D260" i="3"/>
  <c r="C260" i="3"/>
  <c r="B260" i="3"/>
  <c r="Z259" i="3"/>
  <c r="Y259" i="3"/>
  <c r="X259" i="3"/>
  <c r="W259" i="3"/>
  <c r="V259" i="3"/>
  <c r="U259" i="3"/>
  <c r="T259" i="3"/>
  <c r="S259" i="3"/>
  <c r="R259" i="3"/>
  <c r="Q259" i="3"/>
  <c r="P259" i="3"/>
  <c r="O259" i="3"/>
  <c r="N259" i="3"/>
  <c r="M259" i="3"/>
  <c r="L259" i="3"/>
  <c r="K259" i="3"/>
  <c r="J259" i="3"/>
  <c r="I259" i="3"/>
  <c r="H259" i="3"/>
  <c r="G259" i="3"/>
  <c r="F259" i="3"/>
  <c r="E259" i="3"/>
  <c r="D259" i="3"/>
  <c r="C259" i="3"/>
  <c r="B259" i="3"/>
  <c r="O257" i="3"/>
  <c r="N257" i="3"/>
  <c r="M257" i="3"/>
  <c r="P255" i="3"/>
  <c r="P239" i="3" s="1"/>
  <c r="O255" i="3"/>
  <c r="N255" i="3"/>
  <c r="N239" i="3" s="1"/>
  <c r="M255" i="3"/>
  <c r="M239" i="3" s="1"/>
  <c r="L255" i="3"/>
  <c r="L239" i="3" s="1"/>
  <c r="K255" i="3"/>
  <c r="K239" i="3" s="1"/>
  <c r="J255" i="3"/>
  <c r="I255" i="3"/>
  <c r="I239" i="3" s="1"/>
  <c r="H255" i="3"/>
  <c r="H239" i="3" s="1"/>
  <c r="G255" i="3"/>
  <c r="F255" i="3"/>
  <c r="E255" i="3"/>
  <c r="D255" i="3"/>
  <c r="C255" i="3"/>
  <c r="B255" i="3"/>
  <c r="AD254" i="3"/>
  <c r="AH254" i="3" s="1"/>
  <c r="P254" i="3"/>
  <c r="O254" i="3"/>
  <c r="N254" i="3"/>
  <c r="M254" i="3"/>
  <c r="L254" i="3"/>
  <c r="K254" i="3"/>
  <c r="J254" i="3"/>
  <c r="I254" i="3"/>
  <c r="H254" i="3"/>
  <c r="G254" i="3"/>
  <c r="F254" i="3"/>
  <c r="E254" i="3"/>
  <c r="D254" i="3"/>
  <c r="C254" i="3"/>
  <c r="C238" i="3" s="1"/>
  <c r="B254" i="3"/>
  <c r="B238" i="3" s="1"/>
  <c r="AG253" i="3"/>
  <c r="P253" i="3"/>
  <c r="O253" i="3"/>
  <c r="N253" i="3"/>
  <c r="AF253" i="3" s="1"/>
  <c r="M253" i="3"/>
  <c r="L253" i="3"/>
  <c r="L237" i="3" s="1"/>
  <c r="K253" i="3"/>
  <c r="K237" i="3" s="1"/>
  <c r="J253" i="3"/>
  <c r="J237" i="3" s="1"/>
  <c r="I253" i="3"/>
  <c r="I237" i="3" s="1"/>
  <c r="H253" i="3"/>
  <c r="H237" i="3" s="1"/>
  <c r="G253" i="3"/>
  <c r="F253" i="3"/>
  <c r="F237" i="3" s="1"/>
  <c r="E253" i="3"/>
  <c r="D253" i="3"/>
  <c r="D237" i="3" s="1"/>
  <c r="C253" i="3"/>
  <c r="B253" i="3"/>
  <c r="B237" i="3" s="1"/>
  <c r="P252" i="3"/>
  <c r="O252" i="3"/>
  <c r="N252" i="3"/>
  <c r="N236" i="3" s="1"/>
  <c r="M252" i="3"/>
  <c r="M236" i="3" s="1"/>
  <c r="L252" i="3"/>
  <c r="K252" i="3"/>
  <c r="J252" i="3"/>
  <c r="I252" i="3"/>
  <c r="H252" i="3"/>
  <c r="G252" i="3"/>
  <c r="F252" i="3"/>
  <c r="E252" i="3"/>
  <c r="D252" i="3"/>
  <c r="C252" i="3"/>
  <c r="C236" i="3" s="1"/>
  <c r="B252" i="3"/>
  <c r="AG251" i="3"/>
  <c r="AI251" i="3" s="1"/>
  <c r="AF251" i="3"/>
  <c r="AD251" i="3"/>
  <c r="AH251" i="3" s="1"/>
  <c r="P251" i="3"/>
  <c r="O251" i="3"/>
  <c r="N251" i="3"/>
  <c r="M251" i="3"/>
  <c r="L251" i="3"/>
  <c r="K251" i="3"/>
  <c r="J251" i="3"/>
  <c r="I251" i="3"/>
  <c r="H251" i="3"/>
  <c r="H235" i="3" s="1"/>
  <c r="G251" i="3"/>
  <c r="G235" i="3" s="1"/>
  <c r="F251" i="3"/>
  <c r="F235" i="3" s="1"/>
  <c r="E251" i="3"/>
  <c r="E235" i="3" s="1"/>
  <c r="D251" i="3"/>
  <c r="D235" i="3" s="1"/>
  <c r="C251" i="3"/>
  <c r="B251" i="3"/>
  <c r="B235" i="3" s="1"/>
  <c r="AH250" i="3"/>
  <c r="P250" i="3"/>
  <c r="P234" i="3" s="1"/>
  <c r="O250" i="3"/>
  <c r="AG250" i="3" s="1"/>
  <c r="AI250" i="3" s="1"/>
  <c r="N250" i="3"/>
  <c r="N234" i="3" s="1"/>
  <c r="M250" i="3"/>
  <c r="M234" i="3" s="1"/>
  <c r="L250" i="3"/>
  <c r="K250" i="3"/>
  <c r="K234" i="3" s="1"/>
  <c r="J250" i="3"/>
  <c r="AD250" i="3" s="1"/>
  <c r="I250" i="3"/>
  <c r="I234" i="3" s="1"/>
  <c r="H250" i="3"/>
  <c r="H234" i="3" s="1"/>
  <c r="G250" i="3"/>
  <c r="G234" i="3" s="1"/>
  <c r="F250" i="3"/>
  <c r="E250" i="3"/>
  <c r="D250" i="3"/>
  <c r="C250" i="3"/>
  <c r="B250" i="3"/>
  <c r="AG249" i="3"/>
  <c r="P249" i="3"/>
  <c r="O249" i="3"/>
  <c r="AF249" i="3" s="1"/>
  <c r="N249" i="3"/>
  <c r="M249" i="3"/>
  <c r="L249" i="3"/>
  <c r="K249" i="3"/>
  <c r="J249" i="3"/>
  <c r="AD249" i="3" s="1"/>
  <c r="AH249" i="3" s="1"/>
  <c r="I249" i="3"/>
  <c r="H249" i="3"/>
  <c r="G249" i="3"/>
  <c r="F249" i="3"/>
  <c r="F233" i="3" s="1"/>
  <c r="E249" i="3"/>
  <c r="D249" i="3"/>
  <c r="D233" i="3" s="1"/>
  <c r="C249" i="3"/>
  <c r="C233" i="3" s="1"/>
  <c r="B249" i="3"/>
  <c r="B233" i="3" s="1"/>
  <c r="P248" i="3"/>
  <c r="O248" i="3"/>
  <c r="N248" i="3"/>
  <c r="M248" i="3"/>
  <c r="M232" i="3" s="1"/>
  <c r="L248" i="3"/>
  <c r="L232" i="3" s="1"/>
  <c r="K248" i="3"/>
  <c r="K232" i="3" s="1"/>
  <c r="J248" i="3"/>
  <c r="I248" i="3"/>
  <c r="I232" i="3" s="1"/>
  <c r="H248" i="3"/>
  <c r="H232" i="3" s="1"/>
  <c r="G248" i="3"/>
  <c r="G232" i="3" s="1"/>
  <c r="F248" i="3"/>
  <c r="F232" i="3" s="1"/>
  <c r="E248" i="3"/>
  <c r="E232" i="3" s="1"/>
  <c r="D248" i="3"/>
  <c r="D232" i="3" s="1"/>
  <c r="C248" i="3"/>
  <c r="C232" i="3" s="1"/>
  <c r="B248" i="3"/>
  <c r="P247" i="3"/>
  <c r="P231" i="3" s="1"/>
  <c r="O247" i="3"/>
  <c r="N247" i="3"/>
  <c r="N231" i="3" s="1"/>
  <c r="M247" i="3"/>
  <c r="M231" i="3" s="1"/>
  <c r="L247" i="3"/>
  <c r="L231" i="3" s="1"/>
  <c r="K247" i="3"/>
  <c r="J247" i="3"/>
  <c r="I247" i="3"/>
  <c r="H247" i="3"/>
  <c r="G247" i="3"/>
  <c r="F247" i="3"/>
  <c r="E247" i="3"/>
  <c r="D247" i="3"/>
  <c r="C247" i="3"/>
  <c r="B247" i="3"/>
  <c r="AG246" i="3"/>
  <c r="AF246" i="3"/>
  <c r="Q246" i="3"/>
  <c r="P246" i="3"/>
  <c r="O246" i="3"/>
  <c r="N246" i="3"/>
  <c r="M246" i="3"/>
  <c r="M230" i="3" s="1"/>
  <c r="L246" i="3"/>
  <c r="K246" i="3"/>
  <c r="J246" i="3"/>
  <c r="I246" i="3"/>
  <c r="I230" i="3" s="1"/>
  <c r="H246" i="3"/>
  <c r="H230" i="3" s="1"/>
  <c r="G246" i="3"/>
  <c r="G230" i="3" s="1"/>
  <c r="F246" i="3"/>
  <c r="E246" i="3"/>
  <c r="E230" i="3" s="1"/>
  <c r="D246" i="3"/>
  <c r="C246" i="3"/>
  <c r="C230" i="3" s="1"/>
  <c r="B246" i="3"/>
  <c r="Q245" i="3"/>
  <c r="Q229" i="3" s="1"/>
  <c r="P245" i="3"/>
  <c r="P229" i="3" s="1"/>
  <c r="O245" i="3"/>
  <c r="AG245" i="3" s="1"/>
  <c r="N245" i="3"/>
  <c r="M245" i="3"/>
  <c r="L245" i="3"/>
  <c r="L229" i="3" s="1"/>
  <c r="K245" i="3"/>
  <c r="J245" i="3"/>
  <c r="I245" i="3"/>
  <c r="F245" i="3"/>
  <c r="D245" i="3"/>
  <c r="C245" i="3"/>
  <c r="B245" i="3"/>
  <c r="AF244" i="3"/>
  <c r="Q244" i="3"/>
  <c r="P244" i="3"/>
  <c r="O244" i="3"/>
  <c r="AG244" i="3" s="1"/>
  <c r="N244" i="3"/>
  <c r="M244" i="3"/>
  <c r="L244" i="3"/>
  <c r="K244" i="3"/>
  <c r="K228" i="3" s="1"/>
  <c r="J244" i="3"/>
  <c r="J256" i="3" s="1"/>
  <c r="I244" i="3"/>
  <c r="H244" i="3"/>
  <c r="G244" i="3"/>
  <c r="F244" i="3"/>
  <c r="E244" i="3"/>
  <c r="E228" i="3" s="1"/>
  <c r="D244" i="3"/>
  <c r="D228" i="3" s="1"/>
  <c r="C244" i="3"/>
  <c r="B244" i="3"/>
  <c r="B228" i="3" s="1"/>
  <c r="Z243" i="3"/>
  <c r="Y243" i="3"/>
  <c r="X243" i="3"/>
  <c r="W243" i="3"/>
  <c r="V243" i="3"/>
  <c r="U243" i="3"/>
  <c r="T243" i="3"/>
  <c r="S243" i="3"/>
  <c r="R243" i="3"/>
  <c r="Q243" i="3"/>
  <c r="P243" i="3"/>
  <c r="O243" i="3"/>
  <c r="N243" i="3"/>
  <c r="M243" i="3"/>
  <c r="L243" i="3"/>
  <c r="K243" i="3"/>
  <c r="J243" i="3"/>
  <c r="I243" i="3"/>
  <c r="H243" i="3"/>
  <c r="G243" i="3"/>
  <c r="F243" i="3"/>
  <c r="E243" i="3"/>
  <c r="D243" i="3"/>
  <c r="C243" i="3"/>
  <c r="B243" i="3"/>
  <c r="P238" i="3"/>
  <c r="N238" i="3"/>
  <c r="M238" i="3"/>
  <c r="L238" i="3"/>
  <c r="J238" i="3"/>
  <c r="I238" i="3"/>
  <c r="E238" i="3"/>
  <c r="D238" i="3"/>
  <c r="P237" i="3"/>
  <c r="O237" i="3"/>
  <c r="M237" i="3"/>
  <c r="G237" i="3"/>
  <c r="C237" i="3"/>
  <c r="P236" i="3"/>
  <c r="L236" i="3"/>
  <c r="D236" i="3"/>
  <c r="B236" i="3"/>
  <c r="P235" i="3"/>
  <c r="N235" i="3"/>
  <c r="M235" i="3"/>
  <c r="L235" i="3"/>
  <c r="K235" i="3"/>
  <c r="J235" i="3"/>
  <c r="AD235" i="3" s="1"/>
  <c r="AH235" i="3" s="1"/>
  <c r="I235" i="3"/>
  <c r="C235" i="3"/>
  <c r="AD234" i="3"/>
  <c r="AH234" i="3" s="1"/>
  <c r="L234" i="3"/>
  <c r="J234" i="3"/>
  <c r="F234" i="3"/>
  <c r="E234" i="3"/>
  <c r="D234" i="3"/>
  <c r="C234" i="3"/>
  <c r="B234" i="3"/>
  <c r="G233" i="3"/>
  <c r="E233" i="3"/>
  <c r="N232" i="3"/>
  <c r="B232" i="3"/>
  <c r="K231" i="3"/>
  <c r="I231" i="3"/>
  <c r="H231" i="3"/>
  <c r="G231" i="3"/>
  <c r="F231" i="3"/>
  <c r="E231" i="3"/>
  <c r="D231" i="3"/>
  <c r="C231" i="3"/>
  <c r="B231" i="3"/>
  <c r="L230" i="3"/>
  <c r="J230" i="3"/>
  <c r="D230" i="3"/>
  <c r="B230" i="3"/>
  <c r="I229" i="3"/>
  <c r="AG228" i="3"/>
  <c r="P228" i="3"/>
  <c r="O228" i="3"/>
  <c r="M228" i="3"/>
  <c r="L228" i="3"/>
  <c r="J228" i="3"/>
  <c r="I228" i="3"/>
  <c r="H228" i="3"/>
  <c r="G228" i="3"/>
  <c r="F228" i="3"/>
  <c r="Z227" i="3"/>
  <c r="Y227" i="3"/>
  <c r="X227" i="3"/>
  <c r="W227" i="3"/>
  <c r="V227" i="3"/>
  <c r="U227" i="3"/>
  <c r="T227" i="3"/>
  <c r="S227" i="3"/>
  <c r="R227" i="3"/>
  <c r="Q227" i="3"/>
  <c r="P227" i="3"/>
  <c r="O227" i="3"/>
  <c r="N227" i="3"/>
  <c r="M227" i="3"/>
  <c r="L227" i="3"/>
  <c r="K227" i="3"/>
  <c r="J227" i="3"/>
  <c r="I227" i="3"/>
  <c r="H227" i="3"/>
  <c r="G227" i="3"/>
  <c r="F227" i="3"/>
  <c r="E227" i="3"/>
  <c r="D227" i="3"/>
  <c r="C227" i="3"/>
  <c r="B227" i="3"/>
  <c r="K207" i="3"/>
  <c r="J207" i="3"/>
  <c r="H205" i="3"/>
  <c r="G205" i="3"/>
  <c r="F203" i="3"/>
  <c r="D201" i="3"/>
  <c r="B199" i="3"/>
  <c r="P197" i="3"/>
  <c r="Z195" i="3"/>
  <c r="Y195" i="3"/>
  <c r="X195" i="3"/>
  <c r="W195" i="3"/>
  <c r="V195" i="3"/>
  <c r="U195" i="3"/>
  <c r="T195" i="3"/>
  <c r="S195" i="3"/>
  <c r="R195" i="3"/>
  <c r="Q195" i="3"/>
  <c r="P195" i="3"/>
  <c r="O195" i="3"/>
  <c r="N195" i="3"/>
  <c r="M195" i="3"/>
  <c r="L195" i="3"/>
  <c r="K195" i="3"/>
  <c r="J195" i="3"/>
  <c r="I195" i="3"/>
  <c r="H195" i="3"/>
  <c r="G195" i="3"/>
  <c r="F195" i="3"/>
  <c r="E195" i="3"/>
  <c r="D195" i="3"/>
  <c r="C195" i="3"/>
  <c r="B195" i="3"/>
  <c r="C191" i="3"/>
  <c r="C339" i="3" s="1"/>
  <c r="F189" i="3"/>
  <c r="P188" i="3"/>
  <c r="B187" i="3"/>
  <c r="O186" i="3"/>
  <c r="N186" i="3"/>
  <c r="L185" i="3"/>
  <c r="B185" i="3"/>
  <c r="L184" i="3"/>
  <c r="K182" i="3"/>
  <c r="H181" i="3"/>
  <c r="N179" i="3"/>
  <c r="M179" i="3"/>
  <c r="Z163" i="3"/>
  <c r="Y163" i="3"/>
  <c r="X163" i="3"/>
  <c r="W163" i="3"/>
  <c r="V163" i="3"/>
  <c r="U163" i="3"/>
  <c r="T163" i="3"/>
  <c r="S163" i="3"/>
  <c r="R163" i="3"/>
  <c r="Q163" i="3"/>
  <c r="P163" i="3"/>
  <c r="O163" i="3"/>
  <c r="N163" i="3"/>
  <c r="M163" i="3"/>
  <c r="L163" i="3"/>
  <c r="K163" i="3"/>
  <c r="J163" i="3"/>
  <c r="I163" i="3"/>
  <c r="H163" i="3"/>
  <c r="G163" i="3"/>
  <c r="F163" i="3"/>
  <c r="E163" i="3"/>
  <c r="D163" i="3"/>
  <c r="C163" i="3"/>
  <c r="B163" i="3"/>
  <c r="I159" i="3"/>
  <c r="G159" i="3"/>
  <c r="D159" i="3"/>
  <c r="N158" i="3"/>
  <c r="L158" i="3"/>
  <c r="I157" i="3"/>
  <c r="G157" i="3"/>
  <c r="F157" i="3"/>
  <c r="E157" i="3"/>
  <c r="D157" i="3"/>
  <c r="C157" i="3"/>
  <c r="D154" i="3"/>
  <c r="O151" i="3"/>
  <c r="B151" i="3"/>
  <c r="C150" i="3"/>
  <c r="Q149" i="3"/>
  <c r="O149" i="3"/>
  <c r="N149" i="3"/>
  <c r="Z147" i="3"/>
  <c r="Y147" i="3"/>
  <c r="X147" i="3"/>
  <c r="W147" i="3"/>
  <c r="V147" i="3"/>
  <c r="U147" i="3"/>
  <c r="T147" i="3"/>
  <c r="S147" i="3"/>
  <c r="R147" i="3"/>
  <c r="Q147" i="3"/>
  <c r="P147" i="3"/>
  <c r="O147" i="3"/>
  <c r="N147" i="3"/>
  <c r="M147" i="3"/>
  <c r="L147" i="3"/>
  <c r="K147" i="3"/>
  <c r="J147" i="3"/>
  <c r="I147" i="3"/>
  <c r="H147" i="3"/>
  <c r="G147" i="3"/>
  <c r="F147" i="3"/>
  <c r="E147" i="3"/>
  <c r="D147" i="3"/>
  <c r="C147" i="3"/>
  <c r="B147" i="3"/>
  <c r="AG143" i="3"/>
  <c r="P143" i="3"/>
  <c r="P159" i="3" s="1"/>
  <c r="O143" i="3"/>
  <c r="O159" i="3" s="1"/>
  <c r="N143" i="3"/>
  <c r="N159" i="3" s="1"/>
  <c r="M143" i="3"/>
  <c r="L143" i="3"/>
  <c r="L159" i="3" s="1"/>
  <c r="K143" i="3"/>
  <c r="J143" i="3"/>
  <c r="J159" i="3" s="1"/>
  <c r="I143" i="3"/>
  <c r="H143" i="3"/>
  <c r="G143" i="3"/>
  <c r="E143" i="3"/>
  <c r="D143" i="3"/>
  <c r="B143" i="3"/>
  <c r="AD142" i="3"/>
  <c r="AH142" i="3" s="1"/>
  <c r="P142" i="3"/>
  <c r="P158" i="3" s="1"/>
  <c r="O142" i="3"/>
  <c r="N142" i="3"/>
  <c r="M142" i="3"/>
  <c r="L142" i="3"/>
  <c r="K142" i="3"/>
  <c r="J142" i="3"/>
  <c r="I142" i="3"/>
  <c r="H142" i="3"/>
  <c r="G142" i="3"/>
  <c r="D142" i="3"/>
  <c r="B142" i="3"/>
  <c r="AG141" i="3"/>
  <c r="P141" i="3"/>
  <c r="O141" i="3"/>
  <c r="M141" i="3"/>
  <c r="L141" i="3"/>
  <c r="K141" i="3"/>
  <c r="K157" i="3" s="1"/>
  <c r="J141" i="3"/>
  <c r="J157" i="3" s="1"/>
  <c r="I141" i="3"/>
  <c r="H141" i="3"/>
  <c r="H157" i="3" s="1"/>
  <c r="G141" i="3"/>
  <c r="F141" i="3"/>
  <c r="F93" i="3" s="1"/>
  <c r="E141" i="3"/>
  <c r="E93" i="3" s="1"/>
  <c r="D141" i="3"/>
  <c r="C141" i="3"/>
  <c r="B141" i="3"/>
  <c r="B157" i="3" s="1"/>
  <c r="P140" i="3"/>
  <c r="P156" i="3" s="1"/>
  <c r="O140" i="3"/>
  <c r="O156" i="3" s="1"/>
  <c r="M140" i="3"/>
  <c r="AB141" i="3" s="1"/>
  <c r="L140" i="3"/>
  <c r="K140" i="3"/>
  <c r="K156" i="3" s="1"/>
  <c r="I140" i="3"/>
  <c r="H140" i="3"/>
  <c r="G140" i="3"/>
  <c r="G156" i="3" s="1"/>
  <c r="F140" i="3"/>
  <c r="E140" i="3"/>
  <c r="D140" i="3"/>
  <c r="C140" i="3"/>
  <c r="B140" i="3"/>
  <c r="AG139" i="3"/>
  <c r="AF139" i="3"/>
  <c r="O139" i="3"/>
  <c r="N139" i="3"/>
  <c r="J139" i="3"/>
  <c r="I139" i="3"/>
  <c r="H139" i="3"/>
  <c r="H155" i="3" s="1"/>
  <c r="G139" i="3"/>
  <c r="G155" i="3" s="1"/>
  <c r="F139" i="3"/>
  <c r="F155" i="3" s="1"/>
  <c r="E139" i="3"/>
  <c r="D139" i="3"/>
  <c r="D155" i="3" s="1"/>
  <c r="C139" i="3"/>
  <c r="C155" i="3" s="1"/>
  <c r="B139" i="3"/>
  <c r="B155" i="3" s="1"/>
  <c r="AG138" i="3"/>
  <c r="AF138" i="3"/>
  <c r="O138" i="3"/>
  <c r="N138" i="3"/>
  <c r="N154" i="3" s="1"/>
  <c r="L138" i="3"/>
  <c r="K138" i="3"/>
  <c r="K154" i="3" s="1"/>
  <c r="I138" i="3"/>
  <c r="I154" i="3" s="1"/>
  <c r="H138" i="3"/>
  <c r="H154" i="3" s="1"/>
  <c r="G138" i="3"/>
  <c r="G154" i="3" s="1"/>
  <c r="F138" i="3"/>
  <c r="D138" i="3"/>
  <c r="C138" i="3"/>
  <c r="B138" i="3"/>
  <c r="P137" i="3"/>
  <c r="O137" i="3"/>
  <c r="O153" i="3" s="1"/>
  <c r="N137" i="3"/>
  <c r="M137" i="3"/>
  <c r="M153" i="3" s="1"/>
  <c r="L137" i="3"/>
  <c r="K137" i="3"/>
  <c r="I137" i="3"/>
  <c r="H137" i="3"/>
  <c r="F137" i="3"/>
  <c r="F153" i="3" s="1"/>
  <c r="E137" i="3"/>
  <c r="E153" i="3" s="1"/>
  <c r="D137" i="3"/>
  <c r="D153" i="3" s="1"/>
  <c r="C137" i="3"/>
  <c r="B137" i="3"/>
  <c r="B153" i="3" s="1"/>
  <c r="AG136" i="3"/>
  <c r="AF136" i="3"/>
  <c r="P136" i="3"/>
  <c r="O136" i="3"/>
  <c r="N136" i="3"/>
  <c r="N152" i="3" s="1"/>
  <c r="M136" i="3"/>
  <c r="M152" i="3" s="1"/>
  <c r="L136" i="3"/>
  <c r="L152" i="3" s="1"/>
  <c r="K136" i="3"/>
  <c r="K152" i="3" s="1"/>
  <c r="I136" i="3"/>
  <c r="I152" i="3" s="1"/>
  <c r="H136" i="3"/>
  <c r="H152" i="3" s="1"/>
  <c r="F136" i="3"/>
  <c r="E136" i="3"/>
  <c r="C136" i="3"/>
  <c r="AB135" i="3"/>
  <c r="P135" i="3"/>
  <c r="P151" i="3" s="1"/>
  <c r="O135" i="3"/>
  <c r="AG135" i="3" s="1"/>
  <c r="N135" i="3"/>
  <c r="M135" i="3"/>
  <c r="L135" i="3"/>
  <c r="K135" i="3"/>
  <c r="I135" i="3"/>
  <c r="H135" i="3"/>
  <c r="G135" i="3"/>
  <c r="F135" i="3"/>
  <c r="E135" i="3"/>
  <c r="C135" i="3"/>
  <c r="B135" i="3"/>
  <c r="AD134" i="3"/>
  <c r="AH134" i="3" s="1"/>
  <c r="AB134" i="3"/>
  <c r="Q134" i="3"/>
  <c r="P134" i="3"/>
  <c r="N134" i="3"/>
  <c r="M134" i="3"/>
  <c r="L134" i="3"/>
  <c r="K134" i="3"/>
  <c r="K150" i="3" s="1"/>
  <c r="J134" i="3"/>
  <c r="J150" i="3" s="1"/>
  <c r="I134" i="3"/>
  <c r="I150" i="3" s="1"/>
  <c r="H134" i="3"/>
  <c r="H150" i="3" s="1"/>
  <c r="G134" i="3"/>
  <c r="G150" i="3" s="1"/>
  <c r="F134" i="3"/>
  <c r="F150" i="3" s="1"/>
  <c r="E134" i="3"/>
  <c r="C134" i="3"/>
  <c r="Q133" i="3"/>
  <c r="Q85" i="3" s="1"/>
  <c r="P133" i="3"/>
  <c r="P149" i="3" s="1"/>
  <c r="O133" i="3"/>
  <c r="N133" i="3"/>
  <c r="M133" i="3"/>
  <c r="L133" i="3"/>
  <c r="L149" i="3" s="1"/>
  <c r="J133" i="3"/>
  <c r="J149" i="3" s="1"/>
  <c r="I133" i="3"/>
  <c r="H133" i="3"/>
  <c r="H149" i="3" s="1"/>
  <c r="G133" i="3"/>
  <c r="G149" i="3" s="1"/>
  <c r="E133" i="3"/>
  <c r="E149" i="3" s="1"/>
  <c r="C133" i="3"/>
  <c r="C149" i="3" s="1"/>
  <c r="B133" i="3"/>
  <c r="J132" i="3"/>
  <c r="I132" i="3"/>
  <c r="G132" i="3"/>
  <c r="E132" i="3"/>
  <c r="D132" i="3"/>
  <c r="C132" i="3"/>
  <c r="Z131" i="3"/>
  <c r="Z179" i="3" s="1"/>
  <c r="Y131" i="3"/>
  <c r="Y179" i="3" s="1"/>
  <c r="X131" i="3"/>
  <c r="X179" i="3" s="1"/>
  <c r="W131" i="3"/>
  <c r="W179" i="3" s="1"/>
  <c r="V131" i="3"/>
  <c r="V179" i="3" s="1"/>
  <c r="U131" i="3"/>
  <c r="U179" i="3" s="1"/>
  <c r="T131" i="3"/>
  <c r="T179" i="3" s="1"/>
  <c r="S131" i="3"/>
  <c r="S179" i="3" s="1"/>
  <c r="R131" i="3"/>
  <c r="R179" i="3" s="1"/>
  <c r="Q131" i="3"/>
  <c r="Q179" i="3" s="1"/>
  <c r="P131" i="3"/>
  <c r="P179" i="3" s="1"/>
  <c r="O131" i="3"/>
  <c r="O179" i="3" s="1"/>
  <c r="N131" i="3"/>
  <c r="M131" i="3"/>
  <c r="L131" i="3"/>
  <c r="L179" i="3" s="1"/>
  <c r="K131" i="3"/>
  <c r="K179" i="3" s="1"/>
  <c r="J131" i="3"/>
  <c r="J179" i="3" s="1"/>
  <c r="I131" i="3"/>
  <c r="I179" i="3" s="1"/>
  <c r="H131" i="3"/>
  <c r="H179" i="3" s="1"/>
  <c r="G131" i="3"/>
  <c r="G179" i="3" s="1"/>
  <c r="F131" i="3"/>
  <c r="F179" i="3" s="1"/>
  <c r="E131" i="3"/>
  <c r="E179" i="3" s="1"/>
  <c r="D131" i="3"/>
  <c r="D179" i="3" s="1"/>
  <c r="C131" i="3"/>
  <c r="C179" i="3" s="1"/>
  <c r="B131" i="3"/>
  <c r="B179" i="3" s="1"/>
  <c r="AG127" i="3"/>
  <c r="AF127" i="3"/>
  <c r="AD127" i="3"/>
  <c r="AH127" i="3" s="1"/>
  <c r="Y127" i="3"/>
  <c r="X127" i="3"/>
  <c r="W127" i="3"/>
  <c r="V127" i="3"/>
  <c r="T127" i="3"/>
  <c r="S127" i="3"/>
  <c r="R127" i="3"/>
  <c r="Q127" i="3"/>
  <c r="P127" i="3"/>
  <c r="O127" i="3"/>
  <c r="N127" i="3"/>
  <c r="M127" i="3"/>
  <c r="L127" i="3"/>
  <c r="K127" i="3"/>
  <c r="J127" i="3"/>
  <c r="I127" i="3"/>
  <c r="H127" i="3"/>
  <c r="H95" i="3" s="1"/>
  <c r="G127" i="3"/>
  <c r="G95" i="3" s="1"/>
  <c r="F127" i="3"/>
  <c r="D127" i="3"/>
  <c r="C127" i="3"/>
  <c r="B127" i="3"/>
  <c r="AG126" i="3"/>
  <c r="AF126" i="3"/>
  <c r="Z126" i="3"/>
  <c r="Y126" i="3"/>
  <c r="V126" i="3"/>
  <c r="U126" i="3"/>
  <c r="T126" i="3"/>
  <c r="S126" i="3"/>
  <c r="Q126" i="3"/>
  <c r="P126" i="3"/>
  <c r="P94" i="3" s="1"/>
  <c r="O126" i="3"/>
  <c r="N126" i="3"/>
  <c r="M126" i="3"/>
  <c r="M94" i="3" s="1"/>
  <c r="L126" i="3"/>
  <c r="K126" i="3"/>
  <c r="J126" i="3"/>
  <c r="J158" i="3" s="1"/>
  <c r="I126" i="3"/>
  <c r="H126" i="3"/>
  <c r="G126" i="3"/>
  <c r="G158" i="3" s="1"/>
  <c r="F126" i="3"/>
  <c r="E126" i="3"/>
  <c r="D126" i="3"/>
  <c r="D158" i="3" s="1"/>
  <c r="C126" i="3"/>
  <c r="Z125" i="3"/>
  <c r="Y125" i="3"/>
  <c r="X125" i="3"/>
  <c r="W125" i="3"/>
  <c r="V125" i="3"/>
  <c r="T125" i="3"/>
  <c r="S125" i="3"/>
  <c r="R125" i="3"/>
  <c r="Q125" i="3"/>
  <c r="P125" i="3"/>
  <c r="N125" i="3"/>
  <c r="M125" i="3"/>
  <c r="L125" i="3"/>
  <c r="K125" i="3"/>
  <c r="J125" i="3"/>
  <c r="AD125" i="3" s="1"/>
  <c r="AH125" i="3" s="1"/>
  <c r="I125" i="3"/>
  <c r="H125" i="3"/>
  <c r="G125" i="3"/>
  <c r="F125" i="3"/>
  <c r="E125" i="3"/>
  <c r="D125" i="3"/>
  <c r="D93" i="3" s="1"/>
  <c r="C125" i="3"/>
  <c r="C93" i="3" s="1"/>
  <c r="B125" i="3"/>
  <c r="AG124" i="3"/>
  <c r="AF124" i="3"/>
  <c r="Z124" i="3"/>
  <c r="Y124" i="3"/>
  <c r="X124" i="3"/>
  <c r="W124" i="3"/>
  <c r="V124" i="3"/>
  <c r="U124" i="3"/>
  <c r="T124" i="3"/>
  <c r="S124" i="3"/>
  <c r="P124" i="3"/>
  <c r="O124" i="3"/>
  <c r="N124" i="3"/>
  <c r="M124" i="3"/>
  <c r="K124" i="3"/>
  <c r="J124" i="3"/>
  <c r="I124" i="3"/>
  <c r="H124" i="3"/>
  <c r="G124" i="3"/>
  <c r="F124" i="3"/>
  <c r="E124" i="3"/>
  <c r="E156" i="3" s="1"/>
  <c r="D124" i="3"/>
  <c r="C124" i="3"/>
  <c r="B124" i="3"/>
  <c r="B92" i="3" s="1"/>
  <c r="Z123" i="3"/>
  <c r="Y123" i="3"/>
  <c r="X123" i="3"/>
  <c r="W123" i="3"/>
  <c r="V123" i="3"/>
  <c r="U123" i="3"/>
  <c r="T123" i="3"/>
  <c r="S123" i="3"/>
  <c r="R123" i="3"/>
  <c r="Q123" i="3"/>
  <c r="P123" i="3"/>
  <c r="N123" i="3"/>
  <c r="N155" i="3" s="1"/>
  <c r="M123" i="3"/>
  <c r="L123" i="3"/>
  <c r="K123" i="3"/>
  <c r="J123" i="3"/>
  <c r="J155" i="3" s="1"/>
  <c r="H123" i="3"/>
  <c r="G123" i="3"/>
  <c r="F123" i="3"/>
  <c r="D123" i="3"/>
  <c r="C123" i="3"/>
  <c r="B123" i="3"/>
  <c r="AG122" i="3"/>
  <c r="AF122" i="3"/>
  <c r="Z122" i="3"/>
  <c r="Y122" i="3"/>
  <c r="X122" i="3"/>
  <c r="W122" i="3"/>
  <c r="V122" i="3"/>
  <c r="U122" i="3"/>
  <c r="T122" i="3"/>
  <c r="S122" i="3"/>
  <c r="R122" i="3"/>
  <c r="Q122" i="3"/>
  <c r="P122" i="3"/>
  <c r="O122" i="3"/>
  <c r="N122" i="3"/>
  <c r="M122" i="3"/>
  <c r="K122" i="3"/>
  <c r="J122" i="3"/>
  <c r="I122" i="3"/>
  <c r="H122" i="3"/>
  <c r="G122" i="3"/>
  <c r="E122" i="3"/>
  <c r="D122" i="3"/>
  <c r="D90" i="3" s="1"/>
  <c r="C122" i="3"/>
  <c r="B122" i="3"/>
  <c r="B154" i="3" s="1"/>
  <c r="AG121" i="3"/>
  <c r="AF121" i="3"/>
  <c r="Z121" i="3"/>
  <c r="Y121" i="3"/>
  <c r="X121" i="3"/>
  <c r="W121" i="3"/>
  <c r="V121" i="3"/>
  <c r="U121" i="3"/>
  <c r="T121" i="3"/>
  <c r="S121" i="3"/>
  <c r="R121" i="3"/>
  <c r="Q121" i="3"/>
  <c r="P121" i="3"/>
  <c r="O121" i="3"/>
  <c r="N121" i="3"/>
  <c r="M121" i="3"/>
  <c r="M89" i="3" s="1"/>
  <c r="L121" i="3"/>
  <c r="L89" i="3" s="1"/>
  <c r="J121" i="3"/>
  <c r="H121" i="3"/>
  <c r="G121" i="3"/>
  <c r="F121" i="3"/>
  <c r="E121" i="3"/>
  <c r="D121" i="3"/>
  <c r="B121" i="3"/>
  <c r="AD120" i="3"/>
  <c r="AH120" i="3" s="1"/>
  <c r="Z120" i="3"/>
  <c r="Y120" i="3"/>
  <c r="X120" i="3"/>
  <c r="W120" i="3"/>
  <c r="U120" i="3"/>
  <c r="T120" i="3"/>
  <c r="T128" i="3" s="1"/>
  <c r="S120" i="3"/>
  <c r="R120" i="3"/>
  <c r="Q120" i="3"/>
  <c r="P120" i="3"/>
  <c r="O120" i="3"/>
  <c r="AG120" i="3" s="1"/>
  <c r="N120" i="3"/>
  <c r="M120" i="3"/>
  <c r="L120" i="3"/>
  <c r="K120" i="3"/>
  <c r="J120" i="3"/>
  <c r="I120" i="3"/>
  <c r="H120" i="3"/>
  <c r="G120" i="3"/>
  <c r="D120" i="3"/>
  <c r="C120" i="3"/>
  <c r="C152" i="3" s="1"/>
  <c r="B120" i="3"/>
  <c r="AG119" i="3"/>
  <c r="AF119" i="3"/>
  <c r="AD119" i="3"/>
  <c r="Z119" i="3"/>
  <c r="X119" i="3"/>
  <c r="W119" i="3"/>
  <c r="V119" i="3"/>
  <c r="U119" i="3"/>
  <c r="T119" i="3"/>
  <c r="R119" i="3"/>
  <c r="Q119" i="3"/>
  <c r="P119" i="3"/>
  <c r="O119" i="3"/>
  <c r="N119" i="3"/>
  <c r="M119" i="3"/>
  <c r="M151" i="3" s="1"/>
  <c r="L119" i="3"/>
  <c r="K119" i="3"/>
  <c r="K151" i="3" s="1"/>
  <c r="J119" i="3"/>
  <c r="I119" i="3"/>
  <c r="I151" i="3" s="1"/>
  <c r="H119" i="3"/>
  <c r="H151" i="3" s="1"/>
  <c r="G119" i="3"/>
  <c r="G151" i="3" s="1"/>
  <c r="F119" i="3"/>
  <c r="B119" i="3"/>
  <c r="Z118" i="3"/>
  <c r="Y118" i="3"/>
  <c r="W118" i="3"/>
  <c r="T118" i="3"/>
  <c r="R118" i="3"/>
  <c r="Q118" i="3"/>
  <c r="O118" i="3"/>
  <c r="AG118" i="3" s="1"/>
  <c r="N118" i="3"/>
  <c r="M118" i="3"/>
  <c r="K118" i="3"/>
  <c r="J118" i="3"/>
  <c r="I118" i="3"/>
  <c r="H118" i="3"/>
  <c r="G118" i="3"/>
  <c r="F118" i="3"/>
  <c r="E118" i="3"/>
  <c r="D118" i="3"/>
  <c r="C118" i="3"/>
  <c r="AG117" i="3"/>
  <c r="AF117" i="3"/>
  <c r="Z117" i="3"/>
  <c r="Y117" i="3"/>
  <c r="X117" i="3"/>
  <c r="W117" i="3"/>
  <c r="V117" i="3"/>
  <c r="U117" i="3"/>
  <c r="T117" i="3"/>
  <c r="R117" i="3"/>
  <c r="Q117" i="3"/>
  <c r="P117" i="3"/>
  <c r="O117" i="3"/>
  <c r="N117" i="3"/>
  <c r="L117" i="3"/>
  <c r="K117" i="3"/>
  <c r="J117" i="3"/>
  <c r="H117" i="3"/>
  <c r="G117" i="3"/>
  <c r="F117" i="3"/>
  <c r="E117" i="3"/>
  <c r="C117" i="3"/>
  <c r="B117" i="3"/>
  <c r="AG116" i="3"/>
  <c r="Z116" i="3"/>
  <c r="X116" i="3"/>
  <c r="W116" i="3"/>
  <c r="V116" i="3"/>
  <c r="U116" i="3"/>
  <c r="T116" i="3"/>
  <c r="S116" i="3"/>
  <c r="R116" i="3"/>
  <c r="O116" i="3"/>
  <c r="M116" i="3"/>
  <c r="D116" i="3"/>
  <c r="B116" i="3"/>
  <c r="Z115" i="3"/>
  <c r="Y115" i="3"/>
  <c r="X115" i="3"/>
  <c r="W115" i="3"/>
  <c r="V115" i="3"/>
  <c r="U115" i="3"/>
  <c r="T115" i="3"/>
  <c r="S115" i="3"/>
  <c r="R115" i="3"/>
  <c r="Q115" i="3"/>
  <c r="P115" i="3"/>
  <c r="O115" i="3"/>
  <c r="N115" i="3"/>
  <c r="M115" i="3"/>
  <c r="L115" i="3"/>
  <c r="K115" i="3"/>
  <c r="J115" i="3"/>
  <c r="I115" i="3"/>
  <c r="H115" i="3"/>
  <c r="G115" i="3"/>
  <c r="F115" i="3"/>
  <c r="E115" i="3"/>
  <c r="D115" i="3"/>
  <c r="C115" i="3"/>
  <c r="B115" i="3"/>
  <c r="M113" i="3"/>
  <c r="P111" i="3"/>
  <c r="P191" i="3" s="1"/>
  <c r="O111" i="3"/>
  <c r="O191" i="3" s="1"/>
  <c r="N111" i="3"/>
  <c r="N191" i="3" s="1"/>
  <c r="L111" i="3"/>
  <c r="L191" i="3" s="1"/>
  <c r="K111" i="3"/>
  <c r="J111" i="3"/>
  <c r="J95" i="3" s="1"/>
  <c r="I111" i="3"/>
  <c r="H111" i="3"/>
  <c r="G111" i="3"/>
  <c r="F111" i="3"/>
  <c r="E111" i="3"/>
  <c r="C111" i="3"/>
  <c r="P110" i="3"/>
  <c r="P190" i="3" s="1"/>
  <c r="M110" i="3"/>
  <c r="L110" i="3"/>
  <c r="L190" i="3" s="1"/>
  <c r="J110" i="3"/>
  <c r="H110" i="3"/>
  <c r="H190" i="3" s="1"/>
  <c r="H338" i="3" s="1"/>
  <c r="G110" i="3"/>
  <c r="G190" i="3" s="1"/>
  <c r="F110" i="3"/>
  <c r="F190" i="3" s="1"/>
  <c r="E110" i="3"/>
  <c r="E190" i="3" s="1"/>
  <c r="E338" i="3" s="1"/>
  <c r="D110" i="3"/>
  <c r="D190" i="3" s="1"/>
  <c r="D174" i="3" s="1"/>
  <c r="D320" i="3" s="1"/>
  <c r="C110" i="3"/>
  <c r="B110" i="3"/>
  <c r="B190" i="3" s="1"/>
  <c r="P109" i="3"/>
  <c r="O109" i="3"/>
  <c r="N109" i="3"/>
  <c r="M109" i="3"/>
  <c r="L109" i="3"/>
  <c r="L189" i="3" s="1"/>
  <c r="J109" i="3"/>
  <c r="I109" i="3"/>
  <c r="F109" i="3"/>
  <c r="E109" i="3"/>
  <c r="D109" i="3"/>
  <c r="C109" i="3"/>
  <c r="B109" i="3"/>
  <c r="B189" i="3" s="1"/>
  <c r="B337" i="3" s="1"/>
  <c r="P108" i="3"/>
  <c r="M108" i="3"/>
  <c r="M188" i="3" s="1"/>
  <c r="K108" i="3"/>
  <c r="K188" i="3" s="1"/>
  <c r="J108" i="3"/>
  <c r="J188" i="3" s="1"/>
  <c r="G108" i="3"/>
  <c r="G188" i="3" s="1"/>
  <c r="G336" i="3" s="1"/>
  <c r="F108" i="3"/>
  <c r="F188" i="3" s="1"/>
  <c r="F336" i="3" s="1"/>
  <c r="E108" i="3"/>
  <c r="C108" i="3"/>
  <c r="B108" i="3"/>
  <c r="B188" i="3" s="1"/>
  <c r="O107" i="3"/>
  <c r="M107" i="3"/>
  <c r="L107" i="3"/>
  <c r="J107" i="3"/>
  <c r="H107" i="3"/>
  <c r="G107" i="3"/>
  <c r="C107" i="3"/>
  <c r="C187" i="3" s="1"/>
  <c r="C335" i="3" s="1"/>
  <c r="B107" i="3"/>
  <c r="B91" i="3" s="1"/>
  <c r="AG106" i="3"/>
  <c r="AF106" i="3"/>
  <c r="AB106" i="3"/>
  <c r="P106" i="3"/>
  <c r="O106" i="3"/>
  <c r="O90" i="3" s="1"/>
  <c r="N106" i="3"/>
  <c r="N90" i="3" s="1"/>
  <c r="L106" i="3"/>
  <c r="L186" i="3" s="1"/>
  <c r="K106" i="3"/>
  <c r="K186" i="3" s="1"/>
  <c r="J106" i="3"/>
  <c r="J186" i="3" s="1"/>
  <c r="I106" i="3"/>
  <c r="I186" i="3" s="1"/>
  <c r="G106" i="3"/>
  <c r="E106" i="3"/>
  <c r="D106" i="3"/>
  <c r="AB105" i="3"/>
  <c r="O105" i="3"/>
  <c r="M105" i="3"/>
  <c r="L105" i="3"/>
  <c r="K105" i="3"/>
  <c r="G105" i="3"/>
  <c r="F105" i="3"/>
  <c r="D105" i="3"/>
  <c r="D89" i="3" s="1"/>
  <c r="C105" i="3"/>
  <c r="B105" i="3"/>
  <c r="B89" i="3" s="1"/>
  <c r="AG104" i="3"/>
  <c r="P104" i="3"/>
  <c r="O104" i="3"/>
  <c r="O88" i="3" s="1"/>
  <c r="L104" i="3"/>
  <c r="L88" i="3" s="1"/>
  <c r="J104" i="3"/>
  <c r="I104" i="3"/>
  <c r="H104" i="3"/>
  <c r="F104" i="3"/>
  <c r="F184" i="3" s="1"/>
  <c r="D104" i="3"/>
  <c r="C104" i="3"/>
  <c r="M103" i="3"/>
  <c r="I103" i="3"/>
  <c r="H103" i="3"/>
  <c r="G103" i="3"/>
  <c r="F103" i="3"/>
  <c r="F183" i="3" s="1"/>
  <c r="AG102" i="3"/>
  <c r="Q102" i="3"/>
  <c r="P102" i="3"/>
  <c r="O102" i="3"/>
  <c r="N102" i="3"/>
  <c r="M102" i="3"/>
  <c r="K102" i="3"/>
  <c r="K86" i="3" s="1"/>
  <c r="J102" i="3"/>
  <c r="E102" i="3"/>
  <c r="E182" i="3" s="1"/>
  <c r="D102" i="3"/>
  <c r="D182" i="3" s="1"/>
  <c r="B102" i="3"/>
  <c r="AG101" i="3"/>
  <c r="AF101" i="3"/>
  <c r="Q101" i="3"/>
  <c r="P101" i="3"/>
  <c r="O101" i="3"/>
  <c r="N101" i="3"/>
  <c r="M101" i="3"/>
  <c r="L101" i="3"/>
  <c r="K101" i="3"/>
  <c r="H101" i="3"/>
  <c r="G101" i="3"/>
  <c r="F101" i="3"/>
  <c r="K100" i="3"/>
  <c r="I100" i="3"/>
  <c r="H100" i="3"/>
  <c r="E100" i="3"/>
  <c r="E180" i="3" s="1"/>
  <c r="D100" i="3"/>
  <c r="D180" i="3" s="1"/>
  <c r="Z99" i="3"/>
  <c r="Y99" i="3"/>
  <c r="X99" i="3"/>
  <c r="W99" i="3"/>
  <c r="V99" i="3"/>
  <c r="U99" i="3"/>
  <c r="T99" i="3"/>
  <c r="S99" i="3"/>
  <c r="R99" i="3"/>
  <c r="Q99" i="3"/>
  <c r="P99" i="3"/>
  <c r="O99" i="3"/>
  <c r="N99" i="3"/>
  <c r="M99" i="3"/>
  <c r="L99" i="3"/>
  <c r="K99" i="3"/>
  <c r="J99" i="3"/>
  <c r="I99" i="3"/>
  <c r="H99" i="3"/>
  <c r="G99" i="3"/>
  <c r="F99" i="3"/>
  <c r="E99" i="3"/>
  <c r="D99" i="3"/>
  <c r="C99" i="3"/>
  <c r="B99" i="3"/>
  <c r="P95" i="3"/>
  <c r="O95" i="3"/>
  <c r="AG95" i="3" s="1"/>
  <c r="N95" i="3"/>
  <c r="I95" i="3"/>
  <c r="L93" i="3"/>
  <c r="J93" i="3"/>
  <c r="I93" i="3"/>
  <c r="J91" i="3"/>
  <c r="H91" i="3"/>
  <c r="G91" i="3"/>
  <c r="F89" i="3"/>
  <c r="P88" i="3"/>
  <c r="C88" i="3"/>
  <c r="I87" i="3"/>
  <c r="H87" i="3"/>
  <c r="G87" i="3"/>
  <c r="F87" i="3"/>
  <c r="Q86" i="3"/>
  <c r="N86" i="3"/>
  <c r="L85" i="3"/>
  <c r="H85" i="3"/>
  <c r="G85" i="3"/>
  <c r="H77" i="3"/>
  <c r="G77" i="3"/>
  <c r="F77" i="3"/>
  <c r="E77" i="3"/>
  <c r="D77" i="3"/>
  <c r="C77" i="3"/>
  <c r="B77" i="3"/>
  <c r="P76" i="3"/>
  <c r="O76" i="3"/>
  <c r="F76" i="3"/>
  <c r="E76" i="3"/>
  <c r="O75" i="3"/>
  <c r="N75" i="3"/>
  <c r="M75" i="3"/>
  <c r="L75" i="3"/>
  <c r="K75" i="3"/>
  <c r="J75" i="3"/>
  <c r="I75" i="3"/>
  <c r="H75" i="3"/>
  <c r="P74" i="3"/>
  <c r="O74" i="3"/>
  <c r="N74" i="3"/>
  <c r="M74" i="3"/>
  <c r="L74" i="3"/>
  <c r="K74" i="3"/>
  <c r="P73" i="3"/>
  <c r="O73" i="3"/>
  <c r="C73" i="3"/>
  <c r="B73" i="3"/>
  <c r="L72" i="3"/>
  <c r="B71" i="3"/>
  <c r="L70" i="3"/>
  <c r="K70" i="3"/>
  <c r="J70" i="3"/>
  <c r="I70" i="3"/>
  <c r="H70" i="3"/>
  <c r="G70" i="3"/>
  <c r="F70" i="3"/>
  <c r="E70" i="3"/>
  <c r="D70" i="3"/>
  <c r="C70" i="3"/>
  <c r="B70" i="3"/>
  <c r="J68" i="3"/>
  <c r="I68" i="3"/>
  <c r="H68" i="3"/>
  <c r="G68" i="3"/>
  <c r="F68" i="3"/>
  <c r="Z67" i="3"/>
  <c r="Y67" i="3"/>
  <c r="X67" i="3"/>
  <c r="W67" i="3"/>
  <c r="V67" i="3"/>
  <c r="U67" i="3"/>
  <c r="T67" i="3"/>
  <c r="S67" i="3"/>
  <c r="R67" i="3"/>
  <c r="Q67" i="3"/>
  <c r="P67" i="3"/>
  <c r="O67" i="3"/>
  <c r="N67" i="3"/>
  <c r="M67" i="3"/>
  <c r="L67" i="3"/>
  <c r="K67" i="3"/>
  <c r="J67" i="3"/>
  <c r="I67" i="3"/>
  <c r="H67" i="3"/>
  <c r="G67" i="3"/>
  <c r="F67" i="3"/>
  <c r="E67" i="3"/>
  <c r="D67" i="3"/>
  <c r="C67" i="3"/>
  <c r="B67" i="3"/>
  <c r="Q64" i="3"/>
  <c r="P64" i="3"/>
  <c r="O64" i="3"/>
  <c r="AG63" i="3"/>
  <c r="AF63" i="3"/>
  <c r="AD63" i="3"/>
  <c r="AE63" i="3" s="1"/>
  <c r="Z63" i="3"/>
  <c r="Y63" i="3"/>
  <c r="X63" i="3"/>
  <c r="W63" i="3"/>
  <c r="V63" i="3"/>
  <c r="U63" i="3"/>
  <c r="T63" i="3"/>
  <c r="S63" i="3"/>
  <c r="R63" i="3"/>
  <c r="Q63" i="3"/>
  <c r="P63" i="3"/>
  <c r="P79" i="3" s="1"/>
  <c r="O63" i="3"/>
  <c r="O79" i="3" s="1"/>
  <c r="N63" i="3"/>
  <c r="N79" i="3" s="1"/>
  <c r="M63" i="3"/>
  <c r="M79" i="3" s="1"/>
  <c r="L63" i="3"/>
  <c r="L79" i="3" s="1"/>
  <c r="K63" i="3"/>
  <c r="K79" i="3" s="1"/>
  <c r="J63" i="3"/>
  <c r="J79" i="3" s="1"/>
  <c r="I63" i="3"/>
  <c r="I79" i="3" s="1"/>
  <c r="H63" i="3"/>
  <c r="H79" i="3" s="1"/>
  <c r="G63" i="3"/>
  <c r="G79" i="3" s="1"/>
  <c r="F63" i="3"/>
  <c r="F15" i="3" s="1"/>
  <c r="E63" i="3"/>
  <c r="E15" i="3" s="1"/>
  <c r="D63" i="3"/>
  <c r="D79" i="3" s="1"/>
  <c r="C63" i="3"/>
  <c r="B63" i="3"/>
  <c r="Z62" i="3"/>
  <c r="Y62" i="3"/>
  <c r="X62" i="3"/>
  <c r="W62" i="3"/>
  <c r="V62" i="3"/>
  <c r="U62" i="3"/>
  <c r="T62" i="3"/>
  <c r="S62" i="3"/>
  <c r="R62" i="3"/>
  <c r="Q62" i="3"/>
  <c r="P62" i="3"/>
  <c r="P14" i="3" s="1"/>
  <c r="O62" i="3"/>
  <c r="O14" i="3" s="1"/>
  <c r="N62" i="3"/>
  <c r="N78" i="3" s="1"/>
  <c r="M62" i="3"/>
  <c r="L62" i="3"/>
  <c r="K62" i="3"/>
  <c r="J62" i="3"/>
  <c r="AD62" i="3" s="1"/>
  <c r="AH62" i="3" s="1"/>
  <c r="I62" i="3"/>
  <c r="H62" i="3"/>
  <c r="G62" i="3"/>
  <c r="F62" i="3"/>
  <c r="E62" i="3"/>
  <c r="D62" i="3"/>
  <c r="C62" i="3"/>
  <c r="B62" i="3"/>
  <c r="AG61" i="3"/>
  <c r="AI61" i="3" s="1"/>
  <c r="AF61" i="3"/>
  <c r="AD61" i="3"/>
  <c r="AH61" i="3" s="1"/>
  <c r="Z61" i="3"/>
  <c r="Y61" i="3"/>
  <c r="X61" i="3"/>
  <c r="W61" i="3"/>
  <c r="V61" i="3"/>
  <c r="U61" i="3"/>
  <c r="T61" i="3"/>
  <c r="S61" i="3"/>
  <c r="R61" i="3"/>
  <c r="Q61" i="3"/>
  <c r="P61" i="3"/>
  <c r="P77" i="3" s="1"/>
  <c r="O61" i="3"/>
  <c r="O77" i="3" s="1"/>
  <c r="N61" i="3"/>
  <c r="N77" i="3" s="1"/>
  <c r="M61" i="3"/>
  <c r="L61" i="3"/>
  <c r="K61" i="3"/>
  <c r="J61" i="3"/>
  <c r="I61" i="3"/>
  <c r="H61" i="3"/>
  <c r="G61" i="3"/>
  <c r="F61" i="3"/>
  <c r="E61" i="3"/>
  <c r="D61" i="3"/>
  <c r="D13" i="3" s="1"/>
  <c r="D449" i="3" s="1"/>
  <c r="C61" i="3"/>
  <c r="C13" i="3" s="1"/>
  <c r="B61" i="3"/>
  <c r="AH60" i="3"/>
  <c r="AG60" i="3"/>
  <c r="AI60" i="3" s="1"/>
  <c r="AF60" i="3"/>
  <c r="Z60" i="3"/>
  <c r="Y60" i="3"/>
  <c r="X60" i="3"/>
  <c r="W60" i="3"/>
  <c r="V60" i="3"/>
  <c r="U60" i="3"/>
  <c r="T60" i="3"/>
  <c r="S60" i="3"/>
  <c r="R60" i="3"/>
  <c r="Q60" i="3"/>
  <c r="P60" i="3"/>
  <c r="O60" i="3"/>
  <c r="N60" i="3"/>
  <c r="N12" i="3" s="1"/>
  <c r="M60" i="3"/>
  <c r="M12" i="3" s="1"/>
  <c r="L60" i="3"/>
  <c r="L76" i="3" s="1"/>
  <c r="K60" i="3"/>
  <c r="K76" i="3" s="1"/>
  <c r="J60" i="3"/>
  <c r="AD60" i="3" s="1"/>
  <c r="I60" i="3"/>
  <c r="H60" i="3"/>
  <c r="H76" i="3" s="1"/>
  <c r="G60" i="3"/>
  <c r="G76" i="3" s="1"/>
  <c r="F60" i="3"/>
  <c r="E60" i="3"/>
  <c r="D60" i="3"/>
  <c r="C60" i="3"/>
  <c r="C76" i="3" s="1"/>
  <c r="B60" i="3"/>
  <c r="B76" i="3" s="1"/>
  <c r="AD59" i="3"/>
  <c r="AH59" i="3" s="1"/>
  <c r="Z59" i="3"/>
  <c r="Y59" i="3"/>
  <c r="X59" i="3"/>
  <c r="W59" i="3"/>
  <c r="V59" i="3"/>
  <c r="U59" i="3"/>
  <c r="T59" i="3"/>
  <c r="S59" i="3"/>
  <c r="R59" i="3"/>
  <c r="Q59" i="3"/>
  <c r="P59" i="3"/>
  <c r="P75" i="3" s="1"/>
  <c r="O59" i="3"/>
  <c r="AG59" i="3" s="1"/>
  <c r="N59" i="3"/>
  <c r="M59" i="3"/>
  <c r="L59" i="3"/>
  <c r="K59" i="3"/>
  <c r="J59" i="3"/>
  <c r="I59" i="3"/>
  <c r="H59" i="3"/>
  <c r="G59" i="3"/>
  <c r="F59" i="3"/>
  <c r="F75" i="3" s="1"/>
  <c r="E59" i="3"/>
  <c r="E75" i="3" s="1"/>
  <c r="D59" i="3"/>
  <c r="D75" i="3" s="1"/>
  <c r="C59" i="3"/>
  <c r="C75" i="3" s="1"/>
  <c r="B59" i="3"/>
  <c r="B11" i="3" s="1"/>
  <c r="AG58" i="3"/>
  <c r="AF58" i="3"/>
  <c r="AD58" i="3"/>
  <c r="Z58" i="3"/>
  <c r="Y58" i="3"/>
  <c r="X58" i="3"/>
  <c r="W58" i="3"/>
  <c r="V58" i="3"/>
  <c r="U58" i="3"/>
  <c r="T58" i="3"/>
  <c r="S58" i="3"/>
  <c r="R58" i="3"/>
  <c r="Q58" i="3"/>
  <c r="P58" i="3"/>
  <c r="O58" i="3"/>
  <c r="N58" i="3"/>
  <c r="M58" i="3"/>
  <c r="L58" i="3"/>
  <c r="K58" i="3"/>
  <c r="K10" i="3" s="1"/>
  <c r="J58" i="3"/>
  <c r="J74" i="3" s="1"/>
  <c r="I58" i="3"/>
  <c r="I74" i="3" s="1"/>
  <c r="H58" i="3"/>
  <c r="H74" i="3" s="1"/>
  <c r="G58" i="3"/>
  <c r="G74" i="3" s="1"/>
  <c r="F58" i="3"/>
  <c r="F74" i="3" s="1"/>
  <c r="E58" i="3"/>
  <c r="E74" i="3" s="1"/>
  <c r="D58" i="3"/>
  <c r="D74" i="3" s="1"/>
  <c r="C58" i="3"/>
  <c r="C74" i="3" s="1"/>
  <c r="B58" i="3"/>
  <c r="B74" i="3" s="1"/>
  <c r="Z57" i="3"/>
  <c r="Y57" i="3"/>
  <c r="X57" i="3"/>
  <c r="W57" i="3"/>
  <c r="V57" i="3"/>
  <c r="U57" i="3"/>
  <c r="T57" i="3"/>
  <c r="S57" i="3"/>
  <c r="R57" i="3"/>
  <c r="Q57" i="3"/>
  <c r="P57" i="3"/>
  <c r="O57" i="3"/>
  <c r="AG57" i="3" s="1"/>
  <c r="N57" i="3"/>
  <c r="N73" i="3" s="1"/>
  <c r="M57" i="3"/>
  <c r="M73" i="3" s="1"/>
  <c r="L57" i="3"/>
  <c r="L73" i="3" s="1"/>
  <c r="K57" i="3"/>
  <c r="K73" i="3" s="1"/>
  <c r="J57" i="3"/>
  <c r="J73" i="3" s="1"/>
  <c r="I57" i="3"/>
  <c r="H57" i="3"/>
  <c r="H73" i="3" s="1"/>
  <c r="G57" i="3"/>
  <c r="F57" i="3"/>
  <c r="E57" i="3"/>
  <c r="D57" i="3"/>
  <c r="D73" i="3" s="1"/>
  <c r="C57" i="3"/>
  <c r="B57" i="3"/>
  <c r="AG56" i="3"/>
  <c r="AF56" i="3"/>
  <c r="AD56" i="3"/>
  <c r="AH56" i="3" s="1"/>
  <c r="AI56" i="3" s="1"/>
  <c r="Z56" i="3"/>
  <c r="Y56" i="3"/>
  <c r="Y64" i="3" s="1"/>
  <c r="X56" i="3"/>
  <c r="W56" i="3"/>
  <c r="V56" i="3"/>
  <c r="U56" i="3"/>
  <c r="T56" i="3"/>
  <c r="S56" i="3"/>
  <c r="R56" i="3"/>
  <c r="Q56" i="3"/>
  <c r="P56" i="3"/>
  <c r="O56" i="3"/>
  <c r="N56" i="3"/>
  <c r="N72" i="3" s="1"/>
  <c r="M56" i="3"/>
  <c r="M72" i="3" s="1"/>
  <c r="L56" i="3"/>
  <c r="K56" i="3"/>
  <c r="K72" i="3" s="1"/>
  <c r="J56" i="3"/>
  <c r="J8" i="3" s="1"/>
  <c r="I56" i="3"/>
  <c r="I8" i="3" s="1"/>
  <c r="H56" i="3"/>
  <c r="H72" i="3" s="1"/>
  <c r="G56" i="3"/>
  <c r="G8" i="3" s="1"/>
  <c r="F56" i="3"/>
  <c r="F8" i="3" s="1"/>
  <c r="E56" i="3"/>
  <c r="E72" i="3" s="1"/>
  <c r="D56" i="3"/>
  <c r="D72" i="3" s="1"/>
  <c r="C56" i="3"/>
  <c r="C64" i="3" s="1"/>
  <c r="B56" i="3"/>
  <c r="B72" i="3" s="1"/>
  <c r="AG55" i="3"/>
  <c r="Z55" i="3"/>
  <c r="Y55" i="3"/>
  <c r="X55" i="3"/>
  <c r="W55" i="3"/>
  <c r="V55" i="3"/>
  <c r="U55" i="3"/>
  <c r="T55" i="3"/>
  <c r="S55" i="3"/>
  <c r="R55" i="3"/>
  <c r="Q55" i="3"/>
  <c r="P55" i="3"/>
  <c r="P71" i="3" s="1"/>
  <c r="O55" i="3"/>
  <c r="AF55" i="3" s="1"/>
  <c r="N55" i="3"/>
  <c r="N71" i="3" s="1"/>
  <c r="M55" i="3"/>
  <c r="M71" i="3" s="1"/>
  <c r="L55" i="3"/>
  <c r="L71" i="3" s="1"/>
  <c r="K55" i="3"/>
  <c r="K71" i="3" s="1"/>
  <c r="J55" i="3"/>
  <c r="I55" i="3"/>
  <c r="I71" i="3" s="1"/>
  <c r="H55" i="3"/>
  <c r="H71" i="3" s="1"/>
  <c r="G55" i="3"/>
  <c r="G71" i="3" s="1"/>
  <c r="F55" i="3"/>
  <c r="E55" i="3"/>
  <c r="D55" i="3"/>
  <c r="C55" i="3"/>
  <c r="B55" i="3"/>
  <c r="AD54" i="3"/>
  <c r="AH54" i="3" s="1"/>
  <c r="Z54" i="3"/>
  <c r="Y54" i="3"/>
  <c r="X54" i="3"/>
  <c r="W54" i="3"/>
  <c r="V54" i="3"/>
  <c r="U54" i="3"/>
  <c r="T54" i="3"/>
  <c r="S54" i="3"/>
  <c r="R54" i="3"/>
  <c r="Q54" i="3"/>
  <c r="Q70" i="3" s="1"/>
  <c r="P54" i="3"/>
  <c r="P70" i="3" s="1"/>
  <c r="O54" i="3"/>
  <c r="N54" i="3"/>
  <c r="N70" i="3" s="1"/>
  <c r="M54" i="3"/>
  <c r="M70" i="3" s="1"/>
  <c r="L54" i="3"/>
  <c r="K54" i="3"/>
  <c r="J54" i="3"/>
  <c r="I54" i="3"/>
  <c r="H54" i="3"/>
  <c r="G54" i="3"/>
  <c r="F54" i="3"/>
  <c r="E54" i="3"/>
  <c r="E6" i="3" s="1"/>
  <c r="D54" i="3"/>
  <c r="C54" i="3"/>
  <c r="C6" i="3" s="1"/>
  <c r="B54" i="3"/>
  <c r="AG53" i="3"/>
  <c r="AF53" i="3"/>
  <c r="AD53" i="3"/>
  <c r="AH53" i="3" s="1"/>
  <c r="Z53" i="3"/>
  <c r="Z64" i="3" s="1"/>
  <c r="Y53" i="3"/>
  <c r="X53" i="3"/>
  <c r="W53" i="3"/>
  <c r="V53" i="3"/>
  <c r="U53" i="3"/>
  <c r="T53" i="3"/>
  <c r="S53" i="3"/>
  <c r="R53" i="3"/>
  <c r="Q53" i="3"/>
  <c r="Q69" i="3" s="1"/>
  <c r="P53" i="3"/>
  <c r="P69" i="3" s="1"/>
  <c r="O53" i="3"/>
  <c r="O5" i="3" s="1"/>
  <c r="N53" i="3"/>
  <c r="N69" i="3" s="1"/>
  <c r="M53" i="3"/>
  <c r="M69" i="3" s="1"/>
  <c r="L53" i="3"/>
  <c r="L69" i="3" s="1"/>
  <c r="K53" i="3"/>
  <c r="K69" i="3" s="1"/>
  <c r="J53" i="3"/>
  <c r="J69" i="3" s="1"/>
  <c r="I53" i="3"/>
  <c r="I69" i="3" s="1"/>
  <c r="H53" i="3"/>
  <c r="H69" i="3" s="1"/>
  <c r="G53" i="3"/>
  <c r="G69" i="3" s="1"/>
  <c r="F53" i="3"/>
  <c r="F69" i="3" s="1"/>
  <c r="E53" i="3"/>
  <c r="E69" i="3" s="1"/>
  <c r="D53" i="3"/>
  <c r="D64" i="3" s="1"/>
  <c r="C53" i="3"/>
  <c r="B53" i="3"/>
  <c r="Z52" i="3"/>
  <c r="Y52" i="3"/>
  <c r="X52" i="3"/>
  <c r="W52" i="3"/>
  <c r="V52" i="3"/>
  <c r="U52" i="3"/>
  <c r="T52" i="3"/>
  <c r="S52" i="3"/>
  <c r="R52" i="3"/>
  <c r="Q52" i="3"/>
  <c r="Q68" i="3" s="1"/>
  <c r="P52" i="3"/>
  <c r="P68" i="3" s="1"/>
  <c r="O52" i="3"/>
  <c r="N52" i="3"/>
  <c r="M52" i="3"/>
  <c r="L52" i="3"/>
  <c r="K52" i="3"/>
  <c r="J52" i="3"/>
  <c r="I52" i="3"/>
  <c r="H52" i="3"/>
  <c r="G52" i="3"/>
  <c r="F52" i="3"/>
  <c r="E52" i="3"/>
  <c r="E68" i="3" s="1"/>
  <c r="D52" i="3"/>
  <c r="D68" i="3" s="1"/>
  <c r="C52" i="3"/>
  <c r="C68" i="3" s="1"/>
  <c r="B52" i="3"/>
  <c r="B68" i="3" s="1"/>
  <c r="N49" i="3"/>
  <c r="M49" i="3"/>
  <c r="C48" i="3"/>
  <c r="B48" i="3"/>
  <c r="P47" i="3"/>
  <c r="P207" i="3" s="1"/>
  <c r="O47" i="3"/>
  <c r="AG47" i="3" s="1"/>
  <c r="AI47" i="3" s="1"/>
  <c r="N47" i="3"/>
  <c r="N207" i="3" s="1"/>
  <c r="M47" i="3"/>
  <c r="L47" i="3"/>
  <c r="K47" i="3"/>
  <c r="J47" i="3"/>
  <c r="AD47" i="3" s="1"/>
  <c r="AH47" i="3" s="1"/>
  <c r="I47" i="3"/>
  <c r="H47" i="3"/>
  <c r="G47" i="3"/>
  <c r="F47" i="3"/>
  <c r="E47" i="3"/>
  <c r="D47" i="3"/>
  <c r="C47" i="3"/>
  <c r="B47" i="3"/>
  <c r="AG46" i="3"/>
  <c r="AF46" i="3"/>
  <c r="AD46" i="3"/>
  <c r="AH46" i="3" s="1"/>
  <c r="AB46" i="3"/>
  <c r="P46" i="3"/>
  <c r="P206" i="3" s="1"/>
  <c r="O46" i="3"/>
  <c r="O206" i="3" s="1"/>
  <c r="N46" i="3"/>
  <c r="N206" i="3" s="1"/>
  <c r="M46" i="3"/>
  <c r="L46" i="3"/>
  <c r="K46" i="3"/>
  <c r="J46" i="3"/>
  <c r="J14" i="3" s="1"/>
  <c r="I46" i="3"/>
  <c r="I14" i="3" s="1"/>
  <c r="H46" i="3"/>
  <c r="G46" i="3"/>
  <c r="F46" i="3"/>
  <c r="E46" i="3"/>
  <c r="D46" i="3"/>
  <c r="D206" i="3" s="1"/>
  <c r="C46" i="3"/>
  <c r="B46" i="3"/>
  <c r="AG45" i="3"/>
  <c r="P45" i="3"/>
  <c r="O45" i="3"/>
  <c r="AF45" i="3" s="1"/>
  <c r="N45" i="3"/>
  <c r="M45" i="3"/>
  <c r="M205" i="3" s="1"/>
  <c r="L45" i="3"/>
  <c r="L205" i="3" s="1"/>
  <c r="K45" i="3"/>
  <c r="J45" i="3"/>
  <c r="I45" i="3"/>
  <c r="I77" i="3" s="1"/>
  <c r="H45" i="3"/>
  <c r="G45" i="3"/>
  <c r="F45" i="3"/>
  <c r="F205" i="3" s="1"/>
  <c r="E45" i="3"/>
  <c r="D45" i="3"/>
  <c r="C45" i="3"/>
  <c r="B45" i="3"/>
  <c r="B205" i="3" s="1"/>
  <c r="AF44" i="3"/>
  <c r="AE44" i="3"/>
  <c r="AD44" i="3"/>
  <c r="AH44" i="3" s="1"/>
  <c r="AB44" i="3"/>
  <c r="P44" i="3"/>
  <c r="P204" i="3" s="1"/>
  <c r="O44" i="3"/>
  <c r="O204" i="3" s="1"/>
  <c r="N44" i="3"/>
  <c r="M44" i="3"/>
  <c r="M204" i="3" s="1"/>
  <c r="L44" i="3"/>
  <c r="K44" i="3"/>
  <c r="J44" i="3"/>
  <c r="I44" i="3"/>
  <c r="H44" i="3"/>
  <c r="G44" i="3"/>
  <c r="F44" i="3"/>
  <c r="E44" i="3"/>
  <c r="E204" i="3" s="1"/>
  <c r="D44" i="3"/>
  <c r="C44" i="3"/>
  <c r="C12" i="3" s="1"/>
  <c r="B44" i="3"/>
  <c r="AG43" i="3"/>
  <c r="AF43" i="3"/>
  <c r="P43" i="3"/>
  <c r="O43" i="3"/>
  <c r="N43" i="3"/>
  <c r="M43" i="3"/>
  <c r="L43" i="3"/>
  <c r="K43" i="3"/>
  <c r="J43" i="3"/>
  <c r="J203" i="3" s="1"/>
  <c r="I43" i="3"/>
  <c r="H43" i="3"/>
  <c r="H203" i="3" s="1"/>
  <c r="G43" i="3"/>
  <c r="G75" i="3" s="1"/>
  <c r="F43" i="3"/>
  <c r="E43" i="3"/>
  <c r="D43" i="3"/>
  <c r="D203" i="3" s="1"/>
  <c r="C43" i="3"/>
  <c r="C203" i="3" s="1"/>
  <c r="B43" i="3"/>
  <c r="B203" i="3" s="1"/>
  <c r="AD42" i="3"/>
  <c r="AH42" i="3" s="1"/>
  <c r="AB42" i="3"/>
  <c r="P42" i="3"/>
  <c r="O42" i="3"/>
  <c r="O202" i="3" s="1"/>
  <c r="N42" i="3"/>
  <c r="M42" i="3"/>
  <c r="L42" i="3"/>
  <c r="K42" i="3"/>
  <c r="K202" i="3" s="1"/>
  <c r="J42" i="3"/>
  <c r="I42" i="3"/>
  <c r="I202" i="3" s="1"/>
  <c r="H42" i="3"/>
  <c r="G42" i="3"/>
  <c r="F42" i="3"/>
  <c r="E42" i="3"/>
  <c r="E10" i="3" s="1"/>
  <c r="D42" i="3"/>
  <c r="C42" i="3"/>
  <c r="C202" i="3" s="1"/>
  <c r="B42" i="3"/>
  <c r="AG41" i="3"/>
  <c r="AF41" i="3"/>
  <c r="AE41" i="3"/>
  <c r="AD41" i="3"/>
  <c r="AH41" i="3" s="1"/>
  <c r="P41" i="3"/>
  <c r="P49" i="3" s="1"/>
  <c r="O41" i="3"/>
  <c r="O9" i="3" s="1"/>
  <c r="N41" i="3"/>
  <c r="M41" i="3"/>
  <c r="L41" i="3"/>
  <c r="K41" i="3"/>
  <c r="K9" i="3" s="1"/>
  <c r="J41" i="3"/>
  <c r="I41" i="3"/>
  <c r="I73" i="3" s="1"/>
  <c r="H41" i="3"/>
  <c r="G41" i="3"/>
  <c r="F41" i="3"/>
  <c r="F201" i="3" s="1"/>
  <c r="E41" i="3"/>
  <c r="E201" i="3" s="1"/>
  <c r="D41" i="3"/>
  <c r="C41" i="3"/>
  <c r="B41" i="3"/>
  <c r="B201" i="3" s="1"/>
  <c r="P40" i="3"/>
  <c r="AB41" i="3" s="1"/>
  <c r="O40" i="3"/>
  <c r="N40" i="3"/>
  <c r="M40" i="3"/>
  <c r="L40" i="3"/>
  <c r="K40" i="3"/>
  <c r="K200" i="3" s="1"/>
  <c r="J40" i="3"/>
  <c r="AD40" i="3" s="1"/>
  <c r="AH40" i="3" s="1"/>
  <c r="I40" i="3"/>
  <c r="I200" i="3" s="1"/>
  <c r="H40" i="3"/>
  <c r="G40" i="3"/>
  <c r="F40" i="3"/>
  <c r="E40" i="3"/>
  <c r="D40" i="3"/>
  <c r="D8" i="3" s="1"/>
  <c r="C40" i="3"/>
  <c r="C8" i="3" s="1"/>
  <c r="B40" i="3"/>
  <c r="AG39" i="3"/>
  <c r="AF39" i="3"/>
  <c r="AD39" i="3"/>
  <c r="AE39" i="3" s="1"/>
  <c r="AB39" i="3"/>
  <c r="P39" i="3"/>
  <c r="O39" i="3"/>
  <c r="N39" i="3"/>
  <c r="N7" i="3" s="1"/>
  <c r="M39" i="3"/>
  <c r="M7" i="3" s="1"/>
  <c r="L39" i="3"/>
  <c r="K39" i="3"/>
  <c r="J39" i="3"/>
  <c r="I39" i="3"/>
  <c r="H39" i="3"/>
  <c r="G39" i="3"/>
  <c r="G199" i="3" s="1"/>
  <c r="F39" i="3"/>
  <c r="F199" i="3" s="1"/>
  <c r="E39" i="3"/>
  <c r="D39" i="3"/>
  <c r="C39" i="3"/>
  <c r="C71" i="3" s="1"/>
  <c r="B39" i="3"/>
  <c r="Q38" i="3"/>
  <c r="P38" i="3"/>
  <c r="AB38" i="3" s="1"/>
  <c r="O38" i="3"/>
  <c r="N38" i="3"/>
  <c r="N198" i="3" s="1"/>
  <c r="M38" i="3"/>
  <c r="M198" i="3" s="1"/>
  <c r="L38" i="3"/>
  <c r="K38" i="3"/>
  <c r="J38" i="3"/>
  <c r="I38" i="3"/>
  <c r="H38" i="3"/>
  <c r="G38" i="3"/>
  <c r="G198" i="3" s="1"/>
  <c r="F38" i="3"/>
  <c r="E38" i="3"/>
  <c r="E198" i="3" s="1"/>
  <c r="D38" i="3"/>
  <c r="C38" i="3"/>
  <c r="B38" i="3"/>
  <c r="AG37" i="3"/>
  <c r="AF37" i="3"/>
  <c r="AD37" i="3"/>
  <c r="AE37" i="3" s="1"/>
  <c r="AB37" i="3"/>
  <c r="Q37" i="3"/>
  <c r="P37" i="3"/>
  <c r="O37" i="3"/>
  <c r="N37" i="3"/>
  <c r="M37" i="3"/>
  <c r="L37" i="3"/>
  <c r="L5" i="3" s="1"/>
  <c r="K37" i="3"/>
  <c r="K5" i="3" s="1"/>
  <c r="J37" i="3"/>
  <c r="I37" i="3"/>
  <c r="H37" i="3"/>
  <c r="G37" i="3"/>
  <c r="G5" i="3" s="1"/>
  <c r="F37" i="3"/>
  <c r="E37" i="3"/>
  <c r="D37" i="3"/>
  <c r="C37" i="3"/>
  <c r="C197" i="3" s="1"/>
  <c r="B37" i="3"/>
  <c r="B197" i="3" s="1"/>
  <c r="Q36" i="3"/>
  <c r="P36" i="3"/>
  <c r="O36" i="3"/>
  <c r="AG36" i="3" s="1"/>
  <c r="N36" i="3"/>
  <c r="M36" i="3"/>
  <c r="L36" i="3"/>
  <c r="K36" i="3"/>
  <c r="J36" i="3"/>
  <c r="I36" i="3"/>
  <c r="H36" i="3"/>
  <c r="G36" i="3"/>
  <c r="F36" i="3"/>
  <c r="E36" i="3"/>
  <c r="D36" i="3"/>
  <c r="C36" i="3"/>
  <c r="B36" i="3"/>
  <c r="P33" i="3"/>
  <c r="O33" i="3"/>
  <c r="AG31" i="3"/>
  <c r="P31" i="3"/>
  <c r="AB31" i="3" s="1"/>
  <c r="O31" i="3"/>
  <c r="AF31" i="3" s="1"/>
  <c r="N31" i="3"/>
  <c r="N15" i="3" s="1"/>
  <c r="M31" i="3"/>
  <c r="M15" i="3" s="1"/>
  <c r="L31" i="3"/>
  <c r="L15" i="3" s="1"/>
  <c r="K31" i="3"/>
  <c r="K15" i="3" s="1"/>
  <c r="J31" i="3"/>
  <c r="I31" i="3"/>
  <c r="H31" i="3"/>
  <c r="G31" i="3"/>
  <c r="F31" i="3"/>
  <c r="E31" i="3"/>
  <c r="D31" i="3"/>
  <c r="D15" i="3" s="1"/>
  <c r="C31" i="3"/>
  <c r="B31" i="3"/>
  <c r="AF30" i="3"/>
  <c r="AE30" i="3"/>
  <c r="AD30" i="3"/>
  <c r="AH30" i="3" s="1"/>
  <c r="AB30" i="3"/>
  <c r="P30" i="3"/>
  <c r="O30" i="3"/>
  <c r="AG30" i="3" s="1"/>
  <c r="AI30" i="3" s="1"/>
  <c r="N30" i="3"/>
  <c r="N14" i="3" s="1"/>
  <c r="M30" i="3"/>
  <c r="L30" i="3"/>
  <c r="K30" i="3"/>
  <c r="J30" i="3"/>
  <c r="I30" i="3"/>
  <c r="H30" i="3"/>
  <c r="H14" i="3" s="1"/>
  <c r="G30" i="3"/>
  <c r="G14" i="3" s="1"/>
  <c r="F30" i="3"/>
  <c r="E30" i="3"/>
  <c r="D30" i="3"/>
  <c r="D14" i="3" s="1"/>
  <c r="C30" i="3"/>
  <c r="C14" i="3" s="1"/>
  <c r="B30" i="3"/>
  <c r="B14" i="3" s="1"/>
  <c r="AG29" i="3"/>
  <c r="AF29" i="3"/>
  <c r="P29" i="3"/>
  <c r="AB29" i="3" s="1"/>
  <c r="O29" i="3"/>
  <c r="N29" i="3"/>
  <c r="N13" i="3" s="1"/>
  <c r="M29" i="3"/>
  <c r="M13" i="3" s="1"/>
  <c r="L29" i="3"/>
  <c r="L13" i="3" s="1"/>
  <c r="K29" i="3"/>
  <c r="K13" i="3" s="1"/>
  <c r="J29" i="3"/>
  <c r="AD29" i="3" s="1"/>
  <c r="AH29" i="3" s="1"/>
  <c r="I29" i="3"/>
  <c r="I13" i="3" s="1"/>
  <c r="I449" i="3" s="1"/>
  <c r="H29" i="3"/>
  <c r="H13" i="3" s="1"/>
  <c r="G29" i="3"/>
  <c r="F29" i="3"/>
  <c r="E29" i="3"/>
  <c r="D29" i="3"/>
  <c r="C29" i="3"/>
  <c r="B29" i="3"/>
  <c r="B13" i="3" s="1"/>
  <c r="AD28" i="3"/>
  <c r="AH28" i="3" s="1"/>
  <c r="AB28" i="3"/>
  <c r="P28" i="3"/>
  <c r="O28" i="3"/>
  <c r="AG28" i="3" s="1"/>
  <c r="AI28" i="3" s="1"/>
  <c r="N28" i="3"/>
  <c r="M28" i="3"/>
  <c r="L28" i="3"/>
  <c r="L12" i="3" s="1"/>
  <c r="K28" i="3"/>
  <c r="J28" i="3"/>
  <c r="I28" i="3"/>
  <c r="H28" i="3"/>
  <c r="G28" i="3"/>
  <c r="F28" i="3"/>
  <c r="F12" i="3" s="1"/>
  <c r="E28" i="3"/>
  <c r="E12" i="3" s="1"/>
  <c r="D28" i="3"/>
  <c r="C28" i="3"/>
  <c r="B28" i="3"/>
  <c r="B12" i="3" s="1"/>
  <c r="AG27" i="3"/>
  <c r="AF27" i="3"/>
  <c r="AD27" i="3"/>
  <c r="AH27" i="3" s="1"/>
  <c r="P27" i="3"/>
  <c r="P11" i="3" s="1"/>
  <c r="O27" i="3"/>
  <c r="O11" i="3" s="1"/>
  <c r="N27" i="3"/>
  <c r="M27" i="3"/>
  <c r="L27" i="3"/>
  <c r="L187" i="3" s="1"/>
  <c r="K27" i="3"/>
  <c r="K11" i="3" s="1"/>
  <c r="J27" i="3"/>
  <c r="J11" i="3" s="1"/>
  <c r="I27" i="3"/>
  <c r="I11" i="3" s="1"/>
  <c r="H27" i="3"/>
  <c r="H11" i="3" s="1"/>
  <c r="G27" i="3"/>
  <c r="F27" i="3"/>
  <c r="F11" i="3" s="1"/>
  <c r="E27" i="3"/>
  <c r="E11" i="3" s="1"/>
  <c r="D27" i="3"/>
  <c r="C27" i="3"/>
  <c r="B27" i="3"/>
  <c r="P26" i="3"/>
  <c r="AB27" i="3" s="1"/>
  <c r="O26" i="3"/>
  <c r="N26" i="3"/>
  <c r="M26" i="3"/>
  <c r="L26" i="3"/>
  <c r="K26" i="3"/>
  <c r="J26" i="3"/>
  <c r="J10" i="3" s="1"/>
  <c r="I26" i="3"/>
  <c r="H26" i="3"/>
  <c r="G26" i="3"/>
  <c r="F26" i="3"/>
  <c r="E26" i="3"/>
  <c r="D26" i="3"/>
  <c r="D10" i="3" s="1"/>
  <c r="D446" i="3" s="1"/>
  <c r="C26" i="3"/>
  <c r="C10" i="3" s="1"/>
  <c r="B26" i="3"/>
  <c r="AG25" i="3"/>
  <c r="AF25" i="3"/>
  <c r="AD25" i="3"/>
  <c r="AE25" i="3" s="1"/>
  <c r="AB25" i="3"/>
  <c r="P25" i="3"/>
  <c r="O25" i="3"/>
  <c r="N25" i="3"/>
  <c r="M25" i="3"/>
  <c r="L25" i="3"/>
  <c r="K25" i="3"/>
  <c r="J25" i="3"/>
  <c r="J9" i="3" s="1"/>
  <c r="I25" i="3"/>
  <c r="I9" i="3" s="1"/>
  <c r="H25" i="3"/>
  <c r="H9" i="3" s="1"/>
  <c r="G25" i="3"/>
  <c r="F25" i="3"/>
  <c r="E25" i="3"/>
  <c r="E9" i="3" s="1"/>
  <c r="D25" i="3"/>
  <c r="C25" i="3"/>
  <c r="C185" i="3" s="1"/>
  <c r="B25" i="3"/>
  <c r="P24" i="3"/>
  <c r="P8" i="3" s="1"/>
  <c r="O24" i="3"/>
  <c r="O184" i="3" s="1"/>
  <c r="N24" i="3"/>
  <c r="N8" i="3" s="1"/>
  <c r="M24" i="3"/>
  <c r="M8" i="3" s="1"/>
  <c r="L24" i="3"/>
  <c r="K24" i="3"/>
  <c r="J24" i="3"/>
  <c r="I24" i="3"/>
  <c r="H24" i="3"/>
  <c r="H8" i="3" s="1"/>
  <c r="G24" i="3"/>
  <c r="F24" i="3"/>
  <c r="E24" i="3"/>
  <c r="D24" i="3"/>
  <c r="C24" i="3"/>
  <c r="B24" i="3"/>
  <c r="B8" i="3" s="1"/>
  <c r="AG23" i="3"/>
  <c r="AF23" i="3"/>
  <c r="AD23" i="3"/>
  <c r="AE23" i="3" s="1"/>
  <c r="AB23" i="3"/>
  <c r="P23" i="3"/>
  <c r="O23" i="3"/>
  <c r="N23" i="3"/>
  <c r="M23" i="3"/>
  <c r="L23" i="3"/>
  <c r="L7" i="3" s="1"/>
  <c r="K23" i="3"/>
  <c r="K7" i="3" s="1"/>
  <c r="J23" i="3"/>
  <c r="I23" i="3"/>
  <c r="H23" i="3"/>
  <c r="H183" i="3" s="1"/>
  <c r="G23" i="3"/>
  <c r="G7" i="3" s="1"/>
  <c r="G443" i="3" s="1"/>
  <c r="F23" i="3"/>
  <c r="F7" i="3" s="1"/>
  <c r="E23" i="3"/>
  <c r="D23" i="3"/>
  <c r="C23" i="3"/>
  <c r="B23" i="3"/>
  <c r="B7" i="3" s="1"/>
  <c r="Q22" i="3"/>
  <c r="Q6" i="3" s="1"/>
  <c r="P22" i="3"/>
  <c r="AB22" i="3" s="1"/>
  <c r="O22" i="3"/>
  <c r="AG22" i="3" s="1"/>
  <c r="AI22" i="3" s="1"/>
  <c r="N22" i="3"/>
  <c r="N6" i="3" s="1"/>
  <c r="M22" i="3"/>
  <c r="M6" i="3" s="1"/>
  <c r="L22" i="3"/>
  <c r="L6" i="3" s="1"/>
  <c r="K22" i="3"/>
  <c r="K6" i="3" s="1"/>
  <c r="J22" i="3"/>
  <c r="AD22" i="3" s="1"/>
  <c r="AH22" i="3" s="1"/>
  <c r="I22" i="3"/>
  <c r="H22" i="3"/>
  <c r="G22" i="3"/>
  <c r="F22" i="3"/>
  <c r="F6" i="3" s="1"/>
  <c r="E22" i="3"/>
  <c r="D22" i="3"/>
  <c r="C22" i="3"/>
  <c r="B22" i="3"/>
  <c r="AG21" i="3"/>
  <c r="AF21" i="3"/>
  <c r="AD21" i="3"/>
  <c r="AH21" i="3" s="1"/>
  <c r="AB21" i="3"/>
  <c r="Q21" i="3"/>
  <c r="P21" i="3"/>
  <c r="P5" i="3" s="1"/>
  <c r="O21" i="3"/>
  <c r="N21" i="3"/>
  <c r="M21" i="3"/>
  <c r="L21" i="3"/>
  <c r="K21" i="3"/>
  <c r="J21" i="3"/>
  <c r="J5" i="3" s="1"/>
  <c r="I21" i="3"/>
  <c r="I5" i="3" s="1"/>
  <c r="H21" i="3"/>
  <c r="G21" i="3"/>
  <c r="F21" i="3"/>
  <c r="F5" i="3" s="1"/>
  <c r="E21" i="3"/>
  <c r="D21" i="3"/>
  <c r="C21" i="3"/>
  <c r="B21" i="3"/>
  <c r="AG20" i="3"/>
  <c r="Q20" i="3"/>
  <c r="P20" i="3"/>
  <c r="AB20" i="3" s="1"/>
  <c r="O20" i="3"/>
  <c r="AF20" i="3" s="1"/>
  <c r="N20" i="3"/>
  <c r="M20" i="3"/>
  <c r="L20" i="3"/>
  <c r="K20" i="3"/>
  <c r="J20" i="3"/>
  <c r="I20" i="3"/>
  <c r="H20" i="3"/>
  <c r="G20" i="3"/>
  <c r="F20" i="3"/>
  <c r="E20" i="3"/>
  <c r="D20" i="3"/>
  <c r="D4" i="3" s="1"/>
  <c r="C20" i="3"/>
  <c r="B20" i="3"/>
  <c r="I15" i="3"/>
  <c r="H15" i="3"/>
  <c r="G15" i="3"/>
  <c r="G13" i="3"/>
  <c r="F13" i="3"/>
  <c r="F449" i="3" s="1"/>
  <c r="E13" i="3"/>
  <c r="P12" i="3"/>
  <c r="O12" i="3"/>
  <c r="D11" i="3"/>
  <c r="C11" i="3"/>
  <c r="O10" i="3"/>
  <c r="N10" i="3"/>
  <c r="M10" i="3"/>
  <c r="L10" i="3"/>
  <c r="C9" i="3"/>
  <c r="B9" i="3"/>
  <c r="L8" i="3"/>
  <c r="K8" i="3"/>
  <c r="J6" i="3"/>
  <c r="I6" i="3"/>
  <c r="H6" i="3"/>
  <c r="G6" i="3"/>
  <c r="D6" i="3"/>
  <c r="Q5" i="3"/>
  <c r="M5" i="3"/>
  <c r="I4" i="3"/>
  <c r="H4" i="3"/>
  <c r="G4" i="3"/>
  <c r="F4" i="3"/>
  <c r="E4" i="3"/>
  <c r="C4" i="3"/>
  <c r="AB6" i="2"/>
  <c r="AA6" i="2"/>
  <c r="AB5" i="2"/>
  <c r="X4" i="2"/>
  <c r="W4" i="2"/>
  <c r="V4" i="2"/>
  <c r="U4" i="2"/>
  <c r="AG1" i="2"/>
  <c r="AF1" i="2"/>
  <c r="AE1" i="2"/>
  <c r="AD1" i="2"/>
  <c r="AC1" i="2"/>
  <c r="AB1" i="2"/>
  <c r="AA1" i="2"/>
  <c r="Z1" i="2"/>
  <c r="Y1" i="2"/>
  <c r="X1" i="2"/>
  <c r="W1" i="2"/>
  <c r="V1" i="2"/>
  <c r="U1" i="2"/>
  <c r="T1" i="2"/>
  <c r="P1" i="2"/>
  <c r="O1" i="2"/>
  <c r="N1" i="2"/>
  <c r="M1" i="2"/>
  <c r="L1" i="2"/>
  <c r="K1" i="2"/>
  <c r="J1" i="2"/>
  <c r="I1" i="2"/>
  <c r="H1" i="2"/>
  <c r="G1" i="2"/>
  <c r="F1" i="2"/>
  <c r="E1" i="2"/>
  <c r="D1" i="2"/>
  <c r="C1" i="2"/>
  <c r="B1" i="2"/>
  <c r="M32" i="1"/>
  <c r="L32" i="1"/>
  <c r="L31" i="1"/>
  <c r="E31" i="1"/>
  <c r="AC30" i="1"/>
  <c r="Z30" i="1"/>
  <c r="Q30" i="1"/>
  <c r="J30" i="1"/>
  <c r="G30" i="1"/>
  <c r="D30" i="1"/>
  <c r="D26" i="1"/>
  <c r="Y19" i="1"/>
  <c r="X19" i="1"/>
  <c r="W19" i="1"/>
  <c r="V19" i="1"/>
  <c r="U19" i="1"/>
  <c r="T19" i="1"/>
  <c r="S19" i="1"/>
  <c r="R19" i="1"/>
  <c r="Q19" i="1"/>
  <c r="P19" i="1"/>
  <c r="O19" i="1"/>
  <c r="N19" i="1"/>
  <c r="M19" i="1"/>
  <c r="L19" i="1"/>
  <c r="K19" i="1"/>
  <c r="J19" i="1"/>
  <c r="I19" i="1"/>
  <c r="H19" i="1"/>
  <c r="G19" i="1"/>
  <c r="F19" i="1"/>
  <c r="E19" i="1"/>
  <c r="D19" i="1"/>
  <c r="C19" i="1"/>
  <c r="B19" i="1"/>
  <c r="Y15" i="1"/>
  <c r="X15" i="1"/>
  <c r="W15" i="1"/>
  <c r="V15" i="1"/>
  <c r="U15" i="1"/>
  <c r="T15" i="1"/>
  <c r="S15" i="1"/>
  <c r="R15" i="1"/>
  <c r="Q15" i="1"/>
  <c r="P15" i="1"/>
  <c r="O15" i="1"/>
  <c r="N15" i="1"/>
  <c r="M15" i="1"/>
  <c r="L15" i="1"/>
  <c r="K15" i="1"/>
  <c r="J15" i="1"/>
  <c r="I15" i="1"/>
  <c r="H15" i="1"/>
  <c r="G15" i="1"/>
  <c r="F15" i="1"/>
  <c r="E15" i="1"/>
  <c r="D15" i="1"/>
  <c r="C15" i="1"/>
  <c r="B15" i="1"/>
  <c r="G14" i="1"/>
  <c r="U13" i="1"/>
  <c r="T13" i="1"/>
  <c r="O13" i="1"/>
  <c r="I13" i="1"/>
  <c r="D13" i="1"/>
  <c r="AD12" i="1"/>
  <c r="AC12" i="1"/>
  <c r="AB12" i="1"/>
  <c r="AA12" i="1"/>
  <c r="Z12" i="1"/>
  <c r="Y12" i="1"/>
  <c r="X12" i="1"/>
  <c r="W12" i="1"/>
  <c r="V12" i="1"/>
  <c r="U12" i="1"/>
  <c r="T12" i="1"/>
  <c r="S12" i="1"/>
  <c r="R12" i="1"/>
  <c r="S8" i="1"/>
  <c r="R8" i="1"/>
  <c r="U353" i="11" l="1"/>
  <c r="T30" i="13"/>
  <c r="U21" i="11"/>
  <c r="S32" i="11"/>
  <c r="Y32" i="11"/>
  <c r="AA32" i="11"/>
  <c r="R32" i="11"/>
  <c r="U30" i="13"/>
  <c r="Q8" i="1"/>
  <c r="V13" i="2"/>
  <c r="S20" i="9"/>
  <c r="G32" i="11"/>
  <c r="AD20" i="9"/>
  <c r="U20" i="9"/>
  <c r="V32" i="11"/>
  <c r="Q20" i="9"/>
  <c r="T353" i="11"/>
  <c r="Y13" i="2"/>
  <c r="Y14" i="2" s="1"/>
  <c r="Y15" i="2" s="1"/>
  <c r="Q30" i="13"/>
  <c r="P33" i="15"/>
  <c r="Z13" i="2"/>
  <c r="Z14" i="2" s="1"/>
  <c r="Z15" i="2" s="1"/>
  <c r="AC20" i="7"/>
  <c r="AF20" i="9"/>
  <c r="K32" i="11"/>
  <c r="R30" i="13"/>
  <c r="Q33" i="15"/>
  <c r="J28" i="19"/>
  <c r="AF28" i="19"/>
  <c r="S30" i="13"/>
  <c r="R33" i="15"/>
  <c r="AM6" i="15"/>
  <c r="K20" i="7"/>
  <c r="T21" i="11"/>
  <c r="J13" i="2"/>
  <c r="U20" i="7"/>
  <c r="V20" i="7"/>
  <c r="Y28" i="19"/>
  <c r="Z20" i="7"/>
  <c r="Z28" i="19"/>
  <c r="AA20" i="7"/>
  <c r="AA28" i="19"/>
  <c r="AD28" i="19"/>
  <c r="AB20" i="7"/>
  <c r="AB28" i="19"/>
  <c r="X28" i="19"/>
  <c r="AD20" i="7"/>
  <c r="AG28" i="19"/>
  <c r="AH28" i="19"/>
  <c r="CC9" i="15"/>
  <c r="CE9" i="15"/>
  <c r="CG9" i="15"/>
  <c r="CI9" i="15"/>
  <c r="CK9" i="15"/>
  <c r="Y33" i="15"/>
  <c r="S28" i="19"/>
  <c r="AA30" i="13"/>
  <c r="T28" i="19"/>
  <c r="BY28" i="15"/>
  <c r="AD5" i="6"/>
  <c r="T32" i="11"/>
  <c r="U32" i="11"/>
  <c r="G13" i="2"/>
  <c r="E20" i="7"/>
  <c r="X20" i="9"/>
  <c r="H28" i="19"/>
  <c r="K28" i="19"/>
  <c r="K31" i="19" s="1"/>
  <c r="E13" i="2"/>
  <c r="AA13" i="2"/>
  <c r="AA14" i="2" s="1"/>
  <c r="C20" i="7"/>
  <c r="M30" i="13"/>
  <c r="F13" i="2"/>
  <c r="G28" i="19"/>
  <c r="H13" i="2"/>
  <c r="F20" i="7"/>
  <c r="C20" i="9"/>
  <c r="AE28" i="19"/>
  <c r="D28" i="19"/>
  <c r="E28" i="19"/>
  <c r="F28" i="19"/>
  <c r="L13" i="2"/>
  <c r="C28" i="19"/>
  <c r="M13" i="2"/>
  <c r="AH164" i="15"/>
  <c r="N13" i="2"/>
  <c r="J30" i="13"/>
  <c r="K30" i="13"/>
  <c r="I13" i="2"/>
  <c r="BO28" i="15"/>
  <c r="O13" i="2"/>
  <c r="T8" i="1"/>
  <c r="U8" i="1"/>
  <c r="W13" i="2"/>
  <c r="W14" i="2" s="1"/>
  <c r="W15" i="2" s="1"/>
  <c r="AQ20" i="7"/>
  <c r="L30" i="13"/>
  <c r="Y81" i="11"/>
  <c r="Y43" i="6" s="1"/>
  <c r="BQ28" i="15"/>
  <c r="P13" i="2"/>
  <c r="Z81" i="11"/>
  <c r="Z43" i="6" s="1"/>
  <c r="BS28" i="15"/>
  <c r="AA81" i="11"/>
  <c r="AA43" i="6" s="1"/>
  <c r="BY9" i="15"/>
  <c r="BU28" i="15"/>
  <c r="W32" i="11"/>
  <c r="D30" i="13"/>
  <c r="Z30" i="13"/>
  <c r="AO28" i="19"/>
  <c r="CA9" i="15"/>
  <c r="X32" i="11"/>
  <c r="Z33" i="15"/>
  <c r="AD24" i="6"/>
  <c r="CC6" i="15"/>
  <c r="AB24" i="6"/>
  <c r="BY6" i="15"/>
  <c r="AC24" i="6"/>
  <c r="CA6" i="15"/>
  <c r="AB164" i="15"/>
  <c r="AC164" i="15"/>
  <c r="CM9" i="15"/>
  <c r="AD164" i="15"/>
  <c r="AI164" i="15"/>
  <c r="X8" i="1"/>
  <c r="AF164" i="15"/>
  <c r="R11" i="11"/>
  <c r="S11" i="11" s="1"/>
  <c r="W8" i="1"/>
  <c r="U5" i="6"/>
  <c r="V81" i="11"/>
  <c r="V43" i="6" s="1"/>
  <c r="W3" i="11"/>
  <c r="W19" i="6" s="1"/>
  <c r="AE6" i="15"/>
  <c r="CE6" i="15" s="1"/>
  <c r="AJ6" i="15"/>
  <c r="CM6" i="15" s="1"/>
  <c r="AG164" i="15"/>
  <c r="V3" i="11"/>
  <c r="V19" i="6" s="1"/>
  <c r="AK6" i="15"/>
  <c r="X13" i="2"/>
  <c r="X14" i="2" s="1"/>
  <c r="X15" i="2" s="1"/>
  <c r="BM6" i="11"/>
  <c r="AB70" i="6"/>
  <c r="U20" i="11"/>
  <c r="U21" i="6" s="1"/>
  <c r="V14" i="2"/>
  <c r="V15" i="2" s="1"/>
  <c r="AG184" i="3"/>
  <c r="O332" i="3"/>
  <c r="AI20" i="3"/>
  <c r="B272" i="3"/>
  <c r="L4" i="3"/>
  <c r="AG283" i="3"/>
  <c r="AF283" i="3"/>
  <c r="O299" i="3"/>
  <c r="O235" i="3"/>
  <c r="N32" i="3"/>
  <c r="O170" i="3"/>
  <c r="AG186" i="3"/>
  <c r="AF186" i="3"/>
  <c r="O334" i="3"/>
  <c r="AF11" i="3"/>
  <c r="AG11" i="3"/>
  <c r="AI29" i="3"/>
  <c r="G206" i="3"/>
  <c r="F64" i="3"/>
  <c r="C69" i="3"/>
  <c r="R64" i="3"/>
  <c r="AI59" i="3"/>
  <c r="AG88" i="3"/>
  <c r="I334" i="3"/>
  <c r="I170" i="3"/>
  <c r="I316" i="3" s="1"/>
  <c r="B336" i="3"/>
  <c r="B172" i="3"/>
  <c r="B318" i="3" s="1"/>
  <c r="N189" i="3"/>
  <c r="D148" i="3"/>
  <c r="H158" i="3"/>
  <c r="P186" i="3"/>
  <c r="H233" i="3"/>
  <c r="AG38" i="3"/>
  <c r="AI38" i="3" s="1"/>
  <c r="AF38" i="3"/>
  <c r="AE38" i="3"/>
  <c r="N204" i="3"/>
  <c r="AF204" i="3" s="1"/>
  <c r="D164" i="3"/>
  <c r="E328" i="3"/>
  <c r="AG24" i="3"/>
  <c r="AF24" i="3"/>
  <c r="O8" i="3"/>
  <c r="F257" i="11"/>
  <c r="F15" i="11" s="1"/>
  <c r="F115" i="4"/>
  <c r="I32" i="3"/>
  <c r="D199" i="3"/>
  <c r="D71" i="3"/>
  <c r="D80" i="3" s="1"/>
  <c r="AI46" i="3"/>
  <c r="M272" i="3"/>
  <c r="W272" i="3"/>
  <c r="C333" i="3"/>
  <c r="AG133" i="3"/>
  <c r="AF133" i="3"/>
  <c r="O85" i="3"/>
  <c r="H200" i="3"/>
  <c r="I184" i="3"/>
  <c r="I88" i="3"/>
  <c r="I444" i="3" s="1"/>
  <c r="I477" i="3" s="1"/>
  <c r="O17" i="3"/>
  <c r="AG9" i="3"/>
  <c r="AD10" i="3"/>
  <c r="AH10" i="3" s="1"/>
  <c r="B450" i="3"/>
  <c r="G64" i="3"/>
  <c r="S64" i="3"/>
  <c r="D69" i="3"/>
  <c r="J334" i="3"/>
  <c r="C188" i="3"/>
  <c r="C92" i="3"/>
  <c r="C448" i="3" s="1"/>
  <c r="O189" i="3"/>
  <c r="AG109" i="3"/>
  <c r="AF109" i="3"/>
  <c r="E86" i="3"/>
  <c r="E150" i="3"/>
  <c r="AD237" i="3"/>
  <c r="AH237" i="3" s="1"/>
  <c r="J343" i="4"/>
  <c r="N292" i="3"/>
  <c r="N288" i="3"/>
  <c r="N228" i="3"/>
  <c r="I149" i="3"/>
  <c r="C351" i="4"/>
  <c r="AE119" i="3"/>
  <c r="AH119" i="3"/>
  <c r="AI119" i="3" s="1"/>
  <c r="K4" i="3"/>
  <c r="K32" i="3"/>
  <c r="N272" i="3"/>
  <c r="AG202" i="3"/>
  <c r="H184" i="3"/>
  <c r="H88" i="3"/>
  <c r="H444" i="3" s="1"/>
  <c r="O70" i="3"/>
  <c r="AE29" i="3"/>
  <c r="AG10" i="3"/>
  <c r="AI10" i="3" s="1"/>
  <c r="AF10" i="3"/>
  <c r="AE10" i="3"/>
  <c r="C7" i="3"/>
  <c r="C32" i="3"/>
  <c r="H64" i="3"/>
  <c r="AD8" i="3"/>
  <c r="AH8" i="3" s="1"/>
  <c r="K334" i="3"/>
  <c r="K170" i="3"/>
  <c r="K316" i="3" s="1"/>
  <c r="P93" i="3"/>
  <c r="AD118" i="3"/>
  <c r="P336" i="3"/>
  <c r="P172" i="3"/>
  <c r="P318" i="3" s="1"/>
  <c r="AF228" i="3"/>
  <c r="I297" i="3"/>
  <c r="I233" i="3"/>
  <c r="D7" i="3"/>
  <c r="AD14" i="3"/>
  <c r="AH14" i="3" s="1"/>
  <c r="I64" i="3"/>
  <c r="AE53" i="3"/>
  <c r="E73" i="3"/>
  <c r="L334" i="3"/>
  <c r="E188" i="3"/>
  <c r="E92" i="3"/>
  <c r="K191" i="3"/>
  <c r="K95" i="3"/>
  <c r="AD281" i="3"/>
  <c r="AH281" i="3" s="1"/>
  <c r="J297" i="3"/>
  <c r="J233" i="3"/>
  <c r="J442" i="3"/>
  <c r="AD6" i="3"/>
  <c r="AH6" i="3" s="1"/>
  <c r="E7" i="3"/>
  <c r="AE27" i="3"/>
  <c r="O200" i="3"/>
  <c r="AG40" i="3"/>
  <c r="AI40" i="3" s="1"/>
  <c r="AF40" i="3"/>
  <c r="AE40" i="3"/>
  <c r="AI41" i="3"/>
  <c r="G12" i="3"/>
  <c r="AD52" i="3"/>
  <c r="AH52" i="3" s="1"/>
  <c r="F73" i="3"/>
  <c r="AE60" i="3"/>
  <c r="B338" i="3"/>
  <c r="L339" i="3"/>
  <c r="AD121" i="3"/>
  <c r="AH121" i="3" s="1"/>
  <c r="AI121" i="3" s="1"/>
  <c r="O29" i="5"/>
  <c r="AU58" i="4"/>
  <c r="AY58" i="4" s="1"/>
  <c r="K8" i="7"/>
  <c r="BG8" i="7" s="1"/>
  <c r="BH133" i="7"/>
  <c r="K330" i="3"/>
  <c r="M48" i="3"/>
  <c r="L14" i="3"/>
  <c r="L78" i="3"/>
  <c r="P338" i="3"/>
  <c r="P174" i="3"/>
  <c r="P320" i="3" s="1"/>
  <c r="D330" i="3"/>
  <c r="J295" i="3"/>
  <c r="J231" i="3"/>
  <c r="AD231" i="3" s="1"/>
  <c r="AH231" i="3" s="1"/>
  <c r="AI231" i="3" s="1"/>
  <c r="AD279" i="3"/>
  <c r="AH279" i="3" s="1"/>
  <c r="J288" i="3"/>
  <c r="M189" i="3"/>
  <c r="M93" i="3"/>
  <c r="B5" i="3"/>
  <c r="AI21" i="3"/>
  <c r="M9" i="3"/>
  <c r="B449" i="3"/>
  <c r="P200" i="3"/>
  <c r="P72" i="3"/>
  <c r="P80" i="3" s="1"/>
  <c r="AB40" i="3"/>
  <c r="H12" i="3"/>
  <c r="L207" i="3"/>
  <c r="AD207" i="3" s="1"/>
  <c r="AH207" i="3" s="1"/>
  <c r="K64" i="3"/>
  <c r="AI53" i="3"/>
  <c r="G73" i="3"/>
  <c r="N85" i="3"/>
  <c r="AG90" i="3"/>
  <c r="AF90" i="3"/>
  <c r="C190" i="3"/>
  <c r="C94" i="3"/>
  <c r="C450" i="3" s="1"/>
  <c r="S128" i="3"/>
  <c r="C153" i="3"/>
  <c r="G203" i="3"/>
  <c r="K229" i="3"/>
  <c r="K240" i="3" s="1"/>
  <c r="K256" i="3"/>
  <c r="AD256" i="3" s="1"/>
  <c r="X272" i="3"/>
  <c r="D185" i="3"/>
  <c r="D9" i="3"/>
  <c r="D445" i="3" s="1"/>
  <c r="AD55" i="3"/>
  <c r="AH55" i="3" s="1"/>
  <c r="AI55" i="3" s="1"/>
  <c r="J71" i="3"/>
  <c r="E301" i="3"/>
  <c r="E237" i="3"/>
  <c r="E186" i="3"/>
  <c r="D128" i="3"/>
  <c r="G301" i="3"/>
  <c r="G9" i="3"/>
  <c r="F343" i="3"/>
  <c r="F359" i="3"/>
  <c r="C5" i="3"/>
  <c r="N9" i="3"/>
  <c r="AG26" i="3"/>
  <c r="AI26" i="3" s="1"/>
  <c r="AF26" i="3"/>
  <c r="AE26" i="3"/>
  <c r="AI27" i="3"/>
  <c r="M206" i="3"/>
  <c r="M207" i="3"/>
  <c r="L64" i="3"/>
  <c r="AH58" i="3"/>
  <c r="AI58" i="3" s="1"/>
  <c r="AE58" i="3"/>
  <c r="B15" i="3"/>
  <c r="B79" i="3"/>
  <c r="F331" i="3"/>
  <c r="F167" i="3"/>
  <c r="F313" i="3" s="1"/>
  <c r="M97" i="3"/>
  <c r="N62" i="5"/>
  <c r="AS124" i="4"/>
  <c r="AI39" i="3"/>
  <c r="L338" i="3"/>
  <c r="H32" i="3"/>
  <c r="AD20" i="3"/>
  <c r="AH20" i="3" s="1"/>
  <c r="J4" i="3"/>
  <c r="J32" i="3"/>
  <c r="F332" i="3"/>
  <c r="Z272" i="3"/>
  <c r="L95" i="3"/>
  <c r="D32" i="3"/>
  <c r="H331" i="3"/>
  <c r="P10" i="3"/>
  <c r="AB26" i="3"/>
  <c r="AD38" i="3"/>
  <c r="AH38" i="3" s="1"/>
  <c r="J205" i="3"/>
  <c r="AD45" i="3"/>
  <c r="AH45" i="3" s="1"/>
  <c r="AI45" i="3" s="1"/>
  <c r="J77" i="3"/>
  <c r="M68" i="3"/>
  <c r="M80" i="3" s="1"/>
  <c r="M64" i="3"/>
  <c r="O72" i="3"/>
  <c r="C15" i="3"/>
  <c r="C79" i="3"/>
  <c r="P85" i="3"/>
  <c r="AI120" i="3"/>
  <c r="AG142" i="3"/>
  <c r="AI142" i="3" s="1"/>
  <c r="O158" i="3"/>
  <c r="AE142" i="3"/>
  <c r="AF142" i="3"/>
  <c r="M256" i="3"/>
  <c r="M229" i="3"/>
  <c r="AG339" i="3"/>
  <c r="AF339" i="3"/>
  <c r="E449" i="3"/>
  <c r="L68" i="3"/>
  <c r="L48" i="3"/>
  <c r="AG204" i="3"/>
  <c r="G11" i="3"/>
  <c r="G187" i="3"/>
  <c r="M14" i="3"/>
  <c r="M78" i="3"/>
  <c r="D48" i="3"/>
  <c r="B69" i="3"/>
  <c r="B80" i="3" s="1"/>
  <c r="E32" i="3"/>
  <c r="K204" i="3"/>
  <c r="K172" i="3" s="1"/>
  <c r="K318" i="3" s="1"/>
  <c r="K205" i="3"/>
  <c r="K77" i="3"/>
  <c r="AG206" i="3"/>
  <c r="AF206" i="3"/>
  <c r="N64" i="3"/>
  <c r="N68" i="3"/>
  <c r="M336" i="3"/>
  <c r="M172" i="3"/>
  <c r="M318" i="3" s="1"/>
  <c r="P175" i="3"/>
  <c r="P321" i="3" s="1"/>
  <c r="P339" i="3"/>
  <c r="V128" i="3"/>
  <c r="AE121" i="3"/>
  <c r="L150" i="3"/>
  <c r="I205" i="3"/>
  <c r="J3" i="5"/>
  <c r="AG5" i="3"/>
  <c r="O4" i="5"/>
  <c r="M91" i="3"/>
  <c r="AG14" i="3"/>
  <c r="AF14" i="3"/>
  <c r="AB14" i="3"/>
  <c r="AD143" i="3"/>
  <c r="K159" i="3"/>
  <c r="K302" i="3"/>
  <c r="K304" i="3" s="1"/>
  <c r="K238" i="3"/>
  <c r="AD238" i="3" s="1"/>
  <c r="AH238" i="3" s="1"/>
  <c r="N334" i="3"/>
  <c r="G186" i="3"/>
  <c r="G90" i="3"/>
  <c r="D328" i="3"/>
  <c r="AG12" i="3"/>
  <c r="AF12" i="3"/>
  <c r="AD31" i="3"/>
  <c r="AH31" i="3" s="1"/>
  <c r="AI31" i="3" s="1"/>
  <c r="J15" i="3"/>
  <c r="AG52" i="3"/>
  <c r="AI52" i="3" s="1"/>
  <c r="AF52" i="3"/>
  <c r="AE52" i="3"/>
  <c r="O68" i="3"/>
  <c r="G174" i="3"/>
  <c r="G320" i="3" s="1"/>
  <c r="AI245" i="3"/>
  <c r="F384" i="4"/>
  <c r="K48" i="3"/>
  <c r="K68" i="3"/>
  <c r="K80" i="3" s="1"/>
  <c r="K14" i="3"/>
  <c r="K78" i="3"/>
  <c r="AI127" i="3"/>
  <c r="M203" i="3"/>
  <c r="AB8" i="3"/>
  <c r="K180" i="3"/>
  <c r="L168" i="3"/>
  <c r="L314" i="3" s="1"/>
  <c r="L332" i="3"/>
  <c r="E7" i="4"/>
  <c r="E136" i="4"/>
  <c r="E168" i="4" s="1"/>
  <c r="E330" i="3"/>
  <c r="E166" i="3"/>
  <c r="E312" i="3" s="1"/>
  <c r="E199" i="3"/>
  <c r="E71" i="3"/>
  <c r="E80" i="3" s="1"/>
  <c r="J182" i="3"/>
  <c r="J86" i="3"/>
  <c r="M4" i="3"/>
  <c r="L335" i="3"/>
  <c r="O187" i="3"/>
  <c r="AG107" i="3"/>
  <c r="AB107" i="3"/>
  <c r="F9" i="3"/>
  <c r="F445" i="3" s="1"/>
  <c r="I76" i="3"/>
  <c r="I12" i="3"/>
  <c r="I16" i="3" s="1"/>
  <c r="L173" i="3"/>
  <c r="L319" i="3" s="1"/>
  <c r="L337" i="3"/>
  <c r="AB143" i="3"/>
  <c r="M159" i="3"/>
  <c r="AB12" i="3"/>
  <c r="G32" i="3"/>
  <c r="AD24" i="3"/>
  <c r="AH24" i="3" s="1"/>
  <c r="AD36" i="3"/>
  <c r="AH36" i="3" s="1"/>
  <c r="AI36" i="3" s="1"/>
  <c r="I203" i="3"/>
  <c r="N150" i="3"/>
  <c r="N294" i="3"/>
  <c r="N230" i="3"/>
  <c r="O6" i="3"/>
  <c r="O182" i="3"/>
  <c r="AG278" i="3"/>
  <c r="AF278" i="3"/>
  <c r="J137" i="4"/>
  <c r="J46" i="5"/>
  <c r="N4" i="3"/>
  <c r="AH25" i="3"/>
  <c r="AI25" i="3" s="1"/>
  <c r="F32" i="3"/>
  <c r="H197" i="3"/>
  <c r="H165" i="3" s="1"/>
  <c r="J199" i="3"/>
  <c r="L201" i="3"/>
  <c r="N203" i="3"/>
  <c r="H48" i="3"/>
  <c r="AH63" i="3"/>
  <c r="AI63" i="3" s="1"/>
  <c r="G94" i="3"/>
  <c r="P182" i="3"/>
  <c r="J336" i="3"/>
  <c r="E155" i="3"/>
  <c r="Q228" i="3"/>
  <c r="AD255" i="3"/>
  <c r="J239" i="3"/>
  <c r="AD239" i="3" s="1"/>
  <c r="AH239" i="3" s="1"/>
  <c r="F236" i="3"/>
  <c r="F300" i="3"/>
  <c r="L343" i="3"/>
  <c r="L359" i="3"/>
  <c r="C6" i="5"/>
  <c r="C350" i="4"/>
  <c r="H155" i="4"/>
  <c r="H10" i="4"/>
  <c r="AX45" i="4"/>
  <c r="AW45" i="4"/>
  <c r="K137" i="4"/>
  <c r="O111" i="5"/>
  <c r="BR49" i="7"/>
  <c r="P33" i="7"/>
  <c r="K133" i="9"/>
  <c r="K8" i="9" s="1"/>
  <c r="K89" i="9"/>
  <c r="K101" i="9" s="1"/>
  <c r="AB41" i="10"/>
  <c r="AA42" i="10"/>
  <c r="O4" i="3"/>
  <c r="E5" i="3"/>
  <c r="O15" i="3"/>
  <c r="AE21" i="3"/>
  <c r="M33" i="3"/>
  <c r="K199" i="3"/>
  <c r="M201" i="3"/>
  <c r="AE46" i="3"/>
  <c r="I48" i="3"/>
  <c r="O49" i="3"/>
  <c r="AE61" i="3"/>
  <c r="W64" i="3"/>
  <c r="F71" i="3"/>
  <c r="F80" i="3" s="1"/>
  <c r="C72" i="3"/>
  <c r="C80" i="3" s="1"/>
  <c r="M76" i="3"/>
  <c r="G78" i="3"/>
  <c r="F92" i="3"/>
  <c r="H94" i="3"/>
  <c r="G181" i="3"/>
  <c r="Q182" i="3"/>
  <c r="K336" i="3"/>
  <c r="F185" i="3"/>
  <c r="H187" i="3"/>
  <c r="J189" i="3"/>
  <c r="I240" i="3"/>
  <c r="N237" i="3"/>
  <c r="AF237" i="3" s="1"/>
  <c r="Q230" i="3"/>
  <c r="Q294" i="3"/>
  <c r="P289" i="3"/>
  <c r="D343" i="4"/>
  <c r="I155" i="4"/>
  <c r="I171" i="4" s="1"/>
  <c r="I10" i="4"/>
  <c r="L137" i="4"/>
  <c r="AP111" i="4"/>
  <c r="P4" i="3"/>
  <c r="H7" i="3"/>
  <c r="L11" i="3"/>
  <c r="P15" i="3"/>
  <c r="AH23" i="3"/>
  <c r="AI23" i="3" s="1"/>
  <c r="N33" i="3"/>
  <c r="J197" i="3"/>
  <c r="AH37" i="3"/>
  <c r="AI37" i="3" s="1"/>
  <c r="L199" i="3"/>
  <c r="N201" i="3"/>
  <c r="D202" i="3"/>
  <c r="F204" i="3"/>
  <c r="F172" i="3" s="1"/>
  <c r="H206" i="3"/>
  <c r="H174" i="3" s="1"/>
  <c r="J48" i="3"/>
  <c r="B64" i="3"/>
  <c r="X64" i="3"/>
  <c r="N76" i="3"/>
  <c r="H78" i="3"/>
  <c r="H80" i="3" s="1"/>
  <c r="E79" i="3"/>
  <c r="M87" i="3"/>
  <c r="O89" i="3"/>
  <c r="AB90" i="3" s="1"/>
  <c r="G92" i="3"/>
  <c r="P184" i="3"/>
  <c r="J190" i="3"/>
  <c r="AE127" i="3"/>
  <c r="M150" i="3"/>
  <c r="O152" i="3"/>
  <c r="AB137" i="3"/>
  <c r="J187" i="3"/>
  <c r="J191" i="3"/>
  <c r="K233" i="3"/>
  <c r="AG237" i="3"/>
  <c r="B303" i="3"/>
  <c r="B239" i="3"/>
  <c r="K288" i="3"/>
  <c r="N343" i="3"/>
  <c r="N359" i="3"/>
  <c r="Q11" i="5"/>
  <c r="Q3" i="4"/>
  <c r="J155" i="4"/>
  <c r="J10" i="4"/>
  <c r="G135" i="4"/>
  <c r="G167" i="4" s="1"/>
  <c r="G70" i="4"/>
  <c r="G36" i="5" s="1"/>
  <c r="G46" i="5"/>
  <c r="M72" i="4"/>
  <c r="M137" i="4"/>
  <c r="F159" i="4"/>
  <c r="M224" i="4"/>
  <c r="J13" i="3"/>
  <c r="D5" i="3"/>
  <c r="D16" i="3" s="1"/>
  <c r="P6" i="3"/>
  <c r="AH39" i="3"/>
  <c r="B202" i="3"/>
  <c r="D204" i="3"/>
  <c r="P205" i="3"/>
  <c r="AE56" i="3"/>
  <c r="V64" i="3"/>
  <c r="F78" i="3"/>
  <c r="F181" i="3"/>
  <c r="I144" i="3"/>
  <c r="F337" i="3"/>
  <c r="F173" i="3"/>
  <c r="F319" i="3" s="1"/>
  <c r="P296" i="3"/>
  <c r="P232" i="3"/>
  <c r="O289" i="3"/>
  <c r="O233" i="3"/>
  <c r="AG281" i="3"/>
  <c r="AH287" i="3"/>
  <c r="J140" i="4"/>
  <c r="J75" i="4"/>
  <c r="L9" i="3"/>
  <c r="F14" i="3"/>
  <c r="AE54" i="3"/>
  <c r="O69" i="3"/>
  <c r="J78" i="3"/>
  <c r="AU26" i="4"/>
  <c r="AY26" i="4" s="1"/>
  <c r="K10" i="4"/>
  <c r="U14" i="2"/>
  <c r="U15" i="2" s="1"/>
  <c r="AE28" i="3"/>
  <c r="C198" i="3"/>
  <c r="O199" i="3"/>
  <c r="G202" i="3"/>
  <c r="AE42" i="3"/>
  <c r="I204" i="3"/>
  <c r="AG44" i="3"/>
  <c r="AI44" i="3" s="1"/>
  <c r="K206" i="3"/>
  <c r="AF54" i="3"/>
  <c r="AE59" i="3"/>
  <c r="E64" i="3"/>
  <c r="G72" i="3"/>
  <c r="G80" i="3" s="1"/>
  <c r="D86" i="3"/>
  <c r="F88" i="3"/>
  <c r="L94" i="3"/>
  <c r="K181" i="3"/>
  <c r="I183" i="3"/>
  <c r="G185" i="3"/>
  <c r="C189" i="3"/>
  <c r="M190" i="3"/>
  <c r="AE120" i="3"/>
  <c r="F151" i="3"/>
  <c r="H153" i="3"/>
  <c r="AF137" i="3"/>
  <c r="L157" i="3"/>
  <c r="O154" i="3"/>
  <c r="AE231" i="3"/>
  <c r="J232" i="3"/>
  <c r="AD232" i="3" s="1"/>
  <c r="AH232" i="3" s="1"/>
  <c r="AD248" i="3"/>
  <c r="AH248" i="3" s="1"/>
  <c r="AG254" i="3"/>
  <c r="AI254" i="3" s="1"/>
  <c r="AE254" i="3"/>
  <c r="O238" i="3"/>
  <c r="AF254" i="3"/>
  <c r="O239" i="3"/>
  <c r="AG255" i="3"/>
  <c r="AF255" i="3"/>
  <c r="C293" i="3"/>
  <c r="C229" i="3"/>
  <c r="AF279" i="3"/>
  <c r="K300" i="3"/>
  <c r="E303" i="3"/>
  <c r="E239" i="3"/>
  <c r="O288" i="3"/>
  <c r="O294" i="3"/>
  <c r="AV46" i="4"/>
  <c r="I30" i="5"/>
  <c r="I12" i="4"/>
  <c r="J158" i="4"/>
  <c r="AY62" i="4"/>
  <c r="AZ62" i="4" s="1"/>
  <c r="AV62" i="4"/>
  <c r="Q52" i="5"/>
  <c r="I175" i="4"/>
  <c r="D150" i="4"/>
  <c r="H102" i="5"/>
  <c r="D260" i="4"/>
  <c r="D244" i="4"/>
  <c r="Z260" i="4"/>
  <c r="Z244" i="4"/>
  <c r="O5" i="7"/>
  <c r="BP5" i="7" s="1"/>
  <c r="BP85" i="7"/>
  <c r="Y28" i="10"/>
  <c r="V30" i="10"/>
  <c r="G411" i="11"/>
  <c r="G395" i="11" s="1"/>
  <c r="O68" i="12"/>
  <c r="R68" i="12" s="1"/>
  <c r="AS14" i="4"/>
  <c r="P206" i="11"/>
  <c r="BK222" i="11"/>
  <c r="H359" i="3"/>
  <c r="H343" i="3"/>
  <c r="E6" i="5"/>
  <c r="C78" i="3"/>
  <c r="D94" i="3"/>
  <c r="D450" i="3" s="1"/>
  <c r="D483" i="3" s="1"/>
  <c r="BL49" i="7"/>
  <c r="D78" i="3"/>
  <c r="O207" i="3"/>
  <c r="O175" i="3" s="1"/>
  <c r="M289" i="3"/>
  <c r="J359" i="3"/>
  <c r="J343" i="3"/>
  <c r="G94" i="5"/>
  <c r="E206" i="3"/>
  <c r="E174" i="3" s="1"/>
  <c r="E320" i="3" s="1"/>
  <c r="N289" i="3"/>
  <c r="N233" i="3"/>
  <c r="N241" i="3" s="1"/>
  <c r="B6" i="5"/>
  <c r="BP49" i="7"/>
  <c r="W179" i="16"/>
  <c r="Y179" i="16" s="1"/>
  <c r="G179" i="16"/>
  <c r="I154" i="26"/>
  <c r="J154" i="26" s="1"/>
  <c r="G154" i="26"/>
  <c r="AD26" i="3"/>
  <c r="AH26" i="3" s="1"/>
  <c r="AF28" i="3"/>
  <c r="L32" i="3"/>
  <c r="N197" i="3"/>
  <c r="D198" i="3"/>
  <c r="D166" i="3" s="1"/>
  <c r="D312" i="3" s="1"/>
  <c r="P199" i="3"/>
  <c r="H202" i="3"/>
  <c r="AF42" i="3"/>
  <c r="L206" i="3"/>
  <c r="L174" i="3" s="1"/>
  <c r="L320" i="3" s="1"/>
  <c r="B207" i="3"/>
  <c r="N48" i="3"/>
  <c r="AG54" i="3"/>
  <c r="AI54" i="3" s="1"/>
  <c r="AF59" i="3"/>
  <c r="I90" i="3"/>
  <c r="K92" i="3"/>
  <c r="L181" i="3"/>
  <c r="D189" i="3"/>
  <c r="AF120" i="3"/>
  <c r="Q150" i="3"/>
  <c r="AG137" i="3"/>
  <c r="M157" i="3"/>
  <c r="B159" i="3"/>
  <c r="AF143" i="3"/>
  <c r="C171" i="3"/>
  <c r="C317" i="3" s="1"/>
  <c r="AF231" i="3"/>
  <c r="AF250" i="3"/>
  <c r="C288" i="3"/>
  <c r="D288" i="3"/>
  <c r="D293" i="3"/>
  <c r="D304" i="3" s="1"/>
  <c r="D229" i="3"/>
  <c r="D240" i="3" s="1"/>
  <c r="AI277" i="3"/>
  <c r="AG279" i="3"/>
  <c r="AI279" i="3" s="1"/>
  <c r="L300" i="3"/>
  <c r="P294" i="3"/>
  <c r="G359" i="3"/>
  <c r="C397" i="3"/>
  <c r="I4" i="4"/>
  <c r="I149" i="4"/>
  <c r="E153" i="4"/>
  <c r="E169" i="4" s="1"/>
  <c r="J30" i="5"/>
  <c r="AU61" i="4"/>
  <c r="Y111" i="4"/>
  <c r="D167" i="4"/>
  <c r="J175" i="4"/>
  <c r="E260" i="4"/>
  <c r="E244" i="4"/>
  <c r="AA260" i="4"/>
  <c r="AA244" i="4"/>
  <c r="AD14" i="5"/>
  <c r="N61" i="5"/>
  <c r="G85" i="7"/>
  <c r="G5" i="7" s="1"/>
  <c r="BN115" i="7"/>
  <c r="N99" i="7"/>
  <c r="BN99" i="7" s="1"/>
  <c r="N118" i="7"/>
  <c r="Y17" i="8"/>
  <c r="X18" i="8"/>
  <c r="AB28" i="10"/>
  <c r="AC28" i="10" s="1"/>
  <c r="Z29" i="10"/>
  <c r="Z30" i="10" s="1"/>
  <c r="Z31" i="10" s="1"/>
  <c r="Z32" i="10" s="1"/>
  <c r="Z33" i="10" s="1"/>
  <c r="Z34" i="10" s="1"/>
  <c r="Z35" i="10" s="1"/>
  <c r="Z36" i="10" s="1"/>
  <c r="Z37" i="10" s="1"/>
  <c r="Z38" i="10" s="1"/>
  <c r="Z39" i="10" s="1"/>
  <c r="H5" i="3"/>
  <c r="H16" i="3" s="1"/>
  <c r="N11" i="3"/>
  <c r="P189" i="3"/>
  <c r="B288" i="3"/>
  <c r="B293" i="3"/>
  <c r="B229" i="3"/>
  <c r="B240" i="3" s="1"/>
  <c r="D303" i="3"/>
  <c r="D239" i="3"/>
  <c r="J393" i="3"/>
  <c r="AB24" i="3"/>
  <c r="M32" i="3"/>
  <c r="O197" i="3"/>
  <c r="AG42" i="3"/>
  <c r="AI42" i="3" s="1"/>
  <c r="O48" i="3"/>
  <c r="I72" i="3"/>
  <c r="I80" i="3" s="1"/>
  <c r="D84" i="3"/>
  <c r="B93" i="3"/>
  <c r="M181" i="3"/>
  <c r="AG105" i="3"/>
  <c r="E189" i="3"/>
  <c r="AF135" i="3"/>
  <c r="B156" i="3"/>
  <c r="P240" i="3"/>
  <c r="F230" i="3"/>
  <c r="F256" i="3"/>
  <c r="E288" i="3"/>
  <c r="E293" i="3"/>
  <c r="E304" i="3" s="1"/>
  <c r="AH277" i="3"/>
  <c r="B302" i="3"/>
  <c r="G303" i="3"/>
  <c r="G239" i="3"/>
  <c r="L297" i="3"/>
  <c r="D338" i="3"/>
  <c r="I359" i="3"/>
  <c r="Q4" i="4"/>
  <c r="M6" i="4"/>
  <c r="O11" i="4"/>
  <c r="F153" i="4"/>
  <c r="K30" i="5"/>
  <c r="AU60" i="4"/>
  <c r="B71" i="4"/>
  <c r="S52" i="5"/>
  <c r="S111" i="4"/>
  <c r="E135" i="4"/>
  <c r="B350" i="4"/>
  <c r="BJ29" i="7"/>
  <c r="O99" i="7"/>
  <c r="BP115" i="7"/>
  <c r="O118" i="7"/>
  <c r="B32" i="9"/>
  <c r="B299" i="4" s="1"/>
  <c r="B32" i="3"/>
  <c r="E197" i="3"/>
  <c r="M182" i="3"/>
  <c r="G48" i="3"/>
  <c r="K301" i="3"/>
  <c r="D50" i="9"/>
  <c r="D69" i="9"/>
  <c r="D4" i="9" s="1"/>
  <c r="D3" i="9" s="1"/>
  <c r="Q4" i="3"/>
  <c r="E14" i="3"/>
  <c r="M199" i="3"/>
  <c r="B149" i="3"/>
  <c r="P152" i="3"/>
  <c r="C204" i="3"/>
  <c r="P201" i="3"/>
  <c r="M77" i="3"/>
  <c r="B173" i="3"/>
  <c r="B319" i="3" s="1"/>
  <c r="J300" i="3"/>
  <c r="AD284" i="3"/>
  <c r="I158" i="4"/>
  <c r="B6" i="3"/>
  <c r="P9" i="3"/>
  <c r="F10" i="3"/>
  <c r="D196" i="3"/>
  <c r="F198" i="3"/>
  <c r="D207" i="3"/>
  <c r="P48" i="3"/>
  <c r="AD57" i="3"/>
  <c r="AH57" i="3" s="1"/>
  <c r="AI57" i="3" s="1"/>
  <c r="J72" i="3"/>
  <c r="J80" i="3" s="1"/>
  <c r="K90" i="3"/>
  <c r="M92" i="3"/>
  <c r="N181" i="3"/>
  <c r="B182" i="3"/>
  <c r="C156" i="3"/>
  <c r="O230" i="3"/>
  <c r="C228" i="3"/>
  <c r="C256" i="3"/>
  <c r="E272" i="3"/>
  <c r="F288" i="3"/>
  <c r="F293" i="3"/>
  <c r="F229" i="3"/>
  <c r="B296" i="3"/>
  <c r="B304" i="3" s="1"/>
  <c r="N300" i="3"/>
  <c r="AF284" i="3"/>
  <c r="M297" i="3"/>
  <c r="J351" i="4"/>
  <c r="G153" i="4"/>
  <c r="G169" i="4" s="1"/>
  <c r="AA111" i="4"/>
  <c r="F135" i="4"/>
  <c r="P101" i="5"/>
  <c r="AS200" i="4"/>
  <c r="AS199" i="4"/>
  <c r="AD61" i="5"/>
  <c r="AC61" i="5"/>
  <c r="K102" i="5"/>
  <c r="K104" i="5" s="1"/>
  <c r="K393" i="3"/>
  <c r="U142" i="8"/>
  <c r="V141" i="8"/>
  <c r="G29" i="9"/>
  <c r="G296" i="4" s="1"/>
  <c r="C48" i="9"/>
  <c r="C32" i="9" s="1"/>
  <c r="C299" i="4" s="1"/>
  <c r="C69" i="9"/>
  <c r="C4" i="9" s="1"/>
  <c r="C3" i="9" s="1"/>
  <c r="BO3" i="9" s="1"/>
  <c r="AD62" i="5"/>
  <c r="AC62" i="5"/>
  <c r="E239" i="4"/>
  <c r="E401" i="3"/>
  <c r="S5" i="8"/>
  <c r="R6" i="8"/>
  <c r="P152" i="4"/>
  <c r="AX39" i="4"/>
  <c r="AW39" i="4"/>
  <c r="P7" i="4"/>
  <c r="BP106" i="7"/>
  <c r="BE106" i="7"/>
  <c r="O90" i="7"/>
  <c r="BP90" i="7" s="1"/>
  <c r="E48" i="3"/>
  <c r="B169" i="3"/>
  <c r="B315" i="3" s="1"/>
  <c r="B333" i="3"/>
  <c r="AF245" i="3"/>
  <c r="AE245" i="3"/>
  <c r="O256" i="3"/>
  <c r="O229" i="3"/>
  <c r="V42" i="8"/>
  <c r="F45" i="11"/>
  <c r="J201" i="3"/>
  <c r="T64" i="3"/>
  <c r="B335" i="3"/>
  <c r="B171" i="3"/>
  <c r="B317" i="3" s="1"/>
  <c r="BN49" i="7"/>
  <c r="N33" i="7"/>
  <c r="C82" i="11"/>
  <c r="C64" i="11"/>
  <c r="C30" i="4"/>
  <c r="C14" i="4" s="1"/>
  <c r="K197" i="3"/>
  <c r="C200" i="3"/>
  <c r="G204" i="3"/>
  <c r="G172" i="3" s="1"/>
  <c r="G318" i="3" s="1"/>
  <c r="F79" i="3"/>
  <c r="AE250" i="3"/>
  <c r="O234" i="3"/>
  <c r="AF281" i="3"/>
  <c r="C303" i="3"/>
  <c r="C239" i="3"/>
  <c r="F149" i="4"/>
  <c r="N137" i="4"/>
  <c r="P224" i="4"/>
  <c r="BR62" i="7"/>
  <c r="P46" i="7"/>
  <c r="D6" i="9"/>
  <c r="N199" i="3"/>
  <c r="H204" i="3"/>
  <c r="L169" i="3"/>
  <c r="L315" i="3" s="1"/>
  <c r="M288" i="3"/>
  <c r="I395" i="3"/>
  <c r="O7" i="3"/>
  <c r="E8" i="3"/>
  <c r="G10" i="3"/>
  <c r="G16" i="3" s="1"/>
  <c r="O32" i="3"/>
  <c r="AB36" i="3"/>
  <c r="Q197" i="3"/>
  <c r="C205" i="3"/>
  <c r="AB47" i="3"/>
  <c r="B75" i="3"/>
  <c r="O78" i="3"/>
  <c r="O181" i="3"/>
  <c r="M183" i="3"/>
  <c r="K185" i="3"/>
  <c r="E191" i="3"/>
  <c r="AD123" i="3"/>
  <c r="AH123" i="3" s="1"/>
  <c r="L153" i="3"/>
  <c r="D156" i="3"/>
  <c r="P157" i="3"/>
  <c r="I158" i="3"/>
  <c r="M156" i="3"/>
  <c r="G236" i="3"/>
  <c r="AE251" i="3"/>
  <c r="AD253" i="3"/>
  <c r="D256" i="3"/>
  <c r="F272" i="3"/>
  <c r="C272" i="3"/>
  <c r="Y272" i="3"/>
  <c r="V272" i="3"/>
  <c r="C295" i="3"/>
  <c r="D302" i="3"/>
  <c r="N297" i="3"/>
  <c r="F338" i="3"/>
  <c r="AS6" i="4"/>
  <c r="I153" i="4"/>
  <c r="AU59" i="4"/>
  <c r="AY59" i="4" s="1"/>
  <c r="K11" i="4"/>
  <c r="M30" i="5"/>
  <c r="H171" i="4"/>
  <c r="B76" i="4"/>
  <c r="B141" i="4"/>
  <c r="B173" i="4" s="1"/>
  <c r="C68" i="4"/>
  <c r="C149" i="4"/>
  <c r="I157" i="4"/>
  <c r="I173" i="4" s="1"/>
  <c r="AS197" i="4"/>
  <c r="L102" i="5"/>
  <c r="L104" i="5" s="1"/>
  <c r="BP45" i="7"/>
  <c r="O29" i="7"/>
  <c r="BJ107" i="7"/>
  <c r="L91" i="7"/>
  <c r="P142" i="7"/>
  <c r="BR142" i="7" s="1"/>
  <c r="BR158" i="7"/>
  <c r="AB101" i="8"/>
  <c r="AA102" i="8"/>
  <c r="T174" i="8"/>
  <c r="T175" i="8" s="1"/>
  <c r="V173" i="8"/>
  <c r="B204" i="3"/>
  <c r="E78" i="3"/>
  <c r="E236" i="3"/>
  <c r="E300" i="3"/>
  <c r="P13" i="3"/>
  <c r="L197" i="3"/>
  <c r="F72" i="3"/>
  <c r="B4" i="3"/>
  <c r="N5" i="3"/>
  <c r="AD5" i="3" s="1"/>
  <c r="P7" i="3"/>
  <c r="H10" i="3"/>
  <c r="J12" i="3"/>
  <c r="P32" i="3"/>
  <c r="H198" i="3"/>
  <c r="D205" i="3"/>
  <c r="AF57" i="3"/>
  <c r="AE62" i="3"/>
  <c r="J64" i="3"/>
  <c r="O71" i="3"/>
  <c r="P78" i="3"/>
  <c r="C91" i="3"/>
  <c r="P181" i="3"/>
  <c r="F191" i="3"/>
  <c r="AF118" i="3"/>
  <c r="C154" i="3"/>
  <c r="H236" i="3"/>
  <c r="AG248" i="3"/>
  <c r="AE248" i="3"/>
  <c r="O232" i="3"/>
  <c r="AE249" i="3"/>
  <c r="I256" i="3"/>
  <c r="G272" i="3"/>
  <c r="D272" i="3"/>
  <c r="T272" i="3"/>
  <c r="Q272" i="3"/>
  <c r="G288" i="3"/>
  <c r="H293" i="3"/>
  <c r="O295" i="3"/>
  <c r="O297" i="3"/>
  <c r="G338" i="3"/>
  <c r="P4" i="5"/>
  <c r="C47" i="4"/>
  <c r="AW61" i="4"/>
  <c r="O13" i="4"/>
  <c r="F69" i="4"/>
  <c r="F134" i="4"/>
  <c r="I167" i="4"/>
  <c r="J157" i="4"/>
  <c r="L110" i="5"/>
  <c r="BN129" i="7"/>
  <c r="N97" i="7"/>
  <c r="BN97" i="7" s="1"/>
  <c r="BK133" i="11"/>
  <c r="P117" i="11"/>
  <c r="E326" i="11"/>
  <c r="E181" i="4" s="1"/>
  <c r="E353" i="11"/>
  <c r="E22" i="11" s="1"/>
  <c r="E21" i="11" s="1"/>
  <c r="E20" i="11" s="1"/>
  <c r="E197" i="4"/>
  <c r="E100" i="5" s="1"/>
  <c r="E104" i="5" s="1"/>
  <c r="E245" i="3"/>
  <c r="E229" i="3" s="1"/>
  <c r="E240" i="3" s="1"/>
  <c r="G257" i="11"/>
  <c r="G15" i="11" s="1"/>
  <c r="G115" i="4"/>
  <c r="U44" i="8"/>
  <c r="V43" i="8"/>
  <c r="BC340" i="15"/>
  <c r="Q21" i="15"/>
  <c r="BC21" i="15" s="1"/>
  <c r="J76" i="3"/>
  <c r="C70" i="4"/>
  <c r="K343" i="3"/>
  <c r="K359" i="3"/>
  <c r="AN111" i="4"/>
  <c r="H94" i="5"/>
  <c r="I206" i="3"/>
  <c r="L77" i="3"/>
  <c r="L240" i="3"/>
  <c r="M233" i="3"/>
  <c r="M241" i="3" s="1"/>
  <c r="L288" i="3"/>
  <c r="Q63" i="4"/>
  <c r="Y30" i="10"/>
  <c r="W31" i="10"/>
  <c r="W32" i="10" s="1"/>
  <c r="W33" i="10" s="1"/>
  <c r="W34" i="10" s="1"/>
  <c r="W35" i="10" s="1"/>
  <c r="W36" i="10" s="1"/>
  <c r="W37" i="10" s="1"/>
  <c r="W38" i="10" s="1"/>
  <c r="W39" i="10" s="1"/>
  <c r="K86" i="4"/>
  <c r="J7" i="3"/>
  <c r="D12" i="3"/>
  <c r="AG252" i="3"/>
  <c r="AF252" i="3"/>
  <c r="AE252" i="3"/>
  <c r="O236" i="3"/>
  <c r="O12" i="5"/>
  <c r="O4" i="4"/>
  <c r="AU20" i="4"/>
  <c r="O31" i="4"/>
  <c r="AS20" i="4"/>
  <c r="O11" i="5"/>
  <c r="G4" i="4"/>
  <c r="G47" i="4"/>
  <c r="U32" i="10"/>
  <c r="V31" i="10"/>
  <c r="I10" i="3"/>
  <c r="K12" i="3"/>
  <c r="AE22" i="3"/>
  <c r="I198" i="3"/>
  <c r="E205" i="3"/>
  <c r="AB45" i="3"/>
  <c r="G207" i="3"/>
  <c r="AE47" i="3"/>
  <c r="AF62" i="3"/>
  <c r="P92" i="3"/>
  <c r="AF95" i="3"/>
  <c r="Q181" i="3"/>
  <c r="AB102" i="3"/>
  <c r="C184" i="3"/>
  <c r="M185" i="3"/>
  <c r="I189" i="3"/>
  <c r="G191" i="3"/>
  <c r="L151" i="3"/>
  <c r="N153" i="3"/>
  <c r="F156" i="3"/>
  <c r="K158" i="3"/>
  <c r="AF191" i="3"/>
  <c r="I236" i="3"/>
  <c r="AD247" i="3"/>
  <c r="AH247" i="3" s="1"/>
  <c r="AI249" i="3"/>
  <c r="H272" i="3"/>
  <c r="U272" i="3"/>
  <c r="AD283" i="3"/>
  <c r="AH283" i="3" s="1"/>
  <c r="K299" i="3"/>
  <c r="F302" i="3"/>
  <c r="F238" i="3"/>
  <c r="F292" i="3"/>
  <c r="P297" i="3"/>
  <c r="E3" i="5"/>
  <c r="E15" i="4"/>
  <c r="F343" i="4"/>
  <c r="J349" i="4"/>
  <c r="B13" i="5"/>
  <c r="B5" i="4"/>
  <c r="AU40" i="4"/>
  <c r="AY40" i="4" s="1"/>
  <c r="K8" i="4"/>
  <c r="C11" i="4"/>
  <c r="C156" i="4"/>
  <c r="E27" i="5"/>
  <c r="E63" i="4"/>
  <c r="AA63" i="4"/>
  <c r="AA27" i="5"/>
  <c r="AA31" i="5" s="1"/>
  <c r="M29" i="5"/>
  <c r="M11" i="4"/>
  <c r="O30" i="5"/>
  <c r="AD30" i="5" s="1"/>
  <c r="J79" i="5"/>
  <c r="J87" i="5" s="1"/>
  <c r="J167" i="4"/>
  <c r="BN58" i="7"/>
  <c r="N42" i="7"/>
  <c r="BN107" i="7"/>
  <c r="N91" i="7"/>
  <c r="BP129" i="7"/>
  <c r="BF129" i="7"/>
  <c r="O97" i="7"/>
  <c r="BP97" i="7" s="1"/>
  <c r="P143" i="7"/>
  <c r="BR143" i="7" s="1"/>
  <c r="BR159" i="7"/>
  <c r="Z353" i="11"/>
  <c r="Z21" i="11"/>
  <c r="Z24" i="11"/>
  <c r="Z385" i="11" s="1"/>
  <c r="BD256" i="11"/>
  <c r="L258" i="11"/>
  <c r="L208" i="11"/>
  <c r="BD208" i="11" s="1"/>
  <c r="L126" i="4"/>
  <c r="G12" i="7"/>
  <c r="N175" i="3"/>
  <c r="N321" i="3" s="1"/>
  <c r="N256" i="3"/>
  <c r="N229" i="3"/>
  <c r="Q198" i="3"/>
  <c r="I301" i="3"/>
  <c r="B70" i="4"/>
  <c r="D171" i="4"/>
  <c r="H199" i="3"/>
  <c r="H167" i="3" s="1"/>
  <c r="H313" i="3" s="1"/>
  <c r="F48" i="3"/>
  <c r="AF22" i="3"/>
  <c r="AF36" i="3"/>
  <c r="J198" i="3"/>
  <c r="L200" i="3"/>
  <c r="N202" i="3"/>
  <c r="AF202" i="3" s="1"/>
  <c r="H207" i="3"/>
  <c r="AF47" i="3"/>
  <c r="AG62" i="3"/>
  <c r="AI62" i="3" s="1"/>
  <c r="H180" i="3"/>
  <c r="D184" i="3"/>
  <c r="H191" i="3"/>
  <c r="AF111" i="3"/>
  <c r="H159" i="3"/>
  <c r="AG191" i="3"/>
  <c r="J236" i="3"/>
  <c r="AD236" i="3" s="1"/>
  <c r="AH236" i="3" s="1"/>
  <c r="G256" i="3"/>
  <c r="AD246" i="3"/>
  <c r="K230" i="3"/>
  <c r="K442" i="3" s="1"/>
  <c r="AF248" i="3"/>
  <c r="I272" i="3"/>
  <c r="J298" i="3"/>
  <c r="AD282" i="3"/>
  <c r="L299" i="3"/>
  <c r="G302" i="3"/>
  <c r="G238" i="3"/>
  <c r="G292" i="3"/>
  <c r="C13" i="5"/>
  <c r="C5" i="4"/>
  <c r="L20" i="5"/>
  <c r="L8" i="4"/>
  <c r="L4" i="5" s="1"/>
  <c r="D156" i="4"/>
  <c r="D172" i="4" s="1"/>
  <c r="AC30" i="5"/>
  <c r="C60" i="5"/>
  <c r="C151" i="4"/>
  <c r="C167" i="4" s="1"/>
  <c r="O100" i="5"/>
  <c r="E46" i="5"/>
  <c r="BL176" i="7"/>
  <c r="M144" i="7"/>
  <c r="BL144" i="7" s="1"/>
  <c r="G326" i="11"/>
  <c r="G181" i="4" s="1"/>
  <c r="G353" i="11"/>
  <c r="G22" i="11" s="1"/>
  <c r="G21" i="11" s="1"/>
  <c r="G197" i="4"/>
  <c r="G208" i="4" s="1"/>
  <c r="G245" i="3"/>
  <c r="G229" i="3" s="1"/>
  <c r="O152" i="4"/>
  <c r="AU39" i="4"/>
  <c r="AY39" i="4" s="1"/>
  <c r="O7" i="4"/>
  <c r="BD216" i="11"/>
  <c r="L200" i="11"/>
  <c r="BD200" i="11" s="1"/>
  <c r="D197" i="3"/>
  <c r="H201" i="3"/>
  <c r="B78" i="3"/>
  <c r="O272" i="3"/>
  <c r="P298" i="3"/>
  <c r="AY19" i="4"/>
  <c r="AZ19" i="4" s="1"/>
  <c r="AV19" i="4"/>
  <c r="D149" i="7"/>
  <c r="D25" i="7"/>
  <c r="G6" i="5"/>
  <c r="N127" i="4"/>
  <c r="G197" i="3"/>
  <c r="U64" i="3"/>
  <c r="P256" i="3"/>
  <c r="L224" i="4"/>
  <c r="M11" i="3"/>
  <c r="O201" i="3"/>
  <c r="B10" i="3"/>
  <c r="D200" i="3"/>
  <c r="B135" i="4"/>
  <c r="B167" i="4" s="1"/>
  <c r="AE20" i="3"/>
  <c r="K198" i="3"/>
  <c r="K166" i="3" s="1"/>
  <c r="K312" i="3" s="1"/>
  <c r="M200" i="3"/>
  <c r="AB43" i="3"/>
  <c r="I207" i="3"/>
  <c r="AE55" i="3"/>
  <c r="I180" i="3"/>
  <c r="O185" i="3"/>
  <c r="M187" i="3"/>
  <c r="I191" i="3"/>
  <c r="AG111" i="3"/>
  <c r="N151" i="3"/>
  <c r="P153" i="3"/>
  <c r="H156" i="3"/>
  <c r="M158" i="3"/>
  <c r="AB142" i="3"/>
  <c r="J184" i="3"/>
  <c r="J272" i="3"/>
  <c r="M299" i="3"/>
  <c r="H302" i="3"/>
  <c r="H238" i="3"/>
  <c r="H292" i="3"/>
  <c r="P13" i="4"/>
  <c r="E156" i="4"/>
  <c r="F165" i="4"/>
  <c r="P100" i="5"/>
  <c r="AS196" i="4"/>
  <c r="BR155" i="7"/>
  <c r="P139" i="7"/>
  <c r="BR139" i="7" s="1"/>
  <c r="I118" i="11"/>
  <c r="I84" i="4"/>
  <c r="H133" i="11"/>
  <c r="H161" i="11"/>
  <c r="H9" i="11" s="1"/>
  <c r="M134" i="11"/>
  <c r="M161" i="11"/>
  <c r="D128" i="11"/>
  <c r="D94" i="4"/>
  <c r="BK305" i="11"/>
  <c r="P18" i="11"/>
  <c r="BK18" i="11" s="1"/>
  <c r="BF305" i="11"/>
  <c r="M18" i="11"/>
  <c r="BE18" i="11" s="1"/>
  <c r="H326" i="11"/>
  <c r="H181" i="4" s="1"/>
  <c r="H353" i="11"/>
  <c r="H22" i="11" s="1"/>
  <c r="H21" i="11" s="1"/>
  <c r="H20" i="11" s="1"/>
  <c r="H197" i="4"/>
  <c r="H245" i="3"/>
  <c r="P272" i="3"/>
  <c r="G156" i="4"/>
  <c r="G172" i="4" s="1"/>
  <c r="G75" i="4"/>
  <c r="N182" i="3"/>
  <c r="I137" i="4"/>
  <c r="I46" i="5"/>
  <c r="I199" i="3"/>
  <c r="R272" i="3"/>
  <c r="I7" i="3"/>
  <c r="I443" i="3" s="1"/>
  <c r="O13" i="3"/>
  <c r="I78" i="3"/>
  <c r="J94" i="3"/>
  <c r="J450" i="3" s="1"/>
  <c r="G183" i="3"/>
  <c r="AB111" i="4"/>
  <c r="N224" i="4"/>
  <c r="J206" i="3"/>
  <c r="M240" i="3"/>
  <c r="AE279" i="3"/>
  <c r="O224" i="4"/>
  <c r="N200" i="3"/>
  <c r="AD43" i="3"/>
  <c r="D76" i="3"/>
  <c r="M86" i="3"/>
  <c r="AF102" i="3"/>
  <c r="D186" i="3"/>
  <c r="AD126" i="3"/>
  <c r="AB136" i="3"/>
  <c r="I156" i="3"/>
  <c r="AG140" i="3"/>
  <c r="AD245" i="3"/>
  <c r="AH245" i="3" s="1"/>
  <c r="J229" i="3"/>
  <c r="K272" i="3"/>
  <c r="I304" i="3"/>
  <c r="L333" i="3"/>
  <c r="H3" i="5"/>
  <c r="K45" i="5"/>
  <c r="B401" i="3"/>
  <c r="BR111" i="7"/>
  <c r="BR113" i="7"/>
  <c r="P97" i="7"/>
  <c r="BR97" i="7" s="1"/>
  <c r="N181" i="9"/>
  <c r="N11" i="9" s="1"/>
  <c r="N138" i="9"/>
  <c r="N149" i="9" s="1"/>
  <c r="J118" i="11"/>
  <c r="J38" i="11" s="1"/>
  <c r="J84" i="4"/>
  <c r="AG247" i="3"/>
  <c r="AI247" i="3" s="1"/>
  <c r="AF247" i="3"/>
  <c r="AE247" i="3"/>
  <c r="G293" i="3"/>
  <c r="N299" i="3"/>
  <c r="AD286" i="3"/>
  <c r="J302" i="3"/>
  <c r="M343" i="3"/>
  <c r="M359" i="3"/>
  <c r="D6" i="5"/>
  <c r="AV25" i="4"/>
  <c r="AX25" i="4"/>
  <c r="AZ25" i="4" s="1"/>
  <c r="AW25" i="4"/>
  <c r="F6" i="5"/>
  <c r="F350" i="4"/>
  <c r="N155" i="4"/>
  <c r="N171" i="4" s="1"/>
  <c r="AX59" i="4"/>
  <c r="AZ59" i="4" s="1"/>
  <c r="AW59" i="4"/>
  <c r="AV59" i="4"/>
  <c r="C76" i="4"/>
  <c r="C141" i="4"/>
  <c r="C173" i="4" s="1"/>
  <c r="B60" i="5"/>
  <c r="AD110" i="5"/>
  <c r="Y27" i="5"/>
  <c r="BN106" i="7"/>
  <c r="N90" i="7"/>
  <c r="BN90" i="7" s="1"/>
  <c r="C96" i="7"/>
  <c r="C101" i="7" s="1"/>
  <c r="E12" i="7"/>
  <c r="G149" i="9"/>
  <c r="H288" i="3"/>
  <c r="I293" i="3"/>
  <c r="D294" i="3"/>
  <c r="D295" i="3"/>
  <c r="C296" i="3"/>
  <c r="P299" i="3"/>
  <c r="O301" i="3"/>
  <c r="AG285" i="3"/>
  <c r="AI285" i="3" s="1"/>
  <c r="AF285" i="3"/>
  <c r="AE285" i="3"/>
  <c r="O343" i="3"/>
  <c r="O359" i="3"/>
  <c r="F348" i="4"/>
  <c r="H141" i="4"/>
  <c r="H12" i="4"/>
  <c r="AX55" i="4"/>
  <c r="AW55" i="4"/>
  <c r="AW58" i="4"/>
  <c r="P29" i="5"/>
  <c r="P10" i="4"/>
  <c r="AX58" i="4"/>
  <c r="G45" i="5"/>
  <c r="G70" i="5" s="1"/>
  <c r="G69" i="4"/>
  <c r="G343" i="4" s="1"/>
  <c r="G134" i="4"/>
  <c r="G166" i="4" s="1"/>
  <c r="E76" i="4"/>
  <c r="E141" i="4"/>
  <c r="E173" i="4" s="1"/>
  <c r="T52" i="5"/>
  <c r="T55" i="5" s="1"/>
  <c r="D77" i="5"/>
  <c r="C61" i="5"/>
  <c r="D166" i="4"/>
  <c r="B208" i="4"/>
  <c r="B100" i="5"/>
  <c r="F224" i="4"/>
  <c r="L117" i="7"/>
  <c r="BR106" i="7"/>
  <c r="P90" i="7"/>
  <c r="BR90" i="7" s="1"/>
  <c r="P11" i="7"/>
  <c r="BR11" i="7" s="1"/>
  <c r="BR181" i="7"/>
  <c r="D229" i="7"/>
  <c r="D14" i="7" s="1"/>
  <c r="Y65" i="10"/>
  <c r="BF110" i="11"/>
  <c r="M114" i="11"/>
  <c r="M44" i="4"/>
  <c r="M47" i="4" s="1"/>
  <c r="D331" i="11"/>
  <c r="D186" i="4" s="1"/>
  <c r="D94" i="5" s="1"/>
  <c r="D218" i="4"/>
  <c r="D110" i="5" s="1"/>
  <c r="O107" i="12"/>
  <c r="R107" i="12" s="1"/>
  <c r="I107" i="12"/>
  <c r="AD244" i="3"/>
  <c r="I288" i="3"/>
  <c r="E295" i="3"/>
  <c r="D296" i="3"/>
  <c r="P343" i="3"/>
  <c r="P359" i="3"/>
  <c r="AU36" i="4"/>
  <c r="AY36" i="4" s="1"/>
  <c r="K4" i="4"/>
  <c r="AS5" i="4"/>
  <c r="O28" i="5"/>
  <c r="O77" i="5" s="1"/>
  <c r="Q29" i="5"/>
  <c r="I45" i="5"/>
  <c r="I69" i="4"/>
  <c r="F76" i="4"/>
  <c r="F38" i="5" s="1"/>
  <c r="F141" i="4"/>
  <c r="AC111" i="4"/>
  <c r="B53" i="5"/>
  <c r="D61" i="5"/>
  <c r="C100" i="5"/>
  <c r="C208" i="4"/>
  <c r="G224" i="4"/>
  <c r="B112" i="5"/>
  <c r="C109" i="5"/>
  <c r="J224" i="4"/>
  <c r="AG20" i="7"/>
  <c r="H53" i="7"/>
  <c r="H25" i="7"/>
  <c r="BL117" i="7"/>
  <c r="M7" i="7"/>
  <c r="M119" i="7"/>
  <c r="BL122" i="7"/>
  <c r="M133" i="7"/>
  <c r="M90" i="7"/>
  <c r="D165" i="7"/>
  <c r="D10" i="7" s="1"/>
  <c r="BT137" i="7"/>
  <c r="BP175" i="7"/>
  <c r="BF175" i="7"/>
  <c r="E185" i="7"/>
  <c r="E229" i="7"/>
  <c r="E14" i="7" s="1"/>
  <c r="X151" i="8"/>
  <c r="Y150" i="8"/>
  <c r="B25" i="9"/>
  <c r="B53" i="9"/>
  <c r="N114" i="11"/>
  <c r="N44" i="4"/>
  <c r="K17" i="11"/>
  <c r="K270" i="11"/>
  <c r="BB289" i="11"/>
  <c r="E51" i="13"/>
  <c r="E95" i="13"/>
  <c r="E5" i="13" s="1"/>
  <c r="P257" i="3"/>
  <c r="P233" i="3"/>
  <c r="P241" i="3" s="1"/>
  <c r="AD276" i="3"/>
  <c r="AH276" i="3" s="1"/>
  <c r="AI276" i="3" s="1"/>
  <c r="J292" i="3"/>
  <c r="K293" i="3"/>
  <c r="F294" i="3"/>
  <c r="F295" i="3"/>
  <c r="AE280" i="3"/>
  <c r="AI287" i="3"/>
  <c r="H14" i="5"/>
  <c r="H71" i="5" s="1"/>
  <c r="H6" i="4"/>
  <c r="J12" i="4"/>
  <c r="L149" i="4"/>
  <c r="L4" i="4"/>
  <c r="D20" i="5"/>
  <c r="D6" i="4"/>
  <c r="AV38" i="4"/>
  <c r="P156" i="4"/>
  <c r="AV43" i="4"/>
  <c r="AX43" i="4"/>
  <c r="AZ43" i="4" s="1"/>
  <c r="AW43" i="4"/>
  <c r="J22" i="5"/>
  <c r="H14" i="4"/>
  <c r="H352" i="4" s="1"/>
  <c r="H159" i="4"/>
  <c r="H175" i="4" s="1"/>
  <c r="P28" i="5"/>
  <c r="AX54" i="4"/>
  <c r="AW54" i="4"/>
  <c r="R29" i="5"/>
  <c r="G141" i="4"/>
  <c r="G173" i="4" s="1"/>
  <c r="G76" i="4"/>
  <c r="AD111" i="4"/>
  <c r="C53" i="5"/>
  <c r="H127" i="4"/>
  <c r="B168" i="4"/>
  <c r="H224" i="4"/>
  <c r="H108" i="5"/>
  <c r="K224" i="4"/>
  <c r="I53" i="7"/>
  <c r="N117" i="7"/>
  <c r="N89" i="7"/>
  <c r="BN105" i="7"/>
  <c r="BN122" i="7"/>
  <c r="N133" i="7"/>
  <c r="F195" i="7"/>
  <c r="F229" i="7"/>
  <c r="F14" i="7" s="1"/>
  <c r="I196" i="7"/>
  <c r="I197" i="7" s="1"/>
  <c r="I229" i="7"/>
  <c r="I14" i="7" s="1"/>
  <c r="I12" i="7" s="1"/>
  <c r="V54" i="8"/>
  <c r="U55" i="8"/>
  <c r="Y149" i="8"/>
  <c r="C53" i="9"/>
  <c r="AA66" i="10"/>
  <c r="AB65" i="10"/>
  <c r="BM18" i="11"/>
  <c r="O261" i="11"/>
  <c r="O321" i="11"/>
  <c r="O19" i="11" s="1"/>
  <c r="BI19" i="11" s="1"/>
  <c r="I79" i="12"/>
  <c r="O79" i="12"/>
  <c r="R79" i="12" s="1"/>
  <c r="O113" i="12"/>
  <c r="R113" i="12" s="1"/>
  <c r="I113" i="12"/>
  <c r="Q159" i="12"/>
  <c r="R159" i="12" s="1"/>
  <c r="BM159" i="12" s="1"/>
  <c r="I159" i="12"/>
  <c r="F240" i="3"/>
  <c r="G295" i="3"/>
  <c r="F296" i="3"/>
  <c r="AI280" i="3"/>
  <c r="H15" i="5"/>
  <c r="M5" i="4"/>
  <c r="I14" i="5"/>
  <c r="I71" i="5" s="1"/>
  <c r="I31" i="4"/>
  <c r="K12" i="4"/>
  <c r="M19" i="5"/>
  <c r="M148" i="4"/>
  <c r="K22" i="5"/>
  <c r="AM63" i="4"/>
  <c r="Q28" i="5"/>
  <c r="K69" i="4"/>
  <c r="K134" i="4"/>
  <c r="K166" i="4" s="1"/>
  <c r="AE111" i="4"/>
  <c r="D53" i="5"/>
  <c r="F54" i="5"/>
  <c r="F157" i="4"/>
  <c r="G77" i="5"/>
  <c r="F61" i="5"/>
  <c r="F78" i="5" s="1"/>
  <c r="D151" i="4"/>
  <c r="I224" i="4"/>
  <c r="I108" i="5"/>
  <c r="B29" i="7"/>
  <c r="I321" i="11"/>
  <c r="I19" i="11" s="1"/>
  <c r="I265" i="11"/>
  <c r="I103" i="4" s="1"/>
  <c r="I71" i="4" s="1"/>
  <c r="K180" i="4"/>
  <c r="I77" i="12"/>
  <c r="O77" i="12"/>
  <c r="R77" i="12" s="1"/>
  <c r="B256" i="3"/>
  <c r="L292" i="3"/>
  <c r="M293" i="3"/>
  <c r="H294" i="3"/>
  <c r="H346" i="4"/>
  <c r="J14" i="5"/>
  <c r="J71" i="5" s="1"/>
  <c r="J31" i="4"/>
  <c r="L12" i="4"/>
  <c r="N19" i="5"/>
  <c r="N148" i="4"/>
  <c r="F6" i="4"/>
  <c r="J14" i="4"/>
  <c r="H60" i="5"/>
  <c r="H70" i="4"/>
  <c r="I134" i="4"/>
  <c r="D173" i="4"/>
  <c r="J149" i="4"/>
  <c r="C28" i="5"/>
  <c r="C31" i="5" s="1"/>
  <c r="N20" i="7"/>
  <c r="AJ20" i="7"/>
  <c r="BR105" i="7"/>
  <c r="P117" i="7"/>
  <c r="P89" i="7"/>
  <c r="O14" i="7"/>
  <c r="BP14" i="7" s="1"/>
  <c r="BP229" i="7"/>
  <c r="X55" i="8"/>
  <c r="Q19" i="10"/>
  <c r="Q20" i="10" s="1"/>
  <c r="Q21" i="10" s="1"/>
  <c r="Q22" i="10" s="1"/>
  <c r="Q23" i="10" s="1"/>
  <c r="Q24" i="10" s="1"/>
  <c r="Q25" i="10" s="1"/>
  <c r="Q26" i="10" s="1"/>
  <c r="Q27" i="10" s="1"/>
  <c r="S18" i="10"/>
  <c r="Q66" i="10"/>
  <c r="Q67" i="10" s="1"/>
  <c r="Q68" i="10" s="1"/>
  <c r="Q69" i="10" s="1"/>
  <c r="Q70" i="10" s="1"/>
  <c r="Q71" i="10" s="1"/>
  <c r="Q72" i="10" s="1"/>
  <c r="Q73" i="10" s="1"/>
  <c r="Q74" i="10" s="1"/>
  <c r="Q75" i="10" s="1"/>
  <c r="S65" i="10"/>
  <c r="AA162" i="10"/>
  <c r="AB161" i="10"/>
  <c r="N289" i="11"/>
  <c r="BL277" i="11"/>
  <c r="Q321" i="11"/>
  <c r="BM309" i="11"/>
  <c r="Q261" i="11"/>
  <c r="AV55" i="12"/>
  <c r="AV56" i="12" s="1"/>
  <c r="AV57" i="12" s="1"/>
  <c r="AV58" i="12" s="1"/>
  <c r="AV59" i="12" s="1"/>
  <c r="AV60" i="12" s="1"/>
  <c r="AV61" i="12" s="1"/>
  <c r="M292" i="3"/>
  <c r="M304" i="3" s="1"/>
  <c r="I295" i="3"/>
  <c r="C297" i="3"/>
  <c r="C304" i="3" s="1"/>
  <c r="AU22" i="4"/>
  <c r="AY22" i="4" s="1"/>
  <c r="K14" i="5"/>
  <c r="K31" i="4"/>
  <c r="O19" i="5"/>
  <c r="AS36" i="4"/>
  <c r="AS35" i="4"/>
  <c r="G20" i="5"/>
  <c r="G6" i="4"/>
  <c r="C21" i="5"/>
  <c r="C154" i="4"/>
  <c r="K14" i="4"/>
  <c r="AO63" i="4"/>
  <c r="E73" i="4"/>
  <c r="E138" i="4"/>
  <c r="E170" i="4" s="1"/>
  <c r="L141" i="4"/>
  <c r="AG111" i="4"/>
  <c r="I60" i="5"/>
  <c r="I127" i="4"/>
  <c r="I70" i="4"/>
  <c r="I36" i="5" s="1"/>
  <c r="J134" i="4"/>
  <c r="K149" i="4"/>
  <c r="H165" i="7"/>
  <c r="H10" i="7" s="1"/>
  <c r="H9" i="7" s="1"/>
  <c r="H16" i="6" s="1"/>
  <c r="H137" i="7"/>
  <c r="AB160" i="10"/>
  <c r="B12" i="5"/>
  <c r="B4" i="4"/>
  <c r="P19" i="5"/>
  <c r="P47" i="4"/>
  <c r="P148" i="4"/>
  <c r="AX35" i="4"/>
  <c r="AZ35" i="4" s="1"/>
  <c r="AW35" i="4"/>
  <c r="AV35" i="4"/>
  <c r="P3" i="4"/>
  <c r="D21" i="5"/>
  <c r="D154" i="4"/>
  <c r="F138" i="4"/>
  <c r="F140" i="4"/>
  <c r="F172" i="4" s="1"/>
  <c r="F75" i="4"/>
  <c r="I54" i="5"/>
  <c r="P59" i="5"/>
  <c r="P127" i="4"/>
  <c r="L108" i="5"/>
  <c r="AL20" i="7"/>
  <c r="K102" i="7"/>
  <c r="BH100" i="7"/>
  <c r="F28" i="7"/>
  <c r="S197" i="9"/>
  <c r="B127" i="11"/>
  <c r="B47" i="11" s="1"/>
  <c r="B239" i="4" s="1"/>
  <c r="B93" i="4"/>
  <c r="BD305" i="11"/>
  <c r="L18" i="11"/>
  <c r="L334" i="11"/>
  <c r="BD350" i="11"/>
  <c r="L205" i="4"/>
  <c r="AD228" i="3"/>
  <c r="AD252" i="3"/>
  <c r="AH252" i="3" s="1"/>
  <c r="K236" i="3"/>
  <c r="AF276" i="3"/>
  <c r="AE276" i="3"/>
  <c r="O292" i="3"/>
  <c r="M16" i="4"/>
  <c r="L31" i="4"/>
  <c r="Q5" i="4"/>
  <c r="C347" i="4"/>
  <c r="C5" i="5"/>
  <c r="I20" i="5"/>
  <c r="B148" i="4"/>
  <c r="B63" i="4"/>
  <c r="X27" i="5"/>
  <c r="G73" i="4"/>
  <c r="G138" i="4"/>
  <c r="J54" i="5"/>
  <c r="Q59" i="5"/>
  <c r="C138" i="4"/>
  <c r="C170" i="4" s="1"/>
  <c r="H95" i="5"/>
  <c r="I111" i="5"/>
  <c r="M14" i="5"/>
  <c r="Q20" i="7"/>
  <c r="AM20" i="7"/>
  <c r="BH115" i="7"/>
  <c r="K99" i="7"/>
  <c r="BH99" i="7" s="1"/>
  <c r="BH229" i="7"/>
  <c r="K14" i="7"/>
  <c r="BG14" i="7" s="1"/>
  <c r="AB89" i="8"/>
  <c r="AA90" i="8"/>
  <c r="R43" i="6"/>
  <c r="D198" i="11"/>
  <c r="D209" i="11" s="1"/>
  <c r="D48" i="6" s="1"/>
  <c r="D68" i="6" s="1"/>
  <c r="D116" i="4"/>
  <c r="BL268" i="11"/>
  <c r="N106" i="4"/>
  <c r="N74" i="4" s="1"/>
  <c r="L256" i="3"/>
  <c r="F239" i="3"/>
  <c r="P292" i="3"/>
  <c r="L294" i="3"/>
  <c r="AD278" i="3"/>
  <c r="AH278" i="3" s="1"/>
  <c r="AG286" i="3"/>
  <c r="P9" i="4"/>
  <c r="M11" i="5"/>
  <c r="M31" i="4"/>
  <c r="D9" i="4"/>
  <c r="AX27" i="4"/>
  <c r="AZ27" i="4" s="1"/>
  <c r="AW27" i="4"/>
  <c r="B155" i="4"/>
  <c r="B171" i="4" s="1"/>
  <c r="N159" i="4"/>
  <c r="C63" i="4"/>
  <c r="C3" i="4"/>
  <c r="H73" i="4"/>
  <c r="H138" i="4"/>
  <c r="AO111" i="4"/>
  <c r="T111" i="4"/>
  <c r="F175" i="4"/>
  <c r="J111" i="5"/>
  <c r="BH49" i="7"/>
  <c r="K33" i="7"/>
  <c r="M36" i="7"/>
  <c r="BL100" i="7"/>
  <c r="BJ115" i="7"/>
  <c r="L99" i="7"/>
  <c r="BJ99" i="7" s="1"/>
  <c r="V64" i="10"/>
  <c r="U65" i="10"/>
  <c r="N3" i="4"/>
  <c r="H153" i="4"/>
  <c r="H169" i="4" s="1"/>
  <c r="O158" i="4"/>
  <c r="D27" i="5"/>
  <c r="D31" i="5" s="1"/>
  <c r="D63" i="4"/>
  <c r="AV52" i="4"/>
  <c r="AW53" i="4"/>
  <c r="U63" i="4"/>
  <c r="E171" i="4"/>
  <c r="D52" i="5"/>
  <c r="I62" i="5"/>
  <c r="AS125" i="4"/>
  <c r="J95" i="5"/>
  <c r="E102" i="5"/>
  <c r="K111" i="5"/>
  <c r="BJ49" i="7"/>
  <c r="L33" i="7"/>
  <c r="BN100" i="7"/>
  <c r="N36" i="7"/>
  <c r="I101" i="7"/>
  <c r="Z197" i="7"/>
  <c r="S18" i="8"/>
  <c r="R19" i="8"/>
  <c r="Q102" i="8"/>
  <c r="Q103" i="8" s="1"/>
  <c r="Q104" i="8" s="1"/>
  <c r="Q105" i="8" s="1"/>
  <c r="Q106" i="8" s="1"/>
  <c r="Q107" i="8" s="1"/>
  <c r="Q108" i="8" s="1"/>
  <c r="Q109" i="8" s="1"/>
  <c r="Q110" i="8" s="1"/>
  <c r="Q111" i="8" s="1"/>
  <c r="S101" i="8"/>
  <c r="X42" i="10"/>
  <c r="Y41" i="10"/>
  <c r="BF234" i="11"/>
  <c r="M202" i="11"/>
  <c r="H205" i="11"/>
  <c r="H241" i="11"/>
  <c r="H14" i="11" s="1"/>
  <c r="R55" i="12"/>
  <c r="C12" i="5"/>
  <c r="B19" i="5"/>
  <c r="B23" i="5" s="1"/>
  <c r="M149" i="4"/>
  <c r="O151" i="4"/>
  <c r="M153" i="4"/>
  <c r="AS40" i="4"/>
  <c r="L22" i="5"/>
  <c r="P159" i="4"/>
  <c r="F27" i="5"/>
  <c r="F31" i="5" s="1"/>
  <c r="W28" i="5"/>
  <c r="W31" i="5" s="1"/>
  <c r="B74" i="4"/>
  <c r="O173" i="4"/>
  <c r="U52" i="5"/>
  <c r="X53" i="5"/>
  <c r="D153" i="4"/>
  <c r="J102" i="5"/>
  <c r="M108" i="5"/>
  <c r="M112" i="5" s="1"/>
  <c r="E21" i="5"/>
  <c r="Q105" i="9"/>
  <c r="BT105" i="7"/>
  <c r="Q89" i="7"/>
  <c r="D96" i="7"/>
  <c r="D101" i="7" s="1"/>
  <c r="P167" i="7"/>
  <c r="AC28" i="8"/>
  <c r="D53" i="9"/>
  <c r="J29" i="9"/>
  <c r="J296" i="4" s="1"/>
  <c r="P140" i="10"/>
  <c r="BF55" i="11"/>
  <c r="M39" i="11"/>
  <c r="BF39" i="11" s="1"/>
  <c r="S273" i="11"/>
  <c r="S49" i="6" s="1"/>
  <c r="S71" i="6" s="1"/>
  <c r="G122" i="11"/>
  <c r="G104" i="4"/>
  <c r="G72" i="4" s="1"/>
  <c r="BF325" i="11"/>
  <c r="R19" i="12"/>
  <c r="Q118" i="17"/>
  <c r="Q146" i="17"/>
  <c r="Q8" i="17" s="1"/>
  <c r="T146" i="17"/>
  <c r="T8" i="17" s="1"/>
  <c r="D146" i="17"/>
  <c r="D8" i="17" s="1"/>
  <c r="D121" i="17"/>
  <c r="D105" i="17" s="1"/>
  <c r="G122" i="17"/>
  <c r="G146" i="17"/>
  <c r="G8" i="17" s="1"/>
  <c r="M124" i="17"/>
  <c r="M146" i="17"/>
  <c r="M8" i="17" s="1"/>
  <c r="P125" i="17"/>
  <c r="P146" i="17"/>
  <c r="P8" i="17" s="1"/>
  <c r="S146" i="17"/>
  <c r="S8" i="17" s="1"/>
  <c r="C342" i="4"/>
  <c r="B11" i="5"/>
  <c r="B31" i="4"/>
  <c r="AU30" i="4"/>
  <c r="AY30" i="4" s="1"/>
  <c r="C19" i="5"/>
  <c r="P151" i="4"/>
  <c r="X28" i="5"/>
  <c r="B29" i="5"/>
  <c r="B9" i="4"/>
  <c r="AA29" i="5"/>
  <c r="J73" i="4"/>
  <c r="J37" i="5" s="1"/>
  <c r="V52" i="5"/>
  <c r="Y53" i="5"/>
  <c r="B127" i="4"/>
  <c r="B59" i="5"/>
  <c r="N108" i="5"/>
  <c r="N112" i="5" s="1"/>
  <c r="N225" i="4"/>
  <c r="B110" i="5"/>
  <c r="F21" i="5"/>
  <c r="R51" i="5"/>
  <c r="C34" i="7"/>
  <c r="E193" i="7"/>
  <c r="X44" i="8"/>
  <c r="Y43" i="8"/>
  <c r="AB149" i="8"/>
  <c r="AA150" i="8"/>
  <c r="AH172" i="8"/>
  <c r="BO170" i="12" s="1"/>
  <c r="AD172" i="8"/>
  <c r="E53" i="9"/>
  <c r="E25" i="9"/>
  <c r="AB153" i="10"/>
  <c r="AA154" i="10"/>
  <c r="C54" i="11"/>
  <c r="C97" i="11"/>
  <c r="I55" i="11"/>
  <c r="I53" i="4"/>
  <c r="O44" i="6"/>
  <c r="O67" i="6" s="1"/>
  <c r="O5" i="11"/>
  <c r="BI5" i="11" s="1"/>
  <c r="Q104" i="4"/>
  <c r="D4" i="4"/>
  <c r="D3" i="5" s="1"/>
  <c r="C11" i="5"/>
  <c r="H13" i="5"/>
  <c r="AX22" i="4"/>
  <c r="AW22" i="4"/>
  <c r="D11" i="4"/>
  <c r="D349" i="4" s="1"/>
  <c r="F13" i="4"/>
  <c r="F351" i="4" s="1"/>
  <c r="D47" i="4"/>
  <c r="O149" i="4"/>
  <c r="B345" i="4"/>
  <c r="AD63" i="4"/>
  <c r="Y28" i="5"/>
  <c r="C29" i="5"/>
  <c r="C44" i="5"/>
  <c r="K138" i="4"/>
  <c r="D74" i="4"/>
  <c r="W52" i="5"/>
  <c r="Z53" i="5"/>
  <c r="C127" i="4"/>
  <c r="L103" i="5"/>
  <c r="O108" i="5"/>
  <c r="O225" i="4"/>
  <c r="C110" i="5"/>
  <c r="AB244" i="4"/>
  <c r="T58" i="5"/>
  <c r="T10" i="5"/>
  <c r="T83" i="5" s="1"/>
  <c r="T42" i="5"/>
  <c r="T107" i="5"/>
  <c r="T26" i="5"/>
  <c r="T91" i="5"/>
  <c r="T75" i="5"/>
  <c r="T116" i="5"/>
  <c r="T50" i="5"/>
  <c r="C18" i="5"/>
  <c r="K134" i="7"/>
  <c r="BH131" i="7"/>
  <c r="J144" i="7"/>
  <c r="M148" i="7"/>
  <c r="M166" i="7"/>
  <c r="BL164" i="7"/>
  <c r="O213" i="7"/>
  <c r="O185" i="7"/>
  <c r="BN229" i="7"/>
  <c r="N14" i="7"/>
  <c r="BN14" i="7" s="1"/>
  <c r="Y42" i="8"/>
  <c r="P69" i="8"/>
  <c r="W125" i="8"/>
  <c r="W126" i="8" s="1"/>
  <c r="W127" i="8" s="1"/>
  <c r="W128" i="8" s="1"/>
  <c r="W129" i="8" s="1"/>
  <c r="W130" i="8" s="1"/>
  <c r="W131" i="8" s="1"/>
  <c r="W132" i="8" s="1"/>
  <c r="W133" i="8" s="1"/>
  <c r="W134" i="8" s="1"/>
  <c r="W135" i="8" s="1"/>
  <c r="Y124" i="8"/>
  <c r="V149" i="8"/>
  <c r="U150" i="8"/>
  <c r="F53" i="9"/>
  <c r="F25" i="9"/>
  <c r="BK58" i="11"/>
  <c r="D54" i="11"/>
  <c r="D52" i="4"/>
  <c r="O42" i="4"/>
  <c r="G127" i="11"/>
  <c r="R273" i="11"/>
  <c r="R49" i="6" s="1"/>
  <c r="R71" i="6" s="1"/>
  <c r="R104" i="4"/>
  <c r="R52" i="5" s="1"/>
  <c r="K269" i="11"/>
  <c r="BB301" i="11"/>
  <c r="BW13" i="13"/>
  <c r="F5" i="5"/>
  <c r="D11" i="5"/>
  <c r="D31" i="4"/>
  <c r="G31" i="4"/>
  <c r="AX36" i="4"/>
  <c r="AW36" i="4"/>
  <c r="P149" i="4"/>
  <c r="AX40" i="4"/>
  <c r="AZ40" i="4" s="1"/>
  <c r="AW40" i="4"/>
  <c r="AV40" i="4"/>
  <c r="H154" i="4"/>
  <c r="H156" i="4"/>
  <c r="O22" i="5"/>
  <c r="O157" i="4"/>
  <c r="AE63" i="4"/>
  <c r="D44" i="5"/>
  <c r="D69" i="5" s="1"/>
  <c r="D68" i="4"/>
  <c r="L138" i="4"/>
  <c r="E74" i="4"/>
  <c r="X52" i="5"/>
  <c r="AA53" i="5"/>
  <c r="D127" i="4"/>
  <c r="D59" i="5"/>
  <c r="J127" i="4"/>
  <c r="F171" i="4"/>
  <c r="P108" i="5"/>
  <c r="P225" i="4"/>
  <c r="P226" i="4" s="1"/>
  <c r="AC244" i="4"/>
  <c r="U58" i="5"/>
  <c r="U10" i="5"/>
  <c r="U83" i="5" s="1"/>
  <c r="U42" i="5"/>
  <c r="U107" i="5"/>
  <c r="U26" i="5"/>
  <c r="U91" i="5"/>
  <c r="U75" i="5"/>
  <c r="U116" i="5"/>
  <c r="U50" i="5"/>
  <c r="H21" i="5"/>
  <c r="H78" i="5" s="1"/>
  <c r="BJ44" i="7"/>
  <c r="C3" i="7"/>
  <c r="C14" i="6" s="1"/>
  <c r="J32" i="7"/>
  <c r="I100" i="7"/>
  <c r="I102" i="7" s="1"/>
  <c r="I118" i="7"/>
  <c r="B149" i="7"/>
  <c r="P213" i="7"/>
  <c r="P185" i="7"/>
  <c r="BR201" i="7"/>
  <c r="P172" i="8"/>
  <c r="G53" i="9"/>
  <c r="G25" i="9"/>
  <c r="P69" i="9"/>
  <c r="P4" i="9" s="1"/>
  <c r="P3" i="9" s="1"/>
  <c r="P42" i="9"/>
  <c r="P26" i="9" s="1"/>
  <c r="F28" i="9"/>
  <c r="F295" i="4" s="1"/>
  <c r="W129" i="10"/>
  <c r="W130" i="10" s="1"/>
  <c r="W131" i="10" s="1"/>
  <c r="W132" i="10" s="1"/>
  <c r="W133" i="10" s="1"/>
  <c r="W134" i="10" s="1"/>
  <c r="W135" i="10" s="1"/>
  <c r="Y128" i="10"/>
  <c r="K59" i="11"/>
  <c r="BB91" i="11"/>
  <c r="K57" i="4"/>
  <c r="BB161" i="11"/>
  <c r="K9" i="11"/>
  <c r="H127" i="11"/>
  <c r="H93" i="4"/>
  <c r="F4" i="4"/>
  <c r="B4" i="5"/>
  <c r="B344" i="4"/>
  <c r="K7" i="4"/>
  <c r="G347" i="4"/>
  <c r="G5" i="5"/>
  <c r="E11" i="5"/>
  <c r="E31" i="4"/>
  <c r="G12" i="5"/>
  <c r="AX26" i="4"/>
  <c r="AZ26" i="4" s="1"/>
  <c r="AW26" i="4"/>
  <c r="H31" i="4"/>
  <c r="Q149" i="4"/>
  <c r="AV37" i="4"/>
  <c r="P22" i="5"/>
  <c r="AX44" i="4"/>
  <c r="AW44" i="4"/>
  <c r="J27" i="5"/>
  <c r="J63" i="4"/>
  <c r="AF63" i="4"/>
  <c r="E29" i="5"/>
  <c r="E78" i="5" s="1"/>
  <c r="G136" i="4"/>
  <c r="G168" i="4" s="1"/>
  <c r="M138" i="4"/>
  <c r="F74" i="4"/>
  <c r="B52" i="5"/>
  <c r="E127" i="4"/>
  <c r="E59" i="5"/>
  <c r="J138" i="4"/>
  <c r="D155" i="4"/>
  <c r="N103" i="5"/>
  <c r="E110" i="5"/>
  <c r="V58" i="5"/>
  <c r="V42" i="5"/>
  <c r="V107" i="5"/>
  <c r="V26" i="5"/>
  <c r="V91" i="5"/>
  <c r="V116" i="5"/>
  <c r="V75" i="5"/>
  <c r="V50" i="5"/>
  <c r="V18" i="5"/>
  <c r="I21" i="5"/>
  <c r="C112" i="5"/>
  <c r="C149" i="7"/>
  <c r="BJ160" i="7"/>
  <c r="L144" i="7"/>
  <c r="E181" i="7"/>
  <c r="E11" i="7" s="1"/>
  <c r="D181" i="7"/>
  <c r="D11" i="7" s="1"/>
  <c r="Q201" i="9"/>
  <c r="Q185" i="7"/>
  <c r="BT201" i="7"/>
  <c r="H193" i="7"/>
  <c r="H213" i="7"/>
  <c r="H13" i="7" s="1"/>
  <c r="AB43" i="8"/>
  <c r="AA44" i="8"/>
  <c r="I53" i="9"/>
  <c r="J69" i="9"/>
  <c r="J4" i="9" s="1"/>
  <c r="J41" i="9"/>
  <c r="L101" i="9"/>
  <c r="K145" i="9"/>
  <c r="K33" i="9" s="1"/>
  <c r="K300" i="4" s="1"/>
  <c r="K165" i="9"/>
  <c r="K10" i="9" s="1"/>
  <c r="C213" i="9"/>
  <c r="C13" i="9" s="1"/>
  <c r="C12" i="9" s="1"/>
  <c r="C185" i="9"/>
  <c r="C197" i="9" s="1"/>
  <c r="P186" i="9"/>
  <c r="P213" i="9"/>
  <c r="P13" i="9" s="1"/>
  <c r="P12" i="9" s="1"/>
  <c r="P14" i="10"/>
  <c r="P124" i="10"/>
  <c r="F38" i="11"/>
  <c r="J92" i="4"/>
  <c r="I127" i="11"/>
  <c r="I93" i="4"/>
  <c r="J177" i="11"/>
  <c r="J10" i="11" s="1"/>
  <c r="J13" i="1" s="1"/>
  <c r="E127" i="11"/>
  <c r="E47" i="11" s="1"/>
  <c r="E93" i="4"/>
  <c r="BD249" i="11"/>
  <c r="L119" i="4"/>
  <c r="BB297" i="11"/>
  <c r="K265" i="11"/>
  <c r="P266" i="11"/>
  <c r="P122" i="11" s="1"/>
  <c r="BK298" i="11"/>
  <c r="M269" i="11"/>
  <c r="BF301" i="11"/>
  <c r="AT14" i="12"/>
  <c r="AT15" i="12" s="1"/>
  <c r="AT16" i="12" s="1"/>
  <c r="AT17" i="12" s="1"/>
  <c r="AT18" i="12" s="1"/>
  <c r="AT19" i="12" s="1"/>
  <c r="AT20" i="12" s="1"/>
  <c r="AT21" i="12" s="1"/>
  <c r="AT22" i="12" s="1"/>
  <c r="AT23" i="12" s="1"/>
  <c r="AT24" i="12" s="1"/>
  <c r="AT25" i="12" s="1"/>
  <c r="C405" i="11"/>
  <c r="O14" i="12"/>
  <c r="C4" i="5"/>
  <c r="C344" i="4"/>
  <c r="H5" i="5"/>
  <c r="F11" i="5"/>
  <c r="F31" i="4"/>
  <c r="H12" i="5"/>
  <c r="B8" i="4"/>
  <c r="AX30" i="4"/>
  <c r="AZ30" i="4" s="1"/>
  <c r="AW30" i="4"/>
  <c r="K27" i="5"/>
  <c r="K63" i="4"/>
  <c r="AG63" i="4"/>
  <c r="F44" i="5"/>
  <c r="F69" i="5" s="1"/>
  <c r="G139" i="4"/>
  <c r="Z52" i="5"/>
  <c r="G154" i="4"/>
  <c r="B101" i="5"/>
  <c r="F110" i="5"/>
  <c r="F112" i="5" s="1"/>
  <c r="J21" i="5"/>
  <c r="D112" i="5"/>
  <c r="BR48" i="7"/>
  <c r="P32" i="7"/>
  <c r="K118" i="7"/>
  <c r="R43" i="8"/>
  <c r="S42" i="8"/>
  <c r="AB42" i="8"/>
  <c r="X66" i="8"/>
  <c r="R174" i="8"/>
  <c r="S173" i="8"/>
  <c r="K53" i="9"/>
  <c r="BL4" i="9"/>
  <c r="K3" i="9"/>
  <c r="H35" i="9"/>
  <c r="H302" i="4" s="1"/>
  <c r="G133" i="9"/>
  <c r="G8" i="9" s="1"/>
  <c r="G90" i="9"/>
  <c r="G26" i="9" s="1"/>
  <c r="D213" i="9"/>
  <c r="D13" i="9" s="1"/>
  <c r="D12" i="9" s="1"/>
  <c r="D185" i="9"/>
  <c r="D197" i="9" s="1"/>
  <c r="AA12" i="9"/>
  <c r="Q202" i="9"/>
  <c r="Q186" i="9" s="1"/>
  <c r="B5" i="11"/>
  <c r="B44" i="6"/>
  <c r="B67" i="6" s="1"/>
  <c r="BF87" i="11"/>
  <c r="M97" i="11"/>
  <c r="G42" i="11"/>
  <c r="F57" i="11"/>
  <c r="F39" i="4"/>
  <c r="E46" i="11"/>
  <c r="K10" i="11"/>
  <c r="BB177" i="11"/>
  <c r="E264" i="11"/>
  <c r="E102" i="4" s="1"/>
  <c r="E70" i="4" s="1"/>
  <c r="BM417" i="11"/>
  <c r="Q26" i="11"/>
  <c r="E417" i="11"/>
  <c r="E26" i="11" s="1"/>
  <c r="O119" i="12"/>
  <c r="R119" i="12" s="1"/>
  <c r="I119" i="12"/>
  <c r="O133" i="12"/>
  <c r="R133" i="12" s="1"/>
  <c r="I133" i="12"/>
  <c r="R359" i="3"/>
  <c r="H4" i="4"/>
  <c r="I5" i="5"/>
  <c r="I12" i="5"/>
  <c r="C8" i="4"/>
  <c r="H47" i="4"/>
  <c r="K21" i="5"/>
  <c r="AU41" i="4"/>
  <c r="H13" i="4"/>
  <c r="H158" i="4"/>
  <c r="AH63" i="4"/>
  <c r="G28" i="5"/>
  <c r="G31" i="5" s="1"/>
  <c r="B67" i="4"/>
  <c r="G44" i="5"/>
  <c r="G133" i="4"/>
  <c r="AW89" i="4"/>
  <c r="AV89" i="4"/>
  <c r="O138" i="4"/>
  <c r="H74" i="4"/>
  <c r="N142" i="4"/>
  <c r="D70" i="4"/>
  <c r="H59" i="5"/>
  <c r="D79" i="5"/>
  <c r="M127" i="4"/>
  <c r="C142" i="4"/>
  <c r="C174" i="4" s="1"/>
  <c r="L111" i="5"/>
  <c r="B42" i="5"/>
  <c r="B107" i="5"/>
  <c r="B50" i="5"/>
  <c r="B26" i="5"/>
  <c r="B91" i="5"/>
  <c r="B75" i="5"/>
  <c r="B67" i="5"/>
  <c r="B58" i="5"/>
  <c r="B99" i="5"/>
  <c r="B34" i="5"/>
  <c r="X42" i="5"/>
  <c r="X107" i="5"/>
  <c r="X26" i="5"/>
  <c r="X91" i="5"/>
  <c r="X75" i="5"/>
  <c r="X50" i="5"/>
  <c r="X18" i="5"/>
  <c r="X99" i="5"/>
  <c r="N13" i="5"/>
  <c r="E112" i="5"/>
  <c r="BL91" i="7"/>
  <c r="M27" i="7"/>
  <c r="BL96" i="7"/>
  <c r="M32" i="7"/>
  <c r="L118" i="7"/>
  <c r="BJ156" i="7"/>
  <c r="L140" i="7"/>
  <c r="B213" i="7"/>
  <c r="B13" i="7" s="1"/>
  <c r="S41" i="8"/>
  <c r="S172" i="8"/>
  <c r="AC136" i="10"/>
  <c r="U139" i="10"/>
  <c r="BL91" i="11"/>
  <c r="BM91" i="11" s="1"/>
  <c r="N57" i="4"/>
  <c r="N63" i="4" s="1"/>
  <c r="M10" i="11"/>
  <c r="BF177" i="11"/>
  <c r="G204" i="11"/>
  <c r="G258" i="11"/>
  <c r="AT326" i="11"/>
  <c r="BM326" i="11"/>
  <c r="BD408" i="11"/>
  <c r="L392" i="11"/>
  <c r="BD392" i="11" s="1"/>
  <c r="E4" i="5"/>
  <c r="J9" i="4"/>
  <c r="O12" i="4"/>
  <c r="M13" i="5"/>
  <c r="AS21" i="4"/>
  <c r="AU21" i="4"/>
  <c r="AS23" i="4"/>
  <c r="C10" i="4"/>
  <c r="L156" i="4"/>
  <c r="M27" i="5"/>
  <c r="M76" i="5" s="1"/>
  <c r="AI63" i="4"/>
  <c r="H68" i="4"/>
  <c r="P138" i="4"/>
  <c r="P170" i="4" s="1"/>
  <c r="O77" i="4"/>
  <c r="O142" i="4"/>
  <c r="AV93" i="4"/>
  <c r="E62" i="5"/>
  <c r="B132" i="4"/>
  <c r="Q103" i="5"/>
  <c r="H110" i="5"/>
  <c r="C42" i="5"/>
  <c r="C107" i="5"/>
  <c r="C26" i="5"/>
  <c r="C91" i="5"/>
  <c r="C75" i="5"/>
  <c r="C34" i="5"/>
  <c r="C99" i="5"/>
  <c r="C116" i="5"/>
  <c r="C10" i="5"/>
  <c r="Y42" i="5"/>
  <c r="Y107" i="5"/>
  <c r="Y26" i="5"/>
  <c r="Y91" i="5"/>
  <c r="Y75" i="5"/>
  <c r="Y34" i="5"/>
  <c r="Y50" i="5"/>
  <c r="Y18" i="5"/>
  <c r="P13" i="5"/>
  <c r="AC14" i="5" s="1"/>
  <c r="B83" i="5"/>
  <c r="BR52" i="7"/>
  <c r="P36" i="7"/>
  <c r="F91" i="7"/>
  <c r="F101" i="7" s="1"/>
  <c r="BL156" i="7"/>
  <c r="M140" i="7"/>
  <c r="BL140" i="7" s="1"/>
  <c r="AA66" i="8"/>
  <c r="AB65" i="8"/>
  <c r="U80" i="8"/>
  <c r="V79" i="8"/>
  <c r="C36" i="9"/>
  <c r="C303" i="4" s="1"/>
  <c r="O101" i="9"/>
  <c r="F213" i="9"/>
  <c r="F13" i="9" s="1"/>
  <c r="F185" i="9"/>
  <c r="F197" i="9" s="1"/>
  <c r="AC213" i="9"/>
  <c r="AC13" i="9" s="1"/>
  <c r="AC185" i="9"/>
  <c r="S213" i="9"/>
  <c r="S13" i="9" s="1"/>
  <c r="S186" i="9"/>
  <c r="D161" i="11"/>
  <c r="D9" i="11" s="1"/>
  <c r="AG273" i="11"/>
  <c r="E401" i="11"/>
  <c r="E25" i="11" s="1"/>
  <c r="K394" i="11"/>
  <c r="BB394" i="11" s="1"/>
  <c r="BB410" i="11"/>
  <c r="T359" i="3"/>
  <c r="J47" i="4"/>
  <c r="AS37" i="4"/>
  <c r="M150" i="4"/>
  <c r="AS41" i="4"/>
  <c r="D348" i="4"/>
  <c r="AJ63" i="4"/>
  <c r="I28" i="5"/>
  <c r="AU55" i="4"/>
  <c r="AY55" i="4" s="1"/>
  <c r="K136" i="4"/>
  <c r="F62" i="5"/>
  <c r="D157" i="4"/>
  <c r="M92" i="5"/>
  <c r="E95" i="5"/>
  <c r="E101" i="5"/>
  <c r="P109" i="5"/>
  <c r="I110" i="5"/>
  <c r="N111" i="5"/>
  <c r="U18" i="5"/>
  <c r="C83" i="5"/>
  <c r="B53" i="7"/>
  <c r="B25" i="7"/>
  <c r="H99" i="7"/>
  <c r="BN126" i="7"/>
  <c r="N94" i="7"/>
  <c r="BN94" i="7" s="1"/>
  <c r="BL155" i="7"/>
  <c r="M139" i="7"/>
  <c r="AB64" i="8"/>
  <c r="AC64" i="8" s="1"/>
  <c r="AD64" i="8" s="1"/>
  <c r="V138" i="8"/>
  <c r="U177" i="8"/>
  <c r="G213" i="9"/>
  <c r="G13" i="9" s="1"/>
  <c r="G185" i="9"/>
  <c r="G197" i="9" s="1"/>
  <c r="AD213" i="9"/>
  <c r="AD13" i="9" s="1"/>
  <c r="T213" i="9"/>
  <c r="T13" i="9" s="1"/>
  <c r="U43" i="10"/>
  <c r="V42" i="10"/>
  <c r="BF64" i="11"/>
  <c r="M48" i="11"/>
  <c r="BF48" i="11" s="1"/>
  <c r="BB61" i="11"/>
  <c r="I57" i="11"/>
  <c r="I41" i="11" s="1"/>
  <c r="I39" i="4"/>
  <c r="I152" i="4" s="1"/>
  <c r="I168" i="4" s="1"/>
  <c r="Z177" i="11"/>
  <c r="Z10" i="11" s="1"/>
  <c r="Z13" i="1" s="1"/>
  <c r="S177" i="11"/>
  <c r="S10" i="11" s="1"/>
  <c r="S13" i="1" s="1"/>
  <c r="AO177" i="11"/>
  <c r="BD173" i="11"/>
  <c r="L141" i="11"/>
  <c r="N142" i="11"/>
  <c r="N177" i="11"/>
  <c r="N10" i="11" s="1"/>
  <c r="BK348" i="11"/>
  <c r="P332" i="11"/>
  <c r="P203" i="4"/>
  <c r="AS203" i="4" s="1"/>
  <c r="F401" i="11"/>
  <c r="F25" i="11" s="1"/>
  <c r="I417" i="11"/>
  <c r="I26" i="11" s="1"/>
  <c r="U359" i="3"/>
  <c r="B3" i="4"/>
  <c r="L5" i="5"/>
  <c r="L12" i="5"/>
  <c r="O13" i="5"/>
  <c r="AU27" i="4"/>
  <c r="AY27" i="4" s="1"/>
  <c r="K19" i="5"/>
  <c r="K23" i="5" s="1"/>
  <c r="K47" i="4"/>
  <c r="AS39" i="4"/>
  <c r="N21" i="5"/>
  <c r="E10" i="4"/>
  <c r="E348" i="4" s="1"/>
  <c r="AU45" i="4"/>
  <c r="AK63" i="4"/>
  <c r="AU53" i="4"/>
  <c r="AY53" i="4" s="1"/>
  <c r="AZ53" i="4" s="1"/>
  <c r="J28" i="5"/>
  <c r="L29" i="5"/>
  <c r="L31" i="5" s="1"/>
  <c r="Q132" i="4"/>
  <c r="D69" i="4"/>
  <c r="U51" i="5"/>
  <c r="U111" i="4"/>
  <c r="AQ111" i="4"/>
  <c r="G52" i="5"/>
  <c r="G62" i="5"/>
  <c r="G79" i="5" s="1"/>
  <c r="F142" i="4"/>
  <c r="F174" i="4" s="1"/>
  <c r="E157" i="4"/>
  <c r="F95" i="5"/>
  <c r="F101" i="5"/>
  <c r="J110" i="5"/>
  <c r="J112" i="5" s="1"/>
  <c r="T34" i="5"/>
  <c r="C41" i="7"/>
  <c r="BP126" i="7"/>
  <c r="BF126" i="7"/>
  <c r="N165" i="7"/>
  <c r="BN155" i="7"/>
  <c r="N139" i="7"/>
  <c r="BP156" i="7"/>
  <c r="BF156" i="7"/>
  <c r="O140" i="7"/>
  <c r="BP140" i="7" s="1"/>
  <c r="S114" i="8"/>
  <c r="R115" i="8"/>
  <c r="H147" i="9"/>
  <c r="H165" i="9"/>
  <c r="H10" i="9" s="1"/>
  <c r="V41" i="10"/>
  <c r="J113" i="11"/>
  <c r="J39" i="4"/>
  <c r="D88" i="4"/>
  <c r="D122" i="11"/>
  <c r="L10" i="11"/>
  <c r="BD177" i="11"/>
  <c r="J401" i="11"/>
  <c r="J25" i="11" s="1"/>
  <c r="M9" i="4"/>
  <c r="M12" i="5"/>
  <c r="AX21" i="4"/>
  <c r="P5" i="4"/>
  <c r="L19" i="5"/>
  <c r="L47" i="4"/>
  <c r="L148" i="4"/>
  <c r="AU35" i="4"/>
  <c r="AY35" i="4" s="1"/>
  <c r="O150" i="4"/>
  <c r="C20" i="5"/>
  <c r="O21" i="5"/>
  <c r="O154" i="4"/>
  <c r="O156" i="4"/>
  <c r="AL63" i="4"/>
  <c r="K28" i="5"/>
  <c r="AU54" i="4"/>
  <c r="AY54" i="4" s="1"/>
  <c r="E45" i="5"/>
  <c r="E69" i="4"/>
  <c r="M136" i="4"/>
  <c r="V51" i="5"/>
  <c r="J53" i="5"/>
  <c r="J78" i="5" s="1"/>
  <c r="J86" i="5" s="1"/>
  <c r="H62" i="5"/>
  <c r="C133" i="4"/>
  <c r="C165" i="4" s="1"/>
  <c r="G95" i="5"/>
  <c r="N100" i="5"/>
  <c r="N104" i="5" s="1"/>
  <c r="K110" i="5"/>
  <c r="K112" i="5" s="1"/>
  <c r="P111" i="5"/>
  <c r="U34" i="5"/>
  <c r="H27" i="7"/>
  <c r="F29" i="7"/>
  <c r="F53" i="7"/>
  <c r="BP155" i="7"/>
  <c r="BF155" i="7"/>
  <c r="O139" i="7"/>
  <c r="C6" i="9"/>
  <c r="I147" i="9"/>
  <c r="I35" i="9" s="1"/>
  <c r="I302" i="4" s="1"/>
  <c r="I165" i="9"/>
  <c r="I10" i="9" s="1"/>
  <c r="X67" i="10"/>
  <c r="Y66" i="10"/>
  <c r="U119" i="10"/>
  <c r="G133" i="11"/>
  <c r="G161" i="11"/>
  <c r="G9" i="11" s="1"/>
  <c r="L118" i="11"/>
  <c r="C137" i="11"/>
  <c r="C161" i="11"/>
  <c r="C9" i="11" s="1"/>
  <c r="C144" i="11"/>
  <c r="D181" i="4"/>
  <c r="E20" i="5"/>
  <c r="S51" i="5"/>
  <c r="S55" i="5" s="1"/>
  <c r="C52" i="5"/>
  <c r="Y52" i="5"/>
  <c r="F60" i="5"/>
  <c r="O127" i="4"/>
  <c r="H148" i="4"/>
  <c r="F94" i="5"/>
  <c r="C101" i="5"/>
  <c r="K103" i="5"/>
  <c r="Q108" i="5"/>
  <c r="G110" i="5"/>
  <c r="Q260" i="4"/>
  <c r="AM260" i="4"/>
  <c r="S18" i="5"/>
  <c r="O91" i="5"/>
  <c r="BJ100" i="7"/>
  <c r="L102" i="7"/>
  <c r="BR114" i="7"/>
  <c r="P98" i="7"/>
  <c r="BR98" i="7" s="1"/>
  <c r="E137" i="7"/>
  <c r="E25" i="7" s="1"/>
  <c r="K144" i="7"/>
  <c r="BH144" i="7" s="1"/>
  <c r="BH160" i="7"/>
  <c r="AA6" i="8"/>
  <c r="AB5" i="8"/>
  <c r="AC5" i="8" s="1"/>
  <c r="O69" i="9"/>
  <c r="O4" i="9" s="1"/>
  <c r="O3" i="9" s="1"/>
  <c r="O42" i="9"/>
  <c r="O26" i="9" s="1"/>
  <c r="G99" i="9"/>
  <c r="G35" i="9" s="1"/>
  <c r="G302" i="4" s="1"/>
  <c r="G117" i="9"/>
  <c r="G7" i="9" s="1"/>
  <c r="C29" i="9"/>
  <c r="J147" i="9"/>
  <c r="J165" i="9"/>
  <c r="J10" i="9" s="1"/>
  <c r="AB185" i="10"/>
  <c r="AA186" i="10"/>
  <c r="AB186" i="10" s="1"/>
  <c r="C177" i="11"/>
  <c r="C10" i="11" s="1"/>
  <c r="C13" i="1" s="1"/>
  <c r="Y177" i="11"/>
  <c r="Y10" i="11" s="1"/>
  <c r="Y13" i="1" s="1"/>
  <c r="AQ177" i="11"/>
  <c r="BM168" i="11"/>
  <c r="Q177" i="11"/>
  <c r="AM177" i="11"/>
  <c r="BB173" i="11"/>
  <c r="K141" i="11"/>
  <c r="BF174" i="11"/>
  <c r="M142" i="11"/>
  <c r="AH273" i="11"/>
  <c r="U71" i="6"/>
  <c r="O305" i="11"/>
  <c r="O18" i="11" s="1"/>
  <c r="BI18" i="11" s="1"/>
  <c r="J417" i="11"/>
  <c r="J26" i="11" s="1"/>
  <c r="AV63" i="12"/>
  <c r="AV64" i="12" s="1"/>
  <c r="AV65" i="12" s="1"/>
  <c r="AV66" i="12" s="1"/>
  <c r="AV67" i="12" s="1"/>
  <c r="AV68" i="12" s="1"/>
  <c r="AV69" i="12" s="1"/>
  <c r="AV70" i="12" s="1"/>
  <c r="AV71" i="12" s="1"/>
  <c r="AV72" i="12" s="1"/>
  <c r="AV73" i="12" s="1"/>
  <c r="AD60" i="5"/>
  <c r="AC60" i="5"/>
  <c r="BL44" i="7"/>
  <c r="BP122" i="7"/>
  <c r="BF122" i="7"/>
  <c r="F141" i="7"/>
  <c r="BN160" i="7"/>
  <c r="N144" i="7"/>
  <c r="C197" i="7"/>
  <c r="L3" i="9"/>
  <c r="H133" i="9"/>
  <c r="H8" i="9" s="1"/>
  <c r="H90" i="9"/>
  <c r="H26" i="9" s="1"/>
  <c r="M147" i="9"/>
  <c r="M35" i="9" s="1"/>
  <c r="G9" i="9"/>
  <c r="BS9" i="9" s="1"/>
  <c r="R42" i="10"/>
  <c r="S41" i="10"/>
  <c r="Y138" i="10"/>
  <c r="X139" i="10"/>
  <c r="AA21" i="11"/>
  <c r="AA353" i="11"/>
  <c r="AA24" i="11"/>
  <c r="AA385" i="11" s="1"/>
  <c r="BK59" i="11"/>
  <c r="D82" i="11"/>
  <c r="D64" i="11"/>
  <c r="AS105" i="11"/>
  <c r="AS106" i="11"/>
  <c r="BB105" i="11"/>
  <c r="K57" i="11"/>
  <c r="I133" i="11"/>
  <c r="I161" i="11"/>
  <c r="I9" i="11" s="1"/>
  <c r="D137" i="11"/>
  <c r="F138" i="11"/>
  <c r="F161" i="11"/>
  <c r="F9" i="11" s="1"/>
  <c r="F264" i="11"/>
  <c r="F102" i="4" s="1"/>
  <c r="F52" i="5" s="1"/>
  <c r="BF297" i="11"/>
  <c r="M265" i="11"/>
  <c r="M334" i="11"/>
  <c r="M353" i="11"/>
  <c r="BF350" i="11"/>
  <c r="I27" i="12"/>
  <c r="O27" i="12"/>
  <c r="R27" i="12" s="1"/>
  <c r="D13" i="5"/>
  <c r="P21" i="5"/>
  <c r="T30" i="5"/>
  <c r="H63" i="4"/>
  <c r="W51" i="5"/>
  <c r="W55" i="5" s="1"/>
  <c r="J60" i="5"/>
  <c r="Q62" i="5"/>
  <c r="J94" i="5"/>
  <c r="D100" i="5"/>
  <c r="D104" i="5" s="1"/>
  <c r="O103" i="5"/>
  <c r="U260" i="4"/>
  <c r="AQ260" i="4"/>
  <c r="M20" i="5"/>
  <c r="Q50" i="5"/>
  <c r="N116" i="5"/>
  <c r="BN44" i="7"/>
  <c r="N28" i="7"/>
  <c r="G47" i="7"/>
  <c r="G31" i="7" s="1"/>
  <c r="F69" i="7"/>
  <c r="F4" i="7" s="1"/>
  <c r="F3" i="7" s="1"/>
  <c r="F14" i="6" s="1"/>
  <c r="BR100" i="7"/>
  <c r="P102" i="7"/>
  <c r="F95" i="7"/>
  <c r="BP130" i="7"/>
  <c r="BF130" i="7"/>
  <c r="L133" i="7"/>
  <c r="BF160" i="7"/>
  <c r="BP160" i="7"/>
  <c r="O144" i="7"/>
  <c r="S77" i="8"/>
  <c r="R78" i="8"/>
  <c r="R138" i="8"/>
  <c r="S137" i="8"/>
  <c r="B6" i="9"/>
  <c r="BN6" i="9" s="1"/>
  <c r="O33" i="9"/>
  <c r="M69" i="9"/>
  <c r="M4" i="9" s="1"/>
  <c r="M3" i="9" s="1"/>
  <c r="M41" i="9"/>
  <c r="H229" i="9"/>
  <c r="H14" i="9" s="1"/>
  <c r="H185" i="9"/>
  <c r="H197" i="9" s="1"/>
  <c r="AE229" i="9"/>
  <c r="AE14" i="9" s="1"/>
  <c r="S40" i="10"/>
  <c r="J161" i="11"/>
  <c r="J9" i="11" s="1"/>
  <c r="BB9" i="13" s="1"/>
  <c r="J133" i="11"/>
  <c r="O118" i="11"/>
  <c r="E121" i="11"/>
  <c r="E41" i="11" s="1"/>
  <c r="K14" i="11"/>
  <c r="BC14" i="13" s="1"/>
  <c r="BB241" i="11"/>
  <c r="H289" i="11"/>
  <c r="H17" i="11" s="1"/>
  <c r="H16" i="11" s="1"/>
  <c r="H270" i="11"/>
  <c r="BL297" i="11"/>
  <c r="BM297" i="11" s="1"/>
  <c r="N265" i="11"/>
  <c r="H333" i="11"/>
  <c r="H188" i="4" s="1"/>
  <c r="R9" i="12"/>
  <c r="AT26" i="12"/>
  <c r="AT27" i="12" s="1"/>
  <c r="AT28" i="12" s="1"/>
  <c r="AT29" i="12" s="1"/>
  <c r="AT30" i="12" s="1"/>
  <c r="AT31" i="12" s="1"/>
  <c r="AT32" i="12" s="1"/>
  <c r="AT33" i="12" s="1"/>
  <c r="AT34" i="12" s="1"/>
  <c r="AT35" i="12" s="1"/>
  <c r="AT36" i="12" s="1"/>
  <c r="AT37" i="12" s="1"/>
  <c r="D405" i="11"/>
  <c r="I29" i="12"/>
  <c r="O29" i="12"/>
  <c r="R29" i="12" s="1"/>
  <c r="R63" i="12"/>
  <c r="O53" i="14"/>
  <c r="I53" i="14"/>
  <c r="J12" i="5"/>
  <c r="E13" i="5"/>
  <c r="U30" i="5"/>
  <c r="U31" i="5" s="1"/>
  <c r="X51" i="5"/>
  <c r="X55" i="5" s="1"/>
  <c r="K60" i="5"/>
  <c r="P103" i="5"/>
  <c r="V260" i="4"/>
  <c r="N20" i="5"/>
  <c r="R50" i="5"/>
  <c r="O116" i="5"/>
  <c r="AC70" i="6"/>
  <c r="BP44" i="7"/>
  <c r="O28" i="7"/>
  <c r="B30" i="7"/>
  <c r="G25" i="7"/>
  <c r="G69" i="7"/>
  <c r="G4" i="7" s="1"/>
  <c r="BP42" i="7"/>
  <c r="O26" i="7"/>
  <c r="BR43" i="7"/>
  <c r="P27" i="7"/>
  <c r="BP148" i="7"/>
  <c r="O36" i="7"/>
  <c r="G181" i="7"/>
  <c r="G11" i="7" s="1"/>
  <c r="G9" i="7" s="1"/>
  <c r="G16" i="6" s="1"/>
  <c r="I182" i="7"/>
  <c r="L13" i="7"/>
  <c r="BJ213" i="7"/>
  <c r="AA18" i="8"/>
  <c r="AB17" i="8"/>
  <c r="AB161" i="8"/>
  <c r="AC161" i="8" s="1"/>
  <c r="AA162" i="8"/>
  <c r="N69" i="9"/>
  <c r="N4" i="9" s="1"/>
  <c r="N41" i="9"/>
  <c r="J90" i="9"/>
  <c r="J26" i="9" s="1"/>
  <c r="J293" i="4" s="1"/>
  <c r="J117" i="9"/>
  <c r="J7" i="9" s="1"/>
  <c r="H94" i="9"/>
  <c r="AJ8" i="9"/>
  <c r="I229" i="9"/>
  <c r="I14" i="9" s="1"/>
  <c r="W186" i="9"/>
  <c r="W229" i="9"/>
  <c r="W14" i="9" s="1"/>
  <c r="M187" i="9"/>
  <c r="M229" i="9"/>
  <c r="M14" i="9" s="1"/>
  <c r="BK150" i="11"/>
  <c r="P134" i="11"/>
  <c r="H194" i="11"/>
  <c r="H193" i="11"/>
  <c r="H11" i="11" s="1"/>
  <c r="H14" i="1" s="1"/>
  <c r="AW182" i="11"/>
  <c r="N134" i="11"/>
  <c r="L241" i="11"/>
  <c r="BD232" i="11"/>
  <c r="BB300" i="11"/>
  <c r="K268" i="11"/>
  <c r="I167" i="12"/>
  <c r="O167" i="12"/>
  <c r="R167" i="12" s="1"/>
  <c r="BM167" i="12" s="1"/>
  <c r="P11" i="5"/>
  <c r="K12" i="5"/>
  <c r="F13" i="5"/>
  <c r="D19" i="5"/>
  <c r="N27" i="5"/>
  <c r="V30" i="5"/>
  <c r="V31" i="5" s="1"/>
  <c r="Y51" i="5"/>
  <c r="O53" i="5"/>
  <c r="O78" i="5" s="1"/>
  <c r="F100" i="5"/>
  <c r="F104" i="5" s="1"/>
  <c r="M102" i="5"/>
  <c r="G109" i="5"/>
  <c r="G112" i="5" s="1"/>
  <c r="W260" i="4"/>
  <c r="O20" i="5"/>
  <c r="S50" i="5"/>
  <c r="C59" i="5"/>
  <c r="P116" i="5"/>
  <c r="P28" i="7"/>
  <c r="BR44" i="7"/>
  <c r="H69" i="7"/>
  <c r="H4" i="7" s="1"/>
  <c r="H52" i="7"/>
  <c r="P42" i="7"/>
  <c r="BR74" i="7"/>
  <c r="B32" i="7"/>
  <c r="J182" i="7"/>
  <c r="H229" i="7"/>
  <c r="H14" i="7" s="1"/>
  <c r="AB16" i="8"/>
  <c r="AC16" i="8" s="1"/>
  <c r="S40" i="8"/>
  <c r="AC40" i="8" s="1"/>
  <c r="K26" i="9"/>
  <c r="K293" i="4" s="1"/>
  <c r="E139" i="9"/>
  <c r="E27" i="9" s="1"/>
  <c r="E294" i="4" s="1"/>
  <c r="AJ14" i="9"/>
  <c r="AG229" i="9"/>
  <c r="AG14" i="9" s="1"/>
  <c r="AG185" i="9"/>
  <c r="V17" i="10"/>
  <c r="U18" i="10"/>
  <c r="V40" i="10"/>
  <c r="V114" i="10"/>
  <c r="T115" i="10"/>
  <c r="T116" i="10" s="1"/>
  <c r="AB151" i="10"/>
  <c r="P54" i="11"/>
  <c r="BK70" i="11"/>
  <c r="BB76" i="11"/>
  <c r="K60" i="11"/>
  <c r="L161" i="11"/>
  <c r="L133" i="11"/>
  <c r="Q161" i="11"/>
  <c r="BM150" i="11"/>
  <c r="Q134" i="11"/>
  <c r="M241" i="11"/>
  <c r="BF232" i="11"/>
  <c r="C369" i="11"/>
  <c r="C23" i="11" s="1"/>
  <c r="AW29" i="12"/>
  <c r="AW30" i="12" s="1"/>
  <c r="AW31" i="12" s="1"/>
  <c r="AW32" i="12" s="1"/>
  <c r="AM77" i="12"/>
  <c r="AM78" i="12" s="1"/>
  <c r="AM79" i="12" s="1"/>
  <c r="AM80" i="12" s="1"/>
  <c r="AM81" i="12" s="1"/>
  <c r="AM82" i="12" s="1"/>
  <c r="AM83" i="12" s="1"/>
  <c r="AM84" i="12" s="1"/>
  <c r="AM85" i="12" s="1"/>
  <c r="AM119" i="12"/>
  <c r="AM120" i="12" s="1"/>
  <c r="AM121" i="12" s="1"/>
  <c r="B14" i="5"/>
  <c r="E19" i="5"/>
  <c r="E23" i="5" s="1"/>
  <c r="O27" i="5"/>
  <c r="W30" i="5"/>
  <c r="Z51" i="5"/>
  <c r="Z55" i="5" s="1"/>
  <c r="J63" i="5"/>
  <c r="G100" i="5"/>
  <c r="G104" i="5" s="1"/>
  <c r="H109" i="5"/>
  <c r="N34" i="5"/>
  <c r="N99" i="5"/>
  <c r="N18" i="5"/>
  <c r="N83" i="5"/>
  <c r="N67" i="5"/>
  <c r="N58" i="5"/>
  <c r="N10" i="5"/>
  <c r="N107" i="5"/>
  <c r="P20" i="5"/>
  <c r="Q116" i="5"/>
  <c r="BN66" i="7"/>
  <c r="N50" i="7"/>
  <c r="I36" i="7"/>
  <c r="P85" i="7"/>
  <c r="P41" i="7"/>
  <c r="BR73" i="7"/>
  <c r="Q42" i="7"/>
  <c r="Q74" i="9"/>
  <c r="Q85" i="9" s="1"/>
  <c r="Q5" i="9" s="1"/>
  <c r="B133" i="7"/>
  <c r="B8" i="7" s="1"/>
  <c r="O133" i="7"/>
  <c r="P138" i="7"/>
  <c r="BR138" i="7" s="1"/>
  <c r="F140" i="7"/>
  <c r="F149" i="7" s="1"/>
  <c r="F165" i="7"/>
  <c r="F10" i="7" s="1"/>
  <c r="F9" i="7" s="1"/>
  <c r="F16" i="6" s="1"/>
  <c r="BH180" i="7"/>
  <c r="K182" i="7"/>
  <c r="B194" i="7"/>
  <c r="D195" i="7"/>
  <c r="C229" i="7"/>
  <c r="C14" i="7" s="1"/>
  <c r="S29" i="8"/>
  <c r="R30" i="8"/>
  <c r="E36" i="9"/>
  <c r="E303" i="4" s="1"/>
  <c r="E352" i="4" s="1"/>
  <c r="O229" i="9"/>
  <c r="O14" i="9" s="1"/>
  <c r="AB19" i="10"/>
  <c r="AA20" i="10"/>
  <c r="BF56" i="11"/>
  <c r="BD76" i="11"/>
  <c r="L60" i="11"/>
  <c r="BD139" i="11"/>
  <c r="C289" i="11"/>
  <c r="C17" i="11" s="1"/>
  <c r="C265" i="11"/>
  <c r="C103" i="4" s="1"/>
  <c r="C152" i="4" s="1"/>
  <c r="R26" i="12"/>
  <c r="AX26" i="12" s="1"/>
  <c r="O195" i="13"/>
  <c r="O239" i="13"/>
  <c r="O14" i="13" s="1"/>
  <c r="BG14" i="13" s="1"/>
  <c r="J239" i="13"/>
  <c r="J14" i="13" s="1"/>
  <c r="J198" i="13"/>
  <c r="J135" i="3" s="1"/>
  <c r="C14" i="5"/>
  <c r="F19" i="5"/>
  <c r="E22" i="5"/>
  <c r="P27" i="5"/>
  <c r="B30" i="5"/>
  <c r="B31" i="5" s="1"/>
  <c r="X30" i="5"/>
  <c r="AW60" i="4"/>
  <c r="L63" i="4"/>
  <c r="AA51" i="5"/>
  <c r="AA55" i="5" s="1"/>
  <c r="K59" i="5"/>
  <c r="P154" i="4"/>
  <c r="O102" i="5"/>
  <c r="O34" i="5"/>
  <c r="O99" i="5"/>
  <c r="O18" i="5"/>
  <c r="O83" i="5"/>
  <c r="O67" i="5"/>
  <c r="O58" i="5"/>
  <c r="O10" i="5"/>
  <c r="O26" i="5"/>
  <c r="R116" i="5"/>
  <c r="J69" i="7"/>
  <c r="J4" i="7" s="1"/>
  <c r="J3" i="7" s="1"/>
  <c r="J14" i="6" s="1"/>
  <c r="J41" i="7"/>
  <c r="Q85" i="7"/>
  <c r="F117" i="7"/>
  <c r="F7" i="7" s="1"/>
  <c r="D117" i="7"/>
  <c r="D7" i="7" s="1"/>
  <c r="D6" i="7" s="1"/>
  <c r="D15" i="6" s="1"/>
  <c r="B100" i="7"/>
  <c r="B101" i="7" s="1"/>
  <c r="C133" i="7"/>
  <c r="C8" i="7" s="1"/>
  <c r="P133" i="7"/>
  <c r="BN162" i="7"/>
  <c r="N146" i="7"/>
  <c r="BN146" i="7" s="1"/>
  <c r="O181" i="7"/>
  <c r="BP171" i="7"/>
  <c r="J12" i="7"/>
  <c r="C194" i="7"/>
  <c r="E195" i="7"/>
  <c r="V29" i="8"/>
  <c r="D133" i="9"/>
  <c r="D8" i="9" s="1"/>
  <c r="U213" i="9"/>
  <c r="U13" i="9" s="1"/>
  <c r="U12" i="9" s="1"/>
  <c r="AG213" i="9"/>
  <c r="AG13" i="9" s="1"/>
  <c r="AB55" i="10"/>
  <c r="AA56" i="10"/>
  <c r="Q127" i="10"/>
  <c r="Q128" i="10" s="1"/>
  <c r="Q129" i="10" s="1"/>
  <c r="Q130" i="10" s="1"/>
  <c r="Q131" i="10" s="1"/>
  <c r="Q132" i="10" s="1"/>
  <c r="Q133" i="10" s="1"/>
  <c r="Q134" i="10" s="1"/>
  <c r="Q135" i="10" s="1"/>
  <c r="S126" i="10"/>
  <c r="Y172" i="10"/>
  <c r="X173" i="10"/>
  <c r="AF15" i="11"/>
  <c r="AF257" i="11" s="1"/>
  <c r="BF117" i="11"/>
  <c r="BL149" i="11"/>
  <c r="N161" i="11"/>
  <c r="N133" i="11"/>
  <c r="E120" i="11"/>
  <c r="AT31" i="11"/>
  <c r="BI14" i="11"/>
  <c r="T71" i="6"/>
  <c r="O140" i="12"/>
  <c r="R140" i="12" s="1"/>
  <c r="BM140" i="12" s="1"/>
  <c r="L140" i="12"/>
  <c r="O179" i="12"/>
  <c r="R179" i="12" s="1"/>
  <c r="P195" i="13"/>
  <c r="P239" i="13"/>
  <c r="P14" i="13" s="1"/>
  <c r="N12" i="5"/>
  <c r="I13" i="5"/>
  <c r="I70" i="5" s="1"/>
  <c r="D14" i="5"/>
  <c r="G19" i="5"/>
  <c r="G23" i="5" s="1"/>
  <c r="Q27" i="5"/>
  <c r="Q31" i="5" s="1"/>
  <c r="E28" i="5"/>
  <c r="AA28" i="5"/>
  <c r="C30" i="5"/>
  <c r="C79" i="5" s="1"/>
  <c r="Y30" i="5"/>
  <c r="M63" i="4"/>
  <c r="R53" i="5"/>
  <c r="L59" i="5"/>
  <c r="C92" i="5"/>
  <c r="I100" i="5"/>
  <c r="I104" i="5" s="1"/>
  <c r="P102" i="5"/>
  <c r="P99" i="5"/>
  <c r="P18" i="5"/>
  <c r="P67" i="5"/>
  <c r="P58" i="5"/>
  <c r="P10" i="5"/>
  <c r="P83" i="5" s="1"/>
  <c r="P42" i="5"/>
  <c r="S116" i="5"/>
  <c r="N12" i="7"/>
  <c r="BN13" i="7"/>
  <c r="K69" i="7"/>
  <c r="K41" i="7"/>
  <c r="D43" i="7"/>
  <c r="D27" i="7" s="1"/>
  <c r="D69" i="7"/>
  <c r="D4" i="7" s="1"/>
  <c r="D3" i="7" s="1"/>
  <c r="D14" i="6" s="1"/>
  <c r="BH68" i="7"/>
  <c r="K52" i="7"/>
  <c r="G117" i="7"/>
  <c r="P94" i="7"/>
  <c r="BR94" i="7" s="1"/>
  <c r="BR110" i="7"/>
  <c r="K95" i="7"/>
  <c r="BH95" i="7" s="1"/>
  <c r="BH111" i="7"/>
  <c r="C100" i="7"/>
  <c r="C36" i="7" s="1"/>
  <c r="D133" i="7"/>
  <c r="D8" i="7" s="1"/>
  <c r="H140" i="7"/>
  <c r="H28" i="7" s="1"/>
  <c r="BP162" i="7"/>
  <c r="O146" i="7"/>
  <c r="BP146" i="7" s="1"/>
  <c r="M182" i="7"/>
  <c r="R197" i="7"/>
  <c r="K13" i="7"/>
  <c r="BH213" i="7"/>
  <c r="D194" i="7"/>
  <c r="H196" i="7"/>
  <c r="H197" i="7" s="1"/>
  <c r="X31" i="8"/>
  <c r="R56" i="8"/>
  <c r="V213" i="9"/>
  <c r="V13" i="9" s="1"/>
  <c r="V12" i="9" s="1"/>
  <c r="R7" i="10"/>
  <c r="AB54" i="10"/>
  <c r="AA90" i="10"/>
  <c r="AB89" i="10"/>
  <c r="BF69" i="11"/>
  <c r="M81" i="11"/>
  <c r="M53" i="11"/>
  <c r="M82" i="11"/>
  <c r="O161" i="11"/>
  <c r="O9" i="11" s="1"/>
  <c r="AQ273" i="11"/>
  <c r="O138" i="12"/>
  <c r="R138" i="12" s="1"/>
  <c r="BM138" i="12" s="1"/>
  <c r="L138" i="12"/>
  <c r="G223" i="13"/>
  <c r="G13" i="13" s="1"/>
  <c r="AC223" i="13"/>
  <c r="AC13" i="13" s="1"/>
  <c r="J13" i="5"/>
  <c r="J70" i="5" s="1"/>
  <c r="E14" i="5"/>
  <c r="E71" i="5" s="1"/>
  <c r="H19" i="5"/>
  <c r="R27" i="5"/>
  <c r="D30" i="5"/>
  <c r="Z30" i="5"/>
  <c r="Z31" i="5" s="1"/>
  <c r="J104" i="5"/>
  <c r="D208" i="4"/>
  <c r="Q18" i="5"/>
  <c r="Q67" i="5"/>
  <c r="Q58" i="5"/>
  <c r="Q10" i="5"/>
  <c r="Q83" i="5" s="1"/>
  <c r="Q42" i="5"/>
  <c r="Q107" i="5"/>
  <c r="Q91" i="5"/>
  <c r="N42" i="5"/>
  <c r="K34" i="7"/>
  <c r="BH50" i="7"/>
  <c r="E27" i="7"/>
  <c r="BJ62" i="7"/>
  <c r="L46" i="7"/>
  <c r="L36" i="7"/>
  <c r="BJ52" i="7"/>
  <c r="BR75" i="7"/>
  <c r="H117" i="7"/>
  <c r="L95" i="7"/>
  <c r="BJ95" i="7" s="1"/>
  <c r="BJ111" i="7"/>
  <c r="E133" i="7"/>
  <c r="E8" i="7" s="1"/>
  <c r="O93" i="7"/>
  <c r="BP93" i="7" s="1"/>
  <c r="BP125" i="7"/>
  <c r="BR162" i="7"/>
  <c r="P146" i="7"/>
  <c r="BR146" i="7" s="1"/>
  <c r="BF180" i="7"/>
  <c r="N182" i="7"/>
  <c r="S197" i="7"/>
  <c r="E194" i="7"/>
  <c r="AC4" i="8"/>
  <c r="I36" i="9"/>
  <c r="I303" i="4" s="1"/>
  <c r="I352" i="4" s="1"/>
  <c r="J101" i="9"/>
  <c r="E165" i="9"/>
  <c r="E10" i="9" s="1"/>
  <c r="E9" i="9" s="1"/>
  <c r="M146" i="9"/>
  <c r="M34" i="9" s="1"/>
  <c r="M165" i="9"/>
  <c r="M10" i="9" s="1"/>
  <c r="M9" i="9" s="1"/>
  <c r="W213" i="9"/>
  <c r="W13" i="9" s="1"/>
  <c r="W12" i="9" s="1"/>
  <c r="W185" i="9"/>
  <c r="M186" i="9"/>
  <c r="M213" i="9"/>
  <c r="M13" i="9" s="1"/>
  <c r="S5" i="10"/>
  <c r="P16" i="10"/>
  <c r="AA174" i="10"/>
  <c r="AB173" i="10"/>
  <c r="O60" i="11"/>
  <c r="O225" i="11"/>
  <c r="O13" i="11" s="1"/>
  <c r="H223" i="13"/>
  <c r="H13" i="13" s="1"/>
  <c r="H195" i="13"/>
  <c r="AD223" i="13"/>
  <c r="AD13" i="13" s="1"/>
  <c r="K196" i="13"/>
  <c r="K133" i="3" s="1"/>
  <c r="K223" i="13"/>
  <c r="K13" i="13" s="1"/>
  <c r="AG223" i="13"/>
  <c r="AG13" i="13" s="1"/>
  <c r="AJ223" i="13"/>
  <c r="AJ13" i="13" s="1"/>
  <c r="AP223" i="13"/>
  <c r="AP13" i="13" s="1"/>
  <c r="J203" i="13"/>
  <c r="J223" i="13"/>
  <c r="J13" i="13" s="1"/>
  <c r="AF223" i="13"/>
  <c r="AF13" i="13" s="1"/>
  <c r="P12" i="5"/>
  <c r="K13" i="5"/>
  <c r="K70" i="5" s="1"/>
  <c r="F14" i="5"/>
  <c r="I19" i="5"/>
  <c r="H22" i="5"/>
  <c r="S27" i="5"/>
  <c r="S31" i="5" s="1"/>
  <c r="E30" i="5"/>
  <c r="AA30" i="5"/>
  <c r="O63" i="4"/>
  <c r="H51" i="5"/>
  <c r="D54" i="5"/>
  <c r="N63" i="5"/>
  <c r="E208" i="4"/>
  <c r="R67" i="5"/>
  <c r="R58" i="5"/>
  <c r="R10" i="5"/>
  <c r="R83" i="5" s="1"/>
  <c r="R42" i="5"/>
  <c r="R107" i="5"/>
  <c r="R26" i="5"/>
  <c r="O42" i="5"/>
  <c r="D29" i="7"/>
  <c r="H33" i="7"/>
  <c r="BL62" i="7"/>
  <c r="M46" i="7"/>
  <c r="E33" i="7"/>
  <c r="BR67" i="7"/>
  <c r="P51" i="7"/>
  <c r="BP74" i="7"/>
  <c r="O51" i="7"/>
  <c r="BP83" i="7"/>
  <c r="F33" i="7"/>
  <c r="I117" i="7"/>
  <c r="M95" i="7"/>
  <c r="BL95" i="7" s="1"/>
  <c r="BL111" i="7"/>
  <c r="E100" i="7"/>
  <c r="E101" i="7" s="1"/>
  <c r="F133" i="7"/>
  <c r="F8" i="7" s="1"/>
  <c r="P93" i="7"/>
  <c r="BR93" i="7" s="1"/>
  <c r="BR125" i="7"/>
  <c r="E165" i="7"/>
  <c r="E10" i="7" s="1"/>
  <c r="BP179" i="7"/>
  <c r="BF179" i="7"/>
  <c r="AE197" i="7"/>
  <c r="D193" i="7"/>
  <c r="H195" i="7"/>
  <c r="G189" i="7"/>
  <c r="G197" i="7" s="1"/>
  <c r="G229" i="7"/>
  <c r="G14" i="7" s="1"/>
  <c r="B31" i="9"/>
  <c r="B298" i="4" s="1"/>
  <c r="I89" i="9"/>
  <c r="I101" i="9" s="1"/>
  <c r="I117" i="9"/>
  <c r="I7" i="9" s="1"/>
  <c r="I6" i="9" s="1"/>
  <c r="B165" i="9"/>
  <c r="B10" i="9" s="1"/>
  <c r="F165" i="9"/>
  <c r="F10" i="9" s="1"/>
  <c r="F9" i="9" s="1"/>
  <c r="BR9" i="9" s="1"/>
  <c r="F138" i="9"/>
  <c r="F149" i="9" s="1"/>
  <c r="X213" i="9"/>
  <c r="X13" i="9" s="1"/>
  <c r="X12" i="9" s="1"/>
  <c r="N186" i="9"/>
  <c r="N197" i="9" s="1"/>
  <c r="N213" i="9"/>
  <c r="N13" i="9" s="1"/>
  <c r="N12" i="9" s="1"/>
  <c r="V125" i="10"/>
  <c r="T126" i="10"/>
  <c r="R129" i="10"/>
  <c r="P129" i="10"/>
  <c r="AB172" i="10"/>
  <c r="AJ15" i="11"/>
  <c r="AJ257" i="11" s="1"/>
  <c r="P225" i="11"/>
  <c r="P197" i="11"/>
  <c r="BK213" i="11"/>
  <c r="O147" i="12"/>
  <c r="R147" i="12" s="1"/>
  <c r="BM147" i="12" s="1"/>
  <c r="I147" i="12"/>
  <c r="O149" i="12"/>
  <c r="R149" i="12" s="1"/>
  <c r="BM149" i="12" s="1"/>
  <c r="I149" i="12"/>
  <c r="L13" i="5"/>
  <c r="G14" i="5"/>
  <c r="J19" i="5"/>
  <c r="I22" i="5"/>
  <c r="T27" i="5"/>
  <c r="T31" i="5" s="1"/>
  <c r="H28" i="5"/>
  <c r="H31" i="5" s="1"/>
  <c r="P63" i="4"/>
  <c r="O63" i="5"/>
  <c r="B95" i="5"/>
  <c r="F208" i="4"/>
  <c r="S67" i="5"/>
  <c r="S58" i="5"/>
  <c r="S10" i="5"/>
  <c r="S83" i="5" s="1"/>
  <c r="S42" i="5"/>
  <c r="S107" i="5"/>
  <c r="S26" i="5"/>
  <c r="P34" i="5"/>
  <c r="E29" i="7"/>
  <c r="N69" i="7"/>
  <c r="G27" i="7"/>
  <c r="BN62" i="7"/>
  <c r="N46" i="7"/>
  <c r="K48" i="7"/>
  <c r="BH64" i="7"/>
  <c r="B85" i="7"/>
  <c r="B5" i="7" s="1"/>
  <c r="B3" i="7" s="1"/>
  <c r="B14" i="6" s="1"/>
  <c r="C29" i="7"/>
  <c r="D85" i="7"/>
  <c r="D5" i="7" s="1"/>
  <c r="H85" i="7"/>
  <c r="H5" i="7" s="1"/>
  <c r="J117" i="7"/>
  <c r="J89" i="7"/>
  <c r="F100" i="7"/>
  <c r="F102" i="7" s="1"/>
  <c r="F118" i="7"/>
  <c r="K140" i="7"/>
  <c r="L148" i="7"/>
  <c r="L166" i="7"/>
  <c r="BJ164" i="7"/>
  <c r="P186" i="7"/>
  <c r="BR186" i="7" s="1"/>
  <c r="BR202" i="7"/>
  <c r="P7" i="8"/>
  <c r="S54" i="8"/>
  <c r="U103" i="8"/>
  <c r="V102" i="8"/>
  <c r="B213" i="9"/>
  <c r="B13" i="9" s="1"/>
  <c r="B12" i="9" s="1"/>
  <c r="B185" i="9"/>
  <c r="B197" i="9" s="1"/>
  <c r="Y213" i="9"/>
  <c r="Y13" i="9" s="1"/>
  <c r="Y185" i="9"/>
  <c r="Y197" i="9" s="1"/>
  <c r="O186" i="9"/>
  <c r="O197" i="9" s="1"/>
  <c r="O213" i="9"/>
  <c r="O13" i="9" s="1"/>
  <c r="O12" i="9" s="1"/>
  <c r="V5" i="10"/>
  <c r="U6" i="10"/>
  <c r="V77" i="10"/>
  <c r="U78" i="10"/>
  <c r="R385" i="11"/>
  <c r="R20" i="11"/>
  <c r="BD110" i="11"/>
  <c r="L114" i="11"/>
  <c r="Q225" i="11"/>
  <c r="Q197" i="11"/>
  <c r="M289" i="11"/>
  <c r="BF277" i="11"/>
  <c r="O141" i="12"/>
  <c r="R141" i="12" s="1"/>
  <c r="BM141" i="12" s="1"/>
  <c r="I141" i="12"/>
  <c r="O162" i="12"/>
  <c r="R162" i="12" s="1"/>
  <c r="BM162" i="12" s="1"/>
  <c r="I162" i="12"/>
  <c r="AW13" i="13"/>
  <c r="E12" i="13"/>
  <c r="K10" i="5"/>
  <c r="E18" i="5"/>
  <c r="AA18" i="5"/>
  <c r="M42" i="5"/>
  <c r="W50" i="5"/>
  <c r="K58" i="5"/>
  <c r="G83" i="5"/>
  <c r="D99" i="5"/>
  <c r="Z99" i="5"/>
  <c r="W116" i="5"/>
  <c r="AK20" i="7"/>
  <c r="I69" i="7"/>
  <c r="I4" i="7" s="1"/>
  <c r="I3" i="7" s="1"/>
  <c r="I14" i="6" s="1"/>
  <c r="BP62" i="7"/>
  <c r="O46" i="7"/>
  <c r="BJ66" i="7"/>
  <c r="L50" i="7"/>
  <c r="BP89" i="7"/>
  <c r="BP105" i="7"/>
  <c r="H96" i="7"/>
  <c r="J100" i="7"/>
  <c r="J118" i="7"/>
  <c r="H133" i="7"/>
  <c r="H8" i="7" s="1"/>
  <c r="BF127" i="7"/>
  <c r="BL129" i="7"/>
  <c r="M97" i="7"/>
  <c r="BL97" i="7" s="1"/>
  <c r="H194" i="7"/>
  <c r="R103" i="8"/>
  <c r="Y101" i="8"/>
  <c r="L100" i="9"/>
  <c r="L36" i="9" s="1"/>
  <c r="P147" i="9"/>
  <c r="P149" i="9" s="1"/>
  <c r="E213" i="9"/>
  <c r="E13" i="9" s="1"/>
  <c r="AB213" i="9"/>
  <c r="AB13" i="9" s="1"/>
  <c r="AB12" i="9" s="1"/>
  <c r="AB185" i="9"/>
  <c r="AB197" i="9" s="1"/>
  <c r="R186" i="9"/>
  <c r="R197" i="9" s="1"/>
  <c r="R213" i="9"/>
  <c r="R13" i="9" s="1"/>
  <c r="R12" i="9" s="1"/>
  <c r="R20" i="10"/>
  <c r="S19" i="10"/>
  <c r="Y64" i="10"/>
  <c r="AC64" i="10" s="1"/>
  <c r="BD55" i="11"/>
  <c r="BD69" i="11"/>
  <c r="L82" i="11"/>
  <c r="L81" i="11"/>
  <c r="N81" i="11"/>
  <c r="N54" i="11"/>
  <c r="N44" i="11"/>
  <c r="BF105" i="11"/>
  <c r="M57" i="11"/>
  <c r="O114" i="11"/>
  <c r="I120" i="11"/>
  <c r="N200" i="11"/>
  <c r="BL216" i="11"/>
  <c r="BM216" i="11" s="1"/>
  <c r="H257" i="11"/>
  <c r="H15" i="11" s="1"/>
  <c r="AZ15" i="13" s="1"/>
  <c r="H197" i="11"/>
  <c r="AO273" i="11"/>
  <c r="L289" i="11"/>
  <c r="BD300" i="11"/>
  <c r="L268" i="11"/>
  <c r="I401" i="11"/>
  <c r="I25" i="11" s="1"/>
  <c r="P392" i="11"/>
  <c r="BK392" i="11" s="1"/>
  <c r="P417" i="11"/>
  <c r="BK408" i="11"/>
  <c r="BF410" i="11"/>
  <c r="M394" i="11"/>
  <c r="BF394" i="11" s="1"/>
  <c r="AV41" i="12"/>
  <c r="AV42" i="12" s="1"/>
  <c r="AV43" i="12" s="1"/>
  <c r="AV44" i="12" s="1"/>
  <c r="AV45" i="12" s="1"/>
  <c r="AV46" i="12" s="1"/>
  <c r="AV47" i="12" s="1"/>
  <c r="AV48" i="12" s="1"/>
  <c r="AV49" i="12" s="1"/>
  <c r="I65" i="12"/>
  <c r="O65" i="12"/>
  <c r="R65" i="12" s="1"/>
  <c r="P92" i="12"/>
  <c r="I92" i="12"/>
  <c r="AL110" i="12"/>
  <c r="AL111" i="12" s="1"/>
  <c r="AL112" i="12" s="1"/>
  <c r="AL113" i="12" s="1"/>
  <c r="AL114" i="12" s="1"/>
  <c r="AL115" i="12" s="1"/>
  <c r="AL116" i="12" s="1"/>
  <c r="AL117" i="12" s="1"/>
  <c r="AL118" i="12" s="1"/>
  <c r="AL119" i="12" s="1"/>
  <c r="AL120" i="12" s="1"/>
  <c r="AL121" i="12" s="1"/>
  <c r="O110" i="12"/>
  <c r="H18" i="5"/>
  <c r="F34" i="5"/>
  <c r="Z50" i="5"/>
  <c r="J83" i="5"/>
  <c r="G99" i="5"/>
  <c r="D116" i="5"/>
  <c r="Z116" i="5"/>
  <c r="AD70" i="6"/>
  <c r="R20" i="7"/>
  <c r="AN20" i="7"/>
  <c r="L69" i="7"/>
  <c r="BJ57" i="7"/>
  <c r="L41" i="7"/>
  <c r="I31" i="7"/>
  <c r="BP66" i="7"/>
  <c r="O50" i="7"/>
  <c r="BL121" i="7"/>
  <c r="I134" i="7"/>
  <c r="I165" i="7"/>
  <c r="I10" i="7" s="1"/>
  <c r="I137" i="7"/>
  <c r="I25" i="7" s="1"/>
  <c r="Q154" i="9"/>
  <c r="BT154" i="7"/>
  <c r="F181" i="7"/>
  <c r="F11" i="7" s="1"/>
  <c r="O182" i="7"/>
  <c r="BF176" i="7"/>
  <c r="AF197" i="7"/>
  <c r="B189" i="7"/>
  <c r="B197" i="7" s="1"/>
  <c r="Y41" i="8"/>
  <c r="U114" i="8"/>
  <c r="X126" i="8"/>
  <c r="I28" i="9"/>
  <c r="I295" i="4" s="1"/>
  <c r="I344" i="4" s="1"/>
  <c r="L133" i="9"/>
  <c r="L8" i="9" s="1"/>
  <c r="C165" i="9"/>
  <c r="C10" i="9" s="1"/>
  <c r="C9" i="9" s="1"/>
  <c r="BO9" i="9" s="1"/>
  <c r="C137" i="9"/>
  <c r="C149" i="9" s="1"/>
  <c r="H213" i="9"/>
  <c r="H13" i="9" s="1"/>
  <c r="H12" i="9" s="1"/>
  <c r="AE213" i="9"/>
  <c r="AE13" i="9" s="1"/>
  <c r="AE12" i="9" s="1"/>
  <c r="AE185" i="9"/>
  <c r="AE197" i="9" s="1"/>
  <c r="U186" i="9"/>
  <c r="K187" i="9"/>
  <c r="AG187" i="9"/>
  <c r="W188" i="9"/>
  <c r="M189" i="9"/>
  <c r="C190" i="9"/>
  <c r="Y190" i="9"/>
  <c r="O191" i="9"/>
  <c r="E192" i="9"/>
  <c r="E197" i="9" s="1"/>
  <c r="AA192" i="9"/>
  <c r="AA197" i="9" s="1"/>
  <c r="Q193" i="9"/>
  <c r="G194" i="9"/>
  <c r="AC194" i="9"/>
  <c r="S195" i="9"/>
  <c r="I196" i="9"/>
  <c r="Y5" i="10"/>
  <c r="AC5" i="10" s="1"/>
  <c r="X6" i="10"/>
  <c r="V54" i="10"/>
  <c r="U55" i="10"/>
  <c r="S100" i="10"/>
  <c r="AC100" i="10" s="1"/>
  <c r="R101" i="10"/>
  <c r="S385" i="11"/>
  <c r="S20" i="11"/>
  <c r="BD53" i="11"/>
  <c r="BK55" i="11"/>
  <c r="J194" i="11"/>
  <c r="J193" i="11"/>
  <c r="O270" i="11"/>
  <c r="O108" i="4" s="1"/>
  <c r="O17" i="11"/>
  <c r="I23" i="12"/>
  <c r="O23" i="12"/>
  <c r="R23" i="12" s="1"/>
  <c r="O57" i="12"/>
  <c r="R57" i="12" s="1"/>
  <c r="R87" i="12"/>
  <c r="AO111" i="12"/>
  <c r="AK141" i="12"/>
  <c r="AK142" i="12" s="1"/>
  <c r="AK143" i="12" s="1"/>
  <c r="AK144" i="12" s="1"/>
  <c r="AK145" i="12" s="1"/>
  <c r="AR165" i="12"/>
  <c r="AR166" i="12" s="1"/>
  <c r="AR167" i="12" s="1"/>
  <c r="AR168" i="12" s="1"/>
  <c r="AR169" i="12" s="1"/>
  <c r="AN170" i="12"/>
  <c r="AN171" i="12" s="1"/>
  <c r="AN172" i="12" s="1"/>
  <c r="AN173" i="12" s="1"/>
  <c r="AN174" i="12" s="1"/>
  <c r="AN175" i="12" s="1"/>
  <c r="AN176" i="12" s="1"/>
  <c r="AN177" i="12" s="1"/>
  <c r="AN178" i="12" s="1"/>
  <c r="AN179" i="12" s="1"/>
  <c r="AN180" i="12" s="1"/>
  <c r="AN181" i="12" s="1"/>
  <c r="Q170" i="12"/>
  <c r="AW170" i="12" s="1"/>
  <c r="AW171" i="12" s="1"/>
  <c r="AW172" i="12" s="1"/>
  <c r="AW173" i="12" s="1"/>
  <c r="AW174" i="12" s="1"/>
  <c r="AW175" i="12" s="1"/>
  <c r="AW176" i="12" s="1"/>
  <c r="AW177" i="12" s="1"/>
  <c r="AW178" i="12" s="1"/>
  <c r="AW179" i="12" s="1"/>
  <c r="AW180" i="12" s="1"/>
  <c r="AW181" i="12" s="1"/>
  <c r="J51" i="13"/>
  <c r="J79" i="13"/>
  <c r="J4" i="13" s="1"/>
  <c r="AM58" i="14"/>
  <c r="I18" i="5"/>
  <c r="G34" i="5"/>
  <c r="AA50" i="5"/>
  <c r="K67" i="5"/>
  <c r="K83" i="5"/>
  <c r="H99" i="5"/>
  <c r="E116" i="5"/>
  <c r="AA116" i="5"/>
  <c r="S20" i="7"/>
  <c r="AO20" i="7"/>
  <c r="E26" i="7"/>
  <c r="F31" i="7"/>
  <c r="M69" i="7"/>
  <c r="BL57" i="7"/>
  <c r="M41" i="7"/>
  <c r="E69" i="7"/>
  <c r="E4" i="7" s="1"/>
  <c r="E3" i="7" s="1"/>
  <c r="E14" i="6" s="1"/>
  <c r="J31" i="7"/>
  <c r="BR66" i="7"/>
  <c r="P50" i="7"/>
  <c r="BJ89" i="7"/>
  <c r="J165" i="7"/>
  <c r="J10" i="7" s="1"/>
  <c r="I147" i="7"/>
  <c r="I35" i="7" s="1"/>
  <c r="J197" i="7"/>
  <c r="AG197" i="7"/>
  <c r="Y6" i="8"/>
  <c r="X7" i="8"/>
  <c r="AC100" i="8"/>
  <c r="O29" i="9"/>
  <c r="E85" i="9"/>
  <c r="E5" i="9" s="1"/>
  <c r="J28" i="9"/>
  <c r="J295" i="4" s="1"/>
  <c r="J344" i="4" s="1"/>
  <c r="J376" i="4" s="1"/>
  <c r="J35" i="9"/>
  <c r="J302" i="4" s="1"/>
  <c r="M133" i="9"/>
  <c r="M8" i="9" s="1"/>
  <c r="M89" i="9"/>
  <c r="M101" i="9" s="1"/>
  <c r="D165" i="9"/>
  <c r="D10" i="9" s="1"/>
  <c r="D9" i="9" s="1"/>
  <c r="D137" i="9"/>
  <c r="O165" i="9"/>
  <c r="O10" i="9" s="1"/>
  <c r="O9" i="9" s="1"/>
  <c r="AD197" i="9"/>
  <c r="AA140" i="10"/>
  <c r="AB139" i="10"/>
  <c r="R152" i="10"/>
  <c r="T385" i="11"/>
  <c r="T20" i="11"/>
  <c r="BM55" i="11"/>
  <c r="AT55" i="11"/>
  <c r="BH113" i="11"/>
  <c r="K194" i="11"/>
  <c r="K193" i="11"/>
  <c r="BF184" i="11"/>
  <c r="M136" i="11"/>
  <c r="BB188" i="11"/>
  <c r="K140" i="11"/>
  <c r="P204" i="11"/>
  <c r="BK204" i="11" s="1"/>
  <c r="BK220" i="11"/>
  <c r="BB349" i="11"/>
  <c r="K333" i="11"/>
  <c r="I19" i="12"/>
  <c r="I108" i="12"/>
  <c r="L110" i="12"/>
  <c r="AR110" i="12" s="1"/>
  <c r="AR111" i="12" s="1"/>
  <c r="AR112" i="12" s="1"/>
  <c r="AR113" i="12" s="1"/>
  <c r="AR114" i="12" s="1"/>
  <c r="AP110" i="12"/>
  <c r="AP111" i="12" s="1"/>
  <c r="AP112" i="12" s="1"/>
  <c r="AP113" i="12" s="1"/>
  <c r="AP114" i="12" s="1"/>
  <c r="AP115" i="12" s="1"/>
  <c r="AP116" i="12" s="1"/>
  <c r="AP117" i="12" s="1"/>
  <c r="AP118" i="12" s="1"/>
  <c r="AP119" i="12" s="1"/>
  <c r="AP120" i="12" s="1"/>
  <c r="AP121" i="12" s="1"/>
  <c r="I184" i="12"/>
  <c r="O184" i="12"/>
  <c r="R184" i="12" s="1"/>
  <c r="BM184" i="12" s="1"/>
  <c r="Q52" i="13"/>
  <c r="Q36" i="13" s="1"/>
  <c r="J18" i="5"/>
  <c r="H34" i="5"/>
  <c r="L67" i="5"/>
  <c r="D75" i="5"/>
  <c r="Z75" i="5"/>
  <c r="L83" i="5"/>
  <c r="I99" i="5"/>
  <c r="F116" i="5"/>
  <c r="T20" i="7"/>
  <c r="AP20" i="7"/>
  <c r="N29" i="7"/>
  <c r="L26" i="7"/>
  <c r="BN57" i="7"/>
  <c r="N41" i="7"/>
  <c r="BH63" i="7"/>
  <c r="K47" i="7"/>
  <c r="C48" i="7"/>
  <c r="G51" i="7"/>
  <c r="G35" i="7" s="1"/>
  <c r="C117" i="7"/>
  <c r="C7" i="7" s="1"/>
  <c r="K165" i="7"/>
  <c r="Q170" i="9"/>
  <c r="BT170" i="7"/>
  <c r="K197" i="7"/>
  <c r="BH197" i="7" s="1"/>
  <c r="AH197" i="7"/>
  <c r="Q229" i="9"/>
  <c r="Q14" i="9" s="1"/>
  <c r="AB29" i="8"/>
  <c r="AA30" i="8"/>
  <c r="AC41" i="8"/>
  <c r="J32" i="9"/>
  <c r="J299" i="4" s="1"/>
  <c r="N133" i="9"/>
  <c r="N8" i="9" s="1"/>
  <c r="N89" i="9"/>
  <c r="E31" i="9"/>
  <c r="E298" i="4" s="1"/>
  <c r="G33" i="9"/>
  <c r="G300" i="4" s="1"/>
  <c r="P165" i="9"/>
  <c r="P10" i="9" s="1"/>
  <c r="J213" i="9"/>
  <c r="J13" i="9" s="1"/>
  <c r="J185" i="9"/>
  <c r="J197" i="9" s="1"/>
  <c r="K213" i="9"/>
  <c r="K13" i="9" s="1"/>
  <c r="AB6" i="10"/>
  <c r="AA7" i="10"/>
  <c r="Y29" i="10"/>
  <c r="AB138" i="10"/>
  <c r="BM5" i="11"/>
  <c r="Q3" i="11"/>
  <c r="G12" i="11"/>
  <c r="BH78" i="11"/>
  <c r="N120" i="11"/>
  <c r="H225" i="11"/>
  <c r="H13" i="11" s="1"/>
  <c r="H12" i="11" s="1"/>
  <c r="H198" i="11"/>
  <c r="H118" i="11" s="1"/>
  <c r="BF199" i="11"/>
  <c r="M119" i="11"/>
  <c r="BF119" i="11" s="1"/>
  <c r="M203" i="11"/>
  <c r="M209" i="11" s="1"/>
  <c r="BF219" i="11"/>
  <c r="C241" i="11"/>
  <c r="C14" i="11" s="1"/>
  <c r="C12" i="11" s="1"/>
  <c r="C197" i="11"/>
  <c r="C209" i="11" s="1"/>
  <c r="C48" i="6" s="1"/>
  <c r="C68" i="6" s="1"/>
  <c r="BH254" i="11"/>
  <c r="Q289" i="11"/>
  <c r="BM277" i="11"/>
  <c r="V270" i="11"/>
  <c r="V17" i="11"/>
  <c r="V16" i="11" s="1"/>
  <c r="L333" i="11"/>
  <c r="BD349" i="11"/>
  <c r="BD374" i="11"/>
  <c r="L385" i="11"/>
  <c r="L17" i="12"/>
  <c r="O17" i="12"/>
  <c r="R17" i="12" s="1"/>
  <c r="I71" i="12"/>
  <c r="O71" i="12"/>
  <c r="R71" i="12" s="1"/>
  <c r="AV89" i="12"/>
  <c r="AV90" i="12" s="1"/>
  <c r="AV91" i="12" s="1"/>
  <c r="AL107" i="12"/>
  <c r="AL108" i="12" s="1"/>
  <c r="AL109" i="12" s="1"/>
  <c r="K405" i="11"/>
  <c r="AT110" i="12"/>
  <c r="AT111" i="12" s="1"/>
  <c r="AT112" i="12" s="1"/>
  <c r="AT113" i="12" s="1"/>
  <c r="AT114" i="12" s="1"/>
  <c r="AT115" i="12" s="1"/>
  <c r="AT116" i="12" s="1"/>
  <c r="AT117" i="12" s="1"/>
  <c r="AT118" i="12" s="1"/>
  <c r="AT119" i="12" s="1"/>
  <c r="AT120" i="12" s="1"/>
  <c r="AT121" i="12" s="1"/>
  <c r="P121" i="13"/>
  <c r="C175" i="13"/>
  <c r="C10" i="13" s="1"/>
  <c r="C134" i="13"/>
  <c r="K18" i="5"/>
  <c r="I34" i="5"/>
  <c r="M67" i="5"/>
  <c r="E75" i="5"/>
  <c r="AA75" i="5"/>
  <c r="M83" i="5"/>
  <c r="W91" i="5"/>
  <c r="J99" i="5"/>
  <c r="G116" i="5"/>
  <c r="O69" i="7"/>
  <c r="O41" i="7"/>
  <c r="D48" i="7"/>
  <c r="D32" i="7" s="1"/>
  <c r="P100" i="9"/>
  <c r="L165" i="7"/>
  <c r="BH163" i="7"/>
  <c r="K147" i="7"/>
  <c r="BH147" i="7" s="1"/>
  <c r="I181" i="7"/>
  <c r="I11" i="7" s="1"/>
  <c r="L197" i="7"/>
  <c r="BJ197" i="7" s="1"/>
  <c r="BJ185" i="7"/>
  <c r="AI197" i="7"/>
  <c r="S92" i="8"/>
  <c r="R93" i="8"/>
  <c r="AB125" i="8"/>
  <c r="AA126" i="8"/>
  <c r="BE183" i="12"/>
  <c r="L213" i="9"/>
  <c r="L13" i="9" s="1"/>
  <c r="L12" i="9" s="1"/>
  <c r="X229" i="9"/>
  <c r="X14" i="9" s="1"/>
  <c r="X33" i="10"/>
  <c r="Y32" i="10"/>
  <c r="AA79" i="10"/>
  <c r="AB78" i="10"/>
  <c r="AS102" i="11"/>
  <c r="BK101" i="11"/>
  <c r="P113" i="11"/>
  <c r="P53" i="11"/>
  <c r="BH103" i="11"/>
  <c r="BH104" i="11" s="1"/>
  <c r="BD104" i="11"/>
  <c r="D241" i="11"/>
  <c r="D14" i="11" s="1"/>
  <c r="D12" i="11" s="1"/>
  <c r="BF349" i="11"/>
  <c r="M333" i="11"/>
  <c r="M385" i="11"/>
  <c r="BF374" i="11"/>
  <c r="I59" i="12"/>
  <c r="O59" i="12"/>
  <c r="R59" i="12" s="1"/>
  <c r="AW89" i="12"/>
  <c r="AW90" i="12" s="1"/>
  <c r="AW91" i="12" s="1"/>
  <c r="AW92" i="12" s="1"/>
  <c r="AW93" i="12" s="1"/>
  <c r="AW94" i="12" s="1"/>
  <c r="AW95" i="12" s="1"/>
  <c r="AW96" i="12" s="1"/>
  <c r="AW97" i="12" s="1"/>
  <c r="AM108" i="12"/>
  <c r="AM109" i="12" s="1"/>
  <c r="M131" i="13"/>
  <c r="M175" i="13"/>
  <c r="M10" i="13" s="1"/>
  <c r="L18" i="5"/>
  <c r="J34" i="5"/>
  <c r="K99" i="5"/>
  <c r="D36" i="7"/>
  <c r="P69" i="7"/>
  <c r="H26" i="7"/>
  <c r="BL61" i="7"/>
  <c r="BL63" i="7"/>
  <c r="M47" i="7"/>
  <c r="E48" i="7"/>
  <c r="E53" i="7" s="1"/>
  <c r="O117" i="7"/>
  <c r="M165" i="7"/>
  <c r="BJ163" i="7"/>
  <c r="L147" i="7"/>
  <c r="BJ147" i="7" s="1"/>
  <c r="F148" i="7"/>
  <c r="F36" i="7" s="1"/>
  <c r="J181" i="7"/>
  <c r="J11" i="7" s="1"/>
  <c r="J137" i="7"/>
  <c r="M197" i="7"/>
  <c r="BL197" i="7" s="1"/>
  <c r="BL185" i="7"/>
  <c r="AJ197" i="7"/>
  <c r="D185" i="7"/>
  <c r="F189" i="7"/>
  <c r="F197" i="7" s="1"/>
  <c r="F213" i="7"/>
  <c r="F13" i="7" s="1"/>
  <c r="G190" i="7"/>
  <c r="AB124" i="8"/>
  <c r="R163" i="8"/>
  <c r="S162" i="8"/>
  <c r="M26" i="9"/>
  <c r="C26" i="9"/>
  <c r="C293" i="4" s="1"/>
  <c r="K36" i="9"/>
  <c r="K303" i="4" s="1"/>
  <c r="H85" i="9"/>
  <c r="H5" i="9" s="1"/>
  <c r="H41" i="9"/>
  <c r="F117" i="9"/>
  <c r="F7" i="9" s="1"/>
  <c r="F6" i="9" s="1"/>
  <c r="P133" i="9"/>
  <c r="P8" i="9" s="1"/>
  <c r="Y229" i="9"/>
  <c r="Y14" i="9" s="1"/>
  <c r="AB29" i="10"/>
  <c r="AC29" i="10" s="1"/>
  <c r="Y31" i="10"/>
  <c r="R77" i="10"/>
  <c r="S76" i="10"/>
  <c r="S138" i="10"/>
  <c r="R139" i="10"/>
  <c r="U174" i="10"/>
  <c r="V173" i="10"/>
  <c r="S45" i="6"/>
  <c r="S70" i="6" s="1"/>
  <c r="L113" i="11"/>
  <c r="Q106" i="11" s="1"/>
  <c r="N193" i="11"/>
  <c r="E119" i="11"/>
  <c r="E39" i="11" s="1"/>
  <c r="E241" i="11"/>
  <c r="E14" i="11" s="1"/>
  <c r="E197" i="11"/>
  <c r="E209" i="11" s="1"/>
  <c r="E48" i="6" s="1"/>
  <c r="E68" i="6" s="1"/>
  <c r="O36" i="12"/>
  <c r="R36" i="12" s="1"/>
  <c r="I41" i="12"/>
  <c r="AO41" i="12" s="1"/>
  <c r="AO42" i="12" s="1"/>
  <c r="AO43" i="12" s="1"/>
  <c r="AO44" i="12" s="1"/>
  <c r="AO45" i="12" s="1"/>
  <c r="AO46" i="12" s="1"/>
  <c r="AO47" i="12" s="1"/>
  <c r="AO48" i="12" s="1"/>
  <c r="AO49" i="12" s="1"/>
  <c r="O41" i="12"/>
  <c r="R41" i="12" s="1"/>
  <c r="O178" i="12"/>
  <c r="R178" i="12" s="1"/>
  <c r="I178" i="12"/>
  <c r="M18" i="5"/>
  <c r="W26" i="5"/>
  <c r="K34" i="5"/>
  <c r="G75" i="5"/>
  <c r="L99" i="5"/>
  <c r="I116" i="5"/>
  <c r="I32" i="7"/>
  <c r="Q57" i="9"/>
  <c r="BT57" i="7"/>
  <c r="Q41" i="7"/>
  <c r="B52" i="7"/>
  <c r="BH114" i="7"/>
  <c r="K98" i="7"/>
  <c r="BH98" i="7" s="1"/>
  <c r="K143" i="7"/>
  <c r="BH143" i="7" s="1"/>
  <c r="BH159" i="7"/>
  <c r="BL163" i="7"/>
  <c r="M147" i="7"/>
  <c r="BL147" i="7" s="1"/>
  <c r="G148" i="7"/>
  <c r="G36" i="7" s="1"/>
  <c r="K181" i="7"/>
  <c r="N197" i="7"/>
  <c r="BN197" i="7" s="1"/>
  <c r="BN185" i="7"/>
  <c r="AK197" i="7"/>
  <c r="U162" i="8"/>
  <c r="V161" i="8"/>
  <c r="M33" i="9"/>
  <c r="B27" i="9"/>
  <c r="B294" i="4" s="1"/>
  <c r="Q121" i="9"/>
  <c r="G181" i="9"/>
  <c r="G11" i="9" s="1"/>
  <c r="C229" i="9"/>
  <c r="C14" i="9" s="1"/>
  <c r="S53" i="10"/>
  <c r="R54" i="10"/>
  <c r="AC53" i="10"/>
  <c r="S137" i="10"/>
  <c r="D39" i="11"/>
  <c r="D42" i="11"/>
  <c r="J44" i="11"/>
  <c r="BK61" i="11"/>
  <c r="P45" i="11"/>
  <c r="BK45" i="11" s="1"/>
  <c r="B66" i="11"/>
  <c r="O55" i="11"/>
  <c r="M113" i="11"/>
  <c r="O193" i="11"/>
  <c r="F241" i="11"/>
  <c r="F14" i="11" s="1"/>
  <c r="F197" i="11"/>
  <c r="BF346" i="11"/>
  <c r="M330" i="11"/>
  <c r="K335" i="11"/>
  <c r="BB383" i="11"/>
  <c r="O89" i="12"/>
  <c r="R89" i="12" s="1"/>
  <c r="AV128" i="12"/>
  <c r="AV129" i="12" s="1"/>
  <c r="AV130" i="12" s="1"/>
  <c r="AV131" i="12" s="1"/>
  <c r="AV132" i="12" s="1"/>
  <c r="AV133" i="12" s="1"/>
  <c r="L146" i="12"/>
  <c r="AR146" i="12" s="1"/>
  <c r="AR147" i="12" s="1"/>
  <c r="AR148" i="12" s="1"/>
  <c r="AR149" i="12" s="1"/>
  <c r="AR150" i="12" s="1"/>
  <c r="AR151" i="12" s="1"/>
  <c r="AR152" i="12" s="1"/>
  <c r="AR153" i="12" s="1"/>
  <c r="AR154" i="12" s="1"/>
  <c r="AR155" i="12" s="1"/>
  <c r="AR156" i="12" s="1"/>
  <c r="AR157" i="12" s="1"/>
  <c r="AP146" i="12"/>
  <c r="AP147" i="12" s="1"/>
  <c r="AP148" i="12" s="1"/>
  <c r="AP149" i="12" s="1"/>
  <c r="AP150" i="12" s="1"/>
  <c r="AP151" i="12" s="1"/>
  <c r="AP152" i="12" s="1"/>
  <c r="AP153" i="12" s="1"/>
  <c r="AP154" i="12" s="1"/>
  <c r="AP155" i="12" s="1"/>
  <c r="AP156" i="12" s="1"/>
  <c r="AP157" i="12" s="1"/>
  <c r="P176" i="12"/>
  <c r="I176" i="12"/>
  <c r="B159" i="13"/>
  <c r="B9" i="13" s="1"/>
  <c r="X159" i="13"/>
  <c r="X9" i="13" s="1"/>
  <c r="L34" i="5"/>
  <c r="D91" i="5"/>
  <c r="Z91" i="5"/>
  <c r="M99" i="5"/>
  <c r="W107" i="5"/>
  <c r="J116" i="5"/>
  <c r="BP63" i="7"/>
  <c r="O47" i="7"/>
  <c r="BH67" i="7"/>
  <c r="K51" i="7"/>
  <c r="B117" i="7"/>
  <c r="B7" i="7" s="1"/>
  <c r="B6" i="7" s="1"/>
  <c r="B15" i="6" s="1"/>
  <c r="L94" i="7"/>
  <c r="BJ94" i="7" s="1"/>
  <c r="BJ110" i="7"/>
  <c r="BJ114" i="7"/>
  <c r="L98" i="7"/>
  <c r="BJ98" i="7" s="1"/>
  <c r="O165" i="7"/>
  <c r="L143" i="7"/>
  <c r="BJ143" i="7" s="1"/>
  <c r="BJ159" i="7"/>
  <c r="BN163" i="7"/>
  <c r="N166" i="7"/>
  <c r="N147" i="7"/>
  <c r="H148" i="7"/>
  <c r="H150" i="7" s="1"/>
  <c r="L181" i="7"/>
  <c r="AL197" i="7"/>
  <c r="B229" i="7"/>
  <c r="B14" i="7" s="1"/>
  <c r="V85" i="9"/>
  <c r="V5" i="9" s="1"/>
  <c r="D92" i="9"/>
  <c r="D28" i="9" s="1"/>
  <c r="D295" i="4" s="1"/>
  <c r="B29" i="9"/>
  <c r="B296" i="4" s="1"/>
  <c r="B133" i="9"/>
  <c r="B8" i="9" s="1"/>
  <c r="H181" i="9"/>
  <c r="H11" i="9" s="1"/>
  <c r="H138" i="9"/>
  <c r="H149" i="9" s="1"/>
  <c r="AA229" i="9"/>
  <c r="AA14" i="9" s="1"/>
  <c r="AA31" i="10"/>
  <c r="AC76" i="10"/>
  <c r="AB15" i="11"/>
  <c r="AB257" i="11" s="1"/>
  <c r="V353" i="11"/>
  <c r="V21" i="11"/>
  <c r="V24" i="11"/>
  <c r="V385" i="11" s="1"/>
  <c r="G57" i="11"/>
  <c r="G41" i="11" s="1"/>
  <c r="L62" i="11"/>
  <c r="BD78" i="11"/>
  <c r="BK89" i="11"/>
  <c r="P97" i="11"/>
  <c r="N97" i="11"/>
  <c r="E161" i="11"/>
  <c r="E9" i="11" s="1"/>
  <c r="D126" i="11"/>
  <c r="N194" i="11"/>
  <c r="BD197" i="11"/>
  <c r="G241" i="11"/>
  <c r="G14" i="11" s="1"/>
  <c r="D258" i="11"/>
  <c r="BB321" i="11"/>
  <c r="K19" i="11"/>
  <c r="BA19" i="11" s="1"/>
  <c r="O337" i="11"/>
  <c r="BM343" i="11"/>
  <c r="AT343" i="11"/>
  <c r="Q327" i="11"/>
  <c r="L353" i="11"/>
  <c r="BK374" i="11"/>
  <c r="P326" i="11"/>
  <c r="I3" i="12"/>
  <c r="O3" i="12"/>
  <c r="R3" i="12" s="1"/>
  <c r="I9" i="12"/>
  <c r="O16" i="12"/>
  <c r="R16" i="12" s="1"/>
  <c r="I16" i="12"/>
  <c r="AM65" i="12"/>
  <c r="AM66" i="12" s="1"/>
  <c r="AM67" i="12" s="1"/>
  <c r="AM68" i="12" s="1"/>
  <c r="AM69" i="12" s="1"/>
  <c r="AM70" i="12" s="1"/>
  <c r="AM71" i="12" s="1"/>
  <c r="AM72" i="12" s="1"/>
  <c r="AM73" i="12" s="1"/>
  <c r="O76" i="12"/>
  <c r="R76" i="12" s="1"/>
  <c r="I91" i="12"/>
  <c r="I104" i="12"/>
  <c r="O104" i="12"/>
  <c r="R104" i="12" s="1"/>
  <c r="O130" i="12"/>
  <c r="R130" i="12" s="1"/>
  <c r="I130" i="12"/>
  <c r="C159" i="13"/>
  <c r="C9" i="13" s="1"/>
  <c r="C131" i="13"/>
  <c r="Y159" i="13"/>
  <c r="Y9" i="13" s="1"/>
  <c r="I133" i="13"/>
  <c r="I159" i="13"/>
  <c r="I9" i="13" s="1"/>
  <c r="L134" i="13"/>
  <c r="L159" i="13"/>
  <c r="L9" i="13" s="1"/>
  <c r="H124" i="13"/>
  <c r="K159" i="13"/>
  <c r="K9" i="13" s="1"/>
  <c r="K141" i="13"/>
  <c r="Q48" i="14"/>
  <c r="I48" i="14"/>
  <c r="M34" i="5"/>
  <c r="W42" i="5"/>
  <c r="K50" i="5"/>
  <c r="E91" i="5"/>
  <c r="AA91" i="5"/>
  <c r="K116" i="5"/>
  <c r="BR61" i="7"/>
  <c r="P45" i="7"/>
  <c r="P31" i="7"/>
  <c r="BR47" i="7"/>
  <c r="H48" i="7"/>
  <c r="BJ67" i="7"/>
  <c r="L51" i="7"/>
  <c r="K90" i="7"/>
  <c r="K117" i="7"/>
  <c r="M94" i="7"/>
  <c r="BL94" i="7" s="1"/>
  <c r="BL110" i="7"/>
  <c r="BL114" i="7"/>
  <c r="M98" i="7"/>
  <c r="P165" i="7"/>
  <c r="M143" i="7"/>
  <c r="BL143" i="7" s="1"/>
  <c r="BL159" i="7"/>
  <c r="E144" i="7"/>
  <c r="BP163" i="7"/>
  <c r="O166" i="7"/>
  <c r="O147" i="7"/>
  <c r="BP147" i="7" s="1"/>
  <c r="BF163" i="7"/>
  <c r="I167" i="7"/>
  <c r="I148" i="7"/>
  <c r="I166" i="7"/>
  <c r="M181" i="7"/>
  <c r="AM197" i="7"/>
  <c r="BR217" i="7"/>
  <c r="S17" i="8"/>
  <c r="Y76" i="8"/>
  <c r="X77" i="8"/>
  <c r="H30" i="9"/>
  <c r="H297" i="4" s="1"/>
  <c r="AK5" i="9"/>
  <c r="C28" i="9"/>
  <c r="C295" i="4" s="1"/>
  <c r="I34" i="9"/>
  <c r="I301" i="4" s="1"/>
  <c r="B101" i="9"/>
  <c r="E92" i="9"/>
  <c r="E28" i="9" s="1"/>
  <c r="E295" i="4" s="1"/>
  <c r="C133" i="9"/>
  <c r="C8" i="9" s="1"/>
  <c r="B149" i="9"/>
  <c r="I181" i="9"/>
  <c r="I11" i="9" s="1"/>
  <c r="E229" i="9"/>
  <c r="E14" i="9" s="1"/>
  <c r="R116" i="10"/>
  <c r="S115" i="10"/>
  <c r="AC15" i="11"/>
  <c r="AC257" i="11" s="1"/>
  <c r="W353" i="11"/>
  <c r="W21" i="11"/>
  <c r="W24" i="11"/>
  <c r="W385" i="11" s="1"/>
  <c r="L32" i="11"/>
  <c r="I40" i="11"/>
  <c r="I232" i="4" s="1"/>
  <c r="H57" i="11"/>
  <c r="M62" i="11"/>
  <c r="BF78" i="11"/>
  <c r="BK104" i="11"/>
  <c r="BH106" i="11"/>
  <c r="BH141" i="11"/>
  <c r="D133" i="11"/>
  <c r="D124" i="11"/>
  <c r="D44" i="11" s="1"/>
  <c r="G125" i="11"/>
  <c r="G45" i="11" s="1"/>
  <c r="G237" i="4" s="1"/>
  <c r="O144" i="11"/>
  <c r="O194" i="11"/>
  <c r="BF197" i="11"/>
  <c r="I202" i="11"/>
  <c r="I122" i="11" s="1"/>
  <c r="I42" i="11" s="1"/>
  <c r="I241" i="11"/>
  <c r="I14" i="11" s="1"/>
  <c r="P385" i="11"/>
  <c r="BK373" i="11"/>
  <c r="AS374" i="11"/>
  <c r="P325" i="11"/>
  <c r="BM374" i="11"/>
  <c r="AT374" i="11"/>
  <c r="AS373" i="11"/>
  <c r="O114" i="12"/>
  <c r="R114" i="12" s="1"/>
  <c r="L50" i="5"/>
  <c r="BN114" i="7"/>
  <c r="N98" i="7"/>
  <c r="BN98" i="7" s="1"/>
  <c r="K94" i="7"/>
  <c r="K30" i="7" s="1"/>
  <c r="BH126" i="7"/>
  <c r="Q137" i="9"/>
  <c r="N143" i="7"/>
  <c r="BN143" i="7" s="1"/>
  <c r="BN159" i="7"/>
  <c r="F144" i="7"/>
  <c r="F32" i="7" s="1"/>
  <c r="BR163" i="7"/>
  <c r="P147" i="7"/>
  <c r="BR147" i="7" s="1"/>
  <c r="J167" i="7"/>
  <c r="J148" i="7"/>
  <c r="J150" i="7" s="1"/>
  <c r="J166" i="7"/>
  <c r="N181" i="7"/>
  <c r="C213" i="7"/>
  <c r="C13" i="7" s="1"/>
  <c r="X102" i="8"/>
  <c r="Y161" i="8"/>
  <c r="X162" i="8"/>
  <c r="L85" i="9"/>
  <c r="L5" i="9" s="1"/>
  <c r="L41" i="9"/>
  <c r="F92" i="9"/>
  <c r="J181" i="9"/>
  <c r="J11" i="9" s="1"/>
  <c r="AJ11" i="9" s="1"/>
  <c r="F229" i="9"/>
  <c r="F14" i="9" s="1"/>
  <c r="AC229" i="9"/>
  <c r="AC14" i="9" s="1"/>
  <c r="S229" i="9"/>
  <c r="S14" i="9" s="1"/>
  <c r="P13" i="10"/>
  <c r="S17" i="10"/>
  <c r="P74" i="10"/>
  <c r="V115" i="10"/>
  <c r="Y129" i="10"/>
  <c r="X130" i="10"/>
  <c r="AD15" i="11"/>
  <c r="AD257" i="11" s="1"/>
  <c r="X353" i="11"/>
  <c r="X21" i="11"/>
  <c r="X24" i="11"/>
  <c r="X385" i="11" s="1"/>
  <c r="J40" i="11"/>
  <c r="BK93" i="11"/>
  <c r="BF133" i="11"/>
  <c r="H141" i="11"/>
  <c r="O209" i="11"/>
  <c r="O48" i="6" s="1"/>
  <c r="J202" i="11"/>
  <c r="J241" i="11"/>
  <c r="J14" i="11" s="1"/>
  <c r="L7" i="12"/>
  <c r="O7" i="12"/>
  <c r="R7" i="12" s="1"/>
  <c r="R13" i="12"/>
  <c r="AL133" i="12"/>
  <c r="M50" i="5"/>
  <c r="BL58" i="7"/>
  <c r="M42" i="7"/>
  <c r="BN67" i="7"/>
  <c r="N51" i="7"/>
  <c r="L85" i="7"/>
  <c r="E117" i="7"/>
  <c r="E7" i="7" s="1"/>
  <c r="E6" i="7" s="1"/>
  <c r="E15" i="6" s="1"/>
  <c r="O94" i="7"/>
  <c r="BP94" i="7" s="1"/>
  <c r="BP110" i="7"/>
  <c r="BP114" i="7"/>
  <c r="O98" i="7"/>
  <c r="BP98" i="7" s="1"/>
  <c r="BE114" i="7"/>
  <c r="O143" i="7"/>
  <c r="BP143" i="7" s="1"/>
  <c r="BP159" i="7"/>
  <c r="BF159" i="7"/>
  <c r="G144" i="7"/>
  <c r="G149" i="7" s="1"/>
  <c r="K167" i="7"/>
  <c r="D213" i="7"/>
  <c r="D13" i="7" s="1"/>
  <c r="P29" i="8"/>
  <c r="AB76" i="8"/>
  <c r="AC76" i="8" s="1"/>
  <c r="AD76" i="8" s="1"/>
  <c r="AA77" i="8"/>
  <c r="S90" i="8"/>
  <c r="P51" i="9"/>
  <c r="C85" i="9"/>
  <c r="C5" i="9" s="1"/>
  <c r="E133" i="9"/>
  <c r="E8" i="9" s="1"/>
  <c r="E6" i="9" s="1"/>
  <c r="BQ6" i="9" s="1"/>
  <c r="K181" i="9"/>
  <c r="K11" i="9" s="1"/>
  <c r="K138" i="9"/>
  <c r="G229" i="9"/>
  <c r="G14" i="9" s="1"/>
  <c r="AD229" i="9"/>
  <c r="AD14" i="9" s="1"/>
  <c r="T186" i="9"/>
  <c r="T197" i="9" s="1"/>
  <c r="T229" i="9"/>
  <c r="T14" i="9" s="1"/>
  <c r="AE15" i="11"/>
  <c r="AE257" i="11" s="1"/>
  <c r="Y353" i="11"/>
  <c r="Y21" i="11"/>
  <c r="Y24" i="11"/>
  <c r="Y385" i="11" s="1"/>
  <c r="BD56" i="11"/>
  <c r="BK135" i="11"/>
  <c r="P119" i="11"/>
  <c r="BK119" i="11" s="1"/>
  <c r="B138" i="11"/>
  <c r="B161" i="11"/>
  <c r="B9" i="11" s="1"/>
  <c r="F124" i="11"/>
  <c r="F44" i="11" s="1"/>
  <c r="I141" i="11"/>
  <c r="BL321" i="11"/>
  <c r="N19" i="11"/>
  <c r="BG19" i="11" s="1"/>
  <c r="P155" i="8"/>
  <c r="B35" i="9"/>
  <c r="B302" i="4" s="1"/>
  <c r="J85" i="9"/>
  <c r="J5" i="9" s="1"/>
  <c r="AJ5" i="9" s="1"/>
  <c r="AF85" i="9"/>
  <c r="AF5" i="9" s="1"/>
  <c r="H117" i="9"/>
  <c r="H7" i="9" s="1"/>
  <c r="H6" i="9" s="1"/>
  <c r="O133" i="9"/>
  <c r="O8" i="9" s="1"/>
  <c r="M28" i="9"/>
  <c r="H139" i="9"/>
  <c r="H27" i="9" s="1"/>
  <c r="H294" i="4" s="1"/>
  <c r="D141" i="9"/>
  <c r="Q169" i="9"/>
  <c r="I213" i="9"/>
  <c r="I13" i="9" s="1"/>
  <c r="I185" i="9"/>
  <c r="AF213" i="9"/>
  <c r="AF13" i="9" s="1"/>
  <c r="AF12" i="9" s="1"/>
  <c r="AF185" i="9"/>
  <c r="AF197" i="9" s="1"/>
  <c r="K229" i="9"/>
  <c r="K14" i="9" s="1"/>
  <c r="K185" i="9"/>
  <c r="K197" i="9" s="1"/>
  <c r="X56" i="10"/>
  <c r="Y55" i="10"/>
  <c r="U102" i="10"/>
  <c r="U129" i="10"/>
  <c r="AG15" i="11"/>
  <c r="AG257" i="11" s="1"/>
  <c r="BB64" i="11"/>
  <c r="AT70" i="11"/>
  <c r="Q54" i="11"/>
  <c r="BM70" i="11"/>
  <c r="AS69" i="11"/>
  <c r="B58" i="11"/>
  <c r="N61" i="11"/>
  <c r="F58" i="11"/>
  <c r="K123" i="11"/>
  <c r="BB123" i="11" s="1"/>
  <c r="J125" i="11"/>
  <c r="J45" i="11" s="1"/>
  <c r="L199" i="11"/>
  <c r="BD199" i="11" s="1"/>
  <c r="BD215" i="11"/>
  <c r="J257" i="11"/>
  <c r="J15" i="11" s="1"/>
  <c r="BK248" i="11"/>
  <c r="BH250" i="11"/>
  <c r="AS375" i="11"/>
  <c r="BK384" i="11"/>
  <c r="BD405" i="11"/>
  <c r="L389" i="11"/>
  <c r="L417" i="11"/>
  <c r="O25" i="12"/>
  <c r="R25" i="12" s="1"/>
  <c r="Q33" i="12"/>
  <c r="R33" i="12" s="1"/>
  <c r="O91" i="12"/>
  <c r="R91" i="12" s="1"/>
  <c r="BA13" i="13"/>
  <c r="K192" i="7"/>
  <c r="BH192" i="7" s="1"/>
  <c r="Q17" i="8"/>
  <c r="Q18" i="8" s="1"/>
  <c r="Q19" i="8" s="1"/>
  <c r="Q20" i="8" s="1"/>
  <c r="Q21" i="8" s="1"/>
  <c r="Q22" i="8" s="1"/>
  <c r="Q23" i="8" s="1"/>
  <c r="Q24" i="8" s="1"/>
  <c r="Q25" i="8" s="1"/>
  <c r="Q26" i="8" s="1"/>
  <c r="Q27" i="8" s="1"/>
  <c r="U30" i="8"/>
  <c r="P67" i="8"/>
  <c r="Y173" i="8"/>
  <c r="X174" i="8"/>
  <c r="N45" i="9"/>
  <c r="N29" i="9" s="1"/>
  <c r="H50" i="9"/>
  <c r="H34" i="9" s="1"/>
  <c r="H301" i="4" s="1"/>
  <c r="M85" i="9"/>
  <c r="M5" i="9" s="1"/>
  <c r="D93" i="9"/>
  <c r="G141" i="9"/>
  <c r="P181" i="9"/>
  <c r="P11" i="9" s="1"/>
  <c r="L185" i="9"/>
  <c r="L197" i="9" s="1"/>
  <c r="P63" i="10"/>
  <c r="Y102" i="10"/>
  <c r="Y127" i="10"/>
  <c r="T137" i="10"/>
  <c r="P145" i="10"/>
  <c r="X16" i="11"/>
  <c r="N62" i="11"/>
  <c r="E82" i="11"/>
  <c r="E64" i="11"/>
  <c r="D97" i="11"/>
  <c r="I54" i="11"/>
  <c r="I38" i="11" s="1"/>
  <c r="BD136" i="11"/>
  <c r="L120" i="11"/>
  <c r="E124" i="11"/>
  <c r="E44" i="11" s="1"/>
  <c r="E177" i="11"/>
  <c r="E10" i="11" s="1"/>
  <c r="AA177" i="11"/>
  <c r="AA10" i="11" s="1"/>
  <c r="AA13" i="1" s="1"/>
  <c r="BD172" i="11"/>
  <c r="L140" i="11"/>
  <c r="BF173" i="11"/>
  <c r="M141" i="11"/>
  <c r="I204" i="11"/>
  <c r="I258" i="11"/>
  <c r="AE273" i="11"/>
  <c r="I267" i="11"/>
  <c r="BK300" i="11"/>
  <c r="P268" i="11"/>
  <c r="BK352" i="11"/>
  <c r="P336" i="11"/>
  <c r="AS343" i="11"/>
  <c r="P8" i="12"/>
  <c r="I8" i="12"/>
  <c r="AM17" i="12"/>
  <c r="AM18" i="12" s="1"/>
  <c r="AM19" i="12" s="1"/>
  <c r="AM20" i="12" s="1"/>
  <c r="AM21" i="12" s="1"/>
  <c r="AM22" i="12" s="1"/>
  <c r="AM23" i="12" s="1"/>
  <c r="AM24" i="12" s="1"/>
  <c r="AM25" i="12" s="1"/>
  <c r="I83" i="12"/>
  <c r="O83" i="12"/>
  <c r="R83" i="12" s="1"/>
  <c r="I100" i="12"/>
  <c r="O100" i="12"/>
  <c r="R100" i="12" s="1"/>
  <c r="L395" i="11"/>
  <c r="BD395" i="11" s="1"/>
  <c r="BD411" i="11"/>
  <c r="BG5" i="13"/>
  <c r="CC5" i="13"/>
  <c r="CF5" i="13"/>
  <c r="AT174" i="14"/>
  <c r="AT175" i="14" s="1"/>
  <c r="AT176" i="14" s="1"/>
  <c r="AT177" i="14" s="1"/>
  <c r="AT178" i="14" s="1"/>
  <c r="AT179" i="14" s="1"/>
  <c r="AT180" i="14" s="1"/>
  <c r="AT181" i="14" s="1"/>
  <c r="AT182" i="14" s="1"/>
  <c r="AT183" i="14" s="1"/>
  <c r="P50" i="8"/>
  <c r="P86" i="8"/>
  <c r="S89" i="8"/>
  <c r="N85" i="9"/>
  <c r="N5" i="9" s="1"/>
  <c r="D85" i="9"/>
  <c r="D5" i="9" s="1"/>
  <c r="Z85" i="9"/>
  <c r="Z5" i="9" s="1"/>
  <c r="K117" i="9"/>
  <c r="K7" i="9" s="1"/>
  <c r="L90" i="9"/>
  <c r="H92" i="9"/>
  <c r="C95" i="9"/>
  <c r="C31" i="9" s="1"/>
  <c r="C298" i="4" s="1"/>
  <c r="M138" i="9"/>
  <c r="L138" i="9"/>
  <c r="L149" i="9" s="1"/>
  <c r="Q29" i="10"/>
  <c r="Q30" i="10" s="1"/>
  <c r="AC40" i="10"/>
  <c r="Y79" i="10"/>
  <c r="X80" i="10"/>
  <c r="V88" i="10"/>
  <c r="AC88" i="10" s="1"/>
  <c r="U89" i="10"/>
  <c r="B53" i="11"/>
  <c r="I82" i="11"/>
  <c r="D59" i="11"/>
  <c r="F82" i="11"/>
  <c r="E53" i="11"/>
  <c r="E97" i="11"/>
  <c r="P114" i="11"/>
  <c r="P64" i="11"/>
  <c r="F177" i="11"/>
  <c r="F10" i="11" s="1"/>
  <c r="F13" i="1" s="1"/>
  <c r="AB177" i="11"/>
  <c r="AB10" i="11" s="1"/>
  <c r="AB13" i="1" s="1"/>
  <c r="BM171" i="11"/>
  <c r="BF172" i="11"/>
  <c r="M140" i="11"/>
  <c r="F194" i="11"/>
  <c r="F137" i="11"/>
  <c r="N210" i="11"/>
  <c r="K202" i="11"/>
  <c r="B225" i="11"/>
  <c r="B13" i="11" s="1"/>
  <c r="B121" i="11"/>
  <c r="B41" i="11" s="1"/>
  <c r="F258" i="11"/>
  <c r="G273" i="11"/>
  <c r="G49" i="6" s="1"/>
  <c r="AF273" i="11"/>
  <c r="R67" i="12"/>
  <c r="AL89" i="12"/>
  <c r="AL90" i="12" s="1"/>
  <c r="AL91" i="12" s="1"/>
  <c r="AL92" i="12" s="1"/>
  <c r="AL93" i="12" s="1"/>
  <c r="AL94" i="12" s="1"/>
  <c r="AL95" i="12" s="1"/>
  <c r="AL96" i="12" s="1"/>
  <c r="AL97" i="12" s="1"/>
  <c r="I114" i="12"/>
  <c r="BX9" i="13"/>
  <c r="H175" i="13"/>
  <c r="H10" i="13" s="1"/>
  <c r="N13" i="14"/>
  <c r="B444" i="13"/>
  <c r="B428" i="13" s="1"/>
  <c r="H89" i="7"/>
  <c r="K166" i="7"/>
  <c r="V127" i="8"/>
  <c r="U128" i="8"/>
  <c r="AB173" i="8"/>
  <c r="AC173" i="8" s="1"/>
  <c r="AA174" i="8"/>
  <c r="K35" i="9"/>
  <c r="K302" i="4" s="1"/>
  <c r="O85" i="9"/>
  <c r="O5" i="9" s="1"/>
  <c r="O41" i="9"/>
  <c r="E26" i="9"/>
  <c r="G28" i="9"/>
  <c r="G295" i="4" s="1"/>
  <c r="I30" i="9"/>
  <c r="I297" i="4" s="1"/>
  <c r="I346" i="4" s="1"/>
  <c r="K32" i="9"/>
  <c r="K299" i="4" s="1"/>
  <c r="C35" i="9"/>
  <c r="C302" i="4" s="1"/>
  <c r="O36" i="9"/>
  <c r="L117" i="9"/>
  <c r="L7" i="9" s="1"/>
  <c r="D31" i="9"/>
  <c r="D298" i="4" s="1"/>
  <c r="B97" i="9"/>
  <c r="B33" i="9" s="1"/>
  <c r="B300" i="4" s="1"/>
  <c r="B349" i="4" s="1"/>
  <c r="F143" i="9"/>
  <c r="B144" i="9"/>
  <c r="AC4" i="10"/>
  <c r="R32" i="10"/>
  <c r="Q81" i="11"/>
  <c r="R83" i="11" s="1"/>
  <c r="BM4" i="11"/>
  <c r="H44" i="11"/>
  <c r="C81" i="11"/>
  <c r="E59" i="11"/>
  <c r="BK62" i="11"/>
  <c r="G48" i="11"/>
  <c r="H113" i="11"/>
  <c r="B126" i="11"/>
  <c r="B46" i="11" s="1"/>
  <c r="C126" i="11"/>
  <c r="G177" i="11"/>
  <c r="G10" i="11" s="1"/>
  <c r="G13" i="1" s="1"/>
  <c r="AC177" i="11"/>
  <c r="AC10" i="11" s="1"/>
  <c r="C118" i="11"/>
  <c r="N124" i="11"/>
  <c r="AT173" i="11"/>
  <c r="O141" i="11"/>
  <c r="AT199" i="11"/>
  <c r="BM199" i="11"/>
  <c r="O210" i="11"/>
  <c r="O126" i="11"/>
  <c r="G197" i="11"/>
  <c r="L202" i="11"/>
  <c r="BD218" i="11"/>
  <c r="P203" i="11"/>
  <c r="BK219" i="11"/>
  <c r="BB252" i="11"/>
  <c r="K258" i="11"/>
  <c r="K261" i="11"/>
  <c r="K117" i="11" s="1"/>
  <c r="Z17" i="11"/>
  <c r="Z16" i="11" s="1"/>
  <c r="Z270" i="11"/>
  <c r="Z108" i="4" s="1"/>
  <c r="Z54" i="5" s="1"/>
  <c r="C261" i="11"/>
  <c r="C305" i="11"/>
  <c r="C18" i="11" s="1"/>
  <c r="BM325" i="11"/>
  <c r="AT325" i="11"/>
  <c r="K353" i="11"/>
  <c r="BD275" i="19" s="1"/>
  <c r="AN3" i="12"/>
  <c r="AN4" i="12" s="1"/>
  <c r="AN5" i="12" s="1"/>
  <c r="AN6" i="12" s="1"/>
  <c r="AN7" i="12" s="1"/>
  <c r="AN8" i="12" s="1"/>
  <c r="AN9" i="12" s="1"/>
  <c r="AN10" i="12" s="1"/>
  <c r="AN11" i="12" s="1"/>
  <c r="AN12" i="12" s="1"/>
  <c r="AN13" i="12" s="1"/>
  <c r="I18" i="12"/>
  <c r="O45" i="12"/>
  <c r="R45" i="12" s="1"/>
  <c r="AU74" i="12"/>
  <c r="AU75" i="12" s="1"/>
  <c r="AU76" i="12" s="1"/>
  <c r="AU77" i="12" s="1"/>
  <c r="AU78" i="12" s="1"/>
  <c r="AU79" i="12" s="1"/>
  <c r="AU80" i="12" s="1"/>
  <c r="AU81" i="12" s="1"/>
  <c r="AU82" i="12" s="1"/>
  <c r="AU83" i="12" s="1"/>
  <c r="AU84" i="12" s="1"/>
  <c r="AU85" i="12" s="1"/>
  <c r="R74" i="12"/>
  <c r="AX74" i="12" s="1"/>
  <c r="AX75" i="12" s="1"/>
  <c r="AX76" i="12" s="1"/>
  <c r="AX77" i="12" s="1"/>
  <c r="AX78" i="12" s="1"/>
  <c r="AX79" i="12" s="1"/>
  <c r="AX80" i="12" s="1"/>
  <c r="AX81" i="12" s="1"/>
  <c r="AX82" i="12" s="1"/>
  <c r="AX83" i="12" s="1"/>
  <c r="AX84" i="12" s="1"/>
  <c r="AX85" i="12" s="1"/>
  <c r="AN91" i="12"/>
  <c r="AN92" i="12" s="1"/>
  <c r="AN93" i="12" s="1"/>
  <c r="AN94" i="12" s="1"/>
  <c r="AN95" i="12" s="1"/>
  <c r="AN96" i="12" s="1"/>
  <c r="AN97" i="12" s="1"/>
  <c r="O123" i="12"/>
  <c r="R123" i="12" s="1"/>
  <c r="AX123" i="12" s="1"/>
  <c r="I136" i="12"/>
  <c r="O136" i="12"/>
  <c r="R136" i="12" s="1"/>
  <c r="BM136" i="12" s="1"/>
  <c r="Q158" i="12"/>
  <c r="AW158" i="12" s="1"/>
  <c r="AW159" i="12" s="1"/>
  <c r="AW160" i="12" s="1"/>
  <c r="AW161" i="12" s="1"/>
  <c r="AW162" i="12" s="1"/>
  <c r="AW163" i="12" s="1"/>
  <c r="AW164" i="12" s="1"/>
  <c r="AW165" i="12" s="1"/>
  <c r="AW166" i="12" s="1"/>
  <c r="AW167" i="12" s="1"/>
  <c r="AW168" i="12" s="1"/>
  <c r="AW169" i="12" s="1"/>
  <c r="P161" i="12"/>
  <c r="I161" i="12"/>
  <c r="AE159" i="13"/>
  <c r="AE9" i="13" s="1"/>
  <c r="I9" i="14"/>
  <c r="P52" i="9"/>
  <c r="L182" i="7"/>
  <c r="P196" i="7"/>
  <c r="BR196" i="7" s="1"/>
  <c r="M229" i="7"/>
  <c r="P64" i="8"/>
  <c r="V125" i="8"/>
  <c r="P136" i="8"/>
  <c r="AB137" i="8"/>
  <c r="P85" i="9"/>
  <c r="P5" i="9" s="1"/>
  <c r="P41" i="9"/>
  <c r="H28" i="9"/>
  <c r="H295" i="4" s="1"/>
  <c r="L32" i="9"/>
  <c r="L299" i="4" s="1"/>
  <c r="M117" i="9"/>
  <c r="M7" i="9" s="1"/>
  <c r="M6" i="9" s="1"/>
  <c r="O30" i="9"/>
  <c r="N165" i="9"/>
  <c r="N10" i="9" s="1"/>
  <c r="N9" i="9" s="1"/>
  <c r="J141" i="9"/>
  <c r="J149" i="9" s="1"/>
  <c r="P24" i="10"/>
  <c r="S29" i="10"/>
  <c r="Y90" i="10"/>
  <c r="X91" i="10"/>
  <c r="R3" i="11"/>
  <c r="R19" i="6" s="1"/>
  <c r="AI16" i="11"/>
  <c r="K56" i="11"/>
  <c r="F59" i="11"/>
  <c r="I113" i="11"/>
  <c r="H177" i="11"/>
  <c r="H10" i="11" s="1"/>
  <c r="H13" i="1" s="1"/>
  <c r="O140" i="11"/>
  <c r="AT172" i="11"/>
  <c r="BD252" i="11"/>
  <c r="L204" i="11"/>
  <c r="BD204" i="11" s="1"/>
  <c r="H258" i="11"/>
  <c r="BD261" i="11"/>
  <c r="X401" i="11"/>
  <c r="X25" i="11" s="1"/>
  <c r="AO3" i="12"/>
  <c r="AO4" i="12" s="1"/>
  <c r="AO5" i="12" s="1"/>
  <c r="AO6" i="12" s="1"/>
  <c r="AV3" i="12"/>
  <c r="AV4" i="12" s="1"/>
  <c r="AV5" i="12" s="1"/>
  <c r="AV6" i="12" s="1"/>
  <c r="AV7" i="12" s="1"/>
  <c r="I6" i="12"/>
  <c r="R28" i="12"/>
  <c r="AV77" i="12"/>
  <c r="AV78" i="12" s="1"/>
  <c r="AV79" i="12" s="1"/>
  <c r="AV80" i="12" s="1"/>
  <c r="AV81" i="12" s="1"/>
  <c r="AV82" i="12" s="1"/>
  <c r="AV83" i="12" s="1"/>
  <c r="AV84" i="12" s="1"/>
  <c r="AV85" i="12" s="1"/>
  <c r="BB409" i="11"/>
  <c r="K393" i="11"/>
  <c r="BB393" i="11" s="1"/>
  <c r="L397" i="11"/>
  <c r="BD397" i="11" s="1"/>
  <c r="BD413" i="11"/>
  <c r="O183" i="12"/>
  <c r="R183" i="12" s="1"/>
  <c r="BM183" i="12" s="1"/>
  <c r="I183" i="12"/>
  <c r="AW15" i="13"/>
  <c r="C43" i="13"/>
  <c r="L9" i="14"/>
  <c r="O9" i="14"/>
  <c r="R9" i="14" s="1"/>
  <c r="AQ137" i="14"/>
  <c r="AQ138" i="14" s="1"/>
  <c r="AQ139" i="14" s="1"/>
  <c r="AQ140" i="14" s="1"/>
  <c r="AQ141" i="14" s="1"/>
  <c r="AQ142" i="14" s="1"/>
  <c r="AQ143" i="14" s="1"/>
  <c r="AQ144" i="14" s="1"/>
  <c r="AQ145" i="14" s="1"/>
  <c r="AQ146" i="14" s="1"/>
  <c r="AQ147" i="14" s="1"/>
  <c r="BA136" i="14"/>
  <c r="BE107" i="7"/>
  <c r="BE111" i="7"/>
  <c r="H118" i="7"/>
  <c r="BF172" i="7"/>
  <c r="U6" i="8"/>
  <c r="U17" i="8"/>
  <c r="W29" i="8"/>
  <c r="P108" i="8"/>
  <c r="P130" i="8"/>
  <c r="B69" i="9"/>
  <c r="B4" i="9" s="1"/>
  <c r="B3" i="9" s="1"/>
  <c r="L34" i="9"/>
  <c r="N117" i="9"/>
  <c r="N7" i="9" s="1"/>
  <c r="N6" i="9" s="1"/>
  <c r="K92" i="9"/>
  <c r="K28" i="9" s="1"/>
  <c r="K295" i="4" s="1"/>
  <c r="F95" i="9"/>
  <c r="F31" i="9" s="1"/>
  <c r="F298" i="4" s="1"/>
  <c r="O138" i="9"/>
  <c r="O149" i="9" s="1"/>
  <c r="B181" i="9"/>
  <c r="B11" i="9" s="1"/>
  <c r="S66" i="10"/>
  <c r="S173" i="10"/>
  <c r="R174" i="10"/>
  <c r="AJ16" i="11"/>
  <c r="E81" i="11"/>
  <c r="I48" i="11"/>
  <c r="AE177" i="11"/>
  <c r="AE10" i="11" s="1"/>
  <c r="B135" i="11"/>
  <c r="BK172" i="11"/>
  <c r="P140" i="11"/>
  <c r="AU172" i="11"/>
  <c r="G120" i="11"/>
  <c r="I225" i="11"/>
  <c r="I13" i="11" s="1"/>
  <c r="BL218" i="11"/>
  <c r="BM218" i="11" s="1"/>
  <c r="N202" i="11"/>
  <c r="N122" i="11" s="1"/>
  <c r="N42" i="11" s="1"/>
  <c r="BF261" i="11"/>
  <c r="AI273" i="11"/>
  <c r="M369" i="11"/>
  <c r="D385" i="11"/>
  <c r="D24" i="11" s="1"/>
  <c r="D325" i="11"/>
  <c r="AP88" i="12"/>
  <c r="AP89" i="12" s="1"/>
  <c r="AP90" i="12" s="1"/>
  <c r="AP91" i="12" s="1"/>
  <c r="AP92" i="12" s="1"/>
  <c r="AP93" i="12" s="1"/>
  <c r="AP94" i="12" s="1"/>
  <c r="AP95" i="12" s="1"/>
  <c r="AP96" i="12" s="1"/>
  <c r="AP97" i="12" s="1"/>
  <c r="O112" i="12"/>
  <c r="R112" i="12" s="1"/>
  <c r="I112" i="12"/>
  <c r="V174" i="8"/>
  <c r="I33" i="9"/>
  <c r="I300" i="4" s="1"/>
  <c r="E69" i="9"/>
  <c r="E4" i="9" s="1"/>
  <c r="J52" i="9"/>
  <c r="J36" i="9" s="1"/>
  <c r="J303" i="4" s="1"/>
  <c r="E35" i="9"/>
  <c r="E302" i="4" s="1"/>
  <c r="O117" i="9"/>
  <c r="O7" i="9" s="1"/>
  <c r="L28" i="9"/>
  <c r="E97" i="9"/>
  <c r="E33" i="9" s="1"/>
  <c r="E300" i="4" s="1"/>
  <c r="I143" i="9"/>
  <c r="I31" i="9" s="1"/>
  <c r="I298" i="4" s="1"/>
  <c r="C181" i="9"/>
  <c r="C11" i="9" s="1"/>
  <c r="S90" i="10"/>
  <c r="B40" i="11"/>
  <c r="B232" i="4" s="1"/>
  <c r="P63" i="11"/>
  <c r="BH64" i="11" s="1"/>
  <c r="F81" i="11"/>
  <c r="H59" i="11"/>
  <c r="H43" i="11" s="1"/>
  <c r="K113" i="11"/>
  <c r="BB159" i="11"/>
  <c r="K143" i="11"/>
  <c r="AF177" i="11"/>
  <c r="BM172" i="11"/>
  <c r="AP177" i="11"/>
  <c r="B193" i="11"/>
  <c r="B11" i="11" s="1"/>
  <c r="B14" i="1" s="1"/>
  <c r="H120" i="11"/>
  <c r="D194" i="11"/>
  <c r="J206" i="11"/>
  <c r="J210" i="11" s="1"/>
  <c r="J258" i="11"/>
  <c r="BL261" i="11"/>
  <c r="J321" i="11"/>
  <c r="J19" i="11" s="1"/>
  <c r="N262" i="11"/>
  <c r="BL310" i="11"/>
  <c r="BM310" i="11" s="1"/>
  <c r="BF315" i="11"/>
  <c r="M267" i="11"/>
  <c r="R8" i="12"/>
  <c r="AK15" i="12"/>
  <c r="AK16" i="12" s="1"/>
  <c r="AK17" i="12" s="1"/>
  <c r="AK18" i="12" s="1"/>
  <c r="AK19" i="12" s="1"/>
  <c r="AK20" i="12" s="1"/>
  <c r="AK21" i="12" s="1"/>
  <c r="AK22" i="12" s="1"/>
  <c r="AK23" i="12" s="1"/>
  <c r="AK24" i="12" s="1"/>
  <c r="AK25" i="12" s="1"/>
  <c r="AL41" i="12"/>
  <c r="AL42" i="12" s="1"/>
  <c r="AL43" i="12" s="1"/>
  <c r="AL44" i="12" s="1"/>
  <c r="AL45" i="12" s="1"/>
  <c r="AL46" i="12" s="1"/>
  <c r="AL47" i="12" s="1"/>
  <c r="AL48" i="12" s="1"/>
  <c r="AL49" i="12" s="1"/>
  <c r="AL65" i="12"/>
  <c r="AL66" i="12" s="1"/>
  <c r="AL67" i="12" s="1"/>
  <c r="AL68" i="12" s="1"/>
  <c r="AL69" i="12" s="1"/>
  <c r="AL70" i="12" s="1"/>
  <c r="AL71" i="12" s="1"/>
  <c r="AL72" i="12" s="1"/>
  <c r="AL73" i="12" s="1"/>
  <c r="O116" i="12"/>
  <c r="R116" i="12" s="1"/>
  <c r="AM161" i="12"/>
  <c r="AM162" i="12" s="1"/>
  <c r="AM163" i="12" s="1"/>
  <c r="AM164" i="12" s="1"/>
  <c r="AM165" i="12" s="1"/>
  <c r="AM166" i="12" s="1"/>
  <c r="AM167" i="12" s="1"/>
  <c r="AM168" i="12" s="1"/>
  <c r="AM169" i="12" s="1"/>
  <c r="D117" i="13"/>
  <c r="D37" i="13" s="1"/>
  <c r="BG18" i="13"/>
  <c r="O5" i="14"/>
  <c r="R5" i="14" s="1"/>
  <c r="L5" i="14"/>
  <c r="B442" i="13"/>
  <c r="B426" i="13" s="1"/>
  <c r="N11" i="14"/>
  <c r="S65" i="8"/>
  <c r="R66" i="8"/>
  <c r="V139" i="8"/>
  <c r="S150" i="8"/>
  <c r="AH160" i="8"/>
  <c r="BO158" i="12" s="1"/>
  <c r="AD160" i="8"/>
  <c r="BE184" i="12"/>
  <c r="E29" i="9"/>
  <c r="E296" i="4" s="1"/>
  <c r="G31" i="9"/>
  <c r="G298" i="4" s="1"/>
  <c r="F69" i="9"/>
  <c r="F4" i="9" s="1"/>
  <c r="F3" i="9" s="1"/>
  <c r="BR3" i="9" s="1"/>
  <c r="D26" i="9"/>
  <c r="D293" i="4" s="1"/>
  <c r="N34" i="9"/>
  <c r="P117" i="9"/>
  <c r="P7" i="9" s="1"/>
  <c r="P89" i="9"/>
  <c r="P101" i="9" s="1"/>
  <c r="Q90" i="9"/>
  <c r="J94" i="9"/>
  <c r="J30" i="9" s="1"/>
  <c r="J297" i="4" s="1"/>
  <c r="F33" i="9"/>
  <c r="F300" i="4" s="1"/>
  <c r="F349" i="4" s="1"/>
  <c r="F381" i="4" s="1"/>
  <c r="D146" i="9"/>
  <c r="D181" i="9"/>
  <c r="D11" i="9" s="1"/>
  <c r="Y112" i="10"/>
  <c r="X113" i="10"/>
  <c r="V149" i="10"/>
  <c r="AA113" i="11"/>
  <c r="AA3" i="11"/>
  <c r="AA19" i="6" s="1"/>
  <c r="BM23" i="11"/>
  <c r="Q21" i="11"/>
  <c r="E40" i="11"/>
  <c r="G81" i="11"/>
  <c r="N56" i="11"/>
  <c r="N40" i="11" s="1"/>
  <c r="K58" i="11"/>
  <c r="BB74" i="11"/>
  <c r="AG177" i="11"/>
  <c r="C193" i="11"/>
  <c r="C11" i="11" s="1"/>
  <c r="C14" i="1" s="1"/>
  <c r="O122" i="11"/>
  <c r="K201" i="11"/>
  <c r="C205" i="11"/>
  <c r="BL315" i="11"/>
  <c r="BM315" i="11" s="1"/>
  <c r="N267" i="11"/>
  <c r="P271" i="11"/>
  <c r="BK319" i="11"/>
  <c r="O353" i="11"/>
  <c r="O22" i="11" s="1"/>
  <c r="O369" i="11"/>
  <c r="O23" i="11" s="1"/>
  <c r="BI23" i="11" s="1"/>
  <c r="BF380" i="11"/>
  <c r="M332" i="11"/>
  <c r="AT2" i="12"/>
  <c r="AT3" i="12" s="1"/>
  <c r="AT4" i="12" s="1"/>
  <c r="AT5" i="12" s="1"/>
  <c r="AT6" i="12" s="1"/>
  <c r="AT7" i="12" s="1"/>
  <c r="AT8" i="12" s="1"/>
  <c r="AT9" i="12" s="1"/>
  <c r="AT10" i="12" s="1"/>
  <c r="AT11" i="12" s="1"/>
  <c r="AT12" i="12" s="1"/>
  <c r="AT13" i="12" s="1"/>
  <c r="B405" i="11"/>
  <c r="AM41" i="12"/>
  <c r="AM42" i="12" s="1"/>
  <c r="AM43" i="12" s="1"/>
  <c r="AM44" i="12" s="1"/>
  <c r="AM45" i="12" s="1"/>
  <c r="AM46" i="12" s="1"/>
  <c r="AM47" i="12" s="1"/>
  <c r="AM48" i="12" s="1"/>
  <c r="AM49" i="12" s="1"/>
  <c r="F413" i="11"/>
  <c r="F397" i="11" s="1"/>
  <c r="O58" i="12"/>
  <c r="R58" i="12" s="1"/>
  <c r="O120" i="12"/>
  <c r="R120" i="12" s="1"/>
  <c r="I120" i="12"/>
  <c r="BD406" i="11"/>
  <c r="L390" i="11"/>
  <c r="BD390" i="11" s="1"/>
  <c r="AP129" i="12"/>
  <c r="AP130" i="12" s="1"/>
  <c r="AP131" i="12" s="1"/>
  <c r="AP132" i="12" s="1"/>
  <c r="AP133" i="12" s="1"/>
  <c r="AL135" i="12"/>
  <c r="AL136" i="12" s="1"/>
  <c r="AL137" i="12" s="1"/>
  <c r="AL138" i="12" s="1"/>
  <c r="AL139" i="12" s="1"/>
  <c r="AL140" i="12" s="1"/>
  <c r="AL141" i="12" s="1"/>
  <c r="AL142" i="12" s="1"/>
  <c r="AL143" i="12" s="1"/>
  <c r="AL144" i="12" s="1"/>
  <c r="AL145" i="12" s="1"/>
  <c r="AN159" i="12"/>
  <c r="AN160" i="12" s="1"/>
  <c r="AN161" i="12" s="1"/>
  <c r="AN162" i="12" s="1"/>
  <c r="AN163" i="12" s="1"/>
  <c r="AN164" i="12" s="1"/>
  <c r="AN165" i="12" s="1"/>
  <c r="AN166" i="12" s="1"/>
  <c r="AN167" i="12" s="1"/>
  <c r="AN168" i="12" s="1"/>
  <c r="AN169" i="12" s="1"/>
  <c r="AU24" i="13"/>
  <c r="AL79" i="14"/>
  <c r="BR57" i="7"/>
  <c r="M99" i="7"/>
  <c r="P137" i="7"/>
  <c r="K148" i="7"/>
  <c r="P196" i="9"/>
  <c r="S125" i="8"/>
  <c r="R126" i="8"/>
  <c r="V136" i="8"/>
  <c r="G69" i="9"/>
  <c r="G4" i="9" s="1"/>
  <c r="G3" i="9" s="1"/>
  <c r="N92" i="9"/>
  <c r="N28" i="9" s="1"/>
  <c r="N140" i="9"/>
  <c r="H145" i="9"/>
  <c r="C148" i="9"/>
  <c r="E181" i="9"/>
  <c r="E11" i="9" s="1"/>
  <c r="E137" i="9"/>
  <c r="U185" i="9"/>
  <c r="Y16" i="10"/>
  <c r="AC16" i="10" s="1"/>
  <c r="X17" i="10"/>
  <c r="AB52" i="10"/>
  <c r="AC52" i="10" s="1"/>
  <c r="Y78" i="10"/>
  <c r="P96" i="10"/>
  <c r="P132" i="10"/>
  <c r="X3" i="11"/>
  <c r="X19" i="6" s="1"/>
  <c r="H66" i="11"/>
  <c r="H65" i="11"/>
  <c r="F40" i="11"/>
  <c r="H81" i="11"/>
  <c r="O56" i="11"/>
  <c r="O40" i="11" s="1"/>
  <c r="L58" i="11"/>
  <c r="BD74" i="11"/>
  <c r="H114" i="11"/>
  <c r="BM135" i="11"/>
  <c r="AT135" i="11"/>
  <c r="Q119" i="11"/>
  <c r="D125" i="11"/>
  <c r="D45" i="11" s="1"/>
  <c r="D193" i="11"/>
  <c r="D11" i="11" s="1"/>
  <c r="D14" i="1" s="1"/>
  <c r="P202" i="11"/>
  <c r="BK202" i="11" s="1"/>
  <c r="L201" i="11"/>
  <c r="P198" i="11"/>
  <c r="BK230" i="11"/>
  <c r="N241" i="11"/>
  <c r="N14" i="11" s="1"/>
  <c r="AL273" i="11"/>
  <c r="C268" i="11"/>
  <c r="C106" i="4" s="1"/>
  <c r="C155" i="4" s="1"/>
  <c r="C171" i="4" s="1"/>
  <c r="BB288" i="11"/>
  <c r="K272" i="11"/>
  <c r="BK310" i="11"/>
  <c r="P321" i="11"/>
  <c r="AS342" i="11"/>
  <c r="BK341" i="11"/>
  <c r="BH343" i="11"/>
  <c r="BH344" i="11" s="1"/>
  <c r="P353" i="11"/>
  <c r="P369" i="11"/>
  <c r="BK357" i="11"/>
  <c r="K328" i="11"/>
  <c r="K183" i="4" s="1"/>
  <c r="K385" i="11"/>
  <c r="O2" i="12"/>
  <c r="O6" i="12"/>
  <c r="R6" i="12" s="1"/>
  <c r="AP45" i="12"/>
  <c r="AP46" i="12" s="1"/>
  <c r="AP47" i="12" s="1"/>
  <c r="AP48" i="12" s="1"/>
  <c r="AP49" i="12" s="1"/>
  <c r="AW111" i="12"/>
  <c r="AW112" i="12" s="1"/>
  <c r="AW113" i="12" s="1"/>
  <c r="AW114" i="12" s="1"/>
  <c r="AW115" i="12" s="1"/>
  <c r="AW116" i="12" s="1"/>
  <c r="AW117" i="12" s="1"/>
  <c r="AW118" i="12" s="1"/>
  <c r="AW119" i="12" s="1"/>
  <c r="AW120" i="12" s="1"/>
  <c r="AW121" i="12" s="1"/>
  <c r="AN136" i="12"/>
  <c r="AN137" i="12" s="1"/>
  <c r="AN138" i="12" s="1"/>
  <c r="AN139" i="12" s="1"/>
  <c r="AN140" i="12" s="1"/>
  <c r="AN141" i="12" s="1"/>
  <c r="AN142" i="12" s="1"/>
  <c r="AN143" i="12" s="1"/>
  <c r="AN144" i="12" s="1"/>
  <c r="AN145" i="12" s="1"/>
  <c r="B44" i="13"/>
  <c r="I45" i="13"/>
  <c r="D271" i="13"/>
  <c r="BT122" i="7"/>
  <c r="Y53" i="8"/>
  <c r="AC53" i="8" s="1"/>
  <c r="P160" i="8"/>
  <c r="C27" i="9"/>
  <c r="C294" i="4" s="1"/>
  <c r="H69" i="9"/>
  <c r="H4" i="9" s="1"/>
  <c r="H3" i="9" s="1"/>
  <c r="H33" i="9"/>
  <c r="H300" i="4" s="1"/>
  <c r="D99" i="9"/>
  <c r="D35" i="9" s="1"/>
  <c r="D302" i="4" s="1"/>
  <c r="D351" i="4" s="1"/>
  <c r="L143" i="9"/>
  <c r="L31" i="9" s="1"/>
  <c r="F181" i="9"/>
  <c r="F11" i="9" s="1"/>
  <c r="V197" i="9"/>
  <c r="AB112" i="10"/>
  <c r="AC112" i="10" s="1"/>
  <c r="AA113" i="10"/>
  <c r="AB150" i="10"/>
  <c r="Y3" i="11"/>
  <c r="Y19" i="6" s="1"/>
  <c r="G40" i="11"/>
  <c r="G232" i="4" s="1"/>
  <c r="L59" i="11"/>
  <c r="I81" i="11"/>
  <c r="BK72" i="11"/>
  <c r="P56" i="11"/>
  <c r="BF58" i="11"/>
  <c r="N53" i="11"/>
  <c r="N113" i="11"/>
  <c r="J123" i="11"/>
  <c r="B124" i="11"/>
  <c r="E141" i="11"/>
  <c r="E193" i="11"/>
  <c r="E11" i="11" s="1"/>
  <c r="E14" i="1" s="1"/>
  <c r="M201" i="11"/>
  <c r="BF201" i="11" s="1"/>
  <c r="BF217" i="11"/>
  <c r="E205" i="11"/>
  <c r="M207" i="11"/>
  <c r="BF239" i="11"/>
  <c r="M258" i="11"/>
  <c r="AM273" i="11"/>
  <c r="I261" i="11"/>
  <c r="I289" i="11"/>
  <c r="I17" i="11" s="1"/>
  <c r="I16" i="11" s="1"/>
  <c r="BM279" i="11"/>
  <c r="BF309" i="11"/>
  <c r="M321" i="11"/>
  <c r="L321" i="11"/>
  <c r="AB401" i="11"/>
  <c r="AB25" i="11" s="1"/>
  <c r="AW3" i="12"/>
  <c r="AW4" i="12" s="1"/>
  <c r="AW5" i="12" s="1"/>
  <c r="AW6" i="12" s="1"/>
  <c r="AW7" i="12" s="1"/>
  <c r="AW8" i="12" s="1"/>
  <c r="AW9" i="12" s="1"/>
  <c r="AW10" i="12" s="1"/>
  <c r="AW11" i="12" s="1"/>
  <c r="AW12" i="12" s="1"/>
  <c r="AW13" i="12" s="1"/>
  <c r="AK29" i="12"/>
  <c r="AK30" i="12" s="1"/>
  <c r="AK31" i="12" s="1"/>
  <c r="AK32" i="12" s="1"/>
  <c r="AK33" i="12" s="1"/>
  <c r="AK34" i="12" s="1"/>
  <c r="AK35" i="12" s="1"/>
  <c r="AK36" i="12" s="1"/>
  <c r="AK37" i="12" s="1"/>
  <c r="I47" i="12"/>
  <c r="O47" i="12"/>
  <c r="R47" i="12" s="1"/>
  <c r="I53" i="12"/>
  <c r="O53" i="12"/>
  <c r="R53" i="12" s="1"/>
  <c r="AT123" i="12"/>
  <c r="AT124" i="12" s="1"/>
  <c r="AT125" i="12" s="1"/>
  <c r="AT126" i="12" s="1"/>
  <c r="AT127" i="12" s="1"/>
  <c r="AT128" i="12" s="1"/>
  <c r="AT129" i="12" s="1"/>
  <c r="AT130" i="12" s="1"/>
  <c r="AT131" i="12" s="1"/>
  <c r="AT132" i="12" s="1"/>
  <c r="AT133" i="12" s="1"/>
  <c r="P138" i="12"/>
  <c r="I138" i="12"/>
  <c r="BH164" i="7"/>
  <c r="Y89" i="8"/>
  <c r="X90" i="8"/>
  <c r="Y137" i="8"/>
  <c r="X138" i="8"/>
  <c r="I69" i="9"/>
  <c r="I4" i="9" s="1"/>
  <c r="I3" i="9" s="1"/>
  <c r="BU3" i="9" s="1"/>
  <c r="N36" i="9"/>
  <c r="M94" i="9"/>
  <c r="M30" i="9" s="1"/>
  <c r="AB17" i="10"/>
  <c r="Y54" i="10"/>
  <c r="X103" i="10"/>
  <c r="S148" i="10"/>
  <c r="Q149" i="10"/>
  <c r="Z3" i="11"/>
  <c r="Z19" i="6" s="1"/>
  <c r="K53" i="11"/>
  <c r="K66" i="11" s="1"/>
  <c r="H40" i="11"/>
  <c r="BF59" i="11"/>
  <c r="J82" i="11"/>
  <c r="J81" i="11"/>
  <c r="J53" i="11"/>
  <c r="G82" i="11"/>
  <c r="O113" i="11"/>
  <c r="J114" i="11"/>
  <c r="C124" i="11"/>
  <c r="C44" i="11" s="1"/>
  <c r="O127" i="11"/>
  <c r="O47" i="11" s="1"/>
  <c r="F193" i="11"/>
  <c r="F11" i="11" s="1"/>
  <c r="F14" i="1" s="1"/>
  <c r="N201" i="11"/>
  <c r="N121" i="11" s="1"/>
  <c r="N41" i="11" s="1"/>
  <c r="BL217" i="11"/>
  <c r="BM217" i="11" s="1"/>
  <c r="F120" i="11"/>
  <c r="AN273" i="11"/>
  <c r="J261" i="11"/>
  <c r="J289" i="11"/>
  <c r="J17" i="11" s="1"/>
  <c r="BD310" i="11"/>
  <c r="BH347" i="11"/>
  <c r="I353" i="11"/>
  <c r="I22" i="11" s="1"/>
  <c r="I385" i="11"/>
  <c r="I24" i="11" s="1"/>
  <c r="BA24" i="13" s="1"/>
  <c r="R32" i="12"/>
  <c r="AR47" i="12"/>
  <c r="AR48" i="12" s="1"/>
  <c r="AR49" i="12" s="1"/>
  <c r="AU123" i="12"/>
  <c r="AU124" i="12" s="1"/>
  <c r="AU125" i="12" s="1"/>
  <c r="AU126" i="12" s="1"/>
  <c r="O142" i="12"/>
  <c r="R142" i="12" s="1"/>
  <c r="BM142" i="12" s="1"/>
  <c r="I142" i="12"/>
  <c r="O146" i="12"/>
  <c r="AL146" i="12"/>
  <c r="AL147" i="12" s="1"/>
  <c r="AL148" i="12" s="1"/>
  <c r="AL149" i="12" s="1"/>
  <c r="AL150" i="12" s="1"/>
  <c r="AL151" i="12" s="1"/>
  <c r="AL152" i="12" s="1"/>
  <c r="AL153" i="12" s="1"/>
  <c r="AL154" i="12" s="1"/>
  <c r="AL155" i="12" s="1"/>
  <c r="AL156" i="12" s="1"/>
  <c r="AL157" i="12" s="1"/>
  <c r="I146" i="12"/>
  <c r="AO146" i="12" s="1"/>
  <c r="AY24" i="13"/>
  <c r="P85" i="10"/>
  <c r="R91" i="10"/>
  <c r="U150" i="10"/>
  <c r="G59" i="11"/>
  <c r="O62" i="11"/>
  <c r="BM101" i="11"/>
  <c r="AT101" i="11"/>
  <c r="M127" i="11"/>
  <c r="BF127" i="11" s="1"/>
  <c r="D120" i="11"/>
  <c r="B144" i="11"/>
  <c r="BM173" i="11"/>
  <c r="P177" i="11"/>
  <c r="M200" i="11"/>
  <c r="BF200" i="11" s="1"/>
  <c r="BF216" i="11"/>
  <c r="P201" i="11"/>
  <c r="BK217" i="11"/>
  <c r="B206" i="11"/>
  <c r="B209" i="11" s="1"/>
  <c r="B48" i="6" s="1"/>
  <c r="B68" i="6" s="1"/>
  <c r="C207" i="11"/>
  <c r="C127" i="11" s="1"/>
  <c r="C47" i="11" s="1"/>
  <c r="C239" i="4" s="1"/>
  <c r="E225" i="11"/>
  <c r="E13" i="11" s="1"/>
  <c r="P289" i="11"/>
  <c r="F267" i="11"/>
  <c r="F105" i="4" s="1"/>
  <c r="F53" i="5" s="1"/>
  <c r="G268" i="11"/>
  <c r="G106" i="4" s="1"/>
  <c r="G155" i="4" s="1"/>
  <c r="BM305" i="11"/>
  <c r="AS341" i="11"/>
  <c r="AT342" i="11"/>
  <c r="R343" i="11"/>
  <c r="N369" i="11"/>
  <c r="BB382" i="11"/>
  <c r="K334" i="11"/>
  <c r="BF405" i="11"/>
  <c r="M389" i="11"/>
  <c r="AM4" i="12"/>
  <c r="AM5" i="12" s="1"/>
  <c r="AM6" i="12" s="1"/>
  <c r="AM7" i="12" s="1"/>
  <c r="AM8" i="12" s="1"/>
  <c r="AM9" i="12" s="1"/>
  <c r="AM10" i="12" s="1"/>
  <c r="AM11" i="12" s="1"/>
  <c r="AM12" i="12" s="1"/>
  <c r="AM13" i="12" s="1"/>
  <c r="AV15" i="12"/>
  <c r="AV16" i="12" s="1"/>
  <c r="AV17" i="12" s="1"/>
  <c r="AV18" i="12" s="1"/>
  <c r="AV19" i="12" s="1"/>
  <c r="AV20" i="12" s="1"/>
  <c r="AV21" i="12" s="1"/>
  <c r="AV22" i="12" s="1"/>
  <c r="AV23" i="12" s="1"/>
  <c r="AV24" i="12" s="1"/>
  <c r="AV25" i="12" s="1"/>
  <c r="O21" i="12"/>
  <c r="R21" i="12" s="1"/>
  <c r="AO51" i="12"/>
  <c r="AO52" i="12" s="1"/>
  <c r="AO53" i="12" s="1"/>
  <c r="AO54" i="12" s="1"/>
  <c r="AO55" i="12" s="1"/>
  <c r="AO56" i="12" s="1"/>
  <c r="AO57" i="12" s="1"/>
  <c r="AO58" i="12" s="1"/>
  <c r="O86" i="12"/>
  <c r="I86" i="12"/>
  <c r="AO86" i="12" s="1"/>
  <c r="AO87" i="12" s="1"/>
  <c r="AO88" i="12" s="1"/>
  <c r="AO89" i="12" s="1"/>
  <c r="I93" i="12"/>
  <c r="AT107" i="12"/>
  <c r="AT108" i="12" s="1"/>
  <c r="AT109" i="12" s="1"/>
  <c r="AW123" i="12"/>
  <c r="AW124" i="12" s="1"/>
  <c r="AW125" i="12" s="1"/>
  <c r="AW126" i="12" s="1"/>
  <c r="AW127" i="12" s="1"/>
  <c r="AW128" i="12" s="1"/>
  <c r="AW129" i="12" s="1"/>
  <c r="AW130" i="12" s="1"/>
  <c r="AW131" i="12" s="1"/>
  <c r="AW132" i="12" s="1"/>
  <c r="AW133" i="12" s="1"/>
  <c r="O128" i="12"/>
  <c r="R128" i="12" s="1"/>
  <c r="I128" i="12"/>
  <c r="CA9" i="13"/>
  <c r="J20" i="13"/>
  <c r="AV9" i="13"/>
  <c r="AY9" i="13"/>
  <c r="I7" i="14"/>
  <c r="P7" i="14"/>
  <c r="O177" i="14"/>
  <c r="R177" i="14" s="1"/>
  <c r="N177" i="14"/>
  <c r="P440" i="13"/>
  <c r="W53" i="8"/>
  <c r="W54" i="8" s="1"/>
  <c r="W55" i="8" s="1"/>
  <c r="W56" i="8" s="1"/>
  <c r="W57" i="8" s="1"/>
  <c r="W58" i="8" s="1"/>
  <c r="W59" i="8" s="1"/>
  <c r="W60" i="8" s="1"/>
  <c r="W61" i="8" s="1"/>
  <c r="W62" i="8" s="1"/>
  <c r="W63" i="8" s="1"/>
  <c r="S113" i="10"/>
  <c r="X150" i="10"/>
  <c r="Y186" i="10"/>
  <c r="S3" i="11"/>
  <c r="S19" i="6" s="1"/>
  <c r="S81" i="11"/>
  <c r="AK16" i="11"/>
  <c r="G54" i="11"/>
  <c r="M60" i="11"/>
  <c r="J59" i="11"/>
  <c r="J43" i="11" s="1"/>
  <c r="BK76" i="11"/>
  <c r="P60" i="11"/>
  <c r="G63" i="11"/>
  <c r="G47" i="11" s="1"/>
  <c r="F97" i="11"/>
  <c r="BM87" i="11"/>
  <c r="BH109" i="11"/>
  <c r="BH110" i="11" s="1"/>
  <c r="BK107" i="11"/>
  <c r="B114" i="11"/>
  <c r="BM133" i="11"/>
  <c r="AT133" i="11"/>
  <c r="E128" i="11"/>
  <c r="P161" i="11"/>
  <c r="I193" i="11"/>
  <c r="I11" i="11" s="1"/>
  <c r="I14" i="1" s="1"/>
  <c r="F119" i="11"/>
  <c r="F39" i="11" s="1"/>
  <c r="P200" i="11"/>
  <c r="BK277" i="11"/>
  <c r="B263" i="11"/>
  <c r="B101" i="4" s="1"/>
  <c r="B150" i="4" s="1"/>
  <c r="D305" i="11"/>
  <c r="D18" i="11" s="1"/>
  <c r="D16" i="11" s="1"/>
  <c r="G329" i="11"/>
  <c r="G184" i="4" s="1"/>
  <c r="E385" i="11"/>
  <c r="E24" i="11" s="1"/>
  <c r="M391" i="11"/>
  <c r="BF391" i="11" s="1"/>
  <c r="I11" i="12"/>
  <c r="AL27" i="12"/>
  <c r="AL28" i="12" s="1"/>
  <c r="AL29" i="12" s="1"/>
  <c r="AL30" i="12" s="1"/>
  <c r="AL31" i="12" s="1"/>
  <c r="AL32" i="12" s="1"/>
  <c r="AL33" i="12" s="1"/>
  <c r="AL34" i="12" s="1"/>
  <c r="AL35" i="12" s="1"/>
  <c r="AL36" i="12" s="1"/>
  <c r="AL37" i="12" s="1"/>
  <c r="I35" i="12"/>
  <c r="O39" i="12"/>
  <c r="R39" i="12" s="1"/>
  <c r="I43" i="12"/>
  <c r="AU63" i="12"/>
  <c r="AU64" i="12" s="1"/>
  <c r="O90" i="12"/>
  <c r="R90" i="12" s="1"/>
  <c r="I157" i="12"/>
  <c r="O157" i="12"/>
  <c r="R157" i="12" s="1"/>
  <c r="BM157" i="12" s="1"/>
  <c r="BD10" i="13"/>
  <c r="W271" i="13"/>
  <c r="V161" i="10"/>
  <c r="U162" i="10"/>
  <c r="T3" i="11"/>
  <c r="T19" i="6" s="1"/>
  <c r="AL16" i="11"/>
  <c r="O53" i="11"/>
  <c r="J57" i="11"/>
  <c r="J41" i="11" s="1"/>
  <c r="H63" i="11"/>
  <c r="H47" i="11" s="1"/>
  <c r="P82" i="11"/>
  <c r="BK80" i="11"/>
  <c r="G97" i="11"/>
  <c r="BM103" i="11"/>
  <c r="AT103" i="11"/>
  <c r="C114" i="11"/>
  <c r="BM149" i="11"/>
  <c r="F128" i="11"/>
  <c r="D118" i="11"/>
  <c r="F225" i="11"/>
  <c r="F13" i="11" s="1"/>
  <c r="BL215" i="11"/>
  <c r="BM215" i="11" s="1"/>
  <c r="N199" i="11"/>
  <c r="N119" i="11" s="1"/>
  <c r="N39" i="11" s="1"/>
  <c r="B203" i="11"/>
  <c r="B123" i="11" s="1"/>
  <c r="B43" i="11" s="1"/>
  <c r="P241" i="11"/>
  <c r="I201" i="11"/>
  <c r="I121" i="11" s="1"/>
  <c r="BB253" i="11"/>
  <c r="K205" i="11"/>
  <c r="BB205" i="11" s="1"/>
  <c r="AD270" i="11"/>
  <c r="AD108" i="4" s="1"/>
  <c r="C263" i="11"/>
  <c r="C101" i="4" s="1"/>
  <c r="C150" i="4" s="1"/>
  <c r="C166" i="4" s="1"/>
  <c r="AC16" i="11"/>
  <c r="E261" i="11"/>
  <c r="E305" i="11"/>
  <c r="E18" i="11" s="1"/>
  <c r="E16" i="11" s="1"/>
  <c r="G262" i="11"/>
  <c r="G100" i="4" s="1"/>
  <c r="G68" i="4" s="1"/>
  <c r="G305" i="11"/>
  <c r="G18" i="11" s="1"/>
  <c r="L267" i="11"/>
  <c r="BD299" i="11"/>
  <c r="B330" i="11"/>
  <c r="B185" i="4" s="1"/>
  <c r="B93" i="5" s="1"/>
  <c r="F385" i="11"/>
  <c r="F24" i="11" s="1"/>
  <c r="M417" i="11"/>
  <c r="R5" i="12"/>
  <c r="AW16" i="12"/>
  <c r="AW17" i="12" s="1"/>
  <c r="AW18" i="12" s="1"/>
  <c r="AW19" i="12" s="1"/>
  <c r="AW20" i="12" s="1"/>
  <c r="AW21" i="12" s="1"/>
  <c r="AW22" i="12" s="1"/>
  <c r="AW23" i="12" s="1"/>
  <c r="AW24" i="12" s="1"/>
  <c r="AW25" i="12" s="1"/>
  <c r="O15" i="12"/>
  <c r="R15" i="12" s="1"/>
  <c r="AU51" i="12"/>
  <c r="AU52" i="12" s="1"/>
  <c r="AU53" i="12" s="1"/>
  <c r="AW63" i="12"/>
  <c r="AW64" i="12" s="1"/>
  <c r="AW65" i="12" s="1"/>
  <c r="AW66" i="12" s="1"/>
  <c r="AW67" i="12" s="1"/>
  <c r="AW68" i="12" s="1"/>
  <c r="AW69" i="12" s="1"/>
  <c r="AW70" i="12" s="1"/>
  <c r="AW71" i="12" s="1"/>
  <c r="AW72" i="12" s="1"/>
  <c r="AW73" i="12" s="1"/>
  <c r="AW75" i="12"/>
  <c r="AW76" i="12" s="1"/>
  <c r="AW77" i="12" s="1"/>
  <c r="AW78" i="12" s="1"/>
  <c r="AW79" i="12" s="1"/>
  <c r="AW80" i="12" s="1"/>
  <c r="AW81" i="12" s="1"/>
  <c r="AW82" i="12" s="1"/>
  <c r="AW83" i="12" s="1"/>
  <c r="AW84" i="12" s="1"/>
  <c r="AW85" i="12" s="1"/>
  <c r="R106" i="12"/>
  <c r="L109" i="12"/>
  <c r="O164" i="12"/>
  <c r="R164" i="12" s="1"/>
  <c r="BM164" i="12" s="1"/>
  <c r="I164" i="12"/>
  <c r="O169" i="12"/>
  <c r="R169" i="12" s="1"/>
  <c r="BM169" i="12" s="1"/>
  <c r="I173" i="12"/>
  <c r="G95" i="13"/>
  <c r="G5" i="13" s="1"/>
  <c r="AC95" i="13"/>
  <c r="AC5" i="13" s="1"/>
  <c r="BU5" i="13" s="1"/>
  <c r="D175" i="13"/>
  <c r="D10" i="13" s="1"/>
  <c r="D132" i="13"/>
  <c r="R16" i="13"/>
  <c r="BJ16" i="13" s="1"/>
  <c r="BJ17" i="13"/>
  <c r="BL19" i="13"/>
  <c r="AA54" i="8"/>
  <c r="U89" i="8"/>
  <c r="R67" i="10"/>
  <c r="AB101" i="10"/>
  <c r="AA102" i="10"/>
  <c r="S124" i="10"/>
  <c r="U3" i="11"/>
  <c r="U19" i="6" s="1"/>
  <c r="AM16" i="11"/>
  <c r="AS70" i="11"/>
  <c r="BK69" i="11"/>
  <c r="AS71" i="11"/>
  <c r="BB73" i="11"/>
  <c r="I63" i="11"/>
  <c r="I47" i="11" s="1"/>
  <c r="H97" i="11"/>
  <c r="AV102" i="11"/>
  <c r="D114" i="11"/>
  <c r="P128" i="11"/>
  <c r="BK128" i="11" s="1"/>
  <c r="BH144" i="11"/>
  <c r="BH145" i="11" s="1"/>
  <c r="G128" i="11"/>
  <c r="BK176" i="11"/>
  <c r="AU176" i="11"/>
  <c r="C203" i="11"/>
  <c r="C123" i="11" s="1"/>
  <c r="C43" i="11" s="1"/>
  <c r="C235" i="4" s="1"/>
  <c r="BM268" i="11"/>
  <c r="B262" i="11"/>
  <c r="B100" i="4" s="1"/>
  <c r="J266" i="11"/>
  <c r="J104" i="4" s="1"/>
  <c r="K264" i="11"/>
  <c r="F261" i="11"/>
  <c r="F305" i="11"/>
  <c r="F18" i="11" s="1"/>
  <c r="C330" i="11"/>
  <c r="C42" i="11" s="1"/>
  <c r="G385" i="11"/>
  <c r="G24" i="11" s="1"/>
  <c r="O24" i="12"/>
  <c r="R24" i="12" s="1"/>
  <c r="AW51" i="12"/>
  <c r="AW52" i="12" s="1"/>
  <c r="AW53" i="12" s="1"/>
  <c r="AW54" i="12" s="1"/>
  <c r="AW55" i="12" s="1"/>
  <c r="AW56" i="12" s="1"/>
  <c r="AW57" i="12" s="1"/>
  <c r="AW58" i="12" s="1"/>
  <c r="AW59" i="12" s="1"/>
  <c r="AW60" i="12" s="1"/>
  <c r="AW61" i="12" s="1"/>
  <c r="AX63" i="12"/>
  <c r="AX64" i="12" s="1"/>
  <c r="O99" i="12"/>
  <c r="R99" i="12" s="1"/>
  <c r="I99" i="12"/>
  <c r="AO99" i="12" s="1"/>
  <c r="AO100" i="12" s="1"/>
  <c r="P146" i="12"/>
  <c r="AV146" i="12" s="1"/>
  <c r="AV147" i="12" s="1"/>
  <c r="AV148" i="12" s="1"/>
  <c r="AV149" i="12" s="1"/>
  <c r="AV150" i="12" s="1"/>
  <c r="AV151" i="12" s="1"/>
  <c r="AM146" i="12"/>
  <c r="AM147" i="12" s="1"/>
  <c r="AM148" i="12" s="1"/>
  <c r="AM149" i="12" s="1"/>
  <c r="AM150" i="12" s="1"/>
  <c r="AM151" i="12" s="1"/>
  <c r="AM152" i="12" s="1"/>
  <c r="AM153" i="12" s="1"/>
  <c r="AM154" i="12" s="1"/>
  <c r="AM155" i="12" s="1"/>
  <c r="AM156" i="12" s="1"/>
  <c r="AM157" i="12" s="1"/>
  <c r="N417" i="11"/>
  <c r="N26" i="11" s="1"/>
  <c r="BG26" i="11" s="1"/>
  <c r="N390" i="11"/>
  <c r="N401" i="11" s="1"/>
  <c r="N25" i="11" s="1"/>
  <c r="BG25" i="11" s="1"/>
  <c r="B42" i="13"/>
  <c r="N39" i="13"/>
  <c r="H95" i="13"/>
  <c r="H5" i="13" s="1"/>
  <c r="AD95" i="13"/>
  <c r="AD5" i="13" s="1"/>
  <c r="BV5" i="13" s="1"/>
  <c r="Q95" i="13"/>
  <c r="Q5" i="13" s="1"/>
  <c r="BI5" i="13" s="1"/>
  <c r="AM95" i="13"/>
  <c r="AM5" i="13" s="1"/>
  <c r="CE5" i="13" s="1"/>
  <c r="CC17" i="13"/>
  <c r="AY112" i="15"/>
  <c r="X113" i="8"/>
  <c r="AA138" i="8"/>
  <c r="R151" i="8"/>
  <c r="Y125" i="10"/>
  <c r="R185" i="10"/>
  <c r="AN16" i="11"/>
  <c r="D32" i="11"/>
  <c r="Z32" i="11"/>
  <c r="BM53" i="11"/>
  <c r="AT53" i="11"/>
  <c r="AS53" i="11"/>
  <c r="BM69" i="11"/>
  <c r="AT69" i="11"/>
  <c r="J47" i="11"/>
  <c r="K81" i="11"/>
  <c r="I97" i="11"/>
  <c r="D40" i="11"/>
  <c r="D232" i="4" s="1"/>
  <c r="AW102" i="11"/>
  <c r="E114" i="11"/>
  <c r="BM113" i="11"/>
  <c r="BK144" i="11"/>
  <c r="B134" i="11"/>
  <c r="H128" i="11"/>
  <c r="H48" i="11" s="1"/>
  <c r="R177" i="11"/>
  <c r="R10" i="11" s="1"/>
  <c r="AN177" i="11"/>
  <c r="BM176" i="11"/>
  <c r="AS183" i="11"/>
  <c r="L193" i="11"/>
  <c r="G205" i="11"/>
  <c r="H210" i="11"/>
  <c r="O257" i="11"/>
  <c r="O15" i="11" s="1"/>
  <c r="BG15" i="13" s="1"/>
  <c r="AV246" i="11"/>
  <c r="X273" i="11"/>
  <c r="X49" i="6" s="1"/>
  <c r="X71" i="6" s="1"/>
  <c r="H266" i="11"/>
  <c r="H104" i="4" s="1"/>
  <c r="H72" i="4" s="1"/>
  <c r="B321" i="11"/>
  <c r="B19" i="11" s="1"/>
  <c r="B16" i="11" s="1"/>
  <c r="H385" i="11"/>
  <c r="H24" i="11" s="1"/>
  <c r="AK3" i="12"/>
  <c r="AK4" i="12" s="1"/>
  <c r="AK5" i="12" s="1"/>
  <c r="AK6" i="12" s="1"/>
  <c r="AK7" i="12" s="1"/>
  <c r="AK8" i="12" s="1"/>
  <c r="AK9" i="12" s="1"/>
  <c r="AK10" i="12" s="1"/>
  <c r="AK11" i="12" s="1"/>
  <c r="AK12" i="12" s="1"/>
  <c r="AK13" i="12" s="1"/>
  <c r="I10" i="12"/>
  <c r="O18" i="12"/>
  <c r="R18" i="12" s="1"/>
  <c r="AU39" i="12"/>
  <c r="AU40" i="12" s="1"/>
  <c r="AU41" i="12" s="1"/>
  <c r="AU42" i="12" s="1"/>
  <c r="AU43" i="12" s="1"/>
  <c r="AU44" i="12" s="1"/>
  <c r="AU45" i="12" s="1"/>
  <c r="AU46" i="12" s="1"/>
  <c r="AU47" i="12" s="1"/>
  <c r="AU48" i="12" s="1"/>
  <c r="AU49" i="12" s="1"/>
  <c r="R50" i="12"/>
  <c r="AX50" i="12" s="1"/>
  <c r="AX51" i="12" s="1"/>
  <c r="AX52" i="12" s="1"/>
  <c r="AX53" i="12" s="1"/>
  <c r="AX54" i="12" s="1"/>
  <c r="AX55" i="12" s="1"/>
  <c r="AX56" i="12" s="1"/>
  <c r="AX57" i="12" s="1"/>
  <c r="AX58" i="12" s="1"/>
  <c r="AX59" i="12" s="1"/>
  <c r="AX60" i="12" s="1"/>
  <c r="AX61" i="12" s="1"/>
  <c r="I90" i="12"/>
  <c r="I106" i="12"/>
  <c r="P115" i="12"/>
  <c r="AV115" i="12" s="1"/>
  <c r="AV116" i="12" s="1"/>
  <c r="AV117" i="12" s="1"/>
  <c r="AV118" i="12" s="1"/>
  <c r="AV119" i="12" s="1"/>
  <c r="AV120" i="12" s="1"/>
  <c r="AV121" i="12" s="1"/>
  <c r="I115" i="12"/>
  <c r="AN147" i="12"/>
  <c r="AN148" i="12" s="1"/>
  <c r="AN149" i="12" s="1"/>
  <c r="AN150" i="12" s="1"/>
  <c r="AN151" i="12" s="1"/>
  <c r="AN152" i="12" s="1"/>
  <c r="AN153" i="12" s="1"/>
  <c r="AN154" i="12" s="1"/>
  <c r="AN155" i="12" s="1"/>
  <c r="AN156" i="12" s="1"/>
  <c r="AN157" i="12" s="1"/>
  <c r="O39" i="13"/>
  <c r="I95" i="13"/>
  <c r="I5" i="13" s="1"/>
  <c r="AE95" i="13"/>
  <c r="AE5" i="13" s="1"/>
  <c r="BW5" i="13" s="1"/>
  <c r="P125" i="13"/>
  <c r="CH17" i="13"/>
  <c r="BO18" i="13"/>
  <c r="D260" i="13"/>
  <c r="D117" i="3" s="1"/>
  <c r="D303" i="13"/>
  <c r="D18" i="13" s="1"/>
  <c r="AV18" i="13" s="1"/>
  <c r="P46" i="14"/>
  <c r="I46" i="14"/>
  <c r="U65" i="8"/>
  <c r="S160" i="10"/>
  <c r="R161" i="10"/>
  <c r="P163" i="10"/>
  <c r="AO16" i="11"/>
  <c r="L54" i="11"/>
  <c r="C62" i="11"/>
  <c r="C46" i="11" s="1"/>
  <c r="E58" i="11"/>
  <c r="E42" i="11" s="1"/>
  <c r="E234" i="4" s="1"/>
  <c r="J97" i="11"/>
  <c r="B113" i="11"/>
  <c r="BF99" i="11"/>
  <c r="BF137" i="11"/>
  <c r="H119" i="11"/>
  <c r="H39" i="11" s="1"/>
  <c r="AS182" i="11"/>
  <c r="BK181" i="11"/>
  <c r="BH183" i="11"/>
  <c r="M193" i="11"/>
  <c r="BD207" i="11"/>
  <c r="N198" i="11"/>
  <c r="BL214" i="11"/>
  <c r="E203" i="11"/>
  <c r="E123" i="11" s="1"/>
  <c r="K204" i="11"/>
  <c r="AS246" i="11"/>
  <c r="BK245" i="11"/>
  <c r="BH247" i="11"/>
  <c r="BH248" i="11" s="1"/>
  <c r="Y273" i="11"/>
  <c r="Y49" i="6" s="1"/>
  <c r="Y71" i="6" s="1"/>
  <c r="AF17" i="11"/>
  <c r="AF16" i="11" s="1"/>
  <c r="AF270" i="11"/>
  <c r="AF108" i="4" s="1"/>
  <c r="AF111" i="4" s="1"/>
  <c r="H305" i="11"/>
  <c r="H18" i="11" s="1"/>
  <c r="BL317" i="11"/>
  <c r="BM317" i="11" s="1"/>
  <c r="N269" i="11"/>
  <c r="B353" i="11"/>
  <c r="B22" i="11" s="1"/>
  <c r="B21" i="11" s="1"/>
  <c r="B20" i="11" s="1"/>
  <c r="BH349" i="11"/>
  <c r="BH350" i="11" s="1"/>
  <c r="C385" i="11"/>
  <c r="C24" i="11" s="1"/>
  <c r="AE401" i="11"/>
  <c r="AE25" i="11" s="1"/>
  <c r="AW39" i="12"/>
  <c r="AW40" i="12" s="1"/>
  <c r="AW41" i="12" s="1"/>
  <c r="AW42" i="12" s="1"/>
  <c r="AW43" i="12" s="1"/>
  <c r="AW44" i="12" s="1"/>
  <c r="AW45" i="12" s="1"/>
  <c r="AW46" i="12" s="1"/>
  <c r="AW47" i="12" s="1"/>
  <c r="AW48" i="12" s="1"/>
  <c r="AW49" i="12" s="1"/>
  <c r="I61" i="12"/>
  <c r="O61" i="12"/>
  <c r="R61" i="12" s="1"/>
  <c r="AL178" i="12"/>
  <c r="AL179" i="12" s="1"/>
  <c r="AL180" i="12" s="1"/>
  <c r="AL181" i="12" s="1"/>
  <c r="R173" i="12"/>
  <c r="G58" i="13"/>
  <c r="AJ159" i="13"/>
  <c r="AJ9" i="13" s="1"/>
  <c r="D120" i="13"/>
  <c r="D40" i="13" s="1"/>
  <c r="N152" i="14"/>
  <c r="N439" i="13"/>
  <c r="N423" i="13" s="1"/>
  <c r="V124" i="10"/>
  <c r="P181" i="10"/>
  <c r="V185" i="10"/>
  <c r="U186" i="10"/>
  <c r="V186" i="10" s="1"/>
  <c r="M54" i="11"/>
  <c r="BH71" i="11"/>
  <c r="BH72" i="11" s="1"/>
  <c r="K97" i="11"/>
  <c r="C113" i="11"/>
  <c r="I119" i="11"/>
  <c r="J128" i="11"/>
  <c r="J48" i="11" s="1"/>
  <c r="AH177" i="11"/>
  <c r="J225" i="11"/>
  <c r="J13" i="11" s="1"/>
  <c r="J197" i="11"/>
  <c r="O198" i="11"/>
  <c r="AT246" i="11"/>
  <c r="BM245" i="11"/>
  <c r="AT245" i="11"/>
  <c r="AS245" i="11"/>
  <c r="L257" i="11"/>
  <c r="Z273" i="11"/>
  <c r="Z49" i="6" s="1"/>
  <c r="Z71" i="6" s="1"/>
  <c r="E262" i="11"/>
  <c r="E100" i="4" s="1"/>
  <c r="E149" i="4" s="1"/>
  <c r="AG16" i="11"/>
  <c r="I305" i="11"/>
  <c r="I18" i="11" s="1"/>
  <c r="K305" i="11"/>
  <c r="M272" i="11"/>
  <c r="D321" i="11"/>
  <c r="D19" i="11" s="1"/>
  <c r="C353" i="11"/>
  <c r="C22" i="11" s="1"/>
  <c r="C21" i="11" s="1"/>
  <c r="J385" i="11"/>
  <c r="J24" i="11" s="1"/>
  <c r="BB24" i="13" s="1"/>
  <c r="P395" i="11"/>
  <c r="BK395" i="11" s="1"/>
  <c r="BK411" i="11"/>
  <c r="I20" i="12"/>
  <c r="AO27" i="12"/>
  <c r="AO28" i="12" s="1"/>
  <c r="AO29" i="12" s="1"/>
  <c r="AO30" i="12" s="1"/>
  <c r="I31" i="12"/>
  <c r="R38" i="12"/>
  <c r="AX38" i="12" s="1"/>
  <c r="AX39" i="12" s="1"/>
  <c r="AX40" i="12" s="1"/>
  <c r="AX41" i="12" s="1"/>
  <c r="AX42" i="12" s="1"/>
  <c r="AX43" i="12" s="1"/>
  <c r="AX44" i="12" s="1"/>
  <c r="I49" i="12"/>
  <c r="O49" i="12"/>
  <c r="R49" i="12" s="1"/>
  <c r="O54" i="12"/>
  <c r="R54" i="12" s="1"/>
  <c r="O98" i="12"/>
  <c r="AN112" i="12"/>
  <c r="AN113" i="12" s="1"/>
  <c r="AN114" i="12" s="1"/>
  <c r="AN115" i="12" s="1"/>
  <c r="AN116" i="12" s="1"/>
  <c r="AN117" i="12" s="1"/>
  <c r="AN118" i="12" s="1"/>
  <c r="AN119" i="12" s="1"/>
  <c r="AN120" i="12" s="1"/>
  <c r="AN121" i="12" s="1"/>
  <c r="O115" i="12"/>
  <c r="R115" i="12" s="1"/>
  <c r="L115" i="12"/>
  <c r="I127" i="12"/>
  <c r="O127" i="12"/>
  <c r="R127" i="12" s="1"/>
  <c r="AT147" i="12"/>
  <c r="AT148" i="12" s="1"/>
  <c r="AT149" i="12" s="1"/>
  <c r="AT150" i="12" s="1"/>
  <c r="AT151" i="12" s="1"/>
  <c r="AT152" i="12" s="1"/>
  <c r="AT153" i="12" s="1"/>
  <c r="AT154" i="12" s="1"/>
  <c r="AT155" i="12" s="1"/>
  <c r="AT156" i="12" s="1"/>
  <c r="AT157" i="12" s="1"/>
  <c r="O119" i="14"/>
  <c r="R119" i="14" s="1"/>
  <c r="I119" i="14"/>
  <c r="W65" i="8"/>
  <c r="W66" i="8" s="1"/>
  <c r="W67" i="8" s="1"/>
  <c r="W68" i="8" s="1"/>
  <c r="W69" i="8" s="1"/>
  <c r="W70" i="8" s="1"/>
  <c r="W71" i="8" s="1"/>
  <c r="W72" i="8" s="1"/>
  <c r="W73" i="8" s="1"/>
  <c r="W74" i="8" s="1"/>
  <c r="W75" i="8" s="1"/>
  <c r="AA113" i="8"/>
  <c r="Q125" i="8"/>
  <c r="Q126" i="8" s="1"/>
  <c r="Q127" i="8" s="1"/>
  <c r="Q128" i="8" s="1"/>
  <c r="Q129" i="8" s="1"/>
  <c r="Q130" i="8" s="1"/>
  <c r="Q131" i="8" s="1"/>
  <c r="Q132" i="8" s="1"/>
  <c r="Q133" i="8" s="1"/>
  <c r="Q134" i="8" s="1"/>
  <c r="Q135" i="8" s="1"/>
  <c r="AB149" i="10"/>
  <c r="Q345" i="11"/>
  <c r="Q344" i="11"/>
  <c r="O41" i="11"/>
  <c r="BK75" i="11"/>
  <c r="BB77" i="11"/>
  <c r="L97" i="11"/>
  <c r="BD85" i="11"/>
  <c r="BD63" i="11"/>
  <c r="D113" i="11"/>
  <c r="E134" i="11"/>
  <c r="K144" i="11"/>
  <c r="BB160" i="11"/>
  <c r="AI177" i="11"/>
  <c r="K225" i="11"/>
  <c r="BF215" i="11"/>
  <c r="M257" i="11"/>
  <c r="AA273" i="11"/>
  <c r="AA49" i="6" s="1"/>
  <c r="AA71" i="6" s="1"/>
  <c r="N263" i="11"/>
  <c r="F289" i="11"/>
  <c r="F17" i="11" s="1"/>
  <c r="AH16" i="11"/>
  <c r="J305" i="11"/>
  <c r="J18" i="11" s="1"/>
  <c r="K266" i="11"/>
  <c r="BB298" i="11"/>
  <c r="K271" i="11"/>
  <c r="E321" i="11"/>
  <c r="E19" i="11" s="1"/>
  <c r="AW19" i="13" s="1"/>
  <c r="C337" i="11"/>
  <c r="D353" i="11"/>
  <c r="D22" i="11" s="1"/>
  <c r="D21" i="11" s="1"/>
  <c r="D369" i="11"/>
  <c r="D23" i="11" s="1"/>
  <c r="AV27" i="12"/>
  <c r="AV28" i="12" s="1"/>
  <c r="AV29" i="12" s="1"/>
  <c r="AV30" i="12" s="1"/>
  <c r="AV31" i="12" s="1"/>
  <c r="AV32" i="12" s="1"/>
  <c r="AV33" i="12" s="1"/>
  <c r="AV34" i="12" s="1"/>
  <c r="AV35" i="12" s="1"/>
  <c r="AV36" i="12" s="1"/>
  <c r="AV37" i="12" s="1"/>
  <c r="O42" i="12"/>
  <c r="R42" i="12" s="1"/>
  <c r="I73" i="12"/>
  <c r="O73" i="12"/>
  <c r="R73" i="12" s="1"/>
  <c r="O92" i="12"/>
  <c r="AV99" i="12"/>
  <c r="AV100" i="12" s="1"/>
  <c r="AV101" i="12" s="1"/>
  <c r="AV102" i="12" s="1"/>
  <c r="AV103" i="12" s="1"/>
  <c r="AV104" i="12" s="1"/>
  <c r="AV105" i="12" s="1"/>
  <c r="AV106" i="12" s="1"/>
  <c r="AV107" i="12" s="1"/>
  <c r="AV108" i="12" s="1"/>
  <c r="AV109" i="12" s="1"/>
  <c r="I105" i="12"/>
  <c r="O105" i="12"/>
  <c r="R105" i="12" s="1"/>
  <c r="O118" i="12"/>
  <c r="R118" i="12" s="1"/>
  <c r="R121" i="12"/>
  <c r="Q146" i="12"/>
  <c r="AW146" i="12" s="1"/>
  <c r="AW147" i="12" s="1"/>
  <c r="AW148" i="12" s="1"/>
  <c r="AW149" i="12" s="1"/>
  <c r="AW150" i="12" s="1"/>
  <c r="AW151" i="12" s="1"/>
  <c r="AW152" i="12" s="1"/>
  <c r="AW153" i="12" s="1"/>
  <c r="AW154" i="12" s="1"/>
  <c r="AW155" i="12" s="1"/>
  <c r="AW156" i="12" s="1"/>
  <c r="AW157" i="12" s="1"/>
  <c r="R163" i="12"/>
  <c r="BM163" i="12" s="1"/>
  <c r="K143" i="13"/>
  <c r="Y124" i="10"/>
  <c r="Y148" i="10"/>
  <c r="AC148" i="10" s="1"/>
  <c r="AD148" i="10" s="1"/>
  <c r="Y185" i="10"/>
  <c r="K54" i="11"/>
  <c r="K38" i="11" s="1"/>
  <c r="BM71" i="11"/>
  <c r="AT71" i="11"/>
  <c r="C56" i="11"/>
  <c r="C40" i="11" s="1"/>
  <c r="P57" i="11"/>
  <c r="BD77" i="11"/>
  <c r="L61" i="11"/>
  <c r="O81" i="11"/>
  <c r="E113" i="11"/>
  <c r="AT102" i="11"/>
  <c r="BM102" i="11"/>
  <c r="BK102" i="11"/>
  <c r="K119" i="11"/>
  <c r="K39" i="11" s="1"/>
  <c r="L144" i="11"/>
  <c r="BD160" i="11"/>
  <c r="V177" i="11"/>
  <c r="V10" i="11" s="1"/>
  <c r="AJ177" i="11"/>
  <c r="BH189" i="11"/>
  <c r="BH190" i="11" s="1"/>
  <c r="BK187" i="11"/>
  <c r="BH192" i="11"/>
  <c r="BH193" i="11" s="1"/>
  <c r="P193" i="11"/>
  <c r="L225" i="11"/>
  <c r="Q198" i="11"/>
  <c r="BM214" i="11"/>
  <c r="F202" i="11"/>
  <c r="AB273" i="11"/>
  <c r="AB49" i="6" s="1"/>
  <c r="AB71" i="6" s="1"/>
  <c r="D261" i="11"/>
  <c r="G289" i="11"/>
  <c r="G17" i="11" s="1"/>
  <c r="L266" i="11"/>
  <c r="BD298" i="11"/>
  <c r="L271" i="11"/>
  <c r="BD303" i="11"/>
  <c r="F321" i="11"/>
  <c r="F19" i="11" s="1"/>
  <c r="AX19" i="13" s="1"/>
  <c r="BH330" i="11"/>
  <c r="E333" i="11"/>
  <c r="E188" i="4" s="1"/>
  <c r="E94" i="5" s="1"/>
  <c r="I13" i="12"/>
  <c r="AN16" i="12"/>
  <c r="AN17" i="12" s="1"/>
  <c r="AN18" i="12" s="1"/>
  <c r="AN19" i="12" s="1"/>
  <c r="AN20" i="12" s="1"/>
  <c r="AN21" i="12" s="1"/>
  <c r="AN22" i="12" s="1"/>
  <c r="AN23" i="12" s="1"/>
  <c r="AN24" i="12" s="1"/>
  <c r="AN25" i="12" s="1"/>
  <c r="I57" i="12"/>
  <c r="I69" i="12"/>
  <c r="O69" i="12"/>
  <c r="R69" i="12" s="1"/>
  <c r="I117" i="12"/>
  <c r="O117" i="12"/>
  <c r="R117" i="12" s="1"/>
  <c r="M397" i="11"/>
  <c r="BF397" i="11" s="1"/>
  <c r="BF413" i="11"/>
  <c r="AK149" i="12"/>
  <c r="AK150" i="12" s="1"/>
  <c r="AK151" i="12" s="1"/>
  <c r="AK152" i="12" s="1"/>
  <c r="AK153" i="12" s="1"/>
  <c r="AK154" i="12" s="1"/>
  <c r="AK155" i="12" s="1"/>
  <c r="AK156" i="12" s="1"/>
  <c r="AK157" i="12" s="1"/>
  <c r="O168" i="12"/>
  <c r="R168" i="12" s="1"/>
  <c r="BM168" i="12" s="1"/>
  <c r="I168" i="12"/>
  <c r="P394" i="11"/>
  <c r="BK394" i="11" s="1"/>
  <c r="BK410" i="11"/>
  <c r="O54" i="13"/>
  <c r="P95" i="13"/>
  <c r="P5" i="13" s="1"/>
  <c r="AL95" i="13"/>
  <c r="AL5" i="13" s="1"/>
  <c r="CD5" i="13" s="1"/>
  <c r="AO95" i="13"/>
  <c r="AO5" i="13" s="1"/>
  <c r="CG5" i="13" s="1"/>
  <c r="O111" i="13"/>
  <c r="O6" i="13" s="1"/>
  <c r="C444" i="13"/>
  <c r="C428" i="13" s="1"/>
  <c r="N25" i="14"/>
  <c r="R117" i="14"/>
  <c r="O42" i="11"/>
  <c r="AV70" i="11"/>
  <c r="B44" i="11"/>
  <c r="P81" i="11"/>
  <c r="K82" i="11"/>
  <c r="F113" i="11"/>
  <c r="D119" i="11"/>
  <c r="BH138" i="11"/>
  <c r="B117" i="11"/>
  <c r="L119" i="11"/>
  <c r="BD119" i="11" s="1"/>
  <c r="BK154" i="11"/>
  <c r="B125" i="11"/>
  <c r="B45" i="11" s="1"/>
  <c r="M128" i="11"/>
  <c r="BF128" i="11" s="1"/>
  <c r="W177" i="11"/>
  <c r="W10" i="11" s="1"/>
  <c r="W13" i="1" s="1"/>
  <c r="AK177" i="11"/>
  <c r="L194" i="11"/>
  <c r="BK207" i="11"/>
  <c r="M225" i="11"/>
  <c r="BF213" i="11"/>
  <c r="BD214" i="11"/>
  <c r="BH256" i="11"/>
  <c r="BH257" i="11" s="1"/>
  <c r="BK255" i="11"/>
  <c r="P257" i="11"/>
  <c r="AC273" i="11"/>
  <c r="AC49" i="6" s="1"/>
  <c r="AC71" i="6" s="1"/>
  <c r="H265" i="11"/>
  <c r="M271" i="11"/>
  <c r="BM353" i="11"/>
  <c r="AJ401" i="11"/>
  <c r="AJ25" i="11" s="1"/>
  <c r="BF411" i="11"/>
  <c r="I45" i="12"/>
  <c r="I85" i="12"/>
  <c r="O85" i="12"/>
  <c r="R85" i="12" s="1"/>
  <c r="R108" i="12"/>
  <c r="AW136" i="12"/>
  <c r="AW137" i="12" s="1"/>
  <c r="AW138" i="12" s="1"/>
  <c r="AW139" i="12" s="1"/>
  <c r="AW140" i="12" s="1"/>
  <c r="AW141" i="12" s="1"/>
  <c r="AW142" i="12" s="1"/>
  <c r="AW143" i="12" s="1"/>
  <c r="AW144" i="12" s="1"/>
  <c r="AW145" i="12" s="1"/>
  <c r="O160" i="12"/>
  <c r="R160" i="12" s="1"/>
  <c r="BM160" i="12" s="1"/>
  <c r="O165" i="12"/>
  <c r="R165" i="12" s="1"/>
  <c r="BM165" i="12" s="1"/>
  <c r="I165" i="12"/>
  <c r="O175" i="12"/>
  <c r="R175" i="12" s="1"/>
  <c r="P54" i="13"/>
  <c r="AT15" i="13"/>
  <c r="I15" i="14"/>
  <c r="H442" i="13"/>
  <c r="H426" i="13" s="1"/>
  <c r="N83" i="14"/>
  <c r="P107" i="10"/>
  <c r="AB124" i="10"/>
  <c r="P159" i="10"/>
  <c r="BM385" i="11"/>
  <c r="L66" i="11"/>
  <c r="AW70" i="11"/>
  <c r="J58" i="11"/>
  <c r="G113" i="11"/>
  <c r="BK138" i="11"/>
  <c r="C133" i="11"/>
  <c r="C125" i="11"/>
  <c r="C45" i="11" s="1"/>
  <c r="J127" i="11"/>
  <c r="B177" i="11"/>
  <c r="B10" i="11" s="1"/>
  <c r="B13" i="1" s="1"/>
  <c r="X177" i="11"/>
  <c r="X10" i="11" s="1"/>
  <c r="BK168" i="11"/>
  <c r="AU168" i="11"/>
  <c r="AL177" i="11"/>
  <c r="AV182" i="11"/>
  <c r="BM183" i="11"/>
  <c r="AS181" i="11"/>
  <c r="C194" i="11"/>
  <c r="N225" i="11"/>
  <c r="BL213" i="11"/>
  <c r="BM213" i="11" s="1"/>
  <c r="N197" i="11"/>
  <c r="N209" i="11" s="1"/>
  <c r="N48" i="6" s="1"/>
  <c r="BF214" i="11"/>
  <c r="B241" i="11"/>
  <c r="B14" i="11" s="1"/>
  <c r="BM247" i="11"/>
  <c r="AT247" i="11"/>
  <c r="AD273" i="11"/>
  <c r="AD49" i="6" s="1"/>
  <c r="AD71" i="6" s="1"/>
  <c r="N266" i="11"/>
  <c r="BL298" i="11"/>
  <c r="BM298" i="11" s="1"/>
  <c r="N271" i="11"/>
  <c r="BD304" i="11"/>
  <c r="G325" i="11"/>
  <c r="AT341" i="11"/>
  <c r="G333" i="11"/>
  <c r="G188" i="4" s="1"/>
  <c r="G349" i="4" s="1"/>
  <c r="BH336" i="11"/>
  <c r="AS327" i="11"/>
  <c r="BH352" i="11"/>
  <c r="J369" i="11"/>
  <c r="J23" i="11" s="1"/>
  <c r="J21" i="11" s="1"/>
  <c r="I37" i="12"/>
  <c r="O37" i="12"/>
  <c r="R37" i="12" s="1"/>
  <c r="I81" i="12"/>
  <c r="O81" i="12"/>
  <c r="R81" i="12" s="1"/>
  <c r="I95" i="12"/>
  <c r="AR100" i="12"/>
  <c r="AR101" i="12" s="1"/>
  <c r="AR102" i="12" s="1"/>
  <c r="AR103" i="12" s="1"/>
  <c r="AR104" i="12" s="1"/>
  <c r="AR105" i="12" s="1"/>
  <c r="AR106" i="12" s="1"/>
  <c r="AR107" i="12" s="1"/>
  <c r="AR108" i="12" s="1"/>
  <c r="AR109" i="12" s="1"/>
  <c r="I102" i="12"/>
  <c r="O102" i="12"/>
  <c r="R102" i="12" s="1"/>
  <c r="P177" i="12"/>
  <c r="R177" i="12" s="1"/>
  <c r="I177" i="12"/>
  <c r="K142" i="11"/>
  <c r="BK191" i="11"/>
  <c r="AT373" i="11"/>
  <c r="AD401" i="11"/>
  <c r="AD25" i="11" s="1"/>
  <c r="I7" i="12"/>
  <c r="I15" i="12"/>
  <c r="AO15" i="12" s="1"/>
  <c r="AO16" i="12" s="1"/>
  <c r="I17" i="12"/>
  <c r="AL74" i="12"/>
  <c r="AL75" i="12" s="1"/>
  <c r="AL76" i="12" s="1"/>
  <c r="AL77" i="12" s="1"/>
  <c r="AL78" i="12" s="1"/>
  <c r="AL79" i="12" s="1"/>
  <c r="AL80" i="12" s="1"/>
  <c r="AL81" i="12" s="1"/>
  <c r="AL82" i="12" s="1"/>
  <c r="AL83" i="12" s="1"/>
  <c r="AL84" i="12" s="1"/>
  <c r="AL85" i="12" s="1"/>
  <c r="AM86" i="12"/>
  <c r="AM87" i="12" s="1"/>
  <c r="AM88" i="12" s="1"/>
  <c r="AM89" i="12" s="1"/>
  <c r="AM90" i="12" s="1"/>
  <c r="AM91" i="12" s="1"/>
  <c r="AM92" i="12" s="1"/>
  <c r="AM93" i="12" s="1"/>
  <c r="AM94" i="12" s="1"/>
  <c r="AM95" i="12" s="1"/>
  <c r="AM96" i="12" s="1"/>
  <c r="AM97" i="12" s="1"/>
  <c r="I150" i="12"/>
  <c r="O150" i="12"/>
  <c r="R150" i="12" s="1"/>
  <c r="BM150" i="12" s="1"/>
  <c r="R155" i="12"/>
  <c r="BM155" i="12" s="1"/>
  <c r="AK171" i="12"/>
  <c r="AK172" i="12" s="1"/>
  <c r="AK173" i="12" s="1"/>
  <c r="AK174" i="12" s="1"/>
  <c r="AK175" i="12" s="1"/>
  <c r="AK176" i="12" s="1"/>
  <c r="AK177" i="12" s="1"/>
  <c r="AK178" i="12" s="1"/>
  <c r="AK179" i="12" s="1"/>
  <c r="AK180" i="12" s="1"/>
  <c r="AK181" i="12" s="1"/>
  <c r="BB22" i="13"/>
  <c r="I59" i="13"/>
  <c r="I43" i="13" s="1"/>
  <c r="N95" i="13"/>
  <c r="N5" i="13" s="1"/>
  <c r="AJ95" i="13"/>
  <c r="AJ5" i="13" s="1"/>
  <c r="CB5" i="13" s="1"/>
  <c r="CE19" i="13"/>
  <c r="N7" i="14"/>
  <c r="B438" i="13"/>
  <c r="B422" i="13" s="1"/>
  <c r="O7" i="14"/>
  <c r="B335" i="13"/>
  <c r="I39" i="14"/>
  <c r="G439" i="13"/>
  <c r="G423" i="13" s="1"/>
  <c r="N68" i="14"/>
  <c r="O68" i="14"/>
  <c r="R68" i="14" s="1"/>
  <c r="E325" i="11"/>
  <c r="AH401" i="11"/>
  <c r="AH25" i="11" s="1"/>
  <c r="AM26" i="12"/>
  <c r="AM27" i="12" s="1"/>
  <c r="AM28" i="12" s="1"/>
  <c r="AM29" i="12" s="1"/>
  <c r="AM30" i="12" s="1"/>
  <c r="AM31" i="12" s="1"/>
  <c r="AM32" i="12" s="1"/>
  <c r="AM33" i="12" s="1"/>
  <c r="AM34" i="12" s="1"/>
  <c r="AM35" i="12" s="1"/>
  <c r="AM36" i="12" s="1"/>
  <c r="AM37" i="12" s="1"/>
  <c r="AN38" i="12"/>
  <c r="AN39" i="12" s="1"/>
  <c r="AN40" i="12" s="1"/>
  <c r="AN41" i="12" s="1"/>
  <c r="AN42" i="12" s="1"/>
  <c r="AN43" i="12" s="1"/>
  <c r="AN44" i="12" s="1"/>
  <c r="AN45" i="12" s="1"/>
  <c r="AN46" i="12" s="1"/>
  <c r="AN47" i="12" s="1"/>
  <c r="AN48" i="12" s="1"/>
  <c r="AN49" i="12" s="1"/>
  <c r="AO63" i="12"/>
  <c r="AO64" i="12" s="1"/>
  <c r="AO65" i="12" s="1"/>
  <c r="AO66" i="12" s="1"/>
  <c r="AO67" i="12" s="1"/>
  <c r="AO68" i="12" s="1"/>
  <c r="AO69" i="12" s="1"/>
  <c r="AO70" i="12" s="1"/>
  <c r="AO71" i="12" s="1"/>
  <c r="AO72" i="12" s="1"/>
  <c r="AO73" i="12" s="1"/>
  <c r="AP75" i="12"/>
  <c r="AP76" i="12" s="1"/>
  <c r="AP77" i="12" s="1"/>
  <c r="AP78" i="12" s="1"/>
  <c r="AP79" i="12" s="1"/>
  <c r="AP80" i="12" s="1"/>
  <c r="AP81" i="12" s="1"/>
  <c r="AP82" i="12" s="1"/>
  <c r="AP83" i="12" s="1"/>
  <c r="AP84" i="12" s="1"/>
  <c r="AP85" i="12" s="1"/>
  <c r="AP135" i="12"/>
  <c r="AP136" i="12" s="1"/>
  <c r="AP137" i="12" s="1"/>
  <c r="AP138" i="12" s="1"/>
  <c r="AP139" i="12" s="1"/>
  <c r="AP140" i="12" s="1"/>
  <c r="AP141" i="12" s="1"/>
  <c r="AP142" i="12" s="1"/>
  <c r="AP143" i="12" s="1"/>
  <c r="AP144" i="12" s="1"/>
  <c r="AP145" i="12" s="1"/>
  <c r="I144" i="12"/>
  <c r="O144" i="12"/>
  <c r="R144" i="12" s="1"/>
  <c r="BM144" i="12" s="1"/>
  <c r="R154" i="12"/>
  <c r="BM154" i="12" s="1"/>
  <c r="BY23" i="13"/>
  <c r="H58" i="13"/>
  <c r="H42" i="13" s="1"/>
  <c r="C137" i="13"/>
  <c r="M271" i="13"/>
  <c r="B271" i="13"/>
  <c r="X271" i="13"/>
  <c r="BM16" i="15"/>
  <c r="V14" i="15"/>
  <c r="B81" i="11"/>
  <c r="F353" i="11"/>
  <c r="F22" i="11" s="1"/>
  <c r="F21" i="11" s="1"/>
  <c r="F20" i="11" s="1"/>
  <c r="BB416" i="11"/>
  <c r="K400" i="11"/>
  <c r="BB400" i="11" s="1"/>
  <c r="AP51" i="12"/>
  <c r="AP52" i="12" s="1"/>
  <c r="AP53" i="12" s="1"/>
  <c r="AP54" i="12" s="1"/>
  <c r="AP55" i="12" s="1"/>
  <c r="AP56" i="12" s="1"/>
  <c r="AP57" i="12" s="1"/>
  <c r="AP58" i="12" s="1"/>
  <c r="AP59" i="12" s="1"/>
  <c r="AP60" i="12" s="1"/>
  <c r="AP61" i="12" s="1"/>
  <c r="AP63" i="12"/>
  <c r="AP64" i="12" s="1"/>
  <c r="AP65" i="12" s="1"/>
  <c r="AP66" i="12" s="1"/>
  <c r="AP67" i="12" s="1"/>
  <c r="AP68" i="12" s="1"/>
  <c r="AP69" i="12" s="1"/>
  <c r="AP70" i="12" s="1"/>
  <c r="AP71" i="12" s="1"/>
  <c r="AP72" i="12" s="1"/>
  <c r="AP73" i="12" s="1"/>
  <c r="AR87" i="12"/>
  <c r="AR88" i="12" s="1"/>
  <c r="AR89" i="12" s="1"/>
  <c r="AR90" i="12" s="1"/>
  <c r="AR91" i="12" s="1"/>
  <c r="AR92" i="12" s="1"/>
  <c r="AR93" i="12" s="1"/>
  <c r="AR94" i="12" s="1"/>
  <c r="AR95" i="12" s="1"/>
  <c r="AR96" i="12" s="1"/>
  <c r="AR97" i="12" s="1"/>
  <c r="AP99" i="12"/>
  <c r="AP100" i="12" s="1"/>
  <c r="AP101" i="12" s="1"/>
  <c r="AP102" i="12" s="1"/>
  <c r="AP103" i="12" s="1"/>
  <c r="AP104" i="12" s="1"/>
  <c r="AP105" i="12" s="1"/>
  <c r="AP106" i="12" s="1"/>
  <c r="AP107" i="12" s="1"/>
  <c r="AP108" i="12" s="1"/>
  <c r="AP109" i="12" s="1"/>
  <c r="AK123" i="12"/>
  <c r="AK124" i="12" s="1"/>
  <c r="AK125" i="12" s="1"/>
  <c r="AK126" i="12" s="1"/>
  <c r="AK127" i="12" s="1"/>
  <c r="AK128" i="12" s="1"/>
  <c r="AK129" i="12" s="1"/>
  <c r="AK130" i="12" s="1"/>
  <c r="AK131" i="12" s="1"/>
  <c r="AK132" i="12" s="1"/>
  <c r="AK133" i="12" s="1"/>
  <c r="L134" i="12"/>
  <c r="AR134" i="12" s="1"/>
  <c r="AR135" i="12" s="1"/>
  <c r="AR136" i="12" s="1"/>
  <c r="AR137" i="12" s="1"/>
  <c r="O145" i="12"/>
  <c r="R145" i="12" s="1"/>
  <c r="BM145" i="12" s="1"/>
  <c r="O153" i="12"/>
  <c r="R153" i="12" s="1"/>
  <c r="BM153" i="12" s="1"/>
  <c r="I153" i="12"/>
  <c r="AR171" i="12"/>
  <c r="AR172" i="12" s="1"/>
  <c r="AR173" i="12" s="1"/>
  <c r="AR174" i="12" s="1"/>
  <c r="AR175" i="12" s="1"/>
  <c r="AR176" i="12" s="1"/>
  <c r="AR177" i="12" s="1"/>
  <c r="AR178" i="12" s="1"/>
  <c r="AR179" i="12" s="1"/>
  <c r="AR180" i="12" s="1"/>
  <c r="AR181" i="12" s="1"/>
  <c r="R174" i="12"/>
  <c r="P182" i="12"/>
  <c r="AV182" i="12" s="1"/>
  <c r="AV183" i="12" s="1"/>
  <c r="AV184" i="12" s="1"/>
  <c r="I182" i="12"/>
  <c r="AO182" i="12" s="1"/>
  <c r="C79" i="13"/>
  <c r="C4" i="13" s="1"/>
  <c r="N111" i="13"/>
  <c r="N6" i="13" s="1"/>
  <c r="P255" i="13"/>
  <c r="P15" i="13" s="1"/>
  <c r="AX24" i="13"/>
  <c r="I123" i="14"/>
  <c r="O123" i="14"/>
  <c r="R123" i="14" s="1"/>
  <c r="AA125" i="10"/>
  <c r="L143" i="11"/>
  <c r="AT181" i="11"/>
  <c r="AV342" i="11"/>
  <c r="I327" i="11"/>
  <c r="I182" i="4" s="1"/>
  <c r="I332" i="11"/>
  <c r="I187" i="4" s="1"/>
  <c r="I94" i="5" s="1"/>
  <c r="AL3" i="12"/>
  <c r="AL4" i="12" s="1"/>
  <c r="AL5" i="12" s="1"/>
  <c r="AL6" i="12" s="1"/>
  <c r="AL7" i="12" s="1"/>
  <c r="AL8" i="12" s="1"/>
  <c r="AL9" i="12" s="1"/>
  <c r="AL10" i="12" s="1"/>
  <c r="AL11" i="12" s="1"/>
  <c r="AL12" i="12" s="1"/>
  <c r="AL13" i="12" s="1"/>
  <c r="AR75" i="12"/>
  <c r="AR76" i="12" s="1"/>
  <c r="AR77" i="12" s="1"/>
  <c r="AR78" i="12" s="1"/>
  <c r="AR79" i="12" s="1"/>
  <c r="AR80" i="12" s="1"/>
  <c r="AR81" i="12" s="1"/>
  <c r="AR82" i="12" s="1"/>
  <c r="AR83" i="12" s="1"/>
  <c r="AR84" i="12" s="1"/>
  <c r="AR85" i="12" s="1"/>
  <c r="O103" i="12"/>
  <c r="R103" i="12" s="1"/>
  <c r="I103" i="12"/>
  <c r="O126" i="12"/>
  <c r="R126" i="12" s="1"/>
  <c r="I126" i="12"/>
  <c r="AT135" i="12"/>
  <c r="AT136" i="12" s="1"/>
  <c r="AT137" i="12" s="1"/>
  <c r="AT138" i="12" s="1"/>
  <c r="AT139" i="12" s="1"/>
  <c r="AT140" i="12" s="1"/>
  <c r="AT141" i="12" s="1"/>
  <c r="AT142" i="12" s="1"/>
  <c r="AT143" i="12" s="1"/>
  <c r="AT144" i="12" s="1"/>
  <c r="AT145" i="12" s="1"/>
  <c r="AN182" i="12"/>
  <c r="AN183" i="12" s="1"/>
  <c r="AN184" i="12" s="1"/>
  <c r="Q182" i="12"/>
  <c r="AW182" i="12" s="1"/>
  <c r="AW183" i="12" s="1"/>
  <c r="AW184" i="12" s="1"/>
  <c r="CC23" i="13"/>
  <c r="B79" i="13"/>
  <c r="B4" i="13" s="1"/>
  <c r="B53" i="13"/>
  <c r="F79" i="13"/>
  <c r="F4" i="13" s="1"/>
  <c r="AP95" i="13"/>
  <c r="AP5" i="13" s="1"/>
  <c r="CH5" i="13" s="1"/>
  <c r="D81" i="11"/>
  <c r="AU173" i="11"/>
  <c r="H325" i="11"/>
  <c r="AK401" i="11"/>
  <c r="AK25" i="11" s="1"/>
  <c r="AP27" i="12"/>
  <c r="AP28" i="12" s="1"/>
  <c r="AP29" i="12" s="1"/>
  <c r="AP30" i="12" s="1"/>
  <c r="AP31" i="12" s="1"/>
  <c r="AP32" i="12" s="1"/>
  <c r="AP33" i="12" s="1"/>
  <c r="AP34" i="12" s="1"/>
  <c r="AP35" i="12" s="1"/>
  <c r="AP36" i="12" s="1"/>
  <c r="AP37" i="12" s="1"/>
  <c r="AR51" i="12"/>
  <c r="AR52" i="12" s="1"/>
  <c r="AR53" i="12" s="1"/>
  <c r="AR54" i="12" s="1"/>
  <c r="AR55" i="12" s="1"/>
  <c r="AR56" i="12" s="1"/>
  <c r="AR57" i="12" s="1"/>
  <c r="AR58" i="12" s="1"/>
  <c r="AR59" i="12" s="1"/>
  <c r="AR60" i="12" s="1"/>
  <c r="AR61" i="12" s="1"/>
  <c r="AR63" i="12"/>
  <c r="AR64" i="12" s="1"/>
  <c r="AR65" i="12" s="1"/>
  <c r="AR66" i="12" s="1"/>
  <c r="AR67" i="12" s="1"/>
  <c r="AR68" i="12" s="1"/>
  <c r="AR69" i="12" s="1"/>
  <c r="AR70" i="12" s="1"/>
  <c r="AR71" i="12" s="1"/>
  <c r="AR72" i="12" s="1"/>
  <c r="AR73" i="12" s="1"/>
  <c r="I74" i="12"/>
  <c r="AO74" i="12" s="1"/>
  <c r="AO75" i="12" s="1"/>
  <c r="AO76" i="12" s="1"/>
  <c r="AO77" i="12" s="1"/>
  <c r="AO78" i="12" s="1"/>
  <c r="AO79" i="12" s="1"/>
  <c r="AO80" i="12" s="1"/>
  <c r="I84" i="12"/>
  <c r="O129" i="12"/>
  <c r="R129" i="12" s="1"/>
  <c r="O134" i="12"/>
  <c r="I134" i="12"/>
  <c r="AO134" i="12" s="1"/>
  <c r="AO135" i="12" s="1"/>
  <c r="R139" i="12"/>
  <c r="BM139" i="12" s="1"/>
  <c r="O12" i="13"/>
  <c r="H79" i="13"/>
  <c r="H4" i="13" s="1"/>
  <c r="G111" i="13"/>
  <c r="G6" i="13" s="1"/>
  <c r="E259" i="13"/>
  <c r="E303" i="13"/>
  <c r="E18" i="13" s="1"/>
  <c r="AW18" i="13" s="1"/>
  <c r="AA259" i="13"/>
  <c r="AA271" i="13" s="1"/>
  <c r="AA303" i="13"/>
  <c r="AA18" i="13" s="1"/>
  <c r="BS18" i="13" s="1"/>
  <c r="AH383" i="13"/>
  <c r="AH23" i="13" s="1"/>
  <c r="BZ23" i="13" s="1"/>
  <c r="O27" i="14"/>
  <c r="R27" i="14" s="1"/>
  <c r="I27" i="14"/>
  <c r="AM116" i="14"/>
  <c r="BA115" i="14"/>
  <c r="P46" i="16"/>
  <c r="W46" i="16"/>
  <c r="Y46" i="16" s="1"/>
  <c r="F64" i="11"/>
  <c r="I128" i="11"/>
  <c r="BB348" i="11"/>
  <c r="H369" i="11"/>
  <c r="H23" i="11" s="1"/>
  <c r="AL401" i="11"/>
  <c r="AL25" i="11" s="1"/>
  <c r="P134" i="12"/>
  <c r="AV134" i="12" s="1"/>
  <c r="AV135" i="12" s="1"/>
  <c r="AV136" i="12" s="1"/>
  <c r="AV137" i="12" s="1"/>
  <c r="AM134" i="12"/>
  <c r="AM135" i="12" s="1"/>
  <c r="AM136" i="12" s="1"/>
  <c r="AM137" i="12" s="1"/>
  <c r="AM138" i="12" s="1"/>
  <c r="AM139" i="12" s="1"/>
  <c r="AM140" i="12" s="1"/>
  <c r="AM141" i="12" s="1"/>
  <c r="AM142" i="12" s="1"/>
  <c r="AM143" i="12" s="1"/>
  <c r="AM144" i="12" s="1"/>
  <c r="AM145" i="12" s="1"/>
  <c r="I169" i="12"/>
  <c r="I174" i="12"/>
  <c r="CH23" i="13"/>
  <c r="H46" i="13"/>
  <c r="H111" i="13"/>
  <c r="H6" i="13" s="1"/>
  <c r="L126" i="13"/>
  <c r="L46" i="13" s="1"/>
  <c r="Q287" i="13"/>
  <c r="Q17" i="13" s="1"/>
  <c r="Q259" i="13"/>
  <c r="AM287" i="13"/>
  <c r="AM17" i="13" s="1"/>
  <c r="AM259" i="13"/>
  <c r="AM271" i="13" s="1"/>
  <c r="D262" i="13"/>
  <c r="D119" i="3" s="1"/>
  <c r="D287" i="13"/>
  <c r="D17" i="13" s="1"/>
  <c r="CA23" i="13"/>
  <c r="O25" i="14"/>
  <c r="R25" i="14" s="1"/>
  <c r="R90" i="14"/>
  <c r="N117" i="14"/>
  <c r="K440" i="13"/>
  <c r="K424" i="13" s="1"/>
  <c r="W161" i="10"/>
  <c r="W162" i="10" s="1"/>
  <c r="W163" i="10" s="1"/>
  <c r="W164" i="10" s="1"/>
  <c r="W165" i="10" s="1"/>
  <c r="W166" i="10" s="1"/>
  <c r="W167" i="10" s="1"/>
  <c r="W168" i="10" s="1"/>
  <c r="W169" i="10" s="1"/>
  <c r="W170" i="10" s="1"/>
  <c r="W171" i="10" s="1"/>
  <c r="X162" i="10"/>
  <c r="K63" i="11"/>
  <c r="AW342" i="11"/>
  <c r="Q401" i="11"/>
  <c r="BM389" i="11"/>
  <c r="AM401" i="11"/>
  <c r="AM25" i="11" s="1"/>
  <c r="AP15" i="12"/>
  <c r="AP16" i="12" s="1"/>
  <c r="AP17" i="12" s="1"/>
  <c r="AP18" i="12" s="1"/>
  <c r="AP19" i="12" s="1"/>
  <c r="AP20" i="12" s="1"/>
  <c r="AP21" i="12" s="1"/>
  <c r="AP22" i="12" s="1"/>
  <c r="AP23" i="12" s="1"/>
  <c r="AP24" i="12" s="1"/>
  <c r="AP25" i="12" s="1"/>
  <c r="AR27" i="12"/>
  <c r="AR28" i="12" s="1"/>
  <c r="AR29" i="12" s="1"/>
  <c r="AR30" i="12" s="1"/>
  <c r="AR31" i="12" s="1"/>
  <c r="AR32" i="12" s="1"/>
  <c r="AR33" i="12" s="1"/>
  <c r="AR34" i="12" s="1"/>
  <c r="AR35" i="12" s="1"/>
  <c r="AR36" i="12" s="1"/>
  <c r="AR37" i="12" s="1"/>
  <c r="AT87" i="12"/>
  <c r="AT88" i="12" s="1"/>
  <c r="AT89" i="12" s="1"/>
  <c r="AT90" i="12" s="1"/>
  <c r="AT91" i="12" s="1"/>
  <c r="AT92" i="12" s="1"/>
  <c r="AT93" i="12" s="1"/>
  <c r="AT94" i="12" s="1"/>
  <c r="AT95" i="12" s="1"/>
  <c r="AT96" i="12" s="1"/>
  <c r="AT97" i="12" s="1"/>
  <c r="AN98" i="12"/>
  <c r="AN99" i="12" s="1"/>
  <c r="AN100" i="12" s="1"/>
  <c r="AN101" i="12" s="1"/>
  <c r="AN102" i="12" s="1"/>
  <c r="AN103" i="12" s="1"/>
  <c r="AN104" i="12" s="1"/>
  <c r="AN105" i="12" s="1"/>
  <c r="AN106" i="12" s="1"/>
  <c r="AN107" i="12" s="1"/>
  <c r="AN108" i="12" s="1"/>
  <c r="AN109" i="12" s="1"/>
  <c r="Q98" i="12"/>
  <c r="AW98" i="12" s="1"/>
  <c r="AW99" i="12" s="1"/>
  <c r="AW100" i="12" s="1"/>
  <c r="AW101" i="12" s="1"/>
  <c r="AW102" i="12" s="1"/>
  <c r="AW103" i="12" s="1"/>
  <c r="AW104" i="12" s="1"/>
  <c r="AW105" i="12" s="1"/>
  <c r="AW106" i="12" s="1"/>
  <c r="AW107" i="12" s="1"/>
  <c r="AW108" i="12" s="1"/>
  <c r="AW109" i="12" s="1"/>
  <c r="O148" i="12"/>
  <c r="R148" i="12" s="1"/>
  <c r="BM148" i="12" s="1"/>
  <c r="I148" i="12"/>
  <c r="P152" i="12"/>
  <c r="R152" i="12" s="1"/>
  <c r="BM152" i="12" s="1"/>
  <c r="I152" i="12"/>
  <c r="I39" i="13"/>
  <c r="E43" i="13"/>
  <c r="H399" i="13"/>
  <c r="H326" i="13"/>
  <c r="H38" i="13" s="1"/>
  <c r="O54" i="14"/>
  <c r="R54" i="14" s="1"/>
  <c r="L54" i="14"/>
  <c r="AQ113" i="14"/>
  <c r="AQ114" i="14" s="1"/>
  <c r="AQ115" i="14" s="1"/>
  <c r="AQ116" i="14" s="1"/>
  <c r="AQ117" i="14" s="1"/>
  <c r="AQ118" i="14" s="1"/>
  <c r="AQ119" i="14" s="1"/>
  <c r="AQ120" i="14" s="1"/>
  <c r="AQ121" i="14" s="1"/>
  <c r="AQ122" i="14" s="1"/>
  <c r="AQ123" i="14" s="1"/>
  <c r="BA112" i="14"/>
  <c r="BF160" i="11"/>
  <c r="G321" i="11"/>
  <c r="G19" i="11" s="1"/>
  <c r="F337" i="11"/>
  <c r="C329" i="11"/>
  <c r="C184" i="4" s="1"/>
  <c r="R401" i="11"/>
  <c r="R25" i="11" s="1"/>
  <c r="AN401" i="11"/>
  <c r="AN25" i="11" s="1"/>
  <c r="AP3" i="12"/>
  <c r="AP4" i="12" s="1"/>
  <c r="AP5" i="12" s="1"/>
  <c r="AP6" i="12" s="1"/>
  <c r="AP7" i="12" s="1"/>
  <c r="AP8" i="12" s="1"/>
  <c r="AP9" i="12" s="1"/>
  <c r="AP10" i="12" s="1"/>
  <c r="AP11" i="12" s="1"/>
  <c r="AP12" i="12" s="1"/>
  <c r="AP13" i="12" s="1"/>
  <c r="AT74" i="12"/>
  <c r="AT75" i="12" s="1"/>
  <c r="AT76" i="12" s="1"/>
  <c r="AT77" i="12" s="1"/>
  <c r="AT78" i="12" s="1"/>
  <c r="AT79" i="12" s="1"/>
  <c r="AT80" i="12" s="1"/>
  <c r="AT81" i="12" s="1"/>
  <c r="AT82" i="12" s="1"/>
  <c r="AT83" i="12" s="1"/>
  <c r="AT84" i="12" s="1"/>
  <c r="AT85" i="12" s="1"/>
  <c r="H405" i="11"/>
  <c r="I118" i="12"/>
  <c r="O137" i="12"/>
  <c r="R137" i="12" s="1"/>
  <c r="BM137" i="12" s="1"/>
  <c r="I137" i="12"/>
  <c r="AT158" i="12"/>
  <c r="AT159" i="12" s="1"/>
  <c r="AT160" i="12" s="1"/>
  <c r="AT161" i="12" s="1"/>
  <c r="AT162" i="12" s="1"/>
  <c r="AT163" i="12" s="1"/>
  <c r="AT164" i="12" s="1"/>
  <c r="AT165" i="12" s="1"/>
  <c r="AT166" i="12" s="1"/>
  <c r="AT167" i="12" s="1"/>
  <c r="AT168" i="12" s="1"/>
  <c r="AT169" i="12" s="1"/>
  <c r="O405" i="11"/>
  <c r="R180" i="12"/>
  <c r="G51" i="13"/>
  <c r="G79" i="13"/>
  <c r="G4" i="13" s="1"/>
  <c r="E54" i="13"/>
  <c r="E79" i="13"/>
  <c r="E4" i="13" s="1"/>
  <c r="L40" i="13"/>
  <c r="E143" i="13"/>
  <c r="J118" i="13"/>
  <c r="J38" i="13" s="1"/>
  <c r="L255" i="13"/>
  <c r="L15" i="13" s="1"/>
  <c r="P399" i="13"/>
  <c r="I60" i="14"/>
  <c r="O60" i="14"/>
  <c r="R60" i="14" s="1"/>
  <c r="O97" i="14"/>
  <c r="R97" i="14" s="1"/>
  <c r="L97" i="14"/>
  <c r="AS113" i="14"/>
  <c r="AV112" i="14"/>
  <c r="K267" i="11"/>
  <c r="K331" i="11"/>
  <c r="K369" i="11"/>
  <c r="BM359" i="11"/>
  <c r="S401" i="11"/>
  <c r="S25" i="11" s="1"/>
  <c r="AO401" i="11"/>
  <c r="AO25" i="11" s="1"/>
  <c r="AR15" i="12"/>
  <c r="AR16" i="12" s="1"/>
  <c r="AR17" i="12" s="1"/>
  <c r="AR18" i="12" s="1"/>
  <c r="AR19" i="12" s="1"/>
  <c r="AR20" i="12" s="1"/>
  <c r="AR21" i="12" s="1"/>
  <c r="AR22" i="12" s="1"/>
  <c r="AR23" i="12" s="1"/>
  <c r="AR24" i="12" s="1"/>
  <c r="AR25" i="12" s="1"/>
  <c r="AT52" i="12"/>
  <c r="AT53" i="12" s="1"/>
  <c r="AT54" i="12" s="1"/>
  <c r="AT55" i="12" s="1"/>
  <c r="AT56" i="12" s="1"/>
  <c r="AT57" i="12" s="1"/>
  <c r="AT58" i="12" s="1"/>
  <c r="AT59" i="12" s="1"/>
  <c r="AT60" i="12" s="1"/>
  <c r="AT61" i="12" s="1"/>
  <c r="AT62" i="12"/>
  <c r="AT63" i="12" s="1"/>
  <c r="AT64" i="12" s="1"/>
  <c r="AT65" i="12" s="1"/>
  <c r="AT66" i="12" s="1"/>
  <c r="AT67" i="12" s="1"/>
  <c r="AT68" i="12" s="1"/>
  <c r="AT69" i="12" s="1"/>
  <c r="AT70" i="12" s="1"/>
  <c r="AT71" i="12" s="1"/>
  <c r="AT72" i="12" s="1"/>
  <c r="AT73" i="12" s="1"/>
  <c r="G405" i="11"/>
  <c r="O158" i="12"/>
  <c r="O170" i="12"/>
  <c r="I170" i="12"/>
  <c r="AO170" i="12" s="1"/>
  <c r="AO171" i="12" s="1"/>
  <c r="I172" i="12"/>
  <c r="O172" i="12"/>
  <c r="R172" i="12" s="1"/>
  <c r="BM172" i="12" s="1"/>
  <c r="R181" i="12"/>
  <c r="O42" i="13"/>
  <c r="J131" i="13"/>
  <c r="J175" i="13"/>
  <c r="J10" i="13" s="1"/>
  <c r="W287" i="13"/>
  <c r="W17" i="13" s="1"/>
  <c r="Z287" i="13"/>
  <c r="Z17" i="13" s="1"/>
  <c r="I25" i="14"/>
  <c r="AI29" i="14"/>
  <c r="AJ29" i="14" s="1"/>
  <c r="M29" i="14" s="1"/>
  <c r="J29" i="14"/>
  <c r="L29" i="14" s="1"/>
  <c r="O79" i="14"/>
  <c r="R79" i="14" s="1"/>
  <c r="I79" i="14"/>
  <c r="J446" i="13"/>
  <c r="J430" i="13" s="1"/>
  <c r="N111" i="14"/>
  <c r="N144" i="11"/>
  <c r="AD177" i="11"/>
  <c r="AD10" i="11" s="1"/>
  <c r="AD13" i="1" s="1"/>
  <c r="L369" i="11"/>
  <c r="T401" i="11"/>
  <c r="T25" i="11" s="1"/>
  <c r="AP401" i="11"/>
  <c r="AP25" i="11" s="1"/>
  <c r="AR3" i="12"/>
  <c r="AR4" i="12" s="1"/>
  <c r="AR5" i="12" s="1"/>
  <c r="AR6" i="12" s="1"/>
  <c r="AT40" i="12"/>
  <c r="AT41" i="12" s="1"/>
  <c r="AT42" i="12" s="1"/>
  <c r="AT43" i="12" s="1"/>
  <c r="AT44" i="12" s="1"/>
  <c r="AT45" i="12" s="1"/>
  <c r="AT46" i="12" s="1"/>
  <c r="AT47" i="12" s="1"/>
  <c r="AT48" i="12" s="1"/>
  <c r="AT49" i="12" s="1"/>
  <c r="O96" i="12"/>
  <c r="R96" i="12" s="1"/>
  <c r="I96" i="12"/>
  <c r="O97" i="12"/>
  <c r="R97" i="12" s="1"/>
  <c r="I97" i="12"/>
  <c r="I116" i="12"/>
  <c r="AN123" i="12"/>
  <c r="AN124" i="12" s="1"/>
  <c r="AN125" i="12" s="1"/>
  <c r="AN126" i="12" s="1"/>
  <c r="AN127" i="12" s="1"/>
  <c r="AN128" i="12" s="1"/>
  <c r="AN129" i="12" s="1"/>
  <c r="AN130" i="12" s="1"/>
  <c r="AN131" i="12" s="1"/>
  <c r="AN132" i="12" s="1"/>
  <c r="AN133" i="12" s="1"/>
  <c r="R124" i="12"/>
  <c r="I132" i="12"/>
  <c r="O132" i="12"/>
  <c r="R132" i="12" s="1"/>
  <c r="AV159" i="12"/>
  <c r="AV160" i="12" s="1"/>
  <c r="AV161" i="12" s="1"/>
  <c r="AV162" i="12" s="1"/>
  <c r="AV163" i="12" s="1"/>
  <c r="AV164" i="12" s="1"/>
  <c r="AV165" i="12" s="1"/>
  <c r="AV166" i="12" s="1"/>
  <c r="AV167" i="12" s="1"/>
  <c r="AV168" i="12" s="1"/>
  <c r="AV169" i="12" s="1"/>
  <c r="R176" i="12"/>
  <c r="BU9" i="13"/>
  <c r="AU15" i="13"/>
  <c r="H53" i="13"/>
  <c r="D95" i="13"/>
  <c r="D5" i="13" s="1"/>
  <c r="D51" i="13"/>
  <c r="Z95" i="13"/>
  <c r="Z5" i="13" s="1"/>
  <c r="BR5" i="13" s="1"/>
  <c r="M38" i="13"/>
  <c r="P39" i="13"/>
  <c r="L45" i="13"/>
  <c r="O62" i="13"/>
  <c r="O46" i="13" s="1"/>
  <c r="I115" i="13"/>
  <c r="V159" i="13"/>
  <c r="V9" i="13" s="1"/>
  <c r="F117" i="13"/>
  <c r="F37" i="13" s="1"/>
  <c r="L119" i="13"/>
  <c r="L39" i="13" s="1"/>
  <c r="H125" i="13"/>
  <c r="H45" i="13" s="1"/>
  <c r="J303" i="13"/>
  <c r="J18" i="13" s="1"/>
  <c r="AF303" i="13"/>
  <c r="AF18" i="13" s="1"/>
  <c r="BX18" i="13" s="1"/>
  <c r="AF259" i="13"/>
  <c r="AF271" i="13" s="1"/>
  <c r="AO303" i="13"/>
  <c r="AO18" i="13" s="1"/>
  <c r="CG18" i="13" s="1"/>
  <c r="V303" i="13"/>
  <c r="V18" i="13" s="1"/>
  <c r="BN18" i="13" s="1"/>
  <c r="C303" i="13"/>
  <c r="C18" i="13" s="1"/>
  <c r="AU18" i="13" s="1"/>
  <c r="AB303" i="13"/>
  <c r="AB18" i="13" s="1"/>
  <c r="BT18" i="13" s="1"/>
  <c r="AE303" i="13"/>
  <c r="AE18" i="13" s="1"/>
  <c r="BW18" i="13" s="1"/>
  <c r="AE266" i="13"/>
  <c r="AH303" i="13"/>
  <c r="AH18" i="13" s="1"/>
  <c r="BZ18" i="13" s="1"/>
  <c r="U303" i="13"/>
  <c r="U18" i="13" s="1"/>
  <c r="BM18" i="13" s="1"/>
  <c r="U270" i="13"/>
  <c r="AT18" i="13"/>
  <c r="O399" i="13"/>
  <c r="E399" i="13"/>
  <c r="E325" i="13"/>
  <c r="E37" i="13" s="1"/>
  <c r="P90" i="14"/>
  <c r="I90" i="14"/>
  <c r="O162" i="14"/>
  <c r="R162" i="14" s="1"/>
  <c r="L162" i="14"/>
  <c r="AS148" i="15"/>
  <c r="L8" i="15"/>
  <c r="I158" i="12"/>
  <c r="AO158" i="12" s="1"/>
  <c r="O171" i="12"/>
  <c r="R171" i="12" s="1"/>
  <c r="BM171" i="12" s="1"/>
  <c r="I171" i="12"/>
  <c r="H51" i="13"/>
  <c r="H44" i="13"/>
  <c r="L95" i="13"/>
  <c r="L5" i="13" s="1"/>
  <c r="AH95" i="13"/>
  <c r="AH5" i="13" s="1"/>
  <c r="BZ5" i="13" s="1"/>
  <c r="R95" i="13"/>
  <c r="R5" i="13" s="1"/>
  <c r="BJ5" i="13" s="1"/>
  <c r="U95" i="13"/>
  <c r="U5" i="13" s="1"/>
  <c r="BM5" i="13" s="1"/>
  <c r="L111" i="13"/>
  <c r="L6" i="13" s="1"/>
  <c r="M125" i="13"/>
  <c r="M45" i="13" s="1"/>
  <c r="D119" i="13"/>
  <c r="D39" i="13" s="1"/>
  <c r="G191" i="13"/>
  <c r="G11" i="13" s="1"/>
  <c r="F196" i="13"/>
  <c r="F239" i="13"/>
  <c r="F14" i="13" s="1"/>
  <c r="AX14" i="13" s="1"/>
  <c r="M255" i="13"/>
  <c r="M15" i="13" s="1"/>
  <c r="AN287" i="13"/>
  <c r="AN17" i="13" s="1"/>
  <c r="AN259" i="13"/>
  <c r="B261" i="13"/>
  <c r="B118" i="3" s="1"/>
  <c r="B128" i="3" s="1"/>
  <c r="B287" i="13"/>
  <c r="B17" i="13" s="1"/>
  <c r="X287" i="13"/>
  <c r="X17" i="13" s="1"/>
  <c r="X261" i="13"/>
  <c r="X118" i="3" s="1"/>
  <c r="X128" i="3" s="1"/>
  <c r="E262" i="13"/>
  <c r="E119" i="3" s="1"/>
  <c r="E151" i="3" s="1"/>
  <c r="E287" i="13"/>
  <c r="E17" i="13" s="1"/>
  <c r="AA287" i="13"/>
  <c r="AA17" i="13" s="1"/>
  <c r="AA262" i="13"/>
  <c r="AD263" i="13"/>
  <c r="AD287" i="13"/>
  <c r="AD17" i="13" s="1"/>
  <c r="K264" i="13"/>
  <c r="K121" i="3" s="1"/>
  <c r="K287" i="13"/>
  <c r="K17" i="13" s="1"/>
  <c r="F399" i="13"/>
  <c r="F325" i="13"/>
  <c r="L326" i="13"/>
  <c r="AU148" i="15"/>
  <c r="M8" i="15"/>
  <c r="I94" i="12"/>
  <c r="O101" i="12"/>
  <c r="R101" i="12" s="1"/>
  <c r="I131" i="12"/>
  <c r="AU182" i="12"/>
  <c r="I51" i="13"/>
  <c r="M95" i="13"/>
  <c r="M5" i="13" s="1"/>
  <c r="AI95" i="13"/>
  <c r="AI5" i="13" s="1"/>
  <c r="CA5" i="13" s="1"/>
  <c r="S95" i="13"/>
  <c r="S5" i="13" s="1"/>
  <c r="BK5" i="13" s="1"/>
  <c r="V95" i="13"/>
  <c r="V5" i="13" s="1"/>
  <c r="BN5" i="13" s="1"/>
  <c r="K111" i="13"/>
  <c r="K6" i="13" s="1"/>
  <c r="M111" i="13"/>
  <c r="M6" i="13" s="1"/>
  <c r="B115" i="13"/>
  <c r="B175" i="13"/>
  <c r="B10" i="13" s="1"/>
  <c r="B132" i="13"/>
  <c r="H191" i="13"/>
  <c r="H11" i="13" s="1"/>
  <c r="N255" i="13"/>
  <c r="N15" i="13" s="1"/>
  <c r="BF15" i="13" s="1"/>
  <c r="B436" i="13"/>
  <c r="N5" i="14"/>
  <c r="L44" i="14"/>
  <c r="O44" i="14"/>
  <c r="R44" i="14" s="1"/>
  <c r="I83" i="14"/>
  <c r="O83" i="14"/>
  <c r="R83" i="14" s="1"/>
  <c r="B51" i="15"/>
  <c r="AY148" i="15"/>
  <c r="O8" i="15"/>
  <c r="I101" i="12"/>
  <c r="O125" i="12"/>
  <c r="R125" i="12" s="1"/>
  <c r="J46" i="13"/>
  <c r="L60" i="13"/>
  <c r="L44" i="13" s="1"/>
  <c r="I79" i="13"/>
  <c r="I4" i="13" s="1"/>
  <c r="H115" i="13"/>
  <c r="AH159" i="13"/>
  <c r="AH9" i="13" s="1"/>
  <c r="G117" i="13"/>
  <c r="G37" i="13" s="1"/>
  <c r="O141" i="13"/>
  <c r="K191" i="13"/>
  <c r="K11" i="13" s="1"/>
  <c r="F124" i="13"/>
  <c r="K303" i="13"/>
  <c r="K18" i="13" s="1"/>
  <c r="K259" i="13"/>
  <c r="AG303" i="13"/>
  <c r="AG18" i="13" s="1"/>
  <c r="BY18" i="13" s="1"/>
  <c r="AG259" i="13"/>
  <c r="AG271" i="13" s="1"/>
  <c r="BB23" i="13"/>
  <c r="AI16" i="14"/>
  <c r="AJ16" i="14" s="1"/>
  <c r="M16" i="14" s="1"/>
  <c r="J16" i="14"/>
  <c r="O28" i="14"/>
  <c r="I28" i="14"/>
  <c r="AO28" i="14"/>
  <c r="O125" i="14"/>
  <c r="R125" i="14" s="1"/>
  <c r="L125" i="14"/>
  <c r="AQ181" i="14"/>
  <c r="AQ182" i="14" s="1"/>
  <c r="AQ183" i="14" s="1"/>
  <c r="N113" i="15"/>
  <c r="AW113" i="15" s="1"/>
  <c r="AW129" i="15"/>
  <c r="AT375" i="11"/>
  <c r="O94" i="12"/>
  <c r="R94" i="12" s="1"/>
  <c r="I125" i="12"/>
  <c r="AO125" i="12" s="1"/>
  <c r="AO126" i="12" s="1"/>
  <c r="AO127" i="12" s="1"/>
  <c r="AO128" i="12" s="1"/>
  <c r="AO129" i="12" s="1"/>
  <c r="AO130" i="12" s="1"/>
  <c r="AO131" i="12" s="1"/>
  <c r="AO132" i="12" s="1"/>
  <c r="AO133" i="12" s="1"/>
  <c r="O151" i="12"/>
  <c r="R151" i="12" s="1"/>
  <c r="BM151" i="12" s="1"/>
  <c r="O156" i="12"/>
  <c r="R156" i="12" s="1"/>
  <c r="BM156" i="12" s="1"/>
  <c r="AV171" i="12"/>
  <c r="AV172" i="12" s="1"/>
  <c r="AV173" i="12" s="1"/>
  <c r="AV174" i="12" s="1"/>
  <c r="AV175" i="12" s="1"/>
  <c r="W30" i="13"/>
  <c r="O79" i="13"/>
  <c r="O4" i="13" s="1"/>
  <c r="B56" i="13"/>
  <c r="B40" i="13" s="1"/>
  <c r="N191" i="13"/>
  <c r="N11" i="13" s="1"/>
  <c r="H239" i="13"/>
  <c r="H14" i="13" s="1"/>
  <c r="AZ14" i="13" s="1"/>
  <c r="O330" i="13"/>
  <c r="AK54" i="14"/>
  <c r="H439" i="13"/>
  <c r="H423" i="13" s="1"/>
  <c r="N80" i="14"/>
  <c r="O80" i="14"/>
  <c r="R80" i="14" s="1"/>
  <c r="AV172" i="14"/>
  <c r="AU173" i="14"/>
  <c r="AU174" i="14" s="1"/>
  <c r="AU175" i="14" s="1"/>
  <c r="AU176" i="14" s="1"/>
  <c r="AU177" i="14" s="1"/>
  <c r="AU178" i="14" s="1"/>
  <c r="AU179" i="14" s="1"/>
  <c r="AU180" i="14" s="1"/>
  <c r="AU181" i="14" s="1"/>
  <c r="AU182" i="14" s="1"/>
  <c r="AU183" i="14" s="1"/>
  <c r="AX65" i="16"/>
  <c r="AZ64" i="16"/>
  <c r="I121" i="12"/>
  <c r="O143" i="12"/>
  <c r="R143" i="12" s="1"/>
  <c r="BM143" i="12" s="1"/>
  <c r="I143" i="12"/>
  <c r="O161" i="12"/>
  <c r="K52" i="13"/>
  <c r="P44" i="13"/>
  <c r="T95" i="13"/>
  <c r="T5" i="13" s="1"/>
  <c r="BL5" i="13" s="1"/>
  <c r="W95" i="13"/>
  <c r="W5" i="13" s="1"/>
  <c r="BO5" i="13" s="1"/>
  <c r="G54" i="13"/>
  <c r="G38" i="13" s="1"/>
  <c r="M329" i="13"/>
  <c r="I148" i="14"/>
  <c r="AO148" i="14"/>
  <c r="O148" i="14"/>
  <c r="R148" i="14" s="1"/>
  <c r="AW184" i="14"/>
  <c r="N184" i="14"/>
  <c r="Q435" i="13"/>
  <c r="BM357" i="11"/>
  <c r="I156" i="12"/>
  <c r="O166" i="12"/>
  <c r="R166" i="12" s="1"/>
  <c r="BM166" i="12" s="1"/>
  <c r="I166" i="12"/>
  <c r="Y30" i="13"/>
  <c r="L52" i="13"/>
  <c r="L53" i="13"/>
  <c r="N62" i="13"/>
  <c r="N46" i="13" s="1"/>
  <c r="B111" i="13"/>
  <c r="B6" i="13" s="1"/>
  <c r="B191" i="13"/>
  <c r="B11" i="13" s="1"/>
  <c r="N204" i="13"/>
  <c r="C21" i="13"/>
  <c r="J10" i="14"/>
  <c r="AI10" i="14"/>
  <c r="AJ10" i="14" s="1"/>
  <c r="M10" i="14" s="1"/>
  <c r="O45" i="14"/>
  <c r="R45" i="14" s="1"/>
  <c r="I45" i="14"/>
  <c r="L64" i="14"/>
  <c r="AS64" i="14"/>
  <c r="I101" i="14"/>
  <c r="L138" i="14"/>
  <c r="O138" i="14"/>
  <c r="R138" i="14" s="1"/>
  <c r="AN113" i="16"/>
  <c r="AM114" i="16"/>
  <c r="M53" i="13"/>
  <c r="E56" i="13"/>
  <c r="R159" i="13"/>
  <c r="R9" i="13" s="1"/>
  <c r="F175" i="13"/>
  <c r="F10" i="13" s="1"/>
  <c r="AB319" i="13"/>
  <c r="AB19" i="13" s="1"/>
  <c r="BT19" i="13" s="1"/>
  <c r="AB259" i="13"/>
  <c r="N8" i="14"/>
  <c r="B439" i="13"/>
  <c r="B423" i="13" s="1"/>
  <c r="O13" i="14"/>
  <c r="R13" i="14" s="1"/>
  <c r="I13" i="14"/>
  <c r="I18" i="14"/>
  <c r="I57" i="14"/>
  <c r="O57" i="14"/>
  <c r="R57" i="14" s="1"/>
  <c r="AK90" i="14"/>
  <c r="AN89" i="14"/>
  <c r="N134" i="14"/>
  <c r="L445" i="13"/>
  <c r="L429" i="13" s="1"/>
  <c r="N136" i="14"/>
  <c r="AW136" i="14"/>
  <c r="M435" i="13"/>
  <c r="O142" i="14"/>
  <c r="R142" i="14" s="1"/>
  <c r="I142" i="14"/>
  <c r="J184" i="15"/>
  <c r="J228" i="15"/>
  <c r="AU222" i="15"/>
  <c r="M190" i="15"/>
  <c r="AU190" i="15" s="1"/>
  <c r="AR64" i="16"/>
  <c r="AR65" i="16" s="1"/>
  <c r="AR66" i="16" s="1"/>
  <c r="AR67" i="16" s="1"/>
  <c r="AR68" i="16" s="1"/>
  <c r="AR69" i="16" s="1"/>
  <c r="AR70" i="16" s="1"/>
  <c r="AR71" i="16" s="1"/>
  <c r="AR72" i="16" s="1"/>
  <c r="AR73" i="16" s="1"/>
  <c r="AR74" i="16" s="1"/>
  <c r="AR75" i="16" s="1"/>
  <c r="W64" i="16"/>
  <c r="Y64" i="16" s="1"/>
  <c r="P64" i="16"/>
  <c r="N53" i="13"/>
  <c r="K116" i="13"/>
  <c r="I119" i="13"/>
  <c r="G131" i="13"/>
  <c r="G175" i="13"/>
  <c r="G10" i="13" s="1"/>
  <c r="D223" i="13"/>
  <c r="D13" i="13" s="1"/>
  <c r="Z223" i="13"/>
  <c r="Z13" i="13" s="1"/>
  <c r="G259" i="13"/>
  <c r="G287" i="13"/>
  <c r="G17" i="13" s="1"/>
  <c r="AC259" i="13"/>
  <c r="AC271" i="13" s="1"/>
  <c r="AC287" i="13"/>
  <c r="AC17" i="13" s="1"/>
  <c r="P345" i="13"/>
  <c r="M127" i="15"/>
  <c r="AU159" i="15"/>
  <c r="BN19" i="13"/>
  <c r="BW23" i="13"/>
  <c r="O53" i="13"/>
  <c r="B95" i="13"/>
  <c r="B5" i="13" s="1"/>
  <c r="AT5" i="13" s="1"/>
  <c r="X95" i="13"/>
  <c r="X5" i="13" s="1"/>
  <c r="BP5" i="13" s="1"/>
  <c r="E111" i="13"/>
  <c r="E6" i="13" s="1"/>
  <c r="L116" i="13"/>
  <c r="BR9" i="13"/>
  <c r="E207" i="13"/>
  <c r="AA223" i="13"/>
  <c r="AA13" i="13" s="1"/>
  <c r="H116" i="13"/>
  <c r="H36" i="13" s="1"/>
  <c r="E239" i="13"/>
  <c r="E14" i="13" s="1"/>
  <c r="E415" i="13"/>
  <c r="E24" i="13" s="1"/>
  <c r="AW24" i="13" s="1"/>
  <c r="O77" i="14"/>
  <c r="R77" i="14" s="1"/>
  <c r="I77" i="14"/>
  <c r="AN136" i="14"/>
  <c r="AL137" i="14"/>
  <c r="AZ136" i="14"/>
  <c r="I170" i="14"/>
  <c r="O170" i="14"/>
  <c r="R170" i="14" s="1"/>
  <c r="K50" i="15"/>
  <c r="I155" i="12"/>
  <c r="L51" i="13"/>
  <c r="P52" i="13"/>
  <c r="D59" i="13"/>
  <c r="D43" i="13" s="1"/>
  <c r="C95" i="13"/>
  <c r="C5" i="13" s="1"/>
  <c r="Y95" i="13"/>
  <c r="Y5" i="13" s="1"/>
  <c r="BQ5" i="13" s="1"/>
  <c r="F111" i="13"/>
  <c r="F6" i="13" s="1"/>
  <c r="N116" i="13"/>
  <c r="C123" i="13"/>
  <c r="D191" i="13"/>
  <c r="D11" i="13" s="1"/>
  <c r="F195" i="13"/>
  <c r="F223" i="13"/>
  <c r="F13" i="13" s="1"/>
  <c r="AB223" i="13"/>
  <c r="AB13" i="13" s="1"/>
  <c r="AK223" i="13"/>
  <c r="AK13" i="13" s="1"/>
  <c r="E122" i="13"/>
  <c r="E42" i="13" s="1"/>
  <c r="N31" i="14"/>
  <c r="D438" i="13"/>
  <c r="D422" i="13" s="1"/>
  <c r="AO40" i="14"/>
  <c r="O40" i="14"/>
  <c r="I40" i="14"/>
  <c r="N49" i="14"/>
  <c r="E444" i="13"/>
  <c r="E428" i="13" s="1"/>
  <c r="R101" i="14"/>
  <c r="N103" i="14"/>
  <c r="J438" i="13"/>
  <c r="J422" i="13" s="1"/>
  <c r="J431" i="13" s="1"/>
  <c r="J25" i="13" s="1"/>
  <c r="BB25" i="13" s="1"/>
  <c r="AM138" i="14"/>
  <c r="BA137" i="14"/>
  <c r="I162" i="14"/>
  <c r="X30" i="13"/>
  <c r="L58" i="13"/>
  <c r="J95" i="13"/>
  <c r="J5" i="13" s="1"/>
  <c r="AF95" i="13"/>
  <c r="AF5" i="13" s="1"/>
  <c r="BX5" i="13" s="1"/>
  <c r="C111" i="13"/>
  <c r="C6" i="13" s="1"/>
  <c r="M123" i="13"/>
  <c r="I175" i="13"/>
  <c r="I10" i="13" s="1"/>
  <c r="F137" i="13"/>
  <c r="B126" i="13"/>
  <c r="I191" i="13"/>
  <c r="I11" i="13" s="1"/>
  <c r="C191" i="13"/>
  <c r="C11" i="13" s="1"/>
  <c r="M239" i="13"/>
  <c r="M14" i="13" s="1"/>
  <c r="K202" i="13"/>
  <c r="K139" i="3" s="1"/>
  <c r="K203" i="3" s="1"/>
  <c r="AB287" i="13"/>
  <c r="AB17" i="13" s="1"/>
  <c r="G303" i="13"/>
  <c r="G18" i="13" s="1"/>
  <c r="AC303" i="13"/>
  <c r="AC18" i="13" s="1"/>
  <c r="BU18" i="13" s="1"/>
  <c r="L419" i="13"/>
  <c r="O48" i="14"/>
  <c r="L48" i="14"/>
  <c r="N78" i="14"/>
  <c r="H437" i="13"/>
  <c r="H421" i="13" s="1"/>
  <c r="AS101" i="14"/>
  <c r="AV100" i="14"/>
  <c r="Q105" i="14"/>
  <c r="R105" i="14" s="1"/>
  <c r="I105" i="14"/>
  <c r="AS137" i="14"/>
  <c r="AV136" i="14"/>
  <c r="M48" i="15"/>
  <c r="AU48" i="15" s="1"/>
  <c r="AU64" i="15"/>
  <c r="F51" i="13"/>
  <c r="J61" i="13"/>
  <c r="J45" i="13" s="1"/>
  <c r="K95" i="13"/>
  <c r="K5" i="13" s="1"/>
  <c r="AG95" i="13"/>
  <c r="AG5" i="13" s="1"/>
  <c r="BY5" i="13" s="1"/>
  <c r="D111" i="13"/>
  <c r="D6" i="13" s="1"/>
  <c r="D115" i="13"/>
  <c r="I125" i="13"/>
  <c r="F120" i="13"/>
  <c r="G121" i="13"/>
  <c r="J191" i="13"/>
  <c r="J11" i="13" s="1"/>
  <c r="M195" i="13"/>
  <c r="M223" i="13"/>
  <c r="M13" i="13" s="1"/>
  <c r="P223" i="13"/>
  <c r="P13" i="13" s="1"/>
  <c r="L202" i="13"/>
  <c r="L139" i="3" s="1"/>
  <c r="L155" i="3" s="1"/>
  <c r="N239" i="13"/>
  <c r="N14" i="13" s="1"/>
  <c r="H303" i="13"/>
  <c r="H18" i="13" s="1"/>
  <c r="H259" i="13"/>
  <c r="AD259" i="13"/>
  <c r="AD303" i="13"/>
  <c r="AD18" i="13" s="1"/>
  <c r="BV18" i="13" s="1"/>
  <c r="AB383" i="13"/>
  <c r="AB23" i="13" s="1"/>
  <c r="BT23" i="13" s="1"/>
  <c r="P333" i="13"/>
  <c r="O419" i="13"/>
  <c r="O431" i="13" s="1"/>
  <c r="O25" i="13" s="1"/>
  <c r="O447" i="13"/>
  <c r="O26" i="13" s="1"/>
  <c r="B419" i="13"/>
  <c r="C446" i="13"/>
  <c r="C430" i="13" s="1"/>
  <c r="N27" i="14"/>
  <c r="N48" i="14"/>
  <c r="E443" i="13"/>
  <c r="N60" i="14"/>
  <c r="F443" i="13"/>
  <c r="N65" i="14"/>
  <c r="G436" i="13"/>
  <c r="G420" i="13" s="1"/>
  <c r="I93" i="14"/>
  <c r="O93" i="14"/>
  <c r="R93" i="14" s="1"/>
  <c r="L100" i="14"/>
  <c r="AL116" i="14"/>
  <c r="BK16" i="15"/>
  <c r="U14" i="15"/>
  <c r="K51" i="13"/>
  <c r="K79" i="13"/>
  <c r="K4" i="13" s="1"/>
  <c r="B57" i="13"/>
  <c r="K59" i="13"/>
  <c r="K43" i="13" s="1"/>
  <c r="O61" i="13"/>
  <c r="I111" i="13"/>
  <c r="I6" i="13" s="1"/>
  <c r="Q131" i="13"/>
  <c r="M159" i="13"/>
  <c r="M9" i="13" s="1"/>
  <c r="O175" i="13"/>
  <c r="O10" i="13" s="1"/>
  <c r="O191" i="13"/>
  <c r="O11" i="13" s="1"/>
  <c r="G122" i="13"/>
  <c r="AI223" i="13"/>
  <c r="AI13" i="13" s="1"/>
  <c r="F255" i="13"/>
  <c r="F15" i="13" s="1"/>
  <c r="I287" i="13"/>
  <c r="I17" i="13" s="1"/>
  <c r="I259" i="13"/>
  <c r="AE259" i="13"/>
  <c r="AE287" i="13"/>
  <c r="AE17" i="13" s="1"/>
  <c r="R319" i="13"/>
  <c r="R19" i="13" s="1"/>
  <c r="BJ19" i="13" s="1"/>
  <c r="U319" i="13"/>
  <c r="U19" i="13" s="1"/>
  <c r="BM19" i="13" s="1"/>
  <c r="B319" i="13"/>
  <c r="B19" i="13" s="1"/>
  <c r="AT19" i="13" s="1"/>
  <c r="C331" i="13"/>
  <c r="K415" i="13"/>
  <c r="K24" i="13" s="1"/>
  <c r="I72" i="14"/>
  <c r="O72" i="14"/>
  <c r="R72" i="14" s="1"/>
  <c r="L127" i="14"/>
  <c r="O127" i="14"/>
  <c r="R127" i="14" s="1"/>
  <c r="P129" i="14"/>
  <c r="I129" i="14"/>
  <c r="AK185" i="14"/>
  <c r="AY184" i="14"/>
  <c r="AN184" i="14"/>
  <c r="BO15" i="15"/>
  <c r="W14" i="15"/>
  <c r="G81" i="16"/>
  <c r="W81" i="16"/>
  <c r="Y81" i="16" s="1"/>
  <c r="AJ102" i="16"/>
  <c r="W111" i="16"/>
  <c r="Y111" i="16" s="1"/>
  <c r="G111" i="16"/>
  <c r="L79" i="13"/>
  <c r="L4" i="13" s="1"/>
  <c r="Q53" i="13"/>
  <c r="Q37" i="13" s="1"/>
  <c r="C57" i="13"/>
  <c r="P61" i="13"/>
  <c r="P45" i="13" s="1"/>
  <c r="O131" i="13"/>
  <c r="O159" i="13"/>
  <c r="O9" i="13" s="1"/>
  <c r="AK159" i="13"/>
  <c r="AK9" i="13" s="1"/>
  <c r="B134" i="13"/>
  <c r="E135" i="13"/>
  <c r="H136" i="13"/>
  <c r="K121" i="13"/>
  <c r="K41" i="13" s="1"/>
  <c r="N138" i="13"/>
  <c r="D142" i="13"/>
  <c r="N159" i="13"/>
  <c r="N9" i="13" s="1"/>
  <c r="M117" i="13"/>
  <c r="L139" i="13"/>
  <c r="N118" i="13"/>
  <c r="N38" i="13" s="1"/>
  <c r="S223" i="13"/>
  <c r="S13" i="13" s="1"/>
  <c r="E205" i="13"/>
  <c r="E142" i="3" s="1"/>
  <c r="E158" i="3" s="1"/>
  <c r="J259" i="13"/>
  <c r="AF287" i="13"/>
  <c r="AF17" i="13" s="1"/>
  <c r="M260" i="13"/>
  <c r="M117" i="3" s="1"/>
  <c r="M149" i="3" s="1"/>
  <c r="AI260" i="13"/>
  <c r="P261" i="13"/>
  <c r="P118" i="3" s="1"/>
  <c r="AL261" i="13"/>
  <c r="S262" i="13"/>
  <c r="S119" i="3" s="1"/>
  <c r="AO262" i="13"/>
  <c r="V263" i="13"/>
  <c r="V120" i="3" s="1"/>
  <c r="C264" i="13"/>
  <c r="C121" i="3" s="1"/>
  <c r="C201" i="3" s="1"/>
  <c r="C169" i="3" s="1"/>
  <c r="C315" i="3" s="1"/>
  <c r="F265" i="13"/>
  <c r="F122" i="3" s="1"/>
  <c r="F154" i="3" s="1"/>
  <c r="I266" i="13"/>
  <c r="I123" i="3" s="1"/>
  <c r="I155" i="3" s="1"/>
  <c r="L267" i="13"/>
  <c r="L124" i="3" s="1"/>
  <c r="AD124" i="3" s="1"/>
  <c r="AH267" i="13"/>
  <c r="O268" i="13"/>
  <c r="AK268" i="13"/>
  <c r="R269" i="13"/>
  <c r="R126" i="3" s="1"/>
  <c r="R128" i="3" s="1"/>
  <c r="AN269" i="13"/>
  <c r="P28" i="14"/>
  <c r="AP28" i="14"/>
  <c r="AP29" i="14" s="1"/>
  <c r="AP30" i="14" s="1"/>
  <c r="AP31" i="14" s="1"/>
  <c r="AP32" i="14" s="1"/>
  <c r="AP33" i="14" s="1"/>
  <c r="AP34" i="14" s="1"/>
  <c r="AP35" i="14" s="1"/>
  <c r="AP36" i="14" s="1"/>
  <c r="AP37" i="14" s="1"/>
  <c r="AP38" i="14" s="1"/>
  <c r="AP39" i="14" s="1"/>
  <c r="AK65" i="14"/>
  <c r="AN64" i="14"/>
  <c r="N127" i="14"/>
  <c r="L438" i="13"/>
  <c r="L422" i="13" s="1"/>
  <c r="X14" i="15"/>
  <c r="BQ15" i="15"/>
  <c r="AS127" i="15"/>
  <c r="L111" i="15"/>
  <c r="M51" i="13"/>
  <c r="M79" i="13"/>
  <c r="M4" i="13" s="1"/>
  <c r="E52" i="13"/>
  <c r="E36" i="13" s="1"/>
  <c r="D57" i="13"/>
  <c r="D41" i="13" s="1"/>
  <c r="M59" i="13"/>
  <c r="P159" i="13"/>
  <c r="P9" i="13" s="1"/>
  <c r="P131" i="13"/>
  <c r="AL159" i="13"/>
  <c r="AL9" i="13" s="1"/>
  <c r="I136" i="13"/>
  <c r="N117" i="13"/>
  <c r="I326" i="13"/>
  <c r="I38" i="13" s="1"/>
  <c r="L415" i="13"/>
  <c r="L24" i="13" s="1"/>
  <c r="O8" i="14"/>
  <c r="R8" i="14" s="1"/>
  <c r="I8" i="14"/>
  <c r="Q28" i="14"/>
  <c r="AQ28" i="14"/>
  <c r="AQ29" i="14" s="1"/>
  <c r="AQ30" i="14" s="1"/>
  <c r="AQ31" i="14" s="1"/>
  <c r="AQ32" i="14" s="1"/>
  <c r="AQ33" i="14" s="1"/>
  <c r="AQ34" i="14" s="1"/>
  <c r="AQ35" i="14" s="1"/>
  <c r="AQ36" i="14" s="1"/>
  <c r="AQ37" i="14" s="1"/>
  <c r="AQ38" i="14" s="1"/>
  <c r="AQ39" i="14" s="1"/>
  <c r="I63" i="14"/>
  <c r="O63" i="14"/>
  <c r="R63" i="14" s="1"/>
  <c r="O66" i="14"/>
  <c r="R66" i="14" s="1"/>
  <c r="I66" i="14"/>
  <c r="L109" i="14"/>
  <c r="O109" i="14"/>
  <c r="R109" i="14" s="1"/>
  <c r="AK115" i="14"/>
  <c r="AN114" i="14"/>
  <c r="O129" i="14"/>
  <c r="L129" i="14"/>
  <c r="L153" i="14"/>
  <c r="O153" i="14"/>
  <c r="R153" i="14" s="1"/>
  <c r="AS177" i="14"/>
  <c r="AM185" i="14"/>
  <c r="AW127" i="15"/>
  <c r="N111" i="15"/>
  <c r="B50" i="15"/>
  <c r="D164" i="15"/>
  <c r="D9" i="15" s="1"/>
  <c r="D120" i="15"/>
  <c r="AP158" i="12"/>
  <c r="AP159" i="12" s="1"/>
  <c r="AP160" i="12" s="1"/>
  <c r="AP161" i="12" s="1"/>
  <c r="AP162" i="12" s="1"/>
  <c r="AP163" i="12" s="1"/>
  <c r="AP164" i="12" s="1"/>
  <c r="AP165" i="12" s="1"/>
  <c r="AP166" i="12" s="1"/>
  <c r="AP167" i="12" s="1"/>
  <c r="AP168" i="12" s="1"/>
  <c r="AP169" i="12" s="1"/>
  <c r="BM23" i="13"/>
  <c r="N51" i="13"/>
  <c r="N79" i="13"/>
  <c r="N4" i="13" s="1"/>
  <c r="E57" i="13"/>
  <c r="AM159" i="13"/>
  <c r="AM9" i="13" s="1"/>
  <c r="D134" i="13"/>
  <c r="J136" i="13"/>
  <c r="L124" i="13"/>
  <c r="AL223" i="13"/>
  <c r="AL13" i="13" s="1"/>
  <c r="G255" i="13"/>
  <c r="G15" i="13" s="1"/>
  <c r="L287" i="13"/>
  <c r="L17" i="13" s="1"/>
  <c r="L259" i="13"/>
  <c r="AH287" i="13"/>
  <c r="AH17" i="13" s="1"/>
  <c r="Y303" i="13"/>
  <c r="Y18" i="13" s="1"/>
  <c r="BQ18" i="13" s="1"/>
  <c r="G340" i="13"/>
  <c r="G367" i="13"/>
  <c r="G22" i="13" s="1"/>
  <c r="G21" i="13" s="1"/>
  <c r="F332" i="13"/>
  <c r="AY4" i="14"/>
  <c r="BB4" i="14" s="1"/>
  <c r="L28" i="14"/>
  <c r="AS28" i="14"/>
  <c r="L52" i="14"/>
  <c r="AS52" i="14"/>
  <c r="N70" i="14"/>
  <c r="G441" i="13"/>
  <c r="G425" i="13" s="1"/>
  <c r="O85" i="14"/>
  <c r="R85" i="14" s="1"/>
  <c r="I85" i="14"/>
  <c r="N95" i="14"/>
  <c r="I442" i="13"/>
  <c r="I426" i="13" s="1"/>
  <c r="N109" i="14"/>
  <c r="J444" i="13"/>
  <c r="J428" i="13" s="1"/>
  <c r="AR173" i="14"/>
  <c r="AY173" i="14"/>
  <c r="AO174" i="14"/>
  <c r="AY174" i="14" s="1"/>
  <c r="AZ173" i="14"/>
  <c r="N50" i="15"/>
  <c r="AW50" i="15" s="1"/>
  <c r="AN159" i="13"/>
  <c r="AN9" i="13" s="1"/>
  <c r="E134" i="13"/>
  <c r="N121" i="13"/>
  <c r="N41" i="13" s="1"/>
  <c r="D125" i="13"/>
  <c r="D45" i="13" s="1"/>
  <c r="G126" i="13"/>
  <c r="G46" i="13" s="1"/>
  <c r="T159" i="13"/>
  <c r="T9" i="13" s="1"/>
  <c r="P117" i="13"/>
  <c r="P37" i="13" s="1"/>
  <c r="L122" i="13"/>
  <c r="P191" i="13"/>
  <c r="P11" i="13" s="1"/>
  <c r="AI259" i="13"/>
  <c r="AI287" i="13"/>
  <c r="AI17" i="13" s="1"/>
  <c r="S261" i="13"/>
  <c r="S118" i="3" s="1"/>
  <c r="S287" i="13"/>
  <c r="S17" i="13" s="1"/>
  <c r="F287" i="13"/>
  <c r="F17" i="13" s="1"/>
  <c r="N415" i="13"/>
  <c r="N24" i="13" s="1"/>
  <c r="BF24" i="13" s="1"/>
  <c r="H415" i="13"/>
  <c r="H24" i="13" s="1"/>
  <c r="AZ24" i="13" s="1"/>
  <c r="AL5" i="14"/>
  <c r="AZ4" i="14"/>
  <c r="AN4" i="14"/>
  <c r="B445" i="13"/>
  <c r="B429" i="13" s="1"/>
  <c r="N14" i="14"/>
  <c r="AW28" i="14"/>
  <c r="N28" i="14"/>
  <c r="D435" i="13"/>
  <c r="AP65" i="14"/>
  <c r="AZ64" i="14"/>
  <c r="AY88" i="14"/>
  <c r="BB88" i="14" s="1"/>
  <c r="AN88" i="14"/>
  <c r="AW148" i="14"/>
  <c r="N148" i="14"/>
  <c r="N435" i="13"/>
  <c r="AP175" i="14"/>
  <c r="AP176" i="14" s="1"/>
  <c r="AP177" i="14" s="1"/>
  <c r="AP178" i="14" s="1"/>
  <c r="AP179" i="14" s="1"/>
  <c r="AP180" i="14" s="1"/>
  <c r="AP181" i="14" s="1"/>
  <c r="AP182" i="14" s="1"/>
  <c r="AP183" i="14" s="1"/>
  <c r="BY26" i="15"/>
  <c r="AB25" i="15"/>
  <c r="BY25" i="15" s="1"/>
  <c r="CM28" i="15"/>
  <c r="AS124" i="15"/>
  <c r="L108" i="15"/>
  <c r="AS108" i="15" s="1"/>
  <c r="P79" i="13"/>
  <c r="P4" i="13" s="1"/>
  <c r="K54" i="13"/>
  <c r="K38" i="13" s="1"/>
  <c r="G41" i="13"/>
  <c r="G60" i="13"/>
  <c r="G44" i="13" s="1"/>
  <c r="S159" i="13"/>
  <c r="S9" i="13" s="1"/>
  <c r="AO159" i="13"/>
  <c r="AO9" i="13" s="1"/>
  <c r="L120" i="13"/>
  <c r="O121" i="13"/>
  <c r="O41" i="13" s="1"/>
  <c r="B124" i="13"/>
  <c r="E125" i="13"/>
  <c r="E45" i="13" s="1"/>
  <c r="H126" i="13"/>
  <c r="M119" i="13"/>
  <c r="M39" i="13" s="1"/>
  <c r="P120" i="13"/>
  <c r="P40" i="13" s="1"/>
  <c r="M122" i="13"/>
  <c r="M42" i="13" s="1"/>
  <c r="B239" i="13"/>
  <c r="B14" i="13" s="1"/>
  <c r="B199" i="13"/>
  <c r="B136" i="3" s="1"/>
  <c r="N287" i="13"/>
  <c r="N17" i="13" s="1"/>
  <c r="N259" i="13"/>
  <c r="AJ287" i="13"/>
  <c r="AJ17" i="13" s="1"/>
  <c r="AJ259" i="13"/>
  <c r="AJ271" i="13" s="1"/>
  <c r="O415" i="13"/>
  <c r="O24" i="13" s="1"/>
  <c r="BG24" i="13" s="1"/>
  <c r="AM5" i="14"/>
  <c r="BA4" i="14"/>
  <c r="N12" i="14"/>
  <c r="C441" i="13"/>
  <c r="C425" i="13" s="1"/>
  <c r="N22" i="14"/>
  <c r="I24" i="14"/>
  <c r="N32" i="14"/>
  <c r="D439" i="13"/>
  <c r="D423" i="13" s="1"/>
  <c r="AS40" i="14"/>
  <c r="L40" i="14"/>
  <c r="Q53" i="14"/>
  <c r="AQ53" i="14"/>
  <c r="AQ54" i="14" s="1"/>
  <c r="O61" i="14"/>
  <c r="R61" i="14" s="1"/>
  <c r="I61" i="14"/>
  <c r="AZ77" i="14"/>
  <c r="CA26" i="15"/>
  <c r="AC25" i="15"/>
  <c r="CA25" i="15" s="1"/>
  <c r="I52" i="13"/>
  <c r="J124" i="13"/>
  <c r="J44" i="13" s="1"/>
  <c r="AP159" i="13"/>
  <c r="AP9" i="13" s="1"/>
  <c r="M116" i="13"/>
  <c r="M36" i="13" s="1"/>
  <c r="B223" i="13"/>
  <c r="B13" i="13" s="1"/>
  <c r="B195" i="13"/>
  <c r="X223" i="13"/>
  <c r="X13" i="13" s="1"/>
  <c r="B197" i="13"/>
  <c r="O287" i="13"/>
  <c r="O17" i="13" s="1"/>
  <c r="J287" i="13"/>
  <c r="J17" i="13" s="1"/>
  <c r="X319" i="13"/>
  <c r="X19" i="13" s="1"/>
  <c r="BP19" i="13" s="1"/>
  <c r="AF383" i="13"/>
  <c r="AF23" i="13" s="1"/>
  <c r="BX23" i="13" s="1"/>
  <c r="P415" i="13"/>
  <c r="P24" i="13" s="1"/>
  <c r="AO5" i="14"/>
  <c r="AR4" i="14"/>
  <c r="I21" i="14"/>
  <c r="O21" i="14"/>
  <c r="R21" i="14" s="1"/>
  <c r="I42" i="14"/>
  <c r="O42" i="14"/>
  <c r="R42" i="14" s="1"/>
  <c r="N59" i="14"/>
  <c r="F442" i="13"/>
  <c r="F426" i="13" s="1"/>
  <c r="AR172" i="14"/>
  <c r="CC26" i="15"/>
  <c r="AD25" i="15"/>
  <c r="CC25" i="15" s="1"/>
  <c r="J52" i="13"/>
  <c r="C55" i="13"/>
  <c r="I57" i="13"/>
  <c r="I41" i="13" s="1"/>
  <c r="U159" i="13"/>
  <c r="U9" i="13" s="1"/>
  <c r="H159" i="13"/>
  <c r="H9" i="13" s="1"/>
  <c r="AD159" i="13"/>
  <c r="AD9" i="13" s="1"/>
  <c r="K135" i="13"/>
  <c r="C223" i="13"/>
  <c r="C13" i="13" s="1"/>
  <c r="Y223" i="13"/>
  <c r="Y13" i="13" s="1"/>
  <c r="D196" i="13"/>
  <c r="D133" i="3" s="1"/>
  <c r="D149" i="3" s="1"/>
  <c r="D239" i="13"/>
  <c r="D14" i="13" s="1"/>
  <c r="K255" i="13"/>
  <c r="K15" i="13" s="1"/>
  <c r="BC15" i="13" s="1"/>
  <c r="K195" i="13"/>
  <c r="M287" i="13"/>
  <c r="M17" i="13" s="1"/>
  <c r="K334" i="13"/>
  <c r="K46" i="13" s="1"/>
  <c r="AJ383" i="13"/>
  <c r="AJ23" i="13" s="1"/>
  <c r="CB23" i="13" s="1"/>
  <c r="I12" i="14"/>
  <c r="O12" i="14"/>
  <c r="R12" i="14" s="1"/>
  <c r="O19" i="14"/>
  <c r="R19" i="14" s="1"/>
  <c r="O71" i="14"/>
  <c r="R71" i="14" s="1"/>
  <c r="I71" i="14"/>
  <c r="O92" i="14"/>
  <c r="R92" i="14" s="1"/>
  <c r="I92" i="14"/>
  <c r="N120" i="14"/>
  <c r="K443" i="13"/>
  <c r="K427" i="13" s="1"/>
  <c r="W159" i="13"/>
  <c r="W9" i="13" s="1"/>
  <c r="K175" i="13"/>
  <c r="K10" i="13" s="1"/>
  <c r="AO223" i="13"/>
  <c r="AO13" i="13" s="1"/>
  <c r="I303" i="13"/>
  <c r="I18" i="13" s="1"/>
  <c r="BA18" i="13" s="1"/>
  <c r="B343" i="13"/>
  <c r="B327" i="13" s="1"/>
  <c r="N399" i="13"/>
  <c r="O11" i="14"/>
  <c r="R11" i="14" s="1"/>
  <c r="I11" i="14"/>
  <c r="N26" i="14"/>
  <c r="C445" i="13"/>
  <c r="C429" i="13" s="1"/>
  <c r="O30" i="14"/>
  <c r="R30" i="14" s="1"/>
  <c r="I30" i="14"/>
  <c r="O50" i="14"/>
  <c r="R50" i="14" s="1"/>
  <c r="I50" i="14"/>
  <c r="AL68" i="14"/>
  <c r="O67" i="14"/>
  <c r="R67" i="14" s="1"/>
  <c r="I67" i="14"/>
  <c r="P73" i="14"/>
  <c r="I73" i="14"/>
  <c r="AW88" i="14"/>
  <c r="N88" i="14"/>
  <c r="I435" i="13"/>
  <c r="O91" i="14"/>
  <c r="R91" i="14" s="1"/>
  <c r="N114" i="14"/>
  <c r="K437" i="13"/>
  <c r="K421" i="13" s="1"/>
  <c r="P124" i="14"/>
  <c r="AP124" i="14"/>
  <c r="AP125" i="14" s="1"/>
  <c r="AP126" i="14" s="1"/>
  <c r="AP127" i="14" s="1"/>
  <c r="AP128" i="14" s="1"/>
  <c r="AP129" i="14" s="1"/>
  <c r="AP130" i="14" s="1"/>
  <c r="AP131" i="14" s="1"/>
  <c r="AP132" i="14" s="1"/>
  <c r="AP133" i="14" s="1"/>
  <c r="AP134" i="14" s="1"/>
  <c r="AP135" i="14" s="1"/>
  <c r="AN148" i="14"/>
  <c r="AK149" i="14"/>
  <c r="AO162" i="14"/>
  <c r="BS15" i="15"/>
  <c r="Y14" i="15"/>
  <c r="N131" i="13"/>
  <c r="N175" i="13"/>
  <c r="N10" i="13" s="1"/>
  <c r="N195" i="13"/>
  <c r="D199" i="13"/>
  <c r="D136" i="3" s="1"/>
  <c r="G200" i="13"/>
  <c r="J201" i="13"/>
  <c r="M202" i="13"/>
  <c r="M139" i="3" s="1"/>
  <c r="C206" i="13"/>
  <c r="C239" i="13"/>
  <c r="C14" i="13" s="1"/>
  <c r="AU14" i="13" s="1"/>
  <c r="AO287" i="13"/>
  <c r="AO17" i="13" s="1"/>
  <c r="L303" i="13"/>
  <c r="L18" i="13" s="1"/>
  <c r="G319" i="13"/>
  <c r="G19" i="13" s="1"/>
  <c r="AC319" i="13"/>
  <c r="AC19" i="13" s="1"/>
  <c r="BU19" i="13" s="1"/>
  <c r="AP7" i="14"/>
  <c r="AP8" i="14" s="1"/>
  <c r="AP9" i="14" s="1"/>
  <c r="AP10" i="14" s="1"/>
  <c r="AP11" i="14" s="1"/>
  <c r="AP12" i="14" s="1"/>
  <c r="AP13" i="14" s="1"/>
  <c r="AP14" i="14" s="1"/>
  <c r="AP15" i="14" s="1"/>
  <c r="AM29" i="14"/>
  <c r="AI30" i="14"/>
  <c r="AJ30" i="14" s="1"/>
  <c r="M30" i="14" s="1"/>
  <c r="J30" i="14"/>
  <c r="L30" i="14" s="1"/>
  <c r="BA64" i="14"/>
  <c r="AQ65" i="14"/>
  <c r="N73" i="14"/>
  <c r="O73" i="14"/>
  <c r="R73" i="14" s="1"/>
  <c r="BA114" i="14"/>
  <c r="AW124" i="14"/>
  <c r="N124" i="14"/>
  <c r="E42" i="15"/>
  <c r="BA179" i="15"/>
  <c r="P180" i="15"/>
  <c r="AK100" i="16"/>
  <c r="AN101" i="16"/>
  <c r="AL102" i="16"/>
  <c r="E159" i="13"/>
  <c r="E9" i="13" s="1"/>
  <c r="AA159" i="13"/>
  <c r="AA9" i="13" s="1"/>
  <c r="T287" i="13"/>
  <c r="T17" i="13" s="1"/>
  <c r="M303" i="13"/>
  <c r="M18" i="13" s="1"/>
  <c r="AI303" i="13"/>
  <c r="AI18" i="13" s="1"/>
  <c r="CA18" i="13" s="1"/>
  <c r="H319" i="13"/>
  <c r="H19" i="13" s="1"/>
  <c r="AZ19" i="13" s="1"/>
  <c r="AD319" i="13"/>
  <c r="AD19" i="13" s="1"/>
  <c r="BV19" i="13" s="1"/>
  <c r="C342" i="13"/>
  <c r="C326" i="13" s="1"/>
  <c r="F327" i="13"/>
  <c r="G344" i="13"/>
  <c r="G328" i="13" s="1"/>
  <c r="O16" i="14"/>
  <c r="R16" i="14" s="1"/>
  <c r="AO16" i="14"/>
  <c r="P17" i="14"/>
  <c r="AP17" i="14"/>
  <c r="AP18" i="14" s="1"/>
  <c r="AP19" i="14" s="1"/>
  <c r="AP20" i="14" s="1"/>
  <c r="AP21" i="14" s="1"/>
  <c r="AP22" i="14" s="1"/>
  <c r="AP23" i="14" s="1"/>
  <c r="AP24" i="14" s="1"/>
  <c r="AP25" i="14" s="1"/>
  <c r="AP26" i="14" s="1"/>
  <c r="AP27" i="14" s="1"/>
  <c r="N122" i="14"/>
  <c r="K445" i="13"/>
  <c r="K429" i="13" s="1"/>
  <c r="AK125" i="14"/>
  <c r="AY124" i="14"/>
  <c r="AN124" i="14"/>
  <c r="AY59" i="15"/>
  <c r="G62" i="16"/>
  <c r="W62" i="16"/>
  <c r="Y62" i="16" s="1"/>
  <c r="F159" i="13"/>
  <c r="F9" i="13" s="1"/>
  <c r="F131" i="13"/>
  <c r="AB159" i="13"/>
  <c r="AB9" i="13" s="1"/>
  <c r="I132" i="13"/>
  <c r="L133" i="13"/>
  <c r="O134" i="13"/>
  <c r="B137" i="13"/>
  <c r="H139" i="13"/>
  <c r="K140" i="13"/>
  <c r="N141" i="13"/>
  <c r="P175" i="13"/>
  <c r="P10" i="13" s="1"/>
  <c r="U287" i="13"/>
  <c r="U17" i="13" s="1"/>
  <c r="N303" i="13"/>
  <c r="N18" i="13" s="1"/>
  <c r="BF18" i="13" s="1"/>
  <c r="AJ303" i="13"/>
  <c r="AJ18" i="13" s="1"/>
  <c r="CB18" i="13" s="1"/>
  <c r="I319" i="13"/>
  <c r="I19" i="13" s="1"/>
  <c r="BA19" i="13" s="1"/>
  <c r="AE319" i="13"/>
  <c r="AE19" i="13" s="1"/>
  <c r="BW19" i="13" s="1"/>
  <c r="B331" i="13"/>
  <c r="B43" i="13" s="1"/>
  <c r="G343" i="13"/>
  <c r="G327" i="13" s="1"/>
  <c r="H328" i="13"/>
  <c r="G323" i="13"/>
  <c r="AI6" i="14"/>
  <c r="AJ6" i="14" s="1"/>
  <c r="M6" i="14" s="1"/>
  <c r="D441" i="13"/>
  <c r="D425" i="13" s="1"/>
  <c r="N34" i="14"/>
  <c r="O36" i="14"/>
  <c r="R36" i="14" s="1"/>
  <c r="I36" i="14"/>
  <c r="O38" i="14"/>
  <c r="R38" i="14" s="1"/>
  <c r="AX41" i="14"/>
  <c r="AW42" i="14"/>
  <c r="N44" i="14"/>
  <c r="AO53" i="14"/>
  <c r="AY52" i="14"/>
  <c r="AP90" i="14"/>
  <c r="AP91" i="14" s="1"/>
  <c r="AP92" i="14" s="1"/>
  <c r="AP93" i="14" s="1"/>
  <c r="AP94" i="14" s="1"/>
  <c r="AP95" i="14" s="1"/>
  <c r="AP96" i="14" s="1"/>
  <c r="AP97" i="14" s="1"/>
  <c r="AP98" i="14" s="1"/>
  <c r="AP99" i="14" s="1"/>
  <c r="AP101" i="14"/>
  <c r="AP102" i="14" s="1"/>
  <c r="AP103" i="14" s="1"/>
  <c r="AP104" i="14" s="1"/>
  <c r="AP105" i="14" s="1"/>
  <c r="AP106" i="14" s="1"/>
  <c r="AP107" i="14" s="1"/>
  <c r="AP108" i="14" s="1"/>
  <c r="AP109" i="14" s="1"/>
  <c r="AP110" i="14" s="1"/>
  <c r="AP111" i="14" s="1"/>
  <c r="L105" i="14"/>
  <c r="O110" i="14"/>
  <c r="R110" i="14" s="1"/>
  <c r="I110" i="14"/>
  <c r="AL125" i="14"/>
  <c r="I137" i="14"/>
  <c r="O137" i="14"/>
  <c r="R137" i="14" s="1"/>
  <c r="I166" i="14"/>
  <c r="O166" i="14"/>
  <c r="R166" i="14" s="1"/>
  <c r="C40" i="15"/>
  <c r="BA59" i="15"/>
  <c r="N345" i="15"/>
  <c r="AW345" i="15" s="1"/>
  <c r="AW377" i="15"/>
  <c r="AG159" i="13"/>
  <c r="AG9" i="13" s="1"/>
  <c r="Q195" i="13"/>
  <c r="Q223" i="13"/>
  <c r="Q13" i="13" s="1"/>
  <c r="AM223" i="13"/>
  <c r="AM13" i="13" s="1"/>
  <c r="D198" i="13"/>
  <c r="D135" i="3" s="1"/>
  <c r="D151" i="3" s="1"/>
  <c r="G199" i="13"/>
  <c r="J200" i="13"/>
  <c r="J137" i="3" s="1"/>
  <c r="M201" i="13"/>
  <c r="M138" i="3" s="1"/>
  <c r="P202" i="13"/>
  <c r="C205" i="13"/>
  <c r="C142" i="3" s="1"/>
  <c r="C158" i="3" s="1"/>
  <c r="F206" i="13"/>
  <c r="F143" i="3" s="1"/>
  <c r="N223" i="13"/>
  <c r="N13" i="13" s="1"/>
  <c r="E201" i="13"/>
  <c r="G239" i="13"/>
  <c r="G14" i="13" s="1"/>
  <c r="AK303" i="13"/>
  <c r="AK18" i="13" s="1"/>
  <c r="CC18" i="13" s="1"/>
  <c r="U261" i="13"/>
  <c r="U118" i="3" s="1"/>
  <c r="E263" i="13"/>
  <c r="E120" i="3" s="1"/>
  <c r="E200" i="3" s="1"/>
  <c r="AA263" i="13"/>
  <c r="AD264" i="13"/>
  <c r="Q267" i="13"/>
  <c r="Q124" i="3" s="1"/>
  <c r="AP268" i="13"/>
  <c r="AP271" i="13" s="1"/>
  <c r="W269" i="13"/>
  <c r="W126" i="3" s="1"/>
  <c r="W128" i="3" s="1"/>
  <c r="Z270" i="13"/>
  <c r="Z127" i="3" s="1"/>
  <c r="Z128" i="3" s="1"/>
  <c r="J319" i="13"/>
  <c r="J19" i="13" s="1"/>
  <c r="BB19" i="13" s="1"/>
  <c r="AF319" i="13"/>
  <c r="AF19" i="13" s="1"/>
  <c r="BX19" i="13" s="1"/>
  <c r="K332" i="13"/>
  <c r="H325" i="13"/>
  <c r="H327" i="13"/>
  <c r="H39" i="13" s="1"/>
  <c r="B334" i="13"/>
  <c r="AK7" i="14"/>
  <c r="AX40" i="14"/>
  <c r="I47" i="14"/>
  <c r="AP54" i="14"/>
  <c r="AP55" i="14" s="1"/>
  <c r="AP56" i="14" s="1"/>
  <c r="AP57" i="14" s="1"/>
  <c r="AP58" i="14" s="1"/>
  <c r="AP59" i="14" s="1"/>
  <c r="AP60" i="14" s="1"/>
  <c r="AP61" i="14" s="1"/>
  <c r="AP62" i="14" s="1"/>
  <c r="AP63" i="14" s="1"/>
  <c r="O62" i="14"/>
  <c r="R62" i="14" s="1"/>
  <c r="I62" i="14"/>
  <c r="O70" i="14"/>
  <c r="R70" i="14" s="1"/>
  <c r="I70" i="14"/>
  <c r="I75" i="14"/>
  <c r="AQ102" i="14"/>
  <c r="AQ103" i="14" s="1"/>
  <c r="AQ104" i="14" s="1"/>
  <c r="AQ105" i="14" s="1"/>
  <c r="AQ106" i="14" s="1"/>
  <c r="AQ107" i="14" s="1"/>
  <c r="AQ108" i="14" s="1"/>
  <c r="AQ109" i="14" s="1"/>
  <c r="AQ110" i="14" s="1"/>
  <c r="AQ111" i="14" s="1"/>
  <c r="O150" i="14"/>
  <c r="R150" i="14" s="1"/>
  <c r="I150" i="14"/>
  <c r="P151" i="14"/>
  <c r="I151" i="14"/>
  <c r="BA280" i="15"/>
  <c r="J132" i="13"/>
  <c r="R223" i="13"/>
  <c r="R13" i="13" s="1"/>
  <c r="AN223" i="13"/>
  <c r="AN13" i="13" s="1"/>
  <c r="N203" i="13"/>
  <c r="N140" i="3" s="1"/>
  <c r="N156" i="3" s="1"/>
  <c r="P303" i="13"/>
  <c r="P18" i="13" s="1"/>
  <c r="AL303" i="13"/>
  <c r="AL18" i="13" s="1"/>
  <c r="CD18" i="13" s="1"/>
  <c r="K319" i="13"/>
  <c r="K19" i="13" s="1"/>
  <c r="AG319" i="13"/>
  <c r="AG19" i="13" s="1"/>
  <c r="BY19" i="13" s="1"/>
  <c r="L339" i="13"/>
  <c r="L367" i="13"/>
  <c r="L22" i="13" s="1"/>
  <c r="D349" i="13"/>
  <c r="D333" i="13" s="1"/>
  <c r="D335" i="13" s="1"/>
  <c r="I351" i="13"/>
  <c r="I323" i="13"/>
  <c r="I335" i="13" s="1"/>
  <c r="AW4" i="14"/>
  <c r="N4" i="14"/>
  <c r="I16" i="14"/>
  <c r="O37" i="14"/>
  <c r="R37" i="14" s="1"/>
  <c r="K435" i="13"/>
  <c r="N112" i="14"/>
  <c r="AW112" i="14"/>
  <c r="L113" i="14"/>
  <c r="O113" i="14"/>
  <c r="R113" i="14" s="1"/>
  <c r="AO125" i="14"/>
  <c r="I126" i="14"/>
  <c r="O126" i="14"/>
  <c r="R126" i="14" s="1"/>
  <c r="O139" i="14"/>
  <c r="R139" i="14" s="1"/>
  <c r="I139" i="14"/>
  <c r="R154" i="14"/>
  <c r="BM6" i="15"/>
  <c r="AY180" i="15"/>
  <c r="O13" i="15"/>
  <c r="AY13" i="15" s="1"/>
  <c r="O10" i="15"/>
  <c r="AY10" i="15" s="1"/>
  <c r="BC280" i="15"/>
  <c r="E280" i="15"/>
  <c r="E292" i="15" s="1"/>
  <c r="E324" i="15"/>
  <c r="E20" i="15" s="1"/>
  <c r="E18" i="15" s="1"/>
  <c r="I239" i="13"/>
  <c r="I14" i="13" s="1"/>
  <c r="L319" i="13"/>
  <c r="L19" i="13" s="1"/>
  <c r="AH319" i="13"/>
  <c r="AH19" i="13" s="1"/>
  <c r="BZ19" i="13" s="1"/>
  <c r="M339" i="13"/>
  <c r="M367" i="13"/>
  <c r="M22" i="13" s="1"/>
  <c r="H329" i="13"/>
  <c r="D415" i="13"/>
  <c r="D24" i="13" s="1"/>
  <c r="AV24" i="13" s="1"/>
  <c r="O32" i="14"/>
  <c r="R32" i="14" s="1"/>
  <c r="O74" i="14"/>
  <c r="R74" i="14" s="1"/>
  <c r="I74" i="14"/>
  <c r="O86" i="14"/>
  <c r="R86" i="14" s="1"/>
  <c r="I86" i="14"/>
  <c r="I102" i="14"/>
  <c r="O102" i="14"/>
  <c r="R102" i="14" s="1"/>
  <c r="AQ126" i="14"/>
  <c r="AQ127" i="14" s="1"/>
  <c r="AQ128" i="14" s="1"/>
  <c r="AQ129" i="14" s="1"/>
  <c r="AQ130" i="14" s="1"/>
  <c r="AQ131" i="14" s="1"/>
  <c r="AQ132" i="14" s="1"/>
  <c r="AQ133" i="14" s="1"/>
  <c r="AQ134" i="14" s="1"/>
  <c r="AQ135" i="14" s="1"/>
  <c r="I132" i="14"/>
  <c r="BO6" i="15"/>
  <c r="O212" i="15"/>
  <c r="AY200" i="15"/>
  <c r="O184" i="15"/>
  <c r="D197" i="13"/>
  <c r="D134" i="3" s="1"/>
  <c r="D150" i="3" s="1"/>
  <c r="J199" i="13"/>
  <c r="P201" i="13"/>
  <c r="P138" i="3" s="1"/>
  <c r="P154" i="3" s="1"/>
  <c r="F205" i="13"/>
  <c r="I207" i="13"/>
  <c r="C287" i="13"/>
  <c r="C17" i="13" s="1"/>
  <c r="C259" i="13"/>
  <c r="Y287" i="13"/>
  <c r="Y17" i="13" s="1"/>
  <c r="Y259" i="13"/>
  <c r="R303" i="13"/>
  <c r="R18" i="13" s="1"/>
  <c r="BJ18" i="13" s="1"/>
  <c r="AN303" i="13"/>
  <c r="AN18" i="13" s="1"/>
  <c r="CF18" i="13" s="1"/>
  <c r="N339" i="13"/>
  <c r="N367" i="13"/>
  <c r="N22" i="13" s="1"/>
  <c r="E334" i="13"/>
  <c r="E367" i="13"/>
  <c r="E22" i="13" s="1"/>
  <c r="E21" i="13" s="1"/>
  <c r="K339" i="13"/>
  <c r="K383" i="13"/>
  <c r="K23" i="13" s="1"/>
  <c r="N324" i="13"/>
  <c r="N36" i="13" s="1"/>
  <c r="G399" i="13"/>
  <c r="E419" i="13"/>
  <c r="O41" i="14"/>
  <c r="R41" i="14" s="1"/>
  <c r="I41" i="14"/>
  <c r="O59" i="14"/>
  <c r="R59" i="14" s="1"/>
  <c r="O65" i="14"/>
  <c r="R65" i="14" s="1"/>
  <c r="I84" i="14"/>
  <c r="O84" i="14"/>
  <c r="R84" i="14" s="1"/>
  <c r="L90" i="14"/>
  <c r="I95" i="14"/>
  <c r="O95" i="14"/>
  <c r="R95" i="14" s="1"/>
  <c r="AV124" i="14"/>
  <c r="AS125" i="14"/>
  <c r="N142" i="14"/>
  <c r="M441" i="13"/>
  <c r="M425" i="13" s="1"/>
  <c r="AS56" i="15"/>
  <c r="G48" i="15"/>
  <c r="F49" i="17"/>
  <c r="E62" i="17"/>
  <c r="E46" i="17" s="1"/>
  <c r="E82" i="17"/>
  <c r="E4" i="17" s="1"/>
  <c r="U223" i="13"/>
  <c r="U13" i="13" s="1"/>
  <c r="T223" i="13"/>
  <c r="T13" i="13" s="1"/>
  <c r="S303" i="13"/>
  <c r="S18" i="13" s="1"/>
  <c r="BK18" i="13" s="1"/>
  <c r="F303" i="13"/>
  <c r="F18" i="13" s="1"/>
  <c r="AX18" i="13" s="1"/>
  <c r="B351" i="13"/>
  <c r="O339" i="13"/>
  <c r="O367" i="13"/>
  <c r="O22" i="13" s="1"/>
  <c r="F334" i="13"/>
  <c r="L383" i="13"/>
  <c r="L23" i="13" s="1"/>
  <c r="F419" i="13"/>
  <c r="AP40" i="14"/>
  <c r="AP41" i="14" s="1"/>
  <c r="AP42" i="14" s="1"/>
  <c r="AP43" i="14" s="1"/>
  <c r="AP44" i="14" s="1"/>
  <c r="AP45" i="14" s="1"/>
  <c r="AP46" i="14" s="1"/>
  <c r="AP47" i="14" s="1"/>
  <c r="AP48" i="14" s="1"/>
  <c r="AP49" i="14" s="1"/>
  <c r="AP50" i="14" s="1"/>
  <c r="AP51" i="14" s="1"/>
  <c r="P40" i="14"/>
  <c r="N62" i="14"/>
  <c r="F445" i="13"/>
  <c r="F429" i="13" s="1"/>
  <c r="AM68" i="14"/>
  <c r="O87" i="14"/>
  <c r="R87" i="14" s="1"/>
  <c r="L87" i="14"/>
  <c r="AU56" i="15"/>
  <c r="BC200" i="15"/>
  <c r="Q184" i="15"/>
  <c r="M287" i="15"/>
  <c r="AU287" i="15" s="1"/>
  <c r="AU319" i="15"/>
  <c r="D356" i="15"/>
  <c r="L131" i="13"/>
  <c r="B135" i="13"/>
  <c r="E136" i="13"/>
  <c r="H137" i="13"/>
  <c r="K138" i="13"/>
  <c r="N139" i="13"/>
  <c r="P134" i="13"/>
  <c r="E191" i="13"/>
  <c r="E11" i="13" s="1"/>
  <c r="O197" i="13"/>
  <c r="I255" i="13"/>
  <c r="I15" i="13" s="1"/>
  <c r="BA15" i="13" s="1"/>
  <c r="H287" i="13"/>
  <c r="H17" i="13" s="1"/>
  <c r="AG287" i="13"/>
  <c r="AG17" i="13" s="1"/>
  <c r="O319" i="13"/>
  <c r="O19" i="13" s="1"/>
  <c r="BG19" i="13" s="1"/>
  <c r="AK319" i="13"/>
  <c r="AK19" i="13" s="1"/>
  <c r="CC19" i="13" s="1"/>
  <c r="P323" i="13"/>
  <c r="K330" i="13"/>
  <c r="P367" i="13"/>
  <c r="P22" i="13" s="1"/>
  <c r="M383" i="13"/>
  <c r="M23" i="13" s="1"/>
  <c r="P383" i="13"/>
  <c r="P23" i="13" s="1"/>
  <c r="AL383" i="13"/>
  <c r="AL23" i="13" s="1"/>
  <c r="CD23" i="13" s="1"/>
  <c r="T383" i="13"/>
  <c r="T23" i="13" s="1"/>
  <c r="BL23" i="13" s="1"/>
  <c r="C399" i="13"/>
  <c r="O29" i="14"/>
  <c r="R29" i="14" s="1"/>
  <c r="I29" i="14"/>
  <c r="I32" i="14"/>
  <c r="Q40" i="14"/>
  <c r="AQ40" i="14"/>
  <c r="AQ41" i="14" s="1"/>
  <c r="AQ42" i="14" s="1"/>
  <c r="AQ43" i="14" s="1"/>
  <c r="AQ44" i="14" s="1"/>
  <c r="AQ45" i="14" s="1"/>
  <c r="AQ46" i="14" s="1"/>
  <c r="AQ47" i="14" s="1"/>
  <c r="AQ48" i="14" s="1"/>
  <c r="AQ49" i="14" s="1"/>
  <c r="AQ50" i="14" s="1"/>
  <c r="AQ51" i="14" s="1"/>
  <c r="O81" i="14"/>
  <c r="R81" i="14" s="1"/>
  <c r="I81" i="14"/>
  <c r="H446" i="13"/>
  <c r="H430" i="13" s="1"/>
  <c r="N87" i="14"/>
  <c r="O100" i="14"/>
  <c r="R100" i="14" s="1"/>
  <c r="I100" i="14"/>
  <c r="AO100" i="14"/>
  <c r="P112" i="14"/>
  <c r="AP112" i="14"/>
  <c r="I112" i="14"/>
  <c r="BA113" i="14"/>
  <c r="I130" i="14"/>
  <c r="O130" i="14"/>
  <c r="R130" i="14" s="1"/>
  <c r="N137" i="14"/>
  <c r="M436" i="13"/>
  <c r="M420" i="13" s="1"/>
  <c r="N178" i="14"/>
  <c r="P441" i="13"/>
  <c r="P425" i="13" s="1"/>
  <c r="G42" i="15"/>
  <c r="D123" i="13"/>
  <c r="I138" i="13"/>
  <c r="F191" i="13"/>
  <c r="F11" i="13" s="1"/>
  <c r="W223" i="13"/>
  <c r="W13" i="13" s="1"/>
  <c r="L195" i="13"/>
  <c r="L239" i="13"/>
  <c r="L14" i="13" s="1"/>
  <c r="J255" i="13"/>
  <c r="J15" i="13" s="1"/>
  <c r="BB15" i="13" s="1"/>
  <c r="F259" i="13"/>
  <c r="I260" i="13"/>
  <c r="I117" i="3" s="1"/>
  <c r="I197" i="3" s="1"/>
  <c r="L261" i="13"/>
  <c r="L118" i="3" s="1"/>
  <c r="L198" i="3" s="1"/>
  <c r="E266" i="13"/>
  <c r="E123" i="3" s="1"/>
  <c r="E203" i="3" s="1"/>
  <c r="P319" i="13"/>
  <c r="P19" i="13" s="1"/>
  <c r="AL319" i="13"/>
  <c r="AL19" i="13" s="1"/>
  <c r="CD19" i="13" s="1"/>
  <c r="S319" i="13"/>
  <c r="S19" i="13" s="1"/>
  <c r="BK19" i="13" s="1"/>
  <c r="E351" i="13"/>
  <c r="Q339" i="13"/>
  <c r="K342" i="13"/>
  <c r="K326" i="13" s="1"/>
  <c r="K367" i="13"/>
  <c r="K22" i="13" s="1"/>
  <c r="L345" i="13"/>
  <c r="L329" i="13" s="1"/>
  <c r="L330" i="13"/>
  <c r="N383" i="13"/>
  <c r="N23" i="13" s="1"/>
  <c r="Q383" i="13"/>
  <c r="Q23" i="13" s="1"/>
  <c r="BI23" i="13" s="1"/>
  <c r="H333" i="13"/>
  <c r="D440" i="13"/>
  <c r="D424" i="13" s="1"/>
  <c r="N33" i="14"/>
  <c r="O52" i="14"/>
  <c r="R52" i="14" s="1"/>
  <c r="I59" i="14"/>
  <c r="J439" i="13"/>
  <c r="J423" i="13" s="1"/>
  <c r="N104" i="14"/>
  <c r="O149" i="14"/>
  <c r="R149" i="14" s="1"/>
  <c r="I149" i="14"/>
  <c r="I163" i="14"/>
  <c r="O163" i="14"/>
  <c r="R163" i="14" s="1"/>
  <c r="Q169" i="14"/>
  <c r="I169" i="14"/>
  <c r="H49" i="15"/>
  <c r="K325" i="15"/>
  <c r="K290" i="15"/>
  <c r="M319" i="13"/>
  <c r="M19" i="13" s="1"/>
  <c r="AI319" i="13"/>
  <c r="AI19" i="13" s="1"/>
  <c r="CA19" i="13" s="1"/>
  <c r="E328" i="13"/>
  <c r="M330" i="13"/>
  <c r="C334" i="13"/>
  <c r="R383" i="13"/>
  <c r="R23" i="13" s="1"/>
  <c r="BJ23" i="13" s="1"/>
  <c r="AN383" i="13"/>
  <c r="AN23" i="13" s="1"/>
  <c r="CF23" i="13" s="1"/>
  <c r="B415" i="13"/>
  <c r="B24" i="13" s="1"/>
  <c r="AT24" i="13" s="1"/>
  <c r="H447" i="13"/>
  <c r="H26" i="13" s="1"/>
  <c r="I22" i="14"/>
  <c r="AY28" i="14"/>
  <c r="AK29" i="14"/>
  <c r="AN28" i="14"/>
  <c r="I44" i="14"/>
  <c r="I69" i="14"/>
  <c r="O75" i="14"/>
  <c r="R75" i="14" s="1"/>
  <c r="P82" i="14"/>
  <c r="I82" i="14"/>
  <c r="J440" i="13"/>
  <c r="J424" i="13" s="1"/>
  <c r="N105" i="14"/>
  <c r="AN113" i="14"/>
  <c r="O147" i="14"/>
  <c r="R147" i="14" s="1"/>
  <c r="N147" i="14"/>
  <c r="I172" i="14"/>
  <c r="O172" i="14"/>
  <c r="R172" i="14" s="1"/>
  <c r="BU15" i="15"/>
  <c r="Z14" i="15"/>
  <c r="I42" i="15"/>
  <c r="B44" i="15"/>
  <c r="K48" i="15"/>
  <c r="H50" i="15"/>
  <c r="G84" i="15"/>
  <c r="G4" i="15" s="1"/>
  <c r="G60" i="15"/>
  <c r="AW126" i="15"/>
  <c r="N110" i="15"/>
  <c r="AY127" i="15"/>
  <c r="O111" i="15"/>
  <c r="AC114" i="20"/>
  <c r="AD113" i="20"/>
  <c r="P259" i="13"/>
  <c r="AL259" i="13"/>
  <c r="S260" i="13"/>
  <c r="S117" i="3" s="1"/>
  <c r="AO260" i="13"/>
  <c r="AO271" i="13" s="1"/>
  <c r="V261" i="13"/>
  <c r="V118" i="3" s="1"/>
  <c r="C262" i="13"/>
  <c r="C119" i="3" s="1"/>
  <c r="C151" i="3" s="1"/>
  <c r="Y262" i="13"/>
  <c r="Y119" i="3" s="1"/>
  <c r="F263" i="13"/>
  <c r="F120" i="3" s="1"/>
  <c r="F200" i="3" s="1"/>
  <c r="F168" i="3" s="1"/>
  <c r="F314" i="3" s="1"/>
  <c r="AB263" i="13"/>
  <c r="I264" i="13"/>
  <c r="I121" i="3" s="1"/>
  <c r="AE264" i="13"/>
  <c r="L265" i="13"/>
  <c r="AH265" i="13"/>
  <c r="AH271" i="13" s="1"/>
  <c r="O266" i="13"/>
  <c r="O122" i="13" s="1"/>
  <c r="AK266" i="13"/>
  <c r="AK271" i="13" s="1"/>
  <c r="R267" i="13"/>
  <c r="R124" i="3" s="1"/>
  <c r="AN267" i="13"/>
  <c r="U268" i="13"/>
  <c r="U125" i="3" s="1"/>
  <c r="B269" i="13"/>
  <c r="B126" i="3" s="1"/>
  <c r="B94" i="3" s="1"/>
  <c r="X269" i="13"/>
  <c r="X126" i="3" s="1"/>
  <c r="E270" i="13"/>
  <c r="E127" i="3" s="1"/>
  <c r="E207" i="3" s="1"/>
  <c r="AA270" i="13"/>
  <c r="N319" i="13"/>
  <c r="N19" i="13" s="1"/>
  <c r="AJ319" i="13"/>
  <c r="AJ19" i="13" s="1"/>
  <c r="CB19" i="13" s="1"/>
  <c r="F344" i="13"/>
  <c r="F328" i="13" s="1"/>
  <c r="N330" i="13"/>
  <c r="D334" i="13"/>
  <c r="S383" i="13"/>
  <c r="S23" i="13" s="1"/>
  <c r="BK23" i="13" s="1"/>
  <c r="AO383" i="13"/>
  <c r="AO23" i="13" s="1"/>
  <c r="CG23" i="13" s="1"/>
  <c r="I5" i="14"/>
  <c r="O26" i="14"/>
  <c r="R26" i="14" s="1"/>
  <c r="I26" i="14"/>
  <c r="AZ28" i="14"/>
  <c r="AL29" i="14"/>
  <c r="G440" i="13"/>
  <c r="G424" i="13" s="1"/>
  <c r="N69" i="14"/>
  <c r="L88" i="14"/>
  <c r="AS88" i="14"/>
  <c r="I117" i="14"/>
  <c r="O134" i="14"/>
  <c r="R134" i="14" s="1"/>
  <c r="I134" i="14"/>
  <c r="BK6" i="15"/>
  <c r="AS64" i="15"/>
  <c r="I50" i="15"/>
  <c r="C50" i="15"/>
  <c r="AW178" i="15"/>
  <c r="N114" i="15"/>
  <c r="AW114" i="15" s="1"/>
  <c r="G10" i="15"/>
  <c r="G13" i="15"/>
  <c r="BA319" i="15"/>
  <c r="P287" i="15"/>
  <c r="BA287" i="15" s="1"/>
  <c r="J325" i="15"/>
  <c r="J290" i="15"/>
  <c r="AH100" i="16"/>
  <c r="AG101" i="16"/>
  <c r="Q303" i="13"/>
  <c r="Q18" i="13" s="1"/>
  <c r="BI18" i="13" s="1"/>
  <c r="AM303" i="13"/>
  <c r="AM18" i="13" s="1"/>
  <c r="CE18" i="13" s="1"/>
  <c r="B367" i="13"/>
  <c r="B22" i="13" s="1"/>
  <c r="B21" i="13" s="1"/>
  <c r="O340" i="13"/>
  <c r="O324" i="13" s="1"/>
  <c r="O36" i="13" s="1"/>
  <c r="I344" i="13"/>
  <c r="I328" i="13" s="1"/>
  <c r="D367" i="13"/>
  <c r="D22" i="13" s="1"/>
  <c r="V383" i="13"/>
  <c r="V23" i="13" s="1"/>
  <c r="BN23" i="13" s="1"/>
  <c r="C383" i="13"/>
  <c r="C23" i="13" s="1"/>
  <c r="AU23" i="13" s="1"/>
  <c r="Y383" i="13"/>
  <c r="Y23" i="13" s="1"/>
  <c r="BQ23" i="13" s="1"/>
  <c r="F383" i="13"/>
  <c r="F23" i="13" s="1"/>
  <c r="AX23" i="13" s="1"/>
  <c r="I383" i="13"/>
  <c r="I23" i="13" s="1"/>
  <c r="B399" i="13"/>
  <c r="R69" i="14"/>
  <c r="I76" i="14"/>
  <c r="AO76" i="14"/>
  <c r="R94" i="14"/>
  <c r="AW103" i="14"/>
  <c r="AX102" i="14"/>
  <c r="R131" i="14"/>
  <c r="AK176" i="14"/>
  <c r="O125" i="15"/>
  <c r="AY141" i="15"/>
  <c r="I228" i="15"/>
  <c r="I184" i="15"/>
  <c r="AS222" i="15"/>
  <c r="L190" i="15"/>
  <c r="AS190" i="15" s="1"/>
  <c r="AW265" i="15"/>
  <c r="N233" i="15"/>
  <c r="AW233" i="15" s="1"/>
  <c r="O345" i="15"/>
  <c r="AY345" i="15" s="1"/>
  <c r="AY377" i="15"/>
  <c r="AL287" i="13"/>
  <c r="AL17" i="13" s="1"/>
  <c r="F351" i="13"/>
  <c r="F323" i="13"/>
  <c r="D351" i="13"/>
  <c r="Q340" i="13"/>
  <c r="Q324" i="13" s="1"/>
  <c r="F367" i="13"/>
  <c r="F22" i="13" s="1"/>
  <c r="B383" i="13"/>
  <c r="B23" i="13" s="1"/>
  <c r="X383" i="13"/>
  <c r="X23" i="13" s="1"/>
  <c r="BP23" i="13" s="1"/>
  <c r="D399" i="13"/>
  <c r="AN5" i="14"/>
  <c r="O58" i="14"/>
  <c r="R58" i="14" s="1"/>
  <c r="I58" i="14"/>
  <c r="O64" i="14"/>
  <c r="R64" i="14" s="1"/>
  <c r="I64" i="14"/>
  <c r="AO64" i="14"/>
  <c r="BA76" i="14"/>
  <c r="AQ77" i="14"/>
  <c r="AL89" i="14"/>
  <c r="I440" i="13"/>
  <c r="I424" i="13" s="1"/>
  <c r="N93" i="14"/>
  <c r="O115" i="14"/>
  <c r="R115" i="14" s="1"/>
  <c r="I115" i="14"/>
  <c r="N153" i="14"/>
  <c r="N440" i="13"/>
  <c r="N424" i="13" s="1"/>
  <c r="AV175" i="14"/>
  <c r="K3" i="15"/>
  <c r="K23" i="6" s="1"/>
  <c r="K228" i="15"/>
  <c r="K184" i="15"/>
  <c r="AW222" i="15"/>
  <c r="N190" i="15"/>
  <c r="AW190" i="15" s="1"/>
  <c r="AU256" i="15"/>
  <c r="M260" i="15"/>
  <c r="M240" i="15"/>
  <c r="AU240" i="15" s="1"/>
  <c r="E287" i="15"/>
  <c r="E47" i="15" s="1"/>
  <c r="E308" i="15"/>
  <c r="E19" i="15" s="1"/>
  <c r="BA312" i="15"/>
  <c r="P324" i="15"/>
  <c r="V287" i="13"/>
  <c r="V17" i="13" s="1"/>
  <c r="T303" i="13"/>
  <c r="T18" i="13" s="1"/>
  <c r="BL18" i="13" s="1"/>
  <c r="AP303" i="13"/>
  <c r="AP18" i="13" s="1"/>
  <c r="CH18" i="13" s="1"/>
  <c r="AQ5" i="14"/>
  <c r="AQ6" i="14" s="1"/>
  <c r="AQ7" i="14" s="1"/>
  <c r="AQ8" i="14" s="1"/>
  <c r="AQ9" i="14" s="1"/>
  <c r="AQ10" i="14" s="1"/>
  <c r="AQ11" i="14" s="1"/>
  <c r="AQ12" i="14" s="1"/>
  <c r="AQ13" i="14" s="1"/>
  <c r="AQ14" i="14" s="1"/>
  <c r="AQ15" i="14" s="1"/>
  <c r="AI18" i="14"/>
  <c r="AJ18" i="14" s="1"/>
  <c r="M18" i="14" s="1"/>
  <c r="O18" i="14" s="1"/>
  <c r="R18" i="14" s="1"/>
  <c r="AI24" i="14"/>
  <c r="AJ24" i="14" s="1"/>
  <c r="M24" i="14" s="1"/>
  <c r="AM42" i="14"/>
  <c r="I54" i="14"/>
  <c r="AS76" i="14"/>
  <c r="L76" i="14"/>
  <c r="O78" i="14"/>
  <c r="R78" i="14" s="1"/>
  <c r="I78" i="14"/>
  <c r="I98" i="14"/>
  <c r="O98" i="14"/>
  <c r="R98" i="14" s="1"/>
  <c r="AM101" i="14"/>
  <c r="BA100" i="14"/>
  <c r="I131" i="14"/>
  <c r="AO136" i="14"/>
  <c r="O136" i="14"/>
  <c r="I136" i="14"/>
  <c r="O161" i="14"/>
  <c r="R161" i="14" s="1"/>
  <c r="I161" i="14"/>
  <c r="O169" i="14"/>
  <c r="R169" i="14" s="1"/>
  <c r="N185" i="14"/>
  <c r="Q436" i="13"/>
  <c r="Q420" i="13" s="1"/>
  <c r="N162" i="17"/>
  <c r="N9" i="17" s="1"/>
  <c r="N121" i="17"/>
  <c r="P287" i="13"/>
  <c r="P17" i="13" s="1"/>
  <c r="N333" i="13"/>
  <c r="H367" i="13"/>
  <c r="H22" i="13" s="1"/>
  <c r="D383" i="13"/>
  <c r="D23" i="13" s="1"/>
  <c r="AV23" i="13" s="1"/>
  <c r="Z383" i="13"/>
  <c r="Z23" i="13" s="1"/>
  <c r="BR23" i="13" s="1"/>
  <c r="AU5" i="14"/>
  <c r="AU6" i="14" s="1"/>
  <c r="AU7" i="14" s="1"/>
  <c r="AU8" i="14" s="1"/>
  <c r="AU9" i="14" s="1"/>
  <c r="AU10" i="14" s="1"/>
  <c r="AU11" i="14" s="1"/>
  <c r="AU12" i="14" s="1"/>
  <c r="AU13" i="14" s="1"/>
  <c r="AU14" i="14" s="1"/>
  <c r="AU15" i="14" s="1"/>
  <c r="AK17" i="14"/>
  <c r="N21" i="14"/>
  <c r="C440" i="13"/>
  <c r="C424" i="13" s="1"/>
  <c r="I35" i="14"/>
  <c r="N50" i="14"/>
  <c r="N76" i="14"/>
  <c r="AW76" i="14"/>
  <c r="AO89" i="14"/>
  <c r="AO112" i="14"/>
  <c r="O112" i="14"/>
  <c r="O124" i="14"/>
  <c r="I124" i="14"/>
  <c r="I141" i="14"/>
  <c r="O141" i="14"/>
  <c r="R141" i="14" s="1"/>
  <c r="L155" i="14"/>
  <c r="P173" i="14"/>
  <c r="R173" i="14" s="1"/>
  <c r="I173" i="14"/>
  <c r="R182" i="14"/>
  <c r="AU216" i="15"/>
  <c r="M228" i="15"/>
  <c r="AU228" i="15" s="1"/>
  <c r="M184" i="15"/>
  <c r="BA222" i="15"/>
  <c r="P228" i="15"/>
  <c r="BA228" i="15" s="1"/>
  <c r="O146" i="17"/>
  <c r="O8" i="17" s="1"/>
  <c r="K210" i="17"/>
  <c r="K12" i="17" s="1"/>
  <c r="K182" i="17"/>
  <c r="O333" i="13"/>
  <c r="B342" i="13"/>
  <c r="B326" i="13" s="1"/>
  <c r="N331" i="13"/>
  <c r="E383" i="13"/>
  <c r="E23" i="13" s="1"/>
  <c r="AA383" i="13"/>
  <c r="AA23" i="13" s="1"/>
  <c r="BS23" i="13" s="1"/>
  <c r="AS5" i="14"/>
  <c r="AL17" i="14"/>
  <c r="AZ16" i="14"/>
  <c r="J17" i="14"/>
  <c r="L17" i="14" s="1"/>
  <c r="AI17" i="14"/>
  <c r="AJ17" i="14" s="1"/>
  <c r="M17" i="14" s="1"/>
  <c r="J20" i="14"/>
  <c r="AI20" i="14"/>
  <c r="AJ20" i="14" s="1"/>
  <c r="M20" i="14" s="1"/>
  <c r="AI39" i="14"/>
  <c r="AJ39" i="14" s="1"/>
  <c r="M39" i="14" s="1"/>
  <c r="I51" i="14"/>
  <c r="AQ90" i="14"/>
  <c r="AQ91" i="14" s="1"/>
  <c r="AQ92" i="14" s="1"/>
  <c r="AQ93" i="14" s="1"/>
  <c r="AQ94" i="14" s="1"/>
  <c r="AQ95" i="14" s="1"/>
  <c r="AQ96" i="14" s="1"/>
  <c r="AQ97" i="14" s="1"/>
  <c r="AQ98" i="14" s="1"/>
  <c r="AQ99" i="14" s="1"/>
  <c r="I116" i="14"/>
  <c r="R144" i="14"/>
  <c r="J84" i="15"/>
  <c r="J4" i="15" s="1"/>
  <c r="BA76" i="15"/>
  <c r="P60" i="15"/>
  <c r="P124" i="15"/>
  <c r="BA140" i="15"/>
  <c r="J244" i="15"/>
  <c r="D260" i="15"/>
  <c r="D15" i="15" s="1"/>
  <c r="D14" i="15" s="1"/>
  <c r="D26" i="6" s="1"/>
  <c r="D232" i="15"/>
  <c r="D244" i="15" s="1"/>
  <c r="AS255" i="15"/>
  <c r="L260" i="15"/>
  <c r="AS300" i="15"/>
  <c r="L308" i="15"/>
  <c r="Q303" i="15" s="1"/>
  <c r="AX9" i="18"/>
  <c r="AZ8" i="18"/>
  <c r="O4" i="14"/>
  <c r="R4" i="14" s="1"/>
  <c r="I4" i="14"/>
  <c r="AM20" i="14"/>
  <c r="O34" i="14"/>
  <c r="R34" i="14" s="1"/>
  <c r="N58" i="14"/>
  <c r="F441" i="13"/>
  <c r="F425" i="13" s="1"/>
  <c r="O103" i="14"/>
  <c r="R103" i="14" s="1"/>
  <c r="O118" i="14"/>
  <c r="R118" i="14" s="1"/>
  <c r="O184" i="14"/>
  <c r="I184" i="14"/>
  <c r="AO184" i="14"/>
  <c r="AW57" i="15"/>
  <c r="E232" i="15"/>
  <c r="E244" i="15" s="1"/>
  <c r="E260" i="15"/>
  <c r="E15" i="15" s="1"/>
  <c r="E14" i="15" s="1"/>
  <c r="E26" i="6" s="1"/>
  <c r="AW9" i="17"/>
  <c r="K328" i="13"/>
  <c r="I329" i="13"/>
  <c r="P331" i="13"/>
  <c r="P43" i="13" s="1"/>
  <c r="G383" i="13"/>
  <c r="G23" i="13" s="1"/>
  <c r="AY23" i="13" s="1"/>
  <c r="AC383" i="13"/>
  <c r="AC23" i="13" s="1"/>
  <c r="BU23" i="13" s="1"/>
  <c r="C328" i="13"/>
  <c r="M415" i="13"/>
  <c r="M24" i="13" s="1"/>
  <c r="O49" i="14"/>
  <c r="R49" i="14" s="1"/>
  <c r="G438" i="13"/>
  <c r="G422" i="13" s="1"/>
  <c r="N67" i="14"/>
  <c r="O107" i="14"/>
  <c r="R107" i="14" s="1"/>
  <c r="P135" i="14"/>
  <c r="R135" i="14" s="1"/>
  <c r="I135" i="14"/>
  <c r="P184" i="14"/>
  <c r="AP184" i="14"/>
  <c r="K100" i="15"/>
  <c r="K5" i="15" s="1"/>
  <c r="K56" i="15"/>
  <c r="M185" i="15"/>
  <c r="AU185" i="15" s="1"/>
  <c r="M212" i="15"/>
  <c r="AU201" i="15"/>
  <c r="AS232" i="15"/>
  <c r="AH244" i="15"/>
  <c r="AH89" i="16"/>
  <c r="AG90" i="16"/>
  <c r="P89" i="16"/>
  <c r="AR89" i="16"/>
  <c r="AR90" i="16" s="1"/>
  <c r="AR91" i="16" s="1"/>
  <c r="AR92" i="16" s="1"/>
  <c r="AR93" i="16" s="1"/>
  <c r="AR94" i="16" s="1"/>
  <c r="AR95" i="16" s="1"/>
  <c r="AR96" i="16" s="1"/>
  <c r="AR97" i="16" s="1"/>
  <c r="AR98" i="16" s="1"/>
  <c r="AR99" i="16" s="1"/>
  <c r="C319" i="13"/>
  <c r="C19" i="13" s="1"/>
  <c r="AU19" i="13" s="1"/>
  <c r="Y319" i="13"/>
  <c r="Y19" i="13" s="1"/>
  <c r="BQ19" i="13" s="1"/>
  <c r="J345" i="13"/>
  <c r="J329" i="13" s="1"/>
  <c r="J335" i="13" s="1"/>
  <c r="C346" i="13"/>
  <c r="C330" i="13" s="1"/>
  <c r="C42" i="13" s="1"/>
  <c r="H383" i="13"/>
  <c r="H23" i="13" s="1"/>
  <c r="AZ23" i="13" s="1"/>
  <c r="H339" i="13"/>
  <c r="AD383" i="13"/>
  <c r="AD23" i="13" s="1"/>
  <c r="BV23" i="13" s="1"/>
  <c r="H440" i="13"/>
  <c r="H424" i="13" s="1"/>
  <c r="O14" i="14"/>
  <c r="R14" i="14" s="1"/>
  <c r="AQ18" i="14"/>
  <c r="BA17" i="14"/>
  <c r="AI35" i="14"/>
  <c r="AJ35" i="14" s="1"/>
  <c r="M35" i="14" s="1"/>
  <c r="O171" i="14"/>
  <c r="R171" i="14" s="1"/>
  <c r="I171" i="14"/>
  <c r="R164" i="15"/>
  <c r="BE9" i="15"/>
  <c r="R6" i="15"/>
  <c r="AN164" i="15"/>
  <c r="AN6" i="15"/>
  <c r="CQ9" i="15"/>
  <c r="BS26" i="15"/>
  <c r="Y25" i="15"/>
  <c r="BS25" i="15" s="1"/>
  <c r="BQ26" i="15"/>
  <c r="L100" i="15"/>
  <c r="AS88" i="15"/>
  <c r="F113" i="15"/>
  <c r="F49" i="15" s="1"/>
  <c r="F238" i="4" s="1"/>
  <c r="I189" i="15"/>
  <c r="I45" i="15" s="1"/>
  <c r="I212" i="15"/>
  <c r="I12" i="15" s="1"/>
  <c r="AU232" i="15"/>
  <c r="AY19" i="16"/>
  <c r="AY20" i="16" s="1"/>
  <c r="AY21" i="16" s="1"/>
  <c r="AY22" i="16" s="1"/>
  <c r="AY23" i="16" s="1"/>
  <c r="AY24" i="16" s="1"/>
  <c r="AY25" i="16" s="1"/>
  <c r="AY26" i="16" s="1"/>
  <c r="AY27" i="16" s="1"/>
  <c r="AZ18" i="16"/>
  <c r="O102" i="17"/>
  <c r="R146" i="17"/>
  <c r="R8" i="17" s="1"/>
  <c r="E42" i="17"/>
  <c r="B162" i="17"/>
  <c r="B9" i="17" s="1"/>
  <c r="D319" i="13"/>
  <c r="D19" i="13" s="1"/>
  <c r="AV19" i="13" s="1"/>
  <c r="Z319" i="13"/>
  <c r="Z19" i="13" s="1"/>
  <c r="BR19" i="13" s="1"/>
  <c r="M325" i="13"/>
  <c r="K329" i="13"/>
  <c r="N37" i="14"/>
  <c r="D444" i="13"/>
  <c r="D428" i="13" s="1"/>
  <c r="O43" i="14"/>
  <c r="R43" i="14" s="1"/>
  <c r="I43" i="14"/>
  <c r="I109" i="14"/>
  <c r="I118" i="14"/>
  <c r="O120" i="14"/>
  <c r="R120" i="14" s="1"/>
  <c r="I133" i="14"/>
  <c r="I152" i="14"/>
  <c r="O152" i="14"/>
  <c r="R152" i="14" s="1"/>
  <c r="I154" i="14"/>
  <c r="O181" i="14"/>
  <c r="R181" i="14" s="1"/>
  <c r="I181" i="14"/>
  <c r="AL6" i="15"/>
  <c r="BI16" i="15"/>
  <c r="T14" i="15"/>
  <c r="Z25" i="15"/>
  <c r="BU25" i="15" s="1"/>
  <c r="BU26" i="15"/>
  <c r="M100" i="15"/>
  <c r="AU88" i="15"/>
  <c r="L212" i="15"/>
  <c r="AS200" i="15"/>
  <c r="L184" i="15"/>
  <c r="L40" i="15" s="1"/>
  <c r="AS40" i="15" s="1"/>
  <c r="J189" i="15"/>
  <c r="J45" i="15" s="1"/>
  <c r="J212" i="15"/>
  <c r="J12" i="15" s="1"/>
  <c r="L282" i="15"/>
  <c r="AS282" i="15" s="1"/>
  <c r="L324" i="15"/>
  <c r="AS314" i="15"/>
  <c r="AM90" i="14"/>
  <c r="BA89" i="14"/>
  <c r="O99" i="14"/>
  <c r="R99" i="14" s="1"/>
  <c r="I99" i="14"/>
  <c r="BA124" i="14"/>
  <c r="AM125" i="14"/>
  <c r="Q184" i="14"/>
  <c r="AQ184" i="14"/>
  <c r="AQ185" i="14" s="1"/>
  <c r="AQ186" i="14" s="1"/>
  <c r="CE26" i="15"/>
  <c r="AE25" i="15"/>
  <c r="CE25" i="15" s="1"/>
  <c r="O120" i="15"/>
  <c r="AY136" i="15"/>
  <c r="AU124" i="15"/>
  <c r="M108" i="15"/>
  <c r="AU108" i="15" s="1"/>
  <c r="BA141" i="15"/>
  <c r="P125" i="15"/>
  <c r="AU168" i="15"/>
  <c r="M180" i="15"/>
  <c r="AW232" i="15"/>
  <c r="B232" i="15"/>
  <c r="B244" i="15" s="1"/>
  <c r="B260" i="15"/>
  <c r="B15" i="15" s="1"/>
  <c r="B14" i="15" s="1"/>
  <c r="B26" i="6" s="1"/>
  <c r="B235" i="15"/>
  <c r="G46" i="15"/>
  <c r="N287" i="15"/>
  <c r="AW287" i="15" s="1"/>
  <c r="AW319" i="15"/>
  <c r="W22" i="16"/>
  <c r="G22" i="16"/>
  <c r="W48" i="16"/>
  <c r="P48" i="16"/>
  <c r="AO114" i="16"/>
  <c r="AO115" i="16" s="1"/>
  <c r="AO116" i="16" s="1"/>
  <c r="AO117" i="16" s="1"/>
  <c r="AO118" i="16" s="1"/>
  <c r="AO119" i="16" s="1"/>
  <c r="AO120" i="16" s="1"/>
  <c r="AO121" i="16" s="1"/>
  <c r="AO122" i="16" s="1"/>
  <c r="AO123" i="16" s="1"/>
  <c r="AQ113" i="16"/>
  <c r="G125" i="16"/>
  <c r="W125" i="16"/>
  <c r="Y125" i="16" s="1"/>
  <c r="W173" i="16"/>
  <c r="Y173" i="16" s="1"/>
  <c r="G173" i="16"/>
  <c r="AI15" i="14"/>
  <c r="AJ15" i="14" s="1"/>
  <c r="M15" i="14" s="1"/>
  <c r="O55" i="14"/>
  <c r="R55" i="14" s="1"/>
  <c r="I55" i="14"/>
  <c r="I65" i="14"/>
  <c r="AK77" i="14"/>
  <c r="O128" i="14"/>
  <c r="R128" i="14" s="1"/>
  <c r="I138" i="14"/>
  <c r="O151" i="14"/>
  <c r="R151" i="14" s="1"/>
  <c r="L151" i="14"/>
  <c r="O156" i="14"/>
  <c r="R156" i="14" s="1"/>
  <c r="I156" i="14"/>
  <c r="I177" i="14"/>
  <c r="CG26" i="15"/>
  <c r="AF25" i="15"/>
  <c r="CG25" i="15" s="1"/>
  <c r="M66" i="15"/>
  <c r="M58" i="15"/>
  <c r="M84" i="15"/>
  <c r="AY78" i="15"/>
  <c r="O62" i="15"/>
  <c r="B107" i="15"/>
  <c r="B43" i="15" s="1"/>
  <c r="P120" i="15"/>
  <c r="P83" i="4" s="1"/>
  <c r="P148" i="15"/>
  <c r="BC169" i="15"/>
  <c r="Q105" i="15"/>
  <c r="C196" i="15"/>
  <c r="C260" i="15"/>
  <c r="C15" i="15" s="1"/>
  <c r="C14" i="15" s="1"/>
  <c r="C26" i="6" s="1"/>
  <c r="C232" i="15"/>
  <c r="C244" i="15" s="1"/>
  <c r="BC298" i="15"/>
  <c r="K282" i="15"/>
  <c r="K324" i="15"/>
  <c r="K20" i="15" s="1"/>
  <c r="K18" i="15" s="1"/>
  <c r="AY319" i="15"/>
  <c r="O287" i="15"/>
  <c r="AY287" i="15" s="1"/>
  <c r="AY383" i="15"/>
  <c r="O351" i="15"/>
  <c r="AY351" i="15" s="1"/>
  <c r="AQ7" i="16"/>
  <c r="AP8" i="16"/>
  <c r="AK42" i="14"/>
  <c r="O46" i="14"/>
  <c r="I106" i="14"/>
  <c r="I108" i="14"/>
  <c r="I128" i="14"/>
  <c r="O146" i="14"/>
  <c r="R146" i="14" s="1"/>
  <c r="I146" i="14"/>
  <c r="P160" i="14"/>
  <c r="AP160" i="14"/>
  <c r="O167" i="14"/>
  <c r="R167" i="14" s="1"/>
  <c r="I167" i="14"/>
  <c r="AX172" i="14"/>
  <c r="AL185" i="14"/>
  <c r="Q164" i="15"/>
  <c r="BC9" i="15"/>
  <c r="Q6" i="15"/>
  <c r="BW28" i="15"/>
  <c r="AW56" i="15"/>
  <c r="BA136" i="15"/>
  <c r="G148" i="15"/>
  <c r="G8" i="15" s="1"/>
  <c r="G130" i="15"/>
  <c r="G114" i="15" s="1"/>
  <c r="G50" i="15" s="1"/>
  <c r="K131" i="15"/>
  <c r="K115" i="15" s="1"/>
  <c r="B45" i="15"/>
  <c r="BC168" i="15"/>
  <c r="Q104" i="15"/>
  <c r="AW314" i="15"/>
  <c r="N282" i="15"/>
  <c r="AW282" i="15" s="1"/>
  <c r="J344" i="15"/>
  <c r="J356" i="15" s="1"/>
  <c r="J372" i="15"/>
  <c r="J23" i="15" s="1"/>
  <c r="J22" i="15" s="1"/>
  <c r="D355" i="15"/>
  <c r="D51" i="15" s="1"/>
  <c r="BA377" i="15"/>
  <c r="P345" i="15"/>
  <c r="BA345" i="15" s="1"/>
  <c r="E348" i="15"/>
  <c r="E388" i="15"/>
  <c r="E24" i="15" s="1"/>
  <c r="AW382" i="15"/>
  <c r="N350" i="15"/>
  <c r="AW350" i="15" s="1"/>
  <c r="AY420" i="15"/>
  <c r="O26" i="15"/>
  <c r="AN5" i="16"/>
  <c r="AM6" i="16"/>
  <c r="Y150" i="16"/>
  <c r="G154" i="16"/>
  <c r="W154" i="16"/>
  <c r="Y154" i="16" s="1"/>
  <c r="G102" i="17"/>
  <c r="AY56" i="15"/>
  <c r="L123" i="15"/>
  <c r="AS139" i="15"/>
  <c r="B47" i="15"/>
  <c r="C128" i="15"/>
  <c r="C148" i="15"/>
  <c r="C8" i="15" s="1"/>
  <c r="AS210" i="15"/>
  <c r="L194" i="15"/>
  <c r="AS194" i="15" s="1"/>
  <c r="AU322" i="15"/>
  <c r="M290" i="15"/>
  <c r="AU290" i="15" s="1"/>
  <c r="M325" i="15"/>
  <c r="AT5" i="16"/>
  <c r="AS6" i="16"/>
  <c r="G43" i="16"/>
  <c r="W43" i="16"/>
  <c r="Y43" i="16" s="1"/>
  <c r="H102" i="17"/>
  <c r="Y63" i="18"/>
  <c r="AP77" i="14"/>
  <c r="AP78" i="14" s="1"/>
  <c r="AP79" i="14" s="1"/>
  <c r="AP80" i="14" s="1"/>
  <c r="AP81" i="14" s="1"/>
  <c r="AP82" i="14" s="1"/>
  <c r="AP83" i="14" s="1"/>
  <c r="AP84" i="14" s="1"/>
  <c r="AP85" i="14" s="1"/>
  <c r="AP86" i="14" s="1"/>
  <c r="AP87" i="14" s="1"/>
  <c r="AM79" i="14"/>
  <c r="O88" i="14"/>
  <c r="R88" i="14" s="1"/>
  <c r="I88" i="14"/>
  <c r="O114" i="14"/>
  <c r="R114" i="14" s="1"/>
  <c r="O122" i="14"/>
  <c r="R122" i="14" s="1"/>
  <c r="I122" i="14"/>
  <c r="P136" i="14"/>
  <c r="AP136" i="14"/>
  <c r="AP137" i="14" s="1"/>
  <c r="AP138" i="14" s="1"/>
  <c r="AP139" i="14" s="1"/>
  <c r="AP140" i="14" s="1"/>
  <c r="AP141" i="14" s="1"/>
  <c r="AP142" i="14" s="1"/>
  <c r="AP143" i="14" s="1"/>
  <c r="AP144" i="14" s="1"/>
  <c r="AP145" i="14" s="1"/>
  <c r="AP146" i="14" s="1"/>
  <c r="AP147" i="14" s="1"/>
  <c r="L160" i="14"/>
  <c r="AS160" i="14"/>
  <c r="R165" i="14"/>
  <c r="AX174" i="14"/>
  <c r="AW175" i="14"/>
  <c r="CO6" i="15"/>
  <c r="S164" i="15"/>
  <c r="BG9" i="15"/>
  <c r="S6" i="15"/>
  <c r="AO164" i="15"/>
  <c r="AO6" i="15"/>
  <c r="D25" i="15"/>
  <c r="CA28" i="15"/>
  <c r="BA56" i="15"/>
  <c r="E51" i="15"/>
  <c r="AU126" i="15"/>
  <c r="M110" i="15"/>
  <c r="L114" i="15"/>
  <c r="AS114" i="15" s="1"/>
  <c r="AS130" i="15"/>
  <c r="M123" i="15"/>
  <c r="AU139" i="15"/>
  <c r="AW140" i="15"/>
  <c r="AU210" i="15"/>
  <c r="M194" i="15"/>
  <c r="AU194" i="15" s="1"/>
  <c r="AY337" i="15"/>
  <c r="O289" i="15"/>
  <c r="AY289" i="15" s="1"/>
  <c r="AY338" i="15"/>
  <c r="L388" i="15"/>
  <c r="AS376" i="15"/>
  <c r="AT4" i="16"/>
  <c r="AX6" i="16"/>
  <c r="AZ5" i="16"/>
  <c r="G90" i="16"/>
  <c r="W90" i="16"/>
  <c r="Y90" i="16" s="1"/>
  <c r="G96" i="16"/>
  <c r="P107" i="16"/>
  <c r="W107" i="16"/>
  <c r="P150" i="16"/>
  <c r="W150" i="16"/>
  <c r="I23" i="14"/>
  <c r="O56" i="14"/>
  <c r="R56" i="14" s="1"/>
  <c r="O121" i="14"/>
  <c r="R121" i="14" s="1"/>
  <c r="I121" i="14"/>
  <c r="AW160" i="14"/>
  <c r="N160" i="14"/>
  <c r="AM162" i="14"/>
  <c r="BA161" i="14"/>
  <c r="BC56" i="15"/>
  <c r="F51" i="15"/>
  <c r="M114" i="15"/>
  <c r="AU114" i="15" s="1"/>
  <c r="AU130" i="15"/>
  <c r="D180" i="15"/>
  <c r="I180" i="15"/>
  <c r="AU376" i="15"/>
  <c r="M388" i="15"/>
  <c r="I34" i="14"/>
  <c r="AL41" i="14"/>
  <c r="AZ40" i="14"/>
  <c r="AW52" i="14"/>
  <c r="N52" i="14"/>
  <c r="O89" i="14"/>
  <c r="R89" i="14" s="1"/>
  <c r="I89" i="14"/>
  <c r="O96" i="14"/>
  <c r="R96" i="14" s="1"/>
  <c r="L154" i="14"/>
  <c r="AK161" i="14"/>
  <c r="I182" i="14"/>
  <c r="G51" i="15"/>
  <c r="AU74" i="15"/>
  <c r="F100" i="15"/>
  <c r="F5" i="15" s="1"/>
  <c r="N108" i="15"/>
  <c r="AW108" i="15" s="1"/>
  <c r="BA126" i="15"/>
  <c r="P110" i="15"/>
  <c r="AS321" i="15"/>
  <c r="L289" i="15"/>
  <c r="AS289" i="15" s="1"/>
  <c r="L325" i="15"/>
  <c r="I420" i="15"/>
  <c r="I26" i="15" s="1"/>
  <c r="I25" i="15" s="1"/>
  <c r="I392" i="15"/>
  <c r="AV5" i="16"/>
  <c r="AW4" i="16"/>
  <c r="I439" i="13"/>
  <c r="I423" i="13" s="1"/>
  <c r="AW64" i="14"/>
  <c r="N64" i="14"/>
  <c r="I80" i="14"/>
  <c r="I114" i="14"/>
  <c r="O140" i="14"/>
  <c r="R140" i="14" s="1"/>
  <c r="I140" i="14"/>
  <c r="I155" i="14"/>
  <c r="O158" i="14"/>
  <c r="R158" i="14" s="1"/>
  <c r="AL161" i="14"/>
  <c r="I165" i="14"/>
  <c r="N179" i="14"/>
  <c r="I183" i="14"/>
  <c r="J43" i="15"/>
  <c r="H51" i="15"/>
  <c r="K49" i="15"/>
  <c r="K180" i="15"/>
  <c r="G196" i="15"/>
  <c r="AW267" i="15"/>
  <c r="N235" i="15"/>
  <c r="AW235" i="15" s="1"/>
  <c r="AW271" i="15"/>
  <c r="N239" i="15"/>
  <c r="AW239" i="15" s="1"/>
  <c r="AU321" i="15"/>
  <c r="M289" i="15"/>
  <c r="AU289" i="15" s="1"/>
  <c r="J324" i="15"/>
  <c r="J20" i="15" s="1"/>
  <c r="J18" i="15" s="1"/>
  <c r="AS43" i="16"/>
  <c r="AN40" i="14"/>
  <c r="AL53" i="14"/>
  <c r="AZ52" i="14"/>
  <c r="I56" i="14"/>
  <c r="BA160" i="14"/>
  <c r="AL176" i="14"/>
  <c r="O185" i="14"/>
  <c r="R185" i="14" s="1"/>
  <c r="AN14" i="15"/>
  <c r="CQ14" i="15" s="1"/>
  <c r="CQ16" i="15"/>
  <c r="K43" i="15"/>
  <c r="I51" i="15"/>
  <c r="D45" i="15"/>
  <c r="D68" i="15"/>
  <c r="AS79" i="15"/>
  <c r="L65" i="15"/>
  <c r="AS97" i="15"/>
  <c r="D50" i="15"/>
  <c r="AW203" i="15"/>
  <c r="N187" i="15"/>
  <c r="AW187" i="15" s="1"/>
  <c r="AD244" i="15"/>
  <c r="O15" i="15"/>
  <c r="AY260" i="15"/>
  <c r="AW321" i="15"/>
  <c r="N289" i="15"/>
  <c r="AW289" i="15" s="1"/>
  <c r="N325" i="15"/>
  <c r="K420" i="15"/>
  <c r="K26" i="15" s="1"/>
  <c r="K25" i="15" s="1"/>
  <c r="K392" i="15"/>
  <c r="BA409" i="15"/>
  <c r="P393" i="15"/>
  <c r="BA393" i="15" s="1"/>
  <c r="P420" i="15"/>
  <c r="AF138" i="16"/>
  <c r="AH137" i="16"/>
  <c r="W140" i="18"/>
  <c r="Y140" i="18" s="1"/>
  <c r="G140" i="18"/>
  <c r="J22" i="14"/>
  <c r="O82" i="14"/>
  <c r="R82" i="14" s="1"/>
  <c r="I87" i="14"/>
  <c r="I96" i="14"/>
  <c r="AK101" i="14"/>
  <c r="AY100" i="14"/>
  <c r="AQ149" i="14"/>
  <c r="AQ150" i="14" s="1"/>
  <c r="AQ151" i="14" s="1"/>
  <c r="AQ152" i="14" s="1"/>
  <c r="AQ153" i="14" s="1"/>
  <c r="AQ154" i="14" s="1"/>
  <c r="AQ155" i="14" s="1"/>
  <c r="AQ156" i="14" s="1"/>
  <c r="AQ157" i="14" s="1"/>
  <c r="AQ158" i="14" s="1"/>
  <c r="AQ159" i="14" s="1"/>
  <c r="I153" i="14"/>
  <c r="R157" i="14"/>
  <c r="I159" i="14"/>
  <c r="O159" i="14"/>
  <c r="R159" i="14" s="1"/>
  <c r="AN160" i="14"/>
  <c r="O186" i="14"/>
  <c r="R186" i="14" s="1"/>
  <c r="BE16" i="15"/>
  <c r="R14" i="15"/>
  <c r="AY23" i="15"/>
  <c r="CK28" i="15"/>
  <c r="J51" i="15"/>
  <c r="AY82" i="15"/>
  <c r="O66" i="15"/>
  <c r="M65" i="15"/>
  <c r="AU97" i="15"/>
  <c r="AY203" i="15"/>
  <c r="O187" i="15"/>
  <c r="AY187" i="15" s="1"/>
  <c r="BC260" i="15"/>
  <c r="Q15" i="15"/>
  <c r="AM14" i="15"/>
  <c r="CO14" i="15" s="1"/>
  <c r="N324" i="15"/>
  <c r="AS33" i="16"/>
  <c r="AT32" i="16"/>
  <c r="AK136" i="16"/>
  <c r="W163" i="16"/>
  <c r="Y163" i="16" s="1"/>
  <c r="P163" i="16"/>
  <c r="P115" i="18"/>
  <c r="W115" i="18"/>
  <c r="Y115" i="18" s="1"/>
  <c r="H445" i="13"/>
  <c r="H429" i="13" s="1"/>
  <c r="J33" i="14"/>
  <c r="AN52" i="14"/>
  <c r="AL101" i="14"/>
  <c r="AZ100" i="14"/>
  <c r="O111" i="14"/>
  <c r="R111" i="14" s="1"/>
  <c r="I111" i="14"/>
  <c r="I120" i="14"/>
  <c r="I125" i="14"/>
  <c r="I127" i="14"/>
  <c r="L148" i="14"/>
  <c r="AS148" i="14"/>
  <c r="I158" i="14"/>
  <c r="L50" i="15"/>
  <c r="AS50" i="15" s="1"/>
  <c r="AU59" i="15"/>
  <c r="J48" i="15"/>
  <c r="K51" i="15"/>
  <c r="P66" i="15"/>
  <c r="BA82" i="15"/>
  <c r="E43" i="15"/>
  <c r="G109" i="15"/>
  <c r="P187" i="15"/>
  <c r="BA187" i="15" s="1"/>
  <c r="BA203" i="15"/>
  <c r="BA321" i="15"/>
  <c r="P289" i="15"/>
  <c r="BA289" i="15" s="1"/>
  <c r="P325" i="15"/>
  <c r="AT31" i="16"/>
  <c r="AX41" i="16"/>
  <c r="AZ40" i="16"/>
  <c r="H182" i="17"/>
  <c r="H194" i="17" s="1"/>
  <c r="H210" i="17"/>
  <c r="H12" i="17" s="1"/>
  <c r="T157" i="19"/>
  <c r="D301" i="19"/>
  <c r="D18" i="19" s="1"/>
  <c r="D258" i="19"/>
  <c r="Z301" i="19"/>
  <c r="Z18" i="19" s="1"/>
  <c r="Z258" i="19"/>
  <c r="Z269" i="19" s="1"/>
  <c r="BN301" i="19"/>
  <c r="P18" i="19"/>
  <c r="BN18" i="19" s="1"/>
  <c r="E61" i="21"/>
  <c r="E33" i="21"/>
  <c r="AY112" i="14"/>
  <c r="I180" i="14"/>
  <c r="L184" i="14"/>
  <c r="AS184" i="14"/>
  <c r="CI26" i="15"/>
  <c r="AG25" i="15"/>
  <c r="CI25" i="15" s="1"/>
  <c r="I48" i="15"/>
  <c r="D112" i="15"/>
  <c r="D48" i="15" s="1"/>
  <c r="AY140" i="15"/>
  <c r="O124" i="15"/>
  <c r="E50" i="15"/>
  <c r="E164" i="15"/>
  <c r="E9" i="15" s="1"/>
  <c r="N180" i="15"/>
  <c r="AW173" i="15"/>
  <c r="N212" i="15"/>
  <c r="AW201" i="15"/>
  <c r="G189" i="15"/>
  <c r="G45" i="15" s="1"/>
  <c r="AG244" i="15"/>
  <c r="Z244" i="15"/>
  <c r="P282" i="15"/>
  <c r="BA282" i="15" s="1"/>
  <c r="BA298" i="15"/>
  <c r="M284" i="15"/>
  <c r="AU284" i="15" s="1"/>
  <c r="AU300" i="15"/>
  <c r="B281" i="15"/>
  <c r="B41" i="15" s="1"/>
  <c r="B324" i="15"/>
  <c r="B20" i="15" s="1"/>
  <c r="AS319" i="15"/>
  <c r="L287" i="15"/>
  <c r="AS287" i="15" s="1"/>
  <c r="BA338" i="15"/>
  <c r="P290" i="15"/>
  <c r="BA290" i="15" s="1"/>
  <c r="Y22" i="16"/>
  <c r="Y24" i="16"/>
  <c r="AK77" i="16"/>
  <c r="AR100" i="16"/>
  <c r="P100" i="16"/>
  <c r="W100" i="16"/>
  <c r="Y100" i="16" s="1"/>
  <c r="AZ129" i="16"/>
  <c r="AX130" i="16"/>
  <c r="W152" i="18"/>
  <c r="Y152" i="18" s="1"/>
  <c r="G152" i="18"/>
  <c r="O175" i="14"/>
  <c r="R175" i="14" s="1"/>
  <c r="T164" i="15"/>
  <c r="BI9" i="15"/>
  <c r="AP14" i="15"/>
  <c r="CS14" i="15" s="1"/>
  <c r="AJ14" i="15"/>
  <c r="CM14" i="15" s="1"/>
  <c r="H84" i="15"/>
  <c r="H4" i="15" s="1"/>
  <c r="AW74" i="15"/>
  <c r="N58" i="15"/>
  <c r="L84" i="15"/>
  <c r="C47" i="15"/>
  <c r="AW88" i="15"/>
  <c r="N100" i="15"/>
  <c r="N65" i="15"/>
  <c r="AW97" i="15"/>
  <c r="AW139" i="15"/>
  <c r="N123" i="15"/>
  <c r="H164" i="15"/>
  <c r="H9" i="15" s="1"/>
  <c r="H122" i="15"/>
  <c r="AS205" i="15"/>
  <c r="L189" i="15"/>
  <c r="AS189" i="15" s="1"/>
  <c r="BA271" i="15"/>
  <c r="P239" i="15"/>
  <c r="BA239" i="15" s="1"/>
  <c r="K344" i="15"/>
  <c r="K356" i="15" s="1"/>
  <c r="K372" i="15"/>
  <c r="K23" i="15" s="1"/>
  <c r="K22" i="15" s="1"/>
  <c r="AI14" i="16"/>
  <c r="AI15" i="16" s="1"/>
  <c r="AM103" i="16"/>
  <c r="AJ152" i="16"/>
  <c r="U164" i="15"/>
  <c r="BK9" i="15"/>
  <c r="C41" i="15"/>
  <c r="O84" i="15"/>
  <c r="O58" i="15"/>
  <c r="I84" i="15"/>
  <c r="I4" i="15" s="1"/>
  <c r="I3" i="15" s="1"/>
  <c r="I23" i="6" s="1"/>
  <c r="I60" i="15"/>
  <c r="I296" i="4" s="1"/>
  <c r="O100" i="15"/>
  <c r="O65" i="15"/>
  <c r="AY97" i="15"/>
  <c r="B132" i="15"/>
  <c r="B51" i="6" s="1"/>
  <c r="B104" i="15"/>
  <c r="D107" i="15"/>
  <c r="D43" i="15" s="1"/>
  <c r="O123" i="15"/>
  <c r="AY139" i="15"/>
  <c r="B148" i="15"/>
  <c r="B8" i="15" s="1"/>
  <c r="D148" i="15"/>
  <c r="D8" i="15" s="1"/>
  <c r="B164" i="15"/>
  <c r="B9" i="15" s="1"/>
  <c r="BA159" i="15"/>
  <c r="P127" i="15"/>
  <c r="M189" i="15"/>
  <c r="AU189" i="15" s="1"/>
  <c r="B276" i="15"/>
  <c r="B16" i="15" s="1"/>
  <c r="AS266" i="15"/>
  <c r="L234" i="15"/>
  <c r="AS234" i="15" s="1"/>
  <c r="J284" i="15"/>
  <c r="BA333" i="15"/>
  <c r="P340" i="15"/>
  <c r="L372" i="15"/>
  <c r="AS360" i="15"/>
  <c r="L344" i="15"/>
  <c r="M353" i="15"/>
  <c r="AU353" i="15" s="1"/>
  <c r="AU369" i="15"/>
  <c r="W113" i="16"/>
  <c r="Y113" i="16" s="1"/>
  <c r="G113" i="16"/>
  <c r="G123" i="16"/>
  <c r="W123" i="16"/>
  <c r="AK139" i="14"/>
  <c r="AZ149" i="14"/>
  <c r="AW4" i="15"/>
  <c r="CS6" i="15"/>
  <c r="V164" i="15"/>
  <c r="BM9" i="15"/>
  <c r="BA74" i="15"/>
  <c r="P58" i="15"/>
  <c r="J60" i="15"/>
  <c r="J395" i="3" s="1"/>
  <c r="BA88" i="15"/>
  <c r="P100" i="15"/>
  <c r="C132" i="15"/>
  <c r="C51" i="6" s="1"/>
  <c r="BA139" i="15"/>
  <c r="P123" i="15"/>
  <c r="AW205" i="15"/>
  <c r="N189" i="15"/>
  <c r="AW189" i="15" s="1"/>
  <c r="AU266" i="15"/>
  <c r="M234" i="15"/>
  <c r="AU234" i="15" s="1"/>
  <c r="K284" i="15"/>
  <c r="K292" i="15" s="1"/>
  <c r="AU336" i="15"/>
  <c r="M340" i="15"/>
  <c r="M288" i="15"/>
  <c r="AU288" i="15" s="1"/>
  <c r="M344" i="15"/>
  <c r="M372" i="15"/>
  <c r="L346" i="15"/>
  <c r="AS346" i="15" s="1"/>
  <c r="AS362" i="15"/>
  <c r="AM125" i="16"/>
  <c r="AN124" i="16"/>
  <c r="AK184" i="16"/>
  <c r="AI185" i="16"/>
  <c r="AI186" i="16" s="1"/>
  <c r="B119" i="17"/>
  <c r="B103" i="17" s="1"/>
  <c r="N123" i="17"/>
  <c r="N146" i="17"/>
  <c r="N8" i="17" s="1"/>
  <c r="O145" i="14"/>
  <c r="R145" i="14" s="1"/>
  <c r="I145" i="14"/>
  <c r="O168" i="14"/>
  <c r="R168" i="14" s="1"/>
  <c r="W164" i="15"/>
  <c r="BO9" i="15"/>
  <c r="B68" i="15"/>
  <c r="E84" i="15"/>
  <c r="E4" i="15" s="1"/>
  <c r="E3" i="15" s="1"/>
  <c r="E23" i="6" s="1"/>
  <c r="E57" i="15"/>
  <c r="E41" i="15" s="1"/>
  <c r="BC74" i="15"/>
  <c r="Q58" i="15"/>
  <c r="K60" i="15"/>
  <c r="B64" i="15"/>
  <c r="P84" i="15"/>
  <c r="AS128" i="15"/>
  <c r="L112" i="15"/>
  <c r="AS112" i="15" s="1"/>
  <c r="K42" i="15"/>
  <c r="C164" i="15"/>
  <c r="C9" i="15" s="1"/>
  <c r="AY163" i="15"/>
  <c r="O131" i="15"/>
  <c r="R244" i="15"/>
  <c r="AW266" i="15"/>
  <c r="N234" i="15"/>
  <c r="AW234" i="15" s="1"/>
  <c r="N242" i="15"/>
  <c r="AW242" i="15" s="1"/>
  <c r="AW274" i="15"/>
  <c r="AS332" i="15"/>
  <c r="L284" i="15"/>
  <c r="AS284" i="15" s="1"/>
  <c r="H287" i="15"/>
  <c r="H47" i="15" s="1"/>
  <c r="AW336" i="15"/>
  <c r="N288" i="15"/>
  <c r="AW288" i="15" s="1"/>
  <c r="AJ25" i="15"/>
  <c r="CM25" i="15" s="1"/>
  <c r="CM26" i="15"/>
  <c r="AK186" i="16"/>
  <c r="Q54" i="17"/>
  <c r="I144" i="14"/>
  <c r="O160" i="14"/>
  <c r="I160" i="14"/>
  <c r="BQ9" i="15"/>
  <c r="X6" i="15"/>
  <c r="BC308" i="15"/>
  <c r="Q304" i="15"/>
  <c r="Q301" i="15"/>
  <c r="C68" i="15"/>
  <c r="F68" i="15"/>
  <c r="L60" i="15"/>
  <c r="G47" i="15"/>
  <c r="AY92" i="15"/>
  <c r="AS138" i="15"/>
  <c r="L122" i="15"/>
  <c r="BA163" i="15"/>
  <c r="P131" i="15"/>
  <c r="M192" i="15"/>
  <c r="AU192" i="15" s="1"/>
  <c r="AU208" i="15"/>
  <c r="B340" i="15"/>
  <c r="B21" i="15" s="1"/>
  <c r="N372" i="15"/>
  <c r="N346" i="15"/>
  <c r="AW346" i="15" s="1"/>
  <c r="AW362" i="15"/>
  <c r="M403" i="15"/>
  <c r="AU403" i="15" s="1"/>
  <c r="Y13" i="16"/>
  <c r="Y183" i="16"/>
  <c r="AT19" i="17"/>
  <c r="AL150" i="14"/>
  <c r="BS9" i="15"/>
  <c r="Y6" i="15"/>
  <c r="H68" i="15"/>
  <c r="AU76" i="15"/>
  <c r="M60" i="15"/>
  <c r="G104" i="15"/>
  <c r="AW257" i="15"/>
  <c r="N241" i="15"/>
  <c r="AW241" i="15" s="1"/>
  <c r="N260" i="15"/>
  <c r="K233" i="15"/>
  <c r="K276" i="15"/>
  <c r="K16" i="15" s="1"/>
  <c r="P242" i="15"/>
  <c r="BA242" i="15" s="1"/>
  <c r="BA274" i="15"/>
  <c r="P372" i="15"/>
  <c r="BA360" i="15"/>
  <c r="P344" i="15"/>
  <c r="BA384" i="15"/>
  <c r="P352" i="15"/>
  <c r="BA352" i="15" s="1"/>
  <c r="B403" i="15"/>
  <c r="B404" i="15" s="1"/>
  <c r="B420" i="15"/>
  <c r="B26" i="15" s="1"/>
  <c r="AW420" i="15"/>
  <c r="N26" i="15"/>
  <c r="AV30" i="16"/>
  <c r="AW29" i="16"/>
  <c r="AM150" i="14"/>
  <c r="I168" i="14"/>
  <c r="AZ172" i="14"/>
  <c r="O174" i="14"/>
  <c r="R174" i="14" s="1"/>
  <c r="I174" i="14"/>
  <c r="BU9" i="15"/>
  <c r="Z6" i="15"/>
  <c r="J68" i="15"/>
  <c r="D42" i="15"/>
  <c r="AW76" i="15"/>
  <c r="N60" i="15"/>
  <c r="AU62" i="15"/>
  <c r="I63" i="15"/>
  <c r="I132" i="15"/>
  <c r="I51" i="6" s="1"/>
  <c r="I104" i="15"/>
  <c r="E148" i="15"/>
  <c r="E8" i="15" s="1"/>
  <c r="E7" i="15" s="1"/>
  <c r="K164" i="15"/>
  <c r="K9" i="15" s="1"/>
  <c r="AB9" i="17" s="1"/>
  <c r="F109" i="15"/>
  <c r="F45" i="15" s="1"/>
  <c r="AY208" i="15"/>
  <c r="O192" i="15"/>
  <c r="AY192" i="15" s="1"/>
  <c r="BA209" i="15"/>
  <c r="P193" i="15"/>
  <c r="BA193" i="15" s="1"/>
  <c r="L241" i="15"/>
  <c r="AS241" i="15" s="1"/>
  <c r="AS273" i="15"/>
  <c r="H325" i="15"/>
  <c r="H290" i="15"/>
  <c r="F388" i="15"/>
  <c r="F24" i="15" s="1"/>
  <c r="BA378" i="15"/>
  <c r="P346" i="15"/>
  <c r="BA346" i="15" s="1"/>
  <c r="AL404" i="15"/>
  <c r="Y25" i="16"/>
  <c r="AX30" i="16"/>
  <c r="AZ29" i="16"/>
  <c r="AH40" i="16"/>
  <c r="AG41" i="16"/>
  <c r="P78" i="16"/>
  <c r="AM173" i="14"/>
  <c r="BA172" i="14"/>
  <c r="O178" i="14"/>
  <c r="R178" i="14" s="1"/>
  <c r="BI6" i="15"/>
  <c r="BW9" i="15"/>
  <c r="AA6" i="15"/>
  <c r="C51" i="15"/>
  <c r="AY76" i="15"/>
  <c r="O60" i="15"/>
  <c r="J63" i="15"/>
  <c r="J47" i="15" s="1"/>
  <c r="AS120" i="15"/>
  <c r="L104" i="15"/>
  <c r="B106" i="15"/>
  <c r="B42" i="15" s="1"/>
  <c r="K114" i="15"/>
  <c r="E108" i="15"/>
  <c r="AS153" i="15"/>
  <c r="L121" i="15"/>
  <c r="L84" i="4" s="1"/>
  <c r="D212" i="15"/>
  <c r="D12" i="15" s="1"/>
  <c r="D185" i="15"/>
  <c r="F212" i="15"/>
  <c r="F12" i="15" s="1"/>
  <c r="P192" i="15"/>
  <c r="BA192" i="15" s="1"/>
  <c r="BA208" i="15"/>
  <c r="K260" i="15"/>
  <c r="K15" i="15" s="1"/>
  <c r="K14" i="15" s="1"/>
  <c r="K26" i="6" s="1"/>
  <c r="M241" i="15"/>
  <c r="AU241" i="15" s="1"/>
  <c r="AU273" i="15"/>
  <c r="AY280" i="15"/>
  <c r="I325" i="15"/>
  <c r="I290" i="15"/>
  <c r="Q345" i="15"/>
  <c r="BC345" i="15" s="1"/>
  <c r="BC361" i="15"/>
  <c r="BC378" i="15"/>
  <c r="Q346" i="15"/>
  <c r="BC346" i="15" s="1"/>
  <c r="G39" i="16"/>
  <c r="G72" i="16"/>
  <c r="W137" i="16"/>
  <c r="Y137" i="16" s="1"/>
  <c r="G137" i="16"/>
  <c r="AQ185" i="16"/>
  <c r="AP186" i="16"/>
  <c r="AQ186" i="16" s="1"/>
  <c r="P42" i="17"/>
  <c r="AU4" i="17"/>
  <c r="AY172" i="14"/>
  <c r="AB14" i="15"/>
  <c r="B84" i="15"/>
  <c r="B4" i="15" s="1"/>
  <c r="B3" i="15" s="1"/>
  <c r="B23" i="6" s="1"/>
  <c r="B108" i="15"/>
  <c r="N115" i="15"/>
  <c r="AW115" i="15" s="1"/>
  <c r="AW131" i="15"/>
  <c r="AU138" i="15"/>
  <c r="M122" i="15"/>
  <c r="D188" i="15"/>
  <c r="BA206" i="15"/>
  <c r="P190" i="15"/>
  <c r="BA190" i="15" s="1"/>
  <c r="AW210" i="15"/>
  <c r="N194" i="15"/>
  <c r="AW194" i="15" s="1"/>
  <c r="AK244" i="15"/>
  <c r="Y244" i="15"/>
  <c r="L240" i="15"/>
  <c r="AS240" i="15" s="1"/>
  <c r="F232" i="15"/>
  <c r="F260" i="15"/>
  <c r="F15" i="15" s="1"/>
  <c r="F14" i="15" s="1"/>
  <c r="F26" i="6" s="1"/>
  <c r="F233" i="15"/>
  <c r="F41" i="15" s="1"/>
  <c r="G260" i="15"/>
  <c r="G15" i="15" s="1"/>
  <c r="G14" i="15" s="1"/>
  <c r="G26" i="6" s="1"/>
  <c r="K238" i="15"/>
  <c r="AS259" i="15"/>
  <c r="L243" i="15"/>
  <c r="AS243" i="15" s="1"/>
  <c r="O346" i="15"/>
  <c r="AY346" i="15" s="1"/>
  <c r="AY362" i="15"/>
  <c r="N388" i="15"/>
  <c r="N344" i="15"/>
  <c r="AW376" i="15"/>
  <c r="P395" i="15"/>
  <c r="BA395" i="15" s="1"/>
  <c r="AX22" i="16"/>
  <c r="AZ21" i="16"/>
  <c r="W26" i="16"/>
  <c r="AJ90" i="16"/>
  <c r="AU106" i="16"/>
  <c r="AU107" i="16" s="1"/>
  <c r="AU108" i="16" s="1"/>
  <c r="AW105" i="16"/>
  <c r="AH149" i="16"/>
  <c r="AG150" i="16"/>
  <c r="Q39" i="17"/>
  <c r="H43" i="17"/>
  <c r="W79" i="18"/>
  <c r="BC28" i="15"/>
  <c r="C84" i="15"/>
  <c r="C4" i="15" s="1"/>
  <c r="C3" i="15" s="1"/>
  <c r="C23" i="6" s="1"/>
  <c r="AS77" i="15"/>
  <c r="L61" i="15"/>
  <c r="C108" i="15"/>
  <c r="C44" i="15" s="1"/>
  <c r="J121" i="15"/>
  <c r="J105" i="15" s="1"/>
  <c r="N122" i="15"/>
  <c r="AW138" i="15"/>
  <c r="J114" i="15"/>
  <c r="G164" i="15"/>
  <c r="G9" i="15" s="1"/>
  <c r="AW160" i="15"/>
  <c r="N128" i="15"/>
  <c r="E188" i="15"/>
  <c r="BA232" i="15"/>
  <c r="AL244" i="15"/>
  <c r="G281" i="15"/>
  <c r="G41" i="15" s="1"/>
  <c r="G324" i="15"/>
  <c r="G20" i="15" s="1"/>
  <c r="G18" i="15" s="1"/>
  <c r="C340" i="15"/>
  <c r="C21" i="15" s="1"/>
  <c r="C280" i="15"/>
  <c r="AW332" i="15"/>
  <c r="N340" i="15"/>
  <c r="N284" i="15"/>
  <c r="AW284" i="15" s="1"/>
  <c r="BA336" i="15"/>
  <c r="P288" i="15"/>
  <c r="BA288" i="15" s="1"/>
  <c r="AS365" i="15"/>
  <c r="L349" i="15"/>
  <c r="AS349" i="15" s="1"/>
  <c r="AY428" i="15"/>
  <c r="O396" i="15"/>
  <c r="AY396" i="15" s="1"/>
  <c r="AB24" i="17"/>
  <c r="O47" i="17"/>
  <c r="C418" i="17"/>
  <c r="Z27" i="17"/>
  <c r="BA25" i="17"/>
  <c r="Y79" i="18"/>
  <c r="J110" i="19"/>
  <c r="D84" i="15"/>
  <c r="D4" i="15" s="1"/>
  <c r="D3" i="15" s="1"/>
  <c r="D23" i="6" s="1"/>
  <c r="AU77" i="15"/>
  <c r="M61" i="15"/>
  <c r="E46" i="15"/>
  <c r="E48" i="15"/>
  <c r="D108" i="15"/>
  <c r="D44" i="15" s="1"/>
  <c r="K121" i="15"/>
  <c r="AQ122" i="15"/>
  <c r="F188" i="15"/>
  <c r="BA210" i="15"/>
  <c r="P194" i="15"/>
  <c r="BA194" i="15" s="1"/>
  <c r="BC232" i="15"/>
  <c r="AM244" i="15"/>
  <c r="H232" i="15"/>
  <c r="H260" i="15"/>
  <c r="H15" i="15" s="1"/>
  <c r="H14" i="15" s="1"/>
  <c r="H26" i="6" s="1"/>
  <c r="H233" i="15"/>
  <c r="H41" i="15" s="1"/>
  <c r="I236" i="15"/>
  <c r="I260" i="15"/>
  <c r="I15" i="15" s="1"/>
  <c r="I14" i="15" s="1"/>
  <c r="I26" i="6" s="1"/>
  <c r="M238" i="15"/>
  <c r="AU238" i="15" s="1"/>
  <c r="AW259" i="15"/>
  <c r="N243" i="15"/>
  <c r="BA301" i="15"/>
  <c r="H280" i="15"/>
  <c r="H324" i="15"/>
  <c r="H20" i="15" s="1"/>
  <c r="H18" i="15" s="1"/>
  <c r="D340" i="15"/>
  <c r="D21" i="15" s="1"/>
  <c r="AU365" i="15"/>
  <c r="M349" i="15"/>
  <c r="AU349" i="15" s="1"/>
  <c r="P388" i="15"/>
  <c r="BA376" i="15"/>
  <c r="O399" i="15"/>
  <c r="AY399" i="15" s="1"/>
  <c r="AY415" i="15"/>
  <c r="Y78" i="16"/>
  <c r="AR125" i="16"/>
  <c r="AR126" i="16" s="1"/>
  <c r="AR127" i="16" s="1"/>
  <c r="AR128" i="16" s="1"/>
  <c r="AR129" i="16" s="1"/>
  <c r="AR130" i="16" s="1"/>
  <c r="AR131" i="16" s="1"/>
  <c r="AR132" i="16" s="1"/>
  <c r="AR133" i="16" s="1"/>
  <c r="AR134" i="16" s="1"/>
  <c r="AR135" i="16" s="1"/>
  <c r="AH14" i="15"/>
  <c r="CK14" i="15" s="1"/>
  <c r="E56" i="15"/>
  <c r="F84" i="15"/>
  <c r="F4" i="15" s="1"/>
  <c r="D100" i="15"/>
  <c r="D5" i="15" s="1"/>
  <c r="H148" i="15"/>
  <c r="H8" i="15" s="1"/>
  <c r="H120" i="15"/>
  <c r="P122" i="15"/>
  <c r="BA138" i="15"/>
  <c r="I164" i="15"/>
  <c r="I9" i="15" s="1"/>
  <c r="I7" i="15" s="1"/>
  <c r="AN244" i="15"/>
  <c r="O284" i="15"/>
  <c r="AY284" i="15" s="1"/>
  <c r="E340" i="15"/>
  <c r="E21" i="15" s="1"/>
  <c r="H340" i="15"/>
  <c r="H21" i="15" s="1"/>
  <c r="F286" i="15"/>
  <c r="F46" i="15" s="1"/>
  <c r="N349" i="15"/>
  <c r="AW349" i="15" s="1"/>
  <c r="AW365" i="15"/>
  <c r="L394" i="15"/>
  <c r="AS394" i="15" s="1"/>
  <c r="AS410" i="15"/>
  <c r="P399" i="15"/>
  <c r="BA399" i="15" s="1"/>
  <c r="BA415" i="15"/>
  <c r="R25" i="15"/>
  <c r="BE25" i="15" s="1"/>
  <c r="AN25" i="15"/>
  <c r="CQ25" i="15" s="1"/>
  <c r="I436" i="15"/>
  <c r="I27" i="15" s="1"/>
  <c r="AN16" i="16"/>
  <c r="AM17" i="16"/>
  <c r="P40" i="16"/>
  <c r="AR40" i="16"/>
  <c r="AI56" i="16"/>
  <c r="AI57" i="16" s="1"/>
  <c r="AI58" i="16" s="1"/>
  <c r="AI59" i="16" s="1"/>
  <c r="AI60" i="16" s="1"/>
  <c r="AI61" i="16" s="1"/>
  <c r="AI62" i="16" s="1"/>
  <c r="AI63" i="16" s="1"/>
  <c r="AI76" i="16"/>
  <c r="AI77" i="16" s="1"/>
  <c r="AI78" i="16" s="1"/>
  <c r="AI79" i="16" s="1"/>
  <c r="AI80" i="16" s="1"/>
  <c r="AI81" i="16" s="1"/>
  <c r="AI82" i="16" s="1"/>
  <c r="AI83" i="16" s="1"/>
  <c r="AI84" i="16" s="1"/>
  <c r="AI85" i="16" s="1"/>
  <c r="AI86" i="16" s="1"/>
  <c r="AI87" i="16" s="1"/>
  <c r="G76" i="16"/>
  <c r="AQ92" i="16"/>
  <c r="W98" i="16"/>
  <c r="Y98" i="16" s="1"/>
  <c r="AZ137" i="16"/>
  <c r="AY138" i="16"/>
  <c r="AY139" i="16" s="1"/>
  <c r="W147" i="16"/>
  <c r="Y147" i="16" s="1"/>
  <c r="P147" i="16"/>
  <c r="AW173" i="16"/>
  <c r="AV174" i="16"/>
  <c r="W177" i="16"/>
  <c r="Y177" i="16" s="1"/>
  <c r="K46" i="17"/>
  <c r="CO27" i="15"/>
  <c r="AS75" i="15"/>
  <c r="AY77" i="15"/>
  <c r="O61" i="15"/>
  <c r="AS83" i="15"/>
  <c r="L67" i="15"/>
  <c r="E100" i="15"/>
  <c r="E5" i="15" s="1"/>
  <c r="G108" i="15"/>
  <c r="AU137" i="15"/>
  <c r="M121" i="15"/>
  <c r="Q122" i="15"/>
  <c r="BC138" i="15"/>
  <c r="H212" i="15"/>
  <c r="H12" i="15" s="1"/>
  <c r="H187" i="15"/>
  <c r="H43" i="15" s="1"/>
  <c r="H188" i="15"/>
  <c r="H44" i="15" s="1"/>
  <c r="W244" i="15"/>
  <c r="P240" i="15"/>
  <c r="M291" i="15"/>
  <c r="AU291" i="15" s="1"/>
  <c r="B308" i="15"/>
  <c r="B19" i="15" s="1"/>
  <c r="C283" i="15"/>
  <c r="C324" i="15"/>
  <c r="C20" i="15" s="1"/>
  <c r="G286" i="15"/>
  <c r="AY365" i="15"/>
  <c r="O349" i="15"/>
  <c r="AY349" i="15" s="1"/>
  <c r="R404" i="15"/>
  <c r="AN404" i="15"/>
  <c r="AU410" i="15"/>
  <c r="M394" i="15"/>
  <c r="AU394" i="15" s="1"/>
  <c r="N395" i="15"/>
  <c r="AW395" i="15" s="1"/>
  <c r="AW427" i="15"/>
  <c r="AO18" i="16"/>
  <c r="AO19" i="16" s="1"/>
  <c r="AO20" i="16" s="1"/>
  <c r="AO21" i="16" s="1"/>
  <c r="AO22" i="16" s="1"/>
  <c r="AO23" i="16" s="1"/>
  <c r="AO24" i="16" s="1"/>
  <c r="AO25" i="16" s="1"/>
  <c r="AO26" i="16" s="1"/>
  <c r="AO27" i="16" s="1"/>
  <c r="AQ17" i="16"/>
  <c r="AM43" i="16"/>
  <c r="AN42" i="16"/>
  <c r="Y47" i="16"/>
  <c r="AK53" i="16"/>
  <c r="AJ54" i="16"/>
  <c r="W56" i="16"/>
  <c r="Y56" i="16" s="1"/>
  <c r="W80" i="16"/>
  <c r="Y80" i="16" s="1"/>
  <c r="W132" i="16"/>
  <c r="G132" i="16"/>
  <c r="K434" i="17"/>
  <c r="K26" i="17" s="1"/>
  <c r="K409" i="17"/>
  <c r="G56" i="15"/>
  <c r="P61" i="15"/>
  <c r="M67" i="15"/>
  <c r="O106" i="15"/>
  <c r="AY106" i="15" s="1"/>
  <c r="J120" i="15"/>
  <c r="H180" i="15"/>
  <c r="C308" i="15"/>
  <c r="C19" i="15" s="1"/>
  <c r="I286" i="15"/>
  <c r="G340" i="15"/>
  <c r="G21" i="15" s="1"/>
  <c r="G280" i="15"/>
  <c r="G292" i="15" s="1"/>
  <c r="H286" i="15"/>
  <c r="H46" i="15" s="1"/>
  <c r="H235" i="4" s="1"/>
  <c r="E372" i="15"/>
  <c r="E23" i="15" s="1"/>
  <c r="E22" i="15" s="1"/>
  <c r="E344" i="15"/>
  <c r="E356" i="15" s="1"/>
  <c r="P349" i="15"/>
  <c r="BA349" i="15" s="1"/>
  <c r="BA365" i="15"/>
  <c r="AS414" i="15"/>
  <c r="L398" i="15"/>
  <c r="AS398" i="15" s="1"/>
  <c r="G436" i="15"/>
  <c r="G27" i="15" s="1"/>
  <c r="W41" i="16"/>
  <c r="G41" i="16"/>
  <c r="AK52" i="16"/>
  <c r="AX141" i="16"/>
  <c r="W158" i="16"/>
  <c r="G158" i="16"/>
  <c r="K242" i="17"/>
  <c r="G100" i="15"/>
  <c r="G5" i="15" s="1"/>
  <c r="K148" i="15"/>
  <c r="K8" i="15" s="1"/>
  <c r="K120" i="15"/>
  <c r="O121" i="15"/>
  <c r="AY137" i="15"/>
  <c r="AY138" i="15"/>
  <c r="L164" i="15"/>
  <c r="AS179" i="15"/>
  <c r="L115" i="15"/>
  <c r="AS115" i="15" s="1"/>
  <c r="E212" i="15"/>
  <c r="E12" i="15" s="1"/>
  <c r="E228" i="15"/>
  <c r="BC264" i="15"/>
  <c r="Q276" i="15"/>
  <c r="O236" i="15"/>
  <c r="AY236" i="15" s="1"/>
  <c r="AY268" i="15"/>
  <c r="D308" i="15"/>
  <c r="D19" i="15" s="1"/>
  <c r="P308" i="15"/>
  <c r="P281" i="15"/>
  <c r="BA281" i="15" s="1"/>
  <c r="BA297" i="15"/>
  <c r="L280" i="15"/>
  <c r="AS312" i="15"/>
  <c r="F372" i="15"/>
  <c r="F23" i="15" s="1"/>
  <c r="F22" i="15" s="1"/>
  <c r="F344" i="15"/>
  <c r="F356" i="15" s="1"/>
  <c r="Y404" i="15"/>
  <c r="E420" i="15"/>
  <c r="E26" i="15" s="1"/>
  <c r="E392" i="15"/>
  <c r="AY410" i="15"/>
  <c r="O394" i="15"/>
  <c r="AY394" i="15" s="1"/>
  <c r="M398" i="15"/>
  <c r="AU398" i="15" s="1"/>
  <c r="AU414" i="15"/>
  <c r="Y19" i="16"/>
  <c r="G174" i="16"/>
  <c r="W174" i="16"/>
  <c r="CQ28" i="15"/>
  <c r="C43" i="15"/>
  <c r="AY83" i="15"/>
  <c r="O67" i="15"/>
  <c r="H100" i="15"/>
  <c r="H5" i="15" s="1"/>
  <c r="AZ5" i="17" s="1"/>
  <c r="D126" i="15"/>
  <c r="P121" i="15"/>
  <c r="BA137" i="15"/>
  <c r="M164" i="15"/>
  <c r="AU152" i="15"/>
  <c r="J180" i="15"/>
  <c r="F196" i="15"/>
  <c r="K188" i="15"/>
  <c r="F228" i="15"/>
  <c r="V244" i="15"/>
  <c r="BA268" i="15"/>
  <c r="P276" i="15"/>
  <c r="B280" i="15"/>
  <c r="B292" i="15" s="1"/>
  <c r="M280" i="15"/>
  <c r="AU312" i="15"/>
  <c r="M324" i="15"/>
  <c r="O285" i="15"/>
  <c r="AY285" i="15" s="1"/>
  <c r="H288" i="15"/>
  <c r="H48" i="15" s="1"/>
  <c r="I340" i="15"/>
  <c r="I21" i="15" s="1"/>
  <c r="BC344" i="15"/>
  <c r="G372" i="15"/>
  <c r="G23" i="15" s="1"/>
  <c r="G22" i="15" s="1"/>
  <c r="G344" i="15"/>
  <c r="G356" i="15" s="1"/>
  <c r="F420" i="15"/>
  <c r="F26" i="15" s="1"/>
  <c r="F392" i="15"/>
  <c r="BA410" i="15"/>
  <c r="P394" i="15"/>
  <c r="BA394" i="15" s="1"/>
  <c r="N398" i="15"/>
  <c r="AW398" i="15" s="1"/>
  <c r="AW414" i="15"/>
  <c r="W19" i="16"/>
  <c r="G19" i="16"/>
  <c r="AG31" i="16"/>
  <c r="AH30" i="16"/>
  <c r="Y49" i="16"/>
  <c r="AK76" i="16"/>
  <c r="G93" i="16"/>
  <c r="Y117" i="16"/>
  <c r="Y136" i="16"/>
  <c r="Y151" i="16"/>
  <c r="M41" i="17"/>
  <c r="G98" i="17"/>
  <c r="G5" i="17" s="1"/>
  <c r="G57" i="17"/>
  <c r="P51" i="18"/>
  <c r="P78" i="18"/>
  <c r="W78" i="18"/>
  <c r="AW75" i="15"/>
  <c r="N59" i="15"/>
  <c r="BA83" i="15"/>
  <c r="P67" i="15"/>
  <c r="I100" i="15"/>
  <c r="I5" i="15" s="1"/>
  <c r="AU136" i="15"/>
  <c r="M120" i="15"/>
  <c r="BA161" i="15"/>
  <c r="P129" i="15"/>
  <c r="G212" i="15"/>
  <c r="G12" i="15" s="1"/>
  <c r="G11" i="15" s="1"/>
  <c r="G25" i="6" s="1"/>
  <c r="B190" i="15"/>
  <c r="B46" i="15" s="1"/>
  <c r="B212" i="15"/>
  <c r="B12" i="15" s="1"/>
  <c r="G228" i="15"/>
  <c r="AA244" i="15"/>
  <c r="D280" i="15"/>
  <c r="M282" i="15"/>
  <c r="AU282" i="15" s="1"/>
  <c r="M308" i="15"/>
  <c r="AW302" i="15"/>
  <c r="P285" i="15"/>
  <c r="BA285" i="15" s="1"/>
  <c r="K286" i="15"/>
  <c r="H372" i="15"/>
  <c r="H23" i="15" s="1"/>
  <c r="H22" i="15" s="1"/>
  <c r="H344" i="15"/>
  <c r="H356" i="15" s="1"/>
  <c r="G420" i="15"/>
  <c r="G26" i="15" s="1"/>
  <c r="G25" i="15" s="1"/>
  <c r="G392" i="15"/>
  <c r="L393" i="15"/>
  <c r="AS393" i="15" s="1"/>
  <c r="AS409" i="15"/>
  <c r="N394" i="15"/>
  <c r="AW394" i="15" s="1"/>
  <c r="AW426" i="15"/>
  <c r="AK5" i="16"/>
  <c r="AJ6" i="16"/>
  <c r="AT30" i="16"/>
  <c r="W117" i="16"/>
  <c r="G117" i="16"/>
  <c r="N98" i="17"/>
  <c r="N5" i="17" s="1"/>
  <c r="N54" i="17"/>
  <c r="D10" i="17"/>
  <c r="D13" i="17"/>
  <c r="D11" i="17" s="1"/>
  <c r="J13" i="17"/>
  <c r="J10" i="17"/>
  <c r="S13" i="17"/>
  <c r="S10" i="17"/>
  <c r="L183" i="17"/>
  <c r="L210" i="17"/>
  <c r="L12" i="17" s="1"/>
  <c r="B226" i="17"/>
  <c r="B184" i="17"/>
  <c r="AW16" i="17"/>
  <c r="BA65" i="15"/>
  <c r="AS78" i="15"/>
  <c r="L62" i="15"/>
  <c r="J100" i="15"/>
  <c r="J5" i="15" s="1"/>
  <c r="N120" i="15"/>
  <c r="AW136" i="15"/>
  <c r="N148" i="15"/>
  <c r="O164" i="15"/>
  <c r="AY152" i="15"/>
  <c r="AS168" i="15"/>
  <c r="L180" i="15"/>
  <c r="AU203" i="15"/>
  <c r="M187" i="15"/>
  <c r="AU187" i="15" s="1"/>
  <c r="H228" i="15"/>
  <c r="AB244" i="15"/>
  <c r="AU267" i="15"/>
  <c r="M235" i="15"/>
  <c r="AU235" i="15" s="1"/>
  <c r="G308" i="15"/>
  <c r="G19" i="15" s="1"/>
  <c r="I282" i="15"/>
  <c r="H283" i="15"/>
  <c r="I287" i="15"/>
  <c r="I324" i="15"/>
  <c r="I20" i="15" s="1"/>
  <c r="K340" i="15"/>
  <c r="K21" i="15" s="1"/>
  <c r="I372" i="15"/>
  <c r="I23" i="15" s="1"/>
  <c r="I22" i="15" s="1"/>
  <c r="I344" i="15"/>
  <c r="I356" i="15" s="1"/>
  <c r="H420" i="15"/>
  <c r="H26" i="15" s="1"/>
  <c r="H25" i="15" s="1"/>
  <c r="H392" i="15"/>
  <c r="H404" i="15" s="1"/>
  <c r="M393" i="15"/>
  <c r="AU393" i="15" s="1"/>
  <c r="AU409" i="15"/>
  <c r="P398" i="15"/>
  <c r="BA398" i="15" s="1"/>
  <c r="BA414" i="15"/>
  <c r="W27" i="16"/>
  <c r="Y27" i="16" s="1"/>
  <c r="G27" i="16"/>
  <c r="AT29" i="16"/>
  <c r="G31" i="16"/>
  <c r="G55" i="16"/>
  <c r="AV66" i="16"/>
  <c r="AW65" i="16"/>
  <c r="G79" i="16"/>
  <c r="W79" i="16"/>
  <c r="AP94" i="16"/>
  <c r="AQ93" i="16"/>
  <c r="AI100" i="16"/>
  <c r="AI101" i="16" s="1"/>
  <c r="AI102" i="16" s="1"/>
  <c r="AI103" i="16" s="1"/>
  <c r="AI104" i="16" s="1"/>
  <c r="AI105" i="16" s="1"/>
  <c r="AI106" i="16" s="1"/>
  <c r="AI107" i="16" s="1"/>
  <c r="AI108" i="16" s="1"/>
  <c r="AI109" i="16" s="1"/>
  <c r="AI110" i="16" s="1"/>
  <c r="AI111" i="16" s="1"/>
  <c r="G100" i="16"/>
  <c r="AV110" i="16"/>
  <c r="W153" i="16"/>
  <c r="Y153" i="16" s="1"/>
  <c r="P153" i="16"/>
  <c r="AG185" i="16"/>
  <c r="AH184" i="16"/>
  <c r="O98" i="17"/>
  <c r="O5" i="17" s="1"/>
  <c r="O54" i="17"/>
  <c r="G182" i="17"/>
  <c r="G210" i="17"/>
  <c r="G12" i="17" s="1"/>
  <c r="C125" i="15"/>
  <c r="N164" i="15"/>
  <c r="P212" i="15"/>
  <c r="AY210" i="15"/>
  <c r="O194" i="15"/>
  <c r="AY194" i="15" s="1"/>
  <c r="AU259" i="15"/>
  <c r="M243" i="15"/>
  <c r="AU243" i="15" s="1"/>
  <c r="E276" i="15"/>
  <c r="E16" i="15" s="1"/>
  <c r="F308" i="15"/>
  <c r="F19" i="15" s="1"/>
  <c r="F280" i="15"/>
  <c r="BA302" i="15"/>
  <c r="O324" i="15"/>
  <c r="AY312" i="15"/>
  <c r="F281" i="15"/>
  <c r="G288" i="15"/>
  <c r="J286" i="15"/>
  <c r="B290" i="15"/>
  <c r="C348" i="15"/>
  <c r="C356" i="15" s="1"/>
  <c r="O388" i="15"/>
  <c r="AY376" i="15"/>
  <c r="M397" i="15"/>
  <c r="AU397" i="15" s="1"/>
  <c r="AU413" i="15"/>
  <c r="Y4" i="16"/>
  <c r="W10" i="16"/>
  <c r="Y10" i="16" s="1"/>
  <c r="P10" i="16"/>
  <c r="W24" i="16"/>
  <c r="W68" i="16"/>
  <c r="Y68" i="16" s="1"/>
  <c r="W135" i="16"/>
  <c r="Y135" i="16" s="1"/>
  <c r="P48" i="17"/>
  <c r="B3" i="17"/>
  <c r="AT3" i="17" s="1"/>
  <c r="AT4" i="17"/>
  <c r="P98" i="17"/>
  <c r="P5" i="17" s="1"/>
  <c r="P54" i="17"/>
  <c r="W35" i="18"/>
  <c r="G35" i="18"/>
  <c r="P164" i="15"/>
  <c r="I232" i="15"/>
  <c r="L237" i="15"/>
  <c r="AS237" i="15" s="1"/>
  <c r="G276" i="15"/>
  <c r="G16" i="15" s="1"/>
  <c r="AY16" i="17" s="1"/>
  <c r="BC266" i="15"/>
  <c r="Q234" i="15"/>
  <c r="BC234" i="15" s="1"/>
  <c r="BA300" i="15"/>
  <c r="P284" i="15"/>
  <c r="BA284" i="15" s="1"/>
  <c r="L340" i="15"/>
  <c r="Q388" i="15"/>
  <c r="BC376" i="15"/>
  <c r="N403" i="15"/>
  <c r="AW403" i="15" s="1"/>
  <c r="AW54" i="16"/>
  <c r="AI64" i="16"/>
  <c r="AI65" i="16" s="1"/>
  <c r="AI66" i="16" s="1"/>
  <c r="AI67" i="16" s="1"/>
  <c r="AI68" i="16" s="1"/>
  <c r="AI69" i="16" s="1"/>
  <c r="AI70" i="16" s="1"/>
  <c r="AI71" i="16" s="1"/>
  <c r="AI72" i="16" s="1"/>
  <c r="AI73" i="16" s="1"/>
  <c r="AI74" i="16" s="1"/>
  <c r="AI75" i="16" s="1"/>
  <c r="G64" i="16"/>
  <c r="AN90" i="16"/>
  <c r="AM91" i="16"/>
  <c r="AP115" i="16"/>
  <c r="AQ114" i="16"/>
  <c r="AS115" i="16"/>
  <c r="P131" i="16"/>
  <c r="W131" i="16"/>
  <c r="Y131" i="16" s="1"/>
  <c r="Y174" i="16"/>
  <c r="B66" i="17"/>
  <c r="D82" i="17"/>
  <c r="D4" i="17" s="1"/>
  <c r="G298" i="17"/>
  <c r="G282" i="17" s="1"/>
  <c r="G322" i="17"/>
  <c r="G19" i="17" s="1"/>
  <c r="G18" i="17" s="1"/>
  <c r="AY22" i="17"/>
  <c r="Q148" i="15"/>
  <c r="BC148" i="15" s="1"/>
  <c r="AW184" i="15"/>
  <c r="I195" i="15"/>
  <c r="BA259" i="15"/>
  <c r="P243" i="15"/>
  <c r="BA243" i="15" s="1"/>
  <c r="H276" i="15"/>
  <c r="H16" i="15" s="1"/>
  <c r="AZ16" i="17" s="1"/>
  <c r="I281" i="15"/>
  <c r="I292" i="15" s="1"/>
  <c r="J288" i="15"/>
  <c r="AA404" i="15"/>
  <c r="W8" i="16"/>
  <c r="Y8" i="16" s="1"/>
  <c r="G8" i="16"/>
  <c r="AI20" i="16"/>
  <c r="AI21" i="16" s="1"/>
  <c r="AI22" i="16" s="1"/>
  <c r="AI23" i="16" s="1"/>
  <c r="AI24" i="16" s="1"/>
  <c r="AI25" i="16" s="1"/>
  <c r="AI26" i="16" s="1"/>
  <c r="AI27" i="16" s="1"/>
  <c r="W49" i="16"/>
  <c r="G49" i="16"/>
  <c r="AN78" i="16"/>
  <c r="AM79" i="16"/>
  <c r="Y123" i="16"/>
  <c r="W180" i="16"/>
  <c r="Y180" i="16" s="1"/>
  <c r="N47" i="17"/>
  <c r="B98" i="17"/>
  <c r="B5" i="17" s="1"/>
  <c r="AT5" i="17" s="1"/>
  <c r="P295" i="17"/>
  <c r="J338" i="17"/>
  <c r="J20" i="17" s="1"/>
  <c r="J299" i="17"/>
  <c r="J283" i="17" s="1"/>
  <c r="BA22" i="17"/>
  <c r="Z24" i="17"/>
  <c r="AL29" i="18"/>
  <c r="AL30" i="18" s="1"/>
  <c r="AL31" i="18" s="1"/>
  <c r="AL32" i="18" s="1"/>
  <c r="AL33" i="18" s="1"/>
  <c r="AL34" i="18" s="1"/>
  <c r="AL35" i="18" s="1"/>
  <c r="AL36" i="18" s="1"/>
  <c r="AL37" i="18" s="1"/>
  <c r="AL38" i="18" s="1"/>
  <c r="AL39" i="18" s="1"/>
  <c r="AN28" i="18"/>
  <c r="J281" i="15"/>
  <c r="J292" i="15" s="1"/>
  <c r="L286" i="15"/>
  <c r="AS286" i="15" s="1"/>
  <c r="AS318" i="15"/>
  <c r="AY363" i="15"/>
  <c r="O347" i="15"/>
  <c r="AY347" i="15" s="1"/>
  <c r="AW367" i="15"/>
  <c r="N351" i="15"/>
  <c r="AW351" i="15" s="1"/>
  <c r="E353" i="15"/>
  <c r="E49" i="15" s="1"/>
  <c r="AB404" i="15"/>
  <c r="N393" i="15"/>
  <c r="AW425" i="15"/>
  <c r="BC426" i="15"/>
  <c r="Q394" i="15"/>
  <c r="BC394" i="15" s="1"/>
  <c r="Y16" i="16"/>
  <c r="AJ43" i="16"/>
  <c r="M43" i="17"/>
  <c r="AY4" i="17"/>
  <c r="K322" i="17"/>
  <c r="K19" i="17" s="1"/>
  <c r="K294" i="17"/>
  <c r="F124" i="15"/>
  <c r="F108" i="15" s="1"/>
  <c r="F44" i="15" s="1"/>
  <c r="M129" i="15"/>
  <c r="B180" i="15"/>
  <c r="P184" i="15"/>
  <c r="AS202" i="15"/>
  <c r="AS204" i="15"/>
  <c r="L188" i="15"/>
  <c r="AS188" i="15" s="1"/>
  <c r="I190" i="15"/>
  <c r="I46" i="15" s="1"/>
  <c r="K195" i="15"/>
  <c r="AS225" i="15"/>
  <c r="J276" i="15"/>
  <c r="J16" i="15" s="1"/>
  <c r="AS270" i="15"/>
  <c r="N276" i="15"/>
  <c r="AW306" i="15"/>
  <c r="N308" i="15"/>
  <c r="M286" i="15"/>
  <c r="AU286" i="15" s="1"/>
  <c r="AU318" i="15"/>
  <c r="AH9" i="16"/>
  <c r="AG10" i="16"/>
  <c r="W30" i="16"/>
  <c r="Y30" i="16" s="1"/>
  <c r="G30" i="16"/>
  <c r="W36" i="16"/>
  <c r="Y36" i="16" s="1"/>
  <c r="G36" i="16"/>
  <c r="G74" i="16"/>
  <c r="W85" i="16"/>
  <c r="AQ90" i="16"/>
  <c r="AQ106" i="16"/>
  <c r="AP107" i="16"/>
  <c r="W108" i="16"/>
  <c r="Y108" i="16" s="1"/>
  <c r="G108" i="16"/>
  <c r="AS153" i="16"/>
  <c r="P47" i="17"/>
  <c r="K82" i="17"/>
  <c r="K4" i="17" s="1"/>
  <c r="L322" i="17"/>
  <c r="L19" i="17" s="1"/>
  <c r="L294" i="17"/>
  <c r="J322" i="17"/>
  <c r="J19" i="17" s="1"/>
  <c r="J298" i="17"/>
  <c r="J282" i="17" s="1"/>
  <c r="J42" i="17" s="1"/>
  <c r="AW152" i="15"/>
  <c r="C180" i="15"/>
  <c r="AW202" i="15"/>
  <c r="J190" i="15"/>
  <c r="J46" i="15" s="1"/>
  <c r="AS211" i="15"/>
  <c r="L195" i="15"/>
  <c r="AS195" i="15" s="1"/>
  <c r="C212" i="15"/>
  <c r="C12" i="15" s="1"/>
  <c r="L228" i="15"/>
  <c r="AS228" i="15" s="1"/>
  <c r="N238" i="15"/>
  <c r="AW238" i="15" s="1"/>
  <c r="L242" i="15"/>
  <c r="AS242" i="15" s="1"/>
  <c r="N236" i="15"/>
  <c r="AW236" i="15" s="1"/>
  <c r="P237" i="15"/>
  <c r="BA237" i="15" s="1"/>
  <c r="AU258" i="15"/>
  <c r="M242" i="15"/>
  <c r="AU242" i="15" s="1"/>
  <c r="O276" i="15"/>
  <c r="O308" i="15"/>
  <c r="C282" i="15"/>
  <c r="C42" i="15" s="1"/>
  <c r="N286" i="15"/>
  <c r="AW286" i="15" s="1"/>
  <c r="AW318" i="15"/>
  <c r="J285" i="15"/>
  <c r="K436" i="15"/>
  <c r="K27" i="15" s="1"/>
  <c r="Y7" i="16"/>
  <c r="AH8" i="16"/>
  <c r="P16" i="16"/>
  <c r="AR16" i="16"/>
  <c r="AG69" i="16"/>
  <c r="AH68" i="16"/>
  <c r="AZ77" i="16"/>
  <c r="AX78" i="16"/>
  <c r="AP78" i="16"/>
  <c r="AQ77" i="16"/>
  <c r="Y85" i="16"/>
  <c r="AS90" i="16"/>
  <c r="AT89" i="16"/>
  <c r="AQ89" i="16"/>
  <c r="Y118" i="16"/>
  <c r="AH127" i="16"/>
  <c r="Z23" i="17"/>
  <c r="I22" i="17"/>
  <c r="K47" i="17"/>
  <c r="M322" i="17"/>
  <c r="M19" i="17" s="1"/>
  <c r="M294" i="17"/>
  <c r="P305" i="17"/>
  <c r="P289" i="17" s="1"/>
  <c r="C192" i="15"/>
  <c r="AU211" i="15"/>
  <c r="M195" i="15"/>
  <c r="AU195" i="15" s="1"/>
  <c r="AE244" i="15"/>
  <c r="O238" i="15"/>
  <c r="AY238" i="15" s="1"/>
  <c r="L276" i="15"/>
  <c r="AS264" i="15"/>
  <c r="O237" i="15"/>
  <c r="AY237" i="15" s="1"/>
  <c r="AY269" i="15"/>
  <c r="S303" i="15"/>
  <c r="D282" i="15"/>
  <c r="L345" i="15"/>
  <c r="AS345" i="15" s="1"/>
  <c r="N402" i="15"/>
  <c r="AW402" i="15" s="1"/>
  <c r="AY417" i="15"/>
  <c r="O401" i="15"/>
  <c r="AY401" i="15" s="1"/>
  <c r="N392" i="15"/>
  <c r="N436" i="15"/>
  <c r="Y26" i="16"/>
  <c r="W52" i="16"/>
  <c r="Y52" i="16" s="1"/>
  <c r="G52" i="16"/>
  <c r="W126" i="16"/>
  <c r="Y126" i="16" s="1"/>
  <c r="G126" i="16"/>
  <c r="Y142" i="16"/>
  <c r="W146" i="16"/>
  <c r="Y146" i="16" s="1"/>
  <c r="G146" i="16"/>
  <c r="W151" i="16"/>
  <c r="G151" i="16"/>
  <c r="K43" i="17"/>
  <c r="AE4" i="17"/>
  <c r="BA9" i="17"/>
  <c r="T10" i="17"/>
  <c r="T13" i="17"/>
  <c r="N322" i="17"/>
  <c r="N19" i="17" s="1"/>
  <c r="N294" i="17"/>
  <c r="B296" i="17"/>
  <c r="B280" i="17" s="1"/>
  <c r="B322" i="17"/>
  <c r="B19" i="17" s="1"/>
  <c r="B18" i="17" s="1"/>
  <c r="E297" i="17"/>
  <c r="E281" i="17" s="1"/>
  <c r="E41" i="17" s="1"/>
  <c r="E322" i="17"/>
  <c r="E19" i="17" s="1"/>
  <c r="E18" i="17" s="1"/>
  <c r="AI24" i="17"/>
  <c r="F37" i="19"/>
  <c r="K39" i="19"/>
  <c r="N61" i="15"/>
  <c r="BA152" i="15"/>
  <c r="E180" i="15"/>
  <c r="B184" i="15"/>
  <c r="AY204" i="15"/>
  <c r="O188" i="15"/>
  <c r="AY188" i="15" s="1"/>
  <c r="C189" i="15"/>
  <c r="N195" i="15"/>
  <c r="AW195" i="15" s="1"/>
  <c r="N228" i="15"/>
  <c r="AW228" i="15" s="1"/>
  <c r="P238" i="15"/>
  <c r="BA238" i="15" s="1"/>
  <c r="O234" i="15"/>
  <c r="AY234" i="15" s="1"/>
  <c r="O235" i="15"/>
  <c r="AY235" i="15" s="1"/>
  <c r="P236" i="15"/>
  <c r="BA236" i="15" s="1"/>
  <c r="AY258" i="15"/>
  <c r="O242" i="15"/>
  <c r="AY242" i="15" s="1"/>
  <c r="M276" i="15"/>
  <c r="AU264" i="15"/>
  <c r="P286" i="15"/>
  <c r="BA318" i="15"/>
  <c r="G289" i="15"/>
  <c r="G49" i="15" s="1"/>
  <c r="D324" i="15"/>
  <c r="D20" i="15" s="1"/>
  <c r="D18" i="15" s="1"/>
  <c r="M345" i="15"/>
  <c r="AU345" i="15" s="1"/>
  <c r="O402" i="15"/>
  <c r="AY402" i="15" s="1"/>
  <c r="BA412" i="15"/>
  <c r="P396" i="15"/>
  <c r="BA396" i="15" s="1"/>
  <c r="N400" i="15"/>
  <c r="AW400" i="15" s="1"/>
  <c r="AW416" i="15"/>
  <c r="O436" i="15"/>
  <c r="AY424" i="15"/>
  <c r="AH17" i="16"/>
  <c r="W25" i="16"/>
  <c r="W37" i="16"/>
  <c r="Y37" i="16" s="1"/>
  <c r="P52" i="16"/>
  <c r="AR52" i="16"/>
  <c r="AS78" i="16"/>
  <c r="AW107" i="16"/>
  <c r="AW106" i="16"/>
  <c r="AX114" i="16"/>
  <c r="AZ113" i="16"/>
  <c r="W165" i="16"/>
  <c r="G165" i="16"/>
  <c r="G178" i="16"/>
  <c r="W178" i="16"/>
  <c r="Y178" i="16" s="1"/>
  <c r="M47" i="17"/>
  <c r="I82" i="17"/>
  <c r="I4" i="17" s="1"/>
  <c r="I54" i="17"/>
  <c r="L46" i="17"/>
  <c r="BB9" i="17"/>
  <c r="AA9" i="17"/>
  <c r="E13" i="17"/>
  <c r="E10" i="17"/>
  <c r="I230" i="17"/>
  <c r="I274" i="17"/>
  <c r="I16" i="17" s="1"/>
  <c r="O232" i="17"/>
  <c r="O40" i="17" s="1"/>
  <c r="O274" i="17"/>
  <c r="O16" i="17" s="1"/>
  <c r="O322" i="17"/>
  <c r="O19" i="17" s="1"/>
  <c r="O294" i="17"/>
  <c r="C322" i="17"/>
  <c r="C19" i="17" s="1"/>
  <c r="C18" i="17" s="1"/>
  <c r="C296" i="17"/>
  <c r="C280" i="17" s="1"/>
  <c r="F322" i="17"/>
  <c r="F19" i="17" s="1"/>
  <c r="F297" i="17"/>
  <c r="F281" i="17" s="1"/>
  <c r="Y109" i="18"/>
  <c r="P128" i="15"/>
  <c r="F180" i="15"/>
  <c r="BA202" i="15"/>
  <c r="P186" i="15"/>
  <c r="BA186" i="15" s="1"/>
  <c r="M193" i="15"/>
  <c r="AU193" i="15" s="1"/>
  <c r="B228" i="15"/>
  <c r="O228" i="15"/>
  <c r="AY228" i="15" s="1"/>
  <c r="L236" i="15"/>
  <c r="AS236" i="15" s="1"/>
  <c r="AS268" i="15"/>
  <c r="R297" i="15"/>
  <c r="S297" i="15" s="1"/>
  <c r="R304" i="15"/>
  <c r="R296" i="15"/>
  <c r="R303" i="15"/>
  <c r="R301" i="15"/>
  <c r="AU333" i="15"/>
  <c r="M285" i="15"/>
  <c r="AU285" i="15" s="1"/>
  <c r="F288" i="15"/>
  <c r="F48" i="15" s="1"/>
  <c r="B388" i="15"/>
  <c r="B24" i="15" s="1"/>
  <c r="B22" i="15" s="1"/>
  <c r="P436" i="15"/>
  <c r="BA424" i="15"/>
  <c r="J436" i="15"/>
  <c r="J27" i="15" s="1"/>
  <c r="BB25" i="17" s="1"/>
  <c r="Q436" i="15"/>
  <c r="Y44" i="16"/>
  <c r="W94" i="16"/>
  <c r="Y94" i="16" s="1"/>
  <c r="G94" i="16"/>
  <c r="AW116" i="16"/>
  <c r="AV117" i="16"/>
  <c r="G134" i="16"/>
  <c r="W134" i="16"/>
  <c r="Y134" i="16" s="1"/>
  <c r="AZ161" i="16"/>
  <c r="AX162" i="16"/>
  <c r="P82" i="17"/>
  <c r="P4" i="17" s="1"/>
  <c r="K42" i="17"/>
  <c r="D102" i="17"/>
  <c r="R258" i="17"/>
  <c r="R15" i="17" s="1"/>
  <c r="R230" i="17"/>
  <c r="P322" i="17"/>
  <c r="P19" i="17" s="1"/>
  <c r="Y101" i="18"/>
  <c r="E120" i="15"/>
  <c r="AU145" i="15"/>
  <c r="BC202" i="15"/>
  <c r="Q186" i="15"/>
  <c r="BC186" i="15" s="1"/>
  <c r="E189" i="15"/>
  <c r="E45" i="15" s="1"/>
  <c r="BA211" i="15"/>
  <c r="P195" i="15"/>
  <c r="BA195" i="15" s="1"/>
  <c r="C228" i="15"/>
  <c r="L233" i="15"/>
  <c r="AS233" i="15" s="1"/>
  <c r="G240" i="15"/>
  <c r="G244" i="15" s="1"/>
  <c r="G282" i="15"/>
  <c r="N291" i="15"/>
  <c r="AW291" i="15" s="1"/>
  <c r="AW333" i="15"/>
  <c r="N285" i="15"/>
  <c r="AW285" i="15" s="1"/>
  <c r="AU417" i="15"/>
  <c r="Q392" i="15"/>
  <c r="BC424" i="15"/>
  <c r="H436" i="15"/>
  <c r="H27" i="15" s="1"/>
  <c r="AH7" i="16"/>
  <c r="W15" i="16"/>
  <c r="Y15" i="16" s="1"/>
  <c r="G15" i="16"/>
  <c r="AG18" i="16"/>
  <c r="Y28" i="16"/>
  <c r="W29" i="16"/>
  <c r="Y29" i="16" s="1"/>
  <c r="P29" i="16"/>
  <c r="W44" i="16"/>
  <c r="G44" i="16"/>
  <c r="Y48" i="16"/>
  <c r="AH53" i="16"/>
  <c r="AG54" i="16"/>
  <c r="AV55" i="16"/>
  <c r="W70" i="16"/>
  <c r="Y70" i="16" s="1"/>
  <c r="P70" i="16"/>
  <c r="AX89" i="16"/>
  <c r="AZ88" i="16"/>
  <c r="AW104" i="16"/>
  <c r="AZ112" i="16"/>
  <c r="AH128" i="16"/>
  <c r="AG129" i="16"/>
  <c r="G45" i="17"/>
  <c r="C120" i="17"/>
  <c r="C162" i="17"/>
  <c r="C9" i="17" s="1"/>
  <c r="AU9" i="17" s="1"/>
  <c r="C242" i="17"/>
  <c r="Q294" i="17"/>
  <c r="G338" i="17"/>
  <c r="G20" i="17" s="1"/>
  <c r="G294" i="17"/>
  <c r="G101" i="18"/>
  <c r="W101" i="18"/>
  <c r="F148" i="15"/>
  <c r="F8" i="15" s="1"/>
  <c r="F7" i="15" s="1"/>
  <c r="E184" i="15"/>
  <c r="AY209" i="15"/>
  <c r="O193" i="15"/>
  <c r="AY193" i="15" s="1"/>
  <c r="D228" i="15"/>
  <c r="AC244" i="15"/>
  <c r="J260" i="15"/>
  <c r="J15" i="15" s="1"/>
  <c r="L285" i="15"/>
  <c r="AS285" i="15" s="1"/>
  <c r="AS317" i="15"/>
  <c r="F287" i="15"/>
  <c r="F47" i="15" s="1"/>
  <c r="D287" i="15"/>
  <c r="D47" i="15" s="1"/>
  <c r="D372" i="15"/>
  <c r="D23" i="15" s="1"/>
  <c r="D22" i="15" s="1"/>
  <c r="D388" i="15"/>
  <c r="D24" i="15" s="1"/>
  <c r="H388" i="15"/>
  <c r="H24" i="15" s="1"/>
  <c r="M399" i="15"/>
  <c r="AU399" i="15" s="1"/>
  <c r="AU415" i="15"/>
  <c r="AJ17" i="16"/>
  <c r="AS19" i="16"/>
  <c r="AV41" i="16"/>
  <c r="AW40" i="16"/>
  <c r="AH52" i="16"/>
  <c r="AW103" i="16"/>
  <c r="Y132" i="16"/>
  <c r="AV137" i="16"/>
  <c r="AW136" i="16"/>
  <c r="W141" i="16"/>
  <c r="Y141" i="16" s="1"/>
  <c r="AI151" i="16"/>
  <c r="AI152" i="16" s="1"/>
  <c r="AI153" i="16" s="1"/>
  <c r="AI154" i="16" s="1"/>
  <c r="AI155" i="16" s="1"/>
  <c r="AI156" i="16" s="1"/>
  <c r="AI157" i="16" s="1"/>
  <c r="AI158" i="16" s="1"/>
  <c r="AI159" i="16" s="1"/>
  <c r="AZ160" i="16"/>
  <c r="W168" i="16"/>
  <c r="Y168" i="16" s="1"/>
  <c r="G168" i="16"/>
  <c r="W170" i="16"/>
  <c r="Y170" i="16" s="1"/>
  <c r="AS175" i="16"/>
  <c r="F102" i="17"/>
  <c r="P101" i="18"/>
  <c r="AR101" i="18"/>
  <c r="AR102" i="18" s="1"/>
  <c r="AR103" i="18" s="1"/>
  <c r="AR104" i="18" s="1"/>
  <c r="AR105" i="18" s="1"/>
  <c r="AR106" i="18" s="1"/>
  <c r="AR107" i="18" s="1"/>
  <c r="AR108" i="18" s="1"/>
  <c r="AR109" i="18" s="1"/>
  <c r="AR110" i="18" s="1"/>
  <c r="AR111" i="18" s="1"/>
  <c r="O344" i="15"/>
  <c r="AM404" i="15"/>
  <c r="J420" i="15"/>
  <c r="J26" i="15" s="1"/>
  <c r="J392" i="15"/>
  <c r="O393" i="15"/>
  <c r="AY393" i="15" s="1"/>
  <c r="AY409" i="15"/>
  <c r="C395" i="15"/>
  <c r="O398" i="15"/>
  <c r="AY398" i="15" s="1"/>
  <c r="AY414" i="15"/>
  <c r="W66" i="16"/>
  <c r="Y66" i="16" s="1"/>
  <c r="G66" i="16"/>
  <c r="W75" i="16"/>
  <c r="Y75" i="16" s="1"/>
  <c r="G75" i="16"/>
  <c r="AG77" i="16"/>
  <c r="AH76" i="16"/>
  <c r="Y79" i="16"/>
  <c r="AW88" i="16"/>
  <c r="W91" i="16"/>
  <c r="Y91" i="16" s="1"/>
  <c r="AQ105" i="16"/>
  <c r="AJ128" i="16"/>
  <c r="W169" i="16"/>
  <c r="Y169" i="16" s="1"/>
  <c r="M66" i="17"/>
  <c r="L58" i="17"/>
  <c r="L82" i="17"/>
  <c r="L4" i="17" s="1"/>
  <c r="E362" i="17"/>
  <c r="AM66" i="18"/>
  <c r="AN65" i="18"/>
  <c r="AV116" i="18"/>
  <c r="AW115" i="18"/>
  <c r="W134" i="18"/>
  <c r="Y134" i="18" s="1"/>
  <c r="G134" i="18"/>
  <c r="I141" i="19"/>
  <c r="I8" i="19" s="1"/>
  <c r="D36" i="19"/>
  <c r="W128" i="18"/>
  <c r="Y128" i="18" s="1"/>
  <c r="P128" i="18"/>
  <c r="P136" i="18"/>
  <c r="AR136" i="18"/>
  <c r="P291" i="15"/>
  <c r="BA291" i="15" s="1"/>
  <c r="S404" i="15"/>
  <c r="AO404" i="15"/>
  <c r="L420" i="15"/>
  <c r="L392" i="15"/>
  <c r="AS408" i="15"/>
  <c r="D401" i="15"/>
  <c r="F402" i="15"/>
  <c r="W12" i="16"/>
  <c r="Y12" i="16" s="1"/>
  <c r="AZ17" i="16"/>
  <c r="AP19" i="16"/>
  <c r="AH66" i="16"/>
  <c r="AV90" i="16"/>
  <c r="AW89" i="16"/>
  <c r="AG140" i="16"/>
  <c r="W140" i="16"/>
  <c r="Y140" i="16" s="1"/>
  <c r="G140" i="16"/>
  <c r="G164" i="16"/>
  <c r="W164" i="16"/>
  <c r="Y164" i="16" s="1"/>
  <c r="I178" i="17"/>
  <c r="L178" i="17"/>
  <c r="O178" i="17"/>
  <c r="I210" i="17"/>
  <c r="I12" i="17" s="1"/>
  <c r="H230" i="17"/>
  <c r="H258" i="17"/>
  <c r="H15" i="17" s="1"/>
  <c r="K231" i="17"/>
  <c r="K258" i="17"/>
  <c r="K15" i="17" s="1"/>
  <c r="N232" i="17"/>
  <c r="N40" i="17" s="1"/>
  <c r="N258" i="17"/>
  <c r="N15" i="17" s="1"/>
  <c r="AP67" i="18"/>
  <c r="AQ66" i="18"/>
  <c r="G69" i="18"/>
  <c r="B353" i="15"/>
  <c r="B356" i="15" s="1"/>
  <c r="T404" i="15"/>
  <c r="AP404" i="15"/>
  <c r="M420" i="15"/>
  <c r="M392" i="15"/>
  <c r="AU408" i="15"/>
  <c r="E401" i="15"/>
  <c r="D436" i="15"/>
  <c r="D27" i="15" s="1"/>
  <c r="D396" i="15"/>
  <c r="D404" i="15" s="1"/>
  <c r="E436" i="15"/>
  <c r="E27" i="15" s="1"/>
  <c r="AN56" i="16"/>
  <c r="P112" i="16"/>
  <c r="AR112" i="16"/>
  <c r="AH162" i="16"/>
  <c r="AH173" i="16"/>
  <c r="AG174" i="16"/>
  <c r="I7" i="17"/>
  <c r="Z8" i="17"/>
  <c r="AB27" i="17"/>
  <c r="I49" i="17"/>
  <c r="H41" i="17"/>
  <c r="G103" i="17"/>
  <c r="C109" i="17"/>
  <c r="C45" i="17" s="1"/>
  <c r="W16" i="18"/>
  <c r="AI16" i="18"/>
  <c r="G63" i="18"/>
  <c r="W63" i="18"/>
  <c r="W177" i="18"/>
  <c r="Y177" i="18" s="1"/>
  <c r="G177" i="18"/>
  <c r="N108" i="19"/>
  <c r="BJ140" i="19"/>
  <c r="L350" i="15"/>
  <c r="AS350" i="15" s="1"/>
  <c r="U404" i="15"/>
  <c r="P397" i="15"/>
  <c r="BA397" i="15" s="1"/>
  <c r="D400" i="15"/>
  <c r="P7" i="16"/>
  <c r="G14" i="16"/>
  <c r="AZ16" i="16"/>
  <c r="W35" i="16"/>
  <c r="Y35" i="16" s="1"/>
  <c r="AN54" i="16"/>
  <c r="AN55" i="16"/>
  <c r="AM57" i="16"/>
  <c r="AH65" i="16"/>
  <c r="AW100" i="16"/>
  <c r="W104" i="16"/>
  <c r="Y104" i="16" s="1"/>
  <c r="G104" i="16"/>
  <c r="G106" i="16"/>
  <c r="AP127" i="16"/>
  <c r="AQ126" i="16"/>
  <c r="AQ125" i="16"/>
  <c r="AQ139" i="16"/>
  <c r="AP140" i="16"/>
  <c r="Y159" i="16"/>
  <c r="AN160" i="16"/>
  <c r="AM161" i="16"/>
  <c r="AH163" i="16"/>
  <c r="AG164" i="16"/>
  <c r="AH172" i="16"/>
  <c r="AC27" i="17"/>
  <c r="D40" i="17"/>
  <c r="J258" i="17"/>
  <c r="J15" i="17" s="1"/>
  <c r="B279" i="17"/>
  <c r="G16" i="18"/>
  <c r="G97" i="18"/>
  <c r="W97" i="18"/>
  <c r="Y97" i="18" s="1"/>
  <c r="H125" i="19"/>
  <c r="H7" i="19" s="1"/>
  <c r="H100" i="19"/>
  <c r="O243" i="15"/>
  <c r="AY243" i="15" s="1"/>
  <c r="BA364" i="15"/>
  <c r="P348" i="15"/>
  <c r="BA348" i="15" s="1"/>
  <c r="BA385" i="15"/>
  <c r="V404" i="15"/>
  <c r="O392" i="15"/>
  <c r="AY408" i="15"/>
  <c r="C394" i="15"/>
  <c r="C404" i="15" s="1"/>
  <c r="G401" i="15"/>
  <c r="B436" i="15"/>
  <c r="B27" i="15" s="1"/>
  <c r="M436" i="15"/>
  <c r="AK4" i="16"/>
  <c r="AZ19" i="16"/>
  <c r="AN29" i="16"/>
  <c r="AM30" i="16"/>
  <c r="Y33" i="16"/>
  <c r="AN53" i="16"/>
  <c r="W89" i="16"/>
  <c r="Y89" i="16" s="1"/>
  <c r="G89" i="16"/>
  <c r="AH113" i="16"/>
  <c r="AG114" i="16"/>
  <c r="AQ124" i="16"/>
  <c r="AJ138" i="16"/>
  <c r="AK137" i="16"/>
  <c r="AM149" i="16"/>
  <c r="AH161" i="16"/>
  <c r="W166" i="16"/>
  <c r="Y166" i="16" s="1"/>
  <c r="P166" i="16"/>
  <c r="AI173" i="16"/>
  <c r="AI174" i="16" s="1"/>
  <c r="AI175" i="16" s="1"/>
  <c r="AI176" i="16" s="1"/>
  <c r="AI177" i="16" s="1"/>
  <c r="AI178" i="16" s="1"/>
  <c r="AI179" i="16" s="1"/>
  <c r="AI180" i="16" s="1"/>
  <c r="AI181" i="16" s="1"/>
  <c r="AI182" i="16" s="1"/>
  <c r="AI183" i="16" s="1"/>
  <c r="E40" i="17"/>
  <c r="B43" i="17"/>
  <c r="Y5" i="17"/>
  <c r="O162" i="17"/>
  <c r="O9" i="17" s="1"/>
  <c r="C226" i="17"/>
  <c r="C182" i="17"/>
  <c r="C279" i="17"/>
  <c r="O359" i="17"/>
  <c r="O39" i="17" s="1"/>
  <c r="O386" i="17"/>
  <c r="O23" i="17" s="1"/>
  <c r="J362" i="17"/>
  <c r="J370" i="17" s="1"/>
  <c r="J386" i="17"/>
  <c r="J23" i="17" s="1"/>
  <c r="AT64" i="18"/>
  <c r="AS65" i="18"/>
  <c r="AV186" i="18"/>
  <c r="AW186" i="18" s="1"/>
  <c r="AW185" i="18"/>
  <c r="I51" i="19"/>
  <c r="I35" i="19" s="1"/>
  <c r="I77" i="19"/>
  <c r="W404" i="15"/>
  <c r="P392" i="15"/>
  <c r="BA408" i="15"/>
  <c r="J402" i="15"/>
  <c r="C436" i="15"/>
  <c r="C27" i="15" s="1"/>
  <c r="C25" i="15" s="1"/>
  <c r="AZ20" i="16"/>
  <c r="AN28" i="16"/>
  <c r="W38" i="16"/>
  <c r="Y38" i="16" s="1"/>
  <c r="G38" i="16"/>
  <c r="Y39" i="16"/>
  <c r="AO53" i="16"/>
  <c r="AJ67" i="16"/>
  <c r="AK66" i="16"/>
  <c r="G92" i="16"/>
  <c r="W92" i="16"/>
  <c r="Y92" i="16" s="1"/>
  <c r="AS102" i="16"/>
  <c r="W110" i="16"/>
  <c r="Y110" i="16" s="1"/>
  <c r="G110" i="16"/>
  <c r="AH112" i="16"/>
  <c r="W115" i="16"/>
  <c r="Y115" i="16" s="1"/>
  <c r="G115" i="16"/>
  <c r="AW148" i="16"/>
  <c r="AV149" i="16"/>
  <c r="AS164" i="16"/>
  <c r="AJ173" i="16"/>
  <c r="AK172" i="16"/>
  <c r="C43" i="17"/>
  <c r="M178" i="17"/>
  <c r="O194" i="17"/>
  <c r="P366" i="17"/>
  <c r="P386" i="17"/>
  <c r="P23" i="17" s="1"/>
  <c r="W38" i="18"/>
  <c r="G38" i="18"/>
  <c r="Y102" i="18"/>
  <c r="E125" i="19"/>
  <c r="E7" i="19" s="1"/>
  <c r="E126" i="19"/>
  <c r="E98" i="19"/>
  <c r="E109" i="19" s="1"/>
  <c r="M237" i="15"/>
  <c r="AU237" i="15" s="1"/>
  <c r="O340" i="15"/>
  <c r="X404" i="15"/>
  <c r="G400" i="15"/>
  <c r="I401" i="15"/>
  <c r="W5" i="16"/>
  <c r="Y5" i="16" s="1"/>
  <c r="G5" i="16"/>
  <c r="G45" i="16"/>
  <c r="W47" i="16"/>
  <c r="G50" i="16"/>
  <c r="AP57" i="16"/>
  <c r="AK65" i="16"/>
  <c r="G84" i="16"/>
  <c r="Y87" i="16"/>
  <c r="AZ100" i="16"/>
  <c r="AW101" i="16"/>
  <c r="Y120" i="16"/>
  <c r="AT124" i="16"/>
  <c r="AS125" i="16"/>
  <c r="AN137" i="16"/>
  <c r="AM138" i="16"/>
  <c r="AR162" i="16"/>
  <c r="AJ163" i="16"/>
  <c r="BA8" i="17"/>
  <c r="P106" i="17"/>
  <c r="P194" i="17"/>
  <c r="AV128" i="18"/>
  <c r="AW127" i="18"/>
  <c r="C39" i="19"/>
  <c r="AQ29" i="16"/>
  <c r="AP30" i="16"/>
  <c r="G40" i="16"/>
  <c r="AI40" i="16"/>
  <c r="W61" i="16"/>
  <c r="Y61" i="16" s="1"/>
  <c r="AT65" i="16"/>
  <c r="AS66" i="16"/>
  <c r="AJ78" i="16"/>
  <c r="W88" i="16"/>
  <c r="Y88" i="16" s="1"/>
  <c r="G88" i="16"/>
  <c r="AI88" i="16"/>
  <c r="AX102" i="16"/>
  <c r="AZ101" i="16"/>
  <c r="P109" i="16"/>
  <c r="W109" i="16"/>
  <c r="Y109" i="16" s="1"/>
  <c r="AJ114" i="16"/>
  <c r="AK113" i="16"/>
  <c r="G114" i="16"/>
  <c r="W114" i="16"/>
  <c r="Y114" i="16" s="1"/>
  <c r="AR138" i="16"/>
  <c r="AR139" i="16" s="1"/>
  <c r="AR140" i="16" s="1"/>
  <c r="AR141" i="16" s="1"/>
  <c r="AR142" i="16" s="1"/>
  <c r="AR143" i="16" s="1"/>
  <c r="AR144" i="16" s="1"/>
  <c r="AR145" i="16" s="1"/>
  <c r="AR146" i="16" s="1"/>
  <c r="AR147" i="16" s="1"/>
  <c r="AY149" i="16"/>
  <c r="AY150" i="16" s="1"/>
  <c r="AY151" i="16" s="1"/>
  <c r="AY152" i="16" s="1"/>
  <c r="AY153" i="16" s="1"/>
  <c r="AY154" i="16" s="1"/>
  <c r="AY155" i="16" s="1"/>
  <c r="AY156" i="16" s="1"/>
  <c r="AY157" i="16" s="1"/>
  <c r="AY158" i="16" s="1"/>
  <c r="AY159" i="16" s="1"/>
  <c r="AZ148" i="16"/>
  <c r="AM173" i="16"/>
  <c r="AN172" i="16"/>
  <c r="W185" i="16"/>
  <c r="Y185" i="16" s="1"/>
  <c r="G185" i="16"/>
  <c r="J39" i="17"/>
  <c r="J66" i="17"/>
  <c r="L358" i="17"/>
  <c r="L386" i="17"/>
  <c r="L23" i="17" s="1"/>
  <c r="W43" i="18"/>
  <c r="Y43" i="18" s="1"/>
  <c r="G43" i="18"/>
  <c r="F324" i="15"/>
  <c r="F20" i="15" s="1"/>
  <c r="F18" i="15" s="1"/>
  <c r="H351" i="15"/>
  <c r="Z404" i="15"/>
  <c r="K401" i="15"/>
  <c r="F436" i="15"/>
  <c r="F27" i="15" s="1"/>
  <c r="AQ28" i="16"/>
  <c r="AH29" i="16"/>
  <c r="AX54" i="16"/>
  <c r="AS57" i="16"/>
  <c r="G61" i="16"/>
  <c r="AT64" i="16"/>
  <c r="AN65" i="16"/>
  <c r="AM66" i="16"/>
  <c r="AW77" i="16"/>
  <c r="AV78" i="16"/>
  <c r="G82" i="16"/>
  <c r="P103" i="16"/>
  <c r="AI124" i="16"/>
  <c r="W124" i="16"/>
  <c r="AV125" i="16"/>
  <c r="AW124" i="16"/>
  <c r="AS137" i="16"/>
  <c r="AT136" i="16"/>
  <c r="W152" i="16"/>
  <c r="Y152" i="16" s="1"/>
  <c r="C47" i="17"/>
  <c r="D286" i="17"/>
  <c r="N22" i="17"/>
  <c r="G40" i="18"/>
  <c r="AI40" i="18"/>
  <c r="W40" i="18"/>
  <c r="AP162" i="18"/>
  <c r="AQ161" i="18"/>
  <c r="F125" i="19"/>
  <c r="F7" i="19" s="1"/>
  <c r="F97" i="19"/>
  <c r="AS328" i="15"/>
  <c r="C372" i="15"/>
  <c r="C23" i="15" s="1"/>
  <c r="C22" i="15" s="1"/>
  <c r="J400" i="15"/>
  <c r="AH6" i="16"/>
  <c r="Y14" i="16"/>
  <c r="W16" i="16"/>
  <c r="G16" i="16"/>
  <c r="W23" i="16"/>
  <c r="Y23" i="16" s="1"/>
  <c r="AI28" i="16"/>
  <c r="W28" i="16"/>
  <c r="AJ30" i="16"/>
  <c r="Y41" i="16"/>
  <c r="G59" i="16"/>
  <c r="W59" i="16"/>
  <c r="Y59" i="16" s="1"/>
  <c r="AP66" i="16"/>
  <c r="AQ65" i="16"/>
  <c r="W67" i="16"/>
  <c r="Y67" i="16" s="1"/>
  <c r="W71" i="16"/>
  <c r="Y71" i="16" s="1"/>
  <c r="G71" i="16"/>
  <c r="AW76" i="16"/>
  <c r="G101" i="16"/>
  <c r="W101" i="16"/>
  <c r="Y101" i="16" s="1"/>
  <c r="Y106" i="16"/>
  <c r="Y107" i="16"/>
  <c r="AL113" i="16"/>
  <c r="AL114" i="16" s="1"/>
  <c r="AL115" i="16" s="1"/>
  <c r="AL116" i="16" s="1"/>
  <c r="AL117" i="16" s="1"/>
  <c r="AL118" i="16" s="1"/>
  <c r="AL119" i="16" s="1"/>
  <c r="AL120" i="16" s="1"/>
  <c r="AL121" i="16" s="1"/>
  <c r="AL122" i="16" s="1"/>
  <c r="AL123" i="16" s="1"/>
  <c r="AN112" i="16"/>
  <c r="AW115" i="16"/>
  <c r="G124" i="16"/>
  <c r="Y158" i="16"/>
  <c r="AW161" i="16"/>
  <c r="AV162" i="16"/>
  <c r="P181" i="16"/>
  <c r="W181" i="16"/>
  <c r="Y181" i="16" s="1"/>
  <c r="P184" i="16"/>
  <c r="AR184" i="16"/>
  <c r="AR185" i="16" s="1"/>
  <c r="L98" i="17"/>
  <c r="L5" i="17" s="1"/>
  <c r="L146" i="17"/>
  <c r="L8" i="17" s="1"/>
  <c r="L118" i="17"/>
  <c r="H124" i="17"/>
  <c r="H108" i="17" s="1"/>
  <c r="P102" i="17"/>
  <c r="H280" i="17"/>
  <c r="E386" i="17"/>
  <c r="E23" i="17" s="1"/>
  <c r="P40" i="18"/>
  <c r="AR40" i="18"/>
  <c r="W129" i="16"/>
  <c r="Y129" i="16" s="1"/>
  <c r="G129" i="16"/>
  <c r="G178" i="17"/>
  <c r="G361" i="17"/>
  <c r="G370" i="17" s="1"/>
  <c r="G386" i="17"/>
  <c r="G23" i="17" s="1"/>
  <c r="L434" i="17"/>
  <c r="L26" i="17" s="1"/>
  <c r="AJ6" i="18"/>
  <c r="AK5" i="18"/>
  <c r="AS46" i="18"/>
  <c r="AS116" i="18"/>
  <c r="Y131" i="18"/>
  <c r="G165" i="18"/>
  <c r="W165" i="18"/>
  <c r="Y165" i="18" s="1"/>
  <c r="AV17" i="16"/>
  <c r="AP41" i="16"/>
  <c r="G65" i="16"/>
  <c r="Y69" i="16"/>
  <c r="Y74" i="16"/>
  <c r="G87" i="16"/>
  <c r="W155" i="16"/>
  <c r="Y155" i="16" s="1"/>
  <c r="AT161" i="16"/>
  <c r="M40" i="17"/>
  <c r="H45" i="17"/>
  <c r="F98" i="17"/>
  <c r="F5" i="17" s="1"/>
  <c r="F110" i="17"/>
  <c r="F46" i="17" s="1"/>
  <c r="C119" i="17"/>
  <c r="F120" i="17"/>
  <c r="C210" i="17"/>
  <c r="C12" i="17" s="1"/>
  <c r="C185" i="17"/>
  <c r="C41" i="17" s="1"/>
  <c r="H226" i="17"/>
  <c r="AJ90" i="18"/>
  <c r="W120" i="16"/>
  <c r="Y124" i="16"/>
  <c r="W136" i="16"/>
  <c r="AZ138" i="16"/>
  <c r="W148" i="16"/>
  <c r="Y148" i="16" s="1"/>
  <c r="G148" i="16"/>
  <c r="W149" i="16"/>
  <c r="Y149" i="16" s="1"/>
  <c r="C55" i="17"/>
  <c r="I45" i="17"/>
  <c r="D119" i="17"/>
  <c r="D103" i="17" s="1"/>
  <c r="G120" i="17"/>
  <c r="J121" i="17"/>
  <c r="M122" i="17"/>
  <c r="M130" i="17" s="1"/>
  <c r="P123" i="17"/>
  <c r="P130" i="17" s="1"/>
  <c r="F47" i="17"/>
  <c r="I128" i="17"/>
  <c r="F178" i="17"/>
  <c r="M182" i="17"/>
  <c r="M210" i="17"/>
  <c r="M12" i="17" s="1"/>
  <c r="AX16" i="17"/>
  <c r="M289" i="17"/>
  <c r="H370" i="17"/>
  <c r="F386" i="17"/>
  <c r="F23" i="17" s="1"/>
  <c r="K386" i="17"/>
  <c r="K23" i="17" s="1"/>
  <c r="AR6" i="18"/>
  <c r="AR7" i="18" s="1"/>
  <c r="AR8" i="18" s="1"/>
  <c r="AR9" i="18" s="1"/>
  <c r="AR10" i="18" s="1"/>
  <c r="AR11" i="18" s="1"/>
  <c r="AR12" i="18" s="1"/>
  <c r="AR13" i="18" s="1"/>
  <c r="AR14" i="18" s="1"/>
  <c r="AR15" i="18" s="1"/>
  <c r="W166" i="18"/>
  <c r="Y166" i="18" s="1"/>
  <c r="G166" i="18"/>
  <c r="N35" i="19"/>
  <c r="BJ35" i="19" s="1"/>
  <c r="Y96" i="16"/>
  <c r="P148" i="16"/>
  <c r="AR148" i="16"/>
  <c r="AQ151" i="16"/>
  <c r="I40" i="17"/>
  <c r="E108" i="17"/>
  <c r="E44" i="17" s="1"/>
  <c r="B118" i="17"/>
  <c r="B146" i="17"/>
  <c r="B8" i="17" s="1"/>
  <c r="E119" i="17"/>
  <c r="H120" i="17"/>
  <c r="K121" i="17"/>
  <c r="N122" i="17"/>
  <c r="D126" i="17"/>
  <c r="G127" i="17"/>
  <c r="M129" i="17"/>
  <c r="N210" i="17"/>
  <c r="N12" i="17" s="1"/>
  <c r="W23" i="18"/>
  <c r="Y23" i="18" s="1"/>
  <c r="G23" i="18"/>
  <c r="AR153" i="18"/>
  <c r="AR154" i="18" s="1"/>
  <c r="AR155" i="18" s="1"/>
  <c r="AR156" i="18" s="1"/>
  <c r="AR157" i="18" s="1"/>
  <c r="AR158" i="18" s="1"/>
  <c r="AR159" i="18" s="1"/>
  <c r="AQ102" i="16"/>
  <c r="AQ112" i="16"/>
  <c r="AZ136" i="16"/>
  <c r="W142" i="16"/>
  <c r="AZ149" i="16"/>
  <c r="AX150" i="16"/>
  <c r="W161" i="16"/>
  <c r="Y161" i="16" s="1"/>
  <c r="G161" i="16"/>
  <c r="F38" i="17"/>
  <c r="F66" i="17"/>
  <c r="J48" i="17"/>
  <c r="K45" i="17"/>
  <c r="F64" i="17"/>
  <c r="F48" i="17" s="1"/>
  <c r="I98" i="17"/>
  <c r="I5" i="17" s="1"/>
  <c r="P49" i="17"/>
  <c r="M105" i="17"/>
  <c r="C118" i="17"/>
  <c r="C146" i="17"/>
  <c r="C8" i="17" s="1"/>
  <c r="H127" i="17"/>
  <c r="F162" i="17"/>
  <c r="F9" i="17" s="1"/>
  <c r="AX9" i="17" s="1"/>
  <c r="O210" i="17"/>
  <c r="O12" i="17" s="1"/>
  <c r="M274" i="17"/>
  <c r="M16" i="17" s="1"/>
  <c r="M14" i="17" s="1"/>
  <c r="G6" i="18"/>
  <c r="W6" i="18"/>
  <c r="Y6" i="18" s="1"/>
  <c r="Y19" i="18"/>
  <c r="Y52" i="18"/>
  <c r="W56" i="18"/>
  <c r="Y56" i="18" s="1"/>
  <c r="G56" i="18"/>
  <c r="AV89" i="18"/>
  <c r="W143" i="18"/>
  <c r="Y143" i="18" s="1"/>
  <c r="G143" i="18"/>
  <c r="AP150" i="18"/>
  <c r="AQ149" i="18"/>
  <c r="O58" i="19"/>
  <c r="BL74" i="19"/>
  <c r="AK64" i="16"/>
  <c r="AN89" i="16"/>
  <c r="AQ101" i="16"/>
  <c r="AZ125" i="16"/>
  <c r="Y165" i="16"/>
  <c r="W171" i="16"/>
  <c r="Y171" i="16" s="1"/>
  <c r="F82" i="17"/>
  <c r="F4" i="17" s="1"/>
  <c r="K40" i="17"/>
  <c r="G44" i="17"/>
  <c r="E98" i="17"/>
  <c r="E5" i="17" s="1"/>
  <c r="AW5" i="17" s="1"/>
  <c r="J104" i="17"/>
  <c r="N178" i="17"/>
  <c r="N102" i="17"/>
  <c r="P210" i="17"/>
  <c r="P12" i="17" s="1"/>
  <c r="G258" i="17"/>
  <c r="G15" i="17" s="1"/>
  <c r="N274" i="17"/>
  <c r="N16" i="17" s="1"/>
  <c r="J288" i="17"/>
  <c r="G418" i="17"/>
  <c r="W42" i="18"/>
  <c r="G42" i="18"/>
  <c r="AX89" i="18"/>
  <c r="G102" i="18"/>
  <c r="W102" i="18"/>
  <c r="H93" i="19"/>
  <c r="AF5" i="20"/>
  <c r="AG4" i="20"/>
  <c r="AN76" i="16"/>
  <c r="AN88" i="16"/>
  <c r="AQ100" i="16"/>
  <c r="AH124" i="16"/>
  <c r="AQ138" i="16"/>
  <c r="AT184" i="16"/>
  <c r="BA184" i="16" s="1"/>
  <c r="G39" i="17"/>
  <c r="H44" i="17"/>
  <c r="K98" i="17"/>
  <c r="K5" i="17" s="1"/>
  <c r="AB5" i="17" s="1"/>
  <c r="E146" i="17"/>
  <c r="E8" i="17" s="1"/>
  <c r="D125" i="17"/>
  <c r="G232" i="17"/>
  <c r="B258" i="17"/>
  <c r="B15" i="17" s="1"/>
  <c r="E231" i="17"/>
  <c r="E258" i="17"/>
  <c r="E15" i="17" s="1"/>
  <c r="N408" i="17"/>
  <c r="N434" i="17"/>
  <c r="N26" i="17" s="1"/>
  <c r="Y53" i="18"/>
  <c r="Y66" i="18"/>
  <c r="G141" i="18"/>
  <c r="W141" i="18"/>
  <c r="Y141" i="18" s="1"/>
  <c r="AW151" i="18"/>
  <c r="AV152" i="18"/>
  <c r="J38" i="19"/>
  <c r="I42" i="19"/>
  <c r="I238" i="4" s="1"/>
  <c r="BL91" i="19"/>
  <c r="O93" i="19"/>
  <c r="BN285" i="19"/>
  <c r="P17" i="19"/>
  <c r="W162" i="16"/>
  <c r="Y162" i="16" s="1"/>
  <c r="H55" i="17"/>
  <c r="N45" i="17"/>
  <c r="M48" i="17"/>
  <c r="F146" i="17"/>
  <c r="F8" i="17" s="1"/>
  <c r="E125" i="17"/>
  <c r="N128" i="17"/>
  <c r="N112" i="17" s="1"/>
  <c r="P178" i="17"/>
  <c r="N226" i="17"/>
  <c r="C258" i="17"/>
  <c r="C15" i="17" s="1"/>
  <c r="I290" i="17"/>
  <c r="AF20" i="18"/>
  <c r="BA28" i="18"/>
  <c r="BC28" i="18" s="1"/>
  <c r="W29" i="18"/>
  <c r="Y29" i="18" s="1"/>
  <c r="P29" i="18"/>
  <c r="AF103" i="18"/>
  <c r="W118" i="16"/>
  <c r="Y130" i="16"/>
  <c r="AP152" i="16"/>
  <c r="AI160" i="16"/>
  <c r="AI161" i="16" s="1"/>
  <c r="G162" i="16"/>
  <c r="AP173" i="16"/>
  <c r="AW185" i="16"/>
  <c r="C44" i="17"/>
  <c r="B42" i="17"/>
  <c r="F42" i="17"/>
  <c r="I111" i="17"/>
  <c r="I47" i="17" s="1"/>
  <c r="P105" i="17"/>
  <c r="P41" i="17" s="1"/>
  <c r="F125" i="17"/>
  <c r="I126" i="17"/>
  <c r="O128" i="17"/>
  <c r="O112" i="17" s="1"/>
  <c r="O48" i="17" s="1"/>
  <c r="M162" i="17"/>
  <c r="M9" i="17" s="1"/>
  <c r="Q178" i="17"/>
  <c r="D258" i="17"/>
  <c r="D15" i="17" s="1"/>
  <c r="J274" i="17"/>
  <c r="J16" i="17" s="1"/>
  <c r="F278" i="17"/>
  <c r="F306" i="17"/>
  <c r="J359" i="17"/>
  <c r="J402" i="17"/>
  <c r="J24" i="17" s="1"/>
  <c r="L367" i="17"/>
  <c r="L402" i="17"/>
  <c r="L24" i="17" s="1"/>
  <c r="Y50" i="18"/>
  <c r="G84" i="18"/>
  <c r="W84" i="18"/>
  <c r="Y84" i="18" s="1"/>
  <c r="Y98" i="18"/>
  <c r="AG103" i="18"/>
  <c r="Y104" i="18"/>
  <c r="W138" i="16"/>
  <c r="Y138" i="16" s="1"/>
  <c r="AK160" i="16"/>
  <c r="D44" i="17"/>
  <c r="H46" i="17"/>
  <c r="C49" i="17"/>
  <c r="O82" i="17"/>
  <c r="O4" i="17" s="1"/>
  <c r="C42" i="17"/>
  <c r="K48" i="17"/>
  <c r="R274" i="17"/>
  <c r="R16" i="17" s="1"/>
  <c r="AI16" i="17" s="1"/>
  <c r="B274" i="17"/>
  <c r="B16" i="17" s="1"/>
  <c r="K274" i="17"/>
  <c r="K16" i="17" s="1"/>
  <c r="AB16" i="17" s="1"/>
  <c r="G287" i="17"/>
  <c r="E434" i="17"/>
  <c r="E26" i="17" s="1"/>
  <c r="E406" i="17"/>
  <c r="W36" i="18"/>
  <c r="Y36" i="18" s="1"/>
  <c r="G36" i="18"/>
  <c r="BB53" i="18"/>
  <c r="AG54" i="18"/>
  <c r="AW140" i="18"/>
  <c r="AV141" i="18"/>
  <c r="P160" i="18"/>
  <c r="AR160" i="18"/>
  <c r="G141" i="19"/>
  <c r="G8" i="19" s="1"/>
  <c r="G98" i="19"/>
  <c r="AR76" i="16"/>
  <c r="W127" i="16"/>
  <c r="Y127" i="16" s="1"/>
  <c r="AI136" i="16"/>
  <c r="AI137" i="16" s="1"/>
  <c r="AI138" i="16" s="1"/>
  <c r="AI139" i="16" s="1"/>
  <c r="AI140" i="16" s="1"/>
  <c r="AI141" i="16" s="1"/>
  <c r="AI142" i="16" s="1"/>
  <c r="AI143" i="16" s="1"/>
  <c r="AI144" i="16" s="1"/>
  <c r="AI145" i="16" s="1"/>
  <c r="AI146" i="16" s="1"/>
  <c r="AI147" i="16" s="1"/>
  <c r="G138" i="16"/>
  <c r="Y176" i="16"/>
  <c r="AZ185" i="16"/>
  <c r="AK185" i="16"/>
  <c r="F55" i="17"/>
  <c r="P56" i="17"/>
  <c r="P40" i="17" s="1"/>
  <c r="H63" i="17"/>
  <c r="L64" i="17"/>
  <c r="L48" i="17" s="1"/>
  <c r="J98" i="17"/>
  <c r="J5" i="17" s="1"/>
  <c r="H42" i="17"/>
  <c r="B230" i="17"/>
  <c r="B242" i="17" s="1"/>
  <c r="F258" i="17"/>
  <c r="F15" i="17" s="1"/>
  <c r="F230" i="17"/>
  <c r="F242" i="17" s="1"/>
  <c r="I231" i="17"/>
  <c r="I39" i="17" s="1"/>
  <c r="I258" i="17"/>
  <c r="I15" i="17" s="1"/>
  <c r="L232" i="17"/>
  <c r="L40" i="17" s="1"/>
  <c r="L258" i="17"/>
  <c r="L15" i="17" s="1"/>
  <c r="O233" i="17"/>
  <c r="O41" i="17" s="1"/>
  <c r="O258" i="17"/>
  <c r="O15" i="17" s="1"/>
  <c r="M412" i="17"/>
  <c r="M450" i="17"/>
  <c r="M27" i="17" s="1"/>
  <c r="W20" i="18"/>
  <c r="Y20" i="18" s="1"/>
  <c r="G20" i="18"/>
  <c r="AZ40" i="18"/>
  <c r="AX41" i="18"/>
  <c r="P48" i="18"/>
  <c r="W48" i="18"/>
  <c r="AH53" i="18"/>
  <c r="W130" i="18"/>
  <c r="Y130" i="18" s="1"/>
  <c r="G130" i="18"/>
  <c r="G132" i="18"/>
  <c r="W132" i="18"/>
  <c r="Y132" i="18" s="1"/>
  <c r="H141" i="19"/>
  <c r="H8" i="19" s="1"/>
  <c r="H98" i="19"/>
  <c r="H109" i="19" s="1"/>
  <c r="AP161" i="16"/>
  <c r="D279" i="17"/>
  <c r="C354" i="17"/>
  <c r="C21" i="17" s="1"/>
  <c r="AU19" i="17" s="1"/>
  <c r="C278" i="17"/>
  <c r="C290" i="17" s="1"/>
  <c r="O434" i="17"/>
  <c r="O26" i="17" s="1"/>
  <c r="Y11" i="18"/>
  <c r="Y18" i="18"/>
  <c r="AF31" i="18"/>
  <c r="AX31" i="18"/>
  <c r="AZ30" i="18"/>
  <c r="G47" i="18"/>
  <c r="W47" i="18"/>
  <c r="Y47" i="18" s="1"/>
  <c r="AN53" i="18"/>
  <c r="AM54" i="18"/>
  <c r="AF115" i="18"/>
  <c r="AF137" i="18"/>
  <c r="BB172" i="18"/>
  <c r="AV173" i="18"/>
  <c r="BB173" i="18" s="1"/>
  <c r="AW172" i="18"/>
  <c r="BL39" i="19"/>
  <c r="G126" i="19"/>
  <c r="P127" i="19" s="1"/>
  <c r="G108" i="19"/>
  <c r="G44" i="19" s="1"/>
  <c r="M8" i="19"/>
  <c r="BH8" i="19" s="1"/>
  <c r="BH141" i="19"/>
  <c r="AR172" i="16"/>
  <c r="AX173" i="16"/>
  <c r="O113" i="17"/>
  <c r="O49" i="17" s="1"/>
  <c r="H146" i="17"/>
  <c r="H8" i="17" s="1"/>
  <c r="D162" i="17"/>
  <c r="D9" i="17" s="1"/>
  <c r="P274" i="17"/>
  <c r="P16" i="17" s="1"/>
  <c r="E279" i="17"/>
  <c r="D354" i="17"/>
  <c r="D21" i="17" s="1"/>
  <c r="AV19" i="17" s="1"/>
  <c r="M402" i="17"/>
  <c r="M24" i="17" s="1"/>
  <c r="S450" i="17"/>
  <c r="S27" i="17" s="1"/>
  <c r="Y51" i="18"/>
  <c r="Y62" i="18"/>
  <c r="W95" i="18"/>
  <c r="Y95" i="18" s="1"/>
  <c r="G95" i="18"/>
  <c r="AN101" i="18"/>
  <c r="AM102" i="18"/>
  <c r="AG115" i="18"/>
  <c r="W174" i="18"/>
  <c r="Y174" i="18" s="1"/>
  <c r="G174" i="18"/>
  <c r="I37" i="19"/>
  <c r="H82" i="17"/>
  <c r="H4" i="17" s="1"/>
  <c r="E64" i="17"/>
  <c r="E48" i="17" s="1"/>
  <c r="E354" i="17"/>
  <c r="E21" i="17" s="1"/>
  <c r="AW19" i="17" s="1"/>
  <c r="K354" i="17"/>
  <c r="K21" i="17" s="1"/>
  <c r="AB21" i="17" s="1"/>
  <c r="T354" i="17"/>
  <c r="T21" i="17" s="1"/>
  <c r="N365" i="17"/>
  <c r="N370" i="17" s="1"/>
  <c r="N402" i="17"/>
  <c r="N24" i="17" s="1"/>
  <c r="AZ7" i="18"/>
  <c r="AS31" i="18"/>
  <c r="AV41" i="18"/>
  <c r="AW40" i="18"/>
  <c r="G62" i="18"/>
  <c r="W62" i="18"/>
  <c r="Y90" i="18"/>
  <c r="G160" i="18"/>
  <c r="AI160" i="18"/>
  <c r="AI161" i="18" s="1"/>
  <c r="W160" i="18"/>
  <c r="Y160" i="18" s="1"/>
  <c r="J82" i="17"/>
  <c r="J4" i="17" s="1"/>
  <c r="G64" i="17"/>
  <c r="G48" i="17" s="1"/>
  <c r="J65" i="17"/>
  <c r="J49" i="17" s="1"/>
  <c r="E112" i="17"/>
  <c r="G162" i="17"/>
  <c r="G9" i="17" s="1"/>
  <c r="B192" i="17"/>
  <c r="B48" i="17" s="1"/>
  <c r="D226" i="17"/>
  <c r="D182" i="17"/>
  <c r="N230" i="17"/>
  <c r="N242" i="17" s="1"/>
  <c r="Q231" i="17"/>
  <c r="T232" i="17"/>
  <c r="D234" i="17"/>
  <c r="D42" i="17" s="1"/>
  <c r="G235" i="17"/>
  <c r="G43" i="17" s="1"/>
  <c r="J236" i="17"/>
  <c r="J44" i="17" s="1"/>
  <c r="M237" i="17"/>
  <c r="M45" i="17" s="1"/>
  <c r="P238" i="17"/>
  <c r="P46" i="17" s="1"/>
  <c r="S239" i="17"/>
  <c r="C241" i="17"/>
  <c r="S274" i="17"/>
  <c r="S16" i="17" s="1"/>
  <c r="N281" i="17"/>
  <c r="I287" i="17"/>
  <c r="H338" i="17"/>
  <c r="H20" i="17" s="1"/>
  <c r="Y20" i="17" s="1"/>
  <c r="J364" i="17"/>
  <c r="P402" i="17"/>
  <c r="P24" i="17" s="1"/>
  <c r="Y42" i="18"/>
  <c r="AG78" i="18"/>
  <c r="AF161" i="18"/>
  <c r="B57" i="19"/>
  <c r="B41" i="19" s="1"/>
  <c r="J33" i="17"/>
  <c r="D63" i="17"/>
  <c r="D47" i="17" s="1"/>
  <c r="H64" i="17"/>
  <c r="K65" i="17"/>
  <c r="H162" i="17"/>
  <c r="H9" i="17" s="1"/>
  <c r="E226" i="17"/>
  <c r="O230" i="17"/>
  <c r="R231" i="17"/>
  <c r="B233" i="17"/>
  <c r="E234" i="17"/>
  <c r="H235" i="17"/>
  <c r="K236" i="17"/>
  <c r="N237" i="17"/>
  <c r="Q238" i="17"/>
  <c r="T239" i="17"/>
  <c r="D241" i="17"/>
  <c r="D49" i="17" s="1"/>
  <c r="T274" i="17"/>
  <c r="T16" i="17" s="1"/>
  <c r="I306" i="17"/>
  <c r="Q402" i="17"/>
  <c r="Q24" i="17" s="1"/>
  <c r="M434" i="17"/>
  <c r="M26" i="17" s="1"/>
  <c r="M409" i="17"/>
  <c r="M418" i="17" s="1"/>
  <c r="P434" i="17"/>
  <c r="P26" i="17" s="1"/>
  <c r="Y13" i="18"/>
  <c r="Y35" i="18"/>
  <c r="AX53" i="18"/>
  <c r="AZ52" i="18"/>
  <c r="AH77" i="18"/>
  <c r="Y88" i="18"/>
  <c r="AF91" i="18"/>
  <c r="G107" i="18"/>
  <c r="W107" i="18"/>
  <c r="Y107" i="18" s="1"/>
  <c r="W111" i="18"/>
  <c r="Y111" i="18" s="1"/>
  <c r="AM115" i="18"/>
  <c r="AN114" i="18"/>
  <c r="AN125" i="18"/>
  <c r="AM126" i="18"/>
  <c r="AF127" i="18"/>
  <c r="C57" i="19"/>
  <c r="C41" i="19" s="1"/>
  <c r="C77" i="19"/>
  <c r="C101" i="19"/>
  <c r="C37" i="19" s="1"/>
  <c r="C125" i="19"/>
  <c r="C7" i="19" s="1"/>
  <c r="K33" i="17"/>
  <c r="E63" i="17"/>
  <c r="E47" i="17" s="1"/>
  <c r="C98" i="17"/>
  <c r="C5" i="17" s="1"/>
  <c r="AU5" i="17" s="1"/>
  <c r="J146" i="17"/>
  <c r="J8" i="17" s="1"/>
  <c r="B178" i="17"/>
  <c r="B210" i="17"/>
  <c r="B12" i="17" s="1"/>
  <c r="F226" i="17"/>
  <c r="P230" i="17"/>
  <c r="P258" i="17"/>
  <c r="P15" i="17" s="1"/>
  <c r="S231" i="17"/>
  <c r="C233" i="17"/>
  <c r="F234" i="17"/>
  <c r="I235" i="17"/>
  <c r="I43" i="17" s="1"/>
  <c r="L236" i="17"/>
  <c r="L44" i="17" s="1"/>
  <c r="O237" i="17"/>
  <c r="O45" i="17" s="1"/>
  <c r="R238" i="17"/>
  <c r="B240" i="17"/>
  <c r="E241" i="17"/>
  <c r="E49" i="17" s="1"/>
  <c r="D294" i="17"/>
  <c r="D322" i="17"/>
  <c r="D19" i="17" s="1"/>
  <c r="M300" i="17"/>
  <c r="M284" i="17" s="1"/>
  <c r="P278" i="17"/>
  <c r="H386" i="17"/>
  <c r="H23" i="17" s="1"/>
  <c r="B402" i="17"/>
  <c r="B24" i="17" s="1"/>
  <c r="AT22" i="17" s="1"/>
  <c r="E402" i="17"/>
  <c r="E24" i="17" s="1"/>
  <c r="AW22" i="17" s="1"/>
  <c r="B434" i="17"/>
  <c r="B26" i="17" s="1"/>
  <c r="AZ18" i="18"/>
  <c r="AX19" i="18"/>
  <c r="W50" i="18"/>
  <c r="G50" i="18"/>
  <c r="AG91" i="18"/>
  <c r="AH90" i="18"/>
  <c r="G105" i="18"/>
  <c r="W105" i="18"/>
  <c r="Y105" i="18" s="1"/>
  <c r="AG127" i="18"/>
  <c r="AH126" i="18"/>
  <c r="BB126" i="18"/>
  <c r="AT150" i="18"/>
  <c r="AS151" i="18"/>
  <c r="AG162" i="18"/>
  <c r="BB161" i="18"/>
  <c r="Y184" i="18"/>
  <c r="W185" i="18"/>
  <c r="Y185" i="18" s="1"/>
  <c r="G185" i="18"/>
  <c r="T370" i="19"/>
  <c r="T376" i="19" s="1"/>
  <c r="U29" i="19"/>
  <c r="D51" i="19"/>
  <c r="D35" i="19" s="1"/>
  <c r="D77" i="19"/>
  <c r="B56" i="19"/>
  <c r="B77" i="19"/>
  <c r="L33" i="17"/>
  <c r="N48" i="17"/>
  <c r="L59" i="17"/>
  <c r="L43" i="17" s="1"/>
  <c r="O60" i="17"/>
  <c r="D98" i="17"/>
  <c r="D5" i="17" s="1"/>
  <c r="AV5" i="17" s="1"/>
  <c r="L112" i="17"/>
  <c r="K146" i="17"/>
  <c r="K8" i="17" s="1"/>
  <c r="C178" i="17"/>
  <c r="E194" i="17"/>
  <c r="G226" i="17"/>
  <c r="Q230" i="17"/>
  <c r="Q258" i="17"/>
  <c r="Q15" i="17" s="1"/>
  <c r="T231" i="17"/>
  <c r="D233" i="17"/>
  <c r="D41" i="17" s="1"/>
  <c r="G234" i="17"/>
  <c r="G242" i="17" s="1"/>
  <c r="J235" i="17"/>
  <c r="J242" i="17" s="1"/>
  <c r="M236" i="17"/>
  <c r="M242" i="17" s="1"/>
  <c r="P237" i="17"/>
  <c r="S238" i="17"/>
  <c r="S242" i="17" s="1"/>
  <c r="C240" i="17"/>
  <c r="F241" i="17"/>
  <c r="K338" i="17"/>
  <c r="K20" i="17" s="1"/>
  <c r="AB20" i="17" s="1"/>
  <c r="P354" i="17"/>
  <c r="P21" i="17" s="1"/>
  <c r="S402" i="17"/>
  <c r="S24" i="17" s="1"/>
  <c r="C402" i="17"/>
  <c r="C24" i="17" s="1"/>
  <c r="AU22" i="17" s="1"/>
  <c r="C360" i="17"/>
  <c r="F402" i="17"/>
  <c r="F24" i="17" s="1"/>
  <c r="AX22" i="17" s="1"/>
  <c r="C450" i="17"/>
  <c r="C27" i="17" s="1"/>
  <c r="F450" i="17"/>
  <c r="F27" i="17" s="1"/>
  <c r="R450" i="17"/>
  <c r="R27" i="17" s="1"/>
  <c r="AI27" i="17" s="1"/>
  <c r="G26" i="18"/>
  <c r="W26" i="18"/>
  <c r="Y26" i="18" s="1"/>
  <c r="G55" i="18"/>
  <c r="W55" i="18"/>
  <c r="Y55" i="18" s="1"/>
  <c r="AQ126" i="18"/>
  <c r="AP127" i="18"/>
  <c r="AJ129" i="18"/>
  <c r="E51" i="19"/>
  <c r="E35" i="19" s="1"/>
  <c r="E77" i="19"/>
  <c r="N236" i="17"/>
  <c r="D240" i="17"/>
  <c r="D48" i="17" s="1"/>
  <c r="G241" i="17"/>
  <c r="G49" i="17" s="1"/>
  <c r="D274" i="17"/>
  <c r="D16" i="17" s="1"/>
  <c r="AV16" i="17" s="1"/>
  <c r="C297" i="17"/>
  <c r="C281" i="17" s="1"/>
  <c r="C338" i="17"/>
  <c r="C20" i="17" s="1"/>
  <c r="T402" i="17"/>
  <c r="T24" i="17" s="1"/>
  <c r="D402" i="17"/>
  <c r="D24" i="17" s="1"/>
  <c r="AV22" i="17" s="1"/>
  <c r="D360" i="17"/>
  <c r="AF6" i="18"/>
  <c r="BA5" i="18"/>
  <c r="AH5" i="18"/>
  <c r="AP114" i="18"/>
  <c r="AQ113" i="18"/>
  <c r="AJ163" i="18"/>
  <c r="F77" i="19"/>
  <c r="F51" i="19"/>
  <c r="F35" i="19" s="1"/>
  <c r="B44" i="17"/>
  <c r="F57" i="17"/>
  <c r="F41" i="17" s="1"/>
  <c r="I58" i="17"/>
  <c r="I42" i="17" s="1"/>
  <c r="N59" i="17"/>
  <c r="B62" i="17"/>
  <c r="B46" i="17" s="1"/>
  <c r="O126" i="17"/>
  <c r="B129" i="17"/>
  <c r="L162" i="17"/>
  <c r="L9" i="17" s="1"/>
  <c r="J183" i="17"/>
  <c r="S258" i="17"/>
  <c r="S15" i="17" s="1"/>
  <c r="S14" i="17" s="1"/>
  <c r="H241" i="17"/>
  <c r="H49" i="17" s="1"/>
  <c r="G286" i="17"/>
  <c r="G46" i="17" s="1"/>
  <c r="M338" i="17"/>
  <c r="M20" i="17" s="1"/>
  <c r="D338" i="17"/>
  <c r="D20" i="17" s="1"/>
  <c r="R354" i="17"/>
  <c r="R21" i="17" s="1"/>
  <c r="AI21" i="17" s="1"/>
  <c r="O364" i="17"/>
  <c r="E450" i="17"/>
  <c r="E27" i="17" s="1"/>
  <c r="AW25" i="17" s="1"/>
  <c r="H450" i="17"/>
  <c r="H27" i="17" s="1"/>
  <c r="H407" i="17"/>
  <c r="AP19" i="18"/>
  <c r="AQ18" i="18"/>
  <c r="AR66" i="18"/>
  <c r="AR67" i="18" s="1"/>
  <c r="AR68" i="18" s="1"/>
  <c r="AR69" i="18" s="1"/>
  <c r="AR70" i="18" s="1"/>
  <c r="AR71" i="18" s="1"/>
  <c r="AR72" i="18" s="1"/>
  <c r="AR73" i="18" s="1"/>
  <c r="AR74" i="18" s="1"/>
  <c r="AR75" i="18" s="1"/>
  <c r="G68" i="18"/>
  <c r="G108" i="18"/>
  <c r="AX138" i="18"/>
  <c r="AZ137" i="18"/>
  <c r="BA149" i="18"/>
  <c r="AF150" i="18"/>
  <c r="F36" i="19"/>
  <c r="G77" i="19"/>
  <c r="G51" i="19"/>
  <c r="G35" i="19" s="1"/>
  <c r="F110" i="19"/>
  <c r="BP146" i="19"/>
  <c r="Q34" i="19"/>
  <c r="BP34" i="19" s="1"/>
  <c r="K38" i="19"/>
  <c r="C56" i="17"/>
  <c r="O59" i="17"/>
  <c r="F182" i="17"/>
  <c r="F194" i="17" s="1"/>
  <c r="T230" i="17"/>
  <c r="T258" i="17"/>
  <c r="T15" i="17" s="1"/>
  <c r="T14" i="17" s="1"/>
  <c r="C274" i="17"/>
  <c r="C16" i="17" s="1"/>
  <c r="AU16" i="17" s="1"/>
  <c r="M282" i="17"/>
  <c r="H288" i="17"/>
  <c r="E298" i="17"/>
  <c r="E282" i="17" s="1"/>
  <c r="N338" i="17"/>
  <c r="N20" i="17" s="1"/>
  <c r="C362" i="17"/>
  <c r="B369" i="17"/>
  <c r="B370" i="17" s="1"/>
  <c r="AN16" i="18"/>
  <c r="AM17" i="18"/>
  <c r="AQ17" i="18"/>
  <c r="AW28" i="18"/>
  <c r="AV29" i="18"/>
  <c r="Y48" i="18"/>
  <c r="G75" i="18"/>
  <c r="W75" i="18"/>
  <c r="Y75" i="18" s="1"/>
  <c r="W104" i="18"/>
  <c r="G110" i="18"/>
  <c r="H51" i="19"/>
  <c r="H77" i="19"/>
  <c r="D141" i="19"/>
  <c r="D8" i="19" s="1"/>
  <c r="BN305" i="19"/>
  <c r="P317" i="19"/>
  <c r="BP306" i="19"/>
  <c r="Q317" i="19"/>
  <c r="Q258" i="19"/>
  <c r="AM258" i="19"/>
  <c r="AM317" i="19"/>
  <c r="AM19" i="19" s="1"/>
  <c r="AH267" i="19"/>
  <c r="AH317" i="19"/>
  <c r="AH19" i="19" s="1"/>
  <c r="I182" i="17"/>
  <c r="I194" i="17" s="1"/>
  <c r="D242" i="17"/>
  <c r="F279" i="17"/>
  <c r="F354" i="17"/>
  <c r="F21" i="17" s="1"/>
  <c r="AX19" i="17" s="1"/>
  <c r="D361" i="17"/>
  <c r="D369" i="17"/>
  <c r="AN4" i="18"/>
  <c r="AG6" i="18"/>
  <c r="W25" i="18"/>
  <c r="Y25" i="18" s="1"/>
  <c r="G25" i="18"/>
  <c r="AN52" i="18"/>
  <c r="BB52" i="18"/>
  <c r="AJ55" i="18"/>
  <c r="Y78" i="18"/>
  <c r="Y87" i="18"/>
  <c r="AO91" i="18"/>
  <c r="AO92" i="18" s="1"/>
  <c r="AO93" i="18" s="1"/>
  <c r="AO94" i="18" s="1"/>
  <c r="AO95" i="18" s="1"/>
  <c r="AO96" i="18" s="1"/>
  <c r="AO97" i="18" s="1"/>
  <c r="AO98" i="18" s="1"/>
  <c r="AO99" i="18" s="1"/>
  <c r="AQ90" i="18"/>
  <c r="AR112" i="18"/>
  <c r="W117" i="18"/>
  <c r="Y117" i="18" s="1"/>
  <c r="Y136" i="18"/>
  <c r="BA148" i="18"/>
  <c r="BC148" i="18" s="1"/>
  <c r="AN160" i="18"/>
  <c r="AI172" i="18"/>
  <c r="W172" i="18"/>
  <c r="K51" i="19"/>
  <c r="K77" i="19"/>
  <c r="J93" i="19"/>
  <c r="BF140" i="19"/>
  <c r="L108" i="19"/>
  <c r="AB89" i="20"/>
  <c r="AS88" i="20"/>
  <c r="J182" i="17"/>
  <c r="J38" i="17" s="1"/>
  <c r="J210" i="17"/>
  <c r="J12" i="17" s="1"/>
  <c r="G354" i="17"/>
  <c r="G21" i="17" s="1"/>
  <c r="C434" i="17"/>
  <c r="C26" i="17" s="1"/>
  <c r="N450" i="17"/>
  <c r="N27" i="17" s="1"/>
  <c r="W12" i="18"/>
  <c r="Y12" i="18" s="1"/>
  <c r="G12" i="18"/>
  <c r="AT28" i="18"/>
  <c r="Y40" i="18"/>
  <c r="W41" i="18"/>
  <c r="Y41" i="18" s="1"/>
  <c r="AN76" i="18"/>
  <c r="BB76" i="18"/>
  <c r="AF78" i="18"/>
  <c r="AI136" i="18"/>
  <c r="W136" i="18"/>
  <c r="G136" i="18"/>
  <c r="W142" i="18"/>
  <c r="Y142" i="18" s="1"/>
  <c r="G142" i="18"/>
  <c r="AM150" i="18"/>
  <c r="AN149" i="18"/>
  <c r="AZ172" i="18"/>
  <c r="AX173" i="18"/>
  <c r="I93" i="19"/>
  <c r="G102" i="19"/>
  <c r="G125" i="19"/>
  <c r="G7" i="19" s="1"/>
  <c r="BL17" i="19"/>
  <c r="BN300" i="19"/>
  <c r="P268" i="19"/>
  <c r="BN268" i="19" s="1"/>
  <c r="C368" i="17"/>
  <c r="C48" i="17" s="1"/>
  <c r="N418" i="17"/>
  <c r="AT4" i="18"/>
  <c r="P16" i="18"/>
  <c r="AR16" i="18"/>
  <c r="AR17" i="18" s="1"/>
  <c r="AR18" i="18" s="1"/>
  <c r="AR19" i="18" s="1"/>
  <c r="AR20" i="18" s="1"/>
  <c r="AR21" i="18" s="1"/>
  <c r="AR22" i="18" s="1"/>
  <c r="AR23" i="18" s="1"/>
  <c r="AR24" i="18" s="1"/>
  <c r="AR25" i="18" s="1"/>
  <c r="AR26" i="18" s="1"/>
  <c r="AR27" i="18" s="1"/>
  <c r="BA40" i="18"/>
  <c r="BC40" i="18" s="1"/>
  <c r="AT89" i="18"/>
  <c r="AS90" i="18"/>
  <c r="AT102" i="18"/>
  <c r="AS103" i="18"/>
  <c r="AW114" i="18"/>
  <c r="G123" i="18"/>
  <c r="W123" i="18"/>
  <c r="Y123" i="18" s="1"/>
  <c r="AG138" i="18"/>
  <c r="AJ141" i="18"/>
  <c r="AI152" i="18"/>
  <c r="AI153" i="18" s="1"/>
  <c r="AI154" i="18" s="1"/>
  <c r="AI155" i="18" s="1"/>
  <c r="AI156" i="18" s="1"/>
  <c r="AI157" i="18" s="1"/>
  <c r="AI158" i="18" s="1"/>
  <c r="AI159" i="18" s="1"/>
  <c r="AW150" i="18"/>
  <c r="H44" i="19"/>
  <c r="H126" i="19"/>
  <c r="M269" i="19"/>
  <c r="AQ16" i="19"/>
  <c r="L281" i="17"/>
  <c r="L41" i="17" s="1"/>
  <c r="N354" i="17"/>
  <c r="N21" i="17" s="1"/>
  <c r="Q354" i="17"/>
  <c r="Q21" i="17" s="1"/>
  <c r="AH21" i="17" s="1"/>
  <c r="L365" i="17"/>
  <c r="L45" i="17" s="1"/>
  <c r="L411" i="17"/>
  <c r="O412" i="17"/>
  <c r="O450" i="17"/>
  <c r="O27" i="17" s="1"/>
  <c r="O406" i="17"/>
  <c r="G14" i="18"/>
  <c r="Y17" i="18"/>
  <c r="W34" i="18"/>
  <c r="Y34" i="18" s="1"/>
  <c r="G34" i="18"/>
  <c r="Y38" i="18"/>
  <c r="AH40" i="18"/>
  <c r="BB40" i="18"/>
  <c r="AG41" i="18"/>
  <c r="AW53" i="18"/>
  <c r="AV54" i="18"/>
  <c r="W64" i="18"/>
  <c r="G64" i="18"/>
  <c r="AI64" i="18"/>
  <c r="AI65" i="18" s="1"/>
  <c r="AI66" i="18" s="1"/>
  <c r="AI67" i="18" s="1"/>
  <c r="AI68" i="18" s="1"/>
  <c r="AI69" i="18" s="1"/>
  <c r="AI70" i="18" s="1"/>
  <c r="AI71" i="18" s="1"/>
  <c r="AI72" i="18" s="1"/>
  <c r="AI73" i="18" s="1"/>
  <c r="AI74" i="18" s="1"/>
  <c r="AI75" i="18" s="1"/>
  <c r="AJ80" i="18"/>
  <c r="AT88" i="18"/>
  <c r="P92" i="18"/>
  <c r="AQ102" i="18"/>
  <c r="AP103" i="18"/>
  <c r="AW113" i="18"/>
  <c r="AH136" i="18"/>
  <c r="AJ150" i="18"/>
  <c r="AK149" i="18"/>
  <c r="O40" i="19"/>
  <c r="I44" i="19"/>
  <c r="I126" i="19"/>
  <c r="I125" i="19"/>
  <c r="I7" i="19" s="1"/>
  <c r="Q264" i="19"/>
  <c r="BP264" i="19" s="1"/>
  <c r="BP312" i="19"/>
  <c r="AJ6" i="20"/>
  <c r="AK5" i="20"/>
  <c r="O283" i="17"/>
  <c r="J280" i="17"/>
  <c r="J290" i="17" s="1"/>
  <c r="M281" i="17"/>
  <c r="L354" i="17"/>
  <c r="L21" i="17" s="1"/>
  <c r="O354" i="17"/>
  <c r="O21" i="17" s="1"/>
  <c r="H415" i="17"/>
  <c r="H418" i="17" s="1"/>
  <c r="AV5" i="18"/>
  <c r="AW4" i="18"/>
  <c r="AP6" i="18"/>
  <c r="AQ5" i="18"/>
  <c r="AG17" i="18"/>
  <c r="AH16" i="18"/>
  <c r="BB16" i="18"/>
  <c r="G22" i="18"/>
  <c r="W22" i="18"/>
  <c r="Y22" i="18" s="1"/>
  <c r="P28" i="18"/>
  <c r="AR28" i="18"/>
  <c r="AR29" i="18" s="1"/>
  <c r="AF41" i="18"/>
  <c r="AW77" i="18"/>
  <c r="AV78" i="18"/>
  <c r="AS80" i="18"/>
  <c r="AN89" i="18"/>
  <c r="AQ100" i="18"/>
  <c r="Y110" i="18"/>
  <c r="AZ113" i="18"/>
  <c r="AX114" i="18"/>
  <c r="BH139" i="19"/>
  <c r="M107" i="19"/>
  <c r="BH107" i="19" s="1"/>
  <c r="AE157" i="19"/>
  <c r="P200" i="19"/>
  <c r="BN200" i="19" s="1"/>
  <c r="BN232" i="19"/>
  <c r="AS4" i="20"/>
  <c r="AV4" i="20" s="1"/>
  <c r="AE5" i="20"/>
  <c r="AE6" i="20" s="1"/>
  <c r="AE7" i="20" s="1"/>
  <c r="AE8" i="20" s="1"/>
  <c r="AE9" i="20" s="1"/>
  <c r="AE10" i="20" s="1"/>
  <c r="AE11" i="20" s="1"/>
  <c r="AE12" i="20" s="1"/>
  <c r="AE13" i="20" s="1"/>
  <c r="AE14" i="20" s="1"/>
  <c r="AE15" i="20" s="1"/>
  <c r="I226" i="17"/>
  <c r="B338" i="17"/>
  <c r="B20" i="17" s="1"/>
  <c r="I364" i="17"/>
  <c r="I44" i="17" s="1"/>
  <c r="J434" i="17"/>
  <c r="J26" i="17" s="1"/>
  <c r="C409" i="17"/>
  <c r="I410" i="17"/>
  <c r="J415" i="17"/>
  <c r="J418" i="17" s="1"/>
  <c r="W49" i="18"/>
  <c r="Y49" i="18" s="1"/>
  <c r="AV67" i="18"/>
  <c r="AW66" i="18"/>
  <c r="Y68" i="18"/>
  <c r="AZ77" i="18"/>
  <c r="AX78" i="18"/>
  <c r="AM77" i="18"/>
  <c r="AI100" i="18"/>
  <c r="BA100" i="18" s="1"/>
  <c r="BC100" i="18" s="1"/>
  <c r="W100" i="18"/>
  <c r="AT100" i="18"/>
  <c r="Y125" i="18"/>
  <c r="W146" i="18"/>
  <c r="Y146" i="18" s="1"/>
  <c r="AW149" i="18"/>
  <c r="W153" i="18"/>
  <c r="Y153" i="18" s="1"/>
  <c r="G153" i="18"/>
  <c r="G183" i="18"/>
  <c r="W183" i="18"/>
  <c r="Y183" i="18" s="1"/>
  <c r="S370" i="19"/>
  <c r="S376" i="19" s="1"/>
  <c r="BL285" i="19"/>
  <c r="J190" i="17"/>
  <c r="J46" i="17" s="1"/>
  <c r="N191" i="17"/>
  <c r="N194" i="17" s="1"/>
  <c r="K226" i="17"/>
  <c r="N300" i="17"/>
  <c r="N284" i="17" s="1"/>
  <c r="N44" i="17" s="1"/>
  <c r="J287" i="17"/>
  <c r="J47" i="17" s="1"/>
  <c r="C370" i="17"/>
  <c r="D386" i="17"/>
  <c r="D23" i="17" s="1"/>
  <c r="D359" i="17"/>
  <c r="D370" i="17" s="1"/>
  <c r="E414" i="17"/>
  <c r="T450" i="17"/>
  <c r="T27" i="17" s="1"/>
  <c r="G450" i="17"/>
  <c r="G27" i="17" s="1"/>
  <c r="AY25" i="17" s="1"/>
  <c r="P8" i="18"/>
  <c r="W8" i="18"/>
  <c r="Y8" i="18" s="1"/>
  <c r="Y21" i="18"/>
  <c r="Y28" i="18"/>
  <c r="P37" i="18"/>
  <c r="W37" i="18"/>
  <c r="Y37" i="18" s="1"/>
  <c r="W58" i="18"/>
  <c r="Y58" i="18" s="1"/>
  <c r="AZ76" i="18"/>
  <c r="AV101" i="18"/>
  <c r="AW100" i="18"/>
  <c r="AZ185" i="18"/>
  <c r="AX186" i="18"/>
  <c r="AZ186" i="18" s="1"/>
  <c r="N38" i="19"/>
  <c r="BJ38" i="19" s="1"/>
  <c r="M43" i="19"/>
  <c r="BH43" i="19" s="1"/>
  <c r="BJ187" i="19"/>
  <c r="N155" i="19"/>
  <c r="BJ155" i="19" s="1"/>
  <c r="BN189" i="19"/>
  <c r="P11" i="19"/>
  <c r="BN11" i="19" s="1"/>
  <c r="K190" i="17"/>
  <c r="O191" i="17"/>
  <c r="L226" i="17"/>
  <c r="B278" i="17"/>
  <c r="O300" i="17"/>
  <c r="O284" i="17" s="1"/>
  <c r="E338" i="17"/>
  <c r="E20" i="17" s="1"/>
  <c r="E370" i="17"/>
  <c r="B386" i="17"/>
  <c r="B23" i="17" s="1"/>
  <c r="G363" i="17"/>
  <c r="F409" i="17"/>
  <c r="Y7" i="18"/>
  <c r="AQ41" i="18"/>
  <c r="AP42" i="18"/>
  <c r="Y64" i="18"/>
  <c r="W70" i="18"/>
  <c r="Y70" i="18" s="1"/>
  <c r="W85" i="18"/>
  <c r="Y85" i="18" s="1"/>
  <c r="G85" i="18"/>
  <c r="W94" i="18"/>
  <c r="Y94" i="18" s="1"/>
  <c r="G94" i="18"/>
  <c r="W121" i="18"/>
  <c r="Y121" i="18" s="1"/>
  <c r="G121" i="18"/>
  <c r="Y126" i="18"/>
  <c r="AP138" i="18"/>
  <c r="AQ137" i="18"/>
  <c r="AJ178" i="18"/>
  <c r="W184" i="18"/>
  <c r="AI184" i="18"/>
  <c r="G189" i="19"/>
  <c r="G11" i="19" s="1"/>
  <c r="G145" i="19"/>
  <c r="C189" i="19"/>
  <c r="C11" i="19" s="1"/>
  <c r="C152" i="19"/>
  <c r="O155" i="19"/>
  <c r="BL155" i="19" s="1"/>
  <c r="BL187" i="19"/>
  <c r="BP189" i="19"/>
  <c r="Q11" i="19"/>
  <c r="BP11" i="19" s="1"/>
  <c r="J198" i="19"/>
  <c r="J253" i="19"/>
  <c r="K365" i="19"/>
  <c r="K22" i="19" s="1"/>
  <c r="I329" i="19"/>
  <c r="I41" i="19" s="1"/>
  <c r="I365" i="19"/>
  <c r="I22" i="19" s="1"/>
  <c r="D183" i="17"/>
  <c r="G184" i="17"/>
  <c r="J185" i="17"/>
  <c r="M186" i="17"/>
  <c r="G189" i="17"/>
  <c r="L190" i="17"/>
  <c r="M226" i="17"/>
  <c r="L230" i="17"/>
  <c r="L274" i="17"/>
  <c r="L16" i="17" s="1"/>
  <c r="I280" i="17"/>
  <c r="I322" i="17"/>
  <c r="I19" i="17" s="1"/>
  <c r="P300" i="17"/>
  <c r="P284" i="17" s="1"/>
  <c r="P44" i="17" s="1"/>
  <c r="F286" i="17"/>
  <c r="L287" i="17"/>
  <c r="L47" i="17" s="1"/>
  <c r="F338" i="17"/>
  <c r="F20" i="17" s="1"/>
  <c r="C386" i="17"/>
  <c r="C23" i="17" s="1"/>
  <c r="AS19" i="18"/>
  <c r="Y61" i="18"/>
  <c r="G70" i="18"/>
  <c r="BB88" i="18"/>
  <c r="AN124" i="18"/>
  <c r="BB124" i="18"/>
  <c r="W175" i="18"/>
  <c r="G175" i="18"/>
  <c r="G184" i="18"/>
  <c r="W186" i="18"/>
  <c r="Y186" i="18" s="1"/>
  <c r="G186" i="18"/>
  <c r="K61" i="19"/>
  <c r="H189" i="19"/>
  <c r="H11" i="19" s="1"/>
  <c r="H145" i="19"/>
  <c r="N44" i="19"/>
  <c r="BJ44" i="19" s="1"/>
  <c r="D221" i="19"/>
  <c r="D193" i="19"/>
  <c r="D205" i="19" s="1"/>
  <c r="I197" i="19"/>
  <c r="I253" i="19"/>
  <c r="BL252" i="19"/>
  <c r="O204" i="19"/>
  <c r="BL204" i="19" s="1"/>
  <c r="H354" i="17"/>
  <c r="H21" i="17" s="1"/>
  <c r="F363" i="17"/>
  <c r="K364" i="17"/>
  <c r="W9" i="18"/>
  <c r="Y9" i="18" s="1"/>
  <c r="G9" i="18"/>
  <c r="W24" i="18"/>
  <c r="W83" i="18"/>
  <c r="Y83" i="18" s="1"/>
  <c r="AN90" i="18"/>
  <c r="AS126" i="18"/>
  <c r="W138" i="18"/>
  <c r="G138" i="18"/>
  <c r="AZ149" i="18"/>
  <c r="AX150" i="18"/>
  <c r="W156" i="18"/>
  <c r="P156" i="18"/>
  <c r="G36" i="19"/>
  <c r="J50" i="19"/>
  <c r="J34" i="19" s="1"/>
  <c r="J77" i="19"/>
  <c r="B125" i="19"/>
  <c r="B7" i="19" s="1"/>
  <c r="B6" i="19" s="1"/>
  <c r="N141" i="19"/>
  <c r="BJ129" i="19"/>
  <c r="BP141" i="19"/>
  <c r="I354" i="17"/>
  <c r="I21" i="17" s="1"/>
  <c r="B416" i="17"/>
  <c r="AZ5" i="18"/>
  <c r="G24" i="18"/>
  <c r="G39" i="18"/>
  <c r="W45" i="18"/>
  <c r="Y45" i="18" s="1"/>
  <c r="G45" i="18"/>
  <c r="W52" i="18"/>
  <c r="AO54" i="18"/>
  <c r="BB64" i="18"/>
  <c r="AG65" i="18"/>
  <c r="G65" i="18"/>
  <c r="AW65" i="18"/>
  <c r="Y69" i="18"/>
  <c r="G83" i="18"/>
  <c r="G88" i="18"/>
  <c r="AI88" i="18"/>
  <c r="AM91" i="18"/>
  <c r="G113" i="18"/>
  <c r="W116" i="18"/>
  <c r="Y116" i="18" s="1"/>
  <c r="G116" i="18"/>
  <c r="G117" i="18"/>
  <c r="W118" i="18"/>
  <c r="G120" i="18"/>
  <c r="P181" i="18"/>
  <c r="W181" i="18"/>
  <c r="Y181" i="18" s="1"/>
  <c r="M77" i="19"/>
  <c r="J100" i="19"/>
  <c r="J125" i="19"/>
  <c r="J7" i="19" s="1"/>
  <c r="AA157" i="19"/>
  <c r="B173" i="19"/>
  <c r="B10" i="19" s="1"/>
  <c r="B9" i="19" s="1"/>
  <c r="B32" i="6" s="1"/>
  <c r="B145" i="19"/>
  <c r="B157" i="19" s="1"/>
  <c r="BF164" i="19"/>
  <c r="L148" i="19"/>
  <c r="BF148" i="19" s="1"/>
  <c r="G205" i="19"/>
  <c r="L253" i="19"/>
  <c r="BF245" i="19"/>
  <c r="P327" i="19"/>
  <c r="BN327" i="19" s="1"/>
  <c r="BN343" i="19"/>
  <c r="K349" i="19"/>
  <c r="K21" i="19" s="1"/>
  <c r="J354" i="17"/>
  <c r="J21" i="17" s="1"/>
  <c r="H363" i="17"/>
  <c r="H417" i="17"/>
  <c r="AN5" i="18"/>
  <c r="AM6" i="18"/>
  <c r="Y16" i="18"/>
  <c r="AV18" i="18"/>
  <c r="AJ30" i="18"/>
  <c r="W31" i="18"/>
  <c r="Y31" i="18" s="1"/>
  <c r="G31" i="18"/>
  <c r="AP56" i="18"/>
  <c r="W72" i="18"/>
  <c r="Y72" i="18" s="1"/>
  <c r="G72" i="18"/>
  <c r="AP79" i="18"/>
  <c r="AZ101" i="18"/>
  <c r="AX102" i="18"/>
  <c r="AH113" i="18"/>
  <c r="G118" i="18"/>
  <c r="AW126" i="18"/>
  <c r="AZ148" i="18"/>
  <c r="AP174" i="18"/>
  <c r="AF186" i="18"/>
  <c r="N77" i="19"/>
  <c r="N49" i="19"/>
  <c r="BJ65" i="19"/>
  <c r="E44" i="19"/>
  <c r="P103" i="19"/>
  <c r="BN103" i="19" s="1"/>
  <c r="C173" i="19"/>
  <c r="C10" i="19" s="1"/>
  <c r="C9" i="19" s="1"/>
  <c r="C32" i="6" s="1"/>
  <c r="C145" i="19"/>
  <c r="C157" i="19" s="1"/>
  <c r="BH164" i="19"/>
  <c r="M148" i="19"/>
  <c r="BH148" i="19" s="1"/>
  <c r="O153" i="19"/>
  <c r="BL169" i="19"/>
  <c r="D173" i="19"/>
  <c r="D10" i="19" s="1"/>
  <c r="D9" i="19" s="1"/>
  <c r="D32" i="6" s="1"/>
  <c r="H253" i="19"/>
  <c r="H193" i="19"/>
  <c r="AR151" i="20"/>
  <c r="AP152" i="20"/>
  <c r="B362" i="17"/>
  <c r="I417" i="17"/>
  <c r="B450" i="17"/>
  <c r="B27" i="17" s="1"/>
  <c r="AZ4" i="18"/>
  <c r="Y57" i="18"/>
  <c r="W60" i="18"/>
  <c r="AZ66" i="18"/>
  <c r="P76" i="18"/>
  <c r="AR76" i="18"/>
  <c r="AP92" i="18"/>
  <c r="AX126" i="18"/>
  <c r="W151" i="18"/>
  <c r="Y151" i="18" s="1"/>
  <c r="AH185" i="18"/>
  <c r="BB185" i="18"/>
  <c r="AG186" i="18"/>
  <c r="E61" i="19"/>
  <c r="E33" i="19"/>
  <c r="E42" i="19"/>
  <c r="F44" i="19"/>
  <c r="BH97" i="19"/>
  <c r="L100" i="19"/>
  <c r="BF100" i="19" s="1"/>
  <c r="L126" i="19"/>
  <c r="F173" i="19"/>
  <c r="F10" i="19" s="1"/>
  <c r="F9" i="19" s="1"/>
  <c r="F32" i="6" s="1"/>
  <c r="N237" i="19"/>
  <c r="BJ225" i="19"/>
  <c r="BL251" i="19"/>
  <c r="O203" i="19"/>
  <c r="BL203" i="19" s="1"/>
  <c r="G253" i="19"/>
  <c r="AC54" i="20"/>
  <c r="AD53" i="20"/>
  <c r="AK65" i="18"/>
  <c r="AJ66" i="18"/>
  <c r="AZ68" i="18"/>
  <c r="AX69" i="18"/>
  <c r="Y100" i="18"/>
  <c r="G124" i="18"/>
  <c r="AI124" i="18"/>
  <c r="W124" i="18"/>
  <c r="Y124" i="18" s="1"/>
  <c r="W155" i="18"/>
  <c r="Y155" i="18" s="1"/>
  <c r="G155" i="18"/>
  <c r="W162" i="18"/>
  <c r="Y162" i="18" s="1"/>
  <c r="G162" i="18"/>
  <c r="AG174" i="18"/>
  <c r="P29" i="19"/>
  <c r="Q29" i="19"/>
  <c r="I61" i="19"/>
  <c r="P77" i="19"/>
  <c r="P49" i="19"/>
  <c r="BN65" i="19"/>
  <c r="BJ66" i="19"/>
  <c r="N50" i="19"/>
  <c r="N34" i="19" s="1"/>
  <c r="BJ34" i="19" s="1"/>
  <c r="G43" i="19"/>
  <c r="BJ97" i="19"/>
  <c r="BH115" i="19"/>
  <c r="M99" i="19"/>
  <c r="BH99" i="19" s="1"/>
  <c r="M126" i="19"/>
  <c r="BF125" i="19"/>
  <c r="L7" i="19"/>
  <c r="H9" i="19"/>
  <c r="H32" i="6" s="1"/>
  <c r="AE125" i="20"/>
  <c r="AE126" i="20" s="1"/>
  <c r="AE127" i="20" s="1"/>
  <c r="AE128" i="20" s="1"/>
  <c r="AE129" i="20" s="1"/>
  <c r="AE130" i="20" s="1"/>
  <c r="AE131" i="20" s="1"/>
  <c r="AE132" i="20" s="1"/>
  <c r="AE133" i="20" s="1"/>
  <c r="AE134" i="20" s="1"/>
  <c r="AE135" i="20" s="1"/>
  <c r="AG124" i="20"/>
  <c r="E294" i="17"/>
  <c r="H295" i="17"/>
  <c r="H279" i="17" s="1"/>
  <c r="M354" i="17"/>
  <c r="M21" i="17" s="1"/>
  <c r="I418" i="17"/>
  <c r="D434" i="17"/>
  <c r="D26" i="17" s="1"/>
  <c r="F416" i="17"/>
  <c r="K417" i="17"/>
  <c r="K418" i="17" s="1"/>
  <c r="D450" i="17"/>
  <c r="D27" i="17" s="1"/>
  <c r="AV25" i="17" s="1"/>
  <c r="AM29" i="18"/>
  <c r="BB28" i="18"/>
  <c r="AJ44" i="18"/>
  <c r="P52" i="18"/>
  <c r="AR52" i="18"/>
  <c r="W53" i="18"/>
  <c r="G53" i="18"/>
  <c r="AS54" i="18"/>
  <c r="W59" i="18"/>
  <c r="Y59" i="18" s="1"/>
  <c r="W73" i="18"/>
  <c r="Y73" i="18" s="1"/>
  <c r="AJ113" i="18"/>
  <c r="BB112" i="18"/>
  <c r="P124" i="18"/>
  <c r="AR124" i="18"/>
  <c r="W169" i="18"/>
  <c r="Y169" i="18" s="1"/>
  <c r="AN172" i="18"/>
  <c r="AH9" i="19"/>
  <c r="BL66" i="19"/>
  <c r="O50" i="19"/>
  <c r="BN69" i="19"/>
  <c r="P53" i="19"/>
  <c r="I59" i="19"/>
  <c r="I43" i="19" s="1"/>
  <c r="N99" i="19"/>
  <c r="BJ99" i="19" s="1"/>
  <c r="BD115" i="19"/>
  <c r="BJ115" i="19"/>
  <c r="M125" i="19"/>
  <c r="M152" i="19"/>
  <c r="BH152" i="19" s="1"/>
  <c r="BH168" i="19"/>
  <c r="Y205" i="19"/>
  <c r="V205" i="19"/>
  <c r="AF54" i="18"/>
  <c r="AZ67" i="18"/>
  <c r="Y82" i="18"/>
  <c r="W90" i="18"/>
  <c r="E38" i="19"/>
  <c r="BN66" i="19"/>
  <c r="P50" i="19"/>
  <c r="P34" i="19" s="1"/>
  <c r="BL92" i="19"/>
  <c r="O60" i="19"/>
  <c r="O44" i="19" s="1"/>
  <c r="BL44" i="19" s="1"/>
  <c r="Q136" i="19"/>
  <c r="J146" i="19"/>
  <c r="BH163" i="19"/>
  <c r="M147" i="19"/>
  <c r="BH147" i="19" s="1"/>
  <c r="BJ168" i="19"/>
  <c r="N152" i="19"/>
  <c r="BJ152" i="19" s="1"/>
  <c r="AW16" i="20"/>
  <c r="AV16" i="20"/>
  <c r="AZ16" i="20" s="1"/>
  <c r="N296" i="17"/>
  <c r="N280" i="17" s="1"/>
  <c r="M358" i="17"/>
  <c r="M370" i="17" s="1"/>
  <c r="M386" i="17"/>
  <c r="M23" i="17" s="1"/>
  <c r="P359" i="17"/>
  <c r="P370" i="17" s="1"/>
  <c r="H402" i="17"/>
  <c r="H24" i="17" s="1"/>
  <c r="L418" i="17"/>
  <c r="F434" i="17"/>
  <c r="F26" i="17" s="1"/>
  <c r="AI76" i="18"/>
  <c r="G90" i="18"/>
  <c r="Y118" i="18"/>
  <c r="AH125" i="18"/>
  <c r="BB125" i="18"/>
  <c r="AW139" i="18"/>
  <c r="AY162" i="18"/>
  <c r="AY163" i="18" s="1"/>
  <c r="AY164" i="18" s="1"/>
  <c r="AY165" i="18" s="1"/>
  <c r="AY166" i="18" s="1"/>
  <c r="AY167" i="18" s="1"/>
  <c r="AY168" i="18" s="1"/>
  <c r="AY169" i="18" s="1"/>
  <c r="AY170" i="18" s="1"/>
  <c r="AY171" i="18" s="1"/>
  <c r="AZ161" i="18"/>
  <c r="L61" i="19"/>
  <c r="F38" i="19"/>
  <c r="BN115" i="19"/>
  <c r="P99" i="19"/>
  <c r="BN99" i="19" s="1"/>
  <c r="E173" i="19"/>
  <c r="E10" i="19" s="1"/>
  <c r="E9" i="19" s="1"/>
  <c r="E32" i="6" s="1"/>
  <c r="BL168" i="19"/>
  <c r="O152" i="19"/>
  <c r="BL152" i="19" s="1"/>
  <c r="AA205" i="19"/>
  <c r="L265" i="19"/>
  <c r="L301" i="19"/>
  <c r="L18" i="19" s="1"/>
  <c r="AH265" i="19"/>
  <c r="AH301" i="19"/>
  <c r="AH18" i="19" s="1"/>
  <c r="B333" i="19"/>
  <c r="AM43" i="20"/>
  <c r="AR53" i="20"/>
  <c r="AP54" i="20"/>
  <c r="H294" i="17"/>
  <c r="H322" i="17"/>
  <c r="H19" i="17" s="1"/>
  <c r="K295" i="17"/>
  <c r="K279" i="17" s="1"/>
  <c r="D304" i="17"/>
  <c r="D288" i="17" s="1"/>
  <c r="G305" i="17"/>
  <c r="G289" i="17" s="1"/>
  <c r="G434" i="17"/>
  <c r="G26" i="17" s="1"/>
  <c r="B415" i="17"/>
  <c r="B418" i="17" s="1"/>
  <c r="W5" i="18"/>
  <c r="Y5" i="18" s="1"/>
  <c r="Y24" i="18"/>
  <c r="W27" i="18"/>
  <c r="Y27" i="18" s="1"/>
  <c r="AQ30" i="18"/>
  <c r="AP31" i="18"/>
  <c r="AH29" i="18"/>
  <c r="Y39" i="18"/>
  <c r="AM42" i="18"/>
  <c r="AH52" i="18"/>
  <c r="AN113" i="18"/>
  <c r="Y119" i="18"/>
  <c r="AH124" i="18"/>
  <c r="W154" i="18"/>
  <c r="Y154" i="18" s="1"/>
  <c r="G154" i="18"/>
  <c r="AT174" i="18"/>
  <c r="AS175" i="18"/>
  <c r="Y176" i="18"/>
  <c r="G38" i="19"/>
  <c r="Q99" i="19"/>
  <c r="BP115" i="19"/>
  <c r="I145" i="19"/>
  <c r="I173" i="19"/>
  <c r="I10" i="19" s="1"/>
  <c r="I9" i="19" s="1"/>
  <c r="I32" i="6" s="1"/>
  <c r="BF162" i="19"/>
  <c r="L146" i="19"/>
  <c r="L173" i="19"/>
  <c r="AJ264" i="19"/>
  <c r="AJ301" i="19"/>
  <c r="AJ18" i="19" s="1"/>
  <c r="M301" i="19"/>
  <c r="M18" i="19" s="1"/>
  <c r="M267" i="19"/>
  <c r="M190" i="4" s="1"/>
  <c r="K321" i="19"/>
  <c r="K333" i="19" s="1"/>
  <c r="AN41" i="20"/>
  <c r="AN42" i="20" s="1"/>
  <c r="AN43" i="20" s="1"/>
  <c r="AN44" i="20" s="1"/>
  <c r="AN45" i="20" s="1"/>
  <c r="AN46" i="20" s="1"/>
  <c r="AN47" i="20" s="1"/>
  <c r="AN48" i="20" s="1"/>
  <c r="AN49" i="20" s="1"/>
  <c r="AN50" i="20" s="1"/>
  <c r="AN51" i="20" s="1"/>
  <c r="AO40" i="20"/>
  <c r="O358" i="17"/>
  <c r="B361" i="17"/>
  <c r="B41" i="17" s="1"/>
  <c r="I411" i="17"/>
  <c r="L412" i="17"/>
  <c r="O413" i="17"/>
  <c r="C415" i="17"/>
  <c r="AJ19" i="18"/>
  <c r="AQ28" i="18"/>
  <c r="AQ29" i="18"/>
  <c r="AI52" i="18"/>
  <c r="Y60" i="18"/>
  <c r="Y65" i="18"/>
  <c r="W86" i="18"/>
  <c r="Y86" i="18" s="1"/>
  <c r="G86" i="18"/>
  <c r="W114" i="18"/>
  <c r="G114" i="18"/>
  <c r="W127" i="18"/>
  <c r="Y127" i="18" s="1"/>
  <c r="W147" i="18"/>
  <c r="W150" i="18"/>
  <c r="AR174" i="18"/>
  <c r="AR175" i="18" s="1"/>
  <c r="AR176" i="18" s="1"/>
  <c r="AR177" i="18" s="1"/>
  <c r="AR178" i="18" s="1"/>
  <c r="AR179" i="18" s="1"/>
  <c r="AR180" i="18" s="1"/>
  <c r="AR181" i="18" s="1"/>
  <c r="AR182" i="18" s="1"/>
  <c r="AR183" i="18" s="1"/>
  <c r="AT173" i="18"/>
  <c r="AN185" i="18"/>
  <c r="H38" i="19"/>
  <c r="B93" i="19"/>
  <c r="B49" i="19"/>
  <c r="M110" i="19"/>
  <c r="AC205" i="19"/>
  <c r="AL301" i="19"/>
  <c r="AL18" i="19" s="1"/>
  <c r="P263" i="19"/>
  <c r="BN295" i="19"/>
  <c r="AF265" i="19"/>
  <c r="AF269" i="19" s="1"/>
  <c r="AF317" i="19"/>
  <c r="AF19" i="19" s="1"/>
  <c r="AP41" i="20"/>
  <c r="AR40" i="20"/>
  <c r="AE138" i="20"/>
  <c r="AE139" i="20" s="1"/>
  <c r="AE140" i="20" s="1"/>
  <c r="AE141" i="20" s="1"/>
  <c r="AE142" i="20" s="1"/>
  <c r="AE143" i="20" s="1"/>
  <c r="AE144" i="20" s="1"/>
  <c r="AE145" i="20" s="1"/>
  <c r="AE146" i="20" s="1"/>
  <c r="AE147" i="20" s="1"/>
  <c r="I434" i="17"/>
  <c r="I26" i="17" s="1"/>
  <c r="F410" i="17"/>
  <c r="AH4" i="18"/>
  <c r="W13" i="18"/>
  <c r="AK16" i="18"/>
  <c r="AI29" i="18"/>
  <c r="AK29" i="18" s="1"/>
  <c r="AG30" i="18"/>
  <c r="AQ89" i="18"/>
  <c r="G91" i="18"/>
  <c r="BB100" i="18"/>
  <c r="AK124" i="18"/>
  <c r="G127" i="18"/>
  <c r="G129" i="18"/>
  <c r="AW137" i="18"/>
  <c r="W144" i="18"/>
  <c r="Y144" i="18" s="1"/>
  <c r="Y150" i="18"/>
  <c r="AV165" i="18"/>
  <c r="AW164" i="18"/>
  <c r="AT172" i="18"/>
  <c r="Y175" i="18"/>
  <c r="AM9" i="19"/>
  <c r="L56" i="19"/>
  <c r="BF70" i="19"/>
  <c r="C34" i="19"/>
  <c r="D126" i="19"/>
  <c r="D125" i="19"/>
  <c r="D7" i="19" s="1"/>
  <c r="D97" i="19"/>
  <c r="D109" i="19" s="1"/>
  <c r="B103" i="19"/>
  <c r="B397" i="3" s="1"/>
  <c r="F126" i="19"/>
  <c r="AD205" i="19"/>
  <c r="BP289" i="19"/>
  <c r="Q301" i="19"/>
  <c r="AM301" i="19"/>
  <c r="AM18" i="19" s="1"/>
  <c r="M321" i="19"/>
  <c r="M333" i="19" s="1"/>
  <c r="AN136" i="18"/>
  <c r="H37" i="19"/>
  <c r="K93" i="19"/>
  <c r="BN91" i="19"/>
  <c r="P93" i="19"/>
  <c r="O141" i="19"/>
  <c r="O97" i="19"/>
  <c r="AB205" i="19"/>
  <c r="BF251" i="19"/>
  <c r="L203" i="19"/>
  <c r="AB269" i="19"/>
  <c r="B301" i="19"/>
  <c r="B18" i="19" s="1"/>
  <c r="B257" i="19"/>
  <c r="X301" i="19"/>
  <c r="X18" i="19" s="1"/>
  <c r="X257" i="19"/>
  <c r="V264" i="19"/>
  <c r="V301" i="19"/>
  <c r="V18" i="19" s="1"/>
  <c r="BK301" i="19"/>
  <c r="BL296" i="19"/>
  <c r="O265" i="19"/>
  <c r="BL313" i="19"/>
  <c r="N321" i="19"/>
  <c r="N333" i="19" s="1"/>
  <c r="N349" i="19"/>
  <c r="N21" i="19" s="1"/>
  <c r="N20" i="19" s="1"/>
  <c r="Y20" i="20"/>
  <c r="AP115" i="20"/>
  <c r="AR114" i="20"/>
  <c r="Y147" i="18"/>
  <c r="W158" i="18"/>
  <c r="Y158" i="18" s="1"/>
  <c r="G158" i="18"/>
  <c r="AS162" i="18"/>
  <c r="Y182" i="18"/>
  <c r="B20" i="19"/>
  <c r="H36" i="19"/>
  <c r="C33" i="19"/>
  <c r="J59" i="19"/>
  <c r="J43" i="19" s="1"/>
  <c r="I189" i="19"/>
  <c r="I11" i="19" s="1"/>
  <c r="AS5" i="18"/>
  <c r="AS138" i="18"/>
  <c r="G159" i="18"/>
  <c r="Y168" i="18"/>
  <c r="Y180" i="18"/>
  <c r="AK184" i="18"/>
  <c r="P59" i="19"/>
  <c r="O35" i="19"/>
  <c r="C109" i="19"/>
  <c r="P125" i="19"/>
  <c r="BN113" i="19"/>
  <c r="P97" i="19"/>
  <c r="P126" i="19"/>
  <c r="J189" i="19"/>
  <c r="J11" i="19" s="1"/>
  <c r="P147" i="19"/>
  <c r="BN147" i="19" s="1"/>
  <c r="BN179" i="19"/>
  <c r="AG205" i="19"/>
  <c r="K253" i="19"/>
  <c r="M253" i="19"/>
  <c r="G406" i="19"/>
  <c r="G388" i="19"/>
  <c r="X87" i="20"/>
  <c r="AN162" i="18"/>
  <c r="W176" i="18"/>
  <c r="U28" i="19"/>
  <c r="AQ28" i="19"/>
  <c r="D53" i="19"/>
  <c r="D37" i="19" s="1"/>
  <c r="F41" i="19"/>
  <c r="O108" i="19"/>
  <c r="Q97" i="19"/>
  <c r="BP113" i="19"/>
  <c r="BC117" i="19"/>
  <c r="BL117" i="19"/>
  <c r="BD117" i="19"/>
  <c r="BF118" i="19"/>
  <c r="L102" i="19"/>
  <c r="BF102" i="19" s="1"/>
  <c r="AH157" i="19"/>
  <c r="C205" i="19"/>
  <c r="BF221" i="19"/>
  <c r="L13" i="19"/>
  <c r="BL229" i="19"/>
  <c r="O197" i="19"/>
  <c r="BL197" i="19" s="1"/>
  <c r="D323" i="19"/>
  <c r="D349" i="19"/>
  <c r="D21" i="19" s="1"/>
  <c r="D20" i="19" s="1"/>
  <c r="H388" i="19"/>
  <c r="H406" i="19"/>
  <c r="M44" i="21"/>
  <c r="AF65" i="18"/>
  <c r="AJ101" i="18"/>
  <c r="AM163" i="18"/>
  <c r="G176" i="18"/>
  <c r="W178" i="18"/>
  <c r="Y178" i="18" s="1"/>
  <c r="H41" i="19"/>
  <c r="G41" i="19"/>
  <c r="J60" i="19"/>
  <c r="J44" i="19" s="1"/>
  <c r="X157" i="19"/>
  <c r="AF157" i="19"/>
  <c r="O150" i="19"/>
  <c r="BL150" i="19" s="1"/>
  <c r="BL166" i="19"/>
  <c r="BJ221" i="19"/>
  <c r="N13" i="19"/>
  <c r="F365" i="19"/>
  <c r="F22" i="19" s="1"/>
  <c r="F20" i="19" s="1"/>
  <c r="I388" i="19"/>
  <c r="I406" i="19"/>
  <c r="AF67" i="20"/>
  <c r="AG66" i="20"/>
  <c r="BB148" i="18"/>
  <c r="AZ162" i="18"/>
  <c r="AX163" i="18"/>
  <c r="Y172" i="18"/>
  <c r="F40" i="19"/>
  <c r="BJ75" i="19"/>
  <c r="N59" i="19"/>
  <c r="Y157" i="19"/>
  <c r="P150" i="19"/>
  <c r="BN150" i="19" s="1"/>
  <c r="BN166" i="19"/>
  <c r="P146" i="19"/>
  <c r="BN146" i="19" s="1"/>
  <c r="BN178" i="19"/>
  <c r="BL221" i="19"/>
  <c r="O13" i="19"/>
  <c r="I3" i="21"/>
  <c r="G20" i="19"/>
  <c r="D34" i="19"/>
  <c r="O36" i="19"/>
  <c r="J41" i="19"/>
  <c r="P36" i="19"/>
  <c r="BL75" i="19"/>
  <c r="O59" i="19"/>
  <c r="BH89" i="19"/>
  <c r="M57" i="19"/>
  <c r="M41" i="19" s="1"/>
  <c r="BH41" i="19" s="1"/>
  <c r="P107" i="19"/>
  <c r="BN107" i="19" s="1"/>
  <c r="BL129" i="19"/>
  <c r="U157" i="19"/>
  <c r="AQ157" i="19"/>
  <c r="F333" i="19"/>
  <c r="H40" i="19"/>
  <c r="BH76" i="19"/>
  <c r="M60" i="19"/>
  <c r="BJ89" i="19"/>
  <c r="N57" i="19"/>
  <c r="N41" i="19" s="1"/>
  <c r="BJ41" i="19" s="1"/>
  <c r="BJ114" i="19"/>
  <c r="N125" i="19"/>
  <c r="N126" i="19"/>
  <c r="D107" i="19"/>
  <c r="D401" i="3" s="1"/>
  <c r="M149" i="19"/>
  <c r="BH149" i="19" s="1"/>
  <c r="BH165" i="19"/>
  <c r="D189" i="19"/>
  <c r="D11" i="19" s="1"/>
  <c r="E189" i="19"/>
  <c r="E11" i="19" s="1"/>
  <c r="Y156" i="18"/>
  <c r="BA172" i="18"/>
  <c r="BC172" i="18" s="1"/>
  <c r="AF173" i="18"/>
  <c r="AT184" i="18"/>
  <c r="N56" i="19"/>
  <c r="BJ72" i="19"/>
  <c r="O98" i="19"/>
  <c r="BL98" i="19" s="1"/>
  <c r="BL114" i="19"/>
  <c r="BC115" i="19"/>
  <c r="O125" i="19"/>
  <c r="BL133" i="19"/>
  <c r="N149" i="19"/>
  <c r="BJ149" i="19" s="1"/>
  <c r="BJ165" i="19"/>
  <c r="AR6" i="20"/>
  <c r="Y114" i="18"/>
  <c r="AM137" i="18"/>
  <c r="Y138" i="18"/>
  <c r="W157" i="18"/>
  <c r="Y157" i="18" s="1"/>
  <c r="G157" i="18"/>
  <c r="AN186" i="18"/>
  <c r="J40" i="19"/>
  <c r="B58" i="19"/>
  <c r="B42" i="19" s="1"/>
  <c r="B44" i="19"/>
  <c r="O149" i="19"/>
  <c r="BL165" i="19"/>
  <c r="O173" i="19"/>
  <c r="L285" i="19"/>
  <c r="L17" i="19" s="1"/>
  <c r="L257" i="19"/>
  <c r="AH285" i="19"/>
  <c r="AH257" i="19"/>
  <c r="O259" i="19"/>
  <c r="BL275" i="19"/>
  <c r="BN276" i="19"/>
  <c r="P260" i="19"/>
  <c r="BP277" i="19"/>
  <c r="Q261" i="19"/>
  <c r="BP261" i="19" s="1"/>
  <c r="Y9" i="21"/>
  <c r="AG149" i="18"/>
  <c r="G151" i="18"/>
  <c r="W179" i="18"/>
  <c r="Y179" i="18" s="1"/>
  <c r="G179" i="18"/>
  <c r="N37" i="19"/>
  <c r="BJ37" i="19" s="1"/>
  <c r="O77" i="19"/>
  <c r="O49" i="19"/>
  <c r="BL65" i="19"/>
  <c r="BN108" i="19"/>
  <c r="BD118" i="19"/>
  <c r="K126" i="19"/>
  <c r="K141" i="19"/>
  <c r="K8" i="19" s="1"/>
  <c r="K6" i="19" s="1"/>
  <c r="AD157" i="19"/>
  <c r="BJ164" i="19"/>
  <c r="N148" i="19"/>
  <c r="BJ148" i="19" s="1"/>
  <c r="F189" i="19"/>
  <c r="F11" i="19" s="1"/>
  <c r="BH250" i="19"/>
  <c r="M202" i="19"/>
  <c r="BH202" i="19" s="1"/>
  <c r="T266" i="19"/>
  <c r="H333" i="19"/>
  <c r="L321" i="19"/>
  <c r="L333" i="19" s="1"/>
  <c r="L365" i="19"/>
  <c r="L22" i="19" s="1"/>
  <c r="X67" i="20"/>
  <c r="X69" i="20"/>
  <c r="AL113" i="20"/>
  <c r="AO112" i="20"/>
  <c r="AS112" i="20"/>
  <c r="Q49" i="19"/>
  <c r="BP65" i="19"/>
  <c r="BN74" i="19"/>
  <c r="P58" i="19"/>
  <c r="C59" i="19"/>
  <c r="C43" i="19" s="1"/>
  <c r="C93" i="19"/>
  <c r="AL157" i="19"/>
  <c r="F157" i="19"/>
  <c r="L147" i="19"/>
  <c r="BF163" i="19"/>
  <c r="P145" i="19"/>
  <c r="BN177" i="19"/>
  <c r="AE205" i="19"/>
  <c r="D285" i="19"/>
  <c r="D17" i="19" s="1"/>
  <c r="D16" i="19" s="1"/>
  <c r="D257" i="19"/>
  <c r="E258" i="19"/>
  <c r="E269" i="19" s="1"/>
  <c r="E285" i="19"/>
  <c r="E17" i="19" s="1"/>
  <c r="E16" i="19" s="1"/>
  <c r="AA258" i="19"/>
  <c r="AA269" i="19" s="1"/>
  <c r="AA285" i="19"/>
  <c r="AH268" i="19"/>
  <c r="X7" i="20"/>
  <c r="AL53" i="20"/>
  <c r="AO52" i="20"/>
  <c r="AH115" i="20"/>
  <c r="AH116" i="20" s="1"/>
  <c r="AH117" i="20" s="1"/>
  <c r="AH118" i="20" s="1"/>
  <c r="AH119" i="20" s="1"/>
  <c r="AH120" i="20" s="1"/>
  <c r="AH121" i="20" s="1"/>
  <c r="AH122" i="20" s="1"/>
  <c r="AH123" i="20" s="1"/>
  <c r="AK114" i="20"/>
  <c r="AG137" i="20"/>
  <c r="AF138" i="20"/>
  <c r="Z138" i="20"/>
  <c r="AA137" i="20"/>
  <c r="AU137" i="20"/>
  <c r="BO373" i="19"/>
  <c r="BO372" i="19"/>
  <c r="W167" i="18"/>
  <c r="Y167" i="18" s="1"/>
  <c r="BP349" i="19"/>
  <c r="Q346" i="19"/>
  <c r="R346" i="19" s="1"/>
  <c r="Q344" i="19"/>
  <c r="Q341" i="19"/>
  <c r="R341" i="19" s="1"/>
  <c r="Q340" i="19"/>
  <c r="Q347" i="19"/>
  <c r="Q345" i="19"/>
  <c r="Q343" i="19"/>
  <c r="C56" i="19"/>
  <c r="F101" i="19"/>
  <c r="F296" i="4" s="1"/>
  <c r="J145" i="19"/>
  <c r="J157" i="19" s="1"/>
  <c r="J173" i="19"/>
  <c r="J10" i="19" s="1"/>
  <c r="J9" i="19" s="1"/>
  <c r="J32" i="6" s="1"/>
  <c r="L151" i="19"/>
  <c r="BF151" i="19" s="1"/>
  <c r="BF167" i="19"/>
  <c r="P152" i="19"/>
  <c r="BN152" i="19" s="1"/>
  <c r="BN168" i="19"/>
  <c r="H195" i="19"/>
  <c r="M198" i="19"/>
  <c r="BH198" i="19" s="1"/>
  <c r="BH230" i="19"/>
  <c r="U317" i="19"/>
  <c r="U19" i="19" s="1"/>
  <c r="AQ317" i="19"/>
  <c r="AQ19" i="19" s="1"/>
  <c r="X28" i="20"/>
  <c r="M77" i="21"/>
  <c r="M4" i="21" s="1"/>
  <c r="M49" i="21"/>
  <c r="G167" i="18"/>
  <c r="B54" i="19"/>
  <c r="BH71" i="19"/>
  <c r="M55" i="19"/>
  <c r="D56" i="19"/>
  <c r="H59" i="19"/>
  <c r="H43" i="19" s="1"/>
  <c r="H61" i="19"/>
  <c r="AK157" i="19"/>
  <c r="K145" i="19"/>
  <c r="K33" i="19" s="1"/>
  <c r="K173" i="19"/>
  <c r="K10" i="19" s="1"/>
  <c r="K9" i="19" s="1"/>
  <c r="K32" i="6" s="1"/>
  <c r="BH167" i="19"/>
  <c r="M151" i="19"/>
  <c r="BH151" i="19" s="1"/>
  <c r="D155" i="19"/>
  <c r="L156" i="19"/>
  <c r="BF188" i="19"/>
  <c r="H194" i="19"/>
  <c r="K237" i="19"/>
  <c r="K193" i="19"/>
  <c r="BL226" i="19"/>
  <c r="O194" i="19"/>
  <c r="BL194" i="19" s="1"/>
  <c r="BH231" i="19"/>
  <c r="BL232" i="19"/>
  <c r="BN233" i="19"/>
  <c r="J285" i="19"/>
  <c r="J17" i="19" s="1"/>
  <c r="BN283" i="19"/>
  <c r="P267" i="19"/>
  <c r="BP284" i="19"/>
  <c r="Q268" i="19"/>
  <c r="BP268" i="19" s="1"/>
  <c r="AM268" i="19"/>
  <c r="T317" i="19"/>
  <c r="T19" i="19" s="1"/>
  <c r="AA91" i="20"/>
  <c r="Z92" i="20"/>
  <c r="C54" i="19"/>
  <c r="BJ167" i="19"/>
  <c r="N151" i="19"/>
  <c r="BJ151" i="19" s="1"/>
  <c r="R172" i="21"/>
  <c r="R156" i="21" s="1"/>
  <c r="R10" i="19"/>
  <c r="R9" i="19" s="1"/>
  <c r="R32" i="6" s="1"/>
  <c r="K189" i="19"/>
  <c r="K11" i="19" s="1"/>
  <c r="BF182" i="19"/>
  <c r="L189" i="19"/>
  <c r="L237" i="19"/>
  <c r="BF225" i="19"/>
  <c r="L193" i="19"/>
  <c r="BL230" i="19"/>
  <c r="O198" i="19"/>
  <c r="BL198" i="19" s="1"/>
  <c r="K285" i="19"/>
  <c r="K17" i="19" s="1"/>
  <c r="K16" i="19" s="1"/>
  <c r="BL277" i="19"/>
  <c r="O261" i="19"/>
  <c r="BP279" i="19"/>
  <c r="Q263" i="19"/>
  <c r="BP263" i="19" s="1"/>
  <c r="BN282" i="19"/>
  <c r="P266" i="19"/>
  <c r="AD173" i="20"/>
  <c r="AC174" i="20"/>
  <c r="AZ160" i="18"/>
  <c r="AN161" i="18"/>
  <c r="AN173" i="18"/>
  <c r="AM174" i="18"/>
  <c r="Y173" i="18"/>
  <c r="AN184" i="18"/>
  <c r="I50" i="19"/>
  <c r="I34" i="19" s="1"/>
  <c r="L93" i="19"/>
  <c r="I101" i="19"/>
  <c r="I109" i="19" s="1"/>
  <c r="B104" i="19"/>
  <c r="B109" i="19" s="1"/>
  <c r="E141" i="19"/>
  <c r="E8" i="19" s="1"/>
  <c r="I221" i="19"/>
  <c r="I193" i="19"/>
  <c r="BN277" i="19"/>
  <c r="P261" i="19"/>
  <c r="X317" i="19"/>
  <c r="X19" i="19" s="1"/>
  <c r="L349" i="19"/>
  <c r="C388" i="19"/>
  <c r="C406" i="19"/>
  <c r="I40" i="21"/>
  <c r="AT149" i="18"/>
  <c r="C58" i="19"/>
  <c r="C42" i="19" s="1"/>
  <c r="N93" i="19"/>
  <c r="G173" i="19"/>
  <c r="G10" i="19" s="1"/>
  <c r="G9" i="19" s="1"/>
  <c r="G32" i="6" s="1"/>
  <c r="L150" i="19"/>
  <c r="BF150" i="19" s="1"/>
  <c r="BF166" i="19"/>
  <c r="BL167" i="19"/>
  <c r="N189" i="19"/>
  <c r="O189" i="19"/>
  <c r="W205" i="19"/>
  <c r="O237" i="19"/>
  <c r="BL225" i="19"/>
  <c r="O193" i="19"/>
  <c r="M285" i="19"/>
  <c r="M17" i="19" s="1"/>
  <c r="N301" i="19"/>
  <c r="N18" i="19" s="1"/>
  <c r="I349" i="19"/>
  <c r="I21" i="19" s="1"/>
  <c r="I321" i="19"/>
  <c r="Y163" i="18"/>
  <c r="AF9" i="19"/>
  <c r="L77" i="19"/>
  <c r="BF66" i="19"/>
  <c r="B53" i="19"/>
  <c r="D58" i="19"/>
  <c r="D42" i="19" s="1"/>
  <c r="D60" i="19"/>
  <c r="D44" i="19" s="1"/>
  <c r="D110" i="19"/>
  <c r="AP157" i="19"/>
  <c r="AN205" i="19"/>
  <c r="C221" i="19"/>
  <c r="M197" i="19"/>
  <c r="BH229" i="19"/>
  <c r="M237" i="19"/>
  <c r="BL248" i="19"/>
  <c r="O253" i="19"/>
  <c r="BL257" i="19"/>
  <c r="E317" i="19"/>
  <c r="E19" i="19" s="1"/>
  <c r="AA317" i="19"/>
  <c r="AA19" i="19" s="1"/>
  <c r="J349" i="19"/>
  <c r="J21" i="19" s="1"/>
  <c r="J20" i="19" s="1"/>
  <c r="O349" i="19"/>
  <c r="O21" i="19" s="1"/>
  <c r="M326" i="19"/>
  <c r="M349" i="19"/>
  <c r="M21" i="19" s="1"/>
  <c r="M20" i="19" s="1"/>
  <c r="M93" i="19"/>
  <c r="P151" i="19"/>
  <c r="BN151" i="19" s="1"/>
  <c r="E221" i="19"/>
  <c r="H285" i="19"/>
  <c r="H17" i="19" s="1"/>
  <c r="H16" i="19" s="1"/>
  <c r="AD285" i="19"/>
  <c r="BL278" i="19"/>
  <c r="O262" i="19"/>
  <c r="AJ285" i="19"/>
  <c r="D324" i="19"/>
  <c r="I330" i="19"/>
  <c r="Q49" i="21"/>
  <c r="G180" i="18"/>
  <c r="AS185" i="18"/>
  <c r="S10" i="19"/>
  <c r="S9" i="19" s="1"/>
  <c r="S32" i="6" s="1"/>
  <c r="N55" i="19"/>
  <c r="AB157" i="19"/>
  <c r="L153" i="19"/>
  <c r="BF153" i="19" s="1"/>
  <c r="E193" i="19"/>
  <c r="E205" i="19" s="1"/>
  <c r="G194" i="19"/>
  <c r="G195" i="19"/>
  <c r="BF229" i="19"/>
  <c r="L197" i="19"/>
  <c r="BF197" i="19" s="1"/>
  <c r="I285" i="19"/>
  <c r="I17" i="19" s="1"/>
  <c r="AE285" i="19"/>
  <c r="AF285" i="19"/>
  <c r="AF258" i="19"/>
  <c r="L259" i="19"/>
  <c r="L182" i="4" s="1"/>
  <c r="M260" i="19"/>
  <c r="M183" i="4" s="1"/>
  <c r="AI260" i="19"/>
  <c r="P262" i="19"/>
  <c r="AL262" i="19"/>
  <c r="BL283" i="19"/>
  <c r="O267" i="19"/>
  <c r="AN285" i="19"/>
  <c r="Q266" i="19"/>
  <c r="BP266" i="19" s="1"/>
  <c r="C317" i="19"/>
  <c r="C19" i="19" s="1"/>
  <c r="Y317" i="19"/>
  <c r="Y19" i="19" s="1"/>
  <c r="E324" i="19"/>
  <c r="E36" i="19" s="1"/>
  <c r="K329" i="19"/>
  <c r="AJ21" i="20"/>
  <c r="X33" i="20"/>
  <c r="Y79" i="20"/>
  <c r="K156" i="19"/>
  <c r="K44" i="19" s="1"/>
  <c r="AI205" i="19"/>
  <c r="J221" i="19"/>
  <c r="J193" i="19"/>
  <c r="AC269" i="19"/>
  <c r="AI285" i="19"/>
  <c r="AI257" i="19"/>
  <c r="BP276" i="19"/>
  <c r="Q260" i="19"/>
  <c r="BP260" i="19" s="1"/>
  <c r="AM260" i="19"/>
  <c r="R261" i="19"/>
  <c r="R269" i="19" s="1"/>
  <c r="AN261" i="19"/>
  <c r="AN269" i="19" s="1"/>
  <c r="E301" i="19"/>
  <c r="E18" i="19" s="1"/>
  <c r="AA301" i="19"/>
  <c r="AA18" i="19" s="1"/>
  <c r="J388" i="19"/>
  <c r="K406" i="19"/>
  <c r="AU77" i="20"/>
  <c r="Z78" i="20"/>
  <c r="AF152" i="20"/>
  <c r="AG151" i="20"/>
  <c r="J126" i="19"/>
  <c r="BN139" i="19"/>
  <c r="M145" i="19"/>
  <c r="M173" i="19"/>
  <c r="K221" i="19"/>
  <c r="K196" i="19"/>
  <c r="K36" i="19" s="1"/>
  <c r="K201" i="19"/>
  <c r="K41" i="19" s="1"/>
  <c r="BN244" i="19"/>
  <c r="BF249" i="19"/>
  <c r="L201" i="19"/>
  <c r="BF201" i="19" s="1"/>
  <c r="P253" i="19"/>
  <c r="AD269" i="19"/>
  <c r="O268" i="19"/>
  <c r="T267" i="19"/>
  <c r="F301" i="19"/>
  <c r="F18" i="19" s="1"/>
  <c r="F257" i="19"/>
  <c r="F33" i="19" s="1"/>
  <c r="AB301" i="19"/>
  <c r="AB18" i="19" s="1"/>
  <c r="P329" i="19"/>
  <c r="BN345" i="19"/>
  <c r="O365" i="19"/>
  <c r="O22" i="19" s="1"/>
  <c r="BL22" i="19" s="1"/>
  <c r="O321" i="19"/>
  <c r="O333" i="19" s="1"/>
  <c r="C323" i="19"/>
  <c r="C35" i="19" s="1"/>
  <c r="C365" i="19"/>
  <c r="C22" i="19" s="1"/>
  <c r="C20" i="19" s="1"/>
  <c r="AU4" i="20"/>
  <c r="AC17" i="20"/>
  <c r="AD16" i="20"/>
  <c r="AT42" i="20"/>
  <c r="AI43" i="20"/>
  <c r="AJ60" i="20"/>
  <c r="AA77" i="20"/>
  <c r="AW100" i="20"/>
  <c r="AV100" i="20"/>
  <c r="AG150" i="20"/>
  <c r="L149" i="19"/>
  <c r="BF149" i="19" s="1"/>
  <c r="N145" i="19"/>
  <c r="N173" i="19"/>
  <c r="BJ161" i="19"/>
  <c r="M156" i="19"/>
  <c r="BH156" i="19" s="1"/>
  <c r="AK205" i="19"/>
  <c r="AK285" i="19"/>
  <c r="BL280" i="19"/>
  <c r="U265" i="19"/>
  <c r="G301" i="19"/>
  <c r="G18" i="19" s="1"/>
  <c r="AC301" i="19"/>
  <c r="AC18" i="19" s="1"/>
  <c r="I317" i="19"/>
  <c r="I19" i="19" s="1"/>
  <c r="AE269" i="19"/>
  <c r="K324" i="19"/>
  <c r="J325" i="19"/>
  <c r="J37" i="19" s="1"/>
  <c r="P330" i="19"/>
  <c r="BN330" i="19" s="1"/>
  <c r="AR31" i="20"/>
  <c r="AP32" i="20"/>
  <c r="AX100" i="20"/>
  <c r="AG103" i="20"/>
  <c r="AF104" i="20"/>
  <c r="AI151" i="20"/>
  <c r="AT150" i="20"/>
  <c r="R145" i="21"/>
  <c r="R173" i="21"/>
  <c r="R10" i="21" s="1"/>
  <c r="K173" i="21"/>
  <c r="K10" i="21" s="1"/>
  <c r="K150" i="21"/>
  <c r="N151" i="21"/>
  <c r="N39" i="21" s="1"/>
  <c r="N173" i="21"/>
  <c r="N10" i="21" s="1"/>
  <c r="Q152" i="21"/>
  <c r="N147" i="19"/>
  <c r="BJ147" i="19" s="1"/>
  <c r="E152" i="19"/>
  <c r="N156" i="19"/>
  <c r="BJ156" i="19" s="1"/>
  <c r="AQ205" i="19"/>
  <c r="AL285" i="19"/>
  <c r="BP298" i="19"/>
  <c r="J257" i="19"/>
  <c r="J317" i="19"/>
  <c r="J19" i="19" s="1"/>
  <c r="Q365" i="19"/>
  <c r="BP353" i="19"/>
  <c r="AG18" i="20"/>
  <c r="AF19" i="20"/>
  <c r="AS52" i="20"/>
  <c r="Y53" i="20"/>
  <c r="R339" i="19"/>
  <c r="R323" i="19" s="1"/>
  <c r="R338" i="19"/>
  <c r="R322" i="19" s="1"/>
  <c r="R337" i="19"/>
  <c r="Q205" i="19"/>
  <c r="BP205" i="19" s="1"/>
  <c r="AM205" i="19"/>
  <c r="P197" i="19"/>
  <c r="BN197" i="19" s="1"/>
  <c r="N193" i="19"/>
  <c r="N197" i="19"/>
  <c r="BJ197" i="19" s="1"/>
  <c r="N198" i="19"/>
  <c r="BJ198" i="19" s="1"/>
  <c r="N199" i="19"/>
  <c r="BJ199" i="19" s="1"/>
  <c r="K195" i="19"/>
  <c r="B253" i="19"/>
  <c r="B193" i="19"/>
  <c r="B205" i="19" s="1"/>
  <c r="C253" i="19"/>
  <c r="Q257" i="19"/>
  <c r="BP273" i="19"/>
  <c r="Q285" i="19"/>
  <c r="BP285" i="19" s="1"/>
  <c r="AM257" i="19"/>
  <c r="AM269" i="19" s="1"/>
  <c r="AM285" i="19"/>
  <c r="X263" i="19"/>
  <c r="B317" i="19"/>
  <c r="B19" i="19" s="1"/>
  <c r="P323" i="19"/>
  <c r="BN323" i="19" s="1"/>
  <c r="BN339" i="19"/>
  <c r="P349" i="19"/>
  <c r="AO29" i="20"/>
  <c r="AL30" i="20"/>
  <c r="Z53" i="20"/>
  <c r="AU52" i="20"/>
  <c r="AY52" i="20" s="1"/>
  <c r="AI78" i="20"/>
  <c r="AT77" i="20"/>
  <c r="AJ78" i="20"/>
  <c r="AK77" i="20"/>
  <c r="S338" i="19"/>
  <c r="J141" i="19"/>
  <c r="J8" i="19" s="1"/>
  <c r="AL8" i="21" s="1"/>
  <c r="M150" i="19"/>
  <c r="Q173" i="19"/>
  <c r="R205" i="19"/>
  <c r="BF228" i="19"/>
  <c r="C263" i="19"/>
  <c r="C186" i="4" s="1"/>
  <c r="L317" i="19"/>
  <c r="L19" i="19" s="1"/>
  <c r="M317" i="19"/>
  <c r="M19" i="19" s="1"/>
  <c r="E327" i="19"/>
  <c r="D328" i="19"/>
  <c r="J406" i="19"/>
  <c r="AH17" i="20"/>
  <c r="AI19" i="20"/>
  <c r="AT18" i="20"/>
  <c r="AA52" i="20"/>
  <c r="P93" i="21"/>
  <c r="P5" i="21" s="1"/>
  <c r="P49" i="21"/>
  <c r="J93" i="21"/>
  <c r="J5" i="21" s="1"/>
  <c r="J51" i="21"/>
  <c r="AI5" i="21"/>
  <c r="AF5" i="21"/>
  <c r="D3" i="21"/>
  <c r="B3" i="21"/>
  <c r="BC118" i="19"/>
  <c r="BL132" i="19"/>
  <c r="BL138" i="19"/>
  <c r="Q147" i="19"/>
  <c r="BP147" i="19" s="1"/>
  <c r="BF161" i="19"/>
  <c r="BH162" i="19"/>
  <c r="E151" i="19"/>
  <c r="E39" i="19" s="1"/>
  <c r="S205" i="19"/>
  <c r="P199" i="19"/>
  <c r="BN199" i="19" s="1"/>
  <c r="M195" i="19"/>
  <c r="BH195" i="19" s="1"/>
  <c r="BH227" i="19"/>
  <c r="S339" i="19"/>
  <c r="E328" i="19"/>
  <c r="AL45" i="20"/>
  <c r="BN124" i="19"/>
  <c r="P141" i="19"/>
  <c r="Q145" i="19"/>
  <c r="AM157" i="19"/>
  <c r="BH161" i="19"/>
  <c r="O154" i="19"/>
  <c r="BL154" i="19" s="1"/>
  <c r="B189" i="19"/>
  <c r="B11" i="19" s="1"/>
  <c r="M189" i="19"/>
  <c r="T205" i="19"/>
  <c r="AP205" i="19"/>
  <c r="AP257" i="19"/>
  <c r="AP269" i="19" s="1"/>
  <c r="AP285" i="19"/>
  <c r="AQ258" i="19"/>
  <c r="AQ285" i="19"/>
  <c r="AJ317" i="19"/>
  <c r="AJ19" i="19" s="1"/>
  <c r="AC6" i="20"/>
  <c r="AM77" i="20"/>
  <c r="AO76" i="20"/>
  <c r="AA90" i="20"/>
  <c r="Z114" i="20"/>
  <c r="AU113" i="20"/>
  <c r="AN157" i="19"/>
  <c r="BJ172" i="19"/>
  <c r="K194" i="19"/>
  <c r="U257" i="19"/>
  <c r="AQ257" i="19"/>
  <c r="AQ269" i="19" s="1"/>
  <c r="AI301" i="19"/>
  <c r="AI18" i="19" s="1"/>
  <c r="O301" i="19"/>
  <c r="AO16" i="20"/>
  <c r="AL17" i="20"/>
  <c r="AK17" i="20"/>
  <c r="AO41" i="20"/>
  <c r="AJ162" i="20"/>
  <c r="E52" i="21"/>
  <c r="E36" i="21" s="1"/>
  <c r="E77" i="21"/>
  <c r="E4" i="21" s="1"/>
  <c r="K151" i="19"/>
  <c r="G202" i="19"/>
  <c r="G42" i="19" s="1"/>
  <c r="G285" i="19"/>
  <c r="G17" i="19" s="1"/>
  <c r="G257" i="19"/>
  <c r="G269" i="19" s="1"/>
  <c r="AC285" i="19"/>
  <c r="J259" i="19"/>
  <c r="J182" i="4" s="1"/>
  <c r="AG260" i="19"/>
  <c r="AG269" i="19" s="1"/>
  <c r="L261" i="19"/>
  <c r="L184" i="4" s="1"/>
  <c r="L93" i="5" s="1"/>
  <c r="AH261" i="19"/>
  <c r="N263" i="19"/>
  <c r="AJ263" i="19"/>
  <c r="AJ269" i="19" s="1"/>
  <c r="L264" i="19"/>
  <c r="L187" i="4" s="1"/>
  <c r="AH264" i="19"/>
  <c r="K301" i="19"/>
  <c r="K18" i="19" s="1"/>
  <c r="J301" i="19"/>
  <c r="J18" i="19" s="1"/>
  <c r="F317" i="19"/>
  <c r="F19" i="19" s="1"/>
  <c r="AB317" i="19"/>
  <c r="AB19" i="19" s="1"/>
  <c r="D331" i="19"/>
  <c r="N365" i="19"/>
  <c r="N22" i="19" s="1"/>
  <c r="D406" i="19"/>
  <c r="D388" i="19"/>
  <c r="AP8" i="20"/>
  <c r="AR7" i="20"/>
  <c r="AX40" i="20"/>
  <c r="AX28" i="20"/>
  <c r="AK40" i="20"/>
  <c r="AJ41" i="20"/>
  <c r="X80" i="20"/>
  <c r="Y91" i="20"/>
  <c r="X99" i="20"/>
  <c r="AJ103" i="20"/>
  <c r="AK102" i="20"/>
  <c r="AC140" i="20"/>
  <c r="AD139" i="20"/>
  <c r="AR161" i="20"/>
  <c r="AP162" i="20"/>
  <c r="F52" i="21"/>
  <c r="F36" i="21" s="1"/>
  <c r="F77" i="21"/>
  <c r="F4" i="21" s="1"/>
  <c r="M43" i="21"/>
  <c r="E109" i="21"/>
  <c r="AD148" i="20"/>
  <c r="AU148" i="20"/>
  <c r="AC149" i="20"/>
  <c r="Z152" i="20"/>
  <c r="F35" i="21"/>
  <c r="L49" i="21"/>
  <c r="L77" i="21"/>
  <c r="L4" i="21" s="1"/>
  <c r="L105" i="19"/>
  <c r="L41" i="19" s="1"/>
  <c r="BF41" i="19" s="1"/>
  <c r="BF248" i="19"/>
  <c r="L200" i="19"/>
  <c r="BF200" i="19" s="1"/>
  <c r="O258" i="19"/>
  <c r="BL274" i="19"/>
  <c r="Q259" i="19"/>
  <c r="BP259" i="19" s="1"/>
  <c r="AM259" i="19"/>
  <c r="AM266" i="19"/>
  <c r="Q267" i="19"/>
  <c r="BP267" i="19" s="1"/>
  <c r="R301" i="19"/>
  <c r="R18" i="19" s="1"/>
  <c r="AN301" i="19"/>
  <c r="AN18" i="19" s="1"/>
  <c r="D332" i="19"/>
  <c r="Z66" i="20"/>
  <c r="AU65" i="20"/>
  <c r="X82" i="20"/>
  <c r="AF186" i="20"/>
  <c r="AG186" i="20" s="1"/>
  <c r="AG185" i="20"/>
  <c r="F61" i="21"/>
  <c r="F33" i="21"/>
  <c r="L141" i="19"/>
  <c r="Q137" i="19" s="1"/>
  <c r="P173" i="19"/>
  <c r="I237" i="19"/>
  <c r="E253" i="19"/>
  <c r="AK257" i="19"/>
  <c r="AK269" i="19" s="1"/>
  <c r="P258" i="19"/>
  <c r="BN258" i="19" s="1"/>
  <c r="BN274" i="19"/>
  <c r="AL258" i="19"/>
  <c r="S265" i="19"/>
  <c r="R267" i="19"/>
  <c r="AO301" i="19"/>
  <c r="AO18" i="19" s="1"/>
  <c r="N317" i="19"/>
  <c r="N19" i="19" s="1"/>
  <c r="N16" i="19" s="1"/>
  <c r="BL307" i="19"/>
  <c r="BI376" i="19"/>
  <c r="BI377" i="19" s="1"/>
  <c r="BI372" i="19"/>
  <c r="AK118" i="20"/>
  <c r="Y175" i="20"/>
  <c r="L20" i="21"/>
  <c r="L237" i="21"/>
  <c r="L14" i="21" s="1"/>
  <c r="L196" i="21"/>
  <c r="L205" i="21" s="1"/>
  <c r="F253" i="21"/>
  <c r="F15" i="21" s="1"/>
  <c r="F193" i="21"/>
  <c r="C253" i="21"/>
  <c r="C15" i="21" s="1"/>
  <c r="C194" i="21"/>
  <c r="P253" i="21"/>
  <c r="P15" i="21" s="1"/>
  <c r="P197" i="21"/>
  <c r="J285" i="21"/>
  <c r="J17" i="21" s="1"/>
  <c r="J265" i="21"/>
  <c r="B197" i="19"/>
  <c r="B198" i="19"/>
  <c r="B202" i="19"/>
  <c r="J237" i="19"/>
  <c r="F253" i="19"/>
  <c r="P257" i="19"/>
  <c r="BN273" i="19"/>
  <c r="AL257" i="19"/>
  <c r="AL269" i="19" s="1"/>
  <c r="W263" i="19"/>
  <c r="W269" i="19" s="1"/>
  <c r="T265" i="19"/>
  <c r="K268" i="19"/>
  <c r="K191" i="4" s="1"/>
  <c r="AG268" i="19"/>
  <c r="BL305" i="19"/>
  <c r="O317" i="19"/>
  <c r="BC373" i="19"/>
  <c r="Y6" i="20"/>
  <c r="AS5" i="20"/>
  <c r="AS28" i="20"/>
  <c r="AD28" i="20"/>
  <c r="AO149" i="20"/>
  <c r="Z175" i="20"/>
  <c r="AU174" i="20"/>
  <c r="AN185" i="20"/>
  <c r="AU184" i="20"/>
  <c r="AY184" i="20" s="1"/>
  <c r="G44" i="21"/>
  <c r="G253" i="21"/>
  <c r="G15" i="21" s="1"/>
  <c r="AQ55" i="22"/>
  <c r="AT54" i="22"/>
  <c r="P322" i="19"/>
  <c r="BN322" i="19" s="1"/>
  <c r="AC66" i="20"/>
  <c r="AD65" i="20"/>
  <c r="AX76" i="20"/>
  <c r="AT88" i="20"/>
  <c r="AX88" i="20" s="1"/>
  <c r="AI89" i="20"/>
  <c r="Y101" i="20"/>
  <c r="AA100" i="20"/>
  <c r="AR150" i="20"/>
  <c r="C262" i="19"/>
  <c r="U267" i="19"/>
  <c r="R317" i="19"/>
  <c r="R19" i="19" s="1"/>
  <c r="C333" i="19"/>
  <c r="X6" i="20"/>
  <c r="AL8" i="20"/>
  <c r="AO7" i="20"/>
  <c r="Z17" i="20"/>
  <c r="AA16" i="20"/>
  <c r="AU16" i="20"/>
  <c r="AY16" i="20" s="1"/>
  <c r="AH65" i="20"/>
  <c r="AH66" i="20" s="1"/>
  <c r="AH67" i="20" s="1"/>
  <c r="AH68" i="20" s="1"/>
  <c r="AH69" i="20" s="1"/>
  <c r="AH70" i="20" s="1"/>
  <c r="AH71" i="20" s="1"/>
  <c r="AH72" i="20" s="1"/>
  <c r="AH73" i="20" s="1"/>
  <c r="AH74" i="20" s="1"/>
  <c r="AH75" i="20" s="1"/>
  <c r="AS64" i="20"/>
  <c r="Y115" i="20"/>
  <c r="AR149" i="20"/>
  <c r="AR185" i="20"/>
  <c r="AP186" i="20"/>
  <c r="AR186" i="20" s="1"/>
  <c r="C153" i="19"/>
  <c r="AJ205" i="19"/>
  <c r="E197" i="19"/>
  <c r="E37" i="19" s="1"/>
  <c r="S257" i="19"/>
  <c r="S269" i="19" s="1"/>
  <c r="S285" i="19"/>
  <c r="AO257" i="19"/>
  <c r="AO269" i="19" s="1"/>
  <c r="AO285" i="19"/>
  <c r="W265" i="19"/>
  <c r="W301" i="19"/>
  <c r="W18" i="19" s="1"/>
  <c r="S317" i="19"/>
  <c r="S19" i="19" s="1"/>
  <c r="P331" i="19"/>
  <c r="BN331" i="19" s="1"/>
  <c r="AB29" i="20"/>
  <c r="Z44" i="20"/>
  <c r="AT64" i="20"/>
  <c r="AX64" i="20" s="1"/>
  <c r="AI65" i="20"/>
  <c r="AK64" i="20"/>
  <c r="AR65" i="20"/>
  <c r="AP66" i="20"/>
  <c r="AK88" i="20"/>
  <c r="Z126" i="20"/>
  <c r="AA125" i="20"/>
  <c r="AR148" i="20"/>
  <c r="AS149" i="20"/>
  <c r="E406" i="19"/>
  <c r="E388" i="19"/>
  <c r="AU5" i="20"/>
  <c r="Z6" i="20"/>
  <c r="AA5" i="20"/>
  <c r="X45" i="20"/>
  <c r="AG52" i="20"/>
  <c r="AF53" i="20"/>
  <c r="AN113" i="20"/>
  <c r="AN114" i="20" s="1"/>
  <c r="AN115" i="20" s="1"/>
  <c r="AN116" i="20" s="1"/>
  <c r="AN117" i="20" s="1"/>
  <c r="AN118" i="20" s="1"/>
  <c r="AN119" i="20" s="1"/>
  <c r="AN120" i="20" s="1"/>
  <c r="AN121" i="20" s="1"/>
  <c r="AN122" i="20" s="1"/>
  <c r="AN123" i="20" s="1"/>
  <c r="AU112" i="20"/>
  <c r="AY112" i="20" s="1"/>
  <c r="AF126" i="20"/>
  <c r="G61" i="21"/>
  <c r="AI13" i="21"/>
  <c r="AH13" i="21"/>
  <c r="F12" i="21"/>
  <c r="AO150" i="22"/>
  <c r="AP149" i="22"/>
  <c r="J101" i="26"/>
  <c r="AF90" i="20"/>
  <c r="AG89" i="20"/>
  <c r="AC102" i="20"/>
  <c r="AD101" i="20"/>
  <c r="AJ120" i="20"/>
  <c r="P237" i="19"/>
  <c r="V257" i="19"/>
  <c r="V269" i="19" s="1"/>
  <c r="T258" i="19"/>
  <c r="T269" i="19" s="1"/>
  <c r="AP258" i="19"/>
  <c r="T259" i="19"/>
  <c r="AP259" i="19"/>
  <c r="V285" i="19"/>
  <c r="I258" i="19"/>
  <c r="I181" i="4" s="1"/>
  <c r="I192" i="4" s="1"/>
  <c r="AE258" i="19"/>
  <c r="K262" i="19"/>
  <c r="AG262" i="19"/>
  <c r="P326" i="19"/>
  <c r="BN326" i="19" s="1"/>
  <c r="P365" i="19"/>
  <c r="AP21" i="20"/>
  <c r="AR20" i="20"/>
  <c r="AU28" i="20"/>
  <c r="AY28" i="20" s="1"/>
  <c r="AK65" i="20"/>
  <c r="AJ66" i="20"/>
  <c r="AD77" i="20"/>
  <c r="AC78" i="20"/>
  <c r="AI103" i="20"/>
  <c r="AI118" i="20"/>
  <c r="X127" i="20"/>
  <c r="AO66" i="20"/>
  <c r="AL67" i="20"/>
  <c r="AL79" i="20"/>
  <c r="B285" i="19"/>
  <c r="B17" i="19" s="1"/>
  <c r="B16" i="19" s="1"/>
  <c r="X285" i="19"/>
  <c r="D263" i="19"/>
  <c r="D39" i="19" s="1"/>
  <c r="Z263" i="19"/>
  <c r="P328" i="19"/>
  <c r="BN328" i="19" s="1"/>
  <c r="D329" i="19"/>
  <c r="D41" i="19" s="1"/>
  <c r="BN353" i="19"/>
  <c r="BD372" i="19"/>
  <c r="N406" i="19"/>
  <c r="N388" i="19"/>
  <c r="AR19" i="20"/>
  <c r="AG28" i="20"/>
  <c r="AE29" i="20"/>
  <c r="Y30" i="20"/>
  <c r="AO65" i="20"/>
  <c r="AG65" i="20"/>
  <c r="AJ94" i="20"/>
  <c r="C285" i="19"/>
  <c r="C17" i="19" s="1"/>
  <c r="Y285" i="19"/>
  <c r="E262" i="19"/>
  <c r="E185" i="4" s="1"/>
  <c r="E93" i="5" s="1"/>
  <c r="AA262" i="19"/>
  <c r="C264" i="19"/>
  <c r="C187" i="4" s="1"/>
  <c r="Y264" i="19"/>
  <c r="Y269" i="19" s="1"/>
  <c r="J321" i="19"/>
  <c r="J333" i="19" s="1"/>
  <c r="E329" i="19"/>
  <c r="E41" i="19" s="1"/>
  <c r="AO6" i="20"/>
  <c r="AA29" i="20"/>
  <c r="AU29" i="20"/>
  <c r="Z30" i="20"/>
  <c r="AJ35" i="20"/>
  <c r="AU40" i="20"/>
  <c r="AC41" i="20"/>
  <c r="AD40" i="20"/>
  <c r="AP79" i="20"/>
  <c r="AR78" i="20"/>
  <c r="AK117" i="20"/>
  <c r="AU160" i="20"/>
  <c r="AY160" i="20" s="1"/>
  <c r="AV17" i="22"/>
  <c r="AS17" i="22"/>
  <c r="AR18" i="22"/>
  <c r="AO54" i="22"/>
  <c r="AP53" i="22"/>
  <c r="AL103" i="20"/>
  <c r="AO102" i="20"/>
  <c r="AK116" i="20"/>
  <c r="AC162" i="20"/>
  <c r="AD161" i="20"/>
  <c r="AD186" i="20"/>
  <c r="W266" i="19"/>
  <c r="V267" i="19"/>
  <c r="BL292" i="19"/>
  <c r="V317" i="19"/>
  <c r="V19" i="19" s="1"/>
  <c r="BK317" i="19"/>
  <c r="AT29" i="20"/>
  <c r="AI30" i="20"/>
  <c r="AC29" i="20"/>
  <c r="AF31" i="20"/>
  <c r="AO64" i="20"/>
  <c r="AO101" i="20"/>
  <c r="AO162" i="20"/>
  <c r="AD185" i="20"/>
  <c r="P333" i="21"/>
  <c r="BN225" i="19"/>
  <c r="H269" i="19"/>
  <c r="F285" i="19"/>
  <c r="F17" i="19" s="1"/>
  <c r="F16" i="19" s="1"/>
  <c r="AB285" i="19"/>
  <c r="F261" i="19"/>
  <c r="F184" i="4" s="1"/>
  <c r="F93" i="5" s="1"/>
  <c r="AB261" i="19"/>
  <c r="BL290" i="19"/>
  <c r="W317" i="19"/>
  <c r="W19" i="19" s="1"/>
  <c r="P321" i="19"/>
  <c r="AO5" i="20"/>
  <c r="AK28" i="20"/>
  <c r="AG161" i="20"/>
  <c r="AF162" i="20"/>
  <c r="AQ173" i="20"/>
  <c r="AQ174" i="20" s="1"/>
  <c r="AQ175" i="20" s="1"/>
  <c r="AQ176" i="20" s="1"/>
  <c r="AQ177" i="20" s="1"/>
  <c r="AQ178" i="20" s="1"/>
  <c r="AQ179" i="20" s="1"/>
  <c r="AQ180" i="20" s="1"/>
  <c r="AQ181" i="20" s="1"/>
  <c r="AQ182" i="20" s="1"/>
  <c r="AQ183" i="20" s="1"/>
  <c r="AR172" i="20"/>
  <c r="I61" i="21"/>
  <c r="N34" i="21"/>
  <c r="H37" i="21"/>
  <c r="E40" i="21"/>
  <c r="U253" i="21"/>
  <c r="U15" i="21" s="1"/>
  <c r="R253" i="21"/>
  <c r="R15" i="21" s="1"/>
  <c r="AU101" i="20"/>
  <c r="Z102" i="20"/>
  <c r="AA101" i="20"/>
  <c r="AR113" i="20"/>
  <c r="AF115" i="20"/>
  <c r="AG114" i="20"/>
  <c r="Y139" i="20"/>
  <c r="AL164" i="20"/>
  <c r="AO163" i="20"/>
  <c r="M20" i="21"/>
  <c r="G36" i="21"/>
  <c r="L103" i="21"/>
  <c r="L39" i="21" s="1"/>
  <c r="L125" i="21"/>
  <c r="L7" i="21" s="1"/>
  <c r="D253" i="21"/>
  <c r="D15" i="21" s="1"/>
  <c r="AF15" i="21" s="1"/>
  <c r="Z253" i="21"/>
  <c r="Z15" i="21" s="1"/>
  <c r="W253" i="21"/>
  <c r="W15" i="21" s="1"/>
  <c r="T253" i="21"/>
  <c r="T15" i="21" s="1"/>
  <c r="Q253" i="21"/>
  <c r="Q15" i="21" s="1"/>
  <c r="AS15" i="21" s="1"/>
  <c r="N253" i="21"/>
  <c r="N15" i="21" s="1"/>
  <c r="AP15" i="21" s="1"/>
  <c r="AG46" i="22"/>
  <c r="AH45" i="22"/>
  <c r="AR77" i="20"/>
  <c r="AD124" i="20"/>
  <c r="AC125" i="20"/>
  <c r="AI161" i="20"/>
  <c r="AT160" i="20"/>
  <c r="AX160" i="20" s="1"/>
  <c r="I37" i="21"/>
  <c r="X5" i="20"/>
  <c r="AS40" i="20"/>
  <c r="AJ127" i="20"/>
  <c r="AJ140" i="20"/>
  <c r="AK139" i="20"/>
  <c r="F42" i="21"/>
  <c r="AA40" i="20"/>
  <c r="X49" i="20"/>
  <c r="AX124" i="20"/>
  <c r="AX136" i="20"/>
  <c r="AL127" i="20"/>
  <c r="AO126" i="20"/>
  <c r="AK137" i="20"/>
  <c r="AK138" i="20"/>
  <c r="X144" i="20"/>
  <c r="AS150" i="20"/>
  <c r="Y151" i="20"/>
  <c r="E41" i="21"/>
  <c r="AO13" i="21"/>
  <c r="D257" i="21"/>
  <c r="X17" i="20"/>
  <c r="AL91" i="20"/>
  <c r="AG100" i="20"/>
  <c r="AK125" i="20"/>
  <c r="AI125" i="20"/>
  <c r="X133" i="20"/>
  <c r="AK136" i="20"/>
  <c r="AT172" i="20"/>
  <c r="AI173" i="20"/>
  <c r="AK173" i="20" s="1"/>
  <c r="AP174" i="20"/>
  <c r="AR173" i="20"/>
  <c r="N38" i="21"/>
  <c r="H109" i="21"/>
  <c r="AD8" i="21"/>
  <c r="T221" i="21"/>
  <c r="T13" i="21" s="1"/>
  <c r="B199" i="21"/>
  <c r="B39" i="21" s="1"/>
  <c r="B221" i="21"/>
  <c r="B13" i="21" s="1"/>
  <c r="L203" i="21"/>
  <c r="L221" i="21"/>
  <c r="L13" i="21" s="1"/>
  <c r="AA64" i="20"/>
  <c r="AU64" i="20"/>
  <c r="AY64" i="20" s="1"/>
  <c r="AR88" i="20"/>
  <c r="AP89" i="20"/>
  <c r="AI140" i="20"/>
  <c r="AT139" i="20"/>
  <c r="AT138" i="20"/>
  <c r="J145" i="21"/>
  <c r="J157" i="21" s="1"/>
  <c r="J189" i="21"/>
  <c r="J11" i="21" s="1"/>
  <c r="W148" i="21"/>
  <c r="W157" i="21" s="1"/>
  <c r="W189" i="21"/>
  <c r="W11" i="21" s="1"/>
  <c r="X155" i="21"/>
  <c r="X189" i="21"/>
  <c r="X11" i="21" s="1"/>
  <c r="AO22" i="22"/>
  <c r="E349" i="19"/>
  <c r="E21" i="19" s="1"/>
  <c r="E20" i="19" s="1"/>
  <c r="O406" i="19"/>
  <c r="AK4" i="20"/>
  <c r="AS77" i="20"/>
  <c r="AB78" i="20"/>
  <c r="AB79" i="20" s="1"/>
  <c r="AB80" i="20" s="1"/>
  <c r="AB81" i="20" s="1"/>
  <c r="AB82" i="20" s="1"/>
  <c r="AB83" i="20" s="1"/>
  <c r="AB84" i="20" s="1"/>
  <c r="AB85" i="20" s="1"/>
  <c r="AB86" i="20" s="1"/>
  <c r="AB87" i="20" s="1"/>
  <c r="AM126" i="20"/>
  <c r="AM127" i="20" s="1"/>
  <c r="AM128" i="20" s="1"/>
  <c r="AM129" i="20" s="1"/>
  <c r="AM130" i="20" s="1"/>
  <c r="AM131" i="20" s="1"/>
  <c r="AM132" i="20" s="1"/>
  <c r="AM133" i="20" s="1"/>
  <c r="AM134" i="20" s="1"/>
  <c r="AM135" i="20" s="1"/>
  <c r="AL137" i="20"/>
  <c r="AA150" i="20"/>
  <c r="AL173" i="20"/>
  <c r="AS172" i="20"/>
  <c r="AO172" i="20"/>
  <c r="X178" i="20"/>
  <c r="AS186" i="20"/>
  <c r="B35" i="21"/>
  <c r="D173" i="21"/>
  <c r="D10" i="21" s="1"/>
  <c r="D146" i="21"/>
  <c r="D34" i="21" s="1"/>
  <c r="M149" i="21"/>
  <c r="M37" i="21" s="1"/>
  <c r="M173" i="21"/>
  <c r="M10" i="21" s="1"/>
  <c r="X20" i="20"/>
  <c r="AI54" i="20"/>
  <c r="AT53" i="20"/>
  <c r="AX53" i="20" s="1"/>
  <c r="AU76" i="20"/>
  <c r="AY76" i="20" s="1"/>
  <c r="AD76" i="20"/>
  <c r="X111" i="20"/>
  <c r="AR126" i="20"/>
  <c r="AP127" i="20"/>
  <c r="AK148" i="20"/>
  <c r="Z166" i="20"/>
  <c r="AS185" i="20"/>
  <c r="AA186" i="20"/>
  <c r="K33" i="21"/>
  <c r="C51" i="21"/>
  <c r="K41" i="21"/>
  <c r="Y27" i="22"/>
  <c r="F406" i="19"/>
  <c r="X15" i="20"/>
  <c r="AG40" i="20"/>
  <c r="AF41" i="20"/>
  <c r="Y41" i="20"/>
  <c r="AK53" i="20"/>
  <c r="AN89" i="20"/>
  <c r="X104" i="20"/>
  <c r="AN125" i="20"/>
  <c r="AN126" i="20" s="1"/>
  <c r="AN127" i="20" s="1"/>
  <c r="AN128" i="20" s="1"/>
  <c r="AN129" i="20" s="1"/>
  <c r="AN130" i="20" s="1"/>
  <c r="AN131" i="20" s="1"/>
  <c r="AN132" i="20" s="1"/>
  <c r="AN133" i="20" s="1"/>
  <c r="AN134" i="20" s="1"/>
  <c r="AN135" i="20" s="1"/>
  <c r="AO124" i="20"/>
  <c r="X132" i="20"/>
  <c r="AT137" i="20"/>
  <c r="AX149" i="20" s="1"/>
  <c r="AO150" i="20"/>
  <c r="AL151" i="20"/>
  <c r="AU185" i="20"/>
  <c r="W9" i="21"/>
  <c r="B61" i="21"/>
  <c r="O104" i="21"/>
  <c r="O141" i="21"/>
  <c r="O8" i="21" s="1"/>
  <c r="Z18" i="22"/>
  <c r="Z19" i="22" s="1"/>
  <c r="Z20" i="22" s="1"/>
  <c r="Z21" i="22" s="1"/>
  <c r="Z22" i="22" s="1"/>
  <c r="Z23" i="22" s="1"/>
  <c r="Z24" i="22" s="1"/>
  <c r="Z25" i="22" s="1"/>
  <c r="Z26" i="22" s="1"/>
  <c r="Z27" i="22" s="1"/>
  <c r="AB17" i="22"/>
  <c r="AI6" i="20"/>
  <c r="AT5" i="20"/>
  <c r="AX17" i="20" s="1"/>
  <c r="AK29" i="20"/>
  <c r="AS65" i="20"/>
  <c r="Y66" i="20"/>
  <c r="X117" i="20"/>
  <c r="AQ138" i="20"/>
  <c r="AQ139" i="20" s="1"/>
  <c r="AQ140" i="20" s="1"/>
  <c r="AQ141" i="20" s="1"/>
  <c r="AQ142" i="20" s="1"/>
  <c r="AQ143" i="20" s="1"/>
  <c r="AQ144" i="20" s="1"/>
  <c r="AQ145" i="20" s="1"/>
  <c r="AQ146" i="20" s="1"/>
  <c r="AQ147" i="20" s="1"/>
  <c r="AR137" i="20"/>
  <c r="AK149" i="20"/>
  <c r="AJ150" i="20"/>
  <c r="AA185" i="20"/>
  <c r="X9" i="21"/>
  <c r="AD17" i="22"/>
  <c r="AE16" i="22"/>
  <c r="AW28" i="22"/>
  <c r="Y149" i="21"/>
  <c r="Y189" i="21"/>
  <c r="Y11" i="21" s="1"/>
  <c r="AT16" i="22"/>
  <c r="AO29" i="22"/>
  <c r="AP28" i="22"/>
  <c r="X112" i="20"/>
  <c r="AS184" i="20"/>
  <c r="Q20" i="21"/>
  <c r="J125" i="21"/>
  <c r="J7" i="21" s="1"/>
  <c r="J102" i="21"/>
  <c r="J38" i="21" s="1"/>
  <c r="L268" i="21"/>
  <c r="L285" i="21"/>
  <c r="L17" i="21" s="1"/>
  <c r="E317" i="21"/>
  <c r="E19" i="21" s="1"/>
  <c r="AD44" i="22"/>
  <c r="AE43" i="22"/>
  <c r="AS76" i="22"/>
  <c r="AR77" i="22"/>
  <c r="AV76" i="22"/>
  <c r="AS76" i="20"/>
  <c r="AK113" i="20"/>
  <c r="AJ174" i="20"/>
  <c r="AI186" i="20"/>
  <c r="AT186" i="20" s="1"/>
  <c r="AT185" i="20"/>
  <c r="N33" i="21"/>
  <c r="N61" i="21"/>
  <c r="M93" i="21"/>
  <c r="M5" i="21" s="1"/>
  <c r="AM7" i="21"/>
  <c r="K106" i="21"/>
  <c r="W221" i="21"/>
  <c r="W13" i="21" s="1"/>
  <c r="O203" i="21"/>
  <c r="F285" i="21"/>
  <c r="F17" i="21" s="1"/>
  <c r="F16" i="21" s="1"/>
  <c r="AQ32" i="22"/>
  <c r="AT31" i="22"/>
  <c r="N93" i="21"/>
  <c r="N5" i="21" s="1"/>
  <c r="K93" i="21"/>
  <c r="K5" i="21" s="1"/>
  <c r="H93" i="21"/>
  <c r="H5" i="21" s="1"/>
  <c r="H51" i="21"/>
  <c r="H35" i="21" s="1"/>
  <c r="E93" i="21"/>
  <c r="E5" i="21" s="1"/>
  <c r="AG5" i="21" s="1"/>
  <c r="AD59" i="22"/>
  <c r="AE58" i="22"/>
  <c r="AK163" i="22"/>
  <c r="AL162" i="22"/>
  <c r="AF175" i="20"/>
  <c r="AG174" i="20"/>
  <c r="P40" i="21"/>
  <c r="G43" i="21"/>
  <c r="V150" i="21"/>
  <c r="V157" i="21" s="1"/>
  <c r="C193" i="21"/>
  <c r="C221" i="21"/>
  <c r="C13" i="21" s="1"/>
  <c r="Y221" i="21"/>
  <c r="Y13" i="21" s="1"/>
  <c r="AQ162" i="22"/>
  <c r="AT161" i="22"/>
  <c r="D193" i="21"/>
  <c r="D33" i="21" s="1"/>
  <c r="D221" i="21"/>
  <c r="D13" i="21" s="1"/>
  <c r="Z221" i="21"/>
  <c r="Z13" i="21" s="1"/>
  <c r="N197" i="21"/>
  <c r="K198" i="21"/>
  <c r="H199" i="21"/>
  <c r="H39" i="21" s="1"/>
  <c r="E200" i="21"/>
  <c r="B201" i="21"/>
  <c r="O204" i="21"/>
  <c r="O44" i="21" s="1"/>
  <c r="AS160" i="22"/>
  <c r="AR161" i="22"/>
  <c r="X60" i="20"/>
  <c r="AR101" i="20"/>
  <c r="AP102" i="20"/>
  <c r="AA160" i="20"/>
  <c r="Y161" i="20"/>
  <c r="AS160" i="20"/>
  <c r="M42" i="21"/>
  <c r="B41" i="21"/>
  <c r="H42" i="21"/>
  <c r="B109" i="21"/>
  <c r="F365" i="21"/>
  <c r="F22" i="21" s="1"/>
  <c r="F321" i="21"/>
  <c r="L365" i="21"/>
  <c r="L22" i="21" s="1"/>
  <c r="L322" i="21"/>
  <c r="L333" i="21" s="1"/>
  <c r="AT160" i="22"/>
  <c r="X38" i="20"/>
  <c r="AD64" i="20"/>
  <c r="AD88" i="20"/>
  <c r="AU136" i="20"/>
  <c r="AY136" i="20" s="1"/>
  <c r="AA149" i="20"/>
  <c r="J34" i="21"/>
  <c r="C109" i="21"/>
  <c r="L269" i="21"/>
  <c r="X29" i="20"/>
  <c r="AG77" i="20"/>
  <c r="AF78" i="20"/>
  <c r="AC91" i="20"/>
  <c r="AR100" i="20"/>
  <c r="AS124" i="20"/>
  <c r="AW136" i="20" s="1"/>
  <c r="Y125" i="20"/>
  <c r="AD136" i="20"/>
  <c r="X183" i="20"/>
  <c r="K50" i="21"/>
  <c r="K34" i="21" s="1"/>
  <c r="J58" i="21"/>
  <c r="J61" i="21" s="1"/>
  <c r="G141" i="21"/>
  <c r="G8" i="21" s="1"/>
  <c r="X142" i="20"/>
  <c r="X172" i="20"/>
  <c r="D36" i="21"/>
  <c r="F109" i="21"/>
  <c r="H141" i="21"/>
  <c r="H8" i="21" s="1"/>
  <c r="AJ8" i="21" s="1"/>
  <c r="P189" i="21"/>
  <c r="P11" i="21" s="1"/>
  <c r="G237" i="21"/>
  <c r="G14" i="21" s="1"/>
  <c r="H253" i="21"/>
  <c r="H15" i="21" s="1"/>
  <c r="M257" i="21"/>
  <c r="M269" i="21" s="1"/>
  <c r="M285" i="21"/>
  <c r="M17" i="21" s="1"/>
  <c r="F20" i="21"/>
  <c r="B324" i="21"/>
  <c r="N332" i="21"/>
  <c r="I365" i="21"/>
  <c r="I22" i="21" s="1"/>
  <c r="I20" i="21" s="1"/>
  <c r="AN20" i="22"/>
  <c r="AN21" i="22" s="1"/>
  <c r="AN22" i="22" s="1"/>
  <c r="AN23" i="22" s="1"/>
  <c r="AN24" i="22" s="1"/>
  <c r="AN25" i="22" s="1"/>
  <c r="AN26" i="22" s="1"/>
  <c r="AN27" i="22" s="1"/>
  <c r="O237" i="21"/>
  <c r="O14" i="21" s="1"/>
  <c r="D321" i="21"/>
  <c r="D365" i="21"/>
  <c r="D22" i="21" s="1"/>
  <c r="AS148" i="20"/>
  <c r="AO160" i="20"/>
  <c r="B125" i="21"/>
  <c r="B7" i="21" s="1"/>
  <c r="P107" i="21"/>
  <c r="M198" i="21"/>
  <c r="L253" i="21"/>
  <c r="L15" i="21" s="1"/>
  <c r="J333" i="21"/>
  <c r="Y74" i="22"/>
  <c r="P38" i="21"/>
  <c r="M40" i="21"/>
  <c r="M141" i="21"/>
  <c r="M8" i="21" s="1"/>
  <c r="AO8" i="21" s="1"/>
  <c r="C141" i="21"/>
  <c r="C8" i="21" s="1"/>
  <c r="AE8" i="21" s="1"/>
  <c r="N237" i="21"/>
  <c r="N14" i="21" s="1"/>
  <c r="M193" i="21"/>
  <c r="M253" i="21"/>
  <c r="M15" i="21" s="1"/>
  <c r="I322" i="21"/>
  <c r="I333" i="21" s="1"/>
  <c r="H365" i="21"/>
  <c r="H22" i="21" s="1"/>
  <c r="H20" i="21" s="1"/>
  <c r="N365" i="21"/>
  <c r="N22" i="21" s="1"/>
  <c r="N20" i="21" s="1"/>
  <c r="N322" i="21"/>
  <c r="AF17" i="22"/>
  <c r="AF18" i="22" s="1"/>
  <c r="AF19" i="22" s="1"/>
  <c r="AF20" i="22" s="1"/>
  <c r="AF21" i="22" s="1"/>
  <c r="AF22" i="22" s="1"/>
  <c r="AF23" i="22" s="1"/>
  <c r="AF24" i="22" s="1"/>
  <c r="AF25" i="22" s="1"/>
  <c r="AF26" i="22" s="1"/>
  <c r="AF27" i="22" s="1"/>
  <c r="AH16" i="22"/>
  <c r="AH18" i="22"/>
  <c r="AG19" i="22"/>
  <c r="N40" i="21"/>
  <c r="F93" i="21"/>
  <c r="F5" i="21" s="1"/>
  <c r="AH5" i="21" s="1"/>
  <c r="C93" i="21"/>
  <c r="C5" i="21" s="1"/>
  <c r="Y93" i="21"/>
  <c r="Y5" i="21" s="1"/>
  <c r="P37" i="21"/>
  <c r="M38" i="21"/>
  <c r="P221" i="21"/>
  <c r="P13" i="21" s="1"/>
  <c r="P193" i="21"/>
  <c r="J195" i="21"/>
  <c r="J221" i="21"/>
  <c r="J13" i="21" s="1"/>
  <c r="G200" i="21"/>
  <c r="J258" i="21"/>
  <c r="C365" i="21"/>
  <c r="C22" i="21" s="1"/>
  <c r="X120" i="20"/>
  <c r="AG149" i="20"/>
  <c r="AD184" i="20"/>
  <c r="C50" i="21"/>
  <c r="C36" i="21"/>
  <c r="G35" i="21"/>
  <c r="E125" i="21"/>
  <c r="E7" i="21" s="1"/>
  <c r="I98" i="21"/>
  <c r="I34" i="21" s="1"/>
  <c r="O125" i="21"/>
  <c r="O7" i="21" s="1"/>
  <c r="K39" i="21"/>
  <c r="Q221" i="21"/>
  <c r="Q13" i="21" s="1"/>
  <c r="Q193" i="21"/>
  <c r="N221" i="21"/>
  <c r="N13" i="21" s="1"/>
  <c r="E257" i="21"/>
  <c r="E269" i="21" s="1"/>
  <c r="E301" i="21"/>
  <c r="E18" i="21" s="1"/>
  <c r="K258" i="21"/>
  <c r="K269" i="21" s="1"/>
  <c r="Q259" i="21"/>
  <c r="H261" i="21"/>
  <c r="O262" i="21"/>
  <c r="G264" i="21"/>
  <c r="N265" i="21"/>
  <c r="F267" i="21"/>
  <c r="J365" i="21"/>
  <c r="J22" i="21" s="1"/>
  <c r="J20" i="21" s="1"/>
  <c r="AL16" i="22"/>
  <c r="AI17" i="22"/>
  <c r="R221" i="21"/>
  <c r="R13" i="21" s="1"/>
  <c r="O221" i="21"/>
  <c r="O13" i="21" s="1"/>
  <c r="AJ31" i="22"/>
  <c r="AL30" i="22"/>
  <c r="AU30" i="22"/>
  <c r="AU124" i="20"/>
  <c r="AY124" i="20" s="1"/>
  <c r="AR136" i="20"/>
  <c r="L36" i="21"/>
  <c r="I93" i="21"/>
  <c r="I5" i="21" s="1"/>
  <c r="M39" i="21"/>
  <c r="O100" i="21"/>
  <c r="O36" i="21" s="1"/>
  <c r="G125" i="21"/>
  <c r="G7" i="21" s="1"/>
  <c r="P152" i="21"/>
  <c r="F44" i="21"/>
  <c r="S221" i="21"/>
  <c r="S13" i="21" s="1"/>
  <c r="I43" i="21"/>
  <c r="O103" i="21"/>
  <c r="S157" i="21"/>
  <c r="U221" i="21"/>
  <c r="U13" i="21" s="1"/>
  <c r="O195" i="21"/>
  <c r="O35" i="21" s="1"/>
  <c r="I197" i="21"/>
  <c r="M203" i="21"/>
  <c r="J204" i="21"/>
  <c r="J44" i="21" s="1"/>
  <c r="B285" i="21"/>
  <c r="B17" i="21" s="1"/>
  <c r="K285" i="21"/>
  <c r="K17" i="21" s="1"/>
  <c r="AC66" i="22"/>
  <c r="AC67" i="22" s="1"/>
  <c r="AC68" i="22" s="1"/>
  <c r="AC69" i="22" s="1"/>
  <c r="AC70" i="22" s="1"/>
  <c r="AC71" i="22" s="1"/>
  <c r="AC72" i="22" s="1"/>
  <c r="AC73" i="22" s="1"/>
  <c r="AC74" i="22" s="1"/>
  <c r="AC75" i="22" s="1"/>
  <c r="AE65" i="22"/>
  <c r="AH103" i="22"/>
  <c r="AP139" i="20"/>
  <c r="AK184" i="20"/>
  <c r="AJ185" i="20"/>
  <c r="J43" i="21"/>
  <c r="L93" i="21"/>
  <c r="L5" i="21" s="1"/>
  <c r="C42" i="21"/>
  <c r="D141" i="21"/>
  <c r="D8" i="21" s="1"/>
  <c r="AF8" i="21" s="1"/>
  <c r="T173" i="21"/>
  <c r="T10" i="21" s="1"/>
  <c r="T9" i="21" s="1"/>
  <c r="I156" i="21"/>
  <c r="I44" i="21" s="1"/>
  <c r="V221" i="21"/>
  <c r="V13" i="21" s="1"/>
  <c r="G198" i="21"/>
  <c r="G38" i="21" s="1"/>
  <c r="H221" i="21"/>
  <c r="H13" i="21" s="1"/>
  <c r="K265" i="21"/>
  <c r="C257" i="21"/>
  <c r="C269" i="21" s="1"/>
  <c r="C285" i="21"/>
  <c r="C17" i="21" s="1"/>
  <c r="C16" i="21" s="1"/>
  <c r="O259" i="21"/>
  <c r="O285" i="21"/>
  <c r="O17" i="21" s="1"/>
  <c r="AH161" i="22"/>
  <c r="AG162" i="22"/>
  <c r="O333" i="21"/>
  <c r="O349" i="21"/>
  <c r="O21" i="21" s="1"/>
  <c r="O20" i="21" s="1"/>
  <c r="K365" i="21"/>
  <c r="K22" i="21" s="1"/>
  <c r="K20" i="21" s="1"/>
  <c r="AE7" i="22"/>
  <c r="AD8" i="22"/>
  <c r="AG53" i="22"/>
  <c r="AH52" i="22"/>
  <c r="AD82" i="22"/>
  <c r="AE81" i="22"/>
  <c r="N57" i="21"/>
  <c r="E60" i="21"/>
  <c r="E44" i="21" s="1"/>
  <c r="Q93" i="21"/>
  <c r="Q5" i="21" s="1"/>
  <c r="AS5" i="21" s="1"/>
  <c r="F106" i="21"/>
  <c r="B194" i="21"/>
  <c r="B34" i="21" s="1"/>
  <c r="P204" i="21"/>
  <c r="P44" i="21" s="1"/>
  <c r="B237" i="21"/>
  <c r="B14" i="21" s="1"/>
  <c r="AD14" i="21" s="1"/>
  <c r="AQ22" i="22"/>
  <c r="AG149" i="22"/>
  <c r="AH148" i="22"/>
  <c r="AQ150" i="22"/>
  <c r="AT149" i="22"/>
  <c r="I81" i="23"/>
  <c r="I5" i="23" s="1"/>
  <c r="I4" i="23" s="1"/>
  <c r="I54" i="23"/>
  <c r="I38" i="23" s="1"/>
  <c r="AP76" i="23"/>
  <c r="N60" i="23"/>
  <c r="N81" i="23"/>
  <c r="AU161" i="20"/>
  <c r="AU172" i="20"/>
  <c r="AY172" i="20" s="1"/>
  <c r="R93" i="21"/>
  <c r="R5" i="21" s="1"/>
  <c r="F173" i="21"/>
  <c r="F10" i="21" s="1"/>
  <c r="F145" i="21"/>
  <c r="H153" i="21"/>
  <c r="F189" i="21"/>
  <c r="F11" i="21" s="1"/>
  <c r="AH11" i="21" s="1"/>
  <c r="C189" i="21"/>
  <c r="C11" i="21" s="1"/>
  <c r="AE11" i="21" s="1"/>
  <c r="Y157" i="21"/>
  <c r="J199" i="21"/>
  <c r="J39" i="21" s="1"/>
  <c r="AJ6" i="22"/>
  <c r="AU5" i="22"/>
  <c r="AE33" i="22"/>
  <c r="AD34" i="22"/>
  <c r="AR54" i="22"/>
  <c r="AA126" i="22"/>
  <c r="AB125" i="22"/>
  <c r="AR76" i="23"/>
  <c r="O60" i="23"/>
  <c r="P39" i="21"/>
  <c r="O56" i="21"/>
  <c r="O40" i="21" s="1"/>
  <c r="G173" i="21"/>
  <c r="G10" i="21" s="1"/>
  <c r="I153" i="21"/>
  <c r="G189" i="21"/>
  <c r="G11" i="21" s="1"/>
  <c r="AI11" i="21" s="1"/>
  <c r="G145" i="21"/>
  <c r="D189" i="21"/>
  <c r="D11" i="21" s="1"/>
  <c r="AF11" i="21" s="1"/>
  <c r="Z189" i="21"/>
  <c r="Z11" i="21" s="1"/>
  <c r="Z9" i="21" s="1"/>
  <c r="K301" i="21"/>
  <c r="K18" i="21" s="1"/>
  <c r="AG7" i="22"/>
  <c r="AH6" i="22"/>
  <c r="AK21" i="22"/>
  <c r="B43" i="21"/>
  <c r="J77" i="21"/>
  <c r="J4" i="21" s="1"/>
  <c r="L50" i="21"/>
  <c r="T93" i="21"/>
  <c r="T5" i="21" s="1"/>
  <c r="M97" i="21"/>
  <c r="M125" i="21"/>
  <c r="M7" i="21" s="1"/>
  <c r="N125" i="21"/>
  <c r="N7" i="21" s="1"/>
  <c r="H173" i="21"/>
  <c r="H10" i="21" s="1"/>
  <c r="T149" i="21"/>
  <c r="T157" i="21" s="1"/>
  <c r="G152" i="21"/>
  <c r="G40" i="21" s="1"/>
  <c r="H189" i="21"/>
  <c r="H11" i="21" s="1"/>
  <c r="AJ11" i="21" s="1"/>
  <c r="E189" i="21"/>
  <c r="E11" i="21" s="1"/>
  <c r="AG11" i="21" s="1"/>
  <c r="B189" i="21"/>
  <c r="B11" i="21" s="1"/>
  <c r="AD11" i="21" s="1"/>
  <c r="X157" i="21"/>
  <c r="R189" i="21"/>
  <c r="R11" i="21" s="1"/>
  <c r="L301" i="21"/>
  <c r="L18" i="21" s="1"/>
  <c r="F301" i="21"/>
  <c r="F18" i="21" s="1"/>
  <c r="AL4" i="22"/>
  <c r="AH5" i="22"/>
  <c r="AK67" i="22"/>
  <c r="Y94" i="22"/>
  <c r="AK149" i="22"/>
  <c r="AL148" i="22"/>
  <c r="AV148" i="22"/>
  <c r="L54" i="23"/>
  <c r="AN70" i="23"/>
  <c r="J41" i="21"/>
  <c r="K77" i="21"/>
  <c r="K4" i="21" s="1"/>
  <c r="Q51" i="21"/>
  <c r="Q35" i="21" s="1"/>
  <c r="U93" i="21"/>
  <c r="U5" i="21" s="1"/>
  <c r="I173" i="21"/>
  <c r="I10" i="21" s="1"/>
  <c r="I189" i="21"/>
  <c r="I11" i="21" s="1"/>
  <c r="AK11" i="21" s="1"/>
  <c r="M301" i="21"/>
  <c r="M18" i="21" s="1"/>
  <c r="AU77" i="22"/>
  <c r="AJ78" i="22"/>
  <c r="J53" i="23"/>
  <c r="J81" i="23"/>
  <c r="J5" i="23" s="1"/>
  <c r="N301" i="21"/>
  <c r="N18" i="21" s="1"/>
  <c r="V333" i="21"/>
  <c r="AK79" i="22"/>
  <c r="E43" i="21"/>
  <c r="P97" i="21"/>
  <c r="P125" i="21"/>
  <c r="P7" i="21" s="1"/>
  <c r="E141" i="21"/>
  <c r="E8" i="21" s="1"/>
  <c r="K145" i="21"/>
  <c r="K189" i="21"/>
  <c r="K11" i="21" s="1"/>
  <c r="AM11" i="21" s="1"/>
  <c r="H237" i="21"/>
  <c r="H14" i="21" s="1"/>
  <c r="AJ14" i="21" s="1"/>
  <c r="N285" i="21"/>
  <c r="N17" i="21" s="1"/>
  <c r="N16" i="21" s="1"/>
  <c r="O301" i="21"/>
  <c r="O18" i="21" s="1"/>
  <c r="K333" i="21"/>
  <c r="W333" i="21"/>
  <c r="AA43" i="22"/>
  <c r="AB42" i="22"/>
  <c r="AL77" i="22"/>
  <c r="AA89" i="22"/>
  <c r="AB88" i="22"/>
  <c r="N77" i="21"/>
  <c r="N4" i="21" s="1"/>
  <c r="B54" i="21"/>
  <c r="B38" i="21" s="1"/>
  <c r="L60" i="21"/>
  <c r="L44" i="21" s="1"/>
  <c r="F141" i="21"/>
  <c r="F8" i="21" s="1"/>
  <c r="AH8" i="21" s="1"/>
  <c r="L157" i="21"/>
  <c r="O146" i="21"/>
  <c r="O34" i="21" s="1"/>
  <c r="O173" i="21"/>
  <c r="O10" i="21" s="1"/>
  <c r="K152" i="21"/>
  <c r="T155" i="21"/>
  <c r="L173" i="21"/>
  <c r="L10" i="21" s="1"/>
  <c r="M237" i="21"/>
  <c r="M14" i="21" s="1"/>
  <c r="I262" i="21"/>
  <c r="P301" i="21"/>
  <c r="P18" i="21" s="1"/>
  <c r="X333" i="21"/>
  <c r="AQ5" i="22"/>
  <c r="AT4" i="22"/>
  <c r="Y10" i="22"/>
  <c r="AK36" i="22"/>
  <c r="AL76" i="22"/>
  <c r="AU76" i="22"/>
  <c r="Y89" i="22"/>
  <c r="AO138" i="22"/>
  <c r="AP137" i="22"/>
  <c r="M37" i="23"/>
  <c r="O77" i="21"/>
  <c r="O4" i="21" s="1"/>
  <c r="O49" i="21"/>
  <c r="Q50" i="21"/>
  <c r="Q34" i="21" s="1"/>
  <c r="C54" i="21"/>
  <c r="C38" i="21" s="1"/>
  <c r="Z146" i="21"/>
  <c r="Z157" i="21" s="1"/>
  <c r="M189" i="21"/>
  <c r="M11" i="21" s="1"/>
  <c r="M145" i="21"/>
  <c r="J193" i="21"/>
  <c r="J237" i="21"/>
  <c r="J14" i="21" s="1"/>
  <c r="L259" i="21"/>
  <c r="J262" i="21"/>
  <c r="B317" i="21"/>
  <c r="B19" i="21" s="1"/>
  <c r="M333" i="21"/>
  <c r="AV4" i="22"/>
  <c r="AR5" i="22"/>
  <c r="AO6" i="22"/>
  <c r="AP5" i="22"/>
  <c r="AA19" i="22"/>
  <c r="AB18" i="22"/>
  <c r="AH42" i="22"/>
  <c r="AN78" i="22"/>
  <c r="AN79" i="22" s="1"/>
  <c r="AN80" i="22" s="1"/>
  <c r="AN81" i="22" s="1"/>
  <c r="AN82" i="22" s="1"/>
  <c r="AN83" i="22" s="1"/>
  <c r="AN84" i="22" s="1"/>
  <c r="AN85" i="22" s="1"/>
  <c r="AN86" i="22" s="1"/>
  <c r="AN87" i="22" s="1"/>
  <c r="AP77" i="22"/>
  <c r="AD89" i="22"/>
  <c r="AE88" i="22"/>
  <c r="AJ137" i="22"/>
  <c r="AU136" i="22"/>
  <c r="N27" i="23"/>
  <c r="AP27" i="23" s="1"/>
  <c r="AP43" i="23"/>
  <c r="P77" i="21"/>
  <c r="P4" i="21" s="1"/>
  <c r="D53" i="21"/>
  <c r="D37" i="21" s="1"/>
  <c r="H59" i="21"/>
  <c r="H43" i="21" s="1"/>
  <c r="N157" i="21"/>
  <c r="O266" i="21"/>
  <c r="N333" i="21"/>
  <c r="E349" i="21"/>
  <c r="E21" i="21" s="1"/>
  <c r="E20" i="21" s="1"/>
  <c r="AP78" i="22"/>
  <c r="AO79" i="22"/>
  <c r="AK138" i="22"/>
  <c r="Y139" i="22"/>
  <c r="L189" i="21"/>
  <c r="L11" i="21" s="1"/>
  <c r="B193" i="21"/>
  <c r="L197" i="21"/>
  <c r="L37" i="21" s="1"/>
  <c r="I198" i="21"/>
  <c r="I38" i="21" s="1"/>
  <c r="P203" i="21"/>
  <c r="M204" i="21"/>
  <c r="E253" i="21"/>
  <c r="E15" i="21" s="1"/>
  <c r="B253" i="21"/>
  <c r="B15" i="21" s="1"/>
  <c r="X253" i="21"/>
  <c r="X15" i="21" s="1"/>
  <c r="E285" i="21"/>
  <c r="E17" i="21" s="1"/>
  <c r="E16" i="21" s="1"/>
  <c r="P266" i="21"/>
  <c r="N267" i="21"/>
  <c r="M268" i="21"/>
  <c r="C317" i="21"/>
  <c r="C19" i="21" s="1"/>
  <c r="G365" i="21"/>
  <c r="G22" i="21" s="1"/>
  <c r="M365" i="21"/>
  <c r="M22" i="21" s="1"/>
  <c r="Y23" i="22"/>
  <c r="AH65" i="22"/>
  <c r="AG66" i="22"/>
  <c r="AQ77" i="22"/>
  <c r="AT76" i="22"/>
  <c r="AA114" i="22"/>
  <c r="AB113" i="22"/>
  <c r="AO120" i="22"/>
  <c r="AL173" i="22"/>
  <c r="AK174" i="22"/>
  <c r="AT30" i="22"/>
  <c r="AW52" i="22"/>
  <c r="AG82" i="22"/>
  <c r="AH81" i="22"/>
  <c r="Y160" i="22"/>
  <c r="AP142" i="23"/>
  <c r="N126" i="23"/>
  <c r="AP126" i="23" s="1"/>
  <c r="I63" i="26"/>
  <c r="G63" i="26"/>
  <c r="F317" i="21"/>
  <c r="F19" i="21" s="1"/>
  <c r="P349" i="21"/>
  <c r="P21" i="21" s="1"/>
  <c r="P20" i="21" s="1"/>
  <c r="Y4" i="22"/>
  <c r="AV28" i="22"/>
  <c r="AR29" i="22"/>
  <c r="AU41" i="22"/>
  <c r="AJ65" i="22"/>
  <c r="AU64" i="22"/>
  <c r="AL64" i="22"/>
  <c r="O126" i="23"/>
  <c r="AR126" i="23" s="1"/>
  <c r="AR142" i="23"/>
  <c r="W117" i="23"/>
  <c r="AP191" i="23"/>
  <c r="N159" i="23"/>
  <c r="H52" i="21"/>
  <c r="H36" i="21" s="1"/>
  <c r="H54" i="21"/>
  <c r="H38" i="21" s="1"/>
  <c r="E55" i="21"/>
  <c r="E39" i="21" s="1"/>
  <c r="L59" i="21"/>
  <c r="S93" i="21"/>
  <c r="S5" i="21" s="1"/>
  <c r="C125" i="21"/>
  <c r="C7" i="21" s="1"/>
  <c r="G106" i="21"/>
  <c r="G42" i="21" s="1"/>
  <c r="I141" i="21"/>
  <c r="I8" i="21" s="1"/>
  <c r="C147" i="21"/>
  <c r="O151" i="21"/>
  <c r="S173" i="21"/>
  <c r="S10" i="21" s="1"/>
  <c r="S9" i="21" s="1"/>
  <c r="O205" i="21"/>
  <c r="I253" i="21"/>
  <c r="I15" i="21" s="1"/>
  <c r="O258" i="21"/>
  <c r="O269" i="21" s="1"/>
  <c r="L261" i="21"/>
  <c r="D263" i="21"/>
  <c r="G317" i="21"/>
  <c r="G19" i="21" s="1"/>
  <c r="Y12" i="22"/>
  <c r="AP41" i="22"/>
  <c r="AO42" i="22"/>
  <c r="AL42" i="22"/>
  <c r="AK43" i="22"/>
  <c r="Y100" i="22"/>
  <c r="AG173" i="22"/>
  <c r="AH172" i="22"/>
  <c r="O120" i="23"/>
  <c r="AR120" i="23" s="1"/>
  <c r="AR136" i="23"/>
  <c r="AL141" i="23"/>
  <c r="K125" i="23"/>
  <c r="AL125" i="23" s="1"/>
  <c r="K145" i="23"/>
  <c r="P126" i="23"/>
  <c r="AT126" i="23" s="1"/>
  <c r="AT142" i="23"/>
  <c r="D125" i="21"/>
  <c r="D7" i="21" s="1"/>
  <c r="F98" i="21"/>
  <c r="F99" i="21"/>
  <c r="C100" i="21"/>
  <c r="G105" i="21"/>
  <c r="G41" i="21" s="1"/>
  <c r="H106" i="21"/>
  <c r="D108" i="21"/>
  <c r="D44" i="21" s="1"/>
  <c r="D147" i="21"/>
  <c r="D35" i="21" s="1"/>
  <c r="M150" i="21"/>
  <c r="C154" i="21"/>
  <c r="G193" i="21"/>
  <c r="G205" i="21" s="1"/>
  <c r="D194" i="21"/>
  <c r="N198" i="21"/>
  <c r="K199" i="21"/>
  <c r="H200" i="21"/>
  <c r="H40" i="21" s="1"/>
  <c r="E201" i="21"/>
  <c r="B202" i="21"/>
  <c r="B42" i="21" s="1"/>
  <c r="X221" i="21"/>
  <c r="X13" i="21" s="1"/>
  <c r="J253" i="21"/>
  <c r="J15" i="21" s="1"/>
  <c r="F257" i="21"/>
  <c r="P258" i="21"/>
  <c r="M261" i="21"/>
  <c r="B257" i="21"/>
  <c r="N259" i="21"/>
  <c r="N269" i="21" s="1"/>
  <c r="J268" i="21"/>
  <c r="H317" i="21"/>
  <c r="H19" i="21" s="1"/>
  <c r="Q333" i="21"/>
  <c r="B349" i="21"/>
  <c r="B21" i="21" s="1"/>
  <c r="B322" i="21"/>
  <c r="AV16" i="22"/>
  <c r="AT29" i="22"/>
  <c r="AP40" i="22"/>
  <c r="AL41" i="22"/>
  <c r="AJ42" i="22"/>
  <c r="AE80" i="22"/>
  <c r="Z145" i="25"/>
  <c r="Z97" i="25"/>
  <c r="G98" i="21"/>
  <c r="G109" i="21" s="1"/>
  <c r="G99" i="21"/>
  <c r="D100" i="21"/>
  <c r="D109" i="21" s="1"/>
  <c r="H105" i="21"/>
  <c r="H41" i="21" s="1"/>
  <c r="H107" i="21"/>
  <c r="K141" i="21"/>
  <c r="K8" i="21" s="1"/>
  <c r="E147" i="21"/>
  <c r="E35" i="21" s="1"/>
  <c r="D154" i="21"/>
  <c r="D42" i="21" s="1"/>
  <c r="H193" i="21"/>
  <c r="H205" i="21" s="1"/>
  <c r="E194" i="21"/>
  <c r="E205" i="21" s="1"/>
  <c r="B195" i="21"/>
  <c r="O198" i="21"/>
  <c r="L199" i="21"/>
  <c r="I200" i="21"/>
  <c r="F201" i="21"/>
  <c r="C202" i="21"/>
  <c r="K253" i="21"/>
  <c r="K15" i="21" s="1"/>
  <c r="K12" i="21" s="1"/>
  <c r="Q258" i="21"/>
  <c r="N261" i="21"/>
  <c r="F263" i="21"/>
  <c r="I317" i="21"/>
  <c r="I19" i="21" s="1"/>
  <c r="I16" i="21" s="1"/>
  <c r="R333" i="21"/>
  <c r="C349" i="21"/>
  <c r="C21" i="21" s="1"/>
  <c r="C20" i="21" s="1"/>
  <c r="C322" i="21"/>
  <c r="C333" i="21" s="1"/>
  <c r="AQ125" i="22"/>
  <c r="AT124" i="22"/>
  <c r="AS124" i="22"/>
  <c r="AU172" i="22"/>
  <c r="AY172" i="22" s="1"/>
  <c r="AJ173" i="22"/>
  <c r="L41" i="23"/>
  <c r="AN57" i="23"/>
  <c r="AN89" i="23"/>
  <c r="T140" i="25"/>
  <c r="T92" i="25"/>
  <c r="Q144" i="25"/>
  <c r="Q96" i="25"/>
  <c r="AV94" i="23"/>
  <c r="Q97" i="23"/>
  <c r="K52" i="21"/>
  <c r="K36" i="21" s="1"/>
  <c r="K58" i="21"/>
  <c r="O59" i="21"/>
  <c r="O43" i="21" s="1"/>
  <c r="F125" i="21"/>
  <c r="F7" i="21" s="1"/>
  <c r="J106" i="21"/>
  <c r="L141" i="21"/>
  <c r="L8" i="21" s="1"/>
  <c r="C146" i="21"/>
  <c r="O150" i="21"/>
  <c r="O38" i="21" s="1"/>
  <c r="E154" i="21"/>
  <c r="E42" i="21" s="1"/>
  <c r="I193" i="21"/>
  <c r="F194" i="21"/>
  <c r="C195" i="21"/>
  <c r="P198" i="21"/>
  <c r="M199" i="21"/>
  <c r="J200" i="21"/>
  <c r="G201" i="21"/>
  <c r="D202" i="21"/>
  <c r="H257" i="21"/>
  <c r="H269" i="21" s="1"/>
  <c r="O261" i="21"/>
  <c r="G263" i="21"/>
  <c r="P265" i="21"/>
  <c r="P259" i="21"/>
  <c r="G261" i="21"/>
  <c r="G269" i="21" s="1"/>
  <c r="J317" i="21"/>
  <c r="J19" i="21" s="1"/>
  <c r="D349" i="21"/>
  <c r="D21" i="21" s="1"/>
  <c r="D20" i="21" s="1"/>
  <c r="D322" i="21"/>
  <c r="AV40" i="22"/>
  <c r="AW40" i="22" s="1"/>
  <c r="AN41" i="22"/>
  <c r="AN42" i="22" s="1"/>
  <c r="AN43" i="22" s="1"/>
  <c r="AN44" i="22" s="1"/>
  <c r="AN45" i="22" s="1"/>
  <c r="AN46" i="22" s="1"/>
  <c r="AN47" i="22" s="1"/>
  <c r="AN48" i="22" s="1"/>
  <c r="AN49" i="22" s="1"/>
  <c r="AN50" i="22" s="1"/>
  <c r="AN51" i="22" s="1"/>
  <c r="Z101" i="22"/>
  <c r="Z102" i="22" s="1"/>
  <c r="Z103" i="22" s="1"/>
  <c r="Z104" i="22" s="1"/>
  <c r="Z105" i="22" s="1"/>
  <c r="Z106" i="22" s="1"/>
  <c r="Z107" i="22" s="1"/>
  <c r="Z108" i="22" s="1"/>
  <c r="Z109" i="22" s="1"/>
  <c r="Z110" i="22" s="1"/>
  <c r="Z111" i="22" s="1"/>
  <c r="AD140" i="22"/>
  <c r="AE139" i="22"/>
  <c r="S87" i="25"/>
  <c r="S135" i="25"/>
  <c r="S97" i="23"/>
  <c r="S6" i="23" s="1"/>
  <c r="Y138" i="25"/>
  <c r="Y90" i="25"/>
  <c r="AP89" i="23"/>
  <c r="U140" i="25"/>
  <c r="U92" i="25"/>
  <c r="I27" i="23"/>
  <c r="AV117" i="23"/>
  <c r="AT41" i="22"/>
  <c r="AQ42" i="22"/>
  <c r="AB101" i="22"/>
  <c r="AA102" i="22"/>
  <c r="AM173" i="22"/>
  <c r="AT172" i="22"/>
  <c r="Z138" i="25"/>
  <c r="Z90" i="25"/>
  <c r="N41" i="23"/>
  <c r="AP57" i="23"/>
  <c r="H125" i="21"/>
  <c r="H7" i="21" s="1"/>
  <c r="J98" i="21"/>
  <c r="J99" i="21"/>
  <c r="G100" i="21"/>
  <c r="D101" i="21"/>
  <c r="K105" i="21"/>
  <c r="N141" i="21"/>
  <c r="N8" i="21" s="1"/>
  <c r="P145" i="21"/>
  <c r="B173" i="21"/>
  <c r="B10" i="21" s="1"/>
  <c r="B145" i="21"/>
  <c r="B157" i="21" s="1"/>
  <c r="E146" i="21"/>
  <c r="E34" i="21" s="1"/>
  <c r="Q150" i="21"/>
  <c r="D153" i="21"/>
  <c r="D41" i="21" s="1"/>
  <c r="C237" i="21"/>
  <c r="C14" i="21" s="1"/>
  <c r="AE14" i="21" s="1"/>
  <c r="I261" i="21"/>
  <c r="I269" i="21" s="1"/>
  <c r="L317" i="21"/>
  <c r="L19" i="21" s="1"/>
  <c r="Y6" i="22"/>
  <c r="AR41" i="22"/>
  <c r="AP92" i="22"/>
  <c r="AO93" i="22"/>
  <c r="T144" i="25"/>
  <c r="T96" i="25"/>
  <c r="N7" i="23"/>
  <c r="AP7" i="23" s="1"/>
  <c r="AP113" i="23"/>
  <c r="AR106" i="23"/>
  <c r="O42" i="23"/>
  <c r="N52" i="21"/>
  <c r="N36" i="21" s="1"/>
  <c r="N58" i="21"/>
  <c r="N42" i="21" s="1"/>
  <c r="I125" i="21"/>
  <c r="I7" i="21" s="1"/>
  <c r="I97" i="21"/>
  <c r="C173" i="21"/>
  <c r="C10" i="21" s="1"/>
  <c r="C145" i="21"/>
  <c r="F146" i="21"/>
  <c r="R150" i="21"/>
  <c r="D237" i="21"/>
  <c r="D14" i="21" s="1"/>
  <c r="AF14" i="21" s="1"/>
  <c r="G301" i="21"/>
  <c r="G18" i="21" s="1"/>
  <c r="G16" i="21" s="1"/>
  <c r="J261" i="21"/>
  <c r="B263" i="21"/>
  <c r="M317" i="21"/>
  <c r="M19" i="21" s="1"/>
  <c r="Q365" i="21"/>
  <c r="Q22" i="21" s="1"/>
  <c r="AA29" i="22"/>
  <c r="AB28" i="22"/>
  <c r="Y46" i="22"/>
  <c r="AP91" i="22"/>
  <c r="AN72" i="23"/>
  <c r="L56" i="23"/>
  <c r="R89" i="25"/>
  <c r="R137" i="25"/>
  <c r="X140" i="25"/>
  <c r="X92" i="25"/>
  <c r="V142" i="25"/>
  <c r="V94" i="25"/>
  <c r="G77" i="21"/>
  <c r="G4" i="21" s="1"/>
  <c r="O58" i="21"/>
  <c r="O42" i="21" s="1"/>
  <c r="J97" i="21"/>
  <c r="J33" i="21" s="1"/>
  <c r="L98" i="21"/>
  <c r="J104" i="21"/>
  <c r="J40" i="21" s="1"/>
  <c r="M105" i="21"/>
  <c r="M41" i="21" s="1"/>
  <c r="G146" i="21"/>
  <c r="G34" i="21" s="1"/>
  <c r="P149" i="21"/>
  <c r="F153" i="21"/>
  <c r="F41" i="21" s="1"/>
  <c r="E237" i="21"/>
  <c r="E14" i="21" s="1"/>
  <c r="AG14" i="21" s="1"/>
  <c r="H301" i="21"/>
  <c r="H18" i="21" s="1"/>
  <c r="N317" i="21"/>
  <c r="N19" i="21" s="1"/>
  <c r="AA8" i="22"/>
  <c r="AB7" i="22"/>
  <c r="AK10" i="22"/>
  <c r="Y66" i="22"/>
  <c r="AO70" i="22"/>
  <c r="AP69" i="22"/>
  <c r="AR92" i="22"/>
  <c r="H77" i="21"/>
  <c r="H4" i="21" s="1"/>
  <c r="M51" i="21"/>
  <c r="M35" i="21" s="1"/>
  <c r="M98" i="21"/>
  <c r="M34" i="21" s="1"/>
  <c r="K104" i="21"/>
  <c r="K40" i="21" s="1"/>
  <c r="N105" i="21"/>
  <c r="N109" i="21" s="1"/>
  <c r="E173" i="21"/>
  <c r="E10" i="21" s="1"/>
  <c r="E145" i="21"/>
  <c r="H146" i="21"/>
  <c r="H34" i="21" s="1"/>
  <c r="G153" i="21"/>
  <c r="F237" i="21"/>
  <c r="F14" i="21" s="1"/>
  <c r="AH14" i="21" s="1"/>
  <c r="K200" i="21"/>
  <c r="I301" i="21"/>
  <c r="I18" i="21" s="1"/>
  <c r="J267" i="21"/>
  <c r="B301" i="21"/>
  <c r="B18" i="21" s="1"/>
  <c r="O317" i="21"/>
  <c r="O19" i="21" s="1"/>
  <c r="AB6" i="22"/>
  <c r="Y40" i="22"/>
  <c r="AE66" i="22"/>
  <c r="AD67" i="22"/>
  <c r="AP67" i="22"/>
  <c r="AG137" i="22"/>
  <c r="AV136" i="22"/>
  <c r="AB137" i="22"/>
  <c r="AA138" i="22"/>
  <c r="E53" i="23"/>
  <c r="E81" i="23"/>
  <c r="E5" i="23" s="1"/>
  <c r="E4" i="23" s="1"/>
  <c r="E3" i="23" s="1"/>
  <c r="B97" i="23"/>
  <c r="B6" i="23" s="1"/>
  <c r="B53" i="23"/>
  <c r="X135" i="25"/>
  <c r="X87" i="25"/>
  <c r="X97" i="23"/>
  <c r="X6" i="23" s="1"/>
  <c r="T137" i="25"/>
  <c r="T89" i="25"/>
  <c r="T97" i="23"/>
  <c r="T6" i="23" s="1"/>
  <c r="AD97" i="23"/>
  <c r="AD6" i="23" s="1"/>
  <c r="Y28" i="22"/>
  <c r="AV52" i="22"/>
  <c r="AA66" i="22"/>
  <c r="AB65" i="22"/>
  <c r="AL172" i="22"/>
  <c r="F57" i="23"/>
  <c r="F41" i="23" s="1"/>
  <c r="F25" i="23" s="1"/>
  <c r="F81" i="23"/>
  <c r="F5" i="23" s="1"/>
  <c r="F4" i="23" s="1"/>
  <c r="T117" i="23"/>
  <c r="L151" i="23"/>
  <c r="AN167" i="23"/>
  <c r="J4" i="24"/>
  <c r="Q323" i="21"/>
  <c r="M332" i="21"/>
  <c r="O365" i="21"/>
  <c r="O22" i="21" s="1"/>
  <c r="AK89" i="22"/>
  <c r="AV112" i="22"/>
  <c r="AL112" i="22"/>
  <c r="AK113" i="22"/>
  <c r="O27" i="25"/>
  <c r="P365" i="21"/>
  <c r="P22" i="21" s="1"/>
  <c r="AH17" i="22"/>
  <c r="AP65" i="22"/>
  <c r="AD125" i="22"/>
  <c r="AE124" i="22"/>
  <c r="Y130" i="22"/>
  <c r="AB160" i="22"/>
  <c r="AA161" i="22"/>
  <c r="Y183" i="22"/>
  <c r="G349" i="21"/>
  <c r="G21" i="21" s="1"/>
  <c r="G20" i="21" s="1"/>
  <c r="J325" i="21"/>
  <c r="AE101" i="22"/>
  <c r="AD102" i="22"/>
  <c r="AP113" i="22"/>
  <c r="AN114" i="22"/>
  <c r="AN115" i="22" s="1"/>
  <c r="AN116" i="22" s="1"/>
  <c r="AN117" i="22" s="1"/>
  <c r="AN127" i="23"/>
  <c r="L31" i="23"/>
  <c r="AN31" i="23" s="1"/>
  <c r="K127" i="23"/>
  <c r="AL127" i="23" s="1"/>
  <c r="AL159" i="23"/>
  <c r="K325" i="21"/>
  <c r="AP16" i="22"/>
  <c r="AK101" i="22"/>
  <c r="AL100" i="22"/>
  <c r="Y150" i="22"/>
  <c r="I178" i="24"/>
  <c r="J178" i="24" s="1"/>
  <c r="G178" i="24"/>
  <c r="E321" i="21"/>
  <c r="Y29" i="22"/>
  <c r="AA54" i="22"/>
  <c r="AB53" i="22"/>
  <c r="E327" i="21"/>
  <c r="AE5" i="22"/>
  <c r="AG29" i="22"/>
  <c r="AH28" i="22"/>
  <c r="AP184" i="22"/>
  <c r="AN185" i="22"/>
  <c r="AN186" i="22" s="1"/>
  <c r="AU186" i="22" s="1"/>
  <c r="AU184" i="22"/>
  <c r="AY184" i="22" s="1"/>
  <c r="H145" i="21"/>
  <c r="D285" i="21"/>
  <c r="D17" i="21" s="1"/>
  <c r="D16" i="21" s="1"/>
  <c r="G321" i="21"/>
  <c r="G333" i="21" s="1"/>
  <c r="F327" i="21"/>
  <c r="AE4" i="22"/>
  <c r="AS16" i="22"/>
  <c r="AM17" i="22"/>
  <c r="Y20" i="22"/>
  <c r="AE29" i="22"/>
  <c r="Y49" i="22"/>
  <c r="AE56" i="22"/>
  <c r="AE57" i="22"/>
  <c r="AO101" i="22"/>
  <c r="AP100" i="22"/>
  <c r="AP116" i="22"/>
  <c r="Y143" i="22"/>
  <c r="N40" i="23"/>
  <c r="AP56" i="23"/>
  <c r="H321" i="21"/>
  <c r="H333" i="21" s="1"/>
  <c r="Y15" i="22"/>
  <c r="AE54" i="22"/>
  <c r="Y53" i="22"/>
  <c r="AE55" i="22"/>
  <c r="Y68" i="22"/>
  <c r="AP115" i="22"/>
  <c r="W97" i="25"/>
  <c r="W145" i="25"/>
  <c r="AN96" i="23"/>
  <c r="L64" i="23"/>
  <c r="AV150" i="23"/>
  <c r="AU29" i="22"/>
  <c r="Y47" i="22"/>
  <c r="AE52" i="22"/>
  <c r="AA77" i="22"/>
  <c r="AB76" i="22"/>
  <c r="AR43" i="23"/>
  <c r="B321" i="21"/>
  <c r="B333" i="21" s="1"/>
  <c r="B365" i="21"/>
  <c r="B22" i="21" s="1"/>
  <c r="AJ18" i="22"/>
  <c r="AK54" i="22"/>
  <c r="AT100" i="22"/>
  <c r="Y43" i="22"/>
  <c r="Y52" i="22"/>
  <c r="AH79" i="22"/>
  <c r="AG105" i="22"/>
  <c r="AH104" i="22"/>
  <c r="AI137" i="22"/>
  <c r="AI138" i="22" s="1"/>
  <c r="AI139" i="22" s="1"/>
  <c r="AI140" i="22" s="1"/>
  <c r="AI141" i="22" s="1"/>
  <c r="AI142" i="22" s="1"/>
  <c r="AI143" i="22" s="1"/>
  <c r="AI144" i="22" s="1"/>
  <c r="AI145" i="22" s="1"/>
  <c r="AI146" i="22" s="1"/>
  <c r="AI147" i="22" s="1"/>
  <c r="AT136" i="22"/>
  <c r="AP172" i="22"/>
  <c r="AV172" i="22"/>
  <c r="AZ172" i="22" s="1"/>
  <c r="AO173" i="22"/>
  <c r="Y180" i="22"/>
  <c r="B47" i="23"/>
  <c r="B31" i="23" s="1"/>
  <c r="K53" i="23"/>
  <c r="K81" i="23"/>
  <c r="Q91" i="25"/>
  <c r="Q139" i="25"/>
  <c r="AV89" i="23"/>
  <c r="Y17" i="22"/>
  <c r="Y67" i="22"/>
  <c r="AH88" i="22"/>
  <c r="AT136" i="23"/>
  <c r="P120" i="23"/>
  <c r="AT120" i="23" s="1"/>
  <c r="AN141" i="23"/>
  <c r="L125" i="23"/>
  <c r="AN125" i="23" s="1"/>
  <c r="AN61" i="23"/>
  <c r="L45" i="23"/>
  <c r="H15" i="24"/>
  <c r="J15" i="24" s="1"/>
  <c r="D15" i="24"/>
  <c r="I119" i="24"/>
  <c r="J119" i="24" s="1"/>
  <c r="G119" i="24"/>
  <c r="AG89" i="22"/>
  <c r="AN101" i="22"/>
  <c r="AN102" i="22" s="1"/>
  <c r="AN103" i="22" s="1"/>
  <c r="AN104" i="22" s="1"/>
  <c r="AN105" i="22" s="1"/>
  <c r="AN106" i="22" s="1"/>
  <c r="AN107" i="22" s="1"/>
  <c r="AN108" i="22" s="1"/>
  <c r="AN109" i="22" s="1"/>
  <c r="AN110" i="22" s="1"/>
  <c r="AN111" i="22" s="1"/>
  <c r="AU100" i="22"/>
  <c r="AU102" i="22"/>
  <c r="AJ103" i="22"/>
  <c r="Y120" i="22"/>
  <c r="AL80" i="23"/>
  <c r="K64" i="23"/>
  <c r="B22" i="23"/>
  <c r="Y54" i="22"/>
  <c r="Y69" i="22"/>
  <c r="AH102" i="22"/>
  <c r="AH113" i="22"/>
  <c r="AG114" i="22"/>
  <c r="Y159" i="22"/>
  <c r="G25" i="23"/>
  <c r="Y41" i="22"/>
  <c r="AE53" i="22"/>
  <c r="AP64" i="22"/>
  <c r="AP90" i="22"/>
  <c r="AT101" i="22"/>
  <c r="AQ102" i="22"/>
  <c r="AH101" i="22"/>
  <c r="AH112" i="22"/>
  <c r="AD114" i="22"/>
  <c r="AE113" i="22"/>
  <c r="Y128" i="22"/>
  <c r="Y153" i="22"/>
  <c r="AU162" i="22"/>
  <c r="AJ163" i="22"/>
  <c r="AU28" i="22"/>
  <c r="Y35" i="22"/>
  <c r="AU52" i="22"/>
  <c r="AJ53" i="22"/>
  <c r="AQ65" i="22"/>
  <c r="AT64" i="22"/>
  <c r="AW64" i="22" s="1"/>
  <c r="AP89" i="22"/>
  <c r="AQ90" i="22"/>
  <c r="AS90" i="22" s="1"/>
  <c r="AT89" i="22"/>
  <c r="AR101" i="22"/>
  <c r="AV100" i="22"/>
  <c r="AG128" i="22"/>
  <c r="AH127" i="22"/>
  <c r="Y131" i="22"/>
  <c r="O62" i="23"/>
  <c r="AR78" i="23"/>
  <c r="Y45" i="22"/>
  <c r="Y55" i="22"/>
  <c r="AR65" i="22"/>
  <c r="AV64" i="22"/>
  <c r="AH80" i="22"/>
  <c r="AS100" i="22"/>
  <c r="AU112" i="22"/>
  <c r="AJ113" i="22"/>
  <c r="AK127" i="22"/>
  <c r="Y149" i="22"/>
  <c r="Q38" i="23"/>
  <c r="AV54" i="23"/>
  <c r="H81" i="23"/>
  <c r="H5" i="23" s="1"/>
  <c r="H4" i="23" s="1"/>
  <c r="H3" i="23" s="1"/>
  <c r="H55" i="23"/>
  <c r="H39" i="23" s="1"/>
  <c r="H23" i="23" s="1"/>
  <c r="D7" i="24"/>
  <c r="AJ125" i="22"/>
  <c r="AU124" i="22"/>
  <c r="N37" i="23"/>
  <c r="AP53" i="23"/>
  <c r="G128" i="23"/>
  <c r="G50" i="24"/>
  <c r="I50" i="24"/>
  <c r="J50" i="24" s="1"/>
  <c r="AC7" i="25"/>
  <c r="Y99" i="22"/>
  <c r="AQ139" i="22"/>
  <c r="Y179" i="22"/>
  <c r="AQ185" i="22"/>
  <c r="AT184" i="22"/>
  <c r="AP185" i="22"/>
  <c r="AO186" i="22"/>
  <c r="AP186" i="22" s="1"/>
  <c r="I29" i="23"/>
  <c r="O81" i="23"/>
  <c r="AR69" i="23"/>
  <c r="O53" i="23"/>
  <c r="P32" i="23"/>
  <c r="AT32" i="23" s="1"/>
  <c r="AT48" i="23"/>
  <c r="P97" i="23"/>
  <c r="Y89" i="25"/>
  <c r="Y137" i="25"/>
  <c r="G149" i="23"/>
  <c r="G177" i="23"/>
  <c r="G11" i="23" s="1"/>
  <c r="AC117" i="23"/>
  <c r="G41" i="24"/>
  <c r="I41" i="24"/>
  <c r="J41" i="24" s="1"/>
  <c r="G98" i="24"/>
  <c r="D25" i="25"/>
  <c r="AP52" i="22"/>
  <c r="AL124" i="22"/>
  <c r="AS138" i="22"/>
  <c r="AR139" i="22"/>
  <c r="AU148" i="22"/>
  <c r="AY148" i="22" s="1"/>
  <c r="AJ149" i="22"/>
  <c r="AA152" i="22"/>
  <c r="AB151" i="22"/>
  <c r="Y152" i="22"/>
  <c r="Y166" i="22"/>
  <c r="AS184" i="22"/>
  <c r="AR185" i="22"/>
  <c r="G118" i="23"/>
  <c r="AD117" i="23"/>
  <c r="P155" i="23"/>
  <c r="AT171" i="23"/>
  <c r="U41" i="24"/>
  <c r="D46" i="24"/>
  <c r="AT88" i="22"/>
  <c r="AP112" i="22"/>
  <c r="Y117" i="22"/>
  <c r="AT137" i="22"/>
  <c r="O45" i="23"/>
  <c r="C26" i="23"/>
  <c r="AT80" i="23"/>
  <c r="AS52" i="22"/>
  <c r="Y87" i="22"/>
  <c r="AV88" i="22"/>
  <c r="Y110" i="22"/>
  <c r="AT112" i="22"/>
  <c r="AQ113" i="22"/>
  <c r="AP124" i="22"/>
  <c r="AO125" i="22"/>
  <c r="AD176" i="22"/>
  <c r="AE175" i="22"/>
  <c r="C55" i="23"/>
  <c r="C39" i="23" s="1"/>
  <c r="C23" i="23" s="1"/>
  <c r="G21" i="23"/>
  <c r="B27" i="23"/>
  <c r="B32" i="23"/>
  <c r="Y75" i="22"/>
  <c r="AR114" i="22"/>
  <c r="AS113" i="22"/>
  <c r="AP148" i="22"/>
  <c r="C27" i="23"/>
  <c r="G81" i="23"/>
  <c r="G5" i="23" s="1"/>
  <c r="G4" i="23" s="1"/>
  <c r="G3" i="23" s="1"/>
  <c r="J39" i="24"/>
  <c r="R57" i="24"/>
  <c r="AS89" i="22"/>
  <c r="AP114" i="22"/>
  <c r="AR127" i="22"/>
  <c r="AN162" i="22"/>
  <c r="AN163" i="22" s="1"/>
  <c r="AN164" i="22" s="1"/>
  <c r="AN165" i="22" s="1"/>
  <c r="AN166" i="22" s="1"/>
  <c r="AN167" i="22" s="1"/>
  <c r="AN168" i="22" s="1"/>
  <c r="AN169" i="22" s="1"/>
  <c r="AN170" i="22" s="1"/>
  <c r="AN171" i="22" s="1"/>
  <c r="AU161" i="22"/>
  <c r="AE162" i="22"/>
  <c r="AD163" i="22"/>
  <c r="Y181" i="22"/>
  <c r="Y184" i="22"/>
  <c r="D39" i="24"/>
  <c r="H39" i="24"/>
  <c r="AV113" i="22"/>
  <c r="AS148" i="22"/>
  <c r="AR149" i="22"/>
  <c r="AP161" i="22"/>
  <c r="AO162" i="22"/>
  <c r="AE161" i="22"/>
  <c r="AE172" i="22"/>
  <c r="G28" i="23"/>
  <c r="C22" i="23"/>
  <c r="V145" i="25"/>
  <c r="V97" i="25"/>
  <c r="AT148" i="22"/>
  <c r="F28" i="23"/>
  <c r="L81" i="23"/>
  <c r="L53" i="23"/>
  <c r="O113" i="23"/>
  <c r="AR101" i="23"/>
  <c r="Y145" i="23"/>
  <c r="Y9" i="23" s="1"/>
  <c r="AN135" i="23"/>
  <c r="J120" i="24"/>
  <c r="Y157" i="22"/>
  <c r="Y176" i="22"/>
  <c r="I32" i="23"/>
  <c r="M24" i="23"/>
  <c r="C117" i="23"/>
  <c r="C129" i="23" s="1"/>
  <c r="C145" i="23"/>
  <c r="C9" i="23" s="1"/>
  <c r="C8" i="23" s="1"/>
  <c r="C36" i="6" s="1"/>
  <c r="AD145" i="23"/>
  <c r="AD9" i="23" s="1"/>
  <c r="Q119" i="23"/>
  <c r="AV119" i="23" s="1"/>
  <c r="Q145" i="23"/>
  <c r="AV135" i="23"/>
  <c r="J7" i="24"/>
  <c r="V117" i="23"/>
  <c r="I150" i="23"/>
  <c r="I177" i="23"/>
  <c r="I11" i="23" s="1"/>
  <c r="AV193" i="23"/>
  <c r="Q12" i="23"/>
  <c r="AV12" i="23" s="1"/>
  <c r="Y106" i="22"/>
  <c r="Y132" i="22"/>
  <c r="AH160" i="22"/>
  <c r="AE184" i="22"/>
  <c r="AN44" i="23"/>
  <c r="L28" i="23"/>
  <c r="AN28" i="23" s="1"/>
  <c r="M28" i="23"/>
  <c r="G61" i="23"/>
  <c r="G45" i="23" s="1"/>
  <c r="G29" i="23" s="1"/>
  <c r="I56" i="24"/>
  <c r="J56" i="24" s="1"/>
  <c r="G56" i="24"/>
  <c r="Y178" i="22"/>
  <c r="G22" i="23"/>
  <c r="AT72" i="23"/>
  <c r="P56" i="23"/>
  <c r="B58" i="23"/>
  <c r="B42" i="23" s="1"/>
  <c r="B26" i="23" s="1"/>
  <c r="H61" i="23"/>
  <c r="H45" i="23" s="1"/>
  <c r="W143" i="25"/>
  <c r="W95" i="25"/>
  <c r="B177" i="23"/>
  <c r="B11" i="23" s="1"/>
  <c r="B149" i="23"/>
  <c r="B161" i="23" s="1"/>
  <c r="X117" i="23"/>
  <c r="AJ89" i="22"/>
  <c r="AU88" i="22"/>
  <c r="AH125" i="22"/>
  <c r="AB148" i="22"/>
  <c r="Y164" i="22"/>
  <c r="AS173" i="22"/>
  <c r="C37" i="23"/>
  <c r="AL46" i="23"/>
  <c r="AN69" i="23"/>
  <c r="H59" i="23"/>
  <c r="H43" i="23" s="1"/>
  <c r="H27" i="23" s="1"/>
  <c r="T90" i="25"/>
  <c r="T138" i="25"/>
  <c r="Z141" i="25"/>
  <c r="Z93" i="25"/>
  <c r="L30" i="23"/>
  <c r="AN30" i="23" s="1"/>
  <c r="R145" i="25"/>
  <c r="R97" i="25"/>
  <c r="I158" i="23"/>
  <c r="I161" i="23" s="1"/>
  <c r="V4" i="24"/>
  <c r="W4" i="24" s="1"/>
  <c r="U5" i="24"/>
  <c r="H49" i="24"/>
  <c r="J49" i="24" s="1"/>
  <c r="D49" i="24"/>
  <c r="H57" i="24"/>
  <c r="D57" i="24"/>
  <c r="S97" i="25"/>
  <c r="S145" i="25"/>
  <c r="Q7" i="24"/>
  <c r="Q8" i="24" s="1"/>
  <c r="Q9" i="24" s="1"/>
  <c r="Q10" i="24" s="1"/>
  <c r="Q11" i="24" s="1"/>
  <c r="Q12" i="24" s="1"/>
  <c r="Q13" i="24" s="1"/>
  <c r="Q14" i="24" s="1"/>
  <c r="Q15" i="24" s="1"/>
  <c r="Y95" i="22"/>
  <c r="AV124" i="22"/>
  <c r="AE148" i="22"/>
  <c r="AD149" i="22"/>
  <c r="AR174" i="22"/>
  <c r="I41" i="23"/>
  <c r="I25" i="23" s="1"/>
  <c r="O32" i="23"/>
  <c r="AR32" i="23" s="1"/>
  <c r="AR48" i="23"/>
  <c r="Y88" i="25"/>
  <c r="Y136" i="25"/>
  <c r="T97" i="25"/>
  <c r="T145" i="25"/>
  <c r="P45" i="23"/>
  <c r="AT109" i="23"/>
  <c r="O118" i="23"/>
  <c r="AR150" i="23"/>
  <c r="O159" i="23"/>
  <c r="AR175" i="23"/>
  <c r="D21" i="24"/>
  <c r="H21" i="24"/>
  <c r="J21" i="24" s="1"/>
  <c r="I126" i="24"/>
  <c r="J126" i="24" s="1"/>
  <c r="G126" i="24"/>
  <c r="U126" i="24"/>
  <c r="AQ176" i="22"/>
  <c r="AD185" i="22"/>
  <c r="AN46" i="23"/>
  <c r="Q37" i="23"/>
  <c r="J41" i="23"/>
  <c r="S140" i="25"/>
  <c r="S92" i="25"/>
  <c r="Q142" i="25"/>
  <c r="Q94" i="25"/>
  <c r="U97" i="25"/>
  <c r="U145" i="25"/>
  <c r="I126" i="23"/>
  <c r="I30" i="23" s="1"/>
  <c r="L158" i="23"/>
  <c r="AN158" i="23" s="1"/>
  <c r="AN174" i="23"/>
  <c r="Y185" i="22"/>
  <c r="D29" i="23"/>
  <c r="K42" i="23"/>
  <c r="K26" i="23" s="1"/>
  <c r="U135" i="25"/>
  <c r="U87" i="25"/>
  <c r="U97" i="23"/>
  <c r="U6" i="23" s="1"/>
  <c r="O97" i="23"/>
  <c r="O57" i="23"/>
  <c r="K158" i="23"/>
  <c r="AL174" i="23"/>
  <c r="J128" i="24"/>
  <c r="J46" i="24"/>
  <c r="AF7" i="25"/>
  <c r="J22" i="23"/>
  <c r="B81" i="23"/>
  <c r="B5" i="23" s="1"/>
  <c r="AT58" i="23"/>
  <c r="P42" i="23"/>
  <c r="J61" i="23"/>
  <c r="J45" i="23" s="1"/>
  <c r="J29" i="23" s="1"/>
  <c r="D97" i="23"/>
  <c r="D6" i="23" s="1"/>
  <c r="D53" i="23"/>
  <c r="Z135" i="25"/>
  <c r="Z87" i="25"/>
  <c r="Z97" i="23"/>
  <c r="Z6" i="23" s="1"/>
  <c r="M97" i="23"/>
  <c r="M6" i="23" s="1"/>
  <c r="AN6" i="23" s="1"/>
  <c r="M54" i="23"/>
  <c r="M38" i="23" s="1"/>
  <c r="M22" i="23" s="1"/>
  <c r="Z145" i="23"/>
  <c r="Z9" i="23" s="1"/>
  <c r="I5" i="24"/>
  <c r="J5" i="24" s="1"/>
  <c r="G5" i="24"/>
  <c r="D24" i="24"/>
  <c r="H24" i="24"/>
  <c r="U29" i="24"/>
  <c r="V28" i="24"/>
  <c r="G75" i="24"/>
  <c r="I75" i="24"/>
  <c r="J75" i="24" s="1"/>
  <c r="J104" i="24"/>
  <c r="G175" i="24"/>
  <c r="I175" i="24"/>
  <c r="J175" i="24" s="1"/>
  <c r="N47" i="23"/>
  <c r="AP63" i="23"/>
  <c r="C81" i="23"/>
  <c r="C5" i="23" s="1"/>
  <c r="N97" i="23"/>
  <c r="AA145" i="23"/>
  <c r="AA9" i="23" s="1"/>
  <c r="AT149" i="23"/>
  <c r="P117" i="23"/>
  <c r="AL173" i="23"/>
  <c r="K157" i="23"/>
  <c r="AL157" i="23" s="1"/>
  <c r="AN39" i="23"/>
  <c r="L42" i="23"/>
  <c r="D81" i="23"/>
  <c r="D5" i="23" s="1"/>
  <c r="AR72" i="23"/>
  <c r="O56" i="23"/>
  <c r="AT73" i="23"/>
  <c r="P57" i="23"/>
  <c r="M62" i="23"/>
  <c r="M46" i="23" s="1"/>
  <c r="M30" i="23" s="1"/>
  <c r="F118" i="23"/>
  <c r="AB145" i="23"/>
  <c r="AB9" i="23" s="1"/>
  <c r="AR135" i="23"/>
  <c r="O119" i="23"/>
  <c r="AR119" i="23" s="1"/>
  <c r="AN173" i="23"/>
  <c r="L157" i="23"/>
  <c r="AN157" i="23" s="1"/>
  <c r="I148" i="24"/>
  <c r="J148" i="24" s="1"/>
  <c r="G148" i="24"/>
  <c r="U148" i="24"/>
  <c r="B145" i="23"/>
  <c r="B9" i="23" s="1"/>
  <c r="AC145" i="23"/>
  <c r="AC9" i="23" s="1"/>
  <c r="P119" i="23"/>
  <c r="AT119" i="23" s="1"/>
  <c r="AT135" i="23"/>
  <c r="P145" i="23"/>
  <c r="D32" i="24"/>
  <c r="H32" i="24"/>
  <c r="J32" i="24" s="1"/>
  <c r="I161" i="24"/>
  <c r="J161" i="24" s="1"/>
  <c r="G161" i="24"/>
  <c r="H80" i="24"/>
  <c r="D80" i="24"/>
  <c r="G30" i="25"/>
  <c r="AU185" i="22"/>
  <c r="K43" i="23"/>
  <c r="AL59" i="23"/>
  <c r="AT74" i="23"/>
  <c r="P44" i="23"/>
  <c r="I97" i="23"/>
  <c r="I6" i="23" s="1"/>
  <c r="I53" i="23"/>
  <c r="AE97" i="23"/>
  <c r="AE6" i="23" s="1"/>
  <c r="R88" i="25"/>
  <c r="R136" i="25"/>
  <c r="R97" i="23"/>
  <c r="R6" i="23" s="1"/>
  <c r="P113" i="23"/>
  <c r="AT101" i="23"/>
  <c r="AN106" i="23"/>
  <c r="Y117" i="23"/>
  <c r="R162" i="24"/>
  <c r="S161" i="24"/>
  <c r="Y154" i="22"/>
  <c r="AB173" i="22"/>
  <c r="AA174" i="22"/>
  <c r="AL186" i="22"/>
  <c r="K47" i="23"/>
  <c r="Y146" i="25"/>
  <c r="Y98" i="25"/>
  <c r="AV113" i="23"/>
  <c r="Q7" i="23"/>
  <c r="AV7" i="23" s="1"/>
  <c r="AP172" i="23"/>
  <c r="N156" i="23"/>
  <c r="I80" i="24"/>
  <c r="G80" i="24"/>
  <c r="G88" i="24"/>
  <c r="U88" i="24"/>
  <c r="I88" i="24"/>
  <c r="J88" i="24" s="1"/>
  <c r="AB172" i="22"/>
  <c r="AL185" i="22"/>
  <c r="E22" i="23"/>
  <c r="AT47" i="23"/>
  <c r="P31" i="23"/>
  <c r="AT31" i="23" s="1"/>
  <c r="M43" i="23"/>
  <c r="M27" i="23" s="1"/>
  <c r="Z146" i="25"/>
  <c r="Z98" i="25"/>
  <c r="F117" i="23"/>
  <c r="G10" i="24"/>
  <c r="I10" i="24"/>
  <c r="J10" i="24" s="1"/>
  <c r="R19" i="24"/>
  <c r="H126" i="24"/>
  <c r="Q126" i="24"/>
  <c r="D126" i="24"/>
  <c r="J26" i="23"/>
  <c r="C97" i="23"/>
  <c r="C6" i="23" s="1"/>
  <c r="Y135" i="25"/>
  <c r="Y87" i="25"/>
  <c r="L97" i="23"/>
  <c r="AN86" i="23"/>
  <c r="S89" i="25"/>
  <c r="S137" i="25"/>
  <c r="W140" i="25"/>
  <c r="W92" i="25"/>
  <c r="I193" i="23"/>
  <c r="I12" i="23" s="1"/>
  <c r="J193" i="23"/>
  <c r="J12" i="23" s="1"/>
  <c r="H19" i="24"/>
  <c r="J19" i="24" s="1"/>
  <c r="D19" i="24"/>
  <c r="I62" i="24"/>
  <c r="J62" i="24" s="1"/>
  <c r="G62" i="24"/>
  <c r="H96" i="24"/>
  <c r="D96" i="24"/>
  <c r="H100" i="24"/>
  <c r="Q100" i="24"/>
  <c r="Q101" i="24" s="1"/>
  <c r="Q102" i="24" s="1"/>
  <c r="Q103" i="24" s="1"/>
  <c r="Q104" i="24" s="1"/>
  <c r="Q105" i="24" s="1"/>
  <c r="Q106" i="24" s="1"/>
  <c r="Q107" i="24" s="1"/>
  <c r="Q108" i="24" s="1"/>
  <c r="Q109" i="24" s="1"/>
  <c r="Q110" i="24" s="1"/>
  <c r="Q111" i="24" s="1"/>
  <c r="D100" i="24"/>
  <c r="I169" i="24"/>
  <c r="J169" i="24" s="1"/>
  <c r="G169" i="24"/>
  <c r="O24" i="25"/>
  <c r="B34" i="25"/>
  <c r="J96" i="24"/>
  <c r="J146" i="24"/>
  <c r="I23" i="23"/>
  <c r="E97" i="23"/>
  <c r="E6" i="23" s="1"/>
  <c r="AF6" i="25" s="1"/>
  <c r="AA97" i="23"/>
  <c r="AA6" i="23" s="1"/>
  <c r="U89" i="25"/>
  <c r="U137" i="25"/>
  <c r="W142" i="25"/>
  <c r="W94" i="25"/>
  <c r="Z117" i="23"/>
  <c r="D177" i="23"/>
  <c r="D11" i="23" s="1"/>
  <c r="H47" i="24"/>
  <c r="D47" i="24"/>
  <c r="H63" i="24"/>
  <c r="J63" i="24" s="1"/>
  <c r="D63" i="24"/>
  <c r="G96" i="24"/>
  <c r="G116" i="24"/>
  <c r="G146" i="24"/>
  <c r="J55" i="23"/>
  <c r="J39" i="23" s="1"/>
  <c r="B40" i="23"/>
  <c r="C60" i="23"/>
  <c r="C44" i="23" s="1"/>
  <c r="C28" i="23" s="1"/>
  <c r="F97" i="23"/>
  <c r="F6" i="23" s="1"/>
  <c r="F53" i="23"/>
  <c r="AB97" i="23"/>
  <c r="AB6" i="23" s="1"/>
  <c r="AT86" i="23"/>
  <c r="V89" i="25"/>
  <c r="V137" i="25"/>
  <c r="S91" i="25"/>
  <c r="S139" i="25"/>
  <c r="Z140" i="25"/>
  <c r="Z92" i="25"/>
  <c r="X94" i="25"/>
  <c r="X142" i="25"/>
  <c r="AA117" i="23"/>
  <c r="I51" i="24"/>
  <c r="J51" i="24" s="1"/>
  <c r="G51" i="24"/>
  <c r="S88" i="24"/>
  <c r="R89" i="24"/>
  <c r="C56" i="23"/>
  <c r="C40" i="23" s="1"/>
  <c r="C24" i="23" s="1"/>
  <c r="N58" i="23"/>
  <c r="AP74" i="23"/>
  <c r="G97" i="23"/>
  <c r="G6" i="23" s="1"/>
  <c r="AH6" i="25" s="1"/>
  <c r="AC97" i="23"/>
  <c r="AC6" i="23" s="1"/>
  <c r="W89" i="25"/>
  <c r="W137" i="25"/>
  <c r="Y142" i="25"/>
  <c r="Y94" i="25"/>
  <c r="W96" i="25"/>
  <c r="W144" i="25"/>
  <c r="E153" i="23"/>
  <c r="E121" i="23" s="1"/>
  <c r="E25" i="23" s="1"/>
  <c r="H177" i="23"/>
  <c r="H11" i="23" s="1"/>
  <c r="H10" i="23" s="1"/>
  <c r="H8" i="23" s="1"/>
  <c r="H36" i="6" s="1"/>
  <c r="G47" i="24"/>
  <c r="I47" i="24"/>
  <c r="J47" i="24" s="1"/>
  <c r="R68" i="24"/>
  <c r="D85" i="24"/>
  <c r="H156" i="24"/>
  <c r="J156" i="24" s="1"/>
  <c r="J7" i="26"/>
  <c r="AT53" i="23"/>
  <c r="P54" i="23"/>
  <c r="P65" i="23" s="1"/>
  <c r="AT65" i="23" s="1"/>
  <c r="N62" i="23"/>
  <c r="AP78" i="23"/>
  <c r="C64" i="23"/>
  <c r="C48" i="23" s="1"/>
  <c r="C32" i="23" s="1"/>
  <c r="X137" i="25"/>
  <c r="X89" i="25"/>
  <c r="F113" i="23"/>
  <c r="F7" i="23" s="1"/>
  <c r="I113" i="23"/>
  <c r="I7" i="23" s="1"/>
  <c r="C125" i="23"/>
  <c r="C29" i="23" s="1"/>
  <c r="S66" i="24"/>
  <c r="H70" i="24"/>
  <c r="J70" i="24" s="1"/>
  <c r="D70" i="24"/>
  <c r="D93" i="24"/>
  <c r="G126" i="25"/>
  <c r="G147" i="25"/>
  <c r="G9" i="25" s="1"/>
  <c r="E129" i="25"/>
  <c r="E33" i="25" s="1"/>
  <c r="I27" i="24"/>
  <c r="G27" i="24"/>
  <c r="Q23" i="23"/>
  <c r="AV23" i="23" s="1"/>
  <c r="P62" i="23"/>
  <c r="J97" i="23"/>
  <c r="J6" i="23" s="1"/>
  <c r="AF97" i="23"/>
  <c r="AF6" i="23" s="1"/>
  <c r="R141" i="25"/>
  <c r="R93" i="25"/>
  <c r="O122" i="23"/>
  <c r="AR122" i="23" s="1"/>
  <c r="AR138" i="23"/>
  <c r="E125" i="23"/>
  <c r="E29" i="23" s="1"/>
  <c r="AP188" i="23"/>
  <c r="N193" i="23"/>
  <c r="D13" i="24"/>
  <c r="D41" i="24"/>
  <c r="F64" i="23"/>
  <c r="F48" i="23" s="1"/>
  <c r="F32" i="23" s="1"/>
  <c r="K97" i="23"/>
  <c r="T88" i="25"/>
  <c r="T136" i="25"/>
  <c r="Q143" i="25"/>
  <c r="Q95" i="25"/>
  <c r="H117" i="23"/>
  <c r="N145" i="23"/>
  <c r="F125" i="23"/>
  <c r="F29" i="23" s="1"/>
  <c r="E151" i="23"/>
  <c r="E119" i="23" s="1"/>
  <c r="E23" i="23" s="1"/>
  <c r="E177" i="23"/>
  <c r="E11" i="23" s="1"/>
  <c r="AT193" i="23"/>
  <c r="P12" i="23"/>
  <c r="AT12" i="23" s="1"/>
  <c r="J13" i="24"/>
  <c r="J85" i="24"/>
  <c r="D65" i="25"/>
  <c r="P37" i="23"/>
  <c r="P55" i="23"/>
  <c r="AT71" i="23"/>
  <c r="G113" i="23"/>
  <c r="G7" i="23" s="1"/>
  <c r="O145" i="23"/>
  <c r="O117" i="23"/>
  <c r="AR133" i="23"/>
  <c r="T145" i="23"/>
  <c r="T9" i="23" s="1"/>
  <c r="AN142" i="23"/>
  <c r="L126" i="23"/>
  <c r="AN126" i="23" s="1"/>
  <c r="L160" i="23"/>
  <c r="AN160" i="23" s="1"/>
  <c r="AN192" i="23"/>
  <c r="V125" i="24"/>
  <c r="J140" i="24"/>
  <c r="R144" i="24"/>
  <c r="S143" i="24"/>
  <c r="G27" i="25"/>
  <c r="L147" i="25"/>
  <c r="L9" i="25" s="1"/>
  <c r="L123" i="25"/>
  <c r="O47" i="23"/>
  <c r="AR63" i="23"/>
  <c r="H64" i="23"/>
  <c r="H48" i="23" s="1"/>
  <c r="H32" i="23" s="1"/>
  <c r="Q90" i="25"/>
  <c r="Q138" i="25"/>
  <c r="AV88" i="23"/>
  <c r="Z139" i="25"/>
  <c r="Z91" i="25"/>
  <c r="U141" i="25"/>
  <c r="U93" i="25"/>
  <c r="X146" i="25"/>
  <c r="X98" i="25"/>
  <c r="V97" i="23"/>
  <c r="V6" i="23" s="1"/>
  <c r="K113" i="23"/>
  <c r="D124" i="23"/>
  <c r="M126" i="23"/>
  <c r="Q29" i="24"/>
  <c r="Q30" i="24" s="1"/>
  <c r="Q31" i="24" s="1"/>
  <c r="Q32" i="24" s="1"/>
  <c r="Q33" i="24" s="1"/>
  <c r="Q34" i="24" s="1"/>
  <c r="Q35" i="24" s="1"/>
  <c r="Q36" i="24" s="1"/>
  <c r="Q37" i="24" s="1"/>
  <c r="Q38" i="24" s="1"/>
  <c r="Q39" i="24" s="1"/>
  <c r="S28" i="24"/>
  <c r="Q120" i="25"/>
  <c r="J24" i="24"/>
  <c r="H86" i="24"/>
  <c r="J86" i="24" s="1"/>
  <c r="D86" i="24"/>
  <c r="J30" i="25"/>
  <c r="AE7" i="25"/>
  <c r="K61" i="23"/>
  <c r="X139" i="25"/>
  <c r="X91" i="25"/>
  <c r="Z142" i="25"/>
  <c r="Z94" i="25"/>
  <c r="R96" i="25"/>
  <c r="R144" i="25"/>
  <c r="X145" i="25"/>
  <c r="X97" i="25"/>
  <c r="N118" i="23"/>
  <c r="I118" i="23"/>
  <c r="B121" i="23"/>
  <c r="B25" i="23" s="1"/>
  <c r="AF117" i="23"/>
  <c r="J161" i="23"/>
  <c r="J117" i="23"/>
  <c r="I37" i="24"/>
  <c r="J37" i="24" s="1"/>
  <c r="G37" i="24"/>
  <c r="S65" i="24"/>
  <c r="J93" i="24"/>
  <c r="U131" i="24"/>
  <c r="V131" i="24" s="1"/>
  <c r="V130" i="24"/>
  <c r="W130" i="24" s="1"/>
  <c r="Q134" i="24"/>
  <c r="S134" i="24" s="1"/>
  <c r="H134" i="24"/>
  <c r="D134" i="24"/>
  <c r="P28" i="25"/>
  <c r="I27" i="25"/>
  <c r="Q136" i="26"/>
  <c r="H136" i="26"/>
  <c r="J136" i="26" s="1"/>
  <c r="D136" i="26"/>
  <c r="W173" i="26"/>
  <c r="B60" i="23"/>
  <c r="B44" i="23" s="1"/>
  <c r="B28" i="23" s="1"/>
  <c r="M81" i="23"/>
  <c r="M5" i="23" s="1"/>
  <c r="Y139" i="25"/>
  <c r="Y91" i="25"/>
  <c r="Q141" i="25"/>
  <c r="Q93" i="25"/>
  <c r="S144" i="25"/>
  <c r="S96" i="25"/>
  <c r="Y145" i="25"/>
  <c r="Y97" i="25"/>
  <c r="J118" i="23"/>
  <c r="J145" i="23"/>
  <c r="J9" i="23" s="1"/>
  <c r="I123" i="23"/>
  <c r="AN140" i="23"/>
  <c r="L124" i="23"/>
  <c r="AN124" i="23" s="1"/>
  <c r="D156" i="23"/>
  <c r="D193" i="23"/>
  <c r="D12" i="23" s="1"/>
  <c r="H5" i="24"/>
  <c r="G13" i="24"/>
  <c r="H40" i="24"/>
  <c r="Q40" i="24"/>
  <c r="I61" i="24"/>
  <c r="J61" i="24" s="1"/>
  <c r="G61" i="24"/>
  <c r="S64" i="24"/>
  <c r="G93" i="24"/>
  <c r="H131" i="24"/>
  <c r="D131" i="24"/>
  <c r="K152" i="23"/>
  <c r="E193" i="23"/>
  <c r="E12" i="23" s="1"/>
  <c r="AF12" i="25" s="1"/>
  <c r="I34" i="24"/>
  <c r="J34" i="24" s="1"/>
  <c r="G34" i="24"/>
  <c r="D61" i="24"/>
  <c r="H61" i="24"/>
  <c r="H128" i="24"/>
  <c r="D128" i="24"/>
  <c r="I131" i="24"/>
  <c r="G131" i="24"/>
  <c r="Q153" i="24"/>
  <c r="Q154" i="24" s="1"/>
  <c r="Q155" i="24" s="1"/>
  <c r="Q156" i="24" s="1"/>
  <c r="Q157" i="24" s="1"/>
  <c r="Q158" i="24" s="1"/>
  <c r="Q159" i="24" s="1"/>
  <c r="AI6" i="25"/>
  <c r="P81" i="23"/>
  <c r="D60" i="23"/>
  <c r="D44" i="23" s="1"/>
  <c r="D64" i="23"/>
  <c r="D48" i="23" s="1"/>
  <c r="D32" i="23" s="1"/>
  <c r="Z88" i="25"/>
  <c r="Z136" i="25"/>
  <c r="R90" i="25"/>
  <c r="R138" i="25"/>
  <c r="S141" i="25"/>
  <c r="S93" i="25"/>
  <c r="U144" i="25"/>
  <c r="U96" i="25"/>
  <c r="G145" i="23"/>
  <c r="G9" i="23" s="1"/>
  <c r="G117" i="23"/>
  <c r="B120" i="23"/>
  <c r="C161" i="23"/>
  <c r="M149" i="23"/>
  <c r="M161" i="23" s="1"/>
  <c r="M177" i="23"/>
  <c r="M11" i="23" s="1"/>
  <c r="AN168" i="23"/>
  <c r="L152" i="23"/>
  <c r="F193" i="23"/>
  <c r="F12" i="23" s="1"/>
  <c r="I28" i="24"/>
  <c r="U65" i="24"/>
  <c r="V64" i="24"/>
  <c r="H67" i="24"/>
  <c r="J67" i="24" s="1"/>
  <c r="D125" i="24"/>
  <c r="Q131" i="24"/>
  <c r="S131" i="24" s="1"/>
  <c r="AJ11" i="25"/>
  <c r="F54" i="23"/>
  <c r="F38" i="23" s="1"/>
  <c r="O55" i="23"/>
  <c r="E60" i="23"/>
  <c r="E44" i="23" s="1"/>
  <c r="E28" i="23" s="1"/>
  <c r="E64" i="23"/>
  <c r="E48" i="23" s="1"/>
  <c r="E32" i="23" s="1"/>
  <c r="R87" i="25"/>
  <c r="R135" i="25"/>
  <c r="S90" i="25"/>
  <c r="S138" i="25"/>
  <c r="T141" i="25"/>
  <c r="T93" i="25"/>
  <c r="V96" i="25"/>
  <c r="V144" i="25"/>
  <c r="Q98" i="25"/>
  <c r="Q146" i="25"/>
  <c r="AR140" i="23"/>
  <c r="O124" i="23"/>
  <c r="AR124" i="23" s="1"/>
  <c r="D149" i="23"/>
  <c r="G193" i="23"/>
  <c r="G12" i="23" s="1"/>
  <c r="I22" i="24"/>
  <c r="J22" i="24" s="1"/>
  <c r="G22" i="24"/>
  <c r="D45" i="24"/>
  <c r="H45" i="24"/>
  <c r="H74" i="24"/>
  <c r="D74" i="24"/>
  <c r="H90" i="24"/>
  <c r="J90" i="24" s="1"/>
  <c r="D90" i="24"/>
  <c r="H138" i="24"/>
  <c r="D138" i="24"/>
  <c r="AK11" i="25"/>
  <c r="I145" i="23"/>
  <c r="I9" i="23" s="1"/>
  <c r="I117" i="23"/>
  <c r="G121" i="23"/>
  <c r="G45" i="24"/>
  <c r="I45" i="24"/>
  <c r="I74" i="24"/>
  <c r="G74" i="24"/>
  <c r="H122" i="24"/>
  <c r="D122" i="24"/>
  <c r="H153" i="24"/>
  <c r="J153" i="24" s="1"/>
  <c r="D153" i="24"/>
  <c r="K10" i="25"/>
  <c r="H54" i="23"/>
  <c r="G64" i="23"/>
  <c r="G48" i="23" s="1"/>
  <c r="G32" i="23" s="1"/>
  <c r="T87" i="25"/>
  <c r="T99" i="25" s="1"/>
  <c r="T6" i="25" s="1"/>
  <c r="T135" i="25"/>
  <c r="U138" i="25"/>
  <c r="U90" i="25"/>
  <c r="V141" i="25"/>
  <c r="V93" i="25"/>
  <c r="R143" i="25"/>
  <c r="R95" i="25"/>
  <c r="X96" i="25"/>
  <c r="X144" i="25"/>
  <c r="S146" i="25"/>
  <c r="S98" i="25"/>
  <c r="K124" i="23"/>
  <c r="AL124" i="23" s="1"/>
  <c r="H121" i="23"/>
  <c r="H25" i="23" s="1"/>
  <c r="F149" i="23"/>
  <c r="F161" i="23" s="1"/>
  <c r="L193" i="23"/>
  <c r="G11" i="24"/>
  <c r="Q17" i="24"/>
  <c r="R30" i="24"/>
  <c r="S29" i="24"/>
  <c r="J65" i="24"/>
  <c r="J81" i="24"/>
  <c r="I125" i="24"/>
  <c r="J125" i="24" s="1"/>
  <c r="G125" i="24"/>
  <c r="H132" i="24"/>
  <c r="D132" i="24"/>
  <c r="Q132" i="24"/>
  <c r="J145" i="24"/>
  <c r="H149" i="24"/>
  <c r="D149" i="24"/>
  <c r="V90" i="25"/>
  <c r="V138" i="25"/>
  <c r="W141" i="25"/>
  <c r="W93" i="25"/>
  <c r="L128" i="23"/>
  <c r="AN128" i="23" s="1"/>
  <c r="R6" i="24"/>
  <c r="S5" i="24"/>
  <c r="S16" i="24"/>
  <c r="J55" i="24"/>
  <c r="D62" i="24"/>
  <c r="J94" i="24"/>
  <c r="Q128" i="24"/>
  <c r="J142" i="24"/>
  <c r="I149" i="24"/>
  <c r="J149" i="24" s="1"/>
  <c r="G149" i="24"/>
  <c r="V87" i="25"/>
  <c r="V135" i="25"/>
  <c r="W138" i="25"/>
  <c r="W90" i="25"/>
  <c r="Q92" i="25"/>
  <c r="Q140" i="25"/>
  <c r="X141" i="25"/>
  <c r="X93" i="25"/>
  <c r="T143" i="25"/>
  <c r="T95" i="25"/>
  <c r="Z144" i="25"/>
  <c r="Z96" i="25"/>
  <c r="M113" i="23"/>
  <c r="M7" i="23" s="1"/>
  <c r="AN7" i="23" s="1"/>
  <c r="O125" i="23"/>
  <c r="AR125" i="23" s="1"/>
  <c r="L145" i="23"/>
  <c r="L117" i="23"/>
  <c r="Q118" i="23"/>
  <c r="AV118" i="23" s="1"/>
  <c r="D119" i="23"/>
  <c r="D23" i="23" s="1"/>
  <c r="J121" i="23"/>
  <c r="M128" i="23"/>
  <c r="M32" i="23" s="1"/>
  <c r="L153" i="23"/>
  <c r="E150" i="23"/>
  <c r="E118" i="23" s="1"/>
  <c r="O154" i="23"/>
  <c r="AR154" i="23" s="1"/>
  <c r="AR170" i="23"/>
  <c r="F157" i="23"/>
  <c r="O193" i="23"/>
  <c r="H14" i="24"/>
  <c r="D14" i="24"/>
  <c r="J78" i="24"/>
  <c r="H102" i="24"/>
  <c r="D102" i="24"/>
  <c r="I109" i="24"/>
  <c r="J109" i="24" s="1"/>
  <c r="G109" i="24"/>
  <c r="P24" i="25"/>
  <c r="N39" i="23"/>
  <c r="W87" i="25"/>
  <c r="W135" i="25"/>
  <c r="X138" i="25"/>
  <c r="X90" i="25"/>
  <c r="R140" i="25"/>
  <c r="R92" i="25"/>
  <c r="Y141" i="25"/>
  <c r="Y93" i="25"/>
  <c r="U95" i="25"/>
  <c r="U143" i="25"/>
  <c r="M145" i="23"/>
  <c r="M9" i="23" s="1"/>
  <c r="M117" i="23"/>
  <c r="N128" i="23"/>
  <c r="N152" i="23"/>
  <c r="F150" i="23"/>
  <c r="F177" i="23"/>
  <c r="F11" i="23" s="1"/>
  <c r="F10" i="23" s="1"/>
  <c r="F8" i="23" s="1"/>
  <c r="F36" i="6" s="1"/>
  <c r="H20" i="24"/>
  <c r="J20" i="24" s="1"/>
  <c r="D20" i="24"/>
  <c r="J102" i="24"/>
  <c r="J106" i="24"/>
  <c r="G158" i="24"/>
  <c r="I158" i="24"/>
  <c r="J158" i="24" s="1"/>
  <c r="Q24" i="25"/>
  <c r="F58" i="25"/>
  <c r="F42" i="25" s="1"/>
  <c r="F26" i="25" s="1"/>
  <c r="O155" i="23"/>
  <c r="I137" i="24"/>
  <c r="J137" i="24" s="1"/>
  <c r="G137" i="24"/>
  <c r="H146" i="24"/>
  <c r="I167" i="24"/>
  <c r="J167" i="24" s="1"/>
  <c r="G167" i="24"/>
  <c r="L10" i="25"/>
  <c r="N28" i="25"/>
  <c r="V140" i="25"/>
  <c r="G135" i="26"/>
  <c r="I135" i="26"/>
  <c r="J135" i="26" s="1"/>
  <c r="J129" i="24"/>
  <c r="Q138" i="24"/>
  <c r="Q139" i="24" s="1"/>
  <c r="Q140" i="24" s="1"/>
  <c r="Q141" i="24" s="1"/>
  <c r="Q142" i="24" s="1"/>
  <c r="Q143" i="24" s="1"/>
  <c r="Q144" i="24" s="1"/>
  <c r="Q145" i="24" s="1"/>
  <c r="Q146" i="24" s="1"/>
  <c r="Q147" i="24" s="1"/>
  <c r="K147" i="25"/>
  <c r="K9" i="25" s="1"/>
  <c r="K123" i="25"/>
  <c r="B125" i="25"/>
  <c r="B29" i="25" s="1"/>
  <c r="H50" i="26"/>
  <c r="D50" i="26"/>
  <c r="S143" i="25"/>
  <c r="S95" i="25"/>
  <c r="Y96" i="25"/>
  <c r="Y144" i="25"/>
  <c r="I121" i="23"/>
  <c r="N158" i="23"/>
  <c r="AP158" i="23" s="1"/>
  <c r="J177" i="23"/>
  <c r="J11" i="23" s="1"/>
  <c r="U17" i="24"/>
  <c r="J73" i="24"/>
  <c r="I91" i="24"/>
  <c r="J91" i="24" s="1"/>
  <c r="G91" i="24"/>
  <c r="I100" i="24"/>
  <c r="J100" i="24" s="1"/>
  <c r="G100" i="24"/>
  <c r="H121" i="24"/>
  <c r="J121" i="24" s="1"/>
  <c r="D121" i="24"/>
  <c r="I171" i="24"/>
  <c r="J171" i="24" s="1"/>
  <c r="G171" i="24"/>
  <c r="E24" i="25"/>
  <c r="X136" i="25"/>
  <c r="N123" i="25"/>
  <c r="N27" i="25" s="1"/>
  <c r="H15" i="26"/>
  <c r="D15" i="26"/>
  <c r="U77" i="26"/>
  <c r="V76" i="26"/>
  <c r="W76" i="26" s="1"/>
  <c r="I151" i="23"/>
  <c r="I119" i="23" s="1"/>
  <c r="I135" i="24"/>
  <c r="J135" i="24" s="1"/>
  <c r="O119" i="25"/>
  <c r="O147" i="25"/>
  <c r="O9" i="25" s="1"/>
  <c r="H122" i="25"/>
  <c r="H26" i="25" s="1"/>
  <c r="H147" i="25"/>
  <c r="H9" i="25" s="1"/>
  <c r="O123" i="25"/>
  <c r="N154" i="25"/>
  <c r="N122" i="25" s="1"/>
  <c r="N179" i="25"/>
  <c r="N11" i="25" s="1"/>
  <c r="B127" i="23"/>
  <c r="K177" i="23"/>
  <c r="J151" i="23"/>
  <c r="J119" i="23" s="1"/>
  <c r="O153" i="23"/>
  <c r="D12" i="24"/>
  <c r="W16" i="24"/>
  <c r="I29" i="24"/>
  <c r="J29" i="24" s="1"/>
  <c r="G29" i="24"/>
  <c r="D52" i="24"/>
  <c r="J54" i="24"/>
  <c r="J57" i="24"/>
  <c r="Q76" i="24"/>
  <c r="R101" i="24"/>
  <c r="S100" i="24"/>
  <c r="D104" i="24"/>
  <c r="G107" i="24"/>
  <c r="I107" i="24"/>
  <c r="J107" i="24" s="1"/>
  <c r="Q124" i="24"/>
  <c r="H124" i="24"/>
  <c r="D124" i="24"/>
  <c r="D147" i="24"/>
  <c r="H147" i="24"/>
  <c r="P119" i="25"/>
  <c r="P147" i="25"/>
  <c r="P9" i="25" s="1"/>
  <c r="O154" i="25"/>
  <c r="O122" i="25" s="1"/>
  <c r="O26" i="25" s="1"/>
  <c r="O179" i="25"/>
  <c r="Z137" i="25"/>
  <c r="Z89" i="25"/>
  <c r="R91" i="25"/>
  <c r="R139" i="25"/>
  <c r="Y140" i="25"/>
  <c r="Y92" i="25"/>
  <c r="V143" i="25"/>
  <c r="V95" i="25"/>
  <c r="R98" i="25"/>
  <c r="R146" i="25"/>
  <c r="L177" i="23"/>
  <c r="AN165" i="23"/>
  <c r="H154" i="23"/>
  <c r="H122" i="23" s="1"/>
  <c r="H26" i="23" s="1"/>
  <c r="E157" i="23"/>
  <c r="G4" i="24"/>
  <c r="G6" i="24"/>
  <c r="G16" i="24"/>
  <c r="D18" i="24"/>
  <c r="H29" i="24"/>
  <c r="D29" i="24"/>
  <c r="I38" i="24"/>
  <c r="J38" i="24" s="1"/>
  <c r="U52" i="24"/>
  <c r="I52" i="24"/>
  <c r="J52" i="24" s="1"/>
  <c r="G60" i="24"/>
  <c r="Q65" i="24"/>
  <c r="Q66" i="24" s="1"/>
  <c r="Q67" i="24" s="1"/>
  <c r="I84" i="24"/>
  <c r="J84" i="24" s="1"/>
  <c r="G84" i="24"/>
  <c r="U160" i="24"/>
  <c r="G160" i="24"/>
  <c r="I160" i="24"/>
  <c r="J160" i="24" s="1"/>
  <c r="Q119" i="25"/>
  <c r="S28" i="26"/>
  <c r="R29" i="26"/>
  <c r="U101" i="24"/>
  <c r="V100" i="24"/>
  <c r="W100" i="24" s="1"/>
  <c r="J138" i="24"/>
  <c r="C99" i="25"/>
  <c r="C6" i="25" s="1"/>
  <c r="AD6" i="25" s="1"/>
  <c r="D43" i="26"/>
  <c r="H43" i="26"/>
  <c r="U136" i="25"/>
  <c r="U88" i="25"/>
  <c r="T139" i="25"/>
  <c r="T91" i="25"/>
  <c r="R142" i="25"/>
  <c r="R94" i="25"/>
  <c r="T146" i="25"/>
  <c r="T98" i="25"/>
  <c r="AV101" i="23"/>
  <c r="AP133" i="23"/>
  <c r="H128" i="23"/>
  <c r="L149" i="23"/>
  <c r="N157" i="23"/>
  <c r="AP157" i="23" s="1"/>
  <c r="N177" i="23"/>
  <c r="G157" i="23"/>
  <c r="G125" i="23" s="1"/>
  <c r="I14" i="24"/>
  <c r="J14" i="24" s="1"/>
  <c r="G14" i="24"/>
  <c r="I16" i="24"/>
  <c r="J16" i="24" s="1"/>
  <c r="I18" i="24"/>
  <c r="J18" i="24" s="1"/>
  <c r="G18" i="24"/>
  <c r="D58" i="24"/>
  <c r="H79" i="24"/>
  <c r="D79" i="24"/>
  <c r="J118" i="24"/>
  <c r="I127" i="24"/>
  <c r="Q135" i="24"/>
  <c r="S135" i="24" s="1"/>
  <c r="W135" i="24" s="1"/>
  <c r="J43" i="26"/>
  <c r="V136" i="25"/>
  <c r="V88" i="25"/>
  <c r="U139" i="25"/>
  <c r="U91" i="25"/>
  <c r="S142" i="25"/>
  <c r="S94" i="25"/>
  <c r="Y95" i="25"/>
  <c r="Y143" i="25"/>
  <c r="U98" i="25"/>
  <c r="U146" i="25"/>
  <c r="I128" i="23"/>
  <c r="O177" i="23"/>
  <c r="H157" i="23"/>
  <c r="H125" i="23" s="1"/>
  <c r="H8" i="24"/>
  <c r="J8" i="24" s="1"/>
  <c r="D8" i="24"/>
  <c r="D25" i="24"/>
  <c r="H27" i="24"/>
  <c r="I68" i="24"/>
  <c r="J68" i="24" s="1"/>
  <c r="G68" i="24"/>
  <c r="U76" i="24"/>
  <c r="H92" i="24"/>
  <c r="J92" i="24" s="1"/>
  <c r="D92" i="24"/>
  <c r="I154" i="24"/>
  <c r="J154" i="24" s="1"/>
  <c r="G154" i="24"/>
  <c r="W136" i="25"/>
  <c r="W88" i="25"/>
  <c r="V139" i="25"/>
  <c r="V91" i="25"/>
  <c r="T142" i="25"/>
  <c r="T94" i="25"/>
  <c r="Z95" i="25"/>
  <c r="Z143" i="25"/>
  <c r="V146" i="25"/>
  <c r="V98" i="25"/>
  <c r="N117" i="23"/>
  <c r="P177" i="23"/>
  <c r="B193" i="23"/>
  <c r="B12" i="23" s="1"/>
  <c r="R79" i="24"/>
  <c r="Q89" i="24"/>
  <c r="Q90" i="24" s="1"/>
  <c r="Q91" i="24" s="1"/>
  <c r="Q92" i="24" s="1"/>
  <c r="Q93" i="24" s="1"/>
  <c r="Q94" i="24" s="1"/>
  <c r="Q95" i="24" s="1"/>
  <c r="Q96" i="24" s="1"/>
  <c r="Q97" i="24" s="1"/>
  <c r="Q98" i="24" s="1"/>
  <c r="Q99" i="24" s="1"/>
  <c r="D127" i="24"/>
  <c r="H127" i="24"/>
  <c r="I172" i="24"/>
  <c r="J172" i="24" s="1"/>
  <c r="G172" i="24"/>
  <c r="U172" i="24"/>
  <c r="D179" i="25"/>
  <c r="D11" i="25" s="1"/>
  <c r="D151" i="25"/>
  <c r="W139" i="25"/>
  <c r="W91" i="25"/>
  <c r="U142" i="25"/>
  <c r="U94" i="25"/>
  <c r="Q145" i="25"/>
  <c r="Q97" i="25"/>
  <c r="AV95" i="23"/>
  <c r="W146" i="25"/>
  <c r="W98" i="25"/>
  <c r="C193" i="23"/>
  <c r="C12" i="23" s="1"/>
  <c r="C10" i="23" s="1"/>
  <c r="Q52" i="24"/>
  <c r="Q53" i="24" s="1"/>
  <c r="I58" i="24"/>
  <c r="J58" i="24" s="1"/>
  <c r="G58" i="24"/>
  <c r="J122" i="24"/>
  <c r="D148" i="24"/>
  <c r="K26" i="25"/>
  <c r="L24" i="25"/>
  <c r="B4" i="25"/>
  <c r="P83" i="25"/>
  <c r="P5" i="25" s="1"/>
  <c r="O195" i="25"/>
  <c r="O12" i="25" s="1"/>
  <c r="O151" i="25"/>
  <c r="D81" i="26"/>
  <c r="H126" i="26"/>
  <c r="D126" i="26"/>
  <c r="C121" i="25"/>
  <c r="C25" i="25" s="1"/>
  <c r="I122" i="25"/>
  <c r="I26" i="25" s="1"/>
  <c r="I147" i="25"/>
  <c r="I9" i="25" s="1"/>
  <c r="N147" i="25"/>
  <c r="N9" i="25" s="1"/>
  <c r="S142" i="24"/>
  <c r="G177" i="24"/>
  <c r="I177" i="24"/>
  <c r="J177" i="24" s="1"/>
  <c r="L27" i="25"/>
  <c r="H56" i="25"/>
  <c r="H40" i="25" s="1"/>
  <c r="H24" i="25" s="1"/>
  <c r="C59" i="25"/>
  <c r="C43" i="25" s="1"/>
  <c r="C27" i="25" s="1"/>
  <c r="J147" i="25"/>
  <c r="J9" i="25" s="1"/>
  <c r="P179" i="25"/>
  <c r="P153" i="25"/>
  <c r="P121" i="25" s="1"/>
  <c r="I99" i="24"/>
  <c r="G99" i="24"/>
  <c r="I134" i="24"/>
  <c r="J134" i="24" s="1"/>
  <c r="U134" i="24"/>
  <c r="V134" i="24" s="1"/>
  <c r="W134" i="24" s="1"/>
  <c r="H155" i="24"/>
  <c r="D155" i="24"/>
  <c r="D32" i="25"/>
  <c r="AN5" i="25"/>
  <c r="M4" i="25"/>
  <c r="AK7" i="25"/>
  <c r="AH7" i="25"/>
  <c r="T4" i="26"/>
  <c r="T5" i="26" s="1"/>
  <c r="T6" i="26" s="1"/>
  <c r="T7" i="26" s="1"/>
  <c r="T8" i="26" s="1"/>
  <c r="T9" i="26" s="1"/>
  <c r="T10" i="26" s="1"/>
  <c r="T11" i="26" s="1"/>
  <c r="T12" i="26" s="1"/>
  <c r="T13" i="26" s="1"/>
  <c r="T14" i="26" s="1"/>
  <c r="T15" i="26" s="1"/>
  <c r="B135" i="25"/>
  <c r="H99" i="24"/>
  <c r="D99" i="24"/>
  <c r="G112" i="24"/>
  <c r="U112" i="24"/>
  <c r="D129" i="24"/>
  <c r="H129" i="24"/>
  <c r="R175" i="24"/>
  <c r="S174" i="24"/>
  <c r="O23" i="25"/>
  <c r="I32" i="25"/>
  <c r="N4" i="25"/>
  <c r="Q115" i="25"/>
  <c r="Q7" i="25" s="1"/>
  <c r="AR7" i="25" s="1"/>
  <c r="Q39" i="25"/>
  <c r="AD7" i="25"/>
  <c r="D124" i="25"/>
  <c r="J163" i="25"/>
  <c r="J119" i="25"/>
  <c r="I79" i="24"/>
  <c r="J79" i="24" s="1"/>
  <c r="G79" i="24"/>
  <c r="S140" i="24"/>
  <c r="G152" i="24"/>
  <c r="G162" i="24"/>
  <c r="I162" i="24"/>
  <c r="J162" i="24" s="1"/>
  <c r="P39" i="25"/>
  <c r="O83" i="25"/>
  <c r="O5" i="25" s="1"/>
  <c r="R115" i="25"/>
  <c r="R7" i="25" s="1"/>
  <c r="AS7" i="25" s="1"/>
  <c r="I115" i="25"/>
  <c r="I7" i="25" s="1"/>
  <c r="F115" i="25"/>
  <c r="F7" i="25" s="1"/>
  <c r="J33" i="25"/>
  <c r="G9" i="26"/>
  <c r="I9" i="26"/>
  <c r="I59" i="24"/>
  <c r="J59" i="24" s="1"/>
  <c r="D75" i="24"/>
  <c r="D88" i="24"/>
  <c r="S113" i="24"/>
  <c r="R114" i="24"/>
  <c r="I124" i="24"/>
  <c r="J124" i="24" s="1"/>
  <c r="I132" i="24"/>
  <c r="J132" i="24" s="1"/>
  <c r="S139" i="24"/>
  <c r="J147" i="24"/>
  <c r="D150" i="24"/>
  <c r="J27" i="25"/>
  <c r="P25" i="25"/>
  <c r="M25" i="25"/>
  <c r="C32" i="25"/>
  <c r="S115" i="25"/>
  <c r="S7" i="25" s="1"/>
  <c r="E120" i="25"/>
  <c r="I154" i="23"/>
  <c r="I122" i="23" s="1"/>
  <c r="I26" i="23" s="1"/>
  <c r="R44" i="24"/>
  <c r="S52" i="24"/>
  <c r="J66" i="24"/>
  <c r="I105" i="24"/>
  <c r="J105" i="24" s="1"/>
  <c r="G105" i="24"/>
  <c r="H28" i="25"/>
  <c r="C4" i="25"/>
  <c r="D66" i="26"/>
  <c r="I64" i="24"/>
  <c r="H88" i="24"/>
  <c r="I108" i="24"/>
  <c r="J108" i="24" s="1"/>
  <c r="G108" i="24"/>
  <c r="D130" i="24"/>
  <c r="I165" i="24"/>
  <c r="J165" i="24" s="1"/>
  <c r="G165" i="24"/>
  <c r="D99" i="25"/>
  <c r="D6" i="25" s="1"/>
  <c r="J66" i="26"/>
  <c r="H54" i="24"/>
  <c r="I174" i="24"/>
  <c r="J174" i="24" s="1"/>
  <c r="G174" i="24"/>
  <c r="H30" i="25"/>
  <c r="P61" i="25"/>
  <c r="T115" i="25"/>
  <c r="T7" i="25" s="1"/>
  <c r="F147" i="25"/>
  <c r="F9" i="25" s="1"/>
  <c r="J5" i="26"/>
  <c r="I136" i="24"/>
  <c r="J136" i="24" s="1"/>
  <c r="G136" i="24"/>
  <c r="U115" i="25"/>
  <c r="U7" i="25" s="1"/>
  <c r="H40" i="26"/>
  <c r="D40" i="26"/>
  <c r="Q40" i="26"/>
  <c r="V115" i="25"/>
  <c r="V7" i="25" s="1"/>
  <c r="I30" i="26"/>
  <c r="J30" i="26" s="1"/>
  <c r="G30" i="26"/>
  <c r="H91" i="26"/>
  <c r="J91" i="26" s="1"/>
  <c r="D91" i="26"/>
  <c r="I127" i="26"/>
  <c r="J127" i="26" s="1"/>
  <c r="G127" i="26"/>
  <c r="H140" i="26"/>
  <c r="J140" i="26" s="1"/>
  <c r="D140" i="26"/>
  <c r="J95" i="24"/>
  <c r="S132" i="24"/>
  <c r="W132" i="24" s="1"/>
  <c r="S138" i="24"/>
  <c r="S149" i="24"/>
  <c r="R150" i="24"/>
  <c r="K57" i="25"/>
  <c r="K41" i="25" s="1"/>
  <c r="W115" i="25"/>
  <c r="W7" i="25" s="1"/>
  <c r="B179" i="25"/>
  <c r="B11" i="25" s="1"/>
  <c r="B151" i="25"/>
  <c r="H30" i="26"/>
  <c r="D30" i="26"/>
  <c r="I84" i="26"/>
  <c r="J84" i="26" s="1"/>
  <c r="G84" i="26"/>
  <c r="H28" i="24"/>
  <c r="J40" i="24"/>
  <c r="H64" i="24"/>
  <c r="G82" i="24"/>
  <c r="G95" i="24"/>
  <c r="H105" i="24"/>
  <c r="D105" i="24"/>
  <c r="D109" i="24"/>
  <c r="G111" i="24"/>
  <c r="H123" i="24"/>
  <c r="J123" i="24" s="1"/>
  <c r="D123" i="24"/>
  <c r="S136" i="24"/>
  <c r="S148" i="24"/>
  <c r="V185" i="24"/>
  <c r="W185" i="24" s="1"/>
  <c r="L57" i="25"/>
  <c r="F33" i="25"/>
  <c r="N99" i="25"/>
  <c r="N6" i="25" s="1"/>
  <c r="N55" i="25"/>
  <c r="C179" i="25"/>
  <c r="C11" i="25" s="1"/>
  <c r="C151" i="25"/>
  <c r="I101" i="24"/>
  <c r="J101" i="24" s="1"/>
  <c r="G103" i="24"/>
  <c r="U128" i="24"/>
  <c r="U136" i="24"/>
  <c r="I155" i="24"/>
  <c r="J155" i="24" s="1"/>
  <c r="D39" i="25"/>
  <c r="I56" i="25"/>
  <c r="I40" i="25" s="1"/>
  <c r="I24" i="25" s="1"/>
  <c r="B60" i="25"/>
  <c r="B44" i="25" s="1"/>
  <c r="B28" i="25" s="1"/>
  <c r="H49" i="25"/>
  <c r="H33" i="25" s="1"/>
  <c r="P99" i="25"/>
  <c r="P6" i="25" s="1"/>
  <c r="Z115" i="25"/>
  <c r="Z7" i="25" s="1"/>
  <c r="E151" i="25"/>
  <c r="E179" i="25"/>
  <c r="E11" i="25" s="1"/>
  <c r="J120" i="26"/>
  <c r="H133" i="24"/>
  <c r="J133" i="24" s="1"/>
  <c r="D133" i="24"/>
  <c r="D139" i="24"/>
  <c r="U186" i="24"/>
  <c r="V186" i="24" s="1"/>
  <c r="W186" i="24" s="1"/>
  <c r="C45" i="25"/>
  <c r="C29" i="25" s="1"/>
  <c r="E55" i="25"/>
  <c r="E83" i="25"/>
  <c r="E5" i="25" s="1"/>
  <c r="J56" i="25"/>
  <c r="J40" i="25" s="1"/>
  <c r="J24" i="25" s="1"/>
  <c r="E32" i="25"/>
  <c r="D126" i="25"/>
  <c r="D30" i="25" s="1"/>
  <c r="F179" i="25"/>
  <c r="F11" i="25" s="1"/>
  <c r="F151" i="25"/>
  <c r="G120" i="26"/>
  <c r="I69" i="24"/>
  <c r="J69" i="24" s="1"/>
  <c r="G69" i="24"/>
  <c r="J103" i="24"/>
  <c r="D43" i="25"/>
  <c r="D27" i="25" s="1"/>
  <c r="D45" i="25"/>
  <c r="D29" i="25" s="1"/>
  <c r="F55" i="25"/>
  <c r="F83" i="25"/>
  <c r="F5" i="25" s="1"/>
  <c r="K56" i="25"/>
  <c r="K40" i="25" s="1"/>
  <c r="K24" i="25" s="1"/>
  <c r="D60" i="25"/>
  <c r="D44" i="25" s="1"/>
  <c r="D83" i="25"/>
  <c r="D5" i="25" s="1"/>
  <c r="E126" i="25"/>
  <c r="E30" i="25" s="1"/>
  <c r="G179" i="25"/>
  <c r="G11" i="25" s="1"/>
  <c r="G151" i="25"/>
  <c r="G18" i="26"/>
  <c r="I18" i="26"/>
  <c r="J18" i="26" s="1"/>
  <c r="I36" i="26"/>
  <c r="J36" i="26" s="1"/>
  <c r="G36" i="26"/>
  <c r="D85" i="26"/>
  <c r="F43" i="25"/>
  <c r="G55" i="25"/>
  <c r="G83" i="25"/>
  <c r="G5" i="25" s="1"/>
  <c r="M42" i="25"/>
  <c r="M119" i="25"/>
  <c r="O124" i="25"/>
  <c r="O28" i="25" s="1"/>
  <c r="F126" i="25"/>
  <c r="F30" i="25" s="1"/>
  <c r="B58" i="25"/>
  <c r="B42" i="25" s="1"/>
  <c r="B26" i="25" s="1"/>
  <c r="E45" i="25"/>
  <c r="E29" i="25" s="1"/>
  <c r="H83" i="25"/>
  <c r="H5" i="25" s="1"/>
  <c r="H55" i="25"/>
  <c r="I99" i="25"/>
  <c r="I6" i="25" s="1"/>
  <c r="AJ6" i="25" s="1"/>
  <c r="G128" i="25"/>
  <c r="G32" i="25" s="1"/>
  <c r="J195" i="25"/>
  <c r="J12" i="25" s="1"/>
  <c r="G195" i="25"/>
  <c r="G12" i="25" s="1"/>
  <c r="D153" i="25"/>
  <c r="D121" i="25" s="1"/>
  <c r="D195" i="25"/>
  <c r="D12" i="25" s="1"/>
  <c r="W195" i="25"/>
  <c r="W12" i="25" s="1"/>
  <c r="H6" i="26"/>
  <c r="D6" i="26"/>
  <c r="J13" i="26"/>
  <c r="R68" i="26"/>
  <c r="J71" i="26"/>
  <c r="Q124" i="26"/>
  <c r="H124" i="26"/>
  <c r="D124" i="26"/>
  <c r="B32" i="25"/>
  <c r="F45" i="25"/>
  <c r="F29" i="25" s="1"/>
  <c r="I83" i="25"/>
  <c r="I5" i="25" s="1"/>
  <c r="I55" i="25"/>
  <c r="E43" i="25"/>
  <c r="J99" i="25"/>
  <c r="J6" i="25" s="1"/>
  <c r="B127" i="25"/>
  <c r="B31" i="25" s="1"/>
  <c r="K195" i="25"/>
  <c r="K12" i="25" s="1"/>
  <c r="AL12" i="25" s="1"/>
  <c r="K151" i="25"/>
  <c r="G6" i="26"/>
  <c r="I6" i="26"/>
  <c r="H101" i="26"/>
  <c r="D101" i="26"/>
  <c r="U124" i="26"/>
  <c r="I124" i="26"/>
  <c r="G124" i="26"/>
  <c r="I167" i="26"/>
  <c r="J167" i="26" s="1"/>
  <c r="G167" i="26"/>
  <c r="I171" i="26"/>
  <c r="J171" i="26" s="1"/>
  <c r="G171" i="26"/>
  <c r="G29" i="25"/>
  <c r="E31" i="25"/>
  <c r="J83" i="25"/>
  <c r="J5" i="25" s="1"/>
  <c r="J55" i="25"/>
  <c r="K99" i="25"/>
  <c r="K6" i="25" s="1"/>
  <c r="C127" i="25"/>
  <c r="L195" i="25"/>
  <c r="L12" i="25" s="1"/>
  <c r="L151" i="25"/>
  <c r="J10" i="26"/>
  <c r="H44" i="26"/>
  <c r="D44" i="26"/>
  <c r="J163" i="24"/>
  <c r="K55" i="25"/>
  <c r="L99" i="25"/>
  <c r="L6" i="25" s="1"/>
  <c r="L4" i="25" s="1"/>
  <c r="P122" i="25"/>
  <c r="D127" i="25"/>
  <c r="D31" i="25" s="1"/>
  <c r="M195" i="25"/>
  <c r="M12" i="25" s="1"/>
  <c r="AN12" i="25" s="1"/>
  <c r="M151" i="25"/>
  <c r="M163" i="25" s="1"/>
  <c r="G10" i="26"/>
  <c r="J17" i="26"/>
  <c r="H94" i="26"/>
  <c r="D94" i="26"/>
  <c r="H144" i="24"/>
  <c r="J144" i="24" s="1"/>
  <c r="D144" i="24"/>
  <c r="M99" i="25"/>
  <c r="M6" i="25" s="1"/>
  <c r="AN6" i="25" s="1"/>
  <c r="B99" i="25"/>
  <c r="B6" i="25" s="1"/>
  <c r="P49" i="25"/>
  <c r="O125" i="25"/>
  <c r="O29" i="25" s="1"/>
  <c r="E127" i="25"/>
  <c r="N195" i="25"/>
  <c r="N12" i="25" s="1"/>
  <c r="N151" i="25"/>
  <c r="G17" i="26"/>
  <c r="I32" i="26"/>
  <c r="J32" i="26" s="1"/>
  <c r="G32" i="26"/>
  <c r="I94" i="26"/>
  <c r="G94" i="26"/>
  <c r="H118" i="24"/>
  <c r="C31" i="25"/>
  <c r="P26" i="25"/>
  <c r="B33" i="25"/>
  <c r="O99" i="25"/>
  <c r="O6" i="25" s="1"/>
  <c r="D123" i="25"/>
  <c r="G127" i="25"/>
  <c r="G31" i="25" s="1"/>
  <c r="P195" i="25"/>
  <c r="P12" i="25" s="1"/>
  <c r="AQ12" i="25" s="1"/>
  <c r="P151" i="25"/>
  <c r="E44" i="25"/>
  <c r="C33" i="25"/>
  <c r="L63" i="25"/>
  <c r="L47" i="25" s="1"/>
  <c r="L31" i="25" s="1"/>
  <c r="N64" i="25"/>
  <c r="N48" i="25" s="1"/>
  <c r="N32" i="25" s="1"/>
  <c r="M115" i="25"/>
  <c r="M7" i="25" s="1"/>
  <c r="E123" i="25"/>
  <c r="Q195" i="25"/>
  <c r="Q12" i="25" s="1"/>
  <c r="G33" i="26"/>
  <c r="I60" i="26"/>
  <c r="J60" i="26" s="1"/>
  <c r="G60" i="26"/>
  <c r="V64" i="26"/>
  <c r="H146" i="26"/>
  <c r="J146" i="26" s="1"/>
  <c r="D146" i="26"/>
  <c r="R162" i="26"/>
  <c r="S161" i="26"/>
  <c r="J141" i="24"/>
  <c r="N115" i="25"/>
  <c r="N7" i="25" s="1"/>
  <c r="AO7" i="25" s="1"/>
  <c r="K115" i="25"/>
  <c r="K7" i="25" s="1"/>
  <c r="M147" i="25"/>
  <c r="M9" i="25" s="1"/>
  <c r="F123" i="25"/>
  <c r="M124" i="25"/>
  <c r="M28" i="25" s="1"/>
  <c r="Q152" i="25"/>
  <c r="O157" i="25"/>
  <c r="D107" i="26"/>
  <c r="S160" i="26"/>
  <c r="G141" i="24"/>
  <c r="B46" i="25"/>
  <c r="B30" i="25" s="1"/>
  <c r="M27" i="25"/>
  <c r="K83" i="25"/>
  <c r="K5" i="25" s="1"/>
  <c r="O115" i="25"/>
  <c r="O7" i="25" s="1"/>
  <c r="L115" i="25"/>
  <c r="L7" i="25" s="1"/>
  <c r="AM7" i="25" s="1"/>
  <c r="G123" i="25"/>
  <c r="P157" i="25"/>
  <c r="P125" i="25" s="1"/>
  <c r="S195" i="25"/>
  <c r="S12" i="25" s="1"/>
  <c r="Q4" i="26"/>
  <c r="H4" i="26"/>
  <c r="J4" i="26" s="1"/>
  <c r="U28" i="26"/>
  <c r="I28" i="26"/>
  <c r="J28" i="26" s="1"/>
  <c r="G28" i="26"/>
  <c r="R20" i="26"/>
  <c r="I34" i="26"/>
  <c r="J34" i="26" s="1"/>
  <c r="G34" i="26"/>
  <c r="I44" i="25"/>
  <c r="I28" i="25" s="1"/>
  <c r="K65" i="25"/>
  <c r="K49" i="25" s="1"/>
  <c r="K33" i="25" s="1"/>
  <c r="J126" i="25"/>
  <c r="P130" i="25"/>
  <c r="P34" i="25" s="1"/>
  <c r="H179" i="25"/>
  <c r="H11" i="25" s="1"/>
  <c r="B154" i="25"/>
  <c r="B122" i="25" s="1"/>
  <c r="I159" i="25"/>
  <c r="I127" i="25" s="1"/>
  <c r="I31" i="25" s="1"/>
  <c r="H161" i="25"/>
  <c r="H129" i="25" s="1"/>
  <c r="I81" i="26"/>
  <c r="J81" i="26" s="1"/>
  <c r="G81" i="26"/>
  <c r="I107" i="26"/>
  <c r="J107" i="26" s="1"/>
  <c r="G107" i="26"/>
  <c r="I121" i="25"/>
  <c r="I25" i="25" s="1"/>
  <c r="E153" i="25"/>
  <c r="E121" i="25" s="1"/>
  <c r="E25" i="25" s="1"/>
  <c r="C155" i="25"/>
  <c r="C123" i="25" s="1"/>
  <c r="I44" i="26"/>
  <c r="J44" i="26" s="1"/>
  <c r="G44" i="26"/>
  <c r="H61" i="26"/>
  <c r="D61" i="26"/>
  <c r="Q100" i="26"/>
  <c r="H100" i="26"/>
  <c r="D100" i="26"/>
  <c r="I137" i="26"/>
  <c r="J137" i="26" s="1"/>
  <c r="G137" i="26"/>
  <c r="K64" i="25"/>
  <c r="K48" i="25" s="1"/>
  <c r="K32" i="25" s="1"/>
  <c r="N66" i="25"/>
  <c r="N50" i="25" s="1"/>
  <c r="E147" i="25"/>
  <c r="E9" i="25" s="1"/>
  <c r="J121" i="25"/>
  <c r="J25" i="25" s="1"/>
  <c r="L126" i="25"/>
  <c r="G38" i="26"/>
  <c r="R45" i="26"/>
  <c r="I61" i="26"/>
  <c r="J61" i="26" s="1"/>
  <c r="G61" i="26"/>
  <c r="D89" i="26"/>
  <c r="Q89" i="26"/>
  <c r="Q90" i="26" s="1"/>
  <c r="Q91" i="26" s="1"/>
  <c r="Q92" i="26" s="1"/>
  <c r="Q93" i="26" s="1"/>
  <c r="Q94" i="26" s="1"/>
  <c r="Q95" i="26" s="1"/>
  <c r="Q96" i="26" s="1"/>
  <c r="Q97" i="26" s="1"/>
  <c r="Q98" i="26" s="1"/>
  <c r="Q99" i="26" s="1"/>
  <c r="H89" i="26"/>
  <c r="J89" i="26" s="1"/>
  <c r="H103" i="26"/>
  <c r="J103" i="26" s="1"/>
  <c r="D103" i="26"/>
  <c r="H111" i="26"/>
  <c r="J111" i="26" s="1"/>
  <c r="D111" i="26"/>
  <c r="J144" i="26"/>
  <c r="B39" i="25"/>
  <c r="L50" i="25"/>
  <c r="L34" i="25" s="1"/>
  <c r="L64" i="25"/>
  <c r="L48" i="25" s="1"/>
  <c r="L32" i="25" s="1"/>
  <c r="O66" i="25"/>
  <c r="O50" i="25" s="1"/>
  <c r="K121" i="25"/>
  <c r="H125" i="25"/>
  <c r="H29" i="25" s="1"/>
  <c r="M126" i="25"/>
  <c r="H151" i="25"/>
  <c r="G22" i="26"/>
  <c r="D28" i="26"/>
  <c r="D31" i="26"/>
  <c r="J118" i="26"/>
  <c r="U137" i="26"/>
  <c r="C67" i="25"/>
  <c r="C39" i="25"/>
  <c r="K43" i="25"/>
  <c r="K27" i="25" s="1"/>
  <c r="K63" i="25"/>
  <c r="K47" i="25" s="1"/>
  <c r="K31" i="25" s="1"/>
  <c r="M64" i="25"/>
  <c r="M48" i="25" s="1"/>
  <c r="M32" i="25" s="1"/>
  <c r="I125" i="25"/>
  <c r="I29" i="25" s="1"/>
  <c r="N126" i="25"/>
  <c r="G4" i="26"/>
  <c r="U4" i="26"/>
  <c r="J31" i="26"/>
  <c r="Q78" i="26"/>
  <c r="Q79" i="26" s="1"/>
  <c r="Q80" i="26" s="1"/>
  <c r="Q81" i="26" s="1"/>
  <c r="Q82" i="26" s="1"/>
  <c r="Q83" i="26" s="1"/>
  <c r="Q84" i="26" s="1"/>
  <c r="Q85" i="26" s="1"/>
  <c r="Q86" i="26" s="1"/>
  <c r="Q87" i="26" s="1"/>
  <c r="G155" i="25"/>
  <c r="U17" i="26"/>
  <c r="H58" i="26"/>
  <c r="J58" i="26" s="1"/>
  <c r="D58" i="26"/>
  <c r="R126" i="26"/>
  <c r="M63" i="25"/>
  <c r="M47" i="25" s="1"/>
  <c r="M31" i="25" s="1"/>
  <c r="O64" i="25"/>
  <c r="O48" i="25" s="1"/>
  <c r="O32" i="25" s="1"/>
  <c r="K125" i="25"/>
  <c r="K29" i="25" s="1"/>
  <c r="I14" i="26"/>
  <c r="J14" i="26" s="1"/>
  <c r="G14" i="26"/>
  <c r="V16" i="26"/>
  <c r="W16" i="26" s="1"/>
  <c r="I52" i="26"/>
  <c r="G52" i="26"/>
  <c r="H130" i="26"/>
  <c r="L62" i="25"/>
  <c r="L46" i="25" s="1"/>
  <c r="N63" i="25"/>
  <c r="N47" i="25" s="1"/>
  <c r="N31" i="25" s="1"/>
  <c r="P64" i="25"/>
  <c r="P48" i="25" s="1"/>
  <c r="P32" i="25" s="1"/>
  <c r="F120" i="25"/>
  <c r="F24" i="25" s="1"/>
  <c r="L120" i="25"/>
  <c r="V66" i="26"/>
  <c r="U67" i="26"/>
  <c r="I69" i="26"/>
  <c r="G69" i="26"/>
  <c r="G104" i="26"/>
  <c r="I130" i="26"/>
  <c r="J130" i="26" s="1"/>
  <c r="I156" i="26"/>
  <c r="J156" i="26" s="1"/>
  <c r="B57" i="25"/>
  <c r="M62" i="25"/>
  <c r="M46" i="25" s="1"/>
  <c r="M30" i="25" s="1"/>
  <c r="O63" i="25"/>
  <c r="O47" i="25" s="1"/>
  <c r="M120" i="25"/>
  <c r="M24" i="25" s="1"/>
  <c r="G124" i="25"/>
  <c r="G28" i="25" s="1"/>
  <c r="M125" i="25"/>
  <c r="M29" i="25" s="1"/>
  <c r="H195" i="25"/>
  <c r="H12" i="25" s="1"/>
  <c r="AI12" i="25" s="1"/>
  <c r="B195" i="25"/>
  <c r="B12" i="25" s="1"/>
  <c r="X195" i="25"/>
  <c r="X12" i="25" s="1"/>
  <c r="Q17" i="26"/>
  <c r="H17" i="26"/>
  <c r="V65" i="26"/>
  <c r="G115" i="26"/>
  <c r="I115" i="26"/>
  <c r="J115" i="26" s="1"/>
  <c r="I162" i="26"/>
  <c r="J162" i="26" s="1"/>
  <c r="G162" i="26"/>
  <c r="N42" i="25"/>
  <c r="N26" i="25" s="1"/>
  <c r="N62" i="25"/>
  <c r="N46" i="25" s="1"/>
  <c r="N30" i="25" s="1"/>
  <c r="P63" i="25"/>
  <c r="P47" i="25" s="1"/>
  <c r="P31" i="25" s="1"/>
  <c r="F99" i="25"/>
  <c r="F6" i="25" s="1"/>
  <c r="AG6" i="25" s="1"/>
  <c r="N120" i="25"/>
  <c r="N24" i="25" s="1"/>
  <c r="H124" i="25"/>
  <c r="I195" i="25"/>
  <c r="I12" i="25" s="1"/>
  <c r="AJ12" i="25" s="1"/>
  <c r="F195" i="25"/>
  <c r="F12" i="25" s="1"/>
  <c r="AG12" i="25" s="1"/>
  <c r="C195" i="25"/>
  <c r="C12" i="25" s="1"/>
  <c r="AD12" i="25" s="1"/>
  <c r="V195" i="25"/>
  <c r="V12" i="25" s="1"/>
  <c r="H9" i="26"/>
  <c r="D9" i="26"/>
  <c r="D17" i="26"/>
  <c r="J20" i="26"/>
  <c r="U52" i="26"/>
  <c r="H63" i="26"/>
  <c r="D63" i="26"/>
  <c r="R139" i="26"/>
  <c r="I50" i="26"/>
  <c r="G50" i="26"/>
  <c r="H53" i="26"/>
  <c r="D53" i="26"/>
  <c r="H67" i="26"/>
  <c r="D67" i="26"/>
  <c r="R79" i="26"/>
  <c r="S78" i="26"/>
  <c r="I95" i="26"/>
  <c r="J95" i="26" s="1"/>
  <c r="G95" i="26"/>
  <c r="H5" i="26"/>
  <c r="D5" i="26"/>
  <c r="G15" i="26"/>
  <c r="I15" i="26"/>
  <c r="D45" i="26"/>
  <c r="D47" i="26"/>
  <c r="I53" i="26"/>
  <c r="G53" i="26"/>
  <c r="H56" i="26"/>
  <c r="D56" i="26"/>
  <c r="J174" i="26"/>
  <c r="R186" i="26"/>
  <c r="S186" i="26" s="1"/>
  <c r="S185" i="26"/>
  <c r="G47" i="26"/>
  <c r="I47" i="26"/>
  <c r="J47" i="26" s="1"/>
  <c r="Q53" i="26"/>
  <c r="Q54" i="26" s="1"/>
  <c r="Q55" i="26" s="1"/>
  <c r="Q56" i="26" s="1"/>
  <c r="Q57" i="26" s="1"/>
  <c r="Q58" i="26" s="1"/>
  <c r="Q59" i="26" s="1"/>
  <c r="Q60" i="26" s="1"/>
  <c r="Q61" i="26" s="1"/>
  <c r="Q62" i="26" s="1"/>
  <c r="Q63" i="26" s="1"/>
  <c r="D71" i="26"/>
  <c r="H71" i="26"/>
  <c r="D74" i="26"/>
  <c r="H79" i="26"/>
  <c r="J79" i="26" s="1"/>
  <c r="D79" i="26"/>
  <c r="G89" i="26"/>
  <c r="I132" i="26"/>
  <c r="J132" i="26" s="1"/>
  <c r="G132" i="26"/>
  <c r="R7" i="26"/>
  <c r="D8" i="26"/>
  <c r="D32" i="26"/>
  <c r="R55" i="26"/>
  <c r="J74" i="26"/>
  <c r="S76" i="26"/>
  <c r="L129" i="25"/>
  <c r="L33" i="25" s="1"/>
  <c r="R195" i="25"/>
  <c r="R12" i="25" s="1"/>
  <c r="AS12" i="25" s="1"/>
  <c r="G13" i="26"/>
  <c r="G20" i="26"/>
  <c r="I40" i="26"/>
  <c r="J40" i="26" s="1"/>
  <c r="G40" i="26"/>
  <c r="U40" i="26"/>
  <c r="S53" i="26"/>
  <c r="J56" i="26"/>
  <c r="G74" i="26"/>
  <c r="D92" i="26"/>
  <c r="J102" i="26"/>
  <c r="J109" i="26"/>
  <c r="T195" i="25"/>
  <c r="T12" i="25" s="1"/>
  <c r="H25" i="26"/>
  <c r="D25" i="26"/>
  <c r="I62" i="26"/>
  <c r="G62" i="26"/>
  <c r="J68" i="26"/>
  <c r="O160" i="25"/>
  <c r="O128" i="25" s="1"/>
  <c r="U195" i="25"/>
  <c r="U12" i="25" s="1"/>
  <c r="H35" i="26"/>
  <c r="D35" i="26"/>
  <c r="D48" i="26"/>
  <c r="H48" i="26"/>
  <c r="C147" i="25"/>
  <c r="C9" i="25" s="1"/>
  <c r="P129" i="25"/>
  <c r="N130" i="25"/>
  <c r="J154" i="25"/>
  <c r="J122" i="25" s="1"/>
  <c r="J26" i="25" s="1"/>
  <c r="I48" i="26"/>
  <c r="J48" i="26" s="1"/>
  <c r="G48" i="26"/>
  <c r="D57" i="26"/>
  <c r="R90" i="26"/>
  <c r="S89" i="26"/>
  <c r="G106" i="26"/>
  <c r="U114" i="26"/>
  <c r="V113" i="26"/>
  <c r="H142" i="26"/>
  <c r="D142" i="26"/>
  <c r="D147" i="25"/>
  <c r="D9" i="25" s="1"/>
  <c r="O130" i="25"/>
  <c r="P152" i="25"/>
  <c r="P120" i="25" s="1"/>
  <c r="M153" i="25"/>
  <c r="M121" i="25" s="1"/>
  <c r="K154" i="25"/>
  <c r="K122" i="25" s="1"/>
  <c r="H18" i="26"/>
  <c r="D18" i="26"/>
  <c r="H23" i="26"/>
  <c r="J23" i="26" s="1"/>
  <c r="D23" i="26"/>
  <c r="J25" i="26"/>
  <c r="J72" i="26"/>
  <c r="W112" i="26"/>
  <c r="I142" i="26"/>
  <c r="J142" i="26" s="1"/>
  <c r="G142" i="26"/>
  <c r="H62" i="26"/>
  <c r="D62" i="26"/>
  <c r="H69" i="26"/>
  <c r="D69" i="26"/>
  <c r="S77" i="26"/>
  <c r="H39" i="26"/>
  <c r="D39" i="26"/>
  <c r="I67" i="26"/>
  <c r="G67" i="26"/>
  <c r="H72" i="26"/>
  <c r="D72" i="26"/>
  <c r="V186" i="26"/>
  <c r="W186" i="26" s="1"/>
  <c r="B157" i="25"/>
  <c r="I12" i="26"/>
  <c r="J12" i="26" s="1"/>
  <c r="D14" i="26"/>
  <c r="G19" i="26"/>
  <c r="D27" i="26"/>
  <c r="H29" i="26"/>
  <c r="J29" i="26" s="1"/>
  <c r="G31" i="26"/>
  <c r="J35" i="26"/>
  <c r="I39" i="26"/>
  <c r="J39" i="26" s="1"/>
  <c r="G39" i="26"/>
  <c r="I85" i="26"/>
  <c r="J85" i="26" s="1"/>
  <c r="G85" i="26"/>
  <c r="V160" i="26"/>
  <c r="W160" i="26" s="1"/>
  <c r="U161" i="26"/>
  <c r="V185" i="26"/>
  <c r="W185" i="26" s="1"/>
  <c r="H21" i="26"/>
  <c r="J21" i="26" s="1"/>
  <c r="D21" i="26"/>
  <c r="I27" i="26"/>
  <c r="J27" i="26" s="1"/>
  <c r="G27" i="26"/>
  <c r="I54" i="26"/>
  <c r="G54" i="26"/>
  <c r="H90" i="26"/>
  <c r="J90" i="26" s="1"/>
  <c r="D90" i="26"/>
  <c r="R103" i="26"/>
  <c r="H134" i="26"/>
  <c r="D134" i="26"/>
  <c r="D161" i="25"/>
  <c r="D129" i="25" s="1"/>
  <c r="D54" i="26"/>
  <c r="H54" i="26"/>
  <c r="D70" i="26"/>
  <c r="D80" i="26"/>
  <c r="J96" i="26"/>
  <c r="I134" i="26"/>
  <c r="J134" i="26" s="1"/>
  <c r="G134" i="26"/>
  <c r="H160" i="25"/>
  <c r="H128" i="25" s="1"/>
  <c r="H32" i="25" s="1"/>
  <c r="E161" i="25"/>
  <c r="B162" i="25"/>
  <c r="B130" i="25" s="1"/>
  <c r="I80" i="26"/>
  <c r="J80" i="26" s="1"/>
  <c r="G80" i="26"/>
  <c r="I150" i="26"/>
  <c r="J150" i="26" s="1"/>
  <c r="G150" i="26"/>
  <c r="D156" i="25"/>
  <c r="G5" i="26"/>
  <c r="H52" i="26"/>
  <c r="J65" i="26"/>
  <c r="G70" i="26"/>
  <c r="H93" i="26"/>
  <c r="J93" i="26" s="1"/>
  <c r="D93" i="26"/>
  <c r="G111" i="26"/>
  <c r="E156" i="25"/>
  <c r="E124" i="25" s="1"/>
  <c r="I83" i="26"/>
  <c r="J83" i="26" s="1"/>
  <c r="G83" i="26"/>
  <c r="J99" i="26"/>
  <c r="I116" i="26"/>
  <c r="J116" i="26" s="1"/>
  <c r="G116" i="26"/>
  <c r="I125" i="26"/>
  <c r="J125" i="26" s="1"/>
  <c r="G125" i="26"/>
  <c r="U177" i="26"/>
  <c r="V176" i="26"/>
  <c r="F156" i="25"/>
  <c r="F124" i="25" s="1"/>
  <c r="F28" i="25" s="1"/>
  <c r="H16" i="26"/>
  <c r="J16" i="26" s="1"/>
  <c r="H102" i="26"/>
  <c r="D102" i="26"/>
  <c r="I122" i="26"/>
  <c r="J122" i="26" s="1"/>
  <c r="G122" i="26"/>
  <c r="I126" i="26"/>
  <c r="J126" i="26" s="1"/>
  <c r="G126" i="26"/>
  <c r="I143" i="26"/>
  <c r="J143" i="26" s="1"/>
  <c r="G143" i="26"/>
  <c r="I105" i="26"/>
  <c r="J105" i="26" s="1"/>
  <c r="G105" i="26"/>
  <c r="J73" i="26"/>
  <c r="D88" i="26"/>
  <c r="U100" i="26"/>
  <c r="I100" i="26"/>
  <c r="J100" i="26" s="1"/>
  <c r="H105" i="26"/>
  <c r="D105" i="26"/>
  <c r="G117" i="26"/>
  <c r="I157" i="26"/>
  <c r="J157" i="26" s="1"/>
  <c r="G157" i="26"/>
  <c r="V88" i="26"/>
  <c r="W88" i="26" s="1"/>
  <c r="U89" i="26"/>
  <c r="S173" i="26"/>
  <c r="R174" i="26"/>
  <c r="Q64" i="26"/>
  <c r="Q65" i="26" s="1"/>
  <c r="Q66" i="26" s="1"/>
  <c r="D110" i="26"/>
  <c r="G148" i="26"/>
  <c r="U148" i="26"/>
  <c r="S172" i="26"/>
  <c r="S65" i="26"/>
  <c r="H88" i="26"/>
  <c r="J88" i="26" s="1"/>
  <c r="H132" i="26"/>
  <c r="D132" i="26"/>
  <c r="Q148" i="26"/>
  <c r="J166" i="26"/>
  <c r="I170" i="26"/>
  <c r="J170" i="26" s="1"/>
  <c r="S64" i="26"/>
  <c r="V136" i="26"/>
  <c r="R150" i="26"/>
  <c r="G166" i="26"/>
  <c r="V174" i="26"/>
  <c r="H83" i="26"/>
  <c r="D83" i="26"/>
  <c r="I112" i="26"/>
  <c r="J112" i="26" s="1"/>
  <c r="G112" i="26"/>
  <c r="G153" i="26"/>
  <c r="G163" i="26"/>
  <c r="V172" i="26"/>
  <c r="W172" i="26" s="1"/>
  <c r="X184" i="26" s="1"/>
  <c r="J110" i="26"/>
  <c r="H76" i="26"/>
  <c r="J76" i="26" s="1"/>
  <c r="S113" i="26"/>
  <c r="I161" i="26"/>
  <c r="J161" i="26" s="1"/>
  <c r="G161" i="26"/>
  <c r="S52" i="26"/>
  <c r="J87" i="26"/>
  <c r="S112" i="26"/>
  <c r="R114" i="26"/>
  <c r="G133" i="26"/>
  <c r="J159" i="26"/>
  <c r="J139" i="26"/>
  <c r="G91" i="26"/>
  <c r="G102" i="26"/>
  <c r="G136" i="26"/>
  <c r="G149" i="26"/>
  <c r="Y20" i="11" l="1"/>
  <c r="Y21" i="6" s="1"/>
  <c r="R71" i="11"/>
  <c r="T11" i="11"/>
  <c r="AR137" i="18"/>
  <c r="BA136" i="18"/>
  <c r="BC136" i="18" s="1"/>
  <c r="AT136" i="18"/>
  <c r="R136" i="19"/>
  <c r="BP136" i="19"/>
  <c r="S136" i="19"/>
  <c r="BD334" i="11"/>
  <c r="L189" i="4"/>
  <c r="L95" i="5" s="1"/>
  <c r="L337" i="11"/>
  <c r="BD337" i="11" s="1"/>
  <c r="R58" i="24"/>
  <c r="AV166" i="18"/>
  <c r="AW165" i="18"/>
  <c r="K5" i="23"/>
  <c r="AL81" i="23"/>
  <c r="L94" i="5"/>
  <c r="BO6" i="9"/>
  <c r="AJ79" i="22"/>
  <c r="AU78" i="22"/>
  <c r="AL78" i="22"/>
  <c r="AU17" i="20"/>
  <c r="AY17" i="20" s="1"/>
  <c r="AA17" i="20"/>
  <c r="Z18" i="20"/>
  <c r="AR125" i="18"/>
  <c r="AT124" i="18"/>
  <c r="K244" i="15"/>
  <c r="K46" i="15"/>
  <c r="C3" i="17"/>
  <c r="AU3" i="17" s="1"/>
  <c r="AS324" i="15"/>
  <c r="L20" i="15"/>
  <c r="V150" i="8"/>
  <c r="U151" i="8"/>
  <c r="AO17" i="20"/>
  <c r="AL18" i="20"/>
  <c r="AX103" i="18"/>
  <c r="AZ102" i="18"/>
  <c r="AY164" i="15"/>
  <c r="O9" i="15"/>
  <c r="AY9" i="15" s="1"/>
  <c r="AM21" i="14"/>
  <c r="AR118" i="23"/>
  <c r="O22" i="23"/>
  <c r="AR22" i="23" s="1"/>
  <c r="AQ56" i="22"/>
  <c r="AT55" i="22"/>
  <c r="B152" i="3"/>
  <c r="B200" i="3"/>
  <c r="AS346" i="11"/>
  <c r="AS345" i="11"/>
  <c r="AJ102" i="3"/>
  <c r="AK102" i="3" s="1"/>
  <c r="AX85" i="4"/>
  <c r="AY85" i="4" s="1"/>
  <c r="AT45" i="23"/>
  <c r="P29" i="23"/>
  <c r="AT29" i="23" s="1"/>
  <c r="AH53" i="22"/>
  <c r="AG54" i="22"/>
  <c r="AV53" i="22"/>
  <c r="BF156" i="19"/>
  <c r="L44" i="19"/>
  <c r="BF44" i="19" s="1"/>
  <c r="AM91" i="14"/>
  <c r="BA90" i="14"/>
  <c r="AV90" i="18"/>
  <c r="AW89" i="18"/>
  <c r="BB89" i="18"/>
  <c r="AW393" i="15"/>
  <c r="N41" i="15"/>
  <c r="AW41" i="15" s="1"/>
  <c r="L68" i="4"/>
  <c r="L133" i="4"/>
  <c r="L165" i="4" s="1"/>
  <c r="AT100" i="16"/>
  <c r="AR101" i="16"/>
  <c r="F427" i="13"/>
  <c r="F431" i="13" s="1"/>
  <c r="F25" i="13" s="1"/>
  <c r="AX25" i="13" s="1"/>
  <c r="F447" i="13"/>
  <c r="F26" i="13" s="1"/>
  <c r="M447" i="13"/>
  <c r="M26" i="13" s="1"/>
  <c r="M419" i="13"/>
  <c r="M431" i="13" s="1"/>
  <c r="M25" i="13" s="1"/>
  <c r="BD267" i="11"/>
  <c r="L105" i="4"/>
  <c r="L123" i="11"/>
  <c r="AP10" i="11"/>
  <c r="AQ126" i="22"/>
  <c r="AT125" i="22"/>
  <c r="AS125" i="22"/>
  <c r="AU149" i="22"/>
  <c r="AJ150" i="22"/>
  <c r="N39" i="14"/>
  <c r="D446" i="13"/>
  <c r="D430" i="13" s="1"/>
  <c r="O39" i="14"/>
  <c r="R39" i="14" s="1"/>
  <c r="V5" i="24"/>
  <c r="W5" i="24" s="1"/>
  <c r="U6" i="24"/>
  <c r="AI41" i="16"/>
  <c r="AK40" i="16"/>
  <c r="O66" i="17"/>
  <c r="O3" i="17"/>
  <c r="BC58" i="15"/>
  <c r="Q42" i="15"/>
  <c r="BC42" i="15" s="1"/>
  <c r="H15" i="19"/>
  <c r="H61" i="6"/>
  <c r="P36" i="13"/>
  <c r="P63" i="13"/>
  <c r="Q129" i="24"/>
  <c r="S129" i="24" s="1"/>
  <c r="S128" i="24"/>
  <c r="AD9" i="22"/>
  <c r="AE8" i="22"/>
  <c r="AN7" i="21"/>
  <c r="L6" i="21"/>
  <c r="D43" i="19"/>
  <c r="D157" i="19"/>
  <c r="D41" i="15"/>
  <c r="D196" i="15"/>
  <c r="BK60" i="11"/>
  <c r="BH61" i="11"/>
  <c r="BH62" i="11" s="1"/>
  <c r="S30" i="24"/>
  <c r="R31" i="24"/>
  <c r="AR77" i="16"/>
  <c r="AT76" i="16"/>
  <c r="P45" i="25"/>
  <c r="P29" i="25" s="1"/>
  <c r="P67" i="25"/>
  <c r="AR155" i="23"/>
  <c r="O123" i="23"/>
  <c r="AL11" i="21"/>
  <c r="J9" i="21"/>
  <c r="AL9" i="21" s="1"/>
  <c r="AJ141" i="20"/>
  <c r="AK140" i="20"/>
  <c r="K49" i="17"/>
  <c r="K66" i="17"/>
  <c r="BA286" i="15"/>
  <c r="P292" i="15"/>
  <c r="BA292" i="15" s="1"/>
  <c r="BS14" i="15"/>
  <c r="Y26" i="6"/>
  <c r="BK13" i="13"/>
  <c r="X13" i="1"/>
  <c r="O38" i="13"/>
  <c r="O63" i="13"/>
  <c r="D43" i="11"/>
  <c r="D65" i="11"/>
  <c r="BK54" i="11"/>
  <c r="AB162" i="8"/>
  <c r="AA163" i="8"/>
  <c r="BA15" i="17"/>
  <c r="Z15" i="17"/>
  <c r="I14" i="17"/>
  <c r="S116" i="10"/>
  <c r="R117" i="10"/>
  <c r="BK97" i="11"/>
  <c r="P44" i="6"/>
  <c r="P67" i="6" s="1"/>
  <c r="P5" i="11"/>
  <c r="BK5" i="11" s="1"/>
  <c r="AH143" i="3"/>
  <c r="AI143" i="3" s="1"/>
  <c r="AE143" i="3"/>
  <c r="BH93" i="19"/>
  <c r="M5" i="19"/>
  <c r="M57" i="6"/>
  <c r="Q278" i="17"/>
  <c r="G20" i="13"/>
  <c r="AY21" i="13"/>
  <c r="AW160" i="20"/>
  <c r="AV160" i="20"/>
  <c r="AT90" i="18"/>
  <c r="AS91" i="18"/>
  <c r="L194" i="17"/>
  <c r="L39" i="17"/>
  <c r="AY67" i="15"/>
  <c r="BA240" i="15"/>
  <c r="P244" i="15"/>
  <c r="BA244" i="15" s="1"/>
  <c r="AS60" i="15"/>
  <c r="L44" i="15"/>
  <c r="AS44" i="15" s="1"/>
  <c r="L296" i="4"/>
  <c r="L395" i="3"/>
  <c r="L68" i="15"/>
  <c r="CG9" i="13"/>
  <c r="G324" i="13"/>
  <c r="G36" i="13" s="1"/>
  <c r="G351" i="13"/>
  <c r="B4" i="11"/>
  <c r="B43" i="6"/>
  <c r="I391" i="3"/>
  <c r="I37" i="7"/>
  <c r="AA7" i="8"/>
  <c r="AB6" i="8"/>
  <c r="AF197" i="3"/>
  <c r="AG197" i="3"/>
  <c r="AV30" i="18"/>
  <c r="AW29" i="18"/>
  <c r="AF11" i="25"/>
  <c r="E10" i="25"/>
  <c r="AQ103" i="22"/>
  <c r="AT102" i="22"/>
  <c r="O157" i="21"/>
  <c r="E163" i="25"/>
  <c r="E119" i="25"/>
  <c r="E131" i="25" s="1"/>
  <c r="J7" i="17"/>
  <c r="AA8" i="17"/>
  <c r="BB8" i="17"/>
  <c r="C395" i="3"/>
  <c r="C444" i="3" s="1"/>
  <c r="G69" i="5"/>
  <c r="G15" i="5"/>
  <c r="BL36" i="19"/>
  <c r="AX160" i="14"/>
  <c r="AW161" i="14"/>
  <c r="AY160" i="14"/>
  <c r="CF9" i="13"/>
  <c r="H5" i="11"/>
  <c r="H44" i="6"/>
  <c r="H67" i="6" s="1"/>
  <c r="BM106" i="11"/>
  <c r="Q40" i="4"/>
  <c r="R106" i="11"/>
  <c r="S106" i="11" s="1"/>
  <c r="L8" i="25"/>
  <c r="AL104" i="20"/>
  <c r="AO103" i="20"/>
  <c r="K370" i="17"/>
  <c r="K44" i="17"/>
  <c r="G41" i="17"/>
  <c r="G66" i="17"/>
  <c r="O124" i="13"/>
  <c r="O44" i="13" s="1"/>
  <c r="O125" i="3"/>
  <c r="J174" i="4"/>
  <c r="N6" i="14"/>
  <c r="B437" i="13"/>
  <c r="B421" i="13" s="1"/>
  <c r="O6" i="14"/>
  <c r="R6" i="14" s="1"/>
  <c r="AZ53" i="18"/>
  <c r="AX54" i="18"/>
  <c r="D116" i="13"/>
  <c r="D36" i="13" s="1"/>
  <c r="D101" i="3"/>
  <c r="D143" i="13"/>
  <c r="K25" i="7"/>
  <c r="K53" i="7"/>
  <c r="BH53" i="7" s="1"/>
  <c r="AY5" i="17"/>
  <c r="G3" i="17"/>
  <c r="AY3" i="17" s="1"/>
  <c r="AJ55" i="16"/>
  <c r="AK54" i="16"/>
  <c r="BH184" i="11"/>
  <c r="BH187" i="11"/>
  <c r="R325" i="19"/>
  <c r="S341" i="19"/>
  <c r="Y21" i="17"/>
  <c r="AZ19" i="17"/>
  <c r="AS126" i="16"/>
  <c r="AT125" i="16"/>
  <c r="AW243" i="15"/>
  <c r="N51" i="15"/>
  <c r="AW51" i="15" s="1"/>
  <c r="N244" i="15"/>
  <c r="AW244" i="15" s="1"/>
  <c r="BM344" i="11"/>
  <c r="AT344" i="11"/>
  <c r="Q247" i="3"/>
  <c r="Q199" i="4"/>
  <c r="R344" i="11"/>
  <c r="S376" i="11" s="1"/>
  <c r="BF136" i="11"/>
  <c r="M120" i="11"/>
  <c r="M86" i="4"/>
  <c r="M145" i="11"/>
  <c r="E36" i="5"/>
  <c r="E344" i="4"/>
  <c r="E21" i="6"/>
  <c r="AL103" i="16"/>
  <c r="AL104" i="16" s="1"/>
  <c r="AL105" i="16" s="1"/>
  <c r="AL106" i="16" s="1"/>
  <c r="AL107" i="16" s="1"/>
  <c r="AL108" i="16" s="1"/>
  <c r="AL109" i="16" s="1"/>
  <c r="AL110" i="16" s="1"/>
  <c r="AL111" i="16" s="1"/>
  <c r="AN102" i="16"/>
  <c r="K396" i="3"/>
  <c r="BF333" i="11"/>
  <c r="M188" i="4"/>
  <c r="M171" i="3"/>
  <c r="M317" i="3" s="1"/>
  <c r="M335" i="3"/>
  <c r="L25" i="17"/>
  <c r="AC26" i="17"/>
  <c r="C143" i="3"/>
  <c r="C144" i="3" s="1"/>
  <c r="C207" i="13"/>
  <c r="C126" i="13"/>
  <c r="C46" i="13" s="1"/>
  <c r="AF21" i="17"/>
  <c r="N106" i="17"/>
  <c r="N42" i="17" s="1"/>
  <c r="N104" i="3"/>
  <c r="AY21" i="17"/>
  <c r="G22" i="17"/>
  <c r="N20" i="14"/>
  <c r="C439" i="13"/>
  <c r="C423" i="13" s="1"/>
  <c r="H344" i="4"/>
  <c r="H4" i="5"/>
  <c r="H7" i="5" s="1"/>
  <c r="Q147" i="25"/>
  <c r="Q9" i="25" s="1"/>
  <c r="J13" i="19"/>
  <c r="J59" i="6"/>
  <c r="B11" i="17"/>
  <c r="AT12" i="17"/>
  <c r="H48" i="17"/>
  <c r="H66" i="17"/>
  <c r="E427" i="13"/>
  <c r="E431" i="13" s="1"/>
  <c r="E25" i="13" s="1"/>
  <c r="AW25" i="13" s="1"/>
  <c r="E447" i="13"/>
  <c r="E26" i="13" s="1"/>
  <c r="AW26" i="13" s="1"/>
  <c r="AZ22" i="17"/>
  <c r="Y24" i="17"/>
  <c r="B10" i="17"/>
  <c r="B13" i="17"/>
  <c r="AX115" i="16"/>
  <c r="AZ114" i="16"/>
  <c r="AM163" i="14"/>
  <c r="BA162" i="14"/>
  <c r="AW4" i="17"/>
  <c r="E3" i="17"/>
  <c r="AW3" i="17" s="1"/>
  <c r="X32" i="8"/>
  <c r="K4" i="7"/>
  <c r="BH69" i="7"/>
  <c r="L127" i="4"/>
  <c r="L71" i="4"/>
  <c r="L60" i="5"/>
  <c r="L152" i="4"/>
  <c r="L168" i="4" s="1"/>
  <c r="B25" i="17"/>
  <c r="AT23" i="17" s="1"/>
  <c r="AT24" i="17"/>
  <c r="AN137" i="18"/>
  <c r="AM138" i="18"/>
  <c r="BB137" i="18"/>
  <c r="F370" i="17"/>
  <c r="F43" i="17"/>
  <c r="AV185" i="20"/>
  <c r="AW185" i="20"/>
  <c r="AM92" i="18"/>
  <c r="AN91" i="18"/>
  <c r="E271" i="13"/>
  <c r="E116" i="3"/>
  <c r="E115" i="13"/>
  <c r="AT345" i="11"/>
  <c r="Q329" i="11"/>
  <c r="BM345" i="11"/>
  <c r="R345" i="11"/>
  <c r="S345" i="11" s="1"/>
  <c r="Q200" i="4"/>
  <c r="Q248" i="3"/>
  <c r="C118" i="13"/>
  <c r="C38" i="13" s="1"/>
  <c r="C103" i="3"/>
  <c r="I402" i="3"/>
  <c r="I451" i="3" s="1"/>
  <c r="I240" i="4"/>
  <c r="F67" i="25"/>
  <c r="F39" i="25"/>
  <c r="V114" i="26"/>
  <c r="U115" i="26"/>
  <c r="M26" i="25"/>
  <c r="M51" i="25"/>
  <c r="O39" i="21"/>
  <c r="O109" i="21"/>
  <c r="J269" i="21"/>
  <c r="R330" i="19"/>
  <c r="S346" i="19"/>
  <c r="U346" i="19" s="1"/>
  <c r="AR113" i="18"/>
  <c r="AT112" i="18"/>
  <c r="BA112" i="18"/>
  <c r="BC112" i="18" s="1"/>
  <c r="BD112" i="18" s="1"/>
  <c r="E45" i="21"/>
  <c r="F335" i="13"/>
  <c r="BY17" i="13"/>
  <c r="AG16" i="13"/>
  <c r="BY16" i="13" s="1"/>
  <c r="BB266" i="11"/>
  <c r="K104" i="4"/>
  <c r="BD353" i="11"/>
  <c r="L22" i="11"/>
  <c r="Q351" i="11"/>
  <c r="R383" i="11" s="1"/>
  <c r="Q381" i="11"/>
  <c r="Q346" i="11"/>
  <c r="R378" i="11" s="1"/>
  <c r="Q380" i="11"/>
  <c r="BD283" i="19"/>
  <c r="BD284" i="19"/>
  <c r="Q377" i="11"/>
  <c r="Q383" i="11"/>
  <c r="Q376" i="11"/>
  <c r="Q347" i="11"/>
  <c r="Q350" i="11"/>
  <c r="Q382" i="11"/>
  <c r="BD276" i="19"/>
  <c r="Q378" i="11"/>
  <c r="Q379" i="11"/>
  <c r="Q349" i="11"/>
  <c r="R381" i="11" s="1"/>
  <c r="BD277" i="19"/>
  <c r="Q348" i="11"/>
  <c r="C51" i="25"/>
  <c r="C23" i="25"/>
  <c r="C35" i="25" s="1"/>
  <c r="P33" i="19"/>
  <c r="P61" i="19"/>
  <c r="AZ17" i="13"/>
  <c r="H16" i="13"/>
  <c r="AZ16" i="13" s="1"/>
  <c r="C39" i="13"/>
  <c r="C63" i="13"/>
  <c r="E231" i="4"/>
  <c r="E393" i="3"/>
  <c r="H232" i="4"/>
  <c r="H394" i="3"/>
  <c r="BJ144" i="7"/>
  <c r="L32" i="7"/>
  <c r="U162" i="26"/>
  <c r="V161" i="26"/>
  <c r="W161" i="26" s="1"/>
  <c r="AH5" i="25"/>
  <c r="G4" i="25"/>
  <c r="AY185" i="20"/>
  <c r="BL268" i="19"/>
  <c r="O191" i="4"/>
  <c r="P4" i="19"/>
  <c r="BN77" i="19"/>
  <c r="P55" i="6"/>
  <c r="D110" i="17"/>
  <c r="D46" i="17" s="1"/>
  <c r="D108" i="3"/>
  <c r="AW9" i="13"/>
  <c r="E8" i="13"/>
  <c r="E30" i="1"/>
  <c r="F402" i="3"/>
  <c r="M24" i="11"/>
  <c r="BF385" i="11"/>
  <c r="M48" i="6"/>
  <c r="BF209" i="11"/>
  <c r="L159" i="4"/>
  <c r="M62" i="5"/>
  <c r="J15" i="26"/>
  <c r="K65" i="23"/>
  <c r="AL65" i="23" s="1"/>
  <c r="K37" i="23"/>
  <c r="AH82" i="22"/>
  <c r="AG83" i="22"/>
  <c r="AJ128" i="20"/>
  <c r="AV24" i="17"/>
  <c r="D25" i="17"/>
  <c r="AV23" i="17" s="1"/>
  <c r="AK88" i="18"/>
  <c r="AI89" i="18"/>
  <c r="BA88" i="18"/>
  <c r="BC88" i="18" s="1"/>
  <c r="AH18" i="16"/>
  <c r="AG19" i="16"/>
  <c r="AK78" i="14"/>
  <c r="AN77" i="14"/>
  <c r="AL16" i="13"/>
  <c r="CD16" i="13" s="1"/>
  <c r="CD17" i="13"/>
  <c r="CD9" i="13"/>
  <c r="F236" i="4"/>
  <c r="F398" i="3"/>
  <c r="BP9" i="13"/>
  <c r="X30" i="1"/>
  <c r="M10" i="7"/>
  <c r="BL165" i="7"/>
  <c r="O34" i="7"/>
  <c r="BP50" i="7"/>
  <c r="B142" i="4"/>
  <c r="B174" i="4" s="1"/>
  <c r="B77" i="4"/>
  <c r="B351" i="4" s="1"/>
  <c r="R8" i="26"/>
  <c r="O31" i="25"/>
  <c r="O51" i="25"/>
  <c r="AX172" i="22"/>
  <c r="AW172" i="22"/>
  <c r="BA172" i="22" s="1"/>
  <c r="AP159" i="23"/>
  <c r="N127" i="23"/>
  <c r="AP127" i="23" s="1"/>
  <c r="N161" i="23"/>
  <c r="AP161" i="23" s="1"/>
  <c r="K45" i="21"/>
  <c r="AB30" i="20"/>
  <c r="AS29" i="20"/>
  <c r="AD140" i="20"/>
  <c r="AC141" i="20"/>
  <c r="BJ141" i="19"/>
  <c r="N8" i="19"/>
  <c r="BJ8" i="19" s="1"/>
  <c r="R129" i="19"/>
  <c r="R130" i="19"/>
  <c r="R131" i="19"/>
  <c r="Q133" i="19"/>
  <c r="AS67" i="16"/>
  <c r="AT66" i="16"/>
  <c r="AU436" i="15"/>
  <c r="M27" i="15"/>
  <c r="AU27" i="15" s="1"/>
  <c r="CW27" i="15" s="1"/>
  <c r="E28" i="6"/>
  <c r="AW212" i="15"/>
  <c r="N12" i="15"/>
  <c r="AE12" i="17" s="1"/>
  <c r="AS44" i="16"/>
  <c r="I105" i="4"/>
  <c r="I123" i="11"/>
  <c r="I43" i="11" s="1"/>
  <c r="I235" i="4" s="1"/>
  <c r="BN147" i="7"/>
  <c r="N150" i="7"/>
  <c r="E63" i="5"/>
  <c r="AH5" i="3"/>
  <c r="AE5" i="3"/>
  <c r="V77" i="26"/>
  <c r="W77" i="26" s="1"/>
  <c r="U78" i="26"/>
  <c r="AP47" i="23"/>
  <c r="N31" i="23"/>
  <c r="AP31" i="23" s="1"/>
  <c r="AR11" i="21"/>
  <c r="P9" i="21"/>
  <c r="N186" i="4"/>
  <c r="N269" i="19"/>
  <c r="BD210" i="19"/>
  <c r="F45" i="19"/>
  <c r="B373" i="19"/>
  <c r="B389" i="19" s="1"/>
  <c r="B31" i="6"/>
  <c r="L14" i="17"/>
  <c r="AC15" i="17"/>
  <c r="AR161" i="18"/>
  <c r="AT160" i="18"/>
  <c r="O18" i="17"/>
  <c r="G17" i="15"/>
  <c r="AH150" i="16"/>
  <c r="AG151" i="16"/>
  <c r="J17" i="15"/>
  <c r="CB17" i="13"/>
  <c r="AJ16" i="13"/>
  <c r="CB16" i="13" s="1"/>
  <c r="M8" i="13"/>
  <c r="M30" i="1"/>
  <c r="M29" i="1" s="1"/>
  <c r="AZ65" i="16"/>
  <c r="BA65" i="16" s="1"/>
  <c r="AX66" i="16"/>
  <c r="BD271" i="11"/>
  <c r="L109" i="4"/>
  <c r="L158" i="4" s="1"/>
  <c r="K231" i="4"/>
  <c r="I273" i="11"/>
  <c r="I49" i="6" s="1"/>
  <c r="I71" i="6" s="1"/>
  <c r="I99" i="4"/>
  <c r="BD59" i="11"/>
  <c r="D237" i="4"/>
  <c r="AB30" i="8"/>
  <c r="AA31" i="8"/>
  <c r="S101" i="10"/>
  <c r="R102" i="10"/>
  <c r="BU13" i="13"/>
  <c r="BK332" i="11"/>
  <c r="P187" i="4"/>
  <c r="BH333" i="11"/>
  <c r="BH334" i="11" s="1"/>
  <c r="P119" i="7"/>
  <c r="BR117" i="7"/>
  <c r="P7" i="7"/>
  <c r="AC13" i="1"/>
  <c r="G240" i="4"/>
  <c r="G402" i="3"/>
  <c r="AU103" i="22"/>
  <c r="AJ104" i="22"/>
  <c r="F418" i="17"/>
  <c r="AQ103" i="18"/>
  <c r="AP104" i="18"/>
  <c r="U370" i="19"/>
  <c r="U376" i="19" s="1"/>
  <c r="V29" i="19"/>
  <c r="G109" i="19"/>
  <c r="G392" i="3"/>
  <c r="G441" i="3" s="1"/>
  <c r="G34" i="19"/>
  <c r="AJ129" i="16"/>
  <c r="AU18" i="17"/>
  <c r="C17" i="17"/>
  <c r="AU17" i="17" s="1"/>
  <c r="O32" i="1"/>
  <c r="L63" i="13"/>
  <c r="G451" i="3"/>
  <c r="G484" i="3" s="1"/>
  <c r="B147" i="25"/>
  <c r="B9" i="25" s="1"/>
  <c r="B119" i="25"/>
  <c r="B131" i="25" s="1"/>
  <c r="D49" i="25"/>
  <c r="D67" i="25"/>
  <c r="AT42" i="23"/>
  <c r="P26" i="23"/>
  <c r="AT26" i="23" s="1"/>
  <c r="AK44" i="22"/>
  <c r="G157" i="21"/>
  <c r="G33" i="21"/>
  <c r="G45" i="21" s="1"/>
  <c r="AI14" i="21"/>
  <c r="G12" i="21"/>
  <c r="AV40" i="20"/>
  <c r="AW40" i="20"/>
  <c r="AO8" i="20"/>
  <c r="AL9" i="20"/>
  <c r="BD148" i="18"/>
  <c r="AJ130" i="18"/>
  <c r="H22" i="17"/>
  <c r="Y23" i="17"/>
  <c r="AZ21" i="17"/>
  <c r="G13" i="17"/>
  <c r="AY13" i="17" s="1"/>
  <c r="G10" i="17"/>
  <c r="AY10" i="17" s="1"/>
  <c r="AF9" i="17"/>
  <c r="O306" i="17"/>
  <c r="O278" i="17"/>
  <c r="O290" i="17" s="1"/>
  <c r="F271" i="13"/>
  <c r="F116" i="3"/>
  <c r="O134" i="3"/>
  <c r="O117" i="13"/>
  <c r="AN125" i="14"/>
  <c r="AK126" i="14"/>
  <c r="BG10" i="13"/>
  <c r="O31" i="1"/>
  <c r="G66" i="11"/>
  <c r="I4" i="11"/>
  <c r="I43" i="6"/>
  <c r="AB18" i="8"/>
  <c r="AA19" i="8"/>
  <c r="AH118" i="3"/>
  <c r="AI118" i="3" s="1"/>
  <c r="AE118" i="3"/>
  <c r="AR47" i="23"/>
  <c r="AM174" i="22"/>
  <c r="AT173" i="22"/>
  <c r="AD162" i="20"/>
  <c r="AU162" i="20"/>
  <c r="AC163" i="20"/>
  <c r="AK5" i="25"/>
  <c r="J4" i="25"/>
  <c r="M131" i="25"/>
  <c r="M23" i="25"/>
  <c r="M35" i="25" s="1"/>
  <c r="AO163" i="22"/>
  <c r="AP162" i="22"/>
  <c r="AA103" i="22"/>
  <c r="AB102" i="22"/>
  <c r="AP42" i="22"/>
  <c r="AO43" i="22"/>
  <c r="J65" i="23"/>
  <c r="J37" i="23"/>
  <c r="I157" i="21"/>
  <c r="AK103" i="20"/>
  <c r="AJ104" i="20"/>
  <c r="Q157" i="19"/>
  <c r="BP157" i="19" s="1"/>
  <c r="BP145" i="19"/>
  <c r="H205" i="19"/>
  <c r="BF253" i="19"/>
  <c r="L15" i="19"/>
  <c r="BF15" i="19" s="1"/>
  <c r="L61" i="6"/>
  <c r="J4" i="19"/>
  <c r="J55" i="6"/>
  <c r="AW5" i="18"/>
  <c r="AV6" i="18"/>
  <c r="AP128" i="18"/>
  <c r="AQ127" i="18"/>
  <c r="B11" i="15"/>
  <c r="B25" i="6" s="1"/>
  <c r="BC105" i="15"/>
  <c r="Q41" i="15"/>
  <c r="BC41" i="15" s="1"/>
  <c r="L12" i="13"/>
  <c r="BF10" i="13"/>
  <c r="N31" i="1"/>
  <c r="N271" i="13"/>
  <c r="N116" i="3"/>
  <c r="AK186" i="14"/>
  <c r="AN185" i="14"/>
  <c r="B45" i="6"/>
  <c r="B6" i="11"/>
  <c r="AT6" i="13" s="1"/>
  <c r="Q39" i="11"/>
  <c r="E65" i="11"/>
  <c r="BK326" i="11"/>
  <c r="AW326" i="11"/>
  <c r="P181" i="4"/>
  <c r="AV326" i="11"/>
  <c r="J140" i="3"/>
  <c r="J123" i="13"/>
  <c r="J43" i="13" s="1"/>
  <c r="AY13" i="13"/>
  <c r="G12" i="13"/>
  <c r="AY12" i="13" s="1"/>
  <c r="P25" i="7"/>
  <c r="BR41" i="7"/>
  <c r="P53" i="7"/>
  <c r="BR53" i="7" s="1"/>
  <c r="AU110" i="15"/>
  <c r="M46" i="15"/>
  <c r="AU46" i="15" s="1"/>
  <c r="AP161" i="14"/>
  <c r="AR160" i="14"/>
  <c r="AZ160" i="14"/>
  <c r="BC303" i="15"/>
  <c r="L207" i="13"/>
  <c r="L132" i="3"/>
  <c r="P139" i="3"/>
  <c r="P122" i="13"/>
  <c r="P42" i="13" s="1"/>
  <c r="N143" i="13"/>
  <c r="N115" i="13"/>
  <c r="N100" i="3"/>
  <c r="N16" i="13"/>
  <c r="AK116" i="14"/>
  <c r="AN115" i="14"/>
  <c r="J143" i="13"/>
  <c r="J115" i="13"/>
  <c r="J100" i="3"/>
  <c r="AK166" i="13"/>
  <c r="BH5" i="13"/>
  <c r="J5" i="11"/>
  <c r="BB5" i="13" s="1"/>
  <c r="J44" i="6"/>
  <c r="J67" i="6" s="1"/>
  <c r="Y138" i="8"/>
  <c r="X139" i="8"/>
  <c r="B273" i="11"/>
  <c r="B49" i="6" s="1"/>
  <c r="AV173" i="14"/>
  <c r="I210" i="11"/>
  <c r="I124" i="11"/>
  <c r="I44" i="11" s="1"/>
  <c r="V80" i="8"/>
  <c r="U81" i="8"/>
  <c r="AL152" i="20"/>
  <c r="AO151" i="20"/>
  <c r="C38" i="19"/>
  <c r="C61" i="19"/>
  <c r="BS6" i="15"/>
  <c r="Y24" i="6"/>
  <c r="O42" i="15"/>
  <c r="AY58" i="15"/>
  <c r="O68" i="15"/>
  <c r="BU17" i="13"/>
  <c r="AC16" i="13"/>
  <c r="BU16" i="13" s="1"/>
  <c r="F273" i="11"/>
  <c r="F49" i="6" s="1"/>
  <c r="F99" i="4"/>
  <c r="S42" i="10"/>
  <c r="R43" i="10"/>
  <c r="AN9" i="25"/>
  <c r="AJ121" i="20"/>
  <c r="AS165" i="16"/>
  <c r="R146" i="12"/>
  <c r="AU146" i="12"/>
  <c r="AU147" i="12" s="1"/>
  <c r="AU148" i="12" s="1"/>
  <c r="AU149" i="12" s="1"/>
  <c r="AU150" i="12" s="1"/>
  <c r="AU151" i="12" s="1"/>
  <c r="AU152" i="12" s="1"/>
  <c r="AU153" i="12" s="1"/>
  <c r="AU154" i="12" s="1"/>
  <c r="AU155" i="12" s="1"/>
  <c r="AU156" i="12" s="1"/>
  <c r="AU157" i="12" s="1"/>
  <c r="R14" i="12"/>
  <c r="AX14" i="12" s="1"/>
  <c r="AX15" i="12" s="1"/>
  <c r="AX16" i="12" s="1"/>
  <c r="AX17" i="12" s="1"/>
  <c r="AX18" i="12" s="1"/>
  <c r="AX19" i="12" s="1"/>
  <c r="AX20" i="12" s="1"/>
  <c r="AX21" i="12" s="1"/>
  <c r="AX22" i="12" s="1"/>
  <c r="AX23" i="12" s="1"/>
  <c r="AX24" i="12" s="1"/>
  <c r="AX25" i="12" s="1"/>
  <c r="AU14" i="12"/>
  <c r="AU15" i="12" s="1"/>
  <c r="AU16" i="12" s="1"/>
  <c r="AU17" i="12" s="1"/>
  <c r="AU18" i="12" s="1"/>
  <c r="AU19" i="12" s="1"/>
  <c r="AU20" i="12" s="1"/>
  <c r="AU21" i="12" s="1"/>
  <c r="AU22" i="12" s="1"/>
  <c r="AU23" i="12" s="1"/>
  <c r="AU24" i="12" s="1"/>
  <c r="AU25" i="12" s="1"/>
  <c r="K120" i="23"/>
  <c r="K161" i="23"/>
  <c r="AL161" i="23" s="1"/>
  <c r="AU125" i="22"/>
  <c r="AJ126" i="22"/>
  <c r="AL125" i="22"/>
  <c r="E35" i="6"/>
  <c r="AK37" i="22"/>
  <c r="AB43" i="22"/>
  <c r="AA44" i="22"/>
  <c r="AM78" i="20"/>
  <c r="AO77" i="20"/>
  <c r="BN266" i="19"/>
  <c r="P189" i="4"/>
  <c r="P95" i="5" s="1"/>
  <c r="K45" i="19"/>
  <c r="Q33" i="19"/>
  <c r="BP49" i="19"/>
  <c r="AS163" i="18"/>
  <c r="J43" i="17"/>
  <c r="C66" i="17"/>
  <c r="AW149" i="16"/>
  <c r="AV150" i="16"/>
  <c r="M24" i="15"/>
  <c r="AU24" i="15" s="1"/>
  <c r="CW24" i="15" s="1"/>
  <c r="AU388" i="15"/>
  <c r="F142" i="3"/>
  <c r="F125" i="13"/>
  <c r="F45" i="13" s="1"/>
  <c r="BH11" i="13"/>
  <c r="P32" i="1"/>
  <c r="E41" i="13"/>
  <c r="AY17" i="13"/>
  <c r="G16" i="13"/>
  <c r="AY16" i="13" s="1"/>
  <c r="AM16" i="13"/>
  <c r="CE16" i="13" s="1"/>
  <c r="CE17" i="13"/>
  <c r="J72" i="4"/>
  <c r="J153" i="4"/>
  <c r="J52" i="5"/>
  <c r="U163" i="10"/>
  <c r="V162" i="10"/>
  <c r="BF332" i="11"/>
  <c r="M187" i="4"/>
  <c r="BD202" i="11"/>
  <c r="L122" i="11"/>
  <c r="BD122" i="11" s="1"/>
  <c r="E293" i="4"/>
  <c r="I117" i="13"/>
  <c r="I37" i="13" s="1"/>
  <c r="I102" i="3"/>
  <c r="I143" i="13"/>
  <c r="BR133" i="7"/>
  <c r="P8" i="7"/>
  <c r="BR8" i="7" s="1"/>
  <c r="E384" i="4"/>
  <c r="H35" i="7"/>
  <c r="H37" i="7" s="1"/>
  <c r="H102" i="7"/>
  <c r="I15" i="5"/>
  <c r="H391" i="3"/>
  <c r="BP365" i="19"/>
  <c r="Q22" i="19"/>
  <c r="BP22" i="19" s="1"/>
  <c r="Q68" i="24"/>
  <c r="Q69" i="24" s="1"/>
  <c r="Q70" i="24" s="1"/>
  <c r="Q71" i="24" s="1"/>
  <c r="Q72" i="24" s="1"/>
  <c r="Q73" i="24" s="1"/>
  <c r="Q74" i="24" s="1"/>
  <c r="Q75" i="24" s="1"/>
  <c r="S67" i="24"/>
  <c r="S322" i="19"/>
  <c r="AM78" i="18"/>
  <c r="AN77" i="18"/>
  <c r="BB77" i="18"/>
  <c r="O4" i="11"/>
  <c r="O83" i="11"/>
  <c r="O43" i="6"/>
  <c r="R69" i="11"/>
  <c r="S69" i="11" s="1"/>
  <c r="L122" i="3"/>
  <c r="L121" i="13"/>
  <c r="L41" i="13" s="1"/>
  <c r="H123" i="13"/>
  <c r="H43" i="13" s="1"/>
  <c r="H108" i="3"/>
  <c r="H143" i="13"/>
  <c r="CE9" i="13"/>
  <c r="AS249" i="11"/>
  <c r="AS250" i="11"/>
  <c r="I8" i="13"/>
  <c r="BA9" i="13"/>
  <c r="I30" i="1"/>
  <c r="Q19" i="6"/>
  <c r="BM3" i="11"/>
  <c r="E391" i="3"/>
  <c r="AY45" i="4"/>
  <c r="AV45" i="4"/>
  <c r="C5" i="11"/>
  <c r="AU5" i="13" s="1"/>
  <c r="C44" i="6"/>
  <c r="C67" i="6" s="1"/>
  <c r="E339" i="3"/>
  <c r="E175" i="3"/>
  <c r="E321" i="3" s="1"/>
  <c r="J375" i="4"/>
  <c r="O161" i="23"/>
  <c r="AR161" i="23" s="1"/>
  <c r="F129" i="23"/>
  <c r="AB174" i="22"/>
  <c r="AA175" i="22"/>
  <c r="E37" i="23"/>
  <c r="E65" i="23"/>
  <c r="E40" i="19"/>
  <c r="E333" i="19"/>
  <c r="AO53" i="20"/>
  <c r="AL54" i="20"/>
  <c r="AW112" i="20"/>
  <c r="AV112" i="20"/>
  <c r="AZ112" i="20" s="1"/>
  <c r="BL149" i="19"/>
  <c r="O37" i="19"/>
  <c r="O157" i="19"/>
  <c r="BL157" i="19" s="1"/>
  <c r="BN97" i="19"/>
  <c r="P109" i="19"/>
  <c r="BN109" i="19" s="1"/>
  <c r="P110" i="19"/>
  <c r="D22" i="17"/>
  <c r="AV21" i="17"/>
  <c r="AN102" i="18"/>
  <c r="AM103" i="18"/>
  <c r="AS58" i="16"/>
  <c r="F28" i="6"/>
  <c r="M51" i="15"/>
  <c r="AU51" i="15" s="1"/>
  <c r="AU67" i="15"/>
  <c r="B25" i="15"/>
  <c r="I153" i="3"/>
  <c r="I201" i="3"/>
  <c r="AW149" i="14"/>
  <c r="AX148" i="14"/>
  <c r="AY148" i="14"/>
  <c r="BB148" i="14" s="1"/>
  <c r="N3" i="13"/>
  <c r="N26" i="1"/>
  <c r="AS138" i="14"/>
  <c r="AV137" i="14"/>
  <c r="Q271" i="13"/>
  <c r="Q116" i="3"/>
  <c r="B111" i="4"/>
  <c r="B149" i="4"/>
  <c r="B51" i="5"/>
  <c r="B55" i="5" s="1"/>
  <c r="S126" i="8"/>
  <c r="R127" i="8"/>
  <c r="O25" i="9"/>
  <c r="O37" i="9" s="1"/>
  <c r="O53" i="9"/>
  <c r="AW10" i="13"/>
  <c r="E13" i="1"/>
  <c r="J122" i="11"/>
  <c r="AO112" i="12"/>
  <c r="AO113" i="12" s="1"/>
  <c r="AO114" i="12" s="1"/>
  <c r="AO115" i="12" s="1"/>
  <c r="AO116" i="12" s="1"/>
  <c r="AO117" i="12" s="1"/>
  <c r="AO118" i="12" s="1"/>
  <c r="AO119" i="12" s="1"/>
  <c r="AO120" i="12" s="1"/>
  <c r="AO121" i="12" s="1"/>
  <c r="V126" i="10"/>
  <c r="T127" i="10"/>
  <c r="F8" i="11"/>
  <c r="F12" i="1"/>
  <c r="F11" i="1" s="1"/>
  <c r="I63" i="5"/>
  <c r="AG229" i="3"/>
  <c r="AF229" i="3"/>
  <c r="O240" i="3"/>
  <c r="AB15" i="3"/>
  <c r="AA90" i="22"/>
  <c r="AB89" i="22"/>
  <c r="BD100" i="18"/>
  <c r="AK173" i="16"/>
  <c r="AJ174" i="16"/>
  <c r="AQ121" i="15"/>
  <c r="O105" i="15"/>
  <c r="AY121" i="15"/>
  <c r="O84" i="4"/>
  <c r="P329" i="13"/>
  <c r="P41" i="13" s="1"/>
  <c r="P351" i="13"/>
  <c r="K128" i="11"/>
  <c r="BB144" i="11"/>
  <c r="K94" i="4"/>
  <c r="BH202" i="11"/>
  <c r="BK200" i="11"/>
  <c r="P120" i="11"/>
  <c r="E9" i="21"/>
  <c r="AG9" i="21" s="1"/>
  <c r="AG10" i="21"/>
  <c r="BD257" i="11"/>
  <c r="L15" i="11"/>
  <c r="L118" i="13"/>
  <c r="L38" i="13" s="1"/>
  <c r="L103" i="3"/>
  <c r="C402" i="3"/>
  <c r="AE5" i="21"/>
  <c r="C3" i="21"/>
  <c r="BF203" i="19"/>
  <c r="L43" i="19"/>
  <c r="BF43" i="19" s="1"/>
  <c r="BD184" i="16"/>
  <c r="BQ182" i="12" s="1"/>
  <c r="BG182" i="12" s="1"/>
  <c r="AZ150" i="14"/>
  <c r="AL151" i="14"/>
  <c r="AS65" i="15"/>
  <c r="L49" i="15"/>
  <c r="AS49" i="15" s="1"/>
  <c r="U127" i="3"/>
  <c r="U128" i="3" s="1"/>
  <c r="U271" i="13"/>
  <c r="K102" i="4"/>
  <c r="K120" i="11"/>
  <c r="V100" i="26"/>
  <c r="U101" i="26"/>
  <c r="C3" i="25"/>
  <c r="AC4" i="25"/>
  <c r="B3" i="25"/>
  <c r="V76" i="24"/>
  <c r="W76" i="24" s="1"/>
  <c r="U77" i="24"/>
  <c r="J127" i="24"/>
  <c r="AW4" i="22"/>
  <c r="AU31" i="22"/>
  <c r="AJ32" i="22"/>
  <c r="AL31" i="22"/>
  <c r="O6" i="21"/>
  <c r="AK150" i="20"/>
  <c r="AJ151" i="20"/>
  <c r="H33" i="21"/>
  <c r="H45" i="21" s="1"/>
  <c r="AC103" i="20"/>
  <c r="AD102" i="20"/>
  <c r="AC7" i="20"/>
  <c r="AD6" i="20"/>
  <c r="S323" i="19"/>
  <c r="T339" i="19"/>
  <c r="U339" i="19"/>
  <c r="D333" i="19"/>
  <c r="BA173" i="18"/>
  <c r="BC173" i="18" s="1"/>
  <c r="BD173" i="18" s="1"/>
  <c r="AF174" i="18"/>
  <c r="AH173" i="18"/>
  <c r="BB101" i="18"/>
  <c r="AJ102" i="18"/>
  <c r="AI41" i="18"/>
  <c r="AK40" i="18"/>
  <c r="AV118" i="16"/>
  <c r="AW117" i="16"/>
  <c r="BA61" i="15"/>
  <c r="P68" i="15"/>
  <c r="AM126" i="16"/>
  <c r="AN125" i="16"/>
  <c r="I13" i="15"/>
  <c r="I11" i="15" s="1"/>
  <c r="I25" i="6" s="1"/>
  <c r="I10" i="15"/>
  <c r="I6" i="15" s="1"/>
  <c r="I24" i="6" s="1"/>
  <c r="I53" i="6"/>
  <c r="BA101" i="14"/>
  <c r="AM102" i="14"/>
  <c r="B121" i="13"/>
  <c r="B41" i="13" s="1"/>
  <c r="B106" i="3"/>
  <c r="B420" i="13"/>
  <c r="B431" i="13" s="1"/>
  <c r="B25" i="13" s="1"/>
  <c r="AT25" i="13" s="1"/>
  <c r="B447" i="13"/>
  <c r="B26" i="13" s="1"/>
  <c r="AT26" i="13" s="1"/>
  <c r="Q16" i="13"/>
  <c r="S161" i="10"/>
  <c r="R162" i="10"/>
  <c r="P424" i="13"/>
  <c r="P431" i="13" s="1"/>
  <c r="P25" i="13" s="1"/>
  <c r="P447" i="13"/>
  <c r="P26" i="13" s="1"/>
  <c r="AU127" i="12"/>
  <c r="AU128" i="12" s="1"/>
  <c r="AU129" i="12" s="1"/>
  <c r="AU130" i="12" s="1"/>
  <c r="AU131" i="12" s="1"/>
  <c r="AU132" i="12" s="1"/>
  <c r="AU133" i="12" s="1"/>
  <c r="J4" i="11"/>
  <c r="J83" i="11"/>
  <c r="J43" i="6"/>
  <c r="AX124" i="12"/>
  <c r="J237" i="4"/>
  <c r="C53" i="7"/>
  <c r="C25" i="7"/>
  <c r="BR33" i="7"/>
  <c r="P300" i="4"/>
  <c r="P399" i="3"/>
  <c r="E442" i="3"/>
  <c r="N10" i="17"/>
  <c r="AE10" i="17" s="1"/>
  <c r="N13" i="17"/>
  <c r="AF5" i="17"/>
  <c r="AW137" i="14"/>
  <c r="AX136" i="14"/>
  <c r="AH128" i="22"/>
  <c r="AG129" i="22"/>
  <c r="Q149" i="26"/>
  <c r="S148" i="26"/>
  <c r="AD103" i="22"/>
  <c r="AE102" i="22"/>
  <c r="Y176" i="20"/>
  <c r="BH197" i="19"/>
  <c r="AO113" i="20"/>
  <c r="AL114" i="20"/>
  <c r="AS113" i="20"/>
  <c r="O33" i="19"/>
  <c r="O61" i="19"/>
  <c r="BA65" i="18"/>
  <c r="AF66" i="18"/>
  <c r="BN125" i="19"/>
  <c r="P7" i="19"/>
  <c r="BF146" i="19"/>
  <c r="L157" i="19"/>
  <c r="BF157" i="19" s="1"/>
  <c r="L34" i="19"/>
  <c r="BF34" i="19" s="1"/>
  <c r="AK66" i="18"/>
  <c r="AJ67" i="18"/>
  <c r="AD20" i="17"/>
  <c r="AF104" i="18"/>
  <c r="AV153" i="18"/>
  <c r="AW152" i="18"/>
  <c r="AQ66" i="16"/>
  <c r="AP67" i="16"/>
  <c r="AX55" i="16"/>
  <c r="AZ54" i="16"/>
  <c r="AU392" i="15"/>
  <c r="M404" i="15"/>
  <c r="AU404" i="15" s="1"/>
  <c r="L292" i="15"/>
  <c r="AS292" i="15" s="1"/>
  <c r="AS280" i="15"/>
  <c r="G40" i="15"/>
  <c r="G68" i="15"/>
  <c r="D10" i="15"/>
  <c r="AV10" i="17" s="1"/>
  <c r="D13" i="15"/>
  <c r="D11" i="15" s="1"/>
  <c r="D53" i="6"/>
  <c r="K447" i="13"/>
  <c r="K26" i="13" s="1"/>
  <c r="K419" i="13"/>
  <c r="K431" i="13" s="1"/>
  <c r="K25" i="13" s="1"/>
  <c r="BC88" i="14"/>
  <c r="J447" i="13"/>
  <c r="J26" i="13" s="1"/>
  <c r="BB26" i="13" s="1"/>
  <c r="AO167" i="13"/>
  <c r="T167" i="13"/>
  <c r="AD174" i="13"/>
  <c r="U166" i="13"/>
  <c r="AD168" i="13"/>
  <c r="R170" i="13"/>
  <c r="AK174" i="13"/>
  <c r="AM174" i="13"/>
  <c r="AM164" i="13"/>
  <c r="AP164" i="13"/>
  <c r="V166" i="13"/>
  <c r="AE169" i="13"/>
  <c r="R164" i="13"/>
  <c r="AD171" i="13"/>
  <c r="W164" i="13"/>
  <c r="W167" i="13"/>
  <c r="AL170" i="13"/>
  <c r="AF163" i="13"/>
  <c r="AM165" i="13"/>
  <c r="V165" i="13"/>
  <c r="AN167" i="13"/>
  <c r="AE166" i="13"/>
  <c r="AB172" i="13"/>
  <c r="R166" i="13"/>
  <c r="AI168" i="13"/>
  <c r="AL172" i="13"/>
  <c r="V171" i="13"/>
  <c r="R171" i="13"/>
  <c r="AB170" i="13"/>
  <c r="AM168" i="13"/>
  <c r="AH171" i="13"/>
  <c r="AC166" i="13"/>
  <c r="U173" i="13"/>
  <c r="AK163" i="13"/>
  <c r="W165" i="13"/>
  <c r="S164" i="13"/>
  <c r="U169" i="13"/>
  <c r="AF166" i="13"/>
  <c r="AH167" i="13"/>
  <c r="S163" i="13"/>
  <c r="AK164" i="13"/>
  <c r="Q172" i="13"/>
  <c r="AG165" i="13"/>
  <c r="Q170" i="13"/>
  <c r="S173" i="13"/>
  <c r="AA164" i="13"/>
  <c r="AI167" i="13"/>
  <c r="V167" i="13"/>
  <c r="B128" i="11"/>
  <c r="B48" i="11" s="1"/>
  <c r="B94" i="4"/>
  <c r="P19" i="11"/>
  <c r="BK19" i="11" s="1"/>
  <c r="BK321" i="11"/>
  <c r="H4" i="11"/>
  <c r="H43" i="6"/>
  <c r="E232" i="4"/>
  <c r="O124" i="11"/>
  <c r="O90" i="4"/>
  <c r="BD120" i="11"/>
  <c r="L40" i="11"/>
  <c r="BD40" i="11" s="1"/>
  <c r="D121" i="11"/>
  <c r="D41" i="11" s="1"/>
  <c r="D87" i="4"/>
  <c r="G85" i="5"/>
  <c r="Y18" i="8"/>
  <c r="X19" i="8"/>
  <c r="J338" i="3"/>
  <c r="J174" i="3"/>
  <c r="E157" i="21"/>
  <c r="AZ114" i="18"/>
  <c r="AX115" i="18"/>
  <c r="AJ164" i="18"/>
  <c r="AQ161" i="16"/>
  <c r="AP162" i="16"/>
  <c r="R91" i="26"/>
  <c r="S90" i="26"/>
  <c r="AY185" i="22"/>
  <c r="B37" i="23"/>
  <c r="B65" i="23"/>
  <c r="D39" i="17"/>
  <c r="K104" i="15"/>
  <c r="K132" i="15"/>
  <c r="K51" i="6" s="1"/>
  <c r="K83" i="4"/>
  <c r="AY84" i="15"/>
  <c r="O4" i="15"/>
  <c r="M7" i="15"/>
  <c r="AU8" i="15"/>
  <c r="CW8" i="15" s="1"/>
  <c r="E118" i="11"/>
  <c r="E38" i="11" s="1"/>
  <c r="E230" i="4" s="1"/>
  <c r="E84" i="4"/>
  <c r="E145" i="11"/>
  <c r="E47" i="6" s="1"/>
  <c r="BH34" i="7"/>
  <c r="K400" i="3"/>
  <c r="I39" i="11"/>
  <c r="I231" i="4" s="1"/>
  <c r="I66" i="11"/>
  <c r="I65" i="11"/>
  <c r="J45" i="21"/>
  <c r="AZ78" i="18"/>
  <c r="AX79" i="18"/>
  <c r="AP115" i="18"/>
  <c r="AQ114" i="18"/>
  <c r="J40" i="17"/>
  <c r="J50" i="17" s="1"/>
  <c r="P15" i="9"/>
  <c r="P2" i="2" s="1"/>
  <c r="V28" i="26"/>
  <c r="W28" i="26" s="1"/>
  <c r="U29" i="26"/>
  <c r="O67" i="25"/>
  <c r="AR55" i="23"/>
  <c r="O39" i="23"/>
  <c r="O37" i="23"/>
  <c r="O65" i="23"/>
  <c r="AR65" i="23" s="1"/>
  <c r="AR53" i="23"/>
  <c r="AN151" i="23"/>
  <c r="L119" i="23"/>
  <c r="D45" i="21"/>
  <c r="AE44" i="22"/>
  <c r="AD45" i="22"/>
  <c r="C13" i="19"/>
  <c r="C59" i="6"/>
  <c r="BP343" i="19"/>
  <c r="Q327" i="19"/>
  <c r="BP327" i="19" s="1"/>
  <c r="T343" i="19"/>
  <c r="S343" i="19"/>
  <c r="R343" i="19"/>
  <c r="U343" i="19" s="1"/>
  <c r="BL77" i="19"/>
  <c r="O4" i="19"/>
  <c r="O55" i="6"/>
  <c r="O64" i="6" s="1"/>
  <c r="AZ163" i="18"/>
  <c r="AX164" i="18"/>
  <c r="AY340" i="15"/>
  <c r="O21" i="15"/>
  <c r="AY21" i="15" s="1"/>
  <c r="AU420" i="15"/>
  <c r="M26" i="15"/>
  <c r="AA20" i="17"/>
  <c r="G404" i="15"/>
  <c r="I41" i="15"/>
  <c r="AM174" i="14"/>
  <c r="AN173" i="14"/>
  <c r="BA173" i="14"/>
  <c r="I116" i="15"/>
  <c r="I40" i="15"/>
  <c r="H3" i="15"/>
  <c r="H23" i="6" s="1"/>
  <c r="T303" i="15"/>
  <c r="G8" i="13"/>
  <c r="AF164" i="13"/>
  <c r="F6" i="11"/>
  <c r="AX6" i="13" s="1"/>
  <c r="F45" i="6"/>
  <c r="F70" i="6" s="1"/>
  <c r="F397" i="3"/>
  <c r="I8" i="11"/>
  <c r="I12" i="1"/>
  <c r="I11" i="1" s="1"/>
  <c r="N22" i="5"/>
  <c r="N12" i="4"/>
  <c r="N47" i="4"/>
  <c r="P448" i="3"/>
  <c r="L451" i="3"/>
  <c r="Q125" i="26"/>
  <c r="S124" i="26"/>
  <c r="AA16" i="17"/>
  <c r="BB16" i="17"/>
  <c r="AR186" i="16"/>
  <c r="AT186" i="16" s="1"/>
  <c r="BA186" i="16" s="1"/>
  <c r="AT185" i="16"/>
  <c r="P279" i="17"/>
  <c r="P39" i="17" s="1"/>
  <c r="P306" i="17"/>
  <c r="B40" i="17"/>
  <c r="B194" i="17"/>
  <c r="AU372" i="15"/>
  <c r="M23" i="15"/>
  <c r="BA110" i="15"/>
  <c r="P46" i="15"/>
  <c r="BA46" i="15" s="1"/>
  <c r="M244" i="15"/>
  <c r="AU244" i="15" s="1"/>
  <c r="H431" i="13"/>
  <c r="H25" i="13" s="1"/>
  <c r="AP185" i="14"/>
  <c r="AP186" i="14" s="1"/>
  <c r="AZ184" i="14"/>
  <c r="BB184" i="14" s="1"/>
  <c r="AN17" i="14"/>
  <c r="AK18" i="14"/>
  <c r="AX103" i="14"/>
  <c r="AW104" i="14"/>
  <c r="F44" i="13"/>
  <c r="AZ11" i="13"/>
  <c r="H32" i="1"/>
  <c r="I5" i="11"/>
  <c r="I44" i="6"/>
  <c r="I67" i="6" s="1"/>
  <c r="I6" i="11"/>
  <c r="I45" i="6"/>
  <c r="O145" i="11"/>
  <c r="E392" i="3"/>
  <c r="AV63" i="4"/>
  <c r="X174" i="10"/>
  <c r="Y173" i="10"/>
  <c r="AC173" i="10" s="1"/>
  <c r="AD173" i="10" s="1"/>
  <c r="AQ10" i="11"/>
  <c r="E343" i="4"/>
  <c r="G210" i="11"/>
  <c r="G124" i="11"/>
  <c r="BK122" i="11"/>
  <c r="P42" i="11"/>
  <c r="BK42" i="11" s="1"/>
  <c r="AW148" i="15"/>
  <c r="N8" i="15"/>
  <c r="BC104" i="15"/>
  <c r="Q40" i="15"/>
  <c r="BC40" i="15" s="1"/>
  <c r="B118" i="13"/>
  <c r="B38" i="13" s="1"/>
  <c r="B103" i="3"/>
  <c r="AM115" i="16"/>
  <c r="AN114" i="16"/>
  <c r="F133" i="3"/>
  <c r="F116" i="13"/>
  <c r="F36" i="13" s="1"/>
  <c r="E6" i="11"/>
  <c r="E45" i="6"/>
  <c r="E70" i="6" s="1"/>
  <c r="Y90" i="8"/>
  <c r="X91" i="8"/>
  <c r="G71" i="6"/>
  <c r="BM327" i="11"/>
  <c r="AT327" i="11"/>
  <c r="Q182" i="4"/>
  <c r="AS325" i="11"/>
  <c r="AB20" i="10"/>
  <c r="AA21" i="10"/>
  <c r="N34" i="7"/>
  <c r="BN50" i="7"/>
  <c r="H208" i="4"/>
  <c r="H100" i="5"/>
  <c r="H104" i="5" s="1"/>
  <c r="L109" i="21"/>
  <c r="K205" i="21"/>
  <c r="K38" i="21"/>
  <c r="Y152" i="20"/>
  <c r="AS151" i="20"/>
  <c r="AA151" i="20"/>
  <c r="AU6" i="20"/>
  <c r="AA6" i="20"/>
  <c r="Z7" i="20"/>
  <c r="Q137" i="21"/>
  <c r="T137" i="19"/>
  <c r="BP137" i="19"/>
  <c r="R137" i="19"/>
  <c r="S137" i="19" s="1"/>
  <c r="M22" i="17"/>
  <c r="AP80" i="18"/>
  <c r="AQ79" i="18"/>
  <c r="AW30" i="16"/>
  <c r="AV31" i="16"/>
  <c r="AY11" i="13"/>
  <c r="G32" i="1"/>
  <c r="Q5" i="26"/>
  <c r="S4" i="26"/>
  <c r="L3" i="25"/>
  <c r="F22" i="23"/>
  <c r="AH29" i="22"/>
  <c r="AG30" i="22"/>
  <c r="AI20" i="20"/>
  <c r="AT19" i="20"/>
  <c r="O11" i="19"/>
  <c r="BL189" i="19"/>
  <c r="BP345" i="19"/>
  <c r="Q329" i="19"/>
  <c r="BP329" i="19" s="1"/>
  <c r="R345" i="19"/>
  <c r="S345" i="19" s="1"/>
  <c r="AG9" i="25"/>
  <c r="L121" i="23"/>
  <c r="AN121" i="23" s="1"/>
  <c r="AN153" i="23"/>
  <c r="AU89" i="22"/>
  <c r="AW89" i="22" s="1"/>
  <c r="AJ90" i="22"/>
  <c r="AR81" i="23"/>
  <c r="O5" i="23"/>
  <c r="AJ19" i="22"/>
  <c r="AU18" i="22"/>
  <c r="AP40" i="23"/>
  <c r="N24" i="23"/>
  <c r="AP24" i="23" s="1"/>
  <c r="AU6" i="22"/>
  <c r="AJ7" i="22"/>
  <c r="AL6" i="22"/>
  <c r="L16" i="21"/>
  <c r="AH18" i="20"/>
  <c r="AS17" i="20"/>
  <c r="BJ189" i="19"/>
  <c r="N11" i="19"/>
  <c r="BP347" i="19"/>
  <c r="Q331" i="19"/>
  <c r="BP331" i="19" s="1"/>
  <c r="R347" i="19"/>
  <c r="AR41" i="20"/>
  <c r="AP42" i="20"/>
  <c r="I157" i="19"/>
  <c r="I33" i="19"/>
  <c r="I45" i="19" s="1"/>
  <c r="AV15" i="17"/>
  <c r="D14" i="17"/>
  <c r="AV14" i="17" s="1"/>
  <c r="N45" i="15"/>
  <c r="AW45" i="15" s="1"/>
  <c r="AW61" i="15"/>
  <c r="C10" i="15"/>
  <c r="C13" i="15"/>
  <c r="C53" i="6"/>
  <c r="D110" i="15"/>
  <c r="D46" i="15" s="1"/>
  <c r="D89" i="4"/>
  <c r="BM9" i="13"/>
  <c r="U30" i="1"/>
  <c r="K32" i="1"/>
  <c r="B143" i="13"/>
  <c r="Y171" i="13"/>
  <c r="BB271" i="11"/>
  <c r="K109" i="4"/>
  <c r="K158" i="4" s="1"/>
  <c r="K4" i="11"/>
  <c r="K83" i="11"/>
  <c r="BB81" i="11"/>
  <c r="K43" i="6"/>
  <c r="BD72" i="19"/>
  <c r="BD69" i="19"/>
  <c r="BD74" i="19"/>
  <c r="BD65" i="19"/>
  <c r="BD73" i="19"/>
  <c r="BD76" i="19"/>
  <c r="BD75" i="19"/>
  <c r="BD67" i="19"/>
  <c r="BD70" i="19"/>
  <c r="BD68" i="19"/>
  <c r="BD71" i="19"/>
  <c r="BD66" i="19"/>
  <c r="S343" i="11"/>
  <c r="R198" i="4"/>
  <c r="R246" i="3"/>
  <c r="M149" i="9"/>
  <c r="O44" i="11"/>
  <c r="BP12" i="9"/>
  <c r="D15" i="9"/>
  <c r="D2" i="2" s="1"/>
  <c r="B348" i="4"/>
  <c r="B37" i="5"/>
  <c r="AF234" i="3"/>
  <c r="AG234" i="3"/>
  <c r="AI234" i="3" s="1"/>
  <c r="AE234" i="3"/>
  <c r="AG175" i="3"/>
  <c r="AF175" i="3"/>
  <c r="O321" i="3"/>
  <c r="G110" i="19"/>
  <c r="P111" i="19" s="1"/>
  <c r="G303" i="4"/>
  <c r="G352" i="4" s="1"/>
  <c r="BA129" i="15"/>
  <c r="P113" i="15"/>
  <c r="P92" i="4"/>
  <c r="P132" i="4"/>
  <c r="P67" i="4"/>
  <c r="B76" i="5"/>
  <c r="B63" i="5"/>
  <c r="BA10" i="13"/>
  <c r="I31" i="1"/>
  <c r="B417" i="11"/>
  <c r="B26" i="11" s="1"/>
  <c r="B389" i="11"/>
  <c r="B401" i="11" s="1"/>
  <c r="B25" i="11" s="1"/>
  <c r="BK203" i="11"/>
  <c r="BH205" i="11"/>
  <c r="BH206" i="11" s="1"/>
  <c r="P123" i="11"/>
  <c r="N205" i="21"/>
  <c r="N37" i="21"/>
  <c r="N45" i="21" s="1"/>
  <c r="F45" i="21"/>
  <c r="AA92" i="20"/>
  <c r="Z93" i="20"/>
  <c r="BL173" i="19"/>
  <c r="O10" i="19"/>
  <c r="AH186" i="18"/>
  <c r="AW26" i="15"/>
  <c r="AZ29" i="14"/>
  <c r="AL30" i="14"/>
  <c r="E129" i="23"/>
  <c r="P269" i="21"/>
  <c r="H38" i="23"/>
  <c r="H65" i="23"/>
  <c r="AA153" i="22"/>
  <c r="AB152" i="22"/>
  <c r="I205" i="21"/>
  <c r="I33" i="21"/>
  <c r="AW124" i="22"/>
  <c r="AR21" i="20"/>
  <c r="AP22" i="20"/>
  <c r="J205" i="19"/>
  <c r="BD213" i="19" s="1"/>
  <c r="AK52" i="18"/>
  <c r="AI53" i="18"/>
  <c r="BA52" i="18"/>
  <c r="BC52" i="18" s="1"/>
  <c r="Y9" i="17"/>
  <c r="AZ9" i="17"/>
  <c r="Q13" i="17"/>
  <c r="Q10" i="17"/>
  <c r="AM139" i="16"/>
  <c r="AN138" i="16"/>
  <c r="L11" i="17"/>
  <c r="H28" i="6"/>
  <c r="S301" i="15"/>
  <c r="BB172" i="14"/>
  <c r="F11" i="15"/>
  <c r="F25" i="6" s="1"/>
  <c r="AX12" i="17"/>
  <c r="K44" i="15"/>
  <c r="K296" i="4"/>
  <c r="K395" i="3"/>
  <c r="H351" i="13"/>
  <c r="H323" i="13"/>
  <c r="H335" i="13" s="1"/>
  <c r="M196" i="15"/>
  <c r="AU196" i="15" s="1"/>
  <c r="AU184" i="15"/>
  <c r="BM13" i="13"/>
  <c r="E17" i="15"/>
  <c r="BA35" i="15"/>
  <c r="AO16" i="13"/>
  <c r="CG16" i="13" s="1"/>
  <c r="CG17" i="13"/>
  <c r="G431" i="13"/>
  <c r="G25" i="13" s="1"/>
  <c r="AY25" i="13" s="1"/>
  <c r="P12" i="13"/>
  <c r="BH13" i="13"/>
  <c r="O125" i="13"/>
  <c r="O45" i="13" s="1"/>
  <c r="O110" i="3"/>
  <c r="AO17" i="12"/>
  <c r="AO18" i="12" s="1"/>
  <c r="AO19" i="12" s="1"/>
  <c r="AO20" i="12" s="1"/>
  <c r="AO21" i="12" s="1"/>
  <c r="AO22" i="12" s="1"/>
  <c r="AO23" i="12" s="1"/>
  <c r="AO24" i="12" s="1"/>
  <c r="AO25" i="12" s="1"/>
  <c r="P83" i="11"/>
  <c r="BK81" i="11"/>
  <c r="P4" i="11"/>
  <c r="P43" i="6"/>
  <c r="P24" i="11"/>
  <c r="BK24" i="11" s="1"/>
  <c r="BK385" i="11"/>
  <c r="O39" i="11"/>
  <c r="O66" i="11"/>
  <c r="Y67" i="10"/>
  <c r="X68" i="10"/>
  <c r="F292" i="4"/>
  <c r="BJ91" i="7"/>
  <c r="L27" i="7"/>
  <c r="L101" i="7"/>
  <c r="BJ101" i="7" s="1"/>
  <c r="C78" i="5"/>
  <c r="P208" i="4"/>
  <c r="G17" i="6"/>
  <c r="I337" i="3"/>
  <c r="I173" i="3"/>
  <c r="I319" i="3" s="1"/>
  <c r="AS13" i="4"/>
  <c r="AC101" i="8"/>
  <c r="AC201" i="3"/>
  <c r="AD201" i="3"/>
  <c r="AH201" i="3" s="1"/>
  <c r="S6" i="8"/>
  <c r="R7" i="8"/>
  <c r="N329" i="3"/>
  <c r="N165" i="3"/>
  <c r="N311" i="3" s="1"/>
  <c r="AG239" i="3"/>
  <c r="AI239" i="3" s="1"/>
  <c r="AE239" i="3"/>
  <c r="AF239" i="3"/>
  <c r="AC197" i="3"/>
  <c r="AC41" i="10"/>
  <c r="AD199" i="3"/>
  <c r="AC199" i="3"/>
  <c r="J166" i="3"/>
  <c r="J330" i="3"/>
  <c r="L16" i="3"/>
  <c r="Y130" i="10"/>
  <c r="X131" i="10"/>
  <c r="BL97" i="11"/>
  <c r="BM97" i="11" s="1"/>
  <c r="N44" i="6"/>
  <c r="N67" i="6" s="1"/>
  <c r="N5" i="11"/>
  <c r="L11" i="7"/>
  <c r="BJ11" i="7" s="1"/>
  <c r="BJ181" i="7"/>
  <c r="AU10" i="13"/>
  <c r="C31" i="1"/>
  <c r="K124" i="11"/>
  <c r="BB124" i="11" s="1"/>
  <c r="BB140" i="11"/>
  <c r="K90" i="4"/>
  <c r="D149" i="9"/>
  <c r="M4" i="7"/>
  <c r="BL69" i="7"/>
  <c r="BF57" i="11"/>
  <c r="J36" i="7"/>
  <c r="J102" i="7"/>
  <c r="D231" i="4"/>
  <c r="D393" i="3"/>
  <c r="D442" i="3" s="1"/>
  <c r="P5" i="7"/>
  <c r="BR5" i="7" s="1"/>
  <c r="BR85" i="7"/>
  <c r="AH161" i="8"/>
  <c r="BO159" i="12" s="1"/>
  <c r="AD161" i="8"/>
  <c r="H126" i="11"/>
  <c r="H108" i="4"/>
  <c r="F88" i="4"/>
  <c r="F122" i="11"/>
  <c r="F42" i="11" s="1"/>
  <c r="F234" i="4" s="1"/>
  <c r="I9" i="9"/>
  <c r="B391" i="3"/>
  <c r="D15" i="5"/>
  <c r="I5" i="4"/>
  <c r="I150" i="4"/>
  <c r="BL36" i="7"/>
  <c r="M240" i="4"/>
  <c r="M303" i="4"/>
  <c r="M402" i="3"/>
  <c r="BC18" i="11"/>
  <c r="N23" i="5"/>
  <c r="BB270" i="11"/>
  <c r="K108" i="4"/>
  <c r="BL7" i="7"/>
  <c r="D85" i="5"/>
  <c r="D118" i="5" s="1"/>
  <c r="AD100" i="5"/>
  <c r="AC100" i="5"/>
  <c r="P104" i="5"/>
  <c r="AH282" i="3"/>
  <c r="AI282" i="3" s="1"/>
  <c r="AE282" i="3"/>
  <c r="M333" i="3"/>
  <c r="M169" i="3"/>
  <c r="M315" i="3" s="1"/>
  <c r="G15" i="4"/>
  <c r="F329" i="3"/>
  <c r="H311" i="3"/>
  <c r="L80" i="3"/>
  <c r="K16" i="3"/>
  <c r="S19" i="8"/>
  <c r="R20" i="8"/>
  <c r="BH33" i="7"/>
  <c r="K399" i="3"/>
  <c r="D5" i="5"/>
  <c r="P3" i="5"/>
  <c r="P15" i="4"/>
  <c r="P101" i="7"/>
  <c r="BR101" i="7" s="1"/>
  <c r="BR89" i="7"/>
  <c r="L6" i="5"/>
  <c r="V55" i="8"/>
  <c r="U56" i="8"/>
  <c r="J6" i="5"/>
  <c r="J350" i="4"/>
  <c r="K16" i="11"/>
  <c r="BA16" i="11" s="1"/>
  <c r="BA17" i="11"/>
  <c r="J44" i="5"/>
  <c r="J68" i="4"/>
  <c r="J342" i="4" s="1"/>
  <c r="J133" i="4"/>
  <c r="H256" i="3"/>
  <c r="H229" i="3"/>
  <c r="H240" i="3" s="1"/>
  <c r="I339" i="3"/>
  <c r="I175" i="3"/>
  <c r="I321" i="3" s="1"/>
  <c r="C77" i="5"/>
  <c r="C332" i="3"/>
  <c r="C168" i="3"/>
  <c r="C314" i="3" s="1"/>
  <c r="O15" i="5"/>
  <c r="BH208" i="11"/>
  <c r="BH209" i="11" s="1"/>
  <c r="P210" i="11"/>
  <c r="AS199" i="11"/>
  <c r="P126" i="11"/>
  <c r="BK206" i="11"/>
  <c r="AG238" i="3"/>
  <c r="AI238" i="3" s="1"/>
  <c r="AF238" i="3"/>
  <c r="AE238" i="3"/>
  <c r="BL8" i="9"/>
  <c r="AK8" i="9"/>
  <c r="AG200" i="3"/>
  <c r="AF200" i="3"/>
  <c r="G271" i="13"/>
  <c r="G116" i="3"/>
  <c r="H3" i="13"/>
  <c r="AZ4" i="13"/>
  <c r="H26" i="1"/>
  <c r="AZ5" i="13"/>
  <c r="BF60" i="11"/>
  <c r="M44" i="11"/>
  <c r="BH148" i="7"/>
  <c r="K150" i="7"/>
  <c r="B65" i="11"/>
  <c r="B37" i="11"/>
  <c r="T138" i="10"/>
  <c r="V137" i="10"/>
  <c r="AC137" i="10" s="1"/>
  <c r="I234" i="4"/>
  <c r="AT9" i="13"/>
  <c r="B30" i="1"/>
  <c r="B8" i="13"/>
  <c r="N195" i="11"/>
  <c r="N11" i="11"/>
  <c r="O119" i="7"/>
  <c r="O7" i="7"/>
  <c r="BP117" i="7"/>
  <c r="I397" i="3"/>
  <c r="I7" i="7"/>
  <c r="I6" i="7" s="1"/>
  <c r="I15" i="6" s="1"/>
  <c r="I119" i="7"/>
  <c r="G35" i="6"/>
  <c r="AA139" i="22"/>
  <c r="AB138" i="22"/>
  <c r="AG15" i="21"/>
  <c r="O12" i="21"/>
  <c r="AQ13" i="21"/>
  <c r="AS161" i="20"/>
  <c r="Y162" i="20"/>
  <c r="BN365" i="19"/>
  <c r="P22" i="19"/>
  <c r="BN22" i="19" s="1"/>
  <c r="Y92" i="20"/>
  <c r="BN253" i="19"/>
  <c r="P15" i="19"/>
  <c r="BN15" i="19" s="1"/>
  <c r="P61" i="6"/>
  <c r="AF68" i="20"/>
  <c r="AG67" i="20"/>
  <c r="K105" i="17"/>
  <c r="K130" i="17"/>
  <c r="K103" i="3"/>
  <c r="AU344" i="15"/>
  <c r="M356" i="15"/>
  <c r="AU356" i="15" s="1"/>
  <c r="R115" i="24"/>
  <c r="S114" i="24"/>
  <c r="Q18" i="24"/>
  <c r="S17" i="24"/>
  <c r="J129" i="23"/>
  <c r="AS101" i="22"/>
  <c r="AV101" i="22"/>
  <c r="AW101" i="22" s="1"/>
  <c r="AR102" i="22"/>
  <c r="AN8" i="21"/>
  <c r="AN5" i="21"/>
  <c r="AN15" i="21"/>
  <c r="D157" i="21"/>
  <c r="P269" i="19"/>
  <c r="BN269" i="19" s="1"/>
  <c r="BN257" i="19"/>
  <c r="BN141" i="19"/>
  <c r="P8" i="19"/>
  <c r="H13" i="23"/>
  <c r="H7" i="6" s="1"/>
  <c r="H35" i="6"/>
  <c r="H34" i="6" s="1"/>
  <c r="P290" i="17"/>
  <c r="AW180" i="15"/>
  <c r="N13" i="15"/>
  <c r="AW13" i="15" s="1"/>
  <c r="N10" i="15"/>
  <c r="AW10" i="15" s="1"/>
  <c r="N53" i="6"/>
  <c r="AY15" i="15"/>
  <c r="L20" i="14"/>
  <c r="O20" i="14"/>
  <c r="R20" i="14" s="1"/>
  <c r="BO13" i="13"/>
  <c r="AW11" i="13"/>
  <c r="E32" i="1"/>
  <c r="G335" i="13"/>
  <c r="BA180" i="15"/>
  <c r="P13" i="15"/>
  <c r="BA13" i="15" s="1"/>
  <c r="P10" i="15"/>
  <c r="BA10" i="15" s="1"/>
  <c r="P53" i="6"/>
  <c r="M16" i="13"/>
  <c r="BL9" i="13"/>
  <c r="T30" i="1"/>
  <c r="P143" i="13"/>
  <c r="P115" i="13"/>
  <c r="P100" i="3"/>
  <c r="V65" i="8"/>
  <c r="U66" i="8"/>
  <c r="V137" i="26"/>
  <c r="U138" i="26"/>
  <c r="AG7" i="21"/>
  <c r="E6" i="21"/>
  <c r="Z167" i="20"/>
  <c r="BP340" i="19"/>
  <c r="Q324" i="19"/>
  <c r="W147" i="25"/>
  <c r="W9" i="25" s="1"/>
  <c r="I10" i="25"/>
  <c r="B269" i="21"/>
  <c r="AQ6" i="22"/>
  <c r="AT5" i="22"/>
  <c r="AW5" i="22" s="1"/>
  <c r="BN263" i="19"/>
  <c r="P186" i="4"/>
  <c r="AZ4" i="17"/>
  <c r="Y4" i="17"/>
  <c r="H3" i="17"/>
  <c r="AB23" i="17"/>
  <c r="K22" i="17"/>
  <c r="K7" i="15"/>
  <c r="AU180" i="15"/>
  <c r="M13" i="15"/>
  <c r="AU13" i="15" s="1"/>
  <c r="CW13" i="15" s="1"/>
  <c r="M10" i="15"/>
  <c r="AU10" i="15" s="1"/>
  <c r="CW10" i="15" s="1"/>
  <c r="M53" i="6"/>
  <c r="H21" i="13"/>
  <c r="L115" i="13"/>
  <c r="L143" i="13"/>
  <c r="L100" i="3"/>
  <c r="J36" i="13"/>
  <c r="AT14" i="13"/>
  <c r="N63" i="13"/>
  <c r="L123" i="13"/>
  <c r="L43" i="13" s="1"/>
  <c r="L108" i="3"/>
  <c r="BK134" i="11"/>
  <c r="P118" i="11"/>
  <c r="P84" i="4"/>
  <c r="G293" i="4"/>
  <c r="G342" i="4" s="1"/>
  <c r="E15" i="5"/>
  <c r="R163" i="24"/>
  <c r="S162" i="24"/>
  <c r="K109" i="21"/>
  <c r="F15" i="19"/>
  <c r="F12" i="19" s="1"/>
  <c r="F33" i="6" s="1"/>
  <c r="F61" i="6"/>
  <c r="AV142" i="18"/>
  <c r="AW141" i="18"/>
  <c r="H104" i="17"/>
  <c r="H40" i="17" s="1"/>
  <c r="H102" i="3"/>
  <c r="AT90" i="16"/>
  <c r="AS91" i="16"/>
  <c r="L5" i="15"/>
  <c r="AS100" i="15"/>
  <c r="D25" i="9"/>
  <c r="AY20" i="4"/>
  <c r="AZ20" i="4" s="1"/>
  <c r="AV20" i="4"/>
  <c r="AR56" i="23"/>
  <c r="O40" i="23"/>
  <c r="AR45" i="23"/>
  <c r="O29" i="23"/>
  <c r="AR29" i="23" s="1"/>
  <c r="J205" i="21"/>
  <c r="BD35" i="19"/>
  <c r="BL35" i="19"/>
  <c r="I110" i="17"/>
  <c r="I130" i="17"/>
  <c r="I108" i="3"/>
  <c r="E103" i="17"/>
  <c r="E101" i="3"/>
  <c r="AJ31" i="16"/>
  <c r="M292" i="15"/>
  <c r="AU292" i="15" s="1"/>
  <c r="AU280" i="15"/>
  <c r="AM80" i="14"/>
  <c r="AK150" i="14"/>
  <c r="AN149" i="14"/>
  <c r="D419" i="13"/>
  <c r="BJ165" i="7"/>
  <c r="L10" i="7"/>
  <c r="L34" i="7"/>
  <c r="BJ50" i="7"/>
  <c r="AD8" i="17"/>
  <c r="M7" i="17"/>
  <c r="J15" i="5"/>
  <c r="E334" i="3"/>
  <c r="M17" i="3"/>
  <c r="L175" i="3"/>
  <c r="L321" i="3" s="1"/>
  <c r="D66" i="17"/>
  <c r="H244" i="15"/>
  <c r="B446" i="13"/>
  <c r="B430" i="13" s="1"/>
  <c r="N15" i="14"/>
  <c r="AU158" i="12"/>
  <c r="AU159" i="12" s="1"/>
  <c r="AU160" i="12" s="1"/>
  <c r="AU161" i="12" s="1"/>
  <c r="AU162" i="12" s="1"/>
  <c r="AU163" i="12" s="1"/>
  <c r="AU164" i="12" s="1"/>
  <c r="AU165" i="12" s="1"/>
  <c r="AU166" i="12" s="1"/>
  <c r="AU167" i="12" s="1"/>
  <c r="AU168" i="12" s="1"/>
  <c r="AU169" i="12" s="1"/>
  <c r="R158" i="12"/>
  <c r="BH135" i="11"/>
  <c r="Q21" i="23"/>
  <c r="AV37" i="23"/>
  <c r="AE10" i="21"/>
  <c r="C9" i="21"/>
  <c r="AE9" i="21" s="1"/>
  <c r="AR139" i="20"/>
  <c r="AP140" i="20"/>
  <c r="AO127" i="20"/>
  <c r="AL128" i="20"/>
  <c r="AG152" i="20"/>
  <c r="AF153" i="20"/>
  <c r="G15" i="19"/>
  <c r="G12" i="19" s="1"/>
  <c r="G33" i="6" s="1"/>
  <c r="G61" i="6"/>
  <c r="H196" i="15"/>
  <c r="BA23" i="13"/>
  <c r="I21" i="13"/>
  <c r="BC184" i="15"/>
  <c r="BF369" i="11"/>
  <c r="M23" i="11"/>
  <c r="BE23" i="11" s="1"/>
  <c r="C115" i="13"/>
  <c r="C143" i="13"/>
  <c r="C100" i="3"/>
  <c r="G118" i="11"/>
  <c r="BU6" i="9"/>
  <c r="J117" i="11"/>
  <c r="J129" i="11" s="1"/>
  <c r="J145" i="11"/>
  <c r="J83" i="4"/>
  <c r="AD109" i="5"/>
  <c r="AC109" i="5"/>
  <c r="AI5" i="3"/>
  <c r="AK6" i="20"/>
  <c r="AJ7" i="20"/>
  <c r="AF116" i="18"/>
  <c r="AG5" i="20"/>
  <c r="AF6" i="20"/>
  <c r="Z7" i="17"/>
  <c r="BA7" i="17"/>
  <c r="Q404" i="15"/>
  <c r="BC404" i="15" s="1"/>
  <c r="BC392" i="15"/>
  <c r="N306" i="17"/>
  <c r="N278" i="17"/>
  <c r="N290" i="17" s="1"/>
  <c r="AN91" i="16"/>
  <c r="AM92" i="16"/>
  <c r="F292" i="15"/>
  <c r="AS6" i="14"/>
  <c r="AV5" i="14"/>
  <c r="AC137" i="8"/>
  <c r="H63" i="5"/>
  <c r="H76" i="5"/>
  <c r="C38" i="11"/>
  <c r="C230" i="4" s="1"/>
  <c r="H21" i="6"/>
  <c r="AF232" i="3"/>
  <c r="AG232" i="3"/>
  <c r="AI232" i="3" s="1"/>
  <c r="AE232" i="3"/>
  <c r="AE256" i="3"/>
  <c r="I6" i="5"/>
  <c r="I350" i="4"/>
  <c r="J348" i="4"/>
  <c r="K328" i="3"/>
  <c r="K6" i="21"/>
  <c r="AM6" i="21" s="1"/>
  <c r="AM8" i="21"/>
  <c r="AQ30" i="16"/>
  <c r="AP31" i="16"/>
  <c r="AM7" i="16"/>
  <c r="AN6" i="16"/>
  <c r="AO163" i="14"/>
  <c r="L38" i="11"/>
  <c r="AV54" i="11"/>
  <c r="B119" i="11"/>
  <c r="B39" i="11" s="1"/>
  <c r="B231" i="4" s="1"/>
  <c r="B85" i="4"/>
  <c r="B12" i="11"/>
  <c r="AF201" i="3"/>
  <c r="AG201" i="3"/>
  <c r="AE201" i="3"/>
  <c r="N23" i="23"/>
  <c r="AP23" i="23" s="1"/>
  <c r="AP39" i="23"/>
  <c r="AA162" i="22"/>
  <c r="AB161" i="22"/>
  <c r="J6" i="21"/>
  <c r="AL6" i="21" s="1"/>
  <c r="AL7" i="21"/>
  <c r="AR174" i="20"/>
  <c r="AP175" i="20"/>
  <c r="AT52" i="16"/>
  <c r="BA52" i="16" s="1"/>
  <c r="AR53" i="16"/>
  <c r="J153" i="3"/>
  <c r="AD137" i="3"/>
  <c r="K89" i="3"/>
  <c r="K445" i="3" s="1"/>
  <c r="K201" i="3"/>
  <c r="F16" i="11"/>
  <c r="BL269" i="11"/>
  <c r="BM269" i="11" s="1"/>
  <c r="N107" i="4"/>
  <c r="N156" i="4" s="1"/>
  <c r="AS57" i="11"/>
  <c r="AS58" i="11"/>
  <c r="AO59" i="12"/>
  <c r="AO60" i="12" s="1"/>
  <c r="AO61" i="12" s="1"/>
  <c r="H125" i="11"/>
  <c r="H45" i="11" s="1"/>
  <c r="H91" i="4"/>
  <c r="F101" i="9"/>
  <c r="Y55" i="5"/>
  <c r="F123" i="11"/>
  <c r="F130" i="11" s="1"/>
  <c r="F232" i="4"/>
  <c r="F394" i="3"/>
  <c r="F443" i="3" s="1"/>
  <c r="AS4" i="4"/>
  <c r="AT177" i="23"/>
  <c r="P11" i="23"/>
  <c r="J25" i="23"/>
  <c r="AO121" i="22"/>
  <c r="AY174" i="20"/>
  <c r="K9" i="21"/>
  <c r="AM9" i="21" s="1"/>
  <c r="AM10" i="21"/>
  <c r="N39" i="19"/>
  <c r="AP116" i="20"/>
  <c r="AR115" i="20"/>
  <c r="AZ126" i="18"/>
  <c r="AX127" i="18"/>
  <c r="C25" i="17"/>
  <c r="AU23" i="17" s="1"/>
  <c r="AU24" i="17"/>
  <c r="AU276" i="15"/>
  <c r="M16" i="15"/>
  <c r="AU16" i="15" s="1"/>
  <c r="CW16" i="15" s="1"/>
  <c r="AZ9" i="18"/>
  <c r="AX10" i="18"/>
  <c r="P270" i="11"/>
  <c r="BK289" i="11"/>
  <c r="P17" i="11"/>
  <c r="BH17" i="13" s="1"/>
  <c r="C348" i="4"/>
  <c r="C380" i="4" s="1"/>
  <c r="BF269" i="11"/>
  <c r="M107" i="4"/>
  <c r="M156" i="4" s="1"/>
  <c r="N102" i="7"/>
  <c r="I328" i="3"/>
  <c r="AP7" i="25"/>
  <c r="AX184" i="22"/>
  <c r="AW184" i="22"/>
  <c r="O16" i="21"/>
  <c r="B15" i="19"/>
  <c r="B12" i="19" s="1"/>
  <c r="B33" i="6" s="1"/>
  <c r="B61" i="6"/>
  <c r="D13" i="19"/>
  <c r="D12" i="19" s="1"/>
  <c r="D33" i="6" s="1"/>
  <c r="D59" i="6"/>
  <c r="AY19" i="17"/>
  <c r="D194" i="17"/>
  <c r="AZ124" i="14"/>
  <c r="BB124" i="14" s="1"/>
  <c r="AX124" i="14"/>
  <c r="AW125" i="14"/>
  <c r="AZ78" i="14"/>
  <c r="K6" i="11"/>
  <c r="BB113" i="11"/>
  <c r="K45" i="6"/>
  <c r="O10" i="7"/>
  <c r="BP165" i="7"/>
  <c r="U104" i="8"/>
  <c r="V103" i="8"/>
  <c r="AV58" i="4"/>
  <c r="Z20" i="11"/>
  <c r="Z21" i="6" s="1"/>
  <c r="AT185" i="22"/>
  <c r="AQ186" i="22"/>
  <c r="AT186" i="22" s="1"/>
  <c r="I109" i="21"/>
  <c r="Q306" i="15"/>
  <c r="AQ78" i="14"/>
  <c r="BA77" i="14"/>
  <c r="J119" i="13"/>
  <c r="J39" i="13" s="1"/>
  <c r="J136" i="3"/>
  <c r="AX45" i="12"/>
  <c r="AX46" i="12" s="1"/>
  <c r="AX47" i="12" s="1"/>
  <c r="AX48" i="12" s="1"/>
  <c r="AX49" i="12" s="1"/>
  <c r="BK417" i="11"/>
  <c r="P26" i="11"/>
  <c r="BK26" i="11" s="1"/>
  <c r="F395" i="3"/>
  <c r="F444" i="3" s="1"/>
  <c r="F477" i="3" s="1"/>
  <c r="BJ33" i="7"/>
  <c r="L399" i="3"/>
  <c r="AW88" i="22"/>
  <c r="AA115" i="22"/>
  <c r="AB114" i="22"/>
  <c r="AY161" i="20"/>
  <c r="AX161" i="22"/>
  <c r="AR89" i="20"/>
  <c r="AP90" i="20"/>
  <c r="AA161" i="20"/>
  <c r="AY77" i="20"/>
  <c r="AJ56" i="18"/>
  <c r="C10" i="17"/>
  <c r="C13" i="17"/>
  <c r="AH31" i="16"/>
  <c r="AG32" i="16"/>
  <c r="H38" i="17"/>
  <c r="H114" i="17"/>
  <c r="F40" i="13"/>
  <c r="BS17" i="13"/>
  <c r="AA16" i="13"/>
  <c r="BS16" i="13" s="1"/>
  <c r="AN10" i="11"/>
  <c r="K125" i="13"/>
  <c r="K45" i="13" s="1"/>
  <c r="K110" i="3"/>
  <c r="AE12" i="25"/>
  <c r="U129" i="24"/>
  <c r="V129" i="24" s="1"/>
  <c r="W129" i="24" s="1"/>
  <c r="V128" i="24"/>
  <c r="W128" i="24" s="1"/>
  <c r="N10" i="25"/>
  <c r="J45" i="24"/>
  <c r="J28" i="24"/>
  <c r="AT81" i="23"/>
  <c r="P5" i="23"/>
  <c r="AP118" i="23"/>
  <c r="N22" i="23"/>
  <c r="AP22" i="23" s="1"/>
  <c r="H129" i="23"/>
  <c r="H21" i="23"/>
  <c r="K28" i="23"/>
  <c r="AL28" i="23" s="1"/>
  <c r="B24" i="23"/>
  <c r="AN97" i="23"/>
  <c r="L6" i="23"/>
  <c r="AL6" i="23" s="1"/>
  <c r="U89" i="24"/>
  <c r="V88" i="24"/>
  <c r="W88" i="24" s="1"/>
  <c r="AT113" i="23"/>
  <c r="P7" i="23"/>
  <c r="O41" i="23"/>
  <c r="AR57" i="23"/>
  <c r="AD186" i="22"/>
  <c r="AE186" i="22" s="1"/>
  <c r="AE185" i="22"/>
  <c r="AS174" i="22"/>
  <c r="AR175" i="22"/>
  <c r="AZ184" i="22"/>
  <c r="AT138" i="22"/>
  <c r="AH114" i="22"/>
  <c r="AG115" i="22"/>
  <c r="AR93" i="22"/>
  <c r="AF7" i="21"/>
  <c r="D6" i="21"/>
  <c r="AR30" i="22"/>
  <c r="AV29" i="22"/>
  <c r="AW29" i="22" s="1"/>
  <c r="AS29" i="22"/>
  <c r="AW76" i="22"/>
  <c r="AU137" i="22"/>
  <c r="AW137" i="22" s="1"/>
  <c r="AJ138" i="22"/>
  <c r="L38" i="23"/>
  <c r="AN54" i="23"/>
  <c r="M109" i="21"/>
  <c r="AQ163" i="22"/>
  <c r="AT162" i="22"/>
  <c r="AE59" i="22"/>
  <c r="AD60" i="22"/>
  <c r="AT125" i="20"/>
  <c r="AX125" i="20" s="1"/>
  <c r="AI126" i="20"/>
  <c r="AD125" i="20"/>
  <c r="AC126" i="20"/>
  <c r="AG162" i="20"/>
  <c r="AF163" i="20"/>
  <c r="AC30" i="20"/>
  <c r="AD29" i="20"/>
  <c r="AL80" i="20"/>
  <c r="AU125" i="20"/>
  <c r="AY125" i="20" s="1"/>
  <c r="AW28" i="20"/>
  <c r="AV28" i="20"/>
  <c r="AZ28" i="20" s="1"/>
  <c r="J16" i="21"/>
  <c r="P205" i="19"/>
  <c r="BN205" i="19" s="1"/>
  <c r="AT151" i="20"/>
  <c r="AX151" i="20" s="1"/>
  <c r="AI152" i="20"/>
  <c r="N157" i="19"/>
  <c r="BJ157" i="19" s="1"/>
  <c r="BJ145" i="19"/>
  <c r="AD17" i="20"/>
  <c r="AC18" i="20"/>
  <c r="M205" i="19"/>
  <c r="BH205" i="19" s="1"/>
  <c r="L21" i="19"/>
  <c r="L20" i="19" s="1"/>
  <c r="Q342" i="19"/>
  <c r="I269" i="19"/>
  <c r="BL108" i="19"/>
  <c r="O110" i="19"/>
  <c r="F61" i="19"/>
  <c r="Q348" i="19"/>
  <c r="AP55" i="20"/>
  <c r="AR54" i="20"/>
  <c r="BH125" i="19"/>
  <c r="M7" i="19"/>
  <c r="AS55" i="18"/>
  <c r="AG175" i="18"/>
  <c r="BD218" i="19"/>
  <c r="N33" i="19"/>
  <c r="N61" i="19"/>
  <c r="J31" i="19"/>
  <c r="J6" i="19"/>
  <c r="AO55" i="18"/>
  <c r="AQ54" i="18"/>
  <c r="H157" i="19"/>
  <c r="H33" i="19"/>
  <c r="M40" i="19"/>
  <c r="BH40" i="19" s="1"/>
  <c r="AM151" i="18"/>
  <c r="AN150" i="18"/>
  <c r="AW88" i="20"/>
  <c r="AV88" i="20"/>
  <c r="AZ88" i="20" s="1"/>
  <c r="BN317" i="19"/>
  <c r="P19" i="19"/>
  <c r="BN19" i="19" s="1"/>
  <c r="O110" i="17"/>
  <c r="O46" i="17" s="1"/>
  <c r="O108" i="3"/>
  <c r="AX25" i="17"/>
  <c r="K7" i="17"/>
  <c r="AB8" i="17"/>
  <c r="AF128" i="18"/>
  <c r="AH78" i="18"/>
  <c r="BB78" i="18"/>
  <c r="AG79" i="18"/>
  <c r="AY9" i="17"/>
  <c r="AG16" i="17"/>
  <c r="AM55" i="18"/>
  <c r="AN54" i="18"/>
  <c r="P13" i="17"/>
  <c r="AG13" i="17" s="1"/>
  <c r="P10" i="17"/>
  <c r="H111" i="17"/>
  <c r="H47" i="17" s="1"/>
  <c r="H109" i="3"/>
  <c r="F13" i="17"/>
  <c r="F10" i="17"/>
  <c r="AW17" i="16"/>
  <c r="AV18" i="16"/>
  <c r="AV126" i="16"/>
  <c r="AW125" i="16"/>
  <c r="AP58" i="16"/>
  <c r="AS103" i="16"/>
  <c r="AT65" i="18"/>
  <c r="AS66" i="18"/>
  <c r="AJ139" i="16"/>
  <c r="AK138" i="16"/>
  <c r="BJ108" i="19"/>
  <c r="N110" i="19"/>
  <c r="AB15" i="17"/>
  <c r="K14" i="17"/>
  <c r="AB14" i="17" s="1"/>
  <c r="AQ18" i="16"/>
  <c r="AN66" i="18"/>
  <c r="AM67" i="18"/>
  <c r="J14" i="15"/>
  <c r="J26" i="6" s="1"/>
  <c r="P18" i="17"/>
  <c r="AG19" i="17"/>
  <c r="AW436" i="15"/>
  <c r="N27" i="15"/>
  <c r="O16" i="15"/>
  <c r="AY16" i="15" s="1"/>
  <c r="AY276" i="15"/>
  <c r="AN79" i="16"/>
  <c r="AM80" i="16"/>
  <c r="N3" i="17"/>
  <c r="AW59" i="15"/>
  <c r="AX142" i="16"/>
  <c r="Q106" i="15"/>
  <c r="BC106" i="15" s="1"/>
  <c r="BC122" i="15"/>
  <c r="Q85" i="4"/>
  <c r="L116" i="15"/>
  <c r="AS116" i="15" s="1"/>
  <c r="AS104" i="15"/>
  <c r="Q302" i="15"/>
  <c r="AK140" i="14"/>
  <c r="B7" i="15"/>
  <c r="AK151" i="16"/>
  <c r="N107" i="15"/>
  <c r="AW123" i="15"/>
  <c r="N86" i="4"/>
  <c r="L22" i="14"/>
  <c r="O22" i="14"/>
  <c r="R22" i="14" s="1"/>
  <c r="AZ176" i="14"/>
  <c r="AL177" i="14"/>
  <c r="AK162" i="14"/>
  <c r="AN161" i="14"/>
  <c r="AU84" i="15"/>
  <c r="M4" i="15"/>
  <c r="AQ120" i="15"/>
  <c r="O132" i="15"/>
  <c r="O104" i="15"/>
  <c r="AY120" i="15"/>
  <c r="O83" i="4"/>
  <c r="AT9" i="17"/>
  <c r="AG91" i="16"/>
  <c r="AH90" i="16"/>
  <c r="AW23" i="13"/>
  <c r="R112" i="14"/>
  <c r="N24" i="14"/>
  <c r="C443" i="13"/>
  <c r="C427" i="13" s="1"/>
  <c r="AO65" i="14"/>
  <c r="AR64" i="14"/>
  <c r="I196" i="15"/>
  <c r="AL271" i="13"/>
  <c r="K21" i="13"/>
  <c r="BC22" i="13"/>
  <c r="BF22" i="13"/>
  <c r="N21" i="13"/>
  <c r="L323" i="13"/>
  <c r="L335" i="13" s="1"/>
  <c r="L351" i="13"/>
  <c r="J121" i="13"/>
  <c r="J41" i="13" s="1"/>
  <c r="J138" i="3"/>
  <c r="CG13" i="13"/>
  <c r="AS111" i="15"/>
  <c r="L47" i="15"/>
  <c r="AS47" i="15" s="1"/>
  <c r="K63" i="13"/>
  <c r="L431" i="13"/>
  <c r="L25" i="13" s="1"/>
  <c r="BA138" i="14"/>
  <c r="AM139" i="14"/>
  <c r="N37" i="13"/>
  <c r="AW17" i="13"/>
  <c r="E16" i="13"/>
  <c r="AW16" i="13" s="1"/>
  <c r="Y162" i="10"/>
  <c r="X163" i="10"/>
  <c r="AV138" i="12"/>
  <c r="AV139" i="12" s="1"/>
  <c r="AV140" i="12" s="1"/>
  <c r="AV141" i="12" s="1"/>
  <c r="AV142" i="12" s="1"/>
  <c r="AV143" i="12" s="1"/>
  <c r="AV144" i="12" s="1"/>
  <c r="AV145" i="12" s="1"/>
  <c r="R134" i="12"/>
  <c r="AU134" i="12"/>
  <c r="AU135" i="12" s="1"/>
  <c r="AU136" i="12" s="1"/>
  <c r="AU137" i="12" s="1"/>
  <c r="AU138" i="12" s="1"/>
  <c r="AU139" i="12" s="1"/>
  <c r="AU140" i="12" s="1"/>
  <c r="AU141" i="12" s="1"/>
  <c r="AU142" i="12" s="1"/>
  <c r="AU143" i="12" s="1"/>
  <c r="AU144" i="12" s="1"/>
  <c r="AU145" i="12" s="1"/>
  <c r="D43" i="6"/>
  <c r="D4" i="11"/>
  <c r="BH15" i="13"/>
  <c r="J207" i="13"/>
  <c r="F126" i="13"/>
  <c r="F46" i="13" s="1"/>
  <c r="J20" i="11"/>
  <c r="K13" i="11"/>
  <c r="BB225" i="11"/>
  <c r="AO31" i="12"/>
  <c r="AO32" i="12" s="1"/>
  <c r="AO33" i="12" s="1"/>
  <c r="AO34" i="12" s="1"/>
  <c r="AO35" i="12" s="1"/>
  <c r="AO36" i="12" s="1"/>
  <c r="AO37" i="12" s="1"/>
  <c r="AH10" i="11"/>
  <c r="AW54" i="11"/>
  <c r="AP16" i="13"/>
  <c r="CH16" i="13" s="1"/>
  <c r="R13" i="1"/>
  <c r="P9" i="11"/>
  <c r="BK161" i="11"/>
  <c r="J16" i="11"/>
  <c r="BK198" i="11"/>
  <c r="BF267" i="11"/>
  <c r="M105" i="4"/>
  <c r="K40" i="11"/>
  <c r="O125" i="11"/>
  <c r="O45" i="11" s="1"/>
  <c r="O91" i="4"/>
  <c r="Q31" i="10"/>
  <c r="S30" i="10"/>
  <c r="D29" i="9"/>
  <c r="D296" i="4" s="1"/>
  <c r="I337" i="11"/>
  <c r="AT54" i="11"/>
  <c r="Q38" i="11"/>
  <c r="BM54" i="11"/>
  <c r="Y56" i="10"/>
  <c r="X57" i="10"/>
  <c r="L5" i="7"/>
  <c r="BJ5" i="7" s="1"/>
  <c r="BJ85" i="7"/>
  <c r="E36" i="7"/>
  <c r="BC9" i="13"/>
  <c r="K8" i="13"/>
  <c r="K30" i="1"/>
  <c r="AA32" i="10"/>
  <c r="AB31" i="10"/>
  <c r="R164" i="8"/>
  <c r="S163" i="8"/>
  <c r="D402" i="3"/>
  <c r="AS54" i="11"/>
  <c r="BK53" i="11"/>
  <c r="BH55" i="11"/>
  <c r="BH56" i="11" s="1"/>
  <c r="P37" i="11"/>
  <c r="P65" i="11"/>
  <c r="BK65" i="11" s="1"/>
  <c r="X34" i="10"/>
  <c r="Y33" i="10"/>
  <c r="O4" i="7"/>
  <c r="BP69" i="7"/>
  <c r="AB7" i="10"/>
  <c r="AA8" i="10"/>
  <c r="G401" i="3"/>
  <c r="G450" i="3" s="1"/>
  <c r="G239" i="4"/>
  <c r="L39" i="11"/>
  <c r="BD39" i="11" s="1"/>
  <c r="L303" i="4"/>
  <c r="E399" i="3"/>
  <c r="E448" i="3" s="1"/>
  <c r="I23" i="5"/>
  <c r="BY13" i="13"/>
  <c r="M4" i="11"/>
  <c r="M83" i="11"/>
  <c r="BF81" i="11"/>
  <c r="M43" i="6"/>
  <c r="O150" i="7"/>
  <c r="P26" i="7"/>
  <c r="BR42" i="7"/>
  <c r="J69" i="5"/>
  <c r="BB141" i="11"/>
  <c r="K125" i="11"/>
  <c r="K91" i="4"/>
  <c r="C8" i="11"/>
  <c r="C12" i="1"/>
  <c r="C11" i="1" s="1"/>
  <c r="D53" i="7"/>
  <c r="BD141" i="11"/>
  <c r="L125" i="11"/>
  <c r="BD125" i="11" s="1"/>
  <c r="L91" i="4"/>
  <c r="AD12" i="9"/>
  <c r="BR36" i="7"/>
  <c r="P303" i="4"/>
  <c r="P402" i="3"/>
  <c r="P451" i="3" s="1"/>
  <c r="AY21" i="4"/>
  <c r="AV21" i="4"/>
  <c r="G74" i="4"/>
  <c r="G348" i="4" s="1"/>
  <c r="G380" i="4" s="1"/>
  <c r="I77" i="4"/>
  <c r="I142" i="4"/>
  <c r="I174" i="4" s="1"/>
  <c r="J53" i="9"/>
  <c r="J25" i="9"/>
  <c r="J31" i="5"/>
  <c r="BR213" i="7"/>
  <c r="P13" i="7"/>
  <c r="P112" i="5"/>
  <c r="AD108" i="5"/>
  <c r="AC108" i="5"/>
  <c r="BP213" i="7"/>
  <c r="O13" i="7"/>
  <c r="AZ22" i="4"/>
  <c r="D7" i="17"/>
  <c r="AV8" i="17"/>
  <c r="BT89" i="7"/>
  <c r="H170" i="4"/>
  <c r="C101" i="9"/>
  <c r="Q19" i="11"/>
  <c r="BM321" i="11"/>
  <c r="G240" i="3"/>
  <c r="N101" i="7"/>
  <c r="BN101" i="7" s="1"/>
  <c r="BN89" i="7"/>
  <c r="X152" i="8"/>
  <c r="Y151" i="8"/>
  <c r="AD29" i="5"/>
  <c r="AC29" i="5"/>
  <c r="Y31" i="5"/>
  <c r="E152" i="3"/>
  <c r="AI252" i="3"/>
  <c r="D15" i="4"/>
  <c r="AE57" i="3"/>
  <c r="C66" i="11"/>
  <c r="AB9" i="3"/>
  <c r="P17" i="3"/>
  <c r="J449" i="3"/>
  <c r="AD13" i="3"/>
  <c r="H171" i="3"/>
  <c r="H317" i="3" s="1"/>
  <c r="H335" i="3"/>
  <c r="AI278" i="3"/>
  <c r="C89" i="3"/>
  <c r="C445" i="3" s="1"/>
  <c r="C478" i="3" s="1"/>
  <c r="C16" i="3"/>
  <c r="AD233" i="3"/>
  <c r="AH233" i="3" s="1"/>
  <c r="G67" i="25"/>
  <c r="G39" i="25"/>
  <c r="P41" i="23"/>
  <c r="AT57" i="23"/>
  <c r="AT42" i="22"/>
  <c r="AQ43" i="22"/>
  <c r="AP10" i="21"/>
  <c r="N9" i="21"/>
  <c r="BD172" i="18"/>
  <c r="J15" i="19"/>
  <c r="J61" i="6"/>
  <c r="AV175" i="16"/>
  <c r="AW174" i="16"/>
  <c r="I9" i="21"/>
  <c r="AK9" i="21" s="1"/>
  <c r="AK10" i="21"/>
  <c r="AG90" i="20"/>
  <c r="AF91" i="20"/>
  <c r="BL301" i="19"/>
  <c r="O18" i="19"/>
  <c r="BD214" i="19"/>
  <c r="AV68" i="18"/>
  <c r="AW67" i="18"/>
  <c r="AG165" i="16"/>
  <c r="AH164" i="16"/>
  <c r="AS79" i="16"/>
  <c r="BA184" i="15"/>
  <c r="P196" i="15"/>
  <c r="BA196" i="15" s="1"/>
  <c r="AU65" i="15"/>
  <c r="M49" i="15"/>
  <c r="AU49" i="15" s="1"/>
  <c r="AX4" i="14"/>
  <c r="AW5" i="14"/>
  <c r="AO172" i="12"/>
  <c r="AO173" i="12" s="1"/>
  <c r="AO174" i="12" s="1"/>
  <c r="AO175" i="12" s="1"/>
  <c r="AO176" i="12" s="1"/>
  <c r="AO177" i="12" s="1"/>
  <c r="AO178" i="12" s="1"/>
  <c r="AO179" i="12" s="1"/>
  <c r="AO180" i="12" s="1"/>
  <c r="AO181" i="12" s="1"/>
  <c r="B21" i="6"/>
  <c r="K417" i="11"/>
  <c r="K389" i="11"/>
  <c r="F237" i="4"/>
  <c r="F399" i="3"/>
  <c r="F448" i="3" s="1"/>
  <c r="H293" i="4"/>
  <c r="H342" i="4" s="1"/>
  <c r="BC10" i="11"/>
  <c r="L13" i="1"/>
  <c r="P109" i="17"/>
  <c r="P45" i="17" s="1"/>
  <c r="P107" i="3"/>
  <c r="AD229" i="3"/>
  <c r="AH229" i="3" s="1"/>
  <c r="M331" i="3"/>
  <c r="M167" i="3"/>
  <c r="M313" i="3" s="1"/>
  <c r="AO174" i="22"/>
  <c r="AP173" i="22"/>
  <c r="AG163" i="22"/>
  <c r="AH162" i="22"/>
  <c r="BP344" i="19"/>
  <c r="Q328" i="19"/>
  <c r="BP328" i="19" s="1"/>
  <c r="P43" i="21"/>
  <c r="M33" i="19"/>
  <c r="I4" i="19"/>
  <c r="I55" i="6"/>
  <c r="AW137" i="16"/>
  <c r="BA137" i="16" s="1"/>
  <c r="AV138" i="16"/>
  <c r="L306" i="17"/>
  <c r="L278" i="17"/>
  <c r="L290" i="17" s="1"/>
  <c r="AY26" i="15"/>
  <c r="BA54" i="14"/>
  <c r="AQ55" i="14"/>
  <c r="BV17" i="13"/>
  <c r="AD16" i="13"/>
  <c r="BV16" i="13" s="1"/>
  <c r="AV54" i="4"/>
  <c r="G3" i="21"/>
  <c r="D205" i="21"/>
  <c r="AA175" i="20"/>
  <c r="Z176" i="20"/>
  <c r="U269" i="19"/>
  <c r="BN262" i="19"/>
  <c r="P185" i="4"/>
  <c r="B33" i="19"/>
  <c r="B61" i="19"/>
  <c r="L33" i="19"/>
  <c r="D18" i="17"/>
  <c r="AQ67" i="18"/>
  <c r="AP68" i="18"/>
  <c r="O6" i="11"/>
  <c r="BI6" i="11" s="1"/>
  <c r="O45" i="6"/>
  <c r="H41" i="11"/>
  <c r="H233" i="4" s="1"/>
  <c r="E346" i="4"/>
  <c r="Q23" i="25"/>
  <c r="D117" i="23"/>
  <c r="D129" i="23" s="1"/>
  <c r="D161" i="23"/>
  <c r="AK128" i="22"/>
  <c r="AO137" i="20"/>
  <c r="AL138" i="20"/>
  <c r="AT175" i="18"/>
  <c r="AS176" i="18"/>
  <c r="BA160" i="18"/>
  <c r="BC160" i="18" s="1"/>
  <c r="BD160" i="18" s="1"/>
  <c r="BB35" i="15"/>
  <c r="F17" i="15"/>
  <c r="AW116" i="18"/>
  <c r="AV117" i="18"/>
  <c r="K306" i="17"/>
  <c r="K278" i="17"/>
  <c r="L301" i="4"/>
  <c r="BM261" i="11"/>
  <c r="Q99" i="4"/>
  <c r="Q6" i="23"/>
  <c r="AV6" i="23" s="1"/>
  <c r="AV97" i="23"/>
  <c r="AW54" i="18"/>
  <c r="AV55" i="18"/>
  <c r="AS260" i="15"/>
  <c r="L15" i="15"/>
  <c r="BH4" i="13"/>
  <c r="P3" i="13"/>
  <c r="P26" i="1"/>
  <c r="AR148" i="14"/>
  <c r="AO149" i="14"/>
  <c r="AO136" i="12"/>
  <c r="AO137" i="12" s="1"/>
  <c r="AO138" i="12" s="1"/>
  <c r="AO139" i="12" s="1"/>
  <c r="AO140" i="12" s="1"/>
  <c r="AO141" i="12" s="1"/>
  <c r="AO142" i="12" s="1"/>
  <c r="AO143" i="12" s="1"/>
  <c r="AO144" i="12" s="1"/>
  <c r="AO145" i="12" s="1"/>
  <c r="BN3" i="9"/>
  <c r="R33" i="10"/>
  <c r="BD140" i="11"/>
  <c r="L124" i="11"/>
  <c r="BD124" i="11" s="1"/>
  <c r="L90" i="4"/>
  <c r="I125" i="11"/>
  <c r="I45" i="11" s="1"/>
  <c r="I237" i="4" s="1"/>
  <c r="I91" i="4"/>
  <c r="BR69" i="7"/>
  <c r="P4" i="7"/>
  <c r="AS197" i="11"/>
  <c r="AT197" i="11"/>
  <c r="BM197" i="11"/>
  <c r="Q117" i="11"/>
  <c r="E395" i="3"/>
  <c r="BR27" i="7"/>
  <c r="P294" i="4"/>
  <c r="P393" i="3"/>
  <c r="H393" i="3"/>
  <c r="H231" i="4"/>
  <c r="J6" i="11"/>
  <c r="BB6" i="13" s="1"/>
  <c r="J45" i="6"/>
  <c r="J70" i="6" s="1"/>
  <c r="T12" i="9"/>
  <c r="K25" i="9"/>
  <c r="F342" i="4"/>
  <c r="P197" i="7"/>
  <c r="BR197" i="7" s="1"/>
  <c r="BR185" i="7"/>
  <c r="O197" i="7"/>
  <c r="BP197" i="7" s="1"/>
  <c r="BP185" i="7"/>
  <c r="E347" i="4"/>
  <c r="P304" i="3"/>
  <c r="AD28" i="5"/>
  <c r="AC28" i="5"/>
  <c r="O3" i="5"/>
  <c r="D78" i="4"/>
  <c r="D143" i="4"/>
  <c r="D175" i="4" s="1"/>
  <c r="AE45" i="3"/>
  <c r="AS7" i="4"/>
  <c r="AS134" i="11"/>
  <c r="B16" i="3"/>
  <c r="P30" i="7"/>
  <c r="BR46" i="7"/>
  <c r="V142" i="8"/>
  <c r="U143" i="8"/>
  <c r="J173" i="3"/>
  <c r="J337" i="3"/>
  <c r="D344" i="3"/>
  <c r="AF5" i="3"/>
  <c r="AD4" i="3"/>
  <c r="AH4" i="3" s="1"/>
  <c r="J16" i="3"/>
  <c r="P90" i="3"/>
  <c r="C174" i="3"/>
  <c r="C320" i="3" s="1"/>
  <c r="C338" i="3"/>
  <c r="AG170" i="3"/>
  <c r="O316" i="3"/>
  <c r="V67" i="26"/>
  <c r="U68" i="26"/>
  <c r="AF9" i="25"/>
  <c r="K39" i="25"/>
  <c r="K67" i="25"/>
  <c r="S141" i="24"/>
  <c r="AR177" i="23"/>
  <c r="O11" i="23"/>
  <c r="Q67" i="26"/>
  <c r="S66" i="26"/>
  <c r="W66" i="26"/>
  <c r="M67" i="25"/>
  <c r="AG7" i="25"/>
  <c r="V101" i="24"/>
  <c r="U102" i="24"/>
  <c r="AR97" i="23"/>
  <c r="O6" i="23"/>
  <c r="AQ177" i="22"/>
  <c r="AE149" i="22"/>
  <c r="AD150" i="22"/>
  <c r="AT56" i="23"/>
  <c r="P40" i="23"/>
  <c r="AQ140" i="22"/>
  <c r="AT139" i="22"/>
  <c r="AG106" i="22"/>
  <c r="AH105" i="22"/>
  <c r="AN64" i="23"/>
  <c r="L48" i="23"/>
  <c r="AP17" i="22"/>
  <c r="AM18" i="22"/>
  <c r="AB66" i="22"/>
  <c r="AA67" i="22"/>
  <c r="AQ78" i="22"/>
  <c r="AT77" i="22"/>
  <c r="O33" i="21"/>
  <c r="O45" i="21" s="1"/>
  <c r="O61" i="21"/>
  <c r="K157" i="21"/>
  <c r="AZ148" i="22"/>
  <c r="O44" i="23"/>
  <c r="AR60" i="23"/>
  <c r="AP81" i="23"/>
  <c r="N5" i="23"/>
  <c r="K16" i="21"/>
  <c r="AI7" i="21"/>
  <c r="G6" i="21"/>
  <c r="J42" i="21"/>
  <c r="AO30" i="22"/>
  <c r="AP29" i="22"/>
  <c r="AI55" i="20"/>
  <c r="AT54" i="20"/>
  <c r="AX54" i="20" s="1"/>
  <c r="AK54" i="20"/>
  <c r="Y140" i="20"/>
  <c r="AK30" i="20"/>
  <c r="AT30" i="20"/>
  <c r="AI31" i="20"/>
  <c r="AL68" i="20"/>
  <c r="AO67" i="20"/>
  <c r="AU126" i="20"/>
  <c r="AY126" i="20" s="1"/>
  <c r="Z127" i="20"/>
  <c r="AV5" i="20"/>
  <c r="AD149" i="20"/>
  <c r="AU149" i="20"/>
  <c r="AY149" i="20" s="1"/>
  <c r="AC150" i="20"/>
  <c r="AR8" i="20"/>
  <c r="AP9" i="20"/>
  <c r="Z54" i="20"/>
  <c r="AA53" i="20"/>
  <c r="AU53" i="20"/>
  <c r="AG104" i="20"/>
  <c r="AF105" i="20"/>
  <c r="BH173" i="19"/>
  <c r="M10" i="19"/>
  <c r="D61" i="21"/>
  <c r="Q33" i="21"/>
  <c r="L4" i="19"/>
  <c r="BF77" i="19"/>
  <c r="L55" i="6"/>
  <c r="L64" i="6" s="1"/>
  <c r="BF237" i="19"/>
  <c r="L14" i="19"/>
  <c r="L60" i="6"/>
  <c r="D40" i="19"/>
  <c r="P157" i="19"/>
  <c r="BN157" i="19" s="1"/>
  <c r="BN145" i="19"/>
  <c r="N40" i="19"/>
  <c r="BJ40" i="19" s="1"/>
  <c r="AH30" i="18"/>
  <c r="AG31" i="18"/>
  <c r="L31" i="19"/>
  <c r="BF7" i="19"/>
  <c r="BJ77" i="19"/>
  <c r="N4" i="19"/>
  <c r="N55" i="6"/>
  <c r="N64" i="6" s="1"/>
  <c r="AV19" i="18"/>
  <c r="AW18" i="18"/>
  <c r="J36" i="19"/>
  <c r="J232" i="4" s="1"/>
  <c r="J394" i="3"/>
  <c r="I18" i="17"/>
  <c r="Z19" i="17"/>
  <c r="G157" i="19"/>
  <c r="G33" i="19"/>
  <c r="AR30" i="18"/>
  <c r="AT29" i="18"/>
  <c r="I31" i="19"/>
  <c r="I6" i="19"/>
  <c r="AG42" i="18"/>
  <c r="AH41" i="18"/>
  <c r="BB41" i="18"/>
  <c r="AB90" i="20"/>
  <c r="AD89" i="20"/>
  <c r="AU25" i="17"/>
  <c r="AH127" i="18"/>
  <c r="AG128" i="18"/>
  <c r="AN126" i="18"/>
  <c r="AM127" i="18"/>
  <c r="F39" i="17"/>
  <c r="F50" i="17" s="1"/>
  <c r="E14" i="17"/>
  <c r="AW14" i="17" s="1"/>
  <c r="AW15" i="17"/>
  <c r="I112" i="17"/>
  <c r="I48" i="17" s="1"/>
  <c r="I110" i="3"/>
  <c r="P114" i="17"/>
  <c r="K39" i="17"/>
  <c r="AW41" i="16"/>
  <c r="AV42" i="16"/>
  <c r="R242" i="17"/>
  <c r="BA436" i="15"/>
  <c r="P27" i="15"/>
  <c r="N404" i="15"/>
  <c r="AW404" i="15" s="1"/>
  <c r="AW392" i="15"/>
  <c r="AH69" i="16"/>
  <c r="AG70" i="16"/>
  <c r="AP95" i="16"/>
  <c r="AQ94" i="16"/>
  <c r="AU121" i="15"/>
  <c r="M105" i="15"/>
  <c r="N106" i="15"/>
  <c r="AW106" i="15" s="1"/>
  <c r="AW122" i="15"/>
  <c r="N85" i="4"/>
  <c r="AZ22" i="16"/>
  <c r="AX23" i="16"/>
  <c r="AY131" i="15"/>
  <c r="O115" i="15"/>
  <c r="AJ153" i="16"/>
  <c r="AK152" i="16"/>
  <c r="S154" i="15"/>
  <c r="T154" i="15" s="1"/>
  <c r="U154" i="15" s="1"/>
  <c r="C7" i="15"/>
  <c r="C6" i="15" s="1"/>
  <c r="C24" i="6" s="1"/>
  <c r="AQ8" i="16"/>
  <c r="AP9" i="16"/>
  <c r="AU58" i="15"/>
  <c r="M42" i="15"/>
  <c r="AU42" i="15" s="1"/>
  <c r="BE6" i="15"/>
  <c r="R24" i="6"/>
  <c r="AO113" i="14"/>
  <c r="AR112" i="14"/>
  <c r="N18" i="14"/>
  <c r="C437" i="13"/>
  <c r="C421" i="13" s="1"/>
  <c r="BF19" i="13"/>
  <c r="P271" i="13"/>
  <c r="P116" i="3"/>
  <c r="N123" i="13"/>
  <c r="N43" i="13" s="1"/>
  <c r="N108" i="3"/>
  <c r="M68" i="15"/>
  <c r="N323" i="13"/>
  <c r="N351" i="13"/>
  <c r="O17" i="14"/>
  <c r="R17" i="14" s="1"/>
  <c r="J351" i="13"/>
  <c r="I116" i="13"/>
  <c r="I101" i="3"/>
  <c r="BA65" i="14"/>
  <c r="AQ66" i="14"/>
  <c r="BC10" i="13"/>
  <c r="K31" i="1"/>
  <c r="AM186" i="14"/>
  <c r="BA186" i="14" s="1"/>
  <c r="BA185" i="14"/>
  <c r="L447" i="13"/>
  <c r="L26" i="13" s="1"/>
  <c r="BD26" i="13" s="1"/>
  <c r="BT13" i="13"/>
  <c r="BF11" i="13"/>
  <c r="N32" i="1"/>
  <c r="R28" i="14"/>
  <c r="E335" i="13"/>
  <c r="BD274" i="19"/>
  <c r="F119" i="13"/>
  <c r="F39" i="13" s="1"/>
  <c r="C125" i="13"/>
  <c r="C45" i="13" s="1"/>
  <c r="BH353" i="11"/>
  <c r="AL10" i="11"/>
  <c r="BM198" i="11"/>
  <c r="AT198" i="11"/>
  <c r="AI10" i="11"/>
  <c r="D45" i="6"/>
  <c r="D70" i="6" s="1"/>
  <c r="D6" i="11"/>
  <c r="CB9" i="13"/>
  <c r="M121" i="11"/>
  <c r="BF121" i="11" s="1"/>
  <c r="S185" i="10"/>
  <c r="R186" i="10"/>
  <c r="S186" i="10" s="1"/>
  <c r="AV152" i="12"/>
  <c r="AV153" i="12" s="1"/>
  <c r="AV154" i="12" s="1"/>
  <c r="AV155" i="12" s="1"/>
  <c r="AV156" i="12" s="1"/>
  <c r="AV157" i="12" s="1"/>
  <c r="G5" i="11"/>
  <c r="AY5" i="13" s="1"/>
  <c r="G44" i="6"/>
  <c r="G67" i="6" s="1"/>
  <c r="BB334" i="11"/>
  <c r="K189" i="4"/>
  <c r="K95" i="5" s="1"/>
  <c r="BK201" i="11"/>
  <c r="P121" i="11"/>
  <c r="J273" i="11"/>
  <c r="J49" i="6" s="1"/>
  <c r="J71" i="6" s="1"/>
  <c r="J99" i="4"/>
  <c r="L121" i="11"/>
  <c r="BD201" i="11"/>
  <c r="Y17" i="10"/>
  <c r="X18" i="10"/>
  <c r="K121" i="11"/>
  <c r="BB121" i="11" s="1"/>
  <c r="BB201" i="11"/>
  <c r="H101" i="7"/>
  <c r="B8" i="11"/>
  <c r="B12" i="1"/>
  <c r="B11" i="1" s="1"/>
  <c r="K149" i="9"/>
  <c r="L53" i="9"/>
  <c r="L25" i="9"/>
  <c r="Y77" i="8"/>
  <c r="X78" i="8"/>
  <c r="BH117" i="7"/>
  <c r="K7" i="7"/>
  <c r="K119" i="7"/>
  <c r="L209" i="11"/>
  <c r="BB335" i="11"/>
  <c r="K190" i="4"/>
  <c r="AC124" i="8"/>
  <c r="P115" i="11"/>
  <c r="BK113" i="11"/>
  <c r="P6" i="11"/>
  <c r="P45" i="6"/>
  <c r="P70" i="6" s="1"/>
  <c r="AB30" i="10"/>
  <c r="N31" i="7"/>
  <c r="BH75" i="11"/>
  <c r="C32" i="7"/>
  <c r="J11" i="11"/>
  <c r="J14" i="1" s="1"/>
  <c r="J195" i="11"/>
  <c r="BD268" i="11"/>
  <c r="L106" i="4"/>
  <c r="L155" i="4" s="1"/>
  <c r="Q13" i="11"/>
  <c r="M30" i="7"/>
  <c r="BL46" i="7"/>
  <c r="Q102" i="5"/>
  <c r="O207" i="13"/>
  <c r="O132" i="3"/>
  <c r="P183" i="7"/>
  <c r="H36" i="7"/>
  <c r="P15" i="5"/>
  <c r="AD11" i="5"/>
  <c r="AC11" i="5"/>
  <c r="BP26" i="7"/>
  <c r="O392" i="3"/>
  <c r="O293" i="4"/>
  <c r="AD21" i="5"/>
  <c r="AC21" i="5"/>
  <c r="C121" i="11"/>
  <c r="C41" i="11" s="1"/>
  <c r="C233" i="4" s="1"/>
  <c r="C87" i="4"/>
  <c r="H9" i="9"/>
  <c r="BT9" i="9" s="1"/>
  <c r="G165" i="4"/>
  <c r="E238" i="4"/>
  <c r="AJ4" i="9"/>
  <c r="J3" i="9"/>
  <c r="BE170" i="12"/>
  <c r="N3" i="5"/>
  <c r="H347" i="4"/>
  <c r="H379" i="4" s="1"/>
  <c r="AB90" i="8"/>
  <c r="AA91" i="8"/>
  <c r="G170" i="4"/>
  <c r="O304" i="3"/>
  <c r="L112" i="5"/>
  <c r="AC160" i="10"/>
  <c r="AD160" i="10" s="1"/>
  <c r="G344" i="4"/>
  <c r="G376" i="4" s="1"/>
  <c r="G4" i="5"/>
  <c r="AU44" i="4"/>
  <c r="N7" i="7"/>
  <c r="BN117" i="7"/>
  <c r="N119" i="7"/>
  <c r="J304" i="3"/>
  <c r="C104" i="5"/>
  <c r="K15" i="5"/>
  <c r="AH126" i="3"/>
  <c r="AI126" i="3" s="1"/>
  <c r="AE126" i="3"/>
  <c r="AF13" i="3"/>
  <c r="AG13" i="3"/>
  <c r="BF161" i="11"/>
  <c r="M9" i="11"/>
  <c r="BE9" i="13" s="1"/>
  <c r="BE116" i="7"/>
  <c r="M33" i="7"/>
  <c r="J172" i="4"/>
  <c r="F169" i="3"/>
  <c r="F315" i="3" s="1"/>
  <c r="F333" i="3"/>
  <c r="O330" i="3"/>
  <c r="AG182" i="3"/>
  <c r="AF182" i="3"/>
  <c r="G334" i="3"/>
  <c r="G170" i="3"/>
  <c r="G316" i="3" s="1"/>
  <c r="O337" i="3"/>
  <c r="AG189" i="3"/>
  <c r="AF189" i="3"/>
  <c r="O444" i="3"/>
  <c r="AG8" i="3"/>
  <c r="AI8" i="3" s="1"/>
  <c r="AF8" i="3"/>
  <c r="AE8" i="3"/>
  <c r="C389" i="11"/>
  <c r="C401" i="11" s="1"/>
  <c r="C25" i="11" s="1"/>
  <c r="C417" i="11"/>
  <c r="C26" i="11" s="1"/>
  <c r="B41" i="25"/>
  <c r="B25" i="25" s="1"/>
  <c r="B67" i="25"/>
  <c r="AN117" i="23"/>
  <c r="AH89" i="22"/>
  <c r="AG90" i="22"/>
  <c r="AO55" i="22"/>
  <c r="AP54" i="22"/>
  <c r="BL261" i="19"/>
  <c r="O184" i="4"/>
  <c r="M104" i="15"/>
  <c r="M132" i="15"/>
  <c r="AU120" i="15"/>
  <c r="M83" i="4"/>
  <c r="C436" i="13"/>
  <c r="C420" i="13" s="1"/>
  <c r="N17" i="14"/>
  <c r="AA67" i="8"/>
  <c r="AB66" i="8"/>
  <c r="S162" i="26"/>
  <c r="R163" i="26"/>
  <c r="R145" i="24"/>
  <c r="S144" i="24"/>
  <c r="AR140" i="22"/>
  <c r="AS139" i="22"/>
  <c r="AO102" i="22"/>
  <c r="AP101" i="22"/>
  <c r="AH7" i="21"/>
  <c r="F6" i="21"/>
  <c r="AK185" i="20"/>
  <c r="AJ186" i="20"/>
  <c r="AL174" i="20"/>
  <c r="AO173" i="20"/>
  <c r="AN4" i="21"/>
  <c r="L3" i="21"/>
  <c r="AJ61" i="20"/>
  <c r="M35" i="19"/>
  <c r="BH35" i="19" s="1"/>
  <c r="I242" i="17"/>
  <c r="B10" i="15"/>
  <c r="B13" i="15"/>
  <c r="B53" i="6"/>
  <c r="BB100" i="14"/>
  <c r="Q419" i="13"/>
  <c r="AB174" i="8"/>
  <c r="AA175" i="8"/>
  <c r="BD417" i="11"/>
  <c r="L26" i="11"/>
  <c r="M31" i="7"/>
  <c r="BL47" i="7"/>
  <c r="N4" i="11"/>
  <c r="BF4" i="13" s="1"/>
  <c r="N83" i="11"/>
  <c r="N43" i="6"/>
  <c r="N30" i="7"/>
  <c r="BN46" i="7"/>
  <c r="O38" i="11"/>
  <c r="AB89" i="3"/>
  <c r="AG89" i="3"/>
  <c r="R45" i="24"/>
  <c r="M157" i="21"/>
  <c r="AI18" i="22"/>
  <c r="AL17" i="22"/>
  <c r="B7" i="17"/>
  <c r="AT8" i="17"/>
  <c r="AN161" i="16"/>
  <c r="AM162" i="16"/>
  <c r="E44" i="15"/>
  <c r="E233" i="4" s="1"/>
  <c r="BA127" i="15"/>
  <c r="P111" i="15"/>
  <c r="AT33" i="16"/>
  <c r="AS34" i="16"/>
  <c r="AH173" i="8"/>
  <c r="BO171" i="12" s="1"/>
  <c r="AD173" i="8"/>
  <c r="AT145" i="23"/>
  <c r="P9" i="23"/>
  <c r="AM4" i="21"/>
  <c r="K3" i="21"/>
  <c r="B6" i="21"/>
  <c r="AD6" i="21" s="1"/>
  <c r="AD7" i="21"/>
  <c r="AI162" i="18"/>
  <c r="AK161" i="18"/>
  <c r="B130" i="17"/>
  <c r="B102" i="17"/>
  <c r="B100" i="3"/>
  <c r="AW324" i="15"/>
  <c r="N20" i="15"/>
  <c r="AL90" i="14"/>
  <c r="AZ89" i="14"/>
  <c r="E337" i="11"/>
  <c r="E180" i="4"/>
  <c r="J209" i="11"/>
  <c r="J48" i="6" s="1"/>
  <c r="D236" i="4"/>
  <c r="D398" i="3"/>
  <c r="F163" i="25"/>
  <c r="F119" i="25"/>
  <c r="F131" i="25" s="1"/>
  <c r="AN42" i="23"/>
  <c r="L26" i="23"/>
  <c r="AN26" i="23" s="1"/>
  <c r="AT65" i="22"/>
  <c r="AQ66" i="22"/>
  <c r="AW136" i="22"/>
  <c r="C269" i="19"/>
  <c r="B113" i="17"/>
  <c r="B49" i="17" s="1"/>
  <c r="B111" i="3"/>
  <c r="AJ91" i="18"/>
  <c r="E31" i="19"/>
  <c r="E6" i="19"/>
  <c r="M3" i="13"/>
  <c r="BE4" i="13"/>
  <c r="M26" i="1"/>
  <c r="G389" i="11"/>
  <c r="G401" i="11" s="1"/>
  <c r="G25" i="11" s="1"/>
  <c r="G417" i="11"/>
  <c r="G26" i="11" s="1"/>
  <c r="BL267" i="11"/>
  <c r="BM267" i="11" s="1"/>
  <c r="N105" i="4"/>
  <c r="AU9" i="13"/>
  <c r="C8" i="13"/>
  <c r="C30" i="1"/>
  <c r="L31" i="7"/>
  <c r="Y125" i="8"/>
  <c r="AC125" i="8" s="1"/>
  <c r="AD125" i="8" s="1"/>
  <c r="D48" i="11"/>
  <c r="D240" i="4" s="1"/>
  <c r="D66" i="11"/>
  <c r="AZ54" i="4"/>
  <c r="J69" i="26"/>
  <c r="U137" i="24"/>
  <c r="V136" i="24"/>
  <c r="W136" i="24" s="1"/>
  <c r="AU113" i="22"/>
  <c r="AJ114" i="22"/>
  <c r="AY160" i="22"/>
  <c r="AN90" i="20"/>
  <c r="AO89" i="20"/>
  <c r="AU89" i="20"/>
  <c r="AY89" i="20" s="1"/>
  <c r="BJ173" i="19"/>
  <c r="N10" i="19"/>
  <c r="AW21" i="17"/>
  <c r="E22" i="17"/>
  <c r="BA276" i="15"/>
  <c r="P16" i="15"/>
  <c r="J50" i="15"/>
  <c r="J239" i="4" s="1"/>
  <c r="AW372" i="15"/>
  <c r="N23" i="15"/>
  <c r="D7" i="15"/>
  <c r="AU13" i="13"/>
  <c r="C12" i="13"/>
  <c r="AU12" i="13" s="1"/>
  <c r="AW111" i="15"/>
  <c r="N47" i="15"/>
  <c r="AW47" i="15" s="1"/>
  <c r="BC24" i="13"/>
  <c r="H35" i="13"/>
  <c r="H63" i="13"/>
  <c r="N146" i="11"/>
  <c r="N128" i="11"/>
  <c r="N48" i="11" s="1"/>
  <c r="N240" i="4" s="1"/>
  <c r="N94" i="4"/>
  <c r="R104" i="26"/>
  <c r="V17" i="26"/>
  <c r="W17" i="26" s="1"/>
  <c r="U18" i="26"/>
  <c r="AE6" i="25"/>
  <c r="N34" i="25"/>
  <c r="AI11" i="25"/>
  <c r="H10" i="25"/>
  <c r="AI10" i="25" s="1"/>
  <c r="J6" i="26"/>
  <c r="N3" i="25"/>
  <c r="AP58" i="23"/>
  <c r="N42" i="23"/>
  <c r="J23" i="23"/>
  <c r="Y99" i="25"/>
  <c r="Y6" i="25" s="1"/>
  <c r="S174" i="26"/>
  <c r="R175" i="26"/>
  <c r="J50" i="26"/>
  <c r="O34" i="25"/>
  <c r="O35" i="25" s="1"/>
  <c r="AR12" i="25"/>
  <c r="AH12" i="25"/>
  <c r="AJ7" i="25"/>
  <c r="O163" i="25"/>
  <c r="O11" i="25" s="1"/>
  <c r="AP152" i="23"/>
  <c r="N120" i="23"/>
  <c r="E161" i="23"/>
  <c r="Q137" i="26"/>
  <c r="S136" i="26"/>
  <c r="W136" i="26" s="1"/>
  <c r="Y147" i="25"/>
  <c r="Y9" i="25" s="1"/>
  <c r="B117" i="23"/>
  <c r="B129" i="23" s="1"/>
  <c r="AR113" i="23"/>
  <c r="O7" i="23"/>
  <c r="AR7" i="23" s="1"/>
  <c r="G49" i="23"/>
  <c r="V41" i="24"/>
  <c r="U42" i="24"/>
  <c r="AU101" i="22"/>
  <c r="AK102" i="22"/>
  <c r="AL101" i="22"/>
  <c r="AP70" i="22"/>
  <c r="AO71" i="22"/>
  <c r="AR42" i="23"/>
  <c r="O26" i="23"/>
  <c r="AR26" i="23" s="1"/>
  <c r="AH66" i="22"/>
  <c r="AG67" i="22"/>
  <c r="AD90" i="22"/>
  <c r="AE89" i="22"/>
  <c r="O3" i="21"/>
  <c r="AQ10" i="21"/>
  <c r="O9" i="21"/>
  <c r="AG8" i="21"/>
  <c r="L34" i="21"/>
  <c r="N44" i="23"/>
  <c r="AP60" i="23"/>
  <c r="B16" i="21"/>
  <c r="D333" i="21"/>
  <c r="AX160" i="22"/>
  <c r="AW160" i="22"/>
  <c r="AW16" i="22"/>
  <c r="AS41" i="20"/>
  <c r="Y42" i="20"/>
  <c r="AA41" i="20"/>
  <c r="AK115" i="20"/>
  <c r="AX29" i="20"/>
  <c r="AX41" i="20"/>
  <c r="AJ95" i="20"/>
  <c r="Y102" i="20"/>
  <c r="AS101" i="20"/>
  <c r="Y7" i="20"/>
  <c r="AS6" i="20"/>
  <c r="AY148" i="20"/>
  <c r="Q172" i="21"/>
  <c r="BP173" i="19"/>
  <c r="Q10" i="19"/>
  <c r="AL31" i="20"/>
  <c r="AO30" i="20"/>
  <c r="N205" i="19"/>
  <c r="BJ205" i="19" s="1"/>
  <c r="BJ193" i="19"/>
  <c r="M157" i="19"/>
  <c r="BH157" i="19" s="1"/>
  <c r="BH145" i="19"/>
  <c r="AS78" i="20"/>
  <c r="BL21" i="19"/>
  <c r="O20" i="19"/>
  <c r="BL20" i="19" s="1"/>
  <c r="I333" i="19"/>
  <c r="BJ93" i="19"/>
  <c r="N5" i="19"/>
  <c r="BJ5" i="19" s="1"/>
  <c r="N57" i="6"/>
  <c r="BN261" i="19"/>
  <c r="P184" i="4"/>
  <c r="T346" i="19"/>
  <c r="L11" i="19"/>
  <c r="BF11" i="19" s="1"/>
  <c r="BF189" i="19"/>
  <c r="M39" i="19"/>
  <c r="BH39" i="19" s="1"/>
  <c r="BN260" i="19"/>
  <c r="P183" i="4"/>
  <c r="N7" i="19"/>
  <c r="BJ125" i="19"/>
  <c r="BL265" i="19"/>
  <c r="O188" i="4"/>
  <c r="O94" i="5" s="1"/>
  <c r="D6" i="19"/>
  <c r="D31" i="19"/>
  <c r="BA29" i="18"/>
  <c r="AI30" i="18"/>
  <c r="O370" i="17"/>
  <c r="AO42" i="20"/>
  <c r="BJ237" i="19"/>
  <c r="N14" i="19"/>
  <c r="N60" i="6"/>
  <c r="N68" i="6" s="1"/>
  <c r="M61" i="19"/>
  <c r="Q134" i="19"/>
  <c r="AS127" i="18"/>
  <c r="P38" i="19"/>
  <c r="B22" i="17"/>
  <c r="AT21" i="17"/>
  <c r="BF108" i="19"/>
  <c r="L110" i="19"/>
  <c r="AV9" i="17"/>
  <c r="AX42" i="18"/>
  <c r="AZ41" i="18"/>
  <c r="E418" i="17"/>
  <c r="E109" i="17"/>
  <c r="E45" i="17" s="1"/>
  <c r="E107" i="3"/>
  <c r="E242" i="17"/>
  <c r="AX90" i="18"/>
  <c r="AZ89" i="18"/>
  <c r="C7" i="17"/>
  <c r="AU8" i="17"/>
  <c r="P44" i="19"/>
  <c r="E66" i="17"/>
  <c r="AK124" i="16"/>
  <c r="BA124" i="16" s="1"/>
  <c r="AI125" i="16"/>
  <c r="L22" i="17"/>
  <c r="AK114" i="16"/>
  <c r="AJ115" i="16"/>
  <c r="P22" i="17"/>
  <c r="AA23" i="17"/>
  <c r="J22" i="17"/>
  <c r="BB21" i="17"/>
  <c r="AG115" i="16"/>
  <c r="AH114" i="16"/>
  <c r="H31" i="19"/>
  <c r="H6" i="19"/>
  <c r="AT112" i="16"/>
  <c r="BA112" i="16" s="1"/>
  <c r="AR113" i="16"/>
  <c r="Y15" i="17"/>
  <c r="AZ15" i="17"/>
  <c r="H14" i="17"/>
  <c r="AZ89" i="16"/>
  <c r="AX90" i="16"/>
  <c r="AI15" i="17"/>
  <c r="R14" i="17"/>
  <c r="AI14" i="17" s="1"/>
  <c r="B28" i="6"/>
  <c r="AY436" i="15"/>
  <c r="O27" i="15"/>
  <c r="AY27" i="15" s="1"/>
  <c r="Z9" i="17"/>
  <c r="M278" i="17"/>
  <c r="M290" i="17" s="1"/>
  <c r="M306" i="17"/>
  <c r="AS154" i="16"/>
  <c r="N196" i="15"/>
  <c r="AW196" i="15" s="1"/>
  <c r="I244" i="15"/>
  <c r="AA27" i="17"/>
  <c r="P24" i="15"/>
  <c r="BA388" i="15"/>
  <c r="J41" i="15"/>
  <c r="J230" i="4" s="1"/>
  <c r="P107" i="15"/>
  <c r="BA123" i="15"/>
  <c r="P86" i="4"/>
  <c r="AQ123" i="15"/>
  <c r="O107" i="15"/>
  <c r="AY123" i="15"/>
  <c r="O86" i="4"/>
  <c r="AY124" i="15"/>
  <c r="O108" i="15"/>
  <c r="AY108" i="15" s="1"/>
  <c r="O87" i="4"/>
  <c r="C112" i="15"/>
  <c r="C48" i="15" s="1"/>
  <c r="C237" i="4" s="1"/>
  <c r="C91" i="4"/>
  <c r="AU66" i="15"/>
  <c r="M50" i="15"/>
  <c r="AU50" i="15" s="1"/>
  <c r="BI14" i="15"/>
  <c r="T26" i="6"/>
  <c r="AO90" i="14"/>
  <c r="AR89" i="14"/>
  <c r="D21" i="13"/>
  <c r="Q323" i="13"/>
  <c r="AS126" i="14"/>
  <c r="AV125" i="14"/>
  <c r="AY14" i="13"/>
  <c r="U16" i="13"/>
  <c r="BM16" i="13" s="1"/>
  <c r="BM17" i="13"/>
  <c r="G120" i="13"/>
  <c r="G40" i="13" s="1"/>
  <c r="G137" i="3"/>
  <c r="I447" i="13"/>
  <c r="I26" i="13" s="1"/>
  <c r="BA26" i="13" s="1"/>
  <c r="I419" i="13"/>
  <c r="I431" i="13" s="1"/>
  <c r="I25" i="13" s="1"/>
  <c r="BA25" i="13" s="1"/>
  <c r="BO9" i="13"/>
  <c r="W30" i="1"/>
  <c r="O24" i="14"/>
  <c r="R24" i="14" s="1"/>
  <c r="AZ5" i="14"/>
  <c r="AL6" i="14"/>
  <c r="BA184" i="14"/>
  <c r="P150" i="3"/>
  <c r="P86" i="3"/>
  <c r="P442" i="3" s="1"/>
  <c r="L3" i="13"/>
  <c r="L26" i="1"/>
  <c r="BK14" i="15"/>
  <c r="U26" i="6"/>
  <c r="AD271" i="13"/>
  <c r="B441" i="13"/>
  <c r="B425" i="13" s="1"/>
  <c r="N10" i="14"/>
  <c r="L16" i="14"/>
  <c r="AS16" i="14"/>
  <c r="BD282" i="19"/>
  <c r="AR7" i="12"/>
  <c r="AR8" i="12" s="1"/>
  <c r="AR9" i="12" s="1"/>
  <c r="AR10" i="12" s="1"/>
  <c r="AR11" i="12" s="1"/>
  <c r="AR12" i="12" s="1"/>
  <c r="AR13" i="12" s="1"/>
  <c r="F48" i="11"/>
  <c r="F240" i="4" s="1"/>
  <c r="F66" i="11"/>
  <c r="F21" i="6"/>
  <c r="L13" i="11"/>
  <c r="BD225" i="11"/>
  <c r="AC149" i="10"/>
  <c r="AO101" i="12"/>
  <c r="AO102" i="12" s="1"/>
  <c r="AO103" i="12" s="1"/>
  <c r="AO104" i="12" s="1"/>
  <c r="AO105" i="12" s="1"/>
  <c r="AO106" i="12" s="1"/>
  <c r="AO107" i="12" s="1"/>
  <c r="AO108" i="12" s="1"/>
  <c r="AO109" i="12" s="1"/>
  <c r="BM21" i="11"/>
  <c r="Q20" i="11"/>
  <c r="C119" i="11"/>
  <c r="C39" i="11" s="1"/>
  <c r="C231" i="4" s="1"/>
  <c r="Y29" i="8"/>
  <c r="AC29" i="8" s="1"/>
  <c r="W30" i="8"/>
  <c r="AV8" i="12"/>
  <c r="AV9" i="12" s="1"/>
  <c r="AV10" i="12" s="1"/>
  <c r="AV11" i="12" s="1"/>
  <c r="AV12" i="12" s="1"/>
  <c r="AV13" i="12" s="1"/>
  <c r="BL229" i="7"/>
  <c r="M14" i="7"/>
  <c r="E43" i="11"/>
  <c r="E235" i="4" s="1"/>
  <c r="BF140" i="11"/>
  <c r="M124" i="11"/>
  <c r="BF124" i="11" s="1"/>
  <c r="M90" i="4"/>
  <c r="BH251" i="11"/>
  <c r="AK14" i="9"/>
  <c r="BL14" i="9"/>
  <c r="B122" i="11"/>
  <c r="B42" i="11" s="1"/>
  <c r="B234" i="4" s="1"/>
  <c r="B88" i="4"/>
  <c r="BL11" i="9"/>
  <c r="N35" i="7"/>
  <c r="BN51" i="7"/>
  <c r="D117" i="11"/>
  <c r="D145" i="11"/>
  <c r="D47" i="6" s="1"/>
  <c r="D83" i="4"/>
  <c r="K26" i="7"/>
  <c r="K101" i="7"/>
  <c r="BH101" i="7" s="1"/>
  <c r="BD62" i="11"/>
  <c r="BF330" i="11"/>
  <c r="M185" i="4"/>
  <c r="BD385" i="11"/>
  <c r="L24" i="11"/>
  <c r="BL13" i="9"/>
  <c r="K12" i="9"/>
  <c r="AK13" i="9"/>
  <c r="K31" i="7"/>
  <c r="BH47" i="7"/>
  <c r="BH199" i="11"/>
  <c r="BH200" i="11" s="1"/>
  <c r="P209" i="11"/>
  <c r="BK197" i="11"/>
  <c r="AS198" i="11"/>
  <c r="K12" i="13"/>
  <c r="BC13" i="13"/>
  <c r="AA175" i="10"/>
  <c r="AB174" i="10"/>
  <c r="AD102" i="5"/>
  <c r="AC102" i="5"/>
  <c r="G101" i="9"/>
  <c r="AX27" i="12"/>
  <c r="AX28" i="12" s="1"/>
  <c r="AX29" i="12" s="1"/>
  <c r="AX30" i="12" s="1"/>
  <c r="AX31" i="12" s="1"/>
  <c r="AX32" i="12" s="1"/>
  <c r="AX33" i="12" s="1"/>
  <c r="AX34" i="12" s="1"/>
  <c r="AX35" i="12" s="1"/>
  <c r="AX36" i="12" s="1"/>
  <c r="AX37" i="12" s="1"/>
  <c r="BF241" i="11"/>
  <c r="M14" i="11"/>
  <c r="H3" i="7"/>
  <c r="R53" i="14"/>
  <c r="AO10" i="11"/>
  <c r="G12" i="9"/>
  <c r="B12" i="7"/>
  <c r="S174" i="8"/>
  <c r="R175" i="8"/>
  <c r="I25" i="9"/>
  <c r="O226" i="4"/>
  <c r="AA151" i="8"/>
  <c r="AB150" i="8"/>
  <c r="AC150" i="8" s="1"/>
  <c r="Q89" i="9"/>
  <c r="J120" i="5"/>
  <c r="G37" i="5"/>
  <c r="H149" i="7"/>
  <c r="N270" i="11"/>
  <c r="N17" i="11"/>
  <c r="BF17" i="13" s="1"/>
  <c r="BL289" i="11"/>
  <c r="O273" i="11"/>
  <c r="O49" i="6" s="1"/>
  <c r="O117" i="11"/>
  <c r="O37" i="11" s="1"/>
  <c r="O99" i="4"/>
  <c r="E197" i="7"/>
  <c r="D78" i="5"/>
  <c r="AV55" i="4"/>
  <c r="AC110" i="5"/>
  <c r="K3" i="5"/>
  <c r="D334" i="3"/>
  <c r="D170" i="3"/>
  <c r="D316" i="3" s="1"/>
  <c r="AW134" i="11"/>
  <c r="M118" i="11"/>
  <c r="M84" i="4"/>
  <c r="H339" i="3"/>
  <c r="H175" i="3"/>
  <c r="H321" i="3" s="1"/>
  <c r="AE36" i="3"/>
  <c r="AD7" i="3"/>
  <c r="AH7" i="3" s="1"/>
  <c r="B79" i="5"/>
  <c r="F339" i="3"/>
  <c r="AB13" i="3"/>
  <c r="AF199" i="3"/>
  <c r="AG199" i="3"/>
  <c r="AD48" i="3"/>
  <c r="AE48" i="3" s="1"/>
  <c r="AF6" i="3"/>
  <c r="AE6" i="3"/>
  <c r="AG6" i="3"/>
  <c r="AI6" i="3" s="1"/>
  <c r="AE14" i="3"/>
  <c r="D169" i="3"/>
  <c r="D315" i="3" s="1"/>
  <c r="D333" i="3"/>
  <c r="AE24" i="3"/>
  <c r="F152" i="3"/>
  <c r="S296" i="15"/>
  <c r="AG186" i="16"/>
  <c r="AH186" i="16" s="1"/>
  <c r="AH185" i="16"/>
  <c r="O31" i="5"/>
  <c r="BA14" i="11"/>
  <c r="BE10" i="11"/>
  <c r="M13" i="1"/>
  <c r="P197" i="9"/>
  <c r="R80" i="24"/>
  <c r="AK175" i="22"/>
  <c r="AL174" i="22"/>
  <c r="L37" i="19"/>
  <c r="BF37" i="19" s="1"/>
  <c r="AM174" i="16"/>
  <c r="AN173" i="16"/>
  <c r="I47" i="15"/>
  <c r="I299" i="4"/>
  <c r="I348" i="4" s="1"/>
  <c r="M12" i="13"/>
  <c r="BM14" i="15"/>
  <c r="V26" i="6"/>
  <c r="G38" i="11"/>
  <c r="G230" i="4" s="1"/>
  <c r="G65" i="11"/>
  <c r="AD12" i="3"/>
  <c r="H329" i="3"/>
  <c r="H443" i="3"/>
  <c r="R46" i="26"/>
  <c r="V52" i="24"/>
  <c r="W52" i="24" s="1"/>
  <c r="U53" i="24"/>
  <c r="AH10" i="16"/>
  <c r="AG11" i="16"/>
  <c r="P16" i="13"/>
  <c r="L271" i="13"/>
  <c r="L116" i="3"/>
  <c r="C117" i="11"/>
  <c r="C145" i="11"/>
  <c r="C47" i="6" s="1"/>
  <c r="C65" i="6" s="1"/>
  <c r="C83" i="4"/>
  <c r="BK57" i="11"/>
  <c r="BI22" i="11"/>
  <c r="O21" i="11"/>
  <c r="BB58" i="11"/>
  <c r="B36" i="7"/>
  <c r="I209" i="11"/>
  <c r="I48" i="6" s="1"/>
  <c r="BN12" i="9"/>
  <c r="B15" i="9"/>
  <c r="B2" i="2" s="1"/>
  <c r="W28" i="24"/>
  <c r="F9" i="21"/>
  <c r="AH10" i="21"/>
  <c r="Q242" i="17"/>
  <c r="AU109" i="16"/>
  <c r="AW108" i="16"/>
  <c r="BC304" i="15"/>
  <c r="BD17" i="13"/>
  <c r="L16" i="13"/>
  <c r="J32" i="1"/>
  <c r="R7" i="14"/>
  <c r="N13" i="11"/>
  <c r="BL225" i="11"/>
  <c r="BM225" i="11" s="1"/>
  <c r="H121" i="11"/>
  <c r="H103" i="4"/>
  <c r="L401" i="11"/>
  <c r="BD389" i="11"/>
  <c r="BR165" i="7"/>
  <c r="P10" i="7"/>
  <c r="O35" i="7"/>
  <c r="BP51" i="7"/>
  <c r="AB7" i="3"/>
  <c r="D4" i="23"/>
  <c r="D3" i="23" s="1"/>
  <c r="AD10" i="21"/>
  <c r="B9" i="21"/>
  <c r="AD9" i="21" s="1"/>
  <c r="AI44" i="20"/>
  <c r="AT43" i="20"/>
  <c r="BN267" i="19"/>
  <c r="P190" i="4"/>
  <c r="D61" i="19"/>
  <c r="AG130" i="16"/>
  <c r="AH129" i="16"/>
  <c r="D126" i="13"/>
  <c r="D46" i="13" s="1"/>
  <c r="D111" i="3"/>
  <c r="N65" i="11"/>
  <c r="N66" i="11"/>
  <c r="E43" i="6"/>
  <c r="E4" i="11"/>
  <c r="F121" i="11"/>
  <c r="F87" i="4"/>
  <c r="AS73" i="11"/>
  <c r="AS74" i="11"/>
  <c r="BL98" i="7"/>
  <c r="M34" i="7"/>
  <c r="O16" i="11"/>
  <c r="BI16" i="11" s="1"/>
  <c r="BI17" i="11"/>
  <c r="O30" i="7"/>
  <c r="BP46" i="7"/>
  <c r="G231" i="4"/>
  <c r="G393" i="3"/>
  <c r="J77" i="5"/>
  <c r="J85" i="5" s="1"/>
  <c r="J118" i="5" s="1"/>
  <c r="BA10" i="11"/>
  <c r="K13" i="1"/>
  <c r="BL10" i="9"/>
  <c r="AK10" i="9"/>
  <c r="K9" i="9"/>
  <c r="AY8" i="17"/>
  <c r="G7" i="17"/>
  <c r="W64" i="26"/>
  <c r="AL177" i="23"/>
  <c r="K11" i="23"/>
  <c r="AW184" i="20"/>
  <c r="AV184" i="20"/>
  <c r="I41" i="21"/>
  <c r="B5" i="19"/>
  <c r="AD5" i="21" s="1"/>
  <c r="B57" i="6"/>
  <c r="C14" i="17"/>
  <c r="AU14" i="17" s="1"/>
  <c r="AU15" i="17"/>
  <c r="Q449" i="17"/>
  <c r="Q450" i="17" s="1"/>
  <c r="Q27" i="17" s="1"/>
  <c r="BC436" i="15"/>
  <c r="Q27" i="15"/>
  <c r="Z20" i="17"/>
  <c r="I18" i="15"/>
  <c r="AJ91" i="16"/>
  <c r="R341" i="11"/>
  <c r="S373" i="11" s="1"/>
  <c r="AL80" i="14"/>
  <c r="AZ79" i="14"/>
  <c r="U103" i="10"/>
  <c r="V102" i="10"/>
  <c r="E117" i="11"/>
  <c r="M17" i="11"/>
  <c r="BF289" i="11"/>
  <c r="M270" i="11"/>
  <c r="P35" i="7"/>
  <c r="BR51" i="7"/>
  <c r="I47" i="4"/>
  <c r="AZ58" i="4"/>
  <c r="AD9" i="25"/>
  <c r="C8" i="25"/>
  <c r="AD8" i="25" s="1"/>
  <c r="AL113" i="23"/>
  <c r="K7" i="23"/>
  <c r="AJ7" i="23" s="1"/>
  <c r="AV148" i="20"/>
  <c r="AW148" i="20"/>
  <c r="R340" i="19"/>
  <c r="K13" i="19"/>
  <c r="K59" i="6"/>
  <c r="BF193" i="19"/>
  <c r="L205" i="19"/>
  <c r="BF205" i="19" s="1"/>
  <c r="H306" i="17"/>
  <c r="H278" i="17"/>
  <c r="H290" i="17" s="1"/>
  <c r="J194" i="17"/>
  <c r="AS149" i="14"/>
  <c r="AV148" i="14"/>
  <c r="BA41" i="14"/>
  <c r="L117" i="13"/>
  <c r="L37" i="13" s="1"/>
  <c r="L102" i="3"/>
  <c r="R48" i="14"/>
  <c r="BE6" i="13"/>
  <c r="O389" i="11"/>
  <c r="O401" i="11" s="1"/>
  <c r="O25" i="11" s="1"/>
  <c r="BI25" i="11" s="1"/>
  <c r="O417" i="11"/>
  <c r="O26" i="11" s="1"/>
  <c r="BI26" i="11" s="1"/>
  <c r="M401" i="11"/>
  <c r="BF389" i="11"/>
  <c r="F43" i="11"/>
  <c r="F235" i="4" s="1"/>
  <c r="I236" i="4"/>
  <c r="I398" i="3"/>
  <c r="O25" i="7"/>
  <c r="BP41" i="7"/>
  <c r="O53" i="7"/>
  <c r="BP53" i="7" s="1"/>
  <c r="V114" i="8"/>
  <c r="U115" i="8"/>
  <c r="BF53" i="11"/>
  <c r="M65" i="11"/>
  <c r="BF65" i="11" s="1"/>
  <c r="M37" i="11"/>
  <c r="AW33" i="12"/>
  <c r="AW34" i="12" s="1"/>
  <c r="AW35" i="12" s="1"/>
  <c r="AW36" i="12" s="1"/>
  <c r="AW37" i="12" s="1"/>
  <c r="E70" i="5"/>
  <c r="E86" i="5" s="1"/>
  <c r="E119" i="5" s="1"/>
  <c r="BJ133" i="7"/>
  <c r="L8" i="7"/>
  <c r="BJ8" i="7" s="1"/>
  <c r="G87" i="5"/>
  <c r="G120" i="5" s="1"/>
  <c r="E120" i="5"/>
  <c r="G171" i="4"/>
  <c r="B347" i="4"/>
  <c r="B5" i="5"/>
  <c r="I166" i="4"/>
  <c r="H304" i="3"/>
  <c r="C119" i="25"/>
  <c r="C131" i="25" s="1"/>
  <c r="C163" i="25"/>
  <c r="R30" i="26"/>
  <c r="S29" i="26"/>
  <c r="BH150" i="19"/>
  <c r="M38" i="19"/>
  <c r="BH38" i="19" s="1"/>
  <c r="R344" i="19"/>
  <c r="AY137" i="20"/>
  <c r="BF147" i="19"/>
  <c r="L35" i="19"/>
  <c r="BF35" i="19" s="1"/>
  <c r="N43" i="19"/>
  <c r="BJ43" i="19" s="1"/>
  <c r="P35" i="19"/>
  <c r="AM44" i="20"/>
  <c r="AO43" i="20"/>
  <c r="AT52" i="18"/>
  <c r="AR53" i="18"/>
  <c r="AM7" i="18"/>
  <c r="AN6" i="18"/>
  <c r="K34" i="19"/>
  <c r="O38" i="19"/>
  <c r="H4" i="19"/>
  <c r="H3" i="19" s="1"/>
  <c r="H55" i="6"/>
  <c r="O44" i="17"/>
  <c r="AV42" i="18"/>
  <c r="AW41" i="18"/>
  <c r="AZ8" i="17"/>
  <c r="H7" i="17"/>
  <c r="Y8" i="17"/>
  <c r="E25" i="17"/>
  <c r="AW24" i="17"/>
  <c r="BA185" i="16"/>
  <c r="AX8" i="17"/>
  <c r="F7" i="17"/>
  <c r="B14" i="17"/>
  <c r="AT14" i="17" s="1"/>
  <c r="AT15" i="17"/>
  <c r="C102" i="17"/>
  <c r="C130" i="17"/>
  <c r="L370" i="17"/>
  <c r="AP128" i="16"/>
  <c r="AQ127" i="16"/>
  <c r="H242" i="17"/>
  <c r="AS20" i="16"/>
  <c r="D130" i="17"/>
  <c r="AD19" i="17"/>
  <c r="M18" i="17"/>
  <c r="AT16" i="16"/>
  <c r="BA16" i="16" s="1"/>
  <c r="AR17" i="16"/>
  <c r="BA164" i="15"/>
  <c r="P9" i="15"/>
  <c r="AY388" i="15"/>
  <c r="O24" i="15"/>
  <c r="BC276" i="15"/>
  <c r="Q16" i="15"/>
  <c r="Q14" i="15" s="1"/>
  <c r="AU122" i="15"/>
  <c r="M106" i="15"/>
  <c r="AU106" i="15" s="1"/>
  <c r="M85" i="4"/>
  <c r="AY60" i="15"/>
  <c r="O44" i="15"/>
  <c r="BU6" i="15"/>
  <c r="Z24" i="6"/>
  <c r="AW260" i="15"/>
  <c r="N15" i="15"/>
  <c r="P115" i="15"/>
  <c r="BA115" i="15" s="1"/>
  <c r="BA131" i="15"/>
  <c r="P94" i="4"/>
  <c r="BQ6" i="15"/>
  <c r="X24" i="6"/>
  <c r="AN103" i="16"/>
  <c r="AM104" i="16"/>
  <c r="AW65" i="15"/>
  <c r="N49" i="15"/>
  <c r="AW49" i="15" s="1"/>
  <c r="AV12" i="17"/>
  <c r="AX64" i="14"/>
  <c r="AW65" i="14"/>
  <c r="AS7" i="16"/>
  <c r="AT6" i="16"/>
  <c r="R154" i="15"/>
  <c r="R152" i="15"/>
  <c r="S152" i="15" s="1"/>
  <c r="R153" i="15"/>
  <c r="S153" i="15" s="1"/>
  <c r="AW77" i="14"/>
  <c r="AX76" i="14"/>
  <c r="AU260" i="15"/>
  <c r="M15" i="15"/>
  <c r="AY125" i="15"/>
  <c r="O109" i="15"/>
  <c r="AY109" i="15" s="1"/>
  <c r="O88" i="4"/>
  <c r="E95" i="3"/>
  <c r="E159" i="3"/>
  <c r="AD114" i="20"/>
  <c r="AC115" i="20"/>
  <c r="K122" i="13"/>
  <c r="K42" i="13" s="1"/>
  <c r="K107" i="3"/>
  <c r="BC19" i="13"/>
  <c r="E121" i="13"/>
  <c r="E138" i="3"/>
  <c r="CE13" i="13"/>
  <c r="BH10" i="13"/>
  <c r="P31" i="1"/>
  <c r="BT9" i="13"/>
  <c r="AB30" i="1"/>
  <c r="AV176" i="14"/>
  <c r="BQ14" i="15"/>
  <c r="X26" i="6"/>
  <c r="H271" i="13"/>
  <c r="H116" i="3"/>
  <c r="AV6" i="13"/>
  <c r="AY18" i="13"/>
  <c r="AX13" i="13"/>
  <c r="F12" i="13"/>
  <c r="AW14" i="13"/>
  <c r="O37" i="13"/>
  <c r="L10" i="14"/>
  <c r="O10" i="14"/>
  <c r="R10" i="14" s="1"/>
  <c r="AW16" i="14"/>
  <c r="N16" i="14"/>
  <c r="C435" i="13"/>
  <c r="AY8" i="15"/>
  <c r="X16" i="13"/>
  <c r="BP16" i="13" s="1"/>
  <c r="BP17" i="13"/>
  <c r="AO159" i="12"/>
  <c r="AO160" i="12" s="1"/>
  <c r="AO161" i="12" s="1"/>
  <c r="AO162" i="12" s="1"/>
  <c r="AO163" i="12" s="1"/>
  <c r="AO164" i="12" s="1"/>
  <c r="AO165" i="12" s="1"/>
  <c r="AO166" i="12" s="1"/>
  <c r="AO167" i="12" s="1"/>
  <c r="AO168" i="12" s="1"/>
  <c r="AO169" i="12" s="1"/>
  <c r="BB18" i="13"/>
  <c r="AS114" i="14"/>
  <c r="AV113" i="14"/>
  <c r="P401" i="11"/>
  <c r="AO81" i="12"/>
  <c r="AO82" i="12" s="1"/>
  <c r="AO83" i="12" s="1"/>
  <c r="AO84" i="12" s="1"/>
  <c r="AO85" i="12" s="1"/>
  <c r="C3" i="13"/>
  <c r="C26" i="1"/>
  <c r="C121" i="13"/>
  <c r="C41" i="13" s="1"/>
  <c r="C106" i="3"/>
  <c r="BH337" i="11"/>
  <c r="BK193" i="11"/>
  <c r="P195" i="11"/>
  <c r="P11" i="11"/>
  <c r="R342" i="11"/>
  <c r="S374" i="11" s="1"/>
  <c r="R92" i="12"/>
  <c r="J8" i="13"/>
  <c r="B118" i="11"/>
  <c r="B38" i="11" s="1"/>
  <c r="B230" i="4" s="1"/>
  <c r="B84" i="4"/>
  <c r="S151" i="8"/>
  <c r="R152" i="8"/>
  <c r="BK241" i="11"/>
  <c r="P14" i="11"/>
  <c r="AX83" i="4"/>
  <c r="AJ100" i="3"/>
  <c r="BL369" i="11"/>
  <c r="BM369" i="11" s="1"/>
  <c r="N23" i="11"/>
  <c r="U197" i="9"/>
  <c r="BE158" i="12"/>
  <c r="BL262" i="11"/>
  <c r="BM262" i="11" s="1"/>
  <c r="N100" i="4"/>
  <c r="V17" i="8"/>
  <c r="AC17" i="8" s="1"/>
  <c r="U18" i="8"/>
  <c r="AO7" i="12"/>
  <c r="AO8" i="12" s="1"/>
  <c r="AO9" i="12" s="1"/>
  <c r="AO10" i="12" s="1"/>
  <c r="AO11" i="12" s="1"/>
  <c r="AO12" i="12" s="1"/>
  <c r="AO13" i="12" s="1"/>
  <c r="C4" i="11"/>
  <c r="C43" i="6"/>
  <c r="Y162" i="8"/>
  <c r="X163" i="8"/>
  <c r="K35" i="7"/>
  <c r="BH51" i="7"/>
  <c r="N26" i="9"/>
  <c r="F12" i="7"/>
  <c r="AR115" i="12"/>
  <c r="AR116" i="12" s="1"/>
  <c r="AR117" i="12" s="1"/>
  <c r="AR118" i="12" s="1"/>
  <c r="AR119" i="12" s="1"/>
  <c r="AR120" i="12" s="1"/>
  <c r="AR121" i="12" s="1"/>
  <c r="T21" i="6"/>
  <c r="I239" i="4"/>
  <c r="I401" i="3"/>
  <c r="L17" i="11"/>
  <c r="L270" i="11"/>
  <c r="BD289" i="11"/>
  <c r="S103" i="8"/>
  <c r="R104" i="8"/>
  <c r="P13" i="11"/>
  <c r="BK225" i="11"/>
  <c r="F27" i="7"/>
  <c r="AD12" i="5"/>
  <c r="AC12" i="5"/>
  <c r="K149" i="3"/>
  <c r="K85" i="3"/>
  <c r="AC89" i="10"/>
  <c r="AT134" i="11"/>
  <c r="BM134" i="11"/>
  <c r="Q118" i="11"/>
  <c r="AS133" i="11"/>
  <c r="Q84" i="4"/>
  <c r="G3" i="7"/>
  <c r="G14" i="6" s="1"/>
  <c r="M28" i="7"/>
  <c r="AM10" i="11"/>
  <c r="AC186" i="10"/>
  <c r="AD111" i="5"/>
  <c r="AC111" i="5"/>
  <c r="S115" i="8"/>
  <c r="R116" i="8"/>
  <c r="U55" i="5"/>
  <c r="U178" i="8"/>
  <c r="F79" i="5"/>
  <c r="D8" i="11"/>
  <c r="D7" i="11" s="1"/>
  <c r="D20" i="6" s="1"/>
  <c r="D12" i="1"/>
  <c r="D11" i="1" s="1"/>
  <c r="O6" i="5"/>
  <c r="AS12" i="4"/>
  <c r="BJ140" i="7"/>
  <c r="L149" i="7"/>
  <c r="BJ149" i="7" s="1"/>
  <c r="BM26" i="11"/>
  <c r="F152" i="4"/>
  <c r="F7" i="4"/>
  <c r="Y66" i="8"/>
  <c r="X67" i="8"/>
  <c r="AU63" i="4"/>
  <c r="H77" i="4"/>
  <c r="H142" i="4"/>
  <c r="H174" i="4" s="1"/>
  <c r="G93" i="4"/>
  <c r="BL148" i="7"/>
  <c r="M150" i="7"/>
  <c r="O112" i="5"/>
  <c r="C31" i="4"/>
  <c r="AC149" i="8"/>
  <c r="AD149" i="8" s="1"/>
  <c r="C69" i="5"/>
  <c r="AV53" i="4"/>
  <c r="P63" i="5"/>
  <c r="AD59" i="5"/>
  <c r="P76" i="5"/>
  <c r="AC59" i="5"/>
  <c r="AC161" i="10"/>
  <c r="AD161" i="10" s="1"/>
  <c r="G111" i="4"/>
  <c r="K92" i="5"/>
  <c r="L119" i="7"/>
  <c r="BJ117" i="7"/>
  <c r="L7" i="7"/>
  <c r="R111" i="4"/>
  <c r="H8" i="11"/>
  <c r="H7" i="11" s="1"/>
  <c r="H20" i="6" s="1"/>
  <c r="H12" i="1"/>
  <c r="H11" i="1" s="1"/>
  <c r="G350" i="4"/>
  <c r="G382" i="4" s="1"/>
  <c r="AS8" i="4"/>
  <c r="D332" i="3"/>
  <c r="D168" i="3"/>
  <c r="D314" i="3" s="1"/>
  <c r="K135" i="4"/>
  <c r="K46" i="5"/>
  <c r="K71" i="5" s="1"/>
  <c r="P165" i="3"/>
  <c r="P311" i="3" s="1"/>
  <c r="P329" i="3"/>
  <c r="AH253" i="3"/>
  <c r="AI253" i="3" s="1"/>
  <c r="AE253" i="3"/>
  <c r="AY60" i="4"/>
  <c r="AZ60" i="4" s="1"/>
  <c r="AV60" i="4"/>
  <c r="AD133" i="3"/>
  <c r="K4" i="5"/>
  <c r="AI281" i="3"/>
  <c r="H320" i="3"/>
  <c r="O451" i="3"/>
  <c r="AG15" i="3"/>
  <c r="AF15" i="3"/>
  <c r="AG187" i="3"/>
  <c r="O335" i="3"/>
  <c r="G171" i="3"/>
  <c r="G317" i="3" s="1"/>
  <c r="G335" i="3"/>
  <c r="H332" i="3"/>
  <c r="H168" i="3"/>
  <c r="H314" i="3" s="1"/>
  <c r="N240" i="3"/>
  <c r="C336" i="3"/>
  <c r="C172" i="3"/>
  <c r="C318" i="3" s="1"/>
  <c r="B158" i="3"/>
  <c r="BZ9" i="13"/>
  <c r="B116" i="13"/>
  <c r="B101" i="3"/>
  <c r="AZ6" i="13"/>
  <c r="L127" i="11"/>
  <c r="BD143" i="11"/>
  <c r="L93" i="4"/>
  <c r="L104" i="4"/>
  <c r="BD266" i="11"/>
  <c r="BD61" i="11"/>
  <c r="L45" i="11"/>
  <c r="BD45" i="11" s="1"/>
  <c r="AV10" i="13"/>
  <c r="D8" i="13"/>
  <c r="D31" i="1"/>
  <c r="AO90" i="12"/>
  <c r="AO91" i="12" s="1"/>
  <c r="AO92" i="12" s="1"/>
  <c r="AO93" i="12" s="1"/>
  <c r="AO94" i="12" s="1"/>
  <c r="AO95" i="12" s="1"/>
  <c r="AO96" i="12" s="1"/>
  <c r="AO97" i="12" s="1"/>
  <c r="J131" i="25"/>
  <c r="BL267" i="19"/>
  <c r="O190" i="4"/>
  <c r="I15" i="19"/>
  <c r="AK15" i="21" s="1"/>
  <c r="I61" i="6"/>
  <c r="Z16" i="17"/>
  <c r="BA16" i="17"/>
  <c r="BC301" i="15"/>
  <c r="AX11" i="13"/>
  <c r="F32" i="1"/>
  <c r="P149" i="7"/>
  <c r="BR149" i="7" s="1"/>
  <c r="BR137" i="7"/>
  <c r="E32" i="7"/>
  <c r="E37" i="7" s="1"/>
  <c r="M3" i="25"/>
  <c r="AB77" i="22"/>
  <c r="AA78" i="22"/>
  <c r="AP103" i="20"/>
  <c r="AR102" i="20"/>
  <c r="AP57" i="18"/>
  <c r="AG78" i="16"/>
  <c r="AH77" i="16"/>
  <c r="AY66" i="15"/>
  <c r="O50" i="15"/>
  <c r="AY50" i="15" s="1"/>
  <c r="I122" i="13"/>
  <c r="I42" i="13" s="1"/>
  <c r="I107" i="3"/>
  <c r="BF207" i="11"/>
  <c r="M210" i="11"/>
  <c r="F26" i="9"/>
  <c r="F293" i="4" s="1"/>
  <c r="AE246" i="3"/>
  <c r="AH246" i="3"/>
  <c r="AI246" i="3" s="1"/>
  <c r="AJ9" i="25"/>
  <c r="F3" i="23"/>
  <c r="F269" i="21"/>
  <c r="D269" i="19"/>
  <c r="BL13" i="19"/>
  <c r="C22" i="17"/>
  <c r="AU21" i="17"/>
  <c r="AG163" i="18"/>
  <c r="BB162" i="18"/>
  <c r="AH162" i="18"/>
  <c r="AD20" i="5"/>
  <c r="AC20" i="5"/>
  <c r="BG10" i="11"/>
  <c r="N13" i="1"/>
  <c r="AB154" i="10"/>
  <c r="AA155" i="10"/>
  <c r="P6" i="5"/>
  <c r="S6" i="24"/>
  <c r="R7" i="24"/>
  <c r="AO11" i="21"/>
  <c r="BN93" i="19"/>
  <c r="P5" i="19"/>
  <c r="BN5" i="19" s="1"/>
  <c r="P57" i="6"/>
  <c r="AD24" i="17"/>
  <c r="AR41" i="18"/>
  <c r="AT40" i="18"/>
  <c r="T296" i="15"/>
  <c r="AY308" i="15"/>
  <c r="O19" i="15"/>
  <c r="AV111" i="16"/>
  <c r="AS212" i="15"/>
  <c r="L12" i="15"/>
  <c r="AC12" i="17" s="1"/>
  <c r="AX184" i="14"/>
  <c r="AW185" i="14"/>
  <c r="AJ66" i="22"/>
  <c r="AU65" i="22"/>
  <c r="AT140" i="20"/>
  <c r="AI141" i="20"/>
  <c r="AH12" i="21"/>
  <c r="G16" i="19"/>
  <c r="H34" i="19"/>
  <c r="AZ150" i="18"/>
  <c r="AX151" i="18"/>
  <c r="O11" i="17"/>
  <c r="AF12" i="17"/>
  <c r="BA42" i="14"/>
  <c r="AM43" i="14"/>
  <c r="AS65" i="14"/>
  <c r="AV64" i="14"/>
  <c r="BB63" i="11"/>
  <c r="BF257" i="11"/>
  <c r="M15" i="11"/>
  <c r="BE15" i="11" s="1"/>
  <c r="J151" i="3"/>
  <c r="AD135" i="3"/>
  <c r="B236" i="4"/>
  <c r="B398" i="3"/>
  <c r="B447" i="3" s="1"/>
  <c r="G3" i="5"/>
  <c r="X173" i="26"/>
  <c r="AJ54" i="22"/>
  <c r="AU53" i="22"/>
  <c r="I6" i="21"/>
  <c r="AK6" i="21" s="1"/>
  <c r="AK7" i="21"/>
  <c r="AK30" i="18"/>
  <c r="AJ31" i="18"/>
  <c r="N163" i="25"/>
  <c r="N119" i="25"/>
  <c r="N131" i="25" s="1"/>
  <c r="U99" i="25"/>
  <c r="U6" i="25" s="1"/>
  <c r="K9" i="23"/>
  <c r="AL145" i="23"/>
  <c r="P6" i="21"/>
  <c r="AJ5" i="21"/>
  <c r="AQ5" i="25"/>
  <c r="P4" i="25"/>
  <c r="S124" i="24"/>
  <c r="W124" i="24" s="1"/>
  <c r="Q125" i="24"/>
  <c r="S125" i="24" s="1"/>
  <c r="W125" i="24" s="1"/>
  <c r="AP128" i="23"/>
  <c r="N32" i="23"/>
  <c r="AP32" i="23" s="1"/>
  <c r="I129" i="23"/>
  <c r="N124" i="23"/>
  <c r="AP124" i="23" s="1"/>
  <c r="AP156" i="23"/>
  <c r="V148" i="24"/>
  <c r="W148" i="24" s="1"/>
  <c r="U149" i="24"/>
  <c r="AT117" i="23"/>
  <c r="U147" i="25"/>
  <c r="U9" i="25" s="1"/>
  <c r="L5" i="23"/>
  <c r="AN81" i="23"/>
  <c r="AD164" i="22"/>
  <c r="AE163" i="22"/>
  <c r="AT155" i="23"/>
  <c r="P123" i="23"/>
  <c r="P161" i="23"/>
  <c r="AT161" i="23" s="1"/>
  <c r="AK114" i="22"/>
  <c r="AL113" i="22"/>
  <c r="AK11" i="22"/>
  <c r="L40" i="23"/>
  <c r="AN56" i="23"/>
  <c r="S147" i="25"/>
  <c r="S9" i="25" s="1"/>
  <c r="AU42" i="22"/>
  <c r="AJ43" i="22"/>
  <c r="B205" i="21"/>
  <c r="M65" i="23"/>
  <c r="P109" i="21"/>
  <c r="AB126" i="22"/>
  <c r="AA127" i="22"/>
  <c r="I22" i="23"/>
  <c r="AJ13" i="21"/>
  <c r="H12" i="21"/>
  <c r="AT6" i="20"/>
  <c r="AX18" i="20" s="1"/>
  <c r="AI7" i="20"/>
  <c r="AL92" i="20"/>
  <c r="AG47" i="22"/>
  <c r="AH46" i="22"/>
  <c r="AG115" i="20"/>
  <c r="AF116" i="20"/>
  <c r="AI119" i="20"/>
  <c r="AT118" i="20"/>
  <c r="AR66" i="20"/>
  <c r="AP67" i="20"/>
  <c r="AR15" i="21"/>
  <c r="E15" i="19"/>
  <c r="E61" i="6"/>
  <c r="AL46" i="20"/>
  <c r="BN349" i="19"/>
  <c r="P21" i="19"/>
  <c r="I16" i="19"/>
  <c r="B38" i="19"/>
  <c r="K373" i="19"/>
  <c r="K30" i="19"/>
  <c r="K31" i="6"/>
  <c r="L36" i="19"/>
  <c r="BF36" i="19" s="1"/>
  <c r="BH253" i="19"/>
  <c r="M15" i="19"/>
  <c r="BH15" i="19" s="1"/>
  <c r="M61" i="6"/>
  <c r="AF55" i="18"/>
  <c r="AT25" i="17"/>
  <c r="Q139" i="19"/>
  <c r="L242" i="17"/>
  <c r="AI185" i="18"/>
  <c r="BA184" i="18"/>
  <c r="BC184" i="18" s="1"/>
  <c r="BD184" i="18" s="1"/>
  <c r="I110" i="19"/>
  <c r="AJ142" i="18"/>
  <c r="G31" i="19"/>
  <c r="G6" i="19"/>
  <c r="J5" i="19"/>
  <c r="J57" i="6"/>
  <c r="H35" i="19"/>
  <c r="AN115" i="18"/>
  <c r="AM116" i="18"/>
  <c r="BB4" i="17"/>
  <c r="AA4" i="17"/>
  <c r="J3" i="17"/>
  <c r="AS32" i="18"/>
  <c r="AP174" i="16"/>
  <c r="AQ173" i="16"/>
  <c r="P107" i="17"/>
  <c r="P43" i="17" s="1"/>
  <c r="P105" i="3"/>
  <c r="C11" i="17"/>
  <c r="AU12" i="17"/>
  <c r="AS117" i="18"/>
  <c r="C28" i="6"/>
  <c r="AJ68" i="16"/>
  <c r="AK67" i="16"/>
  <c r="O22" i="17"/>
  <c r="AF23" i="17"/>
  <c r="I11" i="17"/>
  <c r="Z12" i="17"/>
  <c r="BA12" i="17"/>
  <c r="L3" i="17"/>
  <c r="AC4" i="17"/>
  <c r="AJ18" i="16"/>
  <c r="AK17" i="16"/>
  <c r="D114" i="17"/>
  <c r="I66" i="17"/>
  <c r="I38" i="17"/>
  <c r="AW308" i="15"/>
  <c r="N19" i="15"/>
  <c r="AW19" i="15" s="1"/>
  <c r="J109" i="19"/>
  <c r="K25" i="17"/>
  <c r="AB25" i="17" s="1"/>
  <c r="AB26" i="17"/>
  <c r="AR41" i="16"/>
  <c r="AT40" i="16"/>
  <c r="BA40" i="16" s="1"/>
  <c r="K105" i="15"/>
  <c r="K41" i="15" s="1"/>
  <c r="K84" i="4"/>
  <c r="L45" i="15"/>
  <c r="AS45" i="15" s="1"/>
  <c r="AS61" i="15"/>
  <c r="L297" i="4"/>
  <c r="N292" i="15"/>
  <c r="AW292" i="15" s="1"/>
  <c r="AE8" i="17"/>
  <c r="N7" i="17"/>
  <c r="B40" i="15"/>
  <c r="B116" i="15"/>
  <c r="N5" i="15"/>
  <c r="AE5" i="17" s="1"/>
  <c r="AW100" i="15"/>
  <c r="AF139" i="16"/>
  <c r="AH138" i="16"/>
  <c r="BA40" i="14"/>
  <c r="AX175" i="14"/>
  <c r="AW176" i="14"/>
  <c r="BC6" i="15"/>
  <c r="Q24" i="6"/>
  <c r="K194" i="17"/>
  <c r="AY111" i="15"/>
  <c r="O47" i="15"/>
  <c r="BE23" i="13"/>
  <c r="Y271" i="13"/>
  <c r="Y116" i="3"/>
  <c r="Y128" i="3" s="1"/>
  <c r="N12" i="13"/>
  <c r="BB52" i="14"/>
  <c r="F143" i="13"/>
  <c r="F115" i="13"/>
  <c r="F127" i="13" s="1"/>
  <c r="F100" i="3"/>
  <c r="D437" i="13"/>
  <c r="D421" i="13" s="1"/>
  <c r="N30" i="14"/>
  <c r="D88" i="3"/>
  <c r="D152" i="3"/>
  <c r="AX88" i="14"/>
  <c r="AW89" i="14"/>
  <c r="AO6" i="14"/>
  <c r="AR5" i="14"/>
  <c r="AV177" i="14"/>
  <c r="AS178" i="14"/>
  <c r="M85" i="3"/>
  <c r="M128" i="3"/>
  <c r="AD117" i="3"/>
  <c r="N122" i="13"/>
  <c r="N42" i="13" s="1"/>
  <c r="N107" i="3"/>
  <c r="BW17" i="13"/>
  <c r="AE16" i="13"/>
  <c r="BW16" i="13" s="1"/>
  <c r="AZ18" i="13"/>
  <c r="BT17" i="13"/>
  <c r="AB16" i="13"/>
  <c r="BT16" i="13" s="1"/>
  <c r="F207" i="13"/>
  <c r="F132" i="3"/>
  <c r="C20" i="13"/>
  <c r="AU20" i="13" s="1"/>
  <c r="AU21" i="13"/>
  <c r="B16" i="13"/>
  <c r="AT16" i="13" s="1"/>
  <c r="AT17" i="13"/>
  <c r="AS8" i="15"/>
  <c r="D35" i="13"/>
  <c r="D63" i="13"/>
  <c r="H389" i="11"/>
  <c r="H401" i="11" s="1"/>
  <c r="H25" i="11" s="1"/>
  <c r="H417" i="11"/>
  <c r="H26" i="11" s="1"/>
  <c r="AZ26" i="13" s="1"/>
  <c r="F3" i="13"/>
  <c r="F26" i="1"/>
  <c r="M13" i="11"/>
  <c r="BF225" i="11"/>
  <c r="AB113" i="8"/>
  <c r="AC113" i="8" s="1"/>
  <c r="AA114" i="8"/>
  <c r="G42" i="13"/>
  <c r="BB204" i="11"/>
  <c r="K210" i="11"/>
  <c r="AT32" i="11"/>
  <c r="BI15" i="11"/>
  <c r="AB138" i="8"/>
  <c r="AC138" i="8" s="1"/>
  <c r="AD138" i="8" s="1"/>
  <c r="AA139" i="8"/>
  <c r="AX65" i="12"/>
  <c r="AX66" i="12" s="1"/>
  <c r="AX67" i="12" s="1"/>
  <c r="AX68" i="12" s="1"/>
  <c r="AX69" i="12" s="1"/>
  <c r="AX70" i="12" s="1"/>
  <c r="AX71" i="12" s="1"/>
  <c r="AX72" i="12" s="1"/>
  <c r="AX73" i="12" s="1"/>
  <c r="Y161" i="10"/>
  <c r="AU54" i="12"/>
  <c r="AU55" i="12" s="1"/>
  <c r="AU56" i="12" s="1"/>
  <c r="AU57" i="12" s="1"/>
  <c r="AU58" i="12" s="1"/>
  <c r="AU59" i="12" s="1"/>
  <c r="AU60" i="12" s="1"/>
  <c r="AU61" i="12" s="1"/>
  <c r="P10" i="11"/>
  <c r="BK177" i="11"/>
  <c r="V150" i="10"/>
  <c r="U151" i="10"/>
  <c r="S149" i="10"/>
  <c r="Q150" i="10"/>
  <c r="AB113" i="10"/>
  <c r="AA114" i="10"/>
  <c r="R2" i="12"/>
  <c r="AX2" i="12" s="1"/>
  <c r="AX3" i="12" s="1"/>
  <c r="AX4" i="12" s="1"/>
  <c r="AX5" i="12" s="1"/>
  <c r="AX6" i="12" s="1"/>
  <c r="AX7" i="12" s="1"/>
  <c r="AX8" i="12" s="1"/>
  <c r="AX9" i="12" s="1"/>
  <c r="AX10" i="12" s="1"/>
  <c r="AX11" i="12" s="1"/>
  <c r="AX12" i="12" s="1"/>
  <c r="AX13" i="12" s="1"/>
  <c r="AU2" i="12"/>
  <c r="AU3" i="12" s="1"/>
  <c r="AU4" i="12" s="1"/>
  <c r="AU5" i="12" s="1"/>
  <c r="AU6" i="12" s="1"/>
  <c r="AU7" i="12" s="1"/>
  <c r="AU8" i="12" s="1"/>
  <c r="AU9" i="12" s="1"/>
  <c r="AU10" i="12" s="1"/>
  <c r="AU11" i="12" s="1"/>
  <c r="AU12" i="12" s="1"/>
  <c r="AU13" i="12" s="1"/>
  <c r="E149" i="9"/>
  <c r="V6" i="8"/>
  <c r="U7" i="8"/>
  <c r="AZ10" i="13"/>
  <c r="H31" i="1"/>
  <c r="Y174" i="8"/>
  <c r="X175" i="8"/>
  <c r="M26" i="7"/>
  <c r="BL42" i="7"/>
  <c r="BH142" i="11"/>
  <c r="L35" i="7"/>
  <c r="BJ51" i="7"/>
  <c r="D130" i="11"/>
  <c r="D46" i="11"/>
  <c r="D238" i="4" s="1"/>
  <c r="BE10" i="13"/>
  <c r="W169" i="13" s="1"/>
  <c r="M31" i="1"/>
  <c r="J12" i="9"/>
  <c r="AJ13" i="9"/>
  <c r="N25" i="7"/>
  <c r="BN41" i="7"/>
  <c r="N53" i="7"/>
  <c r="BN53" i="7" s="1"/>
  <c r="J9" i="7"/>
  <c r="J16" i="6" s="1"/>
  <c r="P39" i="11"/>
  <c r="S102" i="8"/>
  <c r="H237" i="4"/>
  <c r="H399" i="3"/>
  <c r="AB90" i="10"/>
  <c r="AA91" i="10"/>
  <c r="BR28" i="7"/>
  <c r="P295" i="4"/>
  <c r="P394" i="3"/>
  <c r="AU27" i="12"/>
  <c r="AU28" i="12" s="1"/>
  <c r="AU29" i="12" s="1"/>
  <c r="AU30" i="12" s="1"/>
  <c r="AU31" i="12" s="1"/>
  <c r="AU32" i="12" s="1"/>
  <c r="AU33" i="12" s="1"/>
  <c r="AU34" i="12" s="1"/>
  <c r="AU35" i="12" s="1"/>
  <c r="AU36" i="12" s="1"/>
  <c r="AU37" i="12" s="1"/>
  <c r="AC185" i="10"/>
  <c r="AV134" i="11"/>
  <c r="G53" i="5"/>
  <c r="G78" i="5" s="1"/>
  <c r="G86" i="5" s="1"/>
  <c r="G119" i="5" s="1"/>
  <c r="B164" i="4"/>
  <c r="J5" i="5"/>
  <c r="J347" i="4"/>
  <c r="F41" i="11"/>
  <c r="F233" i="4" s="1"/>
  <c r="Y65" i="8"/>
  <c r="AC65" i="8" s="1"/>
  <c r="AD65" i="8" s="1"/>
  <c r="K31" i="5"/>
  <c r="J141" i="4"/>
  <c r="J76" i="4"/>
  <c r="J38" i="5" s="1"/>
  <c r="AA45" i="8"/>
  <c r="AB44" i="8"/>
  <c r="J236" i="4"/>
  <c r="J398" i="3"/>
  <c r="AV36" i="4"/>
  <c r="C15" i="5"/>
  <c r="Q102" i="17"/>
  <c r="V65" i="10"/>
  <c r="U66" i="10"/>
  <c r="C3" i="5"/>
  <c r="C7" i="5" s="1"/>
  <c r="C15" i="4"/>
  <c r="X31" i="5"/>
  <c r="E256" i="3"/>
  <c r="AA163" i="10"/>
  <c r="AB162" i="10"/>
  <c r="O166" i="4"/>
  <c r="K337" i="11"/>
  <c r="BB337" i="11" s="1"/>
  <c r="B78" i="5"/>
  <c r="Q42" i="9"/>
  <c r="AZ55" i="4"/>
  <c r="D224" i="4"/>
  <c r="H117" i="11"/>
  <c r="H145" i="11"/>
  <c r="H83" i="4"/>
  <c r="J332" i="3"/>
  <c r="AE31" i="3"/>
  <c r="G20" i="11"/>
  <c r="H328" i="3"/>
  <c r="BN91" i="7"/>
  <c r="N27" i="7"/>
  <c r="M330" i="3"/>
  <c r="M166" i="3"/>
  <c r="M312" i="3" s="1"/>
  <c r="E337" i="3"/>
  <c r="E173" i="3"/>
  <c r="E319" i="3" s="1"/>
  <c r="M338" i="3"/>
  <c r="M174" i="3"/>
  <c r="M320" i="3" s="1"/>
  <c r="M197" i="3"/>
  <c r="M165" i="3" s="1"/>
  <c r="M311" i="3" s="1"/>
  <c r="AG233" i="3"/>
  <c r="AI233" i="3" s="1"/>
  <c r="AF233" i="3"/>
  <c r="O241" i="3"/>
  <c r="L15" i="5"/>
  <c r="AE237" i="3"/>
  <c r="F318" i="3"/>
  <c r="E16" i="3"/>
  <c r="P330" i="3"/>
  <c r="F16" i="3"/>
  <c r="N170" i="3"/>
  <c r="N316" i="3" s="1"/>
  <c r="AI14" i="3"/>
  <c r="P446" i="3"/>
  <c r="AB10" i="3"/>
  <c r="AB11" i="3"/>
  <c r="M173" i="3"/>
  <c r="M319" i="3" s="1"/>
  <c r="M337" i="3"/>
  <c r="AI24" i="3"/>
  <c r="AG332" i="3"/>
  <c r="AG42" i="16"/>
  <c r="AH41" i="16"/>
  <c r="AR76" i="14"/>
  <c r="AO77" i="14"/>
  <c r="AB138" i="3"/>
  <c r="M154" i="3"/>
  <c r="Q115" i="13"/>
  <c r="Q100" i="3"/>
  <c r="CH13" i="13"/>
  <c r="G4" i="19"/>
  <c r="G3" i="19" s="1"/>
  <c r="G55" i="6"/>
  <c r="G64" i="6" s="1"/>
  <c r="AX21" i="17"/>
  <c r="F22" i="17"/>
  <c r="L16" i="15"/>
  <c r="AS16" i="15" s="1"/>
  <c r="AS276" i="15"/>
  <c r="N132" i="15"/>
  <c r="N104" i="15"/>
  <c r="AW120" i="15"/>
  <c r="CC9" i="13"/>
  <c r="E38" i="13"/>
  <c r="AB125" i="10"/>
  <c r="AC125" i="10" s="1"/>
  <c r="AA126" i="10"/>
  <c r="V13" i="1"/>
  <c r="K195" i="11"/>
  <c r="BB193" i="11"/>
  <c r="K11" i="11"/>
  <c r="Q5" i="7"/>
  <c r="BT5" i="7" s="1"/>
  <c r="BT85" i="7"/>
  <c r="P31" i="5"/>
  <c r="AD27" i="5"/>
  <c r="AC27" i="5"/>
  <c r="M31" i="5"/>
  <c r="AT90" i="22"/>
  <c r="AQ91" i="22"/>
  <c r="AN186" i="20"/>
  <c r="AO186" i="20" s="1"/>
  <c r="AO185" i="20"/>
  <c r="Q35" i="19"/>
  <c r="BP35" i="19" s="1"/>
  <c r="BP99" i="19"/>
  <c r="P25" i="17"/>
  <c r="E130" i="17"/>
  <c r="J18" i="17"/>
  <c r="AA19" i="17"/>
  <c r="L196" i="15"/>
  <c r="AS196" i="15" s="1"/>
  <c r="AS184" i="15"/>
  <c r="M43" i="13"/>
  <c r="AV13" i="13"/>
  <c r="D12" i="13"/>
  <c r="AV12" i="13" s="1"/>
  <c r="G3" i="13"/>
  <c r="G26" i="1"/>
  <c r="AC124" i="10"/>
  <c r="BF271" i="11"/>
  <c r="M109" i="4"/>
  <c r="D273" i="11"/>
  <c r="D49" i="6" s="1"/>
  <c r="D99" i="4"/>
  <c r="AD206" i="3"/>
  <c r="AC206" i="3"/>
  <c r="D310" i="3"/>
  <c r="O121" i="23"/>
  <c r="AR121" i="23" s="1"/>
  <c r="AR153" i="23"/>
  <c r="AH137" i="22"/>
  <c r="AG138" i="22"/>
  <c r="K269" i="19"/>
  <c r="K185" i="4"/>
  <c r="K93" i="5" s="1"/>
  <c r="BF93" i="19"/>
  <c r="L5" i="19"/>
  <c r="BF5" i="19" s="1"/>
  <c r="L57" i="6"/>
  <c r="O7" i="19"/>
  <c r="AQ7" i="21" s="1"/>
  <c r="BL125" i="19"/>
  <c r="BA150" i="18"/>
  <c r="AF151" i="18"/>
  <c r="E132" i="15"/>
  <c r="E51" i="6" s="1"/>
  <c r="E104" i="15"/>
  <c r="E116" i="15" s="1"/>
  <c r="E83" i="4"/>
  <c r="BB13" i="17"/>
  <c r="AA13" i="17"/>
  <c r="BP13" i="13"/>
  <c r="O8" i="13"/>
  <c r="BG9" i="13"/>
  <c r="O30" i="1"/>
  <c r="O29" i="1" s="1"/>
  <c r="BA22" i="13"/>
  <c r="I21" i="11"/>
  <c r="I20" i="11" s="1"/>
  <c r="P25" i="9"/>
  <c r="P37" i="9" s="1"/>
  <c r="P53" i="9"/>
  <c r="Q25" i="7"/>
  <c r="BT41" i="7"/>
  <c r="L4" i="7"/>
  <c r="BJ69" i="7"/>
  <c r="P207" i="13"/>
  <c r="P132" i="3"/>
  <c r="BF142" i="11"/>
  <c r="M92" i="4"/>
  <c r="BO12" i="9"/>
  <c r="C15" i="9"/>
  <c r="C2" i="2" s="1"/>
  <c r="F383" i="4"/>
  <c r="E17" i="6"/>
  <c r="E13" i="6" s="1"/>
  <c r="Q3" i="5"/>
  <c r="AH255" i="3"/>
  <c r="AI255" i="3" s="1"/>
  <c r="AE255" i="3"/>
  <c r="AL15" i="21"/>
  <c r="AX172" i="20"/>
  <c r="AX184" i="20"/>
  <c r="AV149" i="20"/>
  <c r="AK78" i="20"/>
  <c r="AJ79" i="20"/>
  <c r="AT5" i="18"/>
  <c r="AS6" i="18"/>
  <c r="AA5" i="17"/>
  <c r="BB5" i="17"/>
  <c r="G119" i="13"/>
  <c r="G39" i="13" s="1"/>
  <c r="G136" i="3"/>
  <c r="AX28" i="14"/>
  <c r="AW29" i="14"/>
  <c r="L4" i="11"/>
  <c r="L83" i="11"/>
  <c r="AU82" i="11"/>
  <c r="BD81" i="11"/>
  <c r="L43" i="6"/>
  <c r="AD4" i="5"/>
  <c r="AC4" i="5"/>
  <c r="F59" i="5"/>
  <c r="F127" i="4"/>
  <c r="U149" i="26"/>
  <c r="V148" i="26"/>
  <c r="H163" i="25"/>
  <c r="H119" i="25"/>
  <c r="H131" i="25" s="1"/>
  <c r="N6" i="21"/>
  <c r="AP7" i="21"/>
  <c r="AS161" i="22"/>
  <c r="AR162" i="22"/>
  <c r="AV161" i="22"/>
  <c r="AZ161" i="22" s="1"/>
  <c r="AS186" i="18"/>
  <c r="AT185" i="18"/>
  <c r="Y19" i="17"/>
  <c r="H18" i="17"/>
  <c r="AH65" i="18"/>
  <c r="BB65" i="18"/>
  <c r="AG66" i="18"/>
  <c r="BP317" i="19"/>
  <c r="Q19" i="19"/>
  <c r="BP19" i="19" s="1"/>
  <c r="AG104" i="18"/>
  <c r="AH103" i="18"/>
  <c r="AZ78" i="16"/>
  <c r="AX79" i="16"/>
  <c r="H106" i="15"/>
  <c r="H42" i="15" s="1"/>
  <c r="H85" i="4"/>
  <c r="K13" i="15"/>
  <c r="K10" i="15"/>
  <c r="AB10" i="17" s="1"/>
  <c r="K53" i="6"/>
  <c r="N105" i="17"/>
  <c r="N41" i="17" s="1"/>
  <c r="N130" i="17"/>
  <c r="N103" i="3"/>
  <c r="AB139" i="3"/>
  <c r="M155" i="3"/>
  <c r="AL138" i="14"/>
  <c r="AN137" i="14"/>
  <c r="AZ137" i="14"/>
  <c r="L304" i="3"/>
  <c r="E31" i="5"/>
  <c r="AF85" i="3"/>
  <c r="AG85" i="3"/>
  <c r="F34" i="21"/>
  <c r="AT161" i="20"/>
  <c r="AX161" i="20" s="1"/>
  <c r="AI162" i="20"/>
  <c r="L39" i="19"/>
  <c r="BF39" i="19" s="1"/>
  <c r="H5" i="19"/>
  <c r="H57" i="6"/>
  <c r="AE19" i="17"/>
  <c r="N18" i="17"/>
  <c r="AP177" i="23"/>
  <c r="N11" i="23"/>
  <c r="G33" i="23"/>
  <c r="AG4" i="21"/>
  <c r="E3" i="21"/>
  <c r="AG3" i="21" s="1"/>
  <c r="M4" i="19"/>
  <c r="BH77" i="19"/>
  <c r="M55" i="6"/>
  <c r="M64" i="6" s="1"/>
  <c r="E67" i="25"/>
  <c r="E39" i="25"/>
  <c r="AR193" i="23"/>
  <c r="O12" i="23"/>
  <c r="AR12" i="23" s="1"/>
  <c r="I65" i="23"/>
  <c r="I37" i="23"/>
  <c r="G10" i="23"/>
  <c r="G8" i="23" s="1"/>
  <c r="G36" i="6" s="1"/>
  <c r="C6" i="21"/>
  <c r="AE6" i="21" s="1"/>
  <c r="AE7" i="21"/>
  <c r="AV137" i="22"/>
  <c r="K61" i="21"/>
  <c r="I3" i="23"/>
  <c r="N41" i="21"/>
  <c r="AS125" i="20"/>
  <c r="Y126" i="20"/>
  <c r="AA126" i="20" s="1"/>
  <c r="F333" i="21"/>
  <c r="AO10" i="21"/>
  <c r="M9" i="21"/>
  <c r="Y31" i="20"/>
  <c r="BN237" i="19"/>
  <c r="P14" i="19"/>
  <c r="P60" i="6"/>
  <c r="AG125" i="20"/>
  <c r="Y116" i="20"/>
  <c r="I14" i="19"/>
  <c r="AK14" i="21" s="1"/>
  <c r="I60" i="6"/>
  <c r="BH189" i="19"/>
  <c r="M11" i="19"/>
  <c r="BH11" i="19" s="1"/>
  <c r="AP33" i="20"/>
  <c r="AR32" i="20"/>
  <c r="AJ22" i="20"/>
  <c r="BL262" i="19"/>
  <c r="O185" i="4"/>
  <c r="I205" i="19"/>
  <c r="AN174" i="18"/>
  <c r="AM175" i="18"/>
  <c r="AA138" i="20"/>
  <c r="AU138" i="20"/>
  <c r="Z139" i="20"/>
  <c r="BL259" i="19"/>
  <c r="O182" i="4"/>
  <c r="K15" i="19"/>
  <c r="K61" i="6"/>
  <c r="AJ45" i="18"/>
  <c r="AQ174" i="18"/>
  <c r="AP175" i="18"/>
  <c r="Q132" i="19"/>
  <c r="BL40" i="19"/>
  <c r="BD40" i="19"/>
  <c r="AG139" i="18"/>
  <c r="BB138" i="18"/>
  <c r="G297" i="4"/>
  <c r="G346" i="4" s="1"/>
  <c r="G396" i="3"/>
  <c r="AI137" i="18"/>
  <c r="AK136" i="18"/>
  <c r="K4" i="19"/>
  <c r="K55" i="6"/>
  <c r="BB5" i="18"/>
  <c r="BC5" i="18" s="1"/>
  <c r="T242" i="17"/>
  <c r="BB90" i="18"/>
  <c r="AX174" i="16"/>
  <c r="AZ173" i="16"/>
  <c r="AZ31" i="18"/>
  <c r="AX32" i="18"/>
  <c r="AC24" i="17"/>
  <c r="D109" i="17"/>
  <c r="D45" i="17" s="1"/>
  <c r="D107" i="3"/>
  <c r="AT148" i="16"/>
  <c r="BA148" i="16" s="1"/>
  <c r="AR149" i="16"/>
  <c r="M106" i="17"/>
  <c r="M104" i="3"/>
  <c r="L130" i="17"/>
  <c r="L102" i="17"/>
  <c r="AV79" i="16"/>
  <c r="AW78" i="16"/>
  <c r="M13" i="17"/>
  <c r="M10" i="17"/>
  <c r="AD10" i="17" s="1"/>
  <c r="O13" i="17"/>
  <c r="AF13" i="17" s="1"/>
  <c r="O10" i="17"/>
  <c r="AF10" i="17" s="1"/>
  <c r="L42" i="17"/>
  <c r="L66" i="17"/>
  <c r="J404" i="15"/>
  <c r="E196" i="15"/>
  <c r="AW55" i="16"/>
  <c r="AV56" i="16"/>
  <c r="S304" i="15"/>
  <c r="F10" i="15"/>
  <c r="F6" i="15" s="1"/>
  <c r="F24" i="6" s="1"/>
  <c r="F13" i="15"/>
  <c r="F53" i="6"/>
  <c r="BA4" i="17"/>
  <c r="Z4" i="17"/>
  <c r="I3" i="17"/>
  <c r="AY18" i="17"/>
  <c r="G17" i="17"/>
  <c r="AY17" i="17" s="1"/>
  <c r="BA212" i="15"/>
  <c r="P12" i="15"/>
  <c r="AW66" i="16"/>
  <c r="AV67" i="16"/>
  <c r="AJ7" i="16"/>
  <c r="AK6" i="16"/>
  <c r="AU308" i="15"/>
  <c r="M19" i="15"/>
  <c r="AU19" i="15" s="1"/>
  <c r="CW19" i="15" s="1"/>
  <c r="R298" i="15"/>
  <c r="J13" i="15"/>
  <c r="J10" i="15"/>
  <c r="J6" i="15" s="1"/>
  <c r="J24" i="6" s="1"/>
  <c r="J53" i="6"/>
  <c r="AS67" i="15"/>
  <c r="L51" i="15"/>
  <c r="AS51" i="15" s="1"/>
  <c r="P106" i="15"/>
  <c r="BA106" i="15" s="1"/>
  <c r="BA122" i="15"/>
  <c r="P85" i="4"/>
  <c r="P43" i="5" s="1"/>
  <c r="N356" i="15"/>
  <c r="AW356" i="15" s="1"/>
  <c r="AW344" i="15"/>
  <c r="N107" i="17"/>
  <c r="N43" i="17" s="1"/>
  <c r="N105" i="3"/>
  <c r="P5" i="15"/>
  <c r="BA100" i="15"/>
  <c r="K28" i="6"/>
  <c r="H11" i="17"/>
  <c r="AZ12" i="17"/>
  <c r="Y12" i="17"/>
  <c r="AY76" i="14"/>
  <c r="BB76" i="14" s="1"/>
  <c r="AS123" i="15"/>
  <c r="L107" i="15"/>
  <c r="L86" i="4"/>
  <c r="AV174" i="14"/>
  <c r="L244" i="15"/>
  <c r="AS244" i="15" s="1"/>
  <c r="AR184" i="14"/>
  <c r="AO185" i="14"/>
  <c r="P108" i="15"/>
  <c r="BA124" i="15"/>
  <c r="P87" i="4"/>
  <c r="AB12" i="17"/>
  <c r="K11" i="17"/>
  <c r="BN17" i="13"/>
  <c r="V16" i="13"/>
  <c r="BN16" i="13" s="1"/>
  <c r="AT21" i="13"/>
  <c r="B20" i="13"/>
  <c r="AT20" i="13" s="1"/>
  <c r="BH22" i="13"/>
  <c r="P21" i="13"/>
  <c r="H121" i="13"/>
  <c r="H41" i="13" s="1"/>
  <c r="H106" i="3"/>
  <c r="AM69" i="14"/>
  <c r="Y16" i="13"/>
  <c r="BQ16" i="13" s="1"/>
  <c r="BQ17" i="13"/>
  <c r="G207" i="13"/>
  <c r="BH18" i="13"/>
  <c r="AO54" i="14"/>
  <c r="AR53" i="14"/>
  <c r="AX9" i="13"/>
  <c r="F8" i="13"/>
  <c r="F30" i="1"/>
  <c r="AM30" i="14"/>
  <c r="BA29" i="14"/>
  <c r="BH24" i="13"/>
  <c r="AX17" i="13"/>
  <c r="F16" i="13"/>
  <c r="BX17" i="13"/>
  <c r="AF16" i="13"/>
  <c r="BX16" i="13" s="1"/>
  <c r="AJ103" i="16"/>
  <c r="AK102" i="16"/>
  <c r="AE271" i="13"/>
  <c r="AL117" i="14"/>
  <c r="S271" i="13"/>
  <c r="AD139" i="3"/>
  <c r="K155" i="3"/>
  <c r="AV11" i="13"/>
  <c r="D32" i="1"/>
  <c r="AB271" i="13"/>
  <c r="N124" i="13"/>
  <c r="N44" i="13" s="1"/>
  <c r="N141" i="3"/>
  <c r="I35" i="13"/>
  <c r="I63" i="13"/>
  <c r="B86" i="3"/>
  <c r="B442" i="3" s="1"/>
  <c r="AV5" i="13"/>
  <c r="D3" i="13"/>
  <c r="BD369" i="11"/>
  <c r="L23" i="11"/>
  <c r="N29" i="14"/>
  <c r="D436" i="13"/>
  <c r="D420" i="13" s="1"/>
  <c r="BB369" i="11"/>
  <c r="K23" i="11"/>
  <c r="BA23" i="11" s="1"/>
  <c r="BM401" i="11"/>
  <c r="Q25" i="11"/>
  <c r="B35" i="13"/>
  <c r="BD97" i="11"/>
  <c r="L44" i="6"/>
  <c r="L67" i="6" s="1"/>
  <c r="L5" i="11"/>
  <c r="BD5" i="13" s="1"/>
  <c r="C20" i="11"/>
  <c r="E210" i="11"/>
  <c r="Q110" i="11"/>
  <c r="Y113" i="8"/>
  <c r="X114" i="8"/>
  <c r="S71" i="11"/>
  <c r="S43" i="6"/>
  <c r="S83" i="11"/>
  <c r="O46" i="11"/>
  <c r="S91" i="10"/>
  <c r="R92" i="10"/>
  <c r="BB385" i="11"/>
  <c r="K24" i="11"/>
  <c r="BA24" i="11" s="1"/>
  <c r="N273" i="11"/>
  <c r="AF10" i="11"/>
  <c r="I12" i="11"/>
  <c r="P36" i="9"/>
  <c r="C273" i="11"/>
  <c r="C49" i="6" s="1"/>
  <c r="C71" i="6" s="1"/>
  <c r="C99" i="4"/>
  <c r="L26" i="9"/>
  <c r="L293" i="4" s="1"/>
  <c r="L342" i="4" s="1"/>
  <c r="I230" i="4"/>
  <c r="I197" i="9"/>
  <c r="F145" i="11"/>
  <c r="F47" i="6" s="1"/>
  <c r="P35" i="9"/>
  <c r="X103" i="8"/>
  <c r="Y102" i="8"/>
  <c r="W20" i="11"/>
  <c r="W21" i="6" s="1"/>
  <c r="G32" i="7"/>
  <c r="F209" i="11"/>
  <c r="F48" i="6" s="1"/>
  <c r="F68" i="6" s="1"/>
  <c r="U163" i="8"/>
  <c r="V162" i="8"/>
  <c r="D197" i="7"/>
  <c r="M143" i="13"/>
  <c r="M115" i="13"/>
  <c r="M100" i="3"/>
  <c r="BD333" i="11"/>
  <c r="L188" i="4"/>
  <c r="P9" i="9"/>
  <c r="H209" i="11"/>
  <c r="H48" i="6" s="1"/>
  <c r="H68" i="6" s="1"/>
  <c r="R21" i="6"/>
  <c r="BJ148" i="7"/>
  <c r="L150" i="7"/>
  <c r="D233" i="4"/>
  <c r="D395" i="3"/>
  <c r="BV13" i="13"/>
  <c r="H7" i="7"/>
  <c r="H6" i="7" s="1"/>
  <c r="H119" i="7"/>
  <c r="G51" i="5"/>
  <c r="G55" i="5" s="1"/>
  <c r="L63" i="5"/>
  <c r="L76" i="5"/>
  <c r="C16" i="11"/>
  <c r="Q9" i="11"/>
  <c r="T117" i="10"/>
  <c r="V116" i="10"/>
  <c r="BB268" i="11"/>
  <c r="K106" i="4"/>
  <c r="K155" i="4" s="1"/>
  <c r="AT155" i="4" s="1"/>
  <c r="G391" i="3"/>
  <c r="AJ10" i="9"/>
  <c r="J9" i="9"/>
  <c r="G8" i="11"/>
  <c r="G12" i="1"/>
  <c r="G11" i="1" s="1"/>
  <c r="AD13" i="5"/>
  <c r="AC13" i="5"/>
  <c r="E79" i="5"/>
  <c r="E87" i="5" s="1"/>
  <c r="E52" i="5"/>
  <c r="E77" i="5" s="1"/>
  <c r="E151" i="4"/>
  <c r="E167" i="4" s="1"/>
  <c r="G234" i="4"/>
  <c r="AC42" i="8"/>
  <c r="J126" i="11"/>
  <c r="AD22" i="5"/>
  <c r="AC22" i="5"/>
  <c r="D63" i="5"/>
  <c r="O155" i="4"/>
  <c r="O10" i="4"/>
  <c r="O15" i="4" s="1"/>
  <c r="AW42" i="4"/>
  <c r="AU42" i="4"/>
  <c r="Y44" i="8"/>
  <c r="X45" i="8"/>
  <c r="C23" i="5"/>
  <c r="F151" i="4"/>
  <c r="F167" i="4" s="1"/>
  <c r="N15" i="5"/>
  <c r="I44" i="5"/>
  <c r="I69" i="5" s="1"/>
  <c r="I68" i="4"/>
  <c r="I342" i="4" s="1"/>
  <c r="I133" i="4"/>
  <c r="I165" i="4" s="1"/>
  <c r="K448" i="3"/>
  <c r="N300" i="4"/>
  <c r="BN33" i="7"/>
  <c r="N399" i="3"/>
  <c r="AV39" i="4"/>
  <c r="C240" i="3"/>
  <c r="D337" i="3"/>
  <c r="D173" i="3"/>
  <c r="D319" i="3" s="1"/>
  <c r="C337" i="3"/>
  <c r="C173" i="3"/>
  <c r="C319" i="3" s="1"/>
  <c r="AE281" i="3"/>
  <c r="AI237" i="3"/>
  <c r="Q330" i="3"/>
  <c r="Q166" i="3"/>
  <c r="Q312" i="3" s="1"/>
  <c r="O16" i="3"/>
  <c r="AG4" i="3"/>
  <c r="AI4" i="3" s="1"/>
  <c r="AE4" i="3"/>
  <c r="AF4" i="3"/>
  <c r="O80" i="3"/>
  <c r="N80" i="3"/>
  <c r="L156" i="3"/>
  <c r="N304" i="3"/>
  <c r="C199" i="3"/>
  <c r="B4" i="23"/>
  <c r="B3" i="23" s="1"/>
  <c r="AC5" i="25"/>
  <c r="BL153" i="19"/>
  <c r="O41" i="19"/>
  <c r="BL41" i="19" s="1"/>
  <c r="AG141" i="16"/>
  <c r="AU324" i="15"/>
  <c r="M20" i="15"/>
  <c r="M18" i="15" s="1"/>
  <c r="J11" i="15"/>
  <c r="J25" i="6" s="1"/>
  <c r="BG22" i="13"/>
  <c r="O21" i="13"/>
  <c r="R139" i="8"/>
  <c r="S138" i="8"/>
  <c r="M15" i="5"/>
  <c r="I17" i="6"/>
  <c r="M22" i="5"/>
  <c r="M23" i="5" s="1"/>
  <c r="M12" i="4"/>
  <c r="M15" i="4" s="1"/>
  <c r="AS44" i="4"/>
  <c r="O333" i="3"/>
  <c r="AG185" i="3"/>
  <c r="O169" i="3"/>
  <c r="F304" i="3"/>
  <c r="K169" i="3"/>
  <c r="K315" i="3" s="1"/>
  <c r="K333" i="3"/>
  <c r="O102" i="7"/>
  <c r="BP99" i="7"/>
  <c r="P332" i="3"/>
  <c r="O193" i="3"/>
  <c r="P168" i="3"/>
  <c r="P314" i="3" s="1"/>
  <c r="N16" i="3"/>
  <c r="BH48" i="7"/>
  <c r="K32" i="7"/>
  <c r="BN12" i="7"/>
  <c r="N17" i="6"/>
  <c r="M66" i="11"/>
  <c r="F382" i="4"/>
  <c r="AN145" i="23"/>
  <c r="L9" i="23"/>
  <c r="AV38" i="23"/>
  <c r="Q22" i="23"/>
  <c r="AV22" i="23" s="1"/>
  <c r="J109" i="21"/>
  <c r="AR138" i="20"/>
  <c r="J14" i="19"/>
  <c r="AL14" i="21" s="1"/>
  <c r="J60" i="6"/>
  <c r="C15" i="19"/>
  <c r="C61" i="6"/>
  <c r="BL141" i="19"/>
  <c r="O8" i="19"/>
  <c r="E278" i="17"/>
  <c r="E306" i="17"/>
  <c r="AS81" i="18"/>
  <c r="BA6" i="18"/>
  <c r="AF7" i="18"/>
  <c r="C6" i="19"/>
  <c r="C31" i="19"/>
  <c r="AS116" i="16"/>
  <c r="AN43" i="16"/>
  <c r="AM44" i="16"/>
  <c r="AS102" i="14"/>
  <c r="AV101" i="14"/>
  <c r="M35" i="7"/>
  <c r="BL99" i="7"/>
  <c r="J25" i="7"/>
  <c r="J53" i="7"/>
  <c r="BN36" i="7"/>
  <c r="N303" i="4"/>
  <c r="N402" i="3"/>
  <c r="N451" i="3" s="1"/>
  <c r="AI248" i="3"/>
  <c r="X172" i="26"/>
  <c r="U41" i="26"/>
  <c r="V40" i="26"/>
  <c r="AL9" i="25"/>
  <c r="K8" i="25"/>
  <c r="AG175" i="20"/>
  <c r="AF176" i="20"/>
  <c r="AK41" i="20"/>
  <c r="AJ42" i="20"/>
  <c r="BP346" i="19"/>
  <c r="Q330" i="19"/>
  <c r="BP330" i="19" s="1"/>
  <c r="AW78" i="18"/>
  <c r="AV79" i="18"/>
  <c r="F109" i="17"/>
  <c r="F45" i="17" s="1"/>
  <c r="F107" i="3"/>
  <c r="AU129" i="15"/>
  <c r="M113" i="15"/>
  <c r="AU113" i="15" s="1"/>
  <c r="AW128" i="15"/>
  <c r="N112" i="15"/>
  <c r="N91" i="4"/>
  <c r="AN101" i="14"/>
  <c r="AK102" i="14"/>
  <c r="BB173" i="14"/>
  <c r="AY10" i="13"/>
  <c r="G31" i="1"/>
  <c r="G29" i="1" s="1"/>
  <c r="G28" i="1" s="1"/>
  <c r="I3" i="13"/>
  <c r="BA4" i="13"/>
  <c r="I26" i="1"/>
  <c r="C335" i="13"/>
  <c r="C232" i="4"/>
  <c r="BL263" i="11"/>
  <c r="BM263" i="11" s="1"/>
  <c r="N101" i="4"/>
  <c r="N150" i="4" s="1"/>
  <c r="AT150" i="4" s="1"/>
  <c r="AU150" i="4" s="1"/>
  <c r="H273" i="11"/>
  <c r="H49" i="6" s="1"/>
  <c r="H71" i="6" s="1"/>
  <c r="U130" i="10"/>
  <c r="BF62" i="11"/>
  <c r="D234" i="4"/>
  <c r="B9" i="9"/>
  <c r="BN9" i="9" s="1"/>
  <c r="AB56" i="10"/>
  <c r="AA57" i="10"/>
  <c r="C74" i="4"/>
  <c r="E333" i="21"/>
  <c r="K42" i="21"/>
  <c r="H9" i="21"/>
  <c r="AJ9" i="21" s="1"/>
  <c r="AJ10" i="21"/>
  <c r="AO151" i="22"/>
  <c r="AP150" i="22"/>
  <c r="AG150" i="18"/>
  <c r="BB149" i="18"/>
  <c r="AH149" i="18"/>
  <c r="AP93" i="18"/>
  <c r="AQ92" i="18"/>
  <c r="AZ173" i="18"/>
  <c r="AX174" i="18"/>
  <c r="AF138" i="18"/>
  <c r="BA137" i="18"/>
  <c r="BC137" i="18" s="1"/>
  <c r="J35" i="19"/>
  <c r="J231" i="4" s="1"/>
  <c r="L18" i="17"/>
  <c r="P51" i="15"/>
  <c r="BA51" i="15" s="1"/>
  <c r="BA67" i="15"/>
  <c r="AY140" i="16"/>
  <c r="AZ139" i="16"/>
  <c r="R46" i="14"/>
  <c r="AO17" i="14"/>
  <c r="AR16" i="14"/>
  <c r="B207" i="13"/>
  <c r="B132" i="3"/>
  <c r="CC13" i="13"/>
  <c r="C6" i="11"/>
  <c r="AU6" i="13" s="1"/>
  <c r="C45" i="6"/>
  <c r="C70" i="6" s="1"/>
  <c r="E12" i="11"/>
  <c r="AW12" i="13" s="1"/>
  <c r="BK271" i="11"/>
  <c r="P109" i="4"/>
  <c r="O128" i="11"/>
  <c r="O94" i="4"/>
  <c r="X127" i="8"/>
  <c r="Y126" i="8"/>
  <c r="BI9" i="11"/>
  <c r="O12" i="1"/>
  <c r="BP36" i="7"/>
  <c r="O303" i="4"/>
  <c r="O402" i="3"/>
  <c r="D72" i="4"/>
  <c r="D346" i="4" s="1"/>
  <c r="D137" i="4"/>
  <c r="D169" i="4" s="1"/>
  <c r="AD19" i="5"/>
  <c r="AC19" i="5"/>
  <c r="P23" i="5"/>
  <c r="AG236" i="3"/>
  <c r="AI236" i="3" s="1"/>
  <c r="AF236" i="3"/>
  <c r="AE236" i="3"/>
  <c r="BP3" i="9"/>
  <c r="I131" i="25"/>
  <c r="AT62" i="23"/>
  <c r="P46" i="23"/>
  <c r="AT137" i="16"/>
  <c r="AS138" i="16"/>
  <c r="AK43" i="14"/>
  <c r="E12" i="9"/>
  <c r="AG12" i="9"/>
  <c r="C128" i="11"/>
  <c r="C48" i="11" s="1"/>
  <c r="C240" i="4" s="1"/>
  <c r="C94" i="4"/>
  <c r="O170" i="4"/>
  <c r="E37" i="9"/>
  <c r="E292" i="4"/>
  <c r="B37" i="9"/>
  <c r="B292" i="4"/>
  <c r="D28" i="23"/>
  <c r="AI8" i="21"/>
  <c r="AO125" i="20"/>
  <c r="AO164" i="20"/>
  <c r="AL165" i="20"/>
  <c r="AI79" i="20"/>
  <c r="AT78" i="20"/>
  <c r="AX150" i="20"/>
  <c r="E34" i="19"/>
  <c r="E45" i="19" s="1"/>
  <c r="BP97" i="19"/>
  <c r="AH174" i="16"/>
  <c r="AG175" i="16"/>
  <c r="AB19" i="17"/>
  <c r="K18" i="17"/>
  <c r="N66" i="17"/>
  <c r="N38" i="17"/>
  <c r="BA149" i="14"/>
  <c r="G447" i="13"/>
  <c r="G26" i="13" s="1"/>
  <c r="AY26" i="13" s="1"/>
  <c r="BD22" i="13"/>
  <c r="L21" i="13"/>
  <c r="AS41" i="14"/>
  <c r="AV40" i="14"/>
  <c r="CD13" i="13"/>
  <c r="AW6" i="13"/>
  <c r="N123" i="11"/>
  <c r="N43" i="11" s="1"/>
  <c r="C65" i="11"/>
  <c r="BG23" i="13"/>
  <c r="C6" i="7"/>
  <c r="C15" i="6" s="1"/>
  <c r="Y7" i="8"/>
  <c r="X8" i="8"/>
  <c r="BB14" i="13"/>
  <c r="BB265" i="11"/>
  <c r="K103" i="4"/>
  <c r="R140" i="26"/>
  <c r="G163" i="25"/>
  <c r="G119" i="25"/>
  <c r="G131" i="25" s="1"/>
  <c r="AI9" i="25"/>
  <c r="H8" i="25"/>
  <c r="AI8" i="25" s="1"/>
  <c r="J80" i="24"/>
  <c r="V126" i="24"/>
  <c r="W126" i="24" s="1"/>
  <c r="U127" i="24"/>
  <c r="V127" i="24" s="1"/>
  <c r="M49" i="23"/>
  <c r="M21" i="23"/>
  <c r="M33" i="23" s="1"/>
  <c r="L12" i="21"/>
  <c r="AN13" i="21"/>
  <c r="AS79" i="20"/>
  <c r="Y80" i="20"/>
  <c r="I20" i="19"/>
  <c r="L161" i="23"/>
  <c r="AN161" i="23" s="1"/>
  <c r="AN149" i="23"/>
  <c r="AN11" i="23"/>
  <c r="M10" i="23"/>
  <c r="AN10" i="23" s="1"/>
  <c r="R151" i="26"/>
  <c r="S54" i="26"/>
  <c r="AK6" i="25"/>
  <c r="D4" i="25"/>
  <c r="AE5" i="25"/>
  <c r="B10" i="25"/>
  <c r="AC11" i="25"/>
  <c r="L11" i="23"/>
  <c r="AN177" i="23"/>
  <c r="O131" i="25"/>
  <c r="V17" i="24"/>
  <c r="U18" i="24"/>
  <c r="AN9" i="23"/>
  <c r="AH9" i="25"/>
  <c r="R69" i="24"/>
  <c r="S68" i="24"/>
  <c r="AE176" i="22"/>
  <c r="AD177" i="22"/>
  <c r="G161" i="23"/>
  <c r="J63" i="26"/>
  <c r="AN11" i="21"/>
  <c r="AL79" i="22"/>
  <c r="AK80" i="22"/>
  <c r="AK68" i="22"/>
  <c r="AX149" i="22"/>
  <c r="AW149" i="22"/>
  <c r="AL13" i="21"/>
  <c r="J12" i="21"/>
  <c r="M205" i="21"/>
  <c r="AW124" i="20"/>
  <c r="AV124" i="20"/>
  <c r="AZ124" i="20" s="1"/>
  <c r="D269" i="21"/>
  <c r="BN321" i="19"/>
  <c r="P333" i="19"/>
  <c r="BN333" i="19" s="1"/>
  <c r="AC42" i="20"/>
  <c r="AD41" i="20"/>
  <c r="AU41" i="20"/>
  <c r="AY41" i="20" s="1"/>
  <c r="AI104" i="20"/>
  <c r="AT103" i="20"/>
  <c r="I12" i="21"/>
  <c r="AF127" i="20"/>
  <c r="AG126" i="20"/>
  <c r="AE15" i="21"/>
  <c r="BN173" i="19"/>
  <c r="P10" i="19"/>
  <c r="F3" i="21"/>
  <c r="AH3" i="21" s="1"/>
  <c r="AH4" i="21"/>
  <c r="AY113" i="20"/>
  <c r="J35" i="21"/>
  <c r="O269" i="19"/>
  <c r="BL269" i="19" s="1"/>
  <c r="M16" i="19"/>
  <c r="J33" i="19"/>
  <c r="I13" i="19"/>
  <c r="I59" i="6"/>
  <c r="M33" i="21"/>
  <c r="M45" i="21" s="1"/>
  <c r="M61" i="21"/>
  <c r="AF139" i="20"/>
  <c r="AG138" i="20"/>
  <c r="C5" i="19"/>
  <c r="C57" i="6"/>
  <c r="AH269" i="19"/>
  <c r="M44" i="19"/>
  <c r="BH44" i="19" s="1"/>
  <c r="AN42" i="18"/>
  <c r="AM43" i="18"/>
  <c r="P37" i="19"/>
  <c r="N109" i="19"/>
  <c r="BJ109" i="19" s="1"/>
  <c r="Q138" i="19"/>
  <c r="BA64" i="18"/>
  <c r="BC64" i="18" s="1"/>
  <c r="BD64" i="18" s="1"/>
  <c r="AJ179" i="18"/>
  <c r="B290" i="17"/>
  <c r="AH137" i="18"/>
  <c r="I5" i="19"/>
  <c r="AK5" i="21" s="1"/>
  <c r="I57" i="6"/>
  <c r="K35" i="19"/>
  <c r="AH6" i="18"/>
  <c r="BB6" i="18"/>
  <c r="AG7" i="18"/>
  <c r="AQ19" i="18"/>
  <c r="AP20" i="18"/>
  <c r="AH91" i="18"/>
  <c r="AG92" i="18"/>
  <c r="AR173" i="16"/>
  <c r="AT172" i="16"/>
  <c r="BA172" i="16" s="1"/>
  <c r="AD27" i="17"/>
  <c r="AT16" i="17"/>
  <c r="H39" i="17"/>
  <c r="O42" i="19"/>
  <c r="BL42" i="19" s="1"/>
  <c r="J105" i="17"/>
  <c r="J41" i="17" s="1"/>
  <c r="J130" i="17"/>
  <c r="J103" i="3"/>
  <c r="AC8" i="17"/>
  <c r="L7" i="17"/>
  <c r="BA76" i="16"/>
  <c r="F109" i="19"/>
  <c r="F391" i="3"/>
  <c r="AZ102" i="16"/>
  <c r="AX103" i="16"/>
  <c r="AO54" i="16"/>
  <c r="AQ53" i="16"/>
  <c r="I370" i="17"/>
  <c r="B306" i="17"/>
  <c r="AI17" i="18"/>
  <c r="BA16" i="18"/>
  <c r="BC16" i="18" s="1"/>
  <c r="L13" i="17"/>
  <c r="L10" i="17"/>
  <c r="AC10" i="17" s="1"/>
  <c r="AS392" i="15"/>
  <c r="L404" i="15"/>
  <c r="AS404" i="15" s="1"/>
  <c r="J25" i="15"/>
  <c r="F130" i="17"/>
  <c r="AG55" i="16"/>
  <c r="AH54" i="16"/>
  <c r="P3" i="17"/>
  <c r="BA128" i="15"/>
  <c r="P112" i="15"/>
  <c r="P91" i="4"/>
  <c r="N9" i="15"/>
  <c r="AW9" i="15" s="1"/>
  <c r="AW164" i="15"/>
  <c r="BL146" i="11" s="1"/>
  <c r="F404" i="15"/>
  <c r="H10" i="15"/>
  <c r="H13" i="15"/>
  <c r="H53" i="6"/>
  <c r="H132" i="15"/>
  <c r="H51" i="6" s="1"/>
  <c r="H104" i="15"/>
  <c r="H17" i="15"/>
  <c r="N24" i="15"/>
  <c r="AW24" i="15" s="1"/>
  <c r="AW388" i="15"/>
  <c r="G116" i="15"/>
  <c r="AS122" i="15"/>
  <c r="L106" i="15"/>
  <c r="L85" i="4"/>
  <c r="L44" i="5" s="1"/>
  <c r="L69" i="5" s="1"/>
  <c r="R160" i="14"/>
  <c r="B39" i="17"/>
  <c r="F116" i="15"/>
  <c r="BE14" i="15"/>
  <c r="R26" i="6"/>
  <c r="BA420" i="15"/>
  <c r="P26" i="15"/>
  <c r="AL54" i="14"/>
  <c r="AZ53" i="14"/>
  <c r="AN53" i="14"/>
  <c r="AZ6" i="16"/>
  <c r="AX7" i="16"/>
  <c r="J28" i="6"/>
  <c r="G7" i="15"/>
  <c r="G6" i="15" s="1"/>
  <c r="G24" i="6" s="1"/>
  <c r="Q162" i="15"/>
  <c r="Q157" i="15"/>
  <c r="BC164" i="15"/>
  <c r="Q158" i="15"/>
  <c r="R158" i="15" s="1"/>
  <c r="Q159" i="15"/>
  <c r="Q160" i="15"/>
  <c r="Q161" i="15"/>
  <c r="Q156" i="15"/>
  <c r="Q155" i="15"/>
  <c r="R155" i="15" s="1"/>
  <c r="AM126" i="14"/>
  <c r="BA125" i="14"/>
  <c r="O114" i="17"/>
  <c r="BA60" i="15"/>
  <c r="E11" i="17"/>
  <c r="C351" i="13"/>
  <c r="AW110" i="15"/>
  <c r="N46" i="15"/>
  <c r="AW46" i="15" s="1"/>
  <c r="C271" i="13"/>
  <c r="C116" i="3"/>
  <c r="M21" i="13"/>
  <c r="AR124" i="14"/>
  <c r="F159" i="3"/>
  <c r="F207" i="3"/>
  <c r="F175" i="3" s="1"/>
  <c r="F321" i="3" s="1"/>
  <c r="Q132" i="3"/>
  <c r="BE18" i="13"/>
  <c r="BA28" i="14"/>
  <c r="BB28" i="14" s="1"/>
  <c r="BE28" i="14" s="1"/>
  <c r="K119" i="13"/>
  <c r="K39" i="13" s="1"/>
  <c r="K104" i="3"/>
  <c r="S16" i="13"/>
  <c r="BK16" i="13" s="1"/>
  <c r="BK17" i="13"/>
  <c r="K120" i="13"/>
  <c r="K40" i="13" s="1"/>
  <c r="J271" i="13"/>
  <c r="J116" i="3"/>
  <c r="AK101" i="16"/>
  <c r="I271" i="13"/>
  <c r="I116" i="3"/>
  <c r="BF14" i="13"/>
  <c r="BE14" i="13"/>
  <c r="AT11" i="13"/>
  <c r="B32" i="1"/>
  <c r="K36" i="13"/>
  <c r="BG4" i="13"/>
  <c r="O3" i="13"/>
  <c r="O26" i="1"/>
  <c r="AU183" i="12"/>
  <c r="AU184" i="12" s="1"/>
  <c r="AN271" i="13"/>
  <c r="BD278" i="19"/>
  <c r="BB331" i="11"/>
  <c r="K186" i="4"/>
  <c r="K94" i="5" s="1"/>
  <c r="BD280" i="19"/>
  <c r="BA116" i="14"/>
  <c r="AM117" i="14"/>
  <c r="B37" i="13"/>
  <c r="B63" i="13"/>
  <c r="G337" i="11"/>
  <c r="G180" i="4"/>
  <c r="P127" i="11"/>
  <c r="BK127" i="11" s="1"/>
  <c r="B145" i="11"/>
  <c r="B47" i="6" s="1"/>
  <c r="B65" i="6" s="1"/>
  <c r="M47" i="11"/>
  <c r="BF47" i="11" s="1"/>
  <c r="AB102" i="10"/>
  <c r="AA103" i="10"/>
  <c r="BB21" i="13"/>
  <c r="G43" i="11"/>
  <c r="G235" i="4" s="1"/>
  <c r="X104" i="10"/>
  <c r="Y103" i="10"/>
  <c r="AA45" i="6"/>
  <c r="AA70" i="6" s="1"/>
  <c r="S66" i="8"/>
  <c r="R67" i="8"/>
  <c r="L295" i="4"/>
  <c r="Y91" i="10"/>
  <c r="X92" i="10"/>
  <c r="L6" i="9"/>
  <c r="L15" i="9" s="1"/>
  <c r="L2" i="2" s="1"/>
  <c r="K6" i="9"/>
  <c r="BL7" i="9"/>
  <c r="D5" i="11"/>
  <c r="D44" i="6"/>
  <c r="D67" i="6" s="1"/>
  <c r="I12" i="9"/>
  <c r="F117" i="11"/>
  <c r="X20" i="11"/>
  <c r="X21" i="6" s="1"/>
  <c r="C12" i="7"/>
  <c r="BH107" i="11"/>
  <c r="H32" i="7"/>
  <c r="E8" i="11"/>
  <c r="E12" i="1"/>
  <c r="BP47" i="7"/>
  <c r="O31" i="7"/>
  <c r="V174" i="10"/>
  <c r="U175" i="10"/>
  <c r="I149" i="9"/>
  <c r="BJ26" i="7"/>
  <c r="L392" i="3"/>
  <c r="L441" i="3" s="1"/>
  <c r="K188" i="4"/>
  <c r="BB333" i="11"/>
  <c r="R153" i="10"/>
  <c r="P34" i="7"/>
  <c r="BR50" i="7"/>
  <c r="AM59" i="14"/>
  <c r="R382" i="11"/>
  <c r="R377" i="11"/>
  <c r="R380" i="11"/>
  <c r="R375" i="11"/>
  <c r="R373" i="11"/>
  <c r="R376" i="11"/>
  <c r="R374" i="11"/>
  <c r="K149" i="7"/>
  <c r="BH149" i="7" s="1"/>
  <c r="H207" i="13"/>
  <c r="H132" i="3"/>
  <c r="M12" i="9"/>
  <c r="M15" i="9" s="1"/>
  <c r="M2" i="2" s="1"/>
  <c r="R8" i="10"/>
  <c r="S7" i="10"/>
  <c r="N145" i="11"/>
  <c r="N117" i="11"/>
  <c r="AV118" i="11" s="1"/>
  <c r="N83" i="4"/>
  <c r="J17" i="6"/>
  <c r="BP133" i="7"/>
  <c r="O8" i="7"/>
  <c r="BP8" i="7" s="1"/>
  <c r="BD133" i="11"/>
  <c r="L145" i="11"/>
  <c r="L117" i="11"/>
  <c r="L83" i="4"/>
  <c r="C63" i="5"/>
  <c r="G53" i="7"/>
  <c r="D389" i="11"/>
  <c r="D401" i="11" s="1"/>
  <c r="D25" i="11" s="1"/>
  <c r="D417" i="11"/>
  <c r="D26" i="11" s="1"/>
  <c r="G397" i="3"/>
  <c r="BF353" i="11"/>
  <c r="M22" i="11"/>
  <c r="Q10" i="11"/>
  <c r="BM177" i="11"/>
  <c r="G117" i="11"/>
  <c r="G145" i="11"/>
  <c r="G83" i="4"/>
  <c r="L23" i="5"/>
  <c r="AT136" i="4"/>
  <c r="S12" i="9"/>
  <c r="F417" i="11"/>
  <c r="F26" i="11" s="1"/>
  <c r="BF97" i="11"/>
  <c r="M44" i="6"/>
  <c r="M67" i="6" s="1"/>
  <c r="M5" i="11"/>
  <c r="BE5" i="11" s="1"/>
  <c r="H12" i="7"/>
  <c r="BA9" i="11"/>
  <c r="K12" i="1"/>
  <c r="L28" i="7"/>
  <c r="AZ36" i="4"/>
  <c r="D342" i="4"/>
  <c r="M337" i="11"/>
  <c r="BF337" i="11" s="1"/>
  <c r="I79" i="5"/>
  <c r="I87" i="5" s="1"/>
  <c r="I120" i="5" s="1"/>
  <c r="D101" i="9"/>
  <c r="B160" i="4"/>
  <c r="O47" i="4"/>
  <c r="K6" i="5"/>
  <c r="H112" i="5"/>
  <c r="F173" i="4"/>
  <c r="B77" i="5"/>
  <c r="AH43" i="3"/>
  <c r="AI43" i="3" s="1"/>
  <c r="AE43" i="3"/>
  <c r="E94" i="3"/>
  <c r="E450" i="3" s="1"/>
  <c r="E483" i="3" s="1"/>
  <c r="F15" i="4"/>
  <c r="N26" i="7"/>
  <c r="BN42" i="7"/>
  <c r="I446" i="3"/>
  <c r="AG230" i="3"/>
  <c r="AF230" i="3"/>
  <c r="AE230" i="3"/>
  <c r="M329" i="3"/>
  <c r="C206" i="3"/>
  <c r="G329" i="3"/>
  <c r="G165" i="3"/>
  <c r="G311" i="3" s="1"/>
  <c r="L15" i="4"/>
  <c r="M202" i="3"/>
  <c r="AD288" i="3"/>
  <c r="AE288" i="3" s="1"/>
  <c r="P334" i="3"/>
  <c r="P170" i="3"/>
  <c r="P316" i="3" s="1"/>
  <c r="AG235" i="3"/>
  <c r="AI235" i="3" s="1"/>
  <c r="AF235" i="3"/>
  <c r="AE235" i="3"/>
  <c r="E142" i="4"/>
  <c r="E174" i="4" s="1"/>
  <c r="E77" i="4"/>
  <c r="E351" i="4" s="1"/>
  <c r="E383" i="4" s="1"/>
  <c r="K157" i="19"/>
  <c r="BL97" i="19"/>
  <c r="O109" i="19"/>
  <c r="BL109" i="19" s="1"/>
  <c r="AT18" i="18"/>
  <c r="AW173" i="18"/>
  <c r="AV174" i="18"/>
  <c r="AW162" i="16"/>
  <c r="AV163" i="16"/>
  <c r="E17" i="17"/>
  <c r="AW17" i="17" s="1"/>
  <c r="AW18" i="17"/>
  <c r="AS121" i="15"/>
  <c r="L105" i="15"/>
  <c r="K207" i="13"/>
  <c r="K132" i="3"/>
  <c r="BK9" i="13"/>
  <c r="S30" i="1"/>
  <c r="BZ17" i="13"/>
  <c r="AH16" i="13"/>
  <c r="BZ16" i="13" s="1"/>
  <c r="P8" i="13"/>
  <c r="BH9" i="13"/>
  <c r="P30" i="1"/>
  <c r="L42" i="13"/>
  <c r="G16" i="11"/>
  <c r="AU98" i="12"/>
  <c r="AU99" i="12" s="1"/>
  <c r="AU100" i="12" s="1"/>
  <c r="AU101" i="12" s="1"/>
  <c r="AU102" i="12" s="1"/>
  <c r="AU103" i="12" s="1"/>
  <c r="AU104" i="12" s="1"/>
  <c r="AU105" i="12" s="1"/>
  <c r="AU106" i="12" s="1"/>
  <c r="AU107" i="12" s="1"/>
  <c r="AU108" i="12" s="1"/>
  <c r="AU109" i="12" s="1"/>
  <c r="R98" i="12"/>
  <c r="AX98" i="12" s="1"/>
  <c r="AG10" i="11"/>
  <c r="BD113" i="11"/>
  <c r="L6" i="11"/>
  <c r="Q107" i="11"/>
  <c r="L45" i="6"/>
  <c r="L70" i="6" s="1"/>
  <c r="Q108" i="11"/>
  <c r="R79" i="8"/>
  <c r="S78" i="8"/>
  <c r="N29" i="5"/>
  <c r="N31" i="5" s="1"/>
  <c r="N9" i="4"/>
  <c r="I27" i="5"/>
  <c r="I31" i="5" s="1"/>
  <c r="P5" i="5"/>
  <c r="BP29" i="7"/>
  <c r="O296" i="4"/>
  <c r="O395" i="3"/>
  <c r="AN193" i="23"/>
  <c r="L12" i="23"/>
  <c r="AL12" i="23" s="1"/>
  <c r="E10" i="23"/>
  <c r="E8" i="23" s="1"/>
  <c r="AI10" i="21"/>
  <c r="G9" i="21"/>
  <c r="AI9" i="21" s="1"/>
  <c r="AS139" i="18"/>
  <c r="AY392" i="15"/>
  <c r="O404" i="15"/>
  <c r="AY404" i="15" s="1"/>
  <c r="BA136" i="16"/>
  <c r="BA125" i="15"/>
  <c r="P109" i="15"/>
  <c r="P88" i="4"/>
  <c r="E273" i="11"/>
  <c r="E49" i="6" s="1"/>
  <c r="E99" i="4"/>
  <c r="K122" i="11"/>
  <c r="BB122" i="11" s="1"/>
  <c r="BB202" i="11"/>
  <c r="BQ9" i="13"/>
  <c r="Y30" i="1"/>
  <c r="E149" i="7"/>
  <c r="AB4" i="3"/>
  <c r="P16" i="3"/>
  <c r="C157" i="21"/>
  <c r="BF141" i="11"/>
  <c r="M125" i="11"/>
  <c r="M91" i="4"/>
  <c r="S54" i="10"/>
  <c r="AC54" i="10" s="1"/>
  <c r="R55" i="10"/>
  <c r="H38" i="11"/>
  <c r="H230" i="4" s="1"/>
  <c r="S30" i="8"/>
  <c r="R31" i="8"/>
  <c r="BP144" i="7"/>
  <c r="O32" i="7"/>
  <c r="BL3" i="9"/>
  <c r="BB269" i="11"/>
  <c r="K107" i="4"/>
  <c r="K156" i="4" s="1"/>
  <c r="J171" i="4"/>
  <c r="N125" i="11"/>
  <c r="N45" i="11" s="1"/>
  <c r="AG334" i="3"/>
  <c r="AF334" i="3"/>
  <c r="AG20" i="22"/>
  <c r="AH19" i="22"/>
  <c r="AS152" i="18"/>
  <c r="AT151" i="18"/>
  <c r="AP79" i="16"/>
  <c r="AQ78" i="16"/>
  <c r="AS308" i="15"/>
  <c r="L19" i="15"/>
  <c r="Q305" i="15"/>
  <c r="K351" i="13"/>
  <c r="K323" i="13"/>
  <c r="K335" i="13" s="1"/>
  <c r="Y80" i="10"/>
  <c r="X81" i="10"/>
  <c r="BK117" i="11"/>
  <c r="AQ9" i="25"/>
  <c r="W64" i="24"/>
  <c r="AD68" i="22"/>
  <c r="AE67" i="22"/>
  <c r="AF32" i="20"/>
  <c r="P43" i="19"/>
  <c r="K3" i="17"/>
  <c r="AB3" i="17" s="1"/>
  <c r="AB4" i="17"/>
  <c r="B18" i="15"/>
  <c r="H130" i="17"/>
  <c r="E20" i="13"/>
  <c r="AW20" i="13" s="1"/>
  <c r="AW21" i="13"/>
  <c r="J8" i="11"/>
  <c r="BF35" i="15" s="1"/>
  <c r="J12" i="1"/>
  <c r="J11" i="1" s="1"/>
  <c r="J152" i="4"/>
  <c r="J7" i="4"/>
  <c r="J20" i="5"/>
  <c r="J23" i="5" s="1"/>
  <c r="AV22" i="4"/>
  <c r="G167" i="3"/>
  <c r="G313" i="3" s="1"/>
  <c r="G331" i="3"/>
  <c r="BP6" i="9"/>
  <c r="D208" i="3"/>
  <c r="D34" i="9"/>
  <c r="D301" i="4" s="1"/>
  <c r="D350" i="4" s="1"/>
  <c r="D382" i="4" s="1"/>
  <c r="AG207" i="3"/>
  <c r="AI207" i="3" s="1"/>
  <c r="AF207" i="3"/>
  <c r="AE207" i="3"/>
  <c r="AB6" i="3"/>
  <c r="AE278" i="3"/>
  <c r="AD32" i="3"/>
  <c r="N17" i="3"/>
  <c r="V65" i="24"/>
  <c r="W65" i="24" s="1"/>
  <c r="U66" i="24"/>
  <c r="C94" i="5"/>
  <c r="B37" i="19"/>
  <c r="B233" i="4" s="1"/>
  <c r="M37" i="19"/>
  <c r="BH37" i="19" s="1"/>
  <c r="AF42" i="18"/>
  <c r="BA41" i="18"/>
  <c r="BC41" i="18" s="1"/>
  <c r="AX139" i="18"/>
  <c r="AZ138" i="18"/>
  <c r="M194" i="17"/>
  <c r="M38" i="17"/>
  <c r="AQ41" i="16"/>
  <c r="AP42" i="16"/>
  <c r="AQ140" i="16"/>
  <c r="AP141" i="16"/>
  <c r="M5" i="15"/>
  <c r="AU100" i="15"/>
  <c r="AK12" i="25"/>
  <c r="L120" i="23"/>
  <c r="AN152" i="23"/>
  <c r="J27" i="24"/>
  <c r="J3" i="21"/>
  <c r="AL4" i="21"/>
  <c r="AK174" i="20"/>
  <c r="AJ175" i="20"/>
  <c r="AW77" i="20"/>
  <c r="AV77" i="20"/>
  <c r="AV136" i="20"/>
  <c r="AZ136" i="20" s="1"/>
  <c r="AR79" i="20"/>
  <c r="AP80" i="20"/>
  <c r="AP5" i="25"/>
  <c r="O4" i="25"/>
  <c r="J54" i="26"/>
  <c r="B51" i="25"/>
  <c r="N67" i="25"/>
  <c r="N39" i="25"/>
  <c r="R176" i="24"/>
  <c r="S175" i="24"/>
  <c r="AR117" i="23"/>
  <c r="AL97" i="23"/>
  <c r="K6" i="23"/>
  <c r="AJ6" i="23" s="1"/>
  <c r="AV173" i="22"/>
  <c r="AZ173" i="22" s="1"/>
  <c r="AS65" i="22"/>
  <c r="AV65" i="22"/>
  <c r="AR66" i="22"/>
  <c r="AJ164" i="22"/>
  <c r="AU163" i="22"/>
  <c r="AJ7" i="21"/>
  <c r="H6" i="21"/>
  <c r="AJ6" i="21" s="1"/>
  <c r="S99" i="25"/>
  <c r="S6" i="25" s="1"/>
  <c r="L163" i="25"/>
  <c r="L119" i="25"/>
  <c r="H39" i="25"/>
  <c r="H67" i="25"/>
  <c r="Z186" i="24"/>
  <c r="BS184" i="12" s="1"/>
  <c r="J99" i="24"/>
  <c r="J131" i="24"/>
  <c r="AR145" i="23"/>
  <c r="O9" i="23"/>
  <c r="Q127" i="24"/>
  <c r="S127" i="24" s="1"/>
  <c r="S126" i="24"/>
  <c r="N125" i="23"/>
  <c r="C65" i="23"/>
  <c r="AX148" i="22"/>
  <c r="AW148" i="22"/>
  <c r="BA148" i="22" s="1"/>
  <c r="AY161" i="22"/>
  <c r="S114" i="26"/>
  <c r="R115" i="26"/>
  <c r="V177" i="26"/>
  <c r="U178" i="26"/>
  <c r="J67" i="26"/>
  <c r="AE9" i="25"/>
  <c r="S55" i="26"/>
  <c r="R56" i="26"/>
  <c r="J53" i="26"/>
  <c r="U53" i="26"/>
  <c r="V52" i="26"/>
  <c r="W52" i="26" s="1"/>
  <c r="S17" i="26"/>
  <c r="Q18" i="26"/>
  <c r="L30" i="25"/>
  <c r="I163" i="25"/>
  <c r="Q101" i="26"/>
  <c r="S100" i="26"/>
  <c r="P33" i="25"/>
  <c r="E27" i="25"/>
  <c r="AI5" i="25"/>
  <c r="H4" i="25"/>
  <c r="AN11" i="25"/>
  <c r="J10" i="23"/>
  <c r="J10" i="25"/>
  <c r="AT44" i="23"/>
  <c r="P28" i="23"/>
  <c r="AT28" i="23" s="1"/>
  <c r="C49" i="23"/>
  <c r="C21" i="23"/>
  <c r="C33" i="23" s="1"/>
  <c r="AV145" i="23"/>
  <c r="Q9" i="23"/>
  <c r="AV9" i="23" s="1"/>
  <c r="AP125" i="22"/>
  <c r="AV125" i="22"/>
  <c r="AO126" i="22"/>
  <c r="AL65" i="22"/>
  <c r="AW100" i="22"/>
  <c r="AL89" i="22"/>
  <c r="AK90" i="22"/>
  <c r="AV89" i="22"/>
  <c r="AB8" i="22"/>
  <c r="AA9" i="22"/>
  <c r="AD141" i="22"/>
  <c r="AE140" i="22"/>
  <c r="L25" i="23"/>
  <c r="AN25" i="23" s="1"/>
  <c r="AN41" i="23"/>
  <c r="L43" i="21"/>
  <c r="AA20" i="22"/>
  <c r="AB19" i="22"/>
  <c r="AO139" i="22"/>
  <c r="AP138" i="22"/>
  <c r="AR55" i="22"/>
  <c r="AV54" i="22"/>
  <c r="AS54" i="22"/>
  <c r="AT150" i="22"/>
  <c r="AQ151" i="22"/>
  <c r="H61" i="21"/>
  <c r="AV76" i="20"/>
  <c r="AW76" i="20"/>
  <c r="AE17" i="22"/>
  <c r="AD18" i="22"/>
  <c r="AL10" i="21"/>
  <c r="AO23" i="22"/>
  <c r="AU102" i="20"/>
  <c r="AY102" i="20" s="1"/>
  <c r="Z103" i="20"/>
  <c r="AY40" i="20"/>
  <c r="AE30" i="20"/>
  <c r="AG29" i="20"/>
  <c r="AY88" i="20"/>
  <c r="AT65" i="20"/>
  <c r="AV65" i="20" s="1"/>
  <c r="AI66" i="20"/>
  <c r="AW64" i="20"/>
  <c r="AV64" i="20"/>
  <c r="AZ64" i="20" s="1"/>
  <c r="AC67" i="20"/>
  <c r="AD66" i="20"/>
  <c r="BL317" i="19"/>
  <c r="O19" i="19"/>
  <c r="BL19" i="19" s="1"/>
  <c r="F205" i="21"/>
  <c r="BL258" i="19"/>
  <c r="O181" i="4"/>
  <c r="AA114" i="20"/>
  <c r="AU114" i="20"/>
  <c r="Z115" i="20"/>
  <c r="AL5" i="21"/>
  <c r="BN329" i="19"/>
  <c r="P41" i="19"/>
  <c r="J61" i="19"/>
  <c r="K205" i="19"/>
  <c r="M3" i="21"/>
  <c r="L109" i="19"/>
  <c r="BF109" i="19" s="1"/>
  <c r="B39" i="19"/>
  <c r="B235" i="4" s="1"/>
  <c r="N36" i="19"/>
  <c r="M36" i="19"/>
  <c r="BH36" i="19" s="1"/>
  <c r="X269" i="19"/>
  <c r="I25" i="17"/>
  <c r="Z26" i="17"/>
  <c r="BA24" i="17"/>
  <c r="AI125" i="18"/>
  <c r="BA124" i="18"/>
  <c r="BC124" i="18" s="1"/>
  <c r="BD124" i="18" s="1"/>
  <c r="AA21" i="17"/>
  <c r="BB19" i="17"/>
  <c r="AH17" i="18"/>
  <c r="BB17" i="18"/>
  <c r="AG18" i="18"/>
  <c r="AJ151" i="18"/>
  <c r="AK150" i="18"/>
  <c r="AF79" i="18"/>
  <c r="E4" i="19"/>
  <c r="E3" i="19" s="1"/>
  <c r="E55" i="6"/>
  <c r="E64" i="6" s="1"/>
  <c r="B4" i="19"/>
  <c r="B55" i="6"/>
  <c r="B64" i="6" s="1"/>
  <c r="AF32" i="18"/>
  <c r="BB22" i="17"/>
  <c r="AA24" i="17"/>
  <c r="AI162" i="16"/>
  <c r="AK161" i="16"/>
  <c r="E7" i="17"/>
  <c r="AW8" i="17"/>
  <c r="AE16" i="17"/>
  <c r="G104" i="17"/>
  <c r="G40" i="17" s="1"/>
  <c r="G102" i="3"/>
  <c r="F104" i="17"/>
  <c r="F40" i="17" s="1"/>
  <c r="F102" i="3"/>
  <c r="AS47" i="18"/>
  <c r="F31" i="19"/>
  <c r="F6" i="19"/>
  <c r="AM67" i="16"/>
  <c r="AN66" i="16"/>
  <c r="AI89" i="16"/>
  <c r="AK88" i="16"/>
  <c r="BA88" i="16" s="1"/>
  <c r="C306" i="17"/>
  <c r="BA100" i="16"/>
  <c r="I13" i="17"/>
  <c r="I10" i="17"/>
  <c r="AS420" i="15"/>
  <c r="L26" i="15"/>
  <c r="AQ107" i="16"/>
  <c r="AP108" i="16"/>
  <c r="AW276" i="15"/>
  <c r="N16" i="15"/>
  <c r="AW16" i="15" s="1"/>
  <c r="D3" i="17"/>
  <c r="AV3" i="17" s="1"/>
  <c r="AV4" i="17"/>
  <c r="C109" i="15"/>
  <c r="C88" i="4"/>
  <c r="D292" i="15"/>
  <c r="F25" i="15"/>
  <c r="C18" i="15"/>
  <c r="C17" i="15" s="1"/>
  <c r="C27" i="6" s="1"/>
  <c r="O45" i="15"/>
  <c r="AY61" i="15"/>
  <c r="AM18" i="16"/>
  <c r="AN17" i="16"/>
  <c r="H7" i="15"/>
  <c r="H6" i="15" s="1"/>
  <c r="H24" i="6" s="1"/>
  <c r="H292" i="15"/>
  <c r="AW340" i="15"/>
  <c r="N21" i="15"/>
  <c r="O292" i="15"/>
  <c r="AY292" i="15" s="1"/>
  <c r="BW6" i="15"/>
  <c r="AA24" i="6"/>
  <c r="G132" i="15"/>
  <c r="G51" i="6" s="1"/>
  <c r="L356" i="15"/>
  <c r="AS356" i="15" s="1"/>
  <c r="AS344" i="15"/>
  <c r="AS84" i="15"/>
  <c r="L4" i="15"/>
  <c r="AL102" i="14"/>
  <c r="AZ101" i="14"/>
  <c r="BA4" i="16"/>
  <c r="AW53" i="14"/>
  <c r="AX52" i="14"/>
  <c r="AU123" i="15"/>
  <c r="M107" i="15"/>
  <c r="AS161" i="14"/>
  <c r="AV160" i="14"/>
  <c r="AL186" i="14"/>
  <c r="AZ186" i="14" s="1"/>
  <c r="AZ185" i="14"/>
  <c r="K17" i="15"/>
  <c r="O130" i="17"/>
  <c r="N35" i="14"/>
  <c r="D442" i="13"/>
  <c r="D426" i="13" s="1"/>
  <c r="O35" i="14"/>
  <c r="R35" i="14" s="1"/>
  <c r="AU212" i="15"/>
  <c r="M12" i="15"/>
  <c r="AD12" i="17" s="1"/>
  <c r="R184" i="14"/>
  <c r="AF8" i="17"/>
  <c r="O7" i="17"/>
  <c r="AW12" i="17"/>
  <c r="BH19" i="13"/>
  <c r="AP113" i="14"/>
  <c r="AZ112" i="14"/>
  <c r="BB112" i="14" s="1"/>
  <c r="E120" i="13"/>
  <c r="E40" i="13" s="1"/>
  <c r="E105" i="3"/>
  <c r="C16" i="13"/>
  <c r="AU16" i="13" s="1"/>
  <c r="AU17" i="13"/>
  <c r="AY184" i="15"/>
  <c r="O196" i="15"/>
  <c r="AY196" i="15" s="1"/>
  <c r="M323" i="13"/>
  <c r="M351" i="13"/>
  <c r="AO126" i="14"/>
  <c r="AR125" i="14"/>
  <c r="CF13" i="13"/>
  <c r="D207" i="13"/>
  <c r="AW43" i="14"/>
  <c r="AX42" i="14"/>
  <c r="N125" i="13"/>
  <c r="N45" i="13" s="1"/>
  <c r="N110" i="3"/>
  <c r="BV9" i="13"/>
  <c r="AD30" i="1"/>
  <c r="AV52" i="14"/>
  <c r="AS53" i="14"/>
  <c r="M121" i="13"/>
  <c r="M41" i="13" s="1"/>
  <c r="AN65" i="14"/>
  <c r="AK66" i="14"/>
  <c r="AY65" i="14"/>
  <c r="BB65" i="14" s="1"/>
  <c r="BA17" i="13"/>
  <c r="I16" i="13"/>
  <c r="BA16" i="13" s="1"/>
  <c r="AU11" i="13"/>
  <c r="C32" i="1"/>
  <c r="R40" i="14"/>
  <c r="AX10" i="13"/>
  <c r="F31" i="1"/>
  <c r="R161" i="12"/>
  <c r="BM161" i="12" s="1"/>
  <c r="K271" i="13"/>
  <c r="K116" i="3"/>
  <c r="R182" i="12"/>
  <c r="AN16" i="13"/>
  <c r="CF16" i="13" s="1"/>
  <c r="CF17" i="13"/>
  <c r="H37" i="13"/>
  <c r="BR17" i="13"/>
  <c r="Z16" i="13"/>
  <c r="BR16" i="13" s="1"/>
  <c r="BD279" i="19"/>
  <c r="AT4" i="13"/>
  <c r="B3" i="13"/>
  <c r="B26" i="1"/>
  <c r="G6" i="11"/>
  <c r="AY6" i="13" s="1"/>
  <c r="G45" i="6"/>
  <c r="G70" i="6" s="1"/>
  <c r="B129" i="11"/>
  <c r="AJ10" i="11"/>
  <c r="BF272" i="11"/>
  <c r="M110" i="4"/>
  <c r="AV198" i="11"/>
  <c r="AW198" i="11"/>
  <c r="BA5" i="13"/>
  <c r="L195" i="11"/>
  <c r="BD193" i="11"/>
  <c r="L11" i="11"/>
  <c r="O48" i="15"/>
  <c r="AY48" i="15" s="1"/>
  <c r="AC101" i="10"/>
  <c r="F12" i="11"/>
  <c r="O65" i="11"/>
  <c r="BB20" i="13"/>
  <c r="BD321" i="11"/>
  <c r="L19" i="11"/>
  <c r="O6" i="9"/>
  <c r="O15" i="9" s="1"/>
  <c r="O2" i="2" s="1"/>
  <c r="L273" i="11"/>
  <c r="BW9" i="13"/>
  <c r="BK336" i="11"/>
  <c r="P191" i="4"/>
  <c r="E48" i="11"/>
  <c r="E66" i="11"/>
  <c r="V30" i="8"/>
  <c r="U31" i="8"/>
  <c r="AA78" i="8"/>
  <c r="AB77" i="8"/>
  <c r="Z271" i="13"/>
  <c r="N11" i="7"/>
  <c r="BN11" i="7" s="1"/>
  <c r="BN181" i="7"/>
  <c r="AS377" i="11"/>
  <c r="AS378" i="11"/>
  <c r="M11" i="7"/>
  <c r="BL11" i="7" s="1"/>
  <c r="BL181" i="7"/>
  <c r="V20" i="11"/>
  <c r="K209" i="11"/>
  <c r="R140" i="10"/>
  <c r="S139" i="10"/>
  <c r="AB126" i="8"/>
  <c r="AC126" i="8" s="1"/>
  <c r="AA127" i="8"/>
  <c r="BN29" i="7"/>
  <c r="N395" i="3"/>
  <c r="N296" i="4"/>
  <c r="J3" i="13"/>
  <c r="J26" i="1"/>
  <c r="L65" i="11"/>
  <c r="BD65" i="11" s="1"/>
  <c r="S127" i="10"/>
  <c r="AC172" i="10"/>
  <c r="AZ13" i="13"/>
  <c r="H12" i="13"/>
  <c r="AZ12" i="13" s="1"/>
  <c r="M197" i="9"/>
  <c r="G119" i="7"/>
  <c r="G7" i="7"/>
  <c r="G6" i="7" s="1"/>
  <c r="G15" i="6" s="1"/>
  <c r="BL161" i="11"/>
  <c r="BM161" i="11" s="1"/>
  <c r="N9" i="11"/>
  <c r="L9" i="11"/>
  <c r="BD161" i="11"/>
  <c r="AJ7" i="9"/>
  <c r="J6" i="9"/>
  <c r="B396" i="3"/>
  <c r="B445" i="3" s="1"/>
  <c r="BN28" i="7"/>
  <c r="N295" i="4"/>
  <c r="N394" i="3"/>
  <c r="BF334" i="11"/>
  <c r="M189" i="4"/>
  <c r="M95" i="5" s="1"/>
  <c r="AA20" i="11"/>
  <c r="AA21" i="6" s="1"/>
  <c r="C296" i="4"/>
  <c r="B3" i="5"/>
  <c r="B341" i="4"/>
  <c r="B15" i="4"/>
  <c r="BL139" i="7"/>
  <c r="M149" i="7"/>
  <c r="BL149" i="7" s="1"/>
  <c r="C69" i="4"/>
  <c r="C343" i="4" s="1"/>
  <c r="AC197" i="9"/>
  <c r="BL32" i="7"/>
  <c r="M299" i="4"/>
  <c r="M398" i="3"/>
  <c r="S43" i="8"/>
  <c r="AC43" i="8" s="1"/>
  <c r="R44" i="8"/>
  <c r="I92" i="5"/>
  <c r="D149" i="4"/>
  <c r="D165" i="4" s="1"/>
  <c r="C238" i="4"/>
  <c r="C400" i="3"/>
  <c r="C449" i="3" s="1"/>
  <c r="M122" i="11"/>
  <c r="BF202" i="11"/>
  <c r="AD88" i="8"/>
  <c r="AH228" i="3"/>
  <c r="AI228" i="3" s="1"/>
  <c r="AE228" i="3"/>
  <c r="F170" i="4"/>
  <c r="J166" i="4"/>
  <c r="O23" i="5"/>
  <c r="J352" i="4"/>
  <c r="J384" i="4" s="1"/>
  <c r="I7" i="4"/>
  <c r="AC65" i="10"/>
  <c r="D9" i="7"/>
  <c r="D16" i="6" s="1"/>
  <c r="AE244" i="3"/>
  <c r="AH244" i="3"/>
  <c r="AI244" i="3" s="1"/>
  <c r="AH286" i="3"/>
  <c r="AI286" i="3" s="1"/>
  <c r="AE286" i="3"/>
  <c r="AV30" i="4"/>
  <c r="P202" i="3"/>
  <c r="I169" i="4"/>
  <c r="AF140" i="3"/>
  <c r="L203" i="3"/>
  <c r="F3" i="5"/>
  <c r="V44" i="8"/>
  <c r="U45" i="8"/>
  <c r="AE32" i="3"/>
  <c r="I52" i="5"/>
  <c r="I77" i="5" s="1"/>
  <c r="AZ39" i="4"/>
  <c r="AH284" i="3"/>
  <c r="AI284" i="3" s="1"/>
  <c r="AE284" i="3"/>
  <c r="AS11" i="4"/>
  <c r="P337" i="3"/>
  <c r="P173" i="3"/>
  <c r="P319" i="3" s="1"/>
  <c r="L329" i="3"/>
  <c r="L165" i="3"/>
  <c r="L311" i="3" s="1"/>
  <c r="G333" i="3"/>
  <c r="J240" i="3"/>
  <c r="AD240" i="3" s="1"/>
  <c r="AC207" i="3"/>
  <c r="M16" i="3"/>
  <c r="F95" i="3"/>
  <c r="F451" i="3" s="1"/>
  <c r="D479" i="3"/>
  <c r="K339" i="3"/>
  <c r="K175" i="3"/>
  <c r="K321" i="3" s="1"/>
  <c r="K343" i="4"/>
  <c r="BS13" i="13"/>
  <c r="AW4" i="13"/>
  <c r="E3" i="13"/>
  <c r="E26" i="1"/>
  <c r="AR138" i="12"/>
  <c r="AR139" i="12" s="1"/>
  <c r="AR140" i="12" s="1"/>
  <c r="AR141" i="12" s="1"/>
  <c r="AR142" i="12" s="1"/>
  <c r="AR143" i="12" s="1"/>
  <c r="AR144" i="12" s="1"/>
  <c r="AR145" i="12" s="1"/>
  <c r="BB272" i="11"/>
  <c r="K110" i="4"/>
  <c r="K159" i="4" s="1"/>
  <c r="G209" i="11"/>
  <c r="G48" i="6" s="1"/>
  <c r="G68" i="6" s="1"/>
  <c r="M123" i="11"/>
  <c r="BF203" i="11"/>
  <c r="V55" i="10"/>
  <c r="U56" i="10"/>
  <c r="S20" i="10"/>
  <c r="R21" i="10"/>
  <c r="Y12" i="9"/>
  <c r="F6" i="7"/>
  <c r="AD103" i="5"/>
  <c r="AC103" i="5"/>
  <c r="I145" i="11"/>
  <c r="I117" i="11"/>
  <c r="I83" i="4"/>
  <c r="I63" i="4"/>
  <c r="P7" i="17"/>
  <c r="Q329" i="3"/>
  <c r="Q165" i="3"/>
  <c r="Q311" i="3" s="1"/>
  <c r="F27" i="25"/>
  <c r="AV149" i="22"/>
  <c r="AZ149" i="22" s="1"/>
  <c r="AS149" i="22"/>
  <c r="AR150" i="22"/>
  <c r="BN34" i="19"/>
  <c r="AJ81" i="18"/>
  <c r="F14" i="17"/>
  <c r="AX14" i="17" s="1"/>
  <c r="AX15" i="17"/>
  <c r="F244" i="15"/>
  <c r="F40" i="15"/>
  <c r="F52" i="15" s="1"/>
  <c r="BA148" i="15"/>
  <c r="P8" i="15"/>
  <c r="P118" i="13"/>
  <c r="P38" i="13" s="1"/>
  <c r="P103" i="3"/>
  <c r="AZ65" i="14"/>
  <c r="AP66" i="14"/>
  <c r="BC17" i="13"/>
  <c r="K16" i="13"/>
  <c r="K115" i="13"/>
  <c r="K65" i="11"/>
  <c r="BB65" i="11" s="1"/>
  <c r="P6" i="9"/>
  <c r="H53" i="9"/>
  <c r="H25" i="9"/>
  <c r="O101" i="7"/>
  <c r="BP101" i="7" s="1"/>
  <c r="E101" i="9"/>
  <c r="L12" i="7"/>
  <c r="BJ13" i="7"/>
  <c r="K41" i="11"/>
  <c r="BB57" i="11"/>
  <c r="E380" i="4"/>
  <c r="P145" i="11"/>
  <c r="AA55" i="22"/>
  <c r="AB54" i="22"/>
  <c r="AP128" i="20"/>
  <c r="AR127" i="20"/>
  <c r="Z67" i="20"/>
  <c r="AU66" i="20"/>
  <c r="AA66" i="20"/>
  <c r="AH15" i="17"/>
  <c r="Q14" i="17"/>
  <c r="BB10" i="17"/>
  <c r="AA10" i="17"/>
  <c r="AU340" i="15"/>
  <c r="M21" i="15"/>
  <c r="P132" i="15"/>
  <c r="P104" i="15"/>
  <c r="BA120" i="15"/>
  <c r="BU14" i="15"/>
  <c r="Z26" i="6"/>
  <c r="J119" i="5"/>
  <c r="M447" i="3"/>
  <c r="O329" i="3"/>
  <c r="AG181" i="3"/>
  <c r="AF181" i="3"/>
  <c r="O165" i="3"/>
  <c r="R80" i="26"/>
  <c r="S79" i="26"/>
  <c r="B10" i="23"/>
  <c r="B8" i="23" s="1"/>
  <c r="B36" i="6" s="1"/>
  <c r="H3" i="21"/>
  <c r="L33" i="21"/>
  <c r="L45" i="21" s="1"/>
  <c r="L61" i="21"/>
  <c r="R321" i="19"/>
  <c r="T337" i="19"/>
  <c r="S337" i="19"/>
  <c r="L46" i="15"/>
  <c r="AS46" i="15" s="1"/>
  <c r="AS62" i="15"/>
  <c r="AS77" i="14"/>
  <c r="AV76" i="14"/>
  <c r="D132" i="15"/>
  <c r="D51" i="6" s="1"/>
  <c r="D104" i="15"/>
  <c r="AN90" i="14"/>
  <c r="AK91" i="14"/>
  <c r="F23" i="5"/>
  <c r="AP117" i="23"/>
  <c r="AS66" i="20"/>
  <c r="Y67" i="20"/>
  <c r="AS173" i="20"/>
  <c r="BP258" i="19"/>
  <c r="Q181" i="4"/>
  <c r="C4" i="19"/>
  <c r="C55" i="6"/>
  <c r="BA161" i="18"/>
  <c r="BC161" i="18" s="1"/>
  <c r="BD161" i="18" s="1"/>
  <c r="AF162" i="18"/>
  <c r="AQ91" i="18"/>
  <c r="AI29" i="16"/>
  <c r="AK28" i="16"/>
  <c r="BA28" i="16" s="1"/>
  <c r="BA160" i="16"/>
  <c r="AW60" i="15"/>
  <c r="N44" i="15"/>
  <c r="AZ17" i="14"/>
  <c r="AL18" i="14"/>
  <c r="O143" i="13"/>
  <c r="O115" i="13"/>
  <c r="O100" i="3"/>
  <c r="G143" i="13"/>
  <c r="G115" i="13"/>
  <c r="G100" i="3"/>
  <c r="C383" i="4"/>
  <c r="AP62" i="23"/>
  <c r="N46" i="23"/>
  <c r="I10" i="23"/>
  <c r="I8" i="23" s="1"/>
  <c r="I36" i="6" s="1"/>
  <c r="P157" i="21"/>
  <c r="BJ13" i="19"/>
  <c r="AK64" i="18"/>
  <c r="D306" i="17"/>
  <c r="D278" i="17"/>
  <c r="AH54" i="18"/>
  <c r="BB54" i="18"/>
  <c r="AG55" i="18"/>
  <c r="AE15" i="17"/>
  <c r="N14" i="17"/>
  <c r="BA372" i="15"/>
  <c r="P23" i="15"/>
  <c r="AY62" i="15"/>
  <c r="O46" i="15"/>
  <c r="AS185" i="11"/>
  <c r="AS186" i="11"/>
  <c r="BB97" i="11"/>
  <c r="K5" i="11"/>
  <c r="BA5" i="11" s="1"/>
  <c r="K44" i="6"/>
  <c r="K67" i="6" s="1"/>
  <c r="BG14" i="11"/>
  <c r="H392" i="3"/>
  <c r="H441" i="3" s="1"/>
  <c r="K10" i="7"/>
  <c r="BH165" i="7"/>
  <c r="N4" i="7"/>
  <c r="BN69" i="7"/>
  <c r="AG11" i="25"/>
  <c r="F10" i="25"/>
  <c r="AL158" i="23"/>
  <c r="K126" i="23"/>
  <c r="AO7" i="21"/>
  <c r="M6" i="21"/>
  <c r="BB24" i="17"/>
  <c r="AA26" i="17"/>
  <c r="J25" i="17"/>
  <c r="AE26" i="17"/>
  <c r="N25" i="17"/>
  <c r="AQ19" i="16"/>
  <c r="AP20" i="16"/>
  <c r="BA308" i="15"/>
  <c r="P19" i="15"/>
  <c r="BA19" i="15" s="1"/>
  <c r="Q244" i="15"/>
  <c r="BC244" i="15" s="1"/>
  <c r="L132" i="15"/>
  <c r="BC15" i="15"/>
  <c r="AZ175" i="14"/>
  <c r="BG6" i="15"/>
  <c r="S24" i="6"/>
  <c r="R124" i="14"/>
  <c r="L48" i="15"/>
  <c r="AS48" i="15" s="1"/>
  <c r="M63" i="13"/>
  <c r="K3" i="13"/>
  <c r="K26" i="1"/>
  <c r="AO29" i="14"/>
  <c r="AR28" i="14"/>
  <c r="O15" i="14"/>
  <c r="R15" i="14" s="1"/>
  <c r="BB353" i="11"/>
  <c r="K22" i="11"/>
  <c r="W174" i="26"/>
  <c r="K163" i="25"/>
  <c r="K119" i="25"/>
  <c r="K131" i="25" s="1"/>
  <c r="Q41" i="26"/>
  <c r="S40" i="26"/>
  <c r="R90" i="24"/>
  <c r="S89" i="24"/>
  <c r="L65" i="23"/>
  <c r="AN65" i="23" s="1"/>
  <c r="L37" i="23"/>
  <c r="AN53" i="23"/>
  <c r="AK8" i="21"/>
  <c r="AK150" i="22"/>
  <c r="AL149" i="22"/>
  <c r="AF42" i="20"/>
  <c r="AG41" i="20"/>
  <c r="AI90" i="20"/>
  <c r="AT89" i="20"/>
  <c r="AK89" i="20"/>
  <c r="V89" i="26"/>
  <c r="W89" i="26" s="1"/>
  <c r="U90" i="26"/>
  <c r="AN7" i="25"/>
  <c r="AH11" i="25"/>
  <c r="G10" i="25"/>
  <c r="AD11" i="25"/>
  <c r="C10" i="25"/>
  <c r="AD10" i="25" s="1"/>
  <c r="W65" i="26"/>
  <c r="V4" i="26"/>
  <c r="W4" i="26" s="1"/>
  <c r="U5" i="26"/>
  <c r="B163" i="25"/>
  <c r="M129" i="23"/>
  <c r="J62" i="26"/>
  <c r="E28" i="25"/>
  <c r="AC6" i="25"/>
  <c r="I67" i="25"/>
  <c r="I39" i="25"/>
  <c r="D28" i="25"/>
  <c r="L41" i="25"/>
  <c r="L67" i="25"/>
  <c r="K25" i="25"/>
  <c r="J64" i="24"/>
  <c r="P23" i="25"/>
  <c r="P51" i="25"/>
  <c r="V112" i="24"/>
  <c r="W112" i="24" s="1"/>
  <c r="U113" i="24"/>
  <c r="M10" i="25"/>
  <c r="AN10" i="25" s="1"/>
  <c r="D163" i="25"/>
  <c r="D119" i="25"/>
  <c r="V147" i="25"/>
  <c r="V9" i="25" s="1"/>
  <c r="Z99" i="25"/>
  <c r="Z6" i="25" s="1"/>
  <c r="AV185" i="22"/>
  <c r="AS185" i="22"/>
  <c r="AR186" i="22"/>
  <c r="N65" i="23"/>
  <c r="AP65" i="23" s="1"/>
  <c r="AT17" i="22"/>
  <c r="AW17" i="22" s="1"/>
  <c r="AL53" i="22"/>
  <c r="H157" i="21"/>
  <c r="AO94" i="22"/>
  <c r="AP93" i="22"/>
  <c r="AP41" i="23"/>
  <c r="N25" i="23"/>
  <c r="AP25" i="23" s="1"/>
  <c r="AU173" i="22"/>
  <c r="AY173" i="22" s="1"/>
  <c r="AJ174" i="22"/>
  <c r="AK139" i="22"/>
  <c r="AL138" i="22"/>
  <c r="AP4" i="21"/>
  <c r="N3" i="21"/>
  <c r="AK22" i="22"/>
  <c r="AE34" i="22"/>
  <c r="AD35" i="22"/>
  <c r="P205" i="21"/>
  <c r="AC92" i="20"/>
  <c r="AQ33" i="22"/>
  <c r="AT32" i="22"/>
  <c r="AD13" i="21"/>
  <c r="B12" i="21"/>
  <c r="M12" i="21"/>
  <c r="AY101" i="20"/>
  <c r="AJ36" i="20"/>
  <c r="AC79" i="20"/>
  <c r="AD78" i="20"/>
  <c r="E12" i="21"/>
  <c r="AH15" i="21"/>
  <c r="AR162" i="20"/>
  <c r="AP163" i="20"/>
  <c r="AJ163" i="20"/>
  <c r="AK162" i="20"/>
  <c r="AU90" i="20"/>
  <c r="AY90" i="20" s="1"/>
  <c r="Y54" i="20"/>
  <c r="AS53" i="20"/>
  <c r="T338" i="19"/>
  <c r="U338" i="19" s="1"/>
  <c r="BL253" i="19"/>
  <c r="O15" i="19"/>
  <c r="O61" i="6"/>
  <c r="O205" i="19"/>
  <c r="BL205" i="19" s="1"/>
  <c r="BL193" i="19"/>
  <c r="K14" i="19"/>
  <c r="AM14" i="21" s="1"/>
  <c r="K60" i="6"/>
  <c r="G61" i="19"/>
  <c r="P42" i="19"/>
  <c r="L269" i="19"/>
  <c r="L180" i="4"/>
  <c r="O43" i="19"/>
  <c r="BL43" i="19" s="1"/>
  <c r="L40" i="19"/>
  <c r="BF40" i="19" s="1"/>
  <c r="O34" i="19"/>
  <c r="AN29" i="18"/>
  <c r="BB29" i="18"/>
  <c r="AM30" i="18"/>
  <c r="M109" i="19"/>
  <c r="BH109" i="19" s="1"/>
  <c r="AP153" i="20"/>
  <c r="AR152" i="20"/>
  <c r="AZ160" i="22"/>
  <c r="AT17" i="18"/>
  <c r="Y27" i="17"/>
  <c r="AZ25" i="17"/>
  <c r="E110" i="19"/>
  <c r="B40" i="19"/>
  <c r="AG15" i="17"/>
  <c r="P14" i="17"/>
  <c r="AE24" i="17"/>
  <c r="AQ152" i="16"/>
  <c r="AP153" i="16"/>
  <c r="BN17" i="19"/>
  <c r="AY15" i="17"/>
  <c r="G14" i="17"/>
  <c r="AY14" i="17" s="1"/>
  <c r="AQ150" i="18"/>
  <c r="AP151" i="18"/>
  <c r="Z5" i="17"/>
  <c r="BA5" i="17"/>
  <c r="N11" i="17"/>
  <c r="C103" i="17"/>
  <c r="C39" i="17" s="1"/>
  <c r="C101" i="3"/>
  <c r="AM31" i="16"/>
  <c r="AN30" i="16"/>
  <c r="BB15" i="17"/>
  <c r="AA15" i="17"/>
  <c r="J14" i="17"/>
  <c r="O356" i="15"/>
  <c r="AY356" i="15" s="1"/>
  <c r="AY344" i="15"/>
  <c r="B196" i="15"/>
  <c r="C11" i="15"/>
  <c r="C25" i="6" s="1"/>
  <c r="C22" i="6" s="1"/>
  <c r="AJ44" i="16"/>
  <c r="BC388" i="15"/>
  <c r="Q24" i="15"/>
  <c r="P38" i="17"/>
  <c r="P50" i="17" s="1"/>
  <c r="P66" i="17"/>
  <c r="G11" i="17"/>
  <c r="AY11" i="17" s="1"/>
  <c r="AY12" i="17"/>
  <c r="Y16" i="17"/>
  <c r="O244" i="15"/>
  <c r="AY244" i="15" s="1"/>
  <c r="AU164" i="15"/>
  <c r="M9" i="15"/>
  <c r="AU9" i="15" s="1"/>
  <c r="CW9" i="15" s="1"/>
  <c r="E404" i="15"/>
  <c r="M45" i="15"/>
  <c r="AU45" i="15" s="1"/>
  <c r="AU61" i="15"/>
  <c r="M44" i="15"/>
  <c r="AU44" i="15" s="1"/>
  <c r="AU60" i="15"/>
  <c r="M395" i="3"/>
  <c r="M296" i="4"/>
  <c r="F132" i="15"/>
  <c r="F51" i="6" s="1"/>
  <c r="Q38" i="17"/>
  <c r="BA84" i="15"/>
  <c r="P4" i="15"/>
  <c r="AG4" i="17" s="1"/>
  <c r="J44" i="15"/>
  <c r="J233" i="4" s="1"/>
  <c r="AY65" i="15"/>
  <c r="O49" i="15"/>
  <c r="AY49" i="15" s="1"/>
  <c r="AW58" i="15"/>
  <c r="N42" i="15"/>
  <c r="AW42" i="15" s="1"/>
  <c r="AZ130" i="16"/>
  <c r="AX131" i="16"/>
  <c r="AX42" i="16"/>
  <c r="AZ41" i="16"/>
  <c r="BA53" i="14"/>
  <c r="AW5" i="16"/>
  <c r="BA5" i="16" s="1"/>
  <c r="AV6" i="16"/>
  <c r="H25" i="17"/>
  <c r="J3" i="15"/>
  <c r="J23" i="6" s="1"/>
  <c r="R136" i="14"/>
  <c r="BA324" i="15"/>
  <c r="P20" i="15"/>
  <c r="K196" i="15"/>
  <c r="AT23" i="13"/>
  <c r="AV88" i="14"/>
  <c r="AS89" i="14"/>
  <c r="B49" i="15"/>
  <c r="B238" i="4" s="1"/>
  <c r="P335" i="13"/>
  <c r="BJ13" i="13"/>
  <c r="AK8" i="14"/>
  <c r="T16" i="13"/>
  <c r="BL16" i="13" s="1"/>
  <c r="BL17" i="13"/>
  <c r="AZ9" i="13"/>
  <c r="H8" i="13"/>
  <c r="H30" i="1"/>
  <c r="BB17" i="13"/>
  <c r="J16" i="13"/>
  <c r="CH9" i="13"/>
  <c r="AM6" i="14"/>
  <c r="BA5" i="14"/>
  <c r="AI16" i="13"/>
  <c r="CA16" i="13" s="1"/>
  <c r="CA17" i="13"/>
  <c r="J120" i="13"/>
  <c r="J40" i="13" s="1"/>
  <c r="J105" i="3"/>
  <c r="R129" i="14"/>
  <c r="AY64" i="14"/>
  <c r="BB64" i="14" s="1"/>
  <c r="H120" i="13"/>
  <c r="H105" i="3"/>
  <c r="AX15" i="13"/>
  <c r="F63" i="13"/>
  <c r="BA11" i="13"/>
  <c r="I32" i="1"/>
  <c r="AO41" i="14"/>
  <c r="AR40" i="14"/>
  <c r="AY40" i="14"/>
  <c r="BB40" i="14" s="1"/>
  <c r="BE40" i="14" s="1"/>
  <c r="J196" i="15"/>
  <c r="BJ9" i="13"/>
  <c r="R30" i="1"/>
  <c r="BC18" i="13"/>
  <c r="R271" i="13"/>
  <c r="W16" i="13"/>
  <c r="BO16" i="13" s="1"/>
  <c r="BO17" i="13"/>
  <c r="D16" i="13"/>
  <c r="AV16" i="13" s="1"/>
  <c r="AV17" i="13"/>
  <c r="H337" i="11"/>
  <c r="H180" i="4"/>
  <c r="AO183" i="12"/>
  <c r="AO184" i="12" s="1"/>
  <c r="BB142" i="11"/>
  <c r="K126" i="11"/>
  <c r="K92" i="4"/>
  <c r="BL271" i="11"/>
  <c r="BM271" i="11" s="1"/>
  <c r="N109" i="4"/>
  <c r="AK10" i="11"/>
  <c r="B125" i="13"/>
  <c r="B45" i="13" s="1"/>
  <c r="BB305" i="11"/>
  <c r="K18" i="11"/>
  <c r="BA18" i="11" s="1"/>
  <c r="L210" i="11"/>
  <c r="Q111" i="11"/>
  <c r="C185" i="4"/>
  <c r="S67" i="10"/>
  <c r="R68" i="10"/>
  <c r="M26" i="11"/>
  <c r="BE26" i="11" s="1"/>
  <c r="BF417" i="11"/>
  <c r="G345" i="4"/>
  <c r="G377" i="4" s="1"/>
  <c r="Y150" i="10"/>
  <c r="X151" i="10"/>
  <c r="AC17" i="10"/>
  <c r="BF321" i="11"/>
  <c r="M19" i="11"/>
  <c r="N127" i="11"/>
  <c r="N47" i="11" s="1"/>
  <c r="BK369" i="11"/>
  <c r="P23" i="11"/>
  <c r="BK23" i="11" s="1"/>
  <c r="Y113" i="10"/>
  <c r="X114" i="10"/>
  <c r="K273" i="11"/>
  <c r="K99" i="4"/>
  <c r="H6" i="11"/>
  <c r="H45" i="6"/>
  <c r="H70" i="6" s="1"/>
  <c r="BK64" i="11"/>
  <c r="P66" i="11"/>
  <c r="P48" i="11"/>
  <c r="BK48" i="11" s="1"/>
  <c r="V271" i="13"/>
  <c r="P298" i="4"/>
  <c r="BR31" i="7"/>
  <c r="P397" i="3"/>
  <c r="K145" i="11"/>
  <c r="O195" i="11"/>
  <c r="O11" i="11"/>
  <c r="V273" i="11"/>
  <c r="V49" i="6" s="1"/>
  <c r="V71" i="6" s="1"/>
  <c r="V108" i="4"/>
  <c r="BD281" i="19"/>
  <c r="AB140" i="10"/>
  <c r="AA141" i="10"/>
  <c r="J235" i="4"/>
  <c r="J397" i="3"/>
  <c r="J63" i="13"/>
  <c r="J35" i="13"/>
  <c r="J47" i="13" s="1"/>
  <c r="Q138" i="9"/>
  <c r="V78" i="10"/>
  <c r="U79" i="10"/>
  <c r="E9" i="7"/>
  <c r="E16" i="6" s="1"/>
  <c r="BX13" i="13"/>
  <c r="W197" i="9"/>
  <c r="BJ36" i="7"/>
  <c r="L402" i="3"/>
  <c r="K36" i="7"/>
  <c r="BH52" i="7"/>
  <c r="O11" i="7"/>
  <c r="BP11" i="7" s="1"/>
  <c r="BP181" i="7"/>
  <c r="BB60" i="11"/>
  <c r="K44" i="11"/>
  <c r="BB44" i="11" s="1"/>
  <c r="U19" i="10"/>
  <c r="V18" i="10"/>
  <c r="O295" i="4"/>
  <c r="BP28" i="7"/>
  <c r="O394" i="3"/>
  <c r="BF265" i="11"/>
  <c r="M103" i="4"/>
  <c r="G6" i="9"/>
  <c r="AZ21" i="4"/>
  <c r="BN139" i="7"/>
  <c r="N149" i="7"/>
  <c r="BN149" i="7" s="1"/>
  <c r="AC12" i="9"/>
  <c r="H351" i="4"/>
  <c r="F65" i="11"/>
  <c r="K29" i="5"/>
  <c r="K9" i="4"/>
  <c r="AU57" i="4"/>
  <c r="D38" i="11"/>
  <c r="D230" i="4" s="1"/>
  <c r="R55" i="5"/>
  <c r="R70" i="11"/>
  <c r="S70" i="11" s="1"/>
  <c r="F73" i="4"/>
  <c r="F4" i="5"/>
  <c r="F344" i="4"/>
  <c r="F376" i="4" s="1"/>
  <c r="B395" i="3"/>
  <c r="AA67" i="10"/>
  <c r="AB66" i="10"/>
  <c r="M101" i="7"/>
  <c r="BL101" i="7" s="1"/>
  <c r="BL90" i="7"/>
  <c r="B104" i="5"/>
  <c r="H6" i="5"/>
  <c r="Z111" i="4"/>
  <c r="N330" i="3"/>
  <c r="N166" i="3"/>
  <c r="N312" i="3" s="1"/>
  <c r="D37" i="7"/>
  <c r="D391" i="3"/>
  <c r="G304" i="3"/>
  <c r="J381" i="4"/>
  <c r="L3" i="5"/>
  <c r="L7" i="5" s="1"/>
  <c r="F166" i="4"/>
  <c r="AD64" i="3"/>
  <c r="AE64" i="3" s="1"/>
  <c r="G446" i="3"/>
  <c r="M4" i="5"/>
  <c r="F202" i="3"/>
  <c r="E350" i="4"/>
  <c r="I331" i="3"/>
  <c r="I167" i="3"/>
  <c r="I313" i="3" s="1"/>
  <c r="J339" i="3"/>
  <c r="J175" i="3"/>
  <c r="AZ45" i="4"/>
  <c r="L91" i="3"/>
  <c r="G448" i="3"/>
  <c r="AD9" i="3"/>
  <c r="D144" i="3"/>
  <c r="AE283" i="3"/>
  <c r="O168" i="3"/>
  <c r="BP139" i="7"/>
  <c r="O149" i="7"/>
  <c r="BP149" i="7" s="1"/>
  <c r="O27" i="7"/>
  <c r="I332" i="3"/>
  <c r="I168" i="3"/>
  <c r="I314" i="3" s="1"/>
  <c r="W99" i="25"/>
  <c r="W6" i="25" s="1"/>
  <c r="AX137" i="20"/>
  <c r="AY65" i="20"/>
  <c r="BP257" i="19"/>
  <c r="Q269" i="19"/>
  <c r="BP269" i="19" s="1"/>
  <c r="Q180" i="4"/>
  <c r="BP341" i="19"/>
  <c r="Q325" i="19"/>
  <c r="BP325" i="19" s="1"/>
  <c r="G25" i="17"/>
  <c r="AY23" i="17" s="1"/>
  <c r="AY24" i="17"/>
  <c r="P39" i="19"/>
  <c r="P404" i="15"/>
  <c r="BA404" i="15" s="1"/>
  <c r="BA392" i="15"/>
  <c r="AZ161" i="14"/>
  <c r="AL162" i="14"/>
  <c r="O323" i="13"/>
  <c r="O335" i="13" s="1"/>
  <c r="O351" i="13"/>
  <c r="BA6" i="13"/>
  <c r="BR13" i="13"/>
  <c r="F157" i="21"/>
  <c r="BP301" i="19"/>
  <c r="Q18" i="19"/>
  <c r="BP18" i="19" s="1"/>
  <c r="AJ114" i="18"/>
  <c r="AK113" i="18"/>
  <c r="AM18" i="18"/>
  <c r="AN17" i="18"/>
  <c r="J306" i="17"/>
  <c r="AZ150" i="16"/>
  <c r="AX151" i="16"/>
  <c r="BA161" i="16"/>
  <c r="I68" i="15"/>
  <c r="AR174" i="14"/>
  <c r="AO175" i="14"/>
  <c r="N8" i="13"/>
  <c r="N30" i="1"/>
  <c r="N29" i="1" s="1"/>
  <c r="M207" i="13"/>
  <c r="M132" i="3"/>
  <c r="R170" i="12"/>
  <c r="AU170" i="12"/>
  <c r="AU171" i="12" s="1"/>
  <c r="AU172" i="12" s="1"/>
  <c r="AU173" i="12" s="1"/>
  <c r="AU174" i="12" s="1"/>
  <c r="AU175" i="12" s="1"/>
  <c r="AU176" i="12" s="1"/>
  <c r="AU177" i="12" s="1"/>
  <c r="AU178" i="12" s="1"/>
  <c r="AU179" i="12" s="1"/>
  <c r="AU180" i="12" s="1"/>
  <c r="AU181" i="12" s="1"/>
  <c r="D337" i="11"/>
  <c r="D180" i="4"/>
  <c r="X7" i="10"/>
  <c r="Y6" i="10"/>
  <c r="Q54" i="24"/>
  <c r="S53" i="24"/>
  <c r="C34" i="21"/>
  <c r="J269" i="19"/>
  <c r="J180" i="4"/>
  <c r="D33" i="19"/>
  <c r="AC55" i="20"/>
  <c r="AD54" i="20"/>
  <c r="AX4" i="17"/>
  <c r="F3" i="17"/>
  <c r="AW90" i="16"/>
  <c r="AV91" i="16"/>
  <c r="B17" i="17"/>
  <c r="I28" i="6"/>
  <c r="P356" i="15"/>
  <c r="BA356" i="15" s="1"/>
  <c r="BA344" i="15"/>
  <c r="Q104" i="11"/>
  <c r="AV61" i="4"/>
  <c r="AY61" i="4"/>
  <c r="AZ61" i="4" s="1"/>
  <c r="J169" i="4"/>
  <c r="AT137" i="4"/>
  <c r="F478" i="3"/>
  <c r="AA15" i="2"/>
  <c r="R9" i="21"/>
  <c r="M25" i="17"/>
  <c r="AD26" i="17"/>
  <c r="AD16" i="17"/>
  <c r="AQ115" i="16"/>
  <c r="AP116" i="16"/>
  <c r="O118" i="13"/>
  <c r="O103" i="3"/>
  <c r="V128" i="8"/>
  <c r="U129" i="8"/>
  <c r="N126" i="11"/>
  <c r="N46" i="11" s="1"/>
  <c r="N92" i="4"/>
  <c r="BN133" i="7"/>
  <c r="N8" i="7"/>
  <c r="BN8" i="7" s="1"/>
  <c r="AL5" i="25"/>
  <c r="K4" i="25"/>
  <c r="V124" i="26"/>
  <c r="U125" i="26"/>
  <c r="J9" i="26"/>
  <c r="AP145" i="23"/>
  <c r="N9" i="23"/>
  <c r="Z153" i="20"/>
  <c r="R157" i="21"/>
  <c r="Y21" i="20"/>
  <c r="AW128" i="18"/>
  <c r="AV129" i="18"/>
  <c r="B12" i="13"/>
  <c r="AT13" i="13"/>
  <c r="AY15" i="13"/>
  <c r="L128" i="11"/>
  <c r="BD144" i="11"/>
  <c r="L146" i="11"/>
  <c r="L94" i="4"/>
  <c r="Q79" i="11"/>
  <c r="BM81" i="11"/>
  <c r="Q74" i="11"/>
  <c r="Q78" i="11"/>
  <c r="Q73" i="11"/>
  <c r="Q75" i="11"/>
  <c r="Q76" i="11"/>
  <c r="Q72" i="11"/>
  <c r="Q43" i="6"/>
  <c r="Q77" i="11"/>
  <c r="Q83" i="11"/>
  <c r="Q41" i="9"/>
  <c r="AB79" i="10"/>
  <c r="AA80" i="10"/>
  <c r="AD100" i="8"/>
  <c r="AD112" i="8"/>
  <c r="CB13" i="13"/>
  <c r="D23" i="5"/>
  <c r="E5" i="5"/>
  <c r="E7" i="5" s="1"/>
  <c r="AB140" i="3"/>
  <c r="J94" i="26"/>
  <c r="P131" i="25"/>
  <c r="J74" i="24"/>
  <c r="P38" i="23"/>
  <c r="AT54" i="23"/>
  <c r="L29" i="23"/>
  <c r="AN29" i="23" s="1"/>
  <c r="AN45" i="23"/>
  <c r="AN10" i="21"/>
  <c r="L9" i="21"/>
  <c r="C16" i="19"/>
  <c r="J16" i="19"/>
  <c r="CQ6" i="15"/>
  <c r="AU65" i="12"/>
  <c r="AU66" i="12" s="1"/>
  <c r="AU67" i="12" s="1"/>
  <c r="AU68" i="12" s="1"/>
  <c r="AU69" i="12" s="1"/>
  <c r="AU70" i="12" s="1"/>
  <c r="AU71" i="12" s="1"/>
  <c r="AU72" i="12" s="1"/>
  <c r="AU73" i="12" s="1"/>
  <c r="AF5" i="25"/>
  <c r="E4" i="25"/>
  <c r="AL6" i="25"/>
  <c r="Z185" i="24"/>
  <c r="BS183" i="12" s="1"/>
  <c r="BI183" i="12" s="1"/>
  <c r="S150" i="24"/>
  <c r="R151" i="24"/>
  <c r="AE11" i="25"/>
  <c r="D10" i="25"/>
  <c r="V160" i="24"/>
  <c r="W160" i="24" s="1"/>
  <c r="Z160" i="24" s="1"/>
  <c r="BS158" i="12" s="1"/>
  <c r="BI158" i="12" s="1"/>
  <c r="U161" i="24"/>
  <c r="R102" i="24"/>
  <c r="S101" i="24"/>
  <c r="V99" i="25"/>
  <c r="V6" i="25" s="1"/>
  <c r="R147" i="25"/>
  <c r="R9" i="25" s="1"/>
  <c r="AS9" i="25" s="1"/>
  <c r="J8" i="23"/>
  <c r="J36" i="6" s="1"/>
  <c r="Q99" i="25"/>
  <c r="Q6" i="25" s="1"/>
  <c r="AR6" i="25" s="1"/>
  <c r="AT55" i="23"/>
  <c r="P39" i="23"/>
  <c r="D10" i="23"/>
  <c r="D8" i="23" s="1"/>
  <c r="D36" i="6" s="1"/>
  <c r="R20" i="24"/>
  <c r="N6" i="23"/>
  <c r="AP6" i="23" s="1"/>
  <c r="AP97" i="23"/>
  <c r="Z147" i="25"/>
  <c r="Z9" i="25" s="1"/>
  <c r="AR159" i="23"/>
  <c r="O127" i="23"/>
  <c r="AR128" i="22"/>
  <c r="AQ114" i="22"/>
  <c r="AT113" i="22"/>
  <c r="P6" i="23"/>
  <c r="AT6" i="23" s="1"/>
  <c r="AT97" i="23"/>
  <c r="AL64" i="23"/>
  <c r="K48" i="23"/>
  <c r="AK55" i="22"/>
  <c r="X99" i="25"/>
  <c r="X6" i="25" s="1"/>
  <c r="H16" i="21"/>
  <c r="AB29" i="22"/>
  <c r="AA30" i="22"/>
  <c r="AG174" i="22"/>
  <c r="AH173" i="22"/>
  <c r="AL137" i="22"/>
  <c r="AO7" i="22"/>
  <c r="AP6" i="22"/>
  <c r="G65" i="23"/>
  <c r="AG150" i="22"/>
  <c r="AH149" i="22"/>
  <c r="AE82" i="22"/>
  <c r="AD83" i="22"/>
  <c r="N12" i="21"/>
  <c r="AP13" i="21"/>
  <c r="P12" i="21"/>
  <c r="AR13" i="21"/>
  <c r="AG78" i="20"/>
  <c r="AF79" i="20"/>
  <c r="C12" i="21"/>
  <c r="AE13" i="21"/>
  <c r="AS77" i="22"/>
  <c r="AV77" i="22"/>
  <c r="AR78" i="22"/>
  <c r="C33" i="21"/>
  <c r="AS89" i="20"/>
  <c r="AF54" i="20"/>
  <c r="AG53" i="20"/>
  <c r="Z45" i="20"/>
  <c r="L8" i="19"/>
  <c r="BF8" i="19" s="1"/>
  <c r="BF141" i="19"/>
  <c r="AK161" i="20"/>
  <c r="P61" i="21"/>
  <c r="P33" i="21"/>
  <c r="AV52" i="20"/>
  <c r="AZ52" i="20" s="1"/>
  <c r="AW52" i="20"/>
  <c r="E13" i="19"/>
  <c r="E59" i="6"/>
  <c r="AC175" i="20"/>
  <c r="AD174" i="20"/>
  <c r="E157" i="19"/>
  <c r="C40" i="19"/>
  <c r="C45" i="19" s="1"/>
  <c r="L16" i="19"/>
  <c r="B269" i="19"/>
  <c r="B180" i="4"/>
  <c r="AS137" i="20"/>
  <c r="AK76" i="18"/>
  <c r="BA76" i="18"/>
  <c r="BC76" i="18" s="1"/>
  <c r="BD76" i="18" s="1"/>
  <c r="AI77" i="18"/>
  <c r="L38" i="19"/>
  <c r="BF38" i="19" s="1"/>
  <c r="K20" i="19"/>
  <c r="Q135" i="19"/>
  <c r="AP139" i="18"/>
  <c r="AQ138" i="18"/>
  <c r="O418" i="17"/>
  <c r="AI173" i="18"/>
  <c r="AK172" i="18"/>
  <c r="O43" i="17"/>
  <c r="AH161" i="18"/>
  <c r="D4" i="19"/>
  <c r="D55" i="6"/>
  <c r="AX20" i="18"/>
  <c r="AZ19" i="18"/>
  <c r="P242" i="17"/>
  <c r="AF92" i="18"/>
  <c r="AF15" i="17"/>
  <c r="O14" i="17"/>
  <c r="AG12" i="17"/>
  <c r="P11" i="17"/>
  <c r="M113" i="17"/>
  <c r="M49" i="17" s="1"/>
  <c r="M111" i="3"/>
  <c r="AP163" i="18"/>
  <c r="AQ162" i="18"/>
  <c r="BA64" i="16"/>
  <c r="AJ164" i="16"/>
  <c r="C194" i="17"/>
  <c r="AM58" i="16"/>
  <c r="AN57" i="16"/>
  <c r="D28" i="6"/>
  <c r="G278" i="17"/>
  <c r="G306" i="17"/>
  <c r="AZ162" i="16"/>
  <c r="AX163" i="16"/>
  <c r="F18" i="17"/>
  <c r="D17" i="15"/>
  <c r="D27" i="6" s="1"/>
  <c r="E10" i="15"/>
  <c r="E13" i="15"/>
  <c r="E11" i="15" s="1"/>
  <c r="E25" i="6" s="1"/>
  <c r="E53" i="6"/>
  <c r="BA21" i="17"/>
  <c r="AS340" i="15"/>
  <c r="L21" i="15"/>
  <c r="G194" i="17"/>
  <c r="G28" i="15"/>
  <c r="G5" i="6" s="1"/>
  <c r="G28" i="6"/>
  <c r="E25" i="15"/>
  <c r="J104" i="15"/>
  <c r="J132" i="15"/>
  <c r="J51" i="6" s="1"/>
  <c r="F3" i="15"/>
  <c r="F23" i="6" s="1"/>
  <c r="C292" i="15"/>
  <c r="AM151" i="14"/>
  <c r="BA150" i="14"/>
  <c r="B48" i="15"/>
  <c r="B237" i="4" s="1"/>
  <c r="B399" i="3"/>
  <c r="B448" i="3" s="1"/>
  <c r="BA58" i="15"/>
  <c r="AS372" i="15"/>
  <c r="L23" i="15"/>
  <c r="AC23" i="17" s="1"/>
  <c r="AY100" i="15"/>
  <c r="O5" i="15"/>
  <c r="AY5" i="15" s="1"/>
  <c r="BA66" i="15"/>
  <c r="P50" i="15"/>
  <c r="BA50" i="15" s="1"/>
  <c r="K404" i="15"/>
  <c r="I404" i="15"/>
  <c r="AZ41" i="14"/>
  <c r="AN41" i="14"/>
  <c r="AL42" i="14"/>
  <c r="L24" i="15"/>
  <c r="AS24" i="15" s="1"/>
  <c r="AS388" i="15"/>
  <c r="AQ19" i="14"/>
  <c r="BA18" i="14"/>
  <c r="K40" i="15"/>
  <c r="K68" i="15"/>
  <c r="AZ24" i="17"/>
  <c r="AO137" i="14"/>
  <c r="AY136" i="14"/>
  <c r="BB136" i="14" s="1"/>
  <c r="AR136" i="14"/>
  <c r="F21" i="13"/>
  <c r="AG102" i="16"/>
  <c r="AH101" i="16"/>
  <c r="G44" i="15"/>
  <c r="G233" i="4" s="1"/>
  <c r="G395" i="3"/>
  <c r="AO101" i="14"/>
  <c r="AR100" i="14"/>
  <c r="B119" i="13"/>
  <c r="B39" i="13" s="1"/>
  <c r="B104" i="3"/>
  <c r="AY212" i="15"/>
  <c r="O12" i="15"/>
  <c r="J116" i="13"/>
  <c r="J101" i="3"/>
  <c r="BY9" i="13"/>
  <c r="K124" i="13"/>
  <c r="K44" i="13" s="1"/>
  <c r="K109" i="3"/>
  <c r="AY19" i="13"/>
  <c r="BG17" i="13"/>
  <c r="O16" i="13"/>
  <c r="AZ174" i="14"/>
  <c r="AI271" i="13"/>
  <c r="E118" i="13"/>
  <c r="E103" i="3"/>
  <c r="AV28" i="14"/>
  <c r="AS29" i="14"/>
  <c r="D118" i="13"/>
  <c r="D103" i="3"/>
  <c r="CA13" i="13"/>
  <c r="B46" i="13"/>
  <c r="BE15" i="13"/>
  <c r="C120" i="13"/>
  <c r="C40" i="13" s="1"/>
  <c r="BB267" i="11"/>
  <c r="K105" i="4"/>
  <c r="BD15" i="13"/>
  <c r="B337" i="11"/>
  <c r="D20" i="11"/>
  <c r="V89" i="8"/>
  <c r="AC89" i="8" s="1"/>
  <c r="U90" i="8"/>
  <c r="AO147" i="12"/>
  <c r="AO148" i="12" s="1"/>
  <c r="AO149" i="12" s="1"/>
  <c r="AO150" i="12" s="1"/>
  <c r="AO151" i="12" s="1"/>
  <c r="AO152" i="12" s="1"/>
  <c r="AO153" i="12" s="1"/>
  <c r="AO154" i="12" s="1"/>
  <c r="AO155" i="12" s="1"/>
  <c r="AO156" i="12" s="1"/>
  <c r="AO157" i="12" s="1"/>
  <c r="E125" i="11"/>
  <c r="E91" i="4"/>
  <c r="L298" i="4"/>
  <c r="BK353" i="11"/>
  <c r="P22" i="11"/>
  <c r="L42" i="11"/>
  <c r="BD42" i="11" s="1"/>
  <c r="BD58" i="11"/>
  <c r="K127" i="11"/>
  <c r="BB127" i="11" s="1"/>
  <c r="BB143" i="11"/>
  <c r="K93" i="4"/>
  <c r="F4" i="11"/>
  <c r="AX4" i="13" s="1"/>
  <c r="F43" i="6"/>
  <c r="BK140" i="11"/>
  <c r="P124" i="11"/>
  <c r="P90" i="4"/>
  <c r="T83" i="11"/>
  <c r="BK268" i="11"/>
  <c r="P106" i="4"/>
  <c r="I150" i="7"/>
  <c r="P29" i="7"/>
  <c r="BR45" i="7"/>
  <c r="Q105" i="11"/>
  <c r="K11" i="7"/>
  <c r="BG11" i="7" s="1"/>
  <c r="BH181" i="7"/>
  <c r="J149" i="7"/>
  <c r="S93" i="8"/>
  <c r="R94" i="8"/>
  <c r="N101" i="9"/>
  <c r="S21" i="6"/>
  <c r="I149" i="7"/>
  <c r="J101" i="7"/>
  <c r="S128" i="10"/>
  <c r="L30" i="7"/>
  <c r="BJ46" i="7"/>
  <c r="R31" i="5"/>
  <c r="H101" i="9"/>
  <c r="BD60" i="11"/>
  <c r="L44" i="11"/>
  <c r="BD44" i="11" s="1"/>
  <c r="Q26" i="7"/>
  <c r="BT42" i="7"/>
  <c r="G93" i="5"/>
  <c r="G118" i="5" s="1"/>
  <c r="BD241" i="11"/>
  <c r="L14" i="11"/>
  <c r="N25" i="9"/>
  <c r="N37" i="9" s="1"/>
  <c r="N53" i="9"/>
  <c r="Y139" i="10"/>
  <c r="X140" i="10"/>
  <c r="U120" i="10"/>
  <c r="O174" i="4"/>
  <c r="AV41" i="4"/>
  <c r="AY41" i="4"/>
  <c r="AZ41" i="4" s="1"/>
  <c r="BR32" i="7"/>
  <c r="P299" i="4"/>
  <c r="P398" i="3"/>
  <c r="F230" i="4"/>
  <c r="Q197" i="7"/>
  <c r="BT197" i="7" s="1"/>
  <c r="BT185" i="7"/>
  <c r="K28" i="7"/>
  <c r="F154" i="4"/>
  <c r="AS45" i="4"/>
  <c r="M103" i="5"/>
  <c r="M104" i="5" s="1"/>
  <c r="L208" i="4"/>
  <c r="AU31" i="4"/>
  <c r="AV31" i="4" s="1"/>
  <c r="Y55" i="8"/>
  <c r="X56" i="8"/>
  <c r="F20" i="5"/>
  <c r="F77" i="5" s="1"/>
  <c r="F85" i="5" s="1"/>
  <c r="F118" i="5" s="1"/>
  <c r="D344" i="4"/>
  <c r="D376" i="4" s="1"/>
  <c r="D4" i="5"/>
  <c r="D7" i="5" s="1"/>
  <c r="AW5" i="13"/>
  <c r="BL133" i="7"/>
  <c r="M8" i="7"/>
  <c r="AD230" i="3"/>
  <c r="AH230" i="3" s="1"/>
  <c r="V32" i="10"/>
  <c r="U33" i="10"/>
  <c r="T176" i="8"/>
  <c r="V175" i="8"/>
  <c r="F47" i="4"/>
  <c r="K153" i="3"/>
  <c r="O33" i="7"/>
  <c r="K329" i="3"/>
  <c r="K165" i="3"/>
  <c r="K311" i="3" s="1"/>
  <c r="J171" i="3"/>
  <c r="J335" i="3"/>
  <c r="F70" i="4"/>
  <c r="H348" i="4"/>
  <c r="H380" i="4" s="1"/>
  <c r="L204" i="3"/>
  <c r="AB5" i="3"/>
  <c r="E336" i="3"/>
  <c r="E172" i="3"/>
  <c r="E318" i="3" s="1"/>
  <c r="AD11" i="3"/>
  <c r="AF9" i="3"/>
  <c r="E344" i="3"/>
  <c r="D160" i="3"/>
  <c r="AW172" i="20"/>
  <c r="AV172" i="20"/>
  <c r="BF105" i="19"/>
  <c r="L300" i="4"/>
  <c r="C104" i="17"/>
  <c r="C102" i="3"/>
  <c r="AE124" i="3"/>
  <c r="AH124" i="3"/>
  <c r="AI124" i="3" s="1"/>
  <c r="AT10" i="13"/>
  <c r="B31" i="1"/>
  <c r="R86" i="12"/>
  <c r="AX86" i="12" s="1"/>
  <c r="AU86" i="12"/>
  <c r="AU87" i="12" s="1"/>
  <c r="AU88" i="12" s="1"/>
  <c r="AU89" i="12" s="1"/>
  <c r="AU90" i="12" s="1"/>
  <c r="AU91" i="12" s="1"/>
  <c r="AU92" i="12" s="1"/>
  <c r="AU93" i="12" s="1"/>
  <c r="AU94" i="12" s="1"/>
  <c r="AU95" i="12" s="1"/>
  <c r="AU96" i="12" s="1"/>
  <c r="AU97" i="12" s="1"/>
  <c r="L25" i="7"/>
  <c r="BJ41" i="7"/>
  <c r="L53" i="7"/>
  <c r="BJ53" i="7" s="1"/>
  <c r="G71" i="5"/>
  <c r="K12" i="7"/>
  <c r="BG13" i="7"/>
  <c r="R69" i="26"/>
  <c r="AR19" i="22"/>
  <c r="AV18" i="22"/>
  <c r="AS18" i="22"/>
  <c r="AJ20" i="18"/>
  <c r="AT19" i="18"/>
  <c r="AS20" i="18"/>
  <c r="BN9" i="13"/>
  <c r="V30" i="1"/>
  <c r="U90" i="10"/>
  <c r="V89" i="10"/>
  <c r="G37" i="9"/>
  <c r="G292" i="4"/>
  <c r="P3" i="21"/>
  <c r="AR4" i="21"/>
  <c r="AF13" i="21"/>
  <c r="D12" i="21"/>
  <c r="AI174" i="20"/>
  <c r="AT173" i="20"/>
  <c r="AF21" i="18"/>
  <c r="AX31" i="16"/>
  <c r="AZ30" i="16"/>
  <c r="AV14" i="13"/>
  <c r="AN54" i="14"/>
  <c r="AK55" i="14"/>
  <c r="G35" i="13"/>
  <c r="G63" i="13"/>
  <c r="N6" i="11"/>
  <c r="N45" i="6"/>
  <c r="R103" i="11"/>
  <c r="AV92" i="12"/>
  <c r="AV93" i="12" s="1"/>
  <c r="AV94" i="12" s="1"/>
  <c r="AV95" i="12" s="1"/>
  <c r="AV96" i="12" s="1"/>
  <c r="AV97" i="12" s="1"/>
  <c r="M108" i="17"/>
  <c r="M44" i="17" s="1"/>
  <c r="M106" i="3"/>
  <c r="R127" i="26"/>
  <c r="J124" i="26"/>
  <c r="M4" i="23"/>
  <c r="AN4" i="25" s="1"/>
  <c r="AN5" i="23"/>
  <c r="F37" i="23"/>
  <c r="F65" i="23"/>
  <c r="V29" i="24"/>
  <c r="W29" i="24" s="1"/>
  <c r="U30" i="24"/>
  <c r="AS114" i="22"/>
  <c r="AR115" i="22"/>
  <c r="AP43" i="18"/>
  <c r="AQ42" i="18"/>
  <c r="BC149" i="18"/>
  <c r="T297" i="15"/>
  <c r="Q300" i="15"/>
  <c r="D381" i="4"/>
  <c r="AL163" i="22"/>
  <c r="AK164" i="22"/>
  <c r="Z79" i="20"/>
  <c r="AA78" i="20"/>
  <c r="AU78" i="20"/>
  <c r="AY78" i="20" s="1"/>
  <c r="AT76" i="18"/>
  <c r="AR77" i="18"/>
  <c r="AV102" i="18"/>
  <c r="AW101" i="18"/>
  <c r="AA12" i="17"/>
  <c r="J11" i="17"/>
  <c r="BB12" i="17"/>
  <c r="AT16" i="18"/>
  <c r="AM150" i="16"/>
  <c r="AN149" i="16"/>
  <c r="BL13" i="13"/>
  <c r="AL126" i="14"/>
  <c r="AZ125" i="14"/>
  <c r="BQ13" i="13"/>
  <c r="Q109" i="11"/>
  <c r="J12" i="11"/>
  <c r="G4" i="11"/>
  <c r="G43" i="6"/>
  <c r="O76" i="4"/>
  <c r="AS77" i="4" s="1"/>
  <c r="O54" i="5"/>
  <c r="BN144" i="7"/>
  <c r="N32" i="7"/>
  <c r="V43" i="10"/>
  <c r="U44" i="10"/>
  <c r="U140" i="10"/>
  <c r="BK266" i="11"/>
  <c r="P104" i="4"/>
  <c r="G106" i="17"/>
  <c r="G42" i="17" s="1"/>
  <c r="G104" i="3"/>
  <c r="AM6" i="25"/>
  <c r="Q41" i="24"/>
  <c r="S40" i="24"/>
  <c r="W40" i="24" s="1"/>
  <c r="H29" i="23"/>
  <c r="AD126" i="22"/>
  <c r="AE125" i="22"/>
  <c r="AP8" i="21"/>
  <c r="AM15" i="21"/>
  <c r="K5" i="19"/>
  <c r="AM5" i="21" s="1"/>
  <c r="K57" i="6"/>
  <c r="H110" i="19"/>
  <c r="Q299" i="15"/>
  <c r="BK257" i="11"/>
  <c r="P15" i="11"/>
  <c r="BK15" i="11" s="1"/>
  <c r="AC12" i="25"/>
  <c r="R21" i="26"/>
  <c r="AJ5" i="25"/>
  <c r="I4" i="25"/>
  <c r="X185" i="26"/>
  <c r="W113" i="26"/>
  <c r="J52" i="26"/>
  <c r="P163" i="25"/>
  <c r="P11" i="25" s="1"/>
  <c r="J39" i="25"/>
  <c r="J67" i="25"/>
  <c r="AG5" i="25"/>
  <c r="F4" i="25"/>
  <c r="AK9" i="25"/>
  <c r="J8" i="25"/>
  <c r="AK8" i="25" s="1"/>
  <c r="U173" i="24"/>
  <c r="V172" i="24"/>
  <c r="W172" i="24" s="1"/>
  <c r="Z172" i="24" s="1"/>
  <c r="BS170" i="12" s="1"/>
  <c r="BI170" i="12" s="1"/>
  <c r="Q77" i="24"/>
  <c r="S76" i="24"/>
  <c r="T147" i="25"/>
  <c r="T9" i="25" s="1"/>
  <c r="R99" i="25"/>
  <c r="R6" i="25" s="1"/>
  <c r="AS6" i="25" s="1"/>
  <c r="G129" i="23"/>
  <c r="W131" i="24"/>
  <c r="AL61" i="23"/>
  <c r="K45" i="23"/>
  <c r="AT37" i="23"/>
  <c r="P21" i="23"/>
  <c r="AP193" i="23"/>
  <c r="N12" i="23"/>
  <c r="H161" i="23"/>
  <c r="AL47" i="23"/>
  <c r="K31" i="23"/>
  <c r="AL31" i="23" s="1"/>
  <c r="AL43" i="23"/>
  <c r="K27" i="23"/>
  <c r="AL27" i="23" s="1"/>
  <c r="AD5" i="25"/>
  <c r="C4" i="23"/>
  <c r="C3" i="23" s="1"/>
  <c r="D37" i="23"/>
  <c r="D65" i="23"/>
  <c r="AW112" i="22"/>
  <c r="AP37" i="23"/>
  <c r="N49" i="23"/>
  <c r="AP49" i="23" s="1"/>
  <c r="N21" i="23"/>
  <c r="AR62" i="23"/>
  <c r="O46" i="23"/>
  <c r="AD115" i="22"/>
  <c r="AE114" i="22"/>
  <c r="AN118" i="22"/>
  <c r="AP117" i="22"/>
  <c r="X147" i="25"/>
  <c r="X9" i="25" s="1"/>
  <c r="AV41" i="22"/>
  <c r="AW41" i="22" s="1"/>
  <c r="AS41" i="22"/>
  <c r="AR42" i="22"/>
  <c r="B20" i="21"/>
  <c r="AO80" i="22"/>
  <c r="AP79" i="22"/>
  <c r="AR6" i="22"/>
  <c r="AV5" i="22"/>
  <c r="AS5" i="22"/>
  <c r="J4" i="23"/>
  <c r="J3" i="23" s="1"/>
  <c r="AH7" i="22"/>
  <c r="AG8" i="22"/>
  <c r="AQ23" i="22"/>
  <c r="M16" i="21"/>
  <c r="C205" i="21"/>
  <c r="C61" i="21"/>
  <c r="B33" i="21"/>
  <c r="B45" i="21" s="1"/>
  <c r="C35" i="21"/>
  <c r="AF10" i="21"/>
  <c r="D9" i="21"/>
  <c r="AF9" i="21" s="1"/>
  <c r="AA30" i="20"/>
  <c r="Z31" i="20"/>
  <c r="AJ67" i="20"/>
  <c r="AS11" i="21"/>
  <c r="AR5" i="21"/>
  <c r="AG19" i="20"/>
  <c r="AF20" i="20"/>
  <c r="F269" i="19"/>
  <c r="F180" i="4"/>
  <c r="AI269" i="19"/>
  <c r="BH237" i="19"/>
  <c r="M14" i="19"/>
  <c r="AO14" i="21" s="1"/>
  <c r="M60" i="6"/>
  <c r="BL237" i="19"/>
  <c r="O14" i="19"/>
  <c r="O60" i="6"/>
  <c r="O68" i="6" s="1"/>
  <c r="AU173" i="20"/>
  <c r="AY173" i="20" s="1"/>
  <c r="P40" i="19"/>
  <c r="BN36" i="19"/>
  <c r="AM164" i="18"/>
  <c r="AN163" i="18"/>
  <c r="BF13" i="19"/>
  <c r="BF173" i="19"/>
  <c r="L10" i="19"/>
  <c r="AQ31" i="18"/>
  <c r="AP32" i="18"/>
  <c r="F25" i="17"/>
  <c r="AX24" i="17"/>
  <c r="AZ69" i="18"/>
  <c r="AX70" i="18"/>
  <c r="BB113" i="18"/>
  <c r="Z21" i="17"/>
  <c r="BA19" i="17"/>
  <c r="AI101" i="18"/>
  <c r="AK100" i="18"/>
  <c r="AP7" i="18"/>
  <c r="AQ6" i="18"/>
  <c r="AT101" i="18"/>
  <c r="AF27" i="17"/>
  <c r="AT103" i="18"/>
  <c r="AS104" i="18"/>
  <c r="C40" i="17"/>
  <c r="F4" i="19"/>
  <c r="F3" i="19" s="1"/>
  <c r="F55" i="6"/>
  <c r="F64" i="6" s="1"/>
  <c r="AK160" i="18"/>
  <c r="O242" i="17"/>
  <c r="AH115" i="18"/>
  <c r="AG116" i="18"/>
  <c r="AF26" i="17"/>
  <c r="O25" i="17"/>
  <c r="F290" i="17"/>
  <c r="BL93" i="19"/>
  <c r="O5" i="19"/>
  <c r="O57" i="6"/>
  <c r="N114" i="17"/>
  <c r="G111" i="17"/>
  <c r="G47" i="17" s="1"/>
  <c r="G109" i="3"/>
  <c r="M42" i="19"/>
  <c r="BH42" i="19" s="1"/>
  <c r="AX5" i="17"/>
  <c r="AJ7" i="18"/>
  <c r="AK6" i="18"/>
  <c r="AK78" i="16"/>
  <c r="AJ79" i="16"/>
  <c r="AT162" i="16"/>
  <c r="AR163" i="16"/>
  <c r="AS176" i="16"/>
  <c r="G238" i="4"/>
  <c r="BA20" i="17"/>
  <c r="Z22" i="17"/>
  <c r="AY324" i="15"/>
  <c r="O20" i="15"/>
  <c r="L13" i="15"/>
  <c r="L10" i="15"/>
  <c r="AS10" i="15" s="1"/>
  <c r="AS180" i="15"/>
  <c r="L53" i="6"/>
  <c r="P105" i="15"/>
  <c r="BA121" i="15"/>
  <c r="AS164" i="15"/>
  <c r="L9" i="15"/>
  <c r="E68" i="15"/>
  <c r="E40" i="15"/>
  <c r="E52" i="15" s="1"/>
  <c r="BY14" i="15"/>
  <c r="AB26" i="6"/>
  <c r="BA340" i="15"/>
  <c r="P21" i="15"/>
  <c r="I44" i="15"/>
  <c r="I233" i="4" s="1"/>
  <c r="AV184" i="14"/>
  <c r="AS185" i="14"/>
  <c r="O33" i="14"/>
  <c r="R33" i="14" s="1"/>
  <c r="L33" i="14"/>
  <c r="D239" i="4"/>
  <c r="G130" i="17"/>
  <c r="N68" i="15"/>
  <c r="Y26" i="17"/>
  <c r="AY16" i="14"/>
  <c r="BB16" i="14" s="1"/>
  <c r="BE16" i="14" s="1"/>
  <c r="AK177" i="14"/>
  <c r="O271" i="13"/>
  <c r="O123" i="3"/>
  <c r="G3" i="15"/>
  <c r="G23" i="6" s="1"/>
  <c r="AN29" i="14"/>
  <c r="AK30" i="14"/>
  <c r="BA14" i="13"/>
  <c r="AX112" i="14"/>
  <c r="AW113" i="14"/>
  <c r="BS9" i="13"/>
  <c r="AA30" i="1"/>
  <c r="BD18" i="13"/>
  <c r="N207" i="13"/>
  <c r="N132" i="3"/>
  <c r="AL69" i="14"/>
  <c r="B117" i="13"/>
  <c r="B134" i="3"/>
  <c r="I36" i="13"/>
  <c r="N447" i="13"/>
  <c r="N26" i="13" s="1"/>
  <c r="BF26" i="13" s="1"/>
  <c r="N419" i="13"/>
  <c r="N431" i="13" s="1"/>
  <c r="N25" i="13" s="1"/>
  <c r="BF25" i="13" s="1"/>
  <c r="I120" i="13"/>
  <c r="I40" i="13" s="1"/>
  <c r="I105" i="3"/>
  <c r="E119" i="13"/>
  <c r="E39" i="13" s="1"/>
  <c r="E104" i="3"/>
  <c r="BO14" i="15"/>
  <c r="W26" i="6"/>
  <c r="F121" i="13"/>
  <c r="F41" i="13" s="1"/>
  <c r="F106" i="3"/>
  <c r="AU127" i="15"/>
  <c r="M111" i="15"/>
  <c r="M37" i="13"/>
  <c r="L36" i="13"/>
  <c r="AV176" i="12"/>
  <c r="AV177" i="12" s="1"/>
  <c r="AV178" i="12" s="1"/>
  <c r="AV179" i="12" s="1"/>
  <c r="AV180" i="12" s="1"/>
  <c r="AV181" i="12" s="1"/>
  <c r="BB10" i="13"/>
  <c r="J31" i="1"/>
  <c r="J29" i="1" s="1"/>
  <c r="J28" i="1" s="1"/>
  <c r="E126" i="13"/>
  <c r="E46" i="13" s="1"/>
  <c r="BD273" i="19"/>
  <c r="AI15" i="11"/>
  <c r="AI257" i="11" s="1"/>
  <c r="BL266" i="11"/>
  <c r="BM266" i="11" s="1"/>
  <c r="N104" i="4"/>
  <c r="J42" i="11"/>
  <c r="J234" i="4" s="1"/>
  <c r="R102" i="11"/>
  <c r="BG6" i="13"/>
  <c r="BH331" i="11"/>
  <c r="M195" i="11"/>
  <c r="BF193" i="11"/>
  <c r="M11" i="11"/>
  <c r="AK16" i="13"/>
  <c r="CC16" i="13" s="1"/>
  <c r="AB54" i="8"/>
  <c r="AA55" i="8"/>
  <c r="F5" i="11"/>
  <c r="AX5" i="13" s="1"/>
  <c r="F44" i="6"/>
  <c r="F67" i="6" s="1"/>
  <c r="H122" i="11"/>
  <c r="H42" i="11" s="1"/>
  <c r="H234" i="4" s="1"/>
  <c r="J66" i="11"/>
  <c r="J65" i="11"/>
  <c r="BK56" i="11"/>
  <c r="BH58" i="11"/>
  <c r="BH59" i="11" s="1"/>
  <c r="P40" i="11"/>
  <c r="BM119" i="11"/>
  <c r="AT119" i="11"/>
  <c r="BS3" i="9"/>
  <c r="AS55" i="11"/>
  <c r="BK63" i="11"/>
  <c r="P47" i="11"/>
  <c r="BK47" i="11" s="1"/>
  <c r="E3" i="9"/>
  <c r="BQ3" i="9" s="1"/>
  <c r="R175" i="10"/>
  <c r="S174" i="10"/>
  <c r="E5" i="11"/>
  <c r="E44" i="6"/>
  <c r="E67" i="6" s="1"/>
  <c r="I12" i="13"/>
  <c r="D12" i="7"/>
  <c r="BH327" i="11"/>
  <c r="BH328" i="11" s="1"/>
  <c r="BK325" i="11"/>
  <c r="AS326" i="11"/>
  <c r="P337" i="11"/>
  <c r="BK337" i="11" s="1"/>
  <c r="P180" i="4"/>
  <c r="BD9" i="13"/>
  <c r="L8" i="13"/>
  <c r="L30" i="1"/>
  <c r="L29" i="1" s="1"/>
  <c r="BF113" i="11"/>
  <c r="M6" i="11"/>
  <c r="BE6" i="11" s="1"/>
  <c r="M45" i="6"/>
  <c r="M70" i="6" s="1"/>
  <c r="R101" i="11"/>
  <c r="S77" i="10"/>
  <c r="AC77" i="10" s="1"/>
  <c r="R78" i="10"/>
  <c r="Q270" i="11"/>
  <c r="Q273" i="11" s="1"/>
  <c r="BM289" i="11"/>
  <c r="Q17" i="11"/>
  <c r="M25" i="7"/>
  <c r="BL41" i="7"/>
  <c r="M53" i="7"/>
  <c r="BL53" i="7" s="1"/>
  <c r="S375" i="11"/>
  <c r="I9" i="7"/>
  <c r="I16" i="6" s="1"/>
  <c r="R110" i="12"/>
  <c r="AX110" i="12" s="1"/>
  <c r="AU110" i="12"/>
  <c r="AU111" i="12" s="1"/>
  <c r="AU112" i="12" s="1"/>
  <c r="AU113" i="12" s="1"/>
  <c r="AU114" i="12" s="1"/>
  <c r="AU115" i="12" s="1"/>
  <c r="AU116" i="12" s="1"/>
  <c r="AU117" i="12" s="1"/>
  <c r="AU118" i="12" s="1"/>
  <c r="AU119" i="12" s="1"/>
  <c r="AU120" i="12" s="1"/>
  <c r="AU121" i="12" s="1"/>
  <c r="V6" i="10"/>
  <c r="U7" i="10"/>
  <c r="J7" i="7"/>
  <c r="J6" i="7" s="1"/>
  <c r="J119" i="7"/>
  <c r="S129" i="10"/>
  <c r="R130" i="10"/>
  <c r="BB13" i="13"/>
  <c r="J12" i="13"/>
  <c r="BB12" i="13" s="1"/>
  <c r="AT30" i="11"/>
  <c r="BI13" i="11"/>
  <c r="O12" i="11"/>
  <c r="BG13" i="13"/>
  <c r="H23" i="5"/>
  <c r="R57" i="8"/>
  <c r="S56" i="8"/>
  <c r="K63" i="5"/>
  <c r="AG197" i="9"/>
  <c r="N118" i="11"/>
  <c r="N84" i="4"/>
  <c r="N3" i="9"/>
  <c r="N15" i="9" s="1"/>
  <c r="N2" i="2" s="1"/>
  <c r="BL265" i="11"/>
  <c r="BM265" i="11" s="1"/>
  <c r="N103" i="4"/>
  <c r="M25" i="9"/>
  <c r="M37" i="9" s="1"/>
  <c r="M53" i="9"/>
  <c r="M5" i="5"/>
  <c r="N10" i="7"/>
  <c r="BN165" i="7"/>
  <c r="F12" i="9"/>
  <c r="BL27" i="7"/>
  <c r="M393" i="3"/>
  <c r="M442" i="3" s="1"/>
  <c r="M294" i="4"/>
  <c r="F15" i="5"/>
  <c r="F68" i="5"/>
  <c r="Q185" i="9"/>
  <c r="Q197" i="9" s="1"/>
  <c r="Q213" i="9"/>
  <c r="Q13" i="9" s="1"/>
  <c r="Q12" i="9" s="1"/>
  <c r="J170" i="4"/>
  <c r="AT138" i="4"/>
  <c r="AU138" i="4" s="1"/>
  <c r="AV26" i="4"/>
  <c r="K43" i="11"/>
  <c r="BB43" i="11" s="1"/>
  <c r="BB59" i="11"/>
  <c r="B15" i="5"/>
  <c r="Y42" i="10"/>
  <c r="X43" i="10"/>
  <c r="M102" i="7"/>
  <c r="AV27" i="4"/>
  <c r="Y54" i="8"/>
  <c r="I112" i="5"/>
  <c r="M3" i="5"/>
  <c r="C25" i="9"/>
  <c r="E63" i="13"/>
  <c r="E35" i="13"/>
  <c r="H15" i="4"/>
  <c r="O104" i="5"/>
  <c r="AD198" i="3"/>
  <c r="AH198" i="3" s="1"/>
  <c r="AC198" i="3"/>
  <c r="B206" i="3"/>
  <c r="B174" i="3" s="1"/>
  <c r="B320" i="3" s="1"/>
  <c r="G339" i="3"/>
  <c r="G175" i="3"/>
  <c r="G321" i="3" s="1"/>
  <c r="G149" i="4"/>
  <c r="G59" i="5"/>
  <c r="G127" i="4"/>
  <c r="G148" i="4"/>
  <c r="AA103" i="8"/>
  <c r="AB102" i="8"/>
  <c r="AG7" i="3"/>
  <c r="AI7" i="3" s="1"/>
  <c r="AF7" i="3"/>
  <c r="AE7" i="3"/>
  <c r="P198" i="3"/>
  <c r="P166" i="3" s="1"/>
  <c r="P312" i="3" s="1"/>
  <c r="AC101" i="5"/>
  <c r="AD101" i="5"/>
  <c r="B330" i="3"/>
  <c r="M169" i="4"/>
  <c r="AB42" i="10"/>
  <c r="AA43" i="10"/>
  <c r="E345" i="4"/>
  <c r="E377" i="4" s="1"/>
  <c r="AD15" i="3"/>
  <c r="AH15" i="3" s="1"/>
  <c r="N337" i="3"/>
  <c r="AI283" i="3"/>
  <c r="S377" i="11" l="1"/>
  <c r="AB4" i="11"/>
  <c r="U11" i="11"/>
  <c r="V11" i="11"/>
  <c r="W11" i="11" s="1"/>
  <c r="S158" i="15"/>
  <c r="Q49" i="6"/>
  <c r="Q71" i="6" s="1"/>
  <c r="R311" i="17"/>
  <c r="D25" i="6"/>
  <c r="AV11" i="17"/>
  <c r="U122" i="15"/>
  <c r="U106" i="15" s="1"/>
  <c r="P47" i="5"/>
  <c r="AC43" i="5"/>
  <c r="P68" i="5"/>
  <c r="U327" i="19"/>
  <c r="R411" i="13"/>
  <c r="R284" i="3" s="1"/>
  <c r="R300" i="3" s="1"/>
  <c r="R220" i="4"/>
  <c r="BC14" i="15"/>
  <c r="Q26" i="6"/>
  <c r="BE124" i="14"/>
  <c r="BC124" i="14"/>
  <c r="AT158" i="4"/>
  <c r="AU158" i="4" s="1"/>
  <c r="I85" i="5"/>
  <c r="I118" i="5" s="1"/>
  <c r="O50" i="11"/>
  <c r="B72" i="4"/>
  <c r="B137" i="4"/>
  <c r="B169" i="4" s="1"/>
  <c r="B46" i="5"/>
  <c r="B71" i="5" s="1"/>
  <c r="AS35" i="16"/>
  <c r="AT34" i="16"/>
  <c r="BM13" i="11"/>
  <c r="BI13" i="13"/>
  <c r="K37" i="9"/>
  <c r="K292" i="4"/>
  <c r="E44" i="5"/>
  <c r="E69" i="5" s="1"/>
  <c r="E85" i="5" s="1"/>
  <c r="E118" i="5" s="1"/>
  <c r="E68" i="4"/>
  <c r="E342" i="4" s="1"/>
  <c r="E133" i="4"/>
  <c r="E165" i="4" s="1"/>
  <c r="AG125" i="3"/>
  <c r="AI125" i="3" s="1"/>
  <c r="AF125" i="3"/>
  <c r="AE125" i="3"/>
  <c r="O93" i="3"/>
  <c r="O157" i="3"/>
  <c r="O205" i="3"/>
  <c r="J173" i="4"/>
  <c r="P211" i="11"/>
  <c r="P48" i="6"/>
  <c r="P68" i="6" s="1"/>
  <c r="BK209" i="11"/>
  <c r="T137" i="21"/>
  <c r="J320" i="3"/>
  <c r="BG16" i="13"/>
  <c r="Y151" i="10"/>
  <c r="X152" i="10"/>
  <c r="AV150" i="22"/>
  <c r="AS150" i="22"/>
  <c r="AR151" i="22"/>
  <c r="R116" i="26"/>
  <c r="S115" i="26"/>
  <c r="C51" i="5"/>
  <c r="C111" i="4"/>
  <c r="C148" i="4"/>
  <c r="C160" i="4" s="1"/>
  <c r="AC3" i="25"/>
  <c r="E45" i="11"/>
  <c r="E237" i="4" s="1"/>
  <c r="E130" i="11"/>
  <c r="BD273" i="11"/>
  <c r="L49" i="6"/>
  <c r="L71" i="6" s="1"/>
  <c r="AS48" i="18"/>
  <c r="E290" i="17"/>
  <c r="E38" i="17"/>
  <c r="E50" i="17" s="1"/>
  <c r="T118" i="10"/>
  <c r="V117" i="10"/>
  <c r="AX8" i="13"/>
  <c r="F7" i="13"/>
  <c r="AZ32" i="18"/>
  <c r="AX33" i="18"/>
  <c r="E481" i="3"/>
  <c r="E482" i="3"/>
  <c r="AX162" i="22"/>
  <c r="D33" i="25"/>
  <c r="D51" i="25"/>
  <c r="V115" i="26"/>
  <c r="U116" i="26"/>
  <c r="M147" i="11"/>
  <c r="BF145" i="11"/>
  <c r="BF146" i="11" s="1"/>
  <c r="M47" i="6"/>
  <c r="M146" i="11"/>
  <c r="Q73" i="13"/>
  <c r="BM75" i="11"/>
  <c r="AT75" i="11"/>
  <c r="Q59" i="11"/>
  <c r="R75" i="11"/>
  <c r="AV13" i="17"/>
  <c r="AS42" i="14"/>
  <c r="AV41" i="14"/>
  <c r="BL8" i="19"/>
  <c r="AQ8" i="21"/>
  <c r="F63" i="5"/>
  <c r="AK18" i="16"/>
  <c r="AJ19" i="16"/>
  <c r="AL93" i="20"/>
  <c r="K235" i="4"/>
  <c r="BH31" i="7"/>
  <c r="K397" i="3"/>
  <c r="K446" i="3" s="1"/>
  <c r="K479" i="3" s="1"/>
  <c r="Y163" i="10"/>
  <c r="X164" i="10"/>
  <c r="AR41" i="23"/>
  <c r="O25" i="23"/>
  <c r="BJ39" i="19"/>
  <c r="BD39" i="19"/>
  <c r="BF44" i="11"/>
  <c r="H54" i="5"/>
  <c r="H79" i="5" s="1"/>
  <c r="H87" i="5" s="1"/>
  <c r="H120" i="5" s="1"/>
  <c r="H76" i="4"/>
  <c r="H157" i="4"/>
  <c r="H173" i="4" s="1"/>
  <c r="BG5" i="11"/>
  <c r="BF5" i="13"/>
  <c r="P164" i="4"/>
  <c r="Z8" i="20"/>
  <c r="AA7" i="20"/>
  <c r="AV20" i="17"/>
  <c r="D28" i="17"/>
  <c r="F158" i="3"/>
  <c r="F206" i="3"/>
  <c r="F174" i="3" s="1"/>
  <c r="F320" i="3" s="1"/>
  <c r="F94" i="3"/>
  <c r="F450" i="3" s="1"/>
  <c r="M46" i="5"/>
  <c r="M71" i="5" s="1"/>
  <c r="M135" i="4"/>
  <c r="M167" i="4" s="1"/>
  <c r="M70" i="4"/>
  <c r="BK40" i="11"/>
  <c r="V90" i="8"/>
  <c r="U91" i="8"/>
  <c r="AT73" i="11"/>
  <c r="Q57" i="11"/>
  <c r="BM73" i="11"/>
  <c r="R73" i="11"/>
  <c r="Q80" i="11"/>
  <c r="BD160" i="16"/>
  <c r="BQ158" i="12" s="1"/>
  <c r="BG158" i="12" s="1"/>
  <c r="BB160" i="16"/>
  <c r="AP114" i="14"/>
  <c r="AZ113" i="14"/>
  <c r="BC6" i="11"/>
  <c r="E309" i="4"/>
  <c r="E304" i="4"/>
  <c r="S152" i="8"/>
  <c r="R153" i="8"/>
  <c r="AQ44" i="15"/>
  <c r="AY44" i="15"/>
  <c r="O233" i="4"/>
  <c r="N26" i="23"/>
  <c r="AP26" i="23" s="1"/>
  <c r="AP42" i="23"/>
  <c r="N45" i="19"/>
  <c r="BJ33" i="19"/>
  <c r="I344" i="3"/>
  <c r="O147" i="11"/>
  <c r="O47" i="6"/>
  <c r="O65" i="6" s="1"/>
  <c r="Y19" i="8"/>
  <c r="X20" i="8"/>
  <c r="B186" i="3"/>
  <c r="B90" i="3"/>
  <c r="B446" i="3" s="1"/>
  <c r="U323" i="19"/>
  <c r="R53" i="11"/>
  <c r="T69" i="11"/>
  <c r="U69" i="11" s="1"/>
  <c r="AC9" i="25"/>
  <c r="B8" i="25"/>
  <c r="F51" i="25"/>
  <c r="F23" i="25"/>
  <c r="F35" i="25" s="1"/>
  <c r="BF120" i="11"/>
  <c r="M40" i="11"/>
  <c r="BF40" i="11" s="1"/>
  <c r="B150" i="3"/>
  <c r="B198" i="3"/>
  <c r="B166" i="3" s="1"/>
  <c r="B312" i="3" s="1"/>
  <c r="F192" i="4"/>
  <c r="F92" i="5"/>
  <c r="BG6" i="11"/>
  <c r="BF6" i="13"/>
  <c r="W124" i="26"/>
  <c r="AG394" i="3"/>
  <c r="AF394" i="3"/>
  <c r="P18" i="15"/>
  <c r="AG20" i="17"/>
  <c r="D290" i="17"/>
  <c r="D38" i="17"/>
  <c r="D50" i="17" s="1"/>
  <c r="AU21" i="15"/>
  <c r="CW21" i="15" s="1"/>
  <c r="AD21" i="17"/>
  <c r="C45" i="15"/>
  <c r="C116" i="15"/>
  <c r="Q319" i="17"/>
  <c r="BC305" i="15"/>
  <c r="T305" i="15"/>
  <c r="S305" i="15"/>
  <c r="R305" i="15"/>
  <c r="AS140" i="18"/>
  <c r="BA149" i="22"/>
  <c r="AG402" i="3"/>
  <c r="AF402" i="3"/>
  <c r="AR54" i="14"/>
  <c r="AO55" i="14"/>
  <c r="R117" i="8"/>
  <c r="S116" i="8"/>
  <c r="BF270" i="11"/>
  <c r="M108" i="4"/>
  <c r="M273" i="11"/>
  <c r="M126" i="11"/>
  <c r="F482" i="3"/>
  <c r="AF129" i="18"/>
  <c r="AI153" i="20"/>
  <c r="AT152" i="20"/>
  <c r="AX152" i="20" s="1"/>
  <c r="U105" i="8"/>
  <c r="V104" i="8"/>
  <c r="AX19" i="20"/>
  <c r="U30" i="26"/>
  <c r="V29" i="26"/>
  <c r="W29" i="26" s="1"/>
  <c r="AP171" i="13"/>
  <c r="AH173" i="13"/>
  <c r="X169" i="13"/>
  <c r="AF171" i="13"/>
  <c r="T323" i="19"/>
  <c r="V339" i="19"/>
  <c r="AI173" i="13"/>
  <c r="P45" i="19"/>
  <c r="BC33" i="19"/>
  <c r="BN33" i="19"/>
  <c r="BC34" i="19"/>
  <c r="L7" i="13"/>
  <c r="AZ70" i="18"/>
  <c r="AX71" i="18"/>
  <c r="BD149" i="18"/>
  <c r="D21" i="6"/>
  <c r="AQ20" i="14"/>
  <c r="BA19" i="14"/>
  <c r="Q58" i="11"/>
  <c r="AT74" i="11"/>
  <c r="BM74" i="11"/>
  <c r="R74" i="11"/>
  <c r="S74" i="11"/>
  <c r="K3" i="25"/>
  <c r="BM104" i="11"/>
  <c r="AT104" i="11"/>
  <c r="Q112" i="11"/>
  <c r="Q114" i="11" s="1"/>
  <c r="Q38" i="4"/>
  <c r="R104" i="11"/>
  <c r="S104" i="11"/>
  <c r="AC6" i="10"/>
  <c r="BL15" i="19"/>
  <c r="AQ15" i="21"/>
  <c r="U6" i="26"/>
  <c r="V5" i="26"/>
  <c r="W5" i="26" s="1"/>
  <c r="AI30" i="16"/>
  <c r="AK29" i="16"/>
  <c r="BA29" i="16" s="1"/>
  <c r="AZ102" i="14"/>
  <c r="AL103" i="14"/>
  <c r="AM12" i="25"/>
  <c r="AC19" i="17"/>
  <c r="R317" i="17" s="1"/>
  <c r="M140" i="4"/>
  <c r="M172" i="4" s="1"/>
  <c r="M75" i="4"/>
  <c r="AV175" i="18"/>
  <c r="AW174" i="18"/>
  <c r="BE22" i="11"/>
  <c r="M21" i="11"/>
  <c r="AC10" i="25"/>
  <c r="J37" i="7"/>
  <c r="J391" i="3"/>
  <c r="J229" i="4"/>
  <c r="U164" i="8"/>
  <c r="V163" i="8"/>
  <c r="Q108" i="13"/>
  <c r="Q45" i="3" s="1"/>
  <c r="AT110" i="11"/>
  <c r="BM110" i="11"/>
  <c r="Q44" i="4"/>
  <c r="R110" i="11"/>
  <c r="S110" i="11" s="1"/>
  <c r="V7" i="8"/>
  <c r="U8" i="8"/>
  <c r="N6" i="17"/>
  <c r="AR103" i="20"/>
  <c r="AP104" i="20"/>
  <c r="G77" i="4"/>
  <c r="G142" i="4"/>
  <c r="G174" i="4" s="1"/>
  <c r="B44" i="5"/>
  <c r="B69" i="5" s="1"/>
  <c r="B85" i="5" s="1"/>
  <c r="B118" i="5" s="1"/>
  <c r="B95" i="4"/>
  <c r="B133" i="4"/>
  <c r="B43" i="5"/>
  <c r="B68" i="4"/>
  <c r="O7" i="15"/>
  <c r="M134" i="4"/>
  <c r="M166" i="4" s="1"/>
  <c r="M45" i="5"/>
  <c r="M70" i="5" s="1"/>
  <c r="M69" i="4"/>
  <c r="M343" i="4" s="1"/>
  <c r="BC35" i="19"/>
  <c r="BN35" i="19"/>
  <c r="BC36" i="19"/>
  <c r="AS140" i="22"/>
  <c r="AR141" i="22"/>
  <c r="I127" i="13"/>
  <c r="AE150" i="22"/>
  <c r="AD151" i="22"/>
  <c r="I351" i="4"/>
  <c r="I38" i="5"/>
  <c r="E240" i="4"/>
  <c r="E402" i="3"/>
  <c r="E451" i="3" s="1"/>
  <c r="E484" i="3" s="1"/>
  <c r="AS104" i="16"/>
  <c r="AG176" i="18"/>
  <c r="L22" i="23"/>
  <c r="AN22" i="23" s="1"/>
  <c r="AN38" i="23"/>
  <c r="AP141" i="20"/>
  <c r="AR140" i="20"/>
  <c r="V66" i="8"/>
  <c r="U67" i="8"/>
  <c r="G13" i="23"/>
  <c r="G7" i="6" s="1"/>
  <c r="BE159" i="12"/>
  <c r="X132" i="10"/>
  <c r="Y131" i="10"/>
  <c r="S7" i="8"/>
  <c r="R8" i="8"/>
  <c r="E28" i="15"/>
  <c r="E5" i="6" s="1"/>
  <c r="BA113" i="15"/>
  <c r="P49" i="15"/>
  <c r="BA49" i="15" s="1"/>
  <c r="S357" i="13"/>
  <c r="S341" i="13" s="1"/>
  <c r="S327" i="11"/>
  <c r="S182" i="4" s="1"/>
  <c r="S246" i="3"/>
  <c r="S198" i="4"/>
  <c r="T375" i="11"/>
  <c r="U375" i="11" s="1"/>
  <c r="V375" i="11" s="1"/>
  <c r="AT20" i="20"/>
  <c r="AI21" i="20"/>
  <c r="AL173" i="13"/>
  <c r="Z169" i="13"/>
  <c r="AB174" i="13"/>
  <c r="AO170" i="13"/>
  <c r="AO169" i="13"/>
  <c r="Q166" i="13"/>
  <c r="BC65" i="18"/>
  <c r="BA102" i="14"/>
  <c r="AM103" i="14"/>
  <c r="K129" i="11"/>
  <c r="BB129" i="11" s="1"/>
  <c r="Q128" i="3"/>
  <c r="Q196" i="3"/>
  <c r="AL7" i="25"/>
  <c r="Q352" i="11"/>
  <c r="L444" i="3"/>
  <c r="AD395" i="3"/>
  <c r="AH395" i="3" s="1"/>
  <c r="V7" i="10"/>
  <c r="U8" i="10"/>
  <c r="R81" i="24"/>
  <c r="AL91" i="14"/>
  <c r="AZ90" i="14"/>
  <c r="AV118" i="18"/>
  <c r="AW117" i="18"/>
  <c r="AW68" i="18"/>
  <c r="AV69" i="18"/>
  <c r="BE64" i="14"/>
  <c r="BC64" i="14"/>
  <c r="BC21" i="13"/>
  <c r="K20" i="13"/>
  <c r="K27" i="13" s="1"/>
  <c r="BA174" i="18"/>
  <c r="BC174" i="18" s="1"/>
  <c r="AF175" i="18"/>
  <c r="F144" i="3"/>
  <c r="F148" i="3"/>
  <c r="F160" i="3" s="1"/>
  <c r="AX77" i="14"/>
  <c r="AW78" i="14"/>
  <c r="AJ92" i="18"/>
  <c r="D64" i="6"/>
  <c r="AA10" i="22"/>
  <c r="AB9" i="22"/>
  <c r="S67" i="8"/>
  <c r="R68" i="8"/>
  <c r="B309" i="4"/>
  <c r="B310" i="4" s="1"/>
  <c r="B311" i="4" s="1"/>
  <c r="B312" i="4" s="1"/>
  <c r="B313" i="4" s="1"/>
  <c r="B314" i="4" s="1"/>
  <c r="B315" i="4" s="1"/>
  <c r="B316" i="4" s="1"/>
  <c r="B317" i="4" s="1"/>
  <c r="B318" i="4" s="1"/>
  <c r="B319" i="4" s="1"/>
  <c r="B320" i="4" s="1"/>
  <c r="B304" i="4"/>
  <c r="Y175" i="8"/>
  <c r="X176" i="8"/>
  <c r="AK115" i="22"/>
  <c r="AL114" i="22"/>
  <c r="AV114" i="22"/>
  <c r="H47" i="13"/>
  <c r="H48" i="13" s="1"/>
  <c r="AY44" i="4"/>
  <c r="AZ44" i="4" s="1"/>
  <c r="AV44" i="4"/>
  <c r="AA33" i="10"/>
  <c r="AB32" i="10"/>
  <c r="AA116" i="22"/>
  <c r="AB115" i="22"/>
  <c r="F72" i="4"/>
  <c r="F346" i="4" s="1"/>
  <c r="F137" i="4"/>
  <c r="F169" i="4" s="1"/>
  <c r="AU7" i="15"/>
  <c r="CW7" i="15" s="1"/>
  <c r="M6" i="15"/>
  <c r="N38" i="11"/>
  <c r="R37" i="4"/>
  <c r="S103" i="11"/>
  <c r="T103" i="11" s="1"/>
  <c r="R55" i="11"/>
  <c r="P116" i="15"/>
  <c r="BA116" i="15" s="1"/>
  <c r="P40" i="15"/>
  <c r="BA40" i="15" s="1"/>
  <c r="BA104" i="15"/>
  <c r="AH18" i="18"/>
  <c r="BB18" i="18"/>
  <c r="AG19" i="18"/>
  <c r="AI4" i="25"/>
  <c r="H3" i="25"/>
  <c r="AR67" i="22"/>
  <c r="AV66" i="22"/>
  <c r="AS66" i="22"/>
  <c r="W127" i="24"/>
  <c r="R120" i="15"/>
  <c r="T152" i="15"/>
  <c r="AG71" i="16"/>
  <c r="AH70" i="16"/>
  <c r="V68" i="26"/>
  <c r="U69" i="26"/>
  <c r="AF92" i="20"/>
  <c r="AG91" i="20"/>
  <c r="AQ164" i="22"/>
  <c r="AT163" i="22"/>
  <c r="AY4" i="15"/>
  <c r="O3" i="15"/>
  <c r="AF4" i="17"/>
  <c r="P6" i="19"/>
  <c r="BN7" i="19"/>
  <c r="P31" i="19"/>
  <c r="AR7" i="21"/>
  <c r="C13" i="25"/>
  <c r="AD3" i="25"/>
  <c r="AD122" i="3"/>
  <c r="L154" i="3"/>
  <c r="L90" i="3"/>
  <c r="L446" i="3" s="1"/>
  <c r="L479" i="3" s="1"/>
  <c r="L202" i="3"/>
  <c r="L170" i="3" s="1"/>
  <c r="L316" i="3" s="1"/>
  <c r="R9" i="26"/>
  <c r="V90" i="10"/>
  <c r="U91" i="10"/>
  <c r="U126" i="26"/>
  <c r="V125" i="26"/>
  <c r="AJ115" i="18"/>
  <c r="AK114" i="18"/>
  <c r="BB114" i="18"/>
  <c r="S55" i="10"/>
  <c r="AC55" i="10" s="1"/>
  <c r="R56" i="10"/>
  <c r="L20" i="13"/>
  <c r="BD21" i="13"/>
  <c r="AB57" i="10"/>
  <c r="AA58" i="10"/>
  <c r="AE16" i="3"/>
  <c r="N157" i="3"/>
  <c r="AD141" i="3"/>
  <c r="AF141" i="3"/>
  <c r="N205" i="3"/>
  <c r="N93" i="3"/>
  <c r="N449" i="3" s="1"/>
  <c r="N482" i="3" s="1"/>
  <c r="AH104" i="18"/>
  <c r="AG105" i="18"/>
  <c r="AT123" i="23"/>
  <c r="P27" i="23"/>
  <c r="AT27" i="23" s="1"/>
  <c r="P129" i="23"/>
  <c r="AT129" i="23" s="1"/>
  <c r="R123" i="15"/>
  <c r="R107" i="15" s="1"/>
  <c r="C129" i="11"/>
  <c r="C37" i="11"/>
  <c r="C49" i="11" s="1"/>
  <c r="C50" i="11" s="1"/>
  <c r="V137" i="24"/>
  <c r="W137" i="24" s="1"/>
  <c r="U138" i="24"/>
  <c r="AR65" i="14"/>
  <c r="AO66" i="14"/>
  <c r="AT7" i="23"/>
  <c r="AQ7" i="25"/>
  <c r="AO128" i="20"/>
  <c r="AL129" i="20"/>
  <c r="O14" i="15"/>
  <c r="AF14" i="17" s="1"/>
  <c r="AB139" i="22"/>
  <c r="AA140" i="22"/>
  <c r="H130" i="11"/>
  <c r="H46" i="11"/>
  <c r="H238" i="4" s="1"/>
  <c r="AQ11" i="21"/>
  <c r="BL11" i="19"/>
  <c r="V101" i="26"/>
  <c r="U102" i="26"/>
  <c r="I182" i="3"/>
  <c r="I86" i="3"/>
  <c r="I442" i="3" s="1"/>
  <c r="BB185" i="20"/>
  <c r="BR183" i="12" s="1"/>
  <c r="BL5" i="19"/>
  <c r="AQ5" i="21"/>
  <c r="U141" i="10"/>
  <c r="U162" i="24"/>
  <c r="V161" i="24"/>
  <c r="W161" i="24" s="1"/>
  <c r="AT38" i="23"/>
  <c r="P22" i="23"/>
  <c r="AT22" i="23" s="1"/>
  <c r="Q129" i="15"/>
  <c r="BC161" i="15"/>
  <c r="R161" i="15"/>
  <c r="AC3" i="17"/>
  <c r="K374" i="19"/>
  <c r="K375" i="19"/>
  <c r="K389" i="19"/>
  <c r="AI8" i="20"/>
  <c r="AT7" i="20"/>
  <c r="BB163" i="18"/>
  <c r="AG164" i="18"/>
  <c r="AM45" i="20"/>
  <c r="AO44" i="20"/>
  <c r="AJ11" i="23"/>
  <c r="K10" i="23"/>
  <c r="AL11" i="25"/>
  <c r="L128" i="3"/>
  <c r="L196" i="3"/>
  <c r="I181" i="3"/>
  <c r="I112" i="3"/>
  <c r="I85" i="3"/>
  <c r="I441" i="3" s="1"/>
  <c r="AW138" i="16"/>
  <c r="BA138" i="16" s="1"/>
  <c r="AV139" i="16"/>
  <c r="P141" i="4"/>
  <c r="AS92" i="4"/>
  <c r="AS93" i="4"/>
  <c r="I70" i="6"/>
  <c r="W171" i="13"/>
  <c r="K132" i="4"/>
  <c r="K43" i="5"/>
  <c r="K67" i="4"/>
  <c r="K95" i="4"/>
  <c r="X170" i="13"/>
  <c r="BA66" i="18"/>
  <c r="AF67" i="18"/>
  <c r="J37" i="11"/>
  <c r="J49" i="11" s="1"/>
  <c r="N52" i="15"/>
  <c r="AW68" i="15"/>
  <c r="AS13" i="15"/>
  <c r="AF21" i="20"/>
  <c r="AG20" i="20"/>
  <c r="V44" i="10"/>
  <c r="U45" i="10"/>
  <c r="G47" i="13"/>
  <c r="AE10" i="25"/>
  <c r="D8" i="25"/>
  <c r="AE8" i="25" s="1"/>
  <c r="C130" i="11"/>
  <c r="Y7" i="10"/>
  <c r="X8" i="10"/>
  <c r="AM7" i="14"/>
  <c r="BA6" i="14"/>
  <c r="S90" i="24"/>
  <c r="R91" i="24"/>
  <c r="T321" i="19"/>
  <c r="V337" i="19"/>
  <c r="L171" i="3"/>
  <c r="L317" i="3" s="1"/>
  <c r="AD203" i="3"/>
  <c r="AH203" i="3" s="1"/>
  <c r="C482" i="3"/>
  <c r="C483" i="3"/>
  <c r="O6" i="17"/>
  <c r="AF7" i="17"/>
  <c r="AS4" i="15"/>
  <c r="L3" i="15"/>
  <c r="AP125" i="23"/>
  <c r="N29" i="23"/>
  <c r="AP29" i="23" s="1"/>
  <c r="BF125" i="11"/>
  <c r="M45" i="11"/>
  <c r="BF45" i="11" s="1"/>
  <c r="H15" i="7"/>
  <c r="H17" i="6"/>
  <c r="BT12" i="9"/>
  <c r="Q138" i="21"/>
  <c r="BP138" i="19"/>
  <c r="R138" i="19"/>
  <c r="S138" i="19"/>
  <c r="T138" i="19" s="1"/>
  <c r="AK69" i="22"/>
  <c r="G7" i="11"/>
  <c r="G20" i="6" s="1"/>
  <c r="G41" i="6" s="1"/>
  <c r="BC35" i="15"/>
  <c r="AS107" i="15"/>
  <c r="L43" i="15"/>
  <c r="AS43" i="15" s="1"/>
  <c r="R312" i="17"/>
  <c r="S298" i="15"/>
  <c r="T298" i="15" s="1"/>
  <c r="AU139" i="20"/>
  <c r="Z140" i="20"/>
  <c r="AA139" i="20"/>
  <c r="T310" i="17"/>
  <c r="AU20" i="17"/>
  <c r="S104" i="8"/>
  <c r="R105" i="8"/>
  <c r="F6" i="17"/>
  <c r="AX6" i="17" s="1"/>
  <c r="AX7" i="17"/>
  <c r="M16" i="11"/>
  <c r="BE16" i="11" s="1"/>
  <c r="BE17" i="11"/>
  <c r="AS102" i="20"/>
  <c r="Y103" i="20"/>
  <c r="AA102" i="20"/>
  <c r="AD91" i="22"/>
  <c r="AE90" i="22"/>
  <c r="M300" i="4"/>
  <c r="BL33" i="7"/>
  <c r="M237" i="4"/>
  <c r="M399" i="3"/>
  <c r="M448" i="3" s="1"/>
  <c r="M481" i="3" s="1"/>
  <c r="Y18" i="10"/>
  <c r="AC18" i="10" s="1"/>
  <c r="X19" i="10"/>
  <c r="I64" i="6"/>
  <c r="K401" i="11"/>
  <c r="K37" i="11"/>
  <c r="BB174" i="18"/>
  <c r="AU138" i="22"/>
  <c r="AJ139" i="22"/>
  <c r="BP10" i="7"/>
  <c r="O9" i="7"/>
  <c r="AO122" i="22"/>
  <c r="J43" i="5"/>
  <c r="J132" i="4"/>
  <c r="J67" i="4"/>
  <c r="J95" i="4"/>
  <c r="Z94" i="20"/>
  <c r="T343" i="11"/>
  <c r="AG31" i="22"/>
  <c r="AH30" i="22"/>
  <c r="AB171" i="13"/>
  <c r="R327" i="19"/>
  <c r="W343" i="19"/>
  <c r="V343" i="19"/>
  <c r="AC164" i="13"/>
  <c r="AL174" i="13"/>
  <c r="U168" i="13"/>
  <c r="AA170" i="13"/>
  <c r="AE174" i="13"/>
  <c r="T172" i="13"/>
  <c r="K52" i="5"/>
  <c r="K77" i="5" s="1"/>
  <c r="K85" i="5" s="1"/>
  <c r="K151" i="4"/>
  <c r="AT151" i="4" s="1"/>
  <c r="AU151" i="4" s="1"/>
  <c r="K70" i="4"/>
  <c r="P3" i="19"/>
  <c r="BN4" i="19"/>
  <c r="K72" i="4"/>
  <c r="K153" i="4"/>
  <c r="I484" i="3"/>
  <c r="S78" i="10"/>
  <c r="AC78" i="10" s="1"/>
  <c r="R79" i="10"/>
  <c r="AJ45" i="16"/>
  <c r="AJ82" i="18"/>
  <c r="AN67" i="16"/>
  <c r="AM68" i="16"/>
  <c r="BA26" i="15"/>
  <c r="P25" i="15"/>
  <c r="BA25" i="15" s="1"/>
  <c r="AG26" i="17"/>
  <c r="BC136" i="14"/>
  <c r="BE136" i="14"/>
  <c r="H192" i="4"/>
  <c r="H92" i="5"/>
  <c r="O116" i="15"/>
  <c r="AY116" i="15" s="1"/>
  <c r="AY104" i="15"/>
  <c r="O40" i="15"/>
  <c r="H182" i="3"/>
  <c r="H86" i="3"/>
  <c r="H442" i="3" s="1"/>
  <c r="H112" i="3"/>
  <c r="S329" i="19"/>
  <c r="E89" i="3"/>
  <c r="E445" i="3" s="1"/>
  <c r="E185" i="3"/>
  <c r="M180" i="3"/>
  <c r="M112" i="3"/>
  <c r="M84" i="3"/>
  <c r="AH47" i="22"/>
  <c r="AG48" i="22"/>
  <c r="AX134" i="12"/>
  <c r="BM134" i="12"/>
  <c r="BH5" i="19"/>
  <c r="AO5" i="21"/>
  <c r="N72" i="4"/>
  <c r="N153" i="4"/>
  <c r="N169" i="4" s="1"/>
  <c r="AC176" i="20"/>
  <c r="AD175" i="20"/>
  <c r="AN18" i="18"/>
  <c r="AM19" i="18"/>
  <c r="K147" i="11"/>
  <c r="BB145" i="11"/>
  <c r="K47" i="6"/>
  <c r="K65" i="6" s="1"/>
  <c r="AK151" i="18"/>
  <c r="AJ152" i="18"/>
  <c r="AO186" i="14"/>
  <c r="AR186" i="14" s="1"/>
  <c r="AR185" i="14"/>
  <c r="AY185" i="14"/>
  <c r="BB185" i="14" s="1"/>
  <c r="I21" i="6"/>
  <c r="J17" i="17"/>
  <c r="BB18" i="17"/>
  <c r="AA18" i="17"/>
  <c r="AR54" i="18"/>
  <c r="AT53" i="18"/>
  <c r="K190" i="3"/>
  <c r="AD110" i="3"/>
  <c r="AH110" i="3" s="1"/>
  <c r="K94" i="3"/>
  <c r="AP117" i="20"/>
  <c r="AR116" i="20"/>
  <c r="AF154" i="20"/>
  <c r="AG153" i="20"/>
  <c r="Y68" i="10"/>
  <c r="X69" i="10"/>
  <c r="AY42" i="15"/>
  <c r="AQ42" i="15"/>
  <c r="I13" i="6"/>
  <c r="BA105" i="15"/>
  <c r="P41" i="15"/>
  <c r="BA41" i="15" s="1"/>
  <c r="P153" i="4"/>
  <c r="P52" i="5"/>
  <c r="G290" i="17"/>
  <c r="G38" i="17"/>
  <c r="G50" i="17" s="1"/>
  <c r="Q55" i="24"/>
  <c r="S54" i="24"/>
  <c r="M71" i="4"/>
  <c r="M345" i="4" s="1"/>
  <c r="M152" i="4"/>
  <c r="M111" i="4"/>
  <c r="M128" i="4" s="1"/>
  <c r="M52" i="5"/>
  <c r="AV186" i="22"/>
  <c r="AS186" i="22"/>
  <c r="AV77" i="14"/>
  <c r="AS78" i="14"/>
  <c r="BE112" i="14"/>
  <c r="BC112" i="14"/>
  <c r="Z116" i="20"/>
  <c r="AA115" i="20"/>
  <c r="AU115" i="20"/>
  <c r="R9" i="10"/>
  <c r="S8" i="10"/>
  <c r="S139" i="8"/>
  <c r="R140" i="8"/>
  <c r="B191" i="3"/>
  <c r="B95" i="3"/>
  <c r="AQ67" i="14"/>
  <c r="BA66" i="14"/>
  <c r="K29" i="1"/>
  <c r="W114" i="26"/>
  <c r="Q314" i="17"/>
  <c r="BC300" i="15"/>
  <c r="R300" i="15"/>
  <c r="E12" i="19"/>
  <c r="E33" i="6" s="1"/>
  <c r="AG13" i="21"/>
  <c r="AT33" i="22"/>
  <c r="AQ34" i="22"/>
  <c r="AN37" i="23"/>
  <c r="L21" i="23"/>
  <c r="L49" i="23"/>
  <c r="AN49" i="23" s="1"/>
  <c r="AG10" i="25"/>
  <c r="F8" i="25"/>
  <c r="AG8" i="25" s="1"/>
  <c r="H37" i="9"/>
  <c r="H292" i="4"/>
  <c r="BC19" i="11"/>
  <c r="BD19" i="13"/>
  <c r="C72" i="4"/>
  <c r="C346" i="4" s="1"/>
  <c r="C137" i="4"/>
  <c r="C169" i="4" s="1"/>
  <c r="J345" i="4"/>
  <c r="J377" i="4" s="1"/>
  <c r="J15" i="4"/>
  <c r="J4" i="5"/>
  <c r="J7" i="5" s="1"/>
  <c r="BG21" i="13"/>
  <c r="O20" i="13"/>
  <c r="Y114" i="8"/>
  <c r="X115" i="8"/>
  <c r="BC52" i="14"/>
  <c r="BE52" i="14"/>
  <c r="AM117" i="18"/>
  <c r="AN116" i="18"/>
  <c r="AP58" i="18"/>
  <c r="C114" i="17"/>
  <c r="C38" i="17"/>
  <c r="C50" i="17" s="1"/>
  <c r="AT176" i="18"/>
  <c r="AS177" i="18"/>
  <c r="K7" i="13"/>
  <c r="V138" i="26"/>
  <c r="U139" i="26"/>
  <c r="BL4" i="19"/>
  <c r="O3" i="19"/>
  <c r="AQ3" i="21" s="1"/>
  <c r="AQ4" i="21"/>
  <c r="J13" i="23"/>
  <c r="J7" i="6" s="1"/>
  <c r="J35" i="6"/>
  <c r="J34" i="6" s="1"/>
  <c r="Q76" i="13"/>
  <c r="AT78" i="11"/>
  <c r="Q62" i="11"/>
  <c r="BM78" i="11"/>
  <c r="R78" i="11"/>
  <c r="BA162" i="16"/>
  <c r="AY141" i="16"/>
  <c r="AZ140" i="16"/>
  <c r="AB163" i="10"/>
  <c r="AA164" i="10"/>
  <c r="BF12" i="13"/>
  <c r="B52" i="15"/>
  <c r="AY19" i="15"/>
  <c r="AF19" i="17"/>
  <c r="F71" i="4"/>
  <c r="F36" i="5" s="1"/>
  <c r="F136" i="4"/>
  <c r="F45" i="5"/>
  <c r="F46" i="5"/>
  <c r="F71" i="5" s="1"/>
  <c r="F95" i="4"/>
  <c r="AP10" i="16"/>
  <c r="AQ9" i="16"/>
  <c r="S404" i="13"/>
  <c r="S277" i="3" s="1"/>
  <c r="S293" i="3" s="1"/>
  <c r="S213" i="4"/>
  <c r="P92" i="5"/>
  <c r="P192" i="4"/>
  <c r="AL70" i="14"/>
  <c r="O18" i="15"/>
  <c r="AF20" i="17"/>
  <c r="AP44" i="18"/>
  <c r="AQ43" i="18"/>
  <c r="J181" i="3"/>
  <c r="AD101" i="3"/>
  <c r="J85" i="3"/>
  <c r="AR127" i="23"/>
  <c r="O31" i="23"/>
  <c r="AR31" i="23" s="1"/>
  <c r="Q77" i="13"/>
  <c r="BM79" i="11"/>
  <c r="AT79" i="11"/>
  <c r="Q63" i="11"/>
  <c r="R79" i="11"/>
  <c r="S79" i="11" s="1"/>
  <c r="D192" i="4"/>
  <c r="D92" i="5"/>
  <c r="AM32" i="16"/>
  <c r="AN31" i="16"/>
  <c r="U322" i="19"/>
  <c r="V338" i="19"/>
  <c r="AP12" i="25"/>
  <c r="AF163" i="18"/>
  <c r="AH163" i="18" s="1"/>
  <c r="K127" i="13"/>
  <c r="K35" i="13"/>
  <c r="K47" i="13" s="1"/>
  <c r="K48" i="13" s="1"/>
  <c r="S126" i="15"/>
  <c r="S110" i="15" s="1"/>
  <c r="T158" i="15"/>
  <c r="BN10" i="19"/>
  <c r="P9" i="19"/>
  <c r="AR10" i="21"/>
  <c r="AE4" i="25"/>
  <c r="D3" i="25"/>
  <c r="N50" i="17"/>
  <c r="F187" i="3"/>
  <c r="F91" i="3"/>
  <c r="F447" i="3" s="1"/>
  <c r="R225" i="21"/>
  <c r="R232" i="21"/>
  <c r="R200" i="21" s="1"/>
  <c r="U231" i="21"/>
  <c r="U199" i="21" s="1"/>
  <c r="X230" i="21"/>
  <c r="X198" i="21" s="1"/>
  <c r="Z236" i="21"/>
  <c r="Z204" i="21" s="1"/>
  <c r="V236" i="21"/>
  <c r="V204" i="21" s="1"/>
  <c r="Y235" i="21"/>
  <c r="Y203" i="21" s="1"/>
  <c r="R230" i="21"/>
  <c r="R198" i="21" s="1"/>
  <c r="U229" i="21"/>
  <c r="U197" i="21" s="1"/>
  <c r="X228" i="21"/>
  <c r="X196" i="21" s="1"/>
  <c r="Z225" i="21"/>
  <c r="X235" i="21"/>
  <c r="X203" i="21" s="1"/>
  <c r="W230" i="21"/>
  <c r="W198" i="21" s="1"/>
  <c r="S227" i="21"/>
  <c r="S195" i="21" s="1"/>
  <c r="V226" i="21"/>
  <c r="V194" i="21" s="1"/>
  <c r="T231" i="21"/>
  <c r="T199" i="21" s="1"/>
  <c r="Z231" i="21"/>
  <c r="Z199" i="21" s="1"/>
  <c r="U227" i="21"/>
  <c r="U195" i="21" s="1"/>
  <c r="Y231" i="21"/>
  <c r="Y199" i="21" s="1"/>
  <c r="X234" i="21"/>
  <c r="X202" i="21" s="1"/>
  <c r="Q235" i="21"/>
  <c r="Q203" i="21" s="1"/>
  <c r="Q234" i="21"/>
  <c r="Q202" i="21" s="1"/>
  <c r="S233" i="21"/>
  <c r="S201" i="21" s="1"/>
  <c r="T236" i="21"/>
  <c r="T204" i="21" s="1"/>
  <c r="V225" i="21"/>
  <c r="X46" i="8"/>
  <c r="Y45" i="8"/>
  <c r="G236" i="4"/>
  <c r="G398" i="3"/>
  <c r="G447" i="3" s="1"/>
  <c r="G480" i="3" s="1"/>
  <c r="G37" i="7"/>
  <c r="AH66" i="18"/>
  <c r="BB66" i="18"/>
  <c r="AG67" i="18"/>
  <c r="BV27" i="7"/>
  <c r="BN27" i="7"/>
  <c r="N393" i="3"/>
  <c r="N442" i="3" s="1"/>
  <c r="N231" i="4"/>
  <c r="N294" i="4"/>
  <c r="AD113" i="8"/>
  <c r="N91" i="3"/>
  <c r="N187" i="3"/>
  <c r="AF107" i="3"/>
  <c r="BA11" i="17"/>
  <c r="Z11" i="17"/>
  <c r="H23" i="21"/>
  <c r="AM44" i="14"/>
  <c r="BA43" i="14"/>
  <c r="H41" i="6"/>
  <c r="N51" i="5"/>
  <c r="N149" i="4"/>
  <c r="J7" i="13"/>
  <c r="BB8" i="13"/>
  <c r="AS8" i="16"/>
  <c r="AT7" i="16"/>
  <c r="AS150" i="14"/>
  <c r="AV149" i="14"/>
  <c r="E129" i="11"/>
  <c r="E37" i="11"/>
  <c r="Q318" i="17"/>
  <c r="BL14" i="7"/>
  <c r="M12" i="7"/>
  <c r="AI126" i="16"/>
  <c r="AK125" i="16"/>
  <c r="BA125" i="16" s="1"/>
  <c r="Q134" i="21"/>
  <c r="BP134" i="19"/>
  <c r="S134" i="19"/>
  <c r="R134" i="19"/>
  <c r="AJ96" i="20"/>
  <c r="AH67" i="22"/>
  <c r="AG68" i="22"/>
  <c r="D6" i="15"/>
  <c r="R146" i="24"/>
  <c r="S145" i="24"/>
  <c r="AR44" i="23"/>
  <c r="O28" i="23"/>
  <c r="AR28" i="23" s="1"/>
  <c r="AF170" i="3"/>
  <c r="B45" i="19"/>
  <c r="I3" i="19"/>
  <c r="AK4" i="21"/>
  <c r="BB417" i="11"/>
  <c r="K26" i="11"/>
  <c r="BA26" i="11" s="1"/>
  <c r="E38" i="5"/>
  <c r="AM140" i="14"/>
  <c r="BA139" i="14"/>
  <c r="AP59" i="16"/>
  <c r="K6" i="17"/>
  <c r="AB7" i="17"/>
  <c r="AH174" i="18"/>
  <c r="K70" i="6"/>
  <c r="AR54" i="16"/>
  <c r="AT53" i="16"/>
  <c r="BA53" i="16" s="1"/>
  <c r="AN7" i="16"/>
  <c r="AM8" i="16"/>
  <c r="J147" i="11"/>
  <c r="J47" i="6"/>
  <c r="J65" i="6" s="1"/>
  <c r="J146" i="11"/>
  <c r="AB22" i="17"/>
  <c r="P180" i="3"/>
  <c r="P84" i="3"/>
  <c r="P112" i="3"/>
  <c r="Y153" i="20"/>
  <c r="AS152" i="20"/>
  <c r="AA152" i="20"/>
  <c r="BD186" i="16"/>
  <c r="BQ184" i="12" s="1"/>
  <c r="AY8" i="13"/>
  <c r="G7" i="13"/>
  <c r="AY7" i="13" s="1"/>
  <c r="S327" i="19"/>
  <c r="X343" i="19"/>
  <c r="J114" i="17"/>
  <c r="AN165" i="13"/>
  <c r="AC163" i="13"/>
  <c r="AO168" i="13"/>
  <c r="AF170" i="13"/>
  <c r="U171" i="13"/>
  <c r="AK168" i="13"/>
  <c r="AO172" i="13"/>
  <c r="J49" i="23"/>
  <c r="J21" i="23"/>
  <c r="J33" i="23" s="1"/>
  <c r="AX67" i="16"/>
  <c r="AZ66" i="16"/>
  <c r="Q362" i="13"/>
  <c r="Q346" i="13" s="1"/>
  <c r="Q330" i="13" s="1"/>
  <c r="BM348" i="11"/>
  <c r="AT348" i="11"/>
  <c r="Q332" i="11"/>
  <c r="Q203" i="4"/>
  <c r="Q251" i="3"/>
  <c r="Q235" i="3" s="1"/>
  <c r="R348" i="11"/>
  <c r="C87" i="3"/>
  <c r="C443" i="3" s="1"/>
  <c r="C183" i="3"/>
  <c r="AM139" i="18"/>
  <c r="AN138" i="18"/>
  <c r="AW125" i="22"/>
  <c r="AM92" i="14"/>
  <c r="BA91" i="14"/>
  <c r="AZ103" i="18"/>
  <c r="AX104" i="18"/>
  <c r="AJ5" i="23"/>
  <c r="K4" i="23"/>
  <c r="AK56" i="22"/>
  <c r="AL55" i="22"/>
  <c r="L23" i="21"/>
  <c r="AR77" i="14"/>
  <c r="AO78" i="14"/>
  <c r="AY77" i="14"/>
  <c r="BB77" i="14" s="1"/>
  <c r="U78" i="24"/>
  <c r="V77" i="24"/>
  <c r="W77" i="24" s="1"/>
  <c r="AZ163" i="16"/>
  <c r="AX164" i="16"/>
  <c r="AU107" i="15"/>
  <c r="M43" i="15"/>
  <c r="AU43" i="15" s="1"/>
  <c r="I12" i="19"/>
  <c r="I33" i="6" s="1"/>
  <c r="AK13" i="21"/>
  <c r="AK12" i="22"/>
  <c r="AL126" i="23"/>
  <c r="K30" i="23"/>
  <c r="AL30" i="23" s="1"/>
  <c r="R32" i="8"/>
  <c r="S31" i="8"/>
  <c r="BA108" i="15"/>
  <c r="P44" i="15"/>
  <c r="BA44" i="15" s="1"/>
  <c r="AJ46" i="18"/>
  <c r="F180" i="3"/>
  <c r="F84" i="3"/>
  <c r="F112" i="3"/>
  <c r="C3" i="11"/>
  <c r="C8" i="1"/>
  <c r="C25" i="1" s="1"/>
  <c r="BG13" i="11"/>
  <c r="N12" i="11"/>
  <c r="BF13" i="13"/>
  <c r="AG330" i="3"/>
  <c r="AF330" i="3"/>
  <c r="BL18" i="19"/>
  <c r="O16" i="19"/>
  <c r="BL16" i="19" s="1"/>
  <c r="AJ32" i="16"/>
  <c r="AK178" i="14"/>
  <c r="BN32" i="7"/>
  <c r="N299" i="4"/>
  <c r="N348" i="4" s="1"/>
  <c r="N398" i="3"/>
  <c r="AD398" i="3" s="1"/>
  <c r="AH398" i="3" s="1"/>
  <c r="N236" i="4"/>
  <c r="N22" i="15"/>
  <c r="AW23" i="15"/>
  <c r="AE23" i="17"/>
  <c r="Z128" i="20"/>
  <c r="AJ8" i="22"/>
  <c r="AU7" i="22"/>
  <c r="AL7" i="22"/>
  <c r="C37" i="7"/>
  <c r="C229" i="4"/>
  <c r="C391" i="3"/>
  <c r="BT26" i="7"/>
  <c r="Q293" i="4"/>
  <c r="Q230" i="4"/>
  <c r="Q392" i="3"/>
  <c r="Q441" i="3" s="1"/>
  <c r="AA142" i="10"/>
  <c r="AB141" i="10"/>
  <c r="I129" i="11"/>
  <c r="I37" i="11"/>
  <c r="BV26" i="7"/>
  <c r="BN26" i="7"/>
  <c r="N230" i="4"/>
  <c r="N392" i="3"/>
  <c r="N293" i="4"/>
  <c r="AU110" i="16"/>
  <c r="AW109" i="16"/>
  <c r="AD15" i="5"/>
  <c r="AC15" i="5"/>
  <c r="AD101" i="8"/>
  <c r="V19" i="10"/>
  <c r="U20" i="10"/>
  <c r="AT152" i="18"/>
  <c r="AS153" i="18"/>
  <c r="Q160" i="17"/>
  <c r="Q128" i="17" s="1"/>
  <c r="Q112" i="17" s="1"/>
  <c r="BC162" i="15"/>
  <c r="Q130" i="15"/>
  <c r="R162" i="15"/>
  <c r="S162" i="15" s="1"/>
  <c r="F25" i="1"/>
  <c r="AF11" i="17"/>
  <c r="AI15" i="3"/>
  <c r="AY24" i="15"/>
  <c r="AF24" i="17"/>
  <c r="O22" i="15"/>
  <c r="BJ14" i="19"/>
  <c r="AP14" i="21"/>
  <c r="N12" i="19"/>
  <c r="K49" i="23"/>
  <c r="AL49" i="23" s="1"/>
  <c r="K21" i="23"/>
  <c r="Q409" i="13"/>
  <c r="Q282" i="3" s="1"/>
  <c r="Q298" i="3" s="1"/>
  <c r="AT379" i="11"/>
  <c r="BM379" i="11"/>
  <c r="Q218" i="4"/>
  <c r="AS186" i="14"/>
  <c r="AV186" i="14" s="1"/>
  <c r="AV185" i="14"/>
  <c r="L9" i="19"/>
  <c r="BF10" i="19"/>
  <c r="Z32" i="20"/>
  <c r="AU31" i="20"/>
  <c r="AA31" i="20"/>
  <c r="AV42" i="22"/>
  <c r="AS42" i="22"/>
  <c r="AR43" i="22"/>
  <c r="AE126" i="22"/>
  <c r="AD127" i="22"/>
  <c r="L48" i="11"/>
  <c r="BD128" i="11"/>
  <c r="R54" i="11"/>
  <c r="AX70" i="11"/>
  <c r="T70" i="11"/>
  <c r="AY70" i="11"/>
  <c r="R406" i="13"/>
  <c r="R279" i="3" s="1"/>
  <c r="R295" i="3" s="1"/>
  <c r="R215" i="4"/>
  <c r="Q163" i="15"/>
  <c r="AZ138" i="14"/>
  <c r="AL139" i="14"/>
  <c r="AN138" i="14"/>
  <c r="G27" i="11"/>
  <c r="G21" i="6"/>
  <c r="AP120" i="23"/>
  <c r="N129" i="23"/>
  <c r="AP129" i="23" s="1"/>
  <c r="U103" i="24"/>
  <c r="V102" i="24"/>
  <c r="AW105" i="14"/>
  <c r="AX104" i="14"/>
  <c r="AG166" i="13"/>
  <c r="AE163" i="13"/>
  <c r="X165" i="13"/>
  <c r="AK167" i="13"/>
  <c r="U174" i="13"/>
  <c r="AD164" i="13"/>
  <c r="AX125" i="12"/>
  <c r="AN126" i="16"/>
  <c r="AM127" i="16"/>
  <c r="BB128" i="11"/>
  <c r="K48" i="11"/>
  <c r="BB48" i="11" s="1"/>
  <c r="BC148" i="14"/>
  <c r="BP33" i="19"/>
  <c r="AS166" i="16"/>
  <c r="R315" i="17"/>
  <c r="AO9" i="20"/>
  <c r="AL10" i="20"/>
  <c r="AF10" i="25"/>
  <c r="E8" i="25"/>
  <c r="AF8" i="25" s="1"/>
  <c r="Z14" i="17"/>
  <c r="BA14" i="17"/>
  <c r="D17" i="6"/>
  <c r="D13" i="6" s="1"/>
  <c r="D15" i="7"/>
  <c r="AZ31" i="16"/>
  <c r="AX32" i="16"/>
  <c r="AS19" i="22"/>
  <c r="AR20" i="22"/>
  <c r="M191" i="3"/>
  <c r="M95" i="3"/>
  <c r="AD111" i="3"/>
  <c r="Z46" i="20"/>
  <c r="AO8" i="22"/>
  <c r="AP7" i="22"/>
  <c r="V54" i="5"/>
  <c r="V55" i="5" s="1"/>
  <c r="V111" i="4"/>
  <c r="AN30" i="18"/>
  <c r="AM31" i="18"/>
  <c r="BB30" i="18"/>
  <c r="AK163" i="20"/>
  <c r="AJ164" i="20"/>
  <c r="X174" i="26"/>
  <c r="X186" i="26"/>
  <c r="AP21" i="16"/>
  <c r="AQ20" i="16"/>
  <c r="P183" i="3"/>
  <c r="P87" i="3"/>
  <c r="P443" i="3" s="1"/>
  <c r="P476" i="3" s="1"/>
  <c r="L8" i="11"/>
  <c r="BC9" i="11"/>
  <c r="L12" i="1"/>
  <c r="V21" i="6"/>
  <c r="AS55" i="22"/>
  <c r="AR56" i="22"/>
  <c r="AP142" i="16"/>
  <c r="AQ141" i="16"/>
  <c r="AH20" i="22"/>
  <c r="AG21" i="22"/>
  <c r="R408" i="13"/>
  <c r="R281" i="3" s="1"/>
  <c r="R297" i="3" s="1"/>
  <c r="R217" i="4"/>
  <c r="O298" i="4"/>
  <c r="O347" i="4" s="1"/>
  <c r="BW31" i="7"/>
  <c r="O235" i="4"/>
  <c r="BP31" i="7"/>
  <c r="O397" i="3"/>
  <c r="M20" i="13"/>
  <c r="BE21" i="13"/>
  <c r="BD35" i="15"/>
  <c r="AC13" i="17"/>
  <c r="AR174" i="16"/>
  <c r="AT173" i="16"/>
  <c r="BA173" i="16" s="1"/>
  <c r="BB185" i="16" s="1"/>
  <c r="O48" i="11"/>
  <c r="O240" i="4" s="1"/>
  <c r="O130" i="11"/>
  <c r="AL9" i="23"/>
  <c r="AM9" i="25"/>
  <c r="AU155" i="4"/>
  <c r="P20" i="13"/>
  <c r="BA66" i="16"/>
  <c r="W339" i="19"/>
  <c r="AS126" i="20"/>
  <c r="Y127" i="20"/>
  <c r="G152" i="3"/>
  <c r="G144" i="3"/>
  <c r="G200" i="3"/>
  <c r="BD127" i="11"/>
  <c r="L47" i="11"/>
  <c r="BD47" i="11" s="1"/>
  <c r="K192" i="4"/>
  <c r="F345" i="4"/>
  <c r="F377" i="4" s="1"/>
  <c r="AR15" i="15"/>
  <c r="CU15" i="15" s="1"/>
  <c r="BA9" i="15"/>
  <c r="AG9" i="17"/>
  <c r="AH9" i="21"/>
  <c r="F23" i="21"/>
  <c r="P46" i="5"/>
  <c r="P135" i="4"/>
  <c r="P167" i="4" s="1"/>
  <c r="P70" i="4"/>
  <c r="AS86" i="4"/>
  <c r="Y14" i="17"/>
  <c r="AZ14" i="17"/>
  <c r="AU7" i="17"/>
  <c r="C6" i="17"/>
  <c r="AU6" i="17" s="1"/>
  <c r="AG444" i="3"/>
  <c r="BK121" i="11"/>
  <c r="P41" i="11"/>
  <c r="BK41" i="11" s="1"/>
  <c r="L3" i="19"/>
  <c r="BF4" i="19"/>
  <c r="AT31" i="20"/>
  <c r="AX31" i="20" s="1"/>
  <c r="AI32" i="20"/>
  <c r="AK31" i="20"/>
  <c r="AW77" i="22"/>
  <c r="AA176" i="20"/>
  <c r="Z177" i="20"/>
  <c r="AW107" i="15"/>
  <c r="N43" i="15"/>
  <c r="AF6" i="21"/>
  <c r="C180" i="3"/>
  <c r="C112" i="3"/>
  <c r="C84" i="3"/>
  <c r="D447" i="13"/>
  <c r="D26" i="13" s="1"/>
  <c r="AV26" i="13" s="1"/>
  <c r="BK118" i="11"/>
  <c r="P38" i="11"/>
  <c r="AS118" i="11"/>
  <c r="BH119" i="11"/>
  <c r="BH120" i="11" s="1"/>
  <c r="P129" i="11"/>
  <c r="BK129" i="11" s="1"/>
  <c r="P94" i="5"/>
  <c r="P347" i="4"/>
  <c r="BE17" i="13"/>
  <c r="I45" i="21"/>
  <c r="L484" i="3"/>
  <c r="AD166" i="13"/>
  <c r="R163" i="13"/>
  <c r="AM170" i="13"/>
  <c r="AC168" i="13"/>
  <c r="AJ165" i="13"/>
  <c r="T164" i="13"/>
  <c r="BA68" i="15"/>
  <c r="P52" i="15"/>
  <c r="BA52" i="15" s="1"/>
  <c r="K146" i="11"/>
  <c r="F7" i="11"/>
  <c r="AO54" i="20"/>
  <c r="AL55" i="20"/>
  <c r="K23" i="21"/>
  <c r="I130" i="11"/>
  <c r="S329" i="11"/>
  <c r="S184" i="4" s="1"/>
  <c r="S248" i="3"/>
  <c r="S200" i="4"/>
  <c r="T377" i="11"/>
  <c r="T345" i="11"/>
  <c r="AC25" i="17"/>
  <c r="L53" i="5"/>
  <c r="L78" i="5" s="1"/>
  <c r="L154" i="4"/>
  <c r="L170" i="4" s="1"/>
  <c r="L73" i="4"/>
  <c r="BN42" i="19"/>
  <c r="BC42" i="19"/>
  <c r="G192" i="4"/>
  <c r="G92" i="5"/>
  <c r="B148" i="3"/>
  <c r="B160" i="3" s="1"/>
  <c r="B144" i="3"/>
  <c r="B196" i="3"/>
  <c r="B208" i="3" s="1"/>
  <c r="P134" i="4"/>
  <c r="P166" i="4" s="1"/>
  <c r="P45" i="5"/>
  <c r="AS85" i="4"/>
  <c r="P69" i="4"/>
  <c r="AP8" i="18"/>
  <c r="AQ7" i="18"/>
  <c r="C23" i="21"/>
  <c r="B7" i="5"/>
  <c r="S325" i="19"/>
  <c r="R22" i="26"/>
  <c r="Q106" i="13"/>
  <c r="Q43" i="3" s="1"/>
  <c r="BM108" i="11"/>
  <c r="AT108" i="11"/>
  <c r="Q42" i="4"/>
  <c r="R108" i="11"/>
  <c r="S108" i="11" s="1"/>
  <c r="BH14" i="19"/>
  <c r="M12" i="19"/>
  <c r="E47" i="13"/>
  <c r="AX65" i="14"/>
  <c r="AW66" i="14"/>
  <c r="S163" i="26"/>
  <c r="R164" i="26"/>
  <c r="AS90" i="4"/>
  <c r="P139" i="4"/>
  <c r="P171" i="4" s="1"/>
  <c r="P74" i="4"/>
  <c r="AX150" i="22"/>
  <c r="AW150" i="22"/>
  <c r="BA150" i="22" s="1"/>
  <c r="Q138" i="26"/>
  <c r="S137" i="26"/>
  <c r="W137" i="26" s="1"/>
  <c r="AH13" i="3"/>
  <c r="AE13" i="3"/>
  <c r="BA6" i="11"/>
  <c r="BC6" i="13"/>
  <c r="L13" i="25"/>
  <c r="BM146" i="12"/>
  <c r="AX146" i="12"/>
  <c r="K232" i="4"/>
  <c r="K394" i="3"/>
  <c r="AD394" i="3" s="1"/>
  <c r="BK124" i="11"/>
  <c r="P44" i="11"/>
  <c r="N130" i="11"/>
  <c r="H29" i="1"/>
  <c r="H28" i="1" s="1"/>
  <c r="B17" i="15"/>
  <c r="AT18" i="17"/>
  <c r="R141" i="26"/>
  <c r="AF139" i="18"/>
  <c r="AS103" i="14"/>
  <c r="AV102" i="14"/>
  <c r="AP5" i="21"/>
  <c r="AY107" i="15"/>
  <c r="O43" i="15"/>
  <c r="R46" i="24"/>
  <c r="N135" i="4"/>
  <c r="N167" i="4" s="1"/>
  <c r="N70" i="4"/>
  <c r="N46" i="5"/>
  <c r="N71" i="5" s="1"/>
  <c r="AQ115" i="18"/>
  <c r="AP116" i="18"/>
  <c r="B184" i="3"/>
  <c r="B88" i="3"/>
  <c r="B444" i="3" s="1"/>
  <c r="V129" i="8"/>
  <c r="U130" i="8"/>
  <c r="U114" i="24"/>
  <c r="V113" i="24"/>
  <c r="W113" i="24" s="1"/>
  <c r="AX175" i="18"/>
  <c r="AZ174" i="18"/>
  <c r="AK137" i="18"/>
  <c r="AI138" i="18"/>
  <c r="AL163" i="14"/>
  <c r="AZ42" i="16"/>
  <c r="AX43" i="16"/>
  <c r="AR163" i="20"/>
  <c r="AP164" i="20"/>
  <c r="AL139" i="22"/>
  <c r="AK140" i="22"/>
  <c r="AW173" i="20"/>
  <c r="AV173" i="20"/>
  <c r="F15" i="6"/>
  <c r="F13" i="6" s="1"/>
  <c r="BR6" i="9"/>
  <c r="N8" i="11"/>
  <c r="BG9" i="11"/>
  <c r="N12" i="1"/>
  <c r="BF9" i="13"/>
  <c r="Z10" i="17"/>
  <c r="BA10" i="17"/>
  <c r="AO6" i="25"/>
  <c r="BC43" i="19"/>
  <c r="BN43" i="19"/>
  <c r="BD117" i="11"/>
  <c r="L129" i="11"/>
  <c r="BD129" i="11" s="1"/>
  <c r="L37" i="11"/>
  <c r="L229" i="4" s="1"/>
  <c r="BE22" i="13"/>
  <c r="S359" i="13" s="1"/>
  <c r="S343" i="13" s="1"/>
  <c r="S327" i="13" s="1"/>
  <c r="H37" i="15"/>
  <c r="H27" i="6"/>
  <c r="AH92" i="18"/>
  <c r="AG93" i="18"/>
  <c r="AX115" i="20"/>
  <c r="O146" i="11"/>
  <c r="AJ43" i="20"/>
  <c r="AK42" i="20"/>
  <c r="P11" i="15"/>
  <c r="BA12" i="15"/>
  <c r="AR12" i="15"/>
  <c r="CU12" i="15" s="1"/>
  <c r="AV80" i="16"/>
  <c r="AW79" i="16"/>
  <c r="G378" i="4"/>
  <c r="G379" i="4"/>
  <c r="AW125" i="20"/>
  <c r="AV125" i="20"/>
  <c r="AZ125" i="20" s="1"/>
  <c r="AT186" i="18"/>
  <c r="BB186" i="18"/>
  <c r="AD31" i="5"/>
  <c r="AC31" i="5"/>
  <c r="C28" i="15"/>
  <c r="C5" i="6" s="1"/>
  <c r="AM105" i="16"/>
  <c r="AN104" i="16"/>
  <c r="AS17" i="14"/>
  <c r="AV16" i="14"/>
  <c r="AS42" i="20"/>
  <c r="Y43" i="20"/>
  <c r="AA42" i="20"/>
  <c r="AB132" i="3"/>
  <c r="O148" i="3"/>
  <c r="AG132" i="3"/>
  <c r="AF132" i="3"/>
  <c r="O144" i="3"/>
  <c r="AB133" i="3"/>
  <c r="O196" i="3"/>
  <c r="AY115" i="15"/>
  <c r="O51" i="15"/>
  <c r="AY51" i="15" s="1"/>
  <c r="I190" i="3"/>
  <c r="I94" i="3"/>
  <c r="I450" i="3" s="1"/>
  <c r="I483" i="3" s="1"/>
  <c r="Z18" i="17"/>
  <c r="BA18" i="17"/>
  <c r="I17" i="17"/>
  <c r="AX30" i="20"/>
  <c r="AX42" i="20"/>
  <c r="AW175" i="16"/>
  <c r="AV176" i="16"/>
  <c r="P17" i="17"/>
  <c r="AG18" i="17"/>
  <c r="AX10" i="17"/>
  <c r="AP56" i="20"/>
  <c r="AR55" i="20"/>
  <c r="D431" i="13"/>
  <c r="D25" i="13" s="1"/>
  <c r="AV25" i="13" s="1"/>
  <c r="BE16" i="13"/>
  <c r="AU19" i="22"/>
  <c r="AJ20" i="22"/>
  <c r="AH165" i="13"/>
  <c r="AC174" i="13"/>
  <c r="U164" i="13"/>
  <c r="AO171" i="13"/>
  <c r="AN170" i="13"/>
  <c r="AA173" i="13"/>
  <c r="BH65" i="11"/>
  <c r="AX149" i="14"/>
  <c r="AW150" i="14"/>
  <c r="AD95" i="5"/>
  <c r="H12" i="19"/>
  <c r="H33" i="6" s="1"/>
  <c r="AJ15" i="21"/>
  <c r="G76" i="5"/>
  <c r="G63" i="5"/>
  <c r="B358" i="4"/>
  <c r="Q292" i="4"/>
  <c r="BT25" i="7"/>
  <c r="Q391" i="3"/>
  <c r="S164" i="8"/>
  <c r="R165" i="8"/>
  <c r="G309" i="4"/>
  <c r="G304" i="4"/>
  <c r="BA4" i="15"/>
  <c r="P3" i="15"/>
  <c r="D116" i="15"/>
  <c r="D40" i="15"/>
  <c r="D52" i="15" s="1"/>
  <c r="AB139" i="8"/>
  <c r="AA140" i="8"/>
  <c r="AU114" i="22"/>
  <c r="AJ115" i="22"/>
  <c r="AY86" i="12"/>
  <c r="AX87" i="12"/>
  <c r="AO138" i="14"/>
  <c r="AR137" i="14"/>
  <c r="AY137" i="14"/>
  <c r="BB137" i="14" s="1"/>
  <c r="AK67" i="14"/>
  <c r="AN66" i="14"/>
  <c r="AG139" i="22"/>
  <c r="AH138" i="22"/>
  <c r="AV138" i="22"/>
  <c r="B45" i="5"/>
  <c r="B70" i="5" s="1"/>
  <c r="B86" i="5" s="1"/>
  <c r="B119" i="5" s="1"/>
  <c r="B134" i="4"/>
  <c r="B166" i="4" s="1"/>
  <c r="B69" i="4"/>
  <c r="B343" i="4" s="1"/>
  <c r="AQ12" i="21"/>
  <c r="O23" i="21"/>
  <c r="Y91" i="8"/>
  <c r="X92" i="8"/>
  <c r="L183" i="3"/>
  <c r="L87" i="3"/>
  <c r="AQ24" i="22"/>
  <c r="Y140" i="10"/>
  <c r="X141" i="10"/>
  <c r="BB55" i="18"/>
  <c r="AG56" i="18"/>
  <c r="AH55" i="18"/>
  <c r="AJ165" i="22"/>
  <c r="AU164" i="22"/>
  <c r="S403" i="13"/>
  <c r="S212" i="4"/>
  <c r="AX23" i="17"/>
  <c r="L143" i="4"/>
  <c r="L175" i="4" s="1"/>
  <c r="L78" i="4"/>
  <c r="L352" i="4" s="1"/>
  <c r="L384" i="4" s="1"/>
  <c r="AW53" i="20"/>
  <c r="AV53" i="20"/>
  <c r="AW65" i="20"/>
  <c r="AK81" i="22"/>
  <c r="AR42" i="18"/>
  <c r="AT41" i="18"/>
  <c r="AE15" i="3"/>
  <c r="BF37" i="11"/>
  <c r="M44" i="5"/>
  <c r="M69" i="5" s="1"/>
  <c r="M68" i="4"/>
  <c r="M133" i="4"/>
  <c r="M165" i="4" s="1"/>
  <c r="AQ178" i="22"/>
  <c r="M45" i="19"/>
  <c r="BH33" i="19"/>
  <c r="AC7" i="10"/>
  <c r="AW79" i="18"/>
  <c r="AV80" i="18"/>
  <c r="BC4" i="11"/>
  <c r="L3" i="11"/>
  <c r="L8" i="1"/>
  <c r="L25" i="1" s="1"/>
  <c r="BD4" i="13"/>
  <c r="Q71" i="13" s="1"/>
  <c r="H344" i="3"/>
  <c r="L6" i="7"/>
  <c r="BJ7" i="7"/>
  <c r="N335" i="13"/>
  <c r="N35" i="13"/>
  <c r="N47" i="13" s="1"/>
  <c r="N48" i="13" s="1"/>
  <c r="AT11" i="23"/>
  <c r="P10" i="23"/>
  <c r="AT10" i="23" s="1"/>
  <c r="B49" i="23"/>
  <c r="B21" i="23"/>
  <c r="B33" i="23" s="1"/>
  <c r="AB19" i="8"/>
  <c r="AA20" i="8"/>
  <c r="M475" i="3"/>
  <c r="F37" i="5"/>
  <c r="F347" i="4"/>
  <c r="S140" i="10"/>
  <c r="R141" i="10"/>
  <c r="V66" i="10"/>
  <c r="U67" i="10"/>
  <c r="R328" i="19"/>
  <c r="S344" i="19"/>
  <c r="AD150" i="8"/>
  <c r="L9" i="7"/>
  <c r="BJ10" i="7"/>
  <c r="Q19" i="26"/>
  <c r="S18" i="26"/>
  <c r="O27" i="13"/>
  <c r="AF128" i="20"/>
  <c r="AG127" i="20"/>
  <c r="AT138" i="16"/>
  <c r="AS139" i="16"/>
  <c r="AV68" i="16"/>
  <c r="AW67" i="16"/>
  <c r="AJ69" i="16"/>
  <c r="AK68" i="16"/>
  <c r="AJ32" i="18"/>
  <c r="AF451" i="3"/>
  <c r="AG451" i="3"/>
  <c r="H240" i="4"/>
  <c r="H402" i="3"/>
  <c r="H451" i="3" s="1"/>
  <c r="H484" i="3" s="1"/>
  <c r="AW13" i="17"/>
  <c r="BG26" i="13"/>
  <c r="BH136" i="11"/>
  <c r="BH139" i="11"/>
  <c r="AR40" i="23"/>
  <c r="O24" i="23"/>
  <c r="AR24" i="23" s="1"/>
  <c r="P44" i="5"/>
  <c r="P68" i="4"/>
  <c r="AS84" i="4"/>
  <c r="P133" i="4"/>
  <c r="P95" i="4"/>
  <c r="Q6" i="26"/>
  <c r="S5" i="26"/>
  <c r="Q126" i="26"/>
  <c r="S125" i="26"/>
  <c r="S407" i="13"/>
  <c r="S280" i="3" s="1"/>
  <c r="S296" i="3" s="1"/>
  <c r="S216" i="4"/>
  <c r="AB55" i="8"/>
  <c r="AC55" i="8" s="1"/>
  <c r="AA56" i="8"/>
  <c r="AS177" i="16"/>
  <c r="BB11" i="17"/>
  <c r="AA11" i="17"/>
  <c r="T177" i="8"/>
  <c r="V176" i="8"/>
  <c r="AS21" i="15"/>
  <c r="AC21" i="17"/>
  <c r="E3" i="25"/>
  <c r="AF4" i="25"/>
  <c r="AC54" i="8"/>
  <c r="AW114" i="14"/>
  <c r="AX113" i="14"/>
  <c r="BA21" i="15"/>
  <c r="AG21" i="17"/>
  <c r="AP12" i="23"/>
  <c r="AO12" i="25"/>
  <c r="J51" i="25"/>
  <c r="J23" i="25"/>
  <c r="J35" i="25" s="1"/>
  <c r="Q42" i="24"/>
  <c r="S41" i="24"/>
  <c r="AX173" i="20"/>
  <c r="AX185" i="20"/>
  <c r="R70" i="26"/>
  <c r="V33" i="10"/>
  <c r="U34" i="10"/>
  <c r="AO102" i="14"/>
  <c r="AR101" i="14"/>
  <c r="AY101" i="14"/>
  <c r="BB101" i="14" s="1"/>
  <c r="AG11" i="17"/>
  <c r="AF55" i="20"/>
  <c r="AG54" i="20"/>
  <c r="R21" i="24"/>
  <c r="AT12" i="13"/>
  <c r="N7" i="13"/>
  <c r="BP27" i="7"/>
  <c r="O294" i="4"/>
  <c r="O393" i="3"/>
  <c r="O231" i="4"/>
  <c r="AY57" i="4"/>
  <c r="AZ57" i="4" s="1"/>
  <c r="AV57" i="4"/>
  <c r="Y114" i="10"/>
  <c r="X115" i="10"/>
  <c r="AP152" i="18"/>
  <c r="AQ151" i="18"/>
  <c r="AJ175" i="22"/>
  <c r="AU174" i="22"/>
  <c r="AR128" i="20"/>
  <c r="AP129" i="20"/>
  <c r="P7" i="15"/>
  <c r="BA8" i="15"/>
  <c r="AG8" i="17"/>
  <c r="AW21" i="15"/>
  <c r="AE21" i="17"/>
  <c r="BA13" i="17"/>
  <c r="Z13" i="17"/>
  <c r="AF33" i="18"/>
  <c r="BJ36" i="19"/>
  <c r="BD36" i="19"/>
  <c r="AT66" i="20"/>
  <c r="AX66" i="20" s="1"/>
  <c r="AI67" i="20"/>
  <c r="AK66" i="20"/>
  <c r="AP139" i="22"/>
  <c r="AO140" i="22"/>
  <c r="AV139" i="22"/>
  <c r="B23" i="25"/>
  <c r="B35" i="25" s="1"/>
  <c r="G95" i="4"/>
  <c r="G132" i="4"/>
  <c r="G67" i="4"/>
  <c r="G43" i="5"/>
  <c r="R403" i="13"/>
  <c r="R212" i="4"/>
  <c r="C128" i="3"/>
  <c r="C196" i="3"/>
  <c r="C148" i="3"/>
  <c r="C160" i="3" s="1"/>
  <c r="J28" i="15"/>
  <c r="J5" i="6" s="1"/>
  <c r="H116" i="15"/>
  <c r="H40" i="15"/>
  <c r="H52" i="15" s="1"/>
  <c r="AI18" i="18"/>
  <c r="AK17" i="18"/>
  <c r="BA17" i="18"/>
  <c r="BC17" i="18" s="1"/>
  <c r="P77" i="4"/>
  <c r="P158" i="4"/>
  <c r="P174" i="4" s="1"/>
  <c r="AQ93" i="18"/>
  <c r="AP94" i="18"/>
  <c r="AK103" i="16"/>
  <c r="AJ104" i="16"/>
  <c r="L114" i="17"/>
  <c r="L38" i="17"/>
  <c r="L50" i="17" s="1"/>
  <c r="AH138" i="18"/>
  <c r="AO15" i="21"/>
  <c r="AR42" i="16"/>
  <c r="AT41" i="16"/>
  <c r="AS118" i="18"/>
  <c r="BD6" i="13"/>
  <c r="Q104" i="13" s="1"/>
  <c r="Q41" i="3" s="1"/>
  <c r="BG23" i="11"/>
  <c r="N21" i="11"/>
  <c r="BF23" i="13"/>
  <c r="AT17" i="16"/>
  <c r="AR18" i="16"/>
  <c r="O302" i="4"/>
  <c r="O351" i="4" s="1"/>
  <c r="O239" i="4"/>
  <c r="BP35" i="7"/>
  <c r="BY35" i="7" s="1"/>
  <c r="O401" i="3"/>
  <c r="R176" i="8"/>
  <c r="S175" i="8"/>
  <c r="BA107" i="15"/>
  <c r="P43" i="15"/>
  <c r="BA43" i="15" s="1"/>
  <c r="AO72" i="22"/>
  <c r="AP71" i="22"/>
  <c r="M43" i="5"/>
  <c r="M132" i="4"/>
  <c r="M67" i="4"/>
  <c r="M95" i="4"/>
  <c r="BD209" i="11"/>
  <c r="L48" i="6"/>
  <c r="L68" i="6" s="1"/>
  <c r="AH163" i="22"/>
  <c r="AG164" i="22"/>
  <c r="AD138" i="3"/>
  <c r="J154" i="3"/>
  <c r="J90" i="3"/>
  <c r="J202" i="3"/>
  <c r="J144" i="3"/>
  <c r="B6" i="15"/>
  <c r="B24" i="6" s="1"/>
  <c r="BP348" i="19"/>
  <c r="Q332" i="19"/>
  <c r="BP332" i="19" s="1"/>
  <c r="AD30" i="20"/>
  <c r="AC31" i="20"/>
  <c r="AU30" i="20"/>
  <c r="AY30" i="20" s="1"/>
  <c r="J380" i="4"/>
  <c r="C127" i="13"/>
  <c r="C35" i="13"/>
  <c r="C47" i="13" s="1"/>
  <c r="C48" i="13" s="1"/>
  <c r="G15" i="7"/>
  <c r="BH125" i="11"/>
  <c r="BK123" i="11"/>
  <c r="P43" i="11"/>
  <c r="AK19" i="14"/>
  <c r="AN18" i="14"/>
  <c r="AU47" i="4"/>
  <c r="AV47" i="4" s="1"/>
  <c r="BA174" i="14"/>
  <c r="BB174" i="14" s="1"/>
  <c r="AM175" i="14"/>
  <c r="AN174" i="14"/>
  <c r="AE45" i="22"/>
  <c r="AD46" i="22"/>
  <c r="V163" i="13"/>
  <c r="AE168" i="13"/>
  <c r="Y163" i="13"/>
  <c r="S165" i="13"/>
  <c r="Q169" i="13"/>
  <c r="U163" i="13"/>
  <c r="AD104" i="22"/>
  <c r="AE103" i="22"/>
  <c r="J346" i="4"/>
  <c r="J36" i="5"/>
  <c r="M8" i="25"/>
  <c r="AC203" i="3"/>
  <c r="AJ130" i="16"/>
  <c r="AW29" i="20"/>
  <c r="AV29" i="20"/>
  <c r="M63" i="5"/>
  <c r="Q334" i="11"/>
  <c r="BM350" i="11"/>
  <c r="AT350" i="11"/>
  <c r="Q205" i="4"/>
  <c r="Q253" i="3"/>
  <c r="Q237" i="3" s="1"/>
  <c r="R350" i="11"/>
  <c r="S350" i="11" s="1"/>
  <c r="AT91" i="18"/>
  <c r="AS92" i="18"/>
  <c r="N71" i="4"/>
  <c r="N345" i="4" s="1"/>
  <c r="N52" i="5"/>
  <c r="N77" i="5" s="1"/>
  <c r="N152" i="4"/>
  <c r="N168" i="4" s="1"/>
  <c r="AX18" i="17"/>
  <c r="F17" i="17"/>
  <c r="AX17" i="17" s="1"/>
  <c r="V178" i="26"/>
  <c r="U179" i="26"/>
  <c r="R413" i="13"/>
  <c r="R286" i="3" s="1"/>
  <c r="R302" i="3" s="1"/>
  <c r="R222" i="4"/>
  <c r="P136" i="4"/>
  <c r="P168" i="4" s="1"/>
  <c r="P71" i="4"/>
  <c r="AS87" i="4"/>
  <c r="BK401" i="11"/>
  <c r="P25" i="11"/>
  <c r="BF401" i="11"/>
  <c r="M25" i="11"/>
  <c r="AO91" i="14"/>
  <c r="AR90" i="14"/>
  <c r="E373" i="19"/>
  <c r="E30" i="19"/>
  <c r="E31" i="6"/>
  <c r="M41" i="15"/>
  <c r="AU41" i="15" s="1"/>
  <c r="AU105" i="15"/>
  <c r="Q359" i="13"/>
  <c r="Q343" i="13" s="1"/>
  <c r="Q358" i="13"/>
  <c r="R357" i="13"/>
  <c r="R341" i="13" s="1"/>
  <c r="AC11" i="17"/>
  <c r="M186" i="3"/>
  <c r="M90" i="3"/>
  <c r="M446" i="3" s="1"/>
  <c r="M479" i="3" s="1"/>
  <c r="AD106" i="3"/>
  <c r="BF123" i="11"/>
  <c r="M43" i="11"/>
  <c r="BF43" i="11" s="1"/>
  <c r="AQ45" i="15"/>
  <c r="AY45" i="15"/>
  <c r="N129" i="11"/>
  <c r="N37" i="11"/>
  <c r="BA30" i="14"/>
  <c r="AM31" i="14"/>
  <c r="BK14" i="11"/>
  <c r="BH14" i="13"/>
  <c r="AF117" i="18"/>
  <c r="G184" i="3"/>
  <c r="G88" i="3"/>
  <c r="G444" i="3" s="1"/>
  <c r="G477" i="3" s="1"/>
  <c r="AN7" i="18"/>
  <c r="AM8" i="18"/>
  <c r="Q102" i="26"/>
  <c r="S101" i="26"/>
  <c r="L4" i="23"/>
  <c r="AL5" i="23"/>
  <c r="AM5" i="25"/>
  <c r="AG12" i="16"/>
  <c r="AH11" i="16"/>
  <c r="H14" i="6"/>
  <c r="BT3" i="9"/>
  <c r="AK23" i="22"/>
  <c r="AO127" i="22"/>
  <c r="AP126" i="22"/>
  <c r="AV126" i="22"/>
  <c r="BV12" i="9"/>
  <c r="J15" i="9"/>
  <c r="AJ12" i="9"/>
  <c r="AW27" i="15"/>
  <c r="N25" i="15"/>
  <c r="AW25" i="15" s="1"/>
  <c r="C37" i="9"/>
  <c r="C292" i="4"/>
  <c r="AC51" i="5"/>
  <c r="O79" i="5"/>
  <c r="G153" i="3"/>
  <c r="G89" i="3"/>
  <c r="G445" i="3" s="1"/>
  <c r="G201" i="3"/>
  <c r="G169" i="3" s="1"/>
  <c r="G315" i="3" s="1"/>
  <c r="Q136" i="21"/>
  <c r="AH4" i="25"/>
  <c r="G3" i="25"/>
  <c r="C159" i="3"/>
  <c r="C207" i="3"/>
  <c r="C175" i="3" s="1"/>
  <c r="C321" i="3" s="1"/>
  <c r="C95" i="3"/>
  <c r="C451" i="3" s="1"/>
  <c r="C484" i="3" s="1"/>
  <c r="AQ104" i="22"/>
  <c r="AT103" i="22"/>
  <c r="AT29" i="11"/>
  <c r="BI12" i="11"/>
  <c r="BL26" i="19" s="1"/>
  <c r="BH29" i="11"/>
  <c r="BG12" i="13"/>
  <c r="AG4" i="25"/>
  <c r="F3" i="25"/>
  <c r="AS76" i="4"/>
  <c r="O350" i="4"/>
  <c r="BB209" i="11"/>
  <c r="K48" i="6"/>
  <c r="K68" i="6" s="1"/>
  <c r="G23" i="19"/>
  <c r="G6" i="6" s="1"/>
  <c r="G30" i="6"/>
  <c r="AJ143" i="18"/>
  <c r="N188" i="3"/>
  <c r="N92" i="3"/>
  <c r="N448" i="3" s="1"/>
  <c r="AD16" i="3"/>
  <c r="BD123" i="11"/>
  <c r="L43" i="11"/>
  <c r="BD43" i="11" s="1"/>
  <c r="BJ30" i="7"/>
  <c r="L234" i="4"/>
  <c r="L396" i="3"/>
  <c r="L445" i="3" s="1"/>
  <c r="AV89" i="20"/>
  <c r="AZ89" i="20" s="1"/>
  <c r="AW89" i="20"/>
  <c r="K5" i="5"/>
  <c r="K347" i="4"/>
  <c r="K15" i="4"/>
  <c r="BI11" i="11"/>
  <c r="O14" i="1"/>
  <c r="O11" i="1" s="1"/>
  <c r="O28" i="1" s="1"/>
  <c r="BG11" i="13"/>
  <c r="O8" i="11"/>
  <c r="AK9" i="14"/>
  <c r="BL34" i="19"/>
  <c r="BD34" i="19"/>
  <c r="U32" i="8"/>
  <c r="V31" i="8"/>
  <c r="AX65" i="20"/>
  <c r="AX77" i="20"/>
  <c r="AP43" i="16"/>
  <c r="AQ42" i="16"/>
  <c r="AF33" i="20"/>
  <c r="G147" i="11"/>
  <c r="G47" i="6"/>
  <c r="G65" i="6" s="1"/>
  <c r="R405" i="13"/>
  <c r="R278" i="3" s="1"/>
  <c r="R294" i="3" s="1"/>
  <c r="R214" i="4"/>
  <c r="R327" i="11"/>
  <c r="R182" i="4" s="1"/>
  <c r="AA104" i="10"/>
  <c r="AB103" i="10"/>
  <c r="AX8" i="16"/>
  <c r="AZ7" i="16"/>
  <c r="AQ20" i="18"/>
  <c r="AP21" i="18"/>
  <c r="AG176" i="20"/>
  <c r="AF177" i="20"/>
  <c r="BA5" i="15"/>
  <c r="AG5" i="17"/>
  <c r="AJ23" i="20"/>
  <c r="BJ35" i="7"/>
  <c r="L239" i="4"/>
  <c r="L401" i="3"/>
  <c r="L450" i="3" s="1"/>
  <c r="AX176" i="14"/>
  <c r="AW177" i="14"/>
  <c r="AW53" i="22"/>
  <c r="Q315" i="17"/>
  <c r="B181" i="3"/>
  <c r="B85" i="3"/>
  <c r="B441" i="3" s="1"/>
  <c r="AH133" i="3"/>
  <c r="AI133" i="3" s="1"/>
  <c r="AE133" i="3"/>
  <c r="F17" i="6"/>
  <c r="F15" i="7"/>
  <c r="P9" i="7"/>
  <c r="BR10" i="7"/>
  <c r="BC29" i="18"/>
  <c r="P8" i="23"/>
  <c r="AT9" i="23"/>
  <c r="AJ62" i="20"/>
  <c r="AZ23" i="16"/>
  <c r="AX24" i="16"/>
  <c r="AI4" i="21"/>
  <c r="L140" i="4"/>
  <c r="L172" i="4" s="1"/>
  <c r="L75" i="4"/>
  <c r="L349" i="4" s="1"/>
  <c r="L381" i="4" s="1"/>
  <c r="H189" i="3"/>
  <c r="H93" i="3"/>
  <c r="H449" i="3" s="1"/>
  <c r="I382" i="4"/>
  <c r="AY149" i="14"/>
  <c r="BB149" i="14" s="1"/>
  <c r="L188" i="3"/>
  <c r="AD108" i="3"/>
  <c r="AH108" i="3" s="1"/>
  <c r="L92" i="3"/>
  <c r="L448" i="3" s="1"/>
  <c r="L481" i="3" s="1"/>
  <c r="B29" i="1"/>
  <c r="B28" i="1" s="1"/>
  <c r="J382" i="4"/>
  <c r="J383" i="4"/>
  <c r="D375" i="4"/>
  <c r="AA154" i="22"/>
  <c r="AB153" i="22"/>
  <c r="Y167" i="13"/>
  <c r="AP174" i="13"/>
  <c r="AM172" i="13"/>
  <c r="Z171" i="13"/>
  <c r="V164" i="13"/>
  <c r="AF105" i="18"/>
  <c r="O44" i="5"/>
  <c r="O69" i="5" s="1"/>
  <c r="O85" i="5" s="1"/>
  <c r="AV84" i="4"/>
  <c r="O68" i="4"/>
  <c r="O133" i="4"/>
  <c r="AY84" i="4"/>
  <c r="AW84" i="4"/>
  <c r="AB31" i="20"/>
  <c r="AB32" i="20" s="1"/>
  <c r="AB33" i="20" s="1"/>
  <c r="AB34" i="20" s="1"/>
  <c r="AB35" i="20" s="1"/>
  <c r="AB36" i="20" s="1"/>
  <c r="AB37" i="20" s="1"/>
  <c r="AB38" i="20" s="1"/>
  <c r="AB39" i="20" s="1"/>
  <c r="AS30" i="20"/>
  <c r="BJ32" i="7"/>
  <c r="L236" i="4"/>
  <c r="L398" i="3"/>
  <c r="L447" i="3" s="1"/>
  <c r="Q361" i="13"/>
  <c r="Q345" i="13" s="1"/>
  <c r="BM347" i="11"/>
  <c r="AT347" i="11"/>
  <c r="Q202" i="4"/>
  <c r="Q250" i="3"/>
  <c r="Q331" i="11"/>
  <c r="R347" i="11"/>
  <c r="R379" i="11"/>
  <c r="AR114" i="18"/>
  <c r="BA113" i="18"/>
  <c r="BC113" i="18" s="1"/>
  <c r="BD113" i="18" s="1"/>
  <c r="AT113" i="18"/>
  <c r="AA153" i="20"/>
  <c r="Z154" i="20"/>
  <c r="AL19" i="14"/>
  <c r="AZ18" i="14"/>
  <c r="AV161" i="14"/>
  <c r="AS162" i="14"/>
  <c r="AY161" i="14"/>
  <c r="BB161" i="14" s="1"/>
  <c r="P72" i="4"/>
  <c r="P137" i="4"/>
  <c r="P169" i="4" s="1"/>
  <c r="AS88" i="4"/>
  <c r="AS89" i="4"/>
  <c r="Y92" i="10"/>
  <c r="X93" i="10"/>
  <c r="AP176" i="18"/>
  <c r="AQ175" i="18"/>
  <c r="AW161" i="20"/>
  <c r="AV161" i="20"/>
  <c r="AU79" i="20"/>
  <c r="AY79" i="20" s="1"/>
  <c r="AA79" i="20"/>
  <c r="Z80" i="20"/>
  <c r="AO12" i="21"/>
  <c r="M23" i="21"/>
  <c r="BE65" i="14"/>
  <c r="BA109" i="15"/>
  <c r="P45" i="15"/>
  <c r="BA45" i="15" s="1"/>
  <c r="G189" i="3"/>
  <c r="G93" i="3"/>
  <c r="G449" i="3" s="1"/>
  <c r="G482" i="3" s="1"/>
  <c r="AW44" i="15"/>
  <c r="BV29" i="7"/>
  <c r="N233" i="4"/>
  <c r="U179" i="8"/>
  <c r="AD105" i="3"/>
  <c r="J89" i="3"/>
  <c r="J185" i="3"/>
  <c r="V173" i="24"/>
  <c r="W173" i="24" s="1"/>
  <c r="U174" i="24"/>
  <c r="AQ79" i="16"/>
  <c r="AP80" i="16"/>
  <c r="BL35" i="7"/>
  <c r="M302" i="4"/>
  <c r="M239" i="4"/>
  <c r="M401" i="3"/>
  <c r="M450" i="3" s="1"/>
  <c r="M483" i="3" s="1"/>
  <c r="M3" i="19"/>
  <c r="BH4" i="19"/>
  <c r="AH206" i="3"/>
  <c r="AI206" i="3" s="1"/>
  <c r="AE206" i="3"/>
  <c r="P20" i="19"/>
  <c r="BN20" i="19" s="1"/>
  <c r="BN21" i="19"/>
  <c r="BC16" i="15"/>
  <c r="AH16" i="17"/>
  <c r="M192" i="4"/>
  <c r="M93" i="5"/>
  <c r="BK6" i="11"/>
  <c r="BH6" i="13"/>
  <c r="T317" i="17"/>
  <c r="AS139" i="14"/>
  <c r="AV138" i="14"/>
  <c r="AQ127" i="22"/>
  <c r="AT126" i="22"/>
  <c r="AW126" i="22" s="1"/>
  <c r="AS126" i="22"/>
  <c r="Q42" i="26"/>
  <c r="S41" i="26"/>
  <c r="AR6" i="23"/>
  <c r="AP6" i="25"/>
  <c r="Y3" i="17"/>
  <c r="AZ3" i="17"/>
  <c r="R404" i="13"/>
  <c r="R277" i="3" s="1"/>
  <c r="R293" i="3" s="1"/>
  <c r="R213" i="4"/>
  <c r="R152" i="26"/>
  <c r="Y67" i="8"/>
  <c r="X68" i="8"/>
  <c r="D13" i="23"/>
  <c r="D7" i="6" s="1"/>
  <c r="D35" i="6"/>
  <c r="D34" i="6" s="1"/>
  <c r="AI163" i="18"/>
  <c r="AK162" i="18"/>
  <c r="BD172" i="16"/>
  <c r="BQ170" i="12" s="1"/>
  <c r="BG170" i="12" s="1"/>
  <c r="BB172" i="16"/>
  <c r="BB184" i="16"/>
  <c r="O143" i="4"/>
  <c r="AS83" i="4"/>
  <c r="AW94" i="4"/>
  <c r="O78" i="4"/>
  <c r="O38" i="5" s="1"/>
  <c r="AV94" i="4"/>
  <c r="AD13" i="17"/>
  <c r="M11" i="17"/>
  <c r="T173" i="13"/>
  <c r="AB165" i="13"/>
  <c r="AG174" i="13"/>
  <c r="W172" i="13"/>
  <c r="AD167" i="13"/>
  <c r="Y172" i="13"/>
  <c r="Q167" i="13"/>
  <c r="AC170" i="13"/>
  <c r="AA171" i="13"/>
  <c r="T169" i="13"/>
  <c r="Q174" i="13"/>
  <c r="AA167" i="13"/>
  <c r="AP169" i="13"/>
  <c r="Y168" i="13"/>
  <c r="V173" i="13"/>
  <c r="AM167" i="13"/>
  <c r="X171" i="13"/>
  <c r="V172" i="13"/>
  <c r="Y166" i="13"/>
  <c r="AD172" i="13"/>
  <c r="S172" i="13"/>
  <c r="Q173" i="13"/>
  <c r="AM173" i="13"/>
  <c r="AN171" i="13"/>
  <c r="AL167" i="13"/>
  <c r="AN174" i="13"/>
  <c r="AH163" i="13"/>
  <c r="X163" i="13"/>
  <c r="AN164" i="13"/>
  <c r="U165" i="13"/>
  <c r="AK165" i="13"/>
  <c r="AJ166" i="13"/>
  <c r="AI169" i="13"/>
  <c r="AI163" i="13"/>
  <c r="AA165" i="13"/>
  <c r="W166" i="13"/>
  <c r="AN168" i="13"/>
  <c r="Y164" i="13"/>
  <c r="R173" i="13"/>
  <c r="AI164" i="13"/>
  <c r="AH174" i="13"/>
  <c r="AJ168" i="13"/>
  <c r="AK173" i="13"/>
  <c r="Q171" i="13"/>
  <c r="AB166" i="13"/>
  <c r="AI172" i="13"/>
  <c r="AF172" i="13"/>
  <c r="AF175" i="13" s="1"/>
  <c r="AF10" i="13" s="1"/>
  <c r="AJ174" i="13"/>
  <c r="U167" i="13"/>
  <c r="AJ171" i="13"/>
  <c r="AF167" i="13"/>
  <c r="AJ164" i="13"/>
  <c r="AN173" i="13"/>
  <c r="AP167" i="13"/>
  <c r="AE167" i="13"/>
  <c r="AI165" i="13"/>
  <c r="AH170" i="13"/>
  <c r="AC169" i="13"/>
  <c r="S166" i="13"/>
  <c r="Z172" i="13"/>
  <c r="T168" i="13"/>
  <c r="Z168" i="13"/>
  <c r="R168" i="13"/>
  <c r="V170" i="13"/>
  <c r="AB167" i="13"/>
  <c r="AN172" i="13"/>
  <c r="AE164" i="13"/>
  <c r="W174" i="13"/>
  <c r="AJ173" i="13"/>
  <c r="AG164" i="13"/>
  <c r="AI166" i="13"/>
  <c r="AG163" i="13"/>
  <c r="AN169" i="13"/>
  <c r="T170" i="13"/>
  <c r="AO164" i="13"/>
  <c r="AI171" i="13"/>
  <c r="X172" i="13"/>
  <c r="U172" i="13"/>
  <c r="AG170" i="13"/>
  <c r="AB168" i="13"/>
  <c r="X166" i="13"/>
  <c r="Z164" i="13"/>
  <c r="AM163" i="13"/>
  <c r="AP172" i="13"/>
  <c r="S168" i="13"/>
  <c r="AD163" i="13"/>
  <c r="AH168" i="13"/>
  <c r="AB164" i="13"/>
  <c r="AG168" i="13"/>
  <c r="X164" i="13"/>
  <c r="AO166" i="13"/>
  <c r="W163" i="13"/>
  <c r="T166" i="13"/>
  <c r="AJ163" i="13"/>
  <c r="AP165" i="13"/>
  <c r="X168" i="13"/>
  <c r="AI174" i="13"/>
  <c r="AB173" i="13"/>
  <c r="R167" i="13"/>
  <c r="AJ169" i="13"/>
  <c r="AG167" i="13"/>
  <c r="X173" i="13"/>
  <c r="AC173" i="13"/>
  <c r="AI170" i="13"/>
  <c r="U170" i="13"/>
  <c r="AK170" i="13"/>
  <c r="R172" i="13"/>
  <c r="AL168" i="13"/>
  <c r="AA174" i="13"/>
  <c r="AO173" i="13"/>
  <c r="Z170" i="13"/>
  <c r="AM166" i="13"/>
  <c r="AA172" i="13"/>
  <c r="T174" i="13"/>
  <c r="AD173" i="13"/>
  <c r="Y165" i="13"/>
  <c r="AK172" i="13"/>
  <c r="Z163" i="13"/>
  <c r="AL169" i="13"/>
  <c r="S169" i="13"/>
  <c r="T163" i="13"/>
  <c r="AE165" i="13"/>
  <c r="AF169" i="13"/>
  <c r="T165" i="13"/>
  <c r="Y173" i="13"/>
  <c r="AC171" i="13"/>
  <c r="S167" i="13"/>
  <c r="AP170" i="13"/>
  <c r="AF165" i="13"/>
  <c r="AF168" i="13"/>
  <c r="AA163" i="13"/>
  <c r="Q168" i="13"/>
  <c r="Z174" i="13"/>
  <c r="AP168" i="13"/>
  <c r="AF174" i="13"/>
  <c r="AM169" i="13"/>
  <c r="AN166" i="13"/>
  <c r="AJ167" i="13"/>
  <c r="AJ170" i="13"/>
  <c r="W170" i="13"/>
  <c r="AO163" i="13"/>
  <c r="AA169" i="13"/>
  <c r="Z166" i="13"/>
  <c r="AP166" i="13"/>
  <c r="AO165" i="13"/>
  <c r="AJ172" i="13"/>
  <c r="AK169" i="13"/>
  <c r="AG169" i="13"/>
  <c r="R169" i="13"/>
  <c r="AD169" i="13"/>
  <c r="Y170" i="13"/>
  <c r="AB169" i="13"/>
  <c r="AO174" i="13"/>
  <c r="AK171" i="13"/>
  <c r="AP173" i="13"/>
  <c r="V168" i="13"/>
  <c r="AH172" i="13"/>
  <c r="R174" i="13"/>
  <c r="Z167" i="13"/>
  <c r="AM171" i="13"/>
  <c r="AL171" i="13"/>
  <c r="AE171" i="13"/>
  <c r="AE172" i="13"/>
  <c r="AN163" i="13"/>
  <c r="AL164" i="13"/>
  <c r="AH169" i="13"/>
  <c r="AC172" i="13"/>
  <c r="V169" i="13"/>
  <c r="Y169" i="13"/>
  <c r="AL165" i="13"/>
  <c r="W168" i="13"/>
  <c r="AH166" i="13"/>
  <c r="AG172" i="13"/>
  <c r="AG171" i="13"/>
  <c r="T171" i="13"/>
  <c r="AE173" i="13"/>
  <c r="AE170" i="13"/>
  <c r="AL47" i="20"/>
  <c r="AX152" i="18"/>
  <c r="AZ151" i="18"/>
  <c r="AB67" i="8"/>
  <c r="AA68" i="8"/>
  <c r="AD124" i="8"/>
  <c r="AD136" i="8"/>
  <c r="AL69" i="20"/>
  <c r="AO68" i="20"/>
  <c r="E378" i="4"/>
  <c r="AU175" i="20"/>
  <c r="AV19" i="16"/>
  <c r="AW18" i="16"/>
  <c r="P16" i="11"/>
  <c r="BK16" i="11" s="1"/>
  <c r="BK17" i="11"/>
  <c r="AN164" i="18"/>
  <c r="AM165" i="18"/>
  <c r="P10" i="25"/>
  <c r="AQ10" i="25" s="1"/>
  <c r="AQ11" i="25"/>
  <c r="AH11" i="3"/>
  <c r="AI11" i="3" s="1"/>
  <c r="AE11" i="3"/>
  <c r="D38" i="13"/>
  <c r="D127" i="13"/>
  <c r="AH174" i="22"/>
  <c r="AG175" i="22"/>
  <c r="AV174" i="22"/>
  <c r="AC102" i="8"/>
  <c r="S130" i="10"/>
  <c r="R131" i="10"/>
  <c r="AK79" i="16"/>
  <c r="AJ80" i="16"/>
  <c r="AS105" i="18"/>
  <c r="AT104" i="18"/>
  <c r="P49" i="23"/>
  <c r="AT49" i="23" s="1"/>
  <c r="AV103" i="18"/>
  <c r="AW102" i="18"/>
  <c r="D23" i="21"/>
  <c r="AF12" i="21"/>
  <c r="K15" i="7"/>
  <c r="BG12" i="7"/>
  <c r="K17" i="6"/>
  <c r="AV137" i="20"/>
  <c r="AW137" i="20"/>
  <c r="AW149" i="20"/>
  <c r="C45" i="21"/>
  <c r="AA31" i="22"/>
  <c r="AB30" i="22"/>
  <c r="AB80" i="10"/>
  <c r="AA81" i="10"/>
  <c r="R318" i="17"/>
  <c r="BH36" i="7"/>
  <c r="K240" i="4"/>
  <c r="K402" i="3"/>
  <c r="K451" i="3" s="1"/>
  <c r="F35" i="13"/>
  <c r="F47" i="13" s="1"/>
  <c r="AG12" i="21"/>
  <c r="E23" i="21"/>
  <c r="AA25" i="17"/>
  <c r="BB23" i="17"/>
  <c r="AB55" i="22"/>
  <c r="AA56" i="22"/>
  <c r="S21" i="10"/>
  <c r="R22" i="10"/>
  <c r="C375" i="4"/>
  <c r="C376" i="4"/>
  <c r="AB20" i="22"/>
  <c r="AA21" i="22"/>
  <c r="S56" i="26"/>
  <c r="R57" i="26"/>
  <c r="N5" i="5"/>
  <c r="N15" i="4"/>
  <c r="N185" i="3"/>
  <c r="O113" i="3"/>
  <c r="N113" i="3"/>
  <c r="N89" i="3"/>
  <c r="AF105" i="3"/>
  <c r="M88" i="3"/>
  <c r="M444" i="3" s="1"/>
  <c r="M184" i="3"/>
  <c r="AH139" i="18"/>
  <c r="AG140" i="18"/>
  <c r="BB139" i="18"/>
  <c r="N17" i="17"/>
  <c r="AE18" i="17"/>
  <c r="BA11" i="11"/>
  <c r="K14" i="1"/>
  <c r="K11" i="1" s="1"/>
  <c r="K8" i="11"/>
  <c r="BC11" i="13"/>
  <c r="Q180" i="3"/>
  <c r="Q84" i="3"/>
  <c r="AB91" i="10"/>
  <c r="AA92" i="10"/>
  <c r="AU54" i="22"/>
  <c r="AW54" i="22" s="1"/>
  <c r="AJ55" i="22"/>
  <c r="AL54" i="22"/>
  <c r="B36" i="13"/>
  <c r="B47" i="13" s="1"/>
  <c r="B127" i="13"/>
  <c r="O72" i="4"/>
  <c r="O137" i="4"/>
  <c r="AW88" i="4"/>
  <c r="AV88" i="4"/>
  <c r="BC27" i="15"/>
  <c r="Q25" i="15"/>
  <c r="BC25" i="15" s="1"/>
  <c r="U152" i="15"/>
  <c r="AK176" i="22"/>
  <c r="AL175" i="22"/>
  <c r="AS127" i="14"/>
  <c r="AV126" i="14"/>
  <c r="BA160" i="22"/>
  <c r="AU132" i="15"/>
  <c r="M133" i="15"/>
  <c r="M51" i="6"/>
  <c r="K6" i="7"/>
  <c r="BG7" i="7"/>
  <c r="AK7" i="9"/>
  <c r="M9" i="19"/>
  <c r="BH10" i="19"/>
  <c r="O12" i="7"/>
  <c r="BP13" i="7"/>
  <c r="AN67" i="18"/>
  <c r="AM68" i="18"/>
  <c r="AN151" i="18"/>
  <c r="AM152" i="18"/>
  <c r="BM158" i="12"/>
  <c r="AX158" i="12"/>
  <c r="AK151" i="14"/>
  <c r="AN150" i="14"/>
  <c r="D37" i="9"/>
  <c r="D292" i="4"/>
  <c r="Y93" i="20"/>
  <c r="AA93" i="20" s="1"/>
  <c r="G381" i="4"/>
  <c r="BC172" i="14"/>
  <c r="G130" i="11"/>
  <c r="G44" i="11"/>
  <c r="BC184" i="14"/>
  <c r="AL166" i="13"/>
  <c r="AF173" i="13"/>
  <c r="S174" i="13"/>
  <c r="AG173" i="13"/>
  <c r="AA166" i="13"/>
  <c r="W173" i="13"/>
  <c r="AA168" i="13"/>
  <c r="Q150" i="26"/>
  <c r="S149" i="26"/>
  <c r="J3" i="11"/>
  <c r="J8" i="1"/>
  <c r="J25" i="1" s="1"/>
  <c r="BB4" i="13"/>
  <c r="AZ100" i="20"/>
  <c r="H408" i="3"/>
  <c r="AM79" i="20"/>
  <c r="AO78" i="20"/>
  <c r="U303" i="15"/>
  <c r="U330" i="19"/>
  <c r="K3" i="7"/>
  <c r="BG4" i="7"/>
  <c r="AK4" i="9"/>
  <c r="AT11" i="17"/>
  <c r="H40" i="13"/>
  <c r="H127" i="13"/>
  <c r="K118" i="5"/>
  <c r="K441" i="3"/>
  <c r="AG129" i="18"/>
  <c r="BB128" i="18"/>
  <c r="AH128" i="18"/>
  <c r="R34" i="10"/>
  <c r="AW42" i="22"/>
  <c r="AK38" i="22"/>
  <c r="AS105" i="15"/>
  <c r="L41" i="15"/>
  <c r="BL26" i="7"/>
  <c r="M293" i="4"/>
  <c r="M230" i="4"/>
  <c r="M392" i="3"/>
  <c r="E140" i="4"/>
  <c r="E172" i="4" s="1"/>
  <c r="E75" i="4"/>
  <c r="AS90" i="14"/>
  <c r="AV89" i="14"/>
  <c r="AY89" i="14"/>
  <c r="BB89" i="14" s="1"/>
  <c r="AL37" i="9"/>
  <c r="T152" i="17"/>
  <c r="T120" i="17" s="1"/>
  <c r="T104" i="17" s="1"/>
  <c r="T122" i="15"/>
  <c r="T106" i="15" s="1"/>
  <c r="AV114" i="14"/>
  <c r="AS115" i="14"/>
  <c r="M22" i="15"/>
  <c r="AU23" i="15"/>
  <c r="CW23" i="15" s="1"/>
  <c r="AD23" i="17"/>
  <c r="N148" i="3"/>
  <c r="N144" i="3"/>
  <c r="D38" i="5"/>
  <c r="D352" i="4"/>
  <c r="D384" i="4" s="1"/>
  <c r="BI19" i="13"/>
  <c r="BM19" i="11"/>
  <c r="B87" i="3"/>
  <c r="B443" i="3" s="1"/>
  <c r="B183" i="3"/>
  <c r="T327" i="19"/>
  <c r="Y343" i="19"/>
  <c r="H28" i="17"/>
  <c r="Y22" i="17"/>
  <c r="AZ20" i="17"/>
  <c r="M231" i="4"/>
  <c r="AJ21" i="18"/>
  <c r="AM44" i="18"/>
  <c r="AN43" i="18"/>
  <c r="K17" i="17"/>
  <c r="AB17" i="17" s="1"/>
  <c r="AB18" i="17"/>
  <c r="M12" i="11"/>
  <c r="BE12" i="11" s="1"/>
  <c r="BE13" i="11"/>
  <c r="BE13" i="13"/>
  <c r="G373" i="19"/>
  <c r="G30" i="19"/>
  <c r="G31" i="6"/>
  <c r="L72" i="4"/>
  <c r="L346" i="4" s="1"/>
  <c r="L378" i="4" s="1"/>
  <c r="L153" i="4"/>
  <c r="L111" i="4"/>
  <c r="L52" i="5"/>
  <c r="AD186" i="10"/>
  <c r="AW118" i="11"/>
  <c r="M129" i="11"/>
  <c r="BF129" i="11" s="1"/>
  <c r="M38" i="11"/>
  <c r="BD121" i="11"/>
  <c r="L41" i="11"/>
  <c r="H50" i="17"/>
  <c r="AP23" i="20"/>
  <c r="AR22" i="20"/>
  <c r="I147" i="11"/>
  <c r="I47" i="6"/>
  <c r="I65" i="6" s="1"/>
  <c r="I146" i="11"/>
  <c r="J51" i="5"/>
  <c r="J111" i="4"/>
  <c r="J128" i="4" s="1"/>
  <c r="J148" i="4"/>
  <c r="G375" i="4"/>
  <c r="AF16" i="17"/>
  <c r="L22" i="15"/>
  <c r="AS23" i="15"/>
  <c r="B92" i="5"/>
  <c r="B192" i="4"/>
  <c r="AV78" i="22"/>
  <c r="AS78" i="22"/>
  <c r="AR79" i="22"/>
  <c r="O314" i="3"/>
  <c r="AG168" i="3"/>
  <c r="M335" i="13"/>
  <c r="M35" i="13"/>
  <c r="M47" i="13" s="1"/>
  <c r="L131" i="25"/>
  <c r="L23" i="25"/>
  <c r="AD69" i="22"/>
  <c r="AE68" i="22"/>
  <c r="BA3" i="17"/>
  <c r="Z3" i="17"/>
  <c r="AP91" i="20"/>
  <c r="AR90" i="20"/>
  <c r="AQ79" i="14"/>
  <c r="BA78" i="14"/>
  <c r="H140" i="4"/>
  <c r="H172" i="4" s="1"/>
  <c r="H75" i="4"/>
  <c r="I6" i="17"/>
  <c r="AJ10" i="25"/>
  <c r="I8" i="25"/>
  <c r="AJ8" i="25" s="1"/>
  <c r="V56" i="8"/>
  <c r="U57" i="8"/>
  <c r="J312" i="3"/>
  <c r="S315" i="17"/>
  <c r="T301" i="15"/>
  <c r="Y174" i="13"/>
  <c r="AD165" i="13"/>
  <c r="AH164" i="13"/>
  <c r="AC167" i="13"/>
  <c r="Z165" i="13"/>
  <c r="Y139" i="8"/>
  <c r="X140" i="8"/>
  <c r="V303" i="15"/>
  <c r="X33" i="8"/>
  <c r="AC6" i="8"/>
  <c r="AR78" i="16"/>
  <c r="AT77" i="16"/>
  <c r="BA77" i="16" s="1"/>
  <c r="BL14" i="19"/>
  <c r="O12" i="19"/>
  <c r="BJ25" i="7"/>
  <c r="L37" i="7"/>
  <c r="L391" i="3"/>
  <c r="Q75" i="13"/>
  <c r="BM77" i="11"/>
  <c r="AT77" i="11"/>
  <c r="Q61" i="11"/>
  <c r="R77" i="11"/>
  <c r="S77" i="11" s="1"/>
  <c r="T77" i="11" s="1"/>
  <c r="BB41" i="11"/>
  <c r="K233" i="4"/>
  <c r="N43" i="5"/>
  <c r="N132" i="4"/>
  <c r="N67" i="4"/>
  <c r="N95" i="4"/>
  <c r="D187" i="3"/>
  <c r="D91" i="3"/>
  <c r="D447" i="3" s="1"/>
  <c r="D480" i="3" s="1"/>
  <c r="B49" i="11"/>
  <c r="B229" i="4"/>
  <c r="H401" i="3"/>
  <c r="H450" i="3" s="1"/>
  <c r="H239" i="4"/>
  <c r="AS45" i="16"/>
  <c r="AD172" i="10"/>
  <c r="AD184" i="10"/>
  <c r="BN41" i="19"/>
  <c r="BC41" i="19"/>
  <c r="AQ14" i="21"/>
  <c r="AD23" i="5"/>
  <c r="AC23" i="5"/>
  <c r="BK39" i="11"/>
  <c r="BD3" i="13"/>
  <c r="N18" i="15"/>
  <c r="AE20" i="17"/>
  <c r="Q134" i="4"/>
  <c r="Q166" i="4" s="1"/>
  <c r="Q69" i="4"/>
  <c r="R331" i="19"/>
  <c r="T347" i="19"/>
  <c r="S347" i="19"/>
  <c r="U347" i="19"/>
  <c r="BC26" i="13"/>
  <c r="H188" i="3"/>
  <c r="H92" i="3"/>
  <c r="H448" i="3" s="1"/>
  <c r="O52" i="15"/>
  <c r="AY68" i="15"/>
  <c r="AP105" i="18"/>
  <c r="AQ104" i="18"/>
  <c r="N11" i="15"/>
  <c r="AW12" i="15"/>
  <c r="AA3" i="17"/>
  <c r="BB3" i="17"/>
  <c r="C71" i="4"/>
  <c r="C136" i="4"/>
  <c r="C168" i="4" s="1"/>
  <c r="C45" i="5"/>
  <c r="C70" i="5" s="1"/>
  <c r="C46" i="5"/>
  <c r="C71" i="5" s="1"/>
  <c r="C87" i="5" s="1"/>
  <c r="C120" i="5" s="1"/>
  <c r="M53" i="5"/>
  <c r="M78" i="5" s="1"/>
  <c r="M86" i="5" s="1"/>
  <c r="M73" i="4"/>
  <c r="M154" i="4"/>
  <c r="M170" i="4" s="1"/>
  <c r="AJ8" i="20"/>
  <c r="AK7" i="20"/>
  <c r="BA4" i="11"/>
  <c r="K3" i="11"/>
  <c r="K8" i="1"/>
  <c r="K25" i="1" s="1"/>
  <c r="BC4" i="13"/>
  <c r="X175" i="10"/>
  <c r="Y174" i="10"/>
  <c r="AC174" i="10" s="1"/>
  <c r="AG20" i="16"/>
  <c r="AH19" i="16"/>
  <c r="AN92" i="18"/>
  <c r="AM93" i="18"/>
  <c r="AI102" i="18"/>
  <c r="BA101" i="18"/>
  <c r="BC101" i="18" s="1"/>
  <c r="AK101" i="18"/>
  <c r="Q74" i="13"/>
  <c r="BM76" i="11"/>
  <c r="Q60" i="11"/>
  <c r="AT76" i="11"/>
  <c r="R76" i="11"/>
  <c r="AG14" i="17"/>
  <c r="AO24" i="22"/>
  <c r="L10" i="23"/>
  <c r="AL11" i="23"/>
  <c r="AM11" i="25"/>
  <c r="S318" i="17"/>
  <c r="T304" i="15"/>
  <c r="R58" i="8"/>
  <c r="S57" i="8"/>
  <c r="AN120" i="23"/>
  <c r="L129" i="23"/>
  <c r="AN129" i="23" s="1"/>
  <c r="E36" i="6"/>
  <c r="E13" i="23"/>
  <c r="E7" i="6" s="1"/>
  <c r="O135" i="4"/>
  <c r="O46" i="5"/>
  <c r="O71" i="5" s="1"/>
  <c r="O70" i="4"/>
  <c r="AV86" i="4"/>
  <c r="AW86" i="4"/>
  <c r="O45" i="5"/>
  <c r="O70" i="5" s="1"/>
  <c r="O86" i="5" s="1"/>
  <c r="O119" i="5" s="1"/>
  <c r="S120" i="15"/>
  <c r="S150" i="17"/>
  <c r="AS56" i="18"/>
  <c r="P127" i="13"/>
  <c r="P35" i="13"/>
  <c r="P47" i="13" s="1"/>
  <c r="P6" i="7"/>
  <c r="BR7" i="7"/>
  <c r="AO81" i="22"/>
  <c r="AP80" i="22"/>
  <c r="AP140" i="18"/>
  <c r="AQ139" i="18"/>
  <c r="Q155" i="17"/>
  <c r="Q123" i="17" s="1"/>
  <c r="Q107" i="17" s="1"/>
  <c r="Q125" i="15"/>
  <c r="BC157" i="15"/>
  <c r="R157" i="15"/>
  <c r="S157" i="15" s="1"/>
  <c r="AF22" i="17"/>
  <c r="BE100" i="14"/>
  <c r="BC100" i="14"/>
  <c r="S121" i="15"/>
  <c r="S105" i="15" s="1"/>
  <c r="AC104" i="20"/>
  <c r="AD103" i="20"/>
  <c r="E408" i="3"/>
  <c r="AL153" i="20"/>
  <c r="AO152" i="20"/>
  <c r="AP43" i="22"/>
  <c r="AO44" i="22"/>
  <c r="M28" i="1"/>
  <c r="Q363" i="13"/>
  <c r="Q347" i="13" s="1"/>
  <c r="Q331" i="13" s="1"/>
  <c r="AT349" i="11"/>
  <c r="BM349" i="11"/>
  <c r="Q333" i="11"/>
  <c r="Q204" i="4"/>
  <c r="Q252" i="3"/>
  <c r="R349" i="11"/>
  <c r="S381" i="11" s="1"/>
  <c r="AW102" i="22"/>
  <c r="AH10" i="25"/>
  <c r="G8" i="25"/>
  <c r="AH8" i="25" s="1"/>
  <c r="V175" i="10"/>
  <c r="U176" i="10"/>
  <c r="U131" i="10"/>
  <c r="Y103" i="8"/>
  <c r="X104" i="8"/>
  <c r="AW30" i="14"/>
  <c r="AX29" i="14"/>
  <c r="AB127" i="22"/>
  <c r="AA128" i="22"/>
  <c r="AX91" i="16"/>
  <c r="AZ90" i="16"/>
  <c r="AC66" i="8"/>
  <c r="J483" i="3"/>
  <c r="O3" i="7"/>
  <c r="BP4" i="7"/>
  <c r="AW126" i="16"/>
  <c r="AV127" i="16"/>
  <c r="BN40" i="19"/>
  <c r="BC40" i="19"/>
  <c r="AN119" i="22"/>
  <c r="AP118" i="22"/>
  <c r="I4" i="5"/>
  <c r="I345" i="4"/>
  <c r="AD4" i="21"/>
  <c r="B3" i="19"/>
  <c r="AO3" i="21"/>
  <c r="M50" i="17"/>
  <c r="AH150" i="18"/>
  <c r="AG151" i="18"/>
  <c r="BB150" i="18"/>
  <c r="AC90" i="10"/>
  <c r="L139" i="4"/>
  <c r="L171" i="4" s="1"/>
  <c r="L74" i="4"/>
  <c r="L348" i="4" s="1"/>
  <c r="R128" i="26"/>
  <c r="BL8" i="7"/>
  <c r="M6" i="7"/>
  <c r="E183" i="3"/>
  <c r="E87" i="3"/>
  <c r="E443" i="3" s="1"/>
  <c r="E476" i="3" s="1"/>
  <c r="D45" i="19"/>
  <c r="H384" i="4"/>
  <c r="BB126" i="11"/>
  <c r="K46" i="11"/>
  <c r="K130" i="11"/>
  <c r="BC24" i="15"/>
  <c r="AH24" i="17"/>
  <c r="L92" i="5"/>
  <c r="L192" i="4"/>
  <c r="L25" i="25"/>
  <c r="L51" i="25"/>
  <c r="O127" i="13"/>
  <c r="O35" i="13"/>
  <c r="O47" i="13" s="1"/>
  <c r="AN91" i="14"/>
  <c r="AK92" i="14"/>
  <c r="AG329" i="3"/>
  <c r="AF329" i="3"/>
  <c r="V56" i="10"/>
  <c r="U57" i="10"/>
  <c r="AW3" i="13"/>
  <c r="AI90" i="16"/>
  <c r="AK89" i="16"/>
  <c r="BA89" i="16" s="1"/>
  <c r="AO4" i="21"/>
  <c r="AE31" i="20"/>
  <c r="AG30" i="20"/>
  <c r="J15" i="7"/>
  <c r="I128" i="3"/>
  <c r="I84" i="3"/>
  <c r="I196" i="3"/>
  <c r="I148" i="3"/>
  <c r="I160" i="3" s="1"/>
  <c r="Y10" i="17"/>
  <c r="AZ10" i="17"/>
  <c r="AO55" i="16"/>
  <c r="AQ54" i="16"/>
  <c r="BC23" i="11"/>
  <c r="BD23" i="13"/>
  <c r="AB11" i="17"/>
  <c r="AT149" i="16"/>
  <c r="BA149" i="16" s="1"/>
  <c r="AR150" i="16"/>
  <c r="AP34" i="20"/>
  <c r="AR33" i="20"/>
  <c r="BH35" i="7"/>
  <c r="K401" i="3"/>
  <c r="H128" i="3"/>
  <c r="H84" i="3"/>
  <c r="H196" i="3"/>
  <c r="AH27" i="17"/>
  <c r="BC12" i="13"/>
  <c r="AK11" i="9"/>
  <c r="Y78" i="8"/>
  <c r="X79" i="8"/>
  <c r="AN127" i="18"/>
  <c r="AM128" i="18"/>
  <c r="BB127" i="18"/>
  <c r="AF106" i="20"/>
  <c r="AG105" i="20"/>
  <c r="K290" i="17"/>
  <c r="K38" i="17"/>
  <c r="K50" i="17" s="1"/>
  <c r="N20" i="13"/>
  <c r="BF21" i="13"/>
  <c r="Q316" i="17"/>
  <c r="BC302" i="15"/>
  <c r="R302" i="15"/>
  <c r="Q320" i="17"/>
  <c r="T306" i="15"/>
  <c r="R306" i="15"/>
  <c r="BC306" i="15"/>
  <c r="S306" i="15"/>
  <c r="AI201" i="3"/>
  <c r="AS5" i="15"/>
  <c r="AC5" i="17"/>
  <c r="AS119" i="11"/>
  <c r="BH128" i="11"/>
  <c r="BH129" i="11" s="1"/>
  <c r="P130" i="11"/>
  <c r="BK126" i="11"/>
  <c r="P46" i="11"/>
  <c r="I343" i="4"/>
  <c r="I3" i="5"/>
  <c r="I15" i="4"/>
  <c r="AD170" i="13"/>
  <c r="X174" i="13"/>
  <c r="AP163" i="13"/>
  <c r="AB163" i="13"/>
  <c r="S170" i="13"/>
  <c r="V174" i="13"/>
  <c r="AG130" i="22"/>
  <c r="AH129" i="22"/>
  <c r="J64" i="6"/>
  <c r="I53" i="5"/>
  <c r="I78" i="5" s="1"/>
  <c r="I86" i="5" s="1"/>
  <c r="I119" i="5" s="1"/>
  <c r="I154" i="4"/>
  <c r="I170" i="4" s="1"/>
  <c r="I73" i="4"/>
  <c r="AB7" i="8"/>
  <c r="AC7" i="8" s="1"/>
  <c r="AA8" i="8"/>
  <c r="D235" i="4"/>
  <c r="R32" i="24"/>
  <c r="S31" i="24"/>
  <c r="AR102" i="16"/>
  <c r="AT101" i="16"/>
  <c r="BA101" i="16" s="1"/>
  <c r="AE115" i="22"/>
  <c r="AD116" i="22"/>
  <c r="AP154" i="16"/>
  <c r="AQ153" i="16"/>
  <c r="AS9" i="15"/>
  <c r="AC9" i="17"/>
  <c r="S151" i="17" s="1"/>
  <c r="S119" i="17" s="1"/>
  <c r="S103" i="17" s="1"/>
  <c r="L7" i="15"/>
  <c r="F87" i="5"/>
  <c r="F120" i="5" s="1"/>
  <c r="AL164" i="22"/>
  <c r="AK165" i="22"/>
  <c r="N8" i="23"/>
  <c r="AP9" i="23"/>
  <c r="AO9" i="25"/>
  <c r="N147" i="11"/>
  <c r="N47" i="6"/>
  <c r="N65" i="6" s="1"/>
  <c r="BR30" i="7"/>
  <c r="P234" i="4"/>
  <c r="P297" i="4"/>
  <c r="P396" i="3"/>
  <c r="O133" i="15"/>
  <c r="AY132" i="15"/>
  <c r="O51" i="6"/>
  <c r="AN139" i="16"/>
  <c r="AM140" i="16"/>
  <c r="U137" i="19"/>
  <c r="T341" i="19"/>
  <c r="R152" i="24"/>
  <c r="S151" i="24"/>
  <c r="Q109" i="13"/>
  <c r="Q46" i="3" s="1"/>
  <c r="BM111" i="11"/>
  <c r="AT111" i="11"/>
  <c r="Q45" i="4"/>
  <c r="R111" i="11"/>
  <c r="S111" i="11" s="1"/>
  <c r="D131" i="25"/>
  <c r="D23" i="25"/>
  <c r="D35" i="25" s="1"/>
  <c r="AT151" i="22"/>
  <c r="AQ152" i="22"/>
  <c r="BC37" i="19"/>
  <c r="BN37" i="19"/>
  <c r="BL273" i="11"/>
  <c r="BM273" i="11" s="1"/>
  <c r="N49" i="6"/>
  <c r="N71" i="6" s="1"/>
  <c r="BD185" i="16"/>
  <c r="BQ183" i="12" s="1"/>
  <c r="BG183" i="12" s="1"/>
  <c r="BF14" i="19"/>
  <c r="L12" i="19"/>
  <c r="AN12" i="21" s="1"/>
  <c r="AN14" i="21"/>
  <c r="S231" i="21" s="1"/>
  <c r="S199" i="21" s="1"/>
  <c r="AL19" i="20"/>
  <c r="AO18" i="20"/>
  <c r="AG117" i="18"/>
  <c r="AH116" i="18"/>
  <c r="AP109" i="16"/>
  <c r="AQ108" i="16"/>
  <c r="O8" i="23"/>
  <c r="AR9" i="23"/>
  <c r="AP9" i="25"/>
  <c r="H15" i="6"/>
  <c r="BT6" i="9"/>
  <c r="O188" i="3"/>
  <c r="AE108" i="3"/>
  <c r="AF108" i="3"/>
  <c r="O92" i="3"/>
  <c r="AG108" i="3"/>
  <c r="AI108" i="3" s="1"/>
  <c r="AB108" i="3"/>
  <c r="AB109" i="3"/>
  <c r="S405" i="13"/>
  <c r="S278" i="3" s="1"/>
  <c r="S294" i="3" s="1"/>
  <c r="S214" i="4"/>
  <c r="S311" i="17"/>
  <c r="R310" i="17"/>
  <c r="S317" i="17"/>
  <c r="AB114" i="10"/>
  <c r="AC114" i="10" s="1"/>
  <c r="AA115" i="10"/>
  <c r="L77" i="4"/>
  <c r="L351" i="4" s="1"/>
  <c r="L142" i="4"/>
  <c r="L174" i="4" s="1"/>
  <c r="BC44" i="19"/>
  <c r="BN44" i="19"/>
  <c r="P240" i="4"/>
  <c r="AT21" i="23"/>
  <c r="P23" i="23"/>
  <c r="AT23" i="23" s="1"/>
  <c r="AT39" i="23"/>
  <c r="BK145" i="11"/>
  <c r="P147" i="11"/>
  <c r="P47" i="6"/>
  <c r="P65" i="6" s="1"/>
  <c r="P146" i="11"/>
  <c r="AP4" i="25"/>
  <c r="R410" i="13"/>
  <c r="R283" i="3" s="1"/>
  <c r="R299" i="3" s="1"/>
  <c r="R219" i="4"/>
  <c r="AL8" i="25"/>
  <c r="AX16" i="13"/>
  <c r="M42" i="17"/>
  <c r="M114" i="17"/>
  <c r="Q35" i="13"/>
  <c r="AX84" i="4"/>
  <c r="AJ101" i="3"/>
  <c r="AK101" i="3" s="1"/>
  <c r="AU4" i="13"/>
  <c r="AZ148" i="20"/>
  <c r="N302" i="4"/>
  <c r="N239" i="4"/>
  <c r="BV35" i="7"/>
  <c r="BN35" i="7"/>
  <c r="N401" i="3"/>
  <c r="BA24" i="15"/>
  <c r="AG24" i="17"/>
  <c r="D373" i="19"/>
  <c r="D30" i="19"/>
  <c r="D31" i="6"/>
  <c r="E192" i="4"/>
  <c r="E92" i="5"/>
  <c r="M116" i="15"/>
  <c r="AU116" i="15" s="1"/>
  <c r="AU104" i="15"/>
  <c r="M40" i="15"/>
  <c r="AU40" i="15" s="1"/>
  <c r="AJ3" i="9"/>
  <c r="BV3" i="9"/>
  <c r="N134" i="4"/>
  <c r="N166" i="4" s="1"/>
  <c r="N45" i="5"/>
  <c r="N70" i="5" s="1"/>
  <c r="AV85" i="4"/>
  <c r="N69" i="4"/>
  <c r="N343" i="4" s="1"/>
  <c r="AV20" i="18"/>
  <c r="AW19" i="18"/>
  <c r="AM19" i="22"/>
  <c r="AP18" i="22"/>
  <c r="AT18" i="22"/>
  <c r="AW18" i="22" s="1"/>
  <c r="BG25" i="13"/>
  <c r="G160" i="4"/>
  <c r="X44" i="10"/>
  <c r="Y43" i="10"/>
  <c r="AH102" i="16"/>
  <c r="AG103" i="16"/>
  <c r="AW10" i="17"/>
  <c r="E6" i="15"/>
  <c r="E24" i="6" s="1"/>
  <c r="AF93" i="18"/>
  <c r="BD161" i="16"/>
  <c r="BQ159" i="12" s="1"/>
  <c r="D408" i="3"/>
  <c r="D403" i="3"/>
  <c r="D440" i="3"/>
  <c r="BM270" i="11"/>
  <c r="Q108" i="4"/>
  <c r="Q54" i="5" s="1"/>
  <c r="E184" i="3"/>
  <c r="E88" i="3"/>
  <c r="E444" i="3" s="1"/>
  <c r="E477" i="3" s="1"/>
  <c r="AY29" i="14"/>
  <c r="BB29" i="14" s="1"/>
  <c r="BE29" i="14" s="1"/>
  <c r="AL45" i="23"/>
  <c r="K29" i="23"/>
  <c r="AL29" i="23" s="1"/>
  <c r="AL127" i="14"/>
  <c r="AZ126" i="14"/>
  <c r="AR3" i="21"/>
  <c r="AX21" i="13"/>
  <c r="F20" i="13"/>
  <c r="AX20" i="13" s="1"/>
  <c r="P42" i="15"/>
  <c r="BA42" i="15" s="1"/>
  <c r="J92" i="5"/>
  <c r="J192" i="4"/>
  <c r="AX152" i="16"/>
  <c r="AZ151" i="16"/>
  <c r="AE27" i="17"/>
  <c r="BE19" i="11"/>
  <c r="BE19" i="13"/>
  <c r="H185" i="3"/>
  <c r="H89" i="3"/>
  <c r="H445" i="3" s="1"/>
  <c r="H478" i="3" s="1"/>
  <c r="P16" i="19"/>
  <c r="BN16" i="19" s="1"/>
  <c r="AJ37" i="20"/>
  <c r="AP94" i="22"/>
  <c r="AO95" i="22"/>
  <c r="BC3" i="13"/>
  <c r="P22" i="15"/>
  <c r="BA23" i="15"/>
  <c r="P38" i="15"/>
  <c r="AG23" i="17"/>
  <c r="AN18" i="16"/>
  <c r="AM19" i="16"/>
  <c r="E23" i="19"/>
  <c r="E6" i="6" s="1"/>
  <c r="E30" i="6"/>
  <c r="E29" i="6" s="1"/>
  <c r="BD209" i="19"/>
  <c r="BD217" i="19"/>
  <c r="AR80" i="20"/>
  <c r="AP81" i="20"/>
  <c r="R80" i="8"/>
  <c r="S79" i="8"/>
  <c r="K144" i="3"/>
  <c r="AD132" i="3"/>
  <c r="AH132" i="3" s="1"/>
  <c r="K148" i="3"/>
  <c r="K160" i="3" s="1"/>
  <c r="R412" i="13"/>
  <c r="R285" i="3" s="1"/>
  <c r="R301" i="3" s="1"/>
  <c r="R221" i="4"/>
  <c r="AW11" i="17"/>
  <c r="AX104" i="16"/>
  <c r="AZ103" i="16"/>
  <c r="AP151" i="22"/>
  <c r="AO152" i="22"/>
  <c r="AF8" i="18"/>
  <c r="BA7" i="18"/>
  <c r="I15" i="7"/>
  <c r="J130" i="11"/>
  <c r="J46" i="11"/>
  <c r="J238" i="4" s="1"/>
  <c r="G403" i="3"/>
  <c r="G408" i="3"/>
  <c r="S55" i="11"/>
  <c r="BB148" i="16"/>
  <c r="BE5" i="13"/>
  <c r="D444" i="3"/>
  <c r="AF140" i="16"/>
  <c r="AH139" i="16"/>
  <c r="AN40" i="23"/>
  <c r="L24" i="23"/>
  <c r="AN24" i="23" s="1"/>
  <c r="I187" i="3"/>
  <c r="I91" i="3"/>
  <c r="I447" i="3" s="1"/>
  <c r="I480" i="3" s="1"/>
  <c r="Y163" i="8"/>
  <c r="X164" i="8"/>
  <c r="M14" i="15"/>
  <c r="AU15" i="15"/>
  <c r="CW15" i="15" s="1"/>
  <c r="AD15" i="17"/>
  <c r="BP30" i="7"/>
  <c r="BW30" i="7"/>
  <c r="O234" i="4"/>
  <c r="O297" i="4"/>
  <c r="O396" i="3"/>
  <c r="H71" i="4"/>
  <c r="H52" i="5"/>
  <c r="H111" i="4"/>
  <c r="H152" i="4"/>
  <c r="AI199" i="3"/>
  <c r="N143" i="4"/>
  <c r="N175" i="4" s="1"/>
  <c r="N78" i="4"/>
  <c r="N352" i="4" s="1"/>
  <c r="AN91" i="20"/>
  <c r="AO90" i="20"/>
  <c r="BE171" i="12"/>
  <c r="BN30" i="7"/>
  <c r="BV30" i="7"/>
  <c r="N234" i="4"/>
  <c r="N297" i="4"/>
  <c r="N396" i="3"/>
  <c r="V143" i="8"/>
  <c r="U144" i="8"/>
  <c r="F375" i="4"/>
  <c r="D3" i="11"/>
  <c r="AV4" i="13"/>
  <c r="D8" i="1"/>
  <c r="D25" i="1" s="1"/>
  <c r="O43" i="5"/>
  <c r="AY83" i="4"/>
  <c r="AW83" i="4"/>
  <c r="O132" i="4"/>
  <c r="AV83" i="4"/>
  <c r="O67" i="4"/>
  <c r="O95" i="4"/>
  <c r="AO10" i="25"/>
  <c r="N8" i="25"/>
  <c r="AW161" i="22"/>
  <c r="BA161" i="22" s="1"/>
  <c r="AR103" i="22"/>
  <c r="AV102" i="22"/>
  <c r="AS102" i="22"/>
  <c r="AS162" i="20"/>
  <c r="Y163" i="20"/>
  <c r="AA162" i="20"/>
  <c r="T139" i="10"/>
  <c r="V138" i="10"/>
  <c r="AC138" i="10" s="1"/>
  <c r="AH199" i="3"/>
  <c r="AE199" i="3"/>
  <c r="O190" i="3"/>
  <c r="AB110" i="3"/>
  <c r="AE110" i="3"/>
  <c r="O94" i="3"/>
  <c r="AG110" i="3"/>
  <c r="AI110" i="3" s="1"/>
  <c r="AF110" i="3"/>
  <c r="AB111" i="3"/>
  <c r="S137" i="21"/>
  <c r="R165" i="13"/>
  <c r="O139" i="4"/>
  <c r="AW90" i="4"/>
  <c r="O74" i="4"/>
  <c r="AV90" i="4"/>
  <c r="X167" i="13"/>
  <c r="AC165" i="13"/>
  <c r="AL163" i="13"/>
  <c r="S171" i="13"/>
  <c r="Z173" i="13"/>
  <c r="BE88" i="14"/>
  <c r="AJ68" i="18"/>
  <c r="AK67" i="18"/>
  <c r="Q317" i="17"/>
  <c r="BM39" i="11"/>
  <c r="BX27" i="7" s="1"/>
  <c r="AT39" i="11"/>
  <c r="AR162" i="18"/>
  <c r="BA162" i="18" s="1"/>
  <c r="BC162" i="18" s="1"/>
  <c r="BD162" i="18" s="1"/>
  <c r="AT161" i="18"/>
  <c r="BE24" i="11"/>
  <c r="BE24" i="13"/>
  <c r="T71" i="11"/>
  <c r="U71" i="11" s="1"/>
  <c r="BD219" i="19"/>
  <c r="BB160" i="14"/>
  <c r="AV31" i="18"/>
  <c r="AW30" i="18"/>
  <c r="AF3" i="17"/>
  <c r="AG55" i="22"/>
  <c r="AH54" i="22"/>
  <c r="V151" i="8"/>
  <c r="U152" i="8"/>
  <c r="AW166" i="18"/>
  <c r="AV167" i="18"/>
  <c r="AB103" i="8"/>
  <c r="AA104" i="8"/>
  <c r="BR12" i="9"/>
  <c r="F15" i="9"/>
  <c r="F2" i="2" s="1"/>
  <c r="S406" i="13"/>
  <c r="S279" i="3" s="1"/>
  <c r="S295" i="3" s="1"/>
  <c r="S215" i="4"/>
  <c r="AR46" i="23"/>
  <c r="O30" i="23"/>
  <c r="AR30" i="23" s="1"/>
  <c r="T311" i="17"/>
  <c r="N70" i="6"/>
  <c r="P155" i="4"/>
  <c r="P53" i="5"/>
  <c r="K189" i="3"/>
  <c r="AD109" i="3"/>
  <c r="K93" i="3"/>
  <c r="BA151" i="14"/>
  <c r="AM152" i="14"/>
  <c r="AZ20" i="18"/>
  <c r="AX21" i="18"/>
  <c r="BC39" i="19"/>
  <c r="BN39" i="19"/>
  <c r="AH9" i="3"/>
  <c r="AI9" i="3" s="1"/>
  <c r="AE9" i="3"/>
  <c r="S68" i="10"/>
  <c r="R69" i="10"/>
  <c r="AC80" i="20"/>
  <c r="AD79" i="20"/>
  <c r="P35" i="25"/>
  <c r="V90" i="26"/>
  <c r="W90" i="26" s="1"/>
  <c r="U91" i="26"/>
  <c r="AS132" i="15"/>
  <c r="L51" i="6"/>
  <c r="N3" i="7"/>
  <c r="BN4" i="7"/>
  <c r="L15" i="7"/>
  <c r="BJ12" i="7"/>
  <c r="L17" i="6"/>
  <c r="V45" i="8"/>
  <c r="U46" i="8"/>
  <c r="AS54" i="14"/>
  <c r="AV53" i="14"/>
  <c r="AY53" i="14"/>
  <c r="BB53" i="14" s="1"/>
  <c r="AX53" i="14"/>
  <c r="AW54" i="14"/>
  <c r="F373" i="19"/>
  <c r="F30" i="19"/>
  <c r="F31" i="6"/>
  <c r="AF80" i="18"/>
  <c r="AA103" i="20"/>
  <c r="AU103" i="20"/>
  <c r="Z104" i="20"/>
  <c r="AZ77" i="20"/>
  <c r="AX140" i="18"/>
  <c r="AZ139" i="18"/>
  <c r="Q105" i="13"/>
  <c r="Q42" i="3" s="1"/>
  <c r="BM107" i="11"/>
  <c r="AT107" i="11"/>
  <c r="Q41" i="4"/>
  <c r="R107" i="11"/>
  <c r="H144" i="3"/>
  <c r="H148" i="3"/>
  <c r="H160" i="3" s="1"/>
  <c r="AZ13" i="17"/>
  <c r="Y13" i="17"/>
  <c r="I23" i="21"/>
  <c r="AK12" i="21"/>
  <c r="AM45" i="16"/>
  <c r="AN44" i="16"/>
  <c r="I47" i="13"/>
  <c r="J48" i="13" s="1"/>
  <c r="F29" i="1"/>
  <c r="F28" i="1" s="1"/>
  <c r="Q132" i="21"/>
  <c r="BP132" i="19"/>
  <c r="R132" i="19"/>
  <c r="S132" i="19" s="1"/>
  <c r="Q140" i="19"/>
  <c r="I13" i="23"/>
  <c r="I7" i="6" s="1"/>
  <c r="I35" i="6"/>
  <c r="I34" i="6" s="1"/>
  <c r="N10" i="23"/>
  <c r="AP10" i="23" s="1"/>
  <c r="AP11" i="23"/>
  <c r="Y18" i="17"/>
  <c r="AZ18" i="17"/>
  <c r="H17" i="17"/>
  <c r="E15" i="7"/>
  <c r="O7" i="13"/>
  <c r="AB114" i="8"/>
  <c r="AC114" i="8" s="1"/>
  <c r="AD114" i="8" s="1"/>
  <c r="AA115" i="8"/>
  <c r="K44" i="5"/>
  <c r="K69" i="5" s="1"/>
  <c r="K68" i="4"/>
  <c r="K133" i="4"/>
  <c r="K165" i="4" s="1"/>
  <c r="AH78" i="16"/>
  <c r="AG79" i="16"/>
  <c r="F231" i="4"/>
  <c r="F393" i="3"/>
  <c r="F37" i="7"/>
  <c r="AW23" i="17"/>
  <c r="L182" i="3"/>
  <c r="L86" i="3"/>
  <c r="AD102" i="3"/>
  <c r="P302" i="4"/>
  <c r="BR35" i="7"/>
  <c r="P239" i="4"/>
  <c r="P401" i="3"/>
  <c r="P450" i="3" s="1"/>
  <c r="P483" i="3" s="1"/>
  <c r="BB184" i="20"/>
  <c r="BR182" i="12" s="1"/>
  <c r="BH182" i="12" s="1"/>
  <c r="AZ184" i="20"/>
  <c r="M301" i="4"/>
  <c r="BL34" i="7"/>
  <c r="M400" i="3"/>
  <c r="M449" i="3" s="1"/>
  <c r="BD401" i="11"/>
  <c r="L25" i="11"/>
  <c r="U54" i="24"/>
  <c r="V53" i="24"/>
  <c r="W53" i="24" s="1"/>
  <c r="AB151" i="8"/>
  <c r="AC151" i="8" s="1"/>
  <c r="AA152" i="8"/>
  <c r="BL12" i="9"/>
  <c r="AK12" i="9"/>
  <c r="K15" i="9"/>
  <c r="M139" i="4"/>
  <c r="M74" i="4"/>
  <c r="AR114" i="16"/>
  <c r="AT113" i="16"/>
  <c r="BA113" i="16" s="1"/>
  <c r="AZ90" i="18"/>
  <c r="AX91" i="18"/>
  <c r="AI31" i="18"/>
  <c r="BA30" i="18"/>
  <c r="AW78" i="20"/>
  <c r="AV78" i="20"/>
  <c r="AW41" i="20"/>
  <c r="AV41" i="20"/>
  <c r="AZ41" i="20" s="1"/>
  <c r="BN7" i="7"/>
  <c r="N6" i="7"/>
  <c r="BJ4" i="19"/>
  <c r="N3" i="19"/>
  <c r="AQ79" i="22"/>
  <c r="AT78" i="22"/>
  <c r="AW78" i="22" s="1"/>
  <c r="W101" i="24"/>
  <c r="AR149" i="14"/>
  <c r="AO150" i="14"/>
  <c r="AY150" i="14" s="1"/>
  <c r="BB150" i="14" s="1"/>
  <c r="F37" i="15"/>
  <c r="F27" i="6"/>
  <c r="F22" i="6" s="1"/>
  <c r="AB8" i="10"/>
  <c r="AA9" i="10"/>
  <c r="BK9" i="11"/>
  <c r="P8" i="11"/>
  <c r="P12" i="1"/>
  <c r="AK141" i="14"/>
  <c r="BA17" i="16"/>
  <c r="BH7" i="19"/>
  <c r="M31" i="19"/>
  <c r="M6" i="19"/>
  <c r="V89" i="24"/>
  <c r="W89" i="24" s="1"/>
  <c r="U90" i="24"/>
  <c r="J152" i="3"/>
  <c r="AD136" i="3"/>
  <c r="J88" i="3"/>
  <c r="J200" i="3"/>
  <c r="AV38" i="11"/>
  <c r="AG6" i="20"/>
  <c r="AF7" i="20"/>
  <c r="AU7" i="20" s="1"/>
  <c r="AM81" i="14"/>
  <c r="AT6" i="22"/>
  <c r="AQ7" i="22"/>
  <c r="Q19" i="24"/>
  <c r="S18" i="24"/>
  <c r="AR5" i="23"/>
  <c r="O4" i="23"/>
  <c r="F85" i="3"/>
  <c r="F441" i="3" s="1"/>
  <c r="F149" i="3"/>
  <c r="F197" i="3"/>
  <c r="F165" i="3" s="1"/>
  <c r="F311" i="3" s="1"/>
  <c r="AZ25" i="13"/>
  <c r="N6" i="5"/>
  <c r="I52" i="15"/>
  <c r="K116" i="15"/>
  <c r="K52" i="15" s="1"/>
  <c r="AW138" i="14"/>
  <c r="AX137" i="14"/>
  <c r="D383" i="4"/>
  <c r="AD4" i="25"/>
  <c r="AY105" i="15"/>
  <c r="O41" i="15"/>
  <c r="T128" i="10"/>
  <c r="V127" i="10"/>
  <c r="BD37" i="19"/>
  <c r="BL37" i="19"/>
  <c r="BD211" i="19"/>
  <c r="AA104" i="22"/>
  <c r="AB103" i="22"/>
  <c r="I3" i="11"/>
  <c r="I19" i="6" s="1"/>
  <c r="I8" i="1"/>
  <c r="I25" i="1" s="1"/>
  <c r="M7" i="13"/>
  <c r="BE8" i="13"/>
  <c r="Q408" i="13"/>
  <c r="Q281" i="3" s="1"/>
  <c r="AT378" i="11"/>
  <c r="Q217" i="4"/>
  <c r="BM378" i="11"/>
  <c r="J12" i="19"/>
  <c r="J33" i="6" s="1"/>
  <c r="R358" i="13"/>
  <c r="R342" i="13" s="1"/>
  <c r="R328" i="11"/>
  <c r="R183" i="4" s="1"/>
  <c r="R247" i="3"/>
  <c r="R199" i="4"/>
  <c r="AX161" i="14"/>
  <c r="AW162" i="14"/>
  <c r="R59" i="24"/>
  <c r="AJ122" i="20"/>
  <c r="J180" i="3"/>
  <c r="J84" i="3"/>
  <c r="J112" i="3"/>
  <c r="AD112" i="3" s="1"/>
  <c r="AD100" i="3"/>
  <c r="AH100" i="3" s="1"/>
  <c r="AP162" i="14"/>
  <c r="AR161" i="14"/>
  <c r="AQ128" i="18"/>
  <c r="AP129" i="18"/>
  <c r="AJ131" i="18"/>
  <c r="N94" i="5"/>
  <c r="N192" i="4"/>
  <c r="AK79" i="14"/>
  <c r="AN78" i="14"/>
  <c r="M68" i="6"/>
  <c r="U163" i="26"/>
  <c r="V162" i="26"/>
  <c r="W162" i="26" s="1"/>
  <c r="AD9" i="17"/>
  <c r="AI15" i="21"/>
  <c r="BE26" i="13"/>
  <c r="AC20" i="17"/>
  <c r="L18" i="15"/>
  <c r="N9" i="7"/>
  <c r="BN10" i="7"/>
  <c r="BA12" i="13"/>
  <c r="AU111" i="15"/>
  <c r="M47" i="15"/>
  <c r="AP33" i="18"/>
  <c r="AQ32" i="18"/>
  <c r="AG9" i="22"/>
  <c r="AH8" i="22"/>
  <c r="AP21" i="23"/>
  <c r="AJ4" i="25"/>
  <c r="I3" i="25"/>
  <c r="K53" i="5"/>
  <c r="K78" i="5" s="1"/>
  <c r="K86" i="5" s="1"/>
  <c r="K119" i="5" s="1"/>
  <c r="K73" i="4"/>
  <c r="D3" i="19"/>
  <c r="AF4" i="21"/>
  <c r="AF80" i="20"/>
  <c r="AG79" i="20"/>
  <c r="K32" i="23"/>
  <c r="AL32" i="23" s="1"/>
  <c r="AL48" i="23"/>
  <c r="N141" i="4"/>
  <c r="N76" i="4"/>
  <c r="N38" i="5" s="1"/>
  <c r="AV92" i="4"/>
  <c r="C93" i="5"/>
  <c r="C192" i="4"/>
  <c r="BA22" i="11"/>
  <c r="K21" i="11"/>
  <c r="K9" i="7"/>
  <c r="BG10" i="7"/>
  <c r="S321" i="19"/>
  <c r="U337" i="19"/>
  <c r="P133" i="15"/>
  <c r="BA132" i="15"/>
  <c r="P51" i="6"/>
  <c r="F7" i="5"/>
  <c r="BF122" i="11"/>
  <c r="M42" i="11"/>
  <c r="BF42" i="11" s="1"/>
  <c r="AK175" i="20"/>
  <c r="AJ176" i="20"/>
  <c r="BA42" i="18"/>
  <c r="BC42" i="18" s="1"/>
  <c r="AF43" i="18"/>
  <c r="AV164" i="16"/>
  <c r="AW163" i="16"/>
  <c r="R407" i="13"/>
  <c r="R280" i="3" s="1"/>
  <c r="R296" i="3" s="1"/>
  <c r="R216" i="4"/>
  <c r="AD116" i="3"/>
  <c r="J148" i="3"/>
  <c r="J128" i="3"/>
  <c r="J196" i="3"/>
  <c r="AL55" i="14"/>
  <c r="AZ54" i="14"/>
  <c r="AT104" i="20"/>
  <c r="AI105" i="20"/>
  <c r="AD178" i="22"/>
  <c r="AE177" i="22"/>
  <c r="C78" i="4"/>
  <c r="C143" i="4"/>
  <c r="C175" i="4" s="1"/>
  <c r="BA3" i="13"/>
  <c r="I27" i="13"/>
  <c r="AS117" i="16"/>
  <c r="N183" i="3"/>
  <c r="N87" i="3"/>
  <c r="N443" i="3" s="1"/>
  <c r="N476" i="3" s="1"/>
  <c r="AB126" i="10"/>
  <c r="AC126" i="10" s="1"/>
  <c r="AA127" i="10"/>
  <c r="AD165" i="22"/>
  <c r="AE164" i="22"/>
  <c r="G7" i="5"/>
  <c r="AI142" i="20"/>
  <c r="AT141" i="20"/>
  <c r="O95" i="5"/>
  <c r="K96" i="5"/>
  <c r="BK13" i="11"/>
  <c r="P12" i="11"/>
  <c r="BK12" i="11" s="1"/>
  <c r="R151" i="17"/>
  <c r="R119" i="17" s="1"/>
  <c r="R103" i="17" s="1"/>
  <c r="R121" i="15"/>
  <c r="R105" i="15" s="1"/>
  <c r="Y7" i="17"/>
  <c r="H6" i="17"/>
  <c r="AZ7" i="17"/>
  <c r="W337" i="19"/>
  <c r="R47" i="26"/>
  <c r="K7" i="5"/>
  <c r="I37" i="9"/>
  <c r="I292" i="4"/>
  <c r="BC24" i="11"/>
  <c r="D20" i="13"/>
  <c r="AV20" i="13" s="1"/>
  <c r="AV21" i="13"/>
  <c r="H373" i="19"/>
  <c r="H30" i="19"/>
  <c r="H31" i="6"/>
  <c r="E187" i="3"/>
  <c r="E91" i="3"/>
  <c r="E447" i="3" s="1"/>
  <c r="AE9" i="17"/>
  <c r="Q154" i="17" s="1"/>
  <c r="Q122" i="17" s="1"/>
  <c r="Q106" i="17" s="1"/>
  <c r="AN3" i="21"/>
  <c r="BL30" i="7"/>
  <c r="M297" i="4"/>
  <c r="M346" i="4" s="1"/>
  <c r="M378" i="4" s="1"/>
  <c r="M234" i="4"/>
  <c r="M396" i="3"/>
  <c r="M445" i="3" s="1"/>
  <c r="M478" i="3" s="1"/>
  <c r="M52" i="15"/>
  <c r="AU68" i="15"/>
  <c r="AQ95" i="16"/>
  <c r="AP96" i="16"/>
  <c r="L6" i="19"/>
  <c r="Y141" i="20"/>
  <c r="AA68" i="22"/>
  <c r="AB67" i="22"/>
  <c r="AI3" i="21"/>
  <c r="AW6" i="14"/>
  <c r="AX5" i="14"/>
  <c r="AY5" i="14"/>
  <c r="BB5" i="14" s="1"/>
  <c r="AT43" i="22"/>
  <c r="AQ44" i="22"/>
  <c r="D6" i="17"/>
  <c r="AV7" i="17"/>
  <c r="Y57" i="10"/>
  <c r="X58" i="10"/>
  <c r="AX13" i="17"/>
  <c r="F11" i="17"/>
  <c r="AX11" i="17" s="1"/>
  <c r="AL81" i="20"/>
  <c r="AS30" i="22"/>
  <c r="AR31" i="22"/>
  <c r="AV30" i="22"/>
  <c r="AW30" i="22" s="1"/>
  <c r="L237" i="4"/>
  <c r="AX125" i="14"/>
  <c r="AW126" i="14"/>
  <c r="AE137" i="3"/>
  <c r="AH137" i="3"/>
  <c r="AI137" i="3" s="1"/>
  <c r="AO164" i="14"/>
  <c r="AV21" i="23"/>
  <c r="AS92" i="16"/>
  <c r="AT91" i="16"/>
  <c r="R116" i="24"/>
  <c r="S115" i="24"/>
  <c r="G34" i="6"/>
  <c r="BQ9" i="9"/>
  <c r="H22" i="23"/>
  <c r="H49" i="23"/>
  <c r="AR42" i="20"/>
  <c r="AP43" i="20"/>
  <c r="AJ91" i="22"/>
  <c r="AU90" i="22"/>
  <c r="AW90" i="22" s="1"/>
  <c r="AM116" i="16"/>
  <c r="AN115" i="16"/>
  <c r="C12" i="19"/>
  <c r="AX80" i="18"/>
  <c r="AZ79" i="18"/>
  <c r="G52" i="15"/>
  <c r="AE13" i="17"/>
  <c r="AD7" i="20"/>
  <c r="AC8" i="20"/>
  <c r="W100" i="26"/>
  <c r="AK174" i="16"/>
  <c r="AJ175" i="16"/>
  <c r="BI4" i="11"/>
  <c r="O3" i="11"/>
  <c r="BG3" i="13" s="1"/>
  <c r="O8" i="1"/>
  <c r="O25" i="1" s="1"/>
  <c r="AB44" i="22"/>
  <c r="AA45" i="22"/>
  <c r="J127" i="13"/>
  <c r="AW6" i="18"/>
  <c r="AV7" i="18"/>
  <c r="AO164" i="22"/>
  <c r="AP163" i="22"/>
  <c r="V370" i="19"/>
  <c r="V376" i="19" s="1"/>
  <c r="W29" i="19"/>
  <c r="Q412" i="13"/>
  <c r="Q285" i="3" s="1"/>
  <c r="Q301" i="3" s="1"/>
  <c r="AT382" i="11"/>
  <c r="BM382" i="11"/>
  <c r="Q221" i="4"/>
  <c r="AR9" i="25"/>
  <c r="S344" i="11"/>
  <c r="AK55" i="16"/>
  <c r="AJ56" i="16"/>
  <c r="R118" i="10"/>
  <c r="S117" i="10"/>
  <c r="O38" i="17"/>
  <c r="O50" i="17" s="1"/>
  <c r="AX26" i="13"/>
  <c r="AB43" i="10"/>
  <c r="AA44" i="10"/>
  <c r="BL25" i="7"/>
  <c r="M37" i="7"/>
  <c r="M292" i="4"/>
  <c r="M229" i="4"/>
  <c r="M391" i="3"/>
  <c r="F186" i="3"/>
  <c r="F90" i="3"/>
  <c r="F446" i="3" s="1"/>
  <c r="F479" i="3" s="1"/>
  <c r="AR116" i="22"/>
  <c r="AK56" i="14"/>
  <c r="AN55" i="14"/>
  <c r="Q103" i="13"/>
  <c r="Q40" i="3" s="1"/>
  <c r="AT105" i="11"/>
  <c r="BM105" i="11"/>
  <c r="Q39" i="4"/>
  <c r="R105" i="11"/>
  <c r="S105" i="11" s="1"/>
  <c r="AN58" i="16"/>
  <c r="AM59" i="16"/>
  <c r="P23" i="21"/>
  <c r="AA14" i="17"/>
  <c r="BB14" i="17"/>
  <c r="B23" i="21"/>
  <c r="AD12" i="21"/>
  <c r="AX89" i="20"/>
  <c r="AX101" i="20"/>
  <c r="C64" i="6"/>
  <c r="BD11" i="13"/>
  <c r="BC11" i="11"/>
  <c r="Q8" i="11"/>
  <c r="L14" i="1"/>
  <c r="N190" i="3"/>
  <c r="N94" i="3"/>
  <c r="N450" i="3" s="1"/>
  <c r="F182" i="3"/>
  <c r="F86" i="3"/>
  <c r="AY114" i="20"/>
  <c r="AL3" i="21"/>
  <c r="C119" i="5"/>
  <c r="AX99" i="12"/>
  <c r="AY98" i="12"/>
  <c r="G129" i="11"/>
  <c r="G37" i="11"/>
  <c r="AM60" i="14"/>
  <c r="C17" i="6"/>
  <c r="C13" i="6" s="1"/>
  <c r="C15" i="7"/>
  <c r="C3" i="6" s="1"/>
  <c r="BA117" i="14"/>
  <c r="AM118" i="14"/>
  <c r="AG8" i="18"/>
  <c r="AH7" i="18"/>
  <c r="AG139" i="20"/>
  <c r="AF140" i="20"/>
  <c r="AD42" i="20"/>
  <c r="AC43" i="20"/>
  <c r="AU42" i="20"/>
  <c r="R70" i="24"/>
  <c r="S69" i="24"/>
  <c r="K71" i="4"/>
  <c r="K152" i="4"/>
  <c r="AG176" i="16"/>
  <c r="AH175" i="16"/>
  <c r="BQ12" i="9"/>
  <c r="E15" i="9"/>
  <c r="E2" i="2" s="1"/>
  <c r="W40" i="26"/>
  <c r="AU18" i="15"/>
  <c r="M17" i="15"/>
  <c r="C21" i="6"/>
  <c r="AV57" i="16"/>
  <c r="AW56" i="16"/>
  <c r="AV162" i="22"/>
  <c r="AZ162" i="22" s="1"/>
  <c r="AR163" i="22"/>
  <c r="AS162" i="22"/>
  <c r="M141" i="4"/>
  <c r="E95" i="4"/>
  <c r="E132" i="4"/>
  <c r="E67" i="4"/>
  <c r="E43" i="5"/>
  <c r="AD185" i="10"/>
  <c r="AC113" i="10"/>
  <c r="AH117" i="3"/>
  <c r="AI117" i="3" s="1"/>
  <c r="AE117" i="3"/>
  <c r="AY47" i="15"/>
  <c r="AQ47" i="15"/>
  <c r="AU66" i="22"/>
  <c r="AJ67" i="22"/>
  <c r="AL66" i="22"/>
  <c r="F13" i="23"/>
  <c r="F7" i="6" s="1"/>
  <c r="F35" i="6"/>
  <c r="F34" i="6" s="1"/>
  <c r="AB78" i="22"/>
  <c r="AA79" i="22"/>
  <c r="R356" i="13"/>
  <c r="R340" i="13" s="1"/>
  <c r="R326" i="11"/>
  <c r="R197" i="4"/>
  <c r="R245" i="3"/>
  <c r="S342" i="11"/>
  <c r="T342" i="11" s="1"/>
  <c r="AX342" i="11"/>
  <c r="R160" i="15"/>
  <c r="S160" i="15" s="1"/>
  <c r="P143" i="4"/>
  <c r="P175" i="4" s="1"/>
  <c r="P78" i="4"/>
  <c r="AS94" i="4"/>
  <c r="AD18" i="17"/>
  <c r="M17" i="17"/>
  <c r="AD17" i="17" s="1"/>
  <c r="AW42" i="18"/>
  <c r="AV43" i="18"/>
  <c r="I68" i="6"/>
  <c r="D86" i="5"/>
  <c r="D119" i="5" s="1"/>
  <c r="BE14" i="11"/>
  <c r="AG116" i="16"/>
  <c r="AH115" i="16"/>
  <c r="AP11" i="25"/>
  <c r="O10" i="25"/>
  <c r="BJ31" i="7"/>
  <c r="L235" i="4"/>
  <c r="L397" i="3"/>
  <c r="AT66" i="22"/>
  <c r="AQ67" i="22"/>
  <c r="BA111" i="15"/>
  <c r="P47" i="15"/>
  <c r="BA47" i="15" s="1"/>
  <c r="AO174" i="20"/>
  <c r="AL175" i="20"/>
  <c r="AS174" i="20"/>
  <c r="O93" i="5"/>
  <c r="P128" i="3"/>
  <c r="P196" i="3"/>
  <c r="P208" i="3" s="1"/>
  <c r="AB91" i="20"/>
  <c r="AS90" i="20"/>
  <c r="AD90" i="20"/>
  <c r="BB31" i="18"/>
  <c r="AG32" i="18"/>
  <c r="AH31" i="18"/>
  <c r="AY53" i="20"/>
  <c r="AI56" i="20"/>
  <c r="AT55" i="20"/>
  <c r="AX55" i="20" s="1"/>
  <c r="AK55" i="20"/>
  <c r="Q68" i="26"/>
  <c r="S67" i="26"/>
  <c r="W67" i="26" s="1"/>
  <c r="AS15" i="15"/>
  <c r="L14" i="15"/>
  <c r="AO175" i="22"/>
  <c r="AP174" i="22"/>
  <c r="P25" i="23"/>
  <c r="AT25" i="23" s="1"/>
  <c r="AT41" i="23"/>
  <c r="Y34" i="10"/>
  <c r="X35" i="10"/>
  <c r="AG10" i="17"/>
  <c r="AF164" i="20"/>
  <c r="AG163" i="20"/>
  <c r="H33" i="23"/>
  <c r="AG33" i="16"/>
  <c r="AH32" i="16"/>
  <c r="BK270" i="11"/>
  <c r="P108" i="4"/>
  <c r="P76" i="4" s="1"/>
  <c r="P273" i="11"/>
  <c r="AP32" i="16"/>
  <c r="AQ31" i="16"/>
  <c r="E181" i="3"/>
  <c r="E85" i="3"/>
  <c r="E441" i="3" s="1"/>
  <c r="E112" i="3"/>
  <c r="L180" i="3"/>
  <c r="L112" i="3"/>
  <c r="L84" i="3"/>
  <c r="K183" i="3"/>
  <c r="K87" i="3"/>
  <c r="K443" i="3" s="1"/>
  <c r="K476" i="3" s="1"/>
  <c r="K112" i="3"/>
  <c r="C85" i="5"/>
  <c r="AD3" i="5"/>
  <c r="AC3" i="5"/>
  <c r="P7" i="5"/>
  <c r="J402" i="3"/>
  <c r="J240" i="4"/>
  <c r="AD197" i="3"/>
  <c r="C86" i="5"/>
  <c r="E37" i="15"/>
  <c r="E27" i="6"/>
  <c r="D71" i="4"/>
  <c r="D136" i="4"/>
  <c r="D168" i="4" s="1"/>
  <c r="D45" i="5"/>
  <c r="D70" i="5" s="1"/>
  <c r="D46" i="5"/>
  <c r="D71" i="5" s="1"/>
  <c r="D87" i="5" s="1"/>
  <c r="D120" i="5" s="1"/>
  <c r="H3" i="11"/>
  <c r="H8" i="1"/>
  <c r="H25" i="1" s="1"/>
  <c r="BC15" i="11"/>
  <c r="AM79" i="18"/>
  <c r="BB79" i="18" s="1"/>
  <c r="AN78" i="18"/>
  <c r="S43" i="10"/>
  <c r="R44" i="10"/>
  <c r="U82" i="8"/>
  <c r="V81" i="8"/>
  <c r="B70" i="6"/>
  <c r="J3" i="19"/>
  <c r="J3" i="25"/>
  <c r="AK4" i="25"/>
  <c r="J37" i="15"/>
  <c r="J27" i="6"/>
  <c r="AS68" i="16"/>
  <c r="AT67" i="16"/>
  <c r="Q406" i="13"/>
  <c r="AT376" i="11"/>
  <c r="BM376" i="11"/>
  <c r="Q215" i="4"/>
  <c r="Q384" i="11"/>
  <c r="V346" i="19"/>
  <c r="H376" i="4"/>
  <c r="Q328" i="11"/>
  <c r="AO104" i="20"/>
  <c r="AL105" i="20"/>
  <c r="AI42" i="16"/>
  <c r="AK41" i="16"/>
  <c r="S136" i="21"/>
  <c r="AC42" i="10"/>
  <c r="AR164" i="16"/>
  <c r="AT163" i="16"/>
  <c r="AJ68" i="20"/>
  <c r="AK67" i="20"/>
  <c r="AT20" i="18"/>
  <c r="AS21" i="18"/>
  <c r="AZ42" i="14"/>
  <c r="AL43" i="14"/>
  <c r="AN43" i="14" s="1"/>
  <c r="AW129" i="18"/>
  <c r="AV130" i="18"/>
  <c r="J321" i="3"/>
  <c r="J22" i="6"/>
  <c r="I51" i="25"/>
  <c r="I23" i="25"/>
  <c r="I35" i="25" s="1"/>
  <c r="AO30" i="14"/>
  <c r="AR29" i="14"/>
  <c r="AE25" i="17"/>
  <c r="C3" i="19"/>
  <c r="AE4" i="21"/>
  <c r="AX182" i="12"/>
  <c r="BM182" i="12"/>
  <c r="U67" i="24"/>
  <c r="V66" i="24"/>
  <c r="W66" i="24" s="1"/>
  <c r="P140" i="4"/>
  <c r="P172" i="4" s="1"/>
  <c r="AS91" i="4"/>
  <c r="P75" i="4"/>
  <c r="AK44" i="14"/>
  <c r="BC173" i="14"/>
  <c r="BC5" i="11"/>
  <c r="T88" i="17"/>
  <c r="S97" i="17"/>
  <c r="R92" i="17"/>
  <c r="D51" i="5"/>
  <c r="D111" i="4"/>
  <c r="D148" i="4"/>
  <c r="D160" i="4" s="1"/>
  <c r="Q151" i="10"/>
  <c r="S150" i="10"/>
  <c r="AC150" i="10" s="1"/>
  <c r="AD150" i="10" s="1"/>
  <c r="F27" i="13"/>
  <c r="AH135" i="3"/>
  <c r="AI135" i="3" s="1"/>
  <c r="AE135" i="3"/>
  <c r="BD270" i="11"/>
  <c r="L126" i="11"/>
  <c r="L108" i="4"/>
  <c r="BK11" i="11"/>
  <c r="P14" i="1"/>
  <c r="C419" i="13"/>
  <c r="C431" i="13" s="1"/>
  <c r="C25" i="13" s="1"/>
  <c r="AU25" i="13" s="1"/>
  <c r="C447" i="13"/>
  <c r="C26" i="13" s="1"/>
  <c r="AU26" i="13" s="1"/>
  <c r="R152" i="17"/>
  <c r="R120" i="17" s="1"/>
  <c r="R104" i="17" s="1"/>
  <c r="R122" i="15"/>
  <c r="R106" i="15" s="1"/>
  <c r="V103" i="10"/>
  <c r="U104" i="10"/>
  <c r="AY7" i="17"/>
  <c r="G6" i="17"/>
  <c r="E3" i="11"/>
  <c r="E19" i="6" s="1"/>
  <c r="E8" i="1"/>
  <c r="B240" i="4"/>
  <c r="B402" i="3"/>
  <c r="S310" i="17"/>
  <c r="U296" i="15"/>
  <c r="B17" i="6"/>
  <c r="B13" i="6" s="1"/>
  <c r="B15" i="7"/>
  <c r="B3" i="6" s="1"/>
  <c r="AD149" i="10"/>
  <c r="AZ42" i="18"/>
  <c r="AX43" i="18"/>
  <c r="AO31" i="20"/>
  <c r="AL32" i="20"/>
  <c r="AL102" i="22"/>
  <c r="AK103" i="22"/>
  <c r="C29" i="1"/>
  <c r="C28" i="1" s="1"/>
  <c r="AW65" i="22"/>
  <c r="AK186" i="20"/>
  <c r="AU186" i="20"/>
  <c r="AG337" i="3"/>
  <c r="AF337" i="3"/>
  <c r="L37" i="9"/>
  <c r="L292" i="4"/>
  <c r="L32" i="23"/>
  <c r="AN32" i="23" s="1"/>
  <c r="AN48" i="23"/>
  <c r="BM117" i="11"/>
  <c r="AT117" i="11"/>
  <c r="AS117" i="11"/>
  <c r="Q37" i="11"/>
  <c r="AO138" i="20"/>
  <c r="AL139" i="20"/>
  <c r="AS138" i="20"/>
  <c r="G51" i="25"/>
  <c r="G23" i="25"/>
  <c r="G35" i="25" s="1"/>
  <c r="AT38" i="11"/>
  <c r="BM38" i="11"/>
  <c r="BX26" i="7" s="1"/>
  <c r="AD4" i="17"/>
  <c r="AU4" i="15"/>
  <c r="CW4" i="15" s="1"/>
  <c r="M3" i="15"/>
  <c r="AR175" i="20"/>
  <c r="AP176" i="20"/>
  <c r="E114" i="17"/>
  <c r="E39" i="17"/>
  <c r="AZ3" i="13"/>
  <c r="AD104" i="5"/>
  <c r="AC104" i="5"/>
  <c r="AZ30" i="14"/>
  <c r="AL31" i="14"/>
  <c r="AV32" i="16"/>
  <c r="AW31" i="16"/>
  <c r="I7" i="11"/>
  <c r="I20" i="6" s="1"/>
  <c r="I41" i="6" s="1"/>
  <c r="R92" i="26"/>
  <c r="S91" i="26"/>
  <c r="BD33" i="19"/>
  <c r="O45" i="19"/>
  <c r="BL33" i="19"/>
  <c r="BH26" i="13"/>
  <c r="AJ152" i="20"/>
  <c r="AK151" i="20"/>
  <c r="AB90" i="22"/>
  <c r="AA91" i="22"/>
  <c r="AV151" i="16"/>
  <c r="AW150" i="16"/>
  <c r="E34" i="6"/>
  <c r="AN116" i="14"/>
  <c r="AK117" i="14"/>
  <c r="AZ40" i="20"/>
  <c r="S102" i="10"/>
  <c r="AC102" i="10" s="1"/>
  <c r="R103" i="10"/>
  <c r="V78" i="26"/>
  <c r="W78" i="26" s="1"/>
  <c r="U79" i="26"/>
  <c r="BD88" i="18"/>
  <c r="Q413" i="13"/>
  <c r="Q286" i="3" s="1"/>
  <c r="Q302" i="3" s="1"/>
  <c r="BM383" i="11"/>
  <c r="AT383" i="11"/>
  <c r="Q222" i="4"/>
  <c r="W346" i="19"/>
  <c r="X346" i="19" s="1"/>
  <c r="Y346" i="19" s="1"/>
  <c r="R359" i="13"/>
  <c r="R343" i="13" s="1"/>
  <c r="R329" i="11"/>
  <c r="R184" i="4" s="1"/>
  <c r="R200" i="4"/>
  <c r="R248" i="3"/>
  <c r="AZ160" i="20"/>
  <c r="BB160" i="20"/>
  <c r="BR158" i="12" s="1"/>
  <c r="BH158" i="12" s="1"/>
  <c r="AD15" i="21"/>
  <c r="Q16" i="11"/>
  <c r="BM17" i="11"/>
  <c r="R176" i="10"/>
  <c r="S175" i="10"/>
  <c r="BE11" i="11"/>
  <c r="M14" i="1"/>
  <c r="BE11" i="13"/>
  <c r="G3" i="11"/>
  <c r="G19" i="6" s="1"/>
  <c r="G8" i="1"/>
  <c r="AM151" i="16"/>
  <c r="AN150" i="16"/>
  <c r="C182" i="3"/>
  <c r="C86" i="3"/>
  <c r="C442" i="3" s="1"/>
  <c r="J116" i="15"/>
  <c r="J40" i="15"/>
  <c r="J52" i="15" s="1"/>
  <c r="AK173" i="18"/>
  <c r="AI174" i="18"/>
  <c r="AW113" i="22"/>
  <c r="O183" i="3"/>
  <c r="AE103" i="3"/>
  <c r="AF103" i="3"/>
  <c r="O87" i="3"/>
  <c r="AG103" i="3"/>
  <c r="AI103" i="3" s="1"/>
  <c r="AB103" i="3"/>
  <c r="AB104" i="3"/>
  <c r="AI91" i="20"/>
  <c r="AT90" i="20"/>
  <c r="AK90" i="20"/>
  <c r="N30" i="23"/>
  <c r="AP30" i="23" s="1"/>
  <c r="AP46" i="23"/>
  <c r="I96" i="5"/>
  <c r="AC77" i="8"/>
  <c r="AD77" i="8" s="1"/>
  <c r="AG395" i="3"/>
  <c r="AI395" i="3" s="1"/>
  <c r="AF395" i="3"/>
  <c r="AE395" i="3"/>
  <c r="BA126" i="14"/>
  <c r="AM127" i="14"/>
  <c r="AR17" i="14"/>
  <c r="AO18" i="14"/>
  <c r="V41" i="26"/>
  <c r="W41" i="26" s="1"/>
  <c r="U42" i="26"/>
  <c r="S92" i="10"/>
  <c r="R93" i="10"/>
  <c r="Y117" i="20"/>
  <c r="I49" i="23"/>
  <c r="I21" i="23"/>
  <c r="I33" i="23" s="1"/>
  <c r="AH42" i="16"/>
  <c r="AG43" i="16"/>
  <c r="AH130" i="16"/>
  <c r="AG131" i="16"/>
  <c r="I22" i="7"/>
  <c r="J15" i="6"/>
  <c r="J13" i="6" s="1"/>
  <c r="AN30" i="14"/>
  <c r="AK31" i="14"/>
  <c r="F23" i="19"/>
  <c r="F6" i="6" s="1"/>
  <c r="F30" i="6"/>
  <c r="F29" i="6" s="1"/>
  <c r="AS6" i="22"/>
  <c r="AR7" i="22"/>
  <c r="AV6" i="22"/>
  <c r="D49" i="23"/>
  <c r="D21" i="23"/>
  <c r="D33" i="23" s="1"/>
  <c r="J317" i="3"/>
  <c r="Y56" i="8"/>
  <c r="X57" i="8"/>
  <c r="U121" i="10"/>
  <c r="BR29" i="7"/>
  <c r="P395" i="3"/>
  <c r="P444" i="3" s="1"/>
  <c r="P477" i="3" s="1"/>
  <c r="P296" i="4"/>
  <c r="F3" i="11"/>
  <c r="F19" i="6" s="1"/>
  <c r="F8" i="1"/>
  <c r="O11" i="15"/>
  <c r="AY12" i="15"/>
  <c r="AJ165" i="16"/>
  <c r="P45" i="21"/>
  <c r="N23" i="21"/>
  <c r="AP12" i="21"/>
  <c r="AQ115" i="22"/>
  <c r="AT114" i="22"/>
  <c r="AW114" i="22" s="1"/>
  <c r="Q25" i="9"/>
  <c r="BM170" i="12"/>
  <c r="AX170" i="12"/>
  <c r="BE172" i="14" s="1"/>
  <c r="Q92" i="5"/>
  <c r="K111" i="4"/>
  <c r="K128" i="4" s="1"/>
  <c r="K148" i="4"/>
  <c r="K51" i="5"/>
  <c r="BB16" i="13"/>
  <c r="AZ23" i="17"/>
  <c r="Y25" i="17"/>
  <c r="AJ4" i="21"/>
  <c r="AB78" i="8"/>
  <c r="AA79" i="8"/>
  <c r="K128" i="3"/>
  <c r="K84" i="3"/>
  <c r="K196" i="3"/>
  <c r="M11" i="15"/>
  <c r="AU12" i="15"/>
  <c r="CW12" i="15" s="1"/>
  <c r="G182" i="3"/>
  <c r="G86" i="3"/>
  <c r="G442" i="3" s="1"/>
  <c r="O92" i="5"/>
  <c r="O192" i="4"/>
  <c r="AE18" i="22"/>
  <c r="AD19" i="22"/>
  <c r="AV19" i="22" s="1"/>
  <c r="AD142" i="22"/>
  <c r="AE141" i="22"/>
  <c r="V53" i="26"/>
  <c r="W53" i="26" s="1"/>
  <c r="U54" i="26"/>
  <c r="O129" i="23"/>
  <c r="AR129" i="23" s="1"/>
  <c r="F129" i="11"/>
  <c r="F37" i="11"/>
  <c r="K184" i="3"/>
  <c r="K88" i="3"/>
  <c r="K444" i="3" s="1"/>
  <c r="K477" i="3" s="1"/>
  <c r="AD104" i="3"/>
  <c r="Q123" i="15"/>
  <c r="BC155" i="15"/>
  <c r="P48" i="15"/>
  <c r="BA112" i="15"/>
  <c r="F403" i="3"/>
  <c r="F408" i="3"/>
  <c r="AN42" i="14"/>
  <c r="AN102" i="14"/>
  <c r="AK103" i="14"/>
  <c r="AY102" i="14"/>
  <c r="O315" i="3"/>
  <c r="AG169" i="3"/>
  <c r="AH139" i="3"/>
  <c r="AI139" i="3" s="1"/>
  <c r="AE139" i="3"/>
  <c r="AX175" i="16"/>
  <c r="AZ174" i="16"/>
  <c r="O343" i="4"/>
  <c r="K11" i="15"/>
  <c r="AB13" i="17"/>
  <c r="AT6" i="18"/>
  <c r="AS7" i="18"/>
  <c r="D71" i="6"/>
  <c r="AE233" i="3"/>
  <c r="H43" i="5"/>
  <c r="H67" i="4"/>
  <c r="H132" i="4"/>
  <c r="H95" i="4"/>
  <c r="M441" i="3"/>
  <c r="T153" i="15"/>
  <c r="U153" i="15" s="1"/>
  <c r="AU11" i="17"/>
  <c r="AI186" i="18"/>
  <c r="AK185" i="18"/>
  <c r="BA185" i="18"/>
  <c r="BC185" i="18" s="1"/>
  <c r="BD185" i="18" s="1"/>
  <c r="R8" i="24"/>
  <c r="S7" i="24"/>
  <c r="BL28" i="7"/>
  <c r="M232" i="4"/>
  <c r="M295" i="4"/>
  <c r="M394" i="3"/>
  <c r="M443" i="3" s="1"/>
  <c r="M476" i="3" s="1"/>
  <c r="L16" i="11"/>
  <c r="BC17" i="11"/>
  <c r="E154" i="3"/>
  <c r="E144" i="3"/>
  <c r="E90" i="3"/>
  <c r="E446" i="3" s="1"/>
  <c r="E479" i="3" s="1"/>
  <c r="E202" i="3"/>
  <c r="E170" i="3" s="1"/>
  <c r="E316" i="3" s="1"/>
  <c r="R159" i="15"/>
  <c r="R31" i="26"/>
  <c r="S30" i="26"/>
  <c r="BB11" i="13"/>
  <c r="BE12" i="13"/>
  <c r="W31" i="8"/>
  <c r="Y30" i="8"/>
  <c r="AL7" i="14"/>
  <c r="AZ6" i="14"/>
  <c r="AN6" i="14"/>
  <c r="AS155" i="16"/>
  <c r="BB20" i="17"/>
  <c r="AA22" i="17"/>
  <c r="BJ7" i="19"/>
  <c r="N31" i="19"/>
  <c r="N6" i="19"/>
  <c r="AP6" i="21" s="1"/>
  <c r="BP10" i="19"/>
  <c r="Q9" i="19"/>
  <c r="AR13" i="15"/>
  <c r="CU13" i="15" s="1"/>
  <c r="BA16" i="15"/>
  <c r="P14" i="15"/>
  <c r="C7" i="13"/>
  <c r="AU8" i="13"/>
  <c r="N3" i="11"/>
  <c r="BG4" i="11"/>
  <c r="N8" i="1"/>
  <c r="N25" i="1" s="1"/>
  <c r="AG27" i="17"/>
  <c r="BA27" i="15"/>
  <c r="AU54" i="20"/>
  <c r="Z55" i="20"/>
  <c r="AA54" i="20"/>
  <c r="AP30" i="22"/>
  <c r="AO31" i="22"/>
  <c r="O10" i="23"/>
  <c r="AR10" i="23" s="1"/>
  <c r="AR11" i="23"/>
  <c r="O70" i="6"/>
  <c r="BR26" i="7"/>
  <c r="P293" i="4"/>
  <c r="P230" i="4"/>
  <c r="P392" i="3"/>
  <c r="P441" i="3" s="1"/>
  <c r="AS38" i="11"/>
  <c r="BK37" i="11"/>
  <c r="BH39" i="11"/>
  <c r="BH40" i="11" s="1"/>
  <c r="P49" i="11"/>
  <c r="BK49" i="11" s="1"/>
  <c r="P50" i="11"/>
  <c r="P51" i="11" s="1"/>
  <c r="AX143" i="16"/>
  <c r="H45" i="19"/>
  <c r="AD126" i="20"/>
  <c r="AC127" i="20"/>
  <c r="AR94" i="22"/>
  <c r="AZ10" i="18"/>
  <c r="AX11" i="18"/>
  <c r="I188" i="3"/>
  <c r="I92" i="3"/>
  <c r="I448" i="3" s="1"/>
  <c r="AW142" i="18"/>
  <c r="AV143" i="18"/>
  <c r="L127" i="13"/>
  <c r="K41" i="17"/>
  <c r="K114" i="17"/>
  <c r="G128" i="3"/>
  <c r="G196" i="3"/>
  <c r="G148" i="3"/>
  <c r="M41" i="11"/>
  <c r="AN119" i="23"/>
  <c r="L23" i="23"/>
  <c r="AN23" i="23" s="1"/>
  <c r="AP163" i="16"/>
  <c r="AQ162" i="16"/>
  <c r="AW113" i="20"/>
  <c r="AV113" i="20"/>
  <c r="AK37" i="9"/>
  <c r="BF16" i="13"/>
  <c r="P37" i="7"/>
  <c r="BR37" i="7" s="1"/>
  <c r="P292" i="4"/>
  <c r="BR25" i="7"/>
  <c r="P229" i="4"/>
  <c r="P391" i="3"/>
  <c r="AC164" i="20"/>
  <c r="AD163" i="20"/>
  <c r="AU163" i="20"/>
  <c r="AY126" i="14"/>
  <c r="AN126" i="14"/>
  <c r="AK127" i="14"/>
  <c r="AI12" i="21"/>
  <c r="G23" i="21"/>
  <c r="AJ105" i="22"/>
  <c r="AU104" i="22"/>
  <c r="AG152" i="16"/>
  <c r="AH151" i="16"/>
  <c r="Q133" i="21"/>
  <c r="BP133" i="19"/>
  <c r="R133" i="19"/>
  <c r="AI90" i="18"/>
  <c r="AK89" i="18"/>
  <c r="BA89" i="18"/>
  <c r="BC89" i="18" s="1"/>
  <c r="BD89" i="18" s="1"/>
  <c r="Q407" i="13"/>
  <c r="Q280" i="3" s="1"/>
  <c r="AT377" i="11"/>
  <c r="BM377" i="11"/>
  <c r="Q216" i="4"/>
  <c r="AM164" i="14"/>
  <c r="BA163" i="14"/>
  <c r="I403" i="3"/>
  <c r="I408" i="3"/>
  <c r="U7" i="24"/>
  <c r="V6" i="24"/>
  <c r="W6" i="24" s="1"/>
  <c r="AR126" i="18"/>
  <c r="AT125" i="18"/>
  <c r="T136" i="19"/>
  <c r="C13" i="23"/>
  <c r="C7" i="6" s="1"/>
  <c r="C35" i="6"/>
  <c r="C34" i="6" s="1"/>
  <c r="Q78" i="24"/>
  <c r="S77" i="24"/>
  <c r="Q107" i="13"/>
  <c r="Q44" i="3" s="1"/>
  <c r="BM109" i="11"/>
  <c r="AT109" i="11"/>
  <c r="Q43" i="4"/>
  <c r="R109" i="11"/>
  <c r="U31" i="24"/>
  <c r="V30" i="24"/>
  <c r="W30" i="24" s="1"/>
  <c r="K77" i="4"/>
  <c r="K142" i="4"/>
  <c r="AE83" i="22"/>
  <c r="AD84" i="22"/>
  <c r="AR129" i="22"/>
  <c r="Y22" i="20"/>
  <c r="AQ116" i="16"/>
  <c r="AP117" i="16"/>
  <c r="AV92" i="16"/>
  <c r="AW91" i="16"/>
  <c r="M144" i="3"/>
  <c r="M148" i="3"/>
  <c r="M160" i="3" s="1"/>
  <c r="M196" i="3"/>
  <c r="M208" i="3" s="1"/>
  <c r="BB273" i="11"/>
  <c r="K49" i="6"/>
  <c r="K71" i="6" s="1"/>
  <c r="AW6" i="16"/>
  <c r="BA6" i="16" s="1"/>
  <c r="AV7" i="16"/>
  <c r="AF43" i="20"/>
  <c r="AG42" i="20"/>
  <c r="AJ3" i="21"/>
  <c r="AH14" i="17"/>
  <c r="S44" i="8"/>
  <c r="R45" i="8"/>
  <c r="AW44" i="14"/>
  <c r="AX43" i="14"/>
  <c r="AK10" i="25"/>
  <c r="AT156" i="4"/>
  <c r="AU156" i="4" s="1"/>
  <c r="BM10" i="11"/>
  <c r="Q13" i="1"/>
  <c r="L43" i="5"/>
  <c r="L132" i="4"/>
  <c r="L67" i="4"/>
  <c r="L95" i="4"/>
  <c r="BR34" i="7"/>
  <c r="P301" i="4"/>
  <c r="P400" i="3"/>
  <c r="P449" i="3" s="1"/>
  <c r="P482" i="3" s="1"/>
  <c r="BU12" i="9"/>
  <c r="I15" i="9"/>
  <c r="I2" i="2" s="1"/>
  <c r="Q124" i="15"/>
  <c r="BC156" i="15"/>
  <c r="Y8" i="8"/>
  <c r="X9" i="8"/>
  <c r="C373" i="19"/>
  <c r="C30" i="19"/>
  <c r="C31" i="6"/>
  <c r="AG142" i="16"/>
  <c r="BC5" i="13"/>
  <c r="L135" i="4"/>
  <c r="L70" i="4"/>
  <c r="L46" i="5"/>
  <c r="L71" i="5" s="1"/>
  <c r="AT162" i="20"/>
  <c r="AX162" i="20" s="1"/>
  <c r="AI163" i="20"/>
  <c r="H45" i="5"/>
  <c r="H70" i="5" s="1"/>
  <c r="H86" i="5" s="1"/>
  <c r="H119" i="5" s="1"/>
  <c r="H69" i="4"/>
  <c r="H343" i="4" s="1"/>
  <c r="H375" i="4" s="1"/>
  <c r="H134" i="4"/>
  <c r="H166" i="4" s="1"/>
  <c r="H44" i="5"/>
  <c r="H69" i="5" s="1"/>
  <c r="BA151" i="18"/>
  <c r="AF152" i="18"/>
  <c r="M77" i="4"/>
  <c r="M158" i="4"/>
  <c r="M174" i="4" s="1"/>
  <c r="AQ92" i="22"/>
  <c r="AT91" i="22"/>
  <c r="AS91" i="22"/>
  <c r="N116" i="15"/>
  <c r="AW116" i="15" s="1"/>
  <c r="AW104" i="15"/>
  <c r="N40" i="15"/>
  <c r="AW40" i="15" s="1"/>
  <c r="H147" i="11"/>
  <c r="H47" i="6"/>
  <c r="H65" i="6" s="1"/>
  <c r="H146" i="11"/>
  <c r="U152" i="10"/>
  <c r="V151" i="10"/>
  <c r="AV178" i="14"/>
  <c r="AS179" i="14"/>
  <c r="P185" i="3"/>
  <c r="P89" i="3"/>
  <c r="P113" i="3"/>
  <c r="AR67" i="20"/>
  <c r="AP68" i="20"/>
  <c r="K8" i="23"/>
  <c r="AJ9" i="23"/>
  <c r="D29" i="1"/>
  <c r="D28" i="1" s="1"/>
  <c r="AD63" i="5"/>
  <c r="AC63" i="5"/>
  <c r="G13" i="6"/>
  <c r="AX16" i="14"/>
  <c r="AW17" i="14"/>
  <c r="N14" i="15"/>
  <c r="AE14" i="17" s="1"/>
  <c r="AW15" i="15"/>
  <c r="AS21" i="16"/>
  <c r="H64" i="6"/>
  <c r="U116" i="8"/>
  <c r="V115" i="8"/>
  <c r="AL81" i="14"/>
  <c r="AZ80" i="14"/>
  <c r="BL9" i="9"/>
  <c r="AK9" i="9"/>
  <c r="K42" i="11"/>
  <c r="O111" i="4"/>
  <c r="O128" i="4" s="1"/>
  <c r="O51" i="5"/>
  <c r="O148" i="4"/>
  <c r="BS12" i="9"/>
  <c r="G15" i="9"/>
  <c r="G2" i="2" s="1"/>
  <c r="BC13" i="11"/>
  <c r="L12" i="11"/>
  <c r="BD13" i="13"/>
  <c r="P93" i="5"/>
  <c r="N28" i="23"/>
  <c r="AP44" i="23"/>
  <c r="V42" i="24"/>
  <c r="U43" i="24"/>
  <c r="U19" i="26"/>
  <c r="V18" i="26"/>
  <c r="W18" i="26" s="1"/>
  <c r="AM163" i="16"/>
  <c r="AN162" i="16"/>
  <c r="AH6" i="21"/>
  <c r="AP55" i="22"/>
  <c r="AO56" i="22"/>
  <c r="AG392" i="3"/>
  <c r="BB42" i="18"/>
  <c r="AG43" i="18"/>
  <c r="AH42" i="18"/>
  <c r="AQ56" i="14"/>
  <c r="BA55" i="14"/>
  <c r="P113" i="5"/>
  <c r="AC112" i="5"/>
  <c r="AD112" i="5"/>
  <c r="AN55" i="18"/>
  <c r="AM56" i="18"/>
  <c r="AH115" i="22"/>
  <c r="AG116" i="22"/>
  <c r="AU13" i="17"/>
  <c r="AD137" i="8"/>
  <c r="I20" i="13"/>
  <c r="BA20" i="13" s="1"/>
  <c r="BA21" i="13"/>
  <c r="H20" i="13"/>
  <c r="AZ20" i="13" s="1"/>
  <c r="AZ21" i="13"/>
  <c r="BP324" i="19"/>
  <c r="BN8" i="19"/>
  <c r="AR8" i="21"/>
  <c r="B408" i="3"/>
  <c r="B409" i="3" s="1"/>
  <c r="B410" i="3" s="1"/>
  <c r="B411" i="3" s="1"/>
  <c r="B412" i="3" s="1"/>
  <c r="B413" i="3" s="1"/>
  <c r="B414" i="3" s="1"/>
  <c r="B415" i="3" s="1"/>
  <c r="B416" i="3" s="1"/>
  <c r="B417" i="3" s="1"/>
  <c r="B418" i="3" s="1"/>
  <c r="B419" i="3" s="1"/>
  <c r="B403" i="3"/>
  <c r="G114" i="17"/>
  <c r="BV34" i="7"/>
  <c r="BN34" i="7"/>
  <c r="N301" i="4"/>
  <c r="N238" i="4"/>
  <c r="N400" i="3"/>
  <c r="N7" i="15"/>
  <c r="AW8" i="15"/>
  <c r="M25" i="15"/>
  <c r="AU26" i="15"/>
  <c r="CW26" i="15" s="1"/>
  <c r="B78" i="4"/>
  <c r="B143" i="4"/>
  <c r="B175" i="4" s="1"/>
  <c r="AO114" i="20"/>
  <c r="AL115" i="20"/>
  <c r="AS114" i="20"/>
  <c r="S162" i="10"/>
  <c r="AC162" i="10" s="1"/>
  <c r="R163" i="10"/>
  <c r="AW118" i="16"/>
  <c r="AV119" i="16"/>
  <c r="M193" i="4"/>
  <c r="M94" i="5"/>
  <c r="M119" i="5" s="1"/>
  <c r="AN186" i="14"/>
  <c r="AY162" i="20"/>
  <c r="AY125" i="14"/>
  <c r="BB125" i="14" s="1"/>
  <c r="AB31" i="8"/>
  <c r="AA32" i="8"/>
  <c r="R131" i="21"/>
  <c r="T131" i="19"/>
  <c r="U131" i="19" s="1"/>
  <c r="S131" i="19"/>
  <c r="E29" i="1"/>
  <c r="S330" i="19"/>
  <c r="BM329" i="11"/>
  <c r="Q184" i="4"/>
  <c r="K391" i="3"/>
  <c r="K37" i="7"/>
  <c r="K229" i="4"/>
  <c r="S40" i="4"/>
  <c r="AB163" i="8"/>
  <c r="AA164" i="8"/>
  <c r="AJ142" i="20"/>
  <c r="AK141" i="20"/>
  <c r="AD10" i="22"/>
  <c r="AE9" i="22"/>
  <c r="AA18" i="20"/>
  <c r="AU18" i="20"/>
  <c r="AY18" i="20" s="1"/>
  <c r="Z19" i="20"/>
  <c r="AK79" i="20"/>
  <c r="AJ80" i="20"/>
  <c r="P148" i="3"/>
  <c r="P144" i="3"/>
  <c r="BC150" i="18"/>
  <c r="N133" i="15"/>
  <c r="AW132" i="15"/>
  <c r="N51" i="6"/>
  <c r="H129" i="11"/>
  <c r="H37" i="11"/>
  <c r="J447" i="3"/>
  <c r="Q139" i="21"/>
  <c r="BP139" i="19"/>
  <c r="R139" i="19"/>
  <c r="AU43" i="22"/>
  <c r="AJ44" i="22"/>
  <c r="U150" i="24"/>
  <c r="V149" i="24"/>
  <c r="W149" i="24" s="1"/>
  <c r="AX185" i="14"/>
  <c r="AW186" i="14"/>
  <c r="AX186" i="14" s="1"/>
  <c r="AD6" i="5"/>
  <c r="AC6" i="5"/>
  <c r="M13" i="25"/>
  <c r="D7" i="13"/>
  <c r="AV7" i="13" s="1"/>
  <c r="AV8" i="13"/>
  <c r="Q133" i="4"/>
  <c r="Q68" i="4"/>
  <c r="Q342" i="4" s="1"/>
  <c r="Q43" i="5"/>
  <c r="R156" i="17"/>
  <c r="R124" i="17" s="1"/>
  <c r="R108" i="17" s="1"/>
  <c r="R126" i="15"/>
  <c r="R110" i="15" s="1"/>
  <c r="H23" i="19"/>
  <c r="H6" i="6" s="1"/>
  <c r="H30" i="6"/>
  <c r="H29" i="6" s="1"/>
  <c r="R355" i="13"/>
  <c r="R325" i="11"/>
  <c r="S341" i="11"/>
  <c r="T341" i="11" s="1"/>
  <c r="R244" i="3"/>
  <c r="R196" i="4"/>
  <c r="BI21" i="11"/>
  <c r="O20" i="11"/>
  <c r="AH12" i="3"/>
  <c r="AI12" i="3" s="1"/>
  <c r="AE12" i="3"/>
  <c r="O129" i="11"/>
  <c r="K230" i="4"/>
  <c r="K392" i="3"/>
  <c r="C75" i="4"/>
  <c r="C140" i="4"/>
  <c r="C172" i="4" s="1"/>
  <c r="P28" i="17"/>
  <c r="AG22" i="17"/>
  <c r="Q156" i="21"/>
  <c r="Q157" i="21" s="1"/>
  <c r="Q173" i="21"/>
  <c r="Q10" i="21" s="1"/>
  <c r="W41" i="24"/>
  <c r="AW20" i="17"/>
  <c r="N53" i="5"/>
  <c r="N78" i="5" s="1"/>
  <c r="N73" i="4"/>
  <c r="M298" i="4"/>
  <c r="BL31" i="7"/>
  <c r="M397" i="3"/>
  <c r="AG91" i="22"/>
  <c r="AH90" i="22"/>
  <c r="M8" i="11"/>
  <c r="BE9" i="11"/>
  <c r="M12" i="1"/>
  <c r="M11" i="1" s="1"/>
  <c r="AB91" i="8"/>
  <c r="AA92" i="8"/>
  <c r="C236" i="4"/>
  <c r="C398" i="3"/>
  <c r="C447" i="3" s="1"/>
  <c r="S152" i="17"/>
  <c r="S120" i="17" s="1"/>
  <c r="S104" i="17" s="1"/>
  <c r="S122" i="15"/>
  <c r="S106" i="15" s="1"/>
  <c r="I373" i="19"/>
  <c r="I30" i="19"/>
  <c r="I31" i="6"/>
  <c r="AP10" i="20"/>
  <c r="AR9" i="20"/>
  <c r="AH106" i="22"/>
  <c r="AG107" i="22"/>
  <c r="E379" i="4"/>
  <c r="AV56" i="18"/>
  <c r="AW55" i="18"/>
  <c r="AS80" i="16"/>
  <c r="BR13" i="7"/>
  <c r="P12" i="7"/>
  <c r="AH91" i="16"/>
  <c r="AG92" i="16"/>
  <c r="BP342" i="19"/>
  <c r="Q326" i="19"/>
  <c r="R342" i="19"/>
  <c r="AI127" i="20"/>
  <c r="AT126" i="20"/>
  <c r="AK126" i="20"/>
  <c r="AT5" i="23"/>
  <c r="P4" i="23"/>
  <c r="AU10" i="17"/>
  <c r="I46" i="17"/>
  <c r="I114" i="17"/>
  <c r="AG68" i="20"/>
  <c r="AF69" i="20"/>
  <c r="O6" i="7"/>
  <c r="BP7" i="7"/>
  <c r="BL4" i="7"/>
  <c r="M3" i="7"/>
  <c r="AI54" i="18"/>
  <c r="AK53" i="18"/>
  <c r="BA53" i="18"/>
  <c r="BC53" i="18" s="1"/>
  <c r="R329" i="19"/>
  <c r="AQ80" i="18"/>
  <c r="AP81" i="18"/>
  <c r="AA22" i="10"/>
  <c r="AB21" i="10"/>
  <c r="AZ55" i="16"/>
  <c r="AX56" i="16"/>
  <c r="AL152" i="14"/>
  <c r="AZ151" i="14"/>
  <c r="S127" i="8"/>
  <c r="R128" i="8"/>
  <c r="E49" i="23"/>
  <c r="E21" i="23"/>
  <c r="E33" i="23" s="1"/>
  <c r="I29" i="1"/>
  <c r="I28" i="1" s="1"/>
  <c r="AU126" i="22"/>
  <c r="AJ127" i="22"/>
  <c r="AL126" i="22"/>
  <c r="F51" i="5"/>
  <c r="F111" i="4"/>
  <c r="F67" i="4"/>
  <c r="F148" i="4"/>
  <c r="N180" i="3"/>
  <c r="N112" i="3"/>
  <c r="N84" i="3"/>
  <c r="N128" i="3"/>
  <c r="AF116" i="3"/>
  <c r="N196" i="3"/>
  <c r="AQ6" i="25"/>
  <c r="AC30" i="8"/>
  <c r="R130" i="21"/>
  <c r="S130" i="19"/>
  <c r="BW34" i="7"/>
  <c r="BW35" i="7" s="1"/>
  <c r="BP34" i="7"/>
  <c r="BY34" i="7" s="1"/>
  <c r="O301" i="4"/>
  <c r="O238" i="4"/>
  <c r="O400" i="3"/>
  <c r="E7" i="13"/>
  <c r="AW8" i="13"/>
  <c r="AX116" i="16"/>
  <c r="AZ115" i="16"/>
  <c r="R40" i="4"/>
  <c r="B3" i="11"/>
  <c r="B19" i="6" s="1"/>
  <c r="B8" i="1"/>
  <c r="B25" i="1" s="1"/>
  <c r="AC162" i="8"/>
  <c r="Q313" i="17"/>
  <c r="BC299" i="15"/>
  <c r="R299" i="15"/>
  <c r="Q307" i="15"/>
  <c r="AF22" i="18"/>
  <c r="BW33" i="7"/>
  <c r="BX35" i="7" s="1"/>
  <c r="O300" i="4"/>
  <c r="BP33" i="7"/>
  <c r="BY33" i="7" s="1"/>
  <c r="O399" i="3"/>
  <c r="O237" i="4"/>
  <c r="AI126" i="18"/>
  <c r="AK125" i="18"/>
  <c r="BA125" i="18"/>
  <c r="BC125" i="18" s="1"/>
  <c r="AZ76" i="20"/>
  <c r="J168" i="4"/>
  <c r="P29" i="1"/>
  <c r="L147" i="11"/>
  <c r="BD145" i="11"/>
  <c r="BD146" i="11" s="1"/>
  <c r="L47" i="6"/>
  <c r="R154" i="10"/>
  <c r="BC160" i="15"/>
  <c r="Q128" i="15"/>
  <c r="L134" i="4"/>
  <c r="L45" i="5"/>
  <c r="L70" i="5" s="1"/>
  <c r="L69" i="4"/>
  <c r="AG3" i="17"/>
  <c r="L6" i="17"/>
  <c r="AC7" i="17"/>
  <c r="J45" i="19"/>
  <c r="M8" i="23"/>
  <c r="N140" i="4"/>
  <c r="N172" i="4" s="1"/>
  <c r="N75" i="4"/>
  <c r="N349" i="4" s="1"/>
  <c r="BC6" i="18"/>
  <c r="BV9" i="9"/>
  <c r="AJ9" i="9"/>
  <c r="M127" i="13"/>
  <c r="BM25" i="11"/>
  <c r="AL118" i="14"/>
  <c r="AY138" i="20"/>
  <c r="BN14" i="19"/>
  <c r="P12" i="19"/>
  <c r="AR12" i="21" s="1"/>
  <c r="AR14" i="21"/>
  <c r="AX80" i="16"/>
  <c r="AZ79" i="16"/>
  <c r="D47" i="13"/>
  <c r="I50" i="17"/>
  <c r="E236" i="4"/>
  <c r="E398" i="3"/>
  <c r="E403" i="3" s="1"/>
  <c r="K187" i="3"/>
  <c r="K91" i="3"/>
  <c r="AD107" i="3"/>
  <c r="BL38" i="19"/>
  <c r="BD38" i="19"/>
  <c r="AX43" i="20"/>
  <c r="BC23" i="13"/>
  <c r="B87" i="5"/>
  <c r="B120" i="5" s="1"/>
  <c r="O71" i="6"/>
  <c r="D95" i="4"/>
  <c r="D132" i="4"/>
  <c r="D67" i="4"/>
  <c r="D43" i="5"/>
  <c r="BM20" i="11"/>
  <c r="Q21" i="6"/>
  <c r="R105" i="26"/>
  <c r="B180" i="3"/>
  <c r="B112" i="3"/>
  <c r="B84" i="3"/>
  <c r="BC26" i="11"/>
  <c r="AC90" i="8"/>
  <c r="B7" i="11"/>
  <c r="S155" i="15"/>
  <c r="T155" i="15" s="1"/>
  <c r="AW42" i="16"/>
  <c r="AV43" i="16"/>
  <c r="AI6" i="21"/>
  <c r="AS202" i="11"/>
  <c r="AS201" i="11"/>
  <c r="AK129" i="22"/>
  <c r="AP69" i="18"/>
  <c r="AQ68" i="18"/>
  <c r="C7" i="11"/>
  <c r="C20" i="6" s="1"/>
  <c r="BA13" i="11"/>
  <c r="K12" i="11"/>
  <c r="AN162" i="14"/>
  <c r="AK163" i="14"/>
  <c r="AY162" i="14"/>
  <c r="AO56" i="18"/>
  <c r="AQ55" i="18"/>
  <c r="AW138" i="22"/>
  <c r="AJ57" i="18"/>
  <c r="AX185" i="22"/>
  <c r="AW185" i="22"/>
  <c r="BA185" i="22" s="1"/>
  <c r="AV6" i="14"/>
  <c r="AS7" i="14"/>
  <c r="AD7" i="17"/>
  <c r="M6" i="17"/>
  <c r="AD6" i="17" s="1"/>
  <c r="Z168" i="20"/>
  <c r="B37" i="7"/>
  <c r="BJ27" i="7"/>
  <c r="L393" i="3"/>
  <c r="AD393" i="3" s="1"/>
  <c r="AH393" i="3" s="1"/>
  <c r="L231" i="4"/>
  <c r="BJ11" i="19"/>
  <c r="AP11" i="21"/>
  <c r="AD22" i="17"/>
  <c r="H477" i="3"/>
  <c r="BP9" i="9"/>
  <c r="AJ165" i="18"/>
  <c r="AP68" i="16"/>
  <c r="AQ67" i="16"/>
  <c r="AI42" i="18"/>
  <c r="AK41" i="18"/>
  <c r="F28" i="15"/>
  <c r="F5" i="6" s="1"/>
  <c r="AA176" i="22"/>
  <c r="AB175" i="22"/>
  <c r="F71" i="6"/>
  <c r="N127" i="13"/>
  <c r="G37" i="15"/>
  <c r="G27" i="6"/>
  <c r="G22" i="6" s="1"/>
  <c r="R129" i="21"/>
  <c r="S129" i="19"/>
  <c r="T129" i="19"/>
  <c r="Q410" i="13"/>
  <c r="Q283" i="3" s="1"/>
  <c r="Q299" i="3" s="1"/>
  <c r="BM380" i="11"/>
  <c r="AT380" i="11"/>
  <c r="Q219" i="4"/>
  <c r="AT13" i="17"/>
  <c r="D112" i="3"/>
  <c r="D181" i="3"/>
  <c r="D85" i="3"/>
  <c r="T106" i="11"/>
  <c r="AQ57" i="22"/>
  <c r="AT56" i="22"/>
  <c r="R136" i="21"/>
  <c r="BB172" i="20"/>
  <c r="BR170" i="12" s="1"/>
  <c r="BH170" i="12" s="1"/>
  <c r="AZ172" i="20"/>
  <c r="R95" i="8"/>
  <c r="S94" i="8"/>
  <c r="Q135" i="21"/>
  <c r="BP135" i="19"/>
  <c r="R135" i="19"/>
  <c r="S135" i="19" s="1"/>
  <c r="AX3" i="17"/>
  <c r="AC66" i="10"/>
  <c r="H7" i="13"/>
  <c r="AZ8" i="13"/>
  <c r="C181" i="3"/>
  <c r="C85" i="3"/>
  <c r="C441" i="3" s="1"/>
  <c r="AL150" i="22"/>
  <c r="AK151" i="22"/>
  <c r="T430" i="17"/>
  <c r="T414" i="17" s="1"/>
  <c r="Q429" i="17"/>
  <c r="Q413" i="17" s="1"/>
  <c r="R422" i="17"/>
  <c r="S430" i="17"/>
  <c r="S414" i="17" s="1"/>
  <c r="T423" i="17"/>
  <c r="T407" i="17" s="1"/>
  <c r="T431" i="17"/>
  <c r="T415" i="17" s="1"/>
  <c r="Q430" i="17"/>
  <c r="Q414" i="17" s="1"/>
  <c r="R423" i="17"/>
  <c r="R407" i="17" s="1"/>
  <c r="S431" i="17"/>
  <c r="S415" i="17" s="1"/>
  <c r="T424" i="17"/>
  <c r="T408" i="17" s="1"/>
  <c r="R431" i="17"/>
  <c r="R415" i="17" s="1"/>
  <c r="S424" i="17"/>
  <c r="S408" i="17" s="1"/>
  <c r="T432" i="17"/>
  <c r="T416" i="17" s="1"/>
  <c r="Q431" i="17"/>
  <c r="Q415" i="17" s="1"/>
  <c r="R424" i="17"/>
  <c r="R408" i="17" s="1"/>
  <c r="S432" i="17"/>
  <c r="S416" i="17" s="1"/>
  <c r="T425" i="17"/>
  <c r="T409" i="17" s="1"/>
  <c r="Q433" i="17"/>
  <c r="Q417" i="17" s="1"/>
  <c r="R426" i="17"/>
  <c r="R410" i="17" s="1"/>
  <c r="R430" i="17"/>
  <c r="R414" i="17" s="1"/>
  <c r="S425" i="17"/>
  <c r="S409" i="17" s="1"/>
  <c r="Q425" i="17"/>
  <c r="T426" i="17"/>
  <c r="T410" i="17" s="1"/>
  <c r="S426" i="17"/>
  <c r="S410" i="17" s="1"/>
  <c r="S427" i="17"/>
  <c r="S411" i="17" s="1"/>
  <c r="S423" i="17"/>
  <c r="S407" i="17" s="1"/>
  <c r="R427" i="17"/>
  <c r="R411" i="17" s="1"/>
  <c r="T428" i="17"/>
  <c r="T412" i="17" s="1"/>
  <c r="Q427" i="17"/>
  <c r="Q411" i="17" s="1"/>
  <c r="Q432" i="17"/>
  <c r="Q416" i="17" s="1"/>
  <c r="R428" i="17"/>
  <c r="R412" i="17" s="1"/>
  <c r="T429" i="17"/>
  <c r="T413" i="17" s="1"/>
  <c r="T433" i="17"/>
  <c r="T417" i="17" s="1"/>
  <c r="S429" i="17"/>
  <c r="S413" i="17" s="1"/>
  <c r="S433" i="17"/>
  <c r="S417" i="17" s="1"/>
  <c r="R429" i="17"/>
  <c r="R413" i="17" s="1"/>
  <c r="R425" i="17"/>
  <c r="R409" i="17" s="1"/>
  <c r="R432" i="17"/>
  <c r="R416" i="17" s="1"/>
  <c r="T422" i="17"/>
  <c r="S422" i="17"/>
  <c r="R433" i="17"/>
  <c r="R417" i="17" s="1"/>
  <c r="Q426" i="17"/>
  <c r="Q410" i="17" s="1"/>
  <c r="S428" i="17"/>
  <c r="S412" i="17" s="1"/>
  <c r="Q428" i="17"/>
  <c r="Q412" i="17" s="1"/>
  <c r="T427" i="17"/>
  <c r="T411" i="17" s="1"/>
  <c r="G180" i="3"/>
  <c r="G84" i="3"/>
  <c r="G112" i="3"/>
  <c r="AS67" i="20"/>
  <c r="Y68" i="20"/>
  <c r="BC16" i="13"/>
  <c r="P6" i="17"/>
  <c r="N44" i="5"/>
  <c r="N69" i="5" s="1"/>
  <c r="N68" i="4"/>
  <c r="N342" i="4" s="1"/>
  <c r="N133" i="4"/>
  <c r="AY110" i="12"/>
  <c r="AX111" i="12"/>
  <c r="AY122" i="12"/>
  <c r="R35" i="4"/>
  <c r="S101" i="11"/>
  <c r="T101" i="11" s="1"/>
  <c r="R36" i="4"/>
  <c r="S102" i="11"/>
  <c r="T102" i="11" s="1"/>
  <c r="AX102" i="11"/>
  <c r="I185" i="3"/>
  <c r="I89" i="3"/>
  <c r="I445" i="3" s="1"/>
  <c r="I478" i="3" s="1"/>
  <c r="AG123" i="3"/>
  <c r="AI123" i="3" s="1"/>
  <c r="O155" i="3"/>
  <c r="AF123" i="3"/>
  <c r="AE123" i="3"/>
  <c r="O91" i="3"/>
  <c r="O128" i="3"/>
  <c r="O203" i="3"/>
  <c r="AK7" i="18"/>
  <c r="AJ8" i="18"/>
  <c r="F49" i="23"/>
  <c r="F21" i="23"/>
  <c r="F33" i="23" s="1"/>
  <c r="D183" i="3"/>
  <c r="D87" i="3"/>
  <c r="D443" i="3" s="1"/>
  <c r="D476" i="3" s="1"/>
  <c r="AQ163" i="18"/>
  <c r="AP164" i="18"/>
  <c r="AH150" i="22"/>
  <c r="AG151" i="22"/>
  <c r="R103" i="24"/>
  <c r="S102" i="24"/>
  <c r="BM72" i="11"/>
  <c r="AT72" i="11"/>
  <c r="Q70" i="13"/>
  <c r="Q56" i="11"/>
  <c r="R72" i="11"/>
  <c r="S72" i="11" s="1"/>
  <c r="AA68" i="10"/>
  <c r="AB67" i="10"/>
  <c r="BS6" i="9"/>
  <c r="N158" i="4"/>
  <c r="N174" i="4" s="1"/>
  <c r="N77" i="4"/>
  <c r="N351" i="4" s="1"/>
  <c r="AR41" i="14"/>
  <c r="AO42" i="14"/>
  <c r="AY41" i="14"/>
  <c r="BB41" i="14" s="1"/>
  <c r="BE41" i="14" s="1"/>
  <c r="T322" i="19"/>
  <c r="AC93" i="20"/>
  <c r="AZ185" i="22"/>
  <c r="G127" i="13"/>
  <c r="AW66" i="20"/>
  <c r="AV66" i="20"/>
  <c r="AY66" i="20"/>
  <c r="AJ6" i="9"/>
  <c r="BV6" i="9"/>
  <c r="F114" i="17"/>
  <c r="E6" i="17"/>
  <c r="AW6" i="17" s="1"/>
  <c r="AW7" i="17"/>
  <c r="BI184" i="12"/>
  <c r="S176" i="24"/>
  <c r="R177" i="24"/>
  <c r="Y81" i="10"/>
  <c r="X82" i="10"/>
  <c r="E51" i="5"/>
  <c r="E111" i="4"/>
  <c r="E148" i="4"/>
  <c r="E160" i="4" s="1"/>
  <c r="AI230" i="3"/>
  <c r="BJ28" i="7"/>
  <c r="L232" i="4"/>
  <c r="L394" i="3"/>
  <c r="E11" i="1"/>
  <c r="Q148" i="3"/>
  <c r="Q157" i="17"/>
  <c r="Q125" i="17" s="1"/>
  <c r="Q109" i="17" s="1"/>
  <c r="BC159" i="15"/>
  <c r="Q127" i="15"/>
  <c r="AS106" i="15"/>
  <c r="L42" i="15"/>
  <c r="AS42" i="15" s="1"/>
  <c r="U19" i="24"/>
  <c r="V18" i="24"/>
  <c r="AS80" i="20"/>
  <c r="Y81" i="20"/>
  <c r="AX78" i="20"/>
  <c r="AW112" i="15"/>
  <c r="N48" i="15"/>
  <c r="AW48" i="15" s="1"/>
  <c r="AS82" i="18"/>
  <c r="BH32" i="7"/>
  <c r="K236" i="4"/>
  <c r="K398" i="3"/>
  <c r="AG333" i="3"/>
  <c r="AY42" i="4"/>
  <c r="AZ42" i="4" s="1"/>
  <c r="AV42" i="4"/>
  <c r="BM9" i="11"/>
  <c r="Q12" i="1"/>
  <c r="BI9" i="13"/>
  <c r="F65" i="6"/>
  <c r="BC76" i="14"/>
  <c r="BE76" i="14"/>
  <c r="K64" i="6"/>
  <c r="E51" i="25"/>
  <c r="E23" i="25"/>
  <c r="E35" i="25" s="1"/>
  <c r="W148" i="26"/>
  <c r="X160" i="26" s="1"/>
  <c r="O6" i="19"/>
  <c r="BL7" i="19"/>
  <c r="O31" i="19"/>
  <c r="G25" i="1"/>
  <c r="AC44" i="8"/>
  <c r="BK10" i="11"/>
  <c r="P13" i="1"/>
  <c r="AO7" i="14"/>
  <c r="AR6" i="14"/>
  <c r="AY6" i="14"/>
  <c r="BB6" i="14" s="1"/>
  <c r="AQ174" i="16"/>
  <c r="AP175" i="16"/>
  <c r="AF56" i="18"/>
  <c r="AI120" i="20"/>
  <c r="AT119" i="20"/>
  <c r="AK119" i="20"/>
  <c r="K47" i="11"/>
  <c r="BB47" i="11" s="1"/>
  <c r="AB155" i="10"/>
  <c r="AA156" i="10"/>
  <c r="AG335" i="3"/>
  <c r="K167" i="4"/>
  <c r="AC16" i="17"/>
  <c r="K12" i="19"/>
  <c r="AM13" i="21"/>
  <c r="AJ92" i="16"/>
  <c r="D191" i="3"/>
  <c r="D95" i="3"/>
  <c r="D451" i="3" s="1"/>
  <c r="D484" i="3" s="1"/>
  <c r="AT44" i="20"/>
  <c r="AI45" i="20"/>
  <c r="D65" i="6"/>
  <c r="O136" i="4"/>
  <c r="O71" i="4"/>
  <c r="AV87" i="4"/>
  <c r="AW87" i="4"/>
  <c r="AJ116" i="16"/>
  <c r="AK115" i="16"/>
  <c r="AT20" i="17"/>
  <c r="AV6" i="20"/>
  <c r="R176" i="26"/>
  <c r="S175" i="26"/>
  <c r="W175" i="26" s="1"/>
  <c r="BJ10" i="19"/>
  <c r="N9" i="19"/>
  <c r="B114" i="17"/>
  <c r="B38" i="17"/>
  <c r="B50" i="17" s="1"/>
  <c r="AT7" i="17"/>
  <c r="B6" i="17"/>
  <c r="AP102" i="22"/>
  <c r="AO103" i="22"/>
  <c r="BD24" i="13"/>
  <c r="AR113" i="14"/>
  <c r="AO114" i="14"/>
  <c r="AY113" i="14"/>
  <c r="AC151" i="20"/>
  <c r="AD150" i="20"/>
  <c r="AU150" i="20"/>
  <c r="AQ141" i="22"/>
  <c r="AT140" i="22"/>
  <c r="K51" i="25"/>
  <c r="K23" i="25"/>
  <c r="K35" i="25" s="1"/>
  <c r="J319" i="3"/>
  <c r="P3" i="7"/>
  <c r="BR4" i="7"/>
  <c r="O25" i="15"/>
  <c r="P187" i="3"/>
  <c r="P91" i="3"/>
  <c r="P447" i="3" s="1"/>
  <c r="Y152" i="8"/>
  <c r="X153" i="8"/>
  <c r="K140" i="4"/>
  <c r="K75" i="4"/>
  <c r="Q32" i="10"/>
  <c r="S31" i="10"/>
  <c r="AC31" i="10" s="1"/>
  <c r="J21" i="6"/>
  <c r="AZ177" i="14"/>
  <c r="AL178" i="14"/>
  <c r="AH79" i="18"/>
  <c r="AG80" i="18"/>
  <c r="AB162" i="22"/>
  <c r="AA163" i="22"/>
  <c r="U297" i="15"/>
  <c r="BG11" i="11"/>
  <c r="N14" i="1"/>
  <c r="AT133" i="4"/>
  <c r="J165" i="4"/>
  <c r="R21" i="8"/>
  <c r="S20" i="8"/>
  <c r="K139" i="4"/>
  <c r="K74" i="4"/>
  <c r="BD216" i="19"/>
  <c r="BD212" i="19"/>
  <c r="BD220" i="19"/>
  <c r="BD215" i="19"/>
  <c r="B80" i="5"/>
  <c r="T345" i="19"/>
  <c r="AS329" i="11"/>
  <c r="AS330" i="11"/>
  <c r="AR37" i="23"/>
  <c r="O21" i="23"/>
  <c r="O49" i="23"/>
  <c r="AR49" i="23" s="1"/>
  <c r="AX116" i="18"/>
  <c r="AZ115" i="18"/>
  <c r="AU32" i="22"/>
  <c r="AL32" i="22"/>
  <c r="AJ33" i="22"/>
  <c r="BK120" i="11"/>
  <c r="BH122" i="11"/>
  <c r="BH123" i="11" s="1"/>
  <c r="AE229" i="3"/>
  <c r="I7" i="13"/>
  <c r="BA7" i="13" s="1"/>
  <c r="BA8" i="13"/>
  <c r="AS164" i="18"/>
  <c r="AD140" i="3"/>
  <c r="J156" i="3"/>
  <c r="J204" i="3"/>
  <c r="J92" i="3"/>
  <c r="AX173" i="22"/>
  <c r="AW173" i="22"/>
  <c r="BA173" i="22" s="1"/>
  <c r="O150" i="3"/>
  <c r="AE134" i="3"/>
  <c r="AG134" i="3"/>
  <c r="AI134" i="3" s="1"/>
  <c r="AF134" i="3"/>
  <c r="O86" i="3"/>
  <c r="O198" i="3"/>
  <c r="AL43" i="22"/>
  <c r="L35" i="13"/>
  <c r="L47" i="13" s="1"/>
  <c r="L48" i="13" s="1"/>
  <c r="M9" i="7"/>
  <c r="BL10" i="7"/>
  <c r="AJ129" i="20"/>
  <c r="D188" i="3"/>
  <c r="D92" i="3"/>
  <c r="D448" i="3" s="1"/>
  <c r="Q360" i="13"/>
  <c r="Q344" i="13" s="1"/>
  <c r="Q330" i="11"/>
  <c r="AT346" i="11"/>
  <c r="BM346" i="11"/>
  <c r="Q201" i="4"/>
  <c r="Q101" i="5" s="1"/>
  <c r="Q104" i="5" s="1"/>
  <c r="Q249" i="3"/>
  <c r="R346" i="11"/>
  <c r="S346" i="11" s="1"/>
  <c r="T346" i="11" s="1"/>
  <c r="E127" i="13"/>
  <c r="L77" i="5"/>
  <c r="L85" i="5" s="1"/>
  <c r="L118" i="5" s="1"/>
  <c r="AT10" i="17"/>
  <c r="U106" i="11"/>
  <c r="AY20" i="13"/>
  <c r="AY46" i="15"/>
  <c r="AQ46" i="15"/>
  <c r="R81" i="26"/>
  <c r="S80" i="26"/>
  <c r="AU67" i="20"/>
  <c r="Z68" i="20"/>
  <c r="AA67" i="20"/>
  <c r="AZ66" i="14"/>
  <c r="AP67" i="14"/>
  <c r="M78" i="4"/>
  <c r="M352" i="4" s="1"/>
  <c r="M159" i="4"/>
  <c r="M175" i="4" s="1"/>
  <c r="L25" i="15"/>
  <c r="AS25" i="15" s="1"/>
  <c r="AS26" i="15"/>
  <c r="N51" i="25"/>
  <c r="N23" i="25"/>
  <c r="N35" i="25" s="1"/>
  <c r="J7" i="11"/>
  <c r="J20" i="6" s="1"/>
  <c r="J41" i="6" s="1"/>
  <c r="BW32" i="7"/>
  <c r="BP32" i="7"/>
  <c r="BY32" i="7" s="1"/>
  <c r="O299" i="4"/>
  <c r="O348" i="4" s="1"/>
  <c r="O380" i="4" s="1"/>
  <c r="O236" i="4"/>
  <c r="O398" i="3"/>
  <c r="E71" i="6"/>
  <c r="AC5" i="5"/>
  <c r="P7" i="13"/>
  <c r="E7" i="11"/>
  <c r="BC158" i="15"/>
  <c r="Q126" i="15"/>
  <c r="AH55" i="16"/>
  <c r="AG56" i="16"/>
  <c r="J87" i="3"/>
  <c r="J183" i="3"/>
  <c r="AD103" i="3"/>
  <c r="AH103" i="3" s="1"/>
  <c r="AL12" i="21"/>
  <c r="J23" i="21"/>
  <c r="W17" i="24"/>
  <c r="AW79" i="20"/>
  <c r="AT79" i="20"/>
  <c r="AV79" i="20" s="1"/>
  <c r="AI80" i="20"/>
  <c r="L17" i="17"/>
  <c r="AC18" i="17"/>
  <c r="B13" i="23"/>
  <c r="B7" i="6" s="1"/>
  <c r="B35" i="6"/>
  <c r="B34" i="6" s="1"/>
  <c r="AM70" i="14"/>
  <c r="K3" i="19"/>
  <c r="AM176" i="18"/>
  <c r="AN175" i="18"/>
  <c r="AS31" i="20"/>
  <c r="Y32" i="20"/>
  <c r="U150" i="26"/>
  <c r="V149" i="26"/>
  <c r="L3" i="7"/>
  <c r="BJ4" i="7"/>
  <c r="AY4" i="13"/>
  <c r="AX20" i="17"/>
  <c r="F28" i="17"/>
  <c r="Q26" i="9"/>
  <c r="AB45" i="8"/>
  <c r="AA46" i="8"/>
  <c r="AX89" i="14"/>
  <c r="AW90" i="14"/>
  <c r="AS33" i="18"/>
  <c r="AF117" i="20"/>
  <c r="AG116" i="20"/>
  <c r="L11" i="15"/>
  <c r="AS12" i="15"/>
  <c r="AS137" i="11"/>
  <c r="AS138" i="11"/>
  <c r="BH23" i="13"/>
  <c r="R156" i="15"/>
  <c r="AQ128" i="16"/>
  <c r="AP129" i="16"/>
  <c r="O292" i="4"/>
  <c r="O37" i="7"/>
  <c r="O229" i="4"/>
  <c r="BW25" i="7"/>
  <c r="BP25" i="7"/>
  <c r="O391" i="3"/>
  <c r="R324" i="19"/>
  <c r="S340" i="19"/>
  <c r="I17" i="15"/>
  <c r="BE35" i="15"/>
  <c r="AN174" i="16"/>
  <c r="AM175" i="16"/>
  <c r="N16" i="11"/>
  <c r="BG16" i="11" s="1"/>
  <c r="BG17" i="11"/>
  <c r="AB175" i="10"/>
  <c r="AA176" i="10"/>
  <c r="D129" i="11"/>
  <c r="D37" i="11"/>
  <c r="BN38" i="19"/>
  <c r="BC38" i="19"/>
  <c r="AS7" i="20"/>
  <c r="Y8" i="20"/>
  <c r="AB175" i="8"/>
  <c r="AC175" i="8" s="1"/>
  <c r="AA176" i="8"/>
  <c r="AI13" i="3"/>
  <c r="BN31" i="7"/>
  <c r="BV31" i="7"/>
  <c r="N235" i="4"/>
  <c r="N397" i="3"/>
  <c r="N446" i="3" s="1"/>
  <c r="N298" i="4"/>
  <c r="AR31" i="18"/>
  <c r="AT30" i="18"/>
  <c r="AV18" i="17"/>
  <c r="D17" i="17"/>
  <c r="AV17" i="17" s="1"/>
  <c r="H11" i="15"/>
  <c r="H25" i="6" s="1"/>
  <c r="H22" i="6" s="1"/>
  <c r="AG166" i="16"/>
  <c r="AH165" i="16"/>
  <c r="J37" i="9"/>
  <c r="J292" i="4"/>
  <c r="BB125" i="11"/>
  <c r="K45" i="11"/>
  <c r="BE4" i="11"/>
  <c r="M3" i="11"/>
  <c r="M8" i="1"/>
  <c r="O140" i="4"/>
  <c r="AW91" i="4"/>
  <c r="O75" i="4"/>
  <c r="AV91" i="4"/>
  <c r="AJ140" i="16"/>
  <c r="AK139" i="16"/>
  <c r="J373" i="19"/>
  <c r="K407" i="19" s="1"/>
  <c r="J30" i="19"/>
  <c r="J31" i="6"/>
  <c r="AC19" i="20"/>
  <c r="AD18" i="20"/>
  <c r="AE60" i="22"/>
  <c r="AD61" i="22"/>
  <c r="K344" i="3"/>
  <c r="S163" i="24"/>
  <c r="R164" i="24"/>
  <c r="BU9" i="9"/>
  <c r="F304" i="4"/>
  <c r="F309" i="4"/>
  <c r="BL10" i="19"/>
  <c r="O9" i="19"/>
  <c r="AV17" i="20"/>
  <c r="AZ17" i="20" s="1"/>
  <c r="AW17" i="20"/>
  <c r="R137" i="21"/>
  <c r="AZ164" i="18"/>
  <c r="AX165" i="18"/>
  <c r="Y177" i="20"/>
  <c r="AJ103" i="18"/>
  <c r="AK102" i="18"/>
  <c r="BB102" i="18"/>
  <c r="AE240" i="3"/>
  <c r="AS59" i="16"/>
  <c r="V163" i="10"/>
  <c r="U164" i="10"/>
  <c r="K129" i="23"/>
  <c r="AL129" i="23" s="1"/>
  <c r="K24" i="23"/>
  <c r="H15" i="9"/>
  <c r="H2" i="2" s="1"/>
  <c r="AK104" i="20"/>
  <c r="AJ105" i="20"/>
  <c r="AM175" i="22"/>
  <c r="AT174" i="22"/>
  <c r="F128" i="3"/>
  <c r="F196" i="3"/>
  <c r="AK45" i="22"/>
  <c r="AL44" i="22"/>
  <c r="Q411" i="13"/>
  <c r="Q284" i="3" s="1"/>
  <c r="Q300" i="3" s="1"/>
  <c r="AT381" i="11"/>
  <c r="BM381" i="11"/>
  <c r="Q220" i="4"/>
  <c r="E128" i="3"/>
  <c r="E84" i="3"/>
  <c r="E148" i="3"/>
  <c r="E196" i="3"/>
  <c r="L345" i="4"/>
  <c r="AY20" i="17"/>
  <c r="AZ54" i="18"/>
  <c r="AX55" i="18"/>
  <c r="J6" i="17"/>
  <c r="AA7" i="17"/>
  <c r="BB7" i="17"/>
  <c r="AR123" i="23"/>
  <c r="O27" i="23"/>
  <c r="AR27" i="23" s="1"/>
  <c r="AJ151" i="22"/>
  <c r="AU150" i="22"/>
  <c r="AR78" i="18"/>
  <c r="AT77" i="18"/>
  <c r="AN4" i="23"/>
  <c r="M3" i="23"/>
  <c r="AN3" i="25" s="1"/>
  <c r="AT174" i="20"/>
  <c r="AI175" i="20"/>
  <c r="E360" i="3"/>
  <c r="BC14" i="11"/>
  <c r="AP14" i="11"/>
  <c r="AP241" i="11" s="1"/>
  <c r="AO14" i="11"/>
  <c r="AO241" i="11" s="1"/>
  <c r="AN14" i="11"/>
  <c r="AN241" i="11" s="1"/>
  <c r="AM14" i="11"/>
  <c r="AM241" i="11" s="1"/>
  <c r="AL14" i="11"/>
  <c r="AL241" i="11" s="1"/>
  <c r="P21" i="11"/>
  <c r="BK22" i="11"/>
  <c r="AS30" i="14"/>
  <c r="AV29" i="14"/>
  <c r="AI78" i="18"/>
  <c r="AK77" i="18"/>
  <c r="BA77" i="18"/>
  <c r="BC77" i="18" s="1"/>
  <c r="BD77" i="18" s="1"/>
  <c r="AD55" i="20"/>
  <c r="AC56" i="20"/>
  <c r="AO176" i="14"/>
  <c r="AR175" i="14"/>
  <c r="AY175" i="14"/>
  <c r="V79" i="10"/>
  <c r="U80" i="10"/>
  <c r="K141" i="4"/>
  <c r="K76" i="4"/>
  <c r="AX132" i="16"/>
  <c r="AZ131" i="16"/>
  <c r="AE11" i="17"/>
  <c r="AR153" i="20"/>
  <c r="AP154" i="20"/>
  <c r="AS54" i="20"/>
  <c r="Y55" i="20"/>
  <c r="AD36" i="22"/>
  <c r="AE35" i="22"/>
  <c r="O180" i="3"/>
  <c r="AG100" i="3"/>
  <c r="AB101" i="3"/>
  <c r="O84" i="3"/>
  <c r="AF100" i="3"/>
  <c r="O112" i="3"/>
  <c r="AB100" i="3"/>
  <c r="AK100" i="3"/>
  <c r="O311" i="3"/>
  <c r="AF165" i="3"/>
  <c r="AG165" i="3"/>
  <c r="I43" i="5"/>
  <c r="I67" i="4"/>
  <c r="I132" i="4"/>
  <c r="I95" i="4"/>
  <c r="E25" i="1"/>
  <c r="AA128" i="8"/>
  <c r="AB127" i="8"/>
  <c r="AR126" i="14"/>
  <c r="AO127" i="14"/>
  <c r="K37" i="15"/>
  <c r="K27" i="6"/>
  <c r="AI163" i="16"/>
  <c r="AK162" i="16"/>
  <c r="Z25" i="17"/>
  <c r="BA23" i="17"/>
  <c r="AC68" i="20"/>
  <c r="AD67" i="20"/>
  <c r="AK91" i="22"/>
  <c r="AL90" i="22"/>
  <c r="AV90" i="22"/>
  <c r="H51" i="25"/>
  <c r="H23" i="25"/>
  <c r="H35" i="25" s="1"/>
  <c r="AD5" i="17"/>
  <c r="S96" i="17" s="1"/>
  <c r="AU5" i="15"/>
  <c r="CW5" i="15" s="1"/>
  <c r="I479" i="3"/>
  <c r="H236" i="4"/>
  <c r="H398" i="3"/>
  <c r="BL6" i="9"/>
  <c r="AK6" i="9"/>
  <c r="Y104" i="10"/>
  <c r="X105" i="10"/>
  <c r="AJ180" i="18"/>
  <c r="AL166" i="20"/>
  <c r="AO165" i="20"/>
  <c r="P30" i="23"/>
  <c r="AT30" i="23" s="1"/>
  <c r="AT46" i="23"/>
  <c r="X128" i="8"/>
  <c r="Y127" i="8"/>
  <c r="N154" i="4"/>
  <c r="N170" i="4" s="1"/>
  <c r="M6" i="5"/>
  <c r="M7" i="5" s="1"/>
  <c r="AS10" i="4"/>
  <c r="O5" i="5"/>
  <c r="O7" i="5" s="1"/>
  <c r="H186" i="3"/>
  <c r="H90" i="3"/>
  <c r="H446" i="3" s="1"/>
  <c r="H479" i="3" s="1"/>
  <c r="AK7" i="16"/>
  <c r="AJ8" i="16"/>
  <c r="AY3" i="13"/>
  <c r="N292" i="4"/>
  <c r="N37" i="7"/>
  <c r="BN25" i="7"/>
  <c r="N391" i="3"/>
  <c r="AW5" i="15"/>
  <c r="N3" i="15"/>
  <c r="AS66" i="14"/>
  <c r="AV65" i="14"/>
  <c r="AT118" i="11"/>
  <c r="BM118" i="11"/>
  <c r="V18" i="8"/>
  <c r="AC18" i="8" s="1"/>
  <c r="U19" i="8"/>
  <c r="C186" i="3"/>
  <c r="C90" i="3"/>
  <c r="C446" i="3" s="1"/>
  <c r="C479" i="3" s="1"/>
  <c r="AX12" i="13"/>
  <c r="AC116" i="20"/>
  <c r="AD115" i="20"/>
  <c r="C95" i="4"/>
  <c r="C132" i="4"/>
  <c r="C67" i="4"/>
  <c r="C43" i="5"/>
  <c r="BL270" i="11"/>
  <c r="N108" i="4"/>
  <c r="N111" i="4" s="1"/>
  <c r="N128" i="4" s="1"/>
  <c r="AS128" i="18"/>
  <c r="T330" i="19"/>
  <c r="AV101" i="20"/>
  <c r="AZ101" i="20" s="1"/>
  <c r="AW101" i="20"/>
  <c r="M25" i="1"/>
  <c r="J68" i="6"/>
  <c r="AI19" i="22"/>
  <c r="AL18" i="22"/>
  <c r="AC174" i="8"/>
  <c r="AC30" i="10"/>
  <c r="AK153" i="16"/>
  <c r="AJ154" i="16"/>
  <c r="G45" i="19"/>
  <c r="AO5" i="25"/>
  <c r="N4" i="23"/>
  <c r="AP5" i="23"/>
  <c r="P24" i="23"/>
  <c r="AT24" i="23" s="1"/>
  <c r="AT40" i="23"/>
  <c r="I140" i="4"/>
  <c r="I172" i="4" s="1"/>
  <c r="I75" i="4"/>
  <c r="I349" i="4" s="1"/>
  <c r="I381" i="4" s="1"/>
  <c r="Q111" i="4"/>
  <c r="Q51" i="5"/>
  <c r="Q67" i="4"/>
  <c r="Q148" i="4"/>
  <c r="L45" i="19"/>
  <c r="BF45" i="19" s="1"/>
  <c r="BF33" i="19"/>
  <c r="V154" i="15"/>
  <c r="W154" i="15" s="1"/>
  <c r="AM81" i="16"/>
  <c r="AN80" i="16"/>
  <c r="AS67" i="18"/>
  <c r="AT66" i="18"/>
  <c r="AS175" i="22"/>
  <c r="AR176" i="22"/>
  <c r="AO11" i="25"/>
  <c r="BA184" i="22"/>
  <c r="AZ127" i="18"/>
  <c r="AX128" i="18"/>
  <c r="AM93" i="16"/>
  <c r="AN92" i="16"/>
  <c r="BJ34" i="7"/>
  <c r="L400" i="3"/>
  <c r="L449" i="3" s="1"/>
  <c r="L482" i="3" s="1"/>
  <c r="K6" i="15"/>
  <c r="K24" i="6" s="1"/>
  <c r="AG6" i="21"/>
  <c r="AT8" i="13"/>
  <c r="B7" i="13"/>
  <c r="K54" i="5"/>
  <c r="K79" i="5" s="1"/>
  <c r="K87" i="5" s="1"/>
  <c r="K120" i="5" s="1"/>
  <c r="K157" i="4"/>
  <c r="F37" i="9"/>
  <c r="P3" i="11"/>
  <c r="BK4" i="11"/>
  <c r="P8" i="1"/>
  <c r="P25" i="1" s="1"/>
  <c r="AX67" i="4"/>
  <c r="AW67" i="4"/>
  <c r="D138" i="4"/>
  <c r="D170" i="4" s="1"/>
  <c r="D73" i="4"/>
  <c r="AH19" i="20"/>
  <c r="AK18" i="20"/>
  <c r="AS18" i="20"/>
  <c r="V137" i="19"/>
  <c r="O23" i="23"/>
  <c r="AR23" i="23" s="1"/>
  <c r="AR39" i="23"/>
  <c r="E65" i="6"/>
  <c r="AW153" i="18"/>
  <c r="AV154" i="18"/>
  <c r="K154" i="4"/>
  <c r="BI17" i="13"/>
  <c r="BH203" i="11"/>
  <c r="AM104" i="18"/>
  <c r="AN103" i="18"/>
  <c r="B71" i="6"/>
  <c r="P155" i="3"/>
  <c r="P203" i="3"/>
  <c r="O17" i="17"/>
  <c r="AF18" i="17"/>
  <c r="AD141" i="20"/>
  <c r="AC142" i="20"/>
  <c r="P64" i="6"/>
  <c r="Q365" i="13"/>
  <c r="Q349" i="13" s="1"/>
  <c r="Q333" i="13" s="1"/>
  <c r="Q335" i="11"/>
  <c r="BM351" i="11"/>
  <c r="AT351" i="11"/>
  <c r="R351" i="11"/>
  <c r="Q206" i="4"/>
  <c r="Q254" i="3"/>
  <c r="Q238" i="3" s="1"/>
  <c r="L128" i="4"/>
  <c r="AT126" i="16"/>
  <c r="AS127" i="16"/>
  <c r="AY149" i="22"/>
  <c r="AW90" i="18"/>
  <c r="AV91" i="18"/>
  <c r="BB91" i="18" s="1"/>
  <c r="AJ80" i="22"/>
  <c r="AL80" i="22" s="1"/>
  <c r="AU79" i="22"/>
  <c r="BD136" i="18"/>
  <c r="K143" i="4"/>
  <c r="K78" i="4"/>
  <c r="AI229" i="3"/>
  <c r="O441" i="3"/>
  <c r="L144" i="3"/>
  <c r="L148" i="3"/>
  <c r="BD14" i="13"/>
  <c r="I51" i="5"/>
  <c r="I111" i="4"/>
  <c r="I148" i="4"/>
  <c r="I160" i="4" s="1"/>
  <c r="AH83" i="22"/>
  <c r="AG84" i="22"/>
  <c r="BC22" i="11"/>
  <c r="L21" i="11"/>
  <c r="N184" i="3"/>
  <c r="N88" i="3"/>
  <c r="AF104" i="3"/>
  <c r="E376" i="4"/>
  <c r="AT106" i="11"/>
  <c r="L52" i="15"/>
  <c r="AS52" i="15" s="1"/>
  <c r="AS68" i="15"/>
  <c r="AY29" i="20"/>
  <c r="AM22" i="14"/>
  <c r="AR138" i="18"/>
  <c r="AT137" i="18"/>
  <c r="AB8" i="1" l="1"/>
  <c r="AB81" i="11"/>
  <c r="AB43" i="6" s="1"/>
  <c r="AB3" i="11"/>
  <c r="AB19" i="6" s="1"/>
  <c r="AB28" i="13"/>
  <c r="AB30" i="13" s="1"/>
  <c r="AB12" i="2"/>
  <c r="AZ70" i="11"/>
  <c r="X11" i="11"/>
  <c r="Y11" i="11"/>
  <c r="U341" i="11"/>
  <c r="V341" i="11" s="1"/>
  <c r="W341" i="11" s="1"/>
  <c r="X341" i="11" s="1"/>
  <c r="S382" i="11"/>
  <c r="S412" i="13" s="1"/>
  <c r="S285" i="3" s="1"/>
  <c r="S301" i="3" s="1"/>
  <c r="AZ342" i="11"/>
  <c r="T382" i="11"/>
  <c r="T412" i="13" s="1"/>
  <c r="T285" i="3" s="1"/>
  <c r="T301" i="3" s="1"/>
  <c r="R324" i="13"/>
  <c r="R229" i="3"/>
  <c r="U101" i="11"/>
  <c r="U53" i="11" s="1"/>
  <c r="W375" i="11"/>
  <c r="W214" i="4" s="1"/>
  <c r="S325" i="13"/>
  <c r="Y330" i="19"/>
  <c r="U131" i="21"/>
  <c r="V131" i="19"/>
  <c r="S132" i="21"/>
  <c r="K3" i="2"/>
  <c r="BX10" i="13"/>
  <c r="W122" i="15"/>
  <c r="W106" i="15" s="1"/>
  <c r="X154" i="15"/>
  <c r="Y154" i="15" s="1"/>
  <c r="T138" i="21"/>
  <c r="V138" i="19"/>
  <c r="AS22" i="16"/>
  <c r="S104" i="15"/>
  <c r="AR25" i="23"/>
  <c r="BY29" i="7" s="1"/>
  <c r="BW29" i="7"/>
  <c r="AS229" i="4"/>
  <c r="P245" i="4"/>
  <c r="AT115" i="22"/>
  <c r="AQ116" i="22"/>
  <c r="AS115" i="22"/>
  <c r="AZ80" i="16"/>
  <c r="AX81" i="16"/>
  <c r="U121" i="15"/>
  <c r="U105" i="15" s="1"/>
  <c r="T360" i="13"/>
  <c r="T344" i="13" s="1"/>
  <c r="T201" i="4"/>
  <c r="T249" i="3"/>
  <c r="U346" i="11"/>
  <c r="D144" i="4"/>
  <c r="D164" i="4"/>
  <c r="D176" i="4" s="1"/>
  <c r="T96" i="17"/>
  <c r="AX76" i="4"/>
  <c r="AW76" i="4"/>
  <c r="P350" i="4"/>
  <c r="P38" i="5"/>
  <c r="W370" i="19"/>
  <c r="W376" i="19" s="1"/>
  <c r="X29" i="19"/>
  <c r="AR32" i="22"/>
  <c r="AV31" i="22"/>
  <c r="AW31" i="22" s="1"/>
  <c r="AS31" i="22"/>
  <c r="S155" i="17"/>
  <c r="S123" i="17" s="1"/>
  <c r="S107" i="17" s="1"/>
  <c r="S125" i="15"/>
  <c r="S109" i="15" s="1"/>
  <c r="V214" i="4"/>
  <c r="AW68" i="16"/>
  <c r="AV69" i="16"/>
  <c r="AG94" i="18"/>
  <c r="AH93" i="18"/>
  <c r="D21" i="7"/>
  <c r="D3" i="6"/>
  <c r="N441" i="3"/>
  <c r="AF392" i="3"/>
  <c r="D24" i="6"/>
  <c r="D28" i="15"/>
  <c r="D5" i="6" s="1"/>
  <c r="V6" i="26"/>
  <c r="W6" i="26" s="1"/>
  <c r="U7" i="26"/>
  <c r="F483" i="3"/>
  <c r="F484" i="3"/>
  <c r="AI20" i="22"/>
  <c r="AI21" i="22" s="1"/>
  <c r="AI22" i="22" s="1"/>
  <c r="AI23" i="22" s="1"/>
  <c r="AI24" i="22" s="1"/>
  <c r="AI25" i="22" s="1"/>
  <c r="AI26" i="22" s="1"/>
  <c r="AI27" i="22" s="1"/>
  <c r="AL19" i="22"/>
  <c r="AS75" i="4"/>
  <c r="O349" i="4"/>
  <c r="O381" i="4" s="1"/>
  <c r="AG391" i="3"/>
  <c r="AI391" i="3" s="1"/>
  <c r="AF391" i="3"/>
  <c r="O408" i="3"/>
  <c r="O403" i="3"/>
  <c r="D339" i="3"/>
  <c r="D175" i="3"/>
  <c r="D321" i="3" s="1"/>
  <c r="AI55" i="18"/>
  <c r="AK54" i="18"/>
  <c r="BA54" i="18"/>
  <c r="BC54" i="18" s="1"/>
  <c r="H144" i="4"/>
  <c r="H164" i="4"/>
  <c r="AH32" i="18"/>
  <c r="BB32" i="18"/>
  <c r="AG33" i="18"/>
  <c r="F334" i="3"/>
  <c r="F170" i="3"/>
  <c r="F316" i="3" s="1"/>
  <c r="AM117" i="16"/>
  <c r="AN116" i="16"/>
  <c r="BB46" i="11"/>
  <c r="K238" i="4"/>
  <c r="R155" i="17"/>
  <c r="R123" i="17" s="1"/>
  <c r="R107" i="17" s="1"/>
  <c r="R125" i="15"/>
  <c r="R109" i="15" s="1"/>
  <c r="T157" i="15"/>
  <c r="U157" i="15" s="1"/>
  <c r="R163" i="15"/>
  <c r="N7" i="5"/>
  <c r="S364" i="13"/>
  <c r="S348" i="13" s="1"/>
  <c r="S205" i="4"/>
  <c r="AT139" i="16"/>
  <c r="AS140" i="16"/>
  <c r="AG69" i="22"/>
  <c r="AH68" i="22"/>
  <c r="P96" i="5"/>
  <c r="AD92" i="5"/>
  <c r="AC92" i="5"/>
  <c r="U165" i="8"/>
  <c r="V164" i="8"/>
  <c r="C52" i="15"/>
  <c r="C234" i="4"/>
  <c r="AN81" i="16"/>
  <c r="AM82" i="16"/>
  <c r="BY25" i="7"/>
  <c r="N165" i="4"/>
  <c r="S135" i="21"/>
  <c r="Z169" i="20"/>
  <c r="F55" i="5"/>
  <c r="F76" i="5"/>
  <c r="M14" i="6"/>
  <c r="BL3" i="7"/>
  <c r="Q76" i="3"/>
  <c r="S31" i="26"/>
  <c r="R32" i="26"/>
  <c r="H35" i="5"/>
  <c r="H79" i="4"/>
  <c r="H341" i="4"/>
  <c r="M403" i="3"/>
  <c r="M408" i="3"/>
  <c r="Q297" i="3"/>
  <c r="Q289" i="3"/>
  <c r="N350" i="4"/>
  <c r="N382" i="4" s="1"/>
  <c r="BC53" i="14"/>
  <c r="BE53" i="14"/>
  <c r="V152" i="8"/>
  <c r="U153" i="8"/>
  <c r="AL175" i="13"/>
  <c r="AL10" i="13" s="1"/>
  <c r="AZ127" i="14"/>
  <c r="AL128" i="14"/>
  <c r="R45" i="4"/>
  <c r="T111" i="11"/>
  <c r="U111" i="11" s="1"/>
  <c r="H4" i="2"/>
  <c r="BE89" i="14"/>
  <c r="BC89" i="14"/>
  <c r="AI164" i="18"/>
  <c r="AK163" i="18"/>
  <c r="AR91" i="14"/>
  <c r="AO92" i="14"/>
  <c r="R364" i="13"/>
  <c r="R348" i="13" s="1"/>
  <c r="R332" i="13" s="1"/>
  <c r="R334" i="11"/>
  <c r="R189" i="4" s="1"/>
  <c r="R205" i="4"/>
  <c r="T350" i="11"/>
  <c r="U350" i="11" s="1"/>
  <c r="Q7" i="26"/>
  <c r="S6" i="26"/>
  <c r="AX150" i="14"/>
  <c r="AW151" i="14"/>
  <c r="Q75" i="3"/>
  <c r="V193" i="21"/>
  <c r="AK70" i="22"/>
  <c r="J245" i="4"/>
  <c r="J241" i="4"/>
  <c r="C55" i="5"/>
  <c r="C76" i="5"/>
  <c r="I375" i="19"/>
  <c r="I374" i="19"/>
  <c r="I407" i="19"/>
  <c r="I389" i="19"/>
  <c r="O47" i="5"/>
  <c r="O48" i="5" s="1"/>
  <c r="O68" i="5"/>
  <c r="O72" i="5" s="1"/>
  <c r="AR103" i="16"/>
  <c r="AT102" i="16"/>
  <c r="BA102" i="16" s="1"/>
  <c r="Y142" i="20"/>
  <c r="AT127" i="22"/>
  <c r="AQ128" i="22"/>
  <c r="AS127" i="22"/>
  <c r="Y164" i="10"/>
  <c r="X165" i="10"/>
  <c r="I377" i="4"/>
  <c r="I378" i="4"/>
  <c r="AB46" i="8"/>
  <c r="AA47" i="8"/>
  <c r="F160" i="4"/>
  <c r="F164" i="4"/>
  <c r="C33" i="6"/>
  <c r="C41" i="6" s="1"/>
  <c r="AE12" i="21"/>
  <c r="AL71" i="14"/>
  <c r="H166" i="3"/>
  <c r="H312" i="3" s="1"/>
  <c r="H330" i="3"/>
  <c r="H192" i="3"/>
  <c r="F35" i="5"/>
  <c r="F39" i="5" s="1"/>
  <c r="F79" i="4"/>
  <c r="F341" i="4"/>
  <c r="AW167" i="18"/>
  <c r="AV168" i="18"/>
  <c r="R157" i="17"/>
  <c r="R125" i="17" s="1"/>
  <c r="R109" i="17" s="1"/>
  <c r="R127" i="15"/>
  <c r="R111" i="15" s="1"/>
  <c r="S159" i="15"/>
  <c r="M245" i="4"/>
  <c r="AJ132" i="18"/>
  <c r="BA22" i="15"/>
  <c r="P28" i="6"/>
  <c r="S45" i="4"/>
  <c r="U405" i="13"/>
  <c r="U278" i="3" s="1"/>
  <c r="U294" i="3" s="1"/>
  <c r="U214" i="4"/>
  <c r="X375" i="11"/>
  <c r="BA31" i="14"/>
  <c r="AM32" i="14"/>
  <c r="AJ97" i="20"/>
  <c r="S63" i="11"/>
  <c r="AU127" i="22"/>
  <c r="AJ128" i="22"/>
  <c r="AL127" i="22"/>
  <c r="AA22" i="22"/>
  <c r="AB21" i="22"/>
  <c r="S116" i="26"/>
  <c r="R117" i="26"/>
  <c r="BL37" i="7"/>
  <c r="M38" i="7"/>
  <c r="U47" i="8"/>
  <c r="V46" i="8"/>
  <c r="BA152" i="14"/>
  <c r="AM153" i="14"/>
  <c r="O8" i="25"/>
  <c r="AP8" i="25" s="1"/>
  <c r="AR8" i="23"/>
  <c r="O36" i="6"/>
  <c r="Y327" i="19"/>
  <c r="AL48" i="20"/>
  <c r="BC149" i="14"/>
  <c r="N49" i="11"/>
  <c r="N229" i="4"/>
  <c r="BV25" i="7"/>
  <c r="BK25" i="11"/>
  <c r="BH25" i="13"/>
  <c r="AJ165" i="20"/>
  <c r="AK164" i="20"/>
  <c r="B165" i="4"/>
  <c r="B176" i="4" s="1"/>
  <c r="B144" i="4"/>
  <c r="BF126" i="11"/>
  <c r="M130" i="11"/>
  <c r="M46" i="11"/>
  <c r="AS151" i="22"/>
  <c r="AR152" i="22"/>
  <c r="AV151" i="22"/>
  <c r="AZ151" i="22" s="1"/>
  <c r="V114" i="24"/>
  <c r="W114" i="24" s="1"/>
  <c r="U115" i="24"/>
  <c r="I144" i="4"/>
  <c r="I164" i="4"/>
  <c r="I176" i="4" s="1"/>
  <c r="Q68" i="5"/>
  <c r="I304" i="4"/>
  <c r="I309" i="4"/>
  <c r="R43" i="4"/>
  <c r="X45" i="10"/>
  <c r="Y44" i="10"/>
  <c r="AT6" i="17"/>
  <c r="B28" i="17"/>
  <c r="AZ116" i="16"/>
  <c r="AX117" i="16"/>
  <c r="AH197" i="3"/>
  <c r="AI197" i="3" s="1"/>
  <c r="AE197" i="3"/>
  <c r="AI91" i="16"/>
  <c r="AK90" i="16"/>
  <c r="BA90" i="16" s="1"/>
  <c r="BE25" i="11"/>
  <c r="BE25" i="13"/>
  <c r="BL9" i="19"/>
  <c r="O32" i="6"/>
  <c r="AQ9" i="21"/>
  <c r="AV33" i="16"/>
  <c r="AW32" i="16"/>
  <c r="AW90" i="20"/>
  <c r="AV90" i="20"/>
  <c r="AZ90" i="20" s="1"/>
  <c r="R41" i="4"/>
  <c r="BF7" i="13"/>
  <c r="N27" i="13"/>
  <c r="R193" i="21"/>
  <c r="S138" i="21"/>
  <c r="B47" i="5"/>
  <c r="B68" i="5"/>
  <c r="V153" i="15"/>
  <c r="W153" i="15" s="1"/>
  <c r="S103" i="10"/>
  <c r="AC103" i="10" s="1"/>
  <c r="R104" i="10"/>
  <c r="AD402" i="3"/>
  <c r="J451" i="3"/>
  <c r="AN104" i="18"/>
  <c r="AM105" i="18"/>
  <c r="Q164" i="4"/>
  <c r="AM176" i="22"/>
  <c r="AT175" i="22"/>
  <c r="P480" i="3"/>
  <c r="P481" i="3"/>
  <c r="AV7" i="14"/>
  <c r="AS8" i="14"/>
  <c r="AG400" i="3"/>
  <c r="AF400" i="3"/>
  <c r="AZ31" i="14"/>
  <c r="AL32" i="14"/>
  <c r="J13" i="25"/>
  <c r="AK3" i="25"/>
  <c r="AD7" i="5"/>
  <c r="AC7" i="5"/>
  <c r="AG164" i="20"/>
  <c r="AF165" i="20"/>
  <c r="S107" i="11"/>
  <c r="AO96" i="22"/>
  <c r="AP95" i="22"/>
  <c r="AR34" i="20"/>
  <c r="AP35" i="20"/>
  <c r="AD174" i="10"/>
  <c r="O53" i="15"/>
  <c r="AY52" i="15"/>
  <c r="O54" i="15"/>
  <c r="AZ137" i="20"/>
  <c r="AZ149" i="20"/>
  <c r="R22" i="24"/>
  <c r="AX114" i="14"/>
  <c r="AW115" i="14"/>
  <c r="L245" i="4"/>
  <c r="C476" i="3"/>
  <c r="C477" i="3"/>
  <c r="BF273" i="11"/>
  <c r="M49" i="6"/>
  <c r="M71" i="6" s="1"/>
  <c r="AC68" i="5"/>
  <c r="AV165" i="16"/>
  <c r="AW164" i="16"/>
  <c r="S56" i="11"/>
  <c r="U40" i="4"/>
  <c r="P4" i="2"/>
  <c r="AT79" i="22"/>
  <c r="AQ80" i="22"/>
  <c r="AH394" i="3"/>
  <c r="AE394" i="3"/>
  <c r="AT8" i="16"/>
  <c r="AS9" i="16"/>
  <c r="Q296" i="3"/>
  <c r="Q232" i="3"/>
  <c r="D407" i="19"/>
  <c r="D375" i="19"/>
  <c r="D389" i="19"/>
  <c r="D374" i="19"/>
  <c r="S109" i="11"/>
  <c r="R88" i="17"/>
  <c r="BB173" i="20"/>
  <c r="BR171" i="12" s="1"/>
  <c r="BH171" i="12" s="1"/>
  <c r="AZ173" i="20"/>
  <c r="AZ185" i="20"/>
  <c r="BD162" i="16"/>
  <c r="BQ160" i="12" s="1"/>
  <c r="BG160" i="12" s="1"/>
  <c r="R62" i="11"/>
  <c r="S78" i="11"/>
  <c r="T78" i="11" s="1"/>
  <c r="AL130" i="20"/>
  <c r="AO129" i="20"/>
  <c r="AC45" i="8"/>
  <c r="AW7" i="15"/>
  <c r="N6" i="15"/>
  <c r="AE7" i="17"/>
  <c r="AJ93" i="16"/>
  <c r="AU7" i="13"/>
  <c r="C27" i="13"/>
  <c r="AP130" i="18"/>
  <c r="AQ129" i="18"/>
  <c r="AS55" i="14"/>
  <c r="AV54" i="14"/>
  <c r="AY54" i="14"/>
  <c r="BB54" i="14" s="1"/>
  <c r="P165" i="4"/>
  <c r="P144" i="4"/>
  <c r="I49" i="11"/>
  <c r="I229" i="4"/>
  <c r="R63" i="11"/>
  <c r="T79" i="11"/>
  <c r="M77" i="5"/>
  <c r="AX174" i="22"/>
  <c r="AW174" i="22"/>
  <c r="BA174" i="22" s="1"/>
  <c r="AX186" i="22"/>
  <c r="AW7" i="13"/>
  <c r="E27" i="13"/>
  <c r="BA14" i="15"/>
  <c r="P26" i="6"/>
  <c r="AB92" i="20"/>
  <c r="AS91" i="20"/>
  <c r="AD91" i="20"/>
  <c r="AT7" i="13"/>
  <c r="B27" i="13"/>
  <c r="AK105" i="20"/>
  <c r="AJ106" i="20"/>
  <c r="P171" i="3"/>
  <c r="P317" i="3" s="1"/>
  <c r="P335" i="3"/>
  <c r="BJ9" i="19"/>
  <c r="N32" i="6"/>
  <c r="AP9" i="21"/>
  <c r="AD11" i="22"/>
  <c r="AE10" i="22"/>
  <c r="L79" i="4"/>
  <c r="L35" i="5"/>
  <c r="L341" i="4"/>
  <c r="BF41" i="11"/>
  <c r="M233" i="4"/>
  <c r="F3" i="2"/>
  <c r="J23" i="19"/>
  <c r="J30" i="6"/>
  <c r="J29" i="6" s="1"/>
  <c r="AQ33" i="18"/>
  <c r="AP34" i="18"/>
  <c r="AP163" i="14"/>
  <c r="AR162" i="14"/>
  <c r="AZ162" i="14"/>
  <c r="T107" i="11"/>
  <c r="AP110" i="16"/>
  <c r="AQ109" i="16"/>
  <c r="AR151" i="16"/>
  <c r="AT150" i="16"/>
  <c r="Y175" i="10"/>
  <c r="AC175" i="10" s="1"/>
  <c r="AD175" i="10" s="1"/>
  <c r="X176" i="10"/>
  <c r="B96" i="5"/>
  <c r="W303" i="15"/>
  <c r="AD11" i="17"/>
  <c r="H482" i="3"/>
  <c r="O379" i="4"/>
  <c r="X327" i="19"/>
  <c r="C28" i="17"/>
  <c r="P47" i="19"/>
  <c r="P46" i="19"/>
  <c r="BN45" i="19"/>
  <c r="M54" i="5"/>
  <c r="M79" i="5" s="1"/>
  <c r="M87" i="5" s="1"/>
  <c r="M120" i="5" s="1"/>
  <c r="M157" i="4"/>
  <c r="M160" i="4" s="1"/>
  <c r="M76" i="4"/>
  <c r="Y20" i="8"/>
  <c r="X21" i="8"/>
  <c r="AG143" i="16"/>
  <c r="AA153" i="8"/>
  <c r="AB152" i="8"/>
  <c r="C164" i="3"/>
  <c r="C192" i="3"/>
  <c r="C328" i="3"/>
  <c r="AD200" i="3"/>
  <c r="AC200" i="3"/>
  <c r="J168" i="3"/>
  <c r="S342" i="19"/>
  <c r="T89" i="17"/>
  <c r="AP28" i="23"/>
  <c r="N33" i="23"/>
  <c r="AP33" i="23" s="1"/>
  <c r="BV32" i="7"/>
  <c r="AY142" i="16"/>
  <c r="AZ141" i="16"/>
  <c r="S324" i="19"/>
  <c r="U340" i="19"/>
  <c r="T340" i="19"/>
  <c r="AI46" i="20"/>
  <c r="AT45" i="20"/>
  <c r="D47" i="5"/>
  <c r="D68" i="5"/>
  <c r="D72" i="5" s="1"/>
  <c r="AU25" i="15"/>
  <c r="CW25" i="15" s="1"/>
  <c r="AD25" i="17"/>
  <c r="AB20" i="8"/>
  <c r="AA21" i="8"/>
  <c r="Q95" i="17"/>
  <c r="AT149" i="4"/>
  <c r="AU149" i="4" s="1"/>
  <c r="P19" i="6"/>
  <c r="BK3" i="11"/>
  <c r="BH3" i="13"/>
  <c r="O172" i="4"/>
  <c r="AB32" i="8"/>
  <c r="AA33" i="8"/>
  <c r="H47" i="5"/>
  <c r="H68" i="5"/>
  <c r="AG34" i="16"/>
  <c r="AH33" i="16"/>
  <c r="Q109" i="15"/>
  <c r="BC109" i="15" s="1"/>
  <c r="BC125" i="15"/>
  <c r="AB176" i="22"/>
  <c r="AA177" i="22"/>
  <c r="Q21" i="5"/>
  <c r="Q78" i="5" s="1"/>
  <c r="S22" i="10"/>
  <c r="R23" i="10"/>
  <c r="AU133" i="4"/>
  <c r="O165" i="4"/>
  <c r="H337" i="3"/>
  <c r="H173" i="3"/>
  <c r="H319" i="3" s="1"/>
  <c r="BA3" i="15"/>
  <c r="P23" i="6"/>
  <c r="Y128" i="20"/>
  <c r="AS127" i="20"/>
  <c r="AA127" i="20"/>
  <c r="Z33" i="20"/>
  <c r="AA32" i="20"/>
  <c r="S160" i="17"/>
  <c r="S128" i="17" s="1"/>
  <c r="S112" i="17" s="1"/>
  <c r="S130" i="15"/>
  <c r="S114" i="15" s="1"/>
  <c r="AX165" i="16"/>
  <c r="AZ164" i="16"/>
  <c r="R362" i="13"/>
  <c r="R346" i="13" s="1"/>
  <c r="R330" i="13" s="1"/>
  <c r="R332" i="11"/>
  <c r="R187" i="4" s="1"/>
  <c r="R203" i="4"/>
  <c r="S380" i="11"/>
  <c r="S348" i="11"/>
  <c r="BB401" i="11"/>
  <c r="K25" i="11"/>
  <c r="T37" i="4"/>
  <c r="U103" i="11"/>
  <c r="U55" i="11" s="1"/>
  <c r="AS105" i="16"/>
  <c r="AP115" i="14"/>
  <c r="AZ114" i="14"/>
  <c r="AX34" i="18"/>
  <c r="AZ33" i="18"/>
  <c r="AD43" i="5"/>
  <c r="AU71" i="4"/>
  <c r="AY71" i="4" s="1"/>
  <c r="K345" i="4"/>
  <c r="K377" i="4" s="1"/>
  <c r="AA128" i="10"/>
  <c r="AB127" i="10"/>
  <c r="AC127" i="10" s="1"/>
  <c r="AN152" i="18"/>
  <c r="AM153" i="18"/>
  <c r="L3" i="23"/>
  <c r="AL4" i="23"/>
  <c r="AM4" i="25"/>
  <c r="F20" i="6"/>
  <c r="F41" i="6" s="1"/>
  <c r="F27" i="11"/>
  <c r="AG398" i="3"/>
  <c r="AI398" i="3" s="1"/>
  <c r="AF398" i="3"/>
  <c r="AE398" i="3"/>
  <c r="U44" i="24"/>
  <c r="V43" i="24"/>
  <c r="P408" i="3"/>
  <c r="P403" i="3"/>
  <c r="AF44" i="18"/>
  <c r="X141" i="8"/>
  <c r="Y140" i="8"/>
  <c r="Q151" i="26"/>
  <c r="S150" i="26"/>
  <c r="V130" i="8"/>
  <c r="U131" i="8"/>
  <c r="R159" i="17"/>
  <c r="R127" i="17" s="1"/>
  <c r="R111" i="17" s="1"/>
  <c r="R129" i="15"/>
  <c r="R113" i="15" s="1"/>
  <c r="F164" i="3"/>
  <c r="F192" i="3"/>
  <c r="F328" i="3"/>
  <c r="L166" i="4"/>
  <c r="AT134" i="4"/>
  <c r="AU134" i="4" s="1"/>
  <c r="E47" i="5"/>
  <c r="AB47" i="5" s="1"/>
  <c r="E68" i="5"/>
  <c r="E72" i="5" s="1"/>
  <c r="N331" i="3"/>
  <c r="N167" i="3"/>
  <c r="N313" i="3" s="1"/>
  <c r="AD88" i="3"/>
  <c r="J444" i="3"/>
  <c r="D19" i="6"/>
  <c r="D27" i="11"/>
  <c r="B23" i="19"/>
  <c r="B6" i="6" s="1"/>
  <c r="B30" i="6"/>
  <c r="B29" i="6" s="1"/>
  <c r="AD3" i="21"/>
  <c r="AG130" i="18"/>
  <c r="AH129" i="18"/>
  <c r="O87" i="5"/>
  <c r="AC76" i="5"/>
  <c r="AD205" i="3"/>
  <c r="AH205" i="3" s="1"/>
  <c r="AC205" i="3"/>
  <c r="N173" i="3"/>
  <c r="N319" i="3" s="1"/>
  <c r="AT80" i="20"/>
  <c r="AI81" i="20"/>
  <c r="C480" i="3"/>
  <c r="C481" i="3"/>
  <c r="E35" i="5"/>
  <c r="E79" i="4"/>
  <c r="E341" i="4"/>
  <c r="T97" i="17"/>
  <c r="O7" i="11"/>
  <c r="BI8" i="11"/>
  <c r="BG8" i="13"/>
  <c r="AW42" i="20"/>
  <c r="AV42" i="20"/>
  <c r="AZ42" i="20" s="1"/>
  <c r="AF176" i="18"/>
  <c r="AH175" i="18"/>
  <c r="AR7" i="14"/>
  <c r="AO8" i="14"/>
  <c r="AD93" i="5"/>
  <c r="AC93" i="5"/>
  <c r="G166" i="3"/>
  <c r="G312" i="3" s="1"/>
  <c r="G330" i="3"/>
  <c r="E144" i="4"/>
  <c r="E164" i="4"/>
  <c r="E176" i="4" s="1"/>
  <c r="AQ96" i="16"/>
  <c r="AP97" i="16"/>
  <c r="G96" i="5"/>
  <c r="H475" i="3"/>
  <c r="H476" i="3"/>
  <c r="N53" i="15"/>
  <c r="AW52" i="15"/>
  <c r="N54" i="15"/>
  <c r="AY14" i="15"/>
  <c r="O26" i="6"/>
  <c r="BD174" i="18"/>
  <c r="AI31" i="16"/>
  <c r="AK30" i="16"/>
  <c r="BA30" i="16" s="1"/>
  <c r="U77" i="11"/>
  <c r="AE175" i="13"/>
  <c r="AE10" i="13" s="1"/>
  <c r="R147" i="24"/>
  <c r="S147" i="24" s="1"/>
  <c r="S146" i="24"/>
  <c r="Q77" i="3"/>
  <c r="R333" i="19"/>
  <c r="AW92" i="16"/>
  <c r="AV93" i="16"/>
  <c r="BB149" i="16"/>
  <c r="BB161" i="16"/>
  <c r="AA175" i="13"/>
  <c r="AA10" i="13" s="1"/>
  <c r="AQ117" i="16"/>
  <c r="AP118" i="16"/>
  <c r="G208" i="3"/>
  <c r="Y118" i="20"/>
  <c r="AN117" i="14"/>
  <c r="AK118" i="14"/>
  <c r="Q152" i="10"/>
  <c r="S151" i="10"/>
  <c r="AC151" i="10" s="1"/>
  <c r="AD151" i="10" s="1"/>
  <c r="D477" i="3"/>
  <c r="D478" i="3"/>
  <c r="AH117" i="18"/>
  <c r="AG118" i="18"/>
  <c r="BF20" i="13"/>
  <c r="AG446" i="13"/>
  <c r="AG430" i="13" s="1"/>
  <c r="AD445" i="13"/>
  <c r="AD429" i="13" s="1"/>
  <c r="AA444" i="13"/>
  <c r="AA428" i="13" s="1"/>
  <c r="X443" i="13"/>
  <c r="X427" i="13" s="1"/>
  <c r="U442" i="13"/>
  <c r="U426" i="13" s="1"/>
  <c r="AN441" i="13"/>
  <c r="AN425" i="13" s="1"/>
  <c r="R441" i="13"/>
  <c r="R425" i="13" s="1"/>
  <c r="AK440" i="13"/>
  <c r="AK424" i="13" s="1"/>
  <c r="AH439" i="13"/>
  <c r="AH423" i="13" s="1"/>
  <c r="AE438" i="13"/>
  <c r="AE422" i="13" s="1"/>
  <c r="AB437" i="13"/>
  <c r="AB421" i="13" s="1"/>
  <c r="Y436" i="13"/>
  <c r="Y420" i="13" s="1"/>
  <c r="V435" i="13"/>
  <c r="AF446" i="13"/>
  <c r="AF430" i="13" s="1"/>
  <c r="AC445" i="13"/>
  <c r="AC429" i="13" s="1"/>
  <c r="Z444" i="13"/>
  <c r="Z428" i="13" s="1"/>
  <c r="W443" i="13"/>
  <c r="W427" i="13" s="1"/>
  <c r="AP442" i="13"/>
  <c r="AP426" i="13" s="1"/>
  <c r="T442" i="13"/>
  <c r="T426" i="13" s="1"/>
  <c r="AM441" i="13"/>
  <c r="AM425" i="13" s="1"/>
  <c r="Q441" i="13"/>
  <c r="Q425" i="13" s="1"/>
  <c r="AJ440" i="13"/>
  <c r="AJ424" i="13" s="1"/>
  <c r="AG439" i="13"/>
  <c r="AG423" i="13" s="1"/>
  <c r="AD438" i="13"/>
  <c r="AD422" i="13" s="1"/>
  <c r="AA437" i="13"/>
  <c r="AA421" i="13" s="1"/>
  <c r="X436" i="13"/>
  <c r="X420" i="13" s="1"/>
  <c r="U435" i="13"/>
  <c r="AE446" i="13"/>
  <c r="AE430" i="13" s="1"/>
  <c r="AB445" i="13"/>
  <c r="AB429" i="13" s="1"/>
  <c r="Y444" i="13"/>
  <c r="Y428" i="13" s="1"/>
  <c r="V443" i="13"/>
  <c r="V427" i="13" s="1"/>
  <c r="AO442" i="13"/>
  <c r="AO426" i="13" s="1"/>
  <c r="S442" i="13"/>
  <c r="S426" i="13" s="1"/>
  <c r="AL441" i="13"/>
  <c r="AL425" i="13" s="1"/>
  <c r="AI440" i="13"/>
  <c r="AI424" i="13" s="1"/>
  <c r="AF439" i="13"/>
  <c r="AF423" i="13" s="1"/>
  <c r="AC438" i="13"/>
  <c r="AC422" i="13" s="1"/>
  <c r="Z437" i="13"/>
  <c r="Z421" i="13" s="1"/>
  <c r="W436" i="13"/>
  <c r="W420" i="13" s="1"/>
  <c r="AP435" i="13"/>
  <c r="T435" i="13"/>
  <c r="AD446" i="13"/>
  <c r="AD430" i="13" s="1"/>
  <c r="AA445" i="13"/>
  <c r="AA429" i="13" s="1"/>
  <c r="X444" i="13"/>
  <c r="X428" i="13" s="1"/>
  <c r="U443" i="13"/>
  <c r="U427" i="13" s="1"/>
  <c r="AN442" i="13"/>
  <c r="AN426" i="13" s="1"/>
  <c r="R442" i="13"/>
  <c r="R426" i="13" s="1"/>
  <c r="AK441" i="13"/>
  <c r="AK425" i="13" s="1"/>
  <c r="AH440" i="13"/>
  <c r="AH424" i="13" s="1"/>
  <c r="AE439" i="13"/>
  <c r="AE423" i="13" s="1"/>
  <c r="AB438" i="13"/>
  <c r="AB422" i="13" s="1"/>
  <c r="Y437" i="13"/>
  <c r="Y421" i="13" s="1"/>
  <c r="V436" i="13"/>
  <c r="V420" i="13" s="1"/>
  <c r="AO435" i="13"/>
  <c r="S435" i="13"/>
  <c r="AC446" i="13"/>
  <c r="AC430" i="13" s="1"/>
  <c r="Z445" i="13"/>
  <c r="Z429" i="13" s="1"/>
  <c r="W444" i="13"/>
  <c r="W428" i="13" s="1"/>
  <c r="AP443" i="13"/>
  <c r="AP427" i="13" s="1"/>
  <c r="T443" i="13"/>
  <c r="T427" i="13" s="1"/>
  <c r="AM442" i="13"/>
  <c r="AM426" i="13" s="1"/>
  <c r="Q442" i="13"/>
  <c r="Q426" i="13" s="1"/>
  <c r="AJ441" i="13"/>
  <c r="AJ425" i="13" s="1"/>
  <c r="AG440" i="13"/>
  <c r="AG424" i="13" s="1"/>
  <c r="AD439" i="13"/>
  <c r="AD423" i="13" s="1"/>
  <c r="AA438" i="13"/>
  <c r="AA422" i="13" s="1"/>
  <c r="X437" i="13"/>
  <c r="X421" i="13" s="1"/>
  <c r="U436" i="13"/>
  <c r="U420" i="13" s="1"/>
  <c r="AN435" i="13"/>
  <c r="R435" i="13"/>
  <c r="AB446" i="13"/>
  <c r="AB430" i="13" s="1"/>
  <c r="Y445" i="13"/>
  <c r="Y429" i="13" s="1"/>
  <c r="V444" i="13"/>
  <c r="V428" i="13" s="1"/>
  <c r="AO443" i="13"/>
  <c r="AO427" i="13" s="1"/>
  <c r="S443" i="13"/>
  <c r="S427" i="13" s="1"/>
  <c r="AL442" i="13"/>
  <c r="AL426" i="13" s="1"/>
  <c r="AI441" i="13"/>
  <c r="AI425" i="13" s="1"/>
  <c r="AF440" i="13"/>
  <c r="AF424" i="13" s="1"/>
  <c r="AC439" i="13"/>
  <c r="AC423" i="13" s="1"/>
  <c r="Z438" i="13"/>
  <c r="Z422" i="13" s="1"/>
  <c r="W437" i="13"/>
  <c r="W421" i="13" s="1"/>
  <c r="AP436" i="13"/>
  <c r="AP420" i="13" s="1"/>
  <c r="T436" i="13"/>
  <c r="T420" i="13" s="1"/>
  <c r="AM435" i="13"/>
  <c r="AA446" i="13"/>
  <c r="AA430" i="13" s="1"/>
  <c r="X445" i="13"/>
  <c r="X429" i="13" s="1"/>
  <c r="U444" i="13"/>
  <c r="U428" i="13" s="1"/>
  <c r="AN443" i="13"/>
  <c r="AN427" i="13" s="1"/>
  <c r="R443" i="13"/>
  <c r="R427" i="13" s="1"/>
  <c r="AK442" i="13"/>
  <c r="AK426" i="13" s="1"/>
  <c r="AH441" i="13"/>
  <c r="AH425" i="13" s="1"/>
  <c r="AE440" i="13"/>
  <c r="AE424" i="13" s="1"/>
  <c r="AB439" i="13"/>
  <c r="AB423" i="13" s="1"/>
  <c r="Y438" i="13"/>
  <c r="Y422" i="13" s="1"/>
  <c r="V437" i="13"/>
  <c r="V421" i="13" s="1"/>
  <c r="AO436" i="13"/>
  <c r="AO420" i="13" s="1"/>
  <c r="S436" i="13"/>
  <c r="S420" i="13" s="1"/>
  <c r="AL435" i="13"/>
  <c r="Y446" i="13"/>
  <c r="Y430" i="13" s="1"/>
  <c r="V445" i="13"/>
  <c r="V429" i="13" s="1"/>
  <c r="AO444" i="13"/>
  <c r="AO428" i="13" s="1"/>
  <c r="S444" i="13"/>
  <c r="S428" i="13" s="1"/>
  <c r="AL443" i="13"/>
  <c r="AL427" i="13" s="1"/>
  <c r="AI442" i="13"/>
  <c r="AI426" i="13" s="1"/>
  <c r="AF441" i="13"/>
  <c r="AF425" i="13" s="1"/>
  <c r="AC440" i="13"/>
  <c r="AC424" i="13" s="1"/>
  <c r="Z439" i="13"/>
  <c r="Z423" i="13" s="1"/>
  <c r="W438" i="13"/>
  <c r="W422" i="13" s="1"/>
  <c r="AP437" i="13"/>
  <c r="AP421" i="13" s="1"/>
  <c r="T437" i="13"/>
  <c r="T421" i="13" s="1"/>
  <c r="AM436" i="13"/>
  <c r="AM420" i="13" s="1"/>
  <c r="AJ435" i="13"/>
  <c r="V446" i="13"/>
  <c r="V430" i="13" s="1"/>
  <c r="AO445" i="13"/>
  <c r="AO429" i="13" s="1"/>
  <c r="S445" i="13"/>
  <c r="S429" i="13" s="1"/>
  <c r="AL444" i="13"/>
  <c r="AL428" i="13" s="1"/>
  <c r="AI443" i="13"/>
  <c r="AI427" i="13" s="1"/>
  <c r="AF442" i="13"/>
  <c r="AF426" i="13" s="1"/>
  <c r="AC441" i="13"/>
  <c r="AC425" i="13" s="1"/>
  <c r="Z440" i="13"/>
  <c r="Z424" i="13" s="1"/>
  <c r="W439" i="13"/>
  <c r="W423" i="13" s="1"/>
  <c r="AP438" i="13"/>
  <c r="AP422" i="13" s="1"/>
  <c r="T438" i="13"/>
  <c r="T422" i="13" s="1"/>
  <c r="AM437" i="13"/>
  <c r="AM421" i="13" s="1"/>
  <c r="AJ436" i="13"/>
  <c r="AJ420" i="13" s="1"/>
  <c r="AG435" i="13"/>
  <c r="U446" i="13"/>
  <c r="U430" i="13" s="1"/>
  <c r="AN445" i="13"/>
  <c r="AN429" i="13" s="1"/>
  <c r="R445" i="13"/>
  <c r="R429" i="13" s="1"/>
  <c r="AK444" i="13"/>
  <c r="AK428" i="13" s="1"/>
  <c r="AH443" i="13"/>
  <c r="AH427" i="13" s="1"/>
  <c r="AE442" i="13"/>
  <c r="AE426" i="13" s="1"/>
  <c r="AB441" i="13"/>
  <c r="AB425" i="13" s="1"/>
  <c r="Y440" i="13"/>
  <c r="Y424" i="13" s="1"/>
  <c r="V439" i="13"/>
  <c r="V423" i="13" s="1"/>
  <c r="AO438" i="13"/>
  <c r="AO422" i="13" s="1"/>
  <c r="S438" i="13"/>
  <c r="S422" i="13" s="1"/>
  <c r="AL437" i="13"/>
  <c r="AL421" i="13" s="1"/>
  <c r="AI436" i="13"/>
  <c r="AI420" i="13" s="1"/>
  <c r="AF435" i="13"/>
  <c r="T444" i="13"/>
  <c r="T428" i="13" s="1"/>
  <c r="AA443" i="13"/>
  <c r="AA427" i="13" s="1"/>
  <c r="AC442" i="13"/>
  <c r="AC426" i="13" s="1"/>
  <c r="AP441" i="13"/>
  <c r="AP425" i="13" s="1"/>
  <c r="U437" i="13"/>
  <c r="U421" i="13" s="1"/>
  <c r="AC436" i="13"/>
  <c r="AC420" i="13" s="1"/>
  <c r="AC435" i="13"/>
  <c r="R444" i="13"/>
  <c r="R428" i="13" s="1"/>
  <c r="Z443" i="13"/>
  <c r="Z427" i="13" s="1"/>
  <c r="AB442" i="13"/>
  <c r="AB426" i="13" s="1"/>
  <c r="AO441" i="13"/>
  <c r="AO425" i="13" s="1"/>
  <c r="S437" i="13"/>
  <c r="S421" i="13" s="1"/>
  <c r="AB436" i="13"/>
  <c r="AB420" i="13" s="1"/>
  <c r="AB435" i="13"/>
  <c r="Q444" i="13"/>
  <c r="Q428" i="13" s="1"/>
  <c r="Y443" i="13"/>
  <c r="Y427" i="13" s="1"/>
  <c r="AA442" i="13"/>
  <c r="AA426" i="13" s="1"/>
  <c r="AG441" i="13"/>
  <c r="AG425" i="13" s="1"/>
  <c r="R437" i="13"/>
  <c r="R421" i="13" s="1"/>
  <c r="AA436" i="13"/>
  <c r="AA420" i="13" s="1"/>
  <c r="AA435" i="13"/>
  <c r="AP446" i="13"/>
  <c r="AP430" i="13" s="1"/>
  <c r="Q443" i="13"/>
  <c r="Q427" i="13" s="1"/>
  <c r="Z442" i="13"/>
  <c r="Z426" i="13" s="1"/>
  <c r="AE441" i="13"/>
  <c r="AE425" i="13" s="1"/>
  <c r="AP440" i="13"/>
  <c r="AP424" i="13" s="1"/>
  <c r="Z436" i="13"/>
  <c r="Z420" i="13" s="1"/>
  <c r="Z435" i="13"/>
  <c r="AO446" i="13"/>
  <c r="AO430" i="13" s="1"/>
  <c r="Y442" i="13"/>
  <c r="Y426" i="13" s="1"/>
  <c r="AD441" i="13"/>
  <c r="AD425" i="13" s="1"/>
  <c r="AO440" i="13"/>
  <c r="AO424" i="13" s="1"/>
  <c r="R436" i="13"/>
  <c r="R420" i="13" s="1"/>
  <c r="Y435" i="13"/>
  <c r="AN446" i="13"/>
  <c r="AN430" i="13" s="1"/>
  <c r="X442" i="13"/>
  <c r="X426" i="13" s="1"/>
  <c r="AA441" i="13"/>
  <c r="AA425" i="13" s="1"/>
  <c r="AN440" i="13"/>
  <c r="AN424" i="13" s="1"/>
  <c r="AP439" i="13"/>
  <c r="AP423" i="13" s="1"/>
  <c r="X435" i="13"/>
  <c r="AM446" i="13"/>
  <c r="AM430" i="13" s="1"/>
  <c r="W442" i="13"/>
  <c r="W426" i="13" s="1"/>
  <c r="Z441" i="13"/>
  <c r="Z425" i="13" s="1"/>
  <c r="AM440" i="13"/>
  <c r="AM424" i="13" s="1"/>
  <c r="AO439" i="13"/>
  <c r="AO423" i="13" s="1"/>
  <c r="W435" i="13"/>
  <c r="AL446" i="13"/>
  <c r="AL430" i="13" s="1"/>
  <c r="V442" i="13"/>
  <c r="V426" i="13" s="1"/>
  <c r="Y441" i="13"/>
  <c r="Y425" i="13" s="1"/>
  <c r="AL440" i="13"/>
  <c r="AL424" i="13" s="1"/>
  <c r="AN439" i="13"/>
  <c r="AN423" i="13" s="1"/>
  <c r="AN438" i="13"/>
  <c r="AN422" i="13" s="1"/>
  <c r="AJ446" i="13"/>
  <c r="AJ430" i="13" s="1"/>
  <c r="AM445" i="13"/>
  <c r="AM429" i="13" s="1"/>
  <c r="W441" i="13"/>
  <c r="W425" i="13" s="1"/>
  <c r="AB440" i="13"/>
  <c r="AB424" i="13" s="1"/>
  <c r="AL439" i="13"/>
  <c r="AL423" i="13" s="1"/>
  <c r="AL438" i="13"/>
  <c r="AL422" i="13" s="1"/>
  <c r="Z446" i="13"/>
  <c r="Z430" i="13" s="1"/>
  <c r="AJ445" i="13"/>
  <c r="AJ429" i="13" s="1"/>
  <c r="AM444" i="13"/>
  <c r="AM428" i="13" s="1"/>
  <c r="T441" i="13"/>
  <c r="T425" i="13" s="1"/>
  <c r="W440" i="13"/>
  <c r="W424" i="13" s="1"/>
  <c r="AI439" i="13"/>
  <c r="AI423" i="13" s="1"/>
  <c r="AI438" i="13"/>
  <c r="AI422" i="13" s="1"/>
  <c r="AN437" i="13"/>
  <c r="AN421" i="13" s="1"/>
  <c r="X446" i="13"/>
  <c r="X430" i="13" s="1"/>
  <c r="AI445" i="13"/>
  <c r="AI429" i="13" s="1"/>
  <c r="AJ444" i="13"/>
  <c r="AJ428" i="13" s="1"/>
  <c r="AM443" i="13"/>
  <c r="AM427" i="13" s="1"/>
  <c r="S441" i="13"/>
  <c r="S425" i="13" s="1"/>
  <c r="V440" i="13"/>
  <c r="V424" i="13" s="1"/>
  <c r="AA439" i="13"/>
  <c r="AA423" i="13" s="1"/>
  <c r="AH438" i="13"/>
  <c r="AH422" i="13" s="1"/>
  <c r="AK437" i="13"/>
  <c r="AK421" i="13" s="1"/>
  <c r="AG445" i="13"/>
  <c r="AG429" i="13" s="1"/>
  <c r="AC444" i="13"/>
  <c r="AC428" i="13" s="1"/>
  <c r="S440" i="13"/>
  <c r="S424" i="13" s="1"/>
  <c r="AO437" i="13"/>
  <c r="AO421" i="13" s="1"/>
  <c r="AF436" i="13"/>
  <c r="AF420" i="13" s="1"/>
  <c r="AK446" i="13"/>
  <c r="AK430" i="13" s="1"/>
  <c r="AF445" i="13"/>
  <c r="AF429" i="13" s="1"/>
  <c r="AB444" i="13"/>
  <c r="AB428" i="13" s="1"/>
  <c r="R440" i="13"/>
  <c r="R424" i="13" s="1"/>
  <c r="AJ437" i="13"/>
  <c r="AJ421" i="13" s="1"/>
  <c r="AE436" i="13"/>
  <c r="AE420" i="13" s="1"/>
  <c r="AI446" i="13"/>
  <c r="AI430" i="13" s="1"/>
  <c r="AE445" i="13"/>
  <c r="AE429" i="13" s="1"/>
  <c r="Q440" i="13"/>
  <c r="Q424" i="13" s="1"/>
  <c r="AM438" i="13"/>
  <c r="AM422" i="13" s="1"/>
  <c r="AI437" i="13"/>
  <c r="AI421" i="13" s="1"/>
  <c r="AD436" i="13"/>
  <c r="AD420" i="13" s="1"/>
  <c r="AH446" i="13"/>
  <c r="AH430" i="13" s="1"/>
  <c r="W445" i="13"/>
  <c r="W429" i="13" s="1"/>
  <c r="AK438" i="13"/>
  <c r="AK422" i="13" s="1"/>
  <c r="AH437" i="13"/>
  <c r="AH421" i="13" s="1"/>
  <c r="W446" i="13"/>
  <c r="W430" i="13" s="1"/>
  <c r="U445" i="13"/>
  <c r="U429" i="13" s="1"/>
  <c r="AJ438" i="13"/>
  <c r="AJ422" i="13" s="1"/>
  <c r="AG437" i="13"/>
  <c r="AG421" i="13" s="1"/>
  <c r="T446" i="13"/>
  <c r="T430" i="13" s="1"/>
  <c r="T445" i="13"/>
  <c r="T429" i="13" s="1"/>
  <c r="AG438" i="13"/>
  <c r="AG422" i="13" s="1"/>
  <c r="AF437" i="13"/>
  <c r="AF421" i="13" s="1"/>
  <c r="S446" i="13"/>
  <c r="S430" i="13" s="1"/>
  <c r="Q445" i="13"/>
  <c r="Q429" i="13" s="1"/>
  <c r="X441" i="13"/>
  <c r="X425" i="13" s="1"/>
  <c r="AF438" i="13"/>
  <c r="AF422" i="13" s="1"/>
  <c r="AE437" i="13"/>
  <c r="AE421" i="13" s="1"/>
  <c r="R446" i="13"/>
  <c r="R430" i="13" s="1"/>
  <c r="V441" i="13"/>
  <c r="V425" i="13" s="1"/>
  <c r="X438" i="13"/>
  <c r="X422" i="13" s="1"/>
  <c r="AD437" i="13"/>
  <c r="AD421" i="13" s="1"/>
  <c r="Q446" i="13"/>
  <c r="Q430" i="13" s="1"/>
  <c r="U441" i="13"/>
  <c r="U425" i="13" s="1"/>
  <c r="V438" i="13"/>
  <c r="V422" i="13" s="1"/>
  <c r="AC437" i="13"/>
  <c r="AC421" i="13" s="1"/>
  <c r="U438" i="13"/>
  <c r="U422" i="13" s="1"/>
  <c r="AK443" i="13"/>
  <c r="AK427" i="13" s="1"/>
  <c r="AG442" i="13"/>
  <c r="AG426" i="13" s="1"/>
  <c r="AJ439" i="13"/>
  <c r="AJ423" i="13" s="1"/>
  <c r="AG443" i="13"/>
  <c r="AG427" i="13" s="1"/>
  <c r="AF443" i="13"/>
  <c r="AF427" i="13" s="1"/>
  <c r="AE443" i="13"/>
  <c r="AE427" i="13" s="1"/>
  <c r="AD443" i="13"/>
  <c r="AD427" i="13" s="1"/>
  <c r="AP444" i="13"/>
  <c r="AP428" i="13" s="1"/>
  <c r="AC443" i="13"/>
  <c r="AC427" i="13" s="1"/>
  <c r="AM439" i="13"/>
  <c r="AM423" i="13" s="1"/>
  <c r="AN444" i="13"/>
  <c r="AN428" i="13" s="1"/>
  <c r="AB443" i="13"/>
  <c r="AB427" i="13" s="1"/>
  <c r="AK439" i="13"/>
  <c r="AK423" i="13" s="1"/>
  <c r="AI444" i="13"/>
  <c r="AI428" i="13" s="1"/>
  <c r="Y439" i="13"/>
  <c r="Y423" i="13" s="1"/>
  <c r="AK435" i="13"/>
  <c r="AH444" i="13"/>
  <c r="AH428" i="13" s="1"/>
  <c r="X439" i="13"/>
  <c r="X423" i="13" s="1"/>
  <c r="AI435" i="13"/>
  <c r="Q439" i="13"/>
  <c r="Q423" i="13" s="1"/>
  <c r="AF444" i="13"/>
  <c r="AF428" i="13" s="1"/>
  <c r="AJ442" i="13"/>
  <c r="AJ426" i="13" s="1"/>
  <c r="AA440" i="13"/>
  <c r="AA424" i="13" s="1"/>
  <c r="AE444" i="13"/>
  <c r="AE428" i="13" s="1"/>
  <c r="AH442" i="13"/>
  <c r="AH426" i="13" s="1"/>
  <c r="X440" i="13"/>
  <c r="X424" i="13" s="1"/>
  <c r="AD444" i="13"/>
  <c r="AD428" i="13" s="1"/>
  <c r="AD442" i="13"/>
  <c r="AD426" i="13" s="1"/>
  <c r="U440" i="13"/>
  <c r="U424" i="13" s="1"/>
  <c r="T440" i="13"/>
  <c r="T424" i="13" s="1"/>
  <c r="AH435" i="13"/>
  <c r="AK445" i="13"/>
  <c r="AK429" i="13" s="1"/>
  <c r="AJ443" i="13"/>
  <c r="AJ427" i="13" s="1"/>
  <c r="S439" i="13"/>
  <c r="S423" i="13" s="1"/>
  <c r="AH445" i="13"/>
  <c r="AH429" i="13" s="1"/>
  <c r="R439" i="13"/>
  <c r="R423" i="13" s="1"/>
  <c r="AP445" i="13"/>
  <c r="AP429" i="13" s="1"/>
  <c r="AL445" i="13"/>
  <c r="AL429" i="13" s="1"/>
  <c r="AD440" i="13"/>
  <c r="AD424" i="13" s="1"/>
  <c r="AE435" i="13"/>
  <c r="AD435" i="13"/>
  <c r="U439" i="13"/>
  <c r="U423" i="13" s="1"/>
  <c r="T439" i="13"/>
  <c r="T423" i="13" s="1"/>
  <c r="AG444" i="13"/>
  <c r="AG428" i="13" s="1"/>
  <c r="AN436" i="13"/>
  <c r="AN420" i="13" s="1"/>
  <c r="AL436" i="13"/>
  <c r="AL420" i="13" s="1"/>
  <c r="AK436" i="13"/>
  <c r="AK420" i="13" s="1"/>
  <c r="R438" i="13"/>
  <c r="R422" i="13" s="1"/>
  <c r="AH436" i="13"/>
  <c r="AH420" i="13" s="1"/>
  <c r="Q438" i="13"/>
  <c r="AG436" i="13"/>
  <c r="AG420" i="13" s="1"/>
  <c r="AS22" i="15"/>
  <c r="L28" i="15"/>
  <c r="L28" i="6"/>
  <c r="AC22" i="17"/>
  <c r="Z155" i="20"/>
  <c r="AS68" i="4"/>
  <c r="AS69" i="4"/>
  <c r="O342" i="4"/>
  <c r="Q55" i="13"/>
  <c r="O5" i="2"/>
  <c r="AW126" i="20"/>
  <c r="AV126" i="20"/>
  <c r="T348" i="11"/>
  <c r="C378" i="4"/>
  <c r="C379" i="4"/>
  <c r="V103" i="11"/>
  <c r="W103" i="11" s="1"/>
  <c r="V323" i="19"/>
  <c r="X339" i="19"/>
  <c r="Y339" i="19" s="1"/>
  <c r="AC165" i="20"/>
  <c r="AD164" i="20"/>
  <c r="AU164" i="20"/>
  <c r="AX30" i="14"/>
  <c r="AW31" i="14"/>
  <c r="AV140" i="16"/>
  <c r="AW139" i="16"/>
  <c r="BA139" i="16" s="1"/>
  <c r="R10" i="26"/>
  <c r="I55" i="5"/>
  <c r="I76" i="5"/>
  <c r="AP81" i="16"/>
  <c r="AQ80" i="16"/>
  <c r="F96" i="3"/>
  <c r="F440" i="3"/>
  <c r="Z193" i="21"/>
  <c r="AH31" i="22"/>
  <c r="AG32" i="22"/>
  <c r="S32" i="24"/>
  <c r="R33" i="24"/>
  <c r="AE104" i="22"/>
  <c r="AD105" i="22"/>
  <c r="AK152" i="18"/>
  <c r="AJ153" i="18"/>
  <c r="AF22" i="20"/>
  <c r="AG21" i="20"/>
  <c r="Q89" i="17"/>
  <c r="S94" i="17"/>
  <c r="S87" i="17"/>
  <c r="T86" i="17"/>
  <c r="R91" i="17"/>
  <c r="R95" i="17"/>
  <c r="S88" i="17"/>
  <c r="S86" i="17"/>
  <c r="O96" i="5"/>
  <c r="R181" i="4"/>
  <c r="AX326" i="11"/>
  <c r="U175" i="13"/>
  <c r="U10" i="13" s="1"/>
  <c r="AZ186" i="22"/>
  <c r="AW186" i="22"/>
  <c r="AY25" i="15"/>
  <c r="AF25" i="17"/>
  <c r="L144" i="4"/>
  <c r="L164" i="4"/>
  <c r="L176" i="4" s="1"/>
  <c r="G160" i="3"/>
  <c r="S176" i="10"/>
  <c r="R177" i="10"/>
  <c r="AU47" i="15"/>
  <c r="M236" i="4"/>
  <c r="H336" i="3"/>
  <c r="H172" i="3"/>
  <c r="H318" i="3" s="1"/>
  <c r="AT154" i="4"/>
  <c r="AU154" i="4" s="1"/>
  <c r="K170" i="4"/>
  <c r="AA6" i="17"/>
  <c r="BB6" i="17"/>
  <c r="J28" i="17"/>
  <c r="AT56" i="11"/>
  <c r="BM56" i="11"/>
  <c r="AK142" i="20"/>
  <c r="AJ143" i="20"/>
  <c r="L47" i="5"/>
  <c r="L68" i="5"/>
  <c r="AW154" i="18"/>
  <c r="AV155" i="18"/>
  <c r="Y56" i="20"/>
  <c r="AS55" i="20"/>
  <c r="BK21" i="11"/>
  <c r="P20" i="11"/>
  <c r="BH20" i="13" s="1"/>
  <c r="BH21" i="13"/>
  <c r="M16" i="6"/>
  <c r="BL9" i="7"/>
  <c r="AU33" i="22"/>
  <c r="AL33" i="22"/>
  <c r="AJ34" i="22"/>
  <c r="AG399" i="3"/>
  <c r="AF399" i="3"/>
  <c r="AE399" i="3"/>
  <c r="AB164" i="8"/>
  <c r="AC164" i="8" s="1"/>
  <c r="AA165" i="8"/>
  <c r="AG87" i="3"/>
  <c r="AF87" i="3"/>
  <c r="AB87" i="3"/>
  <c r="AB88" i="3"/>
  <c r="O443" i="3"/>
  <c r="BA182" i="12"/>
  <c r="BP182" i="12" s="1"/>
  <c r="AY182" i="12"/>
  <c r="AX183" i="12"/>
  <c r="BE184" i="14"/>
  <c r="AA23" i="21"/>
  <c r="AA5" i="2" s="1"/>
  <c r="P5" i="2"/>
  <c r="AO45" i="22"/>
  <c r="AP44" i="22"/>
  <c r="BA3" i="11"/>
  <c r="K19" i="6"/>
  <c r="BC65" i="14"/>
  <c r="BA41" i="16"/>
  <c r="R142" i="26"/>
  <c r="AX74" i="4"/>
  <c r="AW74" i="4"/>
  <c r="P37" i="5"/>
  <c r="P348" i="4"/>
  <c r="P380" i="4" s="1"/>
  <c r="W323" i="19"/>
  <c r="BF9" i="19"/>
  <c r="L32" i="6"/>
  <c r="AN9" i="21"/>
  <c r="AF93" i="20"/>
  <c r="AG92" i="20"/>
  <c r="AX7" i="13"/>
  <c r="AO236" i="11"/>
  <c r="AO235" i="11"/>
  <c r="AO234" i="11"/>
  <c r="AO240" i="11"/>
  <c r="AO230" i="11"/>
  <c r="AO238" i="11"/>
  <c r="AO233" i="11"/>
  <c r="AO229" i="11"/>
  <c r="AO237" i="11"/>
  <c r="AO239" i="11"/>
  <c r="AO231" i="11"/>
  <c r="AO232" i="11"/>
  <c r="AQ175" i="16"/>
  <c r="AP176" i="16"/>
  <c r="V104" i="10"/>
  <c r="U105" i="10"/>
  <c r="Y104" i="8"/>
  <c r="X105" i="8"/>
  <c r="S406" i="17"/>
  <c r="S418" i="17" s="1"/>
  <c r="S434" i="17"/>
  <c r="S26" i="17" s="1"/>
  <c r="S25" i="17" s="1"/>
  <c r="AY186" i="20"/>
  <c r="AV186" i="20"/>
  <c r="AG190" i="3"/>
  <c r="AI190" i="3" s="1"/>
  <c r="AF190" i="3"/>
  <c r="AE190" i="3"/>
  <c r="O338" i="3"/>
  <c r="O174" i="3"/>
  <c r="F379" i="4"/>
  <c r="F380" i="4"/>
  <c r="K169" i="4"/>
  <c r="AT153" i="4"/>
  <c r="AU153" i="4" s="1"/>
  <c r="AZ7" i="13"/>
  <c r="H27" i="13"/>
  <c r="N479" i="3"/>
  <c r="G475" i="3"/>
  <c r="G476" i="3"/>
  <c r="L373" i="19"/>
  <c r="BF6" i="19"/>
  <c r="BF371" i="19" s="1"/>
  <c r="L30" i="19"/>
  <c r="L31" i="6"/>
  <c r="AN6" i="21"/>
  <c r="AH136" i="3"/>
  <c r="AI136" i="3" s="1"/>
  <c r="AE136" i="3"/>
  <c r="B332" i="3"/>
  <c r="B168" i="3"/>
  <c r="B314" i="3" s="1"/>
  <c r="AJ70" i="16"/>
  <c r="AK69" i="16"/>
  <c r="BP326" i="19"/>
  <c r="Q333" i="19"/>
  <c r="BP333" i="19" s="1"/>
  <c r="AV3" i="13"/>
  <c r="AA105" i="10"/>
  <c r="AB104" i="10"/>
  <c r="AS18" i="14"/>
  <c r="AY18" i="14" s="1"/>
  <c r="BB18" i="14" s="1"/>
  <c r="BE18" i="14" s="1"/>
  <c r="AV17" i="14"/>
  <c r="AY17" i="14"/>
  <c r="BB17" i="14" s="1"/>
  <c r="BE17" i="14" s="1"/>
  <c r="AW22" i="15"/>
  <c r="N28" i="6"/>
  <c r="AE22" i="17"/>
  <c r="Y69" i="10"/>
  <c r="X70" i="10"/>
  <c r="AY111" i="12"/>
  <c r="AX112" i="12"/>
  <c r="AY123" i="12"/>
  <c r="BN12" i="19"/>
  <c r="P33" i="6"/>
  <c r="T131" i="21"/>
  <c r="M25" i="6"/>
  <c r="AP164" i="22"/>
  <c r="AO165" i="22"/>
  <c r="B329" i="3"/>
  <c r="B165" i="3"/>
  <c r="B311" i="3" s="1"/>
  <c r="AR55" i="16"/>
  <c r="AT54" i="16"/>
  <c r="BA54" i="16" s="1"/>
  <c r="M304" i="4"/>
  <c r="M309" i="4"/>
  <c r="AC175" i="13"/>
  <c r="AC10" i="13" s="1"/>
  <c r="R139" i="21"/>
  <c r="S139" i="19"/>
  <c r="R94" i="10"/>
  <c r="S93" i="10"/>
  <c r="BM16" i="11"/>
  <c r="BI16" i="13"/>
  <c r="AY99" i="12"/>
  <c r="AX100" i="12"/>
  <c r="AM60" i="16"/>
  <c r="AN59" i="16"/>
  <c r="C118" i="5"/>
  <c r="C96" i="5"/>
  <c r="H168" i="4"/>
  <c r="H160" i="4"/>
  <c r="AL176" i="22"/>
  <c r="AK177" i="22"/>
  <c r="N28" i="17"/>
  <c r="M5" i="2"/>
  <c r="AR43" i="16"/>
  <c r="AT42" i="16"/>
  <c r="R108" i="5"/>
  <c r="AZ53" i="20"/>
  <c r="AZ65" i="20"/>
  <c r="V78" i="24"/>
  <c r="U79" i="24"/>
  <c r="BN9" i="19"/>
  <c r="P32" i="6"/>
  <c r="AR9" i="21"/>
  <c r="X20" i="10"/>
  <c r="Y19" i="10"/>
  <c r="AC19" i="10" s="1"/>
  <c r="U70" i="26"/>
  <c r="V69" i="26"/>
  <c r="S58" i="11"/>
  <c r="Q43" i="26"/>
  <c r="S42" i="26"/>
  <c r="J378" i="4"/>
  <c r="J379" i="4"/>
  <c r="R326" i="19"/>
  <c r="R348" i="19"/>
  <c r="R332" i="19" s="1"/>
  <c r="AC17" i="17"/>
  <c r="L28" i="17"/>
  <c r="AG117" i="22"/>
  <c r="AH116" i="22"/>
  <c r="T342" i="19"/>
  <c r="AB8" i="8"/>
  <c r="AA9" i="8"/>
  <c r="AK140" i="16"/>
  <c r="AJ141" i="16"/>
  <c r="AM57" i="18"/>
  <c r="AN56" i="18"/>
  <c r="F424" i="3"/>
  <c r="F409" i="3"/>
  <c r="AH116" i="16"/>
  <c r="AG117" i="16"/>
  <c r="AV54" i="20"/>
  <c r="AZ66" i="20" s="1"/>
  <c r="AW54" i="20"/>
  <c r="I333" i="3"/>
  <c r="I169" i="3"/>
  <c r="I315" i="3" s="1"/>
  <c r="AG85" i="22"/>
  <c r="AH84" i="22"/>
  <c r="AR154" i="20"/>
  <c r="AP155" i="20"/>
  <c r="AL229" i="11"/>
  <c r="AL237" i="11"/>
  <c r="AL236" i="11"/>
  <c r="AL235" i="11"/>
  <c r="AL232" i="11"/>
  <c r="AL234" i="11"/>
  <c r="AL240" i="11"/>
  <c r="AL230" i="11"/>
  <c r="AL238" i="11"/>
  <c r="AL233" i="11"/>
  <c r="AL231" i="11"/>
  <c r="AL239" i="11"/>
  <c r="T36" i="4"/>
  <c r="T40" i="4"/>
  <c r="V106" i="11"/>
  <c r="X106" i="11" s="1"/>
  <c r="W106" i="11"/>
  <c r="L36" i="5"/>
  <c r="L344" i="4"/>
  <c r="L376" i="4" s="1"/>
  <c r="C23" i="19"/>
  <c r="C6" i="6" s="1"/>
  <c r="C30" i="6"/>
  <c r="C29" i="6" s="1"/>
  <c r="AE3" i="21"/>
  <c r="AI43" i="16"/>
  <c r="AK42" i="16"/>
  <c r="Q140" i="21"/>
  <c r="BP140" i="19"/>
  <c r="AL10" i="23"/>
  <c r="AM10" i="25"/>
  <c r="L8" i="23"/>
  <c r="AQ80" i="14"/>
  <c r="BA79" i="14"/>
  <c r="AN151" i="14"/>
  <c r="AY151" i="14"/>
  <c r="BB151" i="14" s="1"/>
  <c r="AK152" i="14"/>
  <c r="U120" i="15"/>
  <c r="AH12" i="16"/>
  <c r="AG13" i="16"/>
  <c r="M35" i="5"/>
  <c r="M341" i="4"/>
  <c r="R276" i="3"/>
  <c r="W327" i="19"/>
  <c r="Z343" i="19"/>
  <c r="W68" i="26"/>
  <c r="T74" i="11"/>
  <c r="U74" i="11" s="1"/>
  <c r="Q20" i="15"/>
  <c r="BM8" i="11"/>
  <c r="Q7" i="11"/>
  <c r="V19" i="26"/>
  <c r="W19" i="26" s="1"/>
  <c r="U20" i="26"/>
  <c r="S118" i="17"/>
  <c r="L343" i="4"/>
  <c r="L375" i="4" s="1"/>
  <c r="AU69" i="4"/>
  <c r="AY69" i="4" s="1"/>
  <c r="G478" i="3"/>
  <c r="G479" i="3"/>
  <c r="BB67" i="18"/>
  <c r="AG68" i="18"/>
  <c r="AH67" i="18"/>
  <c r="I35" i="5"/>
  <c r="I39" i="5" s="1"/>
  <c r="I79" i="4"/>
  <c r="I341" i="4"/>
  <c r="D48" i="13"/>
  <c r="N7" i="11"/>
  <c r="BG8" i="11"/>
  <c r="BF8" i="13"/>
  <c r="I47" i="5"/>
  <c r="I68" i="5"/>
  <c r="I72" i="5" s="1"/>
  <c r="T406" i="17"/>
  <c r="T418" i="17" s="1"/>
  <c r="T434" i="17"/>
  <c r="T26" i="17" s="1"/>
  <c r="T25" i="17" s="1"/>
  <c r="C349" i="4"/>
  <c r="C37" i="5"/>
  <c r="AW91" i="14"/>
  <c r="AX90" i="14"/>
  <c r="X330" i="19"/>
  <c r="K475" i="3"/>
  <c r="V19" i="8"/>
  <c r="AC19" i="8" s="1"/>
  <c r="U20" i="8"/>
  <c r="AJ69" i="18"/>
  <c r="AK68" i="18"/>
  <c r="S42" i="4"/>
  <c r="BB7" i="13"/>
  <c r="J27" i="13"/>
  <c r="D35" i="5"/>
  <c r="D39" i="5" s="1"/>
  <c r="D79" i="4"/>
  <c r="D341" i="4"/>
  <c r="AC8" i="25"/>
  <c r="B13" i="25"/>
  <c r="V122" i="15"/>
  <c r="V106" i="15" s="1"/>
  <c r="AU91" i="22"/>
  <c r="AJ92" i="22"/>
  <c r="AZ21" i="18"/>
  <c r="AX22" i="18"/>
  <c r="BA17" i="17"/>
  <c r="Z17" i="17"/>
  <c r="I28" i="17"/>
  <c r="AX56" i="18"/>
  <c r="AZ55" i="18"/>
  <c r="AB128" i="8"/>
  <c r="AA129" i="8"/>
  <c r="BC127" i="15"/>
  <c r="Q111" i="15"/>
  <c r="BC111" i="15" s="1"/>
  <c r="D441" i="3"/>
  <c r="D96" i="3"/>
  <c r="U153" i="10"/>
  <c r="V152" i="10"/>
  <c r="AH176" i="16"/>
  <c r="AG177" i="16"/>
  <c r="AO151" i="14"/>
  <c r="AR150" i="14"/>
  <c r="R132" i="21"/>
  <c r="R140" i="19"/>
  <c r="R140" i="21" s="1"/>
  <c r="T132" i="19"/>
  <c r="V71" i="11"/>
  <c r="W71" i="11" s="1"/>
  <c r="AX159" i="12"/>
  <c r="BA158" i="12"/>
  <c r="BP158" i="12" s="1"/>
  <c r="AY158" i="12"/>
  <c r="AA80" i="20"/>
  <c r="AU80" i="20"/>
  <c r="AY80" i="20" s="1"/>
  <c r="Z81" i="20"/>
  <c r="M144" i="4"/>
  <c r="M164" i="4"/>
  <c r="G47" i="5"/>
  <c r="G68" i="5"/>
  <c r="G72" i="5" s="1"/>
  <c r="B27" i="6"/>
  <c r="B22" i="6" s="1"/>
  <c r="B28" i="15"/>
  <c r="B5" i="6" s="1"/>
  <c r="AT17" i="17"/>
  <c r="T156" i="17"/>
  <c r="T124" i="17" s="1"/>
  <c r="T108" i="17" s="1"/>
  <c r="T126" i="15"/>
  <c r="T110" i="15" s="1"/>
  <c r="U158" i="15"/>
  <c r="BC7" i="13"/>
  <c r="AJ46" i="16"/>
  <c r="S161" i="15"/>
  <c r="AI43" i="18"/>
  <c r="AK42" i="18"/>
  <c r="H447" i="3"/>
  <c r="H480" i="3" s="1"/>
  <c r="H403" i="3"/>
  <c r="AM237" i="11"/>
  <c r="AM236" i="11"/>
  <c r="AM235" i="11"/>
  <c r="AM234" i="11"/>
  <c r="AM240" i="11"/>
  <c r="AM230" i="11"/>
  <c r="AM238" i="11"/>
  <c r="AM231" i="11"/>
  <c r="AM229" i="11"/>
  <c r="AM233" i="11"/>
  <c r="AM232" i="11"/>
  <c r="AM239" i="11"/>
  <c r="AG198" i="3"/>
  <c r="AI198" i="3" s="1"/>
  <c r="AF198" i="3"/>
  <c r="AE198" i="3"/>
  <c r="O166" i="3"/>
  <c r="V297" i="15"/>
  <c r="W297" i="15"/>
  <c r="AQ68" i="16"/>
  <c r="AP69" i="16"/>
  <c r="Q9" i="21"/>
  <c r="AS9" i="21" s="1"/>
  <c r="AS10" i="21"/>
  <c r="AD162" i="10"/>
  <c r="U117" i="8"/>
  <c r="V116" i="8"/>
  <c r="L167" i="4"/>
  <c r="AT135" i="4"/>
  <c r="U43" i="26"/>
  <c r="V42" i="26"/>
  <c r="Q92" i="17"/>
  <c r="H77" i="5"/>
  <c r="H55" i="5"/>
  <c r="R365" i="13"/>
  <c r="R349" i="13" s="1"/>
  <c r="R333" i="13" s="1"/>
  <c r="R335" i="11"/>
  <c r="R190" i="4" s="1"/>
  <c r="R206" i="4"/>
  <c r="S383" i="11"/>
  <c r="S351" i="11"/>
  <c r="AN237" i="11"/>
  <c r="AN236" i="11"/>
  <c r="AN235" i="11"/>
  <c r="AN233" i="11"/>
  <c r="AN234" i="11"/>
  <c r="AN240" i="11"/>
  <c r="AN230" i="11"/>
  <c r="AN238" i="11"/>
  <c r="AN229" i="11"/>
  <c r="AN231" i="11"/>
  <c r="AN232" i="11"/>
  <c r="AN239" i="11"/>
  <c r="AD5" i="5"/>
  <c r="AG86" i="3"/>
  <c r="AF86" i="3"/>
  <c r="AE86" i="3"/>
  <c r="AB86" i="3"/>
  <c r="O442" i="3"/>
  <c r="AX117" i="18"/>
  <c r="AZ116" i="18"/>
  <c r="D165" i="3"/>
  <c r="D329" i="3"/>
  <c r="D192" i="3"/>
  <c r="AF23" i="18"/>
  <c r="AY6" i="17"/>
  <c r="G28" i="17"/>
  <c r="R97" i="17"/>
  <c r="K168" i="4"/>
  <c r="AT152" i="4"/>
  <c r="AU152" i="4" s="1"/>
  <c r="AD166" i="22"/>
  <c r="AE165" i="22"/>
  <c r="BA163" i="16"/>
  <c r="AG94" i="3"/>
  <c r="AF94" i="3"/>
  <c r="AB94" i="3"/>
  <c r="O450" i="3"/>
  <c r="AB95" i="3"/>
  <c r="H345" i="4"/>
  <c r="H36" i="5"/>
  <c r="BH48" i="11"/>
  <c r="BH49" i="11" s="1"/>
  <c r="AS39" i="11"/>
  <c r="BK46" i="11"/>
  <c r="P238" i="4"/>
  <c r="AO25" i="22"/>
  <c r="AP92" i="20"/>
  <c r="AR91" i="20"/>
  <c r="J19" i="6"/>
  <c r="BB3" i="13"/>
  <c r="M47" i="5"/>
  <c r="M48" i="5" s="1"/>
  <c r="M68" i="5"/>
  <c r="C96" i="3"/>
  <c r="C440" i="3"/>
  <c r="R109" i="5"/>
  <c r="C19" i="6"/>
  <c r="AU3" i="13"/>
  <c r="C27" i="11"/>
  <c r="AS178" i="18"/>
  <c r="AT177" i="18"/>
  <c r="S79" i="10"/>
  <c r="AC79" i="10" s="1"/>
  <c r="R80" i="10"/>
  <c r="T312" i="17"/>
  <c r="V298" i="15"/>
  <c r="U298" i="15"/>
  <c r="AG72" i="16"/>
  <c r="AH71" i="16"/>
  <c r="Q366" i="13"/>
  <c r="Q350" i="13" s="1"/>
  <c r="AT352" i="11"/>
  <c r="Q336" i="11"/>
  <c r="Q337" i="11" s="1"/>
  <c r="BM337" i="11" s="1"/>
  <c r="BM352" i="11"/>
  <c r="Q207" i="4"/>
  <c r="Q208" i="4" s="1"/>
  <c r="R58" i="11"/>
  <c r="BM59" i="11"/>
  <c r="AT59" i="11"/>
  <c r="AI91" i="18"/>
  <c r="BA90" i="18"/>
  <c r="BC90" i="18" s="1"/>
  <c r="BD90" i="18" s="1"/>
  <c r="AK90" i="18"/>
  <c r="BP9" i="19"/>
  <c r="Q32" i="6"/>
  <c r="BA48" i="15"/>
  <c r="P237" i="4"/>
  <c r="K208" i="3"/>
  <c r="K164" i="3"/>
  <c r="AR8" i="22"/>
  <c r="AS7" i="22"/>
  <c r="AV7" i="22"/>
  <c r="AK104" i="22"/>
  <c r="AL103" i="22"/>
  <c r="D55" i="5"/>
  <c r="D76" i="5"/>
  <c r="AO31" i="14"/>
  <c r="AR30" i="14"/>
  <c r="S70" i="24"/>
  <c r="R71" i="24"/>
  <c r="F442" i="3"/>
  <c r="AV8" i="18"/>
  <c r="AW7" i="18"/>
  <c r="AR43" i="20"/>
  <c r="AP44" i="20"/>
  <c r="S158" i="17"/>
  <c r="S126" i="17" s="1"/>
  <c r="S110" i="17" s="1"/>
  <c r="S128" i="15"/>
  <c r="S112" i="15" s="1"/>
  <c r="R48" i="26"/>
  <c r="AJ177" i="20"/>
  <c r="AK176" i="20"/>
  <c r="N173" i="4"/>
  <c r="N16" i="6"/>
  <c r="BN9" i="7"/>
  <c r="N15" i="7"/>
  <c r="U91" i="24"/>
  <c r="V90" i="24"/>
  <c r="W90" i="24" s="1"/>
  <c r="BJ3" i="19"/>
  <c r="N23" i="19"/>
  <c r="N30" i="6"/>
  <c r="U55" i="24"/>
  <c r="V54" i="24"/>
  <c r="W54" i="24" s="1"/>
  <c r="AG80" i="16"/>
  <c r="AH79" i="16"/>
  <c r="AG56" i="22"/>
  <c r="AV56" i="22" s="1"/>
  <c r="AH55" i="22"/>
  <c r="AG106" i="20"/>
  <c r="AF107" i="20"/>
  <c r="R60" i="11"/>
  <c r="R61" i="11"/>
  <c r="L169" i="4"/>
  <c r="L160" i="4"/>
  <c r="B167" i="3"/>
  <c r="B313" i="3" s="1"/>
  <c r="B331" i="3"/>
  <c r="D27" i="13"/>
  <c r="AH140" i="18"/>
  <c r="AG141" i="18"/>
  <c r="AD175" i="13"/>
  <c r="AD10" i="13" s="1"/>
  <c r="AV139" i="14"/>
  <c r="AS140" i="14"/>
  <c r="AR115" i="18"/>
  <c r="BA114" i="18"/>
  <c r="BC114" i="18" s="1"/>
  <c r="AT114" i="18"/>
  <c r="Q103" i="26"/>
  <c r="S102" i="26"/>
  <c r="AC32" i="20"/>
  <c r="AD31" i="20"/>
  <c r="AO73" i="22"/>
  <c r="AP72" i="22"/>
  <c r="G35" i="5"/>
  <c r="G79" i="4"/>
  <c r="G341" i="4"/>
  <c r="BA7" i="15"/>
  <c r="P6" i="15"/>
  <c r="AG55" i="20"/>
  <c r="AF56" i="20"/>
  <c r="AX68" i="4"/>
  <c r="AZ68" i="4" s="1"/>
  <c r="AW68" i="4"/>
  <c r="AV68" i="4"/>
  <c r="P342" i="4"/>
  <c r="M47" i="19"/>
  <c r="BH45" i="19"/>
  <c r="M46" i="19"/>
  <c r="AM106" i="16"/>
  <c r="AN105" i="16"/>
  <c r="AK141" i="22"/>
  <c r="AL140" i="22"/>
  <c r="AW43" i="15"/>
  <c r="BV28" i="7"/>
  <c r="N232" i="4"/>
  <c r="AG22" i="22"/>
  <c r="AH21" i="22"/>
  <c r="AM32" i="18"/>
  <c r="AN31" i="18"/>
  <c r="BE77" i="14"/>
  <c r="BC77" i="14"/>
  <c r="N76" i="5"/>
  <c r="T233" i="21"/>
  <c r="T201" i="21" s="1"/>
  <c r="Y232" i="21"/>
  <c r="Y200" i="21" s="1"/>
  <c r="W226" i="21"/>
  <c r="W194" i="21" s="1"/>
  <c r="Y228" i="21"/>
  <c r="Y196" i="21" s="1"/>
  <c r="Y230" i="21"/>
  <c r="Y198" i="21" s="1"/>
  <c r="AP59" i="18"/>
  <c r="H304" i="4"/>
  <c r="H309" i="4"/>
  <c r="K28" i="1"/>
  <c r="M168" i="4"/>
  <c r="AF155" i="20"/>
  <c r="AG154" i="20"/>
  <c r="AN19" i="18"/>
  <c r="AM20" i="18"/>
  <c r="AY40" i="15"/>
  <c r="AQ40" i="15"/>
  <c r="AU72" i="4"/>
  <c r="AY72" i="4" s="1"/>
  <c r="K346" i="4"/>
  <c r="T357" i="13"/>
  <c r="T341" i="13" s="1"/>
  <c r="T327" i="11"/>
  <c r="T182" i="4" s="1"/>
  <c r="T246" i="3"/>
  <c r="T198" i="4"/>
  <c r="R138" i="21"/>
  <c r="W138" i="19"/>
  <c r="V321" i="19"/>
  <c r="J50" i="11"/>
  <c r="I329" i="3"/>
  <c r="I165" i="3"/>
  <c r="I311" i="3" s="1"/>
  <c r="I192" i="3"/>
  <c r="AE141" i="3"/>
  <c r="AH141" i="3"/>
  <c r="AI141" i="3" s="1"/>
  <c r="AH122" i="3"/>
  <c r="AI122" i="3" s="1"/>
  <c r="AE122" i="3"/>
  <c r="T120" i="15"/>
  <c r="T150" i="17"/>
  <c r="AK116" i="22"/>
  <c r="AL115" i="22"/>
  <c r="S8" i="8"/>
  <c r="R9" i="8"/>
  <c r="I383" i="4"/>
  <c r="I384" i="4"/>
  <c r="G351" i="4"/>
  <c r="G38" i="5"/>
  <c r="J403" i="3"/>
  <c r="AD391" i="3"/>
  <c r="AH391" i="3" s="1"/>
  <c r="J408" i="3"/>
  <c r="T53" i="11"/>
  <c r="I345" i="3"/>
  <c r="I360" i="3"/>
  <c r="D29" i="17"/>
  <c r="D4" i="2"/>
  <c r="AZ150" i="22"/>
  <c r="AV66" i="14"/>
  <c r="AS67" i="14"/>
  <c r="Q374" i="4"/>
  <c r="AW138" i="20"/>
  <c r="AV138" i="20"/>
  <c r="AZ138" i="20" s="1"/>
  <c r="AW150" i="20"/>
  <c r="AL106" i="20"/>
  <c r="AO105" i="20"/>
  <c r="U83" i="8"/>
  <c r="V82" i="8"/>
  <c r="Y35" i="10"/>
  <c r="X36" i="10"/>
  <c r="AY42" i="20"/>
  <c r="F330" i="3"/>
  <c r="F166" i="3"/>
  <c r="F312" i="3" s="1"/>
  <c r="AA45" i="10"/>
  <c r="AB44" i="10"/>
  <c r="AC44" i="10" s="1"/>
  <c r="BH35" i="15"/>
  <c r="AS18" i="15"/>
  <c r="L17" i="15"/>
  <c r="BC25" i="11"/>
  <c r="K449" i="3"/>
  <c r="AD93" i="3"/>
  <c r="AH93" i="3" s="1"/>
  <c r="AG396" i="3"/>
  <c r="AI396" i="3" s="1"/>
  <c r="AF396" i="3"/>
  <c r="AE396" i="3"/>
  <c r="O445" i="3"/>
  <c r="AM20" i="22"/>
  <c r="AT19" i="22"/>
  <c r="AW19" i="22" s="1"/>
  <c r="AP19" i="22"/>
  <c r="AP8" i="23"/>
  <c r="N36" i="6"/>
  <c r="I37" i="5"/>
  <c r="I347" i="4"/>
  <c r="U132" i="10"/>
  <c r="AS91" i="14"/>
  <c r="AY91" i="14" s="1"/>
  <c r="BB91" i="14" s="1"/>
  <c r="AV90" i="14"/>
  <c r="AN68" i="18"/>
  <c r="AM69" i="18"/>
  <c r="O169" i="4"/>
  <c r="AU137" i="4"/>
  <c r="AA57" i="22"/>
  <c r="AB56" i="22"/>
  <c r="K21" i="7"/>
  <c r="K3" i="6"/>
  <c r="BG15" i="7"/>
  <c r="AN165" i="18"/>
  <c r="AM166" i="18"/>
  <c r="AS78" i="4"/>
  <c r="O352" i="4"/>
  <c r="O384" i="4" s="1"/>
  <c r="V174" i="24"/>
  <c r="W174" i="24" s="1"/>
  <c r="U175" i="24"/>
  <c r="R409" i="13"/>
  <c r="R282" i="3" s="1"/>
  <c r="R298" i="3" s="1"/>
  <c r="R218" i="4"/>
  <c r="R110" i="5" s="1"/>
  <c r="AF106" i="18"/>
  <c r="AW178" i="14"/>
  <c r="AX177" i="14"/>
  <c r="AG3" i="25"/>
  <c r="F13" i="25"/>
  <c r="C304" i="4"/>
  <c r="C309" i="4"/>
  <c r="C310" i="4" s="1"/>
  <c r="C311" i="4" s="1"/>
  <c r="C312" i="4" s="1"/>
  <c r="C313" i="4" s="1"/>
  <c r="C314" i="4" s="1"/>
  <c r="C315" i="4" s="1"/>
  <c r="C316" i="4" s="1"/>
  <c r="C317" i="4" s="1"/>
  <c r="C318" i="4" s="1"/>
  <c r="C319" i="4" s="1"/>
  <c r="C320" i="4" s="1"/>
  <c r="Y175" i="13"/>
  <c r="Y10" i="13" s="1"/>
  <c r="AJ105" i="16"/>
  <c r="AK104" i="16"/>
  <c r="G144" i="4"/>
  <c r="G164" i="4"/>
  <c r="G176" i="4" s="1"/>
  <c r="AP130" i="20"/>
  <c r="AR129" i="20"/>
  <c r="AF3" i="25"/>
  <c r="E13" i="25"/>
  <c r="AD44" i="5"/>
  <c r="AC44" i="5"/>
  <c r="P69" i="5"/>
  <c r="AF129" i="20"/>
  <c r="AG128" i="20"/>
  <c r="S108" i="5"/>
  <c r="G310" i="4"/>
  <c r="G325" i="4"/>
  <c r="BK44" i="11"/>
  <c r="P236" i="4"/>
  <c r="S164" i="26"/>
  <c r="R165" i="26"/>
  <c r="R23" i="26"/>
  <c r="AX70" i="4"/>
  <c r="AZ70" i="4" s="1"/>
  <c r="AW70" i="4"/>
  <c r="AV70" i="4"/>
  <c r="P36" i="5"/>
  <c r="P344" i="4"/>
  <c r="AO10" i="20"/>
  <c r="AL11" i="20"/>
  <c r="AW106" i="14"/>
  <c r="AX105" i="14"/>
  <c r="T54" i="11"/>
  <c r="R160" i="17"/>
  <c r="R128" i="17" s="1"/>
  <c r="R112" i="17" s="1"/>
  <c r="R130" i="15"/>
  <c r="R114" i="15" s="1"/>
  <c r="AJ47" i="18"/>
  <c r="AO79" i="14"/>
  <c r="AR78" i="14"/>
  <c r="AB6" i="17"/>
  <c r="R134" i="21"/>
  <c r="R234" i="21"/>
  <c r="R202" i="21" s="1"/>
  <c r="X233" i="21"/>
  <c r="X201" i="21" s="1"/>
  <c r="T227" i="21"/>
  <c r="T195" i="21" s="1"/>
  <c r="V229" i="21"/>
  <c r="V197" i="21" s="1"/>
  <c r="V231" i="21"/>
  <c r="V199" i="21" s="1"/>
  <c r="AT63" i="11"/>
  <c r="BM63" i="11"/>
  <c r="U138" i="19"/>
  <c r="L208" i="3"/>
  <c r="BC129" i="15"/>
  <c r="Q113" i="15"/>
  <c r="BC113" i="15" s="1"/>
  <c r="AR66" i="14"/>
  <c r="AO67" i="14"/>
  <c r="V152" i="15"/>
  <c r="S37" i="4"/>
  <c r="Y176" i="8"/>
  <c r="X177" i="8"/>
  <c r="BA103" i="14"/>
  <c r="AM104" i="14"/>
  <c r="P27" i="13"/>
  <c r="AR104" i="20"/>
  <c r="AP105" i="20"/>
  <c r="R80" i="11"/>
  <c r="Q78" i="13"/>
  <c r="BM80" i="11"/>
  <c r="Q64" i="11"/>
  <c r="Q65" i="11" s="1"/>
  <c r="BM65" i="11" s="1"/>
  <c r="AT80" i="11"/>
  <c r="Q82" i="11"/>
  <c r="T119" i="10"/>
  <c r="V118" i="10"/>
  <c r="X153" i="10"/>
  <c r="Y152" i="10"/>
  <c r="AP236" i="11"/>
  <c r="AP235" i="11"/>
  <c r="AP234" i="11"/>
  <c r="AP232" i="11"/>
  <c r="AP240" i="11"/>
  <c r="AP230" i="11"/>
  <c r="AP238" i="11"/>
  <c r="AP233" i="11"/>
  <c r="AP231" i="11"/>
  <c r="AP237" i="11"/>
  <c r="AP229" i="11"/>
  <c r="AP239" i="11"/>
  <c r="AV44" i="16"/>
  <c r="AW43" i="16"/>
  <c r="AW3" i="15"/>
  <c r="N23" i="6"/>
  <c r="BE3" i="11"/>
  <c r="M19" i="6"/>
  <c r="R313" i="17"/>
  <c r="BA150" i="16"/>
  <c r="BB150" i="16" s="1"/>
  <c r="N483" i="3"/>
  <c r="T140" i="10"/>
  <c r="V139" i="10"/>
  <c r="AC139" i="10" s="1"/>
  <c r="AL20" i="20"/>
  <c r="AO19" i="20"/>
  <c r="AK166" i="22"/>
  <c r="AL165" i="22"/>
  <c r="AN128" i="18"/>
  <c r="AM129" i="18"/>
  <c r="V176" i="10"/>
  <c r="U177" i="10"/>
  <c r="AP141" i="18"/>
  <c r="AQ140" i="18"/>
  <c r="AJ9" i="20"/>
  <c r="AK8" i="20"/>
  <c r="AT61" i="11"/>
  <c r="BM61" i="11"/>
  <c r="E349" i="4"/>
  <c r="E37" i="5"/>
  <c r="AS72" i="4"/>
  <c r="AS73" i="4"/>
  <c r="O346" i="4"/>
  <c r="M168" i="3"/>
  <c r="M314" i="3" s="1"/>
  <c r="M332" i="3"/>
  <c r="Y68" i="8"/>
  <c r="X69" i="8"/>
  <c r="X173" i="24"/>
  <c r="Z173" i="24"/>
  <c r="BS171" i="12" s="1"/>
  <c r="BI171" i="12" s="1"/>
  <c r="X185" i="24"/>
  <c r="AZ161" i="20"/>
  <c r="BB161" i="20"/>
  <c r="BR159" i="12" s="1"/>
  <c r="BH159" i="12" s="1"/>
  <c r="R361" i="13"/>
  <c r="R345" i="13" s="1"/>
  <c r="R331" i="11"/>
  <c r="R186" i="4" s="1"/>
  <c r="R202" i="4"/>
  <c r="R250" i="3"/>
  <c r="S379" i="11"/>
  <c r="AX25" i="16"/>
  <c r="AZ24" i="16"/>
  <c r="K379" i="4"/>
  <c r="AN8" i="18"/>
  <c r="AM9" i="18"/>
  <c r="BE101" i="14"/>
  <c r="BC101" i="14"/>
  <c r="O3" i="2"/>
  <c r="AQ179" i="22"/>
  <c r="S276" i="3"/>
  <c r="R166" i="8"/>
  <c r="S165" i="8"/>
  <c r="AR164" i="20"/>
  <c r="AP165" i="20"/>
  <c r="AP117" i="18"/>
  <c r="AQ116" i="18"/>
  <c r="L37" i="5"/>
  <c r="L347" i="4"/>
  <c r="L379" i="4" s="1"/>
  <c r="S411" i="13"/>
  <c r="S284" i="3" s="1"/>
  <c r="S300" i="3" s="1"/>
  <c r="S220" i="4"/>
  <c r="AA143" i="10"/>
  <c r="AB142" i="10"/>
  <c r="T134" i="19"/>
  <c r="S235" i="21"/>
  <c r="S203" i="21" s="1"/>
  <c r="U234" i="21"/>
  <c r="U202" i="21" s="1"/>
  <c r="Q228" i="21"/>
  <c r="S230" i="21"/>
  <c r="S198" i="21" s="1"/>
  <c r="S156" i="17"/>
  <c r="S124" i="17" s="1"/>
  <c r="S108" i="17" s="1"/>
  <c r="Q159" i="17"/>
  <c r="Q127" i="17" s="1"/>
  <c r="Q111" i="17" s="1"/>
  <c r="S117" i="8"/>
  <c r="R118" i="8"/>
  <c r="N47" i="19"/>
  <c r="N46" i="19"/>
  <c r="BJ45" i="19"/>
  <c r="AS129" i="18"/>
  <c r="V164" i="10"/>
  <c r="U165" i="10"/>
  <c r="S176" i="26"/>
  <c r="W176" i="26" s="1"/>
  <c r="R177" i="26"/>
  <c r="U102" i="11"/>
  <c r="BA102" i="11" s="1"/>
  <c r="AT159" i="4"/>
  <c r="AU159" i="4" s="1"/>
  <c r="T135" i="19"/>
  <c r="W135" i="19" s="1"/>
  <c r="S153" i="17"/>
  <c r="S121" i="17" s="1"/>
  <c r="S105" i="17" s="1"/>
  <c r="S123" i="15"/>
  <c r="S107" i="15" s="1"/>
  <c r="AL119" i="14"/>
  <c r="Q158" i="17"/>
  <c r="Q126" i="17" s="1"/>
  <c r="Q110" i="17" s="1"/>
  <c r="S299" i="15"/>
  <c r="N22" i="7"/>
  <c r="O15" i="6"/>
  <c r="BP6" i="7"/>
  <c r="Q165" i="4"/>
  <c r="H49" i="11"/>
  <c r="H50" i="11" s="1"/>
  <c r="H229" i="4"/>
  <c r="AY186" i="14"/>
  <c r="BB186" i="14" s="1"/>
  <c r="C407" i="19"/>
  <c r="C375" i="19"/>
  <c r="C391" i="19" s="1"/>
  <c r="C374" i="19"/>
  <c r="C390" i="19" s="1"/>
  <c r="C389" i="19"/>
  <c r="Y23" i="20"/>
  <c r="Q153" i="17"/>
  <c r="AB79" i="8"/>
  <c r="AC79" i="8" s="1"/>
  <c r="AA80" i="8"/>
  <c r="AJ166" i="16"/>
  <c r="BA127" i="14"/>
  <c r="AM128" i="14"/>
  <c r="AI175" i="18"/>
  <c r="AK174" i="18"/>
  <c r="AW151" i="16"/>
  <c r="AV152" i="16"/>
  <c r="T87" i="17"/>
  <c r="S91" i="17"/>
  <c r="BM328" i="11"/>
  <c r="AT328" i="11"/>
  <c r="Q183" i="4"/>
  <c r="AW43" i="18"/>
  <c r="AV44" i="18"/>
  <c r="N338" i="3"/>
  <c r="N174" i="3"/>
  <c r="N320" i="3" s="1"/>
  <c r="R39" i="4"/>
  <c r="AA46" i="22"/>
  <c r="AB45" i="22"/>
  <c r="AZ6" i="17"/>
  <c r="Y6" i="17"/>
  <c r="J192" i="3"/>
  <c r="J164" i="3"/>
  <c r="J328" i="3"/>
  <c r="AD180" i="3"/>
  <c r="AH180" i="3" s="1"/>
  <c r="AC180" i="3"/>
  <c r="I40" i="6"/>
  <c r="I18" i="6"/>
  <c r="AU68" i="4"/>
  <c r="AY68" i="4" s="1"/>
  <c r="K342" i="4"/>
  <c r="Q141" i="21"/>
  <c r="Q8" i="21" s="1"/>
  <c r="AS8" i="21" s="1"/>
  <c r="Q74" i="3"/>
  <c r="K173" i="3"/>
  <c r="K337" i="3"/>
  <c r="AD337" i="3" s="1"/>
  <c r="AD189" i="3"/>
  <c r="AC189" i="3"/>
  <c r="AW31" i="18"/>
  <c r="AV32" i="18"/>
  <c r="AS74" i="4"/>
  <c r="O37" i="5"/>
  <c r="S80" i="8"/>
  <c r="R81" i="8"/>
  <c r="E332" i="3"/>
  <c r="E168" i="3"/>
  <c r="E314" i="3" s="1"/>
  <c r="AW20" i="18"/>
  <c r="AV21" i="18"/>
  <c r="S320" i="17"/>
  <c r="V57" i="10"/>
  <c r="U58" i="10"/>
  <c r="S331" i="19"/>
  <c r="AE69" i="22"/>
  <c r="AD70" i="22"/>
  <c r="M477" i="3"/>
  <c r="D5" i="2"/>
  <c r="AM175" i="13"/>
  <c r="AM10" i="13" s="1"/>
  <c r="L483" i="3"/>
  <c r="AX71" i="4"/>
  <c r="AW71" i="4"/>
  <c r="P345" i="4"/>
  <c r="P377" i="4" s="1"/>
  <c r="R103" i="5"/>
  <c r="V175" i="13"/>
  <c r="V10" i="13" s="1"/>
  <c r="AY174" i="22"/>
  <c r="AY186" i="22"/>
  <c r="AH139" i="22"/>
  <c r="AG140" i="22"/>
  <c r="I338" i="3"/>
  <c r="I174" i="3"/>
  <c r="I320" i="3" s="1"/>
  <c r="R175" i="13"/>
  <c r="R10" i="13" s="1"/>
  <c r="AU176" i="20"/>
  <c r="AD46" i="5"/>
  <c r="AC46" i="5"/>
  <c r="P71" i="5"/>
  <c r="AQ142" i="16"/>
  <c r="AP143" i="16"/>
  <c r="V103" i="24"/>
  <c r="W103" i="24" s="1"/>
  <c r="U104" i="24"/>
  <c r="U70" i="11"/>
  <c r="BA70" i="11" s="1"/>
  <c r="BC130" i="15"/>
  <c r="Q114" i="15"/>
  <c r="BC114" i="15" s="1"/>
  <c r="AK179" i="14"/>
  <c r="L30" i="21"/>
  <c r="L5" i="2"/>
  <c r="BM332" i="11"/>
  <c r="AT332" i="11"/>
  <c r="Q187" i="4"/>
  <c r="BG184" i="12"/>
  <c r="AP60" i="16"/>
  <c r="Q232" i="21"/>
  <c r="Q200" i="21" s="1"/>
  <c r="R235" i="21"/>
  <c r="R203" i="21" s="1"/>
  <c r="Q229" i="21"/>
  <c r="Q197" i="21" s="1"/>
  <c r="Z235" i="21"/>
  <c r="Z203" i="21" s="1"/>
  <c r="S225" i="21"/>
  <c r="AQ10" i="16"/>
  <c r="AP11" i="16"/>
  <c r="BM62" i="11"/>
  <c r="AT62" i="11"/>
  <c r="AM118" i="18"/>
  <c r="AN117" i="18"/>
  <c r="R167" i="25"/>
  <c r="T167" i="25"/>
  <c r="U167" i="25"/>
  <c r="W167" i="25"/>
  <c r="V167" i="25"/>
  <c r="S167" i="25"/>
  <c r="Y167" i="25"/>
  <c r="X167" i="25"/>
  <c r="Z167" i="25"/>
  <c r="B451" i="3"/>
  <c r="Q56" i="24"/>
  <c r="S55" i="24"/>
  <c r="AD94" i="3"/>
  <c r="AH94" i="3" s="1"/>
  <c r="K450" i="3"/>
  <c r="K484" i="3" s="1"/>
  <c r="AD176" i="20"/>
  <c r="AC177" i="20"/>
  <c r="BC66" i="18"/>
  <c r="AB58" i="10"/>
  <c r="AA59" i="10"/>
  <c r="R150" i="17"/>
  <c r="BD65" i="18"/>
  <c r="Y132" i="10"/>
  <c r="X133" i="10"/>
  <c r="AD152" i="22"/>
  <c r="AE151" i="22"/>
  <c r="BM58" i="11"/>
  <c r="AT58" i="11"/>
  <c r="AR55" i="14"/>
  <c r="AO56" i="14"/>
  <c r="BA18" i="15"/>
  <c r="P17" i="15"/>
  <c r="P28" i="15" s="1"/>
  <c r="BL35" i="15"/>
  <c r="V69" i="11"/>
  <c r="W69" i="11" s="1"/>
  <c r="W102" i="24"/>
  <c r="T162" i="15"/>
  <c r="S232" i="21"/>
  <c r="S200" i="21" s="1"/>
  <c r="AQ68" i="14"/>
  <c r="BA67" i="14"/>
  <c r="AP118" i="20"/>
  <c r="AR117" i="20"/>
  <c r="Z95" i="20"/>
  <c r="AA94" i="20"/>
  <c r="Z141" i="20"/>
  <c r="AA140" i="20"/>
  <c r="AU140" i="20"/>
  <c r="BA67" i="18"/>
  <c r="BC67" i="18" s="1"/>
  <c r="AF68" i="18"/>
  <c r="AD13" i="25"/>
  <c r="AD6" i="2" s="1"/>
  <c r="C16" i="25"/>
  <c r="C6" i="2"/>
  <c r="Q57" i="13"/>
  <c r="K309" i="4"/>
  <c r="K304" i="4"/>
  <c r="K173" i="4"/>
  <c r="Y9" i="20"/>
  <c r="AS8" i="20"/>
  <c r="BP37" i="7"/>
  <c r="BZ36" i="7"/>
  <c r="BZ35" i="7"/>
  <c r="P38" i="7"/>
  <c r="O38" i="7"/>
  <c r="AL23" i="21"/>
  <c r="J30" i="21"/>
  <c r="J5" i="2"/>
  <c r="R360" i="13"/>
  <c r="R344" i="13" s="1"/>
  <c r="R328" i="13" s="1"/>
  <c r="R330" i="11"/>
  <c r="R185" i="4" s="1"/>
  <c r="R93" i="5" s="1"/>
  <c r="R249" i="3"/>
  <c r="R233" i="3" s="1"/>
  <c r="R201" i="4"/>
  <c r="R101" i="5" s="1"/>
  <c r="T378" i="11"/>
  <c r="T330" i="11" s="1"/>
  <c r="T185" i="4" s="1"/>
  <c r="S378" i="11"/>
  <c r="S330" i="11" s="1"/>
  <c r="S185" i="4" s="1"/>
  <c r="AR139" i="18"/>
  <c r="BA139" i="18" s="1"/>
  <c r="BC139" i="18" s="1"/>
  <c r="AT138" i="18"/>
  <c r="AG441" i="3"/>
  <c r="AF441" i="3"/>
  <c r="V137" i="21"/>
  <c r="N408" i="3"/>
  <c r="N403" i="3"/>
  <c r="U81" i="10"/>
  <c r="V80" i="10"/>
  <c r="E208" i="3"/>
  <c r="E164" i="3"/>
  <c r="BB45" i="11"/>
  <c r="K237" i="4"/>
  <c r="AV7" i="20"/>
  <c r="O309" i="4"/>
  <c r="O304" i="4"/>
  <c r="Q257" i="3"/>
  <c r="Q233" i="3"/>
  <c r="Q241" i="3" s="1"/>
  <c r="AP165" i="18"/>
  <c r="AQ164" i="18"/>
  <c r="AY102" i="11"/>
  <c r="AG7" i="17"/>
  <c r="AJ58" i="18"/>
  <c r="B20" i="6"/>
  <c r="B41" i="6" s="1"/>
  <c r="B27" i="11"/>
  <c r="T299" i="15"/>
  <c r="S130" i="21"/>
  <c r="AF70" i="20"/>
  <c r="AG69" i="20"/>
  <c r="P15" i="7"/>
  <c r="BR12" i="7"/>
  <c r="P17" i="6"/>
  <c r="AQ57" i="14"/>
  <c r="BA56" i="14"/>
  <c r="AW91" i="22"/>
  <c r="I481" i="3"/>
  <c r="I482" i="3"/>
  <c r="AH104" i="3"/>
  <c r="AI104" i="3" s="1"/>
  <c r="AE104" i="3"/>
  <c r="AC78" i="8"/>
  <c r="AD78" i="8" s="1"/>
  <c r="AN31" i="14"/>
  <c r="AK32" i="14"/>
  <c r="AY31" i="14"/>
  <c r="BB31" i="14" s="1"/>
  <c r="BE31" i="14" s="1"/>
  <c r="R232" i="3"/>
  <c r="AZ43" i="18"/>
  <c r="AX44" i="18"/>
  <c r="R86" i="17"/>
  <c r="R98" i="17" s="1"/>
  <c r="R5" i="17" s="1"/>
  <c r="AI5" i="17" s="1"/>
  <c r="Q90" i="17"/>
  <c r="AD396" i="3"/>
  <c r="AH396" i="3" s="1"/>
  <c r="O118" i="5"/>
  <c r="AA80" i="22"/>
  <c r="AB79" i="22"/>
  <c r="AS163" i="22"/>
  <c r="AV163" i="22"/>
  <c r="AR164" i="22"/>
  <c r="AF141" i="20"/>
  <c r="AG140" i="20"/>
  <c r="X59" i="10"/>
  <c r="Y58" i="10"/>
  <c r="AG80" i="20"/>
  <c r="AF81" i="20"/>
  <c r="AJ123" i="20"/>
  <c r="M482" i="3"/>
  <c r="N14" i="6"/>
  <c r="BN3" i="7"/>
  <c r="AD53" i="5"/>
  <c r="AC53" i="5"/>
  <c r="P78" i="5"/>
  <c r="BE160" i="14"/>
  <c r="BC160" i="14"/>
  <c r="AS163" i="20"/>
  <c r="AA163" i="20"/>
  <c r="Y164" i="20"/>
  <c r="G409" i="3"/>
  <c r="G424" i="3"/>
  <c r="AP82" i="20"/>
  <c r="AR81" i="20"/>
  <c r="N375" i="4"/>
  <c r="U306" i="15"/>
  <c r="X80" i="8"/>
  <c r="Y79" i="8"/>
  <c r="E167" i="3"/>
  <c r="E313" i="3" s="1"/>
  <c r="E331" i="3"/>
  <c r="E424" i="3"/>
  <c r="E409" i="3"/>
  <c r="AO82" i="22"/>
  <c r="AP81" i="22"/>
  <c r="O167" i="4"/>
  <c r="AU135" i="4"/>
  <c r="M37" i="5"/>
  <c r="M347" i="4"/>
  <c r="M379" i="4" s="1"/>
  <c r="V347" i="19"/>
  <c r="T315" i="17"/>
  <c r="U301" i="15"/>
  <c r="L35" i="25"/>
  <c r="J55" i="5"/>
  <c r="J76" i="5"/>
  <c r="G374" i="19"/>
  <c r="G407" i="19"/>
  <c r="G389" i="19"/>
  <c r="G375" i="19"/>
  <c r="O15" i="7"/>
  <c r="BP12" i="7"/>
  <c r="O17" i="6"/>
  <c r="R153" i="26"/>
  <c r="J333" i="3"/>
  <c r="AC185" i="3"/>
  <c r="J169" i="3"/>
  <c r="AD185" i="3"/>
  <c r="AH106" i="3"/>
  <c r="AI106" i="3" s="1"/>
  <c r="AE106" i="3"/>
  <c r="AD47" i="22"/>
  <c r="AE46" i="22"/>
  <c r="S176" i="8"/>
  <c r="R177" i="8"/>
  <c r="AQ94" i="18"/>
  <c r="AP95" i="18"/>
  <c r="AJ176" i="22"/>
  <c r="AU175" i="22"/>
  <c r="AY175" i="22" s="1"/>
  <c r="AR102" i="14"/>
  <c r="AO103" i="14"/>
  <c r="AU165" i="22"/>
  <c r="AJ166" i="22"/>
  <c r="Q408" i="3"/>
  <c r="R384" i="11"/>
  <c r="AX44" i="16"/>
  <c r="AZ43" i="16"/>
  <c r="L86" i="5"/>
  <c r="L119" i="5" s="1"/>
  <c r="Z178" i="20"/>
  <c r="AA177" i="20"/>
  <c r="AH23" i="21"/>
  <c r="AG5" i="2" s="1"/>
  <c r="F30" i="21"/>
  <c r="F5" i="2"/>
  <c r="AV55" i="22"/>
  <c r="AS167" i="16"/>
  <c r="U134" i="19"/>
  <c r="X47" i="8"/>
  <c r="Y46" i="8"/>
  <c r="U233" i="21"/>
  <c r="U201" i="21" s="1"/>
  <c r="Q236" i="21"/>
  <c r="Q204" i="21" s="1"/>
  <c r="Y226" i="21"/>
  <c r="Y194" i="21" s="1"/>
  <c r="W236" i="21"/>
  <c r="W204" i="21" s="1"/>
  <c r="Z230" i="21"/>
  <c r="Z198" i="21" s="1"/>
  <c r="B175" i="3"/>
  <c r="B321" i="3" s="1"/>
  <c r="B339" i="3"/>
  <c r="R92" i="24"/>
  <c r="S91" i="24"/>
  <c r="AJ10" i="23"/>
  <c r="AL10" i="25"/>
  <c r="BH183" i="12"/>
  <c r="V138" i="24"/>
  <c r="W138" i="24" s="1"/>
  <c r="U139" i="24"/>
  <c r="R104" i="15"/>
  <c r="AW69" i="18"/>
  <c r="AV70" i="18"/>
  <c r="Q175" i="13"/>
  <c r="Q10" i="13" s="1"/>
  <c r="AE6" i="17"/>
  <c r="M20" i="11"/>
  <c r="BE20" i="13" s="1"/>
  <c r="BE21" i="11"/>
  <c r="Q72" i="13"/>
  <c r="M65" i="6"/>
  <c r="Q35" i="5"/>
  <c r="Q341" i="4"/>
  <c r="F310" i="4"/>
  <c r="F325" i="4"/>
  <c r="AD392" i="3"/>
  <c r="AC163" i="8"/>
  <c r="O331" i="3"/>
  <c r="AG183" i="3"/>
  <c r="O167" i="3"/>
  <c r="AF183" i="3"/>
  <c r="AL82" i="20"/>
  <c r="AR21" i="23"/>
  <c r="O33" i="23"/>
  <c r="AR33" i="23" s="1"/>
  <c r="AO139" i="20"/>
  <c r="AL140" i="20"/>
  <c r="AS139" i="20"/>
  <c r="AC43" i="10"/>
  <c r="M22" i="7"/>
  <c r="BN6" i="7"/>
  <c r="N15" i="6"/>
  <c r="AS46" i="16"/>
  <c r="AM23" i="14"/>
  <c r="X129" i="8"/>
  <c r="Y128" i="8"/>
  <c r="AS60" i="16"/>
  <c r="AG6" i="17"/>
  <c r="M7" i="11"/>
  <c r="BE7" i="13" s="1"/>
  <c r="BE8" i="11"/>
  <c r="K25" i="6"/>
  <c r="K22" i="6" s="1"/>
  <c r="K28" i="15"/>
  <c r="K5" i="6" s="1"/>
  <c r="C352" i="4"/>
  <c r="C384" i="4" s="1"/>
  <c r="C38" i="5"/>
  <c r="AQ176" i="18"/>
  <c r="AP177" i="18"/>
  <c r="S32" i="8"/>
  <c r="R33" i="8"/>
  <c r="BA140" i="14"/>
  <c r="AM141" i="14"/>
  <c r="S134" i="21"/>
  <c r="AM45" i="14"/>
  <c r="BA44" i="14"/>
  <c r="R229" i="21"/>
  <c r="R197" i="21" s="1"/>
  <c r="S234" i="21"/>
  <c r="S202" i="21" s="1"/>
  <c r="W225" i="21"/>
  <c r="V227" i="21"/>
  <c r="V195" i="21" s="1"/>
  <c r="Z228" i="21"/>
  <c r="Z196" i="21" s="1"/>
  <c r="W231" i="21"/>
  <c r="W199" i="21" s="1"/>
  <c r="Q61" i="13"/>
  <c r="Q60" i="13"/>
  <c r="AN21" i="23"/>
  <c r="L33" i="23"/>
  <c r="AN33" i="23" s="1"/>
  <c r="S140" i="8"/>
  <c r="R141" i="8"/>
  <c r="K338" i="3"/>
  <c r="AD338" i="3" s="1"/>
  <c r="AH338" i="3" s="1"/>
  <c r="K174" i="3"/>
  <c r="AD190" i="3"/>
  <c r="AH190" i="3" s="1"/>
  <c r="AC190" i="3"/>
  <c r="N346" i="4"/>
  <c r="N378" i="4" s="1"/>
  <c r="H96" i="5"/>
  <c r="BN3" i="19"/>
  <c r="P23" i="19"/>
  <c r="P30" i="6"/>
  <c r="AE91" i="22"/>
  <c r="AD92" i="22"/>
  <c r="I475" i="3"/>
  <c r="I476" i="3"/>
  <c r="V8" i="8"/>
  <c r="U9" i="8"/>
  <c r="S38" i="4"/>
  <c r="U31" i="26"/>
  <c r="V30" i="26"/>
  <c r="W30" i="26" s="1"/>
  <c r="AI394" i="3"/>
  <c r="R57" i="11"/>
  <c r="S73" i="11"/>
  <c r="AX133" i="16"/>
  <c r="AZ132" i="16"/>
  <c r="AA164" i="22"/>
  <c r="AB163" i="22"/>
  <c r="AB92" i="8"/>
  <c r="AA93" i="8"/>
  <c r="R135" i="21"/>
  <c r="AW18" i="14"/>
  <c r="AX17" i="14"/>
  <c r="AW143" i="18"/>
  <c r="AV144" i="18"/>
  <c r="AS8" i="18"/>
  <c r="AT7" i="18"/>
  <c r="M54" i="15"/>
  <c r="M53" i="15"/>
  <c r="AU52" i="15"/>
  <c r="AH109" i="3"/>
  <c r="AI109" i="3" s="1"/>
  <c r="AE109" i="3"/>
  <c r="AT148" i="4"/>
  <c r="AU148" i="4" s="1"/>
  <c r="J160" i="4"/>
  <c r="AL91" i="22"/>
  <c r="AK92" i="22"/>
  <c r="AV91" i="22"/>
  <c r="E160" i="3"/>
  <c r="AH80" i="18"/>
  <c r="AG81" i="18"/>
  <c r="BB80" i="18"/>
  <c r="AX44" i="14"/>
  <c r="AW45" i="14"/>
  <c r="AX12" i="18"/>
  <c r="AZ11" i="18"/>
  <c r="S90" i="17"/>
  <c r="AP175" i="22"/>
  <c r="AO176" i="22"/>
  <c r="AO175" i="20"/>
  <c r="AL176" i="20"/>
  <c r="AS175" i="20"/>
  <c r="S118" i="10"/>
  <c r="R119" i="10"/>
  <c r="BI3" i="11"/>
  <c r="O19" i="6"/>
  <c r="D23" i="19"/>
  <c r="D6" i="6" s="1"/>
  <c r="D30" i="6"/>
  <c r="D29" i="6" s="1"/>
  <c r="AF3" i="21"/>
  <c r="AK142" i="14"/>
  <c r="AZ78" i="20"/>
  <c r="T55" i="11"/>
  <c r="O171" i="4"/>
  <c r="AU139" i="4"/>
  <c r="D473" i="3"/>
  <c r="D457" i="3"/>
  <c r="BF12" i="19"/>
  <c r="L33" i="6"/>
  <c r="G481" i="3"/>
  <c r="AG131" i="22"/>
  <c r="AH130" i="22"/>
  <c r="AO56" i="16"/>
  <c r="AQ55" i="16"/>
  <c r="AW127" i="16"/>
  <c r="AV128" i="16"/>
  <c r="AC105" i="20"/>
  <c r="AD104" i="20"/>
  <c r="BM60" i="11"/>
  <c r="AT60" i="11"/>
  <c r="T331" i="19"/>
  <c r="H483" i="3"/>
  <c r="L403" i="3"/>
  <c r="L408" i="3"/>
  <c r="M48" i="13"/>
  <c r="K14" i="6"/>
  <c r="K13" i="6" s="1"/>
  <c r="BG3" i="7"/>
  <c r="AK3" i="9"/>
  <c r="BH9" i="19"/>
  <c r="M32" i="6"/>
  <c r="AW19" i="16"/>
  <c r="AV20" i="16"/>
  <c r="AH105" i="3"/>
  <c r="AI105" i="3" s="1"/>
  <c r="AE105" i="3"/>
  <c r="Y93" i="10"/>
  <c r="X94" i="10"/>
  <c r="BM331" i="11"/>
  <c r="AT331" i="11"/>
  <c r="Q186" i="4"/>
  <c r="AJ24" i="20"/>
  <c r="L478" i="3"/>
  <c r="M334" i="3"/>
  <c r="AD334" i="3" s="1"/>
  <c r="M170" i="3"/>
  <c r="M316" i="3" s="1"/>
  <c r="AD186" i="3"/>
  <c r="AC186" i="3"/>
  <c r="AT334" i="11"/>
  <c r="BM334" i="11"/>
  <c r="Q189" i="4"/>
  <c r="AD202" i="3"/>
  <c r="AC202" i="3"/>
  <c r="J170" i="3"/>
  <c r="AQ152" i="18"/>
  <c r="AP153" i="18"/>
  <c r="AG57" i="18"/>
  <c r="AH56" i="18"/>
  <c r="BB56" i="18"/>
  <c r="AY66" i="14"/>
  <c r="BB66" i="14" s="1"/>
  <c r="O208" i="3"/>
  <c r="AF196" i="3"/>
  <c r="AG196" i="3"/>
  <c r="T359" i="13"/>
  <c r="T343" i="13" s="1"/>
  <c r="T329" i="11"/>
  <c r="T184" i="4" s="1"/>
  <c r="T248" i="3"/>
  <c r="T200" i="4"/>
  <c r="U345" i="11"/>
  <c r="Q110" i="5"/>
  <c r="AT153" i="18"/>
  <c r="AS154" i="18"/>
  <c r="AK57" i="22"/>
  <c r="AS153" i="20"/>
  <c r="Y154" i="20"/>
  <c r="AJ23" i="21"/>
  <c r="H30" i="21"/>
  <c r="H5" i="2"/>
  <c r="S236" i="21"/>
  <c r="S204" i="21" s="1"/>
  <c r="T235" i="21"/>
  <c r="T203" i="21" s="1"/>
  <c r="T226" i="21"/>
  <c r="T194" i="21" s="1"/>
  <c r="S228" i="21"/>
  <c r="S196" i="21" s="1"/>
  <c r="W229" i="21"/>
  <c r="W197" i="21" s="1"/>
  <c r="T232" i="21"/>
  <c r="T200" i="21" s="1"/>
  <c r="AU70" i="4"/>
  <c r="AY70" i="4" s="1"/>
  <c r="K36" i="5"/>
  <c r="K344" i="4"/>
  <c r="K376" i="4" s="1"/>
  <c r="J164" i="4"/>
  <c r="J176" i="4" s="1"/>
  <c r="AT132" i="4"/>
  <c r="J144" i="4"/>
  <c r="K35" i="5"/>
  <c r="AU67" i="4"/>
  <c r="K79" i="4"/>
  <c r="K341" i="4"/>
  <c r="X161" i="24"/>
  <c r="Z161" i="24"/>
  <c r="BS159" i="12" s="1"/>
  <c r="BI159" i="12" s="1"/>
  <c r="I166" i="3"/>
  <c r="I312" i="3" s="1"/>
  <c r="I330" i="3"/>
  <c r="BD20" i="13"/>
  <c r="P371" i="19"/>
  <c r="P373" i="19"/>
  <c r="BN6" i="19"/>
  <c r="BN371" i="19" s="1"/>
  <c r="P30" i="19"/>
  <c r="P31" i="6"/>
  <c r="R69" i="8"/>
  <c r="S68" i="8"/>
  <c r="AV140" i="22"/>
  <c r="AQ21" i="14"/>
  <c r="BA20" i="14"/>
  <c r="Z9" i="20"/>
  <c r="AA8" i="20"/>
  <c r="AL94" i="20"/>
  <c r="AS49" i="18"/>
  <c r="AU78" i="4"/>
  <c r="AY78" i="4" s="1"/>
  <c r="K352" i="4"/>
  <c r="K384" i="4" s="1"/>
  <c r="AH20" i="20"/>
  <c r="AS19" i="20"/>
  <c r="AK19" i="20"/>
  <c r="AN93" i="16"/>
  <c r="AM94" i="16"/>
  <c r="AD68" i="20"/>
  <c r="AC69" i="20"/>
  <c r="AE112" i="3"/>
  <c r="AX174" i="20"/>
  <c r="AX186" i="20"/>
  <c r="D49" i="11"/>
  <c r="D50" i="11" s="1"/>
  <c r="D229" i="4"/>
  <c r="R154" i="17"/>
  <c r="R122" i="17" s="1"/>
  <c r="R106" i="17" s="1"/>
  <c r="R124" i="15"/>
  <c r="R108" i="15" s="1"/>
  <c r="S156" i="15"/>
  <c r="V150" i="26"/>
  <c r="U151" i="26"/>
  <c r="AD87" i="3"/>
  <c r="AH87" i="3" s="1"/>
  <c r="J443" i="3"/>
  <c r="AD204" i="3"/>
  <c r="AC204" i="3"/>
  <c r="J172" i="3"/>
  <c r="AE3" i="17"/>
  <c r="AQ142" i="22"/>
  <c r="AT141" i="22"/>
  <c r="E55" i="5"/>
  <c r="E76" i="5"/>
  <c r="D331" i="3"/>
  <c r="D167" i="3"/>
  <c r="D313" i="3" s="1"/>
  <c r="AZ102" i="11"/>
  <c r="Y69" i="20"/>
  <c r="AS68" i="20"/>
  <c r="AW80" i="20" s="1"/>
  <c r="M28" i="17"/>
  <c r="AO57" i="18"/>
  <c r="AQ56" i="18"/>
  <c r="T130" i="19"/>
  <c r="AS81" i="16"/>
  <c r="AH91" i="22"/>
  <c r="AG92" i="22"/>
  <c r="BI20" i="11"/>
  <c r="O27" i="11"/>
  <c r="O21" i="6"/>
  <c r="BH37" i="7"/>
  <c r="K38" i="7"/>
  <c r="AW119" i="16"/>
  <c r="AV120" i="16"/>
  <c r="AD399" i="3"/>
  <c r="AH399" i="3" s="1"/>
  <c r="O160" i="4"/>
  <c r="M351" i="4"/>
  <c r="AR127" i="18"/>
  <c r="AT126" i="18"/>
  <c r="AO32" i="22"/>
  <c r="AP31" i="22"/>
  <c r="F49" i="11"/>
  <c r="F229" i="4"/>
  <c r="C475" i="3"/>
  <c r="R327" i="13"/>
  <c r="BD126" i="11"/>
  <c r="L130" i="11"/>
  <c r="L46" i="11"/>
  <c r="L49" i="11" s="1"/>
  <c r="T91" i="17"/>
  <c r="T90" i="17"/>
  <c r="AW130" i="18"/>
  <c r="AV131" i="18"/>
  <c r="V330" i="19"/>
  <c r="AS14" i="15"/>
  <c r="L26" i="6"/>
  <c r="AW57" i="16"/>
  <c r="AV58" i="16"/>
  <c r="BB7" i="18"/>
  <c r="AK56" i="16"/>
  <c r="AJ57" i="16"/>
  <c r="S116" i="24"/>
  <c r="R117" i="24"/>
  <c r="AV6" i="17"/>
  <c r="AE178" i="22"/>
  <c r="AD179" i="22"/>
  <c r="K37" i="5"/>
  <c r="AU73" i="4"/>
  <c r="R60" i="24"/>
  <c r="BH12" i="13"/>
  <c r="Z105" i="20"/>
  <c r="AU104" i="20"/>
  <c r="U92" i="26"/>
  <c r="V91" i="26"/>
  <c r="W91" i="26" s="1"/>
  <c r="P33" i="23"/>
  <c r="AT33" i="23" s="1"/>
  <c r="AF92" i="3"/>
  <c r="AG92" i="3"/>
  <c r="AI92" i="3" s="1"/>
  <c r="AE92" i="3"/>
  <c r="AB92" i="3"/>
  <c r="O448" i="3"/>
  <c r="S152" i="24"/>
  <c r="R153" i="24"/>
  <c r="R320" i="17"/>
  <c r="R129" i="26"/>
  <c r="BA126" i="16"/>
  <c r="Z346" i="19"/>
  <c r="F48" i="13"/>
  <c r="AY175" i="20"/>
  <c r="M96" i="5"/>
  <c r="Q234" i="3"/>
  <c r="AQ43" i="16"/>
  <c r="AP44" i="16"/>
  <c r="AJ15" i="9"/>
  <c r="J2" i="2"/>
  <c r="Q364" i="13"/>
  <c r="Q348" i="13" s="1"/>
  <c r="Q332" i="13" s="1"/>
  <c r="AM176" i="14"/>
  <c r="BA175" i="14"/>
  <c r="BB175" i="14" s="1"/>
  <c r="AN175" i="14"/>
  <c r="AD90" i="3"/>
  <c r="J446" i="3"/>
  <c r="AW77" i="4"/>
  <c r="AX77" i="4"/>
  <c r="AZ77" i="4" s="1"/>
  <c r="P351" i="4"/>
  <c r="P383" i="4" s="1"/>
  <c r="AO141" i="22"/>
  <c r="AP140" i="22"/>
  <c r="Y115" i="10"/>
  <c r="X116" i="10"/>
  <c r="L16" i="6"/>
  <c r="BJ9" i="7"/>
  <c r="M342" i="4"/>
  <c r="M374" i="4" s="1"/>
  <c r="BC137" i="14"/>
  <c r="AU20" i="22"/>
  <c r="AJ21" i="22"/>
  <c r="AL20" i="22"/>
  <c r="AO9" i="21"/>
  <c r="C408" i="3"/>
  <c r="C409" i="3" s="1"/>
  <c r="C410" i="3" s="1"/>
  <c r="C411" i="3" s="1"/>
  <c r="C412" i="3" s="1"/>
  <c r="C413" i="3" s="1"/>
  <c r="C414" i="3" s="1"/>
  <c r="C415" i="3" s="1"/>
  <c r="C416" i="3" s="1"/>
  <c r="C417" i="3" s="1"/>
  <c r="C418" i="3" s="1"/>
  <c r="C419" i="3" s="1"/>
  <c r="C403" i="3"/>
  <c r="AJ33" i="16"/>
  <c r="AJ4" i="23"/>
  <c r="K3" i="23"/>
  <c r="R307" i="15"/>
  <c r="R321" i="17" s="1"/>
  <c r="AJ12" i="21"/>
  <c r="W228" i="21"/>
  <c r="W196" i="21" s="1"/>
  <c r="R228" i="21"/>
  <c r="R196" i="21" s="1"/>
  <c r="Y234" i="21"/>
  <c r="Y202" i="21" s="1"/>
  <c r="S229" i="21"/>
  <c r="S197" i="21" s="1"/>
  <c r="T230" i="21"/>
  <c r="T198" i="21" s="1"/>
  <c r="Q233" i="21"/>
  <c r="Q201" i="21" s="1"/>
  <c r="F47" i="5"/>
  <c r="F70" i="5"/>
  <c r="AQ35" i="22"/>
  <c r="AT34" i="22"/>
  <c r="U155" i="15"/>
  <c r="AR55" i="18"/>
  <c r="AT54" i="18"/>
  <c r="J47" i="5"/>
  <c r="J68" i="5"/>
  <c r="J72" i="5" s="1"/>
  <c r="AS103" i="20"/>
  <c r="Y104" i="20"/>
  <c r="S312" i="17"/>
  <c r="X298" i="15"/>
  <c r="H22" i="7"/>
  <c r="H21" i="7"/>
  <c r="H3" i="6"/>
  <c r="AM8" i="14"/>
  <c r="BA7" i="14"/>
  <c r="K47" i="5"/>
  <c r="AC47" i="5" s="1"/>
  <c r="K68" i="5"/>
  <c r="K72" i="5" s="1"/>
  <c r="AM46" i="20"/>
  <c r="AO45" i="20"/>
  <c r="U163" i="24"/>
  <c r="V162" i="24"/>
  <c r="W162" i="24" s="1"/>
  <c r="U103" i="26"/>
  <c r="V102" i="26"/>
  <c r="AW118" i="18"/>
  <c r="AV119" i="18"/>
  <c r="AR142" i="22"/>
  <c r="AS141" i="22"/>
  <c r="AW175" i="18"/>
  <c r="AV176" i="18"/>
  <c r="R38" i="4"/>
  <c r="AJ20" i="16"/>
  <c r="AK19" i="16"/>
  <c r="U117" i="26"/>
  <c r="V116" i="26"/>
  <c r="W116" i="26" s="1"/>
  <c r="AB176" i="8"/>
  <c r="AA177" i="8"/>
  <c r="P14" i="6"/>
  <c r="BR3" i="7"/>
  <c r="AJ166" i="18"/>
  <c r="AP23" i="21"/>
  <c r="N30" i="21"/>
  <c r="N5" i="2"/>
  <c r="AR18" i="14"/>
  <c r="AO19" i="14"/>
  <c r="S39" i="4"/>
  <c r="O245" i="4"/>
  <c r="X175" i="26"/>
  <c r="BJ15" i="7"/>
  <c r="L21" i="7"/>
  <c r="L3" i="6"/>
  <c r="AT335" i="11"/>
  <c r="BM335" i="11"/>
  <c r="Q190" i="4"/>
  <c r="L14" i="6"/>
  <c r="BJ3" i="7"/>
  <c r="R155" i="10"/>
  <c r="AQ93" i="22"/>
  <c r="AT92" i="22"/>
  <c r="AS92" i="22"/>
  <c r="Y9" i="8"/>
  <c r="X10" i="8"/>
  <c r="T136" i="21"/>
  <c r="BC16" i="11"/>
  <c r="BM37" i="11"/>
  <c r="BX25" i="7" s="1"/>
  <c r="AT37" i="11"/>
  <c r="AS37" i="11"/>
  <c r="AN79" i="18"/>
  <c r="AM80" i="18"/>
  <c r="AW174" i="20"/>
  <c r="AV174" i="20"/>
  <c r="AW186" i="20"/>
  <c r="O3" i="23"/>
  <c r="AR4" i="23"/>
  <c r="BY30" i="7"/>
  <c r="L22" i="7"/>
  <c r="BL6" i="7"/>
  <c r="M15" i="6"/>
  <c r="Q59" i="13"/>
  <c r="E30" i="21"/>
  <c r="AG23" i="21"/>
  <c r="AF5" i="2" s="1"/>
  <c r="E5" i="2"/>
  <c r="O175" i="4"/>
  <c r="AU143" i="4"/>
  <c r="AD89" i="3"/>
  <c r="J445" i="3"/>
  <c r="AJ63" i="20"/>
  <c r="AY146" i="12"/>
  <c r="AX147" i="12"/>
  <c r="J309" i="4"/>
  <c r="J304" i="4"/>
  <c r="J331" i="3"/>
  <c r="AC183" i="3"/>
  <c r="AD183" i="3"/>
  <c r="AH183" i="3" s="1"/>
  <c r="J167" i="3"/>
  <c r="T329" i="19"/>
  <c r="O373" i="19"/>
  <c r="O30" i="19"/>
  <c r="BL6" i="19"/>
  <c r="BL371" i="19" s="1"/>
  <c r="O31" i="6"/>
  <c r="T129" i="21"/>
  <c r="M16" i="25"/>
  <c r="M6" i="2"/>
  <c r="AR130" i="22"/>
  <c r="O375" i="4"/>
  <c r="O25" i="6"/>
  <c r="S95" i="17"/>
  <c r="AC143" i="20"/>
  <c r="AD142" i="20"/>
  <c r="D37" i="5"/>
  <c r="D347" i="4"/>
  <c r="C47" i="5"/>
  <c r="C68" i="5"/>
  <c r="C72" i="5" s="1"/>
  <c r="AO177" i="14"/>
  <c r="AR176" i="14"/>
  <c r="AY176" i="14"/>
  <c r="K345" i="3"/>
  <c r="C330" i="3"/>
  <c r="C166" i="3"/>
  <c r="C312" i="3" s="1"/>
  <c r="F29" i="17"/>
  <c r="F4" i="2"/>
  <c r="R104" i="24"/>
  <c r="S103" i="24"/>
  <c r="AW14" i="15"/>
  <c r="N26" i="6"/>
  <c r="P304" i="4"/>
  <c r="P309" i="4"/>
  <c r="P341" i="4"/>
  <c r="K96" i="3"/>
  <c r="K440" i="3"/>
  <c r="L160" i="3"/>
  <c r="Q79" i="24"/>
  <c r="S78" i="24"/>
  <c r="U331" i="19"/>
  <c r="U299" i="15"/>
  <c r="I336" i="3"/>
  <c r="I172" i="3"/>
  <c r="I318" i="3" s="1"/>
  <c r="R90" i="17"/>
  <c r="K331" i="3"/>
  <c r="K167" i="3"/>
  <c r="K313" i="3" s="1"/>
  <c r="K192" i="3"/>
  <c r="T105" i="11"/>
  <c r="U105" i="11" s="1"/>
  <c r="AA105" i="22"/>
  <c r="AB104" i="22"/>
  <c r="AB115" i="8"/>
  <c r="AA116" i="8"/>
  <c r="AZ140" i="18"/>
  <c r="AX141" i="18"/>
  <c r="AW162" i="20"/>
  <c r="AV162" i="20"/>
  <c r="H333" i="3"/>
  <c r="H169" i="3"/>
  <c r="H315" i="3" s="1"/>
  <c r="Q78" i="3"/>
  <c r="W347" i="19"/>
  <c r="N97" i="3"/>
  <c r="N445" i="3"/>
  <c r="O97" i="3"/>
  <c r="AF89" i="3"/>
  <c r="V34" i="10"/>
  <c r="U35" i="10"/>
  <c r="BD37" i="11"/>
  <c r="AP8" i="22"/>
  <c r="AO9" i="22"/>
  <c r="Q309" i="4"/>
  <c r="R47" i="24"/>
  <c r="T407" i="13"/>
  <c r="T280" i="3" s="1"/>
  <c r="T296" i="3" s="1"/>
  <c r="T216" i="4"/>
  <c r="C245" i="4"/>
  <c r="C246" i="4" s="1"/>
  <c r="C247" i="4" s="1"/>
  <c r="C248" i="4" s="1"/>
  <c r="C249" i="4" s="1"/>
  <c r="C250" i="4" s="1"/>
  <c r="C251" i="4" s="1"/>
  <c r="C252" i="4" s="1"/>
  <c r="C253" i="4" s="1"/>
  <c r="C254" i="4" s="1"/>
  <c r="C255" i="4" s="1"/>
  <c r="C256" i="4" s="1"/>
  <c r="C241" i="4"/>
  <c r="R236" i="21"/>
  <c r="R204" i="21" s="1"/>
  <c r="Q231" i="21"/>
  <c r="Q199" i="21" s="1"/>
  <c r="W101" i="26"/>
  <c r="N3" i="23"/>
  <c r="AP4" i="23"/>
  <c r="AO4" i="25"/>
  <c r="AE61" i="22"/>
  <c r="AD62" i="22"/>
  <c r="B96" i="3"/>
  <c r="B440" i="3"/>
  <c r="S163" i="10"/>
  <c r="R164" i="10"/>
  <c r="AH131" i="16"/>
  <c r="AG132" i="16"/>
  <c r="R94" i="17"/>
  <c r="T95" i="17"/>
  <c r="AK45" i="14"/>
  <c r="AZ43" i="14"/>
  <c r="AL44" i="14"/>
  <c r="H19" i="6"/>
  <c r="H27" i="11"/>
  <c r="AU67" i="22"/>
  <c r="AJ68" i="22"/>
  <c r="AL67" i="22"/>
  <c r="AM119" i="14"/>
  <c r="BA118" i="14"/>
  <c r="Q72" i="3"/>
  <c r="S358" i="13"/>
  <c r="S342" i="13" s="1"/>
  <c r="S326" i="13" s="1"/>
  <c r="S328" i="11"/>
  <c r="S183" i="4" s="1"/>
  <c r="S199" i="4"/>
  <c r="S247" i="3"/>
  <c r="S231" i="3" s="1"/>
  <c r="T376" i="11"/>
  <c r="T344" i="11"/>
  <c r="AS93" i="16"/>
  <c r="AT92" i="16"/>
  <c r="AW43" i="22"/>
  <c r="E480" i="3"/>
  <c r="AX116" i="20"/>
  <c r="V163" i="26"/>
  <c r="W163" i="26" s="1"/>
  <c r="U164" i="26"/>
  <c r="AW163" i="14"/>
  <c r="AX162" i="14"/>
  <c r="Q20" i="24"/>
  <c r="S19" i="24"/>
  <c r="P11" i="1"/>
  <c r="AI32" i="18"/>
  <c r="BA31" i="18"/>
  <c r="BC31" i="18" s="1"/>
  <c r="AM46" i="16"/>
  <c r="AN45" i="16"/>
  <c r="Y164" i="8"/>
  <c r="X165" i="8"/>
  <c r="BC7" i="18"/>
  <c r="U137" i="21"/>
  <c r="AB175" i="13"/>
  <c r="AB10" i="13" s="1"/>
  <c r="AK93" i="14"/>
  <c r="BP3" i="7"/>
  <c r="O14" i="6"/>
  <c r="AD126" i="8"/>
  <c r="C345" i="4"/>
  <c r="C377" i="4" s="1"/>
  <c r="C36" i="5"/>
  <c r="N160" i="3"/>
  <c r="J22" i="7"/>
  <c r="BG6" i="7"/>
  <c r="K15" i="6"/>
  <c r="N237" i="4"/>
  <c r="AJ81" i="16"/>
  <c r="AK80" i="16"/>
  <c r="T175" i="13"/>
  <c r="T10" i="13" s="1"/>
  <c r="AA155" i="22"/>
  <c r="AB154" i="22"/>
  <c r="AW103" i="22"/>
  <c r="R325" i="13"/>
  <c r="U180" i="26"/>
  <c r="V179" i="26"/>
  <c r="AH138" i="3"/>
  <c r="AI138" i="3" s="1"/>
  <c r="AE138" i="3"/>
  <c r="AR19" i="16"/>
  <c r="AT18" i="16"/>
  <c r="AR138" i="14"/>
  <c r="AO139" i="14"/>
  <c r="AY138" i="14"/>
  <c r="BB138" i="14" s="1"/>
  <c r="B359" i="4"/>
  <c r="B360" i="4" s="1"/>
  <c r="B361" i="4" s="1"/>
  <c r="B362" i="4" s="1"/>
  <c r="B363" i="4" s="1"/>
  <c r="B364" i="4" s="1"/>
  <c r="B365" i="4" s="1"/>
  <c r="B366" i="4" s="1"/>
  <c r="B367" i="4" s="1"/>
  <c r="B368" i="4" s="1"/>
  <c r="B369" i="4" s="1"/>
  <c r="AY43" i="15"/>
  <c r="BY28" i="7" s="1"/>
  <c r="AQ43" i="15"/>
  <c r="BW28" i="7"/>
  <c r="O232" i="4"/>
  <c r="O241" i="4" s="1"/>
  <c r="BH12" i="19"/>
  <c r="M33" i="6"/>
  <c r="AD94" i="5"/>
  <c r="AC94" i="5"/>
  <c r="AR175" i="16"/>
  <c r="AT174" i="16"/>
  <c r="BA174" i="16" s="1"/>
  <c r="L11" i="1"/>
  <c r="L28" i="1" s="1"/>
  <c r="AH111" i="3"/>
  <c r="AI111" i="3" s="1"/>
  <c r="AE111" i="3"/>
  <c r="BE148" i="14"/>
  <c r="AK13" i="22"/>
  <c r="AZ104" i="18"/>
  <c r="AX105" i="18"/>
  <c r="P96" i="3"/>
  <c r="P440" i="3"/>
  <c r="P474" i="3" s="1"/>
  <c r="AI127" i="16"/>
  <c r="AK126" i="16"/>
  <c r="W232" i="21"/>
  <c r="W200" i="21" s="1"/>
  <c r="V233" i="21"/>
  <c r="V201" i="21" s="1"/>
  <c r="U236" i="21"/>
  <c r="U204" i="21" s="1"/>
  <c r="W227" i="21"/>
  <c r="W195" i="21" s="1"/>
  <c r="X236" i="21"/>
  <c r="X204" i="21" s="1"/>
  <c r="X231" i="21"/>
  <c r="X199" i="21" s="1"/>
  <c r="AH101" i="3"/>
  <c r="AI101" i="3" s="1"/>
  <c r="AE101" i="3"/>
  <c r="S9" i="10"/>
  <c r="R10" i="10"/>
  <c r="P160" i="4"/>
  <c r="AY134" i="12"/>
  <c r="AX135" i="12"/>
  <c r="BE137" i="14" s="1"/>
  <c r="AO123" i="22"/>
  <c r="BH16" i="13"/>
  <c r="W298" i="15"/>
  <c r="U142" i="10"/>
  <c r="H13" i="25"/>
  <c r="AI3" i="25"/>
  <c r="AU6" i="15"/>
  <c r="CW6" i="15" s="1"/>
  <c r="M24" i="6"/>
  <c r="AA11" i="22"/>
  <c r="AB10" i="22"/>
  <c r="AL92" i="14"/>
  <c r="AZ91" i="14"/>
  <c r="S44" i="4"/>
  <c r="T104" i="11"/>
  <c r="AT35" i="16"/>
  <c r="AS36" i="16"/>
  <c r="BV33" i="7"/>
  <c r="BA18" i="16"/>
  <c r="T178" i="8"/>
  <c r="V177" i="8"/>
  <c r="N36" i="5"/>
  <c r="N344" i="4"/>
  <c r="N376" i="4" s="1"/>
  <c r="J35" i="5"/>
  <c r="J39" i="5" s="1"/>
  <c r="J79" i="4"/>
  <c r="J341" i="4"/>
  <c r="K245" i="4"/>
  <c r="AH43" i="18"/>
  <c r="BB43" i="18"/>
  <c r="AG44" i="18"/>
  <c r="R46" i="8"/>
  <c r="S45" i="8"/>
  <c r="U345" i="19"/>
  <c r="AZ152" i="14"/>
  <c r="AL153" i="14"/>
  <c r="O55" i="5"/>
  <c r="O76" i="5"/>
  <c r="AD51" i="5"/>
  <c r="AR95" i="22"/>
  <c r="F40" i="6"/>
  <c r="F18" i="6"/>
  <c r="AT44" i="22"/>
  <c r="AQ45" i="22"/>
  <c r="AS7" i="15"/>
  <c r="L6" i="15"/>
  <c r="S56" i="10"/>
  <c r="AC56" i="10" s="1"/>
  <c r="R57" i="10"/>
  <c r="W115" i="26"/>
  <c r="C35" i="5"/>
  <c r="C79" i="4"/>
  <c r="C341" i="4"/>
  <c r="AB176" i="10"/>
  <c r="AA177" i="10"/>
  <c r="M384" i="4"/>
  <c r="AK116" i="16"/>
  <c r="AJ117" i="16"/>
  <c r="AG84" i="3"/>
  <c r="AI84" i="3" s="1"/>
  <c r="AF84" i="3"/>
  <c r="AE84" i="3"/>
  <c r="AB84" i="3"/>
  <c r="O96" i="3"/>
  <c r="O440" i="3"/>
  <c r="O474" i="3" s="1"/>
  <c r="AB85" i="3"/>
  <c r="AJ104" i="18"/>
  <c r="BB103" i="18"/>
  <c r="AH166" i="16"/>
  <c r="AG167" i="16"/>
  <c r="AS165" i="18"/>
  <c r="AP69" i="20"/>
  <c r="AR68" i="20"/>
  <c r="I409" i="3"/>
  <c r="I424" i="3"/>
  <c r="AZ113" i="20"/>
  <c r="K55" i="5"/>
  <c r="K76" i="5"/>
  <c r="AN151" i="16"/>
  <c r="AM152" i="16"/>
  <c r="M23" i="6"/>
  <c r="M22" i="6" s="1"/>
  <c r="AU3" i="15"/>
  <c r="CW3" i="15" s="1"/>
  <c r="AD3" i="17"/>
  <c r="Q94" i="17"/>
  <c r="S89" i="17"/>
  <c r="AW75" i="4"/>
  <c r="AX75" i="4"/>
  <c r="P349" i="4"/>
  <c r="Q109" i="5"/>
  <c r="Q224" i="4"/>
  <c r="Q225" i="4"/>
  <c r="Q226" i="4" s="1"/>
  <c r="E474" i="3"/>
  <c r="R158" i="17"/>
  <c r="R126" i="17" s="1"/>
  <c r="R110" i="17" s="1"/>
  <c r="R128" i="15"/>
  <c r="R112" i="15" s="1"/>
  <c r="M37" i="15"/>
  <c r="AU17" i="15"/>
  <c r="CW17" i="15" s="1"/>
  <c r="M27" i="6"/>
  <c r="E335" i="3"/>
  <c r="E171" i="3"/>
  <c r="E317" i="3" s="1"/>
  <c r="U321" i="19"/>
  <c r="I13" i="25"/>
  <c r="AJ3" i="25"/>
  <c r="T129" i="10"/>
  <c r="V128" i="10"/>
  <c r="P7" i="11"/>
  <c r="BK8" i="11"/>
  <c r="AZ91" i="18"/>
  <c r="AX92" i="18"/>
  <c r="E22" i="7"/>
  <c r="E21" i="7"/>
  <c r="E3" i="6"/>
  <c r="AO8" i="25"/>
  <c r="AF9" i="18"/>
  <c r="BA8" i="18"/>
  <c r="AN19" i="16"/>
  <c r="AM20" i="16"/>
  <c r="BG159" i="12"/>
  <c r="N13" i="25"/>
  <c r="AM141" i="16"/>
  <c r="AN140" i="16"/>
  <c r="AP175" i="13"/>
  <c r="AP10" i="13" s="1"/>
  <c r="R316" i="17"/>
  <c r="H208" i="3"/>
  <c r="H164" i="3"/>
  <c r="I208" i="3"/>
  <c r="I164" i="3"/>
  <c r="BD101" i="18"/>
  <c r="BL12" i="19"/>
  <c r="O33" i="6"/>
  <c r="AB92" i="10"/>
  <c r="AA93" i="10"/>
  <c r="AO69" i="20"/>
  <c r="AL70" i="20"/>
  <c r="AN175" i="13"/>
  <c r="AN10" i="13" s="1"/>
  <c r="AG177" i="20"/>
  <c r="AF178" i="20"/>
  <c r="AQ105" i="22"/>
  <c r="AT104" i="22"/>
  <c r="G332" i="3"/>
  <c r="G168" i="3"/>
  <c r="G314" i="3" s="1"/>
  <c r="Q342" i="13"/>
  <c r="AZ29" i="20"/>
  <c r="AI19" i="18"/>
  <c r="BA18" i="18"/>
  <c r="BC18" i="18" s="1"/>
  <c r="AK18" i="18"/>
  <c r="AI68" i="20"/>
  <c r="AT67" i="20"/>
  <c r="AX67" i="20" s="1"/>
  <c r="AB56" i="8"/>
  <c r="AC56" i="8" s="1"/>
  <c r="AA57" i="8"/>
  <c r="H345" i="3"/>
  <c r="AX88" i="12"/>
  <c r="AY87" i="12"/>
  <c r="AI132" i="3"/>
  <c r="AL164" i="14"/>
  <c r="AZ163" i="14"/>
  <c r="S232" i="3"/>
  <c r="M451" i="3"/>
  <c r="M484" i="3" s="1"/>
  <c r="AD95" i="3"/>
  <c r="AZ139" i="14"/>
  <c r="AL140" i="14"/>
  <c r="AN139" i="14"/>
  <c r="K33" i="23"/>
  <c r="AL33" i="23" s="1"/>
  <c r="P328" i="3"/>
  <c r="P192" i="3"/>
  <c r="P164" i="3"/>
  <c r="M15" i="7"/>
  <c r="BL12" i="7"/>
  <c r="M17" i="6"/>
  <c r="W233" i="21"/>
  <c r="W201" i="21" s="1"/>
  <c r="T234" i="21"/>
  <c r="T202" i="21" s="1"/>
  <c r="X225" i="21"/>
  <c r="T228" i="21"/>
  <c r="T196" i="21" s="1"/>
  <c r="X229" i="21"/>
  <c r="X197" i="21" s="1"/>
  <c r="U232" i="21"/>
  <c r="U200" i="21" s="1"/>
  <c r="V322" i="19"/>
  <c r="J329" i="3"/>
  <c r="AD329" i="3" s="1"/>
  <c r="AC181" i="3"/>
  <c r="J165" i="3"/>
  <c r="AD181" i="3"/>
  <c r="BG20" i="13"/>
  <c r="AY115" i="20"/>
  <c r="P111" i="4"/>
  <c r="P128" i="4" s="1"/>
  <c r="AA17" i="17"/>
  <c r="BB17" i="17"/>
  <c r="AG49" i="22"/>
  <c r="AH48" i="22"/>
  <c r="O16" i="6"/>
  <c r="BP9" i="7"/>
  <c r="AY3" i="15"/>
  <c r="O23" i="6"/>
  <c r="Q20" i="5"/>
  <c r="AX72" i="18"/>
  <c r="AZ71" i="18"/>
  <c r="V105" i="8"/>
  <c r="U106" i="8"/>
  <c r="AS141" i="18"/>
  <c r="B334" i="3"/>
  <c r="B170" i="3"/>
  <c r="B316" i="3" s="1"/>
  <c r="Q112" i="15"/>
  <c r="BC112" i="15" s="1"/>
  <c r="BC128" i="15"/>
  <c r="AS230" i="4"/>
  <c r="K33" i="6"/>
  <c r="AM12" i="21"/>
  <c r="BC12" i="11"/>
  <c r="AJ14" i="11"/>
  <c r="AJ241" i="11" s="1"/>
  <c r="AQ14" i="11"/>
  <c r="AQ241" i="11" s="1"/>
  <c r="AK14" i="11"/>
  <c r="AK241" i="11" s="1"/>
  <c r="AI14" i="11"/>
  <c r="AI241" i="11" s="1"/>
  <c r="R133" i="21"/>
  <c r="R141" i="21" s="1"/>
  <c r="R8" i="21" s="1"/>
  <c r="N373" i="19"/>
  <c r="BJ6" i="19"/>
  <c r="BJ371" i="19" s="1"/>
  <c r="N30" i="19"/>
  <c r="N31" i="6"/>
  <c r="BA27" i="13"/>
  <c r="I3" i="2"/>
  <c r="AJ38" i="20"/>
  <c r="O36" i="5"/>
  <c r="AS70" i="4"/>
  <c r="O344" i="4"/>
  <c r="O376" i="4" s="1"/>
  <c r="S164" i="24"/>
  <c r="R165" i="24"/>
  <c r="AQ129" i="16"/>
  <c r="AP130" i="16"/>
  <c r="S360" i="13"/>
  <c r="S344" i="13" s="1"/>
  <c r="S249" i="3"/>
  <c r="S201" i="4"/>
  <c r="U135" i="19"/>
  <c r="V135" i="19" s="1"/>
  <c r="S128" i="8"/>
  <c r="R129" i="8"/>
  <c r="S133" i="19"/>
  <c r="AA92" i="22"/>
  <c r="AB91" i="22"/>
  <c r="R96" i="17"/>
  <c r="BM11" i="11"/>
  <c r="Q193" i="11"/>
  <c r="Q14" i="1"/>
  <c r="I48" i="13"/>
  <c r="AW103" i="18"/>
  <c r="AV104" i="18"/>
  <c r="S347" i="11"/>
  <c r="T379" i="11" s="1"/>
  <c r="AG401" i="3"/>
  <c r="AF401" i="3"/>
  <c r="Q229" i="4"/>
  <c r="AX66" i="14"/>
  <c r="AW67" i="14"/>
  <c r="C5" i="2"/>
  <c r="E96" i="3"/>
  <c r="E440" i="3"/>
  <c r="AD92" i="3"/>
  <c r="AH92" i="3" s="1"/>
  <c r="J448" i="3"/>
  <c r="L54" i="5"/>
  <c r="L79" i="5" s="1"/>
  <c r="L76" i="4"/>
  <c r="AU76" i="4" s="1"/>
  <c r="L157" i="4"/>
  <c r="L173" i="4" s="1"/>
  <c r="L96" i="3"/>
  <c r="L440" i="3"/>
  <c r="K175" i="4"/>
  <c r="AT143" i="4"/>
  <c r="AX129" i="18"/>
  <c r="AZ128" i="18"/>
  <c r="AE100" i="3"/>
  <c r="AN3" i="23"/>
  <c r="M13" i="23"/>
  <c r="M35" i="6"/>
  <c r="M34" i="6" s="1"/>
  <c r="AY150" i="20"/>
  <c r="AV150" i="20"/>
  <c r="AC57" i="20"/>
  <c r="AD56" i="20"/>
  <c r="AA157" i="10"/>
  <c r="AB156" i="10"/>
  <c r="AW56" i="18"/>
  <c r="AV57" i="18"/>
  <c r="AS156" i="16"/>
  <c r="K174" i="4"/>
  <c r="AT142" i="4"/>
  <c r="AU142" i="4" s="1"/>
  <c r="Q328" i="13"/>
  <c r="J27" i="11"/>
  <c r="Y82" i="20"/>
  <c r="AS81" i="20"/>
  <c r="AC67" i="10"/>
  <c r="T35" i="4"/>
  <c r="G164" i="3"/>
  <c r="G192" i="3"/>
  <c r="G328" i="3"/>
  <c r="BA12" i="11"/>
  <c r="Q14" i="11"/>
  <c r="B328" i="3"/>
  <c r="B164" i="3"/>
  <c r="B192" i="3"/>
  <c r="AD91" i="3"/>
  <c r="AH91" i="3" s="1"/>
  <c r="K447" i="3"/>
  <c r="AD447" i="3" s="1"/>
  <c r="AH447" i="3" s="1"/>
  <c r="N208" i="3"/>
  <c r="AG108" i="22"/>
  <c r="AH107" i="22"/>
  <c r="R100" i="5"/>
  <c r="P160" i="3"/>
  <c r="AT329" i="11"/>
  <c r="AV114" i="20"/>
  <c r="AZ114" i="20" s="1"/>
  <c r="AW114" i="20"/>
  <c r="AO57" i="22"/>
  <c r="AP56" i="22"/>
  <c r="BB42" i="11"/>
  <c r="K234" i="4"/>
  <c r="K241" i="4" s="1"/>
  <c r="AF44" i="20"/>
  <c r="AG43" i="20"/>
  <c r="AU77" i="4"/>
  <c r="AY77" i="4" s="1"/>
  <c r="K351" i="4"/>
  <c r="AU105" i="22"/>
  <c r="AJ106" i="22"/>
  <c r="AD127" i="20"/>
  <c r="AC128" i="20"/>
  <c r="AY54" i="20"/>
  <c r="S8" i="24"/>
  <c r="R9" i="24"/>
  <c r="K160" i="4"/>
  <c r="P233" i="4"/>
  <c r="AS233" i="4" s="1"/>
  <c r="O47" i="19"/>
  <c r="O46" i="19"/>
  <c r="BL45" i="19"/>
  <c r="Q93" i="17"/>
  <c r="S92" i="17"/>
  <c r="AS22" i="18"/>
  <c r="AT21" i="18"/>
  <c r="E329" i="3"/>
  <c r="E165" i="3"/>
  <c r="E311" i="3" s="1"/>
  <c r="E192" i="3"/>
  <c r="Q69" i="26"/>
  <c r="S68" i="26"/>
  <c r="AT67" i="22"/>
  <c r="AW67" i="22" s="1"/>
  <c r="AQ68" i="22"/>
  <c r="T160" i="15"/>
  <c r="BI35" i="15"/>
  <c r="AK57" i="14"/>
  <c r="AC9" i="20"/>
  <c r="AD8" i="20"/>
  <c r="O120" i="5"/>
  <c r="AL56" i="14"/>
  <c r="AN56" i="14" s="1"/>
  <c r="AZ55" i="14"/>
  <c r="X337" i="19"/>
  <c r="AY41" i="15"/>
  <c r="BY26" i="7" s="1"/>
  <c r="AQ41" i="15"/>
  <c r="AQ8" i="22"/>
  <c r="AT7" i="22"/>
  <c r="AZ17" i="17"/>
  <c r="Y17" i="17"/>
  <c r="AF81" i="18"/>
  <c r="AC81" i="20"/>
  <c r="AD80" i="20"/>
  <c r="AR163" i="18"/>
  <c r="BA163" i="18" s="1"/>
  <c r="BC163" i="18" s="1"/>
  <c r="BD163" i="18" s="1"/>
  <c r="AT162" i="18"/>
  <c r="M27" i="13"/>
  <c r="AO153" i="22"/>
  <c r="AP152" i="22"/>
  <c r="AZ152" i="16"/>
  <c r="AX153" i="16"/>
  <c r="AG188" i="3"/>
  <c r="AI188" i="3" s="1"/>
  <c r="AF188" i="3"/>
  <c r="AE188" i="3"/>
  <c r="O336" i="3"/>
  <c r="O172" i="3"/>
  <c r="H96" i="3"/>
  <c r="H440" i="3"/>
  <c r="I96" i="3"/>
  <c r="I440" i="3"/>
  <c r="I474" i="3" s="1"/>
  <c r="O48" i="13"/>
  <c r="R363" i="13"/>
  <c r="R347" i="13" s="1"/>
  <c r="R331" i="13" s="1"/>
  <c r="R333" i="11"/>
  <c r="R188" i="4" s="1"/>
  <c r="R204" i="4"/>
  <c r="R252" i="3"/>
  <c r="R236" i="3" s="1"/>
  <c r="P48" i="13"/>
  <c r="S58" i="8"/>
  <c r="R59" i="8"/>
  <c r="AI103" i="18"/>
  <c r="AK103" i="18" s="1"/>
  <c r="BA102" i="18"/>
  <c r="BC102" i="18" s="1"/>
  <c r="BD102" i="18" s="1"/>
  <c r="D335" i="3"/>
  <c r="D171" i="3"/>
  <c r="D317" i="3" s="1"/>
  <c r="U58" i="8"/>
  <c r="V57" i="8"/>
  <c r="AN44" i="18"/>
  <c r="AM45" i="18"/>
  <c r="AK39" i="22"/>
  <c r="AM80" i="20"/>
  <c r="AO79" i="20"/>
  <c r="S131" i="10"/>
  <c r="R132" i="10"/>
  <c r="AO175" i="13"/>
  <c r="AO10" i="13" s="1"/>
  <c r="AX72" i="4"/>
  <c r="AZ72" i="4" s="1"/>
  <c r="AW72" i="4"/>
  <c r="AV72" i="4"/>
  <c r="P346" i="4"/>
  <c r="Q329" i="13"/>
  <c r="V32" i="8"/>
  <c r="U33" i="8"/>
  <c r="AP127" i="22"/>
  <c r="AO128" i="22"/>
  <c r="AV127" i="22"/>
  <c r="Q327" i="13"/>
  <c r="AN19" i="14"/>
  <c r="AK20" i="14"/>
  <c r="AG165" i="22"/>
  <c r="AH164" i="22"/>
  <c r="S328" i="19"/>
  <c r="T344" i="19"/>
  <c r="AQ25" i="22"/>
  <c r="O160" i="3"/>
  <c r="AW80" i="16"/>
  <c r="AV81" i="16"/>
  <c r="BF3" i="19"/>
  <c r="L23" i="19"/>
  <c r="L30" i="6"/>
  <c r="L7" i="11"/>
  <c r="BC8" i="11"/>
  <c r="M339" i="3"/>
  <c r="AD339" i="3" s="1"/>
  <c r="M175" i="3"/>
  <c r="AD191" i="3"/>
  <c r="AC191" i="3"/>
  <c r="BD48" i="11"/>
  <c r="L240" i="4"/>
  <c r="P484" i="3"/>
  <c r="K28" i="17"/>
  <c r="I23" i="19"/>
  <c r="I6" i="6" s="1"/>
  <c r="I30" i="6"/>
  <c r="I29" i="6" s="1"/>
  <c r="AK3" i="21"/>
  <c r="N171" i="3"/>
  <c r="N317" i="3" s="1"/>
  <c r="N335" i="3"/>
  <c r="AF335" i="3" s="1"/>
  <c r="AF187" i="3"/>
  <c r="Z227" i="21"/>
  <c r="Z195" i="21" s="1"/>
  <c r="U235" i="21"/>
  <c r="U203" i="21" s="1"/>
  <c r="U226" i="21"/>
  <c r="U194" i="21" s="1"/>
  <c r="T229" i="21"/>
  <c r="T197" i="21" s="1"/>
  <c r="U230" i="21"/>
  <c r="U198" i="21" s="1"/>
  <c r="R233" i="21"/>
  <c r="R201" i="21" s="1"/>
  <c r="BL3" i="19"/>
  <c r="O23" i="19"/>
  <c r="O30" i="6"/>
  <c r="O29" i="6" s="1"/>
  <c r="R153" i="17"/>
  <c r="R121" i="17" s="1"/>
  <c r="R105" i="17" s="1"/>
  <c r="BB19" i="18"/>
  <c r="AH19" i="18"/>
  <c r="AG20" i="18"/>
  <c r="AT21" i="20"/>
  <c r="AI22" i="20"/>
  <c r="AR141" i="20"/>
  <c r="AP142" i="20"/>
  <c r="T110" i="11"/>
  <c r="M349" i="4"/>
  <c r="M381" i="4" s="1"/>
  <c r="Q110" i="13"/>
  <c r="Q47" i="3" s="1"/>
  <c r="BM112" i="11"/>
  <c r="AT112" i="11"/>
  <c r="Q46" i="4"/>
  <c r="Q47" i="4" s="1"/>
  <c r="R319" i="17"/>
  <c r="F96" i="5"/>
  <c r="E475" i="3"/>
  <c r="V91" i="8"/>
  <c r="AC91" i="8" s="1"/>
  <c r="AD91" i="8" s="1"/>
  <c r="U92" i="8"/>
  <c r="AT141" i="4"/>
  <c r="AU141" i="4" s="1"/>
  <c r="P475" i="3"/>
  <c r="S36" i="4"/>
  <c r="Q321" i="17"/>
  <c r="BC307" i="15"/>
  <c r="J480" i="3"/>
  <c r="AS118" i="16"/>
  <c r="Q55" i="5"/>
  <c r="Q76" i="5"/>
  <c r="K38" i="5"/>
  <c r="K350" i="4"/>
  <c r="K382" i="4" s="1"/>
  <c r="AC94" i="20"/>
  <c r="AG152" i="22"/>
  <c r="AH151" i="22"/>
  <c r="BA42" i="16"/>
  <c r="AG93" i="16"/>
  <c r="AH92" i="16"/>
  <c r="Q107" i="15"/>
  <c r="BC123" i="15"/>
  <c r="AL33" i="20"/>
  <c r="AO32" i="20"/>
  <c r="S44" i="10"/>
  <c r="R45" i="10"/>
  <c r="AC44" i="20"/>
  <c r="AD43" i="20"/>
  <c r="AU43" i="20"/>
  <c r="AY43" i="20" s="1"/>
  <c r="M373" i="19"/>
  <c r="BH6" i="19"/>
  <c r="BH371" i="19" s="1"/>
  <c r="M30" i="19"/>
  <c r="M31" i="6"/>
  <c r="V144" i="8"/>
  <c r="U145" i="8"/>
  <c r="AN120" i="22"/>
  <c r="AP119" i="22"/>
  <c r="AF34" i="20"/>
  <c r="AD144" i="3"/>
  <c r="AR57" i="22"/>
  <c r="AS56" i="22"/>
  <c r="N54" i="5"/>
  <c r="N79" i="5" s="1"/>
  <c r="N87" i="5" s="1"/>
  <c r="N120" i="5" s="1"/>
  <c r="N157" i="4"/>
  <c r="N160" i="4" s="1"/>
  <c r="AI176" i="20"/>
  <c r="AT175" i="20"/>
  <c r="AX175" i="20" s="1"/>
  <c r="L65" i="6"/>
  <c r="K168" i="3"/>
  <c r="K314" i="3" s="1"/>
  <c r="K332" i="3"/>
  <c r="AC184" i="3"/>
  <c r="AD184" i="3"/>
  <c r="AY30" i="14"/>
  <c r="BB30" i="14" s="1"/>
  <c r="BE30" i="14" s="1"/>
  <c r="AS121" i="11"/>
  <c r="AS122" i="11"/>
  <c r="BN37" i="7"/>
  <c r="N38" i="7"/>
  <c r="S129" i="21"/>
  <c r="BC124" i="15"/>
  <c r="Q108" i="15"/>
  <c r="BC108" i="15" s="1"/>
  <c r="AE84" i="22"/>
  <c r="AD85" i="22"/>
  <c r="AX176" i="16"/>
  <c r="AZ175" i="16"/>
  <c r="AK152" i="20"/>
  <c r="AJ153" i="20"/>
  <c r="R87" i="17"/>
  <c r="AX78" i="4"/>
  <c r="AW78" i="4"/>
  <c r="P352" i="4"/>
  <c r="AG9" i="18"/>
  <c r="AH8" i="18"/>
  <c r="AJ176" i="16"/>
  <c r="AK175" i="16"/>
  <c r="AR104" i="22"/>
  <c r="AV103" i="22"/>
  <c r="AS103" i="22"/>
  <c r="I21" i="7"/>
  <c r="I3" i="6"/>
  <c r="T320" i="17"/>
  <c r="BR6" i="7"/>
  <c r="P15" i="6"/>
  <c r="O22" i="7"/>
  <c r="U180" i="8"/>
  <c r="S54" i="11"/>
  <c r="AS178" i="16"/>
  <c r="L15" i="6"/>
  <c r="BJ6" i="7"/>
  <c r="K22" i="7"/>
  <c r="AE144" i="3"/>
  <c r="V235" i="21"/>
  <c r="V203" i="21" s="1"/>
  <c r="T225" i="21"/>
  <c r="AW102" i="20"/>
  <c r="AV102" i="20"/>
  <c r="AS67" i="22"/>
  <c r="AR68" i="22"/>
  <c r="AV67" i="22"/>
  <c r="U104" i="11"/>
  <c r="BM57" i="11"/>
  <c r="AT57" i="11"/>
  <c r="AO166" i="20"/>
  <c r="AL167" i="20"/>
  <c r="AQ6" i="21"/>
  <c r="BC151" i="18"/>
  <c r="AP68" i="14"/>
  <c r="AZ67" i="14"/>
  <c r="AD151" i="20"/>
  <c r="AC152" i="20"/>
  <c r="AU151" i="20"/>
  <c r="AK8" i="18"/>
  <c r="AJ9" i="18"/>
  <c r="G96" i="3"/>
  <c r="G440" i="3"/>
  <c r="S95" i="8"/>
  <c r="R96" i="8"/>
  <c r="AH107" i="3"/>
  <c r="AI107" i="3" s="1"/>
  <c r="AE107" i="3"/>
  <c r="U55" i="26"/>
  <c r="V54" i="26"/>
  <c r="W54" i="26" s="1"/>
  <c r="AK154" i="16"/>
  <c r="AJ155" i="16"/>
  <c r="BB113" i="14"/>
  <c r="BC125" i="14" s="1"/>
  <c r="AS71" i="4"/>
  <c r="O345" i="4"/>
  <c r="AV80" i="20"/>
  <c r="AB68" i="10"/>
  <c r="AA69" i="10"/>
  <c r="AG203" i="3"/>
  <c r="AI203" i="3" s="1"/>
  <c r="AF203" i="3"/>
  <c r="AE203" i="3"/>
  <c r="O171" i="3"/>
  <c r="R106" i="26"/>
  <c r="K171" i="3"/>
  <c r="K335" i="3"/>
  <c r="AD187" i="3"/>
  <c r="AC187" i="3"/>
  <c r="N381" i="4"/>
  <c r="AD400" i="3"/>
  <c r="AH400" i="3" s="1"/>
  <c r="P3" i="23"/>
  <c r="AT4" i="23"/>
  <c r="N37" i="5"/>
  <c r="R228" i="3"/>
  <c r="AJ81" i="20"/>
  <c r="AK80" i="20"/>
  <c r="AO115" i="20"/>
  <c r="AL116" i="20"/>
  <c r="AS115" i="20"/>
  <c r="BD16" i="13"/>
  <c r="AI23" i="21"/>
  <c r="G30" i="21"/>
  <c r="G5" i="2"/>
  <c r="AL8" i="14"/>
  <c r="AZ7" i="14"/>
  <c r="AN7" i="14"/>
  <c r="AG44" i="16"/>
  <c r="AH43" i="16"/>
  <c r="G40" i="6"/>
  <c r="G18" i="6"/>
  <c r="T94" i="17"/>
  <c r="Q91" i="17"/>
  <c r="AW66" i="22"/>
  <c r="T356" i="13"/>
  <c r="T340" i="13" s="1"/>
  <c r="T197" i="4"/>
  <c r="T245" i="3"/>
  <c r="CW18" i="15"/>
  <c r="AO165" i="14"/>
  <c r="AX6" i="14"/>
  <c r="AW7" i="14"/>
  <c r="AY7" i="14" s="1"/>
  <c r="BB7" i="14" s="1"/>
  <c r="J208" i="3"/>
  <c r="AD196" i="3"/>
  <c r="AH196" i="3" s="1"/>
  <c r="AC196" i="3"/>
  <c r="AC208" i="3" s="1"/>
  <c r="AY78" i="14"/>
  <c r="BB78" i="14" s="1"/>
  <c r="R231" i="3"/>
  <c r="AW6" i="22"/>
  <c r="AA10" i="10"/>
  <c r="AB9" i="10"/>
  <c r="AK23" i="21"/>
  <c r="I30" i="21"/>
  <c r="I5" i="2"/>
  <c r="S69" i="10"/>
  <c r="R70" i="10"/>
  <c r="H28" i="15"/>
  <c r="H5" i="6" s="1"/>
  <c r="BE3" i="13"/>
  <c r="I171" i="3"/>
  <c r="I317" i="3" s="1"/>
  <c r="I335" i="3"/>
  <c r="AF94" i="18"/>
  <c r="E375" i="4"/>
  <c r="S349" i="11"/>
  <c r="T318" i="17"/>
  <c r="AN93" i="18"/>
  <c r="AM94" i="18"/>
  <c r="BJ35" i="15"/>
  <c r="AW18" i="15"/>
  <c r="N17" i="15"/>
  <c r="AR23" i="20"/>
  <c r="AP24" i="20"/>
  <c r="H409" i="3"/>
  <c r="H424" i="3"/>
  <c r="Y94" i="20"/>
  <c r="AB81" i="10"/>
  <c r="AA82" i="10"/>
  <c r="Z175" i="13"/>
  <c r="Z10" i="13" s="1"/>
  <c r="BC161" i="14"/>
  <c r="L480" i="3"/>
  <c r="P16" i="6"/>
  <c r="BR9" i="7"/>
  <c r="AP22" i="18"/>
  <c r="AQ21" i="18"/>
  <c r="AF118" i="18"/>
  <c r="AJ131" i="16"/>
  <c r="BG21" i="11"/>
  <c r="N20" i="11"/>
  <c r="AG393" i="3"/>
  <c r="AI393" i="3" s="1"/>
  <c r="AF393" i="3"/>
  <c r="AE393" i="3"/>
  <c r="Q43" i="24"/>
  <c r="S42" i="24"/>
  <c r="W42" i="24" s="1"/>
  <c r="L443" i="3"/>
  <c r="L477" i="3" s="1"/>
  <c r="G80" i="5"/>
  <c r="AP57" i="20"/>
  <c r="AR56" i="20"/>
  <c r="AE132" i="3"/>
  <c r="AI139" i="18"/>
  <c r="AK138" i="18"/>
  <c r="T108" i="11"/>
  <c r="AX69" i="4"/>
  <c r="AZ69" i="4" s="1"/>
  <c r="AW69" i="4"/>
  <c r="AV69" i="4"/>
  <c r="P343" i="4"/>
  <c r="P375" i="4" s="1"/>
  <c r="AR21" i="22"/>
  <c r="AS20" i="22"/>
  <c r="AV20" i="22"/>
  <c r="AM128" i="16"/>
  <c r="AN127" i="16"/>
  <c r="Y11" i="17"/>
  <c r="AD128" i="22"/>
  <c r="AE127" i="22"/>
  <c r="BJ12" i="19"/>
  <c r="N33" i="6"/>
  <c r="S53" i="11"/>
  <c r="BA92" i="14"/>
  <c r="AM93" i="14"/>
  <c r="N447" i="3"/>
  <c r="N480" i="3" s="1"/>
  <c r="V234" i="21"/>
  <c r="V202" i="21" s="1"/>
  <c r="X232" i="21"/>
  <c r="X200" i="21" s="1"/>
  <c r="R227" i="21"/>
  <c r="R195" i="21" s="1"/>
  <c r="X227" i="21"/>
  <c r="X195" i="21" s="1"/>
  <c r="R231" i="21"/>
  <c r="R199" i="21" s="1"/>
  <c r="F480" i="3"/>
  <c r="AA116" i="20"/>
  <c r="AU116" i="20"/>
  <c r="AY116" i="20" s="1"/>
  <c r="Z117" i="20"/>
  <c r="I27" i="11"/>
  <c r="M96" i="3"/>
  <c r="M440" i="3"/>
  <c r="M474" i="3" s="1"/>
  <c r="AM69" i="16"/>
  <c r="AN68" i="16"/>
  <c r="AU139" i="22"/>
  <c r="AW139" i="22" s="1"/>
  <c r="AJ140" i="22"/>
  <c r="AI9" i="20"/>
  <c r="AT8" i="20"/>
  <c r="AX20" i="20" s="1"/>
  <c r="AK115" i="18"/>
  <c r="AJ116" i="18"/>
  <c r="BB115" i="18"/>
  <c r="F378" i="4"/>
  <c r="R82" i="24"/>
  <c r="R44" i="4"/>
  <c r="AI154" i="20"/>
  <c r="AT153" i="20"/>
  <c r="AX153" i="20" s="1"/>
  <c r="S319" i="17"/>
  <c r="S153" i="8"/>
  <c r="R154" i="8"/>
  <c r="B346" i="4"/>
  <c r="B36" i="5"/>
  <c r="S76" i="11"/>
  <c r="AR176" i="20"/>
  <c r="AP177" i="20"/>
  <c r="Q414" i="13"/>
  <c r="Q287" i="3" s="1"/>
  <c r="Q303" i="3" s="1"/>
  <c r="BM384" i="11"/>
  <c r="AT384" i="11"/>
  <c r="Q223" i="4"/>
  <c r="Q111" i="5" s="1"/>
  <c r="D409" i="3"/>
  <c r="R102" i="5"/>
  <c r="R71" i="26"/>
  <c r="E48" i="13"/>
  <c r="BD173" i="16"/>
  <c r="BQ171" i="12" s="1"/>
  <c r="BG171" i="12" s="1"/>
  <c r="BB173" i="16"/>
  <c r="AX54" i="11"/>
  <c r="F168" i="4"/>
  <c r="F144" i="4"/>
  <c r="AD52" i="5"/>
  <c r="AC52" i="5"/>
  <c r="P77" i="5"/>
  <c r="Y8" i="10"/>
  <c r="X9" i="10"/>
  <c r="AG165" i="18"/>
  <c r="BB164" i="18"/>
  <c r="K478" i="3"/>
  <c r="Y33" i="20"/>
  <c r="AN163" i="14"/>
  <c r="AK164" i="14"/>
  <c r="AY163" i="14"/>
  <c r="BB163" i="14" s="1"/>
  <c r="M235" i="4"/>
  <c r="BD150" i="18"/>
  <c r="AH152" i="16"/>
  <c r="AG153" i="16"/>
  <c r="P79" i="4"/>
  <c r="C144" i="4"/>
  <c r="C164" i="4"/>
  <c r="C176" i="4" s="1"/>
  <c r="BC126" i="15"/>
  <c r="Q110" i="15"/>
  <c r="BC110" i="15" s="1"/>
  <c r="BM330" i="11"/>
  <c r="AT330" i="11"/>
  <c r="Q185" i="4"/>
  <c r="AH162" i="8"/>
  <c r="BO160" i="12" s="1"/>
  <c r="AD162" i="8"/>
  <c r="G27" i="13"/>
  <c r="AI100" i="3"/>
  <c r="AY150" i="22"/>
  <c r="AY162" i="22"/>
  <c r="AD19" i="20"/>
  <c r="AC20" i="20"/>
  <c r="AM177" i="18"/>
  <c r="AN176" i="18"/>
  <c r="Q156" i="17"/>
  <c r="Q124" i="17" s="1"/>
  <c r="Q108" i="17" s="1"/>
  <c r="D481" i="3"/>
  <c r="D482" i="3"/>
  <c r="AF88" i="3"/>
  <c r="N444" i="3"/>
  <c r="AV175" i="22"/>
  <c r="AZ175" i="22" s="1"/>
  <c r="AD116" i="20"/>
  <c r="AC117" i="20"/>
  <c r="AJ9" i="16"/>
  <c r="AK8" i="16"/>
  <c r="Y105" i="10"/>
  <c r="X106" i="10"/>
  <c r="O328" i="3"/>
  <c r="O192" i="3"/>
  <c r="AF180" i="3"/>
  <c r="AG180" i="3"/>
  <c r="O164" i="3"/>
  <c r="AI79" i="18"/>
  <c r="AK78" i="18"/>
  <c r="BA78" i="18"/>
  <c r="BC78" i="18" s="1"/>
  <c r="BD78" i="18" s="1"/>
  <c r="AU151" i="22"/>
  <c r="AJ152" i="22"/>
  <c r="Y178" i="20"/>
  <c r="AN175" i="16"/>
  <c r="AM176" i="16"/>
  <c r="L25" i="6"/>
  <c r="K23" i="19"/>
  <c r="K6" i="6" s="1"/>
  <c r="K30" i="6"/>
  <c r="K29" i="6" s="1"/>
  <c r="E20" i="6"/>
  <c r="E41" i="6" s="1"/>
  <c r="E27" i="11"/>
  <c r="Z69" i="20"/>
  <c r="AA68" i="20"/>
  <c r="AU68" i="20"/>
  <c r="D336" i="3"/>
  <c r="D172" i="3"/>
  <c r="D318" i="3" s="1"/>
  <c r="AU74" i="4"/>
  <c r="AY74" i="4" s="1"/>
  <c r="K348" i="4"/>
  <c r="K380" i="4" s="1"/>
  <c r="Q33" i="10"/>
  <c r="S32" i="10"/>
  <c r="AO115" i="14"/>
  <c r="AR114" i="14"/>
  <c r="AY114" i="14"/>
  <c r="BB114" i="14" s="1"/>
  <c r="W18" i="24"/>
  <c r="AE128" i="3"/>
  <c r="Q409" i="17"/>
  <c r="Q418" i="17" s="1"/>
  <c r="Q434" i="17"/>
  <c r="Q26" i="17" s="1"/>
  <c r="AL151" i="22"/>
  <c r="AK152" i="22"/>
  <c r="BD125" i="18"/>
  <c r="N86" i="5"/>
  <c r="S325" i="11"/>
  <c r="S355" i="13"/>
  <c r="S244" i="3"/>
  <c r="S196" i="4"/>
  <c r="T373" i="11"/>
  <c r="V150" i="24"/>
  <c r="W150" i="24" s="1"/>
  <c r="U151" i="24"/>
  <c r="P97" i="3"/>
  <c r="P445" i="3"/>
  <c r="AV8" i="16"/>
  <c r="AW7" i="16"/>
  <c r="BA7" i="16" s="1"/>
  <c r="V31" i="24"/>
  <c r="W31" i="24" s="1"/>
  <c r="U32" i="24"/>
  <c r="AP164" i="16"/>
  <c r="AQ163" i="16"/>
  <c r="AD143" i="22"/>
  <c r="AE142" i="22"/>
  <c r="U122" i="10"/>
  <c r="L309" i="4"/>
  <c r="L304" i="4"/>
  <c r="R93" i="17"/>
  <c r="T92" i="17"/>
  <c r="Q279" i="3"/>
  <c r="D345" i="4"/>
  <c r="D36" i="5"/>
  <c r="AQ32" i="16"/>
  <c r="AP33" i="16"/>
  <c r="S356" i="13"/>
  <c r="S340" i="13" s="1"/>
  <c r="S324" i="13" s="1"/>
  <c r="S326" i="11"/>
  <c r="S197" i="4"/>
  <c r="S245" i="3"/>
  <c r="S229" i="3" s="1"/>
  <c r="T374" i="11"/>
  <c r="T326" i="11" s="1"/>
  <c r="AM61" i="14"/>
  <c r="H374" i="19"/>
  <c r="H389" i="19"/>
  <c r="H375" i="19"/>
  <c r="H407" i="19"/>
  <c r="AI143" i="20"/>
  <c r="AT142" i="20"/>
  <c r="AD128" i="3"/>
  <c r="AN79" i="14"/>
  <c r="AK80" i="14"/>
  <c r="AM82" i="14"/>
  <c r="AC8" i="10"/>
  <c r="AR115" i="16"/>
  <c r="AT114" i="16"/>
  <c r="BA114" i="16" s="1"/>
  <c r="O35" i="5"/>
  <c r="O79" i="4"/>
  <c r="AS67" i="4"/>
  <c r="O341" i="4"/>
  <c r="M480" i="3"/>
  <c r="J96" i="5"/>
  <c r="E22" i="6"/>
  <c r="O230" i="4"/>
  <c r="AQ154" i="16"/>
  <c r="AP155" i="16"/>
  <c r="T302" i="15"/>
  <c r="V377" i="11"/>
  <c r="AD66" i="8"/>
  <c r="U304" i="15"/>
  <c r="N25" i="6"/>
  <c r="N35" i="5"/>
  <c r="N79" i="4"/>
  <c r="N341" i="4"/>
  <c r="N374" i="4" s="1"/>
  <c r="AR79" i="16"/>
  <c r="AT78" i="16"/>
  <c r="BA78" i="16" s="1"/>
  <c r="AV79" i="22"/>
  <c r="AS79" i="22"/>
  <c r="AR80" i="22"/>
  <c r="AJ22" i="18"/>
  <c r="Q440" i="3"/>
  <c r="N347" i="4"/>
  <c r="AD102" i="8"/>
  <c r="AB68" i="8"/>
  <c r="AA69" i="8"/>
  <c r="G337" i="3"/>
  <c r="G173" i="3"/>
  <c r="G319" i="3" s="1"/>
  <c r="AS163" i="14"/>
  <c r="AV162" i="14"/>
  <c r="N336" i="3"/>
  <c r="N172" i="3"/>
  <c r="N318" i="3" s="1"/>
  <c r="AK24" i="22"/>
  <c r="BK43" i="11"/>
  <c r="BH45" i="11"/>
  <c r="P235" i="4"/>
  <c r="AS235" i="4" s="1"/>
  <c r="BC3" i="11"/>
  <c r="L19" i="6"/>
  <c r="AR43" i="18"/>
  <c r="AT42" i="18"/>
  <c r="L331" i="3"/>
  <c r="L167" i="3"/>
  <c r="L313" i="3" s="1"/>
  <c r="AJ116" i="22"/>
  <c r="AU115" i="22"/>
  <c r="AZ11" i="17"/>
  <c r="AU8" i="22"/>
  <c r="AJ9" i="22"/>
  <c r="AL8" i="22"/>
  <c r="E49" i="11"/>
  <c r="E229" i="4"/>
  <c r="R226" i="21"/>
  <c r="R194" i="21" s="1"/>
  <c r="Y233" i="21"/>
  <c r="Y201" i="21" s="1"/>
  <c r="Q230" i="21"/>
  <c r="Q198" i="21" s="1"/>
  <c r="U228" i="21"/>
  <c r="U196" i="21" s="1"/>
  <c r="Y236" i="21"/>
  <c r="Y204" i="21" s="1"/>
  <c r="F171" i="3"/>
  <c r="F317" i="3" s="1"/>
  <c r="F335" i="3"/>
  <c r="AQ44" i="18"/>
  <c r="AP45" i="18"/>
  <c r="U140" i="26"/>
  <c r="V139" i="26"/>
  <c r="BC185" i="14"/>
  <c r="L23" i="6"/>
  <c r="AS3" i="15"/>
  <c r="R230" i="3"/>
  <c r="W125" i="26"/>
  <c r="AX163" i="22"/>
  <c r="AW163" i="22"/>
  <c r="U9" i="10"/>
  <c r="V8" i="10"/>
  <c r="U343" i="11"/>
  <c r="V343" i="11" s="1"/>
  <c r="BD8" i="13"/>
  <c r="T319" i="17"/>
  <c r="P232" i="4"/>
  <c r="H38" i="5"/>
  <c r="H350" i="4"/>
  <c r="AG205" i="3"/>
  <c r="AI205" i="3" s="1"/>
  <c r="AF205" i="3"/>
  <c r="AE205" i="3"/>
  <c r="O173" i="3"/>
  <c r="O49" i="11"/>
  <c r="AD89" i="8"/>
  <c r="AI106" i="20"/>
  <c r="AT105" i="20"/>
  <c r="BC30" i="18"/>
  <c r="T325" i="19"/>
  <c r="U341" i="19"/>
  <c r="B245" i="4"/>
  <c r="B246" i="4" s="1"/>
  <c r="B247" i="4" s="1"/>
  <c r="B248" i="4" s="1"/>
  <c r="B249" i="4" s="1"/>
  <c r="B250" i="4" s="1"/>
  <c r="B251" i="4" s="1"/>
  <c r="B252" i="4" s="1"/>
  <c r="B253" i="4" s="1"/>
  <c r="B254" i="4" s="1"/>
  <c r="B255" i="4" s="1"/>
  <c r="B256" i="4" s="1"/>
  <c r="B241" i="4"/>
  <c r="AP3" i="21"/>
  <c r="AS41" i="15"/>
  <c r="L230" i="4"/>
  <c r="AU55" i="22"/>
  <c r="AJ56" i="22"/>
  <c r="AL56" i="22" s="1"/>
  <c r="AQ8" i="18"/>
  <c r="AP9" i="18"/>
  <c r="G31" i="13"/>
  <c r="G33" i="11"/>
  <c r="G34" i="11" s="1"/>
  <c r="G4" i="6"/>
  <c r="U21" i="10"/>
  <c r="V20" i="10"/>
  <c r="AX68" i="16"/>
  <c r="AZ67" i="16"/>
  <c r="BA67" i="16" s="1"/>
  <c r="Y115" i="8"/>
  <c r="X116" i="8"/>
  <c r="N96" i="3"/>
  <c r="N440" i="3"/>
  <c r="AB22" i="10"/>
  <c r="AA23" i="10"/>
  <c r="AP11" i="20"/>
  <c r="AR10" i="20"/>
  <c r="E28" i="17"/>
  <c r="R352" i="11"/>
  <c r="AU44" i="22"/>
  <c r="AJ45" i="22"/>
  <c r="U136" i="19"/>
  <c r="E28" i="1"/>
  <c r="P333" i="3"/>
  <c r="P169" i="3"/>
  <c r="P315" i="3" s="1"/>
  <c r="AM165" i="14"/>
  <c r="BA164" i="14"/>
  <c r="AK128" i="14"/>
  <c r="AN127" i="14"/>
  <c r="W32" i="8"/>
  <c r="Y31" i="8"/>
  <c r="AC31" i="8" s="1"/>
  <c r="AD43" i="8" s="1"/>
  <c r="AK186" i="18"/>
  <c r="BA186" i="18"/>
  <c r="BC186" i="18" s="1"/>
  <c r="BD186" i="18" s="1"/>
  <c r="AE19" i="22"/>
  <c r="AD20" i="22"/>
  <c r="AX90" i="20"/>
  <c r="AX102" i="20"/>
  <c r="S92" i="26"/>
  <c r="R93" i="26"/>
  <c r="BD25" i="13"/>
  <c r="S93" i="17"/>
  <c r="R89" i="17"/>
  <c r="AJ69" i="20"/>
  <c r="BK273" i="11"/>
  <c r="P49" i="6"/>
  <c r="P71" i="6" s="1"/>
  <c r="AT56" i="20"/>
  <c r="AX56" i="20" s="1"/>
  <c r="AI57" i="20"/>
  <c r="AK56" i="20"/>
  <c r="AY342" i="11"/>
  <c r="AV115" i="22"/>
  <c r="J160" i="3"/>
  <c r="R326" i="13"/>
  <c r="M80" i="4"/>
  <c r="M348" i="4"/>
  <c r="M380" i="4" s="1"/>
  <c r="AH102" i="3"/>
  <c r="AI102" i="3" s="1"/>
  <c r="AE102" i="3"/>
  <c r="F375" i="19"/>
  <c r="F374" i="19"/>
  <c r="F389" i="19"/>
  <c r="F407" i="19"/>
  <c r="AN92" i="20"/>
  <c r="AO91" i="20"/>
  <c r="AZ104" i="16"/>
  <c r="AX105" i="16"/>
  <c r="AY90" i="14"/>
  <c r="BB90" i="14" s="1"/>
  <c r="BW26" i="7"/>
  <c r="BD137" i="18"/>
  <c r="AD117" i="22"/>
  <c r="AE116" i="22"/>
  <c r="S302" i="15"/>
  <c r="J21" i="7"/>
  <c r="J3" i="6"/>
  <c r="AH151" i="18"/>
  <c r="BB151" i="18"/>
  <c r="AG152" i="18"/>
  <c r="Q236" i="3"/>
  <c r="AS57" i="18"/>
  <c r="AC14" i="17"/>
  <c r="L27" i="13"/>
  <c r="N144" i="4"/>
  <c r="N164" i="4"/>
  <c r="N176" i="4" s="1"/>
  <c r="BD41" i="11"/>
  <c r="L233" i="4"/>
  <c r="AU22" i="15"/>
  <c r="CW22" i="15" s="1"/>
  <c r="AR31" i="15"/>
  <c r="M28" i="15"/>
  <c r="M28" i="6"/>
  <c r="R35" i="10"/>
  <c r="D309" i="4"/>
  <c r="D304" i="4"/>
  <c r="Q328" i="3"/>
  <c r="Q164" i="3"/>
  <c r="AZ174" i="22"/>
  <c r="AJ175" i="13"/>
  <c r="AJ10" i="13" s="1"/>
  <c r="AG175" i="13"/>
  <c r="AG10" i="13" s="1"/>
  <c r="X175" i="13"/>
  <c r="X10" i="13" s="1"/>
  <c r="AJ144" i="18"/>
  <c r="N85" i="5"/>
  <c r="N118" i="5" s="1"/>
  <c r="Q73" i="3"/>
  <c r="Q49" i="3"/>
  <c r="AF34" i="18"/>
  <c r="BY27" i="7"/>
  <c r="AK31" i="18"/>
  <c r="V67" i="10"/>
  <c r="U68" i="10"/>
  <c r="AM3" i="21"/>
  <c r="P25" i="6"/>
  <c r="AV103" i="14"/>
  <c r="AS104" i="14"/>
  <c r="R42" i="4"/>
  <c r="AD45" i="5"/>
  <c r="AC45" i="5"/>
  <c r="P70" i="5"/>
  <c r="K30" i="21"/>
  <c r="K5" i="2"/>
  <c r="BK38" i="11"/>
  <c r="AF397" i="3"/>
  <c r="AG397" i="3"/>
  <c r="O446" i="3"/>
  <c r="P331" i="3"/>
  <c r="P167" i="3"/>
  <c r="P313" i="3" s="1"/>
  <c r="P193" i="3"/>
  <c r="AV43" i="22"/>
  <c r="AS43" i="22"/>
  <c r="AR44" i="22"/>
  <c r="AU127" i="20"/>
  <c r="AY127" i="20" s="1"/>
  <c r="S226" i="21"/>
  <c r="S194" i="21" s="1"/>
  <c r="W234" i="21"/>
  <c r="W202" i="21" s="1"/>
  <c r="Z234" i="21"/>
  <c r="Z202" i="21" s="1"/>
  <c r="Z229" i="21"/>
  <c r="Z197" i="21" s="1"/>
  <c r="Y229" i="21"/>
  <c r="Y197" i="21" s="1"/>
  <c r="AN32" i="16"/>
  <c r="AM33" i="16"/>
  <c r="AB164" i="10"/>
  <c r="AA165" i="10"/>
  <c r="R314" i="17"/>
  <c r="M192" i="3"/>
  <c r="M164" i="3"/>
  <c r="M328" i="3"/>
  <c r="G48" i="13"/>
  <c r="P173" i="4"/>
  <c r="P176" i="4" s="1"/>
  <c r="U127" i="26"/>
  <c r="V126" i="26"/>
  <c r="AT164" i="22"/>
  <c r="AQ165" i="22"/>
  <c r="AT3" i="13"/>
  <c r="AA117" i="22"/>
  <c r="AB116" i="22"/>
  <c r="AJ93" i="18"/>
  <c r="T405" i="13"/>
  <c r="T278" i="3" s="1"/>
  <c r="T294" i="3" s="1"/>
  <c r="T214" i="4"/>
  <c r="Q102" i="13"/>
  <c r="AF130" i="18"/>
  <c r="U305" i="15"/>
  <c r="AG25" i="17"/>
  <c r="BH42" i="11"/>
  <c r="BH43" i="11" s="1"/>
  <c r="AV42" i="14"/>
  <c r="AS43" i="14"/>
  <c r="L192" i="3"/>
  <c r="L164" i="3"/>
  <c r="L328" i="3"/>
  <c r="AS106" i="18"/>
  <c r="AT105" i="18"/>
  <c r="AI175" i="13"/>
  <c r="AI10" i="13" s="1"/>
  <c r="P8" i="25"/>
  <c r="AQ8" i="25" s="1"/>
  <c r="AT8" i="23"/>
  <c r="P36" i="6"/>
  <c r="O383" i="4"/>
  <c r="X142" i="10"/>
  <c r="Y141" i="10"/>
  <c r="L6" i="2"/>
  <c r="P379" i="4"/>
  <c r="AI33" i="20"/>
  <c r="AT32" i="20"/>
  <c r="AX32" i="20" s="1"/>
  <c r="AK32" i="20"/>
  <c r="Z47" i="20"/>
  <c r="V232" i="21"/>
  <c r="V200" i="21" s="1"/>
  <c r="Z226" i="21"/>
  <c r="Z194" i="21" s="1"/>
  <c r="AF164" i="18"/>
  <c r="AD85" i="3"/>
  <c r="J441" i="3"/>
  <c r="AH140" i="3"/>
  <c r="AI140" i="3" s="1"/>
  <c r="AE140" i="3"/>
  <c r="P28" i="1"/>
  <c r="AJ8" i="23"/>
  <c r="K36" i="6"/>
  <c r="U8" i="24"/>
  <c r="V7" i="24"/>
  <c r="W7" i="24" s="1"/>
  <c r="AJ181" i="18"/>
  <c r="AW31" i="20"/>
  <c r="AV31" i="20"/>
  <c r="R178" i="24"/>
  <c r="S177" i="24"/>
  <c r="U129" i="19"/>
  <c r="AX57" i="16"/>
  <c r="AZ56" i="16"/>
  <c r="Z56" i="20"/>
  <c r="AA55" i="20"/>
  <c r="AU55" i="20"/>
  <c r="AY55" i="20" s="1"/>
  <c r="AJ81" i="22"/>
  <c r="AL81" i="22" s="1"/>
  <c r="AU80" i="22"/>
  <c r="BD12" i="13"/>
  <c r="AX166" i="18"/>
  <c r="AZ165" i="18"/>
  <c r="AY67" i="20"/>
  <c r="K171" i="4"/>
  <c r="AT139" i="4"/>
  <c r="AL45" i="22"/>
  <c r="AK46" i="22"/>
  <c r="J375" i="19"/>
  <c r="J374" i="19"/>
  <c r="J407" i="19"/>
  <c r="J389" i="19"/>
  <c r="AR32" i="18"/>
  <c r="AT31" i="18"/>
  <c r="AG117" i="20"/>
  <c r="AF118" i="20"/>
  <c r="AM71" i="14"/>
  <c r="BH7" i="13"/>
  <c r="AJ130" i="20"/>
  <c r="K172" i="4"/>
  <c r="AT140" i="4"/>
  <c r="AU140" i="4" s="1"/>
  <c r="R56" i="11"/>
  <c r="R19" i="5"/>
  <c r="AP70" i="18"/>
  <c r="AQ69" i="18"/>
  <c r="AN8" i="23"/>
  <c r="M36" i="6"/>
  <c r="AI127" i="18"/>
  <c r="AK126" i="18"/>
  <c r="BA126" i="18"/>
  <c r="BC126" i="18" s="1"/>
  <c r="BD126" i="18" s="1"/>
  <c r="AQ81" i="18"/>
  <c r="AP82" i="18"/>
  <c r="AX126" i="20"/>
  <c r="AX138" i="20"/>
  <c r="R180" i="4"/>
  <c r="Z20" i="20"/>
  <c r="AU19" i="20"/>
  <c r="AY19" i="20" s="1"/>
  <c r="AA19" i="20"/>
  <c r="S131" i="21"/>
  <c r="X131" i="19"/>
  <c r="B352" i="4"/>
  <c r="B38" i="5"/>
  <c r="AM164" i="16"/>
  <c r="AN163" i="16"/>
  <c r="AS180" i="14"/>
  <c r="AV179" i="14"/>
  <c r="AI164" i="20"/>
  <c r="AT163" i="20"/>
  <c r="AX163" i="20" s="1"/>
  <c r="U377" i="11"/>
  <c r="AX144" i="16"/>
  <c r="V296" i="15"/>
  <c r="BB102" i="14"/>
  <c r="Y57" i="8"/>
  <c r="X58" i="8"/>
  <c r="AI92" i="20"/>
  <c r="AT91" i="20"/>
  <c r="AK91" i="20"/>
  <c r="V79" i="26"/>
  <c r="W79" i="26" s="1"/>
  <c r="U80" i="26"/>
  <c r="AR6" i="21"/>
  <c r="T93" i="17"/>
  <c r="Q96" i="17"/>
  <c r="V67" i="24"/>
  <c r="W67" i="24" s="1"/>
  <c r="U68" i="24"/>
  <c r="AT68" i="16"/>
  <c r="AS69" i="16"/>
  <c r="P54" i="5"/>
  <c r="P157" i="4"/>
  <c r="U342" i="11"/>
  <c r="G49" i="11"/>
  <c r="G50" i="11" s="1"/>
  <c r="G229" i="4"/>
  <c r="B5" i="2"/>
  <c r="AS116" i="22"/>
  <c r="AV116" i="22"/>
  <c r="AR117" i="22"/>
  <c r="AQ4" i="25"/>
  <c r="AH116" i="3"/>
  <c r="AI116" i="3" s="1"/>
  <c r="AE116" i="3"/>
  <c r="BG9" i="7"/>
  <c r="K16" i="6"/>
  <c r="AH9" i="22"/>
  <c r="AG10" i="22"/>
  <c r="N119" i="5"/>
  <c r="N96" i="5"/>
  <c r="AF8" i="20"/>
  <c r="AG7" i="20"/>
  <c r="M171" i="4"/>
  <c r="M145" i="4"/>
  <c r="L442" i="3"/>
  <c r="AD86" i="3"/>
  <c r="AH86" i="3" s="1"/>
  <c r="AW55" i="14"/>
  <c r="AX54" i="14"/>
  <c r="AB104" i="8"/>
  <c r="AC104" i="8" s="1"/>
  <c r="AA105" i="8"/>
  <c r="O144" i="4"/>
  <c r="O164" i="4"/>
  <c r="AU132" i="4"/>
  <c r="N384" i="4"/>
  <c r="AH103" i="16"/>
  <c r="AG104" i="16"/>
  <c r="AQ153" i="22"/>
  <c r="AT152" i="22"/>
  <c r="I7" i="5"/>
  <c r="AD401" i="3"/>
  <c r="AH401" i="3" s="1"/>
  <c r="AX92" i="16"/>
  <c r="AZ91" i="16"/>
  <c r="AH20" i="16"/>
  <c r="AG21" i="16"/>
  <c r="P231" i="4"/>
  <c r="AS231" i="4" s="1"/>
  <c r="N47" i="5"/>
  <c r="N48" i="5" s="1"/>
  <c r="N68" i="5"/>
  <c r="N72" i="5" s="1"/>
  <c r="X34" i="8"/>
  <c r="BA6" i="17"/>
  <c r="Z6" i="17"/>
  <c r="AV115" i="14"/>
  <c r="AS116" i="14"/>
  <c r="AV127" i="14"/>
  <c r="AS128" i="14"/>
  <c r="R58" i="26"/>
  <c r="S57" i="26"/>
  <c r="AA32" i="22"/>
  <c r="AB31" i="22"/>
  <c r="AH175" i="22"/>
  <c r="AG176" i="22"/>
  <c r="AH175" i="13"/>
  <c r="AH10" i="13" s="1"/>
  <c r="AW30" i="20"/>
  <c r="AV30" i="20"/>
  <c r="F22" i="7"/>
  <c r="F21" i="7"/>
  <c r="F3" i="6"/>
  <c r="AX9" i="16"/>
  <c r="AZ8" i="16"/>
  <c r="AH3" i="25"/>
  <c r="G13" i="25"/>
  <c r="H13" i="6"/>
  <c r="AN8" i="25"/>
  <c r="BH126" i="11"/>
  <c r="AS119" i="18"/>
  <c r="C208" i="3"/>
  <c r="BW27" i="7"/>
  <c r="AK32" i="18"/>
  <c r="AJ33" i="18"/>
  <c r="AK82" i="22"/>
  <c r="AK175" i="13"/>
  <c r="AK10" i="13" s="1"/>
  <c r="AB140" i="8"/>
  <c r="AA141" i="8"/>
  <c r="AG17" i="17"/>
  <c r="N11" i="1"/>
  <c r="N28" i="1" s="1"/>
  <c r="AX176" i="18"/>
  <c r="AZ175" i="18"/>
  <c r="AF140" i="18"/>
  <c r="U108" i="11"/>
  <c r="AL56" i="20"/>
  <c r="AO55" i="20"/>
  <c r="BY31" i="7"/>
  <c r="AX33" i="16"/>
  <c r="AZ32" i="16"/>
  <c r="AX126" i="12"/>
  <c r="Q161" i="17"/>
  <c r="Q129" i="17" s="1"/>
  <c r="Q113" i="17" s="1"/>
  <c r="BC163" i="15"/>
  <c r="Q131" i="15"/>
  <c r="AY22" i="15"/>
  <c r="O28" i="6"/>
  <c r="AU111" i="16"/>
  <c r="AW111" i="16" s="1"/>
  <c r="AW110" i="16"/>
  <c r="BG12" i="11"/>
  <c r="AM140" i="18"/>
  <c r="AN139" i="18"/>
  <c r="X226" i="21"/>
  <c r="X194" i="21" s="1"/>
  <c r="Z232" i="21"/>
  <c r="Z200" i="21" s="1"/>
  <c r="W235" i="21"/>
  <c r="W203" i="21" s="1"/>
  <c r="Y227" i="21"/>
  <c r="Y195" i="21" s="1"/>
  <c r="V230" i="21"/>
  <c r="V198" i="21" s="1"/>
  <c r="AD397" i="3"/>
  <c r="AH397" i="3" s="1"/>
  <c r="AC163" i="10"/>
  <c r="S300" i="15"/>
  <c r="E169" i="3"/>
  <c r="E315" i="3" s="1"/>
  <c r="E333" i="3"/>
  <c r="AJ83" i="18"/>
  <c r="G483" i="3"/>
  <c r="S105" i="8"/>
  <c r="R106" i="8"/>
  <c r="V45" i="10"/>
  <c r="U46" i="10"/>
  <c r="K391" i="19"/>
  <c r="K409" i="19"/>
  <c r="U92" i="10"/>
  <c r="V91" i="10"/>
  <c r="AC91" i="10" s="1"/>
  <c r="AU91" i="20"/>
  <c r="AY91" i="20" s="1"/>
  <c r="AC32" i="10"/>
  <c r="AX78" i="14"/>
  <c r="AW79" i="14"/>
  <c r="AY79" i="14" s="1"/>
  <c r="BB79" i="14" s="1"/>
  <c r="BB175" i="18"/>
  <c r="AY7" i="15"/>
  <c r="O6" i="15"/>
  <c r="Q7" i="15" s="1"/>
  <c r="AL4" i="25"/>
  <c r="AW162" i="22"/>
  <c r="BA162" i="22" s="1"/>
  <c r="AG93" i="3"/>
  <c r="AF93" i="3"/>
  <c r="AB93" i="3"/>
  <c r="O449" i="3"/>
  <c r="W338" i="19"/>
  <c r="BE125" i="14"/>
  <c r="W321" i="19"/>
  <c r="AD84" i="3"/>
  <c r="AH84" i="3" s="1"/>
  <c r="J96" i="3"/>
  <c r="J440" i="3"/>
  <c r="AL154" i="20"/>
  <c r="AO153" i="20"/>
  <c r="AW18" i="20"/>
  <c r="AV18" i="20"/>
  <c r="AZ18" i="20" s="1"/>
  <c r="Q20" i="26"/>
  <c r="S19" i="26"/>
  <c r="AK68" i="14"/>
  <c r="AN67" i="14"/>
  <c r="W149" i="26"/>
  <c r="X161" i="26" s="1"/>
  <c r="AS83" i="18"/>
  <c r="AR42" i="14"/>
  <c r="AO43" i="14"/>
  <c r="AY42" i="14"/>
  <c r="BB42" i="14" s="1"/>
  <c r="BE42" i="14" s="1"/>
  <c r="AG57" i="16"/>
  <c r="AH56" i="16"/>
  <c r="AL179" i="14"/>
  <c r="AZ178" i="14"/>
  <c r="X83" i="10"/>
  <c r="Y82" i="10"/>
  <c r="BB162" i="14"/>
  <c r="BC174" i="14" s="1"/>
  <c r="K403" i="3"/>
  <c r="K408" i="3"/>
  <c r="BA152" i="18"/>
  <c r="AF153" i="18"/>
  <c r="W330" i="19"/>
  <c r="AU14" i="15"/>
  <c r="CW14" i="15" s="1"/>
  <c r="M26" i="6"/>
  <c r="AD14" i="17"/>
  <c r="Q58" i="13"/>
  <c r="BJ37" i="7"/>
  <c r="L38" i="7"/>
  <c r="N333" i="3"/>
  <c r="AF333" i="3" s="1"/>
  <c r="N169" i="3"/>
  <c r="AF185" i="3"/>
  <c r="K144" i="4"/>
  <c r="K164" i="4"/>
  <c r="T153" i="17"/>
  <c r="T121" i="17" s="1"/>
  <c r="T105" i="17" s="1"/>
  <c r="T123" i="15"/>
  <c r="T107" i="15" s="1"/>
  <c r="V67" i="8"/>
  <c r="AC67" i="8" s="1"/>
  <c r="AD67" i="8" s="1"/>
  <c r="U68" i="8"/>
  <c r="AJ37" i="9"/>
  <c r="N309" i="4"/>
  <c r="N304" i="4"/>
  <c r="R406" i="17"/>
  <c r="R418" i="17" s="1"/>
  <c r="R434" i="17"/>
  <c r="R26" i="17" s="1"/>
  <c r="T355" i="13"/>
  <c r="T244" i="3"/>
  <c r="T196" i="4"/>
  <c r="AI164" i="16"/>
  <c r="AK163" i="16"/>
  <c r="AR79" i="18"/>
  <c r="AT78" i="18"/>
  <c r="AW91" i="18"/>
  <c r="AV92" i="18"/>
  <c r="AR177" i="22"/>
  <c r="AV176" i="22"/>
  <c r="AS176" i="22"/>
  <c r="N168" i="3"/>
  <c r="N332" i="3"/>
  <c r="AF332" i="3" s="1"/>
  <c r="AF184" i="3"/>
  <c r="P35" i="5"/>
  <c r="P84" i="5" s="1"/>
  <c r="AR127" i="14"/>
  <c r="AO128" i="14"/>
  <c r="AO6" i="21"/>
  <c r="AU75" i="4"/>
  <c r="AY75" i="4" s="1"/>
  <c r="K349" i="4"/>
  <c r="O168" i="4"/>
  <c r="AU136" i="4"/>
  <c r="AT120" i="20"/>
  <c r="AI121" i="20"/>
  <c r="AK120" i="20"/>
  <c r="U20" i="24"/>
  <c r="V19" i="24"/>
  <c r="W19" i="24" s="1"/>
  <c r="AE91" i="3"/>
  <c r="AB91" i="3"/>
  <c r="AG91" i="3"/>
  <c r="AI91" i="3" s="1"/>
  <c r="AF91" i="3"/>
  <c r="O447" i="3"/>
  <c r="S35" i="4"/>
  <c r="L20" i="11"/>
  <c r="BC21" i="11"/>
  <c r="AH174" i="8"/>
  <c r="BO172" i="12" s="1"/>
  <c r="AD174" i="8"/>
  <c r="AS31" i="14"/>
  <c r="AV30" i="14"/>
  <c r="AS128" i="16"/>
  <c r="AT127" i="16"/>
  <c r="AT67" i="18"/>
  <c r="AS68" i="18"/>
  <c r="C334" i="3"/>
  <c r="C170" i="3"/>
  <c r="C316" i="3" s="1"/>
  <c r="H334" i="3"/>
  <c r="H170" i="3"/>
  <c r="H316" i="3" s="1"/>
  <c r="AC127" i="8"/>
  <c r="AD37" i="22"/>
  <c r="AE36" i="22"/>
  <c r="F208" i="3"/>
  <c r="W137" i="19"/>
  <c r="X137" i="19" s="1"/>
  <c r="I37" i="15"/>
  <c r="I27" i="6"/>
  <c r="I22" i="6" s="1"/>
  <c r="I28" i="15"/>
  <c r="I5" i="6" s="1"/>
  <c r="AS34" i="18"/>
  <c r="BH8" i="13"/>
  <c r="S81" i="26"/>
  <c r="R82" i="26"/>
  <c r="S21" i="8"/>
  <c r="R22" i="8"/>
  <c r="Y153" i="8"/>
  <c r="X154" i="8"/>
  <c r="AP103" i="22"/>
  <c r="AO104" i="22"/>
  <c r="AF57" i="18"/>
  <c r="Q11" i="1"/>
  <c r="T72" i="11"/>
  <c r="R112" i="11"/>
  <c r="C165" i="3"/>
  <c r="C311" i="3" s="1"/>
  <c r="C329" i="3"/>
  <c r="AQ58" i="22"/>
  <c r="AT57" i="22"/>
  <c r="AK130" i="22"/>
  <c r="N328" i="3"/>
  <c r="N192" i="3"/>
  <c r="N164" i="3"/>
  <c r="AI128" i="20"/>
  <c r="AT127" i="20"/>
  <c r="AK127" i="20"/>
  <c r="R339" i="13"/>
  <c r="W131" i="19"/>
  <c r="AZ81" i="14"/>
  <c r="AL82" i="14"/>
  <c r="BB126" i="14"/>
  <c r="BG3" i="11"/>
  <c r="N19" i="6"/>
  <c r="T151" i="17"/>
  <c r="T119" i="17" s="1"/>
  <c r="T103" i="17" s="1"/>
  <c r="T121" i="15"/>
  <c r="T105" i="15" s="1"/>
  <c r="AK104" i="14"/>
  <c r="AY103" i="14"/>
  <c r="AN103" i="14"/>
  <c r="BA170" i="12"/>
  <c r="BP170" i="12" s="1"/>
  <c r="AY170" i="12"/>
  <c r="AX171" i="12"/>
  <c r="E40" i="6"/>
  <c r="E18" i="6"/>
  <c r="AX3" i="13"/>
  <c r="Q97" i="17"/>
  <c r="AR165" i="16"/>
  <c r="AT164" i="16"/>
  <c r="AP10" i="25"/>
  <c r="AX81" i="18"/>
  <c r="AZ80" i="18"/>
  <c r="AW127" i="14"/>
  <c r="AY127" i="14" s="1"/>
  <c r="BB127" i="14" s="1"/>
  <c r="AX126" i="14"/>
  <c r="AA69" i="22"/>
  <c r="AB68" i="22"/>
  <c r="K20" i="11"/>
  <c r="BC20" i="13" s="1"/>
  <c r="BA21" i="11"/>
  <c r="AW139" i="14"/>
  <c r="AX138" i="14"/>
  <c r="BL15" i="9"/>
  <c r="AK15" i="9"/>
  <c r="K2" i="2"/>
  <c r="L330" i="3"/>
  <c r="AD330" i="3" s="1"/>
  <c r="L166" i="3"/>
  <c r="AD182" i="3"/>
  <c r="AC182" i="3"/>
  <c r="AC103" i="8"/>
  <c r="AF141" i="16"/>
  <c r="AH140" i="16"/>
  <c r="E96" i="5"/>
  <c r="AB115" i="10"/>
  <c r="AA116" i="10"/>
  <c r="AX151" i="22"/>
  <c r="I375" i="4"/>
  <c r="I376" i="4"/>
  <c r="K239" i="4"/>
  <c r="AE32" i="20"/>
  <c r="AG31" i="20"/>
  <c r="L96" i="5"/>
  <c r="AB128" i="22"/>
  <c r="AA129" i="22"/>
  <c r="Q188" i="4"/>
  <c r="BM333" i="11"/>
  <c r="AT333" i="11"/>
  <c r="O28" i="17"/>
  <c r="AQ105" i="18"/>
  <c r="AP106" i="18"/>
  <c r="H349" i="4"/>
  <c r="H381" i="4" s="1"/>
  <c r="H37" i="5"/>
  <c r="AW38" i="11"/>
  <c r="K7" i="11"/>
  <c r="BA8" i="11"/>
  <c r="BG35" i="15"/>
  <c r="AX153" i="18"/>
  <c r="AZ152" i="18"/>
  <c r="W175" i="13"/>
  <c r="W10" i="13" s="1"/>
  <c r="BF3" i="13"/>
  <c r="BH3" i="19"/>
  <c r="M23" i="19"/>
  <c r="M30" i="6"/>
  <c r="M29" i="6" s="1"/>
  <c r="AL20" i="14"/>
  <c r="AZ19" i="14"/>
  <c r="L336" i="3"/>
  <c r="AD336" i="3" s="1"/>
  <c r="AH336" i="3" s="1"/>
  <c r="L172" i="3"/>
  <c r="L318" i="3" s="1"/>
  <c r="AD188" i="3"/>
  <c r="AH188" i="3" s="1"/>
  <c r="AC188" i="3"/>
  <c r="AK10" i="14"/>
  <c r="G29" i="6"/>
  <c r="E407" i="19"/>
  <c r="E375" i="19"/>
  <c r="E374" i="19"/>
  <c r="E389" i="19"/>
  <c r="AS93" i="18"/>
  <c r="AT92" i="18"/>
  <c r="G22" i="7"/>
  <c r="G21" i="7"/>
  <c r="G3" i="6"/>
  <c r="G8" i="6" s="1"/>
  <c r="Q127" i="26"/>
  <c r="S126" i="26"/>
  <c r="S141" i="10"/>
  <c r="R142" i="10"/>
  <c r="AV81" i="18"/>
  <c r="AW80" i="18"/>
  <c r="Y92" i="8"/>
  <c r="X93" i="8"/>
  <c r="AC139" i="8"/>
  <c r="AC95" i="5"/>
  <c r="AV177" i="16"/>
  <c r="AW176" i="16"/>
  <c r="AS43" i="20"/>
  <c r="Y44" i="20"/>
  <c r="AA43" i="20"/>
  <c r="AK43" i="20"/>
  <c r="AJ44" i="20"/>
  <c r="BA138" i="18"/>
  <c r="BC138" i="18" s="1"/>
  <c r="BD138" i="18" s="1"/>
  <c r="Q139" i="26"/>
  <c r="S138" i="26"/>
  <c r="W138" i="26" s="1"/>
  <c r="V108" i="11"/>
  <c r="AQ21" i="16"/>
  <c r="AP22" i="16"/>
  <c r="Z129" i="20"/>
  <c r="AA128" i="20"/>
  <c r="C167" i="3"/>
  <c r="C313" i="3" s="1"/>
  <c r="C331" i="3"/>
  <c r="AN8" i="16"/>
  <c r="AM9" i="16"/>
  <c r="AS151" i="14"/>
  <c r="AV150" i="14"/>
  <c r="N475" i="3"/>
  <c r="U225" i="21"/>
  <c r="Z233" i="21"/>
  <c r="Z201" i="21" s="1"/>
  <c r="Y225" i="21"/>
  <c r="V228" i="21"/>
  <c r="V196" i="21" s="1"/>
  <c r="AE3" i="25"/>
  <c r="D13" i="25"/>
  <c r="D96" i="5"/>
  <c r="AY18" i="15"/>
  <c r="O17" i="15"/>
  <c r="BK35" i="15"/>
  <c r="BC8" i="13"/>
  <c r="AV78" i="14"/>
  <c r="AS79" i="14"/>
  <c r="N484" i="3"/>
  <c r="E478" i="3"/>
  <c r="V327" i="19"/>
  <c r="K49" i="11"/>
  <c r="K408" i="19"/>
  <c r="K390" i="19"/>
  <c r="AA141" i="22"/>
  <c r="AB140" i="22"/>
  <c r="AH105" i="18"/>
  <c r="AG106" i="18"/>
  <c r="AA34" i="10"/>
  <c r="AB33" i="10"/>
  <c r="S230" i="3"/>
  <c r="AH176" i="18"/>
  <c r="AG177" i="18"/>
  <c r="B35" i="5"/>
  <c r="B79" i="4"/>
  <c r="B342" i="4"/>
  <c r="AZ103" i="14"/>
  <c r="AL104" i="14"/>
  <c r="K13" i="25"/>
  <c r="F481" i="3"/>
  <c r="S175" i="13"/>
  <c r="S10" i="13" s="1"/>
  <c r="E310" i="4"/>
  <c r="E325" i="4"/>
  <c r="M36" i="5"/>
  <c r="M344" i="4"/>
  <c r="M376" i="4" s="1"/>
  <c r="R59" i="11"/>
  <c r="S75" i="11"/>
  <c r="U196" i="4" l="1"/>
  <c r="AB13" i="2"/>
  <c r="AB14" i="2" s="1"/>
  <c r="AB15" i="2"/>
  <c r="U244" i="3"/>
  <c r="U382" i="11"/>
  <c r="V382" i="11" s="1"/>
  <c r="U355" i="13"/>
  <c r="S221" i="4"/>
  <c r="S334" i="11"/>
  <c r="S189" i="4" s="1"/>
  <c r="AB31" i="11"/>
  <c r="AB32" i="11" s="1"/>
  <c r="AB32" i="15"/>
  <c r="AC30" i="11"/>
  <c r="AC29" i="13"/>
  <c r="Y375" i="11"/>
  <c r="Z375" i="11" s="1"/>
  <c r="V101" i="11"/>
  <c r="T221" i="4"/>
  <c r="U35" i="4"/>
  <c r="S163" i="15"/>
  <c r="Q79" i="13"/>
  <c r="Q4" i="13" s="1"/>
  <c r="Z11" i="11"/>
  <c r="AA11" i="11" s="1"/>
  <c r="AB11" i="11" s="1"/>
  <c r="T325" i="13"/>
  <c r="AY54" i="11"/>
  <c r="V102" i="11"/>
  <c r="BB102" i="11" s="1"/>
  <c r="Q22" i="5"/>
  <c r="Q79" i="5" s="1"/>
  <c r="S101" i="5"/>
  <c r="X71" i="11"/>
  <c r="Y71" i="11" s="1"/>
  <c r="W382" i="11"/>
  <c r="S332" i="13"/>
  <c r="Z154" i="15"/>
  <c r="Z122" i="15" s="1"/>
  <c r="Z106" i="15" s="1"/>
  <c r="AA154" i="15"/>
  <c r="AA122" i="15" s="1"/>
  <c r="AA106" i="15" s="1"/>
  <c r="Q94" i="5"/>
  <c r="X153" i="15"/>
  <c r="Y153" i="15" s="1"/>
  <c r="Y106" i="11"/>
  <c r="Y40" i="4" s="1"/>
  <c r="W343" i="11"/>
  <c r="W246" i="3" s="1"/>
  <c r="AY76" i="4"/>
  <c r="AV76" i="4"/>
  <c r="X244" i="3"/>
  <c r="X196" i="4"/>
  <c r="W135" i="21"/>
  <c r="M241" i="4"/>
  <c r="BA28" i="15"/>
  <c r="P34" i="15"/>
  <c r="P35" i="15" s="1"/>
  <c r="P5" i="6"/>
  <c r="AG28" i="17"/>
  <c r="AG4" i="2" s="1"/>
  <c r="P29" i="17"/>
  <c r="BC91" i="14"/>
  <c r="V342" i="19"/>
  <c r="T62" i="11"/>
  <c r="X137" i="21"/>
  <c r="Y137" i="19"/>
  <c r="BC7" i="15"/>
  <c r="Q8" i="15"/>
  <c r="Q10" i="15"/>
  <c r="R7" i="15"/>
  <c r="S7" i="15" s="1"/>
  <c r="Y323" i="19"/>
  <c r="Z339" i="19"/>
  <c r="BE79" i="14"/>
  <c r="BC175" i="14"/>
  <c r="BD49" i="11"/>
  <c r="L50" i="11"/>
  <c r="V135" i="21"/>
  <c r="AA135" i="19"/>
  <c r="AB135" i="19" s="1"/>
  <c r="W37" i="4"/>
  <c r="BI4" i="13"/>
  <c r="Q26" i="1"/>
  <c r="Q25" i="1" s="1"/>
  <c r="V132" i="19"/>
  <c r="BE127" i="14"/>
  <c r="AC84" i="5"/>
  <c r="P117" i="5"/>
  <c r="O37" i="15"/>
  <c r="AY17" i="15"/>
  <c r="O27" i="6"/>
  <c r="AS120" i="18"/>
  <c r="AH204" i="3"/>
  <c r="AI204" i="3" s="1"/>
  <c r="AE204" i="3"/>
  <c r="AH163" i="8"/>
  <c r="BO161" i="12" s="1"/>
  <c r="AD163" i="8"/>
  <c r="S177" i="8"/>
  <c r="R178" i="8"/>
  <c r="T313" i="17"/>
  <c r="AV22" i="18"/>
  <c r="AW21" i="18"/>
  <c r="D311" i="3"/>
  <c r="D322" i="3" s="1"/>
  <c r="D176" i="3"/>
  <c r="AL233" i="13"/>
  <c r="BA183" i="12"/>
  <c r="BP183" i="12" s="1"/>
  <c r="AY183" i="12"/>
  <c r="AX184" i="12"/>
  <c r="AN447" i="13"/>
  <c r="AN26" i="13" s="1"/>
  <c r="CF26" i="13" s="1"/>
  <c r="AN419" i="13"/>
  <c r="AN431" i="13" s="1"/>
  <c r="AN25" i="13" s="1"/>
  <c r="CF25" i="13" s="1"/>
  <c r="O29" i="17"/>
  <c r="AF28" i="17"/>
  <c r="AF4" i="2" s="1"/>
  <c r="O4" i="2"/>
  <c r="AR178" i="22"/>
  <c r="AV177" i="22"/>
  <c r="AS177" i="22"/>
  <c r="BY10" i="13"/>
  <c r="R20" i="5"/>
  <c r="AD32" i="20"/>
  <c r="AC33" i="20"/>
  <c r="V20" i="26"/>
  <c r="U21" i="26"/>
  <c r="V35" i="4"/>
  <c r="H32" i="13"/>
  <c r="H3" i="2"/>
  <c r="H7" i="2" s="1"/>
  <c r="H17" i="2" s="1"/>
  <c r="F84" i="5"/>
  <c r="F80" i="5"/>
  <c r="S60" i="11"/>
  <c r="T76" i="11"/>
  <c r="U76" i="11" s="1"/>
  <c r="AR24" i="20"/>
  <c r="AP25" i="20"/>
  <c r="AZ176" i="16"/>
  <c r="AX177" i="16"/>
  <c r="Z96" i="20"/>
  <c r="Q334" i="13"/>
  <c r="V350" i="11"/>
  <c r="W350" i="11" s="1"/>
  <c r="AW176" i="18"/>
  <c r="AV177" i="18"/>
  <c r="W55" i="11"/>
  <c r="AD164" i="3"/>
  <c r="AH164" i="3" s="1"/>
  <c r="J310" i="3"/>
  <c r="J176" i="3"/>
  <c r="BM7" i="11"/>
  <c r="Q20" i="6"/>
  <c r="Q27" i="11"/>
  <c r="S98" i="17"/>
  <c r="S5" i="17" s="1"/>
  <c r="AW116" i="14"/>
  <c r="AX115" i="14"/>
  <c r="Z170" i="20"/>
  <c r="AD96" i="3"/>
  <c r="AE96" i="3" s="1"/>
  <c r="AT106" i="20"/>
  <c r="AI107" i="20"/>
  <c r="AB69" i="8"/>
  <c r="AA70" i="8"/>
  <c r="AX154" i="16"/>
  <c r="AZ153" i="16"/>
  <c r="O84" i="5"/>
  <c r="O80" i="5"/>
  <c r="AD76" i="5"/>
  <c r="AS154" i="20"/>
  <c r="Y155" i="20"/>
  <c r="Q358" i="4"/>
  <c r="Q373" i="4"/>
  <c r="AA106" i="10"/>
  <c r="AB105" i="10"/>
  <c r="AB10" i="10"/>
  <c r="AA11" i="10"/>
  <c r="AZ80" i="20"/>
  <c r="BD151" i="18"/>
  <c r="S59" i="8"/>
  <c r="R60" i="8"/>
  <c r="AS82" i="20"/>
  <c r="Y83" i="20"/>
  <c r="AX130" i="18"/>
  <c r="AZ129" i="18"/>
  <c r="S361" i="13"/>
  <c r="S345" i="13" s="1"/>
  <c r="S331" i="11"/>
  <c r="S186" i="4" s="1"/>
  <c r="S202" i="4"/>
  <c r="S250" i="3"/>
  <c r="AX73" i="18"/>
  <c r="AZ72" i="18"/>
  <c r="AM21" i="16"/>
  <c r="AN20" i="16"/>
  <c r="AZ92" i="14"/>
  <c r="AL93" i="14"/>
  <c r="AO140" i="14"/>
  <c r="AR139" i="14"/>
  <c r="AY139" i="14"/>
  <c r="BB139" i="14" s="1"/>
  <c r="AK81" i="16"/>
  <c r="AJ82" i="16"/>
  <c r="Y165" i="8"/>
  <c r="X166" i="8"/>
  <c r="BB162" i="20"/>
  <c r="BR160" i="12" s="1"/>
  <c r="BH160" i="12" s="1"/>
  <c r="AZ162" i="20"/>
  <c r="Q80" i="24"/>
  <c r="S79" i="24"/>
  <c r="Y10" i="8"/>
  <c r="X11" i="8"/>
  <c r="AW103" i="20"/>
  <c r="AV103" i="20"/>
  <c r="T130" i="21"/>
  <c r="U130" i="19"/>
  <c r="S154" i="17"/>
  <c r="S124" i="15"/>
  <c r="AP154" i="18"/>
  <c r="AQ153" i="18"/>
  <c r="P29" i="6"/>
  <c r="BP15" i="7"/>
  <c r="O3" i="6"/>
  <c r="Y10" i="20"/>
  <c r="AS9" i="20"/>
  <c r="AE152" i="22"/>
  <c r="AD153" i="22"/>
  <c r="Z151" i="25"/>
  <c r="AP118" i="18"/>
  <c r="AQ117" i="18"/>
  <c r="C31" i="13"/>
  <c r="C32" i="13" s="1"/>
  <c r="C33" i="11"/>
  <c r="C34" i="11" s="1"/>
  <c r="C4" i="6"/>
  <c r="C8" i="6" s="1"/>
  <c r="AI44" i="18"/>
  <c r="BA44" i="18" s="1"/>
  <c r="BC44" i="18" s="1"/>
  <c r="AK43" i="18"/>
  <c r="AC128" i="8"/>
  <c r="AD128" i="8" s="1"/>
  <c r="AQ81" i="14"/>
  <c r="BA80" i="14"/>
  <c r="AV74" i="4"/>
  <c r="AW155" i="18"/>
  <c r="AV156" i="18"/>
  <c r="E373" i="4"/>
  <c r="E353" i="4"/>
  <c r="E358" i="4"/>
  <c r="D40" i="6"/>
  <c r="D18" i="6"/>
  <c r="S23" i="10"/>
  <c r="R24" i="10"/>
  <c r="J314" i="3"/>
  <c r="AD168" i="3"/>
  <c r="U72" i="11"/>
  <c r="AM154" i="14"/>
  <c r="BA153" i="14"/>
  <c r="AG34" i="18"/>
  <c r="AH33" i="18"/>
  <c r="AJ45" i="20"/>
  <c r="AK44" i="20"/>
  <c r="AJ131" i="20"/>
  <c r="N452" i="3"/>
  <c r="N473" i="3"/>
  <c r="N457" i="3"/>
  <c r="D377" i="4"/>
  <c r="D378" i="4"/>
  <c r="BC163" i="14"/>
  <c r="L29" i="6"/>
  <c r="AD9" i="20"/>
  <c r="AC10" i="20"/>
  <c r="J31" i="13"/>
  <c r="J32" i="13" s="1"/>
  <c r="J35" i="11"/>
  <c r="J33" i="11"/>
  <c r="J34" i="11" s="1"/>
  <c r="J4" i="6"/>
  <c r="AI69" i="20"/>
  <c r="AT68" i="20"/>
  <c r="AX68" i="20" s="1"/>
  <c r="S153" i="24"/>
  <c r="R154" i="24"/>
  <c r="F245" i="4"/>
  <c r="F241" i="4"/>
  <c r="T156" i="15"/>
  <c r="AX13" i="18"/>
  <c r="AZ12" i="18"/>
  <c r="P24" i="21"/>
  <c r="BN23" i="19"/>
  <c r="P24" i="19"/>
  <c r="P6" i="6"/>
  <c r="AF82" i="20"/>
  <c r="AG81" i="20"/>
  <c r="X151" i="25"/>
  <c r="AP61" i="16"/>
  <c r="AP166" i="20"/>
  <c r="AR165" i="20"/>
  <c r="AP232" i="13"/>
  <c r="X103" i="11"/>
  <c r="U176" i="24"/>
  <c r="V175" i="24"/>
  <c r="W175" i="24" s="1"/>
  <c r="E374" i="4"/>
  <c r="AK117" i="22"/>
  <c r="AV117" i="22" s="1"/>
  <c r="AL116" i="22"/>
  <c r="BD114" i="18"/>
  <c r="U58" i="11"/>
  <c r="Q324" i="15"/>
  <c r="Q18" i="15"/>
  <c r="AL8" i="23"/>
  <c r="L36" i="6"/>
  <c r="AM8" i="25"/>
  <c r="U80" i="24"/>
  <c r="V79" i="24"/>
  <c r="W79" i="24" s="1"/>
  <c r="AO236" i="13"/>
  <c r="S177" i="10"/>
  <c r="R178" i="10"/>
  <c r="I84" i="5"/>
  <c r="I80" i="5"/>
  <c r="T362" i="13"/>
  <c r="T346" i="13" s="1"/>
  <c r="T203" i="4"/>
  <c r="T419" i="13"/>
  <c r="T431" i="13" s="1"/>
  <c r="T25" i="13" s="1"/>
  <c r="BL25" i="13" s="1"/>
  <c r="T447" i="13"/>
  <c r="T26" i="13" s="1"/>
  <c r="BL26" i="13" s="1"/>
  <c r="J477" i="3"/>
  <c r="AD444" i="3"/>
  <c r="AF45" i="18"/>
  <c r="AX35" i="18"/>
  <c r="AZ34" i="18"/>
  <c r="AB21" i="8"/>
  <c r="AA22" i="8"/>
  <c r="C29" i="17"/>
  <c r="C4" i="2"/>
  <c r="AR152" i="16"/>
  <c r="AT151" i="16"/>
  <c r="AE11" i="22"/>
  <c r="AD12" i="22"/>
  <c r="T63" i="11"/>
  <c r="R23" i="24"/>
  <c r="AO97" i="22"/>
  <c r="AP96" i="22"/>
  <c r="AN105" i="18"/>
  <c r="AM106" i="18"/>
  <c r="X214" i="4"/>
  <c r="AV169" i="18"/>
  <c r="AW168" i="18"/>
  <c r="X135" i="19"/>
  <c r="U8" i="26"/>
  <c r="V7" i="26"/>
  <c r="V77" i="11"/>
  <c r="W77" i="11" s="1"/>
  <c r="B39" i="5"/>
  <c r="E408" i="19"/>
  <c r="E390" i="19"/>
  <c r="AT68" i="18"/>
  <c r="AS69" i="18"/>
  <c r="AI165" i="16"/>
  <c r="AK164" i="16"/>
  <c r="N315" i="3"/>
  <c r="AF169" i="3"/>
  <c r="AD90" i="8"/>
  <c r="V92" i="10"/>
  <c r="U93" i="10"/>
  <c r="AS129" i="14"/>
  <c r="AV128" i="14"/>
  <c r="AG105" i="16"/>
  <c r="AH104" i="16"/>
  <c r="BE102" i="14"/>
  <c r="BC102" i="14"/>
  <c r="AP83" i="18"/>
  <c r="AQ82" i="18"/>
  <c r="U339" i="13"/>
  <c r="M310" i="3"/>
  <c r="M176" i="3"/>
  <c r="AH152" i="18"/>
  <c r="BB152" i="18"/>
  <c r="AG153" i="18"/>
  <c r="V21" i="10"/>
  <c r="U22" i="10"/>
  <c r="O319" i="3"/>
  <c r="AG173" i="3"/>
  <c r="AF173" i="3"/>
  <c r="BH46" i="11"/>
  <c r="AQ155" i="16"/>
  <c r="AP156" i="16"/>
  <c r="Q295" i="3"/>
  <c r="Q304" i="3" s="1"/>
  <c r="Q288" i="3"/>
  <c r="Q231" i="3"/>
  <c r="V196" i="4"/>
  <c r="V244" i="3"/>
  <c r="AM178" i="18"/>
  <c r="AN177" i="18"/>
  <c r="AK165" i="14"/>
  <c r="AY164" i="14"/>
  <c r="BB164" i="14" s="1"/>
  <c r="AN164" i="14"/>
  <c r="AJ132" i="16"/>
  <c r="AN94" i="18"/>
  <c r="AM95" i="18"/>
  <c r="O377" i="4"/>
  <c r="AO167" i="20"/>
  <c r="AL168" i="20"/>
  <c r="S140" i="19"/>
  <c r="S140" i="21" s="1"/>
  <c r="AS57" i="22"/>
  <c r="AR58" i="22"/>
  <c r="BF23" i="19"/>
  <c r="L6" i="6"/>
  <c r="AO154" i="22"/>
  <c r="AP153" i="22"/>
  <c r="S9" i="24"/>
  <c r="R10" i="24"/>
  <c r="AI230" i="11"/>
  <c r="AI238" i="11"/>
  <c r="AI229" i="11"/>
  <c r="AI237" i="11"/>
  <c r="AI236" i="11"/>
  <c r="AI232" i="11"/>
  <c r="AI234" i="11"/>
  <c r="AI240" i="11"/>
  <c r="AI233" i="11"/>
  <c r="AI235" i="11"/>
  <c r="AI239" i="11"/>
  <c r="AI231" i="11"/>
  <c r="AO70" i="20"/>
  <c r="AL71" i="20"/>
  <c r="AB177" i="10"/>
  <c r="AA178" i="10"/>
  <c r="AL154" i="14"/>
  <c r="AZ153" i="14"/>
  <c r="AA12" i="22"/>
  <c r="AB11" i="22"/>
  <c r="T406" i="13"/>
  <c r="T279" i="3" s="1"/>
  <c r="T295" i="3" s="1"/>
  <c r="T215" i="4"/>
  <c r="U376" i="11"/>
  <c r="R48" i="24"/>
  <c r="AX142" i="18"/>
  <c r="AZ141" i="18"/>
  <c r="K457" i="3"/>
  <c r="K452" i="3"/>
  <c r="K473" i="3"/>
  <c r="D379" i="4"/>
  <c r="D380" i="4"/>
  <c r="AO20" i="14"/>
  <c r="AR19" i="14"/>
  <c r="AS142" i="22"/>
  <c r="AR143" i="22"/>
  <c r="R118" i="24"/>
  <c r="S117" i="24"/>
  <c r="F50" i="11"/>
  <c r="AO58" i="18"/>
  <c r="AQ57" i="18"/>
  <c r="K353" i="4"/>
  <c r="K358" i="4"/>
  <c r="K373" i="4"/>
  <c r="AD170" i="3"/>
  <c r="J316" i="3"/>
  <c r="V299" i="15"/>
  <c r="AX18" i="14"/>
  <c r="AW19" i="14"/>
  <c r="G391" i="19"/>
  <c r="G409" i="19"/>
  <c r="X81" i="8"/>
  <c r="Y80" i="8"/>
  <c r="Y151" i="25"/>
  <c r="AY176" i="20"/>
  <c r="D30" i="21"/>
  <c r="Q93" i="5"/>
  <c r="R119" i="8"/>
  <c r="S118" i="8"/>
  <c r="O378" i="4"/>
  <c r="T141" i="10"/>
  <c r="V140" i="10"/>
  <c r="AC140" i="10" s="1"/>
  <c r="AP233" i="13"/>
  <c r="P376" i="4"/>
  <c r="AF13" i="25"/>
  <c r="AF6" i="2" s="1"/>
  <c r="E16" i="25"/>
  <c r="E6" i="2"/>
  <c r="Z174" i="24"/>
  <c r="BS172" i="12" s="1"/>
  <c r="BI172" i="12" s="1"/>
  <c r="X174" i="24"/>
  <c r="X186" i="24"/>
  <c r="T230" i="3"/>
  <c r="AR116" i="18"/>
  <c r="AT115" i="18"/>
  <c r="BA115" i="18"/>
  <c r="BC115" i="18" s="1"/>
  <c r="C40" i="6"/>
  <c r="C18" i="6"/>
  <c r="AI94" i="3"/>
  <c r="O312" i="3"/>
  <c r="AF166" i="3"/>
  <c r="AG166" i="3"/>
  <c r="AX57" i="18"/>
  <c r="AZ56" i="18"/>
  <c r="T73" i="11"/>
  <c r="AH85" i="22"/>
  <c r="AG86" i="22"/>
  <c r="AH117" i="22"/>
  <c r="AG118" i="22"/>
  <c r="W78" i="24"/>
  <c r="AN60" i="16"/>
  <c r="AM61" i="16"/>
  <c r="AF174" i="3"/>
  <c r="O320" i="3"/>
  <c r="AG174" i="3"/>
  <c r="AI174" i="3" s="1"/>
  <c r="AO228" i="13"/>
  <c r="AZ74" i="4"/>
  <c r="AE87" i="3"/>
  <c r="L72" i="5"/>
  <c r="L84" i="5"/>
  <c r="T98" i="17"/>
  <c r="T5" i="17" s="1"/>
  <c r="AZ126" i="20"/>
  <c r="AM419" i="13"/>
  <c r="AM431" i="13" s="1"/>
  <c r="AM25" i="13" s="1"/>
  <c r="CE25" i="13" s="1"/>
  <c r="AM447" i="13"/>
  <c r="AM26" i="13" s="1"/>
  <c r="CE26" i="13" s="1"/>
  <c r="AP447" i="13"/>
  <c r="AP26" i="13" s="1"/>
  <c r="CH26" i="13" s="1"/>
  <c r="AP419" i="13"/>
  <c r="AP431" i="13" s="1"/>
  <c r="AP25" i="13" s="1"/>
  <c r="CH25" i="13" s="1"/>
  <c r="E39" i="5"/>
  <c r="AH88" i="3"/>
  <c r="AI88" i="3" s="1"/>
  <c r="AE88" i="3"/>
  <c r="BA43" i="18"/>
  <c r="BC43" i="18" s="1"/>
  <c r="AH200" i="3"/>
  <c r="AI200" i="3" s="1"/>
  <c r="AE200" i="3"/>
  <c r="U79" i="11"/>
  <c r="D409" i="19"/>
  <c r="D391" i="19"/>
  <c r="V221" i="4"/>
  <c r="AL49" i="20"/>
  <c r="C80" i="5"/>
  <c r="C84" i="5"/>
  <c r="W121" i="15"/>
  <c r="W105" i="15" s="1"/>
  <c r="Y122" i="15"/>
  <c r="Y106" i="15" s="1"/>
  <c r="U132" i="19"/>
  <c r="S409" i="13"/>
  <c r="S282" i="3" s="1"/>
  <c r="S298" i="3" s="1"/>
  <c r="S218" i="4"/>
  <c r="AO20" i="20"/>
  <c r="AL21" i="20"/>
  <c r="AP230" i="13"/>
  <c r="AM70" i="18"/>
  <c r="AN69" i="18"/>
  <c r="AG107" i="20"/>
  <c r="AF108" i="20"/>
  <c r="BB27" i="13"/>
  <c r="J3" i="2"/>
  <c r="V40" i="4"/>
  <c r="AO231" i="13"/>
  <c r="AQ81" i="16"/>
  <c r="AP82" i="16"/>
  <c r="Y419" i="13"/>
  <c r="Y431" i="13" s="1"/>
  <c r="Y25" i="13" s="1"/>
  <c r="BQ25" i="13" s="1"/>
  <c r="Y447" i="13"/>
  <c r="Y26" i="13" s="1"/>
  <c r="BQ26" i="13" s="1"/>
  <c r="AH118" i="18"/>
  <c r="AG119" i="18"/>
  <c r="Y141" i="8"/>
  <c r="X142" i="8"/>
  <c r="AX166" i="16"/>
  <c r="AZ165" i="16"/>
  <c r="M85" i="5"/>
  <c r="M118" i="5" s="1"/>
  <c r="M80" i="5"/>
  <c r="D408" i="19"/>
  <c r="D390" i="19"/>
  <c r="AC46" i="8"/>
  <c r="I391" i="19"/>
  <c r="I409" i="19"/>
  <c r="V153" i="8"/>
  <c r="U154" i="8"/>
  <c r="AT140" i="16"/>
  <c r="AS141" i="16"/>
  <c r="Y237" i="21"/>
  <c r="Y14" i="21" s="1"/>
  <c r="Y12" i="21" s="1"/>
  <c r="Y193" i="21"/>
  <c r="Y205" i="21" s="1"/>
  <c r="AL83" i="14"/>
  <c r="AZ82" i="14"/>
  <c r="AO105" i="22"/>
  <c r="AP104" i="22"/>
  <c r="V20" i="24"/>
  <c r="U21" i="24"/>
  <c r="AH57" i="16"/>
  <c r="AG58" i="16"/>
  <c r="R59" i="26"/>
  <c r="S58" i="26"/>
  <c r="M344" i="3"/>
  <c r="M340" i="3"/>
  <c r="V68" i="10"/>
  <c r="AC68" i="10" s="1"/>
  <c r="U69" i="10"/>
  <c r="O51" i="11"/>
  <c r="T403" i="13"/>
  <c r="T212" i="4"/>
  <c r="U373" i="11"/>
  <c r="AO116" i="14"/>
  <c r="AR115" i="14"/>
  <c r="AY115" i="14"/>
  <c r="BB115" i="14" s="1"/>
  <c r="R104" i="5"/>
  <c r="CF10" i="13"/>
  <c r="AT36" i="16"/>
  <c r="AS37" i="16"/>
  <c r="O389" i="19"/>
  <c r="O407" i="19"/>
  <c r="O375" i="19"/>
  <c r="O374" i="19"/>
  <c r="AL95" i="20"/>
  <c r="AK58" i="22"/>
  <c r="AS61" i="16"/>
  <c r="L377" i="4"/>
  <c r="Y133" i="10"/>
  <c r="X134" i="10"/>
  <c r="AH177" i="18"/>
  <c r="AG178" i="18"/>
  <c r="U237" i="21"/>
  <c r="U14" i="21" s="1"/>
  <c r="U12" i="21" s="1"/>
  <c r="U193" i="21"/>
  <c r="U205" i="21" s="1"/>
  <c r="E391" i="19"/>
  <c r="E409" i="19"/>
  <c r="BO10" i="13"/>
  <c r="W31" i="1"/>
  <c r="W131" i="21"/>
  <c r="Y154" i="8"/>
  <c r="X155" i="8"/>
  <c r="AI122" i="20"/>
  <c r="AT121" i="20"/>
  <c r="AK121" i="20"/>
  <c r="Y341" i="11"/>
  <c r="Z341" i="11" s="1"/>
  <c r="AM141" i="18"/>
  <c r="AN140" i="18"/>
  <c r="AZ176" i="18"/>
  <c r="AX177" i="18"/>
  <c r="AZ9" i="16"/>
  <c r="AX10" i="16"/>
  <c r="W296" i="15"/>
  <c r="AM72" i="14"/>
  <c r="AU56" i="20"/>
  <c r="Z57" i="20"/>
  <c r="AA56" i="20"/>
  <c r="X143" i="10"/>
  <c r="Y142" i="10"/>
  <c r="AF131" i="18"/>
  <c r="O479" i="3"/>
  <c r="AG446" i="3"/>
  <c r="AF446" i="3"/>
  <c r="AE446" i="3"/>
  <c r="N379" i="4"/>
  <c r="Q415" i="13"/>
  <c r="Q24" i="13" s="1"/>
  <c r="BI24" i="13" s="1"/>
  <c r="Q34" i="10"/>
  <c r="S33" i="10"/>
  <c r="AC33" i="10" s="1"/>
  <c r="AI80" i="18"/>
  <c r="AK79" i="18"/>
  <c r="BA79" i="18"/>
  <c r="BC79" i="18" s="1"/>
  <c r="BD79" i="18" s="1"/>
  <c r="AC21" i="20"/>
  <c r="AD20" i="20"/>
  <c r="BE78" i="14"/>
  <c r="BC78" i="14"/>
  <c r="P378" i="4"/>
  <c r="M3" i="2"/>
  <c r="AK58" i="14"/>
  <c r="AG109" i="22"/>
  <c r="AH108" i="22"/>
  <c r="L457" i="3"/>
  <c r="L452" i="3"/>
  <c r="L473" i="3"/>
  <c r="L474" i="3"/>
  <c r="AK238" i="11"/>
  <c r="AK229" i="11"/>
  <c r="AK237" i="11"/>
  <c r="AK236" i="11"/>
  <c r="AK234" i="11"/>
  <c r="AK232" i="11"/>
  <c r="AK240" i="11"/>
  <c r="AK230" i="11"/>
  <c r="AK233" i="11"/>
  <c r="AK235" i="11"/>
  <c r="AK239" i="11"/>
  <c r="AK231" i="11"/>
  <c r="BA9" i="18"/>
  <c r="AF10" i="18"/>
  <c r="I410" i="3"/>
  <c r="I425" i="3"/>
  <c r="T38" i="4"/>
  <c r="AR20" i="16"/>
  <c r="AT19" i="16"/>
  <c r="BA19" i="16" s="1"/>
  <c r="V345" i="11"/>
  <c r="Y116" i="10"/>
  <c r="X117" i="10"/>
  <c r="AG448" i="3"/>
  <c r="AF448" i="3"/>
  <c r="O481" i="3"/>
  <c r="AD28" i="17"/>
  <c r="AD4" i="2" s="1"/>
  <c r="M29" i="17"/>
  <c r="M4" i="2"/>
  <c r="AT154" i="18"/>
  <c r="AS155" i="18"/>
  <c r="AX45" i="14"/>
  <c r="AW46" i="14"/>
  <c r="BA45" i="14"/>
  <c r="AM46" i="14"/>
  <c r="X130" i="8"/>
  <c r="Y129" i="8"/>
  <c r="AS168" i="16"/>
  <c r="V306" i="15"/>
  <c r="AQ165" i="18"/>
  <c r="AP166" i="18"/>
  <c r="AR118" i="20"/>
  <c r="AP119" i="20"/>
  <c r="S151" i="25"/>
  <c r="AF23" i="21"/>
  <c r="AE5" i="2" s="1"/>
  <c r="AW32" i="18"/>
  <c r="AV33" i="18"/>
  <c r="AA47" i="22"/>
  <c r="AB46" i="22"/>
  <c r="BE186" i="14"/>
  <c r="BC186" i="14"/>
  <c r="R234" i="3"/>
  <c r="AP234" i="13"/>
  <c r="AD36" i="5"/>
  <c r="AC36" i="5"/>
  <c r="L37" i="15"/>
  <c r="AS17" i="15"/>
  <c r="L27" i="6"/>
  <c r="L22" i="6" s="1"/>
  <c r="N84" i="5"/>
  <c r="N80" i="5"/>
  <c r="P374" i="4"/>
  <c r="AS141" i="14"/>
  <c r="AV140" i="14"/>
  <c r="AR44" i="20"/>
  <c r="AP45" i="20"/>
  <c r="AE94" i="3"/>
  <c r="AI86" i="3"/>
  <c r="S159" i="17"/>
  <c r="S127" i="17" s="1"/>
  <c r="S111" i="17" s="1"/>
  <c r="S129" i="15"/>
  <c r="S113" i="15" s="1"/>
  <c r="T161" i="15"/>
  <c r="U161" i="15" s="1"/>
  <c r="BF158" i="12"/>
  <c r="BT158" i="12"/>
  <c r="BJ158" i="12" s="1"/>
  <c r="Z28" i="17"/>
  <c r="Z4" i="2" s="1"/>
  <c r="I29" i="17"/>
  <c r="I4" i="2"/>
  <c r="I7" i="2" s="1"/>
  <c r="I17" i="2" s="1"/>
  <c r="BG7" i="11"/>
  <c r="N20" i="6"/>
  <c r="N41" i="6" s="1"/>
  <c r="T58" i="11"/>
  <c r="V74" i="11"/>
  <c r="W74" i="11" s="1"/>
  <c r="L29" i="17"/>
  <c r="AC28" i="17"/>
  <c r="AC4" i="2" s="1"/>
  <c r="L4" i="2"/>
  <c r="AX101" i="12"/>
  <c r="AY100" i="12"/>
  <c r="Y131" i="19"/>
  <c r="AG338" i="3"/>
  <c r="AI338" i="3" s="1"/>
  <c r="AF338" i="3"/>
  <c r="AE338" i="3"/>
  <c r="AO238" i="13"/>
  <c r="R143" i="26"/>
  <c r="AI87" i="3"/>
  <c r="L48" i="5"/>
  <c r="R11" i="26"/>
  <c r="BW10" i="13"/>
  <c r="AP116" i="14"/>
  <c r="AZ115" i="14"/>
  <c r="AQ110" i="16"/>
  <c r="AP111" i="16"/>
  <c r="AQ111" i="16" s="1"/>
  <c r="AW6" i="15"/>
  <c r="N24" i="6"/>
  <c r="S41" i="4"/>
  <c r="AD451" i="3"/>
  <c r="J484" i="3"/>
  <c r="R21" i="5"/>
  <c r="Y45" i="10"/>
  <c r="X46" i="10"/>
  <c r="V47" i="8"/>
  <c r="U48" i="8"/>
  <c r="F373" i="4"/>
  <c r="F358" i="4"/>
  <c r="F353" i="4"/>
  <c r="F374" i="4"/>
  <c r="AO93" i="14"/>
  <c r="AR92" i="14"/>
  <c r="H176" i="4"/>
  <c r="U78" i="11"/>
  <c r="V78" i="11" s="1"/>
  <c r="W78" i="11" s="1"/>
  <c r="X122" i="15"/>
  <c r="X106" i="15" s="1"/>
  <c r="AN20" i="14"/>
  <c r="AK21" i="14"/>
  <c r="V104" i="24"/>
  <c r="W104" i="24" s="1"/>
  <c r="U105" i="24"/>
  <c r="AD79" i="8"/>
  <c r="AL107" i="20"/>
  <c r="AO106" i="20"/>
  <c r="D340" i="3"/>
  <c r="D345" i="3"/>
  <c r="AC13" i="25"/>
  <c r="AC6" i="2" s="1"/>
  <c r="B16" i="25"/>
  <c r="B6" i="2"/>
  <c r="AC8" i="8"/>
  <c r="Q44" i="24"/>
  <c r="S43" i="24"/>
  <c r="CH10" i="13"/>
  <c r="AL45" i="14"/>
  <c r="AZ44" i="14"/>
  <c r="AL177" i="20"/>
  <c r="AO176" i="20"/>
  <c r="AS176" i="20"/>
  <c r="AX45" i="18"/>
  <c r="AZ44" i="18"/>
  <c r="AM130" i="18"/>
  <c r="AN129" i="18"/>
  <c r="Z205" i="21"/>
  <c r="AH447" i="13"/>
  <c r="AH26" i="13" s="1"/>
  <c r="BZ26" i="13" s="1"/>
  <c r="AH419" i="13"/>
  <c r="AH431" i="13" s="1"/>
  <c r="AH25" i="13" s="1"/>
  <c r="BZ25" i="13" s="1"/>
  <c r="AG131" i="18"/>
  <c r="AH130" i="18"/>
  <c r="AQ130" i="18"/>
  <c r="AP131" i="18"/>
  <c r="M13" i="6"/>
  <c r="K6" i="2"/>
  <c r="AT33" i="20"/>
  <c r="AX33" i="20" s="1"/>
  <c r="AI34" i="20"/>
  <c r="AK33" i="20"/>
  <c r="R94" i="26"/>
  <c r="S93" i="26"/>
  <c r="N477" i="3"/>
  <c r="AF444" i="3"/>
  <c r="I31" i="13"/>
  <c r="I32" i="13" s="1"/>
  <c r="I33" i="11"/>
  <c r="I34" i="11" s="1"/>
  <c r="I35" i="11"/>
  <c r="I4" i="6"/>
  <c r="H410" i="3"/>
  <c r="H425" i="3"/>
  <c r="AO116" i="20"/>
  <c r="AL117" i="20"/>
  <c r="AS116" i="20"/>
  <c r="S129" i="8"/>
  <c r="R130" i="8"/>
  <c r="Q409" i="3"/>
  <c r="Q424" i="3"/>
  <c r="Y20" i="10"/>
  <c r="AC20" i="10" s="1"/>
  <c r="X21" i="10"/>
  <c r="U152" i="24"/>
  <c r="V151" i="24"/>
  <c r="W151" i="24" s="1"/>
  <c r="AD86" i="22"/>
  <c r="AE85" i="22"/>
  <c r="AH329" i="3"/>
  <c r="AI329" i="3" s="1"/>
  <c r="AE329" i="3"/>
  <c r="S326" i="19"/>
  <c r="S333" i="19" s="1"/>
  <c r="U342" i="19"/>
  <c r="AA24" i="10"/>
  <c r="AB23" i="10"/>
  <c r="AU152" i="22"/>
  <c r="AW152" i="22" s="1"/>
  <c r="BA152" i="22" s="1"/>
  <c r="AJ153" i="22"/>
  <c r="BG20" i="11"/>
  <c r="N27" i="11"/>
  <c r="N21" i="6"/>
  <c r="AW70" i="18"/>
  <c r="AV71" i="18"/>
  <c r="P87" i="5"/>
  <c r="AD71" i="5"/>
  <c r="AC71" i="5"/>
  <c r="P73" i="5"/>
  <c r="T409" i="13"/>
  <c r="T282" i="3" s="1"/>
  <c r="T298" i="3" s="1"/>
  <c r="T218" i="4"/>
  <c r="AL12" i="20"/>
  <c r="AO11" i="20"/>
  <c r="V327" i="11"/>
  <c r="V182" i="4" s="1"/>
  <c r="V198" i="4"/>
  <c r="V246" i="3"/>
  <c r="AH72" i="16"/>
  <c r="AG73" i="16"/>
  <c r="S413" i="13"/>
  <c r="S286" i="3" s="1"/>
  <c r="S302" i="3" s="1"/>
  <c r="S222" i="4"/>
  <c r="AR80" i="18"/>
  <c r="AT79" i="18"/>
  <c r="AF141" i="18"/>
  <c r="BA140" i="18"/>
  <c r="Q473" i="3"/>
  <c r="Q457" i="3"/>
  <c r="S100" i="5"/>
  <c r="AF35" i="20"/>
  <c r="AI20" i="18"/>
  <c r="BA19" i="18"/>
  <c r="BC19" i="18" s="1"/>
  <c r="AK19" i="18"/>
  <c r="X60" i="10"/>
  <c r="Y59" i="10"/>
  <c r="BD163" i="16"/>
  <c r="BQ161" i="12" s="1"/>
  <c r="BG161" i="12" s="1"/>
  <c r="AB165" i="8"/>
  <c r="AA166" i="8"/>
  <c r="AE33" i="20"/>
  <c r="AG32" i="20"/>
  <c r="AX145" i="16"/>
  <c r="K39" i="5"/>
  <c r="BN372" i="19"/>
  <c r="BN373" i="19"/>
  <c r="BN377" i="19"/>
  <c r="AM10" i="18"/>
  <c r="AN9" i="18"/>
  <c r="AL230" i="13"/>
  <c r="U116" i="24"/>
  <c r="V115" i="24"/>
  <c r="W115" i="24" s="1"/>
  <c r="U334" i="11"/>
  <c r="U189" i="4" s="1"/>
  <c r="U364" i="13"/>
  <c r="U348" i="13" s="1"/>
  <c r="U205" i="4"/>
  <c r="U360" i="13"/>
  <c r="U344" i="13" s="1"/>
  <c r="U201" i="4"/>
  <c r="U249" i="3"/>
  <c r="BE162" i="14"/>
  <c r="BC162" i="14"/>
  <c r="W139" i="26"/>
  <c r="AW8" i="16"/>
  <c r="BA8" i="16" s="1"/>
  <c r="AV9" i="16"/>
  <c r="AP178" i="20"/>
  <c r="AR177" i="20"/>
  <c r="AY151" i="20"/>
  <c r="AV151" i="20"/>
  <c r="AH191" i="3"/>
  <c r="AI191" i="3" s="1"/>
  <c r="AE191" i="3"/>
  <c r="K346" i="3"/>
  <c r="R61" i="24"/>
  <c r="AX178" i="14"/>
  <c r="AW179" i="14"/>
  <c r="G383" i="4"/>
  <c r="G384" i="4"/>
  <c r="BM336" i="11"/>
  <c r="AT336" i="11"/>
  <c r="Q191" i="4"/>
  <c r="Q192" i="4" s="1"/>
  <c r="S365" i="13"/>
  <c r="S349" i="13" s="1"/>
  <c r="S335" i="11"/>
  <c r="S190" i="4" s="1"/>
  <c r="S206" i="4"/>
  <c r="V70" i="26"/>
  <c r="U71" i="26"/>
  <c r="AS28" i="15"/>
  <c r="L5" i="6"/>
  <c r="AH176" i="22"/>
  <c r="AG177" i="22"/>
  <c r="S181" i="4"/>
  <c r="X321" i="19"/>
  <c r="AS142" i="18"/>
  <c r="P372" i="19"/>
  <c r="P405" i="19"/>
  <c r="P387" i="19"/>
  <c r="B31" i="13"/>
  <c r="B32" i="13" s="1"/>
  <c r="B4" i="6"/>
  <c r="B8" i="6" s="1"/>
  <c r="AP70" i="16"/>
  <c r="AQ69" i="16"/>
  <c r="F176" i="4"/>
  <c r="Y116" i="8"/>
  <c r="X117" i="8"/>
  <c r="AU117" i="20"/>
  <c r="Z118" i="20"/>
  <c r="AA117" i="20"/>
  <c r="T179" i="8"/>
  <c r="V178" i="8"/>
  <c r="J344" i="3"/>
  <c r="J340" i="3"/>
  <c r="AD328" i="3"/>
  <c r="AH328" i="3" s="1"/>
  <c r="AB57" i="22"/>
  <c r="AA58" i="22"/>
  <c r="H377" i="4"/>
  <c r="H378" i="4"/>
  <c r="AV152" i="22"/>
  <c r="AZ152" i="22" s="1"/>
  <c r="AR153" i="22"/>
  <c r="AS152" i="22"/>
  <c r="BL23" i="19"/>
  <c r="O6" i="6"/>
  <c r="AT8" i="18"/>
  <c r="AS9" i="18"/>
  <c r="CA34" i="7"/>
  <c r="CA36" i="7"/>
  <c r="CA35" i="7"/>
  <c r="CA33" i="7"/>
  <c r="R10" i="8"/>
  <c r="S9" i="8"/>
  <c r="AL227" i="13"/>
  <c r="AC104" i="10"/>
  <c r="AE443" i="3"/>
  <c r="O476" i="3"/>
  <c r="AG443" i="3"/>
  <c r="AI443" i="3" s="1"/>
  <c r="AF443" i="3"/>
  <c r="O477" i="3"/>
  <c r="AM177" i="22"/>
  <c r="AT176" i="22"/>
  <c r="AJ98" i="20"/>
  <c r="AX44" i="20"/>
  <c r="AX152" i="22"/>
  <c r="F391" i="19"/>
  <c r="F409" i="19"/>
  <c r="AI401" i="3"/>
  <c r="T358" i="13"/>
  <c r="T342" i="13" s="1"/>
  <c r="T328" i="11"/>
  <c r="T183" i="4" s="1"/>
  <c r="T93" i="5" s="1"/>
  <c r="T199" i="4"/>
  <c r="T101" i="5" s="1"/>
  <c r="T247" i="3"/>
  <c r="U344" i="11"/>
  <c r="AS50" i="18"/>
  <c r="AD69" i="5"/>
  <c r="AC69" i="5"/>
  <c r="P85" i="5"/>
  <c r="AA130" i="8"/>
  <c r="AB129" i="8"/>
  <c r="AD37" i="5"/>
  <c r="AC37" i="5"/>
  <c r="D33" i="11"/>
  <c r="D34" i="11" s="1"/>
  <c r="D31" i="13"/>
  <c r="D4" i="6"/>
  <c r="B29" i="17"/>
  <c r="B4" i="2"/>
  <c r="BF46" i="11"/>
  <c r="M238" i="4"/>
  <c r="W221" i="4"/>
  <c r="AA48" i="8"/>
  <c r="AB47" i="8"/>
  <c r="G16" i="25"/>
  <c r="AH13" i="25"/>
  <c r="G6" i="2"/>
  <c r="T316" i="17"/>
  <c r="I8" i="6"/>
  <c r="AS117" i="14"/>
  <c r="AV116" i="14"/>
  <c r="AF17" i="17"/>
  <c r="P3" i="25"/>
  <c r="AT3" i="23"/>
  <c r="P13" i="23"/>
  <c r="P35" i="6"/>
  <c r="P34" i="6" s="1"/>
  <c r="AY67" i="4"/>
  <c r="AZ67" i="4" s="1"/>
  <c r="AV67" i="4"/>
  <c r="AR140" i="18"/>
  <c r="AT139" i="18"/>
  <c r="V151" i="25"/>
  <c r="AV91" i="14"/>
  <c r="AS92" i="14"/>
  <c r="T118" i="17"/>
  <c r="AF166" i="20"/>
  <c r="AG165" i="20"/>
  <c r="T100" i="5"/>
  <c r="AF119" i="20"/>
  <c r="AG118" i="20"/>
  <c r="T42" i="4"/>
  <c r="AR166" i="16"/>
  <c r="AT165" i="16"/>
  <c r="AD163" i="10"/>
  <c r="AX164" i="22"/>
  <c r="AN93" i="20"/>
  <c r="AO92" i="20"/>
  <c r="U325" i="19"/>
  <c r="W341" i="19"/>
  <c r="AS23" i="18"/>
  <c r="AT22" i="18"/>
  <c r="AY88" i="12"/>
  <c r="AX89" i="12"/>
  <c r="AH21" i="20"/>
  <c r="AS20" i="20"/>
  <c r="AK20" i="20"/>
  <c r="AU141" i="20"/>
  <c r="AA141" i="20"/>
  <c r="Z142" i="20"/>
  <c r="H325" i="4"/>
  <c r="H310" i="4"/>
  <c r="BH23" i="19"/>
  <c r="M6" i="6"/>
  <c r="AF9" i="20"/>
  <c r="AU9" i="20" s="1"/>
  <c r="AG8" i="20"/>
  <c r="BA163" i="22"/>
  <c r="AO58" i="22"/>
  <c r="AP57" i="22"/>
  <c r="R130" i="26"/>
  <c r="AD443" i="3"/>
  <c r="AH443" i="3" s="1"/>
  <c r="J476" i="3"/>
  <c r="AK142" i="22"/>
  <c r="AM235" i="13"/>
  <c r="AD103" i="8"/>
  <c r="AV104" i="14"/>
  <c r="AS105" i="14"/>
  <c r="AH92" i="22"/>
  <c r="AG93" i="22"/>
  <c r="AH392" i="3"/>
  <c r="AI392" i="3" s="1"/>
  <c r="AE392" i="3"/>
  <c r="C381" i="4"/>
  <c r="C382" i="4"/>
  <c r="Y83" i="10"/>
  <c r="X84" i="10"/>
  <c r="AX167" i="18"/>
  <c r="AZ166" i="18"/>
  <c r="AG154" i="16"/>
  <c r="AH153" i="16"/>
  <c r="AI177" i="20"/>
  <c r="AT176" i="20"/>
  <c r="AH339" i="3"/>
  <c r="AI339" i="3" s="1"/>
  <c r="AE339" i="3"/>
  <c r="AE401" i="3"/>
  <c r="V106" i="8"/>
  <c r="U107" i="8"/>
  <c r="BD174" i="16"/>
  <c r="BQ172" i="12" s="1"/>
  <c r="BG172" i="12" s="1"/>
  <c r="BB174" i="16"/>
  <c r="BB186" i="16"/>
  <c r="Y24" i="20"/>
  <c r="AH182" i="3"/>
  <c r="AI182" i="3" s="1"/>
  <c r="AE182" i="3"/>
  <c r="X59" i="8"/>
  <c r="Y58" i="8"/>
  <c r="AQ33" i="16"/>
  <c r="AP34" i="16"/>
  <c r="AI10" i="20"/>
  <c r="AT9" i="20"/>
  <c r="AL57" i="14"/>
  <c r="AN57" i="14" s="1"/>
  <c r="AZ56" i="14"/>
  <c r="N6" i="2"/>
  <c r="AR176" i="16"/>
  <c r="AT175" i="16"/>
  <c r="BA175" i="16" s="1"/>
  <c r="BB175" i="16" s="1"/>
  <c r="Y47" i="8"/>
  <c r="X48" i="8"/>
  <c r="R49" i="26"/>
  <c r="X40" i="4"/>
  <c r="Q422" i="13"/>
  <c r="Q431" i="13" s="1"/>
  <c r="Q25" i="13" s="1"/>
  <c r="BI25" i="13" s="1"/>
  <c r="Q447" i="13"/>
  <c r="Q26" i="13" s="1"/>
  <c r="BI26" i="13" s="1"/>
  <c r="AB447" i="13"/>
  <c r="AB26" i="13" s="1"/>
  <c r="BT26" i="13" s="1"/>
  <c r="AB419" i="13"/>
  <c r="AB431" i="13" s="1"/>
  <c r="AB25" i="13" s="1"/>
  <c r="BT25" i="13" s="1"/>
  <c r="AP98" i="16"/>
  <c r="AQ97" i="16"/>
  <c r="Q152" i="26"/>
  <c r="S151" i="26"/>
  <c r="S43" i="4"/>
  <c r="Q140" i="26"/>
  <c r="S139" i="26"/>
  <c r="K84" i="5"/>
  <c r="K80" i="5"/>
  <c r="BL372" i="19"/>
  <c r="BL373" i="19"/>
  <c r="BL377" i="19"/>
  <c r="AE179" i="22"/>
  <c r="AD180" i="22"/>
  <c r="AV145" i="18"/>
  <c r="AW144" i="18"/>
  <c r="AE47" i="22"/>
  <c r="AD48" i="22"/>
  <c r="S81" i="8"/>
  <c r="R82" i="8"/>
  <c r="AP238" i="13"/>
  <c r="Y297" i="15"/>
  <c r="S61" i="11"/>
  <c r="AH69" i="22"/>
  <c r="AG70" i="22"/>
  <c r="AS94" i="18"/>
  <c r="AT93" i="18"/>
  <c r="U34" i="8"/>
  <c r="V33" i="8"/>
  <c r="P353" i="4"/>
  <c r="P358" i="4"/>
  <c r="P373" i="4"/>
  <c r="AP32" i="22"/>
  <c r="AO33" i="22"/>
  <c r="H245" i="4"/>
  <c r="H241" i="4"/>
  <c r="AC152" i="10"/>
  <c r="AD152" i="10" s="1"/>
  <c r="AY159" i="12"/>
  <c r="AX160" i="12"/>
  <c r="BA159" i="12"/>
  <c r="BP159" i="12" s="1"/>
  <c r="AR118" i="22"/>
  <c r="AF35" i="18"/>
  <c r="AS32" i="20"/>
  <c r="AI155" i="20"/>
  <c r="AT154" i="20"/>
  <c r="AX154" i="20" s="1"/>
  <c r="AJ156" i="16"/>
  <c r="AK155" i="16"/>
  <c r="AP131" i="16"/>
  <c r="AQ130" i="16"/>
  <c r="U123" i="15"/>
  <c r="U107" i="15" s="1"/>
  <c r="AW140" i="16"/>
  <c r="BA140" i="16" s="1"/>
  <c r="AV141" i="16"/>
  <c r="AW57" i="18"/>
  <c r="AV58" i="18"/>
  <c r="Q367" i="13"/>
  <c r="Q22" i="13" s="1"/>
  <c r="U181" i="26"/>
  <c r="V180" i="26"/>
  <c r="AI33" i="18"/>
  <c r="BA32" i="18"/>
  <c r="BC32" i="18" s="1"/>
  <c r="AS47" i="16"/>
  <c r="AD169" i="3"/>
  <c r="J315" i="3"/>
  <c r="AR82" i="20"/>
  <c r="AP83" i="20"/>
  <c r="AF142" i="20"/>
  <c r="AG141" i="20"/>
  <c r="O310" i="4"/>
  <c r="O325" i="4"/>
  <c r="T408" i="13"/>
  <c r="T281" i="3" s="1"/>
  <c r="T297" i="3" s="1"/>
  <c r="T217" i="4"/>
  <c r="T160" i="17"/>
  <c r="T128" i="17" s="1"/>
  <c r="T112" i="17" s="1"/>
  <c r="T130" i="15"/>
  <c r="T114" i="15" s="1"/>
  <c r="T151" i="25"/>
  <c r="AV71" i="4"/>
  <c r="AH337" i="3"/>
  <c r="AI337" i="3" s="1"/>
  <c r="AE337" i="3"/>
  <c r="AV153" i="16"/>
  <c r="AW152" i="16"/>
  <c r="E381" i="4"/>
  <c r="E382" i="4"/>
  <c r="AJ48" i="18"/>
  <c r="AA46" i="10"/>
  <c r="AB45" i="10"/>
  <c r="N380" i="4"/>
  <c r="AF57" i="20"/>
  <c r="AG56" i="20"/>
  <c r="F475" i="3"/>
  <c r="F476" i="3"/>
  <c r="AN229" i="13"/>
  <c r="AM230" i="13"/>
  <c r="U126" i="15"/>
  <c r="U110" i="15" s="1"/>
  <c r="AJ70" i="18"/>
  <c r="AK69" i="18"/>
  <c r="AH117" i="16"/>
  <c r="AG118" i="16"/>
  <c r="BB186" i="20"/>
  <c r="BR184" i="12" s="1"/>
  <c r="BH184" i="12" s="1"/>
  <c r="AZ186" i="20"/>
  <c r="K40" i="6"/>
  <c r="AG22" i="20"/>
  <c r="AF23" i="20"/>
  <c r="AW32" i="14"/>
  <c r="AX31" i="14"/>
  <c r="AD447" i="13"/>
  <c r="AD26" i="13" s="1"/>
  <c r="BV26" i="13" s="1"/>
  <c r="AD419" i="13"/>
  <c r="AD431" i="13" s="1"/>
  <c r="AD25" i="13" s="1"/>
  <c r="BV25" i="13" s="1"/>
  <c r="AI447" i="13"/>
  <c r="AI26" i="13" s="1"/>
  <c r="CA26" i="13" s="1"/>
  <c r="AI419" i="13"/>
  <c r="AI431" i="13" s="1"/>
  <c r="AI25" i="13" s="1"/>
  <c r="CA25" i="13" s="1"/>
  <c r="V419" i="13"/>
  <c r="V431" i="13" s="1"/>
  <c r="V25" i="13" s="1"/>
  <c r="BN25" i="13" s="1"/>
  <c r="V447" i="13"/>
  <c r="V26" i="13" s="1"/>
  <c r="BN26" i="13" s="1"/>
  <c r="AX80" i="20"/>
  <c r="U37" i="4"/>
  <c r="AX45" i="20"/>
  <c r="C340" i="3"/>
  <c r="C344" i="3"/>
  <c r="AK106" i="20"/>
  <c r="AJ107" i="20"/>
  <c r="I241" i="4"/>
  <c r="I245" i="4"/>
  <c r="AO130" i="20"/>
  <c r="AL131" i="20"/>
  <c r="V121" i="15"/>
  <c r="V105" i="15" s="1"/>
  <c r="AJ166" i="20"/>
  <c r="AK165" i="20"/>
  <c r="H340" i="3"/>
  <c r="M409" i="3"/>
  <c r="M424" i="3"/>
  <c r="N474" i="3"/>
  <c r="L310" i="3"/>
  <c r="L176" i="3"/>
  <c r="AE128" i="22"/>
  <c r="AD129" i="22"/>
  <c r="AK153" i="20"/>
  <c r="AJ154" i="20"/>
  <c r="AK20" i="16"/>
  <c r="AJ21" i="16"/>
  <c r="G311" i="4"/>
  <c r="G326" i="4"/>
  <c r="AM234" i="13"/>
  <c r="X419" i="13"/>
  <c r="X431" i="13" s="1"/>
  <c r="X25" i="13" s="1"/>
  <c r="BP25" i="13" s="1"/>
  <c r="X447" i="13"/>
  <c r="X26" i="13" s="1"/>
  <c r="BP26" i="13" s="1"/>
  <c r="R419" i="13"/>
  <c r="R431" i="13" s="1"/>
  <c r="R25" i="13" s="1"/>
  <c r="BJ25" i="13" s="1"/>
  <c r="R447" i="13"/>
  <c r="R26" i="13" s="1"/>
  <c r="BJ26" i="13" s="1"/>
  <c r="AI92" i="16"/>
  <c r="AK91" i="16"/>
  <c r="BA91" i="16" s="1"/>
  <c r="AR104" i="16"/>
  <c r="AT103" i="16"/>
  <c r="BA103" i="16" s="1"/>
  <c r="W126" i="26"/>
  <c r="V58" i="8"/>
  <c r="U59" i="8"/>
  <c r="R46" i="4"/>
  <c r="R22" i="5" s="1"/>
  <c r="AX93" i="16"/>
  <c r="AZ92" i="16"/>
  <c r="U128" i="26"/>
  <c r="V127" i="26"/>
  <c r="E29" i="17"/>
  <c r="E4" i="2"/>
  <c r="V92" i="8"/>
  <c r="U93" i="8"/>
  <c r="Q245" i="4"/>
  <c r="J311" i="3"/>
  <c r="AD165" i="3"/>
  <c r="BT10" i="13"/>
  <c r="AB31" i="1"/>
  <c r="AJ22" i="22"/>
  <c r="AU21" i="22"/>
  <c r="AL21" i="22"/>
  <c r="CE10" i="13"/>
  <c r="AN152" i="14"/>
  <c r="AK153" i="14"/>
  <c r="AW93" i="16"/>
  <c r="AV94" i="16"/>
  <c r="AA129" i="10"/>
  <c r="AB128" i="10"/>
  <c r="AC128" i="10" s="1"/>
  <c r="P40" i="6"/>
  <c r="P18" i="6"/>
  <c r="AU20" i="20"/>
  <c r="Z21" i="20"/>
  <c r="AA20" i="20"/>
  <c r="BD27" i="13"/>
  <c r="L3" i="2"/>
  <c r="L7" i="2" s="1"/>
  <c r="L17" i="2" s="1"/>
  <c r="AG153" i="22"/>
  <c r="AH152" i="22"/>
  <c r="AN141" i="16"/>
  <c r="AM142" i="16"/>
  <c r="S10" i="10"/>
  <c r="R11" i="10"/>
  <c r="AQ44" i="16"/>
  <c r="AP45" i="16"/>
  <c r="AO177" i="22"/>
  <c r="AP176" i="22"/>
  <c r="E425" i="3"/>
  <c r="E410" i="3"/>
  <c r="AX118" i="16"/>
  <c r="AZ117" i="16"/>
  <c r="AG11" i="22"/>
  <c r="AH10" i="22"/>
  <c r="AP12" i="20"/>
  <c r="AR11" i="20"/>
  <c r="AO129" i="22"/>
  <c r="AP128" i="22"/>
  <c r="AV128" i="22"/>
  <c r="AW55" i="20"/>
  <c r="AV55" i="20"/>
  <c r="AZ55" i="20" s="1"/>
  <c r="S80" i="11"/>
  <c r="AR35" i="20"/>
  <c r="AP36" i="20"/>
  <c r="AL180" i="14"/>
  <c r="AZ179" i="14"/>
  <c r="AA33" i="22"/>
  <c r="AB32" i="22"/>
  <c r="V216" i="4"/>
  <c r="AZ54" i="11"/>
  <c r="N407" i="19"/>
  <c r="N389" i="19"/>
  <c r="N375" i="19"/>
  <c r="N374" i="19"/>
  <c r="AK117" i="16"/>
  <c r="AJ118" i="16"/>
  <c r="BE138" i="14"/>
  <c r="BC138" i="14"/>
  <c r="AR177" i="14"/>
  <c r="AO178" i="14"/>
  <c r="AY177" i="14"/>
  <c r="AS104" i="20"/>
  <c r="Y105" i="20"/>
  <c r="AH57" i="18"/>
  <c r="BB57" i="18"/>
  <c r="AG58" i="18"/>
  <c r="V134" i="19"/>
  <c r="W134" i="19" s="1"/>
  <c r="K482" i="3"/>
  <c r="AD449" i="3"/>
  <c r="AH449" i="3" s="1"/>
  <c r="AG442" i="3"/>
  <c r="AF442" i="3"/>
  <c r="O475" i="3"/>
  <c r="AE442" i="3"/>
  <c r="W40" i="4"/>
  <c r="AM33" i="14"/>
  <c r="BA32" i="14"/>
  <c r="V138" i="21"/>
  <c r="AI397" i="3"/>
  <c r="AV120" i="18"/>
  <c r="AW119" i="18"/>
  <c r="AM24" i="14"/>
  <c r="BJ10" i="13"/>
  <c r="R31" i="1"/>
  <c r="V120" i="15"/>
  <c r="AY20" i="15"/>
  <c r="AX20" i="15"/>
  <c r="DA20" i="15" s="1"/>
  <c r="AO232" i="13"/>
  <c r="AH402" i="3"/>
  <c r="AI402" i="3" s="1"/>
  <c r="AE402" i="3"/>
  <c r="AR33" i="22"/>
  <c r="AS32" i="22"/>
  <c r="AV32" i="22"/>
  <c r="AW32" i="22" s="1"/>
  <c r="AZ57" i="16"/>
  <c r="AX58" i="16"/>
  <c r="AJ230" i="11"/>
  <c r="AJ238" i="11"/>
  <c r="AJ229" i="11"/>
  <c r="AJ237" i="11"/>
  <c r="AJ236" i="11"/>
  <c r="AJ232" i="11"/>
  <c r="AJ234" i="11"/>
  <c r="AJ240" i="11"/>
  <c r="AJ233" i="11"/>
  <c r="AJ239" i="11"/>
  <c r="AJ231" i="11"/>
  <c r="AJ235" i="11"/>
  <c r="AP70" i="20"/>
  <c r="AR69" i="20"/>
  <c r="AB93" i="8"/>
  <c r="AA94" i="8"/>
  <c r="T347" i="11"/>
  <c r="AV129" i="16"/>
  <c r="AW128" i="16"/>
  <c r="U151" i="25"/>
  <c r="T132" i="21"/>
  <c r="AO234" i="13"/>
  <c r="O30" i="21"/>
  <c r="K381" i="4"/>
  <c r="AC140" i="8"/>
  <c r="AZ30" i="20"/>
  <c r="J474" i="3"/>
  <c r="AD441" i="3"/>
  <c r="J475" i="3"/>
  <c r="Y214" i="4"/>
  <c r="AB165" i="10"/>
  <c r="AA166" i="10"/>
  <c r="S316" i="17"/>
  <c r="X302" i="15"/>
  <c r="AK129" i="14"/>
  <c r="AN128" i="14"/>
  <c r="E50" i="11"/>
  <c r="L310" i="4"/>
  <c r="L325" i="4"/>
  <c r="S339" i="13"/>
  <c r="AI140" i="18"/>
  <c r="AK139" i="18"/>
  <c r="U302" i="15"/>
  <c r="B40" i="6"/>
  <c r="U38" i="4"/>
  <c r="AJ177" i="16"/>
  <c r="AK176" i="16"/>
  <c r="AS119" i="16"/>
  <c r="T158" i="17"/>
  <c r="T126" i="17" s="1"/>
  <c r="T110" i="17" s="1"/>
  <c r="T128" i="15"/>
  <c r="T112" i="15" s="1"/>
  <c r="AU106" i="22"/>
  <c r="AJ107" i="22"/>
  <c r="L87" i="5"/>
  <c r="L120" i="5" s="1"/>
  <c r="L80" i="5"/>
  <c r="R166" i="24"/>
  <c r="S165" i="24"/>
  <c r="R47" i="8"/>
  <c r="S46" i="8"/>
  <c r="V155" i="15"/>
  <c r="W155" i="15" s="1"/>
  <c r="AA106" i="22"/>
  <c r="AB105" i="22"/>
  <c r="AD331" i="3"/>
  <c r="AH331" i="3" s="1"/>
  <c r="AJ167" i="18"/>
  <c r="V103" i="26"/>
  <c r="W103" i="26" s="1"/>
  <c r="U104" i="26"/>
  <c r="AQ36" i="22"/>
  <c r="AT35" i="22"/>
  <c r="AV59" i="16"/>
  <c r="AW58" i="16"/>
  <c r="AT144" i="4"/>
  <c r="AU144" i="4" s="1"/>
  <c r="BA127" i="16"/>
  <c r="T120" i="10"/>
  <c r="V119" i="10"/>
  <c r="AA35" i="10"/>
  <c r="AB34" i="10"/>
  <c r="AX154" i="18"/>
  <c r="AZ153" i="18"/>
  <c r="AT128" i="20"/>
  <c r="AI129" i="20"/>
  <c r="AK128" i="20"/>
  <c r="T339" i="13"/>
  <c r="S106" i="8"/>
  <c r="R107" i="8"/>
  <c r="CC10" i="13"/>
  <c r="X35" i="8"/>
  <c r="AA106" i="8"/>
  <c r="AB105" i="8"/>
  <c r="AI165" i="20"/>
  <c r="AT164" i="20"/>
  <c r="AX164" i="20" s="1"/>
  <c r="AR33" i="18"/>
  <c r="AT32" i="18"/>
  <c r="S178" i="24"/>
  <c r="R179" i="24"/>
  <c r="AH85" i="3"/>
  <c r="AI85" i="3" s="1"/>
  <c r="AE85" i="3"/>
  <c r="CA10" i="13"/>
  <c r="D310" i="4"/>
  <c r="D325" i="4"/>
  <c r="AS232" i="4"/>
  <c r="AR81" i="22"/>
  <c r="AV80" i="22"/>
  <c r="AS80" i="22"/>
  <c r="H408" i="19"/>
  <c r="H390" i="19"/>
  <c r="U123" i="10"/>
  <c r="S180" i="4"/>
  <c r="AY68" i="20"/>
  <c r="G32" i="13"/>
  <c r="G3" i="2"/>
  <c r="AG166" i="18"/>
  <c r="BB165" i="18"/>
  <c r="AQ22" i="18"/>
  <c r="AP23" i="18"/>
  <c r="AW8" i="14"/>
  <c r="AX7" i="14"/>
  <c r="AG45" i="16"/>
  <c r="AH44" i="16"/>
  <c r="V55" i="26"/>
  <c r="W55" i="26" s="1"/>
  <c r="U56" i="26"/>
  <c r="BB8" i="18"/>
  <c r="BC8" i="18" s="1"/>
  <c r="AN121" i="22"/>
  <c r="AP120" i="22"/>
  <c r="S45" i="10"/>
  <c r="R46" i="10"/>
  <c r="T44" i="4"/>
  <c r="AQ26" i="22"/>
  <c r="AD81" i="20"/>
  <c r="AC82" i="20"/>
  <c r="AT68" i="22"/>
  <c r="AQ69" i="22"/>
  <c r="B176" i="3"/>
  <c r="B310" i="3"/>
  <c r="B322" i="3" s="1"/>
  <c r="J481" i="3"/>
  <c r="AD448" i="3"/>
  <c r="AH448" i="3" s="1"/>
  <c r="J482" i="3"/>
  <c r="Q326" i="13"/>
  <c r="Q351" i="13"/>
  <c r="AX93" i="18"/>
  <c r="AZ92" i="18"/>
  <c r="Q112" i="5"/>
  <c r="AS166" i="18"/>
  <c r="R58" i="10"/>
  <c r="S57" i="10"/>
  <c r="AC57" i="10" s="1"/>
  <c r="BB44" i="18"/>
  <c r="AH44" i="18"/>
  <c r="AG45" i="18"/>
  <c r="AI128" i="16"/>
  <c r="AK127" i="16"/>
  <c r="B457" i="3"/>
  <c r="B458" i="3" s="1"/>
  <c r="B459" i="3" s="1"/>
  <c r="B460" i="3" s="1"/>
  <c r="B461" i="3" s="1"/>
  <c r="B462" i="3" s="1"/>
  <c r="B463" i="3" s="1"/>
  <c r="B464" i="3" s="1"/>
  <c r="B465" i="3" s="1"/>
  <c r="B466" i="3" s="1"/>
  <c r="B467" i="3" s="1"/>
  <c r="B468" i="3" s="1"/>
  <c r="B452" i="3"/>
  <c r="T39" i="4"/>
  <c r="O3" i="25"/>
  <c r="AR3" i="23"/>
  <c r="O13" i="23"/>
  <c r="O35" i="6"/>
  <c r="O34" i="6" s="1"/>
  <c r="L13" i="6"/>
  <c r="Z162" i="24"/>
  <c r="BS160" i="12" s="1"/>
  <c r="BI160" i="12" s="1"/>
  <c r="X162" i="24"/>
  <c r="F86" i="5"/>
  <c r="F119" i="5" s="1"/>
  <c r="F72" i="5"/>
  <c r="AV77" i="4"/>
  <c r="AQ22" i="14"/>
  <c r="BA21" i="14"/>
  <c r="K320" i="3"/>
  <c r="AD174" i="3"/>
  <c r="AH174" i="3" s="1"/>
  <c r="AR165" i="22"/>
  <c r="AS164" i="22"/>
  <c r="AV164" i="22"/>
  <c r="AW164" i="22" s="1"/>
  <c r="BA164" i="22" s="1"/>
  <c r="AQ58" i="14"/>
  <c r="BA57" i="14"/>
  <c r="V346" i="11"/>
  <c r="W346" i="11" s="1"/>
  <c r="BD66" i="18"/>
  <c r="R151" i="25"/>
  <c r="AN23" i="21"/>
  <c r="AG141" i="22"/>
  <c r="AH140" i="22"/>
  <c r="K319" i="3"/>
  <c r="AD173" i="3"/>
  <c r="AH173" i="3" s="1"/>
  <c r="BA151" i="16"/>
  <c r="BB151" i="16" s="1"/>
  <c r="M40" i="6"/>
  <c r="R24" i="26"/>
  <c r="I379" i="4"/>
  <c r="I380" i="4"/>
  <c r="BV10" i="13"/>
  <c r="AD31" i="1"/>
  <c r="U56" i="24"/>
  <c r="V55" i="24"/>
  <c r="W55" i="24" s="1"/>
  <c r="R72" i="24"/>
  <c r="S71" i="24"/>
  <c r="AN227" i="13"/>
  <c r="W42" i="26"/>
  <c r="AM231" i="13"/>
  <c r="AU92" i="22"/>
  <c r="AW92" i="22" s="1"/>
  <c r="AJ93" i="22"/>
  <c r="U21" i="8"/>
  <c r="V20" i="8"/>
  <c r="AC20" i="8" s="1"/>
  <c r="R292" i="3"/>
  <c r="AX113" i="12"/>
  <c r="AY112" i="12"/>
  <c r="AY124" i="12"/>
  <c r="AI399" i="3"/>
  <c r="BA186" i="22"/>
  <c r="AJ154" i="18"/>
  <c r="AK153" i="18"/>
  <c r="AE447" i="13"/>
  <c r="AE26" i="13" s="1"/>
  <c r="BW26" i="13" s="1"/>
  <c r="AE419" i="13"/>
  <c r="AE431" i="13" s="1"/>
  <c r="AE25" i="13" s="1"/>
  <c r="BW25" i="13" s="1"/>
  <c r="AO9" i="14"/>
  <c r="AR8" i="14"/>
  <c r="AY8" i="14"/>
  <c r="BB8" i="14" s="1"/>
  <c r="Y103" i="11"/>
  <c r="AW127" i="20"/>
  <c r="AV127" i="20"/>
  <c r="AZ127" i="20" s="1"/>
  <c r="AT46" i="20"/>
  <c r="AI47" i="20"/>
  <c r="AP164" i="14"/>
  <c r="AR163" i="14"/>
  <c r="I50" i="11"/>
  <c r="AT157" i="4"/>
  <c r="AU157" i="4" s="1"/>
  <c r="AW33" i="16"/>
  <c r="AV34" i="16"/>
  <c r="V205" i="21"/>
  <c r="R161" i="17"/>
  <c r="R129" i="17" s="1"/>
  <c r="R113" i="17" s="1"/>
  <c r="R131" i="15"/>
  <c r="R115" i="15" s="1"/>
  <c r="R116" i="15" s="1"/>
  <c r="AI56" i="18"/>
  <c r="AK55" i="18"/>
  <c r="BA55" i="18"/>
  <c r="BC55" i="18" s="1"/>
  <c r="AD38" i="5"/>
  <c r="AC38" i="5"/>
  <c r="AK105" i="14"/>
  <c r="AN104" i="14"/>
  <c r="AD54" i="5"/>
  <c r="AC54" i="5"/>
  <c r="P79" i="5"/>
  <c r="Q25" i="17"/>
  <c r="AH25" i="17" s="1"/>
  <c r="AH26" i="17"/>
  <c r="R71" i="10"/>
  <c r="S70" i="10"/>
  <c r="AZ140" i="14"/>
  <c r="AL141" i="14"/>
  <c r="AN140" i="14"/>
  <c r="AH89" i="3"/>
  <c r="AI89" i="3" s="1"/>
  <c r="AE89" i="3"/>
  <c r="AW175" i="20"/>
  <c r="AV175" i="20"/>
  <c r="S237" i="21"/>
  <c r="S14" i="21" s="1"/>
  <c r="S12" i="21" s="1"/>
  <c r="S193" i="21"/>
  <c r="S205" i="21" s="1"/>
  <c r="AR105" i="20"/>
  <c r="AP106" i="20"/>
  <c r="AO74" i="22"/>
  <c r="AP73" i="22"/>
  <c r="E3" i="2"/>
  <c r="E7" i="2" s="1"/>
  <c r="E17" i="2" s="1"/>
  <c r="S157" i="17"/>
  <c r="S125" i="17" s="1"/>
  <c r="S109" i="17" s="1"/>
  <c r="S127" i="15"/>
  <c r="S111" i="15" s="1"/>
  <c r="BD20" i="15"/>
  <c r="Q128" i="26"/>
  <c r="S127" i="26"/>
  <c r="AF142" i="16"/>
  <c r="AH141" i="16"/>
  <c r="AZ176" i="22"/>
  <c r="AZ33" i="16"/>
  <c r="AX34" i="16"/>
  <c r="AS70" i="16"/>
  <c r="AT69" i="16"/>
  <c r="AN176" i="16"/>
  <c r="AM177" i="16"/>
  <c r="AJ117" i="18"/>
  <c r="AK116" i="18"/>
  <c r="BB116" i="18"/>
  <c r="AC45" i="20"/>
  <c r="AD44" i="20"/>
  <c r="AU44" i="20"/>
  <c r="AY44" i="20" s="1"/>
  <c r="W331" i="19"/>
  <c r="K13" i="23"/>
  <c r="AL13" i="25" s="1"/>
  <c r="AJ3" i="23"/>
  <c r="K35" i="6"/>
  <c r="K34" i="6" s="1"/>
  <c r="BE66" i="14"/>
  <c r="BC66" i="14"/>
  <c r="AS8" i="22"/>
  <c r="AV8" i="22"/>
  <c r="AR9" i="22"/>
  <c r="AP60" i="18"/>
  <c r="AD96" i="5"/>
  <c r="AC96" i="5"/>
  <c r="AB96" i="5"/>
  <c r="F390" i="19"/>
  <c r="F408" i="19"/>
  <c r="AX117" i="20"/>
  <c r="Y179" i="20"/>
  <c r="AK46" i="14"/>
  <c r="AN45" i="14"/>
  <c r="W150" i="26"/>
  <c r="X162" i="26" s="1"/>
  <c r="F311" i="4"/>
  <c r="F326" i="4"/>
  <c r="AZ25" i="16"/>
  <c r="AX26" i="16"/>
  <c r="AF130" i="20"/>
  <c r="AG129" i="20"/>
  <c r="M55" i="5"/>
  <c r="AY151" i="22"/>
  <c r="AY163" i="22"/>
  <c r="BC7" i="11"/>
  <c r="AT7" i="11"/>
  <c r="L20" i="6"/>
  <c r="AT143" i="20"/>
  <c r="AI144" i="20"/>
  <c r="AF164" i="3"/>
  <c r="AE164" i="3"/>
  <c r="O310" i="3"/>
  <c r="O322" i="3" s="1"/>
  <c r="O176" i="3"/>
  <c r="AG164" i="3"/>
  <c r="AB93" i="10"/>
  <c r="AA94" i="10"/>
  <c r="AN46" i="16"/>
  <c r="AM47" i="16"/>
  <c r="AJ58" i="16"/>
  <c r="AK57" i="16"/>
  <c r="AK143" i="14"/>
  <c r="U140" i="24"/>
  <c r="V139" i="24"/>
  <c r="W139" i="24" s="1"/>
  <c r="P409" i="3"/>
  <c r="P424" i="3"/>
  <c r="AA178" i="22"/>
  <c r="AB177" i="22"/>
  <c r="AD143" i="20"/>
  <c r="AC144" i="20"/>
  <c r="D245" i="4"/>
  <c r="D241" i="4"/>
  <c r="AG82" i="18"/>
  <c r="AH81" i="18"/>
  <c r="AH185" i="3"/>
  <c r="AI185" i="3" s="1"/>
  <c r="AE185" i="3"/>
  <c r="S292" i="3"/>
  <c r="U133" i="10"/>
  <c r="AI92" i="18"/>
  <c r="BA91" i="18"/>
  <c r="BC91" i="18" s="1"/>
  <c r="BD91" i="18" s="1"/>
  <c r="AK91" i="18"/>
  <c r="AZ54" i="20"/>
  <c r="Z419" i="13"/>
  <c r="Z431" i="13" s="1"/>
  <c r="Z25" i="13" s="1"/>
  <c r="BR25" i="13" s="1"/>
  <c r="Z447" i="13"/>
  <c r="Z26" i="13" s="1"/>
  <c r="BR26" i="13" s="1"/>
  <c r="AI82" i="20"/>
  <c r="AT81" i="20"/>
  <c r="AS106" i="16"/>
  <c r="AA343" i="19"/>
  <c r="AB343" i="19" s="1"/>
  <c r="AM10" i="16"/>
  <c r="AN9" i="16"/>
  <c r="AX127" i="20"/>
  <c r="AX139" i="20"/>
  <c r="AB69" i="22"/>
  <c r="AA70" i="22"/>
  <c r="BE172" i="12"/>
  <c r="R25" i="17"/>
  <c r="AI25" i="17" s="1"/>
  <c r="AI26" i="17"/>
  <c r="AE93" i="3"/>
  <c r="AD104" i="8"/>
  <c r="B30" i="21"/>
  <c r="BA164" i="18"/>
  <c r="BC164" i="18" s="1"/>
  <c r="BD164" i="18" s="1"/>
  <c r="AF165" i="18"/>
  <c r="R36" i="10"/>
  <c r="AD118" i="22"/>
  <c r="AE117" i="22"/>
  <c r="AV163" i="14"/>
  <c r="AS164" i="14"/>
  <c r="O353" i="4"/>
  <c r="O358" i="4"/>
  <c r="O373" i="4"/>
  <c r="AM62" i="14"/>
  <c r="AH164" i="18"/>
  <c r="AV68" i="22"/>
  <c r="AS68" i="22"/>
  <c r="AR69" i="22"/>
  <c r="J325" i="4"/>
  <c r="J310" i="4"/>
  <c r="U164" i="24"/>
  <c r="V163" i="24"/>
  <c r="W163" i="24" s="1"/>
  <c r="AU160" i="4"/>
  <c r="E80" i="5"/>
  <c r="E84" i="5"/>
  <c r="V104" i="11"/>
  <c r="U359" i="13"/>
  <c r="U343" i="13" s="1"/>
  <c r="U329" i="11"/>
  <c r="U184" i="4" s="1"/>
  <c r="U248" i="3"/>
  <c r="U200" i="4"/>
  <c r="AH186" i="3"/>
  <c r="AI186" i="3" s="1"/>
  <c r="AE186" i="3"/>
  <c r="AO57" i="16"/>
  <c r="AQ56" i="16"/>
  <c r="AB164" i="22"/>
  <c r="AA165" i="22"/>
  <c r="AD175" i="8"/>
  <c r="Z179" i="20"/>
  <c r="AA178" i="20"/>
  <c r="AD333" i="3"/>
  <c r="V301" i="15"/>
  <c r="G410" i="3"/>
  <c r="G425" i="3"/>
  <c r="AZ163" i="22"/>
  <c r="AZ71" i="4"/>
  <c r="X347" i="19"/>
  <c r="T135" i="21"/>
  <c r="Y135" i="19"/>
  <c r="Q237" i="21"/>
  <c r="Q14" i="21" s="1"/>
  <c r="Q196" i="21"/>
  <c r="Q205" i="21" s="1"/>
  <c r="AQ180" i="22"/>
  <c r="U162" i="15"/>
  <c r="V162" i="15" s="1"/>
  <c r="AK105" i="16"/>
  <c r="AJ106" i="16"/>
  <c r="AN20" i="18"/>
  <c r="AM21" i="18"/>
  <c r="AM33" i="18"/>
  <c r="BB33" i="18" s="1"/>
  <c r="AN32" i="18"/>
  <c r="N29" i="6"/>
  <c r="J40" i="6"/>
  <c r="J18" i="6"/>
  <c r="AN236" i="13"/>
  <c r="U44" i="26"/>
  <c r="V43" i="26"/>
  <c r="W43" i="26" s="1"/>
  <c r="AM227" i="13"/>
  <c r="AG69" i="18"/>
  <c r="AH68" i="18"/>
  <c r="BB68" i="18"/>
  <c r="AL237" i="13"/>
  <c r="F410" i="3"/>
  <c r="F425" i="3"/>
  <c r="AR44" i="16"/>
  <c r="AT43" i="16"/>
  <c r="BA43" i="16" s="1"/>
  <c r="S94" i="10"/>
  <c r="R95" i="10"/>
  <c r="AU92" i="20"/>
  <c r="AY92" i="20" s="1"/>
  <c r="AY164" i="20"/>
  <c r="O374" i="4"/>
  <c r="S419" i="13"/>
  <c r="S431" i="13" s="1"/>
  <c r="S25" i="13" s="1"/>
  <c r="BK25" i="13" s="1"/>
  <c r="S447" i="13"/>
  <c r="S26" i="13" s="1"/>
  <c r="BK26" i="13" s="1"/>
  <c r="AI32" i="16"/>
  <c r="AK31" i="16"/>
  <c r="BA31" i="16" s="1"/>
  <c r="AS128" i="20"/>
  <c r="Y129" i="20"/>
  <c r="AH34" i="16"/>
  <c r="AG35" i="16"/>
  <c r="S348" i="19"/>
  <c r="S332" i="19" s="1"/>
  <c r="C176" i="3"/>
  <c r="C310" i="3"/>
  <c r="C322" i="3" s="1"/>
  <c r="AQ34" i="18"/>
  <c r="AP35" i="18"/>
  <c r="B3" i="2"/>
  <c r="B7" i="2" s="1"/>
  <c r="S62" i="11"/>
  <c r="AW165" i="16"/>
  <c r="AV166" i="16"/>
  <c r="J16" i="25"/>
  <c r="AK13" i="25"/>
  <c r="J6" i="2"/>
  <c r="B72" i="5"/>
  <c r="B84" i="5"/>
  <c r="AL72" i="14"/>
  <c r="AQ129" i="22"/>
  <c r="AT128" i="22"/>
  <c r="AS128" i="22"/>
  <c r="V237" i="21"/>
  <c r="V14" i="21" s="1"/>
  <c r="V12" i="21" s="1"/>
  <c r="H373" i="4"/>
  <c r="H353" i="4"/>
  <c r="H358" i="4"/>
  <c r="H374" i="4"/>
  <c r="U125" i="15"/>
  <c r="U109" i="15" s="1"/>
  <c r="D8" i="6"/>
  <c r="P382" i="4"/>
  <c r="AT116" i="22"/>
  <c r="AW116" i="22" s="1"/>
  <c r="AQ117" i="22"/>
  <c r="W152" i="15"/>
  <c r="BK10" i="13"/>
  <c r="S31" i="1"/>
  <c r="AA93" i="22"/>
  <c r="AB92" i="22"/>
  <c r="AY135" i="12"/>
  <c r="AX136" i="12"/>
  <c r="H40" i="6"/>
  <c r="H18" i="6"/>
  <c r="O31" i="13"/>
  <c r="O32" i="13" s="1"/>
  <c r="O35" i="11"/>
  <c r="BI27" i="11"/>
  <c r="O33" i="11"/>
  <c r="O34" i="11" s="1"/>
  <c r="O4" i="6"/>
  <c r="D458" i="3"/>
  <c r="AG331" i="3"/>
  <c r="AI331" i="3" s="1"/>
  <c r="AF331" i="3"/>
  <c r="R366" i="13"/>
  <c r="R350" i="13" s="1"/>
  <c r="R336" i="11"/>
  <c r="R207" i="4"/>
  <c r="R208" i="4" s="1"/>
  <c r="T19" i="5"/>
  <c r="BD46" i="11"/>
  <c r="L238" i="4"/>
  <c r="L241" i="4" s="1"/>
  <c r="X323" i="19"/>
  <c r="V131" i="8"/>
  <c r="U132" i="8"/>
  <c r="V140" i="26"/>
  <c r="U141" i="26"/>
  <c r="P478" i="3"/>
  <c r="P479" i="3"/>
  <c r="AH95" i="3"/>
  <c r="AI95" i="3" s="1"/>
  <c r="AE95" i="3"/>
  <c r="N409" i="3"/>
  <c r="N424" i="3"/>
  <c r="AP231" i="13"/>
  <c r="T351" i="11"/>
  <c r="D373" i="4"/>
  <c r="D353" i="4"/>
  <c r="D358" i="4"/>
  <c r="D374" i="4"/>
  <c r="AR56" i="16"/>
  <c r="AT55" i="16"/>
  <c r="BA55" i="16" s="1"/>
  <c r="AO229" i="13"/>
  <c r="AL129" i="14"/>
  <c r="AZ128" i="14"/>
  <c r="T56" i="11"/>
  <c r="CB10" i="13"/>
  <c r="AN128" i="16"/>
  <c r="AM129" i="16"/>
  <c r="AM105" i="14"/>
  <c r="BA104" i="14"/>
  <c r="AJ178" i="20"/>
  <c r="AK177" i="20"/>
  <c r="AO237" i="13"/>
  <c r="L261" i="4"/>
  <c r="L246" i="4"/>
  <c r="AN80" i="14"/>
  <c r="AK81" i="14"/>
  <c r="AB69" i="10"/>
  <c r="AA70" i="10"/>
  <c r="AB57" i="8"/>
  <c r="AC57" i="8" s="1"/>
  <c r="AD57" i="8" s="1"/>
  <c r="AA58" i="8"/>
  <c r="U39" i="4"/>
  <c r="AJ34" i="16"/>
  <c r="AS82" i="16"/>
  <c r="AD93" i="22"/>
  <c r="AE92" i="22"/>
  <c r="AP228" i="13"/>
  <c r="W327" i="11"/>
  <c r="W182" i="4" s="1"/>
  <c r="V304" i="15"/>
  <c r="BI7" i="11"/>
  <c r="O20" i="6"/>
  <c r="AO166" i="22"/>
  <c r="AP165" i="22"/>
  <c r="CD10" i="13"/>
  <c r="AX69" i="16"/>
  <c r="AZ68" i="16"/>
  <c r="BA68" i="16" s="1"/>
  <c r="BB176" i="18"/>
  <c r="AS44" i="20"/>
  <c r="Y45" i="20"/>
  <c r="AA44" i="20"/>
  <c r="F8" i="6"/>
  <c r="Y34" i="20"/>
  <c r="AV104" i="22"/>
  <c r="AS104" i="22"/>
  <c r="AR105" i="22"/>
  <c r="CG10" i="13"/>
  <c r="AQ236" i="11"/>
  <c r="AQ235" i="11"/>
  <c r="AQ234" i="11"/>
  <c r="AQ238" i="11"/>
  <c r="AQ233" i="11"/>
  <c r="AQ231" i="11"/>
  <c r="AQ239" i="11"/>
  <c r="AQ237" i="11"/>
  <c r="AQ232" i="11"/>
  <c r="AQ230" i="11"/>
  <c r="AQ240" i="11"/>
  <c r="AQ229" i="11"/>
  <c r="U329" i="19"/>
  <c r="X345" i="19"/>
  <c r="W345" i="19"/>
  <c r="V345" i="19"/>
  <c r="AG133" i="16"/>
  <c r="AH132" i="16"/>
  <c r="AR56" i="18"/>
  <c r="AT55" i="18"/>
  <c r="BN10" i="13"/>
  <c r="V31" i="1"/>
  <c r="D14" i="2"/>
  <c r="D15" i="2"/>
  <c r="N55" i="5"/>
  <c r="C457" i="3"/>
  <c r="C473" i="3"/>
  <c r="C452" i="3"/>
  <c r="AY103" i="20"/>
  <c r="AC92" i="10"/>
  <c r="AD105" i="20"/>
  <c r="AC106" i="20"/>
  <c r="V105" i="11"/>
  <c r="AQ69" i="14"/>
  <c r="BA68" i="14"/>
  <c r="AC419" i="13"/>
  <c r="AC431" i="13" s="1"/>
  <c r="AC25" i="13" s="1"/>
  <c r="BU25" i="13" s="1"/>
  <c r="AC447" i="13"/>
  <c r="AC26" i="13" s="1"/>
  <c r="BU26" i="13" s="1"/>
  <c r="AS234" i="4"/>
  <c r="Q344" i="3"/>
  <c r="S363" i="13"/>
  <c r="S347" i="13" s="1"/>
  <c r="S331" i="13" s="1"/>
  <c r="S333" i="11"/>
  <c r="S188" i="4" s="1"/>
  <c r="S204" i="4"/>
  <c r="S252" i="3"/>
  <c r="S236" i="3" s="1"/>
  <c r="T349" i="11"/>
  <c r="T381" i="11"/>
  <c r="B18" i="6"/>
  <c r="AO10" i="22"/>
  <c r="AP9" i="22"/>
  <c r="AE166" i="22"/>
  <c r="AD167" i="22"/>
  <c r="AM237" i="13"/>
  <c r="AX23" i="18"/>
  <c r="AZ22" i="18"/>
  <c r="U45" i="24"/>
  <c r="V44" i="24"/>
  <c r="AU32" i="20"/>
  <c r="X166" i="10"/>
  <c r="Y165" i="10"/>
  <c r="AK71" i="22"/>
  <c r="AI165" i="18"/>
  <c r="AK164" i="18"/>
  <c r="X370" i="19"/>
  <c r="X376" i="19" s="1"/>
  <c r="Y29" i="19"/>
  <c r="S59" i="11"/>
  <c r="T75" i="11"/>
  <c r="U75" i="11" s="1"/>
  <c r="AK11" i="14"/>
  <c r="T325" i="11"/>
  <c r="AZ326" i="11" s="1"/>
  <c r="O28" i="15"/>
  <c r="BL15" i="7"/>
  <c r="M3" i="6"/>
  <c r="AH167" i="16"/>
  <c r="AG168" i="16"/>
  <c r="U143" i="10"/>
  <c r="P452" i="3"/>
  <c r="P473" i="3"/>
  <c r="P457" i="3"/>
  <c r="AH106" i="18"/>
  <c r="AG107" i="18"/>
  <c r="Y93" i="8"/>
  <c r="X94" i="8"/>
  <c r="AO129" i="14"/>
  <c r="AR128" i="14"/>
  <c r="AS181" i="14"/>
  <c r="AV180" i="14"/>
  <c r="AP71" i="18"/>
  <c r="AQ70" i="18"/>
  <c r="AJ94" i="18"/>
  <c r="AU69" i="20"/>
  <c r="AA69" i="20"/>
  <c r="Z70" i="20"/>
  <c r="Y106" i="10"/>
  <c r="X107" i="10"/>
  <c r="X10" i="10"/>
  <c r="Y9" i="10"/>
  <c r="AC9" i="10" s="1"/>
  <c r="BR10" i="13"/>
  <c r="Z31" i="1"/>
  <c r="AO166" i="14"/>
  <c r="AH187" i="3"/>
  <c r="AI187" i="3" s="1"/>
  <c r="AE187" i="3"/>
  <c r="AS179" i="16"/>
  <c r="AG10" i="18"/>
  <c r="AH9" i="18"/>
  <c r="T328" i="19"/>
  <c r="U344" i="19"/>
  <c r="I457" i="3"/>
  <c r="I473" i="3"/>
  <c r="I452" i="3"/>
  <c r="AF82" i="18"/>
  <c r="BM14" i="11"/>
  <c r="AS14" i="11"/>
  <c r="Q241" i="11"/>
  <c r="Q15" i="11"/>
  <c r="R14" i="11"/>
  <c r="AB157" i="10"/>
  <c r="AA158" i="10"/>
  <c r="E457" i="3"/>
  <c r="E473" i="3"/>
  <c r="E452" i="3"/>
  <c r="P310" i="3"/>
  <c r="P322" i="3" s="1"/>
  <c r="P176" i="3"/>
  <c r="I176" i="3"/>
  <c r="I310" i="3"/>
  <c r="I322" i="3" s="1"/>
  <c r="AZ75" i="4"/>
  <c r="O13" i="6"/>
  <c r="Q21" i="24"/>
  <c r="S20" i="24"/>
  <c r="AE62" i="22"/>
  <c r="AD63" i="22"/>
  <c r="AE63" i="22" s="1"/>
  <c r="V35" i="10"/>
  <c r="U36" i="10"/>
  <c r="R105" i="24"/>
  <c r="S104" i="24"/>
  <c r="AZ174" i="20"/>
  <c r="BB174" i="20"/>
  <c r="BR172" i="12" s="1"/>
  <c r="BH172" i="12" s="1"/>
  <c r="P13" i="6"/>
  <c r="AC70" i="20"/>
  <c r="AD69" i="20"/>
  <c r="AW20" i="16"/>
  <c r="AV21" i="16"/>
  <c r="O40" i="6"/>
  <c r="AK93" i="22"/>
  <c r="AL92" i="22"/>
  <c r="AV92" i="22"/>
  <c r="R142" i="8"/>
  <c r="S141" i="8"/>
  <c r="R34" i="8"/>
  <c r="S33" i="8"/>
  <c r="AU177" i="20"/>
  <c r="AY177" i="20" s="1"/>
  <c r="AS164" i="20"/>
  <c r="Y165" i="20"/>
  <c r="AA164" i="20"/>
  <c r="AY139" i="20"/>
  <c r="AM119" i="18"/>
  <c r="AN118" i="18"/>
  <c r="AI176" i="18"/>
  <c r="BA176" i="18" s="1"/>
  <c r="AK175" i="18"/>
  <c r="U138" i="21"/>
  <c r="R166" i="26"/>
  <c r="S165" i="26"/>
  <c r="BA6" i="15"/>
  <c r="P24" i="6"/>
  <c r="P22" i="6" s="1"/>
  <c r="BJ23" i="19"/>
  <c r="N6" i="6"/>
  <c r="G29" i="17"/>
  <c r="G4" i="2"/>
  <c r="AN228" i="13"/>
  <c r="AY163" i="20"/>
  <c r="AM229" i="13"/>
  <c r="V158" i="15"/>
  <c r="W158" i="15" s="1"/>
  <c r="M358" i="4"/>
  <c r="M373" i="4"/>
  <c r="AL229" i="13"/>
  <c r="S139" i="21"/>
  <c r="T139" i="19"/>
  <c r="AO46" i="22"/>
  <c r="AP45" i="22"/>
  <c r="AD106" i="22"/>
  <c r="AE105" i="22"/>
  <c r="AK447" i="13"/>
  <c r="AK26" i="13" s="1"/>
  <c r="CC26" i="13" s="1"/>
  <c r="AK419" i="13"/>
  <c r="AK431" i="13" s="1"/>
  <c r="AK25" i="13" s="1"/>
  <c r="CC25" i="13" s="1"/>
  <c r="W419" i="13"/>
  <c r="W431" i="13" s="1"/>
  <c r="W25" i="13" s="1"/>
  <c r="BO25" i="13" s="1"/>
  <c r="W447" i="13"/>
  <c r="W26" i="13" s="1"/>
  <c r="BO26" i="13" s="1"/>
  <c r="AL419" i="13"/>
  <c r="AL431" i="13" s="1"/>
  <c r="AL25" i="13" s="1"/>
  <c r="CD25" i="13" s="1"/>
  <c r="AL447" i="13"/>
  <c r="AL26" i="13" s="1"/>
  <c r="CD26" i="13" s="1"/>
  <c r="AO419" i="13"/>
  <c r="AO431" i="13" s="1"/>
  <c r="AO25" i="13" s="1"/>
  <c r="CG25" i="13" s="1"/>
  <c r="AO447" i="13"/>
  <c r="AO26" i="13" s="1"/>
  <c r="CG26" i="13" s="1"/>
  <c r="Y119" i="20"/>
  <c r="AX79" i="20"/>
  <c r="F340" i="3"/>
  <c r="F344" i="3"/>
  <c r="F31" i="13"/>
  <c r="F32" i="13" s="1"/>
  <c r="F33" i="11"/>
  <c r="F34" i="11" s="1"/>
  <c r="F4" i="6"/>
  <c r="H72" i="5"/>
  <c r="H84" i="5"/>
  <c r="T324" i="19"/>
  <c r="T348" i="19"/>
  <c r="T332" i="19" s="1"/>
  <c r="V340" i="19"/>
  <c r="AC152" i="8"/>
  <c r="AQ81" i="22"/>
  <c r="AT80" i="22"/>
  <c r="AW80" i="22" s="1"/>
  <c r="AL33" i="14"/>
  <c r="AZ32" i="14"/>
  <c r="I310" i="4"/>
  <c r="I325" i="4"/>
  <c r="AA23" i="22"/>
  <c r="AB22" i="22"/>
  <c r="AW127" i="22"/>
  <c r="H29" i="17"/>
  <c r="T155" i="17"/>
  <c r="T123" i="17" s="1"/>
  <c r="T107" i="17" s="1"/>
  <c r="T125" i="15"/>
  <c r="T109" i="15" s="1"/>
  <c r="V157" i="15"/>
  <c r="AW115" i="22"/>
  <c r="V131" i="21"/>
  <c r="AA131" i="19"/>
  <c r="U10" i="10"/>
  <c r="V9" i="10"/>
  <c r="H8" i="6"/>
  <c r="T364" i="13"/>
  <c r="T348" i="13" s="1"/>
  <c r="T332" i="13" s="1"/>
  <c r="T334" i="11"/>
  <c r="T189" i="4" s="1"/>
  <c r="T205" i="4"/>
  <c r="AN13" i="23"/>
  <c r="M7" i="6"/>
  <c r="O246" i="4"/>
  <c r="L409" i="3"/>
  <c r="L424" i="3"/>
  <c r="Z237" i="21"/>
  <c r="Z14" i="21" s="1"/>
  <c r="Z12" i="21" s="1"/>
  <c r="C3" i="2"/>
  <c r="C7" i="2" s="1"/>
  <c r="C17" i="2" s="1"/>
  <c r="C19" i="2" s="1"/>
  <c r="AW92" i="18"/>
  <c r="AV93" i="18"/>
  <c r="BB92" i="18"/>
  <c r="N377" i="4"/>
  <c r="AR45" i="22"/>
  <c r="AS44" i="22"/>
  <c r="AV44" i="22"/>
  <c r="AM153" i="16"/>
  <c r="AN152" i="16"/>
  <c r="AF107" i="18"/>
  <c r="AM107" i="16"/>
  <c r="AN106" i="16"/>
  <c r="AL235" i="13"/>
  <c r="AX175" i="22"/>
  <c r="AW175" i="22"/>
  <c r="BA175" i="22" s="1"/>
  <c r="AL105" i="14"/>
  <c r="AZ104" i="14"/>
  <c r="AO56" i="20"/>
  <c r="AL57" i="20"/>
  <c r="AY32" i="14"/>
  <c r="AK33" i="14"/>
  <c r="AN32" i="14"/>
  <c r="AD192" i="3"/>
  <c r="AE192" i="3" s="1"/>
  <c r="X178" i="8"/>
  <c r="Y177" i="8"/>
  <c r="B353" i="4"/>
  <c r="AA130" i="22"/>
  <c r="AB129" i="22"/>
  <c r="AF58" i="18"/>
  <c r="AQ154" i="22"/>
  <c r="AT153" i="22"/>
  <c r="Q111" i="13"/>
  <c r="Q6" i="13" s="1"/>
  <c r="BI6" i="13" s="1"/>
  <c r="R110" i="13" s="1"/>
  <c r="R47" i="3" s="1"/>
  <c r="Q39" i="3"/>
  <c r="AB116" i="8"/>
  <c r="AC116" i="8" s="1"/>
  <c r="AD116" i="8" s="1"/>
  <c r="AA117" i="8"/>
  <c r="AT93" i="22"/>
  <c r="AQ94" i="22"/>
  <c r="AS93" i="22"/>
  <c r="Z10" i="20"/>
  <c r="AA9" i="20"/>
  <c r="K325" i="4"/>
  <c r="K310" i="4"/>
  <c r="AJ144" i="20"/>
  <c r="AK143" i="20"/>
  <c r="AY31" i="20"/>
  <c r="J8" i="6"/>
  <c r="S228" i="3"/>
  <c r="AR164" i="18"/>
  <c r="AT163" i="18"/>
  <c r="AS157" i="16"/>
  <c r="P310" i="4"/>
  <c r="P325" i="4"/>
  <c r="S408" i="13"/>
  <c r="S328" i="13" s="1"/>
  <c r="S217" i="4"/>
  <c r="U378" i="11"/>
  <c r="S384" i="11"/>
  <c r="W151" i="25"/>
  <c r="S166" i="8"/>
  <c r="R167" i="8"/>
  <c r="AO68" i="14"/>
  <c r="AR67" i="14"/>
  <c r="S104" i="10"/>
  <c r="R105" i="10"/>
  <c r="V341" i="19"/>
  <c r="E245" i="4"/>
  <c r="E241" i="4"/>
  <c r="AE180" i="3"/>
  <c r="BD7" i="13"/>
  <c r="Q79" i="3"/>
  <c r="C39" i="5"/>
  <c r="R165" i="10"/>
  <c r="S164" i="10"/>
  <c r="AC164" i="10" s="1"/>
  <c r="AD164" i="10" s="1"/>
  <c r="W102" i="26"/>
  <c r="AC92" i="8"/>
  <c r="AD92" i="8" s="1"/>
  <c r="J84" i="5"/>
  <c r="J80" i="5"/>
  <c r="AE70" i="22"/>
  <c r="AD71" i="22"/>
  <c r="W299" i="15"/>
  <c r="AH80" i="16"/>
  <c r="AG81" i="16"/>
  <c r="H85" i="5"/>
  <c r="H118" i="5" s="1"/>
  <c r="H80" i="5"/>
  <c r="R114" i="11"/>
  <c r="AM94" i="14"/>
  <c r="BA93" i="14"/>
  <c r="U146" i="8"/>
  <c r="V145" i="8"/>
  <c r="AR142" i="20"/>
  <c r="AP143" i="20"/>
  <c r="K383" i="4"/>
  <c r="B340" i="3"/>
  <c r="B344" i="3"/>
  <c r="B345" i="3" s="1"/>
  <c r="B346" i="3" s="1"/>
  <c r="B347" i="3" s="1"/>
  <c r="B348" i="3" s="1"/>
  <c r="B349" i="3" s="1"/>
  <c r="B350" i="3" s="1"/>
  <c r="B351" i="3" s="1"/>
  <c r="B352" i="3" s="1"/>
  <c r="B353" i="3" s="1"/>
  <c r="B354" i="3" s="1"/>
  <c r="B355" i="3" s="1"/>
  <c r="P381" i="4"/>
  <c r="AL82" i="22"/>
  <c r="AK83" i="22"/>
  <c r="AD23" i="21"/>
  <c r="AC5" i="2" s="1"/>
  <c r="AM166" i="14"/>
  <c r="BA165" i="14"/>
  <c r="AW55" i="22"/>
  <c r="AU9" i="22"/>
  <c r="AJ10" i="22"/>
  <c r="AL9" i="22"/>
  <c r="BE160" i="12"/>
  <c r="AR57" i="20"/>
  <c r="AP58" i="20"/>
  <c r="AS80" i="14"/>
  <c r="AV79" i="14"/>
  <c r="BA7" i="11"/>
  <c r="K20" i="6"/>
  <c r="K41" i="6" s="1"/>
  <c r="AW151" i="22"/>
  <c r="BA151" i="22" s="1"/>
  <c r="AX127" i="14"/>
  <c r="AW128" i="14"/>
  <c r="BA171" i="12"/>
  <c r="BP171" i="12" s="1"/>
  <c r="AY171" i="12"/>
  <c r="AX172" i="12"/>
  <c r="BE173" i="14"/>
  <c r="N344" i="3"/>
  <c r="N340" i="3"/>
  <c r="AS35" i="18"/>
  <c r="AI93" i="3"/>
  <c r="BC131" i="15"/>
  <c r="Q115" i="15"/>
  <c r="BC115" i="15" s="1"/>
  <c r="AJ34" i="18"/>
  <c r="BZ10" i="13"/>
  <c r="AX55" i="14"/>
  <c r="AW56" i="14"/>
  <c r="G245" i="4"/>
  <c r="G241" i="4"/>
  <c r="J408" i="19"/>
  <c r="J390" i="19"/>
  <c r="AS107" i="18"/>
  <c r="AT106" i="18"/>
  <c r="AM23" i="21"/>
  <c r="AD144" i="22"/>
  <c r="AE143" i="22"/>
  <c r="E31" i="13"/>
  <c r="E32" i="13" s="1"/>
  <c r="E33" i="11"/>
  <c r="E34" i="11" s="1"/>
  <c r="E4" i="6"/>
  <c r="D425" i="3"/>
  <c r="D410" i="3"/>
  <c r="M375" i="4"/>
  <c r="AU140" i="22"/>
  <c r="AW140" i="22" s="1"/>
  <c r="AJ141" i="22"/>
  <c r="AF95" i="18"/>
  <c r="AD335" i="3"/>
  <c r="S96" i="8"/>
  <c r="R97" i="8"/>
  <c r="AZ102" i="20"/>
  <c r="P384" i="4"/>
  <c r="AO33" i="20"/>
  <c r="AL34" i="20"/>
  <c r="AM81" i="20"/>
  <c r="AO80" i="20"/>
  <c r="Q70" i="26"/>
  <c r="S69" i="26"/>
  <c r="W69" i="26" s="1"/>
  <c r="AH49" i="22"/>
  <c r="AG50" i="22"/>
  <c r="AW104" i="22"/>
  <c r="BK7" i="11"/>
  <c r="P20" i="6"/>
  <c r="AV75" i="4"/>
  <c r="AS6" i="15"/>
  <c r="L24" i="6"/>
  <c r="AZ105" i="18"/>
  <c r="AX106" i="18"/>
  <c r="AB155" i="22"/>
  <c r="AA156" i="22"/>
  <c r="AM120" i="14"/>
  <c r="BA119" i="14"/>
  <c r="K340" i="3"/>
  <c r="AX148" i="12"/>
  <c r="AY147" i="12"/>
  <c r="AB177" i="8"/>
  <c r="AA178" i="8"/>
  <c r="AM47" i="20"/>
  <c r="AO46" i="20"/>
  <c r="J479" i="3"/>
  <c r="AD446" i="3"/>
  <c r="AH446" i="3" s="1"/>
  <c r="AA346" i="19"/>
  <c r="AV121" i="16"/>
  <c r="AW120" i="16"/>
  <c r="T232" i="3"/>
  <c r="AH334" i="3"/>
  <c r="AI334" i="3" s="1"/>
  <c r="AE334" i="3"/>
  <c r="AH131" i="22"/>
  <c r="AG132" i="22"/>
  <c r="AZ133" i="16"/>
  <c r="AX134" i="16"/>
  <c r="U32" i="26"/>
  <c r="V31" i="26"/>
  <c r="W31" i="26" s="1"/>
  <c r="AL83" i="20"/>
  <c r="S92" i="24"/>
  <c r="R93" i="24"/>
  <c r="AO104" i="14"/>
  <c r="AR103" i="14"/>
  <c r="R154" i="26"/>
  <c r="E176" i="3"/>
  <c r="E310" i="3"/>
  <c r="E322" i="3" s="1"/>
  <c r="AF69" i="18"/>
  <c r="BA68" i="18"/>
  <c r="BC68" i="18" s="1"/>
  <c r="V53" i="11"/>
  <c r="AK180" i="14"/>
  <c r="AM129" i="14"/>
  <c r="BA128" i="14"/>
  <c r="S313" i="17"/>
  <c r="S307" i="15"/>
  <c r="S321" i="17" s="1"/>
  <c r="U36" i="4"/>
  <c r="BM64" i="11"/>
  <c r="Q66" i="11"/>
  <c r="AT64" i="11"/>
  <c r="BQ10" i="13"/>
  <c r="Y31" i="1"/>
  <c r="Y36" i="10"/>
  <c r="X37" i="10"/>
  <c r="AH22" i="22"/>
  <c r="AG23" i="22"/>
  <c r="AR31" i="14"/>
  <c r="AO32" i="14"/>
  <c r="AR92" i="20"/>
  <c r="AP93" i="20"/>
  <c r="AN238" i="13"/>
  <c r="AM236" i="13"/>
  <c r="K474" i="3"/>
  <c r="AL231" i="13"/>
  <c r="Q44" i="26"/>
  <c r="S43" i="26"/>
  <c r="M30" i="21"/>
  <c r="X71" i="10"/>
  <c r="Y70" i="10"/>
  <c r="X106" i="8"/>
  <c r="Y105" i="8"/>
  <c r="AF94" i="20"/>
  <c r="AG93" i="20"/>
  <c r="Q54" i="13"/>
  <c r="BM10" i="13"/>
  <c r="U31" i="1"/>
  <c r="AD165" i="20"/>
  <c r="AC166" i="20"/>
  <c r="AU165" i="20"/>
  <c r="BA25" i="11"/>
  <c r="BC25" i="13"/>
  <c r="U324" i="19"/>
  <c r="AA154" i="8"/>
  <c r="AB153" i="8"/>
  <c r="AC153" i="8" s="1"/>
  <c r="AW79" i="22"/>
  <c r="X138" i="19"/>
  <c r="AJ133" i="18"/>
  <c r="Y28" i="17"/>
  <c r="Y4" i="2" s="1"/>
  <c r="H39" i="5"/>
  <c r="W157" i="15"/>
  <c r="BB93" i="18"/>
  <c r="Z131" i="19"/>
  <c r="AQ22" i="16"/>
  <c r="AP23" i="16"/>
  <c r="S161" i="17"/>
  <c r="S129" i="17" s="1"/>
  <c r="S113" i="17" s="1"/>
  <c r="S131" i="15"/>
  <c r="S115" i="15" s="1"/>
  <c r="U9" i="24"/>
  <c r="V8" i="24"/>
  <c r="W8" i="24" s="1"/>
  <c r="AH93" i="16"/>
  <c r="AG94" i="16"/>
  <c r="O318" i="3"/>
  <c r="AF172" i="3"/>
  <c r="AG172" i="3"/>
  <c r="AE172" i="3"/>
  <c r="U82" i="10"/>
  <c r="V81" i="10"/>
  <c r="AP235" i="13"/>
  <c r="S102" i="17"/>
  <c r="M38" i="5"/>
  <c r="M39" i="5" s="1"/>
  <c r="M350" i="4"/>
  <c r="M382" i="4" s="1"/>
  <c r="AG336" i="3"/>
  <c r="AI336" i="3" s="1"/>
  <c r="AF336" i="3"/>
  <c r="AE336" i="3"/>
  <c r="AH181" i="3"/>
  <c r="AI181" i="3" s="1"/>
  <c r="AE181" i="3"/>
  <c r="K483" i="3"/>
  <c r="AD450" i="3"/>
  <c r="AH450" i="3" s="1"/>
  <c r="Q121" i="17"/>
  <c r="Q162" i="17"/>
  <c r="Q9" i="17" s="1"/>
  <c r="AP229" i="13"/>
  <c r="U104" i="15"/>
  <c r="T326" i="19"/>
  <c r="AX91" i="20"/>
  <c r="AX103" i="20"/>
  <c r="AD152" i="20"/>
  <c r="AC153" i="20"/>
  <c r="AU152" i="20"/>
  <c r="H346" i="3"/>
  <c r="BL10" i="13"/>
  <c r="T31" i="1"/>
  <c r="AO83" i="22"/>
  <c r="AP82" i="22"/>
  <c r="P3" i="2"/>
  <c r="D32" i="13"/>
  <c r="D3" i="2"/>
  <c r="D7" i="2" s="1"/>
  <c r="D17" i="2" s="1"/>
  <c r="D19" i="2" s="1"/>
  <c r="S80" i="10"/>
  <c r="AC80" i="10" s="1"/>
  <c r="R81" i="10"/>
  <c r="AL234" i="13"/>
  <c r="AM118" i="16"/>
  <c r="AN117" i="16"/>
  <c r="K176" i="4"/>
  <c r="U69" i="24"/>
  <c r="V68" i="24"/>
  <c r="W68" i="24" s="1"/>
  <c r="AQ45" i="18"/>
  <c r="AP46" i="18"/>
  <c r="BI10" i="13"/>
  <c r="Q31" i="1"/>
  <c r="N13" i="6"/>
  <c r="AP144" i="16"/>
  <c r="AQ143" i="16"/>
  <c r="AP236" i="13"/>
  <c r="K310" i="3"/>
  <c r="K176" i="3"/>
  <c r="F457" i="3"/>
  <c r="F473" i="3"/>
  <c r="F452" i="3"/>
  <c r="H481" i="3"/>
  <c r="AE13" i="25"/>
  <c r="AE6" i="2" s="1"/>
  <c r="D16" i="25"/>
  <c r="D6" i="2"/>
  <c r="J457" i="3"/>
  <c r="AD440" i="3"/>
  <c r="AH440" i="3" s="1"/>
  <c r="J473" i="3"/>
  <c r="J452" i="3"/>
  <c r="L40" i="6"/>
  <c r="T181" i="4"/>
  <c r="AC95" i="20"/>
  <c r="U135" i="21"/>
  <c r="Z135" i="19"/>
  <c r="Y94" i="10"/>
  <c r="X95" i="10"/>
  <c r="Q57" i="24"/>
  <c r="S56" i="24"/>
  <c r="AK167" i="22"/>
  <c r="AL166" i="22"/>
  <c r="AW107" i="14"/>
  <c r="AX106" i="14"/>
  <c r="AX118" i="18"/>
  <c r="AZ117" i="18"/>
  <c r="AO235" i="13"/>
  <c r="V37" i="4"/>
  <c r="Y176" i="10"/>
  <c r="AC176" i="10" s="1"/>
  <c r="AD176" i="10" s="1"/>
  <c r="X177" i="10"/>
  <c r="AJ94" i="16"/>
  <c r="AS58" i="18"/>
  <c r="AK81" i="20"/>
  <c r="AJ82" i="20"/>
  <c r="Q104" i="26"/>
  <c r="S103" i="26"/>
  <c r="AS179" i="18"/>
  <c r="AT178" i="18"/>
  <c r="AP156" i="20"/>
  <c r="AR155" i="20"/>
  <c r="Y57" i="20"/>
  <c r="AS56" i="20"/>
  <c r="AH330" i="3"/>
  <c r="AI330" i="3" s="1"/>
  <c r="AE330" i="3"/>
  <c r="AE20" i="22"/>
  <c r="AD21" i="22"/>
  <c r="AC68" i="8"/>
  <c r="AD68" i="8" s="1"/>
  <c r="AS21" i="22"/>
  <c r="AR22" i="22"/>
  <c r="R323" i="13"/>
  <c r="BE113" i="14"/>
  <c r="BC113" i="14"/>
  <c r="X237" i="21"/>
  <c r="X14" i="21" s="1"/>
  <c r="X12" i="21" s="1"/>
  <c r="X193" i="21"/>
  <c r="X205" i="21" s="1"/>
  <c r="C373" i="4"/>
  <c r="C353" i="4"/>
  <c r="C358" i="4"/>
  <c r="C374" i="4"/>
  <c r="Q310" i="4"/>
  <c r="Q325" i="4"/>
  <c r="AH56" i="22"/>
  <c r="AG57" i="22"/>
  <c r="AJ47" i="16"/>
  <c r="W33" i="8"/>
  <c r="Y32" i="8"/>
  <c r="AK25" i="22"/>
  <c r="AI180" i="3"/>
  <c r="R72" i="26"/>
  <c r="AF119" i="18"/>
  <c r="AV82" i="16"/>
  <c r="AW81" i="16"/>
  <c r="AC129" i="20"/>
  <c r="AD128" i="20"/>
  <c r="E8" i="6"/>
  <c r="N383" i="4"/>
  <c r="BG7" i="13"/>
  <c r="AC115" i="8"/>
  <c r="AD115" i="8" s="1"/>
  <c r="R156" i="10"/>
  <c r="AU8" i="20"/>
  <c r="AV8" i="20" s="1"/>
  <c r="R94" i="5"/>
  <c r="AO80" i="14"/>
  <c r="AR79" i="14"/>
  <c r="T104" i="15"/>
  <c r="V55" i="11"/>
  <c r="Q153" i="10"/>
  <c r="S152" i="10"/>
  <c r="W43" i="24"/>
  <c r="T41" i="4"/>
  <c r="X303" i="15"/>
  <c r="D22" i="6"/>
  <c r="D41" i="6"/>
  <c r="BB49" i="11"/>
  <c r="K50" i="11"/>
  <c r="O176" i="4"/>
  <c r="AI128" i="18"/>
  <c r="AK127" i="18"/>
  <c r="BA127" i="18"/>
  <c r="BC127" i="18" s="1"/>
  <c r="AD208" i="3"/>
  <c r="AE208" i="3" s="1"/>
  <c r="S132" i="10"/>
  <c r="R133" i="10"/>
  <c r="L38" i="5"/>
  <c r="L350" i="4"/>
  <c r="AO142" i="22"/>
  <c r="AP141" i="22"/>
  <c r="AR128" i="18"/>
  <c r="AT127" i="18"/>
  <c r="R329" i="13"/>
  <c r="M72" i="5"/>
  <c r="M84" i="5"/>
  <c r="AX82" i="16"/>
  <c r="AZ81" i="16"/>
  <c r="R83" i="26"/>
  <c r="S82" i="26"/>
  <c r="AG449" i="3"/>
  <c r="AI449" i="3" s="1"/>
  <c r="AF449" i="3"/>
  <c r="AE449" i="3"/>
  <c r="O482" i="3"/>
  <c r="AD139" i="8"/>
  <c r="AS84" i="18"/>
  <c r="AM34" i="16"/>
  <c r="AN33" i="16"/>
  <c r="AT57" i="20"/>
  <c r="AX57" i="20" s="1"/>
  <c r="AI58" i="20"/>
  <c r="AK57" i="20"/>
  <c r="AU56" i="22"/>
  <c r="AW56" i="22" s="1"/>
  <c r="AJ57" i="22"/>
  <c r="AL57" i="22" s="1"/>
  <c r="O344" i="3"/>
  <c r="AG328" i="3"/>
  <c r="AI328" i="3" s="1"/>
  <c r="AF328" i="3"/>
  <c r="AE328" i="3"/>
  <c r="O340" i="3"/>
  <c r="AA117" i="10"/>
  <c r="AB116" i="10"/>
  <c r="AC116" i="10" s="1"/>
  <c r="AK131" i="22"/>
  <c r="AT20" i="11"/>
  <c r="L27" i="11"/>
  <c r="L51" i="11" s="1"/>
  <c r="BC20" i="11"/>
  <c r="L21" i="6"/>
  <c r="AD35" i="5"/>
  <c r="AC35" i="5"/>
  <c r="P39" i="5"/>
  <c r="N310" i="4"/>
  <c r="N325" i="4"/>
  <c r="AN68" i="14"/>
  <c r="AK69" i="14"/>
  <c r="AJ84" i="18"/>
  <c r="AN164" i="16"/>
  <c r="AM165" i="16"/>
  <c r="C474" i="3"/>
  <c r="J391" i="19"/>
  <c r="J409" i="19"/>
  <c r="AD70" i="5"/>
  <c r="AC70" i="5"/>
  <c r="P86" i="5"/>
  <c r="AJ145" i="18"/>
  <c r="AU28" i="15"/>
  <c r="M5" i="6"/>
  <c r="BE90" i="14"/>
  <c r="BC90" i="14"/>
  <c r="AR80" i="16"/>
  <c r="AT79" i="16"/>
  <c r="BA79" i="16" s="1"/>
  <c r="O39" i="5"/>
  <c r="V342" i="11"/>
  <c r="W342" i="11" s="1"/>
  <c r="P55" i="5"/>
  <c r="D424" i="3"/>
  <c r="G84" i="5"/>
  <c r="AZ8" i="14"/>
  <c r="AL9" i="14"/>
  <c r="AN8" i="14"/>
  <c r="K317" i="3"/>
  <c r="AD171" i="3"/>
  <c r="AV78" i="4"/>
  <c r="AH184" i="3"/>
  <c r="AI184" i="3" s="1"/>
  <c r="AE184" i="3"/>
  <c r="Q132" i="15"/>
  <c r="AI23" i="20"/>
  <c r="AT22" i="20"/>
  <c r="AB28" i="17"/>
  <c r="AB4" i="2" s="1"/>
  <c r="K29" i="17"/>
  <c r="K4" i="2"/>
  <c r="K7" i="2" s="1"/>
  <c r="K17" i="2" s="1"/>
  <c r="H452" i="3"/>
  <c r="H457" i="3"/>
  <c r="H473" i="3"/>
  <c r="H474" i="3"/>
  <c r="AG44" i="20"/>
  <c r="AF45" i="20"/>
  <c r="AC58" i="20"/>
  <c r="AD57" i="20"/>
  <c r="BM193" i="11"/>
  <c r="Q186" i="11"/>
  <c r="Q190" i="11"/>
  <c r="Q185" i="11"/>
  <c r="Q191" i="11"/>
  <c r="Q187" i="11"/>
  <c r="Q195" i="11"/>
  <c r="Q188" i="11"/>
  <c r="Q189" i="11"/>
  <c r="Q184" i="11"/>
  <c r="AJ39" i="20"/>
  <c r="P344" i="3"/>
  <c r="P340" i="3"/>
  <c r="AL165" i="14"/>
  <c r="AZ164" i="14"/>
  <c r="AT105" i="22"/>
  <c r="AQ106" i="22"/>
  <c r="H176" i="3"/>
  <c r="H310" i="3"/>
  <c r="H322" i="3" s="1"/>
  <c r="K261" i="4"/>
  <c r="K246" i="4"/>
  <c r="L380" i="4"/>
  <c r="AW164" i="14"/>
  <c r="AX163" i="14"/>
  <c r="F14" i="2"/>
  <c r="F15" i="2" s="1"/>
  <c r="AR131" i="22"/>
  <c r="AN80" i="18"/>
  <c r="AM81" i="18"/>
  <c r="BB81" i="18" s="1"/>
  <c r="AC176" i="8"/>
  <c r="AD176" i="8" s="1"/>
  <c r="AH90" i="3"/>
  <c r="AI90" i="3" s="1"/>
  <c r="AE90" i="3"/>
  <c r="V92" i="26"/>
  <c r="W92" i="26" s="1"/>
  <c r="U93" i="26"/>
  <c r="AT142" i="22"/>
  <c r="AQ143" i="22"/>
  <c r="AM95" i="16"/>
  <c r="AN94" i="16"/>
  <c r="R120" i="10"/>
  <c r="S119" i="10"/>
  <c r="S57" i="11"/>
  <c r="U379" i="11"/>
  <c r="V379" i="11" s="1"/>
  <c r="M173" i="4"/>
  <c r="M176" i="4" s="1"/>
  <c r="V331" i="19"/>
  <c r="AV163" i="20"/>
  <c r="AW163" i="20"/>
  <c r="AB80" i="22"/>
  <c r="AA81" i="22"/>
  <c r="BR15" i="7"/>
  <c r="P3" i="6"/>
  <c r="BD67" i="18"/>
  <c r="Q474" i="3"/>
  <c r="U347" i="11"/>
  <c r="O73" i="5"/>
  <c r="K374" i="4"/>
  <c r="K375" i="4"/>
  <c r="S177" i="26"/>
  <c r="W177" i="26" s="1"/>
  <c r="R178" i="26"/>
  <c r="T134" i="21"/>
  <c r="BG27" i="13"/>
  <c r="Y69" i="8"/>
  <c r="X70" i="8"/>
  <c r="AJ10" i="20"/>
  <c r="AK9" i="20"/>
  <c r="AS236" i="4"/>
  <c r="I340" i="3"/>
  <c r="AF156" i="20"/>
  <c r="AG155" i="20"/>
  <c r="G353" i="4"/>
  <c r="G373" i="4"/>
  <c r="G358" i="4"/>
  <c r="G374" i="4"/>
  <c r="D80" i="5"/>
  <c r="D84" i="5"/>
  <c r="AO26" i="22"/>
  <c r="AN232" i="13"/>
  <c r="AM228" i="13"/>
  <c r="AO152" i="14"/>
  <c r="AR151" i="14"/>
  <c r="M79" i="4"/>
  <c r="AU79" i="4" s="1"/>
  <c r="AV79" i="4" s="1"/>
  <c r="AL236" i="13"/>
  <c r="AM58" i="18"/>
  <c r="AN57" i="18"/>
  <c r="AO23" i="21"/>
  <c r="Q7" i="19"/>
  <c r="AU34" i="22"/>
  <c r="AJ35" i="22"/>
  <c r="AL34" i="22"/>
  <c r="AA28" i="17"/>
  <c r="AA4" i="2" s="1"/>
  <c r="J29" i="17"/>
  <c r="J4" i="2"/>
  <c r="J7" i="2" s="1"/>
  <c r="J17" i="2" s="1"/>
  <c r="R34" i="24"/>
  <c r="S33" i="24"/>
  <c r="AF447" i="13"/>
  <c r="AF26" i="13" s="1"/>
  <c r="BX26" i="13" s="1"/>
  <c r="AF419" i="13"/>
  <c r="AF431" i="13" s="1"/>
  <c r="AF25" i="13" s="1"/>
  <c r="BX25" i="13" s="1"/>
  <c r="AQ118" i="16"/>
  <c r="AP119" i="16"/>
  <c r="BA175" i="18"/>
  <c r="BC175" i="18" s="1"/>
  <c r="BD175" i="18" s="1"/>
  <c r="F176" i="3"/>
  <c r="F310" i="3"/>
  <c r="F322" i="3" s="1"/>
  <c r="AB33" i="8"/>
  <c r="AA34" i="8"/>
  <c r="J6" i="6"/>
  <c r="BC7" i="19"/>
  <c r="AW91" i="20"/>
  <c r="AV91" i="20"/>
  <c r="AZ91" i="20" s="1"/>
  <c r="AD68" i="5"/>
  <c r="AE400" i="3"/>
  <c r="Q84" i="5"/>
  <c r="N241" i="4"/>
  <c r="N245" i="4"/>
  <c r="U412" i="13"/>
  <c r="U285" i="3" s="1"/>
  <c r="U301" i="3" s="1"/>
  <c r="U221" i="4"/>
  <c r="Y143" i="20"/>
  <c r="AW152" i="14"/>
  <c r="AX151" i="14"/>
  <c r="T45" i="4"/>
  <c r="R33" i="26"/>
  <c r="S32" i="26"/>
  <c r="AZ76" i="4"/>
  <c r="P261" i="4"/>
  <c r="P246" i="4"/>
  <c r="R118" i="17"/>
  <c r="AR130" i="20"/>
  <c r="AP131" i="20"/>
  <c r="K378" i="4"/>
  <c r="AN237" i="13"/>
  <c r="O382" i="4"/>
  <c r="I373" i="4"/>
  <c r="I353" i="4"/>
  <c r="I358" i="4"/>
  <c r="I374" i="4"/>
  <c r="J261" i="4"/>
  <c r="J246" i="4"/>
  <c r="AM83" i="16"/>
  <c r="AN82" i="16"/>
  <c r="AB141" i="8"/>
  <c r="AC141" i="8" s="1"/>
  <c r="AA142" i="8"/>
  <c r="H382" i="4"/>
  <c r="H383" i="4"/>
  <c r="S352" i="11"/>
  <c r="AV105" i="18"/>
  <c r="AW104" i="18"/>
  <c r="H16" i="25"/>
  <c r="AI13" i="25"/>
  <c r="H6" i="2"/>
  <c r="BA141" i="14"/>
  <c r="AM142" i="14"/>
  <c r="AB59" i="10"/>
  <c r="AA60" i="10"/>
  <c r="I361" i="3"/>
  <c r="I346" i="3"/>
  <c r="AC115" i="10"/>
  <c r="AX82" i="18"/>
  <c r="AZ81" i="18"/>
  <c r="BF170" i="12"/>
  <c r="BU170" i="12"/>
  <c r="BK170" i="12" s="1"/>
  <c r="AF154" i="18"/>
  <c r="BA153" i="18"/>
  <c r="AY67" i="14"/>
  <c r="BB67" i="14" s="1"/>
  <c r="V305" i="15"/>
  <c r="AH21" i="16"/>
  <c r="AG22" i="16"/>
  <c r="L475" i="3"/>
  <c r="AD442" i="3"/>
  <c r="AH442" i="3" s="1"/>
  <c r="AK47" i="22"/>
  <c r="Z48" i="20"/>
  <c r="AB117" i="22"/>
  <c r="AA118" i="22"/>
  <c r="AZ105" i="16"/>
  <c r="AX106" i="16"/>
  <c r="AK68" i="20"/>
  <c r="N353" i="4"/>
  <c r="N358" i="4"/>
  <c r="N373" i="4"/>
  <c r="AQ164" i="16"/>
  <c r="BA164" i="16" s="1"/>
  <c r="AP165" i="16"/>
  <c r="AK9" i="16"/>
  <c r="AJ10" i="16"/>
  <c r="AD77" i="5"/>
  <c r="AC77" i="5"/>
  <c r="R83" i="24"/>
  <c r="L476" i="3"/>
  <c r="BE161" i="14"/>
  <c r="AB82" i="10"/>
  <c r="AA83" i="10"/>
  <c r="G457" i="3"/>
  <c r="G473" i="3"/>
  <c r="G452" i="3"/>
  <c r="G474" i="3"/>
  <c r="T237" i="21"/>
  <c r="T14" i="21" s="1"/>
  <c r="T12" i="21" s="1"/>
  <c r="T193" i="21"/>
  <c r="T205" i="21" s="1"/>
  <c r="U181" i="8"/>
  <c r="BH373" i="19"/>
  <c r="BH372" i="19"/>
  <c r="BH377" i="19"/>
  <c r="AX21" i="20"/>
  <c r="AW7" i="22"/>
  <c r="G340" i="3"/>
  <c r="G344" i="3"/>
  <c r="AW67" i="20"/>
  <c r="X69" i="11"/>
  <c r="AG178" i="20"/>
  <c r="AF179" i="20"/>
  <c r="T130" i="10"/>
  <c r="V129" i="10"/>
  <c r="AJ105" i="18"/>
  <c r="BB104" i="18"/>
  <c r="AT45" i="22"/>
  <c r="AQ46" i="22"/>
  <c r="J353" i="4"/>
  <c r="J373" i="4"/>
  <c r="J358" i="4"/>
  <c r="J374" i="4"/>
  <c r="AK14" i="22"/>
  <c r="AN92" i="14"/>
  <c r="U165" i="26"/>
  <c r="V164" i="26"/>
  <c r="W164" i="26" s="1"/>
  <c r="AJ69" i="22"/>
  <c r="AU68" i="22"/>
  <c r="AL68" i="22"/>
  <c r="Q15" i="7"/>
  <c r="R15" i="7" s="1"/>
  <c r="Z330" i="19"/>
  <c r="AV132" i="18"/>
  <c r="AW131" i="18"/>
  <c r="S69" i="8"/>
  <c r="R70" i="8"/>
  <c r="T327" i="13"/>
  <c r="AT160" i="4"/>
  <c r="S20" i="5"/>
  <c r="AP178" i="18"/>
  <c r="AQ177" i="18"/>
  <c r="AV139" i="20"/>
  <c r="AZ139" i="20" s="1"/>
  <c r="AW139" i="20"/>
  <c r="AW151" i="20"/>
  <c r="AG167" i="3"/>
  <c r="AF167" i="3"/>
  <c r="O313" i="3"/>
  <c r="Y337" i="19"/>
  <c r="BA17" i="15"/>
  <c r="P37" i="15"/>
  <c r="P27" i="6"/>
  <c r="U59" i="10"/>
  <c r="V58" i="10"/>
  <c r="AJ167" i="16"/>
  <c r="X176" i="26"/>
  <c r="AW44" i="16"/>
  <c r="AV45" i="16"/>
  <c r="Q62" i="13"/>
  <c r="AM167" i="18"/>
  <c r="AN166" i="18"/>
  <c r="AD408" i="3"/>
  <c r="AH408" i="3" s="1"/>
  <c r="J409" i="3"/>
  <c r="J424" i="3"/>
  <c r="V91" i="24"/>
  <c r="W91" i="24" s="1"/>
  <c r="U92" i="24"/>
  <c r="AF24" i="18"/>
  <c r="AN231" i="13"/>
  <c r="AM238" i="13"/>
  <c r="AH177" i="16"/>
  <c r="AG178" i="16"/>
  <c r="AD151" i="8"/>
  <c r="AG14" i="16"/>
  <c r="AH13" i="16"/>
  <c r="AL228" i="13"/>
  <c r="AK141" i="16"/>
  <c r="AJ142" i="16"/>
  <c r="N4" i="2"/>
  <c r="BU10" i="13"/>
  <c r="AC31" i="1"/>
  <c r="BF377" i="19"/>
  <c r="BF372" i="19"/>
  <c r="BF373" i="19"/>
  <c r="V105" i="10"/>
  <c r="U106" i="10"/>
  <c r="AR23" i="21"/>
  <c r="AY326" i="11"/>
  <c r="AD47" i="5"/>
  <c r="AA155" i="20"/>
  <c r="Z156" i="20"/>
  <c r="AA419" i="13"/>
  <c r="AA431" i="13" s="1"/>
  <c r="AA25" i="13" s="1"/>
  <c r="BS25" i="13" s="1"/>
  <c r="AA447" i="13"/>
  <c r="AA26" i="13" s="1"/>
  <c r="BS26" i="13" s="1"/>
  <c r="AF177" i="18"/>
  <c r="O81" i="5"/>
  <c r="S362" i="13"/>
  <c r="S346" i="13" s="1"/>
  <c r="S332" i="11"/>
  <c r="S187" i="4" s="1"/>
  <c r="S203" i="4"/>
  <c r="AC32" i="8"/>
  <c r="AD44" i="8" s="1"/>
  <c r="AG144" i="16"/>
  <c r="AB93" i="20"/>
  <c r="AS92" i="20"/>
  <c r="AD92" i="20"/>
  <c r="BE54" i="14"/>
  <c r="BC54" i="14"/>
  <c r="P72" i="5"/>
  <c r="R205" i="21"/>
  <c r="N51" i="11"/>
  <c r="AU128" i="22"/>
  <c r="AJ129" i="22"/>
  <c r="AL128" i="22"/>
  <c r="M261" i="4"/>
  <c r="M246" i="4"/>
  <c r="X382" i="11"/>
  <c r="Y382" i="11" s="1"/>
  <c r="U45" i="4"/>
  <c r="O409" i="3"/>
  <c r="O424" i="3"/>
  <c r="AG408" i="3"/>
  <c r="AI408" i="3" s="1"/>
  <c r="AF408" i="3"/>
  <c r="AE408" i="3"/>
  <c r="AG95" i="18"/>
  <c r="AH94" i="18"/>
  <c r="U107" i="11"/>
  <c r="X297" i="15"/>
  <c r="AY6" i="15"/>
  <c r="O24" i="6"/>
  <c r="O22" i="6" s="1"/>
  <c r="R193" i="11"/>
  <c r="R14" i="1"/>
  <c r="R11" i="1" s="1"/>
  <c r="R8" i="11"/>
  <c r="M457" i="3"/>
  <c r="M452" i="3"/>
  <c r="M473" i="3"/>
  <c r="AG171" i="3"/>
  <c r="AF171" i="3"/>
  <c r="O317" i="3"/>
  <c r="AX67" i="14"/>
  <c r="AW68" i="14"/>
  <c r="AN235" i="13"/>
  <c r="V153" i="10"/>
  <c r="U154" i="10"/>
  <c r="AG447" i="3"/>
  <c r="AI447" i="3" s="1"/>
  <c r="AF447" i="3"/>
  <c r="AE447" i="3"/>
  <c r="O480" i="3"/>
  <c r="AM83" i="14"/>
  <c r="AW115" i="20"/>
  <c r="AV115" i="20"/>
  <c r="AZ115" i="20" s="1"/>
  <c r="S133" i="21"/>
  <c r="S141" i="21" s="1"/>
  <c r="S8" i="21" s="1"/>
  <c r="AS130" i="18"/>
  <c r="AO230" i="13"/>
  <c r="AL3" i="25"/>
  <c r="AL155" i="20"/>
  <c r="AO154" i="20"/>
  <c r="AI93" i="20"/>
  <c r="AK92" i="20"/>
  <c r="AT92" i="20"/>
  <c r="AS44" i="14"/>
  <c r="AV43" i="14"/>
  <c r="AR44" i="18"/>
  <c r="AT43" i="18"/>
  <c r="AY73" i="4"/>
  <c r="AZ73" i="4" s="1"/>
  <c r="AV73" i="4"/>
  <c r="U152" i="26"/>
  <c r="V151" i="26"/>
  <c r="AJ167" i="22"/>
  <c r="AU166" i="22"/>
  <c r="AV18" i="14"/>
  <c r="AS19" i="14"/>
  <c r="BF182" i="12"/>
  <c r="BU182" i="12"/>
  <c r="BK182" i="12" s="1"/>
  <c r="L353" i="4"/>
  <c r="L358" i="4"/>
  <c r="L373" i="4"/>
  <c r="L374" i="4"/>
  <c r="N40" i="6"/>
  <c r="N18" i="6"/>
  <c r="R92" i="5"/>
  <c r="BJ373" i="19"/>
  <c r="BJ372" i="19"/>
  <c r="BJ377" i="19"/>
  <c r="AT93" i="16"/>
  <c r="AS94" i="16"/>
  <c r="BE7" i="11"/>
  <c r="M20" i="6"/>
  <c r="M41" i="6" s="1"/>
  <c r="T383" i="11"/>
  <c r="L39" i="5"/>
  <c r="AS23" i="16"/>
  <c r="L312" i="3"/>
  <c r="AD166" i="3"/>
  <c r="U42" i="4"/>
  <c r="BE114" i="14"/>
  <c r="BC114" i="14"/>
  <c r="N37" i="15"/>
  <c r="AW17" i="15"/>
  <c r="N27" i="6"/>
  <c r="N22" i="6" s="1"/>
  <c r="AP69" i="14"/>
  <c r="AZ68" i="14"/>
  <c r="W237" i="21"/>
  <c r="W14" i="21" s="1"/>
  <c r="W12" i="21" s="1"/>
  <c r="W193" i="21"/>
  <c r="W205" i="21" s="1"/>
  <c r="AS68" i="14"/>
  <c r="AV67" i="14"/>
  <c r="AA81" i="20"/>
  <c r="Z82" i="20"/>
  <c r="AU81" i="20"/>
  <c r="AY81" i="20" s="1"/>
  <c r="AO227" i="13"/>
  <c r="BE126" i="14"/>
  <c r="BC126" i="14"/>
  <c r="AU81" i="22"/>
  <c r="AJ82" i="22"/>
  <c r="W196" i="4"/>
  <c r="W244" i="3"/>
  <c r="S154" i="8"/>
  <c r="R155" i="8"/>
  <c r="BC20" i="15"/>
  <c r="BB20" i="15"/>
  <c r="Q310" i="3"/>
  <c r="J313" i="3"/>
  <c r="AD167" i="3"/>
  <c r="AV68" i="20"/>
  <c r="AH202" i="3"/>
  <c r="AI202" i="3" s="1"/>
  <c r="AE202" i="3"/>
  <c r="S102" i="5"/>
  <c r="AG447" i="13"/>
  <c r="AG26" i="13" s="1"/>
  <c r="BY26" i="13" s="1"/>
  <c r="AG419" i="13"/>
  <c r="AG431" i="13" s="1"/>
  <c r="AG25" i="13" s="1"/>
  <c r="BY25" i="13" s="1"/>
  <c r="T109" i="11"/>
  <c r="AW43" i="20"/>
  <c r="AV43" i="20"/>
  <c r="AZ43" i="20" s="1"/>
  <c r="AX139" i="14"/>
  <c r="AW140" i="14"/>
  <c r="R23" i="8"/>
  <c r="S22" i="8"/>
  <c r="AE397" i="3"/>
  <c r="G408" i="19"/>
  <c r="G390" i="19"/>
  <c r="AO233" i="13"/>
  <c r="Q98" i="17"/>
  <c r="Q5" i="17" s="1"/>
  <c r="AH5" i="17" s="1"/>
  <c r="Z34" i="20"/>
  <c r="AA33" i="20"/>
  <c r="AU33" i="20"/>
  <c r="T133" i="19"/>
  <c r="AS152" i="14"/>
  <c r="AV151" i="14"/>
  <c r="AO44" i="14"/>
  <c r="AR43" i="14"/>
  <c r="AY43" i="14"/>
  <c r="BB43" i="14" s="1"/>
  <c r="BE43" i="14" s="1"/>
  <c r="W322" i="19"/>
  <c r="X338" i="19"/>
  <c r="Y338" i="19"/>
  <c r="U407" i="13"/>
  <c r="U280" i="3" s="1"/>
  <c r="U296" i="3" s="1"/>
  <c r="U216" i="4"/>
  <c r="W377" i="11"/>
  <c r="X377" i="11" s="1"/>
  <c r="U129" i="21"/>
  <c r="V129" i="19"/>
  <c r="AP10" i="18"/>
  <c r="AQ9" i="18"/>
  <c r="AJ23" i="18"/>
  <c r="H391" i="19"/>
  <c r="H409" i="19"/>
  <c r="N481" i="3"/>
  <c r="S93" i="5"/>
  <c r="AS10" i="16"/>
  <c r="AT9" i="16"/>
  <c r="BC150" i="14"/>
  <c r="AV178" i="16"/>
  <c r="AW177" i="16"/>
  <c r="K27" i="11"/>
  <c r="BA20" i="11"/>
  <c r="K21" i="6"/>
  <c r="N310" i="3"/>
  <c r="N322" i="3" s="1"/>
  <c r="N176" i="3"/>
  <c r="AB141" i="22"/>
  <c r="AA142" i="22"/>
  <c r="AA129" i="20"/>
  <c r="Z130" i="20"/>
  <c r="AW81" i="18"/>
  <c r="AV82" i="18"/>
  <c r="AU128" i="20"/>
  <c r="AY128" i="20" s="1"/>
  <c r="S142" i="10"/>
  <c r="R143" i="10"/>
  <c r="S112" i="11"/>
  <c r="V68" i="8"/>
  <c r="U69" i="8"/>
  <c r="BC152" i="18"/>
  <c r="AX127" i="12"/>
  <c r="U356" i="13"/>
  <c r="U197" i="4"/>
  <c r="U245" i="3"/>
  <c r="BA342" i="11"/>
  <c r="U81" i="26"/>
  <c r="V80" i="26"/>
  <c r="W80" i="26" s="1"/>
  <c r="R47" i="4"/>
  <c r="AJ182" i="18"/>
  <c r="BP10" i="13"/>
  <c r="X31" i="1"/>
  <c r="AJ70" i="20"/>
  <c r="U136" i="21"/>
  <c r="V136" i="19"/>
  <c r="U357" i="13"/>
  <c r="U341" i="13" s="1"/>
  <c r="U325" i="13" s="1"/>
  <c r="U327" i="11"/>
  <c r="U182" i="4" s="1"/>
  <c r="U246" i="3"/>
  <c r="U198" i="4"/>
  <c r="T404" i="13"/>
  <c r="T277" i="3" s="1"/>
  <c r="T293" i="3" s="1"/>
  <c r="T213" i="4"/>
  <c r="U374" i="11"/>
  <c r="U326" i="11" s="1"/>
  <c r="V32" i="24"/>
  <c r="W32" i="24" s="1"/>
  <c r="U33" i="24"/>
  <c r="AK153" i="22"/>
  <c r="AL152" i="22"/>
  <c r="AD117" i="20"/>
  <c r="AC118" i="20"/>
  <c r="AZ20" i="15"/>
  <c r="R107" i="26"/>
  <c r="AZ78" i="4"/>
  <c r="AD332" i="3"/>
  <c r="M407" i="19"/>
  <c r="M375" i="19"/>
  <c r="M374" i="19"/>
  <c r="M389" i="19"/>
  <c r="BC107" i="15"/>
  <c r="BB20" i="18"/>
  <c r="AG21" i="18"/>
  <c r="AH20" i="18"/>
  <c r="AH165" i="22"/>
  <c r="AG166" i="22"/>
  <c r="AN45" i="18"/>
  <c r="AM46" i="18"/>
  <c r="V302" i="15"/>
  <c r="AQ9" i="22"/>
  <c r="AT8" i="22"/>
  <c r="AW8" i="22" s="1"/>
  <c r="E340" i="3"/>
  <c r="E345" i="3"/>
  <c r="AV67" i="20"/>
  <c r="C30" i="21"/>
  <c r="F474" i="3"/>
  <c r="W302" i="15"/>
  <c r="AW44" i="22"/>
  <c r="AP3" i="23"/>
  <c r="N13" i="23"/>
  <c r="N35" i="6"/>
  <c r="N34" i="6" s="1"/>
  <c r="AO3" i="25"/>
  <c r="U118" i="26"/>
  <c r="V117" i="26"/>
  <c r="AA104" i="20"/>
  <c r="J318" i="3"/>
  <c r="AD172" i="3"/>
  <c r="AH172" i="3" s="1"/>
  <c r="AI196" i="3"/>
  <c r="AO140" i="20"/>
  <c r="AL141" i="20"/>
  <c r="AS140" i="20"/>
  <c r="AE183" i="3"/>
  <c r="AZ44" i="16"/>
  <c r="AX45" i="16"/>
  <c r="AJ177" i="22"/>
  <c r="AU176" i="22"/>
  <c r="AY176" i="22" s="1"/>
  <c r="AF71" i="20"/>
  <c r="AG70" i="20"/>
  <c r="AY140" i="20"/>
  <c r="AQ11" i="16"/>
  <c r="AP12" i="16"/>
  <c r="U160" i="15"/>
  <c r="AL120" i="14"/>
  <c r="V165" i="10"/>
  <c r="U166" i="10"/>
  <c r="AA144" i="10"/>
  <c r="AB143" i="10"/>
  <c r="AQ141" i="18"/>
  <c r="AP142" i="18"/>
  <c r="AP237" i="13"/>
  <c r="R64" i="11"/>
  <c r="R82" i="11"/>
  <c r="M377" i="4"/>
  <c r="AG13" i="25"/>
  <c r="AG6" i="2" s="1"/>
  <c r="F16" i="25"/>
  <c r="F6" i="2"/>
  <c r="F7" i="2" s="1"/>
  <c r="F17" i="2" s="1"/>
  <c r="AM21" i="22"/>
  <c r="AT20" i="22"/>
  <c r="AW20" i="22" s="1"/>
  <c r="AP20" i="22"/>
  <c r="V83" i="8"/>
  <c r="U84" i="8"/>
  <c r="G39" i="5"/>
  <c r="BB141" i="18"/>
  <c r="AG142" i="18"/>
  <c r="AH141" i="18"/>
  <c r="BN15" i="7"/>
  <c r="N3" i="6"/>
  <c r="AC6" i="17"/>
  <c r="AN233" i="13"/>
  <c r="V117" i="8"/>
  <c r="U118" i="8"/>
  <c r="AM232" i="13"/>
  <c r="AI44" i="16"/>
  <c r="AK43" i="16"/>
  <c r="AL238" i="13"/>
  <c r="AE17" i="17"/>
  <c r="L389" i="19"/>
  <c r="L407" i="19"/>
  <c r="L375" i="19"/>
  <c r="L374" i="19"/>
  <c r="U348" i="11"/>
  <c r="U110" i="11"/>
  <c r="AA154" i="20"/>
  <c r="BS10" i="13"/>
  <c r="AA31" i="1"/>
  <c r="AF6" i="17"/>
  <c r="AL3" i="23"/>
  <c r="L13" i="23"/>
  <c r="L35" i="6"/>
  <c r="L34" i="6" s="1"/>
  <c r="AM3" i="25"/>
  <c r="T380" i="11"/>
  <c r="U380" i="11" s="1"/>
  <c r="V380" i="11" s="1"/>
  <c r="Y21" i="8"/>
  <c r="X22" i="8"/>
  <c r="BB162" i="16"/>
  <c r="AI400" i="3"/>
  <c r="R237" i="21"/>
  <c r="R14" i="21" s="1"/>
  <c r="R12" i="21" s="1"/>
  <c r="V111" i="11"/>
  <c r="AE391" i="3"/>
  <c r="AV70" i="16"/>
  <c r="AW69" i="16"/>
  <c r="P241" i="4"/>
  <c r="P389" i="19"/>
  <c r="P407" i="19"/>
  <c r="M27" i="11"/>
  <c r="BE20" i="11"/>
  <c r="M21" i="6"/>
  <c r="AC192" i="3"/>
  <c r="W138" i="21"/>
  <c r="T159" i="15"/>
  <c r="AE37" i="22"/>
  <c r="AD38" i="22"/>
  <c r="M321" i="3"/>
  <c r="AD175" i="3"/>
  <c r="D474" i="3"/>
  <c r="D475" i="3"/>
  <c r="R322" i="17"/>
  <c r="R19" i="17" s="1"/>
  <c r="BK20" i="11"/>
  <c r="P27" i="11"/>
  <c r="BH27" i="13" s="1"/>
  <c r="P21" i="6"/>
  <c r="AJ447" i="13"/>
  <c r="AJ26" i="13" s="1"/>
  <c r="CB26" i="13" s="1"/>
  <c r="AJ419" i="13"/>
  <c r="AJ431" i="13" s="1"/>
  <c r="AJ25" i="13" s="1"/>
  <c r="CB25" i="13" s="1"/>
  <c r="V42" i="4"/>
  <c r="AX79" i="14"/>
  <c r="AW80" i="14"/>
  <c r="AR96" i="22"/>
  <c r="AI104" i="18"/>
  <c r="BA103" i="18"/>
  <c r="BC103" i="18" s="1"/>
  <c r="BD103" i="18" s="1"/>
  <c r="AN44" i="14"/>
  <c r="U134" i="21"/>
  <c r="AJ59" i="18"/>
  <c r="AV45" i="18"/>
  <c r="AW44" i="18"/>
  <c r="AG450" i="3"/>
  <c r="AI450" i="3" s="1"/>
  <c r="AF450" i="3"/>
  <c r="AE450" i="3"/>
  <c r="O483" i="3"/>
  <c r="O484" i="3"/>
  <c r="I390" i="19"/>
  <c r="I408" i="19"/>
  <c r="AT128" i="16"/>
  <c r="AS129" i="16"/>
  <c r="K480" i="3"/>
  <c r="K481" i="3"/>
  <c r="Y70" i="20"/>
  <c r="AS69" i="20"/>
  <c r="X154" i="10"/>
  <c r="Y153" i="10"/>
  <c r="Z327" i="19"/>
  <c r="AK70" i="16"/>
  <c r="AJ71" i="16"/>
  <c r="AH164" i="8"/>
  <c r="BO162" i="12" s="1"/>
  <c r="AQ23" i="21"/>
  <c r="V46" i="10"/>
  <c r="U47" i="10"/>
  <c r="AH189" i="3"/>
  <c r="AI189" i="3" s="1"/>
  <c r="AE189" i="3"/>
  <c r="AV9" i="18"/>
  <c r="BB9" i="18" s="1"/>
  <c r="AW8" i="18"/>
  <c r="AN230" i="13"/>
  <c r="AK119" i="14"/>
  <c r="AN118" i="14"/>
  <c r="Y303" i="15"/>
  <c r="S117" i="26"/>
  <c r="R118" i="26"/>
  <c r="AV31" i="14"/>
  <c r="AS32" i="14"/>
  <c r="E311" i="4"/>
  <c r="E326" i="4"/>
  <c r="AL21" i="14"/>
  <c r="AZ20" i="14"/>
  <c r="AP107" i="18"/>
  <c r="AQ106" i="18"/>
  <c r="BB103" i="14"/>
  <c r="AQ59" i="22"/>
  <c r="AT58" i="22"/>
  <c r="W137" i="21"/>
  <c r="S19" i="5"/>
  <c r="N314" i="3"/>
  <c r="AF168" i="3"/>
  <c r="K409" i="3"/>
  <c r="K424" i="3"/>
  <c r="Q21" i="26"/>
  <c r="S20" i="26"/>
  <c r="S314" i="17"/>
  <c r="T300" i="15"/>
  <c r="T307" i="15" s="1"/>
  <c r="T321" i="17" s="1"/>
  <c r="X131" i="21"/>
  <c r="L344" i="3"/>
  <c r="L340" i="3"/>
  <c r="AT165" i="22"/>
  <c r="AQ166" i="22"/>
  <c r="W108" i="11"/>
  <c r="AU45" i="22"/>
  <c r="AJ46" i="22"/>
  <c r="BE185" i="14"/>
  <c r="AJ117" i="22"/>
  <c r="AU116" i="22"/>
  <c r="N39" i="5"/>
  <c r="AR116" i="16"/>
  <c r="AT115" i="16"/>
  <c r="BA115" i="16" s="1"/>
  <c r="AN69" i="16"/>
  <c r="AM70" i="16"/>
  <c r="Y95" i="20"/>
  <c r="AA95" i="20" s="1"/>
  <c r="BA20" i="15"/>
  <c r="W101" i="11"/>
  <c r="X101" i="11" s="1"/>
  <c r="AJ10" i="18"/>
  <c r="AK9" i="18"/>
  <c r="G176" i="3"/>
  <c r="G310" i="3"/>
  <c r="G322" i="3" s="1"/>
  <c r="AZ150" i="20"/>
  <c r="AE23" i="21"/>
  <c r="AD5" i="2" s="1"/>
  <c r="I16" i="25"/>
  <c r="AJ13" i="25"/>
  <c r="I6" i="2"/>
  <c r="X296" i="15"/>
  <c r="AG440" i="3"/>
  <c r="AF440" i="3"/>
  <c r="O452" i="3"/>
  <c r="O473" i="3"/>
  <c r="O457" i="3"/>
  <c r="AK94" i="14"/>
  <c r="H33" i="11"/>
  <c r="H34" i="11" s="1"/>
  <c r="H31" i="13"/>
  <c r="H4" i="6"/>
  <c r="N478" i="3"/>
  <c r="Q322" i="17"/>
  <c r="Q19" i="17" s="1"/>
  <c r="AN13" i="25"/>
  <c r="AD445" i="3"/>
  <c r="AH445" i="3" s="1"/>
  <c r="J478" i="3"/>
  <c r="AS41" i="11"/>
  <c r="AS42" i="11"/>
  <c r="BA8" i="14"/>
  <c r="AM9" i="14"/>
  <c r="AM177" i="14"/>
  <c r="BA176" i="14"/>
  <c r="BB176" i="14" s="1"/>
  <c r="BC176" i="14" s="1"/>
  <c r="AN176" i="14"/>
  <c r="AU105" i="20"/>
  <c r="Z106" i="20"/>
  <c r="AA105" i="20"/>
  <c r="AV19" i="20"/>
  <c r="AW19" i="20"/>
  <c r="AE196" i="3"/>
  <c r="AJ25" i="20"/>
  <c r="D452" i="3"/>
  <c r="U10" i="8"/>
  <c r="V9" i="8"/>
  <c r="AI183" i="3"/>
  <c r="Q56" i="13"/>
  <c r="R414" i="13"/>
  <c r="R287" i="3" s="1"/>
  <c r="R303" i="3" s="1"/>
  <c r="R223" i="4"/>
  <c r="R111" i="5" s="1"/>
  <c r="R112" i="5" s="1"/>
  <c r="AQ95" i="18"/>
  <c r="AP96" i="18"/>
  <c r="AC78" i="5"/>
  <c r="AD78" i="5"/>
  <c r="AO57" i="14"/>
  <c r="AR56" i="14"/>
  <c r="AC178" i="20"/>
  <c r="AD177" i="20"/>
  <c r="U54" i="11"/>
  <c r="V70" i="11"/>
  <c r="AA81" i="8"/>
  <c r="AB80" i="8"/>
  <c r="AC80" i="8" s="1"/>
  <c r="AD80" i="8" s="1"/>
  <c r="U178" i="10"/>
  <c r="V177" i="10"/>
  <c r="AP227" i="13"/>
  <c r="AG445" i="3"/>
  <c r="AI445" i="3" s="1"/>
  <c r="AF445" i="3"/>
  <c r="AE445" i="3"/>
  <c r="O478" i="3"/>
  <c r="AD403" i="3"/>
  <c r="AE403" i="3" s="1"/>
  <c r="BB140" i="18"/>
  <c r="AK105" i="22"/>
  <c r="AL104" i="22"/>
  <c r="Y298" i="15"/>
  <c r="AN234" i="13"/>
  <c r="AM233" i="13"/>
  <c r="AW92" i="14"/>
  <c r="AX91" i="14"/>
  <c r="AL232" i="13"/>
  <c r="AB9" i="8"/>
  <c r="AC9" i="8" s="1"/>
  <c r="AA10" i="8"/>
  <c r="AK178" i="22"/>
  <c r="AL177" i="22"/>
  <c r="M325" i="4"/>
  <c r="M310" i="4"/>
  <c r="N28" i="15"/>
  <c r="AP177" i="16"/>
  <c r="AQ176" i="16"/>
  <c r="P30" i="21"/>
  <c r="AG33" i="22"/>
  <c r="AH32" i="22"/>
  <c r="P48" i="5"/>
  <c r="U419" i="13"/>
  <c r="U431" i="13" s="1"/>
  <c r="U25" i="13" s="1"/>
  <c r="BM25" i="13" s="1"/>
  <c r="U447" i="13"/>
  <c r="U26" i="13" s="1"/>
  <c r="BM26" i="13" s="1"/>
  <c r="BB129" i="18"/>
  <c r="AM154" i="18"/>
  <c r="AN153" i="18"/>
  <c r="S410" i="13"/>
  <c r="S283" i="3" s="1"/>
  <c r="S299" i="3" s="1"/>
  <c r="S219" i="4"/>
  <c r="AY143" i="16"/>
  <c r="AZ142" i="16"/>
  <c r="M49" i="11"/>
  <c r="AV55" i="14"/>
  <c r="AS56" i="14"/>
  <c r="AY55" i="14"/>
  <c r="BB55" i="14" s="1"/>
  <c r="L55" i="5"/>
  <c r="AV8" i="14"/>
  <c r="AS9" i="14"/>
  <c r="BF27" i="13"/>
  <c r="N3" i="2"/>
  <c r="N7" i="2" s="1"/>
  <c r="N17" i="2" s="1"/>
  <c r="BE149" i="14"/>
  <c r="Q8" i="26"/>
  <c r="S7" i="26"/>
  <c r="U166" i="8"/>
  <c r="V165" i="8"/>
  <c r="T233" i="3" l="1"/>
  <c r="AB22" i="11"/>
  <c r="R162" i="17"/>
  <c r="R9" i="17" s="1"/>
  <c r="Q335" i="13"/>
  <c r="W102" i="11"/>
  <c r="X102" i="11" s="1"/>
  <c r="BB342" i="11"/>
  <c r="Q23" i="5"/>
  <c r="V36" i="4"/>
  <c r="X55" i="11"/>
  <c r="AB154" i="15"/>
  <c r="W162" i="15"/>
  <c r="X121" i="15"/>
  <c r="X105" i="15" s="1"/>
  <c r="AC11" i="11"/>
  <c r="AD11" i="11" s="1"/>
  <c r="T109" i="5"/>
  <c r="Z106" i="11"/>
  <c r="AA106" i="11" s="1"/>
  <c r="S333" i="13"/>
  <c r="W53" i="11"/>
  <c r="R23" i="5"/>
  <c r="W198" i="4"/>
  <c r="U19" i="5"/>
  <c r="AB122" i="15"/>
  <c r="AB106" i="15" s="1"/>
  <c r="AC154" i="15"/>
  <c r="AD154" i="15" s="1"/>
  <c r="F19" i="2"/>
  <c r="Z103" i="11"/>
  <c r="AA103" i="11" s="1"/>
  <c r="AB103" i="11" s="1"/>
  <c r="T80" i="11"/>
  <c r="T82" i="11" s="1"/>
  <c r="Q95" i="5"/>
  <c r="Q96" i="5" s="1"/>
  <c r="V76" i="11"/>
  <c r="V60" i="11" s="1"/>
  <c r="X343" i="11"/>
  <c r="I19" i="2"/>
  <c r="T328" i="13"/>
  <c r="Q116" i="15"/>
  <c r="BC116" i="15" s="1"/>
  <c r="V75" i="11"/>
  <c r="W75" i="11" s="1"/>
  <c r="X158" i="15"/>
  <c r="K19" i="2"/>
  <c r="Z153" i="15"/>
  <c r="T352" i="11"/>
  <c r="T207" i="4" s="1"/>
  <c r="AS20" i="14"/>
  <c r="AV19" i="14"/>
  <c r="AY19" i="14"/>
  <c r="BB19" i="14" s="1"/>
  <c r="BE19" i="14" s="1"/>
  <c r="Q22" i="26"/>
  <c r="S21" i="26"/>
  <c r="AO69" i="14"/>
  <c r="AR68" i="14"/>
  <c r="AY68" i="14"/>
  <c r="BB68" i="14" s="1"/>
  <c r="Y37" i="4"/>
  <c r="U358" i="13"/>
  <c r="U342" i="13" s="1"/>
  <c r="U328" i="11"/>
  <c r="U183" i="4" s="1"/>
  <c r="U199" i="4"/>
  <c r="U101" i="5" s="1"/>
  <c r="U247" i="3"/>
  <c r="V344" i="11"/>
  <c r="AW177" i="18"/>
  <c r="AV178" i="18"/>
  <c r="Q153" i="26"/>
  <c r="S152" i="26"/>
  <c r="BA129" i="14"/>
  <c r="AM130" i="14"/>
  <c r="T102" i="17"/>
  <c r="AS121" i="18"/>
  <c r="BC176" i="18"/>
  <c r="BD176" i="18" s="1"/>
  <c r="M410" i="3"/>
  <c r="M425" i="3"/>
  <c r="Q35" i="10"/>
  <c r="S34" i="10"/>
  <c r="AH58" i="16"/>
  <c r="AG59" i="16"/>
  <c r="AZ166" i="16"/>
  <c r="AX167" i="16"/>
  <c r="BF49" i="11"/>
  <c r="M51" i="11"/>
  <c r="M50" i="11"/>
  <c r="N50" i="11"/>
  <c r="AB94" i="20"/>
  <c r="AD93" i="20"/>
  <c r="AS93" i="20"/>
  <c r="U182" i="8"/>
  <c r="R35" i="24"/>
  <c r="S34" i="24"/>
  <c r="R84" i="26"/>
  <c r="S83" i="26"/>
  <c r="AM119" i="16"/>
  <c r="AN118" i="16"/>
  <c r="Z163" i="24"/>
  <c r="BS161" i="12" s="1"/>
  <c r="BI161" i="12" s="1"/>
  <c r="X163" i="24"/>
  <c r="Y142" i="8"/>
  <c r="X143" i="8"/>
  <c r="R120" i="8"/>
  <c r="S119" i="8"/>
  <c r="R24" i="24"/>
  <c r="AH168" i="3"/>
  <c r="AI168" i="3" s="1"/>
  <c r="AE168" i="3"/>
  <c r="AC69" i="8"/>
  <c r="AD69" i="8" s="1"/>
  <c r="AZ19" i="20"/>
  <c r="AZ31" i="20"/>
  <c r="U230" i="3"/>
  <c r="AZ106" i="16"/>
  <c r="AX107" i="16"/>
  <c r="N261" i="4"/>
  <c r="N246" i="4"/>
  <c r="O261" i="4"/>
  <c r="J19" i="2"/>
  <c r="G359" i="4"/>
  <c r="G389" i="4"/>
  <c r="AD86" i="5"/>
  <c r="AC86" i="5"/>
  <c r="P119" i="5"/>
  <c r="N360" i="3"/>
  <c r="N345" i="3"/>
  <c r="AK84" i="22"/>
  <c r="V10" i="10"/>
  <c r="U11" i="10"/>
  <c r="AN119" i="18"/>
  <c r="AM120" i="18"/>
  <c r="G426" i="3"/>
  <c r="G411" i="3"/>
  <c r="V56" i="26"/>
  <c r="W56" i="26" s="1"/>
  <c r="U57" i="26"/>
  <c r="AV33" i="22"/>
  <c r="AW33" i="22" s="1"/>
  <c r="AR34" i="22"/>
  <c r="AS33" i="22"/>
  <c r="V21" i="24"/>
  <c r="U22" i="24"/>
  <c r="AI108" i="20"/>
  <c r="AT107" i="20"/>
  <c r="O14" i="2"/>
  <c r="O15" i="2" s="1"/>
  <c r="N390" i="19"/>
  <c r="N408" i="19"/>
  <c r="R334" i="13"/>
  <c r="R335" i="13" s="1"/>
  <c r="R351" i="13"/>
  <c r="AF166" i="18"/>
  <c r="BA165" i="18"/>
  <c r="BC165" i="18" s="1"/>
  <c r="BD165" i="18" s="1"/>
  <c r="AH165" i="18"/>
  <c r="Y59" i="8"/>
  <c r="X60" i="8"/>
  <c r="AO239" i="13"/>
  <c r="AO14" i="13" s="1"/>
  <c r="L322" i="3"/>
  <c r="X11" i="10"/>
  <c r="Y10" i="10"/>
  <c r="X108" i="10"/>
  <c r="Y107" i="10"/>
  <c r="AP107" i="20"/>
  <c r="AR106" i="20"/>
  <c r="AY144" i="16"/>
  <c r="AZ143" i="16"/>
  <c r="AE440" i="3"/>
  <c r="AE340" i="3"/>
  <c r="AY105" i="20"/>
  <c r="AZ118" i="18"/>
  <c r="AX119" i="18"/>
  <c r="T411" i="13"/>
  <c r="T284" i="3" s="1"/>
  <c r="T300" i="3" s="1"/>
  <c r="T220" i="4"/>
  <c r="U381" i="11"/>
  <c r="AN142" i="16"/>
  <c r="AM143" i="16"/>
  <c r="AT23" i="18"/>
  <c r="AS24" i="18"/>
  <c r="P406" i="19"/>
  <c r="P388" i="19"/>
  <c r="V22" i="10"/>
  <c r="U23" i="10"/>
  <c r="AI166" i="16"/>
  <c r="AK165" i="16"/>
  <c r="AC154" i="20"/>
  <c r="AD153" i="20"/>
  <c r="AU153" i="20"/>
  <c r="AI236" i="13"/>
  <c r="AO167" i="14"/>
  <c r="X36" i="8"/>
  <c r="I14" i="2"/>
  <c r="I15" i="2" s="1"/>
  <c r="S108" i="15"/>
  <c r="S116" i="15" s="1"/>
  <c r="S132" i="15"/>
  <c r="R191" i="4"/>
  <c r="R337" i="11"/>
  <c r="U128" i="15"/>
  <c r="U112" i="15" s="1"/>
  <c r="V160" i="15"/>
  <c r="W160" i="15" s="1"/>
  <c r="V39" i="4"/>
  <c r="W105" i="11"/>
  <c r="AP178" i="16"/>
  <c r="AQ177" i="16"/>
  <c r="AI81" i="18"/>
  <c r="AK80" i="18"/>
  <c r="BA80" i="18"/>
  <c r="BC80" i="18" s="1"/>
  <c r="BD80" i="18" s="1"/>
  <c r="AV56" i="14"/>
  <c r="AS57" i="14"/>
  <c r="AY56" i="14"/>
  <c r="BB56" i="14" s="1"/>
  <c r="Z83" i="20"/>
  <c r="AA82" i="20"/>
  <c r="AU82" i="20"/>
  <c r="AM155" i="14"/>
  <c r="BA154" i="14"/>
  <c r="BA166" i="14"/>
  <c r="AM167" i="14"/>
  <c r="AN122" i="22"/>
  <c r="AP121" i="22"/>
  <c r="AG24" i="22"/>
  <c r="AH23" i="22"/>
  <c r="AX173" i="12"/>
  <c r="AY172" i="12"/>
  <c r="BE174" i="14"/>
  <c r="AE48" i="22"/>
  <c r="AD49" i="22"/>
  <c r="Z296" i="15"/>
  <c r="X23" i="8"/>
  <c r="Y22" i="8"/>
  <c r="AQ47" i="22"/>
  <c r="AT46" i="22"/>
  <c r="Q143" i="11"/>
  <c r="BM191" i="11"/>
  <c r="Q189" i="13"/>
  <c r="Q141" i="13" s="1"/>
  <c r="AT191" i="11"/>
  <c r="Q63" i="13"/>
  <c r="Q64" i="13" s="1"/>
  <c r="Y37" i="10"/>
  <c r="X38" i="10"/>
  <c r="Q71" i="26"/>
  <c r="S70" i="26"/>
  <c r="AD145" i="22"/>
  <c r="AE144" i="22"/>
  <c r="AR46" i="22"/>
  <c r="AV45" i="22"/>
  <c r="AS45" i="22"/>
  <c r="AW164" i="20"/>
  <c r="AV164" i="20"/>
  <c r="T363" i="13"/>
  <c r="T347" i="13" s="1"/>
  <c r="T333" i="11"/>
  <c r="T188" i="4" s="1"/>
  <c r="T204" i="4"/>
  <c r="T252" i="3"/>
  <c r="U349" i="11"/>
  <c r="V349" i="11"/>
  <c r="AD144" i="20"/>
  <c r="AC145" i="20"/>
  <c r="AS143" i="18"/>
  <c r="AS70" i="18"/>
  <c r="AT69" i="18"/>
  <c r="AC11" i="20"/>
  <c r="AD10" i="20"/>
  <c r="Z323" i="19"/>
  <c r="AA339" i="19"/>
  <c r="U33" i="26"/>
  <c r="V32" i="26"/>
  <c r="W32" i="26" s="1"/>
  <c r="Y322" i="19"/>
  <c r="AN105" i="14"/>
  <c r="AK106" i="14"/>
  <c r="T141" i="21"/>
  <c r="T8" i="21" s="1"/>
  <c r="V84" i="8"/>
  <c r="U85" i="8"/>
  <c r="U361" i="13"/>
  <c r="U345" i="13" s="1"/>
  <c r="U331" i="11"/>
  <c r="U186" i="4" s="1"/>
  <c r="U202" i="4"/>
  <c r="U250" i="3"/>
  <c r="AX59" i="16"/>
  <c r="AZ58" i="16"/>
  <c r="N389" i="4"/>
  <c r="N359" i="4"/>
  <c r="AK117" i="18"/>
  <c r="AJ118" i="18"/>
  <c r="BB117" i="18"/>
  <c r="AX118" i="20"/>
  <c r="W301" i="15"/>
  <c r="W134" i="21"/>
  <c r="AI440" i="3"/>
  <c r="M409" i="19"/>
  <c r="M391" i="19"/>
  <c r="AV44" i="14"/>
  <c r="AS45" i="14"/>
  <c r="AW69" i="14"/>
  <c r="AX68" i="14"/>
  <c r="AW45" i="22"/>
  <c r="AJ36" i="22"/>
  <c r="AU35" i="22"/>
  <c r="AL35" i="22"/>
  <c r="AH171" i="3"/>
  <c r="AI171" i="3" s="1"/>
  <c r="AE171" i="3"/>
  <c r="AX107" i="14"/>
  <c r="AW108" i="14"/>
  <c r="AM48" i="20"/>
  <c r="AO47" i="20"/>
  <c r="W197" i="4"/>
  <c r="W245" i="3"/>
  <c r="AM130" i="16"/>
  <c r="AN129" i="16"/>
  <c r="O74" i="6"/>
  <c r="AH165" i="3"/>
  <c r="AI165" i="3" s="1"/>
  <c r="AE165" i="3"/>
  <c r="AO107" i="20"/>
  <c r="AL108" i="20"/>
  <c r="AR21" i="16"/>
  <c r="AT20" i="16"/>
  <c r="AG154" i="18"/>
  <c r="BB153" i="18"/>
  <c r="AH153" i="18"/>
  <c r="AW69" i="20"/>
  <c r="AW81" i="20"/>
  <c r="X329" i="19"/>
  <c r="Z345" i="19"/>
  <c r="AM84" i="16"/>
  <c r="AN83" i="16"/>
  <c r="V326" i="19"/>
  <c r="W342" i="19"/>
  <c r="AM71" i="16"/>
  <c r="AN70" i="16"/>
  <c r="AP13" i="16"/>
  <c r="AQ12" i="16"/>
  <c r="K31" i="13"/>
  <c r="K32" i="13" s="1"/>
  <c r="K35" i="11"/>
  <c r="BA27" i="11"/>
  <c r="K33" i="11"/>
  <c r="K34" i="11" s="1"/>
  <c r="K4" i="6"/>
  <c r="BC27" i="13"/>
  <c r="BD164" i="16"/>
  <c r="BQ162" i="12" s="1"/>
  <c r="BG162" i="12" s="1"/>
  <c r="X331" i="19"/>
  <c r="Y347" i="19"/>
  <c r="V324" i="19"/>
  <c r="W340" i="19"/>
  <c r="AU117" i="22"/>
  <c r="AJ118" i="22"/>
  <c r="AA118" i="10"/>
  <c r="AB117" i="10"/>
  <c r="X301" i="15"/>
  <c r="AZ82" i="16"/>
  <c r="AX83" i="16"/>
  <c r="AI93" i="16"/>
  <c r="AK92" i="16"/>
  <c r="BA92" i="16" s="1"/>
  <c r="AC179" i="20"/>
  <c r="AU179" i="20" s="1"/>
  <c r="AD178" i="20"/>
  <c r="AU178" i="20"/>
  <c r="BA177" i="14"/>
  <c r="AM178" i="14"/>
  <c r="AN177" i="14"/>
  <c r="AD39" i="22"/>
  <c r="AE39" i="22" s="1"/>
  <c r="AE38" i="22"/>
  <c r="AG15" i="16"/>
  <c r="AH15" i="16" s="1"/>
  <c r="AH14" i="16"/>
  <c r="AM166" i="16"/>
  <c r="AN165" i="16"/>
  <c r="L41" i="6"/>
  <c r="L18" i="6"/>
  <c r="R131" i="26"/>
  <c r="AA59" i="22"/>
  <c r="AB58" i="22"/>
  <c r="BC140" i="18"/>
  <c r="BD140" i="18" s="1"/>
  <c r="AJ83" i="16"/>
  <c r="AK82" i="16"/>
  <c r="AH166" i="3"/>
  <c r="AE166" i="3"/>
  <c r="AJ134" i="18"/>
  <c r="V104" i="26"/>
  <c r="U105" i="26"/>
  <c r="AD141" i="8"/>
  <c r="AN70" i="18"/>
  <c r="AM71" i="18"/>
  <c r="W119" i="25"/>
  <c r="AG166" i="20"/>
  <c r="AF167" i="20"/>
  <c r="AW28" i="15"/>
  <c r="N5" i="6"/>
  <c r="Q11" i="15"/>
  <c r="N29" i="17"/>
  <c r="Q4" i="15"/>
  <c r="AE28" i="17"/>
  <c r="AE4" i="2" s="1"/>
  <c r="R241" i="11"/>
  <c r="R15" i="11"/>
  <c r="R257" i="11" s="1"/>
  <c r="S14" i="11"/>
  <c r="AG96" i="18"/>
  <c r="AH95" i="18"/>
  <c r="AB94" i="8"/>
  <c r="AA95" i="8"/>
  <c r="AM10" i="14"/>
  <c r="BA9" i="14"/>
  <c r="AJ60" i="18"/>
  <c r="Y302" i="15"/>
  <c r="AH332" i="3"/>
  <c r="AI332" i="3" s="1"/>
  <c r="AE332" i="3"/>
  <c r="AJ168" i="16"/>
  <c r="Q184" i="13"/>
  <c r="Q136" i="13" s="1"/>
  <c r="Q138" i="11"/>
  <c r="BM186" i="11"/>
  <c r="AT186" i="11"/>
  <c r="R367" i="13"/>
  <c r="R22" i="13" s="1"/>
  <c r="AV56" i="20"/>
  <c r="AW56" i="20"/>
  <c r="AW68" i="20"/>
  <c r="Z131" i="21"/>
  <c r="AB131" i="19"/>
  <c r="AC131" i="19"/>
  <c r="AO105" i="14"/>
  <c r="AY105" i="14" s="1"/>
  <c r="BB105" i="14" s="1"/>
  <c r="AR104" i="14"/>
  <c r="AY104" i="14"/>
  <c r="BB104" i="14" s="1"/>
  <c r="Y178" i="8"/>
  <c r="X179" i="8"/>
  <c r="Y370" i="19"/>
  <c r="Y376" i="19" s="1"/>
  <c r="Z29" i="19"/>
  <c r="V21" i="8"/>
  <c r="U22" i="8"/>
  <c r="AH141" i="22"/>
  <c r="AG142" i="22"/>
  <c r="AV141" i="22"/>
  <c r="L19" i="2"/>
  <c r="U106" i="24"/>
  <c r="V105" i="24"/>
  <c r="T20" i="5"/>
  <c r="AB339" i="19"/>
  <c r="AB142" i="8"/>
  <c r="AC142" i="8" s="1"/>
  <c r="AA143" i="8"/>
  <c r="AL121" i="14"/>
  <c r="AS24" i="16"/>
  <c r="BA33" i="14"/>
  <c r="AM34" i="14"/>
  <c r="X322" i="19"/>
  <c r="Z338" i="19"/>
  <c r="AN119" i="14"/>
  <c r="AK120" i="14"/>
  <c r="AZ82" i="18"/>
  <c r="AX83" i="18"/>
  <c r="AO59" i="18"/>
  <c r="AQ58" i="18"/>
  <c r="D88" i="5"/>
  <c r="D117" i="5"/>
  <c r="D121" i="5" s="1"/>
  <c r="AR117" i="16"/>
  <c r="AT116" i="16"/>
  <c r="BA116" i="16" s="1"/>
  <c r="AS83" i="16"/>
  <c r="AB93" i="22"/>
  <c r="AA94" i="22"/>
  <c r="AB327" i="19"/>
  <c r="U182" i="26"/>
  <c r="V181" i="26"/>
  <c r="AP58" i="22"/>
  <c r="AO59" i="22"/>
  <c r="BE139" i="14"/>
  <c r="BC139" i="14"/>
  <c r="BC151" i="14"/>
  <c r="AP74" i="22"/>
  <c r="AO75" i="22"/>
  <c r="AP75" i="22" s="1"/>
  <c r="R144" i="26"/>
  <c r="AG457" i="3"/>
  <c r="AF457" i="3"/>
  <c r="O458" i="3"/>
  <c r="O489" i="3"/>
  <c r="K51" i="11"/>
  <c r="U56" i="11"/>
  <c r="V72" i="11"/>
  <c r="AX94" i="18"/>
  <c r="AZ93" i="18"/>
  <c r="AS57" i="20"/>
  <c r="Y58" i="20"/>
  <c r="R108" i="26"/>
  <c r="AG179" i="16"/>
  <c r="AH178" i="16"/>
  <c r="R102" i="17"/>
  <c r="R114" i="17" s="1"/>
  <c r="R130" i="17"/>
  <c r="AV142" i="22"/>
  <c r="AG58" i="22"/>
  <c r="AH57" i="22"/>
  <c r="AV57" i="22"/>
  <c r="AY148" i="12"/>
  <c r="AX149" i="12"/>
  <c r="BE150" i="14"/>
  <c r="AL35" i="20"/>
  <c r="AO34" i="20"/>
  <c r="AJ145" i="20"/>
  <c r="AK144" i="20"/>
  <c r="AV167" i="16"/>
  <c r="AW166" i="16"/>
  <c r="AS107" i="16"/>
  <c r="P410" i="3"/>
  <c r="P425" i="3"/>
  <c r="AR178" i="14"/>
  <c r="AO179" i="14"/>
  <c r="AY178" i="14"/>
  <c r="Q21" i="13"/>
  <c r="BI22" i="13"/>
  <c r="AM131" i="18"/>
  <c r="AN130" i="18"/>
  <c r="BB130" i="18"/>
  <c r="R34" i="15"/>
  <c r="R35" i="15" s="1"/>
  <c r="R3" i="6"/>
  <c r="S15" i="7"/>
  <c r="AJ119" i="16"/>
  <c r="AK118" i="16"/>
  <c r="S120" i="10"/>
  <c r="R121" i="10"/>
  <c r="AX11" i="16"/>
  <c r="AZ10" i="16"/>
  <c r="R168" i="8"/>
  <c r="S167" i="8"/>
  <c r="AD152" i="8"/>
  <c r="AD164" i="8"/>
  <c r="AW92" i="20"/>
  <c r="AV92" i="20"/>
  <c r="AZ92" i="20" s="1"/>
  <c r="J389" i="4"/>
  <c r="J359" i="4"/>
  <c r="T361" i="13"/>
  <c r="T331" i="11"/>
  <c r="T186" i="4" s="1"/>
  <c r="T202" i="4"/>
  <c r="T250" i="3"/>
  <c r="T234" i="3" s="1"/>
  <c r="V347" i="11"/>
  <c r="W347" i="11" s="1"/>
  <c r="Y46" i="10"/>
  <c r="X47" i="10"/>
  <c r="AI94" i="20"/>
  <c r="AT93" i="20"/>
  <c r="AK93" i="20"/>
  <c r="T157" i="17"/>
  <c r="T125" i="17" s="1"/>
  <c r="T109" i="17" s="1"/>
  <c r="T127" i="15"/>
  <c r="T111" i="15" s="1"/>
  <c r="U159" i="15"/>
  <c r="AL105" i="22"/>
  <c r="AK106" i="22"/>
  <c r="AP97" i="18"/>
  <c r="AQ96" i="18"/>
  <c r="AC153" i="10"/>
  <c r="AD153" i="10" s="1"/>
  <c r="AZ67" i="20"/>
  <c r="AZ79" i="20"/>
  <c r="AL156" i="20"/>
  <c r="AO155" i="20"/>
  <c r="S366" i="13"/>
  <c r="S350" i="13" s="1"/>
  <c r="S351" i="13" s="1"/>
  <c r="S336" i="11"/>
  <c r="S191" i="4" s="1"/>
  <c r="S192" i="4" s="1"/>
  <c r="S207" i="4"/>
  <c r="S208" i="4" s="1"/>
  <c r="U129" i="15"/>
  <c r="U113" i="15" s="1"/>
  <c r="K262" i="4"/>
  <c r="K247" i="4"/>
  <c r="AC59" i="20"/>
  <c r="AD58" i="20"/>
  <c r="AP157" i="20"/>
  <c r="AR156" i="20"/>
  <c r="W125" i="15"/>
  <c r="W109" i="15" s="1"/>
  <c r="Y71" i="10"/>
  <c r="X72" i="10"/>
  <c r="AL84" i="20"/>
  <c r="K311" i="4"/>
  <c r="K326" i="4"/>
  <c r="G14" i="2"/>
  <c r="G15" i="2" s="1"/>
  <c r="AJ35" i="16"/>
  <c r="AI48" i="20"/>
  <c r="AT47" i="20"/>
  <c r="AO130" i="22"/>
  <c r="AP129" i="22"/>
  <c r="AV129" i="22"/>
  <c r="AW58" i="18"/>
  <c r="AV59" i="18"/>
  <c r="AX146" i="16"/>
  <c r="Y130" i="8"/>
  <c r="X131" i="8"/>
  <c r="AL34" i="14"/>
  <c r="AZ33" i="14"/>
  <c r="AI228" i="13"/>
  <c r="D389" i="4"/>
  <c r="D359" i="4"/>
  <c r="U100" i="5"/>
  <c r="AP166" i="16"/>
  <c r="AQ165" i="16"/>
  <c r="BA165" i="16" s="1"/>
  <c r="X299" i="15"/>
  <c r="U181" i="4"/>
  <c r="M326" i="4"/>
  <c r="M311" i="4"/>
  <c r="AH167" i="3"/>
  <c r="AE167" i="3"/>
  <c r="AI9" i="17"/>
  <c r="R7" i="17"/>
  <c r="R24" i="8"/>
  <c r="S23" i="8"/>
  <c r="AD127" i="8"/>
  <c r="P262" i="4"/>
  <c r="P279" i="4" s="1"/>
  <c r="P247" i="4"/>
  <c r="K277" i="4"/>
  <c r="K278" i="4"/>
  <c r="S105" i="10"/>
  <c r="AC105" i="10" s="1"/>
  <c r="R106" i="10"/>
  <c r="W120" i="15"/>
  <c r="X152" i="15"/>
  <c r="AW120" i="18"/>
  <c r="AV121" i="18"/>
  <c r="AX46" i="18"/>
  <c r="AZ45" i="18"/>
  <c r="AM47" i="14"/>
  <c r="BA46" i="14"/>
  <c r="BB178" i="18"/>
  <c r="AG179" i="18"/>
  <c r="T193" i="11"/>
  <c r="T14" i="1"/>
  <c r="T11" i="1" s="1"/>
  <c r="T8" i="11"/>
  <c r="P458" i="3"/>
  <c r="P489" i="3"/>
  <c r="Z37" i="4"/>
  <c r="V106" i="10"/>
  <c r="U107" i="10"/>
  <c r="AX70" i="16"/>
  <c r="AZ69" i="16"/>
  <c r="BA69" i="16" s="1"/>
  <c r="L408" i="19"/>
  <c r="L390" i="19"/>
  <c r="P374" i="19"/>
  <c r="AE71" i="22"/>
  <c r="AD72" i="22"/>
  <c r="U340" i="13"/>
  <c r="AR119" i="22"/>
  <c r="X107" i="8"/>
  <c r="Y106" i="8"/>
  <c r="Y154" i="10"/>
  <c r="X155" i="10"/>
  <c r="AJ178" i="22"/>
  <c r="AU177" i="22"/>
  <c r="AY177" i="22" s="1"/>
  <c r="AB142" i="22"/>
  <c r="AA143" i="22"/>
  <c r="X216" i="4"/>
  <c r="R119" i="26"/>
  <c r="S118" i="26"/>
  <c r="W123" i="15"/>
  <c r="W107" i="15" s="1"/>
  <c r="X155" i="15"/>
  <c r="Y155" i="15" s="1"/>
  <c r="Z155" i="15" s="1"/>
  <c r="AI105" i="18"/>
  <c r="BA104" i="18"/>
  <c r="BC104" i="18" s="1"/>
  <c r="AK104" i="18"/>
  <c r="AZ45" i="16"/>
  <c r="AX46" i="16"/>
  <c r="BC153" i="18"/>
  <c r="Q326" i="4"/>
  <c r="Y345" i="19"/>
  <c r="AQ118" i="22"/>
  <c r="AT117" i="22"/>
  <c r="AW117" i="22" s="1"/>
  <c r="AS117" i="22"/>
  <c r="AT36" i="22"/>
  <c r="AQ37" i="22"/>
  <c r="AK177" i="16"/>
  <c r="AJ178" i="16"/>
  <c r="AR12" i="20"/>
  <c r="AP13" i="20"/>
  <c r="AT10" i="20"/>
  <c r="AI11" i="20"/>
  <c r="Y296" i="15"/>
  <c r="BB177" i="18"/>
  <c r="AI227" i="13"/>
  <c r="X36" i="4"/>
  <c r="BD102" i="11"/>
  <c r="S70" i="8"/>
  <c r="R71" i="8"/>
  <c r="J262" i="4"/>
  <c r="J247" i="4"/>
  <c r="AF83" i="18"/>
  <c r="U144" i="10"/>
  <c r="V219" i="4"/>
  <c r="T413" i="13"/>
  <c r="T286" i="3" s="1"/>
  <c r="T302" i="3" s="1"/>
  <c r="T222" i="4"/>
  <c r="H88" i="5"/>
  <c r="H117" i="5"/>
  <c r="H121" i="5" s="1"/>
  <c r="AS10" i="14"/>
  <c r="AV9" i="14"/>
  <c r="AG34" i="22"/>
  <c r="AH33" i="22"/>
  <c r="AN94" i="14"/>
  <c r="AK95" i="14"/>
  <c r="AV32" i="14"/>
  <c r="AS33" i="14"/>
  <c r="AY33" i="14" s="1"/>
  <c r="BB33" i="14" s="1"/>
  <c r="BE33" i="14" s="1"/>
  <c r="AJ72" i="16"/>
  <c r="AK71" i="16"/>
  <c r="AW45" i="18"/>
  <c r="AV46" i="18"/>
  <c r="AW70" i="16"/>
  <c r="AV71" i="16"/>
  <c r="U362" i="13"/>
  <c r="U346" i="13" s="1"/>
  <c r="U332" i="11"/>
  <c r="U187" i="4" s="1"/>
  <c r="U203" i="4"/>
  <c r="V348" i="11"/>
  <c r="AP13" i="23"/>
  <c r="N7" i="6"/>
  <c r="AA34" i="20"/>
  <c r="Z35" i="20"/>
  <c r="AA156" i="20"/>
  <c r="Z157" i="20"/>
  <c r="BE67" i="14"/>
  <c r="BC67" i="14"/>
  <c r="R179" i="26"/>
  <c r="S178" i="26"/>
  <c r="W178" i="26" s="1"/>
  <c r="Q185" i="13"/>
  <c r="Q137" i="13" s="1"/>
  <c r="BM187" i="11"/>
  <c r="AT187" i="11"/>
  <c r="Q139" i="11"/>
  <c r="Q133" i="15"/>
  <c r="BC132" i="15"/>
  <c r="Q51" i="6"/>
  <c r="AI129" i="18"/>
  <c r="AK128" i="18"/>
  <c r="BA128" i="18"/>
  <c r="BC128" i="18" s="1"/>
  <c r="AR80" i="14"/>
  <c r="AO81" i="14"/>
  <c r="W34" i="8"/>
  <c r="Y33" i="8"/>
  <c r="AC33" i="8" s="1"/>
  <c r="AD45" i="8" s="1"/>
  <c r="AD22" i="22"/>
  <c r="AV22" i="22" s="1"/>
  <c r="AE21" i="22"/>
  <c r="AY152" i="20"/>
  <c r="AV152" i="20"/>
  <c r="AZ152" i="20" s="1"/>
  <c r="AP94" i="20"/>
  <c r="AR93" i="20"/>
  <c r="D426" i="3"/>
  <c r="D411" i="3"/>
  <c r="AU10" i="22"/>
  <c r="AJ11" i="22"/>
  <c r="AL10" i="22"/>
  <c r="V325" i="19"/>
  <c r="Y94" i="8"/>
  <c r="X95" i="8"/>
  <c r="U59" i="11"/>
  <c r="AD168" i="22"/>
  <c r="AE167" i="22"/>
  <c r="AQ70" i="14"/>
  <c r="BA69" i="14"/>
  <c r="W329" i="19"/>
  <c r="Y35" i="20"/>
  <c r="AS34" i="20"/>
  <c r="B88" i="5"/>
  <c r="B117" i="5"/>
  <c r="B121" i="5" s="1"/>
  <c r="AW128" i="20"/>
  <c r="AV128" i="20"/>
  <c r="W126" i="15"/>
  <c r="W110" i="15" s="1"/>
  <c r="U232" i="3"/>
  <c r="D246" i="4"/>
  <c r="D261" i="4"/>
  <c r="AK47" i="14"/>
  <c r="AD79" i="5"/>
  <c r="AC79" i="5"/>
  <c r="P81" i="5"/>
  <c r="AP165" i="14"/>
  <c r="AR164" i="14"/>
  <c r="R25" i="26"/>
  <c r="S58" i="10"/>
  <c r="AC58" i="10" s="1"/>
  <c r="R59" i="10"/>
  <c r="AR34" i="18"/>
  <c r="AT33" i="18"/>
  <c r="AN129" i="14"/>
  <c r="AK130" i="14"/>
  <c r="AJ228" i="13"/>
  <c r="BB177" i="14"/>
  <c r="S64" i="11"/>
  <c r="S65" i="11" s="1"/>
  <c r="S82" i="11"/>
  <c r="AV154" i="16"/>
  <c r="AW153" i="16"/>
  <c r="AS48" i="16"/>
  <c r="AG155" i="16"/>
  <c r="AH154" i="16"/>
  <c r="AW20" i="20"/>
  <c r="AV20" i="20"/>
  <c r="AZ20" i="20" s="1"/>
  <c r="AV117" i="14"/>
  <c r="AS118" i="14"/>
  <c r="AB130" i="8"/>
  <c r="AA131" i="8"/>
  <c r="AJ99" i="20"/>
  <c r="AP71" i="16"/>
  <c r="AQ70" i="16"/>
  <c r="AR178" i="20"/>
  <c r="AP179" i="20"/>
  <c r="AM11" i="18"/>
  <c r="AN10" i="18"/>
  <c r="AB24" i="10"/>
  <c r="AA25" i="10"/>
  <c r="Y117" i="10"/>
  <c r="X118" i="10"/>
  <c r="AK232" i="13"/>
  <c r="AM73" i="14"/>
  <c r="O409" i="19"/>
  <c r="O391" i="19"/>
  <c r="Z214" i="4"/>
  <c r="AA375" i="11"/>
  <c r="AZ57" i="18"/>
  <c r="AX58" i="18"/>
  <c r="AI238" i="13"/>
  <c r="U94" i="10"/>
  <c r="V93" i="10"/>
  <c r="V107" i="11"/>
  <c r="BC18" i="15"/>
  <c r="BM35" i="15"/>
  <c r="Q17" i="15"/>
  <c r="J322" i="3"/>
  <c r="X108" i="11"/>
  <c r="AH22" i="20"/>
  <c r="AS21" i="20"/>
  <c r="AK21" i="20"/>
  <c r="AF120" i="20"/>
  <c r="AG119" i="20"/>
  <c r="AD85" i="5"/>
  <c r="AC85" i="5"/>
  <c r="P118" i="5"/>
  <c r="AX176" i="22"/>
  <c r="AW176" i="22"/>
  <c r="BA176" i="22" s="1"/>
  <c r="AW9" i="16"/>
  <c r="BA9" i="16" s="1"/>
  <c r="AV10" i="16"/>
  <c r="AF36" i="20"/>
  <c r="H426" i="3"/>
  <c r="H411" i="3"/>
  <c r="F359" i="4"/>
  <c r="F389" i="4"/>
  <c r="R12" i="26"/>
  <c r="N88" i="5"/>
  <c r="N117" i="5"/>
  <c r="N121" i="5" s="1"/>
  <c r="W306" i="15"/>
  <c r="AK234" i="13"/>
  <c r="L88" i="5"/>
  <c r="L117" i="5"/>
  <c r="L121" i="5" s="1"/>
  <c r="AI166" i="3"/>
  <c r="T142" i="10"/>
  <c r="V141" i="10"/>
  <c r="AC141" i="10" s="1"/>
  <c r="K359" i="4"/>
  <c r="K389" i="4"/>
  <c r="R49" i="24"/>
  <c r="AI232" i="13"/>
  <c r="AN95" i="18"/>
  <c r="AM96" i="18"/>
  <c r="AN106" i="18"/>
  <c r="AM107" i="18"/>
  <c r="AF46" i="18"/>
  <c r="BC324" i="15"/>
  <c r="Q316" i="15"/>
  <c r="Q315" i="15"/>
  <c r="Q322" i="15"/>
  <c r="Q321" i="15"/>
  <c r="Q320" i="15"/>
  <c r="Q318" i="15"/>
  <c r="Q319" i="15"/>
  <c r="Q317" i="15"/>
  <c r="AI70" i="20"/>
  <c r="AK70" i="20" s="1"/>
  <c r="AT69" i="20"/>
  <c r="AX69" i="20" s="1"/>
  <c r="AG35" i="18"/>
  <c r="AH34" i="18"/>
  <c r="Y55" i="11"/>
  <c r="AX131" i="18"/>
  <c r="AZ130" i="18"/>
  <c r="O88" i="5"/>
  <c r="O117" i="5"/>
  <c r="O121" i="5" s="1"/>
  <c r="V132" i="21"/>
  <c r="BC79" i="14"/>
  <c r="AG143" i="18"/>
  <c r="AH142" i="18"/>
  <c r="AA145" i="10"/>
  <c r="AB144" i="10"/>
  <c r="AX92" i="20"/>
  <c r="AX104" i="20"/>
  <c r="AD72" i="5"/>
  <c r="AC72" i="5"/>
  <c r="AW45" i="16"/>
  <c r="AV46" i="16"/>
  <c r="AK15" i="22"/>
  <c r="BA154" i="18"/>
  <c r="AF155" i="18"/>
  <c r="AR131" i="20"/>
  <c r="AP132" i="20"/>
  <c r="AO27" i="22"/>
  <c r="Q183" i="13"/>
  <c r="Q135" i="13" s="1"/>
  <c r="AT185" i="11"/>
  <c r="BM185" i="11"/>
  <c r="Q137" i="11"/>
  <c r="AK132" i="22"/>
  <c r="AJ48" i="16"/>
  <c r="J489" i="3"/>
  <c r="AD457" i="3"/>
  <c r="AH457" i="3" s="1"/>
  <c r="J458" i="3"/>
  <c r="U70" i="24"/>
  <c r="V69" i="24"/>
  <c r="W69" i="24" s="1"/>
  <c r="W58" i="11"/>
  <c r="S93" i="24"/>
  <c r="R94" i="24"/>
  <c r="AB178" i="8"/>
  <c r="AA179" i="8"/>
  <c r="AS36" i="18"/>
  <c r="AB130" i="22"/>
  <c r="AA131" i="22"/>
  <c r="AN153" i="16"/>
  <c r="AM154" i="16"/>
  <c r="AS15" i="11"/>
  <c r="Q257" i="11"/>
  <c r="BM15" i="11"/>
  <c r="AD106" i="20"/>
  <c r="AC107" i="20"/>
  <c r="AJ179" i="20"/>
  <c r="AM239" i="13"/>
  <c r="AM14" i="13" s="1"/>
  <c r="U327" i="13"/>
  <c r="AE118" i="22"/>
  <c r="AD119" i="22"/>
  <c r="Y180" i="20"/>
  <c r="E19" i="2"/>
  <c r="AX46" i="20"/>
  <c r="AU93" i="22"/>
  <c r="AJ94" i="22"/>
  <c r="M18" i="6"/>
  <c r="AS167" i="18"/>
  <c r="S46" i="10"/>
  <c r="R47" i="10"/>
  <c r="S92" i="5"/>
  <c r="AI166" i="20"/>
  <c r="AT165" i="20"/>
  <c r="AX165" i="20" s="1"/>
  <c r="M383" i="4"/>
  <c r="U119" i="25"/>
  <c r="AU22" i="22"/>
  <c r="AJ23" i="22"/>
  <c r="AL22" i="22"/>
  <c r="AR105" i="16"/>
  <c r="AT104" i="16"/>
  <c r="BA104" i="16" s="1"/>
  <c r="AK70" i="18"/>
  <c r="AJ71" i="18"/>
  <c r="AP35" i="16"/>
  <c r="AQ34" i="16"/>
  <c r="AZ167" i="18"/>
  <c r="AX168" i="18"/>
  <c r="AM178" i="22"/>
  <c r="AT177" i="22"/>
  <c r="AV153" i="22"/>
  <c r="AZ153" i="22" s="1"/>
  <c r="AS153" i="22"/>
  <c r="AR154" i="22"/>
  <c r="U326" i="19"/>
  <c r="U333" i="19" s="1"/>
  <c r="D346" i="3"/>
  <c r="V329" i="11"/>
  <c r="V184" i="4" s="1"/>
  <c r="V248" i="3"/>
  <c r="V200" i="4"/>
  <c r="W345" i="11"/>
  <c r="AK235" i="13"/>
  <c r="AD21" i="20"/>
  <c r="AC22" i="20"/>
  <c r="M360" i="3"/>
  <c r="M345" i="3"/>
  <c r="AL50" i="20"/>
  <c r="AI230" i="13"/>
  <c r="AE173" i="3"/>
  <c r="AH444" i="3"/>
  <c r="AI444" i="3" s="1"/>
  <c r="AE444" i="3"/>
  <c r="AP62" i="16"/>
  <c r="AI45" i="18"/>
  <c r="AK44" i="18"/>
  <c r="AS83" i="20"/>
  <c r="Y84" i="20"/>
  <c r="F88" i="5"/>
  <c r="F117" i="5"/>
  <c r="F121" i="5" s="1"/>
  <c r="AR179" i="22"/>
  <c r="AS178" i="22"/>
  <c r="BE161" i="12"/>
  <c r="AH175" i="3"/>
  <c r="AI175" i="3" s="1"/>
  <c r="AE175" i="3"/>
  <c r="V45" i="4"/>
  <c r="L391" i="19"/>
  <c r="L409" i="19"/>
  <c r="BC55" i="14"/>
  <c r="BE55" i="14"/>
  <c r="AO58" i="14"/>
  <c r="AR57" i="14"/>
  <c r="AU106" i="20"/>
  <c r="AA106" i="20"/>
  <c r="Z107" i="20"/>
  <c r="K410" i="3"/>
  <c r="K425" i="3"/>
  <c r="V166" i="10"/>
  <c r="U167" i="10"/>
  <c r="AG71" i="20"/>
  <c r="AF72" i="20"/>
  <c r="M408" i="19"/>
  <c r="M390" i="19"/>
  <c r="W216" i="4"/>
  <c r="L359" i="4"/>
  <c r="L389" i="4"/>
  <c r="V154" i="10"/>
  <c r="U155" i="10"/>
  <c r="U41" i="4"/>
  <c r="Y221" i="4"/>
  <c r="AQ178" i="18"/>
  <c r="AP179" i="18"/>
  <c r="X35" i="4"/>
  <c r="Q117" i="5"/>
  <c r="J14" i="2"/>
  <c r="J15" i="2" s="1"/>
  <c r="AW165" i="14"/>
  <c r="AX164" i="14"/>
  <c r="Q188" i="13"/>
  <c r="Q140" i="13" s="1"/>
  <c r="Q142" i="11"/>
  <c r="AT190" i="11"/>
  <c r="BM190" i="11"/>
  <c r="R157" i="10"/>
  <c r="AG94" i="20"/>
  <c r="AF95" i="20"/>
  <c r="AO33" i="14"/>
  <c r="AR32" i="14"/>
  <c r="AC177" i="8"/>
  <c r="AD177" i="8" s="1"/>
  <c r="AM82" i="20"/>
  <c r="AO81" i="20"/>
  <c r="AH81" i="16"/>
  <c r="AG82" i="16"/>
  <c r="AT81" i="22"/>
  <c r="AW81" i="22" s="1"/>
  <c r="AQ82" i="22"/>
  <c r="R106" i="24"/>
  <c r="S105" i="24"/>
  <c r="Q237" i="11"/>
  <c r="BM241" i="11"/>
  <c r="Q236" i="11"/>
  <c r="Q235" i="11"/>
  <c r="Q233" i="11"/>
  <c r="Q239" i="11"/>
  <c r="Q238" i="11"/>
  <c r="Q234" i="11"/>
  <c r="Q232" i="11"/>
  <c r="AG108" i="18"/>
  <c r="AH107" i="18"/>
  <c r="AP10" i="22"/>
  <c r="AO11" i="22"/>
  <c r="AS45" i="20"/>
  <c r="Y46" i="20"/>
  <c r="AA45" i="20"/>
  <c r="AE93" i="22"/>
  <c r="AD94" i="22"/>
  <c r="AI33" i="16"/>
  <c r="AK32" i="16"/>
  <c r="BA32" i="16" s="1"/>
  <c r="V38" i="4"/>
  <c r="W104" i="11"/>
  <c r="R37" i="10"/>
  <c r="AT82" i="20"/>
  <c r="AI83" i="20"/>
  <c r="AC105" i="8"/>
  <c r="AB166" i="10"/>
  <c r="AA167" i="10"/>
  <c r="BA128" i="16"/>
  <c r="AI34" i="18"/>
  <c r="BA33" i="18"/>
  <c r="BC33" i="18" s="1"/>
  <c r="BF159" i="12"/>
  <c r="BT159" i="12"/>
  <c r="BJ159" i="12" s="1"/>
  <c r="AQ98" i="16"/>
  <c r="AP99" i="16"/>
  <c r="AQ99" i="16" s="1"/>
  <c r="X85" i="10"/>
  <c r="Y84" i="10"/>
  <c r="AO12" i="20"/>
  <c r="AL13" i="20"/>
  <c r="V48" i="8"/>
  <c r="U49" i="8"/>
  <c r="AK227" i="13"/>
  <c r="AF109" i="20"/>
  <c r="AG108" i="20"/>
  <c r="U406" i="13"/>
  <c r="U279" i="3" s="1"/>
  <c r="U295" i="3" s="1"/>
  <c r="U215" i="4"/>
  <c r="AI234" i="13"/>
  <c r="AJ133" i="16"/>
  <c r="AI173" i="3"/>
  <c r="AP155" i="18"/>
  <c r="AQ154" i="18"/>
  <c r="Y166" i="8"/>
  <c r="X167" i="8"/>
  <c r="AW82" i="20"/>
  <c r="AV82" i="20"/>
  <c r="AX155" i="16"/>
  <c r="AZ154" i="16"/>
  <c r="W129" i="19"/>
  <c r="Y166" i="20"/>
  <c r="AS165" i="20"/>
  <c r="AA165" i="20"/>
  <c r="V36" i="10"/>
  <c r="U37" i="10"/>
  <c r="Z303" i="15"/>
  <c r="AW44" i="20"/>
  <c r="AV44" i="20"/>
  <c r="AZ44" i="20" s="1"/>
  <c r="BA105" i="14"/>
  <c r="AM106" i="14"/>
  <c r="T365" i="13"/>
  <c r="T349" i="13" s="1"/>
  <c r="T335" i="11"/>
  <c r="T190" i="4" s="1"/>
  <c r="T206" i="4"/>
  <c r="V44" i="26"/>
  <c r="U45" i="26"/>
  <c r="E88" i="5"/>
  <c r="E117" i="5"/>
  <c r="E121" i="5" s="1"/>
  <c r="AB178" i="22"/>
  <c r="AA179" i="22"/>
  <c r="AT144" i="20"/>
  <c r="AI145" i="20"/>
  <c r="AC46" i="20"/>
  <c r="AD45" i="20"/>
  <c r="AU45" i="20"/>
  <c r="AY45" i="20" s="1"/>
  <c r="AB106" i="8"/>
  <c r="AC106" i="8" s="1"/>
  <c r="AA107" i="8"/>
  <c r="AW59" i="16"/>
  <c r="AV60" i="16"/>
  <c r="AS120" i="16"/>
  <c r="AW129" i="16"/>
  <c r="AV130" i="16"/>
  <c r="AH153" i="22"/>
  <c r="AG154" i="22"/>
  <c r="T119" i="25"/>
  <c r="BA160" i="12"/>
  <c r="BP160" i="12" s="1"/>
  <c r="AY160" i="12"/>
  <c r="AX161" i="12"/>
  <c r="S82" i="8"/>
  <c r="R83" i="8"/>
  <c r="AX90" i="12"/>
  <c r="AY89" i="12"/>
  <c r="AS51" i="18"/>
  <c r="Q458" i="3"/>
  <c r="Q489" i="3"/>
  <c r="AS169" i="16"/>
  <c r="AK236" i="13"/>
  <c r="AS38" i="16"/>
  <c r="AT37" i="16"/>
  <c r="R60" i="26"/>
  <c r="S59" i="26"/>
  <c r="V376" i="11"/>
  <c r="AI235" i="13"/>
  <c r="AP97" i="22"/>
  <c r="AO98" i="22"/>
  <c r="X119" i="25"/>
  <c r="S60" i="8"/>
  <c r="R61" i="8"/>
  <c r="AB70" i="8"/>
  <c r="AA71" i="8"/>
  <c r="Y121" i="15"/>
  <c r="Y105" i="15" s="1"/>
  <c r="V218" i="4"/>
  <c r="Z196" i="4"/>
  <c r="Z244" i="3"/>
  <c r="V164" i="24"/>
  <c r="W164" i="24" s="1"/>
  <c r="U165" i="24"/>
  <c r="AO10" i="14"/>
  <c r="AR9" i="14"/>
  <c r="AR13" i="23"/>
  <c r="O7" i="6"/>
  <c r="O8" i="6" s="1"/>
  <c r="W36" i="4"/>
  <c r="N391" i="19"/>
  <c r="N409" i="19"/>
  <c r="Q261" i="4"/>
  <c r="Q246" i="4"/>
  <c r="AJ167" i="20"/>
  <c r="H261" i="4"/>
  <c r="H246" i="4"/>
  <c r="Y25" i="20"/>
  <c r="W325" i="19"/>
  <c r="AV92" i="14"/>
  <c r="AS93" i="14"/>
  <c r="AY92" i="14"/>
  <c r="BB92" i="14" s="1"/>
  <c r="AA49" i="8"/>
  <c r="AB48" i="8"/>
  <c r="AF142" i="18"/>
  <c r="AW176" i="20"/>
  <c r="AV176" i="20"/>
  <c r="L458" i="3"/>
  <c r="L489" i="3"/>
  <c r="AZ177" i="18"/>
  <c r="AX178" i="18"/>
  <c r="W20" i="24"/>
  <c r="U63" i="11"/>
  <c r="BD115" i="18"/>
  <c r="R119" i="24"/>
  <c r="S118" i="24"/>
  <c r="AK166" i="14"/>
  <c r="AN165" i="14"/>
  <c r="AL117" i="22"/>
  <c r="AK118" i="22"/>
  <c r="AP119" i="18"/>
  <c r="AQ118" i="18"/>
  <c r="S122" i="17"/>
  <c r="S162" i="17"/>
  <c r="S9" i="17" s="1"/>
  <c r="S7" i="17" s="1"/>
  <c r="S6" i="17" s="1"/>
  <c r="V334" i="11"/>
  <c r="V189" i="4" s="1"/>
  <c r="V205" i="4"/>
  <c r="U410" i="13"/>
  <c r="U283" i="3" s="1"/>
  <c r="U299" i="3" s="1"/>
  <c r="U219" i="4"/>
  <c r="AK179" i="22"/>
  <c r="AP239" i="13"/>
  <c r="AP14" i="13" s="1"/>
  <c r="AJ47" i="22"/>
  <c r="AU46" i="22"/>
  <c r="R224" i="4"/>
  <c r="AS70" i="20"/>
  <c r="Y71" i="20"/>
  <c r="T410" i="13"/>
  <c r="T283" i="3" s="1"/>
  <c r="T299" i="3" s="1"/>
  <c r="T219" i="4"/>
  <c r="AW140" i="20"/>
  <c r="AV140" i="20"/>
  <c r="AZ140" i="20" s="1"/>
  <c r="AW152" i="20"/>
  <c r="E361" i="3"/>
  <c r="E346" i="3"/>
  <c r="V136" i="21"/>
  <c r="W136" i="19"/>
  <c r="AX128" i="12"/>
  <c r="AW178" i="16"/>
  <c r="AV179" i="16"/>
  <c r="AW141" i="14"/>
  <c r="AX140" i="14"/>
  <c r="S155" i="8"/>
  <c r="R156" i="8"/>
  <c r="AV68" i="14"/>
  <c r="AS69" i="14"/>
  <c r="BA54" i="11"/>
  <c r="AG145" i="16"/>
  <c r="U60" i="10"/>
  <c r="V59" i="10"/>
  <c r="AA119" i="22"/>
  <c r="AB118" i="22"/>
  <c r="I347" i="3"/>
  <c r="I362" i="3"/>
  <c r="J277" i="4"/>
  <c r="J278" i="4"/>
  <c r="Q6" i="19"/>
  <c r="Q125" i="19"/>
  <c r="BD7" i="19"/>
  <c r="Q31" i="19"/>
  <c r="BP7" i="19"/>
  <c r="AT143" i="22"/>
  <c r="AQ144" i="22"/>
  <c r="AQ107" i="22"/>
  <c r="AT106" i="22"/>
  <c r="AJ85" i="18"/>
  <c r="O360" i="3"/>
  <c r="AG344" i="3"/>
  <c r="O345" i="3"/>
  <c r="AF344" i="3"/>
  <c r="C359" i="4"/>
  <c r="C389" i="4"/>
  <c r="AT179" i="18"/>
  <c r="AS180" i="18"/>
  <c r="X138" i="21"/>
  <c r="AA157" i="22"/>
  <c r="AB156" i="22"/>
  <c r="BF172" i="12"/>
  <c r="BF171" i="12"/>
  <c r="BU171" i="12"/>
  <c r="BK171" i="12" s="1"/>
  <c r="J88" i="5"/>
  <c r="J117" i="5"/>
  <c r="J121" i="5" s="1"/>
  <c r="V378" i="11"/>
  <c r="W378" i="11" s="1"/>
  <c r="AK34" i="14"/>
  <c r="AN33" i="14"/>
  <c r="AV94" i="18"/>
  <c r="AW93" i="18"/>
  <c r="T333" i="19"/>
  <c r="R35" i="8"/>
  <c r="S34" i="8"/>
  <c r="Q22" i="24"/>
  <c r="S21" i="24"/>
  <c r="AA70" i="20"/>
  <c r="AU70" i="20"/>
  <c r="Z71" i="20"/>
  <c r="AI166" i="18"/>
  <c r="AK165" i="18"/>
  <c r="AE331" i="3"/>
  <c r="X78" i="11"/>
  <c r="Y78" i="11" s="1"/>
  <c r="Z78" i="11" s="1"/>
  <c r="R96" i="10"/>
  <c r="S95" i="10"/>
  <c r="AH333" i="3"/>
  <c r="AI333" i="3" s="1"/>
  <c r="AE333" i="3"/>
  <c r="J326" i="4"/>
  <c r="J311" i="4"/>
  <c r="AI93" i="18"/>
  <c r="BA92" i="18"/>
  <c r="BC92" i="18" s="1"/>
  <c r="BD92" i="18" s="1"/>
  <c r="AK92" i="18"/>
  <c r="V140" i="24"/>
  <c r="W140" i="24" s="1"/>
  <c r="U141" i="24"/>
  <c r="AN239" i="13"/>
  <c r="AN14" i="13" s="1"/>
  <c r="S107" i="8"/>
  <c r="R108" i="8"/>
  <c r="U20" i="5"/>
  <c r="AH441" i="3"/>
  <c r="AI441" i="3" s="1"/>
  <c r="AE441" i="3"/>
  <c r="AH11" i="22"/>
  <c r="AG12" i="22"/>
  <c r="AA21" i="20"/>
  <c r="Z22" i="20"/>
  <c r="AU21" i="20"/>
  <c r="AY21" i="20" s="1"/>
  <c r="AV142" i="16"/>
  <c r="AW141" i="16"/>
  <c r="BA141" i="16" s="1"/>
  <c r="AO34" i="22"/>
  <c r="AP33" i="22"/>
  <c r="AV146" i="18"/>
  <c r="AW145" i="18"/>
  <c r="X341" i="19"/>
  <c r="T231" i="3"/>
  <c r="AD340" i="3"/>
  <c r="AX179" i="14"/>
  <c r="AW180" i="14"/>
  <c r="U330" i="11"/>
  <c r="U185" i="4" s="1"/>
  <c r="AE34" i="20"/>
  <c r="AG33" i="20"/>
  <c r="AE86" i="22"/>
  <c r="AD87" i="22"/>
  <c r="AE87" i="22" s="1"/>
  <c r="R95" i="26"/>
  <c r="S94" i="26"/>
  <c r="AK22" i="14"/>
  <c r="AN21" i="14"/>
  <c r="AX46" i="14"/>
  <c r="AW47" i="14"/>
  <c r="Z297" i="15"/>
  <c r="BE115" i="14"/>
  <c r="BC115" i="14"/>
  <c r="AH119" i="18"/>
  <c r="AG120" i="18"/>
  <c r="AL22" i="20"/>
  <c r="AO21" i="20"/>
  <c r="AC343" i="19"/>
  <c r="AE174" i="3"/>
  <c r="S10" i="24"/>
  <c r="R11" i="24"/>
  <c r="T332" i="11"/>
  <c r="T187" i="4" s="1"/>
  <c r="AF83" i="20"/>
  <c r="AG82" i="20"/>
  <c r="W305" i="15"/>
  <c r="S24" i="10"/>
  <c r="R25" i="10"/>
  <c r="Z119" i="25"/>
  <c r="V130" i="19"/>
  <c r="AO141" i="14"/>
  <c r="AR140" i="14"/>
  <c r="AY140" i="14"/>
  <c r="BB140" i="14" s="1"/>
  <c r="AA12" i="10"/>
  <c r="AB11" i="10"/>
  <c r="V19" i="5"/>
  <c r="BA184" i="12"/>
  <c r="BP184" i="12" s="1"/>
  <c r="AY184" i="12"/>
  <c r="Q3" i="13"/>
  <c r="AT59" i="22"/>
  <c r="AQ60" i="22"/>
  <c r="AT129" i="16"/>
  <c r="AS130" i="16"/>
  <c r="AL13" i="23"/>
  <c r="L7" i="6"/>
  <c r="AM13" i="25"/>
  <c r="L16" i="25"/>
  <c r="AQ10" i="22"/>
  <c r="AT9" i="22"/>
  <c r="AW9" i="22" s="1"/>
  <c r="AC119" i="20"/>
  <c r="AD118" i="20"/>
  <c r="AK69" i="20"/>
  <c r="AS11" i="16"/>
  <c r="AT10" i="16"/>
  <c r="Z298" i="15"/>
  <c r="AY104" i="20"/>
  <c r="AA84" i="10"/>
  <c r="AB83" i="10"/>
  <c r="Z49" i="20"/>
  <c r="AA61" i="10"/>
  <c r="AB60" i="10"/>
  <c r="S33" i="26"/>
  <c r="R34" i="26"/>
  <c r="V93" i="26"/>
  <c r="W93" i="26" s="1"/>
  <c r="U94" i="26"/>
  <c r="AL166" i="14"/>
  <c r="AZ165" i="14"/>
  <c r="H489" i="3"/>
  <c r="H458" i="3"/>
  <c r="AD55" i="5"/>
  <c r="AC55" i="5"/>
  <c r="AR129" i="18"/>
  <c r="AT128" i="18"/>
  <c r="AJ83" i="20"/>
  <c r="AK82" i="20"/>
  <c r="K322" i="3"/>
  <c r="Q105" i="17"/>
  <c r="Q114" i="17" s="1"/>
  <c r="Q130" i="17"/>
  <c r="AI172" i="3"/>
  <c r="AA155" i="8"/>
  <c r="AB154" i="8"/>
  <c r="W130" i="15"/>
  <c r="W114" i="15" s="1"/>
  <c r="R98" i="8"/>
  <c r="S97" i="8"/>
  <c r="U328" i="19"/>
  <c r="V344" i="19"/>
  <c r="AJ95" i="18"/>
  <c r="AR45" i="16"/>
  <c r="AT44" i="16"/>
  <c r="BA44" i="16" s="1"/>
  <c r="AM22" i="18"/>
  <c r="AN21" i="18"/>
  <c r="AK144" i="14"/>
  <c r="AZ34" i="16"/>
  <c r="AX35" i="16"/>
  <c r="V330" i="11"/>
  <c r="V185" i="4" s="1"/>
  <c r="V201" i="4"/>
  <c r="V249" i="3"/>
  <c r="AX8" i="14"/>
  <c r="AW9" i="14"/>
  <c r="AY9" i="14" s="1"/>
  <c r="BB9" i="14" s="1"/>
  <c r="Z302" i="15"/>
  <c r="AD140" i="8"/>
  <c r="AJ229" i="13"/>
  <c r="AX32" i="14"/>
  <c r="AW33" i="14"/>
  <c r="AF58" i="20"/>
  <c r="AG57" i="20"/>
  <c r="P389" i="4"/>
  <c r="P359" i="4"/>
  <c r="R50" i="26"/>
  <c r="T326" i="13"/>
  <c r="R62" i="24"/>
  <c r="AB166" i="8"/>
  <c r="AC166" i="8" s="1"/>
  <c r="AA167" i="8"/>
  <c r="X22" i="10"/>
  <c r="Y21" i="10"/>
  <c r="AC21" i="10" s="1"/>
  <c r="S21" i="5"/>
  <c r="Y131" i="21"/>
  <c r="BA10" i="18"/>
  <c r="AF11" i="18"/>
  <c r="AZ83" i="14"/>
  <c r="AL84" i="14"/>
  <c r="S110" i="5"/>
  <c r="AL155" i="14"/>
  <c r="AZ154" i="14"/>
  <c r="AP154" i="22"/>
  <c r="AO155" i="22"/>
  <c r="V79" i="11"/>
  <c r="W79" i="11" s="1"/>
  <c r="AE12" i="22"/>
  <c r="AD13" i="22"/>
  <c r="I88" i="5"/>
  <c r="I117" i="5"/>
  <c r="I121" i="5" s="1"/>
  <c r="U22" i="26"/>
  <c r="V21" i="26"/>
  <c r="W21" i="26" s="1"/>
  <c r="BE7" i="15"/>
  <c r="R8" i="15"/>
  <c r="R10" i="15"/>
  <c r="AQ167" i="22"/>
  <c r="AT166" i="22"/>
  <c r="AB81" i="8"/>
  <c r="AC81" i="8" s="1"/>
  <c r="AA82" i="8"/>
  <c r="AW165" i="22"/>
  <c r="AX165" i="22"/>
  <c r="BE103" i="14"/>
  <c r="BC103" i="14"/>
  <c r="M35" i="11"/>
  <c r="BE27" i="11"/>
  <c r="M31" i="13"/>
  <c r="M32" i="13" s="1"/>
  <c r="M33" i="11"/>
  <c r="M34" i="11" s="1"/>
  <c r="M4" i="6"/>
  <c r="M8" i="6" s="1"/>
  <c r="AJ71" i="20"/>
  <c r="S46" i="4"/>
  <c r="S114" i="11"/>
  <c r="T43" i="4"/>
  <c r="T21" i="5" s="1"/>
  <c r="T112" i="11"/>
  <c r="T61" i="11"/>
  <c r="AS131" i="18"/>
  <c r="U93" i="24"/>
  <c r="V92" i="24"/>
  <c r="W92" i="24" s="1"/>
  <c r="T131" i="10"/>
  <c r="V130" i="10"/>
  <c r="AA35" i="8"/>
  <c r="AB34" i="8"/>
  <c r="AN58" i="18"/>
  <c r="AM59" i="18"/>
  <c r="V197" i="4"/>
  <c r="V100" i="5" s="1"/>
  <c r="V245" i="3"/>
  <c r="BC342" i="11"/>
  <c r="AI59" i="20"/>
  <c r="AT58" i="20"/>
  <c r="AX58" i="20" s="1"/>
  <c r="AK58" i="20"/>
  <c r="AW82" i="16"/>
  <c r="AV83" i="16"/>
  <c r="Z135" i="21"/>
  <c r="R166" i="10"/>
  <c r="S165" i="10"/>
  <c r="AC165" i="10" s="1"/>
  <c r="AD165" i="10" s="1"/>
  <c r="AT94" i="22"/>
  <c r="AQ95" i="22"/>
  <c r="AS94" i="22"/>
  <c r="Y166" i="10"/>
  <c r="X167" i="10"/>
  <c r="Q360" i="3"/>
  <c r="Q345" i="3"/>
  <c r="AO167" i="22"/>
  <c r="AP166" i="22"/>
  <c r="AA71" i="10"/>
  <c r="AB70" i="10"/>
  <c r="V141" i="26"/>
  <c r="U142" i="26"/>
  <c r="H359" i="4"/>
  <c r="H389" i="4"/>
  <c r="BU172" i="12"/>
  <c r="BK172" i="12" s="1"/>
  <c r="AR10" i="22"/>
  <c r="AV9" i="22"/>
  <c r="AS9" i="22"/>
  <c r="AJ155" i="18"/>
  <c r="AK154" i="18"/>
  <c r="V56" i="24"/>
  <c r="W56" i="24" s="1"/>
  <c r="U57" i="24"/>
  <c r="AQ23" i="18"/>
  <c r="AP24" i="18"/>
  <c r="D311" i="4"/>
  <c r="E327" i="4" s="1"/>
  <c r="D326" i="4"/>
  <c r="AB106" i="22"/>
  <c r="AA107" i="22"/>
  <c r="AJ237" i="13"/>
  <c r="AI442" i="3"/>
  <c r="E14" i="2"/>
  <c r="E15" i="2" s="1"/>
  <c r="AG23" i="20"/>
  <c r="AF24" i="20"/>
  <c r="Y48" i="8"/>
  <c r="X49" i="8"/>
  <c r="AN94" i="20"/>
  <c r="AU93" i="20"/>
  <c r="AY93" i="20" s="1"/>
  <c r="AO93" i="20"/>
  <c r="AR141" i="18"/>
  <c r="AT140" i="18"/>
  <c r="S10" i="8"/>
  <c r="R11" i="8"/>
  <c r="T180" i="8"/>
  <c r="V179" i="8"/>
  <c r="AH177" i="22"/>
  <c r="AG178" i="22"/>
  <c r="AC165" i="8"/>
  <c r="U383" i="11"/>
  <c r="AV81" i="20"/>
  <c r="AZ45" i="14"/>
  <c r="AL46" i="14"/>
  <c r="AN46" i="14" s="1"/>
  <c r="AA48" i="22"/>
  <c r="AB47" i="22"/>
  <c r="BC9" i="18"/>
  <c r="AI446" i="3"/>
  <c r="Y196" i="4"/>
  <c r="Y244" i="3"/>
  <c r="U403" i="13"/>
  <c r="U323" i="13" s="1"/>
  <c r="U212" i="4"/>
  <c r="U325" i="11"/>
  <c r="Y81" i="8"/>
  <c r="X82" i="8"/>
  <c r="AR20" i="14"/>
  <c r="AO21" i="14"/>
  <c r="AA179" i="10"/>
  <c r="AB178" i="10"/>
  <c r="X77" i="11"/>
  <c r="Y77" i="11" s="1"/>
  <c r="S178" i="10"/>
  <c r="R179" i="10"/>
  <c r="X37" i="4"/>
  <c r="E389" i="4"/>
  <c r="E359" i="4"/>
  <c r="AN21" i="16"/>
  <c r="AM22" i="16"/>
  <c r="AB106" i="10"/>
  <c r="AA107" i="10"/>
  <c r="Z171" i="20"/>
  <c r="AX178" i="16"/>
  <c r="AZ177" i="16"/>
  <c r="W20" i="26"/>
  <c r="AD117" i="5"/>
  <c r="AC117" i="5"/>
  <c r="P121" i="5"/>
  <c r="X342" i="11"/>
  <c r="AF180" i="20"/>
  <c r="AG179" i="20"/>
  <c r="AL46" i="22"/>
  <c r="W201" i="4"/>
  <c r="W249" i="3"/>
  <c r="AA82" i="22"/>
  <c r="AB81" i="22"/>
  <c r="P360" i="3"/>
  <c r="P345" i="3"/>
  <c r="AO143" i="22"/>
  <c r="AP142" i="22"/>
  <c r="Q154" i="10"/>
  <c r="S153" i="10"/>
  <c r="AH335" i="3"/>
  <c r="AI335" i="3" s="1"/>
  <c r="AE335" i="3"/>
  <c r="G261" i="4"/>
  <c r="G246" i="4"/>
  <c r="S109" i="5"/>
  <c r="AL106" i="14"/>
  <c r="AZ105" i="14"/>
  <c r="S166" i="26"/>
  <c r="R167" i="26"/>
  <c r="AK94" i="22"/>
  <c r="AL93" i="22"/>
  <c r="AV93" i="22"/>
  <c r="AW93" i="22" s="1"/>
  <c r="O41" i="6"/>
  <c r="AC69" i="10"/>
  <c r="W140" i="26"/>
  <c r="AQ35" i="18"/>
  <c r="AP36" i="18"/>
  <c r="F411" i="3"/>
  <c r="F426" i="3"/>
  <c r="AK106" i="16"/>
  <c r="AJ107" i="16"/>
  <c r="AB165" i="22"/>
  <c r="AA166" i="22"/>
  <c r="AA71" i="22"/>
  <c r="AB70" i="22"/>
  <c r="AK58" i="16"/>
  <c r="AJ59" i="16"/>
  <c r="AQ59" i="14"/>
  <c r="BA58" i="14"/>
  <c r="AQ70" i="22"/>
  <c r="AT69" i="22"/>
  <c r="AT129" i="20"/>
  <c r="AI130" i="20"/>
  <c r="AK129" i="20"/>
  <c r="V123" i="15"/>
  <c r="V107" i="15" s="1"/>
  <c r="AI141" i="18"/>
  <c r="AK140" i="18"/>
  <c r="AJ231" i="13"/>
  <c r="E426" i="3"/>
  <c r="E411" i="3"/>
  <c r="AB129" i="10"/>
  <c r="AC129" i="10" s="1"/>
  <c r="AA130" i="10"/>
  <c r="W127" i="26"/>
  <c r="AL132" i="20"/>
  <c r="AO131" i="20"/>
  <c r="AC45" i="10"/>
  <c r="AQ131" i="16"/>
  <c r="AP132" i="16"/>
  <c r="V107" i="8"/>
  <c r="U108" i="8"/>
  <c r="K347" i="3"/>
  <c r="Y102" i="11"/>
  <c r="Z102" i="11" s="1"/>
  <c r="K16" i="25"/>
  <c r="AY101" i="12"/>
  <c r="AX102" i="12"/>
  <c r="AV34" i="18"/>
  <c r="AW33" i="18"/>
  <c r="M7" i="2"/>
  <c r="M17" i="2" s="1"/>
  <c r="M19" i="2" s="1"/>
  <c r="AS62" i="16"/>
  <c r="AP83" i="16"/>
  <c r="AQ82" i="16"/>
  <c r="U132" i="21"/>
  <c r="AG119" i="22"/>
  <c r="AH118" i="22"/>
  <c r="W7" i="26"/>
  <c r="N458" i="3"/>
  <c r="N489" i="3"/>
  <c r="AZ103" i="20"/>
  <c r="AD33" i="20"/>
  <c r="AC34" i="20"/>
  <c r="AU34" i="20" s="1"/>
  <c r="P88" i="5"/>
  <c r="X346" i="11"/>
  <c r="T7" i="15"/>
  <c r="P277" i="4"/>
  <c r="P278" i="4"/>
  <c r="AF46" i="20"/>
  <c r="AG45" i="20"/>
  <c r="AK181" i="14"/>
  <c r="AX135" i="16"/>
  <c r="AZ135" i="16" s="1"/>
  <c r="AZ134" i="16"/>
  <c r="AD107" i="22"/>
  <c r="AE106" i="22"/>
  <c r="N425" i="3"/>
  <c r="N410" i="3"/>
  <c r="AB10" i="8"/>
  <c r="AA11" i="8"/>
  <c r="F489" i="3"/>
  <c r="F458" i="3"/>
  <c r="U83" i="10"/>
  <c r="V82" i="10"/>
  <c r="AT107" i="18"/>
  <c r="AS108" i="18"/>
  <c r="S414" i="13"/>
  <c r="S287" i="3" s="1"/>
  <c r="S303" i="3" s="1"/>
  <c r="S223" i="4"/>
  <c r="S111" i="5" s="1"/>
  <c r="AA10" i="20"/>
  <c r="Z11" i="20"/>
  <c r="V125" i="15"/>
  <c r="V109" i="15" s="1"/>
  <c r="X157" i="15"/>
  <c r="Y157" i="15" s="1"/>
  <c r="Z157" i="15" s="1"/>
  <c r="AP3" i="25"/>
  <c r="O13" i="25"/>
  <c r="AY20" i="20"/>
  <c r="AR81" i="18"/>
  <c r="AT80" i="18"/>
  <c r="AP105" i="22"/>
  <c r="AO106" i="22"/>
  <c r="X175" i="24"/>
  <c r="U179" i="10"/>
  <c r="V178" i="10"/>
  <c r="I426" i="3"/>
  <c r="I411" i="3"/>
  <c r="AO117" i="14"/>
  <c r="AR116" i="14"/>
  <c r="AY116" i="14"/>
  <c r="W111" i="11"/>
  <c r="X111" i="11" s="1"/>
  <c r="V54" i="11"/>
  <c r="BB54" i="11" s="1"/>
  <c r="BB70" i="11"/>
  <c r="AL153" i="22"/>
  <c r="AK154" i="22"/>
  <c r="S143" i="10"/>
  <c r="R144" i="10"/>
  <c r="Q6" i="7"/>
  <c r="Q9" i="7"/>
  <c r="R9" i="7" s="1"/>
  <c r="Q12" i="7"/>
  <c r="BT15" i="7"/>
  <c r="Q3" i="6"/>
  <c r="Q22" i="7"/>
  <c r="Q34" i="15"/>
  <c r="Q35" i="15" s="1"/>
  <c r="AL47" i="22"/>
  <c r="AK48" i="22"/>
  <c r="AM143" i="14"/>
  <c r="BA142" i="14"/>
  <c r="I359" i="4"/>
  <c r="I389" i="4"/>
  <c r="N326" i="4"/>
  <c r="N311" i="4"/>
  <c r="L382" i="4"/>
  <c r="L383" i="4"/>
  <c r="AF120" i="18"/>
  <c r="AS59" i="18"/>
  <c r="AC96" i="20"/>
  <c r="AG95" i="16"/>
  <c r="AH94" i="16"/>
  <c r="AX56" i="14"/>
  <c r="AW57" i="14"/>
  <c r="AP144" i="20"/>
  <c r="AR143" i="20"/>
  <c r="S281" i="3"/>
  <c r="AB117" i="8"/>
  <c r="AC117" i="8" s="1"/>
  <c r="AD117" i="8" s="1"/>
  <c r="AA118" i="8"/>
  <c r="L410" i="3"/>
  <c r="L425" i="3"/>
  <c r="V130" i="15"/>
  <c r="V114" i="15" s="1"/>
  <c r="O18" i="6"/>
  <c r="AY28" i="15"/>
  <c r="AQ32" i="15"/>
  <c r="O5" i="6"/>
  <c r="AY32" i="20"/>
  <c r="AY80" i="14"/>
  <c r="BB80" i="14" s="1"/>
  <c r="AM63" i="14"/>
  <c r="AM48" i="16"/>
  <c r="AN47" i="16"/>
  <c r="AG130" i="20"/>
  <c r="AF131" i="20"/>
  <c r="AZ164" i="22"/>
  <c r="AW68" i="22"/>
  <c r="AX128" i="20"/>
  <c r="AX140" i="20"/>
  <c r="S323" i="13"/>
  <c r="AJ238" i="13"/>
  <c r="V104" i="15"/>
  <c r="AV95" i="16"/>
  <c r="AW94" i="16"/>
  <c r="V128" i="26"/>
  <c r="U129" i="26"/>
  <c r="G312" i="4"/>
  <c r="G327" i="4"/>
  <c r="K18" i="6"/>
  <c r="AB46" i="10"/>
  <c r="AA47" i="10"/>
  <c r="O326" i="4"/>
  <c r="O311" i="4"/>
  <c r="AS106" i="14"/>
  <c r="AV105" i="14"/>
  <c r="H311" i="4"/>
  <c r="H326" i="4"/>
  <c r="T324" i="13"/>
  <c r="Z119" i="20"/>
  <c r="AA118" i="20"/>
  <c r="AU118" i="20"/>
  <c r="AY118" i="20" s="1"/>
  <c r="U332" i="13"/>
  <c r="BB163" i="16"/>
  <c r="M14" i="2"/>
  <c r="M15" i="2" s="1"/>
  <c r="AK229" i="13"/>
  <c r="BE27" i="13"/>
  <c r="V373" i="11"/>
  <c r="W373" i="11" s="1"/>
  <c r="AP84" i="18"/>
  <c r="AQ83" i="18"/>
  <c r="V8" i="26"/>
  <c r="W8" i="26" s="1"/>
  <c r="U9" i="26"/>
  <c r="AR153" i="16"/>
  <c r="AT152" i="16"/>
  <c r="AV9" i="20"/>
  <c r="AZ73" i="18"/>
  <c r="AX74" i="18"/>
  <c r="AW117" i="14"/>
  <c r="AX116" i="14"/>
  <c r="AP26" i="20"/>
  <c r="AR25" i="20"/>
  <c r="BC10" i="15"/>
  <c r="AH10" i="17"/>
  <c r="BE91" i="14"/>
  <c r="AL142" i="20"/>
  <c r="AO141" i="20"/>
  <c r="AS141" i="20"/>
  <c r="AJ106" i="18"/>
  <c r="AK105" i="18"/>
  <c r="BB105" i="18"/>
  <c r="Q45" i="26"/>
  <c r="S44" i="26"/>
  <c r="AG169" i="16"/>
  <c r="AH168" i="16"/>
  <c r="AS81" i="22"/>
  <c r="AV81" i="22"/>
  <c r="AR82" i="22"/>
  <c r="AG94" i="22"/>
  <c r="AH93" i="22"/>
  <c r="Y119" i="25"/>
  <c r="AA13" i="22"/>
  <c r="AB12" i="22"/>
  <c r="AN178" i="18"/>
  <c r="AM179" i="18"/>
  <c r="AV133" i="18"/>
  <c r="AW132" i="18"/>
  <c r="AN69" i="14"/>
  <c r="AK70" i="14"/>
  <c r="AY69" i="14"/>
  <c r="BB69" i="14" s="1"/>
  <c r="Q105" i="26"/>
  <c r="S104" i="26"/>
  <c r="T139" i="21"/>
  <c r="V139" i="19"/>
  <c r="W139" i="19" s="1"/>
  <c r="U139" i="19"/>
  <c r="X139" i="19" s="1"/>
  <c r="S142" i="8"/>
  <c r="R143" i="8"/>
  <c r="I489" i="3"/>
  <c r="I458" i="3"/>
  <c r="AN33" i="18"/>
  <c r="AM34" i="18"/>
  <c r="AR70" i="22"/>
  <c r="AV69" i="22"/>
  <c r="AS69" i="22"/>
  <c r="AZ118" i="16"/>
  <c r="AX119" i="16"/>
  <c r="AA341" i="11"/>
  <c r="M322" i="3"/>
  <c r="S8" i="15"/>
  <c r="BG8" i="15" s="1"/>
  <c r="BG7" i="15"/>
  <c r="S10" i="15"/>
  <c r="BG10" i="15" s="1"/>
  <c r="U167" i="8"/>
  <c r="V166" i="8"/>
  <c r="V118" i="8"/>
  <c r="U119" i="8"/>
  <c r="AR44" i="14"/>
  <c r="AO45" i="14"/>
  <c r="AY44" i="14"/>
  <c r="BB44" i="14" s="1"/>
  <c r="BE44" i="14" s="1"/>
  <c r="W100" i="5"/>
  <c r="AS95" i="16"/>
  <c r="AT94" i="16"/>
  <c r="S330" i="13"/>
  <c r="AM155" i="18"/>
  <c r="AN154" i="18"/>
  <c r="AX92" i="14"/>
  <c r="AW93" i="14"/>
  <c r="W70" i="11"/>
  <c r="V10" i="8"/>
  <c r="U11" i="8"/>
  <c r="AG167" i="22"/>
  <c r="AH166" i="22"/>
  <c r="U34" i="24"/>
  <c r="V33" i="24"/>
  <c r="W33" i="24" s="1"/>
  <c r="AV152" i="14"/>
  <c r="AS153" i="14"/>
  <c r="W151" i="26"/>
  <c r="X163" i="26" s="1"/>
  <c r="M262" i="4"/>
  <c r="M247" i="4"/>
  <c r="J410" i="3"/>
  <c r="AD409" i="3"/>
  <c r="AH409" i="3" s="1"/>
  <c r="J425" i="3"/>
  <c r="Y321" i="19"/>
  <c r="Z337" i="19"/>
  <c r="X53" i="11"/>
  <c r="AJ11" i="20"/>
  <c r="AK10" i="20"/>
  <c r="K14" i="2"/>
  <c r="K15" i="2" s="1"/>
  <c r="AR81" i="16"/>
  <c r="AT80" i="16"/>
  <c r="BA80" i="16" s="1"/>
  <c r="AD39" i="5"/>
  <c r="AC39" i="5"/>
  <c r="AM35" i="16"/>
  <c r="AN34" i="16"/>
  <c r="AP145" i="16"/>
  <c r="AQ144" i="16"/>
  <c r="AO84" i="22"/>
  <c r="AP83" i="22"/>
  <c r="BA69" i="18"/>
  <c r="BC69" i="18" s="1"/>
  <c r="AF70" i="18"/>
  <c r="AF96" i="18"/>
  <c r="AV80" i="14"/>
  <c r="AS81" i="14"/>
  <c r="AY81" i="14" s="1"/>
  <c r="BB81" i="14" s="1"/>
  <c r="H14" i="2"/>
  <c r="H15" i="2" s="1"/>
  <c r="F345" i="3"/>
  <c r="F360" i="3"/>
  <c r="Z138" i="19"/>
  <c r="AH10" i="18"/>
  <c r="AG11" i="18"/>
  <c r="AQ71" i="18"/>
  <c r="AP72" i="18"/>
  <c r="T180" i="4"/>
  <c r="W44" i="24"/>
  <c r="W304" i="15"/>
  <c r="X304" i="15" s="1"/>
  <c r="AK82" i="14"/>
  <c r="AN81" i="14"/>
  <c r="V132" i="8"/>
  <c r="U133" i="8"/>
  <c r="U130" i="15"/>
  <c r="U114" i="15" s="1"/>
  <c r="X162" i="15"/>
  <c r="AZ26" i="16"/>
  <c r="AX27" i="16"/>
  <c r="AZ27" i="16" s="1"/>
  <c r="AF143" i="16"/>
  <c r="AH142" i="16"/>
  <c r="AZ141" i="14"/>
  <c r="AL142" i="14"/>
  <c r="AN141" i="14"/>
  <c r="AW34" i="16"/>
  <c r="AV35" i="16"/>
  <c r="AD82" i="20"/>
  <c r="AC83" i="20"/>
  <c r="S47" i="8"/>
  <c r="AC47" i="8" s="1"/>
  <c r="R48" i="8"/>
  <c r="AJ232" i="13"/>
  <c r="V134" i="21"/>
  <c r="AK21" i="16"/>
  <c r="AJ22" i="16"/>
  <c r="I261" i="4"/>
  <c r="I246" i="4"/>
  <c r="AJ49" i="18"/>
  <c r="AK156" i="16"/>
  <c r="AJ157" i="16"/>
  <c r="K88" i="5"/>
  <c r="K117" i="5"/>
  <c r="K121" i="5" s="1"/>
  <c r="AR177" i="16"/>
  <c r="AT176" i="16"/>
  <c r="BA176" i="16" s="1"/>
  <c r="BB176" i="16" s="1"/>
  <c r="AY117" i="20"/>
  <c r="Q425" i="3"/>
  <c r="U62" i="11"/>
  <c r="AK237" i="13"/>
  <c r="AF132" i="18"/>
  <c r="AT122" i="20"/>
  <c r="AI123" i="20"/>
  <c r="AK122" i="20"/>
  <c r="T384" i="11"/>
  <c r="AS142" i="16"/>
  <c r="AT141" i="16"/>
  <c r="AH86" i="22"/>
  <c r="AG87" i="22"/>
  <c r="AH87" i="22" s="1"/>
  <c r="R132" i="15"/>
  <c r="AL72" i="20"/>
  <c r="AO71" i="20"/>
  <c r="AR59" i="22"/>
  <c r="AV58" i="22"/>
  <c r="AS58" i="22"/>
  <c r="X135" i="21"/>
  <c r="AC135" i="19"/>
  <c r="AZ13" i="18"/>
  <c r="AX14" i="18"/>
  <c r="AV157" i="18"/>
  <c r="AW156" i="18"/>
  <c r="Y11" i="20"/>
  <c r="AS10" i="20"/>
  <c r="Q389" i="4"/>
  <c r="Q359" i="4"/>
  <c r="AD84" i="5"/>
  <c r="P14" i="2"/>
  <c r="P15" i="2" s="1"/>
  <c r="AN95" i="16"/>
  <c r="AM96" i="16"/>
  <c r="AL10" i="14"/>
  <c r="AZ9" i="14"/>
  <c r="AN9" i="14"/>
  <c r="M88" i="5"/>
  <c r="M117" i="5"/>
  <c r="M121" i="5" s="1"/>
  <c r="AN177" i="16"/>
  <c r="AM178" i="16"/>
  <c r="AR97" i="22"/>
  <c r="AI45" i="16"/>
  <c r="AK44" i="16"/>
  <c r="G88" i="5"/>
  <c r="G117" i="5"/>
  <c r="G121" i="5" s="1"/>
  <c r="Q58" i="24"/>
  <c r="S57" i="24"/>
  <c r="AH132" i="22"/>
  <c r="AG133" i="22"/>
  <c r="BB32" i="14"/>
  <c r="BE32" i="14" s="1"/>
  <c r="AO47" i="22"/>
  <c r="AP46" i="22"/>
  <c r="C458" i="3"/>
  <c r="C489" i="3"/>
  <c r="R119" i="25"/>
  <c r="AJ168" i="18"/>
  <c r="AH109" i="22"/>
  <c r="AG110" i="22"/>
  <c r="Y134" i="10"/>
  <c r="X135" i="10"/>
  <c r="Y135" i="10" s="1"/>
  <c r="AS143" i="22"/>
  <c r="AR144" i="22"/>
  <c r="W334" i="11"/>
  <c r="W189" i="4" s="1"/>
  <c r="W205" i="4"/>
  <c r="V69" i="8"/>
  <c r="U70" i="8"/>
  <c r="AF25" i="18"/>
  <c r="AG156" i="20"/>
  <c r="AF157" i="20"/>
  <c r="AD153" i="8"/>
  <c r="AX107" i="18"/>
  <c r="AZ106" i="18"/>
  <c r="U408" i="13"/>
  <c r="U281" i="3" s="1"/>
  <c r="U297" i="3" s="1"/>
  <c r="U217" i="4"/>
  <c r="AA59" i="8"/>
  <c r="AB58" i="8"/>
  <c r="AC58" i="8" s="1"/>
  <c r="AD58" i="8" s="1"/>
  <c r="D459" i="3"/>
  <c r="Z180" i="20"/>
  <c r="AA179" i="20"/>
  <c r="U134" i="10"/>
  <c r="AP61" i="18"/>
  <c r="BB175" i="20"/>
  <c r="AZ175" i="20"/>
  <c r="U153" i="24"/>
  <c r="V152" i="24"/>
  <c r="W152" i="24" s="1"/>
  <c r="T159" i="17"/>
  <c r="T127" i="17" s="1"/>
  <c r="T111" i="17" s="1"/>
  <c r="T129" i="15"/>
  <c r="T113" i="15" s="1"/>
  <c r="V161" i="15"/>
  <c r="W161" i="15" s="1"/>
  <c r="AK59" i="14"/>
  <c r="AN141" i="18"/>
  <c r="AM142" i="18"/>
  <c r="BB142" i="18" s="1"/>
  <c r="AM62" i="16"/>
  <c r="AN61" i="16"/>
  <c r="U177" i="24"/>
  <c r="V176" i="24"/>
  <c r="W176" i="24" s="1"/>
  <c r="AD154" i="22"/>
  <c r="AE153" i="22"/>
  <c r="AQ107" i="18"/>
  <c r="AP108" i="18"/>
  <c r="X221" i="4"/>
  <c r="V47" i="10"/>
  <c r="U48" i="10"/>
  <c r="W117" i="26"/>
  <c r="T133" i="21"/>
  <c r="T140" i="19"/>
  <c r="T140" i="21" s="1"/>
  <c r="M277" i="4"/>
  <c r="M278" i="4"/>
  <c r="AS85" i="18"/>
  <c r="R134" i="10"/>
  <c r="S133" i="10"/>
  <c r="R73" i="26"/>
  <c r="AJ95" i="16"/>
  <c r="U348" i="19"/>
  <c r="U332" i="19" s="1"/>
  <c r="AY165" i="20"/>
  <c r="P41" i="6"/>
  <c r="AR58" i="20"/>
  <c r="AP59" i="20"/>
  <c r="P311" i="4"/>
  <c r="P326" i="4"/>
  <c r="Q71" i="3"/>
  <c r="Q80" i="3" s="1"/>
  <c r="Q48" i="3"/>
  <c r="O262" i="4"/>
  <c r="O247" i="4"/>
  <c r="M389" i="4"/>
  <c r="M359" i="4"/>
  <c r="AV22" i="16"/>
  <c r="AW21" i="16"/>
  <c r="AK12" i="14"/>
  <c r="V45" i="24"/>
  <c r="U46" i="24"/>
  <c r="AZ129" i="14"/>
  <c r="AL130" i="14"/>
  <c r="R415" i="13"/>
  <c r="R24" i="13" s="1"/>
  <c r="BJ24" i="13" s="1"/>
  <c r="AO58" i="16"/>
  <c r="AQ57" i="16"/>
  <c r="AA95" i="10"/>
  <c r="AB94" i="10"/>
  <c r="AS165" i="22"/>
  <c r="AR166" i="22"/>
  <c r="AV165" i="22"/>
  <c r="AI129" i="16"/>
  <c r="AK128" i="16"/>
  <c r="AZ154" i="18"/>
  <c r="AX155" i="18"/>
  <c r="AJ230" i="13"/>
  <c r="AH58" i="18"/>
  <c r="BB58" i="18"/>
  <c r="AG59" i="18"/>
  <c r="AB33" i="22"/>
  <c r="AA34" i="22"/>
  <c r="AO178" i="22"/>
  <c r="AP177" i="22"/>
  <c r="AK154" i="14"/>
  <c r="AN153" i="14"/>
  <c r="AX94" i="16"/>
  <c r="AZ93" i="16"/>
  <c r="AG142" i="20"/>
  <c r="AF143" i="20"/>
  <c r="U35" i="8"/>
  <c r="V34" i="8"/>
  <c r="AT13" i="23"/>
  <c r="P7" i="6"/>
  <c r="Y117" i="8"/>
  <c r="X118" i="8"/>
  <c r="AG74" i="16"/>
  <c r="AH73" i="16"/>
  <c r="N31" i="13"/>
  <c r="N32" i="13" s="1"/>
  <c r="N35" i="11"/>
  <c r="BG27" i="11"/>
  <c r="N33" i="11"/>
  <c r="N34" i="11" s="1"/>
  <c r="N4" i="6"/>
  <c r="N8" i="6" s="1"/>
  <c r="S130" i="8"/>
  <c r="R131" i="8"/>
  <c r="AR45" i="20"/>
  <c r="AP46" i="20"/>
  <c r="AK233" i="13"/>
  <c r="Y155" i="8"/>
  <c r="X156" i="8"/>
  <c r="AW20" i="14"/>
  <c r="AX19" i="14"/>
  <c r="C14" i="2"/>
  <c r="C15" i="2" s="1"/>
  <c r="T154" i="17"/>
  <c r="T124" i="15"/>
  <c r="U156" i="15"/>
  <c r="V156" i="15" s="1"/>
  <c r="T163" i="15"/>
  <c r="Y11" i="8"/>
  <c r="X12" i="8"/>
  <c r="Q31" i="13"/>
  <c r="BM27" i="11"/>
  <c r="AS24" i="11"/>
  <c r="AS22" i="11"/>
  <c r="Q33" i="11"/>
  <c r="Q34" i="11" s="1"/>
  <c r="Q4" i="6"/>
  <c r="AS23" i="11"/>
  <c r="AS6" i="11"/>
  <c r="AS18" i="11"/>
  <c r="AS12" i="11"/>
  <c r="AS4" i="11"/>
  <c r="AS5" i="11"/>
  <c r="AS21" i="11"/>
  <c r="AS3" i="11"/>
  <c r="AS26" i="11"/>
  <c r="AS25" i="11"/>
  <c r="AS10" i="11"/>
  <c r="AS13" i="11"/>
  <c r="AS19" i="11"/>
  <c r="AS20" i="11"/>
  <c r="AS9" i="11"/>
  <c r="AS17" i="11"/>
  <c r="AS8" i="11"/>
  <c r="AS11" i="11"/>
  <c r="AS16" i="11"/>
  <c r="T60" i="11"/>
  <c r="AV23" i="18"/>
  <c r="AW22" i="18"/>
  <c r="BC127" i="14"/>
  <c r="BC8" i="15"/>
  <c r="AH8" i="17"/>
  <c r="AL167" i="22"/>
  <c r="AK168" i="22"/>
  <c r="AM22" i="22"/>
  <c r="AT21" i="22"/>
  <c r="AW21" i="22" s="1"/>
  <c r="AP21" i="22"/>
  <c r="AJ58" i="22"/>
  <c r="AU57" i="22"/>
  <c r="AX128" i="14"/>
  <c r="AW129" i="14"/>
  <c r="U94" i="8"/>
  <c r="V93" i="8"/>
  <c r="AC93" i="8" s="1"/>
  <c r="AD93" i="8" s="1"/>
  <c r="AE180" i="22"/>
  <c r="AD181" i="22"/>
  <c r="AG9" i="20"/>
  <c r="AF10" i="20"/>
  <c r="AL239" i="13"/>
  <c r="AL14" i="13" s="1"/>
  <c r="J345" i="3"/>
  <c r="J360" i="3"/>
  <c r="AD344" i="3"/>
  <c r="AH344" i="3" s="1"/>
  <c r="K360" i="3"/>
  <c r="AO177" i="20"/>
  <c r="AL178" i="20"/>
  <c r="AS177" i="20"/>
  <c r="AL94" i="14"/>
  <c r="AZ93" i="14"/>
  <c r="W42" i="4"/>
  <c r="G489" i="3"/>
  <c r="G458" i="3"/>
  <c r="X74" i="11"/>
  <c r="AD129" i="20"/>
  <c r="AC130" i="20"/>
  <c r="Y95" i="10"/>
  <c r="X96" i="10"/>
  <c r="AH9" i="17"/>
  <c r="Q7" i="17"/>
  <c r="AO57" i="20"/>
  <c r="AL58" i="20"/>
  <c r="AK72" i="22"/>
  <c r="AS71" i="16"/>
  <c r="AT70" i="16"/>
  <c r="AI57" i="18"/>
  <c r="AK56" i="18"/>
  <c r="BA56" i="18"/>
  <c r="BC56" i="18" s="1"/>
  <c r="BD68" i="18" s="1"/>
  <c r="S72" i="24"/>
  <c r="R73" i="24"/>
  <c r="T323" i="13"/>
  <c r="AJ233" i="13"/>
  <c r="V119" i="25"/>
  <c r="AV72" i="18"/>
  <c r="AW71" i="18"/>
  <c r="AT34" i="20"/>
  <c r="AX34" i="20" s="1"/>
  <c r="AI35" i="20"/>
  <c r="AK34" i="20"/>
  <c r="AS156" i="18"/>
  <c r="AT155" i="18"/>
  <c r="U130" i="21"/>
  <c r="S103" i="5"/>
  <c r="S104" i="5" s="1"/>
  <c r="Z97" i="20"/>
  <c r="AA96" i="20"/>
  <c r="BF183" i="12"/>
  <c r="BU183" i="12"/>
  <c r="BK183" i="12" s="1"/>
  <c r="X306" i="15"/>
  <c r="AW9" i="18"/>
  <c r="AV10" i="18"/>
  <c r="AM47" i="18"/>
  <c r="AN46" i="18"/>
  <c r="AH19" i="17"/>
  <c r="L360" i="3"/>
  <c r="L345" i="3"/>
  <c r="AJ168" i="22"/>
  <c r="AU167" i="22"/>
  <c r="M458" i="3"/>
  <c r="M489" i="3"/>
  <c r="Q9" i="26"/>
  <c r="S8" i="26"/>
  <c r="AK10" i="18"/>
  <c r="AJ11" i="18"/>
  <c r="AL22" i="14"/>
  <c r="AZ21" i="14"/>
  <c r="AJ183" i="18"/>
  <c r="AJ24" i="18"/>
  <c r="U153" i="26"/>
  <c r="V152" i="26"/>
  <c r="W152" i="26" s="1"/>
  <c r="X164" i="26" s="1"/>
  <c r="S193" i="11"/>
  <c r="S14" i="1"/>
  <c r="S11" i="1" s="1"/>
  <c r="S8" i="11"/>
  <c r="AF178" i="18"/>
  <c r="AH178" i="18" s="1"/>
  <c r="BA177" i="18"/>
  <c r="BC177" i="18" s="1"/>
  <c r="BD177" i="18" s="1"/>
  <c r="R84" i="24"/>
  <c r="AW153" i="14"/>
  <c r="AX152" i="14"/>
  <c r="Y70" i="8"/>
  <c r="X71" i="8"/>
  <c r="BB163" i="20"/>
  <c r="BR161" i="12" s="1"/>
  <c r="BH161" i="12" s="1"/>
  <c r="AZ163" i="20"/>
  <c r="AM82" i="18"/>
  <c r="BB82" i="18" s="1"/>
  <c r="AN81" i="18"/>
  <c r="Q182" i="13"/>
  <c r="BM184" i="11"/>
  <c r="AT184" i="11"/>
  <c r="Q136" i="11"/>
  <c r="W35" i="4"/>
  <c r="Y101" i="11"/>
  <c r="Z101" i="11" s="1"/>
  <c r="V300" i="15"/>
  <c r="W300" i="15" s="1"/>
  <c r="R78" i="13"/>
  <c r="V118" i="26"/>
  <c r="U119" i="26"/>
  <c r="AW82" i="18"/>
  <c r="AV83" i="18"/>
  <c r="AP70" i="14"/>
  <c r="AZ69" i="14"/>
  <c r="R20" i="15"/>
  <c r="R7" i="11"/>
  <c r="AK142" i="16"/>
  <c r="AJ143" i="16"/>
  <c r="G345" i="3"/>
  <c r="G360" i="3"/>
  <c r="H360" i="3"/>
  <c r="P80" i="5"/>
  <c r="AP120" i="16"/>
  <c r="AQ119" i="16"/>
  <c r="AR152" i="14"/>
  <c r="AO153" i="14"/>
  <c r="Q187" i="13"/>
  <c r="Q139" i="13" s="1"/>
  <c r="AT189" i="11"/>
  <c r="BM189" i="11"/>
  <c r="Q141" i="11"/>
  <c r="AR23" i="22"/>
  <c r="AS22" i="22"/>
  <c r="X178" i="10"/>
  <c r="Y177" i="10"/>
  <c r="AC177" i="10" s="1"/>
  <c r="AD177" i="10" s="1"/>
  <c r="V9" i="24"/>
  <c r="W9" i="24" s="1"/>
  <c r="U10" i="24"/>
  <c r="AC167" i="20"/>
  <c r="AD166" i="20"/>
  <c r="AU166" i="20"/>
  <c r="AW121" i="16"/>
  <c r="AV122" i="16"/>
  <c r="V146" i="8"/>
  <c r="U147" i="8"/>
  <c r="V147" i="8" s="1"/>
  <c r="R104" i="13"/>
  <c r="R41" i="3" s="1"/>
  <c r="R100" i="13"/>
  <c r="R37" i="3" s="1"/>
  <c r="R99" i="13"/>
  <c r="R109" i="13"/>
  <c r="R46" i="3" s="1"/>
  <c r="R106" i="13"/>
  <c r="R43" i="3" s="1"/>
  <c r="R108" i="13"/>
  <c r="R45" i="3" s="1"/>
  <c r="R107" i="13"/>
  <c r="R44" i="3" s="1"/>
  <c r="R103" i="13"/>
  <c r="R40" i="3" s="1"/>
  <c r="R102" i="13"/>
  <c r="R39" i="3" s="1"/>
  <c r="R101" i="13"/>
  <c r="R38" i="3" s="1"/>
  <c r="R105" i="13"/>
  <c r="R42" i="3" s="1"/>
  <c r="M353" i="4"/>
  <c r="BA20" i="16"/>
  <c r="AV181" i="14"/>
  <c r="AS182" i="14"/>
  <c r="U109" i="11"/>
  <c r="AR57" i="18"/>
  <c r="AT56" i="18"/>
  <c r="AS105" i="22"/>
  <c r="AV105" i="22"/>
  <c r="AW105" i="22" s="1"/>
  <c r="AR106" i="22"/>
  <c r="L262" i="4"/>
  <c r="L279" i="4" s="1"/>
  <c r="L247" i="4"/>
  <c r="AW128" i="22"/>
  <c r="AQ181" i="22"/>
  <c r="O389" i="4"/>
  <c r="O359" i="4"/>
  <c r="AC93" i="10"/>
  <c r="Q129" i="26"/>
  <c r="S128" i="26"/>
  <c r="AY113" i="12"/>
  <c r="AX114" i="12"/>
  <c r="AY125" i="12"/>
  <c r="Y69" i="11"/>
  <c r="AG46" i="18"/>
  <c r="BB45" i="18"/>
  <c r="AH45" i="18"/>
  <c r="AC34" i="10"/>
  <c r="S166" i="24"/>
  <c r="R167" i="24"/>
  <c r="L326" i="4"/>
  <c r="L311" i="4"/>
  <c r="AJ234" i="13"/>
  <c r="AP46" i="16"/>
  <c r="AQ45" i="16"/>
  <c r="AY152" i="14"/>
  <c r="BB152" i="14" s="1"/>
  <c r="AJ155" i="20"/>
  <c r="AK154" i="20"/>
  <c r="AK107" i="20"/>
  <c r="AJ108" i="20"/>
  <c r="AR83" i="20"/>
  <c r="AP84" i="20"/>
  <c r="AI156" i="20"/>
  <c r="AT155" i="20"/>
  <c r="AX155" i="20" s="1"/>
  <c r="Q141" i="26"/>
  <c r="S140" i="26"/>
  <c r="AO13" i="25"/>
  <c r="AA142" i="20"/>
  <c r="AU142" i="20"/>
  <c r="Z143" i="20"/>
  <c r="AR167" i="16"/>
  <c r="AT166" i="16"/>
  <c r="AT9" i="18"/>
  <c r="AS10" i="18"/>
  <c r="BB10" i="18" s="1"/>
  <c r="U72" i="26"/>
  <c r="V71" i="26"/>
  <c r="AZ151" i="20"/>
  <c r="V116" i="24"/>
  <c r="W116" i="24" s="1"/>
  <c r="U117" i="24"/>
  <c r="X61" i="10"/>
  <c r="Y60" i="10"/>
  <c r="AP132" i="18"/>
  <c r="AQ131" i="18"/>
  <c r="L14" i="2"/>
  <c r="L15" i="2" s="1"/>
  <c r="S119" i="25"/>
  <c r="AK231" i="13"/>
  <c r="Y143" i="10"/>
  <c r="X144" i="10"/>
  <c r="AL58" i="22"/>
  <c r="AK59" i="22"/>
  <c r="T108" i="5"/>
  <c r="V154" i="8"/>
  <c r="U155" i="8"/>
  <c r="AI229" i="13"/>
  <c r="AV170" i="18"/>
  <c r="AW169" i="18"/>
  <c r="AB22" i="8"/>
  <c r="AA23" i="8"/>
  <c r="V80" i="24"/>
  <c r="U81" i="24"/>
  <c r="AP167" i="20"/>
  <c r="AR166" i="20"/>
  <c r="AJ132" i="20"/>
  <c r="S234" i="3"/>
  <c r="Y156" i="20"/>
  <c r="AS155" i="20"/>
  <c r="Q18" i="6"/>
  <c r="U60" i="11"/>
  <c r="S322" i="17"/>
  <c r="S19" i="17" s="1"/>
  <c r="E312" i="4"/>
  <c r="P31" i="13"/>
  <c r="P32" i="13" s="1"/>
  <c r="BK27" i="11"/>
  <c r="P33" i="11"/>
  <c r="P34" i="11" s="1"/>
  <c r="P4" i="6"/>
  <c r="P8" i="6" s="1"/>
  <c r="AH21" i="18"/>
  <c r="BB21" i="18"/>
  <c r="AG22" i="18"/>
  <c r="AU82" i="22"/>
  <c r="AJ83" i="22"/>
  <c r="AL83" i="22" s="1"/>
  <c r="AJ130" i="22"/>
  <c r="AU129" i="22"/>
  <c r="AL129" i="22"/>
  <c r="AN167" i="18"/>
  <c r="AM168" i="18"/>
  <c r="AU69" i="22"/>
  <c r="AJ70" i="22"/>
  <c r="AL69" i="22"/>
  <c r="AG23" i="16"/>
  <c r="AH22" i="16"/>
  <c r="Y144" i="20"/>
  <c r="AR132" i="22"/>
  <c r="BM188" i="11"/>
  <c r="Q186" i="13"/>
  <c r="Q138" i="13" s="1"/>
  <c r="AT188" i="11"/>
  <c r="Q140" i="11"/>
  <c r="AV21" i="22"/>
  <c r="AA330" i="19"/>
  <c r="AB346" i="19"/>
  <c r="AU141" i="22"/>
  <c r="AW141" i="22" s="1"/>
  <c r="AJ142" i="22"/>
  <c r="AJ35" i="18"/>
  <c r="AS158" i="16"/>
  <c r="AX153" i="22"/>
  <c r="AA24" i="22"/>
  <c r="AB23" i="22"/>
  <c r="E458" i="3"/>
  <c r="E489" i="3"/>
  <c r="AS180" i="16"/>
  <c r="AX24" i="18"/>
  <c r="AZ23" i="18"/>
  <c r="L277" i="4"/>
  <c r="L278" i="4"/>
  <c r="AQ130" i="22"/>
  <c r="AT129" i="22"/>
  <c r="AS129" i="22"/>
  <c r="AG36" i="16"/>
  <c r="AH35" i="16"/>
  <c r="AH82" i="18"/>
  <c r="AG83" i="18"/>
  <c r="F312" i="4"/>
  <c r="F327" i="4"/>
  <c r="S71" i="10"/>
  <c r="R72" i="10"/>
  <c r="Z71" i="11"/>
  <c r="AA71" i="11" s="1"/>
  <c r="AQ27" i="22"/>
  <c r="AG167" i="18"/>
  <c r="AH166" i="18"/>
  <c r="BB166" i="18"/>
  <c r="S179" i="24"/>
  <c r="R180" i="24"/>
  <c r="AB35" i="10"/>
  <c r="AA36" i="10"/>
  <c r="AJ235" i="13"/>
  <c r="AZ180" i="14"/>
  <c r="AL181" i="14"/>
  <c r="R79" i="3"/>
  <c r="AV32" i="20"/>
  <c r="AW32" i="20"/>
  <c r="AT94" i="18"/>
  <c r="AS95" i="18"/>
  <c r="N16" i="25"/>
  <c r="AX176" i="20"/>
  <c r="AQ3" i="25"/>
  <c r="P13" i="25"/>
  <c r="W70" i="26"/>
  <c r="AU153" i="22"/>
  <c r="AW153" i="22" s="1"/>
  <c r="BA153" i="22" s="1"/>
  <c r="AJ154" i="22"/>
  <c r="AW116" i="20"/>
  <c r="AV116" i="20"/>
  <c r="Q45" i="24"/>
  <c r="S44" i="24"/>
  <c r="AO94" i="14"/>
  <c r="AR93" i="14"/>
  <c r="V58" i="11"/>
  <c r="AP120" i="20"/>
  <c r="AR119" i="20"/>
  <c r="AE448" i="3"/>
  <c r="AK228" i="13"/>
  <c r="AL96" i="20"/>
  <c r="T276" i="3"/>
  <c r="X350" i="11"/>
  <c r="T57" i="11"/>
  <c r="U73" i="11"/>
  <c r="U80" i="11" s="1"/>
  <c r="K489" i="3"/>
  <c r="K458" i="3"/>
  <c r="AI237" i="13"/>
  <c r="AG106" i="16"/>
  <c r="AH105" i="16"/>
  <c r="AC21" i="8"/>
  <c r="F261" i="4"/>
  <c r="F246" i="4"/>
  <c r="T102" i="5"/>
  <c r="AS7" i="11"/>
  <c r="Y377" i="11"/>
  <c r="Y138" i="19"/>
  <c r="Y137" i="21"/>
  <c r="U133" i="19"/>
  <c r="AI167" i="3"/>
  <c r="Z382" i="11"/>
  <c r="AA382" i="11" s="1"/>
  <c r="Q192" i="11"/>
  <c r="AX22" i="20"/>
  <c r="CW28" i="15"/>
  <c r="BD127" i="18"/>
  <c r="AK26" i="22"/>
  <c r="H347" i="3"/>
  <c r="R155" i="26"/>
  <c r="AG51" i="22"/>
  <c r="AH51" i="22" s="1"/>
  <c r="AH50" i="22"/>
  <c r="AK33" i="18"/>
  <c r="BA94" i="14"/>
  <c r="AM95" i="14"/>
  <c r="AT154" i="22"/>
  <c r="AQ155" i="22"/>
  <c r="AM108" i="16"/>
  <c r="AN107" i="16"/>
  <c r="Y120" i="20"/>
  <c r="AD70" i="20"/>
  <c r="AC71" i="20"/>
  <c r="AB158" i="10"/>
  <c r="AA159" i="10"/>
  <c r="AB159" i="10" s="1"/>
  <c r="AO130" i="14"/>
  <c r="AR129" i="14"/>
  <c r="AH133" i="16"/>
  <c r="AG134" i="16"/>
  <c r="AY136" i="12"/>
  <c r="AX137" i="12"/>
  <c r="AH69" i="18"/>
  <c r="BB69" i="18"/>
  <c r="AG70" i="18"/>
  <c r="AS14" i="21"/>
  <c r="Q12" i="21"/>
  <c r="AV164" i="14"/>
  <c r="AS165" i="14"/>
  <c r="AY165" i="14" s="1"/>
  <c r="BB165" i="14" s="1"/>
  <c r="AN10" i="16"/>
  <c r="AM11" i="16"/>
  <c r="AJ13" i="23"/>
  <c r="Q13" i="23"/>
  <c r="R13" i="23" s="1"/>
  <c r="K7" i="6"/>
  <c r="R288" i="3"/>
  <c r="G7" i="2"/>
  <c r="G17" i="2" s="1"/>
  <c r="G19" i="2" s="1"/>
  <c r="AJ227" i="13"/>
  <c r="AS105" i="20"/>
  <c r="Y106" i="20"/>
  <c r="AR36" i="20"/>
  <c r="AP37" i="20"/>
  <c r="U60" i="8"/>
  <c r="V59" i="8"/>
  <c r="AD130" i="22"/>
  <c r="AE129" i="22"/>
  <c r="C345" i="3"/>
  <c r="C346" i="3" s="1"/>
  <c r="C347" i="3" s="1"/>
  <c r="C348" i="3" s="1"/>
  <c r="C349" i="3" s="1"/>
  <c r="C350" i="3" s="1"/>
  <c r="C351" i="3" s="1"/>
  <c r="C352" i="3" s="1"/>
  <c r="C353" i="3" s="1"/>
  <c r="C354" i="3" s="1"/>
  <c r="C355" i="3" s="1"/>
  <c r="D360" i="3"/>
  <c r="AG119" i="16"/>
  <c r="AH118" i="16"/>
  <c r="AG71" i="22"/>
  <c r="AH70" i="22"/>
  <c r="AI178" i="20"/>
  <c r="AT177" i="20"/>
  <c r="AX177" i="20" s="1"/>
  <c r="AL141" i="22"/>
  <c r="AY141" i="20"/>
  <c r="U351" i="11"/>
  <c r="V351" i="11" s="1"/>
  <c r="T229" i="3"/>
  <c r="AY152" i="22"/>
  <c r="AY164" i="22"/>
  <c r="AO117" i="20"/>
  <c r="AL118" i="20"/>
  <c r="AS117" i="20"/>
  <c r="AP117" i="14"/>
  <c r="AZ116" i="14"/>
  <c r="AV141" i="14"/>
  <c r="AS142" i="14"/>
  <c r="AK238" i="13"/>
  <c r="AU57" i="20"/>
  <c r="AY57" i="20" s="1"/>
  <c r="AA57" i="20"/>
  <c r="Z58" i="20"/>
  <c r="C88" i="5"/>
  <c r="C117" i="5"/>
  <c r="C121" i="5" s="1"/>
  <c r="AI233" i="13"/>
  <c r="AL169" i="20"/>
  <c r="AO168" i="20"/>
  <c r="AP157" i="16"/>
  <c r="AQ156" i="16"/>
  <c r="R155" i="24"/>
  <c r="S154" i="24"/>
  <c r="AQ82" i="14"/>
  <c r="BA81" i="14"/>
  <c r="S94" i="5"/>
  <c r="X134" i="19"/>
  <c r="R65" i="11"/>
  <c r="AA137" i="19"/>
  <c r="R82" i="10"/>
  <c r="S81" i="10"/>
  <c r="AC81" i="10" s="1"/>
  <c r="AM121" i="14"/>
  <c r="BA120" i="14"/>
  <c r="D489" i="3"/>
  <c r="AH45" i="16"/>
  <c r="AG46" i="16"/>
  <c r="AR70" i="20"/>
  <c r="AP71" i="20"/>
  <c r="AD87" i="5"/>
  <c r="AC87" i="5"/>
  <c r="P120" i="5"/>
  <c r="AH451" i="3"/>
  <c r="AI451" i="3" s="1"/>
  <c r="AE451" i="3"/>
  <c r="AR117" i="18"/>
  <c r="AT116" i="18"/>
  <c r="BA116" i="18"/>
  <c r="BC116" i="18" s="1"/>
  <c r="BD116" i="18" s="1"/>
  <c r="AC10" i="10"/>
  <c r="R69" i="13"/>
  <c r="R68" i="13"/>
  <c r="R67" i="13"/>
  <c r="R71" i="13"/>
  <c r="R76" i="13"/>
  <c r="R72" i="13"/>
  <c r="R73" i="13"/>
  <c r="R74" i="13"/>
  <c r="R77" i="13"/>
  <c r="R75" i="13"/>
  <c r="R70" i="13"/>
  <c r="W380" i="11"/>
  <c r="AW81" i="14"/>
  <c r="AX80" i="14"/>
  <c r="AG409" i="3"/>
  <c r="O410" i="3"/>
  <c r="AF409" i="3"/>
  <c r="O425" i="3"/>
  <c r="AJ26" i="20"/>
  <c r="T314" i="17"/>
  <c r="U300" i="15"/>
  <c r="AN93" i="14"/>
  <c r="U44" i="4"/>
  <c r="V110" i="11"/>
  <c r="V62" i="11" s="1"/>
  <c r="U404" i="13"/>
  <c r="U277" i="3" s="1"/>
  <c r="U293" i="3" s="1"/>
  <c r="U213" i="4"/>
  <c r="AU129" i="20"/>
  <c r="AY129" i="20" s="1"/>
  <c r="AP11" i="18"/>
  <c r="AQ10" i="18"/>
  <c r="AY33" i="20"/>
  <c r="AM84" i="14"/>
  <c r="Y96" i="20"/>
  <c r="BE162" i="12"/>
  <c r="AI19" i="17"/>
  <c r="AQ142" i="18"/>
  <c r="AP143" i="18"/>
  <c r="BC102" i="11"/>
  <c r="V374" i="11"/>
  <c r="V326" i="11" s="1"/>
  <c r="V81" i="26"/>
  <c r="W81" i="26" s="1"/>
  <c r="U82" i="26"/>
  <c r="AU130" i="20"/>
  <c r="AA130" i="20"/>
  <c r="Z131" i="20"/>
  <c r="V129" i="21"/>
  <c r="AZ68" i="20"/>
  <c r="AR45" i="18"/>
  <c r="AT44" i="18"/>
  <c r="R186" i="11"/>
  <c r="R190" i="11"/>
  <c r="R185" i="11"/>
  <c r="R182" i="11"/>
  <c r="R189" i="11"/>
  <c r="R188" i="11"/>
  <c r="R191" i="11"/>
  <c r="R187" i="11"/>
  <c r="R181" i="11"/>
  <c r="R184" i="11"/>
  <c r="R183" i="11"/>
  <c r="U166" i="26"/>
  <c r="V165" i="26"/>
  <c r="W165" i="26" s="1"/>
  <c r="AK10" i="16"/>
  <c r="AJ11" i="16"/>
  <c r="AW105" i="18"/>
  <c r="AV106" i="18"/>
  <c r="U409" i="13"/>
  <c r="U282" i="3" s="1"/>
  <c r="U298" i="3" s="1"/>
  <c r="U218" i="4"/>
  <c r="W379" i="11"/>
  <c r="AT23" i="20"/>
  <c r="AI24" i="20"/>
  <c r="AJ146" i="18"/>
  <c r="L31" i="13"/>
  <c r="L32" i="13" s="1"/>
  <c r="L35" i="11"/>
  <c r="BC27" i="11"/>
  <c r="L33" i="11"/>
  <c r="L34" i="11" s="1"/>
  <c r="L4" i="6"/>
  <c r="L8" i="6" s="1"/>
  <c r="AT18" i="11"/>
  <c r="AT10" i="11"/>
  <c r="AT24" i="11"/>
  <c r="AT22" i="11"/>
  <c r="AT4" i="11"/>
  <c r="AT9" i="11"/>
  <c r="AT5" i="11"/>
  <c r="AT26" i="11"/>
  <c r="AT11" i="11"/>
  <c r="AT15" i="11"/>
  <c r="AT17" i="11"/>
  <c r="AT13" i="11"/>
  <c r="AT23" i="11"/>
  <c r="AT14" i="11"/>
  <c r="AT19" i="11"/>
  <c r="AT6" i="11"/>
  <c r="AT21" i="11"/>
  <c r="AT12" i="11"/>
  <c r="AT8" i="11"/>
  <c r="AT3" i="11"/>
  <c r="AT16" i="11"/>
  <c r="AT25" i="11"/>
  <c r="AD452" i="3"/>
  <c r="AE452" i="3" s="1"/>
  <c r="AQ46" i="18"/>
  <c r="AP47" i="18"/>
  <c r="AP24" i="16"/>
  <c r="AQ23" i="16"/>
  <c r="E246" i="4"/>
  <c r="E261" i="4"/>
  <c r="AR165" i="18"/>
  <c r="AT164" i="18"/>
  <c r="AF59" i="18"/>
  <c r="AF108" i="18"/>
  <c r="I311" i="4"/>
  <c r="I326" i="4"/>
  <c r="V126" i="15"/>
  <c r="V110" i="15" s="1"/>
  <c r="AI177" i="18"/>
  <c r="AK176" i="18"/>
  <c r="T59" i="11"/>
  <c r="V329" i="19"/>
  <c r="AS33" i="20"/>
  <c r="AR57" i="16"/>
  <c r="AT56" i="16"/>
  <c r="BA56" i="16" s="1"/>
  <c r="AL73" i="14"/>
  <c r="Y130" i="20"/>
  <c r="AS129" i="20"/>
  <c r="W132" i="19"/>
  <c r="Y135" i="21"/>
  <c r="AA327" i="19"/>
  <c r="AD343" i="19"/>
  <c r="AI164" i="3"/>
  <c r="R304" i="3"/>
  <c r="AQ23" i="14"/>
  <c r="BA22" i="14"/>
  <c r="T121" i="10"/>
  <c r="V120" i="10"/>
  <c r="AU107" i="22"/>
  <c r="AJ108" i="22"/>
  <c r="AY128" i="14"/>
  <c r="BB128" i="14" s="1"/>
  <c r="AJ236" i="13"/>
  <c r="AM25" i="14"/>
  <c r="AW104" i="20"/>
  <c r="AV104" i="20"/>
  <c r="AZ104" i="20" s="1"/>
  <c r="S11" i="10"/>
  <c r="R12" i="10"/>
  <c r="BA152" i="16"/>
  <c r="BB152" i="16" s="1"/>
  <c r="AH169" i="3"/>
  <c r="AI169" i="3" s="1"/>
  <c r="AE169" i="3"/>
  <c r="AF36" i="18"/>
  <c r="AL58" i="14"/>
  <c r="AN58" i="14" s="1"/>
  <c r="AZ57" i="14"/>
  <c r="AK143" i="22"/>
  <c r="AL142" i="22"/>
  <c r="AC129" i="8"/>
  <c r="AI21" i="18"/>
  <c r="BA20" i="18"/>
  <c r="BC20" i="18" s="1"/>
  <c r="AK20" i="18"/>
  <c r="AH131" i="18"/>
  <c r="AG132" i="18"/>
  <c r="AQ166" i="18"/>
  <c r="AP167" i="18"/>
  <c r="AI448" i="3"/>
  <c r="AK230" i="13"/>
  <c r="AY56" i="20"/>
  <c r="O390" i="19"/>
  <c r="O408" i="19"/>
  <c r="U70" i="10"/>
  <c r="V69" i="10"/>
  <c r="AH170" i="3"/>
  <c r="AI170" i="3" s="1"/>
  <c r="AE170" i="3"/>
  <c r="AZ142" i="18"/>
  <c r="AX143" i="18"/>
  <c r="AI231" i="13"/>
  <c r="AS130" i="14"/>
  <c r="AV129" i="14"/>
  <c r="AZ35" i="18"/>
  <c r="AX36" i="18"/>
  <c r="AJ46" i="20"/>
  <c r="AK45" i="20"/>
  <c r="Q81" i="24"/>
  <c r="S80" i="24"/>
  <c r="S329" i="13"/>
  <c r="AD176" i="3"/>
  <c r="AE176" i="3" s="1"/>
  <c r="R179" i="8"/>
  <c r="S178" i="8"/>
  <c r="AC346" i="19"/>
  <c r="Z137" i="19"/>
  <c r="BD139" i="18"/>
  <c r="S367" i="13" l="1"/>
  <c r="S22" i="13" s="1"/>
  <c r="T103" i="5"/>
  <c r="AB353" i="11"/>
  <c r="AB21" i="11"/>
  <c r="AB24" i="11"/>
  <c r="AB385" i="11" s="1"/>
  <c r="AB382" i="11" s="1"/>
  <c r="T366" i="13"/>
  <c r="T350" i="13" s="1"/>
  <c r="T110" i="5"/>
  <c r="S95" i="5"/>
  <c r="T331" i="13"/>
  <c r="Z40" i="4"/>
  <c r="U103" i="5"/>
  <c r="W110" i="11"/>
  <c r="W62" i="11" s="1"/>
  <c r="T333" i="13"/>
  <c r="V381" i="11"/>
  <c r="W381" i="11" s="1"/>
  <c r="W76" i="11"/>
  <c r="X76" i="11" s="1"/>
  <c r="Y76" i="11" s="1"/>
  <c r="Q3" i="7"/>
  <c r="Q14" i="6" s="1"/>
  <c r="T64" i="11"/>
  <c r="T65" i="11" s="1"/>
  <c r="AE11" i="11"/>
  <c r="AC122" i="15"/>
  <c r="AC106" i="15" s="1"/>
  <c r="R192" i="11"/>
  <c r="R190" i="13" s="1"/>
  <c r="R142" i="13" s="1"/>
  <c r="AB106" i="11"/>
  <c r="AB40" i="4" s="1"/>
  <c r="AA40" i="4"/>
  <c r="T104" i="5"/>
  <c r="U109" i="5"/>
  <c r="S337" i="11"/>
  <c r="U328" i="13"/>
  <c r="T236" i="3"/>
  <c r="W349" i="11"/>
  <c r="X349" i="11" s="1"/>
  <c r="Y349" i="11" s="1"/>
  <c r="R12" i="7"/>
  <c r="R13" i="7" s="1"/>
  <c r="R213" i="7" s="1"/>
  <c r="X347" i="11"/>
  <c r="Y347" i="11" s="1"/>
  <c r="Y250" i="3" s="1"/>
  <c r="V383" i="11"/>
  <c r="W383" i="11" s="1"/>
  <c r="X126" i="15"/>
  <c r="X110" i="15" s="1"/>
  <c r="U102" i="5"/>
  <c r="U233" i="3"/>
  <c r="U93" i="5"/>
  <c r="Y158" i="15"/>
  <c r="Y126" i="15" s="1"/>
  <c r="Y110" i="15" s="1"/>
  <c r="T94" i="5"/>
  <c r="V59" i="11"/>
  <c r="X327" i="11"/>
  <c r="X182" i="4" s="1"/>
  <c r="X198" i="4"/>
  <c r="X246" i="3"/>
  <c r="U384" i="11"/>
  <c r="U414" i="13" s="1"/>
  <c r="U287" i="3" s="1"/>
  <c r="U303" i="3" s="1"/>
  <c r="Z121" i="15"/>
  <c r="Z105" i="15" s="1"/>
  <c r="S224" i="4"/>
  <c r="U326" i="13"/>
  <c r="X110" i="11"/>
  <c r="X44" i="4" s="1"/>
  <c r="W374" i="11"/>
  <c r="W326" i="11" s="1"/>
  <c r="Y152" i="15"/>
  <c r="Z152" i="15" s="1"/>
  <c r="T330" i="13"/>
  <c r="AA153" i="15"/>
  <c r="AA121" i="15" s="1"/>
  <c r="AA105" i="15" s="1"/>
  <c r="Y343" i="11"/>
  <c r="Z343" i="11" s="1"/>
  <c r="X139" i="21"/>
  <c r="W139" i="21"/>
  <c r="Y139" i="19"/>
  <c r="AE339" i="19"/>
  <c r="BC165" i="14"/>
  <c r="W217" i="4"/>
  <c r="X378" i="11"/>
  <c r="Y378" i="11" s="1"/>
  <c r="W330" i="11"/>
  <c r="W185" i="4" s="1"/>
  <c r="BE105" i="14"/>
  <c r="AB37" i="4"/>
  <c r="AC103" i="11"/>
  <c r="AD103" i="11" s="1"/>
  <c r="Z35" i="4"/>
  <c r="BD165" i="16"/>
  <c r="BQ163" i="12" s="1"/>
  <c r="BG163" i="12" s="1"/>
  <c r="W129" i="15"/>
  <c r="W113" i="15" s="1"/>
  <c r="X161" i="15"/>
  <c r="AF343" i="19"/>
  <c r="AF4" i="6"/>
  <c r="AF3" i="6"/>
  <c r="AF5" i="6"/>
  <c r="V206" i="4"/>
  <c r="V335" i="11"/>
  <c r="V190" i="4" s="1"/>
  <c r="W351" i="11"/>
  <c r="X351" i="11" s="1"/>
  <c r="Z125" i="15"/>
  <c r="Z109" i="15" s="1"/>
  <c r="AA347" i="19"/>
  <c r="Q4" i="7"/>
  <c r="BT3" i="7"/>
  <c r="BC81" i="14"/>
  <c r="BE81" i="14"/>
  <c r="W307" i="15"/>
  <c r="R194" i="11"/>
  <c r="R144" i="11"/>
  <c r="R8" i="23"/>
  <c r="R7" i="6"/>
  <c r="U13" i="23"/>
  <c r="U141" i="21"/>
  <c r="U8" i="21" s="1"/>
  <c r="R16" i="6"/>
  <c r="AL23" i="20"/>
  <c r="AO22" i="20"/>
  <c r="AS94" i="14"/>
  <c r="AV93" i="14"/>
  <c r="AY93" i="14"/>
  <c r="BB93" i="14" s="1"/>
  <c r="BC105" i="14" s="1"/>
  <c r="Q231" i="13"/>
  <c r="BM233" i="11"/>
  <c r="AW46" i="18"/>
  <c r="AV47" i="18"/>
  <c r="U183" i="8"/>
  <c r="AK27" i="22"/>
  <c r="AN178" i="16"/>
  <c r="AM179" i="16"/>
  <c r="X325" i="19"/>
  <c r="Y341" i="19"/>
  <c r="Q490" i="3"/>
  <c r="M376" i="3"/>
  <c r="M377" i="3"/>
  <c r="V410" i="13"/>
  <c r="V283" i="3" s="1"/>
  <c r="V299" i="3" s="1"/>
  <c r="G412" i="3"/>
  <c r="G427" i="3"/>
  <c r="AI94" i="16"/>
  <c r="AK93" i="16"/>
  <c r="BA93" i="16" s="1"/>
  <c r="I363" i="3"/>
  <c r="I348" i="3"/>
  <c r="Q109" i="3"/>
  <c r="AM179" i="22"/>
  <c r="AT178" i="22"/>
  <c r="Y36" i="20"/>
  <c r="AE72" i="22"/>
  <c r="AD73" i="22"/>
  <c r="AB59" i="22"/>
  <c r="AA60" i="22"/>
  <c r="Z132" i="20"/>
  <c r="AA131" i="20"/>
  <c r="V46" i="24"/>
  <c r="U47" i="24"/>
  <c r="Q106" i="26"/>
  <c r="S105" i="26"/>
  <c r="BC140" i="14"/>
  <c r="V70" i="24"/>
  <c r="W70" i="24" s="1"/>
  <c r="U71" i="24"/>
  <c r="AF84" i="18"/>
  <c r="AO35" i="20"/>
  <c r="AL36" i="20"/>
  <c r="AD71" i="20"/>
  <c r="AC72" i="20"/>
  <c r="AS181" i="16"/>
  <c r="AF26" i="18"/>
  <c r="AI142" i="18"/>
  <c r="AK141" i="18"/>
  <c r="AZ168" i="18"/>
  <c r="AX169" i="18"/>
  <c r="AF167" i="18"/>
  <c r="BM140" i="11"/>
  <c r="AT140" i="11"/>
  <c r="Q90" i="4"/>
  <c r="AR168" i="16"/>
  <c r="AT167" i="16"/>
  <c r="AC168" i="20"/>
  <c r="AD167" i="20"/>
  <c r="AU167" i="20"/>
  <c r="AY179" i="20" s="1"/>
  <c r="AD345" i="3"/>
  <c r="AH345" i="3" s="1"/>
  <c r="J361" i="3"/>
  <c r="J378" i="3" s="1"/>
  <c r="J346" i="3"/>
  <c r="K361" i="3"/>
  <c r="K378" i="3" s="1"/>
  <c r="C490" i="3"/>
  <c r="C459" i="3"/>
  <c r="AR154" i="16"/>
  <c r="AT153" i="16"/>
  <c r="Y123" i="15"/>
  <c r="Y107" i="15" s="1"/>
  <c r="AB167" i="8"/>
  <c r="AA168" i="8"/>
  <c r="Y121" i="20"/>
  <c r="L361" i="3"/>
  <c r="L378" i="3" s="1"/>
  <c r="L346" i="3"/>
  <c r="AD83" i="20"/>
  <c r="AC84" i="20"/>
  <c r="N459" i="3"/>
  <c r="N490" i="3"/>
  <c r="H262" i="4"/>
  <c r="H247" i="4"/>
  <c r="V23" i="10"/>
  <c r="U24" i="10"/>
  <c r="R182" i="13"/>
  <c r="R134" i="13" s="1"/>
  <c r="R136" i="11"/>
  <c r="Q107" i="3"/>
  <c r="AJ133" i="20"/>
  <c r="R168" i="24"/>
  <c r="S167" i="24"/>
  <c r="R72" i="3"/>
  <c r="R324" i="15"/>
  <c r="R18" i="15"/>
  <c r="BM136" i="11"/>
  <c r="AT136" i="11"/>
  <c r="Q86" i="4"/>
  <c r="AJ25" i="18"/>
  <c r="L376" i="3"/>
  <c r="L377" i="3"/>
  <c r="AS157" i="18"/>
  <c r="AT156" i="18"/>
  <c r="AI58" i="18"/>
  <c r="AK57" i="18"/>
  <c r="BA57" i="18"/>
  <c r="BC57" i="18" s="1"/>
  <c r="X119" i="8"/>
  <c r="Y118" i="8"/>
  <c r="AK13" i="14"/>
  <c r="R74" i="26"/>
  <c r="AP62" i="18"/>
  <c r="AO48" i="22"/>
  <c r="AP47" i="22"/>
  <c r="AN96" i="16"/>
  <c r="AM97" i="16"/>
  <c r="O327" i="4"/>
  <c r="O312" i="4"/>
  <c r="AG131" i="20"/>
  <c r="AF132" i="20"/>
  <c r="N411" i="3"/>
  <c r="N426" i="3"/>
  <c r="Y36" i="4"/>
  <c r="AO144" i="22"/>
  <c r="AP143" i="22"/>
  <c r="Y49" i="8"/>
  <c r="X50" i="8"/>
  <c r="T46" i="4"/>
  <c r="T47" i="4" s="1"/>
  <c r="T114" i="11"/>
  <c r="V63" i="11"/>
  <c r="AV143" i="16"/>
  <c r="AW142" i="16"/>
  <c r="J312" i="4"/>
  <c r="J327" i="4"/>
  <c r="AG345" i="3"/>
  <c r="AI345" i="3" s="1"/>
  <c r="AF345" i="3"/>
  <c r="AE345" i="3"/>
  <c r="O361" i="3"/>
  <c r="O346" i="3"/>
  <c r="H278" i="4"/>
  <c r="H277" i="4"/>
  <c r="U166" i="24"/>
  <c r="V165" i="24"/>
  <c r="W165" i="24" s="1"/>
  <c r="AO99" i="22"/>
  <c r="AP99" i="22" s="1"/>
  <c r="AP98" i="22"/>
  <c r="BA161" i="12"/>
  <c r="BP161" i="12" s="1"/>
  <c r="AY161" i="12"/>
  <c r="AX162" i="12"/>
  <c r="BE163" i="14"/>
  <c r="AC47" i="20"/>
  <c r="AD46" i="20"/>
  <c r="AU46" i="20"/>
  <c r="AY46" i="20" s="1"/>
  <c r="Y85" i="20"/>
  <c r="AS84" i="20"/>
  <c r="AQ35" i="16"/>
  <c r="AP36" i="16"/>
  <c r="AU94" i="22"/>
  <c r="AJ95" i="22"/>
  <c r="AH35" i="18"/>
  <c r="AG36" i="18"/>
  <c r="V41" i="4"/>
  <c r="AB25" i="10"/>
  <c r="AA26" i="10"/>
  <c r="BA153" i="16"/>
  <c r="BB153" i="16" s="1"/>
  <c r="W35" i="8"/>
  <c r="Y34" i="8"/>
  <c r="S71" i="8"/>
  <c r="R72" i="8"/>
  <c r="AQ119" i="22"/>
  <c r="AT118" i="22"/>
  <c r="AB143" i="22"/>
  <c r="AA144" i="22"/>
  <c r="BA47" i="14"/>
  <c r="AM48" i="14"/>
  <c r="R25" i="8"/>
  <c r="S24" i="8"/>
  <c r="AD59" i="20"/>
  <c r="AC60" i="20"/>
  <c r="V159" i="15"/>
  <c r="AO60" i="22"/>
  <c r="AP59" i="22"/>
  <c r="AN120" i="14"/>
  <c r="AK121" i="14"/>
  <c r="AH96" i="18"/>
  <c r="AG97" i="18"/>
  <c r="Z329" i="19"/>
  <c r="AJ119" i="18"/>
  <c r="AK118" i="18"/>
  <c r="BB118" i="18"/>
  <c r="X160" i="15"/>
  <c r="AR69" i="14"/>
  <c r="AO70" i="14"/>
  <c r="AV129" i="20"/>
  <c r="AZ129" i="20" s="1"/>
  <c r="AW129" i="20"/>
  <c r="V404" i="13"/>
  <c r="V277" i="3" s="1"/>
  <c r="V293" i="3" s="1"/>
  <c r="V213" i="4"/>
  <c r="U307" i="15"/>
  <c r="AM12" i="16"/>
  <c r="AN11" i="16"/>
  <c r="Z221" i="4"/>
  <c r="S72" i="10"/>
  <c r="R73" i="10"/>
  <c r="R76" i="3"/>
  <c r="AO72" i="20"/>
  <c r="AL73" i="20"/>
  <c r="AQ145" i="16"/>
  <c r="AP146" i="16"/>
  <c r="AD410" i="3"/>
  <c r="AH410" i="3" s="1"/>
  <c r="J426" i="3"/>
  <c r="J411" i="3"/>
  <c r="AV134" i="18"/>
  <c r="AW133" i="18"/>
  <c r="AJ107" i="18"/>
  <c r="BB106" i="18"/>
  <c r="S415" i="13"/>
  <c r="S24" i="13" s="1"/>
  <c r="BK24" i="13" s="1"/>
  <c r="W405" i="13" s="1"/>
  <c r="W278" i="3" s="1"/>
  <c r="BC70" i="11"/>
  <c r="P361" i="3"/>
  <c r="P346" i="3"/>
  <c r="AK155" i="18"/>
  <c r="AJ156" i="18"/>
  <c r="AI344" i="3"/>
  <c r="AG146" i="16"/>
  <c r="Z164" i="24"/>
  <c r="BS162" i="12" s="1"/>
  <c r="BI162" i="12" s="1"/>
  <c r="X164" i="24"/>
  <c r="AT145" i="20"/>
  <c r="AI146" i="20"/>
  <c r="AW165" i="20"/>
  <c r="AV165" i="20"/>
  <c r="AS46" i="20"/>
  <c r="Y47" i="20"/>
  <c r="AA46" i="20"/>
  <c r="AH82" i="16"/>
  <c r="AG83" i="16"/>
  <c r="AK71" i="18"/>
  <c r="AJ72" i="18"/>
  <c r="AA132" i="22"/>
  <c r="AB131" i="22"/>
  <c r="AF37" i="20"/>
  <c r="AV155" i="16"/>
  <c r="AW154" i="16"/>
  <c r="AD169" i="22"/>
  <c r="AE168" i="22"/>
  <c r="AO82" i="14"/>
  <c r="AR81" i="14"/>
  <c r="Y329" i="19"/>
  <c r="AX71" i="16"/>
  <c r="AZ70" i="16"/>
  <c r="K263" i="4"/>
  <c r="K248" i="4"/>
  <c r="W105" i="24"/>
  <c r="AZ56" i="20"/>
  <c r="AC117" i="10"/>
  <c r="V33" i="26"/>
  <c r="W33" i="26" s="1"/>
  <c r="U34" i="26"/>
  <c r="AY82" i="20"/>
  <c r="V128" i="15"/>
  <c r="V112" i="15" s="1"/>
  <c r="AY145" i="16"/>
  <c r="AZ144" i="16"/>
  <c r="N361" i="3"/>
  <c r="N346" i="3"/>
  <c r="AX168" i="16"/>
  <c r="AZ167" i="16"/>
  <c r="AQ24" i="14"/>
  <c r="BA23" i="14"/>
  <c r="BC152" i="14"/>
  <c r="T8" i="15"/>
  <c r="BI8" i="15" s="1"/>
  <c r="BI7" i="15"/>
  <c r="T10" i="15"/>
  <c r="BI10" i="15" s="1"/>
  <c r="U108" i="5"/>
  <c r="AV61" i="16"/>
  <c r="AW60" i="16"/>
  <c r="AI167" i="20"/>
  <c r="AK167" i="20" s="1"/>
  <c r="AT166" i="20"/>
  <c r="AX166" i="20" s="1"/>
  <c r="AL85" i="20"/>
  <c r="AV168" i="16"/>
  <c r="AW167" i="16"/>
  <c r="W71" i="26"/>
  <c r="AB71" i="8"/>
  <c r="AA72" i="8"/>
  <c r="Y72" i="10"/>
  <c r="X73" i="10"/>
  <c r="V56" i="11"/>
  <c r="V72" i="26"/>
  <c r="U73" i="26"/>
  <c r="AV123" i="16"/>
  <c r="AW123" i="16" s="1"/>
  <c r="AW122" i="16"/>
  <c r="Z98" i="20"/>
  <c r="AA97" i="20"/>
  <c r="U124" i="15"/>
  <c r="U163" i="15"/>
  <c r="U131" i="15" s="1"/>
  <c r="U115" i="15" s="1"/>
  <c r="W156" i="15"/>
  <c r="X156" i="15" s="1"/>
  <c r="V133" i="8"/>
  <c r="U134" i="8"/>
  <c r="AU119" i="20"/>
  <c r="Z120" i="20"/>
  <c r="AA119" i="20"/>
  <c r="S144" i="10"/>
  <c r="R145" i="10"/>
  <c r="AT142" i="11"/>
  <c r="Q92" i="4"/>
  <c r="BM142" i="11"/>
  <c r="R26" i="26"/>
  <c r="T190" i="11"/>
  <c r="T185" i="11"/>
  <c r="T182" i="11"/>
  <c r="T189" i="11"/>
  <c r="T184" i="11"/>
  <c r="T181" i="11"/>
  <c r="T188" i="11"/>
  <c r="T186" i="11"/>
  <c r="T191" i="11"/>
  <c r="T183" i="11"/>
  <c r="T187" i="11"/>
  <c r="AY153" i="20"/>
  <c r="AV153" i="20"/>
  <c r="AA13" i="10"/>
  <c r="AB12" i="10"/>
  <c r="AA101" i="11"/>
  <c r="Y85" i="10"/>
  <c r="X86" i="10"/>
  <c r="V333" i="11"/>
  <c r="V188" i="4" s="1"/>
  <c r="V204" i="4"/>
  <c r="V252" i="3"/>
  <c r="P16" i="25"/>
  <c r="AQ13" i="25"/>
  <c r="P6" i="2"/>
  <c r="P7" i="2" s="1"/>
  <c r="P17" i="2" s="1"/>
  <c r="S186" i="11"/>
  <c r="S190" i="11"/>
  <c r="S185" i="11"/>
  <c r="S182" i="11"/>
  <c r="S189" i="11"/>
  <c r="S181" i="11"/>
  <c r="S188" i="11"/>
  <c r="S184" i="11"/>
  <c r="S187" i="11"/>
  <c r="S191" i="11"/>
  <c r="S183" i="11"/>
  <c r="Q46" i="26"/>
  <c r="S45" i="26"/>
  <c r="AV147" i="18"/>
  <c r="AW147" i="18" s="1"/>
  <c r="AW146" i="18"/>
  <c r="Q235" i="13"/>
  <c r="BM237" i="11"/>
  <c r="BM257" i="11"/>
  <c r="Q250" i="11"/>
  <c r="Q202" i="11" s="1"/>
  <c r="Q122" i="11" s="1"/>
  <c r="Q254" i="11"/>
  <c r="R254" i="11" s="1"/>
  <c r="Q249" i="11"/>
  <c r="Q253" i="11"/>
  <c r="Q255" i="11"/>
  <c r="Q207" i="11" s="1"/>
  <c r="Q127" i="11" s="1"/>
  <c r="Q251" i="11"/>
  <c r="Q203" i="11" s="1"/>
  <c r="Q123" i="11" s="1"/>
  <c r="Q248" i="11"/>
  <c r="Q252" i="11"/>
  <c r="R120" i="26"/>
  <c r="S119" i="26"/>
  <c r="J377" i="3"/>
  <c r="J376" i="3"/>
  <c r="F390" i="4"/>
  <c r="F360" i="4"/>
  <c r="F278" i="4"/>
  <c r="F277" i="4"/>
  <c r="AZ119" i="16"/>
  <c r="AX120" i="16"/>
  <c r="AB11" i="8"/>
  <c r="AA12" i="8"/>
  <c r="AN95" i="20"/>
  <c r="AO94" i="20"/>
  <c r="AO142" i="14"/>
  <c r="AR141" i="14"/>
  <c r="AY141" i="14"/>
  <c r="BB141" i="14" s="1"/>
  <c r="U38" i="10"/>
  <c r="V37" i="10"/>
  <c r="AS168" i="18"/>
  <c r="X70" i="11"/>
  <c r="BD70" i="11" s="1"/>
  <c r="X345" i="11"/>
  <c r="S120" i="8"/>
  <c r="R121" i="8"/>
  <c r="AT95" i="18"/>
  <c r="AS96" i="18"/>
  <c r="AD119" i="5"/>
  <c r="AC119" i="5"/>
  <c r="AV130" i="14"/>
  <c r="AS131" i="14"/>
  <c r="AF60" i="18"/>
  <c r="R57" i="13"/>
  <c r="F313" i="4"/>
  <c r="F328" i="4"/>
  <c r="Q142" i="26"/>
  <c r="S141" i="26"/>
  <c r="W141" i="26" s="1"/>
  <c r="AN179" i="18"/>
  <c r="AM180" i="18"/>
  <c r="AR144" i="20"/>
  <c r="AP145" i="20"/>
  <c r="AM144" i="14"/>
  <c r="BA143" i="14"/>
  <c r="V108" i="8"/>
  <c r="U109" i="8"/>
  <c r="X132" i="19"/>
  <c r="AS10" i="22"/>
  <c r="AR11" i="22"/>
  <c r="AV10" i="22"/>
  <c r="AN59" i="18"/>
  <c r="AM60" i="18"/>
  <c r="AD81" i="8"/>
  <c r="R51" i="26"/>
  <c r="AB155" i="8"/>
  <c r="AC155" i="8" s="1"/>
  <c r="AA156" i="8"/>
  <c r="X305" i="15"/>
  <c r="Y305" i="15" s="1"/>
  <c r="AG13" i="22"/>
  <c r="AH12" i="22"/>
  <c r="AQ119" i="18"/>
  <c r="AP120" i="18"/>
  <c r="L490" i="3"/>
  <c r="L459" i="3"/>
  <c r="Q262" i="4"/>
  <c r="Q279" i="4" s="1"/>
  <c r="V406" i="13"/>
  <c r="V279" i="3" s="1"/>
  <c r="V295" i="3" s="1"/>
  <c r="V215" i="4"/>
  <c r="AF110" i="20"/>
  <c r="AG109" i="20"/>
  <c r="AB167" i="10"/>
  <c r="AA168" i="10"/>
  <c r="AM83" i="20"/>
  <c r="AO82" i="20"/>
  <c r="Y181" i="20"/>
  <c r="AS37" i="18"/>
  <c r="AB145" i="10"/>
  <c r="AA146" i="10"/>
  <c r="Q333" i="17"/>
  <c r="Q300" i="17" s="1"/>
  <c r="Q284" i="17" s="1"/>
  <c r="BC319" i="15"/>
  <c r="Q287" i="15"/>
  <c r="BC287" i="15" s="1"/>
  <c r="T143" i="10"/>
  <c r="V142" i="10"/>
  <c r="AC142" i="10" s="1"/>
  <c r="AR179" i="20"/>
  <c r="AP180" i="20"/>
  <c r="AV10" i="14"/>
  <c r="AS11" i="14"/>
  <c r="Y155" i="10"/>
  <c r="X156" i="10"/>
  <c r="AX47" i="20"/>
  <c r="AE457" i="3"/>
  <c r="AG343" i="19"/>
  <c r="AC339" i="19"/>
  <c r="BE56" i="14"/>
  <c r="BC56" i="14"/>
  <c r="AR107" i="20"/>
  <c r="AP108" i="20"/>
  <c r="AV179" i="18"/>
  <c r="AW178" i="18"/>
  <c r="W63" i="11"/>
  <c r="BA106" i="14"/>
  <c r="AM107" i="14"/>
  <c r="BA46" i="18"/>
  <c r="AF47" i="18"/>
  <c r="W212" i="4"/>
  <c r="W325" i="11"/>
  <c r="AX95" i="18"/>
  <c r="AZ94" i="18"/>
  <c r="BE104" i="14"/>
  <c r="BC104" i="14"/>
  <c r="AN71" i="16"/>
  <c r="AM72" i="16"/>
  <c r="AX108" i="18"/>
  <c r="AZ107" i="18"/>
  <c r="Q7" i="7"/>
  <c r="Q8" i="7" s="1"/>
  <c r="Q15" i="6"/>
  <c r="BT6" i="7"/>
  <c r="P22" i="7"/>
  <c r="V328" i="19"/>
  <c r="X344" i="19"/>
  <c r="AN107" i="18"/>
  <c r="AM108" i="18"/>
  <c r="AF168" i="20"/>
  <c r="AG167" i="20"/>
  <c r="W326" i="19"/>
  <c r="Y60" i="8"/>
  <c r="X61" i="8"/>
  <c r="R70" i="3"/>
  <c r="AF97" i="18"/>
  <c r="X245" i="3"/>
  <c r="X197" i="4"/>
  <c r="AS132" i="18"/>
  <c r="W136" i="21"/>
  <c r="X136" i="19"/>
  <c r="AD22" i="20"/>
  <c r="AC23" i="20"/>
  <c r="AW93" i="20"/>
  <c r="AV93" i="20"/>
  <c r="AZ93" i="20" s="1"/>
  <c r="U167" i="26"/>
  <c r="V166" i="26"/>
  <c r="W166" i="26" s="1"/>
  <c r="AQ24" i="18"/>
  <c r="AP25" i="18"/>
  <c r="H459" i="3"/>
  <c r="H490" i="3"/>
  <c r="U142" i="24"/>
  <c r="V141" i="24"/>
  <c r="W141" i="24" s="1"/>
  <c r="AM168" i="14"/>
  <c r="BA167" i="14"/>
  <c r="AN130" i="16"/>
  <c r="AM131" i="16"/>
  <c r="AT178" i="20"/>
  <c r="AX178" i="20" s="1"/>
  <c r="AI179" i="20"/>
  <c r="R71" i="3"/>
  <c r="W19" i="5"/>
  <c r="BE69" i="14"/>
  <c r="J490" i="3"/>
  <c r="AD458" i="3"/>
  <c r="AH458" i="3" s="1"/>
  <c r="J459" i="3"/>
  <c r="BM143" i="11"/>
  <c r="AT143" i="11"/>
  <c r="Q93" i="4"/>
  <c r="Q190" i="13"/>
  <c r="Q142" i="13" s="1"/>
  <c r="BM192" i="11"/>
  <c r="AT192" i="11"/>
  <c r="Q144" i="11"/>
  <c r="Q194" i="11"/>
  <c r="V153" i="26"/>
  <c r="U154" i="26"/>
  <c r="AC10" i="8"/>
  <c r="AW94" i="18"/>
  <c r="AV95" i="18"/>
  <c r="BB95" i="18" s="1"/>
  <c r="BB94" i="18"/>
  <c r="AR10" i="14"/>
  <c r="AO11" i="14"/>
  <c r="AB71" i="11"/>
  <c r="R50" i="24"/>
  <c r="AK96" i="14"/>
  <c r="AN95" i="14"/>
  <c r="R25" i="24"/>
  <c r="Y350" i="11"/>
  <c r="X134" i="21"/>
  <c r="AY142" i="20"/>
  <c r="R58" i="13"/>
  <c r="AN108" i="16"/>
  <c r="AM109" i="16"/>
  <c r="U135" i="10"/>
  <c r="AV36" i="16"/>
  <c r="AW35" i="16"/>
  <c r="S297" i="3"/>
  <c r="S304" i="3" s="1"/>
  <c r="S288" i="3"/>
  <c r="S233" i="3"/>
  <c r="AA22" i="20"/>
  <c r="AU22" i="20"/>
  <c r="AY22" i="20" s="1"/>
  <c r="Z23" i="20"/>
  <c r="V405" i="13"/>
  <c r="V278" i="3" s="1"/>
  <c r="BF160" i="12"/>
  <c r="BT160" i="12"/>
  <c r="BJ160" i="12" s="1"/>
  <c r="AV45" i="20"/>
  <c r="AZ45" i="20" s="1"/>
  <c r="AW45" i="20"/>
  <c r="K360" i="4"/>
  <c r="K390" i="4"/>
  <c r="AI7" i="17"/>
  <c r="R6" i="17"/>
  <c r="AI6" i="17" s="1"/>
  <c r="AB118" i="10"/>
  <c r="AA119" i="10"/>
  <c r="N376" i="3"/>
  <c r="N377" i="3"/>
  <c r="AP121" i="20"/>
  <c r="AR120" i="20"/>
  <c r="R77" i="3"/>
  <c r="AT35" i="20"/>
  <c r="AX35" i="20" s="1"/>
  <c r="AI36" i="20"/>
  <c r="AK35" i="20"/>
  <c r="AW23" i="18"/>
  <c r="AV24" i="18"/>
  <c r="M390" i="4"/>
  <c r="M360" i="4"/>
  <c r="S134" i="10"/>
  <c r="R135" i="10"/>
  <c r="S135" i="10" s="1"/>
  <c r="AA83" i="8"/>
  <c r="AB82" i="8"/>
  <c r="AJ86" i="18"/>
  <c r="AU178" i="22"/>
  <c r="AY178" i="22" s="1"/>
  <c r="AJ179" i="22"/>
  <c r="AD339" i="19"/>
  <c r="R143" i="11"/>
  <c r="R189" i="13"/>
  <c r="R141" i="13" s="1"/>
  <c r="AJ27" i="20"/>
  <c r="AD182" i="22"/>
  <c r="AE181" i="22"/>
  <c r="O16" i="25"/>
  <c r="AP13" i="25"/>
  <c r="O6" i="2"/>
  <c r="O7" i="2" s="1"/>
  <c r="O17" i="2" s="1"/>
  <c r="O19" i="2" s="1"/>
  <c r="AB82" i="22"/>
  <c r="AA83" i="22"/>
  <c r="AW83" i="18"/>
  <c r="AV84" i="18"/>
  <c r="AY69" i="20"/>
  <c r="V403" i="13"/>
  <c r="V212" i="4"/>
  <c r="V325" i="11"/>
  <c r="BB326" i="11" s="1"/>
  <c r="AC178" i="10"/>
  <c r="AC166" i="10"/>
  <c r="U229" i="3"/>
  <c r="AP63" i="16"/>
  <c r="AR106" i="16"/>
  <c r="AT105" i="16"/>
  <c r="BA105" i="16" s="1"/>
  <c r="AB179" i="8"/>
  <c r="AC179" i="8" s="1"/>
  <c r="AA180" i="8"/>
  <c r="AT137" i="11"/>
  <c r="BM137" i="11"/>
  <c r="Q87" i="4"/>
  <c r="Q332" i="17"/>
  <c r="Q299" i="17" s="1"/>
  <c r="Q283" i="17" s="1"/>
  <c r="Q286" i="15"/>
  <c r="BC286" i="15" s="1"/>
  <c r="BC318" i="15"/>
  <c r="AZ58" i="18"/>
  <c r="AX59" i="18"/>
  <c r="D278" i="4"/>
  <c r="D277" i="4"/>
  <c r="AI130" i="18"/>
  <c r="AK129" i="18"/>
  <c r="BA129" i="18"/>
  <c r="BC129" i="18" s="1"/>
  <c r="V332" i="11"/>
  <c r="V187" i="4" s="1"/>
  <c r="V203" i="4"/>
  <c r="BD153" i="18"/>
  <c r="AC154" i="10"/>
  <c r="AD154" i="10" s="1"/>
  <c r="AI49" i="20"/>
  <c r="AT48" i="20"/>
  <c r="Q20" i="13"/>
  <c r="BI20" i="13" s="1"/>
  <c r="BI21" i="13"/>
  <c r="Z322" i="19"/>
  <c r="AG143" i="22"/>
  <c r="AH142" i="22"/>
  <c r="AT138" i="11"/>
  <c r="BM138" i="11"/>
  <c r="Q88" i="4"/>
  <c r="T14" i="11"/>
  <c r="U106" i="26"/>
  <c r="V105" i="26"/>
  <c r="W105" i="26" s="1"/>
  <c r="AV69" i="20"/>
  <c r="AZ69" i="20" s="1"/>
  <c r="Z134" i="19"/>
  <c r="AS58" i="14"/>
  <c r="AY58" i="14" s="1"/>
  <c r="BB58" i="14" s="1"/>
  <c r="AV57" i="14"/>
  <c r="R192" i="4"/>
  <c r="R95" i="5"/>
  <c r="AM144" i="16"/>
  <c r="AN143" i="16"/>
  <c r="AV20" i="14"/>
  <c r="AS21" i="14"/>
  <c r="AY20" i="14"/>
  <c r="BB20" i="14" s="1"/>
  <c r="BE20" i="14" s="1"/>
  <c r="AX81" i="14"/>
  <c r="AW82" i="14"/>
  <c r="AJ239" i="13"/>
  <c r="AJ14" i="13" s="1"/>
  <c r="AQ120" i="16"/>
  <c r="AP121" i="16"/>
  <c r="R62" i="13"/>
  <c r="M459" i="3"/>
  <c r="M490" i="3"/>
  <c r="X58" i="11"/>
  <c r="T161" i="17"/>
  <c r="T129" i="17" s="1"/>
  <c r="T113" i="17" s="1"/>
  <c r="T131" i="15"/>
  <c r="T115" i="15" s="1"/>
  <c r="AV81" i="14"/>
  <c r="AS82" i="14"/>
  <c r="AW118" i="14"/>
  <c r="AX117" i="14"/>
  <c r="AS109" i="18"/>
  <c r="AT108" i="18"/>
  <c r="AC146" i="20"/>
  <c r="AD145" i="20"/>
  <c r="AO131" i="14"/>
  <c r="AR130" i="14"/>
  <c r="Q361" i="3"/>
  <c r="Q378" i="3" s="1"/>
  <c r="Q346" i="3"/>
  <c r="AI178" i="18"/>
  <c r="AK177" i="18"/>
  <c r="S61" i="8"/>
  <c r="R62" i="8"/>
  <c r="R13" i="26"/>
  <c r="AZ83" i="16"/>
  <c r="AX84" i="16"/>
  <c r="AJ37" i="22"/>
  <c r="AU36" i="22"/>
  <c r="AL36" i="22"/>
  <c r="Q110" i="3"/>
  <c r="AW94" i="14"/>
  <c r="AX93" i="14"/>
  <c r="AL154" i="22"/>
  <c r="AK155" i="22"/>
  <c r="F412" i="3"/>
  <c r="F427" i="3"/>
  <c r="U156" i="10"/>
  <c r="V155" i="10"/>
  <c r="T208" i="4"/>
  <c r="P263" i="4"/>
  <c r="P248" i="4"/>
  <c r="W72" i="11"/>
  <c r="AK107" i="14"/>
  <c r="AN106" i="14"/>
  <c r="AY106" i="14"/>
  <c r="U363" i="13"/>
  <c r="U347" i="13" s="1"/>
  <c r="U333" i="11"/>
  <c r="U188" i="4" s="1"/>
  <c r="U94" i="5" s="1"/>
  <c r="U204" i="4"/>
  <c r="U252" i="3"/>
  <c r="AB95" i="20"/>
  <c r="AS94" i="20"/>
  <c r="AD94" i="20"/>
  <c r="AK60" i="22"/>
  <c r="AL59" i="22"/>
  <c r="N327" i="4"/>
  <c r="N312" i="4"/>
  <c r="AP37" i="18"/>
  <c r="AQ36" i="18"/>
  <c r="BC17" i="15"/>
  <c r="Q37" i="15"/>
  <c r="Q27" i="6"/>
  <c r="T345" i="13"/>
  <c r="R132" i="26"/>
  <c r="Y108" i="11"/>
  <c r="AR107" i="22"/>
  <c r="AV106" i="22"/>
  <c r="AS106" i="22"/>
  <c r="AG75" i="16"/>
  <c r="AH75" i="16" s="1"/>
  <c r="AH74" i="16"/>
  <c r="AD14" i="22"/>
  <c r="AE13" i="22"/>
  <c r="AE344" i="3"/>
  <c r="E378" i="3"/>
  <c r="AZ83" i="18"/>
  <c r="AX84" i="18"/>
  <c r="AM85" i="16"/>
  <c r="AN84" i="16"/>
  <c r="AW70" i="14"/>
  <c r="AX69" i="14"/>
  <c r="AW46" i="22"/>
  <c r="AK46" i="20"/>
  <c r="AJ47" i="20"/>
  <c r="AV13" i="23"/>
  <c r="Q8" i="23"/>
  <c r="Q7" i="6"/>
  <c r="E490" i="3"/>
  <c r="E459" i="3"/>
  <c r="AF109" i="18"/>
  <c r="AH133" i="22"/>
  <c r="AG134" i="22"/>
  <c r="AR178" i="16"/>
  <c r="AT177" i="16"/>
  <c r="BA177" i="16" s="1"/>
  <c r="BB177" i="16" s="1"/>
  <c r="AT95" i="16"/>
  <c r="AS96" i="16"/>
  <c r="I390" i="4"/>
  <c r="I360" i="4"/>
  <c r="AX36" i="16"/>
  <c r="AZ35" i="16"/>
  <c r="R35" i="26"/>
  <c r="S34" i="26"/>
  <c r="AK23" i="14"/>
  <c r="AN22" i="14"/>
  <c r="AK166" i="20"/>
  <c r="AI35" i="18"/>
  <c r="BA34" i="18"/>
  <c r="V106" i="24"/>
  <c r="W106" i="24" s="1"/>
  <c r="U107" i="24"/>
  <c r="AK133" i="22"/>
  <c r="AW121" i="18"/>
  <c r="AV122" i="18"/>
  <c r="AS25" i="18"/>
  <c r="AT24" i="18"/>
  <c r="R75" i="3"/>
  <c r="V177" i="24"/>
  <c r="W177" i="24" s="1"/>
  <c r="U178" i="24"/>
  <c r="AO142" i="20"/>
  <c r="AL143" i="20"/>
  <c r="AS142" i="20"/>
  <c r="R186" i="13"/>
  <c r="R138" i="13" s="1"/>
  <c r="R140" i="11"/>
  <c r="AQ83" i="14"/>
  <c r="BA82" i="14"/>
  <c r="W80" i="24"/>
  <c r="AH46" i="18"/>
  <c r="BB46" i="18"/>
  <c r="AG47" i="18"/>
  <c r="AS86" i="18"/>
  <c r="AV153" i="14"/>
  <c r="AS154" i="14"/>
  <c r="AG120" i="22"/>
  <c r="AH119" i="22"/>
  <c r="AT70" i="22"/>
  <c r="AQ71" i="22"/>
  <c r="AK95" i="22"/>
  <c r="AL94" i="22"/>
  <c r="AV94" i="22"/>
  <c r="AZ46" i="14"/>
  <c r="AL47" i="14"/>
  <c r="S166" i="10"/>
  <c r="R167" i="10"/>
  <c r="AA62" i="10"/>
  <c r="AB61" i="10"/>
  <c r="AQ61" i="22"/>
  <c r="AT60" i="22"/>
  <c r="S95" i="26"/>
  <c r="R96" i="26"/>
  <c r="R97" i="10"/>
  <c r="S96" i="10"/>
  <c r="AW106" i="22"/>
  <c r="AS70" i="14"/>
  <c r="AV69" i="14"/>
  <c r="AS71" i="20"/>
  <c r="AW83" i="20" s="1"/>
  <c r="Y72" i="20"/>
  <c r="AL118" i="22"/>
  <c r="AK119" i="22"/>
  <c r="Q278" i="4"/>
  <c r="Q277" i="4"/>
  <c r="X19" i="5"/>
  <c r="AI22" i="18"/>
  <c r="BA21" i="18"/>
  <c r="BC21" i="18" s="1"/>
  <c r="AK21" i="18"/>
  <c r="Y132" i="19"/>
  <c r="AR58" i="16"/>
  <c r="AT57" i="16"/>
  <c r="BA57" i="16" s="1"/>
  <c r="AR166" i="18"/>
  <c r="BA166" i="18" s="1"/>
  <c r="BC166" i="18" s="1"/>
  <c r="BD166" i="18" s="1"/>
  <c r="AT165" i="18"/>
  <c r="W218" i="4"/>
  <c r="R187" i="13"/>
  <c r="R139" i="13" s="1"/>
  <c r="R141" i="11"/>
  <c r="N19" i="2"/>
  <c r="AP72" i="20"/>
  <c r="AR71" i="20"/>
  <c r="AW117" i="20"/>
  <c r="AV117" i="20"/>
  <c r="AD131" i="22"/>
  <c r="AE130" i="22"/>
  <c r="K490" i="3"/>
  <c r="K459" i="3"/>
  <c r="AZ32" i="20"/>
  <c r="AS159" i="16"/>
  <c r="Y145" i="20"/>
  <c r="AB23" i="8"/>
  <c r="AA24" i="8"/>
  <c r="AT156" i="20"/>
  <c r="AX156" i="20" s="1"/>
  <c r="AI157" i="20"/>
  <c r="Y53" i="11"/>
  <c r="Z69" i="11"/>
  <c r="AR24" i="22"/>
  <c r="AV23" i="22"/>
  <c r="AS23" i="22"/>
  <c r="AW72" i="18"/>
  <c r="AV73" i="18"/>
  <c r="AL59" i="20"/>
  <c r="AO58" i="20"/>
  <c r="V35" i="8"/>
  <c r="U36" i="8"/>
  <c r="AZ165" i="22"/>
  <c r="O279" i="4"/>
  <c r="AN62" i="16"/>
  <c r="AM63" i="16"/>
  <c r="AN63" i="16" s="1"/>
  <c r="Q59" i="24"/>
  <c r="S58" i="24"/>
  <c r="AT142" i="16"/>
  <c r="AS143" i="16"/>
  <c r="AG12" i="18"/>
  <c r="AH11" i="18"/>
  <c r="AR45" i="14"/>
  <c r="AO46" i="14"/>
  <c r="AY45" i="14"/>
  <c r="BB45" i="14" s="1"/>
  <c r="BE45" i="14" s="1"/>
  <c r="G313" i="4"/>
  <c r="G328" i="4"/>
  <c r="X125" i="15"/>
  <c r="X109" i="15" s="1"/>
  <c r="Z132" i="19"/>
  <c r="AA132" i="19" s="1"/>
  <c r="AQ132" i="16"/>
  <c r="AP133" i="16"/>
  <c r="S167" i="26"/>
  <c r="R168" i="26"/>
  <c r="AB179" i="10"/>
  <c r="AA180" i="10"/>
  <c r="AA303" i="15"/>
  <c r="AC34" i="8"/>
  <c r="AD46" i="8" s="1"/>
  <c r="S22" i="5"/>
  <c r="S23" i="5" s="1"/>
  <c r="S47" i="4"/>
  <c r="AL156" i="14"/>
  <c r="AZ155" i="14"/>
  <c r="P390" i="4"/>
  <c r="P360" i="4"/>
  <c r="AK145" i="14"/>
  <c r="Z50" i="20"/>
  <c r="AG83" i="20"/>
  <c r="AF84" i="20"/>
  <c r="AT107" i="22"/>
  <c r="AQ108" i="22"/>
  <c r="AW70" i="20"/>
  <c r="W129" i="21"/>
  <c r="D347" i="3"/>
  <c r="D362" i="3"/>
  <c r="D379" i="3" s="1"/>
  <c r="AX81" i="20"/>
  <c r="AC178" i="8"/>
  <c r="AD178" i="8" s="1"/>
  <c r="BB143" i="18"/>
  <c r="AG144" i="18"/>
  <c r="Q334" i="17"/>
  <c r="Q301" i="17" s="1"/>
  <c r="Q285" i="17" s="1"/>
  <c r="BC320" i="15"/>
  <c r="Q288" i="15"/>
  <c r="BC288" i="15" s="1"/>
  <c r="AD118" i="5"/>
  <c r="AC118" i="5"/>
  <c r="BC177" i="14"/>
  <c r="D247" i="4"/>
  <c r="D262" i="4"/>
  <c r="D279" i="4" s="1"/>
  <c r="Y95" i="8"/>
  <c r="X96" i="8"/>
  <c r="W348" i="11"/>
  <c r="AX93" i="20"/>
  <c r="AX105" i="20"/>
  <c r="S168" i="8"/>
  <c r="R169" i="8"/>
  <c r="BB178" i="14"/>
  <c r="AI457" i="3"/>
  <c r="AB94" i="22"/>
  <c r="AA95" i="22"/>
  <c r="Q105" i="3"/>
  <c r="W104" i="26"/>
  <c r="X340" i="19"/>
  <c r="Y340" i="19" s="1"/>
  <c r="K8" i="6"/>
  <c r="Y134" i="19"/>
  <c r="AX60" i="16"/>
  <c r="AZ59" i="16"/>
  <c r="S133" i="15"/>
  <c r="S51" i="6"/>
  <c r="X109" i="10"/>
  <c r="Y108" i="10"/>
  <c r="AX119" i="20"/>
  <c r="W344" i="11"/>
  <c r="AX177" i="22"/>
  <c r="AW177" i="22"/>
  <c r="BA177" i="22" s="1"/>
  <c r="AV34" i="20"/>
  <c r="AO106" i="14"/>
  <c r="AR105" i="14"/>
  <c r="W39" i="4"/>
  <c r="X105" i="11"/>
  <c r="Y105" i="11" s="1"/>
  <c r="V153" i="24"/>
  <c r="W153" i="24" s="1"/>
  <c r="U154" i="24"/>
  <c r="U84" i="10"/>
  <c r="V83" i="10"/>
  <c r="Y342" i="11"/>
  <c r="Z342" i="11" s="1"/>
  <c r="AB95" i="8"/>
  <c r="AA96" i="8"/>
  <c r="T108" i="15"/>
  <c r="BK22" i="13"/>
  <c r="S21" i="13"/>
  <c r="F490" i="3"/>
  <c r="F459" i="3"/>
  <c r="X168" i="10"/>
  <c r="Y167" i="10"/>
  <c r="P390" i="19"/>
  <c r="P408" i="19"/>
  <c r="P375" i="19"/>
  <c r="AD135" i="19"/>
  <c r="AY130" i="20"/>
  <c r="AQ83" i="22"/>
  <c r="AT82" i="22"/>
  <c r="BA130" i="14"/>
  <c r="AM131" i="14"/>
  <c r="AG120" i="16"/>
  <c r="AH119" i="16"/>
  <c r="AB24" i="22"/>
  <c r="AA25" i="22"/>
  <c r="AX20" i="14"/>
  <c r="AW21" i="14"/>
  <c r="P376" i="3"/>
  <c r="P377" i="3"/>
  <c r="Y167" i="20"/>
  <c r="AS166" i="20"/>
  <c r="AA166" i="20"/>
  <c r="AO131" i="22"/>
  <c r="AP130" i="22"/>
  <c r="AV130" i="22"/>
  <c r="R21" i="13"/>
  <c r="BJ22" i="13"/>
  <c r="AA323" i="19"/>
  <c r="AF339" i="19"/>
  <c r="AR167" i="20"/>
  <c r="AP168" i="20"/>
  <c r="T13" i="23"/>
  <c r="AN131" i="18"/>
  <c r="AM132" i="18"/>
  <c r="AU118" i="22"/>
  <c r="AJ119" i="22"/>
  <c r="BB164" i="20"/>
  <c r="BR162" i="12" s="1"/>
  <c r="BH162" i="12" s="1"/>
  <c r="AZ164" i="20"/>
  <c r="Y143" i="8"/>
  <c r="X144" i="8"/>
  <c r="AL74" i="14"/>
  <c r="AI25" i="20"/>
  <c r="AT24" i="20"/>
  <c r="AR133" i="22"/>
  <c r="AS183" i="14"/>
  <c r="AV183" i="14" s="1"/>
  <c r="AV182" i="14"/>
  <c r="AX179" i="16"/>
  <c r="AZ178" i="16"/>
  <c r="AH83" i="18"/>
  <c r="BB83" i="18"/>
  <c r="AG84" i="18"/>
  <c r="AM83" i="18"/>
  <c r="AN82" i="18"/>
  <c r="AV33" i="20"/>
  <c r="AW33" i="20"/>
  <c r="E278" i="4"/>
  <c r="E277" i="4"/>
  <c r="R156" i="24"/>
  <c r="S155" i="24"/>
  <c r="U133" i="21"/>
  <c r="V133" i="19"/>
  <c r="U140" i="19"/>
  <c r="U140" i="21" s="1"/>
  <c r="AC22" i="8"/>
  <c r="AP85" i="20"/>
  <c r="AR84" i="20"/>
  <c r="BM141" i="11"/>
  <c r="AT141" i="11"/>
  <c r="Q91" i="4"/>
  <c r="AF144" i="20"/>
  <c r="AG143" i="20"/>
  <c r="D490" i="3"/>
  <c r="AS144" i="22"/>
  <c r="AR145" i="22"/>
  <c r="T414" i="13"/>
  <c r="T223" i="4"/>
  <c r="T224" i="4" s="1"/>
  <c r="AR82" i="16"/>
  <c r="AT81" i="16"/>
  <c r="BA81" i="16" s="1"/>
  <c r="I490" i="3"/>
  <c r="I459" i="3"/>
  <c r="AO22" i="14"/>
  <c r="AR21" i="14"/>
  <c r="AT144" i="22"/>
  <c r="AQ145" i="22"/>
  <c r="R157" i="8"/>
  <c r="S156" i="8"/>
  <c r="S60" i="26"/>
  <c r="R61" i="26"/>
  <c r="AG155" i="22"/>
  <c r="AH154" i="22"/>
  <c r="V45" i="26"/>
  <c r="U46" i="26"/>
  <c r="AD105" i="8"/>
  <c r="X45" i="4"/>
  <c r="D361" i="3"/>
  <c r="D378" i="3" s="1"/>
  <c r="AU23" i="22"/>
  <c r="AJ24" i="22"/>
  <c r="AL23" i="22"/>
  <c r="AD120" i="22"/>
  <c r="AE119" i="22"/>
  <c r="R95" i="24"/>
  <c r="S94" i="24"/>
  <c r="Q335" i="17"/>
  <c r="Q302" i="17" s="1"/>
  <c r="Q286" i="17" s="1"/>
  <c r="BC321" i="15"/>
  <c r="Q289" i="15"/>
  <c r="BC289" i="15" s="1"/>
  <c r="AA214" i="4"/>
  <c r="AB375" i="11"/>
  <c r="AQ71" i="16"/>
  <c r="AP72" i="16"/>
  <c r="AI239" i="13"/>
  <c r="AI14" i="13" s="1"/>
  <c r="Z377" i="11"/>
  <c r="AA377" i="11" s="1"/>
  <c r="X108" i="8"/>
  <c r="Y107" i="8"/>
  <c r="AJ36" i="16"/>
  <c r="AT94" i="20"/>
  <c r="AI95" i="20"/>
  <c r="AK94" i="20"/>
  <c r="AO180" i="14"/>
  <c r="AR179" i="14"/>
  <c r="AY179" i="14"/>
  <c r="AG180" i="16"/>
  <c r="AH179" i="16"/>
  <c r="R145" i="26"/>
  <c r="AA338" i="19"/>
  <c r="V22" i="8"/>
  <c r="U23" i="8"/>
  <c r="R249" i="11"/>
  <c r="R246" i="11"/>
  <c r="R253" i="11"/>
  <c r="R245" i="11"/>
  <c r="R252" i="11"/>
  <c r="R247" i="11"/>
  <c r="AJ135" i="18"/>
  <c r="AV46" i="22"/>
  <c r="AS46" i="22"/>
  <c r="AR47" i="22"/>
  <c r="AE49" i="22"/>
  <c r="AD50" i="22"/>
  <c r="AT108" i="20"/>
  <c r="AI109" i="20"/>
  <c r="G390" i="4"/>
  <c r="G360" i="4"/>
  <c r="Q36" i="10"/>
  <c r="S35" i="10"/>
  <c r="AC35" i="10" s="1"/>
  <c r="AP156" i="18"/>
  <c r="AQ155" i="18"/>
  <c r="AC108" i="20"/>
  <c r="AD107" i="20"/>
  <c r="S59" i="10"/>
  <c r="AC59" i="10" s="1"/>
  <c r="R60" i="10"/>
  <c r="S179" i="26"/>
  <c r="W179" i="26" s="1"/>
  <c r="R180" i="26"/>
  <c r="Z123" i="15"/>
  <c r="Z107" i="15" s="1"/>
  <c r="AK83" i="16"/>
  <c r="AJ84" i="16"/>
  <c r="AS144" i="18"/>
  <c r="W219" i="4"/>
  <c r="V155" i="8"/>
  <c r="U156" i="8"/>
  <c r="AZ74" i="18"/>
  <c r="AX75" i="18"/>
  <c r="AZ75" i="18" s="1"/>
  <c r="AW34" i="18"/>
  <c r="AV35" i="18"/>
  <c r="BB35" i="18" s="1"/>
  <c r="V20" i="5"/>
  <c r="Q233" i="13"/>
  <c r="BM235" i="11"/>
  <c r="AL122" i="14"/>
  <c r="AQ182" i="22"/>
  <c r="AI60" i="20"/>
  <c r="AT59" i="20"/>
  <c r="AX59" i="20" s="1"/>
  <c r="AK59" i="20"/>
  <c r="AX9" i="14"/>
  <c r="AW10" i="14"/>
  <c r="AY10" i="14" s="1"/>
  <c r="BB10" i="14" s="1"/>
  <c r="BE10" i="14" s="1"/>
  <c r="Q23" i="24"/>
  <c r="S22" i="24"/>
  <c r="AA108" i="8"/>
  <c r="AB107" i="8"/>
  <c r="X342" i="19"/>
  <c r="R53" i="13"/>
  <c r="T292" i="3"/>
  <c r="T228" i="3"/>
  <c r="AU83" i="22"/>
  <c r="AJ84" i="22"/>
  <c r="AM97" i="18"/>
  <c r="AN96" i="18"/>
  <c r="T15" i="7"/>
  <c r="U15" i="7" s="1"/>
  <c r="G361" i="3"/>
  <c r="G378" i="3" s="1"/>
  <c r="G346" i="3"/>
  <c r="H361" i="3"/>
  <c r="AH59" i="18"/>
  <c r="BB59" i="18"/>
  <c r="AG60" i="18"/>
  <c r="AA196" i="4"/>
  <c r="X23" i="10"/>
  <c r="Y22" i="10"/>
  <c r="AC22" i="10" s="1"/>
  <c r="R36" i="8"/>
  <c r="S35" i="8"/>
  <c r="K426" i="3"/>
  <c r="K411" i="3"/>
  <c r="Z158" i="20"/>
  <c r="Q82" i="24"/>
  <c r="S81" i="24"/>
  <c r="AJ144" i="16"/>
  <c r="AK143" i="16"/>
  <c r="E347" i="3"/>
  <c r="E362" i="3"/>
  <c r="AO60" i="18"/>
  <c r="AQ59" i="18"/>
  <c r="AQ167" i="18"/>
  <c r="AP168" i="18"/>
  <c r="AK71" i="14"/>
  <c r="AN70" i="14"/>
  <c r="AV60" i="18"/>
  <c r="AW59" i="18"/>
  <c r="AI167" i="16"/>
  <c r="AK166" i="16"/>
  <c r="AS59" i="22"/>
  <c r="AR60" i="22"/>
  <c r="AV59" i="22"/>
  <c r="Q154" i="26"/>
  <c r="S153" i="26"/>
  <c r="D377" i="3"/>
  <c r="D376" i="3"/>
  <c r="E377" i="3"/>
  <c r="E376" i="3"/>
  <c r="S13" i="23"/>
  <c r="Q134" i="13"/>
  <c r="BF102" i="11"/>
  <c r="Z176" i="24"/>
  <c r="X176" i="24"/>
  <c r="AN35" i="16"/>
  <c r="AM36" i="16"/>
  <c r="AB48" i="22"/>
  <c r="AA49" i="22"/>
  <c r="AO12" i="22"/>
  <c r="AP11" i="22"/>
  <c r="U108" i="10"/>
  <c r="V107" i="10"/>
  <c r="O490" i="3"/>
  <c r="AF458" i="3"/>
  <c r="O459" i="3"/>
  <c r="AG458" i="3"/>
  <c r="AM167" i="16"/>
  <c r="AN166" i="16"/>
  <c r="X24" i="8"/>
  <c r="Y23" i="8"/>
  <c r="AP118" i="14"/>
  <c r="AZ117" i="14"/>
  <c r="AX154" i="22"/>
  <c r="V81" i="24"/>
  <c r="U82" i="24"/>
  <c r="AQ72" i="18"/>
  <c r="AP73" i="18"/>
  <c r="AE107" i="22"/>
  <c r="AD108" i="22"/>
  <c r="AW69" i="22"/>
  <c r="AN47" i="18"/>
  <c r="AM48" i="18"/>
  <c r="Y156" i="8"/>
  <c r="X157" i="8"/>
  <c r="O263" i="4"/>
  <c r="O248" i="4"/>
  <c r="Z181" i="20"/>
  <c r="AA180" i="20"/>
  <c r="AK157" i="16"/>
  <c r="AJ158" i="16"/>
  <c r="AL143" i="14"/>
  <c r="AZ142" i="14"/>
  <c r="AN142" i="14"/>
  <c r="AW58" i="14"/>
  <c r="AX57" i="14"/>
  <c r="AO118" i="20"/>
  <c r="AL119" i="20"/>
  <c r="AS118" i="20"/>
  <c r="AB297" i="15"/>
  <c r="AC297" i="15" s="1"/>
  <c r="U95" i="8"/>
  <c r="V94" i="8"/>
  <c r="AS166" i="22"/>
  <c r="AV166" i="22"/>
  <c r="AR167" i="22"/>
  <c r="AM143" i="18"/>
  <c r="AN142" i="18"/>
  <c r="AB13" i="22"/>
  <c r="AA14" i="22"/>
  <c r="U130" i="26"/>
  <c r="V129" i="26"/>
  <c r="W129" i="26" s="1"/>
  <c r="BE80" i="14"/>
  <c r="BC80" i="14"/>
  <c r="AA157" i="15"/>
  <c r="AK182" i="14"/>
  <c r="AQ60" i="14"/>
  <c r="BA59" i="14"/>
  <c r="H390" i="4"/>
  <c r="H360" i="4"/>
  <c r="AB35" i="8"/>
  <c r="AA36" i="8"/>
  <c r="AX166" i="22"/>
  <c r="AW166" i="22"/>
  <c r="AA102" i="11"/>
  <c r="AB102" i="11" s="1"/>
  <c r="AZ176" i="20"/>
  <c r="BB176" i="20"/>
  <c r="AD129" i="8"/>
  <c r="AJ109" i="22"/>
  <c r="AU108" i="22"/>
  <c r="AA345" i="19"/>
  <c r="E247" i="4"/>
  <c r="E262" i="4"/>
  <c r="E279" i="4" s="1"/>
  <c r="R183" i="13"/>
  <c r="R135" i="13" s="1"/>
  <c r="R137" i="11"/>
  <c r="AE409" i="3"/>
  <c r="R60" i="13"/>
  <c r="AG47" i="16"/>
  <c r="AH46" i="16"/>
  <c r="U61" i="8"/>
  <c r="V60" i="8"/>
  <c r="AH70" i="18"/>
  <c r="BB70" i="18"/>
  <c r="AG71" i="18"/>
  <c r="AK34" i="18"/>
  <c r="AH23" i="16"/>
  <c r="AG24" i="16"/>
  <c r="AX115" i="12"/>
  <c r="AY114" i="12"/>
  <c r="AY126" i="12"/>
  <c r="U120" i="26"/>
  <c r="V119" i="26"/>
  <c r="W119" i="26" s="1"/>
  <c r="Y71" i="8"/>
  <c r="X72" i="8"/>
  <c r="AL23" i="14"/>
  <c r="AZ22" i="14"/>
  <c r="AW10" i="18"/>
  <c r="AV11" i="18"/>
  <c r="AH7" i="17"/>
  <c r="Q6" i="17"/>
  <c r="AH6" i="17" s="1"/>
  <c r="D491" i="3"/>
  <c r="D460" i="3"/>
  <c r="Q390" i="4"/>
  <c r="AJ50" i="18"/>
  <c r="AF144" i="16"/>
  <c r="AH143" i="16"/>
  <c r="U35" i="24"/>
  <c r="V34" i="24"/>
  <c r="W34" i="24" s="1"/>
  <c r="U120" i="8"/>
  <c r="V119" i="8"/>
  <c r="W128" i="26"/>
  <c r="W45" i="4"/>
  <c r="AK59" i="16"/>
  <c r="AJ60" i="16"/>
  <c r="AA108" i="10"/>
  <c r="AB107" i="10"/>
  <c r="U413" i="13"/>
  <c r="U286" i="3" s="1"/>
  <c r="U302" i="3" s="1"/>
  <c r="U222" i="4"/>
  <c r="V142" i="26"/>
  <c r="U143" i="26"/>
  <c r="Y111" i="11"/>
  <c r="AQ168" i="22"/>
  <c r="AT167" i="22"/>
  <c r="AZ84" i="14"/>
  <c r="AL85" i="14"/>
  <c r="AN22" i="18"/>
  <c r="AM23" i="18"/>
  <c r="AB341" i="11"/>
  <c r="W44" i="26"/>
  <c r="AZ155" i="16"/>
  <c r="AX156" i="16"/>
  <c r="AK239" i="13"/>
  <c r="AK14" i="13" s="1"/>
  <c r="AG109" i="18"/>
  <c r="AH108" i="18"/>
  <c r="AO34" i="14"/>
  <c r="AR33" i="14"/>
  <c r="Q104" i="3"/>
  <c r="BC322" i="15"/>
  <c r="Q336" i="17"/>
  <c r="Q303" i="17" s="1"/>
  <c r="Q287" i="17" s="1"/>
  <c r="Q290" i="15"/>
  <c r="BC290" i="15" s="1"/>
  <c r="W376" i="11"/>
  <c r="AX47" i="16"/>
  <c r="AZ46" i="16"/>
  <c r="AV119" i="22"/>
  <c r="AS119" i="22"/>
  <c r="AR120" i="22"/>
  <c r="X120" i="15"/>
  <c r="M312" i="4"/>
  <c r="M327" i="4"/>
  <c r="AL35" i="14"/>
  <c r="AZ34" i="14"/>
  <c r="S334" i="13"/>
  <c r="S335" i="13" s="1"/>
  <c r="X129" i="19"/>
  <c r="AZ11" i="16"/>
  <c r="AX12" i="16"/>
  <c r="R109" i="26"/>
  <c r="AJ169" i="16"/>
  <c r="R237" i="11"/>
  <c r="R236" i="11"/>
  <c r="R235" i="11"/>
  <c r="R233" i="11"/>
  <c r="R231" i="11"/>
  <c r="R239" i="11"/>
  <c r="R229" i="11"/>
  <c r="R234" i="11"/>
  <c r="R230" i="11"/>
  <c r="R238" i="11"/>
  <c r="R232" i="11"/>
  <c r="AH154" i="18"/>
  <c r="BB154" i="18"/>
  <c r="BC154" i="18" s="1"/>
  <c r="AG155" i="18"/>
  <c r="U234" i="3"/>
  <c r="AD11" i="20"/>
  <c r="AC12" i="20"/>
  <c r="V411" i="13"/>
  <c r="V284" i="3" s="1"/>
  <c r="V300" i="3" s="1"/>
  <c r="V220" i="4"/>
  <c r="V110" i="5" s="1"/>
  <c r="X12" i="10"/>
  <c r="Y11" i="10"/>
  <c r="AC11" i="10" s="1"/>
  <c r="U23" i="24"/>
  <c r="V22" i="24"/>
  <c r="V328" i="11"/>
  <c r="V183" i="4" s="1"/>
  <c r="V93" i="5" s="1"/>
  <c r="V199" i="4"/>
  <c r="V101" i="5" s="1"/>
  <c r="V247" i="3"/>
  <c r="AP48" i="18"/>
  <c r="AQ47" i="18"/>
  <c r="AR117" i="14"/>
  <c r="AO118" i="14"/>
  <c r="AY117" i="14"/>
  <c r="AG180" i="20"/>
  <c r="AF181" i="20"/>
  <c r="M361" i="3"/>
  <c r="M346" i="3"/>
  <c r="AF37" i="18"/>
  <c r="BA121" i="14"/>
  <c r="AM122" i="14"/>
  <c r="AY153" i="22"/>
  <c r="AY165" i="22"/>
  <c r="AD80" i="5"/>
  <c r="AC80" i="5"/>
  <c r="AP178" i="22"/>
  <c r="AO179" i="22"/>
  <c r="U276" i="3"/>
  <c r="Y35" i="4"/>
  <c r="AU168" i="22"/>
  <c r="AJ169" i="22"/>
  <c r="AA35" i="22"/>
  <c r="AB34" i="22"/>
  <c r="AA55" i="11"/>
  <c r="AX103" i="12"/>
  <c r="AY102" i="12"/>
  <c r="W344" i="19"/>
  <c r="W348" i="19" s="1"/>
  <c r="W332" i="19" s="1"/>
  <c r="Y131" i="8"/>
  <c r="X132" i="8"/>
  <c r="R6" i="7"/>
  <c r="S6" i="7" s="1"/>
  <c r="AG157" i="20"/>
  <c r="AF158" i="20"/>
  <c r="W54" i="11"/>
  <c r="Q377" i="3"/>
  <c r="Q376" i="3"/>
  <c r="AT37" i="22"/>
  <c r="AQ38" i="22"/>
  <c r="H19" i="2"/>
  <c r="L263" i="4"/>
  <c r="L280" i="4" s="1"/>
  <c r="L248" i="4"/>
  <c r="AV179" i="22"/>
  <c r="AS179" i="22"/>
  <c r="AR180" i="22"/>
  <c r="AS34" i="14"/>
  <c r="AY34" i="14" s="1"/>
  <c r="BB34" i="14" s="1"/>
  <c r="BE34" i="14" s="1"/>
  <c r="AV33" i="14"/>
  <c r="AL97" i="20"/>
  <c r="BB167" i="18"/>
  <c r="AG168" i="18"/>
  <c r="BB22" i="18"/>
  <c r="AG23" i="18"/>
  <c r="AH22" i="18"/>
  <c r="AL168" i="22"/>
  <c r="AK169" i="22"/>
  <c r="AJ96" i="16"/>
  <c r="BD69" i="18"/>
  <c r="V179" i="10"/>
  <c r="U180" i="10"/>
  <c r="AP166" i="14"/>
  <c r="AR165" i="14"/>
  <c r="V11" i="10"/>
  <c r="U12" i="10"/>
  <c r="V57" i="24"/>
  <c r="W57" i="24" s="1"/>
  <c r="U58" i="24"/>
  <c r="J248" i="4"/>
  <c r="AY149" i="12"/>
  <c r="AX150" i="12"/>
  <c r="BE151" i="14"/>
  <c r="R181" i="13"/>
  <c r="R133" i="13" s="1"/>
  <c r="R135" i="11"/>
  <c r="AO85" i="22"/>
  <c r="AP84" i="22"/>
  <c r="V94" i="26"/>
  <c r="W94" i="26" s="1"/>
  <c r="U95" i="26"/>
  <c r="AN154" i="16"/>
  <c r="AM155" i="16"/>
  <c r="J360" i="4"/>
  <c r="J390" i="4"/>
  <c r="AN71" i="18"/>
  <c r="AM72" i="18"/>
  <c r="AG133" i="18"/>
  <c r="AH132" i="18"/>
  <c r="AR118" i="18"/>
  <c r="AT117" i="18"/>
  <c r="BA117" i="18"/>
  <c r="BC117" i="18" s="1"/>
  <c r="Z55" i="11"/>
  <c r="AJ147" i="18"/>
  <c r="AG10" i="20"/>
  <c r="AF11" i="20"/>
  <c r="AW22" i="16"/>
  <c r="AV23" i="16"/>
  <c r="AD155" i="22"/>
  <c r="AE154" i="22"/>
  <c r="AQ84" i="18"/>
  <c r="AP85" i="18"/>
  <c r="AI131" i="20"/>
  <c r="AT130" i="20"/>
  <c r="AK130" i="20"/>
  <c r="AQ96" i="22"/>
  <c r="AT95" i="22"/>
  <c r="AS95" i="22"/>
  <c r="BA165" i="22"/>
  <c r="R63" i="24"/>
  <c r="S106" i="17"/>
  <c r="S114" i="17" s="1"/>
  <c r="S130" i="17"/>
  <c r="AV11" i="16"/>
  <c r="AW10" i="16"/>
  <c r="BA10" i="16" s="1"/>
  <c r="AK48" i="14"/>
  <c r="D360" i="4"/>
  <c r="D390" i="4"/>
  <c r="S241" i="11"/>
  <c r="S15" i="11"/>
  <c r="S257" i="11" s="1"/>
  <c r="AM26" i="14"/>
  <c r="R185" i="13"/>
  <c r="R137" i="13" s="1"/>
  <c r="R139" i="11"/>
  <c r="AD120" i="5"/>
  <c r="AC120" i="5"/>
  <c r="AS166" i="14"/>
  <c r="AV165" i="14"/>
  <c r="AH106" i="16"/>
  <c r="AG107" i="16"/>
  <c r="U43" i="4"/>
  <c r="U21" i="5" s="1"/>
  <c r="U61" i="11"/>
  <c r="V109" i="11"/>
  <c r="AK73" i="22"/>
  <c r="M279" i="4"/>
  <c r="AD122" i="15"/>
  <c r="AD106" i="15" s="1"/>
  <c r="AE154" i="15"/>
  <c r="AN48" i="16"/>
  <c r="AM49" i="16"/>
  <c r="AX129" i="20"/>
  <c r="AX141" i="20"/>
  <c r="AW94" i="22"/>
  <c r="AO156" i="22"/>
  <c r="AP155" i="22"/>
  <c r="Q331" i="17"/>
  <c r="Q298" i="17" s="1"/>
  <c r="Q282" i="17" s="1"/>
  <c r="Q285" i="15"/>
  <c r="BC285" i="15" s="1"/>
  <c r="BC317" i="15"/>
  <c r="BB164" i="16"/>
  <c r="N360" i="4"/>
  <c r="N390" i="4"/>
  <c r="Z84" i="20"/>
  <c r="AU83" i="20"/>
  <c r="AA83" i="20"/>
  <c r="AH59" i="16"/>
  <c r="AG60" i="16"/>
  <c r="AP71" i="14"/>
  <c r="AZ70" i="14"/>
  <c r="U193" i="11"/>
  <c r="U14" i="1"/>
  <c r="U11" i="1" s="1"/>
  <c r="U8" i="11"/>
  <c r="AI130" i="16"/>
  <c r="AK129" i="16"/>
  <c r="AK49" i="22"/>
  <c r="AX144" i="18"/>
  <c r="AZ143" i="18"/>
  <c r="BE128" i="14"/>
  <c r="R180" i="13"/>
  <c r="R132" i="13" s="1"/>
  <c r="R134" i="11"/>
  <c r="AX182" i="11"/>
  <c r="R56" i="13"/>
  <c r="BE102" i="11"/>
  <c r="R188" i="13"/>
  <c r="R140" i="13" s="1"/>
  <c r="R142" i="11"/>
  <c r="AQ157" i="16"/>
  <c r="AP158" i="16"/>
  <c r="AP38" i="20"/>
  <c r="AR37" i="20"/>
  <c r="R111" i="13"/>
  <c r="R6" i="13" s="1"/>
  <c r="BJ6" i="13" s="1"/>
  <c r="R36" i="3"/>
  <c r="AP47" i="20"/>
  <c r="AR46" i="20"/>
  <c r="AK60" i="14"/>
  <c r="AV143" i="22"/>
  <c r="AT123" i="20"/>
  <c r="AK123" i="20"/>
  <c r="I262" i="4"/>
  <c r="I279" i="4" s="1"/>
  <c r="I247" i="4"/>
  <c r="J263" i="4" s="1"/>
  <c r="Z138" i="21"/>
  <c r="S143" i="8"/>
  <c r="R144" i="8"/>
  <c r="AG96" i="16"/>
  <c r="AH95" i="16"/>
  <c r="AU10" i="20"/>
  <c r="AQ83" i="16"/>
  <c r="AP84" i="16"/>
  <c r="AL107" i="14"/>
  <c r="AZ106" i="14"/>
  <c r="X83" i="8"/>
  <c r="Y82" i="8"/>
  <c r="AH165" i="8"/>
  <c r="BO163" i="12" s="1"/>
  <c r="AD165" i="8"/>
  <c r="AE135" i="19"/>
  <c r="AJ72" i="20"/>
  <c r="AF59" i="20"/>
  <c r="AG58" i="20"/>
  <c r="R12" i="24"/>
  <c r="S11" i="24"/>
  <c r="AE35" i="20"/>
  <c r="AS35" i="20" s="1"/>
  <c r="AG34" i="20"/>
  <c r="AJ48" i="22"/>
  <c r="AL48" i="22" s="1"/>
  <c r="AU47" i="22"/>
  <c r="AK167" i="14"/>
  <c r="AN166" i="14"/>
  <c r="BA141" i="18"/>
  <c r="BC141" i="18" s="1"/>
  <c r="BD141" i="18" s="1"/>
  <c r="AT38" i="16"/>
  <c r="AS39" i="16"/>
  <c r="AT39" i="16" s="1"/>
  <c r="AV131" i="16"/>
  <c r="AW130" i="16"/>
  <c r="V49" i="8"/>
  <c r="U50" i="8"/>
  <c r="AI84" i="20"/>
  <c r="AT83" i="20"/>
  <c r="Q230" i="13"/>
  <c r="Q200" i="11"/>
  <c r="BM232" i="11"/>
  <c r="AU94" i="20"/>
  <c r="AY94" i="20" s="1"/>
  <c r="AQ179" i="18"/>
  <c r="AP180" i="18"/>
  <c r="Q323" i="15"/>
  <c r="AN130" i="14"/>
  <c r="AY130" i="14"/>
  <c r="AK131" i="14"/>
  <c r="BM139" i="11"/>
  <c r="AT139" i="11"/>
  <c r="Q89" i="4"/>
  <c r="AS118" i="22"/>
  <c r="S121" i="10"/>
  <c r="R122" i="10"/>
  <c r="W60" i="11"/>
  <c r="AS84" i="16"/>
  <c r="W324" i="19"/>
  <c r="V102" i="5"/>
  <c r="AD146" i="22"/>
  <c r="AE145" i="22"/>
  <c r="AI82" i="18"/>
  <c r="AK81" i="18"/>
  <c r="BA81" i="18"/>
  <c r="BC81" i="18" s="1"/>
  <c r="BD81" i="18" s="1"/>
  <c r="W21" i="24"/>
  <c r="O277" i="4"/>
  <c r="O278" i="4"/>
  <c r="AN119" i="16"/>
  <c r="AM120" i="16"/>
  <c r="V412" i="13"/>
  <c r="V285" i="3" s="1"/>
  <c r="V301" i="3" s="1"/>
  <c r="AX15" i="18"/>
  <c r="AZ15" i="18" s="1"/>
  <c r="AZ14" i="18"/>
  <c r="BT9" i="7"/>
  <c r="Q16" i="6"/>
  <c r="Q10" i="7"/>
  <c r="R10" i="7" s="1"/>
  <c r="E412" i="3"/>
  <c r="E427" i="3"/>
  <c r="AF121" i="18"/>
  <c r="AJ108" i="16"/>
  <c r="AK107" i="16"/>
  <c r="U7" i="15"/>
  <c r="V7" i="15" s="1"/>
  <c r="U168" i="10"/>
  <c r="V167" i="10"/>
  <c r="H377" i="3"/>
  <c r="H376" i="3"/>
  <c r="I377" i="3"/>
  <c r="I376" i="3"/>
  <c r="AJ169" i="18"/>
  <c r="V22" i="26"/>
  <c r="U23" i="26"/>
  <c r="U145" i="10"/>
  <c r="X300" i="15"/>
  <c r="R48" i="10"/>
  <c r="S47" i="10"/>
  <c r="AK72" i="16"/>
  <c r="AJ73" i="16"/>
  <c r="AM121" i="18"/>
  <c r="AN120" i="18"/>
  <c r="BD342" i="11"/>
  <c r="C390" i="4"/>
  <c r="C360" i="4"/>
  <c r="Y26" i="20"/>
  <c r="AH155" i="16"/>
  <c r="AG156" i="16"/>
  <c r="S12" i="10"/>
  <c r="R13" i="10"/>
  <c r="L327" i="4"/>
  <c r="L312" i="4"/>
  <c r="AD121" i="5"/>
  <c r="AC121" i="5"/>
  <c r="H412" i="3"/>
  <c r="H427" i="3"/>
  <c r="AM156" i="14"/>
  <c r="BA155" i="14"/>
  <c r="AL11" i="14"/>
  <c r="AZ10" i="14"/>
  <c r="AN10" i="14"/>
  <c r="U10" i="26"/>
  <c r="V9" i="26"/>
  <c r="AH166" i="8"/>
  <c r="BO164" i="12" s="1"/>
  <c r="AD166" i="8"/>
  <c r="AW48" i="14"/>
  <c r="AX47" i="14"/>
  <c r="AI94" i="18"/>
  <c r="BA93" i="18"/>
  <c r="BC93" i="18" s="1"/>
  <c r="AK93" i="18"/>
  <c r="V60" i="10"/>
  <c r="U61" i="10"/>
  <c r="AZ178" i="18"/>
  <c r="AX179" i="18"/>
  <c r="L360" i="4"/>
  <c r="L390" i="4"/>
  <c r="BB34" i="18"/>
  <c r="BF20" i="15"/>
  <c r="BE20" i="15"/>
  <c r="AQ71" i="14"/>
  <c r="BA70" i="14"/>
  <c r="J279" i="4"/>
  <c r="AP167" i="16"/>
  <c r="AQ166" i="16"/>
  <c r="AQ48" i="22"/>
  <c r="AT47" i="22"/>
  <c r="AK85" i="22"/>
  <c r="AL84" i="22"/>
  <c r="AZ36" i="18"/>
  <c r="AX37" i="18"/>
  <c r="R61" i="13"/>
  <c r="AS130" i="20"/>
  <c r="Y131" i="20"/>
  <c r="R179" i="13"/>
  <c r="R133" i="11"/>
  <c r="Y74" i="11"/>
  <c r="AR58" i="18"/>
  <c r="AT57" i="18"/>
  <c r="R133" i="15"/>
  <c r="R51" i="6"/>
  <c r="M263" i="4"/>
  <c r="M280" i="4" s="1"/>
  <c r="M248" i="4"/>
  <c r="AB47" i="10"/>
  <c r="AC47" i="10" s="1"/>
  <c r="AA48" i="10"/>
  <c r="V181" i="4"/>
  <c r="R26" i="10"/>
  <c r="S25" i="10"/>
  <c r="O376" i="3"/>
  <c r="O377" i="3"/>
  <c r="U95" i="10"/>
  <c r="V94" i="10"/>
  <c r="AC94" i="10" s="1"/>
  <c r="AH34" i="22"/>
  <c r="AG35" i="22"/>
  <c r="Y342" i="19"/>
  <c r="K279" i="4"/>
  <c r="AH58" i="22"/>
  <c r="AG59" i="22"/>
  <c r="Q23" i="26"/>
  <c r="S22" i="26"/>
  <c r="T322" i="17"/>
  <c r="T19" i="17" s="1"/>
  <c r="T92" i="5"/>
  <c r="AM35" i="18"/>
  <c r="AN34" i="18"/>
  <c r="AC46" i="10"/>
  <c r="K348" i="3"/>
  <c r="AI46" i="18"/>
  <c r="AK45" i="18"/>
  <c r="BD128" i="18"/>
  <c r="AF25" i="20"/>
  <c r="AG24" i="20"/>
  <c r="AM96" i="14"/>
  <c r="BA95" i="14"/>
  <c r="R78" i="3"/>
  <c r="U57" i="11"/>
  <c r="V73" i="11"/>
  <c r="V80" i="11" s="1"/>
  <c r="AR94" i="14"/>
  <c r="AO95" i="14"/>
  <c r="AL182" i="14"/>
  <c r="AZ181" i="14"/>
  <c r="AG37" i="16"/>
  <c r="AH36" i="16"/>
  <c r="AJ36" i="18"/>
  <c r="AK35" i="18"/>
  <c r="AV171" i="18"/>
  <c r="AW171" i="18" s="1"/>
  <c r="AW170" i="18"/>
  <c r="AQ132" i="18"/>
  <c r="AP133" i="18"/>
  <c r="AJ109" i="20"/>
  <c r="AK108" i="20"/>
  <c r="W118" i="26"/>
  <c r="AK11" i="18"/>
  <c r="AJ12" i="18"/>
  <c r="R184" i="13"/>
  <c r="R136" i="13" s="1"/>
  <c r="R138" i="11"/>
  <c r="R55" i="13"/>
  <c r="R156" i="26"/>
  <c r="Y138" i="21"/>
  <c r="AA138" i="19"/>
  <c r="AB138" i="19"/>
  <c r="AU142" i="22"/>
  <c r="AW142" i="22" s="1"/>
  <c r="AJ143" i="22"/>
  <c r="AU70" i="22"/>
  <c r="AJ71" i="22"/>
  <c r="AL70" i="22"/>
  <c r="E313" i="4"/>
  <c r="E328" i="4"/>
  <c r="Q108" i="3"/>
  <c r="Y96" i="10"/>
  <c r="X97" i="10"/>
  <c r="AZ94" i="14"/>
  <c r="AL95" i="14"/>
  <c r="AW130" i="14"/>
  <c r="AX129" i="14"/>
  <c r="AZ94" i="16"/>
  <c r="AX95" i="16"/>
  <c r="AB59" i="8"/>
  <c r="AC59" i="8" s="1"/>
  <c r="AD59" i="8" s="1"/>
  <c r="AA60" i="8"/>
  <c r="AV10" i="20"/>
  <c r="I278" i="4"/>
  <c r="I277" i="4"/>
  <c r="F376" i="3"/>
  <c r="F377" i="3"/>
  <c r="AH167" i="22"/>
  <c r="AG168" i="22"/>
  <c r="AV96" i="16"/>
  <c r="AW95" i="16"/>
  <c r="AU11" i="20"/>
  <c r="AA11" i="20"/>
  <c r="Z12" i="20"/>
  <c r="X373" i="11"/>
  <c r="AL133" i="20"/>
  <c r="AO132" i="20"/>
  <c r="AM23" i="16"/>
  <c r="AN22" i="16"/>
  <c r="AG179" i="22"/>
  <c r="AH178" i="22"/>
  <c r="AA302" i="15"/>
  <c r="AY57" i="14"/>
  <c r="BB57" i="14" s="1"/>
  <c r="AW34" i="14"/>
  <c r="AX33" i="14"/>
  <c r="AR46" i="16"/>
  <c r="AT45" i="16"/>
  <c r="BA45" i="16" s="1"/>
  <c r="AA85" i="10"/>
  <c r="AB84" i="10"/>
  <c r="AT11" i="16"/>
  <c r="AS12" i="16"/>
  <c r="BI3" i="13"/>
  <c r="AW142" i="14"/>
  <c r="AX141" i="14"/>
  <c r="AF143" i="18"/>
  <c r="V409" i="13"/>
  <c r="V282" i="3" s="1"/>
  <c r="V298" i="3" s="1"/>
  <c r="BA129" i="16"/>
  <c r="Q240" i="11"/>
  <c r="AG95" i="20"/>
  <c r="AF96" i="20"/>
  <c r="AU95" i="20"/>
  <c r="AY95" i="20" s="1"/>
  <c r="Q329" i="17"/>
  <c r="BC315" i="15"/>
  <c r="Q283" i="15"/>
  <c r="AG120" i="20"/>
  <c r="AF121" i="20"/>
  <c r="AA132" i="8"/>
  <c r="AB131" i="8"/>
  <c r="AC131" i="8" s="1"/>
  <c r="AZ128" i="20"/>
  <c r="AA296" i="15"/>
  <c r="AV118" i="22"/>
  <c r="P459" i="3"/>
  <c r="P490" i="3"/>
  <c r="X177" i="26"/>
  <c r="Y47" i="10"/>
  <c r="X48" i="10"/>
  <c r="P411" i="3"/>
  <c r="P426" i="3"/>
  <c r="AS58" i="20"/>
  <c r="Y59" i="20"/>
  <c r="BA34" i="14"/>
  <c r="AM35" i="14"/>
  <c r="Z370" i="19"/>
  <c r="Z376" i="19" s="1"/>
  <c r="AA29" i="19"/>
  <c r="Q84" i="15"/>
  <c r="Q3" i="15"/>
  <c r="BC4" i="15"/>
  <c r="R4" i="15"/>
  <c r="AM179" i="14"/>
  <c r="BA178" i="14"/>
  <c r="AN178" i="14"/>
  <c r="V348" i="19"/>
  <c r="V332" i="19" s="1"/>
  <c r="AR22" i="16"/>
  <c r="AT21" i="16"/>
  <c r="BA21" i="16" s="1"/>
  <c r="AM49" i="20"/>
  <c r="AO48" i="20"/>
  <c r="X37" i="8"/>
  <c r="U411" i="13"/>
  <c r="U284" i="3" s="1"/>
  <c r="U300" i="3" s="1"/>
  <c r="U220" i="4"/>
  <c r="N262" i="4"/>
  <c r="N279" i="4" s="1"/>
  <c r="N247" i="4"/>
  <c r="M411" i="3"/>
  <c r="M426" i="3"/>
  <c r="U352" i="11"/>
  <c r="AJ12" i="16"/>
  <c r="AK11" i="16"/>
  <c r="U365" i="13"/>
  <c r="U349" i="13" s="1"/>
  <c r="U335" i="11"/>
  <c r="U190" i="4" s="1"/>
  <c r="U206" i="4"/>
  <c r="H348" i="3"/>
  <c r="AU154" i="22"/>
  <c r="AW154" i="22" s="1"/>
  <c r="BA154" i="22" s="1"/>
  <c r="AJ155" i="22"/>
  <c r="G277" i="4"/>
  <c r="G278" i="4"/>
  <c r="AO168" i="22"/>
  <c r="AP167" i="22"/>
  <c r="CF14" i="13"/>
  <c r="X250" i="3"/>
  <c r="X202" i="4"/>
  <c r="AD179" i="20"/>
  <c r="AC180" i="20"/>
  <c r="AU180" i="20" s="1"/>
  <c r="AX120" i="18"/>
  <c r="AZ119" i="18"/>
  <c r="R52" i="13"/>
  <c r="X334" i="11"/>
  <c r="X189" i="4" s="1"/>
  <c r="X205" i="4"/>
  <c r="Z36" i="4"/>
  <c r="V124" i="15"/>
  <c r="V108" i="15" s="1"/>
  <c r="I412" i="3"/>
  <c r="I427" i="3"/>
  <c r="AS181" i="18"/>
  <c r="AT180" i="18"/>
  <c r="AR118" i="16"/>
  <c r="AT117" i="16"/>
  <c r="BA117" i="16" s="1"/>
  <c r="Y331" i="19"/>
  <c r="AJ131" i="22"/>
  <c r="AU130" i="22"/>
  <c r="AL130" i="22"/>
  <c r="S20" i="15"/>
  <c r="S7" i="11"/>
  <c r="Y125" i="15"/>
  <c r="Y109" i="15" s="1"/>
  <c r="S96" i="5"/>
  <c r="AK145" i="20"/>
  <c r="AJ146" i="20"/>
  <c r="AA144" i="8"/>
  <c r="AB143" i="8"/>
  <c r="BA10" i="14"/>
  <c r="AM11" i="14"/>
  <c r="Z347" i="19"/>
  <c r="AN123" i="22"/>
  <c r="AP123" i="22" s="1"/>
  <c r="AP122" i="22"/>
  <c r="R83" i="10"/>
  <c r="S82" i="10"/>
  <c r="AC82" i="10" s="1"/>
  <c r="AS11" i="18"/>
  <c r="AT10" i="18"/>
  <c r="G377" i="3"/>
  <c r="G376" i="3"/>
  <c r="AD34" i="20"/>
  <c r="AC35" i="20"/>
  <c r="AU35" i="20" s="1"/>
  <c r="S179" i="10"/>
  <c r="R180" i="10"/>
  <c r="AV47" i="16"/>
  <c r="AW46" i="16"/>
  <c r="AZ24" i="18"/>
  <c r="AX25" i="18"/>
  <c r="AI34" i="16"/>
  <c r="AK33" i="16"/>
  <c r="BA33" i="16" s="1"/>
  <c r="F247" i="4"/>
  <c r="F262" i="4"/>
  <c r="T122" i="17"/>
  <c r="T162" i="17"/>
  <c r="T9" i="17" s="1"/>
  <c r="T7" i="17" s="1"/>
  <c r="T6" i="17" s="1"/>
  <c r="R49" i="8"/>
  <c r="S48" i="8"/>
  <c r="H312" i="4"/>
  <c r="H327" i="4"/>
  <c r="AY90" i="12"/>
  <c r="AX91" i="12"/>
  <c r="AX165" i="14"/>
  <c r="AW166" i="14"/>
  <c r="AQ108" i="18"/>
  <c r="AP109" i="18"/>
  <c r="L411" i="3"/>
  <c r="L426" i="3"/>
  <c r="AL167" i="14"/>
  <c r="AZ166" i="14"/>
  <c r="Z108" i="20"/>
  <c r="AU107" i="20"/>
  <c r="AY107" i="20" s="1"/>
  <c r="AR157" i="20"/>
  <c r="AP158" i="20"/>
  <c r="U127" i="15"/>
  <c r="U111" i="15" s="1"/>
  <c r="BE68" i="14"/>
  <c r="BC68" i="14"/>
  <c r="AA143" i="20"/>
  <c r="AU143" i="20"/>
  <c r="Z144" i="20"/>
  <c r="R20" i="6"/>
  <c r="R27" i="11"/>
  <c r="AM156" i="18"/>
  <c r="AN155" i="18"/>
  <c r="AV106" i="14"/>
  <c r="AS107" i="14"/>
  <c r="AO107" i="22"/>
  <c r="AP106" i="22"/>
  <c r="AA155" i="15"/>
  <c r="S98" i="8"/>
  <c r="R99" i="8"/>
  <c r="S99" i="8" s="1"/>
  <c r="AA35" i="20"/>
  <c r="Z36" i="20"/>
  <c r="AH71" i="22"/>
  <c r="AG72" i="22"/>
  <c r="BB131" i="18"/>
  <c r="AT71" i="16"/>
  <c r="AS72" i="16"/>
  <c r="AS70" i="22"/>
  <c r="AV70" i="22"/>
  <c r="AR71" i="22"/>
  <c r="AV141" i="20"/>
  <c r="AW141" i="20"/>
  <c r="AW153" i="20"/>
  <c r="AR82" i="18"/>
  <c r="AT81" i="18"/>
  <c r="AK35" i="14"/>
  <c r="AN34" i="14"/>
  <c r="AA221" i="4"/>
  <c r="AR58" i="14"/>
  <c r="AO59" i="14"/>
  <c r="AJ49" i="16"/>
  <c r="AI71" i="20"/>
  <c r="AK71" i="20" s="1"/>
  <c r="AT70" i="20"/>
  <c r="AX70" i="20" s="1"/>
  <c r="AZ46" i="18"/>
  <c r="AX47" i="18"/>
  <c r="AQ143" i="18"/>
  <c r="AP144" i="18"/>
  <c r="AQ156" i="22"/>
  <c r="AT155" i="22"/>
  <c r="Y178" i="10"/>
  <c r="X179" i="10"/>
  <c r="AC154" i="8"/>
  <c r="AD154" i="8" s="1"/>
  <c r="V408" i="13"/>
  <c r="V281" i="3" s="1"/>
  <c r="V297" i="3" s="1"/>
  <c r="V217" i="4"/>
  <c r="AN11" i="18"/>
  <c r="AM12" i="18"/>
  <c r="V182" i="26"/>
  <c r="U183" i="26"/>
  <c r="V183" i="26" s="1"/>
  <c r="Z137" i="21"/>
  <c r="AB137" i="19"/>
  <c r="AC137" i="19" s="1"/>
  <c r="AK144" i="22"/>
  <c r="AV107" i="18"/>
  <c r="AW106" i="18"/>
  <c r="W44" i="4"/>
  <c r="AG410" i="3"/>
  <c r="AF410" i="3"/>
  <c r="O411" i="3"/>
  <c r="O426" i="3"/>
  <c r="AX138" i="12"/>
  <c r="AY137" i="12"/>
  <c r="Y216" i="4"/>
  <c r="AW129" i="22"/>
  <c r="Y61" i="10"/>
  <c r="X62" i="10"/>
  <c r="Q130" i="26"/>
  <c r="S129" i="26"/>
  <c r="AR153" i="14"/>
  <c r="AO154" i="14"/>
  <c r="AW154" i="14"/>
  <c r="AX153" i="14"/>
  <c r="S131" i="8"/>
  <c r="R132" i="8"/>
  <c r="AA96" i="10"/>
  <c r="AB95" i="10"/>
  <c r="P327" i="4"/>
  <c r="P312" i="4"/>
  <c r="AI46" i="16"/>
  <c r="AK45" i="16"/>
  <c r="AS11" i="20"/>
  <c r="Y12" i="20"/>
  <c r="AF133" i="18"/>
  <c r="AJ23" i="16"/>
  <c r="AK22" i="16"/>
  <c r="X130" i="15"/>
  <c r="X114" i="15" s="1"/>
  <c r="Y162" i="15"/>
  <c r="Z162" i="15" s="1"/>
  <c r="F361" i="3"/>
  <c r="F378" i="3" s="1"/>
  <c r="F346" i="3"/>
  <c r="AJ12" i="20"/>
  <c r="AK11" i="20"/>
  <c r="U168" i="8"/>
  <c r="V167" i="8"/>
  <c r="AH94" i="22"/>
  <c r="AG95" i="22"/>
  <c r="V407" i="13"/>
  <c r="V280" i="3" s="1"/>
  <c r="V296" i="3" s="1"/>
  <c r="AC97" i="20"/>
  <c r="X379" i="11"/>
  <c r="AG46" i="20"/>
  <c r="AF47" i="20"/>
  <c r="U180" i="4"/>
  <c r="BA326" i="11"/>
  <c r="BE10" i="15"/>
  <c r="AI10" i="17"/>
  <c r="BA11" i="18"/>
  <c r="AF12" i="18"/>
  <c r="AJ84" i="20"/>
  <c r="AK83" i="20"/>
  <c r="AW181" i="14"/>
  <c r="AX180" i="14"/>
  <c r="S108" i="8"/>
  <c r="R109" i="8"/>
  <c r="AI167" i="18"/>
  <c r="AK166" i="18"/>
  <c r="AW179" i="16"/>
  <c r="AV180" i="16"/>
  <c r="CH14" i="13"/>
  <c r="S119" i="24"/>
  <c r="R120" i="24"/>
  <c r="AC48" i="8"/>
  <c r="Y167" i="8"/>
  <c r="X168" i="8"/>
  <c r="AO13" i="20"/>
  <c r="AL14" i="20"/>
  <c r="R38" i="10"/>
  <c r="Q232" i="13"/>
  <c r="BM234" i="11"/>
  <c r="CE14" i="13"/>
  <c r="AR132" i="20"/>
  <c r="AP133" i="20"/>
  <c r="AZ177" i="22"/>
  <c r="Q330" i="17"/>
  <c r="Q297" i="17" s="1"/>
  <c r="Q281" i="17" s="1"/>
  <c r="Q284" i="15"/>
  <c r="BC284" i="15" s="1"/>
  <c r="BC316" i="15"/>
  <c r="Y306" i="15"/>
  <c r="AC130" i="8"/>
  <c r="AD142" i="8" s="1"/>
  <c r="AY129" i="14"/>
  <c r="BB129" i="14" s="1"/>
  <c r="AJ12" i="22"/>
  <c r="AU11" i="22"/>
  <c r="AL11" i="22"/>
  <c r="U330" i="13"/>
  <c r="AI12" i="20"/>
  <c r="AT11" i="20"/>
  <c r="AX23" i="20" s="1"/>
  <c r="BD104" i="18"/>
  <c r="V352" i="11"/>
  <c r="AO156" i="20"/>
  <c r="AL157" i="20"/>
  <c r="AW57" i="20"/>
  <c r="AV57" i="20"/>
  <c r="N14" i="2"/>
  <c r="N15" i="2" s="1"/>
  <c r="Z77" i="11"/>
  <c r="AO108" i="20"/>
  <c r="AL109" i="20"/>
  <c r="AX108" i="14"/>
  <c r="AW109" i="14"/>
  <c r="U329" i="13"/>
  <c r="Q72" i="26"/>
  <c r="S71" i="26"/>
  <c r="AY173" i="12"/>
  <c r="AX174" i="12"/>
  <c r="BE175" i="14"/>
  <c r="AR35" i="22"/>
  <c r="AV34" i="22"/>
  <c r="AW34" i="22" s="1"/>
  <c r="AS34" i="22"/>
  <c r="N277" i="4"/>
  <c r="N278" i="4"/>
  <c r="S84" i="26"/>
  <c r="R85" i="26"/>
  <c r="T336" i="11"/>
  <c r="T191" i="4" s="1"/>
  <c r="T95" i="5" s="1"/>
  <c r="R74" i="3"/>
  <c r="AF179" i="18"/>
  <c r="G490" i="3"/>
  <c r="G459" i="3"/>
  <c r="V11" i="8"/>
  <c r="U12" i="8"/>
  <c r="X201" i="4"/>
  <c r="X249" i="3"/>
  <c r="Y346" i="11"/>
  <c r="Z346" i="11" s="1"/>
  <c r="AG121" i="18"/>
  <c r="AH120" i="18"/>
  <c r="AM74" i="14"/>
  <c r="AM85" i="14"/>
  <c r="AA37" i="4"/>
  <c r="K376" i="3"/>
  <c r="K377" i="3"/>
  <c r="Z321" i="19"/>
  <c r="AA337" i="19"/>
  <c r="AR142" i="18"/>
  <c r="AT141" i="18"/>
  <c r="AV178" i="22"/>
  <c r="AZ178" i="22" s="1"/>
  <c r="AQ97" i="18"/>
  <c r="AP98" i="18"/>
  <c r="R74" i="24"/>
  <c r="S73" i="24"/>
  <c r="AM23" i="22"/>
  <c r="AT22" i="22"/>
  <c r="AW22" i="22" s="1"/>
  <c r="AP22" i="22"/>
  <c r="AF71" i="18"/>
  <c r="BA70" i="18"/>
  <c r="BC70" i="18" s="1"/>
  <c r="AJ134" i="16"/>
  <c r="AH179" i="18"/>
  <c r="AG180" i="18"/>
  <c r="BB179" i="18"/>
  <c r="AC94" i="8"/>
  <c r="AD106" i="8" s="1"/>
  <c r="AK83" i="14"/>
  <c r="AN82" i="14"/>
  <c r="Q155" i="10"/>
  <c r="S154" i="10"/>
  <c r="AO35" i="22"/>
  <c r="AP34" i="22"/>
  <c r="S83" i="8"/>
  <c r="R84" i="8"/>
  <c r="S106" i="24"/>
  <c r="R107" i="24"/>
  <c r="AE22" i="22"/>
  <c r="AD23" i="22"/>
  <c r="I312" i="4"/>
  <c r="I327" i="4"/>
  <c r="Y144" i="10"/>
  <c r="X145" i="10"/>
  <c r="V10" i="24"/>
  <c r="W10" i="24" s="1"/>
  <c r="U11" i="24"/>
  <c r="CD14" i="13"/>
  <c r="V70" i="8"/>
  <c r="AC70" i="8" s="1"/>
  <c r="AD70" i="8" s="1"/>
  <c r="U71" i="8"/>
  <c r="Y304" i="15"/>
  <c r="AB118" i="8"/>
  <c r="AA119" i="8"/>
  <c r="V130" i="21"/>
  <c r="W130" i="19"/>
  <c r="X130" i="19"/>
  <c r="AS131" i="16"/>
  <c r="AT130" i="16"/>
  <c r="AJ168" i="20"/>
  <c r="AA180" i="22"/>
  <c r="AB179" i="22"/>
  <c r="T122" i="10"/>
  <c r="V121" i="10"/>
  <c r="AL170" i="20"/>
  <c r="AO169" i="20"/>
  <c r="AS106" i="20"/>
  <c r="Y107" i="20"/>
  <c r="AA107" i="20" s="1"/>
  <c r="Q46" i="24"/>
  <c r="S45" i="24"/>
  <c r="W45" i="24" s="1"/>
  <c r="R69" i="3"/>
  <c r="AC330" i="19"/>
  <c r="AR46" i="18"/>
  <c r="AT45" i="18"/>
  <c r="Y97" i="20"/>
  <c r="V44" i="4"/>
  <c r="AI409" i="3"/>
  <c r="AV105" i="20"/>
  <c r="AZ105" i="20" s="1"/>
  <c r="AW105" i="20"/>
  <c r="Y299" i="15"/>
  <c r="AZ116" i="20"/>
  <c r="AT130" i="22"/>
  <c r="AW130" i="22" s="1"/>
  <c r="AQ131" i="22"/>
  <c r="AS130" i="22"/>
  <c r="AB330" i="19"/>
  <c r="AD346" i="19"/>
  <c r="AM169" i="18"/>
  <c r="AN168" i="18"/>
  <c r="V117" i="24"/>
  <c r="W117" i="24" s="1"/>
  <c r="U118" i="24"/>
  <c r="AJ156" i="20"/>
  <c r="AK155" i="20"/>
  <c r="R73" i="3"/>
  <c r="Q10" i="26"/>
  <c r="S9" i="26"/>
  <c r="U112" i="11"/>
  <c r="AC131" i="20"/>
  <c r="AU131" i="20" s="1"/>
  <c r="AY131" i="20" s="1"/>
  <c r="AD130" i="20"/>
  <c r="AV177" i="20"/>
  <c r="AW177" i="20"/>
  <c r="AW57" i="22"/>
  <c r="X13" i="8"/>
  <c r="Y12" i="8"/>
  <c r="AY153" i="14"/>
  <c r="BB153" i="14" s="1"/>
  <c r="AP60" i="20"/>
  <c r="AR59" i="20"/>
  <c r="V129" i="15"/>
  <c r="V113" i="15" s="1"/>
  <c r="AG111" i="22"/>
  <c r="AH111" i="22" s="1"/>
  <c r="AH110" i="22"/>
  <c r="AR98" i="22"/>
  <c r="X380" i="11"/>
  <c r="Y380" i="11" s="1"/>
  <c r="U139" i="21"/>
  <c r="Z139" i="19"/>
  <c r="AA139" i="19" s="1"/>
  <c r="AR83" i="22"/>
  <c r="AV82" i="22"/>
  <c r="AS82" i="22"/>
  <c r="AR26" i="20"/>
  <c r="AP27" i="20"/>
  <c r="AR27" i="20" s="1"/>
  <c r="BB116" i="14"/>
  <c r="BC128" i="14" s="1"/>
  <c r="AS63" i="16"/>
  <c r="AB130" i="10"/>
  <c r="AC130" i="10" s="1"/>
  <c r="AA131" i="10"/>
  <c r="AA72" i="22"/>
  <c r="AB71" i="22"/>
  <c r="S112" i="5"/>
  <c r="E360" i="4"/>
  <c r="E390" i="4"/>
  <c r="AB71" i="10"/>
  <c r="AA72" i="10"/>
  <c r="AV84" i="16"/>
  <c r="AW83" i="16"/>
  <c r="T132" i="10"/>
  <c r="V131" i="10"/>
  <c r="BC10" i="18"/>
  <c r="BF184" i="12"/>
  <c r="BU184" i="12"/>
  <c r="BK184" i="12" s="1"/>
  <c r="AC327" i="19"/>
  <c r="AE343" i="19"/>
  <c r="AA71" i="20"/>
  <c r="AU71" i="20"/>
  <c r="Z72" i="20"/>
  <c r="AA158" i="22"/>
  <c r="AB157" i="22"/>
  <c r="Q121" i="19"/>
  <c r="Q119" i="19"/>
  <c r="Q118" i="19"/>
  <c r="BP125" i="19"/>
  <c r="Q117" i="19"/>
  <c r="Q116" i="19"/>
  <c r="Q120" i="19"/>
  <c r="Q123" i="19"/>
  <c r="Q122" i="19"/>
  <c r="AL178" i="22"/>
  <c r="AA50" i="8"/>
  <c r="AB49" i="8"/>
  <c r="AS170" i="16"/>
  <c r="Q236" i="13"/>
  <c r="BM238" i="11"/>
  <c r="R158" i="10"/>
  <c r="AL51" i="20"/>
  <c r="AK178" i="20"/>
  <c r="AW21" i="20"/>
  <c r="AV21" i="20"/>
  <c r="AZ21" i="20" s="1"/>
  <c r="AV118" i="14"/>
  <c r="AS119" i="14"/>
  <c r="Q106" i="3"/>
  <c r="AW71" i="16"/>
  <c r="AV72" i="16"/>
  <c r="BD152" i="18"/>
  <c r="AI106" i="18"/>
  <c r="BA105" i="18"/>
  <c r="BC105" i="18" s="1"/>
  <c r="BD105" i="18" s="1"/>
  <c r="U324" i="13"/>
  <c r="W104" i="15"/>
  <c r="K312" i="4"/>
  <c r="K327" i="4"/>
  <c r="V331" i="11"/>
  <c r="V186" i="4" s="1"/>
  <c r="V250" i="3"/>
  <c r="V202" i="4"/>
  <c r="AK119" i="16"/>
  <c r="AJ120" i="16"/>
  <c r="AS108" i="16"/>
  <c r="AA298" i="15"/>
  <c r="Y179" i="8"/>
  <c r="X180" i="8"/>
  <c r="Q12" i="15"/>
  <c r="Q13" i="15" s="1"/>
  <c r="Q25" i="6"/>
  <c r="R11" i="15"/>
  <c r="AY178" i="20"/>
  <c r="V333" i="19"/>
  <c r="AQ13" i="16"/>
  <c r="AP14" i="16"/>
  <c r="X75" i="11"/>
  <c r="V85" i="8"/>
  <c r="U86" i="8"/>
  <c r="AS71" i="18"/>
  <c r="AT70" i="18"/>
  <c r="Y38" i="10"/>
  <c r="X39" i="10"/>
  <c r="Y39" i="10" s="1"/>
  <c r="AO168" i="14"/>
  <c r="AZ107" i="16"/>
  <c r="AX108" i="16"/>
  <c r="U231" i="3"/>
  <c r="S179" i="8"/>
  <c r="R180" i="8"/>
  <c r="S11" i="8"/>
  <c r="R12" i="8"/>
  <c r="V93" i="24"/>
  <c r="W93" i="24" s="1"/>
  <c r="U94" i="24"/>
  <c r="AR130" i="18"/>
  <c r="AT129" i="18"/>
  <c r="X42" i="4"/>
  <c r="T7" i="11"/>
  <c r="S34" i="15"/>
  <c r="S35" i="15" s="1"/>
  <c r="S3" i="6"/>
  <c r="S9" i="7"/>
  <c r="R181" i="24"/>
  <c r="S180" i="24"/>
  <c r="V307" i="15"/>
  <c r="AZ130" i="14"/>
  <c r="AL131" i="14"/>
  <c r="AQ11" i="22"/>
  <c r="AT10" i="22"/>
  <c r="AW10" i="22" s="1"/>
  <c r="AX132" i="18"/>
  <c r="AZ131" i="18"/>
  <c r="AK178" i="16"/>
  <c r="AJ179" i="16"/>
  <c r="AQ46" i="16"/>
  <c r="AP47" i="16"/>
  <c r="AH169" i="16"/>
  <c r="AG170" i="16"/>
  <c r="AD88" i="5"/>
  <c r="AC88" i="5"/>
  <c r="D312" i="4"/>
  <c r="D327" i="4"/>
  <c r="Q234" i="13"/>
  <c r="Q204" i="11"/>
  <c r="Q124" i="11" s="1"/>
  <c r="BM236" i="11"/>
  <c r="AP95" i="20"/>
  <c r="AR94" i="20"/>
  <c r="AS122" i="18"/>
  <c r="AD327" i="19"/>
  <c r="AA58" i="20"/>
  <c r="AU58" i="20"/>
  <c r="AY58" i="20" s="1"/>
  <c r="Z59" i="20"/>
  <c r="AL106" i="22"/>
  <c r="AK107" i="22"/>
  <c r="AC155" i="20"/>
  <c r="AD154" i="20"/>
  <c r="AU154" i="20"/>
  <c r="AB119" i="22"/>
  <c r="AA120" i="22"/>
  <c r="Y118" i="10"/>
  <c r="X119" i="10"/>
  <c r="AX147" i="16"/>
  <c r="AB323" i="19"/>
  <c r="AG339" i="19"/>
  <c r="R54" i="13"/>
  <c r="AS156" i="20"/>
  <c r="Y157" i="20"/>
  <c r="AA157" i="20" s="1"/>
  <c r="AD95" i="22"/>
  <c r="AE94" i="22"/>
  <c r="W329" i="11"/>
  <c r="W184" i="4" s="1"/>
  <c r="W248" i="3"/>
  <c r="W200" i="4"/>
  <c r="AS49" i="16"/>
  <c r="V82" i="26"/>
  <c r="W82" i="26" s="1"/>
  <c r="U83" i="26"/>
  <c r="R59" i="13"/>
  <c r="AV45" i="14"/>
  <c r="AS46" i="14"/>
  <c r="W128" i="15"/>
  <c r="W112" i="15" s="1"/>
  <c r="W132" i="21"/>
  <c r="AQ11" i="18"/>
  <c r="AP12" i="18"/>
  <c r="AV142" i="14"/>
  <c r="AS143" i="14"/>
  <c r="AZ155" i="18"/>
  <c r="AX156" i="18"/>
  <c r="U71" i="10"/>
  <c r="V70" i="10"/>
  <c r="AC70" i="10" s="1"/>
  <c r="AZ58" i="14"/>
  <c r="AL59" i="14"/>
  <c r="AN59" i="14" s="1"/>
  <c r="AQ24" i="16"/>
  <c r="AP25" i="16"/>
  <c r="R79" i="13"/>
  <c r="R4" i="13" s="1"/>
  <c r="R51" i="13"/>
  <c r="AG135" i="16"/>
  <c r="AH135" i="16" s="1"/>
  <c r="AH134" i="16"/>
  <c r="X60" i="11"/>
  <c r="AB36" i="10"/>
  <c r="AA37" i="10"/>
  <c r="Z76" i="11"/>
  <c r="AA76" i="11" s="1"/>
  <c r="O360" i="4"/>
  <c r="O390" i="4"/>
  <c r="R85" i="24"/>
  <c r="AO178" i="20"/>
  <c r="AL179" i="20"/>
  <c r="AS178" i="20"/>
  <c r="AU58" i="22"/>
  <c r="AW58" i="22" s="1"/>
  <c r="AJ59" i="22"/>
  <c r="AK155" i="14"/>
  <c r="AN154" i="14"/>
  <c r="AO59" i="16"/>
  <c r="AQ58" i="16"/>
  <c r="V48" i="10"/>
  <c r="U49" i="10"/>
  <c r="AW157" i="18"/>
  <c r="AV158" i="18"/>
  <c r="V139" i="21"/>
  <c r="AS60" i="18"/>
  <c r="Q13" i="7"/>
  <c r="Q14" i="7" s="1"/>
  <c r="Q17" i="6"/>
  <c r="BT12" i="7"/>
  <c r="AB166" i="22"/>
  <c r="AA167" i="22"/>
  <c r="G247" i="4"/>
  <c r="G262" i="4"/>
  <c r="G279" i="4" s="1"/>
  <c r="T181" i="8"/>
  <c r="V180" i="8"/>
  <c r="AA108" i="22"/>
  <c r="AB107" i="22"/>
  <c r="BE8" i="15"/>
  <c r="AI8" i="17"/>
  <c r="AD131" i="19"/>
  <c r="AE131" i="19" s="1"/>
  <c r="AJ96" i="18"/>
  <c r="AC120" i="20"/>
  <c r="AD119" i="20"/>
  <c r="AC138" i="19"/>
  <c r="Q371" i="19"/>
  <c r="BP6" i="19"/>
  <c r="BP371" i="19" s="1"/>
  <c r="Q30" i="19"/>
  <c r="Q31" i="6"/>
  <c r="AX129" i="12"/>
  <c r="AK180" i="22"/>
  <c r="X79" i="11"/>
  <c r="Y79" i="11" s="1"/>
  <c r="BE92" i="14"/>
  <c r="BC92" i="14"/>
  <c r="AS121" i="16"/>
  <c r="W38" i="4"/>
  <c r="X104" i="11"/>
  <c r="Y104" i="11" s="1"/>
  <c r="Q237" i="13"/>
  <c r="BM239" i="11"/>
  <c r="AF73" i="20"/>
  <c r="AG72" i="20"/>
  <c r="AA297" i="15"/>
  <c r="AD297" i="15" s="1"/>
  <c r="AS154" i="22"/>
  <c r="AV154" i="22"/>
  <c r="AZ154" i="22" s="1"/>
  <c r="AR155" i="22"/>
  <c r="AJ180" i="20"/>
  <c r="AK179" i="20"/>
  <c r="AA78" i="11"/>
  <c r="AF156" i="18"/>
  <c r="BA155" i="18"/>
  <c r="BA45" i="18"/>
  <c r="BC45" i="18" s="1"/>
  <c r="AH23" i="20"/>
  <c r="AS22" i="20"/>
  <c r="AK22" i="20"/>
  <c r="AR35" i="18"/>
  <c r="AT34" i="18"/>
  <c r="D412" i="3"/>
  <c r="D427" i="3"/>
  <c r="X178" i="26"/>
  <c r="BA70" i="16"/>
  <c r="AR13" i="20"/>
  <c r="AP14" i="20"/>
  <c r="X123" i="15"/>
  <c r="X107" i="15" s="1"/>
  <c r="R107" i="10"/>
  <c r="S106" i="10"/>
  <c r="AC106" i="10" s="1"/>
  <c r="BC164" i="14"/>
  <c r="W331" i="11"/>
  <c r="W186" i="4" s="1"/>
  <c r="W250" i="3"/>
  <c r="W202" i="4"/>
  <c r="BA166" i="16"/>
  <c r="W107" i="11"/>
  <c r="W59" i="11" s="1"/>
  <c r="AS25" i="16"/>
  <c r="AJ61" i="18"/>
  <c r="AG25" i="22"/>
  <c r="AH24" i="22"/>
  <c r="AQ178" i="16"/>
  <c r="AP179" i="16"/>
  <c r="CG14" i="13"/>
  <c r="U58" i="26"/>
  <c r="V57" i="26"/>
  <c r="W57" i="26" s="1"/>
  <c r="S35" i="24"/>
  <c r="R36" i="24"/>
  <c r="Y301" i="15"/>
  <c r="T367" i="13" l="1"/>
  <c r="T22" i="13" s="1"/>
  <c r="W213" i="4"/>
  <c r="AB20" i="11"/>
  <c r="AB21" i="6" s="1"/>
  <c r="V384" i="11"/>
  <c r="V413" i="13"/>
  <c r="V286" i="3" s="1"/>
  <c r="V302" i="3" s="1"/>
  <c r="X374" i="11"/>
  <c r="X326" i="11" s="1"/>
  <c r="X181" i="4" s="1"/>
  <c r="T334" i="13"/>
  <c r="V222" i="4"/>
  <c r="U104" i="5"/>
  <c r="X381" i="11"/>
  <c r="X220" i="4" s="1"/>
  <c r="W220" i="4"/>
  <c r="W110" i="5" s="1"/>
  <c r="X62" i="11"/>
  <c r="R255" i="11"/>
  <c r="Y110" i="11"/>
  <c r="R251" i="11"/>
  <c r="W407" i="13"/>
  <c r="W280" i="3" s="1"/>
  <c r="W296" i="3" s="1"/>
  <c r="W404" i="13"/>
  <c r="W277" i="3" s="1"/>
  <c r="W293" i="3" s="1"/>
  <c r="Z347" i="11"/>
  <c r="AA347" i="11" s="1"/>
  <c r="W333" i="11"/>
  <c r="W188" i="4" s="1"/>
  <c r="Y120" i="15"/>
  <c r="AY182" i="11"/>
  <c r="V15" i="7"/>
  <c r="V34" i="15" s="1"/>
  <c r="V35" i="15" s="1"/>
  <c r="W73" i="11"/>
  <c r="W57" i="11" s="1"/>
  <c r="S12" i="7"/>
  <c r="S3" i="7" s="1"/>
  <c r="T132" i="15"/>
  <c r="T51" i="6" s="1"/>
  <c r="T116" i="15"/>
  <c r="R17" i="6"/>
  <c r="AF11" i="11"/>
  <c r="R240" i="11"/>
  <c r="V236" i="3"/>
  <c r="V231" i="3"/>
  <c r="AC106" i="11"/>
  <c r="W222" i="4"/>
  <c r="X383" i="11"/>
  <c r="Y383" i="11" s="1"/>
  <c r="Y222" i="4" s="1"/>
  <c r="W413" i="13"/>
  <c r="W286" i="3" s="1"/>
  <c r="W302" i="3" s="1"/>
  <c r="AA152" i="15"/>
  <c r="AA120" i="15" s="1"/>
  <c r="AA104" i="15" s="1"/>
  <c r="Z120" i="15"/>
  <c r="S192" i="11"/>
  <c r="S144" i="11" s="1"/>
  <c r="W229" i="3"/>
  <c r="Q206" i="11"/>
  <c r="Q126" i="11" s="1"/>
  <c r="BM126" i="11" s="1"/>
  <c r="W409" i="13"/>
  <c r="W282" i="3" s="1"/>
  <c r="W298" i="3" s="1"/>
  <c r="R250" i="11"/>
  <c r="R248" i="13" s="1"/>
  <c r="T111" i="5"/>
  <c r="T112" i="5" s="1"/>
  <c r="W102" i="5"/>
  <c r="V234" i="3"/>
  <c r="U223" i="4"/>
  <c r="U224" i="4" s="1"/>
  <c r="W384" i="11"/>
  <c r="W414" i="13" s="1"/>
  <c r="W287" i="3" s="1"/>
  <c r="W303" i="3" s="1"/>
  <c r="W412" i="13"/>
  <c r="W285" i="3" s="1"/>
  <c r="W301" i="3" s="1"/>
  <c r="Z246" i="3"/>
  <c r="Z327" i="11"/>
  <c r="Z182" i="4" s="1"/>
  <c r="Z198" i="4"/>
  <c r="Q256" i="11"/>
  <c r="AT256" i="11" s="1"/>
  <c r="T192" i="11"/>
  <c r="T190" i="13" s="1"/>
  <c r="T142" i="13" s="1"/>
  <c r="BE342" i="11"/>
  <c r="V232" i="3"/>
  <c r="W411" i="13"/>
  <c r="W284" i="3" s="1"/>
  <c r="W300" i="3" s="1"/>
  <c r="W403" i="13"/>
  <c r="W252" i="3"/>
  <c r="W408" i="13"/>
  <c r="W281" i="3" s="1"/>
  <c r="W410" i="13"/>
  <c r="W283" i="3" s="1"/>
  <c r="W299" i="3" s="1"/>
  <c r="W204" i="4"/>
  <c r="Y202" i="4"/>
  <c r="Z158" i="15"/>
  <c r="Y327" i="11"/>
  <c r="Y182" i="4" s="1"/>
  <c r="Y246" i="3"/>
  <c r="Y198" i="4"/>
  <c r="AA343" i="11"/>
  <c r="AC102" i="11"/>
  <c r="AC36" i="4" s="1"/>
  <c r="AB153" i="15"/>
  <c r="Q229" i="7"/>
  <c r="BT229" i="7" s="1"/>
  <c r="BT14" i="7"/>
  <c r="AH297" i="15"/>
  <c r="BC58" i="14"/>
  <c r="BE58" i="14"/>
  <c r="AI297" i="15"/>
  <c r="R238" i="13"/>
  <c r="Y324" i="19"/>
  <c r="Z340" i="19"/>
  <c r="AA340" i="19" s="1"/>
  <c r="Z305" i="15"/>
  <c r="R165" i="7"/>
  <c r="R11" i="7"/>
  <c r="R181" i="7" s="1"/>
  <c r="AA301" i="15"/>
  <c r="AD137" i="19"/>
  <c r="AE137" i="19" s="1"/>
  <c r="BC13" i="15"/>
  <c r="AH13" i="17"/>
  <c r="V8" i="15"/>
  <c r="BM8" i="15" s="1"/>
  <c r="BM7" i="15"/>
  <c r="V10" i="15"/>
  <c r="BM10" i="15" s="1"/>
  <c r="AC302" i="15"/>
  <c r="BM127" i="11"/>
  <c r="Q47" i="11"/>
  <c r="X124" i="15"/>
  <c r="X108" i="15" s="1"/>
  <c r="Y156" i="15"/>
  <c r="Z156" i="15" s="1"/>
  <c r="Y217" i="4"/>
  <c r="Z378" i="11"/>
  <c r="J280" i="4"/>
  <c r="AD37" i="4"/>
  <c r="S4" i="7"/>
  <c r="S69" i="7" s="1"/>
  <c r="S14" i="6"/>
  <c r="AV35" i="20"/>
  <c r="Q254" i="13"/>
  <c r="BM256" i="11"/>
  <c r="AF131" i="19"/>
  <c r="AA136" i="19"/>
  <c r="BM122" i="11"/>
  <c r="Q42" i="11"/>
  <c r="AI343" i="19"/>
  <c r="U92" i="5"/>
  <c r="R75" i="26"/>
  <c r="Q107" i="26"/>
  <c r="S106" i="26"/>
  <c r="AN155" i="14"/>
  <c r="AK156" i="14"/>
  <c r="R88" i="4"/>
  <c r="AO83" i="14"/>
  <c r="AR82" i="14"/>
  <c r="AJ170" i="16"/>
  <c r="Y182" i="20"/>
  <c r="AA77" i="11"/>
  <c r="J412" i="3"/>
  <c r="J427" i="3"/>
  <c r="AD411" i="3"/>
  <c r="AH411" i="3" s="1"/>
  <c r="AO61" i="22"/>
  <c r="AP60" i="22"/>
  <c r="G248" i="4"/>
  <c r="G263" i="4"/>
  <c r="G280" i="4" s="1"/>
  <c r="AB132" i="19"/>
  <c r="AM75" i="14"/>
  <c r="AA168" i="22"/>
  <c r="AB167" i="22"/>
  <c r="AQ12" i="22"/>
  <c r="AT11" i="22"/>
  <c r="X219" i="4"/>
  <c r="Z380" i="11"/>
  <c r="S85" i="26"/>
  <c r="R86" i="26"/>
  <c r="AG60" i="22"/>
  <c r="AV60" i="22" s="1"/>
  <c r="AH59" i="22"/>
  <c r="AG108" i="16"/>
  <c r="AH107" i="16"/>
  <c r="R104" i="3"/>
  <c r="X38" i="4"/>
  <c r="R63" i="13"/>
  <c r="R64" i="13" s="1"/>
  <c r="AC71" i="10"/>
  <c r="AF122" i="18"/>
  <c r="U110" i="5"/>
  <c r="R245" i="13"/>
  <c r="R117" i="4"/>
  <c r="R150" i="4" s="1"/>
  <c r="AX70" i="14"/>
  <c r="AW71" i="14"/>
  <c r="T123" i="10"/>
  <c r="V123" i="10" s="1"/>
  <c r="V122" i="10"/>
  <c r="AG158" i="20"/>
  <c r="AF159" i="20"/>
  <c r="AG159" i="20" s="1"/>
  <c r="AK146" i="14"/>
  <c r="AR59" i="16"/>
  <c r="AT58" i="16"/>
  <c r="BA58" i="16" s="1"/>
  <c r="AG135" i="22"/>
  <c r="AH135" i="22" s="1"/>
  <c r="AH134" i="22"/>
  <c r="AI179" i="18"/>
  <c r="AK178" i="18"/>
  <c r="Q121" i="21"/>
  <c r="Q105" i="21" s="1"/>
  <c r="BP121" i="19"/>
  <c r="Q105" i="19"/>
  <c r="AO73" i="20"/>
  <c r="AL74" i="20"/>
  <c r="AA61" i="22"/>
  <c r="AB60" i="22"/>
  <c r="AR95" i="20"/>
  <c r="AP96" i="20"/>
  <c r="AB180" i="22"/>
  <c r="AA181" i="22"/>
  <c r="I313" i="4"/>
  <c r="I328" i="4"/>
  <c r="Y330" i="11"/>
  <c r="Y185" i="4" s="1"/>
  <c r="Y201" i="4"/>
  <c r="Y249" i="3"/>
  <c r="AO157" i="20"/>
  <c r="AL158" i="20"/>
  <c r="AI168" i="18"/>
  <c r="AK167" i="18"/>
  <c r="P328" i="4"/>
  <c r="P313" i="4"/>
  <c r="F279" i="4"/>
  <c r="S324" i="15"/>
  <c r="S18" i="15"/>
  <c r="H349" i="3"/>
  <c r="AM50" i="20"/>
  <c r="AO49" i="20"/>
  <c r="AW58" i="20"/>
  <c r="AV58" i="20"/>
  <c r="Q296" i="17"/>
  <c r="E314" i="4"/>
  <c r="AQ133" i="18"/>
  <c r="AP134" i="18"/>
  <c r="AM97" i="14"/>
  <c r="BA96" i="14"/>
  <c r="AG36" i="22"/>
  <c r="AH35" i="22"/>
  <c r="Y58" i="11"/>
  <c r="AQ72" i="14"/>
  <c r="BA71" i="14"/>
  <c r="W9" i="26"/>
  <c r="AP72" i="14"/>
  <c r="AZ71" i="14"/>
  <c r="R85" i="4"/>
  <c r="AJ97" i="16"/>
  <c r="L249" i="4"/>
  <c r="L264" i="4"/>
  <c r="L281" i="4" s="1"/>
  <c r="BB117" i="14"/>
  <c r="AH155" i="18"/>
  <c r="BB155" i="18"/>
  <c r="AG156" i="18"/>
  <c r="X129" i="21"/>
  <c r="Y129" i="19"/>
  <c r="AA329" i="19"/>
  <c r="AB345" i="19"/>
  <c r="AA125" i="15"/>
  <c r="AA109" i="15" s="1"/>
  <c r="W81" i="24"/>
  <c r="AW60" i="18"/>
  <c r="AV61" i="18"/>
  <c r="AA158" i="20"/>
  <c r="Z159" i="20"/>
  <c r="T34" i="15"/>
  <c r="T35" i="15" s="1"/>
  <c r="T3" i="6"/>
  <c r="T6" i="7"/>
  <c r="T9" i="7"/>
  <c r="U9" i="7" s="1"/>
  <c r="T12" i="7"/>
  <c r="T3" i="7" s="1"/>
  <c r="AT60" i="20"/>
  <c r="AX60" i="20" s="1"/>
  <c r="AI61" i="20"/>
  <c r="AK60" i="20"/>
  <c r="V156" i="8"/>
  <c r="U157" i="8"/>
  <c r="Q37" i="10"/>
  <c r="S36" i="10"/>
  <c r="R250" i="13"/>
  <c r="R122" i="4"/>
  <c r="R155" i="4" s="1"/>
  <c r="S95" i="24"/>
  <c r="R96" i="24"/>
  <c r="AE103" i="11"/>
  <c r="P391" i="4"/>
  <c r="P361" i="4"/>
  <c r="G329" i="4"/>
  <c r="G314" i="4"/>
  <c r="AK134" i="22"/>
  <c r="AM86" i="16"/>
  <c r="AN85" i="16"/>
  <c r="R133" i="26"/>
  <c r="U236" i="3"/>
  <c r="Q362" i="3"/>
  <c r="Q379" i="3" s="1"/>
  <c r="AP122" i="16"/>
  <c r="AQ121" i="16"/>
  <c r="T241" i="11"/>
  <c r="T15" i="11"/>
  <c r="T257" i="11" s="1"/>
  <c r="U14" i="11"/>
  <c r="R110" i="3"/>
  <c r="AK97" i="14"/>
  <c r="V142" i="24"/>
  <c r="W142" i="24" s="1"/>
  <c r="U143" i="24"/>
  <c r="S120" i="26"/>
  <c r="R121" i="26"/>
  <c r="S185" i="13"/>
  <c r="S137" i="13" s="1"/>
  <c r="S139" i="11"/>
  <c r="AA35" i="4"/>
  <c r="AW61" i="16"/>
  <c r="AV62" i="16"/>
  <c r="U35" i="26"/>
  <c r="V34" i="26"/>
  <c r="W34" i="26" s="1"/>
  <c r="AO71" i="14"/>
  <c r="AR70" i="14"/>
  <c r="S25" i="8"/>
  <c r="R26" i="8"/>
  <c r="AQ36" i="16"/>
  <c r="AP37" i="16"/>
  <c r="AB168" i="8"/>
  <c r="AC168" i="8" s="1"/>
  <c r="AA169" i="8"/>
  <c r="BA167" i="18"/>
  <c r="BC167" i="18" s="1"/>
  <c r="BD167" i="18" s="1"/>
  <c r="AF168" i="18"/>
  <c r="AH168" i="18" s="1"/>
  <c r="R111" i="3"/>
  <c r="V163" i="15"/>
  <c r="V131" i="15" s="1"/>
  <c r="V115" i="15" s="1"/>
  <c r="AF327" i="19"/>
  <c r="S36" i="24"/>
  <c r="R37" i="24"/>
  <c r="AQ25" i="16"/>
  <c r="AP26" i="16"/>
  <c r="S180" i="8"/>
  <c r="R181" i="8"/>
  <c r="AB158" i="22"/>
  <c r="AA159" i="22"/>
  <c r="AB159" i="22" s="1"/>
  <c r="E391" i="4"/>
  <c r="E361" i="4"/>
  <c r="AJ169" i="20"/>
  <c r="AK168" i="20"/>
  <c r="AE23" i="22"/>
  <c r="AD24" i="22"/>
  <c r="AV24" i="22" s="1"/>
  <c r="BD70" i="18"/>
  <c r="AR143" i="18"/>
  <c r="AT142" i="18"/>
  <c r="S109" i="8"/>
  <c r="R110" i="8"/>
  <c r="AG96" i="22"/>
  <c r="AH95" i="22"/>
  <c r="O427" i="3"/>
  <c r="O412" i="3"/>
  <c r="AG411" i="3"/>
  <c r="AF411" i="3"/>
  <c r="AA108" i="20"/>
  <c r="AU108" i="20"/>
  <c r="AY108" i="20" s="1"/>
  <c r="Z109" i="20"/>
  <c r="F263" i="4"/>
  <c r="F248" i="4"/>
  <c r="S83" i="10"/>
  <c r="AC83" i="10" s="1"/>
  <c r="R84" i="10"/>
  <c r="AR47" i="16"/>
  <c r="AT46" i="16"/>
  <c r="R83" i="4"/>
  <c r="R145" i="11"/>
  <c r="R47" i="6" s="1"/>
  <c r="R65" i="6" s="1"/>
  <c r="V10" i="26"/>
  <c r="U11" i="26"/>
  <c r="C391" i="4"/>
  <c r="C361" i="4"/>
  <c r="U24" i="26"/>
  <c r="V23" i="26"/>
  <c r="E428" i="3"/>
  <c r="E413" i="3"/>
  <c r="AD147" i="22"/>
  <c r="AE147" i="22" s="1"/>
  <c r="AE146" i="22"/>
  <c r="Y351" i="11"/>
  <c r="AZ182" i="11"/>
  <c r="AG61" i="16"/>
  <c r="AH60" i="16"/>
  <c r="AF154" i="15"/>
  <c r="R102" i="3"/>
  <c r="AL169" i="22"/>
  <c r="AK170" i="22"/>
  <c r="R7" i="7"/>
  <c r="R117" i="7" s="1"/>
  <c r="R15" i="6"/>
  <c r="AO119" i="14"/>
  <c r="AR118" i="14"/>
  <c r="AY118" i="14"/>
  <c r="Z342" i="19"/>
  <c r="AX167" i="22"/>
  <c r="V35" i="24"/>
  <c r="W35" i="24" s="1"/>
  <c r="U36" i="24"/>
  <c r="AY115" i="12"/>
  <c r="AX116" i="12"/>
  <c r="AY127" i="12"/>
  <c r="AL144" i="14"/>
  <c r="AZ143" i="14"/>
  <c r="AN143" i="14"/>
  <c r="G361" i="4"/>
  <c r="G391" i="4"/>
  <c r="AO23" i="14"/>
  <c r="AR22" i="14"/>
  <c r="V133" i="21"/>
  <c r="V141" i="21" s="1"/>
  <c r="V8" i="21" s="1"/>
  <c r="V140" i="19"/>
  <c r="V140" i="21" s="1"/>
  <c r="W133" i="19"/>
  <c r="AR134" i="22"/>
  <c r="R20" i="13"/>
  <c r="BJ20" i="13" s="1"/>
  <c r="BJ21" i="13"/>
  <c r="Y245" i="3"/>
  <c r="Y197" i="4"/>
  <c r="W332" i="11"/>
  <c r="W187" i="4" s="1"/>
  <c r="W203" i="4"/>
  <c r="X348" i="11"/>
  <c r="AV70" i="20"/>
  <c r="AB62" i="10"/>
  <c r="AA63" i="10"/>
  <c r="AB63" i="10" s="1"/>
  <c r="AZ84" i="18"/>
  <c r="AX85" i="18"/>
  <c r="BD129" i="18"/>
  <c r="R93" i="4"/>
  <c r="J491" i="3"/>
  <c r="J460" i="3"/>
  <c r="AD459" i="3"/>
  <c r="AH459" i="3" s="1"/>
  <c r="AB156" i="8"/>
  <c r="AC156" i="8" s="1"/>
  <c r="AA157" i="8"/>
  <c r="F329" i="4"/>
  <c r="F314" i="4"/>
  <c r="V38" i="10"/>
  <c r="U39" i="10"/>
  <c r="V39" i="10" s="1"/>
  <c r="Q250" i="13"/>
  <c r="Q202" i="13" s="1"/>
  <c r="BM252" i="11"/>
  <c r="AT252" i="11"/>
  <c r="Q122" i="4"/>
  <c r="Q155" i="4" s="1"/>
  <c r="S182" i="13"/>
  <c r="S134" i="13" s="1"/>
  <c r="S136" i="11"/>
  <c r="BA48" i="14"/>
  <c r="AM49" i="14"/>
  <c r="N412" i="3"/>
  <c r="N427" i="3"/>
  <c r="AJ134" i="20"/>
  <c r="AC167" i="8"/>
  <c r="AE73" i="22"/>
  <c r="AD74" i="22"/>
  <c r="AM180" i="16"/>
  <c r="AN179" i="16"/>
  <c r="Z74" i="11"/>
  <c r="AK120" i="16"/>
  <c r="AJ121" i="16"/>
  <c r="BC84" i="15"/>
  <c r="Q79" i="15"/>
  <c r="Q78" i="15"/>
  <c r="Q77" i="15"/>
  <c r="Q76" i="15"/>
  <c r="Q81" i="15"/>
  <c r="Q75" i="15"/>
  <c r="Q80" i="15"/>
  <c r="Q82" i="15"/>
  <c r="AC300" i="15"/>
  <c r="AF38" i="18"/>
  <c r="AV70" i="14"/>
  <c r="AS71" i="14"/>
  <c r="AD168" i="20"/>
  <c r="AC169" i="20"/>
  <c r="AU168" i="20"/>
  <c r="AY180" i="20" s="1"/>
  <c r="AH120" i="16"/>
  <c r="AG121" i="16"/>
  <c r="AW134" i="18"/>
  <c r="AV135" i="18"/>
  <c r="AW135" i="18" s="1"/>
  <c r="AQ14" i="16"/>
  <c r="AP15" i="16"/>
  <c r="AQ15" i="16" s="1"/>
  <c r="BM200" i="11"/>
  <c r="AT200" i="11"/>
  <c r="AB35" i="22"/>
  <c r="AA36" i="22"/>
  <c r="AL24" i="14"/>
  <c r="AZ23" i="14"/>
  <c r="AG61" i="18"/>
  <c r="BB60" i="18"/>
  <c r="AH60" i="18"/>
  <c r="AG327" i="19"/>
  <c r="AR145" i="20"/>
  <c r="AP146" i="20"/>
  <c r="AS95" i="14"/>
  <c r="AY95" i="14" s="1"/>
  <c r="BB95" i="14" s="1"/>
  <c r="AV94" i="14"/>
  <c r="AY94" i="14"/>
  <c r="BB94" i="14" s="1"/>
  <c r="Z51" i="20"/>
  <c r="Y334" i="11"/>
  <c r="Y189" i="4" s="1"/>
  <c r="Y205" i="4"/>
  <c r="AW178" i="20"/>
  <c r="AV178" i="20"/>
  <c r="AQ61" i="14"/>
  <c r="BA60" i="14"/>
  <c r="AO23" i="20"/>
  <c r="AL24" i="20"/>
  <c r="Y145" i="10"/>
  <c r="X146" i="10"/>
  <c r="T106" i="17"/>
  <c r="T114" i="17" s="1"/>
  <c r="T130" i="17"/>
  <c r="AQ73" i="18"/>
  <c r="AP74" i="18"/>
  <c r="BJ4" i="13"/>
  <c r="R3" i="13"/>
  <c r="R26" i="1"/>
  <c r="R25" i="1" s="1"/>
  <c r="Q11" i="26"/>
  <c r="S10" i="26"/>
  <c r="AR59" i="14"/>
  <c r="AO60" i="14"/>
  <c r="Y325" i="19"/>
  <c r="Z341" i="19"/>
  <c r="AC98" i="20"/>
  <c r="S20" i="6"/>
  <c r="S27" i="11"/>
  <c r="R249" i="13"/>
  <c r="R121" i="4"/>
  <c r="AB168" i="10"/>
  <c r="AA169" i="10"/>
  <c r="AR99" i="22"/>
  <c r="AS61" i="18"/>
  <c r="BA71" i="18"/>
  <c r="BC71" i="18" s="1"/>
  <c r="AF72" i="18"/>
  <c r="Y344" i="19"/>
  <c r="Y348" i="19" s="1"/>
  <c r="Y332" i="19" s="1"/>
  <c r="AG25" i="20"/>
  <c r="AF26" i="20"/>
  <c r="W22" i="26"/>
  <c r="R84" i="4"/>
  <c r="AX134" i="11"/>
  <c r="AG25" i="16"/>
  <c r="AH24" i="16"/>
  <c r="X307" i="15"/>
  <c r="R51" i="24"/>
  <c r="AV11" i="14"/>
  <c r="AS12" i="14"/>
  <c r="AL36" i="14"/>
  <c r="AZ35" i="14"/>
  <c r="K412" i="3"/>
  <c r="K427" i="3"/>
  <c r="AS24" i="22"/>
  <c r="AR25" i="22"/>
  <c r="T329" i="13"/>
  <c r="T335" i="13" s="1"/>
  <c r="T351" i="13"/>
  <c r="AP26" i="18"/>
  <c r="AQ25" i="18"/>
  <c r="S145" i="10"/>
  <c r="R146" i="10"/>
  <c r="AA145" i="22"/>
  <c r="AB144" i="22"/>
  <c r="U84" i="26"/>
  <c r="V83" i="26"/>
  <c r="W83" i="26" s="1"/>
  <c r="V193" i="11"/>
  <c r="V14" i="1"/>
  <c r="V11" i="1" s="1"/>
  <c r="V8" i="11"/>
  <c r="S132" i="8"/>
  <c r="R133" i="8"/>
  <c r="BE57" i="14"/>
  <c r="BC57" i="14"/>
  <c r="AZ11" i="14"/>
  <c r="AL12" i="14"/>
  <c r="AN11" i="14"/>
  <c r="AY83" i="20"/>
  <c r="AX151" i="12"/>
  <c r="AY150" i="12"/>
  <c r="AG24" i="18"/>
  <c r="AH23" i="18"/>
  <c r="BB23" i="18"/>
  <c r="AP179" i="22"/>
  <c r="AO180" i="22"/>
  <c r="V130" i="26"/>
  <c r="W130" i="26" s="1"/>
  <c r="U131" i="26"/>
  <c r="AP119" i="14"/>
  <c r="AZ118" i="14"/>
  <c r="AP169" i="18"/>
  <c r="AQ168" i="18"/>
  <c r="AB101" i="11"/>
  <c r="AL123" i="14"/>
  <c r="AX120" i="20"/>
  <c r="R251" i="13"/>
  <c r="R123" i="4"/>
  <c r="R156" i="4" s="1"/>
  <c r="AU24" i="22"/>
  <c r="AJ25" i="22"/>
  <c r="AL24" i="22"/>
  <c r="AP131" i="22"/>
  <c r="AO132" i="22"/>
  <c r="AV131" i="22"/>
  <c r="V84" i="10"/>
  <c r="U85" i="10"/>
  <c r="AX61" i="16"/>
  <c r="AZ60" i="16"/>
  <c r="AW107" i="22"/>
  <c r="Z53" i="11"/>
  <c r="AD132" i="22"/>
  <c r="AE131" i="22"/>
  <c r="AZ47" i="14"/>
  <c r="AL48" i="14"/>
  <c r="R107" i="3"/>
  <c r="BC34" i="18"/>
  <c r="E491" i="3"/>
  <c r="E460" i="3"/>
  <c r="BB106" i="14"/>
  <c r="CB14" i="13"/>
  <c r="V180" i="4"/>
  <c r="AB55" i="11"/>
  <c r="BT7" i="7"/>
  <c r="Q117" i="7"/>
  <c r="AP181" i="20"/>
  <c r="AR180" i="20"/>
  <c r="AF61" i="18"/>
  <c r="AR142" i="14"/>
  <c r="AO143" i="14"/>
  <c r="AY142" i="14"/>
  <c r="BB142" i="14" s="1"/>
  <c r="Q249" i="13"/>
  <c r="Q201" i="13" s="1"/>
  <c r="BM251" i="11"/>
  <c r="AT251" i="11"/>
  <c r="Q121" i="4"/>
  <c r="S179" i="13"/>
  <c r="S133" i="11"/>
  <c r="BF342" i="11"/>
  <c r="X107" i="11"/>
  <c r="X59" i="11" s="1"/>
  <c r="AS85" i="20"/>
  <c r="Y86" i="20"/>
  <c r="BA142" i="16"/>
  <c r="AI59" i="18"/>
  <c r="AK58" i="18"/>
  <c r="BA58" i="18"/>
  <c r="BC58" i="18" s="1"/>
  <c r="R86" i="4"/>
  <c r="AS36" i="20"/>
  <c r="Y37" i="20"/>
  <c r="Y161" i="15"/>
  <c r="AF135" i="19"/>
  <c r="AK23" i="16"/>
  <c r="AJ24" i="16"/>
  <c r="AS73" i="16"/>
  <c r="AT72" i="16"/>
  <c r="W181" i="4"/>
  <c r="G428" i="3"/>
  <c r="G413" i="3"/>
  <c r="AS107" i="20"/>
  <c r="Y108" i="20"/>
  <c r="T187" i="13"/>
  <c r="T139" i="13" s="1"/>
  <c r="T141" i="11"/>
  <c r="AW47" i="22"/>
  <c r="Y374" i="11"/>
  <c r="U12" i="24"/>
  <c r="V11" i="24"/>
  <c r="W11" i="24" s="1"/>
  <c r="AG121" i="20"/>
  <c r="AF122" i="20"/>
  <c r="Q24" i="26"/>
  <c r="S23" i="26"/>
  <c r="Y72" i="8"/>
  <c r="X73" i="8"/>
  <c r="W108" i="5"/>
  <c r="Z99" i="20"/>
  <c r="AA98" i="20"/>
  <c r="R320" i="15"/>
  <c r="R314" i="15"/>
  <c r="R322" i="15"/>
  <c r="R313" i="15"/>
  <c r="R318" i="15"/>
  <c r="R315" i="15"/>
  <c r="R312" i="15"/>
  <c r="R316" i="15"/>
  <c r="R319" i="15"/>
  <c r="R317" i="15"/>
  <c r="R321" i="15"/>
  <c r="AR131" i="18"/>
  <c r="AT130" i="18"/>
  <c r="AM36" i="14"/>
  <c r="BA35" i="14"/>
  <c r="AM109" i="18"/>
  <c r="AN108" i="18"/>
  <c r="AL86" i="20"/>
  <c r="AL180" i="20"/>
  <c r="AO179" i="20"/>
  <c r="AS179" i="20"/>
  <c r="AB49" i="22"/>
  <c r="AA50" i="22"/>
  <c r="R27" i="26"/>
  <c r="AR85" i="20"/>
  <c r="AP86" i="20"/>
  <c r="X204" i="4"/>
  <c r="X252" i="3"/>
  <c r="R94" i="4"/>
  <c r="AC121" i="20"/>
  <c r="AD120" i="20"/>
  <c r="Z130" i="15"/>
  <c r="Z114" i="15" s="1"/>
  <c r="AS12" i="18"/>
  <c r="AT11" i="18"/>
  <c r="AN49" i="16"/>
  <c r="AM50" i="16"/>
  <c r="X110" i="10"/>
  <c r="Y109" i="10"/>
  <c r="S189" i="13"/>
  <c r="S141" i="13" s="1"/>
  <c r="S143" i="11"/>
  <c r="K313" i="4"/>
  <c r="K328" i="4"/>
  <c r="AQ183" i="22"/>
  <c r="S186" i="13"/>
  <c r="S138" i="13" s="1"/>
  <c r="S140" i="11"/>
  <c r="X128" i="15"/>
  <c r="X112" i="15" s="1"/>
  <c r="Y160" i="15"/>
  <c r="Z160" i="15" s="1"/>
  <c r="AX170" i="18"/>
  <c r="AZ169" i="18"/>
  <c r="AS182" i="16"/>
  <c r="AK180" i="20"/>
  <c r="AJ181" i="20"/>
  <c r="AY71" i="20"/>
  <c r="BM202" i="11"/>
  <c r="AA123" i="15"/>
  <c r="AA107" i="15" s="1"/>
  <c r="AR121" i="20"/>
  <c r="AP122" i="20"/>
  <c r="X100" i="5"/>
  <c r="O361" i="4"/>
  <c r="O391" i="4"/>
  <c r="S10" i="7"/>
  <c r="S165" i="7" s="1"/>
  <c r="S16" i="6"/>
  <c r="Y98" i="20"/>
  <c r="AU143" i="22"/>
  <c r="AW143" i="22" s="1"/>
  <c r="AJ144" i="22"/>
  <c r="AL144" i="22" s="1"/>
  <c r="AB157" i="15"/>
  <c r="AA121" i="22"/>
  <c r="AB120" i="22"/>
  <c r="D313" i="4"/>
  <c r="D328" i="4"/>
  <c r="AX109" i="16"/>
  <c r="AZ108" i="16"/>
  <c r="AS171" i="16"/>
  <c r="AE327" i="19"/>
  <c r="AA132" i="10"/>
  <c r="AB131" i="10"/>
  <c r="AC131" i="10" s="1"/>
  <c r="AK36" i="14"/>
  <c r="AN35" i="14"/>
  <c r="AP107" i="22"/>
  <c r="AO108" i="22"/>
  <c r="L412" i="3"/>
  <c r="L427" i="3"/>
  <c r="AI35" i="16"/>
  <c r="AK34" i="16"/>
  <c r="BA34" i="16" s="1"/>
  <c r="BA11" i="14"/>
  <c r="AM12" i="14"/>
  <c r="AZ120" i="18"/>
  <c r="AX121" i="18"/>
  <c r="AG96" i="20"/>
  <c r="AF97" i="20"/>
  <c r="AU96" i="20"/>
  <c r="AY96" i="20" s="1"/>
  <c r="AB60" i="8"/>
  <c r="AC60" i="8" s="1"/>
  <c r="AD60" i="8" s="1"/>
  <c r="AA61" i="8"/>
  <c r="AJ37" i="18"/>
  <c r="AI47" i="18"/>
  <c r="AK46" i="18"/>
  <c r="AN121" i="18"/>
  <c r="AM122" i="18"/>
  <c r="Q11" i="7"/>
  <c r="BB130" i="14"/>
  <c r="X84" i="8"/>
  <c r="Y83" i="8"/>
  <c r="AK61" i="14"/>
  <c r="R101" i="3"/>
  <c r="Z85" i="20"/>
  <c r="AA84" i="20"/>
  <c r="AU84" i="20"/>
  <c r="BD117" i="18"/>
  <c r="AQ39" i="22"/>
  <c r="AT39" i="22" s="1"/>
  <c r="AT38" i="22"/>
  <c r="Z79" i="11"/>
  <c r="AQ48" i="18"/>
  <c r="AP49" i="18"/>
  <c r="R236" i="13"/>
  <c r="R206" i="11"/>
  <c r="R126" i="11" s="1"/>
  <c r="M313" i="4"/>
  <c r="M328" i="4"/>
  <c r="AR34" i="14"/>
  <c r="AO35" i="14"/>
  <c r="U144" i="26"/>
  <c r="V143" i="26"/>
  <c r="AJ51" i="18"/>
  <c r="AH71" i="18"/>
  <c r="BB71" i="18"/>
  <c r="AG72" i="18"/>
  <c r="AA15" i="22"/>
  <c r="AB15" i="22" s="1"/>
  <c r="AB14" i="22"/>
  <c r="AJ85" i="22"/>
  <c r="AU84" i="22"/>
  <c r="AS145" i="18"/>
  <c r="R244" i="13"/>
  <c r="R116" i="4"/>
  <c r="R149" i="4" s="1"/>
  <c r="AX246" i="11"/>
  <c r="AR83" i="16"/>
  <c r="AT82" i="16"/>
  <c r="BA82" i="16" s="1"/>
  <c r="AI26" i="20"/>
  <c r="AT25" i="20"/>
  <c r="U155" i="24"/>
  <c r="V154" i="24"/>
  <c r="W154" i="24" s="1"/>
  <c r="Y134" i="21"/>
  <c r="AA134" i="19"/>
  <c r="D263" i="4"/>
  <c r="D280" i="4" s="1"/>
  <c r="D248" i="4"/>
  <c r="AG13" i="18"/>
  <c r="AH12" i="18"/>
  <c r="AA69" i="11"/>
  <c r="AZ117" i="20"/>
  <c r="AW142" i="20"/>
  <c r="AV142" i="20"/>
  <c r="AZ142" i="20" s="1"/>
  <c r="AW154" i="20"/>
  <c r="AI36" i="18"/>
  <c r="BA35" i="18"/>
  <c r="BC35" i="18" s="1"/>
  <c r="AJ38" i="22"/>
  <c r="AU37" i="22"/>
  <c r="AL37" i="22"/>
  <c r="AD146" i="20"/>
  <c r="AC147" i="20"/>
  <c r="AD147" i="20" s="1"/>
  <c r="AW83" i="14"/>
  <c r="AX82" i="14"/>
  <c r="Y373" i="11"/>
  <c r="BT8" i="7"/>
  <c r="Q133" i="7"/>
  <c r="X376" i="11"/>
  <c r="Q253" i="13"/>
  <c r="Q205" i="13" s="1"/>
  <c r="BM255" i="11"/>
  <c r="AT255" i="11"/>
  <c r="Q125" i="4"/>
  <c r="Q158" i="4" s="1"/>
  <c r="S187" i="13"/>
  <c r="S139" i="13" s="1"/>
  <c r="S141" i="11"/>
  <c r="AZ153" i="20"/>
  <c r="AK156" i="18"/>
  <c r="AJ157" i="18"/>
  <c r="AK119" i="18"/>
  <c r="AJ120" i="18"/>
  <c r="BB119" i="18"/>
  <c r="AW118" i="22"/>
  <c r="AY106" i="20"/>
  <c r="AW143" i="16"/>
  <c r="AV144" i="16"/>
  <c r="O313" i="4"/>
  <c r="O328" i="4"/>
  <c r="R103" i="3"/>
  <c r="AR155" i="16"/>
  <c r="AT154" i="16"/>
  <c r="BA154" i="16" s="1"/>
  <c r="AI143" i="18"/>
  <c r="AK142" i="18"/>
  <c r="AL37" i="20"/>
  <c r="AO36" i="20"/>
  <c r="AX178" i="22"/>
  <c r="AW178" i="22"/>
  <c r="BA178" i="22" s="1"/>
  <c r="R3" i="7"/>
  <c r="AB48" i="10"/>
  <c r="AA49" i="10"/>
  <c r="AQ158" i="16"/>
  <c r="AP159" i="16"/>
  <c r="AQ159" i="16" s="1"/>
  <c r="X213" i="4"/>
  <c r="AX87" i="4"/>
  <c r="AY87" i="4" s="1"/>
  <c r="AJ104" i="3"/>
  <c r="AK104" i="3" s="1"/>
  <c r="X329" i="11"/>
  <c r="X184" i="4" s="1"/>
  <c r="X248" i="3"/>
  <c r="X200" i="4"/>
  <c r="Y345" i="11"/>
  <c r="T182" i="13"/>
  <c r="T134" i="13" s="1"/>
  <c r="T136" i="11"/>
  <c r="U108" i="15"/>
  <c r="U116" i="15" s="1"/>
  <c r="U132" i="15"/>
  <c r="U51" i="6" s="1"/>
  <c r="L347" i="3"/>
  <c r="L362" i="3"/>
  <c r="T133" i="10"/>
  <c r="V132" i="10"/>
  <c r="AF134" i="18"/>
  <c r="AS87" i="18"/>
  <c r="M361" i="4"/>
  <c r="M391" i="4"/>
  <c r="AQ120" i="18"/>
  <c r="AP121" i="18"/>
  <c r="AT146" i="20"/>
  <c r="AI147" i="20"/>
  <c r="AT147" i="20" s="1"/>
  <c r="M378" i="3"/>
  <c r="AD108" i="20"/>
  <c r="AC109" i="20"/>
  <c r="R62" i="26"/>
  <c r="S61" i="26"/>
  <c r="Y300" i="15"/>
  <c r="AR169" i="16"/>
  <c r="AT168" i="16"/>
  <c r="R8" i="25"/>
  <c r="AS8" i="25" s="1"/>
  <c r="R11" i="23"/>
  <c r="R36" i="6"/>
  <c r="Y38" i="4"/>
  <c r="AM13" i="18"/>
  <c r="AN12" i="18"/>
  <c r="R110" i="26"/>
  <c r="T142" i="11"/>
  <c r="T188" i="13"/>
  <c r="T140" i="13" s="1"/>
  <c r="AY70" i="20"/>
  <c r="Q119" i="21"/>
  <c r="Q103" i="21" s="1"/>
  <c r="BP119" i="19"/>
  <c r="Q103" i="19"/>
  <c r="AH121" i="18"/>
  <c r="AG122" i="18"/>
  <c r="AG59" i="20"/>
  <c r="AF60" i="20"/>
  <c r="M491" i="3"/>
  <c r="M460" i="3"/>
  <c r="AI47" i="16"/>
  <c r="AK46" i="16"/>
  <c r="BA46" i="16" s="1"/>
  <c r="AX58" i="14"/>
  <c r="AW59" i="14"/>
  <c r="AR107" i="16"/>
  <c r="AT106" i="16"/>
  <c r="BA106" i="16" s="1"/>
  <c r="AM84" i="20"/>
  <c r="AO83" i="20"/>
  <c r="U74" i="26"/>
  <c r="V73" i="26"/>
  <c r="R13" i="8"/>
  <c r="S12" i="8"/>
  <c r="AX139" i="12"/>
  <c r="AY138" i="12"/>
  <c r="Y60" i="20"/>
  <c r="AS59" i="20"/>
  <c r="U121" i="8"/>
  <c r="V120" i="8"/>
  <c r="K491" i="3"/>
  <c r="K460" i="3"/>
  <c r="AG147" i="16"/>
  <c r="Y119" i="10"/>
  <c r="X120" i="10"/>
  <c r="Z73" i="20"/>
  <c r="AU72" i="20"/>
  <c r="AA72" i="20"/>
  <c r="AB96" i="10"/>
  <c r="AA97" i="10"/>
  <c r="AL168" i="14"/>
  <c r="Y48" i="10"/>
  <c r="X49" i="10"/>
  <c r="BM123" i="11"/>
  <c r="AT123" i="11"/>
  <c r="Q43" i="11"/>
  <c r="Y45" i="4"/>
  <c r="Z111" i="11"/>
  <c r="AN97" i="18"/>
  <c r="AM98" i="18"/>
  <c r="AR131" i="14"/>
  <c r="AO132" i="14"/>
  <c r="AU179" i="22"/>
  <c r="AY179" i="22" s="1"/>
  <c r="AJ180" i="22"/>
  <c r="AT131" i="16"/>
  <c r="AS132" i="16"/>
  <c r="V336" i="11"/>
  <c r="V191" i="4" s="1"/>
  <c r="V95" i="5" s="1"/>
  <c r="V207" i="4"/>
  <c r="W103" i="5" s="1"/>
  <c r="AX181" i="14"/>
  <c r="AW182" i="14"/>
  <c r="Z331" i="19"/>
  <c r="AB347" i="19"/>
  <c r="AK132" i="14"/>
  <c r="AN131" i="14"/>
  <c r="AM27" i="14"/>
  <c r="U119" i="24"/>
  <c r="V118" i="24"/>
  <c r="W118" i="24" s="1"/>
  <c r="X130" i="21"/>
  <c r="S84" i="8"/>
  <c r="R85" i="8"/>
  <c r="AY174" i="12"/>
  <c r="AX175" i="12"/>
  <c r="AB302" i="15"/>
  <c r="AH343" i="19"/>
  <c r="W130" i="21"/>
  <c r="Y130" i="19"/>
  <c r="Z130" i="19"/>
  <c r="U13" i="8"/>
  <c r="V12" i="8"/>
  <c r="AK84" i="20"/>
  <c r="AJ85" i="20"/>
  <c r="AV107" i="14"/>
  <c r="AS108" i="14"/>
  <c r="AQ109" i="18"/>
  <c r="AP110" i="18"/>
  <c r="AD180" i="20"/>
  <c r="AC181" i="20"/>
  <c r="AU181" i="20" s="1"/>
  <c r="U333" i="13"/>
  <c r="AM180" i="14"/>
  <c r="BA179" i="14"/>
  <c r="AN179" i="14"/>
  <c r="K349" i="3"/>
  <c r="L361" i="4"/>
  <c r="L391" i="4"/>
  <c r="AM157" i="14"/>
  <c r="BA156" i="14"/>
  <c r="AH131" i="19"/>
  <c r="AI131" i="19" s="1"/>
  <c r="S254" i="11"/>
  <c r="S249" i="11"/>
  <c r="S246" i="11"/>
  <c r="S253" i="11"/>
  <c r="S245" i="11"/>
  <c r="S247" i="11"/>
  <c r="S252" i="11"/>
  <c r="S251" i="11"/>
  <c r="S255" i="11"/>
  <c r="AQ97" i="22"/>
  <c r="AT96" i="22"/>
  <c r="AS96" i="22"/>
  <c r="J249" i="4"/>
  <c r="J264" i="4"/>
  <c r="AH167" i="18"/>
  <c r="R228" i="13"/>
  <c r="R198" i="11"/>
  <c r="W142" i="26"/>
  <c r="AA36" i="4"/>
  <c r="BG102" i="11"/>
  <c r="Z182" i="20"/>
  <c r="AA181" i="20"/>
  <c r="Y24" i="8"/>
  <c r="X25" i="8"/>
  <c r="AB155" i="15"/>
  <c r="R247" i="13"/>
  <c r="R119" i="4"/>
  <c r="R152" i="4" s="1"/>
  <c r="Y108" i="8"/>
  <c r="X109" i="8"/>
  <c r="R157" i="24"/>
  <c r="S156" i="24"/>
  <c r="AW166" i="20"/>
  <c r="AV166" i="20"/>
  <c r="BB11" i="18"/>
  <c r="BC11" i="18" s="1"/>
  <c r="AL144" i="20"/>
  <c r="AO143" i="20"/>
  <c r="AS143" i="20"/>
  <c r="AK108" i="14"/>
  <c r="AN107" i="14"/>
  <c r="AX85" i="16"/>
  <c r="AZ84" i="16"/>
  <c r="AH143" i="22"/>
  <c r="AG144" i="22"/>
  <c r="AJ87" i="18"/>
  <c r="AB119" i="10"/>
  <c r="AC119" i="10" s="1"/>
  <c r="AA120" i="10"/>
  <c r="AO12" i="14"/>
  <c r="AR11" i="14"/>
  <c r="BC69" i="14"/>
  <c r="AW179" i="18"/>
  <c r="AV180" i="18"/>
  <c r="AN60" i="18"/>
  <c r="AM61" i="18"/>
  <c r="AV131" i="14"/>
  <c r="AS132" i="14"/>
  <c r="AN96" i="20"/>
  <c r="AO95" i="20"/>
  <c r="Q251" i="13"/>
  <c r="Q203" i="13" s="1"/>
  <c r="AT253" i="11"/>
  <c r="BM253" i="11"/>
  <c r="Q123" i="4"/>
  <c r="Q156" i="4" s="1"/>
  <c r="S180" i="13"/>
  <c r="S132" i="13" s="1"/>
  <c r="S134" i="11"/>
  <c r="Z121" i="20"/>
  <c r="AA120" i="20"/>
  <c r="AU120" i="20"/>
  <c r="AY120" i="20" s="1"/>
  <c r="AV83" i="20"/>
  <c r="AQ120" i="22"/>
  <c r="AS120" i="22" s="1"/>
  <c r="AT119" i="22"/>
  <c r="AT157" i="18"/>
  <c r="AS158" i="18"/>
  <c r="V24" i="10"/>
  <c r="U25" i="10"/>
  <c r="C491" i="3"/>
  <c r="C460" i="3"/>
  <c r="AM180" i="22"/>
  <c r="AT179" i="22"/>
  <c r="Y139" i="21"/>
  <c r="AD139" i="19"/>
  <c r="AF139" i="19" s="1"/>
  <c r="AJ48" i="20"/>
  <c r="AK47" i="20"/>
  <c r="W180" i="4"/>
  <c r="Q116" i="21"/>
  <c r="BP116" i="19"/>
  <c r="BF116" i="19"/>
  <c r="BE116" i="19"/>
  <c r="Q100" i="19"/>
  <c r="AS35" i="14"/>
  <c r="AV34" i="14"/>
  <c r="BB179" i="14"/>
  <c r="N362" i="3"/>
  <c r="N379" i="3" s="1"/>
  <c r="N347" i="3"/>
  <c r="Z300" i="15"/>
  <c r="Z165" i="24"/>
  <c r="BS163" i="12" s="1"/>
  <c r="BI163" i="12" s="1"/>
  <c r="X165" i="24"/>
  <c r="AV106" i="20"/>
  <c r="AW106" i="20"/>
  <c r="R145" i="8"/>
  <c r="S144" i="8"/>
  <c r="Q24" i="24"/>
  <c r="S23" i="24"/>
  <c r="U37" i="8"/>
  <c r="V36" i="8"/>
  <c r="AP168" i="22"/>
  <c r="AO169" i="22"/>
  <c r="R14" i="7"/>
  <c r="R229" i="7" s="1"/>
  <c r="R87" i="4"/>
  <c r="R98" i="10"/>
  <c r="S97" i="10"/>
  <c r="AW24" i="18"/>
  <c r="AV25" i="18"/>
  <c r="AJ135" i="16"/>
  <c r="G347" i="3"/>
  <c r="G362" i="3"/>
  <c r="G379" i="3" s="1"/>
  <c r="H362" i="3"/>
  <c r="AA305" i="15"/>
  <c r="AB305" i="15" s="1"/>
  <c r="AU95" i="22"/>
  <c r="AW95" i="22" s="1"/>
  <c r="AJ96" i="22"/>
  <c r="O378" i="3"/>
  <c r="AX90" i="4"/>
  <c r="AY90" i="4" s="1"/>
  <c r="AJ107" i="3"/>
  <c r="AK107" i="3" s="1"/>
  <c r="BC155" i="18"/>
  <c r="AV46" i="14"/>
  <c r="AS47" i="14"/>
  <c r="AY154" i="22"/>
  <c r="AY166" i="22"/>
  <c r="AK109" i="20"/>
  <c r="AJ110" i="20"/>
  <c r="AR59" i="18"/>
  <c r="AT58" i="18"/>
  <c r="AI83" i="18"/>
  <c r="AK82" i="18"/>
  <c r="BA82" i="18"/>
  <c r="BC82" i="18" s="1"/>
  <c r="BD82" i="18" s="1"/>
  <c r="AL86" i="14"/>
  <c r="AZ85" i="14"/>
  <c r="E263" i="4"/>
  <c r="E280" i="4" s="1"/>
  <c r="E248" i="4"/>
  <c r="V82" i="24"/>
  <c r="U83" i="24"/>
  <c r="AJ37" i="16"/>
  <c r="Y132" i="21"/>
  <c r="Z301" i="15"/>
  <c r="AR36" i="22"/>
  <c r="AS35" i="22"/>
  <c r="AV35" i="22"/>
  <c r="AW35" i="22" s="1"/>
  <c r="AU71" i="22"/>
  <c r="AJ72" i="22"/>
  <c r="AL71" i="22"/>
  <c r="R191" i="13"/>
  <c r="R11" i="13" s="1"/>
  <c r="R131" i="13"/>
  <c r="U288" i="3"/>
  <c r="U292" i="3"/>
  <c r="U304" i="3" s="1"/>
  <c r="U228" i="3"/>
  <c r="AY70" i="14"/>
  <c r="BB70" i="14" s="1"/>
  <c r="AE120" i="22"/>
  <c r="AD121" i="22"/>
  <c r="P409" i="19"/>
  <c r="P391" i="19"/>
  <c r="AO47" i="14"/>
  <c r="AR46" i="14"/>
  <c r="AY46" i="14"/>
  <c r="BB46" i="14" s="1"/>
  <c r="BE46" i="14" s="1"/>
  <c r="AE122" i="15"/>
  <c r="AE106" i="15" s="1"/>
  <c r="AV84" i="20"/>
  <c r="J313" i="4"/>
  <c r="J328" i="4"/>
  <c r="AF133" i="20"/>
  <c r="AG132" i="20"/>
  <c r="AD72" i="20"/>
  <c r="AC73" i="20"/>
  <c r="AZ59" i="14"/>
  <c r="AL60" i="14"/>
  <c r="U169" i="8"/>
  <c r="V168" i="8"/>
  <c r="AS50" i="16"/>
  <c r="AI107" i="18"/>
  <c r="BA106" i="18"/>
  <c r="BC106" i="18" s="1"/>
  <c r="AZ25" i="18"/>
  <c r="AX26" i="18"/>
  <c r="AC143" i="8"/>
  <c r="AD143" i="8" s="1"/>
  <c r="AR119" i="16"/>
  <c r="AT118" i="16"/>
  <c r="BA118" i="16" s="1"/>
  <c r="P491" i="3"/>
  <c r="P460" i="3"/>
  <c r="Q238" i="13"/>
  <c r="BM240" i="11"/>
  <c r="Q208" i="11"/>
  <c r="AG180" i="22"/>
  <c r="AH179" i="22"/>
  <c r="AG138" i="19"/>
  <c r="AH37" i="16"/>
  <c r="AG38" i="16"/>
  <c r="S26" i="10"/>
  <c r="R27" i="10"/>
  <c r="S27" i="10" s="1"/>
  <c r="AX180" i="18"/>
  <c r="AZ179" i="18"/>
  <c r="N361" i="4"/>
  <c r="N391" i="4"/>
  <c r="S236" i="11"/>
  <c r="S235" i="11"/>
  <c r="S234" i="11"/>
  <c r="S231" i="11"/>
  <c r="S239" i="11"/>
  <c r="S229" i="11"/>
  <c r="S232" i="11"/>
  <c r="S238" i="11"/>
  <c r="S237" i="11"/>
  <c r="S233" i="11"/>
  <c r="S230" i="11"/>
  <c r="AR119" i="18"/>
  <c r="AT118" i="18"/>
  <c r="BA118" i="18"/>
  <c r="BC118" i="18" s="1"/>
  <c r="BD118" i="18" s="1"/>
  <c r="BB168" i="18"/>
  <c r="AG169" i="18"/>
  <c r="W328" i="19"/>
  <c r="W333" i="19" s="1"/>
  <c r="R232" i="13"/>
  <c r="Z383" i="11"/>
  <c r="BA166" i="22"/>
  <c r="O249" i="4"/>
  <c r="Q103" i="3"/>
  <c r="Q143" i="13"/>
  <c r="AO61" i="18"/>
  <c r="AQ60" i="18"/>
  <c r="AJ85" i="16"/>
  <c r="AK84" i="16"/>
  <c r="R252" i="13"/>
  <c r="R124" i="4"/>
  <c r="Z216" i="4"/>
  <c r="AB377" i="11"/>
  <c r="T287" i="3"/>
  <c r="T415" i="13"/>
  <c r="T24" i="13" s="1"/>
  <c r="BL24" i="13" s="1"/>
  <c r="X403" i="13" s="1"/>
  <c r="AL75" i="14"/>
  <c r="AS167" i="20"/>
  <c r="Y168" i="20"/>
  <c r="AA167" i="20"/>
  <c r="X39" i="4"/>
  <c r="Z105" i="11"/>
  <c r="AT143" i="16"/>
  <c r="AS144" i="16"/>
  <c r="AG131" i="19"/>
  <c r="AT109" i="18"/>
  <c r="AS110" i="18"/>
  <c r="V414" i="13"/>
  <c r="V287" i="3" s="1"/>
  <c r="V303" i="3" s="1"/>
  <c r="V223" i="4"/>
  <c r="AC118" i="10"/>
  <c r="AF98" i="18"/>
  <c r="AX109" i="18"/>
  <c r="AZ108" i="18"/>
  <c r="AR108" i="20"/>
  <c r="AP109" i="20"/>
  <c r="V109" i="5"/>
  <c r="AB12" i="8"/>
  <c r="AC12" i="8" s="1"/>
  <c r="AA13" i="8"/>
  <c r="Q247" i="13"/>
  <c r="Q199" i="13" s="1"/>
  <c r="BM249" i="11"/>
  <c r="AT249" i="11"/>
  <c r="Q119" i="4"/>
  <c r="Q152" i="4" s="1"/>
  <c r="S183" i="13"/>
  <c r="S135" i="13" s="1"/>
  <c r="S137" i="11"/>
  <c r="T185" i="13"/>
  <c r="T137" i="13" s="1"/>
  <c r="T139" i="11"/>
  <c r="AY119" i="20"/>
  <c r="K249" i="4"/>
  <c r="K264" i="4"/>
  <c r="P362" i="3"/>
  <c r="P347" i="3"/>
  <c r="R74" i="10"/>
  <c r="S73" i="10"/>
  <c r="R73" i="8"/>
  <c r="S72" i="8"/>
  <c r="Z350" i="11"/>
  <c r="AA350" i="11" s="1"/>
  <c r="AF27" i="18"/>
  <c r="AF85" i="18"/>
  <c r="BB165" i="16"/>
  <c r="AB139" i="19"/>
  <c r="AE139" i="19" s="1"/>
  <c r="AD96" i="22"/>
  <c r="AE95" i="22"/>
  <c r="AC36" i="20"/>
  <c r="AD35" i="20"/>
  <c r="AE36" i="20"/>
  <c r="AG35" i="20"/>
  <c r="AG297" i="15"/>
  <c r="AH180" i="16"/>
  <c r="AG181" i="16"/>
  <c r="AM133" i="18"/>
  <c r="BB133" i="18" s="1"/>
  <c r="AN132" i="18"/>
  <c r="AP134" i="16"/>
  <c r="AQ133" i="16"/>
  <c r="AS157" i="20"/>
  <c r="Y158" i="20"/>
  <c r="AR84" i="22"/>
  <c r="AV83" i="22"/>
  <c r="AS83" i="22"/>
  <c r="S120" i="24"/>
  <c r="R121" i="24"/>
  <c r="H313" i="4"/>
  <c r="H328" i="4"/>
  <c r="AL85" i="22"/>
  <c r="AK86" i="22"/>
  <c r="AW49" i="14"/>
  <c r="AX48" i="14"/>
  <c r="AM156" i="16"/>
  <c r="AN155" i="16"/>
  <c r="U157" i="10"/>
  <c r="V156" i="10"/>
  <c r="AC37" i="4"/>
  <c r="BD166" i="16"/>
  <c r="BQ164" i="12" s="1"/>
  <c r="BG164" i="12" s="1"/>
  <c r="AJ60" i="22"/>
  <c r="AU59" i="22"/>
  <c r="AW59" i="22" s="1"/>
  <c r="AZ132" i="18"/>
  <c r="AX133" i="18"/>
  <c r="Z139" i="21"/>
  <c r="R13" i="24"/>
  <c r="S12" i="24"/>
  <c r="AD109" i="22"/>
  <c r="AE108" i="22"/>
  <c r="Y146" i="20"/>
  <c r="AK108" i="16"/>
  <c r="AJ109" i="16"/>
  <c r="R109" i="3"/>
  <c r="U190" i="11"/>
  <c r="U185" i="11"/>
  <c r="U182" i="11"/>
  <c r="U189" i="11"/>
  <c r="U184" i="11"/>
  <c r="U181" i="11"/>
  <c r="U183" i="11"/>
  <c r="U188" i="11"/>
  <c r="U187" i="11"/>
  <c r="U186" i="11"/>
  <c r="U191" i="11"/>
  <c r="U96" i="26"/>
  <c r="V95" i="26"/>
  <c r="W95" i="26" s="1"/>
  <c r="AR61" i="22"/>
  <c r="AS60" i="22"/>
  <c r="W328" i="11"/>
  <c r="W183" i="4" s="1"/>
  <c r="W93" i="5" s="1"/>
  <c r="W199" i="4"/>
  <c r="W247" i="3"/>
  <c r="W352" i="11"/>
  <c r="V294" i="3"/>
  <c r="V230" i="3"/>
  <c r="F391" i="4"/>
  <c r="F361" i="4"/>
  <c r="Y39" i="4"/>
  <c r="AO13" i="22"/>
  <c r="AP12" i="22"/>
  <c r="S96" i="26"/>
  <c r="R97" i="26"/>
  <c r="V94" i="5"/>
  <c r="AH156" i="16"/>
  <c r="AG157" i="16"/>
  <c r="AW155" i="16"/>
  <c r="AV156" i="16"/>
  <c r="AS123" i="18"/>
  <c r="AZ57" i="20"/>
  <c r="AX94" i="20"/>
  <c r="AX106" i="20"/>
  <c r="AA331" i="19"/>
  <c r="AE297" i="15"/>
  <c r="Z349" i="11"/>
  <c r="AX93" i="4"/>
  <c r="AY93" i="4" s="1"/>
  <c r="AJ110" i="3"/>
  <c r="AK110" i="3" s="1"/>
  <c r="AJ109" i="3"/>
  <c r="AK109" i="3" s="1"/>
  <c r="AX92" i="4"/>
  <c r="AY92" i="4" s="1"/>
  <c r="R159" i="10"/>
  <c r="S181" i="24"/>
  <c r="R182" i="24"/>
  <c r="P427" i="3"/>
  <c r="P412" i="3"/>
  <c r="AX89" i="4"/>
  <c r="AY89" i="4" s="1"/>
  <c r="AJ106" i="3"/>
  <c r="AK106" i="3" s="1"/>
  <c r="R89" i="4"/>
  <c r="AJ110" i="22"/>
  <c r="AU109" i="22"/>
  <c r="R243" i="13"/>
  <c r="R115" i="4"/>
  <c r="AB132" i="22"/>
  <c r="AA133" i="22"/>
  <c r="AF13" i="18"/>
  <c r="BA12" i="18"/>
  <c r="AH170" i="16"/>
  <c r="AG171" i="16"/>
  <c r="AH171" i="16" s="1"/>
  <c r="AR60" i="20"/>
  <c r="AP61" i="20"/>
  <c r="Y44" i="4"/>
  <c r="AO36" i="22"/>
  <c r="AP35" i="22"/>
  <c r="AM24" i="22"/>
  <c r="AT23" i="22"/>
  <c r="AW23" i="22" s="1"/>
  <c r="AP23" i="22"/>
  <c r="G491" i="3"/>
  <c r="G460" i="3"/>
  <c r="Q73" i="26"/>
  <c r="S72" i="26"/>
  <c r="W72" i="26" s="1"/>
  <c r="AT12" i="20"/>
  <c r="AX24" i="20" s="1"/>
  <c r="AI13" i="20"/>
  <c r="AO14" i="20"/>
  <c r="AL15" i="20"/>
  <c r="AO15" i="20" s="1"/>
  <c r="F347" i="3"/>
  <c r="F362" i="3"/>
  <c r="F379" i="3" s="1"/>
  <c r="AX154" i="14"/>
  <c r="AW155" i="14"/>
  <c r="AB144" i="8"/>
  <c r="AA145" i="8"/>
  <c r="AK12" i="16"/>
  <c r="AJ13" i="16"/>
  <c r="S4" i="15"/>
  <c r="AX82" i="20"/>
  <c r="AX96" i="16"/>
  <c r="AZ95" i="16"/>
  <c r="AF138" i="19"/>
  <c r="H428" i="3"/>
  <c r="H413" i="3"/>
  <c r="AJ74" i="16"/>
  <c r="AK73" i="16"/>
  <c r="AS85" i="16"/>
  <c r="AL108" i="14"/>
  <c r="AZ107" i="14"/>
  <c r="AR47" i="20"/>
  <c r="AP48" i="20"/>
  <c r="AX130" i="20"/>
  <c r="AX142" i="20"/>
  <c r="U59" i="24"/>
  <c r="V58" i="24"/>
  <c r="W58" i="24" s="1"/>
  <c r="R197" i="11"/>
  <c r="R227" i="13"/>
  <c r="X104" i="15"/>
  <c r="AG110" i="18"/>
  <c r="AH109" i="18"/>
  <c r="D461" i="3"/>
  <c r="D492" i="3"/>
  <c r="AN143" i="18"/>
  <c r="AM144" i="18"/>
  <c r="Q191" i="13"/>
  <c r="Q11" i="13" s="1"/>
  <c r="E379" i="3"/>
  <c r="S36" i="8"/>
  <c r="R37" i="8"/>
  <c r="AE50" i="22"/>
  <c r="AD51" i="22"/>
  <c r="AE51" i="22" s="1"/>
  <c r="U24" i="8"/>
  <c r="V23" i="8"/>
  <c r="AC23" i="8" s="1"/>
  <c r="AS145" i="22"/>
  <c r="AR146" i="22"/>
  <c r="Y144" i="8"/>
  <c r="X145" i="8"/>
  <c r="X324" i="19"/>
  <c r="X348" i="19"/>
  <c r="X332" i="19" s="1"/>
  <c r="AB298" i="15"/>
  <c r="AR72" i="20"/>
  <c r="AP73" i="20"/>
  <c r="AK96" i="22"/>
  <c r="AL95" i="22"/>
  <c r="AV95" i="22"/>
  <c r="U179" i="24"/>
  <c r="V178" i="24"/>
  <c r="W178" i="24" s="1"/>
  <c r="V229" i="3"/>
  <c r="W56" i="11"/>
  <c r="X72" i="11"/>
  <c r="AV21" i="14"/>
  <c r="AS22" i="14"/>
  <c r="AY21" i="14"/>
  <c r="BB21" i="14" s="1"/>
  <c r="BE21" i="14" s="1"/>
  <c r="AX60" i="18"/>
  <c r="AZ59" i="18"/>
  <c r="V108" i="5"/>
  <c r="AC298" i="15"/>
  <c r="V167" i="26"/>
  <c r="W167" i="26" s="1"/>
  <c r="U168" i="26"/>
  <c r="AM73" i="16"/>
  <c r="AN72" i="16"/>
  <c r="T144" i="10"/>
  <c r="V143" i="10"/>
  <c r="AC143" i="10" s="1"/>
  <c r="AC11" i="8"/>
  <c r="Q252" i="13"/>
  <c r="Q204" i="13" s="1"/>
  <c r="Q258" i="11"/>
  <c r="AT254" i="11"/>
  <c r="BM254" i="11"/>
  <c r="Q124" i="4"/>
  <c r="Q76" i="4" s="1"/>
  <c r="S188" i="13"/>
  <c r="S140" i="13" s="1"/>
  <c r="S142" i="11"/>
  <c r="T181" i="13"/>
  <c r="T133" i="13" s="1"/>
  <c r="T135" i="11"/>
  <c r="V134" i="8"/>
  <c r="U135" i="8"/>
  <c r="V135" i="8" s="1"/>
  <c r="K280" i="4"/>
  <c r="AG84" i="16"/>
  <c r="AH83" i="16"/>
  <c r="P378" i="3"/>
  <c r="AC48" i="20"/>
  <c r="AD47" i="20"/>
  <c r="AU47" i="20"/>
  <c r="AY47" i="20" s="1"/>
  <c r="AM98" i="16"/>
  <c r="AN97" i="16"/>
  <c r="H248" i="4"/>
  <c r="H263" i="4"/>
  <c r="Z344" i="19"/>
  <c r="Q47" i="24"/>
  <c r="S46" i="24"/>
  <c r="W46" i="24" s="1"/>
  <c r="BB84" i="18"/>
  <c r="AH84" i="18"/>
  <c r="AG85" i="18"/>
  <c r="BM207" i="11"/>
  <c r="Y75" i="11"/>
  <c r="Z306" i="15"/>
  <c r="AD306" i="15" s="1"/>
  <c r="BA144" i="14"/>
  <c r="AM145" i="14"/>
  <c r="U48" i="24"/>
  <c r="V47" i="24"/>
  <c r="AW23" i="16"/>
  <c r="AV24" i="16"/>
  <c r="Z132" i="21"/>
  <c r="AN131" i="16"/>
  <c r="AM132" i="16"/>
  <c r="AA216" i="4"/>
  <c r="U3" i="6"/>
  <c r="U34" i="15"/>
  <c r="U35" i="15" s="1"/>
  <c r="AI72" i="20"/>
  <c r="AT71" i="20"/>
  <c r="AX71" i="20" s="1"/>
  <c r="AJ13" i="18"/>
  <c r="AK12" i="18"/>
  <c r="U146" i="10"/>
  <c r="S169" i="8"/>
  <c r="R170" i="8"/>
  <c r="AK156" i="22"/>
  <c r="AL155" i="22"/>
  <c r="Q111" i="3"/>
  <c r="W276" i="3"/>
  <c r="AP144" i="22"/>
  <c r="AO145" i="22"/>
  <c r="Z245" i="3"/>
  <c r="Z197" i="4"/>
  <c r="V94" i="24"/>
  <c r="W94" i="24" s="1"/>
  <c r="U95" i="24"/>
  <c r="Z104" i="15"/>
  <c r="Q83" i="24"/>
  <c r="S82" i="24"/>
  <c r="AR179" i="16"/>
  <c r="AT178" i="16"/>
  <c r="BA178" i="16" s="1"/>
  <c r="BB178" i="16" s="1"/>
  <c r="AD183" i="22"/>
  <c r="AE183" i="22" s="1"/>
  <c r="AE182" i="22"/>
  <c r="AQ84" i="22"/>
  <c r="AT83" i="22"/>
  <c r="AW83" i="22" s="1"/>
  <c r="X328" i="19"/>
  <c r="R12" i="15"/>
  <c r="R13" i="15" s="1"/>
  <c r="R25" i="6"/>
  <c r="Z201" i="4"/>
  <c r="Z249" i="3"/>
  <c r="Y27" i="20"/>
  <c r="AO86" i="22"/>
  <c r="AP85" i="22"/>
  <c r="Y19" i="5"/>
  <c r="AK183" i="14"/>
  <c r="AW95" i="14"/>
  <c r="AX94" i="14"/>
  <c r="AM108" i="14"/>
  <c r="BA107" i="14"/>
  <c r="AF38" i="20"/>
  <c r="AA321" i="19"/>
  <c r="AB337" i="19"/>
  <c r="AE410" i="3"/>
  <c r="AR23" i="16"/>
  <c r="AT22" i="16"/>
  <c r="BA22" i="16" s="1"/>
  <c r="Y132" i="8"/>
  <c r="X133" i="8"/>
  <c r="X97" i="8"/>
  <c r="Y96" i="8"/>
  <c r="AI23" i="18"/>
  <c r="BA22" i="18"/>
  <c r="BC22" i="18" s="1"/>
  <c r="AK22" i="18"/>
  <c r="V107" i="24"/>
  <c r="U108" i="24"/>
  <c r="AB300" i="15"/>
  <c r="U415" i="13"/>
  <c r="U24" i="13" s="1"/>
  <c r="BM24" i="13" s="1"/>
  <c r="Y408" i="13" s="1"/>
  <c r="Y281" i="3" s="1"/>
  <c r="Y297" i="3" s="1"/>
  <c r="Y104" i="15"/>
  <c r="BM203" i="11"/>
  <c r="AT203" i="11"/>
  <c r="CA14" i="13"/>
  <c r="AV144" i="22"/>
  <c r="Y168" i="10"/>
  <c r="X169" i="10"/>
  <c r="AB303" i="15"/>
  <c r="AK120" i="22"/>
  <c r="AL119" i="22"/>
  <c r="AQ72" i="22"/>
  <c r="AT71" i="22"/>
  <c r="AW71" i="22" s="1"/>
  <c r="X177" i="24"/>
  <c r="Z177" i="24"/>
  <c r="AN23" i="14"/>
  <c r="AK24" i="14"/>
  <c r="V233" i="3"/>
  <c r="P264" i="4"/>
  <c r="P249" i="4"/>
  <c r="R14" i="26"/>
  <c r="AX118" i="14"/>
  <c r="AW119" i="14"/>
  <c r="V276" i="3"/>
  <c r="AW95" i="18"/>
  <c r="AV96" i="18"/>
  <c r="BB96" i="18" s="1"/>
  <c r="AS11" i="22"/>
  <c r="AR12" i="22"/>
  <c r="AV11" i="22"/>
  <c r="AX121" i="16"/>
  <c r="AZ120" i="16"/>
  <c r="Q248" i="13"/>
  <c r="Q200" i="13" s="1"/>
  <c r="BM250" i="11"/>
  <c r="AT250" i="11"/>
  <c r="Q120" i="4"/>
  <c r="Q153" i="4" s="1"/>
  <c r="S184" i="13"/>
  <c r="S136" i="13" s="1"/>
  <c r="S138" i="11"/>
  <c r="T189" i="13"/>
  <c r="T141" i="13" s="1"/>
  <c r="T143" i="11"/>
  <c r="AH97" i="18"/>
  <c r="AG98" i="18"/>
  <c r="H279" i="4"/>
  <c r="J347" i="3"/>
  <c r="J362" i="3"/>
  <c r="J379" i="3" s="1"/>
  <c r="AD346" i="3"/>
  <c r="AH346" i="3" s="1"/>
  <c r="K362" i="3"/>
  <c r="K379" i="3" s="1"/>
  <c r="V71" i="24"/>
  <c r="W71" i="24" s="1"/>
  <c r="U72" i="24"/>
  <c r="I364" i="3"/>
  <c r="I349" i="3"/>
  <c r="AW47" i="18"/>
  <c r="AV48" i="18"/>
  <c r="Z304" i="15"/>
  <c r="Q120" i="21"/>
  <c r="Q104" i="21" s="1"/>
  <c r="Q104" i="19"/>
  <c r="BP120" i="19"/>
  <c r="AM86" i="14"/>
  <c r="R123" i="10"/>
  <c r="S123" i="10" s="1"/>
  <c r="S122" i="10"/>
  <c r="R235" i="13"/>
  <c r="R205" i="11"/>
  <c r="R125" i="11" s="1"/>
  <c r="R45" i="11" s="1"/>
  <c r="AW35" i="18"/>
  <c r="AV36" i="18"/>
  <c r="AB95" i="22"/>
  <c r="AA96" i="22"/>
  <c r="R7" i="19"/>
  <c r="AQ132" i="22"/>
  <c r="AT131" i="22"/>
  <c r="AW131" i="22" s="1"/>
  <c r="AS131" i="22"/>
  <c r="AA133" i="8"/>
  <c r="AB132" i="8"/>
  <c r="M347" i="3"/>
  <c r="M362" i="3"/>
  <c r="M379" i="3" s="1"/>
  <c r="Q155" i="26"/>
  <c r="S154" i="26"/>
  <c r="BM144" i="11"/>
  <c r="AT144" i="11"/>
  <c r="Q94" i="4"/>
  <c r="Q95" i="4" s="1"/>
  <c r="Q97" i="4" s="1"/>
  <c r="BA167" i="16"/>
  <c r="U8" i="23"/>
  <c r="U3" i="23" s="1"/>
  <c r="U7" i="6"/>
  <c r="T8" i="23"/>
  <c r="T7" i="6"/>
  <c r="AT96" i="16"/>
  <c r="AS97" i="16"/>
  <c r="Y13" i="20"/>
  <c r="AS12" i="20"/>
  <c r="AH72" i="22"/>
  <c r="AG73" i="22"/>
  <c r="AA181" i="8"/>
  <c r="AB180" i="8"/>
  <c r="AC180" i="8" s="1"/>
  <c r="X54" i="11"/>
  <c r="AD170" i="22"/>
  <c r="AE169" i="22"/>
  <c r="AV22" i="20"/>
  <c r="AZ22" i="20" s="1"/>
  <c r="AW22" i="20"/>
  <c r="AO170" i="20"/>
  <c r="AL171" i="20"/>
  <c r="AO171" i="20" s="1"/>
  <c r="X38" i="8"/>
  <c r="AB196" i="4"/>
  <c r="AQ156" i="18"/>
  <c r="AP157" i="18"/>
  <c r="AX91" i="4"/>
  <c r="AY91" i="4" s="1"/>
  <c r="AJ108" i="3"/>
  <c r="AK108" i="3" s="1"/>
  <c r="AM181" i="18"/>
  <c r="AN180" i="18"/>
  <c r="AY146" i="16"/>
  <c r="AZ145" i="16"/>
  <c r="AU132" i="20"/>
  <c r="AY132" i="20" s="1"/>
  <c r="Z133" i="20"/>
  <c r="AB306" i="15"/>
  <c r="AQ167" i="16"/>
  <c r="AP168" i="16"/>
  <c r="AT84" i="20"/>
  <c r="AI85" i="20"/>
  <c r="AN23" i="18"/>
  <c r="AM24" i="18"/>
  <c r="AW82" i="22"/>
  <c r="AB96" i="20"/>
  <c r="AS95" i="20"/>
  <c r="AD95" i="20"/>
  <c r="AH13" i="22"/>
  <c r="AG14" i="22"/>
  <c r="W294" i="3"/>
  <c r="W230" i="3"/>
  <c r="V120" i="26"/>
  <c r="W120" i="26" s="1"/>
  <c r="U121" i="26"/>
  <c r="AQ146" i="22"/>
  <c r="AT145" i="22"/>
  <c r="AF323" i="19"/>
  <c r="AL60" i="20"/>
  <c r="AO59" i="20"/>
  <c r="AI37" i="20"/>
  <c r="AT36" i="20"/>
  <c r="AX36" i="20" s="1"/>
  <c r="AK36" i="20"/>
  <c r="AS169" i="18"/>
  <c r="AS167" i="14"/>
  <c r="AV166" i="14"/>
  <c r="AQ62" i="22"/>
  <c r="AT61" i="22"/>
  <c r="Y42" i="4"/>
  <c r="AS133" i="18"/>
  <c r="Q143" i="26"/>
  <c r="S142" i="26"/>
  <c r="BA156" i="18"/>
  <c r="AF157" i="18"/>
  <c r="S11" i="15"/>
  <c r="T11" i="15" s="1"/>
  <c r="AJ159" i="16"/>
  <c r="AK159" i="16" s="1"/>
  <c r="AK158" i="16"/>
  <c r="AQ84" i="14"/>
  <c r="BA83" i="14"/>
  <c r="T21" i="13"/>
  <c r="BL22" i="13"/>
  <c r="AD166" i="10"/>
  <c r="BC141" i="14"/>
  <c r="BE141" i="14"/>
  <c r="X217" i="4"/>
  <c r="V95" i="10"/>
  <c r="AC95" i="10" s="1"/>
  <c r="U96" i="10"/>
  <c r="AJ73" i="18"/>
  <c r="AK72" i="18"/>
  <c r="AJ97" i="18"/>
  <c r="AW158" i="18"/>
  <c r="AV159" i="18"/>
  <c r="AW159" i="18" s="1"/>
  <c r="AR83" i="18"/>
  <c r="AT82" i="18"/>
  <c r="AP15" i="20"/>
  <c r="AR15" i="20" s="1"/>
  <c r="AR14" i="20"/>
  <c r="AY154" i="20"/>
  <c r="AV154" i="20"/>
  <c r="AF103" i="11"/>
  <c r="AO155" i="14"/>
  <c r="AY155" i="14" s="1"/>
  <c r="BB155" i="14" s="1"/>
  <c r="AR154" i="14"/>
  <c r="AX155" i="22"/>
  <c r="AW155" i="22"/>
  <c r="BA155" i="22" s="1"/>
  <c r="AB296" i="15"/>
  <c r="AM24" i="16"/>
  <c r="AN23" i="16"/>
  <c r="AD138" i="19"/>
  <c r="AH138" i="19" s="1"/>
  <c r="AR121" i="22"/>
  <c r="AB36" i="8"/>
  <c r="AA37" i="8"/>
  <c r="AN167" i="16"/>
  <c r="AM168" i="16"/>
  <c r="Y62" i="11"/>
  <c r="AK181" i="22"/>
  <c r="AQ47" i="16"/>
  <c r="AP48" i="16"/>
  <c r="AC118" i="8"/>
  <c r="AD118" i="8" s="1"/>
  <c r="S74" i="24"/>
  <c r="R75" i="24"/>
  <c r="S75" i="24" s="1"/>
  <c r="AF180" i="18"/>
  <c r="AH180" i="18" s="1"/>
  <c r="BA179" i="18"/>
  <c r="BC179" i="18" s="1"/>
  <c r="BD179" i="18" s="1"/>
  <c r="Y168" i="8"/>
  <c r="X169" i="8"/>
  <c r="Y130" i="15"/>
  <c r="Y114" i="15" s="1"/>
  <c r="AA162" i="15"/>
  <c r="AB162" i="15" s="1"/>
  <c r="AZ141" i="20"/>
  <c r="AW167" i="14"/>
  <c r="AX166" i="14"/>
  <c r="AW47" i="16"/>
  <c r="AV48" i="16"/>
  <c r="AT181" i="18"/>
  <c r="AS182" i="18"/>
  <c r="AM36" i="18"/>
  <c r="AN35" i="18"/>
  <c r="AB76" i="11"/>
  <c r="AY167" i="14"/>
  <c r="AN167" i="14"/>
  <c r="AK168" i="14"/>
  <c r="R48" i="3"/>
  <c r="R68" i="3"/>
  <c r="R80" i="3" s="1"/>
  <c r="AK50" i="22"/>
  <c r="V43" i="4"/>
  <c r="V21" i="5" s="1"/>
  <c r="V112" i="11"/>
  <c r="W109" i="11"/>
  <c r="V61" i="11"/>
  <c r="D391" i="4"/>
  <c r="D361" i="4"/>
  <c r="Y70" i="11"/>
  <c r="Z70" i="11" s="1"/>
  <c r="BB132" i="18"/>
  <c r="V12" i="10"/>
  <c r="U13" i="10"/>
  <c r="AL98" i="20"/>
  <c r="R229" i="13"/>
  <c r="R199" i="11"/>
  <c r="R119" i="11" s="1"/>
  <c r="R39" i="11" s="1"/>
  <c r="AZ166" i="22"/>
  <c r="AI458" i="3"/>
  <c r="Y23" i="10"/>
  <c r="AC23" i="10" s="1"/>
  <c r="X24" i="10"/>
  <c r="AV47" i="22"/>
  <c r="AR48" i="22"/>
  <c r="AS47" i="22"/>
  <c r="AA322" i="19"/>
  <c r="AZ33" i="20"/>
  <c r="AW22" i="14"/>
  <c r="AX21" i="14"/>
  <c r="F491" i="3"/>
  <c r="F460" i="3"/>
  <c r="AB180" i="10"/>
  <c r="AA181" i="10"/>
  <c r="AW70" i="22"/>
  <c r="V13" i="23"/>
  <c r="W13" i="23" s="1"/>
  <c r="Q8" i="25"/>
  <c r="AR8" i="25" s="1"/>
  <c r="Q11" i="23"/>
  <c r="AV8" i="23"/>
  <c r="Q36" i="6"/>
  <c r="P280" i="4"/>
  <c r="S62" i="8"/>
  <c r="R63" i="8"/>
  <c r="S63" i="8" s="1"/>
  <c r="AS83" i="14"/>
  <c r="AV82" i="14"/>
  <c r="AC82" i="8"/>
  <c r="AD82" i="8" s="1"/>
  <c r="AN109" i="16"/>
  <c r="AM110" i="16"/>
  <c r="AT96" i="18"/>
  <c r="AS97" i="18"/>
  <c r="P19" i="2"/>
  <c r="T184" i="13"/>
  <c r="T136" i="13" s="1"/>
  <c r="T138" i="11"/>
  <c r="Y73" i="10"/>
  <c r="X74" i="10"/>
  <c r="BE152" i="14"/>
  <c r="W36" i="8"/>
  <c r="Y35" i="8"/>
  <c r="AC35" i="8" s="1"/>
  <c r="AD47" i="8" s="1"/>
  <c r="BA162" i="12"/>
  <c r="BP162" i="12" s="1"/>
  <c r="AY162" i="12"/>
  <c r="AX163" i="12"/>
  <c r="BE164" i="14"/>
  <c r="AJ26" i="18"/>
  <c r="AB78" i="11"/>
  <c r="D413" i="3"/>
  <c r="D428" i="3"/>
  <c r="AB108" i="8"/>
  <c r="AA109" i="8"/>
  <c r="AC24" i="20"/>
  <c r="AD23" i="20"/>
  <c r="W41" i="4"/>
  <c r="X98" i="10"/>
  <c r="Y97" i="10"/>
  <c r="U8" i="15"/>
  <c r="BK8" i="15" s="1"/>
  <c r="BK7" i="15"/>
  <c r="U10" i="15"/>
  <c r="BK10" i="15" s="1"/>
  <c r="U7" i="11"/>
  <c r="AE155" i="22"/>
  <c r="AD156" i="22"/>
  <c r="AF169" i="20"/>
  <c r="AG168" i="20"/>
  <c r="T180" i="13"/>
  <c r="T132" i="13" s="1"/>
  <c r="T134" i="11"/>
  <c r="N378" i="3"/>
  <c r="BE18" i="15"/>
  <c r="BN35" i="15"/>
  <c r="R17" i="15"/>
  <c r="AA306" i="15"/>
  <c r="AT48" i="22"/>
  <c r="AQ49" i="22"/>
  <c r="AU169" i="22"/>
  <c r="AJ170" i="22"/>
  <c r="Y63" i="11"/>
  <c r="BA131" i="14"/>
  <c r="AM132" i="14"/>
  <c r="Y204" i="4"/>
  <c r="Y252" i="3"/>
  <c r="U46" i="4"/>
  <c r="U114" i="11"/>
  <c r="X218" i="4"/>
  <c r="Y379" i="11"/>
  <c r="Z379" i="11" s="1"/>
  <c r="AG11" i="20"/>
  <c r="AF12" i="20"/>
  <c r="R253" i="13"/>
  <c r="R125" i="4"/>
  <c r="R158" i="4" s="1"/>
  <c r="D348" i="3"/>
  <c r="D363" i="3"/>
  <c r="D380" i="3" s="1"/>
  <c r="AS26" i="18"/>
  <c r="AT25" i="18"/>
  <c r="AW94" i="20"/>
  <c r="AV94" i="20"/>
  <c r="AZ94" i="20" s="1"/>
  <c r="Z24" i="20"/>
  <c r="AU23" i="20"/>
  <c r="AY23" i="20" s="1"/>
  <c r="AA23" i="20"/>
  <c r="AH24" i="20"/>
  <c r="AS23" i="20"/>
  <c r="AW35" i="20" s="1"/>
  <c r="AK23" i="20"/>
  <c r="AQ98" i="18"/>
  <c r="AP99" i="18"/>
  <c r="AQ99" i="18" s="1"/>
  <c r="AW180" i="16"/>
  <c r="AV181" i="16"/>
  <c r="AP159" i="20"/>
  <c r="AR159" i="20" s="1"/>
  <c r="AR158" i="20"/>
  <c r="AG169" i="22"/>
  <c r="AH168" i="22"/>
  <c r="AC13" i="20"/>
  <c r="AD12" i="20"/>
  <c r="AZ179" i="16"/>
  <c r="AX180" i="16"/>
  <c r="R26" i="24"/>
  <c r="AF48" i="18"/>
  <c r="Q47" i="26"/>
  <c r="S46" i="26"/>
  <c r="AG323" i="19"/>
  <c r="BC283" i="15"/>
  <c r="AF182" i="20"/>
  <c r="AG181" i="20"/>
  <c r="AI168" i="16"/>
  <c r="AK167" i="16"/>
  <c r="AV107" i="22"/>
  <c r="AS107" i="22"/>
  <c r="AR108" i="22"/>
  <c r="Y86" i="10"/>
  <c r="X87" i="10"/>
  <c r="Y87" i="10" s="1"/>
  <c r="Y326" i="19"/>
  <c r="AW73" i="18"/>
  <c r="AV74" i="18"/>
  <c r="U107" i="26"/>
  <c r="V106" i="26"/>
  <c r="W106" i="26" s="1"/>
  <c r="X157" i="10"/>
  <c r="Y156" i="10"/>
  <c r="AE323" i="19"/>
  <c r="W20" i="5"/>
  <c r="AT204" i="11"/>
  <c r="BM204" i="11"/>
  <c r="Q165" i="7"/>
  <c r="BT10" i="7"/>
  <c r="Q246" i="13"/>
  <c r="AT248" i="11"/>
  <c r="BM248" i="11"/>
  <c r="Q118" i="4"/>
  <c r="Q70" i="4" s="1"/>
  <c r="X129" i="15"/>
  <c r="X113" i="15" s="1"/>
  <c r="BE163" i="12"/>
  <c r="R230" i="13"/>
  <c r="R248" i="11"/>
  <c r="R200" i="11" s="1"/>
  <c r="R120" i="11" s="1"/>
  <c r="R40" i="11" s="1"/>
  <c r="AF110" i="18"/>
  <c r="U331" i="13"/>
  <c r="AD178" i="10"/>
  <c r="AW36" i="16"/>
  <c r="AV37" i="16"/>
  <c r="AI410" i="3"/>
  <c r="AQ179" i="16"/>
  <c r="AP180" i="16"/>
  <c r="AO169" i="14"/>
  <c r="AJ13" i="20"/>
  <c r="AK12" i="20"/>
  <c r="AX157" i="18"/>
  <c r="AZ156" i="18"/>
  <c r="AL179" i="22"/>
  <c r="V49" i="10"/>
  <c r="U50" i="10"/>
  <c r="AD298" i="15"/>
  <c r="AE298" i="15" s="1"/>
  <c r="AB50" i="8"/>
  <c r="AA51" i="8"/>
  <c r="AB51" i="8" s="1"/>
  <c r="BE116" i="14"/>
  <c r="BC116" i="14"/>
  <c r="BC153" i="14"/>
  <c r="AB119" i="8"/>
  <c r="AA120" i="8"/>
  <c r="V61" i="10"/>
  <c r="U62" i="10"/>
  <c r="AI132" i="20"/>
  <c r="AT131" i="20"/>
  <c r="AK131" i="20"/>
  <c r="AH133" i="18"/>
  <c r="AG134" i="18"/>
  <c r="R237" i="13"/>
  <c r="R207" i="11"/>
  <c r="R127" i="11" s="1"/>
  <c r="R47" i="11" s="1"/>
  <c r="V61" i="8"/>
  <c r="U62" i="8"/>
  <c r="AV167" i="22"/>
  <c r="AZ167" i="22" s="1"/>
  <c r="AS167" i="22"/>
  <c r="AR168" i="22"/>
  <c r="E348" i="3"/>
  <c r="E363" i="3"/>
  <c r="E380" i="3" s="1"/>
  <c r="AH25" i="22"/>
  <c r="AG26" i="22"/>
  <c r="W232" i="3"/>
  <c r="AN169" i="18"/>
  <c r="AM170" i="18"/>
  <c r="AK145" i="22"/>
  <c r="AQ157" i="22"/>
  <c r="AT156" i="22"/>
  <c r="R31" i="13"/>
  <c r="R33" i="11"/>
  <c r="R34" i="11" s="1"/>
  <c r="R4" i="6"/>
  <c r="AR95" i="14"/>
  <c r="AO96" i="14"/>
  <c r="U169" i="10"/>
  <c r="V168" i="10"/>
  <c r="AX130" i="12"/>
  <c r="AB108" i="22"/>
  <c r="AA109" i="22"/>
  <c r="AD155" i="20"/>
  <c r="AC156" i="20"/>
  <c r="AU155" i="20"/>
  <c r="T20" i="6"/>
  <c r="T27" i="11"/>
  <c r="AB221" i="4"/>
  <c r="W7" i="15"/>
  <c r="X14" i="8"/>
  <c r="Y13" i="8"/>
  <c r="AD330" i="19"/>
  <c r="AE346" i="19"/>
  <c r="AY166" i="20"/>
  <c r="BA178" i="18"/>
  <c r="BC178" i="18" s="1"/>
  <c r="BD178" i="18" s="1"/>
  <c r="AL143" i="22"/>
  <c r="AP145" i="18"/>
  <c r="AQ144" i="18"/>
  <c r="AR72" i="22"/>
  <c r="AS71" i="22"/>
  <c r="AV71" i="22"/>
  <c r="R18" i="6"/>
  <c r="X331" i="11"/>
  <c r="X186" i="4" s="1"/>
  <c r="M412" i="3"/>
  <c r="M427" i="3"/>
  <c r="Y307" i="15"/>
  <c r="BA142" i="18"/>
  <c r="BC142" i="18" s="1"/>
  <c r="BD142" i="18" s="1"/>
  <c r="AL134" i="20"/>
  <c r="AO133" i="20"/>
  <c r="T192" i="4"/>
  <c r="L313" i="4"/>
  <c r="L328" i="4"/>
  <c r="S48" i="10"/>
  <c r="R49" i="10"/>
  <c r="AN120" i="16"/>
  <c r="AM121" i="16"/>
  <c r="S105" i="13"/>
  <c r="S42" i="3" s="1"/>
  <c r="S101" i="13"/>
  <c r="S38" i="3" s="1"/>
  <c r="S103" i="13"/>
  <c r="S40" i="3" s="1"/>
  <c r="S108" i="13"/>
  <c r="S45" i="3" s="1"/>
  <c r="S104" i="13"/>
  <c r="S41" i="3" s="1"/>
  <c r="S99" i="13"/>
  <c r="S100" i="13"/>
  <c r="S37" i="3" s="1"/>
  <c r="S110" i="13"/>
  <c r="S47" i="3" s="1"/>
  <c r="S102" i="13"/>
  <c r="S39" i="3" s="1"/>
  <c r="S109" i="13"/>
  <c r="S46" i="3" s="1"/>
  <c r="S107" i="13"/>
  <c r="S44" i="3" s="1"/>
  <c r="S106" i="13"/>
  <c r="S43" i="3" s="1"/>
  <c r="AN48" i="14"/>
  <c r="AK49" i="14"/>
  <c r="AQ85" i="18"/>
  <c r="AP86" i="18"/>
  <c r="AN72" i="18"/>
  <c r="AM73" i="18"/>
  <c r="AM123" i="14"/>
  <c r="BA123" i="14" s="1"/>
  <c r="BA122" i="14"/>
  <c r="R231" i="13"/>
  <c r="R201" i="11"/>
  <c r="R121" i="11" s="1"/>
  <c r="R41" i="11" s="1"/>
  <c r="AZ156" i="16"/>
  <c r="AX157" i="16"/>
  <c r="AA109" i="10"/>
  <c r="AB108" i="10"/>
  <c r="AG48" i="16"/>
  <c r="AH47" i="16"/>
  <c r="H391" i="4"/>
  <c r="H361" i="4"/>
  <c r="AN48" i="18"/>
  <c r="AM49" i="18"/>
  <c r="AG459" i="3"/>
  <c r="O460" i="3"/>
  <c r="AF459" i="3"/>
  <c r="AE459" i="3"/>
  <c r="O491" i="3"/>
  <c r="S180" i="26"/>
  <c r="W180" i="26" s="1"/>
  <c r="R181" i="26"/>
  <c r="R146" i="26"/>
  <c r="AP73" i="16"/>
  <c r="AQ72" i="16"/>
  <c r="Q113" i="3"/>
  <c r="Q60" i="24"/>
  <c r="S59" i="24"/>
  <c r="AI158" i="20"/>
  <c r="AT157" i="20"/>
  <c r="AX157" i="20" s="1"/>
  <c r="AS72" i="20"/>
  <c r="Y73" i="20"/>
  <c r="R36" i="26"/>
  <c r="S35" i="26"/>
  <c r="AD15" i="22"/>
  <c r="AE15" i="22" s="1"/>
  <c r="AE14" i="22"/>
  <c r="AV85" i="18"/>
  <c r="AW84" i="18"/>
  <c r="AA84" i="8"/>
  <c r="AB83" i="8"/>
  <c r="X62" i="8"/>
  <c r="Y61" i="8"/>
  <c r="X132" i="21"/>
  <c r="AC132" i="19"/>
  <c r="T186" i="13"/>
  <c r="T138" i="13" s="1"/>
  <c r="T140" i="11"/>
  <c r="W124" i="15"/>
  <c r="AX72" i="16"/>
  <c r="AZ71" i="16"/>
  <c r="BA71" i="16" s="1"/>
  <c r="Y48" i="20"/>
  <c r="AS47" i="20"/>
  <c r="AA47" i="20"/>
  <c r="AP48" i="22"/>
  <c r="AO49" i="22"/>
  <c r="Q145" i="11"/>
  <c r="Q146" i="11" s="1"/>
  <c r="N491" i="3"/>
  <c r="N460" i="3"/>
  <c r="Q13" i="6"/>
  <c r="AY34" i="20"/>
  <c r="J391" i="4"/>
  <c r="J361" i="4"/>
  <c r="W406" i="13"/>
  <c r="W279" i="3" s="1"/>
  <c r="W295" i="3" s="1"/>
  <c r="W215" i="4"/>
  <c r="W109" i="5" s="1"/>
  <c r="I391" i="4"/>
  <c r="I361" i="4"/>
  <c r="BC54" i="11"/>
  <c r="AH155" i="22"/>
  <c r="AG156" i="22"/>
  <c r="AS38" i="18"/>
  <c r="Y50" i="8"/>
  <c r="X51" i="8"/>
  <c r="Y51" i="8" s="1"/>
  <c r="AX86" i="4"/>
  <c r="AY86" i="4" s="1"/>
  <c r="AJ103" i="3"/>
  <c r="AK103" i="3" s="1"/>
  <c r="AR36" i="18"/>
  <c r="AT35" i="18"/>
  <c r="Q117" i="21"/>
  <c r="Q101" i="21" s="1"/>
  <c r="Q101" i="19"/>
  <c r="BP117" i="19"/>
  <c r="V108" i="10"/>
  <c r="U109" i="10"/>
  <c r="AW168" i="16"/>
  <c r="AV169" i="16"/>
  <c r="Y122" i="20"/>
  <c r="Q372" i="19"/>
  <c r="Q405" i="19"/>
  <c r="Q373" i="19"/>
  <c r="Q387" i="19"/>
  <c r="Q377" i="19"/>
  <c r="AV85" i="16"/>
  <c r="AW84" i="16"/>
  <c r="S49" i="8"/>
  <c r="AC49" i="8" s="1"/>
  <c r="R50" i="8"/>
  <c r="AC306" i="15"/>
  <c r="AK144" i="16"/>
  <c r="AJ145" i="16"/>
  <c r="AR180" i="14"/>
  <c r="AO181" i="14"/>
  <c r="AY180" i="14"/>
  <c r="AH47" i="18"/>
  <c r="BB47" i="18"/>
  <c r="AG48" i="18"/>
  <c r="F428" i="3"/>
  <c r="F413" i="3"/>
  <c r="Z136" i="19"/>
  <c r="T183" i="13"/>
  <c r="T135" i="13" s="1"/>
  <c r="T137" i="11"/>
  <c r="AH36" i="18"/>
  <c r="BB36" i="18"/>
  <c r="AG37" i="18"/>
  <c r="AK14" i="14"/>
  <c r="Y219" i="4"/>
  <c r="Q118" i="21"/>
  <c r="Q102" i="21" s="1"/>
  <c r="Q102" i="19"/>
  <c r="BP118" i="19"/>
  <c r="BB180" i="18"/>
  <c r="AG181" i="18"/>
  <c r="AJ50" i="16"/>
  <c r="AS13" i="16"/>
  <c r="AT12" i="16"/>
  <c r="AE138" i="19"/>
  <c r="V180" i="10"/>
  <c r="U181" i="10"/>
  <c r="AX10" i="14"/>
  <c r="AW11" i="14"/>
  <c r="AR167" i="18"/>
  <c r="AT166" i="18"/>
  <c r="Z134" i="21"/>
  <c r="H378" i="3"/>
  <c r="I378" i="3"/>
  <c r="AT95" i="20"/>
  <c r="AI96" i="20"/>
  <c r="AK95" i="20"/>
  <c r="R158" i="8"/>
  <c r="S157" i="8"/>
  <c r="Z299" i="15"/>
  <c r="AW122" i="18"/>
  <c r="AV123" i="18"/>
  <c r="AW123" i="18" s="1"/>
  <c r="AM169" i="14"/>
  <c r="BA168" i="14"/>
  <c r="AP147" i="16"/>
  <c r="AQ147" i="16" s="1"/>
  <c r="AQ146" i="16"/>
  <c r="AC61" i="20"/>
  <c r="AD60" i="20"/>
  <c r="BM124" i="11"/>
  <c r="AT124" i="11"/>
  <c r="Q44" i="11"/>
  <c r="Q124" i="19"/>
  <c r="AJ156" i="22"/>
  <c r="AU155" i="22"/>
  <c r="BE164" i="12"/>
  <c r="V50" i="8"/>
  <c r="U51" i="8"/>
  <c r="V51" i="8" s="1"/>
  <c r="I263" i="4"/>
  <c r="I280" i="4" s="1"/>
  <c r="I248" i="4"/>
  <c r="AZ12" i="16"/>
  <c r="AX13" i="16"/>
  <c r="BC46" i="18"/>
  <c r="S181" i="13"/>
  <c r="S133" i="13" s="1"/>
  <c r="S135" i="11"/>
  <c r="AT167" i="20"/>
  <c r="AX167" i="20" s="1"/>
  <c r="AI168" i="20"/>
  <c r="AB85" i="10"/>
  <c r="AA86" i="10"/>
  <c r="AK72" i="20"/>
  <c r="AJ73" i="20"/>
  <c r="AM37" i="16"/>
  <c r="AN36" i="16"/>
  <c r="Y119" i="8"/>
  <c r="X120" i="8"/>
  <c r="S168" i="24"/>
  <c r="R169" i="24"/>
  <c r="Q213" i="7"/>
  <c r="BT213" i="7" s="1"/>
  <c r="BT13" i="7"/>
  <c r="AA300" i="15"/>
  <c r="AS122" i="16"/>
  <c r="AX88" i="4"/>
  <c r="AY88" i="4" s="1"/>
  <c r="AJ105" i="3"/>
  <c r="AK105" i="3" s="1"/>
  <c r="H491" i="3"/>
  <c r="H460" i="3"/>
  <c r="AF111" i="20"/>
  <c r="AG111" i="20" s="1"/>
  <c r="AG110" i="20"/>
  <c r="AB13" i="10"/>
  <c r="AA14" i="10"/>
  <c r="AJ132" i="22"/>
  <c r="AU131" i="22"/>
  <c r="AL131" i="22"/>
  <c r="AW35" i="14"/>
  <c r="AX34" i="14"/>
  <c r="Y132" i="20"/>
  <c r="AS131" i="20"/>
  <c r="AJ170" i="18"/>
  <c r="AV132" i="16"/>
  <c r="AW131" i="16"/>
  <c r="R106" i="3"/>
  <c r="AK72" i="14"/>
  <c r="AN71" i="14"/>
  <c r="AQ109" i="22"/>
  <c r="AT108" i="22"/>
  <c r="R90" i="4"/>
  <c r="V58" i="26"/>
  <c r="W58" i="26" s="1"/>
  <c r="U59" i="26"/>
  <c r="R108" i="10"/>
  <c r="S107" i="10"/>
  <c r="AC107" i="10" s="1"/>
  <c r="Q212" i="15"/>
  <c r="BC12" i="15"/>
  <c r="AK156" i="20"/>
  <c r="AJ157" i="20"/>
  <c r="X330" i="11"/>
  <c r="X185" i="4" s="1"/>
  <c r="AW130" i="20"/>
  <c r="AV130" i="20"/>
  <c r="AZ130" i="20" s="1"/>
  <c r="U72" i="10"/>
  <c r="V71" i="10"/>
  <c r="S15" i="6"/>
  <c r="Y180" i="8"/>
  <c r="X181" i="8"/>
  <c r="AB36" i="4"/>
  <c r="R39" i="10"/>
  <c r="Y179" i="10"/>
  <c r="AC179" i="10" s="1"/>
  <c r="X180" i="10"/>
  <c r="AC36" i="10"/>
  <c r="S17" i="6"/>
  <c r="S13" i="7"/>
  <c r="S213" i="7" s="1"/>
  <c r="AW107" i="18"/>
  <c r="AV108" i="18"/>
  <c r="AN156" i="18"/>
  <c r="AM157" i="18"/>
  <c r="R84" i="15"/>
  <c r="R3" i="15"/>
  <c r="BE4" i="15"/>
  <c r="Q337" i="17"/>
  <c r="Q304" i="17" s="1"/>
  <c r="Q288" i="17" s="1"/>
  <c r="Q291" i="15"/>
  <c r="BC291" i="15" s="1"/>
  <c r="BC323" i="15"/>
  <c r="AX145" i="18"/>
  <c r="AZ144" i="18"/>
  <c r="CC14" i="13"/>
  <c r="Y157" i="8"/>
  <c r="X158" i="8"/>
  <c r="Q156" i="10"/>
  <c r="S155" i="10"/>
  <c r="AC155" i="10" s="1"/>
  <c r="AD155" i="10" s="1"/>
  <c r="AW110" i="14"/>
  <c r="AX109" i="14"/>
  <c r="AJ62" i="18"/>
  <c r="AO60" i="16"/>
  <c r="AQ59" i="16"/>
  <c r="AL107" i="22"/>
  <c r="AK108" i="22"/>
  <c r="W15" i="7"/>
  <c r="T20" i="15"/>
  <c r="AS72" i="18"/>
  <c r="AT71" i="18"/>
  <c r="AS109" i="16"/>
  <c r="Q122" i="21"/>
  <c r="Q106" i="21" s="1"/>
  <c r="BP122" i="19"/>
  <c r="Q106" i="19"/>
  <c r="AY82" i="14"/>
  <c r="BB82" i="14" s="1"/>
  <c r="AL110" i="20"/>
  <c r="AO109" i="20"/>
  <c r="AJ13" i="22"/>
  <c r="AU12" i="22"/>
  <c r="AL12" i="22"/>
  <c r="Q131" i="26"/>
  <c r="S130" i="26"/>
  <c r="AU144" i="20"/>
  <c r="Z145" i="20"/>
  <c r="AA144" i="20"/>
  <c r="AX92" i="12"/>
  <c r="AY91" i="12"/>
  <c r="S180" i="10"/>
  <c r="R181" i="10"/>
  <c r="N263" i="4"/>
  <c r="N280" i="4" s="1"/>
  <c r="N248" i="4"/>
  <c r="Q22" i="15"/>
  <c r="BC3" i="15"/>
  <c r="Q23" i="6"/>
  <c r="BA143" i="18"/>
  <c r="BC143" i="18" s="1"/>
  <c r="AF144" i="18"/>
  <c r="AH144" i="18" s="1"/>
  <c r="X212" i="4"/>
  <c r="X325" i="11"/>
  <c r="BD326" i="11" s="1"/>
  <c r="AW131" i="14"/>
  <c r="AY131" i="14" s="1"/>
  <c r="BB131" i="14" s="1"/>
  <c r="AX130" i="14"/>
  <c r="R157" i="26"/>
  <c r="T96" i="5"/>
  <c r="AX38" i="18"/>
  <c r="AZ37" i="18"/>
  <c r="BD93" i="18"/>
  <c r="AP181" i="18"/>
  <c r="AQ180" i="18"/>
  <c r="AJ49" i="22"/>
  <c r="AU48" i="22"/>
  <c r="W22" i="24"/>
  <c r="R233" i="13"/>
  <c r="R203" i="11"/>
  <c r="R123" i="11" s="1"/>
  <c r="R43" i="11" s="1"/>
  <c r="AE458" i="3"/>
  <c r="X326" i="19"/>
  <c r="X179" i="26"/>
  <c r="U47" i="26"/>
  <c r="V46" i="26"/>
  <c r="W46" i="26" s="1"/>
  <c r="AJ120" i="22"/>
  <c r="AU119" i="22"/>
  <c r="AA26" i="22"/>
  <c r="AB25" i="22"/>
  <c r="S20" i="13"/>
  <c r="BK20" i="13" s="1"/>
  <c r="BK21" i="13"/>
  <c r="AR106" i="14"/>
  <c r="AO107" i="14"/>
  <c r="AY107" i="14" s="1"/>
  <c r="BB107" i="14" s="1"/>
  <c r="AH143" i="18"/>
  <c r="S168" i="26"/>
  <c r="R169" i="26"/>
  <c r="R91" i="4"/>
  <c r="AH120" i="22"/>
  <c r="AG121" i="22"/>
  <c r="AA342" i="11"/>
  <c r="BG342" i="11" s="1"/>
  <c r="AQ37" i="18"/>
  <c r="AP38" i="18"/>
  <c r="AN144" i="16"/>
  <c r="AM145" i="16"/>
  <c r="AT49" i="20"/>
  <c r="AI50" i="20"/>
  <c r="K391" i="4"/>
  <c r="K361" i="4"/>
  <c r="V154" i="26"/>
  <c r="U155" i="26"/>
  <c r="U64" i="11"/>
  <c r="U65" i="11" s="1"/>
  <c r="AB146" i="10"/>
  <c r="AA147" i="10"/>
  <c r="AB147" i="10" s="1"/>
  <c r="V109" i="8"/>
  <c r="U110" i="8"/>
  <c r="S121" i="8"/>
  <c r="R122" i="8"/>
  <c r="Q205" i="11"/>
  <c r="AB72" i="8"/>
  <c r="AA73" i="8"/>
  <c r="AQ25" i="14"/>
  <c r="BA24" i="14"/>
  <c r="AV46" i="20"/>
  <c r="AZ46" i="20" s="1"/>
  <c r="AW46" i="20"/>
  <c r="AJ108" i="18"/>
  <c r="AK107" i="18"/>
  <c r="BB107" i="18"/>
  <c r="AN121" i="14"/>
  <c r="AK122" i="14"/>
  <c r="AB26" i="10"/>
  <c r="AA27" i="10"/>
  <c r="AB27" i="10" s="1"/>
  <c r="BF161" i="12"/>
  <c r="BT161" i="12"/>
  <c r="BJ161" i="12" s="1"/>
  <c r="Q46" i="5"/>
  <c r="Q45" i="5"/>
  <c r="Q44" i="5"/>
  <c r="AD84" i="20"/>
  <c r="AC85" i="20"/>
  <c r="AY167" i="20"/>
  <c r="BE140" i="14"/>
  <c r="AI95" i="16"/>
  <c r="AK94" i="16"/>
  <c r="BA94" i="16" s="1"/>
  <c r="Q201" i="11"/>
  <c r="Y60" i="11"/>
  <c r="W206" i="4"/>
  <c r="W335" i="11"/>
  <c r="W190" i="4" s="1"/>
  <c r="X344" i="11"/>
  <c r="Y344" i="11" s="1"/>
  <c r="AC139" i="19"/>
  <c r="Z60" i="20"/>
  <c r="AU59" i="20"/>
  <c r="AY59" i="20" s="1"/>
  <c r="AA59" i="20"/>
  <c r="BB177" i="20"/>
  <c r="AZ177" i="20"/>
  <c r="AZ47" i="18"/>
  <c r="AX48" i="18"/>
  <c r="AX142" i="14"/>
  <c r="AW143" i="14"/>
  <c r="AX169" i="16"/>
  <c r="AZ168" i="16"/>
  <c r="BE93" i="14"/>
  <c r="BC93" i="14"/>
  <c r="AQ12" i="18"/>
  <c r="AP13" i="18"/>
  <c r="AW11" i="16"/>
  <c r="BA11" i="16" s="1"/>
  <c r="AV12" i="16"/>
  <c r="Y12" i="10"/>
  <c r="AC12" i="10" s="1"/>
  <c r="X13" i="10"/>
  <c r="AV118" i="20"/>
  <c r="AZ118" i="20" s="1"/>
  <c r="AW118" i="20"/>
  <c r="BP372" i="19"/>
  <c r="BP373" i="19"/>
  <c r="BP377" i="19"/>
  <c r="AA202" i="4"/>
  <c r="AC132" i="20"/>
  <c r="AD131" i="20"/>
  <c r="AF48" i="20"/>
  <c r="AG47" i="20"/>
  <c r="AA370" i="19"/>
  <c r="AA376" i="19" s="1"/>
  <c r="AB29" i="19"/>
  <c r="R105" i="3"/>
  <c r="M264" i="4"/>
  <c r="M249" i="4"/>
  <c r="R92" i="4"/>
  <c r="AO157" i="22"/>
  <c r="AP156" i="22"/>
  <c r="AR181" i="22"/>
  <c r="AS180" i="22"/>
  <c r="AO119" i="20"/>
  <c r="AL120" i="20"/>
  <c r="AS119" i="20"/>
  <c r="AK61" i="22"/>
  <c r="AL60" i="22"/>
  <c r="AS59" i="14"/>
  <c r="AV58" i="14"/>
  <c r="X136" i="21"/>
  <c r="Y136" i="19"/>
  <c r="U167" i="24"/>
  <c r="V166" i="24"/>
  <c r="W166" i="24" s="1"/>
  <c r="AB96" i="8"/>
  <c r="AA97" i="8"/>
  <c r="AA73" i="10"/>
  <c r="AB72" i="10"/>
  <c r="AV11" i="20"/>
  <c r="AV97" i="16"/>
  <c r="AW96" i="16"/>
  <c r="X335" i="11"/>
  <c r="X190" i="4" s="1"/>
  <c r="X206" i="4"/>
  <c r="AR168" i="20"/>
  <c r="AP169" i="20"/>
  <c r="V127" i="15"/>
  <c r="V111" i="15" s="1"/>
  <c r="W159" i="15"/>
  <c r="W163" i="15" s="1"/>
  <c r="W131" i="15" s="1"/>
  <c r="W115" i="15" s="1"/>
  <c r="R3" i="23"/>
  <c r="AL132" i="14"/>
  <c r="AZ131" i="14"/>
  <c r="AU36" i="20"/>
  <c r="Z37" i="20"/>
  <c r="AA36" i="20"/>
  <c r="O362" i="3"/>
  <c r="O379" i="3" s="1"/>
  <c r="AG346" i="3"/>
  <c r="AI346" i="3" s="1"/>
  <c r="AF346" i="3"/>
  <c r="AE346" i="3"/>
  <c r="O347" i="3"/>
  <c r="Z104" i="11"/>
  <c r="AP134" i="20"/>
  <c r="AR133" i="20"/>
  <c r="R86" i="24"/>
  <c r="BC326" i="11"/>
  <c r="AT168" i="22"/>
  <c r="AQ169" i="22"/>
  <c r="I491" i="3"/>
  <c r="I460" i="3"/>
  <c r="R168" i="10"/>
  <c r="S167" i="10"/>
  <c r="AC167" i="10" s="1"/>
  <c r="AD167" i="10" s="1"/>
  <c r="AD323" i="19"/>
  <c r="AD155" i="8"/>
  <c r="S107" i="24"/>
  <c r="R108" i="24"/>
  <c r="AF145" i="16"/>
  <c r="AH144" i="16"/>
  <c r="AT109" i="20"/>
  <c r="AI110" i="20"/>
  <c r="AZ156" i="14"/>
  <c r="AL157" i="14"/>
  <c r="AI131" i="18"/>
  <c r="AK130" i="18"/>
  <c r="BA130" i="18"/>
  <c r="BC130" i="18" s="1"/>
  <c r="BD130" i="18" s="1"/>
  <c r="AR156" i="22"/>
  <c r="AV155" i="22"/>
  <c r="AZ155" i="22" s="1"/>
  <c r="AS155" i="22"/>
  <c r="AA73" i="22"/>
  <c r="AB72" i="22"/>
  <c r="AF297" i="15"/>
  <c r="AB37" i="10"/>
  <c r="AA38" i="10"/>
  <c r="AR47" i="18"/>
  <c r="AT46" i="18"/>
  <c r="X63" i="11"/>
  <c r="AV73" i="16"/>
  <c r="AW72" i="16"/>
  <c r="AJ147" i="20"/>
  <c r="AK147" i="20" s="1"/>
  <c r="AK146" i="20"/>
  <c r="U366" i="13"/>
  <c r="U350" i="13" s="1"/>
  <c r="U334" i="13" s="1"/>
  <c r="U336" i="11"/>
  <c r="U207" i="4"/>
  <c r="V103" i="5" s="1"/>
  <c r="V104" i="5" s="1"/>
  <c r="AL183" i="14"/>
  <c r="AZ183" i="14" s="1"/>
  <c r="AZ182" i="14"/>
  <c r="AY166" i="14"/>
  <c r="BB166" i="14" s="1"/>
  <c r="AQ84" i="16"/>
  <c r="AP85" i="16"/>
  <c r="AK74" i="22"/>
  <c r="AY103" i="12"/>
  <c r="AX104" i="12"/>
  <c r="S8" i="23"/>
  <c r="S7" i="6"/>
  <c r="AS26" i="16"/>
  <c r="AG73" i="20"/>
  <c r="AF74" i="20"/>
  <c r="T182" i="8"/>
  <c r="V181" i="8"/>
  <c r="AY154" i="14"/>
  <c r="BB154" i="14" s="1"/>
  <c r="AS144" i="14"/>
  <c r="AV143" i="14"/>
  <c r="AJ180" i="16"/>
  <c r="AK179" i="16"/>
  <c r="Z108" i="11"/>
  <c r="V86" i="8"/>
  <c r="U87" i="8"/>
  <c r="V87" i="8" s="1"/>
  <c r="AS120" i="14"/>
  <c r="AV119" i="14"/>
  <c r="Q123" i="21"/>
  <c r="Q107" i="21" s="1"/>
  <c r="BP123" i="19"/>
  <c r="Q107" i="19"/>
  <c r="U72" i="8"/>
  <c r="V71" i="8"/>
  <c r="AC71" i="8" s="1"/>
  <c r="AD71" i="8" s="1"/>
  <c r="AN83" i="14"/>
  <c r="AK84" i="14"/>
  <c r="BE129" i="14"/>
  <c r="Y62" i="10"/>
  <c r="X63" i="10"/>
  <c r="Y63" i="10" s="1"/>
  <c r="AY143" i="20"/>
  <c r="I428" i="3"/>
  <c r="I413" i="3"/>
  <c r="AA12" i="20"/>
  <c r="Z13" i="20"/>
  <c r="AZ95" i="14"/>
  <c r="AL96" i="14"/>
  <c r="AN96" i="14" s="1"/>
  <c r="V57" i="11"/>
  <c r="AI95" i="18"/>
  <c r="BA94" i="18"/>
  <c r="BC94" i="18" s="1"/>
  <c r="AK94" i="18"/>
  <c r="S13" i="10"/>
  <c r="R14" i="10"/>
  <c r="AG97" i="16"/>
  <c r="AH96" i="16"/>
  <c r="AR38" i="20"/>
  <c r="AP39" i="20"/>
  <c r="AR39" i="20" s="1"/>
  <c r="AI131" i="16"/>
  <c r="AK130" i="16"/>
  <c r="BA130" i="16" s="1"/>
  <c r="AN47" i="14"/>
  <c r="T337" i="11"/>
  <c r="AP167" i="14"/>
  <c r="AR166" i="14"/>
  <c r="V23" i="24"/>
  <c r="U24" i="24"/>
  <c r="R234" i="13"/>
  <c r="R204" i="11"/>
  <c r="R124" i="11" s="1"/>
  <c r="R44" i="11" s="1"/>
  <c r="AZ47" i="16"/>
  <c r="AX48" i="16"/>
  <c r="AJ61" i="16"/>
  <c r="AK60" i="16"/>
  <c r="AV12" i="18"/>
  <c r="AW11" i="18"/>
  <c r="AZ81" i="20"/>
  <c r="V95" i="8"/>
  <c r="AC95" i="8" s="1"/>
  <c r="U96" i="8"/>
  <c r="AC107" i="8"/>
  <c r="S60" i="10"/>
  <c r="AC60" i="10" s="1"/>
  <c r="R61" i="10"/>
  <c r="AB134" i="19"/>
  <c r="AB214" i="4"/>
  <c r="W45" i="26"/>
  <c r="AF145" i="20"/>
  <c r="AG144" i="20"/>
  <c r="AM84" i="18"/>
  <c r="AN83" i="18"/>
  <c r="AW34" i="20"/>
  <c r="AB338" i="19"/>
  <c r="BB144" i="18"/>
  <c r="AG145" i="18"/>
  <c r="AG84" i="20"/>
  <c r="AF85" i="20"/>
  <c r="AB24" i="8"/>
  <c r="AA25" i="8"/>
  <c r="R108" i="3"/>
  <c r="AS155" i="14"/>
  <c r="AV154" i="14"/>
  <c r="AZ36" i="16"/>
  <c r="AX37" i="16"/>
  <c r="Q3" i="23"/>
  <c r="N328" i="4"/>
  <c r="N313" i="4"/>
  <c r="R96" i="5"/>
  <c r="Q71" i="4"/>
  <c r="AA84" i="22"/>
  <c r="AB83" i="22"/>
  <c r="W153" i="26"/>
  <c r="X165" i="26" s="1"/>
  <c r="AI180" i="20"/>
  <c r="AT179" i="20"/>
  <c r="AX179" i="20" s="1"/>
  <c r="AZ95" i="18"/>
  <c r="AX96" i="18"/>
  <c r="AC323" i="19"/>
  <c r="AH339" i="19"/>
  <c r="L491" i="3"/>
  <c r="L460" i="3"/>
  <c r="T179" i="13"/>
  <c r="T133" i="11"/>
  <c r="AZ165" i="20"/>
  <c r="BB165" i="20"/>
  <c r="BR163" i="12" s="1"/>
  <c r="BH163" i="12" s="1"/>
  <c r="AK106" i="18"/>
  <c r="AM13" i="16"/>
  <c r="AN12" i="16"/>
  <c r="T22" i="5"/>
  <c r="T23" i="5" s="1"/>
  <c r="AP63" i="18"/>
  <c r="Q120" i="11"/>
  <c r="Q69" i="7"/>
  <c r="BT4" i="7"/>
  <c r="Z110" i="11"/>
  <c r="AA110" i="11" s="1"/>
  <c r="Z19" i="5"/>
  <c r="AA346" i="11"/>
  <c r="X110" i="5" l="1"/>
  <c r="X333" i="11"/>
  <c r="X188" i="4" s="1"/>
  <c r="AC4" i="11"/>
  <c r="V224" i="4"/>
  <c r="Z250" i="3"/>
  <c r="AB347" i="11"/>
  <c r="Z202" i="4"/>
  <c r="Y381" i="11"/>
  <c r="W80" i="11"/>
  <c r="V3" i="6"/>
  <c r="R205" i="13"/>
  <c r="R142" i="3" s="1"/>
  <c r="X384" i="11"/>
  <c r="W94" i="5"/>
  <c r="V337" i="11"/>
  <c r="U351" i="13"/>
  <c r="X73" i="11"/>
  <c r="Y73" i="11" s="1"/>
  <c r="Y57" i="11" s="1"/>
  <c r="X409" i="13"/>
  <c r="X282" i="3" s="1"/>
  <c r="X298" i="3" s="1"/>
  <c r="Q77" i="4"/>
  <c r="S194" i="11"/>
  <c r="S190" i="13"/>
  <c r="S142" i="13" s="1"/>
  <c r="S111" i="3" s="1"/>
  <c r="V208" i="4"/>
  <c r="AY246" i="11"/>
  <c r="X222" i="4"/>
  <c r="Q126" i="4"/>
  <c r="Q159" i="4" s="1"/>
  <c r="R146" i="11"/>
  <c r="Q292" i="15"/>
  <c r="BC292" i="15" s="1"/>
  <c r="V132" i="15"/>
  <c r="V51" i="6" s="1"/>
  <c r="AB152" i="15"/>
  <c r="AG11" i="11"/>
  <c r="BE70" i="11"/>
  <c r="T144" i="11"/>
  <c r="T194" i="11"/>
  <c r="U12" i="7"/>
  <c r="V12" i="7" s="1"/>
  <c r="AA79" i="11"/>
  <c r="AB79" i="11" s="1"/>
  <c r="S250" i="11"/>
  <c r="S248" i="13" s="1"/>
  <c r="Y107" i="11"/>
  <c r="Z107" i="11" s="1"/>
  <c r="R204" i="13"/>
  <c r="Q46" i="11"/>
  <c r="BM46" i="11" s="1"/>
  <c r="BX34" i="7" s="1"/>
  <c r="R202" i="11"/>
  <c r="R122" i="11" s="1"/>
  <c r="R42" i="11" s="1"/>
  <c r="AT127" i="11"/>
  <c r="AC40" i="4"/>
  <c r="AD106" i="11"/>
  <c r="AT206" i="11"/>
  <c r="BM206" i="11"/>
  <c r="AT207" i="11"/>
  <c r="AD102" i="11"/>
  <c r="AE102" i="11" s="1"/>
  <c r="AE36" i="4" s="1"/>
  <c r="Q209" i="11"/>
  <c r="Q48" i="6" s="1"/>
  <c r="Q68" i="6" s="1"/>
  <c r="AA70" i="11"/>
  <c r="AA54" i="11" s="1"/>
  <c r="BF70" i="11"/>
  <c r="U111" i="5"/>
  <c r="U112" i="5" s="1"/>
  <c r="W236" i="3"/>
  <c r="W297" i="3"/>
  <c r="W233" i="3"/>
  <c r="S7" i="7"/>
  <c r="R203" i="13"/>
  <c r="X159" i="15"/>
  <c r="Y159" i="15" s="1"/>
  <c r="V415" i="13"/>
  <c r="V24" i="13" s="1"/>
  <c r="BN24" i="13" s="1"/>
  <c r="Z407" i="13" s="1"/>
  <c r="Z280" i="3" s="1"/>
  <c r="Z296" i="3" s="1"/>
  <c r="R120" i="4"/>
  <c r="R153" i="4" s="1"/>
  <c r="R201" i="13"/>
  <c r="R138" i="3" s="1"/>
  <c r="R202" i="3" s="1"/>
  <c r="W234" i="3"/>
  <c r="W223" i="4"/>
  <c r="W111" i="5" s="1"/>
  <c r="W112" i="5" s="1"/>
  <c r="X102" i="5"/>
  <c r="Y413" i="13"/>
  <c r="Y286" i="3" s="1"/>
  <c r="Y302" i="3" s="1"/>
  <c r="AB121" i="15"/>
  <c r="AB105" i="15" s="1"/>
  <c r="AC153" i="15"/>
  <c r="AA158" i="15"/>
  <c r="AB110" i="11"/>
  <c r="AC110" i="11" s="1"/>
  <c r="Q83" i="15"/>
  <c r="V116" i="15"/>
  <c r="AG103" i="11"/>
  <c r="AH103" i="11" s="1"/>
  <c r="AH37" i="4" s="1"/>
  <c r="Y411" i="13"/>
  <c r="Y284" i="3" s="1"/>
  <c r="Y300" i="3" s="1"/>
  <c r="AB158" i="15"/>
  <c r="AB126" i="15" s="1"/>
  <c r="AB110" i="15" s="1"/>
  <c r="Z126" i="15"/>
  <c r="Z110" i="15" s="1"/>
  <c r="U335" i="13"/>
  <c r="Q74" i="4"/>
  <c r="AA383" i="11"/>
  <c r="AA222" i="4" s="1"/>
  <c r="AC162" i="15"/>
  <c r="U192" i="11"/>
  <c r="U144" i="11" s="1"/>
  <c r="S240" i="11"/>
  <c r="S238" i="13" s="1"/>
  <c r="R196" i="13"/>
  <c r="R133" i="3" s="1"/>
  <c r="R197" i="3" s="1"/>
  <c r="AA198" i="4"/>
  <c r="AA327" i="11"/>
  <c r="AA182" i="4" s="1"/>
  <c r="AB343" i="11"/>
  <c r="BB154" i="16"/>
  <c r="BB166" i="16"/>
  <c r="BC155" i="14"/>
  <c r="Q81" i="17"/>
  <c r="Q65" i="17" s="1"/>
  <c r="BC83" i="15"/>
  <c r="Q67" i="15"/>
  <c r="AC130" i="15"/>
  <c r="AC114" i="15" s="1"/>
  <c r="AD162" i="15"/>
  <c r="U190" i="13"/>
  <c r="U142" i="13" s="1"/>
  <c r="U194" i="11"/>
  <c r="BC107" i="14"/>
  <c r="AD95" i="8"/>
  <c r="AA324" i="19"/>
  <c r="AB340" i="19"/>
  <c r="AA348" i="19"/>
  <c r="AA332" i="19" s="1"/>
  <c r="AD179" i="10"/>
  <c r="AY181" i="20"/>
  <c r="R46" i="11"/>
  <c r="AF137" i="19"/>
  <c r="Q137" i="3"/>
  <c r="Q120" i="13"/>
  <c r="Q40" i="13" s="1"/>
  <c r="BE131" i="14"/>
  <c r="AC61" i="10"/>
  <c r="W8" i="23"/>
  <c r="W7" i="6"/>
  <c r="X13" i="23"/>
  <c r="Q136" i="3"/>
  <c r="Q119" i="13"/>
  <c r="Q39" i="13" s="1"/>
  <c r="AA334" i="11"/>
  <c r="AA189" i="4" s="1"/>
  <c r="AA205" i="4"/>
  <c r="AB350" i="11"/>
  <c r="U3" i="25"/>
  <c r="U4" i="23"/>
  <c r="U5" i="23" s="1"/>
  <c r="U81" i="23" s="1"/>
  <c r="U35" i="6"/>
  <c r="AC136" i="19"/>
  <c r="AD136" i="19" s="1"/>
  <c r="Q138" i="3"/>
  <c r="Q121" i="13"/>
  <c r="Q41" i="13" s="1"/>
  <c r="AK15" i="14"/>
  <c r="R171" i="8"/>
  <c r="S171" i="8" s="1"/>
  <c r="S170" i="8"/>
  <c r="AH110" i="18"/>
  <c r="AG111" i="18"/>
  <c r="AU96" i="22"/>
  <c r="AW96" i="22" s="1"/>
  <c r="AJ97" i="22"/>
  <c r="BM47" i="11"/>
  <c r="S50" i="8"/>
  <c r="R51" i="8"/>
  <c r="S51" i="8" s="1"/>
  <c r="AJ39" i="22"/>
  <c r="AU38" i="22"/>
  <c r="AL38" i="22"/>
  <c r="AS27" i="16"/>
  <c r="AJ50" i="22"/>
  <c r="AU49" i="22"/>
  <c r="AF73" i="18"/>
  <c r="BA72" i="18"/>
  <c r="BC72" i="18" s="1"/>
  <c r="AR48" i="16"/>
  <c r="AT47" i="16"/>
  <c r="BA47" i="16" s="1"/>
  <c r="S61" i="10"/>
  <c r="R62" i="10"/>
  <c r="AS60" i="14"/>
  <c r="AV59" i="14"/>
  <c r="Y133" i="20"/>
  <c r="AS132" i="20"/>
  <c r="AH37" i="18"/>
  <c r="AG38" i="18"/>
  <c r="AN73" i="18"/>
  <c r="AM74" i="18"/>
  <c r="S105" i="3"/>
  <c r="AJ86" i="16"/>
  <c r="AK85" i="16"/>
  <c r="AX198" i="11"/>
  <c r="T103" i="3"/>
  <c r="R85" i="10"/>
  <c r="S84" i="10"/>
  <c r="AC84" i="10" s="1"/>
  <c r="V181" i="10"/>
  <c r="U182" i="10"/>
  <c r="AL135" i="20"/>
  <c r="AO135" i="20" s="1"/>
  <c r="AO134" i="20"/>
  <c r="R326" i="17"/>
  <c r="R280" i="15"/>
  <c r="AR23" i="14"/>
  <c r="AO24" i="14"/>
  <c r="K392" i="4"/>
  <c r="K362" i="4"/>
  <c r="S69" i="3"/>
  <c r="Y14" i="8"/>
  <c r="X15" i="8"/>
  <c r="Y15" i="8" s="1"/>
  <c r="AV182" i="16"/>
  <c r="AW181" i="16"/>
  <c r="AX22" i="14"/>
  <c r="AW23" i="14"/>
  <c r="AK169" i="14"/>
  <c r="AN168" i="14"/>
  <c r="AZ96" i="18"/>
  <c r="AX97" i="18"/>
  <c r="S14" i="7"/>
  <c r="S229" i="7" s="1"/>
  <c r="AG74" i="20"/>
  <c r="AF75" i="20"/>
  <c r="AG75" i="20" s="1"/>
  <c r="BE82" i="14"/>
  <c r="BC82" i="14"/>
  <c r="AF13" i="20"/>
  <c r="AG12" i="20"/>
  <c r="AF158" i="18"/>
  <c r="BA157" i="18"/>
  <c r="S88" i="4"/>
  <c r="AB321" i="19"/>
  <c r="AC337" i="19"/>
  <c r="G461" i="3"/>
  <c r="G492" i="3"/>
  <c r="E349" i="3"/>
  <c r="E364" i="3"/>
  <c r="AT132" i="16"/>
  <c r="AS133" i="16"/>
  <c r="AM13" i="14"/>
  <c r="BA12" i="14"/>
  <c r="AF123" i="20"/>
  <c r="AG123" i="20" s="1"/>
  <c r="AG122" i="20"/>
  <c r="AH167" i="8"/>
  <c r="BO165" i="12" s="1"/>
  <c r="AD167" i="8"/>
  <c r="G249" i="4"/>
  <c r="G264" i="4"/>
  <c r="AX11" i="14"/>
  <c r="AW12" i="14"/>
  <c r="AB133" i="8"/>
  <c r="AC133" i="8" s="1"/>
  <c r="AA134" i="8"/>
  <c r="AR180" i="16"/>
  <c r="AT179" i="16"/>
  <c r="BA179" i="16" s="1"/>
  <c r="BB179" i="16" s="1"/>
  <c r="R59" i="5"/>
  <c r="R148" i="4"/>
  <c r="V83" i="24"/>
  <c r="U84" i="24"/>
  <c r="T86" i="4"/>
  <c r="BP106" i="19"/>
  <c r="AP86" i="22"/>
  <c r="AO87" i="22"/>
  <c r="AP87" i="22" s="1"/>
  <c r="Z39" i="4"/>
  <c r="AA105" i="11"/>
  <c r="W143" i="26"/>
  <c r="R329" i="17"/>
  <c r="R296" i="17" s="1"/>
  <c r="R280" i="17" s="1"/>
  <c r="R283" i="15"/>
  <c r="V92" i="5"/>
  <c r="V192" i="4"/>
  <c r="W231" i="3"/>
  <c r="R332" i="17"/>
  <c r="R299" i="17" s="1"/>
  <c r="R283" i="17" s="1"/>
  <c r="R286" i="15"/>
  <c r="AS13" i="14"/>
  <c r="AV12" i="14"/>
  <c r="G392" i="4"/>
  <c r="G362" i="4"/>
  <c r="Z217" i="4"/>
  <c r="AC24" i="8"/>
  <c r="AC50" i="8"/>
  <c r="Y409" i="13"/>
  <c r="Y282" i="3" s="1"/>
  <c r="Y218" i="4"/>
  <c r="Y331" i="11"/>
  <c r="Y186" i="4" s="1"/>
  <c r="AA379" i="11"/>
  <c r="Q144" i="26"/>
  <c r="S143" i="26"/>
  <c r="AJ110" i="16"/>
  <c r="AK109" i="16"/>
  <c r="S235" i="13"/>
  <c r="S205" i="11"/>
  <c r="S125" i="11" s="1"/>
  <c r="S45" i="11" s="1"/>
  <c r="AK108" i="18"/>
  <c r="AJ109" i="18"/>
  <c r="BB108" i="18"/>
  <c r="U147" i="10"/>
  <c r="X56" i="11"/>
  <c r="Y72" i="11"/>
  <c r="Z72" i="11" s="1"/>
  <c r="AI36" i="16"/>
  <c r="AK35" i="16"/>
  <c r="BA35" i="16" s="1"/>
  <c r="R336" i="17"/>
  <c r="R303" i="17" s="1"/>
  <c r="R287" i="17" s="1"/>
  <c r="R290" i="15"/>
  <c r="V85" i="10"/>
  <c r="U86" i="10"/>
  <c r="AH61" i="16"/>
  <c r="AG62" i="16"/>
  <c r="AP123" i="16"/>
  <c r="AQ123" i="16" s="1"/>
  <c r="AQ122" i="16"/>
  <c r="V157" i="10"/>
  <c r="U158" i="10"/>
  <c r="S230" i="13"/>
  <c r="Q100" i="21"/>
  <c r="O363" i="3"/>
  <c r="AG347" i="3"/>
  <c r="AI347" i="3" s="1"/>
  <c r="AF347" i="3"/>
  <c r="AE347" i="3"/>
  <c r="O348" i="3"/>
  <c r="N249" i="4"/>
  <c r="N264" i="4"/>
  <c r="N281" i="4" s="1"/>
  <c r="AF37" i="4"/>
  <c r="BA145" i="14"/>
  <c r="AM146" i="14"/>
  <c r="AP110" i="20"/>
  <c r="AR109" i="20"/>
  <c r="AO133" i="14"/>
  <c r="AR132" i="14"/>
  <c r="AD130" i="8"/>
  <c r="AS48" i="22"/>
  <c r="AV48" i="22"/>
  <c r="AR49" i="22"/>
  <c r="I365" i="3"/>
  <c r="I350" i="3"/>
  <c r="AK13" i="16"/>
  <c r="AJ14" i="16"/>
  <c r="G348" i="3"/>
  <c r="G363" i="3"/>
  <c r="H363" i="3"/>
  <c r="V121" i="8"/>
  <c r="U122" i="8"/>
  <c r="R77" i="4"/>
  <c r="AJ51" i="16"/>
  <c r="S229" i="13"/>
  <c r="S199" i="11"/>
  <c r="S119" i="11" s="1"/>
  <c r="S39" i="11" s="1"/>
  <c r="AL38" i="20"/>
  <c r="AO37" i="20"/>
  <c r="Y128" i="15"/>
  <c r="Y112" i="15" s="1"/>
  <c r="AA160" i="15"/>
  <c r="AB160" i="15"/>
  <c r="AC160" i="15" s="1"/>
  <c r="AF123" i="18"/>
  <c r="AB38" i="10"/>
  <c r="AA39" i="10"/>
  <c r="AB39" i="10" s="1"/>
  <c r="AW97" i="16"/>
  <c r="AV98" i="16"/>
  <c r="AZ38" i="18"/>
  <c r="AX39" i="18"/>
  <c r="AZ39" i="18" s="1"/>
  <c r="W3" i="6"/>
  <c r="W34" i="15"/>
  <c r="W35" i="15" s="1"/>
  <c r="S158" i="8"/>
  <c r="R159" i="8"/>
  <c r="S159" i="8" s="1"/>
  <c r="W108" i="15"/>
  <c r="S75" i="3"/>
  <c r="T33" i="11"/>
  <c r="T34" i="11" s="1"/>
  <c r="T31" i="13"/>
  <c r="T4" i="6"/>
  <c r="BB134" i="18"/>
  <c r="AG135" i="18"/>
  <c r="AH134" i="18"/>
  <c r="Q48" i="26"/>
  <c r="S47" i="26"/>
  <c r="AS183" i="18"/>
  <c r="AT183" i="18" s="1"/>
  <c r="AT182" i="18"/>
  <c r="X408" i="13"/>
  <c r="X281" i="3" s="1"/>
  <c r="U73" i="24"/>
  <c r="V72" i="24"/>
  <c r="W72" i="24" s="1"/>
  <c r="AV12" i="22"/>
  <c r="AS12" i="22"/>
  <c r="AR13" i="22"/>
  <c r="Z100" i="5"/>
  <c r="AT72" i="20"/>
  <c r="AX72" i="20" s="1"/>
  <c r="AI73" i="20"/>
  <c r="Z328" i="19"/>
  <c r="AB145" i="8"/>
  <c r="AA146" i="8"/>
  <c r="AD110" i="22"/>
  <c r="AE109" i="22"/>
  <c r="AX49" i="14"/>
  <c r="AW50" i="14"/>
  <c r="S73" i="8"/>
  <c r="R74" i="8"/>
  <c r="AX110" i="18"/>
  <c r="AZ109" i="18"/>
  <c r="O264" i="4"/>
  <c r="AR120" i="16"/>
  <c r="AT119" i="16"/>
  <c r="BA119" i="16" s="1"/>
  <c r="J314" i="4"/>
  <c r="J329" i="4"/>
  <c r="AI84" i="18"/>
  <c r="AK83" i="18"/>
  <c r="BA83" i="18"/>
  <c r="BC83" i="18" s="1"/>
  <c r="BD83" i="18" s="1"/>
  <c r="AK48" i="20"/>
  <c r="AJ49" i="20"/>
  <c r="S101" i="3"/>
  <c r="AG145" i="22"/>
  <c r="AH144" i="22"/>
  <c r="AQ98" i="22"/>
  <c r="AT97" i="22"/>
  <c r="AS97" i="22"/>
  <c r="AS60" i="20"/>
  <c r="Y61" i="20"/>
  <c r="M492" i="3"/>
  <c r="M461" i="3"/>
  <c r="Y20" i="5"/>
  <c r="AQ49" i="18"/>
  <c r="AP50" i="18"/>
  <c r="AC122" i="20"/>
  <c r="AD121" i="20"/>
  <c r="AL181" i="20"/>
  <c r="AO180" i="20"/>
  <c r="AS180" i="20"/>
  <c r="AA99" i="20"/>
  <c r="T108" i="3"/>
  <c r="Y38" i="20"/>
  <c r="S146" i="10"/>
  <c r="R147" i="10"/>
  <c r="S147" i="10" s="1"/>
  <c r="AG26" i="16"/>
  <c r="AH25" i="16"/>
  <c r="AB169" i="10"/>
  <c r="AA170" i="10"/>
  <c r="Y326" i="11"/>
  <c r="V36" i="24"/>
  <c r="W36" i="24" s="1"/>
  <c r="U37" i="24"/>
  <c r="AA378" i="11"/>
  <c r="AA330" i="11" s="1"/>
  <c r="AA185" i="4" s="1"/>
  <c r="AB169" i="8"/>
  <c r="AC169" i="8" s="1"/>
  <c r="AA170" i="8"/>
  <c r="R134" i="26"/>
  <c r="AQ134" i="18"/>
  <c r="AP135" i="18"/>
  <c r="AQ135" i="18" s="1"/>
  <c r="X410" i="13"/>
  <c r="X283" i="3" s="1"/>
  <c r="X299" i="3" s="1"/>
  <c r="Y183" i="20"/>
  <c r="R153" i="7"/>
  <c r="S153" i="7" s="1"/>
  <c r="R154" i="7"/>
  <c r="Y158" i="8"/>
  <c r="X159" i="8"/>
  <c r="Y159" i="8" s="1"/>
  <c r="S79" i="3"/>
  <c r="T8" i="25"/>
  <c r="T11" i="23"/>
  <c r="T36" i="6"/>
  <c r="V7" i="11"/>
  <c r="AS72" i="14"/>
  <c r="AV71" i="14"/>
  <c r="T4" i="7"/>
  <c r="T69" i="7" s="1"/>
  <c r="T14" i="6"/>
  <c r="AQ73" i="14"/>
  <c r="BA72" i="14"/>
  <c r="BG18" i="15"/>
  <c r="BO35" i="15"/>
  <c r="S17" i="15"/>
  <c r="AL75" i="20"/>
  <c r="AO75" i="20" s="1"/>
  <c r="AO74" i="20"/>
  <c r="AT110" i="20"/>
  <c r="AI111" i="20"/>
  <c r="AT111" i="20" s="1"/>
  <c r="AO60" i="20"/>
  <c r="AL61" i="20"/>
  <c r="D329" i="4"/>
  <c r="D314" i="4"/>
  <c r="S191" i="13"/>
  <c r="S11" i="13" s="1"/>
  <c r="S131" i="13"/>
  <c r="AH61" i="18"/>
  <c r="BB61" i="18"/>
  <c r="AG62" i="18"/>
  <c r="T249" i="11"/>
  <c r="T246" i="11"/>
  <c r="T253" i="11"/>
  <c r="T245" i="11"/>
  <c r="T252" i="11"/>
  <c r="T251" i="11"/>
  <c r="T250" i="11"/>
  <c r="T255" i="11"/>
  <c r="T254" i="11"/>
  <c r="T247" i="11"/>
  <c r="T15" i="6"/>
  <c r="BC117" i="14"/>
  <c r="BE117" i="14"/>
  <c r="S315" i="15"/>
  <c r="S314" i="15"/>
  <c r="S322" i="15"/>
  <c r="S313" i="15"/>
  <c r="S321" i="15"/>
  <c r="S320" i="15"/>
  <c r="S312" i="15"/>
  <c r="S318" i="15"/>
  <c r="S319" i="15"/>
  <c r="S316" i="15"/>
  <c r="S317" i="15"/>
  <c r="AB25" i="8"/>
  <c r="AA26" i="8"/>
  <c r="AZ169" i="16"/>
  <c r="AX170" i="16"/>
  <c r="AM111" i="16"/>
  <c r="AN111" i="16" s="1"/>
  <c r="AN110" i="16"/>
  <c r="AB157" i="8"/>
  <c r="AA158" i="8"/>
  <c r="U73" i="8"/>
  <c r="V72" i="8"/>
  <c r="AX121" i="20"/>
  <c r="Q206" i="15"/>
  <c r="Q205" i="15"/>
  <c r="Q203" i="15"/>
  <c r="BC212" i="15"/>
  <c r="Q204" i="15"/>
  <c r="Q207" i="15"/>
  <c r="Q210" i="15"/>
  <c r="Q209" i="15"/>
  <c r="Q208" i="15"/>
  <c r="AS62" i="18"/>
  <c r="AC156" i="10"/>
  <c r="T102" i="3"/>
  <c r="AJ111" i="22"/>
  <c r="AU111" i="22" s="1"/>
  <c r="AU110" i="22"/>
  <c r="AK85" i="20"/>
  <c r="AJ86" i="20"/>
  <c r="Q141" i="3"/>
  <c r="Q124" i="13"/>
  <c r="Q44" i="13" s="1"/>
  <c r="T92" i="4"/>
  <c r="AI37" i="18"/>
  <c r="BA36" i="18"/>
  <c r="BC36" i="18" s="1"/>
  <c r="AJ135" i="20"/>
  <c r="P314" i="4"/>
  <c r="P329" i="4"/>
  <c r="BP105" i="19"/>
  <c r="AG85" i="20"/>
  <c r="AF86" i="20"/>
  <c r="AF146" i="16"/>
  <c r="AH145" i="16"/>
  <c r="AB26" i="22"/>
  <c r="AA27" i="22"/>
  <c r="AB27" i="22" s="1"/>
  <c r="X99" i="10"/>
  <c r="Y99" i="10" s="1"/>
  <c r="Y98" i="10"/>
  <c r="AH157" i="16"/>
  <c r="AG158" i="16"/>
  <c r="AJ181" i="22"/>
  <c r="AU180" i="22"/>
  <c r="AY180" i="22" s="1"/>
  <c r="AT12" i="18"/>
  <c r="AS13" i="18"/>
  <c r="U85" i="26"/>
  <c r="V84" i="26"/>
  <c r="W84" i="26" s="1"/>
  <c r="AR37" i="18"/>
  <c r="AT36" i="18"/>
  <c r="AZ72" i="16"/>
  <c r="BA72" i="16" s="1"/>
  <c r="AX73" i="16"/>
  <c r="BE17" i="15"/>
  <c r="R37" i="15"/>
  <c r="R27" i="6"/>
  <c r="R6" i="19"/>
  <c r="R125" i="19"/>
  <c r="R31" i="19"/>
  <c r="BJ11" i="13"/>
  <c r="R32" i="1"/>
  <c r="R29" i="1" s="1"/>
  <c r="R28" i="1" s="1"/>
  <c r="R8" i="13"/>
  <c r="K350" i="3"/>
  <c r="BC142" i="14"/>
  <c r="AH36" i="22"/>
  <c r="AG37" i="22"/>
  <c r="AI169" i="18"/>
  <c r="AK168" i="18"/>
  <c r="T94" i="4"/>
  <c r="AT13" i="16"/>
  <c r="AS14" i="16"/>
  <c r="AW23" i="20"/>
  <c r="AV23" i="20"/>
  <c r="AZ23" i="20" s="1"/>
  <c r="AN156" i="16"/>
  <c r="AM157" i="16"/>
  <c r="Y109" i="8"/>
  <c r="X110" i="8"/>
  <c r="AY116" i="12"/>
  <c r="AX117" i="12"/>
  <c r="AY128" i="12"/>
  <c r="S106" i="3"/>
  <c r="AW61" i="18"/>
  <c r="AV62" i="18"/>
  <c r="L250" i="4"/>
  <c r="L265" i="4"/>
  <c r="L282" i="4" s="1"/>
  <c r="AO158" i="20"/>
  <c r="AL159" i="20"/>
  <c r="AO159" i="20" s="1"/>
  <c r="R74" i="4"/>
  <c r="U8" i="25"/>
  <c r="U11" i="23"/>
  <c r="U36" i="6"/>
  <c r="AL120" i="22"/>
  <c r="AK121" i="22"/>
  <c r="AE306" i="15"/>
  <c r="AW59" i="20"/>
  <c r="AV59" i="20"/>
  <c r="S96" i="24"/>
  <c r="R97" i="24"/>
  <c r="AJ98" i="16"/>
  <c r="AM98" i="14"/>
  <c r="BA97" i="14"/>
  <c r="AC86" i="20"/>
  <c r="AD85" i="20"/>
  <c r="Z136" i="21"/>
  <c r="H392" i="4"/>
  <c r="H362" i="4"/>
  <c r="T18" i="6"/>
  <c r="AZ157" i="18"/>
  <c r="AX158" i="18"/>
  <c r="BA48" i="18"/>
  <c r="BC48" i="18" s="1"/>
  <c r="AF49" i="18"/>
  <c r="R183" i="24"/>
  <c r="S183" i="24" s="1"/>
  <c r="S182" i="24"/>
  <c r="R146" i="8"/>
  <c r="S145" i="8"/>
  <c r="AV36" i="20"/>
  <c r="Y233" i="3"/>
  <c r="AI180" i="18"/>
  <c r="AK179" i="18"/>
  <c r="R169" i="10"/>
  <c r="S168" i="10"/>
  <c r="AC72" i="8"/>
  <c r="AD72" i="8" s="1"/>
  <c r="H461" i="3"/>
  <c r="H492" i="3"/>
  <c r="AX156" i="22"/>
  <c r="AW156" i="22"/>
  <c r="BA156" i="22" s="1"/>
  <c r="W43" i="4"/>
  <c r="W21" i="5" s="1"/>
  <c r="W61" i="11"/>
  <c r="AQ63" i="22"/>
  <c r="AT63" i="22" s="1"/>
  <c r="AT62" i="22"/>
  <c r="AQ157" i="18"/>
  <c r="AP158" i="18"/>
  <c r="AC303" i="15"/>
  <c r="AM109" i="14"/>
  <c r="BA108" i="14"/>
  <c r="Y59" i="11"/>
  <c r="S37" i="8"/>
  <c r="R38" i="8"/>
  <c r="AW156" i="14"/>
  <c r="AX155" i="14"/>
  <c r="AZ179" i="22"/>
  <c r="R75" i="10"/>
  <c r="S75" i="10" s="1"/>
  <c r="S74" i="10"/>
  <c r="Y412" i="13"/>
  <c r="Y285" i="3" s="1"/>
  <c r="Y301" i="3" s="1"/>
  <c r="X405" i="13"/>
  <c r="X278" i="3" s="1"/>
  <c r="X411" i="13"/>
  <c r="X284" i="3" s="1"/>
  <c r="X300" i="3" s="1"/>
  <c r="Y405" i="13"/>
  <c r="Y278" i="3" s="1"/>
  <c r="X407" i="13"/>
  <c r="X280" i="3" s="1"/>
  <c r="X296" i="3" s="1"/>
  <c r="Y407" i="13"/>
  <c r="Y280" i="3" s="1"/>
  <c r="Y296" i="3" s="1"/>
  <c r="X412" i="13"/>
  <c r="X285" i="3" s="1"/>
  <c r="X301" i="3" s="1"/>
  <c r="S233" i="13"/>
  <c r="S203" i="11"/>
  <c r="S123" i="11" s="1"/>
  <c r="S43" i="11" s="1"/>
  <c r="AW25" i="18"/>
  <c r="AV26" i="18"/>
  <c r="AB123" i="15"/>
  <c r="AB107" i="15" s="1"/>
  <c r="AH327" i="19"/>
  <c r="AY139" i="12"/>
  <c r="AX140" i="12"/>
  <c r="AH13" i="18"/>
  <c r="AG14" i="18"/>
  <c r="Z63" i="11"/>
  <c r="AK37" i="14"/>
  <c r="AY36" i="14"/>
  <c r="BB36" i="14" s="1"/>
  <c r="BE36" i="14" s="1"/>
  <c r="AN36" i="14"/>
  <c r="S11" i="7"/>
  <c r="S181" i="7" s="1"/>
  <c r="AL87" i="20"/>
  <c r="AW107" i="20"/>
  <c r="AV107" i="20"/>
  <c r="AZ134" i="11"/>
  <c r="Q61" i="15"/>
  <c r="Q75" i="17"/>
  <c r="Q59" i="17" s="1"/>
  <c r="BC77" i="15"/>
  <c r="AW167" i="22"/>
  <c r="BA167" i="22" s="1"/>
  <c r="AP38" i="16"/>
  <c r="AQ37" i="16"/>
  <c r="AY155" i="22"/>
  <c r="AY167" i="22"/>
  <c r="AX95" i="20"/>
  <c r="AX107" i="20"/>
  <c r="J392" i="4"/>
  <c r="J362" i="4"/>
  <c r="S77" i="3"/>
  <c r="AP146" i="18"/>
  <c r="AQ145" i="18"/>
  <c r="AC157" i="20"/>
  <c r="AD156" i="20"/>
  <c r="AU156" i="20"/>
  <c r="AT157" i="22"/>
  <c r="AQ158" i="22"/>
  <c r="AJ14" i="20"/>
  <c r="AK13" i="20"/>
  <c r="AU24" i="20"/>
  <c r="AY24" i="20" s="1"/>
  <c r="Z25" i="20"/>
  <c r="AA24" i="20"/>
  <c r="T101" i="3"/>
  <c r="W37" i="8"/>
  <c r="Y36" i="8"/>
  <c r="AC36" i="8" s="1"/>
  <c r="AD48" i="8" s="1"/>
  <c r="X109" i="11"/>
  <c r="Y109" i="11" s="1"/>
  <c r="AB37" i="8"/>
  <c r="AA38" i="8"/>
  <c r="AR84" i="18"/>
  <c r="AT83" i="18"/>
  <c r="AB181" i="8"/>
  <c r="AA182" i="8"/>
  <c r="Q78" i="4"/>
  <c r="Q38" i="5" s="1"/>
  <c r="AV37" i="18"/>
  <c r="AW36" i="18"/>
  <c r="Z75" i="11"/>
  <c r="V179" i="24"/>
  <c r="W179" i="24" s="1"/>
  <c r="U180" i="24"/>
  <c r="U184" i="13"/>
  <c r="U136" i="13" s="1"/>
  <c r="U138" i="11"/>
  <c r="R14" i="24"/>
  <c r="S13" i="24"/>
  <c r="AE37" i="20"/>
  <c r="AG36" i="20"/>
  <c r="P363" i="3"/>
  <c r="P348" i="3"/>
  <c r="T303" i="3"/>
  <c r="T304" i="3" s="1"/>
  <c r="T288" i="3"/>
  <c r="S234" i="13"/>
  <c r="S204" i="11"/>
  <c r="S124" i="11" s="1"/>
  <c r="S44" i="11" s="1"/>
  <c r="AS36" i="22"/>
  <c r="AV36" i="22"/>
  <c r="AW36" i="22" s="1"/>
  <c r="AR37" i="22"/>
  <c r="AK110" i="20"/>
  <c r="AJ111" i="20"/>
  <c r="AK111" i="20" s="1"/>
  <c r="AZ106" i="20"/>
  <c r="AZ85" i="16"/>
  <c r="AX86" i="16"/>
  <c r="S249" i="13"/>
  <c r="S121" i="4"/>
  <c r="AD302" i="15"/>
  <c r="R177" i="23"/>
  <c r="R10" i="23"/>
  <c r="AR156" i="16"/>
  <c r="AT155" i="16"/>
  <c r="BA155" i="16" s="1"/>
  <c r="X406" i="13"/>
  <c r="X279" i="3" s="1"/>
  <c r="X295" i="3" s="1"/>
  <c r="X215" i="4"/>
  <c r="X109" i="5" s="1"/>
  <c r="D264" i="4"/>
  <c r="D281" i="4" s="1"/>
  <c r="D249" i="4"/>
  <c r="AK37" i="18"/>
  <c r="AJ38" i="18"/>
  <c r="S90" i="4"/>
  <c r="G414" i="3"/>
  <c r="G429" i="3"/>
  <c r="Y376" i="11"/>
  <c r="Y328" i="11" s="1"/>
  <c r="Y183" i="4" s="1"/>
  <c r="AQ26" i="18"/>
  <c r="AP27" i="18"/>
  <c r="AQ27" i="18" s="1"/>
  <c r="AY134" i="11"/>
  <c r="Q76" i="17"/>
  <c r="Q60" i="17" s="1"/>
  <c r="BC78" i="15"/>
  <c r="Q62" i="15"/>
  <c r="W23" i="26"/>
  <c r="AI411" i="3"/>
  <c r="AB329" i="19"/>
  <c r="AC345" i="19"/>
  <c r="E329" i="4"/>
  <c r="T4" i="15"/>
  <c r="U4" i="15" s="1"/>
  <c r="AV25" i="16"/>
  <c r="AW24" i="16"/>
  <c r="E264" i="4"/>
  <c r="E249" i="4"/>
  <c r="U145" i="26"/>
  <c r="V144" i="26"/>
  <c r="R61" i="5"/>
  <c r="R78" i="5" s="1"/>
  <c r="Q154" i="4"/>
  <c r="AF49" i="20"/>
  <c r="AG48" i="20"/>
  <c r="AM170" i="14"/>
  <c r="BA169" i="14"/>
  <c r="AG86" i="18"/>
  <c r="AH85" i="18"/>
  <c r="AT208" i="11"/>
  <c r="BM208" i="11"/>
  <c r="AR35" i="14"/>
  <c r="AO36" i="14"/>
  <c r="AZ61" i="16"/>
  <c r="AX62" i="16"/>
  <c r="AF39" i="18"/>
  <c r="Y120" i="8"/>
  <c r="X121" i="8"/>
  <c r="AS48" i="20"/>
  <c r="Y49" i="20"/>
  <c r="AA48" i="20"/>
  <c r="AS134" i="18"/>
  <c r="AQ134" i="16"/>
  <c r="AP135" i="16"/>
  <c r="AQ135" i="16" s="1"/>
  <c r="AO62" i="18"/>
  <c r="AQ61" i="18"/>
  <c r="AC74" i="20"/>
  <c r="AD73" i="20"/>
  <c r="AR12" i="14"/>
  <c r="AO13" i="14"/>
  <c r="AY12" i="14"/>
  <c r="BB12" i="14" s="1"/>
  <c r="BE12" i="14" s="1"/>
  <c r="L392" i="4"/>
  <c r="L362" i="4"/>
  <c r="AS183" i="16"/>
  <c r="V12" i="24"/>
  <c r="W12" i="24" s="1"/>
  <c r="U13" i="24"/>
  <c r="AO181" i="22"/>
  <c r="AP180" i="22"/>
  <c r="F280" i="4"/>
  <c r="AA19" i="5"/>
  <c r="S8" i="25"/>
  <c r="S11" i="23"/>
  <c r="S36" i="6"/>
  <c r="Z54" i="11"/>
  <c r="Q206" i="13"/>
  <c r="BE106" i="14"/>
  <c r="BC106" i="14"/>
  <c r="N428" i="3"/>
  <c r="N413" i="3"/>
  <c r="AW72" i="20"/>
  <c r="AV72" i="20"/>
  <c r="AZ84" i="20" s="1"/>
  <c r="U96" i="24"/>
  <c r="V95" i="24"/>
  <c r="W95" i="24" s="1"/>
  <c r="AA304" i="15"/>
  <c r="S227" i="13"/>
  <c r="S197" i="11"/>
  <c r="R158" i="24"/>
  <c r="S157" i="24"/>
  <c r="S89" i="4"/>
  <c r="AI327" i="19"/>
  <c r="AX122" i="16"/>
  <c r="AZ121" i="16"/>
  <c r="Z130" i="21"/>
  <c r="AO109" i="22"/>
  <c r="AP108" i="22"/>
  <c r="AO144" i="14"/>
  <c r="AR143" i="14"/>
  <c r="AY143" i="14"/>
  <c r="BB143" i="14" s="1"/>
  <c r="Y206" i="4"/>
  <c r="Y335" i="11"/>
  <c r="Y190" i="4" s="1"/>
  <c r="AR48" i="18"/>
  <c r="AT47" i="18"/>
  <c r="Z42" i="4"/>
  <c r="AA108" i="11"/>
  <c r="T90" i="4"/>
  <c r="AR73" i="22"/>
  <c r="AV72" i="22"/>
  <c r="AS72" i="22"/>
  <c r="S232" i="13"/>
  <c r="AY155" i="20"/>
  <c r="AV155" i="20"/>
  <c r="AP86" i="16"/>
  <c r="AQ85" i="16"/>
  <c r="I461" i="3"/>
  <c r="I492" i="3"/>
  <c r="AA74" i="10"/>
  <c r="AB73" i="10"/>
  <c r="R76" i="4"/>
  <c r="Z61" i="20"/>
  <c r="AU60" i="20"/>
  <c r="AA60" i="20"/>
  <c r="Q47" i="5"/>
  <c r="Q48" i="5" s="1"/>
  <c r="AT205" i="11"/>
  <c r="BM205" i="11"/>
  <c r="Q125" i="11"/>
  <c r="AH121" i="22"/>
  <c r="AG122" i="22"/>
  <c r="Z124" i="15"/>
  <c r="AA74" i="22"/>
  <c r="AB73" i="22"/>
  <c r="AA37" i="20"/>
  <c r="AU37" i="20"/>
  <c r="Z38" i="20"/>
  <c r="AH139" i="19"/>
  <c r="R123" i="8"/>
  <c r="S123" i="8" s="1"/>
  <c r="S122" i="8"/>
  <c r="AA145" i="20"/>
  <c r="AU145" i="20"/>
  <c r="Z146" i="20"/>
  <c r="BE3" i="15"/>
  <c r="R23" i="6"/>
  <c r="R22" i="15"/>
  <c r="AY71" i="14"/>
  <c r="BB71" i="14" s="1"/>
  <c r="AU156" i="22"/>
  <c r="AJ157" i="22"/>
  <c r="AH48" i="18"/>
  <c r="BB48" i="18"/>
  <c r="AG49" i="18"/>
  <c r="V9" i="7"/>
  <c r="AH48" i="16"/>
  <c r="AG49" i="16"/>
  <c r="S72" i="3"/>
  <c r="AK146" i="22"/>
  <c r="AX131" i="20"/>
  <c r="AX143" i="20"/>
  <c r="Q60" i="5"/>
  <c r="Q127" i="4"/>
  <c r="Q128" i="4" s="1"/>
  <c r="Q151" i="4"/>
  <c r="R27" i="24"/>
  <c r="AD24" i="20"/>
  <c r="AC25" i="20"/>
  <c r="Q177" i="23"/>
  <c r="AV11" i="23"/>
  <c r="Q10" i="23"/>
  <c r="AV10" i="23" s="1"/>
  <c r="V46" i="4"/>
  <c r="AW95" i="20"/>
  <c r="AV95" i="20"/>
  <c r="AZ95" i="20" s="1"/>
  <c r="AG74" i="22"/>
  <c r="AH73" i="22"/>
  <c r="V288" i="3"/>
  <c r="V292" i="3"/>
  <c r="V304" i="3" s="1"/>
  <c r="V228" i="3"/>
  <c r="X98" i="8"/>
  <c r="Y97" i="8"/>
  <c r="AW96" i="14"/>
  <c r="AX95" i="14"/>
  <c r="AN98" i="16"/>
  <c r="AM99" i="16"/>
  <c r="AN99" i="16" s="1"/>
  <c r="T145" i="10"/>
  <c r="V144" i="10"/>
  <c r="AC144" i="10" s="1"/>
  <c r="U185" i="13"/>
  <c r="U137" i="13" s="1"/>
  <c r="U139" i="11"/>
  <c r="H314" i="4"/>
  <c r="H329" i="4"/>
  <c r="P379" i="3"/>
  <c r="BD106" i="18"/>
  <c r="AX179" i="22"/>
  <c r="AW179" i="22"/>
  <c r="Y25" i="8"/>
  <c r="X26" i="8"/>
  <c r="S250" i="13"/>
  <c r="S122" i="4"/>
  <c r="S155" i="4" s="1"/>
  <c r="AK133" i="14"/>
  <c r="AY132" i="14"/>
  <c r="BB132" i="14" s="1"/>
  <c r="AN132" i="14"/>
  <c r="R14" i="8"/>
  <c r="S13" i="8"/>
  <c r="X413" i="13"/>
  <c r="X286" i="3" s="1"/>
  <c r="X302" i="3" s="1"/>
  <c r="X404" i="13"/>
  <c r="X277" i="3" s="1"/>
  <c r="Q128" i="7"/>
  <c r="Q124" i="7"/>
  <c r="BT133" i="7"/>
  <c r="Q131" i="7"/>
  <c r="Q127" i="7"/>
  <c r="Q123" i="7"/>
  <c r="Q129" i="7"/>
  <c r="Q125" i="7"/>
  <c r="Q130" i="7"/>
  <c r="Q126" i="7"/>
  <c r="AJ86" i="22"/>
  <c r="AU85" i="22"/>
  <c r="AK36" i="18"/>
  <c r="O362" i="4"/>
  <c r="O392" i="4"/>
  <c r="S107" i="3"/>
  <c r="AN109" i="18"/>
  <c r="AM110" i="18"/>
  <c r="AZ12" i="14"/>
  <c r="AL13" i="14"/>
  <c r="AN12" i="14"/>
  <c r="S33" i="11"/>
  <c r="S34" i="11" s="1"/>
  <c r="S31" i="13"/>
  <c r="S4" i="6"/>
  <c r="BE94" i="14"/>
  <c r="BC94" i="14"/>
  <c r="Q77" i="17"/>
  <c r="Q61" i="17" s="1"/>
  <c r="BC79" i="15"/>
  <c r="Q63" i="15"/>
  <c r="S86" i="4"/>
  <c r="Z326" i="19"/>
  <c r="U25" i="26"/>
  <c r="V24" i="26"/>
  <c r="AG412" i="3"/>
  <c r="AF412" i="3"/>
  <c r="O428" i="3"/>
  <c r="O413" i="3"/>
  <c r="AP27" i="16"/>
  <c r="AQ27" i="16" s="1"/>
  <c r="AQ26" i="16"/>
  <c r="S26" i="8"/>
  <c r="R27" i="8"/>
  <c r="S27" i="8" s="1"/>
  <c r="U144" i="24"/>
  <c r="V143" i="24"/>
  <c r="W143" i="24" s="1"/>
  <c r="AK135" i="22"/>
  <c r="Q38" i="10"/>
  <c r="S37" i="10"/>
  <c r="Q338" i="17"/>
  <c r="AA169" i="22"/>
  <c r="AB168" i="22"/>
  <c r="AR83" i="14"/>
  <c r="AO84" i="14"/>
  <c r="AA342" i="19"/>
  <c r="Q84" i="24"/>
  <c r="S83" i="24"/>
  <c r="S85" i="8"/>
  <c r="R86" i="8"/>
  <c r="W101" i="5"/>
  <c r="W104" i="5" s="1"/>
  <c r="X85" i="8"/>
  <c r="Y84" i="8"/>
  <c r="AA51" i="22"/>
  <c r="AB51" i="22" s="1"/>
  <c r="AB50" i="22"/>
  <c r="X181" i="10"/>
  <c r="Y180" i="10"/>
  <c r="Y157" i="10"/>
  <c r="X158" i="10"/>
  <c r="S86" i="26"/>
  <c r="R87" i="26"/>
  <c r="S87" i="26" s="1"/>
  <c r="Q139" i="3"/>
  <c r="Q122" i="13"/>
  <c r="Q42" i="13" s="1"/>
  <c r="H379" i="3"/>
  <c r="I379" i="3"/>
  <c r="R111" i="26"/>
  <c r="R328" i="17"/>
  <c r="R295" i="17" s="1"/>
  <c r="R279" i="17" s="1"/>
  <c r="R282" i="15"/>
  <c r="V59" i="26"/>
  <c r="W59" i="26" s="1"/>
  <c r="U60" i="26"/>
  <c r="Y404" i="13"/>
  <c r="Y277" i="3" s="1"/>
  <c r="Y293" i="3" s="1"/>
  <c r="Y213" i="4"/>
  <c r="AS121" i="14"/>
  <c r="AV120" i="14"/>
  <c r="AT72" i="18"/>
  <c r="AS73" i="18"/>
  <c r="AZ154" i="20"/>
  <c r="AS168" i="20"/>
  <c r="Y169" i="20"/>
  <c r="AA168" i="20"/>
  <c r="AZ145" i="18"/>
  <c r="AX146" i="18"/>
  <c r="R158" i="3"/>
  <c r="R206" i="3"/>
  <c r="AA197" i="4"/>
  <c r="AY92" i="12"/>
  <c r="AX93" i="12"/>
  <c r="BE95" i="14" s="1"/>
  <c r="AV49" i="16"/>
  <c r="AW48" i="16"/>
  <c r="R212" i="15"/>
  <c r="BE12" i="15"/>
  <c r="H249" i="4"/>
  <c r="H264" i="4"/>
  <c r="H281" i="4" s="1"/>
  <c r="AR48" i="20"/>
  <c r="AP49" i="20"/>
  <c r="U189" i="13"/>
  <c r="U141" i="13" s="1"/>
  <c r="U143" i="11"/>
  <c r="Z222" i="4"/>
  <c r="AX27" i="18"/>
  <c r="AZ27" i="18" s="1"/>
  <c r="AZ26" i="18"/>
  <c r="AR60" i="18"/>
  <c r="AT59" i="18"/>
  <c r="AI48" i="18"/>
  <c r="AK47" i="18"/>
  <c r="R46" i="5"/>
  <c r="Q72" i="4"/>
  <c r="Q36" i="5" s="1"/>
  <c r="R182" i="8"/>
  <c r="S181" i="8"/>
  <c r="AN86" i="16"/>
  <c r="AM87" i="16"/>
  <c r="AN87" i="16" s="1"/>
  <c r="E330" i="4"/>
  <c r="E315" i="4"/>
  <c r="AQ13" i="22"/>
  <c r="AT12" i="22"/>
  <c r="AW12" i="22" s="1"/>
  <c r="AJ171" i="16"/>
  <c r="S13" i="6"/>
  <c r="AW12" i="18"/>
  <c r="AV13" i="18"/>
  <c r="BB13" i="18" s="1"/>
  <c r="AK180" i="16"/>
  <c r="AJ181" i="16"/>
  <c r="T83" i="4"/>
  <c r="T145" i="11"/>
  <c r="T47" i="6" s="1"/>
  <c r="T65" i="6" s="1"/>
  <c r="AN84" i="18"/>
  <c r="AM85" i="18"/>
  <c r="AJ62" i="16"/>
  <c r="AK61" i="16"/>
  <c r="AG98" i="16"/>
  <c r="AH97" i="16"/>
  <c r="AS145" i="14"/>
  <c r="AV144" i="14"/>
  <c r="BC166" i="14"/>
  <c r="AT169" i="22"/>
  <c r="AQ170" i="22"/>
  <c r="AY36" i="20"/>
  <c r="M250" i="4"/>
  <c r="M265" i="4"/>
  <c r="X328" i="11"/>
  <c r="X183" i="4" s="1"/>
  <c r="X93" i="5" s="1"/>
  <c r="X199" i="4"/>
  <c r="X247" i="3"/>
  <c r="Z344" i="11"/>
  <c r="AA344" i="11" s="1"/>
  <c r="X352" i="11"/>
  <c r="AV71" i="20"/>
  <c r="AZ71" i="20" s="1"/>
  <c r="AY144" i="20"/>
  <c r="AO61" i="16"/>
  <c r="AQ60" i="16"/>
  <c r="AN72" i="14"/>
  <c r="AK73" i="14"/>
  <c r="AB86" i="10"/>
  <c r="AA87" i="10"/>
  <c r="AB87" i="10" s="1"/>
  <c r="BP102" i="19"/>
  <c r="AS39" i="18"/>
  <c r="AC108" i="10"/>
  <c r="AI133" i="20"/>
  <c r="AT132" i="20"/>
  <c r="AK132" i="20"/>
  <c r="AO170" i="14"/>
  <c r="AZ180" i="16"/>
  <c r="AX181" i="16"/>
  <c r="AF170" i="20"/>
  <c r="AG169" i="20"/>
  <c r="AA110" i="8"/>
  <c r="AB109" i="8"/>
  <c r="AC109" i="8" s="1"/>
  <c r="AX167" i="14"/>
  <c r="AW168" i="14"/>
  <c r="AV167" i="14"/>
  <c r="AS168" i="14"/>
  <c r="AY168" i="14" s="1"/>
  <c r="BB168" i="14" s="1"/>
  <c r="AB97" i="20"/>
  <c r="AD96" i="20"/>
  <c r="AS96" i="20"/>
  <c r="J363" i="3"/>
  <c r="J380" i="3" s="1"/>
  <c r="AD347" i="3"/>
  <c r="AH347" i="3" s="1"/>
  <c r="J348" i="3"/>
  <c r="K363" i="3"/>
  <c r="K380" i="3" s="1"/>
  <c r="Y133" i="8"/>
  <c r="X134" i="8"/>
  <c r="AO146" i="22"/>
  <c r="AP145" i="22"/>
  <c r="BI11" i="13"/>
  <c r="Q32" i="1"/>
  <c r="Q29" i="1" s="1"/>
  <c r="Q28" i="1" s="1"/>
  <c r="Q8" i="13"/>
  <c r="AL109" i="14"/>
  <c r="AZ108" i="14"/>
  <c r="F348" i="3"/>
  <c r="F363" i="3"/>
  <c r="F380" i="3" s="1"/>
  <c r="U186" i="13"/>
  <c r="U138" i="13" s="1"/>
  <c r="U140" i="11"/>
  <c r="S121" i="24"/>
  <c r="R122" i="24"/>
  <c r="K281" i="4"/>
  <c r="R200" i="13"/>
  <c r="N392" i="4"/>
  <c r="N362" i="4"/>
  <c r="AI108" i="18"/>
  <c r="BA107" i="18"/>
  <c r="BC107" i="18" s="1"/>
  <c r="BD107" i="18" s="1"/>
  <c r="AB301" i="15"/>
  <c r="AC301" i="15" s="1"/>
  <c r="S98" i="10"/>
  <c r="R99" i="10"/>
  <c r="S99" i="10" s="1"/>
  <c r="AM181" i="22"/>
  <c r="AT180" i="22"/>
  <c r="BA180" i="14"/>
  <c r="AM181" i="14"/>
  <c r="AN180" i="14"/>
  <c r="AB331" i="19"/>
  <c r="BM43" i="11"/>
  <c r="BX31" i="7" s="1"/>
  <c r="AT43" i="11"/>
  <c r="AG60" i="20"/>
  <c r="AF61" i="20"/>
  <c r="AF135" i="18"/>
  <c r="V111" i="5"/>
  <c r="V112" i="5" s="1"/>
  <c r="AC134" i="19"/>
  <c r="AF134" i="19" s="1"/>
  <c r="AA62" i="8"/>
  <c r="AB61" i="8"/>
  <c r="AC61" i="8" s="1"/>
  <c r="AD61" i="8" s="1"/>
  <c r="AA133" i="10"/>
  <c r="AB132" i="10"/>
  <c r="AC132" i="10" s="1"/>
  <c r="BC178" i="14"/>
  <c r="AP182" i="20"/>
  <c r="AR181" i="20"/>
  <c r="R44" i="5"/>
  <c r="R68" i="4"/>
  <c r="S18" i="6"/>
  <c r="AL25" i="20"/>
  <c r="AO24" i="20"/>
  <c r="S103" i="3"/>
  <c r="U208" i="4"/>
  <c r="BB118" i="14"/>
  <c r="C392" i="4"/>
  <c r="C362" i="4"/>
  <c r="V157" i="8"/>
  <c r="U158" i="8"/>
  <c r="Q280" i="17"/>
  <c r="AR60" i="16"/>
  <c r="AT59" i="16"/>
  <c r="BA59" i="16" s="1"/>
  <c r="AB202" i="4"/>
  <c r="V64" i="11"/>
  <c r="Y124" i="15"/>
  <c r="AD305" i="15"/>
  <c r="Q12" i="26"/>
  <c r="S11" i="26"/>
  <c r="BP101" i="19"/>
  <c r="AF111" i="18"/>
  <c r="R327" i="17"/>
  <c r="R294" i="17" s="1"/>
  <c r="R281" i="15"/>
  <c r="AL25" i="14"/>
  <c r="AZ24" i="14"/>
  <c r="AP61" i="22"/>
  <c r="AO62" i="22"/>
  <c r="AM25" i="22"/>
  <c r="AP24" i="22"/>
  <c r="AT24" i="22"/>
  <c r="AW24" i="22" s="1"/>
  <c r="BJ3" i="13"/>
  <c r="V62" i="8"/>
  <c r="U63" i="8"/>
  <c r="V63" i="8" s="1"/>
  <c r="V37" i="8"/>
  <c r="U38" i="8"/>
  <c r="V96" i="8"/>
  <c r="AC96" i="8" s="1"/>
  <c r="AD96" i="8" s="1"/>
  <c r="U97" i="8"/>
  <c r="AI459" i="3"/>
  <c r="AV75" i="18"/>
  <c r="AW75" i="18" s="1"/>
  <c r="AW74" i="18"/>
  <c r="Y54" i="11"/>
  <c r="BE54" i="11" s="1"/>
  <c r="Z330" i="11"/>
  <c r="Z185" i="4" s="1"/>
  <c r="U60" i="24"/>
  <c r="V59" i="24"/>
  <c r="W59" i="24" s="1"/>
  <c r="Z334" i="11"/>
  <c r="Z189" i="4" s="1"/>
  <c r="Z205" i="4"/>
  <c r="S84" i="4"/>
  <c r="AQ121" i="18"/>
  <c r="AP122" i="18"/>
  <c r="R334" i="17"/>
  <c r="R301" i="17" s="1"/>
  <c r="R285" i="17" s="1"/>
  <c r="R288" i="15"/>
  <c r="AX105" i="12"/>
  <c r="BE107" i="14" s="1"/>
  <c r="AY104" i="12"/>
  <c r="AL181" i="22"/>
  <c r="AK182" i="22"/>
  <c r="Q79" i="17"/>
  <c r="Q63" i="17" s="1"/>
  <c r="BC81" i="15"/>
  <c r="Q65" i="15"/>
  <c r="S121" i="26"/>
  <c r="R122" i="26"/>
  <c r="AC37" i="10"/>
  <c r="Y109" i="20"/>
  <c r="AS108" i="20"/>
  <c r="BI11" i="15"/>
  <c r="T25" i="6"/>
  <c r="T107" i="3"/>
  <c r="Z44" i="4"/>
  <c r="Z62" i="11"/>
  <c r="T191" i="13"/>
  <c r="T11" i="13" s="1"/>
  <c r="T131" i="13"/>
  <c r="N314" i="4"/>
  <c r="N329" i="4"/>
  <c r="AZ48" i="16"/>
  <c r="AX49" i="16"/>
  <c r="AX168" i="22"/>
  <c r="AW168" i="22"/>
  <c r="AB97" i="8"/>
  <c r="AA98" i="8"/>
  <c r="M281" i="4"/>
  <c r="Y13" i="10"/>
  <c r="X14" i="10"/>
  <c r="V110" i="8"/>
  <c r="U111" i="8"/>
  <c r="V111" i="8" s="1"/>
  <c r="AW71" i="20"/>
  <c r="R158" i="26"/>
  <c r="R72" i="15"/>
  <c r="R79" i="15"/>
  <c r="R78" i="15"/>
  <c r="R81" i="15"/>
  <c r="R73" i="15"/>
  <c r="R77" i="15"/>
  <c r="R74" i="15"/>
  <c r="R75" i="15"/>
  <c r="R80" i="15"/>
  <c r="R76" i="15"/>
  <c r="R82" i="15"/>
  <c r="Q124" i="21"/>
  <c r="Q108" i="21" s="1"/>
  <c r="Q127" i="19"/>
  <c r="Q126" i="19"/>
  <c r="BP124" i="19"/>
  <c r="Q108" i="19"/>
  <c r="Q109" i="19" s="1"/>
  <c r="BP109" i="19" s="1"/>
  <c r="AB109" i="10"/>
  <c r="AA110" i="10"/>
  <c r="S76" i="3"/>
  <c r="S70" i="3"/>
  <c r="S49" i="10"/>
  <c r="R50" i="10"/>
  <c r="AB109" i="22"/>
  <c r="AA110" i="22"/>
  <c r="V62" i="10"/>
  <c r="U63" i="10"/>
  <c r="V63" i="10" s="1"/>
  <c r="AP181" i="16"/>
  <c r="AQ180" i="16"/>
  <c r="AV108" i="22"/>
  <c r="AW108" i="22" s="1"/>
  <c r="AS108" i="22"/>
  <c r="AR109" i="22"/>
  <c r="AM133" i="14"/>
  <c r="BA132" i="14"/>
  <c r="AC108" i="8"/>
  <c r="V8" i="23"/>
  <c r="V3" i="23"/>
  <c r="V7" i="6"/>
  <c r="AV120" i="22"/>
  <c r="BL21" i="13"/>
  <c r="T20" i="13"/>
  <c r="BL20" i="13" s="1"/>
  <c r="Q128" i="11"/>
  <c r="AX119" i="14"/>
  <c r="AW120" i="14"/>
  <c r="Y169" i="10"/>
  <c r="X170" i="10"/>
  <c r="U6" i="7"/>
  <c r="AN73" i="16"/>
  <c r="AM74" i="16"/>
  <c r="AL96" i="22"/>
  <c r="AK97" i="22"/>
  <c r="AV96" i="22"/>
  <c r="O280" i="4"/>
  <c r="AC37" i="20"/>
  <c r="AD36" i="20"/>
  <c r="K250" i="4"/>
  <c r="K265" i="4"/>
  <c r="AB216" i="4"/>
  <c r="AS51" i="16"/>
  <c r="R71" i="4"/>
  <c r="AE300" i="15"/>
  <c r="AF300" i="15" s="1"/>
  <c r="C461" i="3"/>
  <c r="C492" i="3"/>
  <c r="AN97" i="20"/>
  <c r="AO96" i="20"/>
  <c r="AK109" i="14"/>
  <c r="AN108" i="14"/>
  <c r="S245" i="13"/>
  <c r="S117" i="4"/>
  <c r="S150" i="4" s="1"/>
  <c r="Z60" i="11"/>
  <c r="AY72" i="20"/>
  <c r="U75" i="26"/>
  <c r="V75" i="26" s="1"/>
  <c r="V74" i="26"/>
  <c r="AR170" i="16"/>
  <c r="AT169" i="16"/>
  <c r="AD134" i="19"/>
  <c r="AJ343" i="19"/>
  <c r="BA36" i="14"/>
  <c r="AM37" i="14"/>
  <c r="Y73" i="8"/>
  <c r="X74" i="8"/>
  <c r="AI60" i="18"/>
  <c r="AK59" i="18"/>
  <c r="BA59" i="18"/>
  <c r="BC59" i="18" s="1"/>
  <c r="BD71" i="18" s="1"/>
  <c r="Q109" i="7"/>
  <c r="Q112" i="7"/>
  <c r="R112" i="7" s="1"/>
  <c r="Q108" i="7"/>
  <c r="R108" i="7" s="1"/>
  <c r="BT117" i="7"/>
  <c r="Q115" i="7"/>
  <c r="R115" i="7" s="1"/>
  <c r="Q107" i="7"/>
  <c r="R107" i="7" s="1"/>
  <c r="Q110" i="7"/>
  <c r="R110" i="7" s="1"/>
  <c r="Q114" i="7"/>
  <c r="R114" i="7" s="1"/>
  <c r="Q111" i="7"/>
  <c r="R111" i="7" s="1"/>
  <c r="Q113" i="7"/>
  <c r="R113" i="7" s="1"/>
  <c r="AE132" i="22"/>
  <c r="AD133" i="22"/>
  <c r="AR26" i="22"/>
  <c r="AV25" i="22"/>
  <c r="AS25" i="22"/>
  <c r="AC99" i="20"/>
  <c r="AV95" i="14"/>
  <c r="AS96" i="14"/>
  <c r="AY96" i="14" s="1"/>
  <c r="BB96" i="14" s="1"/>
  <c r="AJ122" i="16"/>
  <c r="AK121" i="16"/>
  <c r="AX86" i="18"/>
  <c r="AZ85" i="18"/>
  <c r="G330" i="4"/>
  <c r="G315" i="4"/>
  <c r="Y129" i="21"/>
  <c r="Z129" i="19"/>
  <c r="AP73" i="14"/>
  <c r="AZ72" i="14"/>
  <c r="AZ58" i="20"/>
  <c r="I314" i="4"/>
  <c r="I329" i="4"/>
  <c r="AK147" i="14"/>
  <c r="AA104" i="11"/>
  <c r="AA344" i="19"/>
  <c r="AM158" i="14"/>
  <c r="BA157" i="14"/>
  <c r="AK62" i="22"/>
  <c r="R37" i="26"/>
  <c r="S36" i="26"/>
  <c r="AF306" i="15"/>
  <c r="AG306" i="15" s="1"/>
  <c r="BA23" i="16"/>
  <c r="V13" i="10"/>
  <c r="AC13" i="10" s="1"/>
  <c r="U14" i="10"/>
  <c r="AS146" i="22"/>
  <c r="AR147" i="22"/>
  <c r="S108" i="24"/>
  <c r="R109" i="24"/>
  <c r="AX49" i="18"/>
  <c r="AZ48" i="18"/>
  <c r="S108" i="10"/>
  <c r="R109" i="10"/>
  <c r="AP49" i="16"/>
  <c r="AQ48" i="16"/>
  <c r="AL87" i="14"/>
  <c r="AZ87" i="14" s="1"/>
  <c r="AZ86" i="14"/>
  <c r="AI48" i="16"/>
  <c r="AK47" i="16"/>
  <c r="Q181" i="7"/>
  <c r="R169" i="7" s="1"/>
  <c r="BT11" i="7"/>
  <c r="BC82" i="15"/>
  <c r="Q66" i="15"/>
  <c r="Q80" i="17"/>
  <c r="Q64" i="17" s="1"/>
  <c r="I392" i="4"/>
  <c r="I362" i="4"/>
  <c r="U108" i="26"/>
  <c r="V107" i="26"/>
  <c r="AQ73" i="22"/>
  <c r="AT72" i="22"/>
  <c r="R62" i="5"/>
  <c r="R79" i="5" s="1"/>
  <c r="Q157" i="4"/>
  <c r="P492" i="3"/>
  <c r="P461" i="3"/>
  <c r="AM123" i="18"/>
  <c r="AN123" i="18" s="1"/>
  <c r="AN122" i="18"/>
  <c r="AD412" i="3"/>
  <c r="AH412" i="3" s="1"/>
  <c r="J428" i="3"/>
  <c r="J413" i="3"/>
  <c r="AP39" i="18"/>
  <c r="AQ39" i="18" s="1"/>
  <c r="AQ38" i="18"/>
  <c r="Z307" i="15"/>
  <c r="AA299" i="15"/>
  <c r="S108" i="3"/>
  <c r="AV179" i="20"/>
  <c r="AW179" i="20"/>
  <c r="AI339" i="19"/>
  <c r="AJ339" i="19" s="1"/>
  <c r="S181" i="10"/>
  <c r="R182" i="10"/>
  <c r="AN49" i="18"/>
  <c r="AM50" i="18"/>
  <c r="P428" i="3"/>
  <c r="P413" i="3"/>
  <c r="W193" i="11"/>
  <c r="W14" i="1"/>
  <c r="W11" i="1" s="1"/>
  <c r="W8" i="11"/>
  <c r="AB322" i="19"/>
  <c r="AC338" i="19"/>
  <c r="AQ26" i="14"/>
  <c r="BA25" i="14"/>
  <c r="BE13" i="15"/>
  <c r="AI13" i="17"/>
  <c r="AP62" i="20"/>
  <c r="AR61" i="20"/>
  <c r="AK87" i="22"/>
  <c r="AH168" i="8"/>
  <c r="BO166" i="12" s="1"/>
  <c r="AD168" i="8"/>
  <c r="R45" i="5"/>
  <c r="R69" i="4"/>
  <c r="AK297" i="15"/>
  <c r="AQ110" i="22"/>
  <c r="AT109" i="22"/>
  <c r="BA47" i="18"/>
  <c r="BC47" i="18" s="1"/>
  <c r="BD167" i="16"/>
  <c r="BQ165" i="12" s="1"/>
  <c r="BG165" i="12" s="1"/>
  <c r="AS146" i="18"/>
  <c r="BC154" i="14"/>
  <c r="AS156" i="22"/>
  <c r="AR157" i="22"/>
  <c r="AV156" i="22"/>
  <c r="AZ156" i="22" s="1"/>
  <c r="AZ132" i="14"/>
  <c r="AL133" i="14"/>
  <c r="R154" i="3"/>
  <c r="Q132" i="26"/>
  <c r="S131" i="26"/>
  <c r="AJ63" i="18"/>
  <c r="BM44" i="11"/>
  <c r="BX32" i="7" s="1"/>
  <c r="AT44" i="11"/>
  <c r="BB180" i="14"/>
  <c r="AG157" i="22"/>
  <c r="AH156" i="22"/>
  <c r="X63" i="8"/>
  <c r="Y63" i="8" s="1"/>
  <c r="Y62" i="8"/>
  <c r="AX158" i="16"/>
  <c r="AZ157" i="16"/>
  <c r="S78" i="3"/>
  <c r="S74" i="3"/>
  <c r="AM171" i="18"/>
  <c r="AN171" i="18" s="1"/>
  <c r="AN170" i="18"/>
  <c r="Q255" i="13"/>
  <c r="Q15" i="13" s="1"/>
  <c r="BI15" i="13" s="1"/>
  <c r="AT26" i="18"/>
  <c r="AS27" i="18"/>
  <c r="AT27" i="18" s="1"/>
  <c r="AD157" i="22"/>
  <c r="AE156" i="22"/>
  <c r="Y74" i="10"/>
  <c r="X75" i="10"/>
  <c r="Y75" i="10" s="1"/>
  <c r="AB130" i="15"/>
  <c r="AB114" i="15" s="1"/>
  <c r="AV121" i="22"/>
  <c r="AR122" i="22"/>
  <c r="AJ98" i="18"/>
  <c r="AM25" i="18"/>
  <c r="AN24" i="18"/>
  <c r="Y14" i="20"/>
  <c r="AS13" i="20"/>
  <c r="AX94" i="4"/>
  <c r="AY94" i="4" s="1"/>
  <c r="AJ111" i="3"/>
  <c r="AK111" i="3" s="1"/>
  <c r="AQ85" i="22"/>
  <c r="AT84" i="22"/>
  <c r="AW84" i="22" s="1"/>
  <c r="W288" i="3"/>
  <c r="W292" i="3"/>
  <c r="W228" i="3"/>
  <c r="AD48" i="20"/>
  <c r="AC49" i="20"/>
  <c r="AU48" i="20"/>
  <c r="AY48" i="20" s="1"/>
  <c r="U169" i="26"/>
  <c r="V168" i="26"/>
  <c r="W168" i="26" s="1"/>
  <c r="AR73" i="20"/>
  <c r="AP74" i="20"/>
  <c r="AM145" i="18"/>
  <c r="AN144" i="18"/>
  <c r="AS86" i="16"/>
  <c r="U181" i="13"/>
  <c r="U133" i="13" s="1"/>
  <c r="U135" i="11"/>
  <c r="AS111" i="18"/>
  <c r="AT111" i="18" s="1"/>
  <c r="AT110" i="18"/>
  <c r="AS48" i="14"/>
  <c r="AV47" i="14"/>
  <c r="N363" i="3"/>
  <c r="N380" i="3" s="1"/>
  <c r="N348" i="3"/>
  <c r="AS133" i="14"/>
  <c r="AV132" i="14"/>
  <c r="S243" i="13"/>
  <c r="S115" i="4"/>
  <c r="AD181" i="20"/>
  <c r="AC182" i="20"/>
  <c r="AU182" i="20" s="1"/>
  <c r="AA73" i="20"/>
  <c r="Z74" i="20"/>
  <c r="AU73" i="20"/>
  <c r="AG123" i="18"/>
  <c r="AH122" i="18"/>
  <c r="AD300" i="15"/>
  <c r="O314" i="4"/>
  <c r="O329" i="4"/>
  <c r="Y403" i="13"/>
  <c r="Y212" i="4"/>
  <c r="Y325" i="11"/>
  <c r="Z373" i="11"/>
  <c r="AY84" i="20"/>
  <c r="AR122" i="20"/>
  <c r="AP123" i="20"/>
  <c r="AR123" i="20" s="1"/>
  <c r="R118" i="11"/>
  <c r="AR146" i="20"/>
  <c r="AP147" i="20"/>
  <c r="AR147" i="20" s="1"/>
  <c r="AR135" i="22"/>
  <c r="AO120" i="14"/>
  <c r="AR119" i="14"/>
  <c r="AY119" i="14"/>
  <c r="U12" i="26"/>
  <c r="V11" i="26"/>
  <c r="AH96" i="22"/>
  <c r="AG97" i="22"/>
  <c r="AO72" i="14"/>
  <c r="AR71" i="14"/>
  <c r="AA182" i="22"/>
  <c r="AB181" i="22"/>
  <c r="R256" i="11"/>
  <c r="AA156" i="15"/>
  <c r="BD154" i="18"/>
  <c r="AK25" i="14"/>
  <c r="AN24" i="14"/>
  <c r="AZ60" i="18"/>
  <c r="AX61" i="18"/>
  <c r="W336" i="11"/>
  <c r="W191" i="4" s="1"/>
  <c r="W95" i="5" s="1"/>
  <c r="W207" i="4"/>
  <c r="W208" i="4" s="1"/>
  <c r="Z128" i="15"/>
  <c r="Z112" i="15" s="1"/>
  <c r="X146" i="8"/>
  <c r="Y145" i="8"/>
  <c r="S228" i="13"/>
  <c r="S198" i="11"/>
  <c r="AY59" i="14"/>
  <c r="BB59" i="14" s="1"/>
  <c r="AH108" i="16"/>
  <c r="AG109" i="16"/>
  <c r="AF86" i="18"/>
  <c r="AK157" i="18"/>
  <c r="AJ158" i="18"/>
  <c r="AD107" i="8"/>
  <c r="AW85" i="16"/>
  <c r="AV86" i="16"/>
  <c r="AJ27" i="18"/>
  <c r="AQ147" i="22"/>
  <c r="AT147" i="22" s="1"/>
  <c r="AT146" i="22"/>
  <c r="AV49" i="18"/>
  <c r="AW48" i="18"/>
  <c r="AU109" i="20"/>
  <c r="Z110" i="20"/>
  <c r="AU120" i="22"/>
  <c r="AJ121" i="22"/>
  <c r="AJ133" i="22"/>
  <c r="AU132" i="22"/>
  <c r="AL132" i="22"/>
  <c r="U122" i="26"/>
  <c r="V121" i="26"/>
  <c r="S3" i="15"/>
  <c r="S84" i="15"/>
  <c r="BG4" i="15"/>
  <c r="Y147" i="20"/>
  <c r="Z122" i="20"/>
  <c r="AA121" i="20"/>
  <c r="AU121" i="20"/>
  <c r="AY121" i="20" s="1"/>
  <c r="J250" i="4"/>
  <c r="S91" i="4"/>
  <c r="L428" i="3"/>
  <c r="L413" i="3"/>
  <c r="R323" i="15"/>
  <c r="AL180" i="22"/>
  <c r="AF39" i="20"/>
  <c r="AX171" i="18"/>
  <c r="AZ171" i="18" s="1"/>
  <c r="AZ170" i="18"/>
  <c r="AP132" i="22"/>
  <c r="AO133" i="22"/>
  <c r="AV132" i="22"/>
  <c r="AB77" i="11"/>
  <c r="Q374" i="19"/>
  <c r="Q375" i="19" s="1"/>
  <c r="Q389" i="19"/>
  <c r="Q407" i="19"/>
  <c r="AH25" i="20"/>
  <c r="AS24" i="20"/>
  <c r="AW36" i="20" s="1"/>
  <c r="AK24" i="20"/>
  <c r="AD179" i="8"/>
  <c r="V24" i="8"/>
  <c r="U25" i="8"/>
  <c r="AH181" i="16"/>
  <c r="AG182" i="16"/>
  <c r="Y99" i="20"/>
  <c r="AB145" i="22"/>
  <c r="AA146" i="22"/>
  <c r="S73" i="3"/>
  <c r="AN168" i="16"/>
  <c r="AM169" i="16"/>
  <c r="AH14" i="22"/>
  <c r="AG15" i="22"/>
  <c r="AH15" i="22" s="1"/>
  <c r="AF99" i="18"/>
  <c r="AW84" i="20"/>
  <c r="S253" i="13"/>
  <c r="S125" i="4"/>
  <c r="S158" i="4" s="1"/>
  <c r="Z45" i="4"/>
  <c r="AA111" i="11"/>
  <c r="AI144" i="18"/>
  <c r="AK143" i="18"/>
  <c r="AX152" i="12"/>
  <c r="AY151" i="12"/>
  <c r="AO158" i="22"/>
  <c r="AP157" i="22"/>
  <c r="F414" i="3"/>
  <c r="F429" i="3"/>
  <c r="AM122" i="16"/>
  <c r="AN121" i="16"/>
  <c r="AD180" i="8"/>
  <c r="Y146" i="10"/>
  <c r="X147" i="10"/>
  <c r="Y147" i="10" s="1"/>
  <c r="Q140" i="3"/>
  <c r="Q123" i="13"/>
  <c r="Q43" i="13" s="1"/>
  <c r="Q3" i="25"/>
  <c r="AV3" i="23"/>
  <c r="Q4" i="23"/>
  <c r="Q35" i="6"/>
  <c r="Q34" i="6" s="1"/>
  <c r="R3" i="25"/>
  <c r="R4" i="23"/>
  <c r="R5" i="23" s="1"/>
  <c r="R81" i="23" s="1"/>
  <c r="R35" i="6"/>
  <c r="R34" i="6" s="1"/>
  <c r="Z166" i="24"/>
  <c r="BS164" i="12" s="1"/>
  <c r="BI164" i="12" s="1"/>
  <c r="X166" i="24"/>
  <c r="AW12" i="16"/>
  <c r="BA12" i="16" s="1"/>
  <c r="AV13" i="16"/>
  <c r="R75" i="4"/>
  <c r="AW132" i="14"/>
  <c r="AX131" i="14"/>
  <c r="V72" i="10"/>
  <c r="AC72" i="10" s="1"/>
  <c r="U73" i="10"/>
  <c r="Q210" i="11"/>
  <c r="AR181" i="14"/>
  <c r="AO182" i="14"/>
  <c r="AY181" i="14"/>
  <c r="AC83" i="8"/>
  <c r="AD83" i="8" s="1"/>
  <c r="AQ73" i="16"/>
  <c r="AP74" i="16"/>
  <c r="AX131" i="12"/>
  <c r="AD13" i="20"/>
  <c r="AC14" i="20"/>
  <c r="AA182" i="10"/>
  <c r="AB181" i="10"/>
  <c r="AA130" i="15"/>
  <c r="AA114" i="15" s="1"/>
  <c r="AQ85" i="14"/>
  <c r="BA84" i="14"/>
  <c r="AS170" i="18"/>
  <c r="AG99" i="18"/>
  <c r="AH98" i="18"/>
  <c r="R15" i="26"/>
  <c r="W415" i="13"/>
  <c r="W24" i="13" s="1"/>
  <c r="BO24" i="13" s="1"/>
  <c r="U179" i="13"/>
  <c r="U133" i="11"/>
  <c r="AX134" i="18"/>
  <c r="AZ133" i="18"/>
  <c r="AD97" i="22"/>
  <c r="AE96" i="22"/>
  <c r="T89" i="4"/>
  <c r="AZ180" i="18"/>
  <c r="AX181" i="18"/>
  <c r="V25" i="10"/>
  <c r="U26" i="10"/>
  <c r="AA182" i="20"/>
  <c r="Z183" i="20"/>
  <c r="S248" i="11"/>
  <c r="AW183" i="14"/>
  <c r="AX183" i="14" s="1"/>
  <c r="AX182" i="14"/>
  <c r="Y49" i="10"/>
  <c r="X50" i="10"/>
  <c r="X121" i="10"/>
  <c r="Y120" i="10"/>
  <c r="AM85" i="20"/>
  <c r="AO84" i="20"/>
  <c r="T134" i="10"/>
  <c r="V133" i="10"/>
  <c r="AB49" i="10"/>
  <c r="AC49" i="10" s="1"/>
  <c r="AA50" i="10"/>
  <c r="AV145" i="16"/>
  <c r="AW144" i="16"/>
  <c r="BA144" i="16" s="1"/>
  <c r="AR132" i="18"/>
  <c r="AT131" i="18"/>
  <c r="Y87" i="20"/>
  <c r="AS86" i="20"/>
  <c r="AB69" i="11"/>
  <c r="S133" i="8"/>
  <c r="R134" i="8"/>
  <c r="AG122" i="16"/>
  <c r="AH121" i="16"/>
  <c r="Z58" i="11"/>
  <c r="AA74" i="11"/>
  <c r="AB74" i="11" s="1"/>
  <c r="Z374" i="11"/>
  <c r="W133" i="21"/>
  <c r="W141" i="21" s="1"/>
  <c r="W8" i="21" s="1"/>
  <c r="W140" i="19"/>
  <c r="W140" i="21" s="1"/>
  <c r="X133" i="19"/>
  <c r="W10" i="26"/>
  <c r="S110" i="8"/>
  <c r="R111" i="8"/>
  <c r="S111" i="8" s="1"/>
  <c r="AK98" i="14"/>
  <c r="P362" i="4"/>
  <c r="P392" i="4"/>
  <c r="AI62" i="20"/>
  <c r="AT61" i="20"/>
  <c r="AX61" i="20" s="1"/>
  <c r="AK61" i="20"/>
  <c r="Q73" i="4"/>
  <c r="X20" i="5"/>
  <c r="AN156" i="14"/>
  <c r="AK157" i="14"/>
  <c r="AH323" i="19"/>
  <c r="V109" i="10"/>
  <c r="U110" i="10"/>
  <c r="S169" i="24"/>
  <c r="R170" i="24"/>
  <c r="AC51" i="8"/>
  <c r="Z218" i="4"/>
  <c r="Z331" i="11"/>
  <c r="Z186" i="4" s="1"/>
  <c r="T3" i="23"/>
  <c r="AY23" i="14"/>
  <c r="BB23" i="14" s="1"/>
  <c r="BE23" i="14" s="1"/>
  <c r="T85" i="4"/>
  <c r="AG181" i="22"/>
  <c r="AH180" i="22"/>
  <c r="AY11" i="14"/>
  <c r="BB11" i="14" s="1"/>
  <c r="BE11" i="14" s="1"/>
  <c r="T109" i="3"/>
  <c r="AJ182" i="20"/>
  <c r="BP107" i="19"/>
  <c r="AI96" i="16"/>
  <c r="AK95" i="16"/>
  <c r="BA95" i="16" s="1"/>
  <c r="AP87" i="18"/>
  <c r="AQ87" i="18" s="1"/>
  <c r="AQ86" i="18"/>
  <c r="AB304" i="15"/>
  <c r="AB13" i="8"/>
  <c r="AA14" i="8"/>
  <c r="AB121" i="22"/>
  <c r="AA122" i="22"/>
  <c r="AH60" i="22"/>
  <c r="AG61" i="22"/>
  <c r="R239" i="13"/>
  <c r="R14" i="13" s="1"/>
  <c r="R195" i="13"/>
  <c r="AZ96" i="16"/>
  <c r="AX97" i="16"/>
  <c r="S236" i="13"/>
  <c r="S206" i="11"/>
  <c r="AA37" i="22"/>
  <c r="AB36" i="22"/>
  <c r="AK169" i="20"/>
  <c r="AJ170" i="20"/>
  <c r="S94" i="4"/>
  <c r="AP168" i="14"/>
  <c r="AZ168" i="14" s="1"/>
  <c r="AR167" i="14"/>
  <c r="AO120" i="20"/>
  <c r="AL121" i="20"/>
  <c r="AS120" i="20"/>
  <c r="AN145" i="16"/>
  <c r="AM146" i="16"/>
  <c r="AS110" i="16"/>
  <c r="T104" i="3"/>
  <c r="AN49" i="14"/>
  <c r="AK50" i="14"/>
  <c r="AF298" i="15"/>
  <c r="AU144" i="22"/>
  <c r="AW144" i="22" s="1"/>
  <c r="AJ145" i="22"/>
  <c r="AA44" i="4"/>
  <c r="AI181" i="20"/>
  <c r="AK181" i="20" s="1"/>
  <c r="AT180" i="20"/>
  <c r="AX180" i="20" s="1"/>
  <c r="I249" i="4"/>
  <c r="I264" i="4"/>
  <c r="I281" i="4" s="1"/>
  <c r="U51" i="10"/>
  <c r="V51" i="10" s="1"/>
  <c r="V50" i="10"/>
  <c r="W92" i="5"/>
  <c r="M314" i="4"/>
  <c r="M329" i="4"/>
  <c r="E461" i="3"/>
  <c r="E492" i="3"/>
  <c r="BA49" i="14"/>
  <c r="AM50" i="14"/>
  <c r="E392" i="4"/>
  <c r="E362" i="4"/>
  <c r="AV180" i="22"/>
  <c r="AN37" i="16"/>
  <c r="AM38" i="16"/>
  <c r="Q48" i="24"/>
  <c r="S47" i="24"/>
  <c r="W47" i="24" s="1"/>
  <c r="BA168" i="18"/>
  <c r="BC168" i="18" s="1"/>
  <c r="AF169" i="18"/>
  <c r="V47" i="26"/>
  <c r="W47" i="26" s="1"/>
  <c r="U48" i="26"/>
  <c r="BH20" i="15"/>
  <c r="BG20" i="15"/>
  <c r="AW167" i="20"/>
  <c r="AV167" i="20"/>
  <c r="Q406" i="19"/>
  <c r="Q388" i="19"/>
  <c r="V96" i="26"/>
  <c r="W96" i="26" s="1"/>
  <c r="U97" i="26"/>
  <c r="M392" i="4"/>
  <c r="M362" i="4"/>
  <c r="BB12" i="18"/>
  <c r="AY35" i="14"/>
  <c r="BB35" i="14" s="1"/>
  <c r="BE35" i="14" s="1"/>
  <c r="E414" i="3"/>
  <c r="E429" i="3"/>
  <c r="I414" i="3"/>
  <c r="I429" i="3"/>
  <c r="AH181" i="18"/>
  <c r="AG182" i="18"/>
  <c r="AI24" i="18"/>
  <c r="BA23" i="18"/>
  <c r="BC23" i="18" s="1"/>
  <c r="AK23" i="18"/>
  <c r="AF146" i="20"/>
  <c r="AG145" i="20"/>
  <c r="S14" i="10"/>
  <c r="R15" i="10"/>
  <c r="S15" i="10" s="1"/>
  <c r="AX38" i="16"/>
  <c r="AZ37" i="16"/>
  <c r="T183" i="8"/>
  <c r="V183" i="8" s="1"/>
  <c r="V182" i="8"/>
  <c r="AM158" i="18"/>
  <c r="AN157" i="18"/>
  <c r="AB84" i="8"/>
  <c r="AC84" i="8" s="1"/>
  <c r="AD84" i="8" s="1"/>
  <c r="AA85" i="8"/>
  <c r="AG298" i="15"/>
  <c r="AK74" i="16"/>
  <c r="AJ75" i="16"/>
  <c r="AK75" i="16" s="1"/>
  <c r="AI14" i="20"/>
  <c r="AT13" i="20"/>
  <c r="BC12" i="18"/>
  <c r="F392" i="4"/>
  <c r="F362" i="4"/>
  <c r="U182" i="13"/>
  <c r="U134" i="13" s="1"/>
  <c r="U136" i="11"/>
  <c r="AG139" i="19"/>
  <c r="AI139" i="19" s="1"/>
  <c r="T106" i="3"/>
  <c r="BB169" i="18"/>
  <c r="AG170" i="18"/>
  <c r="U170" i="8"/>
  <c r="V169" i="8"/>
  <c r="AR47" i="14"/>
  <c r="AO48" i="14"/>
  <c r="AY47" i="14"/>
  <c r="BB47" i="14" s="1"/>
  <c r="BE47" i="14" s="1"/>
  <c r="AD132" i="19"/>
  <c r="BD155" i="18"/>
  <c r="Q75" i="4"/>
  <c r="AM62" i="18"/>
  <c r="AN61" i="18"/>
  <c r="AW143" i="20"/>
  <c r="AV143" i="20"/>
  <c r="AW155" i="20"/>
  <c r="S251" i="13"/>
  <c r="S123" i="4"/>
  <c r="S156" i="4" s="1"/>
  <c r="W112" i="11"/>
  <c r="AC155" i="15"/>
  <c r="S62" i="26"/>
  <c r="R63" i="26"/>
  <c r="S63" i="26" s="1"/>
  <c r="L379" i="3"/>
  <c r="AC48" i="10"/>
  <c r="BA143" i="16"/>
  <c r="AW84" i="14"/>
  <c r="AX83" i="14"/>
  <c r="V155" i="24"/>
  <c r="W155" i="24" s="1"/>
  <c r="U156" i="24"/>
  <c r="AG73" i="18"/>
  <c r="BB72" i="18"/>
  <c r="AH72" i="18"/>
  <c r="AA85" i="20"/>
  <c r="AU85" i="20"/>
  <c r="AY85" i="20" s="1"/>
  <c r="Z86" i="20"/>
  <c r="AG97" i="20"/>
  <c r="AF98" i="20"/>
  <c r="AU97" i="20"/>
  <c r="AY97" i="20" s="1"/>
  <c r="BA182" i="11"/>
  <c r="K314" i="4"/>
  <c r="K329" i="4"/>
  <c r="R335" i="17"/>
  <c r="R302" i="17" s="1"/>
  <c r="R286" i="17" s="1"/>
  <c r="R289" i="15"/>
  <c r="AF27" i="20"/>
  <c r="AG27" i="20" s="1"/>
  <c r="AG26" i="20"/>
  <c r="Z325" i="19"/>
  <c r="AA341" i="19"/>
  <c r="AQ62" i="14"/>
  <c r="BA61" i="14"/>
  <c r="R105" i="7"/>
  <c r="R106" i="7"/>
  <c r="V35" i="26"/>
  <c r="W35" i="26" s="1"/>
  <c r="U36" i="26"/>
  <c r="R94" i="3"/>
  <c r="AM51" i="20"/>
  <c r="AO51" i="20" s="1"/>
  <c r="AO50" i="20"/>
  <c r="AR96" i="20"/>
  <c r="AP97" i="20"/>
  <c r="Z324" i="19"/>
  <c r="Z348" i="19"/>
  <c r="Z332" i="19" s="1"/>
  <c r="U142" i="11"/>
  <c r="U188" i="13"/>
  <c r="U140" i="13" s="1"/>
  <c r="AR120" i="18"/>
  <c r="AT119" i="18"/>
  <c r="BA119" i="18"/>
  <c r="BC119" i="18" s="1"/>
  <c r="AV35" i="14"/>
  <c r="AS36" i="14"/>
  <c r="AK120" i="18"/>
  <c r="AJ121" i="18"/>
  <c r="BB120" i="18"/>
  <c r="AT26" i="20"/>
  <c r="AI27" i="20"/>
  <c r="R38" i="24"/>
  <c r="S37" i="24"/>
  <c r="BM201" i="11"/>
  <c r="AT201" i="11"/>
  <c r="Q121" i="11"/>
  <c r="AF145" i="18"/>
  <c r="AQ50" i="22"/>
  <c r="AT49" i="22"/>
  <c r="AF181" i="18"/>
  <c r="AA132" i="20"/>
  <c r="BE70" i="14"/>
  <c r="BC70" i="14"/>
  <c r="X111" i="10"/>
  <c r="Y111" i="10" s="1"/>
  <c r="Y110" i="10"/>
  <c r="AT73" i="16"/>
  <c r="AS74" i="16"/>
  <c r="AP120" i="14"/>
  <c r="AZ119" i="14"/>
  <c r="AW72" i="14"/>
  <c r="AX71" i="14"/>
  <c r="W8" i="15"/>
  <c r="BO8" i="15" s="1"/>
  <c r="BO7" i="15"/>
  <c r="W10" i="15"/>
  <c r="BO10" i="15" s="1"/>
  <c r="AW48" i="22"/>
  <c r="Y329" i="11"/>
  <c r="Y184" i="4" s="1"/>
  <c r="Y200" i="4"/>
  <c r="Y248" i="3"/>
  <c r="Z345" i="11"/>
  <c r="AR84" i="16"/>
  <c r="AT83" i="16"/>
  <c r="BA83" i="16" s="1"/>
  <c r="V131" i="26"/>
  <c r="W131" i="26" s="1"/>
  <c r="U132" i="26"/>
  <c r="AX143" i="14"/>
  <c r="AW144" i="14"/>
  <c r="AT50" i="20"/>
  <c r="AI51" i="20"/>
  <c r="AT51" i="20" s="1"/>
  <c r="AX35" i="14"/>
  <c r="AW36" i="14"/>
  <c r="AW47" i="20"/>
  <c r="AV47" i="20"/>
  <c r="AZ47" i="20" s="1"/>
  <c r="AT132" i="22"/>
  <c r="AQ133" i="22"/>
  <c r="AS132" i="22"/>
  <c r="K492" i="3"/>
  <c r="K461" i="3"/>
  <c r="R4" i="7"/>
  <c r="R69" i="7" s="1"/>
  <c r="R14" i="6"/>
  <c r="R13" i="6" s="1"/>
  <c r="AV119" i="20"/>
  <c r="AZ119" i="20" s="1"/>
  <c r="AW119" i="20"/>
  <c r="AR155" i="14"/>
  <c r="AO156" i="14"/>
  <c r="AZ34" i="20"/>
  <c r="AA121" i="10"/>
  <c r="AB120" i="10"/>
  <c r="AC120" i="10" s="1"/>
  <c r="Q142" i="3"/>
  <c r="Q125" i="13"/>
  <c r="Q45" i="13" s="1"/>
  <c r="S73" i="13"/>
  <c r="S71" i="13"/>
  <c r="S67" i="13"/>
  <c r="S69" i="13"/>
  <c r="S72" i="13"/>
  <c r="S70" i="13"/>
  <c r="S68" i="13"/>
  <c r="S74" i="13"/>
  <c r="S76" i="13"/>
  <c r="S75" i="13"/>
  <c r="S78" i="13"/>
  <c r="S77" i="13"/>
  <c r="J492" i="3"/>
  <c r="J461" i="3"/>
  <c r="AD460" i="3"/>
  <c r="AH460" i="3" s="1"/>
  <c r="AP36" i="22"/>
  <c r="AO37" i="22"/>
  <c r="Q112" i="3"/>
  <c r="AG135" i="19"/>
  <c r="AH135" i="19" s="1"/>
  <c r="Q78" i="17"/>
  <c r="Q62" i="17" s="1"/>
  <c r="Q64" i="15"/>
  <c r="BC80" i="15"/>
  <c r="Z219" i="4"/>
  <c r="AU13" i="20"/>
  <c r="AA13" i="20"/>
  <c r="Z14" i="20"/>
  <c r="AS84" i="14"/>
  <c r="AV83" i="14"/>
  <c r="AM182" i="18"/>
  <c r="AN181" i="18"/>
  <c r="V108" i="24"/>
  <c r="W108" i="24" s="1"/>
  <c r="U109" i="24"/>
  <c r="R98" i="26"/>
  <c r="S97" i="26"/>
  <c r="AM134" i="18"/>
  <c r="AN133" i="18"/>
  <c r="AF134" i="20"/>
  <c r="AG133" i="20"/>
  <c r="U120" i="24"/>
  <c r="V119" i="24"/>
  <c r="W119" i="24" s="1"/>
  <c r="AP75" i="18"/>
  <c r="AQ75" i="18" s="1"/>
  <c r="AQ74" i="18"/>
  <c r="T324" i="15"/>
  <c r="T18" i="15"/>
  <c r="S111" i="13"/>
  <c r="S6" i="13" s="1"/>
  <c r="BK6" i="13" s="1"/>
  <c r="S36" i="3"/>
  <c r="AN36" i="18"/>
  <c r="AM37" i="18"/>
  <c r="AR62" i="22"/>
  <c r="AV61" i="22"/>
  <c r="AS61" i="22"/>
  <c r="Y130" i="21"/>
  <c r="AA130" i="19"/>
  <c r="AA53" i="11"/>
  <c r="AH24" i="18"/>
  <c r="BB24" i="18"/>
  <c r="AG25" i="18"/>
  <c r="T111" i="3"/>
  <c r="Q61" i="24"/>
  <c r="S60" i="24"/>
  <c r="BF162" i="12"/>
  <c r="BT162" i="12"/>
  <c r="BJ162" i="12" s="1"/>
  <c r="AA97" i="22"/>
  <c r="AB96" i="22"/>
  <c r="AC144" i="8"/>
  <c r="AD144" i="8" s="1"/>
  <c r="AC168" i="10"/>
  <c r="AD168" i="10" s="1"/>
  <c r="AE411" i="3"/>
  <c r="AB342" i="11"/>
  <c r="AK75" i="22"/>
  <c r="AI97" i="20"/>
  <c r="AT96" i="20"/>
  <c r="AK96" i="20"/>
  <c r="Y24" i="10"/>
  <c r="AC24" i="10" s="1"/>
  <c r="X25" i="10"/>
  <c r="Z178" i="24"/>
  <c r="X178" i="24"/>
  <c r="AZ48" i="14"/>
  <c r="AL49" i="14"/>
  <c r="V167" i="24"/>
  <c r="W167" i="24" s="1"/>
  <c r="U168" i="24"/>
  <c r="L314" i="4"/>
  <c r="L329" i="4"/>
  <c r="AE330" i="19"/>
  <c r="AG346" i="19"/>
  <c r="BD94" i="18"/>
  <c r="AB70" i="11"/>
  <c r="X414" i="13"/>
  <c r="X287" i="3" s="1"/>
  <c r="X303" i="3" s="1"/>
  <c r="X223" i="4"/>
  <c r="AU13" i="22"/>
  <c r="AJ14" i="22"/>
  <c r="AL13" i="22"/>
  <c r="AW132" i="16"/>
  <c r="AV133" i="16"/>
  <c r="AS123" i="16"/>
  <c r="AI169" i="20"/>
  <c r="AT168" i="20"/>
  <c r="AX168" i="20" s="1"/>
  <c r="Y410" i="13"/>
  <c r="Y283" i="3" s="1"/>
  <c r="Y299" i="3" s="1"/>
  <c r="AJ146" i="16"/>
  <c r="AK145" i="16"/>
  <c r="Y123" i="20"/>
  <c r="N492" i="3"/>
  <c r="N461" i="3"/>
  <c r="R147" i="26"/>
  <c r="R199" i="13"/>
  <c r="AF346" i="19"/>
  <c r="AA380" i="11"/>
  <c r="AB380" i="11" s="1"/>
  <c r="AC119" i="8"/>
  <c r="AI169" i="16"/>
  <c r="AK168" i="16"/>
  <c r="AG170" i="22"/>
  <c r="AH169" i="22"/>
  <c r="U20" i="15"/>
  <c r="T105" i="3"/>
  <c r="AK51" i="22"/>
  <c r="AL50" i="22"/>
  <c r="AJ74" i="18"/>
  <c r="AK73" i="18"/>
  <c r="AS98" i="16"/>
  <c r="AT97" i="16"/>
  <c r="AM87" i="14"/>
  <c r="P265" i="4"/>
  <c r="P250" i="4"/>
  <c r="AR24" i="16"/>
  <c r="AT23" i="16"/>
  <c r="AH84" i="16"/>
  <c r="AG85" i="16"/>
  <c r="D462" i="3"/>
  <c r="H414" i="3"/>
  <c r="H429" i="3"/>
  <c r="BA13" i="18"/>
  <c r="AF14" i="18"/>
  <c r="Z204" i="4"/>
  <c r="Z252" i="3"/>
  <c r="AA349" i="11"/>
  <c r="U187" i="13"/>
  <c r="U139" i="13" s="1"/>
  <c r="U141" i="11"/>
  <c r="S87" i="4"/>
  <c r="R157" i="4"/>
  <c r="AZ60" i="14"/>
  <c r="AL61" i="14"/>
  <c r="AP169" i="22"/>
  <c r="AO170" i="22"/>
  <c r="AS159" i="18"/>
  <c r="AT159" i="18" s="1"/>
  <c r="AT158" i="18"/>
  <c r="S244" i="13"/>
  <c r="S116" i="4"/>
  <c r="S149" i="4" s="1"/>
  <c r="AQ110" i="18"/>
  <c r="AP111" i="18"/>
  <c r="AQ111" i="18" s="1"/>
  <c r="AZ167" i="14"/>
  <c r="AR108" i="16"/>
  <c r="AT107" i="16"/>
  <c r="BA107" i="16" s="1"/>
  <c r="AD109" i="20"/>
  <c r="AC110" i="20"/>
  <c r="L363" i="3"/>
  <c r="L380" i="3" s="1"/>
  <c r="L348" i="3"/>
  <c r="S93" i="4"/>
  <c r="AR86" i="20"/>
  <c r="AP87" i="20"/>
  <c r="AR87" i="20" s="1"/>
  <c r="R331" i="17"/>
  <c r="R298" i="17" s="1"/>
  <c r="R282" i="17" s="1"/>
  <c r="R285" i="15"/>
  <c r="Q198" i="13"/>
  <c r="BD54" i="11"/>
  <c r="X41" i="4"/>
  <c r="AB35" i="4"/>
  <c r="AC101" i="11"/>
  <c r="K428" i="3"/>
  <c r="K413" i="3"/>
  <c r="AX83" i="20"/>
  <c r="AY168" i="20"/>
  <c r="R8" i="7"/>
  <c r="R133" i="7" s="1"/>
  <c r="R43" i="5"/>
  <c r="R67" i="4"/>
  <c r="R95" i="4"/>
  <c r="AV63" i="16"/>
  <c r="AW63" i="16" s="1"/>
  <c r="AW62" i="16"/>
  <c r="R125" i="13"/>
  <c r="R45" i="13" s="1"/>
  <c r="T17" i="6"/>
  <c r="T13" i="7"/>
  <c r="T213" i="7" s="1"/>
  <c r="H350" i="3"/>
  <c r="BM42" i="11"/>
  <c r="BX30" i="7" s="1"/>
  <c r="AP170" i="20"/>
  <c r="AR169" i="20"/>
  <c r="X276" i="3"/>
  <c r="AW131" i="20"/>
  <c r="AV131" i="20"/>
  <c r="AZ131" i="20" s="1"/>
  <c r="S102" i="3"/>
  <c r="AO50" i="22"/>
  <c r="AP49" i="22"/>
  <c r="AQ121" i="22"/>
  <c r="AT120" i="22"/>
  <c r="AW120" i="22" s="1"/>
  <c r="Q25" i="26"/>
  <c r="S24" i="26"/>
  <c r="S145" i="11"/>
  <c r="S47" i="6" s="1"/>
  <c r="S65" i="6" s="1"/>
  <c r="S117" i="11"/>
  <c r="S83" i="4"/>
  <c r="BM120" i="11"/>
  <c r="AT120" i="11"/>
  <c r="Q40" i="11"/>
  <c r="AW156" i="16"/>
  <c r="AV157" i="16"/>
  <c r="W82" i="24"/>
  <c r="BP100" i="19"/>
  <c r="AN61" i="14"/>
  <c r="AK62" i="14"/>
  <c r="AD25" i="22"/>
  <c r="AE24" i="22"/>
  <c r="AW73" i="16"/>
  <c r="AV74" i="16"/>
  <c r="AX14" i="16"/>
  <c r="AZ13" i="16"/>
  <c r="AV168" i="22"/>
  <c r="AZ168" i="22" s="1"/>
  <c r="AS168" i="22"/>
  <c r="AR169" i="22"/>
  <c r="AL99" i="20"/>
  <c r="AA133" i="20"/>
  <c r="AU133" i="20"/>
  <c r="Z134" i="20"/>
  <c r="AV22" i="14"/>
  <c r="AS23" i="14"/>
  <c r="S231" i="13"/>
  <c r="S201" i="11"/>
  <c r="S121" i="11" s="1"/>
  <c r="S41" i="11" s="1"/>
  <c r="AM51" i="16"/>
  <c r="AN51" i="16" s="1"/>
  <c r="AN50" i="16"/>
  <c r="AK24" i="16"/>
  <c r="AJ25" i="16"/>
  <c r="V185" i="11"/>
  <c r="V182" i="11"/>
  <c r="V189" i="11"/>
  <c r="V184" i="11"/>
  <c r="V181" i="11"/>
  <c r="V188" i="11"/>
  <c r="V187" i="11"/>
  <c r="V186" i="11"/>
  <c r="V191" i="11"/>
  <c r="V183" i="11"/>
  <c r="V190" i="11"/>
  <c r="AF122" i="15"/>
  <c r="AF106" i="15" s="1"/>
  <c r="AG154" i="15"/>
  <c r="AH154" i="15" s="1"/>
  <c r="T236" i="11"/>
  <c r="T235" i="11"/>
  <c r="T234" i="11"/>
  <c r="T232" i="11"/>
  <c r="T239" i="11"/>
  <c r="T229" i="11"/>
  <c r="T240" i="11"/>
  <c r="T230" i="11"/>
  <c r="T238" i="11"/>
  <c r="T237" i="11"/>
  <c r="T233" i="11"/>
  <c r="T231" i="11"/>
  <c r="BB167" i="14"/>
  <c r="AZ166" i="20"/>
  <c r="BB166" i="20"/>
  <c r="BR164" i="12" s="1"/>
  <c r="BH164" i="12" s="1"/>
  <c r="AR134" i="20"/>
  <c r="AP135" i="20"/>
  <c r="AR135" i="20" s="1"/>
  <c r="AP182" i="18"/>
  <c r="AQ181" i="18"/>
  <c r="T87" i="4"/>
  <c r="M428" i="3"/>
  <c r="M413" i="3"/>
  <c r="AE170" i="22"/>
  <c r="AD171" i="22"/>
  <c r="AE171" i="22" s="1"/>
  <c r="BE130" i="14"/>
  <c r="Z38" i="4"/>
  <c r="S109" i="3"/>
  <c r="Y100" i="5"/>
  <c r="AJ14" i="18"/>
  <c r="AK13" i="18"/>
  <c r="S237" i="13"/>
  <c r="S207" i="11"/>
  <c r="S127" i="11" s="1"/>
  <c r="S47" i="11" s="1"/>
  <c r="Q25" i="24"/>
  <c r="S24" i="24"/>
  <c r="AM14" i="18"/>
  <c r="AN13" i="18"/>
  <c r="Y129" i="15"/>
  <c r="Y113" i="15" s="1"/>
  <c r="AU12" i="20"/>
  <c r="AV12" i="20" s="1"/>
  <c r="U47" i="4"/>
  <c r="U22" i="5"/>
  <c r="U23" i="5" s="1"/>
  <c r="D392" i="4"/>
  <c r="D362" i="4"/>
  <c r="W107" i="24"/>
  <c r="O265" i="4"/>
  <c r="O250" i="4"/>
  <c r="AU72" i="22"/>
  <c r="AJ73" i="22"/>
  <c r="AL72" i="22"/>
  <c r="T91" i="4"/>
  <c r="AB73" i="8"/>
  <c r="AA74" i="8"/>
  <c r="AF62" i="18"/>
  <c r="Q74" i="17"/>
  <c r="Q58" i="17" s="1"/>
  <c r="BC76" i="15"/>
  <c r="Q60" i="15"/>
  <c r="AW11" i="22"/>
  <c r="AA201" i="4"/>
  <c r="AB346" i="11"/>
  <c r="AK73" i="20"/>
  <c r="AJ74" i="20"/>
  <c r="V13" i="7"/>
  <c r="V213" i="7" s="1"/>
  <c r="V17" i="6"/>
  <c r="U16" i="6"/>
  <c r="AU25" i="22"/>
  <c r="AJ26" i="22"/>
  <c r="AL25" i="22"/>
  <c r="BC129" i="14"/>
  <c r="R170" i="26"/>
  <c r="S169" i="26"/>
  <c r="AX110" i="14"/>
  <c r="AW111" i="14"/>
  <c r="AX111" i="14" s="1"/>
  <c r="BA131" i="16"/>
  <c r="AE134" i="19"/>
  <c r="D349" i="3"/>
  <c r="D364" i="3"/>
  <c r="D381" i="3" s="1"/>
  <c r="AC180" i="10"/>
  <c r="AD180" i="10" s="1"/>
  <c r="AL49" i="22"/>
  <c r="U25" i="24"/>
  <c r="V24" i="24"/>
  <c r="U191" i="4"/>
  <c r="U337" i="11"/>
  <c r="AC29" i="19"/>
  <c r="AB370" i="19"/>
  <c r="AB376" i="19" s="1"/>
  <c r="W23" i="24"/>
  <c r="AY83" i="14"/>
  <c r="BB83" i="14" s="1"/>
  <c r="AI132" i="18"/>
  <c r="AK131" i="18"/>
  <c r="BA131" i="18"/>
  <c r="BC131" i="18" s="1"/>
  <c r="BD131" i="18" s="1"/>
  <c r="R87" i="24"/>
  <c r="U156" i="26"/>
  <c r="V155" i="26"/>
  <c r="W155" i="26" s="1"/>
  <c r="X167" i="26" s="1"/>
  <c r="Q157" i="10"/>
  <c r="S156" i="10"/>
  <c r="AW108" i="18"/>
  <c r="AV109" i="18"/>
  <c r="AJ171" i="18"/>
  <c r="AW169" i="16"/>
  <c r="AV170" i="16"/>
  <c r="AW85" i="18"/>
  <c r="AV86" i="18"/>
  <c r="R182" i="26"/>
  <c r="S181" i="26"/>
  <c r="W181" i="26" s="1"/>
  <c r="V169" i="10"/>
  <c r="U170" i="10"/>
  <c r="AG27" i="22"/>
  <c r="AH27" i="22" s="1"/>
  <c r="AH26" i="22"/>
  <c r="BE153" i="14"/>
  <c r="AV38" i="16"/>
  <c r="AW37" i="16"/>
  <c r="X7" i="15"/>
  <c r="Y7" i="15" s="1"/>
  <c r="D429" i="3"/>
  <c r="D414" i="3"/>
  <c r="F461" i="3"/>
  <c r="F492" i="3"/>
  <c r="R197" i="13"/>
  <c r="Y169" i="8"/>
  <c r="X170" i="8"/>
  <c r="AN24" i="16"/>
  <c r="AM25" i="16"/>
  <c r="AP169" i="16"/>
  <c r="AQ168" i="16"/>
  <c r="BA168" i="16" s="1"/>
  <c r="X39" i="8"/>
  <c r="M363" i="3"/>
  <c r="M380" i="3" s="1"/>
  <c r="M348" i="3"/>
  <c r="T93" i="4"/>
  <c r="P281" i="4"/>
  <c r="AM133" i="16"/>
  <c r="AN132" i="16"/>
  <c r="AB133" i="22"/>
  <c r="AA134" i="22"/>
  <c r="AJ297" i="15"/>
  <c r="AL297" i="15" s="1"/>
  <c r="AM297" i="15" s="1"/>
  <c r="U180" i="13"/>
  <c r="U132" i="13" s="1"/>
  <c r="U134" i="11"/>
  <c r="AJ61" i="22"/>
  <c r="AL61" i="22" s="1"/>
  <c r="AU60" i="22"/>
  <c r="AW60" i="22" s="1"/>
  <c r="AR85" i="22"/>
  <c r="AV84" i="22"/>
  <c r="AS84" i="22"/>
  <c r="S104" i="3"/>
  <c r="AY22" i="14"/>
  <c r="BB22" i="14" s="1"/>
  <c r="BE22" i="14" s="1"/>
  <c r="AG39" i="16"/>
  <c r="AH39" i="16" s="1"/>
  <c r="AH38" i="16"/>
  <c r="BC179" i="14"/>
  <c r="AO144" i="20"/>
  <c r="AL145" i="20"/>
  <c r="AS144" i="20"/>
  <c r="S247" i="13"/>
  <c r="S119" i="4"/>
  <c r="S152" i="4" s="1"/>
  <c r="U367" i="13"/>
  <c r="U22" i="13" s="1"/>
  <c r="AL169" i="14"/>
  <c r="AX59" i="14"/>
  <c r="AW60" i="14"/>
  <c r="BP103" i="19"/>
  <c r="AZ109" i="16"/>
  <c r="AX110" i="16"/>
  <c r="S110" i="3"/>
  <c r="R333" i="17"/>
  <c r="R300" i="17" s="1"/>
  <c r="R284" i="17" s="1"/>
  <c r="R287" i="15"/>
  <c r="Q239" i="13"/>
  <c r="Q14" i="13" s="1"/>
  <c r="AC347" i="19"/>
  <c r="AD347" i="19" s="1"/>
  <c r="BB178" i="20"/>
  <c r="AZ178" i="20"/>
  <c r="AD169" i="20"/>
  <c r="AC170" i="20"/>
  <c r="AU169" i="20"/>
  <c r="AN180" i="16"/>
  <c r="AM181" i="16"/>
  <c r="AZ70" i="20"/>
  <c r="AZ82" i="20"/>
  <c r="AK171" i="22"/>
  <c r="AL170" i="22"/>
  <c r="R117" i="11"/>
  <c r="AA62" i="11"/>
  <c r="AE37" i="4"/>
  <c r="BB156" i="18"/>
  <c r="BC156" i="18" s="1"/>
  <c r="AH156" i="18"/>
  <c r="AG157" i="18"/>
  <c r="Q108" i="26"/>
  <c r="S107" i="26"/>
  <c r="AJ131" i="19"/>
  <c r="Z161" i="15"/>
  <c r="AZ83" i="20"/>
  <c r="AC305" i="15"/>
  <c r="AE305" i="15" s="1"/>
  <c r="F249" i="4"/>
  <c r="F264" i="4"/>
  <c r="AX49" i="20"/>
  <c r="R246" i="13"/>
  <c r="R118" i="4"/>
  <c r="R70" i="4" s="1"/>
  <c r="S126" i="11"/>
  <c r="S92" i="4"/>
  <c r="R73" i="4"/>
  <c r="AB125" i="15"/>
  <c r="AB109" i="15" s="1"/>
  <c r="AC157" i="15"/>
  <c r="AL97" i="14"/>
  <c r="AN97" i="14" s="1"/>
  <c r="AZ96" i="14"/>
  <c r="AC133" i="20"/>
  <c r="AD132" i="20"/>
  <c r="BC22" i="15"/>
  <c r="Q23" i="15"/>
  <c r="Q28" i="6"/>
  <c r="Q22" i="6" s="1"/>
  <c r="AS73" i="20"/>
  <c r="Y74" i="20"/>
  <c r="AD94" i="8"/>
  <c r="Y199" i="4"/>
  <c r="Y247" i="3"/>
  <c r="AY147" i="16"/>
  <c r="AZ147" i="16" s="1"/>
  <c r="AZ146" i="16"/>
  <c r="U49" i="24"/>
  <c r="V48" i="24"/>
  <c r="R143" i="13"/>
  <c r="R100" i="3"/>
  <c r="AL145" i="14"/>
  <c r="AZ144" i="14"/>
  <c r="AN144" i="14"/>
  <c r="AG146" i="18"/>
  <c r="AH145" i="18"/>
  <c r="BB145" i="18"/>
  <c r="S3" i="23"/>
  <c r="O492" i="3"/>
  <c r="AG460" i="3"/>
  <c r="AI460" i="3" s="1"/>
  <c r="AF460" i="3"/>
  <c r="O461" i="3"/>
  <c r="AE460" i="3"/>
  <c r="V13" i="8"/>
  <c r="U14" i="8"/>
  <c r="AB14" i="10"/>
  <c r="AA15" i="10"/>
  <c r="AB15" i="10" s="1"/>
  <c r="Q73" i="17"/>
  <c r="BC75" i="15"/>
  <c r="Q59" i="15"/>
  <c r="AN13" i="16"/>
  <c r="AM14" i="16"/>
  <c r="AI159" i="20"/>
  <c r="AT159" i="20" s="1"/>
  <c r="AX159" i="20" s="1"/>
  <c r="AT158" i="20"/>
  <c r="AX158" i="20" s="1"/>
  <c r="BA163" i="12"/>
  <c r="BP163" i="12" s="1"/>
  <c r="AX164" i="12"/>
  <c r="BE166" i="14" s="1"/>
  <c r="AY163" i="12"/>
  <c r="BE165" i="14"/>
  <c r="AN98" i="18"/>
  <c r="AM99" i="18"/>
  <c r="AN99" i="18" s="1"/>
  <c r="AS181" i="22"/>
  <c r="AR182" i="22"/>
  <c r="AA85" i="22"/>
  <c r="AB84" i="22"/>
  <c r="AI132" i="16"/>
  <c r="AK131" i="16"/>
  <c r="AK109" i="22"/>
  <c r="AL108" i="22"/>
  <c r="T84" i="4"/>
  <c r="H280" i="4"/>
  <c r="AP13" i="22"/>
  <c r="AO14" i="22"/>
  <c r="Y181" i="8"/>
  <c r="X182" i="8"/>
  <c r="AV97" i="18"/>
  <c r="AW96" i="18"/>
  <c r="S61" i="5"/>
  <c r="S78" i="5" s="1"/>
  <c r="R154" i="4"/>
  <c r="Q64" i="7"/>
  <c r="Q63" i="7"/>
  <c r="Q65" i="7"/>
  <c r="Q61" i="7"/>
  <c r="Q66" i="7"/>
  <c r="Q59" i="7"/>
  <c r="BT69" i="7"/>
  <c r="Q67" i="7"/>
  <c r="Q60" i="7"/>
  <c r="Q62" i="7"/>
  <c r="R202" i="13"/>
  <c r="W127" i="15"/>
  <c r="W111" i="15" s="1"/>
  <c r="X180" i="4"/>
  <c r="AB120" i="8"/>
  <c r="AA121" i="8"/>
  <c r="Q161" i="7"/>
  <c r="R161" i="7" s="1"/>
  <c r="Q157" i="7"/>
  <c r="R157" i="7" s="1"/>
  <c r="Q160" i="7"/>
  <c r="R160" i="7" s="1"/>
  <c r="Q156" i="7"/>
  <c r="R156" i="7" s="1"/>
  <c r="Q163" i="7"/>
  <c r="R163" i="7" s="1"/>
  <c r="Q162" i="7"/>
  <c r="R162" i="7" s="1"/>
  <c r="Q159" i="7"/>
  <c r="R159" i="7" s="1"/>
  <c r="BT165" i="7"/>
  <c r="Q155" i="7"/>
  <c r="Q158" i="7"/>
  <c r="U20" i="6"/>
  <c r="U27" i="11"/>
  <c r="T88" i="4"/>
  <c r="AI138" i="19"/>
  <c r="AT85" i="20"/>
  <c r="AV85" i="20" s="1"/>
  <c r="AI86" i="20"/>
  <c r="Q156" i="26"/>
  <c r="S155" i="26"/>
  <c r="L461" i="3"/>
  <c r="L492" i="3"/>
  <c r="Y136" i="21"/>
  <c r="AQ13" i="18"/>
  <c r="AP14" i="18"/>
  <c r="AI96" i="18"/>
  <c r="BA95" i="18"/>
  <c r="BC95" i="18" s="1"/>
  <c r="AK95" i="18"/>
  <c r="AS156" i="14"/>
  <c r="AV155" i="14"/>
  <c r="AK85" i="14"/>
  <c r="AN84" i="14"/>
  <c r="AL158" i="14"/>
  <c r="AZ157" i="14"/>
  <c r="AB136" i="19"/>
  <c r="AK123" i="14"/>
  <c r="AN122" i="14"/>
  <c r="W154" i="26"/>
  <c r="X166" i="26" s="1"/>
  <c r="AR107" i="14"/>
  <c r="AO108" i="14"/>
  <c r="X108" i="5"/>
  <c r="AO110" i="20"/>
  <c r="AL111" i="20"/>
  <c r="AO111" i="20" s="1"/>
  <c r="AJ158" i="20"/>
  <c r="AK157" i="20"/>
  <c r="S85" i="4"/>
  <c r="AD61" i="20"/>
  <c r="AC62" i="20"/>
  <c r="AR168" i="18"/>
  <c r="AT167" i="18"/>
  <c r="BM145" i="11"/>
  <c r="Q147" i="11"/>
  <c r="Q47" i="6"/>
  <c r="Q65" i="6" s="1"/>
  <c r="AX48" i="20"/>
  <c r="X180" i="26"/>
  <c r="S71" i="3"/>
  <c r="AR96" i="14"/>
  <c r="AO97" i="14"/>
  <c r="AF183" i="20"/>
  <c r="AG183" i="20" s="1"/>
  <c r="AG182" i="20"/>
  <c r="AJ171" i="22"/>
  <c r="AU171" i="22" s="1"/>
  <c r="AU170" i="22"/>
  <c r="AB62" i="11"/>
  <c r="AS98" i="18"/>
  <c r="AT97" i="18"/>
  <c r="AC296" i="15"/>
  <c r="V96" i="10"/>
  <c r="AC96" i="10" s="1"/>
  <c r="U97" i="10"/>
  <c r="BG11" i="15"/>
  <c r="S12" i="15"/>
  <c r="T12" i="15" s="1"/>
  <c r="S25" i="6"/>
  <c r="U11" i="15"/>
  <c r="AI38" i="20"/>
  <c r="AT37" i="20"/>
  <c r="AX37" i="20" s="1"/>
  <c r="AK37" i="20"/>
  <c r="AC132" i="8"/>
  <c r="BP104" i="19"/>
  <c r="T110" i="3"/>
  <c r="AL156" i="22"/>
  <c r="AK157" i="22"/>
  <c r="X333" i="19"/>
  <c r="Q74" i="26"/>
  <c r="S73" i="26"/>
  <c r="W73" i="26" s="1"/>
  <c r="U137" i="11"/>
  <c r="U183" i="13"/>
  <c r="U135" i="13" s="1"/>
  <c r="Y159" i="20"/>
  <c r="AS159" i="20" s="1"/>
  <c r="AS158" i="20"/>
  <c r="AS145" i="16"/>
  <c r="AT144" i="16"/>
  <c r="AD122" i="22"/>
  <c r="AE121" i="22"/>
  <c r="AJ38" i="16"/>
  <c r="AW119" i="22"/>
  <c r="AW180" i="18"/>
  <c r="AV181" i="18"/>
  <c r="S252" i="13"/>
  <c r="S124" i="4"/>
  <c r="AS109" i="14"/>
  <c r="AV108" i="14"/>
  <c r="AY175" i="12"/>
  <c r="AX176" i="12"/>
  <c r="AB97" i="10"/>
  <c r="AA98" i="10"/>
  <c r="AX25" i="20"/>
  <c r="AN60" i="14"/>
  <c r="AX122" i="18"/>
  <c r="AZ121" i="18"/>
  <c r="X15" i="7"/>
  <c r="Y15" i="7" s="1"/>
  <c r="Z15" i="7" s="1"/>
  <c r="AT202" i="11"/>
  <c r="R330" i="17"/>
  <c r="R297" i="17" s="1"/>
  <c r="R281" i="17" s="1"/>
  <c r="R284" i="15"/>
  <c r="AQ169" i="18"/>
  <c r="AP170" i="18"/>
  <c r="AL37" i="14"/>
  <c r="AZ36" i="14"/>
  <c r="Y328" i="19"/>
  <c r="Y333" i="19" s="1"/>
  <c r="AO61" i="14"/>
  <c r="AR60" i="14"/>
  <c r="AD75" i="22"/>
  <c r="AE75" i="22" s="1"/>
  <c r="AE74" i="22"/>
  <c r="F330" i="4"/>
  <c r="F315" i="4"/>
  <c r="X332" i="11"/>
  <c r="X187" i="4" s="1"/>
  <c r="X94" i="5" s="1"/>
  <c r="X203" i="4"/>
  <c r="Y102" i="5" s="1"/>
  <c r="Y348" i="11"/>
  <c r="AR144" i="18"/>
  <c r="AT143" i="18"/>
  <c r="U241" i="11"/>
  <c r="U15" i="11"/>
  <c r="U257" i="11" s="1"/>
  <c r="V14" i="11"/>
  <c r="T10" i="7"/>
  <c r="T165" i="7" s="1"/>
  <c r="T16" i="6"/>
  <c r="AA62" i="22"/>
  <c r="AB61" i="22"/>
  <c r="Z351" i="11"/>
  <c r="AY35" i="20"/>
  <c r="X80" i="11" l="1"/>
  <c r="Y333" i="11"/>
  <c r="Y188" i="4" s="1"/>
  <c r="Y220" i="4"/>
  <c r="BG70" i="11"/>
  <c r="X103" i="5"/>
  <c r="Z73" i="11"/>
  <c r="X57" i="11"/>
  <c r="AC3" i="11"/>
  <c r="AC19" i="6" s="1"/>
  <c r="AC8" i="1"/>
  <c r="AC81" i="11"/>
  <c r="AC28" i="13"/>
  <c r="AC30" i="13" s="1"/>
  <c r="AC12" i="2"/>
  <c r="Y110" i="5"/>
  <c r="X234" i="3"/>
  <c r="X224" i="4"/>
  <c r="Z381" i="11"/>
  <c r="AT47" i="11"/>
  <c r="R116" i="13"/>
  <c r="R36" i="13" s="1"/>
  <c r="Z408" i="13"/>
  <c r="Z281" i="3" s="1"/>
  <c r="Z297" i="3" s="1"/>
  <c r="Y93" i="5"/>
  <c r="Z409" i="13"/>
  <c r="Z282" i="3" s="1"/>
  <c r="Z298" i="3" s="1"/>
  <c r="R149" i="3"/>
  <c r="Z410" i="13"/>
  <c r="Z283" i="3" s="1"/>
  <c r="Z299" i="3" s="1"/>
  <c r="AB44" i="4"/>
  <c r="S256" i="11"/>
  <c r="S254" i="13" s="1"/>
  <c r="S206" i="13" s="1"/>
  <c r="S202" i="11"/>
  <c r="S122" i="11" s="1"/>
  <c r="S42" i="11" s="1"/>
  <c r="S120" i="4"/>
  <c r="S153" i="4" s="1"/>
  <c r="AF102" i="11"/>
  <c r="AG102" i="11" s="1"/>
  <c r="Y41" i="4"/>
  <c r="Y112" i="11"/>
  <c r="AA63" i="11"/>
  <c r="U3" i="7"/>
  <c r="U4" i="7" s="1"/>
  <c r="U69" i="7" s="1"/>
  <c r="S13" i="15"/>
  <c r="BG13" i="15" s="1"/>
  <c r="R170" i="7"/>
  <c r="R170" i="9" s="1"/>
  <c r="T13" i="6"/>
  <c r="Y80" i="11"/>
  <c r="AC152" i="15"/>
  <c r="AB120" i="15"/>
  <c r="AB104" i="15" s="1"/>
  <c r="T11" i="7"/>
  <c r="T181" i="7" s="1"/>
  <c r="BB182" i="11"/>
  <c r="V14" i="7"/>
  <c r="V229" i="7" s="1"/>
  <c r="AH11" i="11"/>
  <c r="Q129" i="11"/>
  <c r="BM129" i="11" s="1"/>
  <c r="X163" i="15"/>
  <c r="X131" i="15" s="1"/>
  <c r="X115" i="15" s="1"/>
  <c r="T14" i="7"/>
  <c r="T229" i="7" s="1"/>
  <c r="U17" i="6"/>
  <c r="U13" i="7"/>
  <c r="U213" i="7" s="1"/>
  <c r="W12" i="7"/>
  <c r="W13" i="7" s="1"/>
  <c r="W213" i="7" s="1"/>
  <c r="AI11" i="11"/>
  <c r="Z41" i="4"/>
  <c r="AA107" i="11"/>
  <c r="AA41" i="4" s="1"/>
  <c r="AD110" i="11"/>
  <c r="AD36" i="4"/>
  <c r="AF106" i="11"/>
  <c r="AF40" i="4" s="1"/>
  <c r="AD40" i="4"/>
  <c r="AE106" i="11"/>
  <c r="R85" i="3"/>
  <c r="T248" i="11"/>
  <c r="T118" i="4" s="1"/>
  <c r="T70" i="4" s="1"/>
  <c r="Y101" i="5"/>
  <c r="AG37" i="4"/>
  <c r="BM209" i="11"/>
  <c r="R141" i="3"/>
  <c r="R124" i="13"/>
  <c r="R44" i="13" s="1"/>
  <c r="AI103" i="11"/>
  <c r="AJ103" i="11" s="1"/>
  <c r="AK103" i="11" s="1"/>
  <c r="AK37" i="4" s="1"/>
  <c r="W337" i="11"/>
  <c r="W304" i="3"/>
  <c r="X111" i="5"/>
  <c r="X112" i="5" s="1"/>
  <c r="AA72" i="11"/>
  <c r="AA56" i="11" s="1"/>
  <c r="Z80" i="11"/>
  <c r="Q164" i="7"/>
  <c r="BT164" i="7" s="1"/>
  <c r="W192" i="4"/>
  <c r="Y384" i="11"/>
  <c r="Y414" i="13" s="1"/>
  <c r="Y287" i="3" s="1"/>
  <c r="Y303" i="3" s="1"/>
  <c r="X127" i="15"/>
  <c r="R140" i="3"/>
  <c r="R123" i="13"/>
  <c r="R43" i="13" s="1"/>
  <c r="W224" i="4"/>
  <c r="Z405" i="13"/>
  <c r="Z278" i="3" s="1"/>
  <c r="Z230" i="3" s="1"/>
  <c r="S117" i="7"/>
  <c r="S106" i="7" s="1"/>
  <c r="S106" i="9" s="1"/>
  <c r="S8" i="7"/>
  <c r="S133" i="7" s="1"/>
  <c r="R121" i="13"/>
  <c r="R41" i="13" s="1"/>
  <c r="AA407" i="13"/>
  <c r="R83" i="15"/>
  <c r="R81" i="17" s="1"/>
  <c r="R65" i="17" s="1"/>
  <c r="Q132" i="7"/>
  <c r="Q134" i="7" s="1"/>
  <c r="S200" i="13"/>
  <c r="S137" i="3" s="1"/>
  <c r="S89" i="3" s="1"/>
  <c r="AA405" i="13"/>
  <c r="AC104" i="11"/>
  <c r="AC38" i="4" s="1"/>
  <c r="S323" i="15"/>
  <c r="S291" i="15" s="1"/>
  <c r="R72" i="4"/>
  <c r="R36" i="5" s="1"/>
  <c r="R90" i="3"/>
  <c r="Z413" i="13"/>
  <c r="Z286" i="3" s="1"/>
  <c r="Z302" i="3" s="1"/>
  <c r="T146" i="11"/>
  <c r="Z412" i="13"/>
  <c r="Z285" i="3" s="1"/>
  <c r="Z301" i="3" s="1"/>
  <c r="AA126" i="15"/>
  <c r="AA110" i="15" s="1"/>
  <c r="S199" i="13"/>
  <c r="S136" i="3" s="1"/>
  <c r="Z159" i="15"/>
  <c r="Z163" i="15" s="1"/>
  <c r="Z131" i="15" s="1"/>
  <c r="Z115" i="15" s="1"/>
  <c r="Z411" i="13"/>
  <c r="Z284" i="3" s="1"/>
  <c r="Z300" i="3" s="1"/>
  <c r="Y236" i="3"/>
  <c r="AB104" i="11"/>
  <c r="AB38" i="4" s="1"/>
  <c r="AB327" i="11"/>
  <c r="AB182" i="4" s="1"/>
  <c r="AB198" i="4"/>
  <c r="S204" i="13"/>
  <c r="Q79" i="4"/>
  <c r="S196" i="13"/>
  <c r="S133" i="3" s="1"/>
  <c r="S149" i="3" s="1"/>
  <c r="T7" i="7"/>
  <c r="U7" i="7" s="1"/>
  <c r="U117" i="7" s="1"/>
  <c r="R155" i="7"/>
  <c r="R155" i="9" s="1"/>
  <c r="AD153" i="15"/>
  <c r="AC121" i="15"/>
  <c r="AC105" i="15" s="1"/>
  <c r="AB383" i="11"/>
  <c r="AB222" i="4" s="1"/>
  <c r="R47" i="5"/>
  <c r="R48" i="5" s="1"/>
  <c r="S201" i="13"/>
  <c r="S138" i="3" s="1"/>
  <c r="S154" i="3" s="1"/>
  <c r="S202" i="13"/>
  <c r="AC158" i="15"/>
  <c r="R169" i="9"/>
  <c r="AH122" i="15"/>
  <c r="AH106" i="15" s="1"/>
  <c r="AI154" i="15"/>
  <c r="S126" i="4"/>
  <c r="S159" i="4" s="1"/>
  <c r="S208" i="11"/>
  <c r="S128" i="11" s="1"/>
  <c r="S48" i="11" s="1"/>
  <c r="Z34" i="15"/>
  <c r="Z35" i="15" s="1"/>
  <c r="Z3" i="6"/>
  <c r="Y8" i="15"/>
  <c r="BS8" i="15" s="1"/>
  <c r="BS7" i="15"/>
  <c r="Y10" i="15"/>
  <c r="BS10" i="15" s="1"/>
  <c r="Z7" i="15"/>
  <c r="AA7" i="15" s="1"/>
  <c r="BB155" i="16"/>
  <c r="BB167" i="16"/>
  <c r="Q391" i="19"/>
  <c r="Q409" i="19"/>
  <c r="R114" i="9"/>
  <c r="AE136" i="19"/>
  <c r="AH306" i="15"/>
  <c r="AI135" i="19"/>
  <c r="AJ323" i="19"/>
  <c r="AK339" i="19"/>
  <c r="AM339" i="19" s="1"/>
  <c r="AM323" i="19" s="1"/>
  <c r="AF305" i="15"/>
  <c r="AG300" i="15"/>
  <c r="R156" i="9"/>
  <c r="S156" i="7"/>
  <c r="T156" i="7" s="1"/>
  <c r="R160" i="9"/>
  <c r="S160" i="7"/>
  <c r="T160" i="7" s="1"/>
  <c r="R157" i="9"/>
  <c r="S157" i="7"/>
  <c r="BD168" i="16"/>
  <c r="BQ166" i="12" s="1"/>
  <c r="BG166" i="12" s="1"/>
  <c r="BC168" i="14"/>
  <c r="R161" i="9"/>
  <c r="S161" i="7"/>
  <c r="AD331" i="19"/>
  <c r="AD301" i="15"/>
  <c r="U109" i="3"/>
  <c r="C462" i="3"/>
  <c r="C493" i="3"/>
  <c r="AR84" i="14"/>
  <c r="AO85" i="14"/>
  <c r="AS49" i="20"/>
  <c r="Y50" i="20"/>
  <c r="AA49" i="20"/>
  <c r="AX156" i="14"/>
  <c r="AW157" i="14"/>
  <c r="AG146" i="22"/>
  <c r="AH145" i="22"/>
  <c r="AV145" i="22"/>
  <c r="V241" i="11"/>
  <c r="V15" i="11"/>
  <c r="V257" i="11" s="1"/>
  <c r="AK74" i="18"/>
  <c r="AJ75" i="18"/>
  <c r="AK75" i="18" s="1"/>
  <c r="AR110" i="22"/>
  <c r="AV109" i="22"/>
  <c r="AS109" i="22"/>
  <c r="AO171" i="14"/>
  <c r="AZ158" i="18"/>
  <c r="AX159" i="18"/>
  <c r="AZ159" i="18" s="1"/>
  <c r="BC180" i="14"/>
  <c r="AH135" i="18"/>
  <c r="AQ171" i="22"/>
  <c r="AT171" i="22" s="1"/>
  <c r="AT170" i="22"/>
  <c r="U181" i="24"/>
  <c r="V180" i="24"/>
  <c r="W180" i="24" s="1"/>
  <c r="R86" i="10"/>
  <c r="S85" i="10"/>
  <c r="AC85" i="10" s="1"/>
  <c r="AC97" i="10"/>
  <c r="V73" i="10"/>
  <c r="U74" i="10"/>
  <c r="I330" i="4"/>
  <c r="I315" i="4"/>
  <c r="R73" i="17"/>
  <c r="R57" i="17" s="1"/>
  <c r="R59" i="15"/>
  <c r="BC118" i="14"/>
  <c r="BE118" i="14"/>
  <c r="AF301" i="15"/>
  <c r="S333" i="17"/>
  <c r="S300" i="17" s="1"/>
  <c r="S284" i="17" s="1"/>
  <c r="S287" i="15"/>
  <c r="E381" i="3"/>
  <c r="U236" i="11"/>
  <c r="U235" i="11"/>
  <c r="U234" i="11"/>
  <c r="U239" i="11"/>
  <c r="U229" i="11"/>
  <c r="U232" i="11"/>
  <c r="U237" i="11"/>
  <c r="U240" i="11"/>
  <c r="U238" i="11"/>
  <c r="U231" i="11"/>
  <c r="U230" i="11"/>
  <c r="U233" i="11"/>
  <c r="AP121" i="14"/>
  <c r="AZ120" i="14"/>
  <c r="AQ74" i="14"/>
  <c r="BA73" i="14"/>
  <c r="AB170" i="8"/>
  <c r="AC170" i="8" s="1"/>
  <c r="AA171" i="8"/>
  <c r="AB171" i="8" s="1"/>
  <c r="AC171" i="8" s="1"/>
  <c r="AP14" i="22"/>
  <c r="AO15" i="22"/>
  <c r="AP15" i="22" s="1"/>
  <c r="AI170" i="20"/>
  <c r="AT169" i="20"/>
  <c r="AX169" i="20" s="1"/>
  <c r="AF99" i="20"/>
  <c r="AG98" i="20"/>
  <c r="AS49" i="14"/>
  <c r="AV48" i="14"/>
  <c r="AR49" i="16"/>
  <c r="AT48" i="16"/>
  <c r="BA48" i="16" s="1"/>
  <c r="AS110" i="14"/>
  <c r="AV109" i="14"/>
  <c r="F250" i="4"/>
  <c r="F265" i="4"/>
  <c r="F282" i="4" s="1"/>
  <c r="BI18" i="15"/>
  <c r="BL20" i="15" s="1"/>
  <c r="BP35" i="15"/>
  <c r="T17" i="15"/>
  <c r="AB219" i="4"/>
  <c r="BM40" i="11"/>
  <c r="BX28" i="7" s="1"/>
  <c r="AT40" i="11"/>
  <c r="AI63" i="20"/>
  <c r="AT62" i="20"/>
  <c r="AX62" i="20" s="1"/>
  <c r="AK62" i="20"/>
  <c r="AM170" i="16"/>
  <c r="AN169" i="16"/>
  <c r="BA169" i="16" s="1"/>
  <c r="BM128" i="11"/>
  <c r="AT128" i="11"/>
  <c r="Q48" i="11"/>
  <c r="Q130" i="11"/>
  <c r="Y108" i="15"/>
  <c r="X27" i="8"/>
  <c r="Y27" i="8" s="1"/>
  <c r="Y26" i="8"/>
  <c r="BE71" i="14"/>
  <c r="BC71" i="14"/>
  <c r="AR13" i="14"/>
  <c r="AO14" i="14"/>
  <c r="AR36" i="14"/>
  <c r="AO37" i="14"/>
  <c r="AQ159" i="22"/>
  <c r="AT159" i="22" s="1"/>
  <c r="AT158" i="22"/>
  <c r="AI181" i="18"/>
  <c r="AK180" i="18"/>
  <c r="S327" i="17"/>
  <c r="S294" i="17" s="1"/>
  <c r="S281" i="15"/>
  <c r="AS73" i="14"/>
  <c r="AV72" i="14"/>
  <c r="R163" i="9"/>
  <c r="AP51" i="18"/>
  <c r="AQ51" i="18" s="1"/>
  <c r="AQ50" i="18"/>
  <c r="J315" i="4"/>
  <c r="J330" i="4"/>
  <c r="I366" i="3"/>
  <c r="I351" i="3"/>
  <c r="V86" i="10"/>
  <c r="U87" i="10"/>
  <c r="V87" i="10" s="1"/>
  <c r="S203" i="13"/>
  <c r="G493" i="3"/>
  <c r="G462" i="3"/>
  <c r="BA73" i="18"/>
  <c r="BC73" i="18" s="1"/>
  <c r="AF74" i="18"/>
  <c r="AJ139" i="19"/>
  <c r="AA199" i="4"/>
  <c r="S157" i="4"/>
  <c r="AI97" i="18"/>
  <c r="BA96" i="18"/>
  <c r="BC96" i="18" s="1"/>
  <c r="AK96" i="18"/>
  <c r="BT162" i="7"/>
  <c r="Q162" i="9"/>
  <c r="Y182" i="8"/>
  <c r="X183" i="8"/>
  <c r="Y183" i="8" s="1"/>
  <c r="AM15" i="16"/>
  <c r="AN15" i="16" s="1"/>
  <c r="AN14" i="16"/>
  <c r="BB146" i="18"/>
  <c r="AG147" i="18"/>
  <c r="AL171" i="22"/>
  <c r="AV85" i="22"/>
  <c r="AS85" i="22"/>
  <c r="AR86" i="22"/>
  <c r="AQ169" i="16"/>
  <c r="AP170" i="16"/>
  <c r="BC83" i="14"/>
  <c r="BE83" i="14"/>
  <c r="R198" i="13"/>
  <c r="V138" i="11"/>
  <c r="AK131" i="19"/>
  <c r="K414" i="3"/>
  <c r="K429" i="3"/>
  <c r="S53" i="13"/>
  <c r="AN62" i="18"/>
  <c r="AM63" i="18"/>
  <c r="AN63" i="18" s="1"/>
  <c r="AX39" i="16"/>
  <c r="AZ39" i="16" s="1"/>
  <c r="AZ38" i="16"/>
  <c r="AZ180" i="22"/>
  <c r="AZ97" i="16"/>
  <c r="AX98" i="16"/>
  <c r="X51" i="10"/>
  <c r="Y51" i="10" s="1"/>
  <c r="Y50" i="10"/>
  <c r="AC15" i="20"/>
  <c r="AD15" i="20" s="1"/>
  <c r="AD14" i="20"/>
  <c r="F415" i="3"/>
  <c r="F430" i="3"/>
  <c r="AG183" i="16"/>
  <c r="AH183" i="16" s="1"/>
  <c r="AH182" i="16"/>
  <c r="S22" i="15"/>
  <c r="BG3" i="15"/>
  <c r="S23" i="6"/>
  <c r="U85" i="4"/>
  <c r="Q110" i="9"/>
  <c r="Q94" i="7"/>
  <c r="BT94" i="7" s="1"/>
  <c r="BT110" i="7"/>
  <c r="R51" i="10"/>
  <c r="S51" i="10" s="1"/>
  <c r="S50" i="10"/>
  <c r="R76" i="17"/>
  <c r="R60" i="17" s="1"/>
  <c r="R62" i="15"/>
  <c r="BL11" i="13"/>
  <c r="T32" i="1"/>
  <c r="T29" i="1" s="1"/>
  <c r="T28" i="1" s="1"/>
  <c r="T8" i="13"/>
  <c r="V60" i="24"/>
  <c r="W60" i="24" s="1"/>
  <c r="U61" i="24"/>
  <c r="AM26" i="22"/>
  <c r="AT25" i="22"/>
  <c r="AW25" i="22" s="1"/>
  <c r="AP25" i="22"/>
  <c r="AP146" i="22"/>
  <c r="AO147" i="22"/>
  <c r="AP147" i="22" s="1"/>
  <c r="J281" i="4"/>
  <c r="Q129" i="9"/>
  <c r="BT129" i="7"/>
  <c r="AX96" i="14"/>
  <c r="AW97" i="14"/>
  <c r="R23" i="15"/>
  <c r="BE22" i="15"/>
  <c r="R28" i="6"/>
  <c r="R22" i="6" s="1"/>
  <c r="AX157" i="22"/>
  <c r="AD86" i="20"/>
  <c r="AC87" i="20"/>
  <c r="AD87" i="20" s="1"/>
  <c r="AT13" i="18"/>
  <c r="AS14" i="18"/>
  <c r="V73" i="8"/>
  <c r="AC73" i="8" s="1"/>
  <c r="AD73" i="8" s="1"/>
  <c r="U74" i="8"/>
  <c r="S336" i="17"/>
  <c r="S303" i="17" s="1"/>
  <c r="S287" i="17" s="1"/>
  <c r="S290" i="15"/>
  <c r="V20" i="6"/>
  <c r="V27" i="11"/>
  <c r="Y181" i="4"/>
  <c r="BE326" i="11"/>
  <c r="AV13" i="22"/>
  <c r="AS13" i="22"/>
  <c r="AR14" i="22"/>
  <c r="W132" i="15"/>
  <c r="W51" i="6" s="1"/>
  <c r="AB128" i="15"/>
  <c r="AB112" i="15" s="1"/>
  <c r="AC321" i="19"/>
  <c r="AD337" i="19"/>
  <c r="BC95" i="14"/>
  <c r="AW38" i="16"/>
  <c r="AV39" i="16"/>
  <c r="AW39" i="16" s="1"/>
  <c r="O251" i="4"/>
  <c r="BB179" i="20"/>
  <c r="AZ179" i="20"/>
  <c r="AA100" i="5"/>
  <c r="S46" i="11"/>
  <c r="Q13" i="26"/>
  <c r="S12" i="26"/>
  <c r="U123" i="8"/>
  <c r="V123" i="8" s="1"/>
  <c r="V122" i="8"/>
  <c r="AJ147" i="16"/>
  <c r="AK147" i="16" s="1"/>
  <c r="AK146" i="16"/>
  <c r="BC66" i="15"/>
  <c r="AA170" i="22"/>
  <c r="AB169" i="22"/>
  <c r="Q201" i="17"/>
  <c r="BC203" i="15"/>
  <c r="Q187" i="15"/>
  <c r="AC145" i="8"/>
  <c r="AD145" i="8" s="1"/>
  <c r="V170" i="10"/>
  <c r="U171" i="10"/>
  <c r="V171" i="10" s="1"/>
  <c r="R128" i="7"/>
  <c r="R124" i="7"/>
  <c r="R131" i="7"/>
  <c r="R99" i="7" s="1"/>
  <c r="R127" i="7"/>
  <c r="R123" i="7"/>
  <c r="R123" i="9" s="1"/>
  <c r="R126" i="7"/>
  <c r="R126" i="9" s="1"/>
  <c r="R121" i="7"/>
  <c r="R89" i="7" s="1"/>
  <c r="R129" i="7"/>
  <c r="R129" i="9" s="1"/>
  <c r="R125" i="7"/>
  <c r="R125" i="9" s="1"/>
  <c r="R130" i="7"/>
  <c r="R130" i="9" s="1"/>
  <c r="R122" i="7"/>
  <c r="R90" i="7" s="1"/>
  <c r="AE97" i="22"/>
  <c r="AD98" i="22"/>
  <c r="AO73" i="14"/>
  <c r="AR72" i="14"/>
  <c r="AJ327" i="19"/>
  <c r="AK343" i="19"/>
  <c r="Z39" i="20"/>
  <c r="AU38" i="20"/>
  <c r="AA38" i="20"/>
  <c r="E281" i="4"/>
  <c r="H493" i="3"/>
  <c r="H462" i="3"/>
  <c r="AB134" i="8"/>
  <c r="AA135" i="8"/>
  <c r="AB135" i="8" s="1"/>
  <c r="U98" i="10"/>
  <c r="V97" i="10"/>
  <c r="AV84" i="14"/>
  <c r="AS85" i="14"/>
  <c r="BD168" i="18"/>
  <c r="AX50" i="16"/>
  <c r="AZ49" i="16"/>
  <c r="X86" i="8"/>
  <c r="Y85" i="8"/>
  <c r="Z59" i="11"/>
  <c r="AA75" i="11"/>
  <c r="E350" i="3"/>
  <c r="E365" i="3"/>
  <c r="Z15" i="20"/>
  <c r="AA14" i="20"/>
  <c r="AE301" i="15"/>
  <c r="AF87" i="20"/>
  <c r="AG87" i="20" s="1"/>
  <c r="AG86" i="20"/>
  <c r="AP170" i="22"/>
  <c r="AO171" i="22"/>
  <c r="AP171" i="22" s="1"/>
  <c r="S59" i="13"/>
  <c r="AZ143" i="20"/>
  <c r="AC181" i="10"/>
  <c r="W11" i="26"/>
  <c r="AP297" i="15"/>
  <c r="U110" i="3"/>
  <c r="V135" i="11"/>
  <c r="AO62" i="16"/>
  <c r="AQ61" i="16"/>
  <c r="BT130" i="7"/>
  <c r="Q130" i="9"/>
  <c r="AK14" i="20"/>
  <c r="AJ15" i="20"/>
  <c r="AI170" i="18"/>
  <c r="AK169" i="18"/>
  <c r="AH300" i="15"/>
  <c r="BD95" i="18"/>
  <c r="AG171" i="22"/>
  <c r="AH171" i="22" s="1"/>
  <c r="AH170" i="22"/>
  <c r="T315" i="15"/>
  <c r="T314" i="15"/>
  <c r="T322" i="15"/>
  <c r="T313" i="15"/>
  <c r="T321" i="15"/>
  <c r="T319" i="15"/>
  <c r="T320" i="15"/>
  <c r="T312" i="15"/>
  <c r="T316" i="15"/>
  <c r="T318" i="15"/>
  <c r="T317" i="15"/>
  <c r="S56" i="13"/>
  <c r="S79" i="15"/>
  <c r="S78" i="15"/>
  <c r="S77" i="15"/>
  <c r="S76" i="15"/>
  <c r="S81" i="15"/>
  <c r="S73" i="15"/>
  <c r="S74" i="15"/>
  <c r="S82" i="15"/>
  <c r="S75" i="15"/>
  <c r="S80" i="15"/>
  <c r="S72" i="15"/>
  <c r="BB119" i="14"/>
  <c r="AC26" i="20"/>
  <c r="AD25" i="20"/>
  <c r="AP15" i="18"/>
  <c r="AQ15" i="18" s="1"/>
  <c r="AQ14" i="18"/>
  <c r="Q163" i="9"/>
  <c r="BT163" i="7"/>
  <c r="Q62" i="9"/>
  <c r="Q46" i="9" s="1"/>
  <c r="Q46" i="7"/>
  <c r="BT62" i="7"/>
  <c r="AM26" i="16"/>
  <c r="AN25" i="16"/>
  <c r="AV171" i="16"/>
  <c r="AW171" i="16" s="1"/>
  <c r="AW170" i="16"/>
  <c r="AF63" i="18"/>
  <c r="AT27" i="20"/>
  <c r="E363" i="4"/>
  <c r="E393" i="4"/>
  <c r="X232" i="3"/>
  <c r="P393" i="4"/>
  <c r="P363" i="4"/>
  <c r="AH122" i="16"/>
  <c r="AG123" i="16"/>
  <c r="AH123" i="16" s="1"/>
  <c r="AR120" i="14"/>
  <c r="AO121" i="14"/>
  <c r="AY120" i="14"/>
  <c r="U102" i="3"/>
  <c r="W185" i="11"/>
  <c r="W182" i="11"/>
  <c r="W189" i="11"/>
  <c r="W184" i="11"/>
  <c r="W181" i="11"/>
  <c r="W188" i="11"/>
  <c r="W187" i="11"/>
  <c r="W190" i="11"/>
  <c r="W186" i="11"/>
  <c r="W191" i="11"/>
  <c r="W183" i="11"/>
  <c r="Q91" i="7"/>
  <c r="Q107" i="9"/>
  <c r="BT107" i="7"/>
  <c r="AE347" i="19"/>
  <c r="AF347" i="19" s="1"/>
  <c r="K266" i="4"/>
  <c r="K251" i="4"/>
  <c r="R77" i="17"/>
  <c r="R61" i="17" s="1"/>
  <c r="R63" i="15"/>
  <c r="AC44" i="4"/>
  <c r="AL182" i="22"/>
  <c r="AK183" i="22"/>
  <c r="R137" i="3"/>
  <c r="R120" i="13"/>
  <c r="R40" i="13" s="1"/>
  <c r="Y134" i="8"/>
  <c r="X135" i="8"/>
  <c r="Y135" i="8" s="1"/>
  <c r="AG99" i="16"/>
  <c r="AH99" i="16" s="1"/>
  <c r="AH98" i="16"/>
  <c r="H250" i="4"/>
  <c r="H265" i="4"/>
  <c r="S86" i="8"/>
  <c r="R87" i="8"/>
  <c r="S87" i="8" s="1"/>
  <c r="V144" i="24"/>
  <c r="W144" i="24" s="1"/>
  <c r="U145" i="24"/>
  <c r="BA179" i="22"/>
  <c r="Z108" i="15"/>
  <c r="AR49" i="18"/>
  <c r="AT48" i="18"/>
  <c r="Y406" i="13"/>
  <c r="Y279" i="3" s="1"/>
  <c r="Y295" i="3" s="1"/>
  <c r="Y215" i="4"/>
  <c r="Y109" i="5" s="1"/>
  <c r="Z376" i="11"/>
  <c r="Z328" i="11" s="1"/>
  <c r="Z183" i="4" s="1"/>
  <c r="AE302" i="15"/>
  <c r="AV38" i="18"/>
  <c r="AW37" i="18"/>
  <c r="AY156" i="20"/>
  <c r="AV156" i="20"/>
  <c r="AX141" i="12"/>
  <c r="AY140" i="12"/>
  <c r="X294" i="3"/>
  <c r="X230" i="3"/>
  <c r="AD303" i="15"/>
  <c r="BE142" i="14"/>
  <c r="S328" i="17"/>
  <c r="S295" i="17" s="1"/>
  <c r="S279" i="17" s="1"/>
  <c r="S282" i="15"/>
  <c r="V20" i="15"/>
  <c r="AB170" i="10"/>
  <c r="AA171" i="10"/>
  <c r="AB171" i="10" s="1"/>
  <c r="AR121" i="16"/>
  <c r="AT120" i="16"/>
  <c r="BA120" i="16" s="1"/>
  <c r="W116" i="15"/>
  <c r="AA128" i="15"/>
  <c r="AA112" i="15" s="1"/>
  <c r="AR50" i="22"/>
  <c r="AV49" i="22"/>
  <c r="AS49" i="22"/>
  <c r="AA413" i="13"/>
  <c r="AJ111" i="16"/>
  <c r="AK111" i="16" s="1"/>
  <c r="AK110" i="16"/>
  <c r="AV13" i="14"/>
  <c r="AS14" i="14"/>
  <c r="AU50" i="22"/>
  <c r="AJ51" i="22"/>
  <c r="AU51" i="22" s="1"/>
  <c r="AG134" i="19"/>
  <c r="U110" i="24"/>
  <c r="V109" i="24"/>
  <c r="J251" i="4"/>
  <c r="AG50" i="16"/>
  <c r="AH49" i="16"/>
  <c r="W14" i="11"/>
  <c r="O393" i="4"/>
  <c r="O363" i="4"/>
  <c r="AB74" i="10"/>
  <c r="AA75" i="10"/>
  <c r="AB75" i="10" s="1"/>
  <c r="Y121" i="8"/>
  <c r="X122" i="8"/>
  <c r="AC340" i="19"/>
  <c r="AA99" i="10"/>
  <c r="AB99" i="10" s="1"/>
  <c r="AB98" i="10"/>
  <c r="T234" i="13"/>
  <c r="T204" i="11"/>
  <c r="T124" i="11" s="1"/>
  <c r="T44" i="11" s="1"/>
  <c r="AJ110" i="18"/>
  <c r="BB109" i="18"/>
  <c r="AA134" i="10"/>
  <c r="AB133" i="10"/>
  <c r="AC133" i="10" s="1"/>
  <c r="S52" i="13"/>
  <c r="AC74" i="11"/>
  <c r="AY37" i="20"/>
  <c r="AA25" i="20"/>
  <c r="AU25" i="20"/>
  <c r="AY25" i="20" s="1"/>
  <c r="Z26" i="20"/>
  <c r="R159" i="9"/>
  <c r="U324" i="15"/>
  <c r="U18" i="15"/>
  <c r="W20" i="15" s="1"/>
  <c r="R158" i="7"/>
  <c r="R162" i="9"/>
  <c r="Q154" i="3"/>
  <c r="Q202" i="3"/>
  <c r="Q90" i="3"/>
  <c r="AO109" i="14"/>
  <c r="AR108" i="14"/>
  <c r="BC60" i="15"/>
  <c r="R38" i="26"/>
  <c r="S37" i="26"/>
  <c r="AV145" i="14"/>
  <c r="AS146" i="14"/>
  <c r="AZ146" i="18"/>
  <c r="AX147" i="18"/>
  <c r="AZ147" i="18" s="1"/>
  <c r="T84" i="15"/>
  <c r="T3" i="15"/>
  <c r="BI4" i="15"/>
  <c r="U38" i="24"/>
  <c r="V37" i="24"/>
  <c r="W37" i="24" s="1"/>
  <c r="O380" i="3"/>
  <c r="Q152" i="3"/>
  <c r="Q200" i="3"/>
  <c r="Q88" i="3"/>
  <c r="J414" i="3"/>
  <c r="AD413" i="3"/>
  <c r="AH413" i="3" s="1"/>
  <c r="J429" i="3"/>
  <c r="T143" i="13"/>
  <c r="T100" i="3"/>
  <c r="AG137" i="19"/>
  <c r="AV63" i="18"/>
  <c r="AW63" i="18" s="1"/>
  <c r="AW62" i="18"/>
  <c r="AL157" i="22"/>
  <c r="AK158" i="22"/>
  <c r="AQ63" i="14"/>
  <c r="BA63" i="14" s="1"/>
  <c r="BA62" i="14"/>
  <c r="Q44" i="7"/>
  <c r="Q60" i="9"/>
  <c r="Q44" i="9" s="1"/>
  <c r="BT60" i="7"/>
  <c r="AC134" i="20"/>
  <c r="AU134" i="20" s="1"/>
  <c r="AY134" i="20" s="1"/>
  <c r="AD133" i="20"/>
  <c r="AA373" i="11"/>
  <c r="AB373" i="11" s="1"/>
  <c r="AU61" i="22"/>
  <c r="AW61" i="22" s="1"/>
  <c r="AJ62" i="22"/>
  <c r="AV169" i="22"/>
  <c r="AZ169" i="22" s="1"/>
  <c r="AS169" i="22"/>
  <c r="AR170" i="22"/>
  <c r="AC35" i="4"/>
  <c r="AD119" i="8"/>
  <c r="AD131" i="8"/>
  <c r="AJ15" i="22"/>
  <c r="AU14" i="22"/>
  <c r="AL14" i="22"/>
  <c r="AH25" i="18"/>
  <c r="BB25" i="18"/>
  <c r="AG26" i="18"/>
  <c r="S79" i="13"/>
  <c r="S4" i="13" s="1"/>
  <c r="S51" i="13"/>
  <c r="AR85" i="16"/>
  <c r="AT84" i="16"/>
  <c r="BA84" i="16" s="1"/>
  <c r="AX26" i="20"/>
  <c r="AA325" i="19"/>
  <c r="AA333" i="19" s="1"/>
  <c r="AB341" i="19"/>
  <c r="AB348" i="19" s="1"/>
  <c r="AB332" i="19" s="1"/>
  <c r="M393" i="4"/>
  <c r="M363" i="4"/>
  <c r="R132" i="3"/>
  <c r="AD156" i="8"/>
  <c r="R171" i="24"/>
  <c r="S171" i="24" s="1"/>
  <c r="S170" i="24"/>
  <c r="R135" i="8"/>
  <c r="S135" i="8" s="1"/>
  <c r="S134" i="8"/>
  <c r="AV14" i="16"/>
  <c r="AW13" i="16"/>
  <c r="BA13" i="16" s="1"/>
  <c r="AO159" i="22"/>
  <c r="AP159" i="22" s="1"/>
  <c r="AP158" i="22"/>
  <c r="U26" i="8"/>
  <c r="V25" i="8"/>
  <c r="AC25" i="8" s="1"/>
  <c r="W121" i="26"/>
  <c r="AH123" i="18"/>
  <c r="AS87" i="16"/>
  <c r="Q133" i="26"/>
  <c r="S132" i="26"/>
  <c r="AQ49" i="16"/>
  <c r="AP50" i="16"/>
  <c r="Q115" i="9"/>
  <c r="Q99" i="7"/>
  <c r="BT99" i="7" s="1"/>
  <c r="BT115" i="7"/>
  <c r="R70" i="17"/>
  <c r="R56" i="15"/>
  <c r="Y64" i="11"/>
  <c r="AO63" i="22"/>
  <c r="AP63" i="22" s="1"/>
  <c r="AP62" i="22"/>
  <c r="AG61" i="20"/>
  <c r="AF62" i="20"/>
  <c r="Y170" i="20"/>
  <c r="AS169" i="20"/>
  <c r="AA169" i="20"/>
  <c r="Q123" i="9"/>
  <c r="BT123" i="7"/>
  <c r="Y98" i="8"/>
  <c r="X99" i="8"/>
  <c r="Y99" i="8" s="1"/>
  <c r="AH122" i="22"/>
  <c r="AG123" i="22"/>
  <c r="AH123" i="22" s="1"/>
  <c r="S73" i="4"/>
  <c r="AD74" i="20"/>
  <c r="AC75" i="20"/>
  <c r="AD75" i="20" s="1"/>
  <c r="P364" i="3"/>
  <c r="P381" i="3" s="1"/>
  <c r="P349" i="3"/>
  <c r="AM99" i="14"/>
  <c r="BA99" i="14" s="1"/>
  <c r="BA98" i="14"/>
  <c r="P315" i="4"/>
  <c r="P330" i="4"/>
  <c r="S143" i="13"/>
  <c r="S100" i="3"/>
  <c r="O281" i="4"/>
  <c r="AD160" i="15"/>
  <c r="AK86" i="16"/>
  <c r="AJ87" i="16"/>
  <c r="AK87" i="16" s="1"/>
  <c r="X112" i="11"/>
  <c r="S76" i="4"/>
  <c r="AJ75" i="20"/>
  <c r="AK74" i="20"/>
  <c r="AJ87" i="20"/>
  <c r="AK86" i="20"/>
  <c r="T248" i="13"/>
  <c r="T120" i="4"/>
  <c r="T153" i="4" s="1"/>
  <c r="BX15" i="7"/>
  <c r="Y3" i="6"/>
  <c r="Y34" i="15"/>
  <c r="Y35" i="15" s="1"/>
  <c r="V156" i="26"/>
  <c r="W156" i="26" s="1"/>
  <c r="X168" i="26" s="1"/>
  <c r="U157" i="26"/>
  <c r="AF15" i="18"/>
  <c r="BA15" i="18" s="1"/>
  <c r="BA14" i="18"/>
  <c r="AP37" i="22"/>
  <c r="AO38" i="22"/>
  <c r="I430" i="3"/>
  <c r="I415" i="3"/>
  <c r="AP181" i="22"/>
  <c r="AO182" i="22"/>
  <c r="K330" i="4"/>
  <c r="K315" i="4"/>
  <c r="AQ86" i="14"/>
  <c r="BA85" i="14"/>
  <c r="R74" i="17"/>
  <c r="R58" i="17" s="1"/>
  <c r="R60" i="15"/>
  <c r="S62" i="13"/>
  <c r="N364" i="3"/>
  <c r="N349" i="3"/>
  <c r="T250" i="13"/>
  <c r="T122" i="4"/>
  <c r="T155" i="4" s="1"/>
  <c r="BA169" i="18"/>
  <c r="BC169" i="18" s="1"/>
  <c r="AF170" i="18"/>
  <c r="AC322" i="19"/>
  <c r="AD338" i="19"/>
  <c r="V22" i="5"/>
  <c r="V23" i="5" s="1"/>
  <c r="V47" i="4"/>
  <c r="AA39" i="4"/>
  <c r="AB105" i="11"/>
  <c r="AC105" i="11" s="1"/>
  <c r="AD105" i="11" s="1"/>
  <c r="M364" i="3"/>
  <c r="M349" i="3"/>
  <c r="U86" i="4"/>
  <c r="AG98" i="22"/>
  <c r="AH97" i="22"/>
  <c r="AE133" i="22"/>
  <c r="AD134" i="22"/>
  <c r="R72" i="17"/>
  <c r="R56" i="17" s="1"/>
  <c r="R58" i="15"/>
  <c r="D493" i="3"/>
  <c r="S48" i="3"/>
  <c r="S68" i="3"/>
  <c r="S80" i="3" s="1"/>
  <c r="AW145" i="14"/>
  <c r="AX144" i="14"/>
  <c r="Q177" i="7"/>
  <c r="Q145" i="7" s="1"/>
  <c r="BT145" i="7" s="1"/>
  <c r="Q173" i="7"/>
  <c r="Q141" i="7" s="1"/>
  <c r="BT141" i="7" s="1"/>
  <c r="Q176" i="7"/>
  <c r="BT181" i="7"/>
  <c r="Q172" i="7"/>
  <c r="Q140" i="7" s="1"/>
  <c r="BT140" i="7" s="1"/>
  <c r="Q178" i="7"/>
  <c r="Q146" i="7" s="1"/>
  <c r="BT146" i="7" s="1"/>
  <c r="Q171" i="7"/>
  <c r="Q175" i="7"/>
  <c r="Q143" i="7" s="1"/>
  <c r="BT143" i="7" s="1"/>
  <c r="Q174" i="7"/>
  <c r="Q179" i="7"/>
  <c r="AP87" i="16"/>
  <c r="AQ87" i="16" s="1"/>
  <c r="AQ86" i="16"/>
  <c r="L393" i="4"/>
  <c r="L363" i="4"/>
  <c r="S326" i="17"/>
  <c r="S280" i="15"/>
  <c r="AT73" i="20"/>
  <c r="AX73" i="20" s="1"/>
  <c r="AI74" i="20"/>
  <c r="AP171" i="20"/>
  <c r="AR171" i="20" s="1"/>
  <c r="AR170" i="20"/>
  <c r="AR171" i="16"/>
  <c r="AT171" i="16" s="1"/>
  <c r="AT170" i="16"/>
  <c r="AZ155" i="20"/>
  <c r="R170" i="23"/>
  <c r="R154" i="23" s="1"/>
  <c r="R167" i="23"/>
  <c r="R151" i="23" s="1"/>
  <c r="R173" i="23"/>
  <c r="R157" i="23" s="1"/>
  <c r="R171" i="23"/>
  <c r="R155" i="23" s="1"/>
  <c r="R169" i="23"/>
  <c r="R153" i="23" s="1"/>
  <c r="R172" i="23"/>
  <c r="R156" i="23" s="1"/>
  <c r="R166" i="23"/>
  <c r="R150" i="23" s="1"/>
  <c r="R168" i="23"/>
  <c r="R152" i="23" s="1"/>
  <c r="R175" i="23"/>
  <c r="R159" i="23" s="1"/>
  <c r="R174" i="23"/>
  <c r="R158" i="23" s="1"/>
  <c r="AD156" i="10"/>
  <c r="AC123" i="20"/>
  <c r="AD123" i="20" s="1"/>
  <c r="AD122" i="20"/>
  <c r="Y193" i="11"/>
  <c r="Y14" i="1"/>
  <c r="Y11" i="1" s="1"/>
  <c r="Y8" i="11"/>
  <c r="AN38" i="16"/>
  <c r="AM39" i="16"/>
  <c r="AN39" i="16" s="1"/>
  <c r="U191" i="13"/>
  <c r="U11" i="13" s="1"/>
  <c r="U131" i="13"/>
  <c r="Z129" i="21"/>
  <c r="AA129" i="19"/>
  <c r="AY156" i="22"/>
  <c r="AY168" i="22"/>
  <c r="Y294" i="3"/>
  <c r="Y230" i="3"/>
  <c r="AW86" i="18"/>
  <c r="AV87" i="18"/>
  <c r="AW87" i="18" s="1"/>
  <c r="V143" i="11"/>
  <c r="S60" i="13"/>
  <c r="AP98" i="20"/>
  <c r="AR97" i="20"/>
  <c r="AL26" i="20"/>
  <c r="AO25" i="20"/>
  <c r="U86" i="26"/>
  <c r="V85" i="26"/>
  <c r="W85" i="26" s="1"/>
  <c r="V139" i="11"/>
  <c r="AL50" i="14"/>
  <c r="AZ49" i="14"/>
  <c r="BC130" i="14"/>
  <c r="V192" i="11"/>
  <c r="L364" i="3"/>
  <c r="L381" i="3" s="1"/>
  <c r="L349" i="3"/>
  <c r="Z348" i="11"/>
  <c r="AV182" i="18"/>
  <c r="AW181" i="18"/>
  <c r="AN123" i="14"/>
  <c r="Q160" i="9"/>
  <c r="BT160" i="7"/>
  <c r="Q51" i="7"/>
  <c r="BT67" i="7"/>
  <c r="Q67" i="9"/>
  <c r="Q51" i="9" s="1"/>
  <c r="AL109" i="22"/>
  <c r="AK110" i="22"/>
  <c r="BC59" i="15"/>
  <c r="Q68" i="15"/>
  <c r="AZ145" i="14"/>
  <c r="AL146" i="14"/>
  <c r="AN145" i="14"/>
  <c r="Z129" i="15"/>
  <c r="Z113" i="15" s="1"/>
  <c r="AM182" i="16"/>
  <c r="AN181" i="16"/>
  <c r="U84" i="4"/>
  <c r="Y170" i="8"/>
  <c r="X171" i="8"/>
  <c r="Y171" i="8" s="1"/>
  <c r="AJ27" i="22"/>
  <c r="AU26" i="22"/>
  <c r="AL26" i="22"/>
  <c r="V140" i="11"/>
  <c r="S43" i="5"/>
  <c r="S67" i="4"/>
  <c r="S95" i="4"/>
  <c r="AD101" i="11"/>
  <c r="S71" i="4"/>
  <c r="AR25" i="16"/>
  <c r="AT24" i="16"/>
  <c r="BA24" i="16" s="1"/>
  <c r="AA410" i="13"/>
  <c r="AA219" i="4"/>
  <c r="BC64" i="15"/>
  <c r="Z329" i="11"/>
  <c r="Z184" i="4" s="1"/>
  <c r="Z200" i="4"/>
  <c r="Z248" i="3"/>
  <c r="Z232" i="3" s="1"/>
  <c r="AA345" i="11"/>
  <c r="BB73" i="18"/>
  <c r="AG74" i="18"/>
  <c r="AH73" i="18"/>
  <c r="AE132" i="19"/>
  <c r="AF132" i="19" s="1"/>
  <c r="BB167" i="20"/>
  <c r="BR165" i="12" s="1"/>
  <c r="BH165" i="12" s="1"/>
  <c r="AZ167" i="20"/>
  <c r="BA50" i="14"/>
  <c r="AM51" i="14"/>
  <c r="BA51" i="14" s="1"/>
  <c r="AW120" i="20"/>
  <c r="AV120" i="20"/>
  <c r="BJ14" i="13"/>
  <c r="AJ183" i="20"/>
  <c r="AX132" i="12"/>
  <c r="AC77" i="11"/>
  <c r="AC70" i="11"/>
  <c r="U123" i="26"/>
  <c r="V123" i="26" s="1"/>
  <c r="W123" i="26" s="1"/>
  <c r="K19" i="25" s="1"/>
  <c r="K20" i="25" s="1"/>
  <c r="V122" i="26"/>
  <c r="W122" i="26" s="1"/>
  <c r="AZ61" i="18"/>
  <c r="AX62" i="18"/>
  <c r="AV13" i="20"/>
  <c r="BE166" i="12"/>
  <c r="P414" i="3"/>
  <c r="P429" i="3"/>
  <c r="S109" i="10"/>
  <c r="AC109" i="10" s="1"/>
  <c r="R110" i="10"/>
  <c r="AM159" i="14"/>
  <c r="BA159" i="14" s="1"/>
  <c r="BA158" i="14"/>
  <c r="G331" i="4"/>
  <c r="G316" i="4"/>
  <c r="AD37" i="20"/>
  <c r="AC38" i="20"/>
  <c r="R159" i="26"/>
  <c r="AX168" i="14"/>
  <c r="AW169" i="14"/>
  <c r="AY72" i="14"/>
  <c r="BB72" i="14" s="1"/>
  <c r="AK62" i="16"/>
  <c r="AJ63" i="16"/>
  <c r="AK63" i="16" s="1"/>
  <c r="R183" i="8"/>
  <c r="S183" i="8" s="1"/>
  <c r="S182" i="8"/>
  <c r="R206" i="15"/>
  <c r="R205" i="15"/>
  <c r="R204" i="15"/>
  <c r="R210" i="15"/>
  <c r="R202" i="15"/>
  <c r="R207" i="15"/>
  <c r="R200" i="15"/>
  <c r="R208" i="15"/>
  <c r="R203" i="15"/>
  <c r="R201" i="15"/>
  <c r="R209" i="15"/>
  <c r="AV168" i="20"/>
  <c r="AW168" i="20"/>
  <c r="Z233" i="3"/>
  <c r="AK138" i="19"/>
  <c r="Q127" i="9"/>
  <c r="BT127" i="7"/>
  <c r="AA146" i="20"/>
  <c r="AU146" i="20"/>
  <c r="Z147" i="20"/>
  <c r="G415" i="3"/>
  <c r="G430" i="3"/>
  <c r="P380" i="3"/>
  <c r="AC158" i="20"/>
  <c r="AD157" i="20"/>
  <c r="AU157" i="20"/>
  <c r="AQ158" i="18"/>
  <c r="AP159" i="18"/>
  <c r="AQ159" i="18" s="1"/>
  <c r="AJ99" i="16"/>
  <c r="AJ182" i="22"/>
  <c r="AU181" i="22"/>
  <c r="AY181" i="22" s="1"/>
  <c r="AB158" i="8"/>
  <c r="AC158" i="8" s="1"/>
  <c r="AA159" i="8"/>
  <c r="AB159" i="8" s="1"/>
  <c r="S329" i="17"/>
  <c r="S296" i="17" s="1"/>
  <c r="S280" i="17" s="1"/>
  <c r="S283" i="15"/>
  <c r="BK11" i="13"/>
  <c r="S32" i="1"/>
  <c r="S29" i="1" s="1"/>
  <c r="S28" i="1" s="1"/>
  <c r="S8" i="13"/>
  <c r="M493" i="3"/>
  <c r="M462" i="3"/>
  <c r="BD143" i="18"/>
  <c r="V4" i="15"/>
  <c r="Y352" i="11"/>
  <c r="U98" i="8"/>
  <c r="V97" i="8"/>
  <c r="R105" i="9"/>
  <c r="X182" i="10"/>
  <c r="Y181" i="10"/>
  <c r="AS134" i="16"/>
  <c r="AT133" i="16"/>
  <c r="C363" i="4"/>
  <c r="C393" i="4"/>
  <c r="V145" i="26"/>
  <c r="U146" i="26"/>
  <c r="AT14" i="16"/>
  <c r="AS15" i="16"/>
  <c r="AT15" i="16" s="1"/>
  <c r="D350" i="3"/>
  <c r="D365" i="3"/>
  <c r="D382" i="3" s="1"/>
  <c r="AW73" i="14"/>
  <c r="AX72" i="14"/>
  <c r="AB58" i="11"/>
  <c r="R78" i="17"/>
  <c r="R62" i="17" s="1"/>
  <c r="R64" i="15"/>
  <c r="BC67" i="15"/>
  <c r="AS24" i="14"/>
  <c r="AV23" i="14"/>
  <c r="Y127" i="15"/>
  <c r="Y111" i="15" s="1"/>
  <c r="AW109" i="22"/>
  <c r="AQ181" i="16"/>
  <c r="AP182" i="16"/>
  <c r="AZ35" i="20"/>
  <c r="AZ109" i="14"/>
  <c r="AL110" i="14"/>
  <c r="S46" i="5"/>
  <c r="H363" i="4"/>
  <c r="H393" i="4"/>
  <c r="Q203" i="17"/>
  <c r="Q187" i="17" s="1"/>
  <c r="BC205" i="15"/>
  <c r="Q189" i="15"/>
  <c r="BC189" i="15" s="1"/>
  <c r="AT74" i="16"/>
  <c r="AS75" i="16"/>
  <c r="AT75" i="16" s="1"/>
  <c r="AO134" i="22"/>
  <c r="AP133" i="22"/>
  <c r="AV133" i="22"/>
  <c r="AT110" i="22"/>
  <c r="AQ111" i="22"/>
  <c r="AT111" i="22" s="1"/>
  <c r="AJ87" i="22"/>
  <c r="AU87" i="22" s="1"/>
  <c r="AU86" i="22"/>
  <c r="AZ122" i="16"/>
  <c r="AX123" i="16"/>
  <c r="AZ123" i="16" s="1"/>
  <c r="AZ110" i="16"/>
  <c r="AX111" i="16"/>
  <c r="AZ111" i="16" s="1"/>
  <c r="T110" i="13"/>
  <c r="T47" i="3" s="1"/>
  <c r="T107" i="13"/>
  <c r="T44" i="3" s="1"/>
  <c r="T109" i="13"/>
  <c r="T46" i="3" s="1"/>
  <c r="T100" i="13"/>
  <c r="T37" i="3" s="1"/>
  <c r="T104" i="13"/>
  <c r="T41" i="3" s="1"/>
  <c r="T105" i="13"/>
  <c r="T42" i="3" s="1"/>
  <c r="T108" i="13"/>
  <c r="T45" i="3" s="1"/>
  <c r="T103" i="13"/>
  <c r="T40" i="3" s="1"/>
  <c r="T101" i="13"/>
  <c r="T38" i="3" s="1"/>
  <c r="T106" i="13"/>
  <c r="T43" i="3" s="1"/>
  <c r="T99" i="13"/>
  <c r="T102" i="13"/>
  <c r="T39" i="3" s="1"/>
  <c r="T244" i="13"/>
  <c r="T116" i="4"/>
  <c r="T149" i="4" s="1"/>
  <c r="AZ246" i="11"/>
  <c r="U13" i="26"/>
  <c r="V12" i="26"/>
  <c r="W12" i="26" s="1"/>
  <c r="AV87" i="16"/>
  <c r="AW87" i="16" s="1"/>
  <c r="AW86" i="16"/>
  <c r="Q125" i="9"/>
  <c r="BT125" i="7"/>
  <c r="AH37" i="22"/>
  <c r="AG38" i="22"/>
  <c r="AI170" i="16"/>
  <c r="AK169" i="16"/>
  <c r="AT98" i="18"/>
  <c r="AS99" i="18"/>
  <c r="AT99" i="18" s="1"/>
  <c r="Q156" i="9"/>
  <c r="BT156" i="7"/>
  <c r="AW61" i="14"/>
  <c r="AX60" i="14"/>
  <c r="Z206" i="4"/>
  <c r="Z335" i="11"/>
  <c r="Z190" i="4" s="1"/>
  <c r="P251" i="4"/>
  <c r="P266" i="4"/>
  <c r="AF330" i="19"/>
  <c r="AK121" i="18"/>
  <c r="AJ122" i="18"/>
  <c r="BB121" i="18"/>
  <c r="V156" i="24"/>
  <c r="W156" i="24" s="1"/>
  <c r="U157" i="24"/>
  <c r="AI15" i="20"/>
  <c r="AT15" i="20" s="1"/>
  <c r="AT14" i="20"/>
  <c r="AG146" i="20"/>
  <c r="AF147" i="20"/>
  <c r="AG147" i="20" s="1"/>
  <c r="AL122" i="20"/>
  <c r="AO121" i="20"/>
  <c r="AS121" i="20"/>
  <c r="V110" i="10"/>
  <c r="U111" i="10"/>
  <c r="V111" i="10" s="1"/>
  <c r="AN98" i="14"/>
  <c r="AK99" i="14"/>
  <c r="AB53" i="11"/>
  <c r="S246" i="13"/>
  <c r="S118" i="4"/>
  <c r="S70" i="4" s="1"/>
  <c r="AP75" i="16"/>
  <c r="AQ75" i="16" s="1"/>
  <c r="AQ74" i="16"/>
  <c r="AJ159" i="18"/>
  <c r="AK159" i="18" s="1"/>
  <c r="AK158" i="18"/>
  <c r="AY73" i="20"/>
  <c r="Y15" i="20"/>
  <c r="AS15" i="20" s="1"/>
  <c r="AS14" i="20"/>
  <c r="P493" i="3"/>
  <c r="P462" i="3"/>
  <c r="Q108" i="9"/>
  <c r="Q92" i="7"/>
  <c r="BT92" i="7" s="1"/>
  <c r="BT108" i="7"/>
  <c r="J364" i="3"/>
  <c r="J381" i="3" s="1"/>
  <c r="J349" i="3"/>
  <c r="AD348" i="3"/>
  <c r="AH348" i="3" s="1"/>
  <c r="K364" i="3"/>
  <c r="AK74" i="14"/>
  <c r="AN73" i="14"/>
  <c r="X336" i="11"/>
  <c r="X207" i="4"/>
  <c r="Y103" i="5" s="1"/>
  <c r="AM86" i="18"/>
  <c r="BB86" i="18" s="1"/>
  <c r="AN85" i="18"/>
  <c r="Q131" i="9"/>
  <c r="BT131" i="7"/>
  <c r="Q160" i="4"/>
  <c r="AY145" i="20"/>
  <c r="AT125" i="11"/>
  <c r="BM125" i="11"/>
  <c r="Q45" i="11"/>
  <c r="AT126" i="11"/>
  <c r="AO63" i="18"/>
  <c r="AQ63" i="18" s="1"/>
  <c r="AQ62" i="18"/>
  <c r="AG87" i="18"/>
  <c r="AH86" i="18"/>
  <c r="T61" i="5"/>
  <c r="T78" i="5" s="1"/>
  <c r="S154" i="4"/>
  <c r="AB182" i="8"/>
  <c r="AA183" i="8"/>
  <c r="AB183" i="8" s="1"/>
  <c r="BC61" i="15"/>
  <c r="AA412" i="13"/>
  <c r="AZ36" i="20"/>
  <c r="AX118" i="12"/>
  <c r="AY117" i="12"/>
  <c r="AY129" i="12"/>
  <c r="K351" i="3"/>
  <c r="AG159" i="16"/>
  <c r="AH159" i="16" s="1"/>
  <c r="AH158" i="16"/>
  <c r="AC157" i="8"/>
  <c r="D330" i="4"/>
  <c r="D315" i="4"/>
  <c r="E331" i="4" s="1"/>
  <c r="R137" i="7"/>
  <c r="R153" i="9"/>
  <c r="AH26" i="16"/>
  <c r="AG27" i="16"/>
  <c r="AH27" i="16" s="1"/>
  <c r="AZ110" i="18"/>
  <c r="AX111" i="18"/>
  <c r="AZ111" i="18" s="1"/>
  <c r="U74" i="24"/>
  <c r="V73" i="24"/>
  <c r="W73" i="24" s="1"/>
  <c r="AI37" i="16"/>
  <c r="AK36" i="16"/>
  <c r="BA36" i="16" s="1"/>
  <c r="Q145" i="26"/>
  <c r="S144" i="26"/>
  <c r="W144" i="26" s="1"/>
  <c r="G281" i="4"/>
  <c r="S72" i="4"/>
  <c r="U34" i="6"/>
  <c r="T230" i="13"/>
  <c r="T200" i="11"/>
  <c r="T120" i="11" s="1"/>
  <c r="T40" i="11" s="1"/>
  <c r="AT121" i="11"/>
  <c r="BM121" i="11"/>
  <c r="Q41" i="11"/>
  <c r="AT122" i="11"/>
  <c r="BG54" i="11"/>
  <c r="O282" i="4"/>
  <c r="R35" i="5"/>
  <c r="R66" i="15"/>
  <c r="R80" i="17"/>
  <c r="R64" i="17" s="1"/>
  <c r="AC73" i="10"/>
  <c r="U177" i="23"/>
  <c r="U10" i="23"/>
  <c r="BG17" i="15"/>
  <c r="S37" i="15"/>
  <c r="S27" i="6"/>
  <c r="T233" i="13"/>
  <c r="T203" i="11"/>
  <c r="T123" i="11" s="1"/>
  <c r="T43" i="11" s="1"/>
  <c r="V13" i="24"/>
  <c r="W13" i="24" s="1"/>
  <c r="U14" i="24"/>
  <c r="R63" i="10"/>
  <c r="S63" i="10" s="1"/>
  <c r="AC63" i="10" s="1"/>
  <c r="S62" i="10"/>
  <c r="AC62" i="10" s="1"/>
  <c r="AV62" i="22"/>
  <c r="AS62" i="22"/>
  <c r="AR63" i="22"/>
  <c r="R111" i="9"/>
  <c r="R95" i="7"/>
  <c r="S330" i="17"/>
  <c r="S297" i="17" s="1"/>
  <c r="S281" i="17" s="1"/>
  <c r="S284" i="15"/>
  <c r="AJ50" i="20"/>
  <c r="AK49" i="20"/>
  <c r="N265" i="4"/>
  <c r="N282" i="4" s="1"/>
  <c r="N250" i="4"/>
  <c r="U249" i="11"/>
  <c r="U246" i="11"/>
  <c r="U253" i="11"/>
  <c r="U248" i="11"/>
  <c r="U245" i="11"/>
  <c r="U252" i="11"/>
  <c r="U251" i="11"/>
  <c r="U250" i="11"/>
  <c r="U255" i="11"/>
  <c r="U247" i="11"/>
  <c r="U254" i="11"/>
  <c r="U31" i="13"/>
  <c r="U33" i="11"/>
  <c r="U34" i="11" s="1"/>
  <c r="U4" i="6"/>
  <c r="W27" i="11"/>
  <c r="L315" i="4"/>
  <c r="L330" i="4"/>
  <c r="R115" i="9"/>
  <c r="Q20" i="17"/>
  <c r="Q305" i="17"/>
  <c r="AG50" i="18"/>
  <c r="BB49" i="18"/>
  <c r="AH49" i="18"/>
  <c r="AV99" i="16"/>
  <c r="AW99" i="16" s="1"/>
  <c r="AW98" i="16"/>
  <c r="AW121" i="14"/>
  <c r="AX120" i="14"/>
  <c r="AE157" i="22"/>
  <c r="AD158" i="22"/>
  <c r="S122" i="26"/>
  <c r="R123" i="26"/>
  <c r="S123" i="26" s="1"/>
  <c r="AR38" i="18"/>
  <c r="AT37" i="18"/>
  <c r="AH169" i="8"/>
  <c r="BO167" i="12" s="1"/>
  <c r="AD169" i="8"/>
  <c r="AW73" i="20"/>
  <c r="AV73" i="20"/>
  <c r="Z135" i="20"/>
  <c r="AA134" i="20"/>
  <c r="AG86" i="16"/>
  <c r="AH85" i="16"/>
  <c r="Q49" i="24"/>
  <c r="S48" i="24"/>
  <c r="W48" i="24" s="1"/>
  <c r="AP74" i="14"/>
  <c r="AZ73" i="14"/>
  <c r="S169" i="10"/>
  <c r="AC169" i="10" s="1"/>
  <c r="AD169" i="10" s="1"/>
  <c r="R170" i="10"/>
  <c r="Q75" i="26"/>
  <c r="S75" i="26" s="1"/>
  <c r="W75" i="26" s="1"/>
  <c r="S74" i="26"/>
  <c r="W74" i="26" s="1"/>
  <c r="AB182" i="10"/>
  <c r="AA183" i="10"/>
  <c r="AB183" i="10" s="1"/>
  <c r="BC65" i="15"/>
  <c r="E316" i="4"/>
  <c r="AC128" i="15"/>
  <c r="AC112" i="15" s="1"/>
  <c r="AY198" i="11"/>
  <c r="AV98" i="18"/>
  <c r="BB98" i="18" s="1"/>
  <c r="AW97" i="18"/>
  <c r="AV134" i="16"/>
  <c r="AW133" i="16"/>
  <c r="AU145" i="22"/>
  <c r="AW145" i="22" s="1"/>
  <c r="AJ146" i="22"/>
  <c r="AL146" i="22" s="1"/>
  <c r="AK63" i="22"/>
  <c r="AL62" i="22"/>
  <c r="AH62" i="18"/>
  <c r="BB62" i="18"/>
  <c r="AG63" i="18"/>
  <c r="AR145" i="18"/>
  <c r="AT144" i="18"/>
  <c r="R112" i="3"/>
  <c r="R84" i="3"/>
  <c r="AL98" i="14"/>
  <c r="AZ97" i="14"/>
  <c r="AB74" i="8"/>
  <c r="AA75" i="8"/>
  <c r="AB75" i="8" s="1"/>
  <c r="T229" i="13"/>
  <c r="T199" i="11"/>
  <c r="T119" i="11" s="1"/>
  <c r="T39" i="11" s="1"/>
  <c r="V133" i="11"/>
  <c r="S37" i="11"/>
  <c r="H351" i="3"/>
  <c r="AC111" i="20"/>
  <c r="AD111" i="20" s="1"/>
  <c r="AD110" i="20"/>
  <c r="AR169" i="18"/>
  <c r="AT168" i="18"/>
  <c r="Q157" i="9"/>
  <c r="BT157" i="7"/>
  <c r="Q59" i="9"/>
  <c r="BT59" i="7"/>
  <c r="Q43" i="7"/>
  <c r="S163" i="7"/>
  <c r="T163" i="7" s="1"/>
  <c r="AI133" i="16"/>
  <c r="AK132" i="16"/>
  <c r="BA132" i="16" s="1"/>
  <c r="Q57" i="17"/>
  <c r="Q82" i="17"/>
  <c r="Q4" i="17" s="1"/>
  <c r="R115" i="13"/>
  <c r="AY169" i="20"/>
  <c r="AL170" i="14"/>
  <c r="U101" i="3"/>
  <c r="R134" i="3"/>
  <c r="R117" i="13"/>
  <c r="R37" i="13" s="1"/>
  <c r="AN14" i="18"/>
  <c r="AM15" i="18"/>
  <c r="AN15" i="18" s="1"/>
  <c r="T231" i="13"/>
  <c r="T201" i="11"/>
  <c r="T121" i="11" s="1"/>
  <c r="T41" i="11" s="1"/>
  <c r="V136" i="11"/>
  <c r="U91" i="4"/>
  <c r="P282" i="4"/>
  <c r="R136" i="3"/>
  <c r="R119" i="13"/>
  <c r="R39" i="13" s="1"/>
  <c r="Y25" i="10"/>
  <c r="AC25" i="10" s="1"/>
  <c r="X26" i="10"/>
  <c r="V120" i="24"/>
  <c r="W120" i="24" s="1"/>
  <c r="U121" i="24"/>
  <c r="S58" i="13"/>
  <c r="Y232" i="3"/>
  <c r="AO49" i="14"/>
  <c r="AR48" i="14"/>
  <c r="AY48" i="14"/>
  <c r="BB48" i="14" s="1"/>
  <c r="BE48" i="14" s="1"/>
  <c r="AA351" i="11"/>
  <c r="AW86" i="20"/>
  <c r="AA183" i="20"/>
  <c r="AU183" i="20"/>
  <c r="AB299" i="15"/>
  <c r="AX153" i="12"/>
  <c r="AY152" i="12"/>
  <c r="AA74" i="20"/>
  <c r="AU74" i="20"/>
  <c r="Z75" i="20"/>
  <c r="AM146" i="18"/>
  <c r="AN145" i="18"/>
  <c r="AZ133" i="14"/>
  <c r="AL134" i="14"/>
  <c r="Q112" i="9"/>
  <c r="Q96" i="7"/>
  <c r="BT96" i="7" s="1"/>
  <c r="BT112" i="7"/>
  <c r="BF54" i="11"/>
  <c r="AL26" i="14"/>
  <c r="AZ25" i="14"/>
  <c r="Z199" i="4"/>
  <c r="Z247" i="3"/>
  <c r="AB344" i="11"/>
  <c r="AW49" i="16"/>
  <c r="AV50" i="16"/>
  <c r="Q155" i="3"/>
  <c r="Q203" i="3"/>
  <c r="Q91" i="3"/>
  <c r="Q85" i="24"/>
  <c r="S84" i="24"/>
  <c r="BB85" i="18"/>
  <c r="S74" i="4"/>
  <c r="AE38" i="20"/>
  <c r="AG37" i="20"/>
  <c r="AC181" i="8"/>
  <c r="AD181" i="8" s="1"/>
  <c r="AP147" i="18"/>
  <c r="AQ147" i="18" s="1"/>
  <c r="AQ146" i="18"/>
  <c r="R98" i="24"/>
  <c r="S97" i="24"/>
  <c r="AS63" i="18"/>
  <c r="AS61" i="20"/>
  <c r="Y62" i="20"/>
  <c r="S74" i="8"/>
  <c r="R75" i="8"/>
  <c r="S75" i="8" s="1"/>
  <c r="AO38" i="20"/>
  <c r="AL39" i="20"/>
  <c r="AO39" i="20" s="1"/>
  <c r="G265" i="4"/>
  <c r="G282" i="4" s="1"/>
  <c r="G250" i="4"/>
  <c r="AN169" i="14"/>
  <c r="AK170" i="14"/>
  <c r="AM75" i="18"/>
  <c r="AN75" i="18" s="1"/>
  <c r="AN74" i="18"/>
  <c r="U74" i="23"/>
  <c r="U71" i="23"/>
  <c r="U79" i="23"/>
  <c r="U75" i="23"/>
  <c r="U69" i="23"/>
  <c r="U70" i="23"/>
  <c r="U80" i="23" s="1"/>
  <c r="U72" i="23"/>
  <c r="U77" i="23"/>
  <c r="U78" i="23"/>
  <c r="U73" i="23"/>
  <c r="U76" i="23"/>
  <c r="X8" i="23"/>
  <c r="X3" i="23" s="1"/>
  <c r="X7" i="6"/>
  <c r="R254" i="13"/>
  <c r="R206" i="13" s="1"/>
  <c r="R126" i="4"/>
  <c r="R258" i="11"/>
  <c r="R208" i="11"/>
  <c r="U26" i="26"/>
  <c r="V25" i="26"/>
  <c r="Q202" i="17"/>
  <c r="Q186" i="17" s="1"/>
  <c r="BC204" i="15"/>
  <c r="Q188" i="15"/>
  <c r="BC188" i="15" s="1"/>
  <c r="AB324" i="19"/>
  <c r="AT145" i="16"/>
  <c r="AS146" i="16"/>
  <c r="W46" i="4"/>
  <c r="W64" i="11"/>
  <c r="AN50" i="14"/>
  <c r="AK51" i="14"/>
  <c r="Z404" i="13"/>
  <c r="Z277" i="3" s="1"/>
  <c r="Z213" i="4"/>
  <c r="Z326" i="11"/>
  <c r="Z181" i="4" s="1"/>
  <c r="U15" i="6"/>
  <c r="AN37" i="14"/>
  <c r="AK38" i="14"/>
  <c r="AY37" i="14"/>
  <c r="BB37" i="14" s="1"/>
  <c r="BE37" i="14" s="1"/>
  <c r="I250" i="4"/>
  <c r="I265" i="4"/>
  <c r="I282" i="4" s="1"/>
  <c r="Q156" i="3"/>
  <c r="Q204" i="3"/>
  <c r="Q92" i="3"/>
  <c r="X147" i="8"/>
  <c r="Y147" i="8" s="1"/>
  <c r="Y146" i="8"/>
  <c r="R135" i="26"/>
  <c r="X288" i="3"/>
  <c r="X292" i="3"/>
  <c r="X228" i="3"/>
  <c r="AW49" i="18"/>
  <c r="AV50" i="18"/>
  <c r="U18" i="6"/>
  <c r="D463" i="3"/>
  <c r="D494" i="3"/>
  <c r="R108" i="9"/>
  <c r="AT181" i="20"/>
  <c r="AX181" i="20" s="1"/>
  <c r="AI182" i="20"/>
  <c r="AK182" i="20" s="1"/>
  <c r="AB146" i="22"/>
  <c r="AA147" i="22"/>
  <c r="AB147" i="22" s="1"/>
  <c r="Q155" i="9"/>
  <c r="BT155" i="7"/>
  <c r="F281" i="4"/>
  <c r="AV158" i="16"/>
  <c r="AW157" i="16"/>
  <c r="AS111" i="16"/>
  <c r="Y276" i="3"/>
  <c r="R183" i="26"/>
  <c r="S183" i="26" s="1"/>
  <c r="W183" i="26" s="1"/>
  <c r="S182" i="26"/>
  <c r="W182" i="26" s="1"/>
  <c r="AA111" i="22"/>
  <c r="AB111" i="22" s="1"/>
  <c r="AB110" i="22"/>
  <c r="AP50" i="20"/>
  <c r="AR49" i="20"/>
  <c r="AV177" i="23"/>
  <c r="Q170" i="23"/>
  <c r="Q175" i="23"/>
  <c r="Q172" i="23"/>
  <c r="Q174" i="23"/>
  <c r="Q168" i="23"/>
  <c r="Q169" i="23"/>
  <c r="Q173" i="23"/>
  <c r="Q171" i="23"/>
  <c r="L251" i="4"/>
  <c r="L266" i="4"/>
  <c r="L283" i="4" s="1"/>
  <c r="AN297" i="15"/>
  <c r="S335" i="17"/>
  <c r="S302" i="17" s="1"/>
  <c r="S286" i="17" s="1"/>
  <c r="S289" i="15"/>
  <c r="AR24" i="14"/>
  <c r="AO25" i="14"/>
  <c r="AI133" i="18"/>
  <c r="AK132" i="18"/>
  <c r="BA132" i="18"/>
  <c r="BC132" i="18" s="1"/>
  <c r="BD132" i="18" s="1"/>
  <c r="Z56" i="11"/>
  <c r="Y229" i="3"/>
  <c r="Y332" i="11"/>
  <c r="Y187" i="4" s="1"/>
  <c r="Y94" i="5" s="1"/>
  <c r="Y203" i="4"/>
  <c r="Z102" i="5" s="1"/>
  <c r="AC63" i="20"/>
  <c r="AD63" i="20" s="1"/>
  <c r="AD62" i="20"/>
  <c r="Q161" i="9"/>
  <c r="BT161" i="7"/>
  <c r="Q66" i="9"/>
  <c r="Q50" i="9" s="1"/>
  <c r="BT66" i="7"/>
  <c r="Q50" i="7"/>
  <c r="AD157" i="15"/>
  <c r="Q109" i="26"/>
  <c r="S108" i="26"/>
  <c r="AD170" i="20"/>
  <c r="AC171" i="20"/>
  <c r="AU170" i="20"/>
  <c r="AY182" i="20" s="1"/>
  <c r="U21" i="13"/>
  <c r="BM22" i="13"/>
  <c r="AW109" i="18"/>
  <c r="AV110" i="18"/>
  <c r="AC370" i="19"/>
  <c r="AC376" i="19" s="1"/>
  <c r="AD29" i="19"/>
  <c r="U10" i="7"/>
  <c r="V10" i="7" s="1"/>
  <c r="M414" i="3"/>
  <c r="M429" i="3"/>
  <c r="T235" i="13"/>
  <c r="T205" i="11"/>
  <c r="T125" i="11" s="1"/>
  <c r="T45" i="11" s="1"/>
  <c r="V141" i="11"/>
  <c r="AZ14" i="16"/>
  <c r="AX15" i="16"/>
  <c r="AZ15" i="16" s="1"/>
  <c r="U108" i="3"/>
  <c r="BB97" i="18"/>
  <c r="AB54" i="11"/>
  <c r="R59" i="7"/>
  <c r="S59" i="7" s="1"/>
  <c r="R58" i="7"/>
  <c r="R63" i="7"/>
  <c r="S63" i="7" s="1"/>
  <c r="R67" i="7"/>
  <c r="S67" i="7" s="1"/>
  <c r="R62" i="7"/>
  <c r="R65" i="7"/>
  <c r="R61" i="7"/>
  <c r="R57" i="7"/>
  <c r="R66" i="7"/>
  <c r="R60" i="7"/>
  <c r="S60" i="7" s="1"/>
  <c r="R64" i="7"/>
  <c r="S64" i="7" s="1"/>
  <c r="BA181" i="18"/>
  <c r="BC181" i="18" s="1"/>
  <c r="BD181" i="18" s="1"/>
  <c r="AF182" i="18"/>
  <c r="AH182" i="18" s="1"/>
  <c r="U37" i="26"/>
  <c r="V36" i="26"/>
  <c r="W36" i="26" s="1"/>
  <c r="U98" i="26"/>
  <c r="V97" i="26"/>
  <c r="W97" i="26" s="1"/>
  <c r="E493" i="3"/>
  <c r="E462" i="3"/>
  <c r="AS87" i="20"/>
  <c r="AV24" i="20"/>
  <c r="AZ24" i="20" s="1"/>
  <c r="AW24" i="20"/>
  <c r="R337" i="17"/>
  <c r="R304" i="17" s="1"/>
  <c r="R288" i="17" s="1"/>
  <c r="R291" i="15"/>
  <c r="R292" i="15" s="1"/>
  <c r="AJ134" i="22"/>
  <c r="AU133" i="22"/>
  <c r="AL133" i="22"/>
  <c r="AP75" i="20"/>
  <c r="AR75" i="20" s="1"/>
  <c r="AR74" i="20"/>
  <c r="AM51" i="18"/>
  <c r="AN51" i="18" s="1"/>
  <c r="AN50" i="18"/>
  <c r="AZ49" i="18"/>
  <c r="AX50" i="18"/>
  <c r="AA328" i="19"/>
  <c r="AB344" i="19"/>
  <c r="AC344" i="19" s="1"/>
  <c r="AZ86" i="18"/>
  <c r="AX87" i="18"/>
  <c r="AZ87" i="18" s="1"/>
  <c r="Q116" i="7"/>
  <c r="AA111" i="10"/>
  <c r="AB111" i="10" s="1"/>
  <c r="AB110" i="10"/>
  <c r="AR182" i="20"/>
  <c r="AP183" i="20"/>
  <c r="AR183" i="20" s="1"/>
  <c r="R123" i="24"/>
  <c r="S123" i="24" s="1"/>
  <c r="S122" i="24"/>
  <c r="AD109" i="8"/>
  <c r="AX94" i="12"/>
  <c r="AY93" i="12"/>
  <c r="O414" i="3"/>
  <c r="O429" i="3"/>
  <c r="AG413" i="3"/>
  <c r="AF413" i="3"/>
  <c r="Q124" i="9"/>
  <c r="BT124" i="7"/>
  <c r="Q77" i="5"/>
  <c r="Q80" i="5" s="1"/>
  <c r="Q63" i="5"/>
  <c r="Z57" i="11"/>
  <c r="AA73" i="11"/>
  <c r="R159" i="24"/>
  <c r="S159" i="24" s="1"/>
  <c r="S158" i="24"/>
  <c r="S177" i="23"/>
  <c r="S10" i="23"/>
  <c r="AX87" i="16"/>
  <c r="AZ87" i="16" s="1"/>
  <c r="AZ86" i="16"/>
  <c r="AZ107" i="20"/>
  <c r="BJ8" i="13"/>
  <c r="AL62" i="20"/>
  <c r="AO61" i="20"/>
  <c r="T177" i="23"/>
  <c r="T10" i="23"/>
  <c r="AW60" i="20"/>
  <c r="AV60" i="20"/>
  <c r="AZ60" i="20" s="1"/>
  <c r="AR133" i="14"/>
  <c r="AO134" i="14"/>
  <c r="Q125" i="21"/>
  <c r="Q7" i="21" s="1"/>
  <c r="Y56" i="11"/>
  <c r="BC157" i="18"/>
  <c r="AW24" i="14"/>
  <c r="AX23" i="14"/>
  <c r="AU39" i="22"/>
  <c r="AL39" i="22"/>
  <c r="U13" i="25"/>
  <c r="Y13" i="23"/>
  <c r="Z13" i="23" s="1"/>
  <c r="R113" i="9"/>
  <c r="T45" i="5"/>
  <c r="AS171" i="18"/>
  <c r="AS147" i="18"/>
  <c r="M251" i="4"/>
  <c r="M266" i="4"/>
  <c r="M283" i="4" s="1"/>
  <c r="AM14" i="14"/>
  <c r="BA13" i="14"/>
  <c r="T212" i="15"/>
  <c r="BI12" i="15"/>
  <c r="AW48" i="20"/>
  <c r="AV48" i="20"/>
  <c r="AZ48" i="20" s="1"/>
  <c r="AV60" i="14"/>
  <c r="AS61" i="14"/>
  <c r="AY60" i="14"/>
  <c r="BB60" i="14" s="1"/>
  <c r="Q135" i="3"/>
  <c r="Q207" i="13"/>
  <c r="Q118" i="13"/>
  <c r="AX36" i="14"/>
  <c r="AW37" i="14"/>
  <c r="AY156" i="14"/>
  <c r="BB156" i="14" s="1"/>
  <c r="S331" i="17"/>
  <c r="S298" i="17" s="1"/>
  <c r="S282" i="17" s="1"/>
  <c r="S285" i="15"/>
  <c r="AA147" i="8"/>
  <c r="AB147" i="8" s="1"/>
  <c r="AC147" i="8" s="1"/>
  <c r="AB146" i="8"/>
  <c r="AC146" i="8" s="1"/>
  <c r="AH111" i="18"/>
  <c r="S153" i="9"/>
  <c r="Y104" i="5"/>
  <c r="AU122" i="20"/>
  <c r="AY122" i="20" s="1"/>
  <c r="Z123" i="20"/>
  <c r="AA122" i="20"/>
  <c r="AA307" i="15"/>
  <c r="Y110" i="20"/>
  <c r="AA110" i="20" s="1"/>
  <c r="AS109" i="20"/>
  <c r="AN37" i="18"/>
  <c r="AM38" i="18"/>
  <c r="X415" i="13"/>
  <c r="X24" i="13" s="1"/>
  <c r="BP24" i="13" s="1"/>
  <c r="T135" i="10"/>
  <c r="V135" i="10" s="1"/>
  <c r="V134" i="10"/>
  <c r="BT158" i="7"/>
  <c r="Q158" i="9"/>
  <c r="U169" i="24"/>
  <c r="V168" i="24"/>
  <c r="W168" i="24" s="1"/>
  <c r="U93" i="4"/>
  <c r="G364" i="3"/>
  <c r="G381" i="3" s="1"/>
  <c r="G349" i="3"/>
  <c r="H364" i="3"/>
  <c r="V142" i="11"/>
  <c r="S54" i="13"/>
  <c r="S38" i="24"/>
  <c r="R39" i="24"/>
  <c r="S39" i="24" s="1"/>
  <c r="E415" i="3"/>
  <c r="E430" i="3"/>
  <c r="U145" i="11"/>
  <c r="U47" i="6" s="1"/>
  <c r="U65" i="6" s="1"/>
  <c r="U83" i="4"/>
  <c r="U84" i="15"/>
  <c r="U3" i="15"/>
  <c r="BK4" i="15"/>
  <c r="Q39" i="10"/>
  <c r="S39" i="10" s="1"/>
  <c r="AC39" i="10" s="1"/>
  <c r="S38" i="10"/>
  <c r="AC38" i="10" s="1"/>
  <c r="AU157" i="22"/>
  <c r="AW157" i="22" s="1"/>
  <c r="BA157" i="22" s="1"/>
  <c r="AJ158" i="22"/>
  <c r="AH14" i="18"/>
  <c r="BB14" i="18"/>
  <c r="AG15" i="18"/>
  <c r="AI109" i="18"/>
  <c r="AK109" i="18" s="1"/>
  <c r="BA108" i="18"/>
  <c r="BC108" i="18" s="1"/>
  <c r="BD108" i="18" s="1"/>
  <c r="AA75" i="22"/>
  <c r="AB75" i="22" s="1"/>
  <c r="AB74" i="22"/>
  <c r="R154" i="9"/>
  <c r="R138" i="7"/>
  <c r="AA204" i="4"/>
  <c r="AB349" i="11"/>
  <c r="AF135" i="20"/>
  <c r="AG135" i="20" s="1"/>
  <c r="AG134" i="20"/>
  <c r="S55" i="13"/>
  <c r="K493" i="3"/>
  <c r="K462" i="3"/>
  <c r="BA180" i="18"/>
  <c r="BC180" i="18" s="1"/>
  <c r="BD180" i="18" s="1"/>
  <c r="AS37" i="14"/>
  <c r="AV36" i="14"/>
  <c r="AW85" i="14"/>
  <c r="AX84" i="14"/>
  <c r="BI20" i="15"/>
  <c r="AP169" i="14"/>
  <c r="AR168" i="14"/>
  <c r="R77" i="23"/>
  <c r="R79" i="23"/>
  <c r="R75" i="23"/>
  <c r="R78" i="23"/>
  <c r="R74" i="23"/>
  <c r="R70" i="23"/>
  <c r="R80" i="23" s="1"/>
  <c r="R73" i="23"/>
  <c r="R76" i="23"/>
  <c r="R72" i="23"/>
  <c r="R71" i="23"/>
  <c r="R69" i="23"/>
  <c r="AI145" i="18"/>
  <c r="AK144" i="18"/>
  <c r="AH26" i="20"/>
  <c r="AS25" i="20"/>
  <c r="AK25" i="20"/>
  <c r="L414" i="3"/>
  <c r="L429" i="3"/>
  <c r="AJ122" i="22"/>
  <c r="AU121" i="22"/>
  <c r="AK26" i="14"/>
  <c r="AN25" i="14"/>
  <c r="AX118" i="11"/>
  <c r="R38" i="11"/>
  <c r="AC183" i="20"/>
  <c r="AD183" i="20" s="1"/>
  <c r="AD182" i="20"/>
  <c r="AN25" i="18"/>
  <c r="AM26" i="18"/>
  <c r="AX159" i="16"/>
  <c r="AZ159" i="16" s="1"/>
  <c r="AZ158" i="16"/>
  <c r="R110" i="24"/>
  <c r="S109" i="24"/>
  <c r="Q93" i="7"/>
  <c r="BT93" i="7" s="1"/>
  <c r="Q109" i="9"/>
  <c r="BT109" i="7"/>
  <c r="AY108" i="14"/>
  <c r="BB108" i="14" s="1"/>
  <c r="AY105" i="12"/>
  <c r="AX106" i="12"/>
  <c r="R278" i="17"/>
  <c r="AV96" i="20"/>
  <c r="AZ96" i="20" s="1"/>
  <c r="AW96" i="20"/>
  <c r="AA111" i="8"/>
  <c r="AB111" i="8" s="1"/>
  <c r="AB110" i="8"/>
  <c r="X231" i="3"/>
  <c r="T43" i="5"/>
  <c r="T95" i="4"/>
  <c r="AL14" i="14"/>
  <c r="AZ13" i="14"/>
  <c r="AN13" i="14"/>
  <c r="Q128" i="9"/>
  <c r="BT128" i="7"/>
  <c r="H330" i="4"/>
  <c r="H315" i="4"/>
  <c r="BC143" i="14"/>
  <c r="BE143" i="14"/>
  <c r="AM171" i="14"/>
  <c r="BA171" i="14" s="1"/>
  <c r="BA170" i="14"/>
  <c r="AA161" i="15"/>
  <c r="R15" i="24"/>
  <c r="S15" i="24" s="1"/>
  <c r="S14" i="24"/>
  <c r="AR85" i="18"/>
  <c r="AT84" i="18"/>
  <c r="Y43" i="4"/>
  <c r="Y21" i="5" s="1"/>
  <c r="Y61" i="11"/>
  <c r="S146" i="8"/>
  <c r="R147" i="8"/>
  <c r="S147" i="8" s="1"/>
  <c r="AZ59" i="20"/>
  <c r="Y110" i="8"/>
  <c r="X111" i="8"/>
  <c r="Y111" i="8" s="1"/>
  <c r="AI38" i="18"/>
  <c r="BA37" i="18"/>
  <c r="AZ170" i="16"/>
  <c r="AX171" i="16"/>
  <c r="AZ171" i="16" s="1"/>
  <c r="AW51" i="14"/>
  <c r="AX51" i="14" s="1"/>
  <c r="AX50" i="14"/>
  <c r="X297" i="3"/>
  <c r="X233" i="3"/>
  <c r="S197" i="13"/>
  <c r="Q109" i="21"/>
  <c r="AA409" i="13"/>
  <c r="AA218" i="4"/>
  <c r="AA331" i="11"/>
  <c r="AA186" i="4" s="1"/>
  <c r="T46" i="5"/>
  <c r="BE165" i="12"/>
  <c r="BA158" i="18"/>
  <c r="AF159" i="18"/>
  <c r="BB37" i="18"/>
  <c r="U94" i="4"/>
  <c r="AN133" i="16"/>
  <c r="AM134" i="16"/>
  <c r="AB14" i="8"/>
  <c r="AC14" i="8" s="1"/>
  <c r="AA15" i="8"/>
  <c r="AB15" i="8" s="1"/>
  <c r="AC15" i="8" s="1"/>
  <c r="AX180" i="22"/>
  <c r="AW180" i="22"/>
  <c r="BA180" i="22" s="1"/>
  <c r="Q49" i="26"/>
  <c r="S48" i="26"/>
  <c r="U92" i="4"/>
  <c r="AC123" i="15"/>
  <c r="AC107" i="15" s="1"/>
  <c r="AM182" i="22"/>
  <c r="AT181" i="22"/>
  <c r="S38" i="8"/>
  <c r="R39" i="8"/>
  <c r="S39" i="8" s="1"/>
  <c r="T249" i="13"/>
  <c r="T121" i="4"/>
  <c r="AB201" i="4"/>
  <c r="AA122" i="10"/>
  <c r="AB121" i="10"/>
  <c r="AB37" i="22"/>
  <c r="AA38" i="22"/>
  <c r="V38" i="8"/>
  <c r="U39" i="8"/>
  <c r="V39" i="8" s="1"/>
  <c r="Y180" i="4"/>
  <c r="AQ27" i="14"/>
  <c r="BA27" i="14" s="1"/>
  <c r="BA26" i="14"/>
  <c r="BA168" i="22"/>
  <c r="AX132" i="20"/>
  <c r="AX144" i="20"/>
  <c r="V16" i="6"/>
  <c r="AW180" i="20"/>
  <c r="AV180" i="20"/>
  <c r="AG122" i="15"/>
  <c r="AG106" i="15" s="1"/>
  <c r="H415" i="3"/>
  <c r="H430" i="3"/>
  <c r="AV26" i="22"/>
  <c r="AS26" i="22"/>
  <c r="AR27" i="22"/>
  <c r="I493" i="3"/>
  <c r="I462" i="3"/>
  <c r="G380" i="3"/>
  <c r="AX165" i="12"/>
  <c r="BA164" i="12"/>
  <c r="BP164" i="12" s="1"/>
  <c r="AY164" i="12"/>
  <c r="Y75" i="20"/>
  <c r="AS74" i="20"/>
  <c r="U103" i="3"/>
  <c r="Y108" i="5"/>
  <c r="AD461" i="3"/>
  <c r="AH461" i="3" s="1"/>
  <c r="J493" i="3"/>
  <c r="J462" i="3"/>
  <c r="R71" i="17"/>
  <c r="R55" i="17" s="1"/>
  <c r="R57" i="15"/>
  <c r="Y163" i="15"/>
  <c r="Y131" i="15" s="1"/>
  <c r="Y115" i="15" s="1"/>
  <c r="BC63" i="15"/>
  <c r="AA408" i="13"/>
  <c r="AA217" i="4"/>
  <c r="X111" i="15"/>
  <c r="AA86" i="20"/>
  <c r="AU86" i="20"/>
  <c r="AY86" i="20" s="1"/>
  <c r="Z87" i="20"/>
  <c r="AI97" i="16"/>
  <c r="AK96" i="16"/>
  <c r="BA96" i="16" s="1"/>
  <c r="AI49" i="16"/>
  <c r="AK48" i="16"/>
  <c r="R79" i="17"/>
  <c r="R63" i="17" s="1"/>
  <c r="R65" i="15"/>
  <c r="AW13" i="14"/>
  <c r="AY13" i="14" s="1"/>
  <c r="BB13" i="14" s="1"/>
  <c r="BE13" i="14" s="1"/>
  <c r="AX12" i="14"/>
  <c r="T44" i="5"/>
  <c r="T68" i="4"/>
  <c r="Q62" i="24"/>
  <c r="S61" i="24"/>
  <c r="N393" i="4"/>
  <c r="N363" i="4"/>
  <c r="BV15" i="7"/>
  <c r="X3" i="6"/>
  <c r="X34" i="15"/>
  <c r="X35" i="15" s="1"/>
  <c r="S162" i="7"/>
  <c r="T162" i="7" s="1"/>
  <c r="F493" i="3"/>
  <c r="F462" i="3"/>
  <c r="Q26" i="24"/>
  <c r="S25" i="24"/>
  <c r="T236" i="13"/>
  <c r="T204" i="13" s="1"/>
  <c r="T206" i="11"/>
  <c r="T126" i="11" s="1"/>
  <c r="AV75" i="16"/>
  <c r="AW75" i="16" s="1"/>
  <c r="AW74" i="16"/>
  <c r="Q26" i="26"/>
  <c r="S25" i="26"/>
  <c r="AC120" i="8"/>
  <c r="AD120" i="8" s="1"/>
  <c r="BT65" i="7"/>
  <c r="Q49" i="7"/>
  <c r="Q65" i="9"/>
  <c r="Q49" i="9" s="1"/>
  <c r="S154" i="7"/>
  <c r="T154" i="7" s="1"/>
  <c r="AV181" i="22"/>
  <c r="U15" i="8"/>
  <c r="V15" i="8" s="1"/>
  <c r="V14" i="8"/>
  <c r="AA135" i="22"/>
  <c r="AB135" i="22" s="1"/>
  <c r="AB134" i="22"/>
  <c r="D415" i="3"/>
  <c r="D430" i="3"/>
  <c r="U95" i="5"/>
  <c r="U192" i="4"/>
  <c r="T228" i="13"/>
  <c r="T198" i="11"/>
  <c r="V137" i="11"/>
  <c r="BA73" i="16"/>
  <c r="AR109" i="16"/>
  <c r="AT108" i="16"/>
  <c r="BA108" i="16" s="1"/>
  <c r="N493" i="3"/>
  <c r="N462" i="3"/>
  <c r="AX96" i="20"/>
  <c r="AX108" i="20"/>
  <c r="S61" i="13"/>
  <c r="AW49" i="22"/>
  <c r="U171" i="8"/>
  <c r="V171" i="8" s="1"/>
  <c r="V170" i="8"/>
  <c r="AH298" i="15"/>
  <c r="AI25" i="18"/>
  <c r="BA24" i="18"/>
  <c r="BC24" i="18" s="1"/>
  <c r="AK24" i="18"/>
  <c r="M315" i="4"/>
  <c r="M330" i="4"/>
  <c r="AH61" i="22"/>
  <c r="AG62" i="22"/>
  <c r="X133" i="21"/>
  <c r="X140" i="19"/>
  <c r="X140" i="21" s="1"/>
  <c r="BB181" i="14"/>
  <c r="AS3" i="25"/>
  <c r="R13" i="25"/>
  <c r="AA45" i="4"/>
  <c r="AF87" i="18"/>
  <c r="AC69" i="11"/>
  <c r="AJ99" i="18"/>
  <c r="AV157" i="22"/>
  <c r="AZ157" i="22" s="1"/>
  <c r="AR158" i="22"/>
  <c r="AS157" i="22"/>
  <c r="AL86" i="22"/>
  <c r="S182" i="10"/>
  <c r="R183" i="10"/>
  <c r="S183" i="10" s="1"/>
  <c r="AW72" i="22"/>
  <c r="AK122" i="16"/>
  <c r="AJ123" i="16"/>
  <c r="AK123" i="16" s="1"/>
  <c r="AN109" i="14"/>
  <c r="AY109" i="14"/>
  <c r="BB109" i="14" s="1"/>
  <c r="AK110" i="14"/>
  <c r="V3" i="25"/>
  <c r="V13" i="25" s="1"/>
  <c r="V4" i="23"/>
  <c r="V5" i="23" s="1"/>
  <c r="V81" i="23" s="1"/>
  <c r="V35" i="6"/>
  <c r="V34" i="6" s="1"/>
  <c r="AF136" i="19"/>
  <c r="X236" i="3"/>
  <c r="X101" i="5"/>
  <c r="X104" i="5" s="1"/>
  <c r="AS74" i="18"/>
  <c r="AT73" i="18"/>
  <c r="AE412" i="3"/>
  <c r="AH74" i="22"/>
  <c r="AG75" i="22"/>
  <c r="AH75" i="22" s="1"/>
  <c r="S239" i="13"/>
  <c r="S14" i="13" s="1"/>
  <c r="S195" i="13"/>
  <c r="AJ39" i="18"/>
  <c r="AK38" i="18"/>
  <c r="U88" i="4"/>
  <c r="AA39" i="8"/>
  <c r="AB39" i="8" s="1"/>
  <c r="AB38" i="8"/>
  <c r="AD155" i="15"/>
  <c r="AR110" i="20"/>
  <c r="AP111" i="20"/>
  <c r="AR111" i="20" s="1"/>
  <c r="S200" i="11"/>
  <c r="S120" i="11" s="1"/>
  <c r="S40" i="11" s="1"/>
  <c r="AG39" i="18"/>
  <c r="AH38" i="18"/>
  <c r="BB38" i="18"/>
  <c r="AB197" i="4"/>
  <c r="AK158" i="14"/>
  <c r="AY157" i="14"/>
  <c r="BB157" i="14" s="1"/>
  <c r="AN157" i="14"/>
  <c r="AR61" i="18"/>
  <c r="AT60" i="18"/>
  <c r="AC13" i="8"/>
  <c r="T73" i="4"/>
  <c r="Z403" i="13"/>
  <c r="Z212" i="4"/>
  <c r="Z325" i="11"/>
  <c r="BP108" i="19"/>
  <c r="S44" i="5"/>
  <c r="S68" i="4"/>
  <c r="AJ138" i="19"/>
  <c r="AB334" i="11"/>
  <c r="AB189" i="4" s="1"/>
  <c r="AB205" i="4"/>
  <c r="AG461" i="3"/>
  <c r="O493" i="3"/>
  <c r="AF461" i="3"/>
  <c r="AE461" i="3"/>
  <c r="O462" i="3"/>
  <c r="BI14" i="13"/>
  <c r="Q12" i="13"/>
  <c r="BI12" i="13" s="1"/>
  <c r="BC13" i="18"/>
  <c r="AA183" i="22"/>
  <c r="AB183" i="22" s="1"/>
  <c r="AB182" i="22"/>
  <c r="AC97" i="8"/>
  <c r="T256" i="11"/>
  <c r="T208" i="11" s="1"/>
  <c r="T128" i="11" s="1"/>
  <c r="T48" i="11" s="1"/>
  <c r="K363" i="4"/>
  <c r="K393" i="4"/>
  <c r="F349" i="3"/>
  <c r="F364" i="3"/>
  <c r="F381" i="3" s="1"/>
  <c r="AX74" i="16"/>
  <c r="AZ73" i="16"/>
  <c r="AR181" i="16"/>
  <c r="AT180" i="16"/>
  <c r="BA180" i="16" s="1"/>
  <c r="BB180" i="16" s="1"/>
  <c r="AC299" i="15"/>
  <c r="AD299" i="15" s="1"/>
  <c r="AG301" i="15"/>
  <c r="T243" i="13"/>
  <c r="T115" i="4"/>
  <c r="T67" i="4" s="1"/>
  <c r="H380" i="3"/>
  <c r="I380" i="3"/>
  <c r="U104" i="3"/>
  <c r="D363" i="4"/>
  <c r="D393" i="4"/>
  <c r="AB97" i="22"/>
  <c r="AA98" i="22"/>
  <c r="AF147" i="16"/>
  <c r="AH147" i="16" s="1"/>
  <c r="AH146" i="16"/>
  <c r="S332" i="17"/>
  <c r="S299" i="17" s="1"/>
  <c r="S283" i="17" s="1"/>
  <c r="S286" i="15"/>
  <c r="AO181" i="20"/>
  <c r="AL182" i="20"/>
  <c r="AS181" i="20"/>
  <c r="AN158" i="18"/>
  <c r="AM159" i="18"/>
  <c r="AN159" i="18" s="1"/>
  <c r="R75" i="17"/>
  <c r="R59" i="17" s="1"/>
  <c r="R61" i="15"/>
  <c r="AB62" i="8"/>
  <c r="AC62" i="8" s="1"/>
  <c r="AD62" i="8" s="1"/>
  <c r="AA63" i="8"/>
  <c r="AB63" i="8" s="1"/>
  <c r="AC63" i="8" s="1"/>
  <c r="AD63" i="8" s="1"/>
  <c r="T251" i="13"/>
  <c r="T123" i="4"/>
  <c r="T156" i="4" s="1"/>
  <c r="AH62" i="16"/>
  <c r="AG63" i="16"/>
  <c r="AH63" i="16" s="1"/>
  <c r="BF163" i="12"/>
  <c r="BT163" i="12"/>
  <c r="BJ163" i="12" s="1"/>
  <c r="Z167" i="24"/>
  <c r="BS165" i="12" s="1"/>
  <c r="BI165" i="12" s="1"/>
  <c r="X167" i="24"/>
  <c r="AD104" i="11"/>
  <c r="BT113" i="7"/>
  <c r="Q97" i="7"/>
  <c r="BT97" i="7" s="1"/>
  <c r="Q113" i="9"/>
  <c r="AT13" i="22"/>
  <c r="AW13" i="22" s="1"/>
  <c r="AQ14" i="22"/>
  <c r="Q126" i="9"/>
  <c r="BT126" i="7"/>
  <c r="AX63" i="16"/>
  <c r="AZ63" i="16" s="1"/>
  <c r="AZ62" i="16"/>
  <c r="AI85" i="18"/>
  <c r="AK84" i="18"/>
  <c r="BA84" i="18"/>
  <c r="BC84" i="18" s="1"/>
  <c r="BD84" i="18" s="1"/>
  <c r="R37" i="11"/>
  <c r="Q111" i="9"/>
  <c r="Q95" i="7"/>
  <c r="BT95" i="7" s="1"/>
  <c r="BT111" i="7"/>
  <c r="T247" i="13"/>
  <c r="T119" i="4"/>
  <c r="T152" i="4" s="1"/>
  <c r="Q159" i="9"/>
  <c r="BT159" i="7"/>
  <c r="Z20" i="5"/>
  <c r="AZ61" i="14"/>
  <c r="AL62" i="14"/>
  <c r="Y121" i="10"/>
  <c r="X122" i="10"/>
  <c r="BT114" i="7"/>
  <c r="Q98" i="7"/>
  <c r="BT98" i="7" s="1"/>
  <c r="Q114" i="9"/>
  <c r="AL159" i="14"/>
  <c r="AZ159" i="14" s="1"/>
  <c r="AZ158" i="14"/>
  <c r="AA122" i="8"/>
  <c r="AB121" i="8"/>
  <c r="Q61" i="9"/>
  <c r="Q45" i="9" s="1"/>
  <c r="BT61" i="7"/>
  <c r="Q45" i="7"/>
  <c r="AA86" i="22"/>
  <c r="AB85" i="22"/>
  <c r="AC125" i="15"/>
  <c r="AC109" i="15" s="1"/>
  <c r="AO297" i="15"/>
  <c r="V134" i="11"/>
  <c r="AJ39" i="16"/>
  <c r="S45" i="5"/>
  <c r="S69" i="4"/>
  <c r="L493" i="3"/>
  <c r="L462" i="3"/>
  <c r="AB62" i="22"/>
  <c r="AA63" i="22"/>
  <c r="AB63" i="22" s="1"/>
  <c r="AZ122" i="18"/>
  <c r="AX123" i="18"/>
  <c r="AZ123" i="18" s="1"/>
  <c r="AK86" i="14"/>
  <c r="AN85" i="14"/>
  <c r="Q47" i="7"/>
  <c r="Q63" i="9"/>
  <c r="Q47" i="9" s="1"/>
  <c r="BT63" i="7"/>
  <c r="AR183" i="22"/>
  <c r="AS182" i="22"/>
  <c r="AV182" i="22"/>
  <c r="V49" i="24"/>
  <c r="U50" i="24"/>
  <c r="Q158" i="10"/>
  <c r="S157" i="10"/>
  <c r="W24" i="24"/>
  <c r="S205" i="13"/>
  <c r="T238" i="13"/>
  <c r="AJ26" i="16"/>
  <c r="AK25" i="16"/>
  <c r="AT121" i="22"/>
  <c r="AQ122" i="22"/>
  <c r="AT97" i="20"/>
  <c r="AI98" i="20"/>
  <c r="AK97" i="20"/>
  <c r="AM135" i="18"/>
  <c r="AN135" i="18" s="1"/>
  <c r="AN134" i="18"/>
  <c r="S57" i="13"/>
  <c r="AT50" i="22"/>
  <c r="AQ51" i="22"/>
  <c r="AT51" i="22" s="1"/>
  <c r="BD119" i="18"/>
  <c r="R106" i="9"/>
  <c r="AW85" i="20"/>
  <c r="AH169" i="18"/>
  <c r="BB182" i="18"/>
  <c r="AG183" i="18"/>
  <c r="BJ20" i="15"/>
  <c r="S146" i="11"/>
  <c r="Y133" i="19"/>
  <c r="V26" i="10"/>
  <c r="U27" i="10"/>
  <c r="V27" i="10" s="1"/>
  <c r="AH99" i="18"/>
  <c r="AO183" i="14"/>
  <c r="AR182" i="14"/>
  <c r="AY182" i="14"/>
  <c r="AB378" i="11"/>
  <c r="AB330" i="11" s="1"/>
  <c r="AB185" i="4" s="1"/>
  <c r="AB111" i="11"/>
  <c r="AC111" i="11" s="1"/>
  <c r="S75" i="4"/>
  <c r="Z111" i="20"/>
  <c r="AU110" i="20"/>
  <c r="AG110" i="16"/>
  <c r="AH109" i="16"/>
  <c r="AA124" i="15"/>
  <c r="AB156" i="15"/>
  <c r="U170" i="26"/>
  <c r="V169" i="26"/>
  <c r="W169" i="26" s="1"/>
  <c r="AL87" i="22"/>
  <c r="AT73" i="22"/>
  <c r="AQ74" i="22"/>
  <c r="AV96" i="14"/>
  <c r="AS97" i="14"/>
  <c r="AK98" i="22"/>
  <c r="AL97" i="22"/>
  <c r="AV97" i="22"/>
  <c r="V8" i="25"/>
  <c r="V11" i="23"/>
  <c r="V36" i="6"/>
  <c r="AR61" i="16"/>
  <c r="AT60" i="16"/>
  <c r="BA60" i="16" s="1"/>
  <c r="U90" i="4"/>
  <c r="AB98" i="20"/>
  <c r="AD97" i="20"/>
  <c r="AS97" i="20"/>
  <c r="AG170" i="20"/>
  <c r="AF171" i="20"/>
  <c r="AG171" i="20" s="1"/>
  <c r="AI49" i="18"/>
  <c r="AK48" i="18"/>
  <c r="AM111" i="18"/>
  <c r="AN111" i="18" s="1"/>
  <c r="AN110" i="18"/>
  <c r="U89" i="4"/>
  <c r="AL145" i="22"/>
  <c r="AY60" i="20"/>
  <c r="AR144" i="14"/>
  <c r="AO145" i="14"/>
  <c r="AY144" i="14"/>
  <c r="BB144" i="14" s="1"/>
  <c r="AS135" i="18"/>
  <c r="AF50" i="20"/>
  <c r="AG49" i="20"/>
  <c r="U105" i="3"/>
  <c r="J363" i="4"/>
  <c r="J393" i="4"/>
  <c r="AJ306" i="15"/>
  <c r="AL306" i="15" s="1"/>
  <c r="AM158" i="16"/>
  <c r="AN157" i="16"/>
  <c r="Q206" i="17"/>
  <c r="Q190" i="17" s="1"/>
  <c r="BC208" i="15"/>
  <c r="Q192" i="15"/>
  <c r="BC192" i="15" s="1"/>
  <c r="V65" i="11"/>
  <c r="T245" i="13"/>
  <c r="T117" i="4"/>
  <c r="T150" i="4" s="1"/>
  <c r="AX123" i="20"/>
  <c r="AS37" i="20"/>
  <c r="W9" i="7"/>
  <c r="AM147" i="14"/>
  <c r="BA147" i="14" s="1"/>
  <c r="BA146" i="14"/>
  <c r="AB379" i="11"/>
  <c r="U85" i="24"/>
  <c r="V84" i="24"/>
  <c r="AG13" i="20"/>
  <c r="AF14" i="20"/>
  <c r="AU14" i="20" s="1"/>
  <c r="AW182" i="16"/>
  <c r="AV183" i="16"/>
  <c r="AW183" i="16" s="1"/>
  <c r="BA134" i="11"/>
  <c r="W8" i="25"/>
  <c r="W11" i="23"/>
  <c r="W36" i="6"/>
  <c r="U111" i="3"/>
  <c r="AL146" i="20"/>
  <c r="AO145" i="20"/>
  <c r="AS145" i="20"/>
  <c r="V158" i="8"/>
  <c r="U159" i="8"/>
  <c r="V159" i="8" s="1"/>
  <c r="AW13" i="18"/>
  <c r="AV14" i="18"/>
  <c r="Y298" i="3"/>
  <c r="Y234" i="3"/>
  <c r="AK63" i="14"/>
  <c r="AR3" i="25"/>
  <c r="Q13" i="25"/>
  <c r="V14" i="10"/>
  <c r="U15" i="10"/>
  <c r="V15" i="10" s="1"/>
  <c r="AB98" i="8"/>
  <c r="AA99" i="8"/>
  <c r="AB99" i="8" s="1"/>
  <c r="S14" i="8"/>
  <c r="R15" i="8"/>
  <c r="S15" i="8" s="1"/>
  <c r="AZ72" i="20"/>
  <c r="W38" i="8"/>
  <c r="Y37" i="8"/>
  <c r="AC37" i="8" s="1"/>
  <c r="AD49" i="8" s="1"/>
  <c r="AF36" i="4"/>
  <c r="AA86" i="8"/>
  <c r="AB85" i="8"/>
  <c r="AB50" i="10"/>
  <c r="AA51" i="10"/>
  <c r="AB51" i="10" s="1"/>
  <c r="AS134" i="14"/>
  <c r="AV133" i="14"/>
  <c r="AW108" i="20"/>
  <c r="AV108" i="20"/>
  <c r="AA42" i="4"/>
  <c r="AA60" i="11"/>
  <c r="AB108" i="11"/>
  <c r="AO62" i="14"/>
  <c r="AR61" i="14"/>
  <c r="AO98" i="14"/>
  <c r="AR97" i="14"/>
  <c r="AN182" i="18"/>
  <c r="AM183" i="18"/>
  <c r="AN183" i="18" s="1"/>
  <c r="V60" i="26"/>
  <c r="W60" i="26" s="1"/>
  <c r="U61" i="26"/>
  <c r="R139" i="3"/>
  <c r="R122" i="13"/>
  <c r="R42" i="13" s="1"/>
  <c r="AR156" i="14"/>
  <c r="AO157" i="14"/>
  <c r="Z333" i="19"/>
  <c r="T3" i="25"/>
  <c r="T13" i="25" s="1"/>
  <c r="T4" i="23"/>
  <c r="T5" i="23" s="1"/>
  <c r="T81" i="23" s="1"/>
  <c r="T35" i="6"/>
  <c r="T34" i="6" s="1"/>
  <c r="AT133" i="20"/>
  <c r="AI134" i="20"/>
  <c r="AK133" i="20"/>
  <c r="T146" i="10"/>
  <c r="V145" i="10"/>
  <c r="AC145" i="10" s="1"/>
  <c r="AA159" i="20"/>
  <c r="BC62" i="15"/>
  <c r="U87" i="4"/>
  <c r="Q37" i="5"/>
  <c r="Q204" i="17"/>
  <c r="Q188" i="17" s="1"/>
  <c r="BC206" i="15"/>
  <c r="Q190" i="15"/>
  <c r="BC190" i="15" s="1"/>
  <c r="AZ37" i="14"/>
  <c r="AL38" i="14"/>
  <c r="S3" i="25"/>
  <c r="S13" i="25" s="1"/>
  <c r="S4" i="23"/>
  <c r="S5" i="23" s="1"/>
  <c r="S81" i="23" s="1"/>
  <c r="S35" i="6"/>
  <c r="S34" i="6" s="1"/>
  <c r="X181" i="26"/>
  <c r="S77" i="4"/>
  <c r="F363" i="4"/>
  <c r="F393" i="4"/>
  <c r="AW133" i="14"/>
  <c r="AX132" i="14"/>
  <c r="S334" i="17"/>
  <c r="S301" i="17" s="1"/>
  <c r="S285" i="17" s="1"/>
  <c r="S288" i="15"/>
  <c r="AN122" i="16"/>
  <c r="AM123" i="16"/>
  <c r="AN123" i="16" s="1"/>
  <c r="Q143" i="3"/>
  <c r="Q126" i="13"/>
  <c r="Q46" i="13" s="1"/>
  <c r="AM110" i="14"/>
  <c r="BA109" i="14"/>
  <c r="G363" i="4"/>
  <c r="G393" i="4"/>
  <c r="AX98" i="18"/>
  <c r="AZ97" i="18"/>
  <c r="Q372" i="15"/>
  <c r="BC23" i="15"/>
  <c r="Q38" i="15"/>
  <c r="W7" i="11"/>
  <c r="W20" i="6" s="1"/>
  <c r="F331" i="4"/>
  <c r="F316" i="4"/>
  <c r="AT38" i="20"/>
  <c r="AX38" i="20" s="1"/>
  <c r="AI39" i="20"/>
  <c r="AK38" i="20"/>
  <c r="AY84" i="14"/>
  <c r="BB84" i="14" s="1"/>
  <c r="Q157" i="26"/>
  <c r="S156" i="26"/>
  <c r="X92" i="5"/>
  <c r="Q68" i="7"/>
  <c r="S159" i="7"/>
  <c r="T159" i="7" s="1"/>
  <c r="R37" i="5"/>
  <c r="BB157" i="18"/>
  <c r="AH157" i="18"/>
  <c r="AG158" i="18"/>
  <c r="AC331" i="19"/>
  <c r="X8" i="15"/>
  <c r="BQ8" i="15" s="1"/>
  <c r="BQ7" i="15"/>
  <c r="X10" i="15"/>
  <c r="BQ10" i="15" s="1"/>
  <c r="U26" i="24"/>
  <c r="V25" i="24"/>
  <c r="AU73" i="22"/>
  <c r="AJ74" i="22"/>
  <c r="AL73" i="22"/>
  <c r="T227" i="13"/>
  <c r="T197" i="11"/>
  <c r="AD26" i="22"/>
  <c r="AE25" i="22"/>
  <c r="AT98" i="16"/>
  <c r="AS99" i="16"/>
  <c r="AT99" i="16" s="1"/>
  <c r="AC130" i="19"/>
  <c r="AT133" i="22"/>
  <c r="AW133" i="22" s="1"/>
  <c r="AQ134" i="22"/>
  <c r="AS133" i="22"/>
  <c r="AF146" i="18"/>
  <c r="AH146" i="18" s="1"/>
  <c r="BA145" i="18"/>
  <c r="BC145" i="18" s="1"/>
  <c r="R109" i="7"/>
  <c r="AH170" i="18"/>
  <c r="AG171" i="18"/>
  <c r="BB170" i="18"/>
  <c r="BB181" i="18"/>
  <c r="W96" i="5"/>
  <c r="AA123" i="22"/>
  <c r="AB123" i="22" s="1"/>
  <c r="AB122" i="22"/>
  <c r="AG182" i="22"/>
  <c r="AH181" i="22"/>
  <c r="AR133" i="18"/>
  <c r="AT132" i="18"/>
  <c r="AA109" i="20"/>
  <c r="AC304" i="15"/>
  <c r="S59" i="5"/>
  <c r="S148" i="4"/>
  <c r="AS121" i="22"/>
  <c r="BE154" i="14"/>
  <c r="AI323" i="19"/>
  <c r="W107" i="26"/>
  <c r="AS147" i="22"/>
  <c r="AI61" i="18"/>
  <c r="AK60" i="18"/>
  <c r="BA60" i="18"/>
  <c r="BC60" i="18" s="1"/>
  <c r="BD72" i="18" s="1"/>
  <c r="AN98" i="20"/>
  <c r="AU98" i="20" s="1"/>
  <c r="AY98" i="20" s="1"/>
  <c r="AO97" i="20"/>
  <c r="AD108" i="8"/>
  <c r="V6" i="7"/>
  <c r="Y14" i="10"/>
  <c r="AC14" i="10" s="1"/>
  <c r="X15" i="10"/>
  <c r="Y15" i="10" s="1"/>
  <c r="AC15" i="10" s="1"/>
  <c r="T13" i="15"/>
  <c r="BI13" i="15" s="1"/>
  <c r="AM182" i="14"/>
  <c r="BA181" i="14"/>
  <c r="AN181" i="14"/>
  <c r="U107" i="3"/>
  <c r="AV168" i="14"/>
  <c r="AS169" i="14"/>
  <c r="AX182" i="16"/>
  <c r="AZ181" i="16"/>
  <c r="AK181" i="16"/>
  <c r="AJ182" i="16"/>
  <c r="X159" i="10"/>
  <c r="Y159" i="10" s="1"/>
  <c r="Y158" i="10"/>
  <c r="AA326" i="19"/>
  <c r="AB342" i="19"/>
  <c r="AC342" i="19"/>
  <c r="AD342" i="19"/>
  <c r="AI412" i="3"/>
  <c r="X293" i="3"/>
  <c r="X229" i="3"/>
  <c r="U106" i="3"/>
  <c r="AK147" i="22"/>
  <c r="AU61" i="20"/>
  <c r="Z62" i="20"/>
  <c r="AA61" i="20"/>
  <c r="AS73" i="22"/>
  <c r="AV73" i="22"/>
  <c r="AR74" i="22"/>
  <c r="AL121" i="22"/>
  <c r="AK122" i="22"/>
  <c r="R114" i="19"/>
  <c r="R119" i="19"/>
  <c r="R118" i="19"/>
  <c r="R117" i="19"/>
  <c r="R116" i="19"/>
  <c r="R122" i="19"/>
  <c r="R121" i="19"/>
  <c r="R113" i="19"/>
  <c r="R115" i="19"/>
  <c r="R123" i="19"/>
  <c r="R120" i="19"/>
  <c r="Q207" i="17"/>
  <c r="Q191" i="17" s="1"/>
  <c r="BC209" i="15"/>
  <c r="Q193" i="15"/>
  <c r="BC193" i="15" s="1"/>
  <c r="T252" i="13"/>
  <c r="T124" i="4"/>
  <c r="AX122" i="20"/>
  <c r="AS38" i="20"/>
  <c r="Y39" i="20"/>
  <c r="AQ99" i="22"/>
  <c r="AT98" i="22"/>
  <c r="AS98" i="22"/>
  <c r="AE110" i="22"/>
  <c r="AD111" i="22"/>
  <c r="AE111" i="22" s="1"/>
  <c r="V158" i="10"/>
  <c r="U159" i="10"/>
  <c r="V159" i="10" s="1"/>
  <c r="W83" i="24"/>
  <c r="AW132" i="20"/>
  <c r="AV132" i="20"/>
  <c r="AZ132" i="20" s="1"/>
  <c r="W3" i="23"/>
  <c r="Q153" i="3"/>
  <c r="Q201" i="3"/>
  <c r="Q89" i="3"/>
  <c r="AD130" i="15"/>
  <c r="AD114" i="15" s="1"/>
  <c r="AL339" i="19"/>
  <c r="AN339" i="19" s="1"/>
  <c r="AN323" i="19" s="1"/>
  <c r="AX85" i="20"/>
  <c r="AP183" i="18"/>
  <c r="AQ183" i="18" s="1"/>
  <c r="AQ182" i="18"/>
  <c r="AG330" i="19"/>
  <c r="V48" i="26"/>
  <c r="U49" i="26"/>
  <c r="AG158" i="22"/>
  <c r="AH157" i="22"/>
  <c r="I363" i="4"/>
  <c r="I393" i="4"/>
  <c r="BA133" i="14"/>
  <c r="AM134" i="14"/>
  <c r="AC329" i="19"/>
  <c r="AD345" i="19"/>
  <c r="AE345" i="19"/>
  <c r="Q205" i="17"/>
  <c r="Q189" i="17" s="1"/>
  <c r="BC207" i="15"/>
  <c r="Q191" i="15"/>
  <c r="BC191" i="15" s="1"/>
  <c r="AJ98" i="22"/>
  <c r="AU97" i="22"/>
  <c r="AW97" i="22" s="1"/>
  <c r="T232" i="13"/>
  <c r="T202" i="11"/>
  <c r="T122" i="11" s="1"/>
  <c r="T42" i="11" s="1"/>
  <c r="AV146" i="16"/>
  <c r="AW145" i="16"/>
  <c r="AM38" i="14"/>
  <c r="BA37" i="14"/>
  <c r="R76" i="5"/>
  <c r="S212" i="15"/>
  <c r="BG12" i="15"/>
  <c r="R60" i="5"/>
  <c r="R77" i="5" s="1"/>
  <c r="R151" i="4"/>
  <c r="R107" i="9"/>
  <c r="X171" i="10"/>
  <c r="Y171" i="10" s="1"/>
  <c r="Y170" i="10"/>
  <c r="S118" i="11"/>
  <c r="BE132" i="14"/>
  <c r="E250" i="4"/>
  <c r="E265" i="4"/>
  <c r="AA58" i="11"/>
  <c r="AW169" i="22"/>
  <c r="AX169" i="22"/>
  <c r="AY133" i="14"/>
  <c r="BB133" i="14" s="1"/>
  <c r="AN133" i="14"/>
  <c r="AK134" i="14"/>
  <c r="N414" i="3"/>
  <c r="N429" i="3"/>
  <c r="Z179" i="24"/>
  <c r="X179" i="24"/>
  <c r="Q211" i="15"/>
  <c r="O364" i="3"/>
  <c r="O381" i="3" s="1"/>
  <c r="O349" i="3"/>
  <c r="AG348" i="3"/>
  <c r="AI348" i="3" s="1"/>
  <c r="AF348" i="3"/>
  <c r="AE348" i="3"/>
  <c r="AY176" i="12"/>
  <c r="AX177" i="12"/>
  <c r="AR157" i="16"/>
  <c r="AT156" i="16"/>
  <c r="BA156" i="16" s="1"/>
  <c r="AQ38" i="16"/>
  <c r="AP39" i="16"/>
  <c r="AQ39" i="16" s="1"/>
  <c r="T246" i="13"/>
  <c r="AV156" i="14"/>
  <c r="AS157" i="14"/>
  <c r="BE167" i="14"/>
  <c r="BC167" i="14"/>
  <c r="R112" i="9"/>
  <c r="AZ134" i="18"/>
  <c r="AX135" i="18"/>
  <c r="AZ135" i="18" s="1"/>
  <c r="AQ86" i="22"/>
  <c r="AT85" i="22"/>
  <c r="BI8" i="13"/>
  <c r="AD296" i="15"/>
  <c r="AM86" i="20"/>
  <c r="AO85" i="20"/>
  <c r="AW25" i="16"/>
  <c r="AV26" i="16"/>
  <c r="AJ15" i="16"/>
  <c r="AK15" i="16" s="1"/>
  <c r="AK14" i="16"/>
  <c r="AY133" i="20"/>
  <c r="U133" i="26"/>
  <c r="V132" i="26"/>
  <c r="W132" i="26" s="1"/>
  <c r="N315" i="4"/>
  <c r="N330" i="4"/>
  <c r="AQ170" i="18"/>
  <c r="AP171" i="18"/>
  <c r="AQ171" i="18" s="1"/>
  <c r="S170" i="26"/>
  <c r="R171" i="26"/>
  <c r="S171" i="26" s="1"/>
  <c r="AM147" i="16"/>
  <c r="AN147" i="16" s="1"/>
  <c r="AN146" i="16"/>
  <c r="AA374" i="11"/>
  <c r="AB374" i="11" s="1"/>
  <c r="O315" i="4"/>
  <c r="O330" i="4"/>
  <c r="T153" i="7"/>
  <c r="AE122" i="22"/>
  <c r="AD123" i="22"/>
  <c r="AE123" i="22" s="1"/>
  <c r="BK11" i="15"/>
  <c r="U12" i="15"/>
  <c r="U13" i="15" s="1"/>
  <c r="BK13" i="15" s="1"/>
  <c r="U25" i="6"/>
  <c r="V11" i="15"/>
  <c r="W11" i="15" s="1"/>
  <c r="AJ159" i="20"/>
  <c r="AK159" i="20" s="1"/>
  <c r="AK158" i="20"/>
  <c r="AT86" i="20"/>
  <c r="AI87" i="20"/>
  <c r="AT87" i="20" s="1"/>
  <c r="Q64" i="9"/>
  <c r="Q48" i="9" s="1"/>
  <c r="BT64" i="7"/>
  <c r="Q48" i="7"/>
  <c r="X193" i="11"/>
  <c r="X14" i="1"/>
  <c r="X11" i="1" s="1"/>
  <c r="X8" i="11"/>
  <c r="AV144" i="20"/>
  <c r="AW144" i="20"/>
  <c r="AW156" i="20"/>
  <c r="AK14" i="18"/>
  <c r="AJ15" i="18"/>
  <c r="AK15" i="18" s="1"/>
  <c r="T237" i="13"/>
  <c r="T207" i="11"/>
  <c r="T127" i="11" s="1"/>
  <c r="T47" i="11" s="1"/>
  <c r="AO51" i="22"/>
  <c r="AP51" i="22" s="1"/>
  <c r="AP50" i="22"/>
  <c r="AX84" i="20"/>
  <c r="AH346" i="19"/>
  <c r="AI346" i="19" s="1"/>
  <c r="S98" i="26"/>
  <c r="R99" i="26"/>
  <c r="S99" i="26" s="1"/>
  <c r="Q158" i="3"/>
  <c r="Q206" i="3"/>
  <c r="Q94" i="3"/>
  <c r="AW132" i="22"/>
  <c r="BA144" i="18"/>
  <c r="BC144" i="18" s="1"/>
  <c r="BD156" i="18" s="1"/>
  <c r="AR121" i="18"/>
  <c r="AT120" i="18"/>
  <c r="BA120" i="18"/>
  <c r="BC120" i="18" s="1"/>
  <c r="BD120" i="18" s="1"/>
  <c r="R110" i="9"/>
  <c r="Y46" i="4"/>
  <c r="AK170" i="20"/>
  <c r="AJ171" i="20"/>
  <c r="AZ181" i="18"/>
  <c r="AX182" i="18"/>
  <c r="AV4" i="23"/>
  <c r="Q5" i="23"/>
  <c r="Q390" i="19"/>
  <c r="Q408" i="19"/>
  <c r="J265" i="4"/>
  <c r="AY109" i="20"/>
  <c r="BE59" i="14"/>
  <c r="BC59" i="14"/>
  <c r="AD49" i="20"/>
  <c r="AC50" i="20"/>
  <c r="AU49" i="20"/>
  <c r="AY49" i="20" s="1"/>
  <c r="AR123" i="22"/>
  <c r="AS122" i="22"/>
  <c r="AV122" i="22"/>
  <c r="AP63" i="20"/>
  <c r="AR63" i="20" s="1"/>
  <c r="AR62" i="20"/>
  <c r="V108" i="26"/>
  <c r="U109" i="26"/>
  <c r="AV146" i="22"/>
  <c r="AA38" i="4"/>
  <c r="X75" i="8"/>
  <c r="Y75" i="8" s="1"/>
  <c r="Y74" i="8"/>
  <c r="AN74" i="16"/>
  <c r="AM75" i="16"/>
  <c r="AN75" i="16" s="1"/>
  <c r="AP123" i="18"/>
  <c r="AQ123" i="18" s="1"/>
  <c r="AQ122" i="18"/>
  <c r="Q40" i="17"/>
  <c r="S114" i="7"/>
  <c r="M282" i="4"/>
  <c r="AV121" i="14"/>
  <c r="AS122" i="14"/>
  <c r="AC157" i="10"/>
  <c r="W24" i="26"/>
  <c r="AO110" i="22"/>
  <c r="AP109" i="22"/>
  <c r="V96" i="24"/>
  <c r="W96" i="24" s="1"/>
  <c r="U97" i="24"/>
  <c r="D265" i="4"/>
  <c r="D282" i="4" s="1"/>
  <c r="D250" i="4"/>
  <c r="AR38" i="22"/>
  <c r="AV37" i="22"/>
  <c r="AW37" i="22" s="1"/>
  <c r="AS37" i="22"/>
  <c r="X43" i="4"/>
  <c r="X21" i="5" s="1"/>
  <c r="X61" i="11"/>
  <c r="Z109" i="11"/>
  <c r="AA109" i="11" s="1"/>
  <c r="AA15" i="7"/>
  <c r="S169" i="7"/>
  <c r="S169" i="9" s="1"/>
  <c r="AV27" i="18"/>
  <c r="AW27" i="18" s="1"/>
  <c r="AW26" i="18"/>
  <c r="AF50" i="18"/>
  <c r="BA49" i="18"/>
  <c r="BC49" i="18" s="1"/>
  <c r="R30" i="19"/>
  <c r="R371" i="19"/>
  <c r="R31" i="6"/>
  <c r="Q157" i="3"/>
  <c r="Q205" i="3"/>
  <c r="Q93" i="3"/>
  <c r="Q208" i="17"/>
  <c r="Q192" i="17" s="1"/>
  <c r="Q194" i="15"/>
  <c r="BC194" i="15" s="1"/>
  <c r="BC210" i="15"/>
  <c r="AA27" i="8"/>
  <c r="AB27" i="8" s="1"/>
  <c r="AB26" i="8"/>
  <c r="T253" i="13"/>
  <c r="T125" i="4"/>
  <c r="T158" i="4" s="1"/>
  <c r="V96" i="5"/>
  <c r="V182" i="10"/>
  <c r="U183" i="10"/>
  <c r="V183" i="10" s="1"/>
  <c r="Y134" i="20"/>
  <c r="AS133" i="20"/>
  <c r="AI306" i="15"/>
  <c r="AK306" i="15" s="1"/>
  <c r="AE162" i="15"/>
  <c r="AB130" i="19"/>
  <c r="AC31" i="11" l="1"/>
  <c r="AC32" i="11" s="1"/>
  <c r="AC32" i="15"/>
  <c r="AC13" i="2"/>
  <c r="AC14" i="2" s="1"/>
  <c r="AC15" i="2"/>
  <c r="AC43" i="6"/>
  <c r="AC71" i="11"/>
  <c r="AC78" i="11"/>
  <c r="AC76" i="11"/>
  <c r="AC79" i="11"/>
  <c r="AD30" i="11"/>
  <c r="AD29" i="13"/>
  <c r="AA381" i="11"/>
  <c r="Z220" i="4"/>
  <c r="Z110" i="5" s="1"/>
  <c r="Z333" i="11"/>
  <c r="Z188" i="4" s="1"/>
  <c r="AG36" i="4"/>
  <c r="AH102" i="11"/>
  <c r="AI102" i="11" s="1"/>
  <c r="R138" i="9"/>
  <c r="AA112" i="11"/>
  <c r="U14" i="6"/>
  <c r="Y223" i="4"/>
  <c r="Y111" i="5" s="1"/>
  <c r="Z234" i="3"/>
  <c r="AE110" i="11"/>
  <c r="AF110" i="11" s="1"/>
  <c r="S170" i="7"/>
  <c r="S170" i="9" s="1"/>
  <c r="AB107" i="11"/>
  <c r="AB112" i="11" s="1"/>
  <c r="Z384" i="11"/>
  <c r="Z223" i="4" s="1"/>
  <c r="Z111" i="5" s="1"/>
  <c r="AD44" i="4"/>
  <c r="S255" i="13"/>
  <c r="S15" i="13" s="1"/>
  <c r="BK15" i="13" s="1"/>
  <c r="S337" i="17"/>
  <c r="S304" i="17" s="1"/>
  <c r="S288" i="17" s="1"/>
  <c r="X132" i="15"/>
  <c r="X51" i="6" s="1"/>
  <c r="R97" i="7"/>
  <c r="X12" i="7"/>
  <c r="Y12" i="7" s="1"/>
  <c r="Y13" i="7" s="1"/>
  <c r="X116" i="15"/>
  <c r="S113" i="7"/>
  <c r="S113" i="9" s="1"/>
  <c r="R94" i="9"/>
  <c r="BC182" i="11"/>
  <c r="R97" i="9"/>
  <c r="S123" i="7"/>
  <c r="S123" i="9" s="1"/>
  <c r="R94" i="7"/>
  <c r="R91" i="7"/>
  <c r="AC120" i="15"/>
  <c r="AC104" i="15" s="1"/>
  <c r="AD152" i="15"/>
  <c r="Z127" i="15"/>
  <c r="Z111" i="15" s="1"/>
  <c r="R91" i="9"/>
  <c r="R164" i="7"/>
  <c r="R164" i="9" s="1"/>
  <c r="Q97" i="9"/>
  <c r="W17" i="6"/>
  <c r="AB72" i="11"/>
  <c r="AC72" i="11" s="1"/>
  <c r="Q164" i="9"/>
  <c r="Q165" i="9" s="1"/>
  <c r="Q10" i="9" s="1"/>
  <c r="U14" i="7"/>
  <c r="U229" i="7" s="1"/>
  <c r="S126" i="7"/>
  <c r="S126" i="9" s="1"/>
  <c r="R98" i="7"/>
  <c r="Y116" i="15"/>
  <c r="AJ11" i="11"/>
  <c r="Y65" i="11"/>
  <c r="T196" i="13"/>
  <c r="AI37" i="4"/>
  <c r="AZ198" i="11"/>
  <c r="AE104" i="11"/>
  <c r="R93" i="3"/>
  <c r="R157" i="3"/>
  <c r="R205" i="3"/>
  <c r="AE40" i="4"/>
  <c r="AG106" i="11"/>
  <c r="Y27" i="11"/>
  <c r="Y31" i="13" s="1"/>
  <c r="S202" i="3"/>
  <c r="S121" i="13"/>
  <c r="S41" i="13" s="1"/>
  <c r="AL103" i="11"/>
  <c r="AM103" i="11" s="1"/>
  <c r="AM37" i="4" s="1"/>
  <c r="S198" i="13"/>
  <c r="S207" i="13" s="1"/>
  <c r="S127" i="4"/>
  <c r="S128" i="4" s="1"/>
  <c r="S90" i="3"/>
  <c r="S129" i="11"/>
  <c r="X208" i="4"/>
  <c r="S120" i="13"/>
  <c r="S40" i="13" s="1"/>
  <c r="U256" i="11"/>
  <c r="U208" i="11" s="1"/>
  <c r="U128" i="11" s="1"/>
  <c r="U48" i="11" s="1"/>
  <c r="T77" i="4"/>
  <c r="Q49" i="11"/>
  <c r="AJ37" i="4"/>
  <c r="AY118" i="11"/>
  <c r="AJ102" i="11"/>
  <c r="AJ36" i="4" s="1"/>
  <c r="AK102" i="11"/>
  <c r="V165" i="7"/>
  <c r="V11" i="7"/>
  <c r="V181" i="7" s="1"/>
  <c r="S155" i="7"/>
  <c r="S155" i="9" s="1"/>
  <c r="S125" i="7"/>
  <c r="S125" i="9" s="1"/>
  <c r="S119" i="13"/>
  <c r="S39" i="13" s="1"/>
  <c r="R255" i="13"/>
  <c r="R15" i="13" s="1"/>
  <c r="BJ15" i="13" s="1"/>
  <c r="S141" i="3"/>
  <c r="S124" i="13"/>
  <c r="S44" i="13" s="1"/>
  <c r="T117" i="7"/>
  <c r="T114" i="7" s="1"/>
  <c r="U114" i="7" s="1"/>
  <c r="T8" i="7"/>
  <c r="T133" i="7" s="1"/>
  <c r="S130" i="7"/>
  <c r="S130" i="9" s="1"/>
  <c r="R67" i="15"/>
  <c r="R68" i="15" s="1"/>
  <c r="BT132" i="7"/>
  <c r="Z294" i="3"/>
  <c r="Z93" i="5"/>
  <c r="R156" i="3"/>
  <c r="R204" i="3"/>
  <c r="R92" i="3"/>
  <c r="S112" i="7"/>
  <c r="S112" i="9" s="1"/>
  <c r="S108" i="7"/>
  <c r="S108" i="9" s="1"/>
  <c r="S111" i="7"/>
  <c r="S111" i="9" s="1"/>
  <c r="S107" i="7"/>
  <c r="S107" i="9" s="1"/>
  <c r="S91" i="9" s="1"/>
  <c r="S115" i="7"/>
  <c r="S115" i="9" s="1"/>
  <c r="AA159" i="15"/>
  <c r="AA127" i="15" s="1"/>
  <c r="AA111" i="15" s="1"/>
  <c r="S110" i="7"/>
  <c r="S110" i="9" s="1"/>
  <c r="S209" i="11"/>
  <c r="S48" i="6" s="1"/>
  <c r="S68" i="6" s="1"/>
  <c r="T62" i="5"/>
  <c r="T79" i="5" s="1"/>
  <c r="U13" i="6"/>
  <c r="AB109" i="11"/>
  <c r="AB61" i="11" s="1"/>
  <c r="S116" i="13"/>
  <c r="S36" i="13" s="1"/>
  <c r="T69" i="4"/>
  <c r="T35" i="5" s="1"/>
  <c r="Q92" i="9"/>
  <c r="S152" i="3"/>
  <c r="S200" i="3"/>
  <c r="Q93" i="9"/>
  <c r="T169" i="7"/>
  <c r="T169" i="9" s="1"/>
  <c r="R338" i="17"/>
  <c r="R20" i="17" s="1"/>
  <c r="S197" i="3"/>
  <c r="AC126" i="15"/>
  <c r="AC110" i="15" s="1"/>
  <c r="AD158" i="15"/>
  <c r="S83" i="15"/>
  <c r="S67" i="15" s="1"/>
  <c r="T72" i="4"/>
  <c r="Z236" i="3"/>
  <c r="T63" i="7"/>
  <c r="T63" i="9" s="1"/>
  <c r="T47" i="9" s="1"/>
  <c r="AD121" i="15"/>
  <c r="AD105" i="15" s="1"/>
  <c r="AE153" i="15"/>
  <c r="AE121" i="15" s="1"/>
  <c r="AE105" i="15" s="1"/>
  <c r="AF153" i="15"/>
  <c r="AF121" i="15" s="1"/>
  <c r="AF105" i="15" s="1"/>
  <c r="T200" i="13"/>
  <c r="S88" i="3"/>
  <c r="Q132" i="9"/>
  <c r="Q133" i="9" s="1"/>
  <c r="Q8" i="9" s="1"/>
  <c r="T205" i="13"/>
  <c r="T142" i="3" s="1"/>
  <c r="S129" i="7"/>
  <c r="S129" i="9" s="1"/>
  <c r="S97" i="9" s="1"/>
  <c r="S130" i="11"/>
  <c r="S158" i="7"/>
  <c r="T158" i="7" s="1"/>
  <c r="T158" i="9" s="1"/>
  <c r="S105" i="7"/>
  <c r="S105" i="9" s="1"/>
  <c r="T197" i="13"/>
  <c r="T134" i="3" s="1"/>
  <c r="T198" i="3" s="1"/>
  <c r="S139" i="3"/>
  <c r="S122" i="13"/>
  <c r="S42" i="13" s="1"/>
  <c r="S85" i="3"/>
  <c r="T71" i="4"/>
  <c r="Y47" i="4"/>
  <c r="S78" i="4"/>
  <c r="S79" i="4" s="1"/>
  <c r="R132" i="7"/>
  <c r="R132" i="9" s="1"/>
  <c r="S66" i="7"/>
  <c r="T66" i="7" s="1"/>
  <c r="S153" i="3"/>
  <c r="S201" i="3"/>
  <c r="AE299" i="15"/>
  <c r="AH132" i="19"/>
  <c r="Z8" i="23"/>
  <c r="Z3" i="23" s="1"/>
  <c r="Z7" i="6"/>
  <c r="AA13" i="23"/>
  <c r="S36" i="5"/>
  <c r="AM138" i="19"/>
  <c r="R82" i="25"/>
  <c r="R66" i="25" s="1"/>
  <c r="R50" i="25" s="1"/>
  <c r="R64" i="23"/>
  <c r="R48" i="23" s="1"/>
  <c r="AC328" i="19"/>
  <c r="AF344" i="19"/>
  <c r="BB156" i="16"/>
  <c r="BB168" i="16"/>
  <c r="AB403" i="13"/>
  <c r="AB212" i="4"/>
  <c r="AB325" i="11"/>
  <c r="AF331" i="19"/>
  <c r="AG347" i="19"/>
  <c r="BM49" i="11"/>
  <c r="Q50" i="11"/>
  <c r="S64" i="9"/>
  <c r="S48" i="9" s="1"/>
  <c r="S48" i="7"/>
  <c r="AF44" i="4"/>
  <c r="AG110" i="11"/>
  <c r="AH110" i="11" s="1"/>
  <c r="U82" i="25"/>
  <c r="U66" i="25" s="1"/>
  <c r="U50" i="25" s="1"/>
  <c r="U64" i="23"/>
  <c r="U48" i="23" s="1"/>
  <c r="S60" i="9"/>
  <c r="S44" i="9" s="1"/>
  <c r="S44" i="7"/>
  <c r="X3" i="25"/>
  <c r="X4" i="23"/>
  <c r="X5" i="23" s="1"/>
  <c r="X81" i="23" s="1"/>
  <c r="X35" i="6"/>
  <c r="T156" i="9"/>
  <c r="AC133" i="19"/>
  <c r="BD169" i="16"/>
  <c r="BQ167" i="12" s="1"/>
  <c r="BG167" i="12" s="1"/>
  <c r="T163" i="9"/>
  <c r="AI330" i="19"/>
  <c r="AK346" i="19"/>
  <c r="T154" i="9"/>
  <c r="AA46" i="4"/>
  <c r="AR110" i="16"/>
  <c r="AT109" i="16"/>
  <c r="BA109" i="16" s="1"/>
  <c r="R74" i="25"/>
  <c r="R58" i="25" s="1"/>
  <c r="R42" i="25" s="1"/>
  <c r="R26" i="25" s="1"/>
  <c r="R56" i="23"/>
  <c r="R40" i="23" s="1"/>
  <c r="R24" i="23" s="1"/>
  <c r="T71" i="3"/>
  <c r="AD135" i="22"/>
  <c r="AE135" i="22" s="1"/>
  <c r="AE134" i="22"/>
  <c r="AV146" i="14"/>
  <c r="AS147" i="14"/>
  <c r="AV147" i="14" s="1"/>
  <c r="S66" i="15"/>
  <c r="S80" i="17"/>
  <c r="S64" i="17" s="1"/>
  <c r="AA59" i="11"/>
  <c r="R78" i="25"/>
  <c r="R62" i="25" s="1"/>
  <c r="R46" i="25" s="1"/>
  <c r="R60" i="23"/>
  <c r="R44" i="23" s="1"/>
  <c r="T77" i="3"/>
  <c r="R170" i="25"/>
  <c r="R154" i="25" s="1"/>
  <c r="R122" i="25" s="1"/>
  <c r="R120" i="23"/>
  <c r="S72" i="17"/>
  <c r="S56" i="17" s="1"/>
  <c r="S58" i="15"/>
  <c r="BU7" i="15"/>
  <c r="Z8" i="15"/>
  <c r="BU8" i="15" s="1"/>
  <c r="Z10" i="15"/>
  <c r="BU10" i="15" s="1"/>
  <c r="S114" i="9"/>
  <c r="AY134" i="14"/>
  <c r="BB134" i="14" s="1"/>
  <c r="AK135" i="14"/>
  <c r="AN134" i="14"/>
  <c r="AT39" i="20"/>
  <c r="AK39" i="20"/>
  <c r="AX97" i="20"/>
  <c r="AX109" i="20"/>
  <c r="Y51" i="20"/>
  <c r="AS50" i="20"/>
  <c r="AA50" i="20"/>
  <c r="Z180" i="4"/>
  <c r="W137" i="11"/>
  <c r="T74" i="23"/>
  <c r="T71" i="23"/>
  <c r="T78" i="23"/>
  <c r="T73" i="23"/>
  <c r="T79" i="23"/>
  <c r="T75" i="23"/>
  <c r="T77" i="23"/>
  <c r="T70" i="23"/>
  <c r="T72" i="23"/>
  <c r="T69" i="23"/>
  <c r="T76" i="23"/>
  <c r="R58" i="23"/>
  <c r="R42" i="23" s="1"/>
  <c r="R76" i="25"/>
  <c r="R60" i="25" s="1"/>
  <c r="R44" i="25" s="1"/>
  <c r="AO86" i="14"/>
  <c r="AR85" i="14"/>
  <c r="V91" i="4"/>
  <c r="AA39" i="20"/>
  <c r="G494" i="3"/>
  <c r="G463" i="3"/>
  <c r="R77" i="25"/>
  <c r="R61" i="25" s="1"/>
  <c r="R45" i="25" s="1"/>
  <c r="R29" i="25" s="1"/>
  <c r="R59" i="23"/>
  <c r="R43" i="23" s="1"/>
  <c r="R27" i="23" s="1"/>
  <c r="AH50" i="18"/>
  <c r="BB50" i="18"/>
  <c r="AG51" i="18"/>
  <c r="AL123" i="20"/>
  <c r="AO122" i="20"/>
  <c r="AS122" i="20"/>
  <c r="C394" i="4"/>
  <c r="C364" i="4"/>
  <c r="V84" i="15"/>
  <c r="V3" i="15"/>
  <c r="BM4" i="15"/>
  <c r="W4" i="15"/>
  <c r="BE72" i="14"/>
  <c r="BC72" i="14"/>
  <c r="Q171" i="9"/>
  <c r="Q139" i="9" s="1"/>
  <c r="BT171" i="7"/>
  <c r="R171" i="7"/>
  <c r="M365" i="3"/>
  <c r="M350" i="3"/>
  <c r="V157" i="26"/>
  <c r="U158" i="26"/>
  <c r="S76" i="17"/>
  <c r="S60" i="17" s="1"/>
  <c r="S62" i="15"/>
  <c r="AK327" i="19"/>
  <c r="AI182" i="18"/>
  <c r="AK181" i="18"/>
  <c r="AN170" i="16"/>
  <c r="AM171" i="16"/>
  <c r="AN171" i="16" s="1"/>
  <c r="AP122" i="14"/>
  <c r="AZ121" i="14"/>
  <c r="AI36" i="4"/>
  <c r="W324" i="15"/>
  <c r="W18" i="15"/>
  <c r="AO158" i="14"/>
  <c r="AR157" i="14"/>
  <c r="AB409" i="13"/>
  <c r="AB218" i="4"/>
  <c r="AB331" i="11"/>
  <c r="AB186" i="4" s="1"/>
  <c r="AT122" i="22"/>
  <c r="AQ123" i="22"/>
  <c r="AT123" i="22" s="1"/>
  <c r="AI86" i="18"/>
  <c r="AK85" i="18"/>
  <c r="BA85" i="18"/>
  <c r="BC85" i="18" s="1"/>
  <c r="BD85" i="18" s="1"/>
  <c r="BA74" i="16"/>
  <c r="BC37" i="18"/>
  <c r="R81" i="25"/>
  <c r="R65" i="25" s="1"/>
  <c r="R49" i="25" s="1"/>
  <c r="R63" i="23"/>
  <c r="R47" i="23" s="1"/>
  <c r="AF299" i="15"/>
  <c r="AJ135" i="22"/>
  <c r="AU134" i="22"/>
  <c r="AL134" i="22"/>
  <c r="Q289" i="17"/>
  <c r="Q290" i="17" s="1"/>
  <c r="Q306" i="17"/>
  <c r="R175" i="25"/>
  <c r="R159" i="25" s="1"/>
  <c r="R127" i="25" s="1"/>
  <c r="R125" i="23"/>
  <c r="M381" i="3"/>
  <c r="J430" i="3"/>
  <c r="J415" i="3"/>
  <c r="AD414" i="3"/>
  <c r="AH414" i="3" s="1"/>
  <c r="BT46" i="7"/>
  <c r="BC187" i="15"/>
  <c r="AW158" i="22"/>
  <c r="BA158" i="22" s="1"/>
  <c r="AX158" i="22"/>
  <c r="AR50" i="16"/>
  <c r="AT49" i="16"/>
  <c r="BA49" i="16" s="1"/>
  <c r="U231" i="13"/>
  <c r="U201" i="11"/>
  <c r="U121" i="11" s="1"/>
  <c r="U41" i="11" s="1"/>
  <c r="I331" i="4"/>
  <c r="I316" i="4"/>
  <c r="BO11" i="15"/>
  <c r="W25" i="6"/>
  <c r="T160" i="9"/>
  <c r="U134" i="26"/>
  <c r="V133" i="26"/>
  <c r="AD329" i="19"/>
  <c r="AH137" i="19"/>
  <c r="AH347" i="19"/>
  <c r="AL343" i="19"/>
  <c r="F364" i="4"/>
  <c r="F394" i="4"/>
  <c r="AY110" i="20"/>
  <c r="AW121" i="22"/>
  <c r="AZ74" i="16"/>
  <c r="AX75" i="16"/>
  <c r="AZ75" i="16" s="1"/>
  <c r="R16" i="25"/>
  <c r="AS13" i="25"/>
  <c r="R6" i="2"/>
  <c r="T118" i="11"/>
  <c r="BA75" i="16"/>
  <c r="AC121" i="10"/>
  <c r="S134" i="3"/>
  <c r="S117" i="13"/>
  <c r="S37" i="13" s="1"/>
  <c r="AI39" i="18"/>
  <c r="BA39" i="18" s="1"/>
  <c r="BA38" i="18"/>
  <c r="BC38" i="18" s="1"/>
  <c r="BE108" i="14"/>
  <c r="BC108" i="14"/>
  <c r="AU122" i="22"/>
  <c r="AJ123" i="22"/>
  <c r="AU123" i="22" s="1"/>
  <c r="R79" i="25"/>
  <c r="R63" i="25" s="1"/>
  <c r="R47" i="25" s="1"/>
  <c r="R61" i="23"/>
  <c r="R45" i="23" s="1"/>
  <c r="BK3" i="15"/>
  <c r="U23" i="6"/>
  <c r="V169" i="24"/>
  <c r="W169" i="24" s="1"/>
  <c r="U170" i="24"/>
  <c r="BC156" i="14"/>
  <c r="AS7" i="21"/>
  <c r="Q6" i="21"/>
  <c r="R49" i="7"/>
  <c r="R65" i="9"/>
  <c r="R49" i="9" s="1"/>
  <c r="S65" i="7"/>
  <c r="T203" i="13"/>
  <c r="AI134" i="18"/>
  <c r="AK133" i="18"/>
  <c r="BA133" i="18"/>
  <c r="BC133" i="18" s="1"/>
  <c r="Z193" i="11"/>
  <c r="Z14" i="1"/>
  <c r="Z11" i="1" s="1"/>
  <c r="Z8" i="11"/>
  <c r="D464" i="3"/>
  <c r="I251" i="4"/>
  <c r="I266" i="4"/>
  <c r="I283" i="4" s="1"/>
  <c r="U80" i="25"/>
  <c r="U64" i="25" s="1"/>
  <c r="U48" i="25" s="1"/>
  <c r="U62" i="23"/>
  <c r="U46" i="23" s="1"/>
  <c r="AS62" i="20"/>
  <c r="Y63" i="20"/>
  <c r="Q96" i="9"/>
  <c r="AA335" i="11"/>
  <c r="AA190" i="4" s="1"/>
  <c r="AA206" i="4"/>
  <c r="T199" i="13"/>
  <c r="AH20" i="17"/>
  <c r="Q18" i="17"/>
  <c r="U243" i="13"/>
  <c r="U115" i="4"/>
  <c r="U67" i="4" s="1"/>
  <c r="AI38" i="16"/>
  <c r="AK37" i="16"/>
  <c r="BA37" i="16" s="1"/>
  <c r="AA348" i="11"/>
  <c r="AA352" i="11" s="1"/>
  <c r="T69" i="3"/>
  <c r="AT134" i="16"/>
  <c r="AS135" i="16"/>
  <c r="AT135" i="16" s="1"/>
  <c r="AZ62" i="18"/>
  <c r="AX63" i="18"/>
  <c r="AZ63" i="18" s="1"/>
  <c r="AH74" i="18"/>
  <c r="BB74" i="18"/>
  <c r="AG75" i="18"/>
  <c r="S47" i="5"/>
  <c r="AK111" i="22"/>
  <c r="AL111" i="22" s="1"/>
  <c r="AL110" i="22"/>
  <c r="R169" i="25"/>
  <c r="R153" i="25" s="1"/>
  <c r="R121" i="25" s="1"/>
  <c r="R119" i="23"/>
  <c r="Q172" i="9"/>
  <c r="Q140" i="9" s="1"/>
  <c r="BT172" i="7"/>
  <c r="R172" i="7"/>
  <c r="N365" i="3"/>
  <c r="N350" i="3"/>
  <c r="V26" i="8"/>
  <c r="U27" i="8"/>
  <c r="V27" i="8" s="1"/>
  <c r="AR86" i="16"/>
  <c r="AT85" i="16"/>
  <c r="BA85" i="16" s="1"/>
  <c r="AJ63" i="22"/>
  <c r="AU63" i="22" s="1"/>
  <c r="AU62" i="22"/>
  <c r="AW62" i="22" s="1"/>
  <c r="AS15" i="14"/>
  <c r="AV15" i="14" s="1"/>
  <c r="AV14" i="14"/>
  <c r="K267" i="4"/>
  <c r="K252" i="4"/>
  <c r="AI171" i="18"/>
  <c r="AK171" i="18" s="1"/>
  <c r="AK170" i="18"/>
  <c r="AZ50" i="16"/>
  <c r="AX51" i="16"/>
  <c r="AZ51" i="16" s="1"/>
  <c r="BL8" i="13"/>
  <c r="S140" i="3"/>
  <c r="S123" i="13"/>
  <c r="S43" i="13" s="1"/>
  <c r="AX159" i="22"/>
  <c r="U228" i="13"/>
  <c r="U198" i="11"/>
  <c r="AD340" i="19"/>
  <c r="AE340" i="19" s="1"/>
  <c r="AV63" i="22"/>
  <c r="AS63" i="22"/>
  <c r="S110" i="10"/>
  <c r="R111" i="10"/>
  <c r="S111" i="10" s="1"/>
  <c r="S161" i="9"/>
  <c r="AC193" i="11"/>
  <c r="AC14" i="1"/>
  <c r="AC11" i="1" s="1"/>
  <c r="AC8" i="11"/>
  <c r="AD307" i="15"/>
  <c r="N430" i="3"/>
  <c r="N415" i="3"/>
  <c r="AT99" i="22"/>
  <c r="AS99" i="22"/>
  <c r="S76" i="5"/>
  <c r="AZ182" i="22"/>
  <c r="BC157" i="14"/>
  <c r="K352" i="3"/>
  <c r="AR26" i="16"/>
  <c r="AT25" i="16"/>
  <c r="BA50" i="18"/>
  <c r="BC50" i="18" s="1"/>
  <c r="AF51" i="18"/>
  <c r="AD123" i="15"/>
  <c r="AD107" i="15" s="1"/>
  <c r="AE155" i="15"/>
  <c r="BA74" i="18"/>
  <c r="AF75" i="18"/>
  <c r="BA75" i="18" s="1"/>
  <c r="BE133" i="14"/>
  <c r="AR62" i="14"/>
  <c r="AO63" i="14"/>
  <c r="AR63" i="14" s="1"/>
  <c r="AL63" i="14"/>
  <c r="AZ63" i="14" s="1"/>
  <c r="AZ62" i="14"/>
  <c r="AW121" i="20"/>
  <c r="AV121" i="20"/>
  <c r="W145" i="26"/>
  <c r="R174" i="25"/>
  <c r="R158" i="25" s="1"/>
  <c r="R126" i="25" s="1"/>
  <c r="R124" i="23"/>
  <c r="BC14" i="18"/>
  <c r="BT48" i="7"/>
  <c r="AV99" i="18"/>
  <c r="AW99" i="18" s="1"/>
  <c r="AW98" i="18"/>
  <c r="AA57" i="11"/>
  <c r="R57" i="9"/>
  <c r="R41" i="7"/>
  <c r="S57" i="7"/>
  <c r="Q34" i="7"/>
  <c r="BT50" i="7"/>
  <c r="Q43" i="9"/>
  <c r="U249" i="13"/>
  <c r="U121" i="4"/>
  <c r="U73" i="4" s="1"/>
  <c r="Q146" i="26"/>
  <c r="S145" i="26"/>
  <c r="S35" i="5"/>
  <c r="AZ50" i="14"/>
  <c r="AL51" i="14"/>
  <c r="AZ51" i="14" s="1"/>
  <c r="R173" i="25"/>
  <c r="R157" i="25" s="1"/>
  <c r="R125" i="25" s="1"/>
  <c r="R123" i="23"/>
  <c r="Z132" i="15"/>
  <c r="Z51" i="6" s="1"/>
  <c r="BB120" i="14"/>
  <c r="Y86" i="8"/>
  <c r="X87" i="8"/>
  <c r="Y87" i="8" s="1"/>
  <c r="Q7" i="13"/>
  <c r="AE329" i="19"/>
  <c r="T157" i="4"/>
  <c r="S59" i="9"/>
  <c r="S43" i="9" s="1"/>
  <c r="S43" i="7"/>
  <c r="V15" i="6"/>
  <c r="V7" i="7"/>
  <c r="V117" i="7" s="1"/>
  <c r="W6" i="7"/>
  <c r="AB42" i="4"/>
  <c r="AB60" i="11"/>
  <c r="AC108" i="11"/>
  <c r="Q31" i="7"/>
  <c r="BT47" i="7"/>
  <c r="AA99" i="22"/>
  <c r="AB99" i="22" s="1"/>
  <c r="AB98" i="22"/>
  <c r="Z276" i="3"/>
  <c r="AB326" i="11"/>
  <c r="AB181" i="4" s="1"/>
  <c r="V87" i="4"/>
  <c r="H416" i="3"/>
  <c r="H431" i="3"/>
  <c r="H331" i="4"/>
  <c r="H316" i="4"/>
  <c r="X168" i="24"/>
  <c r="Z168" i="24"/>
  <c r="BS166" i="12" s="1"/>
  <c r="BI166" i="12" s="1"/>
  <c r="R61" i="9"/>
  <c r="R45" i="9" s="1"/>
  <c r="R45" i="7"/>
  <c r="AA135" i="20"/>
  <c r="U250" i="13"/>
  <c r="U122" i="4"/>
  <c r="U155" i="4" s="1"/>
  <c r="AV24" i="14"/>
  <c r="AS25" i="14"/>
  <c r="AW170" i="14"/>
  <c r="AX169" i="14"/>
  <c r="V89" i="4"/>
  <c r="BT178" i="7"/>
  <c r="Q178" i="9"/>
  <c r="Q146" i="9" s="1"/>
  <c r="R178" i="7"/>
  <c r="AR109" i="14"/>
  <c r="AO110" i="14"/>
  <c r="O394" i="4"/>
  <c r="O364" i="4"/>
  <c r="Z116" i="15"/>
  <c r="AR121" i="14"/>
  <c r="AO122" i="14"/>
  <c r="AY121" i="14"/>
  <c r="BB121" i="14" s="1"/>
  <c r="S77" i="17"/>
  <c r="S61" i="17" s="1"/>
  <c r="S63" i="15"/>
  <c r="F416" i="3"/>
  <c r="F431" i="3"/>
  <c r="AV110" i="22"/>
  <c r="AS110" i="22"/>
  <c r="AR111" i="22"/>
  <c r="AE38" i="4"/>
  <c r="U98" i="24"/>
  <c r="V97" i="24"/>
  <c r="W97" i="24" s="1"/>
  <c r="AD130" i="19"/>
  <c r="AF130" i="19" s="1"/>
  <c r="AE130" i="19"/>
  <c r="AH36" i="4"/>
  <c r="W4" i="23"/>
  <c r="W5" i="23" s="1"/>
  <c r="W81" i="23" s="1"/>
  <c r="W3" i="25"/>
  <c r="W13" i="25" s="1"/>
  <c r="W35" i="6"/>
  <c r="W34" i="6" s="1"/>
  <c r="AJ183" i="16"/>
  <c r="AK183" i="16" s="1"/>
  <c r="AK182" i="16"/>
  <c r="AW145" i="20"/>
  <c r="AV145" i="20"/>
  <c r="AW157" i="20"/>
  <c r="J364" i="4"/>
  <c r="J394" i="4"/>
  <c r="V177" i="23"/>
  <c r="V10" i="23"/>
  <c r="AA111" i="20"/>
  <c r="AU111" i="20"/>
  <c r="AY85" i="14"/>
  <c r="BB85" i="14" s="1"/>
  <c r="AI461" i="3"/>
  <c r="T133" i="3"/>
  <c r="T116" i="13"/>
  <c r="T130" i="11"/>
  <c r="T46" i="11"/>
  <c r="Y224" i="4"/>
  <c r="AB122" i="10"/>
  <c r="AA123" i="10"/>
  <c r="AB123" i="10" s="1"/>
  <c r="U146" i="11"/>
  <c r="AA123" i="20"/>
  <c r="AU123" i="20"/>
  <c r="AY123" i="20" s="1"/>
  <c r="AX37" i="14"/>
  <c r="AW38" i="14"/>
  <c r="AR134" i="14"/>
  <c r="AO135" i="14"/>
  <c r="AR135" i="14" s="1"/>
  <c r="R62" i="9"/>
  <c r="R46" i="9" s="1"/>
  <c r="R46" i="7"/>
  <c r="AR25" i="14"/>
  <c r="AO26" i="14"/>
  <c r="U79" i="25"/>
  <c r="U63" i="25" s="1"/>
  <c r="U47" i="25" s="1"/>
  <c r="U61" i="23"/>
  <c r="U45" i="23" s="1"/>
  <c r="AV61" i="20"/>
  <c r="AZ61" i="20" s="1"/>
  <c r="AW61" i="20"/>
  <c r="AZ134" i="14"/>
  <c r="AL135" i="14"/>
  <c r="AZ135" i="14" s="1"/>
  <c r="U246" i="13"/>
  <c r="U118" i="4"/>
  <c r="U70" i="4" s="1"/>
  <c r="AB129" i="19"/>
  <c r="AY157" i="20"/>
  <c r="AV157" i="20"/>
  <c r="V90" i="4"/>
  <c r="R122" i="23"/>
  <c r="R172" i="25"/>
  <c r="R156" i="25" s="1"/>
  <c r="R124" i="25" s="1"/>
  <c r="N381" i="3"/>
  <c r="AB134" i="10"/>
  <c r="AC134" i="10" s="1"/>
  <c r="AA135" i="10"/>
  <c r="AB135" i="10" s="1"/>
  <c r="AC135" i="10" s="1"/>
  <c r="AE303" i="15"/>
  <c r="AF303" i="15"/>
  <c r="K283" i="4"/>
  <c r="AB351" i="11"/>
  <c r="Q147" i="7"/>
  <c r="BT147" i="7" s="1"/>
  <c r="AK15" i="20"/>
  <c r="Q185" i="17"/>
  <c r="K430" i="3"/>
  <c r="K415" i="3"/>
  <c r="AT63" i="20"/>
  <c r="AX63" i="20" s="1"/>
  <c r="AK63" i="20"/>
  <c r="U229" i="13"/>
  <c r="U199" i="11"/>
  <c r="U119" i="11" s="1"/>
  <c r="U39" i="11" s="1"/>
  <c r="V74" i="10"/>
  <c r="AC74" i="10" s="1"/>
  <c r="U75" i="10"/>
  <c r="V75" i="10" s="1"/>
  <c r="C463" i="3"/>
  <c r="D495" i="3" s="1"/>
  <c r="C494" i="3"/>
  <c r="AM306" i="15"/>
  <c r="R98" i="9"/>
  <c r="AX133" i="20"/>
  <c r="AX145" i="20"/>
  <c r="AB99" i="20"/>
  <c r="AD98" i="20"/>
  <c r="AS98" i="20"/>
  <c r="R204" i="17"/>
  <c r="R188" i="17" s="1"/>
  <c r="R190" i="15"/>
  <c r="S157" i="9"/>
  <c r="U252" i="13"/>
  <c r="U124" i="4"/>
  <c r="AS27" i="22"/>
  <c r="AU158" i="22"/>
  <c r="AJ159" i="22"/>
  <c r="AU159" i="22" s="1"/>
  <c r="AV38" i="20"/>
  <c r="AV15" i="18"/>
  <c r="AW15" i="18" s="1"/>
  <c r="AW14" i="18"/>
  <c r="V74" i="23"/>
  <c r="V71" i="23"/>
  <c r="V78" i="23"/>
  <c r="V69" i="23"/>
  <c r="V77" i="23"/>
  <c r="V72" i="23"/>
  <c r="V70" i="23"/>
  <c r="V73" i="23"/>
  <c r="V76" i="23"/>
  <c r="V75" i="23"/>
  <c r="V79" i="23"/>
  <c r="AT134" i="22"/>
  <c r="AQ135" i="22"/>
  <c r="AS134" i="22"/>
  <c r="M252" i="4"/>
  <c r="M267" i="4"/>
  <c r="M284" i="4" s="1"/>
  <c r="AY118" i="12"/>
  <c r="AX119" i="12"/>
  <c r="AY130" i="12"/>
  <c r="Q39" i="5"/>
  <c r="AJ135" i="19"/>
  <c r="D266" i="4"/>
  <c r="D283" i="4" s="1"/>
  <c r="D251" i="4"/>
  <c r="V85" i="24"/>
  <c r="U86" i="24"/>
  <c r="T157" i="7"/>
  <c r="AW85" i="22"/>
  <c r="R155" i="3"/>
  <c r="R203" i="3"/>
  <c r="R91" i="3"/>
  <c r="S132" i="3"/>
  <c r="S84" i="3" s="1"/>
  <c r="Q63" i="24"/>
  <c r="S63" i="24" s="1"/>
  <c r="S62" i="24"/>
  <c r="U43" i="5"/>
  <c r="U95" i="4"/>
  <c r="R51" i="7"/>
  <c r="R67" i="9"/>
  <c r="R51" i="9" s="1"/>
  <c r="AZ73" i="20"/>
  <c r="U75" i="24"/>
  <c r="V75" i="24" s="1"/>
  <c r="W75" i="24" s="1"/>
  <c r="V74" i="24"/>
  <c r="W74" i="24" s="1"/>
  <c r="Q176" i="9"/>
  <c r="Q144" i="9" s="1"/>
  <c r="BT176" i="7"/>
  <c r="R176" i="7"/>
  <c r="S176" i="7" s="1"/>
  <c r="S176" i="9" s="1"/>
  <c r="AR37" i="14"/>
  <c r="AO38" i="14"/>
  <c r="U238" i="13"/>
  <c r="R199" i="17"/>
  <c r="R183" i="17" s="1"/>
  <c r="R185" i="15"/>
  <c r="AO26" i="20"/>
  <c r="AL27" i="20"/>
  <c r="AO27" i="20" s="1"/>
  <c r="Q173" i="9"/>
  <c r="Q141" i="9" s="1"/>
  <c r="BT173" i="7"/>
  <c r="R173" i="7"/>
  <c r="S173" i="7" s="1"/>
  <c r="S173" i="9" s="1"/>
  <c r="AW14" i="16"/>
  <c r="BA14" i="16" s="1"/>
  <c r="AV15" i="16"/>
  <c r="AW15" i="16" s="1"/>
  <c r="BA15" i="16" s="1"/>
  <c r="AH26" i="18"/>
  <c r="BB26" i="18"/>
  <c r="AG27" i="18"/>
  <c r="AC135" i="20"/>
  <c r="AD135" i="20" s="1"/>
  <c r="AD134" i="20"/>
  <c r="W241" i="11"/>
  <c r="W15" i="11"/>
  <c r="W257" i="11" s="1"/>
  <c r="X14" i="11"/>
  <c r="Q91" i="9"/>
  <c r="T330" i="17"/>
  <c r="T297" i="17" s="1"/>
  <c r="T281" i="17" s="1"/>
  <c r="T284" i="15"/>
  <c r="AV85" i="14"/>
  <c r="AS86" i="14"/>
  <c r="V88" i="4"/>
  <c r="I352" i="3"/>
  <c r="I367" i="3"/>
  <c r="AS50" i="14"/>
  <c r="AV49" i="14"/>
  <c r="U235" i="13"/>
  <c r="U205" i="11"/>
  <c r="U125" i="11" s="1"/>
  <c r="U45" i="11" s="1"/>
  <c r="T74" i="4"/>
  <c r="J282" i="4"/>
  <c r="V12" i="15"/>
  <c r="W12" i="15" s="1"/>
  <c r="BM11" i="15"/>
  <c r="V25" i="6"/>
  <c r="X11" i="15"/>
  <c r="Y11" i="15"/>
  <c r="O331" i="4"/>
  <c r="O316" i="4"/>
  <c r="AV27" i="16"/>
  <c r="AW27" i="16" s="1"/>
  <c r="AW26" i="16"/>
  <c r="S204" i="15"/>
  <c r="S203" i="15"/>
  <c r="T203" i="15" s="1"/>
  <c r="S207" i="15"/>
  <c r="T207" i="15" s="1"/>
  <c r="S210" i="15"/>
  <c r="S200" i="15"/>
  <c r="T200" i="15" s="1"/>
  <c r="S205" i="15"/>
  <c r="T205" i="15" s="1"/>
  <c r="S202" i="15"/>
  <c r="T202" i="15" s="1"/>
  <c r="S201" i="15"/>
  <c r="S209" i="15"/>
  <c r="S206" i="15"/>
  <c r="T206" i="15" s="1"/>
  <c r="S208" i="15"/>
  <c r="R123" i="21"/>
  <c r="R107" i="21" s="1"/>
  <c r="R107" i="19"/>
  <c r="AI62" i="18"/>
  <c r="AK61" i="18"/>
  <c r="BA61" i="18"/>
  <c r="BC61" i="18" s="1"/>
  <c r="BD73" i="18" s="1"/>
  <c r="AX99" i="18"/>
  <c r="AZ99" i="18" s="1"/>
  <c r="AZ98" i="18"/>
  <c r="AZ108" i="20"/>
  <c r="AC98" i="8"/>
  <c r="AD98" i="8" s="1"/>
  <c r="AL98" i="22"/>
  <c r="AK99" i="22"/>
  <c r="AV98" i="22"/>
  <c r="AQ15" i="22"/>
  <c r="AT15" i="22" s="1"/>
  <c r="AT14" i="22"/>
  <c r="F494" i="3"/>
  <c r="F463" i="3"/>
  <c r="AW74" i="20"/>
  <c r="Q50" i="26"/>
  <c r="S49" i="26"/>
  <c r="BA159" i="18"/>
  <c r="AL15" i="14"/>
  <c r="AZ14" i="14"/>
  <c r="AN14" i="14"/>
  <c r="S110" i="24"/>
  <c r="R111" i="24"/>
  <c r="S111" i="24" s="1"/>
  <c r="AH27" i="20"/>
  <c r="AS26" i="20"/>
  <c r="AW38" i="20" s="1"/>
  <c r="AK26" i="20"/>
  <c r="Q151" i="3"/>
  <c r="Q144" i="3"/>
  <c r="Q199" i="3"/>
  <c r="Q87" i="3"/>
  <c r="Q116" i="9"/>
  <c r="Q118" i="7"/>
  <c r="BT116" i="7"/>
  <c r="Q100" i="7"/>
  <c r="BT100" i="7" s="1"/>
  <c r="R68" i="7"/>
  <c r="U165" i="7"/>
  <c r="U11" i="7"/>
  <c r="U181" i="7" s="1"/>
  <c r="Y415" i="13"/>
  <c r="Y24" i="13" s="1"/>
  <c r="BQ24" i="13" s="1"/>
  <c r="AW50" i="18"/>
  <c r="AV51" i="18"/>
  <c r="AW51" i="18" s="1"/>
  <c r="U77" i="25"/>
  <c r="U61" i="25" s="1"/>
  <c r="U45" i="25" s="1"/>
  <c r="U59" i="23"/>
  <c r="U43" i="23" s="1"/>
  <c r="Z352" i="11"/>
  <c r="AU75" i="20"/>
  <c r="AA75" i="20"/>
  <c r="R150" i="3"/>
  <c r="R198" i="3"/>
  <c r="R86" i="3"/>
  <c r="AR170" i="18"/>
  <c r="AT169" i="18"/>
  <c r="BE167" i="12"/>
  <c r="N251" i="4"/>
  <c r="N266" i="4"/>
  <c r="N283" i="4" s="1"/>
  <c r="T201" i="13"/>
  <c r="V13" i="26"/>
  <c r="U14" i="26"/>
  <c r="R201" i="17"/>
  <c r="R185" i="17" s="1"/>
  <c r="R187" i="15"/>
  <c r="AE44" i="4"/>
  <c r="AU27" i="22"/>
  <c r="AL27" i="22"/>
  <c r="Q177" i="9"/>
  <c r="Q145" i="9" s="1"/>
  <c r="BT177" i="7"/>
  <c r="R177" i="7"/>
  <c r="AY141" i="12"/>
  <c r="AX142" i="12"/>
  <c r="BT91" i="7"/>
  <c r="P394" i="4"/>
  <c r="P364" i="4"/>
  <c r="T326" i="17"/>
  <c r="T280" i="15"/>
  <c r="R122" i="9"/>
  <c r="R90" i="9" s="1"/>
  <c r="S122" i="7"/>
  <c r="U230" i="13"/>
  <c r="U200" i="11"/>
  <c r="U120" i="11" s="1"/>
  <c r="U40" i="11" s="1"/>
  <c r="AZ182" i="18"/>
  <c r="AX183" i="18"/>
  <c r="AZ183" i="18" s="1"/>
  <c r="D351" i="3"/>
  <c r="D366" i="3"/>
  <c r="D383" i="3" s="1"/>
  <c r="G350" i="3"/>
  <c r="G365" i="3"/>
  <c r="G382" i="3" s="1"/>
  <c r="H365" i="3"/>
  <c r="T79" i="3"/>
  <c r="AR98" i="14"/>
  <c r="AO99" i="14"/>
  <c r="AR99" i="14" s="1"/>
  <c r="V84" i="4"/>
  <c r="BB134" i="11"/>
  <c r="AA39" i="22"/>
  <c r="AB39" i="22" s="1"/>
  <c r="AB38" i="22"/>
  <c r="AV170" i="23"/>
  <c r="Q154" i="23"/>
  <c r="AD321" i="19"/>
  <c r="AE337" i="19"/>
  <c r="AF337" i="19" s="1"/>
  <c r="AJ154" i="15"/>
  <c r="AB7" i="15"/>
  <c r="AC7" i="15" s="1"/>
  <c r="AM15" i="14"/>
  <c r="BA15" i="14" s="1"/>
  <c r="BA14" i="14"/>
  <c r="R64" i="9"/>
  <c r="R48" i="9" s="1"/>
  <c r="R48" i="7"/>
  <c r="S163" i="9"/>
  <c r="Q50" i="24"/>
  <c r="S49" i="24"/>
  <c r="W49" i="24" s="1"/>
  <c r="P252" i="4"/>
  <c r="P267" i="4"/>
  <c r="U147" i="26"/>
  <c r="V147" i="26" s="1"/>
  <c r="V146" i="26"/>
  <c r="R168" i="25"/>
  <c r="R118" i="23"/>
  <c r="AS123" i="22"/>
  <c r="AV123" i="22"/>
  <c r="T161" i="7"/>
  <c r="AC45" i="4"/>
  <c r="AC63" i="11"/>
  <c r="U248" i="13"/>
  <c r="U120" i="4"/>
  <c r="U153" i="4" s="1"/>
  <c r="AH147" i="18"/>
  <c r="BB147" i="18"/>
  <c r="T16" i="25"/>
  <c r="T6" i="2"/>
  <c r="AD462" i="3"/>
  <c r="AH462" i="3" s="1"/>
  <c r="J494" i="3"/>
  <c r="J463" i="3"/>
  <c r="AY106" i="12"/>
  <c r="AX107" i="12"/>
  <c r="AH86" i="16"/>
  <c r="AG87" i="16"/>
  <c r="AH87" i="16" s="1"/>
  <c r="AN26" i="16"/>
  <c r="AM27" i="16"/>
  <c r="AN27" i="16" s="1"/>
  <c r="BA169" i="22"/>
  <c r="AC39" i="4"/>
  <c r="AS74" i="22"/>
  <c r="AV74" i="22"/>
  <c r="AR75" i="22"/>
  <c r="D364" i="4"/>
  <c r="D394" i="4"/>
  <c r="Y112" i="5"/>
  <c r="AR73" i="14"/>
  <c r="AO74" i="14"/>
  <c r="AL147" i="20"/>
  <c r="AO146" i="20"/>
  <c r="AS146" i="20"/>
  <c r="AB86" i="22"/>
  <c r="AA87" i="22"/>
  <c r="AB87" i="22" s="1"/>
  <c r="AD99" i="22"/>
  <c r="AE99" i="22" s="1"/>
  <c r="AE98" i="22"/>
  <c r="U62" i="26"/>
  <c r="V61" i="26"/>
  <c r="W61" i="26" s="1"/>
  <c r="W10" i="7"/>
  <c r="W165" i="7" s="1"/>
  <c r="W16" i="6"/>
  <c r="AI298" i="15"/>
  <c r="AL139" i="19"/>
  <c r="S143" i="3"/>
  <c r="S126" i="13"/>
  <c r="S46" i="13" s="1"/>
  <c r="R115" i="21"/>
  <c r="R99" i="21" s="1"/>
  <c r="R99" i="19"/>
  <c r="AA62" i="20"/>
  <c r="AU62" i="20"/>
  <c r="Z63" i="20"/>
  <c r="AX183" i="16"/>
  <c r="AZ183" i="16" s="1"/>
  <c r="AZ182" i="16"/>
  <c r="S77" i="23"/>
  <c r="S74" i="23"/>
  <c r="S73" i="23"/>
  <c r="S71" i="23"/>
  <c r="S69" i="23"/>
  <c r="S78" i="23"/>
  <c r="S72" i="23"/>
  <c r="S75" i="23"/>
  <c r="S70" i="23"/>
  <c r="S76" i="23"/>
  <c r="S79" i="23"/>
  <c r="AW37" i="20"/>
  <c r="AV37" i="20"/>
  <c r="AG50" i="20"/>
  <c r="AF51" i="20"/>
  <c r="AG51" i="20" s="1"/>
  <c r="AS98" i="14"/>
  <c r="AV97" i="14"/>
  <c r="F350" i="3"/>
  <c r="F365" i="3"/>
  <c r="F382" i="3" s="1"/>
  <c r="X141" i="21"/>
  <c r="X8" i="21" s="1"/>
  <c r="D431" i="3"/>
  <c r="D416" i="3"/>
  <c r="AS75" i="20"/>
  <c r="BC158" i="18"/>
  <c r="BD158" i="18" s="1"/>
  <c r="E416" i="3"/>
  <c r="E431" i="3"/>
  <c r="T167" i="23"/>
  <c r="T151" i="23" s="1"/>
  <c r="T174" i="23"/>
  <c r="T158" i="23" s="1"/>
  <c r="T171" i="23"/>
  <c r="T155" i="23" s="1"/>
  <c r="T169" i="23"/>
  <c r="T153" i="23" s="1"/>
  <c r="T175" i="23"/>
  <c r="T159" i="23" s="1"/>
  <c r="T166" i="23"/>
  <c r="T150" i="23" s="1"/>
  <c r="T173" i="23"/>
  <c r="T157" i="23" s="1"/>
  <c r="T168" i="23"/>
  <c r="T152" i="23" s="1"/>
  <c r="T172" i="23"/>
  <c r="T156" i="23" s="1"/>
  <c r="T170" i="23"/>
  <c r="T154" i="23" s="1"/>
  <c r="R59" i="9"/>
  <c r="R43" i="9" s="1"/>
  <c r="R43" i="7"/>
  <c r="AD370" i="19"/>
  <c r="AD376" i="19" s="1"/>
  <c r="AE29" i="19"/>
  <c r="U81" i="25"/>
  <c r="U65" i="25" s="1"/>
  <c r="U49" i="25" s="1"/>
  <c r="U63" i="23"/>
  <c r="U47" i="23" s="1"/>
  <c r="R99" i="24"/>
  <c r="S99" i="24" s="1"/>
  <c r="S98" i="24"/>
  <c r="AC182" i="10"/>
  <c r="L331" i="4"/>
  <c r="L316" i="4"/>
  <c r="X191" i="4"/>
  <c r="X337" i="11"/>
  <c r="S60" i="5"/>
  <c r="S77" i="5" s="1"/>
  <c r="S151" i="4"/>
  <c r="S160" i="4" s="1"/>
  <c r="T75" i="3"/>
  <c r="V98" i="8"/>
  <c r="U99" i="8"/>
  <c r="V99" i="8" s="1"/>
  <c r="M494" i="3"/>
  <c r="M463" i="3"/>
  <c r="G416" i="3"/>
  <c r="G431" i="3"/>
  <c r="R206" i="17"/>
  <c r="R190" i="17" s="1"/>
  <c r="R192" i="15"/>
  <c r="Q144" i="7"/>
  <c r="BT144" i="7" s="1"/>
  <c r="Y7" i="11"/>
  <c r="Y20" i="6" s="1"/>
  <c r="AD128" i="15"/>
  <c r="AD112" i="15" s="1"/>
  <c r="AE160" i="15"/>
  <c r="AF160" i="15" s="1"/>
  <c r="AZ156" i="20"/>
  <c r="H282" i="4"/>
  <c r="W135" i="11"/>
  <c r="T334" i="17"/>
  <c r="T301" i="17" s="1"/>
  <c r="T285" i="17" s="1"/>
  <c r="T288" i="15"/>
  <c r="AO63" i="16"/>
  <c r="AQ63" i="16" s="1"/>
  <c r="AQ62" i="16"/>
  <c r="R372" i="15"/>
  <c r="BE23" i="15"/>
  <c r="R38" i="15"/>
  <c r="BD96" i="18"/>
  <c r="AO15" i="14"/>
  <c r="AR14" i="14"/>
  <c r="U227" i="13"/>
  <c r="U197" i="11"/>
  <c r="R87" i="10"/>
  <c r="S87" i="10" s="1"/>
  <c r="AC87" i="10" s="1"/>
  <c r="S86" i="10"/>
  <c r="AC86" i="10" s="1"/>
  <c r="X4" i="15"/>
  <c r="Y4" i="15" s="1"/>
  <c r="AZ85" i="20"/>
  <c r="X185" i="11"/>
  <c r="X182" i="11"/>
  <c r="X189" i="11"/>
  <c r="X184" i="11"/>
  <c r="X181" i="11"/>
  <c r="X188" i="11"/>
  <c r="X187" i="11"/>
  <c r="X186" i="11"/>
  <c r="X191" i="11"/>
  <c r="X183" i="11"/>
  <c r="X190" i="11"/>
  <c r="AC326" i="19"/>
  <c r="R75" i="25"/>
  <c r="R59" i="25" s="1"/>
  <c r="R43" i="25" s="1"/>
  <c r="R57" i="23"/>
  <c r="R41" i="23" s="1"/>
  <c r="R25" i="23" s="1"/>
  <c r="AJ183" i="22"/>
  <c r="AU183" i="22" s="1"/>
  <c r="AY183" i="22" s="1"/>
  <c r="AU182" i="22"/>
  <c r="AY182" i="22" s="1"/>
  <c r="R128" i="9"/>
  <c r="R96" i="9" s="1"/>
  <c r="S128" i="7"/>
  <c r="AV14" i="20"/>
  <c r="AS15" i="18"/>
  <c r="AT15" i="18" s="1"/>
  <c r="AT14" i="18"/>
  <c r="AI137" i="19"/>
  <c r="AM183" i="22"/>
  <c r="AT183" i="22" s="1"/>
  <c r="AT182" i="22"/>
  <c r="T73" i="3"/>
  <c r="Q86" i="24"/>
  <c r="S85" i="24"/>
  <c r="Y336" i="11"/>
  <c r="Y191" i="4" s="1"/>
  <c r="Y95" i="5" s="1"/>
  <c r="Y207" i="4"/>
  <c r="Q175" i="9"/>
  <c r="Q143" i="9" s="1"/>
  <c r="BT175" i="7"/>
  <c r="R175" i="7"/>
  <c r="S175" i="7" s="1"/>
  <c r="S175" i="9" s="1"/>
  <c r="X46" i="4"/>
  <c r="X47" i="4" s="1"/>
  <c r="AC75" i="10"/>
  <c r="AG111" i="16"/>
  <c r="AH111" i="16" s="1"/>
  <c r="AH110" i="16"/>
  <c r="Q27" i="26"/>
  <c r="S27" i="26" s="1"/>
  <c r="S26" i="26"/>
  <c r="U74" i="25"/>
  <c r="U58" i="25" s="1"/>
  <c r="U42" i="25" s="1"/>
  <c r="U56" i="23"/>
  <c r="U40" i="23" s="1"/>
  <c r="U251" i="13"/>
  <c r="U123" i="4"/>
  <c r="U156" i="4" s="1"/>
  <c r="U72" i="25"/>
  <c r="U56" i="25" s="1"/>
  <c r="U40" i="25" s="1"/>
  <c r="U54" i="23"/>
  <c r="U38" i="23" s="1"/>
  <c r="AC182" i="8"/>
  <c r="AD182" i="8" s="1"/>
  <c r="AA329" i="11"/>
  <c r="AA184" i="4" s="1"/>
  <c r="AA200" i="4"/>
  <c r="AB345" i="11"/>
  <c r="T332" i="17"/>
  <c r="T299" i="17" s="1"/>
  <c r="T283" i="17" s="1"/>
  <c r="T286" i="15"/>
  <c r="U96" i="5"/>
  <c r="AM147" i="18"/>
  <c r="AN147" i="18" s="1"/>
  <c r="AN146" i="18"/>
  <c r="AT41" i="11"/>
  <c r="BM41" i="11"/>
  <c r="BX29" i="7" s="1"/>
  <c r="AT42" i="11"/>
  <c r="V3" i="7"/>
  <c r="AW133" i="20"/>
  <c r="AV133" i="20"/>
  <c r="AZ133" i="20" s="1"/>
  <c r="E282" i="4"/>
  <c r="AB45" i="4"/>
  <c r="AD111" i="11"/>
  <c r="AB63" i="11"/>
  <c r="S142" i="3"/>
  <c r="S125" i="13"/>
  <c r="S45" i="13" s="1"/>
  <c r="L494" i="3"/>
  <c r="L463" i="3"/>
  <c r="AC121" i="8"/>
  <c r="AH134" i="19"/>
  <c r="AR159" i="22"/>
  <c r="AV158" i="22"/>
  <c r="AZ158" i="22" s="1"/>
  <c r="AS158" i="22"/>
  <c r="S162" i="9"/>
  <c r="T67" i="7"/>
  <c r="U67" i="7" s="1"/>
  <c r="AB412" i="13"/>
  <c r="AB407" i="13"/>
  <c r="AB405" i="13"/>
  <c r="AB413" i="13"/>
  <c r="X64" i="11"/>
  <c r="AE413" i="3"/>
  <c r="L267" i="4"/>
  <c r="L284" i="4" s="1"/>
  <c r="L252" i="4"/>
  <c r="W25" i="26"/>
  <c r="U73" i="25"/>
  <c r="U57" i="25" s="1"/>
  <c r="U41" i="25" s="1"/>
  <c r="U55" i="23"/>
  <c r="U39" i="23" s="1"/>
  <c r="Z101" i="5"/>
  <c r="V121" i="24"/>
  <c r="W121" i="24" s="1"/>
  <c r="U122" i="24"/>
  <c r="AB75" i="11"/>
  <c r="AR39" i="18"/>
  <c r="AT39" i="18" s="1"/>
  <c r="AT38" i="18"/>
  <c r="R137" i="9"/>
  <c r="AH87" i="18"/>
  <c r="BA246" i="11"/>
  <c r="S62" i="7"/>
  <c r="R198" i="17"/>
  <c r="R184" i="15"/>
  <c r="AX133" i="12"/>
  <c r="AX145" i="14"/>
  <c r="AW146" i="14"/>
  <c r="AQ87" i="14"/>
  <c r="BA87" i="14" s="1"/>
  <c r="BA86" i="14"/>
  <c r="Q99" i="9"/>
  <c r="V38" i="24"/>
  <c r="W38" i="24" s="1"/>
  <c r="U39" i="24"/>
  <c r="V39" i="24" s="1"/>
  <c r="W39" i="24" s="1"/>
  <c r="R158" i="9"/>
  <c r="AH50" i="16"/>
  <c r="AG51" i="16"/>
  <c r="AH51" i="16" s="1"/>
  <c r="AS50" i="22"/>
  <c r="AV50" i="22"/>
  <c r="AW50" i="22" s="1"/>
  <c r="AR51" i="22"/>
  <c r="H266" i="4"/>
  <c r="H251" i="4"/>
  <c r="W143" i="11"/>
  <c r="AC27" i="20"/>
  <c r="AD27" i="20" s="1"/>
  <c r="AD26" i="20"/>
  <c r="T333" i="17"/>
  <c r="T300" i="17" s="1"/>
  <c r="T284" i="17" s="1"/>
  <c r="T287" i="15"/>
  <c r="AW98" i="14"/>
  <c r="AX97" i="14"/>
  <c r="K282" i="4"/>
  <c r="AX99" i="16"/>
  <c r="AZ99" i="16" s="1"/>
  <c r="AZ98" i="16"/>
  <c r="R135" i="3"/>
  <c r="R118" i="13"/>
  <c r="R38" i="13" s="1"/>
  <c r="AI98" i="18"/>
  <c r="BA97" i="18"/>
  <c r="BC97" i="18" s="1"/>
  <c r="BD97" i="18" s="1"/>
  <c r="AK97" i="18"/>
  <c r="AG99" i="20"/>
  <c r="AU99" i="20"/>
  <c r="U237" i="13"/>
  <c r="U207" i="11"/>
  <c r="U127" i="11" s="1"/>
  <c r="U47" i="11" s="1"/>
  <c r="Z180" i="24"/>
  <c r="X180" i="24"/>
  <c r="V249" i="11"/>
  <c r="V246" i="11"/>
  <c r="V253" i="11"/>
  <c r="V248" i="11"/>
  <c r="V245" i="11"/>
  <c r="V252" i="11"/>
  <c r="V254" i="11"/>
  <c r="V250" i="11"/>
  <c r="V251" i="11"/>
  <c r="V255" i="11"/>
  <c r="V247" i="11"/>
  <c r="S160" i="9"/>
  <c r="AY97" i="14"/>
  <c r="BB97" i="14" s="1"/>
  <c r="AD171" i="20"/>
  <c r="AU171" i="20"/>
  <c r="AY183" i="20" s="1"/>
  <c r="AN51" i="14"/>
  <c r="I416" i="3"/>
  <c r="I431" i="3"/>
  <c r="W136" i="11"/>
  <c r="T162" i="9"/>
  <c r="R109" i="9"/>
  <c r="R93" i="9" s="1"/>
  <c r="R93" i="7"/>
  <c r="AI134" i="16"/>
  <c r="AK133" i="16"/>
  <c r="BA133" i="16" s="1"/>
  <c r="AO39" i="22"/>
  <c r="AP39" i="22" s="1"/>
  <c r="AP38" i="22"/>
  <c r="AG62" i="20"/>
  <c r="AF63" i="20"/>
  <c r="AG63" i="20" s="1"/>
  <c r="AD181" i="10"/>
  <c r="AM159" i="16"/>
  <c r="AN159" i="16" s="1"/>
  <c r="AN158" i="16"/>
  <c r="BK20" i="15"/>
  <c r="AX181" i="22"/>
  <c r="AW181" i="22"/>
  <c r="BA181" i="22" s="1"/>
  <c r="AY157" i="22"/>
  <c r="AY169" i="22"/>
  <c r="BD157" i="18"/>
  <c r="S170" i="23"/>
  <c r="S154" i="23" s="1"/>
  <c r="S167" i="23"/>
  <c r="S151" i="23" s="1"/>
  <c r="S174" i="23"/>
  <c r="S158" i="23" s="1"/>
  <c r="S173" i="23"/>
  <c r="S157" i="23" s="1"/>
  <c r="S169" i="23"/>
  <c r="S153" i="23" s="1"/>
  <c r="S166" i="23"/>
  <c r="S150" i="23" s="1"/>
  <c r="S176" i="23"/>
  <c r="S160" i="23" s="1"/>
  <c r="S168" i="23"/>
  <c r="S152" i="23" s="1"/>
  <c r="S175" i="23"/>
  <c r="S159" i="23" s="1"/>
  <c r="S171" i="23"/>
  <c r="S155" i="23" s="1"/>
  <c r="S172" i="23"/>
  <c r="S156" i="23" s="1"/>
  <c r="T111" i="13"/>
  <c r="T6" i="13" s="1"/>
  <c r="BL6" i="13" s="1"/>
  <c r="T36" i="3"/>
  <c r="Q179" i="9"/>
  <c r="Q147" i="9" s="1"/>
  <c r="BT179" i="7"/>
  <c r="R179" i="7"/>
  <c r="S179" i="7" s="1"/>
  <c r="S38" i="26"/>
  <c r="R39" i="26"/>
  <c r="S39" i="26" s="1"/>
  <c r="AR62" i="16"/>
  <c r="AT61" i="16"/>
  <c r="BA61" i="16" s="1"/>
  <c r="V16" i="25"/>
  <c r="V6" i="2"/>
  <c r="Y22" i="5"/>
  <c r="Y23" i="5" s="1"/>
  <c r="AC51" i="20"/>
  <c r="AD50" i="20"/>
  <c r="AU50" i="20"/>
  <c r="AY50" i="20" s="1"/>
  <c r="AW134" i="14"/>
  <c r="AX133" i="14"/>
  <c r="Z108" i="5"/>
  <c r="AN99" i="20"/>
  <c r="AO99" i="20" s="1"/>
  <c r="AO98" i="20"/>
  <c r="BB158" i="18"/>
  <c r="AG159" i="18"/>
  <c r="AH158" i="18"/>
  <c r="AN86" i="14"/>
  <c r="AK87" i="14"/>
  <c r="T141" i="3"/>
  <c r="T205" i="3" s="1"/>
  <c r="T124" i="13"/>
  <c r="S63" i="13"/>
  <c r="S64" i="13" s="1"/>
  <c r="AE331" i="19"/>
  <c r="U236" i="13"/>
  <c r="U206" i="11"/>
  <c r="U126" i="11" s="1"/>
  <c r="U46" i="11" s="1"/>
  <c r="AB73" i="11"/>
  <c r="AC73" i="11" s="1"/>
  <c r="AC111" i="10"/>
  <c r="BD144" i="18"/>
  <c r="AM135" i="14"/>
  <c r="BA135" i="14" s="1"/>
  <c r="BA134" i="14"/>
  <c r="Q29" i="7"/>
  <c r="BT45" i="7"/>
  <c r="Q27" i="24"/>
  <c r="S27" i="24" s="1"/>
  <c r="S26" i="24"/>
  <c r="AP170" i="14"/>
  <c r="AR169" i="14"/>
  <c r="T76" i="3"/>
  <c r="R96" i="7"/>
  <c r="I364" i="4"/>
  <c r="I394" i="4"/>
  <c r="R113" i="21"/>
  <c r="R97" i="19"/>
  <c r="S159" i="9"/>
  <c r="G364" i="4"/>
  <c r="G394" i="4"/>
  <c r="S16" i="25"/>
  <c r="S6" i="2"/>
  <c r="AF104" i="11"/>
  <c r="E266" i="4"/>
  <c r="E251" i="4"/>
  <c r="R63" i="5"/>
  <c r="R121" i="21"/>
  <c r="R105" i="21" s="1"/>
  <c r="R105" i="19"/>
  <c r="T209" i="11"/>
  <c r="T48" i="6" s="1"/>
  <c r="T68" i="6" s="1"/>
  <c r="T117" i="11"/>
  <c r="Q68" i="9"/>
  <c r="Q52" i="9" s="1"/>
  <c r="Q52" i="7"/>
  <c r="BT68" i="7"/>
  <c r="AZ38" i="14"/>
  <c r="AL39" i="14"/>
  <c r="AZ39" i="14" s="1"/>
  <c r="AV134" i="14"/>
  <c r="AS135" i="14"/>
  <c r="AV135" i="14" s="1"/>
  <c r="AR13" i="25"/>
  <c r="Q16" i="25"/>
  <c r="Q6" i="2"/>
  <c r="AI50" i="18"/>
  <c r="AK49" i="18"/>
  <c r="AB408" i="13"/>
  <c r="AB217" i="4"/>
  <c r="AB122" i="8"/>
  <c r="AC122" i="8" s="1"/>
  <c r="AD122" i="8" s="1"/>
  <c r="AA123" i="8"/>
  <c r="AB123" i="8" s="1"/>
  <c r="AW181" i="20"/>
  <c r="AV181" i="20"/>
  <c r="AH39" i="18"/>
  <c r="AD132" i="8"/>
  <c r="AX13" i="14"/>
  <c r="AW14" i="14"/>
  <c r="BF164" i="12"/>
  <c r="BT164" i="12"/>
  <c r="BJ164" i="12" s="1"/>
  <c r="AN26" i="18"/>
  <c r="AM27" i="18"/>
  <c r="AN27" i="18" s="1"/>
  <c r="AL63" i="20"/>
  <c r="AO63" i="20" s="1"/>
  <c r="AO62" i="20"/>
  <c r="E463" i="3"/>
  <c r="E494" i="3"/>
  <c r="Q155" i="23"/>
  <c r="AV171" i="23"/>
  <c r="X304" i="3"/>
  <c r="U27" i="26"/>
  <c r="V27" i="26" s="1"/>
  <c r="W27" i="26" s="1"/>
  <c r="V26" i="26"/>
  <c r="W26" i="26" s="1"/>
  <c r="U76" i="25"/>
  <c r="U60" i="25" s="1"/>
  <c r="U44" i="25" s="1"/>
  <c r="U58" i="23"/>
  <c r="U42" i="23" s="1"/>
  <c r="AZ169" i="14"/>
  <c r="AR146" i="18"/>
  <c r="AT145" i="18"/>
  <c r="AK50" i="20"/>
  <c r="AJ51" i="20"/>
  <c r="AK51" i="20" s="1"/>
  <c r="T198" i="13"/>
  <c r="AW62" i="14"/>
  <c r="AX61" i="14"/>
  <c r="T70" i="3"/>
  <c r="AZ110" i="14"/>
  <c r="AL111" i="14"/>
  <c r="AZ111" i="14" s="1"/>
  <c r="BK8" i="13"/>
  <c r="R205" i="17"/>
  <c r="R189" i="17" s="1"/>
  <c r="R191" i="15"/>
  <c r="AC39" i="20"/>
  <c r="AD39" i="20" s="1"/>
  <c r="AD38" i="20"/>
  <c r="U44" i="5"/>
  <c r="AP99" i="20"/>
  <c r="AR99" i="20" s="1"/>
  <c r="AR98" i="20"/>
  <c r="Y182" i="11"/>
  <c r="Y189" i="11"/>
  <c r="Y184" i="11"/>
  <c r="Y181" i="11"/>
  <c r="Y188" i="11"/>
  <c r="Y183" i="11"/>
  <c r="Y185" i="11"/>
  <c r="Y187" i="11"/>
  <c r="Y191" i="11"/>
  <c r="Y190" i="11"/>
  <c r="Y186" i="11"/>
  <c r="AI75" i="20"/>
  <c r="AT75" i="20" s="1"/>
  <c r="AX75" i="20" s="1"/>
  <c r="AT74" i="20"/>
  <c r="AX74" i="20" s="1"/>
  <c r="K331" i="4"/>
  <c r="K316" i="4"/>
  <c r="BT44" i="7"/>
  <c r="Q28" i="7"/>
  <c r="BK18" i="15"/>
  <c r="BN20" i="15" s="1"/>
  <c r="BQ35" i="15"/>
  <c r="U17" i="15"/>
  <c r="U22" i="15" s="1"/>
  <c r="AK110" i="18"/>
  <c r="AJ111" i="18"/>
  <c r="BB110" i="18"/>
  <c r="W138" i="11"/>
  <c r="T335" i="17"/>
  <c r="T302" i="17" s="1"/>
  <c r="T286" i="17" s="1"/>
  <c r="T289" i="15"/>
  <c r="V85" i="4"/>
  <c r="V98" i="10"/>
  <c r="AC98" i="10" s="1"/>
  <c r="U99" i="10"/>
  <c r="V99" i="10" s="1"/>
  <c r="AC99" i="10" s="1"/>
  <c r="O266" i="4"/>
  <c r="O283" i="4" s="1"/>
  <c r="BF326" i="11"/>
  <c r="U232" i="13"/>
  <c r="U202" i="11"/>
  <c r="U122" i="11" s="1"/>
  <c r="U42" i="11" s="1"/>
  <c r="V181" i="24"/>
  <c r="W181" i="24" s="1"/>
  <c r="U182" i="24"/>
  <c r="AJ346" i="19"/>
  <c r="H381" i="3"/>
  <c r="I381" i="3"/>
  <c r="Q156" i="23"/>
  <c r="AV172" i="23"/>
  <c r="G266" i="4"/>
  <c r="G251" i="4"/>
  <c r="AU146" i="22"/>
  <c r="AW146" i="22" s="1"/>
  <c r="AJ147" i="22"/>
  <c r="AU147" i="22" s="1"/>
  <c r="AD158" i="8"/>
  <c r="R153" i="3"/>
  <c r="R201" i="3"/>
  <c r="R89" i="3"/>
  <c r="R131" i="9"/>
  <c r="R99" i="9" s="1"/>
  <c r="S131" i="7"/>
  <c r="T137" i="3"/>
  <c r="T201" i="3" s="1"/>
  <c r="T120" i="13"/>
  <c r="AA129" i="15"/>
  <c r="AA113" i="15" s="1"/>
  <c r="AF183" i="18"/>
  <c r="BA182" i="18"/>
  <c r="BC182" i="18" s="1"/>
  <c r="V83" i="4"/>
  <c r="AE296" i="15"/>
  <c r="BD145" i="18"/>
  <c r="AX24" i="14"/>
  <c r="AW25" i="14"/>
  <c r="U245" i="13"/>
  <c r="U117" i="4"/>
  <c r="U150" i="4" s="1"/>
  <c r="R176" i="23"/>
  <c r="R160" i="23" s="1"/>
  <c r="R161" i="23" s="1"/>
  <c r="AU98" i="22"/>
  <c r="AW98" i="22" s="1"/>
  <c r="AJ99" i="22"/>
  <c r="AU99" i="22" s="1"/>
  <c r="N394" i="4"/>
  <c r="N364" i="4"/>
  <c r="W65" i="11"/>
  <c r="U253" i="13"/>
  <c r="U125" i="4"/>
  <c r="U158" i="4" s="1"/>
  <c r="T74" i="3"/>
  <c r="AL147" i="14"/>
  <c r="AZ146" i="14"/>
  <c r="AN146" i="14"/>
  <c r="AC58" i="11"/>
  <c r="AR158" i="16"/>
  <c r="AT157" i="16"/>
  <c r="BA157" i="16" s="1"/>
  <c r="BT43" i="7"/>
  <c r="S74" i="17"/>
  <c r="S58" i="17" s="1"/>
  <c r="S60" i="15"/>
  <c r="N316" i="4"/>
  <c r="N331" i="4"/>
  <c r="AY110" i="14"/>
  <c r="AN110" i="14"/>
  <c r="AK111" i="14"/>
  <c r="R92" i="7"/>
  <c r="AC75" i="8"/>
  <c r="AD75" i="8" s="1"/>
  <c r="BC68" i="15"/>
  <c r="AV110" i="14"/>
  <c r="AS111" i="14"/>
  <c r="AV111" i="14" s="1"/>
  <c r="AD39" i="4"/>
  <c r="U75" i="25"/>
  <c r="U59" i="25" s="1"/>
  <c r="U43" i="25" s="1"/>
  <c r="U57" i="23"/>
  <c r="U41" i="23" s="1"/>
  <c r="AC26" i="8"/>
  <c r="Y182" i="10"/>
  <c r="X183" i="10"/>
  <c r="Y183" i="10" s="1"/>
  <c r="AC183" i="10" s="1"/>
  <c r="AD183" i="10" s="1"/>
  <c r="U143" i="13"/>
  <c r="U100" i="3"/>
  <c r="AT86" i="22"/>
  <c r="AQ87" i="22"/>
  <c r="AT87" i="22" s="1"/>
  <c r="Q127" i="13"/>
  <c r="Q38" i="13"/>
  <c r="Q47" i="13" s="1"/>
  <c r="U53" i="23"/>
  <c r="U71" i="25"/>
  <c r="AB193" i="11"/>
  <c r="AB14" i="1"/>
  <c r="AB11" i="1" s="1"/>
  <c r="AB8" i="11"/>
  <c r="AA404" i="13"/>
  <c r="AA213" i="4"/>
  <c r="AA326" i="11"/>
  <c r="AA181" i="4" s="1"/>
  <c r="BA25" i="16"/>
  <c r="R80" i="5"/>
  <c r="AY61" i="20"/>
  <c r="AS170" i="14"/>
  <c r="AV169" i="14"/>
  <c r="AD27" i="22"/>
  <c r="AE27" i="22" s="1"/>
  <c r="AE26" i="22"/>
  <c r="AS134" i="20"/>
  <c r="Y135" i="20"/>
  <c r="AS135" i="20" s="1"/>
  <c r="AA20" i="5"/>
  <c r="U212" i="15"/>
  <c r="BK12" i="15"/>
  <c r="O365" i="3"/>
  <c r="O382" i="3" s="1"/>
  <c r="AG349" i="3"/>
  <c r="AI349" i="3" s="1"/>
  <c r="AF349" i="3"/>
  <c r="AE349" i="3"/>
  <c r="O350" i="3"/>
  <c r="AG159" i="22"/>
  <c r="AH159" i="22" s="1"/>
  <c r="AH158" i="22"/>
  <c r="R122" i="21"/>
  <c r="R106" i="21" s="1"/>
  <c r="R106" i="19"/>
  <c r="T239" i="13"/>
  <c r="T14" i="13" s="1"/>
  <c r="T195" i="13"/>
  <c r="BA110" i="14"/>
  <c r="AM111" i="14"/>
  <c r="BA111" i="14" s="1"/>
  <c r="AC51" i="10"/>
  <c r="AT74" i="22"/>
  <c r="AW74" i="22" s="1"/>
  <c r="AQ75" i="22"/>
  <c r="AT75" i="22" s="1"/>
  <c r="BB182" i="14"/>
  <c r="AO182" i="20"/>
  <c r="AL183" i="20"/>
  <c r="AS182" i="20"/>
  <c r="K364" i="4"/>
  <c r="K394" i="4"/>
  <c r="AT74" i="18"/>
  <c r="AS75" i="18"/>
  <c r="AT75" i="18" s="1"/>
  <c r="N494" i="3"/>
  <c r="N463" i="3"/>
  <c r="AX166" i="12"/>
  <c r="AY165" i="12"/>
  <c r="BA165" i="12"/>
  <c r="BP165" i="12" s="1"/>
  <c r="T47" i="5"/>
  <c r="AX85" i="14"/>
  <c r="AW86" i="14"/>
  <c r="S137" i="7"/>
  <c r="BE60" i="14"/>
  <c r="BC60" i="14"/>
  <c r="AI413" i="3"/>
  <c r="AB328" i="19"/>
  <c r="AD344" i="19"/>
  <c r="AE344" i="19"/>
  <c r="AV111" i="18"/>
  <c r="AW111" i="18" s="1"/>
  <c r="AW110" i="18"/>
  <c r="Q157" i="23"/>
  <c r="AV173" i="23"/>
  <c r="U8" i="7"/>
  <c r="U133" i="7" s="1"/>
  <c r="R128" i="11"/>
  <c r="R209" i="11"/>
  <c r="R48" i="6" s="1"/>
  <c r="R68" i="6" s="1"/>
  <c r="AL171" i="14"/>
  <c r="BB63" i="18"/>
  <c r="AH63" i="18"/>
  <c r="W31" i="13"/>
  <c r="W33" i="11"/>
  <c r="W34" i="11" s="1"/>
  <c r="W4" i="6"/>
  <c r="AL138" i="19"/>
  <c r="AK75" i="14"/>
  <c r="AN74" i="14"/>
  <c r="AK122" i="18"/>
  <c r="AJ123" i="18"/>
  <c r="BB122" i="18"/>
  <c r="R200" i="17"/>
  <c r="R184" i="17" s="1"/>
  <c r="R186" i="15"/>
  <c r="S112" i="3"/>
  <c r="AP51" i="16"/>
  <c r="AQ51" i="16" s="1"/>
  <c r="AQ50" i="16"/>
  <c r="AU15" i="22"/>
  <c r="AL15" i="22"/>
  <c r="BI3" i="15"/>
  <c r="T23" i="6"/>
  <c r="T22" i="15"/>
  <c r="U322" i="15"/>
  <c r="U290" i="15" s="1"/>
  <c r="U313" i="15"/>
  <c r="U281" i="15" s="1"/>
  <c r="U321" i="15"/>
  <c r="U289" i="15" s="1"/>
  <c r="U320" i="15"/>
  <c r="U288" i="15" s="1"/>
  <c r="U312" i="15"/>
  <c r="U280" i="15" s="1"/>
  <c r="U315" i="15"/>
  <c r="U283" i="15" s="1"/>
  <c r="U316" i="15"/>
  <c r="U284" i="15" s="1"/>
  <c r="U319" i="15"/>
  <c r="U287" i="15" s="1"/>
  <c r="U318" i="15"/>
  <c r="U286" i="15" s="1"/>
  <c r="U317" i="15"/>
  <c r="U285" i="15" s="1"/>
  <c r="U314" i="15"/>
  <c r="U282" i="15" s="1"/>
  <c r="AW38" i="18"/>
  <c r="AV39" i="18"/>
  <c r="AW39" i="18" s="1"/>
  <c r="W142" i="11"/>
  <c r="BE119" i="14"/>
  <c r="BC119" i="14"/>
  <c r="BC131" i="14"/>
  <c r="T327" i="17"/>
  <c r="T294" i="17" s="1"/>
  <c r="T281" i="15"/>
  <c r="AA15" i="20"/>
  <c r="AC135" i="8"/>
  <c r="R121" i="9"/>
  <c r="S121" i="7"/>
  <c r="O252" i="4"/>
  <c r="J331" i="4"/>
  <c r="J316" i="4"/>
  <c r="AB410" i="13"/>
  <c r="AI171" i="20"/>
  <c r="AT171" i="20" s="1"/>
  <c r="AX171" i="20" s="1"/>
  <c r="AT170" i="20"/>
  <c r="AX170" i="20" s="1"/>
  <c r="U233" i="13"/>
  <c r="U203" i="11"/>
  <c r="U123" i="11" s="1"/>
  <c r="U43" i="11" s="1"/>
  <c r="AX170" i="22"/>
  <c r="V235" i="11"/>
  <c r="V234" i="11"/>
  <c r="V233" i="11"/>
  <c r="V239" i="11"/>
  <c r="V231" i="11"/>
  <c r="V229" i="11"/>
  <c r="V232" i="11"/>
  <c r="V237" i="11"/>
  <c r="V240" i="11"/>
  <c r="V236" i="11"/>
  <c r="V238" i="11"/>
  <c r="V230" i="11"/>
  <c r="AI301" i="15"/>
  <c r="S61" i="7"/>
  <c r="Z332" i="11"/>
  <c r="Z187" i="4" s="1"/>
  <c r="Z94" i="5" s="1"/>
  <c r="Z203" i="4"/>
  <c r="AA102" i="5" s="1"/>
  <c r="AD322" i="19"/>
  <c r="V74" i="8"/>
  <c r="U75" i="8"/>
  <c r="V75" i="8" s="1"/>
  <c r="AI122" i="15"/>
  <c r="AI106" i="15" s="1"/>
  <c r="X123" i="10"/>
  <c r="Y123" i="10" s="1"/>
  <c r="Y122" i="10"/>
  <c r="AH299" i="15"/>
  <c r="AU87" i="20"/>
  <c r="AA87" i="20"/>
  <c r="AD147" i="8"/>
  <c r="U75" i="4"/>
  <c r="AO135" i="22"/>
  <c r="AP134" i="22"/>
  <c r="AV134" i="22"/>
  <c r="W141" i="11"/>
  <c r="AH171" i="8"/>
  <c r="BO169" i="12" s="1"/>
  <c r="Y133" i="21"/>
  <c r="Z133" i="19"/>
  <c r="AA133" i="19"/>
  <c r="AB133" i="19"/>
  <c r="Y140" i="19"/>
  <c r="Y140" i="21" s="1"/>
  <c r="AN158" i="14"/>
  <c r="AK159" i="14"/>
  <c r="M331" i="4"/>
  <c r="M316" i="4"/>
  <c r="AV86" i="20"/>
  <c r="AI171" i="16"/>
  <c r="AK171" i="16" s="1"/>
  <c r="BA171" i="16" s="1"/>
  <c r="AK170" i="16"/>
  <c r="AB325" i="19"/>
  <c r="AD341" i="19"/>
  <c r="W134" i="11"/>
  <c r="BM48" i="11"/>
  <c r="AT48" i="11"/>
  <c r="AH170" i="8"/>
  <c r="BO168" i="12" s="1"/>
  <c r="AD170" i="8"/>
  <c r="AS183" i="22"/>
  <c r="V194" i="11"/>
  <c r="V144" i="11"/>
  <c r="V145" i="11" s="1"/>
  <c r="V47" i="6" s="1"/>
  <c r="V65" i="6" s="1"/>
  <c r="AG99" i="22"/>
  <c r="AH99" i="22" s="1"/>
  <c r="AH98" i="22"/>
  <c r="AC341" i="19"/>
  <c r="AC348" i="19" s="1"/>
  <c r="AC332" i="19" s="1"/>
  <c r="Y122" i="8"/>
  <c r="X123" i="8"/>
  <c r="Y123" i="8" s="1"/>
  <c r="S79" i="17"/>
  <c r="S63" i="17" s="1"/>
  <c r="S65" i="15"/>
  <c r="S278" i="17"/>
  <c r="F266" i="4"/>
  <c r="F251" i="4"/>
  <c r="F332" i="4"/>
  <c r="F317" i="4"/>
  <c r="AA108" i="15"/>
  <c r="Z414" i="13"/>
  <c r="Z287" i="3" s="1"/>
  <c r="Z303" i="3" s="1"/>
  <c r="W14" i="7"/>
  <c r="W229" i="7" s="1"/>
  <c r="R116" i="7"/>
  <c r="AD35" i="4"/>
  <c r="Q174" i="9"/>
  <c r="Q142" i="9" s="1"/>
  <c r="BT174" i="7"/>
  <c r="R174" i="7"/>
  <c r="R174" i="9" s="1"/>
  <c r="U46" i="5"/>
  <c r="AM27" i="22"/>
  <c r="AT26" i="22"/>
  <c r="AW26" i="22" s="1"/>
  <c r="AP26" i="22"/>
  <c r="AQ75" i="14"/>
  <c r="BA75" i="14" s="1"/>
  <c r="BA74" i="14"/>
  <c r="T153" i="9"/>
  <c r="W39" i="8"/>
  <c r="Y39" i="8" s="1"/>
  <c r="Y38" i="8"/>
  <c r="AC38" i="8" s="1"/>
  <c r="AD50" i="8" s="1"/>
  <c r="AR50" i="20"/>
  <c r="AP51" i="20"/>
  <c r="AR51" i="20" s="1"/>
  <c r="AB204" i="4"/>
  <c r="AE130" i="15"/>
  <c r="AE114" i="15" s="1"/>
  <c r="AF162" i="15"/>
  <c r="AR134" i="18"/>
  <c r="AT133" i="18"/>
  <c r="AW50" i="16"/>
  <c r="AV51" i="16"/>
  <c r="AW51" i="16" s="1"/>
  <c r="AC183" i="8"/>
  <c r="AD183" i="8" s="1"/>
  <c r="BB168" i="20"/>
  <c r="BR166" i="12" s="1"/>
  <c r="BH166" i="12" s="1"/>
  <c r="AZ168" i="20"/>
  <c r="Y231" i="3"/>
  <c r="S156" i="9"/>
  <c r="R63" i="9"/>
  <c r="R47" i="9" s="1"/>
  <c r="R47" i="7"/>
  <c r="R207" i="17"/>
  <c r="R191" i="17" s="1"/>
  <c r="R193" i="15"/>
  <c r="AB39" i="4"/>
  <c r="BK4" i="13"/>
  <c r="S3" i="13"/>
  <c r="S26" i="1"/>
  <c r="S25" i="1" s="1"/>
  <c r="AX50" i="20"/>
  <c r="R120" i="21"/>
  <c r="R104" i="21" s="1"/>
  <c r="R104" i="19"/>
  <c r="Y288" i="3"/>
  <c r="Y292" i="3"/>
  <c r="Y304" i="3" s="1"/>
  <c r="Y228" i="3"/>
  <c r="V157" i="24"/>
  <c r="W157" i="24" s="1"/>
  <c r="U158" i="24"/>
  <c r="H364" i="4"/>
  <c r="H394" i="4"/>
  <c r="AC54" i="11"/>
  <c r="AA3" i="6"/>
  <c r="AC50" i="10"/>
  <c r="AI110" i="18"/>
  <c r="BA109" i="18"/>
  <c r="BC109" i="18" s="1"/>
  <c r="S137" i="9"/>
  <c r="AS62" i="14"/>
  <c r="AY62" i="14" s="1"/>
  <c r="BB62" i="14" s="1"/>
  <c r="AV61" i="14"/>
  <c r="AY61" i="14"/>
  <c r="BB61" i="14" s="1"/>
  <c r="AV169" i="23"/>
  <c r="Q153" i="23"/>
  <c r="AW158" i="16"/>
  <c r="AV159" i="16"/>
  <c r="AW159" i="16" s="1"/>
  <c r="Y26" i="10"/>
  <c r="AC26" i="10" s="1"/>
  <c r="X27" i="10"/>
  <c r="Y27" i="10" s="1"/>
  <c r="AC27" i="10" s="1"/>
  <c r="S170" i="10"/>
  <c r="AC170" i="10" s="1"/>
  <c r="R171" i="10"/>
  <c r="S171" i="10" s="1"/>
  <c r="AC171" i="10" s="1"/>
  <c r="D316" i="4"/>
  <c r="E332" i="4" s="1"/>
  <c r="D331" i="4"/>
  <c r="AY73" i="14"/>
  <c r="BB73" i="14" s="1"/>
  <c r="T170" i="7"/>
  <c r="R208" i="17"/>
  <c r="R192" i="17" s="1"/>
  <c r="R194" i="15"/>
  <c r="G332" i="4"/>
  <c r="G317" i="4"/>
  <c r="S292" i="15"/>
  <c r="AO183" i="22"/>
  <c r="AV183" i="22" s="1"/>
  <c r="AP182" i="22"/>
  <c r="S115" i="13"/>
  <c r="S35" i="13" s="1"/>
  <c r="AF302" i="15"/>
  <c r="W192" i="11"/>
  <c r="T336" i="17"/>
  <c r="T303" i="17" s="1"/>
  <c r="T287" i="17" s="1"/>
  <c r="T290" i="15"/>
  <c r="AC134" i="8"/>
  <c r="V31" i="13"/>
  <c r="V33" i="11"/>
  <c r="V34" i="11" s="1"/>
  <c r="V4" i="6"/>
  <c r="X27" i="11"/>
  <c r="Q94" i="9"/>
  <c r="U234" i="13"/>
  <c r="U202" i="13" s="1"/>
  <c r="U204" i="11"/>
  <c r="U124" i="11" s="1"/>
  <c r="U44" i="11" s="1"/>
  <c r="AX171" i="22"/>
  <c r="AH301" i="15"/>
  <c r="AJ301" i="15" s="1"/>
  <c r="AK323" i="19"/>
  <c r="R119" i="21"/>
  <c r="R103" i="21" s="1"/>
  <c r="R103" i="19"/>
  <c r="S154" i="9"/>
  <c r="S138" i="9" s="1"/>
  <c r="S138" i="7"/>
  <c r="AI98" i="16"/>
  <c r="AK97" i="16"/>
  <c r="BA97" i="16" s="1"/>
  <c r="AY94" i="12"/>
  <c r="AX95" i="12"/>
  <c r="H494" i="3"/>
  <c r="H463" i="3"/>
  <c r="AA8" i="15"/>
  <c r="BW8" i="15" s="1"/>
  <c r="BW7" i="15"/>
  <c r="AA10" i="15"/>
  <c r="BW10" i="15" s="1"/>
  <c r="R114" i="21"/>
  <c r="R98" i="21" s="1"/>
  <c r="R98" i="19"/>
  <c r="AB124" i="15"/>
  <c r="AC156" i="15"/>
  <c r="AD156" i="15" s="1"/>
  <c r="AE156" i="15" s="1"/>
  <c r="S51" i="7"/>
  <c r="S67" i="9"/>
  <c r="S51" i="9" s="1"/>
  <c r="Q159" i="23"/>
  <c r="AV175" i="23"/>
  <c r="AX121" i="14"/>
  <c r="AW122" i="14"/>
  <c r="L365" i="3"/>
  <c r="L350" i="3"/>
  <c r="AL183" i="22"/>
  <c r="R124" i="9"/>
  <c r="R92" i="9" s="1"/>
  <c r="S124" i="7"/>
  <c r="BT49" i="7"/>
  <c r="Q33" i="7"/>
  <c r="AB326" i="19"/>
  <c r="AE342" i="19"/>
  <c r="AT182" i="20"/>
  <c r="AI183" i="20"/>
  <c r="AT183" i="20" s="1"/>
  <c r="S23" i="15"/>
  <c r="BG22" i="15"/>
  <c r="S28" i="6"/>
  <c r="S22" i="6" s="1"/>
  <c r="AW109" i="20"/>
  <c r="AV109" i="20"/>
  <c r="S63" i="9"/>
  <c r="S47" i="9" s="1"/>
  <c r="S47" i="7"/>
  <c r="W84" i="24"/>
  <c r="R80" i="25"/>
  <c r="R64" i="25" s="1"/>
  <c r="R48" i="25" s="1"/>
  <c r="R32" i="25" s="1"/>
  <c r="R62" i="23"/>
  <c r="R46" i="23" s="1"/>
  <c r="R66" i="9"/>
  <c r="R50" i="9" s="1"/>
  <c r="R50" i="7"/>
  <c r="V86" i="4"/>
  <c r="R171" i="25"/>
  <c r="R155" i="25" s="1"/>
  <c r="R123" i="25" s="1"/>
  <c r="R121" i="23"/>
  <c r="P365" i="3"/>
  <c r="P350" i="3"/>
  <c r="AR50" i="18"/>
  <c r="AT49" i="18"/>
  <c r="S75" i="17"/>
  <c r="S59" i="17" s="1"/>
  <c r="S61" i="15"/>
  <c r="W18" i="6"/>
  <c r="AR182" i="16"/>
  <c r="AT181" i="16"/>
  <c r="BA181" i="16" s="1"/>
  <c r="BB181" i="16" s="1"/>
  <c r="BC109" i="14"/>
  <c r="BE109" i="14"/>
  <c r="AN26" i="14"/>
  <c r="AK27" i="14"/>
  <c r="AC74" i="8"/>
  <c r="AD74" i="8" s="1"/>
  <c r="AK26" i="16"/>
  <c r="AJ27" i="16"/>
  <c r="AK27" i="16" s="1"/>
  <c r="AB404" i="13"/>
  <c r="AB213" i="4"/>
  <c r="BB180" i="20"/>
  <c r="AZ180" i="20"/>
  <c r="L430" i="3"/>
  <c r="L415" i="3"/>
  <c r="E317" i="4"/>
  <c r="U87" i="26"/>
  <c r="V87" i="26" s="1"/>
  <c r="W87" i="26" s="1"/>
  <c r="V86" i="26"/>
  <c r="W86" i="26" s="1"/>
  <c r="AA403" i="13"/>
  <c r="AA212" i="4"/>
  <c r="AA325" i="11"/>
  <c r="AC27" i="8"/>
  <c r="AR122" i="18"/>
  <c r="AT121" i="18"/>
  <c r="BA121" i="18"/>
  <c r="BC121" i="18" s="1"/>
  <c r="AO50" i="14"/>
  <c r="AR49" i="14"/>
  <c r="AY49" i="14"/>
  <c r="BB49" i="14" s="1"/>
  <c r="BE49" i="14" s="1"/>
  <c r="AL99" i="14"/>
  <c r="AZ99" i="14" s="1"/>
  <c r="AZ98" i="14"/>
  <c r="BM11" i="13"/>
  <c r="V189" i="13" s="1"/>
  <c r="V141" i="13" s="1"/>
  <c r="U32" i="1"/>
  <c r="U29" i="1" s="1"/>
  <c r="U28" i="1" s="1"/>
  <c r="U8" i="13"/>
  <c r="AV14" i="22"/>
  <c r="AS14" i="22"/>
  <c r="AR15" i="22"/>
  <c r="AN306" i="15"/>
  <c r="AN62" i="14"/>
  <c r="BC144" i="14"/>
  <c r="AW73" i="22"/>
  <c r="Q159" i="10"/>
  <c r="S159" i="10" s="1"/>
  <c r="AC159" i="10" s="1"/>
  <c r="AD159" i="10" s="1"/>
  <c r="S158" i="10"/>
  <c r="AC158" i="10" s="1"/>
  <c r="AD158" i="10" s="1"/>
  <c r="T254" i="13"/>
  <c r="T255" i="13" s="1"/>
  <c r="T15" i="13" s="1"/>
  <c r="BL15" i="13" s="1"/>
  <c r="T126" i="4"/>
  <c r="T127" i="4" s="1"/>
  <c r="T128" i="4" s="1"/>
  <c r="AG63" i="22"/>
  <c r="AH63" i="22" s="1"/>
  <c r="AH62" i="22"/>
  <c r="BV12" i="7"/>
  <c r="X13" i="7"/>
  <c r="AD157" i="10"/>
  <c r="Q81" i="23"/>
  <c r="AV5" i="23"/>
  <c r="AA193" i="11"/>
  <c r="AA14" i="1"/>
  <c r="AA11" i="1" s="1"/>
  <c r="AA8" i="11"/>
  <c r="Q209" i="17"/>
  <c r="Q193" i="17" s="1"/>
  <c r="Q195" i="15"/>
  <c r="Q196" i="15" s="1"/>
  <c r="BC211" i="15"/>
  <c r="S38" i="11"/>
  <c r="AM39" i="14"/>
  <c r="BA39" i="14" s="1"/>
  <c r="BA38" i="14"/>
  <c r="W48" i="26"/>
  <c r="R116" i="21"/>
  <c r="R100" i="21" s="1"/>
  <c r="R100" i="19"/>
  <c r="AU74" i="22"/>
  <c r="AJ75" i="22"/>
  <c r="AL74" i="22"/>
  <c r="Q159" i="3"/>
  <c r="Q207" i="3"/>
  <c r="Q95" i="3"/>
  <c r="AL51" i="22"/>
  <c r="AC85" i="8"/>
  <c r="AD85" i="8" s="1"/>
  <c r="W177" i="23"/>
  <c r="W10" i="23"/>
  <c r="AR145" i="14"/>
  <c r="AO146" i="14"/>
  <c r="AY145" i="14"/>
  <c r="BB145" i="14" s="1"/>
  <c r="AR183" i="14"/>
  <c r="AY183" i="14"/>
  <c r="AD38" i="4"/>
  <c r="AD97" i="8"/>
  <c r="T64" i="7"/>
  <c r="U64" i="7" s="1"/>
  <c r="AV37" i="14"/>
  <c r="AS38" i="14"/>
  <c r="V92" i="4"/>
  <c r="AN38" i="18"/>
  <c r="AM39" i="18"/>
  <c r="AN39" i="18" s="1"/>
  <c r="Y3" i="23"/>
  <c r="Y8" i="23"/>
  <c r="Y7" i="6"/>
  <c r="O430" i="3"/>
  <c r="AG414" i="3"/>
  <c r="AI414" i="3" s="1"/>
  <c r="AF414" i="3"/>
  <c r="AE414" i="3"/>
  <c r="O415" i="3"/>
  <c r="U99" i="26"/>
  <c r="V99" i="26" s="1"/>
  <c r="W99" i="26" s="1"/>
  <c r="V98" i="26"/>
  <c r="W98" i="26" s="1"/>
  <c r="V366" i="13"/>
  <c r="V350" i="13" s="1"/>
  <c r="V334" i="13" s="1"/>
  <c r="V356" i="13"/>
  <c r="V340" i="13" s="1"/>
  <c r="V324" i="13" s="1"/>
  <c r="V359" i="13"/>
  <c r="V343" i="13" s="1"/>
  <c r="V327" i="13" s="1"/>
  <c r="V364" i="13"/>
  <c r="V348" i="13" s="1"/>
  <c r="V332" i="13" s="1"/>
  <c r="V360" i="13"/>
  <c r="V344" i="13" s="1"/>
  <c r="V328" i="13" s="1"/>
  <c r="V363" i="13"/>
  <c r="V347" i="13" s="1"/>
  <c r="V331" i="13" s="1"/>
  <c r="V357" i="13"/>
  <c r="V341" i="13" s="1"/>
  <c r="V325" i="13" s="1"/>
  <c r="V362" i="13"/>
  <c r="V346" i="13" s="1"/>
  <c r="V330" i="13" s="1"/>
  <c r="V361" i="13"/>
  <c r="V345" i="13" s="1"/>
  <c r="V329" i="13" s="1"/>
  <c r="V355" i="13"/>
  <c r="V365" i="13"/>
  <c r="V349" i="13" s="1"/>
  <c r="V333" i="13" s="1"/>
  <c r="V358" i="13"/>
  <c r="V342" i="13" s="1"/>
  <c r="V326" i="13" s="1"/>
  <c r="Q176" i="23"/>
  <c r="R159" i="4"/>
  <c r="S62" i="5"/>
  <c r="S79" i="5" s="1"/>
  <c r="R127" i="4"/>
  <c r="R128" i="4" s="1"/>
  <c r="R78" i="4"/>
  <c r="AY169" i="14"/>
  <c r="BB169" i="14" s="1"/>
  <c r="H352" i="3"/>
  <c r="K381" i="3"/>
  <c r="AP183" i="16"/>
  <c r="AQ183" i="16" s="1"/>
  <c r="AQ182" i="16"/>
  <c r="AA147" i="20"/>
  <c r="AU147" i="20"/>
  <c r="R211" i="15"/>
  <c r="V93" i="4"/>
  <c r="S338" i="17"/>
  <c r="R148" i="3"/>
  <c r="R196" i="3"/>
  <c r="AL158" i="22"/>
  <c r="AK159" i="22"/>
  <c r="AL159" i="22" s="1"/>
  <c r="T78" i="15"/>
  <c r="U78" i="15" s="1"/>
  <c r="U62" i="15" s="1"/>
  <c r="T77" i="15"/>
  <c r="U77" i="15" s="1"/>
  <c r="U61" i="15" s="1"/>
  <c r="T76" i="15"/>
  <c r="U76" i="15" s="1"/>
  <c r="U60" i="15" s="1"/>
  <c r="T75" i="15"/>
  <c r="U75" i="15" s="1"/>
  <c r="U59" i="15" s="1"/>
  <c r="T79" i="15"/>
  <c r="U79" i="15" s="1"/>
  <c r="U63" i="15" s="1"/>
  <c r="T74" i="15"/>
  <c r="U74" i="15" s="1"/>
  <c r="U58" i="15" s="1"/>
  <c r="T82" i="15"/>
  <c r="U82" i="15" s="1"/>
  <c r="U66" i="15" s="1"/>
  <c r="T81" i="15"/>
  <c r="U81" i="15" s="1"/>
  <c r="U65" i="15" s="1"/>
  <c r="T80" i="15"/>
  <c r="U80" i="15" s="1"/>
  <c r="U64" i="15" s="1"/>
  <c r="T73" i="15"/>
  <c r="U73" i="15" s="1"/>
  <c r="U57" i="15" s="1"/>
  <c r="T72" i="15"/>
  <c r="U72" i="15" s="1"/>
  <c r="U56" i="15" s="1"/>
  <c r="T202" i="13"/>
  <c r="J266" i="4"/>
  <c r="J283" i="4" s="1"/>
  <c r="W139" i="11"/>
  <c r="E364" i="4"/>
  <c r="E394" i="4"/>
  <c r="S70" i="17"/>
  <c r="S56" i="15"/>
  <c r="T328" i="17"/>
  <c r="T295" i="17" s="1"/>
  <c r="T279" i="17" s="1"/>
  <c r="T282" i="15"/>
  <c r="E382" i="3"/>
  <c r="V18" i="6"/>
  <c r="AP171" i="16"/>
  <c r="AQ171" i="16" s="1"/>
  <c r="AQ170" i="16"/>
  <c r="BB135" i="18"/>
  <c r="AO339" i="19"/>
  <c r="AO323" i="19" s="1"/>
  <c r="AF345" i="19"/>
  <c r="AH330" i="19"/>
  <c r="V26" i="24"/>
  <c r="U27" i="24"/>
  <c r="V27" i="24" s="1"/>
  <c r="Q66" i="17"/>
  <c r="AP75" i="14"/>
  <c r="AZ75" i="14" s="1"/>
  <c r="AZ74" i="14"/>
  <c r="V110" i="24"/>
  <c r="U111" i="24"/>
  <c r="V111" i="24" s="1"/>
  <c r="AK36" i="4"/>
  <c r="AT98" i="20"/>
  <c r="AI99" i="20"/>
  <c r="AK98" i="20"/>
  <c r="T210" i="15"/>
  <c r="V324" i="15"/>
  <c r="V18" i="15"/>
  <c r="X20" i="15" s="1"/>
  <c r="AD304" i="15"/>
  <c r="X8" i="25"/>
  <c r="X11" i="23"/>
  <c r="X36" i="6"/>
  <c r="T112" i="3"/>
  <c r="BA170" i="16"/>
  <c r="AL323" i="19"/>
  <c r="BA146" i="18"/>
  <c r="BC146" i="18" s="1"/>
  <c r="AF147" i="18"/>
  <c r="AF15" i="20"/>
  <c r="AG15" i="20" s="1"/>
  <c r="AG14" i="20"/>
  <c r="Q110" i="26"/>
  <c r="S109" i="26"/>
  <c r="P430" i="3"/>
  <c r="P415" i="3"/>
  <c r="AF171" i="18"/>
  <c r="BA170" i="18"/>
  <c r="BC170" i="18" s="1"/>
  <c r="AW49" i="20"/>
  <c r="AV49" i="20"/>
  <c r="AZ49" i="20" s="1"/>
  <c r="R60" i="9"/>
  <c r="R44" i="9" s="1"/>
  <c r="R44" i="7"/>
  <c r="AG132" i="19"/>
  <c r="AR171" i="22"/>
  <c r="AV170" i="22"/>
  <c r="AZ170" i="22" s="1"/>
  <c r="AS170" i="22"/>
  <c r="AR39" i="22"/>
  <c r="AV38" i="22"/>
  <c r="AW38" i="22" s="1"/>
  <c r="AS38" i="22"/>
  <c r="U62" i="24"/>
  <c r="V61" i="24"/>
  <c r="W61" i="24" s="1"/>
  <c r="Q97" i="3"/>
  <c r="AI26" i="18"/>
  <c r="BA25" i="18"/>
  <c r="BC25" i="18" s="1"/>
  <c r="AK25" i="18"/>
  <c r="AT146" i="16"/>
  <c r="AS147" i="16"/>
  <c r="AT147" i="16" s="1"/>
  <c r="T60" i="7"/>
  <c r="U60" i="7" s="1"/>
  <c r="AC110" i="10"/>
  <c r="M430" i="3"/>
  <c r="M415" i="3"/>
  <c r="U15" i="24"/>
  <c r="V15" i="24" s="1"/>
  <c r="W15" i="24" s="1"/>
  <c r="V14" i="24"/>
  <c r="W14" i="24" s="1"/>
  <c r="T78" i="3"/>
  <c r="S37" i="5"/>
  <c r="U146" i="24"/>
  <c r="V145" i="24"/>
  <c r="W145" i="24" s="1"/>
  <c r="T331" i="17"/>
  <c r="T298" i="17" s="1"/>
  <c r="T282" i="17" s="1"/>
  <c r="T285" i="15"/>
  <c r="AL131" i="19"/>
  <c r="AA43" i="4"/>
  <c r="AA21" i="5" s="1"/>
  <c r="AA61" i="11"/>
  <c r="AO111" i="22"/>
  <c r="AP111" i="22" s="1"/>
  <c r="AP110" i="22"/>
  <c r="Q369" i="15"/>
  <c r="Q368" i="15"/>
  <c r="Q370" i="15"/>
  <c r="BC372" i="15"/>
  <c r="Q364" i="15"/>
  <c r="Q367" i="15"/>
  <c r="Q363" i="15"/>
  <c r="Q366" i="15"/>
  <c r="Q365" i="15"/>
  <c r="Q142" i="7"/>
  <c r="BT142" i="7" s="1"/>
  <c r="X183" i="26"/>
  <c r="AG136" i="19"/>
  <c r="U244" i="13"/>
  <c r="U116" i="4"/>
  <c r="U149" i="4" s="1"/>
  <c r="AN86" i="18"/>
  <c r="AM87" i="18"/>
  <c r="AN87" i="18" s="1"/>
  <c r="AY177" i="12"/>
  <c r="AX178" i="12"/>
  <c r="AG183" i="22"/>
  <c r="AH183" i="22" s="1"/>
  <c r="AH182" i="22"/>
  <c r="AC99" i="8"/>
  <c r="AW25" i="20"/>
  <c r="AV25" i="20"/>
  <c r="AZ25" i="20" s="1"/>
  <c r="T75" i="4"/>
  <c r="AM87" i="20"/>
  <c r="AO87" i="20" s="1"/>
  <c r="AO86" i="20"/>
  <c r="AV157" i="14"/>
  <c r="AS158" i="14"/>
  <c r="AE105" i="11"/>
  <c r="AF105" i="11" s="1"/>
  <c r="AI146" i="18"/>
  <c r="AK145" i="18"/>
  <c r="Z43" i="4"/>
  <c r="Z61" i="11"/>
  <c r="Z112" i="11"/>
  <c r="T147" i="10"/>
  <c r="V147" i="10" s="1"/>
  <c r="AC147" i="10" s="1"/>
  <c r="V146" i="10"/>
  <c r="AC146" i="10" s="1"/>
  <c r="R372" i="19"/>
  <c r="R373" i="19"/>
  <c r="R377" i="19"/>
  <c r="AS123" i="14"/>
  <c r="AV123" i="14" s="1"/>
  <c r="AV122" i="14"/>
  <c r="U110" i="26"/>
  <c r="V109" i="26"/>
  <c r="X7" i="11"/>
  <c r="X20" i="6" s="1"/>
  <c r="BA145" i="16"/>
  <c r="R117" i="21"/>
  <c r="R101" i="21" s="1"/>
  <c r="R101" i="19"/>
  <c r="Q158" i="26"/>
  <c r="S157" i="26"/>
  <c r="AB86" i="8"/>
  <c r="AC86" i="8" s="1"/>
  <c r="AD86" i="8" s="1"/>
  <c r="AA87" i="8"/>
  <c r="AB87" i="8" s="1"/>
  <c r="AC87" i="8" s="1"/>
  <c r="AW97" i="20"/>
  <c r="AV97" i="20"/>
  <c r="AZ97" i="20" s="1"/>
  <c r="BB99" i="18"/>
  <c r="Q98" i="9"/>
  <c r="Q95" i="9"/>
  <c r="T59" i="5"/>
  <c r="T148" i="4"/>
  <c r="S109" i="7"/>
  <c r="AC53" i="11"/>
  <c r="X9" i="7"/>
  <c r="AI50" i="16"/>
  <c r="AK49" i="16"/>
  <c r="T59" i="7"/>
  <c r="U59" i="7" s="1"/>
  <c r="Y92" i="5"/>
  <c r="U61" i="5"/>
  <c r="U78" i="5" s="1"/>
  <c r="T154" i="4"/>
  <c r="AR86" i="18"/>
  <c r="AT85" i="18"/>
  <c r="AC110" i="8"/>
  <c r="AX38" i="11"/>
  <c r="R71" i="25"/>
  <c r="R53" i="23"/>
  <c r="U16" i="25"/>
  <c r="U6" i="2"/>
  <c r="AZ50" i="18"/>
  <c r="AX51" i="18"/>
  <c r="AZ51" i="18" s="1"/>
  <c r="BM21" i="13"/>
  <c r="U20" i="13"/>
  <c r="BM20" i="13" s="1"/>
  <c r="Q152" i="23"/>
  <c r="AV168" i="23"/>
  <c r="Q139" i="7"/>
  <c r="R143" i="3"/>
  <c r="R126" i="13"/>
  <c r="R46" i="13" s="1"/>
  <c r="AN170" i="14"/>
  <c r="AK171" i="14"/>
  <c r="AY170" i="14"/>
  <c r="AL27" i="14"/>
  <c r="AZ27" i="14" s="1"/>
  <c r="AZ26" i="14"/>
  <c r="AX154" i="12"/>
  <c r="BE156" i="14" s="1"/>
  <c r="AY153" i="12"/>
  <c r="BE155" i="14"/>
  <c r="R35" i="13"/>
  <c r="AD159" i="22"/>
  <c r="AE159" i="22" s="1"/>
  <c r="AE158" i="22"/>
  <c r="AD157" i="8"/>
  <c r="T72" i="3"/>
  <c r="AW110" i="22"/>
  <c r="AW74" i="14"/>
  <c r="AX73" i="14"/>
  <c r="AY146" i="20"/>
  <c r="R202" i="17"/>
  <c r="R186" i="17" s="1"/>
  <c r="R188" i="15"/>
  <c r="AZ120" i="20"/>
  <c r="AM183" i="16"/>
  <c r="AN183" i="16" s="1"/>
  <c r="AN182" i="16"/>
  <c r="L364" i="4"/>
  <c r="L394" i="4"/>
  <c r="AF338" i="19"/>
  <c r="AV169" i="20"/>
  <c r="AW169" i="20"/>
  <c r="Q134" i="26"/>
  <c r="S133" i="26"/>
  <c r="R207" i="13"/>
  <c r="Z27" i="20"/>
  <c r="AA26" i="20"/>
  <c r="AU26" i="20"/>
  <c r="AY26" i="20" s="1"/>
  <c r="J267" i="4"/>
  <c r="J252" i="4"/>
  <c r="AR122" i="16"/>
  <c r="AT121" i="16"/>
  <c r="BA121" i="16" s="1"/>
  <c r="Z406" i="13"/>
  <c r="Z279" i="3" s="1"/>
  <c r="Z295" i="3" s="1"/>
  <c r="Z215" i="4"/>
  <c r="Z109" i="5" s="1"/>
  <c r="W140" i="11"/>
  <c r="S78" i="17"/>
  <c r="S62" i="17" s="1"/>
  <c r="S64" i="15"/>
  <c r="T323" i="15"/>
  <c r="E366" i="3"/>
  <c r="E351" i="3"/>
  <c r="U45" i="5"/>
  <c r="AG147" i="22"/>
  <c r="AH146" i="22"/>
  <c r="AI347" i="19"/>
  <c r="AA80" i="11"/>
  <c r="BE96" i="14"/>
  <c r="R177" i="25"/>
  <c r="R161" i="25" s="1"/>
  <c r="R129" i="25" s="1"/>
  <c r="R127" i="23"/>
  <c r="M364" i="4"/>
  <c r="M394" i="4"/>
  <c r="AD326" i="19"/>
  <c r="P463" i="3"/>
  <c r="P494" i="3"/>
  <c r="AV73" i="14"/>
  <c r="AS74" i="14"/>
  <c r="AY74" i="14" s="1"/>
  <c r="BB74" i="14" s="1"/>
  <c r="T159" i="9"/>
  <c r="AK123" i="22"/>
  <c r="AL123" i="22" s="1"/>
  <c r="AL122" i="22"/>
  <c r="AC324" i="19"/>
  <c r="S71" i="17"/>
  <c r="S55" i="17" s="1"/>
  <c r="S57" i="15"/>
  <c r="R72" i="25"/>
  <c r="R56" i="25" s="1"/>
  <c r="R40" i="25" s="1"/>
  <c r="R54" i="23"/>
  <c r="R38" i="23" s="1"/>
  <c r="R22" i="23" s="1"/>
  <c r="AV135" i="16"/>
  <c r="AW135" i="16" s="1"/>
  <c r="AW134" i="16"/>
  <c r="AC307" i="15"/>
  <c r="AN134" i="16"/>
  <c r="AM135" i="16"/>
  <c r="AN135" i="16" s="1"/>
  <c r="AY24" i="14"/>
  <c r="BB24" i="14" s="1"/>
  <c r="BE24" i="14" s="1"/>
  <c r="AD125" i="15"/>
  <c r="AD109" i="15" s="1"/>
  <c r="AE157" i="15"/>
  <c r="W22" i="5"/>
  <c r="W23" i="5" s="1"/>
  <c r="W47" i="4"/>
  <c r="BD169" i="18"/>
  <c r="AK139" i="19"/>
  <c r="O494" i="3"/>
  <c r="O463" i="3"/>
  <c r="AG462" i="3"/>
  <c r="AI462" i="3" s="1"/>
  <c r="AF462" i="3"/>
  <c r="AE462" i="3"/>
  <c r="AC39" i="8"/>
  <c r="AD51" i="8" s="1"/>
  <c r="AS110" i="20"/>
  <c r="Y111" i="20"/>
  <c r="AS111" i="20" s="1"/>
  <c r="U78" i="25"/>
  <c r="U62" i="25" s="1"/>
  <c r="U46" i="25" s="1"/>
  <c r="U60" i="23"/>
  <c r="U44" i="23" s="1"/>
  <c r="AH38" i="22"/>
  <c r="AG39" i="22"/>
  <c r="AH39" i="22" s="1"/>
  <c r="BK14" i="13"/>
  <c r="AN38" i="14"/>
  <c r="AK39" i="14"/>
  <c r="AD158" i="20"/>
  <c r="AC159" i="20"/>
  <c r="AU158" i="20"/>
  <c r="Q180" i="7"/>
  <c r="R54" i="17"/>
  <c r="R82" i="17"/>
  <c r="R4" i="17" s="1"/>
  <c r="AB170" i="22"/>
  <c r="AA171" i="22"/>
  <c r="AB171" i="22" s="1"/>
  <c r="R42" i="7"/>
  <c r="R26" i="7" s="1"/>
  <c r="R58" i="9"/>
  <c r="R42" i="9" s="1"/>
  <c r="S58" i="7"/>
  <c r="T58" i="7" s="1"/>
  <c r="AB199" i="4"/>
  <c r="U247" i="13"/>
  <c r="U119" i="4"/>
  <c r="U152" i="4" s="1"/>
  <c r="BT51" i="7"/>
  <c r="AZ144" i="20"/>
  <c r="V49" i="26"/>
  <c r="W49" i="26" s="1"/>
  <c r="U50" i="26"/>
  <c r="AB15" i="7"/>
  <c r="AC15" i="7" s="1"/>
  <c r="R124" i="19"/>
  <c r="S7" i="19"/>
  <c r="W108" i="26"/>
  <c r="T60" i="5"/>
  <c r="T77" i="5" s="1"/>
  <c r="T151" i="4"/>
  <c r="AV147" i="16"/>
  <c r="AW147" i="16" s="1"/>
  <c r="BA147" i="16" s="1"/>
  <c r="AW146" i="16"/>
  <c r="R118" i="21"/>
  <c r="R102" i="21" s="1"/>
  <c r="R102" i="19"/>
  <c r="AM183" i="14"/>
  <c r="BA182" i="14"/>
  <c r="AN182" i="14"/>
  <c r="BB171" i="18"/>
  <c r="AH171" i="18"/>
  <c r="W25" i="24"/>
  <c r="BE84" i="14"/>
  <c r="BC84" i="14"/>
  <c r="AT134" i="20"/>
  <c r="AI135" i="20"/>
  <c r="AK134" i="20"/>
  <c r="AG305" i="15"/>
  <c r="AH305" i="15" s="1"/>
  <c r="V170" i="26"/>
  <c r="W170" i="26" s="1"/>
  <c r="X182" i="26" s="1"/>
  <c r="U171" i="26"/>
  <c r="V171" i="26" s="1"/>
  <c r="W171" i="26" s="1"/>
  <c r="U51" i="24"/>
  <c r="V51" i="24" s="1"/>
  <c r="V50" i="24"/>
  <c r="AR62" i="18"/>
  <c r="AT61" i="18"/>
  <c r="T76" i="4"/>
  <c r="AZ181" i="22"/>
  <c r="I494" i="3"/>
  <c r="I463" i="3"/>
  <c r="AC111" i="8"/>
  <c r="AD111" i="8" s="1"/>
  <c r="R73" i="25"/>
  <c r="R57" i="25" s="1"/>
  <c r="R41" i="25" s="1"/>
  <c r="R25" i="25" s="1"/>
  <c r="R55" i="23"/>
  <c r="R39" i="23" s="1"/>
  <c r="R23" i="23" s="1"/>
  <c r="K494" i="3"/>
  <c r="K463" i="3"/>
  <c r="AH15" i="18"/>
  <c r="V37" i="26"/>
  <c r="W37" i="26" s="1"/>
  <c r="U38" i="26"/>
  <c r="AY170" i="20"/>
  <c r="AV174" i="23"/>
  <c r="Q158" i="23"/>
  <c r="Z293" i="3"/>
  <c r="Z229" i="3"/>
  <c r="AE39" i="20"/>
  <c r="AG39" i="20" s="1"/>
  <c r="AG38" i="20"/>
  <c r="AG299" i="15"/>
  <c r="AB307" i="15"/>
  <c r="R152" i="3"/>
  <c r="R200" i="3"/>
  <c r="R88" i="3"/>
  <c r="Q3" i="17"/>
  <c r="AH3" i="17" s="1"/>
  <c r="AH4" i="17"/>
  <c r="U174" i="23"/>
  <c r="U158" i="23" s="1"/>
  <c r="U171" i="23"/>
  <c r="U155" i="23" s="1"/>
  <c r="U169" i="23"/>
  <c r="U153" i="23" s="1"/>
  <c r="U166" i="23"/>
  <c r="U150" i="23" s="1"/>
  <c r="U168" i="23"/>
  <c r="U152" i="23" s="1"/>
  <c r="U175" i="23"/>
  <c r="U159" i="23" s="1"/>
  <c r="U167" i="23"/>
  <c r="U151" i="23" s="1"/>
  <c r="U173" i="23"/>
  <c r="U157" i="23" s="1"/>
  <c r="U172" i="23"/>
  <c r="U156" i="23" s="1"/>
  <c r="U170" i="23"/>
  <c r="U154" i="23" s="1"/>
  <c r="AT45" i="11"/>
  <c r="BM45" i="11"/>
  <c r="BX33" i="7" s="1"/>
  <c r="AT46" i="11"/>
  <c r="J365" i="3"/>
  <c r="J382" i="3" s="1"/>
  <c r="AD349" i="3"/>
  <c r="AH349" i="3" s="1"/>
  <c r="J350" i="3"/>
  <c r="K365" i="3"/>
  <c r="K382" i="3" s="1"/>
  <c r="AY98" i="14"/>
  <c r="BB98" i="14" s="1"/>
  <c r="AI134" i="19"/>
  <c r="AC159" i="8"/>
  <c r="AD159" i="8" s="1"/>
  <c r="R203" i="17"/>
  <c r="R187" i="17" s="1"/>
  <c r="R189" i="15"/>
  <c r="AB161" i="15"/>
  <c r="AV183" i="18"/>
  <c r="AW183" i="18" s="1"/>
  <c r="AW182" i="18"/>
  <c r="R176" i="25"/>
  <c r="R160" i="25" s="1"/>
  <c r="R128" i="25" s="1"/>
  <c r="R126" i="23"/>
  <c r="AE338" i="19"/>
  <c r="AK87" i="20"/>
  <c r="P316" i="4"/>
  <c r="P331" i="4"/>
  <c r="Y171" i="20"/>
  <c r="AS170" i="20"/>
  <c r="AA170" i="20"/>
  <c r="AE101" i="11"/>
  <c r="W109" i="24"/>
  <c r="AA376" i="11"/>
  <c r="AA384" i="11" s="1"/>
  <c r="W133" i="11"/>
  <c r="AX27" i="20"/>
  <c r="S73" i="17"/>
  <c r="S57" i="17" s="1"/>
  <c r="S59" i="15"/>
  <c r="T329" i="17"/>
  <c r="T296" i="17" s="1"/>
  <c r="T280" i="17" s="1"/>
  <c r="T283" i="15"/>
  <c r="R127" i="9"/>
  <c r="R95" i="9" s="1"/>
  <c r="S127" i="7"/>
  <c r="Q14" i="26"/>
  <c r="S13" i="26"/>
  <c r="AI300" i="15"/>
  <c r="AV86" i="22"/>
  <c r="AR87" i="22"/>
  <c r="AS86" i="22"/>
  <c r="Y132" i="15"/>
  <c r="Y51" i="6" s="1"/>
  <c r="BI17" i="15"/>
  <c r="T37" i="15"/>
  <c r="T27" i="6"/>
  <c r="AX157" i="14"/>
  <c r="AW158" i="14"/>
  <c r="BC96" i="14"/>
  <c r="AC62" i="11" l="1"/>
  <c r="AC55" i="11"/>
  <c r="AA220" i="4"/>
  <c r="AA110" i="5" s="1"/>
  <c r="AA411" i="13"/>
  <c r="AA333" i="11"/>
  <c r="AA188" i="4" s="1"/>
  <c r="AB381" i="11"/>
  <c r="AC22" i="11"/>
  <c r="BX12" i="7"/>
  <c r="Z12" i="7"/>
  <c r="AA12" i="7" s="1"/>
  <c r="S94" i="9"/>
  <c r="S50" i="7"/>
  <c r="T137" i="7"/>
  <c r="Y17" i="6"/>
  <c r="AL102" i="11"/>
  <c r="S97" i="7"/>
  <c r="Z415" i="13"/>
  <c r="Z24" i="13" s="1"/>
  <c r="BR24" i="13" s="1"/>
  <c r="S89" i="7"/>
  <c r="AC107" i="11"/>
  <c r="AC41" i="4" s="1"/>
  <c r="AB41" i="4"/>
  <c r="S118" i="13"/>
  <c r="S38" i="13" s="1"/>
  <c r="S135" i="3"/>
  <c r="S144" i="3" s="1"/>
  <c r="R305" i="17"/>
  <c r="R289" i="17" s="1"/>
  <c r="R290" i="17" s="1"/>
  <c r="T125" i="7"/>
  <c r="T125" i="9" s="1"/>
  <c r="S12" i="13"/>
  <c r="BK12" i="13" s="1"/>
  <c r="R47" i="13"/>
  <c r="X17" i="6"/>
  <c r="Q32" i="9"/>
  <c r="Q100" i="9"/>
  <c r="Y4" i="6"/>
  <c r="Y33" i="11"/>
  <c r="Y34" i="11" s="1"/>
  <c r="Q29" i="9"/>
  <c r="S66" i="9"/>
  <c r="S50" i="9" s="1"/>
  <c r="S91" i="7"/>
  <c r="AB56" i="11"/>
  <c r="Q33" i="9"/>
  <c r="S94" i="7"/>
  <c r="AE152" i="15"/>
  <c r="AD120" i="15"/>
  <c r="AD104" i="15" s="1"/>
  <c r="AB159" i="15"/>
  <c r="AB163" i="15" s="1"/>
  <c r="AB131" i="15" s="1"/>
  <c r="AB115" i="15" s="1"/>
  <c r="AC56" i="11"/>
  <c r="AK11" i="11"/>
  <c r="BC134" i="11"/>
  <c r="Q101" i="7"/>
  <c r="BT101" i="7" s="1"/>
  <c r="T36" i="5"/>
  <c r="Q35" i="9"/>
  <c r="Q30" i="7"/>
  <c r="BT30" i="7" s="1"/>
  <c r="R165" i="9"/>
  <c r="R10" i="9" s="1"/>
  <c r="T124" i="7"/>
  <c r="T124" i="9" s="1"/>
  <c r="S116" i="7"/>
  <c r="S116" i="9" s="1"/>
  <c r="Q35" i="7"/>
  <c r="BT35" i="7" s="1"/>
  <c r="V181" i="13"/>
  <c r="V133" i="13" s="1"/>
  <c r="V102" i="3" s="1"/>
  <c r="AG153" i="15"/>
  <c r="AH153" i="15" s="1"/>
  <c r="AH121" i="15" s="1"/>
  <c r="AH105" i="15" s="1"/>
  <c r="Q28" i="9"/>
  <c r="V188" i="13"/>
  <c r="V140" i="13" s="1"/>
  <c r="V109" i="3" s="1"/>
  <c r="Y20" i="15"/>
  <c r="Y324" i="15" s="1"/>
  <c r="AL37" i="4"/>
  <c r="AB43" i="4"/>
  <c r="U126" i="4"/>
  <c r="U159" i="4" s="1"/>
  <c r="AH106" i="11"/>
  <c r="AG40" i="4"/>
  <c r="AI106" i="11"/>
  <c r="AI40" i="4" s="1"/>
  <c r="T117" i="13"/>
  <c r="U196" i="13"/>
  <c r="U254" i="13"/>
  <c r="AN103" i="11"/>
  <c r="AO103" i="11" s="1"/>
  <c r="AC109" i="11"/>
  <c r="AC43" i="4" s="1"/>
  <c r="U201" i="13"/>
  <c r="U138" i="3" s="1"/>
  <c r="AA47" i="4"/>
  <c r="Z224" i="4"/>
  <c r="U203" i="13"/>
  <c r="U140" i="3" s="1"/>
  <c r="R160" i="4"/>
  <c r="Z112" i="5"/>
  <c r="Y14" i="11"/>
  <c r="Y15" i="11" s="1"/>
  <c r="Y257" i="11" s="1"/>
  <c r="U200" i="13"/>
  <c r="T66" i="9"/>
  <c r="T50" i="9" s="1"/>
  <c r="T50" i="7"/>
  <c r="Q34" i="9"/>
  <c r="AA163" i="15"/>
  <c r="AA131" i="15" s="1"/>
  <c r="AA115" i="15" s="1"/>
  <c r="AA116" i="15" s="1"/>
  <c r="S81" i="17"/>
  <c r="S65" i="17" s="1"/>
  <c r="T129" i="7"/>
  <c r="T129" i="9" s="1"/>
  <c r="T125" i="13"/>
  <c r="X192" i="11"/>
  <c r="X194" i="11" s="1"/>
  <c r="R144" i="3"/>
  <c r="AG105" i="11"/>
  <c r="Q30" i="9"/>
  <c r="T126" i="7"/>
  <c r="T126" i="9" s="1"/>
  <c r="S144" i="9"/>
  <c r="U66" i="7"/>
  <c r="U66" i="9" s="1"/>
  <c r="U50" i="9" s="1"/>
  <c r="S157" i="3"/>
  <c r="S93" i="3"/>
  <c r="S205" i="3"/>
  <c r="T113" i="7"/>
  <c r="T111" i="7"/>
  <c r="T112" i="7"/>
  <c r="T108" i="7"/>
  <c r="T106" i="7"/>
  <c r="T115" i="7"/>
  <c r="T115" i="9" s="1"/>
  <c r="T107" i="7"/>
  <c r="U63" i="7"/>
  <c r="U63" i="9" s="1"/>
  <c r="U47" i="9" s="1"/>
  <c r="Y192" i="4"/>
  <c r="T155" i="7"/>
  <c r="T164" i="7" s="1"/>
  <c r="T164" i="9" s="1"/>
  <c r="S38" i="5"/>
  <c r="S39" i="5" s="1"/>
  <c r="T131" i="7"/>
  <c r="U131" i="7" s="1"/>
  <c r="U131" i="9" s="1"/>
  <c r="S155" i="3"/>
  <c r="S91" i="3"/>
  <c r="S203" i="3"/>
  <c r="T110" i="7"/>
  <c r="T110" i="9" s="1"/>
  <c r="T94" i="9" s="1"/>
  <c r="T175" i="7"/>
  <c r="T175" i="9" s="1"/>
  <c r="V13" i="15"/>
  <c r="BM13" i="15" s="1"/>
  <c r="Q117" i="9"/>
  <c r="Q7" i="9" s="1"/>
  <c r="Q6" i="9" s="1"/>
  <c r="S144" i="7"/>
  <c r="S164" i="7"/>
  <c r="S164" i="9" s="1"/>
  <c r="R12" i="13"/>
  <c r="R7" i="13" s="1"/>
  <c r="T105" i="7"/>
  <c r="U105" i="7" s="1"/>
  <c r="U105" i="9" s="1"/>
  <c r="T123" i="7"/>
  <c r="T123" i="9" s="1"/>
  <c r="U205" i="13"/>
  <c r="U142" i="3" s="1"/>
  <c r="R127" i="13"/>
  <c r="Q31" i="9"/>
  <c r="S158" i="9"/>
  <c r="Y192" i="11"/>
  <c r="Y194" i="11" s="1"/>
  <c r="AM102" i="11"/>
  <c r="AN102" i="11" s="1"/>
  <c r="AN36" i="4" s="1"/>
  <c r="U204" i="13"/>
  <c r="U141" i="3" s="1"/>
  <c r="T109" i="7"/>
  <c r="U109" i="7" s="1"/>
  <c r="T47" i="7"/>
  <c r="T128" i="7"/>
  <c r="T128" i="9" s="1"/>
  <c r="S98" i="7"/>
  <c r="AD126" i="15"/>
  <c r="AD110" i="15" s="1"/>
  <c r="AE158" i="15"/>
  <c r="AF158" i="15" s="1"/>
  <c r="AF126" i="15" s="1"/>
  <c r="AF110" i="15" s="1"/>
  <c r="T130" i="7"/>
  <c r="T130" i="9" s="1"/>
  <c r="Z231" i="3"/>
  <c r="S98" i="9"/>
  <c r="BE62" i="14"/>
  <c r="AC333" i="19"/>
  <c r="AK301" i="15"/>
  <c r="AM301" i="15" s="1"/>
  <c r="AL301" i="15"/>
  <c r="BB157" i="16"/>
  <c r="BB169" i="16"/>
  <c r="AA13" i="7"/>
  <c r="AA213" i="7" s="1"/>
  <c r="AA17" i="6"/>
  <c r="BC196" i="15"/>
  <c r="AH44" i="4"/>
  <c r="AE124" i="15"/>
  <c r="AE108" i="15" s="1"/>
  <c r="BD171" i="16"/>
  <c r="BQ169" i="12" s="1"/>
  <c r="BB171" i="16"/>
  <c r="AI303" i="15"/>
  <c r="AF321" i="19"/>
  <c r="AG337" i="19"/>
  <c r="AH337" i="19" s="1"/>
  <c r="Z4" i="23"/>
  <c r="Z5" i="23" s="1"/>
  <c r="Z81" i="23" s="1"/>
  <c r="Z3" i="25"/>
  <c r="Z35" i="6"/>
  <c r="BC74" i="14"/>
  <c r="BE74" i="14"/>
  <c r="AL298" i="15"/>
  <c r="Y84" i="15"/>
  <c r="Y3" i="15"/>
  <c r="BS4" i="15"/>
  <c r="BO12" i="15"/>
  <c r="W212" i="15"/>
  <c r="W13" i="15"/>
  <c r="BO13" i="15" s="1"/>
  <c r="AC10" i="15"/>
  <c r="CA10" i="15" s="1"/>
  <c r="AC8" i="15"/>
  <c r="CA8" i="15" s="1"/>
  <c r="CA7" i="15"/>
  <c r="AD171" i="10"/>
  <c r="U64" i="9"/>
  <c r="U48" i="9" s="1"/>
  <c r="U48" i="7"/>
  <c r="AD170" i="10"/>
  <c r="AP131" i="19"/>
  <c r="R101" i="7"/>
  <c r="U51" i="7"/>
  <c r="U67" i="9"/>
  <c r="U51" i="9" s="1"/>
  <c r="T204" i="17"/>
  <c r="T188" i="17" s="1"/>
  <c r="T190" i="15"/>
  <c r="AG130" i="19"/>
  <c r="AE324" i="19"/>
  <c r="AP306" i="15"/>
  <c r="AI305" i="15"/>
  <c r="AH345" i="19"/>
  <c r="AJ345" i="19" s="1"/>
  <c r="S179" i="9"/>
  <c r="S147" i="9" s="1"/>
  <c r="S147" i="7"/>
  <c r="K464" i="3"/>
  <c r="K495" i="3"/>
  <c r="AR123" i="16"/>
  <c r="AT123" i="16" s="1"/>
  <c r="BA123" i="16" s="1"/>
  <c r="AT122" i="16"/>
  <c r="BA122" i="16" s="1"/>
  <c r="BE168" i="12"/>
  <c r="S79" i="25"/>
  <c r="S63" i="25" s="1"/>
  <c r="S47" i="25" s="1"/>
  <c r="S61" i="23"/>
  <c r="S45" i="23" s="1"/>
  <c r="AI331" i="19"/>
  <c r="AN159" i="14"/>
  <c r="AY159" i="14"/>
  <c r="BB159" i="14" s="1"/>
  <c r="U124" i="13"/>
  <c r="AL327" i="19"/>
  <c r="L366" i="3"/>
  <c r="L351" i="3"/>
  <c r="T149" i="3"/>
  <c r="T85" i="3"/>
  <c r="BE134" i="14"/>
  <c r="V44" i="5"/>
  <c r="AA336" i="11"/>
  <c r="AA191" i="4" s="1"/>
  <c r="AA95" i="5" s="1"/>
  <c r="AA207" i="4"/>
  <c r="AV170" i="20"/>
  <c r="AW170" i="20"/>
  <c r="AT135" i="20"/>
  <c r="AK135" i="20"/>
  <c r="M431" i="3"/>
  <c r="M416" i="3"/>
  <c r="Y143" i="11"/>
  <c r="AI135" i="16"/>
  <c r="AK135" i="16" s="1"/>
  <c r="AK134" i="16"/>
  <c r="BA134" i="16" s="1"/>
  <c r="S158" i="3"/>
  <c r="S206" i="3"/>
  <c r="S94" i="3"/>
  <c r="AG331" i="19"/>
  <c r="AS171" i="20"/>
  <c r="AA171" i="20"/>
  <c r="R374" i="19"/>
  <c r="R375" i="19"/>
  <c r="S54" i="17"/>
  <c r="V233" i="13"/>
  <c r="V203" i="11"/>
  <c r="V123" i="11" s="1"/>
  <c r="V43" i="11" s="1"/>
  <c r="U126" i="7"/>
  <c r="U126" i="9" s="1"/>
  <c r="U124" i="7"/>
  <c r="U124" i="9" s="1"/>
  <c r="U29" i="25"/>
  <c r="AS51" i="14"/>
  <c r="AV51" i="14" s="1"/>
  <c r="AV50" i="14"/>
  <c r="V71" i="25"/>
  <c r="V53" i="23"/>
  <c r="U60" i="5"/>
  <c r="U77" i="5" s="1"/>
  <c r="U151" i="4"/>
  <c r="U69" i="4"/>
  <c r="R38" i="5"/>
  <c r="R79" i="4"/>
  <c r="T170" i="9"/>
  <c r="AF38" i="4"/>
  <c r="AD45" i="4"/>
  <c r="V80" i="25"/>
  <c r="V64" i="25" s="1"/>
  <c r="V48" i="25" s="1"/>
  <c r="V62" i="23"/>
  <c r="V46" i="23" s="1"/>
  <c r="AR110" i="14"/>
  <c r="AO111" i="14"/>
  <c r="AR111" i="14" s="1"/>
  <c r="BT31" i="7"/>
  <c r="Q298" i="4"/>
  <c r="Q397" i="3"/>
  <c r="BC120" i="14"/>
  <c r="BE120" i="14"/>
  <c r="BC132" i="14"/>
  <c r="AC57" i="11"/>
  <c r="AS63" i="20"/>
  <c r="T38" i="11"/>
  <c r="AZ118" i="11"/>
  <c r="AO123" i="20"/>
  <c r="AS123" i="20"/>
  <c r="W87" i="4"/>
  <c r="T138" i="7"/>
  <c r="P332" i="4"/>
  <c r="P317" i="4"/>
  <c r="T60" i="9"/>
  <c r="T44" i="9" s="1"/>
  <c r="T44" i="7"/>
  <c r="BM18" i="15"/>
  <c r="BP20" i="15" s="1"/>
  <c r="BR35" i="15"/>
  <c r="V17" i="15"/>
  <c r="V22" i="15" s="1"/>
  <c r="AB13" i="23"/>
  <c r="AC13" i="23" s="1"/>
  <c r="AI99" i="16"/>
  <c r="AK99" i="16" s="1"/>
  <c r="BA99" i="16" s="1"/>
  <c r="AK98" i="16"/>
  <c r="BA98" i="16" s="1"/>
  <c r="Z133" i="21"/>
  <c r="Z140" i="19"/>
  <c r="Z140" i="21" s="1"/>
  <c r="W92" i="4"/>
  <c r="AJ298" i="15"/>
  <c r="AX25" i="14"/>
  <c r="AW26" i="14"/>
  <c r="BB246" i="11"/>
  <c r="T114" i="9"/>
  <c r="BT29" i="7"/>
  <c r="Q395" i="3"/>
  <c r="Q296" i="4"/>
  <c r="AR63" i="16"/>
  <c r="AT63" i="16" s="1"/>
  <c r="BA63" i="16" s="1"/>
  <c r="AT62" i="16"/>
  <c r="BA62" i="16" s="1"/>
  <c r="AS39" i="20"/>
  <c r="H267" i="4"/>
  <c r="H252" i="4"/>
  <c r="U23" i="23"/>
  <c r="AE111" i="11"/>
  <c r="T206" i="13"/>
  <c r="T207" i="13" s="1"/>
  <c r="X134" i="11"/>
  <c r="BD182" i="11"/>
  <c r="T177" i="25"/>
  <c r="T161" i="25" s="1"/>
  <c r="T129" i="25" s="1"/>
  <c r="T127" i="23"/>
  <c r="AZ15" i="14"/>
  <c r="AN15" i="14"/>
  <c r="AV74" i="20"/>
  <c r="AI63" i="18"/>
  <c r="AK62" i="18"/>
  <c r="BA62" i="18"/>
  <c r="BC62" i="18" s="1"/>
  <c r="I368" i="3"/>
  <c r="I353" i="3"/>
  <c r="AY119" i="12"/>
  <c r="AX120" i="12"/>
  <c r="AY131" i="12"/>
  <c r="V73" i="25"/>
  <c r="V57" i="25" s="1"/>
  <c r="V41" i="25" s="1"/>
  <c r="V55" i="23"/>
  <c r="V39" i="23" s="1"/>
  <c r="U197" i="13"/>
  <c r="W16" i="25"/>
  <c r="W6" i="2"/>
  <c r="AC42" i="4"/>
  <c r="AC60" i="11"/>
  <c r="AR87" i="16"/>
  <c r="AT87" i="16" s="1"/>
  <c r="BA87" i="16" s="1"/>
  <c r="AT86" i="16"/>
  <c r="BA86" i="16" s="1"/>
  <c r="AW62" i="20"/>
  <c r="AV62" i="20"/>
  <c r="AZ62" i="20" s="1"/>
  <c r="W133" i="26"/>
  <c r="R31" i="23"/>
  <c r="R28" i="25"/>
  <c r="AK154" i="15"/>
  <c r="T203" i="17"/>
  <c r="T187" i="17" s="1"/>
  <c r="T189" i="15"/>
  <c r="L332" i="4"/>
  <c r="L317" i="4"/>
  <c r="BE121" i="14"/>
  <c r="BC121" i="14"/>
  <c r="T136" i="3"/>
  <c r="T119" i="13"/>
  <c r="AC3" i="6"/>
  <c r="S168" i="25"/>
  <c r="S118" i="23"/>
  <c r="S161" i="23"/>
  <c r="T75" i="25"/>
  <c r="T59" i="25" s="1"/>
  <c r="T43" i="25" s="1"/>
  <c r="T57" i="23"/>
  <c r="T41" i="23" s="1"/>
  <c r="AE35" i="4"/>
  <c r="BT139" i="7"/>
  <c r="AV15" i="22"/>
  <c r="AW15" i="22" s="1"/>
  <c r="AS15" i="22"/>
  <c r="AS27" i="20"/>
  <c r="AK27" i="20"/>
  <c r="BT34" i="7"/>
  <c r="Q301" i="4"/>
  <c r="Q400" i="3"/>
  <c r="AH147" i="22"/>
  <c r="AV147" i="22"/>
  <c r="AW147" i="22" s="1"/>
  <c r="L382" i="3"/>
  <c r="AK39" i="18"/>
  <c r="AX122" i="14"/>
  <c r="AW123" i="14"/>
  <c r="AX123" i="14" s="1"/>
  <c r="V232" i="13"/>
  <c r="V202" i="11"/>
  <c r="V122" i="11" s="1"/>
  <c r="V42" i="11" s="1"/>
  <c r="R48" i="11"/>
  <c r="R49" i="11" s="1"/>
  <c r="R130" i="11"/>
  <c r="R129" i="11"/>
  <c r="X133" i="11"/>
  <c r="AY62" i="20"/>
  <c r="V79" i="25"/>
  <c r="V63" i="25" s="1"/>
  <c r="V47" i="25" s="1"/>
  <c r="V61" i="23"/>
  <c r="V45" i="23" s="1"/>
  <c r="O365" i="4"/>
  <c r="O395" i="4"/>
  <c r="AC181" i="11"/>
  <c r="AC188" i="11"/>
  <c r="AC183" i="11"/>
  <c r="AC187" i="11"/>
  <c r="AC186" i="11"/>
  <c r="AC190" i="11"/>
  <c r="AC184" i="11"/>
  <c r="AC191" i="11"/>
  <c r="AC189" i="11"/>
  <c r="AC182" i="11"/>
  <c r="AC185" i="11"/>
  <c r="AX134" i="20"/>
  <c r="AX146" i="20"/>
  <c r="AU27" i="20"/>
  <c r="AY27" i="20" s="1"/>
  <c r="AA27" i="20"/>
  <c r="V45" i="5"/>
  <c r="G417" i="3"/>
  <c r="G432" i="3"/>
  <c r="T175" i="25"/>
  <c r="T159" i="25" s="1"/>
  <c r="T127" i="25" s="1"/>
  <c r="T125" i="23"/>
  <c r="BS11" i="15"/>
  <c r="Y25" i="6"/>
  <c r="S141" i="7"/>
  <c r="AU135" i="20"/>
  <c r="AY135" i="20" s="1"/>
  <c r="R41" i="9"/>
  <c r="AW63" i="22"/>
  <c r="AS6" i="21"/>
  <c r="AU135" i="22"/>
  <c r="AL135" i="22"/>
  <c r="AA8" i="23"/>
  <c r="AA3" i="23"/>
  <c r="AA7" i="6"/>
  <c r="AJ300" i="15"/>
  <c r="AR183" i="16"/>
  <c r="AT183" i="16" s="1"/>
  <c r="BA183" i="16" s="1"/>
  <c r="BB183" i="16" s="1"/>
  <c r="AT182" i="16"/>
  <c r="BA182" i="16" s="1"/>
  <c r="BB182" i="16" s="1"/>
  <c r="Y137" i="11"/>
  <c r="S172" i="25"/>
  <c r="S156" i="25" s="1"/>
  <c r="S124" i="25" s="1"/>
  <c r="S122" i="23"/>
  <c r="T168" i="25"/>
  <c r="T118" i="23"/>
  <c r="T161" i="23"/>
  <c r="AY142" i="12"/>
  <c r="AX143" i="12"/>
  <c r="T143" i="7"/>
  <c r="T59" i="9"/>
  <c r="T43" i="9" s="1"/>
  <c r="T43" i="7"/>
  <c r="E395" i="4"/>
  <c r="E365" i="4"/>
  <c r="Q177" i="25"/>
  <c r="Q161" i="25" s="1"/>
  <c r="Q129" i="25" s="1"/>
  <c r="AV159" i="23"/>
  <c r="Q127" i="23"/>
  <c r="AV127" i="23" s="1"/>
  <c r="BD109" i="18"/>
  <c r="W84" i="4"/>
  <c r="AY87" i="20"/>
  <c r="AW170" i="22"/>
  <c r="BA170" i="22" s="1"/>
  <c r="AN75" i="14"/>
  <c r="BF165" i="12"/>
  <c r="BT165" i="12"/>
  <c r="BJ165" i="12" s="1"/>
  <c r="U172" i="25"/>
  <c r="U156" i="25" s="1"/>
  <c r="U124" i="25" s="1"/>
  <c r="U122" i="23"/>
  <c r="U26" i="23" s="1"/>
  <c r="Y337" i="11"/>
  <c r="S42" i="7"/>
  <c r="S58" i="9"/>
  <c r="S42" i="9" s="1"/>
  <c r="T143" i="9"/>
  <c r="E352" i="3"/>
  <c r="E367" i="3"/>
  <c r="AS171" i="22"/>
  <c r="AV171" i="22"/>
  <c r="BA147" i="18"/>
  <c r="BC147" i="18" s="1"/>
  <c r="V314" i="15"/>
  <c r="V282" i="15" s="1"/>
  <c r="V322" i="15"/>
  <c r="V290" i="15" s="1"/>
  <c r="V313" i="15"/>
  <c r="V281" i="15" s="1"/>
  <c r="V321" i="15"/>
  <c r="V289" i="15" s="1"/>
  <c r="V320" i="15"/>
  <c r="V288" i="15" s="1"/>
  <c r="V312" i="15"/>
  <c r="V280" i="15" s="1"/>
  <c r="V319" i="15"/>
  <c r="V287" i="15" s="1"/>
  <c r="V316" i="15"/>
  <c r="V284" i="15" s="1"/>
  <c r="V318" i="15"/>
  <c r="V286" i="15" s="1"/>
  <c r="V317" i="15"/>
  <c r="V285" i="15" s="1"/>
  <c r="V315" i="15"/>
  <c r="V283" i="15" s="1"/>
  <c r="W89" i="4"/>
  <c r="S20" i="17"/>
  <c r="S18" i="17" s="1"/>
  <c r="S17" i="17" s="1"/>
  <c r="S305" i="17"/>
  <c r="V186" i="13"/>
  <c r="V138" i="13" s="1"/>
  <c r="V180" i="13"/>
  <c r="V132" i="13" s="1"/>
  <c r="V179" i="13"/>
  <c r="V183" i="13"/>
  <c r="V135" i="13" s="1"/>
  <c r="V182" i="13"/>
  <c r="V134" i="13" s="1"/>
  <c r="V187" i="13"/>
  <c r="V139" i="13" s="1"/>
  <c r="E333" i="4"/>
  <c r="E318" i="4"/>
  <c r="AZ109" i="20"/>
  <c r="AD134" i="8"/>
  <c r="AI111" i="18"/>
  <c r="BA111" i="18" s="1"/>
  <c r="BA110" i="18"/>
  <c r="BC110" i="18" s="1"/>
  <c r="AD133" i="19"/>
  <c r="AN138" i="19"/>
  <c r="Q175" i="25"/>
  <c r="Q159" i="25" s="1"/>
  <c r="Q127" i="25" s="1"/>
  <c r="AV157" i="23"/>
  <c r="Q125" i="23"/>
  <c r="AV125" i="23" s="1"/>
  <c r="AY111" i="14"/>
  <c r="BB111" i="14" s="1"/>
  <c r="AN111" i="14"/>
  <c r="G267" i="4"/>
  <c r="G284" i="4" s="1"/>
  <c r="G252" i="4"/>
  <c r="Y135" i="11"/>
  <c r="AB127" i="15"/>
  <c r="AB111" i="15" s="1"/>
  <c r="AC159" i="15"/>
  <c r="AI51" i="18"/>
  <c r="AK51" i="18" s="1"/>
  <c r="AK50" i="18"/>
  <c r="AX134" i="14"/>
  <c r="AW135" i="14"/>
  <c r="AX135" i="14" s="1"/>
  <c r="AO306" i="15"/>
  <c r="BE97" i="14"/>
  <c r="BC97" i="14"/>
  <c r="AY99" i="20"/>
  <c r="H283" i="4"/>
  <c r="U58" i="7"/>
  <c r="X137" i="11"/>
  <c r="R369" i="15"/>
  <c r="R368" i="15"/>
  <c r="R367" i="15"/>
  <c r="R366" i="15"/>
  <c r="R365" i="15"/>
  <c r="R364" i="15"/>
  <c r="R360" i="15"/>
  <c r="R361" i="15"/>
  <c r="R363" i="15"/>
  <c r="R370" i="15"/>
  <c r="R362" i="15"/>
  <c r="T176" i="23"/>
  <c r="T160" i="23" s="1"/>
  <c r="AZ37" i="20"/>
  <c r="U15" i="26"/>
  <c r="V15" i="26" s="1"/>
  <c r="V14" i="26"/>
  <c r="W14" i="26" s="1"/>
  <c r="F464" i="3"/>
  <c r="F495" i="3"/>
  <c r="AI20" i="17"/>
  <c r="R18" i="17"/>
  <c r="V76" i="25"/>
  <c r="V60" i="25" s="1"/>
  <c r="V44" i="25" s="1"/>
  <c r="V58" i="23"/>
  <c r="V42" i="23" s="1"/>
  <c r="BC85" i="14"/>
  <c r="BE85" i="14"/>
  <c r="W71" i="23"/>
  <c r="W78" i="23"/>
  <c r="W77" i="23"/>
  <c r="W72" i="23"/>
  <c r="W76" i="23"/>
  <c r="W70" i="23"/>
  <c r="W74" i="23"/>
  <c r="W73" i="23"/>
  <c r="W75" i="23"/>
  <c r="W69" i="23"/>
  <c r="W80" i="23" s="1"/>
  <c r="W79" i="23"/>
  <c r="R178" i="9"/>
  <c r="R146" i="9" s="1"/>
  <c r="R34" i="9" s="1"/>
  <c r="R146" i="7"/>
  <c r="R34" i="7" s="1"/>
  <c r="S178" i="7"/>
  <c r="AR27" i="16"/>
  <c r="AT27" i="16" s="1"/>
  <c r="AT26" i="16"/>
  <c r="V134" i="26"/>
  <c r="U135" i="26"/>
  <c r="V135" i="26" s="1"/>
  <c r="R33" i="25"/>
  <c r="U159" i="26"/>
  <c r="V159" i="26" s="1"/>
  <c r="W159" i="26" s="1"/>
  <c r="V158" i="26"/>
  <c r="W158" i="26" s="1"/>
  <c r="X170" i="26" s="1"/>
  <c r="R26" i="23"/>
  <c r="U77" i="4"/>
  <c r="AG104" i="11"/>
  <c r="T179" i="7"/>
  <c r="U179" i="7" s="1"/>
  <c r="U179" i="9" s="1"/>
  <c r="AA64" i="11"/>
  <c r="AA65" i="11" s="1"/>
  <c r="AW182" i="22"/>
  <c r="AX182" i="22"/>
  <c r="D267" i="4"/>
  <c r="D284" i="4" s="1"/>
  <c r="D252" i="4"/>
  <c r="V78" i="15"/>
  <c r="V62" i="15" s="1"/>
  <c r="V77" i="15"/>
  <c r="V61" i="15" s="1"/>
  <c r="V76" i="15"/>
  <c r="V60" i="15" s="1"/>
  <c r="V75" i="15"/>
  <c r="V59" i="15" s="1"/>
  <c r="V79" i="15"/>
  <c r="V63" i="15" s="1"/>
  <c r="V74" i="15"/>
  <c r="V58" i="15" s="1"/>
  <c r="V82" i="15"/>
  <c r="V66" i="15" s="1"/>
  <c r="V81" i="15"/>
  <c r="V65" i="15" s="1"/>
  <c r="V80" i="15"/>
  <c r="V64" i="15" s="1"/>
  <c r="V73" i="15"/>
  <c r="V57" i="15" s="1"/>
  <c r="V72" i="15"/>
  <c r="V56" i="15" s="1"/>
  <c r="V237" i="13"/>
  <c r="V207" i="11"/>
  <c r="V127" i="11" s="1"/>
  <c r="V47" i="11" s="1"/>
  <c r="AD182" i="10"/>
  <c r="U199" i="13"/>
  <c r="H353" i="3"/>
  <c r="S175" i="25"/>
  <c r="S159" i="25" s="1"/>
  <c r="S127" i="25" s="1"/>
  <c r="S125" i="23"/>
  <c r="V74" i="25"/>
  <c r="V58" i="25" s="1"/>
  <c r="V42" i="25" s="1"/>
  <c r="V56" i="23"/>
  <c r="V40" i="23" s="1"/>
  <c r="S57" i="9"/>
  <c r="S41" i="7"/>
  <c r="S68" i="7"/>
  <c r="T73" i="25"/>
  <c r="T57" i="25" s="1"/>
  <c r="T41" i="25" s="1"/>
  <c r="T55" i="23"/>
  <c r="T39" i="23" s="1"/>
  <c r="BV13" i="7"/>
  <c r="X213" i="7"/>
  <c r="AX96" i="12"/>
  <c r="AY95" i="12"/>
  <c r="S176" i="25"/>
  <c r="S160" i="25" s="1"/>
  <c r="S128" i="25" s="1"/>
  <c r="S126" i="23"/>
  <c r="X22" i="5"/>
  <c r="X23" i="5" s="1"/>
  <c r="T170" i="25"/>
  <c r="T154" i="25" s="1"/>
  <c r="T122" i="25" s="1"/>
  <c r="T120" i="23"/>
  <c r="S141" i="9"/>
  <c r="R25" i="7"/>
  <c r="AR51" i="16"/>
  <c r="AT51" i="16" s="1"/>
  <c r="BA51" i="16" s="1"/>
  <c r="AT50" i="16"/>
  <c r="AO159" i="14"/>
  <c r="AR159" i="14" s="1"/>
  <c r="AR158" i="14"/>
  <c r="AW122" i="20"/>
  <c r="AV122" i="20"/>
  <c r="AO87" i="14"/>
  <c r="AR87" i="14" s="1"/>
  <c r="AR86" i="14"/>
  <c r="T76" i="25"/>
  <c r="T60" i="25" s="1"/>
  <c r="T44" i="25" s="1"/>
  <c r="T58" i="23"/>
  <c r="T42" i="23" s="1"/>
  <c r="AF39" i="4"/>
  <c r="R32" i="23"/>
  <c r="BE169" i="14"/>
  <c r="BC169" i="14"/>
  <c r="X14" i="7"/>
  <c r="AF304" i="15"/>
  <c r="Y139" i="11"/>
  <c r="U114" i="9"/>
  <c r="S169" i="25"/>
  <c r="S153" i="25" s="1"/>
  <c r="S121" i="25" s="1"/>
  <c r="S119" i="23"/>
  <c r="W93" i="4"/>
  <c r="X136" i="11"/>
  <c r="AS99" i="14"/>
  <c r="AV98" i="14"/>
  <c r="BO18" i="15"/>
  <c r="BS35" i="15"/>
  <c r="W17" i="15"/>
  <c r="AK347" i="19"/>
  <c r="AF101" i="11"/>
  <c r="Y96" i="5"/>
  <c r="BM8" i="13"/>
  <c r="AY38" i="20"/>
  <c r="S47" i="13"/>
  <c r="R175" i="9"/>
  <c r="R143" i="9" s="1"/>
  <c r="R31" i="9" s="1"/>
  <c r="R143" i="7"/>
  <c r="R31" i="7" s="1"/>
  <c r="X141" i="11"/>
  <c r="M464" i="3"/>
  <c r="M495" i="3"/>
  <c r="BQ11" i="15"/>
  <c r="X12" i="15"/>
  <c r="X13" i="15"/>
  <c r="BQ13" i="15" s="1"/>
  <c r="X25" i="6"/>
  <c r="Q15" i="26"/>
  <c r="S15" i="26" s="1"/>
  <c r="S14" i="26"/>
  <c r="AE322" i="19"/>
  <c r="U174" i="25"/>
  <c r="U158" i="25" s="1"/>
  <c r="U126" i="25" s="1"/>
  <c r="U30" i="25" s="1"/>
  <c r="U124" i="23"/>
  <c r="I495" i="3"/>
  <c r="I464" i="3"/>
  <c r="R26" i="9"/>
  <c r="U28" i="23"/>
  <c r="E383" i="3"/>
  <c r="Q135" i="26"/>
  <c r="S135" i="26" s="1"/>
  <c r="S134" i="26"/>
  <c r="AI51" i="16"/>
  <c r="AK51" i="16" s="1"/>
  <c r="AK50" i="16"/>
  <c r="Y8" i="25"/>
  <c r="Y11" i="23"/>
  <c r="Y36" i="6"/>
  <c r="T159" i="4"/>
  <c r="T78" i="4"/>
  <c r="T38" i="5" s="1"/>
  <c r="BE73" i="14"/>
  <c r="BC73" i="14"/>
  <c r="Y141" i="21"/>
  <c r="Y8" i="21" s="1"/>
  <c r="U121" i="13"/>
  <c r="BA166" i="12"/>
  <c r="BP166" i="12" s="1"/>
  <c r="AY166" i="12"/>
  <c r="AX167" i="12"/>
  <c r="BE168" i="14"/>
  <c r="AF340" i="19"/>
  <c r="U205" i="15"/>
  <c r="U189" i="15" s="1"/>
  <c r="U203" i="15"/>
  <c r="U187" i="15" s="1"/>
  <c r="U210" i="15"/>
  <c r="U194" i="15" s="1"/>
  <c r="U207" i="15"/>
  <c r="U191" i="15" s="1"/>
  <c r="U200" i="15"/>
  <c r="U184" i="15" s="1"/>
  <c r="U202" i="15"/>
  <c r="U186" i="15" s="1"/>
  <c r="U206" i="15"/>
  <c r="U190" i="15" s="1"/>
  <c r="AZ147" i="14"/>
  <c r="AN147" i="14"/>
  <c r="G283" i="4"/>
  <c r="W88" i="4"/>
  <c r="Y140" i="11"/>
  <c r="AW63" i="14"/>
  <c r="AX63" i="14" s="1"/>
  <c r="AX62" i="14"/>
  <c r="AK300" i="15"/>
  <c r="AV51" i="22"/>
  <c r="AW51" i="22" s="1"/>
  <c r="AS51" i="22"/>
  <c r="R182" i="17"/>
  <c r="AY74" i="20"/>
  <c r="T171" i="25"/>
  <c r="T155" i="25" s="1"/>
  <c r="T123" i="25" s="1"/>
  <c r="T121" i="23"/>
  <c r="S159" i="3"/>
  <c r="S207" i="3"/>
  <c r="S95" i="3"/>
  <c r="W13" i="26"/>
  <c r="U170" i="7"/>
  <c r="U170" i="9" s="1"/>
  <c r="U169" i="7"/>
  <c r="R173" i="9"/>
  <c r="R141" i="9" s="1"/>
  <c r="R29" i="9" s="1"/>
  <c r="T173" i="7"/>
  <c r="T173" i="9" s="1"/>
  <c r="R141" i="7"/>
  <c r="R29" i="7" s="1"/>
  <c r="U47" i="5"/>
  <c r="AY111" i="20"/>
  <c r="AZ121" i="20"/>
  <c r="S156" i="3"/>
  <c r="S204" i="3"/>
  <c r="S92" i="3"/>
  <c r="T197" i="3"/>
  <c r="U32" i="25"/>
  <c r="W157" i="26"/>
  <c r="X169" i="26" s="1"/>
  <c r="Z92" i="5"/>
  <c r="AE326" i="19"/>
  <c r="U139" i="3"/>
  <c r="U122" i="13"/>
  <c r="X138" i="11"/>
  <c r="V75" i="25"/>
  <c r="V59" i="25" s="1"/>
  <c r="V43" i="25" s="1"/>
  <c r="V57" i="23"/>
  <c r="V41" i="23" s="1"/>
  <c r="BC39" i="18"/>
  <c r="T81" i="25"/>
  <c r="T65" i="25" s="1"/>
  <c r="T49" i="25" s="1"/>
  <c r="T63" i="23"/>
  <c r="T47" i="23" s="1"/>
  <c r="Q384" i="17"/>
  <c r="Q368" i="17" s="1"/>
  <c r="Q48" i="17" s="1"/>
  <c r="BC370" i="15"/>
  <c r="Q354" i="15"/>
  <c r="AX146" i="14"/>
  <c r="AW147" i="14"/>
  <c r="AX147" i="14" s="1"/>
  <c r="V80" i="23"/>
  <c r="Z288" i="3"/>
  <c r="Z292" i="3"/>
  <c r="Z304" i="3" s="1"/>
  <c r="Z228" i="3"/>
  <c r="T140" i="3"/>
  <c r="T123" i="13"/>
  <c r="AG415" i="3"/>
  <c r="AF415" i="3"/>
  <c r="O431" i="3"/>
  <c r="O416" i="3"/>
  <c r="AA414" i="13"/>
  <c r="AA223" i="4"/>
  <c r="AA111" i="5" s="1"/>
  <c r="X31" i="13"/>
  <c r="X33" i="11"/>
  <c r="X34" i="11" s="1"/>
  <c r="X4" i="6"/>
  <c r="Z27" i="11"/>
  <c r="AA27" i="11"/>
  <c r="T278" i="17"/>
  <c r="AR159" i="16"/>
  <c r="AT159" i="16" s="1"/>
  <c r="AT158" i="16"/>
  <c r="AB59" i="11"/>
  <c r="V72" i="25"/>
  <c r="V56" i="25" s="1"/>
  <c r="V40" i="25" s="1"/>
  <c r="V54" i="23"/>
  <c r="V38" i="23" s="1"/>
  <c r="C365" i="4"/>
  <c r="C395" i="4"/>
  <c r="E283" i="4"/>
  <c r="X10" i="7"/>
  <c r="BV9" i="7"/>
  <c r="X16" i="6"/>
  <c r="Y9" i="7"/>
  <c r="Z9" i="7" s="1"/>
  <c r="AF296" i="15"/>
  <c r="S46" i="7"/>
  <c r="S62" i="9"/>
  <c r="S46" i="9" s="1"/>
  <c r="T62" i="7"/>
  <c r="U62" i="7" s="1"/>
  <c r="U60" i="9"/>
  <c r="U44" i="9" s="1"/>
  <c r="U44" i="7"/>
  <c r="U206" i="13"/>
  <c r="AA332" i="11"/>
  <c r="AA187" i="4" s="1"/>
  <c r="AA94" i="5" s="1"/>
  <c r="AA203" i="4"/>
  <c r="AA208" i="4" s="1"/>
  <c r="BE182" i="11"/>
  <c r="N332" i="4"/>
  <c r="N317" i="4"/>
  <c r="AW146" i="20"/>
  <c r="AV146" i="20"/>
  <c r="AZ146" i="20" s="1"/>
  <c r="AW158" i="20"/>
  <c r="H382" i="3"/>
  <c r="I382" i="3"/>
  <c r="W7" i="7"/>
  <c r="W117" i="7" s="1"/>
  <c r="W15" i="6"/>
  <c r="W3" i="7"/>
  <c r="X6" i="7"/>
  <c r="X3" i="7" s="1"/>
  <c r="R124" i="21"/>
  <c r="R108" i="21" s="1"/>
  <c r="R108" i="19"/>
  <c r="R127" i="19"/>
  <c r="R126" i="19"/>
  <c r="S372" i="15"/>
  <c r="BG23" i="15"/>
  <c r="S38" i="15"/>
  <c r="AD193" i="11"/>
  <c r="AD14" i="1"/>
  <c r="AD11" i="1" s="1"/>
  <c r="AD8" i="11"/>
  <c r="S143" i="9"/>
  <c r="R142" i="7"/>
  <c r="R30" i="7" s="1"/>
  <c r="BB87" i="18"/>
  <c r="Q87" i="24"/>
  <c r="S87" i="24" s="1"/>
  <c r="S86" i="24"/>
  <c r="W85" i="4"/>
  <c r="U31" i="23"/>
  <c r="E417" i="3"/>
  <c r="E432" i="3"/>
  <c r="AW75" i="20"/>
  <c r="AV75" i="20"/>
  <c r="S72" i="25"/>
  <c r="S56" i="25" s="1"/>
  <c r="S40" i="25" s="1"/>
  <c r="S54" i="23"/>
  <c r="S38" i="23" s="1"/>
  <c r="S22" i="23" s="1"/>
  <c r="W11" i="7"/>
  <c r="W181" i="7" s="1"/>
  <c r="R177" i="9"/>
  <c r="R145" i="9" s="1"/>
  <c r="R33" i="9" s="1"/>
  <c r="S177" i="7"/>
  <c r="T177" i="7" s="1"/>
  <c r="R145" i="7"/>
  <c r="R33" i="7" s="1"/>
  <c r="S199" i="17"/>
  <c r="S183" i="17" s="1"/>
  <c r="S185" i="15"/>
  <c r="AR26" i="14"/>
  <c r="AO27" i="14"/>
  <c r="AR27" i="14" s="1"/>
  <c r="AX86" i="20"/>
  <c r="H332" i="4"/>
  <c r="H317" i="4"/>
  <c r="V114" i="7"/>
  <c r="D465" i="3"/>
  <c r="D496" i="3"/>
  <c r="U23" i="15"/>
  <c r="BK22" i="15"/>
  <c r="U28" i="6"/>
  <c r="S171" i="7"/>
  <c r="T171" i="7" s="1"/>
  <c r="AW50" i="20"/>
  <c r="AV50" i="20"/>
  <c r="AZ50" i="20" s="1"/>
  <c r="AR111" i="16"/>
  <c r="AT111" i="16" s="1"/>
  <c r="BA111" i="16" s="1"/>
  <c r="AT110" i="16"/>
  <c r="BA110" i="16" s="1"/>
  <c r="AG160" i="15"/>
  <c r="BX13" i="7"/>
  <c r="Y213" i="7"/>
  <c r="AA180" i="4"/>
  <c r="H464" i="3"/>
  <c r="H495" i="3"/>
  <c r="AT27" i="22"/>
  <c r="AW27" i="22" s="1"/>
  <c r="AP27" i="22"/>
  <c r="V227" i="13"/>
  <c r="V197" i="11"/>
  <c r="U112" i="3"/>
  <c r="V123" i="4"/>
  <c r="V156" i="4" s="1"/>
  <c r="AD121" i="8"/>
  <c r="AD133" i="8"/>
  <c r="BE61" i="14"/>
  <c r="BC61" i="14"/>
  <c r="V116" i="4"/>
  <c r="V149" i="4" s="1"/>
  <c r="AB329" i="11"/>
  <c r="AB184" i="4" s="1"/>
  <c r="AB200" i="4"/>
  <c r="D395" i="4"/>
  <c r="D365" i="4"/>
  <c r="BA26" i="16"/>
  <c r="U157" i="4"/>
  <c r="AF328" i="19"/>
  <c r="Q382" i="17"/>
  <c r="Q366" i="17" s="1"/>
  <c r="Q46" i="17" s="1"/>
  <c r="BC368" i="15"/>
  <c r="Q352" i="15"/>
  <c r="AP135" i="22"/>
  <c r="AV135" i="22"/>
  <c r="S150" i="3"/>
  <c r="S198" i="3"/>
  <c r="S86" i="3"/>
  <c r="Q383" i="17"/>
  <c r="Q367" i="17" s="1"/>
  <c r="Q47" i="17" s="1"/>
  <c r="BC369" i="15"/>
  <c r="Q353" i="15"/>
  <c r="F267" i="4"/>
  <c r="F252" i="4"/>
  <c r="V231" i="13"/>
  <c r="V201" i="11"/>
  <c r="V121" i="11" s="1"/>
  <c r="V41" i="11" s="1"/>
  <c r="AG303" i="15"/>
  <c r="AH303" i="15"/>
  <c r="AV39" i="22"/>
  <c r="AW39" i="22" s="1"/>
  <c r="AS39" i="22"/>
  <c r="AF329" i="19"/>
  <c r="AG345" i="19"/>
  <c r="AI345" i="19" s="1"/>
  <c r="AV74" i="14"/>
  <c r="AS75" i="14"/>
  <c r="AV75" i="14" s="1"/>
  <c r="W111" i="24"/>
  <c r="T173" i="25"/>
  <c r="T157" i="25" s="1"/>
  <c r="T125" i="25" s="1"/>
  <c r="T123" i="23"/>
  <c r="U169" i="25"/>
  <c r="U153" i="25" s="1"/>
  <c r="U121" i="25" s="1"/>
  <c r="U25" i="25" s="1"/>
  <c r="U119" i="23"/>
  <c r="AE328" i="19"/>
  <c r="T176" i="25"/>
  <c r="T160" i="25" s="1"/>
  <c r="T128" i="25" s="1"/>
  <c r="T126" i="23"/>
  <c r="S206" i="17"/>
  <c r="S190" i="17" s="1"/>
  <c r="S192" i="15"/>
  <c r="M268" i="4"/>
  <c r="M253" i="4"/>
  <c r="T132" i="3"/>
  <c r="T115" i="13"/>
  <c r="V174" i="23"/>
  <c r="V158" i="23" s="1"/>
  <c r="V167" i="23"/>
  <c r="V151" i="23" s="1"/>
  <c r="V169" i="23"/>
  <c r="V153" i="23" s="1"/>
  <c r="V166" i="23"/>
  <c r="V150" i="23" s="1"/>
  <c r="V168" i="23"/>
  <c r="V152" i="23" s="1"/>
  <c r="V171" i="23"/>
  <c r="V155" i="23" s="1"/>
  <c r="V173" i="23"/>
  <c r="V157" i="23" s="1"/>
  <c r="V175" i="23"/>
  <c r="V159" i="23" s="1"/>
  <c r="V172" i="23"/>
  <c r="V156" i="23" s="1"/>
  <c r="V170" i="23"/>
  <c r="V154" i="23" s="1"/>
  <c r="Z4" i="15"/>
  <c r="AA4" i="15" s="1"/>
  <c r="T37" i="5"/>
  <c r="U170" i="25"/>
  <c r="U154" i="25" s="1"/>
  <c r="U122" i="25" s="1"/>
  <c r="U26" i="25" s="1"/>
  <c r="U120" i="23"/>
  <c r="U24" i="23" s="1"/>
  <c r="AF322" i="19"/>
  <c r="Z21" i="5"/>
  <c r="P351" i="3"/>
  <c r="P366" i="3"/>
  <c r="Q300" i="4"/>
  <c r="BT33" i="7"/>
  <c r="Q399" i="3"/>
  <c r="S207" i="17"/>
  <c r="S191" i="17" s="1"/>
  <c r="S193" i="15"/>
  <c r="AB184" i="11"/>
  <c r="AB181" i="11"/>
  <c r="AB188" i="11"/>
  <c r="AB183" i="11"/>
  <c r="AB187" i="11"/>
  <c r="AB190" i="11"/>
  <c r="AB186" i="11"/>
  <c r="AB189" i="11"/>
  <c r="AB182" i="11"/>
  <c r="AB191" i="11"/>
  <c r="AB185" i="11"/>
  <c r="AB129" i="15"/>
  <c r="AB113" i="15" s="1"/>
  <c r="AC161" i="15"/>
  <c r="AD161" i="15" s="1"/>
  <c r="U168" i="25"/>
  <c r="U118" i="23"/>
  <c r="U22" i="23" s="1"/>
  <c r="U161" i="23"/>
  <c r="Q176" i="25"/>
  <c r="Q160" i="25" s="1"/>
  <c r="Q128" i="25" s="1"/>
  <c r="AV158" i="23"/>
  <c r="Q126" i="23"/>
  <c r="AV126" i="23" s="1"/>
  <c r="AB3" i="6"/>
  <c r="AB12" i="7"/>
  <c r="AC12" i="7" s="1"/>
  <c r="R66" i="17"/>
  <c r="W90" i="4"/>
  <c r="AY154" i="12"/>
  <c r="AX155" i="12"/>
  <c r="AD99" i="8"/>
  <c r="V146" i="24"/>
  <c r="W146" i="24" s="1"/>
  <c r="U147" i="24"/>
  <c r="V147" i="24" s="1"/>
  <c r="W147" i="24" s="1"/>
  <c r="T201" i="15"/>
  <c r="U201" i="15" s="1"/>
  <c r="T78" i="17"/>
  <c r="T62" i="17" s="1"/>
  <c r="T64" i="15"/>
  <c r="BE144" i="14"/>
  <c r="AB108" i="15"/>
  <c r="AP339" i="19"/>
  <c r="AP323" i="19" s="1"/>
  <c r="AG162" i="15"/>
  <c r="V190" i="13"/>
  <c r="V142" i="13" s="1"/>
  <c r="O253" i="4"/>
  <c r="BD182" i="18"/>
  <c r="BK17" i="15"/>
  <c r="U37" i="15"/>
  <c r="U27" i="6"/>
  <c r="R109" i="19"/>
  <c r="T48" i="3"/>
  <c r="T68" i="3"/>
  <c r="T80" i="3" s="1"/>
  <c r="V121" i="4"/>
  <c r="V73" i="4" s="1"/>
  <c r="R151" i="3"/>
  <c r="R199" i="3"/>
  <c r="R87" i="3"/>
  <c r="R142" i="9"/>
  <c r="R30" i="9" s="1"/>
  <c r="AV87" i="20"/>
  <c r="R27" i="25"/>
  <c r="U33" i="25"/>
  <c r="T57" i="7"/>
  <c r="U57" i="7" s="1"/>
  <c r="S77" i="25"/>
  <c r="S61" i="25" s="1"/>
  <c r="S45" i="25" s="1"/>
  <c r="S29" i="25" s="1"/>
  <c r="S59" i="23"/>
  <c r="S43" i="23" s="1"/>
  <c r="S27" i="23" s="1"/>
  <c r="AO147" i="20"/>
  <c r="AS147" i="20"/>
  <c r="AX108" i="12"/>
  <c r="AY107" i="12"/>
  <c r="AD348" i="19"/>
  <c r="AD332" i="19" s="1"/>
  <c r="G366" i="3"/>
  <c r="G351" i="3"/>
  <c r="H366" i="3"/>
  <c r="Q51" i="26"/>
  <c r="S51" i="26" s="1"/>
  <c r="S50" i="26"/>
  <c r="S200" i="17"/>
  <c r="S184" i="17" s="1"/>
  <c r="S186" i="15"/>
  <c r="AT135" i="22"/>
  <c r="AS135" i="22"/>
  <c r="AV98" i="20"/>
  <c r="AZ98" i="20" s="1"/>
  <c r="AW98" i="20"/>
  <c r="K431" i="3"/>
  <c r="K416" i="3"/>
  <c r="AZ157" i="20"/>
  <c r="V8" i="7"/>
  <c r="V133" i="7" s="1"/>
  <c r="BC133" i="14"/>
  <c r="S80" i="5"/>
  <c r="Z7" i="11"/>
  <c r="Z20" i="6" s="1"/>
  <c r="R29" i="23"/>
  <c r="AI87" i="18"/>
  <c r="AK86" i="18"/>
  <c r="BA86" i="18"/>
  <c r="BC86" i="18" s="1"/>
  <c r="AC129" i="19"/>
  <c r="U72" i="4"/>
  <c r="T78" i="25"/>
  <c r="T62" i="25" s="1"/>
  <c r="T46" i="25" s="1"/>
  <c r="T60" i="23"/>
  <c r="T44" i="23" s="1"/>
  <c r="AS51" i="20"/>
  <c r="AA51" i="20"/>
  <c r="R28" i="23"/>
  <c r="AD109" i="11"/>
  <c r="AF156" i="15"/>
  <c r="AG156" i="15" s="1"/>
  <c r="Y14" i="7"/>
  <c r="R159" i="3"/>
  <c r="R207" i="3"/>
  <c r="R95" i="3"/>
  <c r="AN27" i="14"/>
  <c r="H365" i="4"/>
  <c r="H395" i="4"/>
  <c r="S202" i="17"/>
  <c r="S186" i="17" s="1"/>
  <c r="S188" i="15"/>
  <c r="AB335" i="11"/>
  <c r="AB190" i="4" s="1"/>
  <c r="AB206" i="4"/>
  <c r="U28" i="25"/>
  <c r="AO123" i="14"/>
  <c r="AR122" i="14"/>
  <c r="AY122" i="14"/>
  <c r="AN135" i="14"/>
  <c r="Y138" i="11"/>
  <c r="AP171" i="14"/>
  <c r="AR171" i="14" s="1"/>
  <c r="AR170" i="14"/>
  <c r="V119" i="4"/>
  <c r="V152" i="4" s="1"/>
  <c r="U99" i="24"/>
  <c r="V99" i="24" s="1"/>
  <c r="W99" i="24" s="1"/>
  <c r="V98" i="24"/>
  <c r="W98" i="24" s="1"/>
  <c r="AH331" i="19"/>
  <c r="AK123" i="18"/>
  <c r="BB123" i="18"/>
  <c r="AJ347" i="19"/>
  <c r="AL347" i="19" s="1"/>
  <c r="T174" i="25"/>
  <c r="T158" i="25" s="1"/>
  <c r="T126" i="25" s="1"/>
  <c r="T124" i="23"/>
  <c r="V110" i="3"/>
  <c r="AE125" i="15"/>
  <c r="AE109" i="15" s="1"/>
  <c r="AF157" i="15"/>
  <c r="S127" i="9"/>
  <c r="S95" i="9" s="1"/>
  <c r="T127" i="7"/>
  <c r="S95" i="7"/>
  <c r="U175" i="25"/>
  <c r="U159" i="25" s="1"/>
  <c r="U127" i="25" s="1"/>
  <c r="U31" i="25" s="1"/>
  <c r="U125" i="23"/>
  <c r="U29" i="23" s="1"/>
  <c r="R293" i="4"/>
  <c r="R392" i="3"/>
  <c r="BA50" i="16"/>
  <c r="BB169" i="20"/>
  <c r="BR167" i="12" s="1"/>
  <c r="BH167" i="12" s="1"/>
  <c r="AZ169" i="20"/>
  <c r="N495" i="3"/>
  <c r="N464" i="3"/>
  <c r="T157" i="3"/>
  <c r="T93" i="3"/>
  <c r="T150" i="3"/>
  <c r="T86" i="3"/>
  <c r="AN99" i="14"/>
  <c r="BC145" i="14"/>
  <c r="BE145" i="14"/>
  <c r="AK330" i="19"/>
  <c r="T58" i="9"/>
  <c r="T42" i="9" s="1"/>
  <c r="T42" i="7"/>
  <c r="BC195" i="15"/>
  <c r="BL14" i="13"/>
  <c r="T12" i="13"/>
  <c r="AN87" i="14"/>
  <c r="AE321" i="19"/>
  <c r="AE348" i="19"/>
  <c r="AE332" i="19" s="1"/>
  <c r="N252" i="4"/>
  <c r="O268" i="4" s="1"/>
  <c r="N267" i="4"/>
  <c r="N284" i="4" s="1"/>
  <c r="U71" i="4"/>
  <c r="W171" i="23"/>
  <c r="W155" i="23" s="1"/>
  <c r="W169" i="23"/>
  <c r="W153" i="23" s="1"/>
  <c r="W166" i="23"/>
  <c r="W150" i="23" s="1"/>
  <c r="W174" i="23"/>
  <c r="W158" i="23" s="1"/>
  <c r="W168" i="23"/>
  <c r="W152" i="23" s="1"/>
  <c r="W175" i="23"/>
  <c r="W159" i="23" s="1"/>
  <c r="W167" i="23"/>
  <c r="W151" i="23" s="1"/>
  <c r="W173" i="23"/>
  <c r="W157" i="23" s="1"/>
  <c r="W172" i="23"/>
  <c r="W156" i="23" s="1"/>
  <c r="W170" i="23"/>
  <c r="W154" i="23" s="1"/>
  <c r="AA7" i="11"/>
  <c r="AA20" i="6" s="1"/>
  <c r="AZ86" i="20"/>
  <c r="V228" i="13"/>
  <c r="V198" i="11"/>
  <c r="O267" i="4"/>
  <c r="O284" i="4" s="1"/>
  <c r="AL147" i="22"/>
  <c r="AW135" i="20"/>
  <c r="U83" i="25"/>
  <c r="U5" i="25" s="1"/>
  <c r="U4" i="25" s="1"/>
  <c r="U55" i="25"/>
  <c r="AW87" i="22"/>
  <c r="BA183" i="18"/>
  <c r="BC183" i="18" s="1"/>
  <c r="BD183" i="18" s="1"/>
  <c r="AJ330" i="19"/>
  <c r="AR147" i="18"/>
  <c r="AT147" i="18" s="1"/>
  <c r="AT146" i="18"/>
  <c r="BB39" i="18"/>
  <c r="R97" i="21"/>
  <c r="R125" i="21"/>
  <c r="R7" i="21" s="1"/>
  <c r="R6" i="21" s="1"/>
  <c r="AH159" i="18"/>
  <c r="BB159" i="18"/>
  <c r="BC159" i="18" s="1"/>
  <c r="U103" i="13"/>
  <c r="U40" i="3" s="1"/>
  <c r="U107" i="13"/>
  <c r="U44" i="3" s="1"/>
  <c r="U99" i="13"/>
  <c r="U104" i="13"/>
  <c r="U41" i="3" s="1"/>
  <c r="U109" i="13"/>
  <c r="U46" i="3" s="1"/>
  <c r="U101" i="13"/>
  <c r="U38" i="3" s="1"/>
  <c r="U106" i="13"/>
  <c r="U43" i="3" s="1"/>
  <c r="U102" i="13"/>
  <c r="U39" i="3" s="1"/>
  <c r="U105" i="13"/>
  <c r="U42" i="3" s="1"/>
  <c r="U100" i="13"/>
  <c r="U37" i="3" s="1"/>
  <c r="U108" i="13"/>
  <c r="U45" i="3" s="1"/>
  <c r="U110" i="13"/>
  <c r="U47" i="3" s="1"/>
  <c r="V120" i="4"/>
  <c r="V153" i="4" s="1"/>
  <c r="AW87" i="20"/>
  <c r="D417" i="3"/>
  <c r="D432" i="3"/>
  <c r="S74" i="25"/>
  <c r="S58" i="25" s="1"/>
  <c r="S42" i="25" s="1"/>
  <c r="S26" i="25" s="1"/>
  <c r="S56" i="23"/>
  <c r="S40" i="23" s="1"/>
  <c r="S24" i="23" s="1"/>
  <c r="U63" i="26"/>
  <c r="V63" i="26" s="1"/>
  <c r="W63" i="26" s="1"/>
  <c r="V62" i="26"/>
  <c r="W62" i="26" s="1"/>
  <c r="AO75" i="14"/>
  <c r="AR75" i="14" s="1"/>
  <c r="AR74" i="14"/>
  <c r="U198" i="13"/>
  <c r="S203" i="17"/>
  <c r="S187" i="17" s="1"/>
  <c r="S189" i="15"/>
  <c r="Q101" i="9"/>
  <c r="AW134" i="22"/>
  <c r="J365" i="4"/>
  <c r="J395" i="4"/>
  <c r="AW171" i="14"/>
  <c r="AX171" i="14" s="1"/>
  <c r="AX170" i="14"/>
  <c r="Q147" i="26"/>
  <c r="S147" i="26" s="1"/>
  <c r="S146" i="26"/>
  <c r="W146" i="26" s="1"/>
  <c r="S63" i="5"/>
  <c r="AD146" i="8"/>
  <c r="AI39" i="16"/>
  <c r="AK39" i="16" s="1"/>
  <c r="BA39" i="16" s="1"/>
  <c r="AK38" i="16"/>
  <c r="BA38" i="16" s="1"/>
  <c r="R31" i="25"/>
  <c r="BB183" i="18"/>
  <c r="AP123" i="14"/>
  <c r="AZ123" i="14" s="1"/>
  <c r="AZ122" i="14"/>
  <c r="AI132" i="19"/>
  <c r="T71" i="25"/>
  <c r="T53" i="23"/>
  <c r="R30" i="25"/>
  <c r="AD15" i="7"/>
  <c r="AE15" i="7" s="1"/>
  <c r="V110" i="26"/>
  <c r="U111" i="26"/>
  <c r="V111" i="26" s="1"/>
  <c r="W111" i="26" s="1"/>
  <c r="J19" i="25" s="1"/>
  <c r="J20" i="25" s="1"/>
  <c r="T74" i="17"/>
  <c r="T58" i="17" s="1"/>
  <c r="T60" i="15"/>
  <c r="T76" i="5"/>
  <c r="T80" i="5" s="1"/>
  <c r="T63" i="5"/>
  <c r="T75" i="17"/>
  <c r="T59" i="17" s="1"/>
  <c r="T61" i="15"/>
  <c r="X139" i="11"/>
  <c r="Q51" i="24"/>
  <c r="S51" i="24" s="1"/>
  <c r="S50" i="24"/>
  <c r="BI7" i="13"/>
  <c r="Q27" i="13"/>
  <c r="AC7" i="11"/>
  <c r="AC20" i="6" s="1"/>
  <c r="T172" i="25"/>
  <c r="T156" i="25" s="1"/>
  <c r="T124" i="25" s="1"/>
  <c r="T122" i="23"/>
  <c r="AY75" i="20"/>
  <c r="BA27" i="16"/>
  <c r="BB27" i="18"/>
  <c r="AH27" i="18"/>
  <c r="S65" i="9"/>
  <c r="S49" i="9" s="1"/>
  <c r="S49" i="7"/>
  <c r="AA108" i="5"/>
  <c r="AV62" i="14"/>
  <c r="AS63" i="14"/>
  <c r="AV63" i="14" s="1"/>
  <c r="Y142" i="11"/>
  <c r="AA63" i="20"/>
  <c r="AU63" i="20"/>
  <c r="AY63" i="20" s="1"/>
  <c r="D352" i="3"/>
  <c r="D367" i="3"/>
  <c r="D384" i="3" s="1"/>
  <c r="U133" i="3"/>
  <c r="U116" i="13"/>
  <c r="AV152" i="23"/>
  <c r="Q170" i="25"/>
  <c r="Q120" i="23"/>
  <c r="F283" i="4"/>
  <c r="K353" i="3"/>
  <c r="M366" i="3"/>
  <c r="M383" i="3" s="1"/>
  <c r="M351" i="3"/>
  <c r="AV111" i="20"/>
  <c r="BY7" i="15"/>
  <c r="AB8" i="15"/>
  <c r="BY8" i="15" s="1"/>
  <c r="AB10" i="15"/>
  <c r="BY10" i="15" s="1"/>
  <c r="R68" i="9"/>
  <c r="R52" i="9" s="1"/>
  <c r="R52" i="7"/>
  <c r="AZ38" i="20"/>
  <c r="AX87" i="20"/>
  <c r="M382" i="3"/>
  <c r="Z8" i="25"/>
  <c r="Z11" i="23"/>
  <c r="Z36" i="6"/>
  <c r="AW110" i="20"/>
  <c r="AV110" i="20"/>
  <c r="R65" i="23"/>
  <c r="R37" i="23"/>
  <c r="AI27" i="18"/>
  <c r="BA26" i="18"/>
  <c r="BC26" i="18" s="1"/>
  <c r="AK26" i="18"/>
  <c r="T201" i="17"/>
  <c r="T185" i="17" s="1"/>
  <c r="T187" i="15"/>
  <c r="R116" i="9"/>
  <c r="R100" i="7"/>
  <c r="AD328" i="19"/>
  <c r="G365" i="4"/>
  <c r="G395" i="4"/>
  <c r="L268" i="4"/>
  <c r="L253" i="4"/>
  <c r="AJ122" i="15"/>
  <c r="AJ106" i="15" s="1"/>
  <c r="AK135" i="19"/>
  <c r="AL135" i="19" s="1"/>
  <c r="BK3" i="13"/>
  <c r="J332" i="4"/>
  <c r="J317" i="4"/>
  <c r="R172" i="9"/>
  <c r="R140" i="9" s="1"/>
  <c r="R28" i="9" s="1"/>
  <c r="S172" i="7"/>
  <c r="R140" i="7"/>
  <c r="R28" i="7" s="1"/>
  <c r="T158" i="3"/>
  <c r="T94" i="3"/>
  <c r="BA135" i="16"/>
  <c r="T209" i="15"/>
  <c r="AB46" i="4"/>
  <c r="T72" i="13"/>
  <c r="T75" i="13"/>
  <c r="T70" i="13"/>
  <c r="T68" i="13"/>
  <c r="T78" i="13"/>
  <c r="T77" i="13"/>
  <c r="T74" i="13"/>
  <c r="T69" i="13"/>
  <c r="T76" i="13"/>
  <c r="T67" i="13"/>
  <c r="T73" i="13"/>
  <c r="T71" i="13"/>
  <c r="V146" i="11"/>
  <c r="V94" i="4"/>
  <c r="V50" i="26"/>
  <c r="W50" i="26" s="1"/>
  <c r="U51" i="26"/>
  <c r="V51" i="26" s="1"/>
  <c r="W51" i="26" s="1"/>
  <c r="Q180" i="9"/>
  <c r="Q148" i="9" s="1"/>
  <c r="Q149" i="9" s="1"/>
  <c r="BT180" i="7"/>
  <c r="Q148" i="7"/>
  <c r="BT148" i="7" s="1"/>
  <c r="L365" i="4"/>
  <c r="L395" i="4"/>
  <c r="BC365" i="15"/>
  <c r="Q379" i="17"/>
  <c r="Q363" i="17" s="1"/>
  <c r="Q43" i="17" s="1"/>
  <c r="Q349" i="15"/>
  <c r="P283" i="4"/>
  <c r="T208" i="15"/>
  <c r="AY158" i="20"/>
  <c r="AV158" i="20"/>
  <c r="Q380" i="17"/>
  <c r="Q364" i="17" s="1"/>
  <c r="Q44" i="17" s="1"/>
  <c r="BC366" i="15"/>
  <c r="Q350" i="15"/>
  <c r="T205" i="17"/>
  <c r="T189" i="17" s="1"/>
  <c r="T191" i="15"/>
  <c r="T66" i="15"/>
  <c r="T80" i="17"/>
  <c r="T64" i="17" s="1"/>
  <c r="AS39" i="14"/>
  <c r="AV39" i="14" s="1"/>
  <c r="AV38" i="14"/>
  <c r="AN63" i="14"/>
  <c r="V46" i="5"/>
  <c r="T137" i="9"/>
  <c r="AD171" i="8"/>
  <c r="V236" i="13"/>
  <c r="V206" i="11"/>
  <c r="V126" i="11" s="1"/>
  <c r="V46" i="11" s="1"/>
  <c r="S121" i="9"/>
  <c r="S89" i="9" s="1"/>
  <c r="S132" i="7"/>
  <c r="S132" i="9" s="1"/>
  <c r="T121" i="7"/>
  <c r="U121" i="7" s="1"/>
  <c r="K365" i="4"/>
  <c r="K395" i="4"/>
  <c r="AW134" i="20"/>
  <c r="AV134" i="20"/>
  <c r="AZ134" i="20" s="1"/>
  <c r="U65" i="23"/>
  <c r="U37" i="23"/>
  <c r="AW86" i="22"/>
  <c r="BM20" i="15"/>
  <c r="U68" i="4"/>
  <c r="U35" i="5" s="1"/>
  <c r="BT52" i="7"/>
  <c r="V124" i="4"/>
  <c r="V76" i="4" s="1"/>
  <c r="AB348" i="11"/>
  <c r="S80" i="25"/>
  <c r="S64" i="25" s="1"/>
  <c r="S48" i="25" s="1"/>
  <c r="S62" i="23"/>
  <c r="S46" i="23" s="1"/>
  <c r="J495" i="3"/>
  <c r="J464" i="3"/>
  <c r="AD463" i="3"/>
  <c r="AH463" i="3" s="1"/>
  <c r="R152" i="25"/>
  <c r="R179" i="25"/>
  <c r="Q96" i="3"/>
  <c r="AW14" i="22"/>
  <c r="S198" i="17"/>
  <c r="S184" i="15"/>
  <c r="X241" i="11"/>
  <c r="X15" i="11"/>
  <c r="X257" i="11" s="1"/>
  <c r="AY159" i="22"/>
  <c r="AY171" i="22"/>
  <c r="AS99" i="20"/>
  <c r="AW111" i="20" s="1"/>
  <c r="AD99" i="20"/>
  <c r="Q210" i="17"/>
  <c r="Q12" i="17" s="1"/>
  <c r="AC123" i="10"/>
  <c r="F417" i="3"/>
  <c r="F432" i="3"/>
  <c r="AM343" i="19"/>
  <c r="Z189" i="11"/>
  <c r="Z184" i="11"/>
  <c r="Z181" i="11"/>
  <c r="Z188" i="11"/>
  <c r="Z183" i="11"/>
  <c r="Z191" i="11"/>
  <c r="Z185" i="11"/>
  <c r="Z190" i="11"/>
  <c r="Z186" i="11"/>
  <c r="Z187" i="11"/>
  <c r="Z182" i="11"/>
  <c r="AH183" i="18"/>
  <c r="AW123" i="22"/>
  <c r="T74" i="25"/>
  <c r="T58" i="25" s="1"/>
  <c r="T42" i="25" s="1"/>
  <c r="T26" i="25" s="1"/>
  <c r="T56" i="23"/>
  <c r="T40" i="23" s="1"/>
  <c r="T24" i="23" s="1"/>
  <c r="AA22" i="5"/>
  <c r="AA23" i="5" s="1"/>
  <c r="AS159" i="14"/>
  <c r="AV159" i="14" s="1"/>
  <c r="AV158" i="14"/>
  <c r="T76" i="17"/>
  <c r="T60" i="17" s="1"/>
  <c r="T62" i="15"/>
  <c r="AY158" i="14"/>
  <c r="BB158" i="14" s="1"/>
  <c r="P395" i="4"/>
  <c r="P365" i="4"/>
  <c r="AX74" i="14"/>
  <c r="AW75" i="14"/>
  <c r="AX75" i="14" s="1"/>
  <c r="AU75" i="22"/>
  <c r="AW75" i="22" s="1"/>
  <c r="AL75" i="22"/>
  <c r="Z336" i="11"/>
  <c r="Z207" i="4"/>
  <c r="AA103" i="5" s="1"/>
  <c r="AS87" i="22"/>
  <c r="AV87" i="22"/>
  <c r="L431" i="3"/>
  <c r="L416" i="3"/>
  <c r="BB110" i="14"/>
  <c r="Z103" i="5"/>
  <c r="Z104" i="5" s="1"/>
  <c r="Y208" i="4"/>
  <c r="AF342" i="19"/>
  <c r="S61" i="9"/>
  <c r="S45" i="9" s="1"/>
  <c r="S45" i="7"/>
  <c r="T61" i="7"/>
  <c r="U61" i="7" s="1"/>
  <c r="AK75" i="20"/>
  <c r="Y136" i="11"/>
  <c r="AX14" i="14"/>
  <c r="AW15" i="14"/>
  <c r="AX15" i="14" s="1"/>
  <c r="Z169" i="24"/>
  <c r="BS167" i="12" s="1"/>
  <c r="BI167" i="12" s="1"/>
  <c r="X169" i="24"/>
  <c r="AR51" i="18"/>
  <c r="AT51" i="18" s="1"/>
  <c r="AT50" i="18"/>
  <c r="AC124" i="15"/>
  <c r="S148" i="3"/>
  <c r="S196" i="3"/>
  <c r="U83" i="15"/>
  <c r="U67" i="15" s="1"/>
  <c r="U68" i="15" s="1"/>
  <c r="V125" i="4"/>
  <c r="V158" i="4" s="1"/>
  <c r="U171" i="25"/>
  <c r="U155" i="25" s="1"/>
  <c r="U123" i="25" s="1"/>
  <c r="U27" i="25" s="1"/>
  <c r="U121" i="23"/>
  <c r="U25" i="23" s="1"/>
  <c r="AR63" i="18"/>
  <c r="AT63" i="18" s="1"/>
  <c r="AT62" i="18"/>
  <c r="AA101" i="5"/>
  <c r="W83" i="4"/>
  <c r="AL346" i="19"/>
  <c r="U176" i="25"/>
  <c r="U160" i="25" s="1"/>
  <c r="U128" i="25" s="1"/>
  <c r="U126" i="23"/>
  <c r="U30" i="23" s="1"/>
  <c r="BA183" i="14"/>
  <c r="AN183" i="14"/>
  <c r="AD159" i="20"/>
  <c r="AU159" i="20"/>
  <c r="AY171" i="20" s="1"/>
  <c r="AK171" i="20"/>
  <c r="M365" i="4"/>
  <c r="M395" i="4"/>
  <c r="BB170" i="14"/>
  <c r="BC182" i="14" s="1"/>
  <c r="AY178" i="12"/>
  <c r="AX179" i="12"/>
  <c r="Q377" i="17"/>
  <c r="Q347" i="15"/>
  <c r="BC363" i="15"/>
  <c r="AJ137" i="19"/>
  <c r="BD170" i="18"/>
  <c r="T200" i="17"/>
  <c r="T184" i="17" s="1"/>
  <c r="T186" i="15"/>
  <c r="T72" i="17"/>
  <c r="T56" i="17" s="1"/>
  <c r="T58" i="15"/>
  <c r="V367" i="13"/>
  <c r="V22" i="13" s="1"/>
  <c r="V339" i="13"/>
  <c r="AA184" i="11"/>
  <c r="AA181" i="11"/>
  <c r="AA188" i="11"/>
  <c r="AA183" i="11"/>
  <c r="AA187" i="11"/>
  <c r="AA185" i="11"/>
  <c r="AA190" i="11"/>
  <c r="AA186" i="11"/>
  <c r="AA189" i="11"/>
  <c r="AA182" i="11"/>
  <c r="AA191" i="11"/>
  <c r="BD121" i="18"/>
  <c r="F333" i="4"/>
  <c r="F318" i="4"/>
  <c r="BE169" i="12"/>
  <c r="V234" i="13"/>
  <c r="V204" i="11"/>
  <c r="V124" i="11" s="1"/>
  <c r="V44" i="11" s="1"/>
  <c r="R133" i="9"/>
  <c r="R8" i="9" s="1"/>
  <c r="AK183" i="20"/>
  <c r="AW182" i="20"/>
  <c r="AV182" i="20"/>
  <c r="Q53" i="7"/>
  <c r="BT53" i="7" s="1"/>
  <c r="N365" i="4"/>
  <c r="N395" i="4"/>
  <c r="Q295" i="4"/>
  <c r="BT28" i="7"/>
  <c r="Q394" i="3"/>
  <c r="AV155" i="23"/>
  <c r="Q173" i="25"/>
  <c r="Q157" i="25" s="1"/>
  <c r="Q125" i="25" s="1"/>
  <c r="Q123" i="23"/>
  <c r="AV123" i="23" s="1"/>
  <c r="AL36" i="4"/>
  <c r="I365" i="4"/>
  <c r="I395" i="4"/>
  <c r="S174" i="25"/>
  <c r="S158" i="25" s="1"/>
  <c r="S126" i="25" s="1"/>
  <c r="S124" i="23"/>
  <c r="W86" i="4"/>
  <c r="V256" i="11"/>
  <c r="V208" i="11" s="1"/>
  <c r="V128" i="11" s="1"/>
  <c r="V48" i="11" s="1"/>
  <c r="AV159" i="22"/>
  <c r="AS159" i="22"/>
  <c r="V4" i="7"/>
  <c r="V69" i="7" s="1"/>
  <c r="V14" i="6"/>
  <c r="V13" i="6" s="1"/>
  <c r="U209" i="11"/>
  <c r="U48" i="6" s="1"/>
  <c r="U68" i="6" s="1"/>
  <c r="U117" i="11"/>
  <c r="AE128" i="15"/>
  <c r="AE112" i="15" s="1"/>
  <c r="AE370" i="19"/>
  <c r="AE376" i="19" s="1"/>
  <c r="AF29" i="19"/>
  <c r="S71" i="25"/>
  <c r="S53" i="23"/>
  <c r="AV154" i="23"/>
  <c r="Q122" i="23"/>
  <c r="AV122" i="23" s="1"/>
  <c r="Q172" i="25"/>
  <c r="Q156" i="25" s="1"/>
  <c r="Q124" i="25" s="1"/>
  <c r="V184" i="13"/>
  <c r="V136" i="13" s="1"/>
  <c r="AR171" i="18"/>
  <c r="AT171" i="18" s="1"/>
  <c r="AT170" i="18"/>
  <c r="Q208" i="3"/>
  <c r="S208" i="17"/>
  <c r="S192" i="17" s="1"/>
  <c r="S194" i="15"/>
  <c r="W246" i="11"/>
  <c r="W253" i="11"/>
  <c r="W248" i="11"/>
  <c r="AC248" i="11" s="1"/>
  <c r="W245" i="11"/>
  <c r="W252" i="11"/>
  <c r="W247" i="11"/>
  <c r="W249" i="11"/>
  <c r="W251" i="11"/>
  <c r="W250" i="11"/>
  <c r="W255" i="11"/>
  <c r="W254" i="11"/>
  <c r="R176" i="9"/>
  <c r="R144" i="9" s="1"/>
  <c r="R32" i="9" s="1"/>
  <c r="R144" i="7"/>
  <c r="R32" i="7" s="1"/>
  <c r="T176" i="7"/>
  <c r="U176" i="7" s="1"/>
  <c r="U176" i="9" s="1"/>
  <c r="AY158" i="22"/>
  <c r="AY170" i="22"/>
  <c r="Q194" i="17"/>
  <c r="AC122" i="10"/>
  <c r="S151" i="3"/>
  <c r="S199" i="3"/>
  <c r="AS26" i="14"/>
  <c r="AV25" i="14"/>
  <c r="AY25" i="14"/>
  <c r="BB25" i="14" s="1"/>
  <c r="BE25" i="14" s="1"/>
  <c r="H417" i="3"/>
  <c r="H432" i="3"/>
  <c r="V61" i="5"/>
  <c r="V78" i="5" s="1"/>
  <c r="U154" i="4"/>
  <c r="K268" i="4"/>
  <c r="K253" i="4"/>
  <c r="U59" i="5"/>
  <c r="U148" i="4"/>
  <c r="AW122" i="22"/>
  <c r="T80" i="23"/>
  <c r="U74" i="4"/>
  <c r="AG338" i="19"/>
  <c r="AI299" i="15"/>
  <c r="Y141" i="11"/>
  <c r="AY86" i="14"/>
  <c r="BB86" i="14" s="1"/>
  <c r="T169" i="25"/>
  <c r="T153" i="25" s="1"/>
  <c r="T121" i="25" s="1"/>
  <c r="T119" i="23"/>
  <c r="N382" i="3"/>
  <c r="I267" i="4"/>
  <c r="I252" i="4"/>
  <c r="AG302" i="15"/>
  <c r="U323" i="15"/>
  <c r="U291" i="15" s="1"/>
  <c r="U292" i="15" s="1"/>
  <c r="AK111" i="18"/>
  <c r="BB111" i="18"/>
  <c r="S143" i="7"/>
  <c r="AD415" i="3"/>
  <c r="AH415" i="3" s="1"/>
  <c r="J416" i="3"/>
  <c r="J431" i="3"/>
  <c r="Q159" i="26"/>
  <c r="S159" i="26" s="1"/>
  <c r="S158" i="26"/>
  <c r="T71" i="17"/>
  <c r="T55" i="17" s="1"/>
  <c r="T57" i="15"/>
  <c r="P382" i="3"/>
  <c r="AF130" i="15"/>
  <c r="AF114" i="15" s="1"/>
  <c r="T79" i="17"/>
  <c r="T63" i="17" s="1"/>
  <c r="T65" i="15"/>
  <c r="U173" i="25"/>
  <c r="U157" i="25" s="1"/>
  <c r="U125" i="25" s="1"/>
  <c r="U123" i="23"/>
  <c r="U27" i="23" s="1"/>
  <c r="O495" i="3"/>
  <c r="O464" i="3"/>
  <c r="AE463" i="3"/>
  <c r="AG463" i="3"/>
  <c r="AI463" i="3" s="1"/>
  <c r="AF463" i="3"/>
  <c r="AY38" i="11"/>
  <c r="AI147" i="18"/>
  <c r="AK147" i="18" s="1"/>
  <c r="AK146" i="18"/>
  <c r="AW159" i="14"/>
  <c r="AX159" i="14" s="1"/>
  <c r="AX158" i="14"/>
  <c r="U39" i="26"/>
  <c r="V39" i="26" s="1"/>
  <c r="W39" i="26" s="1"/>
  <c r="V38" i="26"/>
  <c r="W38" i="26" s="1"/>
  <c r="W50" i="24"/>
  <c r="AA406" i="13"/>
  <c r="AA215" i="4"/>
  <c r="AA109" i="5" s="1"/>
  <c r="AA328" i="11"/>
  <c r="AA183" i="4" s="1"/>
  <c r="AA93" i="5" s="1"/>
  <c r="AB376" i="11"/>
  <c r="W51" i="24"/>
  <c r="AE304" i="15"/>
  <c r="AM139" i="19"/>
  <c r="AY171" i="14"/>
  <c r="BB171" i="14" s="1"/>
  <c r="AN171" i="14"/>
  <c r="AD110" i="8"/>
  <c r="S93" i="7"/>
  <c r="S109" i="9"/>
  <c r="S93" i="9" s="1"/>
  <c r="X18" i="6"/>
  <c r="AE39" i="4"/>
  <c r="Q381" i="17"/>
  <c r="Q365" i="17" s="1"/>
  <c r="Q45" i="17" s="1"/>
  <c r="Q351" i="15"/>
  <c r="BC367" i="15"/>
  <c r="BA171" i="18"/>
  <c r="BC171" i="18" s="1"/>
  <c r="X177" i="23"/>
  <c r="X10" i="23"/>
  <c r="T194" i="15"/>
  <c r="T208" i="17"/>
  <c r="T192" i="17" s="1"/>
  <c r="T77" i="17"/>
  <c r="T61" i="17" s="1"/>
  <c r="T63" i="15"/>
  <c r="S127" i="13"/>
  <c r="BA159" i="16"/>
  <c r="BB159" i="16" s="1"/>
  <c r="V238" i="13"/>
  <c r="AD135" i="8"/>
  <c r="AO183" i="20"/>
  <c r="AS183" i="20"/>
  <c r="Q27" i="7"/>
  <c r="V182" i="24"/>
  <c r="W182" i="24" s="1"/>
  <c r="U183" i="24"/>
  <c r="V183" i="24" s="1"/>
  <c r="W183" i="24" s="1"/>
  <c r="AZ181" i="20"/>
  <c r="BB181" i="20"/>
  <c r="T129" i="11"/>
  <c r="T37" i="11"/>
  <c r="Z11" i="15"/>
  <c r="AD7" i="15"/>
  <c r="S173" i="25"/>
  <c r="S157" i="25" s="1"/>
  <c r="S125" i="25" s="1"/>
  <c r="S123" i="23"/>
  <c r="V122" i="4"/>
  <c r="V155" i="4" s="1"/>
  <c r="X65" i="11"/>
  <c r="X142" i="11"/>
  <c r="U239" i="13"/>
  <c r="U14" i="13" s="1"/>
  <c r="U195" i="13"/>
  <c r="S73" i="25"/>
  <c r="S57" i="25" s="1"/>
  <c r="S41" i="25" s="1"/>
  <c r="S25" i="25" s="1"/>
  <c r="S55" i="23"/>
  <c r="S39" i="23" s="1"/>
  <c r="S23" i="23" s="1"/>
  <c r="W147" i="26"/>
  <c r="M19" i="25" s="1"/>
  <c r="M20" i="25" s="1"/>
  <c r="S205" i="17"/>
  <c r="S189" i="17" s="1"/>
  <c r="S191" i="15"/>
  <c r="T157" i="9"/>
  <c r="V81" i="25"/>
  <c r="V65" i="25" s="1"/>
  <c r="V49" i="25" s="1"/>
  <c r="V63" i="23"/>
  <c r="V47" i="23" s="1"/>
  <c r="AB140" i="19"/>
  <c r="S174" i="7"/>
  <c r="N431" i="3"/>
  <c r="N416" i="3"/>
  <c r="K284" i="4"/>
  <c r="V185" i="13"/>
  <c r="V137" i="13" s="1"/>
  <c r="U255" i="13"/>
  <c r="U15" i="13" s="1"/>
  <c r="BM15" i="13" s="1"/>
  <c r="V247" i="13" s="1"/>
  <c r="BD133" i="18"/>
  <c r="W84" i="15"/>
  <c r="W3" i="15"/>
  <c r="BO4" i="15"/>
  <c r="G464" i="3"/>
  <c r="G495" i="3"/>
  <c r="T72" i="25"/>
  <c r="T56" i="25" s="1"/>
  <c r="T40" i="25" s="1"/>
  <c r="T54" i="23"/>
  <c r="T38" i="23" s="1"/>
  <c r="T22" i="23" s="1"/>
  <c r="X34" i="6"/>
  <c r="S131" i="9"/>
  <c r="S99" i="9" s="1"/>
  <c r="S99" i="7"/>
  <c r="S178" i="25"/>
  <c r="S162" i="25" s="1"/>
  <c r="S130" i="25" s="1"/>
  <c r="S128" i="23"/>
  <c r="AR15" i="14"/>
  <c r="AY15" i="14"/>
  <c r="BB15" i="14" s="1"/>
  <c r="BE15" i="14" s="1"/>
  <c r="F365" i="4"/>
  <c r="F395" i="4"/>
  <c r="AG44" i="4"/>
  <c r="J253" i="4"/>
  <c r="V229" i="13"/>
  <c r="V199" i="11"/>
  <c r="V119" i="11" s="1"/>
  <c r="V39" i="11" s="1"/>
  <c r="L464" i="3"/>
  <c r="L495" i="3"/>
  <c r="AV26" i="20"/>
  <c r="AZ26" i="20" s="1"/>
  <c r="AW26" i="20"/>
  <c r="AH75" i="18"/>
  <c r="BB75" i="18"/>
  <c r="BC75" i="18" s="1"/>
  <c r="AD350" i="3"/>
  <c r="AH350" i="3" s="1"/>
  <c r="J366" i="3"/>
  <c r="J383" i="3" s="1"/>
  <c r="J351" i="3"/>
  <c r="K366" i="3"/>
  <c r="K383" i="3" s="1"/>
  <c r="E252" i="4"/>
  <c r="E267" i="4"/>
  <c r="T80" i="25"/>
  <c r="T64" i="25" s="1"/>
  <c r="T48" i="25" s="1"/>
  <c r="T32" i="25" s="1"/>
  <c r="T62" i="23"/>
  <c r="T46" i="23" s="1"/>
  <c r="T30" i="23" s="1"/>
  <c r="AT99" i="20"/>
  <c r="AK99" i="20"/>
  <c r="T23" i="15"/>
  <c r="BH29" i="15"/>
  <c r="BI22" i="15"/>
  <c r="T28" i="6"/>
  <c r="T22" i="6" s="1"/>
  <c r="AV75" i="22"/>
  <c r="AS75" i="22"/>
  <c r="Q111" i="26"/>
  <c r="S111" i="26" s="1"/>
  <c r="S110" i="26"/>
  <c r="S68" i="15"/>
  <c r="AH136" i="19"/>
  <c r="S128" i="9"/>
  <c r="S96" i="9" s="1"/>
  <c r="S96" i="7"/>
  <c r="U157" i="7"/>
  <c r="U160" i="7"/>
  <c r="U156" i="7"/>
  <c r="U163" i="7"/>
  <c r="U161" i="7"/>
  <c r="V161" i="7" s="1"/>
  <c r="U154" i="7"/>
  <c r="U162" i="7"/>
  <c r="U158" i="7"/>
  <c r="U159" i="7"/>
  <c r="U153" i="7"/>
  <c r="V170" i="24"/>
  <c r="W170" i="24" s="1"/>
  <c r="U171" i="24"/>
  <c r="V171" i="24" s="1"/>
  <c r="W171" i="24" s="1"/>
  <c r="AH51" i="18"/>
  <c r="BB51" i="18"/>
  <c r="T198" i="17"/>
  <c r="T184" i="15"/>
  <c r="R209" i="17"/>
  <c r="R193" i="17" s="1"/>
  <c r="R195" i="15"/>
  <c r="AV176" i="23"/>
  <c r="Q160" i="23"/>
  <c r="Y3" i="25"/>
  <c r="Y4" i="23"/>
  <c r="Y5" i="23" s="1"/>
  <c r="Y81" i="23" s="1"/>
  <c r="Y35" i="6"/>
  <c r="AB7" i="11"/>
  <c r="AB20" i="6" s="1"/>
  <c r="AF128" i="15"/>
  <c r="AF112" i="15" s="1"/>
  <c r="U177" i="25"/>
  <c r="U161" i="25" s="1"/>
  <c r="U129" i="25" s="1"/>
  <c r="U127" i="23"/>
  <c r="T337" i="17"/>
  <c r="T304" i="17" s="1"/>
  <c r="T288" i="17" s="1"/>
  <c r="T291" i="15"/>
  <c r="T292" i="15" s="1"/>
  <c r="BB170" i="16"/>
  <c r="BD170" i="16"/>
  <c r="BQ168" i="12" s="1"/>
  <c r="BG168" i="12" s="1"/>
  <c r="AB333" i="19"/>
  <c r="AD51" i="20"/>
  <c r="AU51" i="20"/>
  <c r="AY51" i="20" s="1"/>
  <c r="U59" i="9"/>
  <c r="U43" i="9" s="1"/>
  <c r="U43" i="7"/>
  <c r="X84" i="15"/>
  <c r="X3" i="15"/>
  <c r="BQ4" i="15"/>
  <c r="R171" i="9"/>
  <c r="R139" i="7"/>
  <c r="R180" i="7"/>
  <c r="R83" i="25"/>
  <c r="R5" i="25" s="1"/>
  <c r="R55" i="25"/>
  <c r="T70" i="17"/>
  <c r="T56" i="15"/>
  <c r="AO147" i="14"/>
  <c r="AR146" i="14"/>
  <c r="AY146" i="14"/>
  <c r="BB146" i="14" s="1"/>
  <c r="Y134" i="11"/>
  <c r="V117" i="4"/>
  <c r="V150" i="4" s="1"/>
  <c r="AX183" i="20"/>
  <c r="BA158" i="16"/>
  <c r="BB158" i="16" s="1"/>
  <c r="W91" i="4"/>
  <c r="V235" i="13"/>
  <c r="V205" i="11"/>
  <c r="V125" i="11" s="1"/>
  <c r="V45" i="11" s="1"/>
  <c r="AZ170" i="14"/>
  <c r="AW87" i="14"/>
  <c r="AX87" i="14" s="1"/>
  <c r="AX86" i="14"/>
  <c r="X181" i="24"/>
  <c r="Z181" i="24"/>
  <c r="K332" i="4"/>
  <c r="K317" i="4"/>
  <c r="AD107" i="11"/>
  <c r="S177" i="25"/>
  <c r="S161" i="25" s="1"/>
  <c r="S129" i="25" s="1"/>
  <c r="S127" i="23"/>
  <c r="V115" i="4"/>
  <c r="AW99" i="14"/>
  <c r="AX99" i="14" s="1"/>
  <c r="AX98" i="14"/>
  <c r="AO138" i="19"/>
  <c r="AP138" i="19" s="1"/>
  <c r="R89" i="9"/>
  <c r="X135" i="11"/>
  <c r="AY14" i="14"/>
  <c r="BB14" i="14" s="1"/>
  <c r="BE14" i="14" s="1"/>
  <c r="F366" i="3"/>
  <c r="F383" i="3" s="1"/>
  <c r="F351" i="3"/>
  <c r="S75" i="25"/>
  <c r="S59" i="25" s="1"/>
  <c r="S43" i="25" s="1"/>
  <c r="S57" i="23"/>
  <c r="S41" i="23" s="1"/>
  <c r="S122" i="9"/>
  <c r="S90" i="9" s="1"/>
  <c r="T122" i="7"/>
  <c r="S90" i="7"/>
  <c r="AC61" i="11"/>
  <c r="Q160" i="3"/>
  <c r="S187" i="15"/>
  <c r="S201" i="17"/>
  <c r="S185" i="17" s="1"/>
  <c r="W235" i="11"/>
  <c r="W234" i="11"/>
  <c r="W233" i="11"/>
  <c r="W240" i="11"/>
  <c r="W239" i="11"/>
  <c r="W229" i="11"/>
  <c r="W232" i="11"/>
  <c r="W237" i="11"/>
  <c r="W230" i="11"/>
  <c r="W236" i="11"/>
  <c r="W238" i="11"/>
  <c r="W231" i="11"/>
  <c r="U87" i="24"/>
  <c r="V87" i="24" s="1"/>
  <c r="V86" i="24"/>
  <c r="V77" i="25"/>
  <c r="V61" i="25" s="1"/>
  <c r="V45" i="25" s="1"/>
  <c r="V59" i="23"/>
  <c r="V43" i="23" s="1"/>
  <c r="AV27" i="22"/>
  <c r="T65" i="7"/>
  <c r="U65" i="7" s="1"/>
  <c r="AZ145" i="20"/>
  <c r="U62" i="5"/>
  <c r="U79" i="5" s="1"/>
  <c r="Q69" i="9"/>
  <c r="Q4" i="9" s="1"/>
  <c r="Q3" i="9" s="1"/>
  <c r="Q32" i="7"/>
  <c r="BC74" i="18"/>
  <c r="BD74" i="18" s="1"/>
  <c r="Q17" i="17"/>
  <c r="AH17" i="17" s="1"/>
  <c r="AH18" i="17"/>
  <c r="AI183" i="18"/>
  <c r="AK183" i="18" s="1"/>
  <c r="AK182" i="18"/>
  <c r="T79" i="25"/>
  <c r="T63" i="25" s="1"/>
  <c r="T47" i="25" s="1"/>
  <c r="T31" i="25" s="1"/>
  <c r="T61" i="23"/>
  <c r="T45" i="23" s="1"/>
  <c r="T29" i="23" s="1"/>
  <c r="AX39" i="20"/>
  <c r="AX51" i="20"/>
  <c r="X78" i="23"/>
  <c r="X75" i="23"/>
  <c r="X71" i="23"/>
  <c r="X76" i="23"/>
  <c r="X70" i="23"/>
  <c r="X74" i="23"/>
  <c r="X73" i="23"/>
  <c r="X77" i="23"/>
  <c r="X69" i="23"/>
  <c r="X72" i="23"/>
  <c r="X79" i="23"/>
  <c r="BE98" i="14"/>
  <c r="T64" i="9"/>
  <c r="T48" i="9" s="1"/>
  <c r="T48" i="7"/>
  <c r="U137" i="3"/>
  <c r="U120" i="13"/>
  <c r="BM3" i="15"/>
  <c r="V23" i="6"/>
  <c r="U159" i="24"/>
  <c r="V159" i="24" s="1"/>
  <c r="W159" i="24" s="1"/>
  <c r="V158" i="24"/>
  <c r="W158" i="24" s="1"/>
  <c r="AX183" i="22"/>
  <c r="AW183" i="22"/>
  <c r="AD324" i="19"/>
  <c r="G318" i="4"/>
  <c r="G333" i="4"/>
  <c r="R178" i="25"/>
  <c r="R162" i="25" s="1"/>
  <c r="R130" i="25" s="1"/>
  <c r="R34" i="25" s="1"/>
  <c r="R128" i="23"/>
  <c r="R129" i="23" s="1"/>
  <c r="S171" i="25"/>
  <c r="S155" i="25" s="1"/>
  <c r="S123" i="25" s="1"/>
  <c r="S121" i="23"/>
  <c r="U118" i="11"/>
  <c r="BA198" i="11"/>
  <c r="V122" i="24"/>
  <c r="W122" i="24" s="1"/>
  <c r="U123" i="24"/>
  <c r="V123" i="24" s="1"/>
  <c r="W123" i="24" s="1"/>
  <c r="X140" i="11"/>
  <c r="O332" i="4"/>
  <c r="O317" i="4"/>
  <c r="C464" i="3"/>
  <c r="C495" i="3"/>
  <c r="AX98" i="20"/>
  <c r="AX110" i="20"/>
  <c r="AD87" i="8"/>
  <c r="AM131" i="19"/>
  <c r="AN131" i="19" s="1"/>
  <c r="AO131" i="19" s="1"/>
  <c r="BB183" i="14"/>
  <c r="AD325" i="19"/>
  <c r="AD333" i="19" s="1"/>
  <c r="Y133" i="11"/>
  <c r="Z46" i="4"/>
  <c r="Z64" i="11"/>
  <c r="W110" i="24"/>
  <c r="T139" i="3"/>
  <c r="T122" i="13"/>
  <c r="AD124" i="15"/>
  <c r="AD108" i="15" s="1"/>
  <c r="D332" i="4"/>
  <c r="D317" i="4"/>
  <c r="AC325" i="19"/>
  <c r="Q174" i="25"/>
  <c r="Q158" i="25" s="1"/>
  <c r="Q126" i="25" s="1"/>
  <c r="Q124" i="23"/>
  <c r="AV124" i="23" s="1"/>
  <c r="AV156" i="23"/>
  <c r="T135" i="3"/>
  <c r="T118" i="13"/>
  <c r="T51" i="7"/>
  <c r="T67" i="9"/>
  <c r="T51" i="9" s="1"/>
  <c r="S81" i="25"/>
  <c r="S65" i="25" s="1"/>
  <c r="S49" i="25" s="1"/>
  <c r="S33" i="25" s="1"/>
  <c r="S63" i="23"/>
  <c r="S47" i="23" s="1"/>
  <c r="S31" i="23" s="1"/>
  <c r="T161" i="9"/>
  <c r="T138" i="3"/>
  <c r="T121" i="13"/>
  <c r="V212" i="15"/>
  <c r="BM12" i="15"/>
  <c r="AS87" i="14"/>
  <c r="AV87" i="14" s="1"/>
  <c r="AV86" i="14"/>
  <c r="AO39" i="14"/>
  <c r="AR39" i="14" s="1"/>
  <c r="AR38" i="14"/>
  <c r="AV111" i="22"/>
  <c r="AW111" i="22" s="1"/>
  <c r="AS111" i="22"/>
  <c r="N366" i="3"/>
  <c r="N383" i="3" s="1"/>
  <c r="N351" i="3"/>
  <c r="Z13" i="7"/>
  <c r="Z213" i="7" s="1"/>
  <c r="Z17" i="6"/>
  <c r="S125" i="19"/>
  <c r="S6" i="19"/>
  <c r="S31" i="19"/>
  <c r="S127" i="19"/>
  <c r="U76" i="4"/>
  <c r="W194" i="11"/>
  <c r="W144" i="11"/>
  <c r="W145" i="11" s="1"/>
  <c r="W47" i="6" s="1"/>
  <c r="W65" i="6" s="1"/>
  <c r="AR135" i="18"/>
  <c r="AT135" i="18" s="1"/>
  <c r="AT134" i="18"/>
  <c r="V43" i="5"/>
  <c r="R179" i="9"/>
  <c r="R147" i="9" s="1"/>
  <c r="R35" i="9" s="1"/>
  <c r="R147" i="7"/>
  <c r="R35" i="7" s="1"/>
  <c r="S78" i="25"/>
  <c r="S62" i="25" s="1"/>
  <c r="S46" i="25" s="1"/>
  <c r="S30" i="25" s="1"/>
  <c r="S60" i="23"/>
  <c r="S44" i="23" s="1"/>
  <c r="S28" i="23" s="1"/>
  <c r="S204" i="17"/>
  <c r="S188" i="17" s="1"/>
  <c r="S190" i="15"/>
  <c r="AO51" i="14"/>
  <c r="AR50" i="14"/>
  <c r="AY50" i="14"/>
  <c r="BB50" i="14" s="1"/>
  <c r="BE50" i="14" s="1"/>
  <c r="AG344" i="19"/>
  <c r="AH344" i="19" s="1"/>
  <c r="AI99" i="18"/>
  <c r="BA98" i="18"/>
  <c r="BC98" i="18" s="1"/>
  <c r="BD98" i="18" s="1"/>
  <c r="AK98" i="18"/>
  <c r="S80" i="23"/>
  <c r="AB180" i="4"/>
  <c r="U176" i="23"/>
  <c r="U160" i="23" s="1"/>
  <c r="AI4" i="17"/>
  <c r="R3" i="17"/>
  <c r="AI3" i="17" s="1"/>
  <c r="P495" i="3"/>
  <c r="P464" i="3"/>
  <c r="AL63" i="22"/>
  <c r="BB15" i="18"/>
  <c r="BC15" i="18" s="1"/>
  <c r="X171" i="26"/>
  <c r="AN39" i="14"/>
  <c r="X324" i="15"/>
  <c r="X18" i="15"/>
  <c r="Q371" i="15"/>
  <c r="T206" i="3"/>
  <c r="U63" i="24"/>
  <c r="V63" i="24" s="1"/>
  <c r="W63" i="24" s="1"/>
  <c r="V62" i="24"/>
  <c r="W62" i="24" s="1"/>
  <c r="P431" i="3"/>
  <c r="P416" i="3"/>
  <c r="W27" i="24"/>
  <c r="T73" i="17"/>
  <c r="T57" i="17" s="1"/>
  <c r="T59" i="15"/>
  <c r="AR123" i="18"/>
  <c r="AT122" i="18"/>
  <c r="BA122" i="18"/>
  <c r="BC122" i="18" s="1"/>
  <c r="BD122" i="18" s="1"/>
  <c r="AC75" i="11"/>
  <c r="S49" i="11"/>
  <c r="BA146" i="16"/>
  <c r="AY38" i="14"/>
  <c r="BB38" i="14" s="1"/>
  <c r="BE38" i="14" s="1"/>
  <c r="AR87" i="18"/>
  <c r="AT87" i="18" s="1"/>
  <c r="AT86" i="18"/>
  <c r="W109" i="26"/>
  <c r="Q378" i="17"/>
  <c r="Q362" i="17" s="1"/>
  <c r="Q42" i="17" s="1"/>
  <c r="Q348" i="15"/>
  <c r="BC364" i="15"/>
  <c r="AA140" i="19"/>
  <c r="T204" i="15"/>
  <c r="U204" i="15" s="1"/>
  <c r="U188" i="15" s="1"/>
  <c r="W26" i="24"/>
  <c r="T83" i="15"/>
  <c r="Q77" i="23"/>
  <c r="Q74" i="23"/>
  <c r="Q73" i="23"/>
  <c r="AV81" i="23"/>
  <c r="Q75" i="23"/>
  <c r="Q78" i="23"/>
  <c r="Q79" i="23"/>
  <c r="Q76" i="23"/>
  <c r="Q72" i="23"/>
  <c r="Q80" i="23"/>
  <c r="R30" i="23"/>
  <c r="AX182" i="20"/>
  <c r="S124" i="9"/>
  <c r="S92" i="9" s="1"/>
  <c r="S92" i="7"/>
  <c r="AP183" i="22"/>
  <c r="Q171" i="25"/>
  <c r="Q155" i="25" s="1"/>
  <c r="Q123" i="25" s="1"/>
  <c r="Q121" i="23"/>
  <c r="AV121" i="23" s="1"/>
  <c r="AV153" i="23"/>
  <c r="M332" i="4"/>
  <c r="M317" i="4"/>
  <c r="V230" i="13"/>
  <c r="V200" i="11"/>
  <c r="V120" i="11" s="1"/>
  <c r="V40" i="11" s="1"/>
  <c r="AU15" i="20"/>
  <c r="AV15" i="20" s="1"/>
  <c r="AZ171" i="14"/>
  <c r="O366" i="3"/>
  <c r="O383" i="3" s="1"/>
  <c r="AG350" i="3"/>
  <c r="AF350" i="3"/>
  <c r="O351" i="3"/>
  <c r="AS171" i="14"/>
  <c r="AV171" i="14" s="1"/>
  <c r="AV170" i="14"/>
  <c r="T153" i="3"/>
  <c r="T89" i="3"/>
  <c r="E495" i="3"/>
  <c r="E464" i="3"/>
  <c r="AC123" i="8"/>
  <c r="AD123" i="8" s="1"/>
  <c r="AB57" i="11"/>
  <c r="AB80" i="11"/>
  <c r="S170" i="25"/>
  <c r="S154" i="25" s="1"/>
  <c r="S122" i="25" s="1"/>
  <c r="S120" i="23"/>
  <c r="I417" i="3"/>
  <c r="I432" i="3"/>
  <c r="V118" i="4"/>
  <c r="BG326" i="11"/>
  <c r="X143" i="11"/>
  <c r="Y18" i="6"/>
  <c r="X95" i="5"/>
  <c r="X192" i="4"/>
  <c r="S76" i="25"/>
  <c r="S60" i="25" s="1"/>
  <c r="S44" i="25" s="1"/>
  <c r="S28" i="25" s="1"/>
  <c r="S58" i="23"/>
  <c r="S42" i="23" s="1"/>
  <c r="S26" i="23" s="1"/>
  <c r="BC181" i="14"/>
  <c r="P268" i="4"/>
  <c r="P253" i="4"/>
  <c r="AK298" i="15"/>
  <c r="AM298" i="15" s="1"/>
  <c r="AL99" i="22"/>
  <c r="AV99" i="22"/>
  <c r="AW99" i="22" s="1"/>
  <c r="S211" i="15"/>
  <c r="AJ134" i="19"/>
  <c r="AE341" i="19"/>
  <c r="W85" i="24"/>
  <c r="V78" i="25"/>
  <c r="V62" i="25" s="1"/>
  <c r="V46" i="25" s="1"/>
  <c r="V60" i="23"/>
  <c r="V44" i="23" s="1"/>
  <c r="AW39" i="14"/>
  <c r="AX39" i="14" s="1"/>
  <c r="AX38" i="14"/>
  <c r="Q27" i="9"/>
  <c r="Q53" i="9"/>
  <c r="AE123" i="15"/>
  <c r="AE107" i="15" s="1"/>
  <c r="AF155" i="15"/>
  <c r="AI135" i="18"/>
  <c r="AK134" i="18"/>
  <c r="BA134" i="18"/>
  <c r="BC134" i="18" s="1"/>
  <c r="BD134" i="18" s="1"/>
  <c r="I317" i="4"/>
  <c r="I332" i="4"/>
  <c r="AU39" i="20"/>
  <c r="T77" i="25"/>
  <c r="T61" i="25" s="1"/>
  <c r="T45" i="25" s="1"/>
  <c r="T29" i="25" s="1"/>
  <c r="T59" i="23"/>
  <c r="T43" i="23" s="1"/>
  <c r="T27" i="23" s="1"/>
  <c r="X13" i="25"/>
  <c r="AI110" i="11"/>
  <c r="AJ110" i="11" s="1"/>
  <c r="AD108" i="11"/>
  <c r="AB220" i="4" l="1"/>
  <c r="AB411" i="13"/>
  <c r="AB333" i="11"/>
  <c r="AB188" i="4" s="1"/>
  <c r="AC21" i="11"/>
  <c r="AC20" i="11" s="1"/>
  <c r="AC21" i="6" s="1"/>
  <c r="AC24" i="11"/>
  <c r="AC385" i="11" s="1"/>
  <c r="AC353" i="11"/>
  <c r="S87" i="3"/>
  <c r="BJ12" i="13"/>
  <c r="BQ20" i="15"/>
  <c r="T109" i="9"/>
  <c r="T93" i="9" s="1"/>
  <c r="U128" i="7"/>
  <c r="U128" i="9" s="1"/>
  <c r="U125" i="7"/>
  <c r="U125" i="9" s="1"/>
  <c r="T93" i="7"/>
  <c r="T94" i="7"/>
  <c r="U127" i="4"/>
  <c r="U128" i="4" s="1"/>
  <c r="AC112" i="11"/>
  <c r="V72" i="4"/>
  <c r="U78" i="4"/>
  <c r="U38" i="5" s="1"/>
  <c r="V62" i="5"/>
  <c r="V79" i="5" s="1"/>
  <c r="R306" i="17"/>
  <c r="S7" i="13"/>
  <c r="BK7" i="13" s="1"/>
  <c r="U50" i="7"/>
  <c r="Y18" i="15"/>
  <c r="BU35" i="15" s="1"/>
  <c r="V109" i="7"/>
  <c r="W109" i="7" s="1"/>
  <c r="S32" i="9"/>
  <c r="S31" i="9"/>
  <c r="AH160" i="15"/>
  <c r="AI160" i="15" s="1"/>
  <c r="T49" i="11"/>
  <c r="Y144" i="11"/>
  <c r="Y94" i="4" s="1"/>
  <c r="S165" i="9"/>
  <c r="S10" i="9" s="1"/>
  <c r="U130" i="7"/>
  <c r="U130" i="9" s="1"/>
  <c r="U98" i="9" s="1"/>
  <c r="T98" i="7"/>
  <c r="T98" i="9"/>
  <c r="U93" i="7"/>
  <c r="AE120" i="15"/>
  <c r="AE104" i="15" s="1"/>
  <c r="AF152" i="15"/>
  <c r="BG182" i="11"/>
  <c r="T131" i="9"/>
  <c r="T99" i="9" s="1"/>
  <c r="S35" i="7"/>
  <c r="T96" i="7"/>
  <c r="AI153" i="15"/>
  <c r="AI121" i="15" s="1"/>
  <c r="AI105" i="15" s="1"/>
  <c r="Q396" i="3"/>
  <c r="W322" i="15"/>
  <c r="W290" i="15" s="1"/>
  <c r="S35" i="9"/>
  <c r="Q297" i="4"/>
  <c r="Q401" i="3"/>
  <c r="AG121" i="15"/>
  <c r="AG105" i="15" s="1"/>
  <c r="U22" i="6"/>
  <c r="T92" i="7"/>
  <c r="AL11" i="11"/>
  <c r="Q302" i="4"/>
  <c r="AA132" i="15"/>
  <c r="AA51" i="6" s="1"/>
  <c r="Q36" i="9"/>
  <c r="Q37" i="9" s="1"/>
  <c r="W161" i="7"/>
  <c r="W161" i="9" s="1"/>
  <c r="U109" i="9"/>
  <c r="U93" i="9" s="1"/>
  <c r="S31" i="7"/>
  <c r="U173" i="7"/>
  <c r="U173" i="9" s="1"/>
  <c r="Y241" i="11"/>
  <c r="Y230" i="11" s="1"/>
  <c r="S27" i="13"/>
  <c r="S32" i="13" s="1"/>
  <c r="AA104" i="5"/>
  <c r="Z14" i="11"/>
  <c r="AH105" i="11"/>
  <c r="V68" i="4"/>
  <c r="V249" i="13"/>
  <c r="AN37" i="4"/>
  <c r="U36" i="5"/>
  <c r="AH40" i="4"/>
  <c r="AJ106" i="11"/>
  <c r="U123" i="13"/>
  <c r="V253" i="13"/>
  <c r="V205" i="13" s="1"/>
  <c r="AM36" i="4"/>
  <c r="AI105" i="11"/>
  <c r="AG39" i="4"/>
  <c r="W256" i="11"/>
  <c r="W126" i="4" s="1"/>
  <c r="W159" i="4" s="1"/>
  <c r="AZ38" i="11"/>
  <c r="T177" i="9"/>
  <c r="T145" i="9" s="1"/>
  <c r="T145" i="7"/>
  <c r="AA14" i="7"/>
  <c r="AA229" i="7" s="1"/>
  <c r="T106" i="9"/>
  <c r="U106" i="7"/>
  <c r="U155" i="7"/>
  <c r="U155" i="9" s="1"/>
  <c r="U108" i="7"/>
  <c r="T108" i="9"/>
  <c r="T92" i="9" s="1"/>
  <c r="U115" i="7"/>
  <c r="AH156" i="15"/>
  <c r="AH124" i="15" s="1"/>
  <c r="AH108" i="15" s="1"/>
  <c r="V105" i="7"/>
  <c r="W105" i="7" s="1"/>
  <c r="U129" i="7"/>
  <c r="U129" i="9" s="1"/>
  <c r="T99" i="7"/>
  <c r="AC192" i="11"/>
  <c r="AC194" i="11" s="1"/>
  <c r="AH162" i="15"/>
  <c r="AI162" i="15" s="1"/>
  <c r="U47" i="7"/>
  <c r="AC249" i="11"/>
  <c r="V75" i="4"/>
  <c r="X144" i="11"/>
  <c r="U107" i="7"/>
  <c r="V107" i="7" s="1"/>
  <c r="V107" i="9" s="1"/>
  <c r="T91" i="7"/>
  <c r="T107" i="9"/>
  <c r="T91" i="9" s="1"/>
  <c r="T172" i="7"/>
  <c r="U172" i="7" s="1"/>
  <c r="U175" i="7"/>
  <c r="U175" i="9" s="1"/>
  <c r="W315" i="15"/>
  <c r="W283" i="15" s="1"/>
  <c r="U123" i="7"/>
  <c r="U123" i="9" s="1"/>
  <c r="T105" i="9"/>
  <c r="W317" i="15"/>
  <c r="W285" i="15" s="1"/>
  <c r="U112" i="7"/>
  <c r="V112" i="7" s="1"/>
  <c r="V112" i="9" s="1"/>
  <c r="T112" i="9"/>
  <c r="T96" i="9" s="1"/>
  <c r="T97" i="7"/>
  <c r="T113" i="9"/>
  <c r="T97" i="9" s="1"/>
  <c r="U113" i="7"/>
  <c r="V113" i="7" s="1"/>
  <c r="AA415" i="13"/>
  <c r="AA24" i="13" s="1"/>
  <c r="BS24" i="13" s="1"/>
  <c r="Q36" i="7"/>
  <c r="Q303" i="4" s="1"/>
  <c r="U125" i="13"/>
  <c r="V179" i="7"/>
  <c r="V179" i="9" s="1"/>
  <c r="T111" i="9"/>
  <c r="U111" i="7"/>
  <c r="U111" i="9" s="1"/>
  <c r="S32" i="7"/>
  <c r="T155" i="9"/>
  <c r="T165" i="9" s="1"/>
  <c r="T10" i="9" s="1"/>
  <c r="V244" i="13"/>
  <c r="V196" i="13" s="1"/>
  <c r="V133" i="3" s="1"/>
  <c r="V149" i="3" s="1"/>
  <c r="Q149" i="7"/>
  <c r="BT149" i="7" s="1"/>
  <c r="S117" i="9"/>
  <c r="S7" i="9" s="1"/>
  <c r="AO102" i="11"/>
  <c r="AE126" i="15"/>
  <c r="AE110" i="15" s="1"/>
  <c r="AG158" i="15"/>
  <c r="T116" i="7"/>
  <c r="T116" i="9" s="1"/>
  <c r="T89" i="7"/>
  <c r="R160" i="3"/>
  <c r="S82" i="17"/>
  <c r="S4" i="17" s="1"/>
  <c r="S3" i="17" s="1"/>
  <c r="U110" i="7"/>
  <c r="Z192" i="11"/>
  <c r="Z194" i="11" s="1"/>
  <c r="BB198" i="11"/>
  <c r="AA192" i="11"/>
  <c r="AA144" i="11" s="1"/>
  <c r="AH328" i="19"/>
  <c r="AI344" i="19"/>
  <c r="AC8" i="23"/>
  <c r="AC3" i="23"/>
  <c r="AC7" i="6"/>
  <c r="U61" i="9"/>
  <c r="U45" i="9" s="1"/>
  <c r="U45" i="7"/>
  <c r="O285" i="4"/>
  <c r="Z16" i="6"/>
  <c r="AA9" i="7"/>
  <c r="AC144" i="11"/>
  <c r="AG341" i="19"/>
  <c r="AG348" i="19" s="1"/>
  <c r="AG332" i="19" s="1"/>
  <c r="BD75" i="18"/>
  <c r="AL137" i="19"/>
  <c r="AL331" i="19"/>
  <c r="AM347" i="19"/>
  <c r="AM331" i="19" s="1"/>
  <c r="U185" i="15"/>
  <c r="R300" i="4"/>
  <c r="R399" i="3"/>
  <c r="T39" i="5"/>
  <c r="R299" i="4"/>
  <c r="R398" i="3"/>
  <c r="AH321" i="19"/>
  <c r="T171" i="9"/>
  <c r="T139" i="7"/>
  <c r="U121" i="9"/>
  <c r="U89" i="9" s="1"/>
  <c r="U89" i="7"/>
  <c r="R395" i="3"/>
  <c r="R296" i="4"/>
  <c r="AM135" i="19"/>
  <c r="AO135" i="19" s="1"/>
  <c r="AJ44" i="4"/>
  <c r="AK110" i="11"/>
  <c r="AL110" i="11" s="1"/>
  <c r="AJ329" i="19"/>
  <c r="U57" i="9"/>
  <c r="U41" i="7"/>
  <c r="U68" i="7"/>
  <c r="BD159" i="18"/>
  <c r="N34" i="17"/>
  <c r="N35" i="17" s="1"/>
  <c r="AI329" i="19"/>
  <c r="AK345" i="19"/>
  <c r="AL345" i="19" s="1"/>
  <c r="W82" i="25"/>
  <c r="W66" i="25" s="1"/>
  <c r="W50" i="25" s="1"/>
  <c r="W64" i="23"/>
  <c r="W48" i="23" s="1"/>
  <c r="U49" i="7"/>
  <c r="U65" i="9"/>
  <c r="U49" i="9" s="1"/>
  <c r="T207" i="17"/>
  <c r="T191" i="17" s="1"/>
  <c r="T193" i="15"/>
  <c r="V171" i="25"/>
  <c r="V155" i="25" s="1"/>
  <c r="V123" i="25" s="1"/>
  <c r="V121" i="23"/>
  <c r="E366" i="4"/>
  <c r="E396" i="4"/>
  <c r="BE86" i="14"/>
  <c r="BC86" i="14"/>
  <c r="AC108" i="15"/>
  <c r="V78" i="4"/>
  <c r="U372" i="15"/>
  <c r="BK23" i="15"/>
  <c r="U38" i="15"/>
  <c r="U156" i="3"/>
  <c r="U92" i="3"/>
  <c r="R375" i="17"/>
  <c r="R359" i="17" s="1"/>
  <c r="R39" i="17" s="1"/>
  <c r="R345" i="15"/>
  <c r="R41" i="15" s="1"/>
  <c r="W237" i="13"/>
  <c r="W207" i="11"/>
  <c r="W127" i="11" s="1"/>
  <c r="W47" i="11" s="1"/>
  <c r="AG304" i="15"/>
  <c r="AK134" i="19"/>
  <c r="W316" i="15"/>
  <c r="W284" i="15" s="1"/>
  <c r="AA140" i="11"/>
  <c r="W174" i="25"/>
  <c r="W158" i="25" s="1"/>
  <c r="W126" i="25" s="1"/>
  <c r="W124" i="23"/>
  <c r="E334" i="4"/>
  <c r="E319" i="4"/>
  <c r="AX26" i="14"/>
  <c r="AW27" i="14"/>
  <c r="AX27" i="14" s="1"/>
  <c r="P432" i="3"/>
  <c r="P417" i="3"/>
  <c r="AB136" i="11"/>
  <c r="S368" i="15"/>
  <c r="S360" i="15"/>
  <c r="S366" i="15"/>
  <c r="S367" i="15"/>
  <c r="S363" i="15"/>
  <c r="S370" i="15"/>
  <c r="S362" i="15"/>
  <c r="S365" i="15"/>
  <c r="S364" i="15"/>
  <c r="S369" i="15"/>
  <c r="S361" i="15"/>
  <c r="BC111" i="14"/>
  <c r="O366" i="4"/>
  <c r="O396" i="4"/>
  <c r="W110" i="26"/>
  <c r="AD43" i="4"/>
  <c r="AE109" i="11"/>
  <c r="AF109" i="11" s="1"/>
  <c r="AG109" i="11" s="1"/>
  <c r="U37" i="5"/>
  <c r="AH130" i="19"/>
  <c r="V246" i="13"/>
  <c r="V198" i="13" s="1"/>
  <c r="V135" i="3" s="1"/>
  <c r="V151" i="3" s="1"/>
  <c r="W74" i="25"/>
  <c r="W58" i="25" s="1"/>
  <c r="W42" i="25" s="1"/>
  <c r="W56" i="23"/>
  <c r="W40" i="23" s="1"/>
  <c r="BD171" i="18"/>
  <c r="O34" i="17"/>
  <c r="O35" i="17" s="1"/>
  <c r="W168" i="25"/>
  <c r="W118" i="23"/>
  <c r="AW135" i="22"/>
  <c r="U46" i="7"/>
  <c r="U62" i="9"/>
  <c r="U46" i="9" s="1"/>
  <c r="W80" i="25"/>
  <c r="W64" i="25" s="1"/>
  <c r="W48" i="25" s="1"/>
  <c r="W32" i="25" s="1"/>
  <c r="W62" i="23"/>
  <c r="W46" i="23" s="1"/>
  <c r="W30" i="23" s="1"/>
  <c r="P285" i="4"/>
  <c r="L496" i="3"/>
  <c r="L465" i="3"/>
  <c r="T58" i="13"/>
  <c r="T42" i="13" s="1"/>
  <c r="BA27" i="18"/>
  <c r="BC27" i="18" s="1"/>
  <c r="AK27" i="18"/>
  <c r="W171" i="25"/>
  <c r="W155" i="25" s="1"/>
  <c r="W123" i="25" s="1"/>
  <c r="W121" i="23"/>
  <c r="AE161" i="15"/>
  <c r="AF161" i="15" s="1"/>
  <c r="S177" i="9"/>
  <c r="S145" i="9" s="1"/>
  <c r="S33" i="9" s="1"/>
  <c r="S145" i="7"/>
  <c r="S33" i="7" s="1"/>
  <c r="M496" i="3"/>
  <c r="M465" i="3"/>
  <c r="T338" i="17"/>
  <c r="AZ171" i="22"/>
  <c r="AW171" i="22"/>
  <c r="V59" i="5"/>
  <c r="V148" i="4"/>
  <c r="BC351" i="15"/>
  <c r="Q47" i="15"/>
  <c r="BC47" i="15" s="1"/>
  <c r="I253" i="4"/>
  <c r="I268" i="4"/>
  <c r="I285" i="4" s="1"/>
  <c r="U160" i="4"/>
  <c r="AL330" i="19"/>
  <c r="AM346" i="19"/>
  <c r="AN346" i="19" s="1"/>
  <c r="AN330" i="19" s="1"/>
  <c r="S208" i="3"/>
  <c r="L417" i="3"/>
  <c r="L432" i="3"/>
  <c r="S32" i="25"/>
  <c r="T51" i="13"/>
  <c r="T79" i="13"/>
  <c r="T4" i="13" s="1"/>
  <c r="Q32" i="13"/>
  <c r="BI27" i="13"/>
  <c r="Q3" i="2"/>
  <c r="T37" i="23"/>
  <c r="W176" i="23"/>
  <c r="W160" i="23" s="1"/>
  <c r="W161" i="23" s="1"/>
  <c r="Y88" i="4"/>
  <c r="T28" i="23"/>
  <c r="Y232" i="11"/>
  <c r="Y238" i="11"/>
  <c r="Y237" i="11"/>
  <c r="Y235" i="11"/>
  <c r="Y239" i="11"/>
  <c r="M285" i="4"/>
  <c r="BV10" i="7"/>
  <c r="X165" i="7"/>
  <c r="V25" i="23"/>
  <c r="X91" i="4"/>
  <c r="AV99" i="14"/>
  <c r="AY99" i="14"/>
  <c r="BB99" i="14" s="1"/>
  <c r="T28" i="25"/>
  <c r="W135" i="26"/>
  <c r="L19" i="25" s="1"/>
  <c r="L20" i="25" s="1"/>
  <c r="V107" i="3"/>
  <c r="AX144" i="12"/>
  <c r="AY143" i="12"/>
  <c r="I369" i="3"/>
  <c r="I354" i="3"/>
  <c r="AV39" i="20"/>
  <c r="AZ39" i="20" s="1"/>
  <c r="AW39" i="20"/>
  <c r="S31" i="25"/>
  <c r="AG157" i="15"/>
  <c r="AH157" i="15" s="1"/>
  <c r="R298" i="4"/>
  <c r="R397" i="3"/>
  <c r="BO3" i="15"/>
  <c r="W22" i="15"/>
  <c r="W23" i="6"/>
  <c r="AR147" i="14"/>
  <c r="AY147" i="14"/>
  <c r="BB147" i="14" s="1"/>
  <c r="BC159" i="14" s="1"/>
  <c r="AF326" i="19"/>
  <c r="U205" i="3"/>
  <c r="U77" i="3"/>
  <c r="AI136" i="19"/>
  <c r="AJ136" i="19" s="1"/>
  <c r="V176" i="25"/>
  <c r="V160" i="25" s="1"/>
  <c r="V128" i="25" s="1"/>
  <c r="V32" i="25" s="1"/>
  <c r="V126" i="23"/>
  <c r="G268" i="4"/>
  <c r="G285" i="4" s="1"/>
  <c r="G253" i="4"/>
  <c r="S66" i="17"/>
  <c r="R67" i="25"/>
  <c r="R39" i="25"/>
  <c r="AV26" i="14"/>
  <c r="AS27" i="14"/>
  <c r="AV27" i="14" s="1"/>
  <c r="AY26" i="14"/>
  <c r="BB26" i="14" s="1"/>
  <c r="BE26" i="14" s="1"/>
  <c r="R39" i="5"/>
  <c r="T211" i="15"/>
  <c r="K417" i="3"/>
  <c r="K432" i="3"/>
  <c r="AQ339" i="19"/>
  <c r="AQ323" i="19" s="1"/>
  <c r="R100" i="9"/>
  <c r="R117" i="9"/>
  <c r="R7" i="9" s="1"/>
  <c r="R6" i="9" s="1"/>
  <c r="U155" i="3"/>
  <c r="U91" i="3"/>
  <c r="Z183" i="24"/>
  <c r="X183" i="24"/>
  <c r="W177" i="25"/>
  <c r="W161" i="25" s="1"/>
  <c r="W129" i="25" s="1"/>
  <c r="W127" i="23"/>
  <c r="T127" i="9"/>
  <c r="T95" i="7"/>
  <c r="T31" i="7" s="1"/>
  <c r="AK331" i="19"/>
  <c r="R381" i="17"/>
  <c r="R365" i="17" s="1"/>
  <c r="R45" i="17" s="1"/>
  <c r="R351" i="15"/>
  <c r="R47" i="15" s="1"/>
  <c r="AQ131" i="19"/>
  <c r="Z182" i="24"/>
  <c r="X182" i="24"/>
  <c r="BO17" i="15"/>
  <c r="W37" i="15"/>
  <c r="W27" i="6"/>
  <c r="S117" i="19"/>
  <c r="S118" i="19"/>
  <c r="S119" i="19"/>
  <c r="S116" i="19"/>
  <c r="S122" i="19"/>
  <c r="S114" i="19"/>
  <c r="S124" i="19" s="1"/>
  <c r="S126" i="19"/>
  <c r="S121" i="19"/>
  <c r="S113" i="19"/>
  <c r="S115" i="19"/>
  <c r="S123" i="19"/>
  <c r="S120" i="19"/>
  <c r="D253" i="4"/>
  <c r="D268" i="4"/>
  <c r="D285" i="4" s="1"/>
  <c r="X92" i="4"/>
  <c r="U129" i="11"/>
  <c r="U37" i="11"/>
  <c r="V31" i="25"/>
  <c r="P333" i="4"/>
  <c r="P318" i="4"/>
  <c r="S30" i="23"/>
  <c r="L366" i="4"/>
  <c r="L396" i="4"/>
  <c r="U111" i="13"/>
  <c r="U6" i="13" s="1"/>
  <c r="BM6" i="13" s="1"/>
  <c r="U36" i="3"/>
  <c r="T151" i="3"/>
  <c r="T87" i="3"/>
  <c r="T199" i="3"/>
  <c r="BQ18" i="15"/>
  <c r="BT20" i="15" s="1"/>
  <c r="BT35" i="15"/>
  <c r="X17" i="15"/>
  <c r="Z14" i="7"/>
  <c r="Z229" i="7" s="1"/>
  <c r="AA3" i="15"/>
  <c r="AA84" i="15"/>
  <c r="BW4" i="15"/>
  <c r="V243" i="13"/>
  <c r="V195" i="13" s="1"/>
  <c r="BQ3" i="15"/>
  <c r="X23" i="6"/>
  <c r="U154" i="9"/>
  <c r="U138" i="9" s="1"/>
  <c r="U138" i="7"/>
  <c r="V154" i="7"/>
  <c r="BI23" i="15"/>
  <c r="T372" i="15"/>
  <c r="T38" i="15"/>
  <c r="V71" i="4"/>
  <c r="AW183" i="20"/>
  <c r="AV183" i="20"/>
  <c r="I284" i="4"/>
  <c r="U76" i="5"/>
  <c r="U80" i="5" s="1"/>
  <c r="U63" i="5"/>
  <c r="T176" i="9"/>
  <c r="T144" i="9" s="1"/>
  <c r="V176" i="7"/>
  <c r="V176" i="9" s="1"/>
  <c r="T144" i="7"/>
  <c r="Z135" i="11"/>
  <c r="X253" i="11"/>
  <c r="AD253" i="11" s="1"/>
  <c r="X248" i="11"/>
  <c r="X245" i="11"/>
  <c r="AD245" i="11" s="1"/>
  <c r="X252" i="11"/>
  <c r="AD252" i="11" s="1"/>
  <c r="X247" i="11"/>
  <c r="Y247" i="11" s="1"/>
  <c r="X255" i="11"/>
  <c r="X249" i="11"/>
  <c r="X251" i="11"/>
  <c r="AD251" i="11" s="1"/>
  <c r="X246" i="11"/>
  <c r="Y246" i="11" s="1"/>
  <c r="X250" i="11"/>
  <c r="X254" i="11"/>
  <c r="AB332" i="11"/>
  <c r="AB187" i="4" s="1"/>
  <c r="AB203" i="4"/>
  <c r="AC348" i="11"/>
  <c r="R21" i="23"/>
  <c r="R33" i="23" s="1"/>
  <c r="R49" i="23"/>
  <c r="AZ111" i="20"/>
  <c r="T55" i="25"/>
  <c r="U202" i="3"/>
  <c r="U74" i="3"/>
  <c r="U204" i="3"/>
  <c r="U76" i="3"/>
  <c r="W123" i="23"/>
  <c r="W173" i="25"/>
  <c r="W157" i="25" s="1"/>
  <c r="W125" i="25" s="1"/>
  <c r="T30" i="25"/>
  <c r="AX156" i="12"/>
  <c r="AY155" i="12"/>
  <c r="BE157" i="14"/>
  <c r="Z84" i="15"/>
  <c r="Z3" i="15"/>
  <c r="BU4" i="15"/>
  <c r="D396" i="4"/>
  <c r="D366" i="4"/>
  <c r="AG128" i="15"/>
  <c r="AG112" i="15" s="1"/>
  <c r="X11" i="7"/>
  <c r="T156" i="3"/>
  <c r="T92" i="3"/>
  <c r="T204" i="3"/>
  <c r="V27" i="25"/>
  <c r="AA11" i="15"/>
  <c r="X86" i="4"/>
  <c r="U136" i="3"/>
  <c r="U200" i="3" s="1"/>
  <c r="U119" i="13"/>
  <c r="W134" i="26"/>
  <c r="U58" i="9"/>
  <c r="U42" i="9" s="1"/>
  <c r="U42" i="7"/>
  <c r="S289" i="17"/>
  <c r="S290" i="17" s="1"/>
  <c r="S306" i="17"/>
  <c r="W44" i="5"/>
  <c r="AA4" i="23"/>
  <c r="AA5" i="23" s="1"/>
  <c r="AA81" i="23" s="1"/>
  <c r="AA35" i="6"/>
  <c r="AA34" i="6" s="1"/>
  <c r="AK137" i="19"/>
  <c r="X83" i="4"/>
  <c r="BA51" i="18"/>
  <c r="BC51" i="18" s="1"/>
  <c r="R25" i="9"/>
  <c r="R53" i="9"/>
  <c r="J417" i="3"/>
  <c r="J432" i="3"/>
  <c r="AD416" i="3"/>
  <c r="AH416" i="3" s="1"/>
  <c r="S182" i="17"/>
  <c r="AZ158" i="20"/>
  <c r="G396" i="4"/>
  <c r="G366" i="4"/>
  <c r="AB139" i="11"/>
  <c r="Y85" i="4"/>
  <c r="BS3" i="15"/>
  <c r="Y23" i="6"/>
  <c r="X85" i="4"/>
  <c r="S83" i="25"/>
  <c r="S5" i="25" s="1"/>
  <c r="S4" i="25" s="1"/>
  <c r="S55" i="25"/>
  <c r="V131" i="7"/>
  <c r="V131" i="9" s="1"/>
  <c r="V126" i="7"/>
  <c r="V126" i="9" s="1"/>
  <c r="V124" i="7"/>
  <c r="V124" i="9" s="1"/>
  <c r="V128" i="7"/>
  <c r="V128" i="9" s="1"/>
  <c r="V121" i="7"/>
  <c r="V121" i="9" s="1"/>
  <c r="AD188" i="11"/>
  <c r="AD183" i="11"/>
  <c r="AD187" i="11"/>
  <c r="AD191" i="11"/>
  <c r="AD181" i="11"/>
  <c r="AD190" i="11"/>
  <c r="AD186" i="11"/>
  <c r="AD184" i="11"/>
  <c r="AD182" i="11"/>
  <c r="AD189" i="11"/>
  <c r="AD185" i="11"/>
  <c r="R374" i="17"/>
  <c r="R344" i="15"/>
  <c r="AC13" i="7"/>
  <c r="AC213" i="7" s="1"/>
  <c r="AC17" i="6"/>
  <c r="BC348" i="15"/>
  <c r="Q44" i="15"/>
  <c r="AF370" i="19"/>
  <c r="AF376" i="19" s="1"/>
  <c r="AG29" i="19"/>
  <c r="U67" i="25"/>
  <c r="U39" i="25"/>
  <c r="W76" i="25"/>
  <c r="W60" i="25" s="1"/>
  <c r="W44" i="25" s="1"/>
  <c r="W58" i="23"/>
  <c r="W42" i="23" s="1"/>
  <c r="W26" i="23" s="1"/>
  <c r="BM17" i="15"/>
  <c r="V37" i="15"/>
  <c r="V27" i="6"/>
  <c r="AO37" i="4"/>
  <c r="T206" i="17"/>
  <c r="T190" i="17" s="1"/>
  <c r="T192" i="15"/>
  <c r="AK135" i="18"/>
  <c r="BA135" i="18"/>
  <c r="BC135" i="18" s="1"/>
  <c r="AG322" i="19"/>
  <c r="AH338" i="19"/>
  <c r="AI338" i="19"/>
  <c r="H496" i="3"/>
  <c r="H465" i="3"/>
  <c r="AF324" i="19"/>
  <c r="AX121" i="12"/>
  <c r="AY120" i="12"/>
  <c r="AY132" i="12"/>
  <c r="W312" i="15"/>
  <c r="X312" i="15" s="1"/>
  <c r="X280" i="15" s="1"/>
  <c r="V60" i="5"/>
  <c r="V77" i="5" s="1"/>
  <c r="V151" i="4"/>
  <c r="BE134" i="11"/>
  <c r="BN22" i="13"/>
  <c r="V21" i="13"/>
  <c r="J333" i="4"/>
  <c r="J318" i="4"/>
  <c r="T152" i="3"/>
  <c r="T88" i="3"/>
  <c r="T200" i="3"/>
  <c r="U159" i="9"/>
  <c r="V159" i="7"/>
  <c r="V118" i="11"/>
  <c r="Z143" i="11"/>
  <c r="M269" i="4"/>
  <c r="M254" i="4"/>
  <c r="T26" i="23"/>
  <c r="H354" i="3"/>
  <c r="W73" i="25"/>
  <c r="W57" i="25" s="1"/>
  <c r="W41" i="25" s="1"/>
  <c r="W25" i="25" s="1"/>
  <c r="W55" i="23"/>
  <c r="W39" i="23" s="1"/>
  <c r="W23" i="23" s="1"/>
  <c r="V101" i="3"/>
  <c r="U158" i="3"/>
  <c r="U94" i="3"/>
  <c r="V30" i="23"/>
  <c r="AW171" i="20"/>
  <c r="AV171" i="20"/>
  <c r="Q81" i="25"/>
  <c r="Q65" i="25" s="1"/>
  <c r="Q49" i="25" s="1"/>
  <c r="Q33" i="25" s="1"/>
  <c r="AV79" i="23"/>
  <c r="Q63" i="23"/>
  <c r="T122" i="9"/>
  <c r="T90" i="7"/>
  <c r="AN298" i="15"/>
  <c r="U162" i="9"/>
  <c r="V162" i="7"/>
  <c r="Q80" i="25"/>
  <c r="Q64" i="25" s="1"/>
  <c r="Q48" i="25" s="1"/>
  <c r="Q32" i="25" s="1"/>
  <c r="Q62" i="23"/>
  <c r="AV78" i="23"/>
  <c r="AI44" i="4"/>
  <c r="AE107" i="11"/>
  <c r="Q77" i="25"/>
  <c r="Q61" i="25" s="1"/>
  <c r="Q45" i="25" s="1"/>
  <c r="Q29" i="25" s="1"/>
  <c r="AV75" i="23"/>
  <c r="Q59" i="23"/>
  <c r="S82" i="25"/>
  <c r="S66" i="25" s="1"/>
  <c r="S50" i="25" s="1"/>
  <c r="S34" i="25" s="1"/>
  <c r="S64" i="23"/>
  <c r="S48" i="23" s="1"/>
  <c r="S32" i="23" s="1"/>
  <c r="V67" i="4"/>
  <c r="N367" i="3"/>
  <c r="N384" i="3" s="1"/>
  <c r="N352" i="3"/>
  <c r="C496" i="3"/>
  <c r="C465" i="3"/>
  <c r="D497" i="3" s="1"/>
  <c r="BC98" i="14"/>
  <c r="U161" i="9"/>
  <c r="S174" i="9"/>
  <c r="S142" i="9" s="1"/>
  <c r="S30" i="9" s="1"/>
  <c r="S142" i="7"/>
  <c r="S30" i="7" s="1"/>
  <c r="V58" i="7"/>
  <c r="V63" i="7"/>
  <c r="V67" i="7"/>
  <c r="V57" i="7"/>
  <c r="V62" i="7"/>
  <c r="V61" i="7"/>
  <c r="V66" i="7"/>
  <c r="V59" i="7"/>
  <c r="V60" i="7"/>
  <c r="V65" i="7"/>
  <c r="V64" i="7"/>
  <c r="W43" i="5"/>
  <c r="S160" i="3"/>
  <c r="AC246" i="11"/>
  <c r="Z140" i="11"/>
  <c r="K366" i="4"/>
  <c r="K396" i="4"/>
  <c r="M367" i="3"/>
  <c r="M352" i="3"/>
  <c r="V248" i="13"/>
  <c r="V200" i="13" s="1"/>
  <c r="U71" i="3"/>
  <c r="AY87" i="14"/>
  <c r="BB87" i="14" s="1"/>
  <c r="J284" i="4"/>
  <c r="V172" i="25"/>
  <c r="V156" i="25" s="1"/>
  <c r="V124" i="25" s="1"/>
  <c r="V122" i="23"/>
  <c r="V26" i="23" s="1"/>
  <c r="V251" i="13"/>
  <c r="V203" i="13" s="1"/>
  <c r="V114" i="9"/>
  <c r="X7" i="7"/>
  <c r="X15" i="6"/>
  <c r="BV6" i="7"/>
  <c r="Y6" i="7"/>
  <c r="Y3" i="7" s="1"/>
  <c r="AP103" i="11"/>
  <c r="AY96" i="12"/>
  <c r="AX97" i="12"/>
  <c r="AY97" i="12" s="1"/>
  <c r="W15" i="26"/>
  <c r="AA11" i="23"/>
  <c r="AA36" i="6"/>
  <c r="G418" i="3"/>
  <c r="G433" i="3"/>
  <c r="L333" i="4"/>
  <c r="L318" i="4"/>
  <c r="Z34" i="6"/>
  <c r="W61" i="5"/>
  <c r="W78" i="5" s="1"/>
  <c r="V154" i="4"/>
  <c r="H418" i="3"/>
  <c r="H433" i="3"/>
  <c r="AY108" i="12"/>
  <c r="AX109" i="12"/>
  <c r="AY109" i="12" s="1"/>
  <c r="U157" i="3"/>
  <c r="U93" i="3"/>
  <c r="V239" i="13"/>
  <c r="V14" i="13" s="1"/>
  <c r="AF307" i="15"/>
  <c r="X78" i="25"/>
  <c r="X62" i="25" s="1"/>
  <c r="X46" i="25" s="1"/>
  <c r="X60" i="23"/>
  <c r="X44" i="23" s="1"/>
  <c r="AB116" i="15"/>
  <c r="AG124" i="15"/>
  <c r="AG108" i="15" s="1"/>
  <c r="W123" i="4"/>
  <c r="W156" i="4" s="1"/>
  <c r="Q11" i="17"/>
  <c r="AH11" i="17" s="1"/>
  <c r="AH12" i="17"/>
  <c r="T55" i="13"/>
  <c r="T39" i="13" s="1"/>
  <c r="AV135" i="20"/>
  <c r="W72" i="25"/>
  <c r="W56" i="25" s="1"/>
  <c r="W40" i="25" s="1"/>
  <c r="W54" i="23"/>
  <c r="W38" i="23" s="1"/>
  <c r="W22" i="23" s="1"/>
  <c r="Z171" i="24"/>
  <c r="BS169" i="12" s="1"/>
  <c r="X171" i="24"/>
  <c r="AD129" i="15"/>
  <c r="AD113" i="15" s="1"/>
  <c r="X170" i="24"/>
  <c r="Z170" i="24"/>
  <c r="BS168" i="12" s="1"/>
  <c r="BI168" i="12" s="1"/>
  <c r="S30" i="19"/>
  <c r="S371" i="19"/>
  <c r="S31" i="6"/>
  <c r="U38" i="11"/>
  <c r="BA118" i="11"/>
  <c r="U153" i="9"/>
  <c r="U137" i="7"/>
  <c r="V153" i="7"/>
  <c r="AI302" i="15"/>
  <c r="J366" i="4"/>
  <c r="J396" i="4"/>
  <c r="W313" i="15"/>
  <c r="W281" i="15" s="1"/>
  <c r="U178" i="25"/>
  <c r="U162" i="25" s="1"/>
  <c r="U130" i="25" s="1"/>
  <c r="U34" i="25" s="1"/>
  <c r="U128" i="23"/>
  <c r="U32" i="23" s="1"/>
  <c r="BC158" i="14"/>
  <c r="R297" i="4"/>
  <c r="R396" i="3"/>
  <c r="AF125" i="15"/>
  <c r="AF109" i="15" s="1"/>
  <c r="AY75" i="14"/>
  <c r="BB75" i="14" s="1"/>
  <c r="AE193" i="11"/>
  <c r="AE8" i="11"/>
  <c r="N496" i="3"/>
  <c r="N465" i="3"/>
  <c r="P284" i="4"/>
  <c r="AX99" i="20"/>
  <c r="AX111" i="20"/>
  <c r="V105" i="3"/>
  <c r="Z133" i="11"/>
  <c r="BF134" i="11" s="1"/>
  <c r="AZ110" i="20"/>
  <c r="AA224" i="4"/>
  <c r="AJ132" i="19"/>
  <c r="R109" i="21"/>
  <c r="AC140" i="19"/>
  <c r="AD129" i="19"/>
  <c r="AE129" i="19" s="1"/>
  <c r="V174" i="25"/>
  <c r="V158" i="25" s="1"/>
  <c r="V126" i="25" s="1"/>
  <c r="V124" i="23"/>
  <c r="V199" i="13"/>
  <c r="V136" i="3" s="1"/>
  <c r="V152" i="3" s="1"/>
  <c r="AB352" i="11"/>
  <c r="AC46" i="4"/>
  <c r="AC47" i="4" s="1"/>
  <c r="W4" i="7"/>
  <c r="W69" i="7" s="1"/>
  <c r="W14" i="6"/>
  <c r="W13" i="6" s="1"/>
  <c r="U143" i="3"/>
  <c r="U207" i="3" s="1"/>
  <c r="U126" i="13"/>
  <c r="U169" i="9"/>
  <c r="V169" i="7"/>
  <c r="W169" i="7" s="1"/>
  <c r="U154" i="3"/>
  <c r="U90" i="3"/>
  <c r="Z208" i="4"/>
  <c r="AZ122" i="20"/>
  <c r="BA182" i="22"/>
  <c r="AQ138" i="19"/>
  <c r="AC137" i="11"/>
  <c r="AO298" i="15"/>
  <c r="AP298" i="15" s="1"/>
  <c r="U122" i="7"/>
  <c r="V122" i="7" s="1"/>
  <c r="M432" i="3"/>
  <c r="M417" i="3"/>
  <c r="Z13" i="25"/>
  <c r="AZ183" i="22"/>
  <c r="X75" i="25"/>
  <c r="X59" i="25" s="1"/>
  <c r="X43" i="25" s="1"/>
  <c r="X57" i="23"/>
  <c r="X41" i="23" s="1"/>
  <c r="AZ182" i="20"/>
  <c r="BB182" i="20"/>
  <c r="AB142" i="11"/>
  <c r="AC139" i="11"/>
  <c r="W146" i="11"/>
  <c r="W94" i="4"/>
  <c r="W95" i="4" s="1"/>
  <c r="BC171" i="14"/>
  <c r="AA139" i="11"/>
  <c r="AV27" i="20"/>
  <c r="AZ27" i="20" s="1"/>
  <c r="AW27" i="20"/>
  <c r="AE325" i="19"/>
  <c r="AE333" i="19" s="1"/>
  <c r="X54" i="23"/>
  <c r="X38" i="23" s="1"/>
  <c r="X72" i="25"/>
  <c r="X56" i="25" s="1"/>
  <c r="X40" i="25" s="1"/>
  <c r="BC170" i="14"/>
  <c r="AL300" i="15"/>
  <c r="AM300" i="15" s="1"/>
  <c r="U134" i="3"/>
  <c r="U198" i="3" s="1"/>
  <c r="U117" i="13"/>
  <c r="AA135" i="11"/>
  <c r="AB135" i="11"/>
  <c r="T179" i="9"/>
  <c r="T147" i="9" s="1"/>
  <c r="T147" i="7"/>
  <c r="X84" i="4"/>
  <c r="BD134" i="11"/>
  <c r="W118" i="4"/>
  <c r="C396" i="4"/>
  <c r="C366" i="4"/>
  <c r="AG38" i="4"/>
  <c r="AH104" i="11"/>
  <c r="AI104" i="11" s="1"/>
  <c r="X73" i="25"/>
  <c r="X57" i="25" s="1"/>
  <c r="X41" i="25" s="1"/>
  <c r="X55" i="23"/>
  <c r="X39" i="23" s="1"/>
  <c r="W175" i="25"/>
  <c r="W159" i="25" s="1"/>
  <c r="W127" i="25" s="1"/>
  <c r="W125" i="23"/>
  <c r="N333" i="4"/>
  <c r="N318" i="4"/>
  <c r="R379" i="17"/>
  <c r="R363" i="17" s="1"/>
  <c r="R43" i="17" s="1"/>
  <c r="R349" i="15"/>
  <c r="R45" i="15" s="1"/>
  <c r="Z134" i="11"/>
  <c r="AF124" i="15"/>
  <c r="AF108" i="15" s="1"/>
  <c r="AE415" i="3"/>
  <c r="W78" i="25"/>
  <c r="W62" i="25" s="1"/>
  <c r="W46" i="25" s="1"/>
  <c r="W30" i="25" s="1"/>
  <c r="W60" i="23"/>
  <c r="W44" i="23" s="1"/>
  <c r="W28" i="23" s="1"/>
  <c r="U153" i="3"/>
  <c r="U89" i="3"/>
  <c r="R120" i="25"/>
  <c r="R163" i="25"/>
  <c r="R11" i="25" s="1"/>
  <c r="D418" i="3"/>
  <c r="D433" i="3"/>
  <c r="R139" i="9"/>
  <c r="AB406" i="13"/>
  <c r="AB215" i="4"/>
  <c r="AC376" i="11"/>
  <c r="AB384" i="11"/>
  <c r="AB328" i="11"/>
  <c r="V351" i="13"/>
  <c r="V323" i="13"/>
  <c r="V335" i="13" s="1"/>
  <c r="Z138" i="11"/>
  <c r="T59" i="13"/>
  <c r="T43" i="13" s="1"/>
  <c r="AI415" i="3"/>
  <c r="BE110" i="14"/>
  <c r="BC110" i="14"/>
  <c r="U21" i="23"/>
  <c r="U49" i="23"/>
  <c r="W176" i="25"/>
  <c r="W160" i="25" s="1"/>
  <c r="W128" i="25" s="1"/>
  <c r="W126" i="23"/>
  <c r="T65" i="9"/>
  <c r="T49" i="9" s="1"/>
  <c r="T49" i="7"/>
  <c r="AD3" i="6"/>
  <c r="AD12" i="7"/>
  <c r="AE12" i="7" s="1"/>
  <c r="AC129" i="15"/>
  <c r="AC113" i="15" s="1"/>
  <c r="W86" i="24"/>
  <c r="V173" i="7"/>
  <c r="V173" i="9" s="1"/>
  <c r="AC252" i="11"/>
  <c r="K269" i="4"/>
  <c r="K254" i="4"/>
  <c r="Y86" i="4"/>
  <c r="X235" i="11"/>
  <c r="X234" i="11"/>
  <c r="X233" i="11"/>
  <c r="X240" i="11"/>
  <c r="X232" i="11"/>
  <c r="X230" i="11"/>
  <c r="X239" i="11"/>
  <c r="X229" i="11"/>
  <c r="X237" i="11"/>
  <c r="X236" i="11"/>
  <c r="X238" i="11"/>
  <c r="X231" i="11"/>
  <c r="Q75" i="25"/>
  <c r="Q59" i="25" s="1"/>
  <c r="Q43" i="25" s="1"/>
  <c r="Q27" i="25" s="1"/>
  <c r="AV73" i="23"/>
  <c r="Q57" i="23"/>
  <c r="V47" i="5"/>
  <c r="W87" i="24"/>
  <c r="U156" i="9"/>
  <c r="V156" i="7"/>
  <c r="K285" i="4"/>
  <c r="AZ159" i="22"/>
  <c r="AW159" i="22"/>
  <c r="BA159" i="22" s="1"/>
  <c r="AJ299" i="15"/>
  <c r="Z136" i="11"/>
  <c r="AA112" i="5"/>
  <c r="U135" i="3"/>
  <c r="U199" i="3" s="1"/>
  <c r="U118" i="13"/>
  <c r="AH130" i="15"/>
  <c r="AH114" i="15" s="1"/>
  <c r="V74" i="4"/>
  <c r="BL12" i="13"/>
  <c r="T7" i="13"/>
  <c r="BL7" i="13" s="1"/>
  <c r="AG340" i="19"/>
  <c r="AY135" i="14"/>
  <c r="BB135" i="14" s="1"/>
  <c r="BD86" i="18"/>
  <c r="AZ87" i="20"/>
  <c r="O254" i="4"/>
  <c r="V176" i="23"/>
  <c r="V160" i="23" s="1"/>
  <c r="F268" i="4"/>
  <c r="F253" i="4"/>
  <c r="BD146" i="18"/>
  <c r="R196" i="15"/>
  <c r="T129" i="23"/>
  <c r="AC134" i="11"/>
  <c r="T25" i="23"/>
  <c r="AK63" i="18"/>
  <c r="BA63" i="18"/>
  <c r="BC63" i="18" s="1"/>
  <c r="L352" i="3"/>
  <c r="L367" i="3"/>
  <c r="AL134" i="19"/>
  <c r="Z75" i="23"/>
  <c r="Z79" i="23"/>
  <c r="Z72" i="23"/>
  <c r="Z76" i="23"/>
  <c r="Z77" i="23"/>
  <c r="Z69" i="23"/>
  <c r="Z80" i="23" s="1"/>
  <c r="Z78" i="23"/>
  <c r="Z74" i="23"/>
  <c r="Z71" i="23"/>
  <c r="Z70" i="23"/>
  <c r="Z73" i="23"/>
  <c r="V30" i="25"/>
  <c r="W81" i="25"/>
  <c r="W65" i="25" s="1"/>
  <c r="W49" i="25" s="1"/>
  <c r="W33" i="25" s="1"/>
  <c r="W63" i="23"/>
  <c r="W47" i="23" s="1"/>
  <c r="W31" i="23" s="1"/>
  <c r="V203" i="15"/>
  <c r="V187" i="15" s="1"/>
  <c r="V210" i="15"/>
  <c r="V194" i="15" s="1"/>
  <c r="V202" i="15"/>
  <c r="V186" i="15" s="1"/>
  <c r="V204" i="15"/>
  <c r="V188" i="15" s="1"/>
  <c r="V207" i="15"/>
  <c r="V191" i="15" s="1"/>
  <c r="V200" i="15"/>
  <c r="V184" i="15" s="1"/>
  <c r="V201" i="15"/>
  <c r="V185" i="15" s="1"/>
  <c r="V206" i="15"/>
  <c r="V190" i="15" s="1"/>
  <c r="V205" i="15"/>
  <c r="V189" i="15" s="1"/>
  <c r="BU11" i="15"/>
  <c r="Z25" i="6"/>
  <c r="S37" i="23"/>
  <c r="V209" i="11"/>
  <c r="V48" i="6" s="1"/>
  <c r="V68" i="6" s="1"/>
  <c r="V117" i="11"/>
  <c r="T155" i="3"/>
  <c r="T91" i="3"/>
  <c r="T203" i="3"/>
  <c r="BT32" i="7"/>
  <c r="Q299" i="4"/>
  <c r="Q398" i="3"/>
  <c r="R301" i="4"/>
  <c r="R400" i="3"/>
  <c r="Y91" i="4"/>
  <c r="AB132" i="15"/>
  <c r="AB51" i="6" s="1"/>
  <c r="V23" i="15"/>
  <c r="BM22" i="15"/>
  <c r="V28" i="6"/>
  <c r="T54" i="17"/>
  <c r="AF193" i="11"/>
  <c r="AF8" i="11"/>
  <c r="W115" i="4"/>
  <c r="W67" i="4" s="1"/>
  <c r="BV14" i="7"/>
  <c r="X229" i="7"/>
  <c r="S209" i="17"/>
  <c r="S193" i="17" s="1"/>
  <c r="S195" i="15"/>
  <c r="S196" i="15" s="1"/>
  <c r="P465" i="3"/>
  <c r="P496" i="3"/>
  <c r="X80" i="23"/>
  <c r="AF464" i="3"/>
  <c r="O496" i="3"/>
  <c r="AG464" i="3"/>
  <c r="O465" i="3"/>
  <c r="T148" i="3"/>
  <c r="T84" i="3"/>
  <c r="U149" i="3"/>
  <c r="U85" i="3"/>
  <c r="W319" i="15"/>
  <c r="W287" i="15" s="1"/>
  <c r="T160" i="4"/>
  <c r="X77" i="25"/>
  <c r="X61" i="25" s="1"/>
  <c r="X45" i="25" s="1"/>
  <c r="X59" i="23"/>
  <c r="X43" i="23" s="1"/>
  <c r="W116" i="4"/>
  <c r="W149" i="4" s="1"/>
  <c r="P366" i="4"/>
  <c r="P396" i="4"/>
  <c r="S172" i="9"/>
  <c r="S140" i="9" s="1"/>
  <c r="S28" i="9" s="1"/>
  <c r="S140" i="7"/>
  <c r="S28" i="7" s="1"/>
  <c r="AH329" i="19"/>
  <c r="V161" i="9"/>
  <c r="R208" i="3"/>
  <c r="R382" i="17"/>
  <c r="R366" i="17" s="1"/>
  <c r="R46" i="17" s="1"/>
  <c r="R352" i="15"/>
  <c r="R48" i="15" s="1"/>
  <c r="V255" i="13"/>
  <c r="V15" i="13" s="1"/>
  <c r="BN15" i="13" s="1"/>
  <c r="W246" i="13" s="1"/>
  <c r="AI350" i="3"/>
  <c r="N432" i="3"/>
  <c r="N417" i="3"/>
  <c r="W79" i="25"/>
  <c r="W63" i="25" s="1"/>
  <c r="W47" i="25" s="1"/>
  <c r="W31" i="25" s="1"/>
  <c r="W61" i="23"/>
  <c r="W45" i="23" s="1"/>
  <c r="W29" i="23" s="1"/>
  <c r="V323" i="15"/>
  <c r="V291" i="15" s="1"/>
  <c r="V292" i="15" s="1"/>
  <c r="H284" i="4"/>
  <c r="I433" i="3"/>
  <c r="I418" i="3"/>
  <c r="V70" i="4"/>
  <c r="V77" i="4"/>
  <c r="X87" i="4"/>
  <c r="AG101" i="11"/>
  <c r="U158" i="9"/>
  <c r="V158" i="7"/>
  <c r="V95" i="4"/>
  <c r="Y145" i="11"/>
  <c r="Y47" i="6" s="1"/>
  <c r="Y65" i="6" s="1"/>
  <c r="Y83" i="4"/>
  <c r="Y34" i="6"/>
  <c r="W252" i="13"/>
  <c r="W124" i="4"/>
  <c r="V254" i="13"/>
  <c r="V206" i="13" s="1"/>
  <c r="V143" i="3" s="1"/>
  <c r="V159" i="3" s="1"/>
  <c r="V126" i="4"/>
  <c r="V159" i="4" s="1"/>
  <c r="N366" i="4"/>
  <c r="N396" i="4"/>
  <c r="Z141" i="11"/>
  <c r="T121" i="9"/>
  <c r="T132" i="7"/>
  <c r="T132" i="9" s="1"/>
  <c r="T61" i="13"/>
  <c r="T45" i="13" s="1"/>
  <c r="K354" i="3"/>
  <c r="U79" i="3"/>
  <c r="U203" i="3"/>
  <c r="U75" i="3"/>
  <c r="U72" i="3"/>
  <c r="BS18" i="15"/>
  <c r="AB137" i="11"/>
  <c r="V177" i="25"/>
  <c r="V161" i="25" s="1"/>
  <c r="V129" i="25" s="1"/>
  <c r="V127" i="23"/>
  <c r="F284" i="4"/>
  <c r="W114" i="7"/>
  <c r="AA31" i="13"/>
  <c r="AA33" i="11"/>
  <c r="AA34" i="11" s="1"/>
  <c r="AA4" i="6"/>
  <c r="AC27" i="11"/>
  <c r="V82" i="25"/>
  <c r="V66" i="25" s="1"/>
  <c r="V50" i="25" s="1"/>
  <c r="V64" i="23"/>
  <c r="V48" i="23" s="1"/>
  <c r="U171" i="7"/>
  <c r="V28" i="25"/>
  <c r="E384" i="3"/>
  <c r="T152" i="25"/>
  <c r="V69" i="4"/>
  <c r="AC141" i="11"/>
  <c r="T27" i="25"/>
  <c r="AZ74" i="20"/>
  <c r="AW63" i="20"/>
  <c r="AV63" i="20"/>
  <c r="AZ75" i="20" s="1"/>
  <c r="L383" i="3"/>
  <c r="AD8" i="15"/>
  <c r="CC8" i="15" s="1"/>
  <c r="CC7" i="15"/>
  <c r="AD10" i="15"/>
  <c r="CC10" i="15" s="1"/>
  <c r="AD7" i="11"/>
  <c r="AD20" i="6" s="1"/>
  <c r="U209" i="15"/>
  <c r="U193" i="15" s="1"/>
  <c r="S41" i="9"/>
  <c r="AG321" i="19"/>
  <c r="W227" i="13"/>
  <c r="W197" i="11"/>
  <c r="I366" i="4"/>
  <c r="I396" i="4"/>
  <c r="W71" i="25"/>
  <c r="W53" i="23"/>
  <c r="AC135" i="11"/>
  <c r="AF341" i="19"/>
  <c r="T154" i="3"/>
  <c r="T90" i="3"/>
  <c r="T202" i="3"/>
  <c r="W238" i="13"/>
  <c r="T182" i="17"/>
  <c r="AB8" i="23"/>
  <c r="AB3" i="23"/>
  <c r="AB7" i="6"/>
  <c r="AE13" i="23"/>
  <c r="AF13" i="23"/>
  <c r="AC118" i="4"/>
  <c r="AC151" i="4" s="1"/>
  <c r="Z65" i="11"/>
  <c r="R378" i="17"/>
  <c r="R362" i="17" s="1"/>
  <c r="R42" i="17" s="1"/>
  <c r="R348" i="15"/>
  <c r="R44" i="15" s="1"/>
  <c r="AC133" i="11"/>
  <c r="AA133" i="11"/>
  <c r="Y229" i="7"/>
  <c r="BX14" i="7"/>
  <c r="T143" i="3"/>
  <c r="T144" i="3" s="1"/>
  <c r="T126" i="13"/>
  <c r="T127" i="13" s="1"/>
  <c r="W233" i="13"/>
  <c r="W203" i="11"/>
  <c r="W123" i="11" s="1"/>
  <c r="W43" i="11" s="1"/>
  <c r="V106" i="3"/>
  <c r="AA136" i="11"/>
  <c r="I496" i="3"/>
  <c r="I465" i="3"/>
  <c r="AC253" i="11"/>
  <c r="T53" i="13"/>
  <c r="T37" i="13" s="1"/>
  <c r="U129" i="23"/>
  <c r="AN347" i="19"/>
  <c r="AN331" i="19" s="1"/>
  <c r="Z142" i="11"/>
  <c r="T31" i="23"/>
  <c r="V119" i="13"/>
  <c r="V104" i="3"/>
  <c r="P269" i="4"/>
  <c r="P254" i="4"/>
  <c r="T33" i="25"/>
  <c r="T79" i="4"/>
  <c r="AB64" i="11"/>
  <c r="R27" i="7"/>
  <c r="G334" i="4"/>
  <c r="G319" i="4"/>
  <c r="U144" i="7"/>
  <c r="U160" i="9"/>
  <c r="U144" i="9" s="1"/>
  <c r="V160" i="7"/>
  <c r="W160" i="7" s="1"/>
  <c r="AA143" i="11"/>
  <c r="AV77" i="23"/>
  <c r="Q61" i="23"/>
  <c r="Q79" i="25"/>
  <c r="Q63" i="25" s="1"/>
  <c r="Q47" i="25" s="1"/>
  <c r="Q31" i="25" s="1"/>
  <c r="AC59" i="11"/>
  <c r="AG328" i="19"/>
  <c r="X90" i="4"/>
  <c r="X81" i="25"/>
  <c r="X65" i="25" s="1"/>
  <c r="X49" i="25" s="1"/>
  <c r="X63" i="23"/>
  <c r="X47" i="23" s="1"/>
  <c r="W236" i="13"/>
  <c r="W206" i="11"/>
  <c r="W126" i="11" s="1"/>
  <c r="W46" i="11" s="1"/>
  <c r="S25" i="23"/>
  <c r="V245" i="13"/>
  <c r="V197" i="13" s="1"/>
  <c r="Y78" i="23"/>
  <c r="Y72" i="23"/>
  <c r="Y70" i="23"/>
  <c r="Y74" i="23"/>
  <c r="Y73" i="23"/>
  <c r="Y77" i="23"/>
  <c r="Y71" i="23"/>
  <c r="Y69" i="23"/>
  <c r="Y76" i="23"/>
  <c r="Y79" i="23"/>
  <c r="Y75" i="23"/>
  <c r="V33" i="25"/>
  <c r="V250" i="13"/>
  <c r="V202" i="13" s="1"/>
  <c r="V139" i="3" s="1"/>
  <c r="V155" i="3" s="1"/>
  <c r="AJ305" i="15"/>
  <c r="W125" i="4"/>
  <c r="W158" i="4" s="1"/>
  <c r="AC255" i="11"/>
  <c r="W46" i="5"/>
  <c r="AA134" i="11"/>
  <c r="BC347" i="15"/>
  <c r="Q43" i="15"/>
  <c r="T174" i="7"/>
  <c r="U174" i="7" s="1"/>
  <c r="U174" i="9" s="1"/>
  <c r="T62" i="13"/>
  <c r="Z177" i="23"/>
  <c r="Z10" i="23"/>
  <c r="X89" i="4"/>
  <c r="BB122" i="14"/>
  <c r="AK87" i="18"/>
  <c r="BA87" i="18"/>
  <c r="BC87" i="18" s="1"/>
  <c r="BD87" i="18" s="1"/>
  <c r="H383" i="3"/>
  <c r="I383" i="3"/>
  <c r="R96" i="3"/>
  <c r="AN301" i="15"/>
  <c r="AO301" i="15" s="1"/>
  <c r="AB143" i="11"/>
  <c r="P383" i="3"/>
  <c r="V175" i="25"/>
  <c r="V159" i="25" s="1"/>
  <c r="V127" i="25" s="1"/>
  <c r="V125" i="23"/>
  <c r="V29" i="23" s="1"/>
  <c r="BC353" i="15"/>
  <c r="Q49" i="15"/>
  <c r="W8" i="7"/>
  <c r="W133" i="7" s="1"/>
  <c r="T46" i="7"/>
  <c r="T62" i="9"/>
  <c r="T46" i="9" s="1"/>
  <c r="Z31" i="13"/>
  <c r="Z33" i="11"/>
  <c r="Z34" i="11" s="1"/>
  <c r="Z4" i="6"/>
  <c r="AB27" i="11"/>
  <c r="X88" i="4"/>
  <c r="T23" i="23"/>
  <c r="V170" i="7"/>
  <c r="V170" i="9" s="1"/>
  <c r="E368" i="3"/>
  <c r="E385" i="3" s="1"/>
  <c r="E353" i="3"/>
  <c r="AC143" i="11"/>
  <c r="V65" i="23"/>
  <c r="V37" i="23"/>
  <c r="U127" i="7"/>
  <c r="V127" i="7" s="1"/>
  <c r="AX135" i="20"/>
  <c r="AX147" i="20"/>
  <c r="T202" i="17"/>
  <c r="T186" i="17" s="1"/>
  <c r="T188" i="15"/>
  <c r="Q154" i="25"/>
  <c r="F418" i="3"/>
  <c r="F433" i="3"/>
  <c r="AA18" i="6"/>
  <c r="BQ12" i="15"/>
  <c r="X212" i="15"/>
  <c r="W250" i="13"/>
  <c r="W122" i="4"/>
  <c r="W155" i="4" s="1"/>
  <c r="AK303" i="15"/>
  <c r="AL303" i="15" s="1"/>
  <c r="AB192" i="11"/>
  <c r="D466" i="3"/>
  <c r="W57" i="23"/>
  <c r="W41" i="23" s="1"/>
  <c r="W75" i="25"/>
  <c r="W59" i="25" s="1"/>
  <c r="W43" i="25" s="1"/>
  <c r="W27" i="25" s="1"/>
  <c r="AC140" i="11"/>
  <c r="AB140" i="11"/>
  <c r="AE307" i="15"/>
  <c r="O432" i="3"/>
  <c r="O417" i="3"/>
  <c r="AG416" i="3"/>
  <c r="AI416" i="3" s="1"/>
  <c r="AF416" i="3"/>
  <c r="AE416" i="3"/>
  <c r="W318" i="15"/>
  <c r="W286" i="15" s="1"/>
  <c r="AG342" i="19"/>
  <c r="AI342" i="19" s="1"/>
  <c r="T57" i="13"/>
  <c r="T41" i="13" s="1"/>
  <c r="W169" i="25"/>
  <c r="W153" i="25" s="1"/>
  <c r="W121" i="25" s="1"/>
  <c r="W119" i="23"/>
  <c r="Y90" i="4"/>
  <c r="Y93" i="4"/>
  <c r="Z139" i="11"/>
  <c r="U197" i="3"/>
  <c r="U69" i="3"/>
  <c r="AA192" i="4"/>
  <c r="AA92" i="5"/>
  <c r="U207" i="13"/>
  <c r="U132" i="3"/>
  <c r="U115" i="13"/>
  <c r="AA337" i="11"/>
  <c r="V103" i="3"/>
  <c r="W321" i="15"/>
  <c r="W289" i="15" s="1"/>
  <c r="Q82" i="25"/>
  <c r="Q66" i="25" s="1"/>
  <c r="Q50" i="25" s="1"/>
  <c r="AV80" i="23"/>
  <c r="Q64" i="23"/>
  <c r="BT27" i="7"/>
  <c r="Q231" i="4"/>
  <c r="Q294" i="4"/>
  <c r="Q393" i="3"/>
  <c r="F334" i="4"/>
  <c r="F319" i="4"/>
  <c r="U152" i="25"/>
  <c r="U179" i="25"/>
  <c r="S96" i="3"/>
  <c r="BF166" i="12"/>
  <c r="BT166" i="12"/>
  <c r="BJ166" i="12" s="1"/>
  <c r="BD147" i="18"/>
  <c r="M34" i="17"/>
  <c r="M35" i="17" s="1"/>
  <c r="W314" i="15"/>
  <c r="W282" i="15" s="1"/>
  <c r="AD42" i="4"/>
  <c r="AE108" i="11"/>
  <c r="M318" i="4"/>
  <c r="M333" i="4"/>
  <c r="O333" i="4"/>
  <c r="O318" i="4"/>
  <c r="AB18" i="6"/>
  <c r="Q76" i="25"/>
  <c r="Q60" i="25" s="1"/>
  <c r="Q44" i="25" s="1"/>
  <c r="Q28" i="25" s="1"/>
  <c r="AV74" i="23"/>
  <c r="Q58" i="23"/>
  <c r="W229" i="13"/>
  <c r="W199" i="11"/>
  <c r="W119" i="11" s="1"/>
  <c r="W39" i="11" s="1"/>
  <c r="AD41" i="4"/>
  <c r="AD112" i="11"/>
  <c r="V31" i="23"/>
  <c r="AY39" i="20"/>
  <c r="X96" i="5"/>
  <c r="D318" i="4"/>
  <c r="D333" i="4"/>
  <c r="X74" i="25"/>
  <c r="X58" i="25" s="1"/>
  <c r="X42" i="25" s="1"/>
  <c r="X56" i="23"/>
  <c r="X40" i="23" s="1"/>
  <c r="W234" i="13"/>
  <c r="W204" i="11"/>
  <c r="W124" i="11" s="1"/>
  <c r="W44" i="11" s="1"/>
  <c r="S27" i="25"/>
  <c r="K333" i="4"/>
  <c r="K318" i="4"/>
  <c r="Y84" i="4"/>
  <c r="Y13" i="25"/>
  <c r="U157" i="9"/>
  <c r="U141" i="9" s="1"/>
  <c r="V157" i="7"/>
  <c r="E284" i="4"/>
  <c r="J269" i="4"/>
  <c r="J254" i="4"/>
  <c r="G496" i="3"/>
  <c r="G465" i="3"/>
  <c r="T141" i="9"/>
  <c r="AC80" i="11"/>
  <c r="W120" i="4"/>
  <c r="W153" i="4" s="1"/>
  <c r="AC250" i="11"/>
  <c r="AA141" i="11"/>
  <c r="Q361" i="17"/>
  <c r="T61" i="9"/>
  <c r="T45" i="9" s="1"/>
  <c r="T29" i="9" s="1"/>
  <c r="T45" i="7"/>
  <c r="V157" i="4"/>
  <c r="S133" i="9"/>
  <c r="S8" i="9" s="1"/>
  <c r="U70" i="3"/>
  <c r="AJ331" i="19"/>
  <c r="AO347" i="19"/>
  <c r="AO331" i="19" s="1"/>
  <c r="H366" i="4"/>
  <c r="H396" i="4"/>
  <c r="G352" i="3"/>
  <c r="G367" i="3"/>
  <c r="H367" i="3"/>
  <c r="V111" i="3"/>
  <c r="AB134" i="11"/>
  <c r="P367" i="3"/>
  <c r="P384" i="3" s="1"/>
  <c r="P352" i="3"/>
  <c r="V173" i="25"/>
  <c r="V157" i="25" s="1"/>
  <c r="V125" i="25" s="1"/>
  <c r="V29" i="25" s="1"/>
  <c r="V123" i="23"/>
  <c r="V27" i="23" s="1"/>
  <c r="AF15" i="7"/>
  <c r="Q181" i="9"/>
  <c r="Q11" i="9" s="1"/>
  <c r="Q9" i="9" s="1"/>
  <c r="Q15" i="9" s="1"/>
  <c r="H318" i="4"/>
  <c r="H333" i="4"/>
  <c r="R194" i="17"/>
  <c r="U208" i="15"/>
  <c r="U192" i="15" s="1"/>
  <c r="T25" i="25"/>
  <c r="V83" i="15"/>
  <c r="V67" i="15" s="1"/>
  <c r="S178" i="9"/>
  <c r="S146" i="9" s="1"/>
  <c r="S34" i="9" s="1"/>
  <c r="T178" i="7"/>
  <c r="S146" i="7"/>
  <c r="S34" i="7" s="1"/>
  <c r="T178" i="25"/>
  <c r="T162" i="25" s="1"/>
  <c r="T130" i="25" s="1"/>
  <c r="T128" i="23"/>
  <c r="AC127" i="15"/>
  <c r="AC111" i="15" s="1"/>
  <c r="AC136" i="11"/>
  <c r="S129" i="23"/>
  <c r="AK122" i="15"/>
  <c r="AK106" i="15" s="1"/>
  <c r="AL154" i="15"/>
  <c r="AE133" i="19"/>
  <c r="V83" i="25"/>
  <c r="V5" i="25" s="1"/>
  <c r="V4" i="25" s="1"/>
  <c r="V55" i="25"/>
  <c r="AN135" i="19"/>
  <c r="X93" i="4"/>
  <c r="R295" i="4"/>
  <c r="R394" i="3"/>
  <c r="W230" i="13"/>
  <c r="W200" i="11"/>
  <c r="W120" i="11" s="1"/>
  <c r="W40" i="11" s="1"/>
  <c r="AA137" i="11"/>
  <c r="Y89" i="4"/>
  <c r="R377" i="17"/>
  <c r="R361" i="17" s="1"/>
  <c r="R41" i="17" s="1"/>
  <c r="R347" i="15"/>
  <c r="R43" i="15" s="1"/>
  <c r="X76" i="25"/>
  <c r="X60" i="25" s="1"/>
  <c r="X44" i="25" s="1"/>
  <c r="X58" i="23"/>
  <c r="X42" i="23" s="1"/>
  <c r="W117" i="4"/>
  <c r="W150" i="4" s="1"/>
  <c r="AC247" i="11"/>
  <c r="V169" i="25"/>
  <c r="V153" i="25" s="1"/>
  <c r="V121" i="25" s="1"/>
  <c r="V25" i="25" s="1"/>
  <c r="V119" i="23"/>
  <c r="V23" i="23" s="1"/>
  <c r="T52" i="13"/>
  <c r="T36" i="13" s="1"/>
  <c r="AV147" i="20"/>
  <c r="AZ147" i="20" s="1"/>
  <c r="AW147" i="20"/>
  <c r="AW159" i="20"/>
  <c r="W77" i="25"/>
  <c r="W61" i="25" s="1"/>
  <c r="W45" i="25" s="1"/>
  <c r="W29" i="25" s="1"/>
  <c r="W59" i="23"/>
  <c r="W43" i="23" s="1"/>
  <c r="W27" i="23" s="1"/>
  <c r="F396" i="4"/>
  <c r="F366" i="4"/>
  <c r="W231" i="13"/>
  <c r="W201" i="11"/>
  <c r="W121" i="11" s="1"/>
  <c r="W41" i="11" s="1"/>
  <c r="M366" i="4"/>
  <c r="M396" i="4"/>
  <c r="BC352" i="15"/>
  <c r="Q48" i="15"/>
  <c r="F465" i="3"/>
  <c r="F496" i="3"/>
  <c r="BC183" i="14"/>
  <c r="W232" i="13"/>
  <c r="W202" i="11"/>
  <c r="W122" i="11" s="1"/>
  <c r="W42" i="11" s="1"/>
  <c r="AB133" i="11"/>
  <c r="O367" i="3"/>
  <c r="O352" i="3"/>
  <c r="AF351" i="3"/>
  <c r="AG351" i="3"/>
  <c r="R180" i="9"/>
  <c r="R148" i="9" s="1"/>
  <c r="R148" i="7"/>
  <c r="R149" i="7" s="1"/>
  <c r="AY159" i="20"/>
  <c r="AV159" i="20"/>
  <c r="AZ159" i="20" s="1"/>
  <c r="T57" i="9"/>
  <c r="T41" i="7"/>
  <c r="T68" i="7"/>
  <c r="AJ303" i="15"/>
  <c r="AM303" i="15" s="1"/>
  <c r="AY63" i="14"/>
  <c r="BB63" i="14" s="1"/>
  <c r="AW99" i="20"/>
  <c r="AV99" i="20"/>
  <c r="AZ99" i="20" s="1"/>
  <c r="D368" i="3"/>
  <c r="D385" i="3" s="1"/>
  <c r="D353" i="3"/>
  <c r="V108" i="3"/>
  <c r="W320" i="15"/>
  <c r="W288" i="15" s="1"/>
  <c r="AX168" i="12"/>
  <c r="BE170" i="14" s="1"/>
  <c r="BA167" i="12"/>
  <c r="BP167" i="12" s="1"/>
  <c r="AY167" i="12"/>
  <c r="Y12" i="15"/>
  <c r="AC245" i="11"/>
  <c r="X171" i="23"/>
  <c r="X155" i="23" s="1"/>
  <c r="X168" i="23"/>
  <c r="X152" i="23" s="1"/>
  <c r="X167" i="23"/>
  <c r="X151" i="23" s="1"/>
  <c r="X169" i="23"/>
  <c r="X153" i="23" s="1"/>
  <c r="X166" i="23"/>
  <c r="X150" i="23" s="1"/>
  <c r="X174" i="23"/>
  <c r="X158" i="23" s="1"/>
  <c r="X175" i="23"/>
  <c r="X159" i="23" s="1"/>
  <c r="X173" i="23"/>
  <c r="X157" i="23" s="1"/>
  <c r="X172" i="23"/>
  <c r="X156" i="23" s="1"/>
  <c r="X170" i="23"/>
  <c r="X154" i="23" s="1"/>
  <c r="AD464" i="3"/>
  <c r="AH464" i="3" s="1"/>
  <c r="J496" i="3"/>
  <c r="J465" i="3"/>
  <c r="T56" i="13"/>
  <c r="T40" i="13" s="1"/>
  <c r="T199" i="17"/>
  <c r="T183" i="17" s="1"/>
  <c r="T185" i="15"/>
  <c r="AH302" i="15"/>
  <c r="AC18" i="6"/>
  <c r="V191" i="13"/>
  <c r="V11" i="13" s="1"/>
  <c r="V131" i="13"/>
  <c r="Q385" i="17"/>
  <c r="Q369" i="17" s="1"/>
  <c r="Q49" i="17" s="1"/>
  <c r="BC371" i="15"/>
  <c r="Q355" i="15"/>
  <c r="Q356" i="15" s="1"/>
  <c r="AW51" i="20"/>
  <c r="AV51" i="20"/>
  <c r="AZ51" i="20" s="1"/>
  <c r="AN139" i="19"/>
  <c r="AO139" i="19" s="1"/>
  <c r="U163" i="9"/>
  <c r="U147" i="9" s="1"/>
  <c r="U147" i="7"/>
  <c r="V163" i="7"/>
  <c r="BA99" i="18"/>
  <c r="BC99" i="18" s="1"/>
  <c r="AK99" i="18"/>
  <c r="AC254" i="11"/>
  <c r="T67" i="15"/>
  <c r="T68" i="15" s="1"/>
  <c r="T81" i="17"/>
  <c r="T65" i="17" s="1"/>
  <c r="BA183" i="22"/>
  <c r="X71" i="25"/>
  <c r="X53" i="23"/>
  <c r="W228" i="13"/>
  <c r="W198" i="11"/>
  <c r="F352" i="3"/>
  <c r="F367" i="3"/>
  <c r="F384" i="3" s="1"/>
  <c r="Q178" i="25"/>
  <c r="Q162" i="25" s="1"/>
  <c r="Q130" i="25" s="1"/>
  <c r="AV160" i="23"/>
  <c r="Q128" i="23"/>
  <c r="AV128" i="23" s="1"/>
  <c r="E268" i="4"/>
  <c r="E285" i="4" s="1"/>
  <c r="E253" i="4"/>
  <c r="J268" i="4"/>
  <c r="T141" i="7"/>
  <c r="W121" i="4"/>
  <c r="AC251" i="11"/>
  <c r="AA138" i="11"/>
  <c r="AY179" i="12"/>
  <c r="AX180" i="12"/>
  <c r="S29" i="7"/>
  <c r="V252" i="13"/>
  <c r="V204" i="13" s="1"/>
  <c r="BC350" i="15"/>
  <c r="Q46" i="15"/>
  <c r="L269" i="4"/>
  <c r="L286" i="4" s="1"/>
  <c r="L254" i="4"/>
  <c r="Q161" i="23"/>
  <c r="AV161" i="23" s="1"/>
  <c r="AI337" i="19"/>
  <c r="AK337" i="19" s="1"/>
  <c r="N268" i="4"/>
  <c r="N285" i="4" s="1"/>
  <c r="N253" i="4"/>
  <c r="AR123" i="14"/>
  <c r="AY123" i="14"/>
  <c r="BB123" i="14" s="1"/>
  <c r="Z18" i="6"/>
  <c r="G383" i="3"/>
  <c r="AG130" i="15"/>
  <c r="AG114" i="15" s="1"/>
  <c r="AB141" i="11"/>
  <c r="V170" i="25"/>
  <c r="V154" i="25" s="1"/>
  <c r="V122" i="25" s="1"/>
  <c r="V26" i="25" s="1"/>
  <c r="V120" i="23"/>
  <c r="V24" i="23" s="1"/>
  <c r="S171" i="9"/>
  <c r="S139" i="7"/>
  <c r="S180" i="7"/>
  <c r="R210" i="17"/>
  <c r="R12" i="17" s="1"/>
  <c r="S68" i="9"/>
  <c r="S52" i="9" s="1"/>
  <c r="S52" i="7"/>
  <c r="S53" i="7" s="1"/>
  <c r="R376" i="17"/>
  <c r="R360" i="17" s="1"/>
  <c r="R40" i="17" s="1"/>
  <c r="R346" i="15"/>
  <c r="R42" i="15" s="1"/>
  <c r="AD159" i="15"/>
  <c r="BD110" i="18"/>
  <c r="S26" i="9"/>
  <c r="Y87" i="4"/>
  <c r="AC142" i="11"/>
  <c r="S152" i="25"/>
  <c r="S179" i="25"/>
  <c r="BF182" i="11"/>
  <c r="Z141" i="21"/>
  <c r="Z8" i="21" s="1"/>
  <c r="AW123" i="20"/>
  <c r="AV123" i="20"/>
  <c r="AZ123" i="20" s="1"/>
  <c r="S100" i="7"/>
  <c r="S101" i="7" s="1"/>
  <c r="BB170" i="20"/>
  <c r="BR168" i="12" s="1"/>
  <c r="BH168" i="12" s="1"/>
  <c r="AZ170" i="20"/>
  <c r="BC62" i="14"/>
  <c r="R292" i="4"/>
  <c r="R391" i="3"/>
  <c r="AE7" i="15"/>
  <c r="W77" i="15"/>
  <c r="W61" i="15" s="1"/>
  <c r="W76" i="15"/>
  <c r="W60" i="15" s="1"/>
  <c r="W75" i="15"/>
  <c r="W59" i="15" s="1"/>
  <c r="W82" i="15"/>
  <c r="W66" i="15" s="1"/>
  <c r="W74" i="15"/>
  <c r="W58" i="15" s="1"/>
  <c r="W79" i="15"/>
  <c r="W63" i="15" s="1"/>
  <c r="W81" i="15"/>
  <c r="W65" i="15" s="1"/>
  <c r="W80" i="15"/>
  <c r="W64" i="15" s="1"/>
  <c r="W73" i="15"/>
  <c r="W57" i="15" s="1"/>
  <c r="W72" i="15"/>
  <c r="W56" i="15" s="1"/>
  <c r="W78" i="15"/>
  <c r="W62" i="15" s="1"/>
  <c r="BG169" i="12"/>
  <c r="I318" i="4"/>
  <c r="I333" i="4"/>
  <c r="J352" i="3"/>
  <c r="J367" i="3"/>
  <c r="J384" i="3" s="1"/>
  <c r="AD351" i="3"/>
  <c r="AH351" i="3" s="1"/>
  <c r="K367" i="3"/>
  <c r="K384" i="3" s="1"/>
  <c r="W172" i="25"/>
  <c r="W156" i="25" s="1"/>
  <c r="W124" i="25" s="1"/>
  <c r="W122" i="23"/>
  <c r="R371" i="15"/>
  <c r="T60" i="13"/>
  <c r="T44" i="13" s="1"/>
  <c r="T196" i="3"/>
  <c r="E418" i="3"/>
  <c r="E433" i="3"/>
  <c r="BC354" i="15"/>
  <c r="Q50" i="15"/>
  <c r="R302" i="4"/>
  <c r="R401" i="3"/>
  <c r="AD248" i="11"/>
  <c r="Z22" i="5"/>
  <c r="Z23" i="5" s="1"/>
  <c r="AS5" i="25"/>
  <c r="R4" i="25"/>
  <c r="AS4" i="25" s="1"/>
  <c r="U206" i="3"/>
  <c r="U78" i="3"/>
  <c r="T54" i="13"/>
  <c r="T38" i="13" s="1"/>
  <c r="U201" i="3"/>
  <c r="U73" i="3"/>
  <c r="AC119" i="4"/>
  <c r="AC152" i="4" s="1"/>
  <c r="W45" i="5"/>
  <c r="AF35" i="4"/>
  <c r="R380" i="17"/>
  <c r="R364" i="17" s="1"/>
  <c r="R44" i="17" s="1"/>
  <c r="R350" i="15"/>
  <c r="R46" i="15" s="1"/>
  <c r="AE45" i="4"/>
  <c r="AF111" i="11"/>
  <c r="BR20" i="15"/>
  <c r="BO20" i="15"/>
  <c r="AE350" i="3"/>
  <c r="X80" i="25"/>
  <c r="X64" i="25" s="1"/>
  <c r="X48" i="25" s="1"/>
  <c r="X62" i="23"/>
  <c r="X46" i="23" s="1"/>
  <c r="AG296" i="15"/>
  <c r="AY147" i="20"/>
  <c r="BC349" i="15"/>
  <c r="Q45" i="15"/>
  <c r="Y177" i="23"/>
  <c r="Y10" i="23"/>
  <c r="AD13" i="23"/>
  <c r="AG13" i="23" s="1"/>
  <c r="AF123" i="15"/>
  <c r="AF107" i="15" s="1"/>
  <c r="AG155" i="15"/>
  <c r="T82" i="25"/>
  <c r="T66" i="25" s="1"/>
  <c r="T50" i="25" s="1"/>
  <c r="T34" i="25" s="1"/>
  <c r="T64" i="23"/>
  <c r="T48" i="23" s="1"/>
  <c r="T32" i="23" s="1"/>
  <c r="AH342" i="19"/>
  <c r="W170" i="25"/>
  <c r="W154" i="25" s="1"/>
  <c r="W122" i="25" s="1"/>
  <c r="W120" i="23"/>
  <c r="Y10" i="7"/>
  <c r="Z10" i="7" s="1"/>
  <c r="BX9" i="7"/>
  <c r="Y16" i="6"/>
  <c r="BC246" i="11"/>
  <c r="H253" i="4"/>
  <c r="H268" i="4"/>
  <c r="BM14" i="13"/>
  <c r="U12" i="13"/>
  <c r="X4" i="7"/>
  <c r="BV3" i="7"/>
  <c r="X14" i="6"/>
  <c r="R383" i="17"/>
  <c r="R367" i="17" s="1"/>
  <c r="R47" i="17" s="1"/>
  <c r="R353" i="15"/>
  <c r="R49" i="15" s="1"/>
  <c r="Q74" i="25"/>
  <c r="Q56" i="23"/>
  <c r="AV72" i="23"/>
  <c r="Z137" i="11"/>
  <c r="Y92" i="4"/>
  <c r="Q78" i="25"/>
  <c r="Q62" i="25" s="1"/>
  <c r="Q46" i="25" s="1"/>
  <c r="Q30" i="25" s="1"/>
  <c r="Q60" i="23"/>
  <c r="AV76" i="23"/>
  <c r="S29" i="23"/>
  <c r="X16" i="25"/>
  <c r="X6" i="2"/>
  <c r="V28" i="23"/>
  <c r="E465" i="3"/>
  <c r="E496" i="3"/>
  <c r="AT123" i="18"/>
  <c r="BA123" i="18"/>
  <c r="BC123" i="18" s="1"/>
  <c r="AY39" i="14"/>
  <c r="BB39" i="14" s="1"/>
  <c r="BE39" i="14" s="1"/>
  <c r="AR51" i="14"/>
  <c r="AY51" i="14"/>
  <c r="BB51" i="14" s="1"/>
  <c r="BE51" i="14" s="1"/>
  <c r="X79" i="25"/>
  <c r="X63" i="25" s="1"/>
  <c r="X47" i="25" s="1"/>
  <c r="X61" i="23"/>
  <c r="X45" i="23" s="1"/>
  <c r="W235" i="13"/>
  <c r="W205" i="11"/>
  <c r="W125" i="11" s="1"/>
  <c r="W45" i="11" s="1"/>
  <c r="BE146" i="14"/>
  <c r="BC146" i="14"/>
  <c r="AB4" i="15"/>
  <c r="W119" i="4"/>
  <c r="W152" i="4" s="1"/>
  <c r="AA142" i="11"/>
  <c r="AC163" i="15"/>
  <c r="AC131" i="15" s="1"/>
  <c r="AC115" i="15" s="1"/>
  <c r="S29" i="9"/>
  <c r="Z191" i="4"/>
  <c r="Z337" i="11"/>
  <c r="AM327" i="19"/>
  <c r="AN343" i="19"/>
  <c r="L285" i="4"/>
  <c r="AV120" i="23"/>
  <c r="AJ337" i="19"/>
  <c r="Z20" i="15"/>
  <c r="AB47" i="4"/>
  <c r="AB13" i="7"/>
  <c r="AB213" i="7" s="1"/>
  <c r="AB17" i="6"/>
  <c r="AB138" i="11"/>
  <c r="Z47" i="4"/>
  <c r="V168" i="25"/>
  <c r="V118" i="23"/>
  <c r="V22" i="23" s="1"/>
  <c r="V161" i="23"/>
  <c r="AG329" i="19"/>
  <c r="BJ7" i="13"/>
  <c r="R27" i="13"/>
  <c r="U177" i="7"/>
  <c r="U177" i="9" s="1"/>
  <c r="R53" i="7"/>
  <c r="S25" i="7"/>
  <c r="AI18" i="17"/>
  <c r="R17" i="17"/>
  <c r="AI17" i="17" s="1"/>
  <c r="R384" i="17"/>
  <c r="R368" i="17" s="1"/>
  <c r="R48" i="17" s="1"/>
  <c r="R354" i="15"/>
  <c r="R50" i="15" s="1"/>
  <c r="BC111" i="18"/>
  <c r="S26" i="7"/>
  <c r="R69" i="9"/>
  <c r="R4" i="9" s="1"/>
  <c r="R3" i="9" s="1"/>
  <c r="AC138" i="11"/>
  <c r="T138" i="9"/>
  <c r="AH39" i="4"/>
  <c r="S100" i="9"/>
  <c r="S101" i="9" s="1"/>
  <c r="V201" i="13"/>
  <c r="V138" i="3" s="1"/>
  <c r="V154" i="3" s="1"/>
  <c r="K496" i="3"/>
  <c r="K465" i="3"/>
  <c r="AC341" i="11" l="1"/>
  <c r="AC343" i="11"/>
  <c r="AC347" i="11"/>
  <c r="AC346" i="11"/>
  <c r="AC350" i="11"/>
  <c r="AC342" i="11"/>
  <c r="AC349" i="11"/>
  <c r="AC344" i="11"/>
  <c r="AC351" i="11"/>
  <c r="AC345" i="11"/>
  <c r="AC382" i="11"/>
  <c r="AC375" i="11"/>
  <c r="AC377" i="11"/>
  <c r="AC380" i="11"/>
  <c r="AC379" i="11"/>
  <c r="AC378" i="11"/>
  <c r="AC373" i="11"/>
  <c r="AC374" i="11"/>
  <c r="AC383" i="11"/>
  <c r="AC381" i="11"/>
  <c r="Y240" i="11"/>
  <c r="Y233" i="11"/>
  <c r="U79" i="4"/>
  <c r="Y234" i="11"/>
  <c r="W62" i="5"/>
  <c r="W79" i="5" s="1"/>
  <c r="AD246" i="11"/>
  <c r="W74" i="4"/>
  <c r="AJ105" i="11"/>
  <c r="AJ39" i="4" s="1"/>
  <c r="V125" i="7"/>
  <c r="V125" i="9" s="1"/>
  <c r="Y231" i="11"/>
  <c r="Y236" i="11"/>
  <c r="Y234" i="13" s="1"/>
  <c r="Y254" i="11"/>
  <c r="AE254" i="11" s="1"/>
  <c r="AE124" i="4" s="1"/>
  <c r="AE157" i="4" s="1"/>
  <c r="AD254" i="11"/>
  <c r="Y229" i="11"/>
  <c r="AD247" i="11"/>
  <c r="X317" i="15"/>
  <c r="X285" i="15" s="1"/>
  <c r="R36" i="9"/>
  <c r="V109" i="9"/>
  <c r="AA20" i="15"/>
  <c r="V130" i="7"/>
  <c r="V130" i="9" s="1"/>
  <c r="AH128" i="15"/>
  <c r="AH112" i="15" s="1"/>
  <c r="T32" i="7"/>
  <c r="U98" i="7"/>
  <c r="Q2" i="2"/>
  <c r="Y17" i="15"/>
  <c r="Y22" i="15" s="1"/>
  <c r="Y28" i="6" s="1"/>
  <c r="AB9" i="7"/>
  <c r="V22" i="6"/>
  <c r="AI128" i="15"/>
  <c r="AI112" i="15" s="1"/>
  <c r="AJ160" i="15"/>
  <c r="AJ128" i="15" s="1"/>
  <c r="AJ112" i="15" s="1"/>
  <c r="U141" i="7"/>
  <c r="U29" i="7" s="1"/>
  <c r="T35" i="7"/>
  <c r="X322" i="15"/>
  <c r="X290" i="15" s="1"/>
  <c r="Y322" i="15"/>
  <c r="Y290" i="15" s="1"/>
  <c r="V105" i="9"/>
  <c r="W202" i="15"/>
  <c r="W186" i="15" s="1"/>
  <c r="V129" i="7"/>
  <c r="V129" i="9" s="1"/>
  <c r="U143" i="7"/>
  <c r="W173" i="7"/>
  <c r="W173" i="9" s="1"/>
  <c r="T33" i="7"/>
  <c r="U143" i="9"/>
  <c r="AC14" i="7"/>
  <c r="AC229" i="7" s="1"/>
  <c r="V123" i="7"/>
  <c r="V123" i="9" s="1"/>
  <c r="V91" i="9" s="1"/>
  <c r="T32" i="9"/>
  <c r="T33" i="9"/>
  <c r="AJ153" i="15"/>
  <c r="AJ121" i="15" s="1"/>
  <c r="AJ105" i="15" s="1"/>
  <c r="AG152" i="15"/>
  <c r="AG120" i="15" s="1"/>
  <c r="AG104" i="15" s="1"/>
  <c r="AF120" i="15"/>
  <c r="AF104" i="15" s="1"/>
  <c r="W210" i="15"/>
  <c r="W194" i="15" s="1"/>
  <c r="X315" i="15"/>
  <c r="X283" i="15" s="1"/>
  <c r="T100" i="9"/>
  <c r="Q37" i="7"/>
  <c r="BT37" i="7" s="1"/>
  <c r="T100" i="7"/>
  <c r="T101" i="7" s="1"/>
  <c r="AI156" i="15"/>
  <c r="AJ156" i="15" s="1"/>
  <c r="AJ124" i="15" s="1"/>
  <c r="AJ108" i="15" s="1"/>
  <c r="X145" i="11"/>
  <c r="X47" i="6" s="1"/>
  <c r="X65" i="6" s="1"/>
  <c r="V174" i="7"/>
  <c r="V174" i="9" s="1"/>
  <c r="T29" i="7"/>
  <c r="T35" i="9"/>
  <c r="T140" i="7"/>
  <c r="T28" i="7" s="1"/>
  <c r="X316" i="15"/>
  <c r="X284" i="15" s="1"/>
  <c r="T89" i="9"/>
  <c r="T172" i="9"/>
  <c r="T140" i="9" s="1"/>
  <c r="T28" i="9" s="1"/>
  <c r="V93" i="7"/>
  <c r="AB14" i="7"/>
  <c r="AB229" i="7" s="1"/>
  <c r="X94" i="4"/>
  <c r="X95" i="4" s="1"/>
  <c r="BT36" i="7"/>
  <c r="U142" i="9"/>
  <c r="Q402" i="3"/>
  <c r="AA194" i="11"/>
  <c r="BU20" i="15"/>
  <c r="BS20" i="15"/>
  <c r="S3" i="2"/>
  <c r="Y312" i="15"/>
  <c r="Y280" i="15" s="1"/>
  <c r="BK27" i="13"/>
  <c r="AM11" i="11"/>
  <c r="AN11" i="11" s="1"/>
  <c r="V89" i="7"/>
  <c r="AK106" i="11"/>
  <c r="AJ40" i="4"/>
  <c r="AI39" i="4"/>
  <c r="V37" i="5"/>
  <c r="W208" i="11"/>
  <c r="W128" i="11" s="1"/>
  <c r="W48" i="11" s="1"/>
  <c r="W254" i="13"/>
  <c r="W206" i="13" s="1"/>
  <c r="W143" i="3" s="1"/>
  <c r="W159" i="3" s="1"/>
  <c r="AA14" i="11"/>
  <c r="Z15" i="11"/>
  <c r="Z257" i="11" s="1"/>
  <c r="Z246" i="11" s="1"/>
  <c r="Z241" i="11"/>
  <c r="V113" i="9"/>
  <c r="W113" i="7"/>
  <c r="U172" i="9"/>
  <c r="U140" i="9" s="1"/>
  <c r="U140" i="7"/>
  <c r="V172" i="7"/>
  <c r="V172" i="9" s="1"/>
  <c r="AI130" i="15"/>
  <c r="AI114" i="15" s="1"/>
  <c r="U99" i="7"/>
  <c r="U35" i="7" s="1"/>
  <c r="U115" i="9"/>
  <c r="U99" i="9" s="1"/>
  <c r="U35" i="9" s="1"/>
  <c r="W77" i="4"/>
  <c r="Y249" i="11"/>
  <c r="Z249" i="11" s="1"/>
  <c r="AF249" i="11" s="1"/>
  <c r="W112" i="7"/>
  <c r="W96" i="7" s="1"/>
  <c r="T26" i="7"/>
  <c r="V208" i="15"/>
  <c r="V192" i="15" s="1"/>
  <c r="V98" i="7"/>
  <c r="W47" i="5"/>
  <c r="X73" i="15"/>
  <c r="U110" i="9"/>
  <c r="U94" i="9" s="1"/>
  <c r="V110" i="7"/>
  <c r="U94" i="7"/>
  <c r="U116" i="7"/>
  <c r="U116" i="9" s="1"/>
  <c r="V175" i="7"/>
  <c r="V175" i="9" s="1"/>
  <c r="Y255" i="11"/>
  <c r="AE255" i="11" s="1"/>
  <c r="AE125" i="4" s="1"/>
  <c r="AE158" i="4" s="1"/>
  <c r="X78" i="15"/>
  <c r="Y253" i="11"/>
  <c r="Y123" i="4" s="1"/>
  <c r="Y156" i="4" s="1"/>
  <c r="X80" i="15"/>
  <c r="W68" i="4"/>
  <c r="AM110" i="11"/>
  <c r="AN110" i="11" s="1"/>
  <c r="W179" i="7"/>
  <c r="W179" i="9" s="1"/>
  <c r="V209" i="15"/>
  <c r="V193" i="15" s="1"/>
  <c r="V115" i="7"/>
  <c r="W115" i="7" s="1"/>
  <c r="W115" i="9" s="1"/>
  <c r="U164" i="7"/>
  <c r="U164" i="9" s="1"/>
  <c r="Y252" i="11"/>
  <c r="R101" i="9"/>
  <c r="Z144" i="11"/>
  <c r="Z94" i="4" s="1"/>
  <c r="X256" i="11"/>
  <c r="X126" i="4" s="1"/>
  <c r="X159" i="4" s="1"/>
  <c r="U106" i="9"/>
  <c r="V106" i="7"/>
  <c r="V106" i="9" s="1"/>
  <c r="Y245" i="11"/>
  <c r="Y197" i="11" s="1"/>
  <c r="W107" i="7"/>
  <c r="W107" i="9" s="1"/>
  <c r="T95" i="9"/>
  <c r="T31" i="9" s="1"/>
  <c r="U107" i="9"/>
  <c r="U91" i="9" s="1"/>
  <c r="U91" i="7"/>
  <c r="AQ102" i="11"/>
  <c r="AQ36" i="4" s="1"/>
  <c r="AO36" i="4"/>
  <c r="Y11" i="7"/>
  <c r="Y181" i="7" s="1"/>
  <c r="W170" i="7"/>
  <c r="W170" i="9" s="1"/>
  <c r="X13" i="6"/>
  <c r="V155" i="7"/>
  <c r="V155" i="9" s="1"/>
  <c r="U139" i="7"/>
  <c r="Y248" i="11"/>
  <c r="AE248" i="11" s="1"/>
  <c r="U142" i="7"/>
  <c r="BG134" i="11"/>
  <c r="U97" i="7"/>
  <c r="U113" i="9"/>
  <c r="U97" i="9" s="1"/>
  <c r="V111" i="7"/>
  <c r="V111" i="9" s="1"/>
  <c r="W71" i="4"/>
  <c r="T46" i="13"/>
  <c r="V121" i="13"/>
  <c r="Y315" i="15"/>
  <c r="Y283" i="15" s="1"/>
  <c r="T90" i="9"/>
  <c r="T26" i="9" s="1"/>
  <c r="S6" i="9"/>
  <c r="Y317" i="15"/>
  <c r="Y285" i="15" s="1"/>
  <c r="T180" i="7"/>
  <c r="T148" i="7" s="1"/>
  <c r="AJ162" i="15"/>
  <c r="AJ130" i="15" s="1"/>
  <c r="AJ114" i="15" s="1"/>
  <c r="U108" i="9"/>
  <c r="U92" i="9" s="1"/>
  <c r="V108" i="7"/>
  <c r="V108" i="9" s="1"/>
  <c r="V92" i="9" s="1"/>
  <c r="U92" i="7"/>
  <c r="AP102" i="11"/>
  <c r="AP36" i="4" s="1"/>
  <c r="AH158" i="15"/>
  <c r="AG126" i="15"/>
  <c r="AG110" i="15" s="1"/>
  <c r="T139" i="9"/>
  <c r="T27" i="9" s="1"/>
  <c r="U112" i="9"/>
  <c r="U96" i="9" s="1"/>
  <c r="U32" i="9" s="1"/>
  <c r="U96" i="7"/>
  <c r="U32" i="7" s="1"/>
  <c r="V207" i="13"/>
  <c r="V132" i="3"/>
  <c r="AE140" i="19"/>
  <c r="AF129" i="19"/>
  <c r="Z165" i="7"/>
  <c r="Z11" i="7"/>
  <c r="Z181" i="7" s="1"/>
  <c r="AK321" i="19"/>
  <c r="AL337" i="19"/>
  <c r="AM337" i="19"/>
  <c r="AD123" i="4"/>
  <c r="AD156" i="4" s="1"/>
  <c r="Z82" i="25"/>
  <c r="Z66" i="25" s="1"/>
  <c r="Z50" i="25" s="1"/>
  <c r="Z64" i="23"/>
  <c r="Z48" i="23" s="1"/>
  <c r="V134" i="3"/>
  <c r="V117" i="13"/>
  <c r="V140" i="3"/>
  <c r="V156" i="3" s="1"/>
  <c r="V123" i="13"/>
  <c r="AG8" i="23"/>
  <c r="AG11" i="23" s="1"/>
  <c r="V127" i="9"/>
  <c r="AE13" i="7"/>
  <c r="AE213" i="7" s="1"/>
  <c r="AK136" i="19"/>
  <c r="AL136" i="19" s="1"/>
  <c r="V137" i="3"/>
  <c r="V153" i="3" s="1"/>
  <c r="V120" i="13"/>
  <c r="AF129" i="15"/>
  <c r="AF113" i="15" s="1"/>
  <c r="AG161" i="15"/>
  <c r="AH161" i="15" s="1"/>
  <c r="AI161" i="15" s="1"/>
  <c r="AJ130" i="19"/>
  <c r="V122" i="9"/>
  <c r="W169" i="9"/>
  <c r="AL329" i="19"/>
  <c r="AD121" i="4"/>
  <c r="AD154" i="4" s="1"/>
  <c r="AI326" i="19"/>
  <c r="AP135" i="19"/>
  <c r="AQ135" i="19" s="1"/>
  <c r="Y116" i="4"/>
  <c r="Y149" i="4" s="1"/>
  <c r="AE246" i="11"/>
  <c r="S124" i="21"/>
  <c r="S108" i="21" s="1"/>
  <c r="S108" i="19"/>
  <c r="AE118" i="4"/>
  <c r="AE151" i="4" s="1"/>
  <c r="J255" i="4"/>
  <c r="BC356" i="15"/>
  <c r="Q52" i="15"/>
  <c r="BC52" i="15" s="1"/>
  <c r="AS11" i="25"/>
  <c r="R10" i="25"/>
  <c r="AS10" i="25" s="1"/>
  <c r="S377" i="17"/>
  <c r="S361" i="17" s="1"/>
  <c r="S41" i="17" s="1"/>
  <c r="S347" i="15"/>
  <c r="S43" i="15" s="1"/>
  <c r="AQ139" i="19"/>
  <c r="AH326" i="19"/>
  <c r="AH193" i="11"/>
  <c r="AH8" i="11"/>
  <c r="X160" i="7"/>
  <c r="X161" i="7"/>
  <c r="U23" i="25"/>
  <c r="U51" i="25"/>
  <c r="Q48" i="23"/>
  <c r="AV64" i="23"/>
  <c r="AE3" i="23"/>
  <c r="AE4" i="23" s="1"/>
  <c r="AE5" i="23" s="1"/>
  <c r="AE81" i="23" s="1"/>
  <c r="AE8" i="23"/>
  <c r="AE11" i="23" s="1"/>
  <c r="Z81" i="25"/>
  <c r="Z65" i="25" s="1"/>
  <c r="Z49" i="25" s="1"/>
  <c r="Z63" i="23"/>
  <c r="Z47" i="23" s="1"/>
  <c r="X22" i="23"/>
  <c r="Z88" i="4"/>
  <c r="AE183" i="11"/>
  <c r="AE187" i="11"/>
  <c r="AE191" i="11"/>
  <c r="AE190" i="11"/>
  <c r="AE188" i="11"/>
  <c r="AE186" i="11"/>
  <c r="AE184" i="11"/>
  <c r="AE182" i="11"/>
  <c r="AE181" i="11"/>
  <c r="AE185" i="11"/>
  <c r="AE189" i="11"/>
  <c r="S123" i="21"/>
  <c r="S107" i="21" s="1"/>
  <c r="S107" i="19"/>
  <c r="W23" i="15"/>
  <c r="BO22" i="15"/>
  <c r="W28" i="6"/>
  <c r="W22" i="6" s="1"/>
  <c r="M497" i="3"/>
  <c r="M466" i="3"/>
  <c r="AE43" i="4"/>
  <c r="AH109" i="11"/>
  <c r="S374" i="17"/>
  <c r="S344" i="15"/>
  <c r="E320" i="4"/>
  <c r="AC88" i="4"/>
  <c r="X29" i="23"/>
  <c r="V49" i="7"/>
  <c r="V65" i="9"/>
  <c r="V49" i="9" s="1"/>
  <c r="AG370" i="19"/>
  <c r="AG376" i="19" s="1"/>
  <c r="BC29" i="19"/>
  <c r="BC370" i="19" s="1"/>
  <c r="AH29" i="19"/>
  <c r="AD140" i="11"/>
  <c r="BW3" i="15"/>
  <c r="AA23" i="6"/>
  <c r="S382" i="17"/>
  <c r="S366" i="17" s="1"/>
  <c r="S46" i="17" s="1"/>
  <c r="S352" i="15"/>
  <c r="S48" i="15" s="1"/>
  <c r="AM134" i="19"/>
  <c r="AN134" i="19" s="1"/>
  <c r="AO134" i="19" s="1"/>
  <c r="U29" i="9"/>
  <c r="F397" i="4"/>
  <c r="F367" i="4"/>
  <c r="V126" i="13"/>
  <c r="Q386" i="17"/>
  <c r="Q23" i="17" s="1"/>
  <c r="Y44" i="5"/>
  <c r="W200" i="15"/>
  <c r="BE122" i="14"/>
  <c r="BC122" i="14"/>
  <c r="BC134" i="14"/>
  <c r="AC125" i="4"/>
  <c r="AC158" i="4" s="1"/>
  <c r="Y76" i="25"/>
  <c r="Y60" i="25" s="1"/>
  <c r="Y44" i="25" s="1"/>
  <c r="Y58" i="23"/>
  <c r="Y42" i="23" s="1"/>
  <c r="V88" i="3"/>
  <c r="AA86" i="4"/>
  <c r="AA145" i="11"/>
  <c r="AA47" i="6" s="1"/>
  <c r="AA65" i="6" s="1"/>
  <c r="AA83" i="4"/>
  <c r="AB11" i="23"/>
  <c r="AB36" i="6"/>
  <c r="W117" i="11"/>
  <c r="AH304" i="15"/>
  <c r="W127" i="4"/>
  <c r="W128" i="4" s="1"/>
  <c r="W59" i="5"/>
  <c r="W148" i="4"/>
  <c r="L384" i="3"/>
  <c r="K270" i="4"/>
  <c r="K255" i="4"/>
  <c r="BE75" i="14"/>
  <c r="BC75" i="14"/>
  <c r="BA38" i="11"/>
  <c r="AZ135" i="20"/>
  <c r="V60" i="9"/>
  <c r="V44" i="9" s="1"/>
  <c r="V44" i="7"/>
  <c r="X72" i="15"/>
  <c r="X313" i="15"/>
  <c r="AH101" i="11"/>
  <c r="P319" i="4"/>
  <c r="P334" i="4"/>
  <c r="S113" i="21"/>
  <c r="S97" i="19"/>
  <c r="Y229" i="13"/>
  <c r="Y199" i="11"/>
  <c r="Y119" i="11" s="1"/>
  <c r="Y39" i="11" s="1"/>
  <c r="T21" i="23"/>
  <c r="T33" i="23" s="1"/>
  <c r="T49" i="23"/>
  <c r="AB86" i="4"/>
  <c r="AF12" i="7"/>
  <c r="X238" i="13"/>
  <c r="AC89" i="4"/>
  <c r="S376" i="17"/>
  <c r="S360" i="17" s="1"/>
  <c r="S40" i="17" s="1"/>
  <c r="S346" i="15"/>
  <c r="S42" i="15" s="1"/>
  <c r="Z93" i="4"/>
  <c r="S120" i="25"/>
  <c r="S163" i="25"/>
  <c r="S11" i="25" s="1"/>
  <c r="S10" i="25" s="1"/>
  <c r="AD124" i="4"/>
  <c r="AD157" i="4" s="1"/>
  <c r="AA177" i="23"/>
  <c r="AA10" i="23"/>
  <c r="BC355" i="15"/>
  <c r="Q51" i="15"/>
  <c r="AD117" i="4"/>
  <c r="AD150" i="4" s="1"/>
  <c r="AA84" i="4"/>
  <c r="AC203" i="4"/>
  <c r="CE7" i="15"/>
  <c r="AE8" i="15"/>
  <c r="CE8" i="15" s="1"/>
  <c r="AE10" i="15"/>
  <c r="CE10" i="15" s="1"/>
  <c r="Y73" i="25"/>
  <c r="Y57" i="25" s="1"/>
  <c r="Y41" i="25" s="1"/>
  <c r="Y55" i="23"/>
  <c r="Y39" i="23" s="1"/>
  <c r="BC46" i="15"/>
  <c r="AB84" i="4"/>
  <c r="W206" i="15"/>
  <c r="W190" i="15" s="1"/>
  <c r="W114" i="9"/>
  <c r="AG111" i="11"/>
  <c r="X181" i="7"/>
  <c r="BV11" i="7"/>
  <c r="BC198" i="11"/>
  <c r="W118" i="11"/>
  <c r="V143" i="13"/>
  <c r="V115" i="13"/>
  <c r="V100" i="3"/>
  <c r="X174" i="25"/>
  <c r="X158" i="25" s="1"/>
  <c r="X126" i="25" s="1"/>
  <c r="X124" i="23"/>
  <c r="V95" i="3"/>
  <c r="Y16" i="25"/>
  <c r="Y6" i="2"/>
  <c r="Q34" i="25"/>
  <c r="Y75" i="25"/>
  <c r="Y59" i="25" s="1"/>
  <c r="Y43" i="25" s="1"/>
  <c r="Y57" i="23"/>
  <c r="Y41" i="23" s="1"/>
  <c r="AB65" i="11"/>
  <c r="AB4" i="23"/>
  <c r="AB5" i="23" s="1"/>
  <c r="AB81" i="23" s="1"/>
  <c r="AB35" i="6"/>
  <c r="I397" i="4"/>
  <c r="I367" i="4"/>
  <c r="U171" i="9"/>
  <c r="U139" i="9" s="1"/>
  <c r="U145" i="9"/>
  <c r="AV62" i="23"/>
  <c r="Q46" i="23"/>
  <c r="Y45" i="5"/>
  <c r="S115" i="21"/>
  <c r="S99" i="21" s="1"/>
  <c r="S99" i="19"/>
  <c r="T117" i="9"/>
  <c r="T7" i="9" s="1"/>
  <c r="E434" i="3"/>
  <c r="E419" i="3"/>
  <c r="S296" i="4"/>
  <c r="S395" i="3"/>
  <c r="BN11" i="13"/>
  <c r="V32" i="1"/>
  <c r="V29" i="1" s="1"/>
  <c r="V28" i="1" s="1"/>
  <c r="V8" i="13"/>
  <c r="X175" i="25"/>
  <c r="X159" i="25" s="1"/>
  <c r="X127" i="25" s="1"/>
  <c r="X31" i="25" s="1"/>
  <c r="X125" i="23"/>
  <c r="W245" i="13"/>
  <c r="W197" i="13" s="1"/>
  <c r="W134" i="3" s="1"/>
  <c r="W150" i="3" s="1"/>
  <c r="Z95" i="5"/>
  <c r="Z192" i="4"/>
  <c r="R309" i="4"/>
  <c r="AY180" i="12"/>
  <c r="AX181" i="12"/>
  <c r="X37" i="23"/>
  <c r="X177" i="25"/>
  <c r="X161" i="25" s="1"/>
  <c r="X129" i="25" s="1"/>
  <c r="X127" i="23"/>
  <c r="AI351" i="3"/>
  <c r="V39" i="25"/>
  <c r="V67" i="25"/>
  <c r="H384" i="3"/>
  <c r="I384" i="3"/>
  <c r="Q370" i="17"/>
  <c r="Q41" i="17"/>
  <c r="Q50" i="17" s="1"/>
  <c r="AB90" i="4"/>
  <c r="X210" i="15"/>
  <c r="X194" i="15" s="1"/>
  <c r="W207" i="15"/>
  <c r="W191" i="15" s="1"/>
  <c r="Y72" i="25"/>
  <c r="Y56" i="25" s="1"/>
  <c r="Y40" i="25" s="1"/>
  <c r="Y54" i="23"/>
  <c r="Y38" i="23" s="1"/>
  <c r="T27" i="7"/>
  <c r="W239" i="13"/>
  <c r="W14" i="13" s="1"/>
  <c r="W195" i="13"/>
  <c r="K355" i="3"/>
  <c r="Y95" i="4"/>
  <c r="Y43" i="5"/>
  <c r="W244" i="13"/>
  <c r="W196" i="13" s="1"/>
  <c r="W133" i="3" s="1"/>
  <c r="W149" i="3" s="1"/>
  <c r="W243" i="13"/>
  <c r="L368" i="3"/>
  <c r="L353" i="3"/>
  <c r="Q41" i="23"/>
  <c r="AV57" i="23"/>
  <c r="K286" i="4"/>
  <c r="X25" i="23"/>
  <c r="AK132" i="19"/>
  <c r="V59" i="9"/>
  <c r="V43" i="9" s="1"/>
  <c r="V43" i="7"/>
  <c r="X75" i="15"/>
  <c r="X59" i="15" s="1"/>
  <c r="V85" i="3"/>
  <c r="X124" i="4"/>
  <c r="X76" i="4" s="1"/>
  <c r="BB183" i="20"/>
  <c r="AZ183" i="20"/>
  <c r="BQ17" i="15"/>
  <c r="X37" i="15"/>
  <c r="X27" i="6"/>
  <c r="S121" i="21"/>
  <c r="S105" i="21" s="1"/>
  <c r="S105" i="19"/>
  <c r="AP347" i="19"/>
  <c r="AP331" i="19" s="1"/>
  <c r="Y237" i="13"/>
  <c r="T65" i="23"/>
  <c r="V177" i="7"/>
  <c r="W177" i="7" s="1"/>
  <c r="W152" i="25"/>
  <c r="U68" i="9"/>
  <c r="U52" i="9" s="1"/>
  <c r="U52" i="7"/>
  <c r="U211" i="15"/>
  <c r="U195" i="15" s="1"/>
  <c r="U39" i="5"/>
  <c r="BC43" i="15"/>
  <c r="R294" i="4"/>
  <c r="R393" i="3"/>
  <c r="G419" i="3"/>
  <c r="G435" i="3" s="1"/>
  <c r="G434" i="3"/>
  <c r="BW11" i="15"/>
  <c r="AA25" i="6"/>
  <c r="D434" i="3"/>
  <c r="D419" i="3"/>
  <c r="D435" i="3" s="1"/>
  <c r="AD142" i="11"/>
  <c r="AE247" i="11"/>
  <c r="AB91" i="4"/>
  <c r="AH129" i="19"/>
  <c r="AC93" i="4"/>
  <c r="Z77" i="25"/>
  <c r="Z61" i="25" s="1"/>
  <c r="Z45" i="25" s="1"/>
  <c r="Z59" i="23"/>
  <c r="Z43" i="23" s="1"/>
  <c r="AD135" i="11"/>
  <c r="W127" i="7"/>
  <c r="W127" i="9" s="1"/>
  <c r="W130" i="7"/>
  <c r="W122" i="7"/>
  <c r="W126" i="7"/>
  <c r="W126" i="9" s="1"/>
  <c r="W125" i="7"/>
  <c r="W125" i="9" s="1"/>
  <c r="W131" i="7"/>
  <c r="W131" i="9" s="1"/>
  <c r="W124" i="7"/>
  <c r="W124" i="9" s="1"/>
  <c r="W121" i="7"/>
  <c r="W121" i="9" s="1"/>
  <c r="W128" i="7"/>
  <c r="W128" i="9" s="1"/>
  <c r="AY156" i="12"/>
  <c r="AX157" i="12"/>
  <c r="V118" i="13"/>
  <c r="AY27" i="14"/>
  <c r="BB27" i="14" s="1"/>
  <c r="BE27" i="14" s="1"/>
  <c r="D369" i="3"/>
  <c r="D386" i="3" s="1"/>
  <c r="D354" i="3"/>
  <c r="AJ344" i="19"/>
  <c r="V129" i="11"/>
  <c r="V37" i="11"/>
  <c r="AF107" i="11"/>
  <c r="AC122" i="4"/>
  <c r="AC155" i="4" s="1"/>
  <c r="AC406" i="13"/>
  <c r="AC215" i="4"/>
  <c r="AC328" i="11"/>
  <c r="V62" i="9"/>
  <c r="V46" i="9" s="1"/>
  <c r="V46" i="7"/>
  <c r="X318" i="15"/>
  <c r="X286" i="15" s="1"/>
  <c r="Y228" i="13"/>
  <c r="Y198" i="11"/>
  <c r="Y118" i="11" s="1"/>
  <c r="Y38" i="11" s="1"/>
  <c r="W253" i="13"/>
  <c r="W205" i="13" s="1"/>
  <c r="W142" i="3" s="1"/>
  <c r="W158" i="3" s="1"/>
  <c r="AP301" i="15"/>
  <c r="AG465" i="3"/>
  <c r="AI465" i="3" s="1"/>
  <c r="AF465" i="3"/>
  <c r="O497" i="3"/>
  <c r="O466" i="3"/>
  <c r="T66" i="17"/>
  <c r="Z84" i="4"/>
  <c r="AH38" i="4"/>
  <c r="AA89" i="4"/>
  <c r="U159" i="3"/>
  <c r="U95" i="3"/>
  <c r="AB336" i="11"/>
  <c r="AB191" i="4" s="1"/>
  <c r="AB207" i="4"/>
  <c r="AB208" i="4" s="1"/>
  <c r="Z83" i="4"/>
  <c r="S372" i="19"/>
  <c r="S373" i="19"/>
  <c r="S377" i="19"/>
  <c r="M368" i="3"/>
  <c r="M385" i="3" s="1"/>
  <c r="M353" i="3"/>
  <c r="V57" i="9"/>
  <c r="V41" i="7"/>
  <c r="X74" i="15"/>
  <c r="X314" i="15"/>
  <c r="H355" i="3"/>
  <c r="X119" i="4"/>
  <c r="X152" i="4" s="1"/>
  <c r="AD249" i="11"/>
  <c r="T361" i="15"/>
  <c r="U361" i="15" s="1"/>
  <c r="U345" i="15" s="1"/>
  <c r="U41" i="15" s="1"/>
  <c r="T368" i="15"/>
  <c r="U368" i="15" s="1"/>
  <c r="U352" i="15" s="1"/>
  <c r="U48" i="15" s="1"/>
  <c r="T367" i="15"/>
  <c r="U367" i="15" s="1"/>
  <c r="U351" i="15" s="1"/>
  <c r="U47" i="15" s="1"/>
  <c r="T366" i="15"/>
  <c r="T364" i="15"/>
  <c r="U364" i="15" s="1"/>
  <c r="U348" i="15" s="1"/>
  <c r="U44" i="15" s="1"/>
  <c r="T360" i="15"/>
  <c r="U360" i="15" s="1"/>
  <c r="U344" i="15" s="1"/>
  <c r="T363" i="15"/>
  <c r="U363" i="15" s="1"/>
  <c r="U347" i="15" s="1"/>
  <c r="U43" i="15" s="1"/>
  <c r="T365" i="15"/>
  <c r="T370" i="15"/>
  <c r="U370" i="15" s="1"/>
  <c r="U354" i="15" s="1"/>
  <c r="U50" i="15" s="1"/>
  <c r="T362" i="15"/>
  <c r="T369" i="15"/>
  <c r="U49" i="11"/>
  <c r="K433" i="3"/>
  <c r="K418" i="3"/>
  <c r="Y233" i="13"/>
  <c r="I254" i="4"/>
  <c r="I269" i="4"/>
  <c r="I286" i="4" s="1"/>
  <c r="E397" i="4"/>
  <c r="E367" i="4"/>
  <c r="AC94" i="4"/>
  <c r="V141" i="3"/>
  <c r="V124" i="13"/>
  <c r="BC48" i="15"/>
  <c r="G269" i="4"/>
  <c r="G254" i="4"/>
  <c r="AL44" i="4"/>
  <c r="AX169" i="12"/>
  <c r="BA168" i="12"/>
  <c r="BP168" i="12" s="1"/>
  <c r="AY168" i="12"/>
  <c r="L433" i="3"/>
  <c r="L418" i="3"/>
  <c r="S384" i="17"/>
  <c r="S368" i="17" s="1"/>
  <c r="S48" i="17" s="1"/>
  <c r="S354" i="15"/>
  <c r="S50" i="15" s="1"/>
  <c r="T41" i="9"/>
  <c r="Z78" i="25"/>
  <c r="Z62" i="25" s="1"/>
  <c r="Z46" i="25" s="1"/>
  <c r="Z60" i="23"/>
  <c r="Z44" i="23" s="1"/>
  <c r="AD133" i="11"/>
  <c r="V110" i="13"/>
  <c r="V47" i="3" s="1"/>
  <c r="V106" i="13"/>
  <c r="V43" i="3" s="1"/>
  <c r="V104" i="13"/>
  <c r="V41" i="3" s="1"/>
  <c r="V100" i="13"/>
  <c r="V37" i="3" s="1"/>
  <c r="V105" i="13"/>
  <c r="V42" i="3" s="1"/>
  <c r="V102" i="13"/>
  <c r="V39" i="3" s="1"/>
  <c r="V108" i="13"/>
  <c r="V45" i="3" s="1"/>
  <c r="V99" i="13"/>
  <c r="V109" i="13"/>
  <c r="V46" i="3" s="1"/>
  <c r="V101" i="13"/>
  <c r="V38" i="3" s="1"/>
  <c r="V107" i="13"/>
  <c r="V44" i="3" s="1"/>
  <c r="V103" i="13"/>
  <c r="V40" i="3" s="1"/>
  <c r="AE252" i="11"/>
  <c r="W105" i="9"/>
  <c r="AD116" i="4"/>
  <c r="AD149" i="4" s="1"/>
  <c r="U137" i="9"/>
  <c r="H466" i="3"/>
  <c r="H497" i="3"/>
  <c r="T20" i="17"/>
  <c r="T18" i="17" s="1"/>
  <c r="T17" i="17" s="1"/>
  <c r="T305" i="17"/>
  <c r="AK329" i="19"/>
  <c r="AD46" i="4"/>
  <c r="I466" i="3"/>
  <c r="I497" i="3"/>
  <c r="V38" i="11"/>
  <c r="AG15" i="7"/>
  <c r="AE42" i="4"/>
  <c r="W205" i="15"/>
  <c r="W189" i="15" s="1"/>
  <c r="P270" i="4"/>
  <c r="P255" i="4"/>
  <c r="AD8" i="23"/>
  <c r="AD7" i="6"/>
  <c r="AA91" i="4"/>
  <c r="AB183" i="4"/>
  <c r="V66" i="9"/>
  <c r="V50" i="9" s="1"/>
  <c r="V50" i="7"/>
  <c r="AA88" i="4"/>
  <c r="Y80" i="25"/>
  <c r="Y64" i="25" s="1"/>
  <c r="Y48" i="25" s="1"/>
  <c r="Y62" i="23"/>
  <c r="Y46" i="23" s="1"/>
  <c r="AF183" i="11"/>
  <c r="AF187" i="11"/>
  <c r="AF191" i="11"/>
  <c r="AF188" i="11"/>
  <c r="AF190" i="11"/>
  <c r="AF186" i="11"/>
  <c r="AF184" i="11"/>
  <c r="AF182" i="11"/>
  <c r="AF181" i="11"/>
  <c r="AF185" i="11"/>
  <c r="AF189" i="11"/>
  <c r="Z92" i="4"/>
  <c r="AG324" i="19"/>
  <c r="AG333" i="19" s="1"/>
  <c r="AH340" i="19"/>
  <c r="Z16" i="25"/>
  <c r="Z6" i="2"/>
  <c r="AC121" i="4"/>
  <c r="AC154" i="4" s="1"/>
  <c r="X176" i="23"/>
  <c r="X160" i="23" s="1"/>
  <c r="O384" i="3"/>
  <c r="H367" i="4"/>
  <c r="H397" i="4"/>
  <c r="AD250" i="11"/>
  <c r="K34" i="17"/>
  <c r="K35" i="17" s="1"/>
  <c r="BD123" i="18"/>
  <c r="H285" i="4"/>
  <c r="X169" i="25"/>
  <c r="X153" i="25" s="1"/>
  <c r="X121" i="25" s="1"/>
  <c r="X25" i="25" s="1"/>
  <c r="X119" i="23"/>
  <c r="X23" i="23" s="1"/>
  <c r="AB83" i="4"/>
  <c r="AL122" i="15"/>
  <c r="AL106" i="15" s="1"/>
  <c r="AM154" i="15"/>
  <c r="AC120" i="4"/>
  <c r="AC153" i="4" s="1"/>
  <c r="W202" i="13"/>
  <c r="W139" i="3" s="1"/>
  <c r="W155" i="3" s="1"/>
  <c r="F419" i="3"/>
  <c r="F435" i="3" s="1"/>
  <c r="F434" i="3"/>
  <c r="W203" i="15"/>
  <c r="W187" i="15" s="1"/>
  <c r="Z171" i="23"/>
  <c r="Z155" i="23" s="1"/>
  <c r="Z168" i="23"/>
  <c r="Z152" i="23" s="1"/>
  <c r="Z175" i="23"/>
  <c r="Z159" i="23" s="1"/>
  <c r="Z174" i="23"/>
  <c r="Z158" i="23" s="1"/>
  <c r="Z173" i="23"/>
  <c r="Z157" i="23" s="1"/>
  <c r="Z170" i="23"/>
  <c r="Z154" i="23" s="1"/>
  <c r="Z169" i="23"/>
  <c r="Z153" i="23" s="1"/>
  <c r="Z167" i="23"/>
  <c r="Z151" i="23" s="1"/>
  <c r="Z166" i="23"/>
  <c r="Z150" i="23" s="1"/>
  <c r="Z172" i="23"/>
  <c r="Z156" i="23" s="1"/>
  <c r="AL305" i="15"/>
  <c r="Y125" i="4"/>
  <c r="T133" i="9"/>
  <c r="T8" i="9" s="1"/>
  <c r="V36" i="5"/>
  <c r="AE464" i="3"/>
  <c r="T82" i="17"/>
  <c r="T4" i="17" s="1"/>
  <c r="T3" i="17" s="1"/>
  <c r="F269" i="4"/>
  <c r="F286" i="4" s="1"/>
  <c r="F254" i="4"/>
  <c r="X229" i="13"/>
  <c r="X199" i="11"/>
  <c r="X119" i="11" s="1"/>
  <c r="X39" i="11" s="1"/>
  <c r="AJ104" i="11"/>
  <c r="AC87" i="4"/>
  <c r="T7" i="19"/>
  <c r="Y7" i="7"/>
  <c r="Y8" i="7" s="1"/>
  <c r="BX6" i="7"/>
  <c r="Y15" i="6"/>
  <c r="Z6" i="7"/>
  <c r="M384" i="3"/>
  <c r="V67" i="9"/>
  <c r="V51" i="9" s="1"/>
  <c r="V51" i="7"/>
  <c r="X79" i="15"/>
  <c r="V162" i="9"/>
  <c r="W162" i="7"/>
  <c r="X162" i="7" s="1"/>
  <c r="BD135" i="18"/>
  <c r="L34" i="17"/>
  <c r="L35" i="17" s="1"/>
  <c r="X125" i="4"/>
  <c r="X158" i="4" s="1"/>
  <c r="AD255" i="11"/>
  <c r="S116" i="21"/>
  <c r="S100" i="21" s="1"/>
  <c r="BH116" i="19"/>
  <c r="BG116" i="19"/>
  <c r="S100" i="19"/>
  <c r="Y235" i="13"/>
  <c r="Y205" i="11"/>
  <c r="Y125" i="11" s="1"/>
  <c r="Y45" i="11" s="1"/>
  <c r="U132" i="7"/>
  <c r="AQ347" i="19"/>
  <c r="AQ331" i="19" s="1"/>
  <c r="AB3" i="15"/>
  <c r="BY4" i="15"/>
  <c r="AB84" i="15"/>
  <c r="AC4" i="15"/>
  <c r="AD4" i="15" s="1"/>
  <c r="BF167" i="12"/>
  <c r="BT167" i="12"/>
  <c r="BJ167" i="12" s="1"/>
  <c r="Y77" i="25"/>
  <c r="Y61" i="25" s="1"/>
  <c r="Y45" i="25" s="1"/>
  <c r="Y59" i="23"/>
  <c r="Y43" i="23" s="1"/>
  <c r="AC123" i="4"/>
  <c r="AC156" i="4" s="1"/>
  <c r="S67" i="25"/>
  <c r="S39" i="25"/>
  <c r="W83" i="15"/>
  <c r="W67" i="15" s="1"/>
  <c r="Z79" i="25"/>
  <c r="Z63" i="25" s="1"/>
  <c r="Z47" i="25" s="1"/>
  <c r="Z61" i="23"/>
  <c r="Z45" i="23" s="1"/>
  <c r="U196" i="3"/>
  <c r="U208" i="3" s="1"/>
  <c r="U48" i="3"/>
  <c r="U68" i="3"/>
  <c r="U80" i="3" s="1"/>
  <c r="Z89" i="4"/>
  <c r="BC147" i="14"/>
  <c r="AD465" i="3"/>
  <c r="AH465" i="3" s="1"/>
  <c r="J466" i="3"/>
  <c r="J497" i="3"/>
  <c r="P367" i="4"/>
  <c r="P397" i="4"/>
  <c r="X233" i="13"/>
  <c r="X203" i="11"/>
  <c r="X123" i="11" s="1"/>
  <c r="X43" i="11" s="1"/>
  <c r="BB171" i="20"/>
  <c r="BR169" i="12" s="1"/>
  <c r="BH169" i="12" s="1"/>
  <c r="AZ171" i="20"/>
  <c r="AM330" i="19"/>
  <c r="AF3" i="23"/>
  <c r="AF4" i="23" s="1"/>
  <c r="AF5" i="23" s="1"/>
  <c r="AF81" i="23" s="1"/>
  <c r="AF8" i="23"/>
  <c r="AF11" i="23" s="1"/>
  <c r="AB92" i="4"/>
  <c r="S371" i="15"/>
  <c r="BV4" i="7"/>
  <c r="X69" i="7"/>
  <c r="Y79" i="25"/>
  <c r="Y63" i="25" s="1"/>
  <c r="Y47" i="25" s="1"/>
  <c r="Y61" i="23"/>
  <c r="Y45" i="23" s="1"/>
  <c r="S380" i="17"/>
  <c r="S364" i="17" s="1"/>
  <c r="S44" i="17" s="1"/>
  <c r="S350" i="15"/>
  <c r="S46" i="15" s="1"/>
  <c r="X172" i="25"/>
  <c r="X156" i="25" s="1"/>
  <c r="X124" i="25" s="1"/>
  <c r="X122" i="23"/>
  <c r="X26" i="23" s="1"/>
  <c r="U145" i="7"/>
  <c r="BU3" i="15"/>
  <c r="Z23" i="6"/>
  <c r="AD127" i="15"/>
  <c r="AE159" i="15"/>
  <c r="AD163" i="15"/>
  <c r="AD131" i="15" s="1"/>
  <c r="AD115" i="15" s="1"/>
  <c r="X28" i="25"/>
  <c r="V32" i="23"/>
  <c r="X168" i="25"/>
  <c r="X118" i="23"/>
  <c r="X161" i="23"/>
  <c r="V61" i="9"/>
  <c r="V45" i="9" s="1"/>
  <c r="V45" i="7"/>
  <c r="AH322" i="19"/>
  <c r="AK338" i="19"/>
  <c r="Y227" i="13"/>
  <c r="BD111" i="18"/>
  <c r="J34" i="17"/>
  <c r="J35" i="17" s="1"/>
  <c r="Y171" i="23"/>
  <c r="Y155" i="23" s="1"/>
  <c r="Y168" i="23"/>
  <c r="Y152" i="23" s="1"/>
  <c r="Y175" i="23"/>
  <c r="Y159" i="23" s="1"/>
  <c r="Y167" i="23"/>
  <c r="Y151" i="23" s="1"/>
  <c r="Y174" i="23"/>
  <c r="Y158" i="23" s="1"/>
  <c r="Y176" i="23"/>
  <c r="Y160" i="23" s="1"/>
  <c r="Y169" i="23"/>
  <c r="Y153" i="23" s="1"/>
  <c r="Y173" i="23"/>
  <c r="Y157" i="23" s="1"/>
  <c r="Y166" i="23"/>
  <c r="Y150" i="23" s="1"/>
  <c r="Y172" i="23"/>
  <c r="Y156" i="23" s="1"/>
  <c r="Y170" i="23"/>
  <c r="Y154" i="23" s="1"/>
  <c r="AG352" i="3"/>
  <c r="AF352" i="3"/>
  <c r="O353" i="3"/>
  <c r="O368" i="3"/>
  <c r="O385" i="3" s="1"/>
  <c r="AI38" i="4"/>
  <c r="G367" i="4"/>
  <c r="G397" i="4"/>
  <c r="X121" i="4"/>
  <c r="S122" i="21"/>
  <c r="S106" i="21" s="1"/>
  <c r="S106" i="19"/>
  <c r="V122" i="13"/>
  <c r="BC123" i="14"/>
  <c r="BE123" i="14"/>
  <c r="AJ321" i="19"/>
  <c r="Q40" i="23"/>
  <c r="AV56" i="23"/>
  <c r="Q65" i="23"/>
  <c r="AV65" i="23" s="1"/>
  <c r="H269" i="4"/>
  <c r="H254" i="4"/>
  <c r="BC45" i="15"/>
  <c r="N269" i="4"/>
  <c r="N286" i="4" s="1"/>
  <c r="N254" i="4"/>
  <c r="AC124" i="4"/>
  <c r="AC157" i="4" s="1"/>
  <c r="X120" i="23"/>
  <c r="X170" i="25"/>
  <c r="X154" i="25" s="1"/>
  <c r="X122" i="25" s="1"/>
  <c r="X26" i="25" s="1"/>
  <c r="X24" i="23"/>
  <c r="U127" i="13"/>
  <c r="Q179" i="25"/>
  <c r="W204" i="15"/>
  <c r="W188" i="15" s="1"/>
  <c r="AA93" i="4"/>
  <c r="S69" i="9"/>
  <c r="S4" i="9" s="1"/>
  <c r="S3" i="9" s="1"/>
  <c r="Z91" i="4"/>
  <c r="AI464" i="3"/>
  <c r="S21" i="23"/>
  <c r="S33" i="23" s="1"/>
  <c r="S49" i="23"/>
  <c r="F285" i="4"/>
  <c r="X236" i="13"/>
  <c r="X206" i="11"/>
  <c r="X126" i="11" s="1"/>
  <c r="X46" i="11" s="1"/>
  <c r="AB415" i="13"/>
  <c r="AB24" i="13" s="1"/>
  <c r="BT24" i="13" s="1"/>
  <c r="W58" i="7"/>
  <c r="W67" i="7"/>
  <c r="W57" i="7"/>
  <c r="W62" i="7"/>
  <c r="W66" i="7"/>
  <c r="W63" i="7"/>
  <c r="W59" i="7"/>
  <c r="W60" i="7"/>
  <c r="W65" i="7"/>
  <c r="W64" i="7"/>
  <c r="W61" i="7"/>
  <c r="BE158" i="14"/>
  <c r="AF108" i="11"/>
  <c r="V63" i="9"/>
  <c r="V47" i="9" s="1"/>
  <c r="V47" i="7"/>
  <c r="X81" i="15"/>
  <c r="X319" i="15"/>
  <c r="R40" i="15"/>
  <c r="S194" i="17"/>
  <c r="U152" i="3"/>
  <c r="U88" i="3"/>
  <c r="V154" i="9"/>
  <c r="V138" i="9" s="1"/>
  <c r="V138" i="7"/>
  <c r="W154" i="7"/>
  <c r="S119" i="21"/>
  <c r="S103" i="21" s="1"/>
  <c r="S103" i="19"/>
  <c r="AG125" i="15"/>
  <c r="AG109" i="15" s="1"/>
  <c r="AI157" i="15"/>
  <c r="Y236" i="13"/>
  <c r="O367" i="4"/>
  <c r="O397" i="4"/>
  <c r="AY121" i="12"/>
  <c r="AY133" i="12"/>
  <c r="AA146" i="11"/>
  <c r="AA94" i="4"/>
  <c r="L270" i="4"/>
  <c r="L287" i="4" s="1"/>
  <c r="L255" i="4"/>
  <c r="J286" i="4"/>
  <c r="Q247" i="4"/>
  <c r="Q44" i="23"/>
  <c r="AV60" i="23"/>
  <c r="V142" i="3"/>
  <c r="V125" i="13"/>
  <c r="AG193" i="11"/>
  <c r="AG8" i="11"/>
  <c r="D269" i="4"/>
  <c r="D286" i="4" s="1"/>
  <c r="D254" i="4"/>
  <c r="O433" i="3"/>
  <c r="AG417" i="3"/>
  <c r="AI417" i="3" s="1"/>
  <c r="AF417" i="3"/>
  <c r="O418" i="3"/>
  <c r="W83" i="25"/>
  <c r="W5" i="25" s="1"/>
  <c r="W4" i="25" s="1"/>
  <c r="W55" i="25"/>
  <c r="X62" i="5"/>
  <c r="X79" i="5" s="1"/>
  <c r="W157" i="4"/>
  <c r="H419" i="3"/>
  <c r="H435" i="3" s="1"/>
  <c r="H434" i="3"/>
  <c r="AG123" i="15"/>
  <c r="AG107" i="15" s="1"/>
  <c r="AH155" i="15"/>
  <c r="BC87" i="14"/>
  <c r="BE87" i="14"/>
  <c r="BM12" i="13"/>
  <c r="U7" i="13"/>
  <c r="BM7" i="13" s="1"/>
  <c r="X176" i="25"/>
  <c r="X160" i="25" s="1"/>
  <c r="X128" i="25" s="1"/>
  <c r="X126" i="23"/>
  <c r="G368" i="3"/>
  <c r="G385" i="3" s="1"/>
  <c r="G353" i="3"/>
  <c r="H368" i="3"/>
  <c r="E369" i="3"/>
  <c r="E386" i="3" s="1"/>
  <c r="E354" i="3"/>
  <c r="AC145" i="11"/>
  <c r="AC47" i="6" s="1"/>
  <c r="AC83" i="4"/>
  <c r="AA92" i="4"/>
  <c r="AC90" i="4"/>
  <c r="W25" i="23"/>
  <c r="BC49" i="15"/>
  <c r="S25" i="9"/>
  <c r="S53" i="9"/>
  <c r="AB87" i="4"/>
  <c r="S65" i="23"/>
  <c r="V178" i="25"/>
  <c r="V162" i="25" s="1"/>
  <c r="V130" i="25" s="1"/>
  <c r="V34" i="25" s="1"/>
  <c r="V128" i="23"/>
  <c r="V129" i="23" s="1"/>
  <c r="V156" i="9"/>
  <c r="W156" i="7"/>
  <c r="X234" i="13"/>
  <c r="X204" i="11"/>
  <c r="X124" i="11" s="1"/>
  <c r="X44" i="11" s="1"/>
  <c r="R181" i="9"/>
  <c r="R11" i="9" s="1"/>
  <c r="R9" i="9" s="1"/>
  <c r="R15" i="9" s="1"/>
  <c r="AB85" i="4"/>
  <c r="Y146" i="11"/>
  <c r="BN14" i="13"/>
  <c r="V12" i="13"/>
  <c r="BN12" i="13" s="1"/>
  <c r="L319" i="4"/>
  <c r="L334" i="4"/>
  <c r="K367" i="4"/>
  <c r="K397" i="4"/>
  <c r="V58" i="9"/>
  <c r="V42" i="9" s="1"/>
  <c r="V42" i="7"/>
  <c r="X82" i="15"/>
  <c r="W75" i="4"/>
  <c r="R358" i="17"/>
  <c r="S210" i="17"/>
  <c r="S12" i="17" s="1"/>
  <c r="S11" i="17" s="1"/>
  <c r="X46" i="5"/>
  <c r="X117" i="4"/>
  <c r="X150" i="4" s="1"/>
  <c r="S118" i="21"/>
  <c r="S102" i="21" s="1"/>
  <c r="S102" i="19"/>
  <c r="Y230" i="13"/>
  <c r="Y200" i="11"/>
  <c r="Y120" i="11" s="1"/>
  <c r="Y40" i="11" s="1"/>
  <c r="V160" i="4"/>
  <c r="W24" i="23"/>
  <c r="W178" i="25"/>
  <c r="W162" i="25" s="1"/>
  <c r="W130" i="25" s="1"/>
  <c r="W34" i="25" s="1"/>
  <c r="W128" i="23"/>
  <c r="W32" i="23" s="1"/>
  <c r="I370" i="3"/>
  <c r="I355" i="3"/>
  <c r="I371" i="3" s="1"/>
  <c r="AF45" i="4"/>
  <c r="AB31" i="13"/>
  <c r="AB33" i="11"/>
  <c r="AB34" i="11" s="1"/>
  <c r="AB4" i="6"/>
  <c r="W60" i="5"/>
  <c r="W151" i="4"/>
  <c r="V169" i="9"/>
  <c r="W28" i="25"/>
  <c r="AD192" i="11"/>
  <c r="S120" i="21"/>
  <c r="S104" i="21" s="1"/>
  <c r="S104" i="19"/>
  <c r="AC116" i="15"/>
  <c r="AN327" i="19"/>
  <c r="AO343" i="19"/>
  <c r="AE351" i="3"/>
  <c r="V116" i="13"/>
  <c r="AI322" i="19"/>
  <c r="X120" i="4"/>
  <c r="AY144" i="12"/>
  <c r="AX145" i="12"/>
  <c r="AY145" i="12" s="1"/>
  <c r="AN300" i="15"/>
  <c r="AO300" i="15" s="1"/>
  <c r="AP300" i="15" s="1"/>
  <c r="X44" i="5"/>
  <c r="X116" i="4"/>
  <c r="X149" i="4" s="1"/>
  <c r="AJ342" i="19"/>
  <c r="Q42" i="23"/>
  <c r="AV58" i="23"/>
  <c r="BC63" i="14"/>
  <c r="BE63" i="14"/>
  <c r="Y250" i="11"/>
  <c r="Y202" i="11" s="1"/>
  <c r="Y122" i="11" s="1"/>
  <c r="Y42" i="11" s="1"/>
  <c r="E497" i="3"/>
  <c r="E466" i="3"/>
  <c r="W69" i="4"/>
  <c r="W35" i="5" s="1"/>
  <c r="W176" i="7"/>
  <c r="W176" i="9" s="1"/>
  <c r="X61" i="5"/>
  <c r="X78" i="5" s="1"/>
  <c r="W154" i="4"/>
  <c r="T159" i="3"/>
  <c r="T160" i="3" s="1"/>
  <c r="T95" i="3"/>
  <c r="T96" i="3" s="1"/>
  <c r="T207" i="3"/>
  <c r="T208" i="3" s="1"/>
  <c r="AC91" i="4"/>
  <c r="I419" i="3"/>
  <c r="I434" i="3"/>
  <c r="V372" i="15"/>
  <c r="BM23" i="15"/>
  <c r="V38" i="15"/>
  <c r="Z57" i="23"/>
  <c r="Z41" i="23" s="1"/>
  <c r="Z75" i="25"/>
  <c r="Z59" i="25" s="1"/>
  <c r="Z43" i="25" s="1"/>
  <c r="O255" i="4"/>
  <c r="X235" i="13"/>
  <c r="X205" i="11"/>
  <c r="X125" i="11" s="1"/>
  <c r="X45" i="11" s="1"/>
  <c r="R27" i="9"/>
  <c r="R149" i="9"/>
  <c r="M433" i="3"/>
  <c r="M418" i="3"/>
  <c r="W73" i="4"/>
  <c r="W251" i="13"/>
  <c r="W203" i="13" s="1"/>
  <c r="W140" i="3" s="1"/>
  <c r="W156" i="3" s="1"/>
  <c r="X117" i="7"/>
  <c r="BV7" i="7"/>
  <c r="V68" i="7"/>
  <c r="X320" i="15"/>
  <c r="X288" i="15" s="1"/>
  <c r="X122" i="4"/>
  <c r="X155" i="4" s="1"/>
  <c r="S117" i="21"/>
  <c r="S101" i="21" s="1"/>
  <c r="S101" i="19"/>
  <c r="Y238" i="13"/>
  <c r="BL4" i="13"/>
  <c r="T3" i="13"/>
  <c r="T26" i="1"/>
  <c r="T25" i="1" s="1"/>
  <c r="V76" i="5"/>
  <c r="V80" i="5" s="1"/>
  <c r="V63" i="5"/>
  <c r="W26" i="25"/>
  <c r="BE111" i="14"/>
  <c r="BD246" i="11"/>
  <c r="AA10" i="7"/>
  <c r="AA165" i="7" s="1"/>
  <c r="AA16" i="6"/>
  <c r="AD138" i="11"/>
  <c r="AB144" i="11"/>
  <c r="AB194" i="11"/>
  <c r="X231" i="13"/>
  <c r="X201" i="11"/>
  <c r="X121" i="11" s="1"/>
  <c r="X41" i="11" s="1"/>
  <c r="Q343" i="4"/>
  <c r="Q304" i="4"/>
  <c r="Q311" i="4"/>
  <c r="X232" i="13"/>
  <c r="X202" i="11"/>
  <c r="X122" i="11" s="1"/>
  <c r="X42" i="11" s="1"/>
  <c r="N319" i="4"/>
  <c r="N334" i="4"/>
  <c r="W160" i="9"/>
  <c r="P353" i="3"/>
  <c r="P368" i="3"/>
  <c r="Y71" i="25"/>
  <c r="Y53" i="23"/>
  <c r="AC117" i="4"/>
  <c r="AC150" i="4" s="1"/>
  <c r="AI130" i="19"/>
  <c r="I334" i="4"/>
  <c r="I319" i="4"/>
  <c r="V64" i="9"/>
  <c r="V48" i="9" s="1"/>
  <c r="V48" i="7"/>
  <c r="AG325" i="19"/>
  <c r="Y74" i="25"/>
  <c r="Y58" i="25" s="1"/>
  <c r="Y42" i="25" s="1"/>
  <c r="Y56" i="23"/>
  <c r="Y40" i="23" s="1"/>
  <c r="AF7" i="11"/>
  <c r="V159" i="9"/>
  <c r="W159" i="7"/>
  <c r="BE135" i="14"/>
  <c r="BC135" i="14"/>
  <c r="S114" i="21"/>
  <c r="S98" i="21" s="1"/>
  <c r="S98" i="19"/>
  <c r="AE129" i="15"/>
  <c r="AE113" i="15" s="1"/>
  <c r="AJ302" i="15"/>
  <c r="AK302" i="15" s="1"/>
  <c r="Q58" i="25"/>
  <c r="Q83" i="25"/>
  <c r="Q5" i="25" s="1"/>
  <c r="X173" i="25"/>
  <c r="X157" i="25" s="1"/>
  <c r="X125" i="25" s="1"/>
  <c r="X29" i="25" s="1"/>
  <c r="X123" i="23"/>
  <c r="AC115" i="4"/>
  <c r="AC256" i="11"/>
  <c r="O334" i="4"/>
  <c r="O319" i="4"/>
  <c r="V144" i="7"/>
  <c r="V160" i="9"/>
  <c r="V144" i="9" s="1"/>
  <c r="Y4" i="7"/>
  <c r="BX3" i="7"/>
  <c r="Y14" i="6"/>
  <c r="AG307" i="15"/>
  <c r="AH296" i="15"/>
  <c r="W249" i="13"/>
  <c r="W201" i="13" s="1"/>
  <c r="W138" i="3" s="1"/>
  <c r="W154" i="3" s="1"/>
  <c r="BD99" i="18"/>
  <c r="I34" i="17"/>
  <c r="I35" i="17" s="1"/>
  <c r="W248" i="13"/>
  <c r="W200" i="13" s="1"/>
  <c r="W137" i="3" s="1"/>
  <c r="W153" i="3" s="1"/>
  <c r="D467" i="3"/>
  <c r="N367" i="4"/>
  <c r="N397" i="4"/>
  <c r="X82" i="25"/>
  <c r="X66" i="25" s="1"/>
  <c r="X50" i="25" s="1"/>
  <c r="X64" i="23"/>
  <c r="X48" i="23" s="1"/>
  <c r="Z72" i="25"/>
  <c r="Z56" i="25" s="1"/>
  <c r="Z40" i="25" s="1"/>
  <c r="Z54" i="23"/>
  <c r="Z38" i="23" s="1"/>
  <c r="O269" i="4"/>
  <c r="O286" i="4" s="1"/>
  <c r="X227" i="13"/>
  <c r="X197" i="11"/>
  <c r="U33" i="23"/>
  <c r="C397" i="4"/>
  <c r="C367" i="4"/>
  <c r="AA85" i="4"/>
  <c r="W78" i="4"/>
  <c r="X8" i="7"/>
  <c r="Z90" i="4"/>
  <c r="X76" i="15"/>
  <c r="X60" i="15" s="1"/>
  <c r="X321" i="15"/>
  <c r="X289" i="15" s="1"/>
  <c r="V89" i="9"/>
  <c r="J334" i="4"/>
  <c r="J319" i="4"/>
  <c r="AD137" i="11"/>
  <c r="X43" i="5"/>
  <c r="X115" i="4"/>
  <c r="AE245" i="11"/>
  <c r="R23" i="25"/>
  <c r="R51" i="25"/>
  <c r="BE99" i="14"/>
  <c r="BC99" i="14"/>
  <c r="Y231" i="13"/>
  <c r="T63" i="13"/>
  <c r="T64" i="13" s="1"/>
  <c r="T35" i="13"/>
  <c r="V127" i="4"/>
  <c r="V128" i="4" s="1"/>
  <c r="W72" i="4"/>
  <c r="S375" i="17"/>
  <c r="S359" i="17" s="1"/>
  <c r="S39" i="17" s="1"/>
  <c r="S345" i="15"/>
  <c r="S41" i="15" s="1"/>
  <c r="AA90" i="4"/>
  <c r="AK305" i="15"/>
  <c r="D397" i="4"/>
  <c r="D367" i="4"/>
  <c r="Y78" i="25"/>
  <c r="Y62" i="25" s="1"/>
  <c r="Y46" i="25" s="1"/>
  <c r="Y60" i="23"/>
  <c r="Y44" i="23" s="1"/>
  <c r="AG35" i="4"/>
  <c r="P433" i="3"/>
  <c r="P418" i="3"/>
  <c r="Y118" i="4"/>
  <c r="R131" i="25"/>
  <c r="R24" i="25"/>
  <c r="AI129" i="19"/>
  <c r="AD140" i="19"/>
  <c r="AG129" i="19"/>
  <c r="AD122" i="4"/>
  <c r="AD155" i="4" s="1"/>
  <c r="AD143" i="11"/>
  <c r="AC92" i="4"/>
  <c r="M367" i="4"/>
  <c r="M397" i="4"/>
  <c r="V141" i="7"/>
  <c r="V157" i="9"/>
  <c r="V141" i="9" s="1"/>
  <c r="W157" i="7"/>
  <c r="X157" i="7" s="1"/>
  <c r="Y46" i="5"/>
  <c r="AD139" i="11"/>
  <c r="L367" i="4"/>
  <c r="L397" i="4"/>
  <c r="AG43" i="4"/>
  <c r="AC132" i="15"/>
  <c r="AC51" i="6" s="1"/>
  <c r="BC50" i="15"/>
  <c r="AE7" i="11"/>
  <c r="V35" i="5"/>
  <c r="V79" i="4"/>
  <c r="AF43" i="4"/>
  <c r="Z86" i="4"/>
  <c r="Y23" i="15"/>
  <c r="X83" i="25"/>
  <c r="X5" i="25" s="1"/>
  <c r="X4" i="25" s="1"/>
  <c r="X55" i="25"/>
  <c r="V87" i="3"/>
  <c r="AH125" i="15"/>
  <c r="AH109" i="15" s="1"/>
  <c r="BC44" i="15"/>
  <c r="AI328" i="19"/>
  <c r="Z87" i="4"/>
  <c r="T178" i="9"/>
  <c r="T146" i="9" s="1"/>
  <c r="T34" i="9" s="1"/>
  <c r="T146" i="7"/>
  <c r="T34" i="7" s="1"/>
  <c r="U178" i="7"/>
  <c r="U180" i="7" s="1"/>
  <c r="W201" i="15"/>
  <c r="W185" i="15" s="1"/>
  <c r="AZ63" i="20"/>
  <c r="W76" i="4"/>
  <c r="W209" i="15"/>
  <c r="W193" i="15" s="1"/>
  <c r="AC31" i="13"/>
  <c r="AC33" i="11"/>
  <c r="AC34" i="11" s="1"/>
  <c r="AC4" i="6"/>
  <c r="AD115" i="4"/>
  <c r="S300" i="4"/>
  <c r="S399" i="3"/>
  <c r="W247" i="13"/>
  <c r="W199" i="13" s="1"/>
  <c r="W136" i="3" s="1"/>
  <c r="W152" i="3" s="1"/>
  <c r="AH341" i="19"/>
  <c r="AD118" i="4"/>
  <c r="AD151" i="4" s="1"/>
  <c r="V171" i="7"/>
  <c r="BS12" i="15"/>
  <c r="Y212" i="15"/>
  <c r="Y13" i="15"/>
  <c r="BS13" i="15" s="1"/>
  <c r="AC64" i="11"/>
  <c r="AC65" i="11" s="1"/>
  <c r="U120" i="25"/>
  <c r="U163" i="25"/>
  <c r="U11" i="25" s="1"/>
  <c r="U10" i="25" s="1"/>
  <c r="W204" i="13"/>
  <c r="W141" i="3" s="1"/>
  <c r="W157" i="3" s="1"/>
  <c r="BS17" i="15"/>
  <c r="AM345" i="19"/>
  <c r="AM329" i="19" s="1"/>
  <c r="Z73" i="25"/>
  <c r="Z57" i="25" s="1"/>
  <c r="Z41" i="25" s="1"/>
  <c r="Z55" i="23"/>
  <c r="Z39" i="23" s="1"/>
  <c r="U151" i="3"/>
  <c r="U87" i="3"/>
  <c r="X237" i="13"/>
  <c r="X207" i="11"/>
  <c r="X127" i="11" s="1"/>
  <c r="X47" i="11" s="1"/>
  <c r="U122" i="9"/>
  <c r="U90" i="7"/>
  <c r="U26" i="7" s="1"/>
  <c r="X77" i="15"/>
  <c r="M270" i="4"/>
  <c r="M287" i="4" s="1"/>
  <c r="M255" i="4"/>
  <c r="W280" i="15"/>
  <c r="W323" i="15"/>
  <c r="W291" i="15" s="1"/>
  <c r="AD141" i="11"/>
  <c r="AD417" i="3"/>
  <c r="AH417" i="3" s="1"/>
  <c r="J433" i="3"/>
  <c r="J418" i="3"/>
  <c r="V96" i="7"/>
  <c r="X118" i="4"/>
  <c r="Y232" i="13"/>
  <c r="S383" i="17"/>
  <c r="S367" i="17" s="1"/>
  <c r="S47" i="17" s="1"/>
  <c r="S353" i="15"/>
  <c r="S49" i="15" s="1"/>
  <c r="S139" i="9"/>
  <c r="T68" i="9"/>
  <c r="T52" i="9" s="1"/>
  <c r="T52" i="7"/>
  <c r="T53" i="7" s="1"/>
  <c r="Y117" i="4"/>
  <c r="Y150" i="4" s="1"/>
  <c r="Z71" i="25"/>
  <c r="Z53" i="23"/>
  <c r="T25" i="7"/>
  <c r="AA75" i="23"/>
  <c r="AA59" i="23" s="1"/>
  <c r="AA43" i="23" s="1"/>
  <c r="AA72" i="23"/>
  <c r="AA56" i="23" s="1"/>
  <c r="AA40" i="23" s="1"/>
  <c r="AA76" i="23"/>
  <c r="AA60" i="23" s="1"/>
  <c r="AA44" i="23" s="1"/>
  <c r="AA70" i="23"/>
  <c r="AA54" i="23" s="1"/>
  <c r="AA38" i="23" s="1"/>
  <c r="AA74" i="23"/>
  <c r="AA58" i="23" s="1"/>
  <c r="AA42" i="23" s="1"/>
  <c r="AA73" i="23"/>
  <c r="AA57" i="23" s="1"/>
  <c r="AA41" i="23" s="1"/>
  <c r="AA77" i="23"/>
  <c r="AA61" i="23" s="1"/>
  <c r="AA45" i="23" s="1"/>
  <c r="AA69" i="23"/>
  <c r="AA53" i="23" s="1"/>
  <c r="AA71" i="23"/>
  <c r="AA55" i="23" s="1"/>
  <c r="AA39" i="23" s="1"/>
  <c r="AA79" i="23"/>
  <c r="AA63" i="23" s="1"/>
  <c r="AA47" i="23" s="1"/>
  <c r="AA78" i="23"/>
  <c r="AA62" i="23" s="1"/>
  <c r="AA46" i="23" s="1"/>
  <c r="AE41" i="4"/>
  <c r="AE112" i="11"/>
  <c r="X45" i="5"/>
  <c r="N353" i="3"/>
  <c r="N368" i="3"/>
  <c r="Z18" i="15"/>
  <c r="Z324" i="15"/>
  <c r="R11" i="17"/>
  <c r="AI11" i="17" s="1"/>
  <c r="AI12" i="17"/>
  <c r="W37" i="23"/>
  <c r="W65" i="23"/>
  <c r="N433" i="3"/>
  <c r="N418" i="3"/>
  <c r="Z74" i="25"/>
  <c r="Z58" i="25" s="1"/>
  <c r="Z42" i="25" s="1"/>
  <c r="Z56" i="23"/>
  <c r="Z40" i="23" s="1"/>
  <c r="R408" i="3"/>
  <c r="F368" i="3"/>
  <c r="F385" i="3" s="1"/>
  <c r="F353" i="3"/>
  <c r="W70" i="4"/>
  <c r="AB89" i="4"/>
  <c r="U25" i="7"/>
  <c r="AB414" i="13"/>
  <c r="AB223" i="4"/>
  <c r="AB224" i="4" s="1"/>
  <c r="AP37" i="4"/>
  <c r="BV20" i="15"/>
  <c r="V91" i="3"/>
  <c r="X171" i="25"/>
  <c r="X155" i="25" s="1"/>
  <c r="X123" i="25" s="1"/>
  <c r="X121" i="23"/>
  <c r="BB118" i="11"/>
  <c r="AA87" i="4"/>
  <c r="U148" i="3"/>
  <c r="U144" i="3"/>
  <c r="U84" i="3"/>
  <c r="V152" i="25"/>
  <c r="V179" i="25"/>
  <c r="K466" i="3"/>
  <c r="K497" i="3"/>
  <c r="S391" i="3"/>
  <c r="AB88" i="4"/>
  <c r="Q129" i="23"/>
  <c r="AV129" i="23" s="1"/>
  <c r="X30" i="23"/>
  <c r="V68" i="15"/>
  <c r="AO346" i="19"/>
  <c r="AO330" i="19" s="1"/>
  <c r="V163" i="9"/>
  <c r="V147" i="9" s="1"/>
  <c r="V147" i="7"/>
  <c r="W163" i="7"/>
  <c r="W198" i="13"/>
  <c r="W135" i="3" s="1"/>
  <c r="W151" i="3" s="1"/>
  <c r="X32" i="25"/>
  <c r="R385" i="17"/>
  <c r="R369" i="17" s="1"/>
  <c r="R49" i="17" s="1"/>
  <c r="R355" i="15"/>
  <c r="R51" i="15" s="1"/>
  <c r="S180" i="9"/>
  <c r="S148" i="9" s="1"/>
  <c r="S36" i="9" s="1"/>
  <c r="S148" i="7"/>
  <c r="S36" i="7" s="1"/>
  <c r="AI321" i="19"/>
  <c r="J285" i="4"/>
  <c r="AC86" i="4"/>
  <c r="H334" i="4"/>
  <c r="H319" i="4"/>
  <c r="D334" i="4"/>
  <c r="D319" i="4"/>
  <c r="M319" i="4"/>
  <c r="M334" i="4"/>
  <c r="F335" i="4"/>
  <c r="F320" i="4"/>
  <c r="F336" i="4" s="1"/>
  <c r="AA96" i="5"/>
  <c r="AG326" i="19"/>
  <c r="U127" i="9"/>
  <c r="U95" i="9" s="1"/>
  <c r="U31" i="9" s="1"/>
  <c r="U95" i="7"/>
  <c r="U31" i="7" s="1"/>
  <c r="T174" i="9"/>
  <c r="T142" i="9" s="1"/>
  <c r="T142" i="7"/>
  <c r="T30" i="7" s="1"/>
  <c r="X31" i="23"/>
  <c r="G320" i="4"/>
  <c r="G336" i="4" s="1"/>
  <c r="G335" i="4"/>
  <c r="Y251" i="11"/>
  <c r="AF325" i="19"/>
  <c r="AF333" i="19" s="1"/>
  <c r="AF348" i="19"/>
  <c r="AF332" i="19" s="1"/>
  <c r="T179" i="25"/>
  <c r="W109" i="9"/>
  <c r="AQ103" i="11"/>
  <c r="AQ37" i="4" s="1"/>
  <c r="P497" i="3"/>
  <c r="P466" i="3"/>
  <c r="Z12" i="15"/>
  <c r="AA12" i="15" s="1"/>
  <c r="Z76" i="25"/>
  <c r="Z60" i="25" s="1"/>
  <c r="Z44" i="25" s="1"/>
  <c r="Z58" i="23"/>
  <c r="Z42" i="23" s="1"/>
  <c r="AC84" i="4"/>
  <c r="X228" i="13"/>
  <c r="X198" i="11"/>
  <c r="R36" i="7"/>
  <c r="AM137" i="19"/>
  <c r="AC116" i="4"/>
  <c r="AC149" i="4" s="1"/>
  <c r="Q43" i="23"/>
  <c r="AV59" i="23"/>
  <c r="M286" i="4"/>
  <c r="BN21" i="13"/>
  <c r="V20" i="13"/>
  <c r="BN20" i="13" s="1"/>
  <c r="AD134" i="11"/>
  <c r="V96" i="9"/>
  <c r="T67" i="25"/>
  <c r="T39" i="25"/>
  <c r="X123" i="4"/>
  <c r="X156" i="4" s="1"/>
  <c r="T209" i="17"/>
  <c r="T193" i="17" s="1"/>
  <c r="T194" i="17" s="1"/>
  <c r="T195" i="15"/>
  <c r="T196" i="15" s="1"/>
  <c r="AK299" i="15"/>
  <c r="L497" i="3"/>
  <c r="L466" i="3"/>
  <c r="S378" i="17"/>
  <c r="S362" i="17" s="1"/>
  <c r="S42" i="17" s="1"/>
  <c r="S348" i="15"/>
  <c r="S44" i="15" s="1"/>
  <c r="W155" i="7"/>
  <c r="X155" i="7" s="1"/>
  <c r="AC4" i="23"/>
  <c r="AC5" i="23" s="1"/>
  <c r="AC81" i="23" s="1"/>
  <c r="AC35" i="6"/>
  <c r="U150" i="3"/>
  <c r="U86" i="3"/>
  <c r="X30" i="25"/>
  <c r="Q442" i="3"/>
  <c r="Q410" i="3"/>
  <c r="Y81" i="25"/>
  <c r="Y65" i="25" s="1"/>
  <c r="Y49" i="25" s="1"/>
  <c r="Y63" i="23"/>
  <c r="Y47" i="23" s="1"/>
  <c r="AD13" i="7"/>
  <c r="AD213" i="7" s="1"/>
  <c r="AD14" i="7"/>
  <c r="AD229" i="7" s="1"/>
  <c r="AD17" i="6"/>
  <c r="N497" i="3"/>
  <c r="N466" i="3"/>
  <c r="C466" i="3"/>
  <c r="D498" i="3" s="1"/>
  <c r="C497" i="3"/>
  <c r="V153" i="9"/>
  <c r="V137" i="7"/>
  <c r="V164" i="7"/>
  <c r="W153" i="7"/>
  <c r="X153" i="7" s="1"/>
  <c r="S381" i="17"/>
  <c r="S365" i="17" s="1"/>
  <c r="S45" i="17" s="1"/>
  <c r="S351" i="15"/>
  <c r="S47" i="15" s="1"/>
  <c r="R32" i="13"/>
  <c r="BJ27" i="13"/>
  <c r="R3" i="2"/>
  <c r="J368" i="3"/>
  <c r="J385" i="3" s="1"/>
  <c r="AD352" i="3"/>
  <c r="AH352" i="3" s="1"/>
  <c r="J353" i="3"/>
  <c r="K368" i="3"/>
  <c r="K385" i="3" s="1"/>
  <c r="Y80" i="23"/>
  <c r="G384" i="3"/>
  <c r="K334" i="4"/>
  <c r="K319" i="4"/>
  <c r="V90" i="3"/>
  <c r="X27" i="23"/>
  <c r="X27" i="25"/>
  <c r="AF133" i="19"/>
  <c r="AG133" i="19"/>
  <c r="X73" i="4"/>
  <c r="AV61" i="23"/>
  <c r="Q45" i="23"/>
  <c r="AP139" i="19"/>
  <c r="U41" i="9"/>
  <c r="Q122" i="25"/>
  <c r="Q131" i="25" s="1"/>
  <c r="Q163" i="25"/>
  <c r="Q11" i="25" s="1"/>
  <c r="AF7" i="15"/>
  <c r="AG7" i="15" s="1"/>
  <c r="Y165" i="7"/>
  <c r="BX10" i="7"/>
  <c r="S27" i="7"/>
  <c r="E269" i="4"/>
  <c r="E286" i="4" s="1"/>
  <c r="E254" i="4"/>
  <c r="F497" i="3"/>
  <c r="F466" i="3"/>
  <c r="G466" i="3"/>
  <c r="G497" i="3"/>
  <c r="V38" i="5"/>
  <c r="V21" i="23"/>
  <c r="V33" i="23" s="1"/>
  <c r="V49" i="23"/>
  <c r="AB93" i="4"/>
  <c r="X33" i="25"/>
  <c r="AC85" i="4"/>
  <c r="T120" i="25"/>
  <c r="T163" i="25"/>
  <c r="T11" i="25" s="1"/>
  <c r="T10" i="25" s="1"/>
  <c r="V158" i="9"/>
  <c r="W158" i="7"/>
  <c r="X158" i="7" s="1"/>
  <c r="Z80" i="25"/>
  <c r="Z64" i="25" s="1"/>
  <c r="Z48" i="25" s="1"/>
  <c r="Z62" i="23"/>
  <c r="Z46" i="23" s="1"/>
  <c r="X230" i="13"/>
  <c r="X200" i="11"/>
  <c r="X120" i="11" s="1"/>
  <c r="X40" i="11" s="1"/>
  <c r="AB11" i="15"/>
  <c r="AN303" i="15"/>
  <c r="J367" i="4"/>
  <c r="J397" i="4"/>
  <c r="BI169" i="12"/>
  <c r="X28" i="23"/>
  <c r="V98" i="9"/>
  <c r="AV63" i="23"/>
  <c r="Q47" i="23"/>
  <c r="W365" i="13"/>
  <c r="W349" i="13" s="1"/>
  <c r="W333" i="13" s="1"/>
  <c r="W356" i="13"/>
  <c r="W340" i="13" s="1"/>
  <c r="W324" i="13" s="1"/>
  <c r="W366" i="13"/>
  <c r="W350" i="13" s="1"/>
  <c r="W334" i="13" s="1"/>
  <c r="W358" i="13"/>
  <c r="W342" i="13" s="1"/>
  <c r="W326" i="13" s="1"/>
  <c r="W359" i="13"/>
  <c r="W343" i="13" s="1"/>
  <c r="W327" i="13" s="1"/>
  <c r="W363" i="13"/>
  <c r="W347" i="13" s="1"/>
  <c r="W331" i="13" s="1"/>
  <c r="W361" i="13"/>
  <c r="W345" i="13" s="1"/>
  <c r="W329" i="13" s="1"/>
  <c r="W360" i="13"/>
  <c r="W344" i="13" s="1"/>
  <c r="W328" i="13" s="1"/>
  <c r="W362" i="13"/>
  <c r="W346" i="13" s="1"/>
  <c r="W330" i="13" s="1"/>
  <c r="W364" i="13"/>
  <c r="W348" i="13" s="1"/>
  <c r="W332" i="13" s="1"/>
  <c r="W357" i="13"/>
  <c r="W341" i="13" s="1"/>
  <c r="W325" i="13" s="1"/>
  <c r="W355" i="13"/>
  <c r="AD136" i="11"/>
  <c r="T83" i="25"/>
  <c r="T5" i="25" s="1"/>
  <c r="T4" i="25" s="1"/>
  <c r="Z85" i="4"/>
  <c r="X22" i="15"/>
  <c r="BA171" i="22"/>
  <c r="S379" i="17"/>
  <c r="S363" i="17" s="1"/>
  <c r="S43" i="17" s="1"/>
  <c r="S349" i="15"/>
  <c r="S45" i="15" s="1"/>
  <c r="AJ338" i="19"/>
  <c r="AK44" i="4"/>
  <c r="AC11" i="23"/>
  <c r="AC36" i="6"/>
  <c r="AC410" i="13" l="1"/>
  <c r="AC219" i="4"/>
  <c r="AC216" i="4"/>
  <c r="AC407" i="13"/>
  <c r="AC332" i="11"/>
  <c r="AC187" i="4" s="1"/>
  <c r="AC214" i="4"/>
  <c r="AC405" i="13"/>
  <c r="AC204" i="4"/>
  <c r="AC333" i="11"/>
  <c r="AC188" i="4" s="1"/>
  <c r="AC197" i="4"/>
  <c r="AC326" i="11"/>
  <c r="AC181" i="4" s="1"/>
  <c r="AC334" i="11"/>
  <c r="AC189" i="4" s="1"/>
  <c r="AC205" i="4"/>
  <c r="AC330" i="11"/>
  <c r="AC185" i="4" s="1"/>
  <c r="AC201" i="4"/>
  <c r="AC213" i="4"/>
  <c r="AC404" i="13"/>
  <c r="AC202" i="4"/>
  <c r="AC331" i="11"/>
  <c r="AC186" i="4" s="1"/>
  <c r="AC198" i="4"/>
  <c r="AC327" i="11"/>
  <c r="AC182" i="4" s="1"/>
  <c r="AC329" i="11"/>
  <c r="AC184" i="4" s="1"/>
  <c r="AC200" i="4"/>
  <c r="AC196" i="4"/>
  <c r="AC208" i="4" s="1"/>
  <c r="AC325" i="11"/>
  <c r="AC180" i="4" s="1"/>
  <c r="AC352" i="11"/>
  <c r="AC207" i="4" s="1"/>
  <c r="AC403" i="13"/>
  <c r="AC212" i="4"/>
  <c r="AC409" i="13"/>
  <c r="AC218" i="4"/>
  <c r="AC221" i="4"/>
  <c r="AC412" i="13"/>
  <c r="AC335" i="11"/>
  <c r="AC190" i="4" s="1"/>
  <c r="AC206" i="4"/>
  <c r="AC199" i="4"/>
  <c r="AC411" i="13"/>
  <c r="AC220" i="4"/>
  <c r="AD4" i="11"/>
  <c r="AC217" i="4"/>
  <c r="AC408" i="13"/>
  <c r="AC384" i="11"/>
  <c r="AC222" i="4"/>
  <c r="AC413" i="13"/>
  <c r="W123" i="7"/>
  <c r="Y207" i="11"/>
  <c r="Y127" i="11" s="1"/>
  <c r="Y47" i="11" s="1"/>
  <c r="AE249" i="11"/>
  <c r="AE119" i="4" s="1"/>
  <c r="AE152" i="4" s="1"/>
  <c r="X75" i="4"/>
  <c r="AK160" i="15"/>
  <c r="Z253" i="11"/>
  <c r="AK105" i="11"/>
  <c r="AK39" i="4" s="1"/>
  <c r="BS22" i="15"/>
  <c r="AC9" i="7"/>
  <c r="AC16" i="6" s="1"/>
  <c r="V89" i="3"/>
  <c r="Z245" i="11"/>
  <c r="Z115" i="4" s="1"/>
  <c r="X71" i="4"/>
  <c r="X208" i="11"/>
  <c r="X128" i="11" s="1"/>
  <c r="X48" i="11" s="1"/>
  <c r="V93" i="9"/>
  <c r="V29" i="9" s="1"/>
  <c r="Y206" i="11"/>
  <c r="Y126" i="11" s="1"/>
  <c r="Y46" i="11" s="1"/>
  <c r="Y124" i="4"/>
  <c r="Y76" i="4" s="1"/>
  <c r="Z250" i="11"/>
  <c r="AF250" i="11" s="1"/>
  <c r="Z254" i="11"/>
  <c r="AF254" i="11" s="1"/>
  <c r="AF124" i="4" s="1"/>
  <c r="AF157" i="4" s="1"/>
  <c r="W209" i="11"/>
  <c r="W48" i="6" s="1"/>
  <c r="W68" i="6" s="1"/>
  <c r="Y201" i="11"/>
  <c r="Y121" i="11" s="1"/>
  <c r="Y41" i="11" s="1"/>
  <c r="W174" i="7"/>
  <c r="W174" i="9" s="1"/>
  <c r="W97" i="7"/>
  <c r="AB16" i="6"/>
  <c r="V97" i="9"/>
  <c r="T101" i="9"/>
  <c r="W112" i="9"/>
  <c r="W96" i="9" s="1"/>
  <c r="S149" i="7"/>
  <c r="R37" i="9"/>
  <c r="V97" i="7"/>
  <c r="V90" i="9"/>
  <c r="V26" i="9" s="1"/>
  <c r="AA324" i="15"/>
  <c r="AA18" i="15"/>
  <c r="R2" i="2"/>
  <c r="Y27" i="6"/>
  <c r="Y22" i="6" s="1"/>
  <c r="T180" i="9"/>
  <c r="T148" i="9" s="1"/>
  <c r="Y37" i="15"/>
  <c r="W129" i="7"/>
  <c r="W129" i="9" s="1"/>
  <c r="W99" i="9"/>
  <c r="W89" i="7"/>
  <c r="X202" i="15"/>
  <c r="X186" i="15" s="1"/>
  <c r="V142" i="7"/>
  <c r="W93" i="9"/>
  <c r="W93" i="7"/>
  <c r="V142" i="9"/>
  <c r="V91" i="7"/>
  <c r="AK156" i="15"/>
  <c r="AK124" i="15" s="1"/>
  <c r="AK108" i="15" s="1"/>
  <c r="AI124" i="15"/>
  <c r="AI108" i="15" s="1"/>
  <c r="AK153" i="15"/>
  <c r="AL153" i="15" s="1"/>
  <c r="U33" i="9"/>
  <c r="AK162" i="15"/>
  <c r="AK130" i="15" s="1"/>
  <c r="AK114" i="15" s="1"/>
  <c r="Y318" i="15"/>
  <c r="Y286" i="15" s="1"/>
  <c r="V132" i="7"/>
  <c r="V132" i="9" s="1"/>
  <c r="AH152" i="15"/>
  <c r="V92" i="7"/>
  <c r="W68" i="7"/>
  <c r="Z145" i="11"/>
  <c r="Z47" i="6" s="1"/>
  <c r="Z65" i="6" s="1"/>
  <c r="AO11" i="11"/>
  <c r="AP11" i="11" s="1"/>
  <c r="W113" i="9"/>
  <c r="W97" i="9" s="1"/>
  <c r="Y47" i="5"/>
  <c r="U30" i="7"/>
  <c r="U30" i="9"/>
  <c r="AC146" i="11"/>
  <c r="U90" i="9"/>
  <c r="U26" i="9" s="1"/>
  <c r="V143" i="7"/>
  <c r="V31" i="7" s="1"/>
  <c r="Q403" i="3"/>
  <c r="Y316" i="15"/>
  <c r="Y284" i="15" s="1"/>
  <c r="X146" i="11"/>
  <c r="T69" i="9"/>
  <c r="T4" i="9" s="1"/>
  <c r="T3" i="9" s="1"/>
  <c r="V90" i="7"/>
  <c r="V26" i="7" s="1"/>
  <c r="X69" i="4"/>
  <c r="BD198" i="11"/>
  <c r="AM44" i="4"/>
  <c r="Z247" i="11"/>
  <c r="AA241" i="11"/>
  <c r="AA15" i="11"/>
  <c r="AA257" i="11" s="1"/>
  <c r="AB14" i="11"/>
  <c r="AB241" i="11" s="1"/>
  <c r="Z255" i="11"/>
  <c r="Z125" i="4" s="1"/>
  <c r="Z158" i="4" s="1"/>
  <c r="BE246" i="11"/>
  <c r="AL106" i="11"/>
  <c r="AK40" i="4"/>
  <c r="Y115" i="4"/>
  <c r="Y119" i="4"/>
  <c r="Y152" i="4" s="1"/>
  <c r="Y75" i="4"/>
  <c r="T47" i="13"/>
  <c r="Z239" i="11"/>
  <c r="Z237" i="13" s="1"/>
  <c r="Z232" i="11"/>
  <c r="Z230" i="13" s="1"/>
  <c r="Z238" i="11"/>
  <c r="Z234" i="11"/>
  <c r="Z232" i="13" s="1"/>
  <c r="Z230" i="11"/>
  <c r="Z228" i="13" s="1"/>
  <c r="Z236" i="11"/>
  <c r="Z234" i="13" s="1"/>
  <c r="Z233" i="11"/>
  <c r="Z235" i="11"/>
  <c r="Z233" i="13" s="1"/>
  <c r="Z240" i="11"/>
  <c r="Z238" i="13" s="1"/>
  <c r="Z237" i="11"/>
  <c r="Z235" i="13" s="1"/>
  <c r="Z231" i="11"/>
  <c r="Z229" i="11"/>
  <c r="Z227" i="13" s="1"/>
  <c r="AA11" i="7"/>
  <c r="AA181" i="7" s="1"/>
  <c r="Y256" i="11"/>
  <c r="Y208" i="11" s="1"/>
  <c r="Y128" i="11" s="1"/>
  <c r="Y48" i="11" s="1"/>
  <c r="U28" i="7"/>
  <c r="V115" i="9"/>
  <c r="V99" i="9" s="1"/>
  <c r="V99" i="7"/>
  <c r="V35" i="7" s="1"/>
  <c r="V49" i="11"/>
  <c r="AE250" i="11"/>
  <c r="AE120" i="4" s="1"/>
  <c r="AE153" i="4" s="1"/>
  <c r="R356" i="15"/>
  <c r="R52" i="15" s="1"/>
  <c r="AF246" i="11"/>
  <c r="AF116" i="4" s="1"/>
  <c r="AF149" i="4" s="1"/>
  <c r="X57" i="15"/>
  <c r="Y73" i="15"/>
  <c r="S37" i="7"/>
  <c r="Y75" i="15"/>
  <c r="Y59" i="15" s="1"/>
  <c r="V211" i="15"/>
  <c r="V195" i="15" s="1"/>
  <c r="V196" i="15" s="1"/>
  <c r="Y122" i="4"/>
  <c r="Y155" i="4" s="1"/>
  <c r="W99" i="7"/>
  <c r="Z119" i="4"/>
  <c r="Z152" i="4" s="1"/>
  <c r="W144" i="9"/>
  <c r="AB192" i="4"/>
  <c r="Y204" i="11"/>
  <c r="Y124" i="11" s="1"/>
  <c r="Y44" i="11" s="1"/>
  <c r="X209" i="15"/>
  <c r="X193" i="15" s="1"/>
  <c r="V143" i="9"/>
  <c r="V32" i="7"/>
  <c r="AA249" i="11"/>
  <c r="Z252" i="11"/>
  <c r="Y71" i="4"/>
  <c r="U28" i="9"/>
  <c r="BE198" i="11"/>
  <c r="W111" i="7"/>
  <c r="X111" i="7" s="1"/>
  <c r="W106" i="7"/>
  <c r="W90" i="7" s="1"/>
  <c r="Y321" i="15"/>
  <c r="Y289" i="15" s="1"/>
  <c r="V110" i="9"/>
  <c r="V94" i="7"/>
  <c r="W110" i="7"/>
  <c r="X110" i="7" s="1"/>
  <c r="V140" i="7"/>
  <c r="X203" i="15"/>
  <c r="X187" i="15" s="1"/>
  <c r="AE14" i="7"/>
  <c r="AE229" i="7" s="1"/>
  <c r="AF253" i="11"/>
  <c r="AF123" i="4" s="1"/>
  <c r="AF156" i="4" s="1"/>
  <c r="X78" i="4"/>
  <c r="W175" i="7"/>
  <c r="W175" i="9" s="1"/>
  <c r="U27" i="9"/>
  <c r="U69" i="9"/>
  <c r="U4" i="9" s="1"/>
  <c r="U3" i="9" s="1"/>
  <c r="U96" i="3"/>
  <c r="V140" i="9"/>
  <c r="V28" i="9" s="1"/>
  <c r="X204" i="15"/>
  <c r="X188" i="15" s="1"/>
  <c r="U27" i="7"/>
  <c r="X64" i="15"/>
  <c r="Y80" i="15"/>
  <c r="W172" i="7"/>
  <c r="W172" i="9" s="1"/>
  <c r="X77" i="4"/>
  <c r="W144" i="7"/>
  <c r="W36" i="5"/>
  <c r="Y69" i="4"/>
  <c r="V95" i="7"/>
  <c r="V116" i="7"/>
  <c r="V116" i="9" s="1"/>
  <c r="AE253" i="11"/>
  <c r="U33" i="7"/>
  <c r="R386" i="17"/>
  <c r="R23" i="17" s="1"/>
  <c r="R22" i="17" s="1"/>
  <c r="V29" i="7"/>
  <c r="U117" i="9"/>
  <c r="U7" i="9" s="1"/>
  <c r="V92" i="3"/>
  <c r="X62" i="15"/>
  <c r="Y78" i="15"/>
  <c r="Z248" i="11"/>
  <c r="Y320" i="15"/>
  <c r="Y288" i="15" s="1"/>
  <c r="AD256" i="11"/>
  <c r="AD126" i="4" s="1"/>
  <c r="AD159" i="4" s="1"/>
  <c r="BX11" i="7"/>
  <c r="Z123" i="4"/>
  <c r="Z156" i="4" s="1"/>
  <c r="W208" i="15"/>
  <c r="W192" i="15" s="1"/>
  <c r="AH126" i="15"/>
  <c r="AH110" i="15" s="1"/>
  <c r="AI158" i="15"/>
  <c r="W108" i="7"/>
  <c r="W108" i="9" s="1"/>
  <c r="W92" i="9" s="1"/>
  <c r="BW12" i="15"/>
  <c r="AA212" i="15"/>
  <c r="AA13" i="15"/>
  <c r="BW13" i="15" s="1"/>
  <c r="AA80" i="23"/>
  <c r="AA64" i="23" s="1"/>
  <c r="AA48" i="23" s="1"/>
  <c r="AA27" i="23"/>
  <c r="AH325" i="19"/>
  <c r="AI341" i="19"/>
  <c r="U180" i="9"/>
  <c r="U148" i="9" s="1"/>
  <c r="U148" i="7"/>
  <c r="R325" i="4"/>
  <c r="R310" i="4"/>
  <c r="AD87" i="4"/>
  <c r="X155" i="9"/>
  <c r="Z7" i="7"/>
  <c r="Z117" i="7" s="1"/>
  <c r="Z15" i="6"/>
  <c r="Z3" i="7"/>
  <c r="AA6" i="7"/>
  <c r="W38" i="11"/>
  <c r="BC118" i="11"/>
  <c r="AI29" i="19"/>
  <c r="AH370" i="19"/>
  <c r="AH376" i="19" s="1"/>
  <c r="V202" i="3"/>
  <c r="V74" i="3"/>
  <c r="I335" i="4"/>
  <c r="I320" i="4"/>
  <c r="I336" i="4" s="1"/>
  <c r="X39" i="25"/>
  <c r="X67" i="25"/>
  <c r="V171" i="9"/>
  <c r="V139" i="9" s="1"/>
  <c r="V27" i="9" s="1"/>
  <c r="W171" i="7"/>
  <c r="W139" i="7" s="1"/>
  <c r="V139" i="7"/>
  <c r="J335" i="4"/>
  <c r="J320" i="4"/>
  <c r="W68" i="15"/>
  <c r="V206" i="3"/>
  <c r="V78" i="3"/>
  <c r="Q27" i="23"/>
  <c r="AV27" i="23" s="1"/>
  <c r="AV43" i="23"/>
  <c r="S293" i="4"/>
  <c r="S392" i="3"/>
  <c r="S398" i="3"/>
  <c r="S299" i="4"/>
  <c r="T27" i="13"/>
  <c r="BL3" i="13"/>
  <c r="W122" i="9"/>
  <c r="W132" i="7"/>
  <c r="D255" i="4"/>
  <c r="D270" i="4"/>
  <c r="D287" i="4" s="1"/>
  <c r="V367" i="15"/>
  <c r="V351" i="15" s="1"/>
  <c r="V47" i="15" s="1"/>
  <c r="V364" i="15"/>
  <c r="V348" i="15" s="1"/>
  <c r="V44" i="15" s="1"/>
  <c r="V368" i="15"/>
  <c r="V352" i="15" s="1"/>
  <c r="V48" i="15" s="1"/>
  <c r="V360" i="15"/>
  <c r="V344" i="15" s="1"/>
  <c r="V361" i="15"/>
  <c r="V345" i="15" s="1"/>
  <c r="V41" i="15" s="1"/>
  <c r="V363" i="15"/>
  <c r="V347" i="15" s="1"/>
  <c r="V43" i="15" s="1"/>
  <c r="V370" i="15"/>
  <c r="V354" i="15" s="1"/>
  <c r="V50" i="15" s="1"/>
  <c r="T383" i="17"/>
  <c r="T367" i="17" s="1"/>
  <c r="T47" i="17" s="1"/>
  <c r="T353" i="15"/>
  <c r="T49" i="15" s="1"/>
  <c r="U369" i="15"/>
  <c r="U353" i="15" s="1"/>
  <c r="U49" i="15" s="1"/>
  <c r="AF41" i="4"/>
  <c r="AF112" i="11"/>
  <c r="AG107" i="11"/>
  <c r="AN44" i="4"/>
  <c r="AO110" i="11"/>
  <c r="W292" i="15"/>
  <c r="AD3" i="15"/>
  <c r="CC4" i="15"/>
  <c r="AD84" i="15"/>
  <c r="AE4" i="15"/>
  <c r="AB94" i="4"/>
  <c r="AB95" i="4" s="1"/>
  <c r="AB145" i="11"/>
  <c r="AB47" i="6" s="1"/>
  <c r="AB65" i="6" s="1"/>
  <c r="AF136" i="11"/>
  <c r="U196" i="15"/>
  <c r="BN8" i="13"/>
  <c r="V7" i="13"/>
  <c r="BN7" i="13" s="1"/>
  <c r="P286" i="4"/>
  <c r="AE136" i="11"/>
  <c r="AE192" i="11"/>
  <c r="Y178" i="25"/>
  <c r="Y162" i="25" s="1"/>
  <c r="Y130" i="25" s="1"/>
  <c r="Y128" i="23"/>
  <c r="V197" i="3"/>
  <c r="V69" i="3"/>
  <c r="Y176" i="25"/>
  <c r="Y160" i="25" s="1"/>
  <c r="Y128" i="25" s="1"/>
  <c r="Y126" i="23"/>
  <c r="Y169" i="25"/>
  <c r="Y153" i="25" s="1"/>
  <c r="Y121" i="25" s="1"/>
  <c r="Y119" i="23"/>
  <c r="M271" i="4"/>
  <c r="M256" i="4"/>
  <c r="AC76" i="4"/>
  <c r="G368" i="4"/>
  <c r="G398" i="4"/>
  <c r="U53" i="7"/>
  <c r="AE138" i="11"/>
  <c r="J398" i="4"/>
  <c r="J368" i="4"/>
  <c r="AD11" i="23"/>
  <c r="AD36" i="6"/>
  <c r="AD3" i="23"/>
  <c r="AA168" i="23"/>
  <c r="AA152" i="23" s="1"/>
  <c r="AA120" i="23" s="1"/>
  <c r="AA175" i="23"/>
  <c r="AA159" i="23" s="1"/>
  <c r="AA127" i="23" s="1"/>
  <c r="AA31" i="23" s="1"/>
  <c r="AA172" i="23"/>
  <c r="AA156" i="23" s="1"/>
  <c r="AA124" i="23" s="1"/>
  <c r="AA28" i="23" s="1"/>
  <c r="AA173" i="23"/>
  <c r="AA157" i="23" s="1"/>
  <c r="AA125" i="23" s="1"/>
  <c r="AA29" i="23" s="1"/>
  <c r="AA171" i="23"/>
  <c r="AA155" i="23" s="1"/>
  <c r="AA123" i="23" s="1"/>
  <c r="AA167" i="23"/>
  <c r="AA151" i="23" s="1"/>
  <c r="AA119" i="23" s="1"/>
  <c r="AA166" i="23"/>
  <c r="AA150" i="23" s="1"/>
  <c r="AA170" i="23"/>
  <c r="AA154" i="23" s="1"/>
  <c r="AA122" i="23" s="1"/>
  <c r="AA26" i="23" s="1"/>
  <c r="AA174" i="23"/>
  <c r="AA158" i="23" s="1"/>
  <c r="AA126" i="23" s="1"/>
  <c r="AA30" i="23" s="1"/>
  <c r="AA169" i="23"/>
  <c r="AA153" i="23" s="1"/>
  <c r="AA121" i="23" s="1"/>
  <c r="AA25" i="23" s="1"/>
  <c r="D398" i="4"/>
  <c r="D368" i="4"/>
  <c r="W187" i="13"/>
  <c r="W139" i="13" s="1"/>
  <c r="W179" i="13"/>
  <c r="W186" i="13"/>
  <c r="W138" i="13" s="1"/>
  <c r="W184" i="13"/>
  <c r="W136" i="13" s="1"/>
  <c r="W180" i="13"/>
  <c r="W132" i="13" s="1"/>
  <c r="W185" i="13"/>
  <c r="W137" i="13" s="1"/>
  <c r="W189" i="13"/>
  <c r="W141" i="13" s="1"/>
  <c r="W188" i="13"/>
  <c r="W140" i="13" s="1"/>
  <c r="W183" i="13"/>
  <c r="W135" i="13" s="1"/>
  <c r="W190" i="13"/>
  <c r="W142" i="13" s="1"/>
  <c r="W182" i="13"/>
  <c r="W134" i="13" s="1"/>
  <c r="W181" i="13"/>
  <c r="W133" i="13" s="1"/>
  <c r="W130" i="9"/>
  <c r="W98" i="9" s="1"/>
  <c r="W98" i="7"/>
  <c r="AD86" i="4"/>
  <c r="X61" i="15"/>
  <c r="Y77" i="15"/>
  <c r="Y61" i="15" s="1"/>
  <c r="W79" i="4"/>
  <c r="AT89" i="4"/>
  <c r="AC70" i="4"/>
  <c r="X157" i="9"/>
  <c r="Y133" i="7"/>
  <c r="BX8" i="7"/>
  <c r="X153" i="4"/>
  <c r="X72" i="4"/>
  <c r="W123" i="9"/>
  <c r="W91" i="9" s="1"/>
  <c r="W91" i="7"/>
  <c r="W156" i="9"/>
  <c r="X156" i="7"/>
  <c r="Y156" i="7" s="1"/>
  <c r="D320" i="4"/>
  <c r="D336" i="4" s="1"/>
  <c r="D335" i="4"/>
  <c r="E335" i="4"/>
  <c r="W77" i="5"/>
  <c r="W64" i="9"/>
  <c r="W48" i="9" s="1"/>
  <c r="W48" i="7"/>
  <c r="S385" i="17"/>
  <c r="S369" i="17" s="1"/>
  <c r="S49" i="17" s="1"/>
  <c r="S355" i="15"/>
  <c r="S51" i="15" s="1"/>
  <c r="F270" i="4"/>
  <c r="F255" i="4"/>
  <c r="Y158" i="4"/>
  <c r="Y77" i="4"/>
  <c r="S358" i="17"/>
  <c r="AM136" i="19"/>
  <c r="AN136" i="19"/>
  <c r="AO136" i="19" s="1"/>
  <c r="AO305" i="15"/>
  <c r="AG12" i="7"/>
  <c r="AH15" i="7"/>
  <c r="X282" i="15"/>
  <c r="Y314" i="15"/>
  <c r="Y282" i="15" s="1"/>
  <c r="AH43" i="4"/>
  <c r="AI109" i="11"/>
  <c r="AF133" i="11"/>
  <c r="AF192" i="11"/>
  <c r="AH35" i="4"/>
  <c r="AI101" i="11"/>
  <c r="AF134" i="11"/>
  <c r="R409" i="3"/>
  <c r="R424" i="3"/>
  <c r="X153" i="9"/>
  <c r="W68" i="9"/>
  <c r="W52" i="9" s="1"/>
  <c r="W52" i="7"/>
  <c r="T131" i="25"/>
  <c r="T24" i="25"/>
  <c r="H335" i="4"/>
  <c r="H320" i="4"/>
  <c r="H336" i="4" s="1"/>
  <c r="AJ193" i="11"/>
  <c r="AJ8" i="11"/>
  <c r="X66" i="15"/>
  <c r="Y82" i="15"/>
  <c r="Y66" i="15" s="1"/>
  <c r="W65" i="9"/>
  <c r="W49" i="9" s="1"/>
  <c r="W49" i="7"/>
  <c r="BY3" i="15"/>
  <c r="AB23" i="6"/>
  <c r="X58" i="15"/>
  <c r="Y74" i="15"/>
  <c r="Y58" i="15" s="1"/>
  <c r="Y23" i="23"/>
  <c r="CI7" i="15"/>
  <c r="AG8" i="15"/>
  <c r="CI8" i="15" s="1"/>
  <c r="AG10" i="15"/>
  <c r="CI10" i="15" s="1"/>
  <c r="AH7" i="15"/>
  <c r="BU12" i="15"/>
  <c r="Z212" i="15"/>
  <c r="Z13" i="15"/>
  <c r="BU13" i="15" s="1"/>
  <c r="X239" i="13"/>
  <c r="X14" i="13" s="1"/>
  <c r="Y25" i="25"/>
  <c r="AC73" i="4"/>
  <c r="X281" i="15"/>
  <c r="X323" i="15"/>
  <c r="X291" i="15" s="1"/>
  <c r="Y313" i="15"/>
  <c r="Y26" i="23"/>
  <c r="BC376" i="19"/>
  <c r="BC377" i="19" s="1"/>
  <c r="BC372" i="19"/>
  <c r="AE140" i="11"/>
  <c r="G467" i="3"/>
  <c r="G498" i="3"/>
  <c r="U25" i="9"/>
  <c r="U53" i="9"/>
  <c r="K335" i="4"/>
  <c r="K320" i="4"/>
  <c r="L467" i="3"/>
  <c r="L498" i="3"/>
  <c r="P467" i="3"/>
  <c r="P498" i="3"/>
  <c r="W163" i="9"/>
  <c r="W147" i="9" s="1"/>
  <c r="W147" i="7"/>
  <c r="AA24" i="23"/>
  <c r="AD93" i="4"/>
  <c r="Y30" i="25"/>
  <c r="U73" i="13"/>
  <c r="U77" i="13"/>
  <c r="U70" i="13"/>
  <c r="U69" i="13"/>
  <c r="U78" i="13"/>
  <c r="U75" i="13"/>
  <c r="U72" i="13"/>
  <c r="U76" i="13"/>
  <c r="U68" i="13"/>
  <c r="U71" i="13"/>
  <c r="U67" i="13"/>
  <c r="U74" i="13"/>
  <c r="I435" i="3"/>
  <c r="Q26" i="23"/>
  <c r="AV26" i="23" s="1"/>
  <c r="AV42" i="23"/>
  <c r="AH123" i="15"/>
  <c r="AH107" i="15" s="1"/>
  <c r="W154" i="9"/>
  <c r="W138" i="9" s="1"/>
  <c r="W138" i="7"/>
  <c r="W60" i="9"/>
  <c r="W44" i="9" s="1"/>
  <c r="W44" i="7"/>
  <c r="Y177" i="25"/>
  <c r="Y161" i="25" s="1"/>
  <c r="Y129" i="25" s="1"/>
  <c r="Y33" i="25" s="1"/>
  <c r="Y127" i="23"/>
  <c r="AE127" i="15"/>
  <c r="AE163" i="15"/>
  <c r="AE131" i="15" s="1"/>
  <c r="AE115" i="15" s="1"/>
  <c r="AF159" i="15"/>
  <c r="AF177" i="23"/>
  <c r="AF10" i="23"/>
  <c r="Y59" i="5"/>
  <c r="Y148" i="4"/>
  <c r="AF138" i="11"/>
  <c r="T376" i="17"/>
  <c r="T360" i="17" s="1"/>
  <c r="T40" i="17" s="1"/>
  <c r="T346" i="15"/>
  <c r="T42" i="15" s="1"/>
  <c r="V25" i="7"/>
  <c r="Y25" i="23"/>
  <c r="X56" i="15"/>
  <c r="Y72" i="15"/>
  <c r="Z72" i="15" s="1"/>
  <c r="X83" i="15"/>
  <c r="X67" i="15" s="1"/>
  <c r="W160" i="4"/>
  <c r="AE142" i="11"/>
  <c r="AE116" i="4"/>
  <c r="AE149" i="4" s="1"/>
  <c r="Y62" i="5"/>
  <c r="Y79" i="5" s="1"/>
  <c r="X157" i="4"/>
  <c r="Y27" i="25"/>
  <c r="V28" i="7"/>
  <c r="W76" i="5"/>
  <c r="W63" i="5"/>
  <c r="AE143" i="11"/>
  <c r="V178" i="7"/>
  <c r="V180" i="7" s="1"/>
  <c r="W129" i="23"/>
  <c r="AE139" i="11"/>
  <c r="X162" i="9"/>
  <c r="AG129" i="15"/>
  <c r="AG113" i="15" s="1"/>
  <c r="AG3" i="23"/>
  <c r="AG4" i="23" s="1"/>
  <c r="AG5" i="23" s="1"/>
  <c r="AG81" i="23" s="1"/>
  <c r="AM321" i="19"/>
  <c r="W177" i="9"/>
  <c r="W145" i="9" s="1"/>
  <c r="W145" i="7"/>
  <c r="X176" i="7"/>
  <c r="X176" i="9" s="1"/>
  <c r="X179" i="7"/>
  <c r="X179" i="9" s="1"/>
  <c r="X171" i="7"/>
  <c r="X171" i="9" s="1"/>
  <c r="X170" i="7"/>
  <c r="X170" i="9" s="1"/>
  <c r="X174" i="7"/>
  <c r="X174" i="9" s="1"/>
  <c r="X173" i="7"/>
  <c r="X173" i="9" s="1"/>
  <c r="X169" i="7"/>
  <c r="X169" i="9" s="1"/>
  <c r="X177" i="7"/>
  <c r="X177" i="9" s="1"/>
  <c r="M467" i="3"/>
  <c r="M498" i="3"/>
  <c r="X158" i="9"/>
  <c r="AG177" i="23"/>
  <c r="AG10" i="23"/>
  <c r="AL321" i="19"/>
  <c r="F467" i="3"/>
  <c r="F498" i="3"/>
  <c r="AN337" i="19"/>
  <c r="Z37" i="23"/>
  <c r="Z65" i="23"/>
  <c r="Y55" i="25"/>
  <c r="X115" i="7"/>
  <c r="X107" i="7"/>
  <c r="X114" i="7"/>
  <c r="X112" i="7"/>
  <c r="X105" i="7"/>
  <c r="X113" i="7"/>
  <c r="X109" i="7"/>
  <c r="AJ326" i="19"/>
  <c r="AC65" i="6"/>
  <c r="W62" i="9"/>
  <c r="W46" i="9" s="1"/>
  <c r="W46" i="7"/>
  <c r="U132" i="9"/>
  <c r="U100" i="9" s="1"/>
  <c r="U100" i="7"/>
  <c r="U101" i="7" s="1"/>
  <c r="AD125" i="4"/>
  <c r="AD158" i="4" s="1"/>
  <c r="Z168" i="25"/>
  <c r="Z118" i="23"/>
  <c r="Z161" i="23"/>
  <c r="AF139" i="11"/>
  <c r="V205" i="3"/>
  <c r="V77" i="3"/>
  <c r="T374" i="17"/>
  <c r="T344" i="15"/>
  <c r="AL299" i="15"/>
  <c r="T210" i="17"/>
  <c r="T12" i="17" s="1"/>
  <c r="T11" i="17" s="1"/>
  <c r="AE117" i="4"/>
  <c r="AE150" i="4" s="1"/>
  <c r="E435" i="3"/>
  <c r="AG45" i="4"/>
  <c r="AH111" i="11"/>
  <c r="AP134" i="19"/>
  <c r="AE135" i="11"/>
  <c r="AJ328" i="19"/>
  <c r="AC69" i="4"/>
  <c r="AG7" i="11"/>
  <c r="AF140" i="11"/>
  <c r="BA169" i="12"/>
  <c r="BP169" i="12" s="1"/>
  <c r="AY169" i="12"/>
  <c r="BE171" i="14"/>
  <c r="T379" i="17"/>
  <c r="T363" i="17" s="1"/>
  <c r="T43" i="17" s="1"/>
  <c r="T349" i="15"/>
  <c r="T45" i="15" s="1"/>
  <c r="W207" i="13"/>
  <c r="W132" i="3"/>
  <c r="BY11" i="15"/>
  <c r="AB12" i="15"/>
  <c r="AB25" i="6"/>
  <c r="Y31" i="23"/>
  <c r="Y121" i="4"/>
  <c r="AE251" i="11"/>
  <c r="AE46" i="4"/>
  <c r="AE47" i="4" s="1"/>
  <c r="AC75" i="4"/>
  <c r="AD144" i="11"/>
  <c r="AD194" i="11"/>
  <c r="AC95" i="4"/>
  <c r="AC67" i="4"/>
  <c r="Z174" i="25"/>
  <c r="Z158" i="25" s="1"/>
  <c r="Z126" i="25" s="1"/>
  <c r="Z124" i="23"/>
  <c r="Z28" i="23" s="1"/>
  <c r="D355" i="3"/>
  <c r="D371" i="3" s="1"/>
  <c r="D370" i="3"/>
  <c r="D387" i="3" s="1"/>
  <c r="AD85" i="4"/>
  <c r="BO14" i="13"/>
  <c r="AH129" i="15"/>
  <c r="AH113" i="15" s="1"/>
  <c r="Y82" i="25"/>
  <c r="Y66" i="25" s="1"/>
  <c r="Y50" i="25" s="1"/>
  <c r="Y64" i="23"/>
  <c r="Y48" i="23" s="1"/>
  <c r="V137" i="9"/>
  <c r="Q411" i="3"/>
  <c r="Q426" i="3"/>
  <c r="U160" i="3"/>
  <c r="Z83" i="25"/>
  <c r="Z5" i="25" s="1"/>
  <c r="Z4" i="25" s="1"/>
  <c r="Z55" i="25"/>
  <c r="AG140" i="19"/>
  <c r="R35" i="25"/>
  <c r="AR5" i="25"/>
  <c r="Q4" i="25"/>
  <c r="AR4" i="25" s="1"/>
  <c r="W159" i="9"/>
  <c r="P385" i="3"/>
  <c r="K398" i="4"/>
  <c r="K368" i="4"/>
  <c r="W57" i="9"/>
  <c r="W41" i="7"/>
  <c r="N270" i="4"/>
  <c r="N287" i="4" s="1"/>
  <c r="N255" i="4"/>
  <c r="O271" i="4" s="1"/>
  <c r="Y117" i="11"/>
  <c r="Z169" i="25"/>
  <c r="Z153" i="25" s="1"/>
  <c r="Z121" i="25" s="1"/>
  <c r="Z119" i="23"/>
  <c r="I467" i="3"/>
  <c r="I498" i="3"/>
  <c r="W89" i="9"/>
  <c r="AD145" i="11"/>
  <c r="AD47" i="6" s="1"/>
  <c r="AD83" i="4"/>
  <c r="E398" i="4"/>
  <c r="E368" i="4"/>
  <c r="T371" i="15"/>
  <c r="Z68" i="4"/>
  <c r="Z44" i="5"/>
  <c r="AD92" i="4"/>
  <c r="W179" i="25"/>
  <c r="AQ134" i="19"/>
  <c r="X161" i="9"/>
  <c r="V164" i="9"/>
  <c r="V165" i="9" s="1"/>
  <c r="V10" i="9" s="1"/>
  <c r="AM305" i="15"/>
  <c r="AP305" i="15" s="1"/>
  <c r="AN305" i="15"/>
  <c r="Y65" i="23"/>
  <c r="Y37" i="23"/>
  <c r="AG183" i="11"/>
  <c r="AG187" i="11"/>
  <c r="AG191" i="11"/>
  <c r="AG186" i="11"/>
  <c r="AG188" i="11"/>
  <c r="AG190" i="11"/>
  <c r="AG184" i="11"/>
  <c r="AG182" i="11"/>
  <c r="AG181" i="11"/>
  <c r="AG185" i="11"/>
  <c r="AG189" i="11"/>
  <c r="W66" i="9"/>
  <c r="W50" i="9" s="1"/>
  <c r="W50" i="7"/>
  <c r="AD111" i="15"/>
  <c r="AD116" i="15" s="1"/>
  <c r="AD132" i="15"/>
  <c r="AD51" i="6" s="1"/>
  <c r="AP346" i="19"/>
  <c r="AP330" i="19" s="1"/>
  <c r="BX7" i="7"/>
  <c r="Y117" i="7"/>
  <c r="AN154" i="15"/>
  <c r="AN122" i="15" s="1"/>
  <c r="AN106" i="15" s="1"/>
  <c r="AF143" i="11"/>
  <c r="V111" i="13"/>
  <c r="V6" i="13" s="1"/>
  <c r="BN6" i="13" s="1"/>
  <c r="V36" i="3"/>
  <c r="T377" i="17"/>
  <c r="T361" i="17" s="1"/>
  <c r="T41" i="17" s="1"/>
  <c r="T347" i="15"/>
  <c r="T43" i="15" s="1"/>
  <c r="AO303" i="15"/>
  <c r="AP303" i="15" s="1"/>
  <c r="AV45" i="23"/>
  <c r="Q29" i="23"/>
  <c r="AV29" i="23" s="1"/>
  <c r="Z46" i="5"/>
  <c r="N368" i="4"/>
  <c r="N398" i="4"/>
  <c r="AH307" i="15"/>
  <c r="AI296" i="15"/>
  <c r="Q42" i="25"/>
  <c r="Q67" i="25"/>
  <c r="P354" i="3"/>
  <c r="P369" i="3"/>
  <c r="AD88" i="4"/>
  <c r="E355" i="3"/>
  <c r="E370" i="3"/>
  <c r="L271" i="4"/>
  <c r="L256" i="4"/>
  <c r="O368" i="4"/>
  <c r="O398" i="4"/>
  <c r="W51" i="7"/>
  <c r="W67" i="9"/>
  <c r="W51" i="9" s="1"/>
  <c r="Y239" i="13"/>
  <c r="Y14" i="13" s="1"/>
  <c r="Z171" i="25"/>
  <c r="Z155" i="25" s="1"/>
  <c r="Z123" i="25" s="1"/>
  <c r="Z27" i="25" s="1"/>
  <c r="Z121" i="23"/>
  <c r="AH324" i="19"/>
  <c r="AI340" i="19"/>
  <c r="AH348" i="19"/>
  <c r="AH332" i="19" s="1"/>
  <c r="AF135" i="11"/>
  <c r="AE122" i="4"/>
  <c r="AE155" i="4" s="1"/>
  <c r="U362" i="15"/>
  <c r="U346" i="15" s="1"/>
  <c r="U42" i="15" s="1"/>
  <c r="T378" i="17"/>
  <c r="T362" i="17" s="1"/>
  <c r="T42" i="17" s="1"/>
  <c r="T348" i="15"/>
  <c r="T44" i="15" s="1"/>
  <c r="AC77" i="4"/>
  <c r="W120" i="25"/>
  <c r="W163" i="25"/>
  <c r="W11" i="25" s="1"/>
  <c r="W10" i="25" s="1"/>
  <c r="Z96" i="5"/>
  <c r="BB38" i="11"/>
  <c r="AI304" i="15"/>
  <c r="X154" i="7"/>
  <c r="Y154" i="7" s="1"/>
  <c r="S394" i="3"/>
  <c r="S396" i="3"/>
  <c r="AF76" i="23"/>
  <c r="AF60" i="23" s="1"/>
  <c r="AF44" i="23" s="1"/>
  <c r="AF73" i="23"/>
  <c r="AF57" i="23" s="1"/>
  <c r="AF41" i="23" s="1"/>
  <c r="AF70" i="23"/>
  <c r="AF54" i="23" s="1"/>
  <c r="AF38" i="23" s="1"/>
  <c r="AF72" i="23"/>
  <c r="AF56" i="23" s="1"/>
  <c r="AF40" i="23" s="1"/>
  <c r="AF78" i="23"/>
  <c r="AF62" i="23" s="1"/>
  <c r="AF46" i="23" s="1"/>
  <c r="AF77" i="23"/>
  <c r="AF61" i="23" s="1"/>
  <c r="AF45" i="23" s="1"/>
  <c r="AF69" i="23"/>
  <c r="AF53" i="23" s="1"/>
  <c r="AF75" i="23"/>
  <c r="AF59" i="23" s="1"/>
  <c r="AF43" i="23" s="1"/>
  <c r="AF71" i="23"/>
  <c r="AF55" i="23" s="1"/>
  <c r="AF39" i="23" s="1"/>
  <c r="AF74" i="23"/>
  <c r="AF58" i="23" s="1"/>
  <c r="AF42" i="23" s="1"/>
  <c r="AF79" i="23"/>
  <c r="AF63" i="23" s="1"/>
  <c r="AF47" i="23" s="1"/>
  <c r="V120" i="25"/>
  <c r="V163" i="25"/>
  <c r="V11" i="25" s="1"/>
  <c r="V10" i="25" s="1"/>
  <c r="Y372" i="15"/>
  <c r="BS23" i="15"/>
  <c r="Y38" i="15"/>
  <c r="Y173" i="25"/>
  <c r="Y157" i="25" s="1"/>
  <c r="Y125" i="25" s="1"/>
  <c r="Y29" i="25" s="1"/>
  <c r="Y123" i="23"/>
  <c r="Y27" i="23" s="1"/>
  <c r="M354" i="3"/>
  <c r="M369" i="3"/>
  <c r="E270" i="4"/>
  <c r="E287" i="4" s="1"/>
  <c r="E255" i="4"/>
  <c r="Q475" i="3"/>
  <c r="Q459" i="3"/>
  <c r="AT87" i="4"/>
  <c r="N419" i="3"/>
  <c r="N435" i="3" s="1"/>
  <c r="N434" i="3"/>
  <c r="L368" i="4"/>
  <c r="L398" i="4"/>
  <c r="AK128" i="15"/>
  <c r="AK112" i="15" s="1"/>
  <c r="X133" i="7"/>
  <c r="BV8" i="7"/>
  <c r="AL302" i="15"/>
  <c r="W37" i="5"/>
  <c r="L335" i="4"/>
  <c r="L320" i="4"/>
  <c r="L336" i="4" s="1"/>
  <c r="W58" i="9"/>
  <c r="W42" i="9" s="1"/>
  <c r="W42" i="7"/>
  <c r="Z172" i="25"/>
  <c r="Z156" i="25" s="1"/>
  <c r="Z124" i="25" s="1"/>
  <c r="Z122" i="23"/>
  <c r="Z26" i="23" s="1"/>
  <c r="T380" i="17"/>
  <c r="T364" i="17" s="1"/>
  <c r="T44" i="17" s="1"/>
  <c r="T350" i="15"/>
  <c r="T46" i="15" s="1"/>
  <c r="S374" i="19"/>
  <c r="S375" i="19" s="1"/>
  <c r="V177" i="9"/>
  <c r="V145" i="9" s="1"/>
  <c r="V145" i="7"/>
  <c r="AD47" i="4"/>
  <c r="T30" i="9"/>
  <c r="AI155" i="15"/>
  <c r="AJ155" i="15" s="1"/>
  <c r="T149" i="7"/>
  <c r="S295" i="4"/>
  <c r="S131" i="25"/>
  <c r="S24" i="25"/>
  <c r="S109" i="19"/>
  <c r="W184" i="15"/>
  <c r="W211" i="15"/>
  <c r="W195" i="15" s="1"/>
  <c r="W372" i="15"/>
  <c r="W38" i="15"/>
  <c r="BO23" i="15"/>
  <c r="X159" i="7"/>
  <c r="S297" i="4"/>
  <c r="S125" i="21"/>
  <c r="S7" i="21" s="1"/>
  <c r="S6" i="21" s="1"/>
  <c r="S97" i="21"/>
  <c r="W129" i="11"/>
  <c r="W37" i="11"/>
  <c r="AK130" i="19"/>
  <c r="X163" i="7"/>
  <c r="Y163" i="7" s="1"/>
  <c r="AC72" i="4"/>
  <c r="V150" i="3"/>
  <c r="V86" i="3"/>
  <c r="W59" i="9"/>
  <c r="W43" i="9" s="1"/>
  <c r="W43" i="7"/>
  <c r="W63" i="9"/>
  <c r="W47" i="9" s="1"/>
  <c r="W47" i="7"/>
  <c r="H385" i="3"/>
  <c r="I385" i="3"/>
  <c r="T6" i="19"/>
  <c r="T125" i="19"/>
  <c r="T31" i="19"/>
  <c r="T127" i="19"/>
  <c r="Y30" i="23"/>
  <c r="AV41" i="23"/>
  <c r="Q25" i="23"/>
  <c r="AV25" i="23" s="1"/>
  <c r="Z32" i="25"/>
  <c r="O354" i="3"/>
  <c r="O369" i="3"/>
  <c r="O386" i="3" s="1"/>
  <c r="AG353" i="3"/>
  <c r="AI353" i="3" s="1"/>
  <c r="AF353" i="3"/>
  <c r="AE353" i="3"/>
  <c r="Y32" i="25"/>
  <c r="Z95" i="4"/>
  <c r="Z43" i="5"/>
  <c r="X23" i="15"/>
  <c r="BQ22" i="15"/>
  <c r="X28" i="6"/>
  <c r="X22" i="6" s="1"/>
  <c r="T23" i="25"/>
  <c r="T51" i="25"/>
  <c r="AB10" i="7"/>
  <c r="AC10" i="7" s="1"/>
  <c r="X65" i="15"/>
  <c r="Y81" i="15"/>
  <c r="AE352" i="3"/>
  <c r="AC71" i="4"/>
  <c r="Z177" i="25"/>
  <c r="Z161" i="25" s="1"/>
  <c r="Z129" i="25" s="1"/>
  <c r="Z127" i="23"/>
  <c r="AT88" i="4"/>
  <c r="T289" i="17"/>
  <c r="T306" i="17"/>
  <c r="U365" i="15"/>
  <c r="U349" i="15" s="1"/>
  <c r="U45" i="15" s="1"/>
  <c r="I255" i="4"/>
  <c r="I270" i="4"/>
  <c r="I287" i="4" s="1"/>
  <c r="AF119" i="4"/>
  <c r="AF152" i="4" s="1"/>
  <c r="AT84" i="4"/>
  <c r="AA44" i="5"/>
  <c r="P335" i="4"/>
  <c r="P320" i="4"/>
  <c r="Z31" i="23"/>
  <c r="X160" i="9"/>
  <c r="T36" i="7"/>
  <c r="T37" i="7" s="1"/>
  <c r="Z23" i="23"/>
  <c r="Y151" i="4"/>
  <c r="BX4" i="7"/>
  <c r="Y69" i="7"/>
  <c r="Z45" i="5"/>
  <c r="AH133" i="19"/>
  <c r="R303" i="4"/>
  <c r="R402" i="3"/>
  <c r="S292" i="4"/>
  <c r="Z25" i="25"/>
  <c r="Y70" i="4"/>
  <c r="Y24" i="23"/>
  <c r="V68" i="9"/>
  <c r="V52" i="9" s="1"/>
  <c r="V52" i="7"/>
  <c r="X68" i="4"/>
  <c r="AN345" i="19"/>
  <c r="J467" i="3"/>
  <c r="AD466" i="3"/>
  <c r="AH466" i="3" s="1"/>
  <c r="J498" i="3"/>
  <c r="Z29" i="23"/>
  <c r="W162" i="9"/>
  <c r="Z170" i="25"/>
  <c r="Z154" i="25" s="1"/>
  <c r="Z122" i="25" s="1"/>
  <c r="Z26" i="25" s="1"/>
  <c r="Z120" i="23"/>
  <c r="Z24" i="23" s="1"/>
  <c r="H368" i="4"/>
  <c r="H398" i="4"/>
  <c r="V203" i="3"/>
  <c r="V75" i="3"/>
  <c r="U366" i="15"/>
  <c r="U350" i="15" s="1"/>
  <c r="U46" i="15" s="1"/>
  <c r="Y203" i="11"/>
  <c r="Y123" i="11" s="1"/>
  <c r="Y43" i="11" s="1"/>
  <c r="AD119" i="4"/>
  <c r="AD152" i="4" s="1"/>
  <c r="AC414" i="13"/>
  <c r="AC223" i="4"/>
  <c r="AC224" i="4" s="1"/>
  <c r="AB177" i="23"/>
  <c r="AB10" i="23"/>
  <c r="Y68" i="4"/>
  <c r="Z33" i="25"/>
  <c r="AH7" i="11"/>
  <c r="AF140" i="19"/>
  <c r="AK129" i="19"/>
  <c r="Y170" i="25"/>
  <c r="Y154" i="25" s="1"/>
  <c r="Y122" i="25" s="1"/>
  <c r="Y120" i="23"/>
  <c r="AF142" i="11"/>
  <c r="W367" i="13"/>
  <c r="W22" i="13" s="1"/>
  <c r="W339" i="13"/>
  <c r="AI193" i="11"/>
  <c r="AI8" i="11"/>
  <c r="AE115" i="4"/>
  <c r="J369" i="3"/>
  <c r="J386" i="3" s="1"/>
  <c r="J354" i="3"/>
  <c r="AD353" i="3"/>
  <c r="AH353" i="3" s="1"/>
  <c r="K369" i="3"/>
  <c r="K386" i="3" s="1"/>
  <c r="V201" i="3"/>
  <c r="V73" i="3"/>
  <c r="W49" i="23"/>
  <c r="W21" i="23"/>
  <c r="W33" i="23" s="1"/>
  <c r="X60" i="5"/>
  <c r="X77" i="5" s="1"/>
  <c r="X151" i="4"/>
  <c r="N320" i="4"/>
  <c r="N335" i="4"/>
  <c r="P368" i="4"/>
  <c r="P398" i="4"/>
  <c r="X118" i="11"/>
  <c r="X38" i="11" s="1"/>
  <c r="S27" i="9"/>
  <c r="S37" i="9" s="1"/>
  <c r="S149" i="9"/>
  <c r="U178" i="9"/>
  <c r="U146" i="7"/>
  <c r="AA45" i="5"/>
  <c r="AT85" i="4"/>
  <c r="Y26" i="25"/>
  <c r="Q327" i="4"/>
  <c r="Q312" i="4"/>
  <c r="V95" i="9"/>
  <c r="W39" i="25"/>
  <c r="W67" i="25"/>
  <c r="AV44" i="23"/>
  <c r="Q28" i="23"/>
  <c r="AV28" i="23" s="1"/>
  <c r="H255" i="4"/>
  <c r="H270" i="4"/>
  <c r="Y61" i="5"/>
  <c r="Y78" i="5" s="1"/>
  <c r="X154" i="4"/>
  <c r="AI352" i="3"/>
  <c r="Z31" i="25"/>
  <c r="Z173" i="25"/>
  <c r="Z157" i="25" s="1"/>
  <c r="Z125" i="25" s="1"/>
  <c r="Z29" i="25" s="1"/>
  <c r="Z123" i="23"/>
  <c r="Z27" i="23" s="1"/>
  <c r="Y76" i="15"/>
  <c r="Y60" i="15" s="1"/>
  <c r="V200" i="3"/>
  <c r="V72" i="3"/>
  <c r="V157" i="3"/>
  <c r="V93" i="3"/>
  <c r="AC183" i="4"/>
  <c r="L369" i="3"/>
  <c r="L386" i="3" s="1"/>
  <c r="L354" i="3"/>
  <c r="X206" i="15"/>
  <c r="X190" i="15" s="1"/>
  <c r="I368" i="4"/>
  <c r="I398" i="4"/>
  <c r="AF13" i="7"/>
  <c r="AF213" i="7" s="1"/>
  <c r="AA95" i="4"/>
  <c r="AT83" i="4"/>
  <c r="AA43" i="5"/>
  <c r="S302" i="4"/>
  <c r="S401" i="3"/>
  <c r="AE177" i="23"/>
  <c r="AE10" i="23"/>
  <c r="AH187" i="11"/>
  <c r="AH191" i="11"/>
  <c r="AH186" i="11"/>
  <c r="AH185" i="11"/>
  <c r="AH188" i="11"/>
  <c r="AH190" i="11"/>
  <c r="AH184" i="11"/>
  <c r="AH182" i="11"/>
  <c r="AH181" i="11"/>
  <c r="AH183" i="11"/>
  <c r="AH189" i="11"/>
  <c r="J256" i="4"/>
  <c r="R37" i="7"/>
  <c r="S23" i="25"/>
  <c r="S35" i="25" s="1"/>
  <c r="S51" i="25"/>
  <c r="V41" i="9"/>
  <c r="Z175" i="25"/>
  <c r="Z159" i="25" s="1"/>
  <c r="Z127" i="25" s="1"/>
  <c r="Z125" i="23"/>
  <c r="AY157" i="12"/>
  <c r="BE159" i="14"/>
  <c r="Y13" i="6"/>
  <c r="AL130" i="19"/>
  <c r="S408" i="3"/>
  <c r="X127" i="4"/>
  <c r="X128" i="4" s="1"/>
  <c r="X59" i="5"/>
  <c r="X148" i="4"/>
  <c r="AO327" i="19"/>
  <c r="AP343" i="19"/>
  <c r="X287" i="15"/>
  <c r="Y319" i="15"/>
  <c r="Y287" i="15" s="1"/>
  <c r="Z176" i="23"/>
  <c r="Z160" i="23" s="1"/>
  <c r="AH140" i="19"/>
  <c r="AV46" i="23"/>
  <c r="Q30" i="23"/>
  <c r="AV30" i="23" s="1"/>
  <c r="O256" i="4"/>
  <c r="X70" i="4"/>
  <c r="AI125" i="15"/>
  <c r="AI109" i="15" s="1"/>
  <c r="AJ157" i="15"/>
  <c r="AF42" i="4"/>
  <c r="AG108" i="11"/>
  <c r="H286" i="4"/>
  <c r="Y172" i="25"/>
  <c r="Y156" i="25" s="1"/>
  <c r="Y124" i="25" s="1"/>
  <c r="Y28" i="25" s="1"/>
  <c r="Y122" i="23"/>
  <c r="X58" i="7"/>
  <c r="X63" i="7"/>
  <c r="X57" i="7"/>
  <c r="X62" i="7"/>
  <c r="X66" i="7"/>
  <c r="X59" i="7"/>
  <c r="X64" i="7"/>
  <c r="X60" i="7"/>
  <c r="X65" i="7"/>
  <c r="X67" i="7"/>
  <c r="X61" i="7"/>
  <c r="P271" i="4"/>
  <c r="P256" i="4"/>
  <c r="V204" i="3"/>
  <c r="V76" i="3"/>
  <c r="V207" i="3"/>
  <c r="V79" i="3"/>
  <c r="Z30" i="25"/>
  <c r="L385" i="3"/>
  <c r="X201" i="15"/>
  <c r="X185" i="15" s="1"/>
  <c r="T6" i="9"/>
  <c r="AH23" i="17"/>
  <c r="Q22" i="17"/>
  <c r="AE79" i="23"/>
  <c r="AE63" i="23" s="1"/>
  <c r="AE47" i="23" s="1"/>
  <c r="AE69" i="23"/>
  <c r="AE53" i="23" s="1"/>
  <c r="AE74" i="23"/>
  <c r="AE58" i="23" s="1"/>
  <c r="AE42" i="23" s="1"/>
  <c r="AE78" i="23"/>
  <c r="AE62" i="23" s="1"/>
  <c r="AE46" i="23" s="1"/>
  <c r="AE77" i="23"/>
  <c r="AE61" i="23" s="1"/>
  <c r="AE45" i="23" s="1"/>
  <c r="AE76" i="23"/>
  <c r="AE60" i="23" s="1"/>
  <c r="AE44" i="23" s="1"/>
  <c r="AE72" i="23"/>
  <c r="AE56" i="23" s="1"/>
  <c r="AE40" i="23" s="1"/>
  <c r="AE75" i="23"/>
  <c r="AE59" i="23" s="1"/>
  <c r="AE43" i="23" s="1"/>
  <c r="AE73" i="23"/>
  <c r="AE57" i="23" s="1"/>
  <c r="AE41" i="23" s="1"/>
  <c r="AE71" i="23"/>
  <c r="AE55" i="23" s="1"/>
  <c r="AE39" i="23" s="1"/>
  <c r="AE70" i="23"/>
  <c r="AE54" i="23" s="1"/>
  <c r="AE38" i="23" s="1"/>
  <c r="J270" i="4"/>
  <c r="J287" i="4" s="1"/>
  <c r="AJ129" i="19"/>
  <c r="AM122" i="15"/>
  <c r="AM106" i="15" s="1"/>
  <c r="AK322" i="19"/>
  <c r="G255" i="4"/>
  <c r="G270" i="4"/>
  <c r="G287" i="4" s="1"/>
  <c r="S303" i="4"/>
  <c r="S402" i="3"/>
  <c r="AI129" i="15"/>
  <c r="AI113" i="15" s="1"/>
  <c r="AC11" i="15"/>
  <c r="AD11" i="15" s="1"/>
  <c r="AC34" i="6"/>
  <c r="AA23" i="23"/>
  <c r="S181" i="9"/>
  <c r="S11" i="9" s="1"/>
  <c r="S9" i="9" s="1"/>
  <c r="S15" i="9" s="1"/>
  <c r="J419" i="3"/>
  <c r="J434" i="3"/>
  <c r="AD418" i="3"/>
  <c r="AH418" i="3" s="1"/>
  <c r="AD148" i="4"/>
  <c r="W141" i="7"/>
  <c r="W157" i="9"/>
  <c r="W141" i="9" s="1"/>
  <c r="P419" i="3"/>
  <c r="P435" i="3" s="1"/>
  <c r="P434" i="3"/>
  <c r="X67" i="4"/>
  <c r="O335" i="4"/>
  <c r="O320" i="4"/>
  <c r="O336" i="4" s="1"/>
  <c r="AL160" i="15"/>
  <c r="AL128" i="15" s="1"/>
  <c r="AL112" i="15" s="1"/>
  <c r="W158" i="9"/>
  <c r="W142" i="9" s="1"/>
  <c r="W142" i="7"/>
  <c r="Y160" i="7"/>
  <c r="Y155" i="7"/>
  <c r="Z155" i="7" s="1"/>
  <c r="AA155" i="7" s="1"/>
  <c r="Y158" i="7"/>
  <c r="Z158" i="7" s="1"/>
  <c r="Y157" i="7"/>
  <c r="Z157" i="7" s="1"/>
  <c r="Y162" i="7"/>
  <c r="Z162" i="7" s="1"/>
  <c r="Y153" i="7"/>
  <c r="Z153" i="7" s="1"/>
  <c r="Y161" i="7"/>
  <c r="Z161" i="7" s="1"/>
  <c r="AC75" i="23"/>
  <c r="AC59" i="23" s="1"/>
  <c r="AC43" i="23" s="1"/>
  <c r="AC72" i="23"/>
  <c r="AC56" i="23" s="1"/>
  <c r="AC40" i="23" s="1"/>
  <c r="AC79" i="23"/>
  <c r="AC63" i="23" s="1"/>
  <c r="AC47" i="23" s="1"/>
  <c r="AC69" i="23"/>
  <c r="AC53" i="23" s="1"/>
  <c r="AC76" i="23"/>
  <c r="AC60" i="23" s="1"/>
  <c r="AC44" i="23" s="1"/>
  <c r="AC78" i="23"/>
  <c r="AC62" i="23" s="1"/>
  <c r="AC46" i="23" s="1"/>
  <c r="AC73" i="23"/>
  <c r="AC57" i="23" s="1"/>
  <c r="AC41" i="23" s="1"/>
  <c r="AC77" i="23"/>
  <c r="AC61" i="23" s="1"/>
  <c r="AC45" i="23" s="1"/>
  <c r="AC74" i="23"/>
  <c r="AC58" i="23" s="1"/>
  <c r="AC42" i="23" s="1"/>
  <c r="AC71" i="23"/>
  <c r="AC55" i="23" s="1"/>
  <c r="AC39" i="23" s="1"/>
  <c r="AC70" i="23"/>
  <c r="AC54" i="23" s="1"/>
  <c r="AC38" i="23" s="1"/>
  <c r="AD84" i="4"/>
  <c r="AC68" i="4"/>
  <c r="K467" i="3"/>
  <c r="K498" i="3"/>
  <c r="Z312" i="15"/>
  <c r="Z317" i="15"/>
  <c r="Z322" i="15"/>
  <c r="Z315" i="15"/>
  <c r="AA37" i="23"/>
  <c r="AA65" i="23"/>
  <c r="AO345" i="19"/>
  <c r="AO329" i="19" s="1"/>
  <c r="C398" i="4"/>
  <c r="C368" i="4"/>
  <c r="D468" i="3"/>
  <c r="Q375" i="4"/>
  <c r="Q360" i="4"/>
  <c r="O270" i="4"/>
  <c r="O287" i="4" s="1"/>
  <c r="E498" i="3"/>
  <c r="E467" i="3"/>
  <c r="O419" i="3"/>
  <c r="O434" i="3"/>
  <c r="AF418" i="3"/>
  <c r="AG418" i="3"/>
  <c r="AI418" i="3" s="1"/>
  <c r="AE418" i="3"/>
  <c r="Q263" i="4"/>
  <c r="Q280" i="4" s="1"/>
  <c r="Y174" i="25"/>
  <c r="Y158" i="25" s="1"/>
  <c r="Y126" i="25" s="1"/>
  <c r="Y124" i="23"/>
  <c r="Y28" i="23" s="1"/>
  <c r="X152" i="25"/>
  <c r="X63" i="15"/>
  <c r="Y79" i="15"/>
  <c r="AJ38" i="4"/>
  <c r="AK104" i="11"/>
  <c r="X178" i="25"/>
  <c r="X162" i="25" s="1"/>
  <c r="X130" i="25" s="1"/>
  <c r="X34" i="25" s="1"/>
  <c r="X128" i="23"/>
  <c r="X129" i="23" s="1"/>
  <c r="H467" i="3"/>
  <c r="H498" i="3"/>
  <c r="V199" i="3"/>
  <c r="V71" i="3"/>
  <c r="AF466" i="3"/>
  <c r="O467" i="3"/>
  <c r="O498" i="3"/>
  <c r="AG466" i="3"/>
  <c r="AI466" i="3" s="1"/>
  <c r="AE466" i="3"/>
  <c r="W255" i="13"/>
  <c r="W15" i="13" s="1"/>
  <c r="BO15" i="13" s="1"/>
  <c r="X207" i="15"/>
  <c r="X191" i="15" s="1"/>
  <c r="X65" i="23"/>
  <c r="AB34" i="6"/>
  <c r="AE141" i="11"/>
  <c r="AK342" i="19"/>
  <c r="BF168" i="12"/>
  <c r="BT168" i="12"/>
  <c r="BJ168" i="12" s="1"/>
  <c r="AD89" i="4"/>
  <c r="M419" i="3"/>
  <c r="M434" i="3"/>
  <c r="V158" i="3"/>
  <c r="V94" i="3"/>
  <c r="U131" i="25"/>
  <c r="U24" i="25"/>
  <c r="AD120" i="4"/>
  <c r="AD153" i="4" s="1"/>
  <c r="T375" i="17"/>
  <c r="T359" i="17" s="1"/>
  <c r="T39" i="17" s="1"/>
  <c r="T345" i="15"/>
  <c r="T41" i="15" s="1"/>
  <c r="V23" i="25"/>
  <c r="V51" i="25"/>
  <c r="Q31" i="23"/>
  <c r="AV31" i="23" s="1"/>
  <c r="AV47" i="23"/>
  <c r="AJ322" i="19"/>
  <c r="AN137" i="19"/>
  <c r="F369" i="3"/>
  <c r="F386" i="3" s="1"/>
  <c r="F354" i="3"/>
  <c r="BU18" i="15"/>
  <c r="BV35" i="15"/>
  <c r="Z17" i="15"/>
  <c r="AB20" i="15"/>
  <c r="Y210" i="15"/>
  <c r="Y194" i="15" s="1"/>
  <c r="Y202" i="15"/>
  <c r="Y186" i="15" s="1"/>
  <c r="Y209" i="15"/>
  <c r="Y193" i="15" s="1"/>
  <c r="Z71" i="4"/>
  <c r="S400" i="3"/>
  <c r="X47" i="5"/>
  <c r="AC126" i="4"/>
  <c r="AC159" i="4" s="1"/>
  <c r="AE417" i="3"/>
  <c r="Y168" i="25"/>
  <c r="Y118" i="23"/>
  <c r="Y22" i="23" s="1"/>
  <c r="Y161" i="23"/>
  <c r="BE147" i="14"/>
  <c r="AC3" i="15"/>
  <c r="CA4" i="15"/>
  <c r="AC84" i="15"/>
  <c r="AB337" i="11"/>
  <c r="Z251" i="11"/>
  <c r="Y176" i="7"/>
  <c r="Y176" i="9" s="1"/>
  <c r="Y179" i="7"/>
  <c r="Y179" i="9" s="1"/>
  <c r="Y171" i="7"/>
  <c r="Y171" i="9" s="1"/>
  <c r="X205" i="15"/>
  <c r="X189" i="15" s="1"/>
  <c r="X49" i="23"/>
  <c r="X21" i="23"/>
  <c r="AB75" i="23"/>
  <c r="AB59" i="23" s="1"/>
  <c r="AB43" i="23" s="1"/>
  <c r="AB72" i="23"/>
  <c r="AB56" i="23" s="1"/>
  <c r="AB40" i="23" s="1"/>
  <c r="AB79" i="23"/>
  <c r="AB63" i="23" s="1"/>
  <c r="AB47" i="23" s="1"/>
  <c r="AB69" i="23"/>
  <c r="AB53" i="23" s="1"/>
  <c r="AB70" i="23"/>
  <c r="AB54" i="23" s="1"/>
  <c r="AB38" i="23" s="1"/>
  <c r="AB74" i="23"/>
  <c r="AB58" i="23" s="1"/>
  <c r="AB42" i="23" s="1"/>
  <c r="AB78" i="23"/>
  <c r="AB62" i="23" s="1"/>
  <c r="AB46" i="23" s="1"/>
  <c r="AB73" i="23"/>
  <c r="AB57" i="23" s="1"/>
  <c r="AB41" i="23" s="1"/>
  <c r="AB76" i="23"/>
  <c r="AB60" i="23" s="1"/>
  <c r="AB44" i="23" s="1"/>
  <c r="AB71" i="23"/>
  <c r="AB55" i="23" s="1"/>
  <c r="AB39" i="23" s="1"/>
  <c r="AB77" i="23"/>
  <c r="AB61" i="23" s="1"/>
  <c r="AB45" i="23" s="1"/>
  <c r="V84" i="3"/>
  <c r="V112" i="3"/>
  <c r="BC51" i="15"/>
  <c r="AA46" i="5"/>
  <c r="AT86" i="4"/>
  <c r="F368" i="4"/>
  <c r="F398" i="4"/>
  <c r="Z116" i="4"/>
  <c r="Z149" i="4" s="1"/>
  <c r="AE137" i="11"/>
  <c r="AV48" i="23"/>
  <c r="Q32" i="23"/>
  <c r="AV32" i="23" s="1"/>
  <c r="AF245" i="11"/>
  <c r="V148" i="3"/>
  <c r="V144" i="3"/>
  <c r="T25" i="9"/>
  <c r="T53" i="9"/>
  <c r="U40" i="15"/>
  <c r="T381" i="17"/>
  <c r="T365" i="17" s="1"/>
  <c r="T45" i="17" s="1"/>
  <c r="T351" i="15"/>
  <c r="T47" i="15" s="1"/>
  <c r="Z30" i="23"/>
  <c r="W38" i="5"/>
  <c r="G369" i="3"/>
  <c r="G354" i="3"/>
  <c r="H369" i="3"/>
  <c r="Z176" i="25"/>
  <c r="Z160" i="25" s="1"/>
  <c r="Z128" i="25" s="1"/>
  <c r="Z126" i="23"/>
  <c r="G286" i="4"/>
  <c r="N385" i="3"/>
  <c r="AD91" i="4"/>
  <c r="V39" i="5"/>
  <c r="X74" i="4"/>
  <c r="AJ161" i="15"/>
  <c r="Z25" i="23"/>
  <c r="Y120" i="4"/>
  <c r="Y60" i="5" s="1"/>
  <c r="Y77" i="5" s="1"/>
  <c r="R370" i="17"/>
  <c r="R38" i="17"/>
  <c r="R50" i="17" s="1"/>
  <c r="AC74" i="4"/>
  <c r="AV40" i="23"/>
  <c r="Q24" i="23"/>
  <c r="Q49" i="23"/>
  <c r="AV49" i="23" s="1"/>
  <c r="Y175" i="25"/>
  <c r="Y159" i="25" s="1"/>
  <c r="Y127" i="25" s="1"/>
  <c r="Y31" i="25" s="1"/>
  <c r="Y125" i="23"/>
  <c r="Y29" i="23" s="1"/>
  <c r="V35" i="9"/>
  <c r="AF141" i="11"/>
  <c r="U165" i="9"/>
  <c r="U10" i="9" s="1"/>
  <c r="V198" i="3"/>
  <c r="V70" i="3"/>
  <c r="L419" i="3"/>
  <c r="L434" i="3"/>
  <c r="AE465" i="3"/>
  <c r="AK344" i="19"/>
  <c r="X200" i="15"/>
  <c r="Y200" i="15" s="1"/>
  <c r="Y184" i="15" s="1"/>
  <c r="AY181" i="12"/>
  <c r="V127" i="13"/>
  <c r="K271" i="4"/>
  <c r="K256" i="4"/>
  <c r="K272" i="4" s="1"/>
  <c r="AD90" i="4"/>
  <c r="E336" i="4"/>
  <c r="AE133" i="11"/>
  <c r="T384" i="17"/>
  <c r="T368" i="17" s="1"/>
  <c r="T48" i="17" s="1"/>
  <c r="T354" i="15"/>
  <c r="T50" i="15" s="1"/>
  <c r="W137" i="7"/>
  <c r="W153" i="9"/>
  <c r="W164" i="7"/>
  <c r="T382" i="17"/>
  <c r="T366" i="17" s="1"/>
  <c r="T46" i="17" s="1"/>
  <c r="T352" i="15"/>
  <c r="T48" i="15" s="1"/>
  <c r="AC177" i="23"/>
  <c r="AC10" i="23"/>
  <c r="S294" i="4"/>
  <c r="S393" i="3"/>
  <c r="CG7" i="15"/>
  <c r="AF8" i="15"/>
  <c r="CG8" i="15" s="1"/>
  <c r="AF10" i="15"/>
  <c r="CG10" i="15" s="1"/>
  <c r="C498" i="3"/>
  <c r="C467" i="3"/>
  <c r="D499" i="3" s="1"/>
  <c r="W155" i="9"/>
  <c r="Q10" i="25"/>
  <c r="AR10" i="25" s="1"/>
  <c r="AR11" i="25"/>
  <c r="N467" i="3"/>
  <c r="N498" i="3"/>
  <c r="Z28" i="25"/>
  <c r="M335" i="4"/>
  <c r="M320" i="4"/>
  <c r="M336" i="4" s="1"/>
  <c r="N354" i="3"/>
  <c r="N369" i="3"/>
  <c r="S301" i="4"/>
  <c r="M368" i="4"/>
  <c r="M398" i="4"/>
  <c r="X117" i="11"/>
  <c r="AC148" i="4"/>
  <c r="V32" i="9"/>
  <c r="S298" i="4"/>
  <c r="S397" i="3"/>
  <c r="W61" i="9"/>
  <c r="W45" i="9" s="1"/>
  <c r="W45" i="7"/>
  <c r="Y171" i="25"/>
  <c r="Y155" i="25" s="1"/>
  <c r="Y123" i="25" s="1"/>
  <c r="Y121" i="23"/>
  <c r="AF137" i="11"/>
  <c r="K419" i="3"/>
  <c r="K435" i="3" s="1"/>
  <c r="K434" i="3"/>
  <c r="AM132" i="19"/>
  <c r="AN132" i="19" s="1"/>
  <c r="AL132" i="19"/>
  <c r="Y67" i="4"/>
  <c r="X208" i="15"/>
  <c r="X192" i="15" s="1"/>
  <c r="S40" i="15"/>
  <c r="AE134" i="11"/>
  <c r="U35" i="25"/>
  <c r="AL338" i="19"/>
  <c r="AM338" i="19" s="1"/>
  <c r="AD8" i="1" l="1"/>
  <c r="AD81" i="11"/>
  <c r="AD3" i="11"/>
  <c r="AD19" i="6" s="1"/>
  <c r="AD28" i="13"/>
  <c r="AD30" i="13" s="1"/>
  <c r="AD12" i="2"/>
  <c r="AC415" i="13"/>
  <c r="AC24" i="13" s="1"/>
  <c r="BU24" i="13" s="1"/>
  <c r="AC336" i="11"/>
  <c r="AC191" i="4" s="1"/>
  <c r="AC192" i="4" s="1"/>
  <c r="AF255" i="11"/>
  <c r="AF125" i="4" s="1"/>
  <c r="AF158" i="4" s="1"/>
  <c r="AA251" i="11"/>
  <c r="U101" i="9"/>
  <c r="BF246" i="11"/>
  <c r="Z197" i="11"/>
  <c r="Z117" i="11" s="1"/>
  <c r="AL105" i="11"/>
  <c r="Z120" i="4"/>
  <c r="Z153" i="4" s="1"/>
  <c r="V31" i="9"/>
  <c r="X209" i="11"/>
  <c r="X48" i="6" s="1"/>
  <c r="X68" i="6" s="1"/>
  <c r="Y157" i="4"/>
  <c r="AA250" i="11"/>
  <c r="AB250" i="11" s="1"/>
  <c r="V30" i="7"/>
  <c r="AL156" i="15"/>
  <c r="AL124" i="15" s="1"/>
  <c r="AL108" i="15" s="1"/>
  <c r="Z124" i="4"/>
  <c r="Z157" i="4" s="1"/>
  <c r="Y209" i="11"/>
  <c r="Y48" i="6" s="1"/>
  <c r="Y68" i="6" s="1"/>
  <c r="AA245" i="11"/>
  <c r="AB245" i="11" s="1"/>
  <c r="AE9" i="7"/>
  <c r="AF9" i="7" s="1"/>
  <c r="AD9" i="7"/>
  <c r="AD16" i="6" s="1"/>
  <c r="T149" i="9"/>
  <c r="T36" i="9"/>
  <c r="W178" i="7"/>
  <c r="W178" i="9" s="1"/>
  <c r="X108" i="7"/>
  <c r="X116" i="7" s="1"/>
  <c r="X116" i="9" s="1"/>
  <c r="U36" i="7"/>
  <c r="X106" i="7"/>
  <c r="Y106" i="7" s="1"/>
  <c r="BW18" i="15"/>
  <c r="AA17" i="15"/>
  <c r="S2" i="2"/>
  <c r="X175" i="7"/>
  <c r="X175" i="9" s="1"/>
  <c r="V27" i="7"/>
  <c r="T181" i="9"/>
  <c r="T11" i="9" s="1"/>
  <c r="T9" i="9" s="1"/>
  <c r="T15" i="9" s="1"/>
  <c r="AC20" i="15"/>
  <c r="AC18" i="15" s="1"/>
  <c r="V33" i="7"/>
  <c r="V33" i="9"/>
  <c r="Y205" i="15"/>
  <c r="Y189" i="15" s="1"/>
  <c r="AH120" i="15"/>
  <c r="AH104" i="15" s="1"/>
  <c r="AI152" i="15"/>
  <c r="W32" i="9"/>
  <c r="W32" i="7"/>
  <c r="U133" i="9"/>
  <c r="U8" i="9" s="1"/>
  <c r="U6" i="9" s="1"/>
  <c r="Z146" i="11"/>
  <c r="Z321" i="15"/>
  <c r="Z289" i="15" s="1"/>
  <c r="Z318" i="15"/>
  <c r="Z286" i="15" s="1"/>
  <c r="V365" i="15"/>
  <c r="V349" i="15" s="1"/>
  <c r="V45" i="15" s="1"/>
  <c r="AK121" i="15"/>
  <c r="AK105" i="15" s="1"/>
  <c r="AL162" i="15"/>
  <c r="AL130" i="15" s="1"/>
  <c r="AL114" i="15" s="1"/>
  <c r="W146" i="9"/>
  <c r="W34" i="9" s="1"/>
  <c r="V366" i="15"/>
  <c r="V350" i="15" s="1"/>
  <c r="V46" i="15" s="1"/>
  <c r="W29" i="9"/>
  <c r="AA153" i="7"/>
  <c r="AA153" i="9" s="1"/>
  <c r="Z316" i="15"/>
  <c r="AA316" i="15" s="1"/>
  <c r="AA284" i="15" s="1"/>
  <c r="W143" i="7"/>
  <c r="W92" i="7"/>
  <c r="W143" i="9"/>
  <c r="AA162" i="7"/>
  <c r="AA162" i="9" s="1"/>
  <c r="AI23" i="17"/>
  <c r="AA158" i="7"/>
  <c r="W26" i="7"/>
  <c r="X38" i="5"/>
  <c r="AQ11" i="11"/>
  <c r="X145" i="9"/>
  <c r="Y169" i="7"/>
  <c r="Y169" i="9" s="1"/>
  <c r="X145" i="7"/>
  <c r="Y173" i="7"/>
  <c r="Y173" i="9" s="1"/>
  <c r="Y174" i="7"/>
  <c r="Y174" i="9" s="1"/>
  <c r="V96" i="3"/>
  <c r="Z202" i="11"/>
  <c r="Z122" i="11" s="1"/>
  <c r="Z42" i="11" s="1"/>
  <c r="BC38" i="11"/>
  <c r="V160" i="3"/>
  <c r="AB236" i="11"/>
  <c r="AB234" i="13" s="1"/>
  <c r="AB238" i="11"/>
  <c r="AB230" i="11"/>
  <c r="AB228" i="13" s="1"/>
  <c r="AB237" i="11"/>
  <c r="AB231" i="11"/>
  <c r="AB229" i="13" s="1"/>
  <c r="AB233" i="11"/>
  <c r="AB231" i="13" s="1"/>
  <c r="AB240" i="11"/>
  <c r="AB238" i="13" s="1"/>
  <c r="AB232" i="11"/>
  <c r="AB230" i="13" s="1"/>
  <c r="AB229" i="11"/>
  <c r="AB227" i="13" s="1"/>
  <c r="AB234" i="11"/>
  <c r="AB232" i="13" s="1"/>
  <c r="AB239" i="11"/>
  <c r="AB237" i="13" s="1"/>
  <c r="AB235" i="11"/>
  <c r="AB233" i="13" s="1"/>
  <c r="Z199" i="11"/>
  <c r="Z119" i="11" s="1"/>
  <c r="Z39" i="11" s="1"/>
  <c r="Z229" i="13"/>
  <c r="Z239" i="13" s="1"/>
  <c r="Z14" i="13" s="1"/>
  <c r="BR14" i="13" s="1"/>
  <c r="Z206" i="11"/>
  <c r="Z126" i="11" s="1"/>
  <c r="Z46" i="11" s="1"/>
  <c r="Z236" i="13"/>
  <c r="Z75" i="4"/>
  <c r="AC14" i="11"/>
  <c r="Z231" i="13"/>
  <c r="Z201" i="11"/>
  <c r="Z121" i="11" s="1"/>
  <c r="Z41" i="11" s="1"/>
  <c r="Z205" i="11"/>
  <c r="Z125" i="11" s="1"/>
  <c r="Z45" i="11" s="1"/>
  <c r="AF251" i="11"/>
  <c r="AF121" i="4" s="1"/>
  <c r="AF154" i="4" s="1"/>
  <c r="Z207" i="11"/>
  <c r="Z127" i="11" s="1"/>
  <c r="Z47" i="11" s="1"/>
  <c r="AA237" i="11"/>
  <c r="AA234" i="11"/>
  <c r="AA232" i="13" s="1"/>
  <c r="AA233" i="11"/>
  <c r="AA231" i="13" s="1"/>
  <c r="AA240" i="11"/>
  <c r="AA238" i="13" s="1"/>
  <c r="AA232" i="11"/>
  <c r="AA230" i="13" s="1"/>
  <c r="AA239" i="11"/>
  <c r="AA237" i="13" s="1"/>
  <c r="AA231" i="11"/>
  <c r="AA235" i="11"/>
  <c r="AA233" i="13" s="1"/>
  <c r="AA238" i="11"/>
  <c r="AA230" i="11"/>
  <c r="AA228" i="13" s="1"/>
  <c r="AA229" i="11"/>
  <c r="AA227" i="13" s="1"/>
  <c r="AA236" i="11"/>
  <c r="AA234" i="13" s="1"/>
  <c r="AE256" i="11"/>
  <c r="AE126" i="4" s="1"/>
  <c r="AE159" i="4" s="1"/>
  <c r="Z117" i="4"/>
  <c r="AF247" i="11"/>
  <c r="AF117" i="4" s="1"/>
  <c r="AF150" i="4" s="1"/>
  <c r="AA247" i="11"/>
  <c r="Z77" i="4"/>
  <c r="W80" i="5"/>
  <c r="AA255" i="11"/>
  <c r="AA125" i="4" s="1"/>
  <c r="AA158" i="4" s="1"/>
  <c r="Z198" i="11"/>
  <c r="Z204" i="11"/>
  <c r="Z124" i="11" s="1"/>
  <c r="Z44" i="11" s="1"/>
  <c r="AA254" i="11"/>
  <c r="AA253" i="11"/>
  <c r="AL40" i="4"/>
  <c r="AA246" i="11"/>
  <c r="AM106" i="11"/>
  <c r="AM40" i="4" s="1"/>
  <c r="X144" i="7"/>
  <c r="Z47" i="5"/>
  <c r="Y74" i="4"/>
  <c r="X139" i="7"/>
  <c r="W29" i="7"/>
  <c r="Y204" i="15"/>
  <c r="Y188" i="15" s="1"/>
  <c r="V100" i="9"/>
  <c r="V69" i="9"/>
  <c r="V4" i="9" s="1"/>
  <c r="V3" i="9" s="1"/>
  <c r="X144" i="9"/>
  <c r="W35" i="9"/>
  <c r="V94" i="9"/>
  <c r="V117" i="9"/>
  <c r="V7" i="9" s="1"/>
  <c r="AA119" i="4"/>
  <c r="AG249" i="11"/>
  <c r="X160" i="4"/>
  <c r="Z122" i="4"/>
  <c r="Z155" i="4" s="1"/>
  <c r="AI126" i="15"/>
  <c r="AI110" i="15" s="1"/>
  <c r="AJ158" i="15"/>
  <c r="Y57" i="15"/>
  <c r="AM153" i="15"/>
  <c r="AM121" i="15" s="1"/>
  <c r="AM105" i="15" s="1"/>
  <c r="AL121" i="15"/>
  <c r="AL105" i="15" s="1"/>
  <c r="W35" i="7"/>
  <c r="W116" i="7"/>
  <c r="W116" i="9" s="1"/>
  <c r="W106" i="9"/>
  <c r="AA252" i="11"/>
  <c r="AE123" i="4"/>
  <c r="AE156" i="4" s="1"/>
  <c r="W146" i="7"/>
  <c r="W34" i="7" s="1"/>
  <c r="V133" i="9"/>
  <c r="V8" i="9" s="1"/>
  <c r="W95" i="7"/>
  <c r="W111" i="9"/>
  <c r="W95" i="9" s="1"/>
  <c r="X139" i="9"/>
  <c r="AC78" i="4"/>
  <c r="AC79" i="4" s="1"/>
  <c r="X142" i="7"/>
  <c r="Z319" i="15"/>
  <c r="Z287" i="15" s="1"/>
  <c r="Z75" i="15"/>
  <c r="AA75" i="15" s="1"/>
  <c r="X142" i="9"/>
  <c r="AB146" i="11"/>
  <c r="Y64" i="15"/>
  <c r="Z80" i="15"/>
  <c r="W110" i="9"/>
  <c r="W94" i="9" s="1"/>
  <c r="W30" i="9" s="1"/>
  <c r="W94" i="7"/>
  <c r="W30" i="7" s="1"/>
  <c r="Z314" i="15"/>
  <c r="Z282" i="15" s="1"/>
  <c r="Y126" i="4"/>
  <c r="Z62" i="5" s="1"/>
  <c r="Z79" i="5" s="1"/>
  <c r="Y62" i="15"/>
  <c r="Z78" i="15"/>
  <c r="AA78" i="15" s="1"/>
  <c r="AA62" i="15" s="1"/>
  <c r="AA157" i="7"/>
  <c r="AA157" i="9" s="1"/>
  <c r="Z171" i="7"/>
  <c r="Z171" i="9" s="1"/>
  <c r="Z179" i="7"/>
  <c r="Z179" i="9" s="1"/>
  <c r="X172" i="7"/>
  <c r="X172" i="9" s="1"/>
  <c r="V100" i="7"/>
  <c r="V101" i="7" s="1"/>
  <c r="Z118" i="4"/>
  <c r="AF248" i="11"/>
  <c r="Z200" i="11"/>
  <c r="Z120" i="11" s="1"/>
  <c r="Z40" i="11" s="1"/>
  <c r="AA248" i="11"/>
  <c r="AB248" i="11" s="1"/>
  <c r="Y203" i="15"/>
  <c r="Y187" i="15" s="1"/>
  <c r="Z320" i="15"/>
  <c r="Z288" i="15" s="1"/>
  <c r="W33" i="7"/>
  <c r="S386" i="17"/>
  <c r="S23" i="17" s="1"/>
  <c r="S22" i="17" s="1"/>
  <c r="S28" i="17" s="1"/>
  <c r="S4" i="2" s="1"/>
  <c r="W140" i="7"/>
  <c r="W28" i="7" s="1"/>
  <c r="AF252" i="11"/>
  <c r="Y208" i="15"/>
  <c r="Y192" i="15" s="1"/>
  <c r="AC160" i="4"/>
  <c r="Z256" i="11"/>
  <c r="Z126" i="4" s="1"/>
  <c r="W33" i="9"/>
  <c r="W140" i="9"/>
  <c r="AC127" i="4"/>
  <c r="AC128" i="4" s="1"/>
  <c r="AG255" i="11"/>
  <c r="S356" i="15"/>
  <c r="S52" i="15" s="1"/>
  <c r="Y172" i="7"/>
  <c r="Y172" i="9" s="1"/>
  <c r="Z176" i="7"/>
  <c r="Z176" i="9" s="1"/>
  <c r="AI7" i="15"/>
  <c r="AJ7" i="15" s="1"/>
  <c r="Y170" i="7"/>
  <c r="Y170" i="9" s="1"/>
  <c r="AB249" i="11"/>
  <c r="AK249" i="11" s="1"/>
  <c r="Z73" i="15"/>
  <c r="Z56" i="15"/>
  <c r="V180" i="9"/>
  <c r="V148" i="9" s="1"/>
  <c r="V148" i="7"/>
  <c r="AP136" i="19"/>
  <c r="AB115" i="4"/>
  <c r="AL245" i="11"/>
  <c r="AM322" i="19"/>
  <c r="Y154" i="9"/>
  <c r="Z161" i="9"/>
  <c r="AJ123" i="15"/>
  <c r="AJ107" i="15" s="1"/>
  <c r="W125" i="13"/>
  <c r="W110" i="3"/>
  <c r="AH139" i="11"/>
  <c r="R403" i="3"/>
  <c r="W116" i="13"/>
  <c r="W101" i="3"/>
  <c r="AI370" i="19"/>
  <c r="AI376" i="19" s="1"/>
  <c r="AJ29" i="19"/>
  <c r="CA3" i="15"/>
  <c r="AC23" i="6"/>
  <c r="Z283" i="15"/>
  <c r="AA315" i="15"/>
  <c r="AA283" i="15" s="1"/>
  <c r="AD75" i="4"/>
  <c r="S424" i="3"/>
  <c r="S409" i="3"/>
  <c r="Y152" i="25"/>
  <c r="Y179" i="25"/>
  <c r="BD118" i="11"/>
  <c r="AC37" i="23"/>
  <c r="AQ346" i="19"/>
  <c r="AQ330" i="19" s="1"/>
  <c r="AB65" i="23"/>
  <c r="AB37" i="23"/>
  <c r="AF31" i="23"/>
  <c r="Y63" i="7"/>
  <c r="Y67" i="7"/>
  <c r="Y62" i="7"/>
  <c r="Y66" i="7"/>
  <c r="Y61" i="7"/>
  <c r="Y65" i="7"/>
  <c r="Y57" i="7"/>
  <c r="Y59" i="7"/>
  <c r="Y60" i="7"/>
  <c r="Y64" i="7"/>
  <c r="Y58" i="7"/>
  <c r="L272" i="4"/>
  <c r="T358" i="17"/>
  <c r="X108" i="9"/>
  <c r="Z82" i="15"/>
  <c r="AA82" i="15" s="1"/>
  <c r="AA66" i="15" s="1"/>
  <c r="X164" i="7"/>
  <c r="AD4" i="23"/>
  <c r="AD5" i="23" s="1"/>
  <c r="AD81" i="23" s="1"/>
  <c r="AD35" i="6"/>
  <c r="AD34" i="6" s="1"/>
  <c r="M272" i="4"/>
  <c r="AO44" i="4"/>
  <c r="Y163" i="9"/>
  <c r="Y147" i="9" s="1"/>
  <c r="Y147" i="7"/>
  <c r="T121" i="19"/>
  <c r="T118" i="19"/>
  <c r="T117" i="19"/>
  <c r="T115" i="19"/>
  <c r="T122" i="19"/>
  <c r="T114" i="19"/>
  <c r="T113" i="19"/>
  <c r="T123" i="19"/>
  <c r="T120" i="19"/>
  <c r="T116" i="19"/>
  <c r="T119" i="19"/>
  <c r="AG139" i="11"/>
  <c r="AA158" i="9"/>
  <c r="AI307" i="15"/>
  <c r="AJ109" i="11"/>
  <c r="AA121" i="4"/>
  <c r="M499" i="3"/>
  <c r="M468" i="3"/>
  <c r="AF144" i="11"/>
  <c r="AF145" i="11" s="1"/>
  <c r="AF194" i="11"/>
  <c r="Y207" i="15"/>
  <c r="Y191" i="15" s="1"/>
  <c r="Q391" i="4"/>
  <c r="AF83" i="4"/>
  <c r="Y129" i="11"/>
  <c r="Y37" i="11"/>
  <c r="Y49" i="11" s="1"/>
  <c r="X35" i="5"/>
  <c r="X79" i="4"/>
  <c r="X65" i="9"/>
  <c r="X49" i="9" s="1"/>
  <c r="X49" i="7"/>
  <c r="AG354" i="3"/>
  <c r="AI354" i="3" s="1"/>
  <c r="AF354" i="3"/>
  <c r="O355" i="3"/>
  <c r="O370" i="3"/>
  <c r="O387" i="3" s="1"/>
  <c r="AE89" i="4"/>
  <c r="X60" i="9"/>
  <c r="X44" i="9" s="1"/>
  <c r="X44" i="7"/>
  <c r="Z61" i="5"/>
  <c r="Z78" i="5" s="1"/>
  <c r="Y154" i="4"/>
  <c r="Y73" i="4"/>
  <c r="T40" i="15"/>
  <c r="U60" i="13"/>
  <c r="U44" i="13" s="1"/>
  <c r="AQ136" i="19"/>
  <c r="AA7" i="7"/>
  <c r="AA117" i="7" s="1"/>
  <c r="AA15" i="6"/>
  <c r="AA3" i="7"/>
  <c r="Y35" i="5"/>
  <c r="AD74" i="4"/>
  <c r="Y201" i="15"/>
  <c r="Y185" i="15" s="1"/>
  <c r="AK326" i="19"/>
  <c r="AL342" i="19"/>
  <c r="AC27" i="23"/>
  <c r="Z208" i="11"/>
  <c r="Z128" i="11" s="1"/>
  <c r="Z48" i="11" s="1"/>
  <c r="Z280" i="15"/>
  <c r="AA312" i="15"/>
  <c r="X59" i="9"/>
  <c r="X43" i="9" s="1"/>
  <c r="X43" i="7"/>
  <c r="O272" i="4"/>
  <c r="AJ245" i="11"/>
  <c r="J272" i="4"/>
  <c r="AA47" i="5"/>
  <c r="N336" i="4"/>
  <c r="Z37" i="11"/>
  <c r="AN329" i="19"/>
  <c r="AP345" i="19"/>
  <c r="AP329" i="19" s="1"/>
  <c r="AQ345" i="19"/>
  <c r="AQ329" i="19" s="1"/>
  <c r="T290" i="17"/>
  <c r="W27" i="7"/>
  <c r="AF120" i="4"/>
  <c r="AF153" i="4" s="1"/>
  <c r="AF23" i="23"/>
  <c r="AH333" i="19"/>
  <c r="L288" i="4"/>
  <c r="Y49" i="23"/>
  <c r="Y21" i="23"/>
  <c r="W53" i="7"/>
  <c r="W25" i="7"/>
  <c r="X112" i="9"/>
  <c r="AE111" i="15"/>
  <c r="AE116" i="15" s="1"/>
  <c r="AE132" i="15"/>
  <c r="X292" i="15"/>
  <c r="BP14" i="13"/>
  <c r="X137" i="7"/>
  <c r="W118" i="13"/>
  <c r="W103" i="3"/>
  <c r="M288" i="4"/>
  <c r="AP110" i="11"/>
  <c r="AB251" i="11"/>
  <c r="AJ251" i="11" s="1"/>
  <c r="W121" i="13"/>
  <c r="W106" i="3"/>
  <c r="AF115" i="4"/>
  <c r="AF256" i="11"/>
  <c r="Y76" i="5"/>
  <c r="Y80" i="5" s="1"/>
  <c r="Y63" i="5"/>
  <c r="X68" i="15"/>
  <c r="AE144" i="11"/>
  <c r="AE145" i="11" s="1"/>
  <c r="AE194" i="11"/>
  <c r="AE86" i="4"/>
  <c r="AK193" i="11"/>
  <c r="AK8" i="11"/>
  <c r="X61" i="9"/>
  <c r="X45" i="9" s="1"/>
  <c r="X45" i="7"/>
  <c r="Y206" i="15"/>
  <c r="Y190" i="15" s="1"/>
  <c r="X141" i="9"/>
  <c r="CA11" i="15"/>
  <c r="AC12" i="15"/>
  <c r="AC25" i="6"/>
  <c r="AE11" i="15"/>
  <c r="I271" i="4"/>
  <c r="I256" i="4"/>
  <c r="AF127" i="15"/>
  <c r="AF90" i="4" s="1"/>
  <c r="AF163" i="15"/>
  <c r="AF131" i="15" s="1"/>
  <c r="AF115" i="15" s="1"/>
  <c r="AG159" i="15"/>
  <c r="AE85" i="4"/>
  <c r="Z157" i="9"/>
  <c r="AD467" i="3"/>
  <c r="AH467" i="3" s="1"/>
  <c r="J499" i="3"/>
  <c r="J468" i="3"/>
  <c r="AD65" i="6"/>
  <c r="X178" i="7"/>
  <c r="X180" i="7" s="1"/>
  <c r="X180" i="9" s="1"/>
  <c r="U57" i="13"/>
  <c r="U41" i="13" s="1"/>
  <c r="Y281" i="15"/>
  <c r="Y323" i="15"/>
  <c r="Y291" i="15" s="1"/>
  <c r="J336" i="4"/>
  <c r="O468" i="3"/>
  <c r="O499" i="3"/>
  <c r="AG467" i="3"/>
  <c r="AF467" i="3"/>
  <c r="AK38" i="4"/>
  <c r="AL104" i="11"/>
  <c r="X68" i="7"/>
  <c r="Z178" i="25"/>
  <c r="Z162" i="25" s="1"/>
  <c r="Z130" i="25" s="1"/>
  <c r="Z34" i="25" s="1"/>
  <c r="Z128" i="23"/>
  <c r="Z32" i="23" s="1"/>
  <c r="AO132" i="19"/>
  <c r="AP132" i="19" s="1"/>
  <c r="AF87" i="4"/>
  <c r="M369" i="4"/>
  <c r="M399" i="4"/>
  <c r="Y153" i="4"/>
  <c r="Y72" i="4"/>
  <c r="Y36" i="5" s="1"/>
  <c r="AA171" i="7"/>
  <c r="AA171" i="9" s="1"/>
  <c r="Z153" i="9"/>
  <c r="F399" i="4"/>
  <c r="F369" i="4"/>
  <c r="AB27" i="23"/>
  <c r="Z121" i="4"/>
  <c r="Z203" i="11"/>
  <c r="Z123" i="11" s="1"/>
  <c r="Z43" i="11" s="1"/>
  <c r="AG251" i="11"/>
  <c r="AE91" i="4"/>
  <c r="O435" i="3"/>
  <c r="AG419" i="3"/>
  <c r="AF419" i="3"/>
  <c r="AE26" i="23"/>
  <c r="X50" i="7"/>
  <c r="X66" i="9"/>
  <c r="X50" i="9" s="1"/>
  <c r="Z59" i="5"/>
  <c r="Z148" i="4"/>
  <c r="J271" i="4"/>
  <c r="Y65" i="15"/>
  <c r="Z81" i="15"/>
  <c r="AA81" i="15" s="1"/>
  <c r="AA65" i="15" s="1"/>
  <c r="W360" i="15"/>
  <c r="W344" i="15" s="1"/>
  <c r="W40" i="15" s="1"/>
  <c r="W367" i="15"/>
  <c r="W351" i="15" s="1"/>
  <c r="W47" i="15" s="1"/>
  <c r="W366" i="15"/>
  <c r="W350" i="15" s="1"/>
  <c r="W46" i="15" s="1"/>
  <c r="W361" i="15"/>
  <c r="W345" i="15" s="1"/>
  <c r="W41" i="15" s="1"/>
  <c r="W368" i="15"/>
  <c r="W352" i="15" s="1"/>
  <c r="W48" i="15" s="1"/>
  <c r="W370" i="15"/>
  <c r="W354" i="15" s="1"/>
  <c r="W50" i="15" s="1"/>
  <c r="W364" i="15"/>
  <c r="W348" i="15" s="1"/>
  <c r="W44" i="15" s="1"/>
  <c r="W363" i="15"/>
  <c r="W347" i="15" s="1"/>
  <c r="W43" i="15" s="1"/>
  <c r="AF27" i="23"/>
  <c r="Z76" i="15"/>
  <c r="Z60" i="15" s="1"/>
  <c r="W69" i="9"/>
  <c r="W4" i="9" s="1"/>
  <c r="W3" i="9" s="1"/>
  <c r="W41" i="9"/>
  <c r="X110" i="9"/>
  <c r="Z49" i="23"/>
  <c r="Z21" i="23"/>
  <c r="X137" i="9"/>
  <c r="S370" i="17"/>
  <c r="S38" i="17"/>
  <c r="S50" i="17" s="1"/>
  <c r="AD177" i="23"/>
  <c r="AD10" i="23"/>
  <c r="AF86" i="4"/>
  <c r="W171" i="9"/>
  <c r="W180" i="7"/>
  <c r="W180" i="9" s="1"/>
  <c r="AM156" i="15"/>
  <c r="AD71" i="4"/>
  <c r="G468" i="3"/>
  <c r="G499" i="3"/>
  <c r="AG42" i="4"/>
  <c r="AH108" i="11"/>
  <c r="AE90" i="4"/>
  <c r="AA161" i="23"/>
  <c r="AA118" i="23"/>
  <c r="AA32" i="23"/>
  <c r="N499" i="3"/>
  <c r="N468" i="3"/>
  <c r="N500" i="3" s="1"/>
  <c r="L435" i="3"/>
  <c r="AF85" i="4"/>
  <c r="Z72" i="4"/>
  <c r="W123" i="13"/>
  <c r="W108" i="3"/>
  <c r="Z290" i="15"/>
  <c r="AA322" i="15"/>
  <c r="AA290" i="15" s="1"/>
  <c r="N369" i="4"/>
  <c r="N400" i="4" s="1"/>
  <c r="N399" i="4"/>
  <c r="X109" i="9"/>
  <c r="X32" i="23"/>
  <c r="K288" i="4"/>
  <c r="Z4" i="7"/>
  <c r="Z69" i="7" s="1"/>
  <c r="Z14" i="6"/>
  <c r="Z13" i="6" s="1"/>
  <c r="AJ129" i="15"/>
  <c r="AJ113" i="15" s="1"/>
  <c r="U53" i="13"/>
  <c r="U37" i="13" s="1"/>
  <c r="AV24" i="23"/>
  <c r="Q33" i="23"/>
  <c r="AV33" i="23" s="1"/>
  <c r="L355" i="3"/>
  <c r="L371" i="3" s="1"/>
  <c r="L370" i="3"/>
  <c r="H399" i="4"/>
  <c r="H369" i="4"/>
  <c r="H400" i="4" s="1"/>
  <c r="Q26" i="25"/>
  <c r="Q35" i="25" s="1"/>
  <c r="Q51" i="25"/>
  <c r="Z129" i="23"/>
  <c r="F355" i="3"/>
  <c r="F371" i="3" s="1"/>
  <c r="F370" i="3"/>
  <c r="F387" i="3" s="1"/>
  <c r="AG192" i="11"/>
  <c r="AI43" i="4"/>
  <c r="U52" i="13"/>
  <c r="U36" i="13" s="1"/>
  <c r="AF46" i="4"/>
  <c r="AF47" i="4" s="1"/>
  <c r="AM129" i="19"/>
  <c r="X105" i="9"/>
  <c r="Q427" i="3"/>
  <c r="Q412" i="3"/>
  <c r="U56" i="13"/>
  <c r="U40" i="13" s="1"/>
  <c r="P499" i="3"/>
  <c r="P468" i="3"/>
  <c r="P500" i="3" s="1"/>
  <c r="Z202" i="15"/>
  <c r="Z186" i="15" s="1"/>
  <c r="Z209" i="15"/>
  <c r="Z193" i="15" s="1"/>
  <c r="Z200" i="15"/>
  <c r="Z184" i="15" s="1"/>
  <c r="Z205" i="15"/>
  <c r="Z189" i="15" s="1"/>
  <c r="Z210" i="15"/>
  <c r="Z194" i="15" s="1"/>
  <c r="AF91" i="4"/>
  <c r="AA179" i="7"/>
  <c r="AA179" i="9" s="1"/>
  <c r="Z158" i="9"/>
  <c r="Y63" i="15"/>
  <c r="Z79" i="15"/>
  <c r="Z313" i="15"/>
  <c r="Y153" i="9"/>
  <c r="AE37" i="23"/>
  <c r="X57" i="9"/>
  <c r="X41" i="7"/>
  <c r="AP327" i="19"/>
  <c r="AQ343" i="19"/>
  <c r="AQ327" i="19" s="1"/>
  <c r="AH135" i="11"/>
  <c r="W21" i="13"/>
  <c r="BO22" i="13"/>
  <c r="AI133" i="19"/>
  <c r="Q491" i="3"/>
  <c r="M355" i="3"/>
  <c r="M371" i="3" s="1"/>
  <c r="M370" i="3"/>
  <c r="M387" i="3" s="1"/>
  <c r="E371" i="3"/>
  <c r="V196" i="3"/>
  <c r="V208" i="3" s="1"/>
  <c r="V48" i="3"/>
  <c r="V68" i="3"/>
  <c r="V80" i="3" s="1"/>
  <c r="AG137" i="11"/>
  <c r="I468" i="3"/>
  <c r="I499" i="3"/>
  <c r="Z74" i="4"/>
  <c r="BY12" i="15"/>
  <c r="AB212" i="15"/>
  <c r="X114" i="9"/>
  <c r="AN321" i="19"/>
  <c r="AO337" i="19"/>
  <c r="V178" i="9"/>
  <c r="V146" i="7"/>
  <c r="V34" i="7" s="1"/>
  <c r="R425" i="3"/>
  <c r="R410" i="3"/>
  <c r="AH12" i="7"/>
  <c r="W126" i="13"/>
  <c r="W111" i="3"/>
  <c r="D271" i="4"/>
  <c r="D288" i="4" s="1"/>
  <c r="D256" i="4"/>
  <c r="D272" i="4" s="1"/>
  <c r="R311" i="4"/>
  <c r="R326" i="4"/>
  <c r="T371" i="19"/>
  <c r="T30" i="19"/>
  <c r="T31" i="6"/>
  <c r="W120" i="13"/>
  <c r="W105" i="3"/>
  <c r="AC172" i="23"/>
  <c r="AC156" i="23" s="1"/>
  <c r="AC124" i="23" s="1"/>
  <c r="AC28" i="23" s="1"/>
  <c r="AC174" i="23"/>
  <c r="AC158" i="23" s="1"/>
  <c r="AC126" i="23" s="1"/>
  <c r="AC173" i="23"/>
  <c r="AC157" i="23" s="1"/>
  <c r="AC125" i="23" s="1"/>
  <c r="AC171" i="23"/>
  <c r="AC155" i="23" s="1"/>
  <c r="AC123" i="23" s="1"/>
  <c r="AC175" i="23"/>
  <c r="AC159" i="23" s="1"/>
  <c r="AC127" i="23" s="1"/>
  <c r="AC31" i="23" s="1"/>
  <c r="AC167" i="23"/>
  <c r="AC151" i="23" s="1"/>
  <c r="AC119" i="23" s="1"/>
  <c r="AC166" i="23"/>
  <c r="AC150" i="23" s="1"/>
  <c r="AC170" i="23"/>
  <c r="AC154" i="23" s="1"/>
  <c r="AC122" i="23" s="1"/>
  <c r="AC26" i="23" s="1"/>
  <c r="AC168" i="23"/>
  <c r="AC152" i="23" s="1"/>
  <c r="AC120" i="23" s="1"/>
  <c r="AC24" i="23" s="1"/>
  <c r="AC169" i="23"/>
  <c r="AC153" i="23" s="1"/>
  <c r="AC121" i="23" s="1"/>
  <c r="AC25" i="23" s="1"/>
  <c r="AE172" i="23"/>
  <c r="AE156" i="23" s="1"/>
  <c r="AE124" i="23" s="1"/>
  <c r="AE28" i="23" s="1"/>
  <c r="AE169" i="23"/>
  <c r="AE153" i="23" s="1"/>
  <c r="AE121" i="23" s="1"/>
  <c r="AE168" i="23"/>
  <c r="AE152" i="23" s="1"/>
  <c r="AE120" i="23" s="1"/>
  <c r="AE24" i="23" s="1"/>
  <c r="AE173" i="23"/>
  <c r="AE157" i="23" s="1"/>
  <c r="AE125" i="23" s="1"/>
  <c r="AE29" i="23" s="1"/>
  <c r="AE171" i="23"/>
  <c r="AE155" i="23" s="1"/>
  <c r="AE123" i="23" s="1"/>
  <c r="AE170" i="23"/>
  <c r="AE154" i="23" s="1"/>
  <c r="AE122" i="23" s="1"/>
  <c r="AE175" i="23"/>
  <c r="AE159" i="23" s="1"/>
  <c r="AE127" i="23" s="1"/>
  <c r="AE167" i="23"/>
  <c r="AE151" i="23" s="1"/>
  <c r="AE119" i="23" s="1"/>
  <c r="AE166" i="23"/>
  <c r="AE150" i="23" s="1"/>
  <c r="AE174" i="23"/>
  <c r="AE158" i="23" s="1"/>
  <c r="AE126" i="23" s="1"/>
  <c r="AE30" i="23" s="1"/>
  <c r="AI123" i="15"/>
  <c r="AD69" i="4"/>
  <c r="V25" i="9"/>
  <c r="V53" i="9"/>
  <c r="T37" i="9"/>
  <c r="AA120" i="4"/>
  <c r="AA202" i="11"/>
  <c r="AA122" i="11" s="1"/>
  <c r="AA42" i="11" s="1"/>
  <c r="BF169" i="12"/>
  <c r="BT169" i="12"/>
  <c r="BJ169" i="12" s="1"/>
  <c r="AE27" i="23"/>
  <c r="AI7" i="11"/>
  <c r="AA176" i="23"/>
  <c r="AA160" i="23" s="1"/>
  <c r="AA128" i="23" s="1"/>
  <c r="Z285" i="15"/>
  <c r="AA317" i="15"/>
  <c r="AA285" i="15" s="1"/>
  <c r="U61" i="13"/>
  <c r="U45" i="13" s="1"/>
  <c r="N271" i="4"/>
  <c r="N288" i="4" s="1"/>
  <c r="N256" i="4"/>
  <c r="N272" i="4" s="1"/>
  <c r="M386" i="3"/>
  <c r="E387" i="3"/>
  <c r="AG141" i="11"/>
  <c r="U36" i="9"/>
  <c r="Z154" i="7"/>
  <c r="Y162" i="9"/>
  <c r="AE31" i="23"/>
  <c r="X63" i="9"/>
  <c r="X47" i="9" s="1"/>
  <c r="X47" i="7"/>
  <c r="AH133" i="11"/>
  <c r="Q328" i="4"/>
  <c r="Q313" i="4"/>
  <c r="AF92" i="4"/>
  <c r="P336" i="4"/>
  <c r="AB165" i="7"/>
  <c r="AB11" i="7"/>
  <c r="AB181" i="7" s="1"/>
  <c r="AD10" i="7"/>
  <c r="X163" i="9"/>
  <c r="X147" i="9" s="1"/>
  <c r="X147" i="7"/>
  <c r="L399" i="4"/>
  <c r="L369" i="4"/>
  <c r="W107" i="13"/>
  <c r="W44" i="3" s="1"/>
  <c r="W105" i="13"/>
  <c r="W42" i="3" s="1"/>
  <c r="W101" i="13"/>
  <c r="W38" i="3" s="1"/>
  <c r="W104" i="13"/>
  <c r="W41" i="3" s="1"/>
  <c r="W100" i="13"/>
  <c r="W37" i="3" s="1"/>
  <c r="W109" i="13"/>
  <c r="W46" i="3" s="1"/>
  <c r="W103" i="13"/>
  <c r="W40" i="3" s="1"/>
  <c r="W110" i="13"/>
  <c r="W47" i="3" s="1"/>
  <c r="W99" i="13"/>
  <c r="W108" i="13"/>
  <c r="W45" i="3" s="1"/>
  <c r="W106" i="13"/>
  <c r="W43" i="3" s="1"/>
  <c r="W102" i="13"/>
  <c r="W39" i="3" s="1"/>
  <c r="AG133" i="11"/>
  <c r="AB13" i="15"/>
  <c r="BY13" i="15" s="1"/>
  <c r="AH45" i="4"/>
  <c r="AI111" i="11"/>
  <c r="X107" i="9"/>
  <c r="AK155" i="15"/>
  <c r="V53" i="7"/>
  <c r="W28" i="9"/>
  <c r="L499" i="3"/>
  <c r="L468" i="3"/>
  <c r="AM302" i="15"/>
  <c r="AF84" i="4"/>
  <c r="E271" i="4"/>
  <c r="E288" i="4" s="1"/>
  <c r="E256" i="4"/>
  <c r="E272" i="4" s="1"/>
  <c r="AG143" i="11"/>
  <c r="Y160" i="9"/>
  <c r="Y144" i="9" s="1"/>
  <c r="Y144" i="7"/>
  <c r="Y56" i="15"/>
  <c r="Y83" i="15"/>
  <c r="Y67" i="15" s="1"/>
  <c r="AA49" i="23"/>
  <c r="AA21" i="23"/>
  <c r="BQ14" i="13"/>
  <c r="Z74" i="15"/>
  <c r="Z58" i="15" s="1"/>
  <c r="AA115" i="4"/>
  <c r="AK245" i="11"/>
  <c r="AH245" i="11"/>
  <c r="AA197" i="11"/>
  <c r="AI245" i="11"/>
  <c r="AG245" i="11"/>
  <c r="AJ304" i="15"/>
  <c r="AK304" i="15"/>
  <c r="Z67" i="25"/>
  <c r="Z39" i="25"/>
  <c r="AC30" i="23"/>
  <c r="T385" i="17"/>
  <c r="T369" i="17" s="1"/>
  <c r="T49" i="17" s="1"/>
  <c r="T355" i="15"/>
  <c r="T51" i="15" s="1"/>
  <c r="W191" i="13"/>
  <c r="W11" i="13" s="1"/>
  <c r="W131" i="13"/>
  <c r="AE23" i="23"/>
  <c r="W117" i="13"/>
  <c r="W102" i="3"/>
  <c r="X113" i="9"/>
  <c r="X36" i="5"/>
  <c r="X127" i="7"/>
  <c r="X127" i="9" s="1"/>
  <c r="X123" i="7"/>
  <c r="X123" i="9" s="1"/>
  <c r="X130" i="7"/>
  <c r="X130" i="9" s="1"/>
  <c r="X122" i="7"/>
  <c r="X122" i="9" s="1"/>
  <c r="X126" i="7"/>
  <c r="X126" i="9" s="1"/>
  <c r="X121" i="7"/>
  <c r="X121" i="9" s="1"/>
  <c r="X125" i="7"/>
  <c r="X125" i="9" s="1"/>
  <c r="X129" i="7"/>
  <c r="X129" i="9" s="1"/>
  <c r="X131" i="7"/>
  <c r="X131" i="9" s="1"/>
  <c r="X124" i="7"/>
  <c r="X124" i="9" s="1"/>
  <c r="X128" i="7"/>
  <c r="X128" i="9" s="1"/>
  <c r="AI324" i="19"/>
  <c r="AJ340" i="19"/>
  <c r="AI348" i="19"/>
  <c r="AI332" i="19" s="1"/>
  <c r="X62" i="9"/>
  <c r="X46" i="9" s="1"/>
  <c r="X46" i="7"/>
  <c r="N386" i="3"/>
  <c r="Z162" i="9"/>
  <c r="AO137" i="19"/>
  <c r="AP137" i="19" s="1"/>
  <c r="AQ137" i="19"/>
  <c r="X179" i="25"/>
  <c r="C399" i="4"/>
  <c r="C369" i="4"/>
  <c r="C400" i="4" s="1"/>
  <c r="K468" i="3"/>
  <c r="K499" i="3"/>
  <c r="AD160" i="4"/>
  <c r="P272" i="4"/>
  <c r="X58" i="9"/>
  <c r="X42" i="9" s="1"/>
  <c r="X42" i="7"/>
  <c r="AH134" i="11"/>
  <c r="AF14" i="7"/>
  <c r="AF229" i="7" s="1"/>
  <c r="H287" i="4"/>
  <c r="AG134" i="11"/>
  <c r="AD76" i="4"/>
  <c r="Y32" i="23"/>
  <c r="X111" i="9"/>
  <c r="U59" i="13"/>
  <c r="U43" i="13" s="1"/>
  <c r="K336" i="4"/>
  <c r="AI15" i="7"/>
  <c r="AD70" i="4"/>
  <c r="W39" i="5"/>
  <c r="J399" i="4"/>
  <c r="J369" i="4"/>
  <c r="W132" i="9"/>
  <c r="AE3" i="15"/>
  <c r="CE4" i="15"/>
  <c r="AE84" i="15"/>
  <c r="AL322" i="19"/>
  <c r="AN338" i="19"/>
  <c r="AN322" i="19" s="1"/>
  <c r="AC23" i="23"/>
  <c r="V40" i="15"/>
  <c r="X254" i="13"/>
  <c r="X206" i="13" s="1"/>
  <c r="X143" i="3" s="1"/>
  <c r="X159" i="3" s="1"/>
  <c r="X247" i="13"/>
  <c r="X199" i="13" s="1"/>
  <c r="X136" i="3" s="1"/>
  <c r="X152" i="3" s="1"/>
  <c r="X253" i="13"/>
  <c r="X205" i="13" s="1"/>
  <c r="X142" i="3" s="1"/>
  <c r="X158" i="3" s="1"/>
  <c r="X244" i="13"/>
  <c r="X196" i="13" s="1"/>
  <c r="X133" i="3" s="1"/>
  <c r="X149" i="3" s="1"/>
  <c r="X250" i="13"/>
  <c r="X202" i="13" s="1"/>
  <c r="X139" i="3" s="1"/>
  <c r="X155" i="3" s="1"/>
  <c r="X249" i="13"/>
  <c r="X201" i="13" s="1"/>
  <c r="X138" i="3" s="1"/>
  <c r="X154" i="3" s="1"/>
  <c r="X243" i="13"/>
  <c r="X246" i="13"/>
  <c r="X198" i="13" s="1"/>
  <c r="X135" i="3" s="1"/>
  <c r="X151" i="3" s="1"/>
  <c r="X245" i="13"/>
  <c r="X197" i="13" s="1"/>
  <c r="X134" i="3" s="1"/>
  <c r="X150" i="3" s="1"/>
  <c r="X251" i="13"/>
  <c r="X203" i="13" s="1"/>
  <c r="X140" i="3" s="1"/>
  <c r="X156" i="3" s="1"/>
  <c r="X252" i="13"/>
  <c r="X204" i="13" s="1"/>
  <c r="X141" i="3" s="1"/>
  <c r="X157" i="3" s="1"/>
  <c r="X248" i="13"/>
  <c r="X200" i="13" s="1"/>
  <c r="X137" i="3" s="1"/>
  <c r="X153" i="3" s="1"/>
  <c r="AJ296" i="15"/>
  <c r="G399" i="4"/>
  <c r="G369" i="4"/>
  <c r="G400" i="4" s="1"/>
  <c r="AE83" i="4"/>
  <c r="V131" i="25"/>
  <c r="V24" i="25"/>
  <c r="X129" i="11"/>
  <c r="X37" i="11"/>
  <c r="O369" i="4"/>
  <c r="O400" i="4" s="1"/>
  <c r="O399" i="4"/>
  <c r="Z160" i="7"/>
  <c r="AA160" i="7" s="1"/>
  <c r="W323" i="13"/>
  <c r="W335" i="13" s="1"/>
  <c r="W351" i="13"/>
  <c r="T35" i="25"/>
  <c r="AF65" i="23"/>
  <c r="AF37" i="23"/>
  <c r="X106" i="9"/>
  <c r="AA77" i="4"/>
  <c r="X33" i="23"/>
  <c r="AH22" i="17"/>
  <c r="Q28" i="17"/>
  <c r="P288" i="4"/>
  <c r="AH136" i="11"/>
  <c r="H256" i="4"/>
  <c r="H272" i="4" s="1"/>
  <c r="H271" i="4"/>
  <c r="H288" i="4" s="1"/>
  <c r="W49" i="11"/>
  <c r="W196" i="15"/>
  <c r="W131" i="25"/>
  <c r="W24" i="25"/>
  <c r="AD72" i="4"/>
  <c r="AF93" i="4"/>
  <c r="AG136" i="11"/>
  <c r="AL129" i="19"/>
  <c r="AN129" i="19" s="1"/>
  <c r="Y34" i="25"/>
  <c r="W148" i="3"/>
  <c r="W160" i="3" s="1"/>
  <c r="W144" i="3"/>
  <c r="X115" i="9"/>
  <c r="AG169" i="23"/>
  <c r="AG153" i="23" s="1"/>
  <c r="AG121" i="23" s="1"/>
  <c r="AG166" i="23"/>
  <c r="AG150" i="23" s="1"/>
  <c r="AG174" i="23"/>
  <c r="AG158" i="23" s="1"/>
  <c r="AG126" i="23" s="1"/>
  <c r="AG168" i="23"/>
  <c r="AG152" i="23" s="1"/>
  <c r="AG120" i="23" s="1"/>
  <c r="AG173" i="23"/>
  <c r="AG157" i="23" s="1"/>
  <c r="AG125" i="23" s="1"/>
  <c r="AG171" i="23"/>
  <c r="AG155" i="23" s="1"/>
  <c r="AG123" i="23" s="1"/>
  <c r="AG170" i="23"/>
  <c r="AG154" i="23" s="1"/>
  <c r="AG122" i="23" s="1"/>
  <c r="AG175" i="23"/>
  <c r="AG159" i="23" s="1"/>
  <c r="AG127" i="23" s="1"/>
  <c r="AG167" i="23"/>
  <c r="AG151" i="23" s="1"/>
  <c r="AG119" i="23" s="1"/>
  <c r="AG172" i="23"/>
  <c r="AG156" i="23" s="1"/>
  <c r="AG124" i="23" s="1"/>
  <c r="AE92" i="4"/>
  <c r="U58" i="13"/>
  <c r="U42" i="13" s="1"/>
  <c r="U62" i="13"/>
  <c r="U46" i="13" s="1"/>
  <c r="CK7" i="15"/>
  <c r="AH8" i="15"/>
  <c r="CK8" i="15" s="1"/>
  <c r="AH10" i="15"/>
  <c r="CK10" i="15" s="1"/>
  <c r="AJ7" i="11"/>
  <c r="F271" i="4"/>
  <c r="F256" i="4"/>
  <c r="X156" i="9"/>
  <c r="AM160" i="15"/>
  <c r="Z8" i="7"/>
  <c r="Z133" i="7" s="1"/>
  <c r="Y156" i="9"/>
  <c r="AI22" i="17"/>
  <c r="R28" i="17"/>
  <c r="X76" i="5"/>
  <c r="X80" i="5" s="1"/>
  <c r="X63" i="5"/>
  <c r="AC29" i="23"/>
  <c r="W23" i="25"/>
  <c r="W35" i="25" s="1"/>
  <c r="W51" i="25"/>
  <c r="X154" i="9"/>
  <c r="X138" i="9" s="1"/>
  <c r="X138" i="7"/>
  <c r="AG135" i="11"/>
  <c r="CC3" i="15"/>
  <c r="AD23" i="6"/>
  <c r="BE118" i="11"/>
  <c r="AB80" i="23"/>
  <c r="AB64" i="23" s="1"/>
  <c r="AB48" i="23" s="1"/>
  <c r="V35" i="25"/>
  <c r="U371" i="15"/>
  <c r="U355" i="15" s="1"/>
  <c r="U51" i="15" s="1"/>
  <c r="AC80" i="23"/>
  <c r="AC64" i="23" s="1"/>
  <c r="AC48" i="23" s="1"/>
  <c r="AJ125" i="15"/>
  <c r="AJ109" i="15" s="1"/>
  <c r="AK157" i="15"/>
  <c r="U34" i="7"/>
  <c r="U149" i="7"/>
  <c r="U146" i="9"/>
  <c r="U181" i="9"/>
  <c r="U11" i="9" s="1"/>
  <c r="U9" i="9" s="1"/>
  <c r="X64" i="9"/>
  <c r="X48" i="9" s="1"/>
  <c r="X48" i="7"/>
  <c r="X159" i="9"/>
  <c r="X143" i="9" s="1"/>
  <c r="Y161" i="9"/>
  <c r="AE80" i="23"/>
  <c r="AE64" i="23" s="1"/>
  <c r="AE48" i="23" s="1"/>
  <c r="AH141" i="11"/>
  <c r="N355" i="3"/>
  <c r="N370" i="3"/>
  <c r="Z155" i="9"/>
  <c r="Z139" i="9" s="1"/>
  <c r="M435" i="3"/>
  <c r="X120" i="25"/>
  <c r="X163" i="25"/>
  <c r="X11" i="25" s="1"/>
  <c r="X10" i="25" s="1"/>
  <c r="Y157" i="9"/>
  <c r="AD127" i="4"/>
  <c r="AD128" i="4" s="1"/>
  <c r="X184" i="15"/>
  <c r="X211" i="15"/>
  <c r="X195" i="15" s="1"/>
  <c r="H386" i="3"/>
  <c r="I386" i="3"/>
  <c r="AB324" i="15"/>
  <c r="AB18" i="15"/>
  <c r="AD73" i="4"/>
  <c r="H468" i="3"/>
  <c r="H500" i="3" s="1"/>
  <c r="H499" i="3"/>
  <c r="Y158" i="9"/>
  <c r="AH142" i="11"/>
  <c r="AB175" i="23"/>
  <c r="AB159" i="23" s="1"/>
  <c r="AB127" i="23" s="1"/>
  <c r="AB31" i="23" s="1"/>
  <c r="AB172" i="23"/>
  <c r="AB156" i="23" s="1"/>
  <c r="AB124" i="23" s="1"/>
  <c r="AB168" i="23"/>
  <c r="AB152" i="23" s="1"/>
  <c r="AB120" i="23" s="1"/>
  <c r="AB24" i="23" s="1"/>
  <c r="AB173" i="23"/>
  <c r="AB157" i="23" s="1"/>
  <c r="AB125" i="23" s="1"/>
  <c r="AB29" i="23" s="1"/>
  <c r="AB171" i="23"/>
  <c r="AB155" i="23" s="1"/>
  <c r="AB123" i="23" s="1"/>
  <c r="AB167" i="23"/>
  <c r="AB151" i="23" s="1"/>
  <c r="AB119" i="23" s="1"/>
  <c r="AB23" i="23" s="1"/>
  <c r="AB166" i="23"/>
  <c r="AB150" i="23" s="1"/>
  <c r="AB174" i="23"/>
  <c r="AB158" i="23" s="1"/>
  <c r="AB126" i="23" s="1"/>
  <c r="AB30" i="23" s="1"/>
  <c r="AB170" i="23"/>
  <c r="AB154" i="23" s="1"/>
  <c r="AB122" i="23" s="1"/>
  <c r="AB26" i="23" s="1"/>
  <c r="AB169" i="23"/>
  <c r="AB153" i="23" s="1"/>
  <c r="AB121" i="23" s="1"/>
  <c r="AB25" i="23" s="1"/>
  <c r="X372" i="15"/>
  <c r="BQ23" i="15"/>
  <c r="X38" i="15"/>
  <c r="AG142" i="11"/>
  <c r="AL344" i="19"/>
  <c r="AA72" i="15"/>
  <c r="AB72" i="15" s="1"/>
  <c r="Y67" i="25"/>
  <c r="Y39" i="25"/>
  <c r="AJ191" i="11"/>
  <c r="AJ186" i="11"/>
  <c r="AJ190" i="11"/>
  <c r="AJ189" i="11"/>
  <c r="AJ184" i="11"/>
  <c r="AJ182" i="11"/>
  <c r="AJ188" i="11"/>
  <c r="AJ187" i="11"/>
  <c r="AJ181" i="11"/>
  <c r="AJ185" i="11"/>
  <c r="AJ183" i="11"/>
  <c r="AG13" i="7"/>
  <c r="AG213" i="7" s="1"/>
  <c r="F287" i="4"/>
  <c r="AE88" i="4"/>
  <c r="V369" i="15"/>
  <c r="V353" i="15" s="1"/>
  <c r="V49" i="15" s="1"/>
  <c r="Z115" i="7"/>
  <c r="AH138" i="11"/>
  <c r="U55" i="13"/>
  <c r="U39" i="13" s="1"/>
  <c r="BZ20" i="15"/>
  <c r="BX20" i="15"/>
  <c r="BW20" i="15"/>
  <c r="BY20" i="15"/>
  <c r="U54" i="13"/>
  <c r="U38" i="13" s="1"/>
  <c r="AG41" i="4"/>
  <c r="AG112" i="11"/>
  <c r="AH107" i="11"/>
  <c r="R304" i="4"/>
  <c r="CC11" i="15"/>
  <c r="AD25" i="6"/>
  <c r="AA155" i="9"/>
  <c r="Y115" i="7"/>
  <c r="Y111" i="7"/>
  <c r="Z111" i="7" s="1"/>
  <c r="Y107" i="7"/>
  <c r="Y114" i="7"/>
  <c r="Y110" i="7"/>
  <c r="Z110" i="7" s="1"/>
  <c r="Y113" i="7"/>
  <c r="Z113" i="7" s="1"/>
  <c r="Y112" i="7"/>
  <c r="Z112" i="7" s="1"/>
  <c r="Y108" i="7"/>
  <c r="Z108" i="7" s="1"/>
  <c r="Y105" i="7"/>
  <c r="Y109" i="7"/>
  <c r="Y129" i="23"/>
  <c r="AE87" i="4"/>
  <c r="X51" i="7"/>
  <c r="X67" i="9"/>
  <c r="X51" i="9" s="1"/>
  <c r="AD77" i="4"/>
  <c r="K287" i="4"/>
  <c r="X37" i="5"/>
  <c r="AI187" i="11"/>
  <c r="AI191" i="11"/>
  <c r="AI186" i="11"/>
  <c r="AI190" i="11"/>
  <c r="AI182" i="11"/>
  <c r="AI188" i="11"/>
  <c r="AI184" i="11"/>
  <c r="AI189" i="11"/>
  <c r="AI181" i="11"/>
  <c r="AI185" i="11"/>
  <c r="AI183" i="11"/>
  <c r="AD67" i="4"/>
  <c r="AM299" i="15"/>
  <c r="AN299" i="15" s="1"/>
  <c r="AO299" i="15" s="1"/>
  <c r="Z22" i="23"/>
  <c r="AO154" i="15"/>
  <c r="AO122" i="15" s="1"/>
  <c r="AO106" i="15" s="1"/>
  <c r="C468" i="3"/>
  <c r="C500" i="3" s="1"/>
  <c r="C499" i="3"/>
  <c r="W164" i="9"/>
  <c r="G355" i="3"/>
  <c r="G370" i="3"/>
  <c r="G387" i="3" s="1"/>
  <c r="H370" i="3"/>
  <c r="Z163" i="7"/>
  <c r="AA163" i="7" s="1"/>
  <c r="AM130" i="19"/>
  <c r="P287" i="4"/>
  <c r="E468" i="3"/>
  <c r="E500" i="3" s="1"/>
  <c r="E499" i="3"/>
  <c r="AD68" i="4"/>
  <c r="Y139" i="7"/>
  <c r="Y155" i="9"/>
  <c r="Y139" i="9" s="1"/>
  <c r="AH140" i="11"/>
  <c r="J370" i="3"/>
  <c r="J387" i="3" s="1"/>
  <c r="J355" i="3"/>
  <c r="AD354" i="3"/>
  <c r="AH354" i="3" s="1"/>
  <c r="K370" i="3"/>
  <c r="K387" i="3" s="1"/>
  <c r="AA161" i="7"/>
  <c r="Z67" i="4"/>
  <c r="S109" i="21"/>
  <c r="AF80" i="23"/>
  <c r="AF64" i="23" s="1"/>
  <c r="AF48" i="23" s="1"/>
  <c r="P386" i="3"/>
  <c r="AG140" i="11"/>
  <c r="AD146" i="11"/>
  <c r="AD94" i="4"/>
  <c r="AD95" i="4" s="1"/>
  <c r="AF89" i="4"/>
  <c r="Y83" i="25"/>
  <c r="Y5" i="25" s="1"/>
  <c r="Y4" i="25" s="1"/>
  <c r="AE93" i="4"/>
  <c r="AF88" i="4"/>
  <c r="U51" i="13"/>
  <c r="U79" i="13"/>
  <c r="U4" i="13" s="1"/>
  <c r="AG9" i="7"/>
  <c r="AH9" i="7" s="1"/>
  <c r="W119" i="13"/>
  <c r="W104" i="3"/>
  <c r="D399" i="4"/>
  <c r="D369" i="4"/>
  <c r="D400" i="4" s="1"/>
  <c r="AF4" i="15"/>
  <c r="V362" i="15"/>
  <c r="V346" i="15" s="1"/>
  <c r="V42" i="15" s="1"/>
  <c r="T32" i="13"/>
  <c r="BL27" i="13"/>
  <c r="T3" i="2"/>
  <c r="AI325" i="19"/>
  <c r="Z77" i="15"/>
  <c r="G256" i="4"/>
  <c r="G271" i="4"/>
  <c r="G288" i="4" s="1"/>
  <c r="AH143" i="11"/>
  <c r="AE148" i="4"/>
  <c r="Z152" i="25"/>
  <c r="AH192" i="11"/>
  <c r="AE84" i="4"/>
  <c r="AB28" i="23"/>
  <c r="F468" i="3"/>
  <c r="F500" i="3" s="1"/>
  <c r="F499" i="3"/>
  <c r="W122" i="13"/>
  <c r="W107" i="3"/>
  <c r="AK161" i="15"/>
  <c r="AL161" i="15" s="1"/>
  <c r="AL129" i="15" s="1"/>
  <c r="AL113" i="15" s="1"/>
  <c r="S403" i="3"/>
  <c r="AF172" i="23"/>
  <c r="AF156" i="23" s="1"/>
  <c r="AF124" i="23" s="1"/>
  <c r="AF28" i="23" s="1"/>
  <c r="AF169" i="23"/>
  <c r="AF153" i="23" s="1"/>
  <c r="AF121" i="23" s="1"/>
  <c r="AF25" i="23" s="1"/>
  <c r="AF166" i="23"/>
  <c r="AF150" i="23" s="1"/>
  <c r="AF174" i="23"/>
  <c r="AF158" i="23" s="1"/>
  <c r="AF126" i="23" s="1"/>
  <c r="AF30" i="23" s="1"/>
  <c r="AF170" i="23"/>
  <c r="AF154" i="23" s="1"/>
  <c r="AF122" i="23" s="1"/>
  <c r="AF26" i="23" s="1"/>
  <c r="AF168" i="23"/>
  <c r="AF152" i="23" s="1"/>
  <c r="AF120" i="23" s="1"/>
  <c r="AF24" i="23" s="1"/>
  <c r="AF173" i="23"/>
  <c r="AF157" i="23" s="1"/>
  <c r="AF125" i="23" s="1"/>
  <c r="AF29" i="23" s="1"/>
  <c r="AF171" i="23"/>
  <c r="AF155" i="23" s="1"/>
  <c r="AF123" i="23" s="1"/>
  <c r="AF167" i="23"/>
  <c r="AF151" i="23" s="1"/>
  <c r="AF119" i="23" s="1"/>
  <c r="AF175" i="23"/>
  <c r="AF159" i="23" s="1"/>
  <c r="AF127" i="23" s="1"/>
  <c r="E399" i="4"/>
  <c r="E369" i="4"/>
  <c r="AE25" i="23"/>
  <c r="AE121" i="4"/>
  <c r="AE154" i="4" s="1"/>
  <c r="X141" i="7"/>
  <c r="P369" i="4"/>
  <c r="P400" i="4" s="1"/>
  <c r="P399" i="4"/>
  <c r="AC165" i="7"/>
  <c r="AC11" i="7"/>
  <c r="AC181" i="7" s="1"/>
  <c r="W137" i="9"/>
  <c r="AK328" i="19"/>
  <c r="G386" i="3"/>
  <c r="Z156" i="7"/>
  <c r="AA156" i="7" s="1"/>
  <c r="Y177" i="7"/>
  <c r="Z177" i="7" s="1"/>
  <c r="Z177" i="9" s="1"/>
  <c r="BU17" i="15"/>
  <c r="Z37" i="15"/>
  <c r="Z27" i="6"/>
  <c r="Z22" i="15"/>
  <c r="Y159" i="7"/>
  <c r="Z159" i="7" s="1"/>
  <c r="J435" i="3"/>
  <c r="AD419" i="3"/>
  <c r="AH419" i="3" s="1"/>
  <c r="AH137" i="11"/>
  <c r="I399" i="4"/>
  <c r="I369" i="4"/>
  <c r="S304" i="4"/>
  <c r="S309" i="4"/>
  <c r="P370" i="3"/>
  <c r="P355" i="3"/>
  <c r="P371" i="3" s="1"/>
  <c r="AG138" i="11"/>
  <c r="K369" i="4"/>
  <c r="K400" i="4" s="1"/>
  <c r="K399" i="4"/>
  <c r="W12" i="13"/>
  <c r="BO12" i="13" s="1"/>
  <c r="AG76" i="23"/>
  <c r="AG60" i="23" s="1"/>
  <c r="AG44" i="23" s="1"/>
  <c r="AG70" i="23"/>
  <c r="AG54" i="23" s="1"/>
  <c r="AG38" i="23" s="1"/>
  <c r="AG74" i="23"/>
  <c r="AG58" i="23" s="1"/>
  <c r="AG42" i="23" s="1"/>
  <c r="AG69" i="23"/>
  <c r="AG53" i="23" s="1"/>
  <c r="AG72" i="23"/>
  <c r="AG56" i="23" s="1"/>
  <c r="AG40" i="23" s="1"/>
  <c r="AG24" i="23" s="1"/>
  <c r="AG75" i="23"/>
  <c r="AG59" i="23" s="1"/>
  <c r="AG43" i="23" s="1"/>
  <c r="AG73" i="23"/>
  <c r="AG57" i="23" s="1"/>
  <c r="AG41" i="23" s="1"/>
  <c r="AG71" i="23"/>
  <c r="AG55" i="23" s="1"/>
  <c r="AG39" i="23" s="1"/>
  <c r="AG79" i="23"/>
  <c r="AG63" i="23" s="1"/>
  <c r="AG47" i="23" s="1"/>
  <c r="AG77" i="23"/>
  <c r="AG61" i="23" s="1"/>
  <c r="AG45" i="23" s="1"/>
  <c r="AG78" i="23"/>
  <c r="AG62" i="23" s="1"/>
  <c r="AG46" i="23" s="1"/>
  <c r="AG30" i="23" s="1"/>
  <c r="AI35" i="4"/>
  <c r="AJ101" i="11"/>
  <c r="W124" i="13"/>
  <c r="W109" i="3"/>
  <c r="X51" i="25"/>
  <c r="X23" i="25"/>
  <c r="AJ341" i="19"/>
  <c r="AK341" i="19" s="1"/>
  <c r="AB6" i="7"/>
  <c r="AD31" i="11" l="1"/>
  <c r="AD32" i="11" s="1"/>
  <c r="AD27" i="11" s="1"/>
  <c r="AD32" i="15"/>
  <c r="AD13" i="2"/>
  <c r="AD14" i="2" s="1"/>
  <c r="AD15" i="2"/>
  <c r="AE30" i="11"/>
  <c r="AE29" i="13"/>
  <c r="AC337" i="11"/>
  <c r="AD43" i="6"/>
  <c r="AD70" i="11"/>
  <c r="AD74" i="11"/>
  <c r="AD69" i="11"/>
  <c r="AD77" i="11"/>
  <c r="AD79" i="11"/>
  <c r="AD76" i="11"/>
  <c r="AD78" i="11"/>
  <c r="AD71" i="11"/>
  <c r="AD73" i="11"/>
  <c r="AD72" i="11"/>
  <c r="AD75" i="11"/>
  <c r="AN106" i="11"/>
  <c r="AN40" i="4" s="1"/>
  <c r="AG250" i="11"/>
  <c r="AG120" i="4" s="1"/>
  <c r="AG153" i="4" s="1"/>
  <c r="Y175" i="7"/>
  <c r="Y175" i="9" s="1"/>
  <c r="AB255" i="11"/>
  <c r="AH255" i="11" s="1"/>
  <c r="AH125" i="4" s="1"/>
  <c r="AA207" i="11"/>
  <c r="AA127" i="11" s="1"/>
  <c r="AA47" i="11" s="1"/>
  <c r="Z76" i="4"/>
  <c r="X143" i="7"/>
  <c r="AM105" i="11"/>
  <c r="AL39" i="4"/>
  <c r="T2" i="2"/>
  <c r="BW17" i="15"/>
  <c r="AA22" i="15"/>
  <c r="AA37" i="15"/>
  <c r="AA27" i="6"/>
  <c r="W31" i="9"/>
  <c r="Z284" i="15"/>
  <c r="AA314" i="15"/>
  <c r="AA282" i="15" s="1"/>
  <c r="AC324" i="15"/>
  <c r="W31" i="7"/>
  <c r="Y142" i="7"/>
  <c r="Z206" i="15"/>
  <c r="Z190" i="15" s="1"/>
  <c r="Z207" i="15"/>
  <c r="Z191" i="15" s="1"/>
  <c r="W365" i="15"/>
  <c r="W349" i="15" s="1"/>
  <c r="W45" i="15" s="1"/>
  <c r="AI10" i="15"/>
  <c r="V149" i="7"/>
  <c r="BE38" i="11"/>
  <c r="AA176" i="7"/>
  <c r="AA176" i="9" s="1"/>
  <c r="AA205" i="15"/>
  <c r="AA189" i="15" s="1"/>
  <c r="AA206" i="15"/>
  <c r="AA190" i="15" s="1"/>
  <c r="Z173" i="7"/>
  <c r="Z173" i="9" s="1"/>
  <c r="Z141" i="9" s="1"/>
  <c r="U15" i="9"/>
  <c r="X140" i="7"/>
  <c r="V36" i="7"/>
  <c r="V37" i="7" s="1"/>
  <c r="AA319" i="15"/>
  <c r="AA287" i="15" s="1"/>
  <c r="AM162" i="15"/>
  <c r="X140" i="9"/>
  <c r="AI120" i="15"/>
  <c r="AI104" i="15" s="1"/>
  <c r="AJ152" i="15"/>
  <c r="Y128" i="7"/>
  <c r="Y128" i="9" s="1"/>
  <c r="Y142" i="9"/>
  <c r="Y141" i="7"/>
  <c r="AA318" i="15"/>
  <c r="AA286" i="15" s="1"/>
  <c r="AA321" i="15"/>
  <c r="AA289" i="15" s="1"/>
  <c r="AI8" i="15"/>
  <c r="Y141" i="9"/>
  <c r="AA8" i="7"/>
  <c r="AA133" i="7" s="1"/>
  <c r="AA200" i="15"/>
  <c r="AA184" i="15" s="1"/>
  <c r="V36" i="9"/>
  <c r="Z208" i="15"/>
  <c r="Z192" i="15" s="1"/>
  <c r="X99" i="9"/>
  <c r="X35" i="9" s="1"/>
  <c r="Z170" i="7"/>
  <c r="Z170" i="9" s="1"/>
  <c r="Z203" i="15"/>
  <c r="Z187" i="15" s="1"/>
  <c r="AJ192" i="11"/>
  <c r="AJ194" i="11" s="1"/>
  <c r="AA177" i="7"/>
  <c r="AA177" i="9" s="1"/>
  <c r="Y138" i="7"/>
  <c r="Y138" i="9"/>
  <c r="Z139" i="7"/>
  <c r="Z169" i="7"/>
  <c r="Z137" i="7" s="1"/>
  <c r="Y137" i="7"/>
  <c r="Z174" i="7"/>
  <c r="AM161" i="15"/>
  <c r="AM129" i="15" s="1"/>
  <c r="AM113" i="15" s="1"/>
  <c r="W100" i="9"/>
  <c r="AN153" i="15"/>
  <c r="AN121" i="15" s="1"/>
  <c r="AN105" i="15" s="1"/>
  <c r="AA198" i="11"/>
  <c r="AA118" i="11" s="1"/>
  <c r="AA38" i="11" s="1"/>
  <c r="AG246" i="11"/>
  <c r="AH249" i="11"/>
  <c r="AH119" i="4" s="1"/>
  <c r="AH152" i="4" s="1"/>
  <c r="AA203" i="11"/>
  <c r="AA123" i="11" s="1"/>
  <c r="AA43" i="11" s="1"/>
  <c r="AG252" i="11"/>
  <c r="AG122" i="4" s="1"/>
  <c r="AG155" i="4" s="1"/>
  <c r="AB252" i="11"/>
  <c r="AI252" i="11" s="1"/>
  <c r="AB235" i="13"/>
  <c r="AB239" i="13" s="1"/>
  <c r="AB14" i="13" s="1"/>
  <c r="BT14" i="13" s="1"/>
  <c r="AB205" i="11"/>
  <c r="AB125" i="11" s="1"/>
  <c r="AB45" i="11" s="1"/>
  <c r="BG246" i="11"/>
  <c r="AK252" i="11"/>
  <c r="AK122" i="4" s="1"/>
  <c r="AI251" i="11"/>
  <c r="AI203" i="11" s="1"/>
  <c r="AH246" i="11"/>
  <c r="AA116" i="4"/>
  <c r="AA149" i="4" s="1"/>
  <c r="AI255" i="11"/>
  <c r="AB253" i="11"/>
  <c r="AK253" i="11" s="1"/>
  <c r="AK123" i="4" s="1"/>
  <c r="AG253" i="11"/>
  <c r="AA123" i="4"/>
  <c r="Z118" i="11"/>
  <c r="Z129" i="11" s="1"/>
  <c r="BF198" i="11"/>
  <c r="AA124" i="4"/>
  <c r="AB254" i="11"/>
  <c r="AB206" i="11" s="1"/>
  <c r="AB126" i="11" s="1"/>
  <c r="AB46" i="11" s="1"/>
  <c r="AG254" i="11"/>
  <c r="AB246" i="11"/>
  <c r="AB198" i="11" s="1"/>
  <c r="AB118" i="11" s="1"/>
  <c r="AB38" i="11" s="1"/>
  <c r="AA117" i="4"/>
  <c r="AG247" i="11"/>
  <c r="AB247" i="11"/>
  <c r="AJ247" i="11" s="1"/>
  <c r="AA236" i="13"/>
  <c r="AA206" i="11"/>
  <c r="AA126" i="11" s="1"/>
  <c r="AA46" i="11" s="1"/>
  <c r="AA229" i="13"/>
  <c r="AA239" i="13" s="1"/>
  <c r="AA14" i="13" s="1"/>
  <c r="BS14" i="13" s="1"/>
  <c r="AA199" i="11"/>
  <c r="AA119" i="11" s="1"/>
  <c r="AA39" i="11" s="1"/>
  <c r="AA235" i="13"/>
  <c r="AA205" i="11"/>
  <c r="AA125" i="11" s="1"/>
  <c r="AA45" i="11" s="1"/>
  <c r="AB197" i="11"/>
  <c r="AC241" i="11"/>
  <c r="AD14" i="11"/>
  <c r="AE14" i="11"/>
  <c r="AE241" i="11" s="1"/>
  <c r="AF14" i="11"/>
  <c r="AB236" i="13"/>
  <c r="Z150" i="4"/>
  <c r="Z69" i="4"/>
  <c r="Z35" i="5" s="1"/>
  <c r="AK246" i="11"/>
  <c r="AK198" i="11" s="1"/>
  <c r="AA201" i="11"/>
  <c r="AA121" i="11" s="1"/>
  <c r="AA41" i="11" s="1"/>
  <c r="AO106" i="11"/>
  <c r="AK119" i="4"/>
  <c r="AK152" i="4" s="1"/>
  <c r="AK201" i="11"/>
  <c r="CM7" i="15"/>
  <c r="AJ8" i="15"/>
  <c r="CM8" i="15" s="1"/>
  <c r="AJ10" i="15"/>
  <c r="CM10" i="15" s="1"/>
  <c r="AK7" i="15"/>
  <c r="AL7" i="15" s="1"/>
  <c r="AB118" i="4"/>
  <c r="AL248" i="11"/>
  <c r="AB200" i="11"/>
  <c r="AB120" i="11" s="1"/>
  <c r="AB40" i="11" s="1"/>
  <c r="AH248" i="11"/>
  <c r="AH118" i="4" s="1"/>
  <c r="AH151" i="4" s="1"/>
  <c r="Y211" i="15"/>
  <c r="Y195" i="15" s="1"/>
  <c r="Y196" i="15" s="1"/>
  <c r="S29" i="17"/>
  <c r="S13" i="2" s="1"/>
  <c r="S14" i="2" s="1"/>
  <c r="S15" i="2" s="1"/>
  <c r="Y140" i="9"/>
  <c r="W100" i="7"/>
  <c r="W101" i="7" s="1"/>
  <c r="AP154" i="15"/>
  <c r="AP122" i="15" s="1"/>
  <c r="AP106" i="15" s="1"/>
  <c r="Z62" i="15"/>
  <c r="AB78" i="15"/>
  <c r="AB62" i="15" s="1"/>
  <c r="AA122" i="4"/>
  <c r="AA204" i="11"/>
  <c r="AA124" i="11" s="1"/>
  <c r="AA44" i="11" s="1"/>
  <c r="AI125" i="4"/>
  <c r="AI207" i="11"/>
  <c r="X98" i="9"/>
  <c r="AG248" i="11"/>
  <c r="AI249" i="11"/>
  <c r="AM255" i="11"/>
  <c r="AG125" i="4"/>
  <c r="AG158" i="4" s="1"/>
  <c r="AN255" i="11"/>
  <c r="AO255" i="11"/>
  <c r="W181" i="9"/>
  <c r="W11" i="9" s="1"/>
  <c r="AA207" i="15"/>
  <c r="AA191" i="15" s="1"/>
  <c r="X90" i="7"/>
  <c r="X26" i="7" s="1"/>
  <c r="AH251" i="11"/>
  <c r="AF118" i="4"/>
  <c r="AF151" i="4" s="1"/>
  <c r="AG119" i="4"/>
  <c r="AG152" i="4" s="1"/>
  <c r="AM249" i="11"/>
  <c r="AK109" i="11"/>
  <c r="AL109" i="11" s="1"/>
  <c r="AL43" i="4" s="1"/>
  <c r="Z59" i="15"/>
  <c r="AA210" i="15"/>
  <c r="AA194" i="15" s="1"/>
  <c r="AA80" i="15"/>
  <c r="AA64" i="15" s="1"/>
  <c r="Y140" i="7"/>
  <c r="AA200" i="11"/>
  <c r="AA120" i="11" s="1"/>
  <c r="AA40" i="11" s="1"/>
  <c r="AA118" i="4"/>
  <c r="AA60" i="5" s="1"/>
  <c r="AA77" i="5" s="1"/>
  <c r="AJ248" i="11"/>
  <c r="AK248" i="11"/>
  <c r="Z57" i="15"/>
  <c r="AF122" i="4"/>
  <c r="AF155" i="4" s="1"/>
  <c r="Z151" i="4"/>
  <c r="Z70" i="4"/>
  <c r="Z36" i="5" s="1"/>
  <c r="Z172" i="7"/>
  <c r="Z172" i="9" s="1"/>
  <c r="Y131" i="7"/>
  <c r="Y131" i="9" s="1"/>
  <c r="AG14" i="7"/>
  <c r="AG229" i="7" s="1"/>
  <c r="AA256" i="11"/>
  <c r="AA126" i="4" s="1"/>
  <c r="Z60" i="5"/>
  <c r="Z77" i="5" s="1"/>
  <c r="AB119" i="4"/>
  <c r="AL249" i="11"/>
  <c r="AB201" i="11"/>
  <c r="AB121" i="11" s="1"/>
  <c r="AB41" i="11" s="1"/>
  <c r="AI248" i="11"/>
  <c r="AA152" i="4"/>
  <c r="AA71" i="4"/>
  <c r="Y127" i="4"/>
  <c r="Y128" i="4" s="1"/>
  <c r="AK158" i="15"/>
  <c r="AL158" i="15" s="1"/>
  <c r="AJ126" i="15"/>
  <c r="AJ110" i="15" s="1"/>
  <c r="Z64" i="15"/>
  <c r="Z204" i="15"/>
  <c r="Z188" i="15" s="1"/>
  <c r="Y129" i="7"/>
  <c r="Y129" i="9" s="1"/>
  <c r="Y78" i="4"/>
  <c r="Y38" i="5" s="1"/>
  <c r="Y68" i="7"/>
  <c r="Y68" i="9" s="1"/>
  <c r="Y52" i="9" s="1"/>
  <c r="AJ249" i="11"/>
  <c r="Y159" i="4"/>
  <c r="AL155" i="15"/>
  <c r="AL123" i="15" s="1"/>
  <c r="AL107" i="15" s="1"/>
  <c r="W148" i="7"/>
  <c r="W149" i="7" s="1"/>
  <c r="V101" i="9"/>
  <c r="V30" i="9"/>
  <c r="AJ255" i="11"/>
  <c r="AB125" i="4"/>
  <c r="AL255" i="11"/>
  <c r="AB207" i="11"/>
  <c r="AB127" i="11" s="1"/>
  <c r="AB47" i="11" s="1"/>
  <c r="AK255" i="11"/>
  <c r="W117" i="9"/>
  <c r="W7" i="9" s="1"/>
  <c r="W90" i="9"/>
  <c r="W148" i="9"/>
  <c r="AL246" i="11"/>
  <c r="AB116" i="4"/>
  <c r="AA73" i="15"/>
  <c r="AB73" i="15" s="1"/>
  <c r="AB57" i="15" s="1"/>
  <c r="Y116" i="7"/>
  <c r="Y116" i="9" s="1"/>
  <c r="T356" i="15"/>
  <c r="T52" i="15" s="1"/>
  <c r="AH158" i="4"/>
  <c r="X98" i="7"/>
  <c r="Y124" i="7"/>
  <c r="Y124" i="9" s="1"/>
  <c r="X99" i="7"/>
  <c r="X35" i="7" s="1"/>
  <c r="U356" i="15"/>
  <c r="U52" i="15" s="1"/>
  <c r="AA320" i="15"/>
  <c r="AA288" i="15" s="1"/>
  <c r="V6" i="9"/>
  <c r="Z159" i="9"/>
  <c r="AB56" i="15"/>
  <c r="Z110" i="9"/>
  <c r="Z113" i="9"/>
  <c r="AO129" i="19"/>
  <c r="AK325" i="19"/>
  <c r="AP44" i="4"/>
  <c r="AQ110" i="11"/>
  <c r="AQ44" i="4" s="1"/>
  <c r="AE67" i="4"/>
  <c r="AH144" i="11"/>
  <c r="AH145" i="11" s="1"/>
  <c r="AH194" i="11"/>
  <c r="Y109" i="9"/>
  <c r="X91" i="7"/>
  <c r="X27" i="7" s="1"/>
  <c r="X68" i="9"/>
  <c r="X52" i="9" s="1"/>
  <c r="X52" i="7"/>
  <c r="AA111" i="7"/>
  <c r="AA110" i="7"/>
  <c r="AA113" i="7"/>
  <c r="AA115" i="7"/>
  <c r="AA108" i="7"/>
  <c r="AA112" i="7"/>
  <c r="AP299" i="15"/>
  <c r="AF176" i="23"/>
  <c r="AF160" i="23" s="1"/>
  <c r="AF128" i="23" s="1"/>
  <c r="AB118" i="23"/>
  <c r="AB161" i="23"/>
  <c r="W143" i="13"/>
  <c r="W115" i="13"/>
  <c r="W127" i="13" s="1"/>
  <c r="W100" i="3"/>
  <c r="AH115" i="4"/>
  <c r="L387" i="3"/>
  <c r="W85" i="3"/>
  <c r="AM251" i="11"/>
  <c r="Z179" i="25"/>
  <c r="W88" i="3"/>
  <c r="J371" i="3"/>
  <c r="AD355" i="3"/>
  <c r="AH355" i="3" s="1"/>
  <c r="K371" i="3"/>
  <c r="AI133" i="11"/>
  <c r="AA169" i="7"/>
  <c r="AB169" i="7" s="1"/>
  <c r="AH88" i="4"/>
  <c r="AG92" i="4"/>
  <c r="AG85" i="4"/>
  <c r="F288" i="4"/>
  <c r="Z209" i="11"/>
  <c r="Z48" i="6" s="1"/>
  <c r="Z68" i="6" s="1"/>
  <c r="BO11" i="13"/>
  <c r="W32" i="1"/>
  <c r="W29" i="1" s="1"/>
  <c r="W28" i="1" s="1"/>
  <c r="W8" i="13"/>
  <c r="W111" i="13"/>
  <c r="W6" i="13" s="1"/>
  <c r="BO6" i="13" s="1"/>
  <c r="W36" i="3"/>
  <c r="AF76" i="4"/>
  <c r="AH13" i="7"/>
  <c r="AH213" i="7" s="1"/>
  <c r="J288" i="4"/>
  <c r="F400" i="4"/>
  <c r="AM104" i="11"/>
  <c r="AN104" i="11" s="1"/>
  <c r="Y292" i="15"/>
  <c r="AI107" i="11"/>
  <c r="AF355" i="3"/>
  <c r="AE355" i="3"/>
  <c r="O371" i="3"/>
  <c r="AG355" i="3"/>
  <c r="AI355" i="3" s="1"/>
  <c r="AA156" i="9"/>
  <c r="W86" i="3"/>
  <c r="Z63" i="7"/>
  <c r="Z67" i="7"/>
  <c r="Z57" i="7"/>
  <c r="Z62" i="7"/>
  <c r="Z66" i="7"/>
  <c r="Z61" i="7"/>
  <c r="Z60" i="7"/>
  <c r="Z59" i="7"/>
  <c r="Z65" i="7"/>
  <c r="Z64" i="7"/>
  <c r="Z58" i="7"/>
  <c r="AC72" i="15"/>
  <c r="U7" i="19"/>
  <c r="AA4" i="7"/>
  <c r="AA69" i="7" s="1"/>
  <c r="AA14" i="6"/>
  <c r="AA13" i="6" s="1"/>
  <c r="AA160" i="9"/>
  <c r="W206" i="3"/>
  <c r="W78" i="3"/>
  <c r="AI107" i="15"/>
  <c r="AJ370" i="19"/>
  <c r="AJ376" i="19" s="1"/>
  <c r="AK29" i="19"/>
  <c r="Z23" i="15"/>
  <c r="BU22" i="15"/>
  <c r="Z28" i="6"/>
  <c r="Z22" i="6" s="1"/>
  <c r="AE71" i="4"/>
  <c r="AA61" i="5"/>
  <c r="AA78" i="5" s="1"/>
  <c r="Z154" i="4"/>
  <c r="Z73" i="4"/>
  <c r="AI135" i="11"/>
  <c r="AE161" i="23"/>
  <c r="AE118" i="23"/>
  <c r="Y177" i="9"/>
  <c r="Y145" i="9" s="1"/>
  <c r="Z120" i="25"/>
  <c r="Z163" i="25"/>
  <c r="Z11" i="25" s="1"/>
  <c r="Z10" i="25" s="1"/>
  <c r="AD78" i="4"/>
  <c r="AD79" i="4" s="1"/>
  <c r="AI141" i="11"/>
  <c r="Y108" i="9"/>
  <c r="N387" i="3"/>
  <c r="Q29" i="17"/>
  <c r="Q13" i="2" s="1"/>
  <c r="AH28" i="17"/>
  <c r="Q4" i="2"/>
  <c r="K500" i="3"/>
  <c r="AK115" i="4"/>
  <c r="AK197" i="11"/>
  <c r="AI45" i="4"/>
  <c r="AJ111" i="11"/>
  <c r="AC176" i="23"/>
  <c r="AC160" i="23" s="1"/>
  <c r="AC128" i="23" s="1"/>
  <c r="AE70" i="4"/>
  <c r="W87" i="3"/>
  <c r="Y33" i="23"/>
  <c r="AE354" i="3"/>
  <c r="AJ43" i="4"/>
  <c r="T119" i="21"/>
  <c r="T103" i="21" s="1"/>
  <c r="T103" i="19"/>
  <c r="S425" i="3"/>
  <c r="S410" i="3"/>
  <c r="O288" i="4"/>
  <c r="AH84" i="4"/>
  <c r="AA161" i="9"/>
  <c r="AC32" i="23"/>
  <c r="Z63" i="15"/>
  <c r="CA12" i="15"/>
  <c r="AC212" i="15"/>
  <c r="AD12" i="15"/>
  <c r="AE12" i="15" s="1"/>
  <c r="AE13" i="15" s="1"/>
  <c r="CE13" i="15" s="1"/>
  <c r="W95" i="3"/>
  <c r="X255" i="13"/>
  <c r="X15" i="13" s="1"/>
  <c r="X195" i="13"/>
  <c r="Z154" i="9"/>
  <c r="Z164" i="7"/>
  <c r="AE73" i="4"/>
  <c r="AC17" i="15"/>
  <c r="CA18" i="15"/>
  <c r="AA117" i="11"/>
  <c r="BG198" i="11"/>
  <c r="AI140" i="19"/>
  <c r="AJ133" i="19"/>
  <c r="AF69" i="4"/>
  <c r="AP338" i="19"/>
  <c r="AP322" i="19" s="1"/>
  <c r="AF67" i="4"/>
  <c r="AG89" i="4"/>
  <c r="AD72" i="23"/>
  <c r="AD56" i="23" s="1"/>
  <c r="AD40" i="23" s="1"/>
  <c r="AD24" i="23" s="1"/>
  <c r="AD79" i="23"/>
  <c r="AD63" i="23" s="1"/>
  <c r="AD47" i="23" s="1"/>
  <c r="AD31" i="23" s="1"/>
  <c r="AD69" i="23"/>
  <c r="AD53" i="23" s="1"/>
  <c r="AD76" i="23"/>
  <c r="AD60" i="23" s="1"/>
  <c r="AD44" i="23" s="1"/>
  <c r="AD70" i="23"/>
  <c r="AD54" i="23" s="1"/>
  <c r="AD38" i="23" s="1"/>
  <c r="AD74" i="23"/>
  <c r="AD58" i="23" s="1"/>
  <c r="AD42" i="23" s="1"/>
  <c r="AD26" i="23" s="1"/>
  <c r="AD73" i="23"/>
  <c r="AD57" i="23" s="1"/>
  <c r="AD41" i="23" s="1"/>
  <c r="AD25" i="23" s="1"/>
  <c r="AD77" i="23"/>
  <c r="AD61" i="23" s="1"/>
  <c r="AD45" i="23" s="1"/>
  <c r="AD29" i="23" s="1"/>
  <c r="AD71" i="23"/>
  <c r="AD55" i="23" s="1"/>
  <c r="AD39" i="23" s="1"/>
  <c r="AD23" i="23" s="1"/>
  <c r="AD75" i="23"/>
  <c r="AD59" i="23" s="1"/>
  <c r="AD43" i="23" s="1"/>
  <c r="AD27" i="23" s="1"/>
  <c r="AD78" i="23"/>
  <c r="AD62" i="23" s="1"/>
  <c r="AD46" i="23" s="1"/>
  <c r="AF73" i="4"/>
  <c r="AI137" i="11"/>
  <c r="Y105" i="9"/>
  <c r="F272" i="4"/>
  <c r="X91" i="9"/>
  <c r="X27" i="9" s="1"/>
  <c r="AD172" i="23"/>
  <c r="AD156" i="23" s="1"/>
  <c r="AD124" i="23" s="1"/>
  <c r="AD174" i="23"/>
  <c r="AD158" i="23" s="1"/>
  <c r="AD126" i="23" s="1"/>
  <c r="AD166" i="23"/>
  <c r="AD150" i="23" s="1"/>
  <c r="AD168" i="23"/>
  <c r="AD152" i="23" s="1"/>
  <c r="AD120" i="23" s="1"/>
  <c r="AD170" i="23"/>
  <c r="AD154" i="23" s="1"/>
  <c r="AD122" i="23" s="1"/>
  <c r="AD175" i="23"/>
  <c r="AD159" i="23" s="1"/>
  <c r="AD127" i="23" s="1"/>
  <c r="AD167" i="23"/>
  <c r="AD151" i="23" s="1"/>
  <c r="AD119" i="23" s="1"/>
  <c r="AD173" i="23"/>
  <c r="AD157" i="23" s="1"/>
  <c r="AD125" i="23" s="1"/>
  <c r="AD171" i="23"/>
  <c r="AD155" i="23" s="1"/>
  <c r="AD123" i="23" s="1"/>
  <c r="AD169" i="23"/>
  <c r="AD153" i="23" s="1"/>
  <c r="AD121" i="23" s="1"/>
  <c r="AG29" i="23"/>
  <c r="U34" i="9"/>
  <c r="U37" i="9" s="1"/>
  <c r="U149" i="9"/>
  <c r="AG31" i="23"/>
  <c r="S310" i="4"/>
  <c r="S325" i="4"/>
  <c r="Z156" i="9"/>
  <c r="AI136" i="11"/>
  <c r="Y127" i="7"/>
  <c r="Y127" i="9" s="1"/>
  <c r="Y112" i="9"/>
  <c r="AJ135" i="11"/>
  <c r="AB17" i="15"/>
  <c r="BY18" i="15"/>
  <c r="AE20" i="15"/>
  <c r="AD20" i="15"/>
  <c r="N371" i="3"/>
  <c r="AG118" i="23"/>
  <c r="AJ307" i="15"/>
  <c r="AK296" i="15"/>
  <c r="AA148" i="4"/>
  <c r="AA67" i="4"/>
  <c r="AK111" i="11"/>
  <c r="W197" i="3"/>
  <c r="W69" i="3"/>
  <c r="X356" i="13"/>
  <c r="X340" i="13" s="1"/>
  <c r="X324" i="13" s="1"/>
  <c r="X364" i="13"/>
  <c r="X348" i="13" s="1"/>
  <c r="X332" i="13" s="1"/>
  <c r="X361" i="13"/>
  <c r="X345" i="13" s="1"/>
  <c r="X329" i="13" s="1"/>
  <c r="X355" i="13"/>
  <c r="X366" i="13"/>
  <c r="X350" i="13" s="1"/>
  <c r="X334" i="13" s="1"/>
  <c r="X363" i="13"/>
  <c r="X347" i="13" s="1"/>
  <c r="X331" i="13" s="1"/>
  <c r="X358" i="13"/>
  <c r="X342" i="13" s="1"/>
  <c r="X326" i="13" s="1"/>
  <c r="X357" i="13"/>
  <c r="X341" i="13" s="1"/>
  <c r="X325" i="13" s="1"/>
  <c r="X360" i="13"/>
  <c r="X344" i="13" s="1"/>
  <c r="X328" i="13" s="1"/>
  <c r="X362" i="13"/>
  <c r="X346" i="13" s="1"/>
  <c r="X330" i="13" s="1"/>
  <c r="X365" i="13"/>
  <c r="X349" i="13" s="1"/>
  <c r="X333" i="13" s="1"/>
  <c r="X359" i="13"/>
  <c r="X343" i="13" s="1"/>
  <c r="X327" i="13" s="1"/>
  <c r="W133" i="9"/>
  <c r="W8" i="9" s="1"/>
  <c r="Z76" i="5"/>
  <c r="Z63" i="5"/>
  <c r="T116" i="21"/>
  <c r="T100" i="21" s="1"/>
  <c r="T100" i="19"/>
  <c r="AG121" i="4"/>
  <c r="AG154" i="4" s="1"/>
  <c r="AG115" i="4"/>
  <c r="AQ245" i="11"/>
  <c r="AO245" i="11"/>
  <c r="AM245" i="11"/>
  <c r="AA129" i="23"/>
  <c r="AA22" i="23"/>
  <c r="AI9" i="7"/>
  <c r="AI12" i="7"/>
  <c r="AJ15" i="7"/>
  <c r="AK15" i="7" s="1"/>
  <c r="AI115" i="4"/>
  <c r="AI197" i="11"/>
  <c r="AL38" i="4"/>
  <c r="W94" i="3"/>
  <c r="AH91" i="4"/>
  <c r="AP245" i="11"/>
  <c r="AI134" i="11"/>
  <c r="I500" i="3"/>
  <c r="Z160" i="9"/>
  <c r="Z144" i="9" s="1"/>
  <c r="Z144" i="7"/>
  <c r="W201" i="3"/>
  <c r="W73" i="3"/>
  <c r="AH83" i="4"/>
  <c r="AG87" i="4"/>
  <c r="AH159" i="15"/>
  <c r="AI159" i="15"/>
  <c r="AJ159" i="15" s="1"/>
  <c r="AE146" i="11"/>
  <c r="AE94" i="4"/>
  <c r="T114" i="21"/>
  <c r="T98" i="21" s="1"/>
  <c r="T98" i="19"/>
  <c r="X164" i="9"/>
  <c r="X148" i="9" s="1"/>
  <c r="X148" i="7"/>
  <c r="AC65" i="23"/>
  <c r="AE127" i="4"/>
  <c r="AE128" i="4" s="1"/>
  <c r="H387" i="3"/>
  <c r="I387" i="3"/>
  <c r="AI138" i="11"/>
  <c r="Y107" i="9"/>
  <c r="AJ140" i="11"/>
  <c r="AL340" i="19"/>
  <c r="W198" i="3"/>
  <c r="W70" i="3"/>
  <c r="L400" i="4"/>
  <c r="AE176" i="23"/>
  <c r="AE160" i="23" s="1"/>
  <c r="AE128" i="23" s="1"/>
  <c r="AE32" i="23" s="1"/>
  <c r="W89" i="3"/>
  <c r="X89" i="7"/>
  <c r="X25" i="7" s="1"/>
  <c r="X93" i="7"/>
  <c r="X29" i="7" s="1"/>
  <c r="X94" i="7"/>
  <c r="X30" i="7" s="1"/>
  <c r="W362" i="15"/>
  <c r="AE419" i="3"/>
  <c r="AE467" i="3"/>
  <c r="Y37" i="5"/>
  <c r="X39" i="5"/>
  <c r="T122" i="21"/>
  <c r="T106" i="21" s="1"/>
  <c r="T106" i="19"/>
  <c r="Z66" i="15"/>
  <c r="AB82" i="15"/>
  <c r="AC82" i="15" s="1"/>
  <c r="AC66" i="15" s="1"/>
  <c r="Y59" i="9"/>
  <c r="Y43" i="9" s="1"/>
  <c r="Y43" i="7"/>
  <c r="AC49" i="23"/>
  <c r="AC21" i="23"/>
  <c r="AF77" i="4"/>
  <c r="AQ132" i="19"/>
  <c r="AB148" i="4"/>
  <c r="AB67" i="4"/>
  <c r="AL326" i="19"/>
  <c r="AN342" i="19"/>
  <c r="AN326" i="19" s="1"/>
  <c r="AM342" i="19"/>
  <c r="AM326" i="19" s="1"/>
  <c r="AF118" i="23"/>
  <c r="AH86" i="4"/>
  <c r="G500" i="3"/>
  <c r="AG25" i="23"/>
  <c r="Y48" i="7"/>
  <c r="Y64" i="9"/>
  <c r="Y48" i="9" s="1"/>
  <c r="T113" i="21"/>
  <c r="T97" i="19"/>
  <c r="AO338" i="19"/>
  <c r="AO322" i="19" s="1"/>
  <c r="AG91" i="4"/>
  <c r="Z145" i="7"/>
  <c r="AG37" i="23"/>
  <c r="AK129" i="15"/>
  <c r="AK113" i="15" s="1"/>
  <c r="AI143" i="11"/>
  <c r="Y121" i="7"/>
  <c r="Z121" i="7" s="1"/>
  <c r="Y111" i="9"/>
  <c r="AJ134" i="11"/>
  <c r="X196" i="15"/>
  <c r="Y145" i="7"/>
  <c r="AL193" i="11"/>
  <c r="AL8" i="11"/>
  <c r="R327" i="4"/>
  <c r="R312" i="4"/>
  <c r="X89" i="9"/>
  <c r="X117" i="9"/>
  <c r="X7" i="9" s="1"/>
  <c r="AG144" i="11"/>
  <c r="AG145" i="11" s="1"/>
  <c r="AG194" i="11"/>
  <c r="X93" i="9"/>
  <c r="X29" i="9" s="1"/>
  <c r="X94" i="9"/>
  <c r="X30" i="9" s="1"/>
  <c r="W90" i="3"/>
  <c r="T115" i="21"/>
  <c r="T99" i="21" s="1"/>
  <c r="T99" i="19"/>
  <c r="Y41" i="7"/>
  <c r="Y57" i="9"/>
  <c r="W200" i="3"/>
  <c r="W72" i="3"/>
  <c r="AL115" i="4"/>
  <c r="AL197" i="11"/>
  <c r="X131" i="25"/>
  <c r="X24" i="25"/>
  <c r="X35" i="25" s="1"/>
  <c r="Y120" i="25"/>
  <c r="Y163" i="25"/>
  <c r="Y11" i="25" s="1"/>
  <c r="Y10" i="25" s="1"/>
  <c r="AE68" i="4"/>
  <c r="AM128" i="15"/>
  <c r="AM112" i="15" s="1"/>
  <c r="AN160" i="15"/>
  <c r="AN128" i="15" s="1"/>
  <c r="AN112" i="15" s="1"/>
  <c r="AG84" i="4"/>
  <c r="AC118" i="23"/>
  <c r="AJ121" i="4"/>
  <c r="AJ203" i="11"/>
  <c r="AL328" i="19"/>
  <c r="AM344" i="19"/>
  <c r="AM328" i="19" s="1"/>
  <c r="Y113" i="9"/>
  <c r="Q314" i="4"/>
  <c r="Q329" i="4"/>
  <c r="Q428" i="3"/>
  <c r="Q413" i="3"/>
  <c r="AI192" i="11"/>
  <c r="Y123" i="7"/>
  <c r="Y123" i="9" s="1"/>
  <c r="Z145" i="9"/>
  <c r="AI142" i="11"/>
  <c r="I400" i="4"/>
  <c r="E400" i="4"/>
  <c r="P387" i="3"/>
  <c r="W165" i="9"/>
  <c r="W10" i="9" s="1"/>
  <c r="G371" i="3"/>
  <c r="H371" i="3"/>
  <c r="AI139" i="11"/>
  <c r="Y126" i="7"/>
  <c r="Y126" i="9" s="1"/>
  <c r="Y115" i="9"/>
  <c r="Z105" i="7"/>
  <c r="AJ136" i="11"/>
  <c r="AA209" i="15"/>
  <c r="AA193" i="15" s="1"/>
  <c r="X49" i="11"/>
  <c r="BD38" i="11"/>
  <c r="AI333" i="19"/>
  <c r="Z23" i="25"/>
  <c r="Z51" i="25"/>
  <c r="AG83" i="4"/>
  <c r="AN302" i="15"/>
  <c r="AE74" i="4"/>
  <c r="AI419" i="3"/>
  <c r="AI467" i="3"/>
  <c r="AF111" i="15"/>
  <c r="AF116" i="15" s="1"/>
  <c r="AF132" i="15"/>
  <c r="AA280" i="15"/>
  <c r="AF146" i="11"/>
  <c r="AF94" i="4"/>
  <c r="AF95" i="4" s="1"/>
  <c r="T117" i="21"/>
  <c r="T101" i="21" s="1"/>
  <c r="T101" i="19"/>
  <c r="Y65" i="9"/>
  <c r="Y49" i="9" s="1"/>
  <c r="Y49" i="7"/>
  <c r="AA154" i="4"/>
  <c r="AA73" i="4"/>
  <c r="AJ35" i="4"/>
  <c r="AK101" i="11"/>
  <c r="AE72" i="4"/>
  <c r="AF49" i="23"/>
  <c r="AF21" i="23"/>
  <c r="AB120" i="4"/>
  <c r="AL250" i="11"/>
  <c r="AB202" i="11"/>
  <c r="AB122" i="11" s="1"/>
  <c r="AB42" i="11" s="1"/>
  <c r="AH250" i="11"/>
  <c r="AJ250" i="11"/>
  <c r="W92" i="3"/>
  <c r="AF3" i="15"/>
  <c r="CG4" i="15"/>
  <c r="AF84" i="15"/>
  <c r="AK123" i="15"/>
  <c r="AK107" i="15" s="1"/>
  <c r="AK250" i="11"/>
  <c r="BO21" i="13"/>
  <c r="W20" i="13"/>
  <c r="BO20" i="13" s="1"/>
  <c r="T120" i="21"/>
  <c r="T104" i="21" s="1"/>
  <c r="T104" i="19"/>
  <c r="Z112" i="9"/>
  <c r="AJ133" i="11"/>
  <c r="AA147" i="7"/>
  <c r="AA163" i="9"/>
  <c r="AA147" i="9" s="1"/>
  <c r="W369" i="15"/>
  <c r="W353" i="15" s="1"/>
  <c r="W49" i="15" s="1"/>
  <c r="AD468" i="3"/>
  <c r="AH468" i="3" s="1"/>
  <c r="J500" i="3"/>
  <c r="AG26" i="23"/>
  <c r="AG22" i="23"/>
  <c r="AH87" i="4"/>
  <c r="W91" i="3"/>
  <c r="AH93" i="4"/>
  <c r="AG80" i="23"/>
  <c r="AG64" i="23" s="1"/>
  <c r="AG48" i="23" s="1"/>
  <c r="AG32" i="23" s="1"/>
  <c r="BM4" i="13"/>
  <c r="U3" i="13"/>
  <c r="U26" i="1"/>
  <c r="U25" i="1" s="1"/>
  <c r="AF32" i="23"/>
  <c r="Y122" i="7"/>
  <c r="Y122" i="9" s="1"/>
  <c r="AA139" i="9"/>
  <c r="AJ141" i="11"/>
  <c r="AA202" i="15"/>
  <c r="AA186" i="15" s="1"/>
  <c r="J400" i="4"/>
  <c r="X95" i="7"/>
  <c r="X31" i="7" s="1"/>
  <c r="AF68" i="4"/>
  <c r="W202" i="3"/>
  <c r="W74" i="3"/>
  <c r="X41" i="9"/>
  <c r="AP129" i="19"/>
  <c r="AQ129" i="19" s="1"/>
  <c r="I272" i="4"/>
  <c r="T118" i="21"/>
  <c r="T102" i="21" s="1"/>
  <c r="T102" i="19"/>
  <c r="X92" i="9"/>
  <c r="Y61" i="9"/>
  <c r="Y45" i="9" s="1"/>
  <c r="Y45" i="7"/>
  <c r="Y164" i="7"/>
  <c r="T372" i="19"/>
  <c r="T373" i="19"/>
  <c r="T377" i="19"/>
  <c r="AB312" i="15"/>
  <c r="AB280" i="15" s="1"/>
  <c r="AB317" i="15"/>
  <c r="AB285" i="15" s="1"/>
  <c r="AB316" i="15"/>
  <c r="AB284" i="15" s="1"/>
  <c r="AB322" i="15"/>
  <c r="AB290" i="15" s="1"/>
  <c r="AB314" i="15"/>
  <c r="AB282" i="15" s="1"/>
  <c r="AB315" i="15"/>
  <c r="AB283" i="15" s="1"/>
  <c r="AB321" i="15"/>
  <c r="AB289" i="15" s="1"/>
  <c r="Z127" i="4"/>
  <c r="Z128" i="4" s="1"/>
  <c r="Y58" i="9"/>
  <c r="Y42" i="9" s="1"/>
  <c r="Y42" i="7"/>
  <c r="AB7" i="7"/>
  <c r="AB117" i="7" s="1"/>
  <c r="AB15" i="6"/>
  <c r="AB3" i="7"/>
  <c r="AG88" i="4"/>
  <c r="Y106" i="9"/>
  <c r="AG28" i="23"/>
  <c r="Z61" i="15"/>
  <c r="AA77" i="15"/>
  <c r="AB77" i="15" s="1"/>
  <c r="AB61" i="15" s="1"/>
  <c r="AJ142" i="11"/>
  <c r="AH92" i="4"/>
  <c r="X95" i="9"/>
  <c r="X31" i="9" s="1"/>
  <c r="W199" i="3"/>
  <c r="W71" i="3"/>
  <c r="W207" i="3"/>
  <c r="W79" i="3"/>
  <c r="V181" i="9"/>
  <c r="V11" i="9" s="1"/>
  <c r="V9" i="9" s="1"/>
  <c r="V146" i="9"/>
  <c r="AE65" i="23"/>
  <c r="AG468" i="3"/>
  <c r="AI468" i="3" s="1"/>
  <c r="AF468" i="3"/>
  <c r="AE468" i="3"/>
  <c r="O500" i="3"/>
  <c r="I288" i="4"/>
  <c r="AB121" i="4"/>
  <c r="AL251" i="11"/>
  <c r="AB203" i="11"/>
  <c r="AB123" i="11" s="1"/>
  <c r="AB43" i="11" s="1"/>
  <c r="X96" i="7"/>
  <c r="X32" i="7" s="1"/>
  <c r="M500" i="3"/>
  <c r="T124" i="19"/>
  <c r="X92" i="7"/>
  <c r="Y66" i="9"/>
  <c r="Y50" i="9" s="1"/>
  <c r="Y50" i="7"/>
  <c r="AA154" i="7"/>
  <c r="AB154" i="7" s="1"/>
  <c r="Y159" i="9"/>
  <c r="AA159" i="7"/>
  <c r="AB159" i="7" s="1"/>
  <c r="Z281" i="15"/>
  <c r="Z323" i="15"/>
  <c r="Z291" i="15" s="1"/>
  <c r="AA56" i="15"/>
  <c r="AA79" i="15"/>
  <c r="AA63" i="15" s="1"/>
  <c r="AC13" i="15"/>
  <c r="CA13" i="15" s="1"/>
  <c r="AI250" i="11"/>
  <c r="AI140" i="11"/>
  <c r="AF126" i="4"/>
  <c r="AF159" i="4" s="1"/>
  <c r="CE3" i="15"/>
  <c r="AA33" i="23"/>
  <c r="AJ115" i="4"/>
  <c r="AJ197" i="11"/>
  <c r="Z33" i="23"/>
  <c r="AG127" i="15"/>
  <c r="AG90" i="4" s="1"/>
  <c r="AG163" i="15"/>
  <c r="AG131" i="15" s="1"/>
  <c r="AG115" i="15" s="1"/>
  <c r="AF148" i="4"/>
  <c r="AH89" i="4"/>
  <c r="AE160" i="4"/>
  <c r="Y114" i="9"/>
  <c r="AG46" i="4"/>
  <c r="AJ139" i="11"/>
  <c r="AG4" i="15"/>
  <c r="AA74" i="15"/>
  <c r="Y130" i="7"/>
  <c r="Y130" i="9" s="1"/>
  <c r="Z106" i="7"/>
  <c r="R29" i="17"/>
  <c r="R13" i="2" s="1"/>
  <c r="AI28" i="17"/>
  <c r="R4" i="2"/>
  <c r="X132" i="7"/>
  <c r="G272" i="4"/>
  <c r="AF72" i="4"/>
  <c r="U37" i="7"/>
  <c r="AA203" i="15"/>
  <c r="AA187" i="15" s="1"/>
  <c r="X97" i="9"/>
  <c r="X33" i="9" s="1"/>
  <c r="Y68" i="15"/>
  <c r="W203" i="3"/>
  <c r="W75" i="3"/>
  <c r="W204" i="3"/>
  <c r="W76" i="3"/>
  <c r="AE49" i="23"/>
  <c r="AE21" i="23"/>
  <c r="Z201" i="15"/>
  <c r="Z185" i="15" s="1"/>
  <c r="AC6" i="7"/>
  <c r="AD6" i="7" s="1"/>
  <c r="AE75" i="4"/>
  <c r="M400" i="4"/>
  <c r="CE11" i="15"/>
  <c r="X96" i="9"/>
  <c r="X32" i="9" s="1"/>
  <c r="W139" i="9"/>
  <c r="W27" i="9" s="1"/>
  <c r="T121" i="21"/>
  <c r="T105" i="21" s="1"/>
  <c r="T105" i="19"/>
  <c r="T370" i="17"/>
  <c r="T38" i="17"/>
  <c r="T50" i="17" s="1"/>
  <c r="Y62" i="9"/>
  <c r="Y46" i="9" s="1"/>
  <c r="Y46" i="7"/>
  <c r="Z83" i="15"/>
  <c r="Z67" i="15" s="1"/>
  <c r="Y23" i="25"/>
  <c r="Y51" i="25"/>
  <c r="AB163" i="7"/>
  <c r="AC163" i="7" s="1"/>
  <c r="AB155" i="7"/>
  <c r="AB162" i="7"/>
  <c r="AB158" i="7"/>
  <c r="AB156" i="7"/>
  <c r="AC156" i="7" s="1"/>
  <c r="AB153" i="7"/>
  <c r="AC153" i="7" s="1"/>
  <c r="AB160" i="7"/>
  <c r="AC160" i="7" s="1"/>
  <c r="AB161" i="7"/>
  <c r="AB157" i="7"/>
  <c r="AC157" i="7" s="1"/>
  <c r="V371" i="15"/>
  <c r="V355" i="15" s="1"/>
  <c r="V51" i="15" s="1"/>
  <c r="W205" i="3"/>
  <c r="W77" i="3"/>
  <c r="Y110" i="9"/>
  <c r="AJ137" i="11"/>
  <c r="AB176" i="23"/>
  <c r="AB160" i="23" s="1"/>
  <c r="AB128" i="23" s="1"/>
  <c r="AB32" i="23" s="1"/>
  <c r="AG176" i="23"/>
  <c r="AG160" i="23" s="1"/>
  <c r="AG128" i="23" s="1"/>
  <c r="AH85" i="4"/>
  <c r="X178" i="9"/>
  <c r="Y178" i="7"/>
  <c r="X146" i="7"/>
  <c r="T123" i="21"/>
  <c r="T107" i="21" s="1"/>
  <c r="T107" i="19"/>
  <c r="AG27" i="23"/>
  <c r="Z115" i="9"/>
  <c r="AJ325" i="19"/>
  <c r="AL341" i="19"/>
  <c r="AM341" i="19"/>
  <c r="AM325" i="19" s="1"/>
  <c r="AA76" i="15"/>
  <c r="Z163" i="9"/>
  <c r="Z147" i="9" s="1"/>
  <c r="Z147" i="7"/>
  <c r="Z114" i="7"/>
  <c r="AJ138" i="11"/>
  <c r="AA59" i="15"/>
  <c r="AB75" i="15"/>
  <c r="Z107" i="7"/>
  <c r="AA107" i="7" s="1"/>
  <c r="AJ143" i="11"/>
  <c r="X367" i="15"/>
  <c r="X366" i="15"/>
  <c r="X364" i="15"/>
  <c r="X363" i="15"/>
  <c r="X368" i="15"/>
  <c r="X352" i="15" s="1"/>
  <c r="X48" i="15" s="1"/>
  <c r="X360" i="15"/>
  <c r="X361" i="15"/>
  <c r="X370" i="15"/>
  <c r="AK125" i="15"/>
  <c r="AK109" i="15" s="1"/>
  <c r="AL157" i="15"/>
  <c r="AM157" i="15" s="1"/>
  <c r="AM125" i="15" s="1"/>
  <c r="AM109" i="15" s="1"/>
  <c r="AG86" i="4"/>
  <c r="X97" i="7"/>
  <c r="X33" i="7" s="1"/>
  <c r="AL304" i="15"/>
  <c r="AM304" i="15" s="1"/>
  <c r="AG93" i="4"/>
  <c r="L500" i="3"/>
  <c r="AD165" i="7"/>
  <c r="AD11" i="7"/>
  <c r="AD181" i="7" s="1"/>
  <c r="AE10" i="7"/>
  <c r="AF10" i="7" s="1"/>
  <c r="AO321" i="19"/>
  <c r="AP337" i="19"/>
  <c r="AQ337" i="19"/>
  <c r="Y137" i="9"/>
  <c r="AM124" i="15"/>
  <c r="AM108" i="15" s="1"/>
  <c r="AN156" i="15"/>
  <c r="AO156" i="15" s="1"/>
  <c r="AO124" i="15" s="1"/>
  <c r="AO108" i="15" s="1"/>
  <c r="W25" i="9"/>
  <c r="W53" i="9"/>
  <c r="AF71" i="4"/>
  <c r="AF11" i="15"/>
  <c r="AK7" i="11"/>
  <c r="Z159" i="4"/>
  <c r="Z78" i="4"/>
  <c r="AA62" i="5"/>
  <c r="AA79" i="5" s="1"/>
  <c r="T386" i="17"/>
  <c r="T23" i="17" s="1"/>
  <c r="T22" i="17" s="1"/>
  <c r="T28" i="17" s="1"/>
  <c r="Y67" i="9"/>
  <c r="Y51" i="9" s="1"/>
  <c r="Y51" i="7"/>
  <c r="AB117" i="11"/>
  <c r="AE69" i="4"/>
  <c r="AG23" i="23"/>
  <c r="Z108" i="9"/>
  <c r="AF75" i="4"/>
  <c r="AA153" i="4"/>
  <c r="AA72" i="4"/>
  <c r="AB21" i="23"/>
  <c r="AB49" i="23"/>
  <c r="AH41" i="4"/>
  <c r="AH112" i="11"/>
  <c r="Y60" i="9"/>
  <c r="Y44" i="9" s="1"/>
  <c r="Y44" i="7"/>
  <c r="AK43" i="4"/>
  <c r="Y125" i="7"/>
  <c r="Y125" i="9" s="1"/>
  <c r="Z109" i="7"/>
  <c r="AJ324" i="19"/>
  <c r="AK340" i="19"/>
  <c r="AJ348" i="19"/>
  <c r="AJ332" i="19" s="1"/>
  <c r="R411" i="3"/>
  <c r="R426" i="3"/>
  <c r="AC161" i="7"/>
  <c r="U63" i="13"/>
  <c r="U64" i="13" s="1"/>
  <c r="U35" i="13"/>
  <c r="U47" i="13" s="1"/>
  <c r="AA139" i="7"/>
  <c r="W93" i="3"/>
  <c r="AN130" i="19"/>
  <c r="AN245" i="11"/>
  <c r="AE77" i="4"/>
  <c r="Z111" i="9"/>
  <c r="AE76" i="4"/>
  <c r="X90" i="9"/>
  <c r="X26" i="9" s="1"/>
  <c r="AA313" i="15"/>
  <c r="AA281" i="15" s="1"/>
  <c r="AB179" i="7"/>
  <c r="AB179" i="9" s="1"/>
  <c r="AB171" i="7"/>
  <c r="AB171" i="9" s="1"/>
  <c r="AB176" i="7"/>
  <c r="AB176" i="9" s="1"/>
  <c r="D500" i="3"/>
  <c r="AH42" i="4"/>
  <c r="AI108" i="11"/>
  <c r="Z65" i="15"/>
  <c r="AB81" i="15"/>
  <c r="AB65" i="15" s="1"/>
  <c r="AK191" i="11"/>
  <c r="AK186" i="11"/>
  <c r="AK190" i="11"/>
  <c r="AK182" i="11"/>
  <c r="AK183" i="11"/>
  <c r="AK188" i="11"/>
  <c r="AK187" i="11"/>
  <c r="AK181" i="11"/>
  <c r="AK189" i="11"/>
  <c r="AK184" i="11"/>
  <c r="AK185" i="11"/>
  <c r="AK251" i="11"/>
  <c r="Y63" i="9"/>
  <c r="Y47" i="9" s="1"/>
  <c r="Y47" i="7"/>
  <c r="AD63" i="11" l="1"/>
  <c r="AD61" i="11"/>
  <c r="AD53" i="11"/>
  <c r="AD58" i="11"/>
  <c r="AD54" i="11"/>
  <c r="AD62" i="11"/>
  <c r="AD59" i="11"/>
  <c r="AD60" i="11"/>
  <c r="AD80" i="11"/>
  <c r="AD64" i="11" s="1"/>
  <c r="AD56" i="11"/>
  <c r="AD57" i="11"/>
  <c r="AD31" i="13"/>
  <c r="AD4" i="6"/>
  <c r="AD33" i="11"/>
  <c r="AD34" i="11" s="1"/>
  <c r="AD55" i="11"/>
  <c r="AD22" i="11"/>
  <c r="AI254" i="11"/>
  <c r="AA68" i="4"/>
  <c r="AN249" i="11"/>
  <c r="AF74" i="4"/>
  <c r="AJ253" i="11"/>
  <c r="AN105" i="11"/>
  <c r="AM39" i="4"/>
  <c r="AH253" i="11"/>
  <c r="AH123" i="4" s="1"/>
  <c r="AH156" i="4" s="1"/>
  <c r="AM252" i="11"/>
  <c r="AM204" i="11" s="1"/>
  <c r="AI253" i="11"/>
  <c r="Z175" i="7"/>
  <c r="Z175" i="9" s="1"/>
  <c r="Z143" i="9" s="1"/>
  <c r="Y143" i="7"/>
  <c r="AG256" i="11"/>
  <c r="AG126" i="4" s="1"/>
  <c r="AG159" i="4" s="1"/>
  <c r="AM250" i="11"/>
  <c r="AM120" i="4" s="1"/>
  <c r="AM153" i="4" s="1"/>
  <c r="Y143" i="9"/>
  <c r="Y31" i="9" s="1"/>
  <c r="W36" i="9"/>
  <c r="AL252" i="11"/>
  <c r="AA59" i="5"/>
  <c r="AN250" i="11"/>
  <c r="AB318" i="15"/>
  <c r="AB286" i="15" s="1"/>
  <c r="Z141" i="7"/>
  <c r="Y97" i="9"/>
  <c r="Y33" i="9" s="1"/>
  <c r="Y97" i="7"/>
  <c r="Y33" i="7" s="1"/>
  <c r="U2" i="2"/>
  <c r="AA175" i="7"/>
  <c r="BW22" i="15"/>
  <c r="AA23" i="15"/>
  <c r="AA28" i="6"/>
  <c r="AA22" i="6" s="1"/>
  <c r="AA173" i="7"/>
  <c r="AB173" i="7" s="1"/>
  <c r="AB141" i="7" s="1"/>
  <c r="AA144" i="7"/>
  <c r="AB8" i="7"/>
  <c r="AB133" i="7" s="1"/>
  <c r="X28" i="9"/>
  <c r="AA144" i="9"/>
  <c r="W9" i="9"/>
  <c r="AM155" i="15"/>
  <c r="AM123" i="15" s="1"/>
  <c r="AM107" i="15" s="1"/>
  <c r="AB177" i="7"/>
  <c r="AB177" i="9" s="1"/>
  <c r="X28" i="7"/>
  <c r="AB200" i="15"/>
  <c r="AB184" i="15" s="1"/>
  <c r="AB206" i="15"/>
  <c r="AB190" i="15" s="1"/>
  <c r="AB205" i="15"/>
  <c r="AB189" i="15" s="1"/>
  <c r="X365" i="15"/>
  <c r="X349" i="15" s="1"/>
  <c r="X45" i="15" s="1"/>
  <c r="V356" i="15"/>
  <c r="V52" i="15" s="1"/>
  <c r="AA208" i="15"/>
  <c r="AA192" i="15" s="1"/>
  <c r="AM130" i="15"/>
  <c r="AM114" i="15" s="1"/>
  <c r="Z138" i="7"/>
  <c r="W36" i="7"/>
  <c r="W37" i="7" s="1"/>
  <c r="AN162" i="15"/>
  <c r="AN130" i="15" s="1"/>
  <c r="AN114" i="15" s="1"/>
  <c r="Y96" i="7"/>
  <c r="Y32" i="7" s="1"/>
  <c r="Z138" i="9"/>
  <c r="Z292" i="15"/>
  <c r="AK152" i="15"/>
  <c r="AK120" i="15" s="1"/>
  <c r="AK104" i="15" s="1"/>
  <c r="AC312" i="15"/>
  <c r="AC280" i="15" s="1"/>
  <c r="Y96" i="9"/>
  <c r="Y32" i="9" s="1"/>
  <c r="AJ144" i="11"/>
  <c r="AJ145" i="11" s="1"/>
  <c r="AH14" i="7"/>
  <c r="AH229" i="7" s="1"/>
  <c r="AB319" i="15"/>
  <c r="AB287" i="15" s="1"/>
  <c r="Z128" i="7"/>
  <c r="Z128" i="9" s="1"/>
  <c r="Z96" i="9" s="1"/>
  <c r="AA170" i="7"/>
  <c r="AA170" i="9" s="1"/>
  <c r="AJ120" i="15"/>
  <c r="AJ104" i="15" s="1"/>
  <c r="AK8" i="15"/>
  <c r="AO153" i="15"/>
  <c r="AO121" i="15" s="1"/>
  <c r="AO105" i="15" s="1"/>
  <c r="Z174" i="9"/>
  <c r="Z142" i="9" s="1"/>
  <c r="AA174" i="7"/>
  <c r="AB174" i="7" s="1"/>
  <c r="Z142" i="7"/>
  <c r="AC159" i="7"/>
  <c r="AD159" i="7" s="1"/>
  <c r="Z211" i="15"/>
  <c r="Z195" i="15" s="1"/>
  <c r="AB204" i="15"/>
  <c r="AB188" i="15" s="1"/>
  <c r="Y93" i="7"/>
  <c r="AB207" i="15"/>
  <c r="AB191" i="15" s="1"/>
  <c r="Y93" i="9"/>
  <c r="Y29" i="9" s="1"/>
  <c r="Y79" i="4"/>
  <c r="AK10" i="15"/>
  <c r="Z129" i="7"/>
  <c r="Z129" i="9" s="1"/>
  <c r="Z97" i="9" s="1"/>
  <c r="Z127" i="7"/>
  <c r="Z127" i="9" s="1"/>
  <c r="Z95" i="9" s="1"/>
  <c r="Z122" i="7"/>
  <c r="Z122" i="9" s="1"/>
  <c r="Z130" i="7"/>
  <c r="Z130" i="9" s="1"/>
  <c r="AN161" i="15"/>
  <c r="AN129" i="15" s="1"/>
  <c r="AN113" i="15" s="1"/>
  <c r="Y52" i="7"/>
  <c r="Y53" i="7" s="1"/>
  <c r="Z124" i="7"/>
  <c r="Z124" i="9" s="1"/>
  <c r="Z92" i="9" s="1"/>
  <c r="AB210" i="15"/>
  <c r="AB194" i="15" s="1"/>
  <c r="X34" i="7"/>
  <c r="AA145" i="9"/>
  <c r="AA204" i="15"/>
  <c r="AA188" i="15" s="1"/>
  <c r="Y90" i="9"/>
  <c r="Y26" i="9" s="1"/>
  <c r="Y90" i="7"/>
  <c r="Y26" i="7" s="1"/>
  <c r="AA145" i="7"/>
  <c r="AO160" i="15"/>
  <c r="AO128" i="15" s="1"/>
  <c r="AO112" i="15" s="1"/>
  <c r="Z169" i="9"/>
  <c r="Z137" i="9" s="1"/>
  <c r="AO104" i="11"/>
  <c r="AJ117" i="4"/>
  <c r="AJ150" i="4" s="1"/>
  <c r="AJ199" i="11"/>
  <c r="AI122" i="4"/>
  <c r="AI204" i="11"/>
  <c r="AI124" i="11" s="1"/>
  <c r="AG14" i="11"/>
  <c r="AG241" i="11" s="1"/>
  <c r="AF241" i="11"/>
  <c r="AB204" i="11"/>
  <c r="AB124" i="11" s="1"/>
  <c r="AB44" i="11" s="1"/>
  <c r="AO248" i="11"/>
  <c r="AO118" i="4" s="1"/>
  <c r="AA127" i="4"/>
  <c r="AA128" i="4" s="1"/>
  <c r="AD241" i="11"/>
  <c r="AH14" i="11"/>
  <c r="AH241" i="11" s="1"/>
  <c r="AA157" i="4"/>
  <c r="AA76" i="4"/>
  <c r="Z79" i="4"/>
  <c r="AP248" i="11"/>
  <c r="AP118" i="4" s="1"/>
  <c r="AC239" i="11"/>
  <c r="AC231" i="11"/>
  <c r="AC230" i="11"/>
  <c r="AC233" i="11"/>
  <c r="AC238" i="11"/>
  <c r="AC237" i="11"/>
  <c r="AC232" i="11"/>
  <c r="AC235" i="11"/>
  <c r="AC229" i="11"/>
  <c r="AC236" i="11"/>
  <c r="AC240" i="11"/>
  <c r="AC234" i="11"/>
  <c r="Z38" i="11"/>
  <c r="BF118" i="11"/>
  <c r="AG124" i="4"/>
  <c r="AG157" i="4" s="1"/>
  <c r="AM254" i="11"/>
  <c r="AN254" i="11"/>
  <c r="AB256" i="11"/>
  <c r="AB126" i="4" s="1"/>
  <c r="AI246" i="11"/>
  <c r="AE238" i="11"/>
  <c r="AE231" i="11"/>
  <c r="AE230" i="11"/>
  <c r="AE239" i="11"/>
  <c r="AE234" i="11"/>
  <c r="AE233" i="11"/>
  <c r="AE232" i="11"/>
  <c r="AE235" i="11"/>
  <c r="AE237" i="11"/>
  <c r="AE240" i="11"/>
  <c r="AE236" i="11"/>
  <c r="AE229" i="11"/>
  <c r="AF127" i="4"/>
  <c r="AF128" i="4" s="1"/>
  <c r="AK204" i="11"/>
  <c r="AI206" i="11"/>
  <c r="AI126" i="11" s="1"/>
  <c r="AI124" i="4"/>
  <c r="AI157" i="4" s="1"/>
  <c r="AH254" i="11"/>
  <c r="AH124" i="4" s="1"/>
  <c r="AH157" i="4" s="1"/>
  <c r="AB124" i="4"/>
  <c r="AL254" i="11"/>
  <c r="AP251" i="11"/>
  <c r="AH116" i="4"/>
  <c r="AH149" i="4" s="1"/>
  <c r="AI205" i="11"/>
  <c r="AI123" i="4"/>
  <c r="AI156" i="4" s="1"/>
  <c r="AJ246" i="11"/>
  <c r="AJ256" i="11" s="1"/>
  <c r="AJ208" i="11" s="1"/>
  <c r="AK254" i="11"/>
  <c r="Z80" i="5"/>
  <c r="AG123" i="4"/>
  <c r="AG156" i="4" s="1"/>
  <c r="AN253" i="11"/>
  <c r="AP253" i="11"/>
  <c r="AM253" i="11"/>
  <c r="AO253" i="11"/>
  <c r="AA156" i="4"/>
  <c r="AA75" i="4"/>
  <c r="AJ123" i="4"/>
  <c r="AJ156" i="4" s="1"/>
  <c r="AJ205" i="11"/>
  <c r="AJ125" i="11" s="1"/>
  <c r="AP252" i="11"/>
  <c r="AP204" i="11" s="1"/>
  <c r="AP246" i="11"/>
  <c r="AP116" i="4" s="1"/>
  <c r="AP149" i="4" s="1"/>
  <c r="AB123" i="4"/>
  <c r="AL253" i="11"/>
  <c r="AK156" i="4"/>
  <c r="AJ254" i="11"/>
  <c r="AG116" i="4"/>
  <c r="AG149" i="4" s="1"/>
  <c r="AM246" i="11"/>
  <c r="AK116" i="4"/>
  <c r="AK149" i="4" s="1"/>
  <c r="AN248" i="11"/>
  <c r="AN118" i="4" s="1"/>
  <c r="AM248" i="11"/>
  <c r="AM200" i="11" s="1"/>
  <c r="AM109" i="11"/>
  <c r="AP106" i="11"/>
  <c r="AO40" i="4"/>
  <c r="AH247" i="11"/>
  <c r="AK247" i="11"/>
  <c r="AK256" i="11" s="1"/>
  <c r="AI247" i="11"/>
  <c r="AI256" i="11" s="1"/>
  <c r="AI126" i="4" s="1"/>
  <c r="AB199" i="11"/>
  <c r="AB119" i="11" s="1"/>
  <c r="AB39" i="11" s="1"/>
  <c r="AB117" i="4"/>
  <c r="AL247" i="11"/>
  <c r="AK205" i="11"/>
  <c r="AI121" i="4"/>
  <c r="AB122" i="4"/>
  <c r="AH252" i="11"/>
  <c r="AO252" i="11" s="1"/>
  <c r="AO122" i="4" s="1"/>
  <c r="AN246" i="11"/>
  <c r="AG117" i="4"/>
  <c r="AG150" i="4" s="1"/>
  <c r="AM247" i="11"/>
  <c r="AJ252" i="11"/>
  <c r="AN252" i="11"/>
  <c r="AA150" i="4"/>
  <c r="AA69" i="4"/>
  <c r="AA35" i="5" s="1"/>
  <c r="AK159" i="15"/>
  <c r="AK127" i="15" s="1"/>
  <c r="AK111" i="15" s="1"/>
  <c r="AL8" i="15"/>
  <c r="AL10" i="15"/>
  <c r="AL126" i="15"/>
  <c r="AL110" i="15" s="1"/>
  <c r="AM158" i="15"/>
  <c r="AM126" i="15" s="1"/>
  <c r="AM110" i="15" s="1"/>
  <c r="AP121" i="4"/>
  <c r="AP203" i="11"/>
  <c r="AB173" i="9"/>
  <c r="AC173" i="7"/>
  <c r="AC173" i="9" s="1"/>
  <c r="AB169" i="9"/>
  <c r="AC169" i="7"/>
  <c r="AC169" i="9" s="1"/>
  <c r="W26" i="9"/>
  <c r="W37" i="9" s="1"/>
  <c r="W101" i="9"/>
  <c r="AK192" i="11"/>
  <c r="AK194" i="11" s="1"/>
  <c r="AP153" i="15"/>
  <c r="AP121" i="15" s="1"/>
  <c r="AP105" i="15" s="1"/>
  <c r="AB320" i="15"/>
  <c r="AB323" i="15" s="1"/>
  <c r="AB291" i="15" s="1"/>
  <c r="AA201" i="15"/>
  <c r="AA185" i="15" s="1"/>
  <c r="AL118" i="4"/>
  <c r="AL151" i="4" s="1"/>
  <c r="AL200" i="11"/>
  <c r="AM122" i="4"/>
  <c r="AO207" i="11"/>
  <c r="AO125" i="4"/>
  <c r="AB151" i="4"/>
  <c r="AB70" i="4"/>
  <c r="Y39" i="5"/>
  <c r="AN200" i="11"/>
  <c r="AA155" i="4"/>
  <c r="AA74" i="4"/>
  <c r="Z196" i="15"/>
  <c r="AJ125" i="4"/>
  <c r="AJ207" i="11"/>
  <c r="AJ127" i="11" s="1"/>
  <c r="Z126" i="7"/>
  <c r="AA126" i="7" s="1"/>
  <c r="AO251" i="11"/>
  <c r="AO203" i="11" s="1"/>
  <c r="AN125" i="4"/>
  <c r="AN207" i="11"/>
  <c r="AK207" i="11"/>
  <c r="AK125" i="4"/>
  <c r="Z131" i="7"/>
  <c r="AA131" i="7" s="1"/>
  <c r="Z140" i="7"/>
  <c r="AI118" i="4"/>
  <c r="AI151" i="4" s="1"/>
  <c r="AI200" i="11"/>
  <c r="AI120" i="11" s="1"/>
  <c r="AO200" i="11"/>
  <c r="Y95" i="7"/>
  <c r="Z140" i="9"/>
  <c r="AP255" i="11"/>
  <c r="AB158" i="4"/>
  <c r="AB77" i="4"/>
  <c r="AH4" i="15"/>
  <c r="AI4" i="15" s="1"/>
  <c r="Y95" i="9"/>
  <c r="AA208" i="11"/>
  <c r="AA128" i="11" s="1"/>
  <c r="AA48" i="11" s="1"/>
  <c r="AL119" i="4"/>
  <c r="AL152" i="4" s="1"/>
  <c r="AL201" i="11"/>
  <c r="AM119" i="4"/>
  <c r="AM152" i="4" s="1"/>
  <c r="AM201" i="11"/>
  <c r="AM125" i="4"/>
  <c r="AM207" i="11"/>
  <c r="Z68" i="7"/>
  <c r="Z52" i="7" s="1"/>
  <c r="AL125" i="4"/>
  <c r="AL207" i="11"/>
  <c r="AF70" i="4"/>
  <c r="Y99" i="7"/>
  <c r="Y35" i="7" s="1"/>
  <c r="AB152" i="4"/>
  <c r="AB71" i="4"/>
  <c r="AN119" i="4"/>
  <c r="AN201" i="11"/>
  <c r="AI201" i="11"/>
  <c r="AI119" i="4"/>
  <c r="AI152" i="4" s="1"/>
  <c r="AA83" i="15"/>
  <c r="AA67" i="15" s="1"/>
  <c r="Y98" i="7"/>
  <c r="Z68" i="15"/>
  <c r="Y99" i="9"/>
  <c r="Y35" i="9" s="1"/>
  <c r="AA57" i="15"/>
  <c r="AC73" i="15"/>
  <c r="AQ249" i="11"/>
  <c r="W6" i="9"/>
  <c r="W15" i="9" s="1"/>
  <c r="AI158" i="4"/>
  <c r="AB149" i="4"/>
  <c r="AB68" i="4"/>
  <c r="AG118" i="4"/>
  <c r="AG151" i="4" s="1"/>
  <c r="AQ248" i="11"/>
  <c r="AM7" i="15"/>
  <c r="AJ119" i="4"/>
  <c r="AJ152" i="4" s="1"/>
  <c r="AJ201" i="11"/>
  <c r="AJ121" i="11" s="1"/>
  <c r="AB313" i="15"/>
  <c r="AB281" i="15" s="1"/>
  <c r="AC322" i="15"/>
  <c r="AC290" i="15" s="1"/>
  <c r="AL116" i="4"/>
  <c r="AL149" i="4" s="1"/>
  <c r="AL198" i="11"/>
  <c r="AC78" i="15"/>
  <c r="AP249" i="11"/>
  <c r="Y160" i="4"/>
  <c r="Y94" i="7"/>
  <c r="Y30" i="7" s="1"/>
  <c r="AB164" i="7"/>
  <c r="AB164" i="9" s="1"/>
  <c r="V15" i="9"/>
  <c r="AC316" i="15"/>
  <c r="AC284" i="15" s="1"/>
  <c r="AN251" i="11"/>
  <c r="AN121" i="4" s="1"/>
  <c r="AA172" i="7"/>
  <c r="AB172" i="7" s="1"/>
  <c r="AK118" i="4"/>
  <c r="AK151" i="4" s="1"/>
  <c r="AK200" i="11"/>
  <c r="AO249" i="11"/>
  <c r="AC317" i="15"/>
  <c r="AC285" i="15" s="1"/>
  <c r="Y92" i="9"/>
  <c r="Y28" i="9" s="1"/>
  <c r="AQ255" i="11"/>
  <c r="AB80" i="15"/>
  <c r="AB64" i="15" s="1"/>
  <c r="AJ118" i="4"/>
  <c r="AJ151" i="4" s="1"/>
  <c r="AJ200" i="11"/>
  <c r="AK126" i="15"/>
  <c r="AK110" i="15" s="1"/>
  <c r="Y94" i="9"/>
  <c r="Y30" i="9" s="1"/>
  <c r="AH121" i="4"/>
  <c r="AH154" i="4" s="1"/>
  <c r="AC318" i="15"/>
  <c r="AC286" i="15" s="1"/>
  <c r="Y92" i="7"/>
  <c r="Y28" i="7" s="1"/>
  <c r="AA151" i="4"/>
  <c r="AA70" i="4"/>
  <c r="AA36" i="5" s="1"/>
  <c r="AN304" i="15"/>
  <c r="AD15" i="6"/>
  <c r="AD3" i="7"/>
  <c r="AE6" i="7"/>
  <c r="AC153" i="9"/>
  <c r="Z121" i="9"/>
  <c r="AC156" i="9"/>
  <c r="AO38" i="4"/>
  <c r="AK120" i="4"/>
  <c r="AK153" i="4" s="1"/>
  <c r="AK202" i="11"/>
  <c r="X181" i="9"/>
  <c r="X11" i="9" s="1"/>
  <c r="X146" i="9"/>
  <c r="AA60" i="15"/>
  <c r="AK137" i="11"/>
  <c r="AF165" i="7"/>
  <c r="AF11" i="7"/>
  <c r="AF181" i="7" s="1"/>
  <c r="X351" i="15"/>
  <c r="X47" i="15" s="1"/>
  <c r="Y367" i="15"/>
  <c r="Y351" i="15" s="1"/>
  <c r="Y47" i="15" s="1"/>
  <c r="AJ140" i="19"/>
  <c r="AB159" i="9"/>
  <c r="AG67" i="4"/>
  <c r="T293" i="4"/>
  <c r="T392" i="3"/>
  <c r="AJ119" i="11"/>
  <c r="AJ85" i="4"/>
  <c r="R14" i="2"/>
  <c r="R15" i="2" s="1"/>
  <c r="T124" i="21"/>
  <c r="T108" i="21" s="1"/>
  <c r="T108" i="19"/>
  <c r="AB110" i="7"/>
  <c r="AB113" i="7"/>
  <c r="AB107" i="7"/>
  <c r="AB111" i="7"/>
  <c r="AB115" i="7"/>
  <c r="AB112" i="7"/>
  <c r="AB108" i="7"/>
  <c r="AJ9" i="7"/>
  <c r="AK9" i="7" s="1"/>
  <c r="AJ12" i="7"/>
  <c r="AK12" i="7" s="1"/>
  <c r="AD28" i="23"/>
  <c r="AH68" i="4"/>
  <c r="Z48" i="7"/>
  <c r="Z64" i="9"/>
  <c r="Z48" i="9" s="1"/>
  <c r="AB74" i="15"/>
  <c r="W196" i="3"/>
  <c r="W208" i="3" s="1"/>
  <c r="W48" i="3"/>
  <c r="W68" i="3"/>
  <c r="W80" i="3" s="1"/>
  <c r="AB129" i="23"/>
  <c r="AB22" i="23"/>
  <c r="AK133" i="11"/>
  <c r="AJ333" i="19"/>
  <c r="Z107" i="9"/>
  <c r="Z123" i="7"/>
  <c r="Z106" i="9"/>
  <c r="Y164" i="9"/>
  <c r="AI144" i="11"/>
  <c r="AI145" i="11" s="1"/>
  <c r="AI194" i="11"/>
  <c r="AM193" i="11"/>
  <c r="AM8" i="11"/>
  <c r="AF129" i="23"/>
  <c r="AF22" i="23"/>
  <c r="AL15" i="7"/>
  <c r="AD37" i="23"/>
  <c r="AB202" i="15"/>
  <c r="AB186" i="15" s="1"/>
  <c r="AJ45" i="4"/>
  <c r="Z65" i="9"/>
  <c r="Z49" i="9" s="1"/>
  <c r="Z49" i="7"/>
  <c r="X101" i="13"/>
  <c r="X38" i="3" s="1"/>
  <c r="X102" i="13"/>
  <c r="X39" i="3" s="1"/>
  <c r="X103" i="13"/>
  <c r="X40" i="3" s="1"/>
  <c r="X110" i="13"/>
  <c r="X47" i="3" s="1"/>
  <c r="X107" i="13"/>
  <c r="X44" i="3" s="1"/>
  <c r="X109" i="13"/>
  <c r="X46" i="3" s="1"/>
  <c r="X106" i="13"/>
  <c r="X43" i="3" s="1"/>
  <c r="X99" i="13"/>
  <c r="X105" i="13"/>
  <c r="X42" i="3" s="1"/>
  <c r="X100" i="13"/>
  <c r="X37" i="3" s="1"/>
  <c r="X108" i="13"/>
  <c r="X45" i="3" s="1"/>
  <c r="X104" i="13"/>
  <c r="X41" i="3" s="1"/>
  <c r="X348" i="15"/>
  <c r="X44" i="15" s="1"/>
  <c r="Y364" i="15"/>
  <c r="Y348" i="15" s="1"/>
  <c r="Y44" i="15" s="1"/>
  <c r="X207" i="13"/>
  <c r="X132" i="3"/>
  <c r="AN120" i="4"/>
  <c r="AN153" i="4" s="1"/>
  <c r="AN202" i="11"/>
  <c r="X350" i="15"/>
  <c r="X46" i="15" s="1"/>
  <c r="Y366" i="15"/>
  <c r="Y350" i="15" s="1"/>
  <c r="Y46" i="15" s="1"/>
  <c r="W346" i="15"/>
  <c r="W371" i="15"/>
  <c r="W355" i="15" s="1"/>
  <c r="W51" i="15" s="1"/>
  <c r="X69" i="9"/>
  <c r="X4" i="9" s="1"/>
  <c r="X3" i="9" s="1"/>
  <c r="AJ117" i="11"/>
  <c r="AF33" i="23"/>
  <c r="AC129" i="23"/>
  <c r="AC22" i="23"/>
  <c r="Z58" i="9"/>
  <c r="Z42" i="9" s="1"/>
  <c r="Z42" i="7"/>
  <c r="AB163" i="9"/>
  <c r="AB147" i="9" s="1"/>
  <c r="AB147" i="7"/>
  <c r="V34" i="9"/>
  <c r="V37" i="9" s="1"/>
  <c r="V149" i="9"/>
  <c r="AC161" i="23"/>
  <c r="AF161" i="23"/>
  <c r="AK139" i="11"/>
  <c r="AB33" i="23"/>
  <c r="AJ87" i="4"/>
  <c r="Z125" i="7"/>
  <c r="Z125" i="9" s="1"/>
  <c r="AG111" i="15"/>
  <c r="AG116" i="15" s="1"/>
  <c r="AG132" i="15"/>
  <c r="AN344" i="19"/>
  <c r="CG3" i="15"/>
  <c r="Y131" i="25"/>
  <c r="Y24" i="25"/>
  <c r="Y35" i="25" s="1"/>
  <c r="AL7" i="11"/>
  <c r="AE78" i="4"/>
  <c r="AE79" i="4" s="1"/>
  <c r="AL111" i="11"/>
  <c r="AM111" i="11" s="1"/>
  <c r="AI125" i="11"/>
  <c r="AI91" i="4"/>
  <c r="AA121" i="7"/>
  <c r="AB121" i="7" s="1"/>
  <c r="AB121" i="9" s="1"/>
  <c r="AC163" i="9"/>
  <c r="AB158" i="9"/>
  <c r="S311" i="4"/>
  <c r="S326" i="4"/>
  <c r="BP15" i="13"/>
  <c r="X12" i="13"/>
  <c r="BP12" i="13" s="1"/>
  <c r="AQ250" i="11"/>
  <c r="Z105" i="9"/>
  <c r="Z89" i="7"/>
  <c r="Z116" i="7"/>
  <c r="AI84" i="4"/>
  <c r="X149" i="7"/>
  <c r="AA61" i="15"/>
  <c r="AC77" i="15"/>
  <c r="Y117" i="9"/>
  <c r="Y7" i="9" s="1"/>
  <c r="AD156" i="7"/>
  <c r="AD160" i="7"/>
  <c r="AD153" i="7"/>
  <c r="AD161" i="7"/>
  <c r="AD163" i="7"/>
  <c r="AD157" i="7"/>
  <c r="AL121" i="4"/>
  <c r="AL203" i="11"/>
  <c r="V69" i="13"/>
  <c r="V68" i="13"/>
  <c r="V77" i="13"/>
  <c r="V71" i="13"/>
  <c r="V76" i="13"/>
  <c r="V70" i="13"/>
  <c r="V67" i="13"/>
  <c r="V74" i="13"/>
  <c r="V73" i="13"/>
  <c r="V78" i="13"/>
  <c r="V75" i="13"/>
  <c r="V72" i="13"/>
  <c r="AH71" i="4"/>
  <c r="AK35" i="4"/>
  <c r="AG65" i="23"/>
  <c r="AH75" i="4"/>
  <c r="AI87" i="4"/>
  <c r="AB203" i="15"/>
  <c r="AB187" i="15" s="1"/>
  <c r="AI85" i="4"/>
  <c r="Z50" i="7"/>
  <c r="Z66" i="9"/>
  <c r="Z50" i="9" s="1"/>
  <c r="AA169" i="9"/>
  <c r="AA137" i="7"/>
  <c r="X347" i="15"/>
  <c r="X43" i="15" s="1"/>
  <c r="Y363" i="15"/>
  <c r="Y347" i="15" s="1"/>
  <c r="Y43" i="15" s="1"/>
  <c r="AH67" i="4"/>
  <c r="AL324" i="19"/>
  <c r="AL348" i="19"/>
  <c r="AL332" i="19" s="1"/>
  <c r="X132" i="9"/>
  <c r="X100" i="7"/>
  <c r="X36" i="7" s="1"/>
  <c r="AN38" i="4"/>
  <c r="CD20" i="15"/>
  <c r="CC20" i="15"/>
  <c r="CB20" i="15"/>
  <c r="CA20" i="15"/>
  <c r="AH84" i="15"/>
  <c r="AJ93" i="4"/>
  <c r="AG73" i="4"/>
  <c r="T299" i="4"/>
  <c r="T398" i="3"/>
  <c r="Q315" i="4"/>
  <c r="Q330" i="4"/>
  <c r="Y69" i="9"/>
  <c r="Y4" i="9" s="1"/>
  <c r="Y3" i="9" s="1"/>
  <c r="Y41" i="9"/>
  <c r="AK133" i="19"/>
  <c r="AO342" i="19"/>
  <c r="AB66" i="15"/>
  <c r="AD82" i="15"/>
  <c r="AD66" i="15" s="1"/>
  <c r="AC37" i="15"/>
  <c r="CA17" i="15"/>
  <c r="AC27" i="6"/>
  <c r="AC22" i="15"/>
  <c r="Z131" i="25"/>
  <c r="Z24" i="25"/>
  <c r="Z35" i="25" s="1"/>
  <c r="Z46" i="7"/>
  <c r="Z62" i="9"/>
  <c r="Z46" i="9" s="1"/>
  <c r="AI117" i="11"/>
  <c r="AI83" i="4"/>
  <c r="AA108" i="9"/>
  <c r="AH146" i="11"/>
  <c r="AD324" i="15"/>
  <c r="AD18" i="15"/>
  <c r="AA107" i="9"/>
  <c r="Y178" i="9"/>
  <c r="Y146" i="9" s="1"/>
  <c r="Y146" i="7"/>
  <c r="Z178" i="7"/>
  <c r="AC179" i="7"/>
  <c r="AC179" i="9" s="1"/>
  <c r="AJ120" i="11"/>
  <c r="AJ86" i="4"/>
  <c r="AM121" i="4"/>
  <c r="AM203" i="11"/>
  <c r="AN122" i="4"/>
  <c r="AN204" i="11"/>
  <c r="AJ91" i="4"/>
  <c r="AG146" i="11"/>
  <c r="AG94" i="4"/>
  <c r="AG95" i="4" s="1"/>
  <c r="AC15" i="6"/>
  <c r="AC7" i="7"/>
  <c r="AC117" i="7" s="1"/>
  <c r="AC3" i="7"/>
  <c r="AD212" i="15"/>
  <c r="CC12" i="15"/>
  <c r="AD13" i="15"/>
  <c r="CC13" i="15" s="1"/>
  <c r="AJ127" i="15"/>
  <c r="AJ90" i="4" s="1"/>
  <c r="AJ163" i="15"/>
  <c r="AJ131" i="15" s="1"/>
  <c r="AJ115" i="15" s="1"/>
  <c r="AA159" i="9"/>
  <c r="AG77" i="4"/>
  <c r="T396" i="3"/>
  <c r="T297" i="4"/>
  <c r="T296" i="4"/>
  <c r="T395" i="3"/>
  <c r="AH70" i="4"/>
  <c r="AO130" i="19"/>
  <c r="AP130" i="19" s="1"/>
  <c r="AC81" i="15"/>
  <c r="Y180" i="7"/>
  <c r="Y180" i="9" s="1"/>
  <c r="Z41" i="7"/>
  <c r="Z57" i="9"/>
  <c r="AA159" i="4"/>
  <c r="AA78" i="4"/>
  <c r="AA38" i="5" s="1"/>
  <c r="AA115" i="9"/>
  <c r="W149" i="9"/>
  <c r="AC171" i="7"/>
  <c r="AC171" i="9" s="1"/>
  <c r="T125" i="21"/>
  <c r="T7" i="21" s="1"/>
  <c r="T6" i="21" s="1"/>
  <c r="T97" i="21"/>
  <c r="AE18" i="15"/>
  <c r="AE324" i="15"/>
  <c r="AN109" i="11"/>
  <c r="AH46" i="4"/>
  <c r="AH47" i="4" s="1"/>
  <c r="AN115" i="4"/>
  <c r="AN197" i="11"/>
  <c r="AP302" i="15"/>
  <c r="AK370" i="19"/>
  <c r="AK376" i="19" s="1"/>
  <c r="AL29" i="19"/>
  <c r="AQ338" i="19"/>
  <c r="AQ322" i="19" s="1"/>
  <c r="AK324" i="19"/>
  <c r="AK348" i="19"/>
  <c r="AK332" i="19" s="1"/>
  <c r="AK140" i="11"/>
  <c r="Z61" i="9"/>
  <c r="Z45" i="9" s="1"/>
  <c r="Z45" i="7"/>
  <c r="AK142" i="11"/>
  <c r="Z109" i="9"/>
  <c r="AL101" i="11"/>
  <c r="CG11" i="15"/>
  <c r="AF12" i="15"/>
  <c r="AF13" i="15" s="1"/>
  <c r="CG13" i="15" s="1"/>
  <c r="AG11" i="15"/>
  <c r="X369" i="15"/>
  <c r="X353" i="15" s="1"/>
  <c r="X49" i="15" s="1"/>
  <c r="AC177" i="7"/>
  <c r="AC177" i="9" s="1"/>
  <c r="AI148" i="4"/>
  <c r="AJ84" i="4"/>
  <c r="AG75" i="4"/>
  <c r="T400" i="3"/>
  <c r="T301" i="4"/>
  <c r="AM115" i="4"/>
  <c r="AM197" i="11"/>
  <c r="AA76" i="5"/>
  <c r="AA80" i="5" s="1"/>
  <c r="AA63" i="5"/>
  <c r="AG129" i="23"/>
  <c r="AC200" i="15"/>
  <c r="AC184" i="15" s="1"/>
  <c r="AC205" i="15"/>
  <c r="AC189" i="15" s="1"/>
  <c r="AC210" i="15"/>
  <c r="AC194" i="15" s="1"/>
  <c r="AC204" i="15"/>
  <c r="AC188" i="15" s="1"/>
  <c r="AC206" i="15"/>
  <c r="AC190" i="15" s="1"/>
  <c r="Z67" i="9"/>
  <c r="Z51" i="9" s="1"/>
  <c r="Z51" i="7"/>
  <c r="AI41" i="4"/>
  <c r="AI112" i="11"/>
  <c r="AJ107" i="11"/>
  <c r="AK107" i="11"/>
  <c r="AA113" i="9"/>
  <c r="T29" i="17"/>
  <c r="T13" i="2" s="1"/>
  <c r="T4" i="2"/>
  <c r="AI120" i="4"/>
  <c r="AI153" i="4" s="1"/>
  <c r="AI202" i="11"/>
  <c r="AI122" i="11" s="1"/>
  <c r="T391" i="3"/>
  <c r="T292" i="4"/>
  <c r="AA37" i="11"/>
  <c r="BG118" i="11"/>
  <c r="W84" i="3"/>
  <c r="W96" i="3" s="1"/>
  <c r="W112" i="3"/>
  <c r="AB154" i="9"/>
  <c r="AQ321" i="19"/>
  <c r="AB139" i="7"/>
  <c r="AB155" i="9"/>
  <c r="AB139" i="9" s="1"/>
  <c r="Z59" i="9"/>
  <c r="Z43" i="9" s="1"/>
  <c r="Z43" i="7"/>
  <c r="AE165" i="7"/>
  <c r="AE11" i="7"/>
  <c r="AE181" i="7" s="1"/>
  <c r="AL191" i="11"/>
  <c r="AL186" i="11"/>
  <c r="AL190" i="11"/>
  <c r="AL185" i="11"/>
  <c r="AL184" i="11"/>
  <c r="AL182" i="11"/>
  <c r="AL187" i="11"/>
  <c r="AL188" i="11"/>
  <c r="AL181" i="11"/>
  <c r="AL189" i="11"/>
  <c r="AL183" i="11"/>
  <c r="AK134" i="11"/>
  <c r="AM340" i="19"/>
  <c r="AA112" i="9"/>
  <c r="AL125" i="15"/>
  <c r="AL109" i="15" s="1"/>
  <c r="AB59" i="15"/>
  <c r="AC75" i="15"/>
  <c r="AD75" i="15" s="1"/>
  <c r="AD59" i="15" s="1"/>
  <c r="AK143" i="11"/>
  <c r="AC161" i="9"/>
  <c r="AF78" i="4"/>
  <c r="AI127" i="15"/>
  <c r="AI163" i="15"/>
  <c r="AI131" i="15" s="1"/>
  <c r="AI115" i="15" s="1"/>
  <c r="AO115" i="4"/>
  <c r="AO197" i="11"/>
  <c r="AG161" i="23"/>
  <c r="AI86" i="4"/>
  <c r="Z63" i="9"/>
  <c r="Z47" i="9" s="1"/>
  <c r="Z47" i="7"/>
  <c r="BO8" i="13"/>
  <c r="W7" i="13"/>
  <c r="BO7" i="13" s="1"/>
  <c r="AA109" i="7"/>
  <c r="AN157" i="15"/>
  <c r="AN125" i="15" s="1"/>
  <c r="AN109" i="15" s="1"/>
  <c r="AN124" i="15"/>
  <c r="AN108" i="15" s="1"/>
  <c r="AP156" i="15"/>
  <c r="AP124" i="15" s="1"/>
  <c r="AP108" i="15" s="1"/>
  <c r="AB156" i="9"/>
  <c r="AI92" i="4"/>
  <c r="AH77" i="4"/>
  <c r="AC56" i="15"/>
  <c r="AK141" i="11"/>
  <c r="AP321" i="19"/>
  <c r="AA58" i="15"/>
  <c r="AC33" i="23"/>
  <c r="AN341" i="19"/>
  <c r="AN325" i="19" s="1"/>
  <c r="AI13" i="7"/>
  <c r="AI213" i="7" s="1"/>
  <c r="AK307" i="15"/>
  <c r="AL296" i="15"/>
  <c r="AL307" i="15" s="1"/>
  <c r="AM296" i="15"/>
  <c r="AM307" i="15" s="1"/>
  <c r="Y89" i="7"/>
  <c r="Y25" i="7" s="1"/>
  <c r="U27" i="13"/>
  <c r="BM3" i="13"/>
  <c r="AJ123" i="11"/>
  <c r="AJ89" i="4"/>
  <c r="AK138" i="11"/>
  <c r="AC160" i="9"/>
  <c r="AB154" i="4"/>
  <c r="AB73" i="4"/>
  <c r="AB37" i="11"/>
  <c r="X354" i="15"/>
  <c r="X50" i="15" s="1"/>
  <c r="Y370" i="15"/>
  <c r="Y354" i="15" s="1"/>
  <c r="Y50" i="15" s="1"/>
  <c r="AP104" i="11"/>
  <c r="AQ104" i="11" s="1"/>
  <c r="AQ38" i="4" s="1"/>
  <c r="AC158" i="7"/>
  <c r="Z92" i="7"/>
  <c r="X362" i="15"/>
  <c r="AB157" i="9"/>
  <c r="AB141" i="9" s="1"/>
  <c r="Y98" i="9"/>
  <c r="AA154" i="9"/>
  <c r="AA164" i="7"/>
  <c r="AC176" i="7"/>
  <c r="AC176" i="9" s="1"/>
  <c r="AJ120" i="4"/>
  <c r="AJ153" i="4" s="1"/>
  <c r="AJ202" i="11"/>
  <c r="AJ122" i="11" s="1"/>
  <c r="AJ148" i="4"/>
  <c r="AC321" i="15"/>
  <c r="AC289" i="15" s="1"/>
  <c r="Y91" i="7"/>
  <c r="Y27" i="7" s="1"/>
  <c r="AB209" i="15"/>
  <c r="AB193" i="15" s="1"/>
  <c r="AM38" i="4"/>
  <c r="AA105" i="7"/>
  <c r="AB105" i="7" s="1"/>
  <c r="AK121" i="4"/>
  <c r="AK203" i="11"/>
  <c r="Z114" i="9"/>
  <c r="X367" i="13"/>
  <c r="X22" i="13" s="1"/>
  <c r="X339" i="13"/>
  <c r="Y121" i="9"/>
  <c r="Y89" i="9" s="1"/>
  <c r="Y132" i="7"/>
  <c r="R427" i="3"/>
  <c r="R412" i="3"/>
  <c r="Z38" i="5"/>
  <c r="T298" i="4"/>
  <c r="T397" i="3"/>
  <c r="U125" i="19"/>
  <c r="U6" i="19"/>
  <c r="U31" i="19"/>
  <c r="U127" i="19"/>
  <c r="AB162" i="9"/>
  <c r="Z372" i="15"/>
  <c r="Z38" i="15"/>
  <c r="BU23" i="15"/>
  <c r="AK45" i="4"/>
  <c r="CI4" i="15"/>
  <c r="AG3" i="15"/>
  <c r="AG84" i="15"/>
  <c r="Z60" i="9"/>
  <c r="Z44" i="9" s="1"/>
  <c r="Z44" i="7"/>
  <c r="Y29" i="7"/>
  <c r="AG49" i="23"/>
  <c r="AG21" i="23"/>
  <c r="AG33" i="23" s="1"/>
  <c r="AP115" i="4"/>
  <c r="AP197" i="11"/>
  <c r="T294" i="4"/>
  <c r="T393" i="3"/>
  <c r="AC154" i="7"/>
  <c r="X345" i="15"/>
  <c r="X41" i="15" s="1"/>
  <c r="Y361" i="15"/>
  <c r="Y345" i="15" s="1"/>
  <c r="Y41" i="15" s="1"/>
  <c r="T302" i="4"/>
  <c r="T401" i="3"/>
  <c r="AB161" i="9"/>
  <c r="AB145" i="9" s="1"/>
  <c r="Y368" i="15"/>
  <c r="Y352" i="15" s="1"/>
  <c r="Y48" i="15" s="1"/>
  <c r="Y365" i="15"/>
  <c r="Y349" i="15" s="1"/>
  <c r="Y45" i="15" s="1"/>
  <c r="AG10" i="7"/>
  <c r="AH10" i="7" s="1"/>
  <c r="AP250" i="11"/>
  <c r="X165" i="9"/>
  <c r="X10" i="9" s="1"/>
  <c r="AH120" i="4"/>
  <c r="AH153" i="4" s="1"/>
  <c r="AO250" i="11"/>
  <c r="X53" i="7"/>
  <c r="R328" i="4"/>
  <c r="R313" i="4"/>
  <c r="AC315" i="15"/>
  <c r="AC283" i="15" s="1"/>
  <c r="Y91" i="9"/>
  <c r="Y27" i="9" s="1"/>
  <c r="AQ115" i="4"/>
  <c r="AQ197" i="11"/>
  <c r="T295" i="4"/>
  <c r="T394" i="3"/>
  <c r="AB79" i="15"/>
  <c r="Z37" i="5"/>
  <c r="X183" i="13"/>
  <c r="X135" i="13" s="1"/>
  <c r="X187" i="13"/>
  <c r="X139" i="13" s="1"/>
  <c r="X189" i="13"/>
  <c r="X141" i="13" s="1"/>
  <c r="X180" i="13"/>
  <c r="X132" i="13" s="1"/>
  <c r="X188" i="13"/>
  <c r="X140" i="13" s="1"/>
  <c r="X181" i="13"/>
  <c r="X133" i="13" s="1"/>
  <c r="X190" i="13"/>
  <c r="X142" i="13" s="1"/>
  <c r="X179" i="13"/>
  <c r="X184" i="13"/>
  <c r="X136" i="13" s="1"/>
  <c r="X185" i="13"/>
  <c r="X137" i="13" s="1"/>
  <c r="X182" i="13"/>
  <c r="X134" i="13" s="1"/>
  <c r="X186" i="13"/>
  <c r="X138" i="13" s="1"/>
  <c r="AA110" i="9"/>
  <c r="AO302" i="15"/>
  <c r="AH148" i="4"/>
  <c r="AB14" i="6"/>
  <c r="AB13" i="6" s="1"/>
  <c r="AB4" i="7"/>
  <c r="AB69" i="7" s="1"/>
  <c r="AG69" i="4"/>
  <c r="T374" i="19"/>
  <c r="T375" i="19"/>
  <c r="AB37" i="15"/>
  <c r="BY17" i="15"/>
  <c r="AB27" i="6"/>
  <c r="AB22" i="15"/>
  <c r="AI123" i="11"/>
  <c r="AI89" i="4"/>
  <c r="AI42" i="4"/>
  <c r="AJ108" i="11"/>
  <c r="AC162" i="7"/>
  <c r="AD162" i="7" s="1"/>
  <c r="AD72" i="15"/>
  <c r="X344" i="15"/>
  <c r="Y360" i="15"/>
  <c r="AJ88" i="4"/>
  <c r="AB160" i="9"/>
  <c r="AB144" i="9" s="1"/>
  <c r="AB144" i="7"/>
  <c r="T300" i="4"/>
  <c r="T399" i="3"/>
  <c r="AA323" i="15"/>
  <c r="AA291" i="15" s="1"/>
  <c r="AA292" i="15" s="1"/>
  <c r="AG47" i="4"/>
  <c r="AI88" i="4"/>
  <c r="AH127" i="15"/>
  <c r="AH163" i="15"/>
  <c r="AH131" i="15" s="1"/>
  <c r="AH115" i="15" s="1"/>
  <c r="AG148" i="4"/>
  <c r="AD176" i="23"/>
  <c r="AD160" i="23" s="1"/>
  <c r="AD128" i="23" s="1"/>
  <c r="AA106" i="7"/>
  <c r="AN340" i="19"/>
  <c r="AB153" i="4"/>
  <c r="AB72" i="4"/>
  <c r="Z164" i="9"/>
  <c r="AG72" i="4"/>
  <c r="AA111" i="9"/>
  <c r="AQ251" i="11"/>
  <c r="AD80" i="23"/>
  <c r="AD64" i="23" s="1"/>
  <c r="AD48" i="23" s="1"/>
  <c r="AD32" i="23" s="1"/>
  <c r="AI127" i="11"/>
  <c r="AI93" i="4"/>
  <c r="Q14" i="2"/>
  <c r="Q15" i="2" s="1"/>
  <c r="AE212" i="15"/>
  <c r="CE12" i="15"/>
  <c r="AK136" i="11"/>
  <c r="AL325" i="19"/>
  <c r="AF160" i="4"/>
  <c r="AJ92" i="4"/>
  <c r="X53" i="9"/>
  <c r="X25" i="9"/>
  <c r="AK135" i="11"/>
  <c r="Q414" i="3"/>
  <c r="Q429" i="3"/>
  <c r="AC157" i="9"/>
  <c r="AC155" i="7"/>
  <c r="AB153" i="9"/>
  <c r="AB137" i="7"/>
  <c r="AL120" i="4"/>
  <c r="AL153" i="4" s="1"/>
  <c r="AL202" i="11"/>
  <c r="AG74" i="4"/>
  <c r="AC314" i="15"/>
  <c r="AC282" i="15" s="1"/>
  <c r="AG71" i="4"/>
  <c r="AD118" i="23"/>
  <c r="AD129" i="23" s="1"/>
  <c r="AD161" i="23"/>
  <c r="AD30" i="23"/>
  <c r="AB76" i="15"/>
  <c r="AB60" i="15" s="1"/>
  <c r="S411" i="3"/>
  <c r="S426" i="3"/>
  <c r="Z160" i="4"/>
  <c r="AE129" i="23"/>
  <c r="AE22" i="23"/>
  <c r="AE33" i="23" s="1"/>
  <c r="AA67" i="7"/>
  <c r="AA57" i="7"/>
  <c r="AA66" i="7"/>
  <c r="AA61" i="7"/>
  <c r="AA63" i="7"/>
  <c r="AA59" i="7"/>
  <c r="AA62" i="7"/>
  <c r="AA60" i="7"/>
  <c r="AA64" i="7"/>
  <c r="AA65" i="7"/>
  <c r="AA58" i="7"/>
  <c r="AA114" i="7"/>
  <c r="AB114" i="7" s="1"/>
  <c r="AE95" i="4"/>
  <c r="AD353" i="11" l="1"/>
  <c r="AD24" i="11"/>
  <c r="AD385" i="11" s="1"/>
  <c r="AD21" i="11"/>
  <c r="AD20" i="11" s="1"/>
  <c r="AD21" i="6" s="1"/>
  <c r="AD18" i="6" s="1"/>
  <c r="AD65" i="11"/>
  <c r="AB145" i="7"/>
  <c r="AI155" i="4"/>
  <c r="AA141" i="7"/>
  <c r="AH256" i="11"/>
  <c r="AH73" i="4"/>
  <c r="AO151" i="4"/>
  <c r="AA128" i="7"/>
  <c r="AA128" i="9" s="1"/>
  <c r="AA96" i="9" s="1"/>
  <c r="AL256" i="11"/>
  <c r="AL208" i="11" s="1"/>
  <c r="AL209" i="11" s="1"/>
  <c r="AA173" i="9"/>
  <c r="AA141" i="9" s="1"/>
  <c r="AN39" i="4"/>
  <c r="AN152" i="4" s="1"/>
  <c r="AO105" i="11"/>
  <c r="AC141" i="7"/>
  <c r="AK158" i="4"/>
  <c r="AC319" i="15"/>
  <c r="AC287" i="15" s="1"/>
  <c r="AG68" i="4"/>
  <c r="Z143" i="7"/>
  <c r="Z31" i="7" s="1"/>
  <c r="AQ253" i="11"/>
  <c r="AL122" i="4"/>
  <c r="AL204" i="11"/>
  <c r="AM202" i="11"/>
  <c r="AA124" i="7"/>
  <c r="AA124" i="9" s="1"/>
  <c r="AM256" i="11"/>
  <c r="AD173" i="7"/>
  <c r="AD173" i="9" s="1"/>
  <c r="AM118" i="4"/>
  <c r="AM151" i="4" s="1"/>
  <c r="Y31" i="7"/>
  <c r="AB127" i="4"/>
  <c r="AB128" i="4" s="1"/>
  <c r="AB174" i="9"/>
  <c r="AB142" i="9" s="1"/>
  <c r="AC174" i="7"/>
  <c r="AC174" i="9" s="1"/>
  <c r="AB142" i="7"/>
  <c r="AL152" i="15"/>
  <c r="AM152" i="15" s="1"/>
  <c r="AM120" i="15" s="1"/>
  <c r="AM104" i="15" s="1"/>
  <c r="AN155" i="15"/>
  <c r="AN123" i="15" s="1"/>
  <c r="AN107" i="15" s="1"/>
  <c r="AK163" i="15"/>
  <c r="AK131" i="15" s="1"/>
  <c r="AK115" i="15" s="1"/>
  <c r="BW23" i="15"/>
  <c r="AA372" i="15"/>
  <c r="AA38" i="15"/>
  <c r="AC159" i="9"/>
  <c r="AD169" i="7"/>
  <c r="AD169" i="9" s="1"/>
  <c r="AA175" i="9"/>
  <c r="AA143" i="9" s="1"/>
  <c r="AB175" i="7"/>
  <c r="AA143" i="7"/>
  <c r="AP160" i="15"/>
  <c r="AP128" i="15" s="1"/>
  <c r="AP112" i="15" s="1"/>
  <c r="V2" i="2"/>
  <c r="W2" i="2"/>
  <c r="AC207" i="15"/>
  <c r="AC191" i="15" s="1"/>
  <c r="AB208" i="15"/>
  <c r="AB192" i="15" s="1"/>
  <c r="AC80" i="15"/>
  <c r="AC64" i="15" s="1"/>
  <c r="AA131" i="9"/>
  <c r="AA99" i="9" s="1"/>
  <c r="AA99" i="7"/>
  <c r="Z93" i="7"/>
  <c r="Z29" i="7" s="1"/>
  <c r="AJ146" i="11"/>
  <c r="Z93" i="9"/>
  <c r="Z29" i="9" s="1"/>
  <c r="AB170" i="7"/>
  <c r="AB138" i="7" s="1"/>
  <c r="AJ128" i="11"/>
  <c r="AA68" i="15"/>
  <c r="AN158" i="15"/>
  <c r="AN126" i="15" s="1"/>
  <c r="AN110" i="15" s="1"/>
  <c r="AE82" i="15"/>
  <c r="AE66" i="15" s="1"/>
  <c r="AF79" i="4"/>
  <c r="AJ83" i="4"/>
  <c r="AJ67" i="4" s="1"/>
  <c r="AO162" i="15"/>
  <c r="Z96" i="7"/>
  <c r="Z32" i="7" s="1"/>
  <c r="AA138" i="7"/>
  <c r="AA129" i="7"/>
  <c r="AA129" i="9" s="1"/>
  <c r="AA97" i="9" s="1"/>
  <c r="AA126" i="9"/>
  <c r="AA94" i="7"/>
  <c r="AB126" i="7"/>
  <c r="AB126" i="9" s="1"/>
  <c r="AB172" i="9"/>
  <c r="AB140" i="9" s="1"/>
  <c r="AC172" i="7"/>
  <c r="AC172" i="9" s="1"/>
  <c r="AC140" i="9" s="1"/>
  <c r="AA94" i="9"/>
  <c r="AO161" i="15"/>
  <c r="AO129" i="15" s="1"/>
  <c r="AO113" i="15" s="1"/>
  <c r="AC147" i="7"/>
  <c r="AC137" i="7"/>
  <c r="X101" i="7"/>
  <c r="AC313" i="15"/>
  <c r="AC281" i="15" s="1"/>
  <c r="AL159" i="15"/>
  <c r="AM159" i="15" s="1"/>
  <c r="AN159" i="15" s="1"/>
  <c r="AO159" i="15" s="1"/>
  <c r="AO127" i="15" s="1"/>
  <c r="AO111" i="15" s="1"/>
  <c r="AC203" i="15"/>
  <c r="AC187" i="15" s="1"/>
  <c r="Z68" i="9"/>
  <c r="Z52" i="9" s="1"/>
  <c r="AD174" i="7"/>
  <c r="AD174" i="9" s="1"/>
  <c r="AB201" i="15"/>
  <c r="AC201" i="15" s="1"/>
  <c r="AC185" i="15" s="1"/>
  <c r="AH3" i="15"/>
  <c r="Z90" i="7"/>
  <c r="Z26" i="7" s="1"/>
  <c r="AA122" i="7"/>
  <c r="AA90" i="7" s="1"/>
  <c r="Z97" i="7"/>
  <c r="Z33" i="7" s="1"/>
  <c r="AK116" i="15"/>
  <c r="AD177" i="7"/>
  <c r="AD177" i="9" s="1"/>
  <c r="AC164" i="7"/>
  <c r="AC164" i="9" s="1"/>
  <c r="CK4" i="15"/>
  <c r="Z132" i="7"/>
  <c r="Z132" i="9" s="1"/>
  <c r="AA127" i="7"/>
  <c r="Z90" i="9"/>
  <c r="Z26" i="9" s="1"/>
  <c r="AA130" i="7"/>
  <c r="AA130" i="9" s="1"/>
  <c r="AA92" i="9"/>
  <c r="AB124" i="7"/>
  <c r="AB124" i="9" s="1"/>
  <c r="AA174" i="9"/>
  <c r="AA142" i="9" s="1"/>
  <c r="AA142" i="7"/>
  <c r="AA92" i="7"/>
  <c r="AO155" i="15"/>
  <c r="AO123" i="15" s="1"/>
  <c r="AO107" i="15" s="1"/>
  <c r="Z95" i="7"/>
  <c r="AA211" i="15"/>
  <c r="AA195" i="15" s="1"/>
  <c r="Z98" i="7"/>
  <c r="Z98" i="9"/>
  <c r="AB156" i="4"/>
  <c r="AB75" i="4"/>
  <c r="AB150" i="4"/>
  <c r="AB69" i="4"/>
  <c r="AJ126" i="4"/>
  <c r="AA129" i="11"/>
  <c r="AI208" i="11"/>
  <c r="AP247" i="11"/>
  <c r="AM205" i="11"/>
  <c r="AM123" i="4"/>
  <c r="BF38" i="11"/>
  <c r="Z49" i="11"/>
  <c r="AN151" i="4"/>
  <c r="AO254" i="11"/>
  <c r="AP200" i="11"/>
  <c r="AM43" i="4"/>
  <c r="AO247" i="11"/>
  <c r="AP205" i="11"/>
  <c r="AP123" i="4"/>
  <c r="AC232" i="13"/>
  <c r="AC202" i="11"/>
  <c r="AC122" i="11" s="1"/>
  <c r="AC42" i="11" s="1"/>
  <c r="AP198" i="11"/>
  <c r="AM124" i="4"/>
  <c r="AM157" i="4" s="1"/>
  <c r="AM206" i="11"/>
  <c r="AJ158" i="4"/>
  <c r="AM199" i="11"/>
  <c r="AM117" i="4"/>
  <c r="AM150" i="4" s="1"/>
  <c r="AO121" i="4"/>
  <c r="AO204" i="11"/>
  <c r="AN247" i="11"/>
  <c r="AN256" i="11" s="1"/>
  <c r="AE234" i="13"/>
  <c r="AE204" i="11"/>
  <c r="AE124" i="11" s="1"/>
  <c r="AC204" i="11"/>
  <c r="AC124" i="11" s="1"/>
  <c r="AC44" i="11" s="1"/>
  <c r="AC234" i="13"/>
  <c r="AF232" i="11"/>
  <c r="AF239" i="11"/>
  <c r="AF236" i="11"/>
  <c r="AF231" i="11"/>
  <c r="AF230" i="11"/>
  <c r="AF238" i="11"/>
  <c r="AF240" i="11"/>
  <c r="AF229" i="11"/>
  <c r="AF237" i="11"/>
  <c r="AF234" i="11"/>
  <c r="AF233" i="11"/>
  <c r="AF235" i="11"/>
  <c r="AI116" i="4"/>
  <c r="AI149" i="4" s="1"/>
  <c r="AI198" i="11"/>
  <c r="AI118" i="11" s="1"/>
  <c r="AP122" i="4"/>
  <c r="AE227" i="13"/>
  <c r="AE197" i="11"/>
  <c r="AE117" i="11" s="1"/>
  <c r="AM116" i="4"/>
  <c r="AM149" i="4" s="1"/>
  <c r="AM198" i="11"/>
  <c r="AE238" i="13"/>
  <c r="AE208" i="11"/>
  <c r="AE128" i="11" s="1"/>
  <c r="AC227" i="13"/>
  <c r="AC197" i="11"/>
  <c r="AG234" i="11"/>
  <c r="AG236" i="11"/>
  <c r="AG229" i="11"/>
  <c r="AG232" i="11"/>
  <c r="AG240" i="11"/>
  <c r="AG235" i="11"/>
  <c r="AG239" i="11"/>
  <c r="AG233" i="11"/>
  <c r="AG231" i="11"/>
  <c r="AG238" i="11"/>
  <c r="AG237" i="11"/>
  <c r="AG230" i="11"/>
  <c r="AE229" i="13"/>
  <c r="AE199" i="11"/>
  <c r="AE119" i="11" s="1"/>
  <c r="AP40" i="4"/>
  <c r="AQ106" i="11"/>
  <c r="AQ40" i="4" s="1"/>
  <c r="AC238" i="13"/>
  <c r="AC208" i="11"/>
  <c r="AC128" i="11" s="1"/>
  <c r="AC48" i="11" s="1"/>
  <c r="AN116" i="4"/>
  <c r="AN149" i="4" s="1"/>
  <c r="AN198" i="11"/>
  <c r="AE235" i="13"/>
  <c r="AE205" i="11"/>
  <c r="AE125" i="11" s="1"/>
  <c r="AC203" i="11"/>
  <c r="AC123" i="11" s="1"/>
  <c r="AC43" i="11" s="1"/>
  <c r="AC233" i="13"/>
  <c r="AI117" i="4"/>
  <c r="AI150" i="4" s="1"/>
  <c r="AI199" i="11"/>
  <c r="AI119" i="11" s="1"/>
  <c r="AK117" i="4"/>
  <c r="AK150" i="4" s="1"/>
  <c r="AK199" i="11"/>
  <c r="AO246" i="11"/>
  <c r="AH234" i="11"/>
  <c r="AH240" i="11"/>
  <c r="AH238" i="13" s="1"/>
  <c r="AH232" i="11"/>
  <c r="AH236" i="11"/>
  <c r="AH239" i="11"/>
  <c r="AH233" i="11"/>
  <c r="AH235" i="11"/>
  <c r="AH237" i="11"/>
  <c r="AH231" i="11"/>
  <c r="AH230" i="11"/>
  <c r="AH229" i="11"/>
  <c r="AH238" i="11"/>
  <c r="AQ246" i="11"/>
  <c r="AN123" i="4"/>
  <c r="AN205" i="11"/>
  <c r="AB208" i="11"/>
  <c r="AB128" i="11" s="1"/>
  <c r="AB48" i="11" s="1"/>
  <c r="AB49" i="11" s="1"/>
  <c r="AQ252" i="11"/>
  <c r="AH122" i="4"/>
  <c r="AH155" i="4" s="1"/>
  <c r="AK124" i="4"/>
  <c r="AK157" i="4" s="1"/>
  <c r="AK206" i="11"/>
  <c r="AE233" i="13"/>
  <c r="AE203" i="11"/>
  <c r="AC230" i="13"/>
  <c r="AC200" i="11"/>
  <c r="AC120" i="11" s="1"/>
  <c r="AC40" i="11" s="1"/>
  <c r="AE236" i="13"/>
  <c r="AE206" i="11"/>
  <c r="AE126" i="11" s="1"/>
  <c r="AJ204" i="11"/>
  <c r="AJ124" i="11" s="1"/>
  <c r="AJ122" i="4"/>
  <c r="AJ127" i="4" s="1"/>
  <c r="AJ128" i="4" s="1"/>
  <c r="AH76" i="4"/>
  <c r="AB155" i="4"/>
  <c r="AB74" i="4"/>
  <c r="AJ124" i="4"/>
  <c r="AJ157" i="4" s="1"/>
  <c r="AJ206" i="11"/>
  <c r="AJ126" i="11" s="1"/>
  <c r="AJ116" i="4"/>
  <c r="AJ149" i="4" s="1"/>
  <c r="AJ198" i="11"/>
  <c r="AJ118" i="11" s="1"/>
  <c r="AE200" i="11"/>
  <c r="AE120" i="11" s="1"/>
  <c r="AE230" i="13"/>
  <c r="AC235" i="13"/>
  <c r="AC205" i="11"/>
  <c r="AC125" i="11" s="1"/>
  <c r="AC45" i="11" s="1"/>
  <c r="AH117" i="4"/>
  <c r="AQ247" i="11"/>
  <c r="AA37" i="5"/>
  <c r="AD233" i="11"/>
  <c r="AD240" i="11"/>
  <c r="AD239" i="11"/>
  <c r="AD232" i="11"/>
  <c r="AD231" i="11"/>
  <c r="AD230" i="11"/>
  <c r="AD238" i="11"/>
  <c r="AD237" i="11"/>
  <c r="AD236" i="11"/>
  <c r="AD229" i="11"/>
  <c r="AD235" i="11"/>
  <c r="AD234" i="11"/>
  <c r="AE201" i="11"/>
  <c r="AE121" i="11" s="1"/>
  <c r="AE231" i="13"/>
  <c r="AC206" i="11"/>
  <c r="AC126" i="11" s="1"/>
  <c r="AC46" i="11" s="1"/>
  <c r="AC236" i="13"/>
  <c r="AB157" i="4"/>
  <c r="AB76" i="4"/>
  <c r="AO123" i="4"/>
  <c r="AO205" i="11"/>
  <c r="AG70" i="4"/>
  <c r="AE202" i="11"/>
  <c r="AE122" i="11" s="1"/>
  <c r="AE232" i="13"/>
  <c r="AC201" i="11"/>
  <c r="AC121" i="11" s="1"/>
  <c r="AC41" i="11" s="1"/>
  <c r="AC231" i="13"/>
  <c r="AI209" i="11"/>
  <c r="AN124" i="4"/>
  <c r="AN157" i="4" s="1"/>
  <c r="AN206" i="11"/>
  <c r="AQ254" i="11"/>
  <c r="AE207" i="11"/>
  <c r="AE127" i="11" s="1"/>
  <c r="AE237" i="13"/>
  <c r="AC198" i="11"/>
  <c r="AC118" i="11" s="1"/>
  <c r="AC38" i="11" s="1"/>
  <c r="AC228" i="13"/>
  <c r="AC237" i="13"/>
  <c r="AC207" i="11"/>
  <c r="AC127" i="11" s="1"/>
  <c r="AC47" i="11" s="1"/>
  <c r="AL117" i="4"/>
  <c r="AL150" i="4" s="1"/>
  <c r="AL199" i="11"/>
  <c r="AL124" i="4"/>
  <c r="AL157" i="4" s="1"/>
  <c r="AL206" i="11"/>
  <c r="AP254" i="11"/>
  <c r="AK108" i="11"/>
  <c r="AK112" i="11" s="1"/>
  <c r="AK46" i="4" s="1"/>
  <c r="AG76" i="4"/>
  <c r="AL205" i="11"/>
  <c r="AL123" i="4"/>
  <c r="AL156" i="4" s="1"/>
  <c r="AE228" i="13"/>
  <c r="AE198" i="11"/>
  <c r="AE118" i="11" s="1"/>
  <c r="AC229" i="13"/>
  <c r="AC199" i="11"/>
  <c r="AC119" i="11" s="1"/>
  <c r="AC39" i="11" s="1"/>
  <c r="AI84" i="15"/>
  <c r="AI3" i="15"/>
  <c r="AJ4" i="15"/>
  <c r="CM4" i="15" s="1"/>
  <c r="Y34" i="9"/>
  <c r="AC144" i="9"/>
  <c r="Z131" i="9"/>
  <c r="Z99" i="9" s="1"/>
  <c r="Z35" i="9" s="1"/>
  <c r="Z99" i="7"/>
  <c r="Z35" i="7" s="1"/>
  <c r="AG127" i="4"/>
  <c r="AG128" i="4" s="1"/>
  <c r="AD179" i="7"/>
  <c r="AD179" i="9" s="1"/>
  <c r="AP201" i="11"/>
  <c r="AP119" i="4"/>
  <c r="AC144" i="7"/>
  <c r="AC62" i="15"/>
  <c r="AD78" i="15"/>
  <c r="AJ94" i="4"/>
  <c r="AM8" i="15"/>
  <c r="CO8" i="15" s="1"/>
  <c r="AM10" i="15"/>
  <c r="CO10" i="15" s="1"/>
  <c r="CO7" i="15"/>
  <c r="AD176" i="7"/>
  <c r="AD176" i="9" s="1"/>
  <c r="AK144" i="11"/>
  <c r="AC141" i="9"/>
  <c r="AB140" i="7"/>
  <c r="AQ125" i="4"/>
  <c r="AQ207" i="11"/>
  <c r="AA160" i="4"/>
  <c r="AQ119" i="4"/>
  <c r="AQ201" i="11"/>
  <c r="AQ118" i="4"/>
  <c r="AQ151" i="4" s="1"/>
  <c r="AQ200" i="11"/>
  <c r="AI121" i="11"/>
  <c r="AC209" i="15"/>
  <c r="AC193" i="15" s="1"/>
  <c r="Z32" i="9"/>
  <c r="AC57" i="15"/>
  <c r="AD73" i="15"/>
  <c r="AP125" i="4"/>
  <c r="AP207" i="11"/>
  <c r="AA209" i="11"/>
  <c r="AA48" i="6" s="1"/>
  <c r="AA68" i="6" s="1"/>
  <c r="Z33" i="9"/>
  <c r="AO119" i="4"/>
  <c r="AO201" i="11"/>
  <c r="Z126" i="9"/>
  <c r="Z94" i="9" s="1"/>
  <c r="Z30" i="9" s="1"/>
  <c r="Z94" i="7"/>
  <c r="Z30" i="7" s="1"/>
  <c r="AN7" i="15"/>
  <c r="AO7" i="15" s="1"/>
  <c r="AC145" i="7"/>
  <c r="AC202" i="15"/>
  <c r="AC186" i="15" s="1"/>
  <c r="AB131" i="7"/>
  <c r="AB131" i="9" s="1"/>
  <c r="Y148" i="7"/>
  <c r="Y149" i="7" s="1"/>
  <c r="AN203" i="11"/>
  <c r="AD80" i="15"/>
  <c r="AD64" i="15" s="1"/>
  <c r="AB288" i="15"/>
  <c r="AB292" i="15" s="1"/>
  <c r="AC320" i="15"/>
  <c r="AC288" i="15" s="1"/>
  <c r="AA172" i="9"/>
  <c r="AA140" i="9" s="1"/>
  <c r="AA140" i="7"/>
  <c r="AH165" i="7"/>
  <c r="AH11" i="7"/>
  <c r="AH181" i="7" s="1"/>
  <c r="AI10" i="7"/>
  <c r="AJ10" i="7" s="1"/>
  <c r="AJ165" i="7" s="1"/>
  <c r="AB105" i="9"/>
  <c r="AB89" i="7"/>
  <c r="X37" i="7"/>
  <c r="AQ130" i="19"/>
  <c r="AB114" i="9"/>
  <c r="AD162" i="9"/>
  <c r="X204" i="3"/>
  <c r="X76" i="3"/>
  <c r="AA46" i="7"/>
  <c r="AA62" i="9"/>
  <c r="AA46" i="9" s="1"/>
  <c r="Y148" i="9"/>
  <c r="Y149" i="9" s="1"/>
  <c r="Y165" i="9"/>
  <c r="Y10" i="9" s="1"/>
  <c r="AK119" i="11"/>
  <c r="AK85" i="4"/>
  <c r="X116" i="13"/>
  <c r="X101" i="3"/>
  <c r="AJ77" i="4"/>
  <c r="AL9" i="7"/>
  <c r="AL12" i="7"/>
  <c r="AB115" i="9"/>
  <c r="Y369" i="15"/>
  <c r="Y353" i="15" s="1"/>
  <c r="Y49" i="15" s="1"/>
  <c r="AM45" i="4"/>
  <c r="AM158" i="4" s="1"/>
  <c r="AB111" i="9"/>
  <c r="X191" i="13"/>
  <c r="X11" i="13" s="1"/>
  <c r="X131" i="13"/>
  <c r="AN296" i="15"/>
  <c r="AN307" i="15" s="1"/>
  <c r="AA109" i="9"/>
  <c r="AL142" i="11"/>
  <c r="Z41" i="9"/>
  <c r="AC4" i="7"/>
  <c r="AC69" i="7" s="1"/>
  <c r="AC14" i="6"/>
  <c r="AC13" i="6" s="1"/>
  <c r="AA79" i="4"/>
  <c r="V58" i="13"/>
  <c r="V42" i="13" s="1"/>
  <c r="AC61" i="15"/>
  <c r="AD77" i="15"/>
  <c r="AD61" i="15" s="1"/>
  <c r="AI75" i="4"/>
  <c r="X199" i="3"/>
  <c r="X71" i="3"/>
  <c r="AB107" i="9"/>
  <c r="AC137" i="9"/>
  <c r="CI11" i="15"/>
  <c r="AG12" i="15"/>
  <c r="AH11" i="15"/>
  <c r="AA138" i="9"/>
  <c r="X197" i="3"/>
  <c r="X69" i="3"/>
  <c r="AB112" i="9"/>
  <c r="AD200" i="15"/>
  <c r="AD184" i="15" s="1"/>
  <c r="AD207" i="15"/>
  <c r="AD191" i="15" s="1"/>
  <c r="AD206" i="15"/>
  <c r="AD190" i="15" s="1"/>
  <c r="AD205" i="15"/>
  <c r="AD189" i="15" s="1"/>
  <c r="AD210" i="15"/>
  <c r="AD194" i="15" s="1"/>
  <c r="AD204" i="15"/>
  <c r="AD188" i="15" s="1"/>
  <c r="AK148" i="4"/>
  <c r="AB57" i="7"/>
  <c r="AB62" i="7"/>
  <c r="AB66" i="7"/>
  <c r="AB61" i="7"/>
  <c r="AB65" i="7"/>
  <c r="AB59" i="7"/>
  <c r="AB60" i="7"/>
  <c r="AB64" i="7"/>
  <c r="AB67" i="7"/>
  <c r="AB58" i="7"/>
  <c r="AB63" i="7"/>
  <c r="V52" i="13"/>
  <c r="V36" i="13" s="1"/>
  <c r="AI76" i="4"/>
  <c r="AI111" i="15"/>
  <c r="AI116" i="15" s="1"/>
  <c r="AI132" i="15"/>
  <c r="X126" i="13"/>
  <c r="X111" i="3"/>
  <c r="AP296" i="15"/>
  <c r="AL138" i="11"/>
  <c r="AA49" i="11"/>
  <c r="BG38" i="11"/>
  <c r="AK41" i="4"/>
  <c r="AK154" i="4" s="1"/>
  <c r="Z53" i="7"/>
  <c r="Z25" i="7"/>
  <c r="AC114" i="7"/>
  <c r="AC110" i="7"/>
  <c r="AC105" i="7"/>
  <c r="AC113" i="7"/>
  <c r="AC109" i="7"/>
  <c r="AC107" i="7"/>
  <c r="AC111" i="7"/>
  <c r="AC115" i="7"/>
  <c r="AC112" i="7"/>
  <c r="AC108" i="7"/>
  <c r="AJ75" i="4"/>
  <c r="AD17" i="15"/>
  <c r="CC18" i="15"/>
  <c r="AG20" i="15"/>
  <c r="AF20" i="15"/>
  <c r="X198" i="3"/>
  <c r="X70" i="3"/>
  <c r="Z123" i="9"/>
  <c r="AA123" i="7"/>
  <c r="AB109" i="7"/>
  <c r="AC208" i="15"/>
  <c r="AC192" i="15" s="1"/>
  <c r="AK124" i="11"/>
  <c r="AK90" i="4"/>
  <c r="AD319" i="15"/>
  <c r="AD287" i="15" s="1"/>
  <c r="AD318" i="15"/>
  <c r="AD286" i="15" s="1"/>
  <c r="AD317" i="15"/>
  <c r="AD285" i="15" s="1"/>
  <c r="AD322" i="15"/>
  <c r="AD290" i="15" s="1"/>
  <c r="AD314" i="15"/>
  <c r="AD282" i="15" s="1"/>
  <c r="AD312" i="15"/>
  <c r="AD280" i="15" s="1"/>
  <c r="AD321" i="15"/>
  <c r="AD289" i="15" s="1"/>
  <c r="AD316" i="15"/>
  <c r="AD284" i="15" s="1"/>
  <c r="AD315" i="15"/>
  <c r="AD283" i="15" s="1"/>
  <c r="X133" i="9"/>
  <c r="X8" i="9" s="1"/>
  <c r="X6" i="9" s="1"/>
  <c r="X100" i="9"/>
  <c r="V79" i="13"/>
  <c r="V4" i="13" s="1"/>
  <c r="V51" i="13"/>
  <c r="AL45" i="4"/>
  <c r="AL158" i="4" s="1"/>
  <c r="Z91" i="7"/>
  <c r="Z27" i="7" s="1"/>
  <c r="AB113" i="9"/>
  <c r="AK121" i="11"/>
  <c r="AK87" i="4"/>
  <c r="AJ78" i="4"/>
  <c r="AL133" i="11"/>
  <c r="Z178" i="9"/>
  <c r="Z146" i="7"/>
  <c r="Z180" i="7"/>
  <c r="AB108" i="9"/>
  <c r="CA22" i="15"/>
  <c r="AC23" i="15"/>
  <c r="AC28" i="6"/>
  <c r="AC22" i="6" s="1"/>
  <c r="X149" i="9"/>
  <c r="X34" i="9"/>
  <c r="AL136" i="11"/>
  <c r="AF6" i="7"/>
  <c r="AG6" i="7" s="1"/>
  <c r="X200" i="3"/>
  <c r="X72" i="3"/>
  <c r="R329" i="4"/>
  <c r="R314" i="4"/>
  <c r="AO157" i="15"/>
  <c r="AP157" i="15" s="1"/>
  <c r="AP125" i="15" s="1"/>
  <c r="AP109" i="15" s="1"/>
  <c r="V57" i="13"/>
  <c r="V41" i="13" s="1"/>
  <c r="AA61" i="9"/>
  <c r="AA45" i="9" s="1"/>
  <c r="AA45" i="7"/>
  <c r="AN324" i="19"/>
  <c r="AN348" i="19"/>
  <c r="AN332" i="19" s="1"/>
  <c r="AA50" i="7"/>
  <c r="AA66" i="9"/>
  <c r="AA50" i="9" s="1"/>
  <c r="AQ121" i="4"/>
  <c r="AQ203" i="11"/>
  <c r="AA57" i="9"/>
  <c r="AA41" i="7"/>
  <c r="AH111" i="15"/>
  <c r="AH116" i="15" s="1"/>
  <c r="AH132" i="15"/>
  <c r="AH90" i="4"/>
  <c r="AC154" i="9"/>
  <c r="Z28" i="7"/>
  <c r="X346" i="15"/>
  <c r="X42" i="15" s="1"/>
  <c r="X371" i="15"/>
  <c r="X355" i="15" s="1"/>
  <c r="X51" i="15" s="1"/>
  <c r="AL143" i="11"/>
  <c r="AA67" i="9"/>
  <c r="AA51" i="9" s="1"/>
  <c r="AA51" i="7"/>
  <c r="AA106" i="9"/>
  <c r="AI72" i="4"/>
  <c r="X123" i="13"/>
  <c r="X108" i="3"/>
  <c r="Z28" i="9"/>
  <c r="AB209" i="11"/>
  <c r="AB48" i="6" s="1"/>
  <c r="AB68" i="6" s="1"/>
  <c r="AI14" i="7"/>
  <c r="AI229" i="7" s="1"/>
  <c r="AE173" i="7"/>
  <c r="AE173" i="9" s="1"/>
  <c r="AJ41" i="4"/>
  <c r="AJ112" i="11"/>
  <c r="AL107" i="11"/>
  <c r="AM107" i="11"/>
  <c r="AC8" i="7"/>
  <c r="AC133" i="7" s="1"/>
  <c r="AD141" i="7"/>
  <c r="AD157" i="9"/>
  <c r="AD141" i="9" s="1"/>
  <c r="AN328" i="19"/>
  <c r="AP344" i="19"/>
  <c r="AP328" i="19" s="1"/>
  <c r="AQ344" i="19"/>
  <c r="AQ328" i="19" s="1"/>
  <c r="AO344" i="19"/>
  <c r="AO328" i="19" s="1"/>
  <c r="AJ71" i="4"/>
  <c r="AA196" i="15"/>
  <c r="AA48" i="7"/>
  <c r="AA64" i="9"/>
  <c r="AA48" i="9" s="1"/>
  <c r="U371" i="19"/>
  <c r="U30" i="19"/>
  <c r="U31" i="6"/>
  <c r="X207" i="3"/>
  <c r="X79" i="3"/>
  <c r="AC59" i="15"/>
  <c r="AE75" i="15"/>
  <c r="AE59" i="15" s="1"/>
  <c r="AB58" i="15"/>
  <c r="AB83" i="15"/>
  <c r="AB67" i="15" s="1"/>
  <c r="R428" i="3"/>
  <c r="R413" i="3"/>
  <c r="AE159" i="7"/>
  <c r="AF159" i="7" s="1"/>
  <c r="AE162" i="7"/>
  <c r="AF162" i="7" s="1"/>
  <c r="AE157" i="7"/>
  <c r="AE156" i="7"/>
  <c r="AF156" i="7" s="1"/>
  <c r="AE160" i="7"/>
  <c r="AF160" i="7" s="1"/>
  <c r="AE153" i="7"/>
  <c r="AF153" i="7" s="1"/>
  <c r="AE161" i="7"/>
  <c r="AF161" i="7" s="1"/>
  <c r="AE163" i="7"/>
  <c r="AF163" i="7" s="1"/>
  <c r="AI46" i="4"/>
  <c r="AI159" i="4" s="1"/>
  <c r="AO326" i="19"/>
  <c r="AP342" i="19"/>
  <c r="AD171" i="7"/>
  <c r="AD171" i="9" s="1"/>
  <c r="AI71" i="4"/>
  <c r="V56" i="13"/>
  <c r="V40" i="13" s="1"/>
  <c r="AD163" i="9"/>
  <c r="Y362" i="15"/>
  <c r="Y346" i="15" s="1"/>
  <c r="Y42" i="15" s="1"/>
  <c r="X73" i="3"/>
  <c r="X201" i="3"/>
  <c r="X111" i="13"/>
  <c r="X6" i="13" s="1"/>
  <c r="BP6" i="13" s="1"/>
  <c r="X36" i="3"/>
  <c r="AB110" i="9"/>
  <c r="AB94" i="9" s="1"/>
  <c r="AB94" i="7"/>
  <c r="AE200" i="15"/>
  <c r="AE184" i="15" s="1"/>
  <c r="AK125" i="11"/>
  <c r="AK91" i="4"/>
  <c r="AJ42" i="4"/>
  <c r="U114" i="19"/>
  <c r="U123" i="19"/>
  <c r="U118" i="19"/>
  <c r="U117" i="19"/>
  <c r="U115" i="19"/>
  <c r="U116" i="19"/>
  <c r="U122" i="19"/>
  <c r="U120" i="19"/>
  <c r="U113" i="19"/>
  <c r="U121" i="19"/>
  <c r="U119" i="19"/>
  <c r="S327" i="4"/>
  <c r="S312" i="4"/>
  <c r="W42" i="15"/>
  <c r="W356" i="15"/>
  <c r="W52" i="15" s="1"/>
  <c r="AI77" i="4"/>
  <c r="AJ68" i="4"/>
  <c r="X119" i="13"/>
  <c r="X104" i="3"/>
  <c r="AB63" i="15"/>
  <c r="AM324" i="19"/>
  <c r="AM348" i="19"/>
  <c r="AM332" i="19" s="1"/>
  <c r="T309" i="4"/>
  <c r="AI154" i="4"/>
  <c r="AK333" i="19"/>
  <c r="AH94" i="4"/>
  <c r="AK140" i="19"/>
  <c r="CK3" i="15"/>
  <c r="V54" i="13"/>
  <c r="V38" i="13" s="1"/>
  <c r="AB106" i="7"/>
  <c r="AC106" i="7" s="1"/>
  <c r="AA164" i="9"/>
  <c r="AA60" i="9"/>
  <c r="AA44" i="9" s="1"/>
  <c r="AA44" i="7"/>
  <c r="AN43" i="4"/>
  <c r="AN156" i="4" s="1"/>
  <c r="AE17" i="15"/>
  <c r="CE18" i="15"/>
  <c r="T109" i="21"/>
  <c r="AB159" i="4"/>
  <c r="AB78" i="4"/>
  <c r="AC155" i="9"/>
  <c r="AC139" i="9" s="1"/>
  <c r="AC139" i="7"/>
  <c r="X117" i="13"/>
  <c r="X102" i="3"/>
  <c r="AO120" i="4"/>
  <c r="AO153" i="4" s="1"/>
  <c r="AO202" i="11"/>
  <c r="Z366" i="15"/>
  <c r="Z365" i="15"/>
  <c r="Z360" i="15"/>
  <c r="Z344" i="15" s="1"/>
  <c r="Z361" i="15"/>
  <c r="Z345" i="15" s="1"/>
  <c r="Z41" i="15" s="1"/>
  <c r="Z368" i="15"/>
  <c r="Z352" i="15" s="1"/>
  <c r="Z48" i="15" s="1"/>
  <c r="Z367" i="15"/>
  <c r="Z351" i="15" s="1"/>
  <c r="Z47" i="15" s="1"/>
  <c r="Z370" i="15"/>
  <c r="Z354" i="15" s="1"/>
  <c r="Z50" i="15" s="1"/>
  <c r="Z364" i="15"/>
  <c r="Z363" i="15"/>
  <c r="AC158" i="9"/>
  <c r="AC142" i="7"/>
  <c r="CI3" i="15"/>
  <c r="Y132" i="9"/>
  <c r="Y100" i="9" s="1"/>
  <c r="Y100" i="7"/>
  <c r="AA105" i="9"/>
  <c r="AA89" i="7"/>
  <c r="AA116" i="7"/>
  <c r="AK122" i="11"/>
  <c r="AK88" i="4"/>
  <c r="Z31" i="9"/>
  <c r="AC145" i="9"/>
  <c r="T408" i="3"/>
  <c r="Y53" i="9"/>
  <c r="Y25" i="9"/>
  <c r="V53" i="13"/>
  <c r="V37" i="13" s="1"/>
  <c r="AD161" i="9"/>
  <c r="AI68" i="4"/>
  <c r="AE3" i="7"/>
  <c r="AE4" i="7" s="1"/>
  <c r="AE69" i="7" s="1"/>
  <c r="X148" i="3"/>
  <c r="X160" i="3" s="1"/>
  <c r="X144" i="3"/>
  <c r="X203" i="3"/>
  <c r="X75" i="3"/>
  <c r="AC76" i="15"/>
  <c r="AN111" i="11"/>
  <c r="AO111" i="11" s="1"/>
  <c r="AD4" i="7"/>
  <c r="AD69" i="7" s="1"/>
  <c r="AD14" i="6"/>
  <c r="AD13" i="6" s="1"/>
  <c r="Q316" i="4"/>
  <c r="Q331" i="4"/>
  <c r="V55" i="13"/>
  <c r="V39" i="13" s="1"/>
  <c r="AD156" i="9"/>
  <c r="AC147" i="9"/>
  <c r="AD22" i="23"/>
  <c r="AK117" i="11"/>
  <c r="AK83" i="4"/>
  <c r="V62" i="13"/>
  <c r="V46" i="13" s="1"/>
  <c r="AB137" i="9"/>
  <c r="AB165" i="9"/>
  <c r="AB10" i="9" s="1"/>
  <c r="X125" i="13"/>
  <c r="X110" i="3"/>
  <c r="AL137" i="11"/>
  <c r="X122" i="13"/>
  <c r="X107" i="3"/>
  <c r="V60" i="13"/>
  <c r="V44" i="13" s="1"/>
  <c r="T402" i="3"/>
  <c r="T303" i="4"/>
  <c r="X9" i="9"/>
  <c r="Y344" i="15"/>
  <c r="AI67" i="4"/>
  <c r="AD158" i="7"/>
  <c r="AE158" i="7" s="1"/>
  <c r="AF158" i="7" s="1"/>
  <c r="Z89" i="9"/>
  <c r="X206" i="3"/>
  <c r="X78" i="3"/>
  <c r="AM7" i="11"/>
  <c r="AG160" i="4"/>
  <c r="V59" i="13"/>
  <c r="V43" i="13" s="1"/>
  <c r="AL139" i="11"/>
  <c r="AL134" i="11"/>
  <c r="AA43" i="7"/>
  <c r="AA59" i="9"/>
  <c r="AA43" i="9" s="1"/>
  <c r="AC65" i="15"/>
  <c r="AD81" i="15"/>
  <c r="AD65" i="15" s="1"/>
  <c r="AD153" i="9"/>
  <c r="AN193" i="11"/>
  <c r="AN8" i="11"/>
  <c r="AJ73" i="4"/>
  <c r="AD160" i="9"/>
  <c r="AK120" i="11"/>
  <c r="AK86" i="4"/>
  <c r="X118" i="13"/>
  <c r="X103" i="3"/>
  <c r="Y34" i="7"/>
  <c r="AP38" i="4"/>
  <c r="AP151" i="4" s="1"/>
  <c r="AK118" i="11"/>
  <c r="AK84" i="4"/>
  <c r="AM126" i="4"/>
  <c r="AM208" i="11"/>
  <c r="X40" i="15"/>
  <c r="AO109" i="11"/>
  <c r="AP109" i="11" s="1"/>
  <c r="AP120" i="4"/>
  <c r="AP202" i="11"/>
  <c r="AI70" i="4"/>
  <c r="AI90" i="4"/>
  <c r="AD154" i="7"/>
  <c r="AE154" i="7" s="1"/>
  <c r="AA121" i="9"/>
  <c r="AD21" i="23"/>
  <c r="AD33" i="23" s="1"/>
  <c r="AD49" i="23"/>
  <c r="AM186" i="11"/>
  <c r="AM190" i="11"/>
  <c r="AM185" i="11"/>
  <c r="AM182" i="11"/>
  <c r="AM181" i="11"/>
  <c r="AM189" i="11"/>
  <c r="AM188" i="11"/>
  <c r="AM187" i="11"/>
  <c r="AM183" i="11"/>
  <c r="AM184" i="11"/>
  <c r="AM191" i="11"/>
  <c r="AD7" i="7"/>
  <c r="AE7" i="7" s="1"/>
  <c r="AE117" i="7" s="1"/>
  <c r="Q430" i="3"/>
  <c r="Q415" i="3"/>
  <c r="AL141" i="11"/>
  <c r="AK13" i="7"/>
  <c r="AK213" i="7" s="1"/>
  <c r="X120" i="13"/>
  <c r="X105" i="3"/>
  <c r="AL140" i="11"/>
  <c r="V61" i="13"/>
  <c r="V45" i="13" s="1"/>
  <c r="AL35" i="4"/>
  <c r="AM15" i="7"/>
  <c r="AN15" i="7" s="1"/>
  <c r="AJ72" i="4"/>
  <c r="X124" i="13"/>
  <c r="X109" i="3"/>
  <c r="AK126" i="4"/>
  <c r="AK208" i="11"/>
  <c r="T109" i="19"/>
  <c r="AC79" i="15"/>
  <c r="AA114" i="9"/>
  <c r="X351" i="13"/>
  <c r="X323" i="13"/>
  <c r="X335" i="13" s="1"/>
  <c r="Y181" i="9"/>
  <c r="Y11" i="9" s="1"/>
  <c r="AJ70" i="4"/>
  <c r="AD65" i="23"/>
  <c r="AA125" i="7"/>
  <c r="AJ13" i="7"/>
  <c r="AJ213" i="7" s="1"/>
  <c r="AO304" i="15"/>
  <c r="AP304" i="15" s="1"/>
  <c r="BM27" i="13"/>
  <c r="U32" i="13"/>
  <c r="U3" i="2"/>
  <c r="AK42" i="4"/>
  <c r="AK155" i="4" s="1"/>
  <c r="Y249" i="13"/>
  <c r="Y201" i="13" s="1"/>
  <c r="Y138" i="3" s="1"/>
  <c r="Y154" i="3" s="1"/>
  <c r="Y250" i="13"/>
  <c r="Y202" i="13" s="1"/>
  <c r="Y139" i="3" s="1"/>
  <c r="Y155" i="3" s="1"/>
  <c r="Y244" i="13"/>
  <c r="Y196" i="13" s="1"/>
  <c r="Y133" i="3" s="1"/>
  <c r="Y149" i="3" s="1"/>
  <c r="Y254" i="13"/>
  <c r="Y206" i="13" s="1"/>
  <c r="Y143" i="3" s="1"/>
  <c r="Y159" i="3" s="1"/>
  <c r="Y245" i="13"/>
  <c r="Y197" i="13" s="1"/>
  <c r="Y134" i="3" s="1"/>
  <c r="Y150" i="3" s="1"/>
  <c r="Y251" i="13"/>
  <c r="Y203" i="13" s="1"/>
  <c r="Y140" i="3" s="1"/>
  <c r="Y156" i="3" s="1"/>
  <c r="Y252" i="13"/>
  <c r="Y204" i="13" s="1"/>
  <c r="Y141" i="3" s="1"/>
  <c r="Y157" i="3" s="1"/>
  <c r="Y253" i="13"/>
  <c r="Y205" i="13" s="1"/>
  <c r="Y142" i="3" s="1"/>
  <c r="Y158" i="3" s="1"/>
  <c r="Y243" i="13"/>
  <c r="Y247" i="13"/>
  <c r="Y199" i="13" s="1"/>
  <c r="Y136" i="3" s="1"/>
  <c r="Y152" i="3" s="1"/>
  <c r="Y246" i="13"/>
  <c r="Y198" i="13" s="1"/>
  <c r="Y135" i="3" s="1"/>
  <c r="Y151" i="3" s="1"/>
  <c r="Y248" i="13"/>
  <c r="Y200" i="13" s="1"/>
  <c r="Y137" i="3" s="1"/>
  <c r="Y153" i="3" s="1"/>
  <c r="AA68" i="7"/>
  <c r="AA63" i="9"/>
  <c r="AA47" i="9" s="1"/>
  <c r="AA47" i="7"/>
  <c r="S427" i="3"/>
  <c r="S412" i="3"/>
  <c r="AI73" i="4"/>
  <c r="AM29" i="19"/>
  <c r="AL370" i="19"/>
  <c r="AL376" i="19" s="1"/>
  <c r="Z116" i="9"/>
  <c r="AB23" i="15"/>
  <c r="BY22" i="15"/>
  <c r="AB28" i="6"/>
  <c r="AB22" i="6" s="1"/>
  <c r="AH126" i="4"/>
  <c r="AH127" i="4" s="1"/>
  <c r="AH128" i="4" s="1"/>
  <c r="AD56" i="15"/>
  <c r="AE72" i="15"/>
  <c r="AF72" i="15" s="1"/>
  <c r="AO296" i="15"/>
  <c r="X21" i="13"/>
  <c r="BP22" i="13"/>
  <c r="AL135" i="11"/>
  <c r="AK126" i="11"/>
  <c r="AK92" i="4"/>
  <c r="AM101" i="11"/>
  <c r="AN101" i="11" s="1"/>
  <c r="AL333" i="19"/>
  <c r="AD155" i="7"/>
  <c r="AE155" i="7" s="1"/>
  <c r="AK123" i="11"/>
  <c r="AK89" i="4"/>
  <c r="X205" i="3"/>
  <c r="X77" i="3"/>
  <c r="AJ69" i="4"/>
  <c r="AL133" i="19"/>
  <c r="AO341" i="19"/>
  <c r="AO340" i="19"/>
  <c r="AA65" i="9"/>
  <c r="AA49" i="9" s="1"/>
  <c r="AA49" i="7"/>
  <c r="AJ111" i="15"/>
  <c r="AJ116" i="15" s="1"/>
  <c r="AJ132" i="15"/>
  <c r="AA178" i="7"/>
  <c r="CG12" i="15"/>
  <c r="AF212" i="15"/>
  <c r="X202" i="3"/>
  <c r="X74" i="3"/>
  <c r="AK127" i="11"/>
  <c r="AK93" i="4"/>
  <c r="Z39" i="5"/>
  <c r="AA58" i="9"/>
  <c r="AA42" i="9" s="1"/>
  <c r="AA42" i="7"/>
  <c r="AC162" i="9"/>
  <c r="X121" i="13"/>
  <c r="X106" i="3"/>
  <c r="AG165" i="7"/>
  <c r="AG11" i="7"/>
  <c r="AG181" i="7" s="1"/>
  <c r="AC74" i="15"/>
  <c r="AD74" i="15" s="1"/>
  <c r="AL192" i="11"/>
  <c r="T14" i="2"/>
  <c r="T15" i="2" s="1"/>
  <c r="AG78" i="4"/>
  <c r="AA137" i="9"/>
  <c r="AD159" i="9"/>
  <c r="AI128" i="11"/>
  <c r="AI146" i="11"/>
  <c r="AI94" i="4"/>
  <c r="Z165" i="9"/>
  <c r="Z10" i="9" s="1"/>
  <c r="AQ120" i="4"/>
  <c r="AQ202" i="11"/>
  <c r="AH72" i="4"/>
  <c r="AD376" i="11" l="1"/>
  <c r="AD374" i="11"/>
  <c r="AD377" i="11"/>
  <c r="AD383" i="11"/>
  <c r="AD380" i="11"/>
  <c r="AD381" i="11"/>
  <c r="AD373" i="11"/>
  <c r="AD379" i="11"/>
  <c r="AD378" i="11"/>
  <c r="AD382" i="11"/>
  <c r="AD375" i="11"/>
  <c r="AD348" i="11"/>
  <c r="AD341" i="11"/>
  <c r="AD352" i="11" s="1"/>
  <c r="AD351" i="11"/>
  <c r="AD349" i="11"/>
  <c r="AD345" i="11"/>
  <c r="AD350" i="11"/>
  <c r="AD342" i="11"/>
  <c r="AD347" i="11"/>
  <c r="AD344" i="11"/>
  <c r="AD343" i="11"/>
  <c r="AD346" i="11"/>
  <c r="AQ123" i="4"/>
  <c r="AQ205" i="11"/>
  <c r="AM127" i="4"/>
  <c r="AM128" i="4" s="1"/>
  <c r="AL120" i="15"/>
  <c r="AL104" i="15" s="1"/>
  <c r="AP152" i="4"/>
  <c r="AP105" i="11"/>
  <c r="AP39" i="4" s="1"/>
  <c r="AO39" i="4"/>
  <c r="AL126" i="4"/>
  <c r="AL127" i="4" s="1"/>
  <c r="AL128" i="4" s="1"/>
  <c r="AB160" i="4"/>
  <c r="AP155" i="15"/>
  <c r="AP123" i="15" s="1"/>
  <c r="AP107" i="15" s="1"/>
  <c r="AJ14" i="7"/>
  <c r="AJ229" i="7" s="1"/>
  <c r="AO152" i="4"/>
  <c r="AB129" i="7"/>
  <c r="AB129" i="9" s="1"/>
  <c r="AB97" i="9" s="1"/>
  <c r="AC142" i="9"/>
  <c r="AM156" i="4"/>
  <c r="AB128" i="7"/>
  <c r="AB128" i="9" s="1"/>
  <c r="AI127" i="4"/>
  <c r="AI128" i="4" s="1"/>
  <c r="AK127" i="4"/>
  <c r="AK128" i="4" s="1"/>
  <c r="AA96" i="7"/>
  <c r="AA39" i="5"/>
  <c r="AI69" i="4"/>
  <c r="AJ74" i="4"/>
  <c r="AJ79" i="4" s="1"/>
  <c r="AB96" i="7"/>
  <c r="AA33" i="9"/>
  <c r="AB175" i="9"/>
  <c r="AB143" i="9" s="1"/>
  <c r="AB143" i="7"/>
  <c r="AD137" i="7"/>
  <c r="AB96" i="9"/>
  <c r="AA28" i="7"/>
  <c r="AC170" i="7"/>
  <c r="AC138" i="7" s="1"/>
  <c r="AE169" i="7"/>
  <c r="AE169" i="9" s="1"/>
  <c r="AC140" i="7"/>
  <c r="AE177" i="7"/>
  <c r="AE177" i="9" s="1"/>
  <c r="AA97" i="7"/>
  <c r="AA33" i="7" s="1"/>
  <c r="AK132" i="15"/>
  <c r="AC175" i="7"/>
  <c r="AA35" i="7"/>
  <c r="AD145" i="7"/>
  <c r="AA35" i="9"/>
  <c r="Z34" i="7"/>
  <c r="AD175" i="7"/>
  <c r="AD175" i="9" s="1"/>
  <c r="AD143" i="9" s="1"/>
  <c r="AB129" i="11"/>
  <c r="AB170" i="9"/>
  <c r="AB138" i="9" s="1"/>
  <c r="AD145" i="9"/>
  <c r="AK94" i="4"/>
  <c r="AD172" i="7"/>
  <c r="AD172" i="9" s="1"/>
  <c r="AA32" i="9"/>
  <c r="AI95" i="4"/>
  <c r="AF82" i="15"/>
  <c r="AF66" i="15" s="1"/>
  <c r="AD209" i="15"/>
  <c r="AD193" i="15" s="1"/>
  <c r="Z369" i="15"/>
  <c r="Z353" i="15" s="1"/>
  <c r="Z49" i="15" s="1"/>
  <c r="AD202" i="15"/>
  <c r="AD186" i="15" s="1"/>
  <c r="AB211" i="15"/>
  <c r="AB195" i="15" s="1"/>
  <c r="Z100" i="7"/>
  <c r="Z101" i="7" s="1"/>
  <c r="Z100" i="9"/>
  <c r="AA98" i="9"/>
  <c r="AJ95" i="4"/>
  <c r="AA98" i="7"/>
  <c r="AD201" i="15"/>
  <c r="AD185" i="15" s="1"/>
  <c r="AA28" i="9"/>
  <c r="AB92" i="9"/>
  <c r="Z133" i="9"/>
  <c r="Z8" i="9" s="1"/>
  <c r="AB92" i="7"/>
  <c r="AC323" i="15"/>
  <c r="AC291" i="15" s="1"/>
  <c r="AC292" i="15" s="1"/>
  <c r="AA30" i="7"/>
  <c r="AP162" i="15"/>
  <c r="AP130" i="15" s="1"/>
  <c r="AP114" i="15" s="1"/>
  <c r="AO130" i="15"/>
  <c r="AO114" i="15" s="1"/>
  <c r="AE210" i="15"/>
  <c r="AE194" i="15" s="1"/>
  <c r="AD320" i="15"/>
  <c r="AD288" i="15" s="1"/>
  <c r="AE207" i="15"/>
  <c r="AE191" i="15" s="1"/>
  <c r="AD313" i="15"/>
  <c r="AD281" i="15" s="1"/>
  <c r="AB185" i="15"/>
  <c r="AE204" i="15"/>
  <c r="AE188" i="15" s="1"/>
  <c r="AO158" i="15"/>
  <c r="AO126" i="15" s="1"/>
  <c r="AO110" i="15" s="1"/>
  <c r="AN152" i="15"/>
  <c r="AN120" i="15" s="1"/>
  <c r="AN104" i="15" s="1"/>
  <c r="AK128" i="11"/>
  <c r="AK129" i="11" s="1"/>
  <c r="AK4" i="15"/>
  <c r="AK145" i="11"/>
  <c r="AK146" i="11" s="1"/>
  <c r="AE8" i="7"/>
  <c r="AE133" i="7" s="1"/>
  <c r="AA30" i="9"/>
  <c r="AA127" i="9"/>
  <c r="AA95" i="9" s="1"/>
  <c r="AA31" i="9" s="1"/>
  <c r="AA95" i="7"/>
  <c r="AA31" i="7" s="1"/>
  <c r="AL127" i="15"/>
  <c r="AL90" i="4" s="1"/>
  <c r="AL163" i="15"/>
  <c r="AL131" i="15" s="1"/>
  <c r="AL115" i="15" s="1"/>
  <c r="AE209" i="15"/>
  <c r="AE193" i="15" s="1"/>
  <c r="AJ84" i="15"/>
  <c r="AJ3" i="15"/>
  <c r="CM3" i="15" s="1"/>
  <c r="AC116" i="7"/>
  <c r="AC116" i="9" s="1"/>
  <c r="AM127" i="15"/>
  <c r="AM163" i="15"/>
  <c r="AM131" i="15" s="1"/>
  <c r="AM115" i="15" s="1"/>
  <c r="AA32" i="7"/>
  <c r="AP161" i="15"/>
  <c r="AP129" i="15" s="1"/>
  <c r="AP113" i="15" s="1"/>
  <c r="AD144" i="7"/>
  <c r="AE174" i="7"/>
  <c r="AE142" i="7" s="1"/>
  <c r="AD144" i="9"/>
  <c r="AB130" i="7"/>
  <c r="AC130" i="7" s="1"/>
  <c r="AC130" i="9" s="1"/>
  <c r="AJ129" i="11"/>
  <c r="AA122" i="9"/>
  <c r="AA90" i="9" s="1"/>
  <c r="AA26" i="9" s="1"/>
  <c r="AB122" i="7"/>
  <c r="AB122" i="9" s="1"/>
  <c r="AD203" i="15"/>
  <c r="AB127" i="7"/>
  <c r="AC127" i="7" s="1"/>
  <c r="AC127" i="9" s="1"/>
  <c r="AM192" i="11"/>
  <c r="AM194" i="11" s="1"/>
  <c r="AE206" i="15"/>
  <c r="AE190" i="15" s="1"/>
  <c r="AE201" i="15"/>
  <c r="AE185" i="15" s="1"/>
  <c r="Z69" i="9"/>
  <c r="Z4" i="9" s="1"/>
  <c r="Z3" i="9" s="1"/>
  <c r="AN126" i="4"/>
  <c r="AN208" i="11"/>
  <c r="AD233" i="13"/>
  <c r="AD203" i="11"/>
  <c r="AD123" i="11" s="1"/>
  <c r="AH197" i="11"/>
  <c r="AH227" i="13"/>
  <c r="AD197" i="11"/>
  <c r="AD227" i="13"/>
  <c r="AH198" i="11"/>
  <c r="AH118" i="11" s="1"/>
  <c r="AH228" i="13"/>
  <c r="AQ124" i="4"/>
  <c r="AQ157" i="4" s="1"/>
  <c r="AQ206" i="11"/>
  <c r="AD234" i="13"/>
  <c r="AD204" i="11"/>
  <c r="AD124" i="11" s="1"/>
  <c r="AH199" i="11"/>
  <c r="AH119" i="11" s="1"/>
  <c r="AH229" i="13"/>
  <c r="AO124" i="4"/>
  <c r="AO157" i="4" s="1"/>
  <c r="AO206" i="11"/>
  <c r="AF230" i="13"/>
  <c r="AF200" i="11"/>
  <c r="AF120" i="11" s="1"/>
  <c r="AN199" i="11"/>
  <c r="AN117" i="4"/>
  <c r="AN150" i="4" s="1"/>
  <c r="AD230" i="13"/>
  <c r="AD200" i="11"/>
  <c r="AD120" i="11" s="1"/>
  <c r="AH234" i="13"/>
  <c r="AH204" i="11"/>
  <c r="AH124" i="11" s="1"/>
  <c r="AG228" i="13"/>
  <c r="AG198" i="11"/>
  <c r="AG118" i="11" s="1"/>
  <c r="AD237" i="13"/>
  <c r="AD207" i="11"/>
  <c r="AD127" i="11" s="1"/>
  <c r="AH230" i="13"/>
  <c r="AH200" i="11"/>
  <c r="AH120" i="11" s="1"/>
  <c r="AG235" i="13"/>
  <c r="AG205" i="11"/>
  <c r="AG125" i="11" s="1"/>
  <c r="AP117" i="4"/>
  <c r="AP150" i="4" s="1"/>
  <c r="AP199" i="11"/>
  <c r="AH236" i="13"/>
  <c r="AH206" i="11"/>
  <c r="AH126" i="11" s="1"/>
  <c r="AH233" i="13"/>
  <c r="AH203" i="11"/>
  <c r="AH123" i="11" s="1"/>
  <c r="AH201" i="11"/>
  <c r="AH121" i="11" s="1"/>
  <c r="AH231" i="13"/>
  <c r="AD229" i="13"/>
  <c r="AD199" i="11"/>
  <c r="AD119" i="11" s="1"/>
  <c r="AH237" i="13"/>
  <c r="AH207" i="11"/>
  <c r="AH127" i="11" s="1"/>
  <c r="AD238" i="13"/>
  <c r="AD208" i="11"/>
  <c r="AD128" i="11" s="1"/>
  <c r="AG236" i="13"/>
  <c r="AG206" i="11"/>
  <c r="AG126" i="11" s="1"/>
  <c r="AB79" i="4"/>
  <c r="AG79" i="4"/>
  <c r="AD201" i="11"/>
  <c r="AD121" i="11" s="1"/>
  <c r="AD231" i="13"/>
  <c r="AE209" i="11"/>
  <c r="AE123" i="11"/>
  <c r="AH232" i="13"/>
  <c r="AH202" i="11"/>
  <c r="AH122" i="11" s="1"/>
  <c r="AG199" i="11"/>
  <c r="AG119" i="11" s="1"/>
  <c r="AG229" i="13"/>
  <c r="AF233" i="13"/>
  <c r="AF203" i="11"/>
  <c r="AF123" i="11" s="1"/>
  <c r="AD202" i="11"/>
  <c r="AD122" i="11" s="1"/>
  <c r="AD232" i="13"/>
  <c r="AD205" i="11"/>
  <c r="AD125" i="11" s="1"/>
  <c r="AD235" i="13"/>
  <c r="AJ76" i="4"/>
  <c r="AG233" i="13"/>
  <c r="AG203" i="11"/>
  <c r="AG123" i="11" s="1"/>
  <c r="AL108" i="11"/>
  <c r="AL112" i="11" s="1"/>
  <c r="AG238" i="13"/>
  <c r="AG208" i="11"/>
  <c r="AG128" i="11" s="1"/>
  <c r="AF197" i="11"/>
  <c r="AF227" i="13"/>
  <c r="AG201" i="11"/>
  <c r="AG121" i="11" s="1"/>
  <c r="AG231" i="13"/>
  <c r="AP206" i="11"/>
  <c r="AP124" i="4"/>
  <c r="AP157" i="4" s="1"/>
  <c r="AF205" i="11"/>
  <c r="AF125" i="11" s="1"/>
  <c r="AF235" i="13"/>
  <c r="AQ122" i="4"/>
  <c r="AQ204" i="11"/>
  <c r="AG200" i="11"/>
  <c r="AG120" i="11" s="1"/>
  <c r="AG230" i="13"/>
  <c r="AF208" i="11"/>
  <c r="AF128" i="11" s="1"/>
  <c r="AF238" i="13"/>
  <c r="AP256" i="11"/>
  <c r="AO198" i="11"/>
  <c r="AO116" i="4"/>
  <c r="AO149" i="4" s="1"/>
  <c r="AO256" i="11"/>
  <c r="AJ209" i="11"/>
  <c r="AG197" i="11"/>
  <c r="AG227" i="13"/>
  <c r="AF236" i="13"/>
  <c r="AF206" i="11"/>
  <c r="AF126" i="11" s="1"/>
  <c r="AH235" i="13"/>
  <c r="AH205" i="11"/>
  <c r="AH125" i="11" s="1"/>
  <c r="AD206" i="11"/>
  <c r="AD126" i="11" s="1"/>
  <c r="AD236" i="13"/>
  <c r="AD228" i="13"/>
  <c r="AD198" i="11"/>
  <c r="AD118" i="11" s="1"/>
  <c r="AJ155" i="4"/>
  <c r="AH150" i="4"/>
  <c r="AH69" i="4"/>
  <c r="AP153" i="4"/>
  <c r="AG234" i="13"/>
  <c r="AG204" i="11"/>
  <c r="AG124" i="11" s="1"/>
  <c r="AF198" i="11"/>
  <c r="AF118" i="11" s="1"/>
  <c r="AF228" i="13"/>
  <c r="AF232" i="13"/>
  <c r="AF202" i="11"/>
  <c r="AF122" i="11" s="1"/>
  <c r="AQ153" i="4"/>
  <c r="AG232" i="13"/>
  <c r="AG202" i="11"/>
  <c r="AG122" i="11" s="1"/>
  <c r="AF229" i="13"/>
  <c r="AF199" i="11"/>
  <c r="AF119" i="11" s="1"/>
  <c r="AO117" i="4"/>
  <c r="AO150" i="4" s="1"/>
  <c r="AO199" i="11"/>
  <c r="AH208" i="11"/>
  <c r="AH128" i="11" s="1"/>
  <c r="AE239" i="13"/>
  <c r="AE14" i="13" s="1"/>
  <c r="BW14" i="13" s="1"/>
  <c r="AF201" i="11"/>
  <c r="AF121" i="11" s="1"/>
  <c r="AF231" i="13"/>
  <c r="AG237" i="13"/>
  <c r="AG207" i="11"/>
  <c r="AG127" i="11" s="1"/>
  <c r="AC117" i="11"/>
  <c r="AC209" i="11"/>
  <c r="AC48" i="6" s="1"/>
  <c r="AC68" i="6" s="1"/>
  <c r="AF234" i="13"/>
  <c r="AF204" i="11"/>
  <c r="AF124" i="11" s="1"/>
  <c r="AQ117" i="4"/>
  <c r="AQ150" i="4" s="1"/>
  <c r="AQ199" i="11"/>
  <c r="AQ256" i="11"/>
  <c r="AQ126" i="4" s="1"/>
  <c r="AQ127" i="4" s="1"/>
  <c r="AQ128" i="4" s="1"/>
  <c r="AM209" i="11"/>
  <c r="AQ116" i="4"/>
  <c r="AQ149" i="4" s="1"/>
  <c r="AQ198" i="11"/>
  <c r="AC239" i="13"/>
  <c r="AC14" i="13" s="1"/>
  <c r="BU14" i="13" s="1"/>
  <c r="AF207" i="11"/>
  <c r="AF127" i="11" s="1"/>
  <c r="AF237" i="13"/>
  <c r="AF155" i="7"/>
  <c r="AF155" i="9" s="1"/>
  <c r="AN8" i="15"/>
  <c r="CQ8" i="15" s="1"/>
  <c r="AN10" i="15"/>
  <c r="CQ10" i="15" s="1"/>
  <c r="CQ7" i="15"/>
  <c r="AD140" i="9"/>
  <c r="AP7" i="15"/>
  <c r="AO8" i="15"/>
  <c r="AO10" i="15"/>
  <c r="AD147" i="7"/>
  <c r="AF154" i="7"/>
  <c r="AG154" i="7" s="1"/>
  <c r="AH154" i="7" s="1"/>
  <c r="Y36" i="7"/>
  <c r="AI160" i="4"/>
  <c r="AK47" i="4"/>
  <c r="AK14" i="7"/>
  <c r="AK229" i="7" s="1"/>
  <c r="AI47" i="4"/>
  <c r="AE319" i="15"/>
  <c r="AE287" i="15" s="1"/>
  <c r="AD147" i="9"/>
  <c r="Y9" i="9"/>
  <c r="AE314" i="15"/>
  <c r="AE282" i="15" s="1"/>
  <c r="AE80" i="15"/>
  <c r="AN127" i="15"/>
  <c r="AD62" i="15"/>
  <c r="AE78" i="15"/>
  <c r="AF78" i="15" s="1"/>
  <c r="AF62" i="15" s="1"/>
  <c r="AE179" i="7"/>
  <c r="AE179" i="9" s="1"/>
  <c r="AD57" i="15"/>
  <c r="AF75" i="15"/>
  <c r="AF59" i="15" s="1"/>
  <c r="AE205" i="15"/>
  <c r="AE189" i="15" s="1"/>
  <c r="AB99" i="7"/>
  <c r="AE73" i="15"/>
  <c r="AE318" i="15"/>
  <c r="AE286" i="15" s="1"/>
  <c r="AB99" i="9"/>
  <c r="AB116" i="7"/>
  <c r="AB116" i="9" s="1"/>
  <c r="AI129" i="11"/>
  <c r="AA361" i="15"/>
  <c r="AA345" i="15" s="1"/>
  <c r="AA41" i="15" s="1"/>
  <c r="AE176" i="7"/>
  <c r="AE176" i="9" s="1"/>
  <c r="X356" i="15"/>
  <c r="X52" i="15" s="1"/>
  <c r="AM144" i="11"/>
  <c r="AF153" i="9"/>
  <c r="AF158" i="9"/>
  <c r="AG3" i="7"/>
  <c r="AG4" i="7" s="1"/>
  <c r="AG69" i="7" s="1"/>
  <c r="AF162" i="9"/>
  <c r="AD58" i="15"/>
  <c r="AP43" i="4"/>
  <c r="AP156" i="4" s="1"/>
  <c r="AQ109" i="11"/>
  <c r="AQ43" i="4" s="1"/>
  <c r="AQ156" i="4" s="1"/>
  <c r="U120" i="21"/>
  <c r="U104" i="21" s="1"/>
  <c r="U104" i="19"/>
  <c r="AL41" i="4"/>
  <c r="AL154" i="4" s="1"/>
  <c r="U116" i="21"/>
  <c r="U100" i="21" s="1"/>
  <c r="BI116" i="19"/>
  <c r="BJ116" i="19"/>
  <c r="U100" i="19"/>
  <c r="AE159" i="9"/>
  <c r="R429" i="3"/>
  <c r="R414" i="3"/>
  <c r="AL119" i="11"/>
  <c r="AL85" i="4"/>
  <c r="Z349" i="15"/>
  <c r="Z45" i="15" s="1"/>
  <c r="AA365" i="15"/>
  <c r="AA349" i="15" s="1"/>
  <c r="AA45" i="15" s="1"/>
  <c r="X88" i="3"/>
  <c r="U118" i="21"/>
  <c r="U102" i="21" s="1"/>
  <c r="U102" i="19"/>
  <c r="AO125" i="15"/>
  <c r="AC110" i="9"/>
  <c r="AF156" i="9"/>
  <c r="AF56" i="15"/>
  <c r="AA178" i="9"/>
  <c r="AA146" i="7"/>
  <c r="AA180" i="7"/>
  <c r="AJ11" i="7"/>
  <c r="AJ181" i="7" s="1"/>
  <c r="AA125" i="9"/>
  <c r="AB125" i="7"/>
  <c r="AB125" i="9" s="1"/>
  <c r="AF173" i="7"/>
  <c r="AF173" i="9" s="1"/>
  <c r="AE81" i="15"/>
  <c r="Z350" i="15"/>
  <c r="Z46" i="15" s="1"/>
  <c r="AA366" i="15"/>
  <c r="AA350" i="15" s="1"/>
  <c r="AA46" i="15" s="1"/>
  <c r="AM133" i="19"/>
  <c r="U123" i="21"/>
  <c r="U107" i="21" s="1"/>
  <c r="U107" i="19"/>
  <c r="R315" i="4"/>
  <c r="R330" i="4"/>
  <c r="AC114" i="9"/>
  <c r="AC60" i="15"/>
  <c r="AD76" i="15"/>
  <c r="AE76" i="15" s="1"/>
  <c r="U121" i="21"/>
  <c r="U105" i="21" s="1"/>
  <c r="U105" i="19"/>
  <c r="AE157" i="9"/>
  <c r="AE141" i="9" s="1"/>
  <c r="AE141" i="7"/>
  <c r="AA123" i="9"/>
  <c r="AA91" i="9" s="1"/>
  <c r="AA27" i="9" s="1"/>
  <c r="AB123" i="7"/>
  <c r="AC123" i="7" s="1"/>
  <c r="AC123" i="9" s="1"/>
  <c r="AA91" i="7"/>
  <c r="AA27" i="7" s="1"/>
  <c r="AK67" i="4"/>
  <c r="AK95" i="4"/>
  <c r="U113" i="21"/>
  <c r="U97" i="19"/>
  <c r="AC106" i="9"/>
  <c r="AC63" i="15"/>
  <c r="AD79" i="15"/>
  <c r="AE79" i="15" s="1"/>
  <c r="AE154" i="9"/>
  <c r="AK71" i="4"/>
  <c r="Y255" i="13"/>
  <c r="Y15" i="13" s="1"/>
  <c r="Y195" i="13"/>
  <c r="AC111" i="9"/>
  <c r="Z362" i="15"/>
  <c r="Z346" i="15" s="1"/>
  <c r="Z42" i="15" s="1"/>
  <c r="U115" i="21"/>
  <c r="U99" i="21" s="1"/>
  <c r="U99" i="19"/>
  <c r="AC113" i="9"/>
  <c r="X90" i="3"/>
  <c r="X89" i="3"/>
  <c r="AF160" i="9"/>
  <c r="Z180" i="9"/>
  <c r="Z148" i="9" s="1"/>
  <c r="Z36" i="9" s="1"/>
  <c r="Z148" i="7"/>
  <c r="Z149" i="7" s="1"/>
  <c r="AF324" i="15"/>
  <c r="AF18" i="15"/>
  <c r="AB63" i="9"/>
  <c r="AB47" i="9" s="1"/>
  <c r="AB47" i="7"/>
  <c r="X93" i="3"/>
  <c r="AM135" i="11"/>
  <c r="AH78" i="4"/>
  <c r="AB68" i="15"/>
  <c r="V7" i="19"/>
  <c r="AB178" i="7"/>
  <c r="AC178" i="7" s="1"/>
  <c r="AD178" i="7" s="1"/>
  <c r="X95" i="3"/>
  <c r="AB58" i="9"/>
  <c r="AB42" i="9" s="1"/>
  <c r="AB42" i="7"/>
  <c r="AC62" i="7"/>
  <c r="AC61" i="7"/>
  <c r="AC65" i="7"/>
  <c r="AD65" i="7" s="1"/>
  <c r="AE65" i="7" s="1"/>
  <c r="AC60" i="7"/>
  <c r="AD60" i="7" s="1"/>
  <c r="AC57" i="7"/>
  <c r="AD57" i="7" s="1"/>
  <c r="AE57" i="7" s="1"/>
  <c r="AC66" i="7"/>
  <c r="AD66" i="7" s="1"/>
  <c r="AC64" i="7"/>
  <c r="AD64" i="7" s="1"/>
  <c r="AC58" i="7"/>
  <c r="AD58" i="7" s="1"/>
  <c r="AE58" i="7" s="1"/>
  <c r="AC59" i="7"/>
  <c r="AD59" i="7" s="1"/>
  <c r="AE59" i="7" s="1"/>
  <c r="AC67" i="7"/>
  <c r="AD67" i="7" s="1"/>
  <c r="AE67" i="7" s="1"/>
  <c r="AC63" i="7"/>
  <c r="AD63" i="7" s="1"/>
  <c r="AE63" i="7" s="1"/>
  <c r="AC211" i="15"/>
  <c r="AC195" i="15" s="1"/>
  <c r="AC196" i="15" s="1"/>
  <c r="AB41" i="7"/>
  <c r="AB57" i="9"/>
  <c r="S428" i="3"/>
  <c r="S413" i="3"/>
  <c r="S328" i="4"/>
  <c r="S313" i="4"/>
  <c r="AL13" i="7"/>
  <c r="AL213" i="7" s="1"/>
  <c r="AC107" i="9"/>
  <c r="AG212" i="15"/>
  <c r="CI12" i="15"/>
  <c r="AG13" i="15"/>
  <c r="CI13" i="15" s="1"/>
  <c r="Y40" i="15"/>
  <c r="AM143" i="11"/>
  <c r="AA25" i="7"/>
  <c r="AC165" i="9"/>
  <c r="AC10" i="9" s="1"/>
  <c r="AM136" i="11"/>
  <c r="AN107" i="11"/>
  <c r="AE315" i="15"/>
  <c r="AE283" i="15" s="1"/>
  <c r="AA41" i="9"/>
  <c r="AA26" i="7"/>
  <c r="AI11" i="15"/>
  <c r="AM370" i="19"/>
  <c r="AM376" i="19" s="1"/>
  <c r="AN29" i="19"/>
  <c r="AM139" i="11"/>
  <c r="AH159" i="4"/>
  <c r="AH160" i="4" s="1"/>
  <c r="Q332" i="4"/>
  <c r="Q317" i="4"/>
  <c r="T403" i="3"/>
  <c r="AG82" i="15"/>
  <c r="AG66" i="15" s="1"/>
  <c r="AE312" i="15"/>
  <c r="U372" i="19"/>
  <c r="U373" i="19"/>
  <c r="U377" i="19"/>
  <c r="AG324" i="15"/>
  <c r="AG18" i="15"/>
  <c r="AB67" i="9"/>
  <c r="AB51" i="9" s="1"/>
  <c r="AB51" i="7"/>
  <c r="AB35" i="7" s="1"/>
  <c r="AL123" i="11"/>
  <c r="AL89" i="4"/>
  <c r="BP11" i="13"/>
  <c r="X32" i="1"/>
  <c r="X29" i="1" s="1"/>
  <c r="X28" i="1" s="1"/>
  <c r="X8" i="13"/>
  <c r="AO325" i="19"/>
  <c r="AP341" i="19"/>
  <c r="AP325" i="19" s="1"/>
  <c r="AN7" i="11"/>
  <c r="AA89" i="9"/>
  <c r="AE162" i="9"/>
  <c r="AL140" i="19"/>
  <c r="X87" i="3"/>
  <c r="AE155" i="9"/>
  <c r="AE77" i="15"/>
  <c r="AE61" i="15" s="1"/>
  <c r="Z40" i="15"/>
  <c r="AO15" i="7"/>
  <c r="AP340" i="19"/>
  <c r="AF161" i="9"/>
  <c r="Y360" i="13"/>
  <c r="Y344" i="13" s="1"/>
  <c r="Y328" i="13" s="1"/>
  <c r="Y356" i="13"/>
  <c r="Y340" i="13" s="1"/>
  <c r="Y324" i="13" s="1"/>
  <c r="Y365" i="13"/>
  <c r="Y349" i="13" s="1"/>
  <c r="Y333" i="13" s="1"/>
  <c r="Y363" i="13"/>
  <c r="Y347" i="13" s="1"/>
  <c r="Y331" i="13" s="1"/>
  <c r="Y355" i="13"/>
  <c r="Y357" i="13"/>
  <c r="Y341" i="13" s="1"/>
  <c r="Y325" i="13" s="1"/>
  <c r="Y362" i="13"/>
  <c r="Y346" i="13" s="1"/>
  <c r="Y330" i="13" s="1"/>
  <c r="Y358" i="13"/>
  <c r="Y342" i="13" s="1"/>
  <c r="Y326" i="13" s="1"/>
  <c r="Y364" i="13"/>
  <c r="Y348" i="13" s="1"/>
  <c r="Y332" i="13" s="1"/>
  <c r="Y359" i="13"/>
  <c r="Y343" i="13" s="1"/>
  <c r="Y327" i="13" s="1"/>
  <c r="Y366" i="13"/>
  <c r="Y350" i="13" s="1"/>
  <c r="Y334" i="13" s="1"/>
  <c r="Y361" i="13"/>
  <c r="Y345" i="13" s="1"/>
  <c r="Y329" i="13" s="1"/>
  <c r="AM140" i="11"/>
  <c r="AI74" i="4"/>
  <c r="T424" i="3"/>
  <c r="T409" i="3"/>
  <c r="AG72" i="15"/>
  <c r="AK74" i="4"/>
  <c r="AB48" i="7"/>
  <c r="AB64" i="9"/>
  <c r="AB48" i="9" s="1"/>
  <c r="Z53" i="9"/>
  <c r="Z25" i="9"/>
  <c r="AO193" i="11"/>
  <c r="AO8" i="11"/>
  <c r="Y36" i="9"/>
  <c r="Y37" i="9" s="1"/>
  <c r="AK73" i="4"/>
  <c r="BP21" i="13"/>
  <c r="X20" i="13"/>
  <c r="BP20" i="13" s="1"/>
  <c r="AM141" i="11"/>
  <c r="AK68" i="4"/>
  <c r="AB106" i="9"/>
  <c r="AE322" i="15"/>
  <c r="AE290" i="15" s="1"/>
  <c r="Z146" i="9"/>
  <c r="AB60" i="9"/>
  <c r="AB44" i="9" s="1"/>
  <c r="AB44" i="7"/>
  <c r="AB28" i="7" s="1"/>
  <c r="AK209" i="11"/>
  <c r="AA116" i="9"/>
  <c r="AE37" i="15"/>
  <c r="CE17" i="15"/>
  <c r="AE22" i="15"/>
  <c r="AM333" i="19"/>
  <c r="AP326" i="19"/>
  <c r="AQ342" i="19"/>
  <c r="AQ326" i="19" s="1"/>
  <c r="AC115" i="9"/>
  <c r="AK76" i="4"/>
  <c r="X86" i="3"/>
  <c r="AA132" i="7"/>
  <c r="AA132" i="9" s="1"/>
  <c r="AB372" i="15"/>
  <c r="AB38" i="15"/>
  <c r="BY23" i="15"/>
  <c r="AD137" i="9"/>
  <c r="AE316" i="15"/>
  <c r="AE284" i="15" s="1"/>
  <c r="AE163" i="9"/>
  <c r="AL127" i="11"/>
  <c r="AL93" i="4"/>
  <c r="AF7" i="7"/>
  <c r="AF117" i="7" s="1"/>
  <c r="AF3" i="7"/>
  <c r="AF4" i="7" s="1"/>
  <c r="AF69" i="7" s="1"/>
  <c r="CH20" i="15"/>
  <c r="CI20" i="15" s="1"/>
  <c r="CE20" i="15"/>
  <c r="CG20" i="15"/>
  <c r="CF20" i="15"/>
  <c r="AB68" i="7"/>
  <c r="AB89" i="9"/>
  <c r="AI78" i="4"/>
  <c r="AE158" i="9"/>
  <c r="U124" i="19"/>
  <c r="AP193" i="11"/>
  <c r="AP8" i="11"/>
  <c r="AJ154" i="4"/>
  <c r="Y101" i="7"/>
  <c r="AO43" i="4"/>
  <c r="AO156" i="4" s="1"/>
  <c r="AK70" i="4"/>
  <c r="AO307" i="15"/>
  <c r="AM133" i="11"/>
  <c r="AA368" i="15"/>
  <c r="AA352" i="15" s="1"/>
  <c r="AA48" i="15" s="1"/>
  <c r="AM134" i="11"/>
  <c r="AN133" i="19"/>
  <c r="AN140" i="19" s="1"/>
  <c r="AE317" i="15"/>
  <c r="AE285" i="15" s="1"/>
  <c r="AE161" i="9"/>
  <c r="AE145" i="9" s="1"/>
  <c r="AE171" i="7"/>
  <c r="AE171" i="9" s="1"/>
  <c r="AL120" i="11"/>
  <c r="AL86" i="4"/>
  <c r="AD37" i="15"/>
  <c r="CC17" i="15"/>
  <c r="AD27" i="6"/>
  <c r="AD22" i="15"/>
  <c r="AB43" i="7"/>
  <c r="AB59" i="9"/>
  <c r="AB43" i="9" s="1"/>
  <c r="AD208" i="15"/>
  <c r="AE208" i="15" s="1"/>
  <c r="AE192" i="15" s="1"/>
  <c r="AL126" i="11"/>
  <c r="AL92" i="4"/>
  <c r="AI165" i="7"/>
  <c r="AI11" i="7"/>
  <c r="AI181" i="7" s="1"/>
  <c r="X143" i="13"/>
  <c r="X115" i="13"/>
  <c r="X127" i="13" s="1"/>
  <c r="X100" i="3"/>
  <c r="AC58" i="15"/>
  <c r="AC83" i="15"/>
  <c r="AC67" i="15" s="1"/>
  <c r="AE74" i="15"/>
  <c r="AE58" i="15" s="1"/>
  <c r="AO324" i="19"/>
  <c r="AO348" i="19"/>
  <c r="AO332" i="19" s="1"/>
  <c r="AQ193" i="11"/>
  <c r="AQ8" i="11"/>
  <c r="AH12" i="15"/>
  <c r="AH13" i="15" s="1"/>
  <c r="CK13" i="15" s="1"/>
  <c r="CK11" i="15"/>
  <c r="AG162" i="7"/>
  <c r="AH162" i="7" s="1"/>
  <c r="AG158" i="7"/>
  <c r="AH158" i="7" s="1"/>
  <c r="AG161" i="7"/>
  <c r="AH161" i="7" s="1"/>
  <c r="AG153" i="7"/>
  <c r="AH153" i="7" s="1"/>
  <c r="AG156" i="7"/>
  <c r="AH156" i="7" s="1"/>
  <c r="AG160" i="7"/>
  <c r="AG159" i="7"/>
  <c r="AG163" i="7"/>
  <c r="AH163" i="7" s="1"/>
  <c r="AF159" i="9"/>
  <c r="Y371" i="15"/>
  <c r="Y355" i="15" s="1"/>
  <c r="Y51" i="15" s="1"/>
  <c r="U114" i="21"/>
  <c r="U98" i="21" s="1"/>
  <c r="U98" i="19"/>
  <c r="Z117" i="9"/>
  <c r="Z7" i="9" s="1"/>
  <c r="Z6" i="9" s="1"/>
  <c r="AK78" i="4"/>
  <c r="X196" i="3"/>
  <c r="X208" i="3" s="1"/>
  <c r="X48" i="3"/>
  <c r="X68" i="3"/>
  <c r="X80" i="3" s="1"/>
  <c r="AE153" i="9"/>
  <c r="AB65" i="9"/>
  <c r="AB49" i="9" s="1"/>
  <c r="AB49" i="7"/>
  <c r="X85" i="3"/>
  <c r="Y37" i="7"/>
  <c r="AN35" i="4"/>
  <c r="AM35" i="4"/>
  <c r="X94" i="3"/>
  <c r="AK75" i="4"/>
  <c r="AO45" i="4"/>
  <c r="AO158" i="4" s="1"/>
  <c r="Z91" i="9"/>
  <c r="Z27" i="9" s="1"/>
  <c r="AN186" i="11"/>
  <c r="AN190" i="11"/>
  <c r="AN185" i="11"/>
  <c r="AN182" i="11"/>
  <c r="AN189" i="11"/>
  <c r="AN188" i="11"/>
  <c r="AN183" i="11"/>
  <c r="AN187" i="11"/>
  <c r="AN181" i="11"/>
  <c r="AN184" i="11"/>
  <c r="AN191" i="11"/>
  <c r="AC372" i="15"/>
  <c r="CA23" i="15"/>
  <c r="AC38" i="15"/>
  <c r="AP307" i="15"/>
  <c r="AL124" i="11"/>
  <c r="AA367" i="15"/>
  <c r="AA351" i="15" s="1"/>
  <c r="AA47" i="15" s="1"/>
  <c r="U117" i="21"/>
  <c r="U101" i="21" s="1"/>
  <c r="U101" i="19"/>
  <c r="AH74" i="4"/>
  <c r="AH95" i="4"/>
  <c r="AM9" i="7"/>
  <c r="AM12" i="7"/>
  <c r="AL194" i="11"/>
  <c r="AL144" i="11"/>
  <c r="AD155" i="9"/>
  <c r="AD139" i="9" s="1"/>
  <c r="AD139" i="7"/>
  <c r="Q431" i="3"/>
  <c r="Q416" i="3"/>
  <c r="AM142" i="11"/>
  <c r="AD158" i="9"/>
  <c r="AD142" i="9" s="1"/>
  <c r="AD142" i="7"/>
  <c r="X91" i="3"/>
  <c r="Y101" i="9"/>
  <c r="Y105" i="13"/>
  <c r="Y42" i="3" s="1"/>
  <c r="Y104" i="13"/>
  <c r="Y41" i="3" s="1"/>
  <c r="Y102" i="13"/>
  <c r="Y39" i="3" s="1"/>
  <c r="Y106" i="13"/>
  <c r="Y43" i="3" s="1"/>
  <c r="Y103" i="13"/>
  <c r="Y40" i="3" s="1"/>
  <c r="Y110" i="13"/>
  <c r="Y47" i="3" s="1"/>
  <c r="Y99" i="13"/>
  <c r="Y109" i="13"/>
  <c r="Y46" i="3" s="1"/>
  <c r="Y101" i="13"/>
  <c r="Y38" i="3" s="1"/>
  <c r="Y108" i="13"/>
  <c r="Y45" i="3" s="1"/>
  <c r="Y100" i="13"/>
  <c r="Y37" i="3" s="1"/>
  <c r="Y107" i="13"/>
  <c r="Y44" i="3" s="1"/>
  <c r="AE164" i="7"/>
  <c r="AN333" i="19"/>
  <c r="V63" i="13"/>
  <c r="V64" i="13" s="1"/>
  <c r="V35" i="13"/>
  <c r="V47" i="13" s="1"/>
  <c r="AB61" i="9"/>
  <c r="AB45" i="9" s="1"/>
  <c r="AB45" i="7"/>
  <c r="AA93" i="7"/>
  <c r="AA29" i="7" s="1"/>
  <c r="AF163" i="9"/>
  <c r="U122" i="21"/>
  <c r="U106" i="21" s="1"/>
  <c r="U106" i="19"/>
  <c r="AA370" i="15"/>
  <c r="AA354" i="15" s="1"/>
  <c r="AA50" i="15" s="1"/>
  <c r="AC109" i="9"/>
  <c r="AA52" i="7"/>
  <c r="AA68" i="9"/>
  <c r="AA52" i="9" s="1"/>
  <c r="X92" i="3"/>
  <c r="AC105" i="9"/>
  <c r="AD154" i="9"/>
  <c r="X15" i="9"/>
  <c r="AE321" i="15"/>
  <c r="AE289" i="15" s="1"/>
  <c r="AO101" i="11"/>
  <c r="AP101" i="11" s="1"/>
  <c r="AK84" i="15"/>
  <c r="AK3" i="15"/>
  <c r="AL4" i="15"/>
  <c r="AM4" i="15" s="1"/>
  <c r="AP111" i="11"/>
  <c r="AA360" i="15"/>
  <c r="AL125" i="11"/>
  <c r="AL91" i="4"/>
  <c r="AM137" i="11"/>
  <c r="AK77" i="4"/>
  <c r="AK10" i="7"/>
  <c r="AL10" i="7" s="1"/>
  <c r="AE56" i="15"/>
  <c r="AL148" i="4"/>
  <c r="AM138" i="11"/>
  <c r="AP159" i="15"/>
  <c r="AP127" i="15" s="1"/>
  <c r="Z347" i="15"/>
  <c r="Z43" i="15" s="1"/>
  <c r="AA363" i="15"/>
  <c r="AA347" i="15" s="1"/>
  <c r="AA43" i="15" s="1"/>
  <c r="T325" i="4"/>
  <c r="T310" i="4"/>
  <c r="AE160" i="9"/>
  <c r="AE144" i="9" s="1"/>
  <c r="AE144" i="7"/>
  <c r="AC122" i="7"/>
  <c r="AC122" i="9" s="1"/>
  <c r="AC126" i="7"/>
  <c r="AC126" i="9" s="1"/>
  <c r="AC121" i="7"/>
  <c r="AC121" i="9" s="1"/>
  <c r="AC124" i="7"/>
  <c r="AC124" i="9" s="1"/>
  <c r="AC131" i="7"/>
  <c r="AC131" i="9" s="1"/>
  <c r="AC128" i="7"/>
  <c r="AC128" i="9" s="1"/>
  <c r="AL117" i="11"/>
  <c r="AL83" i="4"/>
  <c r="BN4" i="13"/>
  <c r="V3" i="13"/>
  <c r="V26" i="1"/>
  <c r="V25" i="1" s="1"/>
  <c r="AC108" i="9"/>
  <c r="AB50" i="7"/>
  <c r="AB66" i="9"/>
  <c r="AB50" i="9" s="1"/>
  <c r="AA165" i="9"/>
  <c r="AA10" i="9" s="1"/>
  <c r="AK69" i="4"/>
  <c r="AM41" i="4"/>
  <c r="AM154" i="4" s="1"/>
  <c r="AF157" i="7"/>
  <c r="AJ46" i="4"/>
  <c r="AJ159" i="4" s="1"/>
  <c r="AF200" i="15"/>
  <c r="AF184" i="15" s="1"/>
  <c r="AL118" i="11"/>
  <c r="AL84" i="4"/>
  <c r="Y133" i="9"/>
  <c r="Y8" i="9" s="1"/>
  <c r="Y6" i="9" s="1"/>
  <c r="AD117" i="7"/>
  <c r="AD8" i="7"/>
  <c r="AD133" i="7" s="1"/>
  <c r="AL121" i="11"/>
  <c r="AL87" i="4"/>
  <c r="AN45" i="4"/>
  <c r="AN158" i="4" s="1"/>
  <c r="AK72" i="4"/>
  <c r="Z348" i="15"/>
  <c r="Z44" i="15" s="1"/>
  <c r="AA364" i="15"/>
  <c r="AA348" i="15" s="1"/>
  <c r="AA44" i="15" s="1"/>
  <c r="T304" i="4"/>
  <c r="U119" i="21"/>
  <c r="U103" i="21" s="1"/>
  <c r="U103" i="19"/>
  <c r="AE156" i="9"/>
  <c r="X101" i="9"/>
  <c r="X36" i="9"/>
  <c r="X37" i="9" s="1"/>
  <c r="AB109" i="9"/>
  <c r="AC112" i="9"/>
  <c r="AL122" i="11"/>
  <c r="AL88" i="4"/>
  <c r="AB62" i="9"/>
  <c r="AB46" i="9" s="1"/>
  <c r="AB30" i="9" s="1"/>
  <c r="AB46" i="7"/>
  <c r="AB30" i="7" s="1"/>
  <c r="AH6" i="7"/>
  <c r="AK159" i="4"/>
  <c r="AK160" i="4" s="1"/>
  <c r="AD164" i="7"/>
  <c r="AD207" i="4" l="1"/>
  <c r="AD202" i="4"/>
  <c r="AD331" i="11"/>
  <c r="AD186" i="4" s="1"/>
  <c r="AD197" i="4"/>
  <c r="AD216" i="4"/>
  <c r="AD407" i="13"/>
  <c r="AD406" i="13"/>
  <c r="AD215" i="4"/>
  <c r="AD205" i="4"/>
  <c r="AD334" i="11"/>
  <c r="AD189" i="4" s="1"/>
  <c r="AD329" i="11"/>
  <c r="AD184" i="4" s="1"/>
  <c r="AD200" i="4"/>
  <c r="AD199" i="4"/>
  <c r="AD328" i="11"/>
  <c r="AD183" i="4" s="1"/>
  <c r="AD326" i="11"/>
  <c r="AD181" i="4" s="1"/>
  <c r="AD404" i="13"/>
  <c r="AD213" i="4"/>
  <c r="AD38" i="11"/>
  <c r="AD46" i="11"/>
  <c r="AD44" i="11"/>
  <c r="AD204" i="4"/>
  <c r="AD333" i="11"/>
  <c r="AD188" i="4" s="1"/>
  <c r="AD203" i="4"/>
  <c r="AD332" i="11"/>
  <c r="AD187" i="4" s="1"/>
  <c r="AD214" i="4"/>
  <c r="AD405" i="13"/>
  <c r="AD221" i="4"/>
  <c r="AD412" i="13"/>
  <c r="AE4" i="11"/>
  <c r="AD43" i="11"/>
  <c r="AD218" i="4"/>
  <c r="AD409" i="13"/>
  <c r="AD335" i="11"/>
  <c r="AD190" i="4" s="1"/>
  <c r="AD206" i="4"/>
  <c r="AD220" i="4"/>
  <c r="AD411" i="13"/>
  <c r="AD219" i="4"/>
  <c r="AD410" i="13"/>
  <c r="AD40" i="11"/>
  <c r="AD212" i="4"/>
  <c r="AD403" i="13"/>
  <c r="AD201" i="4"/>
  <c r="AD330" i="11"/>
  <c r="AD185" i="4" s="1"/>
  <c r="AD413" i="13"/>
  <c r="AD222" i="4"/>
  <c r="AD196" i="4"/>
  <c r="AD325" i="11"/>
  <c r="AD217" i="4"/>
  <c r="AD408" i="13"/>
  <c r="AD198" i="4"/>
  <c r="AD327" i="11"/>
  <c r="AD182" i="4" s="1"/>
  <c r="AD384" i="11"/>
  <c r="AQ208" i="11"/>
  <c r="AQ209" i="11" s="1"/>
  <c r="Y15" i="9"/>
  <c r="AP158" i="15"/>
  <c r="AP126" i="15" s="1"/>
  <c r="AP110" i="15" s="1"/>
  <c r="AO152" i="15"/>
  <c r="AB28" i="9"/>
  <c r="AB97" i="7"/>
  <c r="AB33" i="9"/>
  <c r="AB90" i="7"/>
  <c r="AB26" i="7" s="1"/>
  <c r="AF176" i="7"/>
  <c r="AF176" i="9" s="1"/>
  <c r="AB32" i="9"/>
  <c r="AN163" i="15"/>
  <c r="AN131" i="15" s="1"/>
  <c r="AN115" i="15" s="1"/>
  <c r="AD143" i="7"/>
  <c r="AC129" i="7"/>
  <c r="AC129" i="9" s="1"/>
  <c r="AC97" i="9" s="1"/>
  <c r="AB32" i="7"/>
  <c r="AQ105" i="11"/>
  <c r="AE313" i="15"/>
  <c r="AE281" i="15" s="1"/>
  <c r="AB33" i="7"/>
  <c r="AA369" i="15"/>
  <c r="AA353" i="15" s="1"/>
  <c r="AA49" i="15" s="1"/>
  <c r="AE175" i="7"/>
  <c r="AE175" i="9" s="1"/>
  <c r="AE143" i="9" s="1"/>
  <c r="AB90" i="9"/>
  <c r="AB26" i="9" s="1"/>
  <c r="AE172" i="7"/>
  <c r="AF172" i="7" s="1"/>
  <c r="AG172" i="7" s="1"/>
  <c r="AD170" i="7"/>
  <c r="AD180" i="7" s="1"/>
  <c r="AD180" i="9" s="1"/>
  <c r="AF177" i="7"/>
  <c r="AF177" i="9" s="1"/>
  <c r="AF145" i="9" s="1"/>
  <c r="Y2" i="2"/>
  <c r="AF169" i="7"/>
  <c r="X2" i="2"/>
  <c r="AE137" i="7"/>
  <c r="AG176" i="7"/>
  <c r="AG176" i="9" s="1"/>
  <c r="AC175" i="9"/>
  <c r="AC143" i="9" s="1"/>
  <c r="AC143" i="7"/>
  <c r="AE320" i="15"/>
  <c r="AE288" i="15" s="1"/>
  <c r="AC170" i="9"/>
  <c r="AC138" i="9" s="1"/>
  <c r="AE145" i="7"/>
  <c r="AD140" i="7"/>
  <c r="AH82" i="15"/>
  <c r="AH66" i="15" s="1"/>
  <c r="AB196" i="15"/>
  <c r="AF209" i="15"/>
  <c r="AF193" i="15" s="1"/>
  <c r="AF210" i="15"/>
  <c r="AF194" i="15" s="1"/>
  <c r="AF205" i="15"/>
  <c r="AF189" i="15" s="1"/>
  <c r="AE202" i="15"/>
  <c r="AE186" i="15" s="1"/>
  <c r="AC95" i="9"/>
  <c r="AD323" i="15"/>
  <c r="AD291" i="15" s="1"/>
  <c r="AD292" i="15" s="1"/>
  <c r="AC95" i="7"/>
  <c r="AF206" i="15"/>
  <c r="AF190" i="15" s="1"/>
  <c r="AF207" i="15"/>
  <c r="AF191" i="15" s="1"/>
  <c r="AL14" i="7"/>
  <c r="AL229" i="7" s="1"/>
  <c r="AF77" i="15"/>
  <c r="AF61" i="15" s="1"/>
  <c r="AP152" i="15"/>
  <c r="AP120" i="15" s="1"/>
  <c r="AP104" i="15" s="1"/>
  <c r="AO120" i="15"/>
  <c r="AO104" i="15" s="1"/>
  <c r="AG155" i="7"/>
  <c r="AO163" i="15"/>
  <c r="AO131" i="15" s="1"/>
  <c r="AO115" i="15" s="1"/>
  <c r="AF204" i="15"/>
  <c r="AF188" i="15" s="1"/>
  <c r="AE63" i="15"/>
  <c r="AF79" i="15"/>
  <c r="AF63" i="15" s="1"/>
  <c r="AF201" i="15"/>
  <c r="AF185" i="15" s="1"/>
  <c r="AB127" i="9"/>
  <c r="AB95" i="9" s="1"/>
  <c r="AB31" i="9" s="1"/>
  <c r="AB95" i="7"/>
  <c r="AB31" i="7" s="1"/>
  <c r="AD187" i="15"/>
  <c r="AE203" i="15"/>
  <c r="AE211" i="15" s="1"/>
  <c r="AE195" i="15" s="1"/>
  <c r="AB130" i="9"/>
  <c r="AB98" i="9" s="1"/>
  <c r="AB98" i="7"/>
  <c r="AL111" i="15"/>
  <c r="AL116" i="15" s="1"/>
  <c r="AL132" i="15"/>
  <c r="AG75" i="15"/>
  <c r="AG59" i="15" s="1"/>
  <c r="AB35" i="9"/>
  <c r="AE174" i="9"/>
  <c r="AE142" i="9" s="1"/>
  <c r="AF174" i="7"/>
  <c r="AM111" i="15"/>
  <c r="AM116" i="15" s="1"/>
  <c r="AM132" i="15"/>
  <c r="AN192" i="11"/>
  <c r="AN144" i="11" s="1"/>
  <c r="AG173" i="7"/>
  <c r="AG173" i="9" s="1"/>
  <c r="AG117" i="11"/>
  <c r="AG209" i="11"/>
  <c r="AM108" i="11"/>
  <c r="AL42" i="4"/>
  <c r="AL155" i="4" s="1"/>
  <c r="AG239" i="13"/>
  <c r="AG14" i="13" s="1"/>
  <c r="BY14" i="13" s="1"/>
  <c r="AF239" i="13"/>
  <c r="AF14" i="13" s="1"/>
  <c r="BX14" i="13" s="1"/>
  <c r="AD239" i="13"/>
  <c r="AD14" i="13" s="1"/>
  <c r="BV14" i="13" s="1"/>
  <c r="AP126" i="4"/>
  <c r="AP127" i="4" s="1"/>
  <c r="AP128" i="4" s="1"/>
  <c r="AP208" i="11"/>
  <c r="AP209" i="11" s="1"/>
  <c r="AD117" i="11"/>
  <c r="AD37" i="11" s="1"/>
  <c r="AD209" i="11"/>
  <c r="AD48" i="6" s="1"/>
  <c r="AD68" i="6" s="1"/>
  <c r="AH239" i="13"/>
  <c r="AH14" i="13" s="1"/>
  <c r="BZ14" i="13" s="1"/>
  <c r="AH209" i="11"/>
  <c r="AH117" i="11"/>
  <c r="AE129" i="11"/>
  <c r="AC129" i="11"/>
  <c r="AC37" i="11"/>
  <c r="AC49" i="11" s="1"/>
  <c r="AF117" i="11"/>
  <c r="AF209" i="11"/>
  <c r="AO126" i="4"/>
  <c r="AO127" i="4" s="1"/>
  <c r="AO128" i="4" s="1"/>
  <c r="AO208" i="11"/>
  <c r="AO209" i="11" s="1"/>
  <c r="AN209" i="11"/>
  <c r="AN127" i="4"/>
  <c r="AN128" i="4" s="1"/>
  <c r="AB117" i="9"/>
  <c r="AB7" i="9" s="1"/>
  <c r="AL165" i="7"/>
  <c r="AL11" i="7"/>
  <c r="AL181" i="7" s="1"/>
  <c r="AE62" i="15"/>
  <c r="AG78" i="15"/>
  <c r="AG62" i="15" s="1"/>
  <c r="Z36" i="7"/>
  <c r="Z37" i="7" s="1"/>
  <c r="AG157" i="7"/>
  <c r="AH157" i="7" s="1"/>
  <c r="AD83" i="15"/>
  <c r="AD67" i="15" s="1"/>
  <c r="AE147" i="9"/>
  <c r="AC98" i="7"/>
  <c r="AF154" i="9"/>
  <c r="AC98" i="9"/>
  <c r="AF202" i="15"/>
  <c r="AF186" i="15" s="1"/>
  <c r="AH78" i="15"/>
  <c r="AH62" i="15" s="1"/>
  <c r="AF144" i="9"/>
  <c r="AN111" i="15"/>
  <c r="AN116" i="15" s="1"/>
  <c r="AN132" i="15"/>
  <c r="AP8" i="15"/>
  <c r="CS8" i="15" s="1"/>
  <c r="CS7" i="15"/>
  <c r="AP10" i="15"/>
  <c r="CS10" i="15" s="1"/>
  <c r="AF144" i="7"/>
  <c r="AE57" i="15"/>
  <c r="AC96" i="9"/>
  <c r="AE64" i="15"/>
  <c r="AF80" i="15"/>
  <c r="AC90" i="9"/>
  <c r="AC125" i="7"/>
  <c r="AC125" i="9" s="1"/>
  <c r="AC93" i="9" s="1"/>
  <c r="AA69" i="9"/>
  <c r="AA4" i="9" s="1"/>
  <c r="AA3" i="9" s="1"/>
  <c r="AC90" i="7"/>
  <c r="Z181" i="9"/>
  <c r="Z11" i="9" s="1"/>
  <c r="Z9" i="9" s="1"/>
  <c r="Z15" i="9" s="1"/>
  <c r="AB93" i="9"/>
  <c r="AB29" i="9" s="1"/>
  <c r="AE139" i="7"/>
  <c r="AA133" i="9"/>
  <c r="AA8" i="9" s="1"/>
  <c r="AE147" i="7"/>
  <c r="AC96" i="7"/>
  <c r="AB93" i="7"/>
  <c r="AB29" i="7" s="1"/>
  <c r="AC94" i="9"/>
  <c r="AF73" i="15"/>
  <c r="AF57" i="15" s="1"/>
  <c r="AF179" i="7"/>
  <c r="AH173" i="7"/>
  <c r="AA100" i="7"/>
  <c r="AA101" i="7" s="1"/>
  <c r="AI79" i="4"/>
  <c r="AA100" i="9"/>
  <c r="AE43" i="7"/>
  <c r="AE59" i="9"/>
  <c r="AE43" i="9" s="1"/>
  <c r="AE67" i="9"/>
  <c r="AE51" i="9" s="1"/>
  <c r="AE51" i="7"/>
  <c r="AP35" i="4"/>
  <c r="AE65" i="9"/>
  <c r="AE49" i="9" s="1"/>
  <c r="AE49" i="7"/>
  <c r="AD178" i="9"/>
  <c r="AD146" i="9" s="1"/>
  <c r="AD146" i="7"/>
  <c r="AE60" i="15"/>
  <c r="AE57" i="9"/>
  <c r="AE41" i="7"/>
  <c r="AK79" i="4"/>
  <c r="AH3" i="7"/>
  <c r="AH4" i="7" s="1"/>
  <c r="AH69" i="7" s="1"/>
  <c r="Y204" i="3"/>
  <c r="Y76" i="3"/>
  <c r="AL72" i="4"/>
  <c r="AD23" i="15"/>
  <c r="CC22" i="15"/>
  <c r="AD28" i="6"/>
  <c r="AD22" i="6" s="1"/>
  <c r="AA93" i="9"/>
  <c r="AA29" i="9" s="1"/>
  <c r="AD126" i="7"/>
  <c r="AD126" i="9" s="1"/>
  <c r="AD121" i="7"/>
  <c r="AD129" i="7"/>
  <c r="AD129" i="9" s="1"/>
  <c r="AD123" i="7"/>
  <c r="AD123" i="9" s="1"/>
  <c r="AD131" i="7"/>
  <c r="AD131" i="9" s="1"/>
  <c r="AD127" i="7"/>
  <c r="AD127" i="9" s="1"/>
  <c r="AD122" i="7"/>
  <c r="AD122" i="9" s="1"/>
  <c r="AD124" i="7"/>
  <c r="AD124" i="9" s="1"/>
  <c r="AD130" i="7"/>
  <c r="AD130" i="9" s="1"/>
  <c r="AD128" i="7"/>
  <c r="AD61" i="7"/>
  <c r="AE61" i="7" s="1"/>
  <c r="AN137" i="11"/>
  <c r="AG159" i="9"/>
  <c r="AB52" i="7"/>
  <c r="AB53" i="7" s="1"/>
  <c r="AB68" i="9"/>
  <c r="AB52" i="9" s="1"/>
  <c r="AC99" i="7"/>
  <c r="AI12" i="15"/>
  <c r="AI212" i="15" s="1"/>
  <c r="AJ11" i="15"/>
  <c r="AK11" i="15" s="1"/>
  <c r="Y203" i="3"/>
  <c r="Y75" i="3"/>
  <c r="AN142" i="11"/>
  <c r="U295" i="4"/>
  <c r="U394" i="3"/>
  <c r="AN140" i="11"/>
  <c r="Y198" i="3"/>
  <c r="Y70" i="3"/>
  <c r="AD50" i="7"/>
  <c r="AD66" i="9"/>
  <c r="AD50" i="9" s="1"/>
  <c r="AM13" i="7"/>
  <c r="AM213" i="7" s="1"/>
  <c r="AM14" i="7"/>
  <c r="AM229" i="7" s="1"/>
  <c r="AG155" i="9"/>
  <c r="AC68" i="15"/>
  <c r="AP7" i="11"/>
  <c r="AC99" i="9"/>
  <c r="AP15" i="7"/>
  <c r="AQ15" i="7" s="1"/>
  <c r="AB25" i="7"/>
  <c r="R316" i="4"/>
  <c r="R331" i="4"/>
  <c r="AQ101" i="11"/>
  <c r="AC92" i="7"/>
  <c r="AE83" i="15"/>
  <c r="AE67" i="15" s="1"/>
  <c r="AP45" i="4"/>
  <c r="AP158" i="4" s="1"/>
  <c r="Y206" i="3"/>
  <c r="Y78" i="3"/>
  <c r="AD62" i="7"/>
  <c r="AE62" i="7" s="1"/>
  <c r="AM10" i="7"/>
  <c r="AM165" i="7" s="1"/>
  <c r="AN138" i="11"/>
  <c r="AG144" i="7"/>
  <c r="AG160" i="9"/>
  <c r="AG144" i="9" s="1"/>
  <c r="X112" i="3"/>
  <c r="X84" i="3"/>
  <c r="X96" i="3" s="1"/>
  <c r="AL70" i="4"/>
  <c r="AP190" i="11"/>
  <c r="AP185" i="11"/>
  <c r="AP182" i="11"/>
  <c r="AP189" i="11"/>
  <c r="AP184" i="11"/>
  <c r="AP186" i="11"/>
  <c r="AP183" i="11"/>
  <c r="AP191" i="11"/>
  <c r="AP187" i="11"/>
  <c r="AP181" i="11"/>
  <c r="AP188" i="11"/>
  <c r="AE139" i="9"/>
  <c r="BP8" i="13"/>
  <c r="X7" i="13"/>
  <c r="BP7" i="13" s="1"/>
  <c r="AA53" i="9"/>
  <c r="AA25" i="9"/>
  <c r="AA146" i="9"/>
  <c r="U297" i="4"/>
  <c r="U396" i="3"/>
  <c r="AE280" i="15"/>
  <c r="AM120" i="11"/>
  <c r="AM86" i="4"/>
  <c r="AA180" i="9"/>
  <c r="AA148" i="9" s="1"/>
  <c r="AA148" i="7"/>
  <c r="AA149" i="7" s="1"/>
  <c r="AD114" i="7"/>
  <c r="AD106" i="7"/>
  <c r="AD110" i="7"/>
  <c r="AD105" i="7"/>
  <c r="AD113" i="7"/>
  <c r="AD109" i="7"/>
  <c r="AD107" i="7"/>
  <c r="AD111" i="7"/>
  <c r="AD115" i="7"/>
  <c r="AD108" i="7"/>
  <c r="AD112" i="7"/>
  <c r="AC92" i="9"/>
  <c r="AL128" i="11"/>
  <c r="AL129" i="11" s="1"/>
  <c r="AL94" i="4"/>
  <c r="AL95" i="4" s="1"/>
  <c r="AD64" i="9"/>
  <c r="AD48" i="9" s="1"/>
  <c r="AD48" i="7"/>
  <c r="U374" i="19"/>
  <c r="U375" i="19" s="1"/>
  <c r="AN135" i="11"/>
  <c r="AN370" i="19"/>
  <c r="AN376" i="19" s="1"/>
  <c r="AO29" i="19"/>
  <c r="AL84" i="15"/>
  <c r="AL3" i="15"/>
  <c r="Y71" i="3"/>
  <c r="Y199" i="3"/>
  <c r="Y187" i="13"/>
  <c r="Y139" i="13" s="1"/>
  <c r="Y181" i="13"/>
  <c r="Y133" i="13" s="1"/>
  <c r="Y180" i="13"/>
  <c r="Y132" i="13" s="1"/>
  <c r="Y188" i="13"/>
  <c r="Y140" i="13" s="1"/>
  <c r="Y182" i="13"/>
  <c r="Y134" i="13" s="1"/>
  <c r="Y183" i="13"/>
  <c r="Y135" i="13" s="1"/>
  <c r="Y190" i="13"/>
  <c r="Y142" i="13" s="1"/>
  <c r="Y186" i="13"/>
  <c r="Y138" i="13" s="1"/>
  <c r="Y185" i="13"/>
  <c r="Y137" i="13" s="1"/>
  <c r="Y179" i="13"/>
  <c r="Y189" i="13"/>
  <c r="Y141" i="13" s="1"/>
  <c r="Y184" i="13"/>
  <c r="Y136" i="13" s="1"/>
  <c r="U302" i="4"/>
  <c r="U401" i="3"/>
  <c r="R430" i="3"/>
  <c r="R415" i="3"/>
  <c r="V27" i="13"/>
  <c r="BN3" i="13"/>
  <c r="AN4" i="15"/>
  <c r="U400" i="3"/>
  <c r="U301" i="4"/>
  <c r="AA362" i="15"/>
  <c r="AA346" i="15" s="1"/>
  <c r="AA42" i="15" s="1"/>
  <c r="AH176" i="7"/>
  <c r="AE58" i="9"/>
  <c r="AE42" i="9" s="1"/>
  <c r="AE42" i="7"/>
  <c r="AG153" i="9"/>
  <c r="AL73" i="4"/>
  <c r="Q333" i="4"/>
  <c r="Q318" i="4"/>
  <c r="AC63" i="9"/>
  <c r="AC47" i="9" s="1"/>
  <c r="AC47" i="7"/>
  <c r="AC31" i="7" s="1"/>
  <c r="BQ15" i="13"/>
  <c r="Y12" i="13"/>
  <c r="BQ12" i="13" s="1"/>
  <c r="AQ111" i="11"/>
  <c r="AM84" i="15"/>
  <c r="CO4" i="15"/>
  <c r="AM3" i="15"/>
  <c r="AK165" i="7"/>
  <c r="AK11" i="7"/>
  <c r="AK181" i="7" s="1"/>
  <c r="W78" i="13"/>
  <c r="W74" i="13"/>
  <c r="W73" i="13"/>
  <c r="W68" i="13"/>
  <c r="W75" i="13"/>
  <c r="W77" i="13"/>
  <c r="W76" i="13"/>
  <c r="W67" i="13"/>
  <c r="W70" i="13"/>
  <c r="W71" i="13"/>
  <c r="W69" i="13"/>
  <c r="W72" i="13"/>
  <c r="T311" i="4"/>
  <c r="T326" i="4"/>
  <c r="AG161" i="9"/>
  <c r="AI162" i="7"/>
  <c r="AI154" i="7"/>
  <c r="AI158" i="7"/>
  <c r="AI161" i="7"/>
  <c r="AJ161" i="7" s="1"/>
  <c r="AI153" i="7"/>
  <c r="AJ153" i="7" s="1"/>
  <c r="AI156" i="7"/>
  <c r="AJ156" i="7" s="1"/>
  <c r="AI163" i="7"/>
  <c r="AJ163" i="7" s="1"/>
  <c r="AM117" i="11"/>
  <c r="AM145" i="11"/>
  <c r="AM146" i="11" s="1"/>
  <c r="AM83" i="4"/>
  <c r="Z371" i="15"/>
  <c r="Z355" i="15" s="1"/>
  <c r="Z51" i="15" s="1"/>
  <c r="AG200" i="15"/>
  <c r="AG184" i="15" s="1"/>
  <c r="AG206" i="15"/>
  <c r="AG190" i="15" s="1"/>
  <c r="AG205" i="15"/>
  <c r="AG189" i="15" s="1"/>
  <c r="AG210" i="15"/>
  <c r="AG194" i="15" s="1"/>
  <c r="AG209" i="15"/>
  <c r="AG193" i="15" s="1"/>
  <c r="AC67" i="9"/>
  <c r="AC51" i="9" s="1"/>
  <c r="AC51" i="7"/>
  <c r="AB178" i="9"/>
  <c r="AB146" i="7"/>
  <c r="AB180" i="7"/>
  <c r="AE178" i="7"/>
  <c r="AC97" i="7"/>
  <c r="AB123" i="9"/>
  <c r="AB132" i="7"/>
  <c r="AB91" i="7"/>
  <c r="AM140" i="19"/>
  <c r="AO133" i="19"/>
  <c r="AF74" i="15"/>
  <c r="AG74" i="15" s="1"/>
  <c r="AG58" i="15" s="1"/>
  <c r="AQ190" i="11"/>
  <c r="AQ142" i="11" s="1"/>
  <c r="AQ185" i="11"/>
  <c r="AQ137" i="11" s="1"/>
  <c r="AQ182" i="11"/>
  <c r="AQ134" i="11" s="1"/>
  <c r="AQ189" i="11"/>
  <c r="AQ141" i="11" s="1"/>
  <c r="AQ184" i="11"/>
  <c r="AQ136" i="11" s="1"/>
  <c r="AQ181" i="11"/>
  <c r="AQ133" i="11" s="1"/>
  <c r="AQ183" i="11"/>
  <c r="AQ135" i="11" s="1"/>
  <c r="AQ186" i="11"/>
  <c r="AQ138" i="11" s="1"/>
  <c r="AQ191" i="11"/>
  <c r="AQ143" i="11" s="1"/>
  <c r="AQ187" i="11"/>
  <c r="AQ139" i="11" s="1"/>
  <c r="AQ188" i="11"/>
  <c r="AQ140" i="11" s="1"/>
  <c r="Y367" i="13"/>
  <c r="Y22" i="13" s="1"/>
  <c r="Y339" i="13"/>
  <c r="AC61" i="9"/>
  <c r="AC45" i="9" s="1"/>
  <c r="AC45" i="7"/>
  <c r="AQ341" i="19"/>
  <c r="AQ325" i="19" s="1"/>
  <c r="AO109" i="15"/>
  <c r="U97" i="21"/>
  <c r="U125" i="21"/>
  <c r="U7" i="21" s="1"/>
  <c r="U6" i="21" s="1"/>
  <c r="AG158" i="9"/>
  <c r="AF65" i="7"/>
  <c r="AF58" i="7"/>
  <c r="AG58" i="7" s="1"/>
  <c r="AF67" i="7"/>
  <c r="AG67" i="7" s="1"/>
  <c r="AF63" i="7"/>
  <c r="AG63" i="7" s="1"/>
  <c r="AF59" i="7"/>
  <c r="AG59" i="7" s="1"/>
  <c r="AF57" i="7"/>
  <c r="AG57" i="7" s="1"/>
  <c r="AB365" i="15"/>
  <c r="AB349" i="15" s="1"/>
  <c r="AB45" i="15" s="1"/>
  <c r="AB363" i="15"/>
  <c r="AB347" i="15" s="1"/>
  <c r="AB43" i="15" s="1"/>
  <c r="AB370" i="15"/>
  <c r="AB354" i="15" s="1"/>
  <c r="AB50" i="15" s="1"/>
  <c r="AB369" i="15"/>
  <c r="AB353" i="15" s="1"/>
  <c r="AB49" i="15" s="1"/>
  <c r="AB361" i="15"/>
  <c r="AB345" i="15" s="1"/>
  <c r="AB41" i="15" s="1"/>
  <c r="AB367" i="15"/>
  <c r="AB351" i="15" s="1"/>
  <c r="AB47" i="15" s="1"/>
  <c r="AB360" i="15"/>
  <c r="AB344" i="15" s="1"/>
  <c r="AB364" i="15"/>
  <c r="AB348" i="15" s="1"/>
  <c r="AB44" i="15" s="1"/>
  <c r="AB366" i="15"/>
  <c r="AB350" i="15" s="1"/>
  <c r="AB46" i="15" s="1"/>
  <c r="AB368" i="15"/>
  <c r="AB352" i="15" s="1"/>
  <c r="AB48" i="15" s="1"/>
  <c r="CE22" i="15"/>
  <c r="AE23" i="15"/>
  <c r="AP163" i="15"/>
  <c r="AP131" i="15" s="1"/>
  <c r="AP115" i="15" s="1"/>
  <c r="AC43" i="7"/>
  <c r="AC59" i="9"/>
  <c r="AC43" i="9" s="1"/>
  <c r="AH72" i="15"/>
  <c r="AP324" i="19"/>
  <c r="AP333" i="19" s="1"/>
  <c r="AP348" i="19"/>
  <c r="AP332" i="19" s="1"/>
  <c r="AB41" i="9"/>
  <c r="AF157" i="9"/>
  <c r="AF141" i="9" s="1"/>
  <c r="AF141" i="7"/>
  <c r="AE47" i="7"/>
  <c r="AE63" i="9"/>
  <c r="AE47" i="9" s="1"/>
  <c r="U124" i="21"/>
  <c r="U108" i="21" s="1"/>
  <c r="U108" i="19"/>
  <c r="Y207" i="13"/>
  <c r="Y132" i="3"/>
  <c r="AL67" i="4"/>
  <c r="Y201" i="3"/>
  <c r="Y73" i="3"/>
  <c r="U298" i="4"/>
  <c r="U397" i="3"/>
  <c r="AL46" i="4"/>
  <c r="AL145" i="11"/>
  <c r="AL146" i="11" s="1"/>
  <c r="Y111" i="13"/>
  <c r="Y6" i="13" s="1"/>
  <c r="BQ6" i="13" s="1"/>
  <c r="Y36" i="3"/>
  <c r="Y202" i="3"/>
  <c r="Y74" i="3"/>
  <c r="AM148" i="4"/>
  <c r="Z101" i="9"/>
  <c r="AE64" i="7"/>
  <c r="AF64" i="7" s="1"/>
  <c r="AG154" i="9"/>
  <c r="AL76" i="4"/>
  <c r="AF8" i="7"/>
  <c r="AF133" i="7" s="1"/>
  <c r="AC58" i="9"/>
  <c r="AC42" i="9" s="1"/>
  <c r="AC42" i="7"/>
  <c r="V125" i="19"/>
  <c r="V6" i="19"/>
  <c r="V31" i="19"/>
  <c r="V127" i="19"/>
  <c r="AG7" i="7"/>
  <c r="AM128" i="11"/>
  <c r="AM94" i="4"/>
  <c r="AC178" i="9"/>
  <c r="AC146" i="9" s="1"/>
  <c r="AC146" i="7"/>
  <c r="AP111" i="15"/>
  <c r="AC46" i="7"/>
  <c r="AC62" i="9"/>
  <c r="AC46" i="9" s="1"/>
  <c r="AN139" i="11"/>
  <c r="AL74" i="4"/>
  <c r="AN41" i="4"/>
  <c r="AN154" i="4" s="1"/>
  <c r="AC91" i="7"/>
  <c r="AC48" i="7"/>
  <c r="AC64" i="9"/>
  <c r="AC48" i="9" s="1"/>
  <c r="U393" i="3"/>
  <c r="U294" i="4"/>
  <c r="AQ340" i="19"/>
  <c r="AD67" i="9"/>
  <c r="AD51" i="9" s="1"/>
  <c r="AD51" i="7"/>
  <c r="AO333" i="19"/>
  <c r="AM124" i="11"/>
  <c r="AM90" i="4"/>
  <c r="AE137" i="9"/>
  <c r="AA34" i="7"/>
  <c r="T425" i="3"/>
  <c r="T410" i="3"/>
  <c r="AG17" i="15"/>
  <c r="CI18" i="15"/>
  <c r="AC91" i="9"/>
  <c r="AC68" i="7"/>
  <c r="CG18" i="15"/>
  <c r="AF17" i="15"/>
  <c r="AI20" i="15"/>
  <c r="AH20" i="15"/>
  <c r="U300" i="4"/>
  <c r="U399" i="3"/>
  <c r="U299" i="4"/>
  <c r="U398" i="3"/>
  <c r="AM122" i="11"/>
  <c r="AM88" i="4"/>
  <c r="AD57" i="9"/>
  <c r="AD41" i="7"/>
  <c r="U293" i="4"/>
  <c r="U392" i="3"/>
  <c r="AM118" i="11"/>
  <c r="AM84" i="4"/>
  <c r="AG156" i="9"/>
  <c r="AO35" i="4"/>
  <c r="AM126" i="11"/>
  <c r="AM92" i="4"/>
  <c r="AG162" i="9"/>
  <c r="AE164" i="9"/>
  <c r="Q432" i="3"/>
  <c r="Q417" i="3"/>
  <c r="AE66" i="7"/>
  <c r="AF66" i="7" s="1"/>
  <c r="AA117" i="9"/>
  <c r="AA7" i="9" s="1"/>
  <c r="AC50" i="7"/>
  <c r="AC66" i="9"/>
  <c r="AC50" i="9" s="1"/>
  <c r="AF318" i="15"/>
  <c r="AF286" i="15" s="1"/>
  <c r="AF317" i="15"/>
  <c r="AF285" i="15" s="1"/>
  <c r="AF316" i="15"/>
  <c r="AF284" i="15" s="1"/>
  <c r="AF315" i="15"/>
  <c r="AF283" i="15" s="1"/>
  <c r="AF314" i="15"/>
  <c r="AF282" i="15" s="1"/>
  <c r="AF312" i="15"/>
  <c r="AF280" i="15" s="1"/>
  <c r="AF319" i="15"/>
  <c r="AF287" i="15" s="1"/>
  <c r="AF321" i="15"/>
  <c r="AF289" i="15" s="1"/>
  <c r="AF313" i="15"/>
  <c r="AF281" i="15" s="1"/>
  <c r="AF322" i="15"/>
  <c r="AF290" i="15" s="1"/>
  <c r="AE65" i="15"/>
  <c r="AF81" i="15"/>
  <c r="AP133" i="19"/>
  <c r="AP140" i="19" s="1"/>
  <c r="AC89" i="9"/>
  <c r="AC117" i="9"/>
  <c r="AC7" i="9" s="1"/>
  <c r="S329" i="4"/>
  <c r="S314" i="4"/>
  <c r="U109" i="19"/>
  <c r="U292" i="4"/>
  <c r="U391" i="3"/>
  <c r="AL71" i="4"/>
  <c r="Y197" i="3"/>
  <c r="Y69" i="3"/>
  <c r="AD59" i="9"/>
  <c r="AD43" i="9" s="1"/>
  <c r="AD43" i="7"/>
  <c r="AC180" i="7"/>
  <c r="Y205" i="3"/>
  <c r="Y77" i="3"/>
  <c r="AD60" i="9"/>
  <c r="AD44" i="9" s="1"/>
  <c r="AD44" i="7"/>
  <c r="AN141" i="11"/>
  <c r="AJ47" i="4"/>
  <c r="AO7" i="11"/>
  <c r="Y356" i="15"/>
  <c r="Y52" i="15" s="1"/>
  <c r="S429" i="3"/>
  <c r="S414" i="3"/>
  <c r="AA344" i="15"/>
  <c r="AD65" i="9"/>
  <c r="AD49" i="9" s="1"/>
  <c r="AD49" i="7"/>
  <c r="AN134" i="11"/>
  <c r="AG163" i="9"/>
  <c r="AJ160" i="4"/>
  <c r="AM125" i="11"/>
  <c r="AM91" i="4"/>
  <c r="AO186" i="11"/>
  <c r="AO190" i="11"/>
  <c r="AO185" i="11"/>
  <c r="AO182" i="11"/>
  <c r="AO189" i="11"/>
  <c r="AO183" i="11"/>
  <c r="AO191" i="11"/>
  <c r="AO187" i="11"/>
  <c r="AO181" i="11"/>
  <c r="AO188" i="11"/>
  <c r="AO184" i="11"/>
  <c r="AH79" i="4"/>
  <c r="AN148" i="4"/>
  <c r="AH212" i="15"/>
  <c r="CK12" i="15"/>
  <c r="AL77" i="4"/>
  <c r="AM123" i="11"/>
  <c r="AM89" i="4"/>
  <c r="AA53" i="7"/>
  <c r="AC41" i="7"/>
  <c r="AC57" i="9"/>
  <c r="AL69" i="4"/>
  <c r="AN12" i="7"/>
  <c r="Y207" i="3"/>
  <c r="Y79" i="3"/>
  <c r="Z149" i="9"/>
  <c r="Z34" i="9"/>
  <c r="Z37" i="9" s="1"/>
  <c r="AI82" i="15"/>
  <c r="AI66" i="15" s="1"/>
  <c r="AG56" i="15"/>
  <c r="AH155" i="7"/>
  <c r="AL68" i="4"/>
  <c r="AH159" i="7"/>
  <c r="AI159" i="7" s="1"/>
  <c r="Y200" i="3"/>
  <c r="Y72" i="3"/>
  <c r="AD63" i="9"/>
  <c r="AD47" i="9" s="1"/>
  <c r="AD47" i="7"/>
  <c r="AN143" i="11"/>
  <c r="AM127" i="11"/>
  <c r="AM93" i="4"/>
  <c r="AC60" i="9"/>
  <c r="AC44" i="9" s="1"/>
  <c r="AC44" i="7"/>
  <c r="AC28" i="7" s="1"/>
  <c r="AD60" i="15"/>
  <c r="AN9" i="7"/>
  <c r="AO9" i="7" s="1"/>
  <c r="AF164" i="7"/>
  <c r="AM119" i="11"/>
  <c r="AM85" i="4"/>
  <c r="AN133" i="11"/>
  <c r="AL75" i="4"/>
  <c r="AE60" i="7"/>
  <c r="AD164" i="9"/>
  <c r="AF208" i="15"/>
  <c r="AF192" i="15" s="1"/>
  <c r="AM121" i="11"/>
  <c r="AM87" i="4"/>
  <c r="AI6" i="7"/>
  <c r="AC89" i="7"/>
  <c r="AH160" i="7"/>
  <c r="AI160" i="7" s="1"/>
  <c r="AD58" i="9"/>
  <c r="AD42" i="9" s="1"/>
  <c r="AD42" i="7"/>
  <c r="U296" i="4"/>
  <c r="U395" i="3"/>
  <c r="AN136" i="11"/>
  <c r="AQ7" i="11"/>
  <c r="AW20" i="15"/>
  <c r="AD192" i="15"/>
  <c r="AD211" i="15"/>
  <c r="AD195" i="15" s="1"/>
  <c r="AO107" i="11"/>
  <c r="AF171" i="7"/>
  <c r="AC65" i="9"/>
  <c r="AC49" i="9" s="1"/>
  <c r="AC49" i="7"/>
  <c r="AD63" i="15"/>
  <c r="AF76" i="15"/>
  <c r="AF60" i="15" s="1"/>
  <c r="AC94" i="7"/>
  <c r="AD414" i="13" l="1"/>
  <c r="AD223" i="4"/>
  <c r="AD224" i="4" s="1"/>
  <c r="AE28" i="13"/>
  <c r="AE30" i="13" s="1"/>
  <c r="AE12" i="2"/>
  <c r="AE81" i="11"/>
  <c r="AE3" i="11"/>
  <c r="AD180" i="4"/>
  <c r="AD337" i="11"/>
  <c r="AD415" i="13"/>
  <c r="AD24" i="13" s="1"/>
  <c r="BV24" i="13" s="1"/>
  <c r="AD208" i="4"/>
  <c r="AD42" i="11"/>
  <c r="AD47" i="11"/>
  <c r="AD39" i="11"/>
  <c r="AD336" i="11"/>
  <c r="AD45" i="11"/>
  <c r="AD41" i="11"/>
  <c r="AC31" i="9"/>
  <c r="AE323" i="15"/>
  <c r="AE291" i="15" s="1"/>
  <c r="AE292" i="15" s="1"/>
  <c r="AQ39" i="4"/>
  <c r="AQ152" i="4" s="1"/>
  <c r="AO132" i="15"/>
  <c r="AE143" i="7"/>
  <c r="AF320" i="15"/>
  <c r="AF288" i="15" s="1"/>
  <c r="AA6" i="9"/>
  <c r="Z2" i="2"/>
  <c r="AF170" i="7"/>
  <c r="AG170" i="7" s="1"/>
  <c r="AG170" i="9" s="1"/>
  <c r="AG138" i="9" s="1"/>
  <c r="AE170" i="7"/>
  <c r="AG177" i="7"/>
  <c r="AH177" i="7" s="1"/>
  <c r="AH145" i="7" s="1"/>
  <c r="AA36" i="7"/>
  <c r="AA37" i="7" s="1"/>
  <c r="AE180" i="7"/>
  <c r="AA181" i="9"/>
  <c r="AA11" i="9" s="1"/>
  <c r="AA9" i="9" s="1"/>
  <c r="AA15" i="9" s="1"/>
  <c r="AF145" i="7"/>
  <c r="AD170" i="9"/>
  <c r="AD138" i="9" s="1"/>
  <c r="AD138" i="7"/>
  <c r="AF169" i="9"/>
  <c r="AF137" i="9" s="1"/>
  <c r="AF137" i="7"/>
  <c r="AE172" i="9"/>
  <c r="AE140" i="9" s="1"/>
  <c r="AE140" i="7"/>
  <c r="AG169" i="7"/>
  <c r="AF175" i="7"/>
  <c r="AF175" i="9" s="1"/>
  <c r="AF143" i="9" s="1"/>
  <c r="AG207" i="15"/>
  <c r="AG191" i="15" s="1"/>
  <c r="AG204" i="15"/>
  <c r="AG188" i="15" s="1"/>
  <c r="AG202" i="15"/>
  <c r="AG186" i="15" s="1"/>
  <c r="AG77" i="15"/>
  <c r="AG61" i="15" s="1"/>
  <c r="AG157" i="9"/>
  <c r="AG141" i="9" s="1"/>
  <c r="AN194" i="11"/>
  <c r="AG201" i="15"/>
  <c r="AG185" i="15" s="1"/>
  <c r="AH77" i="15"/>
  <c r="AE126" i="7"/>
  <c r="AE126" i="9" s="1"/>
  <c r="AG79" i="15"/>
  <c r="AG63" i="15" s="1"/>
  <c r="AO116" i="15"/>
  <c r="AC30" i="9"/>
  <c r="AG129" i="11"/>
  <c r="AE129" i="7"/>
  <c r="AE129" i="9" s="1"/>
  <c r="AG172" i="9"/>
  <c r="AG140" i="9" s="1"/>
  <c r="AG140" i="7"/>
  <c r="AG316" i="15"/>
  <c r="AG284" i="15" s="1"/>
  <c r="AG141" i="7"/>
  <c r="AG208" i="15"/>
  <c r="AG192" i="15" s="1"/>
  <c r="AF140" i="7"/>
  <c r="AH75" i="15"/>
  <c r="AH59" i="15" s="1"/>
  <c r="AG175" i="7"/>
  <c r="AG175" i="9" s="1"/>
  <c r="AG143" i="9" s="1"/>
  <c r="AF143" i="7"/>
  <c r="AH141" i="7"/>
  <c r="AF172" i="9"/>
  <c r="AF140" i="9" s="1"/>
  <c r="AH172" i="7"/>
  <c r="AH140" i="7" s="1"/>
  <c r="AG179" i="7"/>
  <c r="AI173" i="7"/>
  <c r="AJ173" i="7" s="1"/>
  <c r="AE68" i="15"/>
  <c r="AE122" i="7"/>
  <c r="AE122" i="9" s="1"/>
  <c r="AB34" i="7"/>
  <c r="AA101" i="9"/>
  <c r="AE131" i="7"/>
  <c r="AE131" i="9" s="1"/>
  <c r="AF174" i="9"/>
  <c r="AF142" i="9" s="1"/>
  <c r="AF142" i="7"/>
  <c r="AG174" i="7"/>
  <c r="AH174" i="7" s="1"/>
  <c r="AH142" i="7" s="1"/>
  <c r="AE187" i="15"/>
  <c r="AE196" i="15" s="1"/>
  <c r="AF203" i="15"/>
  <c r="AF211" i="15" s="1"/>
  <c r="AF195" i="15" s="1"/>
  <c r="AC26" i="7"/>
  <c r="AC370" i="15"/>
  <c r="AC354" i="15" s="1"/>
  <c r="AC50" i="15" s="1"/>
  <c r="AC26" i="9"/>
  <c r="AD129" i="11"/>
  <c r="AF129" i="11"/>
  <c r="AM112" i="11"/>
  <c r="AM42" i="4"/>
  <c r="AM155" i="4" s="1"/>
  <c r="AN108" i="11"/>
  <c r="AH129" i="11"/>
  <c r="AC93" i="7"/>
  <c r="AC29" i="7" s="1"/>
  <c r="AF64" i="15"/>
  <c r="AG313" i="15"/>
  <c r="AG281" i="15" s="1"/>
  <c r="AG80" i="15"/>
  <c r="AG64" i="15" s="1"/>
  <c r="AD116" i="7"/>
  <c r="AD116" i="9" s="1"/>
  <c r="AG315" i="15"/>
  <c r="AG283" i="15" s="1"/>
  <c r="AE124" i="7"/>
  <c r="AE124" i="9" s="1"/>
  <c r="AG321" i="15"/>
  <c r="AG289" i="15" s="1"/>
  <c r="AC32" i="9"/>
  <c r="AC30" i="7"/>
  <c r="AB362" i="15"/>
  <c r="AB346" i="15" s="1"/>
  <c r="AB42" i="15" s="1"/>
  <c r="AC35" i="7"/>
  <c r="AI157" i="7"/>
  <c r="AJ157" i="7" s="1"/>
  <c r="AG73" i="15"/>
  <c r="AH73" i="15" s="1"/>
  <c r="AH57" i="15" s="1"/>
  <c r="AC32" i="7"/>
  <c r="AP132" i="15"/>
  <c r="AG319" i="15"/>
  <c r="AG287" i="15" s="1"/>
  <c r="AG312" i="15"/>
  <c r="AG280" i="15" s="1"/>
  <c r="AA371" i="15"/>
  <c r="AA355" i="15" s="1"/>
  <c r="AA51" i="15" s="1"/>
  <c r="AP116" i="15"/>
  <c r="AC28" i="9"/>
  <c r="AD125" i="7"/>
  <c r="AD125" i="9" s="1"/>
  <c r="AI78" i="15"/>
  <c r="AG164" i="7"/>
  <c r="AG164" i="9" s="1"/>
  <c r="AG165" i="9" s="1"/>
  <c r="AG10" i="9" s="1"/>
  <c r="AC33" i="9"/>
  <c r="AA36" i="9"/>
  <c r="AF179" i="9"/>
  <c r="AF147" i="9" s="1"/>
  <c r="AF147" i="7"/>
  <c r="AG318" i="15"/>
  <c r="AG286" i="15" s="1"/>
  <c r="AO192" i="11"/>
  <c r="AO144" i="11" s="1"/>
  <c r="AP192" i="11"/>
  <c r="AP194" i="11" s="1"/>
  <c r="AG317" i="15"/>
  <c r="AG285" i="15" s="1"/>
  <c r="AB69" i="9"/>
  <c r="AB4" i="9" s="1"/>
  <c r="AB3" i="9" s="1"/>
  <c r="AG322" i="15"/>
  <c r="AG290" i="15" s="1"/>
  <c r="AG320" i="15"/>
  <c r="AG288" i="15" s="1"/>
  <c r="AG314" i="15"/>
  <c r="AG282" i="15" s="1"/>
  <c r="AC132" i="7"/>
  <c r="AC132" i="9" s="1"/>
  <c r="AH74" i="15"/>
  <c r="AH58" i="15" s="1"/>
  <c r="AE180" i="9"/>
  <c r="AE148" i="9" s="1"/>
  <c r="AE148" i="7"/>
  <c r="AE62" i="9"/>
  <c r="AE46" i="9" s="1"/>
  <c r="AE46" i="7"/>
  <c r="AP144" i="11"/>
  <c r="AG43" i="7"/>
  <c r="AG59" i="9"/>
  <c r="AG43" i="9" s="1"/>
  <c r="AF48" i="7"/>
  <c r="AF64" i="9"/>
  <c r="AF48" i="9" s="1"/>
  <c r="AE61" i="9"/>
  <c r="AE45" i="9" s="1"/>
  <c r="AE45" i="7"/>
  <c r="AF61" i="7"/>
  <c r="AG61" i="7" s="1"/>
  <c r="AH61" i="7" s="1"/>
  <c r="AH45" i="7" s="1"/>
  <c r="AE68" i="7"/>
  <c r="AF65" i="9"/>
  <c r="AF49" i="9" s="1"/>
  <c r="AF49" i="7"/>
  <c r="AO41" i="4"/>
  <c r="AO154" i="4" s="1"/>
  <c r="AP107" i="11"/>
  <c r="AQ107" i="11" s="1"/>
  <c r="AN119" i="11"/>
  <c r="AN85" i="4"/>
  <c r="AP135" i="11"/>
  <c r="AN126" i="11"/>
  <c r="AN92" i="4"/>
  <c r="AP148" i="4"/>
  <c r="AD148" i="9"/>
  <c r="AD165" i="9"/>
  <c r="AD10" i="9" s="1"/>
  <c r="AN13" i="7"/>
  <c r="AN213" i="7" s="1"/>
  <c r="AC366" i="15"/>
  <c r="AC350" i="15" s="1"/>
  <c r="AC46" i="15" s="1"/>
  <c r="AG171" i="7"/>
  <c r="AH171" i="7" s="1"/>
  <c r="Y351" i="13"/>
  <c r="Y323" i="13"/>
  <c r="Y335" i="13" s="1"/>
  <c r="AG64" i="7"/>
  <c r="AH64" i="7" s="1"/>
  <c r="AH48" i="7" s="1"/>
  <c r="AB146" i="9"/>
  <c r="AM67" i="4"/>
  <c r="AM95" i="4"/>
  <c r="W51" i="13"/>
  <c r="W79" i="13"/>
  <c r="W4" i="13" s="1"/>
  <c r="AP138" i="11"/>
  <c r="AP9" i="7"/>
  <c r="AQ9" i="7" s="1"/>
  <c r="AN128" i="11"/>
  <c r="AN94" i="4"/>
  <c r="AG143" i="7"/>
  <c r="AH207" i="15"/>
  <c r="AH191" i="15" s="1"/>
  <c r="AH206" i="15"/>
  <c r="AH190" i="15" s="1"/>
  <c r="AH210" i="15"/>
  <c r="AH194" i="15" s="1"/>
  <c r="AH201" i="15"/>
  <c r="AH185" i="15" s="1"/>
  <c r="AH209" i="15"/>
  <c r="AH193" i="15" s="1"/>
  <c r="AH205" i="15"/>
  <c r="AH189" i="15" s="1"/>
  <c r="AH204" i="15"/>
  <c r="AH188" i="15" s="1"/>
  <c r="AH202" i="15"/>
  <c r="AH186" i="15" s="1"/>
  <c r="AH200" i="15"/>
  <c r="AH184" i="15" s="1"/>
  <c r="AI3" i="7"/>
  <c r="AI4" i="7" s="1"/>
  <c r="AI69" i="7" s="1"/>
  <c r="AN121" i="11"/>
  <c r="AN87" i="4"/>
  <c r="AD96" i="7"/>
  <c r="AD32" i="7" s="1"/>
  <c r="AD112" i="9"/>
  <c r="AE112" i="7"/>
  <c r="AF112" i="7" s="1"/>
  <c r="AG47" i="7"/>
  <c r="AG63" i="9"/>
  <c r="AG47" i="9" s="1"/>
  <c r="AD108" i="9"/>
  <c r="AD92" i="9" s="1"/>
  <c r="AD28" i="9" s="1"/>
  <c r="AD92" i="7"/>
  <c r="AD28" i="7" s="1"/>
  <c r="AE108" i="7"/>
  <c r="AB53" i="9"/>
  <c r="AB25" i="9"/>
  <c r="AD107" i="9"/>
  <c r="AD91" i="9" s="1"/>
  <c r="AD27" i="9" s="1"/>
  <c r="AD91" i="7"/>
  <c r="AD27" i="7" s="1"/>
  <c r="AE107" i="7"/>
  <c r="AF107" i="7" s="1"/>
  <c r="AC360" i="15"/>
  <c r="AM69" i="4"/>
  <c r="U408" i="3"/>
  <c r="AC363" i="15"/>
  <c r="AC347" i="15" s="1"/>
  <c r="AC43" i="15" s="1"/>
  <c r="AL11" i="15"/>
  <c r="AM11" i="15" s="1"/>
  <c r="AQ192" i="11"/>
  <c r="AI155" i="7"/>
  <c r="W56" i="13"/>
  <c r="W40" i="13" s="1"/>
  <c r="W60" i="13"/>
  <c r="W44" i="13" s="1"/>
  <c r="W62" i="13"/>
  <c r="W46" i="13" s="1"/>
  <c r="CO3" i="15"/>
  <c r="AI176" i="7"/>
  <c r="BN27" i="13"/>
  <c r="V32" i="13"/>
  <c r="V3" i="2"/>
  <c r="AD105" i="9"/>
  <c r="AD89" i="7"/>
  <c r="AD25" i="7" s="1"/>
  <c r="AE105" i="7"/>
  <c r="AP134" i="11"/>
  <c r="AO141" i="11"/>
  <c r="AL159" i="4"/>
  <c r="AL160" i="4" s="1"/>
  <c r="AL47" i="4"/>
  <c r="Y117" i="13"/>
  <c r="Y102" i="3"/>
  <c r="Y125" i="13"/>
  <c r="Y110" i="3"/>
  <c r="AD128" i="9"/>
  <c r="AE128" i="7"/>
  <c r="AE128" i="9" s="1"/>
  <c r="AK161" i="7"/>
  <c r="AL161" i="7" s="1"/>
  <c r="AK153" i="7"/>
  <c r="AK156" i="7"/>
  <c r="AK163" i="7"/>
  <c r="AD109" i="9"/>
  <c r="AE109" i="7"/>
  <c r="AP141" i="11"/>
  <c r="U309" i="4"/>
  <c r="AE50" i="7"/>
  <c r="AE66" i="9"/>
  <c r="AE50" i="9" s="1"/>
  <c r="AC367" i="15"/>
  <c r="AC351" i="15" s="1"/>
  <c r="AC47" i="15" s="1"/>
  <c r="T411" i="3"/>
  <c r="T426" i="3"/>
  <c r="AF57" i="9"/>
  <c r="AF41" i="7"/>
  <c r="AQ123" i="11"/>
  <c r="AQ89" i="4"/>
  <c r="W61" i="13"/>
  <c r="W45" i="13" s="1"/>
  <c r="Y191" i="13"/>
  <c r="Y11" i="13" s="1"/>
  <c r="Y131" i="13"/>
  <c r="AD94" i="7"/>
  <c r="AD110" i="9"/>
  <c r="AD94" i="9" s="1"/>
  <c r="AE110" i="7"/>
  <c r="AP137" i="11"/>
  <c r="CM11" i="15"/>
  <c r="AJ12" i="15"/>
  <c r="AJ13" i="15" s="1"/>
  <c r="CM13" i="15" s="1"/>
  <c r="AJ162" i="7"/>
  <c r="AK162" i="7" s="1"/>
  <c r="R317" i="4"/>
  <c r="R332" i="4"/>
  <c r="AD372" i="15"/>
  <c r="AD38" i="15"/>
  <c r="CC23" i="15"/>
  <c r="AO142" i="11"/>
  <c r="AD196" i="15"/>
  <c r="AP139" i="11"/>
  <c r="AP143" i="11"/>
  <c r="AD148" i="7"/>
  <c r="T327" i="4"/>
  <c r="T312" i="4"/>
  <c r="AC35" i="9"/>
  <c r="AD113" i="9"/>
  <c r="AD97" i="9" s="1"/>
  <c r="AD33" i="9" s="1"/>
  <c r="AD97" i="7"/>
  <c r="AD33" i="7" s="1"/>
  <c r="AE113" i="7"/>
  <c r="AC369" i="15"/>
  <c r="AC353" i="15" s="1"/>
  <c r="AC49" i="15" s="1"/>
  <c r="AM68" i="4"/>
  <c r="AF43" i="7"/>
  <c r="AF59" i="9"/>
  <c r="AF43" i="9" s="1"/>
  <c r="AQ127" i="11"/>
  <c r="AQ93" i="4"/>
  <c r="AG65" i="7"/>
  <c r="AH65" i="7" s="1"/>
  <c r="AH49" i="7" s="1"/>
  <c r="W53" i="13"/>
  <c r="W37" i="13" s="1"/>
  <c r="AD106" i="9"/>
  <c r="AD90" i="9" s="1"/>
  <c r="AD90" i="7"/>
  <c r="AE106" i="7"/>
  <c r="AP142" i="11"/>
  <c r="AO12" i="7"/>
  <c r="AP12" i="7" s="1"/>
  <c r="AQ12" i="7" s="1"/>
  <c r="AQ126" i="11"/>
  <c r="AQ92" i="4"/>
  <c r="Y126" i="13"/>
  <c r="Y111" i="3"/>
  <c r="AN122" i="11"/>
  <c r="AN88" i="4"/>
  <c r="AM71" i="4"/>
  <c r="AO138" i="11"/>
  <c r="AG58" i="9"/>
  <c r="AG42" i="9" s="1"/>
  <c r="AG42" i="7"/>
  <c r="Z356" i="15"/>
  <c r="Z52" i="15" s="1"/>
  <c r="AN125" i="11"/>
  <c r="AN91" i="4"/>
  <c r="AF47" i="7"/>
  <c r="AF63" i="9"/>
  <c r="AF47" i="9" s="1"/>
  <c r="AQ122" i="11"/>
  <c r="AQ88" i="4"/>
  <c r="Y121" i="13"/>
  <c r="Y106" i="3"/>
  <c r="AD114" i="9"/>
  <c r="AD98" i="9" s="1"/>
  <c r="AD34" i="9" s="1"/>
  <c r="AD98" i="7"/>
  <c r="AD34" i="7" s="1"/>
  <c r="AE114" i="7"/>
  <c r="AC52" i="7"/>
  <c r="AC53" i="7" s="1"/>
  <c r="AC68" i="9"/>
  <c r="AC52" i="9" s="1"/>
  <c r="AO137" i="11"/>
  <c r="AF66" i="9"/>
  <c r="AF50" i="9" s="1"/>
  <c r="AF50" i="7"/>
  <c r="AH61" i="15"/>
  <c r="AI77" i="15"/>
  <c r="AI61" i="15" s="1"/>
  <c r="AJ159" i="7"/>
  <c r="Y196" i="3"/>
  <c r="Y208" i="3" s="1"/>
  <c r="Y48" i="3"/>
  <c r="Y68" i="3"/>
  <c r="Y80" i="3" s="1"/>
  <c r="AB27" i="7"/>
  <c r="AF323" i="15"/>
  <c r="AF291" i="15" s="1"/>
  <c r="AF292" i="15" s="1"/>
  <c r="Y118" i="13"/>
  <c r="Y103" i="3"/>
  <c r="AN120" i="11"/>
  <c r="AN86" i="4"/>
  <c r="AC180" i="9"/>
  <c r="AC148" i="9" s="1"/>
  <c r="AC149" i="9" s="1"/>
  <c r="AC148" i="7"/>
  <c r="AC149" i="7" s="1"/>
  <c r="S315" i="4"/>
  <c r="S330" i="4"/>
  <c r="AC361" i="15"/>
  <c r="AC345" i="15" s="1"/>
  <c r="AC41" i="15" s="1"/>
  <c r="AH324" i="15"/>
  <c r="CK20" i="15"/>
  <c r="AH18" i="15"/>
  <c r="Y148" i="3"/>
  <c r="Y160" i="3" s="1"/>
  <c r="Y144" i="3"/>
  <c r="AC27" i="9"/>
  <c r="AF67" i="9"/>
  <c r="AF51" i="9" s="1"/>
  <c r="AF51" i="7"/>
  <c r="U109" i="21"/>
  <c r="AQ119" i="11"/>
  <c r="AQ85" i="4"/>
  <c r="W59" i="13"/>
  <c r="W43" i="13" s="1"/>
  <c r="AJ6" i="7"/>
  <c r="R431" i="3"/>
  <c r="R416" i="3"/>
  <c r="AQ35" i="4"/>
  <c r="AI207" i="15"/>
  <c r="AI191" i="15" s="1"/>
  <c r="AM77" i="4"/>
  <c r="W58" i="13"/>
  <c r="W42" i="13" s="1"/>
  <c r="AM75" i="4"/>
  <c r="Y119" i="13"/>
  <c r="Y104" i="3"/>
  <c r="V371" i="19"/>
  <c r="V30" i="19"/>
  <c r="V31" i="6"/>
  <c r="AD62" i="9"/>
  <c r="AD46" i="9" s="1"/>
  <c r="AD46" i="7"/>
  <c r="AC29" i="9"/>
  <c r="AG66" i="7"/>
  <c r="AH66" i="7" s="1"/>
  <c r="AH50" i="7" s="1"/>
  <c r="AF164" i="9"/>
  <c r="AF165" i="9" s="1"/>
  <c r="AF10" i="9" s="1"/>
  <c r="AN127" i="11"/>
  <c r="AN93" i="4"/>
  <c r="AF58" i="9"/>
  <c r="AF42" i="9" s="1"/>
  <c r="AF42" i="7"/>
  <c r="AQ117" i="11"/>
  <c r="AQ83" i="4"/>
  <c r="AF58" i="15"/>
  <c r="AF83" i="15"/>
  <c r="AF67" i="15" s="1"/>
  <c r="AQ45" i="4"/>
  <c r="AQ158" i="4" s="1"/>
  <c r="Y124" i="13"/>
  <c r="Y109" i="3"/>
  <c r="AN124" i="11"/>
  <c r="AN90" i="4"/>
  <c r="AI13" i="15"/>
  <c r="AD121" i="9"/>
  <c r="AE121" i="7"/>
  <c r="AF121" i="7" s="1"/>
  <c r="AF121" i="9" s="1"/>
  <c r="AG76" i="15"/>
  <c r="AG60" i="15" s="1"/>
  <c r="S430" i="3"/>
  <c r="S415" i="3"/>
  <c r="AG117" i="7"/>
  <c r="AG8" i="7"/>
  <c r="AG133" i="7" s="1"/>
  <c r="AA40" i="15"/>
  <c r="AP29" i="19"/>
  <c r="AO370" i="19"/>
  <c r="AO376" i="19" s="1"/>
  <c r="AF65" i="15"/>
  <c r="AG81" i="15"/>
  <c r="AH81" i="15" s="1"/>
  <c r="Q319" i="4"/>
  <c r="Q334" i="4"/>
  <c r="AD61" i="9"/>
  <c r="AD45" i="9" s="1"/>
  <c r="AD45" i="7"/>
  <c r="AD68" i="7"/>
  <c r="AM129" i="11"/>
  <c r="AN10" i="7"/>
  <c r="AN165" i="7" s="1"/>
  <c r="AC364" i="15"/>
  <c r="AC348" i="15" s="1"/>
  <c r="AC44" i="15" s="1"/>
  <c r="AI324" i="15"/>
  <c r="AI18" i="15"/>
  <c r="U303" i="4"/>
  <c r="U402" i="3"/>
  <c r="AF62" i="7"/>
  <c r="AQ120" i="11"/>
  <c r="AQ86" i="4"/>
  <c r="W55" i="13"/>
  <c r="W39" i="13" s="1"/>
  <c r="Y116" i="13"/>
  <c r="Y101" i="3"/>
  <c r="AE123" i="7"/>
  <c r="AE123" i="9" s="1"/>
  <c r="Y120" i="13"/>
  <c r="Y105" i="3"/>
  <c r="AG57" i="9"/>
  <c r="AG41" i="7"/>
  <c r="AP133" i="11"/>
  <c r="AH7" i="7"/>
  <c r="W54" i="13"/>
  <c r="W38" i="13" s="1"/>
  <c r="AD115" i="9"/>
  <c r="AD99" i="9" s="1"/>
  <c r="AD35" i="9" s="1"/>
  <c r="AD99" i="7"/>
  <c r="AE115" i="7"/>
  <c r="AF115" i="7" s="1"/>
  <c r="AB180" i="9"/>
  <c r="AB148" i="9" s="1"/>
  <c r="AB148" i="7"/>
  <c r="AB149" i="7" s="1"/>
  <c r="AD111" i="9"/>
  <c r="AD95" i="9" s="1"/>
  <c r="AD31" i="9" s="1"/>
  <c r="AD95" i="7"/>
  <c r="AD31" i="7" s="1"/>
  <c r="AE111" i="7"/>
  <c r="AF111" i="7" s="1"/>
  <c r="AC368" i="15"/>
  <c r="AC352" i="15" s="1"/>
  <c r="AC48" i="15" s="1"/>
  <c r="V117" i="19"/>
  <c r="V118" i="19"/>
  <c r="V116" i="19"/>
  <c r="V114" i="19"/>
  <c r="V120" i="19"/>
  <c r="V123" i="19"/>
  <c r="V113" i="19"/>
  <c r="V121" i="19"/>
  <c r="V115" i="19"/>
  <c r="V119" i="19"/>
  <c r="V122" i="19"/>
  <c r="AM74" i="4"/>
  <c r="AP136" i="11"/>
  <c r="AQ124" i="11"/>
  <c r="AQ90" i="4"/>
  <c r="AH144" i="7"/>
  <c r="AJ160" i="7"/>
  <c r="AH164" i="7"/>
  <c r="AO133" i="11"/>
  <c r="AJ154" i="7"/>
  <c r="AK154" i="7" s="1"/>
  <c r="AO139" i="11"/>
  <c r="AC34" i="9"/>
  <c r="AC365" i="15"/>
  <c r="AC349" i="15" s="1"/>
  <c r="AC45" i="15" s="1"/>
  <c r="AM78" i="4"/>
  <c r="AQ125" i="11"/>
  <c r="AQ91" i="4"/>
  <c r="W52" i="13"/>
  <c r="W36" i="13" s="1"/>
  <c r="Z249" i="13"/>
  <c r="Z201" i="13" s="1"/>
  <c r="Z138" i="3" s="1"/>
  <c r="Z154" i="3" s="1"/>
  <c r="Z250" i="13"/>
  <c r="Z202" i="13" s="1"/>
  <c r="Z139" i="3" s="1"/>
  <c r="Z155" i="3" s="1"/>
  <c r="Z254" i="13"/>
  <c r="Z206" i="13" s="1"/>
  <c r="Z143" i="3" s="1"/>
  <c r="Z159" i="3" s="1"/>
  <c r="Z246" i="13"/>
  <c r="Z198" i="13" s="1"/>
  <c r="Z135" i="3" s="1"/>
  <c r="Z151" i="3" s="1"/>
  <c r="Z251" i="13"/>
  <c r="Z203" i="13" s="1"/>
  <c r="Z140" i="3" s="1"/>
  <c r="Z156" i="3" s="1"/>
  <c r="Z253" i="13"/>
  <c r="Z205" i="13" s="1"/>
  <c r="Z142" i="3" s="1"/>
  <c r="Z158" i="3" s="1"/>
  <c r="Z247" i="13"/>
  <c r="Z199" i="13" s="1"/>
  <c r="Z136" i="3" s="1"/>
  <c r="Z152" i="3" s="1"/>
  <c r="Z243" i="13"/>
  <c r="Z252" i="13"/>
  <c r="Z204" i="13" s="1"/>
  <c r="Z141" i="3" s="1"/>
  <c r="Z157" i="3" s="1"/>
  <c r="Z248" i="13"/>
  <c r="Z200" i="13" s="1"/>
  <c r="Z137" i="3" s="1"/>
  <c r="Z153" i="3" s="1"/>
  <c r="Z244" i="13"/>
  <c r="Z196" i="13" s="1"/>
  <c r="Z133" i="3" s="1"/>
  <c r="Z149" i="3" s="1"/>
  <c r="Z245" i="13"/>
  <c r="Z197" i="13" s="1"/>
  <c r="Z134" i="3" s="1"/>
  <c r="Z150" i="3" s="1"/>
  <c r="Y122" i="13"/>
  <c r="Y107" i="3"/>
  <c r="AJ82" i="15"/>
  <c r="AJ66" i="15" s="1"/>
  <c r="AO148" i="4"/>
  <c r="AB91" i="9"/>
  <c r="AP140" i="11"/>
  <c r="AH59" i="7"/>
  <c r="AH43" i="7" s="1"/>
  <c r="AH58" i="7"/>
  <c r="AH42" i="7" s="1"/>
  <c r="AH67" i="7"/>
  <c r="AH51" i="7" s="1"/>
  <c r="AH63" i="7"/>
  <c r="AH47" i="7" s="1"/>
  <c r="AH57" i="7"/>
  <c r="AH41" i="7" s="1"/>
  <c r="AE165" i="9"/>
  <c r="AE10" i="9" s="1"/>
  <c r="Y123" i="13"/>
  <c r="Y108" i="3"/>
  <c r="AE178" i="9"/>
  <c r="AE146" i="9" s="1"/>
  <c r="AE146" i="7"/>
  <c r="AE41" i="9"/>
  <c r="AN117" i="11"/>
  <c r="AN145" i="11"/>
  <c r="AN146" i="11" s="1"/>
  <c r="AN83" i="4"/>
  <c r="AN123" i="11"/>
  <c r="AN89" i="4"/>
  <c r="Y21" i="13"/>
  <c r="BQ22" i="13"/>
  <c r="AN84" i="15"/>
  <c r="CQ4" i="15"/>
  <c r="AN3" i="15"/>
  <c r="AG37" i="15"/>
  <c r="CI17" i="15"/>
  <c r="AG22" i="15"/>
  <c r="AH56" i="15"/>
  <c r="AI72" i="15"/>
  <c r="AJ72" i="15" s="1"/>
  <c r="AE60" i="9"/>
  <c r="AE44" i="9" s="1"/>
  <c r="AE44" i="7"/>
  <c r="AC41" i="9"/>
  <c r="AF178" i="7"/>
  <c r="AF180" i="7" s="1"/>
  <c r="AF180" i="9" s="1"/>
  <c r="AC33" i="7"/>
  <c r="AC25" i="7"/>
  <c r="AN118" i="11"/>
  <c r="AN84" i="4"/>
  <c r="AE127" i="7"/>
  <c r="AE127" i="9" s="1"/>
  <c r="AD68" i="15"/>
  <c r="AE130" i="7"/>
  <c r="AE130" i="9" s="1"/>
  <c r="AO143" i="11"/>
  <c r="AC34" i="7"/>
  <c r="AM76" i="4"/>
  <c r="AD41" i="9"/>
  <c r="AF37" i="15"/>
  <c r="CG17" i="15"/>
  <c r="AF22" i="15"/>
  <c r="AD35" i="7"/>
  <c r="AE48" i="7"/>
  <c r="AE64" i="9"/>
  <c r="AE48" i="9" s="1"/>
  <c r="AQ118" i="11"/>
  <c r="AQ84" i="4"/>
  <c r="AO140" i="19"/>
  <c r="AQ133" i="19"/>
  <c r="AQ140" i="19" s="1"/>
  <c r="AM70" i="4"/>
  <c r="AJ158" i="7"/>
  <c r="AK158" i="7" s="1"/>
  <c r="AO134" i="11"/>
  <c r="AQ324" i="19"/>
  <c r="AQ333" i="19" s="1"/>
  <c r="AQ348" i="19"/>
  <c r="AQ332" i="19" s="1"/>
  <c r="AB132" i="9"/>
  <c r="AB100" i="9" s="1"/>
  <c r="AB100" i="7"/>
  <c r="AB101" i="7" s="1"/>
  <c r="AB40" i="15"/>
  <c r="AG67" i="9"/>
  <c r="AG51" i="9" s="1"/>
  <c r="AG51" i="7"/>
  <c r="AM11" i="7"/>
  <c r="AM181" i="7" s="1"/>
  <c r="Z105" i="13"/>
  <c r="Z42" i="3" s="1"/>
  <c r="Z102" i="13"/>
  <c r="Z39" i="3" s="1"/>
  <c r="Z108" i="13"/>
  <c r="Z45" i="3" s="1"/>
  <c r="Z107" i="13"/>
  <c r="Z44" i="3" s="1"/>
  <c r="Z109" i="13"/>
  <c r="Z46" i="3" s="1"/>
  <c r="Z103" i="13"/>
  <c r="Z40" i="3" s="1"/>
  <c r="Z99" i="13"/>
  <c r="Z101" i="13"/>
  <c r="Z38" i="3" s="1"/>
  <c r="Z110" i="13"/>
  <c r="Z47" i="3" s="1"/>
  <c r="Z100" i="13"/>
  <c r="Z37" i="3" s="1"/>
  <c r="Z106" i="13"/>
  <c r="Z43" i="3" s="1"/>
  <c r="Z104" i="13"/>
  <c r="Z41" i="3" s="1"/>
  <c r="AA34" i="9"/>
  <c r="AA149" i="9"/>
  <c r="AO136" i="11"/>
  <c r="AO140" i="11"/>
  <c r="Q433" i="3"/>
  <c r="Q418" i="3"/>
  <c r="AC27" i="7"/>
  <c r="AF171" i="9"/>
  <c r="AF139" i="9" s="1"/>
  <c r="AF139" i="7"/>
  <c r="AM73" i="4"/>
  <c r="AO135" i="11"/>
  <c r="AM72" i="4"/>
  <c r="AE372" i="15"/>
  <c r="AE38" i="15"/>
  <c r="CE23" i="15"/>
  <c r="AF60" i="7"/>
  <c r="AG60" i="7" s="1"/>
  <c r="AQ121" i="11"/>
  <c r="AQ87" i="4"/>
  <c r="W57" i="13"/>
  <c r="W41" i="13" s="1"/>
  <c r="AO4" i="15"/>
  <c r="AL78" i="4"/>
  <c r="AL79" i="4" s="1"/>
  <c r="AH170" i="7"/>
  <c r="AI170" i="7" s="1"/>
  <c r="AE79" i="11" l="1"/>
  <c r="AE72" i="11"/>
  <c r="AE75" i="11"/>
  <c r="AE70" i="11"/>
  <c r="AE77" i="11"/>
  <c r="AE74" i="11"/>
  <c r="AE78" i="11"/>
  <c r="AE76" i="11"/>
  <c r="AE73" i="11"/>
  <c r="AE69" i="11"/>
  <c r="AE71" i="11"/>
  <c r="AD192" i="4"/>
  <c r="AE31" i="11"/>
  <c r="AE32" i="11" s="1"/>
  <c r="AE27" i="11" s="1"/>
  <c r="AE32" i="15"/>
  <c r="AE13" i="2"/>
  <c r="AE14" i="2" s="1"/>
  <c r="AF30" i="11"/>
  <c r="AF29" i="13"/>
  <c r="AD191" i="4"/>
  <c r="AD48" i="11"/>
  <c r="AD49" i="11" s="1"/>
  <c r="AA2" i="2"/>
  <c r="AD149" i="9"/>
  <c r="AF126" i="7"/>
  <c r="AF126" i="9" s="1"/>
  <c r="AD26" i="7"/>
  <c r="AD26" i="9"/>
  <c r="AG138" i="7"/>
  <c r="AD181" i="9"/>
  <c r="AD11" i="9" s="1"/>
  <c r="AD9" i="9" s="1"/>
  <c r="AD149" i="7"/>
  <c r="AI177" i="7"/>
  <c r="AJ177" i="7" s="1"/>
  <c r="AJ145" i="7" s="1"/>
  <c r="AF131" i="7"/>
  <c r="AF131" i="9" s="1"/>
  <c r="AG177" i="9"/>
  <c r="AG145" i="9" s="1"/>
  <c r="AG145" i="7"/>
  <c r="AE138" i="7"/>
  <c r="AE170" i="9"/>
  <c r="AE138" i="9" s="1"/>
  <c r="AE149" i="9" s="1"/>
  <c r="AC100" i="7"/>
  <c r="AC101" i="7" s="1"/>
  <c r="AG169" i="9"/>
  <c r="AG137" i="9" s="1"/>
  <c r="AG137" i="7"/>
  <c r="AF138" i="7"/>
  <c r="AF170" i="9"/>
  <c r="AJ141" i="7"/>
  <c r="AH169" i="7"/>
  <c r="AH208" i="15"/>
  <c r="AH192" i="15" s="1"/>
  <c r="AC362" i="15"/>
  <c r="AC346" i="15" s="1"/>
  <c r="AC42" i="15" s="1"/>
  <c r="AB371" i="15"/>
  <c r="AB355" i="15" s="1"/>
  <c r="AB51" i="15" s="1"/>
  <c r="AH79" i="15"/>
  <c r="AH63" i="15" s="1"/>
  <c r="AO194" i="11"/>
  <c r="AF129" i="7"/>
  <c r="AF129" i="9" s="1"/>
  <c r="AA37" i="9"/>
  <c r="AK12" i="15"/>
  <c r="AK212" i="15" s="1"/>
  <c r="AK157" i="7"/>
  <c r="AL157" i="7" s="1"/>
  <c r="AM157" i="7" s="1"/>
  <c r="AH175" i="7"/>
  <c r="AH143" i="7" s="1"/>
  <c r="AE149" i="7"/>
  <c r="AI208" i="15"/>
  <c r="AI192" i="15" s="1"/>
  <c r="AF187" i="15"/>
  <c r="AF196" i="15" s="1"/>
  <c r="AG203" i="15"/>
  <c r="AI74" i="15"/>
  <c r="AI58" i="15" s="1"/>
  <c r="AG179" i="9"/>
  <c r="AG147" i="9" s="1"/>
  <c r="AG147" i="7"/>
  <c r="AI172" i="7"/>
  <c r="AK173" i="7"/>
  <c r="AL173" i="7" s="1"/>
  <c r="AG174" i="9"/>
  <c r="AG142" i="9" s="1"/>
  <c r="AG142" i="7"/>
  <c r="AI174" i="7"/>
  <c r="AI141" i="7"/>
  <c r="AL162" i="7"/>
  <c r="AM162" i="7" s="1"/>
  <c r="AI75" i="15"/>
  <c r="AA356" i="15"/>
  <c r="AA52" i="15" s="1"/>
  <c r="AH179" i="7"/>
  <c r="AH147" i="7" s="1"/>
  <c r="AF68" i="7"/>
  <c r="AF52" i="7" s="1"/>
  <c r="AJ77" i="15"/>
  <c r="AJ61" i="15" s="1"/>
  <c r="AB36" i="9"/>
  <c r="AI201" i="15"/>
  <c r="AI185" i="15" s="1"/>
  <c r="AF122" i="7"/>
  <c r="AF122" i="9" s="1"/>
  <c r="AO108" i="11"/>
  <c r="AN42" i="4"/>
  <c r="AN155" i="4" s="1"/>
  <c r="AP108" i="11"/>
  <c r="AN112" i="11"/>
  <c r="AM46" i="4"/>
  <c r="AI209" i="15"/>
  <c r="AI193" i="15" s="1"/>
  <c r="AD93" i="7"/>
  <c r="AD29" i="7" s="1"/>
  <c r="U403" i="3"/>
  <c r="AF124" i="7"/>
  <c r="AF124" i="9" s="1"/>
  <c r="AK82" i="15"/>
  <c r="AK66" i="15" s="1"/>
  <c r="AK13" i="15"/>
  <c r="AD93" i="9"/>
  <c r="AD29" i="9" s="1"/>
  <c r="AE125" i="7"/>
  <c r="AE125" i="9" s="1"/>
  <c r="AG323" i="15"/>
  <c r="AG291" i="15" s="1"/>
  <c r="AG292" i="15" s="1"/>
  <c r="AD132" i="7"/>
  <c r="AH80" i="15"/>
  <c r="AD30" i="9"/>
  <c r="AG62" i="7"/>
  <c r="AH62" i="7" s="1"/>
  <c r="AJ176" i="7"/>
  <c r="AK176" i="7" s="1"/>
  <c r="AL176" i="7" s="1"/>
  <c r="AM176" i="7" s="1"/>
  <c r="AG57" i="15"/>
  <c r="AI73" i="15"/>
  <c r="AI57" i="15" s="1"/>
  <c r="AI62" i="15"/>
  <c r="AJ78" i="15"/>
  <c r="AQ13" i="7"/>
  <c r="AQ213" i="7" s="1"/>
  <c r="AH65" i="15"/>
  <c r="AN67" i="4"/>
  <c r="AN95" i="4"/>
  <c r="AN72" i="4"/>
  <c r="AN129" i="11"/>
  <c r="AF115" i="9"/>
  <c r="AE111" i="9"/>
  <c r="AE95" i="9" s="1"/>
  <c r="AE31" i="9" s="1"/>
  <c r="AE95" i="7"/>
  <c r="AE31" i="7" s="1"/>
  <c r="AF60" i="9"/>
  <c r="AF44" i="9" s="1"/>
  <c r="AF44" i="7"/>
  <c r="AO145" i="11"/>
  <c r="AO146" i="11" s="1"/>
  <c r="AO117" i="11"/>
  <c r="AO83" i="4"/>
  <c r="AH76" i="15"/>
  <c r="AC133" i="9"/>
  <c r="AC8" i="9" s="1"/>
  <c r="AC6" i="9" s="1"/>
  <c r="AC100" i="9"/>
  <c r="AC101" i="9" s="1"/>
  <c r="AF148" i="7"/>
  <c r="S316" i="4"/>
  <c r="S331" i="4"/>
  <c r="AF138" i="9"/>
  <c r="AO126" i="11"/>
  <c r="AO92" i="4"/>
  <c r="T427" i="3"/>
  <c r="T412" i="3"/>
  <c r="AE96" i="7"/>
  <c r="AE32" i="7" s="1"/>
  <c r="AE112" i="9"/>
  <c r="AE96" i="9" s="1"/>
  <c r="AE32" i="9" s="1"/>
  <c r="AJ155" i="7"/>
  <c r="AI144" i="7"/>
  <c r="AI164" i="7"/>
  <c r="AE108" i="9"/>
  <c r="AE92" i="9" s="1"/>
  <c r="AE92" i="7"/>
  <c r="AF108" i="7"/>
  <c r="Z203" i="3"/>
  <c r="Z75" i="3"/>
  <c r="AI56" i="15"/>
  <c r="U424" i="3"/>
  <c r="U409" i="3"/>
  <c r="AK72" i="15"/>
  <c r="AL72" i="15" s="1"/>
  <c r="AM72" i="15" s="1"/>
  <c r="AH60" i="7"/>
  <c r="AI60" i="7" s="1"/>
  <c r="AI44" i="7" s="1"/>
  <c r="AE121" i="9"/>
  <c r="W63" i="13"/>
  <c r="W64" i="13" s="1"/>
  <c r="W35" i="13"/>
  <c r="W47" i="13" s="1"/>
  <c r="AN14" i="7"/>
  <c r="AN229" i="7" s="1"/>
  <c r="AI171" i="7"/>
  <c r="AJ171" i="7" s="1"/>
  <c r="Z205" i="3"/>
  <c r="Z77" i="3"/>
  <c r="CI22" i="15"/>
  <c r="AG23" i="15"/>
  <c r="AQ75" i="4"/>
  <c r="AG83" i="15"/>
  <c r="AG67" i="15" s="1"/>
  <c r="AG65" i="15"/>
  <c r="AI81" i="15"/>
  <c r="AI65" i="15" s="1"/>
  <c r="AF148" i="9"/>
  <c r="AI202" i="15"/>
  <c r="AI186" i="15" s="1"/>
  <c r="AQ69" i="4"/>
  <c r="AN75" i="4"/>
  <c r="AJ212" i="15"/>
  <c r="CM12" i="15"/>
  <c r="AD96" i="9"/>
  <c r="AD32" i="9" s="1"/>
  <c r="AM79" i="4"/>
  <c r="AH139" i="7"/>
  <c r="AO118" i="11"/>
  <c r="AO84" i="4"/>
  <c r="AO127" i="11"/>
  <c r="AO93" i="4"/>
  <c r="CO11" i="15"/>
  <c r="AJ56" i="15"/>
  <c r="R432" i="3"/>
  <c r="R417" i="3"/>
  <c r="Z204" i="3"/>
  <c r="Z76" i="3"/>
  <c r="AN11" i="7"/>
  <c r="AN181" i="7" s="1"/>
  <c r="AN77" i="4"/>
  <c r="AQ76" i="4"/>
  <c r="AL154" i="7"/>
  <c r="AQ70" i="4"/>
  <c r="AO124" i="11"/>
  <c r="AO90" i="4"/>
  <c r="AN68" i="4"/>
  <c r="V119" i="21"/>
  <c r="V103" i="21" s="1"/>
  <c r="V103" i="19"/>
  <c r="Y93" i="3"/>
  <c r="AG50" i="7"/>
  <c r="AG66" i="9"/>
  <c r="AG50" i="9" s="1"/>
  <c r="AD365" i="15"/>
  <c r="AD349" i="15" s="1"/>
  <c r="AD45" i="15" s="1"/>
  <c r="AD364" i="15"/>
  <c r="AD348" i="15" s="1"/>
  <c r="AD44" i="15" s="1"/>
  <c r="AD363" i="15"/>
  <c r="AD347" i="15" s="1"/>
  <c r="AD43" i="15" s="1"/>
  <c r="AD369" i="15"/>
  <c r="AD353" i="15" s="1"/>
  <c r="AD49" i="15" s="1"/>
  <c r="AD367" i="15"/>
  <c r="AD351" i="15" s="1"/>
  <c r="AD47" i="15" s="1"/>
  <c r="AD370" i="15"/>
  <c r="AD354" i="15" s="1"/>
  <c r="AD50" i="15" s="1"/>
  <c r="AD360" i="15"/>
  <c r="AD344" i="15" s="1"/>
  <c r="AD366" i="15"/>
  <c r="AD350" i="15" s="1"/>
  <c r="AD46" i="15" s="1"/>
  <c r="AD368" i="15"/>
  <c r="AD352" i="15" s="1"/>
  <c r="AD48" i="15" s="1"/>
  <c r="AD361" i="15"/>
  <c r="AD345" i="15" s="1"/>
  <c r="AD41" i="15" s="1"/>
  <c r="AP121" i="11"/>
  <c r="AP87" i="4"/>
  <c r="AB149" i="9"/>
  <c r="AB34" i="9"/>
  <c r="AG60" i="9"/>
  <c r="AG44" i="9" s="1"/>
  <c r="AG44" i="7"/>
  <c r="AF107" i="9"/>
  <c r="AE28" i="7"/>
  <c r="AP123" i="11"/>
  <c r="AP89" i="4"/>
  <c r="AG41" i="9"/>
  <c r="AP124" i="11"/>
  <c r="AP90" i="4"/>
  <c r="AF62" i="9"/>
  <c r="AF46" i="9" s="1"/>
  <c r="AF46" i="7"/>
  <c r="V121" i="21"/>
  <c r="V105" i="21" s="1"/>
  <c r="V105" i="19"/>
  <c r="AD30" i="7"/>
  <c r="AN70" i="4"/>
  <c r="AC36" i="7"/>
  <c r="AC37" i="7" s="1"/>
  <c r="AF130" i="7"/>
  <c r="AF130" i="9" s="1"/>
  <c r="AO13" i="7"/>
  <c r="AO213" i="7" s="1"/>
  <c r="AE94" i="7"/>
  <c r="AE30" i="7" s="1"/>
  <c r="AE110" i="9"/>
  <c r="AE94" i="9" s="1"/>
  <c r="AE30" i="9" s="1"/>
  <c r="AF110" i="7"/>
  <c r="AG110" i="7" s="1"/>
  <c r="U325" i="4"/>
  <c r="U310" i="4"/>
  <c r="AK159" i="7"/>
  <c r="AE52" i="7"/>
  <c r="AE53" i="7" s="1"/>
  <c r="AE68" i="9"/>
  <c r="AE52" i="9" s="1"/>
  <c r="AE53" i="9" s="1"/>
  <c r="AO128" i="11"/>
  <c r="AO94" i="4"/>
  <c r="Z206" i="3"/>
  <c r="Z78" i="3"/>
  <c r="AQ148" i="4"/>
  <c r="AN69" i="4"/>
  <c r="AP120" i="11"/>
  <c r="AP86" i="4"/>
  <c r="W3" i="13"/>
  <c r="BO4" i="13"/>
  <c r="W26" i="1"/>
  <c r="W25" i="1" s="1"/>
  <c r="AE113" i="9"/>
  <c r="AE97" i="9" s="1"/>
  <c r="AE33" i="9" s="1"/>
  <c r="AE97" i="7"/>
  <c r="AE33" i="7" s="1"/>
  <c r="AF113" i="7"/>
  <c r="AG113" i="7" s="1"/>
  <c r="V122" i="21"/>
  <c r="V106" i="21" s="1"/>
  <c r="V106" i="19"/>
  <c r="AO121" i="11"/>
  <c r="AO87" i="4"/>
  <c r="AB181" i="9"/>
  <c r="AB11" i="9" s="1"/>
  <c r="AB9" i="9" s="1"/>
  <c r="AP370" i="19"/>
  <c r="AP376" i="19" s="1"/>
  <c r="AQ29" i="19"/>
  <c r="CQ3" i="15"/>
  <c r="Y92" i="3"/>
  <c r="AB27" i="9"/>
  <c r="AB101" i="9"/>
  <c r="V113" i="21"/>
  <c r="V97" i="19"/>
  <c r="AF127" i="7"/>
  <c r="AF127" i="9" s="1"/>
  <c r="U304" i="4"/>
  <c r="AN71" i="4"/>
  <c r="AF61" i="9"/>
  <c r="AF45" i="9" s="1"/>
  <c r="AF45" i="7"/>
  <c r="AQ73" i="4"/>
  <c r="Z197" i="3"/>
  <c r="Z69" i="3"/>
  <c r="AI204" i="15"/>
  <c r="AI188" i="15" s="1"/>
  <c r="Y86" i="3"/>
  <c r="V123" i="21"/>
  <c r="V107" i="21" s="1"/>
  <c r="V107" i="19"/>
  <c r="Y89" i="3"/>
  <c r="AI210" i="15"/>
  <c r="AI194" i="15" s="1"/>
  <c r="Y87" i="3"/>
  <c r="AF123" i="7"/>
  <c r="AF123" i="9" s="1"/>
  <c r="AP126" i="11"/>
  <c r="AP92" i="4"/>
  <c r="AG49" i="7"/>
  <c r="AG65" i="9"/>
  <c r="AG49" i="9" s="1"/>
  <c r="AC344" i="15"/>
  <c r="AC371" i="15"/>
  <c r="AC355" i="15" s="1"/>
  <c r="AC51" i="15" s="1"/>
  <c r="AN78" i="4"/>
  <c r="AG171" i="9"/>
  <c r="AG139" i="9" s="1"/>
  <c r="AG139" i="7"/>
  <c r="AP41" i="4"/>
  <c r="AP112" i="11"/>
  <c r="AO123" i="11"/>
  <c r="AO89" i="4"/>
  <c r="S431" i="3"/>
  <c r="S416" i="3"/>
  <c r="Q320" i="4"/>
  <c r="Q336" i="4" s="1"/>
  <c r="Q335" i="4"/>
  <c r="Q434" i="3"/>
  <c r="Q419" i="3"/>
  <c r="Q435" i="3" s="1"/>
  <c r="AE115" i="9"/>
  <c r="AE99" i="9" s="1"/>
  <c r="AE35" i="9" s="1"/>
  <c r="AE99" i="7"/>
  <c r="AE35" i="7" s="1"/>
  <c r="Z198" i="3"/>
  <c r="Z70" i="3"/>
  <c r="AH138" i="7"/>
  <c r="AB133" i="9"/>
  <c r="AB8" i="9" s="1"/>
  <c r="AB6" i="9" s="1"/>
  <c r="AJ170" i="7"/>
  <c r="AK170" i="7" s="1"/>
  <c r="AF178" i="9"/>
  <c r="AF146" i="9" s="1"/>
  <c r="AF146" i="7"/>
  <c r="AI79" i="15"/>
  <c r="AI63" i="15" s="1"/>
  <c r="V120" i="21"/>
  <c r="V104" i="21" s="1"/>
  <c r="V104" i="19"/>
  <c r="AH117" i="7"/>
  <c r="AH8" i="7"/>
  <c r="AH133" i="7" s="1"/>
  <c r="AD52" i="7"/>
  <c r="AD68" i="9"/>
  <c r="AI205" i="15"/>
  <c r="AI189" i="15" s="1"/>
  <c r="AQ77" i="4"/>
  <c r="R333" i="4"/>
  <c r="R318" i="4"/>
  <c r="Y143" i="13"/>
  <c r="Y115" i="13"/>
  <c r="Y127" i="13" s="1"/>
  <c r="Y100" i="3"/>
  <c r="AK160" i="7"/>
  <c r="AL160" i="7" s="1"/>
  <c r="AG178" i="7"/>
  <c r="AK77" i="15"/>
  <c r="V117" i="21"/>
  <c r="V101" i="21" s="1"/>
  <c r="V101" i="19"/>
  <c r="AP127" i="11"/>
  <c r="AP93" i="4"/>
  <c r="AE89" i="7"/>
  <c r="AE105" i="9"/>
  <c r="AE116" i="7"/>
  <c r="AF105" i="7"/>
  <c r="Y90" i="3"/>
  <c r="Z202" i="3"/>
  <c r="Z74" i="3"/>
  <c r="AP122" i="11"/>
  <c r="AP88" i="4"/>
  <c r="AF111" i="9"/>
  <c r="AH322" i="15"/>
  <c r="AH290" i="15" s="1"/>
  <c r="AH316" i="15"/>
  <c r="AH284" i="15" s="1"/>
  <c r="AH315" i="15"/>
  <c r="AH283" i="15" s="1"/>
  <c r="AH314" i="15"/>
  <c r="AH282" i="15" s="1"/>
  <c r="AH312" i="15"/>
  <c r="AH280" i="15" s="1"/>
  <c r="AH319" i="15"/>
  <c r="AH287" i="15" s="1"/>
  <c r="AH321" i="15"/>
  <c r="AH289" i="15" s="1"/>
  <c r="AH317" i="15"/>
  <c r="AH285" i="15" s="1"/>
  <c r="AH320" i="15"/>
  <c r="AH288" i="15" s="1"/>
  <c r="AH318" i="15"/>
  <c r="AH286" i="15" s="1"/>
  <c r="AH313" i="15"/>
  <c r="AH281" i="15" s="1"/>
  <c r="Y94" i="3"/>
  <c r="Y91" i="3"/>
  <c r="AJ3" i="7"/>
  <c r="AJ4" i="7" s="1"/>
  <c r="AJ69" i="7" s="1"/>
  <c r="V115" i="21"/>
  <c r="V99" i="21" s="1"/>
  <c r="V99" i="19"/>
  <c r="AO120" i="11"/>
  <c r="AO86" i="4"/>
  <c r="AB36" i="7"/>
  <c r="AB37" i="7" s="1"/>
  <c r="AC53" i="9"/>
  <c r="AC25" i="9"/>
  <c r="Z359" i="13"/>
  <c r="Z343" i="13" s="1"/>
  <c r="Z327" i="13" s="1"/>
  <c r="Z355" i="13"/>
  <c r="Z362" i="13"/>
  <c r="Z346" i="13" s="1"/>
  <c r="Z330" i="13" s="1"/>
  <c r="Z366" i="13"/>
  <c r="Z350" i="13" s="1"/>
  <c r="Z334" i="13" s="1"/>
  <c r="Z357" i="13"/>
  <c r="Z341" i="13" s="1"/>
  <c r="Z325" i="13" s="1"/>
  <c r="Z358" i="13"/>
  <c r="Z342" i="13" s="1"/>
  <c r="Z326" i="13" s="1"/>
  <c r="Z360" i="13"/>
  <c r="Z344" i="13" s="1"/>
  <c r="Z328" i="13" s="1"/>
  <c r="Z361" i="13"/>
  <c r="Z345" i="13" s="1"/>
  <c r="Z329" i="13" s="1"/>
  <c r="Z356" i="13"/>
  <c r="Z340" i="13" s="1"/>
  <c r="Z324" i="13" s="1"/>
  <c r="Z363" i="13"/>
  <c r="Z347" i="13" s="1"/>
  <c r="Z331" i="13" s="1"/>
  <c r="Z364" i="13"/>
  <c r="Z348" i="13" s="1"/>
  <c r="Z332" i="13" s="1"/>
  <c r="Z365" i="13"/>
  <c r="Z349" i="13" s="1"/>
  <c r="Z333" i="13" s="1"/>
  <c r="V114" i="21"/>
  <c r="V98" i="21" s="1"/>
  <c r="V98" i="19"/>
  <c r="AP117" i="11"/>
  <c r="AP145" i="11"/>
  <c r="AP146" i="11" s="1"/>
  <c r="AP83" i="4"/>
  <c r="AF68" i="15"/>
  <c r="W7" i="19"/>
  <c r="AI206" i="15"/>
  <c r="AI190" i="15" s="1"/>
  <c r="AN11" i="15"/>
  <c r="AO11" i="15" s="1"/>
  <c r="T328" i="4"/>
  <c r="T313" i="4"/>
  <c r="BQ11" i="13"/>
  <c r="Y32" i="1"/>
  <c r="Y29" i="1" s="1"/>
  <c r="Y28" i="1" s="1"/>
  <c r="Y8" i="13"/>
  <c r="AO125" i="11"/>
  <c r="AO91" i="4"/>
  <c r="AQ194" i="11"/>
  <c r="AQ144" i="11"/>
  <c r="AE107" i="9"/>
  <c r="AE91" i="9" s="1"/>
  <c r="AE27" i="9" s="1"/>
  <c r="AE91" i="7"/>
  <c r="AE27" i="7" s="1"/>
  <c r="AI65" i="7"/>
  <c r="AI49" i="7" s="1"/>
  <c r="AI59" i="7"/>
  <c r="AI43" i="7" s="1"/>
  <c r="AI64" i="7"/>
  <c r="AI48" i="7" s="1"/>
  <c r="AI58" i="7"/>
  <c r="AI42" i="7" s="1"/>
  <c r="AI66" i="7"/>
  <c r="AI50" i="7" s="1"/>
  <c r="AI63" i="7"/>
  <c r="AI47" i="7" s="1"/>
  <c r="AI61" i="7"/>
  <c r="AI45" i="7" s="1"/>
  <c r="AI57" i="7"/>
  <c r="AI41" i="7" s="1"/>
  <c r="AI67" i="7"/>
  <c r="AI51" i="7" s="1"/>
  <c r="AQ68" i="4"/>
  <c r="AP13" i="7"/>
  <c r="AP213" i="7" s="1"/>
  <c r="AH17" i="15"/>
  <c r="CK18" i="15"/>
  <c r="AJ20" i="15"/>
  <c r="AK20" i="15"/>
  <c r="AP125" i="11"/>
  <c r="AP91" i="4"/>
  <c r="AQ71" i="4"/>
  <c r="Y88" i="3"/>
  <c r="AL158" i="7"/>
  <c r="Y85" i="3"/>
  <c r="AM161" i="7"/>
  <c r="AN161" i="7" s="1"/>
  <c r="AC69" i="9"/>
  <c r="AC4" i="9" s="1"/>
  <c r="AC3" i="9" s="1"/>
  <c r="BQ21" i="13"/>
  <c r="Y20" i="13"/>
  <c r="BQ20" i="13" s="1"/>
  <c r="V124" i="19"/>
  <c r="AI138" i="7"/>
  <c r="AQ67" i="4"/>
  <c r="V373" i="19"/>
  <c r="V372" i="19"/>
  <c r="V377" i="19"/>
  <c r="AI200" i="15"/>
  <c r="AF128" i="7"/>
  <c r="AF128" i="9" s="1"/>
  <c r="AO122" i="11"/>
  <c r="AO88" i="4"/>
  <c r="AE90" i="7"/>
  <c r="AE26" i="7" s="1"/>
  <c r="AE106" i="9"/>
  <c r="AE90" i="9" s="1"/>
  <c r="AE26" i="9" s="1"/>
  <c r="AF106" i="7"/>
  <c r="AL156" i="7"/>
  <c r="AL12" i="15"/>
  <c r="AL212" i="15" s="1"/>
  <c r="AL13" i="15"/>
  <c r="AI7" i="7"/>
  <c r="AJ7" i="7" s="1"/>
  <c r="AJ117" i="7" s="1"/>
  <c r="AO10" i="7"/>
  <c r="Y95" i="3"/>
  <c r="Z201" i="3"/>
  <c r="Z73" i="3"/>
  <c r="AQ72" i="4"/>
  <c r="AE109" i="9"/>
  <c r="AF109" i="7"/>
  <c r="Z207" i="3"/>
  <c r="Z79" i="3"/>
  <c r="AF112" i="9"/>
  <c r="AO119" i="11"/>
  <c r="AO85" i="4"/>
  <c r="AN73" i="4"/>
  <c r="V116" i="21"/>
  <c r="V100" i="21" s="1"/>
  <c r="V100" i="19"/>
  <c r="AG121" i="7"/>
  <c r="AG121" i="9" s="1"/>
  <c r="AK6" i="7"/>
  <c r="AE114" i="9"/>
  <c r="AE98" i="9" s="1"/>
  <c r="AE34" i="9" s="1"/>
  <c r="AE98" i="7"/>
  <c r="AE34" i="7" s="1"/>
  <c r="AF114" i="7"/>
  <c r="AN76" i="4"/>
  <c r="AP128" i="11"/>
  <c r="AP94" i="4"/>
  <c r="AP119" i="11"/>
  <c r="AP85" i="4"/>
  <c r="AE28" i="9"/>
  <c r="AF41" i="9"/>
  <c r="AD117" i="9"/>
  <c r="AD7" i="9" s="1"/>
  <c r="AD89" i="9"/>
  <c r="Z255" i="13"/>
  <c r="Z15" i="13" s="1"/>
  <c r="Z195" i="13"/>
  <c r="AG61" i="9"/>
  <c r="AG45" i="9" s="1"/>
  <c r="AG45" i="7"/>
  <c r="AN74" i="4"/>
  <c r="CG22" i="15"/>
  <c r="AF23" i="15"/>
  <c r="AG64" i="9"/>
  <c r="AG48" i="9" s="1"/>
  <c r="AG48" i="7"/>
  <c r="AQ41" i="4"/>
  <c r="AQ154" i="4" s="1"/>
  <c r="Z199" i="3"/>
  <c r="Z71" i="3"/>
  <c r="Z111" i="13"/>
  <c r="Z6" i="13" s="1"/>
  <c r="BR6" i="13" s="1"/>
  <c r="Z36" i="3"/>
  <c r="AO84" i="15"/>
  <c r="AO3" i="15"/>
  <c r="AP4" i="15"/>
  <c r="Z200" i="3"/>
  <c r="Z72" i="3"/>
  <c r="AC181" i="9"/>
  <c r="AC11" i="9" s="1"/>
  <c r="AC9" i="9" s="1"/>
  <c r="AQ74" i="4"/>
  <c r="V118" i="21"/>
  <c r="V102" i="21" s="1"/>
  <c r="V102" i="19"/>
  <c r="AI17" i="15"/>
  <c r="AG109" i="7"/>
  <c r="AG107" i="7"/>
  <c r="AG111" i="7"/>
  <c r="AG115" i="7"/>
  <c r="AG108" i="7"/>
  <c r="AG112" i="7"/>
  <c r="AP118" i="11"/>
  <c r="AP84" i="4"/>
  <c r="AL153" i="7"/>
  <c r="AL163" i="7"/>
  <c r="AE57" i="11" l="1"/>
  <c r="AE60" i="11"/>
  <c r="AE22" i="11"/>
  <c r="AE62" i="11"/>
  <c r="AE58" i="11"/>
  <c r="AE61" i="11"/>
  <c r="AE54" i="11"/>
  <c r="AE59" i="11"/>
  <c r="AE56" i="11"/>
  <c r="AE53" i="11"/>
  <c r="AE63" i="11"/>
  <c r="AE80" i="11"/>
  <c r="AE55" i="11"/>
  <c r="AE31" i="13"/>
  <c r="AE33" i="11"/>
  <c r="AE34" i="11" s="1"/>
  <c r="AE15" i="2"/>
  <c r="AG126" i="7"/>
  <c r="AG126" i="9" s="1"/>
  <c r="AK177" i="7"/>
  <c r="AK145" i="7" s="1"/>
  <c r="AN162" i="7"/>
  <c r="AM173" i="7"/>
  <c r="AI314" i="15"/>
  <c r="AI282" i="15" s="1"/>
  <c r="AB356" i="15"/>
  <c r="AB52" i="15" s="1"/>
  <c r="AF99" i="9"/>
  <c r="AF35" i="9" s="1"/>
  <c r="AI139" i="7"/>
  <c r="AF68" i="9"/>
  <c r="AF52" i="9" s="1"/>
  <c r="AF53" i="9" s="1"/>
  <c r="AI145" i="7"/>
  <c r="AE181" i="9"/>
  <c r="AE11" i="9" s="1"/>
  <c r="AE9" i="9" s="1"/>
  <c r="AN157" i="7"/>
  <c r="AH137" i="7"/>
  <c r="AE365" i="15"/>
  <c r="AE349" i="15" s="1"/>
  <c r="AE45" i="15" s="1"/>
  <c r="AE367" i="15"/>
  <c r="AE351" i="15" s="1"/>
  <c r="AE47" i="15" s="1"/>
  <c r="AE368" i="15"/>
  <c r="AE352" i="15" s="1"/>
  <c r="AE48" i="15" s="1"/>
  <c r="AF149" i="7"/>
  <c r="AM141" i="7"/>
  <c r="AG122" i="7"/>
  <c r="AG122" i="9" s="1"/>
  <c r="AG131" i="7"/>
  <c r="AG131" i="9" s="1"/>
  <c r="AG124" i="7"/>
  <c r="AG124" i="9" s="1"/>
  <c r="AD362" i="15"/>
  <c r="AD346" i="15" s="1"/>
  <c r="AD42" i="15" s="1"/>
  <c r="AG129" i="7"/>
  <c r="AG129" i="9" s="1"/>
  <c r="AF99" i="7"/>
  <c r="AF35" i="7" s="1"/>
  <c r="AI169" i="7"/>
  <c r="AL82" i="15"/>
  <c r="AG68" i="15"/>
  <c r="AL141" i="7"/>
  <c r="AE93" i="7"/>
  <c r="AE29" i="7" s="1"/>
  <c r="AI175" i="7"/>
  <c r="AG130" i="7"/>
  <c r="AG130" i="9" s="1"/>
  <c r="AJ74" i="15"/>
  <c r="AK74" i="15" s="1"/>
  <c r="AF91" i="9"/>
  <c r="AF27" i="9" s="1"/>
  <c r="AJ174" i="7"/>
  <c r="AI142" i="7"/>
  <c r="AI318" i="15"/>
  <c r="AI286" i="15" s="1"/>
  <c r="AF53" i="7"/>
  <c r="AB37" i="9"/>
  <c r="AI320" i="15"/>
  <c r="AI288" i="15" s="1"/>
  <c r="AJ172" i="7"/>
  <c r="AI140" i="7"/>
  <c r="AB15" i="9"/>
  <c r="AJ73" i="15"/>
  <c r="AJ57" i="15" s="1"/>
  <c r="AJ144" i="7"/>
  <c r="AJ81" i="15"/>
  <c r="AJ65" i="15" s="1"/>
  <c r="AI179" i="7"/>
  <c r="AG187" i="15"/>
  <c r="AH203" i="15"/>
  <c r="AG211" i="15"/>
  <c r="AG195" i="15" s="1"/>
  <c r="AI59" i="15"/>
  <c r="AJ75" i="15"/>
  <c r="AK141" i="7"/>
  <c r="AG68" i="7"/>
  <c r="AG52" i="7" s="1"/>
  <c r="AG53" i="7" s="1"/>
  <c r="AG46" i="7"/>
  <c r="AE361" i="15"/>
  <c r="AE345" i="15" s="1"/>
  <c r="AE41" i="15" s="1"/>
  <c r="AG62" i="9"/>
  <c r="AG46" i="9" s="1"/>
  <c r="AE360" i="15"/>
  <c r="AE344" i="15" s="1"/>
  <c r="AE40" i="15" s="1"/>
  <c r="AM159" i="4"/>
  <c r="AM160" i="4" s="1"/>
  <c r="AM47" i="4"/>
  <c r="AQ108" i="11"/>
  <c r="AP42" i="4"/>
  <c r="AP155" i="4" s="1"/>
  <c r="AO42" i="4"/>
  <c r="AO112" i="11"/>
  <c r="AN46" i="4"/>
  <c r="AH46" i="7"/>
  <c r="AI62" i="7"/>
  <c r="AI46" i="7" s="1"/>
  <c r="AE132" i="7"/>
  <c r="AE132" i="9" s="1"/>
  <c r="AE133" i="9" s="1"/>
  <c r="AE8" i="9" s="1"/>
  <c r="AK155" i="7"/>
  <c r="AK164" i="7" s="1"/>
  <c r="AJ62" i="15"/>
  <c r="AF96" i="7"/>
  <c r="AF32" i="7" s="1"/>
  <c r="AM158" i="7"/>
  <c r="AM12" i="15"/>
  <c r="AM212" i="15" s="1"/>
  <c r="AI317" i="15"/>
  <c r="AI285" i="15" s="1"/>
  <c r="AL170" i="7"/>
  <c r="AF125" i="7"/>
  <c r="AF125" i="9" s="1"/>
  <c r="AJ79" i="15"/>
  <c r="AJ63" i="15" s="1"/>
  <c r="AE93" i="9"/>
  <c r="AE29" i="9" s="1"/>
  <c r="AH64" i="15"/>
  <c r="AJ138" i="7"/>
  <c r="AF69" i="9"/>
  <c r="AF4" i="9" s="1"/>
  <c r="AF3" i="9" s="1"/>
  <c r="AF91" i="7"/>
  <c r="AF27" i="7" s="1"/>
  <c r="AI80" i="15"/>
  <c r="AJ80" i="15" s="1"/>
  <c r="AD132" i="9"/>
  <c r="AD100" i="7"/>
  <c r="AD101" i="7" s="1"/>
  <c r="AK78" i="15"/>
  <c r="AK62" i="15" s="1"/>
  <c r="AG110" i="9"/>
  <c r="AM56" i="15"/>
  <c r="AN72" i="15"/>
  <c r="AF114" i="9"/>
  <c r="AF98" i="9" s="1"/>
  <c r="AF34" i="9" s="1"/>
  <c r="AF98" i="7"/>
  <c r="AF34" i="7" s="1"/>
  <c r="AI315" i="15"/>
  <c r="AI283" i="15" s="1"/>
  <c r="Z185" i="13"/>
  <c r="Z137" i="13" s="1"/>
  <c r="Z188" i="13"/>
  <c r="Z140" i="13" s="1"/>
  <c r="Z189" i="13"/>
  <c r="Z141" i="13" s="1"/>
  <c r="Z179" i="13"/>
  <c r="Z186" i="13"/>
  <c r="Z138" i="13" s="1"/>
  <c r="Z182" i="13"/>
  <c r="Z134" i="13" s="1"/>
  <c r="Z187" i="13"/>
  <c r="Z139" i="13" s="1"/>
  <c r="Z184" i="13"/>
  <c r="Z136" i="13" s="1"/>
  <c r="Z180" i="13"/>
  <c r="Z132" i="13" s="1"/>
  <c r="Z190" i="13"/>
  <c r="Z142" i="13" s="1"/>
  <c r="Z183" i="13"/>
  <c r="Z135" i="13" s="1"/>
  <c r="Z181" i="13"/>
  <c r="Z133" i="13" s="1"/>
  <c r="AQ370" i="19"/>
  <c r="AQ376" i="19" s="1"/>
  <c r="AF89" i="7"/>
  <c r="AF105" i="9"/>
  <c r="AF116" i="7"/>
  <c r="V400" i="3"/>
  <c r="V301" i="4"/>
  <c r="AP77" i="4"/>
  <c r="AN173" i="7"/>
  <c r="AN176" i="7"/>
  <c r="AO77" i="4"/>
  <c r="AE364" i="15"/>
  <c r="AE348" i="15" s="1"/>
  <c r="AE44" i="15" s="1"/>
  <c r="AO67" i="4"/>
  <c r="AO95" i="4"/>
  <c r="AP78" i="4"/>
  <c r="AG113" i="9"/>
  <c r="AK7" i="7"/>
  <c r="AK117" i="7" s="1"/>
  <c r="AK3" i="7"/>
  <c r="AK4" i="7" s="1"/>
  <c r="AK69" i="7" s="1"/>
  <c r="AL6" i="7"/>
  <c r="AJ324" i="15"/>
  <c r="CM20" i="15"/>
  <c r="AJ18" i="15"/>
  <c r="AD25" i="9"/>
  <c r="AE25" i="7"/>
  <c r="AH60" i="15"/>
  <c r="AI76" i="15"/>
  <c r="AH83" i="15"/>
  <c r="AH67" i="15" s="1"/>
  <c r="AP68" i="4"/>
  <c r="AG105" i="7"/>
  <c r="AH105" i="7" s="1"/>
  <c r="AO72" i="15"/>
  <c r="AO56" i="15" s="1"/>
  <c r="AP10" i="7"/>
  <c r="AQ10" i="7" s="1"/>
  <c r="AF96" i="9"/>
  <c r="AF32" i="9" s="1"/>
  <c r="AC356" i="15"/>
  <c r="AC52" i="15" s="1"/>
  <c r="AC40" i="15"/>
  <c r="AO129" i="11"/>
  <c r="AM163" i="7"/>
  <c r="AI184" i="15"/>
  <c r="AI316" i="15"/>
  <c r="AI284" i="15" s="1"/>
  <c r="AO74" i="4"/>
  <c r="AJ8" i="7"/>
  <c r="AJ133" i="7" s="1"/>
  <c r="W125" i="19"/>
  <c r="W6" i="19"/>
  <c r="W31" i="19"/>
  <c r="AF108" i="9"/>
  <c r="AF92" i="9" s="1"/>
  <c r="AF28" i="9" s="1"/>
  <c r="AF92" i="7"/>
  <c r="AF28" i="7" s="1"/>
  <c r="AK61" i="15"/>
  <c r="AL77" i="15"/>
  <c r="AM77" i="15" s="1"/>
  <c r="AM61" i="15" s="1"/>
  <c r="AL159" i="7"/>
  <c r="AG123" i="7"/>
  <c r="AG123" i="9" s="1"/>
  <c r="AO73" i="4"/>
  <c r="AO14" i="7"/>
  <c r="AO229" i="7" s="1"/>
  <c r="AG372" i="15"/>
  <c r="AG38" i="15"/>
  <c r="CI23" i="15"/>
  <c r="U311" i="4"/>
  <c r="U326" i="4"/>
  <c r="CQ11" i="15"/>
  <c r="AG109" i="9"/>
  <c r="AI117" i="7"/>
  <c r="AI8" i="7"/>
  <c r="AI133" i="7" s="1"/>
  <c r="S432" i="3"/>
  <c r="S417" i="3"/>
  <c r="AN79" i="4"/>
  <c r="AO78" i="4"/>
  <c r="AD52" i="9"/>
  <c r="AD69" i="9"/>
  <c r="AD4" i="9" s="1"/>
  <c r="AD3" i="9" s="1"/>
  <c r="AI313" i="15"/>
  <c r="AI281" i="15" s="1"/>
  <c r="AF90" i="7"/>
  <c r="AF26" i="7" s="1"/>
  <c r="AF106" i="9"/>
  <c r="AF90" i="9" s="1"/>
  <c r="AF26" i="9" s="1"/>
  <c r="AG68" i="9"/>
  <c r="AG52" i="9" s="1"/>
  <c r="AD53" i="7"/>
  <c r="AP74" i="4"/>
  <c r="R433" i="3"/>
  <c r="R418" i="3"/>
  <c r="AP129" i="11"/>
  <c r="AO165" i="7"/>
  <c r="AO11" i="7"/>
  <c r="AO181" i="7" s="1"/>
  <c r="AO69" i="4"/>
  <c r="V302" i="4"/>
  <c r="V401" i="3"/>
  <c r="AE370" i="15"/>
  <c r="AE354" i="15" s="1"/>
  <c r="AE50" i="15" s="1"/>
  <c r="AA110" i="13"/>
  <c r="AA108" i="13"/>
  <c r="AA101" i="13"/>
  <c r="AA106" i="13"/>
  <c r="AA107" i="13"/>
  <c r="AA105" i="13"/>
  <c r="AA103" i="13"/>
  <c r="AA100" i="13"/>
  <c r="AA104" i="13"/>
  <c r="AA109" i="13"/>
  <c r="AA99" i="13"/>
  <c r="AA102" i="13"/>
  <c r="AL66" i="15"/>
  <c r="AM82" i="15"/>
  <c r="AI37" i="15"/>
  <c r="AI22" i="15"/>
  <c r="AI23" i="15" s="1"/>
  <c r="AI322" i="15"/>
  <c r="AI290" i="15" s="1"/>
  <c r="AQ128" i="11"/>
  <c r="AQ129" i="11" s="1"/>
  <c r="AQ94" i="4"/>
  <c r="AQ145" i="11"/>
  <c r="AQ146" i="11" s="1"/>
  <c r="V294" i="4"/>
  <c r="V393" i="3"/>
  <c r="AP76" i="4"/>
  <c r="AE69" i="9"/>
  <c r="AE4" i="9" s="1"/>
  <c r="AE3" i="9" s="1"/>
  <c r="AF149" i="9"/>
  <c r="R334" i="4"/>
  <c r="R319" i="4"/>
  <c r="T428" i="3"/>
  <c r="T413" i="3"/>
  <c r="V97" i="21"/>
  <c r="AM153" i="7"/>
  <c r="AN153" i="7" s="1"/>
  <c r="AG128" i="7"/>
  <c r="AG128" i="9" s="1"/>
  <c r="V297" i="4"/>
  <c r="V396" i="3"/>
  <c r="AH323" i="15"/>
  <c r="AH291" i="15" s="1"/>
  <c r="AH292" i="15" s="1"/>
  <c r="AH124" i="7"/>
  <c r="AH131" i="7"/>
  <c r="AH122" i="7"/>
  <c r="AH130" i="7"/>
  <c r="AH121" i="7"/>
  <c r="X78" i="13"/>
  <c r="X69" i="13"/>
  <c r="X73" i="13"/>
  <c r="X74" i="13"/>
  <c r="X71" i="13"/>
  <c r="X70" i="13"/>
  <c r="X75" i="13"/>
  <c r="X67" i="13"/>
  <c r="X68" i="13"/>
  <c r="X77" i="13"/>
  <c r="X76" i="13"/>
  <c r="X72" i="13"/>
  <c r="AF181" i="9"/>
  <c r="AF11" i="9" s="1"/>
  <c r="AF9" i="9" s="1"/>
  <c r="AJ65" i="7"/>
  <c r="AJ49" i="7" s="1"/>
  <c r="AJ60" i="7"/>
  <c r="AJ44" i="7" s="1"/>
  <c r="AJ59" i="7"/>
  <c r="AJ43" i="7" s="1"/>
  <c r="AJ64" i="7"/>
  <c r="AJ48" i="7" s="1"/>
  <c r="AJ63" i="7"/>
  <c r="AJ47" i="7" s="1"/>
  <c r="AJ58" i="7"/>
  <c r="AJ42" i="7" s="1"/>
  <c r="AJ67" i="7"/>
  <c r="AJ51" i="7" s="1"/>
  <c r="AJ66" i="7"/>
  <c r="AJ50" i="7" s="1"/>
  <c r="AJ61" i="7"/>
  <c r="AJ45" i="7" s="1"/>
  <c r="AJ57" i="7"/>
  <c r="AJ41" i="7" s="1"/>
  <c r="AG111" i="9"/>
  <c r="AP11" i="15"/>
  <c r="AQ11" i="15" s="1"/>
  <c r="AE89" i="9"/>
  <c r="AF94" i="7"/>
  <c r="AF110" i="9"/>
  <c r="AF94" i="9" s="1"/>
  <c r="AF30" i="9" s="1"/>
  <c r="AG127" i="7"/>
  <c r="AG127" i="9" s="1"/>
  <c r="AF109" i="9"/>
  <c r="AP14" i="7"/>
  <c r="AP229" i="7" s="1"/>
  <c r="AF95" i="7"/>
  <c r="AF31" i="7" s="1"/>
  <c r="BO3" i="13"/>
  <c r="W27" i="13"/>
  <c r="Z207" i="13"/>
  <c r="Z132" i="3"/>
  <c r="Z196" i="3" s="1"/>
  <c r="Z208" i="3" s="1"/>
  <c r="BR15" i="13"/>
  <c r="Z12" i="13"/>
  <c r="BR12" i="13" s="1"/>
  <c r="AG115" i="9"/>
  <c r="AG99" i="7"/>
  <c r="AG35" i="7" s="1"/>
  <c r="V300" i="4"/>
  <c r="V399" i="3"/>
  <c r="V374" i="19"/>
  <c r="V375" i="19" s="1"/>
  <c r="AO76" i="4"/>
  <c r="AF30" i="7"/>
  <c r="V124" i="21"/>
  <c r="V108" i="21" s="1"/>
  <c r="V108" i="19"/>
  <c r="AF95" i="9"/>
  <c r="AF31" i="9" s="1"/>
  <c r="AG178" i="9"/>
  <c r="AG146" i="9" s="1"/>
  <c r="AG146" i="7"/>
  <c r="AH178" i="7"/>
  <c r="AI178" i="7" s="1"/>
  <c r="AG180" i="7"/>
  <c r="V299" i="4"/>
  <c r="V398" i="3"/>
  <c r="AP46" i="4"/>
  <c r="AP159" i="4" s="1"/>
  <c r="AP71" i="4"/>
  <c r="S332" i="4"/>
  <c r="S317" i="4"/>
  <c r="AG108" i="9"/>
  <c r="AG92" i="7"/>
  <c r="AG28" i="7" s="1"/>
  <c r="V392" i="3"/>
  <c r="V293" i="4"/>
  <c r="AD40" i="15"/>
  <c r="AO71" i="4"/>
  <c r="AO70" i="4"/>
  <c r="V391" i="3"/>
  <c r="V292" i="4"/>
  <c r="AO75" i="4"/>
  <c r="AH113" i="7"/>
  <c r="AH109" i="7"/>
  <c r="AH112" i="7"/>
  <c r="AH107" i="7"/>
  <c r="AH111" i="7"/>
  <c r="AH115" i="7"/>
  <c r="AH108" i="7"/>
  <c r="AH110" i="7"/>
  <c r="AL144" i="7"/>
  <c r="V298" i="4"/>
  <c r="V397" i="3"/>
  <c r="AH44" i="7"/>
  <c r="AH68" i="7"/>
  <c r="AH52" i="7" s="1"/>
  <c r="AQ14" i="7"/>
  <c r="AQ229" i="7" s="1"/>
  <c r="U425" i="3"/>
  <c r="U410" i="3"/>
  <c r="AE116" i="9"/>
  <c r="AP84" i="15"/>
  <c r="CS4" i="15"/>
  <c r="AP3" i="15"/>
  <c r="AF372" i="15"/>
  <c r="AF38" i="15"/>
  <c r="CG23" i="15"/>
  <c r="AH37" i="15"/>
  <c r="CK17" i="15"/>
  <c r="AH22" i="15"/>
  <c r="AC36" i="9"/>
  <c r="AC37" i="9" s="1"/>
  <c r="AL56" i="15"/>
  <c r="AP69" i="4"/>
  <c r="AO72" i="4"/>
  <c r="AP75" i="4"/>
  <c r="AI321" i="15"/>
  <c r="AI289" i="15" s="1"/>
  <c r="AC15" i="9"/>
  <c r="AI319" i="15"/>
  <c r="AI287" i="15" s="1"/>
  <c r="Z339" i="13"/>
  <c r="Z367" i="13"/>
  <c r="Z22" i="13" s="1"/>
  <c r="AP154" i="4"/>
  <c r="AP70" i="4"/>
  <c r="AJ200" i="15"/>
  <c r="AJ207" i="15"/>
  <c r="AJ206" i="15"/>
  <c r="AJ204" i="15"/>
  <c r="AJ208" i="15"/>
  <c r="AJ201" i="15"/>
  <c r="AJ209" i="15"/>
  <c r="AJ210" i="15"/>
  <c r="AJ205" i="15"/>
  <c r="AJ189" i="15" s="1"/>
  <c r="AJ202" i="15"/>
  <c r="AE363" i="15"/>
  <c r="AE347" i="15" s="1"/>
  <c r="AE43" i="15" s="1"/>
  <c r="AJ139" i="7"/>
  <c r="AJ164" i="7"/>
  <c r="AM154" i="7"/>
  <c r="AG114" i="7"/>
  <c r="T329" i="4"/>
  <c r="T314" i="4"/>
  <c r="AG107" i="9"/>
  <c r="AE369" i="15"/>
  <c r="AE353" i="15" s="1"/>
  <c r="AE49" i="15" s="1"/>
  <c r="AK324" i="15"/>
  <c r="AK18" i="15"/>
  <c r="Z48" i="3"/>
  <c r="Z68" i="3"/>
  <c r="Z80" i="3" s="1"/>
  <c r="AM156" i="7"/>
  <c r="V296" i="4"/>
  <c r="V395" i="3"/>
  <c r="AF113" i="9"/>
  <c r="AF97" i="9" s="1"/>
  <c r="AF33" i="9" s="1"/>
  <c r="AF97" i="7"/>
  <c r="AF33" i="7" s="1"/>
  <c r="AO68" i="4"/>
  <c r="AP72" i="4"/>
  <c r="AK144" i="7"/>
  <c r="AM160" i="7"/>
  <c r="AG112" i="9"/>
  <c r="AP67" i="4"/>
  <c r="AP95" i="4"/>
  <c r="AG106" i="7"/>
  <c r="AI312" i="15"/>
  <c r="V394" i="3"/>
  <c r="V295" i="4"/>
  <c r="Y7" i="13"/>
  <c r="BQ7" i="13" s="1"/>
  <c r="BQ8" i="13"/>
  <c r="Y112" i="3"/>
  <c r="Y84" i="3"/>
  <c r="Y96" i="3" s="1"/>
  <c r="AP73" i="4"/>
  <c r="AE366" i="15"/>
  <c r="AE350" i="15" s="1"/>
  <c r="AE46" i="15" s="1"/>
  <c r="AK171" i="7"/>
  <c r="AK56" i="15"/>
  <c r="AK138" i="7"/>
  <c r="AE353" i="11" l="1"/>
  <c r="AE21" i="11"/>
  <c r="AE24" i="11"/>
  <c r="AE385" i="11" s="1"/>
  <c r="AE64" i="11"/>
  <c r="AP47" i="4"/>
  <c r="AH126" i="7"/>
  <c r="AH94" i="7" s="1"/>
  <c r="AH30" i="7" s="1"/>
  <c r="AN141" i="7"/>
  <c r="AL177" i="7"/>
  <c r="AL145" i="7" s="1"/>
  <c r="AE100" i="9"/>
  <c r="AE36" i="9" s="1"/>
  <c r="AE100" i="7"/>
  <c r="AE101" i="7" s="1"/>
  <c r="AD36" i="7"/>
  <c r="AD37" i="7" s="1"/>
  <c r="AG30" i="9"/>
  <c r="AI68" i="7"/>
  <c r="AI52" i="7" s="1"/>
  <c r="AG94" i="9"/>
  <c r="AG94" i="7"/>
  <c r="AG92" i="9"/>
  <c r="AG28" i="9" s="1"/>
  <c r="AC2" i="2"/>
  <c r="AH129" i="7"/>
  <c r="AI129" i="7" s="1"/>
  <c r="AG53" i="9"/>
  <c r="AD371" i="15"/>
  <c r="AD355" i="15" s="1"/>
  <c r="AD51" i="15" s="1"/>
  <c r="AG99" i="9"/>
  <c r="AG35" i="9" s="1"/>
  <c r="AB2" i="2"/>
  <c r="AG97" i="9"/>
  <c r="AG33" i="9" s="1"/>
  <c r="AG97" i="7"/>
  <c r="AG33" i="7" s="1"/>
  <c r="AE362" i="15"/>
  <c r="AE346" i="15" s="1"/>
  <c r="AE42" i="15" s="1"/>
  <c r="AJ169" i="7"/>
  <c r="AI137" i="7"/>
  <c r="AJ58" i="15"/>
  <c r="AK73" i="15"/>
  <c r="AK57" i="15" s="1"/>
  <c r="AG95" i="7"/>
  <c r="AG31" i="7" s="1"/>
  <c r="AG30" i="7"/>
  <c r="AG95" i="9"/>
  <c r="AG31" i="9" s="1"/>
  <c r="AI143" i="7"/>
  <c r="AJ175" i="7"/>
  <c r="AI53" i="7"/>
  <c r="AG196" i="15"/>
  <c r="AK81" i="15"/>
  <c r="AK65" i="15" s="1"/>
  <c r="AE36" i="7"/>
  <c r="AE37" i="7" s="1"/>
  <c r="AJ59" i="15"/>
  <c r="AH187" i="15"/>
  <c r="AI203" i="15"/>
  <c r="AH211" i="15"/>
  <c r="AH195" i="15" s="1"/>
  <c r="AJ140" i="7"/>
  <c r="AK172" i="7"/>
  <c r="AJ179" i="7"/>
  <c r="AJ147" i="7" s="1"/>
  <c r="AI147" i="7"/>
  <c r="AK79" i="15"/>
  <c r="AK63" i="15" s="1"/>
  <c r="AK179" i="7"/>
  <c r="AG96" i="7"/>
  <c r="AG32" i="7" s="1"/>
  <c r="AJ62" i="7"/>
  <c r="AJ46" i="7" s="1"/>
  <c r="AM13" i="15"/>
  <c r="CO13" i="15" s="1"/>
  <c r="AJ142" i="7"/>
  <c r="AK174" i="7"/>
  <c r="AG96" i="9"/>
  <c r="AG32" i="9" s="1"/>
  <c r="AN12" i="15"/>
  <c r="AN13" i="15" s="1"/>
  <c r="CQ13" i="15" s="1"/>
  <c r="AK75" i="15"/>
  <c r="AK59" i="15" s="1"/>
  <c r="AN159" i="4"/>
  <c r="AN160" i="4" s="1"/>
  <c r="AN47" i="4"/>
  <c r="AO46" i="4"/>
  <c r="AO159" i="4" s="1"/>
  <c r="AO155" i="4"/>
  <c r="AO47" i="4"/>
  <c r="AP160" i="4"/>
  <c r="AQ42" i="4"/>
  <c r="AQ112" i="11"/>
  <c r="AJ64" i="15"/>
  <c r="AL73" i="15"/>
  <c r="AD133" i="9"/>
  <c r="AD8" i="9" s="1"/>
  <c r="AD6" i="9" s="1"/>
  <c r="AD15" i="9" s="1"/>
  <c r="AD100" i="9"/>
  <c r="AD101" i="9" s="1"/>
  <c r="AG69" i="9"/>
  <c r="AG4" i="9" s="1"/>
  <c r="AG3" i="9" s="1"/>
  <c r="AK58" i="15"/>
  <c r="AL74" i="15"/>
  <c r="AM73" i="15"/>
  <c r="AM57" i="15" s="1"/>
  <c r="AN158" i="7"/>
  <c r="AM170" i="7"/>
  <c r="AN170" i="7" s="1"/>
  <c r="AO170" i="7" s="1"/>
  <c r="AL138" i="7"/>
  <c r="AK8" i="7"/>
  <c r="AK133" i="7" s="1"/>
  <c r="AL78" i="15"/>
  <c r="AL62" i="15" s="1"/>
  <c r="AK80" i="15"/>
  <c r="AK64" i="15" s="1"/>
  <c r="AF93" i="7"/>
  <c r="AF29" i="7" s="1"/>
  <c r="AF93" i="9"/>
  <c r="AF29" i="9" s="1"/>
  <c r="AL171" i="7"/>
  <c r="AF132" i="7"/>
  <c r="AF132" i="9" s="1"/>
  <c r="AF133" i="9" s="1"/>
  <c r="AF8" i="9" s="1"/>
  <c r="AG125" i="7"/>
  <c r="AH125" i="7" s="1"/>
  <c r="AH93" i="7" s="1"/>
  <c r="AH29" i="7" s="1"/>
  <c r="AK139" i="7"/>
  <c r="AH127" i="7"/>
  <c r="AI127" i="7" s="1"/>
  <c r="AJ127" i="7" s="1"/>
  <c r="AN163" i="7"/>
  <c r="AI64" i="15"/>
  <c r="CO12" i="15"/>
  <c r="AL155" i="7"/>
  <c r="AH128" i="7"/>
  <c r="AQ165" i="7"/>
  <c r="AQ11" i="7"/>
  <c r="AQ181" i="7" s="1"/>
  <c r="AJ190" i="15"/>
  <c r="AK206" i="15"/>
  <c r="AK190" i="15" s="1"/>
  <c r="Z116" i="13"/>
  <c r="Z101" i="3"/>
  <c r="AI124" i="7"/>
  <c r="AI131" i="7"/>
  <c r="AJ131" i="7" s="1"/>
  <c r="AI122" i="7"/>
  <c r="AI121" i="7"/>
  <c r="AJ121" i="7" s="1"/>
  <c r="AI130" i="7"/>
  <c r="AJ130" i="7" s="1"/>
  <c r="W120" i="19"/>
  <c r="W117" i="19"/>
  <c r="W116" i="19"/>
  <c r="W124" i="19" s="1"/>
  <c r="W122" i="19"/>
  <c r="W118" i="19"/>
  <c r="W115" i="19"/>
  <c r="W113" i="19"/>
  <c r="W121" i="19"/>
  <c r="W123" i="19"/>
  <c r="W119" i="19"/>
  <c r="W114" i="19"/>
  <c r="AA250" i="13"/>
  <c r="AA202" i="13" s="1"/>
  <c r="AA253" i="13"/>
  <c r="AA205" i="13" s="1"/>
  <c r="AA248" i="13"/>
  <c r="AA200" i="13" s="1"/>
  <c r="AA243" i="13"/>
  <c r="AA244" i="13"/>
  <c r="AA196" i="13" s="1"/>
  <c r="AA251" i="13"/>
  <c r="AA203" i="13" s="1"/>
  <c r="AA247" i="13"/>
  <c r="AA199" i="13" s="1"/>
  <c r="AA245" i="13"/>
  <c r="AA197" i="13" s="1"/>
  <c r="AA254" i="13"/>
  <c r="AA206" i="13" s="1"/>
  <c r="AA252" i="13"/>
  <c r="AA204" i="13" s="1"/>
  <c r="AA249" i="13"/>
  <c r="AA201" i="13" s="1"/>
  <c r="AA246" i="13"/>
  <c r="AA198" i="13" s="1"/>
  <c r="X60" i="13"/>
  <c r="X44" i="13" s="1"/>
  <c r="X55" i="13"/>
  <c r="X39" i="13" s="1"/>
  <c r="AI372" i="15"/>
  <c r="AI38" i="15"/>
  <c r="AI105" i="7"/>
  <c r="AI113" i="7"/>
  <c r="AI109" i="7"/>
  <c r="AI112" i="7"/>
  <c r="AI108" i="7"/>
  <c r="AI115" i="7"/>
  <c r="AI107" i="7"/>
  <c r="AJ107" i="7" s="1"/>
  <c r="AK107" i="7" s="1"/>
  <c r="AI111" i="7"/>
  <c r="AI110" i="7"/>
  <c r="AJ110" i="7" s="1"/>
  <c r="AK110" i="7" s="1"/>
  <c r="AF116" i="9"/>
  <c r="Z120" i="13"/>
  <c r="Z105" i="3"/>
  <c r="AA111" i="13"/>
  <c r="AA6" i="13" s="1"/>
  <c r="BS6" i="13" s="1"/>
  <c r="Z122" i="13"/>
  <c r="Z107" i="3"/>
  <c r="W371" i="19"/>
  <c r="W30" i="19"/>
  <c r="W31" i="6"/>
  <c r="AF25" i="7"/>
  <c r="V309" i="4"/>
  <c r="X52" i="13"/>
  <c r="X36" i="13" s="1"/>
  <c r="V109" i="21"/>
  <c r="AR11" i="15"/>
  <c r="AS11" i="15" s="1"/>
  <c r="AT11" i="15" s="1"/>
  <c r="AG106" i="9"/>
  <c r="AG90" i="9" s="1"/>
  <c r="AG26" i="9" s="1"/>
  <c r="AG90" i="7"/>
  <c r="AG26" i="7" s="1"/>
  <c r="V303" i="4"/>
  <c r="V402" i="3"/>
  <c r="AM159" i="7"/>
  <c r="AN159" i="7" s="1"/>
  <c r="Z125" i="13"/>
  <c r="Z110" i="3"/>
  <c r="Z148" i="3"/>
  <c r="Z160" i="3" s="1"/>
  <c r="Z144" i="3"/>
  <c r="V408" i="3"/>
  <c r="V125" i="21"/>
  <c r="V7" i="21" s="1"/>
  <c r="V6" i="21" s="1"/>
  <c r="AQ78" i="4"/>
  <c r="AQ79" i="4" s="1"/>
  <c r="AQ95" i="4"/>
  <c r="AJ191" i="15"/>
  <c r="AK207" i="15"/>
  <c r="AK191" i="15" s="1"/>
  <c r="AO161" i="7"/>
  <c r="AO153" i="7"/>
  <c r="AO157" i="7"/>
  <c r="AO162" i="7"/>
  <c r="AO158" i="7"/>
  <c r="AP72" i="15"/>
  <c r="AP56" i="15" s="1"/>
  <c r="AM144" i="7"/>
  <c r="AN160" i="7"/>
  <c r="AN144" i="7" s="1"/>
  <c r="AK17" i="15"/>
  <c r="AN212" i="15"/>
  <c r="CQ12" i="15"/>
  <c r="AG89" i="7"/>
  <c r="AG105" i="9"/>
  <c r="AG116" i="7"/>
  <c r="AO12" i="15"/>
  <c r="AJ184" i="15"/>
  <c r="AK200" i="15"/>
  <c r="AL200" i="15" s="1"/>
  <c r="X54" i="13"/>
  <c r="X38" i="13" s="1"/>
  <c r="AF89" i="9"/>
  <c r="T429" i="3"/>
  <c r="T414" i="3"/>
  <c r="AJ17" i="15"/>
  <c r="CM18" i="15"/>
  <c r="AL20" i="15"/>
  <c r="AM20" i="15"/>
  <c r="Z124" i="13"/>
  <c r="Z109" i="3"/>
  <c r="AN56" i="15"/>
  <c r="AF364" i="15"/>
  <c r="AF348" i="15" s="1"/>
  <c r="AF44" i="15" s="1"/>
  <c r="AF363" i="15"/>
  <c r="AF347" i="15" s="1"/>
  <c r="AF43" i="15" s="1"/>
  <c r="AF369" i="15"/>
  <c r="AF353" i="15" s="1"/>
  <c r="AF49" i="15" s="1"/>
  <c r="AF367" i="15"/>
  <c r="AF351" i="15" s="1"/>
  <c r="AF47" i="15" s="1"/>
  <c r="AF365" i="15"/>
  <c r="AF349" i="15" s="1"/>
  <c r="AF45" i="15" s="1"/>
  <c r="AF370" i="15"/>
  <c r="AF354" i="15" s="1"/>
  <c r="AF50" i="15" s="1"/>
  <c r="AF360" i="15"/>
  <c r="AF344" i="15" s="1"/>
  <c r="AF366" i="15"/>
  <c r="AF350" i="15" s="1"/>
  <c r="AF46" i="15" s="1"/>
  <c r="AF361" i="15"/>
  <c r="AF345" i="15" s="1"/>
  <c r="AF41" i="15" s="1"/>
  <c r="AF368" i="15"/>
  <c r="AF352" i="15" s="1"/>
  <c r="AF48" i="15" s="1"/>
  <c r="X57" i="13"/>
  <c r="X41" i="13" s="1"/>
  <c r="Z126" i="13"/>
  <c r="Z111" i="3"/>
  <c r="CS3" i="15"/>
  <c r="S333" i="4"/>
  <c r="S318" i="4"/>
  <c r="U411" i="3"/>
  <c r="U426" i="3"/>
  <c r="X58" i="13"/>
  <c r="X42" i="13" s="1"/>
  <c r="AO79" i="4"/>
  <c r="Z117" i="13"/>
  <c r="Z102" i="3"/>
  <c r="Z121" i="13"/>
  <c r="Z106" i="3"/>
  <c r="AJ188" i="15"/>
  <c r="AK204" i="15"/>
  <c r="AK188" i="15" s="1"/>
  <c r="X62" i="13"/>
  <c r="X46" i="13" s="1"/>
  <c r="X61" i="13"/>
  <c r="X45" i="13" s="1"/>
  <c r="V109" i="19"/>
  <c r="AJ186" i="15"/>
  <c r="AK202" i="15"/>
  <c r="Z21" i="13"/>
  <c r="BR22" i="13"/>
  <c r="AH92" i="7"/>
  <c r="AH28" i="7" s="1"/>
  <c r="AL57" i="15"/>
  <c r="U327" i="4"/>
  <c r="U312" i="4"/>
  <c r="AJ124" i="7"/>
  <c r="AK124" i="7" s="1"/>
  <c r="AJ122" i="7"/>
  <c r="AJ317" i="15"/>
  <c r="AJ285" i="15" s="1"/>
  <c r="AJ316" i="15"/>
  <c r="AJ284" i="15" s="1"/>
  <c r="AJ315" i="15"/>
  <c r="AJ283" i="15" s="1"/>
  <c r="AJ314" i="15"/>
  <c r="AJ282" i="15" s="1"/>
  <c r="AJ319" i="15"/>
  <c r="AJ287" i="15" s="1"/>
  <c r="AJ321" i="15"/>
  <c r="AJ289" i="15" s="1"/>
  <c r="AJ313" i="15"/>
  <c r="AJ281" i="15" s="1"/>
  <c r="AJ320" i="15"/>
  <c r="AJ288" i="15" s="1"/>
  <c r="AJ322" i="15"/>
  <c r="AJ290" i="15" s="1"/>
  <c r="AJ318" i="15"/>
  <c r="AJ286" i="15" s="1"/>
  <c r="AJ312" i="15"/>
  <c r="AJ280" i="15" s="1"/>
  <c r="Z119" i="13"/>
  <c r="Z104" i="3"/>
  <c r="Z123" i="13"/>
  <c r="Z108" i="3"/>
  <c r="X56" i="13"/>
  <c r="X40" i="13" s="1"/>
  <c r="AG114" i="9"/>
  <c r="AG98" i="9" s="1"/>
  <c r="AG34" i="9" s="1"/>
  <c r="AG98" i="7"/>
  <c r="AG34" i="7" s="1"/>
  <c r="AI146" i="7"/>
  <c r="AI180" i="7"/>
  <c r="AI148" i="7" s="1"/>
  <c r="AJ194" i="15"/>
  <c r="AK210" i="15"/>
  <c r="AK194" i="15" s="1"/>
  <c r="Z351" i="13"/>
  <c r="Z323" i="13"/>
  <c r="Z335" i="13" s="1"/>
  <c r="AH23" i="15"/>
  <c r="CK22" i="15"/>
  <c r="AH114" i="7"/>
  <c r="AH98" i="7" s="1"/>
  <c r="AG180" i="9"/>
  <c r="AG148" i="7"/>
  <c r="AG149" i="7" s="1"/>
  <c r="AM66" i="15"/>
  <c r="AN82" i="15"/>
  <c r="T330" i="4"/>
  <c r="T315" i="4"/>
  <c r="AP165" i="7"/>
  <c r="AP11" i="7"/>
  <c r="AP181" i="7" s="1"/>
  <c r="AO173" i="7"/>
  <c r="AO176" i="7"/>
  <c r="AP79" i="4"/>
  <c r="X59" i="13"/>
  <c r="X43" i="13" s="1"/>
  <c r="Z191" i="13"/>
  <c r="Z11" i="13" s="1"/>
  <c r="Z131" i="13"/>
  <c r="AH123" i="7"/>
  <c r="AG91" i="9"/>
  <c r="AG27" i="9" s="1"/>
  <c r="AJ193" i="15"/>
  <c r="AK209" i="15"/>
  <c r="AK193" i="15" s="1"/>
  <c r="AH106" i="7"/>
  <c r="AE117" i="9"/>
  <c r="AE7" i="9" s="1"/>
  <c r="AE6" i="9" s="1"/>
  <c r="AE15" i="9" s="1"/>
  <c r="AN156" i="7"/>
  <c r="AO156" i="7" s="1"/>
  <c r="X53" i="13"/>
  <c r="X37" i="13" s="1"/>
  <c r="Z118" i="13"/>
  <c r="Z103" i="3"/>
  <c r="AI280" i="15"/>
  <c r="AI323" i="15"/>
  <c r="AI291" i="15" s="1"/>
  <c r="AG91" i="7"/>
  <c r="AG27" i="7" s="1"/>
  <c r="AH53" i="7"/>
  <c r="AH99" i="7"/>
  <c r="AH35" i="7" s="1"/>
  <c r="AH146" i="7"/>
  <c r="AH180" i="7"/>
  <c r="AH148" i="7" s="1"/>
  <c r="AJ178" i="7"/>
  <c r="AK178" i="7" s="1"/>
  <c r="AE101" i="9"/>
  <c r="AE25" i="9"/>
  <c r="AE37" i="9" s="1"/>
  <c r="X51" i="13"/>
  <c r="X79" i="13"/>
  <c r="X4" i="13" s="1"/>
  <c r="AK205" i="15"/>
  <c r="AK189" i="15" s="1"/>
  <c r="AI60" i="15"/>
  <c r="AI83" i="15"/>
  <c r="AI67" i="15" s="1"/>
  <c r="AJ76" i="15"/>
  <c r="AL7" i="7"/>
  <c r="AL117" i="7" s="1"/>
  <c r="AL3" i="7"/>
  <c r="AL4" i="7" s="1"/>
  <c r="AL69" i="7" s="1"/>
  <c r="AM6" i="7"/>
  <c r="AJ192" i="15"/>
  <c r="AK208" i="15"/>
  <c r="AK192" i="15" s="1"/>
  <c r="R320" i="4"/>
  <c r="R336" i="4" s="1"/>
  <c r="R335" i="4"/>
  <c r="AH89" i="7"/>
  <c r="S433" i="3"/>
  <c r="S418" i="3"/>
  <c r="AJ185" i="15"/>
  <c r="AK201" i="15"/>
  <c r="AK185" i="15" s="1"/>
  <c r="BO27" i="13"/>
  <c r="W32" i="13"/>
  <c r="W3" i="2"/>
  <c r="CS11" i="15"/>
  <c r="AN154" i="7"/>
  <c r="R434" i="3"/>
  <c r="R419" i="3"/>
  <c r="R435" i="3" s="1"/>
  <c r="AD53" i="9"/>
  <c r="AL61" i="15"/>
  <c r="AN77" i="15"/>
  <c r="AN61" i="15" s="1"/>
  <c r="AL81" i="15"/>
  <c r="AM81" i="15" s="1"/>
  <c r="AH68" i="15"/>
  <c r="AK65" i="7"/>
  <c r="AK49" i="7" s="1"/>
  <c r="AK60" i="7"/>
  <c r="AK44" i="7" s="1"/>
  <c r="AK59" i="7"/>
  <c r="AK43" i="7" s="1"/>
  <c r="AK64" i="7"/>
  <c r="AK48" i="7" s="1"/>
  <c r="AK58" i="7"/>
  <c r="AK42" i="7" s="1"/>
  <c r="AK67" i="7"/>
  <c r="AK51" i="7" s="1"/>
  <c r="AK62" i="7"/>
  <c r="AK46" i="7" s="1"/>
  <c r="AK66" i="7"/>
  <c r="AK50" i="7" s="1"/>
  <c r="AK63" i="7"/>
  <c r="AK47" i="7" s="1"/>
  <c r="AK57" i="7"/>
  <c r="AK41" i="7" s="1"/>
  <c r="AK61" i="7"/>
  <c r="AK45" i="7" s="1"/>
  <c r="AE376" i="11" l="1"/>
  <c r="AE382" i="11"/>
  <c r="AE377" i="11"/>
  <c r="AE383" i="11"/>
  <c r="AE379" i="11"/>
  <c r="AE378" i="11"/>
  <c r="AE373" i="11"/>
  <c r="AE375" i="11"/>
  <c r="AE374" i="11"/>
  <c r="AE381" i="11"/>
  <c r="AE380" i="11"/>
  <c r="AE20" i="11"/>
  <c r="AE65" i="11"/>
  <c r="AE351" i="11"/>
  <c r="AE346" i="11"/>
  <c r="AE344" i="11"/>
  <c r="AE347" i="11"/>
  <c r="AE348" i="11"/>
  <c r="AE345" i="11"/>
  <c r="AE341" i="11"/>
  <c r="AE343" i="11"/>
  <c r="AE342" i="11"/>
  <c r="AE350" i="11"/>
  <c r="AE349" i="11"/>
  <c r="AM177" i="7"/>
  <c r="AM145" i="7" s="1"/>
  <c r="AD36" i="9"/>
  <c r="AD37" i="9" s="1"/>
  <c r="AI126" i="7"/>
  <c r="AJ126" i="7" s="1"/>
  <c r="AN177" i="7"/>
  <c r="AN145" i="7" s="1"/>
  <c r="AO160" i="4"/>
  <c r="AD356" i="15"/>
  <c r="AD52" i="15" s="1"/>
  <c r="AJ137" i="7"/>
  <c r="AK169" i="7"/>
  <c r="AK180" i="7" s="1"/>
  <c r="AK148" i="7" s="1"/>
  <c r="AG132" i="7"/>
  <c r="AG132" i="9" s="1"/>
  <c r="AH95" i="7"/>
  <c r="AH31" i="7" s="1"/>
  <c r="AH97" i="7"/>
  <c r="AH33" i="7" s="1"/>
  <c r="AO177" i="7"/>
  <c r="AO145" i="7" s="1"/>
  <c r="AI97" i="7"/>
  <c r="AI33" i="7" s="1"/>
  <c r="AE2" i="2"/>
  <c r="AF362" i="15"/>
  <c r="AF346" i="15" s="1"/>
  <c r="AF42" i="15" s="1"/>
  <c r="AD2" i="2"/>
  <c r="AE371" i="15"/>
  <c r="AE355" i="15" s="1"/>
  <c r="AJ129" i="7"/>
  <c r="AK129" i="7" s="1"/>
  <c r="AF100" i="9"/>
  <c r="AF36" i="9" s="1"/>
  <c r="AF100" i="7"/>
  <c r="AF36" i="7" s="1"/>
  <c r="AK319" i="15"/>
  <c r="AK287" i="15" s="1"/>
  <c r="AK175" i="7"/>
  <c r="AJ143" i="7"/>
  <c r="AH196" i="15"/>
  <c r="AH34" i="7"/>
  <c r="AO160" i="7"/>
  <c r="AP160" i="7" s="1"/>
  <c r="AL172" i="7"/>
  <c r="AK140" i="7"/>
  <c r="AG369" i="15"/>
  <c r="AG353" i="15" s="1"/>
  <c r="AG49" i="15" s="1"/>
  <c r="AG363" i="15"/>
  <c r="AG347" i="15" s="1"/>
  <c r="AG43" i="15" s="1"/>
  <c r="AM179" i="7"/>
  <c r="AM147" i="7" s="1"/>
  <c r="AI149" i="7"/>
  <c r="AG364" i="15"/>
  <c r="AG348" i="15" s="1"/>
  <c r="AG44" i="15" s="1"/>
  <c r="AM138" i="7"/>
  <c r="AO141" i="7"/>
  <c r="AK126" i="7"/>
  <c r="AK94" i="7" s="1"/>
  <c r="AK30" i="7" s="1"/>
  <c r="AK122" i="7"/>
  <c r="AI187" i="15"/>
  <c r="AI211" i="15"/>
  <c r="AI195" i="15" s="1"/>
  <c r="AK127" i="7"/>
  <c r="AL79" i="15"/>
  <c r="AL63" i="15" s="1"/>
  <c r="AL174" i="7"/>
  <c r="AK142" i="7"/>
  <c r="AL75" i="15"/>
  <c r="AH149" i="7"/>
  <c r="AJ68" i="7"/>
  <c r="AJ52" i="7" s="1"/>
  <c r="AJ53" i="7" s="1"/>
  <c r="AL179" i="7"/>
  <c r="AK147" i="7"/>
  <c r="AK322" i="15"/>
  <c r="AK290" i="15" s="1"/>
  <c r="AK317" i="15"/>
  <c r="AK285" i="15" s="1"/>
  <c r="AJ203" i="15"/>
  <c r="AQ155" i="4"/>
  <c r="AQ46" i="4"/>
  <c r="AQ159" i="4" s="1"/>
  <c r="AK131" i="7"/>
  <c r="AL164" i="7"/>
  <c r="AM155" i="7"/>
  <c r="AO163" i="7"/>
  <c r="AH96" i="7"/>
  <c r="AH32" i="7" s="1"/>
  <c r="AK314" i="15"/>
  <c r="AK282" i="15" s="1"/>
  <c r="AI128" i="7"/>
  <c r="AH132" i="7"/>
  <c r="AK315" i="15"/>
  <c r="AK283" i="15" s="1"/>
  <c r="AK321" i="15"/>
  <c r="AK289" i="15" s="1"/>
  <c r="AG125" i="9"/>
  <c r="AG93" i="9" s="1"/>
  <c r="AG29" i="9" s="1"/>
  <c r="AG93" i="7"/>
  <c r="AG29" i="7" s="1"/>
  <c r="AI125" i="7"/>
  <c r="AI93" i="7" s="1"/>
  <c r="AI29" i="7" s="1"/>
  <c r="AN138" i="7"/>
  <c r="AF101" i="7"/>
  <c r="AL139" i="7"/>
  <c r="AM78" i="15"/>
  <c r="AN78" i="15" s="1"/>
  <c r="AN62" i="15" s="1"/>
  <c r="AL58" i="15"/>
  <c r="AM74" i="15"/>
  <c r="AM171" i="7"/>
  <c r="AN73" i="15"/>
  <c r="AL204" i="15"/>
  <c r="AL188" i="15" s="1"/>
  <c r="AO77" i="15"/>
  <c r="AO61" i="15" s="1"/>
  <c r="AL80" i="15"/>
  <c r="AL64" i="15" s="1"/>
  <c r="AL208" i="15"/>
  <c r="AM65" i="15"/>
  <c r="AN81" i="15"/>
  <c r="AN65" i="15" s="1"/>
  <c r="AU11" i="15"/>
  <c r="AW11" i="15" s="1"/>
  <c r="BB11" i="15" s="1"/>
  <c r="AL184" i="15"/>
  <c r="W124" i="21"/>
  <c r="W108" i="21" s="1"/>
  <c r="W108" i="19"/>
  <c r="AF37" i="7"/>
  <c r="BR21" i="13"/>
  <c r="Z20" i="13"/>
  <c r="BR20" i="13" s="1"/>
  <c r="AM324" i="15"/>
  <c r="CO20" i="15"/>
  <c r="AM18" i="15"/>
  <c r="Z88" i="3"/>
  <c r="AG89" i="9"/>
  <c r="X63" i="13"/>
  <c r="X64" i="13" s="1"/>
  <c r="X35" i="13"/>
  <c r="X47" i="13" s="1"/>
  <c r="AJ37" i="15"/>
  <c r="CM17" i="15"/>
  <c r="AJ22" i="15"/>
  <c r="AL206" i="15"/>
  <c r="AL190" i="15" s="1"/>
  <c r="AL201" i="15"/>
  <c r="AA255" i="13"/>
  <c r="AA15" i="13" s="1"/>
  <c r="AA195" i="13"/>
  <c r="AA207" i="13" s="1"/>
  <c r="AH90" i="7"/>
  <c r="AH26" i="7" s="1"/>
  <c r="AH116" i="7"/>
  <c r="AO212" i="15"/>
  <c r="AO13" i="15"/>
  <c r="AM200" i="15"/>
  <c r="AK186" i="15"/>
  <c r="AL202" i="15"/>
  <c r="AF40" i="15"/>
  <c r="U328" i="4"/>
  <c r="U313" i="4"/>
  <c r="Z92" i="3"/>
  <c r="Z89" i="3"/>
  <c r="Z94" i="3"/>
  <c r="AN6" i="7"/>
  <c r="AO6" i="7" s="1"/>
  <c r="AP6" i="7" s="1"/>
  <c r="AJ146" i="7"/>
  <c r="AL178" i="7"/>
  <c r="AJ180" i="7"/>
  <c r="AJ148" i="7" s="1"/>
  <c r="Z143" i="13"/>
  <c r="Z115" i="13"/>
  <c r="Z127" i="13" s="1"/>
  <c r="Z100" i="3"/>
  <c r="AG368" i="15"/>
  <c r="AG352" i="15" s="1"/>
  <c r="AG48" i="15" s="1"/>
  <c r="AI94" i="7"/>
  <c r="AI30" i="7" s="1"/>
  <c r="AH25" i="7"/>
  <c r="AI123" i="7"/>
  <c r="AL205" i="15"/>
  <c r="AL189" i="15" s="1"/>
  <c r="BR11" i="13"/>
  <c r="Z32" i="1"/>
  <c r="Z29" i="1" s="1"/>
  <c r="Z28" i="1" s="1"/>
  <c r="Z8" i="13"/>
  <c r="U427" i="3"/>
  <c r="U412" i="3"/>
  <c r="T430" i="3"/>
  <c r="T415" i="3"/>
  <c r="AK121" i="7"/>
  <c r="AG366" i="15"/>
  <c r="AG350" i="15" s="1"/>
  <c r="AG46" i="15" s="1"/>
  <c r="AK37" i="15"/>
  <c r="AK22" i="15"/>
  <c r="AK23" i="15" s="1"/>
  <c r="X7" i="19"/>
  <c r="AI106" i="7"/>
  <c r="AI90" i="7" s="1"/>
  <c r="AI26" i="7" s="1"/>
  <c r="AL210" i="15"/>
  <c r="AL194" i="15" s="1"/>
  <c r="X3" i="13"/>
  <c r="BP4" i="13"/>
  <c r="X26" i="1"/>
  <c r="X25" i="1" s="1"/>
  <c r="AL209" i="15"/>
  <c r="AL193" i="15" s="1"/>
  <c r="AL60" i="7"/>
  <c r="AL44" i="7" s="1"/>
  <c r="AL59" i="7"/>
  <c r="AL43" i="7" s="1"/>
  <c r="AL64" i="7"/>
  <c r="AL48" i="7" s="1"/>
  <c r="AL58" i="7"/>
  <c r="AL42" i="7" s="1"/>
  <c r="AL57" i="7"/>
  <c r="AL41" i="7" s="1"/>
  <c r="AL67" i="7"/>
  <c r="AL51" i="7" s="1"/>
  <c r="AL65" i="7"/>
  <c r="AL49" i="7" s="1"/>
  <c r="AL63" i="7"/>
  <c r="AL47" i="7" s="1"/>
  <c r="AL61" i="7"/>
  <c r="AL45" i="7" s="1"/>
  <c r="AL66" i="7"/>
  <c r="AL50" i="7" s="1"/>
  <c r="AL62" i="7"/>
  <c r="AL46" i="7" s="1"/>
  <c r="AJ323" i="15"/>
  <c r="AJ291" i="15" s="1"/>
  <c r="AJ292" i="15" s="1"/>
  <c r="AK130" i="7"/>
  <c r="AG360" i="15"/>
  <c r="V310" i="4"/>
  <c r="V325" i="4"/>
  <c r="W372" i="19"/>
  <c r="W373" i="19"/>
  <c r="W377" i="19"/>
  <c r="AI114" i="7"/>
  <c r="AL207" i="15"/>
  <c r="AK146" i="7"/>
  <c r="AK184" i="15"/>
  <c r="Z87" i="3"/>
  <c r="AM210" i="15"/>
  <c r="AM194" i="15" s="1"/>
  <c r="AG25" i="7"/>
  <c r="AN66" i="15"/>
  <c r="AO82" i="15"/>
  <c r="AL107" i="7"/>
  <c r="AL110" i="7"/>
  <c r="AG148" i="9"/>
  <c r="AG149" i="9" s="1"/>
  <c r="AG181" i="9"/>
  <c r="AG11" i="9" s="1"/>
  <c r="AG9" i="9" s="1"/>
  <c r="AK312" i="15"/>
  <c r="AJ113" i="7"/>
  <c r="AJ97" i="7" s="1"/>
  <c r="AJ33" i="7" s="1"/>
  <c r="AG365" i="15"/>
  <c r="AG349" i="15" s="1"/>
  <c r="AG45" i="15" s="1"/>
  <c r="AO154" i="7"/>
  <c r="AP154" i="7" s="1"/>
  <c r="AP138" i="7" s="1"/>
  <c r="V304" i="4"/>
  <c r="AI95" i="7"/>
  <c r="AI31" i="7" s="1"/>
  <c r="AJ111" i="7"/>
  <c r="W114" i="21"/>
  <c r="W98" i="21" s="1"/>
  <c r="W98" i="19"/>
  <c r="W116" i="21"/>
  <c r="W100" i="21" s="1"/>
  <c r="W100" i="19"/>
  <c r="AA355" i="13"/>
  <c r="AA356" i="13"/>
  <c r="AA340" i="13" s="1"/>
  <c r="AA324" i="13" s="1"/>
  <c r="AA358" i="13"/>
  <c r="AA342" i="13" s="1"/>
  <c r="AA326" i="13" s="1"/>
  <c r="AA357" i="13"/>
  <c r="AA341" i="13" s="1"/>
  <c r="AA325" i="13" s="1"/>
  <c r="AA361" i="13"/>
  <c r="AA345" i="13" s="1"/>
  <c r="AA329" i="13" s="1"/>
  <c r="AA362" i="13"/>
  <c r="AA346" i="13" s="1"/>
  <c r="AA330" i="13" s="1"/>
  <c r="AA360" i="13"/>
  <c r="AA344" i="13" s="1"/>
  <c r="AA328" i="13" s="1"/>
  <c r="AA359" i="13"/>
  <c r="AA343" i="13" s="1"/>
  <c r="AA327" i="13" s="1"/>
  <c r="AA365" i="13"/>
  <c r="AA349" i="13" s="1"/>
  <c r="AA333" i="13" s="1"/>
  <c r="AA363" i="13"/>
  <c r="AA347" i="13" s="1"/>
  <c r="AA331" i="13" s="1"/>
  <c r="AA366" i="13"/>
  <c r="AA350" i="13" s="1"/>
  <c r="AA334" i="13" s="1"/>
  <c r="AA364" i="13"/>
  <c r="AA348" i="13" s="1"/>
  <c r="AA332" i="13" s="1"/>
  <c r="Z95" i="3"/>
  <c r="W117" i="21"/>
  <c r="W101" i="21" s="1"/>
  <c r="W101" i="19"/>
  <c r="AL8" i="7"/>
  <c r="AL133" i="7" s="1"/>
  <c r="AK318" i="15"/>
  <c r="AK286" i="15" s="1"/>
  <c r="AG367" i="15"/>
  <c r="AG351" i="15" s="1"/>
  <c r="AG47" i="15" s="1"/>
  <c r="AH91" i="7"/>
  <c r="AH27" i="7" s="1"/>
  <c r="Z91" i="3"/>
  <c r="AI91" i="7"/>
  <c r="AI27" i="7" s="1"/>
  <c r="W119" i="21"/>
  <c r="W103" i="21" s="1"/>
  <c r="W103" i="19"/>
  <c r="W118" i="21"/>
  <c r="W102" i="21" s="1"/>
  <c r="W102" i="19"/>
  <c r="Z93" i="3"/>
  <c r="AM7" i="7"/>
  <c r="AM117" i="7" s="1"/>
  <c r="AM3" i="7"/>
  <c r="AM4" i="7" s="1"/>
  <c r="AM69" i="7" s="1"/>
  <c r="AK68" i="7"/>
  <c r="AK52" i="7" s="1"/>
  <c r="AK53" i="7" s="1"/>
  <c r="AJ60" i="15"/>
  <c r="AJ83" i="15"/>
  <c r="AJ67" i="15" s="1"/>
  <c r="AK76" i="15"/>
  <c r="AL76" i="15" s="1"/>
  <c r="AP177" i="7"/>
  <c r="AQ177" i="7" s="1"/>
  <c r="AP173" i="7"/>
  <c r="AQ173" i="7" s="1"/>
  <c r="AP176" i="7"/>
  <c r="AQ176" i="7" s="1"/>
  <c r="AP170" i="7"/>
  <c r="AQ170" i="7" s="1"/>
  <c r="AK313" i="15"/>
  <c r="AK281" i="15" s="1"/>
  <c r="AI99" i="7"/>
  <c r="AI35" i="7" s="1"/>
  <c r="AJ115" i="7"/>
  <c r="W123" i="21"/>
  <c r="W107" i="21" s="1"/>
  <c r="W107" i="19"/>
  <c r="W120" i="21"/>
  <c r="W104" i="21" s="1"/>
  <c r="W104" i="19"/>
  <c r="AP12" i="15"/>
  <c r="Z90" i="3"/>
  <c r="AF117" i="9"/>
  <c r="AF7" i="9" s="1"/>
  <c r="AF6" i="9" s="1"/>
  <c r="AF15" i="9" s="1"/>
  <c r="AG361" i="15"/>
  <c r="AG345" i="15" s="1"/>
  <c r="AG41" i="15" s="1"/>
  <c r="AJ112" i="7"/>
  <c r="AI92" i="7"/>
  <c r="AI28" i="7" s="1"/>
  <c r="AJ108" i="7"/>
  <c r="W121" i="21"/>
  <c r="W105" i="21" s="1"/>
  <c r="W105" i="19"/>
  <c r="Z85" i="3"/>
  <c r="AI292" i="15"/>
  <c r="AL65" i="15"/>
  <c r="AL324" i="15"/>
  <c r="AL18" i="15"/>
  <c r="AG116" i="9"/>
  <c r="AG100" i="9" s="1"/>
  <c r="AG100" i="7"/>
  <c r="AG36" i="7" s="1"/>
  <c r="AF101" i="9"/>
  <c r="AF25" i="9"/>
  <c r="AF37" i="9" s="1"/>
  <c r="V403" i="3"/>
  <c r="CU11" i="15"/>
  <c r="AR19" i="15"/>
  <c r="AB106" i="13"/>
  <c r="AB104" i="13"/>
  <c r="AB109" i="13"/>
  <c r="AB99" i="13"/>
  <c r="AB110" i="13"/>
  <c r="AB101" i="13"/>
  <c r="AB103" i="13"/>
  <c r="AB108" i="13"/>
  <c r="AB107" i="13"/>
  <c r="AB105" i="13"/>
  <c r="AB102" i="13"/>
  <c r="AB100" i="13"/>
  <c r="W113" i="21"/>
  <c r="W97" i="19"/>
  <c r="W122" i="21"/>
  <c r="W106" i="21" s="1"/>
  <c r="W106" i="19"/>
  <c r="AI89" i="7"/>
  <c r="AJ105" i="7"/>
  <c r="AK105" i="7" s="1"/>
  <c r="AJ94" i="7"/>
  <c r="AJ30" i="7" s="1"/>
  <c r="S434" i="3"/>
  <c r="S419" i="3"/>
  <c r="S435" i="3" s="1"/>
  <c r="AP157" i="7"/>
  <c r="AQ157" i="7" s="1"/>
  <c r="AP156" i="7"/>
  <c r="AP163" i="7"/>
  <c r="AP153" i="7"/>
  <c r="AP161" i="7"/>
  <c r="AP162" i="7"/>
  <c r="AP158" i="7"/>
  <c r="T331" i="4"/>
  <c r="T316" i="4"/>
  <c r="AH372" i="15"/>
  <c r="AH38" i="15"/>
  <c r="CK23" i="15"/>
  <c r="AN57" i="15"/>
  <c r="AO73" i="15"/>
  <c r="AK320" i="15"/>
  <c r="AK288" i="15" s="1"/>
  <c r="AI68" i="15"/>
  <c r="AJ123" i="7"/>
  <c r="AJ91" i="7" s="1"/>
  <c r="AJ27" i="7" s="1"/>
  <c r="AK316" i="15"/>
  <c r="AK284" i="15" s="1"/>
  <c r="Z86" i="3"/>
  <c r="S334" i="4"/>
  <c r="S319" i="4"/>
  <c r="AJ109" i="7"/>
  <c r="AG370" i="15"/>
  <c r="AG354" i="15" s="1"/>
  <c r="AG50" i="15" s="1"/>
  <c r="AO159" i="7"/>
  <c r="AP159" i="7" s="1"/>
  <c r="V424" i="3"/>
  <c r="V409" i="3"/>
  <c r="W115" i="21"/>
  <c r="W99" i="21" s="1"/>
  <c r="W99" i="19"/>
  <c r="AE213" i="4" l="1"/>
  <c r="AE404" i="13"/>
  <c r="AE212" i="4"/>
  <c r="AE403" i="13"/>
  <c r="AE335" i="11"/>
  <c r="AE206" i="4"/>
  <c r="AE219" i="4"/>
  <c r="AE410" i="13"/>
  <c r="AE204" i="4"/>
  <c r="AE333" i="11"/>
  <c r="AE217" i="4"/>
  <c r="AE408" i="13"/>
  <c r="AE334" i="11"/>
  <c r="AE205" i="4"/>
  <c r="AE218" i="4"/>
  <c r="AE409" i="13"/>
  <c r="AE326" i="11"/>
  <c r="AE197" i="4"/>
  <c r="AE222" i="4"/>
  <c r="AE413" i="13"/>
  <c r="AE198" i="4"/>
  <c r="AE327" i="11"/>
  <c r="AE216" i="4"/>
  <c r="AE407" i="13"/>
  <c r="AE196" i="4"/>
  <c r="AE325" i="11"/>
  <c r="AE221" i="4"/>
  <c r="AE412" i="13"/>
  <c r="AE220" i="4"/>
  <c r="AE411" i="13"/>
  <c r="AE214" i="4"/>
  <c r="AE405" i="13"/>
  <c r="AE329" i="11"/>
  <c r="AE200" i="4"/>
  <c r="AE215" i="4"/>
  <c r="AE406" i="13"/>
  <c r="AE352" i="11"/>
  <c r="AE207" i="4" s="1"/>
  <c r="AE208" i="4" s="1"/>
  <c r="AE332" i="11"/>
  <c r="AE203" i="4"/>
  <c r="AE384" i="11"/>
  <c r="AE202" i="4"/>
  <c r="AE331" i="11"/>
  <c r="AE199" i="4"/>
  <c r="AE328" i="11"/>
  <c r="AF4" i="11"/>
  <c r="AE201" i="4"/>
  <c r="AE330" i="11"/>
  <c r="AI116" i="7"/>
  <c r="AO144" i="7"/>
  <c r="AJ106" i="7"/>
  <c r="AJ90" i="7" s="1"/>
  <c r="AJ26" i="7" s="1"/>
  <c r="AE51" i="15"/>
  <c r="AE356" i="15"/>
  <c r="AE52" i="15" s="1"/>
  <c r="AF2" i="2"/>
  <c r="AF371" i="15"/>
  <c r="AF355" i="15" s="1"/>
  <c r="AF51" i="15" s="1"/>
  <c r="AG36" i="9"/>
  <c r="AL169" i="7"/>
  <c r="AK137" i="7"/>
  <c r="AK149" i="7" s="1"/>
  <c r="AM169" i="7"/>
  <c r="AM137" i="7" s="1"/>
  <c r="AG362" i="15"/>
  <c r="AG346" i="15" s="1"/>
  <c r="AG42" i="15" s="1"/>
  <c r="AN179" i="7"/>
  <c r="AN147" i="7" s="1"/>
  <c r="AL175" i="7"/>
  <c r="AM175" i="7" s="1"/>
  <c r="AM143" i="7" s="1"/>
  <c r="AK143" i="7"/>
  <c r="AM79" i="15"/>
  <c r="AM63" i="15" s="1"/>
  <c r="AM206" i="15"/>
  <c r="AM190" i="15" s="1"/>
  <c r="AL147" i="7"/>
  <c r="AM8" i="7"/>
  <c r="AM133" i="7" s="1"/>
  <c r="AM204" i="15"/>
  <c r="AM188" i="15" s="1"/>
  <c r="AL59" i="15"/>
  <c r="AM75" i="15"/>
  <c r="AM83" i="15" s="1"/>
  <c r="AM67" i="15" s="1"/>
  <c r="AJ211" i="15"/>
  <c r="AJ195" i="15" s="1"/>
  <c r="AJ187" i="15"/>
  <c r="AK203" i="15"/>
  <c r="AN79" i="15"/>
  <c r="AN63" i="15" s="1"/>
  <c r="AL140" i="7"/>
  <c r="AJ125" i="7"/>
  <c r="AK125" i="7" s="1"/>
  <c r="AM172" i="7"/>
  <c r="AI196" i="15"/>
  <c r="AL142" i="7"/>
  <c r="AM174" i="7"/>
  <c r="AQ47" i="4"/>
  <c r="AQ160" i="4"/>
  <c r="AM76" i="15"/>
  <c r="AN171" i="7"/>
  <c r="AO171" i="7" s="1"/>
  <c r="AM80" i="15"/>
  <c r="AM64" i="15" s="1"/>
  <c r="AP145" i="7"/>
  <c r="AI132" i="7"/>
  <c r="AI100" i="7" s="1"/>
  <c r="AI36" i="7" s="1"/>
  <c r="AM58" i="15"/>
  <c r="AN74" i="15"/>
  <c r="AM164" i="7"/>
  <c r="AN155" i="7"/>
  <c r="AM139" i="7"/>
  <c r="AG133" i="9"/>
  <c r="AG8" i="9" s="1"/>
  <c r="AK106" i="7"/>
  <c r="AK90" i="7" s="1"/>
  <c r="AK26" i="7" s="1"/>
  <c r="AM62" i="15"/>
  <c r="AO78" i="15"/>
  <c r="AO62" i="15" s="1"/>
  <c r="AI96" i="7"/>
  <c r="AI32" i="7" s="1"/>
  <c r="AL192" i="15"/>
  <c r="AM208" i="15"/>
  <c r="AM192" i="15" s="1"/>
  <c r="AO81" i="15"/>
  <c r="AO65" i="15" s="1"/>
  <c r="AK109" i="7"/>
  <c r="AL109" i="7" s="1"/>
  <c r="AM178" i="7"/>
  <c r="AM146" i="7" s="1"/>
  <c r="AP77" i="15"/>
  <c r="AP61" i="15" s="1"/>
  <c r="AJ128" i="7"/>
  <c r="AK128" i="7" s="1"/>
  <c r="AX11" i="15"/>
  <c r="DA11" i="15" s="1"/>
  <c r="AK113" i="7"/>
  <c r="AK97" i="7" s="1"/>
  <c r="AK33" i="7" s="1"/>
  <c r="AH100" i="7"/>
  <c r="AH36" i="7" s="1"/>
  <c r="AH37" i="7" s="1"/>
  <c r="AP3" i="7"/>
  <c r="AP4" i="7" s="1"/>
  <c r="AP69" i="7" s="1"/>
  <c r="AQ6" i="7"/>
  <c r="AK89" i="7"/>
  <c r="AL105" i="7"/>
  <c r="AI25" i="7"/>
  <c r="W398" i="3"/>
  <c r="W299" i="4"/>
  <c r="W109" i="19"/>
  <c r="W292" i="4"/>
  <c r="W391" i="3"/>
  <c r="AI98" i="7"/>
  <c r="AI34" i="7" s="1"/>
  <c r="AJ114" i="7"/>
  <c r="Y74" i="13"/>
  <c r="Y73" i="13"/>
  <c r="Y75" i="13"/>
  <c r="Y72" i="13"/>
  <c r="Y77" i="13"/>
  <c r="Y76" i="13"/>
  <c r="Y70" i="13"/>
  <c r="Y69" i="13"/>
  <c r="Y78" i="13"/>
  <c r="Y67" i="13"/>
  <c r="Y68" i="13"/>
  <c r="Y71" i="13"/>
  <c r="AM184" i="15"/>
  <c r="W303" i="4"/>
  <c r="W402" i="3"/>
  <c r="AK123" i="7"/>
  <c r="AK91" i="7" s="1"/>
  <c r="AK27" i="7" s="1"/>
  <c r="W302" i="4"/>
  <c r="W401" i="3"/>
  <c r="AL191" i="15"/>
  <c r="AM207" i="15"/>
  <c r="AK372" i="15"/>
  <c r="AK38" i="15"/>
  <c r="AP144" i="7"/>
  <c r="AJ99" i="7"/>
  <c r="AJ35" i="7" s="1"/>
  <c r="AK115" i="7"/>
  <c r="AK99" i="7" s="1"/>
  <c r="AK35" i="7" s="1"/>
  <c r="AK60" i="15"/>
  <c r="AK83" i="15"/>
  <c r="AK67" i="15" s="1"/>
  <c r="AN76" i="15"/>
  <c r="AO76" i="15" s="1"/>
  <c r="AO60" i="15" s="1"/>
  <c r="AA339" i="13"/>
  <c r="AA367" i="13"/>
  <c r="AA22" i="13" s="1"/>
  <c r="X27" i="13"/>
  <c r="BP3" i="13"/>
  <c r="AN200" i="15"/>
  <c r="AO200" i="15" s="1"/>
  <c r="AO184" i="15" s="1"/>
  <c r="AL185" i="15"/>
  <c r="AM201" i="15"/>
  <c r="AM209" i="15"/>
  <c r="W125" i="21"/>
  <c r="W7" i="21" s="1"/>
  <c r="W6" i="21" s="1"/>
  <c r="W97" i="21"/>
  <c r="W374" i="19"/>
  <c r="W375" i="19" s="1"/>
  <c r="U329" i="4"/>
  <c r="U314" i="4"/>
  <c r="AO57" i="15"/>
  <c r="AP73" i="15"/>
  <c r="AJ68" i="15"/>
  <c r="W396" i="3"/>
  <c r="W297" i="4"/>
  <c r="AQ158" i="7"/>
  <c r="V326" i="4"/>
  <c r="V311" i="4"/>
  <c r="T431" i="3"/>
  <c r="T416" i="3"/>
  <c r="AN210" i="15"/>
  <c r="AN194" i="15" s="1"/>
  <c r="AJ95" i="7"/>
  <c r="AJ31" i="7" s="1"/>
  <c r="AK111" i="7"/>
  <c r="AK95" i="7" s="1"/>
  <c r="AQ162" i="7"/>
  <c r="AL68" i="7"/>
  <c r="AL52" i="7" s="1"/>
  <c r="AL53" i="7" s="1"/>
  <c r="V425" i="3"/>
  <c r="V410" i="3"/>
  <c r="AQ161" i="7"/>
  <c r="AQ145" i="7" s="1"/>
  <c r="Z112" i="3"/>
  <c r="Z84" i="3"/>
  <c r="Z96" i="3" s="1"/>
  <c r="AP141" i="7"/>
  <c r="W298" i="4"/>
  <c r="W397" i="3"/>
  <c r="AL124" i="7"/>
  <c r="AL131" i="7"/>
  <c r="AM131" i="7" s="1"/>
  <c r="AL127" i="7"/>
  <c r="AM127" i="7" s="1"/>
  <c r="AL123" i="7"/>
  <c r="AL91" i="7" s="1"/>
  <c r="AL27" i="7" s="1"/>
  <c r="AL130" i="7"/>
  <c r="AM130" i="7" s="1"/>
  <c r="AL122" i="7"/>
  <c r="AM122" i="7" s="1"/>
  <c r="AL126" i="7"/>
  <c r="AL94" i="7" s="1"/>
  <c r="AL121" i="7"/>
  <c r="AM121" i="7" s="1"/>
  <c r="AL129" i="7"/>
  <c r="AM129" i="7" s="1"/>
  <c r="AO138" i="7"/>
  <c r="AQ153" i="7"/>
  <c r="AF356" i="15"/>
  <c r="AF52" i="15" s="1"/>
  <c r="AZ11" i="15"/>
  <c r="BE11" i="15" s="1"/>
  <c r="CW11" i="15"/>
  <c r="CM22" i="15"/>
  <c r="AJ23" i="15"/>
  <c r="AB111" i="13"/>
  <c r="AB6" i="13" s="1"/>
  <c r="BT6" i="13" s="1"/>
  <c r="W393" i="3"/>
  <c r="W294" i="4"/>
  <c r="W392" i="3"/>
  <c r="W293" i="4"/>
  <c r="AG101" i="9"/>
  <c r="AG25" i="9"/>
  <c r="AG37" i="9" s="1"/>
  <c r="AV11" i="15"/>
  <c r="AA184" i="13"/>
  <c r="AA136" i="13" s="1"/>
  <c r="AA120" i="13" s="1"/>
  <c r="AA189" i="13"/>
  <c r="AA141" i="13" s="1"/>
  <c r="AA125" i="13" s="1"/>
  <c r="AA190" i="13"/>
  <c r="AA142" i="13" s="1"/>
  <c r="AA126" i="13" s="1"/>
  <c r="AA188" i="13"/>
  <c r="AA140" i="13" s="1"/>
  <c r="AA124" i="13" s="1"/>
  <c r="AA179" i="13"/>
  <c r="AA183" i="13"/>
  <c r="AA135" i="13" s="1"/>
  <c r="AA119" i="13" s="1"/>
  <c r="AA186" i="13"/>
  <c r="AA138" i="13" s="1"/>
  <c r="AA122" i="13" s="1"/>
  <c r="AA182" i="13"/>
  <c r="AA134" i="13" s="1"/>
  <c r="AA118" i="13" s="1"/>
  <c r="AA187" i="13"/>
  <c r="AA139" i="13" s="1"/>
  <c r="AA123" i="13" s="1"/>
  <c r="AA181" i="13"/>
  <c r="AA133" i="13" s="1"/>
  <c r="AA117" i="13" s="1"/>
  <c r="AA180" i="13"/>
  <c r="AA132" i="13" s="1"/>
  <c r="AA116" i="13" s="1"/>
  <c r="AA185" i="13"/>
  <c r="AA137" i="13" s="1"/>
  <c r="AA121" i="13" s="1"/>
  <c r="BS15" i="13"/>
  <c r="AA12" i="13"/>
  <c r="BS12" i="13" s="1"/>
  <c r="AM60" i="15"/>
  <c r="AP212" i="15"/>
  <c r="CS12" i="15"/>
  <c r="AP13" i="15"/>
  <c r="CS13" i="15" s="1"/>
  <c r="AQ159" i="7"/>
  <c r="AG344" i="15"/>
  <c r="AM205" i="15"/>
  <c r="AM189" i="15" s="1"/>
  <c r="U428" i="3"/>
  <c r="U413" i="3"/>
  <c r="AL146" i="7"/>
  <c r="AH363" i="15"/>
  <c r="AH370" i="15"/>
  <c r="AH369" i="15"/>
  <c r="AH361" i="15"/>
  <c r="AH345" i="15" s="1"/>
  <c r="AH41" i="15" s="1"/>
  <c r="AH368" i="15"/>
  <c r="AH367" i="15"/>
  <c r="AH365" i="15"/>
  <c r="AH349" i="15" s="1"/>
  <c r="AH45" i="15" s="1"/>
  <c r="AH360" i="15"/>
  <c r="AH344" i="15" s="1"/>
  <c r="AH366" i="15"/>
  <c r="AH350" i="15" s="1"/>
  <c r="AH46" i="15" s="1"/>
  <c r="AH364" i="15"/>
  <c r="AJ149" i="7"/>
  <c r="AN206" i="15"/>
  <c r="AN190" i="15" s="1"/>
  <c r="AG117" i="9"/>
  <c r="AG7" i="9" s="1"/>
  <c r="AG6" i="9" s="1"/>
  <c r="AG15" i="9" s="1"/>
  <c r="AY11" i="15"/>
  <c r="BD11" i="15" s="1"/>
  <c r="AQ141" i="7"/>
  <c r="W400" i="3"/>
  <c r="W301" i="4"/>
  <c r="AQ163" i="7"/>
  <c r="AN7" i="7"/>
  <c r="AN117" i="7" s="1"/>
  <c r="AN3" i="7"/>
  <c r="AN4" i="7" s="1"/>
  <c r="AN69" i="7" s="1"/>
  <c r="CO18" i="15"/>
  <c r="AM17" i="15"/>
  <c r="AL17" i="15"/>
  <c r="AO20" i="15"/>
  <c r="AN20" i="15"/>
  <c r="AL316" i="15"/>
  <c r="AL284" i="15" s="1"/>
  <c r="AL315" i="15"/>
  <c r="AL283" i="15" s="1"/>
  <c r="AL314" i="15"/>
  <c r="AL282" i="15" s="1"/>
  <c r="AL322" i="15"/>
  <c r="AL290" i="15" s="1"/>
  <c r="AL313" i="15"/>
  <c r="AL281" i="15" s="1"/>
  <c r="AL321" i="15"/>
  <c r="AL289" i="15" s="1"/>
  <c r="AL317" i="15"/>
  <c r="AL285" i="15" s="1"/>
  <c r="AL320" i="15"/>
  <c r="AL288" i="15" s="1"/>
  <c r="AL318" i="15"/>
  <c r="AL286" i="15" s="1"/>
  <c r="AL319" i="15"/>
  <c r="AL287" i="15" s="1"/>
  <c r="AL312" i="15"/>
  <c r="AL280" i="15" s="1"/>
  <c r="AO3" i="7"/>
  <c r="AO4" i="7" s="1"/>
  <c r="AO69" i="7" s="1"/>
  <c r="AJ92" i="7"/>
  <c r="AJ28" i="7" s="1"/>
  <c r="AK108" i="7"/>
  <c r="AO66" i="15"/>
  <c r="AP82" i="15"/>
  <c r="AP66" i="15" s="1"/>
  <c r="S335" i="4"/>
  <c r="S320" i="4"/>
  <c r="S336" i="4" s="1"/>
  <c r="AM64" i="7"/>
  <c r="AM48" i="7" s="1"/>
  <c r="AM58" i="7"/>
  <c r="AM42" i="7" s="1"/>
  <c r="AM63" i="7"/>
  <c r="AM47" i="7" s="1"/>
  <c r="AM60" i="7"/>
  <c r="AM44" i="7" s="1"/>
  <c r="AM67" i="7"/>
  <c r="AM51" i="7" s="1"/>
  <c r="AM65" i="7"/>
  <c r="AM49" i="7" s="1"/>
  <c r="AM59" i="7"/>
  <c r="AM43" i="7" s="1"/>
  <c r="AM66" i="7"/>
  <c r="AM50" i="7" s="1"/>
  <c r="AM61" i="7"/>
  <c r="AM45" i="7" s="1"/>
  <c r="AM62" i="7"/>
  <c r="AM46" i="7" s="1"/>
  <c r="AM57" i="7"/>
  <c r="AM41" i="7" s="1"/>
  <c r="AK280" i="15"/>
  <c r="AK323" i="15"/>
  <c r="AK291" i="15" s="1"/>
  <c r="AQ156" i="7"/>
  <c r="AL186" i="15"/>
  <c r="AM202" i="15"/>
  <c r="AM186" i="15" s="1"/>
  <c r="W296" i="4"/>
  <c r="W395" i="3"/>
  <c r="W394" i="3"/>
  <c r="W295" i="4"/>
  <c r="T317" i="4"/>
  <c r="T332" i="4"/>
  <c r="AK112" i="7"/>
  <c r="AM110" i="7"/>
  <c r="AM107" i="7"/>
  <c r="AM105" i="7"/>
  <c r="AG37" i="7"/>
  <c r="AQ160" i="7"/>
  <c r="AQ144" i="7" s="1"/>
  <c r="BR8" i="13"/>
  <c r="Z7" i="13"/>
  <c r="BR7" i="13" s="1"/>
  <c r="CU19" i="15"/>
  <c r="AS19" i="15"/>
  <c r="AL60" i="15"/>
  <c r="AL83" i="15"/>
  <c r="AL67" i="15" s="1"/>
  <c r="AQ154" i="7"/>
  <c r="AQ138" i="7" s="1"/>
  <c r="W399" i="3"/>
  <c r="W300" i="4"/>
  <c r="AJ89" i="7"/>
  <c r="AG101" i="7"/>
  <c r="X125" i="19"/>
  <c r="X31" i="19"/>
  <c r="X6" i="19"/>
  <c r="AE182" i="4" l="1"/>
  <c r="AE39" i="11"/>
  <c r="AE186" i="4"/>
  <c r="AE43" i="11"/>
  <c r="AE184" i="4"/>
  <c r="AE41" i="11"/>
  <c r="AE190" i="4"/>
  <c r="AE47" i="11"/>
  <c r="AE180" i="4"/>
  <c r="AE37" i="11"/>
  <c r="AE183" i="4"/>
  <c r="AE40" i="11"/>
  <c r="AE336" i="11"/>
  <c r="AE414" i="13"/>
  <c r="AE415" i="13" s="1"/>
  <c r="AE24" i="13" s="1"/>
  <c r="BW24" i="13" s="1"/>
  <c r="AE223" i="4"/>
  <c r="AE224" i="4" s="1"/>
  <c r="AE181" i="4"/>
  <c r="AE38" i="11"/>
  <c r="AE188" i="4"/>
  <c r="AE45" i="11"/>
  <c r="AE189" i="4"/>
  <c r="AE46" i="11"/>
  <c r="AE185" i="4"/>
  <c r="AE42" i="11"/>
  <c r="AF81" i="11"/>
  <c r="AF3" i="11"/>
  <c r="AF12" i="2"/>
  <c r="AF28" i="13"/>
  <c r="AF30" i="13" s="1"/>
  <c r="AE187" i="4"/>
  <c r="AE44" i="11"/>
  <c r="AG371" i="15"/>
  <c r="AG355" i="15" s="1"/>
  <c r="AG51" i="15" s="1"/>
  <c r="AJ116" i="7"/>
  <c r="AN178" i="7"/>
  <c r="AN146" i="7" s="1"/>
  <c r="AM124" i="7"/>
  <c r="AH362" i="15"/>
  <c r="AK31" i="7"/>
  <c r="AO179" i="7"/>
  <c r="AO147" i="7" s="1"/>
  <c r="AL137" i="7"/>
  <c r="AN169" i="7"/>
  <c r="AN137" i="7" s="1"/>
  <c r="AG2" i="2"/>
  <c r="AL30" i="7"/>
  <c r="AL180" i="7"/>
  <c r="AL148" i="7" s="1"/>
  <c r="AO79" i="15"/>
  <c r="AO63" i="15" s="1"/>
  <c r="AK114" i="7"/>
  <c r="AK98" i="7" s="1"/>
  <c r="AK34" i="7" s="1"/>
  <c r="AJ196" i="15"/>
  <c r="AP81" i="15"/>
  <c r="AP65" i="15" s="1"/>
  <c r="AP78" i="15"/>
  <c r="AP62" i="15" s="1"/>
  <c r="AL125" i="7"/>
  <c r="AM125" i="7" s="1"/>
  <c r="AL143" i="7"/>
  <c r="AN175" i="7"/>
  <c r="AM126" i="7"/>
  <c r="AM94" i="7" s="1"/>
  <c r="AM30" i="7" s="1"/>
  <c r="AM59" i="15"/>
  <c r="AK132" i="7"/>
  <c r="AK93" i="7"/>
  <c r="AK29" i="7" s="1"/>
  <c r="AM314" i="15"/>
  <c r="AM282" i="15" s="1"/>
  <c r="AN75" i="15"/>
  <c r="AJ93" i="7"/>
  <c r="AJ29" i="7" s="1"/>
  <c r="BC11" i="15"/>
  <c r="AL115" i="7"/>
  <c r="AL99" i="7" s="1"/>
  <c r="AL35" i="7" s="1"/>
  <c r="AI360" i="15"/>
  <c r="AI344" i="15" s="1"/>
  <c r="AK187" i="15"/>
  <c r="AK211" i="15"/>
  <c r="AK195" i="15" s="1"/>
  <c r="AN204" i="15"/>
  <c r="AN188" i="15" s="1"/>
  <c r="AM142" i="7"/>
  <c r="AN174" i="7"/>
  <c r="AI361" i="15"/>
  <c r="AI345" i="15" s="1"/>
  <c r="AI41" i="15" s="1"/>
  <c r="AL113" i="7"/>
  <c r="AL97" i="7" s="1"/>
  <c r="AL33" i="7" s="1"/>
  <c r="AM123" i="7"/>
  <c r="AM91" i="7" s="1"/>
  <c r="AM27" i="7" s="1"/>
  <c r="AI365" i="15"/>
  <c r="AI349" i="15" s="1"/>
  <c r="AI45" i="15" s="1"/>
  <c r="AM180" i="7"/>
  <c r="AM148" i="7" s="1"/>
  <c r="AJ132" i="7"/>
  <c r="AJ100" i="7" s="1"/>
  <c r="AJ36" i="7" s="1"/>
  <c r="AM140" i="7"/>
  <c r="AN172" i="7"/>
  <c r="AL203" i="15"/>
  <c r="AM89" i="7"/>
  <c r="AM25" i="7" s="1"/>
  <c r="AO7" i="7"/>
  <c r="AO8" i="7" s="1"/>
  <c r="AO133" i="7" s="1"/>
  <c r="AL106" i="7"/>
  <c r="AL90" i="7" s="1"/>
  <c r="AL26" i="7" s="1"/>
  <c r="AH101" i="7"/>
  <c r="AN139" i="7"/>
  <c r="AO155" i="7"/>
  <c r="AN164" i="7"/>
  <c r="AN8" i="7"/>
  <c r="AN133" i="7" s="1"/>
  <c r="AN58" i="15"/>
  <c r="AO74" i="15"/>
  <c r="AO58" i="15" s="1"/>
  <c r="AP74" i="15"/>
  <c r="AP58" i="15" s="1"/>
  <c r="AM109" i="7"/>
  <c r="AN109" i="7" s="1"/>
  <c r="AJ96" i="7"/>
  <c r="AJ32" i="7" s="1"/>
  <c r="AM312" i="15"/>
  <c r="AM280" i="15" s="1"/>
  <c r="AN80" i="15"/>
  <c r="AK116" i="7"/>
  <c r="AO206" i="15"/>
  <c r="AO190" i="15" s="1"/>
  <c r="AM315" i="15"/>
  <c r="AM283" i="15" s="1"/>
  <c r="AM316" i="15"/>
  <c r="AM284" i="15" s="1"/>
  <c r="AP171" i="7"/>
  <c r="AQ171" i="7" s="1"/>
  <c r="AL128" i="7"/>
  <c r="AN208" i="15"/>
  <c r="AN202" i="15"/>
  <c r="AN186" i="15" s="1"/>
  <c r="X32" i="13"/>
  <c r="BP27" i="13"/>
  <c r="X3" i="2"/>
  <c r="U429" i="3"/>
  <c r="U414" i="3"/>
  <c r="AK292" i="15"/>
  <c r="AP76" i="15"/>
  <c r="AP60" i="15" s="1"/>
  <c r="T333" i="4"/>
  <c r="T318" i="4"/>
  <c r="AH40" i="15"/>
  <c r="AN60" i="15"/>
  <c r="AK96" i="7"/>
  <c r="AK32" i="7" s="1"/>
  <c r="AL112" i="7"/>
  <c r="AL323" i="15"/>
  <c r="AL291" i="15" s="1"/>
  <c r="AL292" i="15" s="1"/>
  <c r="V327" i="4"/>
  <c r="V312" i="4"/>
  <c r="Y57" i="13"/>
  <c r="Y41" i="13" s="1"/>
  <c r="AK68" i="15"/>
  <c r="Y53" i="13"/>
  <c r="Y37" i="13" s="1"/>
  <c r="W408" i="3"/>
  <c r="W403" i="3"/>
  <c r="AM317" i="15"/>
  <c r="AM285" i="15" s="1"/>
  <c r="AA21" i="13"/>
  <c r="BS22" i="13"/>
  <c r="AH351" i="15"/>
  <c r="AH47" i="15" s="1"/>
  <c r="AI367" i="15"/>
  <c r="AI351" i="15" s="1"/>
  <c r="AI47" i="15" s="1"/>
  <c r="AL37" i="15"/>
  <c r="AL22" i="15"/>
  <c r="AL23" i="15" s="1"/>
  <c r="W304" i="4"/>
  <c r="W309" i="4"/>
  <c r="AI37" i="7"/>
  <c r="V411" i="3"/>
  <c r="V426" i="3"/>
  <c r="Y58" i="13"/>
  <c r="Y42" i="13" s="1"/>
  <c r="AH346" i="15"/>
  <c r="AH42" i="15" s="1"/>
  <c r="AI362" i="15"/>
  <c r="AI346" i="15" s="1"/>
  <c r="AI42" i="15" s="1"/>
  <c r="AH353" i="15"/>
  <c r="AH49" i="15" s="1"/>
  <c r="AI369" i="15"/>
  <c r="AI353" i="15" s="1"/>
  <c r="AI49" i="15" s="1"/>
  <c r="CY11" i="15"/>
  <c r="BA11" i="15"/>
  <c r="AC108" i="13"/>
  <c r="AC101" i="13"/>
  <c r="AC109" i="13"/>
  <c r="AC110" i="13"/>
  <c r="AC99" i="13"/>
  <c r="AC102" i="13"/>
  <c r="AC107" i="13"/>
  <c r="AC105" i="13"/>
  <c r="AC100" i="13"/>
  <c r="AC103" i="13"/>
  <c r="AC106" i="13"/>
  <c r="AC104" i="13"/>
  <c r="AM193" i="15"/>
  <c r="AN209" i="15"/>
  <c r="Y52" i="13"/>
  <c r="Y36" i="13" s="1"/>
  <c r="AI101" i="7"/>
  <c r="CO17" i="15"/>
  <c r="AM37" i="15"/>
  <c r="AM22" i="15"/>
  <c r="AM68" i="15"/>
  <c r="AM185" i="15"/>
  <c r="AN201" i="15"/>
  <c r="Y54" i="13"/>
  <c r="Y38" i="13" s="1"/>
  <c r="U330" i="4"/>
  <c r="U315" i="4"/>
  <c r="AA351" i="13"/>
  <c r="AA323" i="13"/>
  <c r="AA335" i="13" s="1"/>
  <c r="AH348" i="15"/>
  <c r="AH44" i="15" s="1"/>
  <c r="AI364" i="15"/>
  <c r="AI348" i="15" s="1"/>
  <c r="AI44" i="15" s="1"/>
  <c r="AP206" i="15"/>
  <c r="AP190" i="15" s="1"/>
  <c r="AP200" i="15"/>
  <c r="AP184" i="15" s="1"/>
  <c r="AH354" i="15"/>
  <c r="AH50" i="15" s="1"/>
  <c r="AI370" i="15"/>
  <c r="AI354" i="15" s="1"/>
  <c r="AI50" i="15" s="1"/>
  <c r="AI366" i="15"/>
  <c r="AI350" i="15" s="1"/>
  <c r="AI46" i="15" s="1"/>
  <c r="AM319" i="15"/>
  <c r="AM287" i="15" s="1"/>
  <c r="AH347" i="15"/>
  <c r="AH43" i="15" s="1"/>
  <c r="AI363" i="15"/>
  <c r="AI347" i="15" s="1"/>
  <c r="AI43" i="15" s="1"/>
  <c r="AB252" i="13"/>
  <c r="AB204" i="13" s="1"/>
  <c r="AB243" i="13"/>
  <c r="AB250" i="13"/>
  <c r="AB202" i="13" s="1"/>
  <c r="AB245" i="13"/>
  <c r="AB197" i="13" s="1"/>
  <c r="AB249" i="13"/>
  <c r="AB201" i="13" s="1"/>
  <c r="AB244" i="13"/>
  <c r="AB196" i="13" s="1"/>
  <c r="AB254" i="13"/>
  <c r="AB206" i="13" s="1"/>
  <c r="AB251" i="13"/>
  <c r="AB203" i="13" s="1"/>
  <c r="AB248" i="13"/>
  <c r="AB200" i="13" s="1"/>
  <c r="AB246" i="13"/>
  <c r="AB198" i="13" s="1"/>
  <c r="AB253" i="13"/>
  <c r="AB205" i="13" s="1"/>
  <c r="AB247" i="13"/>
  <c r="AB199" i="13" s="1"/>
  <c r="AA191" i="13"/>
  <c r="AA11" i="13" s="1"/>
  <c r="AA131" i="13"/>
  <c r="AP57" i="15"/>
  <c r="Y60" i="13"/>
  <c r="Y44" i="13" s="1"/>
  <c r="AL111" i="7"/>
  <c r="Y51" i="13"/>
  <c r="Y79" i="13"/>
  <c r="Y4" i="13" s="1"/>
  <c r="AQ3" i="7"/>
  <c r="AQ4" i="7" s="1"/>
  <c r="AQ69" i="7" s="1"/>
  <c r="AM191" i="15"/>
  <c r="AN207" i="15"/>
  <c r="AG356" i="15"/>
  <c r="AG52" i="15" s="1"/>
  <c r="AG40" i="15"/>
  <c r="AN324" i="15"/>
  <c r="CQ20" i="15"/>
  <c r="AN18" i="15"/>
  <c r="Y62" i="13"/>
  <c r="Y46" i="13" s="1"/>
  <c r="W109" i="21"/>
  <c r="AL68" i="15"/>
  <c r="AO324" i="15"/>
  <c r="AO18" i="15"/>
  <c r="AH352" i="15"/>
  <c r="AH48" i="15" s="1"/>
  <c r="AI368" i="15"/>
  <c r="AI352" i="15" s="1"/>
  <c r="AI48" i="15" s="1"/>
  <c r="AM322" i="15"/>
  <c r="AM290" i="15" s="1"/>
  <c r="AH371" i="15"/>
  <c r="AH355" i="15" s="1"/>
  <c r="AH51" i="15" s="1"/>
  <c r="AN205" i="15"/>
  <c r="AN189" i="15" s="1"/>
  <c r="AN184" i="15"/>
  <c r="AL89" i="7"/>
  <c r="X113" i="19"/>
  <c r="X117" i="19"/>
  <c r="X116" i="19"/>
  <c r="X114" i="19"/>
  <c r="X122" i="19"/>
  <c r="X120" i="19"/>
  <c r="X123" i="19"/>
  <c r="X121" i="19"/>
  <c r="X118" i="19"/>
  <c r="X119" i="19"/>
  <c r="X115" i="19"/>
  <c r="AO210" i="15"/>
  <c r="AO194" i="15" s="1"/>
  <c r="Y55" i="13"/>
  <c r="Y39" i="13" s="1"/>
  <c r="AM68" i="7"/>
  <c r="AM52" i="7" s="1"/>
  <c r="AN59" i="7"/>
  <c r="AN43" i="7" s="1"/>
  <c r="AN58" i="7"/>
  <c r="AN42" i="7" s="1"/>
  <c r="AN63" i="7"/>
  <c r="AN47" i="7" s="1"/>
  <c r="AN67" i="7"/>
  <c r="AN51" i="7" s="1"/>
  <c r="AN62" i="7"/>
  <c r="AN46" i="7" s="1"/>
  <c r="AN64" i="7"/>
  <c r="AN48" i="7" s="1"/>
  <c r="AN60" i="7"/>
  <c r="AN44" i="7" s="1"/>
  <c r="AN65" i="7"/>
  <c r="AN49" i="7" s="1"/>
  <c r="AN66" i="7"/>
  <c r="AN50" i="7" s="1"/>
  <c r="AN61" i="7"/>
  <c r="AN45" i="7" s="1"/>
  <c r="AN57" i="7"/>
  <c r="AN41" i="7" s="1"/>
  <c r="AM318" i="15"/>
  <c r="AM286" i="15" s="1"/>
  <c r="AP79" i="15"/>
  <c r="AP63" i="15" s="1"/>
  <c r="Y61" i="13"/>
  <c r="Y45" i="13" s="1"/>
  <c r="AM321" i="15"/>
  <c r="AM289" i="15" s="1"/>
  <c r="AJ98" i="7"/>
  <c r="AJ34" i="7" s="1"/>
  <c r="AL114" i="7"/>
  <c r="AL98" i="7" s="1"/>
  <c r="AL34" i="7" s="1"/>
  <c r="Y59" i="13"/>
  <c r="Y43" i="13" s="1"/>
  <c r="AK92" i="7"/>
  <c r="AK28" i="7" s="1"/>
  <c r="AL108" i="7"/>
  <c r="AL92" i="7" s="1"/>
  <c r="AL28" i="7" s="1"/>
  <c r="AO58" i="7"/>
  <c r="AO42" i="7" s="1"/>
  <c r="AN107" i="7"/>
  <c r="AN110" i="7"/>
  <c r="AN105" i="7"/>
  <c r="AM320" i="15"/>
  <c r="AM288" i="15" s="1"/>
  <c r="AJ372" i="15"/>
  <c r="AJ38" i="15"/>
  <c r="CM23" i="15"/>
  <c r="AK25" i="7"/>
  <c r="T432" i="3"/>
  <c r="T417" i="3"/>
  <c r="X30" i="19"/>
  <c r="X371" i="19"/>
  <c r="X31" i="6"/>
  <c r="AJ25" i="7"/>
  <c r="AN126" i="7"/>
  <c r="AN122" i="7"/>
  <c r="AN130" i="7"/>
  <c r="AN121" i="7"/>
  <c r="AN129" i="7"/>
  <c r="AM313" i="15"/>
  <c r="Y56" i="13"/>
  <c r="Y40" i="13" s="1"/>
  <c r="AE191" i="4" l="1"/>
  <c r="AE48" i="11"/>
  <c r="AE49" i="11" s="1"/>
  <c r="AF31" i="11"/>
  <c r="AF32" i="11" s="1"/>
  <c r="AF27" i="11" s="1"/>
  <c r="AF32" i="15"/>
  <c r="AE337" i="11"/>
  <c r="AF13" i="2"/>
  <c r="AF14" i="2" s="1"/>
  <c r="AG30" i="11"/>
  <c r="AG29" i="13"/>
  <c r="AF70" i="11"/>
  <c r="AF69" i="11"/>
  <c r="AF80" i="11" s="1"/>
  <c r="AF78" i="11"/>
  <c r="AF74" i="11"/>
  <c r="AF73" i="11"/>
  <c r="AF79" i="11"/>
  <c r="AF71" i="11"/>
  <c r="AF77" i="11"/>
  <c r="AF75" i="11"/>
  <c r="AF76" i="11"/>
  <c r="AF72" i="11"/>
  <c r="AE192" i="4"/>
  <c r="AO169" i="7"/>
  <c r="AP179" i="7"/>
  <c r="AL149" i="7"/>
  <c r="AO178" i="7"/>
  <c r="AN125" i="7"/>
  <c r="AL132" i="7"/>
  <c r="AL93" i="7"/>
  <c r="AL29" i="7" s="1"/>
  <c r="AK100" i="7"/>
  <c r="AK36" i="7" s="1"/>
  <c r="AM149" i="7"/>
  <c r="AN143" i="7"/>
  <c r="AO175" i="7"/>
  <c r="AM113" i="7"/>
  <c r="AM106" i="7"/>
  <c r="AO59" i="7"/>
  <c r="AO43" i="7" s="1"/>
  <c r="AL187" i="15"/>
  <c r="AM203" i="15"/>
  <c r="AL211" i="15"/>
  <c r="AL195" i="15" s="1"/>
  <c r="AK196" i="15"/>
  <c r="AQ179" i="7"/>
  <c r="AQ147" i="7" s="1"/>
  <c r="AP147" i="7"/>
  <c r="AN203" i="15"/>
  <c r="AN187" i="15" s="1"/>
  <c r="AN140" i="7"/>
  <c r="AN180" i="7"/>
  <c r="AN148" i="7" s="1"/>
  <c r="AO172" i="7"/>
  <c r="AO140" i="7" s="1"/>
  <c r="AN59" i="15"/>
  <c r="AP204" i="15"/>
  <c r="AP188" i="15" s="1"/>
  <c r="AO75" i="15"/>
  <c r="AO59" i="15" s="1"/>
  <c r="AM115" i="7"/>
  <c r="AM99" i="7" s="1"/>
  <c r="AM35" i="7" s="1"/>
  <c r="AN142" i="7"/>
  <c r="AO174" i="7"/>
  <c r="AO142" i="7" s="1"/>
  <c r="AO204" i="15"/>
  <c r="AO188" i="15" s="1"/>
  <c r="AN131" i="7"/>
  <c r="AO131" i="7" s="1"/>
  <c r="AO146" i="7"/>
  <c r="AP178" i="7"/>
  <c r="AN124" i="7"/>
  <c r="AO124" i="7" s="1"/>
  <c r="AM128" i="7"/>
  <c r="AM132" i="7" s="1"/>
  <c r="AM93" i="7"/>
  <c r="AM29" i="7" s="1"/>
  <c r="AO60" i="7"/>
  <c r="AO44" i="7" s="1"/>
  <c r="AO67" i="7"/>
  <c r="AO51" i="7" s="1"/>
  <c r="AO202" i="15"/>
  <c r="AO186" i="15" s="1"/>
  <c r="AN123" i="7"/>
  <c r="AN91" i="7" s="1"/>
  <c r="AN27" i="7" s="1"/>
  <c r="AO63" i="7"/>
  <c r="AO47" i="7" s="1"/>
  <c r="AL96" i="7"/>
  <c r="AL32" i="7" s="1"/>
  <c r="AN64" i="15"/>
  <c r="AO80" i="15"/>
  <c r="AO64" i="15" s="1"/>
  <c r="AO139" i="7"/>
  <c r="AO164" i="7"/>
  <c r="AN192" i="15"/>
  <c r="AO208" i="15"/>
  <c r="AO192" i="15" s="1"/>
  <c r="AP155" i="7"/>
  <c r="AQ155" i="7" s="1"/>
  <c r="AN83" i="15"/>
  <c r="AN67" i="15" s="1"/>
  <c r="AN127" i="7"/>
  <c r="AO127" i="7" s="1"/>
  <c r="AJ101" i="7"/>
  <c r="AN89" i="7"/>
  <c r="AN25" i="7" s="1"/>
  <c r="AO117" i="7"/>
  <c r="AP7" i="7"/>
  <c r="AO64" i="7"/>
  <c r="AO48" i="7" s="1"/>
  <c r="AN128" i="7"/>
  <c r="X117" i="21"/>
  <c r="X101" i="21" s="1"/>
  <c r="X101" i="19"/>
  <c r="U316" i="4"/>
  <c r="U331" i="4"/>
  <c r="AM108" i="7"/>
  <c r="AI371" i="15"/>
  <c r="AI355" i="15" s="1"/>
  <c r="AI51" i="15" s="1"/>
  <c r="AI40" i="15"/>
  <c r="AP58" i="7"/>
  <c r="AP42" i="7" s="1"/>
  <c r="AJ363" i="15"/>
  <c r="AJ347" i="15" s="1"/>
  <c r="AJ43" i="15" s="1"/>
  <c r="AJ370" i="15"/>
  <c r="AJ369" i="15"/>
  <c r="AJ353" i="15" s="1"/>
  <c r="AJ49" i="15" s="1"/>
  <c r="AJ361" i="15"/>
  <c r="AJ360" i="15"/>
  <c r="AJ362" i="15"/>
  <c r="AJ365" i="15"/>
  <c r="AJ366" i="15"/>
  <c r="AJ350" i="15" s="1"/>
  <c r="AJ46" i="15" s="1"/>
  <c r="AJ364" i="15"/>
  <c r="AJ348" i="15" s="1"/>
  <c r="AJ44" i="15" s="1"/>
  <c r="AJ368" i="15"/>
  <c r="AJ367" i="15"/>
  <c r="AJ351" i="15" s="1"/>
  <c r="AJ47" i="15" s="1"/>
  <c r="W424" i="3"/>
  <c r="W409" i="3"/>
  <c r="BS11" i="13"/>
  <c r="AA32" i="1"/>
  <c r="AA29" i="1" s="1"/>
  <c r="AA28" i="1" s="1"/>
  <c r="AA8" i="13"/>
  <c r="AC111" i="13"/>
  <c r="AC6" i="13" s="1"/>
  <c r="BU6" i="13" s="1"/>
  <c r="AP59" i="7"/>
  <c r="AP43" i="7" s="1"/>
  <c r="X120" i="21"/>
  <c r="X104" i="21" s="1"/>
  <c r="X104" i="19"/>
  <c r="Y63" i="13"/>
  <c r="Y64" i="13" s="1"/>
  <c r="Y35" i="13"/>
  <c r="Y47" i="13" s="1"/>
  <c r="X116" i="21"/>
  <c r="X100" i="21" s="1"/>
  <c r="X100" i="19"/>
  <c r="W310" i="4"/>
  <c r="W325" i="4"/>
  <c r="AN93" i="7"/>
  <c r="AN29" i="7" s="1"/>
  <c r="AP210" i="15"/>
  <c r="AP194" i="15" s="1"/>
  <c r="AO130" i="7"/>
  <c r="AO122" i="7"/>
  <c r="AO126" i="7"/>
  <c r="AO121" i="7"/>
  <c r="AO129" i="7"/>
  <c r="AO125" i="7"/>
  <c r="AB359" i="13"/>
  <c r="AB343" i="13" s="1"/>
  <c r="AB327" i="13" s="1"/>
  <c r="AB357" i="13"/>
  <c r="AB341" i="13" s="1"/>
  <c r="AB325" i="13" s="1"/>
  <c r="AB360" i="13"/>
  <c r="AB344" i="13" s="1"/>
  <c r="AB328" i="13" s="1"/>
  <c r="AB362" i="13"/>
  <c r="AB346" i="13" s="1"/>
  <c r="AB330" i="13" s="1"/>
  <c r="AB363" i="13"/>
  <c r="AB347" i="13" s="1"/>
  <c r="AB331" i="13" s="1"/>
  <c r="AB365" i="13"/>
  <c r="AB349" i="13" s="1"/>
  <c r="AB333" i="13" s="1"/>
  <c r="AB364" i="13"/>
  <c r="AB348" i="13" s="1"/>
  <c r="AB332" i="13" s="1"/>
  <c r="AB366" i="13"/>
  <c r="AB350" i="13" s="1"/>
  <c r="AB334" i="13" s="1"/>
  <c r="AB358" i="13"/>
  <c r="AB342" i="13" s="1"/>
  <c r="AB326" i="13" s="1"/>
  <c r="AB361" i="13"/>
  <c r="AB345" i="13" s="1"/>
  <c r="AB329" i="13" s="1"/>
  <c r="AB356" i="13"/>
  <c r="AB340" i="13" s="1"/>
  <c r="AB324" i="13" s="1"/>
  <c r="AB355" i="13"/>
  <c r="AN191" i="15"/>
  <c r="AO207" i="15"/>
  <c r="BS21" i="13"/>
  <c r="AA20" i="13"/>
  <c r="BS20" i="13" s="1"/>
  <c r="AO205" i="15"/>
  <c r="AO189" i="15" s="1"/>
  <c r="AL95" i="7"/>
  <c r="AL31" i="7" s="1"/>
  <c r="AM111" i="7"/>
  <c r="AN111" i="7" s="1"/>
  <c r="AN320" i="15"/>
  <c r="AN288" i="15" s="1"/>
  <c r="AN314" i="15"/>
  <c r="AN282" i="15" s="1"/>
  <c r="AN322" i="15"/>
  <c r="AN290" i="15" s="1"/>
  <c r="AN313" i="15"/>
  <c r="AN281" i="15" s="1"/>
  <c r="AN321" i="15"/>
  <c r="AN289" i="15" s="1"/>
  <c r="AN317" i="15"/>
  <c r="AN285" i="15" s="1"/>
  <c r="AN316" i="15"/>
  <c r="AN284" i="15" s="1"/>
  <c r="AN315" i="15"/>
  <c r="AN283" i="15" s="1"/>
  <c r="AN318" i="15"/>
  <c r="AN286" i="15" s="1"/>
  <c r="AN319" i="15"/>
  <c r="AN287" i="15" s="1"/>
  <c r="AN312" i="15"/>
  <c r="AN280" i="15" s="1"/>
  <c r="AB255" i="13"/>
  <c r="AB15" i="13" s="1"/>
  <c r="AB195" i="13"/>
  <c r="AB207" i="13" s="1"/>
  <c r="AM281" i="15"/>
  <c r="AM323" i="15"/>
  <c r="AM291" i="15" s="1"/>
  <c r="T418" i="3"/>
  <c r="T433" i="3"/>
  <c r="V427" i="3"/>
  <c r="V412" i="3"/>
  <c r="AM114" i="7"/>
  <c r="AM98" i="7" s="1"/>
  <c r="AM34" i="7" s="1"/>
  <c r="AK364" i="15"/>
  <c r="AK348" i="15" s="1"/>
  <c r="AK44" i="15" s="1"/>
  <c r="X373" i="19"/>
  <c r="X372" i="19"/>
  <c r="X377" i="19"/>
  <c r="AP64" i="7"/>
  <c r="AP48" i="7" s="1"/>
  <c r="AL116" i="7"/>
  <c r="AH356" i="15"/>
  <c r="AH52" i="15" s="1"/>
  <c r="X122" i="21"/>
  <c r="X106" i="21" s="1"/>
  <c r="X106" i="19"/>
  <c r="X113" i="21"/>
  <c r="X97" i="19"/>
  <c r="AN17" i="15"/>
  <c r="CQ18" i="15"/>
  <c r="AP20" i="15"/>
  <c r="AQ20" i="15"/>
  <c r="AN94" i="7"/>
  <c r="AN30" i="7" s="1"/>
  <c r="AK37" i="7"/>
  <c r="AO62" i="7"/>
  <c r="AM112" i="7"/>
  <c r="AN112" i="7" s="1"/>
  <c r="X119" i="21"/>
  <c r="X103" i="21" s="1"/>
  <c r="X103" i="19"/>
  <c r="AL25" i="7"/>
  <c r="AO17" i="15"/>
  <c r="AN185" i="15"/>
  <c r="AO201" i="15"/>
  <c r="AN193" i="15"/>
  <c r="AO209" i="15"/>
  <c r="AO193" i="15" s="1"/>
  <c r="AK101" i="7"/>
  <c r="AO66" i="7"/>
  <c r="AO50" i="7" s="1"/>
  <c r="X124" i="19"/>
  <c r="U430" i="3"/>
  <c r="U415" i="3"/>
  <c r="T334" i="4"/>
  <c r="T319" i="4"/>
  <c r="Y7" i="19"/>
  <c r="AN68" i="7"/>
  <c r="AN52" i="7" s="1"/>
  <c r="AN53" i="7" s="1"/>
  <c r="AL372" i="15"/>
  <c r="AL38" i="15"/>
  <c r="X115" i="21"/>
  <c r="X99" i="21" s="1"/>
  <c r="X99" i="19"/>
  <c r="X118" i="21"/>
  <c r="X102" i="21" s="1"/>
  <c r="X102" i="19"/>
  <c r="V328" i="4"/>
  <c r="V313" i="4"/>
  <c r="AM53" i="7"/>
  <c r="Y3" i="13"/>
  <c r="BQ4" i="13"/>
  <c r="Y26" i="1"/>
  <c r="Y25" i="1" s="1"/>
  <c r="CO22" i="15"/>
  <c r="AM23" i="15"/>
  <c r="X114" i="21"/>
  <c r="X98" i="21" s="1"/>
  <c r="X98" i="19"/>
  <c r="AA143" i="13"/>
  <c r="AA115" i="13"/>
  <c r="AA127" i="13" s="1"/>
  <c r="AO61" i="7"/>
  <c r="AO45" i="7" s="1"/>
  <c r="X105" i="19"/>
  <c r="X121" i="21"/>
  <c r="X105" i="21" s="1"/>
  <c r="AO57" i="7"/>
  <c r="AP57" i="7" s="1"/>
  <c r="AJ37" i="7"/>
  <c r="AO65" i="7"/>
  <c r="X123" i="21"/>
  <c r="X107" i="21" s="1"/>
  <c r="X107" i="19"/>
  <c r="AF64" i="11" l="1"/>
  <c r="AF54" i="11"/>
  <c r="AF57" i="11"/>
  <c r="AF15" i="2"/>
  <c r="AF53" i="11"/>
  <c r="AF58" i="11"/>
  <c r="AF56" i="11"/>
  <c r="AF31" i="13"/>
  <c r="AF33" i="11"/>
  <c r="AF34" i="11" s="1"/>
  <c r="AF60" i="11"/>
  <c r="AF22" i="11"/>
  <c r="AF63" i="11"/>
  <c r="AF59" i="11"/>
  <c r="AF61" i="11"/>
  <c r="AF62" i="11"/>
  <c r="AF55" i="11"/>
  <c r="AP61" i="7"/>
  <c r="AP45" i="7" s="1"/>
  <c r="AO137" i="7"/>
  <c r="AP169" i="7"/>
  <c r="AN149" i="7"/>
  <c r="AK363" i="15"/>
  <c r="AK347" i="15" s="1"/>
  <c r="AK43" i="15" s="1"/>
  <c r="AL100" i="7"/>
  <c r="AL36" i="7" s="1"/>
  <c r="AN68" i="15"/>
  <c r="AN132" i="7"/>
  <c r="AP60" i="7"/>
  <c r="AP44" i="7" s="1"/>
  <c r="AP66" i="7"/>
  <c r="AP50" i="7" s="1"/>
  <c r="AM90" i="7"/>
  <c r="AM26" i="7" s="1"/>
  <c r="AN106" i="7"/>
  <c r="AN90" i="7" s="1"/>
  <c r="AN26" i="7" s="1"/>
  <c r="AN113" i="7"/>
  <c r="AN97" i="7" s="1"/>
  <c r="AN33" i="7" s="1"/>
  <c r="AM97" i="7"/>
  <c r="AM33" i="7" s="1"/>
  <c r="AO143" i="7"/>
  <c r="AP175" i="7"/>
  <c r="AN115" i="7"/>
  <c r="AO115" i="7" s="1"/>
  <c r="AO99" i="7" s="1"/>
  <c r="AO35" i="7" s="1"/>
  <c r="AN95" i="7"/>
  <c r="AN31" i="7" s="1"/>
  <c r="AO111" i="7"/>
  <c r="AO95" i="7" s="1"/>
  <c r="AP80" i="15"/>
  <c r="AP64" i="15" s="1"/>
  <c r="AO123" i="7"/>
  <c r="AI356" i="15"/>
  <c r="AI52" i="15" s="1"/>
  <c r="AO320" i="15"/>
  <c r="AO288" i="15" s="1"/>
  <c r="AN211" i="15"/>
  <c r="AN195" i="15" s="1"/>
  <c r="AN196" i="15" s="1"/>
  <c r="AO319" i="15"/>
  <c r="AO287" i="15" s="1"/>
  <c r="AO312" i="15"/>
  <c r="AO280" i="15" s="1"/>
  <c r="AM187" i="15"/>
  <c r="AM211" i="15"/>
  <c r="AM195" i="15" s="1"/>
  <c r="AO203" i="15"/>
  <c r="AO187" i="15" s="1"/>
  <c r="AP75" i="15"/>
  <c r="AP59" i="15" s="1"/>
  <c r="AO180" i="7"/>
  <c r="AO148" i="7" s="1"/>
  <c r="AL196" i="15"/>
  <c r="AP172" i="7"/>
  <c r="AK369" i="15"/>
  <c r="AK353" i="15" s="1"/>
  <c r="AK49" i="15" s="1"/>
  <c r="AN114" i="7"/>
  <c r="AN98" i="7" s="1"/>
  <c r="AN34" i="7" s="1"/>
  <c r="AP174" i="7"/>
  <c r="AP142" i="7" s="1"/>
  <c r="AO107" i="7"/>
  <c r="AO109" i="7"/>
  <c r="AO93" i="7" s="1"/>
  <c r="AO29" i="7" s="1"/>
  <c r="AO110" i="7"/>
  <c r="AO94" i="7" s="1"/>
  <c r="AO105" i="7"/>
  <c r="AO89" i="7" s="1"/>
  <c r="AP67" i="7"/>
  <c r="AP51" i="7" s="1"/>
  <c r="AN96" i="7"/>
  <c r="AN32" i="7" s="1"/>
  <c r="AQ164" i="7"/>
  <c r="AQ139" i="7"/>
  <c r="AJ371" i="15"/>
  <c r="AJ355" i="15" s="1"/>
  <c r="AJ51" i="15" s="1"/>
  <c r="AP63" i="7"/>
  <c r="AP117" i="7"/>
  <c r="AQ7" i="7"/>
  <c r="AP8" i="7"/>
  <c r="AP133" i="7" s="1"/>
  <c r="AQ58" i="7"/>
  <c r="AQ42" i="7" s="1"/>
  <c r="AO112" i="7"/>
  <c r="AQ178" i="7"/>
  <c r="AQ146" i="7" s="1"/>
  <c r="AP146" i="7"/>
  <c r="AP139" i="7"/>
  <c r="AP164" i="7"/>
  <c r="AP202" i="15"/>
  <c r="AP186" i="15" s="1"/>
  <c r="AO128" i="7"/>
  <c r="AP208" i="15"/>
  <c r="AP192" i="15" s="1"/>
  <c r="AO83" i="15"/>
  <c r="AO67" i="15" s="1"/>
  <c r="AO68" i="15" s="1"/>
  <c r="AP205" i="15"/>
  <c r="AP189" i="15" s="1"/>
  <c r="AO46" i="7"/>
  <c r="AO30" i="7" s="1"/>
  <c r="AP62" i="7"/>
  <c r="AP46" i="7" s="1"/>
  <c r="AJ345" i="15"/>
  <c r="AJ41" i="15" s="1"/>
  <c r="AK361" i="15"/>
  <c r="AK345" i="15" s="1"/>
  <c r="AK41" i="15" s="1"/>
  <c r="AO41" i="7"/>
  <c r="AO68" i="7"/>
  <c r="AO52" i="7" s="1"/>
  <c r="X297" i="4"/>
  <c r="X396" i="3"/>
  <c r="CQ17" i="15"/>
  <c r="AN37" i="15"/>
  <c r="AN22" i="15"/>
  <c r="AN323" i="15"/>
  <c r="AN291" i="15" s="1"/>
  <c r="AN292" i="15" s="1"/>
  <c r="AD101" i="13"/>
  <c r="AD106" i="13"/>
  <c r="AD104" i="13"/>
  <c r="AD107" i="13"/>
  <c r="AD99" i="13"/>
  <c r="AD110" i="13"/>
  <c r="AD105" i="13"/>
  <c r="AD102" i="13"/>
  <c r="AD109" i="13"/>
  <c r="AD103" i="13"/>
  <c r="AD108" i="13"/>
  <c r="AD100" i="13"/>
  <c r="AP41" i="7"/>
  <c r="AO314" i="15"/>
  <c r="AO282" i="15" s="1"/>
  <c r="X399" i="3"/>
  <c r="X300" i="4"/>
  <c r="AK367" i="15"/>
  <c r="AK351" i="15" s="1"/>
  <c r="AK47" i="15" s="1"/>
  <c r="X296" i="4"/>
  <c r="X395" i="3"/>
  <c r="V428" i="3"/>
  <c r="V413" i="3"/>
  <c r="AO317" i="15"/>
  <c r="AO285" i="15" s="1"/>
  <c r="X401" i="3"/>
  <c r="X302" i="4"/>
  <c r="AO315" i="15"/>
  <c r="AO283" i="15" s="1"/>
  <c r="AQ57" i="7"/>
  <c r="Y125" i="19"/>
  <c r="Y31" i="19"/>
  <c r="Y6" i="19"/>
  <c r="AO316" i="15"/>
  <c r="AO284" i="15" s="1"/>
  <c r="AM92" i="7"/>
  <c r="AM116" i="7"/>
  <c r="AM100" i="7" s="1"/>
  <c r="AM36" i="7" s="1"/>
  <c r="AQ60" i="7"/>
  <c r="AQ44" i="7" s="1"/>
  <c r="X124" i="21"/>
  <c r="X108" i="21" s="1"/>
  <c r="X108" i="19"/>
  <c r="AO49" i="7"/>
  <c r="AP65" i="7"/>
  <c r="AP49" i="7" s="1"/>
  <c r="AO37" i="15"/>
  <c r="AO22" i="15"/>
  <c r="AO23" i="15" s="1"/>
  <c r="AM95" i="7"/>
  <c r="AM31" i="7" s="1"/>
  <c r="BS8" i="13"/>
  <c r="AA7" i="13"/>
  <c r="BS7" i="13" s="1"/>
  <c r="AJ354" i="15"/>
  <c r="AJ50" i="15" s="1"/>
  <c r="AK370" i="15"/>
  <c r="AK354" i="15" s="1"/>
  <c r="AK50" i="15" s="1"/>
  <c r="T320" i="4"/>
  <c r="T336" i="4" s="1"/>
  <c r="T335" i="4"/>
  <c r="U431" i="3"/>
  <c r="U416" i="3"/>
  <c r="AM372" i="15"/>
  <c r="AM38" i="15"/>
  <c r="CO23" i="15"/>
  <c r="X294" i="4"/>
  <c r="X393" i="3"/>
  <c r="AN108" i="7"/>
  <c r="AL37" i="7"/>
  <c r="T419" i="3"/>
  <c r="T435" i="3" s="1"/>
  <c r="T434" i="3"/>
  <c r="X97" i="21"/>
  <c r="X375" i="19"/>
  <c r="X374" i="19"/>
  <c r="X392" i="3"/>
  <c r="X293" i="4"/>
  <c r="AO191" i="15"/>
  <c r="AP207" i="15"/>
  <c r="AP191" i="15" s="1"/>
  <c r="W311" i="4"/>
  <c r="W326" i="4"/>
  <c r="AB189" i="13"/>
  <c r="AB141" i="13" s="1"/>
  <c r="AB125" i="13" s="1"/>
  <c r="AB188" i="13"/>
  <c r="AB140" i="13" s="1"/>
  <c r="AB124" i="13" s="1"/>
  <c r="AB187" i="13"/>
  <c r="AB139" i="13" s="1"/>
  <c r="AB123" i="13" s="1"/>
  <c r="AB183" i="13"/>
  <c r="AB135" i="13" s="1"/>
  <c r="AB119" i="13" s="1"/>
  <c r="AB181" i="13"/>
  <c r="AB133" i="13" s="1"/>
  <c r="AB117" i="13" s="1"/>
  <c r="AB185" i="13"/>
  <c r="AB137" i="13" s="1"/>
  <c r="AB121" i="13" s="1"/>
  <c r="AB182" i="13"/>
  <c r="AB134" i="13" s="1"/>
  <c r="AB118" i="13" s="1"/>
  <c r="AB190" i="13"/>
  <c r="AB142" i="13" s="1"/>
  <c r="AB126" i="13" s="1"/>
  <c r="AB179" i="13"/>
  <c r="AB180" i="13"/>
  <c r="AB132" i="13" s="1"/>
  <c r="AB116" i="13" s="1"/>
  <c r="AB184" i="13"/>
  <c r="AB136" i="13" s="1"/>
  <c r="AB120" i="13" s="1"/>
  <c r="AB186" i="13"/>
  <c r="AB138" i="13" s="1"/>
  <c r="AB122" i="13" s="1"/>
  <c r="AP324" i="15"/>
  <c r="AP18" i="15"/>
  <c r="CS20" i="15"/>
  <c r="U317" i="4"/>
  <c r="U332" i="4"/>
  <c r="AM292" i="15"/>
  <c r="X394" i="3"/>
  <c r="X295" i="4"/>
  <c r="AO321" i="15"/>
  <c r="AO289" i="15" s="1"/>
  <c r="AJ349" i="15"/>
  <c r="AJ45" i="15" s="1"/>
  <c r="AK365" i="15"/>
  <c r="AK349" i="15" s="1"/>
  <c r="AK45" i="15" s="1"/>
  <c r="AO313" i="15"/>
  <c r="AO281" i="15" s="1"/>
  <c r="AQ59" i="7"/>
  <c r="AQ43" i="7" s="1"/>
  <c r="AL361" i="15"/>
  <c r="AL345" i="15" s="1"/>
  <c r="AL41" i="15" s="1"/>
  <c r="AL363" i="15"/>
  <c r="AL347" i="15" s="1"/>
  <c r="AL43" i="15" s="1"/>
  <c r="AL364" i="15"/>
  <c r="AL348" i="15" s="1"/>
  <c r="AL44" i="15" s="1"/>
  <c r="AP209" i="15"/>
  <c r="AP193" i="15" s="1"/>
  <c r="X301" i="4"/>
  <c r="X400" i="3"/>
  <c r="AO114" i="7"/>
  <c r="AO98" i="7" s="1"/>
  <c r="AO34" i="7" s="1"/>
  <c r="V329" i="4"/>
  <c r="V314" i="4"/>
  <c r="AO318" i="15"/>
  <c r="AO286" i="15" s="1"/>
  <c r="AJ346" i="15"/>
  <c r="AJ42" i="15" s="1"/>
  <c r="AK362" i="15"/>
  <c r="AK346" i="15" s="1"/>
  <c r="AK42" i="15" s="1"/>
  <c r="X292" i="4"/>
  <c r="X391" i="3"/>
  <c r="X298" i="4"/>
  <c r="X397" i="3"/>
  <c r="AQ64" i="7"/>
  <c r="AQ48" i="7" s="1"/>
  <c r="AO185" i="15"/>
  <c r="AO211" i="15"/>
  <c r="AO195" i="15" s="1"/>
  <c r="AP201" i="15"/>
  <c r="AM96" i="7"/>
  <c r="AM32" i="7" s="1"/>
  <c r="BT15" i="13"/>
  <c r="AB12" i="13"/>
  <c r="BT12" i="13" s="1"/>
  <c r="AB367" i="13"/>
  <c r="AB22" i="13" s="1"/>
  <c r="AB339" i="13"/>
  <c r="W425" i="3"/>
  <c r="W410" i="3"/>
  <c r="AJ352" i="15"/>
  <c r="AJ48" i="15" s="1"/>
  <c r="AK368" i="15"/>
  <c r="AK352" i="15" s="1"/>
  <c r="AK48" i="15" s="1"/>
  <c r="X398" i="3"/>
  <c r="X299" i="4"/>
  <c r="AJ344" i="15"/>
  <c r="AK360" i="15"/>
  <c r="AO322" i="15"/>
  <c r="AO290" i="15" s="1"/>
  <c r="AQ61" i="7"/>
  <c r="AQ45" i="7" s="1"/>
  <c r="AK366" i="15"/>
  <c r="AK350" i="15" s="1"/>
  <c r="AK46" i="15" s="1"/>
  <c r="Z76" i="13"/>
  <c r="Z78" i="13"/>
  <c r="Z77" i="13"/>
  <c r="Z70" i="13"/>
  <c r="Z68" i="13"/>
  <c r="Z67" i="13"/>
  <c r="Z72" i="13"/>
  <c r="Z69" i="13"/>
  <c r="Z74" i="13"/>
  <c r="Z73" i="13"/>
  <c r="Z71" i="13"/>
  <c r="Z75" i="13"/>
  <c r="BQ3" i="13"/>
  <c r="Y27" i="13"/>
  <c r="AF353" i="11" l="1"/>
  <c r="AF24" i="11"/>
  <c r="AF385" i="11" s="1"/>
  <c r="AF21" i="11"/>
  <c r="AF20" i="11" s="1"/>
  <c r="AF65" i="11"/>
  <c r="AO106" i="7"/>
  <c r="AO90" i="7" s="1"/>
  <c r="AO26" i="7" s="1"/>
  <c r="AQ169" i="7"/>
  <c r="AQ137" i="7" s="1"/>
  <c r="AP137" i="7"/>
  <c r="AO113" i="7"/>
  <c r="AO97" i="7" s="1"/>
  <c r="AO33" i="7" s="1"/>
  <c r="AL101" i="7"/>
  <c r="AO96" i="7"/>
  <c r="AO32" i="7" s="1"/>
  <c r="AL369" i="15"/>
  <c r="AL353" i="15" s="1"/>
  <c r="AL49" i="15" s="1"/>
  <c r="AO31" i="7"/>
  <c r="AO149" i="7"/>
  <c r="AN99" i="7"/>
  <c r="AN35" i="7" s="1"/>
  <c r="AO91" i="7"/>
  <c r="AO27" i="7" s="1"/>
  <c r="AQ66" i="7"/>
  <c r="AQ50" i="7" s="1"/>
  <c r="AO132" i="7"/>
  <c r="AQ175" i="7"/>
  <c r="AQ143" i="7" s="1"/>
  <c r="AP143" i="7"/>
  <c r="AM196" i="15"/>
  <c r="AQ174" i="7"/>
  <c r="AQ142" i="7" s="1"/>
  <c r="AQ172" i="7"/>
  <c r="AP140" i="7"/>
  <c r="AP180" i="7"/>
  <c r="AP148" i="7" s="1"/>
  <c r="AP203" i="15"/>
  <c r="AP187" i="15" s="1"/>
  <c r="AP83" i="15"/>
  <c r="AP67" i="15" s="1"/>
  <c r="AP68" i="15" s="1"/>
  <c r="AP129" i="7"/>
  <c r="AP123" i="7"/>
  <c r="AP122" i="7"/>
  <c r="AP121" i="7"/>
  <c r="AP126" i="7"/>
  <c r="AP128" i="7"/>
  <c r="AP125" i="7"/>
  <c r="AP130" i="7"/>
  <c r="AO323" i="15"/>
  <c r="AO291" i="15" s="1"/>
  <c r="AO292" i="15" s="1"/>
  <c r="AP107" i="7"/>
  <c r="AP91" i="7" s="1"/>
  <c r="AP27" i="7" s="1"/>
  <c r="AP110" i="7"/>
  <c r="AP94" i="7" s="1"/>
  <c r="AP30" i="7" s="1"/>
  <c r="AP109" i="7"/>
  <c r="AP106" i="7"/>
  <c r="AP105" i="7"/>
  <c r="AP115" i="7"/>
  <c r="AP68" i="7"/>
  <c r="AP52" i="7" s="1"/>
  <c r="AQ62" i="7"/>
  <c r="AQ46" i="7" s="1"/>
  <c r="AP114" i="7"/>
  <c r="AP111" i="7"/>
  <c r="AQ67" i="7"/>
  <c r="AQ51" i="7" s="1"/>
  <c r="AQ117" i="7"/>
  <c r="AQ8" i="7"/>
  <c r="AQ133" i="7" s="1"/>
  <c r="AQ65" i="7"/>
  <c r="AQ49" i="7" s="1"/>
  <c r="AP47" i="7"/>
  <c r="AQ63" i="7"/>
  <c r="AQ47" i="7" s="1"/>
  <c r="AP131" i="7"/>
  <c r="AP124" i="7"/>
  <c r="AP127" i="7"/>
  <c r="AL366" i="15"/>
  <c r="AL350" i="15" s="1"/>
  <c r="AL46" i="15" s="1"/>
  <c r="AP112" i="7"/>
  <c r="AL367" i="15"/>
  <c r="AL351" i="15" s="1"/>
  <c r="AL47" i="15" s="1"/>
  <c r="Y32" i="13"/>
  <c r="BQ27" i="13"/>
  <c r="Y3" i="2"/>
  <c r="AM363" i="15"/>
  <c r="AM347" i="15" s="1"/>
  <c r="AM43" i="15" s="1"/>
  <c r="AM361" i="15"/>
  <c r="AM345" i="15" s="1"/>
  <c r="AM41" i="15" s="1"/>
  <c r="AM364" i="15"/>
  <c r="AM348" i="15" s="1"/>
  <c r="AM44" i="15" s="1"/>
  <c r="AK344" i="15"/>
  <c r="AK371" i="15"/>
  <c r="AK355" i="15" s="1"/>
  <c r="AK51" i="15" s="1"/>
  <c r="AJ356" i="15"/>
  <c r="AJ52" i="15" s="1"/>
  <c r="AJ40" i="15"/>
  <c r="AL360" i="15"/>
  <c r="AM360" i="15" s="1"/>
  <c r="AO372" i="15"/>
  <c r="AO38" i="15"/>
  <c r="AL368" i="15"/>
  <c r="AL352" i="15" s="1"/>
  <c r="AL48" i="15" s="1"/>
  <c r="U333" i="4"/>
  <c r="U318" i="4"/>
  <c r="Z62" i="13"/>
  <c r="Z46" i="13" s="1"/>
  <c r="AO196" i="15"/>
  <c r="Z60" i="13"/>
  <c r="Z44" i="13" s="1"/>
  <c r="Y371" i="19"/>
  <c r="Y30" i="19"/>
  <c r="Y31" i="6"/>
  <c r="AO53" i="7"/>
  <c r="AO25" i="7"/>
  <c r="X109" i="21"/>
  <c r="AP185" i="15"/>
  <c r="AM101" i="7"/>
  <c r="AM28" i="7"/>
  <c r="Z59" i="13"/>
  <c r="Z43" i="13" s="1"/>
  <c r="Z52" i="13"/>
  <c r="Z36" i="13" s="1"/>
  <c r="V315" i="4"/>
  <c r="V330" i="4"/>
  <c r="Y122" i="19"/>
  <c r="Y117" i="19"/>
  <c r="Y124" i="19" s="1"/>
  <c r="Y116" i="19"/>
  <c r="Y114" i="19"/>
  <c r="Y123" i="19"/>
  <c r="Y113" i="19"/>
  <c r="Y120" i="19"/>
  <c r="Y115" i="19"/>
  <c r="Y118" i="19"/>
  <c r="Y119" i="19"/>
  <c r="Y121" i="19"/>
  <c r="AD111" i="13"/>
  <c r="AD6" i="13" s="1"/>
  <c r="BV6" i="13" s="1"/>
  <c r="U432" i="3"/>
  <c r="U417" i="3"/>
  <c r="Z55" i="13"/>
  <c r="Z39" i="13" s="1"/>
  <c r="AL370" i="15"/>
  <c r="AL354" i="15" s="1"/>
  <c r="AL50" i="15" s="1"/>
  <c r="AQ41" i="7"/>
  <c r="V429" i="3"/>
  <c r="V414" i="3"/>
  <c r="AL365" i="15"/>
  <c r="AL349" i="15" s="1"/>
  <c r="AL45" i="15" s="1"/>
  <c r="X303" i="4"/>
  <c r="X402" i="3"/>
  <c r="Z51" i="13"/>
  <c r="Z79" i="13"/>
  <c r="Z4" i="13" s="1"/>
  <c r="W426" i="3"/>
  <c r="W411" i="3"/>
  <c r="AP17" i="15"/>
  <c r="CS18" i="15"/>
  <c r="AV20" i="15"/>
  <c r="CY20" i="15" s="1"/>
  <c r="AR20" i="15"/>
  <c r="CU20" i="15" s="1"/>
  <c r="AS20" i="15"/>
  <c r="AT20" i="15"/>
  <c r="AU20" i="15"/>
  <c r="CW20" i="15" s="1"/>
  <c r="AP315" i="15"/>
  <c r="AP283" i="15" s="1"/>
  <c r="AP314" i="15"/>
  <c r="AP282" i="15" s="1"/>
  <c r="AP322" i="15"/>
  <c r="AP290" i="15" s="1"/>
  <c r="AP313" i="15"/>
  <c r="AP281" i="15" s="1"/>
  <c r="AP321" i="15"/>
  <c r="AP289" i="15" s="1"/>
  <c r="AP320" i="15"/>
  <c r="AP288" i="15" s="1"/>
  <c r="AP319" i="15"/>
  <c r="AP287" i="15" s="1"/>
  <c r="AP317" i="15"/>
  <c r="AP285" i="15" s="1"/>
  <c r="AP318" i="15"/>
  <c r="AP286" i="15" s="1"/>
  <c r="AP312" i="15"/>
  <c r="AP280" i="15" s="1"/>
  <c r="AP316" i="15"/>
  <c r="AP284" i="15" s="1"/>
  <c r="CQ22" i="15"/>
  <c r="AN23" i="15"/>
  <c r="Z57" i="13"/>
  <c r="Z41" i="13" s="1"/>
  <c r="AL362" i="15"/>
  <c r="AL346" i="15" s="1"/>
  <c r="AL42" i="15" s="1"/>
  <c r="Z54" i="13"/>
  <c r="Z38" i="13" s="1"/>
  <c r="AB351" i="13"/>
  <c r="AB323" i="13"/>
  <c r="AB335" i="13" s="1"/>
  <c r="Z53" i="13"/>
  <c r="Z37" i="13" s="1"/>
  <c r="X309" i="4"/>
  <c r="AB191" i="13"/>
  <c r="AB11" i="13" s="1"/>
  <c r="AB131" i="13"/>
  <c r="Z58" i="13"/>
  <c r="Z42" i="13" s="1"/>
  <c r="BT22" i="13"/>
  <c r="AB21" i="13"/>
  <c r="X408" i="3"/>
  <c r="Z56" i="13"/>
  <c r="Z40" i="13" s="1"/>
  <c r="Z61" i="13"/>
  <c r="Z45" i="13" s="1"/>
  <c r="AC245" i="13"/>
  <c r="AC197" i="13" s="1"/>
  <c r="AC254" i="13"/>
  <c r="AC206" i="13" s="1"/>
  <c r="AC244" i="13"/>
  <c r="AC196" i="13" s="1"/>
  <c r="AC252" i="13"/>
  <c r="AC204" i="13" s="1"/>
  <c r="AC250" i="13"/>
  <c r="AC202" i="13" s="1"/>
  <c r="AC246" i="13"/>
  <c r="AC198" i="13" s="1"/>
  <c r="AC253" i="13"/>
  <c r="AC205" i="13" s="1"/>
  <c r="AC249" i="13"/>
  <c r="AC201" i="13" s="1"/>
  <c r="AC251" i="13"/>
  <c r="AC203" i="13" s="1"/>
  <c r="AC248" i="13"/>
  <c r="AC200" i="13" s="1"/>
  <c r="AC247" i="13"/>
  <c r="AC199" i="13" s="1"/>
  <c r="AC243" i="13"/>
  <c r="W312" i="4"/>
  <c r="W327" i="4"/>
  <c r="AN92" i="7"/>
  <c r="AN116" i="7"/>
  <c r="AN100" i="7" s="1"/>
  <c r="AN36" i="7" s="1"/>
  <c r="AO108" i="7"/>
  <c r="X109" i="19"/>
  <c r="X125" i="21"/>
  <c r="X7" i="21" s="1"/>
  <c r="X6" i="21" s="1"/>
  <c r="AF378" i="11" l="1"/>
  <c r="AF383" i="11"/>
  <c r="AF379" i="11"/>
  <c r="AF374" i="11"/>
  <c r="AF377" i="11"/>
  <c r="AF381" i="11"/>
  <c r="AF380" i="11"/>
  <c r="AF375" i="11"/>
  <c r="AF382" i="11"/>
  <c r="AF373" i="11"/>
  <c r="AF384" i="11" s="1"/>
  <c r="AF376" i="11"/>
  <c r="AF344" i="11"/>
  <c r="AF350" i="11"/>
  <c r="AF348" i="11"/>
  <c r="AF342" i="11"/>
  <c r="AF346" i="11"/>
  <c r="AF349" i="11"/>
  <c r="AF347" i="11"/>
  <c r="AF351" i="11"/>
  <c r="AF345" i="11"/>
  <c r="AF341" i="11"/>
  <c r="AF343" i="11"/>
  <c r="AP113" i="7"/>
  <c r="AP53" i="7"/>
  <c r="AQ114" i="7"/>
  <c r="AM369" i="15"/>
  <c r="AM353" i="15" s="1"/>
  <c r="AM49" i="15" s="1"/>
  <c r="AP211" i="15"/>
  <c r="AP195" i="15" s="1"/>
  <c r="AQ111" i="7"/>
  <c r="AP132" i="7"/>
  <c r="AP97" i="7"/>
  <c r="AP33" i="7" s="1"/>
  <c r="AP149" i="7"/>
  <c r="AP99" i="7"/>
  <c r="AP35" i="7" s="1"/>
  <c r="AQ140" i="7"/>
  <c r="AQ180" i="7"/>
  <c r="AQ148" i="7" s="1"/>
  <c r="AQ149" i="7" s="1"/>
  <c r="AM365" i="15"/>
  <c r="AM349" i="15" s="1"/>
  <c r="AM45" i="15" s="1"/>
  <c r="AP89" i="7"/>
  <c r="AP25" i="7" s="1"/>
  <c r="AP96" i="7"/>
  <c r="AP32" i="7" s="1"/>
  <c r="AP90" i="7"/>
  <c r="AP26" i="7" s="1"/>
  <c r="X403" i="3"/>
  <c r="AP93" i="7"/>
  <c r="AP29" i="7" s="1"/>
  <c r="AM367" i="15"/>
  <c r="AM351" i="15" s="1"/>
  <c r="AM47" i="15" s="1"/>
  <c r="AQ131" i="7"/>
  <c r="AQ123" i="7"/>
  <c r="AQ130" i="7"/>
  <c r="AQ122" i="7"/>
  <c r="AQ128" i="7"/>
  <c r="AQ121" i="7"/>
  <c r="AQ125" i="7"/>
  <c r="AQ127" i="7"/>
  <c r="AQ95" i="7" s="1"/>
  <c r="AQ31" i="7" s="1"/>
  <c r="AQ129" i="7"/>
  <c r="AQ126" i="7"/>
  <c r="AQ124" i="7"/>
  <c r="AQ112" i="7"/>
  <c r="AQ68" i="7"/>
  <c r="AQ52" i="7" s="1"/>
  <c r="AQ53" i="7" s="1"/>
  <c r="AQ106" i="7"/>
  <c r="AQ110" i="7"/>
  <c r="AQ113" i="7"/>
  <c r="AQ115" i="7"/>
  <c r="AQ107" i="7"/>
  <c r="AQ109" i="7"/>
  <c r="AQ105" i="7"/>
  <c r="AM366" i="15"/>
  <c r="AM350" i="15" s="1"/>
  <c r="AM46" i="15" s="1"/>
  <c r="X304" i="4"/>
  <c r="AP95" i="7"/>
  <c r="AP31" i="7" s="1"/>
  <c r="AP98" i="7"/>
  <c r="AP34" i="7" s="1"/>
  <c r="AM344" i="15"/>
  <c r="Y124" i="21"/>
  <c r="Y108" i="21" s="1"/>
  <c r="Y108" i="19"/>
  <c r="V331" i="4"/>
  <c r="V316" i="4"/>
  <c r="Z35" i="13"/>
  <c r="Z47" i="13" s="1"/>
  <c r="Z63" i="13"/>
  <c r="Z64" i="13" s="1"/>
  <c r="Y121" i="21"/>
  <c r="Y105" i="21" s="1"/>
  <c r="Y105" i="19"/>
  <c r="AM370" i="15"/>
  <c r="AM354" i="15" s="1"/>
  <c r="AM50" i="15" s="1"/>
  <c r="AN372" i="15"/>
  <c r="AN38" i="15"/>
  <c r="CQ23" i="15"/>
  <c r="U334" i="4"/>
  <c r="U319" i="4"/>
  <c r="V430" i="3"/>
  <c r="V415" i="3"/>
  <c r="Y119" i="21"/>
  <c r="Y103" i="21" s="1"/>
  <c r="Y103" i="19"/>
  <c r="Y115" i="21"/>
  <c r="Y99" i="21" s="1"/>
  <c r="Y99" i="19"/>
  <c r="Z7" i="19"/>
  <c r="Y118" i="21"/>
  <c r="Y102" i="21" s="1"/>
  <c r="Y102" i="19"/>
  <c r="Y120" i="21"/>
  <c r="Y104" i="21" s="1"/>
  <c r="Y104" i="19"/>
  <c r="Y373" i="19"/>
  <c r="Y372" i="19"/>
  <c r="Y377" i="19"/>
  <c r="AB143" i="13"/>
  <c r="AB115" i="13"/>
  <c r="AB127" i="13" s="1"/>
  <c r="Z3" i="13"/>
  <c r="BR4" i="13"/>
  <c r="Z26" i="1"/>
  <c r="Z25" i="1" s="1"/>
  <c r="AC357" i="13"/>
  <c r="AC341" i="13" s="1"/>
  <c r="AC325" i="13" s="1"/>
  <c r="AC356" i="13"/>
  <c r="AC340" i="13" s="1"/>
  <c r="AC324" i="13" s="1"/>
  <c r="AC363" i="13"/>
  <c r="AC347" i="13" s="1"/>
  <c r="AC331" i="13" s="1"/>
  <c r="AC362" i="13"/>
  <c r="AC346" i="13" s="1"/>
  <c r="AC330" i="13" s="1"/>
  <c r="AC361" i="13"/>
  <c r="AC345" i="13" s="1"/>
  <c r="AC329" i="13" s="1"/>
  <c r="AC365" i="13"/>
  <c r="AC349" i="13" s="1"/>
  <c r="AC333" i="13" s="1"/>
  <c r="AC364" i="13"/>
  <c r="AC348" i="13" s="1"/>
  <c r="AC332" i="13" s="1"/>
  <c r="AC358" i="13"/>
  <c r="AC342" i="13" s="1"/>
  <c r="AC326" i="13" s="1"/>
  <c r="AC366" i="13"/>
  <c r="AC350" i="13" s="1"/>
  <c r="AC334" i="13" s="1"/>
  <c r="AC359" i="13"/>
  <c r="AC343" i="13" s="1"/>
  <c r="AC327" i="13" s="1"/>
  <c r="AC360" i="13"/>
  <c r="AC344" i="13" s="1"/>
  <c r="AC328" i="13" s="1"/>
  <c r="AC355" i="13"/>
  <c r="U418" i="3"/>
  <c r="U433" i="3"/>
  <c r="AL344" i="15"/>
  <c r="AL371" i="15"/>
  <c r="AL355" i="15" s="1"/>
  <c r="AL51" i="15" s="1"/>
  <c r="Y113" i="21"/>
  <c r="Y97" i="19"/>
  <c r="AK356" i="15"/>
  <c r="AK52" i="15" s="1"/>
  <c r="AK40" i="15"/>
  <c r="AM368" i="15"/>
  <c r="AM352" i="15" s="1"/>
  <c r="AM48" i="15" s="1"/>
  <c r="AP196" i="15"/>
  <c r="AE108" i="13"/>
  <c r="AE105" i="13"/>
  <c r="AE109" i="13"/>
  <c r="AE101" i="13"/>
  <c r="AE99" i="13"/>
  <c r="AE110" i="13"/>
  <c r="AE107" i="13"/>
  <c r="AE104" i="13"/>
  <c r="AE106" i="13"/>
  <c r="AE102" i="13"/>
  <c r="AE103" i="13"/>
  <c r="AE100" i="13"/>
  <c r="BT11" i="13"/>
  <c r="AB32" i="1"/>
  <c r="AB29" i="1" s="1"/>
  <c r="AB28" i="1" s="1"/>
  <c r="AB8" i="13"/>
  <c r="Y123" i="21"/>
  <c r="Y107" i="21" s="1"/>
  <c r="Y107" i="19"/>
  <c r="AP323" i="15"/>
  <c r="AP291" i="15" s="1"/>
  <c r="AP292" i="15" s="1"/>
  <c r="CS17" i="15"/>
  <c r="AP37" i="15"/>
  <c r="AP22" i="15"/>
  <c r="Y114" i="21"/>
  <c r="Y98" i="21" s="1"/>
  <c r="Y98" i="19"/>
  <c r="AM362" i="15"/>
  <c r="AM346" i="15" s="1"/>
  <c r="AM42" i="15" s="1"/>
  <c r="BT21" i="13"/>
  <c r="AB20" i="13"/>
  <c r="BT20" i="13" s="1"/>
  <c r="AN101" i="7"/>
  <c r="AN28" i="7"/>
  <c r="W328" i="4"/>
  <c r="W313" i="4"/>
  <c r="Y116" i="21"/>
  <c r="Y100" i="21" s="1"/>
  <c r="Y100" i="19"/>
  <c r="X424" i="3"/>
  <c r="X409" i="3"/>
  <c r="AO92" i="7"/>
  <c r="AO116" i="7"/>
  <c r="AO100" i="7" s="1"/>
  <c r="AO36" i="7" s="1"/>
  <c r="AP108" i="7"/>
  <c r="AQ108" i="7" s="1"/>
  <c r="Y117" i="21"/>
  <c r="Y101" i="21" s="1"/>
  <c r="Y101" i="19"/>
  <c r="AM37" i="7"/>
  <c r="W427" i="3"/>
  <c r="W412" i="3"/>
  <c r="Y122" i="21"/>
  <c r="Y106" i="21" s="1"/>
  <c r="Y106" i="19"/>
  <c r="X310" i="4"/>
  <c r="X325" i="4"/>
  <c r="AC255" i="13"/>
  <c r="AC15" i="13" s="1"/>
  <c r="AC195" i="13"/>
  <c r="AC207" i="13" s="1"/>
  <c r="AF223" i="4" l="1"/>
  <c r="AF414" i="13"/>
  <c r="AF216" i="4"/>
  <c r="AF407" i="13"/>
  <c r="AF203" i="4"/>
  <c r="AF332" i="11"/>
  <c r="AF199" i="4"/>
  <c r="AF328" i="11"/>
  <c r="AF213" i="4"/>
  <c r="AF404" i="13"/>
  <c r="AF219" i="4"/>
  <c r="AF410" i="13"/>
  <c r="AF218" i="4"/>
  <c r="AF409" i="13"/>
  <c r="AF197" i="4"/>
  <c r="AF326" i="11"/>
  <c r="AF222" i="4"/>
  <c r="AF413" i="13"/>
  <c r="AF205" i="4"/>
  <c r="AF334" i="11"/>
  <c r="AF214" i="4"/>
  <c r="AF405" i="13"/>
  <c r="AF327" i="11"/>
  <c r="AF198" i="4"/>
  <c r="AF217" i="4"/>
  <c r="AF408" i="13"/>
  <c r="AF196" i="4"/>
  <c r="AF325" i="11"/>
  <c r="AF352" i="11"/>
  <c r="AF329" i="11"/>
  <c r="AF200" i="4"/>
  <c r="AG4" i="11"/>
  <c r="AF212" i="4"/>
  <c r="AF403" i="13"/>
  <c r="AF206" i="4"/>
  <c r="AF335" i="11"/>
  <c r="AF406" i="13"/>
  <c r="AF215" i="4"/>
  <c r="AF220" i="4"/>
  <c r="AF411" i="13"/>
  <c r="AF202" i="4"/>
  <c r="AF331" i="11"/>
  <c r="AF221" i="4"/>
  <c r="AF412" i="13"/>
  <c r="AF333" i="11"/>
  <c r="AF204" i="4"/>
  <c r="AF330" i="11"/>
  <c r="AF201" i="4"/>
  <c r="AQ98" i="7"/>
  <c r="AQ34" i="7" s="1"/>
  <c r="AQ99" i="7"/>
  <c r="AQ35" i="7" s="1"/>
  <c r="AQ96" i="7"/>
  <c r="AQ32" i="7" s="1"/>
  <c r="AQ94" i="7"/>
  <c r="AQ30" i="7" s="1"/>
  <c r="AQ132" i="7"/>
  <c r="AQ90" i="7"/>
  <c r="AQ26" i="7" s="1"/>
  <c r="AQ91" i="7"/>
  <c r="AQ27" i="7" s="1"/>
  <c r="AQ97" i="7"/>
  <c r="AQ33" i="7" s="1"/>
  <c r="AQ89" i="7"/>
  <c r="AQ25" i="7" s="1"/>
  <c r="AQ93" i="7"/>
  <c r="AQ29" i="7" s="1"/>
  <c r="Z125" i="19"/>
  <c r="Z31" i="19"/>
  <c r="Z6" i="19"/>
  <c r="BR3" i="13"/>
  <c r="Z27" i="13"/>
  <c r="Y297" i="4"/>
  <c r="Y396" i="3"/>
  <c r="W329" i="4"/>
  <c r="W314" i="4"/>
  <c r="CS22" i="15"/>
  <c r="AP23" i="15"/>
  <c r="BT8" i="13"/>
  <c r="AB7" i="13"/>
  <c r="BT7" i="13" s="1"/>
  <c r="U434" i="3"/>
  <c r="U419" i="3"/>
  <c r="U435" i="3" s="1"/>
  <c r="Y374" i="19"/>
  <c r="Y375" i="19" s="1"/>
  <c r="Y392" i="3"/>
  <c r="Y293" i="4"/>
  <c r="Y298" i="4"/>
  <c r="Y397" i="3"/>
  <c r="AO28" i="7"/>
  <c r="AO101" i="7"/>
  <c r="AC180" i="13"/>
  <c r="AC132" i="13" s="1"/>
  <c r="AC116" i="13" s="1"/>
  <c r="AC187" i="13"/>
  <c r="AC139" i="13" s="1"/>
  <c r="AC123" i="13" s="1"/>
  <c r="AC182" i="13"/>
  <c r="AC134" i="13" s="1"/>
  <c r="AC118" i="13" s="1"/>
  <c r="AC186" i="13"/>
  <c r="AC138" i="13" s="1"/>
  <c r="AC122" i="13" s="1"/>
  <c r="AC188" i="13"/>
  <c r="AC140" i="13" s="1"/>
  <c r="AC124" i="13" s="1"/>
  <c r="AC179" i="13"/>
  <c r="AC189" i="13"/>
  <c r="AC141" i="13" s="1"/>
  <c r="AC125" i="13" s="1"/>
  <c r="AC185" i="13"/>
  <c r="AC137" i="13" s="1"/>
  <c r="AC121" i="13" s="1"/>
  <c r="AC184" i="13"/>
  <c r="AC136" i="13" s="1"/>
  <c r="AC120" i="13" s="1"/>
  <c r="AC190" i="13"/>
  <c r="AC142" i="13" s="1"/>
  <c r="AC126" i="13" s="1"/>
  <c r="AC181" i="13"/>
  <c r="AC133" i="13" s="1"/>
  <c r="AC117" i="13" s="1"/>
  <c r="AC183" i="13"/>
  <c r="AC135" i="13" s="1"/>
  <c r="AC119" i="13" s="1"/>
  <c r="AC339" i="13"/>
  <c r="AC367" i="13"/>
  <c r="AC22" i="13" s="1"/>
  <c r="U320" i="4"/>
  <c r="U336" i="4" s="1"/>
  <c r="U335" i="4"/>
  <c r="AN369" i="15"/>
  <c r="AN368" i="15"/>
  <c r="AN352" i="15" s="1"/>
  <c r="AN48" i="15" s="1"/>
  <c r="AN367" i="15"/>
  <c r="AN366" i="15"/>
  <c r="AN365" i="15"/>
  <c r="AN363" i="15"/>
  <c r="AN370" i="15"/>
  <c r="AN362" i="15"/>
  <c r="AN346" i="15" s="1"/>
  <c r="AN42" i="15" s="1"/>
  <c r="AN364" i="15"/>
  <c r="AN361" i="15"/>
  <c r="AN360" i="15"/>
  <c r="X425" i="3"/>
  <c r="X410" i="3"/>
  <c r="AQ92" i="7"/>
  <c r="AQ116" i="7"/>
  <c r="Y393" i="3"/>
  <c r="Y294" i="4"/>
  <c r="Y400" i="3"/>
  <c r="Y301" i="4"/>
  <c r="Y295" i="4"/>
  <c r="Y394" i="3"/>
  <c r="X311" i="4"/>
  <c r="X326" i="4"/>
  <c r="AA77" i="13"/>
  <c r="AA61" i="13" s="1"/>
  <c r="AA45" i="13" s="1"/>
  <c r="AA68" i="13"/>
  <c r="AA52" i="13" s="1"/>
  <c r="AA36" i="13" s="1"/>
  <c r="AA73" i="13"/>
  <c r="AA57" i="13" s="1"/>
  <c r="AA41" i="13" s="1"/>
  <c r="AA69" i="13"/>
  <c r="AA53" i="13" s="1"/>
  <c r="AA37" i="13" s="1"/>
  <c r="AA70" i="13"/>
  <c r="AA54" i="13" s="1"/>
  <c r="AA38" i="13" s="1"/>
  <c r="AA67" i="13"/>
  <c r="AA74" i="13"/>
  <c r="AA58" i="13" s="1"/>
  <c r="AA42" i="13" s="1"/>
  <c r="AA71" i="13"/>
  <c r="AA55" i="13" s="1"/>
  <c r="AA39" i="13" s="1"/>
  <c r="AA72" i="13"/>
  <c r="AA56" i="13" s="1"/>
  <c r="AA40" i="13" s="1"/>
  <c r="AA78" i="13"/>
  <c r="AA62" i="13" s="1"/>
  <c r="AA46" i="13" s="1"/>
  <c r="AA76" i="13"/>
  <c r="AA60" i="13" s="1"/>
  <c r="AA44" i="13" s="1"/>
  <c r="AA75" i="13"/>
  <c r="AA59" i="13" s="1"/>
  <c r="AA43" i="13" s="1"/>
  <c r="BU15" i="13"/>
  <c r="AC12" i="13"/>
  <c r="BU12" i="13" s="1"/>
  <c r="AN37" i="7"/>
  <c r="AL356" i="15"/>
  <c r="AL52" i="15" s="1"/>
  <c r="AL40" i="15"/>
  <c r="Y402" i="3"/>
  <c r="Y303" i="4"/>
  <c r="Y125" i="21"/>
  <c r="Y7" i="21" s="1"/>
  <c r="Y6" i="21" s="1"/>
  <c r="Y97" i="21"/>
  <c r="Y299" i="4"/>
  <c r="Y398" i="3"/>
  <c r="W428" i="3"/>
  <c r="W413" i="3"/>
  <c r="Y401" i="3"/>
  <c r="Y302" i="4"/>
  <c r="V416" i="3"/>
  <c r="V431" i="3"/>
  <c r="Y300" i="4"/>
  <c r="Y399" i="3"/>
  <c r="AM371" i="15"/>
  <c r="AM355" i="15" s="1"/>
  <c r="AM51" i="15" s="1"/>
  <c r="V317" i="4"/>
  <c r="V332" i="4"/>
  <c r="Y296" i="4"/>
  <c r="Y395" i="3"/>
  <c r="AM40" i="15"/>
  <c r="AE111" i="13"/>
  <c r="AE6" i="13" s="1"/>
  <c r="BW6" i="13" s="1"/>
  <c r="AP92" i="7"/>
  <c r="AP116" i="7"/>
  <c r="AP100" i="7" s="1"/>
  <c r="AP36" i="7" s="1"/>
  <c r="Y109" i="19"/>
  <c r="Y292" i="4"/>
  <c r="Y391" i="3"/>
  <c r="AF184" i="4" l="1"/>
  <c r="AF41" i="11"/>
  <c r="AF186" i="4"/>
  <c r="AF43" i="11"/>
  <c r="AF183" i="4"/>
  <c r="AF40" i="11"/>
  <c r="AF180" i="4"/>
  <c r="AF37" i="11"/>
  <c r="AF187" i="4"/>
  <c r="AF44" i="11"/>
  <c r="AF188" i="4"/>
  <c r="AF45" i="11"/>
  <c r="AF189" i="4"/>
  <c r="AF46" i="11"/>
  <c r="AF207" i="4"/>
  <c r="AF208" i="4" s="1"/>
  <c r="AF336" i="11"/>
  <c r="AG81" i="11"/>
  <c r="AG3" i="11"/>
  <c r="AF185" i="4"/>
  <c r="AF42" i="11"/>
  <c r="AG28" i="13"/>
  <c r="AG30" i="13" s="1"/>
  <c r="AG12" i="2"/>
  <c r="AF181" i="4"/>
  <c r="AF38" i="11"/>
  <c r="AF190" i="4"/>
  <c r="AF47" i="11"/>
  <c r="AF415" i="13"/>
  <c r="AF24" i="13" s="1"/>
  <c r="BX24" i="13" s="1"/>
  <c r="AF182" i="4"/>
  <c r="AF39" i="11"/>
  <c r="AF224" i="4"/>
  <c r="AQ100" i="7"/>
  <c r="AQ36" i="7" s="1"/>
  <c r="AM356" i="15"/>
  <c r="AM52" i="15" s="1"/>
  <c r="AN371" i="15"/>
  <c r="AN355" i="15" s="1"/>
  <c r="AN51" i="15" s="1"/>
  <c r="AC21" i="13"/>
  <c r="BU22" i="13"/>
  <c r="AN354" i="15"/>
  <c r="AN50" i="15" s="1"/>
  <c r="AO370" i="15"/>
  <c r="AO354" i="15" s="1"/>
  <c r="AO50" i="15" s="1"/>
  <c r="W315" i="4"/>
  <c r="W330" i="4"/>
  <c r="AA79" i="13"/>
  <c r="AA4" i="13" s="1"/>
  <c r="AA51" i="13"/>
  <c r="AN349" i="15"/>
  <c r="AN45" i="15" s="1"/>
  <c r="AO365" i="15"/>
  <c r="AO349" i="15" s="1"/>
  <c r="AO45" i="15" s="1"/>
  <c r="W429" i="3"/>
  <c r="W414" i="3"/>
  <c r="AN345" i="15"/>
  <c r="AN41" i="15" s="1"/>
  <c r="AO361" i="15"/>
  <c r="AO345" i="15" s="1"/>
  <c r="AO41" i="15" s="1"/>
  <c r="Y109" i="21"/>
  <c r="X327" i="4"/>
  <c r="X312" i="4"/>
  <c r="AN353" i="15"/>
  <c r="AN49" i="15" s="1"/>
  <c r="AO369" i="15"/>
  <c r="AO353" i="15" s="1"/>
  <c r="AO49" i="15" s="1"/>
  <c r="V417" i="3"/>
  <c r="V432" i="3"/>
  <c r="AD253" i="13"/>
  <c r="AD205" i="13" s="1"/>
  <c r="AD246" i="13"/>
  <c r="AD198" i="13" s="1"/>
  <c r="AD243" i="13"/>
  <c r="AD252" i="13"/>
  <c r="AD204" i="13" s="1"/>
  <c r="AD250" i="13"/>
  <c r="AD202" i="13" s="1"/>
  <c r="AD247" i="13"/>
  <c r="AD199" i="13" s="1"/>
  <c r="AD249" i="13"/>
  <c r="AD201" i="13" s="1"/>
  <c r="AD245" i="13"/>
  <c r="AD197" i="13" s="1"/>
  <c r="AD244" i="13"/>
  <c r="AD196" i="13" s="1"/>
  <c r="AD248" i="13"/>
  <c r="AD200" i="13" s="1"/>
  <c r="AD254" i="13"/>
  <c r="AD206" i="13" s="1"/>
  <c r="AD251" i="13"/>
  <c r="AD203" i="13" s="1"/>
  <c r="AN350" i="15"/>
  <c r="AN46" i="15" s="1"/>
  <c r="AO366" i="15"/>
  <c r="AO350" i="15" s="1"/>
  <c r="AO46" i="15" s="1"/>
  <c r="Z32" i="13"/>
  <c r="BR27" i="13"/>
  <c r="Z3" i="2"/>
  <c r="AQ28" i="7"/>
  <c r="AQ101" i="7"/>
  <c r="AN348" i="15"/>
  <c r="AN44" i="15" s="1"/>
  <c r="AO364" i="15"/>
  <c r="AO348" i="15" s="1"/>
  <c r="AO44" i="15" s="1"/>
  <c r="AF99" i="13"/>
  <c r="AF105" i="13"/>
  <c r="AF101" i="13"/>
  <c r="AF102" i="13"/>
  <c r="AF103" i="13"/>
  <c r="AF104" i="13"/>
  <c r="AF107" i="13"/>
  <c r="AF106" i="13"/>
  <c r="AF100" i="13"/>
  <c r="AF108" i="13"/>
  <c r="AF110" i="13"/>
  <c r="AF109" i="13"/>
  <c r="AN351" i="15"/>
  <c r="AN47" i="15" s="1"/>
  <c r="AO367" i="15"/>
  <c r="AO351" i="15" s="1"/>
  <c r="AO47" i="15" s="1"/>
  <c r="X426" i="3"/>
  <c r="X411" i="3"/>
  <c r="AP28" i="7"/>
  <c r="AP101" i="7"/>
  <c r="V318" i="4"/>
  <c r="V333" i="4"/>
  <c r="Y408" i="3"/>
  <c r="Y403" i="3"/>
  <c r="AO368" i="15"/>
  <c r="AO352" i="15" s="1"/>
  <c r="AO48" i="15" s="1"/>
  <c r="Y304" i="4"/>
  <c r="Y309" i="4"/>
  <c r="AC351" i="13"/>
  <c r="AC323" i="13"/>
  <c r="AC335" i="13" s="1"/>
  <c r="AO362" i="15"/>
  <c r="AO346" i="15" s="1"/>
  <c r="AO42" i="15" s="1"/>
  <c r="AN347" i="15"/>
  <c r="AN43" i="15" s="1"/>
  <c r="AO363" i="15"/>
  <c r="AO347" i="15" s="1"/>
  <c r="AO43" i="15" s="1"/>
  <c r="Z371" i="19"/>
  <c r="Z30" i="19"/>
  <c r="Z31" i="6"/>
  <c r="AN344" i="15"/>
  <c r="AO360" i="15"/>
  <c r="AO37" i="7"/>
  <c r="AP372" i="15"/>
  <c r="AP38" i="15"/>
  <c r="CS23" i="15"/>
  <c r="AC191" i="13"/>
  <c r="AC11" i="13" s="1"/>
  <c r="AC131" i="13"/>
  <c r="Z120" i="19"/>
  <c r="Z124" i="19" s="1"/>
  <c r="Z117" i="19"/>
  <c r="Z116" i="19"/>
  <c r="Z115" i="19"/>
  <c r="Z123" i="19"/>
  <c r="Z113" i="19"/>
  <c r="Z122" i="19"/>
  <c r="Z114" i="19"/>
  <c r="Z119" i="19"/>
  <c r="Z118" i="19"/>
  <c r="Z121" i="19"/>
  <c r="AF191" i="4" l="1"/>
  <c r="AF48" i="11"/>
  <c r="AF49" i="11"/>
  <c r="AF337" i="11"/>
  <c r="AF192" i="4"/>
  <c r="AG31" i="11"/>
  <c r="AG32" i="11" s="1"/>
  <c r="AG27" i="11" s="1"/>
  <c r="AG32" i="15"/>
  <c r="AG13" i="2"/>
  <c r="AG14" i="2" s="1"/>
  <c r="AG69" i="11"/>
  <c r="AG78" i="11"/>
  <c r="AG77" i="11"/>
  <c r="AG74" i="11"/>
  <c r="AG72" i="11"/>
  <c r="AG70" i="11"/>
  <c r="AG79" i="11"/>
  <c r="AG71" i="11"/>
  <c r="AG76" i="11"/>
  <c r="AG73" i="11"/>
  <c r="AG75" i="11"/>
  <c r="Z124" i="21"/>
  <c r="Z108" i="21" s="1"/>
  <c r="Z108" i="19"/>
  <c r="AA7" i="19"/>
  <c r="AD255" i="13"/>
  <c r="AD15" i="13" s="1"/>
  <c r="AD195" i="13"/>
  <c r="AD207" i="13" s="1"/>
  <c r="V418" i="3"/>
  <c r="V433" i="3"/>
  <c r="AP361" i="15"/>
  <c r="AP345" i="15" s="1"/>
  <c r="AP41" i="15" s="1"/>
  <c r="AP368" i="15"/>
  <c r="AP352" i="15" s="1"/>
  <c r="AP48" i="15" s="1"/>
  <c r="AP367" i="15"/>
  <c r="AP351" i="15" s="1"/>
  <c r="AP47" i="15" s="1"/>
  <c r="AP369" i="15"/>
  <c r="AP353" i="15" s="1"/>
  <c r="AP49" i="15" s="1"/>
  <c r="AP363" i="15"/>
  <c r="AP347" i="15" s="1"/>
  <c r="AP43" i="15" s="1"/>
  <c r="AP370" i="15"/>
  <c r="AP354" i="15" s="1"/>
  <c r="AP50" i="15" s="1"/>
  <c r="AP366" i="15"/>
  <c r="AP350" i="15" s="1"/>
  <c r="AP46" i="15" s="1"/>
  <c r="AP364" i="15"/>
  <c r="AP348" i="15" s="1"/>
  <c r="AP44" i="15" s="1"/>
  <c r="AP362" i="15"/>
  <c r="AP346" i="15" s="1"/>
  <c r="AP42" i="15" s="1"/>
  <c r="AP365" i="15"/>
  <c r="AP349" i="15" s="1"/>
  <c r="AP45" i="15" s="1"/>
  <c r="AP360" i="15"/>
  <c r="AP344" i="15" s="1"/>
  <c r="Z118" i="21"/>
  <c r="Z102" i="21" s="1"/>
  <c r="Z102" i="19"/>
  <c r="AQ37" i="7"/>
  <c r="AO344" i="15"/>
  <c r="AO371" i="15"/>
  <c r="AO355" i="15" s="1"/>
  <c r="AO51" i="15" s="1"/>
  <c r="X313" i="4"/>
  <c r="X328" i="4"/>
  <c r="Z119" i="21"/>
  <c r="Z103" i="21" s="1"/>
  <c r="Z103" i="19"/>
  <c r="Y424" i="3"/>
  <c r="Y409" i="3"/>
  <c r="AF111" i="13"/>
  <c r="AF6" i="13" s="1"/>
  <c r="BX6" i="13" s="1"/>
  <c r="BU11" i="13"/>
  <c r="AC32" i="1"/>
  <c r="AC29" i="1" s="1"/>
  <c r="AC28" i="1" s="1"/>
  <c r="AC8" i="13"/>
  <c r="X427" i="3"/>
  <c r="X412" i="3"/>
  <c r="Z372" i="19"/>
  <c r="Z373" i="19"/>
  <c r="Z377" i="19"/>
  <c r="AA63" i="13"/>
  <c r="AA64" i="13" s="1"/>
  <c r="AA35" i="13"/>
  <c r="AA47" i="13" s="1"/>
  <c r="W331" i="4"/>
  <c r="W316" i="4"/>
  <c r="AN356" i="15"/>
  <c r="AN52" i="15" s="1"/>
  <c r="AN40" i="15"/>
  <c r="AP37" i="7"/>
  <c r="Z123" i="21"/>
  <c r="Z107" i="21" s="1"/>
  <c r="Z107" i="19"/>
  <c r="AA3" i="13"/>
  <c r="BS4" i="13"/>
  <c r="AA26" i="1"/>
  <c r="AA25" i="1" s="1"/>
  <c r="AD358" i="13"/>
  <c r="AD342" i="13" s="1"/>
  <c r="AD326" i="13" s="1"/>
  <c r="AD364" i="13"/>
  <c r="AD348" i="13" s="1"/>
  <c r="AD332" i="13" s="1"/>
  <c r="AD366" i="13"/>
  <c r="AD350" i="13" s="1"/>
  <c r="AD334" i="13" s="1"/>
  <c r="AD360" i="13"/>
  <c r="AD344" i="13" s="1"/>
  <c r="AD328" i="13" s="1"/>
  <c r="AD359" i="13"/>
  <c r="AD343" i="13" s="1"/>
  <c r="AD327" i="13" s="1"/>
  <c r="AD365" i="13"/>
  <c r="AD349" i="13" s="1"/>
  <c r="AD333" i="13" s="1"/>
  <c r="AD357" i="13"/>
  <c r="AD341" i="13" s="1"/>
  <c r="AD325" i="13" s="1"/>
  <c r="AD363" i="13"/>
  <c r="AD347" i="13" s="1"/>
  <c r="AD331" i="13" s="1"/>
  <c r="AD355" i="13"/>
  <c r="AD361" i="13"/>
  <c r="AD345" i="13" s="1"/>
  <c r="AD329" i="13" s="1"/>
  <c r="AD356" i="13"/>
  <c r="AD340" i="13" s="1"/>
  <c r="AD324" i="13" s="1"/>
  <c r="AD362" i="13"/>
  <c r="AD346" i="13" s="1"/>
  <c r="AD330" i="13" s="1"/>
  <c r="Z120" i="21"/>
  <c r="Z104" i="21" s="1"/>
  <c r="Z104" i="19"/>
  <c r="AC143" i="13"/>
  <c r="AC115" i="13"/>
  <c r="AC127" i="13" s="1"/>
  <c r="Y310" i="4"/>
  <c r="Y325" i="4"/>
  <c r="Z114" i="21"/>
  <c r="Z98" i="21" s="1"/>
  <c r="Z98" i="19"/>
  <c r="Z122" i="21"/>
  <c r="Z106" i="21" s="1"/>
  <c r="Z106" i="19"/>
  <c r="Z113" i="21"/>
  <c r="Z97" i="19"/>
  <c r="Z115" i="21"/>
  <c r="Z99" i="21" s="1"/>
  <c r="Z99" i="19"/>
  <c r="V334" i="4"/>
  <c r="V319" i="4"/>
  <c r="AC20" i="13"/>
  <c r="BU20" i="13" s="1"/>
  <c r="BU21" i="13"/>
  <c r="Z105" i="19"/>
  <c r="Z121" i="21"/>
  <c r="Z105" i="21" s="1"/>
  <c r="Z116" i="21"/>
  <c r="Z100" i="21" s="1"/>
  <c r="Z100" i="19"/>
  <c r="Z117" i="21"/>
  <c r="Z101" i="21" s="1"/>
  <c r="Z101" i="19"/>
  <c r="W415" i="3"/>
  <c r="W430" i="3"/>
  <c r="AG54" i="11" l="1"/>
  <c r="AG61" i="11"/>
  <c r="AG53" i="11"/>
  <c r="AG15" i="2"/>
  <c r="AG22" i="11"/>
  <c r="AG58" i="11"/>
  <c r="AG31" i="13"/>
  <c r="AG33" i="11"/>
  <c r="AG34" i="11" s="1"/>
  <c r="AG80" i="11"/>
  <c r="AG60" i="11"/>
  <c r="AG63" i="11"/>
  <c r="AG55" i="11"/>
  <c r="AG62" i="11"/>
  <c r="AG59" i="11"/>
  <c r="AG56" i="11"/>
  <c r="AH30" i="11"/>
  <c r="AH29" i="13"/>
  <c r="AG57" i="11"/>
  <c r="Z293" i="4"/>
  <c r="Z392" i="3"/>
  <c r="Z109" i="19"/>
  <c r="Z292" i="4"/>
  <c r="Z391" i="3"/>
  <c r="AP371" i="15"/>
  <c r="AP355" i="15" s="1"/>
  <c r="AP51" i="15" s="1"/>
  <c r="V434" i="3"/>
  <c r="V419" i="3"/>
  <c r="V435" i="3" s="1"/>
  <c r="W317" i="4"/>
  <c r="W332" i="4"/>
  <c r="AG102" i="13"/>
  <c r="AG110" i="13"/>
  <c r="AG109" i="13"/>
  <c r="AG100" i="13"/>
  <c r="AG99" i="13"/>
  <c r="AG107" i="13"/>
  <c r="AG103" i="13"/>
  <c r="AG106" i="13"/>
  <c r="AG105" i="13"/>
  <c r="AG101" i="13"/>
  <c r="AG104" i="13"/>
  <c r="AG108" i="13"/>
  <c r="AA125" i="19"/>
  <c r="AA31" i="19"/>
  <c r="AA6" i="19"/>
  <c r="Y425" i="3"/>
  <c r="Y410" i="3"/>
  <c r="W416" i="3"/>
  <c r="W431" i="3"/>
  <c r="Z394" i="3"/>
  <c r="Z295" i="4"/>
  <c r="X428" i="3"/>
  <c r="X413" i="3"/>
  <c r="Z400" i="3"/>
  <c r="Z301" i="4"/>
  <c r="AD339" i="13"/>
  <c r="AD367" i="13"/>
  <c r="AD22" i="13" s="1"/>
  <c r="AD185" i="13"/>
  <c r="AD137" i="13" s="1"/>
  <c r="AD121" i="13" s="1"/>
  <c r="AD189" i="13"/>
  <c r="AD141" i="13" s="1"/>
  <c r="AD125" i="13" s="1"/>
  <c r="AD190" i="13"/>
  <c r="AD142" i="13" s="1"/>
  <c r="AD126" i="13" s="1"/>
  <c r="AD187" i="13"/>
  <c r="AD139" i="13" s="1"/>
  <c r="AD123" i="13" s="1"/>
  <c r="AD179" i="13"/>
  <c r="AD181" i="13"/>
  <c r="AD133" i="13" s="1"/>
  <c r="AD117" i="13" s="1"/>
  <c r="AD188" i="13"/>
  <c r="AD140" i="13" s="1"/>
  <c r="AD124" i="13" s="1"/>
  <c r="AD183" i="13"/>
  <c r="AD135" i="13" s="1"/>
  <c r="AD119" i="13" s="1"/>
  <c r="AD184" i="13"/>
  <c r="AD136" i="13" s="1"/>
  <c r="AD120" i="13" s="1"/>
  <c r="AD182" i="13"/>
  <c r="AD134" i="13" s="1"/>
  <c r="AD118" i="13" s="1"/>
  <c r="AD180" i="13"/>
  <c r="AD132" i="13" s="1"/>
  <c r="AD116" i="13" s="1"/>
  <c r="AD186" i="13"/>
  <c r="AD138" i="13" s="1"/>
  <c r="AD122" i="13" s="1"/>
  <c r="Z398" i="3"/>
  <c r="Z299" i="4"/>
  <c r="BS3" i="13"/>
  <c r="AA27" i="13"/>
  <c r="Z302" i="4"/>
  <c r="Z401" i="3"/>
  <c r="Z300" i="4"/>
  <c r="Z399" i="3"/>
  <c r="V320" i="4"/>
  <c r="V336" i="4" s="1"/>
  <c r="V335" i="4"/>
  <c r="Z125" i="21"/>
  <c r="Z7" i="21" s="1"/>
  <c r="Z6" i="21" s="1"/>
  <c r="Z97" i="21"/>
  <c r="X329" i="4"/>
  <c r="X314" i="4"/>
  <c r="Z296" i="4"/>
  <c r="Z395" i="3"/>
  <c r="Z297" i="4"/>
  <c r="Z396" i="3"/>
  <c r="Y311" i="4"/>
  <c r="Y326" i="4"/>
  <c r="AB72" i="13"/>
  <c r="AB56" i="13" s="1"/>
  <c r="AB40" i="13" s="1"/>
  <c r="AB74" i="13"/>
  <c r="AB58" i="13" s="1"/>
  <c r="AB42" i="13" s="1"/>
  <c r="AB69" i="13"/>
  <c r="AB53" i="13" s="1"/>
  <c r="AB37" i="13" s="1"/>
  <c r="AB77" i="13"/>
  <c r="AB61" i="13" s="1"/>
  <c r="AB45" i="13" s="1"/>
  <c r="AB70" i="13"/>
  <c r="AB54" i="13" s="1"/>
  <c r="AB38" i="13" s="1"/>
  <c r="AB67" i="13"/>
  <c r="AB68" i="13"/>
  <c r="AB52" i="13" s="1"/>
  <c r="AB36" i="13" s="1"/>
  <c r="AB76" i="13"/>
  <c r="AB60" i="13" s="1"/>
  <c r="AB44" i="13" s="1"/>
  <c r="AB75" i="13"/>
  <c r="AB59" i="13" s="1"/>
  <c r="AB43" i="13" s="1"/>
  <c r="AB71" i="13"/>
  <c r="AB55" i="13" s="1"/>
  <c r="AB39" i="13" s="1"/>
  <c r="AB78" i="13"/>
  <c r="AB62" i="13" s="1"/>
  <c r="AB46" i="13" s="1"/>
  <c r="AB73" i="13"/>
  <c r="AB57" i="13" s="1"/>
  <c r="AB41" i="13" s="1"/>
  <c r="Z397" i="3"/>
  <c r="Z298" i="4"/>
  <c r="Z375" i="19"/>
  <c r="Z374" i="19"/>
  <c r="Z294" i="4"/>
  <c r="Z393" i="3"/>
  <c r="AO356" i="15"/>
  <c r="AO52" i="15" s="1"/>
  <c r="AO40" i="15"/>
  <c r="Z303" i="4"/>
  <c r="Z402" i="3"/>
  <c r="AC7" i="13"/>
  <c r="BU7" i="13" s="1"/>
  <c r="BU8" i="13"/>
  <c r="BV15" i="13"/>
  <c r="AD12" i="13"/>
  <c r="BV12" i="13" s="1"/>
  <c r="AP356" i="15"/>
  <c r="AP52" i="15" s="1"/>
  <c r="AP40" i="15"/>
  <c r="AG21" i="11" l="1"/>
  <c r="AG20" i="11" s="1"/>
  <c r="AG24" i="11"/>
  <c r="AG385" i="11" s="1"/>
  <c r="AG353" i="11"/>
  <c r="AG64" i="11"/>
  <c r="AG65" i="11" s="1"/>
  <c r="W333" i="4"/>
  <c r="W318" i="4"/>
  <c r="Z109" i="21"/>
  <c r="AA32" i="13"/>
  <c r="BS27" i="13"/>
  <c r="AA3" i="2"/>
  <c r="AA7" i="2" s="1"/>
  <c r="AA17" i="2" s="1"/>
  <c r="X330" i="4"/>
  <c r="X315" i="4"/>
  <c r="W417" i="3"/>
  <c r="W432" i="3"/>
  <c r="Y426" i="3"/>
  <c r="Y411" i="3"/>
  <c r="Y312" i="4"/>
  <c r="Y327" i="4"/>
  <c r="AD21" i="13"/>
  <c r="BV22" i="13"/>
  <c r="Z408" i="3"/>
  <c r="Z403" i="3"/>
  <c r="Z309" i="4"/>
  <c r="Z304" i="4"/>
  <c r="AA371" i="19"/>
  <c r="AA30" i="19"/>
  <c r="AA31" i="6"/>
  <c r="AD351" i="13"/>
  <c r="AD323" i="13"/>
  <c r="AD335" i="13" s="1"/>
  <c r="AE245" i="13"/>
  <c r="AE197" i="13" s="1"/>
  <c r="AE243" i="13"/>
  <c r="AE247" i="13"/>
  <c r="AE199" i="13" s="1"/>
  <c r="AE244" i="13"/>
  <c r="AE196" i="13" s="1"/>
  <c r="AE246" i="13"/>
  <c r="AE198" i="13" s="1"/>
  <c r="AE249" i="13"/>
  <c r="AE201" i="13" s="1"/>
  <c r="AE251" i="13"/>
  <c r="AE203" i="13" s="1"/>
  <c r="AE250" i="13"/>
  <c r="AE202" i="13" s="1"/>
  <c r="AE252" i="13"/>
  <c r="AE204" i="13" s="1"/>
  <c r="AE253" i="13"/>
  <c r="AE205" i="13" s="1"/>
  <c r="AE248" i="13"/>
  <c r="AE200" i="13" s="1"/>
  <c r="AE254" i="13"/>
  <c r="AE206" i="13" s="1"/>
  <c r="X414" i="3"/>
  <c r="X429" i="3"/>
  <c r="AA113" i="19"/>
  <c r="AA97" i="19" s="1"/>
  <c r="AA123" i="19"/>
  <c r="AA107" i="19" s="1"/>
  <c r="AA116" i="19"/>
  <c r="AA100" i="19" s="1"/>
  <c r="AA115" i="19"/>
  <c r="AA99" i="19" s="1"/>
  <c r="AA122" i="19"/>
  <c r="AA106" i="19" s="1"/>
  <c r="AA121" i="19"/>
  <c r="AA105" i="19" s="1"/>
  <c r="AA120" i="19"/>
  <c r="AA104" i="19" s="1"/>
  <c r="AA119" i="19"/>
  <c r="AA103" i="19" s="1"/>
  <c r="AA114" i="19"/>
  <c r="AA98" i="19" s="1"/>
  <c r="AA118" i="19"/>
  <c r="AA102" i="19" s="1"/>
  <c r="AA117" i="19"/>
  <c r="AA101" i="19" s="1"/>
  <c r="AD191" i="13"/>
  <c r="AD11" i="13" s="1"/>
  <c r="AD131" i="13"/>
  <c r="AG111" i="13"/>
  <c r="AG6" i="13" s="1"/>
  <c r="BY6" i="13" s="1"/>
  <c r="AB51" i="13"/>
  <c r="AB79" i="13"/>
  <c r="AB4" i="13" s="1"/>
  <c r="AG342" i="11" l="1"/>
  <c r="AG343" i="11"/>
  <c r="AG345" i="11"/>
  <c r="AG341" i="11"/>
  <c r="AG351" i="11"/>
  <c r="AG348" i="11"/>
  <c r="AG349" i="11"/>
  <c r="AG346" i="11"/>
  <c r="AG347" i="11"/>
  <c r="AG344" i="11"/>
  <c r="AG352" i="11" s="1"/>
  <c r="AG350" i="11"/>
  <c r="AG378" i="11"/>
  <c r="AG384" i="11" s="1"/>
  <c r="AG379" i="11"/>
  <c r="AG383" i="11"/>
  <c r="AG381" i="11"/>
  <c r="AG382" i="11"/>
  <c r="AG377" i="11"/>
  <c r="AG380" i="11"/>
  <c r="AG375" i="11"/>
  <c r="AG376" i="11"/>
  <c r="AG373" i="11"/>
  <c r="AG374" i="11"/>
  <c r="AA295" i="4"/>
  <c r="Z424" i="3"/>
  <c r="Z409" i="3"/>
  <c r="X316" i="4"/>
  <c r="X331" i="4"/>
  <c r="AA292" i="4"/>
  <c r="AE366" i="13"/>
  <c r="AE350" i="13" s="1"/>
  <c r="AE334" i="13" s="1"/>
  <c r="AE355" i="13"/>
  <c r="AE361" i="13"/>
  <c r="AE345" i="13" s="1"/>
  <c r="AE329" i="13" s="1"/>
  <c r="AE360" i="13"/>
  <c r="AE344" i="13" s="1"/>
  <c r="AE328" i="13" s="1"/>
  <c r="AE357" i="13"/>
  <c r="AE341" i="13" s="1"/>
  <c r="AE325" i="13" s="1"/>
  <c r="AE364" i="13"/>
  <c r="AE348" i="13" s="1"/>
  <c r="AE332" i="13" s="1"/>
  <c r="AE356" i="13"/>
  <c r="AE340" i="13" s="1"/>
  <c r="AE324" i="13" s="1"/>
  <c r="AE365" i="13"/>
  <c r="AE349" i="13" s="1"/>
  <c r="AE333" i="13" s="1"/>
  <c r="AE363" i="13"/>
  <c r="AE347" i="13" s="1"/>
  <c r="AE331" i="13" s="1"/>
  <c r="AE358" i="13"/>
  <c r="AE342" i="13" s="1"/>
  <c r="AE326" i="13" s="1"/>
  <c r="AE362" i="13"/>
  <c r="AE346" i="13" s="1"/>
  <c r="AE330" i="13" s="1"/>
  <c r="AE359" i="13"/>
  <c r="AE343" i="13" s="1"/>
  <c r="AE327" i="13" s="1"/>
  <c r="Z310" i="4"/>
  <c r="Z325" i="4"/>
  <c r="AH106" i="13"/>
  <c r="AH108" i="13"/>
  <c r="AH100" i="13"/>
  <c r="AH99" i="13"/>
  <c r="AH110" i="13"/>
  <c r="AH109" i="13"/>
  <c r="AH103" i="13"/>
  <c r="AH101" i="13"/>
  <c r="AH104" i="13"/>
  <c r="AH102" i="13"/>
  <c r="AH107" i="13"/>
  <c r="AH105" i="13"/>
  <c r="AA301" i="4"/>
  <c r="AD20" i="13"/>
  <c r="BV20" i="13" s="1"/>
  <c r="BV21" i="13"/>
  <c r="AA299" i="4"/>
  <c r="AA300" i="4"/>
  <c r="AA298" i="4"/>
  <c r="AA294" i="4"/>
  <c r="AE255" i="13"/>
  <c r="AE15" i="13" s="1"/>
  <c r="AE195" i="13"/>
  <c r="AE207" i="13" s="1"/>
  <c r="AA302" i="4"/>
  <c r="AD115" i="13"/>
  <c r="AD127" i="13" s="1"/>
  <c r="AD143" i="13"/>
  <c r="BV11" i="13"/>
  <c r="AD32" i="1"/>
  <c r="AD29" i="1" s="1"/>
  <c r="AD28" i="1" s="1"/>
  <c r="AD8" i="13"/>
  <c r="AB7" i="19"/>
  <c r="AA373" i="19"/>
  <c r="AA372" i="19"/>
  <c r="AA377" i="19"/>
  <c r="AA124" i="19"/>
  <c r="AA108" i="19" s="1"/>
  <c r="AA109" i="19" s="1"/>
  <c r="W418" i="3"/>
  <c r="W433" i="3"/>
  <c r="X415" i="3"/>
  <c r="X430" i="3"/>
  <c r="Y427" i="3"/>
  <c r="Y412" i="3"/>
  <c r="AA296" i="4"/>
  <c r="Y328" i="4"/>
  <c r="Y313" i="4"/>
  <c r="AA297" i="4"/>
  <c r="W334" i="4"/>
  <c r="W319" i="4"/>
  <c r="AB3" i="13"/>
  <c r="BT4" i="13"/>
  <c r="AB26" i="1"/>
  <c r="AB25" i="1" s="1"/>
  <c r="AB63" i="13"/>
  <c r="AB64" i="13" s="1"/>
  <c r="AB35" i="13"/>
  <c r="AB47" i="13" s="1"/>
  <c r="AA293" i="4"/>
  <c r="AG414" i="13" l="1"/>
  <c r="AG223" i="4"/>
  <c r="AG207" i="4"/>
  <c r="AG336" i="11"/>
  <c r="AH4" i="11"/>
  <c r="AG335" i="11"/>
  <c r="AG206" i="4"/>
  <c r="AG332" i="11"/>
  <c r="AG203" i="4"/>
  <c r="AG196" i="4"/>
  <c r="AG222" i="4"/>
  <c r="AG413" i="13"/>
  <c r="AG201" i="4"/>
  <c r="AG330" i="11"/>
  <c r="AG329" i="11"/>
  <c r="AG200" i="4"/>
  <c r="AG213" i="4"/>
  <c r="AG404" i="13"/>
  <c r="AG198" i="4"/>
  <c r="AG327" i="11"/>
  <c r="AG334" i="11"/>
  <c r="AG205" i="4"/>
  <c r="AG325" i="11"/>
  <c r="AG212" i="4"/>
  <c r="AG403" i="13"/>
  <c r="AG326" i="11"/>
  <c r="AG197" i="4"/>
  <c r="AG218" i="4"/>
  <c r="AG409" i="13"/>
  <c r="AG204" i="4"/>
  <c r="AG333" i="11"/>
  <c r="AG214" i="4"/>
  <c r="AG405" i="13"/>
  <c r="AG217" i="4"/>
  <c r="AG408" i="13"/>
  <c r="AG202" i="4"/>
  <c r="AG331" i="11"/>
  <c r="AG406" i="13"/>
  <c r="AG215" i="4"/>
  <c r="AG219" i="4"/>
  <c r="AG410" i="13"/>
  <c r="AG216" i="4"/>
  <c r="AG407" i="13"/>
  <c r="AG221" i="4"/>
  <c r="AG412" i="13"/>
  <c r="AG199" i="4"/>
  <c r="AG328" i="11"/>
  <c r="AG220" i="4"/>
  <c r="AG411" i="13"/>
  <c r="AC68" i="13"/>
  <c r="AC52" i="13" s="1"/>
  <c r="AC36" i="13" s="1"/>
  <c r="AC78" i="13"/>
  <c r="AC62" i="13" s="1"/>
  <c r="AC46" i="13" s="1"/>
  <c r="AC70" i="13"/>
  <c r="AC54" i="13" s="1"/>
  <c r="AC38" i="13" s="1"/>
  <c r="AC76" i="13"/>
  <c r="AC60" i="13" s="1"/>
  <c r="AC44" i="13" s="1"/>
  <c r="AC67" i="13"/>
  <c r="AC75" i="13"/>
  <c r="AC59" i="13" s="1"/>
  <c r="AC43" i="13" s="1"/>
  <c r="AC73" i="13"/>
  <c r="AC57" i="13" s="1"/>
  <c r="AC41" i="13" s="1"/>
  <c r="AC74" i="13"/>
  <c r="AC58" i="13" s="1"/>
  <c r="AC42" i="13" s="1"/>
  <c r="AC71" i="13"/>
  <c r="AC55" i="13" s="1"/>
  <c r="AC39" i="13" s="1"/>
  <c r="AC72" i="13"/>
  <c r="AC56" i="13" s="1"/>
  <c r="AC40" i="13" s="1"/>
  <c r="AC69" i="13"/>
  <c r="AC53" i="13" s="1"/>
  <c r="AC37" i="13" s="1"/>
  <c r="AC77" i="13"/>
  <c r="AC61" i="13" s="1"/>
  <c r="AC45" i="13" s="1"/>
  <c r="X416" i="3"/>
  <c r="X431" i="3"/>
  <c r="Y329" i="4"/>
  <c r="Y314" i="4"/>
  <c r="AB27" i="13"/>
  <c r="BT3" i="13"/>
  <c r="AD7" i="13"/>
  <c r="BV7" i="13" s="1"/>
  <c r="BV8" i="13"/>
  <c r="Z311" i="4"/>
  <c r="Z326" i="4"/>
  <c r="AE187" i="13"/>
  <c r="AE139" i="13" s="1"/>
  <c r="AE123" i="13" s="1"/>
  <c r="AE185" i="13"/>
  <c r="AE137" i="13" s="1"/>
  <c r="AE121" i="13" s="1"/>
  <c r="AE190" i="13"/>
  <c r="AE142" i="13" s="1"/>
  <c r="AE126" i="13" s="1"/>
  <c r="AE183" i="13"/>
  <c r="AE135" i="13" s="1"/>
  <c r="AE119" i="13" s="1"/>
  <c r="AE184" i="13"/>
  <c r="AE136" i="13" s="1"/>
  <c r="AE120" i="13" s="1"/>
  <c r="AE186" i="13"/>
  <c r="AE138" i="13" s="1"/>
  <c r="AE122" i="13" s="1"/>
  <c r="AE179" i="13"/>
  <c r="AE182" i="13"/>
  <c r="AE134" i="13" s="1"/>
  <c r="AE118" i="13" s="1"/>
  <c r="AE181" i="13"/>
  <c r="AE133" i="13" s="1"/>
  <c r="AE117" i="13" s="1"/>
  <c r="AE189" i="13"/>
  <c r="AE141" i="13" s="1"/>
  <c r="AE125" i="13" s="1"/>
  <c r="AE188" i="13"/>
  <c r="AE140" i="13" s="1"/>
  <c r="AE124" i="13" s="1"/>
  <c r="AE180" i="13"/>
  <c r="AE132" i="13" s="1"/>
  <c r="AE116" i="13" s="1"/>
  <c r="AA309" i="4"/>
  <c r="X332" i="4"/>
  <c r="X317" i="4"/>
  <c r="AE339" i="13"/>
  <c r="AE367" i="13"/>
  <c r="AE22" i="13" s="1"/>
  <c r="Z425" i="3"/>
  <c r="Z410" i="3"/>
  <c r="AH111" i="13"/>
  <c r="AH6" i="13" s="1"/>
  <c r="BZ6" i="13" s="1"/>
  <c r="W320" i="4"/>
  <c r="W336" i="4" s="1"/>
  <c r="W335" i="4"/>
  <c r="W434" i="3"/>
  <c r="W419" i="3"/>
  <c r="W435" i="3" s="1"/>
  <c r="BW15" i="13"/>
  <c r="AE12" i="13"/>
  <c r="BW12" i="13" s="1"/>
  <c r="Y413" i="3"/>
  <c r="Y428" i="3"/>
  <c r="AA303" i="4"/>
  <c r="AA374" i="19"/>
  <c r="AB31" i="19"/>
  <c r="AB125" i="19"/>
  <c r="AB6" i="19"/>
  <c r="AG185" i="4" l="1"/>
  <c r="AG42" i="11"/>
  <c r="AG190" i="4"/>
  <c r="AG47" i="11"/>
  <c r="AG187" i="4"/>
  <c r="AG44" i="11"/>
  <c r="AH81" i="11"/>
  <c r="AH3" i="11"/>
  <c r="AG184" i="4"/>
  <c r="AG41" i="11"/>
  <c r="AH28" i="13"/>
  <c r="AH30" i="13" s="1"/>
  <c r="AG189" i="4"/>
  <c r="AG46" i="11"/>
  <c r="AG180" i="4"/>
  <c r="AG192" i="4" s="1"/>
  <c r="AG337" i="11"/>
  <c r="AG37" i="11"/>
  <c r="AG49" i="11" s="1"/>
  <c r="AG191" i="4"/>
  <c r="AG48" i="11"/>
  <c r="AG182" i="4"/>
  <c r="AG39" i="11"/>
  <c r="AG181" i="4"/>
  <c r="AG38" i="11"/>
  <c r="AG183" i="4"/>
  <c r="AG40" i="11"/>
  <c r="AG224" i="4"/>
  <c r="AG208" i="4"/>
  <c r="AG186" i="4"/>
  <c r="AG43" i="11"/>
  <c r="AG188" i="4"/>
  <c r="AG45" i="11"/>
  <c r="AG415" i="13"/>
  <c r="AG24" i="13" s="1"/>
  <c r="BY24" i="13" s="1"/>
  <c r="AA304" i="4"/>
  <c r="AC51" i="13"/>
  <c r="AC79" i="13"/>
  <c r="AC4" i="13" s="1"/>
  <c r="Z426" i="3"/>
  <c r="Z411" i="3"/>
  <c r="AE21" i="13"/>
  <c r="BW22" i="13"/>
  <c r="AE323" i="13"/>
  <c r="AE335" i="13" s="1"/>
  <c r="AE351" i="13"/>
  <c r="Y414" i="3"/>
  <c r="Y429" i="3"/>
  <c r="AF245" i="13"/>
  <c r="AF197" i="13" s="1"/>
  <c r="AF246" i="13"/>
  <c r="AF198" i="13" s="1"/>
  <c r="AF253" i="13"/>
  <c r="AF205" i="13" s="1"/>
  <c r="AF247" i="13"/>
  <c r="AF199" i="13" s="1"/>
  <c r="AF244" i="13"/>
  <c r="AF196" i="13" s="1"/>
  <c r="AF251" i="13"/>
  <c r="AF203" i="13" s="1"/>
  <c r="AF254" i="13"/>
  <c r="AF206" i="13" s="1"/>
  <c r="AF249" i="13"/>
  <c r="AF201" i="13" s="1"/>
  <c r="AF250" i="13"/>
  <c r="AF202" i="13" s="1"/>
  <c r="AF248" i="13"/>
  <c r="AF200" i="13" s="1"/>
  <c r="AF243" i="13"/>
  <c r="AF252" i="13"/>
  <c r="AF204" i="13" s="1"/>
  <c r="BT27" i="13"/>
  <c r="AB32" i="13"/>
  <c r="AB3" i="2"/>
  <c r="AB7" i="2" s="1"/>
  <c r="AB17" i="2" s="1"/>
  <c r="AB19" i="2" s="1"/>
  <c r="X333" i="4"/>
  <c r="X318" i="4"/>
  <c r="AB116" i="19"/>
  <c r="AB100" i="19" s="1"/>
  <c r="AB115" i="19"/>
  <c r="AB99" i="19" s="1"/>
  <c r="AB121" i="19"/>
  <c r="AB105" i="19" s="1"/>
  <c r="AB120" i="19"/>
  <c r="AB104" i="19" s="1"/>
  <c r="AB119" i="19"/>
  <c r="AB103" i="19" s="1"/>
  <c r="AB118" i="19"/>
  <c r="AB102" i="19" s="1"/>
  <c r="AB113" i="19"/>
  <c r="AB97" i="19" s="1"/>
  <c r="AB117" i="19"/>
  <c r="AB101" i="19" s="1"/>
  <c r="AB123" i="19"/>
  <c r="AB107" i="19" s="1"/>
  <c r="AB114" i="19"/>
  <c r="AB98" i="19" s="1"/>
  <c r="AB122" i="19"/>
  <c r="AB106" i="19" s="1"/>
  <c r="AA310" i="4"/>
  <c r="AA325" i="4"/>
  <c r="X417" i="3"/>
  <c r="X432" i="3"/>
  <c r="AB371" i="19"/>
  <c r="AB30" i="19"/>
  <c r="AB31" i="6"/>
  <c r="Z312" i="4"/>
  <c r="Z327" i="4"/>
  <c r="AA375" i="19"/>
  <c r="Y330" i="4"/>
  <c r="Y315" i="4"/>
  <c r="AE191" i="13"/>
  <c r="AE11" i="13" s="1"/>
  <c r="AE131" i="13"/>
  <c r="AI105" i="13"/>
  <c r="AI109" i="13"/>
  <c r="AI110" i="13"/>
  <c r="AI101" i="13"/>
  <c r="AI99" i="13"/>
  <c r="AI107" i="13"/>
  <c r="AI103" i="13"/>
  <c r="AI102" i="13"/>
  <c r="AI104" i="13"/>
  <c r="AI100" i="13"/>
  <c r="AI108" i="13"/>
  <c r="AI106" i="13"/>
  <c r="AH71" i="11" l="1"/>
  <c r="AH79" i="11"/>
  <c r="AH77" i="11"/>
  <c r="AH74" i="11"/>
  <c r="AH75" i="11"/>
  <c r="AH70" i="11"/>
  <c r="AH73" i="11"/>
  <c r="AH69" i="11"/>
  <c r="AH80" i="11" s="1"/>
  <c r="AH78" i="11"/>
  <c r="AH72" i="11"/>
  <c r="AH76" i="11"/>
  <c r="AH31" i="11"/>
  <c r="AH32" i="11" s="1"/>
  <c r="AH27" i="11" s="1"/>
  <c r="AH32" i="15"/>
  <c r="AB299" i="4"/>
  <c r="Z328" i="4"/>
  <c r="Z313" i="4"/>
  <c r="AB300" i="4"/>
  <c r="AB293" i="4"/>
  <c r="AB295" i="4"/>
  <c r="AE20" i="13"/>
  <c r="BW20" i="13" s="1"/>
  <c r="BW21" i="13"/>
  <c r="AF255" i="13"/>
  <c r="AF15" i="13" s="1"/>
  <c r="AF195" i="13"/>
  <c r="AF207" i="13" s="1"/>
  <c r="AI111" i="13"/>
  <c r="AI6" i="13" s="1"/>
  <c r="CA6" i="13" s="1"/>
  <c r="AB294" i="4"/>
  <c r="AC7" i="19"/>
  <c r="X334" i="4"/>
  <c r="X319" i="4"/>
  <c r="AB124" i="19"/>
  <c r="AB108" i="19" s="1"/>
  <c r="AB296" i="4"/>
  <c r="AB297" i="4"/>
  <c r="AF357" i="13"/>
  <c r="AF341" i="13" s="1"/>
  <c r="AF325" i="13" s="1"/>
  <c r="AF362" i="13"/>
  <c r="AF346" i="13" s="1"/>
  <c r="AF330" i="13" s="1"/>
  <c r="AF355" i="13"/>
  <c r="AF360" i="13"/>
  <c r="AF344" i="13" s="1"/>
  <c r="AF328" i="13" s="1"/>
  <c r="AF356" i="13"/>
  <c r="AF340" i="13" s="1"/>
  <c r="AF324" i="13" s="1"/>
  <c r="AF365" i="13"/>
  <c r="AF349" i="13" s="1"/>
  <c r="AF333" i="13" s="1"/>
  <c r="AF359" i="13"/>
  <c r="AF343" i="13" s="1"/>
  <c r="AF327" i="13" s="1"/>
  <c r="AF363" i="13"/>
  <c r="AF347" i="13" s="1"/>
  <c r="AF331" i="13" s="1"/>
  <c r="AF358" i="13"/>
  <c r="AF342" i="13" s="1"/>
  <c r="AF326" i="13" s="1"/>
  <c r="AF364" i="13"/>
  <c r="AF348" i="13" s="1"/>
  <c r="AF332" i="13" s="1"/>
  <c r="AF366" i="13"/>
  <c r="AF350" i="13" s="1"/>
  <c r="AF334" i="13" s="1"/>
  <c r="AF361" i="13"/>
  <c r="AF345" i="13" s="1"/>
  <c r="AF329" i="13" s="1"/>
  <c r="AB302" i="4"/>
  <c r="AE115" i="13"/>
  <c r="AE127" i="13" s="1"/>
  <c r="AE143" i="13"/>
  <c r="BW11" i="13"/>
  <c r="AE8" i="13"/>
  <c r="Z412" i="3"/>
  <c r="Z427" i="3"/>
  <c r="AB373" i="19"/>
  <c r="AB372" i="19"/>
  <c r="AB377" i="19"/>
  <c r="AB301" i="4"/>
  <c r="AC3" i="13"/>
  <c r="BU4" i="13"/>
  <c r="AC26" i="1"/>
  <c r="AC25" i="1" s="1"/>
  <c r="AB109" i="19"/>
  <c r="AB292" i="4"/>
  <c r="X418" i="3"/>
  <c r="X433" i="3"/>
  <c r="AA311" i="4"/>
  <c r="AA326" i="4"/>
  <c r="AC35" i="13"/>
  <c r="AC47" i="13" s="1"/>
  <c r="AC63" i="13"/>
  <c r="AC64" i="13" s="1"/>
  <c r="Y415" i="3"/>
  <c r="Y430" i="3"/>
  <c r="AB298" i="4"/>
  <c r="Y331" i="4"/>
  <c r="Y316" i="4"/>
  <c r="AH64" i="11" l="1"/>
  <c r="AH31" i="13"/>
  <c r="AH33" i="11"/>
  <c r="AH34" i="11" s="1"/>
  <c r="AH62" i="11"/>
  <c r="AH57" i="11"/>
  <c r="AH22" i="11"/>
  <c r="AH56" i="11"/>
  <c r="AH63" i="11"/>
  <c r="AH55" i="11"/>
  <c r="AH58" i="11"/>
  <c r="AH53" i="11"/>
  <c r="AH59" i="11"/>
  <c r="AI30" i="11"/>
  <c r="AI29" i="13"/>
  <c r="AH60" i="11"/>
  <c r="AH54" i="11"/>
  <c r="AH61" i="11"/>
  <c r="Z413" i="3"/>
  <c r="Z428" i="3"/>
  <c r="X434" i="3"/>
  <c r="X419" i="3"/>
  <c r="X435" i="3" s="1"/>
  <c r="BX15" i="13"/>
  <c r="AF12" i="13"/>
  <c r="BX12" i="13" s="1"/>
  <c r="AB309" i="4"/>
  <c r="AJ106" i="13"/>
  <c r="AJ110" i="13"/>
  <c r="AJ108" i="13"/>
  <c r="AJ103" i="13"/>
  <c r="AJ99" i="13"/>
  <c r="AJ100" i="13"/>
  <c r="AJ109" i="13"/>
  <c r="AJ101" i="13"/>
  <c r="AJ102" i="13"/>
  <c r="AJ104" i="13"/>
  <c r="AJ107" i="13"/>
  <c r="AJ105" i="13"/>
  <c r="AB374" i="19"/>
  <c r="AA312" i="4"/>
  <c r="AA327" i="4"/>
  <c r="AF188" i="13"/>
  <c r="AF140" i="13" s="1"/>
  <c r="AF124" i="13" s="1"/>
  <c r="AF180" i="13"/>
  <c r="AF132" i="13" s="1"/>
  <c r="AF116" i="13" s="1"/>
  <c r="AF186" i="13"/>
  <c r="AF138" i="13" s="1"/>
  <c r="AF122" i="13" s="1"/>
  <c r="AF189" i="13"/>
  <c r="AF141" i="13" s="1"/>
  <c r="AF125" i="13" s="1"/>
  <c r="AF183" i="13"/>
  <c r="AF135" i="13" s="1"/>
  <c r="AF119" i="13" s="1"/>
  <c r="AF181" i="13"/>
  <c r="AF133" i="13" s="1"/>
  <c r="AF117" i="13" s="1"/>
  <c r="AF182" i="13"/>
  <c r="AF134" i="13" s="1"/>
  <c r="AF118" i="13" s="1"/>
  <c r="AF184" i="13"/>
  <c r="AF136" i="13" s="1"/>
  <c r="AF120" i="13" s="1"/>
  <c r="AF179" i="13"/>
  <c r="AF190" i="13"/>
  <c r="AF142" i="13" s="1"/>
  <c r="AF126" i="13" s="1"/>
  <c r="AF187" i="13"/>
  <c r="AF139" i="13" s="1"/>
  <c r="AF123" i="13" s="1"/>
  <c r="AF185" i="13"/>
  <c r="AF137" i="13" s="1"/>
  <c r="AF121" i="13" s="1"/>
  <c r="AF339" i="13"/>
  <c r="AF367" i="13"/>
  <c r="AF22" i="13" s="1"/>
  <c r="AC31" i="19"/>
  <c r="AC125" i="19"/>
  <c r="AC6" i="19"/>
  <c r="Y317" i="4"/>
  <c r="Y332" i="4"/>
  <c r="AB303" i="4"/>
  <c r="X320" i="4"/>
  <c r="X336" i="4" s="1"/>
  <c r="X335" i="4"/>
  <c r="Z329" i="4"/>
  <c r="Z314" i="4"/>
  <c r="Y416" i="3"/>
  <c r="Y431" i="3"/>
  <c r="AD69" i="13"/>
  <c r="AD53" i="13" s="1"/>
  <c r="AD37" i="13" s="1"/>
  <c r="AD67" i="13"/>
  <c r="AD72" i="13"/>
  <c r="AD56" i="13" s="1"/>
  <c r="AD40" i="13" s="1"/>
  <c r="AD77" i="13"/>
  <c r="AD61" i="13" s="1"/>
  <c r="AD45" i="13" s="1"/>
  <c r="AD68" i="13"/>
  <c r="AD52" i="13" s="1"/>
  <c r="AD36" i="13" s="1"/>
  <c r="AD78" i="13"/>
  <c r="AD62" i="13" s="1"/>
  <c r="AD46" i="13" s="1"/>
  <c r="AD73" i="13"/>
  <c r="AD57" i="13" s="1"/>
  <c r="AD41" i="13" s="1"/>
  <c r="AD76" i="13"/>
  <c r="AD60" i="13" s="1"/>
  <c r="AD44" i="13" s="1"/>
  <c r="AD71" i="13"/>
  <c r="AD55" i="13" s="1"/>
  <c r="AD39" i="13" s="1"/>
  <c r="AD75" i="13"/>
  <c r="AD59" i="13" s="1"/>
  <c r="AD43" i="13" s="1"/>
  <c r="AD70" i="13"/>
  <c r="AD54" i="13" s="1"/>
  <c r="AD38" i="13" s="1"/>
  <c r="AD74" i="13"/>
  <c r="AD58" i="13" s="1"/>
  <c r="AD42" i="13" s="1"/>
  <c r="AE7" i="13"/>
  <c r="BW7" i="13" s="1"/>
  <c r="BW8" i="13"/>
  <c r="AC27" i="13"/>
  <c r="BU3" i="13"/>
  <c r="AH21" i="11" l="1"/>
  <c r="AH353" i="11"/>
  <c r="AH24" i="11"/>
  <c r="AH385" i="11" s="1"/>
  <c r="AH65" i="11"/>
  <c r="Y318" i="4"/>
  <c r="Y333" i="4"/>
  <c r="Z330" i="4"/>
  <c r="Z315" i="4"/>
  <c r="AC119" i="19"/>
  <c r="AC103" i="19" s="1"/>
  <c r="AC123" i="19"/>
  <c r="AC107" i="19" s="1"/>
  <c r="AC121" i="19"/>
  <c r="AC105" i="19" s="1"/>
  <c r="AC116" i="19"/>
  <c r="AC100" i="19" s="1"/>
  <c r="AC115" i="19"/>
  <c r="AC99" i="19" s="1"/>
  <c r="AC118" i="19"/>
  <c r="AC102" i="19" s="1"/>
  <c r="AC113" i="19"/>
  <c r="AC97" i="19" s="1"/>
  <c r="AC117" i="19"/>
  <c r="AC101" i="19" s="1"/>
  <c r="AC120" i="19"/>
  <c r="AC104" i="19" s="1"/>
  <c r="AC114" i="19"/>
  <c r="AC98" i="19" s="1"/>
  <c r="AC122" i="19"/>
  <c r="AC106" i="19" s="1"/>
  <c r="AF323" i="13"/>
  <c r="AF335" i="13" s="1"/>
  <c r="AF351" i="13"/>
  <c r="AB304" i="4"/>
  <c r="BU27" i="13"/>
  <c r="AC32" i="13"/>
  <c r="AC3" i="2"/>
  <c r="AC7" i="2" s="1"/>
  <c r="AC17" i="2" s="1"/>
  <c r="AC19" i="2" s="1"/>
  <c r="AB310" i="4"/>
  <c r="AB325" i="4"/>
  <c r="AJ111" i="13"/>
  <c r="AJ6" i="13" s="1"/>
  <c r="CB6" i="13" s="1"/>
  <c r="AF191" i="13"/>
  <c r="AF11" i="13" s="1"/>
  <c r="AF131" i="13"/>
  <c r="AB375" i="19"/>
  <c r="AD51" i="13"/>
  <c r="AD79" i="13"/>
  <c r="AD4" i="13" s="1"/>
  <c r="AC30" i="19"/>
  <c r="AC371" i="19"/>
  <c r="AC31" i="6"/>
  <c r="AG243" i="13"/>
  <c r="AG252" i="13"/>
  <c r="AG204" i="13" s="1"/>
  <c r="AG250" i="13"/>
  <c r="AG202" i="13" s="1"/>
  <c r="AG251" i="13"/>
  <c r="AG203" i="13" s="1"/>
  <c r="AG249" i="13"/>
  <c r="AG201" i="13" s="1"/>
  <c r="AG244" i="13"/>
  <c r="AG196" i="13" s="1"/>
  <c r="AG254" i="13"/>
  <c r="AG206" i="13" s="1"/>
  <c r="AG246" i="13"/>
  <c r="AG198" i="13" s="1"/>
  <c r="AG248" i="13"/>
  <c r="AG200" i="13" s="1"/>
  <c r="AG253" i="13"/>
  <c r="AG205" i="13" s="1"/>
  <c r="AG247" i="13"/>
  <c r="AG199" i="13" s="1"/>
  <c r="AG245" i="13"/>
  <c r="AG197" i="13" s="1"/>
  <c r="BX22" i="13"/>
  <c r="AF21" i="13"/>
  <c r="AA313" i="4"/>
  <c r="AA328" i="4"/>
  <c r="Y417" i="3"/>
  <c r="Y432" i="3"/>
  <c r="Z414" i="3"/>
  <c r="Z429" i="3"/>
  <c r="AH373" i="11" l="1"/>
  <c r="AH381" i="11"/>
  <c r="AH378" i="11"/>
  <c r="AH374" i="11"/>
  <c r="AH380" i="11"/>
  <c r="AH376" i="11"/>
  <c r="AH383" i="11"/>
  <c r="AH377" i="11"/>
  <c r="AH379" i="11"/>
  <c r="AH382" i="11"/>
  <c r="AH375" i="11"/>
  <c r="AH350" i="11"/>
  <c r="AH345" i="11"/>
  <c r="AH344" i="11"/>
  <c r="AH342" i="11"/>
  <c r="AH343" i="11"/>
  <c r="AH349" i="11"/>
  <c r="AH351" i="11"/>
  <c r="AH346" i="11"/>
  <c r="AH347" i="11"/>
  <c r="AH348" i="11"/>
  <c r="AH341" i="11"/>
  <c r="AH20" i="11"/>
  <c r="AC293" i="4"/>
  <c r="AC299" i="4"/>
  <c r="AC373" i="19"/>
  <c r="AC372" i="19"/>
  <c r="AC377" i="19"/>
  <c r="AC109" i="19"/>
  <c r="AC292" i="4"/>
  <c r="AD7" i="19"/>
  <c r="AG255" i="13"/>
  <c r="AG15" i="13" s="1"/>
  <c r="AG195" i="13"/>
  <c r="AG207" i="13" s="1"/>
  <c r="AD3" i="13"/>
  <c r="BV4" i="13"/>
  <c r="AD26" i="1"/>
  <c r="AD25" i="1" s="1"/>
  <c r="AC294" i="4"/>
  <c r="AC295" i="4"/>
  <c r="Z331" i="4"/>
  <c r="Z316" i="4"/>
  <c r="AC301" i="4"/>
  <c r="AC296" i="4"/>
  <c r="BX21" i="13"/>
  <c r="AF20" i="13"/>
  <c r="BX20" i="13" s="1"/>
  <c r="AG358" i="13"/>
  <c r="AG342" i="13" s="1"/>
  <c r="AG326" i="13" s="1"/>
  <c r="AG362" i="13"/>
  <c r="AG346" i="13" s="1"/>
  <c r="AG330" i="13" s="1"/>
  <c r="AG357" i="13"/>
  <c r="AG341" i="13" s="1"/>
  <c r="AG325" i="13" s="1"/>
  <c r="AG366" i="13"/>
  <c r="AG350" i="13" s="1"/>
  <c r="AG334" i="13" s="1"/>
  <c r="AG360" i="13"/>
  <c r="AG344" i="13" s="1"/>
  <c r="AG328" i="13" s="1"/>
  <c r="AG361" i="13"/>
  <c r="AG345" i="13" s="1"/>
  <c r="AG329" i="13" s="1"/>
  <c r="AG356" i="13"/>
  <c r="AG340" i="13" s="1"/>
  <c r="AG324" i="13" s="1"/>
  <c r="AG364" i="13"/>
  <c r="AG348" i="13" s="1"/>
  <c r="AG332" i="13" s="1"/>
  <c r="AG359" i="13"/>
  <c r="AG343" i="13" s="1"/>
  <c r="AG327" i="13" s="1"/>
  <c r="AG355" i="13"/>
  <c r="AG365" i="13"/>
  <c r="AG349" i="13" s="1"/>
  <c r="AG333" i="13" s="1"/>
  <c r="AG363" i="13"/>
  <c r="AG347" i="13" s="1"/>
  <c r="AG331" i="13" s="1"/>
  <c r="AC300" i="4"/>
  <c r="AF143" i="13"/>
  <c r="AF115" i="13"/>
  <c r="AF127" i="13" s="1"/>
  <c r="AC302" i="4"/>
  <c r="AA329" i="4"/>
  <c r="AA314" i="4"/>
  <c r="BX11" i="13"/>
  <c r="AF8" i="13"/>
  <c r="AC124" i="19"/>
  <c r="AC108" i="19" s="1"/>
  <c r="AC297" i="4"/>
  <c r="AD35" i="13"/>
  <c r="AD47" i="13" s="1"/>
  <c r="AD63" i="13"/>
  <c r="AD64" i="13" s="1"/>
  <c r="Z415" i="3"/>
  <c r="Z430" i="3"/>
  <c r="AK105" i="13"/>
  <c r="AK102" i="13"/>
  <c r="AK107" i="13"/>
  <c r="AK110" i="13"/>
  <c r="AK106" i="13"/>
  <c r="AK99" i="13"/>
  <c r="AK108" i="13"/>
  <c r="AK101" i="13"/>
  <c r="AK100" i="13"/>
  <c r="AK104" i="13"/>
  <c r="AK109" i="13"/>
  <c r="AK103" i="13"/>
  <c r="AC298" i="4"/>
  <c r="Y334" i="4"/>
  <c r="Y319" i="4"/>
  <c r="Y418" i="3"/>
  <c r="Y433" i="3"/>
  <c r="AB311" i="4"/>
  <c r="AB326" i="4"/>
  <c r="AI4" i="11" l="1"/>
  <c r="AH333" i="11"/>
  <c r="AH204" i="4"/>
  <c r="AH199" i="4"/>
  <c r="AH328" i="11"/>
  <c r="AH214" i="4"/>
  <c r="AH405" i="13"/>
  <c r="AH218" i="4"/>
  <c r="AH409" i="13"/>
  <c r="AH216" i="4"/>
  <c r="AH407" i="13"/>
  <c r="AH197" i="4"/>
  <c r="AH329" i="11"/>
  <c r="AH200" i="4"/>
  <c r="AH352" i="11"/>
  <c r="AH222" i="4"/>
  <c r="AH413" i="13"/>
  <c r="AH221" i="4"/>
  <c r="AH412" i="13"/>
  <c r="AH334" i="11"/>
  <c r="AH205" i="4"/>
  <c r="AH219" i="4"/>
  <c r="AH410" i="13"/>
  <c r="AH196" i="4"/>
  <c r="AH325" i="11"/>
  <c r="AH326" i="11"/>
  <c r="AH213" i="4"/>
  <c r="AH404" i="13"/>
  <c r="AH332" i="11"/>
  <c r="AH203" i="4"/>
  <c r="AH217" i="4"/>
  <c r="AH408" i="13"/>
  <c r="AH406" i="13"/>
  <c r="AH215" i="4"/>
  <c r="AH202" i="4"/>
  <c r="AH331" i="11"/>
  <c r="AH220" i="4"/>
  <c r="AH411" i="13"/>
  <c r="AH198" i="4"/>
  <c r="AH327" i="11"/>
  <c r="AH330" i="11"/>
  <c r="AH201" i="4"/>
  <c r="AH212" i="4"/>
  <c r="AH403" i="13"/>
  <c r="AH206" i="4"/>
  <c r="AH335" i="11"/>
  <c r="AH384" i="11"/>
  <c r="AD125" i="19"/>
  <c r="AD31" i="19"/>
  <c r="AD6" i="19"/>
  <c r="AC375" i="19"/>
  <c r="AC374" i="19"/>
  <c r="Z431" i="3"/>
  <c r="Z416" i="3"/>
  <c r="Y434" i="3"/>
  <c r="Y419" i="3"/>
  <c r="Y435" i="3" s="1"/>
  <c r="AK111" i="13"/>
  <c r="AK6" i="13" s="1"/>
  <c r="CC6" i="13" s="1"/>
  <c r="AC309" i="4"/>
  <c r="AC303" i="4"/>
  <c r="AA330" i="4"/>
  <c r="AA315" i="4"/>
  <c r="AB312" i="4"/>
  <c r="AB327" i="4"/>
  <c r="AE77" i="13"/>
  <c r="AE61" i="13" s="1"/>
  <c r="AE45" i="13" s="1"/>
  <c r="AE67" i="13"/>
  <c r="AE74" i="13"/>
  <c r="AE58" i="13" s="1"/>
  <c r="AE42" i="13" s="1"/>
  <c r="AE75" i="13"/>
  <c r="AE59" i="13" s="1"/>
  <c r="AE43" i="13" s="1"/>
  <c r="AE70" i="13"/>
  <c r="AE54" i="13" s="1"/>
  <c r="AE38" i="13" s="1"/>
  <c r="AE72" i="13"/>
  <c r="AE56" i="13" s="1"/>
  <c r="AE40" i="13" s="1"/>
  <c r="AE68" i="13"/>
  <c r="AE52" i="13" s="1"/>
  <c r="AE36" i="13" s="1"/>
  <c r="AE69" i="13"/>
  <c r="AE53" i="13" s="1"/>
  <c r="AE37" i="13" s="1"/>
  <c r="AE76" i="13"/>
  <c r="AE60" i="13" s="1"/>
  <c r="AE44" i="13" s="1"/>
  <c r="AE71" i="13"/>
  <c r="AE55" i="13" s="1"/>
  <c r="AE39" i="13" s="1"/>
  <c r="AE73" i="13"/>
  <c r="AE57" i="13" s="1"/>
  <c r="AE41" i="13" s="1"/>
  <c r="AE78" i="13"/>
  <c r="AE62" i="13" s="1"/>
  <c r="AE46" i="13" s="1"/>
  <c r="Z317" i="4"/>
  <c r="Z332" i="4"/>
  <c r="AF7" i="13"/>
  <c r="BX7" i="13" s="1"/>
  <c r="BX8" i="13"/>
  <c r="AG179" i="13"/>
  <c r="AG188" i="13"/>
  <c r="AG140" i="13" s="1"/>
  <c r="AG124" i="13" s="1"/>
  <c r="AG183" i="13"/>
  <c r="AG135" i="13" s="1"/>
  <c r="AG119" i="13" s="1"/>
  <c r="AG189" i="13"/>
  <c r="AG141" i="13" s="1"/>
  <c r="AG125" i="13" s="1"/>
  <c r="AG185" i="13"/>
  <c r="AG137" i="13" s="1"/>
  <c r="AG121" i="13" s="1"/>
  <c r="AG186" i="13"/>
  <c r="AG138" i="13" s="1"/>
  <c r="AG122" i="13" s="1"/>
  <c r="AG182" i="13"/>
  <c r="AG134" i="13" s="1"/>
  <c r="AG118" i="13" s="1"/>
  <c r="AG187" i="13"/>
  <c r="AG139" i="13" s="1"/>
  <c r="AG123" i="13" s="1"/>
  <c r="AG180" i="13"/>
  <c r="AG132" i="13" s="1"/>
  <c r="AG116" i="13" s="1"/>
  <c r="AG181" i="13"/>
  <c r="AG133" i="13" s="1"/>
  <c r="AG117" i="13" s="1"/>
  <c r="AG184" i="13"/>
  <c r="AG136" i="13" s="1"/>
  <c r="AG120" i="13" s="1"/>
  <c r="AG190" i="13"/>
  <c r="AG142" i="13" s="1"/>
  <c r="AG126" i="13" s="1"/>
  <c r="AD27" i="13"/>
  <c r="BV3" i="13"/>
  <c r="Y320" i="4"/>
  <c r="Y336" i="4" s="1"/>
  <c r="Y335" i="4"/>
  <c r="BY15" i="13"/>
  <c r="AG12" i="13"/>
  <c r="BY12" i="13" s="1"/>
  <c r="AG339" i="13"/>
  <c r="AG367" i="13"/>
  <c r="AG22" i="13" s="1"/>
  <c r="AH183" i="4" l="1"/>
  <c r="AH40" i="11"/>
  <c r="AH181" i="4"/>
  <c r="AH38" i="11"/>
  <c r="AH189" i="4"/>
  <c r="AH46" i="11"/>
  <c r="AH185" i="4"/>
  <c r="AH42" i="11"/>
  <c r="AH223" i="4"/>
  <c r="AH224" i="4" s="1"/>
  <c r="AH414" i="13"/>
  <c r="AH415" i="13" s="1"/>
  <c r="AH24" i="13" s="1"/>
  <c r="BZ24" i="13" s="1"/>
  <c r="AH186" i="4"/>
  <c r="AH43" i="11"/>
  <c r="AH187" i="4"/>
  <c r="AH44" i="11"/>
  <c r="AH184" i="4"/>
  <c r="AH41" i="11"/>
  <c r="AH190" i="4"/>
  <c r="AH47" i="11"/>
  <c r="AH180" i="4"/>
  <c r="AH337" i="11"/>
  <c r="AH37" i="11"/>
  <c r="AH188" i="4"/>
  <c r="AH45" i="11"/>
  <c r="AH182" i="4"/>
  <c r="AH39" i="11"/>
  <c r="AI81" i="11"/>
  <c r="AI3" i="11"/>
  <c r="AH336" i="11"/>
  <c r="AH207" i="4"/>
  <c r="AH208" i="4" s="1"/>
  <c r="AI28" i="13"/>
  <c r="AI30" i="13" s="1"/>
  <c r="AB313" i="4"/>
  <c r="AB328" i="4"/>
  <c r="Z333" i="4"/>
  <c r="Z318" i="4"/>
  <c r="AC304" i="4"/>
  <c r="AE51" i="13"/>
  <c r="AE79" i="13"/>
  <c r="AE4" i="13" s="1"/>
  <c r="AA331" i="4"/>
  <c r="AA316" i="4"/>
  <c r="AC310" i="4"/>
  <c r="AC325" i="4"/>
  <c r="AD32" i="13"/>
  <c r="BV27" i="13"/>
  <c r="AD3" i="2"/>
  <c r="AD7" i="2" s="1"/>
  <c r="AD17" i="2" s="1"/>
  <c r="AD19" i="2" s="1"/>
  <c r="AD123" i="19"/>
  <c r="AD107" i="19" s="1"/>
  <c r="AD116" i="19"/>
  <c r="AD100" i="19" s="1"/>
  <c r="AD115" i="19"/>
  <c r="AD99" i="19" s="1"/>
  <c r="AD114" i="19"/>
  <c r="AD98" i="19" s="1"/>
  <c r="AD120" i="19"/>
  <c r="AD104" i="19" s="1"/>
  <c r="AD118" i="19"/>
  <c r="AD102" i="19" s="1"/>
  <c r="AD121" i="19"/>
  <c r="AD105" i="19" s="1"/>
  <c r="AD117" i="19"/>
  <c r="AD101" i="19" s="1"/>
  <c r="AD119" i="19"/>
  <c r="AD103" i="19" s="1"/>
  <c r="AD113" i="19"/>
  <c r="AD97" i="19" s="1"/>
  <c r="AD122" i="19"/>
  <c r="AD106" i="19" s="1"/>
  <c r="BY22" i="13"/>
  <c r="AG21" i="13"/>
  <c r="AG191" i="13"/>
  <c r="AG11" i="13" s="1"/>
  <c r="AG131" i="13"/>
  <c r="Z417" i="3"/>
  <c r="Z432" i="3"/>
  <c r="AL99" i="13"/>
  <c r="AL103" i="13"/>
  <c r="AL101" i="13"/>
  <c r="AL106" i="13"/>
  <c r="AL108" i="13"/>
  <c r="AL105" i="13"/>
  <c r="AL107" i="13"/>
  <c r="AL100" i="13"/>
  <c r="AL109" i="13"/>
  <c r="AL102" i="13"/>
  <c r="AL104" i="13"/>
  <c r="AL110" i="13"/>
  <c r="AD371" i="19"/>
  <c r="AD30" i="19"/>
  <c r="AD31" i="6"/>
  <c r="AG323" i="13"/>
  <c r="AG335" i="13" s="1"/>
  <c r="AG351" i="13"/>
  <c r="AH250" i="13"/>
  <c r="AH202" i="13" s="1"/>
  <c r="AH246" i="13"/>
  <c r="AH198" i="13" s="1"/>
  <c r="AH243" i="13"/>
  <c r="AH253" i="13"/>
  <c r="AH205" i="13" s="1"/>
  <c r="AH254" i="13"/>
  <c r="AH206" i="13" s="1"/>
  <c r="AH252" i="13"/>
  <c r="AH204" i="13" s="1"/>
  <c r="AH244" i="13"/>
  <c r="AH196" i="13" s="1"/>
  <c r="AH247" i="13"/>
  <c r="AH199" i="13" s="1"/>
  <c r="AH249" i="13"/>
  <c r="AH201" i="13" s="1"/>
  <c r="AH245" i="13"/>
  <c r="AH197" i="13" s="1"/>
  <c r="AH251" i="13"/>
  <c r="AH203" i="13" s="1"/>
  <c r="AH248" i="13"/>
  <c r="AH200" i="13" s="1"/>
  <c r="AI31" i="11" l="1"/>
  <c r="AI32" i="11" s="1"/>
  <c r="AI27" i="11" s="1"/>
  <c r="AI32" i="15"/>
  <c r="AI75" i="11"/>
  <c r="AI72" i="11"/>
  <c r="AI77" i="11"/>
  <c r="AI76" i="11"/>
  <c r="AI79" i="11"/>
  <c r="AI78" i="11"/>
  <c r="AI70" i="11"/>
  <c r="AI69" i="11"/>
  <c r="AI80" i="11" s="1"/>
  <c r="AI74" i="11"/>
  <c r="AI73" i="11"/>
  <c r="AI71" i="11"/>
  <c r="AH191" i="4"/>
  <c r="AH192" i="4" s="1"/>
  <c r="AH48" i="11"/>
  <c r="AH49" i="11" s="1"/>
  <c r="AE7" i="19"/>
  <c r="AD297" i="4"/>
  <c r="AA332" i="4"/>
  <c r="AA317" i="4"/>
  <c r="AE3" i="13"/>
  <c r="BW4" i="13"/>
  <c r="AG20" i="13"/>
  <c r="BY20" i="13" s="1"/>
  <c r="BY21" i="13"/>
  <c r="AD299" i="4"/>
  <c r="AD294" i="4"/>
  <c r="AE35" i="13"/>
  <c r="AE47" i="13" s="1"/>
  <c r="AE63" i="13"/>
  <c r="AE64" i="13" s="1"/>
  <c r="AD296" i="4"/>
  <c r="AD300" i="4"/>
  <c r="AD295" i="4"/>
  <c r="Z433" i="3"/>
  <c r="Z418" i="3"/>
  <c r="AD124" i="19"/>
  <c r="AD108" i="19" s="1"/>
  <c r="AH358" i="13"/>
  <c r="AH342" i="13" s="1"/>
  <c r="AH326" i="13" s="1"/>
  <c r="AH362" i="13"/>
  <c r="AH346" i="13" s="1"/>
  <c r="AH330" i="13" s="1"/>
  <c r="AH355" i="13"/>
  <c r="AH366" i="13"/>
  <c r="AH350" i="13" s="1"/>
  <c r="AH334" i="13" s="1"/>
  <c r="AH363" i="13"/>
  <c r="AH347" i="13" s="1"/>
  <c r="AH331" i="13" s="1"/>
  <c r="AH364" i="13"/>
  <c r="AH348" i="13" s="1"/>
  <c r="AH332" i="13" s="1"/>
  <c r="AH359" i="13"/>
  <c r="AH343" i="13" s="1"/>
  <c r="AH327" i="13" s="1"/>
  <c r="AH365" i="13"/>
  <c r="AH349" i="13" s="1"/>
  <c r="AH333" i="13" s="1"/>
  <c r="AH356" i="13"/>
  <c r="AH340" i="13" s="1"/>
  <c r="AH324" i="13" s="1"/>
  <c r="AH357" i="13"/>
  <c r="AH341" i="13" s="1"/>
  <c r="AH325" i="13" s="1"/>
  <c r="AH360" i="13"/>
  <c r="AH344" i="13" s="1"/>
  <c r="AH328" i="13" s="1"/>
  <c r="AH361" i="13"/>
  <c r="AH345" i="13" s="1"/>
  <c r="AH329" i="13" s="1"/>
  <c r="AD298" i="4"/>
  <c r="AD302" i="4"/>
  <c r="AG143" i="13"/>
  <c r="AG115" i="13"/>
  <c r="AG127" i="13" s="1"/>
  <c r="AD109" i="19"/>
  <c r="AD292" i="4"/>
  <c r="AC311" i="4"/>
  <c r="AC326" i="4"/>
  <c r="AD372" i="19"/>
  <c r="AD373" i="19"/>
  <c r="AD377" i="19"/>
  <c r="Z319" i="4"/>
  <c r="Z334" i="4"/>
  <c r="AD301" i="4"/>
  <c r="AD293" i="4"/>
  <c r="AL111" i="13"/>
  <c r="AL6" i="13" s="1"/>
  <c r="CD6" i="13" s="1"/>
  <c r="BY11" i="13"/>
  <c r="AG8" i="13"/>
  <c r="AH255" i="13"/>
  <c r="AH15" i="13" s="1"/>
  <c r="AH195" i="13"/>
  <c r="AH207" i="13" s="1"/>
  <c r="AB314" i="4"/>
  <c r="AB329" i="4"/>
  <c r="AI64" i="11" l="1"/>
  <c r="AI60" i="11"/>
  <c r="AI58" i="11"/>
  <c r="AI54" i="11"/>
  <c r="AI62" i="11"/>
  <c r="AJ30" i="11"/>
  <c r="AJ29" i="13"/>
  <c r="AI55" i="11"/>
  <c r="AI53" i="11"/>
  <c r="AI63" i="11"/>
  <c r="AI59" i="11"/>
  <c r="AI57" i="11"/>
  <c r="AI61" i="11"/>
  <c r="AI22" i="11"/>
  <c r="AI33" i="11"/>
  <c r="AI34" i="11" s="1"/>
  <c r="AI31" i="13"/>
  <c r="AI56" i="11"/>
  <c r="AD309" i="4"/>
  <c r="AE27" i="13"/>
  <c r="BW3" i="13"/>
  <c r="AG7" i="13"/>
  <c r="BY7" i="13" s="1"/>
  <c r="BY8" i="13"/>
  <c r="AF78" i="13"/>
  <c r="AF62" i="13" s="1"/>
  <c r="AF46" i="13" s="1"/>
  <c r="AF69" i="13"/>
  <c r="AF53" i="13" s="1"/>
  <c r="AF37" i="13" s="1"/>
  <c r="AF76" i="13"/>
  <c r="AF60" i="13" s="1"/>
  <c r="AF44" i="13" s="1"/>
  <c r="AF77" i="13"/>
  <c r="AF61" i="13" s="1"/>
  <c r="AF45" i="13" s="1"/>
  <c r="AF75" i="13"/>
  <c r="AF59" i="13" s="1"/>
  <c r="AF43" i="13" s="1"/>
  <c r="AF72" i="13"/>
  <c r="AF56" i="13" s="1"/>
  <c r="AF40" i="13" s="1"/>
  <c r="AF68" i="13"/>
  <c r="AF52" i="13" s="1"/>
  <c r="AF36" i="13" s="1"/>
  <c r="AF67" i="13"/>
  <c r="AF74" i="13"/>
  <c r="AF58" i="13" s="1"/>
  <c r="AF42" i="13" s="1"/>
  <c r="AF70" i="13"/>
  <c r="AF54" i="13" s="1"/>
  <c r="AF38" i="13" s="1"/>
  <c r="AF73" i="13"/>
  <c r="AF57" i="13" s="1"/>
  <c r="AF41" i="13" s="1"/>
  <c r="AF71" i="13"/>
  <c r="AF55" i="13" s="1"/>
  <c r="AF39" i="13" s="1"/>
  <c r="AD303" i="4"/>
  <c r="Z434" i="3"/>
  <c r="Z419" i="3"/>
  <c r="Z435" i="3" s="1"/>
  <c r="AM110" i="13"/>
  <c r="AM107" i="13"/>
  <c r="AM105" i="13"/>
  <c r="AM102" i="13"/>
  <c r="AM100" i="13"/>
  <c r="AM103" i="13"/>
  <c r="AM99" i="13"/>
  <c r="AM104" i="13"/>
  <c r="AM108" i="13"/>
  <c r="AM109" i="13"/>
  <c r="AM106" i="13"/>
  <c r="AM101" i="13"/>
  <c r="AB330" i="4"/>
  <c r="AB315" i="4"/>
  <c r="AH339" i="13"/>
  <c r="AH367" i="13"/>
  <c r="AH22" i="13" s="1"/>
  <c r="AE125" i="19"/>
  <c r="AE31" i="19"/>
  <c r="AE6" i="19"/>
  <c r="Z320" i="4"/>
  <c r="Z336" i="4" s="1"/>
  <c r="Z335" i="4"/>
  <c r="AC312" i="4"/>
  <c r="AC327" i="4"/>
  <c r="BZ15" i="13"/>
  <c r="AH12" i="13"/>
  <c r="BZ12" i="13" s="1"/>
  <c r="AH181" i="13"/>
  <c r="AH133" i="13" s="1"/>
  <c r="AH117" i="13" s="1"/>
  <c r="AH186" i="13"/>
  <c r="AH138" i="13" s="1"/>
  <c r="AH122" i="13" s="1"/>
  <c r="AH184" i="13"/>
  <c r="AH136" i="13" s="1"/>
  <c r="AH120" i="13" s="1"/>
  <c r="AH183" i="13"/>
  <c r="AH135" i="13" s="1"/>
  <c r="AH119" i="13" s="1"/>
  <c r="AH187" i="13"/>
  <c r="AH139" i="13" s="1"/>
  <c r="AH123" i="13" s="1"/>
  <c r="AH188" i="13"/>
  <c r="AH140" i="13" s="1"/>
  <c r="AH124" i="13" s="1"/>
  <c r="AH180" i="13"/>
  <c r="AH132" i="13" s="1"/>
  <c r="AH116" i="13" s="1"/>
  <c r="AH189" i="13"/>
  <c r="AH141" i="13" s="1"/>
  <c r="AH125" i="13" s="1"/>
  <c r="AH185" i="13"/>
  <c r="AH137" i="13" s="1"/>
  <c r="AH121" i="13" s="1"/>
  <c r="AH190" i="13"/>
  <c r="AH142" i="13" s="1"/>
  <c r="AH126" i="13" s="1"/>
  <c r="AH179" i="13"/>
  <c r="AH182" i="13"/>
  <c r="AH134" i="13" s="1"/>
  <c r="AH118" i="13" s="1"/>
  <c r="AA318" i="4"/>
  <c r="AA333" i="4"/>
  <c r="AD374" i="19"/>
  <c r="AI24" i="11" l="1"/>
  <c r="AI385" i="11" s="1"/>
  <c r="AI21" i="11"/>
  <c r="AI20" i="11" s="1"/>
  <c r="AI353" i="11"/>
  <c r="AI65" i="11"/>
  <c r="AE371" i="19"/>
  <c r="AE30" i="19"/>
  <c r="BZ22" i="13"/>
  <c r="AH21" i="13"/>
  <c r="BW27" i="13"/>
  <c r="AE32" i="13"/>
  <c r="AE3" i="2"/>
  <c r="AE7" i="2" s="1"/>
  <c r="AE17" i="2" s="1"/>
  <c r="AE19" i="2" s="1"/>
  <c r="AM111" i="13"/>
  <c r="AM6" i="13" s="1"/>
  <c r="CE6" i="13" s="1"/>
  <c r="AF51" i="13"/>
  <c r="AF79" i="13"/>
  <c r="AF4" i="13" s="1"/>
  <c r="AA334" i="4"/>
  <c r="AA319" i="4"/>
  <c r="AH191" i="13"/>
  <c r="AH11" i="13" s="1"/>
  <c r="AH131" i="13"/>
  <c r="AI247" i="13"/>
  <c r="AI199" i="13" s="1"/>
  <c r="AI244" i="13"/>
  <c r="AI196" i="13" s="1"/>
  <c r="AI246" i="13"/>
  <c r="AI198" i="13" s="1"/>
  <c r="AI250" i="13"/>
  <c r="AI202" i="13" s="1"/>
  <c r="AI248" i="13"/>
  <c r="AI200" i="13" s="1"/>
  <c r="AI245" i="13"/>
  <c r="AI197" i="13" s="1"/>
  <c r="AI251" i="13"/>
  <c r="AI203" i="13" s="1"/>
  <c r="AI249" i="13"/>
  <c r="AI201" i="13" s="1"/>
  <c r="AI254" i="13"/>
  <c r="AI206" i="13" s="1"/>
  <c r="AI243" i="13"/>
  <c r="AI252" i="13"/>
  <c r="AI204" i="13" s="1"/>
  <c r="AI253" i="13"/>
  <c r="AI205" i="13" s="1"/>
  <c r="AH323" i="13"/>
  <c r="AH335" i="13" s="1"/>
  <c r="AH351" i="13"/>
  <c r="AB331" i="4"/>
  <c r="AB316" i="4"/>
  <c r="AD304" i="4"/>
  <c r="AE116" i="19"/>
  <c r="AE100" i="19" s="1"/>
  <c r="AE120" i="19"/>
  <c r="AE104" i="19" s="1"/>
  <c r="AE115" i="19"/>
  <c r="AE99" i="19" s="1"/>
  <c r="AE114" i="19"/>
  <c r="AE98" i="19" s="1"/>
  <c r="AE118" i="19"/>
  <c r="AE102" i="19" s="1"/>
  <c r="AE117" i="19"/>
  <c r="AE101" i="19" s="1"/>
  <c r="AE123" i="19"/>
  <c r="AE107" i="19" s="1"/>
  <c r="AE122" i="19"/>
  <c r="AE106" i="19" s="1"/>
  <c r="AE119" i="19"/>
  <c r="AE103" i="19" s="1"/>
  <c r="AE113" i="19"/>
  <c r="AE97" i="19" s="1"/>
  <c r="AE121" i="19"/>
  <c r="AE105" i="19" s="1"/>
  <c r="AD375" i="19"/>
  <c r="AC313" i="4"/>
  <c r="AC328" i="4"/>
  <c r="AD325" i="4"/>
  <c r="AD310" i="4"/>
  <c r="AI343" i="11" l="1"/>
  <c r="AI351" i="11"/>
  <c r="AI347" i="11"/>
  <c r="AI341" i="11"/>
  <c r="AI350" i="11"/>
  <c r="AI342" i="11"/>
  <c r="AI346" i="11"/>
  <c r="AI349" i="11"/>
  <c r="AI344" i="11"/>
  <c r="AI348" i="11"/>
  <c r="AI345" i="11"/>
  <c r="AI378" i="11"/>
  <c r="AI383" i="11"/>
  <c r="AI381" i="11"/>
  <c r="AI380" i="11"/>
  <c r="AI374" i="11"/>
  <c r="AI384" i="11" s="1"/>
  <c r="AI375" i="11"/>
  <c r="AI379" i="11"/>
  <c r="AI376" i="11"/>
  <c r="AI377" i="11"/>
  <c r="AI382" i="11"/>
  <c r="AI373" i="11"/>
  <c r="AE297" i="4"/>
  <c r="AE293" i="4"/>
  <c r="AB332" i="4"/>
  <c r="AB317" i="4"/>
  <c r="AE295" i="4"/>
  <c r="AN106" i="13"/>
  <c r="AN109" i="13"/>
  <c r="AN105" i="13"/>
  <c r="AN108" i="13"/>
  <c r="AN107" i="13"/>
  <c r="AN104" i="13"/>
  <c r="AN103" i="13"/>
  <c r="AN100" i="13"/>
  <c r="AN99" i="13"/>
  <c r="AN102" i="13"/>
  <c r="AN110" i="13"/>
  <c r="AN101" i="13"/>
  <c r="AH20" i="13"/>
  <c r="BZ20" i="13" s="1"/>
  <c r="BZ21" i="13"/>
  <c r="BX4" i="13"/>
  <c r="AF3" i="13"/>
  <c r="AI357" i="13"/>
  <c r="AI341" i="13" s="1"/>
  <c r="AI362" i="13"/>
  <c r="AI346" i="13" s="1"/>
  <c r="AI365" i="13"/>
  <c r="AI349" i="13" s="1"/>
  <c r="AI364" i="13"/>
  <c r="AI348" i="13" s="1"/>
  <c r="AI361" i="13"/>
  <c r="AI345" i="13" s="1"/>
  <c r="AI355" i="13"/>
  <c r="AH115" i="13"/>
  <c r="AH127" i="13" s="1"/>
  <c r="AH143" i="13"/>
  <c r="AE299" i="4"/>
  <c r="BZ11" i="13"/>
  <c r="AH8" i="13"/>
  <c r="AE124" i="19"/>
  <c r="AE108" i="19" s="1"/>
  <c r="AF35" i="13"/>
  <c r="AF47" i="13" s="1"/>
  <c r="AF63" i="13"/>
  <c r="AF64" i="13" s="1"/>
  <c r="AD311" i="4"/>
  <c r="AD326" i="4"/>
  <c r="AE109" i="19"/>
  <c r="AE292" i="4"/>
  <c r="AC329" i="4"/>
  <c r="AC314" i="4"/>
  <c r="AE300" i="4"/>
  <c r="AE298" i="4"/>
  <c r="AE301" i="4"/>
  <c r="AA320" i="4"/>
  <c r="AA336" i="4" s="1"/>
  <c r="AA335" i="4"/>
  <c r="AE302" i="4"/>
  <c r="AF7" i="19"/>
  <c r="AE294" i="4"/>
  <c r="AI255" i="13"/>
  <c r="AI15" i="13" s="1"/>
  <c r="AI195" i="13"/>
  <c r="AI207" i="13" s="1"/>
  <c r="AE296" i="4"/>
  <c r="AE373" i="19"/>
  <c r="AE372" i="19"/>
  <c r="AE377" i="19"/>
  <c r="AI223" i="4" l="1"/>
  <c r="AI414" i="13"/>
  <c r="AI220" i="4"/>
  <c r="AI411" i="13"/>
  <c r="AI329" i="11"/>
  <c r="AI200" i="4"/>
  <c r="AI197" i="4"/>
  <c r="AI217" i="4"/>
  <c r="AI408" i="13"/>
  <c r="AI203" i="4"/>
  <c r="AI332" i="11"/>
  <c r="AI334" i="11"/>
  <c r="AI205" i="4"/>
  <c r="AI333" i="11"/>
  <c r="AI204" i="4"/>
  <c r="AI325" i="11"/>
  <c r="AI196" i="4"/>
  <c r="AI218" i="4"/>
  <c r="AI409" i="13"/>
  <c r="AI326" i="11"/>
  <c r="AI213" i="4"/>
  <c r="AI404" i="13"/>
  <c r="AI222" i="4"/>
  <c r="AI413" i="13"/>
  <c r="AI333" i="13" s="1"/>
  <c r="AI330" i="11"/>
  <c r="AI201" i="4"/>
  <c r="AI202" i="4"/>
  <c r="AI331" i="11"/>
  <c r="AI406" i="13"/>
  <c r="AI215" i="4"/>
  <c r="AJ4" i="11"/>
  <c r="AI335" i="11"/>
  <c r="AI206" i="4"/>
  <c r="AI216" i="4"/>
  <c r="AI407" i="13"/>
  <c r="AI325" i="13"/>
  <c r="AI329" i="13"/>
  <c r="AI359" i="13"/>
  <c r="AI343" i="13" s="1"/>
  <c r="AI212" i="4"/>
  <c r="AI403" i="13"/>
  <c r="AI327" i="11"/>
  <c r="AI198" i="4"/>
  <c r="AI214" i="4"/>
  <c r="AI405" i="13"/>
  <c r="AI219" i="4"/>
  <c r="AI410" i="13"/>
  <c r="AI330" i="13" s="1"/>
  <c r="AI199" i="4"/>
  <c r="AI328" i="11"/>
  <c r="AI356" i="13"/>
  <c r="AI340" i="13" s="1"/>
  <c r="AI358" i="13"/>
  <c r="AI342" i="13" s="1"/>
  <c r="AI360" i="13"/>
  <c r="AI344" i="13" s="1"/>
  <c r="AI328" i="13" s="1"/>
  <c r="AI363" i="13"/>
  <c r="AI347" i="13" s="1"/>
  <c r="AI331" i="13" s="1"/>
  <c r="AI221" i="4"/>
  <c r="AI412" i="13"/>
  <c r="AI332" i="13" s="1"/>
  <c r="AI352" i="11"/>
  <c r="BZ8" i="13"/>
  <c r="AH7" i="13"/>
  <c r="BZ7" i="13" s="1"/>
  <c r="AN111" i="13"/>
  <c r="AN6" i="13" s="1"/>
  <c r="CF6" i="13" s="1"/>
  <c r="AI187" i="13"/>
  <c r="AI139" i="13" s="1"/>
  <c r="AI123" i="13" s="1"/>
  <c r="AI179" i="13"/>
  <c r="AI180" i="13"/>
  <c r="AI132" i="13" s="1"/>
  <c r="AI116" i="13" s="1"/>
  <c r="AI184" i="13"/>
  <c r="AI136" i="13" s="1"/>
  <c r="AI120" i="13" s="1"/>
  <c r="AI188" i="13"/>
  <c r="AI140" i="13" s="1"/>
  <c r="AI124" i="13" s="1"/>
  <c r="AI185" i="13"/>
  <c r="AI137" i="13" s="1"/>
  <c r="AI121" i="13" s="1"/>
  <c r="AI181" i="13"/>
  <c r="AI133" i="13" s="1"/>
  <c r="AI117" i="13" s="1"/>
  <c r="AI182" i="13"/>
  <c r="AI134" i="13" s="1"/>
  <c r="AI118" i="13" s="1"/>
  <c r="AI186" i="13"/>
  <c r="AI138" i="13" s="1"/>
  <c r="AI122" i="13" s="1"/>
  <c r="AI190" i="13"/>
  <c r="AI142" i="13" s="1"/>
  <c r="AI126" i="13" s="1"/>
  <c r="AI189" i="13"/>
  <c r="AI141" i="13" s="1"/>
  <c r="AI125" i="13" s="1"/>
  <c r="AI183" i="13"/>
  <c r="AI135" i="13" s="1"/>
  <c r="AI119" i="13" s="1"/>
  <c r="AF31" i="19"/>
  <c r="AF6" i="19"/>
  <c r="AF125" i="19"/>
  <c r="BX3" i="13"/>
  <c r="AF27" i="13"/>
  <c r="AB318" i="4"/>
  <c r="AB333" i="4"/>
  <c r="AG67" i="13"/>
  <c r="AG70" i="13"/>
  <c r="AG54" i="13" s="1"/>
  <c r="AG38" i="13" s="1"/>
  <c r="AG77" i="13"/>
  <c r="AG61" i="13" s="1"/>
  <c r="AG45" i="13" s="1"/>
  <c r="AG68" i="13"/>
  <c r="AG52" i="13" s="1"/>
  <c r="AG36" i="13" s="1"/>
  <c r="AG74" i="13"/>
  <c r="AG58" i="13" s="1"/>
  <c r="AG42" i="13" s="1"/>
  <c r="AG71" i="13"/>
  <c r="AG55" i="13" s="1"/>
  <c r="AG39" i="13" s="1"/>
  <c r="AG76" i="13"/>
  <c r="AG60" i="13" s="1"/>
  <c r="AG44" i="13" s="1"/>
  <c r="AG78" i="13"/>
  <c r="AG62" i="13" s="1"/>
  <c r="AG46" i="13" s="1"/>
  <c r="AG73" i="13"/>
  <c r="AG57" i="13" s="1"/>
  <c r="AG41" i="13" s="1"/>
  <c r="AG75" i="13"/>
  <c r="AG59" i="13" s="1"/>
  <c r="AG43" i="13" s="1"/>
  <c r="AG72" i="13"/>
  <c r="AG56" i="13" s="1"/>
  <c r="AG40" i="13" s="1"/>
  <c r="AG69" i="13"/>
  <c r="AG53" i="13" s="1"/>
  <c r="AG37" i="13" s="1"/>
  <c r="AC330" i="4"/>
  <c r="AC315" i="4"/>
  <c r="AD312" i="4"/>
  <c r="AD327" i="4"/>
  <c r="AE374" i="19"/>
  <c r="AE303" i="4"/>
  <c r="CA15" i="13"/>
  <c r="AI12" i="13"/>
  <c r="CA12" i="13" s="1"/>
  <c r="AI339" i="13"/>
  <c r="AE309" i="4"/>
  <c r="AI184" i="4" l="1"/>
  <c r="AI41" i="11"/>
  <c r="AI326" i="13"/>
  <c r="AI187" i="4"/>
  <c r="AI44" i="11"/>
  <c r="AI182" i="4"/>
  <c r="AI39" i="11"/>
  <c r="AI190" i="4"/>
  <c r="AI47" i="11"/>
  <c r="AI185" i="4"/>
  <c r="AI42" i="11"/>
  <c r="AI189" i="4"/>
  <c r="AI46" i="11"/>
  <c r="AI181" i="4"/>
  <c r="AI38" i="11"/>
  <c r="AI186" i="4"/>
  <c r="AI43" i="11"/>
  <c r="AI183" i="4"/>
  <c r="AI40" i="11"/>
  <c r="AJ81" i="11"/>
  <c r="AJ3" i="11"/>
  <c r="AI324" i="13"/>
  <c r="AJ28" i="13"/>
  <c r="AJ30" i="13" s="1"/>
  <c r="AI180" i="4"/>
  <c r="AI37" i="11"/>
  <c r="AI188" i="4"/>
  <c r="AI45" i="11"/>
  <c r="AI415" i="13"/>
  <c r="AI24" i="13" s="1"/>
  <c r="CA24" i="13" s="1"/>
  <c r="AI336" i="11"/>
  <c r="AI337" i="11" s="1"/>
  <c r="AI207" i="4"/>
  <c r="AI208" i="4" s="1"/>
  <c r="AI366" i="13"/>
  <c r="AI327" i="13"/>
  <c r="AI224" i="4"/>
  <c r="AI191" i="13"/>
  <c r="AI11" i="13" s="1"/>
  <c r="AI131" i="13"/>
  <c r="AB319" i="4"/>
  <c r="AB334" i="4"/>
  <c r="AE310" i="4"/>
  <c r="AE325" i="4"/>
  <c r="AI323" i="13"/>
  <c r="BX27" i="13"/>
  <c r="AF32" i="13"/>
  <c r="AF3" i="2"/>
  <c r="AF7" i="2" s="1"/>
  <c r="AF17" i="2" s="1"/>
  <c r="AF19" i="2" s="1"/>
  <c r="AD313" i="4"/>
  <c r="AD328" i="4"/>
  <c r="AO99" i="13"/>
  <c r="AO103" i="13"/>
  <c r="AO110" i="13"/>
  <c r="AO106" i="13"/>
  <c r="AO102" i="13"/>
  <c r="AO105" i="13"/>
  <c r="AO107" i="13"/>
  <c r="AO108" i="13"/>
  <c r="AO109" i="13"/>
  <c r="AO101" i="13"/>
  <c r="AO100" i="13"/>
  <c r="AO104" i="13"/>
  <c r="AF119" i="19"/>
  <c r="AF103" i="19" s="1"/>
  <c r="AF122" i="19"/>
  <c r="AF106" i="19" s="1"/>
  <c r="AF115" i="19"/>
  <c r="AF99" i="19" s="1"/>
  <c r="AF114" i="19"/>
  <c r="AF98" i="19" s="1"/>
  <c r="AF113" i="19"/>
  <c r="AF97" i="19" s="1"/>
  <c r="AF118" i="19"/>
  <c r="AF102" i="19" s="1"/>
  <c r="AF120" i="19"/>
  <c r="AF104" i="19" s="1"/>
  <c r="AF116" i="19"/>
  <c r="AF100" i="19" s="1"/>
  <c r="AF121" i="19"/>
  <c r="AF105" i="19" s="1"/>
  <c r="AF117" i="19"/>
  <c r="AF101" i="19" s="1"/>
  <c r="AF123" i="19"/>
  <c r="AF107" i="19" s="1"/>
  <c r="AE304" i="4"/>
  <c r="AC331" i="4"/>
  <c r="AC316" i="4"/>
  <c r="AG51" i="13"/>
  <c r="AG79" i="13"/>
  <c r="AG4" i="13" s="1"/>
  <c r="AF371" i="19"/>
  <c r="AF30" i="19"/>
  <c r="AE375" i="19"/>
  <c r="AJ254" i="13"/>
  <c r="AJ206" i="13" s="1"/>
  <c r="AJ249" i="13"/>
  <c r="AJ201" i="13" s="1"/>
  <c r="AJ253" i="13"/>
  <c r="AJ205" i="13" s="1"/>
  <c r="AJ245" i="13"/>
  <c r="AJ197" i="13" s="1"/>
  <c r="AJ247" i="13"/>
  <c r="AJ199" i="13" s="1"/>
  <c r="AJ252" i="13"/>
  <c r="AJ204" i="13" s="1"/>
  <c r="AJ248" i="13"/>
  <c r="AJ200" i="13" s="1"/>
  <c r="AJ250" i="13"/>
  <c r="AJ202" i="13" s="1"/>
  <c r="AJ251" i="13"/>
  <c r="AJ203" i="13" s="1"/>
  <c r="AJ243" i="13"/>
  <c r="AJ246" i="13"/>
  <c r="AJ198" i="13" s="1"/>
  <c r="AJ244" i="13"/>
  <c r="AJ196" i="13" s="1"/>
  <c r="AJ78" i="11" l="1"/>
  <c r="AJ79" i="11"/>
  <c r="AJ71" i="11"/>
  <c r="AJ73" i="11"/>
  <c r="AJ77" i="11"/>
  <c r="AJ76" i="11"/>
  <c r="AJ74" i="11"/>
  <c r="AJ69" i="11"/>
  <c r="AJ70" i="11"/>
  <c r="AJ75" i="11"/>
  <c r="AJ72" i="11"/>
  <c r="AI192" i="4"/>
  <c r="AJ31" i="11"/>
  <c r="AJ32" i="11" s="1"/>
  <c r="AJ27" i="11" s="1"/>
  <c r="AJ32" i="15"/>
  <c r="AI191" i="4"/>
  <c r="AI48" i="11"/>
  <c r="AI49" i="11" s="1"/>
  <c r="AI350" i="13"/>
  <c r="AI367" i="13"/>
  <c r="AI22" i="13" s="1"/>
  <c r="AF298" i="4"/>
  <c r="AF295" i="4"/>
  <c r="AF292" i="4"/>
  <c r="AE311" i="4"/>
  <c r="AE326" i="4"/>
  <c r="AF299" i="4"/>
  <c r="AF124" i="19"/>
  <c r="AF108" i="19" s="1"/>
  <c r="AF109" i="19" s="1"/>
  <c r="AG7" i="19"/>
  <c r="AF373" i="19"/>
  <c r="AF372" i="19"/>
  <c r="AF377" i="19"/>
  <c r="AG3" i="13"/>
  <c r="BY4" i="13"/>
  <c r="AG35" i="13"/>
  <c r="AG47" i="13" s="1"/>
  <c r="AG63" i="13"/>
  <c r="AG64" i="13" s="1"/>
  <c r="AF294" i="4"/>
  <c r="AC332" i="4"/>
  <c r="AC317" i="4"/>
  <c r="AD314" i="4"/>
  <c r="AD329" i="4"/>
  <c r="AI143" i="13"/>
  <c r="AI115" i="13"/>
  <c r="AI127" i="13" s="1"/>
  <c r="AO111" i="13"/>
  <c r="AO6" i="13" s="1"/>
  <c r="CG6" i="13" s="1"/>
  <c r="AF302" i="4"/>
  <c r="CA11" i="13"/>
  <c r="AI8" i="13"/>
  <c r="AF301" i="4"/>
  <c r="AB335" i="4"/>
  <c r="AB320" i="4"/>
  <c r="AB336" i="4" s="1"/>
  <c r="AF296" i="4"/>
  <c r="AF297" i="4"/>
  <c r="AF293" i="4"/>
  <c r="AJ255" i="13"/>
  <c r="AJ15" i="13" s="1"/>
  <c r="AJ195" i="13"/>
  <c r="AJ207" i="13" s="1"/>
  <c r="AF300" i="4"/>
  <c r="AJ31" i="13" l="1"/>
  <c r="AJ33" i="11"/>
  <c r="AJ34" i="11" s="1"/>
  <c r="AJ54" i="11"/>
  <c r="AJ53" i="11"/>
  <c r="AJ58" i="11"/>
  <c r="AJ60" i="11"/>
  <c r="AJ22" i="11"/>
  <c r="AJ56" i="11"/>
  <c r="AJ61" i="11"/>
  <c r="AK30" i="11"/>
  <c r="AK29" i="13"/>
  <c r="AJ57" i="11"/>
  <c r="AJ55" i="11"/>
  <c r="AJ63" i="11"/>
  <c r="AJ59" i="11"/>
  <c r="CA22" i="13"/>
  <c r="AI21" i="13"/>
  <c r="AJ62" i="11"/>
  <c r="AI334" i="13"/>
  <c r="AI335" i="13" s="1"/>
  <c r="AI351" i="13"/>
  <c r="AJ80" i="11"/>
  <c r="AD330" i="4"/>
  <c r="AD315" i="4"/>
  <c r="AF374" i="19"/>
  <c r="AF375" i="19" s="1"/>
  <c r="AC318" i="4"/>
  <c r="AC333" i="4"/>
  <c r="AG31" i="19"/>
  <c r="AG125" i="19"/>
  <c r="AG6" i="19"/>
  <c r="AF304" i="4"/>
  <c r="AF309" i="4"/>
  <c r="AH70" i="13"/>
  <c r="AH54" i="13" s="1"/>
  <c r="AH38" i="13" s="1"/>
  <c r="AH74" i="13"/>
  <c r="AH58" i="13" s="1"/>
  <c r="AH42" i="13" s="1"/>
  <c r="AH77" i="13"/>
  <c r="AH61" i="13" s="1"/>
  <c r="AH45" i="13" s="1"/>
  <c r="AH71" i="13"/>
  <c r="AH55" i="13" s="1"/>
  <c r="AH39" i="13" s="1"/>
  <c r="AH75" i="13"/>
  <c r="AH59" i="13" s="1"/>
  <c r="AH43" i="13" s="1"/>
  <c r="AH67" i="13"/>
  <c r="AH68" i="13"/>
  <c r="AH52" i="13" s="1"/>
  <c r="AH36" i="13" s="1"/>
  <c r="AH72" i="13"/>
  <c r="AH56" i="13" s="1"/>
  <c r="AH40" i="13" s="1"/>
  <c r="AH73" i="13"/>
  <c r="AH57" i="13" s="1"/>
  <c r="AH41" i="13" s="1"/>
  <c r="AH69" i="13"/>
  <c r="AH53" i="13" s="1"/>
  <c r="AH37" i="13" s="1"/>
  <c r="AH76" i="13"/>
  <c r="AH60" i="13" s="1"/>
  <c r="AH44" i="13" s="1"/>
  <c r="AH78" i="13"/>
  <c r="AH62" i="13" s="1"/>
  <c r="AH46" i="13" s="1"/>
  <c r="AF303" i="4"/>
  <c r="AI7" i="13"/>
  <c r="CA7" i="13" s="1"/>
  <c r="CA8" i="13"/>
  <c r="CB15" i="13"/>
  <c r="AJ12" i="13"/>
  <c r="CB12" i="13" s="1"/>
  <c r="AE312" i="4"/>
  <c r="AE327" i="4"/>
  <c r="AJ183" i="13"/>
  <c r="AJ135" i="13" s="1"/>
  <c r="AJ119" i="13" s="1"/>
  <c r="AJ180" i="13"/>
  <c r="AJ132" i="13" s="1"/>
  <c r="AJ116" i="13" s="1"/>
  <c r="AJ181" i="13"/>
  <c r="AJ133" i="13" s="1"/>
  <c r="AJ117" i="13" s="1"/>
  <c r="AJ189" i="13"/>
  <c r="AJ141" i="13" s="1"/>
  <c r="AJ125" i="13" s="1"/>
  <c r="AJ190" i="13"/>
  <c r="AJ142" i="13" s="1"/>
  <c r="AJ126" i="13" s="1"/>
  <c r="AJ182" i="13"/>
  <c r="AJ134" i="13" s="1"/>
  <c r="AJ118" i="13" s="1"/>
  <c r="AJ187" i="13"/>
  <c r="AJ139" i="13" s="1"/>
  <c r="AJ123" i="13" s="1"/>
  <c r="AJ186" i="13"/>
  <c r="AJ138" i="13" s="1"/>
  <c r="AJ122" i="13" s="1"/>
  <c r="AJ188" i="13"/>
  <c r="AJ140" i="13" s="1"/>
  <c r="AJ124" i="13" s="1"/>
  <c r="AJ185" i="13"/>
  <c r="AJ137" i="13" s="1"/>
  <c r="AJ121" i="13" s="1"/>
  <c r="AJ179" i="13"/>
  <c r="AJ184" i="13"/>
  <c r="AJ136" i="13" s="1"/>
  <c r="AJ120" i="13" s="1"/>
  <c r="AP105" i="13"/>
  <c r="AP106" i="13"/>
  <c r="AP99" i="13"/>
  <c r="AP104" i="13"/>
  <c r="AP107" i="13"/>
  <c r="AP110" i="13"/>
  <c r="AP109" i="13"/>
  <c r="AP108" i="13"/>
  <c r="AP100" i="13"/>
  <c r="AP101" i="13"/>
  <c r="AP102" i="13"/>
  <c r="AP103" i="13"/>
  <c r="AG27" i="13"/>
  <c r="BY3" i="13"/>
  <c r="AI20" i="13" l="1"/>
  <c r="CA20" i="13" s="1"/>
  <c r="CA21" i="13"/>
  <c r="AJ64" i="11"/>
  <c r="AJ24" i="11"/>
  <c r="AJ385" i="11" s="1"/>
  <c r="AJ21" i="11"/>
  <c r="AJ353" i="11"/>
  <c r="AG30" i="19"/>
  <c r="AG371" i="19"/>
  <c r="AG122" i="19"/>
  <c r="AG106" i="19" s="1"/>
  <c r="AG115" i="19"/>
  <c r="AG99" i="19" s="1"/>
  <c r="AG114" i="19"/>
  <c r="AG98" i="19" s="1"/>
  <c r="AG113" i="19"/>
  <c r="AG97" i="19" s="1"/>
  <c r="AG123" i="19"/>
  <c r="AG107" i="19" s="1"/>
  <c r="AG119" i="19"/>
  <c r="AG103" i="19" s="1"/>
  <c r="AG120" i="19"/>
  <c r="AG104" i="19" s="1"/>
  <c r="AG116" i="19"/>
  <c r="AG100" i="19" s="1"/>
  <c r="AG117" i="19"/>
  <c r="AG101" i="19" s="1"/>
  <c r="AG118" i="19"/>
  <c r="AG102" i="19" s="1"/>
  <c r="AG121" i="19"/>
  <c r="AG105" i="19" s="1"/>
  <c r="AC319" i="4"/>
  <c r="AC334" i="4"/>
  <c r="AF325" i="4"/>
  <c r="AF310" i="4"/>
  <c r="AE313" i="4"/>
  <c r="AE328" i="4"/>
  <c r="AH79" i="13"/>
  <c r="AH4" i="13" s="1"/>
  <c r="AH51" i="13"/>
  <c r="AK250" i="13"/>
  <c r="AK202" i="13" s="1"/>
  <c r="AK247" i="13"/>
  <c r="AK199" i="13" s="1"/>
  <c r="AK246" i="13"/>
  <c r="AK198" i="13" s="1"/>
  <c r="AK251" i="13"/>
  <c r="AK203" i="13" s="1"/>
  <c r="AK252" i="13"/>
  <c r="AK204" i="13" s="1"/>
  <c r="AK243" i="13"/>
  <c r="AK244" i="13"/>
  <c r="AK196" i="13" s="1"/>
  <c r="AK254" i="13"/>
  <c r="AK206" i="13" s="1"/>
  <c r="AK248" i="13"/>
  <c r="AK200" i="13" s="1"/>
  <c r="AK253" i="13"/>
  <c r="AK205" i="13" s="1"/>
  <c r="AK245" i="13"/>
  <c r="AK197" i="13" s="1"/>
  <c r="AK249" i="13"/>
  <c r="AK201" i="13" s="1"/>
  <c r="AJ191" i="13"/>
  <c r="AJ11" i="13" s="1"/>
  <c r="AJ131" i="13"/>
  <c r="AD331" i="4"/>
  <c r="AD316" i="4"/>
  <c r="AP111" i="13"/>
  <c r="AP6" i="13" s="1"/>
  <c r="CH6" i="13" s="1"/>
  <c r="AG32" i="13"/>
  <c r="BY27" i="13"/>
  <c r="AG3" i="2"/>
  <c r="AG7" i="2" s="1"/>
  <c r="AG17" i="2" s="1"/>
  <c r="AG19" i="2" s="1"/>
  <c r="AJ349" i="11" l="1"/>
  <c r="AJ348" i="11"/>
  <c r="AJ345" i="11"/>
  <c r="AJ346" i="11"/>
  <c r="AJ351" i="11"/>
  <c r="AJ347" i="11"/>
  <c r="AJ350" i="11"/>
  <c r="AJ341" i="11"/>
  <c r="AJ344" i="11"/>
  <c r="AJ342" i="11"/>
  <c r="AJ343" i="11"/>
  <c r="AJ20" i="11"/>
  <c r="AJ380" i="11"/>
  <c r="AJ379" i="11"/>
  <c r="AJ383" i="11"/>
  <c r="AJ373" i="11"/>
  <c r="AJ378" i="11"/>
  <c r="AJ377" i="11"/>
  <c r="AJ375" i="11"/>
  <c r="AJ376" i="11"/>
  <c r="AJ374" i="11"/>
  <c r="AJ381" i="11"/>
  <c r="AJ382" i="11"/>
  <c r="AJ65" i="11"/>
  <c r="AG295" i="4"/>
  <c r="AG299" i="4"/>
  <c r="AG296" i="4"/>
  <c r="CB11" i="13"/>
  <c r="AJ8" i="13"/>
  <c r="AG298" i="4"/>
  <c r="AG302" i="4"/>
  <c r="AC320" i="4"/>
  <c r="AC336" i="4" s="1"/>
  <c r="AC335" i="4"/>
  <c r="AH63" i="13"/>
  <c r="AH64" i="13" s="1"/>
  <c r="AH35" i="13"/>
  <c r="AH47" i="13" s="1"/>
  <c r="AG109" i="19"/>
  <c r="AG292" i="4"/>
  <c r="AG293" i="4"/>
  <c r="AG294" i="4"/>
  <c r="AE314" i="4"/>
  <c r="AE329" i="4"/>
  <c r="AG301" i="4"/>
  <c r="AF326" i="4"/>
  <c r="AF311" i="4"/>
  <c r="AG373" i="19"/>
  <c r="AG372" i="19"/>
  <c r="AG377" i="19"/>
  <c r="AD317" i="4"/>
  <c r="AD332" i="4"/>
  <c r="AH3" i="13"/>
  <c r="BZ4" i="13"/>
  <c r="AH7" i="19"/>
  <c r="AG300" i="4"/>
  <c r="AG124" i="19"/>
  <c r="AG108" i="19" s="1"/>
  <c r="AG297" i="4"/>
  <c r="AJ143" i="13"/>
  <c r="AJ115" i="13"/>
  <c r="AJ127" i="13" s="1"/>
  <c r="AK255" i="13"/>
  <c r="AK15" i="13" s="1"/>
  <c r="AK195" i="13"/>
  <c r="AK207" i="13" s="1"/>
  <c r="AJ335" i="11" l="1"/>
  <c r="AJ222" i="4"/>
  <c r="AJ413" i="13"/>
  <c r="AJ198" i="4"/>
  <c r="AJ327" i="11"/>
  <c r="AJ357" i="13"/>
  <c r="AJ341" i="13" s="1"/>
  <c r="AJ205" i="4"/>
  <c r="AJ334" i="11"/>
  <c r="AJ364" i="13"/>
  <c r="AJ348" i="13" s="1"/>
  <c r="AJ332" i="13" s="1"/>
  <c r="AJ325" i="11"/>
  <c r="AJ212" i="4"/>
  <c r="AJ403" i="13"/>
  <c r="AJ197" i="4"/>
  <c r="AJ326" i="11"/>
  <c r="AJ356" i="13"/>
  <c r="AJ340" i="13" s="1"/>
  <c r="AJ324" i="13" s="1"/>
  <c r="AJ202" i="4"/>
  <c r="AJ331" i="11"/>
  <c r="AJ361" i="13"/>
  <c r="AJ345" i="13" s="1"/>
  <c r="AJ329" i="13" s="1"/>
  <c r="AK4" i="11"/>
  <c r="AJ196" i="4"/>
  <c r="AJ355" i="13"/>
  <c r="AJ221" i="4"/>
  <c r="AJ412" i="13"/>
  <c r="AJ206" i="4"/>
  <c r="AJ365" i="13"/>
  <c r="AJ349" i="13" s="1"/>
  <c r="AJ333" i="13" s="1"/>
  <c r="AJ220" i="4"/>
  <c r="AJ411" i="13"/>
  <c r="AJ201" i="4"/>
  <c r="AJ330" i="11"/>
  <c r="AJ360" i="13"/>
  <c r="AJ344" i="13" s="1"/>
  <c r="AJ218" i="4"/>
  <c r="AJ409" i="13"/>
  <c r="AJ199" i="4"/>
  <c r="AJ328" i="11"/>
  <c r="AJ358" i="13"/>
  <c r="AJ342" i="13" s="1"/>
  <c r="AJ213" i="4"/>
  <c r="AJ404" i="13"/>
  <c r="AJ329" i="11"/>
  <c r="AJ200" i="4"/>
  <c r="AJ359" i="13"/>
  <c r="AJ343" i="13" s="1"/>
  <c r="AJ327" i="13" s="1"/>
  <c r="AJ219" i="4"/>
  <c r="AJ410" i="13"/>
  <c r="AJ215" i="4"/>
  <c r="AJ406" i="13"/>
  <c r="AJ332" i="11"/>
  <c r="AJ203" i="4"/>
  <c r="AJ362" i="13"/>
  <c r="AJ346" i="13" s="1"/>
  <c r="AJ384" i="11"/>
  <c r="AJ214" i="4"/>
  <c r="AJ405" i="13"/>
  <c r="AJ204" i="4"/>
  <c r="AJ333" i="11"/>
  <c r="AJ363" i="13"/>
  <c r="AJ347" i="13" s="1"/>
  <c r="AJ331" i="13" s="1"/>
  <c r="AJ217" i="4"/>
  <c r="AJ408" i="13"/>
  <c r="AJ216" i="4"/>
  <c r="AJ407" i="13"/>
  <c r="AJ352" i="11"/>
  <c r="AH27" i="13"/>
  <c r="BZ3" i="13"/>
  <c r="CC15" i="13"/>
  <c r="AK12" i="13"/>
  <c r="CC12" i="13" s="1"/>
  <c r="AF312" i="4"/>
  <c r="AF327" i="4"/>
  <c r="AJ7" i="13"/>
  <c r="CB7" i="13" s="1"/>
  <c r="CB8" i="13"/>
  <c r="AK182" i="13"/>
  <c r="AK134" i="13" s="1"/>
  <c r="AK118" i="13" s="1"/>
  <c r="AK180" i="13"/>
  <c r="AK132" i="13" s="1"/>
  <c r="AK116" i="13" s="1"/>
  <c r="AK186" i="13"/>
  <c r="AK138" i="13" s="1"/>
  <c r="AK122" i="13" s="1"/>
  <c r="AK184" i="13"/>
  <c r="AK136" i="13" s="1"/>
  <c r="AK120" i="13" s="1"/>
  <c r="AK179" i="13"/>
  <c r="AK185" i="13"/>
  <c r="AK137" i="13" s="1"/>
  <c r="AK121" i="13" s="1"/>
  <c r="AK187" i="13"/>
  <c r="AK139" i="13" s="1"/>
  <c r="AK123" i="13" s="1"/>
  <c r="AK190" i="13"/>
  <c r="AK142" i="13" s="1"/>
  <c r="AK126" i="13" s="1"/>
  <c r="AK181" i="13"/>
  <c r="AK133" i="13" s="1"/>
  <c r="AK117" i="13" s="1"/>
  <c r="AK183" i="13"/>
  <c r="AK135" i="13" s="1"/>
  <c r="AK119" i="13" s="1"/>
  <c r="AK188" i="13"/>
  <c r="AK140" i="13" s="1"/>
  <c r="AK124" i="13" s="1"/>
  <c r="AK189" i="13"/>
  <c r="AK141" i="13" s="1"/>
  <c r="AK125" i="13" s="1"/>
  <c r="AE330" i="4"/>
  <c r="AE315" i="4"/>
  <c r="AI70" i="13"/>
  <c r="AI54" i="13" s="1"/>
  <c r="AI38" i="13" s="1"/>
  <c r="AI67" i="13"/>
  <c r="AI72" i="13"/>
  <c r="AI56" i="13" s="1"/>
  <c r="AI40" i="13" s="1"/>
  <c r="AI75" i="13"/>
  <c r="AI59" i="13" s="1"/>
  <c r="AI43" i="13" s="1"/>
  <c r="AI76" i="13"/>
  <c r="AI60" i="13" s="1"/>
  <c r="AI44" i="13" s="1"/>
  <c r="AI77" i="13"/>
  <c r="AI61" i="13" s="1"/>
  <c r="AI45" i="13" s="1"/>
  <c r="AI68" i="13"/>
  <c r="AI52" i="13" s="1"/>
  <c r="AI36" i="13" s="1"/>
  <c r="AI69" i="13"/>
  <c r="AI53" i="13" s="1"/>
  <c r="AI37" i="13" s="1"/>
  <c r="AI78" i="13"/>
  <c r="AI62" i="13" s="1"/>
  <c r="AI46" i="13" s="1"/>
  <c r="AI74" i="13"/>
  <c r="AI58" i="13" s="1"/>
  <c r="AI42" i="13" s="1"/>
  <c r="AI73" i="13"/>
  <c r="AI57" i="13" s="1"/>
  <c r="AI41" i="13" s="1"/>
  <c r="AI71" i="13"/>
  <c r="AI55" i="13" s="1"/>
  <c r="AI39" i="13" s="1"/>
  <c r="AD318" i="4"/>
  <c r="AD333" i="4"/>
  <c r="AG303" i="4"/>
  <c r="AG374" i="19"/>
  <c r="AG375" i="19" s="1"/>
  <c r="AH31" i="19"/>
  <c r="AH125" i="19"/>
  <c r="AH6" i="19"/>
  <c r="AG309" i="4"/>
  <c r="AJ181" i="4" l="1"/>
  <c r="AJ38" i="11"/>
  <c r="AJ182" i="4"/>
  <c r="AJ39" i="11"/>
  <c r="AJ223" i="4"/>
  <c r="AJ224" i="4" s="1"/>
  <c r="AJ414" i="13"/>
  <c r="AJ189" i="4"/>
  <c r="AJ46" i="11"/>
  <c r="AJ328" i="13"/>
  <c r="AJ185" i="4"/>
  <c r="AJ42" i="11"/>
  <c r="AJ339" i="13"/>
  <c r="AJ367" i="13"/>
  <c r="AJ22" i="13" s="1"/>
  <c r="AJ330" i="13"/>
  <c r="AJ326" i="13"/>
  <c r="AJ188" i="4"/>
  <c r="AJ45" i="11"/>
  <c r="AJ186" i="4"/>
  <c r="AJ43" i="11"/>
  <c r="AJ184" i="4"/>
  <c r="AJ41" i="11"/>
  <c r="AJ187" i="4"/>
  <c r="AJ44" i="11"/>
  <c r="AJ325" i="13"/>
  <c r="AJ183" i="4"/>
  <c r="AJ40" i="11"/>
  <c r="AK81" i="11"/>
  <c r="AK3" i="11"/>
  <c r="AJ415" i="13"/>
  <c r="AJ24" i="13" s="1"/>
  <c r="CB24" i="13" s="1"/>
  <c r="AJ207" i="4"/>
  <c r="AJ208" i="4" s="1"/>
  <c r="AJ336" i="11"/>
  <c r="AJ366" i="13"/>
  <c r="AJ350" i="13" s="1"/>
  <c r="AJ334" i="13" s="1"/>
  <c r="AK28" i="13"/>
  <c r="AK30" i="13" s="1"/>
  <c r="AJ180" i="4"/>
  <c r="AJ337" i="11"/>
  <c r="AJ37" i="11"/>
  <c r="AJ190" i="4"/>
  <c r="AJ47" i="11"/>
  <c r="AE331" i="4"/>
  <c r="AE316" i="4"/>
  <c r="AD319" i="4"/>
  <c r="AD334" i="4"/>
  <c r="AK191" i="13"/>
  <c r="AK11" i="13" s="1"/>
  <c r="AK131" i="13"/>
  <c r="AI51" i="13"/>
  <c r="AI79" i="13"/>
  <c r="AI4" i="13" s="1"/>
  <c r="AG304" i="4"/>
  <c r="AF313" i="4"/>
  <c r="AF328" i="4"/>
  <c r="AH371" i="19"/>
  <c r="AH30" i="19"/>
  <c r="AH115" i="19"/>
  <c r="AH99" i="19" s="1"/>
  <c r="AH119" i="19"/>
  <c r="AH103" i="19" s="1"/>
  <c r="AH114" i="19"/>
  <c r="AH98" i="19" s="1"/>
  <c r="AH113" i="19"/>
  <c r="AH97" i="19" s="1"/>
  <c r="AH123" i="19"/>
  <c r="AH107" i="19" s="1"/>
  <c r="AH122" i="19"/>
  <c r="AH106" i="19" s="1"/>
  <c r="AH121" i="19"/>
  <c r="AH105" i="19" s="1"/>
  <c r="AH120" i="19"/>
  <c r="AH104" i="19" s="1"/>
  <c r="AH118" i="19"/>
  <c r="AH102" i="19" s="1"/>
  <c r="AH117" i="19"/>
  <c r="AH101" i="19" s="1"/>
  <c r="AH116" i="19"/>
  <c r="AH100" i="19" s="1"/>
  <c r="AG325" i="4"/>
  <c r="AG310" i="4"/>
  <c r="AL253" i="13"/>
  <c r="AL205" i="13" s="1"/>
  <c r="AL248" i="13"/>
  <c r="AL200" i="13" s="1"/>
  <c r="AL250" i="13"/>
  <c r="AL202" i="13" s="1"/>
  <c r="AL251" i="13"/>
  <c r="AL203" i="13" s="1"/>
  <c r="AL252" i="13"/>
  <c r="AL204" i="13" s="1"/>
  <c r="AL249" i="13"/>
  <c r="AL201" i="13" s="1"/>
  <c r="AL245" i="13"/>
  <c r="AL197" i="13" s="1"/>
  <c r="AL247" i="13"/>
  <c r="AL199" i="13" s="1"/>
  <c r="AL244" i="13"/>
  <c r="AL196" i="13" s="1"/>
  <c r="AL246" i="13"/>
  <c r="AL198" i="13" s="1"/>
  <c r="AL254" i="13"/>
  <c r="AL206" i="13" s="1"/>
  <c r="AL243" i="13"/>
  <c r="BC374" i="19"/>
  <c r="BZ27" i="13"/>
  <c r="AH32" i="13"/>
  <c r="AK31" i="11" l="1"/>
  <c r="AK32" i="11" s="1"/>
  <c r="AK27" i="11" s="1"/>
  <c r="AK32" i="15"/>
  <c r="CB22" i="13"/>
  <c r="AJ21" i="13"/>
  <c r="AJ191" i="4"/>
  <c r="AJ192" i="4" s="1"/>
  <c r="AJ48" i="11"/>
  <c r="AJ49" i="11" s="1"/>
  <c r="AK74" i="11"/>
  <c r="AK71" i="11"/>
  <c r="AK75" i="11"/>
  <c r="AK77" i="11"/>
  <c r="AK73" i="11"/>
  <c r="AK76" i="11"/>
  <c r="AK70" i="11"/>
  <c r="AK80" i="11" s="1"/>
  <c r="AK72" i="11"/>
  <c r="AK79" i="11"/>
  <c r="AK69" i="11"/>
  <c r="AK78" i="11"/>
  <c r="AJ323" i="13"/>
  <c r="AJ335" i="13" s="1"/>
  <c r="AJ351" i="13"/>
  <c r="AH372" i="19"/>
  <c r="AH373" i="19"/>
  <c r="AH377" i="19"/>
  <c r="AH296" i="4"/>
  <c r="AK143" i="13"/>
  <c r="AK115" i="13"/>
  <c r="AK127" i="13" s="1"/>
  <c r="AI3" i="13"/>
  <c r="CA4" i="13"/>
  <c r="AH297" i="4"/>
  <c r="CC11" i="13"/>
  <c r="AK8" i="13"/>
  <c r="AH299" i="4"/>
  <c r="AH295" i="4"/>
  <c r="AH124" i="19"/>
  <c r="AH108" i="19" s="1"/>
  <c r="AH109" i="19" s="1"/>
  <c r="AH301" i="4"/>
  <c r="AI7" i="19"/>
  <c r="AG311" i="4"/>
  <c r="AG326" i="4"/>
  <c r="AF314" i="4"/>
  <c r="AF329" i="4"/>
  <c r="AH302" i="4"/>
  <c r="AH300" i="4"/>
  <c r="AH292" i="4"/>
  <c r="BC375" i="19"/>
  <c r="AH293" i="4"/>
  <c r="AD320" i="4"/>
  <c r="AD336" i="4" s="1"/>
  <c r="AD335" i="4"/>
  <c r="AI63" i="13"/>
  <c r="AI64" i="13" s="1"/>
  <c r="AI35" i="13"/>
  <c r="AI47" i="13" s="1"/>
  <c r="AL255" i="13"/>
  <c r="AL15" i="13" s="1"/>
  <c r="AL195" i="13"/>
  <c r="AL207" i="13" s="1"/>
  <c r="AH298" i="4"/>
  <c r="AE317" i="4"/>
  <c r="AE332" i="4"/>
  <c r="AH294" i="4"/>
  <c r="AK64" i="11" l="1"/>
  <c r="AK58" i="11"/>
  <c r="AK59" i="11"/>
  <c r="AL30" i="11"/>
  <c r="AL29" i="13"/>
  <c r="AK55" i="11"/>
  <c r="AK60" i="11"/>
  <c r="AJ20" i="13"/>
  <c r="CB20" i="13" s="1"/>
  <c r="CB21" i="13"/>
  <c r="AK54" i="11"/>
  <c r="AK62" i="11"/>
  <c r="AK57" i="11"/>
  <c r="AK33" i="11"/>
  <c r="AK34" i="11" s="1"/>
  <c r="AK31" i="13"/>
  <c r="AK53" i="11"/>
  <c r="AK63" i="11"/>
  <c r="AK61" i="11"/>
  <c r="AK56" i="11"/>
  <c r="AK22" i="11"/>
  <c r="AK7" i="13"/>
  <c r="CC7" i="13" s="1"/>
  <c r="CC8" i="13"/>
  <c r="AJ69" i="13"/>
  <c r="AJ53" i="13" s="1"/>
  <c r="AJ37" i="13" s="1"/>
  <c r="AJ70" i="13"/>
  <c r="AJ54" i="13" s="1"/>
  <c r="AJ38" i="13" s="1"/>
  <c r="AJ74" i="13"/>
  <c r="AJ58" i="13" s="1"/>
  <c r="AJ42" i="13" s="1"/>
  <c r="AJ72" i="13"/>
  <c r="AJ56" i="13" s="1"/>
  <c r="AJ40" i="13" s="1"/>
  <c r="AJ76" i="13"/>
  <c r="AJ60" i="13" s="1"/>
  <c r="AJ44" i="13" s="1"/>
  <c r="AJ75" i="13"/>
  <c r="AJ59" i="13" s="1"/>
  <c r="AJ43" i="13" s="1"/>
  <c r="AJ67" i="13"/>
  <c r="AJ78" i="13"/>
  <c r="AJ62" i="13" s="1"/>
  <c r="AJ46" i="13" s="1"/>
  <c r="AJ73" i="13"/>
  <c r="AJ57" i="13" s="1"/>
  <c r="AJ41" i="13" s="1"/>
  <c r="AJ68" i="13"/>
  <c r="AJ52" i="13" s="1"/>
  <c r="AJ36" i="13" s="1"/>
  <c r="AJ77" i="13"/>
  <c r="AJ61" i="13" s="1"/>
  <c r="AJ45" i="13" s="1"/>
  <c r="AJ71" i="13"/>
  <c r="AJ55" i="13" s="1"/>
  <c r="AJ39" i="13" s="1"/>
  <c r="AI27" i="13"/>
  <c r="CA3" i="13"/>
  <c r="AH309" i="4"/>
  <c r="AH303" i="4"/>
  <c r="AE318" i="4"/>
  <c r="AE333" i="4"/>
  <c r="AF315" i="4"/>
  <c r="AF330" i="4"/>
  <c r="AG312" i="4"/>
  <c r="AG327" i="4"/>
  <c r="AH374" i="19"/>
  <c r="AH375" i="19"/>
  <c r="AL182" i="13"/>
  <c r="AL134" i="13" s="1"/>
  <c r="AL118" i="13" s="1"/>
  <c r="AL180" i="13"/>
  <c r="AL132" i="13" s="1"/>
  <c r="AL116" i="13" s="1"/>
  <c r="AL190" i="13"/>
  <c r="AL142" i="13" s="1"/>
  <c r="AL126" i="13" s="1"/>
  <c r="AL186" i="13"/>
  <c r="AL138" i="13" s="1"/>
  <c r="AL122" i="13" s="1"/>
  <c r="AL179" i="13"/>
  <c r="AL188" i="13"/>
  <c r="AL140" i="13" s="1"/>
  <c r="AL124" i="13" s="1"/>
  <c r="AL183" i="13"/>
  <c r="AL135" i="13" s="1"/>
  <c r="AL119" i="13" s="1"/>
  <c r="AL187" i="13"/>
  <c r="AL139" i="13" s="1"/>
  <c r="AL123" i="13" s="1"/>
  <c r="AL184" i="13"/>
  <c r="AL136" i="13" s="1"/>
  <c r="AL120" i="13" s="1"/>
  <c r="AL181" i="13"/>
  <c r="AL133" i="13" s="1"/>
  <c r="AL117" i="13" s="1"/>
  <c r="AL189" i="13"/>
  <c r="AL141" i="13" s="1"/>
  <c r="AL125" i="13" s="1"/>
  <c r="AL185" i="13"/>
  <c r="AL137" i="13" s="1"/>
  <c r="AL121" i="13" s="1"/>
  <c r="CD15" i="13"/>
  <c r="AL12" i="13"/>
  <c r="CD12" i="13" s="1"/>
  <c r="AI6" i="19"/>
  <c r="AI31" i="19"/>
  <c r="AI125" i="19"/>
  <c r="AK21" i="11" l="1"/>
  <c r="AK20" i="11" s="1"/>
  <c r="AK24" i="11"/>
  <c r="AK385" i="11" s="1"/>
  <c r="AK353" i="11"/>
  <c r="AK65" i="11"/>
  <c r="AI371" i="19"/>
  <c r="AI30" i="19"/>
  <c r="AH325" i="4"/>
  <c r="AH310" i="4"/>
  <c r="AH304" i="4"/>
  <c r="AF331" i="4"/>
  <c r="AF316" i="4"/>
  <c r="AM250" i="13"/>
  <c r="AM202" i="13" s="1"/>
  <c r="AM249" i="13"/>
  <c r="AM201" i="13" s="1"/>
  <c r="AM244" i="13"/>
  <c r="AM196" i="13" s="1"/>
  <c r="AM251" i="13"/>
  <c r="AM203" i="13" s="1"/>
  <c r="AM246" i="13"/>
  <c r="AM198" i="13" s="1"/>
  <c r="AM243" i="13"/>
  <c r="AM253" i="13"/>
  <c r="AM205" i="13" s="1"/>
  <c r="AM245" i="13"/>
  <c r="AM197" i="13" s="1"/>
  <c r="AM248" i="13"/>
  <c r="AM200" i="13" s="1"/>
  <c r="AM247" i="13"/>
  <c r="AM199" i="13" s="1"/>
  <c r="AM252" i="13"/>
  <c r="AM204" i="13" s="1"/>
  <c r="AM254" i="13"/>
  <c r="AM206" i="13" s="1"/>
  <c r="AE319" i="4"/>
  <c r="AE334" i="4"/>
  <c r="AG313" i="4"/>
  <c r="AG328" i="4"/>
  <c r="AI32" i="13"/>
  <c r="CA27" i="13"/>
  <c r="AI118" i="19"/>
  <c r="AI102" i="19" s="1"/>
  <c r="AI114" i="19"/>
  <c r="AI98" i="19" s="1"/>
  <c r="AI113" i="19"/>
  <c r="AI97" i="19" s="1"/>
  <c r="AI123" i="19"/>
  <c r="AI107" i="19" s="1"/>
  <c r="AI122" i="19"/>
  <c r="AI106" i="19" s="1"/>
  <c r="AI121" i="19"/>
  <c r="AI105" i="19" s="1"/>
  <c r="AI120" i="19"/>
  <c r="AI104" i="19" s="1"/>
  <c r="AI117" i="19"/>
  <c r="AI101" i="19" s="1"/>
  <c r="AI116" i="19"/>
  <c r="AI100" i="19" s="1"/>
  <c r="AI119" i="19"/>
  <c r="AI103" i="19" s="1"/>
  <c r="AI115" i="19"/>
  <c r="AI99" i="19" s="1"/>
  <c r="AL191" i="13"/>
  <c r="AL11" i="13" s="1"/>
  <c r="AL131" i="13"/>
  <c r="AJ51" i="13"/>
  <c r="AJ79" i="13"/>
  <c r="AJ4" i="13" s="1"/>
  <c r="AK341" i="11" l="1"/>
  <c r="AK349" i="11"/>
  <c r="AK345" i="11"/>
  <c r="AK343" i="11"/>
  <c r="AK342" i="11"/>
  <c r="AK348" i="11"/>
  <c r="AK350" i="11"/>
  <c r="AK347" i="11"/>
  <c r="AK351" i="11"/>
  <c r="AK344" i="11"/>
  <c r="AK346" i="11"/>
  <c r="AK375" i="11"/>
  <c r="AK377" i="11"/>
  <c r="AK380" i="11"/>
  <c r="AK374" i="11"/>
  <c r="AK381" i="11"/>
  <c r="AK373" i="11"/>
  <c r="AK378" i="11"/>
  <c r="AK383" i="11"/>
  <c r="AK376" i="11"/>
  <c r="AK379" i="11"/>
  <c r="AK382" i="11"/>
  <c r="AI302" i="4"/>
  <c r="AE335" i="4"/>
  <c r="AE320" i="4"/>
  <c r="AE336" i="4" s="1"/>
  <c r="AI301" i="4"/>
  <c r="AI297" i="4"/>
  <c r="AI300" i="4"/>
  <c r="AI293" i="4"/>
  <c r="AJ63" i="13"/>
  <c r="AJ64" i="13" s="1"/>
  <c r="AJ35" i="13"/>
  <c r="AJ47" i="13" s="1"/>
  <c r="AI295" i="4"/>
  <c r="CB4" i="13"/>
  <c r="AJ3" i="13"/>
  <c r="AG314" i="4"/>
  <c r="AG329" i="4"/>
  <c r="AI298" i="4"/>
  <c r="AI124" i="19"/>
  <c r="AI108" i="19" s="1"/>
  <c r="AI109" i="19"/>
  <c r="AI292" i="4"/>
  <c r="AH326" i="4"/>
  <c r="AH311" i="4"/>
  <c r="CD11" i="13"/>
  <c r="AL8" i="13"/>
  <c r="AI299" i="4"/>
  <c r="AI296" i="4"/>
  <c r="AF332" i="4"/>
  <c r="AF317" i="4"/>
  <c r="AM255" i="13"/>
  <c r="AM15" i="13" s="1"/>
  <c r="AM195" i="13"/>
  <c r="AM207" i="13" s="1"/>
  <c r="AJ7" i="19"/>
  <c r="AI294" i="4"/>
  <c r="AL143" i="13"/>
  <c r="AL115" i="13"/>
  <c r="AL127" i="13" s="1"/>
  <c r="AI372" i="19"/>
  <c r="AI373" i="19"/>
  <c r="AI377" i="19"/>
  <c r="AK325" i="11" l="1"/>
  <c r="AK212" i="4"/>
  <c r="AK403" i="13"/>
  <c r="AK201" i="4"/>
  <c r="AK330" i="11"/>
  <c r="AK360" i="13"/>
  <c r="AK344" i="13" s="1"/>
  <c r="AK219" i="4"/>
  <c r="AK410" i="13"/>
  <c r="AK198" i="4"/>
  <c r="AK327" i="11"/>
  <c r="AK357" i="13"/>
  <c r="AK341" i="13" s="1"/>
  <c r="AK206" i="4"/>
  <c r="AK335" i="11"/>
  <c r="AK365" i="13"/>
  <c r="AK349" i="13" s="1"/>
  <c r="AK334" i="11"/>
  <c r="AK205" i="4"/>
  <c r="AK364" i="13"/>
  <c r="AK348" i="13" s="1"/>
  <c r="AK332" i="13" s="1"/>
  <c r="AK200" i="4"/>
  <c r="AK329" i="11"/>
  <c r="AK359" i="13"/>
  <c r="AK343" i="13" s="1"/>
  <c r="AK332" i="11"/>
  <c r="AK203" i="4"/>
  <c r="AK362" i="13"/>
  <c r="AK346" i="13" s="1"/>
  <c r="AK333" i="11"/>
  <c r="AK204" i="4"/>
  <c r="AK363" i="13"/>
  <c r="AK347" i="13" s="1"/>
  <c r="AK331" i="13" s="1"/>
  <c r="AK213" i="4"/>
  <c r="AK404" i="13"/>
  <c r="AK216" i="4"/>
  <c r="AK407" i="13"/>
  <c r="AK202" i="4"/>
  <c r="AK331" i="11"/>
  <c r="AK361" i="13"/>
  <c r="AK345" i="13" s="1"/>
  <c r="AK196" i="4"/>
  <c r="AK355" i="13"/>
  <c r="AK199" i="4"/>
  <c r="AK328" i="11"/>
  <c r="AK358" i="13"/>
  <c r="AK342" i="13" s="1"/>
  <c r="AK221" i="4"/>
  <c r="AK412" i="13"/>
  <c r="AK352" i="11"/>
  <c r="AK218" i="4"/>
  <c r="AK409" i="13"/>
  <c r="AK214" i="4"/>
  <c r="AK405" i="13"/>
  <c r="AK384" i="11"/>
  <c r="AK406" i="13"/>
  <c r="AK215" i="4"/>
  <c r="AK222" i="4"/>
  <c r="AK413" i="13"/>
  <c r="AK220" i="4"/>
  <c r="AK411" i="13"/>
  <c r="AK197" i="4"/>
  <c r="AK326" i="11"/>
  <c r="AK356" i="13"/>
  <c r="AK340" i="13" s="1"/>
  <c r="AK324" i="13" s="1"/>
  <c r="AL4" i="11"/>
  <c r="AK217" i="4"/>
  <c r="AK408" i="13"/>
  <c r="AH327" i="4"/>
  <c r="AH312" i="4"/>
  <c r="AI309" i="4"/>
  <c r="CE15" i="13"/>
  <c r="AM12" i="13"/>
  <c r="CE12" i="13" s="1"/>
  <c r="AI303" i="4"/>
  <c r="AJ6" i="19"/>
  <c r="AJ31" i="19"/>
  <c r="AJ125" i="19"/>
  <c r="AG330" i="4"/>
  <c r="AG315" i="4"/>
  <c r="AI374" i="19"/>
  <c r="AJ27" i="13"/>
  <c r="CB3" i="13"/>
  <c r="AK67" i="13"/>
  <c r="AK71" i="13"/>
  <c r="AK55" i="13" s="1"/>
  <c r="AK78" i="13"/>
  <c r="AK62" i="13" s="1"/>
  <c r="AK73" i="13"/>
  <c r="AK57" i="13" s="1"/>
  <c r="AK77" i="13"/>
  <c r="AK61" i="13" s="1"/>
  <c r="AK75" i="13"/>
  <c r="AK59" i="13" s="1"/>
  <c r="AK76" i="13"/>
  <c r="AK60" i="13" s="1"/>
  <c r="AK44" i="13" s="1"/>
  <c r="AK72" i="13"/>
  <c r="AK56" i="13" s="1"/>
  <c r="AK70" i="13"/>
  <c r="AK54" i="13" s="1"/>
  <c r="AK74" i="13"/>
  <c r="AK58" i="13" s="1"/>
  <c r="AK69" i="13"/>
  <c r="AK53" i="13" s="1"/>
  <c r="AK68" i="13"/>
  <c r="AK52" i="13" s="1"/>
  <c r="AK36" i="13" s="1"/>
  <c r="AF318" i="4"/>
  <c r="AF333" i="4"/>
  <c r="AL7" i="13"/>
  <c r="CD7" i="13" s="1"/>
  <c r="CD8" i="13"/>
  <c r="AM181" i="13"/>
  <c r="AM133" i="13" s="1"/>
  <c r="AM117" i="13" s="1"/>
  <c r="AM189" i="13"/>
  <c r="AM141" i="13" s="1"/>
  <c r="AM125" i="13" s="1"/>
  <c r="AM186" i="13"/>
  <c r="AM138" i="13" s="1"/>
  <c r="AM122" i="13" s="1"/>
  <c r="AM190" i="13"/>
  <c r="AM142" i="13" s="1"/>
  <c r="AM126" i="13" s="1"/>
  <c r="AM188" i="13"/>
  <c r="AM140" i="13" s="1"/>
  <c r="AM124" i="13" s="1"/>
  <c r="AM187" i="13"/>
  <c r="AM139" i="13" s="1"/>
  <c r="AM123" i="13" s="1"/>
  <c r="AM184" i="13"/>
  <c r="AM136" i="13" s="1"/>
  <c r="AM120" i="13" s="1"/>
  <c r="AM183" i="13"/>
  <c r="AM135" i="13" s="1"/>
  <c r="AM119" i="13" s="1"/>
  <c r="AM179" i="13"/>
  <c r="AM185" i="13"/>
  <c r="AM137" i="13" s="1"/>
  <c r="AM121" i="13" s="1"/>
  <c r="AM182" i="13"/>
  <c r="AM134" i="13" s="1"/>
  <c r="AM118" i="13" s="1"/>
  <c r="AM180" i="13"/>
  <c r="AM132" i="13" s="1"/>
  <c r="AM116" i="13" s="1"/>
  <c r="AK328" i="13" l="1"/>
  <c r="AK207" i="4"/>
  <c r="AK208" i="4" s="1"/>
  <c r="AK336" i="11"/>
  <c r="AK366" i="13"/>
  <c r="AK350" i="13" s="1"/>
  <c r="AK330" i="13"/>
  <c r="AK333" i="13"/>
  <c r="AK45" i="13" s="1"/>
  <c r="AK40" i="13"/>
  <c r="AK187" i="4"/>
  <c r="AK44" i="11"/>
  <c r="AK181" i="4"/>
  <c r="AK38" i="11"/>
  <c r="AK38" i="13"/>
  <c r="AK41" i="13"/>
  <c r="AK188" i="4"/>
  <c r="AK45" i="11"/>
  <c r="AK190" i="4"/>
  <c r="AK47" i="11"/>
  <c r="AK189" i="4"/>
  <c r="AK46" i="11"/>
  <c r="AK414" i="13"/>
  <c r="AK415" i="13" s="1"/>
  <c r="AK24" i="13" s="1"/>
  <c r="CC24" i="13" s="1"/>
  <c r="AK223" i="4"/>
  <c r="AK224" i="4" s="1"/>
  <c r="AK326" i="13"/>
  <c r="AK339" i="13"/>
  <c r="AL81" i="11"/>
  <c r="AL3" i="11"/>
  <c r="AK329" i="13"/>
  <c r="AL28" i="13"/>
  <c r="AL30" i="13" s="1"/>
  <c r="AK186" i="4"/>
  <c r="AK43" i="11"/>
  <c r="AK185" i="4"/>
  <c r="AK42" i="11"/>
  <c r="AK183" i="4"/>
  <c r="AK40" i="11"/>
  <c r="AK43" i="13"/>
  <c r="AK327" i="13"/>
  <c r="AK39" i="13" s="1"/>
  <c r="AK325" i="13"/>
  <c r="AK182" i="4"/>
  <c r="AK39" i="11"/>
  <c r="AK37" i="13"/>
  <c r="AK42" i="13"/>
  <c r="AK184" i="4"/>
  <c r="AK41" i="11"/>
  <c r="AK180" i="4"/>
  <c r="AK337" i="11"/>
  <c r="AK37" i="11"/>
  <c r="AG331" i="4"/>
  <c r="AG316" i="4"/>
  <c r="AJ30" i="19"/>
  <c r="AJ371" i="19"/>
  <c r="AF319" i="4"/>
  <c r="AF334" i="4"/>
  <c r="AI375" i="19"/>
  <c r="AM191" i="13"/>
  <c r="AM11" i="13" s="1"/>
  <c r="AM131" i="13"/>
  <c r="AN248" i="13"/>
  <c r="AN200" i="13" s="1"/>
  <c r="AN254" i="13"/>
  <c r="AN206" i="13" s="1"/>
  <c r="AN245" i="13"/>
  <c r="AN197" i="13" s="1"/>
  <c r="AN249" i="13"/>
  <c r="AN201" i="13" s="1"/>
  <c r="AN246" i="13"/>
  <c r="AN198" i="13" s="1"/>
  <c r="AN253" i="13"/>
  <c r="AN205" i="13" s="1"/>
  <c r="AN247" i="13"/>
  <c r="AN199" i="13" s="1"/>
  <c r="AN252" i="13"/>
  <c r="AN204" i="13" s="1"/>
  <c r="AN243" i="13"/>
  <c r="AN250" i="13"/>
  <c r="AN202" i="13" s="1"/>
  <c r="AN251" i="13"/>
  <c r="AN203" i="13" s="1"/>
  <c r="AN244" i="13"/>
  <c r="AN196" i="13" s="1"/>
  <c r="AJ122" i="19"/>
  <c r="AJ106" i="19" s="1"/>
  <c r="AJ121" i="19"/>
  <c r="AJ105" i="19" s="1"/>
  <c r="AJ114" i="19"/>
  <c r="AJ98" i="19" s="1"/>
  <c r="AJ113" i="19"/>
  <c r="AJ97" i="19" s="1"/>
  <c r="AJ123" i="19"/>
  <c r="AJ107" i="19" s="1"/>
  <c r="AJ120" i="19"/>
  <c r="AJ104" i="19" s="1"/>
  <c r="AJ119" i="19"/>
  <c r="AJ103" i="19" s="1"/>
  <c r="AJ117" i="19"/>
  <c r="AJ101" i="19" s="1"/>
  <c r="AJ118" i="19"/>
  <c r="AJ102" i="19" s="1"/>
  <c r="AJ116" i="19"/>
  <c r="AJ100" i="19" s="1"/>
  <c r="AJ115" i="19"/>
  <c r="AJ99" i="19" s="1"/>
  <c r="AK79" i="13"/>
  <c r="AK4" i="13" s="1"/>
  <c r="AK51" i="13"/>
  <c r="AI325" i="4"/>
  <c r="AI310" i="4"/>
  <c r="AI304" i="4"/>
  <c r="AH313" i="4"/>
  <c r="AH328" i="4"/>
  <c r="AJ32" i="13"/>
  <c r="CB27" i="13"/>
  <c r="AL73" i="11" l="1"/>
  <c r="AL76" i="11"/>
  <c r="AL74" i="11"/>
  <c r="AL75" i="11"/>
  <c r="AL71" i="11"/>
  <c r="AL69" i="11"/>
  <c r="AL72" i="11"/>
  <c r="AL79" i="11"/>
  <c r="AL78" i="11"/>
  <c r="AL70" i="11"/>
  <c r="AL77" i="11"/>
  <c r="AL31" i="11"/>
  <c r="AL32" i="11" s="1"/>
  <c r="AL27" i="11" s="1"/>
  <c r="AL32" i="15"/>
  <c r="AK334" i="13"/>
  <c r="AK46" i="13" s="1"/>
  <c r="AK323" i="13"/>
  <c r="AK351" i="13"/>
  <c r="AK191" i="4"/>
  <c r="AK192" i="4" s="1"/>
  <c r="AK48" i="11"/>
  <c r="AK49" i="11" s="1"/>
  <c r="AK367" i="13"/>
  <c r="AK22" i="13" s="1"/>
  <c r="CE11" i="13"/>
  <c r="AM8" i="13"/>
  <c r="AJ300" i="4"/>
  <c r="AF320" i="4"/>
  <c r="AF336" i="4" s="1"/>
  <c r="AF335" i="4"/>
  <c r="AJ301" i="4"/>
  <c r="AI326" i="4"/>
  <c r="AI311" i="4"/>
  <c r="AH314" i="4"/>
  <c r="AH329" i="4"/>
  <c r="AJ373" i="19"/>
  <c r="AJ372" i="19"/>
  <c r="AJ377" i="19"/>
  <c r="AJ293" i="4"/>
  <c r="AK7" i="19"/>
  <c r="AJ294" i="4"/>
  <c r="AJ299" i="4"/>
  <c r="AJ302" i="4"/>
  <c r="AJ109" i="19"/>
  <c r="AJ292" i="4"/>
  <c r="AK63" i="13"/>
  <c r="AK64" i="13" s="1"/>
  <c r="AK35" i="13"/>
  <c r="AJ295" i="4"/>
  <c r="AJ298" i="4"/>
  <c r="AM115" i="13"/>
  <c r="AM127" i="13" s="1"/>
  <c r="AM143" i="13"/>
  <c r="CC4" i="13"/>
  <c r="AK3" i="13"/>
  <c r="AJ124" i="19"/>
  <c r="AJ108" i="19" s="1"/>
  <c r="AN255" i="13"/>
  <c r="AN15" i="13" s="1"/>
  <c r="AN195" i="13"/>
  <c r="AN207" i="13" s="1"/>
  <c r="AJ297" i="4"/>
  <c r="AG332" i="4"/>
  <c r="AG317" i="4"/>
  <c r="AJ296" i="4"/>
  <c r="AL61" i="11" l="1"/>
  <c r="AL58" i="11"/>
  <c r="AL62" i="11"/>
  <c r="AL57" i="11"/>
  <c r="AL53" i="11"/>
  <c r="AL80" i="11"/>
  <c r="AL22" i="11"/>
  <c r="AL54" i="11"/>
  <c r="AL56" i="11"/>
  <c r="AL55" i="11"/>
  <c r="AL60" i="11"/>
  <c r="AL63" i="11"/>
  <c r="AL59" i="11"/>
  <c r="AL31" i="13"/>
  <c r="AL33" i="11"/>
  <c r="AL34" i="11" s="1"/>
  <c r="AK47" i="13"/>
  <c r="AK21" i="13"/>
  <c r="CC22" i="13"/>
  <c r="AK335" i="13"/>
  <c r="AM30" i="11"/>
  <c r="AM29" i="13"/>
  <c r="AJ309" i="4"/>
  <c r="AI312" i="4"/>
  <c r="AI327" i="4"/>
  <c r="AK6" i="19"/>
  <c r="AK31" i="19"/>
  <c r="AK125" i="19"/>
  <c r="AJ374" i="19"/>
  <c r="AJ375" i="19"/>
  <c r="CE8" i="13"/>
  <c r="AM7" i="13"/>
  <c r="CE7" i="13" s="1"/>
  <c r="AL69" i="13"/>
  <c r="AL53" i="13" s="1"/>
  <c r="AL74" i="13"/>
  <c r="AL58" i="13" s="1"/>
  <c r="AL70" i="13"/>
  <c r="AL54" i="13" s="1"/>
  <c r="AL68" i="13"/>
  <c r="AL52" i="13" s="1"/>
  <c r="AL75" i="13"/>
  <c r="AL59" i="13" s="1"/>
  <c r="AL71" i="13"/>
  <c r="AL55" i="13" s="1"/>
  <c r="AL78" i="13"/>
  <c r="AL62" i="13" s="1"/>
  <c r="AL72" i="13"/>
  <c r="AL56" i="13" s="1"/>
  <c r="AL67" i="13"/>
  <c r="AL76" i="13"/>
  <c r="AL60" i="13" s="1"/>
  <c r="AL77" i="13"/>
  <c r="AL61" i="13" s="1"/>
  <c r="AL73" i="13"/>
  <c r="AL57" i="13" s="1"/>
  <c r="AH315" i="4"/>
  <c r="AH330" i="4"/>
  <c r="AN183" i="13"/>
  <c r="AN135" i="13" s="1"/>
  <c r="AN119" i="13" s="1"/>
  <c r="AN180" i="13"/>
  <c r="AN132" i="13" s="1"/>
  <c r="AN116" i="13" s="1"/>
  <c r="AN181" i="13"/>
  <c r="AN133" i="13" s="1"/>
  <c r="AN117" i="13" s="1"/>
  <c r="AN187" i="13"/>
  <c r="AN139" i="13" s="1"/>
  <c r="AN123" i="13" s="1"/>
  <c r="AN179" i="13"/>
  <c r="AN186" i="13"/>
  <c r="AN138" i="13" s="1"/>
  <c r="AN122" i="13" s="1"/>
  <c r="AN182" i="13"/>
  <c r="AN134" i="13" s="1"/>
  <c r="AN118" i="13" s="1"/>
  <c r="AN184" i="13"/>
  <c r="AN136" i="13" s="1"/>
  <c r="AN120" i="13" s="1"/>
  <c r="AN188" i="13"/>
  <c r="AN140" i="13" s="1"/>
  <c r="AN124" i="13" s="1"/>
  <c r="AN185" i="13"/>
  <c r="AN137" i="13" s="1"/>
  <c r="AN121" i="13" s="1"/>
  <c r="AN190" i="13"/>
  <c r="AN142" i="13" s="1"/>
  <c r="AN126" i="13" s="1"/>
  <c r="AN189" i="13"/>
  <c r="AN141" i="13" s="1"/>
  <c r="AN125" i="13" s="1"/>
  <c r="CF15" i="13"/>
  <c r="AN12" i="13"/>
  <c r="CF12" i="13" s="1"/>
  <c r="AG333" i="4"/>
  <c r="AG318" i="4"/>
  <c r="AJ303" i="4"/>
  <c r="CC3" i="13"/>
  <c r="AL64" i="11" l="1"/>
  <c r="AL65" i="11" s="1"/>
  <c r="AK20" i="13"/>
  <c r="CC21" i="13"/>
  <c r="AL24" i="11"/>
  <c r="AL385" i="11" s="1"/>
  <c r="AL21" i="11"/>
  <c r="AL20" i="11" s="1"/>
  <c r="AL353" i="11"/>
  <c r="AJ304" i="4"/>
  <c r="AN191" i="13"/>
  <c r="AN11" i="13" s="1"/>
  <c r="AN131" i="13"/>
  <c r="AK371" i="19"/>
  <c r="AK30" i="19"/>
  <c r="AK115" i="19"/>
  <c r="AK99" i="19" s="1"/>
  <c r="AK114" i="19"/>
  <c r="AK98" i="19" s="1"/>
  <c r="AK113" i="19"/>
  <c r="AK97" i="19" s="1"/>
  <c r="AK123" i="19"/>
  <c r="AK107" i="19" s="1"/>
  <c r="AK120" i="19"/>
  <c r="AK104" i="19" s="1"/>
  <c r="AK122" i="19"/>
  <c r="AK106" i="19" s="1"/>
  <c r="AK121" i="19"/>
  <c r="AK105" i="19" s="1"/>
  <c r="AK119" i="19"/>
  <c r="AK103" i="19" s="1"/>
  <c r="AK116" i="19"/>
  <c r="AK100" i="19" s="1"/>
  <c r="AK117" i="19"/>
  <c r="AK101" i="19" s="1"/>
  <c r="AK118" i="19"/>
  <c r="AK102" i="19" s="1"/>
  <c r="AI313" i="4"/>
  <c r="AI328" i="4"/>
  <c r="AJ325" i="4"/>
  <c r="AJ310" i="4"/>
  <c r="AG319" i="4"/>
  <c r="AG334" i="4"/>
  <c r="AO243" i="13"/>
  <c r="AO244" i="13"/>
  <c r="AO196" i="13" s="1"/>
  <c r="AO247" i="13"/>
  <c r="AO199" i="13" s="1"/>
  <c r="AO246" i="13"/>
  <c r="AO198" i="13" s="1"/>
  <c r="AO253" i="13"/>
  <c r="AO205" i="13" s="1"/>
  <c r="AO245" i="13"/>
  <c r="AO197" i="13" s="1"/>
  <c r="AO251" i="13"/>
  <c r="AO203" i="13" s="1"/>
  <c r="AO249" i="13"/>
  <c r="AO201" i="13" s="1"/>
  <c r="AO250" i="13"/>
  <c r="AO202" i="13" s="1"/>
  <c r="AO252" i="13"/>
  <c r="AO204" i="13" s="1"/>
  <c r="AO248" i="13"/>
  <c r="AO200" i="13" s="1"/>
  <c r="AO254" i="13"/>
  <c r="AO206" i="13" s="1"/>
  <c r="AH331" i="4"/>
  <c r="AH316" i="4"/>
  <c r="AL79" i="13"/>
  <c r="AL4" i="13" s="1"/>
  <c r="AL51" i="13"/>
  <c r="AL341" i="11" l="1"/>
  <c r="AL347" i="11"/>
  <c r="AL345" i="11"/>
  <c r="AL343" i="11"/>
  <c r="AL342" i="11"/>
  <c r="AL349" i="11"/>
  <c r="AL351" i="11"/>
  <c r="AL348" i="11"/>
  <c r="AL344" i="11"/>
  <c r="AL346" i="11"/>
  <c r="AL350" i="11"/>
  <c r="AL378" i="11"/>
  <c r="AL376" i="11"/>
  <c r="AL374" i="11"/>
  <c r="AL381" i="11"/>
  <c r="AL373" i="11"/>
  <c r="AL375" i="11"/>
  <c r="AL379" i="11"/>
  <c r="AL383" i="11"/>
  <c r="AL380" i="11"/>
  <c r="AL377" i="11"/>
  <c r="AL382" i="11"/>
  <c r="CC20" i="13"/>
  <c r="AK27" i="13"/>
  <c r="AG320" i="4"/>
  <c r="AG336" i="4" s="1"/>
  <c r="AG335" i="4"/>
  <c r="AJ326" i="4"/>
  <c r="AJ311" i="4"/>
  <c r="AL7" i="19"/>
  <c r="AK373" i="19"/>
  <c r="AK372" i="19"/>
  <c r="AK377" i="19"/>
  <c r="AK301" i="4"/>
  <c r="AK294" i="4"/>
  <c r="AL63" i="13"/>
  <c r="AL64" i="13" s="1"/>
  <c r="CD4" i="13"/>
  <c r="AL3" i="13"/>
  <c r="AK293" i="4"/>
  <c r="AK299" i="4"/>
  <c r="AI314" i="4"/>
  <c r="AI329" i="4"/>
  <c r="AN115" i="13"/>
  <c r="AN127" i="13" s="1"/>
  <c r="AN143" i="13"/>
  <c r="AK298" i="4"/>
  <c r="AK302" i="4"/>
  <c r="AK297" i="4"/>
  <c r="CF11" i="13"/>
  <c r="AN8" i="13"/>
  <c r="AO255" i="13"/>
  <c r="AO15" i="13" s="1"/>
  <c r="AO195" i="13"/>
  <c r="AO207" i="13" s="1"/>
  <c r="AK292" i="4"/>
  <c r="AK296" i="4"/>
  <c r="AH332" i="4"/>
  <c r="AH317" i="4"/>
  <c r="AK295" i="4"/>
  <c r="AK300" i="4"/>
  <c r="AK124" i="19"/>
  <c r="AK108" i="19" s="1"/>
  <c r="AK109" i="19" s="1"/>
  <c r="AL332" i="11" l="1"/>
  <c r="AL203" i="4"/>
  <c r="AL362" i="13"/>
  <c r="AL346" i="13" s="1"/>
  <c r="AL206" i="4"/>
  <c r="AL335" i="11"/>
  <c r="AL365" i="13"/>
  <c r="AL349" i="13" s="1"/>
  <c r="AL334" i="11"/>
  <c r="AL205" i="4"/>
  <c r="AL364" i="13"/>
  <c r="AL348" i="13" s="1"/>
  <c r="AL332" i="13" s="1"/>
  <c r="AL44" i="13" s="1"/>
  <c r="AK32" i="13"/>
  <c r="CC27" i="13"/>
  <c r="AL216" i="4"/>
  <c r="AL407" i="13"/>
  <c r="AL213" i="4"/>
  <c r="AL404" i="13"/>
  <c r="AL219" i="4"/>
  <c r="AL410" i="13"/>
  <c r="AL384" i="11"/>
  <c r="AL406" i="13"/>
  <c r="AL215" i="4"/>
  <c r="AL327" i="11"/>
  <c r="AL198" i="4"/>
  <c r="AL357" i="13"/>
  <c r="AL341" i="13" s="1"/>
  <c r="AL222" i="4"/>
  <c r="AL413" i="13"/>
  <c r="AL220" i="4"/>
  <c r="AL411" i="13"/>
  <c r="AL330" i="11"/>
  <c r="AL201" i="4"/>
  <c r="AL360" i="13"/>
  <c r="AL344" i="13" s="1"/>
  <c r="AL197" i="4"/>
  <c r="AL326" i="11"/>
  <c r="AL356" i="13"/>
  <c r="AL340" i="13" s="1"/>
  <c r="AL324" i="13" s="1"/>
  <c r="AL36" i="13" s="1"/>
  <c r="AL200" i="4"/>
  <c r="AL329" i="11"/>
  <c r="AL359" i="13"/>
  <c r="AL343" i="13" s="1"/>
  <c r="AL327" i="13" s="1"/>
  <c r="AL39" i="13" s="1"/>
  <c r="AL221" i="4"/>
  <c r="AL412" i="13"/>
  <c r="AL218" i="4"/>
  <c r="AL409" i="13"/>
  <c r="AL199" i="4"/>
  <c r="AL328" i="11"/>
  <c r="AL358" i="13"/>
  <c r="AL342" i="13" s="1"/>
  <c r="AM4" i="11"/>
  <c r="AL196" i="4"/>
  <c r="AL355" i="13"/>
  <c r="AL214" i="4"/>
  <c r="AL405" i="13"/>
  <c r="AL217" i="4"/>
  <c r="AL408" i="13"/>
  <c r="AL333" i="11"/>
  <c r="AL204" i="4"/>
  <c r="AL363" i="13"/>
  <c r="AL347" i="13" s="1"/>
  <c r="AL202" i="4"/>
  <c r="AL331" i="11"/>
  <c r="AL361" i="13"/>
  <c r="AL345" i="13" s="1"/>
  <c r="AL329" i="13" s="1"/>
  <c r="AL41" i="13" s="1"/>
  <c r="AL352" i="11"/>
  <c r="AL325" i="11"/>
  <c r="AL403" i="13"/>
  <c r="AL212" i="4"/>
  <c r="CD3" i="13"/>
  <c r="AK374" i="19"/>
  <c r="AK375" i="19" s="1"/>
  <c r="AL6" i="19"/>
  <c r="AL125" i="19"/>
  <c r="AL31" i="19"/>
  <c r="CG15" i="13"/>
  <c r="AO12" i="13"/>
  <c r="CG12" i="13" s="1"/>
  <c r="AI315" i="4"/>
  <c r="AI330" i="4"/>
  <c r="AK309" i="4"/>
  <c r="AO179" i="13"/>
  <c r="AO190" i="13"/>
  <c r="AO142" i="13" s="1"/>
  <c r="AO126" i="13" s="1"/>
  <c r="AO181" i="13"/>
  <c r="AO133" i="13" s="1"/>
  <c r="AO117" i="13" s="1"/>
  <c r="AO185" i="13"/>
  <c r="AO137" i="13" s="1"/>
  <c r="AO121" i="13" s="1"/>
  <c r="AO188" i="13"/>
  <c r="AO140" i="13" s="1"/>
  <c r="AO124" i="13" s="1"/>
  <c r="AO186" i="13"/>
  <c r="AO138" i="13" s="1"/>
  <c r="AO122" i="13" s="1"/>
  <c r="AO189" i="13"/>
  <c r="AO141" i="13" s="1"/>
  <c r="AO125" i="13" s="1"/>
  <c r="AO180" i="13"/>
  <c r="AO132" i="13" s="1"/>
  <c r="AO116" i="13" s="1"/>
  <c r="AO184" i="13"/>
  <c r="AO136" i="13" s="1"/>
  <c r="AO120" i="13" s="1"/>
  <c r="AO183" i="13"/>
  <c r="AO135" i="13" s="1"/>
  <c r="AO119" i="13" s="1"/>
  <c r="AO182" i="13"/>
  <c r="AO134" i="13" s="1"/>
  <c r="AO118" i="13" s="1"/>
  <c r="AO187" i="13"/>
  <c r="AO139" i="13" s="1"/>
  <c r="AO123" i="13" s="1"/>
  <c r="AK303" i="4"/>
  <c r="AJ327" i="4"/>
  <c r="AJ312" i="4"/>
  <c r="CF8" i="13"/>
  <c r="AN7" i="13"/>
  <c r="CF7" i="13" s="1"/>
  <c r="AH318" i="4"/>
  <c r="AH333" i="4"/>
  <c r="AL339" i="13" l="1"/>
  <c r="AL333" i="13"/>
  <c r="AL45" i="13" s="1"/>
  <c r="AL207" i="4"/>
  <c r="AL208" i="4" s="1"/>
  <c r="AL336" i="11"/>
  <c r="AL366" i="13"/>
  <c r="AL350" i="13" s="1"/>
  <c r="AL190" i="4"/>
  <c r="AL47" i="11"/>
  <c r="AL223" i="4"/>
  <c r="AL414" i="13"/>
  <c r="AL415" i="13" s="1"/>
  <c r="AL24" i="13" s="1"/>
  <c r="CD24" i="13" s="1"/>
  <c r="AM81" i="11"/>
  <c r="AM3" i="11"/>
  <c r="AL328" i="13"/>
  <c r="AL40" i="13" s="1"/>
  <c r="AL189" i="4"/>
  <c r="AL46" i="11"/>
  <c r="AL186" i="4"/>
  <c r="AL43" i="11"/>
  <c r="AL181" i="4"/>
  <c r="AL38" i="11"/>
  <c r="AL325" i="13"/>
  <c r="AL37" i="13" s="1"/>
  <c r="AL184" i="4"/>
  <c r="AL41" i="11"/>
  <c r="AL180" i="4"/>
  <c r="AL37" i="11"/>
  <c r="AL182" i="4"/>
  <c r="AL39" i="11"/>
  <c r="AL331" i="13"/>
  <c r="AL43" i="13" s="1"/>
  <c r="AL185" i="4"/>
  <c r="AL42" i="11"/>
  <c r="AM28" i="13"/>
  <c r="AM30" i="13" s="1"/>
  <c r="AL330" i="13"/>
  <c r="AL42" i="13" s="1"/>
  <c r="AL188" i="4"/>
  <c r="AL45" i="11"/>
  <c r="AL326" i="13"/>
  <c r="AL38" i="13" s="1"/>
  <c r="AL183" i="4"/>
  <c r="AL40" i="11"/>
  <c r="AL224" i="4"/>
  <c r="AL187" i="4"/>
  <c r="AL44" i="11"/>
  <c r="AO191" i="13"/>
  <c r="AO11" i="13" s="1"/>
  <c r="AO131" i="13"/>
  <c r="AP249" i="13"/>
  <c r="AP201" i="13" s="1"/>
  <c r="AP243" i="13"/>
  <c r="AP253" i="13"/>
  <c r="AP205" i="13" s="1"/>
  <c r="AP246" i="13"/>
  <c r="AP198" i="13" s="1"/>
  <c r="AP251" i="13"/>
  <c r="AP203" i="13" s="1"/>
  <c r="AP245" i="13"/>
  <c r="AP197" i="13" s="1"/>
  <c r="AP244" i="13"/>
  <c r="AP196" i="13" s="1"/>
  <c r="AP254" i="13"/>
  <c r="AP206" i="13" s="1"/>
  <c r="AP252" i="13"/>
  <c r="AP204" i="13" s="1"/>
  <c r="AP248" i="13"/>
  <c r="AP200" i="13" s="1"/>
  <c r="AP247" i="13"/>
  <c r="AP199" i="13" s="1"/>
  <c r="AP250" i="13"/>
  <c r="AP202" i="13" s="1"/>
  <c r="AL118" i="19"/>
  <c r="AL102" i="19" s="1"/>
  <c r="AL120" i="19"/>
  <c r="AL104" i="19" s="1"/>
  <c r="AL113" i="19"/>
  <c r="AL97" i="19" s="1"/>
  <c r="AL123" i="19"/>
  <c r="AL107" i="19" s="1"/>
  <c r="AL122" i="19"/>
  <c r="AL106" i="19" s="1"/>
  <c r="AL121" i="19"/>
  <c r="AL105" i="19" s="1"/>
  <c r="AL119" i="19"/>
  <c r="AL103" i="19" s="1"/>
  <c r="AL116" i="19"/>
  <c r="AL100" i="19" s="1"/>
  <c r="AL115" i="19"/>
  <c r="AL99" i="19" s="1"/>
  <c r="AL117" i="19"/>
  <c r="AL101" i="19" s="1"/>
  <c r="AL114" i="19"/>
  <c r="AL98" i="19" s="1"/>
  <c r="AL371" i="19"/>
  <c r="AL30" i="19"/>
  <c r="AK304" i="4"/>
  <c r="AJ328" i="4"/>
  <c r="AJ313" i="4"/>
  <c r="AI331" i="4"/>
  <c r="AI316" i="4"/>
  <c r="AK325" i="4"/>
  <c r="AK310" i="4"/>
  <c r="AH319" i="4"/>
  <c r="AH334" i="4"/>
  <c r="AM77" i="11" l="1"/>
  <c r="AM76" i="11"/>
  <c r="AM78" i="11"/>
  <c r="AM72" i="11"/>
  <c r="AM69" i="11"/>
  <c r="AM79" i="11"/>
  <c r="AM71" i="11"/>
  <c r="AM70" i="11"/>
  <c r="AM73" i="11"/>
  <c r="AM75" i="11"/>
  <c r="AM74" i="11"/>
  <c r="AL334" i="13"/>
  <c r="AL46" i="13" s="1"/>
  <c r="AL48" i="11"/>
  <c r="AL49" i="11" s="1"/>
  <c r="AL191" i="4"/>
  <c r="AL192" i="4" s="1"/>
  <c r="AL337" i="11"/>
  <c r="AL351" i="13"/>
  <c r="AL323" i="13"/>
  <c r="AM31" i="11"/>
  <c r="AM32" i="11" s="1"/>
  <c r="AM27" i="11" s="1"/>
  <c r="AM32" i="15"/>
  <c r="AL367" i="13"/>
  <c r="AL22" i="13" s="1"/>
  <c r="AK326" i="4"/>
  <c r="AK311" i="4"/>
  <c r="AM7" i="19"/>
  <c r="AP255" i="13"/>
  <c r="AP15" i="13" s="1"/>
  <c r="AP195" i="13"/>
  <c r="AP207" i="13" s="1"/>
  <c r="AL373" i="19"/>
  <c r="AL372" i="19"/>
  <c r="AL377" i="19"/>
  <c r="AL298" i="4"/>
  <c r="AL301" i="4"/>
  <c r="AL295" i="4"/>
  <c r="AI332" i="4"/>
  <c r="AI317" i="4"/>
  <c r="AL302" i="4"/>
  <c r="AO143" i="13"/>
  <c r="AO115" i="13"/>
  <c r="AO127" i="13" s="1"/>
  <c r="AH320" i="4"/>
  <c r="AH336" i="4" s="1"/>
  <c r="AH335" i="4"/>
  <c r="AJ314" i="4"/>
  <c r="AJ329" i="4"/>
  <c r="AL109" i="19"/>
  <c r="AL292" i="4"/>
  <c r="CG11" i="13"/>
  <c r="AO8" i="13"/>
  <c r="AL293" i="4"/>
  <c r="AL294" i="4"/>
  <c r="AL124" i="19"/>
  <c r="AL108" i="19" s="1"/>
  <c r="AL299" i="4"/>
  <c r="AL296" i="4"/>
  <c r="AL300" i="4"/>
  <c r="AL297" i="4"/>
  <c r="AN30" i="11" l="1"/>
  <c r="AN29" i="13"/>
  <c r="AM54" i="11"/>
  <c r="AM68" i="13"/>
  <c r="AM52" i="13" s="1"/>
  <c r="AM58" i="11"/>
  <c r="AM72" i="13"/>
  <c r="AM56" i="13" s="1"/>
  <c r="AM59" i="11"/>
  <c r="AM73" i="13"/>
  <c r="AM57" i="13" s="1"/>
  <c r="AM55" i="11"/>
  <c r="AM69" i="13"/>
  <c r="AM53" i="13" s="1"/>
  <c r="AM63" i="11"/>
  <c r="AM77" i="13"/>
  <c r="AM61" i="13" s="1"/>
  <c r="AL335" i="13"/>
  <c r="AL35" i="13"/>
  <c r="AL47" i="13" s="1"/>
  <c r="AM53" i="11"/>
  <c r="AM67" i="13"/>
  <c r="AM56" i="11"/>
  <c r="AM70" i="13"/>
  <c r="AM54" i="13" s="1"/>
  <c r="AM62" i="11"/>
  <c r="AM76" i="13"/>
  <c r="AM60" i="13" s="1"/>
  <c r="CD22" i="13"/>
  <c r="AL21" i="13"/>
  <c r="AM60" i="11"/>
  <c r="AM74" i="13"/>
  <c r="AM58" i="13" s="1"/>
  <c r="AM31" i="13"/>
  <c r="AM33" i="11"/>
  <c r="AM34" i="11" s="1"/>
  <c r="AM57" i="11"/>
  <c r="AM71" i="13"/>
  <c r="AM55" i="13" s="1"/>
  <c r="AM61" i="11"/>
  <c r="AM75" i="13"/>
  <c r="AM59" i="13" s="1"/>
  <c r="AM80" i="11"/>
  <c r="AM22" i="11"/>
  <c r="AL309" i="4"/>
  <c r="AL374" i="19"/>
  <c r="AL375" i="19"/>
  <c r="AJ315" i="4"/>
  <c r="AJ330" i="4"/>
  <c r="CH15" i="13"/>
  <c r="AP12" i="13"/>
  <c r="CH12" i="13" s="1"/>
  <c r="AM6" i="19"/>
  <c r="AM125" i="19"/>
  <c r="AM31" i="19"/>
  <c r="CG8" i="13"/>
  <c r="AO7" i="13"/>
  <c r="CG7" i="13" s="1"/>
  <c r="AP187" i="13"/>
  <c r="AP139" i="13" s="1"/>
  <c r="AP123" i="13" s="1"/>
  <c r="AP180" i="13"/>
  <c r="AP132" i="13" s="1"/>
  <c r="AP116" i="13" s="1"/>
  <c r="AP182" i="13"/>
  <c r="AP134" i="13" s="1"/>
  <c r="AP118" i="13" s="1"/>
  <c r="AP185" i="13"/>
  <c r="AP137" i="13" s="1"/>
  <c r="AP121" i="13" s="1"/>
  <c r="AP183" i="13"/>
  <c r="AP135" i="13" s="1"/>
  <c r="AP119" i="13" s="1"/>
  <c r="AP179" i="13"/>
  <c r="AP184" i="13"/>
  <c r="AP136" i="13" s="1"/>
  <c r="AP120" i="13" s="1"/>
  <c r="AP181" i="13"/>
  <c r="AP133" i="13" s="1"/>
  <c r="AP117" i="13" s="1"/>
  <c r="AP186" i="13"/>
  <c r="AP138" i="13" s="1"/>
  <c r="AP122" i="13" s="1"/>
  <c r="AP190" i="13"/>
  <c r="AP142" i="13" s="1"/>
  <c r="AP126" i="13" s="1"/>
  <c r="AP188" i="13"/>
  <c r="AP140" i="13" s="1"/>
  <c r="AP124" i="13" s="1"/>
  <c r="AP189" i="13"/>
  <c r="AP141" i="13" s="1"/>
  <c r="AP125" i="13" s="1"/>
  <c r="AK327" i="4"/>
  <c r="AK312" i="4"/>
  <c r="AL303" i="4"/>
  <c r="AI318" i="4"/>
  <c r="AI333" i="4"/>
  <c r="CD21" i="13" l="1"/>
  <c r="AL20" i="13"/>
  <c r="AM51" i="13"/>
  <c r="AM64" i="11"/>
  <c r="AM78" i="13"/>
  <c r="AM62" i="13" s="1"/>
  <c r="AM353" i="11"/>
  <c r="AM24" i="11"/>
  <c r="AM385" i="11" s="1"/>
  <c r="AM21" i="11"/>
  <c r="AM20" i="11" s="1"/>
  <c r="AM121" i="19"/>
  <c r="AM105" i="19" s="1"/>
  <c r="AM113" i="19"/>
  <c r="AM97" i="19" s="1"/>
  <c r="AM123" i="19"/>
  <c r="AM107" i="19" s="1"/>
  <c r="AM122" i="19"/>
  <c r="AM106" i="19" s="1"/>
  <c r="AM120" i="19"/>
  <c r="AM104" i="19" s="1"/>
  <c r="AM119" i="19"/>
  <c r="AM103" i="19" s="1"/>
  <c r="AM118" i="19"/>
  <c r="AM102" i="19" s="1"/>
  <c r="AM115" i="19"/>
  <c r="AM99" i="19" s="1"/>
  <c r="AM116" i="19"/>
  <c r="AM100" i="19" s="1"/>
  <c r="AM117" i="19"/>
  <c r="AM101" i="19" s="1"/>
  <c r="AM114" i="19"/>
  <c r="AM98" i="19" s="1"/>
  <c r="AM371" i="19"/>
  <c r="AM30" i="19"/>
  <c r="AJ316" i="4"/>
  <c r="AJ331" i="4"/>
  <c r="AK313" i="4"/>
  <c r="AK328" i="4"/>
  <c r="AL325" i="4"/>
  <c r="AL310" i="4"/>
  <c r="AP191" i="13"/>
  <c r="AP11" i="13" s="1"/>
  <c r="AP131" i="13"/>
  <c r="AI319" i="4"/>
  <c r="AI334" i="4"/>
  <c r="AL304" i="4"/>
  <c r="CD20" i="13" l="1"/>
  <c r="AL27" i="13"/>
  <c r="AM65" i="11"/>
  <c r="AM349" i="11"/>
  <c r="AM341" i="11"/>
  <c r="AM347" i="11"/>
  <c r="AM342" i="11"/>
  <c r="AM352" i="11" s="1"/>
  <c r="AM348" i="11"/>
  <c r="AM346" i="11"/>
  <c r="AM351" i="11"/>
  <c r="AM350" i="11"/>
  <c r="AM344" i="11"/>
  <c r="AM343" i="11"/>
  <c r="AM345" i="11"/>
  <c r="AM383" i="11"/>
  <c r="AM381" i="11"/>
  <c r="AM384" i="11" s="1"/>
  <c r="AM378" i="11"/>
  <c r="AM376" i="11"/>
  <c r="AM373" i="11"/>
  <c r="AM379" i="11"/>
  <c r="AM377" i="11"/>
  <c r="AM374" i="11"/>
  <c r="AM375" i="11"/>
  <c r="AM380" i="11"/>
  <c r="AM382" i="11"/>
  <c r="AM79" i="13"/>
  <c r="AM4" i="13" s="1"/>
  <c r="AM63" i="13"/>
  <c r="AM64" i="13" s="1"/>
  <c r="AL326" i="4"/>
  <c r="AL311" i="4"/>
  <c r="AM124" i="19"/>
  <c r="AM108" i="19" s="1"/>
  <c r="AN7" i="19"/>
  <c r="AM295" i="4"/>
  <c r="AM298" i="4"/>
  <c r="AM296" i="4"/>
  <c r="AM299" i="4"/>
  <c r="AM301" i="4"/>
  <c r="CH11" i="13"/>
  <c r="AP8" i="13"/>
  <c r="AM293" i="4"/>
  <c r="AK314" i="4"/>
  <c r="AK329" i="4"/>
  <c r="AM302" i="4"/>
  <c r="AM297" i="4"/>
  <c r="AJ332" i="4"/>
  <c r="AJ317" i="4"/>
  <c r="AM109" i="19"/>
  <c r="AM292" i="4"/>
  <c r="AM373" i="19"/>
  <c r="AM372" i="19"/>
  <c r="AM377" i="19"/>
  <c r="AM294" i="4"/>
  <c r="AI320" i="4"/>
  <c r="AI336" i="4" s="1"/>
  <c r="AI335" i="4"/>
  <c r="AP143" i="13"/>
  <c r="AP115" i="13"/>
  <c r="AP127" i="13" s="1"/>
  <c r="AM300" i="4"/>
  <c r="AM414" i="13" l="1"/>
  <c r="AM223" i="4"/>
  <c r="AM207" i="4"/>
  <c r="AM336" i="11"/>
  <c r="AM366" i="13"/>
  <c r="AM350" i="13" s="1"/>
  <c r="AM334" i="13" s="1"/>
  <c r="AM46" i="13" s="1"/>
  <c r="AM222" i="4"/>
  <c r="AM413" i="13"/>
  <c r="AM335" i="11"/>
  <c r="AM206" i="4"/>
  <c r="AM365" i="13"/>
  <c r="AM349" i="13" s="1"/>
  <c r="AM333" i="13" s="1"/>
  <c r="AM45" i="13" s="1"/>
  <c r="AM327" i="11"/>
  <c r="AM198" i="4"/>
  <c r="AM357" i="13"/>
  <c r="AM341" i="13" s="1"/>
  <c r="AM3" i="13"/>
  <c r="CE4" i="13"/>
  <c r="AM202" i="4"/>
  <c r="AM331" i="11"/>
  <c r="AM361" i="13"/>
  <c r="AM345" i="13" s="1"/>
  <c r="AN4" i="11"/>
  <c r="AM197" i="4"/>
  <c r="AM356" i="13"/>
  <c r="AM340" i="13" s="1"/>
  <c r="AM329" i="11"/>
  <c r="AM200" i="4"/>
  <c r="AM359" i="13"/>
  <c r="AM343" i="13" s="1"/>
  <c r="AM334" i="11"/>
  <c r="AM205" i="4"/>
  <c r="AM364" i="13"/>
  <c r="AM348" i="13" s="1"/>
  <c r="AM221" i="4"/>
  <c r="AM412" i="13"/>
  <c r="AM219" i="4"/>
  <c r="AM410" i="13"/>
  <c r="AM216" i="4"/>
  <c r="AM407" i="13"/>
  <c r="AM218" i="4"/>
  <c r="AM409" i="13"/>
  <c r="AM199" i="4"/>
  <c r="AM328" i="11"/>
  <c r="AM358" i="13"/>
  <c r="AM342" i="13" s="1"/>
  <c r="AM326" i="13" s="1"/>
  <c r="AM38" i="13" s="1"/>
  <c r="AM330" i="11"/>
  <c r="AM201" i="4"/>
  <c r="AM360" i="13"/>
  <c r="AM344" i="13" s="1"/>
  <c r="AM214" i="4"/>
  <c r="AM405" i="13"/>
  <c r="AM212" i="4"/>
  <c r="AM403" i="13"/>
  <c r="AM196" i="4"/>
  <c r="AM325" i="11"/>
  <c r="AM355" i="13"/>
  <c r="AM326" i="11"/>
  <c r="AM213" i="4"/>
  <c r="AM404" i="13"/>
  <c r="AM215" i="4"/>
  <c r="AM406" i="13"/>
  <c r="AL32" i="13"/>
  <c r="CD27" i="13"/>
  <c r="AM220" i="4"/>
  <c r="AM411" i="13"/>
  <c r="AM332" i="11"/>
  <c r="AM203" i="4"/>
  <c r="AM362" i="13"/>
  <c r="AM346" i="13" s="1"/>
  <c r="AM330" i="13" s="1"/>
  <c r="AM42" i="13" s="1"/>
  <c r="AM333" i="11"/>
  <c r="AM204" i="4"/>
  <c r="AM363" i="13"/>
  <c r="AM347" i="13" s="1"/>
  <c r="AM217" i="4"/>
  <c r="AM408" i="13"/>
  <c r="AN6" i="19"/>
  <c r="AN31" i="19"/>
  <c r="AN125" i="19"/>
  <c r="AK315" i="4"/>
  <c r="AK330" i="4"/>
  <c r="CH8" i="13"/>
  <c r="AP7" i="13"/>
  <c r="CH7" i="13" s="1"/>
  <c r="AJ333" i="4"/>
  <c r="AJ318" i="4"/>
  <c r="AM374" i="19"/>
  <c r="AM375" i="19" s="1"/>
  <c r="AM309" i="4"/>
  <c r="AL327" i="4"/>
  <c r="AL312" i="4"/>
  <c r="AM303" i="4"/>
  <c r="AN3" i="11" l="1"/>
  <c r="AN81" i="11"/>
  <c r="AM190" i="4"/>
  <c r="AM47" i="11"/>
  <c r="AM328" i="13"/>
  <c r="AM40" i="13" s="1"/>
  <c r="AM329" i="13"/>
  <c r="AM41" i="13" s="1"/>
  <c r="AM367" i="13"/>
  <c r="AM22" i="13" s="1"/>
  <c r="AM339" i="13"/>
  <c r="AN28" i="13"/>
  <c r="AN30" i="13" s="1"/>
  <c r="AM180" i="4"/>
  <c r="AM337" i="11"/>
  <c r="AM37" i="11"/>
  <c r="AM185" i="4"/>
  <c r="AM42" i="11"/>
  <c r="AM327" i="13"/>
  <c r="AM39" i="13" s="1"/>
  <c r="AM186" i="4"/>
  <c r="AM43" i="11"/>
  <c r="AM187" i="4"/>
  <c r="AM44" i="11"/>
  <c r="AM184" i="4"/>
  <c r="AM41" i="11"/>
  <c r="CE3" i="13"/>
  <c r="AM191" i="4"/>
  <c r="AM48" i="11"/>
  <c r="AM332" i="13"/>
  <c r="AM44" i="13" s="1"/>
  <c r="AM181" i="4"/>
  <c r="AM38" i="11"/>
  <c r="AM189" i="4"/>
  <c r="AM46" i="11"/>
  <c r="AM331" i="13"/>
  <c r="AM43" i="13" s="1"/>
  <c r="AM183" i="4"/>
  <c r="AM40" i="11"/>
  <c r="AM208" i="4"/>
  <c r="AM182" i="4"/>
  <c r="AM39" i="11"/>
  <c r="AM224" i="4"/>
  <c r="AM188" i="4"/>
  <c r="AM45" i="11"/>
  <c r="AM324" i="13"/>
  <c r="AM36" i="13" s="1"/>
  <c r="AM325" i="13"/>
  <c r="AM37" i="13" s="1"/>
  <c r="AM415" i="13"/>
  <c r="AM24" i="13" s="1"/>
  <c r="CE24" i="13" s="1"/>
  <c r="AM304" i="4"/>
  <c r="AK331" i="4"/>
  <c r="AK316" i="4"/>
  <c r="AN114" i="19"/>
  <c r="AN98" i="19" s="1"/>
  <c r="AN123" i="19"/>
  <c r="AN107" i="19" s="1"/>
  <c r="AN122" i="19"/>
  <c r="AN106" i="19" s="1"/>
  <c r="AN120" i="19"/>
  <c r="AN104" i="19" s="1"/>
  <c r="AN121" i="19"/>
  <c r="AN105" i="19" s="1"/>
  <c r="AN119" i="19"/>
  <c r="AN103" i="19" s="1"/>
  <c r="AN118" i="19"/>
  <c r="AN102" i="19" s="1"/>
  <c r="AN116" i="19"/>
  <c r="AN100" i="19" s="1"/>
  <c r="AN115" i="19"/>
  <c r="AN99" i="19" s="1"/>
  <c r="AN117" i="19"/>
  <c r="AN101" i="19" s="1"/>
  <c r="AN113" i="19"/>
  <c r="AN97" i="19" s="1"/>
  <c r="AJ319" i="4"/>
  <c r="AJ334" i="4"/>
  <c r="AL328" i="4"/>
  <c r="AL313" i="4"/>
  <c r="AM325" i="4"/>
  <c r="AM310" i="4"/>
  <c r="AN371" i="19"/>
  <c r="AN30" i="19"/>
  <c r="AM49" i="11" l="1"/>
  <c r="AM351" i="13"/>
  <c r="AM323" i="13"/>
  <c r="CE22" i="13"/>
  <c r="AM21" i="13"/>
  <c r="AM192" i="4"/>
  <c r="AN31" i="11"/>
  <c r="AN32" i="11" s="1"/>
  <c r="AN27" i="11" s="1"/>
  <c r="AN32" i="15"/>
  <c r="AN77" i="11"/>
  <c r="AN73" i="11"/>
  <c r="AN70" i="11"/>
  <c r="AN78" i="11"/>
  <c r="AN79" i="11"/>
  <c r="AN76" i="11"/>
  <c r="AN75" i="11"/>
  <c r="AN71" i="11"/>
  <c r="AN74" i="11"/>
  <c r="AN72" i="11"/>
  <c r="AN69" i="11"/>
  <c r="AN296" i="4"/>
  <c r="AN294" i="4"/>
  <c r="AN301" i="4"/>
  <c r="AN302" i="4"/>
  <c r="AN297" i="4"/>
  <c r="AN299" i="4"/>
  <c r="AO7" i="19"/>
  <c r="AN124" i="19"/>
  <c r="AN108" i="19" s="1"/>
  <c r="AN109" i="19" s="1"/>
  <c r="AN293" i="4"/>
  <c r="AK332" i="4"/>
  <c r="AK317" i="4"/>
  <c r="AN295" i="4"/>
  <c r="AN298" i="4"/>
  <c r="AJ320" i="4"/>
  <c r="AJ336" i="4" s="1"/>
  <c r="AJ335" i="4"/>
  <c r="AN300" i="4"/>
  <c r="AN372" i="19"/>
  <c r="AN373" i="19"/>
  <c r="AN377" i="19"/>
  <c r="AM326" i="4"/>
  <c r="AM311" i="4"/>
  <c r="AL329" i="4"/>
  <c r="AL314" i="4"/>
  <c r="AN292" i="4"/>
  <c r="AM20" i="13" l="1"/>
  <c r="CE21" i="13"/>
  <c r="AN60" i="11"/>
  <c r="AN74" i="13"/>
  <c r="AN58" i="13" s="1"/>
  <c r="AO30" i="11"/>
  <c r="AO29" i="13"/>
  <c r="AN55" i="11"/>
  <c r="AN69" i="13"/>
  <c r="AN53" i="13" s="1"/>
  <c r="AM335" i="13"/>
  <c r="AM35" i="13"/>
  <c r="AM47" i="13" s="1"/>
  <c r="AN53" i="11"/>
  <c r="AN67" i="13"/>
  <c r="AN58" i="11"/>
  <c r="AN72" i="13"/>
  <c r="AN56" i="13" s="1"/>
  <c r="AN59" i="11"/>
  <c r="AN73" i="13"/>
  <c r="AN57" i="13" s="1"/>
  <c r="AN54" i="11"/>
  <c r="AN68" i="13"/>
  <c r="AN52" i="13" s="1"/>
  <c r="AN63" i="11"/>
  <c r="AN77" i="13"/>
  <c r="AN61" i="13" s="1"/>
  <c r="AN57" i="11"/>
  <c r="AN71" i="13"/>
  <c r="AN55" i="13" s="1"/>
  <c r="AN31" i="13"/>
  <c r="AN33" i="11"/>
  <c r="AN34" i="11" s="1"/>
  <c r="AN56" i="11"/>
  <c r="AN70" i="13"/>
  <c r="AN54" i="13" s="1"/>
  <c r="AN62" i="11"/>
  <c r="AN76" i="13"/>
  <c r="AN60" i="13" s="1"/>
  <c r="AN61" i="11"/>
  <c r="AN75" i="13"/>
  <c r="AN59" i="13" s="1"/>
  <c r="AN22" i="11"/>
  <c r="AN80" i="11"/>
  <c r="AN309" i="4"/>
  <c r="AO125" i="19"/>
  <c r="AO6" i="19"/>
  <c r="AO31" i="19"/>
  <c r="AK333" i="4"/>
  <c r="AK318" i="4"/>
  <c r="AL315" i="4"/>
  <c r="AL330" i="4"/>
  <c r="AN303" i="4"/>
  <c r="AN374" i="19"/>
  <c r="AN375" i="19" s="1"/>
  <c r="AM327" i="4"/>
  <c r="AM312" i="4"/>
  <c r="AN353" i="11" l="1"/>
  <c r="AN24" i="11"/>
  <c r="AN385" i="11" s="1"/>
  <c r="AN21" i="11"/>
  <c r="AN20" i="11" s="1"/>
  <c r="CE20" i="13"/>
  <c r="AM27" i="13"/>
  <c r="AN51" i="13"/>
  <c r="AN64" i="11"/>
  <c r="AN65" i="11" s="1"/>
  <c r="AN78" i="13"/>
  <c r="AN62" i="13" s="1"/>
  <c r="AO117" i="19"/>
  <c r="AO101" i="19" s="1"/>
  <c r="AO123" i="19"/>
  <c r="AO107" i="19" s="1"/>
  <c r="AO122" i="19"/>
  <c r="AO106" i="19" s="1"/>
  <c r="AO120" i="19"/>
  <c r="AO104" i="19" s="1"/>
  <c r="AO121" i="19"/>
  <c r="AO105" i="19" s="1"/>
  <c r="AO119" i="19"/>
  <c r="AO103" i="19" s="1"/>
  <c r="AO124" i="19"/>
  <c r="AO108" i="19" s="1"/>
  <c r="AO118" i="19"/>
  <c r="AO102" i="19" s="1"/>
  <c r="AO116" i="19"/>
  <c r="AO100" i="19" s="1"/>
  <c r="AO115" i="19"/>
  <c r="AO99" i="19" s="1"/>
  <c r="AO113" i="19"/>
  <c r="AO97" i="19" s="1"/>
  <c r="AO114" i="19"/>
  <c r="AO98" i="19" s="1"/>
  <c r="AK334" i="4"/>
  <c r="AK319" i="4"/>
  <c r="AN325" i="4"/>
  <c r="AN310" i="4"/>
  <c r="AO371" i="19"/>
  <c r="AO30" i="19"/>
  <c r="AM328" i="4"/>
  <c r="AM313" i="4"/>
  <c r="AN304" i="4"/>
  <c r="AL316" i="4"/>
  <c r="AL331" i="4"/>
  <c r="AN382" i="11" l="1"/>
  <c r="AN378" i="11"/>
  <c r="AN377" i="11"/>
  <c r="AN374" i="11"/>
  <c r="AN375" i="11"/>
  <c r="AN376" i="11"/>
  <c r="AN383" i="11"/>
  <c r="AN380" i="11"/>
  <c r="AN373" i="11"/>
  <c r="AN381" i="11"/>
  <c r="AN379" i="11"/>
  <c r="AN343" i="11"/>
  <c r="AN342" i="11"/>
  <c r="AN345" i="11"/>
  <c r="AN344" i="11"/>
  <c r="AN341" i="11"/>
  <c r="AN346" i="11"/>
  <c r="AN348" i="11"/>
  <c r="AN351" i="11"/>
  <c r="AN347" i="11"/>
  <c r="AN350" i="11"/>
  <c r="AN349" i="11"/>
  <c r="AN79" i="13"/>
  <c r="AN4" i="13" s="1"/>
  <c r="AN63" i="13"/>
  <c r="AN64" i="13" s="1"/>
  <c r="CE27" i="13"/>
  <c r="AM32" i="13"/>
  <c r="AO303" i="4"/>
  <c r="AO300" i="4"/>
  <c r="AL332" i="4"/>
  <c r="AL317" i="4"/>
  <c r="AM314" i="4"/>
  <c r="AM329" i="4"/>
  <c r="AO294" i="4"/>
  <c r="AO297" i="4"/>
  <c r="AO299" i="4"/>
  <c r="AO293" i="4"/>
  <c r="AP7" i="19"/>
  <c r="AO301" i="4"/>
  <c r="AN326" i="4"/>
  <c r="AN311" i="4"/>
  <c r="AO302" i="4"/>
  <c r="AK335" i="4"/>
  <c r="AK320" i="4"/>
  <c r="AK336" i="4" s="1"/>
  <c r="AO109" i="19"/>
  <c r="AO292" i="4"/>
  <c r="AO295" i="4"/>
  <c r="AO372" i="19"/>
  <c r="AO373" i="19"/>
  <c r="AO377" i="19"/>
  <c r="AO298" i="4"/>
  <c r="AO296" i="4"/>
  <c r="AN206" i="4" l="1"/>
  <c r="AN335" i="11"/>
  <c r="AN365" i="13"/>
  <c r="AN349" i="13" s="1"/>
  <c r="AN196" i="4"/>
  <c r="AN325" i="11"/>
  <c r="AN355" i="13"/>
  <c r="AO4" i="11"/>
  <c r="AN330" i="11"/>
  <c r="AN201" i="4"/>
  <c r="AN360" i="13"/>
  <c r="AN344" i="13" s="1"/>
  <c r="AN328" i="13" s="1"/>
  <c r="AN40" i="13" s="1"/>
  <c r="AN199" i="4"/>
  <c r="AN328" i="11"/>
  <c r="AN358" i="13"/>
  <c r="AN342" i="13" s="1"/>
  <c r="AN326" i="13" s="1"/>
  <c r="AN38" i="13" s="1"/>
  <c r="AN222" i="4"/>
  <c r="AN413" i="13"/>
  <c r="AN202" i="4"/>
  <c r="AN331" i="11"/>
  <c r="AN361" i="13"/>
  <c r="AN345" i="13" s="1"/>
  <c r="AN3" i="13"/>
  <c r="CF4" i="13"/>
  <c r="AN384" i="11"/>
  <c r="AN215" i="4"/>
  <c r="AN406" i="13"/>
  <c r="AN204" i="4"/>
  <c r="AN333" i="11"/>
  <c r="AN363" i="13"/>
  <c r="AN347" i="13" s="1"/>
  <c r="AN331" i="13" s="1"/>
  <c r="AN43" i="13" s="1"/>
  <c r="AN352" i="11"/>
  <c r="AN332" i="11"/>
  <c r="AN203" i="4"/>
  <c r="AN362" i="13"/>
  <c r="AN346" i="13" s="1"/>
  <c r="AN330" i="13" s="1"/>
  <c r="AN42" i="13" s="1"/>
  <c r="AN212" i="4"/>
  <c r="AN403" i="13"/>
  <c r="AN214" i="4"/>
  <c r="AN405" i="13"/>
  <c r="AN326" i="11"/>
  <c r="AN197" i="4"/>
  <c r="AN356" i="13"/>
  <c r="AN340" i="13" s="1"/>
  <c r="AN213" i="4"/>
  <c r="AN404" i="13"/>
  <c r="AN198" i="4"/>
  <c r="AN327" i="11"/>
  <c r="AN357" i="13"/>
  <c r="AN341" i="13" s="1"/>
  <c r="AN325" i="13" s="1"/>
  <c r="AN37" i="13" s="1"/>
  <c r="AN220" i="4"/>
  <c r="AN411" i="13"/>
  <c r="AN216" i="4"/>
  <c r="AN407" i="13"/>
  <c r="AN218" i="4"/>
  <c r="AN409" i="13"/>
  <c r="AN217" i="4"/>
  <c r="AN408" i="13"/>
  <c r="AN334" i="11"/>
  <c r="AN205" i="4"/>
  <c r="AN364" i="13"/>
  <c r="AN348" i="13" s="1"/>
  <c r="AN332" i="13" s="1"/>
  <c r="AN44" i="13" s="1"/>
  <c r="AN329" i="11"/>
  <c r="AN200" i="4"/>
  <c r="AN359" i="13"/>
  <c r="AN343" i="13" s="1"/>
  <c r="AN327" i="13" s="1"/>
  <c r="AN39" i="13" s="1"/>
  <c r="AN219" i="4"/>
  <c r="AN410" i="13"/>
  <c r="AN221" i="4"/>
  <c r="AN412" i="13"/>
  <c r="AN327" i="4"/>
  <c r="AN312" i="4"/>
  <c r="AO374" i="19"/>
  <c r="AO375" i="19" s="1"/>
  <c r="AL333" i="4"/>
  <c r="AL318" i="4"/>
  <c r="AP6" i="19"/>
  <c r="AP31" i="19"/>
  <c r="AP125" i="19"/>
  <c r="AM315" i="4"/>
  <c r="AM330" i="4"/>
  <c r="AO304" i="4"/>
  <c r="AO309" i="4"/>
  <c r="CF3" i="13" l="1"/>
  <c r="AO3" i="11"/>
  <c r="AO81" i="11"/>
  <c r="AN207" i="4"/>
  <c r="AN336" i="11"/>
  <c r="AN366" i="13"/>
  <c r="AN350" i="13" s="1"/>
  <c r="AN324" i="13"/>
  <c r="AN36" i="13" s="1"/>
  <c r="AN339" i="13"/>
  <c r="AN367" i="13"/>
  <c r="AN22" i="13" s="1"/>
  <c r="AN187" i="4"/>
  <c r="AN44" i="11"/>
  <c r="AN189" i="4"/>
  <c r="AN46" i="11"/>
  <c r="AN180" i="4"/>
  <c r="AN337" i="11"/>
  <c r="AN37" i="11"/>
  <c r="AN181" i="4"/>
  <c r="AN38" i="11"/>
  <c r="AN188" i="4"/>
  <c r="AN45" i="11"/>
  <c r="AN414" i="13"/>
  <c r="AN223" i="4"/>
  <c r="AN184" i="4"/>
  <c r="AN41" i="11"/>
  <c r="AN329" i="13"/>
  <c r="AN41" i="13" s="1"/>
  <c r="AN208" i="4"/>
  <c r="AN186" i="4"/>
  <c r="AN43" i="11"/>
  <c r="AO28" i="13"/>
  <c r="AO30" i="13" s="1"/>
  <c r="AN183" i="4"/>
  <c r="AN40" i="11"/>
  <c r="AN333" i="13"/>
  <c r="AN45" i="13" s="1"/>
  <c r="AN182" i="4"/>
  <c r="AN39" i="11"/>
  <c r="AN190" i="4"/>
  <c r="AN47" i="11"/>
  <c r="AN415" i="13"/>
  <c r="AN24" i="13" s="1"/>
  <c r="CF24" i="13" s="1"/>
  <c r="AN185" i="4"/>
  <c r="AN42" i="11"/>
  <c r="AN224" i="4"/>
  <c r="AL334" i="4"/>
  <c r="AL319" i="4"/>
  <c r="AN328" i="4"/>
  <c r="AN313" i="4"/>
  <c r="AM316" i="4"/>
  <c r="AM331" i="4"/>
  <c r="AP121" i="19"/>
  <c r="AP105" i="19" s="1"/>
  <c r="AP122" i="19"/>
  <c r="AP106" i="19" s="1"/>
  <c r="AP120" i="19"/>
  <c r="AP104" i="19" s="1"/>
  <c r="AP119" i="19"/>
  <c r="AP103" i="19" s="1"/>
  <c r="AP118" i="19"/>
  <c r="AP102" i="19" s="1"/>
  <c r="AP117" i="19"/>
  <c r="AP101" i="19" s="1"/>
  <c r="AP115" i="19"/>
  <c r="AP99" i="19" s="1"/>
  <c r="AP123" i="19"/>
  <c r="AP107" i="19" s="1"/>
  <c r="AP113" i="19"/>
  <c r="AP97" i="19" s="1"/>
  <c r="AP116" i="19"/>
  <c r="AP100" i="19" s="1"/>
  <c r="AP114" i="19"/>
  <c r="AP98" i="19" s="1"/>
  <c r="AP371" i="19"/>
  <c r="AP30" i="19"/>
  <c r="AQ7" i="19" s="1"/>
  <c r="AO310" i="4"/>
  <c r="AO325" i="4"/>
  <c r="CF22" i="13" l="1"/>
  <c r="AN21" i="13"/>
  <c r="AN191" i="4"/>
  <c r="AN48" i="11"/>
  <c r="AO31" i="11"/>
  <c r="AO32" i="11" s="1"/>
  <c r="AO27" i="11" s="1"/>
  <c r="AO32" i="15"/>
  <c r="AN334" i="13"/>
  <c r="AN46" i="13" s="1"/>
  <c r="AO69" i="11"/>
  <c r="AO70" i="11"/>
  <c r="AO72" i="11"/>
  <c r="AO71" i="11"/>
  <c r="AO78" i="11"/>
  <c r="AO75" i="11"/>
  <c r="AO77" i="11"/>
  <c r="AO79" i="11"/>
  <c r="AO76" i="11"/>
  <c r="AO73" i="11"/>
  <c r="AO74" i="11"/>
  <c r="AN323" i="13"/>
  <c r="AN351" i="13"/>
  <c r="AP298" i="4"/>
  <c r="AM332" i="4"/>
  <c r="AM317" i="4"/>
  <c r="AP297" i="4"/>
  <c r="AN329" i="4"/>
  <c r="AN314" i="4"/>
  <c r="AP299" i="4"/>
  <c r="AP296" i="4"/>
  <c r="AP301" i="4"/>
  <c r="AQ6" i="19"/>
  <c r="AQ31" i="19"/>
  <c r="AQ125" i="19"/>
  <c r="AP293" i="4"/>
  <c r="AP295" i="4"/>
  <c r="AP372" i="19"/>
  <c r="AP373" i="19"/>
  <c r="AP377" i="19"/>
  <c r="AP109" i="19"/>
  <c r="AP292" i="4"/>
  <c r="AL335" i="4"/>
  <c r="AL320" i="4"/>
  <c r="AL336" i="4" s="1"/>
  <c r="AP294" i="4"/>
  <c r="AP124" i="19"/>
  <c r="AP108" i="19" s="1"/>
  <c r="AP300" i="4"/>
  <c r="AO326" i="4"/>
  <c r="AO311" i="4"/>
  <c r="AP302" i="4"/>
  <c r="AO56" i="11" l="1"/>
  <c r="AO70" i="13"/>
  <c r="AO54" i="13" s="1"/>
  <c r="AO54" i="11"/>
  <c r="AO68" i="13"/>
  <c r="AO52" i="13" s="1"/>
  <c r="AO22" i="11"/>
  <c r="AO31" i="13"/>
  <c r="AO33" i="11"/>
  <c r="AO34" i="11" s="1"/>
  <c r="AN335" i="13"/>
  <c r="AN35" i="13"/>
  <c r="AN47" i="13" s="1"/>
  <c r="AO63" i="11"/>
  <c r="AO77" i="13"/>
  <c r="AO61" i="13" s="1"/>
  <c r="AO58" i="11"/>
  <c r="AO72" i="13"/>
  <c r="AO56" i="13" s="1"/>
  <c r="AO57" i="11"/>
  <c r="AO71" i="13"/>
  <c r="AO55" i="13" s="1"/>
  <c r="AO80" i="11"/>
  <c r="AO61" i="11"/>
  <c r="AO75" i="13"/>
  <c r="AO59" i="13" s="1"/>
  <c r="AO53" i="11"/>
  <c r="AO67" i="13"/>
  <c r="AN192" i="4"/>
  <c r="AO59" i="11"/>
  <c r="AO73" i="13"/>
  <c r="AO57" i="13" s="1"/>
  <c r="AO60" i="11"/>
  <c r="AO74" i="13"/>
  <c r="AO58" i="13" s="1"/>
  <c r="AO62" i="11"/>
  <c r="AO76" i="13"/>
  <c r="AO60" i="13" s="1"/>
  <c r="AP30" i="11"/>
  <c r="AP29" i="13"/>
  <c r="AN49" i="11"/>
  <c r="AN20" i="13"/>
  <c r="CF21" i="13"/>
  <c r="AO55" i="11"/>
  <c r="AO69" i="13"/>
  <c r="AO53" i="13" s="1"/>
  <c r="AP309" i="4"/>
  <c r="AQ371" i="19"/>
  <c r="AQ30" i="19"/>
  <c r="AP374" i="19"/>
  <c r="AP375" i="19" s="1"/>
  <c r="AP303" i="4"/>
  <c r="AN330" i="4"/>
  <c r="AN315" i="4"/>
  <c r="AO327" i="4"/>
  <c r="AO312" i="4"/>
  <c r="AM333" i="4"/>
  <c r="AM318" i="4"/>
  <c r="AQ114" i="19"/>
  <c r="AQ98" i="19" s="1"/>
  <c r="AQ119" i="19"/>
  <c r="AQ103" i="19" s="1"/>
  <c r="AQ121" i="19"/>
  <c r="AQ105" i="19" s="1"/>
  <c r="AQ118" i="19"/>
  <c r="AQ102" i="19" s="1"/>
  <c r="AQ117" i="19"/>
  <c r="AQ101" i="19" s="1"/>
  <c r="AQ123" i="19"/>
  <c r="AQ107" i="19" s="1"/>
  <c r="AQ113" i="19"/>
  <c r="AQ97" i="19" s="1"/>
  <c r="AQ116" i="19"/>
  <c r="AQ100" i="19" s="1"/>
  <c r="AQ120" i="19"/>
  <c r="AQ104" i="19" s="1"/>
  <c r="AQ115" i="19"/>
  <c r="AQ99" i="19" s="1"/>
  <c r="AQ122" i="19"/>
  <c r="AQ106" i="19" s="1"/>
  <c r="CF20" i="13" l="1"/>
  <c r="AN27" i="13"/>
  <c r="AO64" i="11"/>
  <c r="AO78" i="13"/>
  <c r="AO62" i="13" s="1"/>
  <c r="AO24" i="11"/>
  <c r="AO385" i="11" s="1"/>
  <c r="AO353" i="11"/>
  <c r="AO21" i="11"/>
  <c r="AO20" i="11" s="1"/>
  <c r="AO79" i="13"/>
  <c r="AO4" i="13" s="1"/>
  <c r="AO51" i="13"/>
  <c r="AO65" i="11"/>
  <c r="AQ293" i="4"/>
  <c r="AQ298" i="4"/>
  <c r="AQ301" i="4"/>
  <c r="AM334" i="4"/>
  <c r="AM319" i="4"/>
  <c r="AQ294" i="4"/>
  <c r="AQ372" i="19"/>
  <c r="AQ373" i="19"/>
  <c r="AQ377" i="19"/>
  <c r="AQ300" i="4"/>
  <c r="AQ292" i="4"/>
  <c r="AP325" i="4"/>
  <c r="AP310" i="4"/>
  <c r="AO328" i="4"/>
  <c r="AO313" i="4"/>
  <c r="AQ302" i="4"/>
  <c r="AP304" i="4"/>
  <c r="AQ296" i="4"/>
  <c r="AQ124" i="19"/>
  <c r="AQ108" i="19" s="1"/>
  <c r="AQ299" i="4"/>
  <c r="AQ295" i="4"/>
  <c r="AN316" i="4"/>
  <c r="AN331" i="4"/>
  <c r="AQ297" i="4"/>
  <c r="AO63" i="13" l="1"/>
  <c r="AO64" i="13" s="1"/>
  <c r="AO343" i="11"/>
  <c r="AO347" i="11"/>
  <c r="AO351" i="11"/>
  <c r="AO348" i="11"/>
  <c r="AO344" i="11"/>
  <c r="AO342" i="11"/>
  <c r="AO346" i="11"/>
  <c r="AO341" i="11"/>
  <c r="AO350" i="11"/>
  <c r="AO349" i="11"/>
  <c r="AO345" i="11"/>
  <c r="CF27" i="13"/>
  <c r="AN32" i="13"/>
  <c r="AO373" i="11"/>
  <c r="AO377" i="11"/>
  <c r="AO374" i="11"/>
  <c r="AO380" i="11"/>
  <c r="AO376" i="11"/>
  <c r="AO375" i="11"/>
  <c r="AO378" i="11"/>
  <c r="AO382" i="11"/>
  <c r="AO383" i="11"/>
  <c r="AO381" i="11"/>
  <c r="AO379" i="11"/>
  <c r="CG4" i="13"/>
  <c r="AO3" i="13"/>
  <c r="AM320" i="4"/>
  <c r="AM336" i="4" s="1"/>
  <c r="AM335" i="4"/>
  <c r="AP326" i="4"/>
  <c r="AP311" i="4"/>
  <c r="AQ375" i="19"/>
  <c r="AQ374" i="19"/>
  <c r="BD374" i="19" s="1"/>
  <c r="AN317" i="4"/>
  <c r="AN332" i="4"/>
  <c r="AO329" i="4"/>
  <c r="AO314" i="4"/>
  <c r="AQ309" i="4"/>
  <c r="AQ303" i="4"/>
  <c r="AQ109" i="19"/>
  <c r="AO403" i="13" l="1"/>
  <c r="AO212" i="4"/>
  <c r="AO384" i="11"/>
  <c r="AO218" i="4"/>
  <c r="AO409" i="13"/>
  <c r="AO334" i="11"/>
  <c r="AO205" i="4"/>
  <c r="AO364" i="13"/>
  <c r="AO348" i="13" s="1"/>
  <c r="AO332" i="13" s="1"/>
  <c r="AO44" i="13" s="1"/>
  <c r="AO196" i="4"/>
  <c r="AO325" i="11"/>
  <c r="AO355" i="13"/>
  <c r="AO329" i="11"/>
  <c r="AO200" i="4"/>
  <c r="AO359" i="13"/>
  <c r="AO343" i="13" s="1"/>
  <c r="AO204" i="4"/>
  <c r="AO333" i="11"/>
  <c r="AO363" i="13"/>
  <c r="AO347" i="13" s="1"/>
  <c r="AO201" i="4"/>
  <c r="AO330" i="11"/>
  <c r="AO360" i="13"/>
  <c r="AO344" i="13" s="1"/>
  <c r="AO220" i="4"/>
  <c r="AO411" i="13"/>
  <c r="AO197" i="4"/>
  <c r="AO356" i="13"/>
  <c r="AO340" i="13" s="1"/>
  <c r="AO324" i="13" s="1"/>
  <c r="AO36" i="13" s="1"/>
  <c r="CG3" i="13"/>
  <c r="AO221" i="4"/>
  <c r="AO412" i="13"/>
  <c r="AO406" i="13"/>
  <c r="AO215" i="4"/>
  <c r="AO199" i="4"/>
  <c r="AO328" i="11"/>
  <c r="AO358" i="13"/>
  <c r="AO342" i="13" s="1"/>
  <c r="AO326" i="13" s="1"/>
  <c r="AO38" i="13" s="1"/>
  <c r="AO217" i="4"/>
  <c r="AO408" i="13"/>
  <c r="AO219" i="4"/>
  <c r="AO410" i="13"/>
  <c r="AO352" i="11"/>
  <c r="AO332" i="11"/>
  <c r="AO203" i="4"/>
  <c r="AO362" i="13"/>
  <c r="AO346" i="13" s="1"/>
  <c r="AP4" i="11"/>
  <c r="AO198" i="4"/>
  <c r="AO327" i="11"/>
  <c r="AO357" i="13"/>
  <c r="AO341" i="13" s="1"/>
  <c r="AO325" i="13" s="1"/>
  <c r="AO37" i="13" s="1"/>
  <c r="AO335" i="11"/>
  <c r="AO222" i="4"/>
  <c r="AO413" i="13"/>
  <c r="AO326" i="11"/>
  <c r="AO213" i="4"/>
  <c r="AO404" i="13"/>
  <c r="AO206" i="4"/>
  <c r="AO365" i="13"/>
  <c r="AO349" i="13" s="1"/>
  <c r="AO333" i="13" s="1"/>
  <c r="AO45" i="13" s="1"/>
  <c r="AO214" i="4"/>
  <c r="AO405" i="13"/>
  <c r="AO216" i="4"/>
  <c r="AO407" i="13"/>
  <c r="AO202" i="4"/>
  <c r="AO331" i="11"/>
  <c r="AO361" i="13"/>
  <c r="AO345" i="13" s="1"/>
  <c r="AO329" i="13" s="1"/>
  <c r="AO41" i="13" s="1"/>
  <c r="AP327" i="4"/>
  <c r="AP312" i="4"/>
  <c r="AO315" i="4"/>
  <c r="AO330" i="4"/>
  <c r="AQ304" i="4"/>
  <c r="AN333" i="4"/>
  <c r="AN318" i="4"/>
  <c r="AQ310" i="4"/>
  <c r="AQ325" i="4"/>
  <c r="BD375" i="19"/>
  <c r="BE374" i="19"/>
  <c r="AO190" i="4" l="1"/>
  <c r="AO47" i="11"/>
  <c r="AO182" i="4"/>
  <c r="AO39" i="11"/>
  <c r="AO183" i="4"/>
  <c r="AO40" i="11"/>
  <c r="AO189" i="4"/>
  <c r="AO46" i="11"/>
  <c r="AO185" i="4"/>
  <c r="AO42" i="11"/>
  <c r="AP28" i="13"/>
  <c r="AP30" i="13" s="1"/>
  <c r="AO331" i="13"/>
  <c r="AO43" i="13" s="1"/>
  <c r="AO414" i="13"/>
  <c r="AO415" i="13" s="1"/>
  <c r="AO24" i="13" s="1"/>
  <c r="CG24" i="13" s="1"/>
  <c r="AO223" i="4"/>
  <c r="AO224" i="4" s="1"/>
  <c r="AO188" i="4"/>
  <c r="AO45" i="11"/>
  <c r="AO184" i="4"/>
  <c r="AO41" i="11"/>
  <c r="AO186" i="4"/>
  <c r="AO43" i="11"/>
  <c r="AO180" i="4"/>
  <c r="AO37" i="11"/>
  <c r="AO187" i="4"/>
  <c r="AO44" i="11"/>
  <c r="AO328" i="13"/>
  <c r="AO40" i="13" s="1"/>
  <c r="AP3" i="11"/>
  <c r="AP81" i="11"/>
  <c r="AO207" i="4"/>
  <c r="AO208" i="4" s="1"/>
  <c r="AO336" i="11"/>
  <c r="AO366" i="13"/>
  <c r="AO350" i="13" s="1"/>
  <c r="AO334" i="13" s="1"/>
  <c r="AO46" i="13" s="1"/>
  <c r="AO339" i="13"/>
  <c r="AO330" i="13"/>
  <c r="AO42" i="13" s="1"/>
  <c r="AO327" i="13"/>
  <c r="AO39" i="13" s="1"/>
  <c r="AO181" i="4"/>
  <c r="AO38" i="11"/>
  <c r="BE375" i="19"/>
  <c r="BF374" i="19"/>
  <c r="AN334" i="4"/>
  <c r="AN319" i="4"/>
  <c r="AO316" i="4"/>
  <c r="AO331" i="4"/>
  <c r="AQ311" i="4"/>
  <c r="AQ326" i="4"/>
  <c r="AP328" i="4"/>
  <c r="AP313" i="4"/>
  <c r="AQ30" i="11" l="1"/>
  <c r="AO367" i="13"/>
  <c r="AO22" i="13" s="1"/>
  <c r="AP77" i="11"/>
  <c r="AP76" i="11"/>
  <c r="AP73" i="11"/>
  <c r="AP69" i="11"/>
  <c r="AP78" i="11"/>
  <c r="AP71" i="11"/>
  <c r="AP72" i="11"/>
  <c r="AP70" i="11"/>
  <c r="AP74" i="11"/>
  <c r="AP79" i="11"/>
  <c r="AP75" i="11"/>
  <c r="AO191" i="4"/>
  <c r="AO48" i="11"/>
  <c r="AO351" i="13"/>
  <c r="AO323" i="13"/>
  <c r="AP31" i="11"/>
  <c r="AP32" i="11" s="1"/>
  <c r="AP27" i="11" s="1"/>
  <c r="AP32" i="15"/>
  <c r="AO337" i="11"/>
  <c r="AP329" i="4"/>
  <c r="AP314" i="4"/>
  <c r="AQ327" i="4"/>
  <c r="AQ312" i="4"/>
  <c r="AO332" i="4"/>
  <c r="AO317" i="4"/>
  <c r="AN335" i="4"/>
  <c r="AN320" i="4"/>
  <c r="AN336" i="4" s="1"/>
  <c r="BF375" i="19"/>
  <c r="BG374" i="19"/>
  <c r="AO192" i="4" l="1"/>
  <c r="AO49" i="11"/>
  <c r="AP58" i="11"/>
  <c r="AP72" i="13"/>
  <c r="AP56" i="13" s="1"/>
  <c r="AP54" i="11"/>
  <c r="AP68" i="13"/>
  <c r="AP52" i="13" s="1"/>
  <c r="AP31" i="13"/>
  <c r="AP33" i="11"/>
  <c r="AP34" i="11" s="1"/>
  <c r="AP55" i="11"/>
  <c r="AP69" i="13"/>
  <c r="AP53" i="13" s="1"/>
  <c r="AP57" i="11"/>
  <c r="AP71" i="13"/>
  <c r="AP55" i="13" s="1"/>
  <c r="AO21" i="13"/>
  <c r="CG22" i="13"/>
  <c r="AP61" i="11"/>
  <c r="AP75" i="13"/>
  <c r="AP59" i="13" s="1"/>
  <c r="AP62" i="11"/>
  <c r="AP76" i="13"/>
  <c r="AP60" i="13" s="1"/>
  <c r="AP53" i="11"/>
  <c r="AP67" i="13"/>
  <c r="AP80" i="11"/>
  <c r="AP59" i="11"/>
  <c r="AP73" i="13"/>
  <c r="AP57" i="13" s="1"/>
  <c r="AO335" i="13"/>
  <c r="AO35" i="13"/>
  <c r="AO47" i="13" s="1"/>
  <c r="AP22" i="11"/>
  <c r="AP63" i="11"/>
  <c r="AP77" i="13"/>
  <c r="AP61" i="13" s="1"/>
  <c r="AP56" i="11"/>
  <c r="AP70" i="13"/>
  <c r="AP54" i="13" s="1"/>
  <c r="AP60" i="11"/>
  <c r="AP74" i="13"/>
  <c r="AP58" i="13" s="1"/>
  <c r="AO333" i="4"/>
  <c r="AO318" i="4"/>
  <c r="AP330" i="4"/>
  <c r="AP315" i="4"/>
  <c r="AQ328" i="4"/>
  <c r="AQ313" i="4"/>
  <c r="BG375" i="19"/>
  <c r="BH374" i="19"/>
  <c r="AP64" i="11" l="1"/>
  <c r="AP78" i="13"/>
  <c r="AP62" i="13" s="1"/>
  <c r="AP24" i="11"/>
  <c r="AP385" i="11" s="1"/>
  <c r="AP353" i="11"/>
  <c r="AP21" i="11"/>
  <c r="AP51" i="13"/>
  <c r="AO20" i="13"/>
  <c r="CG21" i="13"/>
  <c r="AQ329" i="4"/>
  <c r="AQ314" i="4"/>
  <c r="AP331" i="4"/>
  <c r="AP316" i="4"/>
  <c r="AO334" i="4"/>
  <c r="AO319" i="4"/>
  <c r="BH375" i="19"/>
  <c r="BI374" i="19"/>
  <c r="AP374" i="11" l="1"/>
  <c r="AP380" i="11"/>
  <c r="AP382" i="11"/>
  <c r="AP373" i="11"/>
  <c r="AP384" i="11" s="1"/>
  <c r="AP378" i="11"/>
  <c r="AP381" i="11"/>
  <c r="AP377" i="11"/>
  <c r="AP376" i="11"/>
  <c r="AP383" i="11"/>
  <c r="AP379" i="11"/>
  <c r="AP375" i="11"/>
  <c r="AP348" i="11"/>
  <c r="AP344" i="11"/>
  <c r="AP342" i="11"/>
  <c r="AP345" i="11"/>
  <c r="AP351" i="11"/>
  <c r="AP347" i="11"/>
  <c r="AP343" i="11"/>
  <c r="AP349" i="11"/>
  <c r="AP350" i="11"/>
  <c r="AP341" i="11"/>
  <c r="AP346" i="11"/>
  <c r="AP63" i="13"/>
  <c r="AP64" i="13" s="1"/>
  <c r="AP65" i="11"/>
  <c r="CG20" i="13"/>
  <c r="AO27" i="13"/>
  <c r="AP20" i="11"/>
  <c r="AP79" i="13"/>
  <c r="AP4" i="13" s="1"/>
  <c r="BI375" i="19"/>
  <c r="BJ374" i="19"/>
  <c r="AP317" i="4"/>
  <c r="AP332" i="4"/>
  <c r="AQ330" i="4"/>
  <c r="AQ315" i="4"/>
  <c r="AO335" i="4"/>
  <c r="AO320" i="4"/>
  <c r="AO336" i="4" s="1"/>
  <c r="AP223" i="4" l="1"/>
  <c r="AP414" i="13"/>
  <c r="AP3" i="13"/>
  <c r="CH4" i="13"/>
  <c r="AO32" i="13"/>
  <c r="CG27" i="13"/>
  <c r="AP203" i="4"/>
  <c r="AP332" i="11"/>
  <c r="AP362" i="13"/>
  <c r="AP346" i="13" s="1"/>
  <c r="AP330" i="13" s="1"/>
  <c r="AP42" i="13" s="1"/>
  <c r="AP199" i="4"/>
  <c r="AP328" i="11"/>
  <c r="AP358" i="13"/>
  <c r="AP342" i="13" s="1"/>
  <c r="AP326" i="13" s="1"/>
  <c r="AP38" i="13" s="1"/>
  <c r="AP220" i="4"/>
  <c r="AP411" i="13"/>
  <c r="AP352" i="11"/>
  <c r="AP216" i="4"/>
  <c r="AP407" i="13"/>
  <c r="AP198" i="4"/>
  <c r="AP327" i="11"/>
  <c r="AP357" i="13"/>
  <c r="AP341" i="13" s="1"/>
  <c r="AP219" i="4"/>
  <c r="AP410" i="13"/>
  <c r="AP406" i="13"/>
  <c r="AP215" i="4"/>
  <c r="AP205" i="4"/>
  <c r="AP334" i="11"/>
  <c r="AP364" i="13"/>
  <c r="AP348" i="13" s="1"/>
  <c r="AP332" i="13" s="1"/>
  <c r="AP44" i="13" s="1"/>
  <c r="AP333" i="11"/>
  <c r="AP204" i="4"/>
  <c r="AP363" i="13"/>
  <c r="AP347" i="13" s="1"/>
  <c r="AP202" i="4"/>
  <c r="AP331" i="11"/>
  <c r="AP361" i="13"/>
  <c r="AP345" i="13" s="1"/>
  <c r="AP213" i="4"/>
  <c r="AP404" i="13"/>
  <c r="AP218" i="4"/>
  <c r="AP409" i="13"/>
  <c r="AP222" i="4"/>
  <c r="AP413" i="13"/>
  <c r="AP201" i="4"/>
  <c r="AP330" i="11"/>
  <c r="AP360" i="13"/>
  <c r="AP344" i="13" s="1"/>
  <c r="AP328" i="13" s="1"/>
  <c r="AP40" i="13" s="1"/>
  <c r="AP206" i="4"/>
  <c r="AP335" i="11"/>
  <c r="AP365" i="13"/>
  <c r="AP349" i="13" s="1"/>
  <c r="AP333" i="13" s="1"/>
  <c r="AP45" i="13" s="1"/>
  <c r="AQ4" i="11"/>
  <c r="AP217" i="4"/>
  <c r="AP408" i="13"/>
  <c r="AP221" i="4"/>
  <c r="AP412" i="13"/>
  <c r="AP200" i="4"/>
  <c r="AP329" i="11"/>
  <c r="AP359" i="13"/>
  <c r="AP343" i="13" s="1"/>
  <c r="AP327" i="13" s="1"/>
  <c r="AP39" i="13" s="1"/>
  <c r="AP214" i="4"/>
  <c r="AP405" i="13"/>
  <c r="AP196" i="4"/>
  <c r="AP325" i="11"/>
  <c r="AP355" i="13"/>
  <c r="AP403" i="13"/>
  <c r="AP212" i="4"/>
  <c r="AP197" i="4"/>
  <c r="AP326" i="11"/>
  <c r="AP356" i="13"/>
  <c r="AP340" i="13" s="1"/>
  <c r="AQ316" i="4"/>
  <c r="AQ331" i="4"/>
  <c r="BJ375" i="19"/>
  <c r="BK374" i="19"/>
  <c r="AP333" i="4"/>
  <c r="AP318" i="4"/>
  <c r="AP187" i="4" l="1"/>
  <c r="AP44" i="11"/>
  <c r="AP190" i="4"/>
  <c r="AP47" i="11"/>
  <c r="AP184" i="4"/>
  <c r="AP41" i="11"/>
  <c r="AP188" i="4"/>
  <c r="AP45" i="11"/>
  <c r="AP180" i="4"/>
  <c r="AP37" i="11"/>
  <c r="AP185" i="4"/>
  <c r="AP42" i="11"/>
  <c r="AP325" i="13"/>
  <c r="AP37" i="13" s="1"/>
  <c r="AP182" i="4"/>
  <c r="AP39" i="11"/>
  <c r="CH3" i="13"/>
  <c r="AP331" i="13"/>
  <c r="AP43" i="13" s="1"/>
  <c r="AP324" i="13"/>
  <c r="AP36" i="13" s="1"/>
  <c r="AP329" i="13"/>
  <c r="AP41" i="13" s="1"/>
  <c r="AP181" i="4"/>
  <c r="AP38" i="11"/>
  <c r="AQ81" i="11"/>
  <c r="AQ3" i="11"/>
  <c r="AP186" i="4"/>
  <c r="AP43" i="11"/>
  <c r="AP183" i="4"/>
  <c r="AP40" i="11"/>
  <c r="AP336" i="11"/>
  <c r="AP337" i="11" s="1"/>
  <c r="AP207" i="4"/>
  <c r="AP208" i="4" s="1"/>
  <c r="AP366" i="13"/>
  <c r="AP350" i="13" s="1"/>
  <c r="AP334" i="13" s="1"/>
  <c r="AP46" i="13" s="1"/>
  <c r="AP415" i="13"/>
  <c r="AP24" i="13" s="1"/>
  <c r="CH24" i="13" s="1"/>
  <c r="AP367" i="13"/>
  <c r="AP22" i="13" s="1"/>
  <c r="AP339" i="13"/>
  <c r="AP189" i="4"/>
  <c r="AP46" i="11"/>
  <c r="AP224" i="4"/>
  <c r="AQ317" i="4"/>
  <c r="AQ332" i="4"/>
  <c r="BK375" i="19"/>
  <c r="BL374" i="19"/>
  <c r="AP334" i="4"/>
  <c r="AP319" i="4"/>
  <c r="AQ31" i="11" l="1"/>
  <c r="AQ32" i="11" s="1"/>
  <c r="AQ27" i="11" s="1"/>
  <c r="AQ33" i="11" s="1"/>
  <c r="AQ34" i="11" s="1"/>
  <c r="AP351" i="13"/>
  <c r="AP323" i="13"/>
  <c r="AQ77" i="11"/>
  <c r="AQ70" i="11"/>
  <c r="AQ72" i="11"/>
  <c r="AQ75" i="11"/>
  <c r="AQ78" i="11"/>
  <c r="AQ79" i="11"/>
  <c r="AQ76" i="11"/>
  <c r="AQ73" i="11"/>
  <c r="AQ74" i="11"/>
  <c r="AQ69" i="11"/>
  <c r="AQ71" i="11"/>
  <c r="AP21" i="13"/>
  <c r="CH22" i="13"/>
  <c r="AP191" i="4"/>
  <c r="AP48" i="11"/>
  <c r="AP320" i="4"/>
  <c r="AP336" i="4" s="1"/>
  <c r="AP335" i="4"/>
  <c r="BL375" i="19"/>
  <c r="BM374" i="19"/>
  <c r="AQ333" i="4"/>
  <c r="AQ318" i="4"/>
  <c r="AQ55" i="11" l="1"/>
  <c r="AP49" i="11"/>
  <c r="AQ53" i="11"/>
  <c r="AQ57" i="11"/>
  <c r="AQ56" i="11"/>
  <c r="AQ58" i="11"/>
  <c r="AQ63" i="11"/>
  <c r="AP192" i="4"/>
  <c r="AQ61" i="11"/>
  <c r="CH21" i="13"/>
  <c r="AP20" i="13"/>
  <c r="AP335" i="13"/>
  <c r="AP35" i="13"/>
  <c r="AP47" i="13" s="1"/>
  <c r="AQ22" i="11"/>
  <c r="AQ60" i="11"/>
  <c r="AQ59" i="11"/>
  <c r="AQ62" i="11"/>
  <c r="AQ54" i="11"/>
  <c r="AQ80" i="11"/>
  <c r="AQ334" i="4"/>
  <c r="AQ319" i="4"/>
  <c r="BM375" i="19"/>
  <c r="BN374" i="19"/>
  <c r="AQ64" i="11" l="1"/>
  <c r="CH20" i="13"/>
  <c r="AP27" i="13"/>
  <c r="AQ24" i="11"/>
  <c r="AQ385" i="11" s="1"/>
  <c r="AQ353" i="11"/>
  <c r="AQ21" i="11"/>
  <c r="AQ20" i="11" s="1"/>
  <c r="BN375" i="19"/>
  <c r="BO374" i="19"/>
  <c r="AQ320" i="4"/>
  <c r="AQ336" i="4" s="1"/>
  <c r="AQ335" i="4"/>
  <c r="AQ381" i="11" l="1"/>
  <c r="AQ220" i="4" s="1"/>
  <c r="AQ373" i="11"/>
  <c r="AQ212" i="4" s="1"/>
  <c r="AQ379" i="11"/>
  <c r="AQ218" i="4" s="1"/>
  <c r="AQ376" i="11"/>
  <c r="AQ215" i="4" s="1"/>
  <c r="AQ374" i="11"/>
  <c r="AQ213" i="4" s="1"/>
  <c r="AQ378" i="11"/>
  <c r="AQ217" i="4" s="1"/>
  <c r="AQ380" i="11"/>
  <c r="AQ219" i="4" s="1"/>
  <c r="AQ383" i="11"/>
  <c r="AQ222" i="4" s="1"/>
  <c r="AQ377" i="11"/>
  <c r="AQ216" i="4" s="1"/>
  <c r="AQ382" i="11"/>
  <c r="AQ221" i="4" s="1"/>
  <c r="AQ375" i="11"/>
  <c r="AQ214" i="4" s="1"/>
  <c r="CH27" i="13"/>
  <c r="AP32" i="13"/>
  <c r="AQ349" i="11"/>
  <c r="AQ342" i="11"/>
  <c r="AQ346" i="11"/>
  <c r="AQ350" i="11"/>
  <c r="AQ341" i="11"/>
  <c r="AQ352" i="11" s="1"/>
  <c r="AQ345" i="11"/>
  <c r="AQ348" i="11"/>
  <c r="AQ347" i="11"/>
  <c r="AQ343" i="11"/>
  <c r="AQ351" i="11"/>
  <c r="AQ344" i="11"/>
  <c r="AQ65" i="11"/>
  <c r="BO375" i="19"/>
  <c r="BP374" i="19"/>
  <c r="BP375" i="19" s="1"/>
  <c r="AQ207" i="4" l="1"/>
  <c r="AQ206" i="4"/>
  <c r="AQ335" i="11"/>
  <c r="AQ202" i="4"/>
  <c r="AQ331" i="11"/>
  <c r="AQ205" i="4"/>
  <c r="AQ334" i="11"/>
  <c r="AQ330" i="11"/>
  <c r="AQ201" i="4"/>
  <c r="AQ332" i="11"/>
  <c r="AQ203" i="4"/>
  <c r="AQ197" i="4"/>
  <c r="AQ326" i="11"/>
  <c r="AQ333" i="11"/>
  <c r="AQ204" i="4"/>
  <c r="AQ327" i="11"/>
  <c r="AQ198" i="4"/>
  <c r="AQ384" i="11"/>
  <c r="AQ223" i="4" s="1"/>
  <c r="AQ224" i="4" s="1"/>
  <c r="AQ199" i="4"/>
  <c r="AQ328" i="11"/>
  <c r="AQ329" i="11"/>
  <c r="AQ200" i="4"/>
  <c r="AQ196" i="4"/>
  <c r="AQ325" i="11"/>
  <c r="AQ188" i="4" l="1"/>
  <c r="AQ45" i="11"/>
  <c r="AQ184" i="4"/>
  <c r="AQ41" i="11"/>
  <c r="AQ182" i="4"/>
  <c r="AQ39" i="11"/>
  <c r="AQ187" i="4"/>
  <c r="AQ44" i="11"/>
  <c r="AQ190" i="4"/>
  <c r="AQ47" i="11"/>
  <c r="AQ189" i="4"/>
  <c r="AQ46" i="11"/>
  <c r="AQ181" i="4"/>
  <c r="AQ38" i="11"/>
  <c r="AQ180" i="4"/>
  <c r="AQ337" i="11"/>
  <c r="AQ37" i="11"/>
  <c r="AQ186" i="4"/>
  <c r="AQ43" i="11"/>
  <c r="AQ336" i="11"/>
  <c r="AQ185" i="4"/>
  <c r="AQ42" i="11"/>
  <c r="AQ183" i="4"/>
  <c r="AQ40" i="11"/>
  <c r="AQ208" i="4"/>
  <c r="AQ191" i="4" l="1"/>
  <c r="AQ48" i="11"/>
  <c r="AQ192" i="4"/>
  <c r="AQ49" i="11"/>
  <c r="Q4" i="19" l="1" a="1"/>
  <c r="Q4" i="19" s="1"/>
  <c r="Q13" i="19" a="1"/>
  <c r="Q13" i="19" s="1"/>
  <c r="Q17" i="19" a="1"/>
  <c r="Q17" i="19" s="1"/>
  <c r="R17" i="19" s="1" a="1"/>
  <c r="R17" i="19" s="1"/>
  <c r="R16" i="19" l="1"/>
  <c r="Q16" i="21" s="1"/>
  <c r="Q17" i="21" s="1"/>
  <c r="Q285" i="21" s="1"/>
  <c r="Q284" i="21" s="1"/>
  <c r="R13" i="19" a="1"/>
  <c r="R13" i="19" s="1"/>
  <c r="BP13" i="19"/>
  <c r="Q12" i="19"/>
  <c r="AS13" i="21"/>
  <c r="R4" i="19" a="1"/>
  <c r="R4" i="19" s="1"/>
  <c r="Q77" i="19"/>
  <c r="Q3" i="19"/>
  <c r="BP4" i="19"/>
  <c r="Q16" i="19"/>
  <c r="BP17" i="19"/>
  <c r="P16" i="21" l="1"/>
  <c r="P17" i="21" s="1"/>
  <c r="P285" i="21" s="1"/>
  <c r="BP16" i="19"/>
  <c r="BP3" i="19"/>
  <c r="Q30" i="6"/>
  <c r="Q23" i="19"/>
  <c r="Q73" i="19"/>
  <c r="Q68" i="19"/>
  <c r="Q72" i="19"/>
  <c r="Q71" i="19"/>
  <c r="Q75" i="19"/>
  <c r="BP77" i="19"/>
  <c r="Q70" i="19"/>
  <c r="Q74" i="19"/>
  <c r="Q69" i="19"/>
  <c r="Q76" i="19" s="1"/>
  <c r="Q55" i="6"/>
  <c r="Q64" i="6" s="1"/>
  <c r="S4" i="19" a="1"/>
  <c r="S4" i="19" s="1"/>
  <c r="R77" i="19"/>
  <c r="R3" i="19"/>
  <c r="BP12" i="19"/>
  <c r="Q33" i="6"/>
  <c r="Q41" i="6" s="1"/>
  <c r="AS12" i="21"/>
  <c r="R12" i="19"/>
  <c r="R33" i="6" s="1"/>
  <c r="R41" i="6" s="1"/>
  <c r="S13" i="19" a="1"/>
  <c r="S13" i="19" s="1"/>
  <c r="S17" i="19" a="1"/>
  <c r="S17" i="19" s="1"/>
  <c r="Q255" i="3"/>
  <c r="Q268" i="21"/>
  <c r="Q269" i="21" s="1"/>
  <c r="Q76" i="21" l="1"/>
  <c r="Q60" i="19"/>
  <c r="Q30" i="4"/>
  <c r="BP76" i="19"/>
  <c r="R30" i="6"/>
  <c r="R23" i="19"/>
  <c r="R6" i="6" s="1"/>
  <c r="R8" i="6" s="1"/>
  <c r="R67" i="19"/>
  <c r="R66" i="19"/>
  <c r="R71" i="19"/>
  <c r="R73" i="19"/>
  <c r="R69" i="19"/>
  <c r="R75" i="19"/>
  <c r="R74" i="19"/>
  <c r="R70" i="19"/>
  <c r="R65" i="19"/>
  <c r="R55" i="6"/>
  <c r="R64" i="6" s="1"/>
  <c r="R68" i="19"/>
  <c r="R72" i="19"/>
  <c r="R76" i="19"/>
  <c r="S77" i="19"/>
  <c r="S3" i="19"/>
  <c r="T4" i="19" a="1"/>
  <c r="T4" i="19" s="1"/>
  <c r="Q69" i="21"/>
  <c r="Q53" i="19"/>
  <c r="Q23" i="4"/>
  <c r="BP69" i="19"/>
  <c r="Q74" i="21"/>
  <c r="BP74" i="19"/>
  <c r="Q58" i="19"/>
  <c r="Q28" i="4"/>
  <c r="Q54" i="19"/>
  <c r="BP70" i="19"/>
  <c r="Q70" i="21"/>
  <c r="Q24" i="4"/>
  <c r="Q75" i="21"/>
  <c r="BP75" i="19"/>
  <c r="Q59" i="19"/>
  <c r="Q29" i="4"/>
  <c r="Q239" i="3"/>
  <c r="Q240" i="3" s="1"/>
  <c r="Q256" i="3"/>
  <c r="Q71" i="21"/>
  <c r="Q55" i="19"/>
  <c r="BP71" i="19"/>
  <c r="Q25" i="4"/>
  <c r="S16" i="19"/>
  <c r="R16" i="21" s="1"/>
  <c r="R17" i="21" s="1"/>
  <c r="R285" i="21" s="1"/>
  <c r="T17" i="19" a="1"/>
  <c r="T17" i="19" s="1"/>
  <c r="BP72" i="19"/>
  <c r="Q26" i="4"/>
  <c r="Q72" i="21"/>
  <c r="Q56" i="19"/>
  <c r="Q52" i="19"/>
  <c r="Q68" i="21"/>
  <c r="BP68" i="19"/>
  <c r="Q22" i="4"/>
  <c r="Q73" i="21"/>
  <c r="BP73" i="19"/>
  <c r="Q27" i="4"/>
  <c r="Q57" i="19"/>
  <c r="T13" i="19" a="1"/>
  <c r="T13" i="19" s="1"/>
  <c r="S12" i="19"/>
  <c r="S33" i="6" s="1"/>
  <c r="S41" i="6" s="1"/>
  <c r="BP23" i="19"/>
  <c r="Q24" i="21"/>
  <c r="Q6" i="6"/>
  <c r="Q8" i="6" s="1"/>
  <c r="Q40" i="6"/>
  <c r="Q29" i="6"/>
  <c r="T12" i="19" l="1"/>
  <c r="T33" i="6" s="1"/>
  <c r="T41" i="6" s="1"/>
  <c r="U13" i="19" a="1"/>
  <c r="U13" i="19" s="1"/>
  <c r="Q55" i="21"/>
  <c r="Q39" i="21" s="1"/>
  <c r="Q26" i="3"/>
  <c r="U4" i="19" a="1"/>
  <c r="U4" i="19" s="1"/>
  <c r="T77" i="19"/>
  <c r="T3" i="19"/>
  <c r="S30" i="6"/>
  <c r="S23" i="19"/>
  <c r="S6" i="6" s="1"/>
  <c r="S8" i="6" s="1"/>
  <c r="BP57" i="19"/>
  <c r="Q41" i="19"/>
  <c r="S55" i="6"/>
  <c r="S64" i="6" s="1"/>
  <c r="S75" i="19"/>
  <c r="S69" i="19"/>
  <c r="S70" i="19"/>
  <c r="S68" i="19"/>
  <c r="S72" i="19"/>
  <c r="S71" i="19"/>
  <c r="S74" i="19"/>
  <c r="S67" i="19"/>
  <c r="S66" i="19"/>
  <c r="S73" i="19"/>
  <c r="S65" i="19"/>
  <c r="R72" i="21"/>
  <c r="R56" i="19"/>
  <c r="R40" i="19" s="1"/>
  <c r="R236" i="4" s="1"/>
  <c r="R26" i="4"/>
  <c r="Q28" i="3"/>
  <c r="Q57" i="21"/>
  <c r="Q41" i="21" s="1"/>
  <c r="R52" i="19"/>
  <c r="R36" i="19" s="1"/>
  <c r="R232" i="4" s="1"/>
  <c r="R22" i="4"/>
  <c r="R68" i="21"/>
  <c r="Q59" i="21"/>
  <c r="Q43" i="21" s="1"/>
  <c r="Q30" i="3"/>
  <c r="Q8" i="4"/>
  <c r="Q346" i="4" s="1"/>
  <c r="Q137" i="4"/>
  <c r="Q169" i="4" s="1"/>
  <c r="Q23" i="3"/>
  <c r="Q52" i="21"/>
  <c r="Q54" i="21"/>
  <c r="Q38" i="21" s="1"/>
  <c r="Q25" i="3"/>
  <c r="R58" i="19"/>
  <c r="R42" i="19" s="1"/>
  <c r="R238" i="4" s="1"/>
  <c r="R28" i="4"/>
  <c r="R74" i="21"/>
  <c r="R70" i="21"/>
  <c r="R54" i="19"/>
  <c r="R38" i="19" s="1"/>
  <c r="R234" i="4" s="1"/>
  <c r="R24" i="4"/>
  <c r="BP52" i="19"/>
  <c r="Q36" i="19"/>
  <c r="R75" i="21"/>
  <c r="R59" i="19"/>
  <c r="R43" i="19" s="1"/>
  <c r="R239" i="4" s="1"/>
  <c r="R29" i="4"/>
  <c r="BP54" i="19"/>
  <c r="Q38" i="19"/>
  <c r="R23" i="4"/>
  <c r="R69" i="21"/>
  <c r="R53" i="19"/>
  <c r="R37" i="19" s="1"/>
  <c r="R233" i="4" s="1"/>
  <c r="R30" i="4"/>
  <c r="R60" i="19"/>
  <c r="R44" i="19" s="1"/>
  <c r="R240" i="4" s="1"/>
  <c r="R76" i="21"/>
  <c r="R19" i="4"/>
  <c r="R65" i="21"/>
  <c r="R49" i="19"/>
  <c r="BP56" i="19"/>
  <c r="Q40" i="19"/>
  <c r="Q12" i="4"/>
  <c r="Q350" i="4" s="1"/>
  <c r="Q382" i="4" s="1"/>
  <c r="Q141" i="4"/>
  <c r="Q173" i="4" s="1"/>
  <c r="R73" i="21"/>
  <c r="R57" i="19"/>
  <c r="R41" i="19" s="1"/>
  <c r="R237" i="4" s="1"/>
  <c r="R27" i="4"/>
  <c r="Q56" i="21"/>
  <c r="Q40" i="21" s="1"/>
  <c r="Q27" i="3"/>
  <c r="BP58" i="19"/>
  <c r="Q42" i="19"/>
  <c r="R71" i="21"/>
  <c r="R55" i="19"/>
  <c r="R39" i="19" s="1"/>
  <c r="R235" i="4" s="1"/>
  <c r="R25" i="4"/>
  <c r="Q10" i="4"/>
  <c r="Q348" i="4" s="1"/>
  <c r="Q139" i="4"/>
  <c r="Q171" i="4" s="1"/>
  <c r="R20" i="4"/>
  <c r="R66" i="21"/>
  <c r="R50" i="19"/>
  <c r="R34" i="19" s="1"/>
  <c r="R230" i="4" s="1"/>
  <c r="BP59" i="19"/>
  <c r="Q43" i="19"/>
  <c r="Q58" i="21"/>
  <c r="Q42" i="21" s="1"/>
  <c r="Q29" i="3"/>
  <c r="R67" i="21"/>
  <c r="R51" i="19"/>
  <c r="R35" i="19" s="1"/>
  <c r="R231" i="4" s="1"/>
  <c r="R21" i="4"/>
  <c r="Q13" i="4"/>
  <c r="Q351" i="4" s="1"/>
  <c r="Q383" i="4" s="1"/>
  <c r="Q142" i="4"/>
  <c r="Q174" i="4" s="1"/>
  <c r="T16" i="19"/>
  <c r="S16" i="21" s="1"/>
  <c r="S17" i="21" s="1"/>
  <c r="S285" i="21" s="1"/>
  <c r="U17" i="19" a="1"/>
  <c r="U17" i="19" s="1"/>
  <c r="Q11" i="4"/>
  <c r="Q349" i="4" s="1"/>
  <c r="Q140" i="4"/>
  <c r="Q172" i="4" s="1"/>
  <c r="Q14" i="5"/>
  <c r="Q71" i="5" s="1"/>
  <c r="Q87" i="5" s="1"/>
  <c r="Q120" i="5" s="1"/>
  <c r="Q6" i="4"/>
  <c r="Q13" i="5"/>
  <c r="Q70" i="5" s="1"/>
  <c r="Q86" i="5" s="1"/>
  <c r="Q119" i="5" s="1"/>
  <c r="Q12" i="5"/>
  <c r="Q135" i="4"/>
  <c r="Q31" i="4"/>
  <c r="R280" i="21"/>
  <c r="R284" i="21" s="1"/>
  <c r="R283" i="21"/>
  <c r="R282" i="21"/>
  <c r="R40" i="6"/>
  <c r="R29" i="6"/>
  <c r="Q7" i="4"/>
  <c r="Q345" i="4" s="1"/>
  <c r="Q136" i="4"/>
  <c r="Q168" i="4" s="1"/>
  <c r="Q9" i="4"/>
  <c r="Q138" i="4"/>
  <c r="Q170" i="4" s="1"/>
  <c r="BP53" i="19"/>
  <c r="Q37" i="19"/>
  <c r="Q14" i="4"/>
  <c r="Q143" i="4"/>
  <c r="Q175" i="4" s="1"/>
  <c r="Q53" i="21"/>
  <c r="Q37" i="21" s="1"/>
  <c r="Q24" i="3"/>
  <c r="Q61" i="19"/>
  <c r="BP61" i="19" s="1"/>
  <c r="BP60" i="19"/>
  <c r="Q44" i="19"/>
  <c r="BP55" i="19"/>
  <c r="Q39" i="19"/>
  <c r="Q77" i="21"/>
  <c r="Q4" i="21" s="1"/>
  <c r="Q31" i="3"/>
  <c r="Q60" i="21"/>
  <c r="Q44" i="21" s="1"/>
  <c r="R255" i="3" l="1"/>
  <c r="R239" i="3" s="1"/>
  <c r="R268" i="21"/>
  <c r="Q11" i="3"/>
  <c r="Q447" i="3" s="1"/>
  <c r="Q187" i="3"/>
  <c r="Q378" i="4"/>
  <c r="S71" i="21"/>
  <c r="S55" i="19"/>
  <c r="S39" i="19" s="1"/>
  <c r="S235" i="4" s="1"/>
  <c r="S25" i="4"/>
  <c r="Q15" i="3"/>
  <c r="Q451" i="3" s="1"/>
  <c r="Q191" i="3"/>
  <c r="Q14" i="3"/>
  <c r="Q450" i="3" s="1"/>
  <c r="Q190" i="3"/>
  <c r="S56" i="19"/>
  <c r="S40" i="19" s="1"/>
  <c r="S236" i="4" s="1"/>
  <c r="S26" i="4"/>
  <c r="S72" i="21"/>
  <c r="Q3" i="21"/>
  <c r="AS4" i="21"/>
  <c r="R266" i="21"/>
  <c r="R253" i="3"/>
  <c r="R237" i="3" s="1"/>
  <c r="R13" i="5"/>
  <c r="R70" i="5" s="1"/>
  <c r="R86" i="5" s="1"/>
  <c r="R119" i="5" s="1"/>
  <c r="R5" i="4"/>
  <c r="R343" i="4" s="1"/>
  <c r="R134" i="4"/>
  <c r="R166" i="4" s="1"/>
  <c r="S68" i="21"/>
  <c r="S52" i="19"/>
  <c r="S36" i="19" s="1"/>
  <c r="S232" i="4" s="1"/>
  <c r="S22" i="4"/>
  <c r="BP39" i="19"/>
  <c r="Q235" i="4"/>
  <c r="R267" i="21"/>
  <c r="R254" i="3"/>
  <c r="R238" i="3" s="1"/>
  <c r="R11" i="4"/>
  <c r="R349" i="4" s="1"/>
  <c r="R140" i="4"/>
  <c r="R172" i="4" s="1"/>
  <c r="S24" i="4"/>
  <c r="S70" i="21"/>
  <c r="S54" i="19"/>
  <c r="S38" i="19" s="1"/>
  <c r="S234" i="4" s="1"/>
  <c r="R264" i="21"/>
  <c r="R251" i="3"/>
  <c r="S53" i="19"/>
  <c r="S37" i="19" s="1"/>
  <c r="S233" i="4" s="1"/>
  <c r="S23" i="4"/>
  <c r="S69" i="21"/>
  <c r="BP44" i="19"/>
  <c r="Q240" i="4"/>
  <c r="Q13" i="3"/>
  <c r="Q449" i="3" s="1"/>
  <c r="Q482" i="3" s="1"/>
  <c r="Q189" i="3"/>
  <c r="R57" i="21"/>
  <c r="R41" i="21" s="1"/>
  <c r="R28" i="3"/>
  <c r="R13" i="4"/>
  <c r="R351" i="4" s="1"/>
  <c r="R142" i="4"/>
  <c r="R174" i="4" s="1"/>
  <c r="S75" i="21"/>
  <c r="S59" i="19"/>
  <c r="S43" i="19" s="1"/>
  <c r="S239" i="4" s="1"/>
  <c r="S29" i="4"/>
  <c r="R51" i="21"/>
  <c r="R35" i="21" s="1"/>
  <c r="R22" i="3"/>
  <c r="Q167" i="4"/>
  <c r="Q176" i="4" s="1"/>
  <c r="Q144" i="4"/>
  <c r="Q15" i="5"/>
  <c r="Q69" i="5"/>
  <c r="BP43" i="19"/>
  <c r="Q239" i="4"/>
  <c r="R59" i="21"/>
  <c r="R43" i="21" s="1"/>
  <c r="R30" i="3"/>
  <c r="R52" i="21"/>
  <c r="R36" i="21" s="1"/>
  <c r="R23" i="3"/>
  <c r="BP41" i="19"/>
  <c r="Q237" i="4"/>
  <c r="Q8" i="3"/>
  <c r="Q444" i="3" s="1"/>
  <c r="Q184" i="3"/>
  <c r="BP40" i="19"/>
  <c r="Q236" i="4"/>
  <c r="BP36" i="19"/>
  <c r="Q45" i="19"/>
  <c r="Q232" i="4"/>
  <c r="R6" i="4"/>
  <c r="R14" i="5"/>
  <c r="R71" i="5" s="1"/>
  <c r="R87" i="5" s="1"/>
  <c r="R120" i="5" s="1"/>
  <c r="R135" i="4"/>
  <c r="R167" i="4" s="1"/>
  <c r="Q4" i="5"/>
  <c r="Q15" i="4"/>
  <c r="Q344" i="4"/>
  <c r="S40" i="6"/>
  <c r="S29" i="6"/>
  <c r="Q12" i="3"/>
  <c r="Q448" i="3" s="1"/>
  <c r="Q481" i="3" s="1"/>
  <c r="Q188" i="3"/>
  <c r="Q6" i="5"/>
  <c r="Q352" i="4"/>
  <c r="Q384" i="4" s="1"/>
  <c r="R50" i="21"/>
  <c r="R34" i="21" s="1"/>
  <c r="R21" i="3"/>
  <c r="R61" i="19"/>
  <c r="R33" i="19"/>
  <c r="R8" i="4"/>
  <c r="R346" i="4" s="1"/>
  <c r="R137" i="4"/>
  <c r="R169" i="4" s="1"/>
  <c r="BP37" i="19"/>
  <c r="Q233" i="4"/>
  <c r="Q381" i="4"/>
  <c r="R12" i="5"/>
  <c r="R69" i="5" s="1"/>
  <c r="R85" i="5" s="1"/>
  <c r="R118" i="5" s="1"/>
  <c r="R4" i="4"/>
  <c r="R342" i="4" s="1"/>
  <c r="R133" i="4"/>
  <c r="R165" i="4" s="1"/>
  <c r="R20" i="3"/>
  <c r="R49" i="21"/>
  <c r="R77" i="21"/>
  <c r="R4" i="21" s="1"/>
  <c r="R3" i="21" s="1"/>
  <c r="R23" i="21" s="1"/>
  <c r="R11" i="5"/>
  <c r="R3" i="4"/>
  <c r="R31" i="4"/>
  <c r="R132" i="4"/>
  <c r="R54" i="21"/>
  <c r="R38" i="21" s="1"/>
  <c r="R25" i="3"/>
  <c r="R10" i="4"/>
  <c r="R348" i="4" s="1"/>
  <c r="R139" i="4"/>
  <c r="R171" i="4" s="1"/>
  <c r="R60" i="21"/>
  <c r="R44" i="21" s="1"/>
  <c r="R31" i="3"/>
  <c r="R58" i="21"/>
  <c r="R42" i="21" s="1"/>
  <c r="R29" i="3"/>
  <c r="Q5" i="5"/>
  <c r="Q347" i="4"/>
  <c r="Q379" i="4" s="1"/>
  <c r="R12" i="4"/>
  <c r="R141" i="4"/>
  <c r="R173" i="4" s="1"/>
  <c r="R56" i="21"/>
  <c r="R40" i="21" s="1"/>
  <c r="R27" i="3"/>
  <c r="T30" i="6"/>
  <c r="T23" i="19"/>
  <c r="T6" i="6" s="1"/>
  <c r="T8" i="6" s="1"/>
  <c r="U16" i="19"/>
  <c r="T16" i="21" s="1"/>
  <c r="T17" i="21" s="1"/>
  <c r="T285" i="21" s="1"/>
  <c r="V17" i="19" a="1"/>
  <c r="V17" i="19" s="1"/>
  <c r="R14" i="4"/>
  <c r="R352" i="4" s="1"/>
  <c r="R384" i="4" s="1"/>
  <c r="R143" i="4"/>
  <c r="R175" i="4" s="1"/>
  <c r="S76" i="19"/>
  <c r="T75" i="19"/>
  <c r="T55" i="6"/>
  <c r="T64" i="6" s="1"/>
  <c r="T68" i="19"/>
  <c r="T73" i="19"/>
  <c r="T72" i="19"/>
  <c r="T70" i="19"/>
  <c r="T69" i="19"/>
  <c r="T67" i="19"/>
  <c r="T71" i="19"/>
  <c r="T74" i="19"/>
  <c r="T66" i="19"/>
  <c r="T65" i="19"/>
  <c r="T76" i="19" s="1"/>
  <c r="S282" i="21"/>
  <c r="S284" i="21" s="1"/>
  <c r="S280" i="21"/>
  <c r="S283" i="21"/>
  <c r="R9" i="4"/>
  <c r="R138" i="4"/>
  <c r="R170" i="4" s="1"/>
  <c r="Q185" i="3"/>
  <c r="Q9" i="3"/>
  <c r="Q33" i="3"/>
  <c r="S49" i="19"/>
  <c r="S33" i="19" s="1"/>
  <c r="S65" i="21"/>
  <c r="S19" i="4"/>
  <c r="U3" i="19"/>
  <c r="U77" i="19"/>
  <c r="V4" i="19" a="1"/>
  <c r="V4" i="19" s="1"/>
  <c r="S73" i="21"/>
  <c r="S57" i="19"/>
  <c r="S41" i="19" s="1"/>
  <c r="S237" i="4" s="1"/>
  <c r="S27" i="4"/>
  <c r="Q10" i="3"/>
  <c r="Q446" i="3" s="1"/>
  <c r="Q186" i="3"/>
  <c r="R55" i="21"/>
  <c r="R39" i="21" s="1"/>
  <c r="R26" i="3"/>
  <c r="R53" i="21"/>
  <c r="R37" i="21" s="1"/>
  <c r="R24" i="3"/>
  <c r="Q61" i="21"/>
  <c r="Q36" i="21"/>
  <c r="Q45" i="21" s="1"/>
  <c r="S20" i="4"/>
  <c r="S50" i="19"/>
  <c r="S34" i="19" s="1"/>
  <c r="S230" i="4" s="1"/>
  <c r="S66" i="21"/>
  <c r="BP42" i="19"/>
  <c r="Q238" i="4"/>
  <c r="R7" i="4"/>
  <c r="R345" i="4" s="1"/>
  <c r="R136" i="4"/>
  <c r="R168" i="4" s="1"/>
  <c r="Q7" i="3"/>
  <c r="Q183" i="3"/>
  <c r="Q32" i="3"/>
  <c r="S67" i="21"/>
  <c r="S51" i="19"/>
  <c r="S35" i="19" s="1"/>
  <c r="S231" i="4" s="1"/>
  <c r="S21" i="4"/>
  <c r="V13" i="19" a="1"/>
  <c r="V13" i="19" s="1"/>
  <c r="U12" i="19"/>
  <c r="U33" i="6" s="1"/>
  <c r="U41" i="6" s="1"/>
  <c r="BP38" i="19"/>
  <c r="Q234" i="4"/>
  <c r="S28" i="4"/>
  <c r="S74" i="21"/>
  <c r="S58" i="19"/>
  <c r="S42" i="19" s="1"/>
  <c r="S238" i="4" s="1"/>
  <c r="S268" i="21" l="1"/>
  <c r="S255" i="3"/>
  <c r="S239" i="3" s="1"/>
  <c r="T76" i="21"/>
  <c r="T30" i="4"/>
  <c r="T60" i="19"/>
  <c r="V12" i="19"/>
  <c r="V33" i="6" s="1"/>
  <c r="V41" i="6" s="1"/>
  <c r="W13" i="19" a="1"/>
  <c r="W13" i="19" s="1"/>
  <c r="S76" i="21"/>
  <c r="S60" i="19"/>
  <c r="S30" i="4"/>
  <c r="R14" i="3"/>
  <c r="R450" i="3" s="1"/>
  <c r="R190" i="3"/>
  <c r="S56" i="21"/>
  <c r="S40" i="21" s="1"/>
  <c r="S27" i="3"/>
  <c r="R380" i="4"/>
  <c r="R12" i="3"/>
  <c r="R448" i="3" s="1"/>
  <c r="R188" i="3"/>
  <c r="S10" i="4"/>
  <c r="S348" i="4" s="1"/>
  <c r="S139" i="4"/>
  <c r="S171" i="4" s="1"/>
  <c r="S13" i="5"/>
  <c r="S70" i="5" s="1"/>
  <c r="S86" i="5" s="1"/>
  <c r="S119" i="5" s="1"/>
  <c r="S5" i="4"/>
  <c r="S343" i="4" s="1"/>
  <c r="S134" i="4"/>
  <c r="S166" i="4" s="1"/>
  <c r="R9" i="3"/>
  <c r="R445" i="3" s="1"/>
  <c r="R185" i="3"/>
  <c r="R5" i="5"/>
  <c r="R347" i="4"/>
  <c r="R379" i="4" s="1"/>
  <c r="R378" i="4"/>
  <c r="Q337" i="3"/>
  <c r="Q173" i="3"/>
  <c r="Q319" i="3" s="1"/>
  <c r="Q338" i="3"/>
  <c r="Q174" i="3"/>
  <c r="Q320" i="3" s="1"/>
  <c r="S51" i="21"/>
  <c r="S35" i="21" s="1"/>
  <c r="S22" i="3"/>
  <c r="R144" i="4"/>
  <c r="R164" i="4"/>
  <c r="R176" i="4" s="1"/>
  <c r="R45" i="19"/>
  <c r="R47" i="19" s="1"/>
  <c r="R229" i="4"/>
  <c r="Q353" i="4"/>
  <c r="Q376" i="4"/>
  <c r="Q361" i="4"/>
  <c r="Q72" i="5"/>
  <c r="Q85" i="5"/>
  <c r="Q483" i="3"/>
  <c r="Q334" i="3"/>
  <c r="Q170" i="3"/>
  <c r="Q316" i="3" s="1"/>
  <c r="S267" i="21"/>
  <c r="S254" i="3"/>
  <c r="S238" i="3" s="1"/>
  <c r="Q331" i="3"/>
  <c r="Q192" i="3"/>
  <c r="Q167" i="3"/>
  <c r="S264" i="21"/>
  <c r="S251" i="3"/>
  <c r="V16" i="19"/>
  <c r="U16" i="21" s="1"/>
  <c r="U17" i="21" s="1"/>
  <c r="U285" i="21" s="1"/>
  <c r="W17" i="19" a="1"/>
  <c r="W17" i="19" s="1"/>
  <c r="R3" i="5"/>
  <c r="R7" i="5" s="1"/>
  <c r="R15" i="4"/>
  <c r="R341" i="4"/>
  <c r="R5" i="3"/>
  <c r="R441" i="3" s="1"/>
  <c r="R181" i="3"/>
  <c r="Q7" i="5"/>
  <c r="Q16" i="3"/>
  <c r="Q443" i="3"/>
  <c r="S266" i="21"/>
  <c r="S253" i="3"/>
  <c r="S237" i="3" s="1"/>
  <c r="T280" i="21"/>
  <c r="T283" i="21"/>
  <c r="T282" i="21"/>
  <c r="T284" i="21"/>
  <c r="R15" i="5"/>
  <c r="R68" i="5"/>
  <c r="S14" i="5"/>
  <c r="S71" i="5" s="1"/>
  <c r="S87" i="5" s="1"/>
  <c r="S120" i="5" s="1"/>
  <c r="S6" i="4"/>
  <c r="S135" i="4"/>
  <c r="S167" i="4" s="1"/>
  <c r="S11" i="4"/>
  <c r="S349" i="4" s="1"/>
  <c r="S381" i="4" s="1"/>
  <c r="S140" i="4"/>
  <c r="S172" i="4" s="1"/>
  <c r="Q377" i="4"/>
  <c r="Q339" i="3"/>
  <c r="Q175" i="3"/>
  <c r="Q321" i="3" s="1"/>
  <c r="R377" i="4"/>
  <c r="T40" i="6"/>
  <c r="T29" i="6"/>
  <c r="S52" i="21"/>
  <c r="S36" i="21" s="1"/>
  <c r="S23" i="3"/>
  <c r="Q484" i="3"/>
  <c r="S57" i="21"/>
  <c r="S41" i="21" s="1"/>
  <c r="S28" i="3"/>
  <c r="T65" i="21"/>
  <c r="T49" i="19"/>
  <c r="T33" i="19" s="1"/>
  <c r="T19" i="4"/>
  <c r="R11" i="3"/>
  <c r="R187" i="3"/>
  <c r="Q336" i="3"/>
  <c r="Q172" i="3"/>
  <c r="Q318" i="3" s="1"/>
  <c r="R4" i="5"/>
  <c r="R344" i="4"/>
  <c r="R376" i="4" s="1"/>
  <c r="S53" i="21"/>
  <c r="S37" i="21" s="1"/>
  <c r="S24" i="3"/>
  <c r="W4" i="19" a="1"/>
  <c r="W4" i="19" s="1"/>
  <c r="V3" i="19"/>
  <c r="V77" i="19"/>
  <c r="T66" i="21"/>
  <c r="T50" i="19"/>
  <c r="T34" i="19" s="1"/>
  <c r="T230" i="4" s="1"/>
  <c r="T20" i="4"/>
  <c r="R30" i="21"/>
  <c r="R5" i="2"/>
  <c r="R7" i="2" s="1"/>
  <c r="R17" i="2" s="1"/>
  <c r="Q248" i="4"/>
  <c r="Q241" i="4"/>
  <c r="S7" i="4"/>
  <c r="S345" i="4" s="1"/>
  <c r="S136" i="4"/>
  <c r="S168" i="4" s="1"/>
  <c r="S9" i="4"/>
  <c r="S138" i="4"/>
  <c r="S170" i="4" s="1"/>
  <c r="U72" i="19"/>
  <c r="U67" i="19"/>
  <c r="U71" i="19"/>
  <c r="U74" i="19"/>
  <c r="U73" i="19"/>
  <c r="U69" i="19"/>
  <c r="U65" i="19"/>
  <c r="U70" i="19"/>
  <c r="U68" i="19"/>
  <c r="U66" i="19"/>
  <c r="U76" i="19" s="1"/>
  <c r="U75" i="19"/>
  <c r="U55" i="6"/>
  <c r="U64" i="6" s="1"/>
  <c r="T28" i="4"/>
  <c r="T74" i="21"/>
  <c r="T58" i="19"/>
  <c r="T42" i="19" s="1"/>
  <c r="T238" i="4" s="1"/>
  <c r="R61" i="21"/>
  <c r="R33" i="21"/>
  <c r="R45" i="21" s="1"/>
  <c r="BP45" i="19"/>
  <c r="Q46" i="19"/>
  <c r="Q47" i="19"/>
  <c r="U30" i="6"/>
  <c r="U23" i="19"/>
  <c r="U6" i="6" s="1"/>
  <c r="U8" i="6" s="1"/>
  <c r="T71" i="21"/>
  <c r="T55" i="19"/>
  <c r="T39" i="19" s="1"/>
  <c r="T235" i="4" s="1"/>
  <c r="T25" i="4"/>
  <c r="R6" i="5"/>
  <c r="R350" i="4"/>
  <c r="R382" i="4" s="1"/>
  <c r="R4" i="3"/>
  <c r="R32" i="3"/>
  <c r="R180" i="3"/>
  <c r="R235" i="3"/>
  <c r="R240" i="3" s="1"/>
  <c r="R256" i="3"/>
  <c r="S55" i="21"/>
  <c r="S39" i="21" s="1"/>
  <c r="S26" i="3"/>
  <c r="S50" i="21"/>
  <c r="S34" i="21" s="1"/>
  <c r="S21" i="3"/>
  <c r="T67" i="21"/>
  <c r="T51" i="19"/>
  <c r="T35" i="19" s="1"/>
  <c r="T231" i="4" s="1"/>
  <c r="T21" i="4"/>
  <c r="R375" i="4"/>
  <c r="S11" i="5"/>
  <c r="S3" i="4"/>
  <c r="S31" i="4"/>
  <c r="S132" i="4"/>
  <c r="T53" i="19"/>
  <c r="T37" i="19" s="1"/>
  <c r="T233" i="4" s="1"/>
  <c r="T23" i="4"/>
  <c r="T69" i="21"/>
  <c r="R374" i="4"/>
  <c r="Q335" i="3"/>
  <c r="Q171" i="3"/>
  <c r="Q317" i="3" s="1"/>
  <c r="S12" i="5"/>
  <c r="S69" i="5" s="1"/>
  <c r="S85" i="5" s="1"/>
  <c r="S118" i="5" s="1"/>
  <c r="S4" i="4"/>
  <c r="S342" i="4" s="1"/>
  <c r="S133" i="4"/>
  <c r="S165" i="4" s="1"/>
  <c r="S77" i="21"/>
  <c r="S4" i="21" s="1"/>
  <c r="S3" i="21" s="1"/>
  <c r="S23" i="21" s="1"/>
  <c r="S49" i="21"/>
  <c r="S20" i="3"/>
  <c r="T70" i="21"/>
  <c r="T54" i="19"/>
  <c r="T38" i="19" s="1"/>
  <c r="T234" i="4" s="1"/>
  <c r="T24" i="4"/>
  <c r="Q332" i="3"/>
  <c r="Q168" i="3"/>
  <c r="Q314" i="3" s="1"/>
  <c r="R6" i="3"/>
  <c r="R442" i="3" s="1"/>
  <c r="R182" i="3"/>
  <c r="Q480" i="3"/>
  <c r="S58" i="21"/>
  <c r="S42" i="21" s="1"/>
  <c r="S29" i="3"/>
  <c r="S229" i="4"/>
  <c r="T26" i="4"/>
  <c r="T72" i="21"/>
  <c r="T56" i="19"/>
  <c r="T40" i="19" s="1"/>
  <c r="T236" i="4" s="1"/>
  <c r="R13" i="3"/>
  <c r="R449" i="3" s="1"/>
  <c r="R482" i="3" s="1"/>
  <c r="R189" i="3"/>
  <c r="Q477" i="3"/>
  <c r="S12" i="4"/>
  <c r="S350" i="4" s="1"/>
  <c r="S141" i="4"/>
  <c r="S173" i="4" s="1"/>
  <c r="T73" i="21"/>
  <c r="T57" i="19"/>
  <c r="T41" i="19" s="1"/>
  <c r="T237" i="4" s="1"/>
  <c r="T27" i="4"/>
  <c r="S13" i="4"/>
  <c r="S351" i="4" s="1"/>
  <c r="S383" i="4" s="1"/>
  <c r="S142" i="4"/>
  <c r="S174" i="4" s="1"/>
  <c r="S54" i="21"/>
  <c r="S38" i="21" s="1"/>
  <c r="S25" i="3"/>
  <c r="R8" i="3"/>
  <c r="R444" i="3" s="1"/>
  <c r="R477" i="3" s="1"/>
  <c r="R184" i="3"/>
  <c r="Q17" i="3"/>
  <c r="Q445" i="3"/>
  <c r="Q478" i="3" s="1"/>
  <c r="T68" i="21"/>
  <c r="T52" i="19"/>
  <c r="T36" i="19" s="1"/>
  <c r="T232" i="4" s="1"/>
  <c r="T22" i="4"/>
  <c r="R15" i="3"/>
  <c r="R451" i="3" s="1"/>
  <c r="R191" i="3"/>
  <c r="S8" i="4"/>
  <c r="S346" i="4" s="1"/>
  <c r="S378" i="4" s="1"/>
  <c r="S137" i="4"/>
  <c r="S169" i="4" s="1"/>
  <c r="AS3" i="21"/>
  <c r="Q23" i="21"/>
  <c r="Q333" i="3"/>
  <c r="Q169" i="3"/>
  <c r="Q315" i="3" s="1"/>
  <c r="R7" i="3"/>
  <c r="R443" i="3" s="1"/>
  <c r="R476" i="3" s="1"/>
  <c r="R183" i="3"/>
  <c r="S59" i="21"/>
  <c r="S43" i="21" s="1"/>
  <c r="S30" i="3"/>
  <c r="R269" i="21"/>
  <c r="R10" i="3"/>
  <c r="R446" i="3" s="1"/>
  <c r="R479" i="3" s="1"/>
  <c r="R186" i="3"/>
  <c r="T29" i="4"/>
  <c r="T75" i="21"/>
  <c r="T59" i="19"/>
  <c r="T43" i="19" s="1"/>
  <c r="T239" i="4" s="1"/>
  <c r="Q380" i="4"/>
  <c r="R381" i="4"/>
  <c r="U76" i="21" l="1"/>
  <c r="U30" i="4"/>
  <c r="U60" i="19"/>
  <c r="R336" i="3"/>
  <c r="R172" i="3"/>
  <c r="R318" i="3" s="1"/>
  <c r="R329" i="3"/>
  <c r="R165" i="3"/>
  <c r="R311" i="3" s="1"/>
  <c r="R481" i="3"/>
  <c r="S30" i="21"/>
  <c r="S5" i="2"/>
  <c r="S7" i="2" s="1"/>
  <c r="S17" i="2" s="1"/>
  <c r="S19" i="2" s="1"/>
  <c r="R335" i="3"/>
  <c r="R171" i="3"/>
  <c r="R317" i="3" s="1"/>
  <c r="R245" i="4"/>
  <c r="R241" i="4"/>
  <c r="S5" i="5"/>
  <c r="S347" i="4"/>
  <c r="S379" i="4" s="1"/>
  <c r="T135" i="4"/>
  <c r="T167" i="4" s="1"/>
  <c r="T14" i="5"/>
  <c r="T71" i="5" s="1"/>
  <c r="T87" i="5" s="1"/>
  <c r="T120" i="5" s="1"/>
  <c r="T6" i="4"/>
  <c r="T56" i="21"/>
  <c r="T40" i="21" s="1"/>
  <c r="T27" i="3"/>
  <c r="S5" i="3"/>
  <c r="S441" i="3" s="1"/>
  <c r="S181" i="3"/>
  <c r="R447" i="3"/>
  <c r="R480" i="3" s="1"/>
  <c r="R358" i="4"/>
  <c r="R373" i="4"/>
  <c r="R353" i="4"/>
  <c r="S4" i="5"/>
  <c r="S344" i="4"/>
  <c r="S376" i="4" s="1"/>
  <c r="T52" i="21"/>
  <c r="T36" i="21" s="1"/>
  <c r="T23" i="3"/>
  <c r="S10" i="3"/>
  <c r="S446" i="3" s="1"/>
  <c r="S479" i="3" s="1"/>
  <c r="S186" i="3"/>
  <c r="T132" i="4"/>
  <c r="T164" i="4" s="1"/>
  <c r="T11" i="5"/>
  <c r="T3" i="4"/>
  <c r="T31" i="4"/>
  <c r="S245" i="4"/>
  <c r="T229" i="4"/>
  <c r="R72" i="5"/>
  <c r="R84" i="5"/>
  <c r="W16" i="19"/>
  <c r="V16" i="21" s="1"/>
  <c r="V17" i="21" s="1"/>
  <c r="V285" i="21" s="1"/>
  <c r="X17" i="19" a="1"/>
  <c r="X17" i="19" s="1"/>
  <c r="S6" i="3"/>
  <c r="S442" i="3" s="1"/>
  <c r="S475" i="3" s="1"/>
  <c r="S182" i="3"/>
  <c r="R484" i="3"/>
  <c r="Q264" i="4"/>
  <c r="Q281" i="4" s="1"/>
  <c r="Q249" i="4"/>
  <c r="T59" i="21"/>
  <c r="T43" i="21" s="1"/>
  <c r="T30" i="3"/>
  <c r="S13" i="3"/>
  <c r="S449" i="3" s="1"/>
  <c r="S189" i="3"/>
  <c r="T58" i="21"/>
  <c r="T42" i="21" s="1"/>
  <c r="T29" i="3"/>
  <c r="T49" i="21"/>
  <c r="T77" i="21"/>
  <c r="T4" i="21" s="1"/>
  <c r="T3" i="21" s="1"/>
  <c r="T23" i="21" s="1"/>
  <c r="T20" i="3"/>
  <c r="U283" i="21"/>
  <c r="U282" i="21"/>
  <c r="U280" i="21"/>
  <c r="U284" i="21"/>
  <c r="S11" i="3"/>
  <c r="S187" i="3"/>
  <c r="R339" i="3"/>
  <c r="R175" i="3"/>
  <c r="R321" i="3" s="1"/>
  <c r="T13" i="4"/>
  <c r="T351" i="4" s="1"/>
  <c r="T383" i="4" s="1"/>
  <c r="T142" i="4"/>
  <c r="T174" i="4" s="1"/>
  <c r="T12" i="4"/>
  <c r="T350" i="4" s="1"/>
  <c r="T141" i="4"/>
  <c r="T173" i="4" s="1"/>
  <c r="S12" i="3"/>
  <c r="S448" i="3" s="1"/>
  <c r="S188" i="3"/>
  <c r="T268" i="21"/>
  <c r="T255" i="3"/>
  <c r="T239" i="3" s="1"/>
  <c r="S235" i="3"/>
  <c r="S240" i="3" s="1"/>
  <c r="S256" i="3"/>
  <c r="R170" i="3"/>
  <c r="R316" i="3" s="1"/>
  <c r="R334" i="3"/>
  <c r="R328" i="3"/>
  <c r="R192" i="3"/>
  <c r="R164" i="3"/>
  <c r="T133" i="4"/>
  <c r="T165" i="4" s="1"/>
  <c r="T12" i="5"/>
  <c r="T69" i="5" s="1"/>
  <c r="T85" i="5" s="1"/>
  <c r="T118" i="5" s="1"/>
  <c r="T4" i="4"/>
  <c r="T342" i="4" s="1"/>
  <c r="T266" i="21"/>
  <c r="T253" i="3"/>
  <c r="T237" i="3" s="1"/>
  <c r="R383" i="4"/>
  <c r="R332" i="3"/>
  <c r="R168" i="3"/>
  <c r="R314" i="3" s="1"/>
  <c r="S9" i="3"/>
  <c r="S445" i="3" s="1"/>
  <c r="S185" i="3"/>
  <c r="T53" i="21"/>
  <c r="T37" i="21" s="1"/>
  <c r="T24" i="3"/>
  <c r="T254" i="3"/>
  <c r="T238" i="3" s="1"/>
  <c r="T267" i="21"/>
  <c r="Q479" i="3"/>
  <c r="R338" i="3"/>
  <c r="R174" i="3"/>
  <c r="R320" i="3" s="1"/>
  <c r="T7" i="4"/>
  <c r="T345" i="4" s="1"/>
  <c r="T136" i="4"/>
  <c r="T168" i="4" s="1"/>
  <c r="R16" i="3"/>
  <c r="R440" i="3"/>
  <c r="U75" i="21"/>
  <c r="U59" i="19"/>
  <c r="U43" i="19" s="1"/>
  <c r="U239" i="4" s="1"/>
  <c r="U29" i="4"/>
  <c r="T50" i="21"/>
  <c r="T34" i="21" s="1"/>
  <c r="T21" i="3"/>
  <c r="S7" i="3"/>
  <c r="S443" i="3" s="1"/>
  <c r="S476" i="3" s="1"/>
  <c r="S183" i="3"/>
  <c r="T251" i="3"/>
  <c r="T264" i="21"/>
  <c r="Q313" i="3"/>
  <c r="Q322" i="3" s="1"/>
  <c r="Q176" i="3"/>
  <c r="R483" i="3"/>
  <c r="U66" i="21"/>
  <c r="U50" i="19"/>
  <c r="U34" i="19" s="1"/>
  <c r="U230" i="4" s="1"/>
  <c r="U20" i="4"/>
  <c r="V72" i="19"/>
  <c r="V67" i="19"/>
  <c r="V71" i="19"/>
  <c r="V75" i="19"/>
  <c r="V76" i="19" s="1"/>
  <c r="V74" i="19"/>
  <c r="V65" i="19"/>
  <c r="V68" i="19"/>
  <c r="V66" i="19"/>
  <c r="V70" i="19"/>
  <c r="V73" i="19"/>
  <c r="V69" i="19"/>
  <c r="V55" i="6"/>
  <c r="V64" i="6" s="1"/>
  <c r="S14" i="4"/>
  <c r="S143" i="4"/>
  <c r="S175" i="4" s="1"/>
  <c r="S33" i="21"/>
  <c r="T10" i="4"/>
  <c r="T348" i="4" s="1"/>
  <c r="T139" i="4"/>
  <c r="T171" i="4" s="1"/>
  <c r="Q340" i="3"/>
  <c r="Q347" i="3"/>
  <c r="S61" i="19"/>
  <c r="S44" i="19"/>
  <c r="V30" i="6"/>
  <c r="V23" i="19"/>
  <c r="V6" i="6" s="1"/>
  <c r="V8" i="6" s="1"/>
  <c r="R331" i="3"/>
  <c r="R167" i="3"/>
  <c r="R313" i="3" s="1"/>
  <c r="R330" i="3"/>
  <c r="R166" i="3"/>
  <c r="R312" i="3" s="1"/>
  <c r="U70" i="21"/>
  <c r="U54" i="19"/>
  <c r="U38" i="19" s="1"/>
  <c r="U234" i="4" s="1"/>
  <c r="U24" i="4"/>
  <c r="W77" i="19"/>
  <c r="W3" i="19"/>
  <c r="X4" i="19" a="1"/>
  <c r="X4" i="19" s="1"/>
  <c r="S60" i="21"/>
  <c r="S44" i="21" s="1"/>
  <c r="S31" i="3"/>
  <c r="S144" i="4"/>
  <c r="S164" i="4"/>
  <c r="S176" i="4" s="1"/>
  <c r="T11" i="4"/>
  <c r="T349" i="4" s="1"/>
  <c r="T381" i="4" s="1"/>
  <c r="T140" i="4"/>
  <c r="T172" i="4" s="1"/>
  <c r="R475" i="3"/>
  <c r="S3" i="5"/>
  <c r="S341" i="4"/>
  <c r="T9" i="4"/>
  <c r="T138" i="4"/>
  <c r="T170" i="4" s="1"/>
  <c r="U65" i="21"/>
  <c r="U49" i="19"/>
  <c r="U33" i="19" s="1"/>
  <c r="U19" i="4"/>
  <c r="R333" i="3"/>
  <c r="R169" i="3"/>
  <c r="R315" i="3" s="1"/>
  <c r="X13" i="19" a="1"/>
  <c r="X13" i="19" s="1"/>
  <c r="W12" i="19"/>
  <c r="W33" i="6" s="1"/>
  <c r="W41" i="6" s="1"/>
  <c r="S4" i="3"/>
  <c r="S180" i="3"/>
  <c r="U68" i="21"/>
  <c r="U52" i="19"/>
  <c r="U36" i="19" s="1"/>
  <c r="U232" i="4" s="1"/>
  <c r="U22" i="4"/>
  <c r="S15" i="5"/>
  <c r="S68" i="5"/>
  <c r="U69" i="21"/>
  <c r="U53" i="19"/>
  <c r="U37" i="19" s="1"/>
  <c r="U233" i="4" s="1"/>
  <c r="U23" i="4"/>
  <c r="R478" i="3"/>
  <c r="S14" i="3"/>
  <c r="S450" i="3" s="1"/>
  <c r="S483" i="3" s="1"/>
  <c r="S190" i="3"/>
  <c r="T57" i="21"/>
  <c r="T41" i="21" s="1"/>
  <c r="T28" i="3"/>
  <c r="T55" i="21"/>
  <c r="T39" i="21" s="1"/>
  <c r="T26" i="3"/>
  <c r="U57" i="19"/>
  <c r="U41" i="19" s="1"/>
  <c r="U237" i="4" s="1"/>
  <c r="U27" i="4"/>
  <c r="U73" i="21"/>
  <c r="Q452" i="3"/>
  <c r="Q476" i="3"/>
  <c r="Q460" i="3"/>
  <c r="T61" i="19"/>
  <c r="T44" i="19"/>
  <c r="T240" i="4" s="1"/>
  <c r="AS23" i="21"/>
  <c r="Q5" i="2"/>
  <c r="Q7" i="2" s="1"/>
  <c r="Q17" i="2" s="1"/>
  <c r="Q19" i="2" s="1"/>
  <c r="Q30" i="21"/>
  <c r="U74" i="21"/>
  <c r="U58" i="19"/>
  <c r="U42" i="19" s="1"/>
  <c r="U238" i="4" s="1"/>
  <c r="U28" i="4"/>
  <c r="S8" i="3"/>
  <c r="S444" i="3" s="1"/>
  <c r="S184" i="3"/>
  <c r="S375" i="4"/>
  <c r="T14" i="4"/>
  <c r="T143" i="4"/>
  <c r="S382" i="4"/>
  <c r="T8" i="4"/>
  <c r="T346" i="4" s="1"/>
  <c r="T378" i="4" s="1"/>
  <c r="T137" i="4"/>
  <c r="T169" i="4" s="1"/>
  <c r="T5" i="4"/>
  <c r="T343" i="4" s="1"/>
  <c r="T375" i="4" s="1"/>
  <c r="T134" i="4"/>
  <c r="T166" i="4" s="1"/>
  <c r="T13" i="5"/>
  <c r="T70" i="5" s="1"/>
  <c r="T86" i="5" s="1"/>
  <c r="T119" i="5" s="1"/>
  <c r="U40" i="6"/>
  <c r="U29" i="6"/>
  <c r="U55" i="19"/>
  <c r="U39" i="19" s="1"/>
  <c r="U235" i="4" s="1"/>
  <c r="U25" i="4"/>
  <c r="U71" i="21"/>
  <c r="Q118" i="5"/>
  <c r="Q121" i="5" s="1"/>
  <c r="Q88" i="5"/>
  <c r="T60" i="21"/>
  <c r="T44" i="21" s="1"/>
  <c r="T31" i="3"/>
  <c r="U67" i="21"/>
  <c r="U51" i="19"/>
  <c r="U35" i="19" s="1"/>
  <c r="U231" i="4" s="1"/>
  <c r="U21" i="4"/>
  <c r="R337" i="3"/>
  <c r="R173" i="3"/>
  <c r="R319" i="3" s="1"/>
  <c r="T54" i="21"/>
  <c r="T38" i="21" s="1"/>
  <c r="T25" i="3"/>
  <c r="T51" i="21"/>
  <c r="T35" i="21" s="1"/>
  <c r="T22" i="3"/>
  <c r="U56" i="19"/>
  <c r="U40" i="19" s="1"/>
  <c r="U236" i="4" s="1"/>
  <c r="U26" i="4"/>
  <c r="U72" i="21"/>
  <c r="Q362" i="4"/>
  <c r="Q392" i="4"/>
  <c r="S380" i="4"/>
  <c r="S269" i="21"/>
  <c r="V76" i="21" l="1"/>
  <c r="V60" i="19"/>
  <c r="V30" i="4"/>
  <c r="T269" i="21"/>
  <c r="T14" i="3"/>
  <c r="T450" i="3" s="1"/>
  <c r="T190" i="3"/>
  <c r="T15" i="4"/>
  <c r="T3" i="5"/>
  <c r="T341" i="4"/>
  <c r="T187" i="3"/>
  <c r="T11" i="3"/>
  <c r="T12" i="3"/>
  <c r="T448" i="3" s="1"/>
  <c r="T188" i="3"/>
  <c r="U54" i="21"/>
  <c r="U38" i="21" s="1"/>
  <c r="U25" i="3"/>
  <c r="S6" i="5"/>
  <c r="S352" i="4"/>
  <c r="S384" i="4" s="1"/>
  <c r="T235" i="3"/>
  <c r="T240" i="3" s="1"/>
  <c r="T256" i="3"/>
  <c r="T68" i="5"/>
  <c r="T15" i="5"/>
  <c r="S331" i="3"/>
  <c r="S167" i="3"/>
  <c r="S313" i="3" s="1"/>
  <c r="Q265" i="4"/>
  <c r="Q282" i="4" s="1"/>
  <c r="Q250" i="4"/>
  <c r="T4" i="5"/>
  <c r="T344" i="4"/>
  <c r="T376" i="4" s="1"/>
  <c r="S334" i="3"/>
  <c r="S170" i="3"/>
  <c r="S316" i="3" s="1"/>
  <c r="U12" i="4"/>
  <c r="U350" i="4" s="1"/>
  <c r="U141" i="4"/>
  <c r="U173" i="4" s="1"/>
  <c r="U229" i="4"/>
  <c r="U49" i="21"/>
  <c r="U77" i="21"/>
  <c r="U4" i="21" s="1"/>
  <c r="U3" i="21" s="1"/>
  <c r="U23" i="21" s="1"/>
  <c r="U20" i="3"/>
  <c r="V53" i="19"/>
  <c r="V37" i="19" s="1"/>
  <c r="V233" i="4" s="1"/>
  <c r="V69" i="21"/>
  <c r="V23" i="4"/>
  <c r="T5" i="3"/>
  <c r="T441" i="3" s="1"/>
  <c r="T181" i="3"/>
  <c r="T382" i="4"/>
  <c r="V75" i="21"/>
  <c r="V59" i="19"/>
  <c r="V43" i="19" s="1"/>
  <c r="V239" i="4" s="1"/>
  <c r="V29" i="4"/>
  <c r="V73" i="21"/>
  <c r="V57" i="19"/>
  <c r="V41" i="19" s="1"/>
  <c r="V237" i="4" s="1"/>
  <c r="V27" i="4"/>
  <c r="T7" i="3"/>
  <c r="T443" i="3" s="1"/>
  <c r="T183" i="3"/>
  <c r="S338" i="3"/>
  <c r="S174" i="3"/>
  <c r="S320" i="3" s="1"/>
  <c r="U55" i="21"/>
  <c r="U39" i="21" s="1"/>
  <c r="U26" i="3"/>
  <c r="T5" i="5"/>
  <c r="T347" i="4"/>
  <c r="T379" i="4" s="1"/>
  <c r="V70" i="21"/>
  <c r="V54" i="19"/>
  <c r="V38" i="19" s="1"/>
  <c r="V234" i="4" s="1"/>
  <c r="V24" i="4"/>
  <c r="U13" i="4"/>
  <c r="U351" i="4" s="1"/>
  <c r="U142" i="4"/>
  <c r="U174" i="4" s="1"/>
  <c r="S330" i="3"/>
  <c r="S166" i="3"/>
  <c r="S312" i="3" s="1"/>
  <c r="U268" i="21"/>
  <c r="U255" i="3"/>
  <c r="U239" i="3" s="1"/>
  <c r="T15" i="3"/>
  <c r="T451" i="3" s="1"/>
  <c r="T484" i="3" s="1"/>
  <c r="T191" i="3"/>
  <c r="U7" i="4"/>
  <c r="U345" i="4" s="1"/>
  <c r="U136" i="4"/>
  <c r="U168" i="4" s="1"/>
  <c r="V66" i="21"/>
  <c r="V20" i="4"/>
  <c r="V50" i="19"/>
  <c r="V34" i="19" s="1"/>
  <c r="V230" i="4" s="1"/>
  <c r="T144" i="4"/>
  <c r="T175" i="4"/>
  <c r="T176" i="4" s="1"/>
  <c r="S15" i="4"/>
  <c r="V68" i="21"/>
  <c r="V52" i="19"/>
  <c r="V36" i="19" s="1"/>
  <c r="V232" i="4" s="1"/>
  <c r="V22" i="4"/>
  <c r="U59" i="21"/>
  <c r="U43" i="21" s="1"/>
  <c r="U30" i="3"/>
  <c r="R310" i="3"/>
  <c r="R322" i="3" s="1"/>
  <c r="R176" i="3"/>
  <c r="Y17" i="19" a="1"/>
  <c r="Y17" i="19" s="1"/>
  <c r="Y16" i="19" s="1"/>
  <c r="X16" i="21" s="1"/>
  <c r="X17" i="21" s="1"/>
  <c r="X285" i="21" s="1"/>
  <c r="X16" i="19"/>
  <c r="W16" i="21" s="1"/>
  <c r="W17" i="21" s="1"/>
  <c r="W285" i="21" s="1"/>
  <c r="R261" i="4"/>
  <c r="R246" i="4"/>
  <c r="U51" i="21"/>
  <c r="U35" i="21" s="1"/>
  <c r="U22" i="3"/>
  <c r="U58" i="21"/>
  <c r="U42" i="21" s="1"/>
  <c r="U29" i="3"/>
  <c r="U132" i="4"/>
  <c r="U11" i="5"/>
  <c r="U3" i="4"/>
  <c r="U31" i="4"/>
  <c r="Q363" i="4"/>
  <c r="Q393" i="4"/>
  <c r="U53" i="21"/>
  <c r="U37" i="21" s="1"/>
  <c r="U24" i="3"/>
  <c r="S7" i="5"/>
  <c r="V19" i="4"/>
  <c r="V65" i="21"/>
  <c r="V49" i="19"/>
  <c r="V33" i="19" s="1"/>
  <c r="R457" i="3"/>
  <c r="R473" i="3"/>
  <c r="R452" i="3"/>
  <c r="S335" i="3"/>
  <c r="S171" i="3"/>
  <c r="S317" i="3" s="1"/>
  <c r="V283" i="21"/>
  <c r="V282" i="21"/>
  <c r="V280" i="21"/>
  <c r="V284" i="21" s="1"/>
  <c r="R474" i="3"/>
  <c r="U9" i="4"/>
  <c r="U138" i="4"/>
  <c r="U170" i="4" s="1"/>
  <c r="S374" i="4"/>
  <c r="S353" i="4"/>
  <c r="S358" i="4"/>
  <c r="S373" i="4"/>
  <c r="U56" i="21"/>
  <c r="U40" i="21" s="1"/>
  <c r="U27" i="3"/>
  <c r="S72" i="5"/>
  <c r="S84" i="5"/>
  <c r="V74" i="21"/>
  <c r="V58" i="19"/>
  <c r="V42" i="19" s="1"/>
  <c r="V238" i="4" s="1"/>
  <c r="V28" i="4"/>
  <c r="R344" i="3"/>
  <c r="R340" i="3"/>
  <c r="S447" i="3"/>
  <c r="S480" i="3" s="1"/>
  <c r="R117" i="5"/>
  <c r="R121" i="5" s="1"/>
  <c r="R88" i="5"/>
  <c r="V25" i="4"/>
  <c r="V55" i="19"/>
  <c r="V39" i="19" s="1"/>
  <c r="V235" i="4" s="1"/>
  <c r="V71" i="21"/>
  <c r="T377" i="4"/>
  <c r="U264" i="21"/>
  <c r="U269" i="21" s="1"/>
  <c r="U251" i="3"/>
  <c r="T45" i="19"/>
  <c r="T47" i="19" s="1"/>
  <c r="T182" i="3"/>
  <c r="T6" i="3"/>
  <c r="T442" i="3" s="1"/>
  <c r="T475" i="3" s="1"/>
  <c r="U14" i="5"/>
  <c r="U71" i="5" s="1"/>
  <c r="U87" i="5" s="1"/>
  <c r="U120" i="5" s="1"/>
  <c r="U6" i="4"/>
  <c r="U135" i="4"/>
  <c r="U167" i="4" s="1"/>
  <c r="V40" i="6"/>
  <c r="V29" i="6"/>
  <c r="V67" i="21"/>
  <c r="V51" i="19"/>
  <c r="V35" i="19" s="1"/>
  <c r="V231" i="4" s="1"/>
  <c r="V21" i="4"/>
  <c r="U266" i="21"/>
  <c r="U253" i="3"/>
  <c r="U237" i="3" s="1"/>
  <c r="T245" i="4"/>
  <c r="T241" i="4"/>
  <c r="Q461" i="3"/>
  <c r="Q492" i="3"/>
  <c r="S240" i="4"/>
  <c r="S241" i="4" s="1"/>
  <c r="S45" i="19"/>
  <c r="S47" i="19" s="1"/>
  <c r="V72" i="21"/>
  <c r="V56" i="19"/>
  <c r="V40" i="19" s="1"/>
  <c r="V236" i="4" s="1"/>
  <c r="V26" i="4"/>
  <c r="U267" i="21"/>
  <c r="U254" i="3"/>
  <c r="U238" i="3" s="1"/>
  <c r="R19" i="2"/>
  <c r="T185" i="3"/>
  <c r="T9" i="3"/>
  <c r="T445" i="3" s="1"/>
  <c r="U52" i="21"/>
  <c r="U36" i="21" s="1"/>
  <c r="U23" i="3"/>
  <c r="S15" i="3"/>
  <c r="S451" i="3" s="1"/>
  <c r="S484" i="3" s="1"/>
  <c r="S191" i="3"/>
  <c r="T32" i="3"/>
  <c r="T4" i="3"/>
  <c r="T180" i="3"/>
  <c r="S328" i="3"/>
  <c r="S164" i="3"/>
  <c r="S192" i="3"/>
  <c r="Q363" i="3"/>
  <c r="Q380" i="3" s="1"/>
  <c r="Q348" i="3"/>
  <c r="U133" i="4"/>
  <c r="U165" i="4" s="1"/>
  <c r="U12" i="5"/>
  <c r="U69" i="5" s="1"/>
  <c r="U85" i="5" s="1"/>
  <c r="U118" i="5" s="1"/>
  <c r="U4" i="4"/>
  <c r="U342" i="4" s="1"/>
  <c r="T30" i="21"/>
  <c r="T5" i="2"/>
  <c r="T7" i="2" s="1"/>
  <c r="T17" i="2" s="1"/>
  <c r="T19" i="2" s="1"/>
  <c r="S246" i="4"/>
  <c r="S261" i="4"/>
  <c r="T61" i="21"/>
  <c r="T33" i="21"/>
  <c r="T45" i="21" s="1"/>
  <c r="R389" i="4"/>
  <c r="R359" i="4"/>
  <c r="S16" i="3"/>
  <c r="S440" i="3"/>
  <c r="U57" i="21"/>
  <c r="U41" i="21" s="1"/>
  <c r="U28" i="3"/>
  <c r="S32" i="3"/>
  <c r="W30" i="6"/>
  <c r="W23" i="19"/>
  <c r="W6" i="6" s="1"/>
  <c r="W8" i="6" s="1"/>
  <c r="U50" i="21"/>
  <c r="U34" i="21" s="1"/>
  <c r="U21" i="3"/>
  <c r="T8" i="3"/>
  <c r="T444" i="3" s="1"/>
  <c r="T477" i="3" s="1"/>
  <c r="T184" i="3"/>
  <c r="T13" i="3"/>
  <c r="T449" i="3" s="1"/>
  <c r="T482" i="3" s="1"/>
  <c r="T189" i="3"/>
  <c r="T6" i="5"/>
  <c r="T352" i="4"/>
  <c r="T384" i="4" s="1"/>
  <c r="U11" i="4"/>
  <c r="U349" i="4" s="1"/>
  <c r="U140" i="4"/>
  <c r="U172" i="4" s="1"/>
  <c r="W75" i="19"/>
  <c r="W66" i="19"/>
  <c r="W65" i="19"/>
  <c r="W69" i="19"/>
  <c r="W74" i="19"/>
  <c r="W68" i="19"/>
  <c r="W70" i="19"/>
  <c r="W72" i="19"/>
  <c r="W73" i="19"/>
  <c r="W55" i="6"/>
  <c r="W64" i="6" s="1"/>
  <c r="W67" i="19"/>
  <c r="W71" i="19"/>
  <c r="W76" i="19"/>
  <c r="T380" i="4"/>
  <c r="S377" i="4"/>
  <c r="U61" i="19"/>
  <c r="U44" i="19"/>
  <c r="U240" i="4" s="1"/>
  <c r="U10" i="4"/>
  <c r="U348" i="4" s="1"/>
  <c r="U139" i="4"/>
  <c r="U171" i="4" s="1"/>
  <c r="X3" i="19"/>
  <c r="X77" i="19"/>
  <c r="Y4" i="19" a="1"/>
  <c r="Y4" i="19" s="1"/>
  <c r="U134" i="4"/>
  <c r="U166" i="4" s="1"/>
  <c r="U13" i="5"/>
  <c r="U70" i="5" s="1"/>
  <c r="U86" i="5" s="1"/>
  <c r="U119" i="5" s="1"/>
  <c r="U5" i="4"/>
  <c r="U343" i="4" s="1"/>
  <c r="S168" i="3"/>
  <c r="S314" i="3" s="1"/>
  <c r="S332" i="3"/>
  <c r="X12" i="19"/>
  <c r="X33" i="6" s="1"/>
  <c r="X41" i="6" s="1"/>
  <c r="Y13" i="19" a="1"/>
  <c r="Y13" i="19" s="1"/>
  <c r="S45" i="21"/>
  <c r="S333" i="3"/>
  <c r="S169" i="3"/>
  <c r="S315" i="3" s="1"/>
  <c r="S336" i="3"/>
  <c r="S172" i="3"/>
  <c r="S318" i="3" s="1"/>
  <c r="S337" i="3"/>
  <c r="S173" i="3"/>
  <c r="S319" i="3" s="1"/>
  <c r="S165" i="3"/>
  <c r="S311" i="3" s="1"/>
  <c r="S329" i="3"/>
  <c r="U14" i="4"/>
  <c r="U143" i="4"/>
  <c r="U175" i="4" s="1"/>
  <c r="S477" i="3"/>
  <c r="T186" i="3"/>
  <c r="T10" i="3"/>
  <c r="T446" i="3" s="1"/>
  <c r="T479" i="3" s="1"/>
  <c r="U8" i="4"/>
  <c r="U346" i="4" s="1"/>
  <c r="U378" i="4" s="1"/>
  <c r="U137" i="4"/>
  <c r="U169" i="4" s="1"/>
  <c r="S61" i="21"/>
  <c r="S478" i="3"/>
  <c r="S481" i="3"/>
  <c r="S482" i="3"/>
  <c r="S474" i="3"/>
  <c r="U60" i="21"/>
  <c r="U44" i="21" s="1"/>
  <c r="U31" i="3"/>
  <c r="V268" i="21" l="1"/>
  <c r="V255" i="3"/>
  <c r="V239" i="3" s="1"/>
  <c r="W54" i="19"/>
  <c r="W38" i="19" s="1"/>
  <c r="W234" i="4" s="1"/>
  <c r="W24" i="4"/>
  <c r="W70" i="21"/>
  <c r="T16" i="3"/>
  <c r="T440" i="3"/>
  <c r="V9" i="4"/>
  <c r="V138" i="4"/>
  <c r="V170" i="4" s="1"/>
  <c r="Q394" i="4"/>
  <c r="Q364" i="4"/>
  <c r="T328" i="3"/>
  <c r="T164" i="3"/>
  <c r="T192" i="3"/>
  <c r="U375" i="4"/>
  <c r="W68" i="21"/>
  <c r="W52" i="19"/>
  <c r="W36" i="19" s="1"/>
  <c r="W232" i="4" s="1"/>
  <c r="W22" i="4"/>
  <c r="U188" i="3"/>
  <c r="U12" i="3"/>
  <c r="U448" i="3" s="1"/>
  <c r="T246" i="4"/>
  <c r="T261" i="4"/>
  <c r="V7" i="4"/>
  <c r="V345" i="4" s="1"/>
  <c r="V136" i="4"/>
  <c r="V168" i="4" s="1"/>
  <c r="T332" i="3"/>
  <c r="T168" i="3"/>
  <c r="T314" i="3" s="1"/>
  <c r="V56" i="21"/>
  <c r="V40" i="21" s="1"/>
  <c r="V27" i="3"/>
  <c r="W74" i="21"/>
  <c r="W58" i="19"/>
  <c r="W42" i="19" s="1"/>
  <c r="W238" i="4" s="1"/>
  <c r="W28" i="4"/>
  <c r="U3" i="5"/>
  <c r="U15" i="4"/>
  <c r="U341" i="4"/>
  <c r="V53" i="21"/>
  <c r="V37" i="21" s="1"/>
  <c r="V24" i="3"/>
  <c r="T334" i="3"/>
  <c r="T170" i="3"/>
  <c r="T316" i="3" s="1"/>
  <c r="W69" i="21"/>
  <c r="W53" i="19"/>
  <c r="W37" i="19" s="1"/>
  <c r="W233" i="4" s="1"/>
  <c r="W23" i="4"/>
  <c r="S452" i="3"/>
  <c r="S457" i="3"/>
  <c r="S473" i="3"/>
  <c r="U5" i="5"/>
  <c r="U347" i="4"/>
  <c r="U379" i="4" s="1"/>
  <c r="U15" i="5"/>
  <c r="U68" i="5"/>
  <c r="U10" i="3"/>
  <c r="U446" i="3" s="1"/>
  <c r="U479" i="3" s="1"/>
  <c r="U186" i="3"/>
  <c r="U144" i="4"/>
  <c r="U164" i="4"/>
  <c r="U176" i="4" s="1"/>
  <c r="V12" i="5"/>
  <c r="V69" i="5" s="1"/>
  <c r="V85" i="5" s="1"/>
  <c r="V118" i="5" s="1"/>
  <c r="V4" i="4"/>
  <c r="V342" i="4" s="1"/>
  <c r="V133" i="4"/>
  <c r="V165" i="4" s="1"/>
  <c r="U4" i="3"/>
  <c r="U32" i="3"/>
  <c r="U180" i="3"/>
  <c r="U9" i="3"/>
  <c r="U445" i="3" s="1"/>
  <c r="U185" i="3"/>
  <c r="Q493" i="3"/>
  <c r="Q462" i="3"/>
  <c r="W19" i="4"/>
  <c r="W49" i="19"/>
  <c r="W65" i="21"/>
  <c r="X75" i="19"/>
  <c r="X66" i="19"/>
  <c r="X76" i="19" s="1"/>
  <c r="X69" i="19"/>
  <c r="X74" i="19"/>
  <c r="X65" i="19"/>
  <c r="X70" i="19"/>
  <c r="X72" i="19"/>
  <c r="X68" i="19"/>
  <c r="X73" i="19"/>
  <c r="X55" i="6"/>
  <c r="X64" i="6" s="1"/>
  <c r="X67" i="19"/>
  <c r="X71" i="19"/>
  <c r="W66" i="21"/>
  <c r="W50" i="19"/>
  <c r="W34" i="19" s="1"/>
  <c r="W230" i="4" s="1"/>
  <c r="W20" i="4"/>
  <c r="R390" i="4"/>
  <c r="R360" i="4"/>
  <c r="S339" i="3"/>
  <c r="S175" i="3"/>
  <c r="S321" i="3" s="1"/>
  <c r="V134" i="4"/>
  <c r="V166" i="4" s="1"/>
  <c r="V13" i="5"/>
  <c r="V70" i="5" s="1"/>
  <c r="V86" i="5" s="1"/>
  <c r="V119" i="5" s="1"/>
  <c r="V5" i="4"/>
  <c r="V343" i="4" s="1"/>
  <c r="U13" i="3"/>
  <c r="U449" i="3" s="1"/>
  <c r="U482" i="3" s="1"/>
  <c r="U189" i="3"/>
  <c r="V50" i="21"/>
  <c r="V34" i="21" s="1"/>
  <c r="V21" i="3"/>
  <c r="U5" i="2"/>
  <c r="U7" i="2" s="1"/>
  <c r="U17" i="2" s="1"/>
  <c r="U19" i="2" s="1"/>
  <c r="U30" i="21"/>
  <c r="V264" i="21"/>
  <c r="V251" i="3"/>
  <c r="U61" i="21"/>
  <c r="U33" i="21"/>
  <c r="U45" i="21" s="1"/>
  <c r="Q364" i="3"/>
  <c r="Q381" i="3" s="1"/>
  <c r="Q349" i="3"/>
  <c r="U6" i="5"/>
  <c r="U352" i="4"/>
  <c r="U384" i="4" s="1"/>
  <c r="X30" i="6"/>
  <c r="X23" i="19"/>
  <c r="X6" i="6" s="1"/>
  <c r="X8" i="6" s="1"/>
  <c r="W75" i="21"/>
  <c r="W59" i="19"/>
  <c r="W43" i="19" s="1"/>
  <c r="W239" i="4" s="1"/>
  <c r="W29" i="4"/>
  <c r="U7" i="3"/>
  <c r="U443" i="3" s="1"/>
  <c r="U183" i="3"/>
  <c r="V51" i="21"/>
  <c r="V35" i="21" s="1"/>
  <c r="V22" i="3"/>
  <c r="V266" i="21"/>
  <c r="V253" i="3"/>
  <c r="V237" i="3" s="1"/>
  <c r="U6" i="3"/>
  <c r="U442" i="3" s="1"/>
  <c r="U182" i="3"/>
  <c r="T167" i="3"/>
  <c r="T313" i="3" s="1"/>
  <c r="T331" i="3"/>
  <c r="U45" i="19"/>
  <c r="U47" i="19" s="1"/>
  <c r="U381" i="4"/>
  <c r="R360" i="3"/>
  <c r="R345" i="3"/>
  <c r="V267" i="21"/>
  <c r="V254" i="3"/>
  <c r="V238" i="3" s="1"/>
  <c r="T339" i="3"/>
  <c r="T175" i="3"/>
  <c r="T321" i="3" s="1"/>
  <c r="T476" i="3"/>
  <c r="U241" i="4"/>
  <c r="U245" i="4"/>
  <c r="S277" i="4"/>
  <c r="S278" i="4"/>
  <c r="T478" i="3"/>
  <c r="V12" i="4"/>
  <c r="V350" i="4" s="1"/>
  <c r="V141" i="4"/>
  <c r="V173" i="4" s="1"/>
  <c r="R262" i="4"/>
  <c r="R279" i="4" s="1"/>
  <c r="R247" i="4"/>
  <c r="T172" i="3"/>
  <c r="T318" i="3" s="1"/>
  <c r="T336" i="3"/>
  <c r="V10" i="4"/>
  <c r="V348" i="4" s="1"/>
  <c r="V139" i="4"/>
  <c r="V171" i="4" s="1"/>
  <c r="W71" i="21"/>
  <c r="W55" i="19"/>
  <c r="W39" i="19" s="1"/>
  <c r="W235" i="4" s="1"/>
  <c r="W25" i="4"/>
  <c r="S262" i="4"/>
  <c r="S247" i="4"/>
  <c r="T333" i="3"/>
  <c r="T169" i="3"/>
  <c r="T315" i="3" s="1"/>
  <c r="R278" i="4"/>
  <c r="R277" i="4"/>
  <c r="V11" i="4"/>
  <c r="V349" i="4" s="1"/>
  <c r="V140" i="4"/>
  <c r="V172" i="4" s="1"/>
  <c r="U382" i="4"/>
  <c r="W40" i="6"/>
  <c r="W29" i="6"/>
  <c r="Z17" i="19" a="1"/>
  <c r="Z17" i="19" s="1"/>
  <c r="Y77" i="19"/>
  <c r="Y3" i="19"/>
  <c r="Z4" i="19" a="1"/>
  <c r="Z4" i="19" s="1"/>
  <c r="U380" i="4"/>
  <c r="U4" i="5"/>
  <c r="U344" i="4"/>
  <c r="U376" i="4" s="1"/>
  <c r="V58" i="21"/>
  <c r="V42" i="21" s="1"/>
  <c r="V29" i="3"/>
  <c r="W280" i="21"/>
  <c r="X280" i="21" s="1"/>
  <c r="W282" i="21"/>
  <c r="W283" i="21"/>
  <c r="W284" i="21"/>
  <c r="T447" i="3"/>
  <c r="T480" i="3" s="1"/>
  <c r="W72" i="21"/>
  <c r="W56" i="19"/>
  <c r="W40" i="19" s="1"/>
  <c r="W236" i="4" s="1"/>
  <c r="W26" i="4"/>
  <c r="S117" i="5"/>
  <c r="S121" i="5" s="1"/>
  <c r="S88" i="5"/>
  <c r="X283" i="21"/>
  <c r="X282" i="21"/>
  <c r="V57" i="21"/>
  <c r="V41" i="21" s="1"/>
  <c r="V28" i="3"/>
  <c r="T335" i="3"/>
  <c r="T171" i="3"/>
  <c r="T317" i="3" s="1"/>
  <c r="U15" i="3"/>
  <c r="U451" i="3" s="1"/>
  <c r="U484" i="3" s="1"/>
  <c r="U191" i="3"/>
  <c r="W76" i="21"/>
  <c r="W60" i="19"/>
  <c r="W44" i="19" s="1"/>
  <c r="W240" i="4" s="1"/>
  <c r="W30" i="4"/>
  <c r="T374" i="4"/>
  <c r="T358" i="4"/>
  <c r="T373" i="4"/>
  <c r="T353" i="4"/>
  <c r="R458" i="3"/>
  <c r="R489" i="3"/>
  <c r="T337" i="3"/>
  <c r="T173" i="3"/>
  <c r="T319" i="3" s="1"/>
  <c r="T166" i="3"/>
  <c r="T312" i="3" s="1"/>
  <c r="T330" i="3"/>
  <c r="U11" i="3"/>
  <c r="U187" i="3"/>
  <c r="T7" i="5"/>
  <c r="V229" i="4"/>
  <c r="V45" i="19"/>
  <c r="V47" i="19" s="1"/>
  <c r="U190" i="3"/>
  <c r="U14" i="3"/>
  <c r="U450" i="3" s="1"/>
  <c r="U483" i="3" s="1"/>
  <c r="U383" i="4"/>
  <c r="U235" i="3"/>
  <c r="U240" i="3" s="1"/>
  <c r="U256" i="3"/>
  <c r="V49" i="21"/>
  <c r="V77" i="21"/>
  <c r="V4" i="21" s="1"/>
  <c r="V3" i="21" s="1"/>
  <c r="V23" i="21" s="1"/>
  <c r="V20" i="3"/>
  <c r="V13" i="4"/>
  <c r="V351" i="4" s="1"/>
  <c r="V383" i="4" s="1"/>
  <c r="V142" i="4"/>
  <c r="V174" i="4" s="1"/>
  <c r="Q251" i="4"/>
  <c r="Q266" i="4"/>
  <c r="Q283" i="4" s="1"/>
  <c r="T338" i="3"/>
  <c r="T174" i="3"/>
  <c r="T320" i="3" s="1"/>
  <c r="V132" i="4"/>
  <c r="V11" i="5"/>
  <c r="V3" i="4"/>
  <c r="V31" i="4"/>
  <c r="V8" i="4"/>
  <c r="V346" i="4" s="1"/>
  <c r="V378" i="4" s="1"/>
  <c r="V137" i="4"/>
  <c r="V169" i="4" s="1"/>
  <c r="T483" i="3"/>
  <c r="W21" i="4"/>
  <c r="W67" i="21"/>
  <c r="W51" i="19"/>
  <c r="W35" i="19" s="1"/>
  <c r="W231" i="4" s="1"/>
  <c r="V6" i="4"/>
  <c r="V135" i="4"/>
  <c r="V167" i="4" s="1"/>
  <c r="V14" i="5"/>
  <c r="V71" i="5" s="1"/>
  <c r="V87" i="5" s="1"/>
  <c r="V120" i="5" s="1"/>
  <c r="V59" i="21"/>
  <c r="V43" i="21" s="1"/>
  <c r="V30" i="3"/>
  <c r="U5" i="3"/>
  <c r="U441" i="3" s="1"/>
  <c r="U181" i="3"/>
  <c r="Z13" i="19" a="1"/>
  <c r="Z13" i="19" s="1"/>
  <c r="Y12" i="19"/>
  <c r="Y33" i="6" s="1"/>
  <c r="Y41" i="6" s="1"/>
  <c r="S310" i="3"/>
  <c r="S322" i="3" s="1"/>
  <c r="S176" i="3"/>
  <c r="U8" i="3"/>
  <c r="U444" i="3" s="1"/>
  <c r="U477" i="3" s="1"/>
  <c r="U184" i="3"/>
  <c r="V54" i="21"/>
  <c r="V38" i="21" s="1"/>
  <c r="V25" i="3"/>
  <c r="V14" i="4"/>
  <c r="V143" i="4"/>
  <c r="V175" i="4" s="1"/>
  <c r="W73" i="21"/>
  <c r="W57" i="19"/>
  <c r="W41" i="19" s="1"/>
  <c r="W237" i="4" s="1"/>
  <c r="W27" i="4"/>
  <c r="S344" i="3"/>
  <c r="S340" i="3"/>
  <c r="V55" i="21"/>
  <c r="V39" i="21" s="1"/>
  <c r="V26" i="3"/>
  <c r="V52" i="21"/>
  <c r="V36" i="21" s="1"/>
  <c r="V23" i="3"/>
  <c r="T165" i="3"/>
  <c r="T311" i="3" s="1"/>
  <c r="T329" i="3"/>
  <c r="V61" i="19"/>
  <c r="V44" i="19"/>
  <c r="V240" i="4" s="1"/>
  <c r="S359" i="4"/>
  <c r="S389" i="4"/>
  <c r="T84" i="5"/>
  <c r="T72" i="5"/>
  <c r="V60" i="21"/>
  <c r="V44" i="21" s="1"/>
  <c r="V31" i="3"/>
  <c r="X76" i="21" l="1"/>
  <c r="X60" i="19"/>
  <c r="X44" i="19" s="1"/>
  <c r="X240" i="4" s="1"/>
  <c r="X30" i="4"/>
  <c r="X264" i="21"/>
  <c r="X251" i="3"/>
  <c r="X284" i="21"/>
  <c r="U447" i="3"/>
  <c r="U480" i="3" s="1"/>
  <c r="R377" i="3"/>
  <c r="R376" i="3"/>
  <c r="V8" i="3"/>
  <c r="V444" i="3" s="1"/>
  <c r="V184" i="3"/>
  <c r="W6" i="4"/>
  <c r="W135" i="4"/>
  <c r="W167" i="4" s="1"/>
  <c r="W14" i="5"/>
  <c r="W71" i="5" s="1"/>
  <c r="W87" i="5" s="1"/>
  <c r="W120" i="5" s="1"/>
  <c r="V14" i="3"/>
  <c r="V450" i="3" s="1"/>
  <c r="V190" i="3"/>
  <c r="Q252" i="4"/>
  <c r="Q267" i="4"/>
  <c r="Q284" i="4" s="1"/>
  <c r="X71" i="21"/>
  <c r="X55" i="19"/>
  <c r="X39" i="19" s="1"/>
  <c r="X235" i="4" s="1"/>
  <c r="X25" i="4"/>
  <c r="U16" i="3"/>
  <c r="U440" i="3"/>
  <c r="AA4" i="19" a="1"/>
  <c r="AA4" i="19" s="1"/>
  <c r="Z3" i="19"/>
  <c r="Z77" i="19"/>
  <c r="X21" i="4"/>
  <c r="X67" i="21"/>
  <c r="X51" i="19"/>
  <c r="X35" i="19" s="1"/>
  <c r="X231" i="4" s="1"/>
  <c r="W52" i="21"/>
  <c r="W36" i="21" s="1"/>
  <c r="W23" i="3"/>
  <c r="V235" i="3"/>
  <c r="V240" i="3" s="1"/>
  <c r="V256" i="3"/>
  <c r="Y74" i="19"/>
  <c r="Y65" i="19"/>
  <c r="Y72" i="19"/>
  <c r="Y68" i="19"/>
  <c r="Y73" i="19"/>
  <c r="Y75" i="19"/>
  <c r="Y55" i="6"/>
  <c r="Y64" i="6" s="1"/>
  <c r="Y71" i="19"/>
  <c r="Y67" i="19"/>
  <c r="Y66" i="19"/>
  <c r="Y70" i="19"/>
  <c r="Y69" i="19"/>
  <c r="X73" i="21"/>
  <c r="X57" i="19"/>
  <c r="X41" i="19" s="1"/>
  <c r="X237" i="4" s="1"/>
  <c r="X27" i="4"/>
  <c r="Y30" i="6"/>
  <c r="Y23" i="19"/>
  <c r="Y6" i="6" s="1"/>
  <c r="Y8" i="6" s="1"/>
  <c r="W11" i="4"/>
  <c r="W349" i="4" s="1"/>
  <c r="W381" i="4" s="1"/>
  <c r="W140" i="4"/>
  <c r="W172" i="4" s="1"/>
  <c r="V4" i="5"/>
  <c r="V344" i="4"/>
  <c r="V376" i="4" s="1"/>
  <c r="Z16" i="19"/>
  <c r="Y16" i="21" s="1"/>
  <c r="Y17" i="21" s="1"/>
  <c r="Y285" i="21" s="1"/>
  <c r="AA17" i="19" a="1"/>
  <c r="AA17" i="19" s="1"/>
  <c r="U377" i="4"/>
  <c r="X68" i="21"/>
  <c r="X52" i="19"/>
  <c r="X36" i="19" s="1"/>
  <c r="X232" i="4" s="1"/>
  <c r="X22" i="4"/>
  <c r="U374" i="4"/>
  <c r="U358" i="4"/>
  <c r="U373" i="4"/>
  <c r="U353" i="4"/>
  <c r="T310" i="3"/>
  <c r="T322" i="3" s="1"/>
  <c r="T176" i="3"/>
  <c r="X267" i="21"/>
  <c r="X254" i="3"/>
  <c r="X238" i="3" s="1"/>
  <c r="U330" i="3"/>
  <c r="U166" i="3"/>
  <c r="U312" i="3" s="1"/>
  <c r="X72" i="21"/>
  <c r="X56" i="19"/>
  <c r="X40" i="19" s="1"/>
  <c r="X236" i="4" s="1"/>
  <c r="X26" i="4"/>
  <c r="T340" i="3"/>
  <c r="T344" i="3"/>
  <c r="R263" i="4"/>
  <c r="R280" i="4" s="1"/>
  <c r="R248" i="4"/>
  <c r="U475" i="3"/>
  <c r="V5" i="3"/>
  <c r="V441" i="3" s="1"/>
  <c r="V181" i="3"/>
  <c r="X70" i="21"/>
  <c r="X54" i="19"/>
  <c r="X38" i="19" s="1"/>
  <c r="X234" i="4" s="1"/>
  <c r="X24" i="4"/>
  <c r="U170" i="3"/>
  <c r="U316" i="3" s="1"/>
  <c r="U334" i="3"/>
  <c r="U7" i="5"/>
  <c r="V5" i="2"/>
  <c r="V7" i="2" s="1"/>
  <c r="V17" i="2" s="1"/>
  <c r="V19" i="2" s="1"/>
  <c r="V30" i="21"/>
  <c r="T481" i="3"/>
  <c r="X19" i="4"/>
  <c r="X65" i="21"/>
  <c r="X49" i="19"/>
  <c r="W12" i="4"/>
  <c r="W141" i="4"/>
  <c r="W173" i="4" s="1"/>
  <c r="W13" i="5"/>
  <c r="W70" i="5" s="1"/>
  <c r="W86" i="5" s="1"/>
  <c r="W119" i="5" s="1"/>
  <c r="W5" i="4"/>
  <c r="W343" i="4" s="1"/>
  <c r="W134" i="4"/>
  <c r="W166" i="4" s="1"/>
  <c r="V61" i="21"/>
  <c r="V33" i="21"/>
  <c r="V45" i="21" s="1"/>
  <c r="R490" i="3"/>
  <c r="R459" i="3"/>
  <c r="U337" i="3"/>
  <c r="U173" i="3"/>
  <c r="U319" i="3" s="1"/>
  <c r="X74" i="21"/>
  <c r="X58" i="19"/>
  <c r="X42" i="19" s="1"/>
  <c r="X238" i="4" s="1"/>
  <c r="X28" i="4"/>
  <c r="U84" i="5"/>
  <c r="U72" i="5"/>
  <c r="V382" i="4"/>
  <c r="V6" i="3"/>
  <c r="V442" i="3" s="1"/>
  <c r="V475" i="3" s="1"/>
  <c r="V182" i="3"/>
  <c r="X69" i="21"/>
  <c r="X23" i="4"/>
  <c r="X53" i="19"/>
  <c r="X37" i="19" s="1"/>
  <c r="X233" i="4" s="1"/>
  <c r="W58" i="21"/>
  <c r="W42" i="21" s="1"/>
  <c r="W29" i="3"/>
  <c r="Q365" i="4"/>
  <c r="Q395" i="4"/>
  <c r="W10" i="4"/>
  <c r="W348" i="4" s="1"/>
  <c r="W139" i="4"/>
  <c r="W171" i="4" s="1"/>
  <c r="V375" i="4"/>
  <c r="X20" i="4"/>
  <c r="X66" i="21"/>
  <c r="X50" i="19"/>
  <c r="X34" i="19" s="1"/>
  <c r="X230" i="4" s="1"/>
  <c r="V11" i="3"/>
  <c r="V447" i="3" s="1"/>
  <c r="V187" i="3"/>
  <c r="S345" i="3"/>
  <c r="S360" i="3"/>
  <c r="V4" i="3"/>
  <c r="V32" i="3"/>
  <c r="V180" i="3"/>
  <c r="V6" i="5"/>
  <c r="V352" i="4"/>
  <c r="V384" i="4" s="1"/>
  <c r="U332" i="3"/>
  <c r="U168" i="3"/>
  <c r="U314" i="3" s="1"/>
  <c r="T359" i="4"/>
  <c r="T389" i="4"/>
  <c r="U331" i="3"/>
  <c r="U167" i="3"/>
  <c r="U313" i="3" s="1"/>
  <c r="X75" i="21"/>
  <c r="X59" i="19"/>
  <c r="X43" i="19" s="1"/>
  <c r="X239" i="4" s="1"/>
  <c r="X29" i="4"/>
  <c r="V381" i="4"/>
  <c r="T117" i="5"/>
  <c r="T121" i="5" s="1"/>
  <c r="T88" i="5"/>
  <c r="W56" i="21"/>
  <c r="W40" i="21" s="1"/>
  <c r="W27" i="3"/>
  <c r="U476" i="3"/>
  <c r="V5" i="5"/>
  <c r="V347" i="4"/>
  <c r="V379" i="4" s="1"/>
  <c r="W57" i="21"/>
  <c r="W41" i="21" s="1"/>
  <c r="W28" i="3"/>
  <c r="W51" i="21"/>
  <c r="W35" i="21" s="1"/>
  <c r="W22" i="3"/>
  <c r="V15" i="3"/>
  <c r="V451" i="3" s="1"/>
  <c r="V484" i="3" s="1"/>
  <c r="V191" i="3"/>
  <c r="V9" i="3"/>
  <c r="V445" i="3" s="1"/>
  <c r="V478" i="3" s="1"/>
  <c r="V185" i="3"/>
  <c r="U338" i="3"/>
  <c r="U174" i="3"/>
  <c r="U320" i="3" s="1"/>
  <c r="W14" i="4"/>
  <c r="W352" i="4" s="1"/>
  <c r="W143" i="4"/>
  <c r="W175" i="4" s="1"/>
  <c r="U246" i="4"/>
  <c r="U261" i="4"/>
  <c r="W13" i="4"/>
  <c r="W351" i="4" s="1"/>
  <c r="W142" i="4"/>
  <c r="W174" i="4" s="1"/>
  <c r="W49" i="21"/>
  <c r="W77" i="21"/>
  <c r="W4" i="21" s="1"/>
  <c r="W3" i="21" s="1"/>
  <c r="W23" i="21" s="1"/>
  <c r="W20" i="3"/>
  <c r="S458" i="3"/>
  <c r="S489" i="3"/>
  <c r="T474" i="3"/>
  <c r="T452" i="3"/>
  <c r="T473" i="3"/>
  <c r="T457" i="3"/>
  <c r="X266" i="21"/>
  <c r="X253" i="3"/>
  <c r="X237" i="3" s="1"/>
  <c r="S390" i="4"/>
  <c r="S360" i="4"/>
  <c r="W268" i="21"/>
  <c r="W255" i="3"/>
  <c r="W239" i="3" s="1"/>
  <c r="W61" i="19"/>
  <c r="W33" i="19"/>
  <c r="V245" i="4"/>
  <c r="V241" i="4"/>
  <c r="W60" i="21"/>
  <c r="W44" i="21" s="1"/>
  <c r="W31" i="3"/>
  <c r="W267" i="21"/>
  <c r="W254" i="3"/>
  <c r="W238" i="3" s="1"/>
  <c r="S248" i="4"/>
  <c r="S263" i="4"/>
  <c r="S280" i="4" s="1"/>
  <c r="W59" i="21"/>
  <c r="W43" i="21" s="1"/>
  <c r="W30" i="3"/>
  <c r="R391" i="4"/>
  <c r="R361" i="4"/>
  <c r="W11" i="5"/>
  <c r="W31" i="4"/>
  <c r="W132" i="4"/>
  <c r="W3" i="4"/>
  <c r="V10" i="3"/>
  <c r="V446" i="3" s="1"/>
  <c r="V186" i="3"/>
  <c r="V15" i="4"/>
  <c r="V3" i="5"/>
  <c r="V341" i="4"/>
  <c r="U175" i="3"/>
  <c r="U321" i="3" s="1"/>
  <c r="U339" i="3"/>
  <c r="W266" i="21"/>
  <c r="W253" i="3"/>
  <c r="W237" i="3" s="1"/>
  <c r="S279" i="4"/>
  <c r="Q494" i="3"/>
  <c r="Q463" i="3"/>
  <c r="W7" i="4"/>
  <c r="W345" i="4" s="1"/>
  <c r="W136" i="4"/>
  <c r="W168" i="4" s="1"/>
  <c r="T278" i="4"/>
  <c r="T277" i="4"/>
  <c r="W54" i="21"/>
  <c r="W38" i="21" s="1"/>
  <c r="W25" i="3"/>
  <c r="V15" i="5"/>
  <c r="V68" i="5"/>
  <c r="W264" i="21"/>
  <c r="W251" i="3"/>
  <c r="X40" i="6"/>
  <c r="X29" i="6"/>
  <c r="T262" i="4"/>
  <c r="T279" i="4" s="1"/>
  <c r="T247" i="4"/>
  <c r="W8" i="4"/>
  <c r="W346" i="4" s="1"/>
  <c r="W137" i="4"/>
  <c r="W169" i="4" s="1"/>
  <c r="V164" i="4"/>
  <c r="V176" i="4" s="1"/>
  <c r="V144" i="4"/>
  <c r="V13" i="3"/>
  <c r="V449" i="3" s="1"/>
  <c r="V189" i="3"/>
  <c r="W9" i="4"/>
  <c r="W138" i="4"/>
  <c r="W170" i="4" s="1"/>
  <c r="W133" i="4"/>
  <c r="W165" i="4" s="1"/>
  <c r="W12" i="5"/>
  <c r="W69" i="5" s="1"/>
  <c r="W85" i="5" s="1"/>
  <c r="W118" i="5" s="1"/>
  <c r="W4" i="4"/>
  <c r="W342" i="4" s="1"/>
  <c r="U169" i="3"/>
  <c r="U315" i="3" s="1"/>
  <c r="U333" i="3"/>
  <c r="W53" i="21"/>
  <c r="W37" i="21" s="1"/>
  <c r="W24" i="3"/>
  <c r="U481" i="3"/>
  <c r="V7" i="3"/>
  <c r="V443" i="3" s="1"/>
  <c r="V476" i="3" s="1"/>
  <c r="V183" i="3"/>
  <c r="Z12" i="19"/>
  <c r="Z33" i="6" s="1"/>
  <c r="Z41" i="6" s="1"/>
  <c r="AA13" i="19" a="1"/>
  <c r="AA13" i="19" s="1"/>
  <c r="U478" i="3"/>
  <c r="U336" i="3"/>
  <c r="U172" i="3"/>
  <c r="U318" i="3" s="1"/>
  <c r="U329" i="3"/>
  <c r="U165" i="3"/>
  <c r="U311" i="3" s="1"/>
  <c r="U171" i="3"/>
  <c r="U317" i="3" s="1"/>
  <c r="U335" i="3"/>
  <c r="V188" i="3"/>
  <c r="V12" i="3"/>
  <c r="V448" i="3" s="1"/>
  <c r="V481" i="3" s="1"/>
  <c r="W55" i="21"/>
  <c r="W39" i="21" s="1"/>
  <c r="W26" i="3"/>
  <c r="R361" i="3"/>
  <c r="R378" i="3" s="1"/>
  <c r="R346" i="3"/>
  <c r="Q350" i="3"/>
  <c r="Q365" i="3"/>
  <c r="Q382" i="3" s="1"/>
  <c r="W50" i="21"/>
  <c r="W34" i="21" s="1"/>
  <c r="W21" i="3"/>
  <c r="U328" i="3"/>
  <c r="U164" i="3"/>
  <c r="U192" i="3"/>
  <c r="V269" i="21"/>
  <c r="T360" i="3" l="1"/>
  <c r="T345" i="3"/>
  <c r="X52" i="21"/>
  <c r="X36" i="21" s="1"/>
  <c r="X23" i="3"/>
  <c r="Y73" i="21"/>
  <c r="Y57" i="19"/>
  <c r="Y41" i="19" s="1"/>
  <c r="Y237" i="4" s="1"/>
  <c r="Y27" i="4"/>
  <c r="X9" i="4"/>
  <c r="X138" i="4"/>
  <c r="X170" i="4" s="1"/>
  <c r="V172" i="3"/>
  <c r="V318" i="3" s="1"/>
  <c r="V336" i="3"/>
  <c r="Q464" i="3"/>
  <c r="Q495" i="3"/>
  <c r="W15" i="5"/>
  <c r="W68" i="5"/>
  <c r="W188" i="3"/>
  <c r="W12" i="3"/>
  <c r="W448" i="3" s="1"/>
  <c r="X7" i="4"/>
  <c r="X345" i="4" s="1"/>
  <c r="X136" i="4"/>
  <c r="X168" i="4" s="1"/>
  <c r="Y52" i="19"/>
  <c r="Y36" i="19" s="1"/>
  <c r="Y232" i="4" s="1"/>
  <c r="Y22" i="4"/>
  <c r="Y68" i="21"/>
  <c r="X53" i="21"/>
  <c r="X37" i="21" s="1"/>
  <c r="X24" i="3"/>
  <c r="W6" i="5"/>
  <c r="W350" i="4"/>
  <c r="W382" i="4" s="1"/>
  <c r="AB17" i="19" a="1"/>
  <c r="AB17" i="19" s="1"/>
  <c r="AA16" i="19"/>
  <c r="Z16" i="21" s="1"/>
  <c r="Z17" i="21" s="1"/>
  <c r="Z285" i="21" s="1"/>
  <c r="Y72" i="21"/>
  <c r="Y56" i="19"/>
  <c r="Y40" i="19" s="1"/>
  <c r="Y236" i="4" s="1"/>
  <c r="Y26" i="4"/>
  <c r="X55" i="21"/>
  <c r="X39" i="21" s="1"/>
  <c r="X26" i="3"/>
  <c r="V380" i="4"/>
  <c r="X10" i="4"/>
  <c r="X348" i="4" s="1"/>
  <c r="X139" i="4"/>
  <c r="X171" i="4" s="1"/>
  <c r="Y283" i="21"/>
  <c r="Y282" i="21"/>
  <c r="Y280" i="21"/>
  <c r="Y284" i="21"/>
  <c r="Y65" i="21"/>
  <c r="Y49" i="19"/>
  <c r="Y19" i="4"/>
  <c r="W190" i="3"/>
  <c r="W14" i="3"/>
  <c r="W450" i="3" s="1"/>
  <c r="X61" i="19"/>
  <c r="X33" i="19"/>
  <c r="Y74" i="21"/>
  <c r="Y58" i="19"/>
  <c r="Y42" i="19" s="1"/>
  <c r="Y238" i="4" s="1"/>
  <c r="Y28" i="4"/>
  <c r="AA12" i="19"/>
  <c r="AA33" i="6" s="1"/>
  <c r="AA41" i="6" s="1"/>
  <c r="AB13" i="19" a="1"/>
  <c r="AB13" i="19" s="1"/>
  <c r="S490" i="3"/>
  <c r="S459" i="3"/>
  <c r="V16" i="3"/>
  <c r="V440" i="3"/>
  <c r="X49" i="21"/>
  <c r="X77" i="21"/>
  <c r="X4" i="21" s="1"/>
  <c r="X3" i="21" s="1"/>
  <c r="X23" i="21" s="1"/>
  <c r="X20" i="3"/>
  <c r="X56" i="21"/>
  <c r="X40" i="21" s="1"/>
  <c r="X27" i="3"/>
  <c r="Q268" i="4"/>
  <c r="Q285" i="4" s="1"/>
  <c r="Q253" i="4"/>
  <c r="V166" i="3"/>
  <c r="V312" i="3" s="1"/>
  <c r="V330" i="3"/>
  <c r="W180" i="3"/>
  <c r="W32" i="3"/>
  <c r="W4" i="3"/>
  <c r="S377" i="3"/>
  <c r="S376" i="3"/>
  <c r="X11" i="5"/>
  <c r="X3" i="4"/>
  <c r="X132" i="4"/>
  <c r="X31" i="4"/>
  <c r="V338" i="3"/>
  <c r="V174" i="3"/>
  <c r="V320" i="3" s="1"/>
  <c r="W5" i="5"/>
  <c r="W347" i="4"/>
  <c r="W379" i="4" s="1"/>
  <c r="V482" i="3"/>
  <c r="V167" i="3"/>
  <c r="V313" i="3" s="1"/>
  <c r="V331" i="3"/>
  <c r="S249" i="4"/>
  <c r="S264" i="4"/>
  <c r="W30" i="21"/>
  <c r="W5" i="2"/>
  <c r="W7" i="2" s="1"/>
  <c r="W17" i="2" s="1"/>
  <c r="W19" i="2" s="1"/>
  <c r="S361" i="3"/>
  <c r="S378" i="3" s="1"/>
  <c r="S346" i="3"/>
  <c r="V483" i="3"/>
  <c r="V374" i="4"/>
  <c r="V353" i="4"/>
  <c r="V358" i="4"/>
  <c r="V373" i="4"/>
  <c r="W61" i="21"/>
  <c r="W33" i="21"/>
  <c r="W45" i="21" s="1"/>
  <c r="V335" i="3"/>
  <c r="V171" i="3"/>
  <c r="V317" i="3" s="1"/>
  <c r="V7" i="5"/>
  <c r="W11" i="3"/>
  <c r="W447" i="3" s="1"/>
  <c r="W480" i="3" s="1"/>
  <c r="W187" i="3"/>
  <c r="V480" i="3"/>
  <c r="Y40" i="6"/>
  <c r="Y29" i="6"/>
  <c r="W181" i="3"/>
  <c r="W5" i="3"/>
  <c r="W441" i="3" s="1"/>
  <c r="W191" i="3"/>
  <c r="W15" i="3"/>
  <c r="W451" i="3" s="1"/>
  <c r="W484" i="3" s="1"/>
  <c r="W383" i="4"/>
  <c r="U88" i="5"/>
  <c r="U117" i="5"/>
  <c r="U121" i="5" s="1"/>
  <c r="W7" i="3"/>
  <c r="W443" i="3" s="1"/>
  <c r="W183" i="3"/>
  <c r="W4" i="5"/>
  <c r="W344" i="4"/>
  <c r="W376" i="4" s="1"/>
  <c r="W8" i="3"/>
  <c r="W444" i="3" s="1"/>
  <c r="W477" i="3" s="1"/>
  <c r="W184" i="3"/>
  <c r="V170" i="3"/>
  <c r="V316" i="3" s="1"/>
  <c r="V334" i="3"/>
  <c r="U278" i="4"/>
  <c r="U277" i="4"/>
  <c r="X12" i="4"/>
  <c r="X350" i="4" s="1"/>
  <c r="X141" i="4"/>
  <c r="X173" i="4" s="1"/>
  <c r="X11" i="4"/>
  <c r="X349" i="4" s="1"/>
  <c r="X381" i="4" s="1"/>
  <c r="X140" i="4"/>
  <c r="X172" i="4" s="1"/>
  <c r="V332" i="3"/>
  <c r="V168" i="3"/>
  <c r="V314" i="3" s="1"/>
  <c r="T458" i="3"/>
  <c r="T489" i="3"/>
  <c r="V328" i="3"/>
  <c r="V164" i="3"/>
  <c r="V192" i="3"/>
  <c r="U340" i="3"/>
  <c r="U344" i="3"/>
  <c r="V479" i="3"/>
  <c r="U262" i="4"/>
  <c r="U279" i="4" s="1"/>
  <c r="U247" i="4"/>
  <c r="X50" i="21"/>
  <c r="X34" i="21" s="1"/>
  <c r="X21" i="3"/>
  <c r="V477" i="3"/>
  <c r="W235" i="3"/>
  <c r="W240" i="3" s="1"/>
  <c r="W256" i="3"/>
  <c r="V261" i="4"/>
  <c r="V246" i="4"/>
  <c r="X12" i="5"/>
  <c r="X69" i="5" s="1"/>
  <c r="X85" i="5" s="1"/>
  <c r="X118" i="5" s="1"/>
  <c r="X4" i="4"/>
  <c r="X342" i="4" s="1"/>
  <c r="X133" i="4"/>
  <c r="X165" i="4" s="1"/>
  <c r="X58" i="21"/>
  <c r="X42" i="21" s="1"/>
  <c r="X29" i="3"/>
  <c r="X57" i="21"/>
  <c r="X41" i="21" s="1"/>
  <c r="X28" i="3"/>
  <c r="T263" i="4"/>
  <c r="T280" i="4" s="1"/>
  <c r="T248" i="4"/>
  <c r="R362" i="3"/>
  <c r="R379" i="3" s="1"/>
  <c r="R347" i="3"/>
  <c r="W269" i="21"/>
  <c r="W229" i="4"/>
  <c r="W45" i="19"/>
  <c r="W47" i="19" s="1"/>
  <c r="W384" i="4"/>
  <c r="X13" i="4"/>
  <c r="X351" i="4" s="1"/>
  <c r="X383" i="4" s="1"/>
  <c r="X142" i="4"/>
  <c r="X174" i="4" s="1"/>
  <c r="X8" i="4"/>
  <c r="X346" i="4" s="1"/>
  <c r="X137" i="4"/>
  <c r="X169" i="4" s="1"/>
  <c r="Y76" i="19"/>
  <c r="X51" i="21"/>
  <c r="X35" i="21" s="1"/>
  <c r="X22" i="3"/>
  <c r="W378" i="4"/>
  <c r="R362" i="4"/>
  <c r="R392" i="4"/>
  <c r="U310" i="3"/>
  <c r="U322" i="3" s="1"/>
  <c r="U176" i="3"/>
  <c r="V72" i="5"/>
  <c r="V84" i="5"/>
  <c r="Y69" i="21"/>
  <c r="Y53" i="19"/>
  <c r="Y37" i="19" s="1"/>
  <c r="Y233" i="4" s="1"/>
  <c r="Y23" i="4"/>
  <c r="X13" i="5"/>
  <c r="X70" i="5" s="1"/>
  <c r="X86" i="5" s="1"/>
  <c r="X119" i="5" s="1"/>
  <c r="X5" i="4"/>
  <c r="X343" i="4" s="1"/>
  <c r="X134" i="4"/>
  <c r="X166" i="4" s="1"/>
  <c r="W3" i="5"/>
  <c r="W15" i="4"/>
  <c r="W341" i="4"/>
  <c r="Q351" i="3"/>
  <c r="Q366" i="3"/>
  <c r="Q383" i="3" s="1"/>
  <c r="W10" i="3"/>
  <c r="W446" i="3" s="1"/>
  <c r="W186" i="3"/>
  <c r="V377" i="4"/>
  <c r="W380" i="4"/>
  <c r="R460" i="3"/>
  <c r="R491" i="3"/>
  <c r="X54" i="21"/>
  <c r="X38" i="21" s="1"/>
  <c r="X25" i="3"/>
  <c r="Y70" i="21"/>
  <c r="Y54" i="19"/>
  <c r="Y38" i="19" s="1"/>
  <c r="Y234" i="4" s="1"/>
  <c r="Y24" i="4"/>
  <c r="Z70" i="19"/>
  <c r="Z73" i="19"/>
  <c r="Z65" i="19"/>
  <c r="Z69" i="19"/>
  <c r="Z67" i="19"/>
  <c r="Z74" i="19"/>
  <c r="Z72" i="19"/>
  <c r="Z68" i="19"/>
  <c r="Z55" i="6"/>
  <c r="Z64" i="6" s="1"/>
  <c r="Z71" i="19"/>
  <c r="Z75" i="19"/>
  <c r="Z66" i="19"/>
  <c r="X268" i="21"/>
  <c r="X269" i="21" s="1"/>
  <c r="X255" i="3"/>
  <c r="X239" i="3" s="1"/>
  <c r="X59" i="21"/>
  <c r="X43" i="21" s="1"/>
  <c r="X30" i="3"/>
  <c r="W185" i="3"/>
  <c r="W9" i="3"/>
  <c r="W445" i="3" s="1"/>
  <c r="W478" i="3" s="1"/>
  <c r="V169" i="3"/>
  <c r="V315" i="3" s="1"/>
  <c r="V333" i="3"/>
  <c r="V165" i="3"/>
  <c r="V311" i="3" s="1"/>
  <c r="V329" i="3"/>
  <c r="U389" i="4"/>
  <c r="U359" i="4"/>
  <c r="Y66" i="21"/>
  <c r="Y50" i="19"/>
  <c r="Y34" i="19" s="1"/>
  <c r="Y230" i="4" s="1"/>
  <c r="Y20" i="4"/>
  <c r="Z30" i="6"/>
  <c r="Z23" i="19"/>
  <c r="Z6" i="6" s="1"/>
  <c r="Z8" i="6" s="1"/>
  <c r="X235" i="3"/>
  <c r="S391" i="4"/>
  <c r="S361" i="4"/>
  <c r="Q366" i="4"/>
  <c r="Q396" i="4"/>
  <c r="Y67" i="21"/>
  <c r="Y51" i="19"/>
  <c r="Y35" i="19" s="1"/>
  <c r="Y231" i="4" s="1"/>
  <c r="Y21" i="4"/>
  <c r="AA3" i="19"/>
  <c r="AA77" i="19"/>
  <c r="AB4" i="19" a="1"/>
  <c r="AB4" i="19" s="1"/>
  <c r="V173" i="3"/>
  <c r="V319" i="3" s="1"/>
  <c r="V337" i="3"/>
  <c r="V339" i="3"/>
  <c r="V175" i="3"/>
  <c r="V321" i="3" s="1"/>
  <c r="W13" i="3"/>
  <c r="W449" i="3" s="1"/>
  <c r="W482" i="3" s="1"/>
  <c r="W189" i="3"/>
  <c r="Y71" i="21"/>
  <c r="Y55" i="19"/>
  <c r="Y39" i="19" s="1"/>
  <c r="Y235" i="4" s="1"/>
  <c r="Y25" i="4"/>
  <c r="U474" i="3"/>
  <c r="U457" i="3"/>
  <c r="U452" i="3"/>
  <c r="U473" i="3"/>
  <c r="X14" i="4"/>
  <c r="X143" i="4"/>
  <c r="X175" i="4" s="1"/>
  <c r="T360" i="4"/>
  <c r="T390" i="4"/>
  <c r="R264" i="4"/>
  <c r="R281" i="4" s="1"/>
  <c r="R249" i="4"/>
  <c r="X14" i="5"/>
  <c r="X71" i="5" s="1"/>
  <c r="X87" i="5" s="1"/>
  <c r="X120" i="5" s="1"/>
  <c r="X6" i="4"/>
  <c r="X135" i="4"/>
  <c r="X167" i="4" s="1"/>
  <c r="W164" i="4"/>
  <c r="W176" i="4" s="1"/>
  <c r="W144" i="4"/>
  <c r="W182" i="3"/>
  <c r="W6" i="3"/>
  <c r="W442" i="3" s="1"/>
  <c r="W475" i="3" s="1"/>
  <c r="W375" i="4"/>
  <c r="Y75" i="21"/>
  <c r="Y59" i="19"/>
  <c r="Y43" i="19" s="1"/>
  <c r="Y239" i="4" s="1"/>
  <c r="Y29" i="4"/>
  <c r="X60" i="21"/>
  <c r="X44" i="21" s="1"/>
  <c r="X31" i="3"/>
  <c r="Z70" i="21" l="1"/>
  <c r="Z54" i="19"/>
  <c r="Z38" i="19" s="1"/>
  <c r="Z234" i="4" s="1"/>
  <c r="Z24" i="4"/>
  <c r="Y7" i="4"/>
  <c r="Y345" i="4" s="1"/>
  <c r="Y136" i="4"/>
  <c r="Y168" i="4" s="1"/>
  <c r="R348" i="3"/>
  <c r="R363" i="3"/>
  <c r="R380" i="3" s="1"/>
  <c r="X5" i="3"/>
  <c r="X441" i="3" s="1"/>
  <c r="X181" i="3"/>
  <c r="W332" i="3"/>
  <c r="W168" i="3"/>
  <c r="W314" i="3" s="1"/>
  <c r="W171" i="3"/>
  <c r="W317" i="3" s="1"/>
  <c r="W335" i="3"/>
  <c r="Y135" i="4"/>
  <c r="Y167" i="4" s="1"/>
  <c r="Y14" i="5"/>
  <c r="Y71" i="5" s="1"/>
  <c r="Y87" i="5" s="1"/>
  <c r="Y120" i="5" s="1"/>
  <c r="Y6" i="4"/>
  <c r="S491" i="3"/>
  <c r="S460" i="3"/>
  <c r="AA68" i="19"/>
  <c r="AA55" i="6"/>
  <c r="AA64" i="6" s="1"/>
  <c r="AA67" i="19"/>
  <c r="AA66" i="19"/>
  <c r="AA75" i="19"/>
  <c r="AA74" i="19"/>
  <c r="AA71" i="19"/>
  <c r="AA70" i="19"/>
  <c r="AA73" i="19"/>
  <c r="AA72" i="19"/>
  <c r="AA65" i="19"/>
  <c r="AA69" i="19"/>
  <c r="Y8" i="4"/>
  <c r="Y346" i="4" s="1"/>
  <c r="Y378" i="4" s="1"/>
  <c r="Y137" i="4"/>
  <c r="Y169" i="4" s="1"/>
  <c r="Y53" i="21"/>
  <c r="Y37" i="21" s="1"/>
  <c r="Y24" i="3"/>
  <c r="T264" i="4"/>
  <c r="T281" i="4" s="1"/>
  <c r="T249" i="4"/>
  <c r="U263" i="4"/>
  <c r="U280" i="4" s="1"/>
  <c r="U248" i="4"/>
  <c r="AC4" i="19" a="1"/>
  <c r="AC4" i="19" s="1"/>
  <c r="AB77" i="19"/>
  <c r="AB3" i="19"/>
  <c r="AB12" i="19"/>
  <c r="AB33" i="6" s="1"/>
  <c r="AB41" i="6" s="1"/>
  <c r="AC13" i="19" a="1"/>
  <c r="AC13" i="19" s="1"/>
  <c r="X12" i="3"/>
  <c r="X448" i="3" s="1"/>
  <c r="X188" i="3"/>
  <c r="W331" i="3"/>
  <c r="W167" i="3"/>
  <c r="W313" i="3" s="1"/>
  <c r="X144" i="4"/>
  <c r="X164" i="4"/>
  <c r="X176" i="4" s="1"/>
  <c r="W377" i="4"/>
  <c r="W481" i="3"/>
  <c r="X191" i="3"/>
  <c r="X15" i="3"/>
  <c r="X451" i="3" s="1"/>
  <c r="X484" i="3" s="1"/>
  <c r="V88" i="5"/>
  <c r="V117" i="5"/>
  <c r="V121" i="5" s="1"/>
  <c r="Y54" i="21"/>
  <c r="Y38" i="21" s="1"/>
  <c r="Y25" i="3"/>
  <c r="X6" i="5"/>
  <c r="X352" i="4"/>
  <c r="X384" i="4" s="1"/>
  <c r="Y134" i="4"/>
  <c r="Y166" i="4" s="1"/>
  <c r="Y13" i="5"/>
  <c r="Y70" i="5" s="1"/>
  <c r="Y86" i="5" s="1"/>
  <c r="Y119" i="5" s="1"/>
  <c r="Y5" i="4"/>
  <c r="Y343" i="4" s="1"/>
  <c r="W333" i="3"/>
  <c r="W169" i="3"/>
  <c r="W315" i="3" s="1"/>
  <c r="X185" i="3"/>
  <c r="X9" i="3"/>
  <c r="X445" i="3" s="1"/>
  <c r="U345" i="3"/>
  <c r="U360" i="3"/>
  <c r="W476" i="3"/>
  <c r="X15" i="4"/>
  <c r="X3" i="5"/>
  <c r="X341" i="4"/>
  <c r="X374" i="4" s="1"/>
  <c r="Y12" i="4"/>
  <c r="Y141" i="4"/>
  <c r="Y173" i="4" s="1"/>
  <c r="X186" i="3"/>
  <c r="X10" i="3"/>
  <c r="X446" i="3" s="1"/>
  <c r="X479" i="3" s="1"/>
  <c r="W172" i="3"/>
  <c r="W318" i="3" s="1"/>
  <c r="W336" i="3"/>
  <c r="AA30" i="6"/>
  <c r="AA23" i="19"/>
  <c r="AA6" i="6" s="1"/>
  <c r="AA8" i="6" s="1"/>
  <c r="X14" i="3"/>
  <c r="X450" i="3" s="1"/>
  <c r="X483" i="3" s="1"/>
  <c r="X190" i="3"/>
  <c r="X15" i="5"/>
  <c r="X68" i="5"/>
  <c r="W84" i="5"/>
  <c r="W72" i="5"/>
  <c r="T391" i="4"/>
  <c r="T361" i="4"/>
  <c r="Y58" i="21"/>
  <c r="Y42" i="21" s="1"/>
  <c r="Y29" i="3"/>
  <c r="V389" i="4"/>
  <c r="V359" i="4"/>
  <c r="X229" i="4"/>
  <c r="X45" i="19"/>
  <c r="X47" i="19" s="1"/>
  <c r="Y10" i="4"/>
  <c r="Y348" i="4" s="1"/>
  <c r="Y139" i="4"/>
  <c r="Y171" i="4" s="1"/>
  <c r="Q397" i="4"/>
  <c r="Q367" i="4"/>
  <c r="X13" i="3"/>
  <c r="X449" i="3" s="1"/>
  <c r="X482" i="3" s="1"/>
  <c r="X189" i="3"/>
  <c r="V340" i="3"/>
  <c r="V344" i="3"/>
  <c r="W16" i="3"/>
  <c r="W440" i="3"/>
  <c r="Q496" i="3"/>
  <c r="Q465" i="3"/>
  <c r="Z76" i="19"/>
  <c r="X6" i="3"/>
  <c r="X442" i="3" s="1"/>
  <c r="X475" i="3" s="1"/>
  <c r="X182" i="3"/>
  <c r="W483" i="3"/>
  <c r="Y56" i="21"/>
  <c r="Y40" i="21" s="1"/>
  <c r="Y27" i="3"/>
  <c r="T490" i="3"/>
  <c r="T459" i="3"/>
  <c r="W328" i="3"/>
  <c r="W164" i="3"/>
  <c r="W192" i="3"/>
  <c r="W174" i="3"/>
  <c r="W320" i="3" s="1"/>
  <c r="W338" i="3"/>
  <c r="Z283" i="21"/>
  <c r="Z282" i="21"/>
  <c r="Z280" i="21"/>
  <c r="Y51" i="21"/>
  <c r="Y35" i="21" s="1"/>
  <c r="Y22" i="3"/>
  <c r="Y13" i="4"/>
  <c r="Y351" i="4" s="1"/>
  <c r="Y142" i="4"/>
  <c r="Y174" i="4" s="1"/>
  <c r="R461" i="3"/>
  <c r="R492" i="3"/>
  <c r="X256" i="3"/>
  <c r="Z75" i="21"/>
  <c r="Z59" i="19"/>
  <c r="Z43" i="19" s="1"/>
  <c r="Z239" i="4" s="1"/>
  <c r="Z29" i="4"/>
  <c r="W479" i="3"/>
  <c r="Y76" i="21"/>
  <c r="Y30" i="4"/>
  <c r="Y31" i="4" s="1"/>
  <c r="Y60" i="19"/>
  <c r="Y44" i="19" s="1"/>
  <c r="Y240" i="4" s="1"/>
  <c r="S347" i="3"/>
  <c r="S362" i="3"/>
  <c r="S379" i="3" s="1"/>
  <c r="AB16" i="19"/>
  <c r="AC17" i="19" a="1"/>
  <c r="AC17" i="19" s="1"/>
  <c r="V310" i="3"/>
  <c r="V322" i="3" s="1"/>
  <c r="V176" i="3"/>
  <c r="S392" i="4"/>
  <c r="S362" i="4"/>
  <c r="Y55" i="21"/>
  <c r="Y39" i="21" s="1"/>
  <c r="Y26" i="3"/>
  <c r="Y132" i="4"/>
  <c r="Y11" i="5"/>
  <c r="Y3" i="4"/>
  <c r="X5" i="5"/>
  <c r="X347" i="4"/>
  <c r="X379" i="4" s="1"/>
  <c r="R393" i="4"/>
  <c r="R363" i="4"/>
  <c r="Z66" i="21"/>
  <c r="Z50" i="19"/>
  <c r="Z34" i="19" s="1"/>
  <c r="Z230" i="4" s="1"/>
  <c r="Z20" i="4"/>
  <c r="X240" i="3"/>
  <c r="Z71" i="21"/>
  <c r="Z55" i="19"/>
  <c r="Z39" i="19" s="1"/>
  <c r="Z235" i="4" s="1"/>
  <c r="Z25" i="4"/>
  <c r="Q367" i="3"/>
  <c r="Q384" i="3" s="1"/>
  <c r="Q352" i="3"/>
  <c r="X378" i="4"/>
  <c r="V247" i="4"/>
  <c r="V262" i="4"/>
  <c r="V279" i="4" s="1"/>
  <c r="Q269" i="4"/>
  <c r="Q286" i="4" s="1"/>
  <c r="Q254" i="4"/>
  <c r="Y33" i="19"/>
  <c r="U489" i="3"/>
  <c r="U458" i="3"/>
  <c r="Y9" i="4"/>
  <c r="Y138" i="4"/>
  <c r="Y170" i="4" s="1"/>
  <c r="Z68" i="21"/>
  <c r="Z52" i="19"/>
  <c r="Z36" i="19" s="1"/>
  <c r="Z232" i="4" s="1"/>
  <c r="Z22" i="4"/>
  <c r="W358" i="4"/>
  <c r="W373" i="4"/>
  <c r="W353" i="4"/>
  <c r="V278" i="4"/>
  <c r="V277" i="4"/>
  <c r="Y49" i="21"/>
  <c r="Y20" i="3"/>
  <c r="Y11" i="4"/>
  <c r="Y349" i="4" s="1"/>
  <c r="Y381" i="4" s="1"/>
  <c r="Y140" i="4"/>
  <c r="Y172" i="4" s="1"/>
  <c r="R265" i="4"/>
  <c r="R282" i="4" s="1"/>
  <c r="R250" i="4"/>
  <c r="W334" i="3"/>
  <c r="W170" i="3"/>
  <c r="W316" i="3" s="1"/>
  <c r="Z40" i="6"/>
  <c r="Z29" i="6"/>
  <c r="W330" i="3"/>
  <c r="W166" i="3"/>
  <c r="W312" i="3" s="1"/>
  <c r="Z26" i="4"/>
  <c r="Z72" i="21"/>
  <c r="Z56" i="19"/>
  <c r="Z40" i="19" s="1"/>
  <c r="Z236" i="4" s="1"/>
  <c r="W339" i="3"/>
  <c r="W175" i="3"/>
  <c r="W321" i="3" s="1"/>
  <c r="S281" i="4"/>
  <c r="X11" i="3"/>
  <c r="X447" i="3" s="1"/>
  <c r="X187" i="3"/>
  <c r="Y268" i="21"/>
  <c r="Y255" i="3"/>
  <c r="Y239" i="3" s="1"/>
  <c r="Y59" i="21"/>
  <c r="Y43" i="21" s="1"/>
  <c r="Y30" i="3"/>
  <c r="W173" i="3"/>
  <c r="W319" i="3" s="1"/>
  <c r="W337" i="3"/>
  <c r="Y4" i="4"/>
  <c r="Y342" i="4" s="1"/>
  <c r="Y133" i="4"/>
  <c r="Y165" i="4" s="1"/>
  <c r="Y12" i="5"/>
  <c r="Y69" i="5" s="1"/>
  <c r="Y85" i="5" s="1"/>
  <c r="Y118" i="5" s="1"/>
  <c r="Z58" i="19"/>
  <c r="Z42" i="19" s="1"/>
  <c r="Z238" i="4" s="1"/>
  <c r="Z28" i="4"/>
  <c r="Z74" i="21"/>
  <c r="W7" i="5"/>
  <c r="X382" i="4"/>
  <c r="W474" i="3"/>
  <c r="S265" i="4"/>
  <c r="S250" i="4"/>
  <c r="Y264" i="21"/>
  <c r="Y251" i="3"/>
  <c r="Y57" i="21"/>
  <c r="Y41" i="21" s="1"/>
  <c r="Y28" i="3"/>
  <c r="Z67" i="21"/>
  <c r="Z51" i="19"/>
  <c r="Z35" i="19" s="1"/>
  <c r="Z231" i="4" s="1"/>
  <c r="Z21" i="4"/>
  <c r="W329" i="3"/>
  <c r="W165" i="3"/>
  <c r="W311" i="3" s="1"/>
  <c r="X32" i="3"/>
  <c r="X4" i="3"/>
  <c r="X180" i="3"/>
  <c r="Y266" i="21"/>
  <c r="Y253" i="3"/>
  <c r="Y237" i="3" s="1"/>
  <c r="X184" i="3"/>
  <c r="X8" i="3"/>
  <c r="X444" i="3" s="1"/>
  <c r="X7" i="3"/>
  <c r="X443" i="3" s="1"/>
  <c r="X476" i="3" s="1"/>
  <c r="X183" i="3"/>
  <c r="Y50" i="21"/>
  <c r="Y34" i="21" s="1"/>
  <c r="Y21" i="3"/>
  <c r="Z53" i="19"/>
  <c r="Z37" i="19" s="1"/>
  <c r="Z233" i="4" s="1"/>
  <c r="Z69" i="21"/>
  <c r="Z23" i="4"/>
  <c r="X375" i="4"/>
  <c r="W245" i="4"/>
  <c r="W241" i="4"/>
  <c r="X5" i="2"/>
  <c r="X7" i="2" s="1"/>
  <c r="X17" i="2" s="1"/>
  <c r="X19" i="2" s="1"/>
  <c r="X30" i="21"/>
  <c r="Y254" i="3"/>
  <c r="Y238" i="3" s="1"/>
  <c r="Y267" i="21"/>
  <c r="X4" i="5"/>
  <c r="X344" i="4"/>
  <c r="X376" i="4" s="1"/>
  <c r="U390" i="4"/>
  <c r="U360" i="4"/>
  <c r="Z65" i="21"/>
  <c r="Z49" i="19"/>
  <c r="Z19" i="4"/>
  <c r="X61" i="21"/>
  <c r="X33" i="21"/>
  <c r="X45" i="21" s="1"/>
  <c r="T361" i="3"/>
  <c r="T378" i="3" s="1"/>
  <c r="T346" i="3"/>
  <c r="Z73" i="21"/>
  <c r="Z57" i="19"/>
  <c r="Z41" i="19" s="1"/>
  <c r="Z237" i="4" s="1"/>
  <c r="Z27" i="4"/>
  <c r="W374" i="4"/>
  <c r="V474" i="3"/>
  <c r="V473" i="3"/>
  <c r="V457" i="3"/>
  <c r="V452" i="3"/>
  <c r="Y52" i="21"/>
  <c r="Y36" i="21" s="1"/>
  <c r="Y23" i="3"/>
  <c r="T377" i="3"/>
  <c r="T376" i="3"/>
  <c r="Z12" i="5" l="1"/>
  <c r="Z69" i="5" s="1"/>
  <c r="Z85" i="5" s="1"/>
  <c r="Z118" i="5" s="1"/>
  <c r="Z4" i="4"/>
  <c r="Z342" i="4" s="1"/>
  <c r="Z133" i="4"/>
  <c r="Z165" i="4" s="1"/>
  <c r="Z266" i="21"/>
  <c r="Z253" i="3"/>
  <c r="Z237" i="3" s="1"/>
  <c r="V360" i="3"/>
  <c r="V345" i="3"/>
  <c r="AD13" i="19" a="1"/>
  <c r="AD13" i="19" s="1"/>
  <c r="AC12" i="19"/>
  <c r="AC33" i="6" s="1"/>
  <c r="AC41" i="6" s="1"/>
  <c r="AA50" i="19"/>
  <c r="AA34" i="19" s="1"/>
  <c r="AA230" i="4" s="1"/>
  <c r="AA20" i="4"/>
  <c r="X167" i="3"/>
  <c r="X313" i="3" s="1"/>
  <c r="X331" i="3"/>
  <c r="Z52" i="21"/>
  <c r="Z36" i="21" s="1"/>
  <c r="Z23" i="3"/>
  <c r="S348" i="3"/>
  <c r="S363" i="3"/>
  <c r="S380" i="3" s="1"/>
  <c r="Z267" i="21"/>
  <c r="Z254" i="3"/>
  <c r="Z238" i="3" s="1"/>
  <c r="X174" i="3"/>
  <c r="X320" i="3" s="1"/>
  <c r="X338" i="3"/>
  <c r="AA51" i="19"/>
  <c r="AA35" i="19" s="1"/>
  <c r="AA231" i="4" s="1"/>
  <c r="AA21" i="4"/>
  <c r="Z50" i="21"/>
  <c r="Z34" i="21" s="1"/>
  <c r="Z21" i="3"/>
  <c r="X337" i="3"/>
  <c r="X173" i="3"/>
  <c r="X319" i="3" s="1"/>
  <c r="AB30" i="6"/>
  <c r="AB23" i="19"/>
  <c r="AB6" i="6" s="1"/>
  <c r="AB8" i="6" s="1"/>
  <c r="AB65" i="19"/>
  <c r="AB67" i="19"/>
  <c r="AB71" i="19"/>
  <c r="AB73" i="19"/>
  <c r="AB69" i="19"/>
  <c r="AB72" i="19"/>
  <c r="AB75" i="19"/>
  <c r="AB68" i="19"/>
  <c r="AB55" i="6"/>
  <c r="AB64" i="6" s="1"/>
  <c r="AB66" i="19"/>
  <c r="AB76" i="19" s="1"/>
  <c r="AB70" i="19"/>
  <c r="AB74" i="19"/>
  <c r="AA52" i="19"/>
  <c r="AA36" i="19" s="1"/>
  <c r="AA232" i="4" s="1"/>
  <c r="AA22" i="4"/>
  <c r="W176" i="3"/>
  <c r="W310" i="3"/>
  <c r="W322" i="3" s="1"/>
  <c r="U264" i="4"/>
  <c r="U281" i="4" s="1"/>
  <c r="U249" i="4"/>
  <c r="Z49" i="21"/>
  <c r="Z20" i="3"/>
  <c r="W344" i="3"/>
  <c r="W340" i="3"/>
  <c r="Y4" i="5"/>
  <c r="Y344" i="4"/>
  <c r="Y376" i="4" s="1"/>
  <c r="Y3" i="5"/>
  <c r="Y15" i="4"/>
  <c r="Y341" i="4"/>
  <c r="Z13" i="4"/>
  <c r="Z351" i="4" s="1"/>
  <c r="Z142" i="4"/>
  <c r="Z174" i="4" s="1"/>
  <c r="T491" i="3"/>
  <c r="T460" i="3"/>
  <c r="Y380" i="4"/>
  <c r="T265" i="4"/>
  <c r="T282" i="4" s="1"/>
  <c r="T250" i="4"/>
  <c r="Y5" i="5"/>
  <c r="Y347" i="4"/>
  <c r="Y379" i="4" s="1"/>
  <c r="Z33" i="19"/>
  <c r="U391" i="4"/>
  <c r="U361" i="4"/>
  <c r="X328" i="3"/>
  <c r="X192" i="3"/>
  <c r="X164" i="3"/>
  <c r="X16" i="3"/>
  <c r="X440" i="3"/>
  <c r="X170" i="3"/>
  <c r="X316" i="3" s="1"/>
  <c r="X334" i="3"/>
  <c r="Y60" i="21"/>
  <c r="Y44" i="21" s="1"/>
  <c r="Y31" i="3"/>
  <c r="X380" i="4"/>
  <c r="V489" i="3"/>
  <c r="V458" i="3"/>
  <c r="R251" i="4"/>
  <c r="R266" i="4"/>
  <c r="R283" i="4" s="1"/>
  <c r="Y45" i="19"/>
  <c r="Y47" i="19" s="1"/>
  <c r="Y229" i="4"/>
  <c r="Y15" i="5"/>
  <c r="Y68" i="5"/>
  <c r="Z59" i="21"/>
  <c r="Z43" i="21" s="1"/>
  <c r="Z30" i="3"/>
  <c r="Y11" i="3"/>
  <c r="Y187" i="3"/>
  <c r="X245" i="4"/>
  <c r="X241" i="4"/>
  <c r="Y8" i="3"/>
  <c r="Y444" i="3" s="1"/>
  <c r="Y184" i="3"/>
  <c r="Y14" i="4"/>
  <c r="Y352" i="4" s="1"/>
  <c r="Y384" i="4" s="1"/>
  <c r="Y143" i="4"/>
  <c r="Y175" i="4" s="1"/>
  <c r="Y144" i="4"/>
  <c r="Y164" i="4"/>
  <c r="V360" i="4"/>
  <c r="V390" i="4"/>
  <c r="Y6" i="5"/>
  <c r="Y350" i="4"/>
  <c r="Y382" i="4" s="1"/>
  <c r="S461" i="3"/>
  <c r="S492" i="3"/>
  <c r="Q270" i="4"/>
  <c r="Q287" i="4" s="1"/>
  <c r="Q255" i="4"/>
  <c r="Y186" i="3"/>
  <c r="Y10" i="3"/>
  <c r="Y446" i="3" s="1"/>
  <c r="X373" i="4"/>
  <c r="X353" i="4"/>
  <c r="X358" i="4"/>
  <c r="Z58" i="21"/>
  <c r="Z42" i="21" s="1"/>
  <c r="Z29" i="3"/>
  <c r="R394" i="4"/>
  <c r="R364" i="4"/>
  <c r="X332" i="3"/>
  <c r="X168" i="3"/>
  <c r="X314" i="3" s="1"/>
  <c r="U459" i="3"/>
  <c r="U490" i="3"/>
  <c r="Y9" i="3"/>
  <c r="Y445" i="3" s="1"/>
  <c r="Y478" i="3" s="1"/>
  <c r="Y185" i="3"/>
  <c r="Z13" i="5"/>
  <c r="Z70" i="5" s="1"/>
  <c r="Z86" i="5" s="1"/>
  <c r="Z119" i="5" s="1"/>
  <c r="Z134" i="4"/>
  <c r="Z166" i="4" s="1"/>
  <c r="Z5" i="4"/>
  <c r="Z343" i="4" s="1"/>
  <c r="Z375" i="4" s="1"/>
  <c r="R462" i="3"/>
  <c r="R493" i="3"/>
  <c r="X330" i="3"/>
  <c r="X166" i="3"/>
  <c r="X312" i="3" s="1"/>
  <c r="X7" i="5"/>
  <c r="X339" i="3"/>
  <c r="X175" i="3"/>
  <c r="X321" i="3" s="1"/>
  <c r="Y269" i="21"/>
  <c r="Y4" i="3"/>
  <c r="Y180" i="3"/>
  <c r="S363" i="4"/>
  <c r="S393" i="4"/>
  <c r="AA76" i="19"/>
  <c r="X329" i="3"/>
  <c r="X165" i="3"/>
  <c r="X311" i="3" s="1"/>
  <c r="AA53" i="19"/>
  <c r="AA37" i="19" s="1"/>
  <c r="AA233" i="4" s="1"/>
  <c r="AA23" i="4"/>
  <c r="Z12" i="4"/>
  <c r="Z350" i="4" s="1"/>
  <c r="Z141" i="4"/>
  <c r="Z173" i="4" s="1"/>
  <c r="Q368" i="4"/>
  <c r="Q398" i="4"/>
  <c r="Y7" i="3"/>
  <c r="Y443" i="3" s="1"/>
  <c r="Y476" i="3" s="1"/>
  <c r="Y183" i="3"/>
  <c r="Y61" i="19"/>
  <c r="Y33" i="21"/>
  <c r="V248" i="4"/>
  <c r="V263" i="4"/>
  <c r="V280" i="4" s="1"/>
  <c r="Z76" i="21"/>
  <c r="Z77" i="21" s="1"/>
  <c r="Z4" i="21" s="1"/>
  <c r="Z3" i="21" s="1"/>
  <c r="Z23" i="21" s="1"/>
  <c r="Z60" i="19"/>
  <c r="Z44" i="19" s="1"/>
  <c r="Z240" i="4" s="1"/>
  <c r="Z30" i="4"/>
  <c r="Y188" i="3"/>
  <c r="Y12" i="3"/>
  <c r="Y448" i="3" s="1"/>
  <c r="X480" i="3"/>
  <c r="Y77" i="21"/>
  <c r="Y4" i="21" s="1"/>
  <c r="Y3" i="21" s="1"/>
  <c r="Y23" i="21" s="1"/>
  <c r="Y182" i="3"/>
  <c r="Y6" i="3"/>
  <c r="Y442" i="3" s="1"/>
  <c r="Y475" i="3" s="1"/>
  <c r="Y189" i="3"/>
  <c r="Y13" i="3"/>
  <c r="Y449" i="3" s="1"/>
  <c r="Y482" i="3" s="1"/>
  <c r="U377" i="3"/>
  <c r="U376" i="3"/>
  <c r="AA49" i="19"/>
  <c r="AA19" i="4"/>
  <c r="AA40" i="6"/>
  <c r="AA29" i="6"/>
  <c r="Y14" i="3"/>
  <c r="Y450" i="3" s="1"/>
  <c r="Y190" i="3"/>
  <c r="Q353" i="3"/>
  <c r="Q368" i="3"/>
  <c r="Q385" i="3" s="1"/>
  <c r="U346" i="3"/>
  <c r="U361" i="3"/>
  <c r="U378" i="3" s="1"/>
  <c r="AA56" i="19"/>
  <c r="AA40" i="19" s="1"/>
  <c r="AA236" i="4" s="1"/>
  <c r="AA26" i="4"/>
  <c r="R349" i="3"/>
  <c r="R364" i="3"/>
  <c r="R381" i="3" s="1"/>
  <c r="Z51" i="21"/>
  <c r="Z35" i="21" s="1"/>
  <c r="Z22" i="3"/>
  <c r="X335" i="3"/>
  <c r="X171" i="3"/>
  <c r="X317" i="3" s="1"/>
  <c r="Z11" i="4"/>
  <c r="Z349" i="4" s="1"/>
  <c r="Z381" i="4" s="1"/>
  <c r="Z140" i="4"/>
  <c r="Z172" i="4" s="1"/>
  <c r="W261" i="4"/>
  <c r="W246" i="4"/>
  <c r="Y235" i="3"/>
  <c r="Y240" i="3" s="1"/>
  <c r="Y256" i="3"/>
  <c r="AC16" i="19"/>
  <c r="AD17" i="19" a="1"/>
  <c r="AD17" i="19" s="1"/>
  <c r="T362" i="4"/>
  <c r="T392" i="4"/>
  <c r="X478" i="3"/>
  <c r="AA57" i="19"/>
  <c r="AA41" i="19" s="1"/>
  <c r="AA237" i="4" s="1"/>
  <c r="AA27" i="4"/>
  <c r="AC3" i="19"/>
  <c r="AC77" i="19"/>
  <c r="AD4" i="19" a="1"/>
  <c r="AD4" i="19" s="1"/>
  <c r="Z57" i="21"/>
  <c r="Z41" i="21" s="1"/>
  <c r="Z28" i="3"/>
  <c r="Z9" i="4"/>
  <c r="Z138" i="4"/>
  <c r="Z170" i="4" s="1"/>
  <c r="Q497" i="3"/>
  <c r="Q466" i="3"/>
  <c r="X169" i="3"/>
  <c r="X315" i="3" s="1"/>
  <c r="X333" i="3"/>
  <c r="AA54" i="19"/>
  <c r="AA38" i="19" s="1"/>
  <c r="AA234" i="4" s="1"/>
  <c r="AA24" i="4"/>
  <c r="Y377" i="4"/>
  <c r="Z132" i="4"/>
  <c r="Z164" i="4" s="1"/>
  <c r="Z3" i="4"/>
  <c r="Z11" i="5"/>
  <c r="Z31" i="4"/>
  <c r="Z7" i="4"/>
  <c r="Z345" i="4" s="1"/>
  <c r="Z136" i="4"/>
  <c r="Z168" i="4" s="1"/>
  <c r="T362" i="3"/>
  <c r="T379" i="3" s="1"/>
  <c r="T347" i="3"/>
  <c r="Z53" i="21"/>
  <c r="Z37" i="21" s="1"/>
  <c r="Z24" i="3"/>
  <c r="S266" i="4"/>
  <c r="S283" i="4" s="1"/>
  <c r="S251" i="4"/>
  <c r="X172" i="3"/>
  <c r="X318" i="3" s="1"/>
  <c r="X336" i="3"/>
  <c r="AA25" i="4"/>
  <c r="AA55" i="19"/>
  <c r="AA39" i="19" s="1"/>
  <c r="AA235" i="4" s="1"/>
  <c r="Z8" i="4"/>
  <c r="Z346" i="4" s="1"/>
  <c r="Z137" i="4"/>
  <c r="Z169" i="4" s="1"/>
  <c r="S282" i="4"/>
  <c r="Z56" i="21"/>
  <c r="Z40" i="21" s="1"/>
  <c r="Z27" i="3"/>
  <c r="W389" i="4"/>
  <c r="W359" i="4"/>
  <c r="Z55" i="21"/>
  <c r="Z39" i="21" s="1"/>
  <c r="Z26" i="3"/>
  <c r="Z284" i="21"/>
  <c r="W473" i="3"/>
  <c r="W452" i="3"/>
  <c r="W457" i="3"/>
  <c r="W117" i="5"/>
  <c r="W121" i="5" s="1"/>
  <c r="W88" i="5"/>
  <c r="X481" i="3"/>
  <c r="AA58" i="19"/>
  <c r="AA42" i="19" s="1"/>
  <c r="AA238" i="4" s="1"/>
  <c r="AA28" i="4"/>
  <c r="X477" i="3"/>
  <c r="Y181" i="3"/>
  <c r="Y5" i="3"/>
  <c r="Y441" i="3" s="1"/>
  <c r="Z10" i="4"/>
  <c r="Z348" i="4" s="1"/>
  <c r="Z139" i="4"/>
  <c r="Z171" i="4" s="1"/>
  <c r="Z135" i="4"/>
  <c r="Z167" i="4" s="1"/>
  <c r="Z14" i="5"/>
  <c r="Z71" i="5" s="1"/>
  <c r="Z87" i="5" s="1"/>
  <c r="Z120" i="5" s="1"/>
  <c r="Z6" i="4"/>
  <c r="Z264" i="21"/>
  <c r="Z251" i="3"/>
  <c r="X72" i="5"/>
  <c r="X84" i="5"/>
  <c r="Y375" i="4"/>
  <c r="X377" i="4"/>
  <c r="AA29" i="4"/>
  <c r="AA59" i="19"/>
  <c r="AA43" i="19" s="1"/>
  <c r="AA239" i="4" s="1"/>
  <c r="Z54" i="21"/>
  <c r="Z38" i="21" s="1"/>
  <c r="Z25" i="3"/>
  <c r="AB60" i="19" l="1"/>
  <c r="AB44" i="19" s="1"/>
  <c r="AB240" i="4" s="1"/>
  <c r="AB30" i="4"/>
  <c r="Z30" i="21"/>
  <c r="Z5" i="2"/>
  <c r="Z7" i="2" s="1"/>
  <c r="Z17" i="2" s="1"/>
  <c r="AA142" i="4"/>
  <c r="AA174" i="4" s="1"/>
  <c r="AA13" i="4"/>
  <c r="AA351" i="4" s="1"/>
  <c r="Y174" i="3"/>
  <c r="Y320" i="3" s="1"/>
  <c r="Y338" i="3"/>
  <c r="Y45" i="21"/>
  <c r="Y334" i="3"/>
  <c r="Y170" i="3"/>
  <c r="Y316" i="3" s="1"/>
  <c r="AA6" i="4"/>
  <c r="AA14" i="5"/>
  <c r="AA71" i="5" s="1"/>
  <c r="AA87" i="5" s="1"/>
  <c r="AA120" i="5" s="1"/>
  <c r="AA135" i="4"/>
  <c r="AA167" i="4" s="1"/>
  <c r="R494" i="3"/>
  <c r="R463" i="3"/>
  <c r="Z268" i="21"/>
  <c r="Z269" i="21" s="1"/>
  <c r="Z255" i="3"/>
  <c r="Z239" i="3" s="1"/>
  <c r="T363" i="4"/>
  <c r="T393" i="4"/>
  <c r="Y483" i="3"/>
  <c r="Y61" i="21"/>
  <c r="Q271" i="4"/>
  <c r="Q288" i="4" s="1"/>
  <c r="Q256" i="4"/>
  <c r="Q272" i="4" s="1"/>
  <c r="Y241" i="4"/>
  <c r="Y245" i="4"/>
  <c r="T266" i="4"/>
  <c r="T283" i="4" s="1"/>
  <c r="T251" i="4"/>
  <c r="T461" i="3"/>
  <c r="T492" i="3"/>
  <c r="AA8" i="4"/>
  <c r="AA346" i="4" s="1"/>
  <c r="AA137" i="4"/>
  <c r="AA169" i="4" s="1"/>
  <c r="Z15" i="5"/>
  <c r="Z68" i="5"/>
  <c r="Z186" i="3"/>
  <c r="Z10" i="3"/>
  <c r="Z446" i="3" s="1"/>
  <c r="AD16" i="19"/>
  <c r="AE17" i="19" a="1"/>
  <c r="AE17" i="19" s="1"/>
  <c r="X88" i="5"/>
  <c r="X117" i="5"/>
  <c r="X121" i="5" s="1"/>
  <c r="Z3" i="5"/>
  <c r="Z341" i="4"/>
  <c r="Y167" i="3"/>
  <c r="Y313" i="3" s="1"/>
  <c r="Y331" i="3"/>
  <c r="AB58" i="19"/>
  <c r="AB42" i="19" s="1"/>
  <c r="AB238" i="4" s="1"/>
  <c r="AB28" i="4"/>
  <c r="AB50" i="19"/>
  <c r="AB34" i="19" s="1"/>
  <c r="AB230" i="4" s="1"/>
  <c r="AB20" i="4"/>
  <c r="S493" i="3"/>
  <c r="S462" i="3"/>
  <c r="Q369" i="4"/>
  <c r="Q400" i="4" s="1"/>
  <c r="Q399" i="4"/>
  <c r="S349" i="3"/>
  <c r="S364" i="3"/>
  <c r="S381" i="3" s="1"/>
  <c r="Z4" i="5"/>
  <c r="Z344" i="4"/>
  <c r="Z376" i="4" s="1"/>
  <c r="W278" i="4"/>
  <c r="W277" i="4"/>
  <c r="Z383" i="4"/>
  <c r="AB52" i="19"/>
  <c r="AB36" i="19" s="1"/>
  <c r="AB232" i="4" s="1"/>
  <c r="AB22" i="4"/>
  <c r="Z7" i="3"/>
  <c r="Z443" i="3" s="1"/>
  <c r="Z476" i="3" s="1"/>
  <c r="Z183" i="3"/>
  <c r="Y15" i="3"/>
  <c r="Y451" i="3" s="1"/>
  <c r="Y484" i="3" s="1"/>
  <c r="Y191" i="3"/>
  <c r="Y374" i="4"/>
  <c r="Y373" i="4"/>
  <c r="Y358" i="4"/>
  <c r="Y353" i="4"/>
  <c r="AB59" i="19"/>
  <c r="AB43" i="19" s="1"/>
  <c r="AB239" i="4" s="1"/>
  <c r="AB29" i="4"/>
  <c r="AB54" i="19"/>
  <c r="AB38" i="19" s="1"/>
  <c r="AB234" i="4" s="1"/>
  <c r="AB24" i="4"/>
  <c r="AA7" i="4"/>
  <c r="AA345" i="4" s="1"/>
  <c r="AA136" i="4"/>
  <c r="AA168" i="4" s="1"/>
  <c r="AB56" i="19"/>
  <c r="AB40" i="19" s="1"/>
  <c r="AB236" i="4" s="1"/>
  <c r="AB26" i="4"/>
  <c r="AA33" i="19"/>
  <c r="V391" i="4"/>
  <c r="V361" i="4"/>
  <c r="Z378" i="4"/>
  <c r="Q467" i="3"/>
  <c r="Q498" i="3"/>
  <c r="Y7" i="5"/>
  <c r="AB53" i="19"/>
  <c r="AB37" i="19" s="1"/>
  <c r="AB233" i="4" s="1"/>
  <c r="AB23" i="4"/>
  <c r="Z11" i="3"/>
  <c r="Z187" i="3"/>
  <c r="Z382" i="4"/>
  <c r="Y337" i="3"/>
  <c r="Y173" i="3"/>
  <c r="Y319" i="3" s="1"/>
  <c r="Y330" i="3"/>
  <c r="Y166" i="3"/>
  <c r="Y312" i="3" s="1"/>
  <c r="U491" i="3"/>
  <c r="U460" i="3"/>
  <c r="Y176" i="4"/>
  <c r="AB27" i="4"/>
  <c r="AB57" i="19"/>
  <c r="AB41" i="19" s="1"/>
  <c r="AB237" i="4" s="1"/>
  <c r="AA12" i="5"/>
  <c r="AA69" i="5" s="1"/>
  <c r="AA85" i="5" s="1"/>
  <c r="AA118" i="5" s="1"/>
  <c r="AA4" i="4"/>
  <c r="AA342" i="4" s="1"/>
  <c r="AA133" i="4"/>
  <c r="AA165" i="4" s="1"/>
  <c r="Z235" i="3"/>
  <c r="Z240" i="3" s="1"/>
  <c r="Z256" i="3"/>
  <c r="Y333" i="3"/>
  <c r="Y169" i="3"/>
  <c r="Y315" i="3" s="1"/>
  <c r="AA9" i="4"/>
  <c r="AA138" i="4"/>
  <c r="AA170" i="4" s="1"/>
  <c r="Z6" i="3"/>
  <c r="Z442" i="3" s="1"/>
  <c r="Z182" i="3"/>
  <c r="Y30" i="21"/>
  <c r="Y5" i="2"/>
  <c r="Y7" i="2" s="1"/>
  <c r="Y17" i="2" s="1"/>
  <c r="Y19" i="2" s="1"/>
  <c r="X474" i="3"/>
  <c r="X457" i="3"/>
  <c r="X473" i="3"/>
  <c r="X452" i="3"/>
  <c r="AB55" i="19"/>
  <c r="AB39" i="19" s="1"/>
  <c r="AB235" i="4" s="1"/>
  <c r="AB25" i="4"/>
  <c r="Z5" i="5"/>
  <c r="Z347" i="4"/>
  <c r="Z379" i="4" s="1"/>
  <c r="AA60" i="19"/>
  <c r="AA44" i="19" s="1"/>
  <c r="AA240" i="4" s="1"/>
  <c r="AA30" i="4"/>
  <c r="Y332" i="3"/>
  <c r="Y168" i="3"/>
  <c r="Y314" i="3" s="1"/>
  <c r="AB21" i="4"/>
  <c r="AB51" i="19"/>
  <c r="AB35" i="19" s="1"/>
  <c r="AB231" i="4" s="1"/>
  <c r="Y329" i="3"/>
  <c r="Y165" i="3"/>
  <c r="Y311" i="3" s="1"/>
  <c r="Z188" i="3"/>
  <c r="Z12" i="3"/>
  <c r="Z448" i="3" s="1"/>
  <c r="R395" i="4"/>
  <c r="R365" i="4"/>
  <c r="Y477" i="3"/>
  <c r="X176" i="3"/>
  <c r="X310" i="3"/>
  <c r="X322" i="3" s="1"/>
  <c r="W360" i="3"/>
  <c r="W345" i="3"/>
  <c r="AB49" i="19"/>
  <c r="AB19" i="4"/>
  <c r="AD12" i="19"/>
  <c r="AD33" i="6" s="1"/>
  <c r="AD41" i="6" s="1"/>
  <c r="AE13" i="19" a="1"/>
  <c r="AE13" i="19" s="1"/>
  <c r="R365" i="3"/>
  <c r="R382" i="3" s="1"/>
  <c r="R350" i="3"/>
  <c r="Y172" i="3"/>
  <c r="Y318" i="3" s="1"/>
  <c r="Y336" i="3"/>
  <c r="S394" i="4"/>
  <c r="S364" i="4"/>
  <c r="Z4" i="3"/>
  <c r="Z180" i="3"/>
  <c r="V361" i="3"/>
  <c r="V378" i="3" s="1"/>
  <c r="V346" i="3"/>
  <c r="AE4" i="19" a="1"/>
  <c r="AE4" i="19" s="1"/>
  <c r="AD3" i="19"/>
  <c r="AD77" i="19"/>
  <c r="AA10" i="4"/>
  <c r="AA348" i="4" s="1"/>
  <c r="AA139" i="4"/>
  <c r="AA171" i="4" s="1"/>
  <c r="Z14" i="4"/>
  <c r="Z15" i="4" s="1"/>
  <c r="Z143" i="4"/>
  <c r="Y164" i="3"/>
  <c r="Y192" i="3"/>
  <c r="Y328" i="3"/>
  <c r="Z13" i="3"/>
  <c r="Z449" i="3" s="1"/>
  <c r="Z482" i="3" s="1"/>
  <c r="Z189" i="3"/>
  <c r="X246" i="4"/>
  <c r="X261" i="4"/>
  <c r="X340" i="3"/>
  <c r="X344" i="3"/>
  <c r="Z33" i="21"/>
  <c r="AB40" i="6"/>
  <c r="AB29" i="6"/>
  <c r="V377" i="3"/>
  <c r="V376" i="3"/>
  <c r="AA3" i="4"/>
  <c r="AA11" i="5"/>
  <c r="AA132" i="4"/>
  <c r="AA164" i="4" s="1"/>
  <c r="V459" i="3"/>
  <c r="V490" i="3"/>
  <c r="Y32" i="3"/>
  <c r="Y335" i="3"/>
  <c r="Y171" i="3"/>
  <c r="Y317" i="3" s="1"/>
  <c r="U362" i="4"/>
  <c r="U392" i="4"/>
  <c r="AA12" i="4"/>
  <c r="AA141" i="4"/>
  <c r="AA173" i="4" s="1"/>
  <c r="S252" i="4"/>
  <c r="S267" i="4"/>
  <c r="Z8" i="3"/>
  <c r="Z444" i="3" s="1"/>
  <c r="Z477" i="3" s="1"/>
  <c r="Z184" i="3"/>
  <c r="AC75" i="19"/>
  <c r="AC68" i="19"/>
  <c r="AC66" i="19"/>
  <c r="AC65" i="19"/>
  <c r="AC70" i="19"/>
  <c r="AC74" i="19"/>
  <c r="AC67" i="19"/>
  <c r="AC71" i="19"/>
  <c r="AC69" i="19"/>
  <c r="AC72" i="19"/>
  <c r="AC73" i="19"/>
  <c r="AC55" i="6"/>
  <c r="AC64" i="6" s="1"/>
  <c r="AC30" i="6"/>
  <c r="AC23" i="19"/>
  <c r="AC6" i="6" s="1"/>
  <c r="AC8" i="6" s="1"/>
  <c r="Z60" i="21"/>
  <c r="Z44" i="21" s="1"/>
  <c r="Z31" i="3"/>
  <c r="Z32" i="3" s="1"/>
  <c r="Y440" i="3"/>
  <c r="X359" i="4"/>
  <c r="X389" i="4"/>
  <c r="Y447" i="3"/>
  <c r="Y480" i="3" s="1"/>
  <c r="U265" i="4"/>
  <c r="U282" i="4" s="1"/>
  <c r="U250" i="4"/>
  <c r="Z185" i="3"/>
  <c r="Z9" i="3"/>
  <c r="Z445" i="3" s="1"/>
  <c r="Z478" i="3" s="1"/>
  <c r="T348" i="3"/>
  <c r="T363" i="3"/>
  <c r="T380" i="3" s="1"/>
  <c r="AA11" i="4"/>
  <c r="AA349" i="4" s="1"/>
  <c r="AA381" i="4" s="1"/>
  <c r="AA140" i="4"/>
  <c r="AA172" i="4" s="1"/>
  <c r="U362" i="3"/>
  <c r="U379" i="3" s="1"/>
  <c r="U347" i="3"/>
  <c r="Y383" i="4"/>
  <c r="Z14" i="3"/>
  <c r="Z450" i="3" s="1"/>
  <c r="Z190" i="3"/>
  <c r="Z229" i="4"/>
  <c r="Z45" i="19"/>
  <c r="Z47" i="19" s="1"/>
  <c r="Z5" i="3"/>
  <c r="Z441" i="3" s="1"/>
  <c r="Z181" i="3"/>
  <c r="W390" i="4"/>
  <c r="W360" i="4"/>
  <c r="W247" i="4"/>
  <c r="W262" i="4"/>
  <c r="W279" i="4" s="1"/>
  <c r="Z61" i="19"/>
  <c r="R267" i="4"/>
  <c r="R284" i="4" s="1"/>
  <c r="R252" i="4"/>
  <c r="W489" i="3"/>
  <c r="W458" i="3"/>
  <c r="Q369" i="3"/>
  <c r="Q386" i="3" s="1"/>
  <c r="Q354" i="3"/>
  <c r="V264" i="4"/>
  <c r="V281" i="4" s="1"/>
  <c r="V249" i="4"/>
  <c r="Y479" i="3"/>
  <c r="Y72" i="5"/>
  <c r="Y84" i="5"/>
  <c r="AA13" i="5"/>
  <c r="AA70" i="5" s="1"/>
  <c r="AA86" i="5" s="1"/>
  <c r="AA119" i="5" s="1"/>
  <c r="AA5" i="4"/>
  <c r="AA343" i="4" s="1"/>
  <c r="AA375" i="4" s="1"/>
  <c r="AA134" i="4"/>
  <c r="AA166" i="4" s="1"/>
  <c r="R253" i="4" l="1"/>
  <c r="R268" i="4"/>
  <c r="R285" i="4" s="1"/>
  <c r="Z328" i="3"/>
  <c r="Z164" i="3"/>
  <c r="Z440" i="3"/>
  <c r="Z331" i="3"/>
  <c r="Z167" i="3"/>
  <c r="Z313" i="3" s="1"/>
  <c r="Z373" i="4"/>
  <c r="Z358" i="4"/>
  <c r="AC50" i="19"/>
  <c r="AC34" i="19" s="1"/>
  <c r="AC230" i="4" s="1"/>
  <c r="AC20" i="4"/>
  <c r="Z374" i="4"/>
  <c r="U266" i="4"/>
  <c r="U283" i="4" s="1"/>
  <c r="U251" i="4"/>
  <c r="AC22" i="4"/>
  <c r="AC52" i="19"/>
  <c r="AC36" i="19" s="1"/>
  <c r="AC232" i="4" s="1"/>
  <c r="Z45" i="21"/>
  <c r="Z7" i="5"/>
  <c r="T364" i="4"/>
  <c r="T394" i="4"/>
  <c r="Z169" i="3"/>
  <c r="Z315" i="3" s="1"/>
  <c r="Z333" i="3"/>
  <c r="AC59" i="19"/>
  <c r="AC43" i="19" s="1"/>
  <c r="AC239" i="4" s="1"/>
  <c r="AC29" i="4"/>
  <c r="Z61" i="21"/>
  <c r="S365" i="4"/>
  <c r="S395" i="4"/>
  <c r="Q499" i="3"/>
  <c r="Q468" i="3"/>
  <c r="Q500" i="3" s="1"/>
  <c r="AB6" i="4"/>
  <c r="AB344" i="4" s="1"/>
  <c r="AB135" i="4"/>
  <c r="AB167" i="4" s="1"/>
  <c r="AC49" i="19"/>
  <c r="AC19" i="4"/>
  <c r="Z168" i="3"/>
  <c r="Z314" i="3" s="1"/>
  <c r="Z332" i="3"/>
  <c r="AE16" i="19"/>
  <c r="AF17" i="19" a="1"/>
  <c r="AF17" i="19" s="1"/>
  <c r="AA5" i="5"/>
  <c r="AA347" i="4"/>
  <c r="AA379" i="4" s="1"/>
  <c r="AB134" i="4"/>
  <c r="AB166" i="4" s="1"/>
  <c r="AB5" i="4"/>
  <c r="AB343" i="4" s="1"/>
  <c r="W248" i="4"/>
  <c r="W263" i="4"/>
  <c r="W280" i="4" s="1"/>
  <c r="V392" i="4"/>
  <c r="V362" i="4"/>
  <c r="R495" i="3"/>
  <c r="R464" i="3"/>
  <c r="X360" i="4"/>
  <c r="X390" i="4"/>
  <c r="S284" i="4"/>
  <c r="X278" i="4"/>
  <c r="X277" i="4"/>
  <c r="Z172" i="3"/>
  <c r="Z318" i="3" s="1"/>
  <c r="Z336" i="3"/>
  <c r="W361" i="4"/>
  <c r="W391" i="4"/>
  <c r="Y474" i="3"/>
  <c r="Y452" i="3"/>
  <c r="Y457" i="3"/>
  <c r="Y473" i="3"/>
  <c r="S268" i="4"/>
  <c r="S285" i="4" s="1"/>
  <c r="S253" i="4"/>
  <c r="X262" i="4"/>
  <c r="X279" i="4" s="1"/>
  <c r="X247" i="4"/>
  <c r="R351" i="3"/>
  <c r="R366" i="3"/>
  <c r="R383" i="3" s="1"/>
  <c r="AA31" i="4"/>
  <c r="AA143" i="4"/>
  <c r="AA14" i="4"/>
  <c r="AA6" i="5" s="1"/>
  <c r="AA7" i="5" s="1"/>
  <c r="AA229" i="4"/>
  <c r="AA45" i="19"/>
  <c r="AA47" i="19" s="1"/>
  <c r="Z479" i="3"/>
  <c r="X345" i="3"/>
  <c r="X360" i="3"/>
  <c r="Y16" i="3"/>
  <c r="Z173" i="3"/>
  <c r="Z319" i="3" s="1"/>
  <c r="Z337" i="3"/>
  <c r="AA61" i="19"/>
  <c r="Z334" i="3"/>
  <c r="Z170" i="3"/>
  <c r="Z316" i="3" s="1"/>
  <c r="Z84" i="5"/>
  <c r="Z72" i="5"/>
  <c r="AA4" i="5"/>
  <c r="AA344" i="4"/>
  <c r="AA376" i="4" s="1"/>
  <c r="Z329" i="3"/>
  <c r="Z165" i="3"/>
  <c r="Z311" i="3" s="1"/>
  <c r="U363" i="4"/>
  <c r="U393" i="4"/>
  <c r="AB3" i="4"/>
  <c r="AB341" i="4" s="1"/>
  <c r="AB132" i="4"/>
  <c r="AB164" i="4" s="1"/>
  <c r="AB138" i="4"/>
  <c r="AB170" i="4" s="1"/>
  <c r="AB9" i="4"/>
  <c r="AB347" i="4" s="1"/>
  <c r="U461" i="3"/>
  <c r="U492" i="3"/>
  <c r="S365" i="3"/>
  <c r="S382" i="3" s="1"/>
  <c r="S350" i="3"/>
  <c r="Z15" i="3"/>
  <c r="Z451" i="3" s="1"/>
  <c r="Z484" i="3" s="1"/>
  <c r="Z191" i="3"/>
  <c r="Z241" i="4"/>
  <c r="Z245" i="4"/>
  <c r="AC40" i="6"/>
  <c r="AC29" i="6"/>
  <c r="Y310" i="3"/>
  <c r="Y322" i="3" s="1"/>
  <c r="Y176" i="3"/>
  <c r="AB61" i="19"/>
  <c r="AB33" i="19"/>
  <c r="AA378" i="4"/>
  <c r="Z144" i="4"/>
  <c r="Z175" i="4"/>
  <c r="Z176" i="4" s="1"/>
  <c r="W361" i="3"/>
  <c r="W378" i="3" s="1"/>
  <c r="W346" i="3"/>
  <c r="AB8" i="4"/>
  <c r="AB346" i="4" s="1"/>
  <c r="AB137" i="4"/>
  <c r="AB169" i="4" s="1"/>
  <c r="AA350" i="4"/>
  <c r="AA382" i="4" s="1"/>
  <c r="Y344" i="3"/>
  <c r="Y88" i="5"/>
  <c r="Y117" i="5"/>
  <c r="Y121" i="5" s="1"/>
  <c r="Z6" i="5"/>
  <c r="Z352" i="4"/>
  <c r="Z384" i="4" s="1"/>
  <c r="W377" i="3"/>
  <c r="W376" i="3"/>
  <c r="S494" i="3"/>
  <c r="S463" i="3"/>
  <c r="T462" i="3"/>
  <c r="T493" i="3"/>
  <c r="Z174" i="3"/>
  <c r="Z320" i="3" s="1"/>
  <c r="Z338" i="3"/>
  <c r="AC76" i="19"/>
  <c r="Z483" i="3"/>
  <c r="AC57" i="19"/>
  <c r="AC41" i="19" s="1"/>
  <c r="AC237" i="4" s="1"/>
  <c r="AC27" i="4"/>
  <c r="X458" i="3"/>
  <c r="X489" i="3"/>
  <c r="Z380" i="4"/>
  <c r="AB13" i="4"/>
  <c r="AB351" i="4" s="1"/>
  <c r="AB142" i="4"/>
  <c r="AB174" i="4" s="1"/>
  <c r="T267" i="4"/>
  <c r="T284" i="4" s="1"/>
  <c r="T252" i="4"/>
  <c r="Z377" i="4"/>
  <c r="V265" i="4"/>
  <c r="V282" i="4" s="1"/>
  <c r="V250" i="4"/>
  <c r="U363" i="3"/>
  <c r="U380" i="3" s="1"/>
  <c r="U348" i="3"/>
  <c r="AC56" i="19"/>
  <c r="AC40" i="19" s="1"/>
  <c r="AC236" i="4" s="1"/>
  <c r="AC26" i="4"/>
  <c r="V491" i="3"/>
  <c r="V460" i="3"/>
  <c r="AB4" i="4"/>
  <c r="AB342" i="4" s="1"/>
  <c r="AB133" i="4"/>
  <c r="AB165" i="4" s="1"/>
  <c r="AA383" i="4"/>
  <c r="AC53" i="19"/>
  <c r="AC37" i="19" s="1"/>
  <c r="AC233" i="4" s="1"/>
  <c r="AC23" i="4"/>
  <c r="AD73" i="19"/>
  <c r="AD66" i="19"/>
  <c r="AD70" i="19"/>
  <c r="AD74" i="19"/>
  <c r="AD65" i="19"/>
  <c r="AD69" i="19"/>
  <c r="AD68" i="19"/>
  <c r="AD76" i="19" s="1"/>
  <c r="AD71" i="19"/>
  <c r="AD67" i="19"/>
  <c r="AD75" i="19"/>
  <c r="AD72" i="19"/>
  <c r="AD55" i="6"/>
  <c r="AD64" i="6" s="1"/>
  <c r="Y246" i="4"/>
  <c r="Y261" i="4"/>
  <c r="AB11" i="4"/>
  <c r="AB349" i="4" s="1"/>
  <c r="AB381" i="4" s="1"/>
  <c r="AB140" i="4"/>
  <c r="AB172" i="4" s="1"/>
  <c r="AC25" i="4"/>
  <c r="AC55" i="19"/>
  <c r="AC39" i="19" s="1"/>
  <c r="AC235" i="4" s="1"/>
  <c r="AA15" i="5"/>
  <c r="AA68" i="5"/>
  <c r="AD30" i="6"/>
  <c r="AD23" i="19"/>
  <c r="AD6" i="6" s="1"/>
  <c r="AD8" i="6" s="1"/>
  <c r="R396" i="4"/>
  <c r="R366" i="4"/>
  <c r="Y389" i="4"/>
  <c r="Y359" i="4"/>
  <c r="AB12" i="4"/>
  <c r="AB350" i="4" s="1"/>
  <c r="AB141" i="4"/>
  <c r="AB173" i="4" s="1"/>
  <c r="Z19" i="2"/>
  <c r="AA19" i="2"/>
  <c r="AF13" i="19" a="1"/>
  <c r="AF13" i="19" s="1"/>
  <c r="AE12" i="19"/>
  <c r="AC51" i="19"/>
  <c r="AC35" i="19" s="1"/>
  <c r="AC231" i="4" s="1"/>
  <c r="AC21" i="4"/>
  <c r="AA3" i="5"/>
  <c r="AA341" i="4"/>
  <c r="AA374" i="4" s="1"/>
  <c r="AE77" i="19"/>
  <c r="AE3" i="19"/>
  <c r="AF4" i="19" a="1"/>
  <c r="AF4" i="19" s="1"/>
  <c r="Z330" i="3"/>
  <c r="Z166" i="3"/>
  <c r="Z312" i="3" s="1"/>
  <c r="Z171" i="3"/>
  <c r="Z317" i="3" s="1"/>
  <c r="Z335" i="3"/>
  <c r="W490" i="3"/>
  <c r="W459" i="3"/>
  <c r="AC58" i="19"/>
  <c r="AC42" i="19" s="1"/>
  <c r="AC238" i="4" s="1"/>
  <c r="AC28" i="4"/>
  <c r="V362" i="3"/>
  <c r="V379" i="3" s="1"/>
  <c r="V347" i="3"/>
  <c r="Y481" i="3"/>
  <c r="Z475" i="3"/>
  <c r="Z447" i="3"/>
  <c r="Z480" i="3" s="1"/>
  <c r="AB31" i="4"/>
  <c r="AB143" i="4"/>
  <c r="AB14" i="4"/>
  <c r="AB10" i="4"/>
  <c r="AB348" i="4" s="1"/>
  <c r="AB380" i="4" s="1"/>
  <c r="AB139" i="4"/>
  <c r="AB171" i="4" s="1"/>
  <c r="Z474" i="3"/>
  <c r="Q370" i="3"/>
  <c r="Q387" i="3" s="1"/>
  <c r="Q355" i="3"/>
  <c r="Q371" i="3" s="1"/>
  <c r="T364" i="3"/>
  <c r="T381" i="3" s="1"/>
  <c r="T349" i="3"/>
  <c r="AC54" i="19"/>
  <c r="AC38" i="19" s="1"/>
  <c r="AC234" i="4" s="1"/>
  <c r="AC24" i="4"/>
  <c r="Z481" i="3"/>
  <c r="AB7" i="4"/>
  <c r="AB345" i="4" s="1"/>
  <c r="AB377" i="4" s="1"/>
  <c r="AB136" i="4"/>
  <c r="AB168" i="4" s="1"/>
  <c r="Y339" i="3"/>
  <c r="Y340" i="3" s="1"/>
  <c r="Y175" i="3"/>
  <c r="Y321" i="3" s="1"/>
  <c r="AD60" i="19" l="1"/>
  <c r="AD44" i="19" s="1"/>
  <c r="AD240" i="4" s="1"/>
  <c r="AD30" i="4"/>
  <c r="V461" i="3"/>
  <c r="V492" i="3"/>
  <c r="AB229" i="4"/>
  <c r="AB45" i="19"/>
  <c r="AB47" i="19" s="1"/>
  <c r="S254" i="4"/>
  <c r="S269" i="4"/>
  <c r="AB375" i="4"/>
  <c r="T365" i="4"/>
  <c r="T395" i="4"/>
  <c r="AC10" i="4"/>
  <c r="AC348" i="4" s="1"/>
  <c r="AC139" i="4"/>
  <c r="AC171" i="4" s="1"/>
  <c r="S495" i="3"/>
  <c r="S464" i="3"/>
  <c r="AC5" i="4"/>
  <c r="AC343" i="4" s="1"/>
  <c r="AC375" i="4" s="1"/>
  <c r="AC134" i="4"/>
  <c r="AC166" i="4" s="1"/>
  <c r="Z88" i="5"/>
  <c r="Z117" i="5"/>
  <c r="Z121" i="5" s="1"/>
  <c r="Y489" i="3"/>
  <c r="Y458" i="3"/>
  <c r="AG17" i="19" a="1"/>
  <c r="AG17" i="19" s="1"/>
  <c r="AF16" i="19"/>
  <c r="AC6" i="4"/>
  <c r="AC344" i="4" s="1"/>
  <c r="AC135" i="4"/>
  <c r="AC167" i="4" s="1"/>
  <c r="AE65" i="19"/>
  <c r="AE69" i="19"/>
  <c r="AE72" i="19"/>
  <c r="AE67" i="19"/>
  <c r="AE68" i="19"/>
  <c r="AE66" i="19"/>
  <c r="AE71" i="19"/>
  <c r="AE75" i="19"/>
  <c r="AE73" i="19"/>
  <c r="AE70" i="19"/>
  <c r="AE74" i="19"/>
  <c r="AE76" i="19"/>
  <c r="T463" i="3"/>
  <c r="T494" i="3"/>
  <c r="U349" i="3"/>
  <c r="U364" i="3"/>
  <c r="U381" i="3" s="1"/>
  <c r="U252" i="4"/>
  <c r="U267" i="4"/>
  <c r="U284" i="4" s="1"/>
  <c r="AD29" i="4"/>
  <c r="AD59" i="19"/>
  <c r="AD43" i="19" s="1"/>
  <c r="AD239" i="4" s="1"/>
  <c r="V251" i="4"/>
  <c r="V266" i="4"/>
  <c r="V283" i="4" s="1"/>
  <c r="Z261" i="4"/>
  <c r="Z246" i="4"/>
  <c r="Y247" i="4"/>
  <c r="Y262" i="4"/>
  <c r="Y279" i="4" s="1"/>
  <c r="AB144" i="4"/>
  <c r="AB175" i="4"/>
  <c r="AB176" i="4" s="1"/>
  <c r="AD56" i="19"/>
  <c r="AD40" i="19" s="1"/>
  <c r="AD236" i="4" s="1"/>
  <c r="AD26" i="4"/>
  <c r="AD51" i="19"/>
  <c r="AD35" i="19" s="1"/>
  <c r="AD231" i="4" s="1"/>
  <c r="AD21" i="4"/>
  <c r="W362" i="4"/>
  <c r="W392" i="4"/>
  <c r="Y278" i="4"/>
  <c r="Y277" i="4"/>
  <c r="AF12" i="19"/>
  <c r="AG13" i="19" a="1"/>
  <c r="AG13" i="19" s="1"/>
  <c r="AD55" i="19"/>
  <c r="AD39" i="19" s="1"/>
  <c r="AD235" i="4" s="1"/>
  <c r="AD25" i="4"/>
  <c r="Z339" i="3"/>
  <c r="Z175" i="3"/>
  <c r="Z321" i="3" s="1"/>
  <c r="AC3" i="4"/>
  <c r="AC132" i="4"/>
  <c r="AC4" i="4"/>
  <c r="AC342" i="4" s="1"/>
  <c r="AC133" i="4"/>
  <c r="AC165" i="4" s="1"/>
  <c r="AD52" i="19"/>
  <c r="AD36" i="19" s="1"/>
  <c r="AD232" i="4" s="1"/>
  <c r="AD22" i="4"/>
  <c r="T268" i="4"/>
  <c r="T285" i="4" s="1"/>
  <c r="T253" i="4"/>
  <c r="AC61" i="19"/>
  <c r="AC33" i="19"/>
  <c r="V348" i="3"/>
  <c r="V363" i="3"/>
  <c r="V380" i="3" s="1"/>
  <c r="AD23" i="4"/>
  <c r="AD53" i="19"/>
  <c r="AD37" i="19" s="1"/>
  <c r="AD233" i="4" s="1"/>
  <c r="Y360" i="3"/>
  <c r="Y345" i="3"/>
  <c r="X376" i="3"/>
  <c r="X377" i="3"/>
  <c r="Z359" i="4"/>
  <c r="Z389" i="4"/>
  <c r="S366" i="3"/>
  <c r="S383" i="3" s="1"/>
  <c r="S351" i="3"/>
  <c r="Y360" i="4"/>
  <c r="Y390" i="4"/>
  <c r="AD49" i="19"/>
  <c r="AD19" i="4"/>
  <c r="X361" i="3"/>
  <c r="X378" i="3" s="1"/>
  <c r="X346" i="3"/>
  <c r="AB376" i="4"/>
  <c r="Z353" i="4"/>
  <c r="AC12" i="4"/>
  <c r="AC350" i="4" s="1"/>
  <c r="AC141" i="4"/>
  <c r="AC173" i="4" s="1"/>
  <c r="AD58" i="19"/>
  <c r="AD42" i="19" s="1"/>
  <c r="AD238" i="4" s="1"/>
  <c r="AD28" i="4"/>
  <c r="AB383" i="4"/>
  <c r="AA373" i="4"/>
  <c r="AA358" i="4"/>
  <c r="R367" i="4"/>
  <c r="R397" i="4"/>
  <c r="AD54" i="19"/>
  <c r="AD38" i="19" s="1"/>
  <c r="AD234" i="4" s="1"/>
  <c r="AD24" i="4"/>
  <c r="U493" i="3"/>
  <c r="U462" i="3"/>
  <c r="AB15" i="4"/>
  <c r="AB352" i="4"/>
  <c r="AB384" i="4" s="1"/>
  <c r="AB382" i="4"/>
  <c r="W491" i="3"/>
  <c r="W460" i="3"/>
  <c r="AD20" i="4"/>
  <c r="AD50" i="19"/>
  <c r="AD34" i="19" s="1"/>
  <c r="AD230" i="4" s="1"/>
  <c r="AB379" i="4"/>
  <c r="AA245" i="4"/>
  <c r="AA241" i="4"/>
  <c r="AD57" i="19"/>
  <c r="AD41" i="19" s="1"/>
  <c r="AD237" i="4" s="1"/>
  <c r="AD27" i="4"/>
  <c r="X490" i="3"/>
  <c r="X459" i="3"/>
  <c r="AB378" i="4"/>
  <c r="AA15" i="4"/>
  <c r="AA352" i="4"/>
  <c r="AA384" i="4" s="1"/>
  <c r="X391" i="4"/>
  <c r="X361" i="4"/>
  <c r="S366" i="4"/>
  <c r="S396" i="4"/>
  <c r="Z452" i="3"/>
  <c r="Z457" i="3"/>
  <c r="Z473" i="3"/>
  <c r="R496" i="3"/>
  <c r="R465" i="3"/>
  <c r="Z16" i="3"/>
  <c r="AD40" i="6"/>
  <c r="AD29" i="6"/>
  <c r="AC140" i="4"/>
  <c r="AC172" i="4" s="1"/>
  <c r="AC11" i="4"/>
  <c r="AC349" i="4" s="1"/>
  <c r="AC381" i="4" s="1"/>
  <c r="AB374" i="4"/>
  <c r="AB358" i="4"/>
  <c r="AB353" i="4"/>
  <c r="AC13" i="4"/>
  <c r="AC351" i="4" s="1"/>
  <c r="AC383" i="4" s="1"/>
  <c r="AC142" i="4"/>
  <c r="AC174" i="4" s="1"/>
  <c r="Z310" i="3"/>
  <c r="Z322" i="3" s="1"/>
  <c r="Z176" i="3"/>
  <c r="AC8" i="4"/>
  <c r="AC346" i="4" s="1"/>
  <c r="AC137" i="4"/>
  <c r="AC169" i="4" s="1"/>
  <c r="V393" i="4"/>
  <c r="V363" i="4"/>
  <c r="Z192" i="3"/>
  <c r="AC7" i="4"/>
  <c r="AC345" i="4" s="1"/>
  <c r="AC377" i="4" s="1"/>
  <c r="AC136" i="4"/>
  <c r="AC168" i="4" s="1"/>
  <c r="AA84" i="5"/>
  <c r="AA72" i="5"/>
  <c r="T365" i="3"/>
  <c r="T382" i="3" s="1"/>
  <c r="T350" i="3"/>
  <c r="AC30" i="4"/>
  <c r="AC60" i="19"/>
  <c r="AC44" i="19" s="1"/>
  <c r="AC240" i="4" s="1"/>
  <c r="U394" i="4"/>
  <c r="U364" i="4"/>
  <c r="R352" i="3"/>
  <c r="R367" i="3"/>
  <c r="R384" i="3" s="1"/>
  <c r="Z344" i="3"/>
  <c r="Z340" i="3"/>
  <c r="W347" i="3"/>
  <c r="W362" i="3"/>
  <c r="W379" i="3" s="1"/>
  <c r="AA144" i="4"/>
  <c r="AA175" i="4"/>
  <c r="AA176" i="4" s="1"/>
  <c r="AG4" i="19" a="1"/>
  <c r="AG4" i="19" s="1"/>
  <c r="AF3" i="19"/>
  <c r="AF23" i="19" s="1"/>
  <c r="AF77" i="19"/>
  <c r="AC138" i="4"/>
  <c r="AC170" i="4" s="1"/>
  <c r="AC9" i="4"/>
  <c r="AC347" i="4" s="1"/>
  <c r="X248" i="4"/>
  <c r="X263" i="4"/>
  <c r="X280" i="4" s="1"/>
  <c r="AE23" i="19"/>
  <c r="AA380" i="4"/>
  <c r="AA377" i="4"/>
  <c r="W249" i="4"/>
  <c r="W264" i="4"/>
  <c r="W281" i="4" s="1"/>
  <c r="R254" i="4"/>
  <c r="R269" i="4"/>
  <c r="R286" i="4" s="1"/>
  <c r="AD13" i="4" l="1"/>
  <c r="AD351" i="4" s="1"/>
  <c r="AD142" i="4"/>
  <c r="AD174" i="4" s="1"/>
  <c r="AH17" i="19" a="1"/>
  <c r="AH17" i="19" s="1"/>
  <c r="AG16" i="19"/>
  <c r="AH4" i="19" a="1"/>
  <c r="AH4" i="19" s="1"/>
  <c r="AG3" i="19"/>
  <c r="AG77" i="19"/>
  <c r="X392" i="4"/>
  <c r="X362" i="4"/>
  <c r="Z390" i="4"/>
  <c r="Z360" i="4"/>
  <c r="AD9" i="4"/>
  <c r="AD347" i="4" s="1"/>
  <c r="AD138" i="4"/>
  <c r="AD170" i="4" s="1"/>
  <c r="Y459" i="3"/>
  <c r="Y490" i="3"/>
  <c r="AD8" i="4"/>
  <c r="AD346" i="4" s="1"/>
  <c r="AD378" i="4" s="1"/>
  <c r="AD137" i="4"/>
  <c r="AD169" i="4" s="1"/>
  <c r="AC378" i="4"/>
  <c r="U253" i="4"/>
  <c r="U268" i="4"/>
  <c r="U285" i="4" s="1"/>
  <c r="AH13" i="19" a="1"/>
  <c r="AH13" i="19" s="1"/>
  <c r="AG12" i="19"/>
  <c r="R398" i="4"/>
  <c r="R368" i="4"/>
  <c r="AA353" i="4"/>
  <c r="Y346" i="3"/>
  <c r="Y361" i="3"/>
  <c r="Y378" i="3" s="1"/>
  <c r="U350" i="3"/>
  <c r="U365" i="3"/>
  <c r="U382" i="3" s="1"/>
  <c r="W348" i="3"/>
  <c r="W363" i="3"/>
  <c r="W380" i="3" s="1"/>
  <c r="AA389" i="4"/>
  <c r="AA359" i="4"/>
  <c r="Y377" i="3"/>
  <c r="Y376" i="3"/>
  <c r="T495" i="3"/>
  <c r="T464" i="3"/>
  <c r="Z345" i="3"/>
  <c r="Z360" i="3"/>
  <c r="AE60" i="19"/>
  <c r="AE30" i="4"/>
  <c r="S496" i="3"/>
  <c r="S465" i="3"/>
  <c r="X491" i="3"/>
  <c r="X460" i="3"/>
  <c r="AD7" i="4"/>
  <c r="AD345" i="4" s="1"/>
  <c r="AD136" i="4"/>
  <c r="AD168" i="4" s="1"/>
  <c r="AB359" i="4"/>
  <c r="AB389" i="4"/>
  <c r="AD140" i="4"/>
  <c r="AD172" i="4" s="1"/>
  <c r="AD11" i="4"/>
  <c r="AD349" i="4" s="1"/>
  <c r="AD12" i="4"/>
  <c r="AD350" i="4" s="1"/>
  <c r="AD382" i="4" s="1"/>
  <c r="AD141" i="4"/>
  <c r="AD173" i="4" s="1"/>
  <c r="W363" i="4"/>
  <c r="W393" i="4"/>
  <c r="AE58" i="19"/>
  <c r="AE42" i="19" s="1"/>
  <c r="AE238" i="4" s="1"/>
  <c r="AE28" i="4"/>
  <c r="R368" i="3"/>
  <c r="R385" i="3" s="1"/>
  <c r="R353" i="3"/>
  <c r="AB373" i="4"/>
  <c r="V349" i="3"/>
  <c r="V364" i="3"/>
  <c r="V381" i="3" s="1"/>
  <c r="AD5" i="4"/>
  <c r="AD343" i="4" s="1"/>
  <c r="AD134" i="4"/>
  <c r="AD166" i="4" s="1"/>
  <c r="AE54" i="19"/>
  <c r="AE38" i="19" s="1"/>
  <c r="AE234" i="4" s="1"/>
  <c r="AE24" i="4"/>
  <c r="U395" i="4"/>
  <c r="U365" i="4"/>
  <c r="AC229" i="4"/>
  <c r="AC45" i="19"/>
  <c r="AC47" i="19" s="1"/>
  <c r="AE57" i="19"/>
  <c r="AE41" i="19" s="1"/>
  <c r="AE237" i="4" s="1"/>
  <c r="AE27" i="4"/>
  <c r="AC380" i="4"/>
  <c r="AD10" i="4"/>
  <c r="AD348" i="4" s="1"/>
  <c r="AD139" i="4"/>
  <c r="AD171" i="4" s="1"/>
  <c r="AE59" i="19"/>
  <c r="AE43" i="19" s="1"/>
  <c r="AE239" i="4" s="1"/>
  <c r="AE29" i="4"/>
  <c r="T254" i="4"/>
  <c r="T269" i="4"/>
  <c r="T286" i="4" s="1"/>
  <c r="AE55" i="19"/>
  <c r="AE39" i="19" s="1"/>
  <c r="AE235" i="4" s="1"/>
  <c r="AE25" i="4"/>
  <c r="T396" i="4"/>
  <c r="T366" i="4"/>
  <c r="AA246" i="4"/>
  <c r="AA261" i="4"/>
  <c r="AC14" i="4"/>
  <c r="AC352" i="4" s="1"/>
  <c r="AC384" i="4" s="1"/>
  <c r="AC143" i="4"/>
  <c r="AC175" i="4" s="1"/>
  <c r="AE50" i="19"/>
  <c r="AE34" i="19" s="1"/>
  <c r="AE230" i="4" s="1"/>
  <c r="AE20" i="4"/>
  <c r="R255" i="4"/>
  <c r="R270" i="4"/>
  <c r="R287" i="4" s="1"/>
  <c r="AC382" i="4"/>
  <c r="W265" i="4"/>
  <c r="W282" i="4" s="1"/>
  <c r="W250" i="4"/>
  <c r="T351" i="3"/>
  <c r="T366" i="3"/>
  <c r="T383" i="3" s="1"/>
  <c r="AD4" i="4"/>
  <c r="AD342" i="4" s="1"/>
  <c r="AD133" i="4"/>
  <c r="AD165" i="4" s="1"/>
  <c r="X347" i="3"/>
  <c r="X362" i="3"/>
  <c r="X379" i="3" s="1"/>
  <c r="AD6" i="4"/>
  <c r="AD344" i="4" s="1"/>
  <c r="AD376" i="4" s="1"/>
  <c r="AD135" i="4"/>
  <c r="AD167" i="4" s="1"/>
  <c r="AE52" i="19"/>
  <c r="AE36" i="19" s="1"/>
  <c r="AE232" i="4" s="1"/>
  <c r="AE22" i="4"/>
  <c r="S286" i="4"/>
  <c r="S367" i="4"/>
  <c r="S397" i="4"/>
  <c r="W461" i="3"/>
  <c r="W492" i="3"/>
  <c r="AE51" i="19"/>
  <c r="AE35" i="19" s="1"/>
  <c r="AE231" i="4" s="1"/>
  <c r="AE21" i="4"/>
  <c r="S255" i="4"/>
  <c r="S270" i="4"/>
  <c r="S287" i="4" s="1"/>
  <c r="R497" i="3"/>
  <c r="R466" i="3"/>
  <c r="AD3" i="4"/>
  <c r="AD341" i="4" s="1"/>
  <c r="AD132" i="4"/>
  <c r="Y248" i="4"/>
  <c r="Y263" i="4"/>
  <c r="Y280" i="4" s="1"/>
  <c r="AE56" i="19"/>
  <c r="AE40" i="19" s="1"/>
  <c r="AE236" i="4" s="1"/>
  <c r="AE26" i="4"/>
  <c r="Z247" i="4"/>
  <c r="Z262" i="4"/>
  <c r="Z279" i="4" s="1"/>
  <c r="AE53" i="19"/>
  <c r="AE37" i="19" s="1"/>
  <c r="AE233" i="4" s="1"/>
  <c r="AE23" i="4"/>
  <c r="AB241" i="4"/>
  <c r="AB245" i="4"/>
  <c r="AA88" i="5"/>
  <c r="AA117" i="5"/>
  <c r="AA121" i="5" s="1"/>
  <c r="AD61" i="19"/>
  <c r="AD33" i="19"/>
  <c r="X264" i="4"/>
  <c r="X281" i="4" s="1"/>
  <c r="X249" i="4"/>
  <c r="AC164" i="4"/>
  <c r="Z278" i="4"/>
  <c r="Z277" i="4"/>
  <c r="AE49" i="19"/>
  <c r="AE33" i="19" s="1"/>
  <c r="AE19" i="4"/>
  <c r="Z458" i="3"/>
  <c r="Z489" i="3"/>
  <c r="Y391" i="4"/>
  <c r="Y361" i="4"/>
  <c r="AC31" i="4"/>
  <c r="V462" i="3"/>
  <c r="V493" i="3"/>
  <c r="AC379" i="4"/>
  <c r="U463" i="3"/>
  <c r="U494" i="3"/>
  <c r="S352" i="3"/>
  <c r="S367" i="3"/>
  <c r="S384" i="3" s="1"/>
  <c r="AC15" i="4"/>
  <c r="AC341" i="4"/>
  <c r="V267" i="4"/>
  <c r="V284" i="4" s="1"/>
  <c r="V252" i="4"/>
  <c r="AC376" i="4"/>
  <c r="AD31" i="4"/>
  <c r="AD143" i="4"/>
  <c r="AD175" i="4" s="1"/>
  <c r="AD14" i="4"/>
  <c r="AF70" i="19"/>
  <c r="AF74" i="19"/>
  <c r="AF65" i="19"/>
  <c r="AF69" i="19"/>
  <c r="AF73" i="19"/>
  <c r="AF72" i="19"/>
  <c r="AF67" i="19"/>
  <c r="AF75" i="19"/>
  <c r="AF66" i="19"/>
  <c r="AF71" i="19"/>
  <c r="AF68" i="19"/>
  <c r="AF76" i="19"/>
  <c r="V364" i="4"/>
  <c r="V394" i="4"/>
  <c r="S497" i="3" l="1"/>
  <c r="S466" i="3"/>
  <c r="AI13" i="19" a="1"/>
  <c r="AI13" i="19" s="1"/>
  <c r="AH12" i="19"/>
  <c r="AD229" i="4"/>
  <c r="AD45" i="19"/>
  <c r="AD47" i="19" s="1"/>
  <c r="S398" i="4"/>
  <c r="S368" i="4"/>
  <c r="AA278" i="4"/>
  <c r="AA277" i="4"/>
  <c r="AD375" i="4"/>
  <c r="AE143" i="4"/>
  <c r="AE175" i="4" s="1"/>
  <c r="AE14" i="4"/>
  <c r="U254" i="4"/>
  <c r="U269" i="4"/>
  <c r="U286" i="4" s="1"/>
  <c r="AF52" i="19"/>
  <c r="AF36" i="19" s="1"/>
  <c r="AF232" i="4" s="1"/>
  <c r="AF22" i="4"/>
  <c r="U464" i="3"/>
  <c r="U495" i="3"/>
  <c r="AB261" i="4"/>
  <c r="AB246" i="4"/>
  <c r="AE61" i="19"/>
  <c r="AE44" i="19"/>
  <c r="AE240" i="4" s="1"/>
  <c r="S368" i="3"/>
  <c r="S385" i="3" s="1"/>
  <c r="S353" i="3"/>
  <c r="AA262" i="4"/>
  <c r="AA279" i="4" s="1"/>
  <c r="AA247" i="4"/>
  <c r="AF55" i="19"/>
  <c r="AF39" i="19" s="1"/>
  <c r="AF235" i="4" s="1"/>
  <c r="AF25" i="4"/>
  <c r="AE135" i="4"/>
  <c r="AE167" i="4" s="1"/>
  <c r="AE6" i="4"/>
  <c r="AE344" i="4" s="1"/>
  <c r="T397" i="4"/>
  <c r="T367" i="4"/>
  <c r="V350" i="3"/>
  <c r="V365" i="3"/>
  <c r="V382" i="3" s="1"/>
  <c r="Z377" i="3"/>
  <c r="Z376" i="3"/>
  <c r="AF50" i="19"/>
  <c r="AF34" i="19" s="1"/>
  <c r="AF230" i="4" s="1"/>
  <c r="AF20" i="4"/>
  <c r="AE136" i="4"/>
  <c r="AE168" i="4" s="1"/>
  <c r="AE7" i="4"/>
  <c r="AE345" i="4" s="1"/>
  <c r="AE377" i="4" s="1"/>
  <c r="Z346" i="3"/>
  <c r="Z361" i="3"/>
  <c r="Z378" i="3" s="1"/>
  <c r="V463" i="3"/>
  <c r="V494" i="3"/>
  <c r="AE9" i="4"/>
  <c r="AE347" i="4" s="1"/>
  <c r="AE379" i="4" s="1"/>
  <c r="AE138" i="4"/>
  <c r="AE170" i="4" s="1"/>
  <c r="R354" i="3"/>
  <c r="R369" i="3"/>
  <c r="R386" i="3" s="1"/>
  <c r="T465" i="3"/>
  <c r="T496" i="3"/>
  <c r="Y460" i="3"/>
  <c r="Y491" i="3"/>
  <c r="V395" i="4"/>
  <c r="V365" i="4"/>
  <c r="AF60" i="19"/>
  <c r="AF30" i="4"/>
  <c r="AF56" i="19"/>
  <c r="AF40" i="19" s="1"/>
  <c r="AF236" i="4" s="1"/>
  <c r="AF26" i="4"/>
  <c r="Y392" i="4"/>
  <c r="Y362" i="4"/>
  <c r="Z263" i="4"/>
  <c r="Z280" i="4" s="1"/>
  <c r="Z248" i="4"/>
  <c r="AE141" i="4"/>
  <c r="AE173" i="4" s="1"/>
  <c r="AE12" i="4"/>
  <c r="AE350" i="4" s="1"/>
  <c r="AE382" i="4" s="1"/>
  <c r="AE8" i="4"/>
  <c r="AE346" i="4" s="1"/>
  <c r="AE137" i="4"/>
  <c r="AE169" i="4" s="1"/>
  <c r="AF59" i="19"/>
  <c r="AF43" i="19" s="1"/>
  <c r="AF239" i="4" s="1"/>
  <c r="AF29" i="4"/>
  <c r="AD379" i="4"/>
  <c r="AE13" i="4"/>
  <c r="AE351" i="4" s="1"/>
  <c r="AE142" i="4"/>
  <c r="AE174" i="4" s="1"/>
  <c r="AA360" i="4"/>
  <c r="AA390" i="4"/>
  <c r="Z361" i="4"/>
  <c r="Z391" i="4"/>
  <c r="Z490" i="3"/>
  <c r="Z459" i="3"/>
  <c r="W364" i="4"/>
  <c r="W394" i="4"/>
  <c r="AF57" i="19"/>
  <c r="AF41" i="19" s="1"/>
  <c r="AF237" i="4" s="1"/>
  <c r="AF27" i="4"/>
  <c r="T270" i="4"/>
  <c r="T287" i="4" s="1"/>
  <c r="T255" i="4"/>
  <c r="AF53" i="19"/>
  <c r="AF37" i="19" s="1"/>
  <c r="AF233" i="4" s="1"/>
  <c r="AF23" i="4"/>
  <c r="X393" i="4"/>
  <c r="X363" i="4"/>
  <c r="AE10" i="4"/>
  <c r="AE348" i="4" s="1"/>
  <c r="AE139" i="4"/>
  <c r="AE171" i="4" s="1"/>
  <c r="AF58" i="19"/>
  <c r="AF42" i="19" s="1"/>
  <c r="AF238" i="4" s="1"/>
  <c r="AF28" i="4"/>
  <c r="AE3" i="4"/>
  <c r="AE341" i="4" s="1"/>
  <c r="AE132" i="4"/>
  <c r="AE31" i="4"/>
  <c r="Y264" i="4"/>
  <c r="Y281" i="4" s="1"/>
  <c r="Y249" i="4"/>
  <c r="AE229" i="4"/>
  <c r="AE45" i="19"/>
  <c r="AE47" i="19" s="1"/>
  <c r="AD164" i="4"/>
  <c r="AD176" i="4" s="1"/>
  <c r="AD144" i="4"/>
  <c r="T367" i="3"/>
  <c r="T384" i="3" s="1"/>
  <c r="T352" i="3"/>
  <c r="AD380" i="4"/>
  <c r="W349" i="3"/>
  <c r="W364" i="3"/>
  <c r="W381" i="3" s="1"/>
  <c r="W462" i="3"/>
  <c r="W493" i="3"/>
  <c r="AF51" i="19"/>
  <c r="AF35" i="19" s="1"/>
  <c r="AF231" i="4" s="1"/>
  <c r="AF21" i="4"/>
  <c r="X363" i="3"/>
  <c r="X380" i="3" s="1"/>
  <c r="X348" i="3"/>
  <c r="AF49" i="19"/>
  <c r="AF33" i="19" s="1"/>
  <c r="AF19" i="4"/>
  <c r="AF54" i="19"/>
  <c r="AF38" i="19" s="1"/>
  <c r="AF234" i="4" s="1"/>
  <c r="AF24" i="4"/>
  <c r="AD15" i="4"/>
  <c r="AD352" i="4"/>
  <c r="AD384" i="4" s="1"/>
  <c r="AD374" i="4"/>
  <c r="AD358" i="4"/>
  <c r="AD373" i="4"/>
  <c r="W251" i="4"/>
  <c r="W266" i="4"/>
  <c r="W283" i="4" s="1"/>
  <c r="AD381" i="4"/>
  <c r="AG67" i="19"/>
  <c r="AG71" i="19"/>
  <c r="AG75" i="19"/>
  <c r="AG68" i="19"/>
  <c r="AG66" i="19"/>
  <c r="AG69" i="19"/>
  <c r="AG74" i="19"/>
  <c r="AG65" i="19"/>
  <c r="AG76" i="19" s="1"/>
  <c r="AG72" i="19"/>
  <c r="AG73" i="19"/>
  <c r="AG70" i="19"/>
  <c r="R467" i="3"/>
  <c r="R498" i="3"/>
  <c r="AE140" i="4"/>
  <c r="AE172" i="4" s="1"/>
  <c r="AE11" i="4"/>
  <c r="AE349" i="4" s="1"/>
  <c r="U351" i="3"/>
  <c r="U366" i="3"/>
  <c r="U383" i="3" s="1"/>
  <c r="AG23" i="19"/>
  <c r="AI4" i="19" a="1"/>
  <c r="AI4" i="19" s="1"/>
  <c r="AH3" i="19"/>
  <c r="AH77" i="19"/>
  <c r="AB360" i="4"/>
  <c r="AB390" i="4"/>
  <c r="Y347" i="3"/>
  <c r="Y362" i="3"/>
  <c r="Y379" i="3" s="1"/>
  <c r="AC144" i="4"/>
  <c r="V268" i="4"/>
  <c r="V285" i="4" s="1"/>
  <c r="V253" i="4"/>
  <c r="X265" i="4"/>
  <c r="X282" i="4" s="1"/>
  <c r="X250" i="4"/>
  <c r="S271" i="4"/>
  <c r="S288" i="4" s="1"/>
  <c r="S256" i="4"/>
  <c r="R271" i="4"/>
  <c r="R288" i="4" s="1"/>
  <c r="R256" i="4"/>
  <c r="R272" i="4" s="1"/>
  <c r="AC245" i="4"/>
  <c r="AC241" i="4"/>
  <c r="AI17" i="19" a="1"/>
  <c r="AI17" i="19" s="1"/>
  <c r="AH16" i="19"/>
  <c r="AC176" i="4"/>
  <c r="AE5" i="4"/>
  <c r="AE343" i="4" s="1"/>
  <c r="AE134" i="4"/>
  <c r="AE166" i="4" s="1"/>
  <c r="AE4" i="4"/>
  <c r="AE342" i="4" s="1"/>
  <c r="AE374" i="4" s="1"/>
  <c r="AE133" i="4"/>
  <c r="AE165" i="4" s="1"/>
  <c r="U396" i="4"/>
  <c r="U366" i="4"/>
  <c r="AD377" i="4"/>
  <c r="R369" i="4"/>
  <c r="R400" i="4" s="1"/>
  <c r="R399" i="4"/>
  <c r="AC353" i="4"/>
  <c r="AC373" i="4"/>
  <c r="AC358" i="4"/>
  <c r="AC374" i="4"/>
  <c r="X492" i="3"/>
  <c r="X461" i="3"/>
  <c r="AD383" i="4"/>
  <c r="AG60" i="19" l="1"/>
  <c r="AG44" i="19" s="1"/>
  <c r="AG240" i="4" s="1"/>
  <c r="AG30" i="4"/>
  <c r="AB262" i="4"/>
  <c r="AB279" i="4" s="1"/>
  <c r="AB247" i="4"/>
  <c r="AG52" i="19"/>
  <c r="AG36" i="19" s="1"/>
  <c r="AG232" i="4" s="1"/>
  <c r="AG22" i="4"/>
  <c r="W494" i="3"/>
  <c r="W463" i="3"/>
  <c r="Z347" i="3"/>
  <c r="Z362" i="3"/>
  <c r="Z379" i="3" s="1"/>
  <c r="AB278" i="4"/>
  <c r="AB277" i="4"/>
  <c r="Y363" i="3"/>
  <c r="Y380" i="3" s="1"/>
  <c r="Y348" i="3"/>
  <c r="AG59" i="19"/>
  <c r="AG43" i="19" s="1"/>
  <c r="AG239" i="4" s="1"/>
  <c r="AG29" i="4"/>
  <c r="T271" i="4"/>
  <c r="T288" i="4" s="1"/>
  <c r="T256" i="4"/>
  <c r="T272" i="4" s="1"/>
  <c r="Z264" i="4"/>
  <c r="Z281" i="4" s="1"/>
  <c r="Z249" i="4"/>
  <c r="AG55" i="19"/>
  <c r="AG39" i="19" s="1"/>
  <c r="AG235" i="4" s="1"/>
  <c r="AG25" i="4"/>
  <c r="W365" i="3"/>
  <c r="W382" i="3" s="1"/>
  <c r="W350" i="3"/>
  <c r="U465" i="3"/>
  <c r="U496" i="3"/>
  <c r="AB361" i="4"/>
  <c r="AB391" i="4"/>
  <c r="AG51" i="19"/>
  <c r="AG35" i="19" s="1"/>
  <c r="AG231" i="4" s="1"/>
  <c r="AG21" i="4"/>
  <c r="AF140" i="4"/>
  <c r="AF172" i="4" s="1"/>
  <c r="AF11" i="4"/>
  <c r="AF349" i="4" s="1"/>
  <c r="Y363" i="4"/>
  <c r="Y393" i="4"/>
  <c r="AF4" i="4"/>
  <c r="AF342" i="4" s="1"/>
  <c r="AF133" i="4"/>
  <c r="AF165" i="4" s="1"/>
  <c r="AF6" i="4"/>
  <c r="AF344" i="4" s="1"/>
  <c r="AF376" i="4" s="1"/>
  <c r="AF135" i="4"/>
  <c r="AF167" i="4" s="1"/>
  <c r="AE375" i="4"/>
  <c r="AH23" i="19"/>
  <c r="AF10" i="4"/>
  <c r="AF348" i="4" s="1"/>
  <c r="AF380" i="4" s="1"/>
  <c r="AF139" i="4"/>
  <c r="AF171" i="4" s="1"/>
  <c r="AJ4" i="19" a="1"/>
  <c r="AJ4" i="19" s="1"/>
  <c r="AI77" i="19"/>
  <c r="AI3" i="19"/>
  <c r="W267" i="4"/>
  <c r="W284" i="4" s="1"/>
  <c r="W252" i="4"/>
  <c r="W395" i="4"/>
  <c r="W365" i="4"/>
  <c r="U270" i="4"/>
  <c r="U287" i="4" s="1"/>
  <c r="U255" i="4"/>
  <c r="T353" i="3"/>
  <c r="T368" i="3"/>
  <c r="T385" i="3" s="1"/>
  <c r="AF61" i="19"/>
  <c r="AF44" i="19"/>
  <c r="AF240" i="4" s="1"/>
  <c r="V366" i="3"/>
  <c r="V383" i="3" s="1"/>
  <c r="V351" i="3"/>
  <c r="AE15" i="4"/>
  <c r="AE352" i="4"/>
  <c r="AE384" i="4" s="1"/>
  <c r="AD359" i="4"/>
  <c r="AD389" i="4"/>
  <c r="AJ17" i="19" a="1"/>
  <c r="AJ17" i="19" s="1"/>
  <c r="AI16" i="19"/>
  <c r="U367" i="3"/>
  <c r="U384" i="3" s="1"/>
  <c r="U352" i="3"/>
  <c r="AD353" i="4"/>
  <c r="AE241" i="4"/>
  <c r="AE245" i="4"/>
  <c r="V396" i="4"/>
  <c r="V366" i="4"/>
  <c r="T398" i="4"/>
  <c r="T368" i="4"/>
  <c r="AE381" i="4"/>
  <c r="Y265" i="4"/>
  <c r="Y282" i="4" s="1"/>
  <c r="Y250" i="4"/>
  <c r="Z392" i="4"/>
  <c r="Z362" i="4"/>
  <c r="AE376" i="4"/>
  <c r="AA391" i="4"/>
  <c r="AA361" i="4"/>
  <c r="Y492" i="3"/>
  <c r="Y461" i="3"/>
  <c r="U397" i="4"/>
  <c r="U367" i="4"/>
  <c r="AF143" i="4"/>
  <c r="AF175" i="4" s="1"/>
  <c r="AF14" i="4"/>
  <c r="AF352" i="4" s="1"/>
  <c r="AF384" i="4" s="1"/>
  <c r="X462" i="3"/>
  <c r="X493" i="3"/>
  <c r="R499" i="3"/>
  <c r="R468" i="3"/>
  <c r="R500" i="3" s="1"/>
  <c r="AF8" i="4"/>
  <c r="AF346" i="4" s="1"/>
  <c r="AF137" i="4"/>
  <c r="AF169" i="4" s="1"/>
  <c r="AE164" i="4"/>
  <c r="AE176" i="4" s="1"/>
  <c r="AE144" i="4"/>
  <c r="AF138" i="4"/>
  <c r="AF170" i="4" s="1"/>
  <c r="AF9" i="4"/>
  <c r="AF347" i="4" s="1"/>
  <c r="AF379" i="4" s="1"/>
  <c r="S369" i="4"/>
  <c r="S400" i="4" s="1"/>
  <c r="S399" i="4"/>
  <c r="AF136" i="4"/>
  <c r="AF168" i="4" s="1"/>
  <c r="AF7" i="4"/>
  <c r="AF345" i="4" s="1"/>
  <c r="AH65" i="19"/>
  <c r="AH69" i="19"/>
  <c r="AH74" i="19"/>
  <c r="AH73" i="19"/>
  <c r="AH67" i="19"/>
  <c r="AH72" i="19"/>
  <c r="AH70" i="19"/>
  <c r="AH75" i="19"/>
  <c r="AH66" i="19"/>
  <c r="AH68" i="19"/>
  <c r="AH71" i="19"/>
  <c r="AE358" i="4"/>
  <c r="AE373" i="4"/>
  <c r="AE383" i="4"/>
  <c r="T497" i="3"/>
  <c r="T466" i="3"/>
  <c r="AG50" i="19"/>
  <c r="AG34" i="19" s="1"/>
  <c r="AG230" i="4" s="1"/>
  <c r="AG20" i="4"/>
  <c r="Z491" i="3"/>
  <c r="Z460" i="3"/>
  <c r="S272" i="4"/>
  <c r="AG54" i="19"/>
  <c r="AG38" i="19" s="1"/>
  <c r="AG234" i="4" s="1"/>
  <c r="AG24" i="4"/>
  <c r="AF132" i="4"/>
  <c r="AF3" i="4"/>
  <c r="AF31" i="4"/>
  <c r="AF141" i="4"/>
  <c r="AF173" i="4" s="1"/>
  <c r="AF12" i="4"/>
  <c r="AF350" i="4" s="1"/>
  <c r="AF382" i="4" s="1"/>
  <c r="AA248" i="4"/>
  <c r="AA263" i="4"/>
  <c r="AA280" i="4" s="1"/>
  <c r="AC261" i="4"/>
  <c r="AC246" i="4"/>
  <c r="X266" i="4"/>
  <c r="X283" i="4" s="1"/>
  <c r="X251" i="4"/>
  <c r="AG57" i="19"/>
  <c r="AG41" i="19" s="1"/>
  <c r="AG237" i="4" s="1"/>
  <c r="AG27" i="4"/>
  <c r="AF229" i="4"/>
  <c r="AF45" i="19"/>
  <c r="AF47" i="19" s="1"/>
  <c r="AF13" i="4"/>
  <c r="AF351" i="4" s="1"/>
  <c r="AF142" i="4"/>
  <c r="AF174" i="4" s="1"/>
  <c r="R355" i="3"/>
  <c r="R371" i="3" s="1"/>
  <c r="R370" i="3"/>
  <c r="R387" i="3" s="1"/>
  <c r="AD241" i="4"/>
  <c r="AD245" i="4"/>
  <c r="AC359" i="4"/>
  <c r="AC389" i="4"/>
  <c r="AG56" i="19"/>
  <c r="AG40" i="19" s="1"/>
  <c r="AG236" i="4" s="1"/>
  <c r="AG26" i="4"/>
  <c r="X349" i="3"/>
  <c r="X364" i="3"/>
  <c r="X381" i="3" s="1"/>
  <c r="S354" i="3"/>
  <c r="S369" i="3"/>
  <c r="S386" i="3" s="1"/>
  <c r="AJ13" i="19" a="1"/>
  <c r="AJ13" i="19" s="1"/>
  <c r="AI12" i="19"/>
  <c r="V269" i="4"/>
  <c r="V286" i="4" s="1"/>
  <c r="V254" i="4"/>
  <c r="AG49" i="19"/>
  <c r="AG19" i="4"/>
  <c r="AE380" i="4"/>
  <c r="AG58" i="19"/>
  <c r="AG42" i="19" s="1"/>
  <c r="AG238" i="4" s="1"/>
  <c r="AG28" i="4"/>
  <c r="AF5" i="4"/>
  <c r="AF343" i="4" s="1"/>
  <c r="AF375" i="4" s="1"/>
  <c r="AF134" i="4"/>
  <c r="AF166" i="4" s="1"/>
  <c r="X394" i="4"/>
  <c r="X364" i="4"/>
  <c r="S498" i="3"/>
  <c r="S467" i="3"/>
  <c r="AG53" i="19"/>
  <c r="AG37" i="19" s="1"/>
  <c r="AG233" i="4" s="1"/>
  <c r="AG23" i="4"/>
  <c r="AE378" i="4"/>
  <c r="V464" i="3"/>
  <c r="V495" i="3"/>
  <c r="AI70" i="19" l="1"/>
  <c r="AI66" i="19"/>
  <c r="AI71" i="19"/>
  <c r="AI75" i="19"/>
  <c r="AI67" i="19"/>
  <c r="AI74" i="19"/>
  <c r="AI65" i="19"/>
  <c r="AI69" i="19"/>
  <c r="AI68" i="19"/>
  <c r="AI73" i="19"/>
  <c r="AI72" i="19"/>
  <c r="AI76" i="19" s="1"/>
  <c r="AG138" i="4"/>
  <c r="AG170" i="4" s="1"/>
  <c r="AG9" i="4"/>
  <c r="AG347" i="4" s="1"/>
  <c r="S355" i="3"/>
  <c r="S371" i="3" s="1"/>
  <c r="S370" i="3"/>
  <c r="S387" i="3" s="1"/>
  <c r="AA249" i="4"/>
  <c r="AA264" i="4"/>
  <c r="AA281" i="4" s="1"/>
  <c r="AH50" i="19"/>
  <c r="AH34" i="19" s="1"/>
  <c r="AH230" i="4" s="1"/>
  <c r="AH20" i="4"/>
  <c r="X463" i="3"/>
  <c r="X494" i="3"/>
  <c r="U368" i="3"/>
  <c r="U385" i="3" s="1"/>
  <c r="U353" i="3"/>
  <c r="AK4" i="19" a="1"/>
  <c r="AK4" i="19" s="1"/>
  <c r="AJ77" i="19"/>
  <c r="AJ3" i="19"/>
  <c r="Z250" i="4"/>
  <c r="Z265" i="4"/>
  <c r="Z282" i="4" s="1"/>
  <c r="V496" i="3"/>
  <c r="V465" i="3"/>
  <c r="AH52" i="19"/>
  <c r="AH36" i="19" s="1"/>
  <c r="AH232" i="4" s="1"/>
  <c r="AH22" i="4"/>
  <c r="AH54" i="19"/>
  <c r="AH38" i="19" s="1"/>
  <c r="AH234" i="4" s="1"/>
  <c r="AH24" i="4"/>
  <c r="AG136" i="4"/>
  <c r="AG168" i="4" s="1"/>
  <c r="AG7" i="4"/>
  <c r="AG345" i="4" s="1"/>
  <c r="AF15" i="4"/>
  <c r="AF341" i="4"/>
  <c r="AH51" i="19"/>
  <c r="AH35" i="19" s="1"/>
  <c r="AH231" i="4" s="1"/>
  <c r="AH21" i="4"/>
  <c r="AF164" i="4"/>
  <c r="AF176" i="4" s="1"/>
  <c r="AF144" i="4"/>
  <c r="AH57" i="19"/>
  <c r="AH41" i="19" s="1"/>
  <c r="AH237" i="4" s="1"/>
  <c r="AH27" i="4"/>
  <c r="Y462" i="3"/>
  <c r="Y493" i="3"/>
  <c r="AD390" i="4"/>
  <c r="AD360" i="4"/>
  <c r="AG13" i="4"/>
  <c r="AG351" i="4" s="1"/>
  <c r="AG142" i="4"/>
  <c r="AG174" i="4" s="1"/>
  <c r="AH58" i="19"/>
  <c r="AH42" i="19" s="1"/>
  <c r="AH238" i="4" s="1"/>
  <c r="AH28" i="4"/>
  <c r="AK17" i="19" a="1"/>
  <c r="AK17" i="19" s="1"/>
  <c r="AJ16" i="19"/>
  <c r="AH53" i="19"/>
  <c r="AH37" i="19" s="1"/>
  <c r="AH233" i="4" s="1"/>
  <c r="AH23" i="4"/>
  <c r="AA362" i="4"/>
  <c r="AA392" i="4"/>
  <c r="Y349" i="3"/>
  <c r="Y364" i="3"/>
  <c r="Y381" i="3" s="1"/>
  <c r="AH49" i="19"/>
  <c r="AH33" i="19" s="1"/>
  <c r="AH19" i="4"/>
  <c r="V367" i="3"/>
  <c r="V384" i="3" s="1"/>
  <c r="V352" i="3"/>
  <c r="AH59" i="19"/>
  <c r="AH43" i="19" s="1"/>
  <c r="AH239" i="4" s="1"/>
  <c r="AH29" i="4"/>
  <c r="AH56" i="19"/>
  <c r="AH40" i="19" s="1"/>
  <c r="AH236" i="4" s="1"/>
  <c r="AH26" i="4"/>
  <c r="Z461" i="3"/>
  <c r="Z492" i="3"/>
  <c r="AF377" i="4"/>
  <c r="Y364" i="4"/>
  <c r="Y394" i="4"/>
  <c r="AG133" i="4"/>
  <c r="AG165" i="4" s="1"/>
  <c r="AG4" i="4"/>
  <c r="AG342" i="4" s="1"/>
  <c r="AG374" i="4" s="1"/>
  <c r="AF381" i="4"/>
  <c r="Y251" i="4"/>
  <c r="Y266" i="4"/>
  <c r="Y283" i="4" s="1"/>
  <c r="Z348" i="3"/>
  <c r="Z363" i="3"/>
  <c r="Z380" i="3" s="1"/>
  <c r="X365" i="3"/>
  <c r="X382" i="3" s="1"/>
  <c r="X350" i="3"/>
  <c r="U398" i="4"/>
  <c r="U368" i="4"/>
  <c r="T498" i="3"/>
  <c r="T467" i="3"/>
  <c r="T369" i="3"/>
  <c r="T386" i="3" s="1"/>
  <c r="T354" i="3"/>
  <c r="AG5" i="4"/>
  <c r="AG343" i="4" s="1"/>
  <c r="AG375" i="4" s="1"/>
  <c r="AG134" i="4"/>
  <c r="AG166" i="4" s="1"/>
  <c r="W464" i="3"/>
  <c r="W495" i="3"/>
  <c r="S499" i="3"/>
  <c r="S468" i="3"/>
  <c r="S500" i="3" s="1"/>
  <c r="AF241" i="4"/>
  <c r="AF245" i="4"/>
  <c r="U256" i="4"/>
  <c r="U272" i="4" s="1"/>
  <c r="U271" i="4"/>
  <c r="U288" i="4" s="1"/>
  <c r="X365" i="4"/>
  <c r="X395" i="4"/>
  <c r="AF383" i="4"/>
  <c r="AG132" i="4"/>
  <c r="AG3" i="4"/>
  <c r="AG341" i="4" s="1"/>
  <c r="AG31" i="4"/>
  <c r="AG11" i="4"/>
  <c r="AG349" i="4" s="1"/>
  <c r="AG381" i="4" s="1"/>
  <c r="AG140" i="4"/>
  <c r="AG172" i="4" s="1"/>
  <c r="T369" i="4"/>
  <c r="T400" i="4" s="1"/>
  <c r="T399" i="4"/>
  <c r="AG135" i="4"/>
  <c r="AG167" i="4" s="1"/>
  <c r="AG6" i="4"/>
  <c r="AG344" i="4" s="1"/>
  <c r="AE353" i="4"/>
  <c r="W366" i="4"/>
  <c r="W396" i="4"/>
  <c r="AB362" i="4"/>
  <c r="AB392" i="4"/>
  <c r="AD261" i="4"/>
  <c r="AD246" i="4"/>
  <c r="V270" i="4"/>
  <c r="V287" i="4" s="1"/>
  <c r="V255" i="4"/>
  <c r="X267" i="4"/>
  <c r="X284" i="4" s="1"/>
  <c r="X252" i="4"/>
  <c r="V397" i="4"/>
  <c r="V367" i="4"/>
  <c r="AB263" i="4"/>
  <c r="AB280" i="4" s="1"/>
  <c r="AB248" i="4"/>
  <c r="Z393" i="4"/>
  <c r="Z363" i="4"/>
  <c r="AG61" i="19"/>
  <c r="AG33" i="19"/>
  <c r="AE389" i="4"/>
  <c r="AE359" i="4"/>
  <c r="AF378" i="4"/>
  <c r="W268" i="4"/>
  <c r="W285" i="4" s="1"/>
  <c r="W253" i="4"/>
  <c r="U497" i="3"/>
  <c r="U466" i="3"/>
  <c r="AG8" i="4"/>
  <c r="AG346" i="4" s="1"/>
  <c r="AG378" i="4" s="1"/>
  <c r="AG137" i="4"/>
  <c r="AG169" i="4" s="1"/>
  <c r="AG141" i="4"/>
  <c r="AG173" i="4" s="1"/>
  <c r="AG12" i="4"/>
  <c r="AG350" i="4" s="1"/>
  <c r="AC247" i="4"/>
  <c r="AC262" i="4"/>
  <c r="AC279" i="4" s="1"/>
  <c r="AH76" i="19"/>
  <c r="AE261" i="4"/>
  <c r="AE246" i="4"/>
  <c r="W366" i="3"/>
  <c r="W383" i="3" s="1"/>
  <c r="W351" i="3"/>
  <c r="AG14" i="4"/>
  <c r="AG143" i="4"/>
  <c r="AG175" i="4" s="1"/>
  <c r="AG10" i="4"/>
  <c r="AG348" i="4" s="1"/>
  <c r="AG380" i="4" s="1"/>
  <c r="AG139" i="4"/>
  <c r="AG171" i="4" s="1"/>
  <c r="AC390" i="4"/>
  <c r="AC360" i="4"/>
  <c r="AK13" i="19" a="1"/>
  <c r="AK13" i="19" s="1"/>
  <c r="AJ12" i="19"/>
  <c r="AC278" i="4"/>
  <c r="AC277" i="4"/>
  <c r="AH55" i="19"/>
  <c r="AH39" i="19" s="1"/>
  <c r="AH235" i="4" s="1"/>
  <c r="AH25" i="4"/>
  <c r="AI23" i="19"/>
  <c r="AI60" i="19" l="1"/>
  <c r="AI44" i="19" s="1"/>
  <c r="AI240" i="4" s="1"/>
  <c r="AI30" i="4"/>
  <c r="W254" i="4"/>
  <c r="W269" i="4"/>
  <c r="W286" i="4" s="1"/>
  <c r="T468" i="3"/>
  <c r="T500" i="3" s="1"/>
  <c r="T499" i="3"/>
  <c r="V353" i="3"/>
  <c r="V368" i="3"/>
  <c r="V385" i="3" s="1"/>
  <c r="X464" i="3"/>
  <c r="X495" i="3"/>
  <c r="AH4" i="4"/>
  <c r="AH342" i="4" s="1"/>
  <c r="AH133" i="4"/>
  <c r="AH165" i="4" s="1"/>
  <c r="AC391" i="4"/>
  <c r="AC361" i="4"/>
  <c r="U369" i="4"/>
  <c r="U400" i="4" s="1"/>
  <c r="U399" i="4"/>
  <c r="AH132" i="4"/>
  <c r="AH3" i="4"/>
  <c r="AH134" i="4"/>
  <c r="AH166" i="4" s="1"/>
  <c r="AH5" i="4"/>
  <c r="AH343" i="4" s="1"/>
  <c r="AH375" i="4" s="1"/>
  <c r="W367" i="4"/>
  <c r="W397" i="4"/>
  <c r="AG15" i="4"/>
  <c r="AG352" i="4"/>
  <c r="AG384" i="4" s="1"/>
  <c r="X366" i="3"/>
  <c r="X383" i="3" s="1"/>
  <c r="X351" i="3"/>
  <c r="AF374" i="4"/>
  <c r="AF353" i="4"/>
  <c r="AF373" i="4"/>
  <c r="AF358" i="4"/>
  <c r="AA265" i="4"/>
  <c r="AA282" i="4" s="1"/>
  <c r="AA250" i="4"/>
  <c r="AH229" i="4"/>
  <c r="W367" i="3"/>
  <c r="W384" i="3" s="1"/>
  <c r="W352" i="3"/>
  <c r="AB249" i="4"/>
  <c r="AB264" i="4"/>
  <c r="AB281" i="4" s="1"/>
  <c r="AG358" i="4"/>
  <c r="AG353" i="4"/>
  <c r="AG373" i="4"/>
  <c r="Y350" i="3"/>
  <c r="Y365" i="3"/>
  <c r="Y382" i="3" s="1"/>
  <c r="AG164" i="4"/>
  <c r="AG176" i="4" s="1"/>
  <c r="AG144" i="4"/>
  <c r="AG377" i="4"/>
  <c r="AH139" i="4"/>
  <c r="AH171" i="4" s="1"/>
  <c r="AH10" i="4"/>
  <c r="AH348" i="4" s="1"/>
  <c r="AH380" i="4" s="1"/>
  <c r="AE262" i="4"/>
  <c r="AE247" i="4"/>
  <c r="V398" i="4"/>
  <c r="V368" i="4"/>
  <c r="Z349" i="3"/>
  <c r="Z364" i="3"/>
  <c r="Z381" i="3" s="1"/>
  <c r="AA363" i="4"/>
  <c r="AA393" i="4"/>
  <c r="AG379" i="4"/>
  <c r="AE390" i="4"/>
  <c r="AE360" i="4"/>
  <c r="Z394" i="4"/>
  <c r="Z364" i="4"/>
  <c r="AE277" i="4"/>
  <c r="AE278" i="4"/>
  <c r="AH7" i="4"/>
  <c r="AH345" i="4" s="1"/>
  <c r="AH377" i="4" s="1"/>
  <c r="AH136" i="4"/>
  <c r="AH168" i="4" s="1"/>
  <c r="AH137" i="4"/>
  <c r="AH169" i="4" s="1"/>
  <c r="AH8" i="4"/>
  <c r="AH346" i="4" s="1"/>
  <c r="AG229" i="4"/>
  <c r="AG45" i="19"/>
  <c r="AG47" i="19" s="1"/>
  <c r="AI56" i="19"/>
  <c r="AI40" i="19" s="1"/>
  <c r="AI236" i="4" s="1"/>
  <c r="AI26" i="4"/>
  <c r="AL17" i="19" a="1"/>
  <c r="AL17" i="19" s="1"/>
  <c r="AK16" i="19"/>
  <c r="AI57" i="19"/>
  <c r="AI41" i="19" s="1"/>
  <c r="AI237" i="4" s="1"/>
  <c r="AI27" i="4"/>
  <c r="AH60" i="19"/>
  <c r="AH30" i="4"/>
  <c r="X268" i="4"/>
  <c r="X285" i="4" s="1"/>
  <c r="X253" i="4"/>
  <c r="X396" i="4"/>
  <c r="X366" i="4"/>
  <c r="AH6" i="4"/>
  <c r="AH344" i="4" s="1"/>
  <c r="AH135" i="4"/>
  <c r="AH167" i="4" s="1"/>
  <c r="AC248" i="4"/>
  <c r="AC263" i="4"/>
  <c r="AC280" i="4" s="1"/>
  <c r="V256" i="4"/>
  <c r="V272" i="4" s="1"/>
  <c r="V271" i="4"/>
  <c r="V288" i="4" s="1"/>
  <c r="AG382" i="4"/>
  <c r="AF261" i="4"/>
  <c r="AF246" i="4"/>
  <c r="AH12" i="4"/>
  <c r="AH350" i="4" s="1"/>
  <c r="AH141" i="4"/>
  <c r="AH173" i="4" s="1"/>
  <c r="V466" i="3"/>
  <c r="V497" i="3"/>
  <c r="AI52" i="19"/>
  <c r="AI36" i="19" s="1"/>
  <c r="AI232" i="4" s="1"/>
  <c r="AI22" i="4"/>
  <c r="Y267" i="4"/>
  <c r="Y284" i="4" s="1"/>
  <c r="Y252" i="4"/>
  <c r="AD247" i="4"/>
  <c r="AD262" i="4"/>
  <c r="AD279" i="4" s="1"/>
  <c r="AI53" i="19"/>
  <c r="AI37" i="19" s="1"/>
  <c r="AI233" i="4" s="1"/>
  <c r="AI23" i="4"/>
  <c r="AL13" i="19" a="1"/>
  <c r="AL13" i="19" s="1"/>
  <c r="AK12" i="19"/>
  <c r="AD278" i="4"/>
  <c r="AD277" i="4"/>
  <c r="Y395" i="4"/>
  <c r="Y365" i="4"/>
  <c r="AI49" i="19"/>
  <c r="AI19" i="4"/>
  <c r="AH9" i="4"/>
  <c r="AH347" i="4" s="1"/>
  <c r="AH379" i="4" s="1"/>
  <c r="AH138" i="4"/>
  <c r="AH170" i="4" s="1"/>
  <c r="AG383" i="4"/>
  <c r="Z266" i="4"/>
  <c r="Z283" i="4" s="1"/>
  <c r="Z251" i="4"/>
  <c r="AI58" i="19"/>
  <c r="AI42" i="19" s="1"/>
  <c r="AI238" i="4" s="1"/>
  <c r="AI28" i="4"/>
  <c r="U498" i="3"/>
  <c r="U467" i="3"/>
  <c r="AB363" i="4"/>
  <c r="AB393" i="4"/>
  <c r="AD361" i="4"/>
  <c r="AD391" i="4"/>
  <c r="AJ23" i="19"/>
  <c r="AI51" i="19"/>
  <c r="AI35" i="19" s="1"/>
  <c r="AI231" i="4" s="1"/>
  <c r="AI21" i="4"/>
  <c r="W465" i="3"/>
  <c r="W496" i="3"/>
  <c r="Z493" i="3"/>
  <c r="Z462" i="3"/>
  <c r="AJ75" i="19"/>
  <c r="AJ70" i="19"/>
  <c r="AJ68" i="19"/>
  <c r="AJ69" i="19"/>
  <c r="AJ73" i="19"/>
  <c r="AJ72" i="19"/>
  <c r="AJ76" i="19" s="1"/>
  <c r="AJ67" i="19"/>
  <c r="AJ71" i="19"/>
  <c r="AJ74" i="19"/>
  <c r="AJ65" i="19"/>
  <c r="AJ66" i="19"/>
  <c r="AI59" i="19"/>
  <c r="AI43" i="19" s="1"/>
  <c r="AI239" i="4" s="1"/>
  <c r="AI29" i="4"/>
  <c r="AL4" i="19" a="1"/>
  <c r="AL4" i="19" s="1"/>
  <c r="AK77" i="19"/>
  <c r="AK3" i="19"/>
  <c r="AK23" i="19" s="1"/>
  <c r="AI55" i="19"/>
  <c r="AI39" i="19" s="1"/>
  <c r="AI235" i="4" s="1"/>
  <c r="AI25" i="4"/>
  <c r="Y494" i="3"/>
  <c r="Y463" i="3"/>
  <c r="U369" i="3"/>
  <c r="U386" i="3" s="1"/>
  <c r="U354" i="3"/>
  <c r="AI50" i="19"/>
  <c r="AI34" i="19" s="1"/>
  <c r="AI230" i="4" s="1"/>
  <c r="AI20" i="4"/>
  <c r="AG376" i="4"/>
  <c r="T355" i="3"/>
  <c r="T371" i="3" s="1"/>
  <c r="T370" i="3"/>
  <c r="T387" i="3" s="1"/>
  <c r="AH142" i="4"/>
  <c r="AH174" i="4" s="1"/>
  <c r="AH13" i="4"/>
  <c r="AH351" i="4" s="1"/>
  <c r="AH383" i="4" s="1"/>
  <c r="AH11" i="4"/>
  <c r="AH349" i="4" s="1"/>
  <c r="AH381" i="4" s="1"/>
  <c r="AH140" i="4"/>
  <c r="AH172" i="4" s="1"/>
  <c r="AI54" i="19"/>
  <c r="AI38" i="19" s="1"/>
  <c r="AI234" i="4" s="1"/>
  <c r="AI24" i="4"/>
  <c r="AJ60" i="19" l="1"/>
  <c r="AJ30" i="4"/>
  <c r="Y351" i="3"/>
  <c r="Y366" i="3"/>
  <c r="Y383" i="3" s="1"/>
  <c r="AH14" i="4"/>
  <c r="AH352" i="4" s="1"/>
  <c r="AH384" i="4" s="1"/>
  <c r="AH143" i="4"/>
  <c r="AH175" i="4" s="1"/>
  <c r="W368" i="4"/>
  <c r="W398" i="4"/>
  <c r="Y464" i="3"/>
  <c r="Y495" i="3"/>
  <c r="AC264" i="4"/>
  <c r="AC281" i="4" s="1"/>
  <c r="AC249" i="4"/>
  <c r="AH15" i="4"/>
  <c r="AH341" i="4"/>
  <c r="Z463" i="3"/>
  <c r="Z494" i="3"/>
  <c r="Y396" i="4"/>
  <c r="Y366" i="4"/>
  <c r="AI9" i="4"/>
  <c r="AI347" i="4" s="1"/>
  <c r="AI379" i="4" s="1"/>
  <c r="AI138" i="4"/>
  <c r="AI170" i="4" s="1"/>
  <c r="W466" i="3"/>
  <c r="W497" i="3"/>
  <c r="Z395" i="4"/>
  <c r="Z365" i="4"/>
  <c r="AG389" i="4"/>
  <c r="AG359" i="4"/>
  <c r="AH164" i="4"/>
  <c r="AH176" i="4" s="1"/>
  <c r="AH144" i="4"/>
  <c r="AD248" i="4"/>
  <c r="AD263" i="4"/>
  <c r="AD280" i="4" s="1"/>
  <c r="AI5" i="4"/>
  <c r="AI343" i="4" s="1"/>
  <c r="AI134" i="4"/>
  <c r="AI166" i="4" s="1"/>
  <c r="AH376" i="4"/>
  <c r="AH31" i="4"/>
  <c r="AI137" i="4"/>
  <c r="AI169" i="4" s="1"/>
  <c r="AI8" i="4"/>
  <c r="AI346" i="4" s="1"/>
  <c r="U370" i="3"/>
  <c r="U387" i="3" s="1"/>
  <c r="U355" i="3"/>
  <c r="U371" i="3" s="1"/>
  <c r="AM13" i="19" a="1"/>
  <c r="AM13" i="19" s="1"/>
  <c r="AL12" i="19"/>
  <c r="X397" i="4"/>
  <c r="X367" i="4"/>
  <c r="AE361" i="4"/>
  <c r="AE391" i="4"/>
  <c r="AB250" i="4"/>
  <c r="AB265" i="4"/>
  <c r="AB282" i="4" s="1"/>
  <c r="AJ59" i="19"/>
  <c r="AJ43" i="19" s="1"/>
  <c r="AJ239" i="4" s="1"/>
  <c r="AJ29" i="4"/>
  <c r="AI61" i="19"/>
  <c r="AI33" i="19"/>
  <c r="AK72" i="19"/>
  <c r="AK73" i="19"/>
  <c r="AK67" i="19"/>
  <c r="AK66" i="19"/>
  <c r="AK69" i="19"/>
  <c r="AK70" i="19"/>
  <c r="AK68" i="19"/>
  <c r="AK71" i="19"/>
  <c r="AK65" i="19"/>
  <c r="AK74" i="19"/>
  <c r="AK75" i="19"/>
  <c r="AI7" i="4"/>
  <c r="AI345" i="4" s="1"/>
  <c r="AI377" i="4" s="1"/>
  <c r="AI136" i="4"/>
  <c r="AI168" i="4" s="1"/>
  <c r="W353" i="3"/>
  <c r="W368" i="3"/>
  <c r="W385" i="3" s="1"/>
  <c r="AM4" i="19" a="1"/>
  <c r="AM4" i="19" s="1"/>
  <c r="AL77" i="19"/>
  <c r="AL3" i="19"/>
  <c r="X269" i="4"/>
  <c r="X286" i="4" s="1"/>
  <c r="X254" i="4"/>
  <c r="AC392" i="4"/>
  <c r="AC362" i="4"/>
  <c r="AI13" i="4"/>
  <c r="AI351" i="4" s="1"/>
  <c r="AI142" i="4"/>
  <c r="AI174" i="4" s="1"/>
  <c r="AD392" i="4"/>
  <c r="AD362" i="4"/>
  <c r="Y253" i="4"/>
  <c r="Y268" i="4"/>
  <c r="Y285" i="4" s="1"/>
  <c r="AH61" i="19"/>
  <c r="AH44" i="19"/>
  <c r="AA266" i="4"/>
  <c r="AA283" i="4" s="1"/>
  <c r="AA251" i="4"/>
  <c r="AB364" i="4"/>
  <c r="AB394" i="4"/>
  <c r="AJ50" i="19"/>
  <c r="AJ34" i="19" s="1"/>
  <c r="AJ230" i="4" s="1"/>
  <c r="AJ20" i="4"/>
  <c r="U499" i="3"/>
  <c r="U468" i="3"/>
  <c r="U500" i="3" s="1"/>
  <c r="AI140" i="4"/>
  <c r="AI172" i="4" s="1"/>
  <c r="AI11" i="4"/>
  <c r="AI349" i="4" s="1"/>
  <c r="Z350" i="3"/>
  <c r="Z365" i="3"/>
  <c r="Z382" i="3" s="1"/>
  <c r="V369" i="4"/>
  <c r="V400" i="4" s="1"/>
  <c r="V399" i="4"/>
  <c r="AF389" i="4"/>
  <c r="AF359" i="4"/>
  <c r="X465" i="3"/>
  <c r="X496" i="3"/>
  <c r="AA364" i="4"/>
  <c r="AA394" i="4"/>
  <c r="AJ49" i="19"/>
  <c r="AJ33" i="19" s="1"/>
  <c r="AJ19" i="4"/>
  <c r="AI6" i="4"/>
  <c r="AI344" i="4" s="1"/>
  <c r="AI376" i="4" s="1"/>
  <c r="AI135" i="4"/>
  <c r="AI167" i="4" s="1"/>
  <c r="AJ58" i="19"/>
  <c r="AJ42" i="19" s="1"/>
  <c r="AJ238" i="4" s="1"/>
  <c r="AJ28" i="4"/>
  <c r="AI12" i="4"/>
  <c r="AI350" i="4" s="1"/>
  <c r="AI382" i="4" s="1"/>
  <c r="AI141" i="4"/>
  <c r="AI173" i="4" s="1"/>
  <c r="AM17" i="19" a="1"/>
  <c r="AM17" i="19" s="1"/>
  <c r="AL16" i="19"/>
  <c r="AE263" i="4"/>
  <c r="AE248" i="4"/>
  <c r="V369" i="3"/>
  <c r="V386" i="3" s="1"/>
  <c r="V354" i="3"/>
  <c r="AJ51" i="19"/>
  <c r="AJ35" i="19" s="1"/>
  <c r="AJ231" i="4" s="1"/>
  <c r="AJ21" i="4"/>
  <c r="Z267" i="4"/>
  <c r="Z284" i="4" s="1"/>
  <c r="Z252" i="4"/>
  <c r="V467" i="3"/>
  <c r="V498" i="3"/>
  <c r="AI10" i="4"/>
  <c r="AI348" i="4" s="1"/>
  <c r="AI380" i="4" s="1"/>
  <c r="AI139" i="4"/>
  <c r="AI171" i="4" s="1"/>
  <c r="AE279" i="4"/>
  <c r="X367" i="3"/>
  <c r="X384" i="3" s="1"/>
  <c r="X352" i="3"/>
  <c r="AJ55" i="19"/>
  <c r="AJ39" i="19" s="1"/>
  <c r="AJ235" i="4" s="1"/>
  <c r="AJ25" i="4"/>
  <c r="AJ57" i="19"/>
  <c r="AJ41" i="19" s="1"/>
  <c r="AJ237" i="4" s="1"/>
  <c r="AJ27" i="4"/>
  <c r="AJ53" i="19"/>
  <c r="AJ37" i="19" s="1"/>
  <c r="AJ233" i="4" s="1"/>
  <c r="AJ23" i="4"/>
  <c r="AF247" i="4"/>
  <c r="AF262" i="4"/>
  <c r="AF279" i="4" s="1"/>
  <c r="AG245" i="4"/>
  <c r="AG241" i="4"/>
  <c r="W270" i="4"/>
  <c r="W287" i="4" s="1"/>
  <c r="W255" i="4"/>
  <c r="AJ56" i="19"/>
  <c r="AJ40" i="19" s="1"/>
  <c r="AJ236" i="4" s="1"/>
  <c r="AJ26" i="4"/>
  <c r="AH382" i="4"/>
  <c r="AI4" i="4"/>
  <c r="AI342" i="4" s="1"/>
  <c r="AI133" i="4"/>
  <c r="AI165" i="4" s="1"/>
  <c r="AJ52" i="19"/>
  <c r="AJ36" i="19" s="1"/>
  <c r="AJ232" i="4" s="1"/>
  <c r="AJ22" i="4"/>
  <c r="AF277" i="4"/>
  <c r="AF278" i="4"/>
  <c r="AH378" i="4"/>
  <c r="AI14" i="4"/>
  <c r="AI352" i="4" s="1"/>
  <c r="AI384" i="4" s="1"/>
  <c r="AI143" i="4"/>
  <c r="AI175" i="4" s="1"/>
  <c r="AH245" i="4"/>
  <c r="AJ54" i="19"/>
  <c r="AJ38" i="19" s="1"/>
  <c r="AJ234" i="4" s="1"/>
  <c r="AJ24" i="4"/>
  <c r="AI31" i="4"/>
  <c r="AI132" i="4"/>
  <c r="AI3" i="4"/>
  <c r="AF263" i="4" l="1"/>
  <c r="AF280" i="4" s="1"/>
  <c r="AF248" i="4"/>
  <c r="AN4" i="19" a="1"/>
  <c r="AN4" i="19" s="1"/>
  <c r="AM77" i="19"/>
  <c r="AM3" i="19"/>
  <c r="AN17" i="19" a="1"/>
  <c r="AN17" i="19" s="1"/>
  <c r="AM16" i="19"/>
  <c r="AE392" i="4"/>
  <c r="AE362" i="4"/>
  <c r="W498" i="3"/>
  <c r="W467" i="3"/>
  <c r="AJ4" i="4"/>
  <c r="AJ342" i="4" s="1"/>
  <c r="AJ133" i="4"/>
  <c r="AJ165" i="4" s="1"/>
  <c r="W354" i="3"/>
  <c r="W369" i="3"/>
  <c r="W386" i="3" s="1"/>
  <c r="X398" i="4"/>
  <c r="X368" i="4"/>
  <c r="AJ7" i="4"/>
  <c r="AJ345" i="4" s="1"/>
  <c r="AJ136" i="4"/>
  <c r="AJ168" i="4" s="1"/>
  <c r="AJ140" i="4"/>
  <c r="AJ172" i="4" s="1"/>
  <c r="AJ11" i="4"/>
  <c r="AJ349" i="4" s="1"/>
  <c r="AJ381" i="4" s="1"/>
  <c r="AB365" i="4"/>
  <c r="AB395" i="4"/>
  <c r="AK59" i="19"/>
  <c r="AK43" i="19" s="1"/>
  <c r="AK239" i="4" s="1"/>
  <c r="AK29" i="4"/>
  <c r="AN13" i="19" a="1"/>
  <c r="AN13" i="19" s="1"/>
  <c r="AM12" i="19"/>
  <c r="AA267" i="4"/>
  <c r="AA284" i="4" s="1"/>
  <c r="AA252" i="4"/>
  <c r="AK58" i="19"/>
  <c r="AK42" i="19" s="1"/>
  <c r="AK238" i="4" s="1"/>
  <c r="AK28" i="4"/>
  <c r="X368" i="3"/>
  <c r="X385" i="3" s="1"/>
  <c r="X353" i="3"/>
  <c r="AK49" i="19"/>
  <c r="AK19" i="4"/>
  <c r="Z464" i="3"/>
  <c r="Z495" i="3"/>
  <c r="AJ132" i="4"/>
  <c r="AJ3" i="4"/>
  <c r="AJ341" i="4" s="1"/>
  <c r="AH240" i="4"/>
  <c r="AH241" i="4" s="1"/>
  <c r="AH45" i="19"/>
  <c r="AH47" i="19" s="1"/>
  <c r="AK55" i="19"/>
  <c r="AK39" i="19" s="1"/>
  <c r="AK235" i="4" s="1"/>
  <c r="AK25" i="4"/>
  <c r="AI378" i="4"/>
  <c r="AH374" i="4"/>
  <c r="AH353" i="4"/>
  <c r="AH358" i="4"/>
  <c r="AH373" i="4"/>
  <c r="AJ229" i="4"/>
  <c r="AJ45" i="19"/>
  <c r="AK76" i="19"/>
  <c r="AK52" i="19"/>
  <c r="AK36" i="19" s="1"/>
  <c r="AK232" i="4" s="1"/>
  <c r="AK22" i="4"/>
  <c r="AK54" i="19"/>
  <c r="AK38" i="19" s="1"/>
  <c r="AK234" i="4" s="1"/>
  <c r="AK24" i="4"/>
  <c r="AC265" i="4"/>
  <c r="AC282" i="4" s="1"/>
  <c r="AC250" i="4"/>
  <c r="Y367" i="4"/>
  <c r="Y397" i="4"/>
  <c r="AA365" i="4"/>
  <c r="AA395" i="4"/>
  <c r="Y269" i="4"/>
  <c r="Y286" i="4" s="1"/>
  <c r="Y254" i="4"/>
  <c r="AK53" i="19"/>
  <c r="AK37" i="19" s="1"/>
  <c r="AK233" i="4" s="1"/>
  <c r="AK23" i="4"/>
  <c r="AD363" i="4"/>
  <c r="AD393" i="4"/>
  <c r="AK50" i="19"/>
  <c r="AK34" i="19" s="1"/>
  <c r="AK230" i="4" s="1"/>
  <c r="AK20" i="4"/>
  <c r="AJ6" i="4"/>
  <c r="AJ344" i="4" s="1"/>
  <c r="AJ376" i="4" s="1"/>
  <c r="AJ135" i="4"/>
  <c r="AJ167" i="4" s="1"/>
  <c r="AK51" i="19"/>
  <c r="AK35" i="19" s="1"/>
  <c r="AK231" i="4" s="1"/>
  <c r="AK21" i="4"/>
  <c r="AI375" i="4"/>
  <c r="Y496" i="3"/>
  <c r="Y465" i="3"/>
  <c r="AH261" i="4"/>
  <c r="AH246" i="4"/>
  <c r="Z253" i="4"/>
  <c r="Z268" i="4"/>
  <c r="Z285" i="4" s="1"/>
  <c r="AK57" i="19"/>
  <c r="AK41" i="19" s="1"/>
  <c r="AK237" i="4" s="1"/>
  <c r="AK27" i="4"/>
  <c r="AJ10" i="4"/>
  <c r="AJ348" i="4" s="1"/>
  <c r="AJ139" i="4"/>
  <c r="AJ171" i="4" s="1"/>
  <c r="AI383" i="4"/>
  <c r="AK56" i="19"/>
  <c r="AK40" i="19" s="1"/>
  <c r="AK236" i="4" s="1"/>
  <c r="AK26" i="4"/>
  <c r="AD249" i="4"/>
  <c r="AD264" i="4"/>
  <c r="AD281" i="4" s="1"/>
  <c r="W369" i="4"/>
  <c r="W400" i="4" s="1"/>
  <c r="W399" i="4"/>
  <c r="AJ137" i="4"/>
  <c r="AJ169" i="4" s="1"/>
  <c r="AJ8" i="4"/>
  <c r="AJ346" i="4" s="1"/>
  <c r="AJ9" i="4"/>
  <c r="AJ347" i="4" s="1"/>
  <c r="AJ379" i="4" s="1"/>
  <c r="AJ138" i="4"/>
  <c r="AJ170" i="4" s="1"/>
  <c r="V468" i="3"/>
  <c r="V500" i="3" s="1"/>
  <c r="V499" i="3"/>
  <c r="AF360" i="4"/>
  <c r="AF390" i="4"/>
  <c r="AJ134" i="4"/>
  <c r="AJ166" i="4" s="1"/>
  <c r="AJ5" i="4"/>
  <c r="AJ343" i="4" s="1"/>
  <c r="AJ375" i="4" s="1"/>
  <c r="AC393" i="4"/>
  <c r="AC363" i="4"/>
  <c r="AI229" i="4"/>
  <c r="AI45" i="19"/>
  <c r="V355" i="3"/>
  <c r="V371" i="3" s="1"/>
  <c r="V370" i="3"/>
  <c r="V387" i="3" s="1"/>
  <c r="X270" i="4"/>
  <c r="X287" i="4" s="1"/>
  <c r="X255" i="4"/>
  <c r="AJ13" i="4"/>
  <c r="AJ351" i="4" s="1"/>
  <c r="AJ142" i="4"/>
  <c r="AJ174" i="4" s="1"/>
  <c r="AG390" i="4"/>
  <c r="AG360" i="4"/>
  <c r="AJ12" i="4"/>
  <c r="AJ350" i="4" s="1"/>
  <c r="AJ382" i="4" s="1"/>
  <c r="AJ141" i="4"/>
  <c r="AJ173" i="4" s="1"/>
  <c r="Z366" i="3"/>
  <c r="Z383" i="3" s="1"/>
  <c r="Z351" i="3"/>
  <c r="Y367" i="3"/>
  <c r="Y384" i="3" s="1"/>
  <c r="Y352" i="3"/>
  <c r="AI15" i="4"/>
  <c r="AI341" i="4"/>
  <c r="AG261" i="4"/>
  <c r="AG246" i="4"/>
  <c r="AE249" i="4"/>
  <c r="AE264" i="4"/>
  <c r="AE281" i="4" s="1"/>
  <c r="AI381" i="4"/>
  <c r="AL23" i="19"/>
  <c r="Z366" i="4"/>
  <c r="Z396" i="4"/>
  <c r="AJ31" i="4"/>
  <c r="AJ14" i="4"/>
  <c r="AJ143" i="4"/>
  <c r="AJ175" i="4" s="1"/>
  <c r="X497" i="3"/>
  <c r="X466" i="3"/>
  <c r="W271" i="4"/>
  <c r="W288" i="4" s="1"/>
  <c r="W256" i="4"/>
  <c r="W272" i="4" s="1"/>
  <c r="AI164" i="4"/>
  <c r="AI176" i="4" s="1"/>
  <c r="AI144" i="4"/>
  <c r="AE280" i="4"/>
  <c r="AL69" i="19"/>
  <c r="AL65" i="19"/>
  <c r="AL76" i="19" s="1"/>
  <c r="AL74" i="19"/>
  <c r="AL66" i="19"/>
  <c r="AL73" i="19"/>
  <c r="AL68" i="19"/>
  <c r="AL72" i="19"/>
  <c r="AL67" i="19"/>
  <c r="AL75" i="19"/>
  <c r="AL70" i="19"/>
  <c r="AL71" i="19"/>
  <c r="AB251" i="4"/>
  <c r="AB266" i="4"/>
  <c r="AB283" i="4" s="1"/>
  <c r="AJ61" i="19"/>
  <c r="AJ44" i="19"/>
  <c r="AJ240" i="4" s="1"/>
  <c r="AL60" i="19" l="1"/>
  <c r="AL30" i="4"/>
  <c r="AH277" i="4"/>
  <c r="AH278" i="4"/>
  <c r="AJ383" i="4"/>
  <c r="AD265" i="4"/>
  <c r="AD282" i="4" s="1"/>
  <c r="AD250" i="4"/>
  <c r="AD364" i="4"/>
  <c r="AD394" i="4"/>
  <c r="AB396" i="4"/>
  <c r="AB366" i="4"/>
  <c r="AJ15" i="4"/>
  <c r="AJ352" i="4"/>
  <c r="AJ384" i="4" s="1"/>
  <c r="X271" i="4"/>
  <c r="X288" i="4" s="1"/>
  <c r="X256" i="4"/>
  <c r="X272" i="4" s="1"/>
  <c r="AK10" i="4"/>
  <c r="AK348" i="4" s="1"/>
  <c r="AK139" i="4"/>
  <c r="AK171" i="4" s="1"/>
  <c r="AK9" i="4"/>
  <c r="AK347" i="4" s="1"/>
  <c r="AK379" i="4" s="1"/>
  <c r="AK138" i="4"/>
  <c r="AK170" i="4" s="1"/>
  <c r="Y255" i="4"/>
  <c r="Y270" i="4"/>
  <c r="Y287" i="4" s="1"/>
  <c r="X498" i="3"/>
  <c r="X467" i="3"/>
  <c r="AK7" i="4"/>
  <c r="AK345" i="4" s="1"/>
  <c r="AK136" i="4"/>
  <c r="AK168" i="4" s="1"/>
  <c r="Z367" i="4"/>
  <c r="Z397" i="4"/>
  <c r="AJ377" i="4"/>
  <c r="AL55" i="19"/>
  <c r="AL39" i="19" s="1"/>
  <c r="AL235" i="4" s="1"/>
  <c r="AL25" i="4"/>
  <c r="AL54" i="19"/>
  <c r="AL38" i="19" s="1"/>
  <c r="AL234" i="4" s="1"/>
  <c r="AL24" i="4"/>
  <c r="AI47" i="19"/>
  <c r="AJ380" i="4"/>
  <c r="AJ353" i="4"/>
  <c r="AJ373" i="4"/>
  <c r="AJ358" i="4"/>
  <c r="X369" i="4"/>
  <c r="X400" i="4" s="1"/>
  <c r="X399" i="4"/>
  <c r="AB267" i="4"/>
  <c r="AB284" i="4" s="1"/>
  <c r="AB252" i="4"/>
  <c r="AL59" i="19"/>
  <c r="AL43" i="19" s="1"/>
  <c r="AL239" i="4" s="1"/>
  <c r="AL29" i="4"/>
  <c r="AI241" i="4"/>
  <c r="AI245" i="4"/>
  <c r="AK11" i="4"/>
  <c r="AK349" i="4" s="1"/>
  <c r="AK140" i="4"/>
  <c r="AK172" i="4" s="1"/>
  <c r="AA396" i="4"/>
  <c r="AA366" i="4"/>
  <c r="AJ144" i="4"/>
  <c r="AJ164" i="4"/>
  <c r="AJ176" i="4" s="1"/>
  <c r="AL56" i="19"/>
  <c r="AL40" i="19" s="1"/>
  <c r="AL236" i="4" s="1"/>
  <c r="AL26" i="4"/>
  <c r="AE250" i="4"/>
  <c r="AE265" i="4"/>
  <c r="AE282" i="4" s="1"/>
  <c r="Y368" i="4"/>
  <c r="Y398" i="4"/>
  <c r="Z465" i="3"/>
  <c r="Z496" i="3"/>
  <c r="W370" i="3"/>
  <c r="W387" i="3" s="1"/>
  <c r="W355" i="3"/>
  <c r="W371" i="3" s="1"/>
  <c r="AL51" i="19"/>
  <c r="AL35" i="19" s="1"/>
  <c r="AL231" i="4" s="1"/>
  <c r="AL21" i="4"/>
  <c r="AC394" i="4"/>
  <c r="AC364" i="4"/>
  <c r="AL52" i="19"/>
  <c r="AL36" i="19" s="1"/>
  <c r="AL232" i="4" s="1"/>
  <c r="AL22" i="4"/>
  <c r="AG262" i="4"/>
  <c r="AG279" i="4" s="1"/>
  <c r="AG247" i="4"/>
  <c r="Z269" i="4"/>
  <c r="Z286" i="4" s="1"/>
  <c r="Z254" i="4"/>
  <c r="AC266" i="4"/>
  <c r="AC283" i="4" s="1"/>
  <c r="AC251" i="4"/>
  <c r="AK132" i="4"/>
  <c r="AK3" i="4"/>
  <c r="AL50" i="19"/>
  <c r="AL34" i="19" s="1"/>
  <c r="AL230" i="4" s="1"/>
  <c r="AL20" i="4"/>
  <c r="AL57" i="19"/>
  <c r="AL41" i="19" s="1"/>
  <c r="AL237" i="4" s="1"/>
  <c r="AL27" i="4"/>
  <c r="AG277" i="4"/>
  <c r="AG278" i="4"/>
  <c r="AH247" i="4"/>
  <c r="AH262" i="4"/>
  <c r="AH279" i="4" s="1"/>
  <c r="AK61" i="19"/>
  <c r="AK33" i="19"/>
  <c r="AJ374" i="4"/>
  <c r="W499" i="3"/>
  <c r="W468" i="3"/>
  <c r="W500" i="3" s="1"/>
  <c r="AK137" i="4"/>
  <c r="AK169" i="4" s="1"/>
  <c r="AK8" i="4"/>
  <c r="AK346" i="4" s="1"/>
  <c r="AK378" i="4" s="1"/>
  <c r="AL58" i="19"/>
  <c r="AL42" i="19" s="1"/>
  <c r="AL238" i="4" s="1"/>
  <c r="AL28" i="4"/>
  <c r="AF361" i="4"/>
  <c r="AF391" i="4"/>
  <c r="Y497" i="3"/>
  <c r="Y466" i="3"/>
  <c r="AL49" i="19"/>
  <c r="AL33" i="19" s="1"/>
  <c r="AL19" i="4"/>
  <c r="Y368" i="3"/>
  <c r="Y385" i="3" s="1"/>
  <c r="Y353" i="3"/>
  <c r="AK6" i="4"/>
  <c r="AK344" i="4" s="1"/>
  <c r="AK376" i="4" s="1"/>
  <c r="AK135" i="4"/>
  <c r="AK167" i="4" s="1"/>
  <c r="AK12" i="4"/>
  <c r="AK350" i="4" s="1"/>
  <c r="AK382" i="4" s="1"/>
  <c r="AK141" i="4"/>
  <c r="AK173" i="4" s="1"/>
  <c r="AE393" i="4"/>
  <c r="AE363" i="4"/>
  <c r="X369" i="3"/>
  <c r="X386" i="3" s="1"/>
  <c r="X354" i="3"/>
  <c r="AL53" i="19"/>
  <c r="AL37" i="19" s="1"/>
  <c r="AL233" i="4" s="1"/>
  <c r="AL23" i="4"/>
  <c r="Z352" i="3"/>
  <c r="Z367" i="3"/>
  <c r="Z384" i="3" s="1"/>
  <c r="AK134" i="4"/>
  <c r="AK166" i="4" s="1"/>
  <c r="AK5" i="4"/>
  <c r="AK343" i="4" s="1"/>
  <c r="AK60" i="19"/>
  <c r="AK44" i="19" s="1"/>
  <c r="AK240" i="4" s="1"/>
  <c r="AK30" i="4"/>
  <c r="AK31" i="4" s="1"/>
  <c r="AA268" i="4"/>
  <c r="AA285" i="4" s="1"/>
  <c r="AA253" i="4"/>
  <c r="AJ47" i="19"/>
  <c r="AO17" i="19" a="1"/>
  <c r="AO17" i="19" s="1"/>
  <c r="AN16" i="19"/>
  <c r="AI374" i="4"/>
  <c r="AI358" i="4"/>
  <c r="AI353" i="4"/>
  <c r="AI373" i="4"/>
  <c r="AJ378" i="4"/>
  <c r="AJ241" i="4"/>
  <c r="AJ245" i="4"/>
  <c r="AM23" i="19"/>
  <c r="AO13" i="19" a="1"/>
  <c r="AO13" i="19" s="1"/>
  <c r="AN12" i="19"/>
  <c r="AM69" i="19"/>
  <c r="AM70" i="19"/>
  <c r="AM66" i="19"/>
  <c r="AM71" i="19"/>
  <c r="AM75" i="19"/>
  <c r="AM73" i="19"/>
  <c r="AM68" i="19"/>
  <c r="AM65" i="19"/>
  <c r="AM72" i="19"/>
  <c r="AM74" i="19"/>
  <c r="AM67" i="19"/>
  <c r="AG391" i="4"/>
  <c r="AG361" i="4"/>
  <c r="AK4" i="4"/>
  <c r="AK342" i="4" s="1"/>
  <c r="AK133" i="4"/>
  <c r="AK165" i="4" s="1"/>
  <c r="AH359" i="4"/>
  <c r="AH389" i="4"/>
  <c r="AK13" i="4"/>
  <c r="AK351" i="4" s="1"/>
  <c r="AK383" i="4" s="1"/>
  <c r="AK142" i="4"/>
  <c r="AK174" i="4" s="1"/>
  <c r="AO4" i="19" a="1"/>
  <c r="AO4" i="19" s="1"/>
  <c r="AN3" i="19"/>
  <c r="AN77" i="19"/>
  <c r="AF249" i="4"/>
  <c r="AF264" i="4"/>
  <c r="AF281" i="4" s="1"/>
  <c r="AP4" i="19" l="1" a="1"/>
  <c r="AP4" i="19" s="1"/>
  <c r="AO77" i="19"/>
  <c r="AO3" i="19"/>
  <c r="AP13" i="19" a="1"/>
  <c r="AP13" i="19" s="1"/>
  <c r="AO12" i="19"/>
  <c r="X355" i="3"/>
  <c r="X371" i="3" s="1"/>
  <c r="X370" i="3"/>
  <c r="X387" i="3" s="1"/>
  <c r="AC365" i="4"/>
  <c r="AC395" i="4"/>
  <c r="AL13" i="4"/>
  <c r="AL351" i="4" s="1"/>
  <c r="AL142" i="4"/>
  <c r="AL174" i="4" s="1"/>
  <c r="Y271" i="4"/>
  <c r="Y288" i="4" s="1"/>
  <c r="Y256" i="4"/>
  <c r="Y272" i="4" s="1"/>
  <c r="AL5" i="4"/>
  <c r="AL343" i="4" s="1"/>
  <c r="AL134" i="4"/>
  <c r="AL166" i="4" s="1"/>
  <c r="AB253" i="4"/>
  <c r="AB268" i="4"/>
  <c r="AB285" i="4" s="1"/>
  <c r="AK229" i="4"/>
  <c r="AK45" i="19"/>
  <c r="AK47" i="19" s="1"/>
  <c r="AN23" i="19"/>
  <c r="AJ261" i="4"/>
  <c r="AJ246" i="4"/>
  <c r="AE394" i="4"/>
  <c r="AE364" i="4"/>
  <c r="AH390" i="4"/>
  <c r="AH360" i="4"/>
  <c r="AH263" i="4"/>
  <c r="AH248" i="4"/>
  <c r="AK380" i="4"/>
  <c r="AJ389" i="4"/>
  <c r="AJ359" i="4"/>
  <c r="AG392" i="4"/>
  <c r="AG362" i="4"/>
  <c r="AI389" i="4"/>
  <c r="AI359" i="4"/>
  <c r="AL11" i="4"/>
  <c r="AL349" i="4" s="1"/>
  <c r="AL140" i="4"/>
  <c r="AL172" i="4" s="1"/>
  <c r="Z497" i="3"/>
  <c r="Z466" i="3"/>
  <c r="Y369" i="3"/>
  <c r="Y386" i="3" s="1"/>
  <c r="Y354" i="3"/>
  <c r="AL4" i="4"/>
  <c r="AL342" i="4" s="1"/>
  <c r="AL133" i="4"/>
  <c r="AL165" i="4" s="1"/>
  <c r="Y399" i="4"/>
  <c r="Y369" i="4"/>
  <c r="Y400" i="4" s="1"/>
  <c r="AB397" i="4"/>
  <c r="AB367" i="4"/>
  <c r="AM58" i="19"/>
  <c r="AM42" i="19" s="1"/>
  <c r="AM238" i="4" s="1"/>
  <c r="AM28" i="4"/>
  <c r="AL229" i="4"/>
  <c r="AK341" i="4"/>
  <c r="AE251" i="4"/>
  <c r="AE266" i="4"/>
  <c r="AL8" i="4"/>
  <c r="AL346" i="4" s="1"/>
  <c r="AL137" i="4"/>
  <c r="AL169" i="4" s="1"/>
  <c r="AM56" i="19"/>
  <c r="AM40" i="19" s="1"/>
  <c r="AM236" i="4" s="1"/>
  <c r="AM26" i="4"/>
  <c r="Y498" i="3"/>
  <c r="Y467" i="3"/>
  <c r="AK164" i="4"/>
  <c r="AK176" i="4" s="1"/>
  <c r="AK144" i="4"/>
  <c r="AL10" i="4"/>
  <c r="AL348" i="4" s="1"/>
  <c r="AL380" i="4" s="1"/>
  <c r="AL139" i="4"/>
  <c r="AL171" i="4" s="1"/>
  <c r="AM49" i="19"/>
  <c r="AM19" i="4"/>
  <c r="AL138" i="4"/>
  <c r="AL170" i="4" s="1"/>
  <c r="AL9" i="4"/>
  <c r="AL347" i="4" s="1"/>
  <c r="AD365" i="4"/>
  <c r="AD395" i="4"/>
  <c r="AM52" i="19"/>
  <c r="AM36" i="19" s="1"/>
  <c r="AM232" i="4" s="1"/>
  <c r="AM22" i="4"/>
  <c r="AK143" i="4"/>
  <c r="AK175" i="4" s="1"/>
  <c r="AK14" i="4"/>
  <c r="AK352" i="4" s="1"/>
  <c r="AK384" i="4" s="1"/>
  <c r="AC267" i="4"/>
  <c r="AC284" i="4" s="1"/>
  <c r="AC252" i="4"/>
  <c r="AD251" i="4"/>
  <c r="AD266" i="4"/>
  <c r="AD283" i="4" s="1"/>
  <c r="AP17" i="19" a="1"/>
  <c r="AP17" i="19" s="1"/>
  <c r="AP16" i="19" s="1"/>
  <c r="AO16" i="19"/>
  <c r="AM57" i="19"/>
  <c r="AM41" i="19" s="1"/>
  <c r="AM237" i="4" s="1"/>
  <c r="AM27" i="4"/>
  <c r="AF392" i="4"/>
  <c r="AF362" i="4"/>
  <c r="AL3" i="4"/>
  <c r="AL341" i="4" s="1"/>
  <c r="AL132" i="4"/>
  <c r="AL31" i="4"/>
  <c r="AM59" i="19"/>
  <c r="AM43" i="19" s="1"/>
  <c r="AM239" i="4" s="1"/>
  <c r="AM29" i="4"/>
  <c r="AK375" i="4"/>
  <c r="AL141" i="4"/>
  <c r="AL173" i="4" s="1"/>
  <c r="AL12" i="4"/>
  <c r="AL350" i="4" s="1"/>
  <c r="Z270" i="4"/>
  <c r="Z287" i="4" s="1"/>
  <c r="Z255" i="4"/>
  <c r="AA397" i="4"/>
  <c r="AA367" i="4"/>
  <c r="AM51" i="19"/>
  <c r="AM35" i="19" s="1"/>
  <c r="AM231" i="4" s="1"/>
  <c r="AM21" i="4"/>
  <c r="AA254" i="4"/>
  <c r="AA269" i="4"/>
  <c r="AA286" i="4" s="1"/>
  <c r="AM55" i="19"/>
  <c r="AM39" i="19" s="1"/>
  <c r="AM235" i="4" s="1"/>
  <c r="AM25" i="4"/>
  <c r="Z398" i="4"/>
  <c r="Z368" i="4"/>
  <c r="AM76" i="19"/>
  <c r="AM50" i="19"/>
  <c r="AM34" i="19" s="1"/>
  <c r="AM230" i="4" s="1"/>
  <c r="AM20" i="4"/>
  <c r="AG263" i="4"/>
  <c r="AG280" i="4" s="1"/>
  <c r="AG248" i="4"/>
  <c r="AM54" i="19"/>
  <c r="AM38" i="19" s="1"/>
  <c r="AM234" i="4" s="1"/>
  <c r="AM24" i="4"/>
  <c r="Z353" i="3"/>
  <c r="Z368" i="3"/>
  <c r="Z385" i="3" s="1"/>
  <c r="AK381" i="4"/>
  <c r="AK377" i="4"/>
  <c r="AL143" i="4"/>
  <c r="AL175" i="4" s="1"/>
  <c r="AL14" i="4"/>
  <c r="AF265" i="4"/>
  <c r="AF282" i="4" s="1"/>
  <c r="AF250" i="4"/>
  <c r="AN74" i="19"/>
  <c r="AN70" i="19"/>
  <c r="AN69" i="19"/>
  <c r="AN73" i="19"/>
  <c r="AN65" i="19"/>
  <c r="AN71" i="19"/>
  <c r="AN72" i="19"/>
  <c r="AN67" i="19"/>
  <c r="AN68" i="19"/>
  <c r="AN66" i="19"/>
  <c r="AN75" i="19"/>
  <c r="AM53" i="19"/>
  <c r="AM37" i="19" s="1"/>
  <c r="AM233" i="4" s="1"/>
  <c r="AM23" i="4"/>
  <c r="AL136" i="4"/>
  <c r="AL168" i="4" s="1"/>
  <c r="AL7" i="4"/>
  <c r="AL345" i="4" s="1"/>
  <c r="AL377" i="4" s="1"/>
  <c r="AL6" i="4"/>
  <c r="AL344" i="4" s="1"/>
  <c r="AL135" i="4"/>
  <c r="AL167" i="4" s="1"/>
  <c r="AI246" i="4"/>
  <c r="AI261" i="4"/>
  <c r="X499" i="3"/>
  <c r="X468" i="3"/>
  <c r="X500" i="3" s="1"/>
  <c r="AL61" i="19"/>
  <c r="AL44" i="19"/>
  <c r="AL240" i="4" s="1"/>
  <c r="AN59" i="19" l="1"/>
  <c r="AN43" i="19" s="1"/>
  <c r="AN239" i="4" s="1"/>
  <c r="AN29" i="4"/>
  <c r="AL164" i="4"/>
  <c r="AL176" i="4" s="1"/>
  <c r="AL144" i="4"/>
  <c r="AJ262" i="4"/>
  <c r="AJ247" i="4"/>
  <c r="AM133" i="4"/>
  <c r="AM165" i="4" s="1"/>
  <c r="AM4" i="4"/>
  <c r="AM342" i="4" s="1"/>
  <c r="AL358" i="4"/>
  <c r="AL373" i="4"/>
  <c r="AL374" i="4"/>
  <c r="AJ278" i="4"/>
  <c r="AJ277" i="4"/>
  <c r="AF393" i="4"/>
  <c r="AF363" i="4"/>
  <c r="Y355" i="3"/>
  <c r="Y371" i="3" s="1"/>
  <c r="Y370" i="3"/>
  <c r="Y387" i="3" s="1"/>
  <c r="AN51" i="19"/>
  <c r="AN35" i="19" s="1"/>
  <c r="AN231" i="4" s="1"/>
  <c r="AN21" i="4"/>
  <c r="AM60" i="19"/>
  <c r="AM44" i="19" s="1"/>
  <c r="AM240" i="4" s="1"/>
  <c r="AM30" i="4"/>
  <c r="AN56" i="19"/>
  <c r="AN40" i="19" s="1"/>
  <c r="AN236" i="4" s="1"/>
  <c r="AN26" i="4"/>
  <c r="Z399" i="4"/>
  <c r="Z369" i="4"/>
  <c r="Z400" i="4" s="1"/>
  <c r="AM140" i="4"/>
  <c r="AM172" i="4" s="1"/>
  <c r="AM11" i="4"/>
  <c r="AM349" i="4" s="1"/>
  <c r="Y468" i="3"/>
  <c r="Y500" i="3" s="1"/>
  <c r="Y499" i="3"/>
  <c r="Z498" i="3"/>
  <c r="Z467" i="3"/>
  <c r="AK245" i="4"/>
  <c r="AK241" i="4"/>
  <c r="AN55" i="19"/>
  <c r="AN39" i="19" s="1"/>
  <c r="AN235" i="4" s="1"/>
  <c r="AN25" i="4"/>
  <c r="AM10" i="4"/>
  <c r="AM348" i="4" s="1"/>
  <c r="AM380" i="4" s="1"/>
  <c r="AM139" i="4"/>
  <c r="AM171" i="4" s="1"/>
  <c r="AB269" i="4"/>
  <c r="AB286" i="4" s="1"/>
  <c r="AB254" i="4"/>
  <c r="AL381" i="4"/>
  <c r="AN50" i="19"/>
  <c r="AN34" i="19" s="1"/>
  <c r="AN230" i="4" s="1"/>
  <c r="AN20" i="4"/>
  <c r="AM138" i="4"/>
  <c r="AM170" i="4" s="1"/>
  <c r="AM9" i="4"/>
  <c r="AM347" i="4" s="1"/>
  <c r="AN57" i="19"/>
  <c r="AN41" i="19" s="1"/>
  <c r="AN237" i="4" s="1"/>
  <c r="AN27" i="4"/>
  <c r="AN53" i="19"/>
  <c r="AN37" i="19" s="1"/>
  <c r="AN233" i="4" s="1"/>
  <c r="AN23" i="4"/>
  <c r="AI390" i="4"/>
  <c r="AI360" i="4"/>
  <c r="AL375" i="4"/>
  <c r="AN54" i="19"/>
  <c r="AN38" i="19" s="1"/>
  <c r="AN234" i="4" s="1"/>
  <c r="AN24" i="4"/>
  <c r="AA255" i="4"/>
  <c r="AA270" i="4"/>
  <c r="AA287" i="4" s="1"/>
  <c r="AD252" i="4"/>
  <c r="AD267" i="4"/>
  <c r="AD284" i="4" s="1"/>
  <c r="AL378" i="4"/>
  <c r="AN58" i="19"/>
  <c r="AN42" i="19" s="1"/>
  <c r="AN238" i="4" s="1"/>
  <c r="AN28" i="4"/>
  <c r="AM134" i="4"/>
  <c r="AM166" i="4" s="1"/>
  <c r="AM5" i="4"/>
  <c r="AM343" i="4" s="1"/>
  <c r="AM375" i="4" s="1"/>
  <c r="AC253" i="4"/>
  <c r="AC268" i="4"/>
  <c r="AC285" i="4" s="1"/>
  <c r="AE283" i="4"/>
  <c r="AG393" i="4"/>
  <c r="AG363" i="4"/>
  <c r="AE267" i="4"/>
  <c r="AE252" i="4"/>
  <c r="AN49" i="19"/>
  <c r="AN33" i="19" s="1"/>
  <c r="AN19" i="4"/>
  <c r="AA398" i="4"/>
  <c r="AA368" i="4"/>
  <c r="AK353" i="4"/>
  <c r="AK373" i="4"/>
  <c r="AK358" i="4"/>
  <c r="AK374" i="4"/>
  <c r="AL383" i="4"/>
  <c r="AN52" i="19"/>
  <c r="AN36" i="19" s="1"/>
  <c r="AN232" i="4" s="1"/>
  <c r="AN22" i="4"/>
  <c r="AF266" i="4"/>
  <c r="AF283" i="4" s="1"/>
  <c r="AF251" i="4"/>
  <c r="AI277" i="4"/>
  <c r="AI278" i="4"/>
  <c r="AL15" i="4"/>
  <c r="AL352" i="4"/>
  <c r="AL384" i="4" s="1"/>
  <c r="AK15" i="4"/>
  <c r="AJ390" i="4"/>
  <c r="AJ360" i="4"/>
  <c r="AI247" i="4"/>
  <c r="AI262" i="4"/>
  <c r="AI279" i="4" s="1"/>
  <c r="Z271" i="4"/>
  <c r="Z288" i="4" s="1"/>
  <c r="Z256" i="4"/>
  <c r="Z272" i="4" s="1"/>
  <c r="AM135" i="4"/>
  <c r="AM167" i="4" s="1"/>
  <c r="AM6" i="4"/>
  <c r="AM344" i="4" s="1"/>
  <c r="AL45" i="19"/>
  <c r="AL47" i="19" s="1"/>
  <c r="AC366" i="4"/>
  <c r="AC396" i="4"/>
  <c r="AL241" i="4"/>
  <c r="AL245" i="4"/>
  <c r="AL376" i="4"/>
  <c r="AL382" i="4"/>
  <c r="AM141" i="4"/>
  <c r="AM173" i="4" s="1"/>
  <c r="AM12" i="4"/>
  <c r="AM350" i="4" s="1"/>
  <c r="AM382" i="4" s="1"/>
  <c r="AH264" i="4"/>
  <c r="AH249" i="4"/>
  <c r="AD396" i="4"/>
  <c r="AD366" i="4"/>
  <c r="AH280" i="4"/>
  <c r="Z369" i="3"/>
  <c r="Z386" i="3" s="1"/>
  <c r="Z354" i="3"/>
  <c r="AL379" i="4"/>
  <c r="AB398" i="4"/>
  <c r="AB368" i="4"/>
  <c r="AH361" i="4"/>
  <c r="AH391" i="4"/>
  <c r="AQ13" i="19" a="1"/>
  <c r="AQ13" i="19" s="1"/>
  <c r="AQ12" i="19" s="1"/>
  <c r="AP12" i="19"/>
  <c r="AM136" i="4"/>
  <c r="AM168" i="4" s="1"/>
  <c r="AM7" i="4"/>
  <c r="AM345" i="4" s="1"/>
  <c r="AM377" i="4" s="1"/>
  <c r="AM137" i="4"/>
  <c r="AM169" i="4" s="1"/>
  <c r="AM8" i="4"/>
  <c r="AM346" i="4" s="1"/>
  <c r="AM378" i="4" s="1"/>
  <c r="AM142" i="4"/>
  <c r="AM174" i="4" s="1"/>
  <c r="AM13" i="4"/>
  <c r="AM351" i="4" s="1"/>
  <c r="AO23" i="19"/>
  <c r="AM132" i="4"/>
  <c r="AM3" i="4"/>
  <c r="AM341" i="4" s="1"/>
  <c r="AM31" i="4"/>
  <c r="AE365" i="4"/>
  <c r="AE395" i="4"/>
  <c r="AO65" i="19"/>
  <c r="AO74" i="19"/>
  <c r="AO71" i="19"/>
  <c r="AO67" i="19"/>
  <c r="AO75" i="19"/>
  <c r="AO72" i="19"/>
  <c r="AO76" i="19" s="1"/>
  <c r="AO68" i="19"/>
  <c r="AO69" i="19"/>
  <c r="AO70" i="19"/>
  <c r="AO66" i="19"/>
  <c r="AO73" i="19"/>
  <c r="AN76" i="19"/>
  <c r="AG264" i="4"/>
  <c r="AG281" i="4" s="1"/>
  <c r="AG249" i="4"/>
  <c r="AM61" i="19"/>
  <c r="AM33" i="19"/>
  <c r="AQ4" i="19" a="1"/>
  <c r="AQ4" i="19" s="1"/>
  <c r="AP77" i="19"/>
  <c r="AP3" i="19"/>
  <c r="AP23" i="19" s="1"/>
  <c r="AO60" i="19" l="1"/>
  <c r="AO44" i="19" s="1"/>
  <c r="AO240" i="4" s="1"/>
  <c r="AO30" i="4"/>
  <c r="AO49" i="19"/>
  <c r="AO19" i="4"/>
  <c r="AM143" i="4"/>
  <c r="AM175" i="4" s="1"/>
  <c r="AM14" i="4"/>
  <c r="AD367" i="4"/>
  <c r="AD397" i="4"/>
  <c r="AN4" i="4"/>
  <c r="AN342" i="4" s="1"/>
  <c r="AN133" i="4"/>
  <c r="AN165" i="4" s="1"/>
  <c r="AM241" i="4"/>
  <c r="AE366" i="4"/>
  <c r="AE396" i="4"/>
  <c r="AC254" i="4"/>
  <c r="AC269" i="4"/>
  <c r="AC286" i="4" s="1"/>
  <c r="AN134" i="4"/>
  <c r="AN166" i="4" s="1"/>
  <c r="AN5" i="4"/>
  <c r="AN343" i="4" s="1"/>
  <c r="AN375" i="4" s="1"/>
  <c r="AH250" i="4"/>
  <c r="AH265" i="4"/>
  <c r="AH282" i="4" s="1"/>
  <c r="AP72" i="19"/>
  <c r="AP68" i="19"/>
  <c r="AP67" i="19"/>
  <c r="AP71" i="19"/>
  <c r="AP70" i="19"/>
  <c r="AP66" i="19"/>
  <c r="AP75" i="19"/>
  <c r="AP69" i="19"/>
  <c r="AP73" i="19"/>
  <c r="AP65" i="19"/>
  <c r="AP76" i="19" s="1"/>
  <c r="AP74" i="19"/>
  <c r="AM358" i="4"/>
  <c r="AM373" i="4"/>
  <c r="AH281" i="4"/>
  <c r="AB270" i="4"/>
  <c r="AB287" i="4" s="1"/>
  <c r="AB255" i="4"/>
  <c r="AQ3" i="19"/>
  <c r="AQ23" i="19" s="1"/>
  <c r="AQ77" i="19"/>
  <c r="AM164" i="4"/>
  <c r="AM176" i="4" s="1"/>
  <c r="AM144" i="4"/>
  <c r="AF252" i="4"/>
  <c r="AF267" i="4"/>
  <c r="AF284" i="4" s="1"/>
  <c r="AN12" i="4"/>
  <c r="AN350" i="4" s="1"/>
  <c r="AN382" i="4" s="1"/>
  <c r="AN141" i="4"/>
  <c r="AN173" i="4" s="1"/>
  <c r="AF364" i="4"/>
  <c r="AF394" i="4"/>
  <c r="AM45" i="19"/>
  <c r="AM47" i="19" s="1"/>
  <c r="AM229" i="4"/>
  <c r="AM245" i="4" s="1"/>
  <c r="AM383" i="4"/>
  <c r="AN135" i="4"/>
  <c r="AN167" i="4" s="1"/>
  <c r="AN6" i="4"/>
  <c r="AN344" i="4" s="1"/>
  <c r="AG250" i="4"/>
  <c r="AG265" i="4"/>
  <c r="AG282" i="4" s="1"/>
  <c r="AN138" i="4"/>
  <c r="AN170" i="4" s="1"/>
  <c r="AN9" i="4"/>
  <c r="AN347" i="4" s="1"/>
  <c r="AN379" i="4" s="1"/>
  <c r="AN60" i="19"/>
  <c r="AN30" i="4"/>
  <c r="AK359" i="4"/>
  <c r="AK389" i="4"/>
  <c r="AA271" i="4"/>
  <c r="AA288" i="4" s="1"/>
  <c r="AA256" i="4"/>
  <c r="AA272" i="4" s="1"/>
  <c r="AK246" i="4"/>
  <c r="AK261" i="4"/>
  <c r="AO57" i="19"/>
  <c r="AO41" i="19" s="1"/>
  <c r="AO237" i="4" s="1"/>
  <c r="AO27" i="4"/>
  <c r="AC397" i="4"/>
  <c r="AC367" i="4"/>
  <c r="AN8" i="4"/>
  <c r="AN346" i="4" s="1"/>
  <c r="AN137" i="4"/>
  <c r="AN169" i="4" s="1"/>
  <c r="Z468" i="3"/>
  <c r="Z500" i="3" s="1"/>
  <c r="Z499" i="3"/>
  <c r="AL359" i="4"/>
  <c r="AL389" i="4"/>
  <c r="AL261" i="4"/>
  <c r="AL246" i="4"/>
  <c r="AL353" i="4"/>
  <c r="AD253" i="4"/>
  <c r="AD268" i="4"/>
  <c r="AD285" i="4" s="1"/>
  <c r="AM376" i="4"/>
  <c r="AA399" i="4"/>
  <c r="AA369" i="4"/>
  <c r="AA400" i="4" s="1"/>
  <c r="AM374" i="4"/>
  <c r="AO53" i="19"/>
  <c r="AO37" i="19" s="1"/>
  <c r="AO233" i="4" s="1"/>
  <c r="AO23" i="4"/>
  <c r="AI361" i="4"/>
  <c r="AI391" i="4"/>
  <c r="AO54" i="19"/>
  <c r="AO38" i="19" s="1"/>
  <c r="AO234" i="4" s="1"/>
  <c r="AO24" i="4"/>
  <c r="AO52" i="19"/>
  <c r="AO36" i="19" s="1"/>
  <c r="AO232" i="4" s="1"/>
  <c r="AO22" i="4"/>
  <c r="AH392" i="4"/>
  <c r="AH362" i="4"/>
  <c r="AN3" i="4"/>
  <c r="AN132" i="4"/>
  <c r="AM381" i="4"/>
  <c r="AJ263" i="4"/>
  <c r="AJ248" i="4"/>
  <c r="AN229" i="4"/>
  <c r="AN245" i="4" s="1"/>
  <c r="AN7" i="4"/>
  <c r="AN345" i="4" s="1"/>
  <c r="AN377" i="4" s="1"/>
  <c r="AN136" i="4"/>
  <c r="AN168" i="4" s="1"/>
  <c r="AJ279" i="4"/>
  <c r="AO56" i="19"/>
  <c r="AO40" i="19" s="1"/>
  <c r="AO236" i="4" s="1"/>
  <c r="AO26" i="4"/>
  <c r="AO59" i="19"/>
  <c r="AO43" i="19" s="1"/>
  <c r="AO239" i="4" s="1"/>
  <c r="AO29" i="4"/>
  <c r="AE253" i="4"/>
  <c r="AE268" i="4"/>
  <c r="AE285" i="4" s="1"/>
  <c r="AB369" i="4"/>
  <c r="AB399" i="4"/>
  <c r="AO51" i="19"/>
  <c r="AO35" i="19" s="1"/>
  <c r="AO231" i="4" s="1"/>
  <c r="AO21" i="4"/>
  <c r="AI248" i="4"/>
  <c r="AI263" i="4"/>
  <c r="AI280" i="4" s="1"/>
  <c r="AE284" i="4"/>
  <c r="AN140" i="4"/>
  <c r="AN172" i="4" s="1"/>
  <c r="AN11" i="4"/>
  <c r="AN349" i="4" s="1"/>
  <c r="AO55" i="19"/>
  <c r="AO39" i="19" s="1"/>
  <c r="AO235" i="4" s="1"/>
  <c r="AO25" i="4"/>
  <c r="Z370" i="3"/>
  <c r="Z387" i="3" s="1"/>
  <c r="Z355" i="3"/>
  <c r="Z371" i="3" s="1"/>
  <c r="AJ391" i="4"/>
  <c r="AJ361" i="4"/>
  <c r="AG364" i="4"/>
  <c r="AG394" i="4"/>
  <c r="AN139" i="4"/>
  <c r="AN171" i="4" s="1"/>
  <c r="AN10" i="4"/>
  <c r="AN348" i="4" s="1"/>
  <c r="AN380" i="4" s="1"/>
  <c r="AN142" i="4"/>
  <c r="AN174" i="4" s="1"/>
  <c r="AN13" i="4"/>
  <c r="AN351" i="4" s="1"/>
  <c r="AN383" i="4" s="1"/>
  <c r="AO50" i="19"/>
  <c r="AO34" i="19" s="1"/>
  <c r="AO230" i="4" s="1"/>
  <c r="AO20" i="4"/>
  <c r="AO58" i="19"/>
  <c r="AO42" i="19" s="1"/>
  <c r="AO238" i="4" s="1"/>
  <c r="AO28" i="4"/>
  <c r="AM379" i="4"/>
  <c r="AP60" i="19" l="1"/>
  <c r="AP30" i="4"/>
  <c r="AO11" i="4"/>
  <c r="AO349" i="4" s="1"/>
  <c r="AO140" i="4"/>
  <c r="AO172" i="4" s="1"/>
  <c r="AP51" i="19"/>
  <c r="AP35" i="19" s="1"/>
  <c r="AP231" i="4" s="1"/>
  <c r="AP21" i="4"/>
  <c r="AP52" i="19"/>
  <c r="AP36" i="19" s="1"/>
  <c r="AP232" i="4" s="1"/>
  <c r="AP22" i="4"/>
  <c r="AF253" i="4"/>
  <c r="AF268" i="4"/>
  <c r="AF285" i="4" s="1"/>
  <c r="AP56" i="19"/>
  <c r="AP40" i="19" s="1"/>
  <c r="AP236" i="4" s="1"/>
  <c r="AP26" i="4"/>
  <c r="AK277" i="4"/>
  <c r="AK278" i="4"/>
  <c r="AO7" i="4"/>
  <c r="AO345" i="4" s="1"/>
  <c r="AO136" i="4"/>
  <c r="AO168" i="4" s="1"/>
  <c r="AK247" i="4"/>
  <c r="AK262" i="4"/>
  <c r="AK279" i="4" s="1"/>
  <c r="AH251" i="4"/>
  <c r="AH266" i="4"/>
  <c r="AQ67" i="19"/>
  <c r="AQ71" i="19"/>
  <c r="AQ74" i="19"/>
  <c r="AQ75" i="19"/>
  <c r="AQ73" i="19"/>
  <c r="AQ65" i="19"/>
  <c r="AQ72" i="19"/>
  <c r="AQ70" i="19"/>
  <c r="AQ69" i="19"/>
  <c r="AQ66" i="19"/>
  <c r="AQ68" i="19"/>
  <c r="AE254" i="4"/>
  <c r="AE269" i="4"/>
  <c r="AO10" i="4"/>
  <c r="AO348" i="4" s="1"/>
  <c r="AO139" i="4"/>
  <c r="AO171" i="4" s="1"/>
  <c r="AG395" i="4"/>
  <c r="AG365" i="4"/>
  <c r="AJ392" i="4"/>
  <c r="AJ362" i="4"/>
  <c r="AK360" i="4"/>
  <c r="AK390" i="4"/>
  <c r="AB256" i="4"/>
  <c r="AB272" i="4" s="1"/>
  <c r="AB271" i="4"/>
  <c r="AB288" i="4" s="1"/>
  <c r="AN14" i="4"/>
  <c r="AN352" i="4" s="1"/>
  <c r="AN384" i="4" s="1"/>
  <c r="AN143" i="4"/>
  <c r="AN175" i="4" s="1"/>
  <c r="AC270" i="4"/>
  <c r="AC287" i="4" s="1"/>
  <c r="AC255" i="4"/>
  <c r="AN261" i="4"/>
  <c r="AN246" i="4"/>
  <c r="AN61" i="19"/>
  <c r="AN44" i="19"/>
  <c r="AI392" i="4"/>
  <c r="AI362" i="4"/>
  <c r="AD269" i="4"/>
  <c r="AD286" i="4" s="1"/>
  <c r="AD254" i="4"/>
  <c r="AE367" i="4"/>
  <c r="AE397" i="4"/>
  <c r="AJ264" i="4"/>
  <c r="AJ249" i="4"/>
  <c r="AN381" i="4"/>
  <c r="AJ280" i="4"/>
  <c r="AL262" i="4"/>
  <c r="AL279" i="4" s="1"/>
  <c r="AL247" i="4"/>
  <c r="AM389" i="4"/>
  <c r="AM359" i="4"/>
  <c r="AG266" i="4"/>
  <c r="AG283" i="4" s="1"/>
  <c r="AG251" i="4"/>
  <c r="AN31" i="4"/>
  <c r="AN376" i="4"/>
  <c r="AP58" i="19"/>
  <c r="AP42" i="19" s="1"/>
  <c r="AP238" i="4" s="1"/>
  <c r="AP28" i="4"/>
  <c r="AN164" i="4"/>
  <c r="AN176" i="4" s="1"/>
  <c r="AN144" i="4"/>
  <c r="AL390" i="4"/>
  <c r="AL360" i="4"/>
  <c r="AP49" i="19"/>
  <c r="AP33" i="19" s="1"/>
  <c r="AP19" i="4"/>
  <c r="AD398" i="4"/>
  <c r="AD368" i="4"/>
  <c r="AP57" i="19"/>
  <c r="AP41" i="19" s="1"/>
  <c r="AP237" i="4" s="1"/>
  <c r="AP27" i="4"/>
  <c r="AM15" i="4"/>
  <c r="AM352" i="4"/>
  <c r="AM261" i="4"/>
  <c r="AM246" i="4"/>
  <c r="AP53" i="19"/>
  <c r="AP37" i="19" s="1"/>
  <c r="AP233" i="4" s="1"/>
  <c r="AP23" i="4"/>
  <c r="AH393" i="4"/>
  <c r="AH363" i="4"/>
  <c r="AO141" i="4"/>
  <c r="AO173" i="4" s="1"/>
  <c r="AO12" i="4"/>
  <c r="AO350" i="4" s="1"/>
  <c r="AO382" i="4" s="1"/>
  <c r="AP59" i="19"/>
  <c r="AP43" i="19" s="1"/>
  <c r="AP239" i="4" s="1"/>
  <c r="AP29" i="4"/>
  <c r="AO31" i="4"/>
  <c r="AO3" i="4"/>
  <c r="AO132" i="4"/>
  <c r="AO138" i="4"/>
  <c r="AO170" i="4" s="1"/>
  <c r="AO9" i="4"/>
  <c r="AO347" i="4" s="1"/>
  <c r="AO379" i="4" s="1"/>
  <c r="AL277" i="4"/>
  <c r="AL278" i="4"/>
  <c r="AI249" i="4"/>
  <c r="AI264" i="4"/>
  <c r="AI281" i="4" s="1"/>
  <c r="AN341" i="4"/>
  <c r="AO134" i="4"/>
  <c r="AO166" i="4" s="1"/>
  <c r="AO5" i="4"/>
  <c r="AO343" i="4" s="1"/>
  <c r="AO135" i="4"/>
  <c r="AO167" i="4" s="1"/>
  <c r="AO6" i="4"/>
  <c r="AO344" i="4" s="1"/>
  <c r="AO376" i="4" s="1"/>
  <c r="AN378" i="4"/>
  <c r="AP50" i="19"/>
  <c r="AP34" i="19" s="1"/>
  <c r="AP230" i="4" s="1"/>
  <c r="AP20" i="4"/>
  <c r="AO61" i="19"/>
  <c r="AO33" i="19"/>
  <c r="AO133" i="4"/>
  <c r="AO165" i="4" s="1"/>
  <c r="AO4" i="4"/>
  <c r="AO342" i="4" s="1"/>
  <c r="AC398" i="4"/>
  <c r="AC368" i="4"/>
  <c r="AF365" i="4"/>
  <c r="AF395" i="4"/>
  <c r="AP54" i="19"/>
  <c r="AP38" i="19" s="1"/>
  <c r="AP234" i="4" s="1"/>
  <c r="AP24" i="4"/>
  <c r="AO14" i="4"/>
  <c r="AO352" i="4" s="1"/>
  <c r="AO143" i="4"/>
  <c r="AO175" i="4" s="1"/>
  <c r="AO142" i="4"/>
  <c r="AO174" i="4" s="1"/>
  <c r="AO13" i="4"/>
  <c r="AO351" i="4" s="1"/>
  <c r="AB400" i="4"/>
  <c r="AO8" i="4"/>
  <c r="AO346" i="4" s="1"/>
  <c r="AO378" i="4" s="1"/>
  <c r="AO137" i="4"/>
  <c r="AO169" i="4" s="1"/>
  <c r="AP55" i="19"/>
  <c r="AP39" i="19" s="1"/>
  <c r="AP235" i="4" s="1"/>
  <c r="AP25" i="4"/>
  <c r="AO375" i="4" l="1"/>
  <c r="AM278" i="4"/>
  <c r="AM277" i="4"/>
  <c r="AL263" i="4"/>
  <c r="AL248" i="4"/>
  <c r="AH283" i="4"/>
  <c r="AH267" i="4"/>
  <c r="AH252" i="4"/>
  <c r="AM262" i="4"/>
  <c r="AM279" i="4" s="1"/>
  <c r="AM247" i="4"/>
  <c r="AO383" i="4"/>
  <c r="AN15" i="4"/>
  <c r="AP140" i="4"/>
  <c r="AP172" i="4" s="1"/>
  <c r="AP11" i="4"/>
  <c r="AP349" i="4" s="1"/>
  <c r="AP381" i="4" s="1"/>
  <c r="AK248" i="4"/>
  <c r="AK263" i="4"/>
  <c r="AK280" i="4" s="1"/>
  <c r="AM384" i="4"/>
  <c r="AM353" i="4"/>
  <c r="AK391" i="4"/>
  <c r="AK361" i="4"/>
  <c r="AJ393" i="4"/>
  <c r="AJ363" i="4"/>
  <c r="AJ265" i="4"/>
  <c r="AJ250" i="4"/>
  <c r="AG366" i="4"/>
  <c r="AG396" i="4"/>
  <c r="AN373" i="4"/>
  <c r="AN358" i="4"/>
  <c r="AN353" i="4"/>
  <c r="AI250" i="4"/>
  <c r="AI265" i="4"/>
  <c r="AI282" i="4" s="1"/>
  <c r="AD399" i="4"/>
  <c r="AD369" i="4"/>
  <c r="AD400" i="4" s="1"/>
  <c r="AJ281" i="4"/>
  <c r="AO377" i="4"/>
  <c r="AQ51" i="19"/>
  <c r="AQ35" i="19" s="1"/>
  <c r="AQ231" i="4" s="1"/>
  <c r="AQ21" i="4"/>
  <c r="AO384" i="4"/>
  <c r="AP8" i="4"/>
  <c r="AP346" i="4" s="1"/>
  <c r="AP137" i="4"/>
  <c r="AP169" i="4" s="1"/>
  <c r="AP132" i="4"/>
  <c r="AP3" i="4"/>
  <c r="AP31" i="4"/>
  <c r="AE368" i="4"/>
  <c r="AE398" i="4"/>
  <c r="AO380" i="4"/>
  <c r="AP229" i="4"/>
  <c r="AP245" i="4" s="1"/>
  <c r="AD270" i="4"/>
  <c r="AD287" i="4" s="1"/>
  <c r="AD255" i="4"/>
  <c r="AE286" i="4"/>
  <c r="AP139" i="4"/>
  <c r="AP171" i="4" s="1"/>
  <c r="AP10" i="4"/>
  <c r="AP348" i="4" s="1"/>
  <c r="AL361" i="4"/>
  <c r="AL391" i="4"/>
  <c r="AE270" i="4"/>
  <c r="AE287" i="4" s="1"/>
  <c r="AE255" i="4"/>
  <c r="AF366" i="4"/>
  <c r="AF396" i="4"/>
  <c r="AO144" i="4"/>
  <c r="AO164" i="4"/>
  <c r="AO176" i="4" s="1"/>
  <c r="AI393" i="4"/>
  <c r="AI363" i="4"/>
  <c r="AQ76" i="19"/>
  <c r="AO15" i="4"/>
  <c r="AO341" i="4"/>
  <c r="AQ52" i="19"/>
  <c r="AQ36" i="19" s="1"/>
  <c r="AQ232" i="4" s="1"/>
  <c r="AQ22" i="4"/>
  <c r="AF254" i="4"/>
  <c r="AF269" i="4"/>
  <c r="AF286" i="4" s="1"/>
  <c r="AC399" i="4"/>
  <c r="AC369" i="4"/>
  <c r="AC400" i="4" s="1"/>
  <c r="AN240" i="4"/>
  <c r="AN241" i="4" s="1"/>
  <c r="AN45" i="19"/>
  <c r="AN47" i="19" s="1"/>
  <c r="AQ50" i="19"/>
  <c r="AQ34" i="19" s="1"/>
  <c r="AQ230" i="4" s="1"/>
  <c r="AQ20" i="4"/>
  <c r="AP6" i="4"/>
  <c r="AP344" i="4" s="1"/>
  <c r="AP135" i="4"/>
  <c r="AP167" i="4" s="1"/>
  <c r="AQ53" i="19"/>
  <c r="AQ37" i="19" s="1"/>
  <c r="AQ233" i="4" s="1"/>
  <c r="AQ23" i="4"/>
  <c r="AP13" i="4"/>
  <c r="AP351" i="4" s="1"/>
  <c r="AP142" i="4"/>
  <c r="AP174" i="4" s="1"/>
  <c r="AN262" i="4"/>
  <c r="AN279" i="4" s="1"/>
  <c r="AN247" i="4"/>
  <c r="AQ54" i="19"/>
  <c r="AQ38" i="19" s="1"/>
  <c r="AQ234" i="4" s="1"/>
  <c r="AQ24" i="4"/>
  <c r="AP134" i="4"/>
  <c r="AP166" i="4" s="1"/>
  <c r="AP5" i="4"/>
  <c r="AP343" i="4" s="1"/>
  <c r="AP375" i="4" s="1"/>
  <c r="AQ55" i="19"/>
  <c r="AQ39" i="19" s="1"/>
  <c r="AQ235" i="4" s="1"/>
  <c r="AQ25" i="4"/>
  <c r="AO45" i="19"/>
  <c r="AO47" i="19" s="1"/>
  <c r="AO229" i="4"/>
  <c r="AN278" i="4"/>
  <c r="AN277" i="4"/>
  <c r="AQ56" i="19"/>
  <c r="AQ40" i="19" s="1"/>
  <c r="AQ236" i="4" s="1"/>
  <c r="AQ26" i="4"/>
  <c r="AC256" i="4"/>
  <c r="AC272" i="4" s="1"/>
  <c r="AC271" i="4"/>
  <c r="AC288" i="4" s="1"/>
  <c r="AQ49" i="19"/>
  <c r="AQ19" i="4"/>
  <c r="AP141" i="4"/>
  <c r="AP173" i="4" s="1"/>
  <c r="AP12" i="4"/>
  <c r="AP350" i="4" s="1"/>
  <c r="AP382" i="4" s="1"/>
  <c r="AP133" i="4"/>
  <c r="AP165" i="4" s="1"/>
  <c r="AP4" i="4"/>
  <c r="AP342" i="4" s="1"/>
  <c r="AH364" i="4"/>
  <c r="AH394" i="4"/>
  <c r="AN374" i="4"/>
  <c r="AQ57" i="19"/>
  <c r="AQ41" i="19" s="1"/>
  <c r="AQ237" i="4" s="1"/>
  <c r="AQ27" i="4"/>
  <c r="AO381" i="4"/>
  <c r="AP9" i="4"/>
  <c r="AP347" i="4" s="1"/>
  <c r="AP138" i="4"/>
  <c r="AP170" i="4" s="1"/>
  <c r="AM390" i="4"/>
  <c r="AM360" i="4"/>
  <c r="AG267" i="4"/>
  <c r="AG284" i="4" s="1"/>
  <c r="AG252" i="4"/>
  <c r="AQ59" i="19"/>
  <c r="AQ43" i="19" s="1"/>
  <c r="AQ239" i="4" s="1"/>
  <c r="AQ29" i="4"/>
  <c r="AP14" i="4"/>
  <c r="AP352" i="4" s="1"/>
  <c r="AP384" i="4" s="1"/>
  <c r="AP143" i="4"/>
  <c r="AP175" i="4" s="1"/>
  <c r="AP136" i="4"/>
  <c r="AP168" i="4" s="1"/>
  <c r="AP7" i="4"/>
  <c r="AP345" i="4" s="1"/>
  <c r="AP377" i="4" s="1"/>
  <c r="AQ58" i="19"/>
  <c r="AQ42" i="19" s="1"/>
  <c r="AQ238" i="4" s="1"/>
  <c r="AQ28" i="4"/>
  <c r="AP61" i="19"/>
  <c r="AP44" i="19"/>
  <c r="AP240" i="4" s="1"/>
  <c r="AP241" i="4" s="1"/>
  <c r="AQ8" i="4" l="1"/>
  <c r="AQ346" i="4" s="1"/>
  <c r="AQ137" i="4"/>
  <c r="AQ169" i="4" s="1"/>
  <c r="AQ60" i="19"/>
  <c r="AQ44" i="19" s="1"/>
  <c r="AQ240" i="4" s="1"/>
  <c r="AQ30" i="4"/>
  <c r="AP15" i="4"/>
  <c r="AP341" i="4"/>
  <c r="AK392" i="4"/>
  <c r="AK362" i="4"/>
  <c r="AI394" i="4"/>
  <c r="AI364" i="4"/>
  <c r="AP164" i="4"/>
  <c r="AP176" i="4" s="1"/>
  <c r="AP144" i="4"/>
  <c r="AH365" i="4"/>
  <c r="AH395" i="4"/>
  <c r="AP378" i="4"/>
  <c r="AQ11" i="4"/>
  <c r="AQ349" i="4" s="1"/>
  <c r="AQ381" i="4" s="1"/>
  <c r="AQ140" i="4"/>
  <c r="AQ172" i="4" s="1"/>
  <c r="AP374" i="4"/>
  <c r="AQ141" i="4"/>
  <c r="AQ173" i="4" s="1"/>
  <c r="AQ12" i="4"/>
  <c r="AQ350" i="4" s="1"/>
  <c r="AQ382" i="4" s="1"/>
  <c r="AP383" i="4"/>
  <c r="AQ134" i="4"/>
  <c r="AQ166" i="4" s="1"/>
  <c r="AQ5" i="4"/>
  <c r="AQ343" i="4" s="1"/>
  <c r="AK249" i="4"/>
  <c r="AK264" i="4"/>
  <c r="AK281" i="4" s="1"/>
  <c r="AQ136" i="4"/>
  <c r="AQ168" i="4" s="1"/>
  <c r="AQ7" i="4"/>
  <c r="AQ345" i="4" s="1"/>
  <c r="AF397" i="4"/>
  <c r="AF367" i="4"/>
  <c r="AE271" i="4"/>
  <c r="AE256" i="4"/>
  <c r="AQ132" i="4"/>
  <c r="AQ3" i="4"/>
  <c r="AQ31" i="4"/>
  <c r="AQ61" i="19"/>
  <c r="AQ33" i="19"/>
  <c r="AP376" i="4"/>
  <c r="AQ4" i="4"/>
  <c r="AQ342" i="4" s="1"/>
  <c r="AQ133" i="4"/>
  <c r="AQ165" i="4" s="1"/>
  <c r="AL392" i="4"/>
  <c r="AL362" i="4"/>
  <c r="AM263" i="4"/>
  <c r="AM280" i="4" s="1"/>
  <c r="AM248" i="4"/>
  <c r="AP380" i="4"/>
  <c r="AO373" i="4"/>
  <c r="AO358" i="4"/>
  <c r="AO353" i="4"/>
  <c r="AQ10" i="4"/>
  <c r="AQ348" i="4" s="1"/>
  <c r="AQ139" i="4"/>
  <c r="AQ171" i="4" s="1"/>
  <c r="AI266" i="4"/>
  <c r="AI283" i="4" s="1"/>
  <c r="AI251" i="4"/>
  <c r="AH268" i="4"/>
  <c r="AH253" i="4"/>
  <c r="AG268" i="4"/>
  <c r="AG285" i="4" s="1"/>
  <c r="AG253" i="4"/>
  <c r="AH284" i="4"/>
  <c r="AD271" i="4"/>
  <c r="AD288" i="4" s="1"/>
  <c r="AD256" i="4"/>
  <c r="AD272" i="4" s="1"/>
  <c r="AN359" i="4"/>
  <c r="AN389" i="4"/>
  <c r="AO374" i="4"/>
  <c r="AL249" i="4"/>
  <c r="AL264" i="4"/>
  <c r="AL281" i="4" s="1"/>
  <c r="AE369" i="4"/>
  <c r="AE400" i="4" s="1"/>
  <c r="AE399" i="4"/>
  <c r="AJ364" i="4"/>
  <c r="AJ394" i="4"/>
  <c r="AQ142" i="4"/>
  <c r="AQ174" i="4" s="1"/>
  <c r="AQ13" i="4"/>
  <c r="AQ351" i="4" s="1"/>
  <c r="AM361" i="4"/>
  <c r="AM391" i="4"/>
  <c r="AO245" i="4"/>
  <c r="AO241" i="4"/>
  <c r="AP261" i="4"/>
  <c r="AP246" i="4"/>
  <c r="AL280" i="4"/>
  <c r="AF270" i="4"/>
  <c r="AF287" i="4" s="1"/>
  <c r="AF255" i="4"/>
  <c r="AP45" i="19"/>
  <c r="AP47" i="19" s="1"/>
  <c r="AG397" i="4"/>
  <c r="AG367" i="4"/>
  <c r="AQ9" i="4"/>
  <c r="AQ347" i="4" s="1"/>
  <c r="AQ379" i="4" s="1"/>
  <c r="AQ138" i="4"/>
  <c r="AQ170" i="4" s="1"/>
  <c r="AQ135" i="4"/>
  <c r="AQ167" i="4" s="1"/>
  <c r="AQ6" i="4"/>
  <c r="AQ344" i="4" s="1"/>
  <c r="AQ376" i="4" s="1"/>
  <c r="AJ266" i="4"/>
  <c r="AJ283" i="4" s="1"/>
  <c r="AJ251" i="4"/>
  <c r="AN263" i="4"/>
  <c r="AN280" i="4" s="1"/>
  <c r="AN248" i="4"/>
  <c r="AP379" i="4"/>
  <c r="AJ282" i="4"/>
  <c r="AJ267" i="4" l="1"/>
  <c r="AJ252" i="4"/>
  <c r="AG368" i="4"/>
  <c r="AG398" i="4"/>
  <c r="AN360" i="4"/>
  <c r="AN390" i="4"/>
  <c r="AQ45" i="19"/>
  <c r="AQ47" i="19" s="1"/>
  <c r="AQ229" i="4"/>
  <c r="AH366" i="4"/>
  <c r="AH396" i="4"/>
  <c r="AF256" i="4"/>
  <c r="AF272" i="4" s="1"/>
  <c r="AF271" i="4"/>
  <c r="AF288" i="4" s="1"/>
  <c r="AJ365" i="4"/>
  <c r="AJ395" i="4"/>
  <c r="AG269" i="4"/>
  <c r="AG286" i="4" s="1"/>
  <c r="AG254" i="4"/>
  <c r="AQ15" i="4"/>
  <c r="AQ341" i="4"/>
  <c r="AQ374" i="4" s="1"/>
  <c r="AQ144" i="4"/>
  <c r="AQ164" i="4"/>
  <c r="AQ176" i="4" s="1"/>
  <c r="AI395" i="4"/>
  <c r="AI365" i="4"/>
  <c r="AP247" i="4"/>
  <c r="AH269" i="4"/>
  <c r="AH254" i="4"/>
  <c r="AE272" i="4"/>
  <c r="AL265" i="4"/>
  <c r="AL250" i="4"/>
  <c r="AH285" i="4"/>
  <c r="AE288" i="4"/>
  <c r="AK363" i="4"/>
  <c r="AK393" i="4"/>
  <c r="AI252" i="4"/>
  <c r="AI267" i="4"/>
  <c r="AI284" i="4" s="1"/>
  <c r="AF398" i="4"/>
  <c r="AF368" i="4"/>
  <c r="AO246" i="4"/>
  <c r="AP262" i="4" s="1"/>
  <c r="AO261" i="4"/>
  <c r="AP373" i="4"/>
  <c r="AP358" i="4"/>
  <c r="AP353" i="4"/>
  <c r="AQ377" i="4"/>
  <c r="AM362" i="4"/>
  <c r="AM392" i="4"/>
  <c r="AQ380" i="4"/>
  <c r="AQ14" i="4"/>
  <c r="AQ352" i="4" s="1"/>
  <c r="AQ384" i="4" s="1"/>
  <c r="AQ143" i="4"/>
  <c r="AQ175" i="4" s="1"/>
  <c r="AQ383" i="4"/>
  <c r="AL393" i="4"/>
  <c r="AL363" i="4"/>
  <c r="AO359" i="4"/>
  <c r="AO389" i="4"/>
  <c r="AK265" i="4"/>
  <c r="AK282" i="4" s="1"/>
  <c r="AK250" i="4"/>
  <c r="AM264" i="4"/>
  <c r="AM281" i="4" s="1"/>
  <c r="AM249" i="4"/>
  <c r="AN249" i="4"/>
  <c r="AN264" i="4"/>
  <c r="AN281" i="4" s="1"/>
  <c r="AQ375" i="4"/>
  <c r="AQ378" i="4"/>
  <c r="AO278" i="4" l="1"/>
  <c r="AO277" i="4"/>
  <c r="AF399" i="4"/>
  <c r="AF369" i="4"/>
  <c r="AF400" i="4" s="1"/>
  <c r="AP389" i="4"/>
  <c r="AP359" i="4"/>
  <c r="AM250" i="4"/>
  <c r="AM265" i="4"/>
  <c r="AM282" i="4" s="1"/>
  <c r="AO360" i="4"/>
  <c r="AO390" i="4"/>
  <c r="AN265" i="4"/>
  <c r="AN282" i="4" s="1"/>
  <c r="AN250" i="4"/>
  <c r="AL394" i="4"/>
  <c r="AL364" i="4"/>
  <c r="AP278" i="4"/>
  <c r="AH367" i="4"/>
  <c r="AH397" i="4"/>
  <c r="AG255" i="4"/>
  <c r="AG270" i="4"/>
  <c r="AG287" i="4" s="1"/>
  <c r="AK394" i="4"/>
  <c r="AK364" i="4"/>
  <c r="AP277" i="4"/>
  <c r="AQ245" i="4"/>
  <c r="AQ241" i="4"/>
  <c r="AK251" i="4"/>
  <c r="AK266" i="4"/>
  <c r="AK283" i="4" s="1"/>
  <c r="AL251" i="4"/>
  <c r="AL266" i="4"/>
  <c r="AL283" i="4" s="1"/>
  <c r="AJ366" i="4"/>
  <c r="AJ396" i="4"/>
  <c r="AL282" i="4"/>
  <c r="AN391" i="4"/>
  <c r="AN361" i="4"/>
  <c r="AH270" i="4"/>
  <c r="AH255" i="4"/>
  <c r="AH286" i="4"/>
  <c r="AG369" i="4"/>
  <c r="AG400" i="4" s="1"/>
  <c r="AG399" i="4"/>
  <c r="AM363" i="4"/>
  <c r="AM393" i="4"/>
  <c r="AP263" i="4"/>
  <c r="AP248" i="4"/>
  <c r="AQ358" i="4"/>
  <c r="AQ373" i="4"/>
  <c r="AQ353" i="4"/>
  <c r="AI253" i="4"/>
  <c r="AI268" i="4"/>
  <c r="AI285" i="4" s="1"/>
  <c r="AJ253" i="4"/>
  <c r="AJ268" i="4"/>
  <c r="AJ285" i="4" s="1"/>
  <c r="AO247" i="4"/>
  <c r="AO262" i="4"/>
  <c r="AO279" i="4" s="1"/>
  <c r="AI366" i="4"/>
  <c r="AI396" i="4"/>
  <c r="AJ284" i="4"/>
  <c r="AK365" i="4" l="1"/>
  <c r="AK395" i="4"/>
  <c r="AM394" i="4"/>
  <c r="AM364" i="4"/>
  <c r="AN266" i="4"/>
  <c r="AN251" i="4"/>
  <c r="AQ359" i="4"/>
  <c r="AQ389" i="4"/>
  <c r="AH256" i="4"/>
  <c r="AH271" i="4"/>
  <c r="AO361" i="4"/>
  <c r="AO391" i="4"/>
  <c r="AJ397" i="4"/>
  <c r="AJ367" i="4"/>
  <c r="AM266" i="4"/>
  <c r="AM283" i="4" s="1"/>
  <c r="AM251" i="4"/>
  <c r="AO263" i="4"/>
  <c r="AO280" i="4" s="1"/>
  <c r="AO248" i="4"/>
  <c r="AP390" i="4"/>
  <c r="AP360" i="4"/>
  <c r="AP264" i="4"/>
  <c r="AP249" i="4"/>
  <c r="AN392" i="4"/>
  <c r="AN362" i="4"/>
  <c r="AL252" i="4"/>
  <c r="AL267" i="4"/>
  <c r="AJ269" i="4"/>
  <c r="AJ254" i="4"/>
  <c r="AK267" i="4"/>
  <c r="AK284" i="4" s="1"/>
  <c r="AK252" i="4"/>
  <c r="AI254" i="4"/>
  <c r="AI269" i="4"/>
  <c r="AI286" i="4" s="1"/>
  <c r="AH398" i="4"/>
  <c r="AH368" i="4"/>
  <c r="AH287" i="4"/>
  <c r="AI367" i="4"/>
  <c r="AI397" i="4"/>
  <c r="AQ261" i="4"/>
  <c r="AQ246" i="4"/>
  <c r="AG256" i="4"/>
  <c r="AG272" i="4" s="1"/>
  <c r="AG271" i="4"/>
  <c r="AG288" i="4" s="1"/>
  <c r="AL395" i="4"/>
  <c r="AL365" i="4"/>
  <c r="AP279" i="4"/>
  <c r="AJ368" i="4" l="1"/>
  <c r="AJ398" i="4"/>
  <c r="AO264" i="4"/>
  <c r="AO281" i="4" s="1"/>
  <c r="AO249" i="4"/>
  <c r="AQ277" i="4"/>
  <c r="AQ278" i="4"/>
  <c r="AO362" i="4"/>
  <c r="AO392" i="4"/>
  <c r="AQ262" i="4"/>
  <c r="AQ279" i="4" s="1"/>
  <c r="AQ247" i="4"/>
  <c r="AH288" i="4"/>
  <c r="AH369" i="4"/>
  <c r="AH400" i="4" s="1"/>
  <c r="AH399" i="4"/>
  <c r="AK268" i="4"/>
  <c r="AK285" i="4" s="1"/>
  <c r="AK253" i="4"/>
  <c r="AH272" i="4"/>
  <c r="AP391" i="4"/>
  <c r="AP361" i="4"/>
  <c r="AI270" i="4"/>
  <c r="AI287" i="4" s="1"/>
  <c r="AI255" i="4"/>
  <c r="AQ390" i="4"/>
  <c r="AQ360" i="4"/>
  <c r="AJ255" i="4"/>
  <c r="AJ270" i="4"/>
  <c r="AN252" i="4"/>
  <c r="AN267" i="4"/>
  <c r="AM267" i="4"/>
  <c r="AM284" i="4" s="1"/>
  <c r="AM252" i="4"/>
  <c r="AJ286" i="4"/>
  <c r="AN283" i="4"/>
  <c r="AL284" i="4"/>
  <c r="AM395" i="4"/>
  <c r="AM365" i="4"/>
  <c r="AL268" i="4"/>
  <c r="AL253" i="4"/>
  <c r="AP281" i="4"/>
  <c r="AN363" i="4"/>
  <c r="AN393" i="4"/>
  <c r="AP280" i="4"/>
  <c r="AI368" i="4"/>
  <c r="AI398" i="4"/>
  <c r="AL366" i="4"/>
  <c r="AL396" i="4"/>
  <c r="AP265" i="4"/>
  <c r="AP250" i="4"/>
  <c r="AK396" i="4"/>
  <c r="AK366" i="4"/>
  <c r="AI256" i="4" l="1"/>
  <c r="AI272" i="4" s="1"/>
  <c r="AI271" i="4"/>
  <c r="AI288" i="4" s="1"/>
  <c r="AN394" i="4"/>
  <c r="AN364" i="4"/>
  <c r="AQ391" i="4"/>
  <c r="AQ361" i="4"/>
  <c r="AL397" i="4"/>
  <c r="AL367" i="4"/>
  <c r="AI399" i="4"/>
  <c r="AI369" i="4"/>
  <c r="AI400" i="4" s="1"/>
  <c r="AO393" i="4"/>
  <c r="AO363" i="4"/>
  <c r="AQ248" i="4"/>
  <c r="AQ263" i="4"/>
  <c r="AQ280" i="4" s="1"/>
  <c r="AL285" i="4"/>
  <c r="AN284" i="4"/>
  <c r="AO250" i="4"/>
  <c r="AO265" i="4"/>
  <c r="AO282" i="4" s="1"/>
  <c r="AM268" i="4"/>
  <c r="AM285" i="4" s="1"/>
  <c r="AM253" i="4"/>
  <c r="AK397" i="4"/>
  <c r="AK367" i="4"/>
  <c r="AN268" i="4"/>
  <c r="AN253" i="4"/>
  <c r="AP362" i="4"/>
  <c r="AP392" i="4"/>
  <c r="AM396" i="4"/>
  <c r="AM366" i="4"/>
  <c r="AJ287" i="4"/>
  <c r="AK269" i="4"/>
  <c r="AK286" i="4" s="1"/>
  <c r="AK254" i="4"/>
  <c r="AL269" i="4"/>
  <c r="AL286" i="4" s="1"/>
  <c r="AL254" i="4"/>
  <c r="AP251" i="4"/>
  <c r="AP266" i="4"/>
  <c r="AJ271" i="4"/>
  <c r="AJ288" i="4" s="1"/>
  <c r="AJ256" i="4"/>
  <c r="AJ272" i="4" s="1"/>
  <c r="AJ369" i="4"/>
  <c r="AJ399" i="4"/>
  <c r="AO266" i="4" l="1"/>
  <c r="AO283" i="4" s="1"/>
  <c r="AO251" i="4"/>
  <c r="AK368" i="4"/>
  <c r="AK398" i="4"/>
  <c r="AQ249" i="4"/>
  <c r="AQ264" i="4"/>
  <c r="AQ281" i="4" s="1"/>
  <c r="AM254" i="4"/>
  <c r="AM269" i="4"/>
  <c r="AM286" i="4" s="1"/>
  <c r="AP283" i="4"/>
  <c r="AL255" i="4"/>
  <c r="AL270" i="4"/>
  <c r="AL287" i="4" s="1"/>
  <c r="AP282" i="4"/>
  <c r="AL368" i="4"/>
  <c r="AL398" i="4"/>
  <c r="AJ400" i="4"/>
  <c r="AQ392" i="4"/>
  <c r="AQ362" i="4"/>
  <c r="AN395" i="4"/>
  <c r="AN365" i="4"/>
  <c r="AP267" i="4"/>
  <c r="AP252" i="4"/>
  <c r="AP393" i="4"/>
  <c r="AP363" i="4"/>
  <c r="AO364" i="4"/>
  <c r="AO394" i="4"/>
  <c r="AN269" i="4"/>
  <c r="AN254" i="4"/>
  <c r="AK270" i="4"/>
  <c r="AK287" i="4" s="1"/>
  <c r="AK255" i="4"/>
  <c r="AM367" i="4"/>
  <c r="AM397" i="4"/>
  <c r="AN285" i="4"/>
  <c r="AP253" i="4" l="1"/>
  <c r="AM398" i="4"/>
  <c r="AM368" i="4"/>
  <c r="AL256" i="4"/>
  <c r="AL271" i="4"/>
  <c r="AK271" i="4"/>
  <c r="AK288" i="4" s="1"/>
  <c r="AK256" i="4"/>
  <c r="AK272" i="4" s="1"/>
  <c r="AM255" i="4"/>
  <c r="AM270" i="4"/>
  <c r="AM287" i="4" s="1"/>
  <c r="AP284" i="4"/>
  <c r="AN270" i="4"/>
  <c r="AN287" i="4" s="1"/>
  <c r="AN255" i="4"/>
  <c r="AQ250" i="4"/>
  <c r="AQ265" i="4"/>
  <c r="AQ282" i="4" s="1"/>
  <c r="AQ363" i="4"/>
  <c r="AQ393" i="4"/>
  <c r="AN286" i="4"/>
  <c r="AK399" i="4"/>
  <c r="AK369" i="4"/>
  <c r="AK400" i="4" s="1"/>
  <c r="AN396" i="4"/>
  <c r="AN366" i="4"/>
  <c r="AO395" i="4"/>
  <c r="AO365" i="4"/>
  <c r="AO252" i="4"/>
  <c r="AO267" i="4"/>
  <c r="AO284" i="4" s="1"/>
  <c r="AL369" i="4"/>
  <c r="AL399" i="4"/>
  <c r="AP364" i="4"/>
  <c r="AP394" i="4"/>
  <c r="AQ251" i="4" l="1"/>
  <c r="AQ266" i="4"/>
  <c r="AQ283" i="4" s="1"/>
  <c r="AN256" i="4"/>
  <c r="AN271" i="4"/>
  <c r="AN288" i="4" s="1"/>
  <c r="AM271" i="4"/>
  <c r="AM288" i="4" s="1"/>
  <c r="AM256" i="4"/>
  <c r="AM272" i="4" s="1"/>
  <c r="AP365" i="4"/>
  <c r="AP395" i="4"/>
  <c r="AL400" i="4"/>
  <c r="AL288" i="4"/>
  <c r="AL272" i="4"/>
  <c r="AO253" i="4"/>
  <c r="AO268" i="4"/>
  <c r="AO285" i="4" s="1"/>
  <c r="AM369" i="4"/>
  <c r="AM400" i="4" s="1"/>
  <c r="AM399" i="4"/>
  <c r="AO366" i="4"/>
  <c r="AO396" i="4"/>
  <c r="AQ364" i="4"/>
  <c r="AQ394" i="4"/>
  <c r="AP268" i="4"/>
  <c r="AP285" i="4" s="1"/>
  <c r="AN367" i="4"/>
  <c r="AN397" i="4"/>
  <c r="AP254" i="4"/>
  <c r="AO367" i="4" l="1"/>
  <c r="AO397" i="4"/>
  <c r="AQ365" i="4"/>
  <c r="AQ395" i="4"/>
  <c r="AO254" i="4"/>
  <c r="AO269" i="4"/>
  <c r="AO286" i="4" s="1"/>
  <c r="AP396" i="4"/>
  <c r="AP366" i="4"/>
  <c r="AN398" i="4"/>
  <c r="AN368" i="4"/>
  <c r="AN272" i="4"/>
  <c r="AP270" i="4"/>
  <c r="AP255" i="4"/>
  <c r="AP269" i="4"/>
  <c r="AP286" i="4" s="1"/>
  <c r="AQ252" i="4"/>
  <c r="AQ267" i="4"/>
  <c r="AQ284" i="4" s="1"/>
  <c r="AP256" i="4" l="1"/>
  <c r="AN369" i="4"/>
  <c r="AN400" i="4" s="1"/>
  <c r="AN399" i="4"/>
  <c r="AP397" i="4"/>
  <c r="AP367" i="4"/>
  <c r="AO270" i="4"/>
  <c r="AO287" i="4" s="1"/>
  <c r="AO255" i="4"/>
  <c r="AQ268" i="4"/>
  <c r="AQ285" i="4" s="1"/>
  <c r="AQ253" i="4"/>
  <c r="AQ396" i="4"/>
  <c r="AQ366" i="4"/>
  <c r="AP287" i="4"/>
  <c r="AO368" i="4"/>
  <c r="AO398" i="4"/>
  <c r="AO399" i="4" l="1"/>
  <c r="AO369" i="4"/>
  <c r="AO400" i="4" s="1"/>
  <c r="AQ254" i="4"/>
  <c r="AQ269" i="4"/>
  <c r="AQ286" i="4" s="1"/>
  <c r="AO271" i="4"/>
  <c r="AO288" i="4" s="1"/>
  <c r="AO256" i="4"/>
  <c r="AO272" i="4" s="1"/>
  <c r="AQ397" i="4"/>
  <c r="AQ367" i="4"/>
  <c r="AP398" i="4"/>
  <c r="AP368" i="4"/>
  <c r="AP272" i="4"/>
  <c r="AP271" i="4"/>
  <c r="AP288" i="4" s="1"/>
  <c r="AQ398" i="4" l="1"/>
  <c r="AQ368" i="4"/>
  <c r="AP369" i="4"/>
  <c r="AP400" i="4" s="1"/>
  <c r="AP399" i="4"/>
  <c r="AQ270" i="4"/>
  <c r="AQ287" i="4" s="1"/>
  <c r="AQ255" i="4"/>
  <c r="AQ271" i="4" l="1"/>
  <c r="AQ288" i="4" s="1"/>
  <c r="AQ256" i="4"/>
  <c r="AQ272" i="4" s="1"/>
  <c r="AQ369" i="4"/>
  <c r="AQ400" i="4" s="1"/>
  <c r="AQ399"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<sst xmlns="http://schemas.openxmlformats.org/spreadsheetml/2006/main" count="5008" uniqueCount="563">
  <si>
    <t>need to fix this to make it a check on the model. Using the annual sum of the data from the monthly data tab instead of the forecast tabs and then checking against those totals will ensure the links in the forecast tabs are correct (assuming these are correct).</t>
  </si>
  <si>
    <t>Fuel Code</t>
  </si>
  <si>
    <t>D3</t>
  </si>
  <si>
    <t xml:space="preserve">  Gallons</t>
  </si>
  <si>
    <t xml:space="preserve">  RINs</t>
  </si>
  <si>
    <t>D4</t>
  </si>
  <si>
    <t xml:space="preserve">    Biodiesel - Domestic</t>
  </si>
  <si>
    <t xml:space="preserve">    Biodiesel - Foreign Generation</t>
  </si>
  <si>
    <t xml:space="preserve">    Biodiesel - Importer</t>
  </si>
  <si>
    <t xml:space="preserve">    Non-ester Renewable Diesel - Domestic</t>
  </si>
  <si>
    <t xml:space="preserve">    Non-ester Renewable Diesel Domestic - EV 1.5</t>
  </si>
  <si>
    <t xml:space="preserve">    Non-ester Renewable Diesel Domestic - EV 1.6</t>
  </si>
  <si>
    <t xml:space="preserve">    Non-ester Renewable Diesel Domestic - EV 1.7</t>
  </si>
  <si>
    <t xml:space="preserve">    Non-ester Renewable Diesel - Foreign Generation</t>
  </si>
  <si>
    <t xml:space="preserve">    Non-estern Renewable Diesel Foreign Generation - EV 1.5</t>
  </si>
  <si>
    <t xml:space="preserve">    Non-ester Renewable Diesel Foreign Generation - EV 1.6</t>
  </si>
  <si>
    <t xml:space="preserve">    Non-estern Renewable Diesel Foreign Generation - EV 1.7</t>
  </si>
  <si>
    <t xml:space="preserve">    Non-estern Renewable Diesel - Importer</t>
  </si>
  <si>
    <t xml:space="preserve">    Non-ester Renewable Diesel Importer - EV 1.5</t>
  </si>
  <si>
    <t xml:space="preserve">    Non-ester Renewable Diesel Importer - EV 1.6</t>
  </si>
  <si>
    <t xml:space="preserve">    Non-ester Renewable Diesel Importer - EV 1.7</t>
  </si>
  <si>
    <t xml:space="preserve">    Renewable Jet Fuel Domestic - EV 1.6</t>
  </si>
  <si>
    <t xml:space="preserve">    Renewable Jet Fuel - Importer</t>
  </si>
  <si>
    <t>D5</t>
  </si>
  <si>
    <t>D6</t>
  </si>
  <si>
    <t>D7</t>
  </si>
  <si>
    <t>2025e</t>
  </si>
  <si>
    <t>2026f</t>
  </si>
  <si>
    <t>2027f</t>
  </si>
  <si>
    <t xml:space="preserve">  Total</t>
  </si>
  <si>
    <t xml:space="preserve">Mandate Requirement </t>
  </si>
  <si>
    <t>(Link to RIN Balance Sheet Forecast.xlsx &amp; Mandate Projections.xlsx)</t>
  </si>
  <si>
    <t>Excess/Deficit</t>
  </si>
  <si>
    <t>US Liquid Transportation Fuels - Monthly Summary</t>
  </si>
  <si>
    <r>
      <t xml:space="preserve">BD - </t>
    </r>
    <r>
      <rPr>
        <sz val="10"/>
        <color rgb="FF6F0791"/>
        <rFont val="Aptos Display"/>
        <family val="2"/>
      </rPr>
      <t>Total</t>
    </r>
    <r>
      <rPr>
        <sz val="12"/>
        <color rgb="FF6F0791"/>
        <rFont val="Aptos Display"/>
        <family val="2"/>
      </rPr>
      <t xml:space="preserve"> Supply</t>
    </r>
  </si>
  <si>
    <t>VOLUMES SUMMARY</t>
  </si>
  <si>
    <t>Mo/Mo</t>
  </si>
  <si>
    <t>5-Yr Avg</t>
  </si>
  <si>
    <t>Delta to 5-Yr</t>
  </si>
  <si>
    <t>Yr/Yr Change</t>
  </si>
  <si>
    <t>Daily Avg</t>
  </si>
  <si>
    <t>5-Yr Avg Daily</t>
  </si>
  <si>
    <t>Delta to 5-yr</t>
  </si>
  <si>
    <t>January</t>
  </si>
  <si>
    <t>February</t>
  </si>
  <si>
    <t>March</t>
  </si>
  <si>
    <t>April</t>
  </si>
  <si>
    <t>May</t>
  </si>
  <si>
    <t>June</t>
  </si>
  <si>
    <t>July</t>
  </si>
  <si>
    <t>August</t>
  </si>
  <si>
    <t>September</t>
  </si>
  <si>
    <t>October</t>
  </si>
  <si>
    <t>November</t>
  </si>
  <si>
    <t>December</t>
  </si>
  <si>
    <r>
      <t xml:space="preserve">BD- </t>
    </r>
    <r>
      <rPr>
        <sz val="10"/>
        <color rgb="FF6F0791"/>
        <rFont val="Aptos Display"/>
        <family val="2"/>
      </rPr>
      <t>Domestic</t>
    </r>
  </si>
  <si>
    <r>
      <t>BD -</t>
    </r>
    <r>
      <rPr>
        <sz val="10"/>
        <color rgb="FF6F0791"/>
        <rFont val="Aptos Display"/>
        <family val="2"/>
      </rPr>
      <t xml:space="preserve"> Imports</t>
    </r>
  </si>
  <si>
    <r>
      <t xml:space="preserve">BD - </t>
    </r>
    <r>
      <rPr>
        <sz val="10"/>
        <color rgb="FF6F0791"/>
        <rFont val="Aptos Display"/>
        <family val="2"/>
      </rPr>
      <t>Foreign Generation</t>
    </r>
  </si>
  <si>
    <r>
      <t xml:space="preserve">BD - </t>
    </r>
    <r>
      <rPr>
        <sz val="10"/>
        <color rgb="FF6F0791"/>
        <rFont val="Aptos Display"/>
        <family val="2"/>
      </rPr>
      <t>Imported Vol</t>
    </r>
  </si>
  <si>
    <r>
      <t xml:space="preserve">RD - </t>
    </r>
    <r>
      <rPr>
        <sz val="10"/>
        <color rgb="FF6F0791"/>
        <rFont val="Aptos Display"/>
        <family val="2"/>
      </rPr>
      <t>Total</t>
    </r>
  </si>
  <si>
    <r>
      <t>RD -</t>
    </r>
    <r>
      <rPr>
        <sz val="10"/>
        <color rgb="FF6F0791"/>
        <rFont val="Aptos Display"/>
        <family val="2"/>
      </rPr>
      <t xml:space="preserve"> Domestic</t>
    </r>
  </si>
  <si>
    <t>Forecast</t>
  </si>
  <si>
    <t>Delta</t>
  </si>
  <si>
    <r>
      <t>RD -</t>
    </r>
    <r>
      <rPr>
        <sz val="10"/>
        <color rgb="FF6F0791"/>
        <rFont val="Aptos Display"/>
        <family val="2"/>
      </rPr>
      <t xml:space="preserve"> Imports</t>
    </r>
  </si>
  <si>
    <r>
      <t xml:space="preserve">RD - </t>
    </r>
    <r>
      <rPr>
        <sz val="10"/>
        <color rgb="FF6F0791"/>
        <rFont val="Aptos Display"/>
        <family val="2"/>
      </rPr>
      <t>Foreign Generation</t>
    </r>
  </si>
  <si>
    <r>
      <t>BBD -</t>
    </r>
    <r>
      <rPr>
        <sz val="10"/>
        <color rgb="FF6F0791"/>
        <rFont val="Aptos Display"/>
        <family val="2"/>
      </rPr>
      <t xml:space="preserve"> Total Supply</t>
    </r>
  </si>
  <si>
    <r>
      <t>BBD -</t>
    </r>
    <r>
      <rPr>
        <sz val="10"/>
        <color rgb="FF6F0791"/>
        <rFont val="Aptos Display"/>
        <family val="2"/>
      </rPr>
      <t xml:space="preserve"> Domestic</t>
    </r>
  </si>
  <si>
    <t>5-Yr Average</t>
  </si>
  <si>
    <t>Jan</t>
  </si>
  <si>
    <t>Feb</t>
  </si>
  <si>
    <t>Mar</t>
  </si>
  <si>
    <t>Apr</t>
  </si>
  <si>
    <t>Jun</t>
  </si>
  <si>
    <t>Jul</t>
  </si>
  <si>
    <t>Aug</t>
  </si>
  <si>
    <t>Sep</t>
  </si>
  <si>
    <t>Oct</t>
  </si>
  <si>
    <t>Nov</t>
  </si>
  <si>
    <t>Dec</t>
  </si>
  <si>
    <r>
      <t>BBD -</t>
    </r>
    <r>
      <rPr>
        <sz val="10"/>
        <color rgb="FF6F0791"/>
        <rFont val="Aptos Display"/>
        <family val="2"/>
      </rPr>
      <t xml:space="preserve"> Imported Vol</t>
    </r>
  </si>
  <si>
    <r>
      <t xml:space="preserve">SAF </t>
    </r>
    <r>
      <rPr>
        <sz val="10"/>
        <color rgb="FF6F0791"/>
        <rFont val="Aptos Display"/>
        <family val="2"/>
      </rPr>
      <t>- Total Supply</t>
    </r>
  </si>
  <si>
    <r>
      <t xml:space="preserve">SAF </t>
    </r>
    <r>
      <rPr>
        <sz val="10"/>
        <color rgb="FF6F0791"/>
        <rFont val="Aptos Display"/>
        <family val="2"/>
      </rPr>
      <t>- Domestic</t>
    </r>
  </si>
  <si>
    <r>
      <t xml:space="preserve">SAF </t>
    </r>
    <r>
      <rPr>
        <sz val="10"/>
        <color rgb="FF6F0791"/>
        <rFont val="Aptos Display"/>
        <family val="2"/>
      </rPr>
      <t>- Imports</t>
    </r>
  </si>
  <si>
    <r>
      <t xml:space="preserve">SAF </t>
    </r>
    <r>
      <rPr>
        <sz val="10"/>
        <color rgb="FF6F0791"/>
        <rFont val="Aptos Display"/>
        <family val="2"/>
      </rPr>
      <t>- Foreign Generation</t>
    </r>
  </si>
  <si>
    <r>
      <t xml:space="preserve">SAF </t>
    </r>
    <r>
      <rPr>
        <sz val="10"/>
        <color rgb="FF6F0791"/>
        <rFont val="Aptos Display"/>
        <family val="2"/>
      </rPr>
      <t>- Imported Vol</t>
    </r>
  </si>
  <si>
    <r>
      <t xml:space="preserve">Liquid Transpo </t>
    </r>
    <r>
      <rPr>
        <sz val="10"/>
        <color rgb="FF6F0791"/>
        <rFont val="Aptos Display"/>
        <family val="2"/>
      </rPr>
      <t>- Total</t>
    </r>
  </si>
  <si>
    <r>
      <t xml:space="preserve">Liquid Transpo </t>
    </r>
    <r>
      <rPr>
        <sz val="10"/>
        <color rgb="FF6F0791"/>
        <rFont val="Aptos Display"/>
        <family val="2"/>
      </rPr>
      <t>- Domestic</t>
    </r>
  </si>
  <si>
    <r>
      <t xml:space="preserve">Liquid Transpo </t>
    </r>
    <r>
      <rPr>
        <sz val="10"/>
        <color rgb="FF6F0791"/>
        <rFont val="Aptos Display"/>
        <family val="2"/>
      </rPr>
      <t>- Imported</t>
    </r>
  </si>
  <si>
    <r>
      <t xml:space="preserve">BBD  </t>
    </r>
    <r>
      <rPr>
        <sz val="10"/>
        <color rgb="FF6F0791"/>
        <rFont val="Aptos Display"/>
        <family val="2"/>
      </rPr>
      <t>- Yr/Yr % Change</t>
    </r>
  </si>
  <si>
    <r>
      <t xml:space="preserve">BBD </t>
    </r>
    <r>
      <rPr>
        <sz val="10"/>
        <color rgb="FF6F0791"/>
        <rFont val="Aptos Display"/>
        <family val="2"/>
      </rPr>
      <t>- Yr/Yr Change in Change</t>
    </r>
  </si>
  <si>
    <r>
      <t xml:space="preserve">Ethanol </t>
    </r>
    <r>
      <rPr>
        <sz val="10"/>
        <color rgb="FF6F0791"/>
        <rFont val="Aptos Display"/>
        <family val="2"/>
      </rPr>
      <t>- Total Supply</t>
    </r>
  </si>
  <si>
    <r>
      <t xml:space="preserve">Ethanol </t>
    </r>
    <r>
      <rPr>
        <sz val="10"/>
        <color rgb="FF6F0791"/>
        <rFont val="Aptos Display"/>
        <family val="2"/>
      </rPr>
      <t>- Cumulative Total</t>
    </r>
  </si>
  <si>
    <r>
      <t xml:space="preserve">Ethanol </t>
    </r>
    <r>
      <rPr>
        <sz val="10"/>
        <color rgb="FF6F0791"/>
        <rFont val="Aptos Display"/>
        <family val="2"/>
      </rPr>
      <t>- % Change in Total</t>
    </r>
  </si>
  <si>
    <r>
      <t>Transpo</t>
    </r>
    <r>
      <rPr>
        <sz val="10"/>
        <color rgb="FF6F0791"/>
        <rFont val="Aptos Display"/>
        <family val="2"/>
      </rPr>
      <t xml:space="preserve"> - Total Supply</t>
    </r>
  </si>
  <si>
    <r>
      <t xml:space="preserve">Transpo </t>
    </r>
    <r>
      <rPr>
        <sz val="10"/>
        <color rgb="FF6F0791"/>
        <rFont val="Aptos Display"/>
        <family val="2"/>
      </rPr>
      <t>- Cumulative Supply</t>
    </r>
  </si>
  <si>
    <r>
      <t xml:space="preserve">Transpo </t>
    </r>
    <r>
      <rPr>
        <sz val="10"/>
        <color rgb="FF6F0791"/>
        <rFont val="Aptos Display"/>
        <family val="2"/>
      </rPr>
      <t>- Mo/Mo % Change</t>
    </r>
  </si>
  <si>
    <r>
      <t xml:space="preserve">Transpo </t>
    </r>
    <r>
      <rPr>
        <sz val="10"/>
        <color rgb="FF6F0791"/>
        <rFont val="Aptos Display"/>
        <family val="2"/>
      </rPr>
      <t>- Yr/Yr Change</t>
    </r>
  </si>
  <si>
    <t>Biodiesel - Total</t>
  </si>
  <si>
    <t>Biodiesel - Domestic</t>
  </si>
  <si>
    <t>Biodiesel - Imports</t>
  </si>
  <si>
    <t>Biodiesel - Foreign Generation</t>
  </si>
  <si>
    <t>Renewable Diesel - Total</t>
  </si>
  <si>
    <t>Renewable Diesel - Domestic</t>
  </si>
  <si>
    <t>STEO production</t>
  </si>
  <si>
    <t>Renewable Diesel - Imports</t>
  </si>
  <si>
    <t>Renewable Diesel - Foreign Generation</t>
  </si>
  <si>
    <t>Combined Domestic BBD Production</t>
  </si>
  <si>
    <t>Combined Imports (Foreign Generation and Importer)</t>
  </si>
  <si>
    <t>Total BBD Supply</t>
  </si>
  <si>
    <t>Total SAF</t>
  </si>
  <si>
    <t>Domestic SAF</t>
  </si>
  <si>
    <t>Month</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</si>
  <si>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</si>
  <si>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</si>
  <si>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</si>
  <si>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</si>
  <si>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</si>
  <si>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</si>
  <si>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</si>
  <si>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</si>
  <si>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</si>
  <si>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</si>
  <si>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</si>
  <si>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</si>
  <si>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</si>
  <si>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</si>
  <si>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</si>
  <si>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</si>
  <si>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</si>
  <si>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</si>
  <si>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</si>
  <si>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</si>
  <si>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</si>
  <si>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</si>
  <si>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</si>
  <si>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Import/Foreign Generation SAF</t>
  </si>
  <si>
    <t>2033</t>
  </si>
  <si>
    <t>2034</t>
  </si>
  <si>
    <t>2035</t>
  </si>
  <si>
    <t>2036</t>
  </si>
  <si>
    <t>2037</t>
  </si>
  <si>
    <t>2038</t>
  </si>
  <si>
    <t>2039</t>
  </si>
  <si>
    <t>2040</t>
  </si>
  <si>
    <t>2041</t>
  </si>
  <si>
    <t>2042</t>
  </si>
  <si>
    <t>2043</t>
  </si>
  <si>
    <t>2044</t>
  </si>
  <si>
    <t>2045</t>
  </si>
  <si>
    <t>2046</t>
  </si>
  <si>
    <t>2047</t>
  </si>
  <si>
    <t>2048</t>
  </si>
  <si>
    <t>2049</t>
  </si>
  <si>
    <t>2050</t>
  </si>
  <si>
    <t>Total BBD Production</t>
  </si>
  <si>
    <t>Cumulative BBD Production</t>
  </si>
  <si>
    <t>Percent Change in Cumulativve BBD Production</t>
  </si>
  <si>
    <t>YR/YR Change in BBD Production Growth</t>
  </si>
  <si>
    <t>Ethanol Total Supply (Domestic Productoin/Foreign Generation/Imports)</t>
  </si>
  <si>
    <t>Ethanol Total Production Percent Change</t>
  </si>
  <si>
    <t>Monthly Liquid Transportation Fuel Production (BD, RD, SAF, Ethanol)</t>
  </si>
  <si>
    <t>Cumulative Liquid Transportation Fuel Production (BD, RD, SAF, Ethanol)</t>
  </si>
  <si>
    <t>Percent Change in Monthly Liquid Transportation Fuel Production (BD, RD, SAF, Ethanol)</t>
  </si>
  <si>
    <t>Yr/Yr Percent Change in Cumulative Liquid Transportation Fuel Production (BD, RD, SAF, Ethanol)</t>
  </si>
  <si>
    <t xml:space="preserve"> rv</t>
  </si>
  <si>
    <t xml:space="preserve">                 esw</t>
  </si>
  <si>
    <t>Qtr/Qtr Chg</t>
  </si>
  <si>
    <t>Yr/Yr Chng</t>
  </si>
  <si>
    <t>Q1</t>
  </si>
  <si>
    <t>Q2</t>
  </si>
  <si>
    <t>Q3</t>
  </si>
  <si>
    <t>Q4</t>
  </si>
  <si>
    <t>Combined BBD Imports (Foreign Generation and Importer)</t>
  </si>
  <si>
    <r>
      <t xml:space="preserve">RFS Production Summary </t>
    </r>
    <r>
      <rPr>
        <b/>
        <sz val="10"/>
        <color theme="1"/>
        <rFont val="Arial Narrow"/>
        <family val="2"/>
      </rPr>
      <t>(gallons)</t>
    </r>
  </si>
  <si>
    <t xml:space="preserve">  D3</t>
  </si>
  <si>
    <t>percent change from prior year</t>
  </si>
  <si>
    <t xml:space="preserve">  D4</t>
  </si>
  <si>
    <t>volume change from last year</t>
  </si>
  <si>
    <t xml:space="preserve">  D5</t>
  </si>
  <si>
    <t>percent change from the five-year average</t>
  </si>
  <si>
    <t xml:space="preserve">  D6</t>
  </si>
  <si>
    <t xml:space="preserve">  D7</t>
  </si>
  <si>
    <t xml:space="preserve">    Combined</t>
  </si>
  <si>
    <t>Biofuel Mandate</t>
  </si>
  <si>
    <r>
      <t xml:space="preserve">Fuel Type Production Summary </t>
    </r>
    <r>
      <rPr>
        <b/>
        <sz val="10"/>
        <color theme="1"/>
        <rFont val="Arial Narrow"/>
        <family val="2"/>
      </rPr>
      <t>(gallons)</t>
    </r>
  </si>
  <si>
    <t xml:space="preserve">    Cellulosic Ethanol</t>
  </si>
  <si>
    <t xml:space="preserve">    Renewable Compressed Natural Gas</t>
  </si>
  <si>
    <t xml:space="preserve">    Renewable Liquefied Natural Gas</t>
  </si>
  <si>
    <t xml:space="preserve">    Cellulosic Renewable Gasoline Blendstock</t>
  </si>
  <si>
    <t xml:space="preserve">    Biodiesel</t>
  </si>
  <si>
    <t xml:space="preserve">    Non-ester Renewable Diesel</t>
  </si>
  <si>
    <t xml:space="preserve">    Jet Fuel</t>
  </si>
  <si>
    <t xml:space="preserve">    Non-cellulosic Ethanol</t>
  </si>
  <si>
    <t xml:space="preserve">    Renewable Heating Oil</t>
  </si>
  <si>
    <t xml:space="preserve">    Biogas</t>
  </si>
  <si>
    <t xml:space="preserve">    Naptha</t>
  </si>
  <si>
    <t xml:space="preserve">    Butanol</t>
  </si>
  <si>
    <t xml:space="preserve">    Cellulosic Diesel</t>
  </si>
  <si>
    <t xml:space="preserve">    Cellulosic Heating Oil</t>
  </si>
  <si>
    <t>Biodiesel Supply</t>
  </si>
  <si>
    <t>Renewable Diesel Supply</t>
  </si>
  <si>
    <t>D4 - Biodiesel Domestic</t>
  </si>
  <si>
    <t>D4 - Biodiesel Foreign Generation</t>
  </si>
  <si>
    <t>D4 - Biodiesel Importer</t>
  </si>
  <si>
    <t>D4 - Non-ester Renewable Diesel Domestic</t>
  </si>
  <si>
    <t>D4 - Non-ester Renewable Diesel Foreign Generation</t>
  </si>
  <si>
    <t>D4 - Non-ester Renewable Diesel Importer</t>
  </si>
  <si>
    <t>D5 - Non-ester Renewable Diesel Domestic</t>
  </si>
  <si>
    <t>D5 - Non-ester Renewable Diesel Foreign Generation</t>
  </si>
  <si>
    <t>D5 - Non-ester Renewable Diesel Importer</t>
  </si>
  <si>
    <t>D6 - Biodiesel Domestic</t>
  </si>
  <si>
    <t>D6 - Biodiesel Foreign Generation</t>
  </si>
  <si>
    <t>D6 - Biodiesel Importer</t>
  </si>
  <si>
    <t>D6 - Non-ester Renewable Diesel Domestic</t>
  </si>
  <si>
    <t>D6 - Non-ester Renewable Diesel Foreign Generation</t>
  </si>
  <si>
    <t>D6 - Non-ester Renewable Diesel Importer</t>
  </si>
  <si>
    <t>Biodiesel Domestic - All Codes</t>
  </si>
  <si>
    <t>Renewable Diesel Domestic - All Codes</t>
  </si>
  <si>
    <t>Biodiesel Foreign Generation - All Codes</t>
  </si>
  <si>
    <t xml:space="preserve">Renewable Diesel Foreign Generation - All Codes </t>
  </si>
  <si>
    <t>Biodiesel Importer - All Codes</t>
  </si>
  <si>
    <t>Renewable Diesel Importer - All Codes</t>
  </si>
  <si>
    <r>
      <t xml:space="preserve">D3 Production </t>
    </r>
    <r>
      <rPr>
        <b/>
        <sz val="10"/>
        <color theme="1"/>
        <rFont val="Arial Narrow"/>
        <family val="2"/>
      </rPr>
      <t>(gallons)</t>
    </r>
  </si>
  <si>
    <t>Cellulosic Ethanol</t>
  </si>
  <si>
    <t xml:space="preserve">  Domestic</t>
  </si>
  <si>
    <t xml:space="preserve">  Importer</t>
  </si>
  <si>
    <t>Renewable Compressed Natural Gas</t>
  </si>
  <si>
    <t>Renewable Liquefied Natural Gas</t>
  </si>
  <si>
    <t>Cellulosic Renewable Gasoline Blendstock</t>
  </si>
  <si>
    <t>Total D3 Production</t>
  </si>
  <si>
    <t>Mandate</t>
  </si>
  <si>
    <t xml:space="preserve">COPY ANNUAL TOTALS FOR NEXT TWO YEARS WHEN DONE </t>
  </si>
  <si>
    <t xml:space="preserve">ADJUSTING TO TALK ABOUT ANY CHANGES IN </t>
  </si>
  <si>
    <t>Exemptions</t>
  </si>
  <si>
    <t>EMTS REPORT PREVIEW ARTICLE IN FOLLOWING MONTH</t>
  </si>
  <si>
    <t>D3 Production</t>
  </si>
  <si>
    <t>AFTER UPDATING COPY THE CURRENT</t>
  </si>
  <si>
    <t>Total Difference between FM forecast and EMTS data</t>
  </si>
  <si>
    <t>Fastmarkets' prediction of EMTS out</t>
  </si>
  <si>
    <t>Change in Fastmarkets prediction of total EMTS production forecast</t>
  </si>
  <si>
    <t xml:space="preserve">MONTHLY DATA IN COLUMN AV TO </t>
  </si>
  <si>
    <t xml:space="preserve">COMPARE FM PREDICTIONS WITH </t>
  </si>
  <si>
    <t>REALIZED DATA</t>
  </si>
  <si>
    <t>Total - Cellulosic Ethanol Production</t>
  </si>
  <si>
    <t>Domestic - Cellulosic Ethanol Production</t>
  </si>
  <si>
    <t>Importer - Cellulosic Ethanol Production</t>
  </si>
  <si>
    <t>Total - Renewable Compressed Natural Gas Production</t>
  </si>
  <si>
    <t>Domestic - Renewable Compressed Natural Gas Production</t>
  </si>
  <si>
    <t>Importer - Renewable Compressed Natural Gas Production</t>
  </si>
  <si>
    <t>Total - Renewable Liquefied Natural Gas Production</t>
  </si>
  <si>
    <t>Domestic - Renewable Liquefied Natural Gas Production</t>
  </si>
  <si>
    <t>Importer - Renewable Liquefied Natural Gas Production</t>
  </si>
  <si>
    <t>Total - Cellulosic Renewable Gasoline Blendstock</t>
  </si>
  <si>
    <t>Domestic - Cellulosic Renewable Gasoline Blendstock</t>
  </si>
  <si>
    <t>Importer - Cellulosic Renewable Gasoline Blendstock</t>
  </si>
  <si>
    <t>D3 Gallons</t>
  </si>
  <si>
    <t>Annual Cumulative Totals</t>
  </si>
  <si>
    <r>
      <t xml:space="preserve">Cellulosic Renewable Gasoline Blendstock </t>
    </r>
    <r>
      <rPr>
        <b/>
        <sz val="6"/>
        <color theme="0"/>
        <rFont val="Aptos Display"/>
        <family val="2"/>
      </rPr>
      <t>(EV application required)</t>
    </r>
  </si>
  <si>
    <t>Monthly D3 Totals</t>
  </si>
  <si>
    <t>Cellulosic Renewable Gasoline Blendstock (EV application required)</t>
  </si>
  <si>
    <t>Domestic</t>
  </si>
  <si>
    <t>Importer</t>
  </si>
  <si>
    <t>Total</t>
  </si>
  <si>
    <t>April 2024 Report Changes to 2023 Data</t>
  </si>
  <si>
    <t>NEED TO ADD RENEWABLE NATURAL GAS - RNG to this sheet, RINS and forecasts.</t>
  </si>
  <si>
    <t>May be able to use the columns for Cellulosic Renewable Gasoline blendstock  - noticed this is 0 since 2016…....</t>
  </si>
  <si>
    <t>OPEN ALL SPREADSHEETS BEFORE UPDATING DATA</t>
  </si>
  <si>
    <t>D3 RIN Generation</t>
  </si>
  <si>
    <t>Total D3 RINs</t>
  </si>
  <si>
    <t>D3 Mandate</t>
  </si>
  <si>
    <t>Net D3 Mandate</t>
  </si>
  <si>
    <t>D3 RINs</t>
  </si>
  <si>
    <t>Total - Cellulosic Ethanol RINs</t>
  </si>
  <si>
    <t>Domestic - Cellulosic Ethanol RINs</t>
  </si>
  <si>
    <t>Importer - Cellulosic Ethanol RINs</t>
  </si>
  <si>
    <t>Cumulative Totals</t>
  </si>
  <si>
    <r>
      <t xml:space="preserve">D4 Production </t>
    </r>
    <r>
      <rPr>
        <b/>
        <sz val="10"/>
        <color theme="1"/>
        <rFont val="Arial Narrow"/>
        <family val="2"/>
      </rPr>
      <t>(gallons)</t>
    </r>
  </si>
  <si>
    <t>RIN Balance Sheet Forecast.xlsx or Mandate Projections.xlsx</t>
  </si>
  <si>
    <t>Monthly Biofuel Adjustment.xlsx linked here</t>
  </si>
  <si>
    <t>This year</t>
  </si>
  <si>
    <t>5-Yr Avg.</t>
  </si>
  <si>
    <t>Biodiesel</t>
  </si>
  <si>
    <t xml:space="preserve">  Foreign Generation</t>
  </si>
  <si>
    <t>Non-ester Renewable Diesel</t>
  </si>
  <si>
    <t xml:space="preserve">    EV 1.5</t>
  </si>
  <si>
    <t xml:space="preserve">    EV 1.6</t>
  </si>
  <si>
    <t xml:space="preserve">    EV 1.7</t>
  </si>
  <si>
    <t>Renewable Jet Fuel</t>
  </si>
  <si>
    <t xml:space="preserve">    EV Application Required</t>
  </si>
  <si>
    <t>Renewable Heating Oil</t>
  </si>
  <si>
    <t>Total D4 Production</t>
  </si>
  <si>
    <t>D4 After Exemptions</t>
  </si>
  <si>
    <t>Foreign Generation D4 percent of total RD Imports</t>
  </si>
  <si>
    <t>Unspecified D5 added to D4</t>
  </si>
  <si>
    <t>Implied D4 Mandate</t>
  </si>
  <si>
    <t>ADJUST GREEN NUMBERS IN Mandate Projections File</t>
  </si>
  <si>
    <t>Total D4 Production Relative to Calculated Mandate</t>
  </si>
  <si>
    <t>ORANGE NUMBERS SET BY ASSUMED TEXMARK FACILITY CAPACITY</t>
  </si>
  <si>
    <t>D4 Production</t>
  </si>
  <si>
    <t>Q1 2025</t>
  </si>
  <si>
    <t>Q1 2024</t>
  </si>
  <si>
    <t>Q4 2024</t>
  </si>
  <si>
    <t>Total - Biodiesel Production</t>
  </si>
  <si>
    <t>Domestic - Biodiesel Production</t>
  </si>
  <si>
    <t>Foreign Generation - Biodiesel Production</t>
  </si>
  <si>
    <t>Importer - Biodiesel Production</t>
  </si>
  <si>
    <t>Total - Non-ester Renewable Production</t>
  </si>
  <si>
    <t>Domestic - Non-ester Renewable Production</t>
  </si>
  <si>
    <t>Domestic - Non-ester Renewable Production - EV 1.5</t>
  </si>
  <si>
    <t>DGD3 - Naptha</t>
  </si>
  <si>
    <t>Montana Renewables Calumet</t>
  </si>
  <si>
    <t>Texmark Chemicals Pathway</t>
  </si>
  <si>
    <t>Domestic - Non-ester Renewable Production - EV 1.6</t>
  </si>
  <si>
    <t>Beginning in Oct-19 - This is really SAF production at Texmark facility using Neste RD?</t>
  </si>
  <si>
    <t>MPC - Martinez</t>
  </si>
  <si>
    <t>Average Daily Output</t>
  </si>
  <si>
    <t>Domestic - Non-ester Renewable Production - EV 1.7</t>
  </si>
  <si>
    <t>Foreign Generation - Non-ester Renewable Production</t>
  </si>
  <si>
    <t>Foreign Generation - Non-ester Renewable Production - EV 1.5</t>
  </si>
  <si>
    <t>Foreign Generation - Non-ester Renewable Production - EV 1.6</t>
  </si>
  <si>
    <t>Koole-Neste Pathway</t>
  </si>
  <si>
    <t>Foreign Generation - Non-ester Renewable Production - EV 1.7</t>
  </si>
  <si>
    <t>Importer - Non-ester Renewable Production</t>
  </si>
  <si>
    <t>Importer - Non-ester Renewable Production - EV 1.5</t>
  </si>
  <si>
    <t>Importer - Non-ester Renewable Production - EV 1.6</t>
  </si>
  <si>
    <t>Importer - Non-ester Renewable Production - EV 1.7</t>
  </si>
  <si>
    <t>Total Jet Fuel - Production</t>
  </si>
  <si>
    <t>Domestic - Jet Fuel - EV 1.6</t>
  </si>
  <si>
    <t>World Energy</t>
  </si>
  <si>
    <t>Domestic - Renewable Jet Fuel - EV Application Required</t>
  </si>
  <si>
    <t>Foreign Generation - Renewable Jet Fuel</t>
  </si>
  <si>
    <t>Is this Koole-Neste?</t>
  </si>
  <si>
    <t>Total Renewable Heating Oil - Production</t>
  </si>
  <si>
    <t>Domestic - Renewable Heating Oil - EV 1.6</t>
  </si>
  <si>
    <t>Date</t>
  </si>
  <si>
    <t>Biodiesel - Importer</t>
  </si>
  <si>
    <t>Non-ester Renewable Diesel - Domestic</t>
  </si>
  <si>
    <t>Non-ester Renewable Diesel - Foreign Generation</t>
  </si>
  <si>
    <t>Non-estern Renewable Diesel - Importer</t>
  </si>
  <si>
    <t>Non-ester Renewable Diesel - Total</t>
  </si>
  <si>
    <t>Renewable Jet Fuel - Domestic</t>
  </si>
  <si>
    <t>Renewable Jet Fuel - Foreign Generation (manual fill)</t>
  </si>
  <si>
    <t>Renewable Jet Fuel - Total</t>
  </si>
  <si>
    <t>Renewable Heating Oil - Domestic -EV 1.6 (Manual Enter</t>
  </si>
  <si>
    <t>Renewable Heating Oil - Total</t>
  </si>
  <si>
    <t>D4 Totals - Domestic</t>
  </si>
  <si>
    <t>D4 Totals - Foreign Generation</t>
  </si>
  <si>
    <t>D4 Totals - Importer</t>
  </si>
  <si>
    <t>D4 Totals - Total</t>
  </si>
  <si>
    <t>Non-ester Renewable Diesel Domestic - EV 1.5</t>
  </si>
  <si>
    <t>Non-ester Renewable Diesel Domestic - EV 1.6</t>
  </si>
  <si>
    <t>Non-ester Renewable Diesel Domestic - EV 1.7</t>
  </si>
  <si>
    <t>Non-ester Renewable Diesel Domestic Breakout - Total</t>
  </si>
  <si>
    <t>Non-ester Renewable Diesel Foreign Generation - EV 1.5</t>
  </si>
  <si>
    <t>Non-ester Renewable Diesel Foreign Generation - EV 1.6</t>
  </si>
  <si>
    <t>Non-ester Renewable Diesel Foreign Generation - EV 1.7</t>
  </si>
  <si>
    <t>Non-ester Renewable Diesel Foreign Generation Breakout - Total</t>
  </si>
  <si>
    <t>Non-ester Renewable Diesel Importer - EV 1.5</t>
  </si>
  <si>
    <t>Non-ester Renewable Diesel Importer - EV 1.6</t>
  </si>
  <si>
    <t>Non-ester Renewable Diesel Importer - EV 1.7</t>
  </si>
  <si>
    <t>Non-ester Renewable Diesel Importer Breakout - Total</t>
  </si>
  <si>
    <t>Renewable Jet Fuel Domestic - EV 1.6</t>
  </si>
  <si>
    <t>Renewable Jet Fuel Domestic - EV Application Required</t>
  </si>
  <si>
    <t>Renewable Jet Fuel Domestic Breakout - Total</t>
  </si>
  <si>
    <t>Specific April Revisions</t>
  </si>
  <si>
    <t>Cumulative April Revisions</t>
  </si>
  <si>
    <t>April 2024 Report Changes to Historical Data</t>
  </si>
  <si>
    <t>2023 Monthly</t>
  </si>
  <si>
    <t>2024 Monthly</t>
  </si>
  <si>
    <t>2023 Cumulative Total</t>
  </si>
  <si>
    <t>2024 Cumulative total</t>
  </si>
  <si>
    <t>D4 RIN Generation</t>
  </si>
  <si>
    <t>Non-ester Renewable</t>
  </si>
  <si>
    <t>Total D4 Generation</t>
  </si>
  <si>
    <t>D4 Mandate</t>
  </si>
  <si>
    <t>Net D4 Mandate</t>
  </si>
  <si>
    <t>Production in Gallons</t>
  </si>
  <si>
    <t>RINs per Gallon</t>
  </si>
  <si>
    <t>Total - Biodiesel RIN Generation</t>
  </si>
  <si>
    <t>Domestic - Biodiesel RIN Generation</t>
  </si>
  <si>
    <t>Foreign Generation - Biodiesel RIN Generation</t>
  </si>
  <si>
    <t>Importer - Biodiesel RIN Generation</t>
  </si>
  <si>
    <t>Total - Non-ester Renewable RIN Generation</t>
  </si>
  <si>
    <t>Domestic - Non-ester Renewable RIN Generation</t>
  </si>
  <si>
    <t>Domestic - Non-ester Renewable RIN Generation - EV 1.5</t>
  </si>
  <si>
    <t>Domestic - Non-ester Renewable RIN Generation - EV 1.6</t>
  </si>
  <si>
    <t>Domestic - Non-ester Renewable RIN Generation - EV 1.7</t>
  </si>
  <si>
    <t>Foreign Generation - Non-ester Renewable RIN Generation</t>
  </si>
  <si>
    <t>Foreign Generation - Non-ester Renewable RIN Generation - EV 1.5</t>
  </si>
  <si>
    <t>Foreign Generation - Non-ester Renewable RIN Generation - EV 1.6</t>
  </si>
  <si>
    <t>Foreign Generation - Non-ester Renewable RIN Generation - EV 1.7</t>
  </si>
  <si>
    <t>Importer - Non-ester Renewable RIN Generation</t>
  </si>
  <si>
    <t>Importer - Non-ester Renewable RIN Generation - EV 1.5</t>
  </si>
  <si>
    <t>Importer - Non-ester Renewable RIN Generation - EV 1.6</t>
  </si>
  <si>
    <t>Importer - Non-ester Renewable RIN Generation - EV 1.7</t>
  </si>
  <si>
    <t>Total Jet Fuel - RIN Generation</t>
  </si>
  <si>
    <t>Domestic - Renewable Jet Fuel - RIN Generation</t>
  </si>
  <si>
    <t>Domestic - Renewable Jet Fuel - EV 1.6</t>
  </si>
  <si>
    <t>Importer - Renewable Jet Fuel</t>
  </si>
  <si>
    <t>Non-ester Renewable Breakout</t>
  </si>
  <si>
    <t>Renewable Jet Fuel Breakout</t>
  </si>
  <si>
    <t>Alt Jet - Foreign</t>
  </si>
  <si>
    <t>Renewable Heating Oil Breakout</t>
  </si>
  <si>
    <t>Renewable Jet Fuel - Copy Formula Down</t>
  </si>
  <si>
    <t>Renewable Heating Oil (manual enter)</t>
  </si>
  <si>
    <t>D4 Totals</t>
  </si>
  <si>
    <t>Foreign</t>
  </si>
  <si>
    <t>Average D4 RINs per gallon of D4 production</t>
  </si>
  <si>
    <t>Foreign Generation</t>
  </si>
  <si>
    <t>EV 1.5</t>
  </si>
  <si>
    <t>EV 1.6</t>
  </si>
  <si>
    <t>EV 1.7</t>
  </si>
  <si>
    <t>EV Application Required</t>
  </si>
  <si>
    <t>D5 Production (gallons)</t>
  </si>
  <si>
    <t>RIN Balance Sheet Forecast.xlsx</t>
  </si>
  <si>
    <t>Non-Cellulosic Ethanol</t>
  </si>
  <si>
    <t>d4</t>
  </si>
  <si>
    <t>Biogas</t>
  </si>
  <si>
    <t>d5</t>
  </si>
  <si>
    <t>d6</t>
  </si>
  <si>
    <t>Naptha</t>
  </si>
  <si>
    <t xml:space="preserve">    EV 1.4</t>
  </si>
  <si>
    <t>LPG</t>
  </si>
  <si>
    <t>Total D5 Production</t>
  </si>
  <si>
    <t>Unspecified D5 Mandate</t>
  </si>
  <si>
    <t>Naptha EV 1.5 percent of domestic RD production in D4 and D5</t>
  </si>
  <si>
    <t>D5 Mandate After Exemptions</t>
  </si>
  <si>
    <t>Naptha is a by-product of renewable diesel. Online searches indicate its yield should be 7 - 9 of output, but we have not been in that range since 2018</t>
  </si>
  <si>
    <t>D3 &amp; D5 Production</t>
  </si>
  <si>
    <t>Net Unspecified D5 Mandate</t>
  </si>
  <si>
    <t>Naptha percentage of RD production</t>
  </si>
  <si>
    <t>D5 Production</t>
  </si>
  <si>
    <t>Yr/Yr</t>
  </si>
  <si>
    <t xml:space="preserve">Total - Non-Cellulosic Ethanol </t>
  </si>
  <si>
    <t xml:space="preserve">Domestic - Non-Cellulosic Ethanol </t>
  </si>
  <si>
    <t xml:space="preserve">Importer - Non-Cellulosic Ethanol </t>
  </si>
  <si>
    <t>Total - Non-ester Renewable Diesel</t>
  </si>
  <si>
    <t>Domestic - Non-ester Renewable Diesel</t>
  </si>
  <si>
    <t>Domestic - Non-ester Renewable Diesel - EV 1.6</t>
  </si>
  <si>
    <t>Domestic - Non-ester Renewable Diesel - EV 1.7</t>
  </si>
  <si>
    <t>Co-Processing</t>
  </si>
  <si>
    <t>Figure out who this is- non-traditional feedstock?</t>
  </si>
  <si>
    <t>Importer - Non-ester Renewable Diesel</t>
  </si>
  <si>
    <t>Total - Renewable Heating Oil</t>
  </si>
  <si>
    <t>Domestic - Renewable Heating Oil</t>
  </si>
  <si>
    <t>Importer - Renewable Heating Oil</t>
  </si>
  <si>
    <t>Total - Biogas</t>
  </si>
  <si>
    <t>Domestic - Biogas</t>
  </si>
  <si>
    <t>Importer - Biogas</t>
  </si>
  <si>
    <t>Total - Naphta</t>
  </si>
  <si>
    <t>Domestic - Naphta - EV 1.4</t>
  </si>
  <si>
    <t>Domestic - Naphta - EV 1.5</t>
  </si>
  <si>
    <t>Importer - Naphta</t>
  </si>
  <si>
    <t>Total - Renewable Compressed Natural Gas</t>
  </si>
  <si>
    <t>Domestic - Renewable Compressed Natural Gas</t>
  </si>
  <si>
    <t>Importer - Renewable Compressed Natural Gas</t>
  </si>
  <si>
    <t>Total - LPG</t>
  </si>
  <si>
    <t>Domestic - LPG</t>
  </si>
  <si>
    <t>Importer - LPG</t>
  </si>
  <si>
    <t>D5 Gallons</t>
  </si>
  <si>
    <t>Naphta Breakout</t>
  </si>
  <si>
    <t>Naphta - Check Breakout</t>
  </si>
  <si>
    <t>D5 Totals</t>
  </si>
  <si>
    <t>Domestic - (manual enter)</t>
  </si>
  <si>
    <t>Naphta</t>
  </si>
  <si>
    <t>EV 1.4</t>
  </si>
  <si>
    <t>D5 RIN Generation</t>
  </si>
  <si>
    <t>Exemptions and Ethanol Imports</t>
  </si>
  <si>
    <t>Net D5 Mandate</t>
  </si>
  <si>
    <t>Domestic - Naphta</t>
  </si>
  <si>
    <t>Domestic - Naphta EV 1.4</t>
  </si>
  <si>
    <t>Domestic - Naphta EV 1.5</t>
  </si>
  <si>
    <t>Monthly D5 RIN Generation</t>
  </si>
  <si>
    <t>Naptha Breakout</t>
  </si>
  <si>
    <t>Naphta (manual enter)</t>
  </si>
  <si>
    <t>D6 Production (gallons)</t>
  </si>
  <si>
    <t>Mandate Projections.xlsx linked here</t>
  </si>
  <si>
    <t xml:space="preserve">RD Feedstock Buildup.xlsx linked here </t>
  </si>
  <si>
    <t>Chevron El Segundo</t>
  </si>
  <si>
    <t>Non-cellulosic Ethanol</t>
  </si>
  <si>
    <t>Butanol</t>
  </si>
  <si>
    <t>Give me</t>
  </si>
  <si>
    <t>Renewable Gasoline</t>
  </si>
  <si>
    <t>Total D6 Production</t>
  </si>
  <si>
    <t>D6 Mandate</t>
  </si>
  <si>
    <t>Exepmtions</t>
  </si>
  <si>
    <t>D4 portion of RD Imports/FG</t>
  </si>
  <si>
    <t>D6 Mandate After Exemptions</t>
  </si>
  <si>
    <t>EIA gasoline consumption</t>
  </si>
  <si>
    <t>EIA STEO</t>
  </si>
  <si>
    <t>domestic ethanol production % of gasoline consumption</t>
  </si>
  <si>
    <t>D6 Production</t>
  </si>
  <si>
    <t>yr-yr cng in gas cons.</t>
  </si>
  <si>
    <t>Total - Biodiesel</t>
  </si>
  <si>
    <t>Domestic - Biodiesel</t>
  </si>
  <si>
    <t>Importer - Biodiesel</t>
  </si>
  <si>
    <t>Total - Non-cellulosic Ethanol</t>
  </si>
  <si>
    <t>Domestic - Non-cellulosic Ethanol</t>
  </si>
  <si>
    <t>Importer - Non-cellulosic Ethanol</t>
  </si>
  <si>
    <t>Total - Butanol</t>
  </si>
  <si>
    <t>Domestic - Butanol</t>
  </si>
  <si>
    <t>Importer - Butanol</t>
  </si>
  <si>
    <t>Foreign Generation - Non-ester Renewable Diesel</t>
  </si>
  <si>
    <t>Total - Renewable Jet Fuel</t>
  </si>
  <si>
    <t>Domestic - Renewable Jet Fuel</t>
  </si>
  <si>
    <t>Total - Renewable Gasoline</t>
  </si>
  <si>
    <t>Domestic - Renewable Gasoline</t>
  </si>
  <si>
    <t>Importer - Renewable Gasoline</t>
  </si>
  <si>
    <t>STEO Ethanol and Gasoline Data (billion gallons)</t>
  </si>
  <si>
    <t>Motor Gasoline Product Supplied</t>
  </si>
  <si>
    <t>Fuel Ethanol blended into Motor Gasoline</t>
  </si>
  <si>
    <t>Blending Rate</t>
  </si>
  <si>
    <t>EMTS/Fastmarkets' Ethanol Supply</t>
  </si>
  <si>
    <t>Unblended Ethanol</t>
  </si>
  <si>
    <t>Ethanol Supply Percent of Gasoline Supply</t>
  </si>
  <si>
    <t>US ETHANOL SUPPLY AND DEMAND - EIA</t>
  </si>
  <si>
    <t>Beginning Stocks</t>
  </si>
  <si>
    <t>Updated Dec 24 STEO</t>
  </si>
  <si>
    <t>Domestic Production</t>
  </si>
  <si>
    <t>Imports</t>
  </si>
  <si>
    <t>Net Imports</t>
  </si>
  <si>
    <t>Total Supply</t>
  </si>
  <si>
    <t>Ethanol Blended into Gasoline</t>
  </si>
  <si>
    <t>MONTHLY FORECAST CHANGE</t>
  </si>
  <si>
    <t>Gasoline Supply</t>
  </si>
  <si>
    <t>Ethanol Blended</t>
  </si>
  <si>
    <t>OLD-ESTIMATES</t>
  </si>
  <si>
    <t>Ethanol Production</t>
  </si>
  <si>
    <t>YEAR-OVER-YEAR CHANGE</t>
  </si>
  <si>
    <t>Fuel Ethanol Blended into Motor Gasoline</t>
  </si>
  <si>
    <t>D6 Gallons</t>
  </si>
  <si>
    <t>D6 Totals</t>
  </si>
  <si>
    <t>Year-over-Year Cumulative Changes</t>
  </si>
  <si>
    <t>April 2024 Report Revisions</t>
  </si>
  <si>
    <t>D6 RIN Generation</t>
  </si>
  <si>
    <t>Net D6 Mandate</t>
  </si>
  <si>
    <t>Monthly D6 RIN Generation</t>
  </si>
  <si>
    <t>D7 Production (gallons)</t>
  </si>
  <si>
    <t>Cellulosic Diesel</t>
  </si>
  <si>
    <t xml:space="preserve">    Other</t>
  </si>
  <si>
    <t>Cellulosic Heating Oil</t>
  </si>
  <si>
    <t>Total D7 Production</t>
  </si>
  <si>
    <t>D7 Production</t>
  </si>
  <si>
    <t>Total - Cellulosic Diesel</t>
  </si>
  <si>
    <t>Domestic - Cellulosic Diesel</t>
  </si>
  <si>
    <t>Domestic - Cellulosic Diesel - EV Application Required</t>
  </si>
  <si>
    <t>Domestic - Cellulosic Diesel - Other</t>
  </si>
  <si>
    <t>Importer - Cellulosic Diesel</t>
  </si>
  <si>
    <t>Total - Cellulosic Heating Oil</t>
  </si>
  <si>
    <t>Domestic - Cellulosic Heating Oil</t>
  </si>
  <si>
    <t>Importer - Cellulosic Heating Oil</t>
  </si>
  <si>
    <t>Importer - Cellulosic Heating Oil - EV Application Required</t>
  </si>
  <si>
    <t>Importer - Cellulosic Heating Oil - Other</t>
  </si>
  <si>
    <t>D7 Gallons</t>
  </si>
  <si>
    <t>Breakdowns</t>
  </si>
  <si>
    <t>D7 Totals</t>
  </si>
  <si>
    <t>Domestic Cellulosic Diesel Breakdown</t>
  </si>
  <si>
    <t>Importer Cellulosic Heating Oil Breakdown</t>
  </si>
  <si>
    <t>Other</t>
  </si>
  <si>
    <t>D7 RIN Generation</t>
  </si>
  <si>
    <t>D7 Mandate</t>
  </si>
  <si>
    <t>Net D7 Mandate</t>
  </si>
  <si>
    <t>Monthly D7 RIN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</si>
</sst>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_(* #,##0_);_(* \(#,##0\);_(* &quot;-&quot;??_);_(@_)"/>
    <numFmt numFmtId="166" formatCode="#,##0.000_);[Red]\(#,##0.000\)"/>
    <numFmt numFmtId="167" formatCode="0.000"/>
    <numFmt numFmtId="168" formatCode="[$-409]mmm\-yy;@"/>
    <numFmt numFmtId="169" formatCode="0_);[Red]\(0\)"/>
    <numFmt numFmtId="170" formatCode="0.00_);[Red]\(0.00\)"/>
    <numFmt numFmtId="171" formatCode="#,##0.0_);[Red]\(#,##0.0\)"/>
    <numFmt numFmtId="172" formatCode="0.0"/>
  </numFmts>
  <fonts count="73">
    <font>
      <sz val="11"/>
      <color theme="1"/>
      <name val="Aptos Narrow"/>
      <family val="2"/>
      <scheme val="minor"/>
    </font>
    <font>
      <sz val="11"/>
      <color theme="1"/>
      <name val="Aptos Narrow"/>
      <family val="2"/>
      <scheme val="minor"/>
    </font>
    <font>
      <sz val="28"/>
      <color rgb="FFFF0000"/>
      <name val="Aptos Black"/>
      <family val="2"/>
    </font>
    <font>
      <sz val="10"/>
      <color theme="1"/>
      <name val="Arial Narrow"/>
      <family val="2"/>
    </font>
    <font>
      <b/>
      <sz val="10"/>
      <color theme="1"/>
      <name val="Arial Narrow"/>
      <family val="2"/>
    </font>
    <font>
      <sz val="11"/>
      <color theme="1"/>
      <name val="Arial"/>
      <family val="2"/>
    </font>
    <font>
      <sz val="11"/>
      <color theme="1"/>
      <name val="Arial Narrow"/>
      <family val="2"/>
    </font>
    <font>
      <b/>
      <sz val="14"/>
      <color theme="1"/>
      <name val="Aptos Display"/>
      <family val="2"/>
    </font>
    <font>
      <sz val="10"/>
      <color theme="1"/>
      <name val="Aptos Display"/>
      <family val="2"/>
    </font>
    <font>
      <sz val="12"/>
      <color rgb="FF6F0791"/>
      <name val="Aptos Display"/>
      <family val="2"/>
    </font>
    <font>
      <sz val="10"/>
      <color rgb="FF6F0791"/>
      <name val="Aptos Display"/>
      <family val="2"/>
    </font>
    <font>
      <b/>
      <sz val="12"/>
      <color rgb="FFFF0000"/>
      <name val="Aptos Display"/>
      <family val="2"/>
    </font>
    <font>
      <b/>
      <sz val="10"/>
      <color theme="1"/>
      <name val="Aptos Display"/>
      <family val="2"/>
    </font>
    <font>
      <sz val="10"/>
      <color rgb="FFFF0000"/>
      <name val="Aptos Display"/>
      <family val="2"/>
    </font>
    <font>
      <sz val="8"/>
      <color rgb="FF6F0791"/>
      <name val="Avenir Next LT Pro Demi"/>
      <family val="2"/>
    </font>
    <font>
      <sz val="8"/>
      <color theme="1"/>
      <name val="Avenir Next LT Pro Demi"/>
      <family val="2"/>
    </font>
    <font>
      <b/>
      <sz val="8"/>
      <color theme="1"/>
      <name val="Avenir Next LT Pro Demi"/>
      <family val="2"/>
    </font>
    <font>
      <sz val="8"/>
      <color rgb="FFFF0000"/>
      <name val="Avenir Next LT Pro Demi"/>
      <family val="2"/>
    </font>
    <font>
      <b/>
      <sz val="8"/>
      <color rgb="FF6F0791"/>
      <name val="Avenir Next LT Pro Demi"/>
      <family val="2"/>
    </font>
    <font>
      <b/>
      <sz val="14"/>
      <color theme="1"/>
      <name val="Arial Narrow"/>
      <family val="2"/>
    </font>
    <font>
      <sz val="9"/>
      <color theme="1"/>
      <name val="Arial Narrow"/>
      <family val="2"/>
    </font>
    <font>
      <sz val="9"/>
      <color theme="1"/>
      <name val="Brown"/>
    </font>
    <font>
      <b/>
      <sz val="10"/>
      <color rgb="FF8E9A44"/>
      <name val="Arial Narrow"/>
      <family val="2"/>
    </font>
    <font>
      <b/>
      <sz val="10"/>
      <color rgb="FFC00000"/>
      <name val="Arial Narrow"/>
      <family val="2"/>
    </font>
    <font>
      <b/>
      <sz val="10"/>
      <name val="Arial Narrow"/>
      <family val="2"/>
    </font>
    <font>
      <sz val="8"/>
      <color theme="1"/>
      <name val="BrownLight"/>
    </font>
    <font>
      <b/>
      <sz val="12"/>
      <color theme="1"/>
      <name val="Arial Narrow"/>
      <family val="2"/>
    </font>
    <font>
      <sz val="8"/>
      <color theme="1"/>
      <name val="Arial Narrow"/>
      <family val="2"/>
    </font>
    <font>
      <sz val="10"/>
      <color theme="1"/>
      <name val="Aptos Narrow"/>
      <family val="2"/>
      <scheme val="minor"/>
    </font>
    <font>
      <sz val="9"/>
      <color theme="1"/>
      <name val="Aptos Display"/>
      <family val="2"/>
    </font>
    <font>
      <sz val="12"/>
      <color theme="1"/>
      <name val="Aptos Display"/>
      <family val="2"/>
    </font>
    <font>
      <b/>
      <sz val="12"/>
      <color theme="1"/>
      <name val="Aptos Display"/>
      <family val="2"/>
    </font>
    <font>
      <b/>
      <sz val="12"/>
      <color theme="0"/>
      <name val="Aptos Display"/>
      <family val="2"/>
    </font>
    <font>
      <b/>
      <sz val="10"/>
      <color theme="0"/>
      <name val="Aptos Display"/>
      <family val="2"/>
    </font>
    <font>
      <b/>
      <sz val="6"/>
      <color theme="0"/>
      <name val="Aptos Display"/>
      <family val="2"/>
    </font>
    <font>
      <b/>
      <sz val="10"/>
      <color rgb="FFFF0000"/>
      <name val="Aptos Display"/>
      <family val="2"/>
    </font>
    <font>
      <sz val="24"/>
      <color theme="1"/>
      <name val="Aptos Display"/>
      <family val="2"/>
    </font>
    <font>
      <b/>
      <sz val="10"/>
      <color rgb="FF323232"/>
      <name val="Arial Narrow"/>
      <family val="2"/>
    </font>
    <font>
      <sz val="10"/>
      <color rgb="FF323232"/>
      <name val="Arial Narrow"/>
      <family val="2"/>
    </font>
    <font>
      <b/>
      <sz val="8"/>
      <color theme="1"/>
      <name val="Arial Narrow"/>
      <family val="2"/>
    </font>
    <font>
      <b/>
      <sz val="10"/>
      <color theme="0"/>
      <name val="Arial Narrow"/>
      <family val="2"/>
    </font>
    <font>
      <u/>
      <sz val="11"/>
      <color theme="10"/>
      <name val="Aptos Narrow"/>
      <family val="2"/>
      <scheme val="minor"/>
    </font>
    <font>
      <b/>
      <sz val="10"/>
      <color rgb="FF00B050"/>
      <name val="Arial Narrow"/>
      <family val="2"/>
    </font>
    <font>
      <sz val="10"/>
      <name val="Arial Narrow"/>
      <family val="2"/>
    </font>
    <font>
      <b/>
      <sz val="10"/>
      <color theme="5"/>
      <name val="Arial Narrow"/>
      <family val="2"/>
    </font>
    <font>
      <b/>
      <sz val="9"/>
      <color theme="1"/>
      <name val="Aptos Display"/>
      <family val="2"/>
    </font>
    <font>
      <b/>
      <sz val="10"/>
      <color rgb="FFFF0000"/>
      <name val="Arial Narrow"/>
      <family val="2"/>
    </font>
    <font>
      <u/>
      <sz val="9"/>
      <color theme="10"/>
      <name val="Arial Narrow"/>
      <family val="2"/>
    </font>
    <font>
      <sz val="11"/>
      <color theme="1"/>
      <name val="Aptos Display"/>
      <family val="2"/>
    </font>
    <font>
      <b/>
      <sz val="8"/>
      <color rgb="FF8E9A44"/>
      <name val="Avenir Next LT Pro Demi"/>
      <family val="2"/>
    </font>
    <font>
      <b/>
      <sz val="8"/>
      <name val="Avenir Next LT Pro Demi"/>
      <family val="2"/>
    </font>
    <font>
      <sz val="8"/>
      <name val="Avenir Next LT Pro Demi"/>
      <family val="2"/>
    </font>
    <font>
      <b/>
      <sz val="8"/>
      <color theme="1"/>
      <name val="Aptos Display"/>
      <family val="2"/>
    </font>
    <font>
      <sz val="8"/>
      <color theme="1"/>
      <name val="Aptos Display"/>
      <family val="2"/>
    </font>
    <font>
      <b/>
      <sz val="8"/>
      <color rgb="FF00B050"/>
      <name val="Aptos Display"/>
      <family val="2"/>
    </font>
    <font>
      <b/>
      <sz val="8"/>
      <name val="Aptos Display"/>
      <family val="2"/>
    </font>
    <font>
      <b/>
      <sz val="8"/>
      <color rgb="FF8E9A44"/>
      <name val="Aptos Display"/>
      <family val="2"/>
    </font>
    <font>
      <b/>
      <sz val="8"/>
      <color rgb="FF6F0791"/>
      <name val="Aptos Display"/>
      <family val="2"/>
    </font>
    <font>
      <sz val="8"/>
      <color rgb="FF6F0791"/>
      <name val="Aptos Display"/>
      <family val="2"/>
    </font>
    <font>
      <sz val="8"/>
      <name val="Aptos Display"/>
      <family val="2"/>
    </font>
    <font>
      <sz val="10"/>
      <name val="Aptos Display"/>
      <family val="2"/>
    </font>
    <font>
      <b/>
      <sz val="8"/>
      <color theme="8" tint="-0.249977111117893"/>
      <name val="Aptos Display"/>
      <family val="2"/>
    </font>
    <font>
      <u/>
      <sz val="8"/>
      <color theme="10"/>
      <name val="Aptos Display"/>
      <family val="2"/>
    </font>
    <font>
      <sz val="8"/>
      <color rgb="FF0070C0"/>
      <name val="Aptos Display"/>
      <family val="2"/>
    </font>
    <font>
      <b/>
      <sz val="18"/>
      <color theme="1"/>
      <name val="Aptos Display"/>
      <family val="2"/>
    </font>
    <font>
      <sz val="12"/>
      <color theme="1"/>
      <name val="Aptos Narrow"/>
      <family val="2"/>
      <scheme val="minor"/>
    </font>
    <font>
      <b/>
      <sz val="12"/>
      <color rgb="FF7030A0"/>
      <name val="Aptos Display"/>
      <family val="2"/>
    </font>
    <font>
      <b/>
      <sz val="8"/>
      <color theme="1"/>
      <name val="Brown"/>
    </font>
    <font>
      <sz val="8"/>
      <color theme="1"/>
      <name val="Brown"/>
    </font>
    <font>
      <b/>
      <sz val="8"/>
      <name val="Brown"/>
    </font>
    <font>
      <b/>
      <sz val="8"/>
      <color rgb="FF8E9A44"/>
      <name val="Brown"/>
    </font>
    <font>
      <b/>
      <sz val="16"/>
      <color theme="1"/>
      <name val="Aptos Display"/>
      <family val="2"/>
    </font>
    <font>
      <b/>
      <sz val="11"/>
      <color theme="0"/>
      <name val="Aptos Display"/>
      <family val="2"/>
    </font>
  </fonts>
  <fills count="39">
    <fill>
      <patternFill patternType="none"/>
    </fill>
    <fill>
      <patternFill patternType="gray125"/>
    </fill>
    <fill>
      <patternFill patternType="solid">
        <fgColor rgb="FFFFFF00"/>
        <bgColor indexed="64"/>
      </patternFill>
    </fill>
    <fill>
      <patternFill patternType="solid">
        <fgColor rgb="FFECECEC"/>
        <bgColor indexed="64"/>
      </patternFill>
    </fill>
    <fill>
      <patternFill patternType="solid">
        <fgColor rgb="FFEFC4FC"/>
        <bgColor indexed="64"/>
      </patternFill>
    </fill>
    <fill>
      <patternFill patternType="solid">
        <fgColor theme="9" tint="0.39997558519241921"/>
        <bgColor indexed="64"/>
      </patternFill>
    </fill>
    <fill>
      <patternFill patternType="solid">
        <fgColor rgb="FF8E9A44"/>
        <bgColor indexed="64"/>
      </patternFill>
    </fill>
    <fill>
      <patternFill patternType="solid">
        <fgColor theme="9" tint="-0.249977111117893"/>
        <bgColor indexed="64"/>
      </patternFill>
    </fill>
    <fill>
      <patternFill patternType="solid">
        <fgColor theme="9"/>
        <bgColor indexed="64"/>
      </patternFill>
    </fill>
    <fill>
      <patternFill patternType="solid">
        <fgColor theme="9" tint="-0.49998474074526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bgColor indexed="64"/>
      </patternFill>
    </fill>
    <fill>
      <patternFill patternType="solid">
        <fgColor rgb="FFEAAD00"/>
        <bgColor indexed="64"/>
      </patternFill>
    </fill>
    <fill>
      <patternFill patternType="solid">
        <fgColor theme="7" tint="-0.499984740745262"/>
        <bgColor indexed="64"/>
      </patternFill>
    </fill>
    <fill>
      <patternFill patternType="solid">
        <fgColor rgb="FF70EB47"/>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4" tint="0.39997558519241921"/>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5"/>
        <bgColor indexed="64"/>
      </patternFill>
    </fill>
    <fill>
      <patternFill patternType="solid">
        <fgColor rgb="FF00B050"/>
        <bgColor indexed="64"/>
      </patternFill>
    </fill>
    <fill>
      <patternFill patternType="solid">
        <fgColor rgb="FF70D747"/>
        <bgColor indexed="64"/>
      </patternFill>
    </fill>
    <fill>
      <patternFill patternType="solid">
        <fgColor rgb="FF582808"/>
        <bgColor indexed="64"/>
      </patternFill>
    </fill>
    <fill>
      <patternFill patternType="solid">
        <fgColor theme="9" tint="0.59999389629810485"/>
        <bgColor indexed="64"/>
      </patternFill>
    </fill>
    <fill>
      <patternFill patternType="gray125">
        <bgColor theme="0" tint="-4.9989318521683403E-2"/>
      </patternFill>
    </fill>
    <fill>
      <patternFill patternType="solid">
        <fgColor theme="8"/>
        <bgColor indexed="64"/>
      </patternFill>
    </fill>
    <fill>
      <patternFill patternType="solid">
        <fgColor theme="8" tint="-0.499984740745262"/>
        <bgColor indexed="64"/>
      </patternFill>
    </fill>
    <fill>
      <patternFill patternType="solid">
        <fgColor theme="4" tint="-0.249977111117893"/>
        <bgColor indexed="64"/>
      </patternFill>
    </fill>
  </fills>
  <borders count="40">
    <border>
      <left/>
      <right/>
      <top/>
      <bottom/>
      <diagonal/>
    </border>
    <border>
      <left/>
      <right/>
      <top style="thick">
        <color rgb="FF8C8C8C"/>
      </top>
      <bottom/>
      <diagonal/>
    </border>
    <border>
      <left/>
      <right/>
      <top style="medium">
        <color rgb="FF8C8C8C"/>
      </top>
      <bottom style="medium">
        <color rgb="FF8C8C8C"/>
      </bottom>
      <diagonal/>
    </border>
    <border>
      <left/>
      <right/>
      <top style="thin">
        <color theme="1"/>
      </top>
      <bottom style="medium">
        <color rgb="FF8C8C8C"/>
      </bottom>
      <diagonal/>
    </border>
    <border>
      <left/>
      <right/>
      <top style="medium">
        <color rgb="FF8C8C8C"/>
      </top>
      <bottom/>
      <diagonal/>
    </border>
    <border>
      <left/>
      <right/>
      <top style="medium">
        <color rgb="FF335163"/>
      </top>
      <bottom style="medium">
        <color rgb="FF8E9A44"/>
      </bottom>
      <diagonal/>
    </border>
    <border>
      <left/>
      <right/>
      <top style="thin">
        <color rgb="FF8E9A44"/>
      </top>
      <bottom style="thick">
        <color rgb="FF335163"/>
      </bottom>
      <diagonal/>
    </border>
    <border>
      <left/>
      <right/>
      <top style="medium">
        <color rgb="FF8C8C8C"/>
      </top>
      <bottom style="thin">
        <color rgb="FF6F0791"/>
      </bottom>
      <diagonal/>
    </border>
    <border>
      <left/>
      <right/>
      <top style="medium">
        <color rgb="FF6F0791"/>
      </top>
      <bottom/>
      <diagonal/>
    </border>
    <border>
      <left/>
      <right/>
      <top style="medium">
        <color rgb="FF335163"/>
      </top>
      <bottom/>
      <diagonal/>
    </border>
    <border>
      <left/>
      <right/>
      <top style="medium">
        <color rgb="FF8E9A44"/>
      </top>
      <bottom/>
      <diagonal/>
    </border>
    <border>
      <left/>
      <right/>
      <top style="medium">
        <color rgb="FF8E9A44"/>
      </top>
      <bottom style="medium">
        <color rgb="FF8E9A44"/>
      </bottom>
      <diagonal/>
    </border>
    <border>
      <left style="medium">
        <color rgb="FF8E9A44"/>
      </left>
      <right/>
      <top/>
      <bottom/>
      <diagonal/>
    </border>
    <border>
      <left/>
      <right style="medium">
        <color rgb="FF8E9A44"/>
      </right>
      <top/>
      <bottom/>
      <diagonal/>
    </border>
    <border>
      <left style="medium">
        <color rgb="FF8E9A44"/>
      </left>
      <right/>
      <top style="medium">
        <color theme="5"/>
      </top>
      <bottom/>
      <diagonal/>
    </border>
    <border>
      <left/>
      <right/>
      <top style="medium">
        <color theme="5"/>
      </top>
      <bottom/>
      <diagonal/>
    </border>
    <border>
      <left/>
      <right style="medium">
        <color theme="5"/>
      </right>
      <top style="medium">
        <color theme="5"/>
      </top>
      <bottom/>
      <diagonal/>
    </border>
    <border>
      <left/>
      <right style="medium">
        <color theme="5"/>
      </right>
      <top/>
      <bottom/>
      <diagonal/>
    </border>
    <border>
      <left style="medium">
        <color rgb="FF8E9A44"/>
      </left>
      <right/>
      <top style="medium">
        <color rgb="FF8E9A44"/>
      </top>
      <bottom/>
      <diagonal/>
    </border>
    <border>
      <left/>
      <right style="medium">
        <color theme="5"/>
      </right>
      <top style="medium">
        <color rgb="FF8E9A44"/>
      </top>
      <bottom/>
      <diagonal/>
    </border>
    <border>
      <left/>
      <right style="medium">
        <color rgb="FF8E9A44"/>
      </right>
      <top style="medium">
        <color rgb="FF8E9A44"/>
      </top>
      <bottom/>
      <diagonal/>
    </border>
    <border>
      <left/>
      <right/>
      <top style="thin">
        <color rgb="FF8E9A44"/>
      </top>
      <bottom/>
      <diagonal/>
    </border>
    <border>
      <left/>
      <right/>
      <top/>
      <bottom style="medium">
        <color rgb="FF8E9A44"/>
      </bottom>
      <diagonal/>
    </border>
    <border>
      <left/>
      <right style="medium">
        <color rgb="FF335163"/>
      </right>
      <top/>
      <bottom/>
      <diagonal/>
    </border>
    <border>
      <left/>
      <right style="medium">
        <color rgb="FF335163"/>
      </right>
      <top style="medium">
        <color rgb="FF8E9A44"/>
      </top>
      <bottom/>
      <diagonal/>
    </border>
    <border>
      <left/>
      <right style="medium">
        <color rgb="FF8E9A44"/>
      </right>
      <top style="medium">
        <color rgb="FFFFC000"/>
      </top>
      <bottom/>
      <diagonal/>
    </border>
    <border>
      <left/>
      <right/>
      <top style="medium">
        <color rgb="FFFFC000"/>
      </top>
      <bottom/>
      <diagonal/>
    </border>
    <border>
      <left/>
      <right style="medium">
        <color rgb="FF335163"/>
      </right>
      <top style="medium">
        <color rgb="FFFFC000"/>
      </top>
      <bottom/>
      <diagonal/>
    </border>
    <border>
      <left/>
      <right/>
      <top style="medium">
        <color rgb="FF335163"/>
      </top>
      <bottom style="medium">
        <color rgb="FF335163"/>
      </bottom>
      <diagonal/>
    </border>
    <border>
      <left/>
      <right/>
      <top/>
      <bottom style="medium">
        <color rgb="FF335163"/>
      </bottom>
      <diagonal/>
    </border>
    <border>
      <left/>
      <right/>
      <top style="thin">
        <color rgb="FF8E9A44"/>
      </top>
      <bottom style="medium">
        <color rgb="FF335163"/>
      </bottom>
      <diagonal/>
    </border>
    <border>
      <left style="medium">
        <color rgb="FF8E9A44"/>
      </left>
      <right/>
      <top style="medium">
        <color rgb="FF335163"/>
      </top>
      <bottom/>
      <diagonal/>
    </border>
    <border>
      <left/>
      <right style="medium">
        <color rgb="FF335163"/>
      </right>
      <top style="medium">
        <color rgb="FF335163"/>
      </top>
      <bottom/>
      <diagonal/>
    </border>
    <border>
      <left style="medium">
        <color rgb="FF335163"/>
      </left>
      <right/>
      <top style="medium">
        <color theme="5"/>
      </top>
      <bottom/>
      <diagonal/>
    </border>
    <border>
      <left style="medium">
        <color rgb="FF335163"/>
      </left>
      <right/>
      <top/>
      <bottom/>
      <diagonal/>
    </border>
    <border>
      <left style="medium">
        <color rgb="FF335163"/>
      </left>
      <right/>
      <top style="medium">
        <color rgb="FF8E9A44"/>
      </top>
      <bottom/>
      <diagonal/>
    </border>
    <border>
      <left style="thick">
        <color rgb="FFCF3C3C"/>
      </left>
      <right style="thick">
        <color rgb="FFCF3C3C"/>
      </right>
      <top style="thick">
        <color rgb="FFCF3C3C"/>
      </top>
      <bottom/>
      <diagonal/>
    </border>
    <border>
      <left style="thick">
        <color rgb="FFCF3C3C"/>
      </left>
      <right style="thick">
        <color rgb="FFCF3C3C"/>
      </right>
      <top/>
      <bottom/>
      <diagonal/>
    </border>
    <border>
      <left style="thick">
        <color rgb="FFCF3C3C"/>
      </left>
      <right style="thick">
        <color rgb="FFCF3C3C"/>
      </right>
      <top/>
      <bottom style="thick">
        <color rgb="FFCF3C3C"/>
      </bottom>
      <diagonal/>
    </border>
    <border>
      <left style="medium">
        <color theme="5"/>
      </left>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41" fillId="0" borderId="0" applyNumberFormat="0" applyFill="0" applyBorder="0" applyAlignment="0" applyProtection="0"/>
  </cellStyleXfs>
  <cellXfs count="602">
    <xf numFmtId="0" fontId="0" fillId="0" borderId="0" xfId="0"/>
    <xf numFmtId="0" fontId="2" fillId="0" borderId="0" xfId="0" applyFont="1"/>
    <xf numFmtId="0" fontId="3" fillId="0" borderId="0" xfId="0" applyFont="1"/>
    <xf numFmtId="38" fontId="3" fillId="0" borderId="0" xfId="0" applyNumberFormat="1" applyFont="1"/>
    <xf numFmtId="38" fontId="4" fillId="0" borderId="0" xfId="0" applyNumberFormat="1" applyFont="1"/>
    <xf numFmtId="40" fontId="3" fillId="0" borderId="0" xfId="0" applyNumberFormat="1" applyFont="1"/>
    <xf numFmtId="0" fontId="5" fillId="0" borderId="0" xfId="0" applyFont="1"/>
    <xf numFmtId="38" fontId="6" fillId="0" borderId="0" xfId="0" applyNumberFormat="1" applyFont="1"/>
    <xf numFmtId="0" fontId="5" fillId="2" borderId="0" xfId="0" applyFont="1" applyFill="1"/>
    <xf numFmtId="38" fontId="3" fillId="2" borderId="0" xfId="0" applyNumberFormat="1" applyFont="1" applyFill="1"/>
    <xf numFmtId="38" fontId="6" fillId="2" borderId="0" xfId="0" applyNumberFormat="1" applyFont="1" applyFill="1"/>
    <xf numFmtId="38" fontId="5" fillId="0" borderId="0" xfId="0" applyNumberFormat="1" applyFont="1"/>
    <xf numFmtId="9" fontId="5" fillId="0" borderId="0" xfId="2" applyFont="1"/>
    <xf numFmtId="0" fontId="7" fillId="0" borderId="0" xfId="0" applyFont="1"/>
    <xf numFmtId="0" fontId="8" fillId="0" borderId="0" xfId="0" applyFont="1"/>
    <xf numFmtId="0" fontId="9" fillId="3" borderId="0" xfId="0" applyFont="1" applyFill="1" applyAlignment="1">
      <alignment horizontal="right"/>
    </xf>
    <xf numFmtId="0" fontId="8" fillId="3" borderId="0" xfId="0" applyFont="1" applyFill="1"/>
    <xf numFmtId="0" fontId="11" fillId="3" borderId="0" xfId="0" applyFont="1" applyFill="1"/>
    <xf numFmtId="38" fontId="8" fillId="0" borderId="0" xfId="0" applyNumberFormat="1" applyFont="1"/>
    <xf numFmtId="38" fontId="12" fillId="0" borderId="0" xfId="0" applyNumberFormat="1" applyFont="1"/>
    <xf numFmtId="9" fontId="8" fillId="0" borderId="0" xfId="2" applyFont="1"/>
    <xf numFmtId="9" fontId="8" fillId="2" borderId="0" xfId="2" applyFont="1" applyFill="1"/>
    <xf numFmtId="0" fontId="8" fillId="2" borderId="0" xfId="0" applyFont="1" applyFill="1"/>
    <xf numFmtId="38" fontId="8" fillId="2" borderId="0" xfId="0" applyNumberFormat="1" applyFont="1" applyFill="1"/>
    <xf numFmtId="38" fontId="12" fillId="2" borderId="0" xfId="0" applyNumberFormat="1" applyFont="1" applyFill="1"/>
    <xf numFmtId="164" fontId="13" fillId="0" borderId="0" xfId="2" applyNumberFormat="1" applyFont="1" applyFill="1"/>
    <xf numFmtId="164" fontId="8" fillId="0" borderId="0" xfId="2" applyNumberFormat="1" applyFont="1"/>
    <xf numFmtId="9" fontId="8" fillId="0" borderId="0" xfId="2" applyFont="1" applyFill="1"/>
    <xf numFmtId="9" fontId="12" fillId="0" borderId="0" xfId="2" applyFont="1" applyFill="1"/>
    <xf numFmtId="0" fontId="9" fillId="0" borderId="0" xfId="0" applyFont="1" applyAlignment="1">
      <alignment horizontal="right"/>
    </xf>
    <xf numFmtId="9" fontId="12" fillId="0" borderId="0" xfId="2" applyFont="1"/>
    <xf numFmtId="0" fontId="12" fillId="0" borderId="0" xfId="0" applyFont="1"/>
    <xf numFmtId="0" fontId="8" fillId="0" borderId="0" xfId="0" applyFont="1" applyAlignment="1">
      <alignment horizontal="center"/>
    </xf>
    <xf numFmtId="10" fontId="8" fillId="0" borderId="0" xfId="2" applyNumberFormat="1" applyFont="1"/>
    <xf numFmtId="10" fontId="12" fillId="0" borderId="0" xfId="2" applyNumberFormat="1" applyFont="1"/>
    <xf numFmtId="10" fontId="8" fillId="0" borderId="0" xfId="0" applyNumberFormat="1" applyFont="1"/>
    <xf numFmtId="10" fontId="12" fillId="0" borderId="0" xfId="0" applyNumberFormat="1" applyFont="1"/>
    <xf numFmtId="164" fontId="12" fillId="0" borderId="0" xfId="2" applyNumberFormat="1" applyFont="1"/>
    <xf numFmtId="0" fontId="8" fillId="0" borderId="1" xfId="0" applyFont="1" applyBorder="1"/>
    <xf numFmtId="0" fontId="14" fillId="0" borderId="0" xfId="0" applyFont="1"/>
    <xf numFmtId="0" fontId="15" fillId="0" borderId="0" xfId="0" applyFont="1"/>
    <xf numFmtId="0" fontId="16" fillId="0" borderId="2" xfId="0" applyFont="1" applyBorder="1"/>
    <xf numFmtId="38" fontId="15" fillId="0" borderId="0" xfId="0" applyNumberFormat="1" applyFont="1"/>
    <xf numFmtId="38" fontId="16" fillId="0" borderId="0" xfId="0" applyNumberFormat="1" applyFont="1"/>
    <xf numFmtId="9" fontId="15" fillId="0" borderId="0" xfId="2" applyFont="1"/>
    <xf numFmtId="9" fontId="15" fillId="0" borderId="0" xfId="2" applyFont="1" applyFill="1"/>
    <xf numFmtId="9" fontId="16" fillId="0" borderId="0" xfId="2" applyFont="1" applyFill="1"/>
    <xf numFmtId="9" fontId="16" fillId="0" borderId="0" xfId="2" applyFont="1"/>
    <xf numFmtId="0" fontId="15" fillId="0" borderId="3" xfId="0" applyFont="1" applyBorder="1"/>
    <xf numFmtId="38" fontId="15" fillId="0" borderId="3" xfId="0" applyNumberFormat="1" applyFont="1" applyBorder="1"/>
    <xf numFmtId="38" fontId="16" fillId="0" borderId="3" xfId="0" applyNumberFormat="1" applyFont="1" applyBorder="1"/>
    <xf numFmtId="0" fontId="15" fillId="0" borderId="4" xfId="0" applyFont="1" applyBorder="1"/>
    <xf numFmtId="164" fontId="17" fillId="0" borderId="4" xfId="2" applyNumberFormat="1" applyFont="1" applyFill="1" applyBorder="1"/>
    <xf numFmtId="1" fontId="17" fillId="0" borderId="4" xfId="2" applyNumberFormat="1" applyFont="1" applyFill="1" applyBorder="1"/>
    <xf numFmtId="165" fontId="17" fillId="0" borderId="4" xfId="1" applyNumberFormat="1" applyFont="1" applyFill="1" applyBorder="1"/>
    <xf numFmtId="164" fontId="15" fillId="0" borderId="0" xfId="2" applyNumberFormat="1" applyFont="1"/>
    <xf numFmtId="38" fontId="15" fillId="2" borderId="0" xfId="0" applyNumberFormat="1" applyFont="1" applyFill="1"/>
    <xf numFmtId="2" fontId="15" fillId="0" borderId="0" xfId="0" applyNumberFormat="1" applyFont="1"/>
    <xf numFmtId="38" fontId="14" fillId="0" borderId="0" xfId="0" applyNumberFormat="1" applyFont="1"/>
    <xf numFmtId="1" fontId="17" fillId="0" borderId="0" xfId="2" applyNumberFormat="1" applyFont="1" applyFill="1"/>
    <xf numFmtId="165" fontId="17" fillId="0" borderId="0" xfId="1" applyNumberFormat="1" applyFont="1" applyFill="1"/>
    <xf numFmtId="0" fontId="15" fillId="0" borderId="0" xfId="0" applyFont="1" applyAlignment="1">
      <alignment horizontal="center"/>
    </xf>
    <xf numFmtId="164" fontId="15" fillId="0" borderId="0" xfId="2" applyNumberFormat="1" applyFont="1" applyFill="1"/>
    <xf numFmtId="38" fontId="18" fillId="0" borderId="0" xfId="0" applyNumberFormat="1" applyFont="1"/>
    <xf numFmtId="38" fontId="14" fillId="0" borderId="3" xfId="0" applyNumberFormat="1" applyFont="1" applyBorder="1"/>
    <xf numFmtId="38" fontId="18" fillId="0" borderId="3" xfId="0" applyNumberFormat="1" applyFont="1" applyBorder="1"/>
    <xf numFmtId="164" fontId="17" fillId="0" borderId="0" xfId="2" applyNumberFormat="1" applyFont="1" applyFill="1"/>
    <xf numFmtId="38" fontId="15" fillId="0" borderId="4" xfId="0" applyNumberFormat="1" applyFont="1" applyBorder="1"/>
    <xf numFmtId="38" fontId="16" fillId="0" borderId="4" xfId="0" applyNumberFormat="1" applyFont="1" applyBorder="1"/>
    <xf numFmtId="164" fontId="17" fillId="0" borderId="0" xfId="2" applyNumberFormat="1" applyFont="1" applyFill="1" applyBorder="1"/>
    <xf numFmtId="1" fontId="17" fillId="0" borderId="0" xfId="2" applyNumberFormat="1" applyFont="1" applyFill="1" applyBorder="1"/>
    <xf numFmtId="165" fontId="17" fillId="0" borderId="0" xfId="1" applyNumberFormat="1" applyFont="1" applyFill="1" applyBorder="1"/>
    <xf numFmtId="10" fontId="15" fillId="0" borderId="0" xfId="2" applyNumberFormat="1" applyFont="1"/>
    <xf numFmtId="10" fontId="16" fillId="0" borderId="0" xfId="2" applyNumberFormat="1" applyFont="1"/>
    <xf numFmtId="10" fontId="16" fillId="0" borderId="0" xfId="0" applyNumberFormat="1" applyFont="1"/>
    <xf numFmtId="164" fontId="16" fillId="0" borderId="0" xfId="2" applyNumberFormat="1" applyFont="1"/>
    <xf numFmtId="0" fontId="9" fillId="0" borderId="0" xfId="0" applyFont="1"/>
    <xf numFmtId="164" fontId="8" fillId="0" borderId="0" xfId="0" applyNumberFormat="1" applyFont="1"/>
    <xf numFmtId="0" fontId="19" fillId="0" borderId="0" xfId="0" applyFont="1"/>
    <xf numFmtId="0" fontId="3" fillId="0" borderId="5" xfId="0" applyFont="1" applyBorder="1"/>
    <xf numFmtId="0" fontId="4" fillId="0" borderId="5" xfId="0" applyFont="1" applyBorder="1"/>
    <xf numFmtId="164" fontId="20" fillId="0" borderId="0" xfId="2" applyNumberFormat="1" applyFont="1"/>
    <xf numFmtId="0" fontId="21" fillId="0" borderId="0" xfId="0" applyFont="1"/>
    <xf numFmtId="9" fontId="3" fillId="0" borderId="0" xfId="2" applyFont="1"/>
    <xf numFmtId="9" fontId="20" fillId="0" borderId="0" xfId="2" applyFont="1"/>
    <xf numFmtId="0" fontId="3" fillId="0" borderId="6" xfId="0" applyFont="1" applyBorder="1"/>
    <xf numFmtId="38" fontId="3" fillId="0" borderId="6" xfId="0" applyNumberFormat="1" applyFont="1" applyBorder="1"/>
    <xf numFmtId="38" fontId="4" fillId="0" borderId="6" xfId="0" applyNumberFormat="1" applyFont="1" applyBorder="1"/>
    <xf numFmtId="0" fontId="3" fillId="0" borderId="7" xfId="0" applyFont="1" applyBorder="1"/>
    <xf numFmtId="0" fontId="4" fillId="0" borderId="7" xfId="0" applyFont="1" applyBorder="1"/>
    <xf numFmtId="0" fontId="3" fillId="0" borderId="4" xfId="0" applyFont="1" applyBorder="1"/>
    <xf numFmtId="38" fontId="3" fillId="0" borderId="4" xfId="0" applyNumberFormat="1" applyFont="1" applyBorder="1"/>
    <xf numFmtId="38" fontId="4" fillId="0" borderId="4" xfId="0" applyNumberFormat="1" applyFont="1" applyBorder="1"/>
    <xf numFmtId="0" fontId="3" fillId="0" borderId="8" xfId="0" applyFont="1" applyBorder="1"/>
    <xf numFmtId="0" fontId="4" fillId="0" borderId="0" xfId="0" applyFont="1"/>
    <xf numFmtId="38" fontId="0" fillId="0" borderId="0" xfId="0" applyNumberFormat="1"/>
    <xf numFmtId="38" fontId="22" fillId="0" borderId="0" xfId="0" applyNumberFormat="1" applyFont="1"/>
    <xf numFmtId="0" fontId="4" fillId="0" borderId="9" xfId="0" applyFont="1" applyBorder="1"/>
    <xf numFmtId="38" fontId="22" fillId="0" borderId="9" xfId="0" applyNumberFormat="1" applyFont="1" applyBorder="1"/>
    <xf numFmtId="38" fontId="23" fillId="0" borderId="9" xfId="0" applyNumberFormat="1" applyFont="1" applyBorder="1"/>
    <xf numFmtId="38" fontId="4" fillId="0" borderId="9" xfId="0" applyNumberFormat="1" applyFont="1" applyBorder="1"/>
    <xf numFmtId="38" fontId="3" fillId="0" borderId="9" xfId="0" applyNumberFormat="1" applyFont="1" applyBorder="1"/>
    <xf numFmtId="38" fontId="24" fillId="0" borderId="0" xfId="0" applyNumberFormat="1" applyFont="1"/>
    <xf numFmtId="0" fontId="4" fillId="0" borderId="10" xfId="0" applyFont="1" applyBorder="1"/>
    <xf numFmtId="38" fontId="3" fillId="0" borderId="10" xfId="0" applyNumberFormat="1" applyFont="1" applyBorder="1"/>
    <xf numFmtId="38" fontId="4" fillId="0" borderId="10" xfId="0" applyNumberFormat="1" applyFont="1" applyBorder="1"/>
    <xf numFmtId="0" fontId="0" fillId="4" borderId="0" xfId="0" applyFill="1"/>
    <xf numFmtId="0" fontId="0" fillId="0" borderId="9" xfId="0" applyBorder="1"/>
    <xf numFmtId="164" fontId="0" fillId="0" borderId="0" xfId="2" applyNumberFormat="1" applyFont="1"/>
    <xf numFmtId="0" fontId="26" fillId="0" borderId="0" xfId="0" applyFont="1"/>
    <xf numFmtId="0" fontId="3" fillId="0" borderId="11" xfId="0" applyFont="1" applyBorder="1"/>
    <xf numFmtId="0" fontId="4" fillId="0" borderId="11" xfId="0" applyFont="1" applyBorder="1"/>
    <xf numFmtId="38" fontId="27" fillId="0" borderId="0" xfId="0" applyNumberFormat="1" applyFont="1"/>
    <xf numFmtId="38" fontId="27" fillId="4" borderId="0" xfId="0" applyNumberFormat="1" applyFont="1" applyFill="1"/>
    <xf numFmtId="0" fontId="3" fillId="0" borderId="10" xfId="0" applyFont="1" applyBorder="1"/>
    <xf numFmtId="164" fontId="3" fillId="0" borderId="10" xfId="2" applyNumberFormat="1" applyFont="1" applyBorder="1"/>
    <xf numFmtId="3" fontId="3" fillId="0" borderId="10" xfId="0" applyNumberFormat="1" applyFont="1" applyBorder="1"/>
    <xf numFmtId="0" fontId="28" fillId="0" borderId="0" xfId="0" applyFont="1"/>
    <xf numFmtId="166" fontId="4" fillId="0" borderId="0" xfId="0" applyNumberFormat="1" applyFont="1"/>
    <xf numFmtId="38" fontId="4" fillId="2" borderId="0" xfId="0" applyNumberFormat="1" applyFont="1" applyFill="1"/>
    <xf numFmtId="9" fontId="3" fillId="0" borderId="10" xfId="2" applyFont="1" applyBorder="1"/>
    <xf numFmtId="9" fontId="29" fillId="0" borderId="0" xfId="2" applyFont="1"/>
    <xf numFmtId="165" fontId="29" fillId="0" borderId="0" xfId="1" applyNumberFormat="1" applyFont="1"/>
    <xf numFmtId="0" fontId="30" fillId="0" borderId="0" xfId="0" applyFont="1"/>
    <xf numFmtId="0" fontId="32" fillId="5" borderId="12" xfId="0" applyFont="1" applyFill="1" applyBorder="1" applyAlignment="1">
      <alignment horizontal="center"/>
    </xf>
    <xf numFmtId="0" fontId="32" fillId="5" borderId="0" xfId="0" applyFont="1" applyFill="1" applyAlignment="1">
      <alignment horizontal="center"/>
    </xf>
    <xf numFmtId="0" fontId="32" fillId="7" borderId="0" xfId="0" applyFont="1" applyFill="1" applyAlignment="1">
      <alignment horizontal="center"/>
    </xf>
    <xf numFmtId="0" fontId="32" fillId="8" borderId="0" xfId="0" applyFont="1" applyFill="1" applyAlignment="1">
      <alignment horizontal="center"/>
    </xf>
    <xf numFmtId="0" fontId="32" fillId="10" borderId="0" xfId="0" applyFont="1" applyFill="1" applyAlignment="1">
      <alignment horizontal="center"/>
    </xf>
    <xf numFmtId="0" fontId="32" fillId="11" borderId="0" xfId="0" applyFont="1" applyFill="1" applyAlignment="1">
      <alignment horizontal="center"/>
    </xf>
    <xf numFmtId="0" fontId="32" fillId="12" borderId="0" xfId="0" applyFont="1" applyFill="1" applyAlignment="1">
      <alignment horizontal="center"/>
    </xf>
    <xf numFmtId="0" fontId="32" fillId="13" borderId="0" xfId="0" applyFont="1" applyFill="1" applyAlignment="1">
      <alignment horizontal="center"/>
    </xf>
    <xf numFmtId="0" fontId="32" fillId="6" borderId="0" xfId="0" applyFont="1" applyFill="1" applyAlignment="1">
      <alignment horizontal="center"/>
    </xf>
    <xf numFmtId="0" fontId="32" fillId="9" borderId="0" xfId="0" applyFont="1" applyFill="1" applyAlignment="1">
      <alignment horizontal="center"/>
    </xf>
    <xf numFmtId="0" fontId="32" fillId="9" borderId="13" xfId="0" applyFont="1" applyFill="1" applyBorder="1" applyAlignment="1">
      <alignment horizontal="center"/>
    </xf>
    <xf numFmtId="0" fontId="32" fillId="10" borderId="12" xfId="0" applyFont="1" applyFill="1" applyBorder="1" applyAlignment="1">
      <alignment horizontal="center" vertical="center" wrapText="1"/>
    </xf>
    <xf numFmtId="0" fontId="32" fillId="11" borderId="0" xfId="0" applyFont="1" applyFill="1" applyAlignment="1">
      <alignment horizontal="center" vertical="center" wrapText="1"/>
    </xf>
    <xf numFmtId="0" fontId="32" fillId="12" borderId="0" xfId="0" applyFont="1" applyFill="1" applyAlignment="1">
      <alignment horizontal="center" vertical="center" wrapText="1"/>
    </xf>
    <xf numFmtId="14" fontId="8" fillId="0" borderId="0" xfId="0" applyNumberFormat="1" applyFont="1"/>
    <xf numFmtId="38" fontId="8" fillId="0" borderId="12" xfId="0" applyNumberFormat="1" applyFont="1" applyBorder="1"/>
    <xf numFmtId="38" fontId="8" fillId="0" borderId="17" xfId="0" applyNumberFormat="1" applyFont="1" applyBorder="1"/>
    <xf numFmtId="14" fontId="8" fillId="0" borderId="10" xfId="0" applyNumberFormat="1" applyFont="1" applyBorder="1"/>
    <xf numFmtId="38" fontId="8" fillId="0" borderId="18" xfId="0" applyNumberFormat="1" applyFont="1" applyBorder="1"/>
    <xf numFmtId="38" fontId="8" fillId="0" borderId="10" xfId="0" applyNumberFormat="1" applyFont="1" applyBorder="1"/>
    <xf numFmtId="38" fontId="8" fillId="0" borderId="19" xfId="0" applyNumberFormat="1" applyFont="1" applyBorder="1"/>
    <xf numFmtId="14" fontId="8" fillId="0" borderId="20" xfId="0" applyNumberFormat="1" applyFont="1" applyBorder="1"/>
    <xf numFmtId="14" fontId="8" fillId="0" borderId="13" xfId="0" applyNumberFormat="1" applyFont="1" applyBorder="1"/>
    <xf numFmtId="3" fontId="0" fillId="0" borderId="0" xfId="0" applyNumberFormat="1"/>
    <xf numFmtId="0" fontId="35" fillId="0" borderId="0" xfId="0" applyFont="1"/>
    <xf numFmtId="0" fontId="13" fillId="0" borderId="0" xfId="0" applyFont="1"/>
    <xf numFmtId="38" fontId="36" fillId="0" borderId="0" xfId="0" applyNumberFormat="1" applyFont="1"/>
    <xf numFmtId="38" fontId="37" fillId="0" borderId="0" xfId="0" applyNumberFormat="1" applyFont="1"/>
    <xf numFmtId="3" fontId="3" fillId="0" borderId="0" xfId="0" applyNumberFormat="1" applyFont="1"/>
    <xf numFmtId="38" fontId="38" fillId="0" borderId="0" xfId="0" applyNumberFormat="1" applyFont="1"/>
    <xf numFmtId="38" fontId="37" fillId="0" borderId="9" xfId="0" applyNumberFormat="1" applyFont="1" applyBorder="1"/>
    <xf numFmtId="38" fontId="39" fillId="0" borderId="0" xfId="0" applyNumberFormat="1" applyFont="1"/>
    <xf numFmtId="0" fontId="19" fillId="0" borderId="0" xfId="0" applyFont="1" applyAlignment="1">
      <alignment horizontal="center"/>
    </xf>
    <xf numFmtId="0" fontId="40" fillId="5" borderId="0" xfId="0" applyFont="1" applyFill="1" applyAlignment="1">
      <alignment horizontal="center"/>
    </xf>
    <xf numFmtId="0" fontId="40" fillId="6" borderId="0" xfId="0" applyFont="1" applyFill="1" applyAlignment="1">
      <alignment horizontal="center"/>
    </xf>
    <xf numFmtId="0" fontId="40" fillId="7" borderId="0" xfId="0" applyFont="1" applyFill="1" applyAlignment="1">
      <alignment horizontal="center"/>
    </xf>
    <xf numFmtId="0" fontId="40" fillId="8" borderId="0" xfId="0" applyFont="1" applyFill="1" applyAlignment="1">
      <alignment horizontal="center"/>
    </xf>
    <xf numFmtId="0" fontId="40" fillId="10" borderId="0" xfId="0" applyFont="1" applyFill="1" applyAlignment="1">
      <alignment horizontal="center"/>
    </xf>
    <xf numFmtId="0" fontId="40" fillId="11" borderId="0" xfId="0" applyFont="1" applyFill="1" applyAlignment="1">
      <alignment horizontal="center"/>
    </xf>
    <xf numFmtId="0" fontId="40" fillId="12" borderId="0" xfId="0" applyFont="1" applyFill="1" applyAlignment="1">
      <alignment horizontal="center"/>
    </xf>
    <xf numFmtId="0" fontId="40" fillId="13" borderId="0" xfId="0" applyFont="1" applyFill="1" applyAlignment="1">
      <alignment horizontal="center"/>
    </xf>
    <xf numFmtId="0" fontId="40" fillId="9" borderId="0" xfId="0" applyFont="1" applyFill="1" applyAlignment="1">
      <alignment horizontal="center"/>
    </xf>
    <xf numFmtId="0" fontId="40" fillId="9" borderId="13" xfId="0" applyFont="1" applyFill="1" applyBorder="1" applyAlignment="1">
      <alignment horizontal="center"/>
    </xf>
    <xf numFmtId="0" fontId="40" fillId="10" borderId="0" xfId="0" applyFont="1" applyFill="1" applyAlignment="1">
      <alignment horizontal="center" vertical="center" wrapText="1"/>
    </xf>
    <xf numFmtId="0" fontId="40" fillId="11" borderId="0" xfId="0" applyFont="1" applyFill="1" applyAlignment="1">
      <alignment horizontal="center" vertical="center" wrapText="1"/>
    </xf>
    <xf numFmtId="0" fontId="40" fillId="12" borderId="0" xfId="0" applyFont="1" applyFill="1" applyAlignment="1">
      <alignment horizontal="center" vertical="center" wrapText="1"/>
    </xf>
    <xf numFmtId="14" fontId="3" fillId="0" borderId="0" xfId="0" applyNumberFormat="1" applyFont="1"/>
    <xf numFmtId="14" fontId="3" fillId="0" borderId="10" xfId="0" applyNumberFormat="1" applyFont="1" applyBorder="1"/>
    <xf numFmtId="164" fontId="3" fillId="0" borderId="0" xfId="2" applyNumberFormat="1" applyFont="1"/>
    <xf numFmtId="38" fontId="42" fillId="0" borderId="0" xfId="0" applyNumberFormat="1" applyFont="1"/>
    <xf numFmtId="0" fontId="3" fillId="2" borderId="0" xfId="0" applyFont="1" applyFill="1"/>
    <xf numFmtId="0" fontId="27" fillId="0" borderId="0" xfId="0" applyFont="1" applyAlignment="1">
      <alignment horizontal="center"/>
    </xf>
    <xf numFmtId="9" fontId="24" fillId="0" borderId="0" xfId="2" applyFont="1" applyAlignment="1">
      <alignment horizontal="center"/>
    </xf>
    <xf numFmtId="38" fontId="43" fillId="0" borderId="0" xfId="0" applyNumberFormat="1" applyFont="1"/>
    <xf numFmtId="38" fontId="42" fillId="2" borderId="0" xfId="0" applyNumberFormat="1" applyFont="1" applyFill="1"/>
    <xf numFmtId="38" fontId="24" fillId="0" borderId="9" xfId="0" applyNumberFormat="1" applyFont="1" applyBorder="1"/>
    <xf numFmtId="38" fontId="44" fillId="0" borderId="0" xfId="0" applyNumberFormat="1" applyFont="1"/>
    <xf numFmtId="0" fontId="3" fillId="0" borderId="21" xfId="0" applyFont="1" applyBorder="1"/>
    <xf numFmtId="38" fontId="43" fillId="0" borderId="21" xfId="0" applyNumberFormat="1" applyFont="1" applyBorder="1"/>
    <xf numFmtId="38" fontId="42" fillId="0" borderId="21" xfId="0" applyNumberFormat="1" applyFont="1" applyBorder="1"/>
    <xf numFmtId="38" fontId="24" fillId="0" borderId="21" xfId="0" applyNumberFormat="1" applyFont="1" applyBorder="1"/>
    <xf numFmtId="38" fontId="24" fillId="2" borderId="0" xfId="0" applyNumberFormat="1" applyFont="1" applyFill="1"/>
    <xf numFmtId="9" fontId="24" fillId="0" borderId="0" xfId="2" applyFont="1" applyAlignment="1">
      <alignment wrapText="1"/>
    </xf>
    <xf numFmtId="10" fontId="24" fillId="0" borderId="0" xfId="2" applyNumberFormat="1" applyFont="1"/>
    <xf numFmtId="38" fontId="42" fillId="0" borderId="10" xfId="0" applyNumberFormat="1" applyFont="1" applyBorder="1"/>
    <xf numFmtId="167" fontId="3" fillId="0" borderId="0" xfId="0" applyNumberFormat="1" applyFont="1"/>
    <xf numFmtId="164" fontId="42" fillId="0" borderId="0" xfId="2" applyNumberFormat="1" applyFont="1"/>
    <xf numFmtId="0" fontId="3" fillId="0" borderId="9" xfId="0" applyFont="1" applyBorder="1"/>
    <xf numFmtId="164" fontId="4" fillId="0" borderId="0" xfId="2" applyNumberFormat="1" applyFont="1"/>
    <xf numFmtId="0" fontId="44" fillId="0" borderId="0" xfId="0" applyFont="1"/>
    <xf numFmtId="38" fontId="45" fillId="0" borderId="0" xfId="0" applyNumberFormat="1" applyFont="1"/>
    <xf numFmtId="38" fontId="29" fillId="0" borderId="0" xfId="0" applyNumberFormat="1" applyFont="1"/>
    <xf numFmtId="0" fontId="29" fillId="0" borderId="0" xfId="0" applyFont="1"/>
    <xf numFmtId="9" fontId="45" fillId="0" borderId="0" xfId="2" applyFont="1"/>
    <xf numFmtId="43" fontId="29" fillId="0" borderId="0" xfId="0" applyNumberFormat="1" applyFont="1"/>
    <xf numFmtId="9" fontId="4" fillId="0" borderId="0" xfId="2" applyFont="1"/>
    <xf numFmtId="165" fontId="3" fillId="0" borderId="10" xfId="1" applyNumberFormat="1" applyFont="1" applyBorder="1"/>
    <xf numFmtId="164" fontId="3" fillId="0" borderId="0" xfId="2" applyNumberFormat="1" applyFont="1" applyBorder="1"/>
    <xf numFmtId="164" fontId="3" fillId="0" borderId="0" xfId="2" applyNumberFormat="1" applyFont="1" applyFill="1"/>
    <xf numFmtId="9" fontId="3" fillId="0" borderId="0" xfId="2" applyFont="1" applyFill="1"/>
    <xf numFmtId="9" fontId="29" fillId="0" borderId="0" xfId="2" applyFont="1" applyFill="1"/>
    <xf numFmtId="9" fontId="45" fillId="0" borderId="0" xfId="2" applyFont="1" applyFill="1"/>
    <xf numFmtId="164" fontId="8" fillId="0" borderId="0" xfId="2" applyNumberFormat="1" applyFont="1" applyBorder="1"/>
    <xf numFmtId="164" fontId="3" fillId="0" borderId="22" xfId="2" applyNumberFormat="1" applyFont="1" applyBorder="1"/>
    <xf numFmtId="164" fontId="3" fillId="0" borderId="10" xfId="2" applyNumberFormat="1" applyFont="1" applyFill="1" applyBorder="1"/>
    <xf numFmtId="0" fontId="46" fillId="0" borderId="0" xfId="0" applyFont="1"/>
    <xf numFmtId="0" fontId="3" fillId="0" borderId="0" xfId="0" applyFont="1" applyAlignment="1">
      <alignment horizontal="right"/>
    </xf>
    <xf numFmtId="2" fontId="4" fillId="0" borderId="0" xfId="0" applyNumberFormat="1" applyFont="1"/>
    <xf numFmtId="9" fontId="3" fillId="0" borderId="0" xfId="2" applyFont="1" applyBorder="1"/>
    <xf numFmtId="0" fontId="47" fillId="0" borderId="0" xfId="3" applyFont="1"/>
    <xf numFmtId="0" fontId="46" fillId="0" borderId="10" xfId="0" applyFont="1" applyBorder="1"/>
    <xf numFmtId="14" fontId="30" fillId="0" borderId="0" xfId="0" applyNumberFormat="1" applyFont="1"/>
    <xf numFmtId="0" fontId="32" fillId="5" borderId="12" xfId="0" applyFont="1" applyFill="1" applyBorder="1" applyAlignment="1">
      <alignment horizontal="center" vertical="center" wrapText="1"/>
    </xf>
    <xf numFmtId="0" fontId="32" fillId="5" borderId="0" xfId="0" applyFont="1" applyFill="1" applyAlignment="1">
      <alignment horizontal="center" vertical="center" wrapText="1"/>
    </xf>
    <xf numFmtId="0" fontId="32" fillId="7" borderId="0" xfId="0" applyFont="1" applyFill="1" applyAlignment="1">
      <alignment horizontal="center" vertical="center" wrapText="1"/>
    </xf>
    <xf numFmtId="0" fontId="32" fillId="8" borderId="0" xfId="0" applyFont="1" applyFill="1" applyAlignment="1">
      <alignment horizontal="center" vertical="center" wrapText="1"/>
    </xf>
    <xf numFmtId="0" fontId="32" fillId="15" borderId="0" xfId="0" applyFont="1" applyFill="1" applyAlignment="1">
      <alignment horizontal="center" vertical="center" wrapText="1"/>
    </xf>
    <xf numFmtId="0" fontId="32" fillId="9" borderId="0" xfId="0" applyFont="1" applyFill="1" applyAlignment="1">
      <alignment horizontal="center" vertical="center" wrapText="1"/>
    </xf>
    <xf numFmtId="0" fontId="32" fillId="9" borderId="13" xfId="0" applyFont="1" applyFill="1" applyBorder="1" applyAlignment="1">
      <alignment horizontal="center" vertical="center" wrapText="1"/>
    </xf>
    <xf numFmtId="0" fontId="32" fillId="16" borderId="0" xfId="0" applyFont="1" applyFill="1" applyAlignment="1">
      <alignment horizontal="center" vertical="center" wrapText="1"/>
    </xf>
    <xf numFmtId="0" fontId="32" fillId="17" borderId="0" xfId="0" applyFont="1" applyFill="1" applyAlignment="1">
      <alignment horizontal="center" vertical="center" wrapText="1"/>
    </xf>
    <xf numFmtId="0" fontId="32" fillId="18" borderId="0" xfId="0" applyFont="1" applyFill="1" applyAlignment="1">
      <alignment horizontal="center" vertical="center" wrapText="1"/>
    </xf>
    <xf numFmtId="0" fontId="32" fillId="19" borderId="0" xfId="0" applyFont="1" applyFill="1" applyAlignment="1">
      <alignment horizontal="center" vertical="center" wrapText="1"/>
    </xf>
    <xf numFmtId="0" fontId="32" fillId="19" borderId="23" xfId="0" applyFont="1" applyFill="1" applyBorder="1" applyAlignment="1">
      <alignment horizontal="center" vertical="center" wrapText="1"/>
    </xf>
    <xf numFmtId="0" fontId="32" fillId="20" borderId="12" xfId="0" applyFont="1" applyFill="1" applyBorder="1" applyAlignment="1">
      <alignment horizontal="center" vertical="center" wrapText="1"/>
    </xf>
    <xf numFmtId="0" fontId="32" fillId="20" borderId="0" xfId="0" applyFont="1" applyFill="1" applyAlignment="1">
      <alignment horizontal="center" vertical="center" wrapText="1"/>
    </xf>
    <xf numFmtId="0" fontId="32" fillId="10" borderId="0" xfId="0" applyFont="1" applyFill="1" applyAlignment="1">
      <alignment horizontal="center" vertical="center" wrapText="1"/>
    </xf>
    <xf numFmtId="0" fontId="32" fillId="21" borderId="0" xfId="0" applyFont="1" applyFill="1" applyAlignment="1">
      <alignment horizontal="center" vertical="center" wrapText="1"/>
    </xf>
    <xf numFmtId="0" fontId="32" fillId="22" borderId="0" xfId="0" applyFont="1" applyFill="1" applyAlignment="1">
      <alignment horizontal="center" vertical="center" wrapText="1"/>
    </xf>
    <xf numFmtId="0" fontId="32" fillId="22" borderId="13" xfId="0" applyFont="1" applyFill="1" applyBorder="1" applyAlignment="1">
      <alignment horizontal="center" vertical="center" wrapText="1"/>
    </xf>
    <xf numFmtId="0" fontId="48" fillId="0" borderId="0" xfId="0" applyFont="1"/>
    <xf numFmtId="38" fontId="8" fillId="0" borderId="13" xfId="0" applyNumberFormat="1" applyFont="1" applyBorder="1"/>
    <xf numFmtId="38" fontId="8" fillId="0" borderId="23" xfId="0" applyNumberFormat="1" applyFont="1" applyBorder="1"/>
    <xf numFmtId="38" fontId="8" fillId="0" borderId="20" xfId="0" applyNumberFormat="1" applyFont="1" applyBorder="1"/>
    <xf numFmtId="38" fontId="8" fillId="0" borderId="24" xfId="0" applyNumberFormat="1" applyFont="1" applyBorder="1"/>
    <xf numFmtId="0" fontId="8" fillId="0" borderId="0" xfId="0" applyFont="1" applyAlignment="1">
      <alignment horizontal="center" vertical="center"/>
    </xf>
    <xf numFmtId="14" fontId="8" fillId="0" borderId="25" xfId="0" applyNumberFormat="1" applyFont="1" applyBorder="1"/>
    <xf numFmtId="38" fontId="8" fillId="0" borderId="26" xfId="0" applyNumberFormat="1" applyFont="1" applyBorder="1"/>
    <xf numFmtId="38" fontId="8" fillId="0" borderId="25" xfId="0" applyNumberFormat="1" applyFont="1" applyBorder="1"/>
    <xf numFmtId="38" fontId="8" fillId="0" borderId="27" xfId="0" applyNumberFormat="1" applyFont="1" applyBorder="1"/>
    <xf numFmtId="168" fontId="8" fillId="0" borderId="0" xfId="0" applyNumberFormat="1" applyFont="1"/>
    <xf numFmtId="0" fontId="16" fillId="0" borderId="0" xfId="0" applyFont="1"/>
    <xf numFmtId="0" fontId="15" fillId="0" borderId="28" xfId="0" applyFont="1" applyBorder="1"/>
    <xf numFmtId="0" fontId="16" fillId="0" borderId="28" xfId="0" applyFont="1" applyBorder="1"/>
    <xf numFmtId="38" fontId="49" fillId="0" borderId="0" xfId="0" applyNumberFormat="1" applyFont="1"/>
    <xf numFmtId="38" fontId="50" fillId="0" borderId="0" xfId="0" applyNumberFormat="1" applyFont="1"/>
    <xf numFmtId="2" fontId="15" fillId="0" borderId="0" xfId="0" applyNumberFormat="1" applyFont="1" applyAlignment="1">
      <alignment horizontal="center"/>
    </xf>
    <xf numFmtId="38" fontId="51" fillId="0" borderId="0" xfId="0" applyNumberFormat="1" applyFont="1"/>
    <xf numFmtId="0" fontId="16" fillId="0" borderId="9" xfId="0" applyFont="1" applyBorder="1"/>
    <xf numFmtId="38" fontId="49" fillId="0" borderId="9" xfId="0" applyNumberFormat="1" applyFont="1" applyBorder="1"/>
    <xf numFmtId="38" fontId="50" fillId="0" borderId="9" xfId="0" applyNumberFormat="1" applyFont="1" applyBorder="1"/>
    <xf numFmtId="0" fontId="15" fillId="0" borderId="21" xfId="0" applyFont="1" applyBorder="1"/>
    <xf numFmtId="38" fontId="49" fillId="0" borderId="21" xfId="0" applyNumberFormat="1" applyFont="1" applyBorder="1"/>
    <xf numFmtId="38" fontId="50" fillId="0" borderId="21" xfId="0" applyNumberFormat="1" applyFont="1" applyBorder="1"/>
    <xf numFmtId="0" fontId="15" fillId="0" borderId="29" xfId="0" applyFont="1" applyBorder="1"/>
    <xf numFmtId="38" fontId="15" fillId="0" borderId="29" xfId="0" applyNumberFormat="1" applyFont="1" applyBorder="1"/>
    <xf numFmtId="38" fontId="51" fillId="0" borderId="29" xfId="0" applyNumberFormat="1" applyFont="1" applyBorder="1"/>
    <xf numFmtId="38" fontId="15" fillId="0" borderId="21" xfId="0" applyNumberFormat="1" applyFont="1" applyBorder="1"/>
    <xf numFmtId="38" fontId="51" fillId="0" borderId="21" xfId="0" applyNumberFormat="1" applyFont="1" applyBorder="1"/>
    <xf numFmtId="0" fontId="16" fillId="0" borderId="11" xfId="0" applyFont="1" applyBorder="1"/>
    <xf numFmtId="38" fontId="49" fillId="0" borderId="11" xfId="0" applyNumberFormat="1" applyFont="1" applyBorder="1"/>
    <xf numFmtId="38" fontId="50" fillId="0" borderId="11" xfId="0" applyNumberFormat="1" applyFont="1" applyBorder="1"/>
    <xf numFmtId="0" fontId="16" fillId="0" borderId="10" xfId="0" applyFont="1" applyBorder="1"/>
    <xf numFmtId="38" fontId="15" fillId="0" borderId="10" xfId="0" applyNumberFormat="1" applyFont="1" applyBorder="1"/>
    <xf numFmtId="0" fontId="16" fillId="0" borderId="22" xfId="0" applyFont="1" applyBorder="1"/>
    <xf numFmtId="38" fontId="15" fillId="0" borderId="22" xfId="0" applyNumberFormat="1" applyFont="1" applyBorder="1"/>
    <xf numFmtId="0" fontId="15" fillId="0" borderId="11" xfId="0" applyFont="1" applyBorder="1"/>
    <xf numFmtId="0" fontId="15" fillId="0" borderId="10" xfId="0" applyFont="1" applyBorder="1"/>
    <xf numFmtId="9" fontId="15" fillId="0" borderId="10" xfId="2" applyFont="1" applyBorder="1"/>
    <xf numFmtId="0" fontId="19" fillId="0" borderId="0" xfId="0" applyFont="1" applyAlignment="1">
      <alignment horizontal="center" vertical="center" wrapText="1"/>
    </xf>
    <xf numFmtId="0" fontId="40" fillId="26" borderId="0" xfId="0" applyFont="1" applyFill="1" applyAlignment="1">
      <alignment horizontal="center" vertical="center" wrapText="1"/>
    </xf>
    <xf numFmtId="0" fontId="40" fillId="16" borderId="0" xfId="0" applyFont="1" applyFill="1" applyAlignment="1">
      <alignment horizontal="center" vertical="center"/>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19" borderId="0" xfId="0" applyFont="1" applyFill="1" applyAlignment="1">
      <alignment horizontal="center" vertical="center"/>
    </xf>
    <xf numFmtId="0" fontId="40" fillId="8" borderId="0" xfId="0" applyFont="1" applyFill="1" applyAlignment="1">
      <alignment horizontal="center" vertical="center" wrapText="1"/>
    </xf>
    <xf numFmtId="0" fontId="40" fillId="15" borderId="0" xfId="0" applyFont="1" applyFill="1" applyAlignment="1">
      <alignment horizontal="center" vertical="center" wrapText="1"/>
    </xf>
    <xf numFmtId="0" fontId="40" fillId="29" borderId="0" xfId="0" applyFont="1" applyFill="1" applyAlignment="1">
      <alignment horizontal="center" vertical="center" wrapText="1"/>
    </xf>
    <xf numFmtId="0" fontId="40" fillId="23" borderId="0" xfId="0" applyFont="1" applyFill="1" applyAlignment="1">
      <alignment horizontal="center" vertical="center" wrapText="1"/>
    </xf>
    <xf numFmtId="0" fontId="40" fillId="24" borderId="0" xfId="0" applyFont="1" applyFill="1" applyAlignment="1">
      <alignment horizontal="center" vertical="center" wrapText="1"/>
    </xf>
    <xf numFmtId="0" fontId="40" fillId="25" borderId="0" xfId="0" applyFont="1" applyFill="1" applyAlignment="1">
      <alignment horizontal="center" vertical="center" wrapText="1"/>
    </xf>
    <xf numFmtId="0" fontId="40" fillId="27" borderId="0" xfId="0" applyFont="1" applyFill="1" applyAlignment="1">
      <alignment horizontal="center" vertical="center" wrapText="1"/>
    </xf>
    <xf numFmtId="0" fontId="40" fillId="19" borderId="0" xfId="0" applyFont="1" applyFill="1" applyAlignment="1">
      <alignment horizontal="center" vertical="center" wrapText="1"/>
    </xf>
    <xf numFmtId="0" fontId="40" fillId="21" borderId="0" xfId="0" applyFont="1" applyFill="1" applyAlignment="1">
      <alignment horizontal="center" vertical="center" wrapText="1"/>
    </xf>
    <xf numFmtId="0" fontId="40" fillId="28" borderId="0" xfId="0" applyFont="1" applyFill="1" applyAlignment="1">
      <alignment horizontal="center" vertical="center" wrapText="1"/>
    </xf>
    <xf numFmtId="0" fontId="40" fillId="30" borderId="0" xfId="0" applyFont="1" applyFill="1" applyAlignment="1">
      <alignment horizontal="center" vertical="center" wrapText="1"/>
    </xf>
    <xf numFmtId="38" fontId="43" fillId="0" borderId="0" xfId="0" applyNumberFormat="1" applyFont="1" applyAlignment="1">
      <alignment horizontal="center" vertical="center" wrapText="1"/>
    </xf>
    <xf numFmtId="38" fontId="3" fillId="0" borderId="0" xfId="0" applyNumberFormat="1" applyFont="1" applyAlignment="1">
      <alignment horizontal="center"/>
    </xf>
    <xf numFmtId="38" fontId="43" fillId="0" borderId="0" xfId="0" applyNumberFormat="1" applyFont="1" applyAlignment="1">
      <alignment horizontal="center"/>
    </xf>
    <xf numFmtId="0" fontId="43" fillId="0" borderId="0" xfId="0" applyFont="1" applyAlignment="1">
      <alignment horizontal="center" vertical="center" wrapText="1"/>
    </xf>
    <xf numFmtId="0" fontId="43" fillId="0" borderId="0" xfId="0" applyFont="1"/>
    <xf numFmtId="38" fontId="43" fillId="0" borderId="10" xfId="0" applyNumberFormat="1" applyFont="1" applyBorder="1" applyAlignment="1">
      <alignment horizontal="center" vertical="center" wrapText="1"/>
    </xf>
    <xf numFmtId="38" fontId="3" fillId="0" borderId="10" xfId="0" applyNumberFormat="1" applyFont="1" applyBorder="1" applyAlignment="1">
      <alignment horizontal="center"/>
    </xf>
    <xf numFmtId="38" fontId="43" fillId="0" borderId="10" xfId="0" applyNumberFormat="1" applyFont="1" applyBorder="1" applyAlignment="1">
      <alignment horizontal="center"/>
    </xf>
    <xf numFmtId="38" fontId="3" fillId="0" borderId="22" xfId="0" applyNumberFormat="1" applyFont="1" applyBorder="1" applyAlignment="1">
      <alignment horizontal="center"/>
    </xf>
    <xf numFmtId="0" fontId="3" fillId="0" borderId="0" xfId="0" applyFont="1" applyAlignment="1">
      <alignment horizontal="center"/>
    </xf>
    <xf numFmtId="0" fontId="52" fillId="0" borderId="0" xfId="0" applyFont="1"/>
    <xf numFmtId="0" fontId="53" fillId="0" borderId="0" xfId="0" applyFont="1"/>
    <xf numFmtId="38" fontId="54" fillId="0" borderId="0" xfId="0" applyNumberFormat="1" applyFont="1"/>
    <xf numFmtId="0" fontId="53" fillId="0" borderId="5" xfId="0" applyFont="1" applyBorder="1"/>
    <xf numFmtId="0" fontId="52" fillId="0" borderId="5" xfId="0" applyFont="1" applyBorder="1"/>
    <xf numFmtId="0" fontId="55" fillId="0" borderId="0" xfId="0" applyFont="1"/>
    <xf numFmtId="38" fontId="56" fillId="0" borderId="0" xfId="0" applyNumberFormat="1" applyFont="1"/>
    <xf numFmtId="38" fontId="57" fillId="0" borderId="0" xfId="0" applyNumberFormat="1" applyFont="1"/>
    <xf numFmtId="38" fontId="53" fillId="0" borderId="0" xfId="0" applyNumberFormat="1" applyFont="1"/>
    <xf numFmtId="38" fontId="52" fillId="0" borderId="0" xfId="0" applyNumberFormat="1" applyFont="1"/>
    <xf numFmtId="0" fontId="55" fillId="0" borderId="9" xfId="0" applyFont="1" applyBorder="1"/>
    <xf numFmtId="38" fontId="56" fillId="0" borderId="9" xfId="0" applyNumberFormat="1" applyFont="1" applyBorder="1"/>
    <xf numFmtId="38" fontId="57" fillId="0" borderId="9" xfId="0" applyNumberFormat="1" applyFont="1" applyBorder="1"/>
    <xf numFmtId="38" fontId="52" fillId="0" borderId="9" xfId="0" applyNumberFormat="1" applyFont="1" applyBorder="1"/>
    <xf numFmtId="0" fontId="53" fillId="0" borderId="30" xfId="0" applyFont="1" applyBorder="1"/>
    <xf numFmtId="38" fontId="53" fillId="0" borderId="30" xfId="0" applyNumberFormat="1" applyFont="1" applyBorder="1"/>
    <xf numFmtId="38" fontId="57" fillId="0" borderId="30" xfId="0" applyNumberFormat="1" applyFont="1" applyBorder="1"/>
    <xf numFmtId="38" fontId="52" fillId="0" borderId="30" xfId="0" applyNumberFormat="1" applyFont="1" applyBorder="1"/>
    <xf numFmtId="0" fontId="52" fillId="0" borderId="9" xfId="0" applyFont="1" applyBorder="1"/>
    <xf numFmtId="38" fontId="55" fillId="0" borderId="9" xfId="0" applyNumberFormat="1" applyFont="1" applyBorder="1"/>
    <xf numFmtId="38" fontId="58" fillId="0" borderId="30" xfId="0" applyNumberFormat="1" applyFont="1" applyBorder="1"/>
    <xf numFmtId="38" fontId="55" fillId="0" borderId="0" xfId="0" applyNumberFormat="1" applyFont="1"/>
    <xf numFmtId="38" fontId="52" fillId="0" borderId="5" xfId="0" applyNumberFormat="1" applyFont="1" applyBorder="1"/>
    <xf numFmtId="164" fontId="54" fillId="0" borderId="0" xfId="2" applyNumberFormat="1" applyFont="1"/>
    <xf numFmtId="0" fontId="52" fillId="0" borderId="10" xfId="0" applyFont="1" applyBorder="1"/>
    <xf numFmtId="169" fontId="53" fillId="0" borderId="0" xfId="0" applyNumberFormat="1" applyFont="1"/>
    <xf numFmtId="164" fontId="53" fillId="0" borderId="0" xfId="2" applyNumberFormat="1" applyFont="1"/>
    <xf numFmtId="0" fontId="53" fillId="0" borderId="9" xfId="0" applyFont="1" applyBorder="1"/>
    <xf numFmtId="0" fontId="53" fillId="0" borderId="11" xfId="0" applyFont="1" applyBorder="1"/>
    <xf numFmtId="0" fontId="52" fillId="0" borderId="11" xfId="0" applyFont="1" applyBorder="1"/>
    <xf numFmtId="9" fontId="53" fillId="0" borderId="0" xfId="2" applyFont="1"/>
    <xf numFmtId="165" fontId="53" fillId="0" borderId="0" xfId="1" applyNumberFormat="1" applyFont="1"/>
    <xf numFmtId="38" fontId="59" fillId="0" borderId="0" xfId="0" applyNumberFormat="1" applyFont="1"/>
    <xf numFmtId="9" fontId="52" fillId="0" borderId="0" xfId="2" applyFont="1"/>
    <xf numFmtId="0" fontId="53" fillId="0" borderId="10" xfId="0" applyFont="1" applyBorder="1"/>
    <xf numFmtId="9" fontId="53" fillId="0" borderId="10" xfId="2" applyFont="1" applyBorder="1"/>
    <xf numFmtId="38" fontId="57" fillId="2" borderId="0" xfId="0" applyNumberFormat="1" applyFont="1" applyFill="1"/>
    <xf numFmtId="0" fontId="31" fillId="0" borderId="31" xfId="0" applyFont="1" applyBorder="1" applyAlignment="1">
      <alignment horizontal="centerContinuous"/>
    </xf>
    <xf numFmtId="0" fontId="31" fillId="0" borderId="9" xfId="0" applyFont="1" applyBorder="1" applyAlignment="1">
      <alignment horizontal="centerContinuous"/>
    </xf>
    <xf numFmtId="0" fontId="31" fillId="0" borderId="32" xfId="0" applyFont="1" applyBorder="1" applyAlignment="1">
      <alignment horizontal="centerContinuous"/>
    </xf>
    <xf numFmtId="0" fontId="31" fillId="0" borderId="0" xfId="0" applyFont="1" applyAlignment="1">
      <alignment horizontal="centerContinuous"/>
    </xf>
    <xf numFmtId="0" fontId="32" fillId="31" borderId="0" xfId="0" applyFont="1" applyFill="1" applyAlignment="1">
      <alignment horizontal="center" vertical="center" wrapText="1"/>
    </xf>
    <xf numFmtId="0" fontId="32" fillId="32" borderId="0" xfId="0" applyFont="1" applyFill="1" applyAlignment="1">
      <alignment horizontal="center" vertical="center" wrapText="1"/>
    </xf>
    <xf numFmtId="0" fontId="32" fillId="6" borderId="0" xfId="0" applyFont="1" applyFill="1" applyAlignment="1">
      <alignment horizontal="center" vertical="center" wrapText="1"/>
    </xf>
    <xf numFmtId="0" fontId="32" fillId="16" borderId="0" xfId="0" applyFont="1" applyFill="1" applyAlignment="1">
      <alignment horizontal="center" vertical="center"/>
    </xf>
    <xf numFmtId="0" fontId="32" fillId="16" borderId="23" xfId="0" applyFont="1" applyFill="1" applyBorder="1" applyAlignment="1">
      <alignment horizontal="center" vertical="center"/>
    </xf>
    <xf numFmtId="0" fontId="32" fillId="10" borderId="34" xfId="0" applyFont="1" applyFill="1" applyBorder="1" applyAlignment="1">
      <alignment horizontal="center" vertical="center" wrapText="1"/>
    </xf>
    <xf numFmtId="0" fontId="32" fillId="30" borderId="0" xfId="0" applyFont="1" applyFill="1" applyAlignment="1">
      <alignment horizontal="center" vertical="center" wrapText="1"/>
    </xf>
    <xf numFmtId="0" fontId="32" fillId="33" borderId="0" xfId="0" applyFont="1" applyFill="1" applyAlignment="1">
      <alignment horizontal="center" vertical="center" wrapText="1"/>
    </xf>
    <xf numFmtId="38" fontId="60" fillId="0" borderId="35" xfId="0" applyNumberFormat="1" applyFont="1" applyBorder="1"/>
    <xf numFmtId="38" fontId="60" fillId="0" borderId="10" xfId="0" applyNumberFormat="1" applyFont="1" applyBorder="1"/>
    <xf numFmtId="38" fontId="60" fillId="0" borderId="19" xfId="0" applyNumberFormat="1" applyFont="1" applyBorder="1"/>
    <xf numFmtId="38" fontId="60" fillId="0" borderId="34" xfId="0" applyNumberFormat="1" applyFont="1" applyBorder="1"/>
    <xf numFmtId="38" fontId="60" fillId="0" borderId="0" xfId="0" applyNumberFormat="1" applyFont="1"/>
    <xf numFmtId="38" fontId="60" fillId="0" borderId="17" xfId="0" applyNumberFormat="1" applyFont="1" applyBorder="1"/>
    <xf numFmtId="165" fontId="0" fillId="0" borderId="0" xfId="1" applyNumberFormat="1" applyFont="1"/>
    <xf numFmtId="0" fontId="24" fillId="0" borderId="0" xfId="0" applyFont="1"/>
    <xf numFmtId="170" fontId="3" fillId="0" borderId="0" xfId="0" applyNumberFormat="1" applyFont="1" applyAlignment="1">
      <alignment horizontal="center"/>
    </xf>
    <xf numFmtId="170" fontId="4" fillId="0" borderId="0" xfId="0" applyNumberFormat="1" applyFont="1" applyAlignment="1">
      <alignment horizontal="center"/>
    </xf>
    <xf numFmtId="0" fontId="24" fillId="0" borderId="9" xfId="0" applyFont="1" applyBorder="1"/>
    <xf numFmtId="0" fontId="3" fillId="0" borderId="30" xfId="0" applyFont="1" applyBorder="1"/>
    <xf numFmtId="38" fontId="3" fillId="0" borderId="30" xfId="0" applyNumberFormat="1" applyFont="1" applyBorder="1"/>
    <xf numFmtId="38" fontId="43" fillId="0" borderId="30" xfId="0" applyNumberFormat="1" applyFont="1" applyBorder="1"/>
    <xf numFmtId="40" fontId="3" fillId="0" borderId="5" xfId="0" applyNumberFormat="1" applyFont="1" applyBorder="1"/>
    <xf numFmtId="40" fontId="4" fillId="0" borderId="5" xfId="0" applyNumberFormat="1" applyFont="1" applyBorder="1"/>
    <xf numFmtId="0" fontId="40" fillId="14" borderId="0" xfId="0" applyFont="1" applyFill="1" applyAlignment="1">
      <alignment horizontal="center" vertical="center" wrapText="1"/>
    </xf>
    <xf numFmtId="0" fontId="40" fillId="14" borderId="17" xfId="0" applyFont="1" applyFill="1" applyBorder="1" applyAlignment="1">
      <alignment horizontal="center" vertical="center" wrapText="1"/>
    </xf>
    <xf numFmtId="0" fontId="40" fillId="5" borderId="12" xfId="0" applyFont="1" applyFill="1" applyBorder="1" applyAlignment="1">
      <alignment horizontal="center" vertical="center" wrapText="1"/>
    </xf>
    <xf numFmtId="0" fontId="40" fillId="5" borderId="0" xfId="0" applyFont="1" applyFill="1" applyAlignment="1">
      <alignment horizontal="center" vertical="center" wrapText="1"/>
    </xf>
    <xf numFmtId="0" fontId="40" fillId="7" borderId="0" xfId="0" applyFont="1" applyFill="1" applyAlignment="1">
      <alignment horizontal="center" vertical="center" wrapText="1"/>
    </xf>
    <xf numFmtId="0" fontId="40" fillId="31" borderId="0" xfId="0" applyFont="1" applyFill="1" applyAlignment="1">
      <alignment horizontal="center" vertical="center" wrapText="1"/>
    </xf>
    <xf numFmtId="0" fontId="40" fillId="32" borderId="0" xfId="0" applyFont="1" applyFill="1" applyAlignment="1">
      <alignment horizontal="center" vertical="center" wrapText="1"/>
    </xf>
    <xf numFmtId="0" fontId="40" fillId="34" borderId="0" xfId="0" applyFont="1" applyFill="1" applyAlignment="1">
      <alignment horizontal="center" vertical="center" wrapText="1"/>
    </xf>
    <xf numFmtId="0" fontId="40" fillId="9" borderId="0" xfId="0" applyFont="1" applyFill="1" applyAlignment="1">
      <alignment horizontal="center" vertical="center" wrapText="1"/>
    </xf>
    <xf numFmtId="0" fontId="40" fillId="9" borderId="13" xfId="0" applyFont="1" applyFill="1" applyBorder="1" applyAlignment="1">
      <alignment horizontal="center" vertical="center" wrapText="1"/>
    </xf>
    <xf numFmtId="0" fontId="40" fillId="16" borderId="23" xfId="0" applyFont="1" applyFill="1" applyBorder="1" applyAlignment="1">
      <alignment horizontal="center" vertical="center"/>
    </xf>
    <xf numFmtId="0" fontId="40" fillId="10" borderId="34" xfId="0" applyFont="1" applyFill="1" applyBorder="1" applyAlignment="1">
      <alignment horizontal="center" vertical="center" wrapText="1"/>
    </xf>
    <xf numFmtId="0" fontId="40" fillId="22" borderId="0" xfId="0" applyFont="1" applyFill="1" applyAlignment="1">
      <alignment horizontal="center" vertical="center" wrapText="1"/>
    </xf>
    <xf numFmtId="38" fontId="3" fillId="0" borderId="12" xfId="0" applyNumberFormat="1" applyFont="1" applyBorder="1"/>
    <xf numFmtId="38" fontId="3" fillId="0" borderId="13" xfId="0" applyNumberFormat="1" applyFont="1" applyBorder="1"/>
    <xf numFmtId="38" fontId="3" fillId="0" borderId="23" xfId="0" applyNumberFormat="1" applyFont="1" applyBorder="1"/>
    <xf numFmtId="38" fontId="43" fillId="0" borderId="34" xfId="0" applyNumberFormat="1" applyFont="1" applyBorder="1"/>
    <xf numFmtId="38" fontId="43" fillId="0" borderId="17" xfId="0" applyNumberFormat="1" applyFont="1" applyBorder="1"/>
    <xf numFmtId="0" fontId="40" fillId="0" borderId="0" xfId="0" applyFont="1"/>
    <xf numFmtId="0" fontId="40" fillId="0" borderId="0" xfId="0" applyFont="1" applyAlignment="1">
      <alignment horizontal="center" vertical="center" wrapText="1"/>
    </xf>
    <xf numFmtId="38" fontId="3" fillId="0" borderId="18" xfId="0" applyNumberFormat="1" applyFont="1" applyBorder="1"/>
    <xf numFmtId="38" fontId="3" fillId="0" borderId="20" xfId="0" applyNumberFormat="1" applyFont="1" applyBorder="1"/>
    <xf numFmtId="38" fontId="3" fillId="0" borderId="24" xfId="0" applyNumberFormat="1" applyFont="1" applyBorder="1"/>
    <xf numFmtId="38" fontId="43" fillId="0" borderId="35" xfId="0" applyNumberFormat="1" applyFont="1" applyBorder="1"/>
    <xf numFmtId="38" fontId="43" fillId="0" borderId="10" xfId="0" applyNumberFormat="1" applyFont="1" applyBorder="1"/>
    <xf numFmtId="38" fontId="43" fillId="0" borderId="19" xfId="0" applyNumberFormat="1" applyFont="1" applyBorder="1"/>
    <xf numFmtId="38" fontId="54" fillId="0" borderId="9" xfId="0" applyNumberFormat="1" applyFont="1" applyBorder="1"/>
    <xf numFmtId="38" fontId="61" fillId="0" borderId="0" xfId="0" applyNumberFormat="1" applyFont="1"/>
    <xf numFmtId="38" fontId="61" fillId="2" borderId="0" xfId="0" applyNumberFormat="1" applyFont="1" applyFill="1"/>
    <xf numFmtId="38" fontId="52" fillId="2" borderId="0" xfId="0" applyNumberFormat="1" applyFont="1" applyFill="1"/>
    <xf numFmtId="164" fontId="52" fillId="0" borderId="0" xfId="2" applyNumberFormat="1" applyFont="1"/>
    <xf numFmtId="0" fontId="53" fillId="0" borderId="29" xfId="0" applyFont="1" applyBorder="1"/>
    <xf numFmtId="38" fontId="53" fillId="0" borderId="29" xfId="0" applyNumberFormat="1" applyFont="1" applyBorder="1"/>
    <xf numFmtId="38" fontId="54" fillId="2" borderId="9" xfId="0" applyNumberFormat="1" applyFont="1" applyFill="1" applyBorder="1"/>
    <xf numFmtId="38" fontId="55" fillId="2" borderId="9" xfId="0" applyNumberFormat="1" applyFont="1" applyFill="1" applyBorder="1"/>
    <xf numFmtId="10" fontId="53" fillId="0" borderId="5" xfId="2" applyNumberFormat="1" applyFont="1" applyBorder="1"/>
    <xf numFmtId="0" fontId="53" fillId="0" borderId="0" xfId="0" applyFont="1" applyAlignment="1">
      <alignment horizontal="right"/>
    </xf>
    <xf numFmtId="0" fontId="53" fillId="0" borderId="9" xfId="0" applyFont="1" applyBorder="1" applyAlignment="1">
      <alignment horizontal="right"/>
    </xf>
    <xf numFmtId="167" fontId="53" fillId="0" borderId="9" xfId="0" applyNumberFormat="1" applyFont="1" applyBorder="1"/>
    <xf numFmtId="0" fontId="62" fillId="0" borderId="0" xfId="3" applyFont="1"/>
    <xf numFmtId="164" fontId="53" fillId="0" borderId="0" xfId="2" applyNumberFormat="1" applyFont="1" applyFill="1"/>
    <xf numFmtId="164" fontId="53" fillId="0" borderId="10" xfId="2" applyNumberFormat="1" applyFont="1" applyBorder="1"/>
    <xf numFmtId="9" fontId="53" fillId="0" borderId="0" xfId="2" applyFont="1" applyFill="1"/>
    <xf numFmtId="9" fontId="52" fillId="0" borderId="0" xfId="2" applyFont="1" applyFill="1"/>
    <xf numFmtId="166" fontId="53" fillId="0" borderId="0" xfId="0" applyNumberFormat="1" applyFont="1"/>
    <xf numFmtId="171" fontId="53" fillId="0" borderId="0" xfId="0" applyNumberFormat="1" applyFont="1"/>
    <xf numFmtId="171" fontId="52" fillId="0" borderId="0" xfId="0" applyNumberFormat="1" applyFont="1"/>
    <xf numFmtId="166" fontId="52" fillId="0" borderId="0" xfId="0" applyNumberFormat="1" applyFont="1"/>
    <xf numFmtId="166" fontId="52" fillId="0" borderId="0" xfId="2" applyNumberFormat="1" applyFont="1"/>
    <xf numFmtId="166" fontId="53" fillId="0" borderId="0" xfId="2" applyNumberFormat="1" applyFont="1"/>
    <xf numFmtId="167" fontId="53" fillId="0" borderId="10" xfId="0" applyNumberFormat="1" applyFont="1" applyBorder="1"/>
    <xf numFmtId="0" fontId="53" fillId="35" borderId="36" xfId="0" applyFont="1" applyFill="1" applyBorder="1"/>
    <xf numFmtId="0" fontId="63" fillId="0" borderId="0" xfId="0" applyFont="1"/>
    <xf numFmtId="167" fontId="53" fillId="0" borderId="0" xfId="0" applyNumberFormat="1" applyFont="1"/>
    <xf numFmtId="0" fontId="63" fillId="35" borderId="37" xfId="0" applyFont="1" applyFill="1" applyBorder="1"/>
    <xf numFmtId="0" fontId="53" fillId="35" borderId="37" xfId="0" applyFont="1" applyFill="1" applyBorder="1"/>
    <xf numFmtId="166" fontId="53" fillId="35" borderId="37" xfId="0" applyNumberFormat="1" applyFont="1" applyFill="1" applyBorder="1"/>
    <xf numFmtId="164" fontId="53" fillId="35" borderId="37" xfId="2" applyNumberFormat="1" applyFont="1" applyFill="1" applyBorder="1"/>
    <xf numFmtId="164" fontId="52" fillId="35" borderId="37" xfId="2" applyNumberFormat="1" applyFont="1" applyFill="1" applyBorder="1"/>
    <xf numFmtId="164" fontId="52" fillId="35" borderId="38" xfId="2" applyNumberFormat="1" applyFont="1" applyFill="1" applyBorder="1"/>
    <xf numFmtId="0" fontId="65" fillId="0" borderId="0" xfId="0" applyFont="1"/>
    <xf numFmtId="0" fontId="32" fillId="28" borderId="0" xfId="0" applyFont="1" applyFill="1" applyAlignment="1">
      <alignment horizontal="center"/>
    </xf>
    <xf numFmtId="0" fontId="32" fillId="30" borderId="17" xfId="0" applyFont="1" applyFill="1" applyBorder="1" applyAlignment="1">
      <alignment horizontal="center" vertical="center" wrapText="1"/>
    </xf>
    <xf numFmtId="0" fontId="32" fillId="14" borderId="0" xfId="0" applyFont="1" applyFill="1" applyAlignment="1">
      <alignment horizontal="center" vertical="center" wrapText="1"/>
    </xf>
    <xf numFmtId="0" fontId="66" fillId="0" borderId="0" xfId="0" applyFont="1" applyAlignment="1">
      <alignment horizontal="center" vertical="center" wrapText="1"/>
    </xf>
    <xf numFmtId="0" fontId="0" fillId="0" borderId="0" xfId="0" applyAlignment="1">
      <alignment horizontal="center"/>
    </xf>
    <xf numFmtId="164" fontId="8" fillId="0" borderId="0" xfId="2" applyNumberFormat="1" applyFont="1" applyAlignment="1">
      <alignment horizontal="center"/>
    </xf>
    <xf numFmtId="38" fontId="3" fillId="0" borderId="0" xfId="0" applyNumberFormat="1" applyFont="1" applyAlignment="1">
      <alignment horizontal="right"/>
    </xf>
    <xf numFmtId="172" fontId="3" fillId="0" borderId="0" xfId="0" applyNumberFormat="1" applyFont="1"/>
    <xf numFmtId="0" fontId="3" fillId="0" borderId="29" xfId="0" applyFont="1" applyBorder="1"/>
    <xf numFmtId="38" fontId="3" fillId="0" borderId="29" xfId="0" applyNumberFormat="1" applyFont="1" applyBorder="1"/>
    <xf numFmtId="38" fontId="43" fillId="0" borderId="29" xfId="0" applyNumberFormat="1" applyFont="1" applyBorder="1"/>
    <xf numFmtId="38" fontId="4" fillId="0" borderId="5" xfId="0" applyNumberFormat="1" applyFont="1" applyBorder="1"/>
    <xf numFmtId="38" fontId="3" fillId="0" borderId="5" xfId="0" applyNumberFormat="1" applyFont="1" applyBorder="1"/>
    <xf numFmtId="0" fontId="40" fillId="36" borderId="12" xfId="0" applyFont="1" applyFill="1" applyBorder="1" applyAlignment="1">
      <alignment horizontal="center" vertical="center" wrapText="1"/>
    </xf>
    <xf numFmtId="0" fontId="40" fillId="36" borderId="0" xfId="0" applyFont="1" applyFill="1" applyAlignment="1">
      <alignment horizontal="center" vertical="center" wrapText="1"/>
    </xf>
    <xf numFmtId="0" fontId="40" fillId="37" borderId="0" xfId="0" applyFont="1" applyFill="1" applyAlignment="1">
      <alignment horizontal="center" vertical="center" wrapText="1"/>
    </xf>
    <xf numFmtId="0" fontId="67" fillId="0" borderId="0" xfId="0" applyFont="1"/>
    <xf numFmtId="0" fontId="68" fillId="0" borderId="0" xfId="0" applyFont="1"/>
    <xf numFmtId="0" fontId="68" fillId="0" borderId="5" xfId="0" applyFont="1" applyBorder="1"/>
    <xf numFmtId="0" fontId="67" fillId="0" borderId="5" xfId="0" applyFont="1" applyBorder="1"/>
    <xf numFmtId="0" fontId="69" fillId="0" borderId="0" xfId="0" applyFont="1"/>
    <xf numFmtId="38" fontId="70" fillId="0" borderId="0" xfId="0" applyNumberFormat="1" applyFont="1"/>
    <xf numFmtId="38" fontId="69" fillId="0" borderId="0" xfId="0" applyNumberFormat="1" applyFont="1"/>
    <xf numFmtId="38" fontId="68" fillId="0" borderId="0" xfId="0" applyNumberFormat="1" applyFont="1"/>
    <xf numFmtId="38" fontId="67" fillId="0" borderId="0" xfId="0" applyNumberFormat="1" applyFont="1"/>
    <xf numFmtId="0" fontId="69" fillId="0" borderId="9" xfId="0" applyFont="1" applyBorder="1"/>
    <xf numFmtId="38" fontId="70" fillId="0" borderId="9" xfId="0" applyNumberFormat="1" applyFont="1" applyBorder="1"/>
    <xf numFmtId="38" fontId="69" fillId="0" borderId="9" xfId="0" applyNumberFormat="1" applyFont="1" applyBorder="1"/>
    <xf numFmtId="0" fontId="68" fillId="0" borderId="29" xfId="0" applyFont="1" applyBorder="1"/>
    <xf numFmtId="38" fontId="68" fillId="0" borderId="29" xfId="0" applyNumberFormat="1" applyFont="1" applyBorder="1"/>
    <xf numFmtId="38" fontId="67" fillId="0" borderId="29" xfId="0" applyNumberFormat="1" applyFont="1" applyBorder="1"/>
    <xf numFmtId="0" fontId="67" fillId="0" borderId="9" xfId="0" applyFont="1" applyBorder="1"/>
    <xf numFmtId="38" fontId="67" fillId="0" borderId="5" xfId="0" applyNumberFormat="1" applyFont="1" applyBorder="1"/>
    <xf numFmtId="0" fontId="68" fillId="0" borderId="11" xfId="0" applyFont="1" applyBorder="1"/>
    <xf numFmtId="0" fontId="67" fillId="0" borderId="11" xfId="0" applyFont="1" applyBorder="1"/>
    <xf numFmtId="0" fontId="68" fillId="0" borderId="10" xfId="0" applyFont="1" applyBorder="1"/>
    <xf numFmtId="0" fontId="72" fillId="24" borderId="0" xfId="0" applyFont="1" applyFill="1" applyAlignment="1">
      <alignment horizontal="center" vertical="center" wrapText="1"/>
    </xf>
    <xf numFmtId="0" fontId="32" fillId="24" borderId="0" xfId="0" applyFont="1" applyFill="1" applyAlignment="1">
      <alignment horizontal="center" vertical="center" wrapText="1"/>
    </xf>
    <xf numFmtId="0" fontId="72" fillId="38" borderId="0" xfId="0" applyFont="1" applyFill="1" applyAlignment="1">
      <alignment horizontal="center" vertical="center" wrapText="1"/>
    </xf>
    <xf numFmtId="0" fontId="32" fillId="38" borderId="0" xfId="0" applyFont="1" applyFill="1" applyAlignment="1">
      <alignment horizontal="center" vertical="center" wrapText="1"/>
    </xf>
    <xf numFmtId="0" fontId="32" fillId="38" borderId="23" xfId="0" applyFont="1" applyFill="1" applyBorder="1" applyAlignment="1">
      <alignment horizontal="center" vertical="center" wrapText="1"/>
    </xf>
    <xf numFmtId="38" fontId="48" fillId="0" borderId="0" xfId="0" applyNumberFormat="1" applyFont="1"/>
    <xf numFmtId="40" fontId="43" fillId="0" borderId="0" xfId="0" applyNumberFormat="1" applyFont="1"/>
    <xf numFmtId="40" fontId="24" fillId="0" borderId="0" xfId="0" applyNumberFormat="1" applyFont="1"/>
    <xf numFmtId="38" fontId="43" fillId="0" borderId="9" xfId="0" applyNumberFormat="1" applyFont="1" applyBorder="1"/>
    <xf numFmtId="38" fontId="4" fillId="0" borderId="29" xfId="0" applyNumberFormat="1" applyFont="1" applyBorder="1"/>
    <xf numFmtId="0" fontId="40" fillId="38" borderId="0" xfId="0" applyFont="1" applyFill="1" applyAlignment="1">
      <alignment horizontal="center" vertical="center" wrapText="1"/>
    </xf>
    <xf numFmtId="0" fontId="40" fillId="38" borderId="23" xfId="0" applyFont="1" applyFill="1" applyBorder="1" applyAlignment="1">
      <alignment horizontal="center" vertical="center" wrapText="1"/>
    </xf>
    <xf numFmtId="38" fontId="3" fillId="0" borderId="17" xfId="0" applyNumberFormat="1" applyFont="1" applyBorder="1"/>
    <xf numFmtId="38" fontId="3" fillId="0" borderId="19" xfId="0" applyNumberFormat="1" applyFont="1" applyBorder="1"/>
    <xf numFmtId="0" fontId="8" fillId="0" borderId="0" xfId="0" applyFont="1" applyAlignment="1">
      <alignment horizontal="center"/>
    </xf>
    <xf numFmtId="0" fontId="25" fillId="0" borderId="0" xfId="0" applyFont="1" applyAlignment="1">
      <alignment horizontal="center" vertical="center" wrapText="1"/>
    </xf>
    <xf numFmtId="0" fontId="32" fillId="13" borderId="0" xfId="0" applyFont="1" applyFill="1" applyAlignment="1">
      <alignment horizontal="center"/>
    </xf>
    <xf numFmtId="0" fontId="32" fillId="14" borderId="17" xfId="0" applyFont="1" applyFill="1" applyBorder="1" applyAlignment="1">
      <alignment horizontal="center" vertical="center"/>
    </xf>
    <xf numFmtId="0" fontId="31" fillId="0" borderId="12" xfId="0" applyFont="1" applyBorder="1" applyAlignment="1">
      <alignment horizontal="center"/>
    </xf>
    <xf numFmtId="0" fontId="31" fillId="0" borderId="0" xfId="0" applyFont="1" applyAlignment="1">
      <alignment horizontal="center"/>
    </xf>
    <xf numFmtId="0" fontId="31" fillId="0" borderId="13" xfId="0" applyFont="1" applyBorder="1" applyAlignment="1">
      <alignment horizontal="center"/>
    </xf>
    <xf numFmtId="0" fontId="31" fillId="0" borderId="14" xfId="0" applyFont="1" applyBorder="1" applyAlignment="1">
      <alignment horizontal="center"/>
    </xf>
    <xf numFmtId="0" fontId="31" fillId="0" borderId="15" xfId="0" applyFont="1" applyBorder="1" applyAlignment="1">
      <alignment horizontal="center"/>
    </xf>
    <xf numFmtId="0" fontId="31" fillId="0" borderId="16" xfId="0" applyFont="1" applyBorder="1" applyAlignment="1">
      <alignment horizontal="center"/>
    </xf>
    <xf numFmtId="0" fontId="32" fillId="5" borderId="12" xfId="0" applyFont="1" applyFill="1" applyBorder="1" applyAlignment="1">
      <alignment horizontal="center"/>
    </xf>
    <xf numFmtId="0" fontId="32" fillId="5" borderId="0" xfId="0" applyFont="1" applyFill="1" applyAlignment="1">
      <alignment horizontal="center"/>
    </xf>
    <xf numFmtId="0" fontId="33" fillId="6" borderId="0" xfId="0" applyFont="1" applyFill="1" applyAlignment="1">
      <alignment horizontal="center"/>
    </xf>
    <xf numFmtId="0" fontId="32" fillId="7" borderId="0" xfId="0" applyFont="1" applyFill="1" applyAlignment="1">
      <alignment horizontal="center"/>
    </xf>
    <xf numFmtId="0" fontId="32" fillId="8" borderId="0" xfId="0" applyFont="1" applyFill="1" applyAlignment="1">
      <alignment horizontal="center"/>
    </xf>
    <xf numFmtId="0" fontId="32" fillId="9" borderId="0" xfId="0" applyFont="1" applyFill="1" applyAlignment="1">
      <alignment horizontal="center" vertical="center"/>
    </xf>
    <xf numFmtId="0" fontId="32" fillId="9" borderId="13" xfId="0" applyFont="1" applyFill="1" applyBorder="1" applyAlignment="1">
      <alignment horizontal="center" vertical="center"/>
    </xf>
    <xf numFmtId="0" fontId="32" fillId="10" borderId="12" xfId="0" applyFont="1" applyFill="1" applyBorder="1" applyAlignment="1">
      <alignment horizontal="center"/>
    </xf>
    <xf numFmtId="0" fontId="32" fillId="10" borderId="0" xfId="0" applyFont="1" applyFill="1" applyAlignment="1">
      <alignment horizontal="center"/>
    </xf>
    <xf numFmtId="0" fontId="32" fillId="11" borderId="0" xfId="0" applyFont="1" applyFill="1" applyAlignment="1">
      <alignment horizontal="center"/>
    </xf>
    <xf numFmtId="0" fontId="32" fillId="12" borderId="0" xfId="0" applyFont="1" applyFill="1" applyAlignment="1">
      <alignment horizontal="center"/>
    </xf>
    <xf numFmtId="0" fontId="40" fillId="13" borderId="0" xfId="0" applyFont="1" applyFill="1" applyAlignment="1">
      <alignment horizontal="center"/>
    </xf>
    <xf numFmtId="0" fontId="40" fillId="14" borderId="0" xfId="0" applyFont="1" applyFill="1" applyAlignment="1">
      <alignment horizontal="center" vertical="center"/>
    </xf>
    <xf numFmtId="0" fontId="19" fillId="0" borderId="0" xfId="0" applyFont="1" applyAlignment="1">
      <alignment horizontal="center"/>
    </xf>
    <xf numFmtId="0" fontId="40" fillId="5" borderId="0" xfId="0" applyFont="1" applyFill="1" applyAlignment="1">
      <alignment horizontal="center"/>
    </xf>
    <xf numFmtId="0" fontId="40" fillId="6" borderId="0" xfId="0" applyFont="1" applyFill="1" applyAlignment="1">
      <alignment horizontal="center"/>
    </xf>
    <xf numFmtId="0" fontId="40" fillId="7" borderId="0" xfId="0" applyFont="1" applyFill="1" applyAlignment="1">
      <alignment horizontal="center"/>
    </xf>
    <xf numFmtId="0" fontId="40" fillId="8" borderId="0" xfId="0" applyFont="1" applyFill="1" applyAlignment="1">
      <alignment horizontal="center"/>
    </xf>
    <xf numFmtId="0" fontId="40" fillId="9" borderId="0" xfId="0" applyFont="1" applyFill="1" applyAlignment="1">
      <alignment horizontal="center" vertical="center"/>
    </xf>
    <xf numFmtId="0" fontId="40" fillId="9" borderId="13" xfId="0" applyFont="1" applyFill="1" applyBorder="1" applyAlignment="1">
      <alignment horizontal="center" vertical="center"/>
    </xf>
    <xf numFmtId="0" fontId="40" fillId="10" borderId="0" xfId="0" applyFont="1" applyFill="1" applyAlignment="1">
      <alignment horizontal="center"/>
    </xf>
    <xf numFmtId="0" fontId="40" fillId="11" borderId="0" xfId="0" applyFont="1" applyFill="1" applyAlignment="1">
      <alignment horizontal="center"/>
    </xf>
    <xf numFmtId="0" fontId="40" fillId="12" borderId="0" xfId="0" applyFont="1" applyFill="1" applyAlignment="1">
      <alignment horizontal="center"/>
    </xf>
    <xf numFmtId="0" fontId="30" fillId="0" borderId="0" xfId="0" applyFont="1" applyAlignment="1">
      <alignment horizontal="center" vertical="center" wrapText="1"/>
    </xf>
    <xf numFmtId="0" fontId="40" fillId="17" borderId="0" xfId="0" applyFont="1" applyFill="1" applyAlignment="1">
      <alignment horizontal="center" vertical="center"/>
    </xf>
    <xf numFmtId="0" fontId="40" fillId="18" borderId="0" xfId="0" applyFont="1" applyFill="1" applyAlignment="1">
      <alignment horizontal="center" vertical="center"/>
    </xf>
    <xf numFmtId="0" fontId="40" fillId="19" borderId="0" xfId="0" applyFont="1" applyFill="1" applyAlignment="1">
      <alignment horizontal="center" vertical="center"/>
    </xf>
    <xf numFmtId="0" fontId="40" fillId="8" borderId="0" xfId="0" applyFont="1" applyFill="1" applyAlignment="1">
      <alignment horizontal="center" vertical="center" wrapText="1"/>
    </xf>
    <xf numFmtId="0" fontId="40" fillId="15" borderId="0" xfId="0" applyFont="1" applyFill="1" applyAlignment="1">
      <alignment horizontal="center" vertical="center" wrapText="1"/>
    </xf>
    <xf numFmtId="0" fontId="40" fillId="21" borderId="0" xfId="0" applyFont="1" applyFill="1" applyAlignment="1">
      <alignment horizontal="center" vertical="center"/>
    </xf>
    <xf numFmtId="0" fontId="40" fillId="28" borderId="0" xfId="0" applyFont="1" applyFill="1" applyAlignment="1">
      <alignment horizontal="center" vertical="center"/>
    </xf>
    <xf numFmtId="0" fontId="40" fillId="10" borderId="0" xfId="0" applyFont="1" applyFill="1" applyAlignment="1">
      <alignment horizontal="center" vertical="center"/>
    </xf>
    <xf numFmtId="0" fontId="40" fillId="29" borderId="0" xfId="0" applyFont="1" applyFill="1" applyAlignment="1">
      <alignment horizontal="center" vertical="center" wrapText="1"/>
    </xf>
    <xf numFmtId="0" fontId="40" fillId="30" borderId="0" xfId="0" applyFont="1" applyFill="1" applyAlignment="1">
      <alignment horizontal="center" vertical="center"/>
    </xf>
    <xf numFmtId="0" fontId="19" fillId="0" borderId="0" xfId="0" applyFont="1" applyAlignment="1">
      <alignment horizontal="center" wrapText="1"/>
    </xf>
    <xf numFmtId="0" fontId="40" fillId="23" borderId="0" xfId="0" applyFont="1" applyFill="1" applyAlignment="1">
      <alignment horizontal="center" vertical="center"/>
    </xf>
    <xf numFmtId="0" fontId="40" fillId="24" borderId="0" xfId="0" applyFont="1" applyFill="1" applyAlignment="1">
      <alignment horizontal="center" vertical="center"/>
    </xf>
    <xf numFmtId="0" fontId="40" fillId="25" borderId="0" xfId="0" applyFont="1" applyFill="1" applyAlignment="1">
      <alignment horizontal="center" vertical="center"/>
    </xf>
    <xf numFmtId="0" fontId="40" fillId="26" borderId="0" xfId="0" applyFont="1" applyFill="1" applyAlignment="1">
      <alignment horizontal="center" vertical="center" wrapText="1"/>
    </xf>
    <xf numFmtId="0" fontId="40" fillId="27" borderId="0" xfId="0" applyFont="1" applyFill="1" applyAlignment="1">
      <alignment horizontal="center" vertical="center"/>
    </xf>
    <xf numFmtId="0" fontId="40" fillId="16" borderId="0" xfId="0" applyFont="1" applyFill="1" applyAlignment="1">
      <alignment horizontal="center" vertical="center"/>
    </xf>
    <xf numFmtId="0" fontId="53" fillId="0" borderId="0" xfId="0" applyFont="1" applyAlignment="1">
      <alignment horizontal="center" vertical="center" wrapText="1"/>
    </xf>
    <xf numFmtId="0" fontId="32" fillId="10" borderId="34" xfId="0" applyFont="1" applyFill="1" applyBorder="1" applyAlignment="1">
      <alignment horizontal="center"/>
    </xf>
    <xf numFmtId="0" fontId="32" fillId="30" borderId="0" xfId="0" applyFont="1" applyFill="1" applyAlignment="1">
      <alignment horizontal="center"/>
    </xf>
    <xf numFmtId="0" fontId="31" fillId="0" borderId="18" xfId="0" applyFont="1" applyBorder="1" applyAlignment="1">
      <alignment horizontal="center"/>
    </xf>
    <xf numFmtId="0" fontId="31" fillId="0" borderId="10" xfId="0" applyFont="1" applyBorder="1" applyAlignment="1">
      <alignment horizontal="center"/>
    </xf>
    <xf numFmtId="0" fontId="31" fillId="0" borderId="20" xfId="0" applyFont="1" applyBorder="1" applyAlignment="1">
      <alignment horizontal="center"/>
    </xf>
    <xf numFmtId="0" fontId="31" fillId="0" borderId="33" xfId="0" applyFont="1" applyBorder="1" applyAlignment="1">
      <alignment horizontal="center"/>
    </xf>
    <xf numFmtId="0" fontId="32" fillId="31" borderId="0" xfId="0" applyFont="1" applyFill="1" applyAlignment="1">
      <alignment horizontal="center"/>
    </xf>
    <xf numFmtId="0" fontId="32" fillId="32" borderId="0" xfId="0" applyFont="1" applyFill="1" applyAlignment="1">
      <alignment horizontal="center"/>
    </xf>
    <xf numFmtId="0" fontId="32" fillId="15" borderId="0" xfId="0" applyFont="1" applyFill="1" applyAlignment="1">
      <alignment horizontal="center"/>
    </xf>
    <xf numFmtId="0" fontId="32" fillId="6" borderId="0" xfId="0" applyFont="1" applyFill="1" applyAlignment="1">
      <alignment horizontal="center"/>
    </xf>
    <xf numFmtId="0" fontId="32" fillId="9" borderId="0" xfId="0" applyFont="1" applyFill="1" applyAlignment="1">
      <alignment horizontal="center"/>
    </xf>
    <xf numFmtId="0" fontId="32" fillId="9" borderId="13" xfId="0" applyFont="1" applyFill="1" applyBorder="1" applyAlignment="1">
      <alignment horizontal="center"/>
    </xf>
    <xf numFmtId="0" fontId="32" fillId="21" borderId="0" xfId="0" applyFont="1" applyFill="1" applyAlignment="1">
      <alignment horizontal="center"/>
    </xf>
    <xf numFmtId="0" fontId="32" fillId="22" borderId="0" xfId="0" applyFont="1" applyFill="1" applyAlignment="1">
      <alignment horizontal="center"/>
    </xf>
    <xf numFmtId="0" fontId="32" fillId="33" borderId="0" xfId="0" applyFont="1" applyFill="1" applyAlignment="1">
      <alignment horizontal="center"/>
    </xf>
    <xf numFmtId="0" fontId="32" fillId="14" borderId="17" xfId="0" applyFont="1" applyFill="1" applyBorder="1" applyAlignment="1">
      <alignment horizontal="center" vertical="center" wrapText="1"/>
    </xf>
    <xf numFmtId="0" fontId="32" fillId="16" borderId="0" xfId="0" applyFont="1" applyFill="1" applyAlignment="1">
      <alignment horizontal="center"/>
    </xf>
    <xf numFmtId="0" fontId="32" fillId="16" borderId="23" xfId="0" applyFont="1" applyFill="1" applyBorder="1" applyAlignment="1">
      <alignment horizontal="center"/>
    </xf>
    <xf numFmtId="0" fontId="32" fillId="16" borderId="34" xfId="0" applyFont="1" applyFill="1" applyBorder="1" applyAlignment="1">
      <alignment horizontal="center"/>
    </xf>
    <xf numFmtId="0" fontId="40" fillId="28" borderId="0" xfId="0" applyFont="1" applyFill="1" applyAlignment="1">
      <alignment horizontal="center"/>
    </xf>
    <xf numFmtId="0" fontId="40" fillId="30" borderId="0" xfId="0" applyFont="1" applyFill="1" applyAlignment="1">
      <alignment horizontal="center"/>
    </xf>
    <xf numFmtId="0" fontId="40" fillId="21" borderId="0" xfId="0" applyFont="1" applyFill="1" applyAlignment="1">
      <alignment horizontal="center"/>
    </xf>
    <xf numFmtId="0" fontId="40" fillId="22" borderId="0" xfId="0" applyFont="1" applyFill="1" applyAlignment="1">
      <alignment horizontal="center"/>
    </xf>
    <xf numFmtId="0" fontId="19" fillId="0" borderId="18" xfId="0" applyFont="1" applyBorder="1" applyAlignment="1">
      <alignment horizontal="center"/>
    </xf>
    <xf numFmtId="0" fontId="19" fillId="0" borderId="10" xfId="0" applyFont="1" applyBorder="1" applyAlignment="1">
      <alignment horizontal="center"/>
    </xf>
    <xf numFmtId="0" fontId="19" fillId="0" borderId="20" xfId="0" applyFont="1" applyBorder="1" applyAlignment="1">
      <alignment horizontal="center"/>
    </xf>
    <xf numFmtId="0" fontId="19" fillId="0" borderId="31" xfId="0" applyFont="1" applyBorder="1" applyAlignment="1">
      <alignment horizontal="center"/>
    </xf>
    <xf numFmtId="0" fontId="19" fillId="0" borderId="9" xfId="0" applyFont="1" applyBorder="1" applyAlignment="1">
      <alignment horizontal="center"/>
    </xf>
    <xf numFmtId="0" fontId="19" fillId="0" borderId="32" xfId="0" applyFont="1" applyBorder="1" applyAlignment="1">
      <alignment horizontal="center"/>
    </xf>
    <xf numFmtId="0" fontId="19" fillId="0" borderId="34" xfId="0" applyFont="1" applyBorder="1" applyAlignment="1">
      <alignment horizontal="center"/>
    </xf>
    <xf numFmtId="0" fontId="19" fillId="0" borderId="23" xfId="0" applyFont="1" applyBorder="1" applyAlignment="1">
      <alignment horizontal="center"/>
    </xf>
    <xf numFmtId="0" fontId="19" fillId="0" borderId="33" xfId="0" applyFont="1" applyBorder="1" applyAlignment="1">
      <alignment horizontal="center"/>
    </xf>
    <xf numFmtId="0" fontId="19" fillId="0" borderId="15" xfId="0" applyFont="1" applyBorder="1" applyAlignment="1">
      <alignment horizontal="center"/>
    </xf>
    <xf numFmtId="0" fontId="19" fillId="0" borderId="16" xfId="0" applyFont="1" applyBorder="1" applyAlignment="1">
      <alignment horizontal="center"/>
    </xf>
    <xf numFmtId="0" fontId="40" fillId="5" borderId="12" xfId="0" applyFont="1" applyFill="1" applyBorder="1" applyAlignment="1">
      <alignment horizontal="center"/>
    </xf>
    <xf numFmtId="0" fontId="40" fillId="31" borderId="0" xfId="0" applyFont="1" applyFill="1" applyAlignment="1">
      <alignment horizontal="center"/>
    </xf>
    <xf numFmtId="0" fontId="40" fillId="32" borderId="0" xfId="0" applyFont="1" applyFill="1" applyAlignment="1">
      <alignment horizontal="center"/>
    </xf>
    <xf numFmtId="0" fontId="40" fillId="15" borderId="0" xfId="0" applyFont="1" applyFill="1" applyAlignment="1">
      <alignment horizontal="center"/>
    </xf>
    <xf numFmtId="0" fontId="40" fillId="14" borderId="0" xfId="0" applyFont="1" applyFill="1" applyAlignment="1">
      <alignment horizontal="center" vertical="center" wrapText="1"/>
    </xf>
    <xf numFmtId="0" fontId="40" fillId="14" borderId="17" xfId="0" applyFont="1" applyFill="1" applyBorder="1" applyAlignment="1">
      <alignment horizontal="center" vertical="center" wrapText="1"/>
    </xf>
    <xf numFmtId="0" fontId="40" fillId="34" borderId="0" xfId="0" applyFont="1" applyFill="1" applyAlignment="1">
      <alignment horizontal="center"/>
    </xf>
    <xf numFmtId="0" fontId="40" fillId="9" borderId="0" xfId="0" applyFont="1" applyFill="1" applyAlignment="1">
      <alignment horizontal="center"/>
    </xf>
    <xf numFmtId="0" fontId="40" fillId="9" borderId="13" xfId="0" applyFont="1" applyFill="1" applyBorder="1" applyAlignment="1">
      <alignment horizontal="center"/>
    </xf>
    <xf numFmtId="0" fontId="40" fillId="16" borderId="0" xfId="0" applyFont="1" applyFill="1" applyAlignment="1">
      <alignment horizontal="center"/>
    </xf>
    <xf numFmtId="0" fontId="40" fillId="16" borderId="23" xfId="0" applyFont="1" applyFill="1" applyBorder="1" applyAlignment="1">
      <alignment horizontal="center"/>
    </xf>
    <xf numFmtId="0" fontId="40" fillId="16" borderId="34" xfId="0" applyFont="1" applyFill="1" applyBorder="1" applyAlignment="1">
      <alignment horizontal="center"/>
    </xf>
    <xf numFmtId="0" fontId="40" fillId="10" borderId="34" xfId="0" applyFont="1" applyFill="1" applyBorder="1" applyAlignment="1">
      <alignment horizontal="center"/>
    </xf>
    <xf numFmtId="0" fontId="66" fillId="0" borderId="39" xfId="0" applyFont="1" applyBorder="1" applyAlignment="1">
      <alignment horizontal="center"/>
    </xf>
    <xf numFmtId="0" fontId="66" fillId="0" borderId="0" xfId="0" applyFont="1" applyAlignment="1">
      <alignment horizontal="center"/>
    </xf>
    <xf numFmtId="0" fontId="48" fillId="0" borderId="0" xfId="0" applyFont="1" applyAlignment="1">
      <alignment horizontal="center"/>
    </xf>
    <xf numFmtId="0" fontId="32" fillId="28" borderId="0" xfId="0" applyFont="1" applyFill="1" applyAlignment="1">
      <alignment horizontal="center"/>
    </xf>
    <xf numFmtId="0" fontId="32" fillId="14" borderId="0" xfId="0" applyFont="1" applyFill="1" applyAlignment="1">
      <alignment horizontal="center"/>
    </xf>
    <xf numFmtId="0" fontId="32" fillId="30" borderId="0" xfId="0" applyFont="1" applyFill="1" applyAlignment="1">
      <alignment horizontal="center" vertical="center" wrapText="1"/>
    </xf>
    <xf numFmtId="0" fontId="32" fillId="30" borderId="17" xfId="0" applyFont="1" applyFill="1" applyBorder="1" applyAlignment="1">
      <alignment horizontal="center" vertical="center" wrapText="1"/>
    </xf>
    <xf numFmtId="0" fontId="64" fillId="0" borderId="15" xfId="0" applyFont="1" applyBorder="1" applyAlignment="1">
      <alignment horizontal="center"/>
    </xf>
    <xf numFmtId="0" fontId="64" fillId="0" borderId="16" xfId="0" applyFont="1" applyBorder="1" applyAlignment="1">
      <alignment horizontal="center"/>
    </xf>
    <xf numFmtId="0" fontId="40" fillId="36" borderId="12" xfId="0" applyFont="1" applyFill="1" applyBorder="1" applyAlignment="1">
      <alignment horizontal="center"/>
    </xf>
    <xf numFmtId="0" fontId="40" fillId="36" borderId="0" xfId="0" applyFont="1" applyFill="1" applyAlignment="1">
      <alignment horizontal="center"/>
    </xf>
    <xf numFmtId="0" fontId="40" fillId="37" borderId="0" xfId="0" applyFont="1" applyFill="1" applyAlignment="1">
      <alignment horizontal="center"/>
    </xf>
    <xf numFmtId="0" fontId="40" fillId="19" borderId="0" xfId="0" applyFont="1" applyFill="1" applyAlignment="1">
      <alignment horizontal="center"/>
    </xf>
    <xf numFmtId="0" fontId="40" fillId="25" borderId="0" xfId="0" applyFont="1" applyFill="1" applyAlignment="1">
      <alignment horizontal="center"/>
    </xf>
    <xf numFmtId="0" fontId="71" fillId="0" borderId="18" xfId="0" applyFont="1" applyBorder="1" applyAlignment="1">
      <alignment horizontal="center"/>
    </xf>
    <xf numFmtId="0" fontId="71" fillId="0" borderId="10" xfId="0" applyFont="1" applyBorder="1" applyAlignment="1">
      <alignment horizontal="center"/>
    </xf>
    <xf numFmtId="0" fontId="71" fillId="0" borderId="20" xfId="0" applyFont="1" applyBorder="1" applyAlignment="1">
      <alignment horizontal="center"/>
    </xf>
    <xf numFmtId="0" fontId="71" fillId="0" borderId="9" xfId="0" applyFont="1" applyBorder="1" applyAlignment="1">
      <alignment horizontal="center"/>
    </xf>
    <xf numFmtId="0" fontId="71" fillId="0" borderId="32" xfId="0" applyFont="1" applyBorder="1" applyAlignment="1">
      <alignment horizontal="center"/>
    </xf>
    <xf numFmtId="0" fontId="71" fillId="0" borderId="15" xfId="0" applyFont="1" applyBorder="1" applyAlignment="1">
      <alignment horizontal="center"/>
    </xf>
    <xf numFmtId="0" fontId="71" fillId="0" borderId="16" xfId="0" applyFont="1" applyBorder="1" applyAlignment="1">
      <alignment horizontal="center"/>
    </xf>
    <xf numFmtId="0" fontId="72" fillId="24" borderId="0" xfId="0" applyFont="1" applyFill="1" applyAlignment="1">
      <alignment horizontal="center"/>
    </xf>
    <xf numFmtId="0" fontId="72" fillId="38" borderId="0" xfId="0" applyFont="1" applyFill="1" applyAlignment="1">
      <alignment horizontal="center"/>
    </xf>
    <xf numFmtId="0" fontId="72" fillId="38" borderId="23" xfId="0" applyFont="1" applyFill="1" applyBorder="1" applyAlignment="1">
      <alignment horizontal="center"/>
    </xf>
    <xf numFmtId="0" fontId="40" fillId="24" borderId="0" xfId="0" applyFont="1" applyFill="1" applyAlignment="1">
      <alignment horizontal="center"/>
    </xf>
    <xf numFmtId="0" fontId="40" fillId="38" borderId="0" xfId="0" applyFont="1" applyFill="1" applyAlignment="1">
      <alignment horizontal="center"/>
    </xf>
    <xf numFmtId="0" fontId="40" fillId="38" borderId="23"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theme" Target="theme/theme1.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75</xdr:col>
      <xdr:colOff>371474</xdr:colOff>
      <xdr:row>22</xdr:row>
      <xdr:rowOff>9525</xdr:rowOff>
    </xdr:from>
    <xdr:to>
      <xdr:col>76</xdr:col>
      <xdr:colOff>733424</xdr:colOff>
      <xdr:row>34</xdr:row>
      <xdr:rowOff>152400</xdr:rowOff>
    </xdr:to>
    <xdr:cxnSp macro="">
      <xdr:nvCxnSpPr>
        <xdr:cNvPr id="2" name="Connector: Curved 1">
          <a:extLst>
            <a:ext uri="{FF2B5EF4-FFF2-40B4-BE49-F238E27FC236}">
              <a16:creationId xmlns:a16="http://schemas.microsoft.com/office/drawing/2014/main" id="{788166D2-94F7-45CC-AD9E-C3B5B0FF217A}"/>
            </a:ext>
          </a:extLst>
        </xdr:cNvPr>
        <xdr:cNvCxnSpPr/>
      </xdr:nvCxnSpPr>
      <xdr:spPr>
        <a:xfrm rot="16200000" flipH="1">
          <a:off x="46777274" y="3648075"/>
          <a:ext cx="0" cy="1333500"/>
        </a:xfrm>
        <a:prstGeom prst="curvedConnector3">
          <a:avLst>
            <a:gd name="adj1" fmla="val 99612"/>
          </a:avLst>
        </a:prstGeom>
        <a:ln w="22225">
          <a:solidFill>
            <a:srgbClr val="6F079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orem\Dropbox\RLC%20Documents\Models\Oilseeds\RIN%20Balance%20Sheets.xlsx" TargetMode="External"/><Relationship Id="rId1" Type="http://schemas.openxmlformats.org/officeDocument/2006/relationships/externalLinkPath" Target="RIN%20Balance%20Shee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orem\Dropbox\RLC%20Documents\Models\Oilseeds\RFS%20Mandates.xlsx" TargetMode="External"/><Relationship Id="rId1" Type="http://schemas.openxmlformats.org/officeDocument/2006/relationships/externalLinkPath" Target="RFS%20Mandat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orem\Dropbox\RLC%20Documents\Models\Biofuels\Renewable%20Diesel%20Feedstock%20Usage.xlsx" TargetMode="External"/><Relationship Id="rId1" Type="http://schemas.openxmlformats.org/officeDocument/2006/relationships/externalLinkPath" Target="Renewable%20Diesel%20Feedstock%20Us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 Refinery Exemptions"/>
      <sheetName val="Final % Std"/>
      <sheetName val="RFS % Std Formula"/>
      <sheetName val="Mandate Levels and Rules"/>
      <sheetName val="RVO Table"/>
      <sheetName val="RVO Forecast"/>
      <sheetName val="RIN Balance Sheet"/>
      <sheetName val="RIN Carryover"/>
      <sheetName val="D3 RIN Balance Sheet"/>
      <sheetName val="D4 RIN Balance Sheet"/>
      <sheetName val="D5 RIN Balance Sheet"/>
      <sheetName val="D6 RIN Balance Sheet"/>
      <sheetName val="D7 RIN Balance Sheet"/>
      <sheetName val="RIN Retirements"/>
      <sheetName val="RIN Assignments-Separations"/>
      <sheetName val="Fuel Balance Sheet"/>
    </sheetNames>
    <sheetDataSet>
      <sheetData sheetId="0"/>
      <sheetData sheetId="1"/>
      <sheetData sheetId="2"/>
      <sheetData sheetId="3"/>
      <sheetData sheetId="4"/>
      <sheetData sheetId="5">
        <row r="2">
          <cell r="P2">
            <v>1580916041.0664113</v>
          </cell>
          <cell r="Q2">
            <v>1456288920.8928502</v>
          </cell>
          <cell r="R2">
            <v>1464785399.8558679</v>
          </cell>
          <cell r="S2">
            <v>1166208281.752449</v>
          </cell>
          <cell r="T2">
            <v>1344916782.8977911</v>
          </cell>
          <cell r="U2">
            <v>1361061973.8548844</v>
          </cell>
          <cell r="V2">
            <v>1352948354.928941</v>
          </cell>
          <cell r="W2">
            <v>1431119743.991498</v>
          </cell>
          <cell r="X2">
            <v>993186758.36355054</v>
          </cell>
          <cell r="Y2">
            <v>1271754933.2873945</v>
          </cell>
          <cell r="Z2">
            <v>1233986408.7613165</v>
          </cell>
          <cell r="AA2">
            <v>953550782.05204856</v>
          </cell>
          <cell r="AB2">
            <v>732248304.87814152</v>
          </cell>
          <cell r="AC2">
            <v>714935067.03321898</v>
          </cell>
          <cell r="AD2">
            <v>571534291.17993772</v>
          </cell>
          <cell r="AE2">
            <v>291059083.20517874</v>
          </cell>
          <cell r="AF2">
            <v>336231552.15335274</v>
          </cell>
          <cell r="AG2">
            <v>328635004.69407254</v>
          </cell>
          <cell r="AH2">
            <v>249022082.55199236</v>
          </cell>
          <cell r="AI2">
            <v>252888665.5371173</v>
          </cell>
          <cell r="AJ2">
            <v>254344713.67332029</v>
          </cell>
          <cell r="AK2">
            <v>253167204.47525615</v>
          </cell>
          <cell r="AL2">
            <v>253395520.93563482</v>
          </cell>
          <cell r="AM2">
            <v>259530877.06040347</v>
          </cell>
          <cell r="AN2">
            <v>265995056.19845149</v>
          </cell>
          <cell r="AO2">
            <v>274494911.41562796</v>
          </cell>
          <cell r="AP2">
            <v>293327021.0954172</v>
          </cell>
        </row>
        <row r="3">
          <cell r="O3">
            <v>3563924491</v>
          </cell>
          <cell r="P3">
            <v>2789596566.3052382</v>
          </cell>
          <cell r="Q3">
            <v>2714344722.465703</v>
          </cell>
          <cell r="R3">
            <v>2970460800.8380613</v>
          </cell>
          <cell r="S3">
            <v>3016494762.3133674</v>
          </cell>
          <cell r="T3">
            <v>3031918575.8463244</v>
          </cell>
          <cell r="U3">
            <v>3179622220.951643</v>
          </cell>
          <cell r="V3">
            <v>3457826635.3126302</v>
          </cell>
          <cell r="W3">
            <v>4110596223.0101733</v>
          </cell>
          <cell r="X3">
            <v>4086196471.2601681</v>
          </cell>
          <cell r="Y3">
            <v>3963489767.4394655</v>
          </cell>
          <cell r="Z3">
            <v>4200392253.0247688</v>
          </cell>
          <cell r="AA3">
            <v>4554509667.6966705</v>
          </cell>
          <cell r="AB3">
            <v>5189255079.9016514</v>
          </cell>
          <cell r="AC3">
            <v>5722051329.6101761</v>
          </cell>
          <cell r="AD3">
            <v>5722310277.1676397</v>
          </cell>
          <cell r="AE3">
            <v>5462534477.0382652</v>
          </cell>
          <cell r="AF3">
            <v>5739568124.3398066</v>
          </cell>
          <cell r="AG3">
            <v>6030334130.0087395</v>
          </cell>
          <cell r="AH3">
            <v>6511065158.6509972</v>
          </cell>
          <cell r="AI3">
            <v>6606260767.6126308</v>
          </cell>
          <cell r="AJ3">
            <v>6518031148.6420641</v>
          </cell>
          <cell r="AK3">
            <v>6160248787.5248022</v>
          </cell>
          <cell r="AL3">
            <v>5982655097.8000813</v>
          </cell>
          <cell r="AM3">
            <v>6211594345.3546257</v>
          </cell>
          <cell r="AN3">
            <v>6435791990.6141872</v>
          </cell>
          <cell r="AO3">
            <v>6725263301.8047171</v>
          </cell>
          <cell r="AP3">
            <v>7235816556.0640306</v>
          </cell>
        </row>
        <row r="4">
          <cell r="P4">
            <v>61713905.573394053</v>
          </cell>
          <cell r="Q4">
            <v>74644479.867806837</v>
          </cell>
          <cell r="R4">
            <v>90174702.882584006</v>
          </cell>
          <cell r="S4">
            <v>94265461.32229273</v>
          </cell>
          <cell r="T4">
            <v>101063952.52821082</v>
          </cell>
          <cell r="U4">
            <v>108107155.51235586</v>
          </cell>
          <cell r="V4">
            <v>112379365.64766049</v>
          </cell>
          <cell r="W4">
            <v>127428482.91331537</v>
          </cell>
          <cell r="X4">
            <v>130758287.08032538</v>
          </cell>
          <cell r="Y4">
            <v>137035550.46998152</v>
          </cell>
          <cell r="Z4">
            <v>145226327.89713299</v>
          </cell>
          <cell r="AA4">
            <v>142022344.47656283</v>
          </cell>
          <cell r="AB4">
            <v>153559589.09913054</v>
          </cell>
          <cell r="AC4">
            <v>169326008.73336238</v>
          </cell>
          <cell r="AD4">
            <v>184963564.51450959</v>
          </cell>
          <cell r="AE4">
            <v>184843338.36442617</v>
          </cell>
          <cell r="AF4">
            <v>185521393.91805434</v>
          </cell>
          <cell r="AG4">
            <v>194919891.07098955</v>
          </cell>
          <cell r="AH4">
            <v>210458671.79477972</v>
          </cell>
          <cell r="AI4">
            <v>215714637.30980021</v>
          </cell>
          <cell r="AJ4">
            <v>215302101.90128431</v>
          </cell>
          <cell r="AK4">
            <v>214329643.56146899</v>
          </cell>
          <cell r="AL4">
            <v>210656869.64084795</v>
          </cell>
          <cell r="AM4">
            <v>218718110.75192347</v>
          </cell>
          <cell r="AN4">
            <v>226612394.03571084</v>
          </cell>
          <cell r="AO4">
            <v>228643183.76592827</v>
          </cell>
        </row>
        <row r="6">
          <cell r="B6">
            <v>1.5108502567060695</v>
          </cell>
          <cell r="C6">
            <v>1.5177047001126669</v>
          </cell>
          <cell r="D6">
            <v>1.5419228815316972</v>
          </cell>
          <cell r="E6">
            <v>1.5493664649243177</v>
          </cell>
          <cell r="F6">
            <v>1.5487992894641813</v>
          </cell>
          <cell r="G6">
            <v>1.5407924024031132</v>
          </cell>
          <cell r="H6">
            <v>1.5454390666814544</v>
          </cell>
          <cell r="I6">
            <v>1.5465116016480822</v>
          </cell>
          <cell r="J6">
            <v>1.5649236595874307</v>
          </cell>
          <cell r="K6">
            <v>1.5645270413406343</v>
          </cell>
          <cell r="L6">
            <v>1.5815255480438191</v>
          </cell>
          <cell r="M6">
            <v>1.6010957546927855</v>
          </cell>
          <cell r="N6">
            <v>1.6142389694660353</v>
          </cell>
          <cell r="O6">
            <v>1.626427048733448</v>
          </cell>
          <cell r="P6">
            <v>1.627655349242104</v>
          </cell>
          <cell r="Q6">
            <v>1.6301646202748166</v>
          </cell>
          <cell r="R6">
            <v>1.6339479553749827</v>
          </cell>
          <cell r="S6">
            <v>1.6442366206988086</v>
          </cell>
          <cell r="T6">
            <v>1.6385438714202081</v>
          </cell>
          <cell r="U6">
            <v>1.640050357370741</v>
          </cell>
          <cell r="V6">
            <v>1.6437534136319685</v>
          </cell>
          <cell r="W6">
            <v>1.6483510251152118</v>
          </cell>
          <cell r="X6">
            <v>1.6608934111302671</v>
          </cell>
          <cell r="Y6">
            <v>1.6514156450753552</v>
          </cell>
          <cell r="Z6">
            <v>1.6545859247005159</v>
          </cell>
          <cell r="AA6">
            <v>1.6653761685895967</v>
          </cell>
          <cell r="AB6">
            <v>1.6752681622454104</v>
          </cell>
          <cell r="AC6">
            <v>1.67778665285339</v>
          </cell>
          <cell r="AD6">
            <v>1.6818383093203719</v>
          </cell>
          <cell r="AE6">
            <v>1.689882528887116</v>
          </cell>
          <cell r="AF6">
            <v>1.6889321053999127</v>
          </cell>
          <cell r="AG6">
            <v>1.6896638905541901</v>
          </cell>
          <cell r="AH6">
            <v>1.6926325778450255</v>
          </cell>
          <cell r="AI6">
            <v>1.6926262383404298</v>
          </cell>
          <cell r="AJ6">
            <v>1.6924887596659068</v>
          </cell>
          <cell r="AK6">
            <v>1.6921050745876753</v>
          </cell>
          <cell r="AL6">
            <v>1.6918732051284404</v>
          </cell>
          <cell r="AM6">
            <v>1.6919788021977558</v>
          </cell>
          <cell r="AN6">
            <v>1.6920619663280723</v>
          </cell>
          <cell r="AO6">
            <v>1.6921570173410505</v>
          </cell>
        </row>
        <row r="8">
          <cell r="B8">
            <v>13950000000</v>
          </cell>
          <cell r="C8">
            <v>15200000000</v>
          </cell>
          <cell r="D8">
            <v>16550000000</v>
          </cell>
          <cell r="E8">
            <v>16280000000</v>
          </cell>
          <cell r="F8">
            <v>16930000000</v>
          </cell>
          <cell r="G8">
            <v>18110000000</v>
          </cell>
          <cell r="H8">
            <v>19280000000</v>
          </cell>
          <cell r="I8">
            <v>19290000000</v>
          </cell>
          <cell r="J8">
            <v>19920000000</v>
          </cell>
          <cell r="K8">
            <v>17129999999.999998</v>
          </cell>
          <cell r="L8">
            <v>18840000000</v>
          </cell>
          <cell r="M8">
            <v>20630000000</v>
          </cell>
          <cell r="N8">
            <v>20940000000</v>
          </cell>
          <cell r="O8">
            <v>21540000000</v>
          </cell>
          <cell r="P8">
            <v>22330000000</v>
          </cell>
          <cell r="Q8">
            <v>23250000000</v>
          </cell>
          <cell r="R8">
            <v>24250000000</v>
          </cell>
          <cell r="S8">
            <v>25250000000</v>
          </cell>
          <cell r="T8">
            <v>26500000000</v>
          </cell>
          <cell r="U8">
            <v>27600000000</v>
          </cell>
          <cell r="V8">
            <v>28700000000</v>
          </cell>
          <cell r="W8">
            <v>29800000000</v>
          </cell>
          <cell r="X8">
            <v>30900000000</v>
          </cell>
          <cell r="Y8">
            <v>32000000000</v>
          </cell>
          <cell r="Z8">
            <v>33100000000</v>
          </cell>
          <cell r="AA8">
            <v>34200000000.000004</v>
          </cell>
          <cell r="AB8">
            <v>35300000000</v>
          </cell>
          <cell r="AC8">
            <v>36400000000</v>
          </cell>
        </row>
        <row r="10">
          <cell r="B10">
            <v>800000000</v>
          </cell>
          <cell r="C10">
            <v>1000000000</v>
          </cell>
          <cell r="D10">
            <v>1280000000</v>
          </cell>
          <cell r="E10">
            <v>1630000000</v>
          </cell>
          <cell r="F10">
            <v>1730000000</v>
          </cell>
          <cell r="G10">
            <v>1900000000</v>
          </cell>
          <cell r="H10">
            <v>2000000000</v>
          </cell>
          <cell r="I10">
            <v>2100000000</v>
          </cell>
          <cell r="J10">
            <v>2100000000</v>
          </cell>
          <cell r="K10">
            <v>2430000000</v>
          </cell>
          <cell r="L10">
            <v>2430000000</v>
          </cell>
          <cell r="M10">
            <v>2760000000</v>
          </cell>
          <cell r="N10">
            <v>2820000000</v>
          </cell>
          <cell r="O10">
            <v>3040000000</v>
          </cell>
          <cell r="P10">
            <v>3500000000</v>
          </cell>
          <cell r="Q10">
            <v>3750000000</v>
          </cell>
          <cell r="R10">
            <v>4000000000</v>
          </cell>
          <cell r="S10">
            <v>4300000000</v>
          </cell>
          <cell r="T10">
            <v>4600000000</v>
          </cell>
          <cell r="U10">
            <v>4900000000</v>
          </cell>
          <cell r="V10">
            <v>5200000000</v>
          </cell>
          <cell r="W10">
            <v>5500000000</v>
          </cell>
          <cell r="X10">
            <v>5800000000</v>
          </cell>
          <cell r="Y10">
            <v>6100000000</v>
          </cell>
          <cell r="Z10">
            <v>6400000000</v>
          </cell>
          <cell r="AA10">
            <v>6750000000</v>
          </cell>
          <cell r="AB10">
            <v>7100000000</v>
          </cell>
          <cell r="AC10">
            <v>7450000000</v>
          </cell>
          <cell r="AD10">
            <v>7800000000</v>
          </cell>
          <cell r="AE10">
            <v>8150000000</v>
          </cell>
          <cell r="AF10">
            <v>8500000000</v>
          </cell>
          <cell r="AG10">
            <v>8900000000</v>
          </cell>
          <cell r="AH10">
            <v>9300000000</v>
          </cell>
          <cell r="AI10">
            <v>9700000000</v>
          </cell>
          <cell r="AJ10">
            <v>10100000000</v>
          </cell>
          <cell r="AK10">
            <v>10500000000</v>
          </cell>
          <cell r="AL10">
            <v>10900000000</v>
          </cell>
          <cell r="AM10">
            <v>11400000000</v>
          </cell>
          <cell r="AN10">
            <v>11900000000</v>
          </cell>
          <cell r="AO10">
            <v>12400000000</v>
          </cell>
        </row>
        <row r="11">
          <cell r="E11">
            <v>22999321.700926796</v>
          </cell>
          <cell r="F11">
            <v>33497302.971663751</v>
          </cell>
          <cell r="G11">
            <v>47231150.598640032</v>
          </cell>
          <cell r="H11">
            <v>113836824.27434681</v>
          </cell>
          <cell r="I11">
            <v>276154506.8253091</v>
          </cell>
          <cell r="J11">
            <v>59057153.520498663</v>
          </cell>
          <cell r="K11">
            <v>0</v>
          </cell>
          <cell r="L11">
            <v>0</v>
          </cell>
          <cell r="M11">
            <v>0</v>
          </cell>
          <cell r="N11">
            <v>0</v>
          </cell>
          <cell r="O11">
            <v>0</v>
          </cell>
          <cell r="P11">
            <v>121068225.98273799</v>
          </cell>
          <cell r="Q11">
            <v>233693671.82994759</v>
          </cell>
          <cell r="R11">
            <v>223523277.00178465</v>
          </cell>
          <cell r="S11">
            <v>152986079.6910294</v>
          </cell>
          <cell r="T11">
            <v>152161048.96243858</v>
          </cell>
          <cell r="U11">
            <v>156336566.19572368</v>
          </cell>
          <cell r="V11">
            <v>158758411.98724443</v>
          </cell>
          <cell r="W11">
            <v>161723225.96114331</v>
          </cell>
          <cell r="X11">
            <v>224427832.10291055</v>
          </cell>
          <cell r="Y11">
            <v>260893784.09084246</v>
          </cell>
          <cell r="Z11">
            <v>239517367.4696202</v>
          </cell>
          <cell r="AA11">
            <v>200624215.90876403</v>
          </cell>
          <cell r="AB11">
            <v>154117346.76892403</v>
          </cell>
          <cell r="AC11">
            <v>60766173.010340154</v>
          </cell>
          <cell r="AD11">
            <v>184617282.29226974</v>
          </cell>
          <cell r="AE11">
            <v>377046529.43603516</v>
          </cell>
          <cell r="AF11">
            <v>382813824.88115793</v>
          </cell>
          <cell r="AG11">
            <v>341963890.6480338</v>
          </cell>
          <cell r="AH11">
            <v>337108024.10076708</v>
          </cell>
          <cell r="AI11">
            <v>342025538.28908676</v>
          </cell>
          <cell r="AJ11">
            <v>350386329.06619382</v>
          </cell>
          <cell r="AK11">
            <v>361513786.29995245</v>
          </cell>
          <cell r="AL11">
            <v>365977446.76659411</v>
          </cell>
          <cell r="AM11">
            <v>364087129.37651169</v>
          </cell>
          <cell r="AN11">
            <v>366282717.32250172</v>
          </cell>
          <cell r="AO11">
            <v>373307441.78973877</v>
          </cell>
        </row>
        <row r="12">
          <cell r="B12">
            <v>800000000</v>
          </cell>
          <cell r="C12">
            <v>1000000000</v>
          </cell>
          <cell r="D12">
            <v>1280000000</v>
          </cell>
          <cell r="E12">
            <v>1607000678.2990732</v>
          </cell>
          <cell r="F12">
            <v>1696502697.0283363</v>
          </cell>
          <cell r="G12">
            <v>1852768849.40136</v>
          </cell>
          <cell r="H12">
            <v>1886163175.7256532</v>
          </cell>
          <cell r="I12">
            <v>1823845493.174691</v>
          </cell>
          <cell r="J12">
            <v>2040942846.4795012</v>
          </cell>
          <cell r="K12">
            <v>2430000000</v>
          </cell>
          <cell r="L12">
            <v>2430000000</v>
          </cell>
          <cell r="M12">
            <v>2760000000</v>
          </cell>
          <cell r="N12">
            <v>2820000000</v>
          </cell>
          <cell r="O12">
            <v>3040000000</v>
          </cell>
          <cell r="P12">
            <v>3378931774.017262</v>
          </cell>
          <cell r="Q12">
            <v>3516306328.1700525</v>
          </cell>
          <cell r="R12">
            <v>3776476722.9982152</v>
          </cell>
          <cell r="S12">
            <v>4147013920.3089705</v>
          </cell>
          <cell r="T12">
            <v>4447838951.0375614</v>
          </cell>
          <cell r="U12">
            <v>4743663433.8042765</v>
          </cell>
          <cell r="V12">
            <v>5041241588.0127554</v>
          </cell>
          <cell r="W12">
            <v>5338276774.0388565</v>
          </cell>
          <cell r="X12">
            <v>5575572167.897089</v>
          </cell>
          <cell r="Y12">
            <v>5839106215.9091578</v>
          </cell>
          <cell r="Z12">
            <v>6160482632.5303802</v>
          </cell>
          <cell r="AA12">
            <v>6549375784.0912361</v>
          </cell>
          <cell r="AB12">
            <v>6945882653.2310762</v>
          </cell>
          <cell r="AC12">
            <v>7389233826.9896603</v>
          </cell>
          <cell r="AD12">
            <v>7615382717.7077303</v>
          </cell>
          <cell r="AE12">
            <v>7772953470.5639648</v>
          </cell>
          <cell r="AF12">
            <v>8117186175.1188421</v>
          </cell>
          <cell r="AG12">
            <v>8558036109.3519659</v>
          </cell>
          <cell r="AH12">
            <v>8962891975.8992329</v>
          </cell>
          <cell r="AI12">
            <v>9357974461.7109127</v>
          </cell>
          <cell r="AJ12">
            <v>9749613670.9338055</v>
          </cell>
          <cell r="AK12">
            <v>10138486213.700048</v>
          </cell>
          <cell r="AL12">
            <v>10534022553.233406</v>
          </cell>
          <cell r="AM12">
            <v>11035912870.623487</v>
          </cell>
          <cell r="AN12">
            <v>11533717282.677498</v>
          </cell>
          <cell r="AO12">
            <v>12026692558.21026</v>
          </cell>
          <cell r="AP12">
            <v>12520839717.116732</v>
          </cell>
        </row>
        <row r="14">
          <cell r="B14">
            <v>0</v>
          </cell>
          <cell r="C14">
            <v>0</v>
          </cell>
          <cell r="D14">
            <v>800000</v>
          </cell>
          <cell r="E14">
            <v>33000000</v>
          </cell>
          <cell r="F14">
            <v>123000000</v>
          </cell>
          <cell r="G14">
            <v>230000000</v>
          </cell>
          <cell r="H14">
            <v>311000000</v>
          </cell>
          <cell r="I14">
            <v>288000000</v>
          </cell>
          <cell r="J14">
            <v>418000000</v>
          </cell>
          <cell r="K14">
            <v>510000000</v>
          </cell>
          <cell r="L14">
            <v>560000000</v>
          </cell>
          <cell r="M14">
            <v>630000000</v>
          </cell>
          <cell r="N14">
            <v>840000000</v>
          </cell>
          <cell r="O14">
            <v>1090000000</v>
          </cell>
          <cell r="P14">
            <v>1380000000</v>
          </cell>
          <cell r="Q14">
            <v>1750000000</v>
          </cell>
          <cell r="R14">
            <v>2250000000</v>
          </cell>
          <cell r="S14">
            <v>3000000000</v>
          </cell>
          <cell r="T14">
            <v>3250000000</v>
          </cell>
          <cell r="U14">
            <v>3500000000</v>
          </cell>
          <cell r="V14">
            <v>3750000000</v>
          </cell>
          <cell r="W14">
            <v>4000000000</v>
          </cell>
          <cell r="X14">
            <v>4250000000</v>
          </cell>
          <cell r="Y14">
            <v>4500000000</v>
          </cell>
          <cell r="Z14">
            <v>4750000000</v>
          </cell>
          <cell r="AA14">
            <v>5000000000</v>
          </cell>
          <cell r="AB14">
            <v>5250000000</v>
          </cell>
          <cell r="AC14">
            <v>5500000000</v>
          </cell>
          <cell r="AD14">
            <v>5750000000</v>
          </cell>
          <cell r="AE14">
            <v>6000000000</v>
          </cell>
          <cell r="AF14">
            <v>6250000000</v>
          </cell>
          <cell r="AG14">
            <v>7250000000</v>
          </cell>
          <cell r="AH14">
            <v>8250000000</v>
          </cell>
          <cell r="AI14">
            <v>9250000000</v>
          </cell>
          <cell r="AJ14">
            <v>10250000000</v>
          </cell>
          <cell r="AK14">
            <v>11250000000</v>
          </cell>
          <cell r="AL14">
            <v>12250000000</v>
          </cell>
          <cell r="AM14">
            <v>13250000000</v>
          </cell>
          <cell r="AN14">
            <v>14250000000</v>
          </cell>
          <cell r="AO14">
            <v>15250000000</v>
          </cell>
          <cell r="AP14">
            <v>16250000000</v>
          </cell>
        </row>
        <row r="15">
          <cell r="E15">
            <v>79200</v>
          </cell>
          <cell r="F15">
            <v>437000</v>
          </cell>
          <cell r="G15">
            <v>2118300</v>
          </cell>
          <cell r="H15">
            <v>8921600</v>
          </cell>
          <cell r="I15">
            <v>27766500</v>
          </cell>
          <cell r="J15">
            <v>5933900</v>
          </cell>
          <cell r="K15">
            <v>0</v>
          </cell>
          <cell r="L15">
            <v>0</v>
          </cell>
          <cell r="M15">
            <v>0</v>
          </cell>
          <cell r="N15">
            <v>0</v>
          </cell>
          <cell r="O15">
            <v>0</v>
          </cell>
          <cell r="P15">
            <v>24944700.307535954</v>
          </cell>
          <cell r="Q15">
            <v>55379652.546105005</v>
          </cell>
          <cell r="R15">
            <v>69053434.841231316</v>
          </cell>
          <cell r="S15">
            <v>88742098.012532428</v>
          </cell>
          <cell r="T15">
            <v>116926252.8692316</v>
          </cell>
          <cell r="U15">
            <v>130592597.27754027</v>
          </cell>
          <cell r="V15">
            <v>142680332.52778688</v>
          </cell>
          <cell r="W15">
            <v>155370821.66144177</v>
          </cell>
          <cell r="X15">
            <v>229338615.01735538</v>
          </cell>
          <cell r="Y15">
            <v>281119028.08297706</v>
          </cell>
          <cell r="Z15">
            <v>274829176.39270705</v>
          </cell>
          <cell r="AA15">
            <v>242520649.58372611</v>
          </cell>
          <cell r="AB15">
            <v>194832996.26504439</v>
          </cell>
          <cell r="AC15">
            <v>80183158.719427079</v>
          </cell>
          <cell r="AD15">
            <v>254822769.85432422</v>
          </cell>
          <cell r="AE15">
            <v>542766017.04307795</v>
          </cell>
          <cell r="AF15">
            <v>572283339.41879499</v>
          </cell>
          <cell r="AG15">
            <v>532809446.0381819</v>
          </cell>
          <cell r="AH15">
            <v>608995866.23643541</v>
          </cell>
          <cell r="AI15">
            <v>701851178.85125518</v>
          </cell>
          <cell r="AJ15">
            <v>806145439.82217109</v>
          </cell>
          <cell r="AK15">
            <v>921723679.151595</v>
          </cell>
          <cell r="AL15">
            <v>1024356039.7290732</v>
          </cell>
          <cell r="AM15">
            <v>1109787088.9735832</v>
          </cell>
          <cell r="AN15">
            <v>1207532728.2648251</v>
          </cell>
          <cell r="AO15">
            <v>1323496709.1119149</v>
          </cell>
          <cell r="AP15">
            <v>1438488014.0791042</v>
          </cell>
        </row>
        <row r="18">
          <cell r="B18">
            <v>1350000000</v>
          </cell>
          <cell r="C18">
            <v>2000000000</v>
          </cell>
          <cell r="D18">
            <v>2670000000</v>
          </cell>
          <cell r="E18">
            <v>2670000000</v>
          </cell>
          <cell r="F18">
            <v>2880000000</v>
          </cell>
          <cell r="G18">
            <v>3610000000</v>
          </cell>
          <cell r="H18">
            <v>4280000000</v>
          </cell>
        </row>
        <row r="22">
          <cell r="A22" t="str">
            <v xml:space="preserve">  Unspecified D5 Pre-Exemptions</v>
          </cell>
          <cell r="B22">
            <v>141319794.63514447</v>
          </cell>
          <cell r="C22">
            <v>482295299.88733315</v>
          </cell>
          <cell r="D22">
            <v>695538711.63942766</v>
          </cell>
          <cell r="E22">
            <v>111532662.17336226</v>
          </cell>
          <cell r="F22">
            <v>77577229.226966381</v>
          </cell>
          <cell r="G22">
            <v>452494435.43408489</v>
          </cell>
          <cell r="H22">
            <v>878121866.63709116</v>
          </cell>
          <cell r="I22">
            <v>754325636.53902721</v>
          </cell>
          <cell r="J22">
            <v>1215660314.8663955</v>
          </cell>
          <cell r="K22">
            <v>1690000000</v>
          </cell>
          <cell r="L22">
            <v>2060000000</v>
          </cell>
          <cell r="M22">
            <v>2240000000</v>
          </cell>
          <cell r="N22">
            <v>2280000000.0000005</v>
          </cell>
          <cell r="O22">
            <v>2410000000</v>
          </cell>
          <cell r="P22">
            <v>2450000000</v>
          </cell>
          <cell r="Q22">
            <v>2750000000</v>
          </cell>
          <cell r="R22">
            <v>3000000000</v>
          </cell>
          <cell r="S22">
            <v>2950000000</v>
          </cell>
          <cell r="T22">
            <v>3650000000.0000005</v>
          </cell>
          <cell r="U22">
            <v>4199999999.9999995</v>
          </cell>
          <cell r="V22">
            <v>4749999999.999999</v>
          </cell>
          <cell r="W22">
            <v>5300000000.000001</v>
          </cell>
          <cell r="X22">
            <v>5850000000.000001</v>
          </cell>
          <cell r="Y22">
            <v>6400000000</v>
          </cell>
          <cell r="Z22">
            <v>6950000000.000001</v>
          </cell>
          <cell r="AA22">
            <v>7449999999.999999</v>
          </cell>
          <cell r="AB22">
            <v>7950000000.000001</v>
          </cell>
          <cell r="AC22">
            <v>8449999999.999999</v>
          </cell>
          <cell r="AD22">
            <v>8950000000</v>
          </cell>
          <cell r="AE22">
            <v>9450000000.0000019</v>
          </cell>
          <cell r="AF22">
            <v>9950000000</v>
          </cell>
          <cell r="AG22">
            <v>9549999999.9999981</v>
          </cell>
          <cell r="AH22">
            <v>9149999999.9999981</v>
          </cell>
          <cell r="AI22">
            <v>8750000000</v>
          </cell>
          <cell r="AJ22">
            <v>8350000000</v>
          </cell>
          <cell r="AK22">
            <v>7949999999.999999</v>
          </cell>
          <cell r="AL22">
            <v>7549999999.999999</v>
          </cell>
          <cell r="AM22">
            <v>7049999999.999999</v>
          </cell>
          <cell r="AN22">
            <v>6550000000.0000029</v>
          </cell>
          <cell r="AO22">
            <v>6050000000.0000029</v>
          </cell>
        </row>
        <row r="23">
          <cell r="A23" t="str">
            <v xml:space="preserve">  Unspecified D5 after Exemptions</v>
          </cell>
          <cell r="B23">
            <v>141319794.63514447</v>
          </cell>
          <cell r="C23">
            <v>482295299.88733315</v>
          </cell>
          <cell r="D23">
            <v>695538711.63942766</v>
          </cell>
          <cell r="E23">
            <v>43743084.413940161</v>
          </cell>
          <cell r="F23">
            <v>-9470369.8145128489</v>
          </cell>
          <cell r="G23">
            <v>327868737.43494308</v>
          </cell>
          <cell r="H23">
            <v>553175391.17656386</v>
          </cell>
          <cell r="I23">
            <v>-82507012.113717794</v>
          </cell>
          <cell r="J23">
            <v>991058549.96534038</v>
          </cell>
          <cell r="K23">
            <v>1690000000</v>
          </cell>
          <cell r="L23">
            <v>2060000000</v>
          </cell>
          <cell r="M23">
            <v>2240000000</v>
          </cell>
          <cell r="O23">
            <v>2410000000</v>
          </cell>
          <cell r="P23">
            <v>2077933804.5792637</v>
          </cell>
          <cell r="Q23">
            <v>2018986744.1561904</v>
          </cell>
          <cell r="R23">
            <v>2244100587.4825201</v>
          </cell>
          <cell r="S23">
            <v>2249860161.3622789</v>
          </cell>
          <cell r="T23">
            <v>2890213318.7482677</v>
          </cell>
          <cell r="U23">
            <v>3358465749.5877991</v>
          </cell>
          <cell r="V23">
            <v>3841631630.819581</v>
          </cell>
          <cell r="W23">
            <v>4320773872.0277929</v>
          </cell>
          <cell r="X23">
            <v>4415435518.8991051</v>
          </cell>
          <cell r="Y23">
            <v>4656905442.2115507</v>
          </cell>
          <cell r="Z23">
            <v>5261510471.078207</v>
          </cell>
          <cell r="AA23">
            <v>5968264119.8223076</v>
          </cell>
          <cell r="AB23">
            <v>6764543415.4264612</v>
          </cell>
          <cell r="AC23">
            <v>7964455012.7557831</v>
          </cell>
          <cell r="AD23">
            <v>7414733142.029932</v>
          </cell>
          <cell r="AE23">
            <v>6192999410.5955896</v>
          </cell>
          <cell r="AF23">
            <v>6530407483.3882465</v>
          </cell>
          <cell r="AG23">
            <v>6381228993.5598488</v>
          </cell>
          <cell r="AH23">
            <v>5860716219.377965</v>
          </cell>
          <cell r="AI23">
            <v>5249838526.9379082</v>
          </cell>
          <cell r="AJ23">
            <v>4592477615.4940758</v>
          </cell>
          <cell r="AK23">
            <v>3895712712.6237793</v>
          </cell>
          <cell r="AL23">
            <v>3265410335.7187638</v>
          </cell>
          <cell r="AM23">
            <v>2608367269.5087109</v>
          </cell>
          <cell r="AN23">
            <v>1902090902.0236864</v>
          </cell>
          <cell r="AO23">
            <v>1129978930.833827</v>
          </cell>
        </row>
        <row r="25">
          <cell r="P25">
            <v>187865954</v>
          </cell>
          <cell r="Q25">
            <v>213000000</v>
          </cell>
          <cell r="R25">
            <v>234750000</v>
          </cell>
          <cell r="S25">
            <v>246750000</v>
          </cell>
          <cell r="T25">
            <v>260000000</v>
          </cell>
          <cell r="U25">
            <v>280000000</v>
          </cell>
          <cell r="V25">
            <v>300000000</v>
          </cell>
          <cell r="W25">
            <v>310000000</v>
          </cell>
          <cell r="X25">
            <v>325000000</v>
          </cell>
          <cell r="Y25">
            <v>340000000</v>
          </cell>
          <cell r="Z25">
            <v>360500000</v>
          </cell>
          <cell r="AA25">
            <v>380000000</v>
          </cell>
          <cell r="AB25">
            <v>400000000</v>
          </cell>
          <cell r="AC25">
            <v>425000000</v>
          </cell>
          <cell r="AD25">
            <v>450000000</v>
          </cell>
          <cell r="AE25">
            <v>475000000</v>
          </cell>
          <cell r="AF25">
            <v>495000000</v>
          </cell>
          <cell r="AG25">
            <v>525000000</v>
          </cell>
          <cell r="AH25">
            <v>550000000</v>
          </cell>
          <cell r="AI25">
            <v>575000000</v>
          </cell>
          <cell r="AJ25">
            <v>600000000</v>
          </cell>
          <cell r="AK25">
            <v>650000000</v>
          </cell>
          <cell r="AL25">
            <v>700000000</v>
          </cell>
          <cell r="AM25">
            <v>800000000</v>
          </cell>
          <cell r="AN25">
            <v>900000000</v>
          </cell>
          <cell r="AO25">
            <v>1000000000</v>
          </cell>
        </row>
        <row r="28">
          <cell r="B28">
            <v>0</v>
          </cell>
          <cell r="C28">
            <v>0</v>
          </cell>
          <cell r="D28">
            <v>0</v>
          </cell>
          <cell r="E28">
            <v>0</v>
          </cell>
          <cell r="F28">
            <v>0</v>
          </cell>
          <cell r="G28">
            <v>127547217.34636845</v>
          </cell>
          <cell r="H28">
            <v>218797570.5199776</v>
          </cell>
          <cell r="I28">
            <v>0</v>
          </cell>
          <cell r="J28">
            <v>317782351.82184386</v>
          </cell>
          <cell r="K28">
            <v>770354975.1158253</v>
          </cell>
          <cell r="L28">
            <v>1143844653.181586</v>
          </cell>
          <cell r="M28">
            <v>1179787074.2355742</v>
          </cell>
          <cell r="N28">
            <v>1277328705.9734712</v>
          </cell>
          <cell r="O28">
            <v>1371646363.5656216</v>
          </cell>
          <cell r="P28">
            <v>1152466246.2804017</v>
          </cell>
          <cell r="Q28">
            <v>1100187503.6729975</v>
          </cell>
          <cell r="R28">
            <v>1222101708.2666216</v>
          </cell>
          <cell r="S28">
            <v>1210659181.4724696</v>
          </cell>
          <cell r="T28">
            <v>1597585126.8964586</v>
          </cell>
          <cell r="U28">
            <v>1869433908.4215834</v>
          </cell>
          <cell r="V28">
            <v>2146995772.9375966</v>
          </cell>
          <cell r="W28">
            <v>2425620399.4827695</v>
          </cell>
          <cell r="X28">
            <v>2455266238.9839926</v>
          </cell>
          <cell r="Y28">
            <v>2606494285.7042737</v>
          </cell>
          <cell r="Z28">
            <v>2954521973.201869</v>
          </cell>
          <cell r="AA28">
            <v>3348050863.8143954</v>
          </cell>
          <cell r="AB28">
            <v>3791657693.1257582</v>
          </cell>
          <cell r="AC28">
            <v>4486240845.9113607</v>
          </cell>
          <cell r="AD28">
            <v>4133710775.5853877</v>
          </cell>
          <cell r="AE28">
            <v>3376269837.1424589</v>
          </cell>
          <cell r="AF28">
            <v>3566103968.3783598</v>
          </cell>
          <cell r="AG28">
            <v>3458515640.4349589</v>
          </cell>
          <cell r="AH28">
            <v>3130163206.5497561</v>
          </cell>
          <cell r="AI28">
            <v>2754499734.3945193</v>
          </cell>
          <cell r="AJ28">
            <v>2351553349.3290162</v>
          </cell>
          <cell r="AK28">
            <v>1910763554.9238183</v>
          </cell>
          <cell r="AL28">
            <v>1508925327.2528522</v>
          </cell>
          <cell r="AM28">
            <v>1061400568.4799429</v>
          </cell>
          <cell r="AN28">
            <v>584843175.79171658</v>
          </cell>
          <cell r="AO28">
            <v>69425544.219546497</v>
          </cell>
          <cell r="AP28">
            <v>665615846.68849909</v>
          </cell>
        </row>
        <row r="43">
          <cell r="H43">
            <v>412004411.62637991</v>
          </cell>
          <cell r="I43">
            <v>0</v>
          </cell>
          <cell r="J43">
            <v>689975427.32235909</v>
          </cell>
          <cell r="K43">
            <v>1317190306.7647059</v>
          </cell>
          <cell r="L43">
            <v>1256418609.524065</v>
          </cell>
          <cell r="M43">
            <v>1339926273.4361849</v>
          </cell>
          <cell r="N43">
            <v>1391560534.4003339</v>
          </cell>
        </row>
        <row r="49">
          <cell r="B49">
            <v>12600000000</v>
          </cell>
          <cell r="C49">
            <v>13200000000</v>
          </cell>
          <cell r="D49">
            <v>13880000000</v>
          </cell>
          <cell r="E49">
            <v>13610000000</v>
          </cell>
          <cell r="F49">
            <v>14050000000</v>
          </cell>
          <cell r="G49">
            <v>14500000000</v>
          </cell>
          <cell r="H49">
            <v>15000000000</v>
          </cell>
          <cell r="I49">
            <v>15000000000</v>
          </cell>
          <cell r="J49">
            <v>15000000000</v>
          </cell>
          <cell r="K49">
            <v>12499999999.999998</v>
          </cell>
          <cell r="L49">
            <v>13790000000</v>
          </cell>
          <cell r="M49">
            <v>14999999999.999998</v>
          </cell>
          <cell r="N49">
            <v>15250000000</v>
          </cell>
          <cell r="O49">
            <v>15000000000</v>
          </cell>
          <cell r="P49">
            <v>15000000000</v>
          </cell>
          <cell r="Q49">
            <v>15000000000</v>
          </cell>
          <cell r="R49">
            <v>15000000000</v>
          </cell>
          <cell r="S49">
            <v>15000000000</v>
          </cell>
          <cell r="T49">
            <v>15000000000</v>
          </cell>
          <cell r="U49">
            <v>15000000000.000004</v>
          </cell>
          <cell r="V49">
            <v>15000000000</v>
          </cell>
          <cell r="W49">
            <v>15000000000</v>
          </cell>
          <cell r="X49">
            <v>14999999999.999996</v>
          </cell>
          <cell r="Y49">
            <v>15000000000</v>
          </cell>
          <cell r="Z49">
            <v>15000000000</v>
          </cell>
          <cell r="AA49">
            <v>15000000000.000004</v>
          </cell>
          <cell r="AB49">
            <v>14999999999.999992</v>
          </cell>
          <cell r="AC49">
            <v>15000000000</v>
          </cell>
          <cell r="AD49">
            <v>15000000000</v>
          </cell>
          <cell r="AE49">
            <v>15000000000</v>
          </cell>
          <cell r="AF49">
            <v>15000000000.000004</v>
          </cell>
          <cell r="AG49">
            <v>15000000000.000008</v>
          </cell>
          <cell r="AH49">
            <v>15000000000.000008</v>
          </cell>
          <cell r="AI49">
            <v>15000000000</v>
          </cell>
          <cell r="AJ49">
            <v>15000000000</v>
          </cell>
          <cell r="AK49">
            <v>15000000000.000004</v>
          </cell>
          <cell r="AL49">
            <v>15000000000.000008</v>
          </cell>
          <cell r="AM49">
            <v>15000000000.000008</v>
          </cell>
          <cell r="AN49">
            <v>15000000000</v>
          </cell>
          <cell r="AO49">
            <v>15000000000</v>
          </cell>
          <cell r="AP49">
            <v>15000000000</v>
          </cell>
        </row>
        <row r="50">
          <cell r="E50">
            <v>160776000</v>
          </cell>
          <cell r="F50">
            <v>176639999.99999997</v>
          </cell>
          <cell r="G50">
            <v>242530000.00000006</v>
          </cell>
          <cell r="H50">
            <v>563873000</v>
          </cell>
          <cell r="I50">
            <v>1335360000</v>
          </cell>
          <cell r="J50">
            <v>285376000</v>
          </cell>
          <cell r="K50">
            <v>0</v>
          </cell>
          <cell r="L50">
            <v>0</v>
          </cell>
          <cell r="M50">
            <v>0</v>
          </cell>
          <cell r="N50">
            <v>0</v>
          </cell>
          <cell r="O50">
            <v>0</v>
          </cell>
          <cell r="P50">
            <v>344870380.4422828</v>
          </cell>
          <cell r="Q50">
            <v>603022883.27981007</v>
          </cell>
          <cell r="R50">
            <v>594079420.99088037</v>
          </cell>
          <cell r="S50">
            <v>593933742.99344873</v>
          </cell>
          <cell r="T50">
            <v>587034302.73194325</v>
          </cell>
          <cell r="U50">
            <v>605238849.92796361</v>
          </cell>
          <cell r="V50">
            <v>614050183.27398264</v>
          </cell>
          <cell r="W50">
            <v>624108403.41424954</v>
          </cell>
          <cell r="X50">
            <v>863676919.48242581</v>
          </cell>
          <cell r="Y50">
            <v>996428800.17669272</v>
          </cell>
          <cell r="Z50">
            <v>920036202.58243394</v>
          </cell>
          <cell r="AA50">
            <v>769162900.47842979</v>
          </cell>
          <cell r="AB50">
            <v>587034302.73194349</v>
          </cell>
          <cell r="AC50">
            <v>230092176.43189168</v>
          </cell>
          <cell r="AD50">
            <v>698007227.42001247</v>
          </cell>
          <cell r="AE50">
            <v>1422115951.732949</v>
          </cell>
          <cell r="AF50">
            <v>1436995467.4776413</v>
          </cell>
          <cell r="AG50">
            <v>1284376523.86169</v>
          </cell>
          <cell r="AH50">
            <v>1421367819.6564</v>
          </cell>
          <cell r="AI50">
            <v>0</v>
          </cell>
          <cell r="AJ50">
            <v>0</v>
          </cell>
          <cell r="AK50">
            <v>0</v>
          </cell>
          <cell r="AL50">
            <v>0</v>
          </cell>
          <cell r="AM50">
            <v>0</v>
          </cell>
          <cell r="AN50">
            <v>0</v>
          </cell>
          <cell r="AO50">
            <v>0</v>
          </cell>
          <cell r="AP50">
            <v>0</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dj BBD Production 2023-2025"/>
      <sheetName val="Adj BBD Prod Split 2023-2025"/>
      <sheetName val="Unadj BBD Prod Split 2023-2025"/>
      <sheetName val="Mandates v Supply"/>
      <sheetName val="D3 and eRINs"/>
      <sheetName val="FM Mandate Analysis"/>
      <sheetName val="10 Year RFS Curves (2020)"/>
      <sheetName val="Fuel Cat Chart"/>
      <sheetName val="Production by Fuel Cat"/>
      <sheetName val="2023 Mandate Analysis"/>
      <sheetName val="High Scenario Balance Sheets"/>
      <sheetName val="Mid Scenario Balance Sheets"/>
      <sheetName val="Low Scenario Balance Sheets"/>
    </sheetNames>
    <sheetDataSet>
      <sheetData sheetId="0" refreshError="1"/>
      <sheetData sheetId="1" refreshError="1"/>
      <sheetData sheetId="2" refreshError="1"/>
      <sheetData sheetId="3" refreshError="1"/>
      <sheetData sheetId="4" refreshError="1"/>
      <sheetData sheetId="5"/>
      <sheetData sheetId="6">
        <row r="13">
          <cell r="C13">
            <v>2.1</v>
          </cell>
          <cell r="D13">
            <v>2.1</v>
          </cell>
          <cell r="E13">
            <v>2.4300000000000002</v>
          </cell>
          <cell r="F13">
            <v>2.4300000000000002</v>
          </cell>
          <cell r="G13">
            <v>2.76</v>
          </cell>
          <cell r="H13">
            <v>2.82</v>
          </cell>
          <cell r="I13">
            <v>3.04</v>
          </cell>
          <cell r="J13">
            <v>3.5</v>
          </cell>
          <cell r="K13">
            <v>3.75</v>
          </cell>
          <cell r="L13">
            <v>4</v>
          </cell>
          <cell r="M13">
            <v>4.3</v>
          </cell>
          <cell r="N13">
            <v>4.5999999999999996</v>
          </cell>
          <cell r="O13">
            <v>4.9000000000000004</v>
          </cell>
          <cell r="P13">
            <v>5.2</v>
          </cell>
          <cell r="Q13">
            <v>5.5</v>
          </cell>
          <cell r="R13">
            <v>5.8</v>
          </cell>
          <cell r="S13">
            <v>6.1</v>
          </cell>
          <cell r="T13">
            <v>6.4</v>
          </cell>
          <cell r="U13">
            <v>6.75</v>
          </cell>
          <cell r="V13">
            <v>7.1</v>
          </cell>
          <cell r="W13">
            <v>7.45</v>
          </cell>
          <cell r="X13">
            <v>7.8</v>
          </cell>
          <cell r="Y13">
            <v>8.15</v>
          </cell>
          <cell r="Z13">
            <v>8.5</v>
          </cell>
        </row>
        <row r="17">
          <cell r="C17">
            <v>0.28799999999999998</v>
          </cell>
          <cell r="D17">
            <v>0.41799999999999998</v>
          </cell>
          <cell r="E17">
            <v>0.51</v>
          </cell>
          <cell r="F17">
            <v>0.56000000000000005</v>
          </cell>
          <cell r="G17">
            <v>0.63</v>
          </cell>
          <cell r="H17">
            <v>0.84</v>
          </cell>
          <cell r="I17">
            <v>1.0900000000000001</v>
          </cell>
          <cell r="J17">
            <v>1.38</v>
          </cell>
          <cell r="K17">
            <v>1.75</v>
          </cell>
          <cell r="L17">
            <v>2.25</v>
          </cell>
          <cell r="M17">
            <v>3</v>
          </cell>
          <cell r="N17">
            <v>3.25</v>
          </cell>
          <cell r="O17">
            <v>3.5</v>
          </cell>
          <cell r="P17">
            <v>3.75</v>
          </cell>
          <cell r="Q17">
            <v>4</v>
          </cell>
          <cell r="R17">
            <v>4.25</v>
          </cell>
          <cell r="S17">
            <v>4.5</v>
          </cell>
          <cell r="T17">
            <v>4.75</v>
          </cell>
          <cell r="U17">
            <v>5</v>
          </cell>
          <cell r="V17">
            <v>5.25</v>
          </cell>
          <cell r="W17">
            <v>5.5</v>
          </cell>
          <cell r="X17">
            <v>5.75</v>
          </cell>
          <cell r="Y17">
            <v>6</v>
          </cell>
          <cell r="Z17">
            <v>6.25</v>
          </cell>
        </row>
        <row r="18">
          <cell r="C18">
            <v>19.29</v>
          </cell>
          <cell r="D18">
            <v>19.920000000000002</v>
          </cell>
          <cell r="E18">
            <v>17.13</v>
          </cell>
          <cell r="F18">
            <v>18.84</v>
          </cell>
          <cell r="G18">
            <v>20.63</v>
          </cell>
          <cell r="H18">
            <v>20.94</v>
          </cell>
          <cell r="I18">
            <v>21.54</v>
          </cell>
          <cell r="J18">
            <v>22.33</v>
          </cell>
          <cell r="K18">
            <v>23.25</v>
          </cell>
          <cell r="L18">
            <v>24.25</v>
          </cell>
          <cell r="M18">
            <v>25.25</v>
          </cell>
          <cell r="N18">
            <v>26.5</v>
          </cell>
          <cell r="O18">
            <v>27.6</v>
          </cell>
          <cell r="P18">
            <v>28.7</v>
          </cell>
          <cell r="Q18">
            <v>29.8</v>
          </cell>
          <cell r="R18">
            <v>30.9</v>
          </cell>
          <cell r="S18">
            <v>32</v>
          </cell>
          <cell r="T18">
            <v>33.1</v>
          </cell>
          <cell r="U18">
            <v>34.200000000000003</v>
          </cell>
          <cell r="V18">
            <v>35.299999999999997</v>
          </cell>
          <cell r="W18">
            <v>36.4</v>
          </cell>
          <cell r="X18">
            <v>37.5</v>
          </cell>
          <cell r="Y18">
            <v>38.6</v>
          </cell>
          <cell r="Z18">
            <v>39.700000000000003</v>
          </cell>
        </row>
        <row r="20">
          <cell r="E20">
            <v>4.63</v>
          </cell>
          <cell r="F20">
            <v>5.05</v>
          </cell>
          <cell r="G20">
            <v>5.63</v>
          </cell>
          <cell r="H20">
            <v>5.94</v>
          </cell>
          <cell r="I20">
            <v>6.54</v>
          </cell>
          <cell r="J20">
            <v>7.33</v>
          </cell>
          <cell r="K20">
            <v>8.25</v>
          </cell>
          <cell r="L20">
            <v>9.25</v>
          </cell>
          <cell r="M20">
            <v>10.25</v>
          </cell>
          <cell r="N20">
            <v>11.5</v>
          </cell>
          <cell r="O20">
            <v>12.6</v>
          </cell>
          <cell r="P20">
            <v>13.7</v>
          </cell>
          <cell r="Q20">
            <v>14.8</v>
          </cell>
          <cell r="R20">
            <v>15.9</v>
          </cell>
          <cell r="S20">
            <v>17</v>
          </cell>
          <cell r="T20">
            <v>18.100000000000001</v>
          </cell>
          <cell r="U20">
            <v>19.2</v>
          </cell>
          <cell r="V20">
            <v>20.3</v>
          </cell>
          <cell r="W20">
            <v>21.4</v>
          </cell>
          <cell r="X20">
            <v>22.5</v>
          </cell>
          <cell r="Y20">
            <v>23.6</v>
          </cell>
        </row>
        <row r="31">
          <cell r="H31">
            <v>0.480751926</v>
          </cell>
          <cell r="J31">
            <v>0.25</v>
          </cell>
          <cell r="K31">
            <v>0.32500000000000001</v>
          </cell>
          <cell r="L31">
            <v>0.3</v>
          </cell>
          <cell r="M31">
            <v>0.27500000000000002</v>
          </cell>
          <cell r="N31">
            <v>0.25</v>
          </cell>
          <cell r="O31">
            <v>0.22500000000000001</v>
          </cell>
          <cell r="P31">
            <v>0.22500000000000001</v>
          </cell>
          <cell r="Q31">
            <v>0.2</v>
          </cell>
          <cell r="R31">
            <v>0.19</v>
          </cell>
          <cell r="S31">
            <v>0.18</v>
          </cell>
          <cell r="T31">
            <v>0.18</v>
          </cell>
          <cell r="U31">
            <v>7.4999999999999997E-2</v>
          </cell>
          <cell r="V31">
            <v>0.05</v>
          </cell>
          <cell r="W31">
            <v>0.05</v>
          </cell>
          <cell r="X31">
            <v>0.05</v>
          </cell>
          <cell r="Y31">
            <v>0.05</v>
          </cell>
          <cell r="Z31">
            <v>0.05</v>
          </cell>
          <cell r="AA31">
            <v>0.05</v>
          </cell>
          <cell r="AB31">
            <v>0.05</v>
          </cell>
          <cell r="AC31">
            <v>0.05</v>
          </cell>
          <cell r="AD31">
            <v>0.05</v>
          </cell>
          <cell r="AE31">
            <v>0.05</v>
          </cell>
          <cell r="AF31">
            <v>0.05</v>
          </cell>
          <cell r="AG31">
            <v>0.05</v>
          </cell>
          <cell r="AH31">
            <v>0.05</v>
          </cell>
          <cell r="AI31">
            <v>0.05</v>
          </cell>
          <cell r="AJ31">
            <v>0.05</v>
          </cell>
        </row>
        <row r="32">
          <cell r="J32">
            <v>0.34</v>
          </cell>
          <cell r="K32">
            <v>0.19</v>
          </cell>
          <cell r="L32">
            <v>0.2</v>
          </cell>
          <cell r="M32">
            <v>0.22</v>
          </cell>
          <cell r="N32">
            <v>0.22</v>
          </cell>
          <cell r="O32">
            <v>0.23</v>
          </cell>
          <cell r="P32">
            <v>0.21</v>
          </cell>
          <cell r="Q32">
            <v>0.19</v>
          </cell>
          <cell r="R32">
            <v>0.18</v>
          </cell>
          <cell r="S32">
            <v>0.17499999999999999</v>
          </cell>
          <cell r="T32">
            <v>0.16</v>
          </cell>
          <cell r="U32">
            <v>0.13</v>
          </cell>
          <cell r="V32">
            <v>0.11</v>
          </cell>
          <cell r="W32">
            <v>0.09</v>
          </cell>
          <cell r="X32">
            <v>7.4999999999999997E-2</v>
          </cell>
          <cell r="Y32">
            <v>7.4999999999999997E-2</v>
          </cell>
          <cell r="Z32">
            <v>7.4999999999999997E-2</v>
          </cell>
          <cell r="AA32">
            <v>7.4999999999999997E-2</v>
          </cell>
          <cell r="AB32">
            <v>7.4999999999999997E-2</v>
          </cell>
          <cell r="AC32">
            <v>7.4999999999999997E-2</v>
          </cell>
          <cell r="AD32">
            <v>7.4999999999999997E-2</v>
          </cell>
          <cell r="AE32">
            <v>7.4999999999999997E-2</v>
          </cell>
          <cell r="AF32">
            <v>7.4999999999999997E-2</v>
          </cell>
          <cell r="AG32">
            <v>7.4999999999999997E-2</v>
          </cell>
          <cell r="AH32">
            <v>7.4999999999999997E-2</v>
          </cell>
          <cell r="AI32">
            <v>7.4999999999999997E-2</v>
          </cell>
          <cell r="AJ32">
            <v>7.4999999999999997E-2</v>
          </cell>
        </row>
        <row r="48">
          <cell r="J48">
            <v>7.9739914157630945E-2</v>
          </cell>
          <cell r="K48">
            <v>0.36870796183055154</v>
          </cell>
          <cell r="L48">
            <v>0.88334979443870332</v>
          </cell>
          <cell r="M48">
            <v>1.1574184034938932</v>
          </cell>
          <cell r="N48">
            <v>1.5157458953455289</v>
          </cell>
          <cell r="O48">
            <v>1.756032427961536</v>
          </cell>
          <cell r="P48">
            <v>2.0505164814129362</v>
          </cell>
          <cell r="Q48">
            <v>2.7511070080664588</v>
          </cell>
          <cell r="R48">
            <v>3.160606490284652</v>
          </cell>
          <cell r="S48">
            <v>3.3245937864343666</v>
          </cell>
          <cell r="T48">
            <v>3.5889535567172204</v>
          </cell>
          <cell r="U48">
            <v>4.1418814130584121</v>
          </cell>
          <cell r="V48">
            <v>4.5213717087055407</v>
          </cell>
          <cell r="W48">
            <v>5.0911462971830419</v>
          </cell>
          <cell r="X48">
            <v>5.0893294578410053</v>
          </cell>
          <cell r="Y48">
            <v>5.0613522657506946</v>
          </cell>
          <cell r="Z48">
            <v>5.2814323845857176</v>
          </cell>
          <cell r="AA48">
            <v>5.4526461677281857</v>
          </cell>
          <cell r="AB48">
            <v>5.5779566167679935</v>
          </cell>
          <cell r="AC48">
            <v>5.6416619152152556</v>
          </cell>
          <cell r="AD48">
            <v>5.8092805268083545</v>
          </cell>
          <cell r="AE48">
            <v>6.1273610683523865</v>
          </cell>
          <cell r="AF48">
            <v>6.3486128534748421</v>
          </cell>
          <cell r="AG48">
            <v>6.3558716047947144</v>
          </cell>
          <cell r="AH48">
            <v>6.3452461711034651</v>
          </cell>
          <cell r="AI48">
            <v>6.4944139814335413</v>
          </cell>
          <cell r="AJ48">
            <v>7.2911677900887426</v>
          </cell>
        </row>
      </sheetData>
      <sheetData sheetId="7" refreshError="1"/>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Biodiesel "/>
      <sheetName val="Removed Projects"/>
      <sheetName val="Canada Renewable Diesel"/>
      <sheetName val="Renewable Diesel"/>
      <sheetName val="RD Feedstock Breakdown"/>
      <sheetName val="Co-Processing"/>
      <sheetName val="Co-Pro Feedstock Breakdown"/>
      <sheetName val="Feedstock Conversion Rates"/>
      <sheetName val="SBO Use"/>
      <sheetName val="Sheet1"/>
      <sheetName val="RD Feedstock Use"/>
      <sheetName val="SAF Feedstock Use"/>
    </sheetNames>
    <sheetDataSet>
      <sheetData sheetId="0"/>
      <sheetData sheetId="1"/>
      <sheetData sheetId="2"/>
      <sheetData sheetId="3"/>
      <sheetData sheetId="4"/>
      <sheetData sheetId="5"/>
      <sheetData sheetId="6">
        <row r="230">
          <cell r="K230">
            <v>5.4160079999999997</v>
          </cell>
        </row>
        <row r="231">
          <cell r="K231">
            <v>4.635669</v>
          </cell>
        </row>
        <row r="232">
          <cell r="K232">
            <v>6.5703230000000001</v>
          </cell>
        </row>
        <row r="233">
          <cell r="K233">
            <v>3.8045450782076746</v>
          </cell>
        </row>
        <row r="234">
          <cell r="K234">
            <v>4.4620454060335488</v>
          </cell>
        </row>
        <row r="235">
          <cell r="K235">
            <v>5.2854174387381256</v>
          </cell>
        </row>
        <row r="236">
          <cell r="K236">
            <v>4.6767921621910196</v>
          </cell>
        </row>
        <row r="237">
          <cell r="K237">
            <v>6.692932859866092</v>
          </cell>
        </row>
        <row r="238">
          <cell r="K238">
            <v>6.0557531815380656</v>
          </cell>
        </row>
        <row r="239">
          <cell r="K239">
            <v>5.1026520862763887</v>
          </cell>
        </row>
        <row r="240">
          <cell r="K240">
            <v>4.9585766474295294</v>
          </cell>
        </row>
        <row r="241">
          <cell r="K241">
            <v>4.0531907131135982</v>
          </cell>
        </row>
        <row r="242">
          <cell r="K242">
            <v>5.9375338844495644</v>
          </cell>
        </row>
        <row r="243">
          <cell r="K243">
            <v>4.3688840825830866</v>
          </cell>
        </row>
        <row r="244">
          <cell r="K244">
            <v>6.704516141332987</v>
          </cell>
        </row>
        <row r="245">
          <cell r="K245">
            <v>4.6098171129421379</v>
          </cell>
        </row>
        <row r="246">
          <cell r="K246">
            <v>5.2654711928895841</v>
          </cell>
        </row>
        <row r="247">
          <cell r="K247">
            <v>6.6084114173958666</v>
          </cell>
        </row>
        <row r="248">
          <cell r="K248">
            <v>5.7028038427504644</v>
          </cell>
        </row>
        <row r="249">
          <cell r="K249">
            <v>8.4938829758975363</v>
          </cell>
        </row>
        <row r="250">
          <cell r="K250">
            <v>7.6947711393508378</v>
          </cell>
        </row>
        <row r="251">
          <cell r="K251">
            <v>6.1355411758462832</v>
          </cell>
        </row>
        <row r="252">
          <cell r="K252">
            <v>5.5870283498493594</v>
          </cell>
        </row>
        <row r="253">
          <cell r="K253">
            <v>7.5358185525191201</v>
          </cell>
        </row>
        <row r="254">
          <cell r="K254">
            <v>6.2147073119492156</v>
          </cell>
        </row>
        <row r="255">
          <cell r="K255">
            <v>5.065750412962915</v>
          </cell>
        </row>
        <row r="256">
          <cell r="K256">
            <v>8.4950488839351728</v>
          </cell>
        </row>
        <row r="257">
          <cell r="K257">
            <v>5.7741917129221703</v>
          </cell>
        </row>
        <row r="258">
          <cell r="K258">
            <v>6.9189714097324071</v>
          </cell>
        </row>
        <row r="259">
          <cell r="K259">
            <v>8.3235948128836394</v>
          </cell>
        </row>
        <row r="260">
          <cell r="K260">
            <v>6.7677947157582388</v>
          </cell>
        </row>
        <row r="261">
          <cell r="K261">
            <v>10.098230367046396</v>
          </cell>
        </row>
        <row r="262">
          <cell r="K262">
            <v>9.4527916906419236</v>
          </cell>
        </row>
        <row r="263">
          <cell r="K263">
            <v>7.4229192870181224</v>
          </cell>
        </row>
        <row r="264">
          <cell r="K264">
            <v>7.7547889790439335</v>
          </cell>
        </row>
        <row r="265">
          <cell r="K265">
            <v>7.8859132986898723</v>
          </cell>
        </row>
        <row r="266">
          <cell r="K266">
            <v>6.8097073183952972</v>
          </cell>
        </row>
        <row r="267">
          <cell r="K267">
            <v>5.1803210742486812</v>
          </cell>
        </row>
        <row r="268">
          <cell r="K268">
            <v>9.4931598891130928</v>
          </cell>
        </row>
        <row r="269">
          <cell r="K269">
            <v>5.9258541080651916</v>
          </cell>
        </row>
        <row r="270">
          <cell r="K270">
            <v>6.4973082643882449</v>
          </cell>
        </row>
        <row r="271">
          <cell r="K271">
            <v>9.3285082962895665</v>
          </cell>
        </row>
        <row r="272">
          <cell r="K272">
            <v>7.3105230692350771</v>
          </cell>
        </row>
        <row r="273">
          <cell r="K273">
            <v>10.87983107815862</v>
          </cell>
        </row>
        <row r="274">
          <cell r="K274">
            <v>9.6414137215841098</v>
          </cell>
        </row>
        <row r="275">
          <cell r="K275">
            <v>7.9046079780646599</v>
          </cell>
        </row>
        <row r="276">
          <cell r="K276">
            <v>7.7022190502666437</v>
          </cell>
        </row>
        <row r="277">
          <cell r="K277">
            <v>7.59200747448355</v>
          </cell>
        </row>
        <row r="278">
          <cell r="K278">
            <v>7.7057818718978277</v>
          </cell>
        </row>
        <row r="279">
          <cell r="K279">
            <v>6.0403171538219018</v>
          </cell>
        </row>
        <row r="280">
          <cell r="K280">
            <v>9.5214015164470442</v>
          </cell>
        </row>
        <row r="281">
          <cell r="K281">
            <v>6.2619169535265522</v>
          </cell>
        </row>
        <row r="282">
          <cell r="K282">
            <v>6.4013082830607999</v>
          </cell>
        </row>
        <row r="283">
          <cell r="K283">
            <v>9.3097942595386307</v>
          </cell>
        </row>
        <row r="284">
          <cell r="K284">
            <v>8.1397735773264266</v>
          </cell>
        </row>
        <row r="285">
          <cell r="K285">
            <v>11.730880826499687</v>
          </cell>
        </row>
        <row r="286">
          <cell r="K286">
            <v>10.331052233753034</v>
          </cell>
        </row>
        <row r="287">
          <cell r="K287">
            <v>8.25240257566686</v>
          </cell>
        </row>
        <row r="288">
          <cell r="K288">
            <v>8.6451893077396491</v>
          </cell>
        </row>
        <row r="289">
          <cell r="K289">
            <v>8.7241339689324047</v>
          </cell>
        </row>
        <row r="290">
          <cell r="K290">
            <v>8.2218298078431094</v>
          </cell>
        </row>
        <row r="291">
          <cell r="K291">
            <v>6.4810969353217542</v>
          </cell>
        </row>
        <row r="292">
          <cell r="K292">
            <v>10.451487852984844</v>
          </cell>
        </row>
        <row r="293">
          <cell r="K293">
            <v>6.7592389705435023</v>
          </cell>
        </row>
        <row r="294">
          <cell r="K294">
            <v>7.5712754663272399</v>
          </cell>
        </row>
        <row r="295">
          <cell r="K295">
            <v>9.9572301778068475</v>
          </cell>
        </row>
        <row r="296">
          <cell r="K296">
            <v>8.3535351907142079</v>
          </cell>
        </row>
        <row r="297">
          <cell r="K297">
            <v>12.273843120493957</v>
          </cell>
        </row>
        <row r="298">
          <cell r="K298">
            <v>11.0642945305705</v>
          </cell>
        </row>
        <row r="299">
          <cell r="K299">
            <v>8.9225475825188916</v>
          </cell>
        </row>
        <row r="300">
          <cell r="K300">
            <v>8.8789009115846813</v>
          </cell>
        </row>
        <row r="301">
          <cell r="K301">
            <v>9.1718749656463423</v>
          </cell>
        </row>
        <row r="302">
          <cell r="K302">
            <v>8.3733443202624613</v>
          </cell>
        </row>
        <row r="303">
          <cell r="K303">
            <v>6.5126119529533444</v>
          </cell>
        </row>
        <row r="304">
          <cell r="K304">
            <v>10.719555236267576</v>
          </cell>
        </row>
        <row r="305">
          <cell r="K305">
            <v>7.0393183173633567</v>
          </cell>
        </row>
        <row r="306">
          <cell r="K306">
            <v>7.8368997994705856</v>
          </cell>
        </row>
        <row r="307">
          <cell r="K307">
            <v>10.44642205652069</v>
          </cell>
        </row>
        <row r="308">
          <cell r="K308">
            <v>8.7057072095988772</v>
          </cell>
        </row>
        <row r="309">
          <cell r="K309">
            <v>12.834170303376196</v>
          </cell>
        </row>
        <row r="310">
          <cell r="K310">
            <v>11.56403026330157</v>
          </cell>
        </row>
        <row r="311">
          <cell r="K311">
            <v>9.2729582081051856</v>
          </cell>
        </row>
        <row r="312">
          <cell r="K312">
            <v>9.2561844286924178</v>
          </cell>
        </row>
        <row r="313">
          <cell r="K313">
            <v>9.8181635517482313</v>
          </cell>
        </row>
        <row r="314">
          <cell r="K314">
            <v>9.4000066353150107</v>
          </cell>
        </row>
        <row r="315">
          <cell r="K315">
            <v>7.3738882269634951</v>
          </cell>
        </row>
        <row r="316">
          <cell r="K316">
            <v>12.259716569288186</v>
          </cell>
        </row>
        <row r="317">
          <cell r="K317">
            <v>7.99855686054652</v>
          </cell>
        </row>
        <row r="318">
          <cell r="K318">
            <v>8.8712423329781238</v>
          </cell>
        </row>
        <row r="319">
          <cell r="K319">
            <v>11.928521352495473</v>
          </cell>
        </row>
        <row r="320">
          <cell r="K320">
            <v>9.8915882615788941</v>
          </cell>
        </row>
        <row r="321">
          <cell r="K321">
            <v>14.560599345535605</v>
          </cell>
        </row>
        <row r="322">
          <cell r="K322">
            <v>13.109153695279913</v>
          </cell>
        </row>
        <row r="323">
          <cell r="K323">
            <v>10.520709252081923</v>
          </cell>
        </row>
        <row r="324">
          <cell r="K324">
            <v>10.637020630191445</v>
          </cell>
        </row>
        <row r="325">
          <cell r="K325">
            <v>10.877479751060799</v>
          </cell>
        </row>
        <row r="326">
          <cell r="K326">
            <v>9.7508702102608282</v>
          </cell>
        </row>
        <row r="327">
          <cell r="K327">
            <v>7.6032507819719575</v>
          </cell>
        </row>
        <row r="328">
          <cell r="K328">
            <v>12.623526577462206</v>
          </cell>
        </row>
        <row r="329">
          <cell r="K329">
            <v>8.1801215623535786</v>
          </cell>
        </row>
        <row r="330">
          <cell r="K330">
            <v>8.9487087240642431</v>
          </cell>
        </row>
        <row r="331">
          <cell r="K331">
            <v>12.268533154106139</v>
          </cell>
        </row>
        <row r="332">
          <cell r="K332">
            <v>10.205901053373573</v>
          </cell>
        </row>
        <row r="333">
          <cell r="K333">
            <v>14.990559582780312</v>
          </cell>
        </row>
        <row r="334">
          <cell r="K334">
            <v>13.40931755312174</v>
          </cell>
        </row>
        <row r="335">
          <cell r="K335">
            <v>10.800932179264164</v>
          </cell>
        </row>
        <row r="336">
          <cell r="K336">
            <v>10.860213584955293</v>
          </cell>
        </row>
        <row r="337">
          <cell r="K337">
            <v>11.116352116611347</v>
          </cell>
        </row>
        <row r="338">
          <cell r="K338">
            <v>10.270938943144886</v>
          </cell>
        </row>
        <row r="339">
          <cell r="K339">
            <v>8.0393984959352043</v>
          </cell>
        </row>
        <row r="340">
          <cell r="K340">
            <v>13.136718482216381</v>
          </cell>
        </row>
        <row r="341">
          <cell r="K341">
            <v>8.5660396809830814</v>
          </cell>
        </row>
        <row r="342">
          <cell r="K342">
            <v>9.3674185076400818</v>
          </cell>
        </row>
        <row r="343">
          <cell r="K343">
            <v>12.743109505597992</v>
          </cell>
        </row>
        <row r="344">
          <cell r="K344">
            <v>10.706973900305437</v>
          </cell>
        </row>
        <row r="345">
          <cell r="K345">
            <v>15.692967085042037</v>
          </cell>
        </row>
        <row r="346">
          <cell r="K346">
            <v>14.059092749521568</v>
          </cell>
        </row>
        <row r="347">
          <cell r="K347">
            <v>11.291540475558243</v>
          </cell>
        </row>
        <row r="348">
          <cell r="K348">
            <v>11.411609439419452</v>
          </cell>
        </row>
        <row r="349">
          <cell r="K349">
            <v>11.749743204617172</v>
          </cell>
        </row>
        <row r="350">
          <cell r="K350">
            <v>10.853958908365149</v>
          </cell>
        </row>
        <row r="351">
          <cell r="K351">
            <v>8.4936832100004658</v>
          </cell>
        </row>
        <row r="352">
          <cell r="K352">
            <v>13.961294168036874</v>
          </cell>
        </row>
        <row r="353">
          <cell r="K353">
            <v>9.0911449891102123</v>
          </cell>
        </row>
        <row r="354">
          <cell r="K354">
            <v>10.046947749192206</v>
          </cell>
        </row>
        <row r="355">
          <cell r="K355">
            <v>13.525600573040993</v>
          </cell>
        </row>
        <row r="356">
          <cell r="K356">
            <v>11.289540991109732</v>
          </cell>
        </row>
        <row r="357">
          <cell r="K357">
            <v>16.593854399156079</v>
          </cell>
        </row>
        <row r="358">
          <cell r="K358">
            <v>14.908278897703221</v>
          </cell>
        </row>
        <row r="359">
          <cell r="K359">
            <v>11.984169530725476</v>
          </cell>
        </row>
        <row r="360">
          <cell r="K360">
            <v>12.039655545330543</v>
          </cell>
        </row>
        <row r="361">
          <cell r="K361">
            <v>12.43819893536204</v>
          </cell>
        </row>
        <row r="362">
          <cell r="K362">
            <v>10.583586781363339</v>
          </cell>
        </row>
        <row r="363">
          <cell r="K363">
            <v>8.2718445337041846</v>
          </cell>
        </row>
        <row r="364">
          <cell r="K364">
            <v>13.64052398555973</v>
          </cell>
        </row>
        <row r="365">
          <cell r="K365">
            <v>8.892371298773412</v>
          </cell>
        </row>
        <row r="366">
          <cell r="K366">
            <v>9.8052163594299344</v>
          </cell>
        </row>
        <row r="367">
          <cell r="K367">
            <v>13.251409817632904</v>
          </cell>
        </row>
        <row r="368">
          <cell r="K368">
            <v>11.051446873012669</v>
          </cell>
        </row>
        <row r="369">
          <cell r="K369">
            <v>16.244881782357567</v>
          </cell>
        </row>
        <row r="370">
          <cell r="K370">
            <v>14.58665985305643</v>
          </cell>
        </row>
        <row r="371">
          <cell r="K371">
            <v>11.719453683657413</v>
          </cell>
        </row>
        <row r="372">
          <cell r="K372">
            <v>11.792196543886909</v>
          </cell>
        </row>
        <row r="373">
          <cell r="K373">
            <v>12.18275296412833</v>
          </cell>
        </row>
        <row r="374">
          <cell r="K374">
            <v>11.443625784014062</v>
          </cell>
        </row>
        <row r="375">
          <cell r="K375">
            <v>8.9511754451111436</v>
          </cell>
        </row>
        <row r="376">
          <cell r="K376">
            <v>14.76524811328663</v>
          </cell>
        </row>
        <row r="377">
          <cell r="K377">
            <v>9.6140791110444841</v>
          </cell>
        </row>
        <row r="378">
          <cell r="K378">
            <v>10.58414429052403</v>
          </cell>
        </row>
        <row r="379">
          <cell r="K379">
            <v>14.336701812314557</v>
          </cell>
        </row>
        <row r="380">
          <cell r="K380">
            <v>11.958008055857308</v>
          </cell>
        </row>
        <row r="381">
          <cell r="K381">
            <v>17.569057674494726</v>
          </cell>
        </row>
        <row r="382">
          <cell r="K382">
            <v>15.766684360459545</v>
          </cell>
        </row>
        <row r="383">
          <cell r="K383">
            <v>12.671579517024414</v>
          </cell>
        </row>
        <row r="384">
          <cell r="K384">
            <v>12.766957152845844</v>
          </cell>
        </row>
        <row r="385">
          <cell r="K385">
            <v>13.132327782153785</v>
          </cell>
        </row>
        <row r="386">
          <cell r="K386">
            <v>12.64158061631845</v>
          </cell>
        </row>
        <row r="387">
          <cell r="K387">
            <v>9.8831404629495943</v>
          </cell>
        </row>
        <row r="388">
          <cell r="K388">
            <v>16.279553403193216</v>
          </cell>
        </row>
        <row r="389">
          <cell r="K389">
            <v>10.596287161482277</v>
          </cell>
        </row>
        <row r="390">
          <cell r="K390">
            <v>11.649775456186704</v>
          </cell>
        </row>
        <row r="391">
          <cell r="K391">
            <v>15.801170262425991</v>
          </cell>
        </row>
        <row r="392">
          <cell r="K392">
            <v>13.193307982895501</v>
          </cell>
        </row>
        <row r="393">
          <cell r="K393">
            <v>19.377404704483926</v>
          </cell>
        </row>
        <row r="394">
          <cell r="K394">
            <v>17.37940981263079</v>
          </cell>
        </row>
        <row r="395">
          <cell r="K395">
            <v>13.971307912742899</v>
          </cell>
        </row>
        <row r="396">
          <cell r="K396">
            <v>14.067597608061876</v>
          </cell>
        </row>
        <row r="397">
          <cell r="K397">
            <v>14.485473349991143</v>
          </cell>
        </row>
        <row r="398">
          <cell r="K398">
            <v>13.811853323497228</v>
          </cell>
        </row>
        <row r="399">
          <cell r="K399">
            <v>10.802992247526623</v>
          </cell>
        </row>
        <row r="400">
          <cell r="K400">
            <v>17.770126321995768</v>
          </cell>
        </row>
        <row r="401">
          <cell r="K401">
            <v>11.575523602335016</v>
          </cell>
        </row>
        <row r="402">
          <cell r="K402">
            <v>12.737429886017809</v>
          </cell>
        </row>
        <row r="403">
          <cell r="K403">
            <v>17.243992109078597</v>
          </cell>
        </row>
        <row r="404">
          <cell r="K404">
            <v>14.407361722539381</v>
          </cell>
        </row>
        <row r="405">
          <cell r="K405">
            <v>21.160311576358573</v>
          </cell>
        </row>
        <row r="406">
          <cell r="K406">
            <v>18.987288097930684</v>
          </cell>
        </row>
        <row r="407">
          <cell r="K407">
            <v>15.258637767932591</v>
          </cell>
        </row>
        <row r="408">
          <cell r="K408">
            <v>15.367552132275472</v>
          </cell>
        </row>
        <row r="409">
          <cell r="K409">
            <v>15.840495727021842</v>
          </cell>
        </row>
        <row r="410">
          <cell r="K410">
            <v>13.794033974486617</v>
          </cell>
        </row>
        <row r="411">
          <cell r="K411">
            <v>10.787672563861012</v>
          </cell>
        </row>
        <row r="412">
          <cell r="K412">
            <v>17.765268397546173</v>
          </cell>
        </row>
        <row r="413">
          <cell r="K413">
            <v>11.570328558080549</v>
          </cell>
        </row>
        <row r="414">
          <cell r="K414">
            <v>12.745301091631115</v>
          </cell>
        </row>
        <row r="415">
          <cell r="K415">
            <v>17.240361307880207</v>
          </cell>
        </row>
        <row r="416">
          <cell r="K416">
            <v>14.390355926277426</v>
          </cell>
        </row>
        <row r="417">
          <cell r="K417">
            <v>21.142897098765868</v>
          </cell>
        </row>
        <row r="418">
          <cell r="K418">
            <v>18.976848764843226</v>
          </cell>
        </row>
        <row r="419">
          <cell r="K419">
            <v>15.251801874976644</v>
          </cell>
        </row>
        <row r="420">
          <cell r="K420">
            <v>15.351491213674629</v>
          </cell>
        </row>
        <row r="421">
          <cell r="K421">
            <v>15.826977592402697</v>
          </cell>
        </row>
        <row r="422">
          <cell r="K422">
            <v>13.840996832624484</v>
          </cell>
        </row>
        <row r="423">
          <cell r="K423">
            <v>10.823220591355481</v>
          </cell>
        </row>
        <row r="424">
          <cell r="K424">
            <v>17.829633583749469</v>
          </cell>
        </row>
        <row r="425">
          <cell r="K425">
            <v>11.612625860388729</v>
          </cell>
        </row>
        <row r="426">
          <cell r="K426">
            <v>12.784649780309453</v>
          </cell>
        </row>
        <row r="427">
          <cell r="K427">
            <v>17.307977035917915</v>
          </cell>
        </row>
        <row r="428">
          <cell r="K428">
            <v>14.446825557806795</v>
          </cell>
        </row>
        <row r="429">
          <cell r="K429">
            <v>21.224353030179394</v>
          </cell>
        </row>
        <row r="430">
          <cell r="K430">
            <v>19.046752006160077</v>
          </cell>
        </row>
        <row r="431">
          <cell r="K431">
            <v>15.307472201539619</v>
          </cell>
        </row>
        <row r="432">
          <cell r="K432">
            <v>15.412602950728495</v>
          </cell>
        </row>
        <row r="433">
          <cell r="K433">
            <v>15.884284487294435</v>
          </cell>
        </row>
        <row r="434">
          <cell r="K434">
            <v>14.544871159587309</v>
          </cell>
        </row>
        <row r="435">
          <cell r="K435">
            <v>11.374556788697243</v>
          </cell>
        </row>
        <row r="436">
          <cell r="K436">
            <v>18.7347922122459</v>
          </cell>
        </row>
        <row r="437">
          <cell r="K437">
            <v>12.200354842341355</v>
          </cell>
        </row>
        <row r="438">
          <cell r="K438">
            <v>13.428285496437878</v>
          </cell>
        </row>
        <row r="439">
          <cell r="K439">
            <v>18.184438039260261</v>
          </cell>
        </row>
        <row r="440">
          <cell r="K440">
            <v>15.180485659977094</v>
          </cell>
        </row>
        <row r="441">
          <cell r="K441">
            <v>22.300245930673807</v>
          </cell>
        </row>
        <row r="442">
          <cell r="K442">
            <v>20.010374945450643</v>
          </cell>
        </row>
        <row r="443">
          <cell r="K443">
            <v>16.08270056738964</v>
          </cell>
        </row>
        <row r="444">
          <cell r="K444">
            <v>16.194874675729338</v>
          </cell>
        </row>
        <row r="445">
          <cell r="K445">
            <v>16.683910753199072</v>
          </cell>
        </row>
        <row r="446">
          <cell r="K446">
            <v>15.7077925512866</v>
          </cell>
        </row>
        <row r="447">
          <cell r="K447">
            <v>12.283565633218382</v>
          </cell>
        </row>
        <row r="448">
          <cell r="K448">
            <v>20.22697648295787</v>
          </cell>
        </row>
        <row r="449">
          <cell r="K449">
            <v>13.172372778771644</v>
          </cell>
        </row>
        <row r="450">
          <cell r="K450">
            <v>14.497576787099108</v>
          </cell>
        </row>
        <row r="451">
          <cell r="K451">
            <v>19.631598109538494</v>
          </cell>
        </row>
        <row r="452">
          <cell r="K452">
            <v>16.390955841522473</v>
          </cell>
        </row>
        <row r="453">
          <cell r="K453">
            <v>24.077827908714287</v>
          </cell>
        </row>
        <row r="454">
          <cell r="K454">
            <v>21.605043357569524</v>
          </cell>
        </row>
        <row r="455">
          <cell r="K455">
            <v>17.364453718956657</v>
          </cell>
        </row>
        <row r="456">
          <cell r="K456">
            <v>17.483966806376909</v>
          </cell>
        </row>
        <row r="457">
          <cell r="K457">
            <v>18.016541818767784</v>
          </cell>
        </row>
        <row r="458">
          <cell r="K458">
            <v>16.099231313213821</v>
          </cell>
        </row>
        <row r="459">
          <cell r="K459">
            <v>12.590263834875172</v>
          </cell>
        </row>
        <row r="460">
          <cell r="K460">
            <v>20.730820570488284</v>
          </cell>
        </row>
        <row r="461">
          <cell r="K461">
            <v>13.5017056301654</v>
          </cell>
        </row>
        <row r="462">
          <cell r="K462">
            <v>14.862859853075252</v>
          </cell>
        </row>
        <row r="463">
          <cell r="K463">
            <v>20.120431229344469</v>
          </cell>
        </row>
        <row r="464">
          <cell r="K464">
            <v>16.798987999267172</v>
          </cell>
        </row>
        <row r="465">
          <cell r="K465">
            <v>24.677927581519192</v>
          </cell>
        </row>
        <row r="466">
          <cell r="K466">
            <v>22.145296316788375</v>
          </cell>
        </row>
        <row r="467">
          <cell r="K467">
            <v>17.797973252469543</v>
          </cell>
        </row>
        <row r="468">
          <cell r="K468">
            <v>17.920440820795548</v>
          </cell>
        </row>
        <row r="469">
          <cell r="K469">
            <v>18.468698907797993</v>
          </cell>
        </row>
        <row r="470">
          <cell r="K470">
            <v>16.066784200494087</v>
          </cell>
        </row>
        <row r="471">
          <cell r="K471">
            <v>12.564551721336858</v>
          </cell>
        </row>
        <row r="472">
          <cell r="K472">
            <v>20.692352624093534</v>
          </cell>
        </row>
        <row r="473">
          <cell r="K473">
            <v>13.476200619701881</v>
          </cell>
        </row>
        <row r="474">
          <cell r="K474">
            <v>14.835883012585937</v>
          </cell>
        </row>
        <row r="475">
          <cell r="K475">
            <v>20.083729640953184</v>
          </cell>
        </row>
        <row r="476">
          <cell r="K476">
            <v>16.766178759196563</v>
          </cell>
        </row>
        <row r="477">
          <cell r="K477">
            <v>24.630661235033909</v>
          </cell>
        </row>
        <row r="478">
          <cell r="K478">
            <v>22.103183934283827</v>
          </cell>
        </row>
        <row r="479">
          <cell r="K479">
            <v>17.764404354395577</v>
          </cell>
        </row>
        <row r="480">
          <cell r="K480">
            <v>17.885789696728093</v>
          </cell>
        </row>
        <row r="481">
          <cell r="K481">
            <v>18.43238210248089</v>
          </cell>
        </row>
        <row r="482">
          <cell r="K482">
            <v>15.994169829607673</v>
          </cell>
        </row>
        <row r="483">
          <cell r="K483">
            <v>12.507669812683295</v>
          </cell>
        </row>
        <row r="484">
          <cell r="K484">
            <v>20.598836516013481</v>
          </cell>
        </row>
        <row r="485">
          <cell r="K485">
            <v>13.41520567477086</v>
          </cell>
        </row>
        <row r="486">
          <cell r="K486">
            <v>14.767143517288384</v>
          </cell>
        </row>
        <row r="487">
          <cell r="K487">
            <v>19.993462917919391</v>
          </cell>
        </row>
        <row r="488">
          <cell r="K488">
            <v>16.691271480748377</v>
          </cell>
        </row>
        <row r="489">
          <cell r="K489">
            <v>24.520096812803601</v>
          </cell>
        </row>
        <row r="490">
          <cell r="K490">
            <v>22.003224361149655</v>
          </cell>
        </row>
        <row r="491">
          <cell r="K491">
            <v>17.684057325440698</v>
          </cell>
        </row>
        <row r="492">
          <cell r="K492">
            <v>17.805843159840528</v>
          </cell>
        </row>
        <row r="493">
          <cell r="K493">
            <v>18.348662153203041</v>
          </cell>
        </row>
        <row r="494">
          <cell r="K494">
            <v>15.720770112049596</v>
          </cell>
        </row>
        <row r="495">
          <cell r="K495">
            <v>12.293995051044389</v>
          </cell>
        </row>
        <row r="496">
          <cell r="K496">
            <v>20.24595183713587</v>
          </cell>
        </row>
        <row r="497">
          <cell r="K497">
            <v>13.185206980684944</v>
          </cell>
        </row>
        <row r="498">
          <cell r="K498">
            <v>14.513616741672307</v>
          </cell>
        </row>
        <row r="499">
          <cell r="K499">
            <v>19.650481194039784</v>
          </cell>
        </row>
        <row r="500">
          <cell r="K500">
            <v>16.405439946088002</v>
          </cell>
        </row>
        <row r="501">
          <cell r="K501">
            <v>24.099912888213208</v>
          </cell>
        </row>
        <row r="502">
          <cell r="K502">
            <v>21.625974090379199</v>
          </cell>
        </row>
        <row r="503">
          <cell r="K503">
            <v>17.380952263997276</v>
          </cell>
        </row>
        <row r="504">
          <cell r="K504">
            <v>17.500708450780881</v>
          </cell>
        </row>
        <row r="505">
          <cell r="K505">
            <v>18.033860084762484</v>
          </cell>
        </row>
        <row r="506">
          <cell r="K506">
            <v>16.322664884684357</v>
          </cell>
        </row>
        <row r="507">
          <cell r="K507">
            <v>12.76466133187713</v>
          </cell>
        </row>
        <row r="508">
          <cell r="K508">
            <v>21.020440297812002</v>
          </cell>
        </row>
        <row r="509">
          <cell r="K509">
            <v>13.689738794349477</v>
          </cell>
        </row>
        <row r="510">
          <cell r="K510">
            <v>15.069237576195539</v>
          </cell>
        </row>
        <row r="511">
          <cell r="K511">
            <v>20.402053017086839</v>
          </cell>
        </row>
        <row r="512">
          <cell r="K512">
            <v>17.033105953995342</v>
          </cell>
        </row>
        <row r="513">
          <cell r="K513">
            <v>25.022004519630013</v>
          </cell>
        </row>
        <row r="514">
          <cell r="K514">
            <v>22.453548115895078</v>
          </cell>
        </row>
        <row r="515">
          <cell r="K515">
            <v>18.046034996381707</v>
          </cell>
        </row>
        <row r="516">
          <cell r="K516">
            <v>18.170094126997132</v>
          </cell>
        </row>
        <row r="517">
          <cell r="K517">
            <v>18.72452713701886</v>
          </cell>
        </row>
        <row r="518">
          <cell r="K518">
            <v>16.911485189109399</v>
          </cell>
        </row>
        <row r="519">
          <cell r="K519">
            <v>13.225184290717353</v>
          </cell>
        </row>
        <row r="520">
          <cell r="K520">
            <v>21.779070204209244</v>
          </cell>
        </row>
        <row r="521">
          <cell r="K521">
            <v>14.183932803343907</v>
          </cell>
        </row>
        <row r="522">
          <cell r="K522">
            <v>15.613686468573981</v>
          </cell>
        </row>
        <row r="523">
          <cell r="K523">
            <v>21.13843558462402</v>
          </cell>
        </row>
        <row r="524">
          <cell r="K524">
            <v>17.647663268482916</v>
          </cell>
        </row>
        <row r="525">
          <cell r="K525">
            <v>25.924980611098327</v>
          </cell>
        </row>
        <row r="526">
          <cell r="K526">
            <v>23.264098307860934</v>
          </cell>
        </row>
        <row r="527">
          <cell r="K527">
            <v>18.697401186145854</v>
          </cell>
        </row>
        <row r="528">
          <cell r="K528">
            <v>18.82590876855911</v>
          </cell>
        </row>
        <row r="529">
          <cell r="K529">
            <v>19.4005473529858</v>
          </cell>
        </row>
        <row r="530">
          <cell r="K530">
            <v>17.062823486536875</v>
          </cell>
        </row>
        <row r="531">
          <cell r="K531">
            <v>13.343475173394754</v>
          </cell>
        </row>
        <row r="532">
          <cell r="K532">
            <v>21.974432598501984</v>
          </cell>
        </row>
        <row r="533">
          <cell r="K533">
            <v>14.311068390806341</v>
          </cell>
        </row>
        <row r="534">
          <cell r="K534">
            <v>15.753601702620919</v>
          </cell>
        </row>
        <row r="535">
          <cell r="K535">
            <v>21.328175444446593</v>
          </cell>
        </row>
        <row r="536">
          <cell r="K536">
            <v>17.805813383538155</v>
          </cell>
        </row>
        <row r="537">
          <cell r="K537">
            <v>26.157375988568727</v>
          </cell>
        </row>
        <row r="538">
          <cell r="K538">
            <v>23.472587163329614</v>
          </cell>
        </row>
        <row r="539">
          <cell r="K539">
            <v>18.86501559951466</v>
          </cell>
        </row>
        <row r="540">
          <cell r="K540">
            <v>18.994645340435518</v>
          </cell>
        </row>
        <row r="541">
          <cell r="K541">
            <v>19.574169494234145</v>
          </cell>
        </row>
        <row r="542">
          <cell r="K542">
            <v>17.062823486536875</v>
          </cell>
        </row>
        <row r="543">
          <cell r="K543">
            <v>13.343475173394754</v>
          </cell>
        </row>
        <row r="544">
          <cell r="K544">
            <v>21.974432598501984</v>
          </cell>
        </row>
        <row r="545">
          <cell r="K545">
            <v>14.311068390806341</v>
          </cell>
        </row>
        <row r="546">
          <cell r="K546">
            <v>15.753601702620919</v>
          </cell>
        </row>
        <row r="547">
          <cell r="K547">
            <v>21.328175444446593</v>
          </cell>
        </row>
        <row r="548">
          <cell r="K548">
            <v>17.805813383538155</v>
          </cell>
        </row>
        <row r="549">
          <cell r="K549">
            <v>26.157375988568727</v>
          </cell>
        </row>
        <row r="550">
          <cell r="K550">
            <v>23.472587163329614</v>
          </cell>
        </row>
        <row r="551">
          <cell r="K551">
            <v>18.86501559951466</v>
          </cell>
        </row>
        <row r="552">
          <cell r="K552">
            <v>18.994645340435518</v>
          </cell>
        </row>
        <row r="553">
          <cell r="K553">
            <v>19.574169494234145</v>
          </cell>
        </row>
      </sheetData>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torem/Euromoney%20Institutional%20Investor%20PLC/Shared%20Documents/Biomass-Based%20Diesel/Pathway%20Approvals"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hyperlink" Target="https://www.eia.gov/outlooks/steo/data/browser/"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6D682-18FD-4230-83C3-721397205149}">
  <sheetPr>
    <tabColor rgb="FFC00000"/>
  </sheetPr>
  <dimension ref="A1:AD51"/>
  <sheetViews>
    <sheetView topLeftCell="A5" workbookViewId="0">
      <selection activeCell="A9" sqref="A9"/>
    </sheetView>
  </sheetViews>
  <sheetFormatPr defaultColWidth="9.140625" defaultRowHeight="12.75"/>
  <cols>
    <col min="1" max="1" width="43.42578125" style="2" customWidth="1"/>
    <col min="2" max="30" width="12.140625" style="2" customWidth="1"/>
    <col min="31" max="16384" width="9.140625" style="2"/>
  </cols>
  <sheetData>
    <row r="1" spans="1:30" ht="36">
      <c r="A1" s="1" t="s">
        <v>0</v>
      </c>
    </row>
    <row r="2" spans="1:30">
      <c r="A2" s="2" t="s">
        <v>1</v>
      </c>
      <c r="B2" s="2">
        <v>2010</v>
      </c>
      <c r="C2" s="2">
        <v>2011</v>
      </c>
      <c r="D2" s="2">
        <v>2012</v>
      </c>
      <c r="E2" s="2">
        <v>2013</v>
      </c>
      <c r="F2" s="2">
        <v>2014</v>
      </c>
      <c r="G2" s="2">
        <v>2015</v>
      </c>
      <c r="H2" s="2">
        <v>2016</v>
      </c>
      <c r="I2" s="2">
        <v>2017</v>
      </c>
      <c r="J2" s="2">
        <v>2018</v>
      </c>
      <c r="K2" s="2">
        <v>2019</v>
      </c>
      <c r="L2" s="2">
        <v>2020</v>
      </c>
      <c r="M2" s="2">
        <v>2021</v>
      </c>
      <c r="N2" s="2">
        <v>2022</v>
      </c>
      <c r="O2" s="2">
        <v>2023</v>
      </c>
      <c r="P2" s="2">
        <v>2024</v>
      </c>
      <c r="Q2" s="2">
        <v>2025</v>
      </c>
      <c r="R2" s="2">
        <v>2026</v>
      </c>
      <c r="S2" s="2">
        <v>2027</v>
      </c>
      <c r="T2" s="2">
        <v>2028</v>
      </c>
      <c r="U2" s="2">
        <v>2029</v>
      </c>
      <c r="V2" s="2">
        <v>2030</v>
      </c>
      <c r="W2" s="2">
        <v>2031</v>
      </c>
      <c r="X2" s="2">
        <v>2032</v>
      </c>
      <c r="Y2" s="2">
        <v>2033</v>
      </c>
      <c r="Z2" s="2">
        <v>2034</v>
      </c>
      <c r="AA2" s="2">
        <v>2035</v>
      </c>
      <c r="AB2" s="2">
        <v>2036</v>
      </c>
      <c r="AC2" s="2">
        <v>2037</v>
      </c>
      <c r="AD2" s="2">
        <v>2038</v>
      </c>
    </row>
    <row r="3" spans="1:30">
      <c r="A3" s="2" t="s">
        <v>2</v>
      </c>
      <c r="B3" s="3"/>
      <c r="C3" s="3"/>
      <c r="D3" s="3"/>
      <c r="E3" s="3"/>
      <c r="F3" s="3"/>
      <c r="G3" s="3"/>
      <c r="H3" s="3"/>
      <c r="I3" s="3"/>
      <c r="J3" s="3"/>
      <c r="K3" s="3"/>
      <c r="L3" s="3"/>
      <c r="M3" s="3"/>
      <c r="N3" s="3"/>
      <c r="O3" s="3"/>
      <c r="P3" s="3"/>
      <c r="Q3" s="3"/>
      <c r="R3" s="3"/>
      <c r="S3" s="3"/>
      <c r="T3" s="3"/>
      <c r="U3" s="3"/>
      <c r="V3" s="3"/>
      <c r="W3" s="3"/>
      <c r="X3" s="3"/>
      <c r="Y3" s="3"/>
      <c r="Z3" s="3"/>
      <c r="AA3" s="3"/>
      <c r="AB3" s="3"/>
      <c r="AC3" s="3"/>
      <c r="AD3" s="3"/>
    </row>
    <row r="4" spans="1:30">
      <c r="A4" s="2" t="s">
        <v>3</v>
      </c>
      <c r="B4" s="3"/>
      <c r="C4" s="3"/>
      <c r="D4" s="3"/>
      <c r="E4" s="3"/>
      <c r="F4" s="3"/>
      <c r="G4" s="3"/>
      <c r="H4" s="3"/>
      <c r="I4" s="3"/>
      <c r="J4" s="3"/>
      <c r="K4" s="3"/>
      <c r="L4" s="3"/>
      <c r="M4" s="3"/>
      <c r="N4" s="3"/>
      <c r="O4" s="3"/>
      <c r="P4" s="3"/>
      <c r="Q4" s="3"/>
      <c r="R4" s="3"/>
      <c r="S4" s="3"/>
      <c r="T4" s="3"/>
      <c r="U4" s="3"/>
      <c r="V4" s="3"/>
      <c r="W4" s="3"/>
      <c r="X4" s="3"/>
      <c r="Y4" s="3"/>
      <c r="Z4" s="3"/>
      <c r="AA4" s="3"/>
      <c r="AB4" s="3"/>
      <c r="AC4" s="3"/>
      <c r="AD4" s="3"/>
    </row>
    <row r="5" spans="1:30">
      <c r="A5" s="2" t="s">
        <v>4</v>
      </c>
      <c r="B5" s="3"/>
      <c r="C5" s="3"/>
      <c r="D5" s="3"/>
      <c r="E5" s="3"/>
      <c r="F5" s="3"/>
      <c r="G5" s="3"/>
      <c r="H5" s="3"/>
      <c r="I5" s="3"/>
      <c r="J5" s="3"/>
      <c r="K5" s="3"/>
      <c r="L5" s="3"/>
      <c r="M5" s="3"/>
      <c r="N5" s="3"/>
      <c r="O5" s="3"/>
      <c r="P5" s="3"/>
      <c r="Q5" s="3"/>
      <c r="R5" s="3"/>
      <c r="S5" s="3"/>
      <c r="T5" s="3"/>
      <c r="U5" s="3"/>
      <c r="V5" s="3"/>
      <c r="W5" s="3"/>
      <c r="X5" s="3"/>
      <c r="Y5" s="3"/>
      <c r="Z5" s="3"/>
      <c r="AA5" s="3"/>
      <c r="AB5" s="3"/>
      <c r="AC5" s="3"/>
      <c r="AD5" s="3"/>
    </row>
    <row r="6" spans="1:30">
      <c r="A6" s="2" t="s">
        <v>5</v>
      </c>
      <c r="B6" s="3"/>
      <c r="C6" s="3"/>
      <c r="D6" s="3"/>
      <c r="E6" s="3"/>
      <c r="F6" s="3"/>
      <c r="G6" s="3"/>
      <c r="H6" s="3"/>
      <c r="I6" s="3"/>
      <c r="J6" s="3"/>
      <c r="K6" s="3"/>
      <c r="L6" s="3"/>
      <c r="M6" s="3"/>
      <c r="N6" s="3"/>
      <c r="O6" s="3"/>
      <c r="P6" s="3"/>
      <c r="Q6" s="3"/>
      <c r="R6" s="3"/>
      <c r="S6" s="3"/>
      <c r="T6" s="3"/>
      <c r="U6" s="3"/>
      <c r="V6" s="3"/>
      <c r="W6" s="3"/>
      <c r="X6" s="3"/>
      <c r="Y6" s="3"/>
      <c r="Z6" s="3"/>
      <c r="AA6" s="3"/>
      <c r="AB6" s="3"/>
      <c r="AC6" s="3"/>
      <c r="AD6" s="3"/>
    </row>
    <row r="7" spans="1:30">
      <c r="A7" s="2" t="s">
        <v>3</v>
      </c>
      <c r="B7" s="3"/>
      <c r="C7" s="3"/>
      <c r="D7" s="3"/>
      <c r="E7" s="3"/>
      <c r="F7" s="3"/>
      <c r="G7" s="3"/>
      <c r="H7" s="3"/>
      <c r="I7" s="3"/>
      <c r="J7" s="3"/>
      <c r="K7" s="3"/>
      <c r="L7" s="3"/>
      <c r="M7" s="3"/>
      <c r="N7" s="3"/>
      <c r="O7" s="3"/>
      <c r="P7" s="3"/>
      <c r="Q7" s="3"/>
      <c r="R7" s="3"/>
      <c r="S7" s="3"/>
      <c r="T7" s="3"/>
      <c r="U7" s="3"/>
      <c r="V7" s="3"/>
      <c r="W7" s="3"/>
      <c r="X7" s="3"/>
      <c r="Y7" s="3"/>
      <c r="Z7" s="3"/>
      <c r="AA7" s="3"/>
      <c r="AB7" s="3"/>
      <c r="AC7" s="3"/>
      <c r="AD7" s="3"/>
    </row>
    <row r="8" spans="1:30">
      <c r="A8" s="2" t="s">
        <v>6</v>
      </c>
      <c r="B8" s="4">
        <f>'D4 Gallon Forecast'!B4</f>
        <v>201955850</v>
      </c>
      <c r="C8" s="4">
        <f>'D4 Gallon Forecast'!C4</f>
        <v>1032917947</v>
      </c>
      <c r="D8" s="4">
        <f>'D4 Gallon Forecast'!D4</f>
        <v>1016202001</v>
      </c>
      <c r="E8" s="4">
        <f>'D4 Gallon Forecast'!E4</f>
        <v>1378586362</v>
      </c>
      <c r="F8" s="4">
        <f>'D4 Gallon Forecast'!F4</f>
        <v>1305909690</v>
      </c>
      <c r="G8" s="4">
        <f>'D4 Gallon Forecast'!G4</f>
        <v>1254228294</v>
      </c>
      <c r="H8" s="4">
        <f>'D4 Gallon Forecast'!H4</f>
        <v>1632752622</v>
      </c>
      <c r="I8" s="4">
        <f>'D4 Gallon Forecast'!I4</f>
        <v>1588249740</v>
      </c>
      <c r="J8" s="4">
        <f>'D4 Gallon Forecast'!J4</f>
        <v>1855120823</v>
      </c>
      <c r="K8" s="4">
        <f>'D4 Gallon Forecast'!K4</f>
        <v>1713762399</v>
      </c>
      <c r="L8" s="4">
        <f>'D4 Gallon Forecast'!L4</f>
        <v>1824873638</v>
      </c>
      <c r="M8" s="4">
        <f>'D4 Gallon Forecast'!M4</f>
        <v>1704627334</v>
      </c>
      <c r="N8" s="4">
        <f>'D4 Gallon Forecast'!N4</f>
        <v>1620209063</v>
      </c>
      <c r="O8" s="4">
        <f>'D4 Gallon Forecast'!O4</f>
        <v>1669248877</v>
      </c>
      <c r="P8" s="4">
        <f>'D4 Gallon Forecast'!P4</f>
        <v>1660766492</v>
      </c>
      <c r="Q8" s="4">
        <f>'D4 Gallon Forecast'!Q4</f>
        <v>1580916041.0664113</v>
      </c>
      <c r="R8" s="4">
        <f>'D4 Gallon Forecast'!R4</f>
        <v>1456288920.8928502</v>
      </c>
      <c r="S8" s="4">
        <f>'D4 Gallon Forecast'!S4</f>
        <v>1464785399.8558679</v>
      </c>
      <c r="T8" s="4">
        <f>'D4 Gallon Forecast'!T4</f>
        <v>1166208281.752449</v>
      </c>
      <c r="U8" s="4">
        <f>'D4 Gallon Forecast'!U4</f>
        <v>1344916782.8977911</v>
      </c>
      <c r="V8" s="4">
        <f>'D4 Gallon Forecast'!V4</f>
        <v>1361061973.8548844</v>
      </c>
      <c r="W8" s="4">
        <f>'D4 Gallon Forecast'!W4</f>
        <v>1352948354.928941</v>
      </c>
      <c r="X8" s="4">
        <f>'D4 Gallon Forecast'!X4</f>
        <v>1431119743.991498</v>
      </c>
      <c r="Y8" s="4">
        <f>'D4 Gallon Forecast'!Y4</f>
        <v>1343186758.3635507</v>
      </c>
      <c r="Z8" s="4">
        <f>'D4 Gallon Forecast'!Z4</f>
        <v>1311754933.2873945</v>
      </c>
      <c r="AA8" s="4">
        <f>'D4 Gallon Forecast'!AA4</f>
        <v>1258986408.7613165</v>
      </c>
      <c r="AB8" s="4">
        <f>'D4 Gallon Forecast'!AB4</f>
        <v>1053550782.0520486</v>
      </c>
      <c r="AC8" s="4">
        <f>'D4 Gallon Forecast'!AC4</f>
        <v>852248304.87814152</v>
      </c>
      <c r="AD8" s="4">
        <f>'D4 Gallon Forecast'!AD4</f>
        <v>834935067.03321898</v>
      </c>
    </row>
    <row r="9" spans="1:30">
      <c r="A9" s="2" t="s">
        <v>7</v>
      </c>
      <c r="B9" s="4"/>
      <c r="C9" s="4"/>
      <c r="D9" s="4"/>
      <c r="E9" s="4"/>
      <c r="F9" s="4"/>
      <c r="G9" s="4"/>
      <c r="H9" s="4"/>
      <c r="I9" s="4"/>
      <c r="J9" s="4"/>
      <c r="K9" s="4"/>
      <c r="L9" s="4"/>
      <c r="M9" s="4"/>
      <c r="N9" s="4"/>
      <c r="O9" s="4"/>
      <c r="P9" s="4"/>
      <c r="Q9" s="4"/>
      <c r="R9" s="4"/>
      <c r="S9" s="4"/>
      <c r="T9" s="4"/>
      <c r="U9" s="4"/>
      <c r="V9" s="4"/>
      <c r="W9" s="4"/>
      <c r="X9" s="4"/>
      <c r="Y9" s="4"/>
      <c r="Z9" s="3"/>
      <c r="AA9" s="3"/>
      <c r="AB9" s="3"/>
      <c r="AC9" s="3"/>
      <c r="AD9" s="3"/>
    </row>
    <row r="10" spans="1:30">
      <c r="A10" s="2" t="s">
        <v>8</v>
      </c>
      <c r="B10" s="4"/>
      <c r="C10" s="4"/>
      <c r="D10" s="4"/>
      <c r="E10" s="4"/>
      <c r="F10" s="4"/>
      <c r="G10" s="4"/>
      <c r="H10" s="4"/>
      <c r="I10" s="4"/>
      <c r="J10" s="4"/>
      <c r="K10" s="4"/>
      <c r="L10" s="4"/>
      <c r="M10" s="4"/>
      <c r="N10" s="4"/>
      <c r="O10" s="4"/>
      <c r="P10" s="4"/>
      <c r="Q10" s="4"/>
      <c r="R10" s="4"/>
      <c r="S10" s="4"/>
      <c r="T10" s="4"/>
      <c r="U10" s="4"/>
      <c r="V10" s="4"/>
      <c r="W10" s="4"/>
      <c r="X10" s="4"/>
      <c r="Y10" s="4"/>
      <c r="Z10" s="3"/>
      <c r="AA10" s="3"/>
      <c r="AB10" s="3"/>
      <c r="AC10" s="3"/>
      <c r="AD10" s="3"/>
    </row>
    <row r="11" spans="1:30">
      <c r="A11" s="2" t="s">
        <v>9</v>
      </c>
      <c r="B11" s="4">
        <f>SUM(B12:B14)</f>
        <v>959557</v>
      </c>
      <c r="C11" s="4">
        <f t="shared" ref="C11:AD11" si="0">SUM(C12:C14)</f>
        <v>45321674</v>
      </c>
      <c r="D11" s="4">
        <f t="shared" si="0"/>
        <v>40195484</v>
      </c>
      <c r="E11" s="4">
        <f t="shared" si="0"/>
        <v>72007416</v>
      </c>
      <c r="F11" s="4">
        <f t="shared" si="0"/>
        <v>150536188</v>
      </c>
      <c r="G11" s="4">
        <f t="shared" si="0"/>
        <v>171867841</v>
      </c>
      <c r="H11" s="4">
        <f t="shared" si="0"/>
        <v>236821419</v>
      </c>
      <c r="I11" s="4">
        <f t="shared" si="0"/>
        <v>253194888</v>
      </c>
      <c r="J11" s="4">
        <f t="shared" si="0"/>
        <v>281876562</v>
      </c>
      <c r="K11" s="4">
        <f t="shared" si="0"/>
        <v>457843380</v>
      </c>
      <c r="L11" s="4">
        <f t="shared" si="0"/>
        <v>482911676</v>
      </c>
      <c r="M11" s="4">
        <f t="shared" si="0"/>
        <v>782990100</v>
      </c>
      <c r="N11" s="4">
        <f t="shared" si="0"/>
        <v>1379369642</v>
      </c>
      <c r="O11" s="4">
        <f t="shared" si="0"/>
        <v>2355081277</v>
      </c>
      <c r="P11" s="4">
        <f t="shared" si="0"/>
        <v>3070181870</v>
      </c>
      <c r="Q11" s="4">
        <f t="shared" si="0"/>
        <v>2489424885.5975428</v>
      </c>
      <c r="R11" s="4">
        <f t="shared" si="0"/>
        <v>2614396737.1808534</v>
      </c>
      <c r="S11" s="4">
        <f t="shared" si="0"/>
        <v>2876042035.1819401</v>
      </c>
      <c r="T11" s="4">
        <f t="shared" si="0"/>
        <v>2928998443.8623223</v>
      </c>
      <c r="U11" s="4">
        <f t="shared" si="0"/>
        <v>2946283440.013401</v>
      </c>
      <c r="V11" s="4">
        <f t="shared" si="0"/>
        <v>3084939174.1517019</v>
      </c>
      <c r="W11" s="4">
        <f t="shared" si="0"/>
        <v>3349296816.0478544</v>
      </c>
      <c r="X11" s="4">
        <f t="shared" si="0"/>
        <v>3978045701.7119684</v>
      </c>
      <c r="Y11" s="4">
        <f t="shared" si="0"/>
        <v>3954307174.8947406</v>
      </c>
      <c r="Z11" s="4">
        <f t="shared" si="0"/>
        <v>3835069000.9408054</v>
      </c>
      <c r="AA11" s="4">
        <f t="shared" si="0"/>
        <v>4062954391.0529933</v>
      </c>
      <c r="AB11" s="4">
        <f t="shared" si="0"/>
        <v>4404588511.1892891</v>
      </c>
      <c r="AC11" s="4">
        <f t="shared" si="0"/>
        <v>5019945796.2512598</v>
      </c>
      <c r="AD11" s="4">
        <f t="shared" si="0"/>
        <v>5537626882.8702278</v>
      </c>
    </row>
    <row r="12" spans="1:30">
      <c r="A12" s="2" t="s">
        <v>10</v>
      </c>
      <c r="B12" s="3">
        <f>'D4 Gallon Forecast'!B9</f>
        <v>0</v>
      </c>
      <c r="C12" s="3">
        <f>'D4 Gallon Forecast'!C9</f>
        <v>140177</v>
      </c>
      <c r="D12" s="3">
        <f>'D4 Gallon Forecast'!D9</f>
        <v>959282</v>
      </c>
      <c r="E12" s="3">
        <f>'D4 Gallon Forecast'!E9</f>
        <v>502934</v>
      </c>
      <c r="F12" s="3">
        <f>'D4 Gallon Forecast'!F9</f>
        <v>205293</v>
      </c>
      <c r="G12" s="3">
        <f>'D4 Gallon Forecast'!G9</f>
        <v>0</v>
      </c>
      <c r="H12" s="3">
        <f>'D4 Gallon Forecast'!H9</f>
        <v>0</v>
      </c>
      <c r="I12" s="3">
        <f>'D4 Gallon Forecast'!I9</f>
        <v>0</v>
      </c>
      <c r="J12" s="3">
        <f>'D4 Gallon Forecast'!J9</f>
        <v>0</v>
      </c>
      <c r="K12" s="3">
        <f>'D4 Gallon Forecast'!K9</f>
        <v>0</v>
      </c>
      <c r="L12" s="3">
        <f>'D4 Gallon Forecast'!L9</f>
        <v>0</v>
      </c>
      <c r="M12" s="3">
        <f>'D4 Gallon Forecast'!M9</f>
        <v>0</v>
      </c>
      <c r="N12" s="3">
        <f>'D4 Gallon Forecast'!N9</f>
        <v>0</v>
      </c>
      <c r="O12" s="3">
        <f>'D4 Gallon Forecast'!O9</f>
        <v>0</v>
      </c>
      <c r="P12" s="3">
        <f>'D4 Gallon Forecast'!P9</f>
        <v>0</v>
      </c>
      <c r="Q12" s="3">
        <f>'D4 Gallon Forecast'!Q9</f>
        <v>0</v>
      </c>
      <c r="R12" s="3">
        <f>'D4 Gallon Forecast'!R9</f>
        <v>0</v>
      </c>
      <c r="S12" s="3">
        <f>'D4 Gallon Forecast'!S9</f>
        <v>0</v>
      </c>
      <c r="T12" s="3">
        <f>'D4 Gallon Forecast'!T9</f>
        <v>0</v>
      </c>
      <c r="U12" s="3">
        <f>'D4 Gallon Forecast'!U9</f>
        <v>0</v>
      </c>
      <c r="V12" s="3">
        <f>'D4 Gallon Forecast'!V9</f>
        <v>0</v>
      </c>
      <c r="W12" s="3">
        <f>'D4 Gallon Forecast'!W9</f>
        <v>0</v>
      </c>
      <c r="X12" s="3">
        <f>'D4 Gallon Forecast'!X9</f>
        <v>0</v>
      </c>
      <c r="Y12" s="3">
        <f>'D4 Gallon Forecast'!Y9</f>
        <v>0</v>
      </c>
      <c r="Z12" s="3">
        <f>'D4 Gallon Forecast'!Z9</f>
        <v>0</v>
      </c>
      <c r="AA12" s="3">
        <f>'D4 Gallon Forecast'!AA9</f>
        <v>0</v>
      </c>
      <c r="AB12" s="3">
        <f>'D4 Gallon Forecast'!AB9</f>
        <v>0</v>
      </c>
      <c r="AC12" s="3">
        <f>'D4 Gallon Forecast'!AC9</f>
        <v>0</v>
      </c>
      <c r="AD12" s="3">
        <f>'D4 Gallon Forecast'!AD9</f>
        <v>0</v>
      </c>
    </row>
    <row r="13" spans="1:30">
      <c r="A13" s="2" t="s">
        <v>11</v>
      </c>
      <c r="B13" s="3">
        <f>'D4 Gallon Forecast'!B10</f>
        <v>240476</v>
      </c>
      <c r="C13" s="3">
        <f>'D4 Gallon Forecast'!C10</f>
        <v>14892088</v>
      </c>
      <c r="D13" s="3">
        <f>'D4 Gallon Forecast'!D10</f>
        <v>9371937</v>
      </c>
      <c r="E13" s="3">
        <f>'D4 Gallon Forecast'!E10</f>
        <v>28912259</v>
      </c>
      <c r="F13" s="3">
        <f>'D4 Gallon Forecast'!F10</f>
        <v>7456331</v>
      </c>
      <c r="G13" s="3">
        <f>'D4 Gallon Forecast'!G10</f>
        <v>4298593</v>
      </c>
      <c r="H13" s="3">
        <f>'D4 Gallon Forecast'!H10</f>
        <v>0</v>
      </c>
      <c r="I13" s="3">
        <f>'D4 Gallon Forecast'!I10</f>
        <v>0</v>
      </c>
      <c r="J13" s="3">
        <f>'D4 Gallon Forecast'!J10</f>
        <v>0</v>
      </c>
      <c r="K13" s="3">
        <f>'D4 Gallon Forecast'!K10</f>
        <v>0</v>
      </c>
      <c r="L13" s="3">
        <f>'D4 Gallon Forecast'!L10</f>
        <v>1190841</v>
      </c>
      <c r="M13" s="3">
        <f>'D4 Gallon Forecast'!M10</f>
        <v>713112</v>
      </c>
      <c r="N13" s="3">
        <f>'D4 Gallon Forecast'!N10</f>
        <v>39146727</v>
      </c>
      <c r="O13" s="3">
        <f>'D4 Gallon Forecast'!O10</f>
        <v>526588313</v>
      </c>
      <c r="P13" s="3">
        <f>'D4 Gallon Forecast'!P10</f>
        <v>521976706</v>
      </c>
      <c r="Q13" s="3">
        <f>'D4 Gallon Forecast'!Q10</f>
        <v>110127790</v>
      </c>
      <c r="R13" s="3">
        <f>'D4 Gallon Forecast'!R10</f>
        <v>0</v>
      </c>
      <c r="S13" s="3">
        <f>'D4 Gallon Forecast'!S10</f>
        <v>0</v>
      </c>
      <c r="T13" s="3">
        <f>'D4 Gallon Forecast'!T10</f>
        <v>0</v>
      </c>
      <c r="U13" s="3">
        <f>'D4 Gallon Forecast'!U10</f>
        <v>0</v>
      </c>
      <c r="V13" s="3">
        <f>'D4 Gallon Forecast'!V10</f>
        <v>0</v>
      </c>
      <c r="W13" s="3">
        <f>'D4 Gallon Forecast'!W10</f>
        <v>0</v>
      </c>
      <c r="X13" s="3">
        <f>'D4 Gallon Forecast'!X10</f>
        <v>0</v>
      </c>
      <c r="Y13" s="3">
        <f>'D4 Gallon Forecast'!Y10</f>
        <v>0</v>
      </c>
      <c r="Z13" s="3">
        <f>'D4 Gallon Forecast'!Z10</f>
        <v>0</v>
      </c>
      <c r="AA13" s="3">
        <f>'D4 Gallon Forecast'!AA10</f>
        <v>0</v>
      </c>
      <c r="AB13" s="3">
        <f>'D4 Gallon Forecast'!AB10</f>
        <v>0</v>
      </c>
      <c r="AC13" s="3">
        <f>'D4 Gallon Forecast'!AC10</f>
        <v>0</v>
      </c>
      <c r="AD13" s="3">
        <f>'D4 Gallon Forecast'!AD10</f>
        <v>0</v>
      </c>
    </row>
    <row r="14" spans="1:30">
      <c r="A14" s="2" t="s">
        <v>12</v>
      </c>
      <c r="B14" s="3">
        <f>'D4 Gallon Forecast'!B11</f>
        <v>719081</v>
      </c>
      <c r="C14" s="3">
        <f>'D4 Gallon Forecast'!C11</f>
        <v>30289409</v>
      </c>
      <c r="D14" s="3">
        <f>'D4 Gallon Forecast'!D11</f>
        <v>29864265</v>
      </c>
      <c r="E14" s="3">
        <f>'D4 Gallon Forecast'!E11</f>
        <v>42592223</v>
      </c>
      <c r="F14" s="3">
        <f>'D4 Gallon Forecast'!F11</f>
        <v>142874564</v>
      </c>
      <c r="G14" s="3">
        <f>'D4 Gallon Forecast'!G11</f>
        <v>167569248</v>
      </c>
      <c r="H14" s="3">
        <f>'D4 Gallon Forecast'!H11</f>
        <v>236821419</v>
      </c>
      <c r="I14" s="3">
        <f>'D4 Gallon Forecast'!I11</f>
        <v>253194888</v>
      </c>
      <c r="J14" s="3">
        <f>'D4 Gallon Forecast'!J11</f>
        <v>281876562</v>
      </c>
      <c r="K14" s="3">
        <f>'D4 Gallon Forecast'!K11</f>
        <v>457843380</v>
      </c>
      <c r="L14" s="3">
        <f>'D4 Gallon Forecast'!L11</f>
        <v>481720835</v>
      </c>
      <c r="M14" s="3">
        <f>'D4 Gallon Forecast'!M11</f>
        <v>782276988</v>
      </c>
      <c r="N14" s="3">
        <f>'D4 Gallon Forecast'!N11</f>
        <v>1340222915</v>
      </c>
      <c r="O14" s="3">
        <f>'D4 Gallon Forecast'!O11</f>
        <v>1828492964</v>
      </c>
      <c r="P14" s="3">
        <f>'D4 Gallon Forecast'!P11</f>
        <v>2548205164</v>
      </c>
      <c r="Q14" s="3">
        <f>'D4 Gallon Forecast'!Q11</f>
        <v>2379297095.5975428</v>
      </c>
      <c r="R14" s="3">
        <f>'D4 Gallon Forecast'!R11</f>
        <v>2614396737.1808534</v>
      </c>
      <c r="S14" s="3">
        <f>'D4 Gallon Forecast'!S11</f>
        <v>2876042035.1819401</v>
      </c>
      <c r="T14" s="3">
        <f>'D4 Gallon Forecast'!T11</f>
        <v>2928998443.8623223</v>
      </c>
      <c r="U14" s="3">
        <f>'D4 Gallon Forecast'!U11</f>
        <v>2946283440.013401</v>
      </c>
      <c r="V14" s="3">
        <f>'D4 Gallon Forecast'!V11</f>
        <v>3084939174.1517019</v>
      </c>
      <c r="W14" s="3">
        <f>'D4 Gallon Forecast'!W11</f>
        <v>3349296816.0478544</v>
      </c>
      <c r="X14" s="3">
        <f>'D4 Gallon Forecast'!X11</f>
        <v>3978045701.7119684</v>
      </c>
      <c r="Y14" s="3">
        <f>'D4 Gallon Forecast'!Y11</f>
        <v>3954307174.8947406</v>
      </c>
      <c r="Z14" s="3">
        <f>'D4 Gallon Forecast'!Z11</f>
        <v>3835069000.9408054</v>
      </c>
      <c r="AA14" s="3">
        <f>'D4 Gallon Forecast'!AA11</f>
        <v>4062954391.0529933</v>
      </c>
      <c r="AB14" s="3">
        <f>'D4 Gallon Forecast'!AB11</f>
        <v>4404588511.1892891</v>
      </c>
      <c r="AC14" s="3">
        <f>'D4 Gallon Forecast'!AC11</f>
        <v>5019945796.2512598</v>
      </c>
      <c r="AD14" s="3">
        <f>'D4 Gallon Forecast'!AD11</f>
        <v>5537626882.8702278</v>
      </c>
    </row>
    <row r="15" spans="1:30">
      <c r="A15" s="2" t="s">
        <v>13</v>
      </c>
      <c r="B15" s="4">
        <f>SUM(B16:B18)</f>
        <v>0</v>
      </c>
      <c r="C15" s="4">
        <f t="shared" ref="C15:Y15" si="1">SUM(C16:C18)</f>
        <v>0</v>
      </c>
      <c r="D15" s="4">
        <f t="shared" si="1"/>
        <v>0</v>
      </c>
      <c r="E15" s="4">
        <f t="shared" si="1"/>
        <v>0</v>
      </c>
      <c r="F15" s="4">
        <f t="shared" si="1"/>
        <v>0</v>
      </c>
      <c r="G15" s="4">
        <f t="shared" si="1"/>
        <v>0</v>
      </c>
      <c r="H15" s="4">
        <f t="shared" si="1"/>
        <v>0</v>
      </c>
      <c r="I15" s="4">
        <f t="shared" si="1"/>
        <v>0</v>
      </c>
      <c r="J15" s="4">
        <f t="shared" si="1"/>
        <v>0</v>
      </c>
      <c r="K15" s="4">
        <f t="shared" si="1"/>
        <v>0</v>
      </c>
      <c r="L15" s="4">
        <f t="shared" si="1"/>
        <v>0</v>
      </c>
      <c r="M15" s="4">
        <f t="shared" si="1"/>
        <v>0</v>
      </c>
      <c r="N15" s="4">
        <f t="shared" si="1"/>
        <v>0</v>
      </c>
      <c r="O15" s="4">
        <f t="shared" si="1"/>
        <v>0</v>
      </c>
      <c r="P15" s="4">
        <f t="shared" si="1"/>
        <v>0</v>
      </c>
      <c r="Q15" s="4">
        <f t="shared" si="1"/>
        <v>0</v>
      </c>
      <c r="R15" s="4">
        <f t="shared" si="1"/>
        <v>0</v>
      </c>
      <c r="S15" s="4">
        <f t="shared" si="1"/>
        <v>0</v>
      </c>
      <c r="T15" s="4">
        <f t="shared" si="1"/>
        <v>0</v>
      </c>
      <c r="U15" s="4">
        <f t="shared" si="1"/>
        <v>0</v>
      </c>
      <c r="V15" s="4">
        <f t="shared" si="1"/>
        <v>0</v>
      </c>
      <c r="W15" s="4">
        <f t="shared" si="1"/>
        <v>0</v>
      </c>
      <c r="X15" s="4">
        <f t="shared" si="1"/>
        <v>0</v>
      </c>
      <c r="Y15" s="4">
        <f t="shared" si="1"/>
        <v>0</v>
      </c>
      <c r="Z15" s="3"/>
      <c r="AA15" s="3"/>
      <c r="AB15" s="3"/>
      <c r="AC15" s="3"/>
      <c r="AD15" s="3"/>
    </row>
    <row r="16" spans="1:30">
      <c r="A16" s="2" t="s">
        <v>14</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spans="1:30">
      <c r="A17" s="2" t="s">
        <v>15</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spans="1:30">
      <c r="A18" s="2" t="s">
        <v>16</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spans="1:30">
      <c r="A19" s="2" t="s">
        <v>17</v>
      </c>
      <c r="B19" s="4">
        <f>SUM(B20:B22)</f>
        <v>0</v>
      </c>
      <c r="C19" s="4">
        <f t="shared" ref="C19:Y19" si="2">SUM(C20:C22)</f>
        <v>0</v>
      </c>
      <c r="D19" s="4">
        <f t="shared" si="2"/>
        <v>0</v>
      </c>
      <c r="E19" s="4">
        <f t="shared" si="2"/>
        <v>0</v>
      </c>
      <c r="F19" s="4">
        <f t="shared" si="2"/>
        <v>0</v>
      </c>
      <c r="G19" s="4">
        <f t="shared" si="2"/>
        <v>0</v>
      </c>
      <c r="H19" s="4">
        <f t="shared" si="2"/>
        <v>0</v>
      </c>
      <c r="I19" s="4">
        <f t="shared" si="2"/>
        <v>0</v>
      </c>
      <c r="J19" s="4">
        <f t="shared" si="2"/>
        <v>0</v>
      </c>
      <c r="K19" s="4">
        <f t="shared" si="2"/>
        <v>0</v>
      </c>
      <c r="L19" s="4">
        <f t="shared" si="2"/>
        <v>0</v>
      </c>
      <c r="M19" s="4">
        <f t="shared" si="2"/>
        <v>0</v>
      </c>
      <c r="N19" s="4">
        <f t="shared" si="2"/>
        <v>0</v>
      </c>
      <c r="O19" s="4">
        <f t="shared" si="2"/>
        <v>0</v>
      </c>
      <c r="P19" s="4">
        <f t="shared" si="2"/>
        <v>0</v>
      </c>
      <c r="Q19" s="4">
        <f t="shared" si="2"/>
        <v>0</v>
      </c>
      <c r="R19" s="4">
        <f t="shared" si="2"/>
        <v>0</v>
      </c>
      <c r="S19" s="4">
        <f t="shared" si="2"/>
        <v>0</v>
      </c>
      <c r="T19" s="4">
        <f t="shared" si="2"/>
        <v>0</v>
      </c>
      <c r="U19" s="4">
        <f t="shared" si="2"/>
        <v>0</v>
      </c>
      <c r="V19" s="4">
        <f t="shared" si="2"/>
        <v>0</v>
      </c>
      <c r="W19" s="4">
        <f t="shared" si="2"/>
        <v>0</v>
      </c>
      <c r="X19" s="4">
        <f t="shared" si="2"/>
        <v>0</v>
      </c>
      <c r="Y19" s="4">
        <f t="shared" si="2"/>
        <v>0</v>
      </c>
      <c r="Z19" s="3"/>
      <c r="AA19" s="3"/>
      <c r="AB19" s="3"/>
      <c r="AC19" s="3"/>
      <c r="AD19" s="3"/>
    </row>
    <row r="20" spans="1:30">
      <c r="A20" s="2" t="s">
        <v>18</v>
      </c>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spans="1:30">
      <c r="A21" s="2" t="s">
        <v>19</v>
      </c>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spans="1:30">
      <c r="A22" s="2" t="s">
        <v>20</v>
      </c>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spans="1:30">
      <c r="A23" s="2" t="s">
        <v>21</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spans="1:30">
      <c r="A24" s="2" t="s">
        <v>22</v>
      </c>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spans="1:30">
      <c r="A25" s="2" t="s">
        <v>4</v>
      </c>
      <c r="B25" s="5">
        <f>B26/B8</f>
        <v>1.5000206332225583</v>
      </c>
      <c r="C25" s="5">
        <f t="shared" ref="C25:AD25" si="3">C26/C8</f>
        <v>1.5000173077639438</v>
      </c>
      <c r="D25" s="5">
        <f t="shared" si="3"/>
        <v>1.5000200555598</v>
      </c>
      <c r="E25" s="5">
        <f t="shared" si="3"/>
        <v>1.5000202649618262</v>
      </c>
      <c r="F25" s="5">
        <f t="shared" si="3"/>
        <v>1.500021334553387</v>
      </c>
      <c r="G25" s="5">
        <f t="shared" si="3"/>
        <v>1.5000190619204767</v>
      </c>
      <c r="H25" s="5">
        <f t="shared" si="3"/>
        <v>1.5000181797288825</v>
      </c>
      <c r="I25" s="5">
        <f t="shared" si="3"/>
        <v>1.500018833939806</v>
      </c>
      <c r="J25" s="5">
        <f t="shared" si="3"/>
        <v>1.5000196949436106</v>
      </c>
      <c r="K25" s="5">
        <f t="shared" si="3"/>
        <v>1.5000202318011062</v>
      </c>
      <c r="L25" s="5">
        <f t="shared" si="3"/>
        <v>1.5000200786505087</v>
      </c>
      <c r="M25" s="5">
        <f t="shared" si="3"/>
        <v>1.5000196623621664</v>
      </c>
      <c r="N25" s="5">
        <f t="shared" si="3"/>
        <v>1.500017514715013</v>
      </c>
      <c r="O25" s="5">
        <f t="shared" si="3"/>
        <v>1.5000178634237296</v>
      </c>
      <c r="P25" s="5">
        <f t="shared" si="3"/>
        <v>1.5000183294883096</v>
      </c>
      <c r="Q25" s="5">
        <f t="shared" si="3"/>
        <v>1.5000183429937473</v>
      </c>
      <c r="R25" s="5">
        <f t="shared" si="3"/>
        <v>1.5000183425965929</v>
      </c>
      <c r="S25" s="5">
        <f t="shared" si="3"/>
        <v>1.5000180786434782</v>
      </c>
      <c r="T25" s="5">
        <f t="shared" si="3"/>
        <v>1.5000181914291717</v>
      </c>
      <c r="U25" s="5">
        <f t="shared" si="3"/>
        <v>1.5000182570302603</v>
      </c>
      <c r="V25" s="5">
        <f t="shared" si="3"/>
        <v>1.5000182425386499</v>
      </c>
      <c r="W25" s="5">
        <f t="shared" si="3"/>
        <v>1.5000182224476304</v>
      </c>
      <c r="X25" s="5">
        <f t="shared" si="3"/>
        <v>1.5000181984178382</v>
      </c>
      <c r="Y25" s="5">
        <f t="shared" si="3"/>
        <v>1.5000182223727101</v>
      </c>
      <c r="Z25" s="5">
        <f t="shared" si="3"/>
        <v>1.5000182285614183</v>
      </c>
      <c r="AA25" s="5">
        <f t="shared" si="3"/>
        <v>1.5000182228676497</v>
      </c>
      <c r="AB25" s="5">
        <f t="shared" si="3"/>
        <v>1.5000182189334494</v>
      </c>
      <c r="AC25" s="5">
        <f t="shared" si="3"/>
        <v>1.5000182182306132</v>
      </c>
      <c r="AD25" s="5">
        <f t="shared" si="3"/>
        <v>1.5000182221931679</v>
      </c>
    </row>
    <row r="26" spans="1:30">
      <c r="A26" s="2" t="s">
        <v>6</v>
      </c>
      <c r="B26" s="4">
        <f>'D4 RIN Forecast'!B4</f>
        <v>302937942</v>
      </c>
      <c r="C26" s="4">
        <f>'D4 RIN Forecast'!C4</f>
        <v>1549394798</v>
      </c>
      <c r="D26" s="4">
        <f>'D4 RIN Forecast'!D4</f>
        <v>1524323382</v>
      </c>
      <c r="E26" s="4">
        <f>'D4 RIN Forecast'!E4</f>
        <v>2067907480</v>
      </c>
      <c r="F26" s="4">
        <f>'D4 RIN Forecast'!F4</f>
        <v>1958892396</v>
      </c>
      <c r="G26" s="4">
        <f>'D4 RIN Forecast'!G4</f>
        <v>1881366349</v>
      </c>
      <c r="H26" s="4">
        <f>'D4 RIN Forecast'!H4</f>
        <v>2449158616</v>
      </c>
      <c r="I26" s="4">
        <f>'D4 RIN Forecast'!I4</f>
        <v>2382404523</v>
      </c>
      <c r="J26" s="4">
        <f>'D4 RIN Forecast'!J4</f>
        <v>2782717771</v>
      </c>
      <c r="K26" s="4">
        <f>'D4 RIN Forecast'!K4</f>
        <v>2570678271</v>
      </c>
      <c r="L26" s="4">
        <f>'D4 RIN Forecast'!L4</f>
        <v>2737347098</v>
      </c>
      <c r="M26" s="4">
        <f>'D4 RIN Forecast'!M4</f>
        <v>2556974518</v>
      </c>
      <c r="N26" s="4">
        <f>'D4 RIN Forecast'!N4</f>
        <v>2430341972</v>
      </c>
      <c r="O26" s="4">
        <f>'D4 RIN Forecast'!O4</f>
        <v>2503903134</v>
      </c>
      <c r="P26" s="4">
        <f>'D4 RIN Forecast'!P4</f>
        <v>2491180179</v>
      </c>
      <c r="Q26" s="4">
        <f>'D4 RIN Forecast'!Q4</f>
        <v>2371403060.3326731</v>
      </c>
      <c r="R26" s="4">
        <f>'D4 RIN Forecast'!R4</f>
        <v>2184460093.4594741</v>
      </c>
      <c r="S26" s="4">
        <f>'D4 RIN Forecast'!S4</f>
        <v>2197204581.116818</v>
      </c>
      <c r="T26" s="4">
        <f>'D4 RIN Forecast'!T4</f>
        <v>1749333637.6240306</v>
      </c>
      <c r="U26" s="4">
        <f>'D4 RIN Forecast'!U4</f>
        <v>2017399728.5330896</v>
      </c>
      <c r="V26" s="4">
        <f>'D4 RIN Forecast'!V4</f>
        <v>2041617790.0079896</v>
      </c>
      <c r="W26" s="4">
        <f>'D4 RIN Forecast'!W4</f>
        <v>2029447186.4239559</v>
      </c>
      <c r="X26" s="4">
        <f>'D4 RIN Forecast'!X4</f>
        <v>2146705660.1023247</v>
      </c>
      <c r="Y26" s="4">
        <f>'D4 RIN Forecast'!Y4</f>
        <v>2014804613.5950563</v>
      </c>
      <c r="Z26" s="4">
        <f>'D4 RIN Forecast'!Z4</f>
        <v>1967656311.3364589</v>
      </c>
      <c r="AA26" s="4">
        <f>'D4 RIN Forecast'!AA4</f>
        <v>1888502555.4846745</v>
      </c>
      <c r="AB26" s="4">
        <f>'D4 RIN Forecast'!AB4</f>
        <v>1580345367.6496568</v>
      </c>
      <c r="AC26" s="4">
        <f>'D4 RIN Forecast'!AC4</f>
        <v>1278387983.7733703</v>
      </c>
      <c r="AD26" s="4">
        <f>'D4 RIN Forecast'!AD4</f>
        <v>1252417814.8979027</v>
      </c>
    </row>
    <row r="27" spans="1:30">
      <c r="A27" s="2" t="s">
        <v>7</v>
      </c>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spans="1:30">
      <c r="A28" s="2" t="s">
        <v>8</v>
      </c>
      <c r="B28" s="5">
        <f>B29/B11</f>
        <v>1.674939581494377</v>
      </c>
      <c r="C28" s="5">
        <f t="shared" ref="C28:AD28" si="4">C29/C11</f>
        <v>1.6665241226526628</v>
      </c>
      <c r="D28" s="5">
        <f t="shared" si="4"/>
        <v>1.6719113022746535</v>
      </c>
      <c r="E28" s="5">
        <f t="shared" si="4"/>
        <v>1.6584514850525951</v>
      </c>
      <c r="F28" s="5">
        <f t="shared" si="4"/>
        <v>1.694774388733691</v>
      </c>
      <c r="G28" s="5">
        <f t="shared" si="4"/>
        <v>1.6974994525008318</v>
      </c>
      <c r="H28" s="5">
        <f t="shared" si="4"/>
        <v>1.7000012655105323</v>
      </c>
      <c r="I28" s="5">
        <f t="shared" si="4"/>
        <v>1.70000191315079</v>
      </c>
      <c r="J28" s="5">
        <f t="shared" si="4"/>
        <v>1.7000018469077256</v>
      </c>
      <c r="K28" s="5">
        <f t="shared" si="4"/>
        <v>1.7000012362306078</v>
      </c>
      <c r="L28" s="5">
        <f t="shared" si="4"/>
        <v>1.6997548139631231</v>
      </c>
      <c r="M28" s="5">
        <f t="shared" si="4"/>
        <v>1.6999098417719458</v>
      </c>
      <c r="N28" s="5">
        <f t="shared" si="4"/>
        <v>1.6971626021910087</v>
      </c>
      <c r="O28" s="5">
        <f t="shared" si="4"/>
        <v>1.6776409610936753</v>
      </c>
      <c r="P28" s="5">
        <f t="shared" si="4"/>
        <v>1.6829990032479738</v>
      </c>
      <c r="Q28" s="5">
        <f t="shared" si="4"/>
        <v>1.6955771854532409</v>
      </c>
      <c r="R28" s="5">
        <f t="shared" si="4"/>
        <v>1.7000012106177416</v>
      </c>
      <c r="S28" s="5">
        <f t="shared" si="4"/>
        <v>1.7000012106177418</v>
      </c>
      <c r="T28" s="5">
        <f t="shared" si="4"/>
        <v>1.7000012106177413</v>
      </c>
      <c r="U28" s="5">
        <f t="shared" si="4"/>
        <v>1.700001210617742</v>
      </c>
      <c r="V28" s="5">
        <f t="shared" si="4"/>
        <v>1.7000011799350363</v>
      </c>
      <c r="W28" s="5">
        <f t="shared" si="4"/>
        <v>1.700001204481201</v>
      </c>
      <c r="X28" s="5">
        <f t="shared" si="4"/>
        <v>1.7000012032538925</v>
      </c>
      <c r="Y28" s="5">
        <f t="shared" si="4"/>
        <v>1.7000012017811226</v>
      </c>
      <c r="Z28" s="5">
        <f t="shared" si="4"/>
        <v>1.7000012000137992</v>
      </c>
      <c r="AA28" s="5">
        <f t="shared" si="4"/>
        <v>1.7000011978930103</v>
      </c>
      <c r="AB28" s="5">
        <f t="shared" si="4"/>
        <v>1.7000012014846051</v>
      </c>
      <c r="AC28" s="5">
        <f t="shared" si="4"/>
        <v>1.7000012008852863</v>
      </c>
      <c r="AD28" s="5">
        <f t="shared" si="4"/>
        <v>1.7000012004115646</v>
      </c>
    </row>
    <row r="29" spans="1:30">
      <c r="A29" s="2" t="s">
        <v>9</v>
      </c>
      <c r="B29" s="4">
        <f>SUM(B30:B32)</f>
        <v>1607200</v>
      </c>
      <c r="C29" s="4">
        <f t="shared" ref="C29:AD29" si="5">SUM(C30:C32)</f>
        <v>75529663</v>
      </c>
      <c r="D29" s="4">
        <f t="shared" si="5"/>
        <v>67203284</v>
      </c>
      <c r="E29" s="4">
        <f t="shared" si="5"/>
        <v>119420806</v>
      </c>
      <c r="F29" s="4">
        <f t="shared" si="5"/>
        <v>255124876</v>
      </c>
      <c r="G29" s="4">
        <f t="shared" si="5"/>
        <v>291745566</v>
      </c>
      <c r="H29" s="4">
        <f t="shared" si="5"/>
        <v>402596712</v>
      </c>
      <c r="I29" s="4">
        <f t="shared" si="5"/>
        <v>430431794</v>
      </c>
      <c r="J29" s="4">
        <f t="shared" si="5"/>
        <v>479190676</v>
      </c>
      <c r="K29" s="4">
        <f t="shared" si="5"/>
        <v>778334312</v>
      </c>
      <c r="L29" s="4">
        <f t="shared" si="5"/>
        <v>820831446</v>
      </c>
      <c r="M29" s="4">
        <f t="shared" si="5"/>
        <v>1331012577</v>
      </c>
      <c r="N29" s="4">
        <f t="shared" si="5"/>
        <v>2341014571</v>
      </c>
      <c r="O29" s="4">
        <f t="shared" si="5"/>
        <v>3950980817</v>
      </c>
      <c r="P29" s="4">
        <f t="shared" si="5"/>
        <v>5167113027</v>
      </c>
      <c r="Q29" s="4">
        <f t="shared" si="5"/>
        <v>4221012040.9187379</v>
      </c>
      <c r="R29" s="4">
        <f t="shared" si="5"/>
        <v>4444477618.2425241</v>
      </c>
      <c r="S29" s="4">
        <f t="shared" si="5"/>
        <v>4889274941.5968122</v>
      </c>
      <c r="T29" s="4">
        <f t="shared" si="5"/>
        <v>4979300900.4634285</v>
      </c>
      <c r="U29" s="4">
        <f t="shared" si="5"/>
        <v>5008685414.845787</v>
      </c>
      <c r="V29" s="4">
        <f t="shared" si="5"/>
        <v>5244400236.0857096</v>
      </c>
      <c r="W29" s="4">
        <f t="shared" si="5"/>
        <v>5693808621.4464035</v>
      </c>
      <c r="X29" s="4">
        <f t="shared" si="5"/>
        <v>6762682479.5093212</v>
      </c>
      <c r="Y29" s="4">
        <f t="shared" si="5"/>
        <v>6722326949.5327749</v>
      </c>
      <c r="Z29" s="4">
        <f t="shared" si="5"/>
        <v>6519621903.7350912</v>
      </c>
      <c r="AA29" s="4">
        <f t="shared" si="5"/>
        <v>6907027331.7747545</v>
      </c>
      <c r="AB29" s="4">
        <f t="shared" si="5"/>
        <v>7487805761.0670795</v>
      </c>
      <c r="AC29" s="4">
        <f t="shared" si="5"/>
        <v>8533913882.0061865</v>
      </c>
      <c r="AD29" s="4">
        <f t="shared" si="5"/>
        <v>9413972348.3107376</v>
      </c>
    </row>
    <row r="30" spans="1:30">
      <c r="A30" s="2" t="s">
        <v>10</v>
      </c>
      <c r="B30" s="3">
        <f>'D4 RIN Forecast'!B9</f>
        <v>0</v>
      </c>
      <c r="C30" s="3">
        <f>'D4 RIN Forecast'!C9</f>
        <v>210266</v>
      </c>
      <c r="D30" s="3">
        <f>'D4 RIN Forecast'!D9</f>
        <v>1438924</v>
      </c>
      <c r="E30" s="3">
        <f>'D4 RIN Forecast'!E9</f>
        <v>754403</v>
      </c>
      <c r="F30" s="3">
        <f>'D4 RIN Forecast'!F9</f>
        <v>307941</v>
      </c>
      <c r="G30" s="3">
        <f>'D4 RIN Forecast'!G9</f>
        <v>0</v>
      </c>
      <c r="H30" s="3">
        <f>'D4 RIN Forecast'!H9</f>
        <v>0</v>
      </c>
      <c r="I30" s="3">
        <f>'D4 RIN Forecast'!I9</f>
        <v>0</v>
      </c>
      <c r="J30" s="3">
        <f>'D4 RIN Forecast'!J9</f>
        <v>0</v>
      </c>
      <c r="K30" s="3">
        <f>'D4 RIN Forecast'!K9</f>
        <v>0</v>
      </c>
      <c r="L30" s="3">
        <f>'D4 RIN Forecast'!L9</f>
        <v>0</v>
      </c>
      <c r="M30" s="3">
        <f>'D4 RIN Forecast'!M9</f>
        <v>0</v>
      </c>
      <c r="N30" s="3">
        <f>'D4 RIN Forecast'!N9</f>
        <v>0</v>
      </c>
      <c r="O30" s="3">
        <f>'D4 RIN Forecast'!O9</f>
        <v>0</v>
      </c>
      <c r="P30" s="3">
        <f>'D4 RIN Forecast'!P9</f>
        <v>0</v>
      </c>
      <c r="Q30" s="3">
        <f>'D4 RIN Forecast'!Q9</f>
        <v>0</v>
      </c>
      <c r="R30" s="3">
        <f>'D4 RIN Forecast'!R9</f>
        <v>0</v>
      </c>
      <c r="S30" s="3">
        <f>'D4 RIN Forecast'!S9</f>
        <v>0</v>
      </c>
      <c r="T30" s="3">
        <f>'D4 RIN Forecast'!T9</f>
        <v>0</v>
      </c>
      <c r="U30" s="3">
        <f>'D4 RIN Forecast'!U9</f>
        <v>0</v>
      </c>
      <c r="V30" s="3">
        <f>'D4 RIN Forecast'!V9</f>
        <v>0</v>
      </c>
      <c r="W30" s="3">
        <f>'D4 RIN Forecast'!W9</f>
        <v>0</v>
      </c>
      <c r="X30" s="3">
        <f>'D4 RIN Forecast'!X9</f>
        <v>0</v>
      </c>
      <c r="Y30" s="3">
        <f>'D4 RIN Forecast'!Y9</f>
        <v>0</v>
      </c>
      <c r="Z30" s="3">
        <f>'D4 RIN Forecast'!Z9</f>
        <v>0</v>
      </c>
      <c r="AA30" s="3">
        <f>'D4 RIN Forecast'!AA9</f>
        <v>0</v>
      </c>
      <c r="AB30" s="3">
        <f>'D4 RIN Forecast'!AB9</f>
        <v>0</v>
      </c>
      <c r="AC30" s="3">
        <f>'D4 RIN Forecast'!AC9</f>
        <v>0</v>
      </c>
      <c r="AD30" s="3">
        <f>'D4 RIN Forecast'!AD9</f>
        <v>0</v>
      </c>
    </row>
    <row r="31" spans="1:30">
      <c r="A31" s="2" t="s">
        <v>11</v>
      </c>
      <c r="B31" s="3">
        <f>'D4 RIN Forecast'!B10</f>
        <v>384763</v>
      </c>
      <c r="C31" s="3">
        <f>'D4 RIN Forecast'!C10</f>
        <v>23827395</v>
      </c>
      <c r="D31" s="3">
        <f>'D4 RIN Forecast'!D10</f>
        <v>14995099</v>
      </c>
      <c r="E31" s="3">
        <f>'D4 RIN Forecast'!E10</f>
        <v>46259621</v>
      </c>
      <c r="F31" s="3">
        <f>'D4 RIN Forecast'!F10</f>
        <v>11930103</v>
      </c>
      <c r="G31" s="3">
        <f>'D4 RIN Forecast'!G10</f>
        <v>6877749</v>
      </c>
      <c r="H31" s="3">
        <f>'D4 RIN Forecast'!H10</f>
        <v>0</v>
      </c>
      <c r="I31" s="3">
        <f>'D4 RIN Forecast'!I10</f>
        <v>0</v>
      </c>
      <c r="J31" s="3">
        <f>'D4 RIN Forecast'!J10</f>
        <v>0</v>
      </c>
      <c r="K31" s="3">
        <f>'D4 RIN Forecast'!K10</f>
        <v>0</v>
      </c>
      <c r="L31" s="3">
        <f>'D4 RIN Forecast'!L10</f>
        <v>1905344</v>
      </c>
      <c r="M31" s="3">
        <f>'D4 RIN Forecast'!M10</f>
        <v>1140980</v>
      </c>
      <c r="N31" s="3">
        <f>'D4 RIN Forecast'!N10</f>
        <v>62634763</v>
      </c>
      <c r="O31" s="3">
        <f>'D4 RIN Forecast'!O10</f>
        <v>842541295</v>
      </c>
      <c r="P31" s="3">
        <f>'D4 RIN Forecast'!P10</f>
        <v>835162731</v>
      </c>
      <c r="Q31" s="3">
        <f>'D4 RIN Forecast'!Q10</f>
        <v>176204463</v>
      </c>
      <c r="R31" s="3">
        <f>'D4 RIN Forecast'!R10</f>
        <v>0</v>
      </c>
      <c r="S31" s="3">
        <f>'D4 RIN Forecast'!S10</f>
        <v>0</v>
      </c>
      <c r="T31" s="3">
        <f>'D4 RIN Forecast'!T10</f>
        <v>0</v>
      </c>
      <c r="U31" s="3">
        <f>'D4 RIN Forecast'!U10</f>
        <v>0</v>
      </c>
      <c r="V31" s="3">
        <f>'D4 RIN Forecast'!V10</f>
        <v>0</v>
      </c>
      <c r="W31" s="3">
        <f>'D4 RIN Forecast'!W10</f>
        <v>0</v>
      </c>
      <c r="X31" s="3">
        <f>'D4 RIN Forecast'!X10</f>
        <v>0</v>
      </c>
      <c r="Y31" s="3">
        <f>'D4 RIN Forecast'!Y10</f>
        <v>0</v>
      </c>
      <c r="Z31" s="3">
        <f>'D4 RIN Forecast'!Z10</f>
        <v>0</v>
      </c>
      <c r="AA31" s="3">
        <f>'D4 RIN Forecast'!AA10</f>
        <v>0</v>
      </c>
      <c r="AB31" s="3">
        <f>'D4 RIN Forecast'!AB10</f>
        <v>0</v>
      </c>
      <c r="AC31" s="3">
        <f>'D4 RIN Forecast'!AC10</f>
        <v>0</v>
      </c>
      <c r="AD31" s="3">
        <f>'D4 RIN Forecast'!AD10</f>
        <v>0</v>
      </c>
    </row>
    <row r="32" spans="1:30">
      <c r="A32" s="2" t="s">
        <v>12</v>
      </c>
      <c r="B32" s="3">
        <f>'D4 RIN Forecast'!B11</f>
        <v>1222437</v>
      </c>
      <c r="C32" s="3">
        <f>'D4 RIN Forecast'!C11</f>
        <v>51492002</v>
      </c>
      <c r="D32" s="3">
        <f>'D4 RIN Forecast'!D11</f>
        <v>50769261</v>
      </c>
      <c r="E32" s="3">
        <f>'D4 RIN Forecast'!E11</f>
        <v>72406782</v>
      </c>
      <c r="F32" s="3">
        <f>'D4 RIN Forecast'!F11</f>
        <v>242886832</v>
      </c>
      <c r="G32" s="3">
        <f>'D4 RIN Forecast'!G11</f>
        <v>284867817</v>
      </c>
      <c r="H32" s="3">
        <f>'D4 RIN Forecast'!H11</f>
        <v>402596712</v>
      </c>
      <c r="I32" s="3">
        <f>'D4 RIN Forecast'!I11</f>
        <v>430431794</v>
      </c>
      <c r="J32" s="3">
        <f>'D4 RIN Forecast'!J11</f>
        <v>479190676</v>
      </c>
      <c r="K32" s="3">
        <f>'D4 RIN Forecast'!K11</f>
        <v>778334312</v>
      </c>
      <c r="L32" s="3">
        <f>'D4 RIN Forecast'!L11</f>
        <v>818926102</v>
      </c>
      <c r="M32" s="3">
        <f>'D4 RIN Forecast'!M11</f>
        <v>1329871597</v>
      </c>
      <c r="N32" s="3">
        <f>'D4 RIN Forecast'!N11</f>
        <v>2278379808</v>
      </c>
      <c r="O32" s="3">
        <f>'D4 RIN Forecast'!O11</f>
        <v>3108439522</v>
      </c>
      <c r="P32" s="3">
        <f>'D4 RIN Forecast'!P11</f>
        <v>4331950296</v>
      </c>
      <c r="Q32" s="3">
        <f>'D4 RIN Forecast'!Q11</f>
        <v>4044807577.9187379</v>
      </c>
      <c r="R32" s="3">
        <f>'D4 RIN Forecast'!R11</f>
        <v>4444477618.2425241</v>
      </c>
      <c r="S32" s="3">
        <f>'D4 RIN Forecast'!S11</f>
        <v>4889274941.5968122</v>
      </c>
      <c r="T32" s="3">
        <f>'D4 RIN Forecast'!T11</f>
        <v>4979300900.4634285</v>
      </c>
      <c r="U32" s="3">
        <f>'D4 RIN Forecast'!U11</f>
        <v>5008685414.845787</v>
      </c>
      <c r="V32" s="3">
        <f>'D4 RIN Forecast'!V11</f>
        <v>5244400236.0857096</v>
      </c>
      <c r="W32" s="3">
        <f>'D4 RIN Forecast'!W11</f>
        <v>5693808621.4464035</v>
      </c>
      <c r="X32" s="3">
        <f>'D4 RIN Forecast'!X11</f>
        <v>6762682479.5093212</v>
      </c>
      <c r="Y32" s="3">
        <f>'D4 RIN Forecast'!Y11</f>
        <v>6722326949.5327749</v>
      </c>
      <c r="Z32" s="3">
        <f>'D4 RIN Forecast'!Z11</f>
        <v>6519621903.7350912</v>
      </c>
      <c r="AA32" s="3">
        <f>'D4 RIN Forecast'!AA11</f>
        <v>6907027331.7747545</v>
      </c>
      <c r="AB32" s="3">
        <f>'D4 RIN Forecast'!AB11</f>
        <v>7487805761.0670795</v>
      </c>
      <c r="AC32" s="3">
        <f>'D4 RIN Forecast'!AC11</f>
        <v>8533913882.0061865</v>
      </c>
      <c r="AD32" s="3">
        <f>'D4 RIN Forecast'!AD11</f>
        <v>9413972348.3107376</v>
      </c>
    </row>
    <row r="33" spans="1:30">
      <c r="A33" s="2" t="s">
        <v>13</v>
      </c>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spans="1:30">
      <c r="A34" s="2" t="s">
        <v>14</v>
      </c>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spans="1:30">
      <c r="A35" s="2" t="s">
        <v>15</v>
      </c>
      <c r="B35" s="5"/>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spans="1:30">
      <c r="A36" s="2" t="s">
        <v>16</v>
      </c>
      <c r="B36" s="5"/>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spans="1:30">
      <c r="A37" s="2" t="s">
        <v>17</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spans="1:30">
      <c r="A38" s="2" t="s">
        <v>18</v>
      </c>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spans="1:30">
      <c r="A39" s="2" t="s">
        <v>19</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spans="1:30">
      <c r="A40" s="2" t="s">
        <v>20</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spans="1:30">
      <c r="A41" s="2" t="s">
        <v>21</v>
      </c>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spans="1:30">
      <c r="A42" s="2" t="s">
        <v>22</v>
      </c>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spans="1:30">
      <c r="A43" s="2" t="s">
        <v>23</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spans="1:30">
      <c r="A44" s="2" t="s">
        <v>3</v>
      </c>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spans="1:30">
      <c r="A45" s="2" t="s">
        <v>4</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spans="1:30">
      <c r="A46" s="2" t="s">
        <v>24</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spans="1:30">
      <c r="A47" s="2" t="s">
        <v>3</v>
      </c>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spans="1:30">
      <c r="A48" s="2" t="s">
        <v>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spans="1:30">
      <c r="A49" s="2" t="s">
        <v>25</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spans="1:30">
      <c r="A50" s="2" t="s">
        <v>3</v>
      </c>
    </row>
    <row r="51" spans="1:30">
      <c r="A51" s="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56C5-641E-47CF-9FE9-252AF3F083D0}">
  <dimension ref="A1:AG19"/>
  <sheetViews>
    <sheetView workbookViewId="0">
      <pane xSplit="1" ySplit="1" topLeftCell="P2" activePane="bottomRight" state="frozen"/>
      <selection activeCell="A9" sqref="A9"/>
      <selection pane="topRight" activeCell="A9" sqref="A9"/>
      <selection pane="bottomLeft" activeCell="A9" sqref="A9"/>
      <selection pane="bottomRight" activeCell="A9" sqref="A9"/>
    </sheetView>
  </sheetViews>
  <sheetFormatPr defaultColWidth="9.140625" defaultRowHeight="14.25"/>
  <cols>
    <col min="1" max="1" width="22.140625" style="6" customWidth="1"/>
    <col min="2" max="7" width="15" style="6" hidden="1" customWidth="1"/>
    <col min="8" max="8" width="15" style="6" bestFit="1" customWidth="1"/>
    <col min="9" max="9" width="16.140625" style="6" bestFit="1" customWidth="1"/>
    <col min="10" max="33" width="15" style="6" bestFit="1" customWidth="1"/>
    <col min="34" max="16384" width="9.140625" style="6"/>
  </cols>
  <sheetData>
    <row r="1" spans="1:33">
      <c r="B1" s="6">
        <f>'D4 Gallon Forecast'!B2</f>
        <v>2010</v>
      </c>
      <c r="C1" s="6">
        <f>'D4 Gallon Forecast'!C2</f>
        <v>2011</v>
      </c>
      <c r="D1" s="6">
        <f>'D4 Gallon Forecast'!D2</f>
        <v>2012</v>
      </c>
      <c r="E1" s="6">
        <f>'D4 Gallon Forecast'!E2</f>
        <v>2013</v>
      </c>
      <c r="F1" s="6">
        <f>'D4 Gallon Forecast'!F2</f>
        <v>2014</v>
      </c>
      <c r="G1" s="6">
        <f>'D4 Gallon Forecast'!G2</f>
        <v>2015</v>
      </c>
      <c r="H1" s="6">
        <f>'D4 Gallon Forecast'!H2</f>
        <v>2016</v>
      </c>
      <c r="I1" s="6">
        <f>'D4 Gallon Forecast'!I2</f>
        <v>2017</v>
      </c>
      <c r="J1" s="6">
        <f>'D4 Gallon Forecast'!J2</f>
        <v>2018</v>
      </c>
      <c r="K1" s="6">
        <f>'D4 Gallon Forecast'!K2</f>
        <v>2019</v>
      </c>
      <c r="L1" s="6">
        <f>'D4 Gallon Forecast'!L2</f>
        <v>2020</v>
      </c>
      <c r="M1" s="6">
        <f>'D4 Gallon Forecast'!M2</f>
        <v>2021</v>
      </c>
      <c r="N1" s="6">
        <f>'D4 Gallon Forecast'!N2</f>
        <v>2022</v>
      </c>
      <c r="O1" s="6">
        <f>'D4 Gallon Forecast'!O2</f>
        <v>2023</v>
      </c>
      <c r="P1" s="6">
        <f>'D4 Gallon Forecast'!P2</f>
        <v>2024</v>
      </c>
      <c r="Q1" s="6" t="s">
        <v>26</v>
      </c>
      <c r="R1" s="6" t="s">
        <v>27</v>
      </c>
      <c r="S1" s="6" t="s">
        <v>28</v>
      </c>
      <c r="T1" s="6">
        <f>'D4 Gallon Forecast'!T2</f>
        <v>2028</v>
      </c>
      <c r="U1" s="6">
        <f>'D4 Gallon Forecast'!U2</f>
        <v>2029</v>
      </c>
      <c r="V1" s="6">
        <f>'D4 Gallon Forecast'!V2</f>
        <v>2030</v>
      </c>
      <c r="W1" s="6">
        <f>'D4 Gallon Forecast'!W2</f>
        <v>2031</v>
      </c>
      <c r="X1" s="6">
        <f>'D4 Gallon Forecast'!X2</f>
        <v>2032</v>
      </c>
      <c r="Y1" s="6">
        <f>'D4 Gallon Forecast'!Y2</f>
        <v>2033</v>
      </c>
      <c r="Z1" s="6">
        <f>'D4 Gallon Forecast'!Z2</f>
        <v>2034</v>
      </c>
      <c r="AA1" s="6">
        <f>'D4 Gallon Forecast'!AA2</f>
        <v>2035</v>
      </c>
      <c r="AB1" s="6">
        <f>'D4 Gallon Forecast'!AB2</f>
        <v>2036</v>
      </c>
      <c r="AC1" s="6">
        <f>'D4 Gallon Forecast'!AC2</f>
        <v>2037</v>
      </c>
      <c r="AD1" s="6">
        <f>'D4 Gallon Forecast'!AD2</f>
        <v>2038</v>
      </c>
      <c r="AE1" s="6">
        <f>'D4 Gallon Forecast'!AE2</f>
        <v>2039</v>
      </c>
      <c r="AF1" s="6">
        <f>'D4 Gallon Forecast'!AF2</f>
        <v>2040</v>
      </c>
      <c r="AG1" s="6">
        <f>'D4 Gallon Forecast'!AG2</f>
        <v>2041</v>
      </c>
    </row>
    <row r="2" spans="1:33">
      <c r="A2" s="6" t="s">
        <v>2</v>
      </c>
      <c r="B2" s="3">
        <f>'D3 RIN Forecast'!B15</f>
        <v>0</v>
      </c>
      <c r="C2" s="3">
        <f>'D3 RIN Forecast'!C15</f>
        <v>0</v>
      </c>
      <c r="D2" s="3">
        <f>'D3 RIN Forecast'!D15</f>
        <v>20069</v>
      </c>
      <c r="E2" s="3">
        <f>'D3 RIN Forecast'!E15</f>
        <v>422740</v>
      </c>
      <c r="F2" s="3">
        <f>'D3 RIN Forecast'!F15</f>
        <v>33360560</v>
      </c>
      <c r="G2" s="3">
        <f>'D3 RIN Forecast'!G15</f>
        <v>142040241</v>
      </c>
      <c r="H2" s="3">
        <f>'D3 RIN Forecast'!H15</f>
        <v>192361795</v>
      </c>
      <c r="I2" s="3">
        <f>'D3 RIN Forecast'!I15</f>
        <v>250624473</v>
      </c>
      <c r="J2" s="3">
        <f>'D3 RIN Forecast'!J15</f>
        <v>312348198</v>
      </c>
      <c r="K2" s="3">
        <f>'D3 RIN Forecast'!K15</f>
        <v>414122810</v>
      </c>
      <c r="L2" s="3">
        <f>'D3 RIN Forecast'!L15</f>
        <v>505872211</v>
      </c>
      <c r="M2" s="3">
        <f>'D3 RIN Forecast'!M15</f>
        <v>568414154</v>
      </c>
      <c r="N2" s="3">
        <f>'D3 RIN Forecast'!N15</f>
        <v>668618747</v>
      </c>
      <c r="O2" s="3">
        <f>'D3 RIN Forecast'!O15</f>
        <v>704232859</v>
      </c>
      <c r="P2" s="3">
        <f>'D3 RIN Forecast'!P15</f>
        <v>921163090</v>
      </c>
      <c r="Q2" s="3">
        <f>'D3 RIN Forecast'!Q15</f>
        <v>642893076.81687927</v>
      </c>
      <c r="R2" s="3">
        <f>'D3 RIN Forecast'!R15</f>
        <v>772558826.29679656</v>
      </c>
      <c r="S2" s="3">
        <f>'D3 RIN Forecast'!S15</f>
        <v>775384939.27208924</v>
      </c>
      <c r="T2" s="3">
        <f>'D3 RIN Forecast'!T15</f>
        <v>822873120.59585667</v>
      </c>
      <c r="U2" s="3">
        <f>'D3 RIN Forecast'!U15</f>
        <v>889247611.70624554</v>
      </c>
      <c r="V2" s="3">
        <f>'D3 RIN Forecast'!V15</f>
        <v>1002672360.7283525</v>
      </c>
      <c r="W2" s="3">
        <f>'D3 RIN Forecast'!W15</f>
        <v>1066474459.0683435</v>
      </c>
      <c r="X2" s="3">
        <f>'D3 RIN Forecast'!X15</f>
        <v>1177139741.306216</v>
      </c>
      <c r="Y2" s="3">
        <f>'D3 RIN Forecast'!Y15</f>
        <v>1357409485.3158479</v>
      </c>
      <c r="Z2" s="3">
        <f>'D3 RIN Forecast'!Z15</f>
        <v>1531826069.9641216</v>
      </c>
      <c r="AA2" s="3">
        <f>'D3 RIN Forecast'!AA15</f>
        <v>1731877156.6922889</v>
      </c>
      <c r="AB2" s="3">
        <f>'D3 RIN Forecast'!AB15</f>
        <v>1978592899.6411026</v>
      </c>
      <c r="AC2" s="3">
        <f>'D3 RIN Forecast'!AC15</f>
        <v>2248581266.9977798</v>
      </c>
      <c r="AD2" s="3">
        <f>'D3 RIN Forecast'!AD15</f>
        <v>2538390493.6344814</v>
      </c>
      <c r="AE2" s="3">
        <f>'D3 RIN Forecast'!AE15</f>
        <v>2864803464.6798182</v>
      </c>
      <c r="AF2" s="3">
        <f>'D3 RIN Forecast'!AF15</f>
        <v>3220144119.3196259</v>
      </c>
      <c r="AG2" s="3">
        <f>'D3 RIN Forecast'!AG15</f>
        <v>3599899839.9662867</v>
      </c>
    </row>
    <row r="3" spans="1:33">
      <c r="A3" s="6" t="s">
        <v>5</v>
      </c>
      <c r="B3" s="3">
        <f>'D4 RIN Forecast'!B27</f>
        <v>323276448</v>
      </c>
      <c r="C3" s="3">
        <f>'D4 RIN Forecast'!C27</f>
        <v>1691614024</v>
      </c>
      <c r="D3" s="3">
        <f>'D4 RIN Forecast'!D27</f>
        <v>1737333997</v>
      </c>
      <c r="E3" s="3">
        <f>'D4 RIN Forecast'!E27</f>
        <v>2740474431</v>
      </c>
      <c r="F3" s="3">
        <f>'D4 RIN Forecast'!F27</f>
        <v>2709972461</v>
      </c>
      <c r="G3" s="3">
        <f>'D4 RIN Forecast'!G27</f>
        <v>2795798365</v>
      </c>
      <c r="H3" s="3">
        <f>'D4 RIN Forecast'!H27</f>
        <v>4008319745</v>
      </c>
      <c r="I3" s="3">
        <f>'D4 RIN Forecast'!I27</f>
        <v>3848913464</v>
      </c>
      <c r="J3" s="3">
        <f>'D4 RIN Forecast'!J27</f>
        <v>3873220242</v>
      </c>
      <c r="K3" s="3">
        <f>'D4 RIN Forecast'!K27</f>
        <v>4146607014</v>
      </c>
      <c r="L3" s="3">
        <f>'D4 RIN Forecast'!L27</f>
        <v>4490232144</v>
      </c>
      <c r="M3" s="3">
        <f>'D4 RIN Forecast'!M27</f>
        <v>4872998352</v>
      </c>
      <c r="N3" s="3">
        <f>'D4 RIN Forecast'!N27</f>
        <v>5786573550</v>
      </c>
      <c r="O3" s="3">
        <f>'D4 RIN Forecast'!O27</f>
        <v>7964744893</v>
      </c>
      <c r="P3" s="3">
        <f>'D4 RIN Forecast'!P27</f>
        <v>9158971248</v>
      </c>
      <c r="Q3" s="3">
        <f>'D4 RIN Forecast'!Q27</f>
        <v>7801222920.4370031</v>
      </c>
      <c r="R3" s="3">
        <f>'D4 RIN Forecast'!R27</f>
        <v>8190474675.8414841</v>
      </c>
      <c r="S3" s="3">
        <f>'D4 RIN Forecast'!S27</f>
        <v>10042102421.456932</v>
      </c>
      <c r="T3" s="3">
        <f>'D4 RIN Forecast'!T27</f>
        <v>10369112158.055702</v>
      </c>
      <c r="U3" s="3">
        <f>'D4 RIN Forecast'!U27</f>
        <v>11515560949.812984</v>
      </c>
      <c r="V3" s="3">
        <f>'D4 RIN Forecast'!V27</f>
        <v>13091355953.478685</v>
      </c>
      <c r="W3" s="3">
        <f>'D4 RIN Forecast'!W27</f>
        <v>14302839812.952204</v>
      </c>
      <c r="X3" s="3">
        <f>'D4 RIN Forecast'!X27</f>
        <v>16925272923.298357</v>
      </c>
      <c r="Y3" s="3">
        <f>'D4 RIN Forecast'!Y27</f>
        <v>17054293465.767179</v>
      </c>
      <c r="Z3" s="3">
        <f>'D4 RIN Forecast'!Z27</f>
        <v>17458646366.554054</v>
      </c>
      <c r="AA3" s="3">
        <f>'D4 RIN Forecast'!AA27</f>
        <v>18122106451.580467</v>
      </c>
      <c r="AB3" s="3">
        <f>'D4 RIN Forecast'!AB27</f>
        <v>16196368760.592476</v>
      </c>
      <c r="AC3" s="3">
        <f>'D4 RIN Forecast'!AC27</f>
        <v>17482035762.964138</v>
      </c>
      <c r="AD3" s="3">
        <f>'D4 RIN Forecast'!AD27</f>
        <v>19222469102.937489</v>
      </c>
      <c r="AE3" s="3">
        <f>'D4 RIN Forecast'!AE27</f>
        <v>18967602448.98399</v>
      </c>
      <c r="AF3" s="3">
        <f>'D4 RIN Forecast'!AF27</f>
        <v>17318512544.570343</v>
      </c>
      <c r="AG3" s="3">
        <f>'D4 RIN Forecast'!AG27</f>
        <v>18235400658.478004</v>
      </c>
    </row>
    <row r="4" spans="1:33">
      <c r="A4" s="6" t="s">
        <v>23</v>
      </c>
      <c r="B4" s="3">
        <f>'D5 RIN Forecast'!B28</f>
        <v>28611632</v>
      </c>
      <c r="C4" s="3">
        <f>'D5 RIN Forecast'!C28</f>
        <v>228558018</v>
      </c>
      <c r="D4" s="3">
        <f>'D5 RIN Forecast'!D28</f>
        <v>627072689</v>
      </c>
      <c r="E4" s="3">
        <f>'D5 RIN Forecast'!E28</f>
        <v>557824688</v>
      </c>
      <c r="F4" s="3">
        <f>'D5 RIN Forecast'!F28</f>
        <v>143540533</v>
      </c>
      <c r="G4" s="3">
        <f>'D5 RIN Forecast'!G28</f>
        <v>147091443</v>
      </c>
      <c r="H4" s="3">
        <f>'D5 RIN Forecast'!H28</f>
        <v>98103017</v>
      </c>
      <c r="I4" s="3">
        <f>'D5 RIN Forecast'!I28</f>
        <v>143646572</v>
      </c>
      <c r="J4" s="3">
        <f>'D5 RIN Forecast'!J28</f>
        <v>179304816</v>
      </c>
      <c r="K4" s="3">
        <f>'D5 RIN Forecast'!K28</f>
        <v>322343569</v>
      </c>
      <c r="L4" s="3">
        <f>'D5 RIN Forecast'!L28</f>
        <v>335236581</v>
      </c>
      <c r="M4" s="3">
        <f>'D5 RIN Forecast'!M28</f>
        <v>233872099</v>
      </c>
      <c r="N4" s="3">
        <f>'D5 RIN Forecast'!N28</f>
        <v>342763665</v>
      </c>
      <c r="O4" s="3">
        <f>'D5 RIN Forecast'!O28</f>
        <v>262944960</v>
      </c>
      <c r="P4" s="3">
        <f>'D5 RIN Forecast'!P28</f>
        <v>243155929</v>
      </c>
      <c r="Q4" s="3">
        <f>'D5 RIN Forecast'!Q28</f>
        <v>273837991.68352491</v>
      </c>
      <c r="R4" s="3">
        <f>'D5 RIN Forecast'!R28</f>
        <v>309320703.17245978</v>
      </c>
      <c r="S4" s="3">
        <f>'D5 RIN Forecast'!S28</f>
        <v>346197716.49990416</v>
      </c>
      <c r="T4" s="3">
        <f>'D5 RIN Forecast'!T28</f>
        <v>363560148.16802132</v>
      </c>
      <c r="U4" s="3">
        <f>'D5 RIN Forecast'!U28</f>
        <v>0</v>
      </c>
      <c r="V4" s="3">
        <f>'D5 RIN Forecast'!V28</f>
        <v>0</v>
      </c>
      <c r="W4" s="3">
        <f>'D5 RIN Forecast'!W28</f>
        <v>0</v>
      </c>
      <c r="X4" s="3" t="str">
        <f>'D5 RIN Forecast'!X28</f>
        <v>Total D5 Production</v>
      </c>
      <c r="Y4" s="3">
        <f>'D5 RIN Forecast'!Y28</f>
        <v>1.1514177113465791</v>
      </c>
      <c r="Z4" s="3">
        <f>'D5 RIN Forecast'!Z28</f>
        <v>1.1152682429707697</v>
      </c>
      <c r="AA4" s="3">
        <f>'D5 RIN Forecast'!AA28</f>
        <v>1.1876369951823902</v>
      </c>
      <c r="AB4" s="3">
        <f>'D5 RIN Forecast'!AB28</f>
        <v>1.1323530125705108</v>
      </c>
      <c r="AC4" s="3">
        <f>'D5 RIN Forecast'!AC28</f>
        <v>1.1657382399748384</v>
      </c>
      <c r="AD4" s="3">
        <f>'D5 RIN Forecast'!AD28</f>
        <v>1.3136034251181548</v>
      </c>
      <c r="AE4" s="3">
        <f>'D5 RIN Forecast'!AE28</f>
        <v>1.3368411934823627</v>
      </c>
      <c r="AF4" s="3">
        <f>'D5 RIN Forecast'!AF28</f>
        <v>1.4259683792080682</v>
      </c>
      <c r="AG4" s="3">
        <f>'D5 RIN Forecast'!AG28</f>
        <v>1.4766142943405636</v>
      </c>
    </row>
    <row r="5" spans="1:33">
      <c r="A5" s="6" t="s">
        <v>24</v>
      </c>
      <c r="B5" s="3">
        <f>'D6 RIN Forecast'!B23</f>
        <v>6796087849</v>
      </c>
      <c r="C5" s="3">
        <f>'D6 RIN Forecast'!C23</f>
        <v>13615315697</v>
      </c>
      <c r="D5" s="3">
        <f>'D6 RIN Forecast'!D23</f>
        <v>12987841601</v>
      </c>
      <c r="E5" s="3">
        <f>'D6 RIN Forecast'!E23</f>
        <v>13350511585</v>
      </c>
      <c r="F5" s="3">
        <f>'D6 RIN Forecast'!F23</f>
        <v>14359064491</v>
      </c>
      <c r="G5" s="3">
        <f>'D6 RIN Forecast'!G23</f>
        <v>14845902013</v>
      </c>
      <c r="H5" s="3">
        <f>'D6 RIN Forecast'!H23</f>
        <v>15175717036</v>
      </c>
      <c r="I5" s="3">
        <f>'D6 RIN Forecast'!I23</f>
        <v>15109202482</v>
      </c>
      <c r="J5" s="3">
        <f>'D6 RIN Forecast'!J23</f>
        <v>15148806254</v>
      </c>
      <c r="K5" s="3">
        <f>'D6 RIN Forecast'!K23</f>
        <v>14928211250</v>
      </c>
      <c r="L5" s="3">
        <f>'D6 RIN Forecast'!L23</f>
        <v>12986850360</v>
      </c>
      <c r="M5" s="3">
        <f>'D6 RIN Forecast'!M23</f>
        <v>14258274476</v>
      </c>
      <c r="N5" s="3">
        <f>'D6 RIN Forecast'!N23</f>
        <v>14542634779</v>
      </c>
      <c r="O5" s="3">
        <f>'D6 RIN Forecast'!O23</f>
        <v>14794782637</v>
      </c>
      <c r="P5" s="3">
        <f>'D6 RIN Forecast'!P23</f>
        <v>14890536490</v>
      </c>
      <c r="Q5" s="3">
        <f>'D6 RIN Forecast'!Q23</f>
        <v>14599509898.419432</v>
      </c>
      <c r="R5" s="3">
        <f>'D6 RIN Forecast'!R23</f>
        <v>14672198594.498865</v>
      </c>
      <c r="S5" s="3">
        <f>'D6 RIN Forecast'!S23</f>
        <v>14705183737.183979</v>
      </c>
      <c r="T5" s="3">
        <f>'D6 RIN Forecast'!T23</f>
        <v>14852088905.676376</v>
      </c>
      <c r="U5" s="3">
        <f>'D6 RIN Forecast'!U23</f>
        <v>14964224989.19911</v>
      </c>
      <c r="V5" s="3">
        <f>'D6 RIN Forecast'!V23</f>
        <v>15063141020.846504</v>
      </c>
      <c r="W5" s="3">
        <f>'D6 RIN Forecast'!W23</f>
        <v>15223779115.625599</v>
      </c>
      <c r="X5" s="3">
        <f>'D6 RIN Forecast'!X23</f>
        <v>15337027204.23543</v>
      </c>
      <c r="Y5" s="3">
        <f>'D6 RIN Forecast'!Y23</f>
        <v>15466143705.432802</v>
      </c>
      <c r="Z5" s="3">
        <f>'D6 RIN Forecast'!Z23</f>
        <v>15591756913.789204</v>
      </c>
      <c r="AA5" s="3">
        <f>'D6 RIN Forecast'!AA23</f>
        <v>95753853</v>
      </c>
      <c r="AB5" s="3" t="str">
        <f>'D6 RIN Forecast'!AC23</f>
        <v>Total D6 Production</v>
      </c>
      <c r="AC5" s="3">
        <f>'D6 RIN Forecast'!AD23</f>
        <v>1.0009219424974247</v>
      </c>
      <c r="AD5" s="3">
        <f>'D6 RIN Forecast'!AE23</f>
        <v>1.0001532475449371</v>
      </c>
      <c r="AE5" s="3">
        <f>'D6 RIN Forecast'!AF23</f>
        <v>1.0000287077495154</v>
      </c>
      <c r="AF5" s="3">
        <f>'D6 RIN Forecast'!AG23</f>
        <v>1.0074895525818168</v>
      </c>
      <c r="AG5" s="3">
        <f>'D6 RIN Forecast'!AH23</f>
        <v>1.0093182939213645</v>
      </c>
    </row>
    <row r="6" spans="1:33">
      <c r="A6" s="6" t="s">
        <v>25</v>
      </c>
      <c r="B6" s="3">
        <f>'D7 RIN Forecast'!B13</f>
        <v>0</v>
      </c>
      <c r="C6" s="3">
        <f>'D7 RIN Forecast'!C13</f>
        <v>0</v>
      </c>
      <c r="D6" s="3">
        <f>'D7 RIN Forecast'!D13</f>
        <v>1741</v>
      </c>
      <c r="E6" s="3">
        <f>'D7 RIN Forecast'!E13</f>
        <v>395777</v>
      </c>
      <c r="F6" s="3">
        <f>'D7 RIN Forecast'!F13</f>
        <v>59305</v>
      </c>
      <c r="G6" s="3">
        <f>'D7 RIN Forecast'!G13</f>
        <v>275315</v>
      </c>
      <c r="H6" s="3">
        <f>'D7 RIN Forecast'!H13</f>
        <v>534429</v>
      </c>
      <c r="I6" s="3">
        <f>'D7 RIN Forecast'!I13</f>
        <v>1743894</v>
      </c>
      <c r="J6" s="3">
        <f>'D7 RIN Forecast'!J13</f>
        <v>2451256</v>
      </c>
      <c r="K6" s="3">
        <f>'D7 RIN Forecast'!K13</f>
        <v>1315943</v>
      </c>
      <c r="L6" s="3">
        <f>'D7 RIN Forecast'!L13</f>
        <v>55892</v>
      </c>
      <c r="M6" s="3">
        <f>'D7 RIN Forecast'!M13</f>
        <v>247518</v>
      </c>
      <c r="N6" s="3">
        <f>'D7 RIN Forecast'!N13</f>
        <v>236352</v>
      </c>
      <c r="O6" s="3">
        <f>'D7 RIN Forecast'!O13</f>
        <v>208643</v>
      </c>
      <c r="P6" s="3">
        <f>'D7 RIN Forecast'!P13</f>
        <v>227964</v>
      </c>
      <c r="Q6" s="3">
        <f>'D7 RIN Forecast'!Q13</f>
        <v>217777.54330304067</v>
      </c>
      <c r="R6" s="3">
        <f>'D7 RIN Forecast'!R13</f>
        <v>271355.95510375156</v>
      </c>
      <c r="S6" s="3">
        <f>'D7 RIN Forecast'!S13</f>
        <v>243199.40853268403</v>
      </c>
      <c r="T6" s="3">
        <f>'D7 RIN Forecast'!T13</f>
        <v>255430.73105401031</v>
      </c>
      <c r="U6" s="3">
        <f>'D7 RIN Forecast'!U13</f>
        <v>270722.62108412059</v>
      </c>
      <c r="V6" s="3">
        <f>'D7 RIN Forecast'!V13</f>
        <v>277604.61649797851</v>
      </c>
      <c r="W6" s="3">
        <f>'D7 RIN Forecast'!W13</f>
        <v>286967.53123964183</v>
      </c>
      <c r="X6" s="3">
        <f>'D7 RIN Forecast'!X13</f>
        <v>287203.35004590912</v>
      </c>
      <c r="Y6" s="3">
        <f>'D7 RIN Forecast'!Y13</f>
        <v>302339.25342940795</v>
      </c>
      <c r="Z6" s="3">
        <f>'D7 RIN Forecast'!Z13</f>
        <v>309379.45524224662</v>
      </c>
      <c r="AA6" s="3">
        <f>'D7 RIN Forecast'!AA13</f>
        <v>0</v>
      </c>
      <c r="AB6" s="3" t="str">
        <f>'D7 RIN Forecast'!AB13</f>
        <v>Total D7 Production</v>
      </c>
      <c r="AC6" s="3" t="e">
        <f>'D7 RIN Forecast'!AC13</f>
        <v>#DIV/0!</v>
      </c>
      <c r="AD6" s="3" t="e">
        <f>'D7 RIN Forecast'!AD13</f>
        <v>#DIV/0!</v>
      </c>
      <c r="AE6" s="3">
        <f>'D7 RIN Forecast'!AE13</f>
        <v>1.7001953125</v>
      </c>
      <c r="AF6" s="3">
        <f>'D7 RIN Forecast'!AF13</f>
        <v>1.7000146043091302</v>
      </c>
      <c r="AG6" s="3">
        <f>'D7 RIN Forecast'!AG13</f>
        <v>1.06554431607884</v>
      </c>
    </row>
    <row r="7" spans="1:33" ht="16.5">
      <c r="A7" s="6" t="s">
        <v>29</v>
      </c>
      <c r="B7" s="7">
        <f>SUM(B2:B6)</f>
        <v>7147975929</v>
      </c>
      <c r="C7" s="7">
        <f t="shared" ref="C7:AG7" si="0">SUM(C2:C6)</f>
        <v>15535487739</v>
      </c>
      <c r="D7" s="7">
        <f t="shared" si="0"/>
        <v>15352270097</v>
      </c>
      <c r="E7" s="7">
        <f t="shared" si="0"/>
        <v>16649629221</v>
      </c>
      <c r="F7" s="7">
        <f t="shared" si="0"/>
        <v>17245997350</v>
      </c>
      <c r="G7" s="7">
        <f t="shared" si="0"/>
        <v>17931107377</v>
      </c>
      <c r="H7" s="7">
        <f t="shared" si="0"/>
        <v>19475036022</v>
      </c>
      <c r="I7" s="7">
        <f t="shared" si="0"/>
        <v>19354130885</v>
      </c>
      <c r="J7" s="7">
        <f t="shared" si="0"/>
        <v>19516130766</v>
      </c>
      <c r="K7" s="7">
        <f t="shared" si="0"/>
        <v>19812600586</v>
      </c>
      <c r="L7" s="7">
        <f t="shared" si="0"/>
        <v>18318247188</v>
      </c>
      <c r="M7" s="7">
        <f t="shared" si="0"/>
        <v>19933806599</v>
      </c>
      <c r="N7" s="7">
        <f t="shared" si="0"/>
        <v>21340827093</v>
      </c>
      <c r="O7" s="7">
        <f t="shared" si="0"/>
        <v>23726913992</v>
      </c>
      <c r="P7" s="7">
        <f t="shared" si="0"/>
        <v>25214054721</v>
      </c>
      <c r="Q7" s="7">
        <f t="shared" si="0"/>
        <v>23317681664.900143</v>
      </c>
      <c r="R7" s="7">
        <f t="shared" si="0"/>
        <v>23944824155.764713</v>
      </c>
      <c r="S7" s="7">
        <f t="shared" si="0"/>
        <v>25869112013.821434</v>
      </c>
      <c r="T7" s="7">
        <f t="shared" si="0"/>
        <v>26407889763.227009</v>
      </c>
      <c r="U7" s="7">
        <f t="shared" si="0"/>
        <v>27369304273.33942</v>
      </c>
      <c r="V7" s="7">
        <f t="shared" si="0"/>
        <v>29157446939.67004</v>
      </c>
      <c r="W7" s="7">
        <f t="shared" si="0"/>
        <v>30593380355.177387</v>
      </c>
      <c r="X7" s="7">
        <f t="shared" si="0"/>
        <v>33439727072.190048</v>
      </c>
      <c r="Y7" s="7">
        <f t="shared" si="0"/>
        <v>33878148996.920673</v>
      </c>
      <c r="Z7" s="7">
        <f t="shared" si="0"/>
        <v>34582538730.877899</v>
      </c>
      <c r="AA7" s="7">
        <f t="shared" si="0"/>
        <v>19949737462.460392</v>
      </c>
      <c r="AB7" s="7">
        <f t="shared" si="0"/>
        <v>18174961661.365932</v>
      </c>
      <c r="AC7" s="7" t="e">
        <f t="shared" si="0"/>
        <v>#DIV/0!</v>
      </c>
      <c r="AD7" s="7" t="e">
        <f t="shared" si="0"/>
        <v>#DIV/0!</v>
      </c>
      <c r="AE7" s="7">
        <f t="shared" si="0"/>
        <v>21832405917.700874</v>
      </c>
      <c r="AF7" s="7">
        <f t="shared" si="0"/>
        <v>20538656668.023441</v>
      </c>
      <c r="AG7" s="7">
        <f t="shared" si="0"/>
        <v>21835300501.99577</v>
      </c>
    </row>
    <row r="10" spans="1:33">
      <c r="A10" s="6" t="s">
        <v>30</v>
      </c>
      <c r="H10" s="8" t="s">
        <v>31</v>
      </c>
    </row>
    <row r="11" spans="1:33">
      <c r="A11" s="6" t="s">
        <v>2</v>
      </c>
      <c r="C11" s="3">
        <f>'[1]RVO Forecast'!B$14</f>
        <v>0</v>
      </c>
      <c r="D11" s="3">
        <f>'[1]RVO Forecast'!C$14</f>
        <v>0</v>
      </c>
      <c r="E11" s="3">
        <f>'[1]RVO Forecast'!D$14</f>
        <v>800000</v>
      </c>
      <c r="F11" s="3">
        <f>'[1]RVO Forecast'!E$14</f>
        <v>33000000</v>
      </c>
      <c r="G11" s="3">
        <f>'[1]RVO Forecast'!F$14</f>
        <v>123000000</v>
      </c>
      <c r="H11" s="9">
        <f>'[1]RVO Forecast'!G$14</f>
        <v>230000000</v>
      </c>
      <c r="I11" s="9">
        <f>'[1]RVO Forecast'!H$14</f>
        <v>311000000</v>
      </c>
      <c r="J11" s="9">
        <f>'[2]10 Year RFS Curves (2020)'!C$17*1000000000</f>
        <v>288000000</v>
      </c>
      <c r="K11" s="9">
        <f>'[2]10 Year RFS Curves (2020)'!D$17*1000000000</f>
        <v>418000000</v>
      </c>
      <c r="L11" s="9">
        <f>'[2]10 Year RFS Curves (2020)'!E$17*1000000000</f>
        <v>510000000</v>
      </c>
      <c r="M11" s="9">
        <f>'[2]10 Year RFS Curves (2020)'!F$17*1000000000</f>
        <v>560000000</v>
      </c>
      <c r="N11" s="9">
        <f>'[2]10 Year RFS Curves (2020)'!G$17*1000000000</f>
        <v>630000000</v>
      </c>
      <c r="O11" s="9">
        <f>'[2]10 Year RFS Curves (2020)'!H$17*1000000000</f>
        <v>840000000</v>
      </c>
      <c r="P11" s="9">
        <f>'[2]10 Year RFS Curves (2020)'!I$17*1000000000</f>
        <v>1090000000</v>
      </c>
      <c r="Q11" s="9">
        <f>'[2]10 Year RFS Curves (2020)'!J$17*1000000000</f>
        <v>1380000000</v>
      </c>
      <c r="R11" s="9">
        <f>'[2]10 Year RFS Curves (2020)'!K$17*1000000000</f>
        <v>1750000000</v>
      </c>
      <c r="S11" s="9">
        <f>'[2]10 Year RFS Curves (2020)'!L$17*1000000000</f>
        <v>2250000000</v>
      </c>
      <c r="T11" s="9">
        <f>'[2]10 Year RFS Curves (2020)'!M$17*1000000000</f>
        <v>3000000000</v>
      </c>
      <c r="U11" s="9">
        <f>'[2]10 Year RFS Curves (2020)'!N$17*1000000000</f>
        <v>3250000000</v>
      </c>
      <c r="V11" s="9">
        <f>'[2]10 Year RFS Curves (2020)'!O$17*1000000000</f>
        <v>3500000000</v>
      </c>
      <c r="W11" s="9">
        <f>'[2]10 Year RFS Curves (2020)'!P$17*1000000000</f>
        <v>3750000000</v>
      </c>
      <c r="X11" s="9">
        <f>'[2]10 Year RFS Curves (2020)'!Q$17*1000000000</f>
        <v>4000000000</v>
      </c>
      <c r="Y11" s="9">
        <f>'[2]10 Year RFS Curves (2020)'!R$17*1000000000</f>
        <v>4250000000</v>
      </c>
      <c r="Z11" s="9">
        <f>'[2]10 Year RFS Curves (2020)'!S$17*1000000000</f>
        <v>4500000000</v>
      </c>
      <c r="AA11" s="9">
        <f>'[2]10 Year RFS Curves (2020)'!T$17*1000000000</f>
        <v>4750000000</v>
      </c>
      <c r="AB11" s="9">
        <f>'[2]10 Year RFS Curves (2020)'!U$17*1000000000</f>
        <v>5000000000</v>
      </c>
      <c r="AC11" s="9">
        <f>'[2]10 Year RFS Curves (2020)'!V$17*1000000000</f>
        <v>5250000000</v>
      </c>
      <c r="AD11" s="9">
        <f>'[2]10 Year RFS Curves (2020)'!W$17*1000000000</f>
        <v>5500000000</v>
      </c>
      <c r="AE11" s="9">
        <f>'[2]10 Year RFS Curves (2020)'!X$17*1000000000</f>
        <v>5750000000</v>
      </c>
      <c r="AF11" s="9">
        <f>'[2]10 Year RFS Curves (2020)'!Y$17*1000000000</f>
        <v>6000000000</v>
      </c>
      <c r="AG11" s="9">
        <f>'[2]10 Year RFS Curves (2020)'!Z$17*1000000000</f>
        <v>6250000000</v>
      </c>
    </row>
    <row r="12" spans="1:33">
      <c r="A12" s="6" t="s">
        <v>5</v>
      </c>
      <c r="C12" s="3">
        <f>'[1]RVO Forecast'!B$10*'[1]RVO Forecast'!B$6</f>
        <v>1208680205.3648555</v>
      </c>
      <c r="D12" s="3">
        <f>'[1]RVO Forecast'!C$10*'[1]RVO Forecast'!C$6</f>
        <v>1517704700.1126668</v>
      </c>
      <c r="E12" s="3">
        <f>'[1]RVO Forecast'!D$10*'[1]RVO Forecast'!D$6</f>
        <v>1973661288.3605723</v>
      </c>
      <c r="F12" s="3">
        <f>'[1]RVO Forecast'!E$10*'[1]RVO Forecast'!E$6</f>
        <v>2525467337.8266377</v>
      </c>
      <c r="G12" s="3">
        <f>'[1]RVO Forecast'!F$10*'[1]RVO Forecast'!F$6</f>
        <v>2679422770.7730336</v>
      </c>
      <c r="H12" s="9">
        <f>'[1]RVO Forecast'!G$10*'[1]RVO Forecast'!G$6</f>
        <v>2927505564.5659151</v>
      </c>
      <c r="I12" s="9">
        <f>'[1]RVO Forecast'!H$10*'[1]RVO Forecast'!H$6</f>
        <v>3090878133.3629088</v>
      </c>
      <c r="J12" s="9">
        <f>'[2]10 Year RFS Curves (2020)'!C$13*'[1]RVO Forecast'!I$6*1000000000</f>
        <v>3247674363.4609728</v>
      </c>
      <c r="K12" s="9">
        <f>'[2]10 Year RFS Curves (2020)'!D$13*'[1]RVO Forecast'!J$6*1000000000</f>
        <v>3286339685.133605</v>
      </c>
      <c r="L12" s="9">
        <f>'[2]10 Year RFS Curves (2020)'!E$13*'[1]RVO Forecast'!K$6*1000000000</f>
        <v>3801800710.4577417</v>
      </c>
      <c r="M12" s="9">
        <f>'[2]10 Year RFS Curves (2020)'!F$13*'[1]RVO Forecast'!L$6*1000000000</f>
        <v>3843107081.7464805</v>
      </c>
      <c r="N12" s="9">
        <f>'[2]10 Year RFS Curves (2020)'!G$13*'[1]RVO Forecast'!M$6*1000000000</f>
        <v>4419024282.9520874</v>
      </c>
      <c r="O12" s="9">
        <f>'[2]10 Year RFS Curves (2020)'!H$13*'[1]RVO Forecast'!N$6*1000000000</f>
        <v>4552153893.8942194</v>
      </c>
      <c r="P12" s="9">
        <f>'[2]10 Year RFS Curves (2020)'!I$13*'[1]RVO Forecast'!O$6*1000000000</f>
        <v>4944338228.149682</v>
      </c>
      <c r="Q12" s="9">
        <f>'[2]10 Year RFS Curves (2020)'!J$13*'[1]RVO Forecast'!P$6*1000000000</f>
        <v>5696793722.3473635</v>
      </c>
      <c r="R12" s="9">
        <f>'[2]10 Year RFS Curves (2020)'!K$13*'[1]RVO Forecast'!Q$6*1000000000</f>
        <v>6113117326.0305624</v>
      </c>
      <c r="S12" s="9">
        <f>'[2]10 Year RFS Curves (2020)'!L$13*'[1]RVO Forecast'!R$6*1000000000</f>
        <v>6535791821.4999313</v>
      </c>
      <c r="T12" s="9">
        <f>'[2]10 Year RFS Curves (2020)'!M$13*'[1]RVO Forecast'!S$6*1000000000</f>
        <v>7070217469.0048771</v>
      </c>
      <c r="U12" s="9">
        <f>'[2]10 Year RFS Curves (2020)'!N$13*'[1]RVO Forecast'!T$6*1000000000</f>
        <v>7537301808.5329561</v>
      </c>
      <c r="V12" s="9">
        <f>'[2]10 Year RFS Curves (2020)'!O$13*'[1]RVO Forecast'!U$6*1000000000</f>
        <v>8036246751.1166325</v>
      </c>
      <c r="W12" s="9">
        <f>'[2]10 Year RFS Curves (2020)'!P$13*'[1]RVO Forecast'!V$6*1000000000</f>
        <v>8547517750.8862362</v>
      </c>
      <c r="X12" s="9">
        <f>'[2]10 Year RFS Curves (2020)'!Q$13*'[1]RVO Forecast'!W$6*1000000000</f>
        <v>9065930638.1336651</v>
      </c>
      <c r="Y12" s="9">
        <f>'[2]10 Year RFS Curves (2020)'!R$13*'[1]RVO Forecast'!X$6*1000000000</f>
        <v>9633181784.5555496</v>
      </c>
      <c r="Z12" s="9">
        <f>'[2]10 Year RFS Curves (2020)'!S$13*'[1]RVO Forecast'!Y$6*1000000000</f>
        <v>10073635434.959665</v>
      </c>
      <c r="AA12" s="9">
        <f>'[2]10 Year RFS Curves (2020)'!T$13*'[1]RVO Forecast'!Z$6*1000000000</f>
        <v>10589349918.083302</v>
      </c>
      <c r="AB12" s="9">
        <f>'[2]10 Year RFS Curves (2020)'!U$13*'[1]RVO Forecast'!AA$6*1000000000</f>
        <v>11241289137.979776</v>
      </c>
      <c r="AC12" s="9">
        <f>'[2]10 Year RFS Curves (2020)'!V$13*'[1]RVO Forecast'!AB$6*1000000000</f>
        <v>11894403951.942413</v>
      </c>
      <c r="AD12" s="9">
        <f>'[2]10 Year RFS Curves (2020)'!W$13*'[1]RVO Forecast'!AC$6*1000000000</f>
        <v>12499510563.757755</v>
      </c>
      <c r="AE12" s="9">
        <f>'[2]10 Year RFS Curves (2020)'!X$13*'[1]RVO Forecast'!AD$6*1000000000</f>
        <v>13118338812.698902</v>
      </c>
      <c r="AF12" s="9">
        <f>'[2]10 Year RFS Curves (2020)'!Y$13*'[1]RVO Forecast'!AE$6*1000000000</f>
        <v>13772542610.429996</v>
      </c>
      <c r="AG12" s="9">
        <f>'[2]10 Year RFS Curves (2020)'!Z$13*'[1]RVO Forecast'!AF$6*1000000000</f>
        <v>14355922895.899258</v>
      </c>
    </row>
    <row r="13" spans="1:33">
      <c r="A13" s="6" t="s">
        <v>23</v>
      </c>
      <c r="C13" s="3">
        <f>('[1]RVO Forecast'!B$18*'D5 RIN Forecast'!C29)-C12-C11</f>
        <v>221429131.26024771</v>
      </c>
      <c r="D13" s="3">
        <f>('[1]RVO Forecast'!C$18*'D5 RIN Forecast'!D29)-D12-D11</f>
        <v>509452829.26394272</v>
      </c>
      <c r="E13" s="3">
        <f>('[1]RVO Forecast'!D$18*'D5 RIN Forecast'!E29)-E12-E11</f>
        <v>847558932.83331633</v>
      </c>
      <c r="F13" s="3">
        <f>('[1]RVO Forecast'!E$18*'D5 RIN Forecast'!F29)-F12-F11</f>
        <v>357616850.72187662</v>
      </c>
      <c r="G13" s="3">
        <f>('[1]RVO Forecast'!F$18*'D5 RIN Forecast'!G29)-G12-G11</f>
        <v>328760320.48142672</v>
      </c>
      <c r="H13" s="9">
        <f>('[1]RVO Forecast'!G$18*'D5 RIN Forecast'!H29)-H12-H11</f>
        <v>999112373.39523554</v>
      </c>
      <c r="I13" s="9">
        <f>('[1]RVO Forecast'!H$18*'D5 RIN Forecast'!I29)-I12-I11</f>
        <v>1371469946.5519853</v>
      </c>
      <c r="J13" s="9">
        <f>(('[2]10 Year RFS Curves (2020)'!$E$20*1000000000)-J12-J11)*'D5 RIN Forecast'!J29</f>
        <v>1299661610.7302668</v>
      </c>
      <c r="K13" s="9">
        <f>(('[2]10 Year RFS Curves (2020)'!$E$20*1000000000)-K12-K11)*'D5 RIN Forecast'!K29</f>
        <v>1048174246.1559299</v>
      </c>
      <c r="L13" s="9">
        <f>(('[2]10 Year RFS Curves (2020)'!$E$20*1000000000)-L12-L11)*'D5 RIN Forecast'!L29</f>
        <v>370937079.75223613</v>
      </c>
      <c r="M13" s="9">
        <f>(('[2]10 Year RFS Curves (2020)'!E$20*1000000000)-M12-M11)*'D5 RIN Forecast'!M29</f>
        <v>298047314.55287677</v>
      </c>
      <c r="N13" s="9">
        <f>(('[2]10 Year RFS Curves (2020)'!F$20*1000000000)-N12-N11)*'D5 RIN Forecast'!N29</f>
        <v>1304378.7428325647</v>
      </c>
      <c r="O13" s="9">
        <f>(('[2]10 Year RFS Curves (2020)'!G$20*1000000000)-O12-O11)*'D5 RIN Forecast'!O29</f>
        <v>339161026.4246102</v>
      </c>
      <c r="P13" s="9">
        <f>(('[2]10 Year RFS Curves (2020)'!H$20*1000000000)-P12-P11)*'D5 RIN Forecast'!P29</f>
        <v>-139301176.18858185</v>
      </c>
      <c r="Q13" s="9">
        <f>(('[2]10 Year RFS Curves (2020)'!I$20*1000000000)-Q12-Q11)*'D5 RIN Forecast'!Q29</f>
        <v>-782443608.04153848</v>
      </c>
      <c r="R13" s="9">
        <f>(('[2]10 Year RFS Curves (2020)'!J$20*1000000000)-R12-R11)*'D5 RIN Forecast'!R29</f>
        <v>-774198244.88823974</v>
      </c>
      <c r="S13" s="9">
        <f>(('[2]10 Year RFS Curves (2020)'!K$20*1000000000)-S12-S11)*'D5 RIN Forecast'!S29</f>
        <v>-790159340.24536943</v>
      </c>
      <c r="T13" s="9">
        <f>(('[2]10 Year RFS Curves (2020)'!L$20*1000000000)-T12-T11)*'D5 RIN Forecast'!T29</f>
        <v>-1208504091.4342961</v>
      </c>
      <c r="U13" s="9">
        <f>(('[2]10 Year RFS Curves (2020)'!M$20*1000000000)-U12-U11)*'D5 RIN Forecast'!U29</f>
        <v>0</v>
      </c>
      <c r="V13" s="9">
        <f>(('[2]10 Year RFS Curves (2020)'!N$20*1000000000)-V12-V11)*'D5 RIN Forecast'!V29</f>
        <v>0</v>
      </c>
      <c r="W13" s="9">
        <f>(('[2]10 Year RFS Curves (2020)'!O$20*1000000000)-W12-W11)*'D5 RIN Forecast'!W29</f>
        <v>0</v>
      </c>
      <c r="X13" s="9">
        <f>(('[2]10 Year RFS Curves (2020)'!P$20*1000000000)-X12-X11)*'D5 RIN Forecast'!X29</f>
        <v>0</v>
      </c>
      <c r="Y13" s="9">
        <f>(('[2]10 Year RFS Curves (2020)'!Q$20*1000000000)-Y12-Y11)*'D5 RIN Forecast'!Y29</f>
        <v>0</v>
      </c>
      <c r="Z13" s="9">
        <f>(('[2]10 Year RFS Curves (2020)'!R$20*1000000000)-Z12-Z11)*'D5 RIN Forecast'!Z29</f>
        <v>0</v>
      </c>
      <c r="AA13" s="9">
        <f>(('[2]10 Year RFS Curves (2020)'!S$20*1000000000)-AA12-AA11)*'D5 RIN Forecast'!AA29</f>
        <v>0</v>
      </c>
      <c r="AB13" s="9">
        <f>(('[2]10 Year RFS Curves (2020)'!T$20*1000000000)-AB12-AB11)*'D5 RIN Forecast'!AB29</f>
        <v>0</v>
      </c>
      <c r="AC13" s="9">
        <f>(('[2]10 Year RFS Curves (2020)'!U$20*1000000000)-AC12-AC11)*'D5 RIN Forecast'!AC29</f>
        <v>0</v>
      </c>
      <c r="AD13" s="9">
        <f>(('[2]10 Year RFS Curves (2020)'!V$20*1000000000)-AD12-AD11)*'D5 RIN Forecast'!AD29</f>
        <v>0</v>
      </c>
      <c r="AE13" s="9">
        <f>(('[2]10 Year RFS Curves (2020)'!W$20*1000000000)-AE12-AE11)*'D5 RIN Forecast'!AE29</f>
        <v>0</v>
      </c>
      <c r="AF13" s="9">
        <f>(('[2]10 Year RFS Curves (2020)'!X$20*1000000000)-AF12-AF11)*'D5 RIN Forecast'!AF29</f>
        <v>0</v>
      </c>
      <c r="AG13" s="9">
        <f>(('[2]10 Year RFS Curves (2020)'!Y$20*1000000000)-AG12-AG11)*'D5 RIN Forecast'!AG29</f>
        <v>0</v>
      </c>
    </row>
    <row r="14" spans="1:33">
      <c r="A14" s="6" t="s">
        <v>24</v>
      </c>
      <c r="C14" s="3">
        <f t="shared" ref="C14:N14" si="1">C16-C13-C12-C11</f>
        <v>12519890663.374897</v>
      </c>
      <c r="D14" s="3">
        <f t="shared" si="1"/>
        <v>13172842470.62339</v>
      </c>
      <c r="E14" s="3">
        <f t="shared" si="1"/>
        <v>13727979778.80611</v>
      </c>
      <c r="F14" s="3">
        <f t="shared" si="1"/>
        <v>13363915811.451487</v>
      </c>
      <c r="G14" s="3">
        <f t="shared" si="1"/>
        <v>13798816908.745541</v>
      </c>
      <c r="H14" s="3">
        <f t="shared" si="1"/>
        <v>13953382062.038849</v>
      </c>
      <c r="I14" s="3">
        <f t="shared" si="1"/>
        <v>14506651920.085104</v>
      </c>
      <c r="J14" s="3">
        <f t="shared" si="1"/>
        <v>14454664025.808762</v>
      </c>
      <c r="K14" s="3">
        <f t="shared" si="1"/>
        <v>15167486068.710464</v>
      </c>
      <c r="L14" s="3">
        <f t="shared" si="1"/>
        <v>12447262209.79002</v>
      </c>
      <c r="M14" s="3">
        <f t="shared" si="1"/>
        <v>14138845603.700644</v>
      </c>
      <c r="N14" s="3">
        <f t="shared" si="1"/>
        <v>15579671338.30508</v>
      </c>
      <c r="O14" s="3">
        <f>O16-O13-O12-O11</f>
        <v>15208685079.681171</v>
      </c>
      <c r="P14" s="3">
        <f t="shared" ref="P14:AG14" si="2">P16-P13-P12-P11</f>
        <v>15644962948.038902</v>
      </c>
      <c r="Q14" s="3">
        <f t="shared" si="2"/>
        <v>16035649885.694176</v>
      </c>
      <c r="R14" s="3">
        <f t="shared" si="2"/>
        <v>16161080918.857677</v>
      </c>
      <c r="S14" s="3">
        <f t="shared" si="2"/>
        <v>16254367518.745438</v>
      </c>
      <c r="T14" s="3">
        <f t="shared" si="2"/>
        <v>16388286622.42942</v>
      </c>
      <c r="U14" s="3">
        <f t="shared" si="2"/>
        <v>15712698191.467045</v>
      </c>
      <c r="V14" s="3">
        <f t="shared" si="2"/>
        <v>16063753248.883369</v>
      </c>
      <c r="W14" s="3">
        <f t="shared" si="2"/>
        <v>16402482249.113762</v>
      </c>
      <c r="X14" s="3">
        <f t="shared" si="2"/>
        <v>16734069361.866333</v>
      </c>
      <c r="Y14" s="3">
        <f t="shared" si="2"/>
        <v>17016818215.44445</v>
      </c>
      <c r="Z14" s="3">
        <f t="shared" si="2"/>
        <v>17426364565.040337</v>
      </c>
      <c r="AA14" s="3">
        <f t="shared" si="2"/>
        <v>17760650081.916698</v>
      </c>
      <c r="AB14" s="3">
        <f t="shared" si="2"/>
        <v>17958710862.020226</v>
      </c>
      <c r="AC14" s="3">
        <f t="shared" si="2"/>
        <v>18155596048.057587</v>
      </c>
      <c r="AD14" s="3">
        <f t="shared" si="2"/>
        <v>18400489436.242245</v>
      </c>
      <c r="AE14" s="3">
        <f t="shared" si="2"/>
        <v>18631661187.301098</v>
      </c>
      <c r="AF14" s="3">
        <f t="shared" si="2"/>
        <v>18827457389.570004</v>
      </c>
      <c r="AG14" s="3">
        <f t="shared" si="2"/>
        <v>19094077104.100742</v>
      </c>
    </row>
    <row r="15" spans="1:33">
      <c r="A15" s="6" t="s">
        <v>25</v>
      </c>
      <c r="C15" s="3">
        <f t="shared" ref="C15:H15" si="3">C16-SUM(C11:C14)</f>
        <v>0</v>
      </c>
      <c r="D15" s="3">
        <f t="shared" si="3"/>
        <v>0</v>
      </c>
      <c r="E15" s="3">
        <f t="shared" si="3"/>
        <v>0</v>
      </c>
      <c r="F15" s="3">
        <f t="shared" si="3"/>
        <v>0</v>
      </c>
      <c r="G15" s="3">
        <f t="shared" si="3"/>
        <v>0</v>
      </c>
      <c r="H15" s="3">
        <f t="shared" si="3"/>
        <v>0</v>
      </c>
      <c r="I15" s="3">
        <f t="shared" ref="I15:N15" si="4">I16-SUM(I11:I14)</f>
        <v>0</v>
      </c>
      <c r="J15" s="3">
        <f t="shared" si="4"/>
        <v>0</v>
      </c>
      <c r="K15" s="3">
        <f t="shared" si="4"/>
        <v>0</v>
      </c>
      <c r="L15" s="3">
        <f t="shared" si="4"/>
        <v>0</v>
      </c>
      <c r="M15" s="3">
        <f t="shared" si="4"/>
        <v>0</v>
      </c>
      <c r="N15" s="3">
        <f t="shared" si="4"/>
        <v>0</v>
      </c>
      <c r="O15" s="3">
        <f>O16-SUM(O11:O14)</f>
        <v>0</v>
      </c>
      <c r="P15" s="3">
        <f t="shared" ref="P15:AG15" si="5">P16-SUM(P11:P14)</f>
        <v>0</v>
      </c>
      <c r="Q15" s="3">
        <f t="shared" si="5"/>
        <v>0</v>
      </c>
      <c r="R15" s="3">
        <f t="shared" si="5"/>
        <v>0</v>
      </c>
      <c r="S15" s="3">
        <f t="shared" si="5"/>
        <v>0</v>
      </c>
      <c r="T15" s="3">
        <f t="shared" si="5"/>
        <v>0</v>
      </c>
      <c r="U15" s="3">
        <f t="shared" si="5"/>
        <v>0</v>
      </c>
      <c r="V15" s="3">
        <f t="shared" si="5"/>
        <v>0</v>
      </c>
      <c r="W15" s="3">
        <f t="shared" si="5"/>
        <v>0</v>
      </c>
      <c r="X15" s="3">
        <f t="shared" si="5"/>
        <v>0</v>
      </c>
      <c r="Y15" s="3">
        <f t="shared" si="5"/>
        <v>0</v>
      </c>
      <c r="Z15" s="3">
        <f t="shared" si="5"/>
        <v>0</v>
      </c>
      <c r="AA15" s="3">
        <f t="shared" si="5"/>
        <v>0</v>
      </c>
      <c r="AB15" s="3">
        <f t="shared" si="5"/>
        <v>0</v>
      </c>
      <c r="AC15" s="3">
        <f t="shared" si="5"/>
        <v>0</v>
      </c>
      <c r="AD15" s="3">
        <f t="shared" si="5"/>
        <v>0</v>
      </c>
      <c r="AE15" s="3">
        <f t="shared" si="5"/>
        <v>0</v>
      </c>
      <c r="AF15" s="3">
        <f t="shared" si="5"/>
        <v>0</v>
      </c>
      <c r="AG15" s="3">
        <f t="shared" si="5"/>
        <v>0</v>
      </c>
    </row>
    <row r="16" spans="1:33" ht="16.5">
      <c r="A16" s="6" t="s">
        <v>29</v>
      </c>
      <c r="C16" s="7">
        <f>'[1]RVO Forecast'!B$8</f>
        <v>13950000000</v>
      </c>
      <c r="D16" s="7">
        <f>'[1]RVO Forecast'!C$8</f>
        <v>15200000000</v>
      </c>
      <c r="E16" s="7">
        <f>'[1]RVO Forecast'!D$8</f>
        <v>16550000000</v>
      </c>
      <c r="F16" s="7">
        <f>'[1]RVO Forecast'!E$8</f>
        <v>16280000000</v>
      </c>
      <c r="G16" s="7">
        <f>'[1]RVO Forecast'!F$8</f>
        <v>16930000000</v>
      </c>
      <c r="H16" s="10">
        <f>'[1]RVO Forecast'!G$8</f>
        <v>18110000000</v>
      </c>
      <c r="I16" s="10">
        <f>'[1]RVO Forecast'!H$8</f>
        <v>19280000000</v>
      </c>
      <c r="J16" s="10">
        <f>'[2]10 Year RFS Curves (2020)'!C$18*1000000000</f>
        <v>19290000000</v>
      </c>
      <c r="K16" s="10">
        <f>'[2]10 Year RFS Curves (2020)'!D$18*1000000000</f>
        <v>19920000000</v>
      </c>
      <c r="L16" s="10">
        <f>'[2]10 Year RFS Curves (2020)'!E$18*1000000000</f>
        <v>17129999999.999998</v>
      </c>
      <c r="M16" s="10">
        <f>'[2]10 Year RFS Curves (2020)'!F$18*1000000000</f>
        <v>18840000000</v>
      </c>
      <c r="N16" s="10">
        <f>'[2]10 Year RFS Curves (2020)'!G$18*1000000000</f>
        <v>20630000000</v>
      </c>
      <c r="O16" s="10">
        <f>'[2]10 Year RFS Curves (2020)'!H$18*1000000000</f>
        <v>20940000000</v>
      </c>
      <c r="P16" s="10">
        <f>'[2]10 Year RFS Curves (2020)'!I$18*1000000000</f>
        <v>21540000000</v>
      </c>
      <c r="Q16" s="10">
        <f>'[2]10 Year RFS Curves (2020)'!J$18*1000000000</f>
        <v>22330000000</v>
      </c>
      <c r="R16" s="10">
        <f>'[2]10 Year RFS Curves (2020)'!K$18*1000000000</f>
        <v>23250000000</v>
      </c>
      <c r="S16" s="10">
        <f>'[2]10 Year RFS Curves (2020)'!L$18*1000000000</f>
        <v>24250000000</v>
      </c>
      <c r="T16" s="10">
        <f>'[2]10 Year RFS Curves (2020)'!M$18*1000000000</f>
        <v>25250000000</v>
      </c>
      <c r="U16" s="10">
        <f>'[2]10 Year RFS Curves (2020)'!N$18*1000000000</f>
        <v>26500000000</v>
      </c>
      <c r="V16" s="10">
        <f>'[2]10 Year RFS Curves (2020)'!O$18*1000000000</f>
        <v>27600000000</v>
      </c>
      <c r="W16" s="10">
        <f>'[2]10 Year RFS Curves (2020)'!P$18*1000000000</f>
        <v>28700000000</v>
      </c>
      <c r="X16" s="10">
        <f>'[2]10 Year RFS Curves (2020)'!Q$18*1000000000</f>
        <v>29800000000</v>
      </c>
      <c r="Y16" s="10">
        <f>'[2]10 Year RFS Curves (2020)'!R$18*1000000000</f>
        <v>30900000000</v>
      </c>
      <c r="Z16" s="10">
        <f>'[2]10 Year RFS Curves (2020)'!S$18*1000000000</f>
        <v>32000000000</v>
      </c>
      <c r="AA16" s="10">
        <f>'[2]10 Year RFS Curves (2020)'!T$18*1000000000</f>
        <v>33100000000</v>
      </c>
      <c r="AB16" s="10">
        <f>'[2]10 Year RFS Curves (2020)'!U$18*1000000000</f>
        <v>34200000000.000004</v>
      </c>
      <c r="AC16" s="10">
        <f>'[2]10 Year RFS Curves (2020)'!V$18*1000000000</f>
        <v>35300000000</v>
      </c>
      <c r="AD16" s="10">
        <f>'[2]10 Year RFS Curves (2020)'!W$18*1000000000</f>
        <v>36400000000</v>
      </c>
      <c r="AE16" s="10">
        <f>'[2]10 Year RFS Curves (2020)'!X$18*1000000000</f>
        <v>37500000000</v>
      </c>
      <c r="AF16" s="10">
        <f>'[2]10 Year RFS Curves (2020)'!Y$18*1000000000</f>
        <v>38600000000</v>
      </c>
      <c r="AG16" s="10">
        <f>'[2]10 Year RFS Curves (2020)'!Z$18*1000000000</f>
        <v>39700000000</v>
      </c>
    </row>
    <row r="17" spans="1:33">
      <c r="A17" s="6" t="s">
        <v>32</v>
      </c>
      <c r="C17" s="11">
        <f t="shared" ref="C17:AG17" si="6">C7-C16</f>
        <v>1585487739</v>
      </c>
      <c r="D17" s="11">
        <f t="shared" si="6"/>
        <v>152270097</v>
      </c>
      <c r="E17" s="11">
        <f t="shared" si="6"/>
        <v>99629221</v>
      </c>
      <c r="F17" s="11">
        <f t="shared" si="6"/>
        <v>965997350</v>
      </c>
      <c r="G17" s="11">
        <f t="shared" si="6"/>
        <v>1001107377</v>
      </c>
      <c r="H17" s="11">
        <f t="shared" si="6"/>
        <v>1365036022</v>
      </c>
      <c r="I17" s="11">
        <f t="shared" si="6"/>
        <v>74130885</v>
      </c>
      <c r="J17" s="11">
        <f t="shared" si="6"/>
        <v>226130766</v>
      </c>
      <c r="K17" s="11">
        <f t="shared" si="6"/>
        <v>-107399414</v>
      </c>
      <c r="L17" s="11">
        <f t="shared" si="6"/>
        <v>1188247188.0000019</v>
      </c>
      <c r="M17" s="11">
        <f t="shared" si="6"/>
        <v>1093806599</v>
      </c>
      <c r="N17" s="11">
        <f t="shared" si="6"/>
        <v>710827093</v>
      </c>
      <c r="O17" s="11">
        <f t="shared" si="6"/>
        <v>2786913992</v>
      </c>
      <c r="P17" s="11">
        <f t="shared" si="6"/>
        <v>3674054721</v>
      </c>
      <c r="Q17" s="11">
        <f t="shared" si="6"/>
        <v>987681664.90014267</v>
      </c>
      <c r="R17" s="11">
        <f t="shared" si="6"/>
        <v>694824155.76471329</v>
      </c>
      <c r="S17" s="11">
        <f t="shared" si="6"/>
        <v>1619112013.821434</v>
      </c>
      <c r="T17" s="11">
        <f t="shared" si="6"/>
        <v>1157889763.2270088</v>
      </c>
      <c r="U17" s="11">
        <f t="shared" si="6"/>
        <v>869304273.33942032</v>
      </c>
      <c r="V17" s="11">
        <f t="shared" si="6"/>
        <v>1557446939.6700401</v>
      </c>
      <c r="W17" s="11">
        <f t="shared" si="6"/>
        <v>1893380355.1773872</v>
      </c>
      <c r="X17" s="11">
        <f t="shared" si="6"/>
        <v>3639727072.1900482</v>
      </c>
      <c r="Y17" s="11">
        <f t="shared" si="6"/>
        <v>2978148996.9206734</v>
      </c>
      <c r="Z17" s="11">
        <f t="shared" si="6"/>
        <v>2582538730.8778992</v>
      </c>
      <c r="AA17" s="11">
        <f t="shared" si="6"/>
        <v>-13150262537.539608</v>
      </c>
      <c r="AB17" s="11">
        <f t="shared" si="6"/>
        <v>-16025038338.634071</v>
      </c>
      <c r="AC17" s="11" t="e">
        <f t="shared" si="6"/>
        <v>#DIV/0!</v>
      </c>
      <c r="AD17" s="11" t="e">
        <f t="shared" si="6"/>
        <v>#DIV/0!</v>
      </c>
      <c r="AE17" s="11">
        <f t="shared" si="6"/>
        <v>-15667594082.299126</v>
      </c>
      <c r="AF17" s="11">
        <f t="shared" si="6"/>
        <v>-18061343331.976559</v>
      </c>
      <c r="AG17" s="11">
        <f t="shared" si="6"/>
        <v>-17864699498.00423</v>
      </c>
    </row>
    <row r="19" spans="1:33">
      <c r="C19" s="12" t="e">
        <f t="shared" ref="C19:M19" si="7">C17/B17-1</f>
        <v>#DIV/0!</v>
      </c>
      <c r="D19" s="12">
        <f t="shared" si="7"/>
        <v>-0.90396009174057701</v>
      </c>
      <c r="E19" s="12">
        <f t="shared" si="7"/>
        <v>-0.34570724677478859</v>
      </c>
      <c r="F19" s="12">
        <f t="shared" si="7"/>
        <v>8.6959239498620597</v>
      </c>
      <c r="G19" s="12">
        <f t="shared" si="7"/>
        <v>3.6345883350508146E-2</v>
      </c>
      <c r="H19" s="12">
        <f t="shared" si="7"/>
        <v>0.36352608457504165</v>
      </c>
      <c r="I19" s="12">
        <f t="shared" si="7"/>
        <v>-0.94569309248602385</v>
      </c>
      <c r="J19" s="12">
        <f t="shared" si="7"/>
        <v>2.0504258245399338</v>
      </c>
      <c r="K19" s="12">
        <f t="shared" si="7"/>
        <v>-1.4749438384691094</v>
      </c>
      <c r="L19" s="12">
        <f t="shared" si="7"/>
        <v>-12.063814445021105</v>
      </c>
      <c r="M19" s="12">
        <f t="shared" si="7"/>
        <v>-7.9478908053600805E-2</v>
      </c>
      <c r="N19" s="12">
        <f>N17/M17-1</f>
        <v>-0.35013457255618552</v>
      </c>
      <c r="O19" s="12">
        <f>O17/N17-1</f>
        <v>2.920663716176052</v>
      </c>
      <c r="P19" s="12">
        <f t="shared" ref="P19:AG19" si="8">P17/O17-1</f>
        <v>0.31832368402705979</v>
      </c>
      <c r="Q19" s="12">
        <f t="shared" si="8"/>
        <v>-0.73117393727023305</v>
      </c>
      <c r="R19" s="12">
        <f t="shared" si="8"/>
        <v>-0.29651001890881312</v>
      </c>
      <c r="S19" s="12">
        <f t="shared" si="8"/>
        <v>1.330247157339346</v>
      </c>
      <c r="T19" s="12">
        <f t="shared" si="8"/>
        <v>-0.28486123668852703</v>
      </c>
      <c r="U19" s="12">
        <f t="shared" si="8"/>
        <v>-0.2492339936431498</v>
      </c>
      <c r="V19" s="12">
        <f t="shared" si="8"/>
        <v>0.791601614572915</v>
      </c>
      <c r="W19" s="12">
        <f t="shared" si="8"/>
        <v>0.21569493441524101</v>
      </c>
      <c r="X19" s="12">
        <f t="shared" si="8"/>
        <v>0.92234331693435623</v>
      </c>
      <c r="Y19" s="12">
        <f t="shared" si="8"/>
        <v>-0.18176584731428747</v>
      </c>
      <c r="Z19" s="12">
        <f t="shared" si="8"/>
        <v>-0.13283763386312264</v>
      </c>
      <c r="AA19" s="12">
        <f t="shared" si="8"/>
        <v>-6.0919904434770489</v>
      </c>
      <c r="AB19" s="12">
        <f t="shared" si="8"/>
        <v>0.21860976485358674</v>
      </c>
      <c r="AC19" s="12" t="e">
        <f t="shared" si="8"/>
        <v>#DIV/0!</v>
      </c>
      <c r="AD19" s="12" t="e">
        <f t="shared" si="8"/>
        <v>#DIV/0!</v>
      </c>
      <c r="AE19" s="12" t="e">
        <f t="shared" si="8"/>
        <v>#DIV/0!</v>
      </c>
      <c r="AF19" s="12">
        <f t="shared" si="8"/>
        <v>0.15278346101536</v>
      </c>
      <c r="AG19" s="12">
        <f t="shared" si="8"/>
        <v>-1.0887553066121103E-2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5E3B4-F7A4-4D4D-86D4-AE2BD5136CA3}">
  <dimension ref="A1:AK500"/>
  <sheetViews>
    <sheetView zoomScale="115" zoomScaleNormal="115" workbookViewId="0">
      <pane xSplit="1" ySplit="3" topLeftCell="K4" activePane="bottomRight" state="frozen"/>
      <selection activeCell="A9" sqref="A9"/>
      <selection pane="topRight" activeCell="A9" sqref="A9"/>
      <selection pane="bottomLeft" activeCell="A9" sqref="A9"/>
      <selection pane="bottomRight" activeCell="A9" sqref="A9"/>
    </sheetView>
  </sheetViews>
  <sheetFormatPr defaultColWidth="9.140625" defaultRowHeight="13.5"/>
  <cols>
    <col min="1" max="1" width="23.28515625" style="14" customWidth="1"/>
    <col min="2" max="18" width="13.85546875" style="14" customWidth="1"/>
    <col min="19" max="26" width="13.85546875" style="14" hidden="1" customWidth="1"/>
    <col min="27" max="29" width="12.140625" style="14" customWidth="1"/>
    <col min="30" max="35" width="13.5703125" style="14" customWidth="1"/>
    <col min="36" max="16384" width="9.140625" style="14"/>
  </cols>
  <sheetData>
    <row r="1" spans="1:35" ht="18.75">
      <c r="A1" s="13" t="s">
        <v>33</v>
      </c>
    </row>
    <row r="2" spans="1:35" ht="15.75">
      <c r="A2" s="15" t="s">
        <v>34</v>
      </c>
      <c r="B2" s="16"/>
      <c r="C2" s="16"/>
      <c r="D2" s="16"/>
      <c r="E2" s="16"/>
      <c r="F2" s="16"/>
      <c r="G2" s="16"/>
      <c r="H2" s="16"/>
      <c r="I2" s="16"/>
      <c r="J2" s="17" t="s">
        <v>35</v>
      </c>
      <c r="K2" s="16"/>
      <c r="L2" s="16"/>
      <c r="M2" s="16"/>
      <c r="N2" s="16"/>
      <c r="O2" s="16"/>
      <c r="P2" s="16"/>
      <c r="Q2" s="16"/>
      <c r="R2" s="16"/>
      <c r="S2" s="16"/>
      <c r="T2" s="16"/>
      <c r="U2" s="16"/>
      <c r="V2" s="16"/>
      <c r="W2" s="16"/>
      <c r="X2" s="16"/>
      <c r="Y2" s="16"/>
      <c r="Z2" s="16"/>
      <c r="AA2" s="16"/>
    </row>
    <row r="3" spans="1:35">
      <c r="B3" s="14">
        <v>2010</v>
      </c>
      <c r="C3" s="14">
        <v>2011</v>
      </c>
      <c r="D3" s="14">
        <v>2012</v>
      </c>
      <c r="E3" s="14">
        <v>2013</v>
      </c>
      <c r="F3" s="14">
        <v>2014</v>
      </c>
      <c r="G3" s="14">
        <v>2015</v>
      </c>
      <c r="H3" s="14">
        <v>2016</v>
      </c>
      <c r="I3" s="14">
        <v>2017</v>
      </c>
      <c r="J3" s="14">
        <v>2018</v>
      </c>
      <c r="K3" s="14">
        <v>2019</v>
      </c>
      <c r="L3" s="14">
        <v>2020</v>
      </c>
      <c r="M3" s="14">
        <v>2021</v>
      </c>
      <c r="N3" s="14">
        <v>2022</v>
      </c>
      <c r="O3" s="14">
        <v>2023</v>
      </c>
      <c r="P3" s="14">
        <v>2024</v>
      </c>
      <c r="Q3" s="14">
        <v>2025</v>
      </c>
      <c r="R3" s="14">
        <v>2026</v>
      </c>
      <c r="S3" s="14">
        <v>2027</v>
      </c>
      <c r="T3" s="14">
        <v>2028</v>
      </c>
      <c r="U3" s="14">
        <v>2029</v>
      </c>
      <c r="V3" s="14">
        <v>2030</v>
      </c>
      <c r="W3" s="14">
        <v>2031</v>
      </c>
      <c r="X3" s="14">
        <v>2032</v>
      </c>
      <c r="Y3" s="14">
        <v>2033</v>
      </c>
      <c r="Z3" s="14">
        <v>2034</v>
      </c>
      <c r="AB3" s="14" t="s">
        <v>36</v>
      </c>
      <c r="AD3" s="14" t="s">
        <v>37</v>
      </c>
      <c r="AE3" s="14" t="s">
        <v>38</v>
      </c>
      <c r="AF3" s="14" t="s">
        <v>39</v>
      </c>
      <c r="AG3" s="14" t="s">
        <v>40</v>
      </c>
      <c r="AH3" s="14" t="s">
        <v>41</v>
      </c>
      <c r="AI3" s="14" t="s">
        <v>42</v>
      </c>
    </row>
    <row r="4" spans="1:35">
      <c r="A4" s="14" t="s">
        <v>43</v>
      </c>
      <c r="B4" s="18">
        <f>B20+B36+B52</f>
        <v>0</v>
      </c>
      <c r="C4" s="18">
        <f t="shared" ref="C4:Z15" si="0">C20+C36+C52</f>
        <v>53460371</v>
      </c>
      <c r="D4" s="18">
        <f t="shared" si="0"/>
        <v>91735219</v>
      </c>
      <c r="E4" s="18">
        <f t="shared" si="0"/>
        <v>108211248</v>
      </c>
      <c r="F4" s="18">
        <f t="shared" si="0"/>
        <v>88017643</v>
      </c>
      <c r="G4" s="18">
        <f t="shared" si="0"/>
        <v>96760380</v>
      </c>
      <c r="H4" s="18">
        <f t="shared" si="0"/>
        <v>159436597</v>
      </c>
      <c r="I4" s="18">
        <f t="shared" si="0"/>
        <v>130690446</v>
      </c>
      <c r="J4" s="18">
        <f t="shared" si="0"/>
        <v>181790071</v>
      </c>
      <c r="K4" s="18">
        <f t="shared" si="0"/>
        <v>179236223</v>
      </c>
      <c r="L4" s="18">
        <f t="shared" si="0"/>
        <v>198214877</v>
      </c>
      <c r="M4" s="18">
        <f t="shared" si="0"/>
        <v>173760178</v>
      </c>
      <c r="N4" s="18">
        <f t="shared" si="0"/>
        <v>155125743</v>
      </c>
      <c r="O4" s="18">
        <f t="shared" si="0"/>
        <v>216198063</v>
      </c>
      <c r="P4" s="18">
        <f t="shared" si="0"/>
        <v>243181823</v>
      </c>
      <c r="Q4" s="19">
        <f t="shared" si="0"/>
        <v>103157836</v>
      </c>
      <c r="R4" s="19">
        <f t="shared" si="0"/>
        <v>162452284.62095261</v>
      </c>
      <c r="S4" s="19">
        <f t="shared" si="0"/>
        <v>152805239.39119244</v>
      </c>
      <c r="T4" s="19">
        <f t="shared" si="0"/>
        <v>128934597.6430593</v>
      </c>
      <c r="U4" s="19">
        <f t="shared" si="0"/>
        <v>142722368.78898117</v>
      </c>
      <c r="V4" s="19">
        <f t="shared" si="0"/>
        <v>134305927.84226713</v>
      </c>
      <c r="W4" s="19">
        <f t="shared" si="0"/>
        <v>143651859.87215286</v>
      </c>
      <c r="X4" s="19">
        <f t="shared" si="0"/>
        <v>147190352.29206151</v>
      </c>
      <c r="Y4" s="19">
        <f t="shared" si="0"/>
        <v>167971198.05123344</v>
      </c>
      <c r="Z4" s="19">
        <f t="shared" si="0"/>
        <v>150176459.79462975</v>
      </c>
      <c r="AA4" s="19"/>
      <c r="AB4" s="20">
        <f>P4/O15-1</f>
        <v>-0.20802253995636866</v>
      </c>
      <c r="AD4" s="18">
        <f>AVERAGE(J4:N4)</f>
        <v>177625418.40000001</v>
      </c>
      <c r="AE4" s="18">
        <f>O4-AD4</f>
        <v>38572644.599999994</v>
      </c>
      <c r="AF4" s="18">
        <f t="shared" ref="AF4:AF15" si="1">O4-N4</f>
        <v>61072320</v>
      </c>
      <c r="AG4" s="18">
        <f>O4/31</f>
        <v>6974131.064516129</v>
      </c>
      <c r="AH4" s="18">
        <f>AD4/31</f>
        <v>5729852.2064516135</v>
      </c>
      <c r="AI4" s="18">
        <f>AG4-AH4</f>
        <v>1244278.8580645155</v>
      </c>
    </row>
    <row r="5" spans="1:35">
      <c r="A5" s="14" t="s">
        <v>44</v>
      </c>
      <c r="B5" s="18">
        <f t="shared" ref="B5:L15" si="2">B21+B37+B53</f>
        <v>0</v>
      </c>
      <c r="C5" s="18">
        <f t="shared" si="2"/>
        <v>64647906</v>
      </c>
      <c r="D5" s="18">
        <f t="shared" si="2"/>
        <v>115556871</v>
      </c>
      <c r="E5" s="18">
        <f t="shared" si="2"/>
        <v>116388329</v>
      </c>
      <c r="F5" s="18">
        <f t="shared" si="2"/>
        <v>110633281</v>
      </c>
      <c r="G5" s="18">
        <f t="shared" si="2"/>
        <v>101809800</v>
      </c>
      <c r="H5" s="18">
        <f t="shared" si="2"/>
        <v>171267843</v>
      </c>
      <c r="I5" s="18">
        <f t="shared" si="2"/>
        <v>162373986</v>
      </c>
      <c r="J5" s="18">
        <f t="shared" si="2"/>
        <v>190683567</v>
      </c>
      <c r="K5" s="18">
        <f t="shared" si="2"/>
        <v>192450159</v>
      </c>
      <c r="L5" s="18">
        <f t="shared" si="2"/>
        <v>209252273</v>
      </c>
      <c r="M5" s="18">
        <f t="shared" si="0"/>
        <v>176315925</v>
      </c>
      <c r="N5" s="18">
        <f t="shared" si="0"/>
        <v>175781747</v>
      </c>
      <c r="O5" s="18">
        <f t="shared" si="0"/>
        <v>233310207</v>
      </c>
      <c r="P5" s="18">
        <f t="shared" si="0"/>
        <v>269898410</v>
      </c>
      <c r="Q5" s="19">
        <f t="shared" si="0"/>
        <v>120351560</v>
      </c>
      <c r="R5" s="19">
        <f t="shared" si="0"/>
        <v>175520100.55834872</v>
      </c>
      <c r="S5" s="19">
        <f t="shared" si="0"/>
        <v>167207578.80746377</v>
      </c>
      <c r="T5" s="19">
        <f t="shared" si="0"/>
        <v>141079270.47553489</v>
      </c>
      <c r="U5" s="19">
        <f t="shared" si="0"/>
        <v>156949668.3561641</v>
      </c>
      <c r="V5" s="19">
        <f t="shared" si="0"/>
        <v>148145643.00481433</v>
      </c>
      <c r="W5" s="19">
        <f t="shared" si="0"/>
        <v>157108334.85714155</v>
      </c>
      <c r="X5" s="19">
        <f t="shared" si="0"/>
        <v>160619047.9761444</v>
      </c>
      <c r="Y5" s="19">
        <f t="shared" si="0"/>
        <v>150501696.2874226</v>
      </c>
      <c r="Z5" s="19">
        <f t="shared" si="0"/>
        <v>146266326.89933679</v>
      </c>
      <c r="AA5" s="19"/>
      <c r="AB5" s="20">
        <f>P5/P4-1</f>
        <v>0.10986259857094671</v>
      </c>
      <c r="AD5" s="18">
        <f t="shared" ref="AD5:AD16" si="3">AVERAGE(J5:N5)</f>
        <v>188896734.19999999</v>
      </c>
      <c r="AE5" s="18">
        <f t="shared" ref="AE5:AE16" si="4">O5-AD5</f>
        <v>44413472.800000012</v>
      </c>
      <c r="AF5" s="18">
        <f t="shared" si="1"/>
        <v>57528460</v>
      </c>
      <c r="AG5" s="18">
        <f>O5/28</f>
        <v>8332507.3928571427</v>
      </c>
      <c r="AH5" s="18">
        <f>AD5/28</f>
        <v>6746311.9357142849</v>
      </c>
      <c r="AI5" s="18">
        <f t="shared" ref="AI5:AI15" si="5">AG5-AH5</f>
        <v>1586195.4571428578</v>
      </c>
    </row>
    <row r="6" spans="1:35">
      <c r="A6" s="14" t="s">
        <v>45</v>
      </c>
      <c r="B6" s="18">
        <f t="shared" si="2"/>
        <v>0</v>
      </c>
      <c r="C6" s="18">
        <f t="shared" si="2"/>
        <v>102224270</v>
      </c>
      <c r="D6" s="18">
        <f t="shared" si="2"/>
        <v>150887615</v>
      </c>
      <c r="E6" s="18">
        <f t="shared" si="2"/>
        <v>165601562</v>
      </c>
      <c r="F6" s="18">
        <f t="shared" si="2"/>
        <v>155851633</v>
      </c>
      <c r="G6" s="18">
        <f t="shared" si="2"/>
        <v>158719076</v>
      </c>
      <c r="H6" s="18">
        <f t="shared" si="2"/>
        <v>204860404</v>
      </c>
      <c r="I6" s="18">
        <f t="shared" si="2"/>
        <v>228068936</v>
      </c>
      <c r="J6" s="18">
        <f t="shared" si="2"/>
        <v>241260013</v>
      </c>
      <c r="K6" s="18">
        <f t="shared" si="2"/>
        <v>239574981</v>
      </c>
      <c r="L6" s="18">
        <f t="shared" si="2"/>
        <v>253004708</v>
      </c>
      <c r="M6" s="18">
        <f t="shared" si="0"/>
        <v>248228552</v>
      </c>
      <c r="N6" s="18">
        <f t="shared" si="0"/>
        <v>237824695</v>
      </c>
      <c r="O6" s="18">
        <f t="shared" si="0"/>
        <v>263515687</v>
      </c>
      <c r="P6" s="18">
        <f t="shared" si="0"/>
        <v>246382470</v>
      </c>
      <c r="Q6" s="19">
        <f t="shared" si="0"/>
        <v>149604103</v>
      </c>
      <c r="R6" s="19">
        <f t="shared" si="0"/>
        <v>191575345.22527611</v>
      </c>
      <c r="S6" s="19">
        <f t="shared" si="0"/>
        <v>189018965.81588858</v>
      </c>
      <c r="T6" s="19">
        <f t="shared" si="0"/>
        <v>152914129.96053582</v>
      </c>
      <c r="U6" s="19">
        <f t="shared" si="0"/>
        <v>168417243.17493063</v>
      </c>
      <c r="V6" s="19">
        <f t="shared" si="0"/>
        <v>165735473.44281527</v>
      </c>
      <c r="W6" s="19">
        <f t="shared" si="0"/>
        <v>172833439.22161469</v>
      </c>
      <c r="X6" s="19">
        <f t="shared" si="0"/>
        <v>178085695.41438723</v>
      </c>
      <c r="Y6" s="19">
        <f t="shared" si="0"/>
        <v>166142708.37198672</v>
      </c>
      <c r="Z6" s="19">
        <f t="shared" si="0"/>
        <v>161669120.17073578</v>
      </c>
      <c r="AA6" s="19"/>
      <c r="AB6" s="20">
        <f t="shared" ref="AB6:AB15" si="6">P6/P5-1</f>
        <v>-8.7128857113311642E-2</v>
      </c>
      <c r="AD6" s="18">
        <f t="shared" si="3"/>
        <v>243978589.80000001</v>
      </c>
      <c r="AE6" s="18">
        <f t="shared" si="4"/>
        <v>19537097.199999988</v>
      </c>
      <c r="AF6" s="18">
        <f t="shared" si="1"/>
        <v>25690992</v>
      </c>
      <c r="AG6" s="18">
        <f>O6/31</f>
        <v>8500506.0322580654</v>
      </c>
      <c r="AH6" s="18">
        <f>AD6/31</f>
        <v>7870277.0903225811</v>
      </c>
      <c r="AI6" s="18">
        <f t="shared" si="5"/>
        <v>630228.9419354843</v>
      </c>
    </row>
    <row r="7" spans="1:35">
      <c r="A7" s="14" t="s">
        <v>46</v>
      </c>
      <c r="B7" s="18">
        <f t="shared" si="2"/>
        <v>0</v>
      </c>
      <c r="C7" s="18">
        <f t="shared" si="2"/>
        <v>108769770</v>
      </c>
      <c r="D7" s="18">
        <f t="shared" si="2"/>
        <v>142860867</v>
      </c>
      <c r="E7" s="18">
        <f t="shared" si="2"/>
        <v>173751806</v>
      </c>
      <c r="F7" s="18">
        <f t="shared" si="2"/>
        <v>163726463</v>
      </c>
      <c r="G7" s="18">
        <f t="shared" si="2"/>
        <v>189460878</v>
      </c>
      <c r="H7" s="18">
        <f t="shared" si="2"/>
        <v>240492224</v>
      </c>
      <c r="I7" s="18">
        <f t="shared" si="2"/>
        <v>217770174</v>
      </c>
      <c r="J7" s="18">
        <f t="shared" si="2"/>
        <v>240863863</v>
      </c>
      <c r="K7" s="18">
        <f t="shared" si="2"/>
        <v>273616407</v>
      </c>
      <c r="L7" s="18">
        <f t="shared" si="2"/>
        <v>252062129</v>
      </c>
      <c r="M7" s="18">
        <f t="shared" si="0"/>
        <v>242602774</v>
      </c>
      <c r="N7" s="18">
        <f t="shared" si="0"/>
        <v>261241582</v>
      </c>
      <c r="O7" s="18">
        <f t="shared" si="0"/>
        <v>253202525</v>
      </c>
      <c r="P7" s="18">
        <f t="shared" si="0"/>
        <v>280129065</v>
      </c>
      <c r="Q7" s="19">
        <f t="shared" si="0"/>
        <v>246843850.15262759</v>
      </c>
      <c r="R7" s="19">
        <f t="shared" si="0"/>
        <v>210815264.71144477</v>
      </c>
      <c r="S7" s="19">
        <f t="shared" si="0"/>
        <v>213454565.76547757</v>
      </c>
      <c r="T7" s="19">
        <f t="shared" si="0"/>
        <v>175736241.4161227</v>
      </c>
      <c r="U7" s="19">
        <f t="shared" si="0"/>
        <v>201915372.98541468</v>
      </c>
      <c r="V7" s="19">
        <f t="shared" si="0"/>
        <v>204149848.77445593</v>
      </c>
      <c r="W7" s="19">
        <f t="shared" si="0"/>
        <v>200340687.98462436</v>
      </c>
      <c r="X7" s="19">
        <f t="shared" si="0"/>
        <v>207075864.70249477</v>
      </c>
      <c r="Y7" s="19">
        <f t="shared" si="0"/>
        <v>194478618.24282959</v>
      </c>
      <c r="Z7" s="19">
        <f t="shared" si="0"/>
        <v>190300960.90129185</v>
      </c>
      <c r="AA7" s="19"/>
      <c r="AB7" s="20">
        <f t="shared" si="6"/>
        <v>0.13696832814444959</v>
      </c>
      <c r="AD7" s="18">
        <f t="shared" si="3"/>
        <v>254077351</v>
      </c>
      <c r="AE7" s="18">
        <f t="shared" si="4"/>
        <v>-874826</v>
      </c>
      <c r="AF7" s="18">
        <f t="shared" si="1"/>
        <v>-8039057</v>
      </c>
      <c r="AG7" s="18">
        <f>O7/30</f>
        <v>8440084.166666666</v>
      </c>
      <c r="AH7" s="18">
        <f>AD7/30</f>
        <v>8469245.0333333332</v>
      </c>
      <c r="AI7" s="18">
        <f t="shared" si="5"/>
        <v>-29160.866666667163</v>
      </c>
    </row>
    <row r="8" spans="1:35">
      <c r="A8" s="14" t="s">
        <v>47</v>
      </c>
      <c r="B8" s="18">
        <f t="shared" si="2"/>
        <v>0</v>
      </c>
      <c r="C8" s="18">
        <f t="shared" si="2"/>
        <v>120193090</v>
      </c>
      <c r="D8" s="18">
        <f t="shared" si="2"/>
        <v>171829201</v>
      </c>
      <c r="E8" s="18">
        <f t="shared" si="2"/>
        <v>193525115</v>
      </c>
      <c r="F8" s="18">
        <f t="shared" si="2"/>
        <v>177259223</v>
      </c>
      <c r="G8" s="18">
        <f t="shared" si="2"/>
        <v>210593606</v>
      </c>
      <c r="H8" s="18">
        <f t="shared" si="2"/>
        <v>274309169</v>
      </c>
      <c r="I8" s="18">
        <f t="shared" si="2"/>
        <v>279161399</v>
      </c>
      <c r="J8" s="18">
        <f t="shared" si="2"/>
        <v>273442160</v>
      </c>
      <c r="K8" s="18">
        <f t="shared" si="2"/>
        <v>269550965</v>
      </c>
      <c r="L8" s="18">
        <f t="shared" si="2"/>
        <v>242734467</v>
      </c>
      <c r="M8" s="18">
        <f t="shared" si="0"/>
        <v>245745872</v>
      </c>
      <c r="N8" s="18">
        <f t="shared" si="0"/>
        <v>227480288</v>
      </c>
      <c r="O8" s="18">
        <f t="shared" si="0"/>
        <v>304523196</v>
      </c>
      <c r="P8" s="18">
        <f t="shared" si="0"/>
        <v>268407465</v>
      </c>
      <c r="Q8" s="19">
        <f t="shared" si="0"/>
        <v>245927319.47736239</v>
      </c>
      <c r="R8" s="19">
        <f t="shared" si="0"/>
        <v>216389741.22684726</v>
      </c>
      <c r="S8" s="19">
        <f t="shared" si="0"/>
        <v>219527189.98807308</v>
      </c>
      <c r="T8" s="19">
        <f t="shared" si="0"/>
        <v>184202604.73845169</v>
      </c>
      <c r="U8" s="19">
        <f t="shared" si="0"/>
        <v>204809758.78740352</v>
      </c>
      <c r="V8" s="19">
        <f t="shared" si="0"/>
        <v>208355668.36910316</v>
      </c>
      <c r="W8" s="19">
        <f t="shared" si="0"/>
        <v>205799636.39839163</v>
      </c>
      <c r="X8" s="19">
        <f t="shared" si="0"/>
        <v>214112433.03556722</v>
      </c>
      <c r="Y8" s="19">
        <f t="shared" si="0"/>
        <v>201205130.85632366</v>
      </c>
      <c r="Z8" s="19">
        <f t="shared" si="0"/>
        <v>196067866.96887857</v>
      </c>
      <c r="AA8" s="19"/>
      <c r="AB8" s="20">
        <f t="shared" si="6"/>
        <v>-4.1843569498937971E-2</v>
      </c>
      <c r="AD8" s="18">
        <f t="shared" si="3"/>
        <v>251790750.40000001</v>
      </c>
      <c r="AE8" s="18">
        <f t="shared" si="4"/>
        <v>52732445.599999994</v>
      </c>
      <c r="AF8" s="18">
        <f t="shared" si="1"/>
        <v>77042908</v>
      </c>
      <c r="AG8" s="18">
        <f>O8/31</f>
        <v>9823328.9032258056</v>
      </c>
      <c r="AH8" s="18">
        <f>AD8/31</f>
        <v>8122282.2709677424</v>
      </c>
      <c r="AI8" s="18">
        <f t="shared" si="5"/>
        <v>1701046.6322580632</v>
      </c>
    </row>
    <row r="9" spans="1:35">
      <c r="A9" s="14" t="s">
        <v>48</v>
      </c>
      <c r="B9" s="18">
        <f t="shared" si="2"/>
        <v>0</v>
      </c>
      <c r="C9" s="18">
        <f t="shared" si="2"/>
        <v>122574789</v>
      </c>
      <c r="D9" s="18">
        <f t="shared" si="2"/>
        <v>168738851</v>
      </c>
      <c r="E9" s="18">
        <f t="shared" si="2"/>
        <v>198432964</v>
      </c>
      <c r="F9" s="18">
        <f t="shared" si="2"/>
        <v>185622546</v>
      </c>
      <c r="G9" s="18">
        <f t="shared" si="2"/>
        <v>234649781</v>
      </c>
      <c r="H9" s="18">
        <f t="shared" si="2"/>
        <v>324296851</v>
      </c>
      <c r="I9" s="18">
        <f t="shared" si="2"/>
        <v>343163868</v>
      </c>
      <c r="J9" s="18">
        <f t="shared" si="2"/>
        <v>259177078</v>
      </c>
      <c r="K9" s="18">
        <f>K25+K41+K57</f>
        <v>245240505</v>
      </c>
      <c r="L9" s="18">
        <f t="shared" si="2"/>
        <v>273406391</v>
      </c>
      <c r="M9" s="18">
        <f t="shared" si="0"/>
        <v>258071727</v>
      </c>
      <c r="N9" s="18">
        <f t="shared" si="0"/>
        <v>243257783</v>
      </c>
      <c r="O9" s="18">
        <f t="shared" si="0"/>
        <v>291282197</v>
      </c>
      <c r="P9" s="18">
        <f t="shared" si="0"/>
        <v>262566397</v>
      </c>
      <c r="Q9" s="19">
        <f t="shared" si="0"/>
        <v>253078032.20468986</v>
      </c>
      <c r="R9" s="19">
        <f t="shared" si="0"/>
        <v>216599664.79695672</v>
      </c>
      <c r="S9" s="19">
        <f t="shared" si="0"/>
        <v>217816138.48470667</v>
      </c>
      <c r="T9" s="19">
        <f t="shared" si="0"/>
        <v>181256694.41761068</v>
      </c>
      <c r="U9" s="19">
        <f t="shared" si="0"/>
        <v>203031691.2921378</v>
      </c>
      <c r="V9" s="19">
        <f t="shared" si="0"/>
        <v>208573478.3977975</v>
      </c>
      <c r="W9" s="19">
        <f t="shared" si="0"/>
        <v>204588454.90633371</v>
      </c>
      <c r="X9" s="19">
        <f t="shared" si="0"/>
        <v>212010211.16282174</v>
      </c>
      <c r="Y9" s="19">
        <f t="shared" si="0"/>
        <v>199193026.31885868</v>
      </c>
      <c r="Z9" s="19">
        <f t="shared" si="0"/>
        <v>194460989.5793508</v>
      </c>
      <c r="AA9" s="19"/>
      <c r="AB9" s="20">
        <f t="shared" si="6"/>
        <v>-2.1761943170991893E-2</v>
      </c>
      <c r="AD9" s="18">
        <f t="shared" si="3"/>
        <v>255830696.80000001</v>
      </c>
      <c r="AE9" s="18">
        <f t="shared" si="4"/>
        <v>35451500.199999988</v>
      </c>
      <c r="AF9" s="18">
        <f t="shared" si="1"/>
        <v>48024414</v>
      </c>
      <c r="AG9" s="18">
        <f>O9/30</f>
        <v>9709406.5666666664</v>
      </c>
      <c r="AH9" s="18">
        <f>AD9/30</f>
        <v>8527689.8933333345</v>
      </c>
      <c r="AI9" s="18">
        <f t="shared" si="5"/>
        <v>1181716.6733333319</v>
      </c>
    </row>
    <row r="10" spans="1:35">
      <c r="A10" s="14" t="s">
        <v>49</v>
      </c>
      <c r="B10" s="18">
        <f t="shared" si="2"/>
        <v>62112924</v>
      </c>
      <c r="C10" s="18">
        <f t="shared" si="2"/>
        <v>134335324</v>
      </c>
      <c r="D10" s="18">
        <f t="shared" si="2"/>
        <v>149991047</v>
      </c>
      <c r="E10" s="18">
        <f t="shared" si="2"/>
        <v>202519351</v>
      </c>
      <c r="F10" s="18">
        <f t="shared" si="2"/>
        <v>229400902</v>
      </c>
      <c r="G10" s="18">
        <f t="shared" si="2"/>
        <v>269375677</v>
      </c>
      <c r="H10" s="18">
        <f t="shared" si="2"/>
        <v>268691731</v>
      </c>
      <c r="I10" s="18">
        <f t="shared" si="2"/>
        <v>307384801</v>
      </c>
      <c r="J10" s="18">
        <f t="shared" si="2"/>
        <v>262640333</v>
      </c>
      <c r="K10" s="18">
        <f t="shared" si="2"/>
        <v>278672201</v>
      </c>
      <c r="L10" s="18">
        <f t="shared" si="2"/>
        <v>274103584</v>
      </c>
      <c r="M10" s="18">
        <f t="shared" si="0"/>
        <v>243412375</v>
      </c>
      <c r="N10" s="18">
        <f t="shared" si="0"/>
        <v>219394940</v>
      </c>
      <c r="O10" s="18">
        <f t="shared" si="0"/>
        <v>259371473</v>
      </c>
      <c r="P10" s="18">
        <f t="shared" si="0"/>
        <v>252029976</v>
      </c>
      <c r="Q10" s="19">
        <f t="shared" si="0"/>
        <v>241311272.38248038</v>
      </c>
      <c r="R10" s="19">
        <f t="shared" si="0"/>
        <v>205513051.99169156</v>
      </c>
      <c r="S10" s="19">
        <f t="shared" si="0"/>
        <v>207033943.88033354</v>
      </c>
      <c r="T10" s="19">
        <f t="shared" si="0"/>
        <v>171705267.68338573</v>
      </c>
      <c r="U10" s="19">
        <f t="shared" si="0"/>
        <v>195380976.10519934</v>
      </c>
      <c r="V10" s="19">
        <f t="shared" si="0"/>
        <v>198604382.10218304</v>
      </c>
      <c r="W10" s="19">
        <f t="shared" si="0"/>
        <v>194864578.33327106</v>
      </c>
      <c r="X10" s="19">
        <f t="shared" si="0"/>
        <v>203402773.80487463</v>
      </c>
      <c r="Y10" s="19">
        <f t="shared" si="0"/>
        <v>191383733.55825692</v>
      </c>
      <c r="Z10" s="19">
        <f t="shared" si="0"/>
        <v>186928754.22995034</v>
      </c>
      <c r="AA10" s="19"/>
      <c r="AB10" s="21">
        <f t="shared" si="6"/>
        <v>-4.0128596501249891E-2</v>
      </c>
      <c r="AC10" s="22"/>
      <c r="AD10" s="23">
        <f t="shared" si="3"/>
        <v>255644686.59999999</v>
      </c>
      <c r="AE10" s="24">
        <f t="shared" si="4"/>
        <v>3726786.400000006</v>
      </c>
      <c r="AF10" s="24">
        <f t="shared" si="1"/>
        <v>39976533</v>
      </c>
      <c r="AG10" s="24">
        <f>O10/31</f>
        <v>8366821.7096774196</v>
      </c>
      <c r="AH10" s="23">
        <f>AD10/31</f>
        <v>8246602.7935483865</v>
      </c>
      <c r="AI10" s="24">
        <f t="shared" si="5"/>
        <v>120218.91612903308</v>
      </c>
    </row>
    <row r="11" spans="1:35">
      <c r="A11" s="14" t="s">
        <v>50</v>
      </c>
      <c r="B11" s="18">
        <f t="shared" si="2"/>
        <v>52018055</v>
      </c>
      <c r="C11" s="18">
        <f t="shared" si="2"/>
        <v>155308133</v>
      </c>
      <c r="D11" s="18">
        <f t="shared" si="2"/>
        <v>149631267</v>
      </c>
      <c r="E11" s="18">
        <f t="shared" si="2"/>
        <v>223236330</v>
      </c>
      <c r="F11" s="18">
        <f t="shared" si="2"/>
        <v>211923481</v>
      </c>
      <c r="G11" s="18">
        <f t="shared" si="2"/>
        <v>259901938</v>
      </c>
      <c r="H11" s="18">
        <f t="shared" si="2"/>
        <v>339249596</v>
      </c>
      <c r="I11" s="18">
        <f t="shared" si="2"/>
        <v>314369851</v>
      </c>
      <c r="J11" s="18">
        <f t="shared" si="2"/>
        <v>290482299</v>
      </c>
      <c r="K11" s="18">
        <f t="shared" si="2"/>
        <v>243634522</v>
      </c>
      <c r="L11" s="18">
        <f t="shared" si="2"/>
        <v>281771414</v>
      </c>
      <c r="M11" s="18">
        <f t="shared" si="0"/>
        <v>248448776</v>
      </c>
      <c r="N11" s="18">
        <f t="shared" si="0"/>
        <v>250657504</v>
      </c>
      <c r="O11" s="18">
        <f t="shared" si="0"/>
        <v>294962464</v>
      </c>
      <c r="P11" s="18">
        <f t="shared" si="0"/>
        <v>244649664</v>
      </c>
      <c r="Q11" s="19">
        <f t="shared" si="0"/>
        <v>253291611.13033494</v>
      </c>
      <c r="R11" s="19">
        <f t="shared" si="0"/>
        <v>217205336.73954126</v>
      </c>
      <c r="S11" s="19">
        <f t="shared" si="0"/>
        <v>219842437.9998962</v>
      </c>
      <c r="T11" s="19">
        <f t="shared" si="0"/>
        <v>180923725.48476273</v>
      </c>
      <c r="U11" s="19">
        <f t="shared" si="0"/>
        <v>202141380.27765182</v>
      </c>
      <c r="V11" s="19">
        <f t="shared" si="0"/>
        <v>208837326.61760104</v>
      </c>
      <c r="W11" s="19">
        <f t="shared" si="0"/>
        <v>204948822.89156187</v>
      </c>
      <c r="X11" s="19">
        <f t="shared" si="0"/>
        <v>213160732.49815613</v>
      </c>
      <c r="Y11" s="19">
        <f t="shared" si="0"/>
        <v>200060696.8548395</v>
      </c>
      <c r="Z11" s="19">
        <f t="shared" si="0"/>
        <v>195297165.91240704</v>
      </c>
      <c r="AA11" s="19"/>
      <c r="AB11" s="20">
        <f t="shared" si="6"/>
        <v>-2.9283469042587273E-2</v>
      </c>
      <c r="AD11" s="18">
        <f t="shared" si="3"/>
        <v>262998903</v>
      </c>
      <c r="AE11" s="19">
        <f t="shared" si="4"/>
        <v>31963561</v>
      </c>
      <c r="AF11" s="19">
        <f t="shared" si="1"/>
        <v>44304960</v>
      </c>
      <c r="AG11" s="19">
        <f>O11/31</f>
        <v>9514918.1935483869</v>
      </c>
      <c r="AH11" s="18">
        <f>AD11/31</f>
        <v>8483835.5806451607</v>
      </c>
      <c r="AI11" s="19">
        <f t="shared" si="5"/>
        <v>1031082.6129032262</v>
      </c>
    </row>
    <row r="12" spans="1:35">
      <c r="A12" s="14" t="s">
        <v>51</v>
      </c>
      <c r="B12" s="18">
        <f t="shared" si="2"/>
        <v>64091252</v>
      </c>
      <c r="C12" s="18">
        <f t="shared" si="2"/>
        <v>178310819</v>
      </c>
      <c r="D12" s="18">
        <f t="shared" si="2"/>
        <v>128016128</v>
      </c>
      <c r="E12" s="18">
        <f t="shared" si="2"/>
        <v>221823136</v>
      </c>
      <c r="F12" s="18">
        <f t="shared" si="2"/>
        <v>219356098</v>
      </c>
      <c r="G12" s="18">
        <f t="shared" si="2"/>
        <v>214232248</v>
      </c>
      <c r="H12" s="18">
        <f t="shared" si="2"/>
        <v>355260128</v>
      </c>
      <c r="I12" s="18">
        <f t="shared" si="2"/>
        <v>264348723</v>
      </c>
      <c r="J12" s="18">
        <f t="shared" si="2"/>
        <v>253234868</v>
      </c>
      <c r="K12" s="18">
        <f t="shared" si="2"/>
        <v>237781216</v>
      </c>
      <c r="L12" s="18">
        <f t="shared" si="2"/>
        <v>272882851</v>
      </c>
      <c r="M12" s="18">
        <f t="shared" si="0"/>
        <v>227593748</v>
      </c>
      <c r="N12" s="18">
        <f t="shared" si="0"/>
        <v>241431237</v>
      </c>
      <c r="O12" s="18">
        <f t="shared" si="0"/>
        <v>281254460</v>
      </c>
      <c r="P12" s="18">
        <f t="shared" si="0"/>
        <v>238676227</v>
      </c>
      <c r="Q12" s="19">
        <f t="shared" si="0"/>
        <v>242996996.0598729</v>
      </c>
      <c r="R12" s="19">
        <f t="shared" si="0"/>
        <v>205344090.04662314</v>
      </c>
      <c r="S12" s="19">
        <f t="shared" si="0"/>
        <v>209236880.86973655</v>
      </c>
      <c r="T12" s="19">
        <f t="shared" si="0"/>
        <v>172389752.20011643</v>
      </c>
      <c r="U12" s="19">
        <f t="shared" si="0"/>
        <v>193325977.52659422</v>
      </c>
      <c r="V12" s="19">
        <f t="shared" si="0"/>
        <v>199110972.42107019</v>
      </c>
      <c r="W12" s="19">
        <f t="shared" si="0"/>
        <v>195069895.92232788</v>
      </c>
      <c r="X12" s="19">
        <f t="shared" si="0"/>
        <v>202852777.32511163</v>
      </c>
      <c r="Y12" s="19">
        <f t="shared" si="0"/>
        <v>190406734.43339118</v>
      </c>
      <c r="Z12" s="19">
        <f t="shared" si="0"/>
        <v>185917363.89066255</v>
      </c>
      <c r="AA12" s="19"/>
      <c r="AB12" s="20">
        <f t="shared" si="6"/>
        <v>-2.4416289408842218E-2</v>
      </c>
      <c r="AD12" s="18">
        <f t="shared" si="3"/>
        <v>246584784</v>
      </c>
      <c r="AE12" s="19">
        <f t="shared" si="4"/>
        <v>34669676</v>
      </c>
      <c r="AF12" s="19">
        <f t="shared" si="1"/>
        <v>39823223</v>
      </c>
      <c r="AG12" s="19">
        <f>O12/30</f>
        <v>9375148.666666666</v>
      </c>
      <c r="AH12" s="18">
        <f>AD12/30</f>
        <v>8219492.7999999998</v>
      </c>
      <c r="AI12" s="19">
        <f t="shared" si="5"/>
        <v>1155655.8666666662</v>
      </c>
    </row>
    <row r="13" spans="1:35">
      <c r="A13" s="14" t="s">
        <v>52</v>
      </c>
      <c r="B13" s="18">
        <f t="shared" si="2"/>
        <v>60800332</v>
      </c>
      <c r="C13" s="18">
        <f t="shared" si="2"/>
        <v>177348208</v>
      </c>
      <c r="D13" s="18">
        <f t="shared" si="2"/>
        <v>124842795</v>
      </c>
      <c r="E13" s="18">
        <f t="shared" si="2"/>
        <v>229265467</v>
      </c>
      <c r="F13" s="18">
        <f t="shared" si="2"/>
        <v>214826209</v>
      </c>
      <c r="G13" s="18">
        <f t="shared" si="2"/>
        <v>231062872</v>
      </c>
      <c r="H13" s="18">
        <f t="shared" si="2"/>
        <v>314969526</v>
      </c>
      <c r="I13" s="18">
        <f t="shared" si="2"/>
        <v>279053614</v>
      </c>
      <c r="J13" s="18">
        <f t="shared" si="2"/>
        <v>287401061</v>
      </c>
      <c r="K13" s="18">
        <f t="shared" si="2"/>
        <v>240602737</v>
      </c>
      <c r="L13" s="18">
        <f t="shared" si="2"/>
        <v>247161595</v>
      </c>
      <c r="M13" s="18">
        <f t="shared" si="0"/>
        <v>236503413</v>
      </c>
      <c r="N13" s="18">
        <f t="shared" si="0"/>
        <v>233059331</v>
      </c>
      <c r="O13" s="18">
        <f t="shared" si="0"/>
        <v>302748555</v>
      </c>
      <c r="P13" s="18">
        <f t="shared" si="0"/>
        <v>261450608</v>
      </c>
      <c r="Q13" s="19">
        <f t="shared" si="0"/>
        <v>243806035.60447383</v>
      </c>
      <c r="R13" s="19">
        <f t="shared" si="0"/>
        <v>211879533.17574596</v>
      </c>
      <c r="S13" s="19">
        <f t="shared" si="0"/>
        <v>216022687.00205594</v>
      </c>
      <c r="T13" s="19">
        <f t="shared" si="0"/>
        <v>181154811.15914157</v>
      </c>
      <c r="U13" s="19">
        <f t="shared" si="0"/>
        <v>201429754.73806378</v>
      </c>
      <c r="V13" s="19">
        <f t="shared" si="0"/>
        <v>205165220.19788748</v>
      </c>
      <c r="W13" s="19">
        <f t="shared" si="0"/>
        <v>202266229.65915862</v>
      </c>
      <c r="X13" s="19">
        <f t="shared" si="0"/>
        <v>210081484.42404225</v>
      </c>
      <c r="Y13" s="19">
        <f t="shared" si="0"/>
        <v>197366714.05739295</v>
      </c>
      <c r="Z13" s="19">
        <f t="shared" si="0"/>
        <v>192399725.58487096</v>
      </c>
      <c r="AA13" s="19"/>
      <c r="AB13" s="20">
        <f t="shared" si="6"/>
        <v>9.5419561831769695E-2</v>
      </c>
      <c r="AD13" s="18">
        <f t="shared" si="3"/>
        <v>248945627.40000001</v>
      </c>
      <c r="AE13" s="19">
        <f t="shared" si="4"/>
        <v>53802927.599999994</v>
      </c>
      <c r="AF13" s="19">
        <f t="shared" si="1"/>
        <v>69689224</v>
      </c>
      <c r="AG13" s="19">
        <f>O13/31</f>
        <v>9766082.4193548393</v>
      </c>
      <c r="AH13" s="18">
        <f>AD13/31</f>
        <v>8030504.10967742</v>
      </c>
      <c r="AI13" s="19">
        <f t="shared" si="5"/>
        <v>1735578.3096774193</v>
      </c>
    </row>
    <row r="14" spans="1:35">
      <c r="A14" s="14" t="s">
        <v>53</v>
      </c>
      <c r="B14" s="18">
        <f t="shared" si="2"/>
        <v>49709181</v>
      </c>
      <c r="C14" s="18">
        <f t="shared" si="2"/>
        <v>163468847</v>
      </c>
      <c r="D14" s="18">
        <f t="shared" si="2"/>
        <v>103254007</v>
      </c>
      <c r="E14" s="18">
        <f t="shared" si="2"/>
        <v>214069129</v>
      </c>
      <c r="F14" s="18">
        <f t="shared" si="2"/>
        <v>194039547</v>
      </c>
      <c r="G14" s="18">
        <f t="shared" si="2"/>
        <v>189643105</v>
      </c>
      <c r="H14" s="18">
        <f t="shared" si="2"/>
        <v>338081756</v>
      </c>
      <c r="I14" s="18">
        <f t="shared" si="2"/>
        <v>258321053</v>
      </c>
      <c r="J14" s="18">
        <f t="shared" si="2"/>
        <v>245554395</v>
      </c>
      <c r="K14" s="18">
        <f t="shared" si="2"/>
        <v>201565207</v>
      </c>
      <c r="L14" s="18">
        <f t="shared" si="2"/>
        <v>247162199</v>
      </c>
      <c r="M14" s="18">
        <f t="shared" si="0"/>
        <v>243511443</v>
      </c>
      <c r="N14" s="18">
        <f t="shared" si="0"/>
        <v>262671846</v>
      </c>
      <c r="O14" s="18">
        <f t="shared" si="0"/>
        <v>267846127</v>
      </c>
      <c r="P14" s="18">
        <f t="shared" si="0"/>
        <v>234250750</v>
      </c>
      <c r="Q14" s="19">
        <f t="shared" si="0"/>
        <v>237858546.28923419</v>
      </c>
      <c r="R14" s="19">
        <f t="shared" si="0"/>
        <v>205959829.16079512</v>
      </c>
      <c r="S14" s="19">
        <f t="shared" si="0"/>
        <v>207840106.88095582</v>
      </c>
      <c r="T14" s="19">
        <f t="shared" si="0"/>
        <v>169202122.27350664</v>
      </c>
      <c r="U14" s="19">
        <f t="shared" si="0"/>
        <v>190706227.17019671</v>
      </c>
      <c r="V14" s="19">
        <f t="shared" si="0"/>
        <v>196855982.54486442</v>
      </c>
      <c r="W14" s="19">
        <f t="shared" si="0"/>
        <v>193284522.95171106</v>
      </c>
      <c r="X14" s="19">
        <f t="shared" si="0"/>
        <v>200013194.68720874</v>
      </c>
      <c r="Y14" s="19">
        <f t="shared" si="0"/>
        <v>187507266.16550148</v>
      </c>
      <c r="Z14" s="19">
        <f t="shared" si="0"/>
        <v>183298957.83394665</v>
      </c>
      <c r="AA14" s="19"/>
      <c r="AB14" s="20">
        <f t="shared" si="6"/>
        <v>-0.10403440331643821</v>
      </c>
      <c r="AD14" s="18">
        <f t="shared" si="3"/>
        <v>240093018</v>
      </c>
      <c r="AE14" s="19">
        <f t="shared" si="4"/>
        <v>27753109</v>
      </c>
      <c r="AF14" s="19">
        <f t="shared" si="1"/>
        <v>5174281</v>
      </c>
      <c r="AG14" s="19">
        <f>O14/30</f>
        <v>8928204.2333333325</v>
      </c>
      <c r="AH14" s="18">
        <f>AD14/30</f>
        <v>8003100.5999999996</v>
      </c>
      <c r="AI14" s="19">
        <f t="shared" si="5"/>
        <v>925103.63333333284</v>
      </c>
    </row>
    <row r="15" spans="1:35">
      <c r="A15" s="14" t="s">
        <v>54</v>
      </c>
      <c r="B15" s="18">
        <f t="shared" si="2"/>
        <v>51716982</v>
      </c>
      <c r="C15" s="18">
        <f t="shared" si="2"/>
        <v>241701411</v>
      </c>
      <c r="D15" s="18">
        <f t="shared" si="2"/>
        <v>88441395</v>
      </c>
      <c r="E15" s="18">
        <f t="shared" si="2"/>
        <v>309975408</v>
      </c>
      <c r="F15" s="18">
        <f t="shared" si="2"/>
        <v>282456119</v>
      </c>
      <c r="G15" s="18">
        <f t="shared" si="2"/>
        <v>228721670</v>
      </c>
      <c r="H15" s="18">
        <f t="shared" si="2"/>
        <v>470027897</v>
      </c>
      <c r="I15" s="18">
        <f t="shared" si="2"/>
        <v>290570548</v>
      </c>
      <c r="J15" s="18">
        <f t="shared" si="2"/>
        <v>319398388</v>
      </c>
      <c r="K15" s="18">
        <f t="shared" si="2"/>
        <v>245882578</v>
      </c>
      <c r="L15" s="18">
        <f t="shared" si="2"/>
        <v>299831700</v>
      </c>
      <c r="M15" s="18">
        <f t="shared" si="0"/>
        <v>325456318</v>
      </c>
      <c r="N15" s="18">
        <f t="shared" si="0"/>
        <v>282902497</v>
      </c>
      <c r="O15" s="18">
        <f t="shared" si="0"/>
        <v>307056495</v>
      </c>
      <c r="P15" s="18">
        <f t="shared" si="0"/>
        <v>309393324</v>
      </c>
      <c r="Q15" s="19">
        <f t="shared" si="0"/>
        <v>548266216.66057444</v>
      </c>
      <c r="R15" s="19">
        <f t="shared" si="0"/>
        <v>256300221.79024991</v>
      </c>
      <c r="S15" s="19">
        <f t="shared" si="0"/>
        <v>284761108.89396</v>
      </c>
      <c r="T15" s="19">
        <f t="shared" si="0"/>
        <v>247530689.97356221</v>
      </c>
      <c r="U15" s="19">
        <f t="shared" si="0"/>
        <v>294820628.09244949</v>
      </c>
      <c r="V15" s="19">
        <f t="shared" si="0"/>
        <v>317604226.36122495</v>
      </c>
      <c r="W15" s="19">
        <f t="shared" si="0"/>
        <v>278865830.32573462</v>
      </c>
      <c r="X15" s="19">
        <f t="shared" si="0"/>
        <v>293504793.52207714</v>
      </c>
      <c r="Y15" s="19">
        <f t="shared" si="0"/>
        <v>249262626.99084634</v>
      </c>
      <c r="Z15" s="19">
        <f t="shared" si="0"/>
        <v>258560633.40146843</v>
      </c>
      <c r="AA15" s="19"/>
      <c r="AB15" s="20">
        <f t="shared" si="6"/>
        <v>0.32077837104043416</v>
      </c>
      <c r="AD15" s="18">
        <f t="shared" si="3"/>
        <v>294694296.19999999</v>
      </c>
      <c r="AE15" s="19">
        <f t="shared" si="4"/>
        <v>12362198.800000012</v>
      </c>
      <c r="AF15" s="19">
        <f t="shared" si="1"/>
        <v>24153998</v>
      </c>
      <c r="AG15" s="19">
        <f>O15/31</f>
        <v>9905048.2258064523</v>
      </c>
      <c r="AH15" s="18">
        <f>AD15/31</f>
        <v>9506267.6193548385</v>
      </c>
      <c r="AI15" s="19">
        <f t="shared" si="5"/>
        <v>398780.60645161383</v>
      </c>
    </row>
    <row r="16" spans="1:35">
      <c r="A16" s="14" t="s">
        <v>29</v>
      </c>
      <c r="B16" s="18">
        <f>SUM(B4:B15)</f>
        <v>340448726</v>
      </c>
      <c r="C16" s="18">
        <f t="shared" ref="C16:L16" si="7">SUM(C4:C15)</f>
        <v>1622342938</v>
      </c>
      <c r="D16" s="18">
        <f t="shared" si="7"/>
        <v>1585785263</v>
      </c>
      <c r="E16" s="18">
        <f t="shared" si="7"/>
        <v>2356799845</v>
      </c>
      <c r="F16" s="18">
        <f t="shared" si="7"/>
        <v>2233113145</v>
      </c>
      <c r="G16" s="18">
        <f t="shared" si="7"/>
        <v>2384931031</v>
      </c>
      <c r="H16" s="18">
        <f t="shared" si="7"/>
        <v>3460943722</v>
      </c>
      <c r="I16" s="18">
        <f t="shared" si="7"/>
        <v>3075277399</v>
      </c>
      <c r="J16" s="18">
        <f t="shared" si="7"/>
        <v>3045928096</v>
      </c>
      <c r="K16" s="18">
        <f t="shared" si="7"/>
        <v>2847807701</v>
      </c>
      <c r="L16" s="18">
        <f t="shared" si="7"/>
        <v>3051588188</v>
      </c>
      <c r="M16" s="18">
        <f>SUM(M4:M15)</f>
        <v>2869651101</v>
      </c>
      <c r="N16" s="18">
        <f>SUM(N4:N15)</f>
        <v>2790829193</v>
      </c>
      <c r="O16" s="18">
        <f>SUM(O4:O15)</f>
        <v>3275271449</v>
      </c>
      <c r="P16" s="18">
        <f>SUM(P4:P15)</f>
        <v>3111016179</v>
      </c>
      <c r="Q16" s="19">
        <f>SUM(Q4:Q15)</f>
        <v>2886493378.9616504</v>
      </c>
      <c r="R16" s="19">
        <f t="shared" ref="R16:Z16" si="8">SUM(R4:R15)</f>
        <v>2475554464.0444732</v>
      </c>
      <c r="S16" s="19">
        <f t="shared" si="8"/>
        <v>2504566843.7797403</v>
      </c>
      <c r="T16" s="19">
        <f t="shared" si="8"/>
        <v>2087029907.4257903</v>
      </c>
      <c r="U16" s="19">
        <f t="shared" si="8"/>
        <v>2355651047.2951875</v>
      </c>
      <c r="V16" s="19">
        <f t="shared" si="8"/>
        <v>2395444150.0760841</v>
      </c>
      <c r="W16" s="19">
        <f t="shared" si="8"/>
        <v>2353622293.3240242</v>
      </c>
      <c r="X16" s="19">
        <f t="shared" si="8"/>
        <v>2442109360.8449473</v>
      </c>
      <c r="Y16" s="19">
        <f t="shared" si="8"/>
        <v>2295480150.1888828</v>
      </c>
      <c r="Z16" s="19">
        <f t="shared" si="8"/>
        <v>2241344325.1675296</v>
      </c>
      <c r="AA16" s="19"/>
      <c r="AD16" s="18">
        <f t="shared" si="3"/>
        <v>2921160855.8000002</v>
      </c>
      <c r="AE16" s="18">
        <f t="shared" si="4"/>
        <v>354110593.19999981</v>
      </c>
    </row>
    <row r="17" spans="1:35">
      <c r="M17" s="25">
        <f>M9/L9-1</f>
        <v>-5.6087437985310351E-2</v>
      </c>
      <c r="N17" s="25">
        <f>N9/M9-1</f>
        <v>-5.7402429054152049E-2</v>
      </c>
      <c r="O17" s="25">
        <f>O9/N9-1</f>
        <v>0.19742190119359915</v>
      </c>
      <c r="P17" s="25">
        <f>P9/O9-1</f>
        <v>-9.8584123217115072E-2</v>
      </c>
      <c r="Q17" s="25">
        <f>Q9/P9-1</f>
        <v>-3.6137011071184943E-2</v>
      </c>
      <c r="AA17" s="18"/>
    </row>
    <row r="18" spans="1:35" ht="15.75">
      <c r="A18" s="15" t="s">
        <v>55</v>
      </c>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8"/>
    </row>
    <row r="19" spans="1:35">
      <c r="B19" s="14">
        <v>2010</v>
      </c>
      <c r="C19" s="14">
        <v>2011</v>
      </c>
      <c r="D19" s="14">
        <v>2012</v>
      </c>
      <c r="E19" s="14">
        <v>2013</v>
      </c>
      <c r="F19" s="14">
        <v>2014</v>
      </c>
      <c r="G19" s="14">
        <v>2015</v>
      </c>
      <c r="H19" s="14">
        <v>2016</v>
      </c>
      <c r="I19" s="14">
        <v>2017</v>
      </c>
      <c r="J19" s="14">
        <v>2018</v>
      </c>
      <c r="K19" s="14">
        <v>2019</v>
      </c>
      <c r="L19" s="14">
        <v>2020</v>
      </c>
      <c r="M19" s="14">
        <v>2021</v>
      </c>
      <c r="N19" s="14">
        <v>2022</v>
      </c>
      <c r="O19" s="14">
        <v>2023</v>
      </c>
      <c r="P19" s="14">
        <v>2024</v>
      </c>
      <c r="Q19" s="14">
        <v>2025</v>
      </c>
      <c r="R19" s="14">
        <v>2026</v>
      </c>
      <c r="S19" s="14">
        <v>2027</v>
      </c>
      <c r="T19" s="14">
        <v>2028</v>
      </c>
      <c r="U19" s="14">
        <v>2029</v>
      </c>
      <c r="V19" s="14">
        <v>2030</v>
      </c>
      <c r="W19" s="14">
        <v>2031</v>
      </c>
      <c r="X19" s="14">
        <v>2032</v>
      </c>
      <c r="Y19" s="14">
        <v>2033</v>
      </c>
      <c r="Z19" s="14">
        <v>2034</v>
      </c>
      <c r="AA19" s="18"/>
      <c r="AD19" s="14" t="s">
        <v>37</v>
      </c>
      <c r="AE19" s="14" t="s">
        <v>38</v>
      </c>
      <c r="AF19" s="14" t="s">
        <v>39</v>
      </c>
      <c r="AG19" s="14" t="s">
        <v>40</v>
      </c>
      <c r="AH19" s="14" t="s">
        <v>41</v>
      </c>
      <c r="AI19" s="14" t="s">
        <v>42</v>
      </c>
    </row>
    <row r="20" spans="1:35">
      <c r="A20" s="14" t="s">
        <v>43</v>
      </c>
      <c r="B20" s="18">
        <f>'D4 RIN Forecast'!B67+'D6 RIN Forecast'!B65</f>
        <v>0</v>
      </c>
      <c r="C20" s="18">
        <f>'D4 RIN Forecast'!C67+'D6 RIN Forecast'!C65</f>
        <v>49505715</v>
      </c>
      <c r="D20" s="18">
        <f>'D4 RIN Forecast'!D67+'D6 RIN Forecast'!D65</f>
        <v>90177628</v>
      </c>
      <c r="E20" s="18">
        <f>'D4 RIN Forecast'!E67+'D6 RIN Forecast'!E65</f>
        <v>106747260</v>
      </c>
      <c r="F20" s="18">
        <f>'D4 RIN Forecast'!F67+'D6 RIN Forecast'!F65</f>
        <v>85044693</v>
      </c>
      <c r="G20" s="18">
        <f>'D4 RIN Forecast'!G67+'D6 RIN Forecast'!G65</f>
        <v>83820702</v>
      </c>
      <c r="H20" s="18">
        <f>'D4 RIN Forecast'!H67+'D6 RIN Forecast'!H65</f>
        <v>128359030</v>
      </c>
      <c r="I20" s="18">
        <f>'D4 RIN Forecast'!I67+'D6 RIN Forecast'!I65</f>
        <v>98905290</v>
      </c>
      <c r="J20" s="18">
        <f>'D4 RIN Forecast'!J67+'D6 RIN Forecast'!J65</f>
        <v>165745904</v>
      </c>
      <c r="K20" s="18">
        <f>'D4 RIN Forecast'!K67+'D6 RIN Forecast'!K65</f>
        <v>161522352</v>
      </c>
      <c r="L20" s="18">
        <f>'D4 RIN Forecast'!L67+'D6 RIN Forecast'!L65</f>
        <v>177608018</v>
      </c>
      <c r="M20" s="18">
        <f>'D4 RIN Forecast'!M67+'D6 RIN Forecast'!M65</f>
        <v>160955805</v>
      </c>
      <c r="N20" s="18">
        <f>'D4 RIN Forecast'!N67+'D6 RIN Forecast'!N65</f>
        <v>136074146</v>
      </c>
      <c r="O20" s="18">
        <f>'D4 RIN Forecast'!O67+'D6 RIN Forecast'!O65</f>
        <v>179324312</v>
      </c>
      <c r="P20" s="18">
        <f>'D4 RIN Forecast'!P67+'D6 RIN Forecast'!P65</f>
        <v>182709674</v>
      </c>
      <c r="Q20" s="19">
        <f>'D4 RIN Forecast'!Q67+'D6 RIN Forecast'!Q65</f>
        <v>98454791</v>
      </c>
      <c r="R20" s="19">
        <f>'D4 RIN Forecast'!R67+'D6 RIN Forecast'!R65</f>
        <v>147413559.25551152</v>
      </c>
      <c r="S20" s="19">
        <f>'D4 RIN Forecast'!S67+'D6 RIN Forecast'!S65</f>
        <v>136533390.50849715</v>
      </c>
      <c r="T20" s="19">
        <f>'D4 RIN Forecast'!T67+'D6 RIN Forecast'!T65</f>
        <v>110968062.36654396</v>
      </c>
      <c r="U20" s="19">
        <f>'D4 RIN Forecast'!U67+'D6 RIN Forecast'!U65</f>
        <v>124043919.63397582</v>
      </c>
      <c r="V20" s="19">
        <f>'D4 RIN Forecast'!V67+'D6 RIN Forecast'!V65</f>
        <v>120022613.53389913</v>
      </c>
      <c r="W20" s="19">
        <f>'D4 RIN Forecast'!W67+'D6 RIN Forecast'!W65</f>
        <v>127359252.92237683</v>
      </c>
      <c r="X20" s="19">
        <f>'D4 RIN Forecast'!X67+'D6 RIN Forecast'!X65</f>
        <v>132501812.11819242</v>
      </c>
      <c r="Y20" s="19">
        <f>'D4 RIN Forecast'!Y67+'D6 RIN Forecast'!Y65</f>
        <v>154192038.91648003</v>
      </c>
      <c r="Z20" s="19">
        <f>'D4 RIN Forecast'!Z67+'D6 RIN Forecast'!Z65</f>
        <v>136971253.76996499</v>
      </c>
      <c r="AA20" s="19"/>
      <c r="AB20" s="20">
        <f>P20/O31-1</f>
        <v>-0.10336317340062118</v>
      </c>
      <c r="AD20" s="18">
        <f>AVERAGE(J20:N20)</f>
        <v>160381245</v>
      </c>
      <c r="AE20" s="18">
        <f>O20-AD20</f>
        <v>18943067</v>
      </c>
      <c r="AF20" s="18">
        <f t="shared" ref="AF20:AF31" si="9">O20-N20</f>
        <v>43250166</v>
      </c>
      <c r="AG20" s="18">
        <f>O20/31</f>
        <v>5784655.2258064514</v>
      </c>
      <c r="AH20" s="18">
        <f>AD20/31</f>
        <v>5173588.5483870972</v>
      </c>
      <c r="AI20" s="18">
        <f>AG20-AH20</f>
        <v>611066.67741935421</v>
      </c>
    </row>
    <row r="21" spans="1:35">
      <c r="A21" s="14" t="s">
        <v>44</v>
      </c>
      <c r="B21" s="18">
        <f>'D4 RIN Forecast'!B68+'D6 RIN Forecast'!B66</f>
        <v>0</v>
      </c>
      <c r="C21" s="18">
        <f>'D4 RIN Forecast'!C68+'D6 RIN Forecast'!C66</f>
        <v>62643821</v>
      </c>
      <c r="D21" s="18">
        <f>'D4 RIN Forecast'!D68+'D6 RIN Forecast'!D66</f>
        <v>109393639</v>
      </c>
      <c r="E21" s="18">
        <f>'D4 RIN Forecast'!E68+'D6 RIN Forecast'!E66</f>
        <v>111777887</v>
      </c>
      <c r="F21" s="18">
        <f>'D4 RIN Forecast'!F68+'D6 RIN Forecast'!F66</f>
        <v>104790611</v>
      </c>
      <c r="G21" s="18">
        <f>'D4 RIN Forecast'!G68+'D6 RIN Forecast'!G66</f>
        <v>94272146</v>
      </c>
      <c r="H21" s="18">
        <f>'D4 RIN Forecast'!H68+'D6 RIN Forecast'!H66</f>
        <v>150604717</v>
      </c>
      <c r="I21" s="18">
        <f>'D4 RIN Forecast'!I68+'D6 RIN Forecast'!I66</f>
        <v>117715768</v>
      </c>
      <c r="J21" s="18">
        <f>'D4 RIN Forecast'!J68+'D6 RIN Forecast'!J66</f>
        <v>173306511</v>
      </c>
      <c r="K21" s="18">
        <f>'D4 RIN Forecast'!K68+'D6 RIN Forecast'!K66</f>
        <v>175997796</v>
      </c>
      <c r="L21" s="18">
        <f>'D4 RIN Forecast'!L68+'D6 RIN Forecast'!L66</f>
        <v>192051881</v>
      </c>
      <c r="M21" s="18">
        <f>'D4 RIN Forecast'!M68+'D6 RIN Forecast'!M66</f>
        <v>164823473</v>
      </c>
      <c r="N21" s="18">
        <f>'D4 RIN Forecast'!N68+'D6 RIN Forecast'!N66</f>
        <v>165665990</v>
      </c>
      <c r="O21" s="18">
        <f>'D4 RIN Forecast'!O68+'D6 RIN Forecast'!O66</f>
        <v>172115694</v>
      </c>
      <c r="P21" s="18">
        <f>'D4 RIN Forecast'!P68+'D6 RIN Forecast'!P66</f>
        <v>189671121</v>
      </c>
      <c r="Q21" s="19">
        <f>'D4 RIN Forecast'!Q68+'D6 RIN Forecast'!Q66</f>
        <v>110737881</v>
      </c>
      <c r="R21" s="19">
        <f>'D4 RIN Forecast'!R68+'D6 RIN Forecast'!R66</f>
        <v>156388268.43259063</v>
      </c>
      <c r="S21" s="19">
        <f>'D4 RIN Forecast'!S68+'D6 RIN Forecast'!S66</f>
        <v>145933662.10192883</v>
      </c>
      <c r="T21" s="19">
        <f>'D4 RIN Forecast'!T68+'D6 RIN Forecast'!T66</f>
        <v>115596837.91715646</v>
      </c>
      <c r="U21" s="19">
        <f>'D4 RIN Forecast'!U68+'D6 RIN Forecast'!U66</f>
        <v>131909237.55709356</v>
      </c>
      <c r="V21" s="19">
        <f>'D4 RIN Forecast'!V68+'D6 RIN Forecast'!V66</f>
        <v>128380918.23357537</v>
      </c>
      <c r="W21" s="19">
        <f>'D4 RIN Forecast'!W68+'D6 RIN Forecast'!W66</f>
        <v>135178522.75622797</v>
      </c>
      <c r="X21" s="19">
        <f>'D4 RIN Forecast'!X68+'D6 RIN Forecast'!X66</f>
        <v>140652982.93785235</v>
      </c>
      <c r="Y21" s="19">
        <f>'D4 RIN Forecast'!Y68+'D6 RIN Forecast'!Y66</f>
        <v>131629711.44791095</v>
      </c>
      <c r="Z21" s="19">
        <f>'D4 RIN Forecast'!Z68+'D6 RIN Forecast'!Z66</f>
        <v>128329163.71990728</v>
      </c>
      <c r="AA21" s="19"/>
      <c r="AB21" s="20">
        <f>P21/P20-1</f>
        <v>3.8101140720113058E-2</v>
      </c>
      <c r="AD21" s="18">
        <f t="shared" ref="AD21:AD32" si="10">AVERAGE(J21:N21)</f>
        <v>174369130.19999999</v>
      </c>
      <c r="AE21" s="18">
        <f t="shared" ref="AE21:AE32" si="11">O21-AD21</f>
        <v>-2253436.1999999881</v>
      </c>
      <c r="AF21" s="18">
        <f t="shared" si="9"/>
        <v>6449704</v>
      </c>
      <c r="AG21" s="18">
        <f>O21/28</f>
        <v>6146989.0714285718</v>
      </c>
      <c r="AH21" s="18">
        <f>AD21/28</f>
        <v>6227468.9357142849</v>
      </c>
      <c r="AI21" s="18">
        <f t="shared" ref="AI21:AI31" si="12">AG21-AH21</f>
        <v>-80479.864285713062</v>
      </c>
    </row>
    <row r="22" spans="1:35">
      <c r="A22" s="14" t="s">
        <v>45</v>
      </c>
      <c r="B22" s="18">
        <f>'D4 RIN Forecast'!B69+'D6 RIN Forecast'!B67</f>
        <v>0</v>
      </c>
      <c r="C22" s="18">
        <f>'D4 RIN Forecast'!C69+'D6 RIN Forecast'!C67</f>
        <v>95282780</v>
      </c>
      <c r="D22" s="18">
        <f>'D4 RIN Forecast'!D69+'D6 RIN Forecast'!D67</f>
        <v>142728693</v>
      </c>
      <c r="E22" s="18">
        <f>'D4 RIN Forecast'!E69+'D6 RIN Forecast'!E67</f>
        <v>151547391</v>
      </c>
      <c r="F22" s="18">
        <f>'D4 RIN Forecast'!F69+'D6 RIN Forecast'!F67</f>
        <v>136218938</v>
      </c>
      <c r="G22" s="18">
        <f>'D4 RIN Forecast'!G69+'D6 RIN Forecast'!G67</f>
        <v>138558203</v>
      </c>
      <c r="H22" s="18">
        <f>'D4 RIN Forecast'!H69+'D6 RIN Forecast'!H67</f>
        <v>190136699</v>
      </c>
      <c r="I22" s="18">
        <f>'D4 RIN Forecast'!I69+'D6 RIN Forecast'!I67</f>
        <v>167244013</v>
      </c>
      <c r="J22" s="18">
        <f>'D4 RIN Forecast'!J69+'D6 RIN Forecast'!J67</f>
        <v>217794664</v>
      </c>
      <c r="K22" s="18">
        <f>'D4 RIN Forecast'!K69+'D6 RIN Forecast'!K67</f>
        <v>221490992</v>
      </c>
      <c r="L22" s="18">
        <f>'D4 RIN Forecast'!L69+'D6 RIN Forecast'!L67</f>
        <v>225138790</v>
      </c>
      <c r="M22" s="18">
        <f>'D4 RIN Forecast'!M69+'D6 RIN Forecast'!M67</f>
        <v>225508051</v>
      </c>
      <c r="N22" s="18">
        <f>'D4 RIN Forecast'!N69+'D6 RIN Forecast'!N67</f>
        <v>203803656</v>
      </c>
      <c r="O22" s="18">
        <f>'D4 RIN Forecast'!O69+'D6 RIN Forecast'!O67</f>
        <v>196333033</v>
      </c>
      <c r="P22" s="18">
        <f>'D4 RIN Forecast'!P69+'D6 RIN Forecast'!P67</f>
        <v>201546179</v>
      </c>
      <c r="Q22" s="19">
        <f>'D4 RIN Forecast'!Q69+'D6 RIN Forecast'!Q67</f>
        <v>143751735</v>
      </c>
      <c r="R22" s="19">
        <f>'D4 RIN Forecast'!R69+'D6 RIN Forecast'!R67</f>
        <v>171964745.49693555</v>
      </c>
      <c r="S22" s="19">
        <f>'D4 RIN Forecast'!S69+'D6 RIN Forecast'!S67</f>
        <v>168520319.13766342</v>
      </c>
      <c r="T22" s="19">
        <f>'D4 RIN Forecast'!T69+'D6 RIN Forecast'!T67</f>
        <v>131630582.97746037</v>
      </c>
      <c r="U22" s="19">
        <f>'D4 RIN Forecast'!U69+'D6 RIN Forecast'!U67</f>
        <v>150125713.66245952</v>
      </c>
      <c r="V22" s="19">
        <f>'D4 RIN Forecast'!V69+'D6 RIN Forecast'!V67</f>
        <v>148920567.63681743</v>
      </c>
      <c r="W22" s="19">
        <f>'D4 RIN Forecast'!W69+'D6 RIN Forecast'!W67</f>
        <v>153715667.45893252</v>
      </c>
      <c r="X22" s="19">
        <f>'D4 RIN Forecast'!X69+'D6 RIN Forecast'!X67</f>
        <v>161195680.43189505</v>
      </c>
      <c r="Y22" s="19">
        <f>'D4 RIN Forecast'!Y69+'D6 RIN Forecast'!Y67</f>
        <v>150599158.41582704</v>
      </c>
      <c r="Z22" s="19">
        <f>'D4 RIN Forecast'!Z69+'D6 RIN Forecast'!Z67</f>
        <v>146945712.30238721</v>
      </c>
      <c r="AA22" s="19"/>
      <c r="AB22" s="20">
        <f t="shared" ref="AB22:AB31" si="13">P22/P21-1</f>
        <v>6.2608677258779943E-2</v>
      </c>
      <c r="AD22" s="18">
        <f t="shared" si="10"/>
        <v>218747230.59999999</v>
      </c>
      <c r="AE22" s="18">
        <f t="shared" si="11"/>
        <v>-22414197.599999994</v>
      </c>
      <c r="AF22" s="18">
        <f t="shared" si="9"/>
        <v>-7470623</v>
      </c>
      <c r="AG22" s="18">
        <f>O22/31</f>
        <v>6333323.6451612907</v>
      </c>
      <c r="AH22" s="18">
        <f>AD22/31</f>
        <v>7056362.2774193548</v>
      </c>
      <c r="AI22" s="18">
        <f t="shared" si="12"/>
        <v>-723038.63225806411</v>
      </c>
    </row>
    <row r="23" spans="1:35">
      <c r="A23" s="14" t="s">
        <v>46</v>
      </c>
      <c r="B23" s="18">
        <f>'D4 RIN Forecast'!B70+'D6 RIN Forecast'!B68</f>
        <v>0</v>
      </c>
      <c r="C23" s="18">
        <f>'D4 RIN Forecast'!C70+'D6 RIN Forecast'!C68</f>
        <v>105452128</v>
      </c>
      <c r="D23" s="18">
        <f>'D4 RIN Forecast'!D70+'D6 RIN Forecast'!D68</f>
        <v>138874229</v>
      </c>
      <c r="E23" s="18">
        <f>'D4 RIN Forecast'!E70+'D6 RIN Forecast'!E68</f>
        <v>166567889</v>
      </c>
      <c r="F23" s="18">
        <f>'D4 RIN Forecast'!F70+'D6 RIN Forecast'!F68</f>
        <v>155087236</v>
      </c>
      <c r="G23" s="18">
        <f>'D4 RIN Forecast'!G70+'D6 RIN Forecast'!G68</f>
        <v>159758471</v>
      </c>
      <c r="H23" s="18">
        <f>'D4 RIN Forecast'!H70+'D6 RIN Forecast'!H68</f>
        <v>189402641</v>
      </c>
      <c r="I23" s="18">
        <f>'D4 RIN Forecast'!I70+'D6 RIN Forecast'!I68</f>
        <v>186488747</v>
      </c>
      <c r="J23" s="18">
        <f>'D4 RIN Forecast'!J70+'D6 RIN Forecast'!J68</f>
        <v>216959543</v>
      </c>
      <c r="K23" s="18">
        <f>'D4 RIN Forecast'!K70+'D6 RIN Forecast'!K68</f>
        <v>241336169</v>
      </c>
      <c r="L23" s="18">
        <f>'D4 RIN Forecast'!L70+'D6 RIN Forecast'!L68</f>
        <v>224037385</v>
      </c>
      <c r="M23" s="18">
        <f>'D4 RIN Forecast'!M70+'D6 RIN Forecast'!M68</f>
        <v>216597806</v>
      </c>
      <c r="N23" s="18">
        <f>'D4 RIN Forecast'!N70+'D6 RIN Forecast'!N68</f>
        <v>216431723</v>
      </c>
      <c r="O23" s="18">
        <f>'D4 RIN Forecast'!O70+'D6 RIN Forecast'!O68</f>
        <v>200755805</v>
      </c>
      <c r="P23" s="18">
        <f>'D4 RIN Forecast'!P70+'D6 RIN Forecast'!P68</f>
        <v>204053207</v>
      </c>
      <c r="Q23" s="19">
        <f>'D4 RIN Forecast'!Q70+'D6 RIN Forecast'!Q68</f>
        <v>198123124.00163394</v>
      </c>
      <c r="R23" s="19">
        <f>'D4 RIN Forecast'!R70+'D6 RIN Forecast'!R68</f>
        <v>183364933.12039363</v>
      </c>
      <c r="S23" s="19">
        <f>'D4 RIN Forecast'!S70+'D6 RIN Forecast'!S68</f>
        <v>184068115.59963846</v>
      </c>
      <c r="T23" s="19">
        <f>'D4 RIN Forecast'!T70+'D6 RIN Forecast'!T68</f>
        <v>144690800.15551764</v>
      </c>
      <c r="U23" s="19">
        <f>'D4 RIN Forecast'!U70+'D6 RIN Forecast'!U68</f>
        <v>167800592.06549689</v>
      </c>
      <c r="V23" s="19">
        <f>'D4 RIN Forecast'!V70+'D6 RIN Forecast'!V68</f>
        <v>170589953.58294564</v>
      </c>
      <c r="W23" s="19">
        <f>'D4 RIN Forecast'!W70+'D6 RIN Forecast'!W68</f>
        <v>169522811.73574814</v>
      </c>
      <c r="X23" s="19">
        <f>'D4 RIN Forecast'!X70+'D6 RIN Forecast'!X68</f>
        <v>179116934.81131887</v>
      </c>
      <c r="Y23" s="19">
        <f>'D4 RIN Forecast'!Y70+'D6 RIN Forecast'!Y68</f>
        <v>167983808.69987261</v>
      </c>
      <c r="Z23" s="19">
        <f>'D4 RIN Forecast'!Z70+'D6 RIN Forecast'!Z68</f>
        <v>164314940.47338679</v>
      </c>
      <c r="AA23" s="19"/>
      <c r="AB23" s="20">
        <f t="shared" si="13"/>
        <v>1.2438975585838286E-2</v>
      </c>
      <c r="AD23" s="18">
        <f t="shared" si="10"/>
        <v>223072525.19999999</v>
      </c>
      <c r="AE23" s="18">
        <f t="shared" si="11"/>
        <v>-22316720.199999988</v>
      </c>
      <c r="AF23" s="18">
        <f t="shared" si="9"/>
        <v>-15675918</v>
      </c>
      <c r="AG23" s="18">
        <f>O23/30</f>
        <v>6691860.166666667</v>
      </c>
      <c r="AH23" s="18">
        <f>AD23/30</f>
        <v>7435750.8399999999</v>
      </c>
      <c r="AI23" s="18">
        <f t="shared" si="12"/>
        <v>-743890.67333333287</v>
      </c>
    </row>
    <row r="24" spans="1:35">
      <c r="A24" s="14" t="s">
        <v>47</v>
      </c>
      <c r="B24" s="18">
        <f>'D4 RIN Forecast'!B71+'D6 RIN Forecast'!B69</f>
        <v>0</v>
      </c>
      <c r="C24" s="18">
        <f>'D4 RIN Forecast'!C71+'D6 RIN Forecast'!C69</f>
        <v>116818196</v>
      </c>
      <c r="D24" s="18">
        <f>'D4 RIN Forecast'!D71+'D6 RIN Forecast'!D69</f>
        <v>161334404</v>
      </c>
      <c r="E24" s="18">
        <f>'D4 RIN Forecast'!E71+'D6 RIN Forecast'!E69</f>
        <v>178475401</v>
      </c>
      <c r="F24" s="18">
        <f>'D4 RIN Forecast'!F71+'D6 RIN Forecast'!F69</f>
        <v>165564869</v>
      </c>
      <c r="G24" s="18">
        <f>'D4 RIN Forecast'!G71+'D6 RIN Forecast'!G69</f>
        <v>182297711</v>
      </c>
      <c r="H24" s="18">
        <f>'D4 RIN Forecast'!H71+'D6 RIN Forecast'!H69</f>
        <v>202932173</v>
      </c>
      <c r="I24" s="18">
        <f>'D4 RIN Forecast'!I71+'D6 RIN Forecast'!I69</f>
        <v>220613882</v>
      </c>
      <c r="J24" s="18">
        <f>'D4 RIN Forecast'!J71+'D6 RIN Forecast'!J69</f>
        <v>249356860</v>
      </c>
      <c r="K24" s="18">
        <f>'D4 RIN Forecast'!K71+'D6 RIN Forecast'!K69</f>
        <v>246067317</v>
      </c>
      <c r="L24" s="18">
        <f>'D4 RIN Forecast'!L71+'D6 RIN Forecast'!L69</f>
        <v>214764440</v>
      </c>
      <c r="M24" s="18">
        <f>'D4 RIN Forecast'!M71+'D6 RIN Forecast'!M69</f>
        <v>225756173</v>
      </c>
      <c r="N24" s="18">
        <f>'D4 RIN Forecast'!N71+'D6 RIN Forecast'!N69</f>
        <v>209815286</v>
      </c>
      <c r="O24" s="18">
        <f>'D4 RIN Forecast'!O71+'D6 RIN Forecast'!O69</f>
        <v>245393389</v>
      </c>
      <c r="P24" s="18">
        <f>'D4 RIN Forecast'!P71+'D6 RIN Forecast'!P69</f>
        <v>215230304</v>
      </c>
      <c r="Q24" s="19">
        <f>'D4 RIN Forecast'!Q71+'D6 RIN Forecast'!Q69</f>
        <v>207178487.54739013</v>
      </c>
      <c r="R24" s="19">
        <f>'D4 RIN Forecast'!R71+'D6 RIN Forecast'!R69</f>
        <v>195195849.31332663</v>
      </c>
      <c r="S24" s="19">
        <f>'D4 RIN Forecast'!S71+'D6 RIN Forecast'!S69</f>
        <v>196827907.57426816</v>
      </c>
      <c r="T24" s="19">
        <f>'D4 RIN Forecast'!T71+'D6 RIN Forecast'!T69</f>
        <v>157938579.14550674</v>
      </c>
      <c r="U24" s="19">
        <f>'D4 RIN Forecast'!U71+'D6 RIN Forecast'!U69</f>
        <v>178358018.27120259</v>
      </c>
      <c r="V24" s="19">
        <f>'D4 RIN Forecast'!V71+'D6 RIN Forecast'!V69</f>
        <v>181746875.87291157</v>
      </c>
      <c r="W24" s="19">
        <f>'D4 RIN Forecast'!W71+'D6 RIN Forecast'!W69</f>
        <v>181388576.0830676</v>
      </c>
      <c r="X24" s="19">
        <f>'D4 RIN Forecast'!X71+'D6 RIN Forecast'!X69</f>
        <v>191869255.97123611</v>
      </c>
      <c r="Y24" s="19">
        <f>'D4 RIN Forecast'!Y71+'D6 RIN Forecast'!Y69</f>
        <v>180012436.21065822</v>
      </c>
      <c r="Z24" s="19">
        <f>'D4 RIN Forecast'!Z71+'D6 RIN Forecast'!Z69</f>
        <v>175525336.51918048</v>
      </c>
      <c r="AA24" s="19"/>
      <c r="AB24" s="20">
        <f t="shared" si="13"/>
        <v>5.4775404730590616E-2</v>
      </c>
      <c r="AD24" s="18">
        <f t="shared" si="10"/>
        <v>229152015.19999999</v>
      </c>
      <c r="AE24" s="18">
        <f t="shared" si="11"/>
        <v>16241373.800000012</v>
      </c>
      <c r="AF24" s="18">
        <f t="shared" si="9"/>
        <v>35578103</v>
      </c>
      <c r="AG24" s="18">
        <f>O24/31</f>
        <v>7915915.7741935486</v>
      </c>
      <c r="AH24" s="18">
        <f>AD24/31</f>
        <v>7392000.4903225806</v>
      </c>
      <c r="AI24" s="18">
        <f t="shared" si="12"/>
        <v>523915.28387096804</v>
      </c>
    </row>
    <row r="25" spans="1:35">
      <c r="A25" s="14" t="s">
        <v>48</v>
      </c>
      <c r="B25" s="18">
        <f>'D4 RIN Forecast'!B72+'D6 RIN Forecast'!B70</f>
        <v>0</v>
      </c>
      <c r="C25" s="18">
        <f>'D4 RIN Forecast'!C72+'D6 RIN Forecast'!C70</f>
        <v>117309621</v>
      </c>
      <c r="D25" s="18">
        <f>'D4 RIN Forecast'!D72+'D6 RIN Forecast'!D70</f>
        <v>159922530</v>
      </c>
      <c r="E25" s="18">
        <f>'D4 RIN Forecast'!E72+'D6 RIN Forecast'!E70</f>
        <v>176312176</v>
      </c>
      <c r="F25" s="18">
        <f>'D4 RIN Forecast'!F72+'D6 RIN Forecast'!F70</f>
        <v>170513120</v>
      </c>
      <c r="G25" s="18">
        <f>'D4 RIN Forecast'!G72+'D6 RIN Forecast'!G70</f>
        <v>196381872</v>
      </c>
      <c r="H25" s="18">
        <f>'D4 RIN Forecast'!H72+'D6 RIN Forecast'!H70</f>
        <v>213893848</v>
      </c>
      <c r="I25" s="18">
        <f>'D4 RIN Forecast'!I72+'D6 RIN Forecast'!I70</f>
        <v>217519524</v>
      </c>
      <c r="J25" s="18">
        <f>'D4 RIN Forecast'!J72+'D6 RIN Forecast'!J70</f>
        <v>240825588</v>
      </c>
      <c r="K25" s="18">
        <f>'D4 RIN Forecast'!K72+'D6 RIN Forecast'!K70</f>
        <v>216156767</v>
      </c>
      <c r="L25" s="18">
        <f>'D4 RIN Forecast'!L72+'D6 RIN Forecast'!L70</f>
        <v>248282531</v>
      </c>
      <c r="M25" s="18">
        <f>'D4 RIN Forecast'!M72+'D6 RIN Forecast'!M70</f>
        <v>231689058</v>
      </c>
      <c r="N25" s="18">
        <f>'D4 RIN Forecast'!N72+'D6 RIN Forecast'!N70</f>
        <v>214285517</v>
      </c>
      <c r="O25" s="18">
        <f>'D4 RIN Forecast'!O72+'D6 RIN Forecast'!O70</f>
        <v>229512324</v>
      </c>
      <c r="P25" s="18">
        <f>'D4 RIN Forecast'!P72+'D6 RIN Forecast'!P70</f>
        <v>202881460</v>
      </c>
      <c r="Q25" s="19">
        <f>'D4 RIN Forecast'!Q72+'D6 RIN Forecast'!Q70</f>
        <v>209845819.92307267</v>
      </c>
      <c r="R25" s="19">
        <f>'D4 RIN Forecast'!R72+'D6 RIN Forecast'!R70</f>
        <v>192270450.54804617</v>
      </c>
      <c r="S25" s="19">
        <f>'D4 RIN Forecast'!S72+'D6 RIN Forecast'!S70</f>
        <v>192169491.15514779</v>
      </c>
      <c r="T25" s="19">
        <f>'D4 RIN Forecast'!T72+'D6 RIN Forecast'!T70</f>
        <v>152796776.13058388</v>
      </c>
      <c r="U25" s="19">
        <f>'D4 RIN Forecast'!U72+'D6 RIN Forecast'!U70</f>
        <v>173992404.18616328</v>
      </c>
      <c r="V25" s="19">
        <f>'D4 RIN Forecast'!V72+'D6 RIN Forecast'!V70</f>
        <v>178947261.52478826</v>
      </c>
      <c r="W25" s="19">
        <f>'D4 RIN Forecast'!W72+'D6 RIN Forecast'!W70</f>
        <v>177426879.79552037</v>
      </c>
      <c r="X25" s="19">
        <f>'D4 RIN Forecast'!X72+'D6 RIN Forecast'!X70</f>
        <v>187392255.17486119</v>
      </c>
      <c r="Y25" s="19">
        <f>'D4 RIN Forecast'!Y72+'D6 RIN Forecast'!Y70</f>
        <v>175825837.91337129</v>
      </c>
      <c r="Z25" s="19">
        <f>'D4 RIN Forecast'!Z72+'D6 RIN Forecast'!Z70</f>
        <v>171725903.08595291</v>
      </c>
      <c r="AA25" s="19"/>
      <c r="AB25" s="20">
        <f t="shared" si="13"/>
        <v>-5.7375024661954654E-2</v>
      </c>
      <c r="AD25" s="18">
        <f t="shared" si="10"/>
        <v>230247892.19999999</v>
      </c>
      <c r="AE25" s="18">
        <f t="shared" si="11"/>
        <v>-735568.19999998808</v>
      </c>
      <c r="AF25" s="18">
        <f t="shared" si="9"/>
        <v>15226807</v>
      </c>
      <c r="AG25" s="18">
        <f>O25/30</f>
        <v>7650410.7999999998</v>
      </c>
      <c r="AH25" s="18">
        <f>AD25/30</f>
        <v>7674929.7399999993</v>
      </c>
      <c r="AI25" s="18">
        <f t="shared" si="12"/>
        <v>-24518.939999999478</v>
      </c>
    </row>
    <row r="26" spans="1:35">
      <c r="A26" s="14" t="s">
        <v>49</v>
      </c>
      <c r="B26" s="18">
        <f>'D4 RIN Forecast'!B73+'D6 RIN Forecast'!B71</f>
        <v>60046808</v>
      </c>
      <c r="C26" s="18">
        <f>'D4 RIN Forecast'!C73+'D6 RIN Forecast'!C71</f>
        <v>130553614</v>
      </c>
      <c r="D26" s="18">
        <f>'D4 RIN Forecast'!D73+'D6 RIN Forecast'!D71</f>
        <v>146015297</v>
      </c>
      <c r="E26" s="18">
        <f>'D4 RIN Forecast'!E73+'D6 RIN Forecast'!E71</f>
        <v>192739252</v>
      </c>
      <c r="F26" s="18">
        <f>'D4 RIN Forecast'!F73+'D6 RIN Forecast'!F71</f>
        <v>192369023</v>
      </c>
      <c r="G26" s="18">
        <f>'D4 RIN Forecast'!G73+'D6 RIN Forecast'!G71</f>
        <v>193761954</v>
      </c>
      <c r="H26" s="18">
        <f>'D4 RIN Forecast'!H73+'D6 RIN Forecast'!H71</f>
        <v>206947515</v>
      </c>
      <c r="I26" s="18">
        <f>'D4 RIN Forecast'!I73+'D6 RIN Forecast'!I71</f>
        <v>225438450</v>
      </c>
      <c r="J26" s="18">
        <f>'D4 RIN Forecast'!J73+'D6 RIN Forecast'!J71</f>
        <v>254673304</v>
      </c>
      <c r="K26" s="18">
        <f>'D4 RIN Forecast'!K73+'D6 RIN Forecast'!K71</f>
        <v>254182537</v>
      </c>
      <c r="L26" s="18">
        <f>'D4 RIN Forecast'!L73+'D6 RIN Forecast'!L71</f>
        <v>244110863</v>
      </c>
      <c r="M26" s="18">
        <f>'D4 RIN Forecast'!M73+'D6 RIN Forecast'!M71</f>
        <v>220338817</v>
      </c>
      <c r="N26" s="18">
        <f>'D4 RIN Forecast'!N73+'D6 RIN Forecast'!N71</f>
        <v>206321364</v>
      </c>
      <c r="O26" s="18">
        <f>'D4 RIN Forecast'!O73+'D6 RIN Forecast'!O71</f>
        <v>213892540</v>
      </c>
      <c r="P26" s="18">
        <f>'D4 RIN Forecast'!P73+'D6 RIN Forecast'!P71</f>
        <v>218340090</v>
      </c>
      <c r="Q26" s="19">
        <f>'D4 RIN Forecast'!Q73+'D6 RIN Forecast'!Q71</f>
        <v>205916894.8376652</v>
      </c>
      <c r="R26" s="19">
        <f>'D4 RIN Forecast'!R73+'D6 RIN Forecast'!R71</f>
        <v>188586929.19891495</v>
      </c>
      <c r="S26" s="19">
        <f>'D4 RIN Forecast'!S73+'D6 RIN Forecast'!S71</f>
        <v>189755276.65973687</v>
      </c>
      <c r="T26" s="19">
        <f>'D4 RIN Forecast'!T73+'D6 RIN Forecast'!T71</f>
        <v>151662869.31815478</v>
      </c>
      <c r="U26" s="19">
        <f>'D4 RIN Forecast'!U73+'D6 RIN Forecast'!U71</f>
        <v>175253467.6925748</v>
      </c>
      <c r="V26" s="19">
        <f>'D4 RIN Forecast'!V73+'D6 RIN Forecast'!V71</f>
        <v>177025846.57135361</v>
      </c>
      <c r="W26" s="19">
        <f>'D4 RIN Forecast'!W73+'D6 RIN Forecast'!W71</f>
        <v>175854975.7061694</v>
      </c>
      <c r="X26" s="19">
        <f>'D4 RIN Forecast'!X73+'D6 RIN Forecast'!X71</f>
        <v>186155574.47115135</v>
      </c>
      <c r="Y26" s="19">
        <f>'D4 RIN Forecast'!Y73+'D6 RIN Forecast'!Y71</f>
        <v>174896870.04798794</v>
      </c>
      <c r="Z26" s="19">
        <f>'D4 RIN Forecast'!Z73+'D6 RIN Forecast'!Z71</f>
        <v>170881473.5225285</v>
      </c>
      <c r="AA26" s="19"/>
      <c r="AB26" s="21">
        <f t="shared" si="13"/>
        <v>7.6195380297440662E-2</v>
      </c>
      <c r="AC26" s="22"/>
      <c r="AD26" s="23">
        <f t="shared" si="10"/>
        <v>235925377</v>
      </c>
      <c r="AE26" s="24">
        <f t="shared" si="11"/>
        <v>-22032837</v>
      </c>
      <c r="AF26" s="24">
        <f t="shared" si="9"/>
        <v>7571176</v>
      </c>
      <c r="AG26" s="24">
        <f>O26/31</f>
        <v>6899759.3548387093</v>
      </c>
      <c r="AH26" s="23">
        <f>AD26/31</f>
        <v>7610496.0322580645</v>
      </c>
      <c r="AI26" s="24">
        <f t="shared" si="12"/>
        <v>-710736.67741935514</v>
      </c>
    </row>
    <row r="27" spans="1:35">
      <c r="A27" s="14" t="s">
        <v>50</v>
      </c>
      <c r="B27" s="18">
        <f>'D4 RIN Forecast'!B74+'D6 RIN Forecast'!B72</f>
        <v>48544802</v>
      </c>
      <c r="C27" s="18">
        <f>'D4 RIN Forecast'!C74+'D6 RIN Forecast'!C72</f>
        <v>151432346</v>
      </c>
      <c r="D27" s="18">
        <f>'D4 RIN Forecast'!D74+'D6 RIN Forecast'!D72</f>
        <v>144532117</v>
      </c>
      <c r="E27" s="18">
        <f>'D4 RIN Forecast'!E74+'D6 RIN Forecast'!E72</f>
        <v>194833580</v>
      </c>
      <c r="F27" s="18">
        <f>'D4 RIN Forecast'!F74+'D6 RIN Forecast'!F72</f>
        <v>191179106</v>
      </c>
      <c r="G27" s="18">
        <f>'D4 RIN Forecast'!G74+'D6 RIN Forecast'!G72</f>
        <v>188418440</v>
      </c>
      <c r="H27" s="18">
        <f>'D4 RIN Forecast'!H74+'D6 RIN Forecast'!H72</f>
        <v>242472692</v>
      </c>
      <c r="I27" s="18">
        <f>'D4 RIN Forecast'!I74+'D6 RIN Forecast'!I72</f>
        <v>236308169</v>
      </c>
      <c r="J27" s="18">
        <f>'D4 RIN Forecast'!J74+'D6 RIN Forecast'!J72</f>
        <v>270950774</v>
      </c>
      <c r="K27" s="18">
        <f>'D4 RIN Forecast'!K74+'D6 RIN Forecast'!K72</f>
        <v>230401252</v>
      </c>
      <c r="L27" s="18">
        <f>'D4 RIN Forecast'!L74+'D6 RIN Forecast'!L72</f>
        <v>257243900</v>
      </c>
      <c r="M27" s="18">
        <f>'D4 RIN Forecast'!M74+'D6 RIN Forecast'!M72</f>
        <v>231876527</v>
      </c>
      <c r="N27" s="18">
        <f>'D4 RIN Forecast'!N74+'D6 RIN Forecast'!N72</f>
        <v>227752481</v>
      </c>
      <c r="O27" s="18">
        <f>'D4 RIN Forecast'!O74+'D6 RIN Forecast'!O72</f>
        <v>228602510</v>
      </c>
      <c r="P27" s="18">
        <f>'D4 RIN Forecast'!P74+'D6 RIN Forecast'!P72</f>
        <v>207903939</v>
      </c>
      <c r="Q27" s="19">
        <f>'D4 RIN Forecast'!Q74+'D6 RIN Forecast'!Q72</f>
        <v>215399378.00309703</v>
      </c>
      <c r="R27" s="19">
        <f>'D4 RIN Forecast'!R74+'D6 RIN Forecast'!R72</f>
        <v>196936350.15901259</v>
      </c>
      <c r="S27" s="19">
        <f>'D4 RIN Forecast'!S74+'D6 RIN Forecast'!S72</f>
        <v>197829556.31329721</v>
      </c>
      <c r="T27" s="19">
        <f>'D4 RIN Forecast'!T74+'D6 RIN Forecast'!T72</f>
        <v>156231806.01081076</v>
      </c>
      <c r="U27" s="19">
        <f>'D4 RIN Forecast'!U74+'D6 RIN Forecast'!U72</f>
        <v>179030552.48759726</v>
      </c>
      <c r="V27" s="19">
        <f>'D4 RIN Forecast'!V74+'D6 RIN Forecast'!V72</f>
        <v>183679484.95836097</v>
      </c>
      <c r="W27" s="19">
        <f>'D4 RIN Forecast'!W74+'D6 RIN Forecast'!W72</f>
        <v>182117770.03374085</v>
      </c>
      <c r="X27" s="19">
        <f>'D4 RIN Forecast'!X74+'D6 RIN Forecast'!X72</f>
        <v>192435862.64297828</v>
      </c>
      <c r="Y27" s="19">
        <f>'D4 RIN Forecast'!Y74+'D6 RIN Forecast'!Y72</f>
        <v>180459788.3608925</v>
      </c>
      <c r="Z27" s="19">
        <f>'D4 RIN Forecast'!Z74+'D6 RIN Forecast'!Z72</f>
        <v>176365648.8299191</v>
      </c>
      <c r="AA27" s="19"/>
      <c r="AB27" s="20">
        <f t="shared" si="13"/>
        <v>-4.7797685711313931E-2</v>
      </c>
      <c r="AD27" s="18">
        <f t="shared" si="10"/>
        <v>243644986.80000001</v>
      </c>
      <c r="AE27" s="19">
        <f t="shared" si="11"/>
        <v>-15042476.800000012</v>
      </c>
      <c r="AF27" s="19">
        <f t="shared" si="9"/>
        <v>850029</v>
      </c>
      <c r="AG27" s="19">
        <f>O27/31</f>
        <v>7374274.5161290327</v>
      </c>
      <c r="AH27" s="18">
        <f>AD27/31</f>
        <v>7859515.7032258073</v>
      </c>
      <c r="AI27" s="19">
        <f t="shared" si="12"/>
        <v>-485241.18709677458</v>
      </c>
    </row>
    <row r="28" spans="1:35">
      <c r="A28" s="14" t="s">
        <v>51</v>
      </c>
      <c r="B28" s="18">
        <f>'D4 RIN Forecast'!B75+'D6 RIN Forecast'!B73</f>
        <v>62227635</v>
      </c>
      <c r="C28" s="18">
        <f>'D4 RIN Forecast'!C75+'D6 RIN Forecast'!C73</f>
        <v>171343325</v>
      </c>
      <c r="D28" s="18">
        <f>'D4 RIN Forecast'!D75+'D6 RIN Forecast'!D73</f>
        <v>122010608</v>
      </c>
      <c r="E28" s="18">
        <f>'D4 RIN Forecast'!E75+'D6 RIN Forecast'!E73</f>
        <v>191475561</v>
      </c>
      <c r="F28" s="18">
        <f>'D4 RIN Forecast'!F75+'D6 RIN Forecast'!F73</f>
        <v>186805724</v>
      </c>
      <c r="G28" s="18">
        <f>'D4 RIN Forecast'!G75+'D6 RIN Forecast'!G73</f>
        <v>176746378</v>
      </c>
      <c r="H28" s="18">
        <f>'D4 RIN Forecast'!H75+'D6 RIN Forecast'!H73</f>
        <v>219999073</v>
      </c>
      <c r="I28" s="18">
        <f>'D4 RIN Forecast'!I75+'D6 RIN Forecast'!I73</f>
        <v>222502704</v>
      </c>
      <c r="J28" s="18">
        <f>'D4 RIN Forecast'!J75+'D6 RIN Forecast'!J73</f>
        <v>235512822</v>
      </c>
      <c r="K28" s="18">
        <f>'D4 RIN Forecast'!K75+'D6 RIN Forecast'!K73</f>
        <v>215492652</v>
      </c>
      <c r="L28" s="18">
        <f>'D4 RIN Forecast'!L75+'D6 RIN Forecast'!L73</f>
        <v>251801474</v>
      </c>
      <c r="M28" s="18">
        <f>'D4 RIN Forecast'!M75+'D6 RIN Forecast'!M73</f>
        <v>209905264</v>
      </c>
      <c r="N28" s="18">
        <f>'D4 RIN Forecast'!N75+'D6 RIN Forecast'!N73</f>
        <v>212794117</v>
      </c>
      <c r="O28" s="18">
        <f>'D4 RIN Forecast'!O75+'D6 RIN Forecast'!O73</f>
        <v>217332686</v>
      </c>
      <c r="P28" s="18">
        <f>'D4 RIN Forecast'!P75+'D6 RIN Forecast'!P73</f>
        <v>198704087</v>
      </c>
      <c r="Q28" s="19">
        <f>'D4 RIN Forecast'!Q75+'D6 RIN Forecast'!Q73</f>
        <v>203394503.96830213</v>
      </c>
      <c r="R28" s="19">
        <f>'D4 RIN Forecast'!R75+'D6 RIN Forecast'!R73</f>
        <v>184387563.4716571</v>
      </c>
      <c r="S28" s="19">
        <f>'D4 RIN Forecast'!S75+'D6 RIN Forecast'!S73</f>
        <v>186543531.96400896</v>
      </c>
      <c r="T28" s="19">
        <f>'D4 RIN Forecast'!T75+'D6 RIN Forecast'!T73</f>
        <v>147611404.38672462</v>
      </c>
      <c r="U28" s="19">
        <f>'D4 RIN Forecast'!U75+'D6 RIN Forecast'!U73</f>
        <v>169172128.88359088</v>
      </c>
      <c r="V28" s="19">
        <f>'D4 RIN Forecast'!V75+'D6 RIN Forecast'!V73</f>
        <v>173125973.07425746</v>
      </c>
      <c r="W28" s="19">
        <f>'D4 RIN Forecast'!W75+'D6 RIN Forecast'!W73</f>
        <v>171580193.10786921</v>
      </c>
      <c r="X28" s="19">
        <f>'D4 RIN Forecast'!X75+'D6 RIN Forecast'!X73</f>
        <v>181548104.16826746</v>
      </c>
      <c r="Y28" s="19">
        <f>'D4 RIN Forecast'!Y75+'D6 RIN Forecast'!Y73</f>
        <v>170268339.19170645</v>
      </c>
      <c r="Z28" s="19">
        <f>'D4 RIN Forecast'!Z75+'D6 RIN Forecast'!Z73</f>
        <v>166366360.64824757</v>
      </c>
      <c r="AA28" s="19"/>
      <c r="AB28" s="20">
        <f t="shared" si="13"/>
        <v>-4.4250493974527294E-2</v>
      </c>
      <c r="AD28" s="18">
        <f t="shared" si="10"/>
        <v>225101265.80000001</v>
      </c>
      <c r="AE28" s="19">
        <f t="shared" si="11"/>
        <v>-7768579.8000000119</v>
      </c>
      <c r="AF28" s="19">
        <f t="shared" si="9"/>
        <v>4538569</v>
      </c>
      <c r="AG28" s="19">
        <f>O28/30</f>
        <v>7244422.8666666662</v>
      </c>
      <c r="AH28" s="18">
        <f>AD28/30</f>
        <v>7503375.5266666673</v>
      </c>
      <c r="AI28" s="19">
        <f t="shared" si="12"/>
        <v>-258952.66000000108</v>
      </c>
    </row>
    <row r="29" spans="1:35">
      <c r="A29" s="14" t="s">
        <v>52</v>
      </c>
      <c r="B29" s="18">
        <f>'D4 RIN Forecast'!B76+'D6 RIN Forecast'!B74</f>
        <v>55401703</v>
      </c>
      <c r="C29" s="18">
        <f>'D4 RIN Forecast'!C76+'D6 RIN Forecast'!C74</f>
        <v>170518143</v>
      </c>
      <c r="D29" s="18">
        <f>'D4 RIN Forecast'!D76+'D6 RIN Forecast'!D74</f>
        <v>121070256</v>
      </c>
      <c r="E29" s="18">
        <f>'D4 RIN Forecast'!E76+'D6 RIN Forecast'!E74</f>
        <v>197165873</v>
      </c>
      <c r="F29" s="18">
        <f>'D4 RIN Forecast'!F76+'D6 RIN Forecast'!F74</f>
        <v>182009700</v>
      </c>
      <c r="G29" s="18">
        <f>'D4 RIN Forecast'!G76+'D6 RIN Forecast'!G74</f>
        <v>157548483</v>
      </c>
      <c r="H29" s="18">
        <f>'D4 RIN Forecast'!H76+'D6 RIN Forecast'!H74</f>
        <v>214630895</v>
      </c>
      <c r="I29" s="18">
        <f>'D4 RIN Forecast'!I76+'D6 RIN Forecast'!I74</f>
        <v>224025048</v>
      </c>
      <c r="J29" s="18">
        <f>'D4 RIN Forecast'!J76+'D6 RIN Forecast'!J74</f>
        <v>256918884</v>
      </c>
      <c r="K29" s="18">
        <f>'D4 RIN Forecast'!K76+'D6 RIN Forecast'!K74</f>
        <v>219930536</v>
      </c>
      <c r="L29" s="18">
        <f>'D4 RIN Forecast'!L76+'D6 RIN Forecast'!L74</f>
        <v>224237799</v>
      </c>
      <c r="M29" s="18">
        <f>'D4 RIN Forecast'!M76+'D6 RIN Forecast'!M74</f>
        <v>209671156</v>
      </c>
      <c r="N29" s="18">
        <f>'D4 RIN Forecast'!N76+'D6 RIN Forecast'!N74</f>
        <v>207062845</v>
      </c>
      <c r="O29" s="18">
        <f>'D4 RIN Forecast'!O76+'D6 RIN Forecast'!O74</f>
        <v>217182482</v>
      </c>
      <c r="P29" s="18">
        <f>'D4 RIN Forecast'!P76+'D6 RIN Forecast'!P74</f>
        <v>221454869</v>
      </c>
      <c r="Q29" s="19">
        <f>'D4 RIN Forecast'!Q76+'D6 RIN Forecast'!Q74</f>
        <v>201465087.2556566</v>
      </c>
      <c r="R29" s="19">
        <f>'D4 RIN Forecast'!R76+'D6 RIN Forecast'!R74</f>
        <v>187089395.37657931</v>
      </c>
      <c r="S29" s="19">
        <f>'D4 RIN Forecast'!S76+'D6 RIN Forecast'!S74</f>
        <v>189884153.56594214</v>
      </c>
      <c r="T29" s="19">
        <f>'D4 RIN Forecast'!T76+'D6 RIN Forecast'!T74</f>
        <v>151673278.93967071</v>
      </c>
      <c r="U29" s="19">
        <f>'D4 RIN Forecast'!U76+'D6 RIN Forecast'!U74</f>
        <v>174869702.31299627</v>
      </c>
      <c r="V29" s="19">
        <f>'D4 RIN Forecast'!V76+'D6 RIN Forecast'!V74</f>
        <v>175813445.39360777</v>
      </c>
      <c r="W29" s="19">
        <f>'D4 RIN Forecast'!W76+'D6 RIN Forecast'!W74</f>
        <v>175259034.88244504</v>
      </c>
      <c r="X29" s="19">
        <f>'D4 RIN Forecast'!X76+'D6 RIN Forecast'!X74</f>
        <v>185708867.16063392</v>
      </c>
      <c r="Y29" s="19">
        <f>'D4 RIN Forecast'!Y76+'D6 RIN Forecast'!Y74</f>
        <v>174358143.15520442</v>
      </c>
      <c r="Z29" s="19">
        <f>'D4 RIN Forecast'!Z76+'D6 RIN Forecast'!Z74</f>
        <v>170261340.38343391</v>
      </c>
      <c r="AA29" s="19"/>
      <c r="AB29" s="20">
        <f t="shared" si="13"/>
        <v>0.11449579293253298</v>
      </c>
      <c r="AD29" s="18">
        <f t="shared" si="10"/>
        <v>223564244</v>
      </c>
      <c r="AE29" s="19">
        <f t="shared" si="11"/>
        <v>-6381762</v>
      </c>
      <c r="AF29" s="19">
        <f t="shared" si="9"/>
        <v>10119637</v>
      </c>
      <c r="AG29" s="19">
        <f>O29/31</f>
        <v>7005886.5161290327</v>
      </c>
      <c r="AH29" s="18">
        <f>AD29/31</f>
        <v>7211749.8064516131</v>
      </c>
      <c r="AI29" s="19">
        <f t="shared" si="12"/>
        <v>-205863.29032258037</v>
      </c>
    </row>
    <row r="30" spans="1:35">
      <c r="A30" s="14" t="s">
        <v>53</v>
      </c>
      <c r="B30" s="18">
        <f>'D4 RIN Forecast'!B77+'D6 RIN Forecast'!B75</f>
        <v>46723240</v>
      </c>
      <c r="C30" s="18">
        <f>'D4 RIN Forecast'!C77+'D6 RIN Forecast'!C75</f>
        <v>158676803</v>
      </c>
      <c r="D30" s="18">
        <f>'D4 RIN Forecast'!D77+'D6 RIN Forecast'!D75</f>
        <v>102039479</v>
      </c>
      <c r="E30" s="18">
        <f>'D4 RIN Forecast'!E77+'D6 RIN Forecast'!E75</f>
        <v>167853726</v>
      </c>
      <c r="F30" s="18">
        <f>'D4 RIN Forecast'!F77+'D6 RIN Forecast'!F75</f>
        <v>146017555</v>
      </c>
      <c r="G30" s="18">
        <f>'D4 RIN Forecast'!G77+'D6 RIN Forecast'!G75</f>
        <v>144716848</v>
      </c>
      <c r="H30" s="18">
        <f>'D4 RIN Forecast'!H77+'D6 RIN Forecast'!H75</f>
        <v>209563982</v>
      </c>
      <c r="I30" s="18">
        <f>'D4 RIN Forecast'!I77+'D6 RIN Forecast'!I75</f>
        <v>221747652</v>
      </c>
      <c r="J30" s="18">
        <f>'D4 RIN Forecast'!J77+'D6 RIN Forecast'!J75</f>
        <v>226173830</v>
      </c>
      <c r="K30" s="18">
        <f>'D4 RIN Forecast'!K77+'D6 RIN Forecast'!K75</f>
        <v>178711747</v>
      </c>
      <c r="L30" s="18">
        <f>'D4 RIN Forecast'!L77+'D6 RIN Forecast'!L75</f>
        <v>214245415</v>
      </c>
      <c r="M30" s="18">
        <f>'D4 RIN Forecast'!M77+'D6 RIN Forecast'!M75</f>
        <v>211287523</v>
      </c>
      <c r="N30" s="18">
        <f>'D4 RIN Forecast'!N77+'D6 RIN Forecast'!N75</f>
        <v>211945708</v>
      </c>
      <c r="O30" s="18">
        <f>'D4 RIN Forecast'!O77+'D6 RIN Forecast'!O75</f>
        <v>204033869</v>
      </c>
      <c r="P30" s="18">
        <f>'D4 RIN Forecast'!P77+'D6 RIN Forecast'!P75</f>
        <v>199787155</v>
      </c>
      <c r="Q30" s="19">
        <f>'D4 RIN Forecast'!Q77+'D6 RIN Forecast'!Q75</f>
        <v>194223922.47080666</v>
      </c>
      <c r="R30" s="19">
        <f>'D4 RIN Forecast'!R77+'D6 RIN Forecast'!R75</f>
        <v>180705963.14130652</v>
      </c>
      <c r="S30" s="19">
        <f>'D4 RIN Forecast'!S77+'D6 RIN Forecast'!S75</f>
        <v>181797059.82225963</v>
      </c>
      <c r="T30" s="19">
        <f>'D4 RIN Forecast'!T77+'D6 RIN Forecast'!T75</f>
        <v>143172728.69667041</v>
      </c>
      <c r="U30" s="19">
        <f>'D4 RIN Forecast'!U77+'D6 RIN Forecast'!U75</f>
        <v>165341175.02880687</v>
      </c>
      <c r="V30" s="19">
        <f>'D4 RIN Forecast'!V77+'D6 RIN Forecast'!V75</f>
        <v>168091046.27134848</v>
      </c>
      <c r="W30" s="19">
        <f>'D4 RIN Forecast'!W77+'D6 RIN Forecast'!W75</f>
        <v>167241294.69162947</v>
      </c>
      <c r="X30" s="19">
        <f>'D4 RIN Forecast'!X77+'D6 RIN Forecast'!X75</f>
        <v>176747754.99371704</v>
      </c>
      <c r="Y30" s="19">
        <f>'D4 RIN Forecast'!Y77+'D6 RIN Forecast'!Y75</f>
        <v>165727594.23073196</v>
      </c>
      <c r="Z30" s="19">
        <f>'D4 RIN Forecast'!Z77+'D6 RIN Forecast'!Z75</f>
        <v>162023999.16606602</v>
      </c>
      <c r="AA30" s="19"/>
      <c r="AB30" s="20">
        <f t="shared" si="13"/>
        <v>-9.7842572158573726E-2</v>
      </c>
      <c r="AD30" s="18">
        <f t="shared" si="10"/>
        <v>208472844.59999999</v>
      </c>
      <c r="AE30" s="19">
        <f t="shared" si="11"/>
        <v>-4438975.599999994</v>
      </c>
      <c r="AF30" s="19">
        <f t="shared" si="9"/>
        <v>-7911839</v>
      </c>
      <c r="AG30" s="19">
        <f>O30/30</f>
        <v>6801128.9666666668</v>
      </c>
      <c r="AH30" s="18">
        <f>AD30/30</f>
        <v>6949094.8199999994</v>
      </c>
      <c r="AI30" s="19">
        <f t="shared" si="12"/>
        <v>-147965.85333333258</v>
      </c>
    </row>
    <row r="31" spans="1:35">
      <c r="A31" s="14" t="s">
        <v>54</v>
      </c>
      <c r="B31" s="18">
        <f>'D4 RIN Forecast'!B78+'D6 RIN Forecast'!B76</f>
        <v>48773232</v>
      </c>
      <c r="C31" s="18">
        <f>'D4 RIN Forecast'!C78+'D6 RIN Forecast'!C76</f>
        <v>226116883</v>
      </c>
      <c r="D31" s="18">
        <f>'D4 RIN Forecast'!D78+'D6 RIN Forecast'!D76</f>
        <v>87343021</v>
      </c>
      <c r="E31" s="18">
        <f>'D4 RIN Forecast'!E78+'D6 RIN Forecast'!E76</f>
        <v>241422711</v>
      </c>
      <c r="F31" s="18">
        <f>'D4 RIN Forecast'!F78+'D6 RIN Forecast'!F76</f>
        <v>245247049</v>
      </c>
      <c r="G31" s="18">
        <f>'D4 RIN Forecast'!G78+'D6 RIN Forecast'!G76</f>
        <v>165151789</v>
      </c>
      <c r="H31" s="18">
        <f>'D4 RIN Forecast'!H78+'D6 RIN Forecast'!H76</f>
        <v>280747118</v>
      </c>
      <c r="I31" s="18">
        <f>'D4 RIN Forecast'!I78+'D6 RIN Forecast'!I76</f>
        <v>243895276</v>
      </c>
      <c r="J31" s="18">
        <f>'D4 RIN Forecast'!J78+'D6 RIN Forecast'!J76</f>
        <v>274996979</v>
      </c>
      <c r="K31" s="18">
        <f>'D4 RIN Forecast'!K78+'D6 RIN Forecast'!K76</f>
        <v>209404921</v>
      </c>
      <c r="L31" s="18">
        <f>'D4 RIN Forecast'!L78+'D6 RIN Forecast'!L76</f>
        <v>263824602</v>
      </c>
      <c r="M31" s="18">
        <f>'D4 RIN Forecast'!M78+'D6 RIN Forecast'!M76</f>
        <v>248564865</v>
      </c>
      <c r="N31" s="18">
        <f>'D4 RIN Forecast'!N78+'D6 RIN Forecast'!N76</f>
        <v>218389139</v>
      </c>
      <c r="O31" s="18">
        <f>'D4 RIN Forecast'!O78+'D6 RIN Forecast'!O76</f>
        <v>203772217</v>
      </c>
      <c r="P31" s="18">
        <f>'D4 RIN Forecast'!P78+'D6 RIN Forecast'!P76</f>
        <v>262307972</v>
      </c>
      <c r="Q31" s="19">
        <f>'D4 RIN Forecast'!Q78+'D6 RIN Forecast'!Q76</f>
        <v>388001136.12286454</v>
      </c>
      <c r="R31" s="19">
        <f>'D4 RIN Forecast'!R78+'D6 RIN Forecast'!R76</f>
        <v>206250149.02874291</v>
      </c>
      <c r="S31" s="19">
        <f>'D4 RIN Forecast'!S78+'D6 RIN Forecast'!S76</f>
        <v>234704085.46120659</v>
      </c>
      <c r="T31" s="19">
        <f>'D4 RIN Forecast'!T78+'D6 RIN Forecast'!T76</f>
        <v>193055854.65385106</v>
      </c>
      <c r="U31" s="19">
        <f>'D4 RIN Forecast'!U78+'D6 RIN Forecast'!U76</f>
        <v>235753796.6396628</v>
      </c>
      <c r="V31" s="19">
        <f>'D4 RIN Forecast'!V78+'D6 RIN Forecast'!V76</f>
        <v>244099798.61380598</v>
      </c>
      <c r="W31" s="19">
        <f>'D4 RIN Forecast'!W78+'D6 RIN Forecast'!W76</f>
        <v>221976990.76748607</v>
      </c>
      <c r="X31" s="19">
        <f>'D4 RIN Forecast'!X78+'D6 RIN Forecast'!X76</f>
        <v>241783986.36179739</v>
      </c>
      <c r="Y31" s="19">
        <f>'D4 RIN Forecast'!Y78+'D6 RIN Forecast'!Y76</f>
        <v>199526147.27248302</v>
      </c>
      <c r="Z31" s="19">
        <f>'D4 RIN Forecast'!Z78+'D6 RIN Forecast'!Z76</f>
        <v>209132922.3458229</v>
      </c>
      <c r="AA31" s="19"/>
      <c r="AB31" s="20">
        <f t="shared" si="13"/>
        <v>0.31293712050707168</v>
      </c>
      <c r="AD31" s="18">
        <f t="shared" si="10"/>
        <v>243036101.19999999</v>
      </c>
      <c r="AE31" s="19">
        <f t="shared" si="11"/>
        <v>-39263884.199999988</v>
      </c>
      <c r="AF31" s="19">
        <f t="shared" si="9"/>
        <v>-14616922</v>
      </c>
      <c r="AG31" s="19">
        <f>O31/31</f>
        <v>6573297.3225806449</v>
      </c>
      <c r="AH31" s="18">
        <f>AD31/31</f>
        <v>7839874.2322580637</v>
      </c>
      <c r="AI31" s="19">
        <f t="shared" si="12"/>
        <v>-1266576.9096774189</v>
      </c>
    </row>
    <row r="32" spans="1:35">
      <c r="A32" s="14" t="s">
        <v>29</v>
      </c>
      <c r="B32" s="18">
        <f>SUM(B20:B31)</f>
        <v>321717420</v>
      </c>
      <c r="C32" s="18">
        <f t="shared" ref="C32:L32" si="14">SUM(C20:C31)</f>
        <v>1555653375</v>
      </c>
      <c r="D32" s="18">
        <f t="shared" si="14"/>
        <v>1525441901</v>
      </c>
      <c r="E32" s="18">
        <f t="shared" si="14"/>
        <v>2076918707</v>
      </c>
      <c r="F32" s="18">
        <f t="shared" si="14"/>
        <v>1960847624</v>
      </c>
      <c r="G32" s="18">
        <f t="shared" si="14"/>
        <v>1881432997</v>
      </c>
      <c r="H32" s="18">
        <f t="shared" si="14"/>
        <v>2449690383</v>
      </c>
      <c r="I32" s="18">
        <f t="shared" si="14"/>
        <v>2382404523</v>
      </c>
      <c r="J32" s="18">
        <f t="shared" si="14"/>
        <v>2783215663</v>
      </c>
      <c r="K32" s="18">
        <f t="shared" si="14"/>
        <v>2570695038</v>
      </c>
      <c r="L32" s="18">
        <f t="shared" si="14"/>
        <v>2737347098</v>
      </c>
      <c r="M32" s="18">
        <f>SUM(M20:M31)</f>
        <v>2556974518</v>
      </c>
      <c r="N32" s="18">
        <f>SUM(N20:N31)</f>
        <v>2430341972</v>
      </c>
      <c r="O32" s="18">
        <f>SUM(O20:O31)</f>
        <v>2508250861</v>
      </c>
      <c r="P32" s="18">
        <f>SUM(P20:P31)</f>
        <v>2504590057</v>
      </c>
      <c r="Q32" s="19">
        <f>SUM(Q20:Q31)</f>
        <v>2376492761.1304893</v>
      </c>
      <c r="R32" s="19">
        <f t="shared" ref="R32:Z32" si="15">SUM(R20:R31)</f>
        <v>2190554156.5430174</v>
      </c>
      <c r="S32" s="19">
        <f t="shared" si="15"/>
        <v>2204566549.863595</v>
      </c>
      <c r="T32" s="19">
        <f t="shared" si="15"/>
        <v>1757029580.6986518</v>
      </c>
      <c r="U32" s="19">
        <f t="shared" si="15"/>
        <v>2025650708.4216206</v>
      </c>
      <c r="V32" s="19">
        <f t="shared" si="15"/>
        <v>2050443785.2676716</v>
      </c>
      <c r="W32" s="19">
        <f t="shared" si="15"/>
        <v>2038621969.9412131</v>
      </c>
      <c r="X32" s="19">
        <f t="shared" si="15"/>
        <v>2157109071.2439013</v>
      </c>
      <c r="Y32" s="19">
        <f t="shared" si="15"/>
        <v>2025479873.8631265</v>
      </c>
      <c r="Z32" s="19">
        <f t="shared" si="15"/>
        <v>1978844054.7667973</v>
      </c>
      <c r="AA32" s="19"/>
      <c r="AD32" s="18">
        <f t="shared" si="10"/>
        <v>2615714857.8000002</v>
      </c>
      <c r="AE32" s="18">
        <f t="shared" si="11"/>
        <v>-107463996.80000019</v>
      </c>
    </row>
    <row r="33" spans="1:35">
      <c r="I33" s="26"/>
      <c r="J33" s="26"/>
      <c r="K33" s="26"/>
      <c r="L33" s="26"/>
      <c r="M33" s="25">
        <f>M25/L25-1</f>
        <v>-6.6833026605484402E-2</v>
      </c>
      <c r="N33" s="25">
        <f>N25/M25-1</f>
        <v>-7.5115938362527279E-2</v>
      </c>
      <c r="O33" s="25">
        <f>O25/N25-1</f>
        <v>7.1058498087857247E-2</v>
      </c>
      <c r="P33" s="25">
        <f>P25/O25-1</f>
        <v>-0.11603239223005735</v>
      </c>
      <c r="Q33" s="25">
        <f>Q25/P25-1</f>
        <v>3.4327236816378726E-2</v>
      </c>
      <c r="R33" s="26"/>
      <c r="S33" s="26"/>
      <c r="T33" s="26"/>
      <c r="U33" s="26"/>
      <c r="V33" s="26"/>
      <c r="W33" s="26"/>
      <c r="X33" s="26"/>
      <c r="Y33" s="26"/>
      <c r="Z33" s="26"/>
      <c r="AA33" s="18"/>
    </row>
    <row r="34" spans="1:35" ht="15.75">
      <c r="A34" s="15" t="s">
        <v>56</v>
      </c>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8"/>
      <c r="AB34" s="16"/>
      <c r="AC34" s="16"/>
      <c r="AD34" s="16"/>
      <c r="AE34" s="16"/>
      <c r="AF34" s="16"/>
      <c r="AG34" s="16"/>
      <c r="AH34" s="16"/>
      <c r="AI34" s="16"/>
    </row>
    <row r="35" spans="1:35">
      <c r="B35" s="14">
        <v>2010</v>
      </c>
      <c r="C35" s="14">
        <v>2011</v>
      </c>
      <c r="D35" s="14">
        <v>2012</v>
      </c>
      <c r="E35" s="14">
        <v>2013</v>
      </c>
      <c r="F35" s="14">
        <v>2014</v>
      </c>
      <c r="G35" s="14">
        <v>2015</v>
      </c>
      <c r="H35" s="14">
        <v>2016</v>
      </c>
      <c r="I35" s="14">
        <v>2017</v>
      </c>
      <c r="J35" s="14">
        <v>2018</v>
      </c>
      <c r="K35" s="14">
        <v>2019</v>
      </c>
      <c r="L35" s="14">
        <v>2020</v>
      </c>
      <c r="M35" s="14">
        <v>2021</v>
      </c>
      <c r="N35" s="14">
        <v>2022</v>
      </c>
      <c r="O35" s="14">
        <v>2023</v>
      </c>
      <c r="P35" s="14">
        <v>2024</v>
      </c>
      <c r="Q35" s="14">
        <v>2025</v>
      </c>
      <c r="R35" s="14">
        <v>2026</v>
      </c>
      <c r="S35" s="14">
        <v>2027</v>
      </c>
      <c r="T35" s="14">
        <v>2028</v>
      </c>
      <c r="U35" s="14">
        <v>2029</v>
      </c>
      <c r="V35" s="14">
        <v>2030</v>
      </c>
      <c r="W35" s="14">
        <v>2031</v>
      </c>
      <c r="X35" s="14">
        <v>2032</v>
      </c>
      <c r="Y35" s="14">
        <v>2033</v>
      </c>
      <c r="Z35" s="14">
        <v>2034</v>
      </c>
      <c r="AA35" s="18"/>
      <c r="AD35" s="14" t="s">
        <v>37</v>
      </c>
      <c r="AE35" s="14" t="s">
        <v>38</v>
      </c>
      <c r="AF35" s="14" t="s">
        <v>39</v>
      </c>
      <c r="AG35" s="14" t="s">
        <v>40</v>
      </c>
      <c r="AH35" s="14" t="s">
        <v>41</v>
      </c>
      <c r="AI35" s="14" t="s">
        <v>42</v>
      </c>
    </row>
    <row r="36" spans="1:35">
      <c r="A36" s="14" t="s">
        <v>43</v>
      </c>
      <c r="B36" s="18">
        <f>'D4 RIN Forecast'!B99+'D6 RIN Forecast'!B81</f>
        <v>0</v>
      </c>
      <c r="C36" s="18">
        <f>'D4 RIN Forecast'!C99+'D6 RIN Forecast'!C81</f>
        <v>3954656</v>
      </c>
      <c r="D36" s="18">
        <f>'D4 RIN Forecast'!D99+'D6 RIN Forecast'!D81</f>
        <v>1557591</v>
      </c>
      <c r="E36" s="18">
        <f>'D4 RIN Forecast'!E99+'D6 RIN Forecast'!E81</f>
        <v>1463988</v>
      </c>
      <c r="F36" s="18">
        <f>'D4 RIN Forecast'!F99+'D6 RIN Forecast'!F81</f>
        <v>2972950</v>
      </c>
      <c r="G36" s="18">
        <f>'D4 RIN Forecast'!G99+'D6 RIN Forecast'!G81</f>
        <v>12939678</v>
      </c>
      <c r="H36" s="18">
        <f>'D4 RIN Forecast'!H99+'D6 RIN Forecast'!H81</f>
        <v>31077567</v>
      </c>
      <c r="I36" s="18">
        <f>'D4 RIN Forecast'!I99+'D6 RIN Forecast'!I81</f>
        <v>31785156</v>
      </c>
      <c r="J36" s="18">
        <f>'D4 RIN Forecast'!J99+'D6 RIN Forecast'!J81</f>
        <v>16044167</v>
      </c>
      <c r="K36" s="18">
        <f>'D4 RIN Forecast'!K99+'D6 RIN Forecast'!K81</f>
        <v>17713871</v>
      </c>
      <c r="L36" s="18">
        <f>'D4 RIN Forecast'!L99+'D6 RIN Forecast'!L81</f>
        <v>20606859</v>
      </c>
      <c r="M36" s="18">
        <f>'D4 RIN Forecast'!M99+'D6 RIN Forecast'!M81</f>
        <v>12804373</v>
      </c>
      <c r="N36" s="18">
        <f>'D4 RIN Forecast'!N99+'D6 RIN Forecast'!N81</f>
        <v>19051597</v>
      </c>
      <c r="O36" s="18">
        <f>'D4 RIN Forecast'!O99+'D6 RIN Forecast'!O81</f>
        <v>36873751</v>
      </c>
      <c r="P36" s="18">
        <f>'D4 RIN Forecast'!P99+'D6 RIN Forecast'!P81</f>
        <v>60472149</v>
      </c>
      <c r="Q36" s="18">
        <f>'D4 RIN Forecast'!Q99+'D6 RIN Forecast'!Q81</f>
        <v>4703045</v>
      </c>
      <c r="R36" s="18">
        <f>'D4 RIN Forecast'!R99+'D6 RIN Forecast'!R81</f>
        <v>15038725.365441097</v>
      </c>
      <c r="S36" s="18">
        <f>'D4 RIN Forecast'!S99+'D6 RIN Forecast'!S81</f>
        <v>16271848.882695293</v>
      </c>
      <c r="T36" s="18">
        <f>'D4 RIN Forecast'!T99+'D6 RIN Forecast'!T81</f>
        <v>17966535.276515331</v>
      </c>
      <c r="U36" s="18">
        <f>'D4 RIN Forecast'!U99+'D6 RIN Forecast'!U81</f>
        <v>18678449.155005354</v>
      </c>
      <c r="V36" s="18">
        <f>'D4 RIN Forecast'!V99+'D6 RIN Forecast'!V81</f>
        <v>14283314.308368001</v>
      </c>
      <c r="W36" s="18">
        <f>'D4 RIN Forecast'!W99+'D6 RIN Forecast'!W81</f>
        <v>16292606.949776033</v>
      </c>
      <c r="X36" s="18">
        <f>'D4 RIN Forecast'!X99+'D6 RIN Forecast'!X81</f>
        <v>14688540.173869094</v>
      </c>
      <c r="Y36" s="18">
        <f>'D4 RIN Forecast'!Y99+'D6 RIN Forecast'!Y81</f>
        <v>13779159.134753419</v>
      </c>
      <c r="Z36" s="18">
        <f>'D4 RIN Forecast'!Z99+'D6 RIN Forecast'!Z81</f>
        <v>13205206.024664767</v>
      </c>
      <c r="AA36" s="18"/>
      <c r="AB36" s="20">
        <f>P36/O47-1</f>
        <v>-0.41450770464794262</v>
      </c>
      <c r="AD36" s="18">
        <f>AVERAGE(J36:N36)</f>
        <v>17244173.399999999</v>
      </c>
      <c r="AE36" s="18">
        <f>O36-AD36</f>
        <v>19629577.600000001</v>
      </c>
      <c r="AF36" s="18">
        <f t="shared" ref="AF36:AF47" si="16">O36-N36</f>
        <v>17822154</v>
      </c>
      <c r="AG36" s="18">
        <f>O36/31</f>
        <v>1189475.8387096773</v>
      </c>
      <c r="AH36" s="18">
        <f>AD36/31</f>
        <v>556263.65806451603</v>
      </c>
      <c r="AI36" s="18">
        <f>AG36-AH36</f>
        <v>633212.18064516131</v>
      </c>
    </row>
    <row r="37" spans="1:35">
      <c r="A37" s="14" t="s">
        <v>44</v>
      </c>
      <c r="B37" s="18">
        <f>'D4 RIN Forecast'!B100+'D6 RIN Forecast'!B82</f>
        <v>0</v>
      </c>
      <c r="C37" s="18">
        <f>'D4 RIN Forecast'!C100+'D6 RIN Forecast'!C82</f>
        <v>2004085</v>
      </c>
      <c r="D37" s="18">
        <f>'D4 RIN Forecast'!D100+'D6 RIN Forecast'!D82</f>
        <v>6033036</v>
      </c>
      <c r="E37" s="18">
        <f>'D4 RIN Forecast'!E100+'D6 RIN Forecast'!E82</f>
        <v>4610442</v>
      </c>
      <c r="F37" s="18">
        <f>'D4 RIN Forecast'!F100+'D6 RIN Forecast'!F82</f>
        <v>5842670</v>
      </c>
      <c r="G37" s="18">
        <f>'D4 RIN Forecast'!G100+'D6 RIN Forecast'!G82</f>
        <v>7537654</v>
      </c>
      <c r="H37" s="18">
        <f>'D4 RIN Forecast'!H100+'D6 RIN Forecast'!H82</f>
        <v>20663126</v>
      </c>
      <c r="I37" s="18">
        <f>'D4 RIN Forecast'!I100+'D6 RIN Forecast'!I82</f>
        <v>44658218</v>
      </c>
      <c r="J37" s="18">
        <f>'D4 RIN Forecast'!J100+'D6 RIN Forecast'!J82</f>
        <v>17377056</v>
      </c>
      <c r="K37" s="18">
        <f>'D4 RIN Forecast'!K100+'D6 RIN Forecast'!K82</f>
        <v>16452363</v>
      </c>
      <c r="L37" s="18">
        <f>'D4 RIN Forecast'!L100+'D6 RIN Forecast'!L82</f>
        <v>17200392</v>
      </c>
      <c r="M37" s="18">
        <f>'D4 RIN Forecast'!M100+'D6 RIN Forecast'!M82</f>
        <v>11492452</v>
      </c>
      <c r="N37" s="18">
        <f>'D4 RIN Forecast'!N100+'D6 RIN Forecast'!N82</f>
        <v>10115757</v>
      </c>
      <c r="O37" s="18">
        <f>'D4 RIN Forecast'!O100+'D6 RIN Forecast'!O82</f>
        <v>61194513</v>
      </c>
      <c r="P37" s="18">
        <f>'D4 RIN Forecast'!P100+'D6 RIN Forecast'!P82</f>
        <v>80227289</v>
      </c>
      <c r="Q37" s="19">
        <f>'D4 RIN Forecast'!Q100+'D6 RIN Forecast'!Q82</f>
        <v>9613679</v>
      </c>
      <c r="R37" s="19">
        <f>'D4 RIN Forecast'!R100+'D6 RIN Forecast'!R82</f>
        <v>19131832.125758067</v>
      </c>
      <c r="S37" s="19">
        <f>'D4 RIN Forecast'!S100+'D6 RIN Forecast'!S82</f>
        <v>21273916.705534924</v>
      </c>
      <c r="T37" s="19">
        <f>'D4 RIN Forecast'!T100+'D6 RIN Forecast'!T82</f>
        <v>25482432.558378432</v>
      </c>
      <c r="U37" s="19">
        <f>'D4 RIN Forecast'!U100+'D6 RIN Forecast'!U82</f>
        <v>25040430.799070533</v>
      </c>
      <c r="V37" s="19">
        <f>'D4 RIN Forecast'!V100+'D6 RIN Forecast'!V82</f>
        <v>19764724.771238968</v>
      </c>
      <c r="W37" s="19">
        <f>'D4 RIN Forecast'!W100+'D6 RIN Forecast'!W82</f>
        <v>21929812.100913588</v>
      </c>
      <c r="X37" s="19">
        <f>'D4 RIN Forecast'!X100+'D6 RIN Forecast'!X82</f>
        <v>19966065.038292058</v>
      </c>
      <c r="Y37" s="19">
        <f>'D4 RIN Forecast'!Y100+'D6 RIN Forecast'!Y82</f>
        <v>18871984.839511655</v>
      </c>
      <c r="Z37" s="19">
        <f>'D4 RIN Forecast'!Z100+'D6 RIN Forecast'!Z82</f>
        <v>17937163.17942949</v>
      </c>
      <c r="AA37" s="19"/>
      <c r="AB37" s="20">
        <f>P37/P36-1</f>
        <v>0.32668162661128508</v>
      </c>
      <c r="AD37" s="18">
        <f t="shared" ref="AD37:AD48" si="17">AVERAGE(J37:N37)</f>
        <v>14527604</v>
      </c>
      <c r="AE37" s="18">
        <f t="shared" ref="AE37:AE48" si="18">O37-AD37</f>
        <v>46666909</v>
      </c>
      <c r="AF37" s="18">
        <f t="shared" si="16"/>
        <v>51078756</v>
      </c>
      <c r="AG37" s="18">
        <f>O37/28</f>
        <v>2185518.3214285714</v>
      </c>
      <c r="AH37" s="18">
        <f>AD37/28</f>
        <v>518843</v>
      </c>
      <c r="AI37" s="18">
        <f t="shared" ref="AI37:AI47" si="19">AG37-AH37</f>
        <v>1666675.3214285714</v>
      </c>
    </row>
    <row r="38" spans="1:35">
      <c r="A38" s="14" t="s">
        <v>45</v>
      </c>
      <c r="B38" s="18">
        <f>'D4 RIN Forecast'!B101+'D6 RIN Forecast'!B83</f>
        <v>0</v>
      </c>
      <c r="C38" s="18">
        <f>'D4 RIN Forecast'!C101+'D6 RIN Forecast'!C83</f>
        <v>6941490</v>
      </c>
      <c r="D38" s="18">
        <f>'D4 RIN Forecast'!D101+'D6 RIN Forecast'!D83</f>
        <v>6465141</v>
      </c>
      <c r="E38" s="18">
        <f>'D4 RIN Forecast'!E101+'D6 RIN Forecast'!E83</f>
        <v>14054171</v>
      </c>
      <c r="F38" s="18">
        <f>'D4 RIN Forecast'!F101+'D6 RIN Forecast'!F83</f>
        <v>19632695</v>
      </c>
      <c r="G38" s="18">
        <f>'D4 RIN Forecast'!G101+'D6 RIN Forecast'!G83</f>
        <v>20160873</v>
      </c>
      <c r="H38" s="18">
        <f>'D4 RIN Forecast'!H101+'D6 RIN Forecast'!H83</f>
        <v>14723705</v>
      </c>
      <c r="I38" s="18">
        <f>'D4 RIN Forecast'!I101+'D6 RIN Forecast'!I83</f>
        <v>60824923</v>
      </c>
      <c r="J38" s="18">
        <f>'D4 RIN Forecast'!J101+'D6 RIN Forecast'!J83</f>
        <v>23465349</v>
      </c>
      <c r="K38" s="18">
        <f>'D4 RIN Forecast'!K101+'D6 RIN Forecast'!K83</f>
        <v>18083989</v>
      </c>
      <c r="L38" s="18">
        <f>'D4 RIN Forecast'!L101+'D6 RIN Forecast'!L83</f>
        <v>27865918</v>
      </c>
      <c r="M38" s="18">
        <f>'D4 RIN Forecast'!M101+'D6 RIN Forecast'!M83</f>
        <v>22720501</v>
      </c>
      <c r="N38" s="18">
        <f>'D4 RIN Forecast'!N101+'D6 RIN Forecast'!N83</f>
        <v>34021039</v>
      </c>
      <c r="O38" s="18">
        <f>'D4 RIN Forecast'!O101+'D6 RIN Forecast'!O83</f>
        <v>67182654</v>
      </c>
      <c r="P38" s="18">
        <f>'D4 RIN Forecast'!P101+'D6 RIN Forecast'!P83</f>
        <v>44836291</v>
      </c>
      <c r="Q38" s="19">
        <f>'D4 RIN Forecast'!Q101+'D6 RIN Forecast'!Q83</f>
        <v>5852368</v>
      </c>
      <c r="R38" s="19">
        <f>'D4 RIN Forecast'!R101+'D6 RIN Forecast'!R83</f>
        <v>19610599.728340574</v>
      </c>
      <c r="S38" s="19">
        <f>'D4 RIN Forecast'!S101+'D6 RIN Forecast'!S83</f>
        <v>20498646.678225163</v>
      </c>
      <c r="T38" s="19">
        <f>'D4 RIN Forecast'!T101+'D6 RIN Forecast'!T83</f>
        <v>21283546.983075451</v>
      </c>
      <c r="U38" s="19">
        <f>'D4 RIN Forecast'!U101+'D6 RIN Forecast'!U83</f>
        <v>18291529.512471106</v>
      </c>
      <c r="V38" s="19">
        <f>'D4 RIN Forecast'!V101+'D6 RIN Forecast'!V83</f>
        <v>16814905.805997856</v>
      </c>
      <c r="W38" s="19">
        <f>'D4 RIN Forecast'!W101+'D6 RIN Forecast'!W83</f>
        <v>19117771.762682162</v>
      </c>
      <c r="X38" s="19">
        <f>'D4 RIN Forecast'!X101+'D6 RIN Forecast'!X83</f>
        <v>16890014.982492182</v>
      </c>
      <c r="Y38" s="19">
        <f>'D4 RIN Forecast'!Y101+'D6 RIN Forecast'!Y83</f>
        <v>15543549.956159668</v>
      </c>
      <c r="Z38" s="19">
        <f>'D4 RIN Forecast'!Z101+'D6 RIN Forecast'!Z83</f>
        <v>14723407.868348567</v>
      </c>
      <c r="AA38" s="19"/>
      <c r="AB38" s="20">
        <f t="shared" ref="AB38:AB47" si="20">P38/P37-1</f>
        <v>-0.44113416321471366</v>
      </c>
      <c r="AD38" s="18">
        <f t="shared" si="17"/>
        <v>25231359.199999999</v>
      </c>
      <c r="AE38" s="18">
        <f t="shared" si="18"/>
        <v>41951294.799999997</v>
      </c>
      <c r="AF38" s="18">
        <f t="shared" si="16"/>
        <v>33161615</v>
      </c>
      <c r="AG38" s="18">
        <f>O38/31</f>
        <v>2167182.3870967743</v>
      </c>
      <c r="AH38" s="18">
        <f>AD38/31</f>
        <v>813914.81290322577</v>
      </c>
      <c r="AI38" s="18">
        <f t="shared" si="19"/>
        <v>1353267.5741935484</v>
      </c>
    </row>
    <row r="39" spans="1:35">
      <c r="A39" s="14" t="s">
        <v>46</v>
      </c>
      <c r="B39" s="18">
        <f>'D4 RIN Forecast'!B102+'D6 RIN Forecast'!B84</f>
        <v>0</v>
      </c>
      <c r="C39" s="18">
        <f>'D4 RIN Forecast'!C102+'D6 RIN Forecast'!C84</f>
        <v>3317642</v>
      </c>
      <c r="D39" s="18">
        <f>'D4 RIN Forecast'!D102+'D6 RIN Forecast'!D84</f>
        <v>3986638</v>
      </c>
      <c r="E39" s="18">
        <f>'D4 RIN Forecast'!E102+'D6 RIN Forecast'!E84</f>
        <v>7183917</v>
      </c>
      <c r="F39" s="18">
        <f>'D4 RIN Forecast'!F102+'D6 RIN Forecast'!F84</f>
        <v>8639227</v>
      </c>
      <c r="G39" s="18">
        <f>'D4 RIN Forecast'!G102+'D6 RIN Forecast'!G84</f>
        <v>29702407</v>
      </c>
      <c r="H39" s="18">
        <f>'D4 RIN Forecast'!H102+'D6 RIN Forecast'!H84</f>
        <v>51089583</v>
      </c>
      <c r="I39" s="18">
        <f>'D4 RIN Forecast'!I102+'D6 RIN Forecast'!I84</f>
        <v>31281427</v>
      </c>
      <c r="J39" s="18">
        <f>'D4 RIN Forecast'!J102+'D6 RIN Forecast'!J84</f>
        <v>23904320</v>
      </c>
      <c r="K39" s="18">
        <f>'D4 RIN Forecast'!K102+'D6 RIN Forecast'!K84</f>
        <v>32280238</v>
      </c>
      <c r="L39" s="18">
        <f>'D4 RIN Forecast'!L102+'D6 RIN Forecast'!L84</f>
        <v>28024744</v>
      </c>
      <c r="M39" s="18">
        <f>'D4 RIN Forecast'!M102+'D6 RIN Forecast'!M84</f>
        <v>26004968</v>
      </c>
      <c r="N39" s="18">
        <f>'D4 RIN Forecast'!N102+'D6 RIN Forecast'!N84</f>
        <v>44809859</v>
      </c>
      <c r="O39" s="18">
        <f>'D4 RIN Forecast'!O102+'D6 RIN Forecast'!O84</f>
        <v>52446720</v>
      </c>
      <c r="P39" s="18">
        <f>'D4 RIN Forecast'!P102+'D6 RIN Forecast'!P84</f>
        <v>76075858</v>
      </c>
      <c r="Q39" s="19">
        <f>'D4 RIN Forecast'!Q102+'D6 RIN Forecast'!Q84</f>
        <v>48720726.150993653</v>
      </c>
      <c r="R39" s="19">
        <f>'D4 RIN Forecast'!R102+'D6 RIN Forecast'!R84</f>
        <v>27450331.591051131</v>
      </c>
      <c r="S39" s="19">
        <f>'D4 RIN Forecast'!S102+'D6 RIN Forecast'!S84</f>
        <v>29386450.165839113</v>
      </c>
      <c r="T39" s="19">
        <f>'D4 RIN Forecast'!T102+'D6 RIN Forecast'!T84</f>
        <v>31045441.260605063</v>
      </c>
      <c r="U39" s="19">
        <f>'D4 RIN Forecast'!U102+'D6 RIN Forecast'!U84</f>
        <v>34114780.919917807</v>
      </c>
      <c r="V39" s="19">
        <f>'D4 RIN Forecast'!V102+'D6 RIN Forecast'!V84</f>
        <v>33559895.191510282</v>
      </c>
      <c r="W39" s="19">
        <f>'D4 RIN Forecast'!W102+'D6 RIN Forecast'!W84</f>
        <v>30817876.248876225</v>
      </c>
      <c r="X39" s="19">
        <f>'D4 RIN Forecast'!X102+'D6 RIN Forecast'!X84</f>
        <v>27958929.891175885</v>
      </c>
      <c r="Y39" s="19">
        <f>'D4 RIN Forecast'!Y102+'D6 RIN Forecast'!Y84</f>
        <v>26494809.542956989</v>
      </c>
      <c r="Z39" s="19">
        <f>'D4 RIN Forecast'!Z102+'D6 RIN Forecast'!Z84</f>
        <v>25986020.427905068</v>
      </c>
      <c r="AA39" s="19"/>
      <c r="AB39" s="20">
        <f t="shared" si="20"/>
        <v>0.69674735138104982</v>
      </c>
      <c r="AD39" s="18">
        <f t="shared" si="17"/>
        <v>31004825.800000001</v>
      </c>
      <c r="AE39" s="18">
        <f t="shared" si="18"/>
        <v>21441894.199999999</v>
      </c>
      <c r="AF39" s="18">
        <f t="shared" si="16"/>
        <v>7636861</v>
      </c>
      <c r="AG39" s="18">
        <f>O39/30</f>
        <v>1748224</v>
      </c>
      <c r="AH39" s="18">
        <f>AD39/30</f>
        <v>1033494.1933333334</v>
      </c>
      <c r="AI39" s="18">
        <f t="shared" si="19"/>
        <v>714729.80666666664</v>
      </c>
    </row>
    <row r="40" spans="1:35">
      <c r="A40" s="14" t="s">
        <v>47</v>
      </c>
      <c r="B40" s="18">
        <f>'D4 RIN Forecast'!B103+'D6 RIN Forecast'!B85</f>
        <v>0</v>
      </c>
      <c r="C40" s="18">
        <f>'D4 RIN Forecast'!C103+'D6 RIN Forecast'!C85</f>
        <v>3374894</v>
      </c>
      <c r="D40" s="18">
        <f>'D4 RIN Forecast'!D103+'D6 RIN Forecast'!D85</f>
        <v>3198200</v>
      </c>
      <c r="E40" s="18">
        <f>'D4 RIN Forecast'!E103+'D6 RIN Forecast'!E85</f>
        <v>15049714</v>
      </c>
      <c r="F40" s="18">
        <f>'D4 RIN Forecast'!F103+'D6 RIN Forecast'!F85</f>
        <v>11694354</v>
      </c>
      <c r="G40" s="18">
        <f>'D4 RIN Forecast'!G103+'D6 RIN Forecast'!G85</f>
        <v>28295895</v>
      </c>
      <c r="H40" s="18">
        <f>'D4 RIN Forecast'!H103+'D6 RIN Forecast'!H85</f>
        <v>71376996</v>
      </c>
      <c r="I40" s="18">
        <f>'D4 RIN Forecast'!I103+'D6 RIN Forecast'!I85</f>
        <v>58547517</v>
      </c>
      <c r="J40" s="18">
        <f>'D4 RIN Forecast'!J103+'D6 RIN Forecast'!J85</f>
        <v>24085300</v>
      </c>
      <c r="K40" s="18">
        <f>'D4 RIN Forecast'!K103+'D6 RIN Forecast'!K85</f>
        <v>23483648</v>
      </c>
      <c r="L40" s="18">
        <f>'D4 RIN Forecast'!L103+'D6 RIN Forecast'!L85</f>
        <v>27970027</v>
      </c>
      <c r="M40" s="18">
        <f>'D4 RIN Forecast'!M103+'D6 RIN Forecast'!M85</f>
        <v>19989699</v>
      </c>
      <c r="N40" s="18">
        <f>'D4 RIN Forecast'!N103+'D6 RIN Forecast'!N85</f>
        <v>17665002</v>
      </c>
      <c r="O40" s="18">
        <f>'D4 RIN Forecast'!O103+'D6 RIN Forecast'!O85</f>
        <v>59129807</v>
      </c>
      <c r="P40" s="18">
        <f>'D4 RIN Forecast'!P103+'D6 RIN Forecast'!P85</f>
        <v>53177161</v>
      </c>
      <c r="Q40" s="19">
        <f>'D4 RIN Forecast'!Q103+'D6 RIN Forecast'!Q85</f>
        <v>38748831.929972269</v>
      </c>
      <c r="R40" s="19">
        <f>'D4 RIN Forecast'!R103+'D6 RIN Forecast'!R85</f>
        <v>21193891.913520634</v>
      </c>
      <c r="S40" s="19">
        <f>'D4 RIN Forecast'!S103+'D6 RIN Forecast'!S85</f>
        <v>22699282.413804911</v>
      </c>
      <c r="T40" s="19">
        <f>'D4 RIN Forecast'!T103+'D6 RIN Forecast'!T85</f>
        <v>26264025.592944939</v>
      </c>
      <c r="U40" s="19">
        <f>'D4 RIN Forecast'!U103+'D6 RIN Forecast'!U85</f>
        <v>26451740.516200915</v>
      </c>
      <c r="V40" s="19">
        <f>'D4 RIN Forecast'!V103+'D6 RIN Forecast'!V85</f>
        <v>26608792.49619158</v>
      </c>
      <c r="W40" s="19">
        <f>'D4 RIN Forecast'!W103+'D6 RIN Forecast'!W85</f>
        <v>24411060.315324042</v>
      </c>
      <c r="X40" s="19">
        <f>'D4 RIN Forecast'!X103+'D6 RIN Forecast'!X85</f>
        <v>22243177.064331111</v>
      </c>
      <c r="Y40" s="19">
        <f>'D4 RIN Forecast'!Y103+'D6 RIN Forecast'!Y85</f>
        <v>21192694.64566543</v>
      </c>
      <c r="Z40" s="19">
        <f>'D4 RIN Forecast'!Z103+'D6 RIN Forecast'!Z85</f>
        <v>20542530.449698091</v>
      </c>
      <c r="AA40" s="19"/>
      <c r="AB40" s="20">
        <f t="shared" si="20"/>
        <v>-0.30099820891931317</v>
      </c>
      <c r="AD40" s="18">
        <f t="shared" si="17"/>
        <v>22638735.199999999</v>
      </c>
      <c r="AE40" s="18">
        <f t="shared" si="18"/>
        <v>36491071.799999997</v>
      </c>
      <c r="AF40" s="18">
        <f t="shared" si="16"/>
        <v>41464805</v>
      </c>
      <c r="AG40" s="18">
        <f>O40/31</f>
        <v>1907413.1290322582</v>
      </c>
      <c r="AH40" s="18">
        <f>AD40/31</f>
        <v>730281.78064516129</v>
      </c>
      <c r="AI40" s="18">
        <f t="shared" si="19"/>
        <v>1177131.348387097</v>
      </c>
    </row>
    <row r="41" spans="1:35">
      <c r="A41" s="14" t="s">
        <v>48</v>
      </c>
      <c r="B41" s="18">
        <f>'D4 RIN Forecast'!B104+'D6 RIN Forecast'!B86</f>
        <v>0</v>
      </c>
      <c r="C41" s="18">
        <f>'D4 RIN Forecast'!C104+'D6 RIN Forecast'!C86</f>
        <v>5265168</v>
      </c>
      <c r="D41" s="18">
        <f>'D4 RIN Forecast'!D104+'D6 RIN Forecast'!D86</f>
        <v>8816321</v>
      </c>
      <c r="E41" s="18">
        <f>'D4 RIN Forecast'!E104+'D6 RIN Forecast'!E86</f>
        <v>22120788</v>
      </c>
      <c r="F41" s="18">
        <f>'D4 RIN Forecast'!F104+'D6 RIN Forecast'!F86</f>
        <v>15109426</v>
      </c>
      <c r="G41" s="18">
        <f>'D4 RIN Forecast'!G104+'D6 RIN Forecast'!G86</f>
        <v>38267909</v>
      </c>
      <c r="H41" s="18">
        <f>'D4 RIN Forecast'!H104+'D6 RIN Forecast'!H86</f>
        <v>110403003</v>
      </c>
      <c r="I41" s="18">
        <f>'D4 RIN Forecast'!I104+'D6 RIN Forecast'!I86</f>
        <v>125644344</v>
      </c>
      <c r="J41" s="18">
        <f>'D4 RIN Forecast'!J104+'D6 RIN Forecast'!J86</f>
        <v>18351490</v>
      </c>
      <c r="K41" s="18">
        <f>'D4 RIN Forecast'!K104+'D6 RIN Forecast'!K86</f>
        <v>29083738</v>
      </c>
      <c r="L41" s="18">
        <f>'D4 RIN Forecast'!L104+'D6 RIN Forecast'!L86</f>
        <v>25123860</v>
      </c>
      <c r="M41" s="18">
        <f>'D4 RIN Forecast'!M104+'D6 RIN Forecast'!M86</f>
        <v>26382669</v>
      </c>
      <c r="N41" s="18">
        <f>'D4 RIN Forecast'!N104+'D6 RIN Forecast'!N86</f>
        <v>28972266</v>
      </c>
      <c r="O41" s="18">
        <f>'D4 RIN Forecast'!O104+'D6 RIN Forecast'!O86</f>
        <v>61769873</v>
      </c>
      <c r="P41" s="18">
        <f>'D4 RIN Forecast'!P104+'D6 RIN Forecast'!P86</f>
        <v>59684937</v>
      </c>
      <c r="Q41" s="19">
        <f>'D4 RIN Forecast'!Q104+'D6 RIN Forecast'!Q86</f>
        <v>43232212.281617209</v>
      </c>
      <c r="R41" s="19">
        <f>'D4 RIN Forecast'!R104+'D6 RIN Forecast'!R86</f>
        <v>24329214.248910531</v>
      </c>
      <c r="S41" s="19">
        <f>'D4 RIN Forecast'!S104+'D6 RIN Forecast'!S86</f>
        <v>25646647.329558868</v>
      </c>
      <c r="T41" s="19">
        <f>'D4 RIN Forecast'!T104+'D6 RIN Forecast'!T86</f>
        <v>28459918.287026804</v>
      </c>
      <c r="U41" s="19">
        <f>'D4 RIN Forecast'!U104+'D6 RIN Forecast'!U86</f>
        <v>29039287.105974533</v>
      </c>
      <c r="V41" s="19">
        <f>'D4 RIN Forecast'!V104+'D6 RIN Forecast'!V86</f>
        <v>29626216.873009242</v>
      </c>
      <c r="W41" s="19">
        <f>'D4 RIN Forecast'!W104+'D6 RIN Forecast'!W86</f>
        <v>27161575.110813357</v>
      </c>
      <c r="X41" s="19">
        <f>'D4 RIN Forecast'!X104+'D6 RIN Forecast'!X86</f>
        <v>24617955.987960547</v>
      </c>
      <c r="Y41" s="19">
        <f>'D4 RIN Forecast'!Y104+'D6 RIN Forecast'!Y86</f>
        <v>23367188.405487377</v>
      </c>
      <c r="Z41" s="19">
        <f>'D4 RIN Forecast'!Z104+'D6 RIN Forecast'!Z86</f>
        <v>22735086.493397888</v>
      </c>
      <c r="AA41" s="19"/>
      <c r="AB41" s="20">
        <f t="shared" si="20"/>
        <v>0.12237915446445147</v>
      </c>
      <c r="AD41" s="18">
        <f t="shared" si="17"/>
        <v>25582804.600000001</v>
      </c>
      <c r="AE41" s="18">
        <f t="shared" si="18"/>
        <v>36187068.399999999</v>
      </c>
      <c r="AF41" s="18">
        <f t="shared" si="16"/>
        <v>32797607</v>
      </c>
      <c r="AG41" s="18">
        <f>O41/30</f>
        <v>2058995.7666666666</v>
      </c>
      <c r="AH41" s="18">
        <f>AD41/30</f>
        <v>852760.15333333344</v>
      </c>
      <c r="AI41" s="18">
        <f t="shared" si="19"/>
        <v>1206235.6133333333</v>
      </c>
    </row>
    <row r="42" spans="1:35">
      <c r="A42" s="14" t="s">
        <v>49</v>
      </c>
      <c r="B42" s="18">
        <f>'D4 RIN Forecast'!B105+'D6 RIN Forecast'!B87</f>
        <v>2066116</v>
      </c>
      <c r="C42" s="18">
        <f>'D4 RIN Forecast'!C105+'D6 RIN Forecast'!C87</f>
        <v>3781710</v>
      </c>
      <c r="D42" s="18">
        <f>'D4 RIN Forecast'!D105+'D6 RIN Forecast'!D87</f>
        <v>3975750</v>
      </c>
      <c r="E42" s="18">
        <f>'D4 RIN Forecast'!E105+'D6 RIN Forecast'!E87</f>
        <v>9780099</v>
      </c>
      <c r="F42" s="18">
        <f>'D4 RIN Forecast'!F105+'D6 RIN Forecast'!F87</f>
        <v>37031879</v>
      </c>
      <c r="G42" s="18">
        <f>'D4 RIN Forecast'!G105+'D6 RIN Forecast'!G87</f>
        <v>75613723</v>
      </c>
      <c r="H42" s="18">
        <f>'D4 RIN Forecast'!H105+'D6 RIN Forecast'!H87</f>
        <v>61744216</v>
      </c>
      <c r="I42" s="18">
        <f>'D4 RIN Forecast'!I105+'D6 RIN Forecast'!I87</f>
        <v>81946351</v>
      </c>
      <c r="J42" s="18">
        <f>'D4 RIN Forecast'!J105+'D6 RIN Forecast'!J87</f>
        <v>7967029</v>
      </c>
      <c r="K42" s="18">
        <f>'D4 RIN Forecast'!K105+'D6 RIN Forecast'!K87</f>
        <v>24489664</v>
      </c>
      <c r="L42" s="18">
        <f>'D4 RIN Forecast'!L105+'D6 RIN Forecast'!L87</f>
        <v>29992721</v>
      </c>
      <c r="M42" s="18">
        <f>'D4 RIN Forecast'!M105+'D6 RIN Forecast'!M87</f>
        <v>23073558</v>
      </c>
      <c r="N42" s="18">
        <f>'D4 RIN Forecast'!N105+'D6 RIN Forecast'!N87</f>
        <v>13073576</v>
      </c>
      <c r="O42" s="18">
        <f>'D4 RIN Forecast'!O105+'D6 RIN Forecast'!O87</f>
        <v>45478933</v>
      </c>
      <c r="P42" s="18">
        <f>'D4 RIN Forecast'!P105+'D6 RIN Forecast'!P87</f>
        <v>33689886</v>
      </c>
      <c r="Q42" s="19">
        <f>'D4 RIN Forecast'!Q105+'D6 RIN Forecast'!Q87</f>
        <v>35394377.544815168</v>
      </c>
      <c r="R42" s="19">
        <f>'D4 RIN Forecast'!R105+'D6 RIN Forecast'!R87</f>
        <v>16926122.792776603</v>
      </c>
      <c r="S42" s="19">
        <f>'D4 RIN Forecast'!S105+'D6 RIN Forecast'!S87</f>
        <v>17278667.220596656</v>
      </c>
      <c r="T42" s="19">
        <f>'D4 RIN Forecast'!T105+'D6 RIN Forecast'!T87</f>
        <v>20042398.365230959</v>
      </c>
      <c r="U42" s="19">
        <f>'D4 RIN Forecast'!U105+'D6 RIN Forecast'!U87</f>
        <v>20127508.412624523</v>
      </c>
      <c r="V42" s="19">
        <f>'D4 RIN Forecast'!V105+'D6 RIN Forecast'!V87</f>
        <v>21578535.530829415</v>
      </c>
      <c r="W42" s="19">
        <f>'D4 RIN Forecast'!W105+'D6 RIN Forecast'!W87</f>
        <v>19009602.627101649</v>
      </c>
      <c r="X42" s="19">
        <f>'D4 RIN Forecast'!X105+'D6 RIN Forecast'!X87</f>
        <v>17247199.333723266</v>
      </c>
      <c r="Y42" s="19">
        <f>'D4 RIN Forecast'!Y105+'D6 RIN Forecast'!Y87</f>
        <v>16486863.510268986</v>
      </c>
      <c r="Z42" s="19">
        <f>'D4 RIN Forecast'!Z105+'D6 RIN Forecast'!Z87</f>
        <v>16047280.707421837</v>
      </c>
      <c r="AA42" s="19"/>
      <c r="AB42" s="21">
        <f t="shared" si="20"/>
        <v>-0.4355378811910281</v>
      </c>
      <c r="AC42" s="22"/>
      <c r="AD42" s="23">
        <f t="shared" si="17"/>
        <v>19719309.600000001</v>
      </c>
      <c r="AE42" s="24">
        <f t="shared" si="18"/>
        <v>25759623.399999999</v>
      </c>
      <c r="AF42" s="24">
        <f t="shared" si="16"/>
        <v>32405357</v>
      </c>
      <c r="AG42" s="24">
        <f>O42/31</f>
        <v>1467062.3548387096</v>
      </c>
      <c r="AH42" s="23">
        <f>AD42/31</f>
        <v>636106.76129032264</v>
      </c>
      <c r="AI42" s="24">
        <f t="shared" si="19"/>
        <v>830955.59354838694</v>
      </c>
    </row>
    <row r="43" spans="1:35">
      <c r="A43" s="14" t="s">
        <v>50</v>
      </c>
      <c r="B43" s="18">
        <f>'D4 RIN Forecast'!B106+'D6 RIN Forecast'!B88</f>
        <v>3473253</v>
      </c>
      <c r="C43" s="18">
        <f>'D4 RIN Forecast'!C106+'D6 RIN Forecast'!C88</f>
        <v>3875787</v>
      </c>
      <c r="D43" s="18">
        <f>'D4 RIN Forecast'!D106+'D6 RIN Forecast'!D88</f>
        <v>5099150</v>
      </c>
      <c r="E43" s="18">
        <f>'D4 RIN Forecast'!E106+'D6 RIN Forecast'!E88</f>
        <v>26136096</v>
      </c>
      <c r="F43" s="18">
        <f>'D4 RIN Forecast'!F106+'D6 RIN Forecast'!F88</f>
        <v>20744375</v>
      </c>
      <c r="G43" s="18">
        <f>'D4 RIN Forecast'!G106+'D6 RIN Forecast'!G88</f>
        <v>71483498</v>
      </c>
      <c r="H43" s="18">
        <f>'D4 RIN Forecast'!H106+'D6 RIN Forecast'!H88</f>
        <v>96776904</v>
      </c>
      <c r="I43" s="18">
        <f>'D4 RIN Forecast'!I106+'D6 RIN Forecast'!I88</f>
        <v>78061682</v>
      </c>
      <c r="J43" s="18">
        <f>'D4 RIN Forecast'!J106+'D6 RIN Forecast'!J88</f>
        <v>19531525</v>
      </c>
      <c r="K43" s="18">
        <f>'D4 RIN Forecast'!K106+'D6 RIN Forecast'!K88</f>
        <v>13233270</v>
      </c>
      <c r="L43" s="18">
        <f>'D4 RIN Forecast'!L106+'D6 RIN Forecast'!L88</f>
        <v>24527514</v>
      </c>
      <c r="M43" s="18">
        <f>'D4 RIN Forecast'!M106+'D6 RIN Forecast'!M88</f>
        <v>16572249</v>
      </c>
      <c r="N43" s="18">
        <f>'D4 RIN Forecast'!N106+'D6 RIN Forecast'!N88</f>
        <v>22905023</v>
      </c>
      <c r="O43" s="18">
        <f>'D4 RIN Forecast'!O106+'D6 RIN Forecast'!O88</f>
        <v>66359954</v>
      </c>
      <c r="P43" s="18">
        <f>'D4 RIN Forecast'!P106+'D6 RIN Forecast'!P88</f>
        <v>36745725</v>
      </c>
      <c r="Q43" s="19">
        <f>'D4 RIN Forecast'!Q106+'D6 RIN Forecast'!Q88</f>
        <v>37892233.127237923</v>
      </c>
      <c r="R43" s="19">
        <f>'D4 RIN Forecast'!R106+'D6 RIN Forecast'!R88</f>
        <v>20268986.580528684</v>
      </c>
      <c r="S43" s="19">
        <f>'D4 RIN Forecast'!S106+'D6 RIN Forecast'!S88</f>
        <v>22012881.686598979</v>
      </c>
      <c r="T43" s="19">
        <f>'D4 RIN Forecast'!T106+'D6 RIN Forecast'!T88</f>
        <v>24691919.473951969</v>
      </c>
      <c r="U43" s="19">
        <f>'D4 RIN Forecast'!U106+'D6 RIN Forecast'!U88</f>
        <v>23110827.790054571</v>
      </c>
      <c r="V43" s="19">
        <f>'D4 RIN Forecast'!V106+'D6 RIN Forecast'!V88</f>
        <v>25157841.659240067</v>
      </c>
      <c r="W43" s="19">
        <f>'D4 RIN Forecast'!W106+'D6 RIN Forecast'!W88</f>
        <v>22831052.857821003</v>
      </c>
      <c r="X43" s="19">
        <f>'D4 RIN Forecast'!X106+'D6 RIN Forecast'!X88</f>
        <v>20724869.855177857</v>
      </c>
      <c r="Y43" s="19">
        <f>'D4 RIN Forecast'!Y106+'D6 RIN Forecast'!Y88</f>
        <v>19600908.49394701</v>
      </c>
      <c r="Z43" s="19">
        <f>'D4 RIN Forecast'!Z106+'D6 RIN Forecast'!Z88</f>
        <v>18931517.082487948</v>
      </c>
      <c r="AA43" s="19"/>
      <c r="AB43" s="20">
        <f t="shared" si="20"/>
        <v>9.0704937380910122E-2</v>
      </c>
      <c r="AD43" s="18">
        <f t="shared" si="17"/>
        <v>19353916.199999999</v>
      </c>
      <c r="AE43" s="19">
        <f t="shared" si="18"/>
        <v>47006037.799999997</v>
      </c>
      <c r="AF43" s="19">
        <f t="shared" si="16"/>
        <v>43454931</v>
      </c>
      <c r="AG43" s="19">
        <f>O43/31</f>
        <v>2140643.6774193547</v>
      </c>
      <c r="AH43" s="18">
        <f>AD43/31</f>
        <v>624319.87741935486</v>
      </c>
      <c r="AI43" s="19">
        <f t="shared" si="19"/>
        <v>1516323.7999999998</v>
      </c>
    </row>
    <row r="44" spans="1:35">
      <c r="A44" s="14" t="s">
        <v>51</v>
      </c>
      <c r="B44" s="18">
        <f>'D4 RIN Forecast'!B107+'D6 RIN Forecast'!B89</f>
        <v>1863617</v>
      </c>
      <c r="C44" s="18">
        <f>'D4 RIN Forecast'!C107+'D6 RIN Forecast'!C89</f>
        <v>6967494</v>
      </c>
      <c r="D44" s="18">
        <f>'D4 RIN Forecast'!D107+'D6 RIN Forecast'!D89</f>
        <v>6005520</v>
      </c>
      <c r="E44" s="18">
        <f>'D4 RIN Forecast'!E107+'D6 RIN Forecast'!E89</f>
        <v>30347575</v>
      </c>
      <c r="F44" s="18">
        <f>'D4 RIN Forecast'!F107+'D6 RIN Forecast'!F89</f>
        <v>32550374</v>
      </c>
      <c r="G44" s="18">
        <f>'D4 RIN Forecast'!G107+'D6 RIN Forecast'!G89</f>
        <v>37485870</v>
      </c>
      <c r="H44" s="18">
        <f>'D4 RIN Forecast'!H107+'D6 RIN Forecast'!H89</f>
        <v>135261055</v>
      </c>
      <c r="I44" s="18">
        <f>'D4 RIN Forecast'!I107+'D6 RIN Forecast'!I89</f>
        <v>41846019</v>
      </c>
      <c r="J44" s="18">
        <f>'D4 RIN Forecast'!J107+'D6 RIN Forecast'!J89</f>
        <v>17722046</v>
      </c>
      <c r="K44" s="18">
        <f>'D4 RIN Forecast'!K107+'D6 RIN Forecast'!K89</f>
        <v>22288564</v>
      </c>
      <c r="L44" s="18">
        <f>'D4 RIN Forecast'!L107+'D6 RIN Forecast'!L89</f>
        <v>21081377</v>
      </c>
      <c r="M44" s="18">
        <f>'D4 RIN Forecast'!M107+'D6 RIN Forecast'!M89</f>
        <v>17688484</v>
      </c>
      <c r="N44" s="18">
        <f>'D4 RIN Forecast'!N107+'D6 RIN Forecast'!N89</f>
        <v>28637120</v>
      </c>
      <c r="O44" s="18">
        <f>'D4 RIN Forecast'!O107+'D6 RIN Forecast'!O89</f>
        <v>63921774</v>
      </c>
      <c r="P44" s="18">
        <f>'D4 RIN Forecast'!P107+'D6 RIN Forecast'!P89</f>
        <v>39972140</v>
      </c>
      <c r="Q44" s="19">
        <f>'D4 RIN Forecast'!Q107+'D6 RIN Forecast'!Q89</f>
        <v>39602492.091570765</v>
      </c>
      <c r="R44" s="19">
        <f>'D4 RIN Forecast'!R107+'D6 RIN Forecast'!R89</f>
        <v>20956526.574966036</v>
      </c>
      <c r="S44" s="19">
        <f>'D4 RIN Forecast'!S107+'D6 RIN Forecast'!S89</f>
        <v>22693348.905727588</v>
      </c>
      <c r="T44" s="19">
        <f>'D4 RIN Forecast'!T107+'D6 RIN Forecast'!T89</f>
        <v>24778347.813391797</v>
      </c>
      <c r="U44" s="19">
        <f>'D4 RIN Forecast'!U107+'D6 RIN Forecast'!U89</f>
        <v>24153848.643003345</v>
      </c>
      <c r="V44" s="19">
        <f>'D4 RIN Forecast'!V107+'D6 RIN Forecast'!V89</f>
        <v>25984999.346812725</v>
      </c>
      <c r="W44" s="19">
        <f>'D4 RIN Forecast'!W107+'D6 RIN Forecast'!W89</f>
        <v>23489702.814458665</v>
      </c>
      <c r="X44" s="19">
        <f>'D4 RIN Forecast'!X107+'D6 RIN Forecast'!X89</f>
        <v>21304673.156844154</v>
      </c>
      <c r="Y44" s="19">
        <f>'D4 RIN Forecast'!Y107+'D6 RIN Forecast'!Y89</f>
        <v>20138395.241684727</v>
      </c>
      <c r="Z44" s="19">
        <f>'D4 RIN Forecast'!Z107+'D6 RIN Forecast'!Z89</f>
        <v>19551003.242414977</v>
      </c>
      <c r="AA44" s="19"/>
      <c r="AB44" s="20">
        <f t="shared" si="20"/>
        <v>8.7803819355857016E-2</v>
      </c>
      <c r="AD44" s="18">
        <f t="shared" si="17"/>
        <v>21483518.199999999</v>
      </c>
      <c r="AE44" s="19">
        <f t="shared" si="18"/>
        <v>42438255.799999997</v>
      </c>
      <c r="AF44" s="19">
        <f t="shared" si="16"/>
        <v>35284654</v>
      </c>
      <c r="AG44" s="19">
        <f>O44/30</f>
        <v>2130725.7999999998</v>
      </c>
      <c r="AH44" s="18">
        <f>AD44/30</f>
        <v>716117.27333333332</v>
      </c>
      <c r="AI44" s="19">
        <f t="shared" si="19"/>
        <v>1414608.5266666664</v>
      </c>
    </row>
    <row r="45" spans="1:35">
      <c r="A45" s="14" t="s">
        <v>52</v>
      </c>
      <c r="B45" s="18">
        <f>'D4 RIN Forecast'!B108+'D6 RIN Forecast'!B90</f>
        <v>5398629</v>
      </c>
      <c r="C45" s="18">
        <f>'D4 RIN Forecast'!C108+'D6 RIN Forecast'!C90</f>
        <v>6830065</v>
      </c>
      <c r="D45" s="18">
        <f>'D4 RIN Forecast'!D108+'D6 RIN Forecast'!D90</f>
        <v>2720250</v>
      </c>
      <c r="E45" s="18">
        <f>'D4 RIN Forecast'!E108+'D6 RIN Forecast'!E90</f>
        <v>32099594</v>
      </c>
      <c r="F45" s="18">
        <f>'D4 RIN Forecast'!F108+'D6 RIN Forecast'!F90</f>
        <v>32816509</v>
      </c>
      <c r="G45" s="18">
        <f>'D4 RIN Forecast'!G108+'D6 RIN Forecast'!G90</f>
        <v>73514389</v>
      </c>
      <c r="H45" s="18">
        <f>'D4 RIN Forecast'!H108+'D6 RIN Forecast'!H90</f>
        <v>100338631</v>
      </c>
      <c r="I45" s="18">
        <f>'D4 RIN Forecast'!I108+'D6 RIN Forecast'!I90</f>
        <v>55028566</v>
      </c>
      <c r="J45" s="18">
        <f>'D4 RIN Forecast'!J108+'D6 RIN Forecast'!J90</f>
        <v>30482177</v>
      </c>
      <c r="K45" s="18">
        <f>'D4 RIN Forecast'!K108+'D6 RIN Forecast'!K90</f>
        <v>20672201</v>
      </c>
      <c r="L45" s="18">
        <f>'D4 RIN Forecast'!L108+'D6 RIN Forecast'!L90</f>
        <v>22923796</v>
      </c>
      <c r="M45" s="18">
        <f>'D4 RIN Forecast'!M108+'D6 RIN Forecast'!M90</f>
        <v>26832257</v>
      </c>
      <c r="N45" s="18">
        <f>'D4 RIN Forecast'!N108+'D6 RIN Forecast'!N90</f>
        <v>25996486</v>
      </c>
      <c r="O45" s="18">
        <f>'D4 RIN Forecast'!O108+'D6 RIN Forecast'!O90</f>
        <v>85566073</v>
      </c>
      <c r="P45" s="18">
        <f>'D4 RIN Forecast'!P108+'D6 RIN Forecast'!P90</f>
        <v>39995739</v>
      </c>
      <c r="Q45" s="19">
        <f>'D4 RIN Forecast'!Q108+'D6 RIN Forecast'!Q90</f>
        <v>42340948.348817237</v>
      </c>
      <c r="R45" s="19">
        <f>'D4 RIN Forecast'!R108+'D6 RIN Forecast'!R90</f>
        <v>24790137.799166642</v>
      </c>
      <c r="S45" s="19">
        <f>'D4 RIN Forecast'!S108+'D6 RIN Forecast'!S90</f>
        <v>26138533.436113797</v>
      </c>
      <c r="T45" s="19">
        <f>'D4 RIN Forecast'!T108+'D6 RIN Forecast'!T90</f>
        <v>29481532.219470866</v>
      </c>
      <c r="U45" s="19">
        <f>'D4 RIN Forecast'!U108+'D6 RIN Forecast'!U90</f>
        <v>26560052.425067522</v>
      </c>
      <c r="V45" s="19">
        <f>'D4 RIN Forecast'!V108+'D6 RIN Forecast'!V90</f>
        <v>29351774.804279722</v>
      </c>
      <c r="W45" s="19">
        <f>'D4 RIN Forecast'!W108+'D6 RIN Forecast'!W90</f>
        <v>27007194.776713584</v>
      </c>
      <c r="X45" s="19">
        <f>'D4 RIN Forecast'!X108+'D6 RIN Forecast'!X90</f>
        <v>24372617.263408344</v>
      </c>
      <c r="Y45" s="19">
        <f>'D4 RIN Forecast'!Y108+'D6 RIN Forecast'!Y90</f>
        <v>23008570.902188547</v>
      </c>
      <c r="Z45" s="19">
        <f>'D4 RIN Forecast'!Z108+'D6 RIN Forecast'!Z90</f>
        <v>22138385.20143706</v>
      </c>
      <c r="AA45" s="19"/>
      <c r="AB45" s="20">
        <f t="shared" si="20"/>
        <v>5.9038620399110009E-4</v>
      </c>
      <c r="AD45" s="18">
        <f t="shared" si="17"/>
        <v>25381383.399999999</v>
      </c>
      <c r="AE45" s="19">
        <f t="shared" si="18"/>
        <v>60184689.600000001</v>
      </c>
      <c r="AF45" s="19">
        <f t="shared" si="16"/>
        <v>59569587</v>
      </c>
      <c r="AG45" s="19">
        <f>O45/31</f>
        <v>2760195.9032258065</v>
      </c>
      <c r="AH45" s="18">
        <f>AD45/31</f>
        <v>818754.30322580645</v>
      </c>
      <c r="AI45" s="19">
        <f t="shared" si="19"/>
        <v>1941441.6</v>
      </c>
    </row>
    <row r="46" spans="1:35">
      <c r="A46" s="14" t="s">
        <v>53</v>
      </c>
      <c r="B46" s="18">
        <f>'D4 RIN Forecast'!B109+'D6 RIN Forecast'!B91</f>
        <v>2985941</v>
      </c>
      <c r="C46" s="18">
        <f>'D4 RIN Forecast'!C109+'D6 RIN Forecast'!C91</f>
        <v>4792044</v>
      </c>
      <c r="D46" s="18">
        <f>'D4 RIN Forecast'!D109+'D6 RIN Forecast'!D91</f>
        <v>1214528</v>
      </c>
      <c r="E46" s="18">
        <f>'D4 RIN Forecast'!E109+'D6 RIN Forecast'!E91</f>
        <v>44295911</v>
      </c>
      <c r="F46" s="18">
        <f>'D4 RIN Forecast'!F109+'D6 RIN Forecast'!F91</f>
        <v>48021992</v>
      </c>
      <c r="G46" s="18">
        <f>'D4 RIN Forecast'!G109+'D6 RIN Forecast'!G91</f>
        <v>44926257</v>
      </c>
      <c r="H46" s="18">
        <f>'D4 RIN Forecast'!H109+'D6 RIN Forecast'!H91</f>
        <v>128517774</v>
      </c>
      <c r="I46" s="18">
        <f>'D4 RIN Forecast'!I109+'D6 RIN Forecast'!I91</f>
        <v>36573401</v>
      </c>
      <c r="J46" s="18">
        <f>'D4 RIN Forecast'!J109+'D6 RIN Forecast'!J91</f>
        <v>19380565</v>
      </c>
      <c r="K46" s="18">
        <f>'D4 RIN Forecast'!K109+'D6 RIN Forecast'!K91</f>
        <v>22853460</v>
      </c>
      <c r="L46" s="18">
        <f>'D4 RIN Forecast'!L109+'D6 RIN Forecast'!L91</f>
        <v>32916784</v>
      </c>
      <c r="M46" s="18">
        <f>'D4 RIN Forecast'!M109+'D6 RIN Forecast'!M91</f>
        <v>32223920</v>
      </c>
      <c r="N46" s="18">
        <f>'D4 RIN Forecast'!N109+'D6 RIN Forecast'!N91</f>
        <v>50726138</v>
      </c>
      <c r="O46" s="18">
        <f>'D4 RIN Forecast'!O109+'D6 RIN Forecast'!O91</f>
        <v>63812258</v>
      </c>
      <c r="P46" s="18">
        <f>'D4 RIN Forecast'!P109+'D6 RIN Forecast'!P91</f>
        <v>34463595</v>
      </c>
      <c r="Q46" s="19">
        <f>'D4 RIN Forecast'!Q109+'D6 RIN Forecast'!Q91</f>
        <v>43634623.818427533</v>
      </c>
      <c r="R46" s="19">
        <f>'D4 RIN Forecast'!R109+'D6 RIN Forecast'!R91</f>
        <v>25253866.019488603</v>
      </c>
      <c r="S46" s="19">
        <f>'D4 RIN Forecast'!S109+'D6 RIN Forecast'!S91</f>
        <v>26043047.058696184</v>
      </c>
      <c r="T46" s="19">
        <f>'D4 RIN Forecast'!T109+'D6 RIN Forecast'!T91</f>
        <v>26029393.576836217</v>
      </c>
      <c r="U46" s="19">
        <f>'D4 RIN Forecast'!U109+'D6 RIN Forecast'!U91</f>
        <v>25365052.141389836</v>
      </c>
      <c r="V46" s="19">
        <f>'D4 RIN Forecast'!V109+'D6 RIN Forecast'!V91</f>
        <v>28764936.273515925</v>
      </c>
      <c r="W46" s="19">
        <f>'D4 RIN Forecast'!W109+'D6 RIN Forecast'!W91</f>
        <v>26043228.260081582</v>
      </c>
      <c r="X46" s="19">
        <f>'D4 RIN Forecast'!X109+'D6 RIN Forecast'!X91</f>
        <v>23265439.693491708</v>
      </c>
      <c r="Y46" s="19">
        <f>'D4 RIN Forecast'!Y109+'D6 RIN Forecast'!Y91</f>
        <v>21779671.934769507</v>
      </c>
      <c r="Z46" s="19">
        <f>'D4 RIN Forecast'!Z109+'D6 RIN Forecast'!Z91</f>
        <v>21274958.667880617</v>
      </c>
      <c r="AA46" s="19"/>
      <c r="AB46" s="20">
        <f t="shared" si="20"/>
        <v>-0.13831833436056773</v>
      </c>
      <c r="AD46" s="18">
        <f t="shared" si="17"/>
        <v>31620173.399999999</v>
      </c>
      <c r="AE46" s="19">
        <f t="shared" si="18"/>
        <v>32192084.600000001</v>
      </c>
      <c r="AF46" s="19">
        <f t="shared" si="16"/>
        <v>13086120</v>
      </c>
      <c r="AG46" s="19">
        <f>O46/30</f>
        <v>2127075.2666666666</v>
      </c>
      <c r="AH46" s="18">
        <f>AD46/30</f>
        <v>1054005.78</v>
      </c>
      <c r="AI46" s="19">
        <f t="shared" si="19"/>
        <v>1073069.4866666666</v>
      </c>
    </row>
    <row r="47" spans="1:35">
      <c r="A47" s="14" t="s">
        <v>54</v>
      </c>
      <c r="B47" s="18">
        <f>'D4 RIN Forecast'!B110+'D6 RIN Forecast'!B92</f>
        <v>2943750</v>
      </c>
      <c r="C47" s="18">
        <f>'D4 RIN Forecast'!C110+'D6 RIN Forecast'!C92</f>
        <v>15584528</v>
      </c>
      <c r="D47" s="18">
        <f>'D4 RIN Forecast'!D110+'D6 RIN Forecast'!D92</f>
        <v>1098374</v>
      </c>
      <c r="E47" s="18">
        <f>'D4 RIN Forecast'!E110+'D6 RIN Forecast'!E92</f>
        <v>68552697</v>
      </c>
      <c r="F47" s="18">
        <f>'D4 RIN Forecast'!F110+'D6 RIN Forecast'!F92</f>
        <v>37209070</v>
      </c>
      <c r="G47" s="18">
        <f>'D4 RIN Forecast'!G110+'D6 RIN Forecast'!G92</f>
        <v>63569881</v>
      </c>
      <c r="H47" s="18">
        <f>'D4 RIN Forecast'!H110+'D6 RIN Forecast'!H92</f>
        <v>189280779</v>
      </c>
      <c r="I47" s="18">
        <f>'D4 RIN Forecast'!I110+'D6 RIN Forecast'!I92</f>
        <v>46675272</v>
      </c>
      <c r="J47" s="18">
        <f>'D4 RIN Forecast'!J110+'D6 RIN Forecast'!J92</f>
        <v>44401409</v>
      </c>
      <c r="K47" s="18">
        <f>'D4 RIN Forecast'!K110+'D6 RIN Forecast'!K92</f>
        <v>36477657</v>
      </c>
      <c r="L47" s="18">
        <f>'D4 RIN Forecast'!L110+'D6 RIN Forecast'!L92</f>
        <v>36007098</v>
      </c>
      <c r="M47" s="18">
        <f>'D4 RIN Forecast'!M110+'D6 RIN Forecast'!M92</f>
        <v>76891453</v>
      </c>
      <c r="N47" s="18">
        <f>'D4 RIN Forecast'!N110+'D6 RIN Forecast'!N92</f>
        <v>64513358</v>
      </c>
      <c r="O47" s="18">
        <f>'D4 RIN Forecast'!O110+'D6 RIN Forecast'!O92</f>
        <v>103284278</v>
      </c>
      <c r="P47" s="18">
        <f>'D4 RIN Forecast'!P110+'D6 RIN Forecast'!P92</f>
        <v>47085352</v>
      </c>
      <c r="Q47" s="19">
        <f>'D4 RIN Forecast'!Q110+'D6 RIN Forecast'!Q92</f>
        <v>160265080.53770986</v>
      </c>
      <c r="R47" s="19">
        <f>'D4 RIN Forecast'!R110+'D6 RIN Forecast'!R92</f>
        <v>50050072.761507012</v>
      </c>
      <c r="S47" s="19">
        <f>'D4 RIN Forecast'!S110+'D6 RIN Forecast'!S92</f>
        <v>50057023.432753399</v>
      </c>
      <c r="T47" s="19">
        <f>'D4 RIN Forecast'!T110+'D6 RIN Forecast'!T92</f>
        <v>54474835.319711149</v>
      </c>
      <c r="U47" s="19">
        <f>'D4 RIN Forecast'!U110+'D6 RIN Forecast'!U92</f>
        <v>59066831.452786684</v>
      </c>
      <c r="V47" s="19">
        <f>'D4 RIN Forecast'!V110+'D6 RIN Forecast'!V92</f>
        <v>73504427.74741897</v>
      </c>
      <c r="W47" s="19">
        <f>'D4 RIN Forecast'!W110+'D6 RIN Forecast'!W92</f>
        <v>56888839.558248535</v>
      </c>
      <c r="X47" s="19">
        <f>'D4 RIN Forecast'!X110+'D6 RIN Forecast'!X92</f>
        <v>51720807.160279736</v>
      </c>
      <c r="Y47" s="19">
        <f>'D4 RIN Forecast'!Y110+'D6 RIN Forecast'!Y92</f>
        <v>49736479.718363315</v>
      </c>
      <c r="Z47" s="19">
        <f>'D4 RIN Forecast'!Z110+'D6 RIN Forecast'!Z92</f>
        <v>49427711.055645533</v>
      </c>
      <c r="AA47" s="19"/>
      <c r="AB47" s="20">
        <f t="shared" si="20"/>
        <v>0.36623448598441333</v>
      </c>
      <c r="AD47" s="18">
        <f t="shared" si="17"/>
        <v>51658195</v>
      </c>
      <c r="AE47" s="19">
        <f t="shared" si="18"/>
        <v>51626083</v>
      </c>
      <c r="AF47" s="19">
        <f t="shared" si="16"/>
        <v>38770920</v>
      </c>
      <c r="AG47" s="19">
        <f>O47/31</f>
        <v>3331750.9032258065</v>
      </c>
      <c r="AH47" s="18">
        <f>AD47/31</f>
        <v>1666393.3870967743</v>
      </c>
      <c r="AI47" s="19">
        <f t="shared" si="19"/>
        <v>1665357.5161290322</v>
      </c>
    </row>
    <row r="48" spans="1:35">
      <c r="A48" s="14" t="s">
        <v>29</v>
      </c>
      <c r="B48" s="18">
        <f>SUM(B36:B47)</f>
        <v>18731306</v>
      </c>
      <c r="C48" s="18">
        <f t="shared" ref="C48:L48" si="21">SUM(C36:C47)</f>
        <v>66689563</v>
      </c>
      <c r="D48" s="18">
        <f t="shared" si="21"/>
        <v>50170499</v>
      </c>
      <c r="E48" s="18">
        <f t="shared" si="21"/>
        <v>275694992</v>
      </c>
      <c r="F48" s="18">
        <f t="shared" si="21"/>
        <v>272265521</v>
      </c>
      <c r="G48" s="18">
        <f t="shared" si="21"/>
        <v>503498034</v>
      </c>
      <c r="H48" s="18">
        <f t="shared" si="21"/>
        <v>1011253339</v>
      </c>
      <c r="I48" s="18">
        <f t="shared" si="21"/>
        <v>692872876</v>
      </c>
      <c r="J48" s="18">
        <f t="shared" si="21"/>
        <v>262712433</v>
      </c>
      <c r="K48" s="18">
        <f t="shared" si="21"/>
        <v>277112663</v>
      </c>
      <c r="L48" s="18">
        <f t="shared" si="21"/>
        <v>314241090</v>
      </c>
      <c r="M48" s="18">
        <f>SUM(M36:M47)</f>
        <v>312676583</v>
      </c>
      <c r="N48" s="18">
        <f>SUM(N36:N47)</f>
        <v>360487221</v>
      </c>
      <c r="O48" s="18">
        <f>SUM(O36:O47)</f>
        <v>767020588</v>
      </c>
      <c r="P48" s="18">
        <f>SUM(P36:P47)</f>
        <v>606426122</v>
      </c>
      <c r="Q48" s="19">
        <f>SUM(Q36:Q47)</f>
        <v>510000617.83116162</v>
      </c>
      <c r="R48" s="19">
        <f t="shared" ref="R48:Z48" si="22">SUM(R36:R47)</f>
        <v>285000307.50145561</v>
      </c>
      <c r="S48" s="19">
        <f t="shared" si="22"/>
        <v>300000293.91614491</v>
      </c>
      <c r="T48" s="19">
        <f t="shared" si="22"/>
        <v>330000326.72713894</v>
      </c>
      <c r="U48" s="19">
        <f t="shared" si="22"/>
        <v>330000338.87356669</v>
      </c>
      <c r="V48" s="19">
        <f t="shared" si="22"/>
        <v>345000364.80841267</v>
      </c>
      <c r="W48" s="19">
        <f t="shared" si="22"/>
        <v>315000323.38281047</v>
      </c>
      <c r="X48" s="19">
        <f t="shared" si="22"/>
        <v>285000289.60104591</v>
      </c>
      <c r="Y48" s="19">
        <f t="shared" si="22"/>
        <v>270000276.32575661</v>
      </c>
      <c r="Z48" s="19">
        <f t="shared" si="22"/>
        <v>262500270.40073183</v>
      </c>
      <c r="AA48" s="19"/>
      <c r="AD48" s="18">
        <f t="shared" si="17"/>
        <v>305445998</v>
      </c>
      <c r="AE48" s="19">
        <f t="shared" si="18"/>
        <v>461574590</v>
      </c>
    </row>
    <row r="49" spans="1:35">
      <c r="M49" s="25">
        <f>M41/L41-1</f>
        <v>5.0104124127423155E-2</v>
      </c>
      <c r="N49" s="25">
        <f>N41/M41-1</f>
        <v>9.8155232133640524E-2</v>
      </c>
      <c r="O49" s="25">
        <f>O41/N41-1</f>
        <v>1.1320345809333658</v>
      </c>
      <c r="P49" s="25">
        <f>P41/O41-1</f>
        <v>-3.3753282931308637E-2</v>
      </c>
      <c r="Q49" s="25">
        <f>Q41/P41-1</f>
        <v>-0.27565958088190312</v>
      </c>
      <c r="AA49" s="18"/>
    </row>
    <row r="50" spans="1:35" ht="15.75">
      <c r="A50" s="15" t="s">
        <v>57</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8"/>
      <c r="AB50" s="16"/>
      <c r="AC50" s="16"/>
      <c r="AD50" s="16"/>
      <c r="AE50" s="16"/>
      <c r="AF50" s="16"/>
      <c r="AG50" s="16"/>
      <c r="AH50" s="16"/>
      <c r="AI50" s="16"/>
    </row>
    <row r="51" spans="1:35">
      <c r="B51" s="14">
        <v>2010</v>
      </c>
      <c r="C51" s="14">
        <v>2011</v>
      </c>
      <c r="D51" s="14">
        <v>2012</v>
      </c>
      <c r="E51" s="14">
        <v>2013</v>
      </c>
      <c r="F51" s="14">
        <v>2014</v>
      </c>
      <c r="G51" s="14">
        <v>2015</v>
      </c>
      <c r="H51" s="14">
        <v>2016</v>
      </c>
      <c r="I51" s="14">
        <v>2017</v>
      </c>
      <c r="J51" s="14">
        <v>2018</v>
      </c>
      <c r="K51" s="14">
        <v>2019</v>
      </c>
      <c r="L51" s="14">
        <v>2020</v>
      </c>
      <c r="M51" s="14">
        <v>2021</v>
      </c>
      <c r="N51" s="14">
        <v>2022</v>
      </c>
      <c r="O51" s="14">
        <v>2023</v>
      </c>
      <c r="P51" s="14">
        <v>2024</v>
      </c>
      <c r="Q51" s="14">
        <v>2025</v>
      </c>
      <c r="R51" s="14">
        <v>2026</v>
      </c>
      <c r="S51" s="14">
        <v>2027</v>
      </c>
      <c r="T51" s="14">
        <v>2028</v>
      </c>
      <c r="U51" s="14">
        <v>2029</v>
      </c>
      <c r="V51" s="14">
        <v>2030</v>
      </c>
      <c r="W51" s="14">
        <v>2031</v>
      </c>
      <c r="X51" s="14">
        <v>2032</v>
      </c>
      <c r="Y51" s="14">
        <v>2033</v>
      </c>
      <c r="Z51" s="14">
        <v>2034</v>
      </c>
      <c r="AA51" s="18"/>
      <c r="AD51" s="14" t="s">
        <v>37</v>
      </c>
      <c r="AE51" s="14" t="s">
        <v>38</v>
      </c>
      <c r="AF51" s="14" t="s">
        <v>39</v>
      </c>
      <c r="AG51" s="14" t="s">
        <v>40</v>
      </c>
      <c r="AH51" s="14" t="s">
        <v>41</v>
      </c>
      <c r="AI51" s="14" t="s">
        <v>42</v>
      </c>
    </row>
    <row r="52" spans="1:35">
      <c r="A52" s="14" t="s">
        <v>43</v>
      </c>
      <c r="B52" s="18">
        <f>'D4 RIN Forecast'!B83</f>
        <v>0</v>
      </c>
      <c r="C52" s="18">
        <f>'D4 RIN Forecast'!C83</f>
        <v>0</v>
      </c>
      <c r="D52" s="18">
        <f>'D4 RIN Forecast'!D83</f>
        <v>0</v>
      </c>
      <c r="E52" s="18">
        <f>'D4 RIN Forecast'!E83</f>
        <v>0</v>
      </c>
      <c r="F52" s="18">
        <f>'D4 RIN Forecast'!F83</f>
        <v>0</v>
      </c>
      <c r="G52" s="18">
        <f>'D4 RIN Forecast'!G83</f>
        <v>0</v>
      </c>
      <c r="H52" s="18">
        <f>'D4 RIN Forecast'!H83</f>
        <v>0</v>
      </c>
      <c r="I52" s="18">
        <f>'D4 RIN Forecast'!I83</f>
        <v>0</v>
      </c>
      <c r="J52" s="18">
        <f>'D4 RIN Forecast'!J83</f>
        <v>0</v>
      </c>
      <c r="K52" s="18">
        <f>'D4 RIN Forecast'!K83</f>
        <v>0</v>
      </c>
      <c r="L52" s="18">
        <f>'D4 RIN Forecast'!L83</f>
        <v>0</v>
      </c>
      <c r="M52" s="18">
        <f>'D4 RIN Forecast'!M83</f>
        <v>0</v>
      </c>
      <c r="N52" s="18">
        <f>'D4 RIN Forecast'!N83</f>
        <v>0</v>
      </c>
      <c r="O52" s="18">
        <f>'D4 RIN Forecast'!O83</f>
        <v>0</v>
      </c>
      <c r="P52" s="18">
        <f>'D4 RIN Forecast'!P83</f>
        <v>0</v>
      </c>
      <c r="Q52" s="19">
        <f>'D4 RIN Forecast'!Q83</f>
        <v>0</v>
      </c>
      <c r="R52" s="19">
        <f>'D4 RIN Forecast'!R83</f>
        <v>0</v>
      </c>
      <c r="S52" s="19">
        <f>'D4 RIN Forecast'!S83</f>
        <v>0</v>
      </c>
      <c r="T52" s="19">
        <f>'D4 RIN Forecast'!T83</f>
        <v>0</v>
      </c>
      <c r="U52" s="19">
        <f>'D4 RIN Forecast'!U83</f>
        <v>0</v>
      </c>
      <c r="V52" s="19">
        <f>'D4 RIN Forecast'!V83</f>
        <v>0</v>
      </c>
      <c r="W52" s="19">
        <f>'D4 RIN Forecast'!W83</f>
        <v>0</v>
      </c>
      <c r="X52" s="19">
        <f>'D4 RIN Forecast'!X83</f>
        <v>0</v>
      </c>
      <c r="Y52" s="19">
        <f>'D4 RIN Forecast'!Y83</f>
        <v>0</v>
      </c>
      <c r="Z52" s="19">
        <f>'D4 RIN Forecast'!Z83</f>
        <v>0</v>
      </c>
      <c r="AA52" s="19"/>
      <c r="AD52" s="18">
        <f>AVERAGE(J52:N52)</f>
        <v>0</v>
      </c>
      <c r="AE52" s="18">
        <f>O52-AD52</f>
        <v>0</v>
      </c>
      <c r="AF52" s="18">
        <f t="shared" ref="AF52:AF63" si="23">O52-N52</f>
        <v>0</v>
      </c>
      <c r="AG52" s="18">
        <f>O52/31</f>
        <v>0</v>
      </c>
      <c r="AH52" s="18">
        <f>AD52/31</f>
        <v>0</v>
      </c>
      <c r="AI52" s="18">
        <f>AG52-AH52</f>
        <v>0</v>
      </c>
    </row>
    <row r="53" spans="1:35">
      <c r="A53" s="14" t="s">
        <v>44</v>
      </c>
      <c r="B53" s="18">
        <f>'D4 RIN Forecast'!B84</f>
        <v>0</v>
      </c>
      <c r="C53" s="18">
        <f>'D4 RIN Forecast'!C84</f>
        <v>0</v>
      </c>
      <c r="D53" s="18">
        <f>'D4 RIN Forecast'!D84</f>
        <v>130196</v>
      </c>
      <c r="E53" s="18">
        <f>'D4 RIN Forecast'!E84</f>
        <v>0</v>
      </c>
      <c r="F53" s="18">
        <f>'D4 RIN Forecast'!F84</f>
        <v>0</v>
      </c>
      <c r="G53" s="18">
        <f>'D4 RIN Forecast'!G84</f>
        <v>0</v>
      </c>
      <c r="H53" s="18">
        <f>'D4 RIN Forecast'!H84</f>
        <v>0</v>
      </c>
      <c r="I53" s="18">
        <f>'D4 RIN Forecast'!I84</f>
        <v>0</v>
      </c>
      <c r="J53" s="18">
        <f>'D4 RIN Forecast'!J84</f>
        <v>0</v>
      </c>
      <c r="K53" s="18">
        <f>'D4 RIN Forecast'!K84</f>
        <v>0</v>
      </c>
      <c r="L53" s="18">
        <f>'D4 RIN Forecast'!L84</f>
        <v>0</v>
      </c>
      <c r="M53" s="18">
        <f>'D4 RIN Forecast'!M84</f>
        <v>0</v>
      </c>
      <c r="N53" s="18">
        <f>'D4 RIN Forecast'!N84</f>
        <v>0</v>
      </c>
      <c r="O53" s="18">
        <f>'D4 RIN Forecast'!O84</f>
        <v>0</v>
      </c>
      <c r="P53" s="18">
        <f>'D4 RIN Forecast'!P84</f>
        <v>0</v>
      </c>
      <c r="Q53" s="19">
        <f>'D4 RIN Forecast'!Q84</f>
        <v>0</v>
      </c>
      <c r="R53" s="19">
        <f>'D4 RIN Forecast'!R84</f>
        <v>0</v>
      </c>
      <c r="S53" s="19">
        <f>'D4 RIN Forecast'!S84</f>
        <v>0</v>
      </c>
      <c r="T53" s="19">
        <f>'D4 RIN Forecast'!T84</f>
        <v>0</v>
      </c>
      <c r="U53" s="19">
        <f>'D4 RIN Forecast'!U84</f>
        <v>0</v>
      </c>
      <c r="V53" s="19">
        <f>'D4 RIN Forecast'!V84</f>
        <v>0</v>
      </c>
      <c r="W53" s="19">
        <f>'D4 RIN Forecast'!W84</f>
        <v>0</v>
      </c>
      <c r="X53" s="19">
        <f>'D4 RIN Forecast'!X84</f>
        <v>0</v>
      </c>
      <c r="Y53" s="19">
        <f>'D4 RIN Forecast'!Y84</f>
        <v>0</v>
      </c>
      <c r="Z53" s="19">
        <f>'D4 RIN Forecast'!Z84</f>
        <v>0</v>
      </c>
      <c r="AA53" s="19"/>
      <c r="AD53" s="18">
        <f t="shared" ref="AD53:AD64" si="24">AVERAGE(J53:N53)</f>
        <v>0</v>
      </c>
      <c r="AE53" s="18">
        <f t="shared" ref="AE53:AE64" si="25">O53-AD53</f>
        <v>0</v>
      </c>
      <c r="AF53" s="18">
        <f t="shared" si="23"/>
        <v>0</v>
      </c>
      <c r="AG53" s="18">
        <f>O53/28</f>
        <v>0</v>
      </c>
      <c r="AH53" s="18">
        <f>AD53/28</f>
        <v>0</v>
      </c>
      <c r="AI53" s="18">
        <f t="shared" ref="AI53:AI63" si="26">AG53-AH53</f>
        <v>0</v>
      </c>
    </row>
    <row r="54" spans="1:35">
      <c r="A54" s="14" t="s">
        <v>45</v>
      </c>
      <c r="B54" s="18">
        <f>'D4 RIN Forecast'!B85</f>
        <v>0</v>
      </c>
      <c r="C54" s="18">
        <f>'D4 RIN Forecast'!C85</f>
        <v>0</v>
      </c>
      <c r="D54" s="18">
        <f>'D4 RIN Forecast'!D85</f>
        <v>1693781</v>
      </c>
      <c r="E54" s="18">
        <f>'D4 RIN Forecast'!E85</f>
        <v>0</v>
      </c>
      <c r="F54" s="18">
        <f>'D4 RIN Forecast'!F85</f>
        <v>0</v>
      </c>
      <c r="G54" s="18">
        <f>'D4 RIN Forecast'!G85</f>
        <v>0</v>
      </c>
      <c r="H54" s="18">
        <f>'D4 RIN Forecast'!H85</f>
        <v>0</v>
      </c>
      <c r="I54" s="18">
        <f>'D4 RIN Forecast'!I85</f>
        <v>0</v>
      </c>
      <c r="J54" s="18">
        <f>'D4 RIN Forecast'!J85</f>
        <v>0</v>
      </c>
      <c r="K54" s="18">
        <f>'D4 RIN Forecast'!K85</f>
        <v>0</v>
      </c>
      <c r="L54" s="18">
        <f>'D4 RIN Forecast'!L85</f>
        <v>0</v>
      </c>
      <c r="M54" s="18">
        <f>'D4 RIN Forecast'!M85</f>
        <v>0</v>
      </c>
      <c r="N54" s="18">
        <f>'D4 RIN Forecast'!N85</f>
        <v>0</v>
      </c>
      <c r="O54" s="18">
        <f>'D4 RIN Forecast'!O85</f>
        <v>0</v>
      </c>
      <c r="P54" s="18">
        <f>'D4 RIN Forecast'!P85</f>
        <v>0</v>
      </c>
      <c r="Q54" s="19">
        <f>'D4 RIN Forecast'!Q85</f>
        <v>0</v>
      </c>
      <c r="R54" s="19">
        <f>'D4 RIN Forecast'!R85</f>
        <v>0</v>
      </c>
      <c r="S54" s="19">
        <f>'D4 RIN Forecast'!S85</f>
        <v>0</v>
      </c>
      <c r="T54" s="19">
        <f>'D4 RIN Forecast'!T85</f>
        <v>0</v>
      </c>
      <c r="U54" s="19">
        <f>'D4 RIN Forecast'!U85</f>
        <v>0</v>
      </c>
      <c r="V54" s="19">
        <f>'D4 RIN Forecast'!V85</f>
        <v>0</v>
      </c>
      <c r="W54" s="19">
        <f>'D4 RIN Forecast'!W85</f>
        <v>0</v>
      </c>
      <c r="X54" s="19">
        <f>'D4 RIN Forecast'!X85</f>
        <v>0</v>
      </c>
      <c r="Y54" s="19">
        <f>'D4 RIN Forecast'!Y85</f>
        <v>0</v>
      </c>
      <c r="Z54" s="19">
        <f>'D4 RIN Forecast'!Z85</f>
        <v>0</v>
      </c>
      <c r="AA54" s="19"/>
      <c r="AD54" s="18">
        <f t="shared" si="24"/>
        <v>0</v>
      </c>
      <c r="AE54" s="18">
        <f t="shared" si="25"/>
        <v>0</v>
      </c>
      <c r="AF54" s="18">
        <f t="shared" si="23"/>
        <v>0</v>
      </c>
      <c r="AG54" s="18">
        <f>O54/31</f>
        <v>0</v>
      </c>
      <c r="AH54" s="18">
        <f>AD54/31</f>
        <v>0</v>
      </c>
      <c r="AI54" s="18">
        <f t="shared" si="26"/>
        <v>0</v>
      </c>
    </row>
    <row r="55" spans="1:35">
      <c r="A55" s="14" t="s">
        <v>46</v>
      </c>
      <c r="B55" s="18">
        <f>'D4 RIN Forecast'!B86</f>
        <v>0</v>
      </c>
      <c r="C55" s="18">
        <f>'D4 RIN Forecast'!C86</f>
        <v>0</v>
      </c>
      <c r="D55" s="18">
        <f>'D4 RIN Forecast'!D86</f>
        <v>0</v>
      </c>
      <c r="E55" s="18">
        <f>'D4 RIN Forecast'!E86</f>
        <v>0</v>
      </c>
      <c r="F55" s="18">
        <f>'D4 RIN Forecast'!F86</f>
        <v>0</v>
      </c>
      <c r="G55" s="18">
        <f>'D4 RIN Forecast'!G86</f>
        <v>0</v>
      </c>
      <c r="H55" s="18">
        <f>'D4 RIN Forecast'!H86</f>
        <v>0</v>
      </c>
      <c r="I55" s="18">
        <f>'D4 RIN Forecast'!I86</f>
        <v>0</v>
      </c>
      <c r="J55" s="18">
        <f>'D4 RIN Forecast'!J86</f>
        <v>0</v>
      </c>
      <c r="K55" s="18">
        <f>'D4 RIN Forecast'!K86</f>
        <v>0</v>
      </c>
      <c r="L55" s="18">
        <f>'D4 RIN Forecast'!L86</f>
        <v>0</v>
      </c>
      <c r="M55" s="18">
        <f>'D4 RIN Forecast'!M86</f>
        <v>0</v>
      </c>
      <c r="N55" s="18">
        <f>'D4 RIN Forecast'!N86</f>
        <v>0</v>
      </c>
      <c r="O55" s="18">
        <f>'D4 RIN Forecast'!O86</f>
        <v>0</v>
      </c>
      <c r="P55" s="18">
        <f>'D4 RIN Forecast'!P86</f>
        <v>0</v>
      </c>
      <c r="Q55" s="19">
        <f>'D4 RIN Forecast'!Q86</f>
        <v>0</v>
      </c>
      <c r="R55" s="19">
        <f>'D4 RIN Forecast'!R86</f>
        <v>0</v>
      </c>
      <c r="S55" s="19">
        <f>'D4 RIN Forecast'!S86</f>
        <v>0</v>
      </c>
      <c r="T55" s="19">
        <f>'D4 RIN Forecast'!T86</f>
        <v>0</v>
      </c>
      <c r="U55" s="19">
        <f>'D4 RIN Forecast'!U86</f>
        <v>0</v>
      </c>
      <c r="V55" s="19">
        <f>'D4 RIN Forecast'!V86</f>
        <v>0</v>
      </c>
      <c r="W55" s="19">
        <f>'D4 RIN Forecast'!W86</f>
        <v>0</v>
      </c>
      <c r="X55" s="19">
        <f>'D4 RIN Forecast'!X86</f>
        <v>0</v>
      </c>
      <c r="Y55" s="19">
        <f>'D4 RIN Forecast'!Y86</f>
        <v>0</v>
      </c>
      <c r="Z55" s="19">
        <f>'D4 RIN Forecast'!Z86</f>
        <v>0</v>
      </c>
      <c r="AA55" s="19"/>
      <c r="AD55" s="18">
        <f t="shared" si="24"/>
        <v>0</v>
      </c>
      <c r="AE55" s="18">
        <f t="shared" si="25"/>
        <v>0</v>
      </c>
      <c r="AF55" s="18">
        <f t="shared" si="23"/>
        <v>0</v>
      </c>
      <c r="AG55" s="18">
        <f>O55/30</f>
        <v>0</v>
      </c>
      <c r="AH55" s="18">
        <f>AD55/30</f>
        <v>0</v>
      </c>
      <c r="AI55" s="18">
        <f t="shared" si="26"/>
        <v>0</v>
      </c>
    </row>
    <row r="56" spans="1:35">
      <c r="A56" s="14" t="s">
        <v>47</v>
      </c>
      <c r="B56" s="18">
        <f>'D4 RIN Forecast'!B87</f>
        <v>0</v>
      </c>
      <c r="C56" s="18">
        <f>'D4 RIN Forecast'!C87</f>
        <v>0</v>
      </c>
      <c r="D56" s="18">
        <f>'D4 RIN Forecast'!D87</f>
        <v>7296597</v>
      </c>
      <c r="E56" s="18">
        <f>'D4 RIN Forecast'!E87</f>
        <v>0</v>
      </c>
      <c r="F56" s="18">
        <f>'D4 RIN Forecast'!F87</f>
        <v>0</v>
      </c>
      <c r="G56" s="18">
        <f>'D4 RIN Forecast'!G87</f>
        <v>0</v>
      </c>
      <c r="H56" s="18">
        <f>'D4 RIN Forecast'!H87</f>
        <v>0</v>
      </c>
      <c r="I56" s="18">
        <f>'D4 RIN Forecast'!I87</f>
        <v>0</v>
      </c>
      <c r="J56" s="18">
        <f>'D4 RIN Forecast'!J87</f>
        <v>0</v>
      </c>
      <c r="K56" s="18">
        <f>'D4 RIN Forecast'!K87</f>
        <v>0</v>
      </c>
      <c r="L56" s="18">
        <f>'D4 RIN Forecast'!L87</f>
        <v>0</v>
      </c>
      <c r="M56" s="18">
        <f>'D4 RIN Forecast'!M87</f>
        <v>0</v>
      </c>
      <c r="N56" s="18">
        <f>'D4 RIN Forecast'!N87</f>
        <v>0</v>
      </c>
      <c r="O56" s="18">
        <f>'D4 RIN Forecast'!O87</f>
        <v>0</v>
      </c>
      <c r="P56" s="18">
        <f>'D4 RIN Forecast'!P87</f>
        <v>0</v>
      </c>
      <c r="Q56" s="19">
        <f>'D4 RIN Forecast'!Q87</f>
        <v>0</v>
      </c>
      <c r="R56" s="19">
        <f>'D4 RIN Forecast'!R87</f>
        <v>0</v>
      </c>
      <c r="S56" s="19">
        <f>'D4 RIN Forecast'!S87</f>
        <v>0</v>
      </c>
      <c r="T56" s="19">
        <f>'D4 RIN Forecast'!T87</f>
        <v>0</v>
      </c>
      <c r="U56" s="19">
        <f>'D4 RIN Forecast'!U87</f>
        <v>0</v>
      </c>
      <c r="V56" s="19">
        <f>'D4 RIN Forecast'!V87</f>
        <v>0</v>
      </c>
      <c r="W56" s="19">
        <f>'D4 RIN Forecast'!W87</f>
        <v>0</v>
      </c>
      <c r="X56" s="19">
        <f>'D4 RIN Forecast'!X87</f>
        <v>0</v>
      </c>
      <c r="Y56" s="19">
        <f>'D4 RIN Forecast'!Y87</f>
        <v>0</v>
      </c>
      <c r="Z56" s="19">
        <f>'D4 RIN Forecast'!Z87</f>
        <v>0</v>
      </c>
      <c r="AA56" s="19"/>
      <c r="AD56" s="18">
        <f t="shared" si="24"/>
        <v>0</v>
      </c>
      <c r="AE56" s="18">
        <f t="shared" si="25"/>
        <v>0</v>
      </c>
      <c r="AF56" s="18">
        <f t="shared" si="23"/>
        <v>0</v>
      </c>
      <c r="AG56" s="18">
        <f>O56/31</f>
        <v>0</v>
      </c>
      <c r="AH56" s="18">
        <f>AD56/31</f>
        <v>0</v>
      </c>
      <c r="AI56" s="18">
        <f t="shared" si="26"/>
        <v>0</v>
      </c>
    </row>
    <row r="57" spans="1:35">
      <c r="A57" s="14" t="s">
        <v>48</v>
      </c>
      <c r="B57" s="18">
        <f>'D4 RIN Forecast'!B88</f>
        <v>0</v>
      </c>
      <c r="C57" s="18">
        <f>'D4 RIN Forecast'!C88</f>
        <v>0</v>
      </c>
      <c r="D57" s="18">
        <f>'D4 RIN Forecast'!D88</f>
        <v>0</v>
      </c>
      <c r="E57" s="18">
        <f>'D4 RIN Forecast'!E88</f>
        <v>0</v>
      </c>
      <c r="F57" s="18">
        <f>'D4 RIN Forecast'!F88</f>
        <v>0</v>
      </c>
      <c r="G57" s="18">
        <f>'D4 RIN Forecast'!G88</f>
        <v>0</v>
      </c>
      <c r="H57" s="18">
        <f>'D4 RIN Forecast'!H88</f>
        <v>0</v>
      </c>
      <c r="I57" s="18">
        <f>'D4 RIN Forecast'!I88</f>
        <v>0</v>
      </c>
      <c r="J57" s="18">
        <f>'D4 RIN Forecast'!J88</f>
        <v>0</v>
      </c>
      <c r="K57" s="18">
        <f>'D4 RIN Forecast'!K88</f>
        <v>0</v>
      </c>
      <c r="L57" s="18">
        <f>'D4 RIN Forecast'!L88</f>
        <v>0</v>
      </c>
      <c r="M57" s="18">
        <f>'D4 RIN Forecast'!M88</f>
        <v>0</v>
      </c>
      <c r="N57" s="18">
        <f>'D4 RIN Forecast'!N88</f>
        <v>0</v>
      </c>
      <c r="O57" s="18">
        <f>'D4 RIN Forecast'!O88</f>
        <v>0</v>
      </c>
      <c r="P57" s="18">
        <f>'D4 RIN Forecast'!P88</f>
        <v>0</v>
      </c>
      <c r="Q57" s="19">
        <f>'D4 RIN Forecast'!Q88</f>
        <v>0</v>
      </c>
      <c r="R57" s="19">
        <f>'D4 RIN Forecast'!R88</f>
        <v>0</v>
      </c>
      <c r="S57" s="19">
        <f>'D4 RIN Forecast'!S88</f>
        <v>0</v>
      </c>
      <c r="T57" s="19">
        <f>'D4 RIN Forecast'!T88</f>
        <v>0</v>
      </c>
      <c r="U57" s="19">
        <f>'D4 RIN Forecast'!U88</f>
        <v>0</v>
      </c>
      <c r="V57" s="19">
        <f>'D4 RIN Forecast'!V88</f>
        <v>0</v>
      </c>
      <c r="W57" s="19">
        <f>'D4 RIN Forecast'!W88</f>
        <v>0</v>
      </c>
      <c r="X57" s="19">
        <f>'D4 RIN Forecast'!X88</f>
        <v>0</v>
      </c>
      <c r="Y57" s="19">
        <f>'D4 RIN Forecast'!Y88</f>
        <v>0</v>
      </c>
      <c r="Z57" s="19">
        <f>'D4 RIN Forecast'!Z88</f>
        <v>0</v>
      </c>
      <c r="AA57" s="19"/>
      <c r="AD57" s="23">
        <f t="shared" si="24"/>
        <v>0</v>
      </c>
      <c r="AE57" s="23">
        <f t="shared" si="25"/>
        <v>0</v>
      </c>
      <c r="AF57" s="23">
        <f t="shared" si="23"/>
        <v>0</v>
      </c>
      <c r="AG57" s="23">
        <f>O57/30</f>
        <v>0</v>
      </c>
      <c r="AH57" s="23">
        <f>AD57/30</f>
        <v>0</v>
      </c>
      <c r="AI57" s="23">
        <f t="shared" si="26"/>
        <v>0</v>
      </c>
    </row>
    <row r="58" spans="1:35">
      <c r="A58" s="14" t="s">
        <v>49</v>
      </c>
      <c r="B58" s="18">
        <f>'D4 RIN Forecast'!B89</f>
        <v>0</v>
      </c>
      <c r="C58" s="18">
        <f>'D4 RIN Forecast'!C89</f>
        <v>0</v>
      </c>
      <c r="D58" s="18">
        <f>'D4 RIN Forecast'!D89</f>
        <v>0</v>
      </c>
      <c r="E58" s="18">
        <f>'D4 RIN Forecast'!E89</f>
        <v>0</v>
      </c>
      <c r="F58" s="18">
        <f>'D4 RIN Forecast'!F89</f>
        <v>0</v>
      </c>
      <c r="G58" s="18">
        <f>'D4 RIN Forecast'!G89</f>
        <v>0</v>
      </c>
      <c r="H58" s="18">
        <f>'D4 RIN Forecast'!H89</f>
        <v>0</v>
      </c>
      <c r="I58" s="18">
        <f>'D4 RIN Forecast'!I89</f>
        <v>0</v>
      </c>
      <c r="J58" s="18">
        <f>'D4 RIN Forecast'!J89</f>
        <v>0</v>
      </c>
      <c r="K58" s="18">
        <f>'D4 RIN Forecast'!K89</f>
        <v>0</v>
      </c>
      <c r="L58" s="18">
        <f>'D4 RIN Forecast'!L89</f>
        <v>0</v>
      </c>
      <c r="M58" s="18">
        <f>'D4 RIN Forecast'!M89</f>
        <v>0</v>
      </c>
      <c r="N58" s="18">
        <f>'D4 RIN Forecast'!N89</f>
        <v>0</v>
      </c>
      <c r="O58" s="18">
        <f>'D4 RIN Forecast'!O89</f>
        <v>0</v>
      </c>
      <c r="P58" s="18">
        <f>'D4 RIN Forecast'!P89</f>
        <v>0</v>
      </c>
      <c r="Q58" s="19">
        <f>'D4 RIN Forecast'!Q89</f>
        <v>0</v>
      </c>
      <c r="R58" s="19">
        <f>'D4 RIN Forecast'!R89</f>
        <v>0</v>
      </c>
      <c r="S58" s="19">
        <f>'D4 RIN Forecast'!S89</f>
        <v>0</v>
      </c>
      <c r="T58" s="19">
        <f>'D4 RIN Forecast'!T89</f>
        <v>0</v>
      </c>
      <c r="U58" s="19">
        <f>'D4 RIN Forecast'!U89</f>
        <v>0</v>
      </c>
      <c r="V58" s="19">
        <f>'D4 RIN Forecast'!V89</f>
        <v>0</v>
      </c>
      <c r="W58" s="19">
        <f>'D4 RIN Forecast'!W89</f>
        <v>0</v>
      </c>
      <c r="X58" s="19">
        <f>'D4 RIN Forecast'!X89</f>
        <v>0</v>
      </c>
      <c r="Y58" s="19">
        <f>'D4 RIN Forecast'!Y89</f>
        <v>0</v>
      </c>
      <c r="Z58" s="19">
        <f>'D4 RIN Forecast'!Z89</f>
        <v>0</v>
      </c>
      <c r="AA58" s="19"/>
      <c r="AD58" s="18">
        <f t="shared" si="24"/>
        <v>0</v>
      </c>
      <c r="AE58" s="19">
        <f t="shared" si="25"/>
        <v>0</v>
      </c>
      <c r="AF58" s="19">
        <f t="shared" si="23"/>
        <v>0</v>
      </c>
      <c r="AG58" s="19">
        <f>O58/31</f>
        <v>0</v>
      </c>
      <c r="AH58" s="18">
        <f>AD58/31</f>
        <v>0</v>
      </c>
      <c r="AI58" s="19">
        <f t="shared" si="26"/>
        <v>0</v>
      </c>
    </row>
    <row r="59" spans="1:35">
      <c r="A59" s="14" t="s">
        <v>50</v>
      </c>
      <c r="B59" s="18">
        <f>'D4 RIN Forecast'!B90</f>
        <v>0</v>
      </c>
      <c r="C59" s="18">
        <f>'D4 RIN Forecast'!C90</f>
        <v>0</v>
      </c>
      <c r="D59" s="18">
        <f>'D4 RIN Forecast'!D90</f>
        <v>0</v>
      </c>
      <c r="E59" s="18">
        <f>'D4 RIN Forecast'!E90</f>
        <v>2266654</v>
      </c>
      <c r="F59" s="18">
        <f>'D4 RIN Forecast'!F90</f>
        <v>0</v>
      </c>
      <c r="G59" s="18">
        <f>'D4 RIN Forecast'!G90</f>
        <v>0</v>
      </c>
      <c r="H59" s="18">
        <f>'D4 RIN Forecast'!H90</f>
        <v>0</v>
      </c>
      <c r="I59" s="18">
        <f>'D4 RIN Forecast'!I90</f>
        <v>0</v>
      </c>
      <c r="J59" s="18">
        <f>'D4 RIN Forecast'!J90</f>
        <v>0</v>
      </c>
      <c r="K59" s="18">
        <f>'D4 RIN Forecast'!K90</f>
        <v>0</v>
      </c>
      <c r="L59" s="18">
        <f>'D4 RIN Forecast'!L90</f>
        <v>0</v>
      </c>
      <c r="M59" s="18">
        <f>'D4 RIN Forecast'!M90</f>
        <v>0</v>
      </c>
      <c r="N59" s="18">
        <f>'D4 RIN Forecast'!N90</f>
        <v>0</v>
      </c>
      <c r="O59" s="18">
        <f>'D4 RIN Forecast'!O90</f>
        <v>0</v>
      </c>
      <c r="P59" s="18">
        <f>'D4 RIN Forecast'!P90</f>
        <v>0</v>
      </c>
      <c r="Q59" s="19">
        <f>'D4 RIN Forecast'!Q90</f>
        <v>0</v>
      </c>
      <c r="R59" s="19">
        <f>'D4 RIN Forecast'!R90</f>
        <v>0</v>
      </c>
      <c r="S59" s="19">
        <f>'D4 RIN Forecast'!S90</f>
        <v>0</v>
      </c>
      <c r="T59" s="19">
        <f>'D4 RIN Forecast'!T90</f>
        <v>0</v>
      </c>
      <c r="U59" s="19">
        <f>'D4 RIN Forecast'!U90</f>
        <v>0</v>
      </c>
      <c r="V59" s="19">
        <f>'D4 RIN Forecast'!V90</f>
        <v>0</v>
      </c>
      <c r="W59" s="19">
        <f>'D4 RIN Forecast'!W90</f>
        <v>0</v>
      </c>
      <c r="X59" s="19">
        <f>'D4 RIN Forecast'!X90</f>
        <v>0</v>
      </c>
      <c r="Y59" s="19">
        <f>'D4 RIN Forecast'!Y90</f>
        <v>0</v>
      </c>
      <c r="Z59" s="19">
        <f>'D4 RIN Forecast'!Z90</f>
        <v>0</v>
      </c>
      <c r="AA59" s="19"/>
      <c r="AD59" s="18">
        <f t="shared" si="24"/>
        <v>0</v>
      </c>
      <c r="AE59" s="19">
        <f t="shared" si="25"/>
        <v>0</v>
      </c>
      <c r="AF59" s="19">
        <f t="shared" si="23"/>
        <v>0</v>
      </c>
      <c r="AG59" s="19">
        <f>O59/31</f>
        <v>0</v>
      </c>
      <c r="AH59" s="18">
        <f>AD59/31</f>
        <v>0</v>
      </c>
      <c r="AI59" s="19">
        <f t="shared" si="26"/>
        <v>0</v>
      </c>
    </row>
    <row r="60" spans="1:35">
      <c r="A60" s="14" t="s">
        <v>51</v>
      </c>
      <c r="B60" s="18">
        <f>'D4 RIN Forecast'!B91</f>
        <v>0</v>
      </c>
      <c r="C60" s="18">
        <f>'D4 RIN Forecast'!C91</f>
        <v>0</v>
      </c>
      <c r="D60" s="18">
        <f>'D4 RIN Forecast'!D91</f>
        <v>0</v>
      </c>
      <c r="E60" s="18">
        <f>'D4 RIN Forecast'!E91</f>
        <v>0</v>
      </c>
      <c r="F60" s="18">
        <f>'D4 RIN Forecast'!F91</f>
        <v>0</v>
      </c>
      <c r="G60" s="18">
        <f>'D4 RIN Forecast'!G91</f>
        <v>0</v>
      </c>
      <c r="H60" s="18">
        <f>'D4 RIN Forecast'!H91</f>
        <v>0</v>
      </c>
      <c r="I60" s="18">
        <f>'D4 RIN Forecast'!I91</f>
        <v>0</v>
      </c>
      <c r="J60" s="18">
        <f>'D4 RIN Forecast'!J91</f>
        <v>0</v>
      </c>
      <c r="K60" s="18">
        <f>'D4 RIN Forecast'!K91</f>
        <v>0</v>
      </c>
      <c r="L60" s="18">
        <f>'D4 RIN Forecast'!L91</f>
        <v>0</v>
      </c>
      <c r="M60" s="18">
        <f>'D4 RIN Forecast'!M91</f>
        <v>0</v>
      </c>
      <c r="N60" s="18">
        <f>'D4 RIN Forecast'!N91</f>
        <v>0</v>
      </c>
      <c r="O60" s="18">
        <f>'D4 RIN Forecast'!O91</f>
        <v>0</v>
      </c>
      <c r="P60" s="18">
        <f>'D4 RIN Forecast'!P91</f>
        <v>0</v>
      </c>
      <c r="Q60" s="19">
        <f>'D4 RIN Forecast'!Q91</f>
        <v>0</v>
      </c>
      <c r="R60" s="19">
        <f>'D4 RIN Forecast'!R91</f>
        <v>0</v>
      </c>
      <c r="S60" s="19">
        <f>'D4 RIN Forecast'!S91</f>
        <v>0</v>
      </c>
      <c r="T60" s="19">
        <f>'D4 RIN Forecast'!T91</f>
        <v>0</v>
      </c>
      <c r="U60" s="19">
        <f>'D4 RIN Forecast'!U91</f>
        <v>0</v>
      </c>
      <c r="V60" s="19">
        <f>'D4 RIN Forecast'!V91</f>
        <v>0</v>
      </c>
      <c r="W60" s="19">
        <f>'D4 RIN Forecast'!W91</f>
        <v>0</v>
      </c>
      <c r="X60" s="19">
        <f>'D4 RIN Forecast'!X91</f>
        <v>0</v>
      </c>
      <c r="Y60" s="19">
        <f>'D4 RIN Forecast'!Y91</f>
        <v>0</v>
      </c>
      <c r="Z60" s="19">
        <f>'D4 RIN Forecast'!Z91</f>
        <v>0</v>
      </c>
      <c r="AA60" s="19"/>
      <c r="AD60" s="18">
        <f t="shared" si="24"/>
        <v>0</v>
      </c>
      <c r="AE60" s="19">
        <f t="shared" si="25"/>
        <v>0</v>
      </c>
      <c r="AF60" s="19">
        <f t="shared" si="23"/>
        <v>0</v>
      </c>
      <c r="AG60" s="19">
        <f>O60/30</f>
        <v>0</v>
      </c>
      <c r="AH60" s="18">
        <f>AD60/30</f>
        <v>0</v>
      </c>
      <c r="AI60" s="19">
        <f t="shared" si="26"/>
        <v>0</v>
      </c>
    </row>
    <row r="61" spans="1:35">
      <c r="A61" s="14" t="s">
        <v>52</v>
      </c>
      <c r="B61" s="18">
        <f>'D4 RIN Forecast'!B92</f>
        <v>0</v>
      </c>
      <c r="C61" s="18">
        <f>'D4 RIN Forecast'!C92</f>
        <v>0</v>
      </c>
      <c r="D61" s="18">
        <f>'D4 RIN Forecast'!D92</f>
        <v>1052289</v>
      </c>
      <c r="E61" s="18">
        <f>'D4 RIN Forecast'!E92</f>
        <v>0</v>
      </c>
      <c r="F61" s="18">
        <f>'D4 RIN Forecast'!F92</f>
        <v>0</v>
      </c>
      <c r="G61" s="18">
        <f>'D4 RIN Forecast'!G92</f>
        <v>0</v>
      </c>
      <c r="H61" s="18">
        <f>'D4 RIN Forecast'!H92</f>
        <v>0</v>
      </c>
      <c r="I61" s="18">
        <f>'D4 RIN Forecast'!I92</f>
        <v>0</v>
      </c>
      <c r="J61" s="18">
        <f>'D4 RIN Forecast'!J92</f>
        <v>0</v>
      </c>
      <c r="K61" s="18">
        <f>'D4 RIN Forecast'!K92</f>
        <v>0</v>
      </c>
      <c r="L61" s="18">
        <f>'D4 RIN Forecast'!L92</f>
        <v>0</v>
      </c>
      <c r="M61" s="18">
        <f>'D4 RIN Forecast'!M92</f>
        <v>0</v>
      </c>
      <c r="N61" s="18">
        <f>'D4 RIN Forecast'!N92</f>
        <v>0</v>
      </c>
      <c r="O61" s="18">
        <f>'D4 RIN Forecast'!O92</f>
        <v>0</v>
      </c>
      <c r="P61" s="18">
        <f>'D4 RIN Forecast'!P92</f>
        <v>0</v>
      </c>
      <c r="Q61" s="19">
        <f>'D4 RIN Forecast'!Q92</f>
        <v>0</v>
      </c>
      <c r="R61" s="19">
        <f>'D4 RIN Forecast'!R92</f>
        <v>0</v>
      </c>
      <c r="S61" s="19">
        <f>'D4 RIN Forecast'!S92</f>
        <v>0</v>
      </c>
      <c r="T61" s="19">
        <f>'D4 RIN Forecast'!T92</f>
        <v>0</v>
      </c>
      <c r="U61" s="19">
        <f>'D4 RIN Forecast'!U92</f>
        <v>0</v>
      </c>
      <c r="V61" s="19">
        <f>'D4 RIN Forecast'!V92</f>
        <v>0</v>
      </c>
      <c r="W61" s="19">
        <f>'D4 RIN Forecast'!W92</f>
        <v>0</v>
      </c>
      <c r="X61" s="19">
        <f>'D4 RIN Forecast'!X92</f>
        <v>0</v>
      </c>
      <c r="Y61" s="19">
        <f>'D4 RIN Forecast'!Y92</f>
        <v>0</v>
      </c>
      <c r="Z61" s="19">
        <f>'D4 RIN Forecast'!Z92</f>
        <v>0</v>
      </c>
      <c r="AD61" s="18">
        <f t="shared" si="24"/>
        <v>0</v>
      </c>
      <c r="AE61" s="19">
        <f t="shared" si="25"/>
        <v>0</v>
      </c>
      <c r="AF61" s="19">
        <f t="shared" si="23"/>
        <v>0</v>
      </c>
      <c r="AG61" s="19">
        <f>O61/31</f>
        <v>0</v>
      </c>
      <c r="AH61" s="18">
        <f>AD61/31</f>
        <v>0</v>
      </c>
      <c r="AI61" s="19">
        <f t="shared" si="26"/>
        <v>0</v>
      </c>
    </row>
    <row r="62" spans="1:35">
      <c r="A62" s="14" t="s">
        <v>53</v>
      </c>
      <c r="B62" s="18">
        <f>'D4 RIN Forecast'!B93</f>
        <v>0</v>
      </c>
      <c r="C62" s="18">
        <f>'D4 RIN Forecast'!C93</f>
        <v>0</v>
      </c>
      <c r="D62" s="18">
        <f>'D4 RIN Forecast'!D93</f>
        <v>0</v>
      </c>
      <c r="E62" s="18">
        <f>'D4 RIN Forecast'!E93</f>
        <v>1919492</v>
      </c>
      <c r="F62" s="18">
        <f>'D4 RIN Forecast'!F93</f>
        <v>0</v>
      </c>
      <c r="G62" s="18">
        <f>'D4 RIN Forecast'!G93</f>
        <v>0</v>
      </c>
      <c r="H62" s="18">
        <f>'D4 RIN Forecast'!H93</f>
        <v>0</v>
      </c>
      <c r="I62" s="18">
        <f>'D4 RIN Forecast'!I93</f>
        <v>0</v>
      </c>
      <c r="J62" s="18">
        <f>'D4 RIN Forecast'!J93</f>
        <v>0</v>
      </c>
      <c r="K62" s="18">
        <f>'D4 RIN Forecast'!K93</f>
        <v>0</v>
      </c>
      <c r="L62" s="18">
        <f>'D4 RIN Forecast'!L93</f>
        <v>0</v>
      </c>
      <c r="M62" s="18">
        <f>'D4 RIN Forecast'!M93</f>
        <v>0</v>
      </c>
      <c r="N62" s="18">
        <f>'D4 RIN Forecast'!N93</f>
        <v>0</v>
      </c>
      <c r="O62" s="18">
        <f>'D4 RIN Forecast'!O93</f>
        <v>0</v>
      </c>
      <c r="P62" s="18">
        <f>'D4 RIN Forecast'!P93</f>
        <v>0</v>
      </c>
      <c r="Q62" s="19">
        <f>'D4 RIN Forecast'!Q93</f>
        <v>0</v>
      </c>
      <c r="R62" s="19">
        <f>'D4 RIN Forecast'!R93</f>
        <v>0</v>
      </c>
      <c r="S62" s="19">
        <f>'D4 RIN Forecast'!S93</f>
        <v>0</v>
      </c>
      <c r="T62" s="19">
        <f>'D4 RIN Forecast'!T93</f>
        <v>0</v>
      </c>
      <c r="U62" s="19">
        <f>'D4 RIN Forecast'!U93</f>
        <v>0</v>
      </c>
      <c r="V62" s="19">
        <f>'D4 RIN Forecast'!V93</f>
        <v>0</v>
      </c>
      <c r="W62" s="19">
        <f>'D4 RIN Forecast'!W93</f>
        <v>0</v>
      </c>
      <c r="X62" s="19">
        <f>'D4 RIN Forecast'!X93</f>
        <v>0</v>
      </c>
      <c r="Y62" s="19">
        <f>'D4 RIN Forecast'!Y93</f>
        <v>0</v>
      </c>
      <c r="Z62" s="19">
        <f>'D4 RIN Forecast'!Z93</f>
        <v>0</v>
      </c>
      <c r="AD62" s="18">
        <f t="shared" si="24"/>
        <v>0</v>
      </c>
      <c r="AE62" s="19">
        <f t="shared" si="25"/>
        <v>0</v>
      </c>
      <c r="AF62" s="19">
        <f t="shared" si="23"/>
        <v>0</v>
      </c>
      <c r="AG62" s="19">
        <f>O62/30</f>
        <v>0</v>
      </c>
      <c r="AH62" s="18">
        <f>AD62/30</f>
        <v>0</v>
      </c>
      <c r="AI62" s="19">
        <f t="shared" si="26"/>
        <v>0</v>
      </c>
    </row>
    <row r="63" spans="1:35">
      <c r="A63" s="14" t="s">
        <v>54</v>
      </c>
      <c r="B63" s="18">
        <f>'D4 RIN Forecast'!B94</f>
        <v>0</v>
      </c>
      <c r="C63" s="18">
        <f>'D4 RIN Forecast'!C94</f>
        <v>0</v>
      </c>
      <c r="D63" s="18">
        <f>'D4 RIN Forecast'!D94</f>
        <v>0</v>
      </c>
      <c r="E63" s="18">
        <f>'D4 RIN Forecast'!E94</f>
        <v>0</v>
      </c>
      <c r="F63" s="18">
        <f>'D4 RIN Forecast'!F94</f>
        <v>0</v>
      </c>
      <c r="G63" s="18">
        <f>'D4 RIN Forecast'!G94</f>
        <v>0</v>
      </c>
      <c r="H63" s="18">
        <f>'D4 RIN Forecast'!H94</f>
        <v>0</v>
      </c>
      <c r="I63" s="18">
        <f>'D4 RIN Forecast'!I94</f>
        <v>0</v>
      </c>
      <c r="J63" s="18">
        <f>'D4 RIN Forecast'!J94</f>
        <v>0</v>
      </c>
      <c r="K63" s="18">
        <f>'D4 RIN Forecast'!K94</f>
        <v>0</v>
      </c>
      <c r="L63" s="18">
        <f>'D4 RIN Forecast'!L94</f>
        <v>0</v>
      </c>
      <c r="M63" s="18">
        <f>'D4 RIN Forecast'!M94</f>
        <v>0</v>
      </c>
      <c r="N63" s="18">
        <f>'D4 RIN Forecast'!N94</f>
        <v>0</v>
      </c>
      <c r="O63" s="18">
        <f>'D4 RIN Forecast'!O94</f>
        <v>0</v>
      </c>
      <c r="P63" s="18">
        <f>'D4 RIN Forecast'!P94</f>
        <v>0</v>
      </c>
      <c r="Q63" s="19">
        <f>'D4 RIN Forecast'!Q94</f>
        <v>0</v>
      </c>
      <c r="R63" s="19">
        <f>'D4 RIN Forecast'!R94</f>
        <v>0</v>
      </c>
      <c r="S63" s="19">
        <f>'D4 RIN Forecast'!S94</f>
        <v>0</v>
      </c>
      <c r="T63" s="19">
        <f>'D4 RIN Forecast'!T94</f>
        <v>0</v>
      </c>
      <c r="U63" s="19">
        <f>'D4 RIN Forecast'!U94</f>
        <v>0</v>
      </c>
      <c r="V63" s="19">
        <f>'D4 RIN Forecast'!V94</f>
        <v>0</v>
      </c>
      <c r="W63" s="19">
        <f>'D4 RIN Forecast'!W94</f>
        <v>0</v>
      </c>
      <c r="X63" s="19">
        <f>'D4 RIN Forecast'!X94</f>
        <v>0</v>
      </c>
      <c r="Y63" s="19">
        <f>'D4 RIN Forecast'!Y94</f>
        <v>0</v>
      </c>
      <c r="Z63" s="19">
        <f>'D4 RIN Forecast'!Z94</f>
        <v>0</v>
      </c>
      <c r="AD63" s="18">
        <f t="shared" si="24"/>
        <v>0</v>
      </c>
      <c r="AE63" s="19">
        <f t="shared" si="25"/>
        <v>0</v>
      </c>
      <c r="AF63" s="19">
        <f t="shared" si="23"/>
        <v>0</v>
      </c>
      <c r="AG63" s="19">
        <f>O63/31</f>
        <v>0</v>
      </c>
      <c r="AH63" s="18">
        <f>AD63/31</f>
        <v>0</v>
      </c>
      <c r="AI63" s="19">
        <f t="shared" si="26"/>
        <v>0</v>
      </c>
    </row>
    <row r="64" spans="1:35">
      <c r="A64" s="14" t="s">
        <v>29</v>
      </c>
      <c r="B64" s="18">
        <f>SUM(B52:B63)</f>
        <v>0</v>
      </c>
      <c r="C64" s="18">
        <f t="shared" ref="C64:L64" si="27">SUM(C52:C63)</f>
        <v>0</v>
      </c>
      <c r="D64" s="18">
        <f t="shared" si="27"/>
        <v>10172863</v>
      </c>
      <c r="E64" s="18">
        <f t="shared" si="27"/>
        <v>4186146</v>
      </c>
      <c r="F64" s="18">
        <f t="shared" si="27"/>
        <v>0</v>
      </c>
      <c r="G64" s="18">
        <f t="shared" si="27"/>
        <v>0</v>
      </c>
      <c r="H64" s="18">
        <f t="shared" si="27"/>
        <v>0</v>
      </c>
      <c r="I64" s="18">
        <f t="shared" si="27"/>
        <v>0</v>
      </c>
      <c r="J64" s="18">
        <f t="shared" si="27"/>
        <v>0</v>
      </c>
      <c r="K64" s="18">
        <f t="shared" si="27"/>
        <v>0</v>
      </c>
      <c r="L64" s="18">
        <f t="shared" si="27"/>
        <v>0</v>
      </c>
      <c r="M64" s="18">
        <f>SUM(M52:M63)</f>
        <v>0</v>
      </c>
      <c r="N64" s="18">
        <f>SUM(N52:N63)</f>
        <v>0</v>
      </c>
      <c r="O64" s="18">
        <f>SUM(O52:O63)</f>
        <v>0</v>
      </c>
      <c r="P64" s="18">
        <f>SUM(P52:P63)</f>
        <v>0</v>
      </c>
      <c r="Q64" s="19">
        <f>SUM(Q52:Q63)</f>
        <v>0</v>
      </c>
      <c r="R64" s="19">
        <f t="shared" ref="R64:Z64" si="28">SUM(R52:R63)</f>
        <v>0</v>
      </c>
      <c r="S64" s="19">
        <f t="shared" si="28"/>
        <v>0</v>
      </c>
      <c r="T64" s="19">
        <f t="shared" si="28"/>
        <v>0</v>
      </c>
      <c r="U64" s="19">
        <f t="shared" si="28"/>
        <v>0</v>
      </c>
      <c r="V64" s="19">
        <f t="shared" si="28"/>
        <v>0</v>
      </c>
      <c r="W64" s="19">
        <f t="shared" si="28"/>
        <v>0</v>
      </c>
      <c r="X64" s="19">
        <f t="shared" si="28"/>
        <v>0</v>
      </c>
      <c r="Y64" s="19">
        <f t="shared" si="28"/>
        <v>0</v>
      </c>
      <c r="Z64" s="19">
        <f t="shared" si="28"/>
        <v>0</v>
      </c>
      <c r="AD64" s="18">
        <f t="shared" si="24"/>
        <v>0</v>
      </c>
      <c r="AE64" s="19">
        <f t="shared" si="25"/>
        <v>0</v>
      </c>
    </row>
    <row r="66" spans="1:26" ht="15.75">
      <c r="A66" s="15" t="s">
        <v>58</v>
      </c>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c r="B67" s="14">
        <f>B3</f>
        <v>2010</v>
      </c>
      <c r="C67" s="14">
        <f t="shared" ref="C67:Z67" si="29">C3</f>
        <v>2011</v>
      </c>
      <c r="D67" s="14">
        <f t="shared" si="29"/>
        <v>2012</v>
      </c>
      <c r="E67" s="14">
        <f t="shared" si="29"/>
        <v>2013</v>
      </c>
      <c r="F67" s="14">
        <f t="shared" si="29"/>
        <v>2014</v>
      </c>
      <c r="G67" s="14">
        <f t="shared" si="29"/>
        <v>2015</v>
      </c>
      <c r="H67" s="14">
        <f t="shared" si="29"/>
        <v>2016</v>
      </c>
      <c r="I67" s="14">
        <f t="shared" si="29"/>
        <v>2017</v>
      </c>
      <c r="J67" s="14">
        <f t="shared" si="29"/>
        <v>2018</v>
      </c>
      <c r="K67" s="14">
        <f t="shared" si="29"/>
        <v>2019</v>
      </c>
      <c r="L67" s="14">
        <f t="shared" si="29"/>
        <v>2020</v>
      </c>
      <c r="M67" s="14">
        <f t="shared" si="29"/>
        <v>2021</v>
      </c>
      <c r="N67" s="14">
        <f t="shared" si="29"/>
        <v>2022</v>
      </c>
      <c r="O67" s="14">
        <f t="shared" si="29"/>
        <v>2023</v>
      </c>
      <c r="P67" s="14">
        <f t="shared" si="29"/>
        <v>2024</v>
      </c>
      <c r="Q67" s="14">
        <f t="shared" si="29"/>
        <v>2025</v>
      </c>
      <c r="R67" s="14">
        <f t="shared" si="29"/>
        <v>2026</v>
      </c>
      <c r="S67" s="14">
        <f t="shared" si="29"/>
        <v>2027</v>
      </c>
      <c r="T67" s="14">
        <f t="shared" si="29"/>
        <v>2028</v>
      </c>
      <c r="U67" s="14">
        <f t="shared" si="29"/>
        <v>2029</v>
      </c>
      <c r="V67" s="14">
        <f t="shared" si="29"/>
        <v>2030</v>
      </c>
      <c r="W67" s="14">
        <f t="shared" si="29"/>
        <v>2031</v>
      </c>
      <c r="X67" s="14">
        <f t="shared" si="29"/>
        <v>2032</v>
      </c>
      <c r="Y67" s="14">
        <f t="shared" si="29"/>
        <v>2033</v>
      </c>
      <c r="Z67" s="14">
        <f t="shared" si="29"/>
        <v>2034</v>
      </c>
    </row>
    <row r="68" spans="1:26">
      <c r="A68" s="14" t="s">
        <v>43</v>
      </c>
      <c r="B68" s="18">
        <f t="shared" ref="B68:Z78" si="30">B52+B36</f>
        <v>0</v>
      </c>
      <c r="C68" s="18">
        <f t="shared" si="30"/>
        <v>3954656</v>
      </c>
      <c r="D68" s="18">
        <f t="shared" si="30"/>
        <v>1557591</v>
      </c>
      <c r="E68" s="18">
        <f t="shared" si="30"/>
        <v>1463988</v>
      </c>
      <c r="F68" s="18">
        <f t="shared" si="30"/>
        <v>2972950</v>
      </c>
      <c r="G68" s="18">
        <f t="shared" si="30"/>
        <v>12939678</v>
      </c>
      <c r="H68" s="18">
        <f t="shared" si="30"/>
        <v>31077567</v>
      </c>
      <c r="I68" s="18">
        <f t="shared" si="30"/>
        <v>31785156</v>
      </c>
      <c r="J68" s="18">
        <f t="shared" si="30"/>
        <v>16044167</v>
      </c>
      <c r="K68" s="18">
        <f t="shared" si="30"/>
        <v>17713871</v>
      </c>
      <c r="L68" s="18">
        <f t="shared" si="30"/>
        <v>20606859</v>
      </c>
      <c r="M68" s="18">
        <f t="shared" si="30"/>
        <v>12804373</v>
      </c>
      <c r="N68" s="18">
        <f t="shared" si="30"/>
        <v>19051597</v>
      </c>
      <c r="O68" s="18">
        <f t="shared" si="30"/>
        <v>36873751</v>
      </c>
      <c r="P68" s="18">
        <f t="shared" si="30"/>
        <v>60472149</v>
      </c>
      <c r="Q68" s="19">
        <f t="shared" si="30"/>
        <v>4703045</v>
      </c>
      <c r="R68" s="19">
        <f t="shared" si="30"/>
        <v>15038725.365441097</v>
      </c>
      <c r="S68" s="19">
        <f t="shared" si="30"/>
        <v>16271848.882695293</v>
      </c>
      <c r="T68" s="19">
        <f t="shared" si="30"/>
        <v>17966535.276515331</v>
      </c>
      <c r="U68" s="19">
        <f t="shared" si="30"/>
        <v>18678449.155005354</v>
      </c>
      <c r="V68" s="19">
        <f t="shared" si="30"/>
        <v>14283314.308368001</v>
      </c>
      <c r="W68" s="19">
        <f t="shared" si="30"/>
        <v>16292606.949776033</v>
      </c>
      <c r="X68" s="19">
        <f t="shared" si="30"/>
        <v>14688540.173869094</v>
      </c>
      <c r="Y68" s="19">
        <f t="shared" si="30"/>
        <v>13779159.134753419</v>
      </c>
      <c r="Z68" s="19">
        <f t="shared" si="30"/>
        <v>13205206.024664767</v>
      </c>
    </row>
    <row r="69" spans="1:26">
      <c r="A69" s="14" t="s">
        <v>44</v>
      </c>
      <c r="B69" s="18">
        <f t="shared" si="30"/>
        <v>0</v>
      </c>
      <c r="C69" s="18">
        <f t="shared" si="30"/>
        <v>2004085</v>
      </c>
      <c r="D69" s="18">
        <f t="shared" si="30"/>
        <v>6163232</v>
      </c>
      <c r="E69" s="18">
        <f t="shared" si="30"/>
        <v>4610442</v>
      </c>
      <c r="F69" s="18">
        <f t="shared" si="30"/>
        <v>5842670</v>
      </c>
      <c r="G69" s="18">
        <f t="shared" si="30"/>
        <v>7537654</v>
      </c>
      <c r="H69" s="18">
        <f t="shared" si="30"/>
        <v>20663126</v>
      </c>
      <c r="I69" s="18">
        <f t="shared" si="30"/>
        <v>44658218</v>
      </c>
      <c r="J69" s="18">
        <f t="shared" si="30"/>
        <v>17377056</v>
      </c>
      <c r="K69" s="18">
        <f t="shared" si="30"/>
        <v>16452363</v>
      </c>
      <c r="L69" s="18">
        <f t="shared" si="30"/>
        <v>17200392</v>
      </c>
      <c r="M69" s="18">
        <f t="shared" si="30"/>
        <v>11492452</v>
      </c>
      <c r="N69" s="18">
        <f t="shared" si="30"/>
        <v>10115757</v>
      </c>
      <c r="O69" s="18">
        <f t="shared" si="30"/>
        <v>61194513</v>
      </c>
      <c r="P69" s="18">
        <f t="shared" si="30"/>
        <v>80227289</v>
      </c>
      <c r="Q69" s="19">
        <f t="shared" si="30"/>
        <v>9613679</v>
      </c>
      <c r="R69" s="19">
        <f t="shared" si="30"/>
        <v>19131832.125758067</v>
      </c>
      <c r="S69" s="19">
        <f t="shared" si="30"/>
        <v>21273916.705534924</v>
      </c>
      <c r="T69" s="19">
        <f t="shared" si="30"/>
        <v>25482432.558378432</v>
      </c>
      <c r="U69" s="19">
        <f t="shared" si="30"/>
        <v>25040430.799070533</v>
      </c>
      <c r="V69" s="19">
        <f t="shared" si="30"/>
        <v>19764724.771238968</v>
      </c>
      <c r="W69" s="19">
        <f t="shared" si="30"/>
        <v>21929812.100913588</v>
      </c>
      <c r="X69" s="19">
        <f t="shared" si="30"/>
        <v>19966065.038292058</v>
      </c>
      <c r="Y69" s="19">
        <f t="shared" si="30"/>
        <v>18871984.839511655</v>
      </c>
      <c r="Z69" s="19">
        <f t="shared" si="30"/>
        <v>17937163.17942949</v>
      </c>
    </row>
    <row r="70" spans="1:26">
      <c r="A70" s="14" t="s">
        <v>45</v>
      </c>
      <c r="B70" s="18">
        <f t="shared" si="30"/>
        <v>0</v>
      </c>
      <c r="C70" s="18">
        <f t="shared" si="30"/>
        <v>6941490</v>
      </c>
      <c r="D70" s="18">
        <f t="shared" si="30"/>
        <v>8158922</v>
      </c>
      <c r="E70" s="18">
        <f t="shared" si="30"/>
        <v>14054171</v>
      </c>
      <c r="F70" s="18">
        <f t="shared" si="30"/>
        <v>19632695</v>
      </c>
      <c r="G70" s="18">
        <f t="shared" si="30"/>
        <v>20160873</v>
      </c>
      <c r="H70" s="18">
        <f t="shared" si="30"/>
        <v>14723705</v>
      </c>
      <c r="I70" s="18">
        <f t="shared" si="30"/>
        <v>60824923</v>
      </c>
      <c r="J70" s="18">
        <f t="shared" si="30"/>
        <v>23465349</v>
      </c>
      <c r="K70" s="18">
        <f t="shared" si="30"/>
        <v>18083989</v>
      </c>
      <c r="L70" s="18">
        <f t="shared" si="30"/>
        <v>27865918</v>
      </c>
      <c r="M70" s="18">
        <f t="shared" si="30"/>
        <v>22720501</v>
      </c>
      <c r="N70" s="18">
        <f t="shared" si="30"/>
        <v>34021039</v>
      </c>
      <c r="O70" s="18">
        <f t="shared" si="30"/>
        <v>67182654</v>
      </c>
      <c r="P70" s="18">
        <f t="shared" si="30"/>
        <v>44836291</v>
      </c>
      <c r="Q70" s="19">
        <f t="shared" si="30"/>
        <v>5852368</v>
      </c>
      <c r="R70" s="19">
        <f t="shared" si="30"/>
        <v>19610599.728340574</v>
      </c>
      <c r="S70" s="19">
        <f t="shared" si="30"/>
        <v>20498646.678225163</v>
      </c>
      <c r="T70" s="19">
        <f t="shared" si="30"/>
        <v>21283546.983075451</v>
      </c>
      <c r="U70" s="19">
        <f t="shared" si="30"/>
        <v>18291529.512471106</v>
      </c>
      <c r="V70" s="19">
        <f t="shared" si="30"/>
        <v>16814905.805997856</v>
      </c>
      <c r="W70" s="19">
        <f t="shared" si="30"/>
        <v>19117771.762682162</v>
      </c>
      <c r="X70" s="19">
        <f t="shared" si="30"/>
        <v>16890014.982492182</v>
      </c>
      <c r="Y70" s="19">
        <f t="shared" si="30"/>
        <v>15543549.956159668</v>
      </c>
      <c r="Z70" s="19">
        <f t="shared" si="30"/>
        <v>14723407.868348567</v>
      </c>
    </row>
    <row r="71" spans="1:26">
      <c r="A71" s="14" t="s">
        <v>46</v>
      </c>
      <c r="B71" s="18">
        <f t="shared" si="30"/>
        <v>0</v>
      </c>
      <c r="C71" s="18">
        <f t="shared" si="30"/>
        <v>3317642</v>
      </c>
      <c r="D71" s="18">
        <f t="shared" si="30"/>
        <v>3986638</v>
      </c>
      <c r="E71" s="18">
        <f t="shared" si="30"/>
        <v>7183917</v>
      </c>
      <c r="F71" s="18">
        <f t="shared" si="30"/>
        <v>8639227</v>
      </c>
      <c r="G71" s="18">
        <f t="shared" si="30"/>
        <v>29702407</v>
      </c>
      <c r="H71" s="18">
        <f t="shared" si="30"/>
        <v>51089583</v>
      </c>
      <c r="I71" s="18">
        <f t="shared" si="30"/>
        <v>31281427</v>
      </c>
      <c r="J71" s="18">
        <f t="shared" si="30"/>
        <v>23904320</v>
      </c>
      <c r="K71" s="18">
        <f t="shared" si="30"/>
        <v>32280238</v>
      </c>
      <c r="L71" s="18">
        <f t="shared" si="30"/>
        <v>28024744</v>
      </c>
      <c r="M71" s="18">
        <f t="shared" si="30"/>
        <v>26004968</v>
      </c>
      <c r="N71" s="18">
        <f t="shared" si="30"/>
        <v>44809859</v>
      </c>
      <c r="O71" s="18">
        <f t="shared" si="30"/>
        <v>52446720</v>
      </c>
      <c r="P71" s="18">
        <f t="shared" si="30"/>
        <v>76075858</v>
      </c>
      <c r="Q71" s="19">
        <f t="shared" si="30"/>
        <v>48720726.150993653</v>
      </c>
      <c r="R71" s="19">
        <f t="shared" si="30"/>
        <v>27450331.591051131</v>
      </c>
      <c r="S71" s="19">
        <f t="shared" si="30"/>
        <v>29386450.165839113</v>
      </c>
      <c r="T71" s="19">
        <f t="shared" si="30"/>
        <v>31045441.260605063</v>
      </c>
      <c r="U71" s="19">
        <f t="shared" si="30"/>
        <v>34114780.919917807</v>
      </c>
      <c r="V71" s="19">
        <f t="shared" si="30"/>
        <v>33559895.191510282</v>
      </c>
      <c r="W71" s="19">
        <f t="shared" si="30"/>
        <v>30817876.248876225</v>
      </c>
      <c r="X71" s="19">
        <f t="shared" si="30"/>
        <v>27958929.891175885</v>
      </c>
      <c r="Y71" s="19">
        <f t="shared" si="30"/>
        <v>26494809.542956989</v>
      </c>
      <c r="Z71" s="19">
        <f t="shared" si="30"/>
        <v>25986020.427905068</v>
      </c>
    </row>
    <row r="72" spans="1:26">
      <c r="A72" s="14" t="s">
        <v>47</v>
      </c>
      <c r="B72" s="18">
        <f t="shared" si="30"/>
        <v>0</v>
      </c>
      <c r="C72" s="18">
        <f t="shared" si="30"/>
        <v>3374894</v>
      </c>
      <c r="D72" s="18">
        <f t="shared" si="30"/>
        <v>10494797</v>
      </c>
      <c r="E72" s="18">
        <f t="shared" si="30"/>
        <v>15049714</v>
      </c>
      <c r="F72" s="18">
        <f t="shared" si="30"/>
        <v>11694354</v>
      </c>
      <c r="G72" s="18">
        <f t="shared" si="30"/>
        <v>28295895</v>
      </c>
      <c r="H72" s="18">
        <f t="shared" si="30"/>
        <v>71376996</v>
      </c>
      <c r="I72" s="18">
        <f t="shared" si="30"/>
        <v>58547517</v>
      </c>
      <c r="J72" s="18">
        <f t="shared" si="30"/>
        <v>24085300</v>
      </c>
      <c r="K72" s="18">
        <f t="shared" si="30"/>
        <v>23483648</v>
      </c>
      <c r="L72" s="18">
        <f t="shared" si="30"/>
        <v>27970027</v>
      </c>
      <c r="M72" s="18">
        <f t="shared" si="30"/>
        <v>19989699</v>
      </c>
      <c r="N72" s="18">
        <f t="shared" si="30"/>
        <v>17665002</v>
      </c>
      <c r="O72" s="18">
        <f t="shared" si="30"/>
        <v>59129807</v>
      </c>
      <c r="P72" s="18">
        <f t="shared" si="30"/>
        <v>53177161</v>
      </c>
      <c r="Q72" s="19">
        <f t="shared" si="30"/>
        <v>38748831.929972269</v>
      </c>
      <c r="R72" s="19">
        <f t="shared" si="30"/>
        <v>21193891.913520634</v>
      </c>
      <c r="S72" s="19">
        <f t="shared" si="30"/>
        <v>22699282.413804911</v>
      </c>
      <c r="T72" s="19">
        <f t="shared" si="30"/>
        <v>26264025.592944939</v>
      </c>
      <c r="U72" s="19">
        <f t="shared" si="30"/>
        <v>26451740.516200915</v>
      </c>
      <c r="V72" s="19">
        <f t="shared" si="30"/>
        <v>26608792.49619158</v>
      </c>
      <c r="W72" s="19">
        <f t="shared" si="30"/>
        <v>24411060.315324042</v>
      </c>
      <c r="X72" s="19">
        <f t="shared" si="30"/>
        <v>22243177.064331111</v>
      </c>
      <c r="Y72" s="19">
        <f t="shared" si="30"/>
        <v>21192694.64566543</v>
      </c>
      <c r="Z72" s="19">
        <f t="shared" si="30"/>
        <v>20542530.449698091</v>
      </c>
    </row>
    <row r="73" spans="1:26">
      <c r="A73" s="14" t="s">
        <v>48</v>
      </c>
      <c r="B73" s="18">
        <f t="shared" si="30"/>
        <v>0</v>
      </c>
      <c r="C73" s="18">
        <f t="shared" si="30"/>
        <v>5265168</v>
      </c>
      <c r="D73" s="18">
        <f t="shared" si="30"/>
        <v>8816321</v>
      </c>
      <c r="E73" s="18">
        <f t="shared" si="30"/>
        <v>22120788</v>
      </c>
      <c r="F73" s="18">
        <f t="shared" si="30"/>
        <v>15109426</v>
      </c>
      <c r="G73" s="18">
        <f t="shared" si="30"/>
        <v>38267909</v>
      </c>
      <c r="H73" s="18">
        <f t="shared" si="30"/>
        <v>110403003</v>
      </c>
      <c r="I73" s="18">
        <f t="shared" si="30"/>
        <v>125644344</v>
      </c>
      <c r="J73" s="18">
        <f t="shared" si="30"/>
        <v>18351490</v>
      </c>
      <c r="K73" s="18">
        <f t="shared" si="30"/>
        <v>29083738</v>
      </c>
      <c r="L73" s="18">
        <f t="shared" si="30"/>
        <v>25123860</v>
      </c>
      <c r="M73" s="18">
        <f t="shared" si="30"/>
        <v>26382669</v>
      </c>
      <c r="N73" s="18">
        <f t="shared" si="30"/>
        <v>28972266</v>
      </c>
      <c r="O73" s="18">
        <f t="shared" si="30"/>
        <v>61769873</v>
      </c>
      <c r="P73" s="18">
        <f t="shared" si="30"/>
        <v>59684937</v>
      </c>
      <c r="Q73" s="19">
        <f t="shared" si="30"/>
        <v>43232212.281617209</v>
      </c>
      <c r="R73" s="19">
        <f t="shared" si="30"/>
        <v>24329214.248910531</v>
      </c>
      <c r="S73" s="19">
        <f t="shared" si="30"/>
        <v>25646647.329558868</v>
      </c>
      <c r="T73" s="19">
        <f t="shared" si="30"/>
        <v>28459918.287026804</v>
      </c>
      <c r="U73" s="19">
        <f t="shared" si="30"/>
        <v>29039287.105974533</v>
      </c>
      <c r="V73" s="19">
        <f t="shared" si="30"/>
        <v>29626216.873009242</v>
      </c>
      <c r="W73" s="19">
        <f t="shared" si="30"/>
        <v>27161575.110813357</v>
      </c>
      <c r="X73" s="19">
        <f t="shared" si="30"/>
        <v>24617955.987960547</v>
      </c>
      <c r="Y73" s="19">
        <f t="shared" si="30"/>
        <v>23367188.405487377</v>
      </c>
      <c r="Z73" s="19">
        <f t="shared" si="30"/>
        <v>22735086.493397888</v>
      </c>
    </row>
    <row r="74" spans="1:26">
      <c r="A74" s="14" t="s">
        <v>49</v>
      </c>
      <c r="B74" s="18">
        <f t="shared" si="30"/>
        <v>2066116</v>
      </c>
      <c r="C74" s="18">
        <f t="shared" si="30"/>
        <v>3781710</v>
      </c>
      <c r="D74" s="18">
        <f t="shared" si="30"/>
        <v>3975750</v>
      </c>
      <c r="E74" s="18">
        <f t="shared" si="30"/>
        <v>9780099</v>
      </c>
      <c r="F74" s="18">
        <f t="shared" si="30"/>
        <v>37031879</v>
      </c>
      <c r="G74" s="18">
        <f t="shared" si="30"/>
        <v>75613723</v>
      </c>
      <c r="H74" s="18">
        <f t="shared" si="30"/>
        <v>61744216</v>
      </c>
      <c r="I74" s="18">
        <f t="shared" si="30"/>
        <v>81946351</v>
      </c>
      <c r="J74" s="18">
        <f t="shared" si="30"/>
        <v>7967029</v>
      </c>
      <c r="K74" s="18">
        <f t="shared" si="30"/>
        <v>24489664</v>
      </c>
      <c r="L74" s="18">
        <f t="shared" si="30"/>
        <v>29992721</v>
      </c>
      <c r="M74" s="18">
        <f t="shared" si="30"/>
        <v>23073558</v>
      </c>
      <c r="N74" s="18">
        <f t="shared" si="30"/>
        <v>13073576</v>
      </c>
      <c r="O74" s="18">
        <f t="shared" si="30"/>
        <v>45478933</v>
      </c>
      <c r="P74" s="18">
        <f t="shared" si="30"/>
        <v>33689886</v>
      </c>
      <c r="Q74" s="19">
        <f t="shared" si="30"/>
        <v>35394377.544815168</v>
      </c>
      <c r="R74" s="19">
        <f t="shared" si="30"/>
        <v>16926122.792776603</v>
      </c>
      <c r="S74" s="19">
        <f t="shared" si="30"/>
        <v>17278667.220596656</v>
      </c>
      <c r="T74" s="19">
        <f t="shared" si="30"/>
        <v>20042398.365230959</v>
      </c>
      <c r="U74" s="19">
        <f t="shared" si="30"/>
        <v>20127508.412624523</v>
      </c>
      <c r="V74" s="19">
        <f t="shared" si="30"/>
        <v>21578535.530829415</v>
      </c>
      <c r="W74" s="19">
        <f t="shared" si="30"/>
        <v>19009602.627101649</v>
      </c>
      <c r="X74" s="19">
        <f t="shared" si="30"/>
        <v>17247199.333723266</v>
      </c>
      <c r="Y74" s="19">
        <f t="shared" si="30"/>
        <v>16486863.510268986</v>
      </c>
      <c r="Z74" s="19">
        <f t="shared" si="30"/>
        <v>16047280.707421837</v>
      </c>
    </row>
    <row r="75" spans="1:26">
      <c r="A75" s="14" t="s">
        <v>50</v>
      </c>
      <c r="B75" s="18">
        <f t="shared" si="30"/>
        <v>3473253</v>
      </c>
      <c r="C75" s="18">
        <f t="shared" si="30"/>
        <v>3875787</v>
      </c>
      <c r="D75" s="18">
        <f t="shared" si="30"/>
        <v>5099150</v>
      </c>
      <c r="E75" s="18">
        <f t="shared" si="30"/>
        <v>28402750</v>
      </c>
      <c r="F75" s="18">
        <f t="shared" si="30"/>
        <v>20744375</v>
      </c>
      <c r="G75" s="18">
        <f t="shared" si="30"/>
        <v>71483498</v>
      </c>
      <c r="H75" s="18">
        <f t="shared" si="30"/>
        <v>96776904</v>
      </c>
      <c r="I75" s="18">
        <f t="shared" si="30"/>
        <v>78061682</v>
      </c>
      <c r="J75" s="18">
        <f t="shared" si="30"/>
        <v>19531525</v>
      </c>
      <c r="K75" s="18">
        <f t="shared" si="30"/>
        <v>13233270</v>
      </c>
      <c r="L75" s="18">
        <f t="shared" si="30"/>
        <v>24527514</v>
      </c>
      <c r="M75" s="18">
        <f t="shared" si="30"/>
        <v>16572249</v>
      </c>
      <c r="N75" s="18">
        <f t="shared" si="30"/>
        <v>22905023</v>
      </c>
      <c r="O75" s="18">
        <f t="shared" si="30"/>
        <v>66359954</v>
      </c>
      <c r="P75" s="18">
        <f t="shared" si="30"/>
        <v>36745725</v>
      </c>
      <c r="Q75" s="19">
        <f t="shared" si="30"/>
        <v>37892233.127237923</v>
      </c>
      <c r="R75" s="19">
        <f t="shared" si="30"/>
        <v>20268986.580528684</v>
      </c>
      <c r="S75" s="19">
        <f t="shared" si="30"/>
        <v>22012881.686598979</v>
      </c>
      <c r="T75" s="19">
        <f t="shared" si="30"/>
        <v>24691919.473951969</v>
      </c>
      <c r="U75" s="19">
        <f t="shared" si="30"/>
        <v>23110827.790054571</v>
      </c>
      <c r="V75" s="19">
        <f t="shared" si="30"/>
        <v>25157841.659240067</v>
      </c>
      <c r="W75" s="19">
        <f t="shared" si="30"/>
        <v>22831052.857821003</v>
      </c>
      <c r="X75" s="19">
        <f t="shared" si="30"/>
        <v>20724869.855177857</v>
      </c>
      <c r="Y75" s="19">
        <f t="shared" si="30"/>
        <v>19600908.49394701</v>
      </c>
      <c r="Z75" s="19">
        <f t="shared" si="30"/>
        <v>18931517.082487948</v>
      </c>
    </row>
    <row r="76" spans="1:26">
      <c r="A76" s="14" t="s">
        <v>51</v>
      </c>
      <c r="B76" s="18">
        <f t="shared" si="30"/>
        <v>1863617</v>
      </c>
      <c r="C76" s="18">
        <f t="shared" si="30"/>
        <v>6967494</v>
      </c>
      <c r="D76" s="18">
        <f t="shared" si="30"/>
        <v>6005520</v>
      </c>
      <c r="E76" s="18">
        <f t="shared" si="30"/>
        <v>30347575</v>
      </c>
      <c r="F76" s="18">
        <f t="shared" si="30"/>
        <v>32550374</v>
      </c>
      <c r="G76" s="18">
        <f t="shared" si="30"/>
        <v>37485870</v>
      </c>
      <c r="H76" s="18">
        <f t="shared" si="30"/>
        <v>135261055</v>
      </c>
      <c r="I76" s="18">
        <f t="shared" si="30"/>
        <v>41846019</v>
      </c>
      <c r="J76" s="18">
        <f t="shared" si="30"/>
        <v>17722046</v>
      </c>
      <c r="K76" s="18">
        <f t="shared" si="30"/>
        <v>22288564</v>
      </c>
      <c r="L76" s="18">
        <f t="shared" si="30"/>
        <v>21081377</v>
      </c>
      <c r="M76" s="18">
        <f t="shared" si="30"/>
        <v>17688484</v>
      </c>
      <c r="N76" s="18">
        <f t="shared" si="30"/>
        <v>28637120</v>
      </c>
      <c r="O76" s="18">
        <f t="shared" si="30"/>
        <v>63921774</v>
      </c>
      <c r="P76" s="18">
        <f t="shared" si="30"/>
        <v>39972140</v>
      </c>
      <c r="Q76" s="19">
        <f t="shared" si="30"/>
        <v>39602492.091570765</v>
      </c>
      <c r="R76" s="19">
        <f t="shared" si="30"/>
        <v>20956526.574966036</v>
      </c>
      <c r="S76" s="19">
        <f t="shared" si="30"/>
        <v>22693348.905727588</v>
      </c>
      <c r="T76" s="19">
        <f t="shared" si="30"/>
        <v>24778347.813391797</v>
      </c>
      <c r="U76" s="19">
        <f t="shared" si="30"/>
        <v>24153848.643003345</v>
      </c>
      <c r="V76" s="19">
        <f t="shared" si="30"/>
        <v>25984999.346812725</v>
      </c>
      <c r="W76" s="19">
        <f t="shared" si="30"/>
        <v>23489702.814458665</v>
      </c>
      <c r="X76" s="19">
        <f t="shared" si="30"/>
        <v>21304673.156844154</v>
      </c>
      <c r="Y76" s="19">
        <f t="shared" si="30"/>
        <v>20138395.241684727</v>
      </c>
      <c r="Z76" s="19">
        <f t="shared" si="30"/>
        <v>19551003.242414977</v>
      </c>
    </row>
    <row r="77" spans="1:26">
      <c r="A77" s="14" t="s">
        <v>52</v>
      </c>
      <c r="B77" s="18">
        <f t="shared" si="30"/>
        <v>5398629</v>
      </c>
      <c r="C77" s="18">
        <f t="shared" si="30"/>
        <v>6830065</v>
      </c>
      <c r="D77" s="18">
        <f t="shared" si="30"/>
        <v>3772539</v>
      </c>
      <c r="E77" s="18">
        <f t="shared" si="30"/>
        <v>32099594</v>
      </c>
      <c r="F77" s="18">
        <f t="shared" si="30"/>
        <v>32816509</v>
      </c>
      <c r="G77" s="18">
        <f t="shared" si="30"/>
        <v>73514389</v>
      </c>
      <c r="H77" s="18">
        <f t="shared" si="30"/>
        <v>100338631</v>
      </c>
      <c r="I77" s="18">
        <f t="shared" si="30"/>
        <v>55028566</v>
      </c>
      <c r="J77" s="18">
        <f t="shared" si="30"/>
        <v>30482177</v>
      </c>
      <c r="K77" s="18">
        <f t="shared" si="30"/>
        <v>20672201</v>
      </c>
      <c r="L77" s="18">
        <f t="shared" si="30"/>
        <v>22923796</v>
      </c>
      <c r="M77" s="18">
        <f t="shared" si="30"/>
        <v>26832257</v>
      </c>
      <c r="N77" s="18">
        <f t="shared" si="30"/>
        <v>25996486</v>
      </c>
      <c r="O77" s="18">
        <f t="shared" si="30"/>
        <v>85566073</v>
      </c>
      <c r="P77" s="18">
        <f t="shared" si="30"/>
        <v>39995739</v>
      </c>
      <c r="Q77" s="19">
        <f t="shared" si="30"/>
        <v>42340948.348817237</v>
      </c>
      <c r="R77" s="19">
        <f t="shared" si="30"/>
        <v>24790137.799166642</v>
      </c>
      <c r="S77" s="19">
        <f t="shared" si="30"/>
        <v>26138533.436113797</v>
      </c>
      <c r="T77" s="19">
        <f t="shared" si="30"/>
        <v>29481532.219470866</v>
      </c>
      <c r="U77" s="19">
        <f t="shared" si="30"/>
        <v>26560052.425067522</v>
      </c>
      <c r="V77" s="19">
        <f t="shared" si="30"/>
        <v>29351774.804279722</v>
      </c>
      <c r="W77" s="19">
        <f t="shared" si="30"/>
        <v>27007194.776713584</v>
      </c>
      <c r="X77" s="19">
        <f t="shared" si="30"/>
        <v>24372617.263408344</v>
      </c>
      <c r="Y77" s="19">
        <f t="shared" si="30"/>
        <v>23008570.902188547</v>
      </c>
      <c r="Z77" s="19">
        <f t="shared" si="30"/>
        <v>22138385.20143706</v>
      </c>
    </row>
    <row r="78" spans="1:26">
      <c r="A78" s="14" t="s">
        <v>53</v>
      </c>
      <c r="B78" s="18">
        <f t="shared" si="30"/>
        <v>2985941</v>
      </c>
      <c r="C78" s="18">
        <f t="shared" si="30"/>
        <v>4792044</v>
      </c>
      <c r="D78" s="18">
        <f t="shared" si="30"/>
        <v>1214528</v>
      </c>
      <c r="E78" s="18">
        <f t="shared" si="30"/>
        <v>46215403</v>
      </c>
      <c r="F78" s="18">
        <f t="shared" si="30"/>
        <v>48021992</v>
      </c>
      <c r="G78" s="18">
        <f t="shared" ref="C78:Z79" si="31">G62+G46</f>
        <v>44926257</v>
      </c>
      <c r="H78" s="18">
        <f t="shared" si="31"/>
        <v>128517774</v>
      </c>
      <c r="I78" s="18">
        <f t="shared" si="31"/>
        <v>36573401</v>
      </c>
      <c r="J78" s="18">
        <f t="shared" si="31"/>
        <v>19380565</v>
      </c>
      <c r="K78" s="18">
        <f t="shared" si="31"/>
        <v>22853460</v>
      </c>
      <c r="L78" s="18">
        <f t="shared" si="31"/>
        <v>32916784</v>
      </c>
      <c r="M78" s="18">
        <f t="shared" si="31"/>
        <v>32223920</v>
      </c>
      <c r="N78" s="18">
        <f t="shared" si="31"/>
        <v>50726138</v>
      </c>
      <c r="O78" s="18">
        <f t="shared" si="31"/>
        <v>63812258</v>
      </c>
      <c r="P78" s="18">
        <f t="shared" si="31"/>
        <v>34463595</v>
      </c>
      <c r="Q78" s="19">
        <f t="shared" si="31"/>
        <v>43634623.818427533</v>
      </c>
      <c r="R78" s="19">
        <f t="shared" si="31"/>
        <v>25253866.019488603</v>
      </c>
      <c r="S78" s="19">
        <f t="shared" si="31"/>
        <v>26043047.058696184</v>
      </c>
      <c r="T78" s="19">
        <f t="shared" si="31"/>
        <v>26029393.576836217</v>
      </c>
      <c r="U78" s="19">
        <f t="shared" si="31"/>
        <v>25365052.141389836</v>
      </c>
      <c r="V78" s="19">
        <f t="shared" si="31"/>
        <v>28764936.273515925</v>
      </c>
      <c r="W78" s="19">
        <f t="shared" si="31"/>
        <v>26043228.260081582</v>
      </c>
      <c r="X78" s="19">
        <f t="shared" si="31"/>
        <v>23265439.693491708</v>
      </c>
      <c r="Y78" s="19">
        <f t="shared" si="31"/>
        <v>21779671.934769507</v>
      </c>
      <c r="Z78" s="19">
        <f t="shared" si="31"/>
        <v>21274958.667880617</v>
      </c>
    </row>
    <row r="79" spans="1:26">
      <c r="A79" s="14" t="s">
        <v>54</v>
      </c>
      <c r="B79" s="18">
        <f t="shared" ref="B79" si="32">B63+B47</f>
        <v>2943750</v>
      </c>
      <c r="C79" s="18">
        <f t="shared" si="31"/>
        <v>15584528</v>
      </c>
      <c r="D79" s="18">
        <f t="shared" si="31"/>
        <v>1098374</v>
      </c>
      <c r="E79" s="18">
        <f t="shared" si="31"/>
        <v>68552697</v>
      </c>
      <c r="F79" s="18">
        <f t="shared" si="31"/>
        <v>37209070</v>
      </c>
      <c r="G79" s="18">
        <f t="shared" si="31"/>
        <v>63569881</v>
      </c>
      <c r="H79" s="18">
        <f t="shared" si="31"/>
        <v>189280779</v>
      </c>
      <c r="I79" s="18">
        <f t="shared" si="31"/>
        <v>46675272</v>
      </c>
      <c r="J79" s="18">
        <f t="shared" si="31"/>
        <v>44401409</v>
      </c>
      <c r="K79" s="18">
        <f t="shared" si="31"/>
        <v>36477657</v>
      </c>
      <c r="L79" s="18">
        <f t="shared" si="31"/>
        <v>36007098</v>
      </c>
      <c r="M79" s="18">
        <f t="shared" si="31"/>
        <v>76891453</v>
      </c>
      <c r="N79" s="18">
        <f t="shared" si="31"/>
        <v>64513358</v>
      </c>
      <c r="O79" s="18">
        <f t="shared" si="31"/>
        <v>103284278</v>
      </c>
      <c r="P79" s="18">
        <f t="shared" si="31"/>
        <v>47085352</v>
      </c>
      <c r="Q79" s="19">
        <f t="shared" si="31"/>
        <v>160265080.53770986</v>
      </c>
      <c r="R79" s="19">
        <f t="shared" si="31"/>
        <v>50050072.761507012</v>
      </c>
      <c r="S79" s="19">
        <f t="shared" si="31"/>
        <v>50057023.432753399</v>
      </c>
      <c r="T79" s="19">
        <f t="shared" si="31"/>
        <v>54474835.319711149</v>
      </c>
      <c r="U79" s="19">
        <f t="shared" si="31"/>
        <v>59066831.452786684</v>
      </c>
      <c r="V79" s="19">
        <f t="shared" si="31"/>
        <v>73504427.74741897</v>
      </c>
      <c r="W79" s="19">
        <f t="shared" si="31"/>
        <v>56888839.558248535</v>
      </c>
      <c r="X79" s="19">
        <f t="shared" si="31"/>
        <v>51720807.160279736</v>
      </c>
      <c r="Y79" s="19">
        <f t="shared" si="31"/>
        <v>49736479.718363315</v>
      </c>
      <c r="Z79" s="19">
        <f t="shared" si="31"/>
        <v>49427711.055645533</v>
      </c>
    </row>
    <row r="80" spans="1:26">
      <c r="A80" s="14" t="s">
        <v>29</v>
      </c>
      <c r="B80" s="18">
        <f>SUM(B68:B79)</f>
        <v>18731306</v>
      </c>
      <c r="C80" s="18">
        <f t="shared" ref="C80:Z80" si="33">SUM(C68:C79)</f>
        <v>66689563</v>
      </c>
      <c r="D80" s="18">
        <f t="shared" si="33"/>
        <v>60343362</v>
      </c>
      <c r="E80" s="18">
        <f t="shared" si="33"/>
        <v>279881138</v>
      </c>
      <c r="F80" s="18">
        <f t="shared" si="33"/>
        <v>272265521</v>
      </c>
      <c r="G80" s="18">
        <f t="shared" si="33"/>
        <v>503498034</v>
      </c>
      <c r="H80" s="18">
        <f t="shared" si="33"/>
        <v>1011253339</v>
      </c>
      <c r="I80" s="18">
        <f t="shared" si="33"/>
        <v>692872876</v>
      </c>
      <c r="J80" s="18">
        <f t="shared" si="33"/>
        <v>262712433</v>
      </c>
      <c r="K80" s="18">
        <f t="shared" si="33"/>
        <v>277112663</v>
      </c>
      <c r="L80" s="18">
        <f t="shared" si="33"/>
        <v>314241090</v>
      </c>
      <c r="M80" s="18">
        <f t="shared" si="33"/>
        <v>312676583</v>
      </c>
      <c r="N80" s="18">
        <f t="shared" si="33"/>
        <v>360487221</v>
      </c>
      <c r="O80" s="18">
        <f t="shared" si="33"/>
        <v>767020588</v>
      </c>
      <c r="P80" s="18">
        <f t="shared" si="33"/>
        <v>606426122</v>
      </c>
      <c r="Q80" s="19">
        <f t="shared" si="33"/>
        <v>510000617.83116162</v>
      </c>
      <c r="R80" s="19">
        <f t="shared" si="33"/>
        <v>285000307.50145561</v>
      </c>
      <c r="S80" s="19">
        <f t="shared" si="33"/>
        <v>300000293.91614491</v>
      </c>
      <c r="T80" s="19">
        <f t="shared" si="33"/>
        <v>330000326.72713894</v>
      </c>
      <c r="U80" s="19">
        <f t="shared" si="33"/>
        <v>330000338.87356669</v>
      </c>
      <c r="V80" s="19">
        <f t="shared" si="33"/>
        <v>345000364.80841267</v>
      </c>
      <c r="W80" s="19">
        <f t="shared" si="33"/>
        <v>315000323.38281047</v>
      </c>
      <c r="X80" s="19">
        <f t="shared" si="33"/>
        <v>285000289.60104591</v>
      </c>
      <c r="Y80" s="19">
        <f t="shared" si="33"/>
        <v>270000276.32575661</v>
      </c>
      <c r="Z80" s="19">
        <f t="shared" si="33"/>
        <v>262500270.40073183</v>
      </c>
    </row>
    <row r="82" spans="1:35" ht="15.75">
      <c r="A82" s="15" t="s">
        <v>59</v>
      </c>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9"/>
      <c r="AB82" s="16"/>
      <c r="AC82" s="16"/>
      <c r="AD82" s="16"/>
      <c r="AE82" s="16"/>
      <c r="AF82" s="16"/>
      <c r="AG82" s="16"/>
      <c r="AH82" s="16"/>
      <c r="AI82" s="16"/>
    </row>
    <row r="83" spans="1:35">
      <c r="B83" s="14">
        <v>2010</v>
      </c>
      <c r="C83" s="14">
        <v>2011</v>
      </c>
      <c r="D83" s="14">
        <v>2012</v>
      </c>
      <c r="E83" s="14">
        <v>2013</v>
      </c>
      <c r="F83" s="14">
        <v>2014</v>
      </c>
      <c r="G83" s="14">
        <v>2015</v>
      </c>
      <c r="H83" s="14">
        <v>2016</v>
      </c>
      <c r="I83" s="14">
        <v>2017</v>
      </c>
      <c r="J83" s="14">
        <v>2018</v>
      </c>
      <c r="K83" s="14">
        <v>2019</v>
      </c>
      <c r="L83" s="14">
        <v>2020</v>
      </c>
      <c r="M83" s="14">
        <v>2021</v>
      </c>
      <c r="N83" s="14">
        <v>2022</v>
      </c>
      <c r="O83" s="14">
        <v>2023</v>
      </c>
      <c r="P83" s="14">
        <v>2024</v>
      </c>
      <c r="Q83" s="14">
        <v>2025</v>
      </c>
      <c r="R83" s="14">
        <v>2026</v>
      </c>
      <c r="S83" s="14">
        <v>2027</v>
      </c>
      <c r="T83" s="14">
        <v>2028</v>
      </c>
      <c r="U83" s="14">
        <v>2029</v>
      </c>
      <c r="V83" s="14">
        <v>2030</v>
      </c>
      <c r="W83" s="14">
        <v>2031</v>
      </c>
      <c r="X83" s="14">
        <v>2032</v>
      </c>
      <c r="Y83" s="14">
        <v>2033</v>
      </c>
      <c r="Z83" s="14">
        <v>2034</v>
      </c>
      <c r="AA83" s="19"/>
      <c r="AD83" s="14" t="s">
        <v>37</v>
      </c>
      <c r="AE83" s="14" t="s">
        <v>38</v>
      </c>
      <c r="AF83" s="14" t="s">
        <v>39</v>
      </c>
      <c r="AG83" s="14" t="s">
        <v>40</v>
      </c>
      <c r="AH83" s="14" t="s">
        <v>41</v>
      </c>
      <c r="AI83" s="14" t="s">
        <v>42</v>
      </c>
    </row>
    <row r="84" spans="1:35">
      <c r="A84" s="14" t="s">
        <v>43</v>
      </c>
      <c r="B84" s="18">
        <f t="shared" ref="B84:Z94" si="34">B100+B116+B132</f>
        <v>0</v>
      </c>
      <c r="C84" s="18">
        <f t="shared" si="34"/>
        <v>7322485</v>
      </c>
      <c r="D84" s="18">
        <f t="shared" si="34"/>
        <v>7162605</v>
      </c>
      <c r="E84" s="18">
        <f t="shared" si="34"/>
        <v>14028941</v>
      </c>
      <c r="F84" s="18">
        <f t="shared" si="34"/>
        <v>74276896</v>
      </c>
      <c r="G84" s="18">
        <f t="shared" si="34"/>
        <v>81038274</v>
      </c>
      <c r="H84" s="18">
        <f t="shared" si="34"/>
        <v>64527358</v>
      </c>
      <c r="I84" s="18">
        <f t="shared" si="34"/>
        <v>83363303</v>
      </c>
      <c r="J84" s="18">
        <f t="shared" si="34"/>
        <v>77323583</v>
      </c>
      <c r="K84" s="18">
        <f t="shared" si="34"/>
        <v>108774664</v>
      </c>
      <c r="L84" s="18">
        <f t="shared" si="34"/>
        <v>121780360</v>
      </c>
      <c r="M84" s="18">
        <f t="shared" si="34"/>
        <v>146796288</v>
      </c>
      <c r="N84" s="18">
        <f t="shared" si="34"/>
        <v>212220664</v>
      </c>
      <c r="O84" s="18">
        <f t="shared" si="34"/>
        <v>327770056</v>
      </c>
      <c r="P84" s="18">
        <f t="shared" si="34"/>
        <v>427715744</v>
      </c>
      <c r="Q84" s="19">
        <f t="shared" si="34"/>
        <v>365917597</v>
      </c>
      <c r="R84" s="19">
        <f t="shared" si="34"/>
        <v>328408752.68552738</v>
      </c>
      <c r="S84" s="18">
        <f t="shared" si="34"/>
        <v>353958807.8675499</v>
      </c>
      <c r="T84" s="18">
        <f t="shared" si="34"/>
        <v>356439250.02435923</v>
      </c>
      <c r="U84" s="18">
        <f t="shared" si="34"/>
        <v>342275370.59991211</v>
      </c>
      <c r="V84" s="18">
        <f t="shared" si="34"/>
        <v>353717148.60729337</v>
      </c>
      <c r="W84" s="18">
        <f t="shared" si="34"/>
        <v>385757625.14010108</v>
      </c>
      <c r="X84" s="18">
        <f t="shared" si="34"/>
        <v>451336421.50505275</v>
      </c>
      <c r="Y84" s="18">
        <f t="shared" si="34"/>
        <v>447383060.62091249</v>
      </c>
      <c r="Z84" s="18">
        <f t="shared" si="34"/>
        <v>433272441.53782403</v>
      </c>
      <c r="AA84" s="19"/>
      <c r="AB84" s="20">
        <f>O84/N95-1</f>
        <v>-1.6134414296365085E-2</v>
      </c>
      <c r="AD84" s="18">
        <f>AVERAGE(J84:N84)</f>
        <v>133379111.8</v>
      </c>
      <c r="AE84" s="18">
        <f>O84-AD84</f>
        <v>194390944.19999999</v>
      </c>
      <c r="AF84" s="18">
        <f t="shared" ref="AF84:AF95" si="35">O84-N84</f>
        <v>115549392</v>
      </c>
      <c r="AG84" s="18">
        <f>O84/31</f>
        <v>10573227.612903226</v>
      </c>
      <c r="AH84" s="18">
        <f>AD84/31</f>
        <v>4302551.9935483867</v>
      </c>
      <c r="AI84" s="18">
        <f>AG84-AH84</f>
        <v>6270675.6193548394</v>
      </c>
    </row>
    <row r="85" spans="1:35">
      <c r="A85" s="14" t="s">
        <v>44</v>
      </c>
      <c r="B85" s="18">
        <f t="shared" si="34"/>
        <v>0</v>
      </c>
      <c r="C85" s="18">
        <f t="shared" si="34"/>
        <v>1552978</v>
      </c>
      <c r="D85" s="18">
        <f t="shared" si="34"/>
        <v>5280167</v>
      </c>
      <c r="E85" s="18">
        <f t="shared" si="34"/>
        <v>6230412</v>
      </c>
      <c r="F85" s="18">
        <f t="shared" si="34"/>
        <v>81930562</v>
      </c>
      <c r="G85" s="18">
        <f t="shared" si="34"/>
        <v>66408121</v>
      </c>
      <c r="H85" s="18">
        <f t="shared" si="34"/>
        <v>54034599</v>
      </c>
      <c r="I85" s="18">
        <f t="shared" si="34"/>
        <v>76989280</v>
      </c>
      <c r="J85" s="18">
        <f t="shared" si="34"/>
        <v>84831469</v>
      </c>
      <c r="K85" s="18">
        <f t="shared" si="34"/>
        <v>125052664</v>
      </c>
      <c r="L85" s="18">
        <f t="shared" si="34"/>
        <v>132544253</v>
      </c>
      <c r="M85" s="18">
        <f t="shared" si="34"/>
        <v>150267852</v>
      </c>
      <c r="N85" s="18">
        <f t="shared" si="34"/>
        <v>230368120</v>
      </c>
      <c r="O85" s="18">
        <f t="shared" si="34"/>
        <v>294742062</v>
      </c>
      <c r="P85" s="18">
        <f t="shared" si="34"/>
        <v>482142270</v>
      </c>
      <c r="Q85" s="19">
        <f t="shared" si="34"/>
        <v>312618489</v>
      </c>
      <c r="R85" s="19">
        <f t="shared" si="34"/>
        <v>361062573.76527864</v>
      </c>
      <c r="S85" s="18">
        <f t="shared" si="34"/>
        <v>391778122.80235487</v>
      </c>
      <c r="T85" s="18">
        <f t="shared" si="34"/>
        <v>395541499.90029114</v>
      </c>
      <c r="U85" s="18">
        <f t="shared" si="34"/>
        <v>387913708.61533964</v>
      </c>
      <c r="V85" s="18">
        <f t="shared" si="34"/>
        <v>393913633.2557863</v>
      </c>
      <c r="W85" s="18">
        <f t="shared" si="34"/>
        <v>429948205.3303352</v>
      </c>
      <c r="X85" s="18">
        <f t="shared" si="34"/>
        <v>502377637.60620046</v>
      </c>
      <c r="Y85" s="18">
        <f t="shared" si="34"/>
        <v>498192458.36856049</v>
      </c>
      <c r="Z85" s="18">
        <f t="shared" si="34"/>
        <v>482473097.78076535</v>
      </c>
      <c r="AA85" s="19"/>
      <c r="AB85" s="20">
        <f>O85/O84-1</f>
        <v>-0.10076574536143712</v>
      </c>
      <c r="AD85" s="18">
        <f t="shared" ref="AD85:AD96" si="36">AVERAGE(J85:N85)</f>
        <v>144612871.59999999</v>
      </c>
      <c r="AE85" s="18">
        <f t="shared" ref="AE85:AE96" si="37">O85-AD85</f>
        <v>150129190.40000001</v>
      </c>
      <c r="AF85" s="18">
        <f t="shared" si="35"/>
        <v>64373942</v>
      </c>
      <c r="AG85" s="18">
        <f>O85/28</f>
        <v>10526502.214285715</v>
      </c>
      <c r="AH85" s="18">
        <f>AD85/28</f>
        <v>5164745.4142857138</v>
      </c>
      <c r="AI85" s="18">
        <f t="shared" ref="AI85:AI95" si="38">AG85-AH85</f>
        <v>5361756.8000000007</v>
      </c>
    </row>
    <row r="86" spans="1:35">
      <c r="A86" s="14" t="s">
        <v>45</v>
      </c>
      <c r="B86" s="18">
        <f t="shared" si="34"/>
        <v>0</v>
      </c>
      <c r="C86" s="18">
        <f t="shared" si="34"/>
        <v>5226129</v>
      </c>
      <c r="D86" s="18">
        <f t="shared" si="34"/>
        <v>14255057</v>
      </c>
      <c r="E86" s="18">
        <f t="shared" si="34"/>
        <v>33622226</v>
      </c>
      <c r="F86" s="18">
        <f t="shared" si="34"/>
        <v>86113370</v>
      </c>
      <c r="G86" s="18">
        <f t="shared" si="34"/>
        <v>71638520</v>
      </c>
      <c r="H86" s="18">
        <f t="shared" si="34"/>
        <v>74568538</v>
      </c>
      <c r="I86" s="18">
        <f t="shared" si="34"/>
        <v>79449513</v>
      </c>
      <c r="J86" s="18">
        <f t="shared" si="34"/>
        <v>90973169</v>
      </c>
      <c r="K86" s="18">
        <f t="shared" si="34"/>
        <v>116770774</v>
      </c>
      <c r="L86" s="18">
        <f t="shared" si="34"/>
        <v>151160433</v>
      </c>
      <c r="M86" s="18">
        <f t="shared" si="34"/>
        <v>179846620</v>
      </c>
      <c r="N86" s="18">
        <f t="shared" si="34"/>
        <v>265348482</v>
      </c>
      <c r="O86" s="18">
        <f t="shared" si="34"/>
        <v>383558289</v>
      </c>
      <c r="P86" s="18">
        <f t="shared" si="34"/>
        <v>406673291</v>
      </c>
      <c r="Q86" s="19">
        <f t="shared" si="34"/>
        <v>420518366</v>
      </c>
      <c r="R86" s="19">
        <f t="shared" si="34"/>
        <v>382418430.01522875</v>
      </c>
      <c r="S86" s="18">
        <f t="shared" si="34"/>
        <v>413734548.29271752</v>
      </c>
      <c r="T86" s="18">
        <f t="shared" si="34"/>
        <v>416946037.39454234</v>
      </c>
      <c r="U86" s="18">
        <f t="shared" si="34"/>
        <v>399524674.0136289</v>
      </c>
      <c r="V86" s="18">
        <f t="shared" si="34"/>
        <v>413500632.40233779</v>
      </c>
      <c r="W86" s="18">
        <f t="shared" si="34"/>
        <v>449133029.53983212</v>
      </c>
      <c r="X86" s="18">
        <f t="shared" si="34"/>
        <v>525218431.84959066</v>
      </c>
      <c r="Y86" s="18">
        <f t="shared" si="34"/>
        <v>520748608.00666469</v>
      </c>
      <c r="Z86" s="18">
        <f t="shared" si="34"/>
        <v>504528222.24800897</v>
      </c>
      <c r="AA86" s="19"/>
      <c r="AB86" s="20">
        <f t="shared" ref="AB86:AB95" si="39">O86/O85-1</f>
        <v>0.30133543342042568</v>
      </c>
      <c r="AD86" s="18">
        <f t="shared" si="36"/>
        <v>160819895.59999999</v>
      </c>
      <c r="AE86" s="18">
        <f t="shared" si="37"/>
        <v>222738393.40000001</v>
      </c>
      <c r="AF86" s="18">
        <f t="shared" si="35"/>
        <v>118209807</v>
      </c>
      <c r="AG86" s="18">
        <f>O86/31</f>
        <v>12372848.032258065</v>
      </c>
      <c r="AH86" s="18">
        <f>AD86/31</f>
        <v>5187738.5677419351</v>
      </c>
      <c r="AI86" s="18">
        <f t="shared" si="38"/>
        <v>7185109.4645161303</v>
      </c>
    </row>
    <row r="87" spans="1:35">
      <c r="A87" s="14" t="s">
        <v>46</v>
      </c>
      <c r="B87" s="18">
        <f t="shared" si="34"/>
        <v>0</v>
      </c>
      <c r="C87" s="18">
        <f t="shared" si="34"/>
        <v>3285628</v>
      </c>
      <c r="D87" s="18">
        <f t="shared" si="34"/>
        <v>6928873</v>
      </c>
      <c r="E87" s="18">
        <f t="shared" si="34"/>
        <v>17379681</v>
      </c>
      <c r="F87" s="18">
        <f t="shared" si="34"/>
        <v>88596000</v>
      </c>
      <c r="G87" s="18">
        <f t="shared" si="34"/>
        <v>73386024</v>
      </c>
      <c r="H87" s="18">
        <f t="shared" si="34"/>
        <v>94602321</v>
      </c>
      <c r="I87" s="18">
        <f t="shared" si="34"/>
        <v>83798519</v>
      </c>
      <c r="J87" s="18">
        <f t="shared" si="34"/>
        <v>97757590</v>
      </c>
      <c r="K87" s="18">
        <f t="shared" si="34"/>
        <v>126258588</v>
      </c>
      <c r="L87" s="18">
        <f t="shared" si="34"/>
        <v>127187279</v>
      </c>
      <c r="M87" s="18">
        <f t="shared" si="34"/>
        <v>162681510</v>
      </c>
      <c r="N87" s="18">
        <f t="shared" si="34"/>
        <v>254612832</v>
      </c>
      <c r="O87" s="18">
        <f t="shared" si="34"/>
        <v>371471106</v>
      </c>
      <c r="P87" s="18">
        <f t="shared" si="34"/>
        <v>523141523</v>
      </c>
      <c r="Q87" s="19">
        <f t="shared" si="34"/>
        <v>374196170.76441824</v>
      </c>
      <c r="R87" s="19">
        <f t="shared" si="34"/>
        <v>372266626.66996109</v>
      </c>
      <c r="S87" s="18">
        <f t="shared" si="34"/>
        <v>402983167.39992422</v>
      </c>
      <c r="T87" s="18">
        <f t="shared" si="34"/>
        <v>404951873.95222771</v>
      </c>
      <c r="U87" s="18">
        <f t="shared" si="34"/>
        <v>394178325.46293169</v>
      </c>
      <c r="V87" s="18">
        <f t="shared" si="34"/>
        <v>408125313.30513501</v>
      </c>
      <c r="W87" s="18">
        <f t="shared" si="34"/>
        <v>440712022.34472001</v>
      </c>
      <c r="X87" s="18">
        <f t="shared" si="34"/>
        <v>514464559.90565914</v>
      </c>
      <c r="Y87" s="18">
        <f t="shared" si="34"/>
        <v>510106677.64020205</v>
      </c>
      <c r="Z87" s="18">
        <f t="shared" si="34"/>
        <v>494249990.7702989</v>
      </c>
      <c r="AA87" s="19"/>
      <c r="AB87" s="20">
        <f t="shared" si="39"/>
        <v>-3.1513288453531518E-2</v>
      </c>
      <c r="AD87" s="18">
        <f t="shared" si="36"/>
        <v>153699559.80000001</v>
      </c>
      <c r="AE87" s="18">
        <f t="shared" si="37"/>
        <v>217771546.19999999</v>
      </c>
      <c r="AF87" s="18">
        <f t="shared" si="35"/>
        <v>116858274</v>
      </c>
      <c r="AG87" s="18">
        <f>O87/30</f>
        <v>12382370.199999999</v>
      </c>
      <c r="AH87" s="18">
        <f>AD87/30</f>
        <v>5123318.66</v>
      </c>
      <c r="AI87" s="18">
        <f t="shared" si="38"/>
        <v>7259051.5399999991</v>
      </c>
    </row>
    <row r="88" spans="1:35">
      <c r="A88" s="14" t="s">
        <v>47</v>
      </c>
      <c r="B88" s="18">
        <f t="shared" si="34"/>
        <v>0</v>
      </c>
      <c r="C88" s="18">
        <f t="shared" si="34"/>
        <v>12299803</v>
      </c>
      <c r="D88" s="18">
        <f t="shared" si="34"/>
        <v>11973441</v>
      </c>
      <c r="E88" s="18">
        <f t="shared" si="34"/>
        <v>44537301</v>
      </c>
      <c r="F88" s="18">
        <f t="shared" si="34"/>
        <v>77216506</v>
      </c>
      <c r="G88" s="18">
        <f t="shared" si="34"/>
        <v>77715684</v>
      </c>
      <c r="H88" s="18">
        <f t="shared" si="34"/>
        <v>90019749</v>
      </c>
      <c r="I88" s="18">
        <f t="shared" si="34"/>
        <v>93882608</v>
      </c>
      <c r="J88" s="18">
        <f t="shared" si="34"/>
        <v>90477907</v>
      </c>
      <c r="K88" s="18">
        <f t="shared" si="34"/>
        <v>130911108</v>
      </c>
      <c r="L88" s="18">
        <f t="shared" si="34"/>
        <v>139770021</v>
      </c>
      <c r="M88" s="18">
        <f t="shared" si="34"/>
        <v>167152372</v>
      </c>
      <c r="N88" s="18">
        <f t="shared" si="34"/>
        <v>311348156</v>
      </c>
      <c r="O88" s="18">
        <f t="shared" si="34"/>
        <v>479099135</v>
      </c>
      <c r="P88" s="18">
        <f t="shared" si="34"/>
        <v>424940956</v>
      </c>
      <c r="Q88" s="19">
        <f t="shared" si="34"/>
        <v>372040765.65953672</v>
      </c>
      <c r="R88" s="19">
        <f t="shared" si="34"/>
        <v>413362278.88114136</v>
      </c>
      <c r="S88" s="18">
        <f t="shared" si="34"/>
        <v>450173701.38554978</v>
      </c>
      <c r="T88" s="18">
        <f t="shared" si="34"/>
        <v>452330676.66148132</v>
      </c>
      <c r="U88" s="18">
        <f t="shared" si="34"/>
        <v>439325936.05003643</v>
      </c>
      <c r="V88" s="18">
        <f t="shared" si="34"/>
        <v>455090405.21487486</v>
      </c>
      <c r="W88" s="18">
        <f t="shared" si="34"/>
        <v>491474564.18955731</v>
      </c>
      <c r="X88" s="18">
        <f t="shared" si="34"/>
        <v>574188102.10315037</v>
      </c>
      <c r="Y88" s="18">
        <f t="shared" si="34"/>
        <v>569348565.93724513</v>
      </c>
      <c r="Z88" s="18">
        <f t="shared" si="34"/>
        <v>551516070.85145092</v>
      </c>
      <c r="AA88" s="19"/>
      <c r="AB88" s="27">
        <f t="shared" si="39"/>
        <v>0.28973459109360711</v>
      </c>
      <c r="AD88" s="18">
        <f t="shared" si="36"/>
        <v>167931912.80000001</v>
      </c>
      <c r="AE88" s="18">
        <f t="shared" si="37"/>
        <v>311167222.19999999</v>
      </c>
      <c r="AF88" s="18">
        <f t="shared" si="35"/>
        <v>167750979</v>
      </c>
      <c r="AG88" s="18">
        <f>O88/31</f>
        <v>15454810.806451613</v>
      </c>
      <c r="AH88" s="18">
        <f>AD88/31</f>
        <v>5417158.477419355</v>
      </c>
      <c r="AI88" s="18">
        <f t="shared" si="38"/>
        <v>10037652.329032257</v>
      </c>
    </row>
    <row r="89" spans="1:35">
      <c r="A89" s="14" t="s">
        <v>48</v>
      </c>
      <c r="B89" s="18">
        <f t="shared" si="34"/>
        <v>0</v>
      </c>
      <c r="C89" s="18">
        <f t="shared" si="34"/>
        <v>7565225</v>
      </c>
      <c r="D89" s="18">
        <f t="shared" si="34"/>
        <v>10584061</v>
      </c>
      <c r="E89" s="18">
        <f t="shared" si="34"/>
        <v>60433829</v>
      </c>
      <c r="F89" s="18">
        <f t="shared" si="34"/>
        <v>81077262</v>
      </c>
      <c r="G89" s="18">
        <f t="shared" si="34"/>
        <v>71672857</v>
      </c>
      <c r="H89" s="18">
        <f t="shared" si="34"/>
        <v>88866073</v>
      </c>
      <c r="I89" s="18">
        <f t="shared" si="34"/>
        <v>77308623</v>
      </c>
      <c r="J89" s="18">
        <f t="shared" si="34"/>
        <v>70032037</v>
      </c>
      <c r="K89" s="18">
        <f t="shared" si="34"/>
        <v>128360916</v>
      </c>
      <c r="L89" s="18">
        <f t="shared" si="34"/>
        <v>127549242</v>
      </c>
      <c r="M89" s="18">
        <f t="shared" si="34"/>
        <v>193019526</v>
      </c>
      <c r="N89" s="18">
        <f t="shared" si="34"/>
        <v>257585689</v>
      </c>
      <c r="O89" s="18">
        <f t="shared" si="34"/>
        <v>413164319</v>
      </c>
      <c r="P89" s="18">
        <f t="shared" si="34"/>
        <v>572012258</v>
      </c>
      <c r="Q89" s="19">
        <f t="shared" si="34"/>
        <v>367011448.7447722</v>
      </c>
      <c r="R89" s="19">
        <f t="shared" si="34"/>
        <v>416527240.94468677</v>
      </c>
      <c r="S89" s="18">
        <f t="shared" si="34"/>
        <v>452337926.76837081</v>
      </c>
      <c r="T89" s="18">
        <f t="shared" si="34"/>
        <v>459244477.5271849</v>
      </c>
      <c r="U89" s="18">
        <f t="shared" si="34"/>
        <v>445468250.99309993</v>
      </c>
      <c r="V89" s="18">
        <f t="shared" si="34"/>
        <v>455054704.0231567</v>
      </c>
      <c r="W89" s="18">
        <f t="shared" si="34"/>
        <v>491824263.87063867</v>
      </c>
      <c r="X89" s="18">
        <f t="shared" si="34"/>
        <v>573710626.3123666</v>
      </c>
      <c r="Y89" s="18">
        <f t="shared" si="34"/>
        <v>569178357.42159975</v>
      </c>
      <c r="Z89" s="18">
        <f t="shared" si="34"/>
        <v>551383837.64662898</v>
      </c>
      <c r="AA89" s="19"/>
      <c r="AB89" s="21">
        <f t="shared" si="39"/>
        <v>-0.13762249017627637</v>
      </c>
      <c r="AC89" s="22"/>
      <c r="AD89" s="23">
        <f t="shared" si="36"/>
        <v>155309482</v>
      </c>
      <c r="AE89" s="23">
        <f t="shared" si="37"/>
        <v>257854837</v>
      </c>
      <c r="AF89" s="23">
        <f t="shared" si="35"/>
        <v>155578630</v>
      </c>
      <c r="AG89" s="23">
        <f>O89/30</f>
        <v>13772143.966666667</v>
      </c>
      <c r="AH89" s="23">
        <f>AD89/30</f>
        <v>5176982.7333333334</v>
      </c>
      <c r="AI89" s="23">
        <f t="shared" si="38"/>
        <v>8595161.2333333343</v>
      </c>
    </row>
    <row r="90" spans="1:35">
      <c r="A90" s="14" t="s">
        <v>49</v>
      </c>
      <c r="B90" s="18">
        <f t="shared" si="34"/>
        <v>531710</v>
      </c>
      <c r="C90" s="18">
        <f t="shared" si="34"/>
        <v>10813839</v>
      </c>
      <c r="D90" s="18">
        <f t="shared" si="34"/>
        <v>15767992</v>
      </c>
      <c r="E90" s="18">
        <f t="shared" si="34"/>
        <v>94376040</v>
      </c>
      <c r="F90" s="18">
        <f t="shared" si="34"/>
        <v>89317655</v>
      </c>
      <c r="G90" s="18">
        <f t="shared" si="34"/>
        <v>77861290</v>
      </c>
      <c r="H90" s="18">
        <f t="shared" si="34"/>
        <v>85414295</v>
      </c>
      <c r="I90" s="18">
        <f t="shared" si="34"/>
        <v>85764644</v>
      </c>
      <c r="J90" s="18">
        <f t="shared" si="34"/>
        <v>68387473</v>
      </c>
      <c r="K90" s="18">
        <f t="shared" si="34"/>
        <v>141399175</v>
      </c>
      <c r="L90" s="18">
        <f t="shared" si="34"/>
        <v>116592362</v>
      </c>
      <c r="M90" s="18">
        <f t="shared" si="34"/>
        <v>122963721</v>
      </c>
      <c r="N90" s="18">
        <f t="shared" si="34"/>
        <v>214836541</v>
      </c>
      <c r="O90" s="18">
        <f t="shared" si="34"/>
        <v>390432740</v>
      </c>
      <c r="P90" s="18">
        <f t="shared" si="34"/>
        <v>572139023</v>
      </c>
      <c r="Q90" s="19">
        <f t="shared" si="34"/>
        <v>351370866.44031632</v>
      </c>
      <c r="R90" s="19">
        <f t="shared" si="34"/>
        <v>383905224.98793501</v>
      </c>
      <c r="S90" s="18">
        <f t="shared" si="34"/>
        <v>423923281.12050855</v>
      </c>
      <c r="T90" s="18">
        <f t="shared" si="34"/>
        <v>432844129.75426805</v>
      </c>
      <c r="U90" s="18">
        <f t="shared" si="34"/>
        <v>416752110.3622967</v>
      </c>
      <c r="V90" s="18">
        <f t="shared" si="34"/>
        <v>432542504.66483927</v>
      </c>
      <c r="W90" s="18">
        <f t="shared" si="34"/>
        <v>467627828.79327995</v>
      </c>
      <c r="X90" s="18">
        <f t="shared" si="34"/>
        <v>549773463.07847941</v>
      </c>
      <c r="Y90" s="18">
        <f t="shared" si="34"/>
        <v>545706393.11939025</v>
      </c>
      <c r="Z90" s="18">
        <f t="shared" si="34"/>
        <v>528371493.82411933</v>
      </c>
      <c r="AA90" s="19"/>
      <c r="AB90" s="27">
        <f t="shared" si="39"/>
        <v>-5.5018252919366906E-2</v>
      </c>
      <c r="AD90" s="18">
        <f t="shared" si="36"/>
        <v>132835854.40000001</v>
      </c>
      <c r="AE90" s="19">
        <f t="shared" si="37"/>
        <v>257596885.59999999</v>
      </c>
      <c r="AF90" s="19">
        <f t="shared" si="35"/>
        <v>175596199</v>
      </c>
      <c r="AG90" s="19">
        <f>O90/31</f>
        <v>12594604.516129032</v>
      </c>
      <c r="AH90" s="18">
        <f>AD90/31</f>
        <v>4285027.5612903228</v>
      </c>
      <c r="AI90" s="19">
        <f t="shared" si="38"/>
        <v>8309576.954838709</v>
      </c>
    </row>
    <row r="91" spans="1:35">
      <c r="A91" s="14" t="s">
        <v>50</v>
      </c>
      <c r="B91" s="18">
        <f t="shared" si="34"/>
        <v>1226079</v>
      </c>
      <c r="C91" s="18">
        <f t="shared" si="34"/>
        <v>14108213</v>
      </c>
      <c r="D91" s="18">
        <f t="shared" si="34"/>
        <v>11025191</v>
      </c>
      <c r="E91" s="18">
        <f t="shared" si="34"/>
        <v>89753443</v>
      </c>
      <c r="F91" s="18">
        <f t="shared" si="34"/>
        <v>51820818</v>
      </c>
      <c r="G91" s="18">
        <f t="shared" si="34"/>
        <v>76598306</v>
      </c>
      <c r="H91" s="18">
        <f t="shared" si="34"/>
        <v>95177337</v>
      </c>
      <c r="I91" s="18">
        <f t="shared" si="34"/>
        <v>95438024</v>
      </c>
      <c r="J91" s="18">
        <f t="shared" si="34"/>
        <v>77894233</v>
      </c>
      <c r="K91" s="18">
        <f t="shared" si="34"/>
        <v>105837150</v>
      </c>
      <c r="L91" s="18">
        <f t="shared" si="34"/>
        <v>115860377</v>
      </c>
      <c r="M91" s="18">
        <f t="shared" si="34"/>
        <v>189859745</v>
      </c>
      <c r="N91" s="18">
        <f t="shared" si="34"/>
        <v>235960665</v>
      </c>
      <c r="O91" s="18">
        <f t="shared" si="34"/>
        <v>416945242</v>
      </c>
      <c r="P91" s="18">
        <f t="shared" si="34"/>
        <v>477078194</v>
      </c>
      <c r="Q91" s="19">
        <f t="shared" si="34"/>
        <v>358101618.69409519</v>
      </c>
      <c r="R91" s="19">
        <f t="shared" si="34"/>
        <v>391086736.540227</v>
      </c>
      <c r="S91" s="18">
        <f t="shared" si="34"/>
        <v>425528793.56313992</v>
      </c>
      <c r="T91" s="18">
        <f t="shared" si="34"/>
        <v>433661219.29389757</v>
      </c>
      <c r="U91" s="18">
        <f t="shared" si="34"/>
        <v>418654261.41549331</v>
      </c>
      <c r="V91" s="18">
        <f t="shared" si="34"/>
        <v>433944350.79055715</v>
      </c>
      <c r="W91" s="18">
        <f t="shared" si="34"/>
        <v>468920879.32880282</v>
      </c>
      <c r="X91" s="18">
        <f t="shared" si="34"/>
        <v>552076452.96815789</v>
      </c>
      <c r="Y91" s="18">
        <f t="shared" si="34"/>
        <v>548489961.12517035</v>
      </c>
      <c r="Z91" s="18">
        <f t="shared" si="34"/>
        <v>531830892.51540524</v>
      </c>
      <c r="AA91" s="19"/>
      <c r="AB91" s="28">
        <f t="shared" si="39"/>
        <v>6.7905427193426515E-2</v>
      </c>
      <c r="AD91" s="18">
        <f t="shared" si="36"/>
        <v>145082434</v>
      </c>
      <c r="AE91" s="19">
        <f t="shared" si="37"/>
        <v>271862808</v>
      </c>
      <c r="AF91" s="19">
        <f t="shared" si="35"/>
        <v>180984577</v>
      </c>
      <c r="AG91" s="19">
        <f>O91/31</f>
        <v>13449846.516129032</v>
      </c>
      <c r="AH91" s="18">
        <f>AD91/31</f>
        <v>4680078.5161290327</v>
      </c>
      <c r="AI91" s="19">
        <f t="shared" si="38"/>
        <v>8769768</v>
      </c>
    </row>
    <row r="92" spans="1:35">
      <c r="A92" s="14" t="s">
        <v>51</v>
      </c>
      <c r="B92" s="18">
        <f t="shared" si="34"/>
        <v>1605551</v>
      </c>
      <c r="C92" s="18">
        <f t="shared" si="34"/>
        <v>9705170</v>
      </c>
      <c r="D92" s="18">
        <f t="shared" si="34"/>
        <v>21280654</v>
      </c>
      <c r="E92" s="18">
        <f t="shared" si="34"/>
        <v>92218867</v>
      </c>
      <c r="F92" s="18">
        <f t="shared" si="34"/>
        <v>10073593</v>
      </c>
      <c r="G92" s="18">
        <f t="shared" si="34"/>
        <v>70782167</v>
      </c>
      <c r="H92" s="18">
        <f t="shared" si="34"/>
        <v>83424853</v>
      </c>
      <c r="I92" s="18">
        <f t="shared" si="34"/>
        <v>87460718</v>
      </c>
      <c r="J92" s="18">
        <f t="shared" si="34"/>
        <v>92898319</v>
      </c>
      <c r="K92" s="18">
        <f t="shared" si="34"/>
        <v>116603902</v>
      </c>
      <c r="L92" s="18">
        <f t="shared" si="34"/>
        <v>175495903</v>
      </c>
      <c r="M92" s="18">
        <f t="shared" si="34"/>
        <v>179424033</v>
      </c>
      <c r="N92" s="18">
        <f t="shared" si="34"/>
        <v>288515969</v>
      </c>
      <c r="O92" s="18">
        <f t="shared" si="34"/>
        <v>407134813</v>
      </c>
      <c r="P92" s="18">
        <f t="shared" si="34"/>
        <v>507787412</v>
      </c>
      <c r="Q92" s="19">
        <f t="shared" si="34"/>
        <v>369936846.08334118</v>
      </c>
      <c r="R92" s="19">
        <f t="shared" si="34"/>
        <v>406337262.21311069</v>
      </c>
      <c r="S92" s="18">
        <f t="shared" si="34"/>
        <v>438905484.57248366</v>
      </c>
      <c r="T92" s="18">
        <f t="shared" si="34"/>
        <v>440925743.45752919</v>
      </c>
      <c r="U92" s="18">
        <f t="shared" si="34"/>
        <v>428993378.07030016</v>
      </c>
      <c r="V92" s="18">
        <f t="shared" si="34"/>
        <v>446340082.3592093</v>
      </c>
      <c r="W92" s="18">
        <f t="shared" si="34"/>
        <v>481684932.75203276</v>
      </c>
      <c r="X92" s="18">
        <f t="shared" si="34"/>
        <v>565314560.21059823</v>
      </c>
      <c r="Y92" s="18">
        <f t="shared" si="34"/>
        <v>561137302.45345998</v>
      </c>
      <c r="Z92" s="18">
        <f t="shared" si="34"/>
        <v>544370889.70612514</v>
      </c>
      <c r="AA92" s="19"/>
      <c r="AB92" s="28">
        <f t="shared" si="39"/>
        <v>-2.3529298362877094E-2</v>
      </c>
      <c r="AD92" s="18">
        <f t="shared" si="36"/>
        <v>170587625.19999999</v>
      </c>
      <c r="AE92" s="19">
        <f t="shared" si="37"/>
        <v>236547187.80000001</v>
      </c>
      <c r="AF92" s="19">
        <f t="shared" si="35"/>
        <v>118618844</v>
      </c>
      <c r="AG92" s="19">
        <f>O92/30</f>
        <v>13571160.433333334</v>
      </c>
      <c r="AH92" s="18">
        <f>AD92/30</f>
        <v>5686254.1733333329</v>
      </c>
      <c r="AI92" s="19">
        <f t="shared" si="38"/>
        <v>7884906.2600000007</v>
      </c>
    </row>
    <row r="93" spans="1:35">
      <c r="A93" s="14" t="s">
        <v>52</v>
      </c>
      <c r="B93" s="18">
        <f t="shared" si="34"/>
        <v>2354841</v>
      </c>
      <c r="C93" s="18">
        <f t="shared" si="34"/>
        <v>11444811</v>
      </c>
      <c r="D93" s="18">
        <f t="shared" si="34"/>
        <v>28074391</v>
      </c>
      <c r="E93" s="18">
        <f t="shared" si="34"/>
        <v>91876438</v>
      </c>
      <c r="F93" s="18">
        <f t="shared" si="34"/>
        <v>26369468</v>
      </c>
      <c r="G93" s="18">
        <f t="shared" si="34"/>
        <v>73032438</v>
      </c>
      <c r="H93" s="18">
        <f t="shared" si="34"/>
        <v>84442195</v>
      </c>
      <c r="I93" s="18">
        <f t="shared" si="34"/>
        <v>98025335</v>
      </c>
      <c r="J93" s="18">
        <f t="shared" si="34"/>
        <v>66309137</v>
      </c>
      <c r="K93" s="18">
        <f t="shared" si="34"/>
        <v>157033797</v>
      </c>
      <c r="L93" s="18">
        <f t="shared" si="34"/>
        <v>107904028</v>
      </c>
      <c r="M93" s="18">
        <f t="shared" si="34"/>
        <v>221059166</v>
      </c>
      <c r="N93" s="18">
        <f t="shared" si="34"/>
        <v>273319412</v>
      </c>
      <c r="O93" s="18">
        <f t="shared" si="34"/>
        <v>439785106</v>
      </c>
      <c r="P93" s="18">
        <f t="shared" si="34"/>
        <v>516307217</v>
      </c>
      <c r="Q93" s="19">
        <f t="shared" si="34"/>
        <v>400053453.87690794</v>
      </c>
      <c r="R93" s="19">
        <f t="shared" si="34"/>
        <v>447554521.6279906</v>
      </c>
      <c r="S93" s="18">
        <f t="shared" si="34"/>
        <v>485245305.94077301</v>
      </c>
      <c r="T93" s="18">
        <f t="shared" si="34"/>
        <v>490644229.32374609</v>
      </c>
      <c r="U93" s="18">
        <f t="shared" si="34"/>
        <v>473682544.30212051</v>
      </c>
      <c r="V93" s="18">
        <f t="shared" si="34"/>
        <v>494325042.65274799</v>
      </c>
      <c r="W93" s="18">
        <f t="shared" si="34"/>
        <v>534184929.99333531</v>
      </c>
      <c r="X93" s="18">
        <f t="shared" si="34"/>
        <v>625863562.95373082</v>
      </c>
      <c r="Y93" s="18">
        <f t="shared" si="34"/>
        <v>620878843.65326118</v>
      </c>
      <c r="Z93" s="18">
        <f t="shared" si="34"/>
        <v>601482694.54040933</v>
      </c>
      <c r="AA93" s="19"/>
      <c r="AB93" s="28">
        <f t="shared" si="39"/>
        <v>8.0195286567154911E-2</v>
      </c>
      <c r="AD93" s="18">
        <f t="shared" si="36"/>
        <v>165125108</v>
      </c>
      <c r="AE93" s="19">
        <f t="shared" si="37"/>
        <v>274659998</v>
      </c>
      <c r="AF93" s="19">
        <f t="shared" si="35"/>
        <v>166465694</v>
      </c>
      <c r="AG93" s="19">
        <f>O93/31</f>
        <v>14186616.322580645</v>
      </c>
      <c r="AH93" s="18">
        <f>AD93/31</f>
        <v>5326616.3870967738</v>
      </c>
      <c r="AI93" s="19">
        <f t="shared" si="38"/>
        <v>8859999.935483871</v>
      </c>
    </row>
    <row r="94" spans="1:35">
      <c r="A94" s="14" t="s">
        <v>53</v>
      </c>
      <c r="B94" s="18">
        <f t="shared" si="34"/>
        <v>3653218</v>
      </c>
      <c r="C94" s="18">
        <f t="shared" si="34"/>
        <v>8550924</v>
      </c>
      <c r="D94" s="18">
        <f t="shared" si="34"/>
        <v>26954288</v>
      </c>
      <c r="E94" s="18">
        <f t="shared" si="34"/>
        <v>86263615</v>
      </c>
      <c r="F94" s="18">
        <f t="shared" si="34"/>
        <v>76561002</v>
      </c>
      <c r="G94" s="18">
        <f t="shared" ref="C94:Z95" si="40">G110+G126+G142</f>
        <v>67119604</v>
      </c>
      <c r="H94" s="18">
        <f t="shared" si="40"/>
        <v>95462177</v>
      </c>
      <c r="I94" s="18">
        <f t="shared" si="40"/>
        <v>66613412</v>
      </c>
      <c r="J94" s="18">
        <f t="shared" si="40"/>
        <v>87884091</v>
      </c>
      <c r="K94" s="18">
        <f t="shared" si="40"/>
        <v>135606565</v>
      </c>
      <c r="L94" s="18">
        <f t="shared" si="40"/>
        <v>158973278</v>
      </c>
      <c r="M94" s="18">
        <f t="shared" si="40"/>
        <v>238028045</v>
      </c>
      <c r="N94" s="18">
        <f t="shared" si="40"/>
        <v>349750901</v>
      </c>
      <c r="O94" s="18">
        <f t="shared" si="40"/>
        <v>421735738</v>
      </c>
      <c r="P94" s="18">
        <f t="shared" si="40"/>
        <v>504458471</v>
      </c>
      <c r="Q94" s="19">
        <f t="shared" si="40"/>
        <v>426428207.19807178</v>
      </c>
      <c r="R94" s="19">
        <f t="shared" si="40"/>
        <v>523417173.52565885</v>
      </c>
      <c r="S94" s="18">
        <f t="shared" si="40"/>
        <v>572072428.26677549</v>
      </c>
      <c r="T94" s="18">
        <f t="shared" si="40"/>
        <v>579710745.78750014</v>
      </c>
      <c r="U94" s="18">
        <f t="shared" si="40"/>
        <v>563156293.45717812</v>
      </c>
      <c r="V94" s="18">
        <f t="shared" si="40"/>
        <v>589669915.16935861</v>
      </c>
      <c r="W94" s="18">
        <f t="shared" si="40"/>
        <v>637735562.23593915</v>
      </c>
      <c r="X94" s="18">
        <f t="shared" si="40"/>
        <v>750514156.85222924</v>
      </c>
      <c r="Y94" s="18">
        <f t="shared" si="40"/>
        <v>745032999.32028151</v>
      </c>
      <c r="Z94" s="18">
        <f t="shared" si="40"/>
        <v>721906040.81646311</v>
      </c>
      <c r="AA94" s="19"/>
      <c r="AB94" s="28">
        <f t="shared" si="39"/>
        <v>-4.1041335310705085E-2</v>
      </c>
      <c r="AD94" s="18">
        <f t="shared" si="36"/>
        <v>194048576</v>
      </c>
      <c r="AE94" s="19">
        <f t="shared" si="37"/>
        <v>227687162</v>
      </c>
      <c r="AF94" s="19">
        <f t="shared" si="35"/>
        <v>71984837</v>
      </c>
      <c r="AG94" s="19">
        <f>O94/30</f>
        <v>14057857.933333334</v>
      </c>
      <c r="AH94" s="18">
        <f>AD94/30</f>
        <v>6468285.8666666662</v>
      </c>
      <c r="AI94" s="19">
        <f t="shared" si="38"/>
        <v>7589572.0666666673</v>
      </c>
    </row>
    <row r="95" spans="1:35">
      <c r="A95" s="14" t="s">
        <v>54</v>
      </c>
      <c r="B95" s="18">
        <f t="shared" ref="B95" si="41">B111+B127+B143</f>
        <v>5007247</v>
      </c>
      <c r="C95" s="18">
        <f t="shared" si="40"/>
        <v>10859400</v>
      </c>
      <c r="D95" s="18">
        <f t="shared" si="40"/>
        <v>13913406</v>
      </c>
      <c r="E95" s="18">
        <f t="shared" si="40"/>
        <v>74651725</v>
      </c>
      <c r="F95" s="18">
        <f t="shared" si="40"/>
        <v>85277808</v>
      </c>
      <c r="G95" s="18">
        <f t="shared" si="40"/>
        <v>64662745</v>
      </c>
      <c r="H95" s="18">
        <f t="shared" si="40"/>
        <v>94455719</v>
      </c>
      <c r="I95" s="18">
        <f t="shared" si="40"/>
        <v>96537000</v>
      </c>
      <c r="J95" s="18">
        <f t="shared" si="40"/>
        <v>141294371</v>
      </c>
      <c r="K95" s="18">
        <f t="shared" si="40"/>
        <v>158421204</v>
      </c>
      <c r="L95" s="18">
        <f t="shared" si="40"/>
        <v>172124507</v>
      </c>
      <c r="M95" s="18">
        <f t="shared" si="40"/>
        <v>284952532</v>
      </c>
      <c r="N95" s="18">
        <f t="shared" si="40"/>
        <v>333145158</v>
      </c>
      <c r="O95" s="18">
        <f t="shared" si="40"/>
        <v>543190181</v>
      </c>
      <c r="P95" s="18">
        <f t="shared" si="40"/>
        <v>591785768</v>
      </c>
      <c r="Q95" s="19">
        <f t="shared" si="40"/>
        <v>587267246.72504711</v>
      </c>
      <c r="R95" s="19">
        <f t="shared" si="40"/>
        <v>610405371.99046123</v>
      </c>
      <c r="S95" s="18">
        <f t="shared" si="40"/>
        <v>661510951.66207027</v>
      </c>
      <c r="T95" s="18">
        <f t="shared" si="40"/>
        <v>670094505.49161005</v>
      </c>
      <c r="U95" s="18">
        <f t="shared" si="40"/>
        <v>656744363.68990958</v>
      </c>
      <c r="V95" s="18">
        <f t="shared" si="40"/>
        <v>690361925.6703043</v>
      </c>
      <c r="W95" s="18">
        <f t="shared" si="40"/>
        <v>736990199.9080584</v>
      </c>
      <c r="X95" s="18">
        <f t="shared" si="40"/>
        <v>864231545.92651701</v>
      </c>
      <c r="Y95" s="18">
        <f t="shared" si="40"/>
        <v>858191411.54283345</v>
      </c>
      <c r="Z95" s="18">
        <f t="shared" si="40"/>
        <v>831984569.08900523</v>
      </c>
      <c r="AA95" s="19"/>
      <c r="AB95" s="28">
        <f t="shared" si="39"/>
        <v>0.28798707829688364</v>
      </c>
      <c r="AD95" s="18">
        <f t="shared" si="36"/>
        <v>217987554.40000001</v>
      </c>
      <c r="AE95" s="19">
        <f t="shared" si="37"/>
        <v>325202626.60000002</v>
      </c>
      <c r="AF95" s="19">
        <f t="shared" si="35"/>
        <v>210045023</v>
      </c>
      <c r="AG95" s="19">
        <f>O95/31</f>
        <v>17522263.903225806</v>
      </c>
      <c r="AH95" s="18">
        <f>AD95/31</f>
        <v>7031856.5935483873</v>
      </c>
      <c r="AI95" s="19">
        <f t="shared" si="38"/>
        <v>10490407.309677418</v>
      </c>
    </row>
    <row r="96" spans="1:35">
      <c r="A96" s="14" t="s">
        <v>29</v>
      </c>
      <c r="B96" s="18">
        <f>SUM(B84:B95)</f>
        <v>14378646</v>
      </c>
      <c r="C96" s="18">
        <f t="shared" ref="C96:L96" si="42">SUM(C84:C95)</f>
        <v>102734605</v>
      </c>
      <c r="D96" s="18">
        <f t="shared" si="42"/>
        <v>173200126</v>
      </c>
      <c r="E96" s="18">
        <f t="shared" si="42"/>
        <v>705372518</v>
      </c>
      <c r="F96" s="18">
        <f t="shared" si="42"/>
        <v>828630940</v>
      </c>
      <c r="G96" s="18">
        <f t="shared" si="42"/>
        <v>871916030</v>
      </c>
      <c r="H96" s="18">
        <f t="shared" si="42"/>
        <v>1004995214</v>
      </c>
      <c r="I96" s="18">
        <f t="shared" si="42"/>
        <v>1024630979</v>
      </c>
      <c r="J96" s="18">
        <f t="shared" si="42"/>
        <v>1046063379</v>
      </c>
      <c r="K96" s="18">
        <f t="shared" si="42"/>
        <v>1551030507</v>
      </c>
      <c r="L96" s="18">
        <f t="shared" si="42"/>
        <v>1646942043</v>
      </c>
      <c r="M96" s="18">
        <f>SUM(M84:M95)</f>
        <v>2236051410</v>
      </c>
      <c r="N96" s="18">
        <f>SUM(N84:N95)</f>
        <v>3227012589</v>
      </c>
      <c r="O96" s="18">
        <f>SUM(O84:O95)</f>
        <v>4889028787</v>
      </c>
      <c r="P96" s="18">
        <f>SUM(P84:P95)</f>
        <v>6006182127</v>
      </c>
      <c r="Q96" s="19">
        <f>SUM(Q84:Q95)</f>
        <v>4705461076.1865063</v>
      </c>
      <c r="R96" s="19">
        <f t="shared" ref="R96:Z96" si="43">SUM(R84:R95)</f>
        <v>5036752193.8472071</v>
      </c>
      <c r="S96" s="19">
        <f t="shared" si="43"/>
        <v>5472152519.6422176</v>
      </c>
      <c r="T96" s="19">
        <f t="shared" si="43"/>
        <v>5533334388.5686378</v>
      </c>
      <c r="U96" s="19">
        <f t="shared" si="43"/>
        <v>5366669217.0322475</v>
      </c>
      <c r="V96" s="19">
        <f t="shared" si="43"/>
        <v>5566585658.1156006</v>
      </c>
      <c r="W96" s="19">
        <f t="shared" si="43"/>
        <v>6015994043.4266329</v>
      </c>
      <c r="X96" s="19">
        <f t="shared" si="43"/>
        <v>7049069521.2717323</v>
      </c>
      <c r="Y96" s="19">
        <f t="shared" si="43"/>
        <v>6994394639.2095814</v>
      </c>
      <c r="Z96" s="19">
        <f t="shared" si="43"/>
        <v>6777370241.3265047</v>
      </c>
      <c r="AA96" s="19"/>
      <c r="AD96" s="18">
        <f t="shared" si="36"/>
        <v>1941419985.5999999</v>
      </c>
      <c r="AE96" s="19">
        <f t="shared" si="37"/>
        <v>2947608801.4000001</v>
      </c>
    </row>
    <row r="97" spans="1:37">
      <c r="M97" s="25">
        <f>M89/L89-1</f>
        <v>0.51329418327707499</v>
      </c>
      <c r="N97" s="25">
        <f>N89/M89-1</f>
        <v>0.33450586237580948</v>
      </c>
      <c r="O97" s="25">
        <f>O89/N89-1</f>
        <v>0.60398786362700463</v>
      </c>
      <c r="P97" s="25">
        <f>P89/O89-1</f>
        <v>0.38446674045926033</v>
      </c>
      <c r="Q97" s="25">
        <f>Q89/P89-1</f>
        <v>-0.35838534295051383</v>
      </c>
      <c r="AA97" s="18"/>
    </row>
    <row r="98" spans="1:37" ht="15.75">
      <c r="A98" s="15" t="s">
        <v>60</v>
      </c>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8"/>
      <c r="AB98" s="16"/>
      <c r="AC98" s="16"/>
      <c r="AD98" s="16"/>
      <c r="AE98" s="16"/>
      <c r="AF98" s="16"/>
      <c r="AG98" s="16"/>
      <c r="AH98" s="16"/>
      <c r="AI98" s="16"/>
      <c r="AK98" s="29"/>
    </row>
    <row r="99" spans="1:37">
      <c r="B99" s="14">
        <f t="shared" ref="B99:L99" si="44">B19</f>
        <v>2010</v>
      </c>
      <c r="C99" s="14">
        <f t="shared" si="44"/>
        <v>2011</v>
      </c>
      <c r="D99" s="14">
        <f t="shared" si="44"/>
        <v>2012</v>
      </c>
      <c r="E99" s="14">
        <f t="shared" si="44"/>
        <v>2013</v>
      </c>
      <c r="F99" s="14">
        <f t="shared" si="44"/>
        <v>2014</v>
      </c>
      <c r="G99" s="14">
        <f t="shared" si="44"/>
        <v>2015</v>
      </c>
      <c r="H99" s="14">
        <f t="shared" si="44"/>
        <v>2016</v>
      </c>
      <c r="I99" s="14">
        <f t="shared" si="44"/>
        <v>2017</v>
      </c>
      <c r="J99" s="14">
        <f t="shared" si="44"/>
        <v>2018</v>
      </c>
      <c r="K99" s="14">
        <f t="shared" si="44"/>
        <v>2019</v>
      </c>
      <c r="L99" s="14">
        <f t="shared" si="44"/>
        <v>2020</v>
      </c>
      <c r="M99" s="14">
        <f>M19</f>
        <v>2021</v>
      </c>
      <c r="N99" s="14">
        <f>N19</f>
        <v>2022</v>
      </c>
      <c r="O99" s="14">
        <f>O19</f>
        <v>2023</v>
      </c>
      <c r="P99" s="14">
        <f>P19</f>
        <v>2024</v>
      </c>
      <c r="Q99" s="14">
        <f>Q19</f>
        <v>2025</v>
      </c>
      <c r="R99" s="14">
        <f t="shared" ref="R99:Z99" si="45">R19</f>
        <v>2026</v>
      </c>
      <c r="S99" s="14">
        <f t="shared" si="45"/>
        <v>2027</v>
      </c>
      <c r="T99" s="14">
        <f t="shared" si="45"/>
        <v>2028</v>
      </c>
      <c r="U99" s="14">
        <f t="shared" si="45"/>
        <v>2029</v>
      </c>
      <c r="V99" s="14">
        <f t="shared" si="45"/>
        <v>2030</v>
      </c>
      <c r="W99" s="14">
        <f t="shared" si="45"/>
        <v>2031</v>
      </c>
      <c r="X99" s="14">
        <f t="shared" si="45"/>
        <v>2032</v>
      </c>
      <c r="Y99" s="14">
        <f t="shared" si="45"/>
        <v>2033</v>
      </c>
      <c r="Z99" s="14">
        <f t="shared" si="45"/>
        <v>2034</v>
      </c>
      <c r="AA99" s="18"/>
      <c r="AD99" s="14" t="s">
        <v>37</v>
      </c>
      <c r="AE99" s="14" t="s">
        <v>38</v>
      </c>
      <c r="AF99" s="14" t="s">
        <v>39</v>
      </c>
      <c r="AG99" s="14" t="s">
        <v>40</v>
      </c>
      <c r="AH99" s="14" t="s">
        <v>41</v>
      </c>
      <c r="AI99" s="14" t="s">
        <v>42</v>
      </c>
      <c r="AJ99" s="14" t="s">
        <v>61</v>
      </c>
      <c r="AK99" s="14" t="s">
        <v>62</v>
      </c>
    </row>
    <row r="100" spans="1:37">
      <c r="A100" s="14" t="s">
        <v>43</v>
      </c>
      <c r="B100" s="18">
        <f>'D4 RIN Forecast'!B131+'D5 RIN Forecast'!B118+'D6 RIN Forecast'!B209</f>
        <v>0</v>
      </c>
      <c r="C100" s="18">
        <f>'D4 RIN Forecast'!C131+'D5 RIN Forecast'!C118+'D6 RIN Forecast'!C209</f>
        <v>7322485</v>
      </c>
      <c r="D100" s="18">
        <f>'D4 RIN Forecast'!D131+'D5 RIN Forecast'!D118+'D6 RIN Forecast'!D209</f>
        <v>7162605</v>
      </c>
      <c r="E100" s="18">
        <f>'D4 RIN Forecast'!E131+'D5 RIN Forecast'!E118+'D6 RIN Forecast'!E209</f>
        <v>2112425</v>
      </c>
      <c r="F100" s="18">
        <f>'D4 RIN Forecast'!F131+'D5 RIN Forecast'!F118+'D6 RIN Forecast'!F209</f>
        <v>17495755</v>
      </c>
      <c r="G100" s="18">
        <f>'D4 RIN Forecast'!G131+'D5 RIN Forecast'!G118+'D6 RIN Forecast'!G209</f>
        <v>29726609</v>
      </c>
      <c r="H100" s="18">
        <f>'D4 RIN Forecast'!H131+'D5 RIN Forecast'!H118+'D6 RIN Forecast'!H209</f>
        <v>19988843</v>
      </c>
      <c r="I100" s="18">
        <f>'D4 RIN Forecast'!I131+'D5 RIN Forecast'!I118+'D6 RIN Forecast'!I209</f>
        <v>31552922</v>
      </c>
      <c r="J100" s="18">
        <f>'D4 RIN Forecast'!J131+'D5 RIN Forecast'!J118+'D6 RIN Forecast'!J209</f>
        <v>23257124</v>
      </c>
      <c r="K100" s="18">
        <f>'D4 RIN Forecast'!K131+'D5 RIN Forecast'!K118+'D6 RIN Forecast'!K209</f>
        <v>62027975</v>
      </c>
      <c r="L100" s="18">
        <f>'D4 RIN Forecast'!L131+'D5 RIN Forecast'!L118+'D6 RIN Forecast'!L209</f>
        <v>71157790</v>
      </c>
      <c r="M100" s="18">
        <f>'D4 RIN Forecast'!M131+'D5 RIN Forecast'!M118+'D6 RIN Forecast'!M209</f>
        <v>85636913</v>
      </c>
      <c r="N100" s="18">
        <f>'D4 RIN Forecast'!N131+'D5 RIN Forecast'!N118+'D6 RIN Forecast'!N209</f>
        <v>147917459</v>
      </c>
      <c r="O100" s="18">
        <f>'D4 RIN Forecast'!O131+'D5 RIN Forecast'!O118+'D6 RIN Forecast'!O209</f>
        <v>249129275</v>
      </c>
      <c r="P100" s="18">
        <f>'D4 RIN Forecast'!P131+'D5 RIN Forecast'!P118+'D6 RIN Forecast'!P209</f>
        <v>386519712</v>
      </c>
      <c r="Q100" s="19">
        <f>'D4 RIN Forecast'!Q131+'D5 RIN Forecast'!Q118+'D6 RIN Forecast'!Q209</f>
        <v>365917597</v>
      </c>
      <c r="R100" s="19">
        <f>'D4 RIN Forecast'!R131+'D5 RIN Forecast'!R118+'D6 RIN Forecast'!R209</f>
        <v>294611971.82862878</v>
      </c>
      <c r="S100" s="19">
        <f>'D4 RIN Forecast'!S131+'D5 RIN Forecast'!S118+'D6 RIN Forecast'!S209</f>
        <v>323557360.57478708</v>
      </c>
      <c r="T100" s="19">
        <f>'D4 RIN Forecast'!T131+'D5 RIN Forecast'!T118+'D6 RIN Forecast'!T209</f>
        <v>330331972.30091292</v>
      </c>
      <c r="U100" s="19">
        <f>'D4 RIN Forecast'!U131+'D5 RIN Forecast'!U118+'D6 RIN Forecast'!U209</f>
        <v>320636550.58037251</v>
      </c>
      <c r="V100" s="19">
        <f>'D4 RIN Forecast'!V131+'D5 RIN Forecast'!V118+'D6 RIN Forecast'!V209</f>
        <v>335726096.22822291</v>
      </c>
      <c r="W100" s="19">
        <f>'D4 RIN Forecast'!W131+'D5 RIN Forecast'!W118+'D6 RIN Forecast'!W209</f>
        <v>364495472.33174974</v>
      </c>
      <c r="X100" s="19">
        <f>'D4 RIN Forecast'!X131+'D5 RIN Forecast'!X118+'D6 RIN Forecast'!X209</f>
        <v>432920617.5482977</v>
      </c>
      <c r="Y100" s="19">
        <f>'D4 RIN Forecast'!Y131+'D5 RIN Forecast'!Y118+'D6 RIN Forecast'!Y209</f>
        <v>430337213.54968166</v>
      </c>
      <c r="Z100" s="19">
        <f>'D4 RIN Forecast'!Z131+'D5 RIN Forecast'!Z118+'D6 RIN Forecast'!Z209</f>
        <v>417360825.27878696</v>
      </c>
      <c r="AA100" s="19"/>
      <c r="AB100" s="27">
        <f>O100/N111-1</f>
        <v>-3.8464796840563586E-2</v>
      </c>
      <c r="AD100" s="18">
        <f>AVERAGE(J100:N100)</f>
        <v>77999452.200000003</v>
      </c>
      <c r="AE100" s="18">
        <f>O100-AD100</f>
        <v>171129822.80000001</v>
      </c>
      <c r="AF100" s="18">
        <f t="shared" ref="AF100:AF111" si="46">O100-N100</f>
        <v>101211816</v>
      </c>
      <c r="AG100" s="18">
        <f>O100/31</f>
        <v>8036428.2258064514</v>
      </c>
      <c r="AH100" s="18">
        <f>AD100/31</f>
        <v>2516111.3612903226</v>
      </c>
      <c r="AI100" s="18">
        <f>AG100-AH100</f>
        <v>5520316.8645161288</v>
      </c>
      <c r="AJ100" s="18">
        <f>'D4 Gallon Forecast'!BM133+'D5 Gallon Forecast'!AX120+'D6 Gallon Forecast'!BK209</f>
        <v>8346201.1381376339</v>
      </c>
      <c r="AK100" s="18">
        <f t="shared" ref="AK100:AK111" si="47">O100-AJ100</f>
        <v>240783073.86186236</v>
      </c>
    </row>
    <row r="101" spans="1:37">
      <c r="A101" s="14" t="s">
        <v>44</v>
      </c>
      <c r="B101" s="18">
        <f>'D4 RIN Forecast'!B132+'D5 RIN Forecast'!B119+'D6 RIN Forecast'!B210</f>
        <v>0</v>
      </c>
      <c r="C101" s="18">
        <f>'D4 RIN Forecast'!C132+'D5 RIN Forecast'!C119+'D6 RIN Forecast'!C210</f>
        <v>1552978</v>
      </c>
      <c r="D101" s="18">
        <f>'D4 RIN Forecast'!D132+'D5 RIN Forecast'!D119+'D6 RIN Forecast'!D210</f>
        <v>5280167</v>
      </c>
      <c r="E101" s="18">
        <f>'D4 RIN Forecast'!E132+'D5 RIN Forecast'!E119+'D6 RIN Forecast'!E210</f>
        <v>2140396</v>
      </c>
      <c r="F101" s="18">
        <f>'D4 RIN Forecast'!F132+'D5 RIN Forecast'!F119+'D6 RIN Forecast'!F210</f>
        <v>20809353</v>
      </c>
      <c r="G101" s="18">
        <f>'D4 RIN Forecast'!G132+'D5 RIN Forecast'!G119+'D6 RIN Forecast'!G210</f>
        <v>22882086</v>
      </c>
      <c r="H101" s="18">
        <f>'D4 RIN Forecast'!H132+'D5 RIN Forecast'!H119+'D6 RIN Forecast'!H210</f>
        <v>12503416</v>
      </c>
      <c r="I101" s="18">
        <f>'D4 RIN Forecast'!I132+'D5 RIN Forecast'!I119+'D6 RIN Forecast'!I210</f>
        <v>35772497</v>
      </c>
      <c r="J101" s="18">
        <f>'D4 RIN Forecast'!J132+'D5 RIN Forecast'!J119+'D6 RIN Forecast'!J210</f>
        <v>36728217</v>
      </c>
      <c r="K101" s="18">
        <f>'D4 RIN Forecast'!K132+'D5 RIN Forecast'!K119+'D6 RIN Forecast'!K210</f>
        <v>68295338</v>
      </c>
      <c r="L101" s="18">
        <f>'D4 RIN Forecast'!L132+'D5 RIN Forecast'!L119+'D6 RIN Forecast'!L210</f>
        <v>63411171</v>
      </c>
      <c r="M101" s="18">
        <f>'D4 RIN Forecast'!M132+'D5 RIN Forecast'!M119+'D6 RIN Forecast'!M210</f>
        <v>86998756</v>
      </c>
      <c r="N101" s="18">
        <f>'D4 RIN Forecast'!N132+'D5 RIN Forecast'!N119+'D6 RIN Forecast'!N210</f>
        <v>172337174</v>
      </c>
      <c r="O101" s="18">
        <f>'D4 RIN Forecast'!O132+'D5 RIN Forecast'!O119+'D6 RIN Forecast'!O210</f>
        <v>237057216</v>
      </c>
      <c r="P101" s="18">
        <f>'D4 RIN Forecast'!P132+'D5 RIN Forecast'!P119+'D6 RIN Forecast'!P210</f>
        <v>386578771</v>
      </c>
      <c r="Q101" s="19">
        <f>'D4 RIN Forecast'!Q132+'D5 RIN Forecast'!Q119+'D6 RIN Forecast'!Q210</f>
        <v>312618489</v>
      </c>
      <c r="R101" s="19">
        <f>'D4 RIN Forecast'!R132+'D5 RIN Forecast'!R119+'D6 RIN Forecast'!R210</f>
        <v>321165716.81683832</v>
      </c>
      <c r="S101" s="19">
        <f>'D4 RIN Forecast'!S132+'D5 RIN Forecast'!S119+'D6 RIN Forecast'!S210</f>
        <v>353748926.80475873</v>
      </c>
      <c r="T101" s="19">
        <f>'D4 RIN Forecast'!T132+'D5 RIN Forecast'!T119+'D6 RIN Forecast'!T210</f>
        <v>360298688.89878899</v>
      </c>
      <c r="U101" s="19">
        <f>'D4 RIN Forecast'!U132+'D5 RIN Forecast'!U119+'D6 RIN Forecast'!U210</f>
        <v>353566414.18715459</v>
      </c>
      <c r="V101" s="19">
        <f>'D4 RIN Forecast'!V132+'D5 RIN Forecast'!V119+'D6 RIN Forecast'!V210</f>
        <v>370205679.22654849</v>
      </c>
      <c r="W101" s="19">
        <f>'D4 RIN Forecast'!W132+'D5 RIN Forecast'!W119+'D6 RIN Forecast'!W210</f>
        <v>401929714.20919114</v>
      </c>
      <c r="X101" s="19">
        <f>'D4 RIN Forecast'!X132+'D5 RIN Forecast'!X119+'D6 RIN Forecast'!X210</f>
        <v>477382226.37806147</v>
      </c>
      <c r="Y101" s="19">
        <f>'D4 RIN Forecast'!Y132+'D5 RIN Forecast'!Y119+'D6 RIN Forecast'!Y210</f>
        <v>474533502.84191412</v>
      </c>
      <c r="Z101" s="19">
        <f>'D4 RIN Forecast'!Z132+'D5 RIN Forecast'!Z119+'D6 RIN Forecast'!Z210</f>
        <v>460224419.67052931</v>
      </c>
      <c r="AA101" s="19"/>
      <c r="AB101" s="27">
        <f>O101/O100-1</f>
        <v>-4.8457006909364608E-2</v>
      </c>
      <c r="AD101" s="18">
        <f t="shared" ref="AD101:AD112" si="48">AVERAGE(J101:N101)</f>
        <v>85554131.200000003</v>
      </c>
      <c r="AE101" s="18">
        <f t="shared" ref="AE101:AE112" si="49">O101-AD101</f>
        <v>151503084.80000001</v>
      </c>
      <c r="AF101" s="18">
        <f t="shared" si="46"/>
        <v>64720042</v>
      </c>
      <c r="AG101" s="18">
        <f>O101/28</f>
        <v>8466329.1428571437</v>
      </c>
      <c r="AH101" s="18">
        <f>AD101/28</f>
        <v>3055504.6857142858</v>
      </c>
      <c r="AI101" s="18">
        <f t="shared" ref="AI101:AI111" si="50">AG101-AH101</f>
        <v>5410824.4571428578</v>
      </c>
      <c r="AJ101" s="18">
        <f>'D4 Gallon Forecast'!BM134+'D5 Gallon Forecast'!AX121+'D6 Gallon Forecast'!BK210</f>
        <v>6800105.5753128696</v>
      </c>
      <c r="AK101" s="18">
        <f t="shared" si="47"/>
        <v>230257110.42468712</v>
      </c>
    </row>
    <row r="102" spans="1:37">
      <c r="A102" s="14" t="s">
        <v>45</v>
      </c>
      <c r="B102" s="18">
        <f>'D4 RIN Forecast'!B133+'D5 RIN Forecast'!B120+'D6 RIN Forecast'!B211</f>
        <v>0</v>
      </c>
      <c r="C102" s="18">
        <f>'D4 RIN Forecast'!C133+'D5 RIN Forecast'!C120+'D6 RIN Forecast'!C211</f>
        <v>5226129</v>
      </c>
      <c r="D102" s="18">
        <f>'D4 RIN Forecast'!D133+'D5 RIN Forecast'!D120+'D6 RIN Forecast'!D211</f>
        <v>8953730</v>
      </c>
      <c r="E102" s="18">
        <f>'D4 RIN Forecast'!E133+'D5 RIN Forecast'!E120+'D6 RIN Forecast'!E211</f>
        <v>3113538</v>
      </c>
      <c r="F102" s="18">
        <f>'D4 RIN Forecast'!F133+'D5 RIN Forecast'!F120+'D6 RIN Forecast'!F211</f>
        <v>25305293</v>
      </c>
      <c r="G102" s="18">
        <f>'D4 RIN Forecast'!G133+'D5 RIN Forecast'!G120+'D6 RIN Forecast'!G211</f>
        <v>27328536</v>
      </c>
      <c r="H102" s="18">
        <f>'D4 RIN Forecast'!H133+'D5 RIN Forecast'!H120+'D6 RIN Forecast'!H211</f>
        <v>30472657</v>
      </c>
      <c r="I102" s="18">
        <f>'D4 RIN Forecast'!I133+'D5 RIN Forecast'!I120+'D6 RIN Forecast'!I211</f>
        <v>26956248</v>
      </c>
      <c r="J102" s="18">
        <f>'D4 RIN Forecast'!J133+'D5 RIN Forecast'!J120+'D6 RIN Forecast'!J211</f>
        <v>42615611</v>
      </c>
      <c r="K102" s="18">
        <f>'D4 RIN Forecast'!K133+'D5 RIN Forecast'!K120+'D6 RIN Forecast'!K211</f>
        <v>60758517</v>
      </c>
      <c r="L102" s="18">
        <f>'D4 RIN Forecast'!L133+'D5 RIN Forecast'!L120+'D6 RIN Forecast'!L211</f>
        <v>76877817</v>
      </c>
      <c r="M102" s="18">
        <f>'D4 RIN Forecast'!M133+'D5 RIN Forecast'!M120+'D6 RIN Forecast'!M211</f>
        <v>100677493</v>
      </c>
      <c r="N102" s="18">
        <f>'D4 RIN Forecast'!N133+'D5 RIN Forecast'!N120+'D6 RIN Forecast'!N211</f>
        <v>187070474</v>
      </c>
      <c r="O102" s="18">
        <f>'D4 RIN Forecast'!O133+'D5 RIN Forecast'!O120+'D6 RIN Forecast'!O211</f>
        <v>309502828</v>
      </c>
      <c r="P102" s="18">
        <f>'D4 RIN Forecast'!P133+'D5 RIN Forecast'!P120+'D6 RIN Forecast'!P211</f>
        <v>361396317</v>
      </c>
      <c r="Q102" s="19">
        <f>'D4 RIN Forecast'!Q133+'D5 RIN Forecast'!Q120+'D6 RIN Forecast'!Q211</f>
        <v>386327932</v>
      </c>
      <c r="R102" s="19">
        <f>'D4 RIN Forecast'!R133+'D5 RIN Forecast'!R120+'D6 RIN Forecast'!R211</f>
        <v>341845630.14984816</v>
      </c>
      <c r="S102" s="19">
        <f>'D4 RIN Forecast'!S133+'D5 RIN Forecast'!S120+'D6 RIN Forecast'!S211</f>
        <v>377960321.31970543</v>
      </c>
      <c r="T102" s="19">
        <f>'D4 RIN Forecast'!T133+'D5 RIN Forecast'!T120+'D6 RIN Forecast'!T211</f>
        <v>386350561.36871856</v>
      </c>
      <c r="U102" s="19">
        <f>'D4 RIN Forecast'!U133+'D5 RIN Forecast'!U120+'D6 RIN Forecast'!U211</f>
        <v>372396932.91886824</v>
      </c>
      <c r="V102" s="19">
        <f>'D4 RIN Forecast'!V133+'D5 RIN Forecast'!V120+'D6 RIN Forecast'!V211</f>
        <v>389922385.04909933</v>
      </c>
      <c r="W102" s="19">
        <f>'D4 RIN Forecast'!W133+'D5 RIN Forecast'!W120+'D6 RIN Forecast'!W211</f>
        <v>423336003.68849158</v>
      </c>
      <c r="X102" s="19">
        <f>'D4 RIN Forecast'!X133+'D5 RIN Forecast'!X120+'D6 RIN Forecast'!X211</f>
        <v>502807025.21441495</v>
      </c>
      <c r="Y102" s="19">
        <f>'D4 RIN Forecast'!Y133+'D5 RIN Forecast'!Y120+'D6 RIN Forecast'!Y211</f>
        <v>499806582.11510646</v>
      </c>
      <c r="Z102" s="19">
        <f>'D4 RIN Forecast'!Z133+'D5 RIN Forecast'!Z120+'D6 RIN Forecast'!Z211</f>
        <v>484735414.51522231</v>
      </c>
      <c r="AA102" s="19"/>
      <c r="AB102" s="27">
        <f>O102/O101-1</f>
        <v>0.30560390956417871</v>
      </c>
      <c r="AD102" s="18">
        <f t="shared" si="48"/>
        <v>93599982.400000006</v>
      </c>
      <c r="AE102" s="18">
        <f t="shared" si="49"/>
        <v>215902845.59999999</v>
      </c>
      <c r="AF102" s="18">
        <f t="shared" si="46"/>
        <v>122432354</v>
      </c>
      <c r="AG102" s="18">
        <f>O102/31</f>
        <v>9983962.1935483869</v>
      </c>
      <c r="AH102" s="18">
        <f>AD102/31</f>
        <v>3019354.270967742</v>
      </c>
      <c r="AI102" s="18">
        <f t="shared" si="50"/>
        <v>6964607.9225806445</v>
      </c>
      <c r="AJ102" s="18">
        <f>'D4 Gallon Forecast'!BM135+'D5 Gallon Forecast'!AX122+'D6 Gallon Forecast'!BK211</f>
        <v>62448105.780942202</v>
      </c>
      <c r="AK102" s="18">
        <f t="shared" si="47"/>
        <v>247054722.2190578</v>
      </c>
    </row>
    <row r="103" spans="1:37">
      <c r="A103" s="14" t="s">
        <v>46</v>
      </c>
      <c r="B103" s="18">
        <f>'D4 RIN Forecast'!B134+'D5 RIN Forecast'!B121+'D6 RIN Forecast'!B212</f>
        <v>0</v>
      </c>
      <c r="C103" s="18">
        <f>'D4 RIN Forecast'!C134+'D5 RIN Forecast'!C121+'D6 RIN Forecast'!C212</f>
        <v>3285628</v>
      </c>
      <c r="D103" s="18">
        <f>'D4 RIN Forecast'!D134+'D5 RIN Forecast'!D121+'D6 RIN Forecast'!D212</f>
        <v>5825775</v>
      </c>
      <c r="E103" s="18">
        <f>'D4 RIN Forecast'!E134+'D5 RIN Forecast'!E121+'D6 RIN Forecast'!E212</f>
        <v>2776748</v>
      </c>
      <c r="F103" s="18">
        <f>'D4 RIN Forecast'!F134+'D5 RIN Forecast'!F121+'D6 RIN Forecast'!F212</f>
        <v>23155238</v>
      </c>
      <c r="G103" s="18">
        <f>'D4 RIN Forecast'!G134+'D5 RIN Forecast'!G121+'D6 RIN Forecast'!G212</f>
        <v>26683338</v>
      </c>
      <c r="H103" s="18">
        <f>'D4 RIN Forecast'!H134+'D5 RIN Forecast'!H121+'D6 RIN Forecast'!H212</f>
        <v>36130283</v>
      </c>
      <c r="I103" s="18">
        <f>'D4 RIN Forecast'!I134+'D5 RIN Forecast'!I121+'D6 RIN Forecast'!I212</f>
        <v>34685496</v>
      </c>
      <c r="J103" s="18">
        <f>'D4 RIN Forecast'!J134+'D5 RIN Forecast'!J121+'D6 RIN Forecast'!J212</f>
        <v>43776721</v>
      </c>
      <c r="K103" s="18">
        <f>'D4 RIN Forecast'!K134+'D5 RIN Forecast'!K121+'D6 RIN Forecast'!K212</f>
        <v>65547670</v>
      </c>
      <c r="L103" s="18">
        <f>'D4 RIN Forecast'!L134+'D5 RIN Forecast'!L121+'D6 RIN Forecast'!L212</f>
        <v>65630312</v>
      </c>
      <c r="M103" s="18">
        <f>'D4 RIN Forecast'!M134+'D5 RIN Forecast'!M121+'D6 RIN Forecast'!M212</f>
        <v>86078617</v>
      </c>
      <c r="N103" s="18">
        <f>'D4 RIN Forecast'!N134+'D5 RIN Forecast'!N121+'D6 RIN Forecast'!N212</f>
        <v>181017158</v>
      </c>
      <c r="O103" s="18">
        <f>'D4 RIN Forecast'!O134+'D5 RIN Forecast'!O121+'D6 RIN Forecast'!O212</f>
        <v>293095448</v>
      </c>
      <c r="P103" s="18">
        <f>'D4 RIN Forecast'!P134+'D5 RIN Forecast'!P121+'D6 RIN Forecast'!P212</f>
        <v>476174494</v>
      </c>
      <c r="Q103" s="19">
        <f>'D4 RIN Forecast'!Q134+'D5 RIN Forecast'!Q121+'D6 RIN Forecast'!Q212</f>
        <v>342263546.01389962</v>
      </c>
      <c r="R103" s="19">
        <f>'D4 RIN Forecast'!R134+'D5 RIN Forecast'!R121+'D6 RIN Forecast'!R212</f>
        <v>328685373.78375846</v>
      </c>
      <c r="S103" s="19">
        <f>'D4 RIN Forecast'!S134+'D5 RIN Forecast'!S121+'D6 RIN Forecast'!S212</f>
        <v>362774914.22488809</v>
      </c>
      <c r="T103" s="19">
        <f>'D4 RIN Forecast'!T134+'D5 RIN Forecast'!T121+'D6 RIN Forecast'!T212</f>
        <v>369531751.66095096</v>
      </c>
      <c r="U103" s="19">
        <f>'D4 RIN Forecast'!U134+'D5 RIN Forecast'!U121+'D6 RIN Forecast'!U212</f>
        <v>361579078.61601043</v>
      </c>
      <c r="V103" s="19">
        <f>'D4 RIN Forecast'!V134+'D5 RIN Forecast'!V121+'D6 RIN Forecast'!V212</f>
        <v>378595429.3789168</v>
      </c>
      <c r="W103" s="19">
        <f>'D4 RIN Forecast'!W134+'D5 RIN Forecast'!W121+'D6 RIN Forecast'!W212</f>
        <v>411038407.21485496</v>
      </c>
      <c r="X103" s="19">
        <f>'D4 RIN Forecast'!X134+'D5 RIN Forecast'!X121+'D6 RIN Forecast'!X212</f>
        <v>488200854.59268242</v>
      </c>
      <c r="Y103" s="19">
        <f>'D4 RIN Forecast'!Y134+'D5 RIN Forecast'!Y121+'D6 RIN Forecast'!Y212</f>
        <v>485287572.13682485</v>
      </c>
      <c r="Z103" s="19">
        <f>'D4 RIN Forecast'!Z134+'D5 RIN Forecast'!Z121+'D6 RIN Forecast'!Z212</f>
        <v>470654210.76158267</v>
      </c>
      <c r="AA103" s="19"/>
      <c r="AB103" s="27">
        <f t="shared" ref="AB103:AB111" si="51">O103/O102-1</f>
        <v>-5.3012051960959816E-2</v>
      </c>
      <c r="AD103" s="18">
        <f t="shared" si="48"/>
        <v>88410095.599999994</v>
      </c>
      <c r="AE103" s="18">
        <f t="shared" si="49"/>
        <v>204685352.40000001</v>
      </c>
      <c r="AF103" s="18">
        <f t="shared" si="46"/>
        <v>112078290</v>
      </c>
      <c r="AG103" s="18">
        <f>O103/30</f>
        <v>9769848.2666666675</v>
      </c>
      <c r="AH103" s="18">
        <f>AD103/30</f>
        <v>2947003.1866666665</v>
      </c>
      <c r="AI103" s="18">
        <f t="shared" si="50"/>
        <v>6822845.080000001</v>
      </c>
      <c r="AJ103" s="18">
        <f>'D4 Gallon Forecast'!BM136+'D5 Gallon Forecast'!AX123+'D6 Gallon Forecast'!BK212</f>
        <v>25390981.147415746</v>
      </c>
      <c r="AK103" s="18">
        <f t="shared" si="47"/>
        <v>267704466.85258424</v>
      </c>
    </row>
    <row r="104" spans="1:37">
      <c r="A104" s="14" t="s">
        <v>47</v>
      </c>
      <c r="B104" s="18">
        <f>'D4 RIN Forecast'!B135+'D5 RIN Forecast'!B122+'D6 RIN Forecast'!B213</f>
        <v>0</v>
      </c>
      <c r="C104" s="18">
        <f>'D4 RIN Forecast'!C135+'D5 RIN Forecast'!C122+'D6 RIN Forecast'!C213</f>
        <v>12299803</v>
      </c>
      <c r="D104" s="18">
        <f>'D4 RIN Forecast'!D135+'D5 RIN Forecast'!D122+'D6 RIN Forecast'!D213</f>
        <v>6129463</v>
      </c>
      <c r="E104" s="18">
        <f>'D4 RIN Forecast'!E135+'D5 RIN Forecast'!E122+'D6 RIN Forecast'!E213</f>
        <v>4676572</v>
      </c>
      <c r="F104" s="18">
        <f>'D4 RIN Forecast'!F135+'D5 RIN Forecast'!F122+'D6 RIN Forecast'!F213</f>
        <v>27478030</v>
      </c>
      <c r="G104" s="18">
        <f>'D4 RIN Forecast'!G135+'D5 RIN Forecast'!G122+'D6 RIN Forecast'!G213</f>
        <v>26702215</v>
      </c>
      <c r="H104" s="18">
        <f>'D4 RIN Forecast'!H135+'D5 RIN Forecast'!H122+'D6 RIN Forecast'!H213</f>
        <v>37286976</v>
      </c>
      <c r="I104" s="18">
        <f>'D4 RIN Forecast'!I135+'D5 RIN Forecast'!I122+'D6 RIN Forecast'!I213</f>
        <v>41467715</v>
      </c>
      <c r="J104" s="18">
        <f>'D4 RIN Forecast'!J135+'D5 RIN Forecast'!J122+'D6 RIN Forecast'!J213</f>
        <v>36564048</v>
      </c>
      <c r="K104" s="18">
        <f>'D4 RIN Forecast'!K135+'D5 RIN Forecast'!K122+'D6 RIN Forecast'!K213</f>
        <v>68650896</v>
      </c>
      <c r="L104" s="18">
        <f>'D4 RIN Forecast'!L135+'D5 RIN Forecast'!L122+'D6 RIN Forecast'!L213</f>
        <v>78916064</v>
      </c>
      <c r="M104" s="18">
        <f>'D4 RIN Forecast'!M135+'D5 RIN Forecast'!M122+'D6 RIN Forecast'!M213</f>
        <v>102087497</v>
      </c>
      <c r="N104" s="18">
        <f>'D4 RIN Forecast'!N135+'D5 RIN Forecast'!N122+'D6 RIN Forecast'!N213</f>
        <v>231328791</v>
      </c>
      <c r="O104" s="18">
        <f>'D4 RIN Forecast'!O135+'D5 RIN Forecast'!O122+'D6 RIN Forecast'!O213</f>
        <v>384309660</v>
      </c>
      <c r="P104" s="18">
        <f>'D4 RIN Forecast'!P135+'D5 RIN Forecast'!P122+'D6 RIN Forecast'!P213</f>
        <v>374483742</v>
      </c>
      <c r="Q104" s="19">
        <f>'D4 RIN Forecast'!Q135+'D5 RIN Forecast'!Q122+'D6 RIN Forecast'!Q213</f>
        <v>337173115.6925317</v>
      </c>
      <c r="R104" s="19">
        <f>'D4 RIN Forecast'!R135+'D5 RIN Forecast'!R122+'D6 RIN Forecast'!R213</f>
        <v>367369715.12727875</v>
      </c>
      <c r="S104" s="19">
        <f>'D4 RIN Forecast'!S135+'D5 RIN Forecast'!S122+'D6 RIN Forecast'!S213</f>
        <v>406050697.04188067</v>
      </c>
      <c r="T104" s="19">
        <f>'D4 RIN Forecast'!T135+'D5 RIN Forecast'!T122+'D6 RIN Forecast'!T213</f>
        <v>412593881.70114344</v>
      </c>
      <c r="U104" s="19">
        <f>'D4 RIN Forecast'!U135+'D5 RIN Forecast'!U122+'D6 RIN Forecast'!U213</f>
        <v>403918127.46258056</v>
      </c>
      <c r="V104" s="19">
        <f>'D4 RIN Forecast'!V135+'D5 RIN Forecast'!V122+'D6 RIN Forecast'!V213</f>
        <v>422927005.30669612</v>
      </c>
      <c r="W104" s="19">
        <f>'D4 RIN Forecast'!W135+'D5 RIN Forecast'!W122+'D6 RIN Forecast'!W213</f>
        <v>459168888.84420758</v>
      </c>
      <c r="X104" s="19">
        <f>'D4 RIN Forecast'!X135+'D5 RIN Forecast'!X122+'D6 RIN Forecast'!X213</f>
        <v>545366661.609653</v>
      </c>
      <c r="Y104" s="19">
        <f>'D4 RIN Forecast'!Y135+'D5 RIN Forecast'!Y122+'D6 RIN Forecast'!Y213</f>
        <v>542112248.77458608</v>
      </c>
      <c r="Z104" s="19">
        <f>'D4 RIN Forecast'!Z135+'D5 RIN Forecast'!Z122+'D6 RIN Forecast'!Z213</f>
        <v>525765396.10878778</v>
      </c>
      <c r="AA104" s="19"/>
      <c r="AB104" s="27">
        <f t="shared" si="51"/>
        <v>0.31120992366964351</v>
      </c>
      <c r="AD104" s="18">
        <f t="shared" si="48"/>
        <v>103509459.2</v>
      </c>
      <c r="AE104" s="18">
        <f t="shared" si="49"/>
        <v>280800200.80000001</v>
      </c>
      <c r="AF104" s="18">
        <f t="shared" si="46"/>
        <v>152980869</v>
      </c>
      <c r="AG104" s="18">
        <f>O104/31</f>
        <v>12397085.806451613</v>
      </c>
      <c r="AH104" s="18">
        <f>AD104/31</f>
        <v>3339014.8129032259</v>
      </c>
      <c r="AI104" s="18">
        <f t="shared" si="50"/>
        <v>9058070.9935483877</v>
      </c>
      <c r="AJ104" s="18">
        <f>'D4 Gallon Forecast'!BM137+'D5 Gallon Forecast'!AX124+'D6 Gallon Forecast'!BK213</f>
        <v>24319056.575219102</v>
      </c>
      <c r="AK104" s="18">
        <f t="shared" si="47"/>
        <v>359990603.42478091</v>
      </c>
    </row>
    <row r="105" spans="1:37">
      <c r="A105" s="14" t="s">
        <v>48</v>
      </c>
      <c r="B105" s="18">
        <f>'D4 RIN Forecast'!B136+'D5 RIN Forecast'!B123+'D6 RIN Forecast'!B214</f>
        <v>0</v>
      </c>
      <c r="C105" s="18">
        <f>'D4 RIN Forecast'!C136+'D5 RIN Forecast'!C123+'D6 RIN Forecast'!C214</f>
        <v>7565225</v>
      </c>
      <c r="D105" s="18">
        <f>'D4 RIN Forecast'!D136+'D5 RIN Forecast'!D123+'D6 RIN Forecast'!D214</f>
        <v>6010721</v>
      </c>
      <c r="E105" s="18">
        <f>'D4 RIN Forecast'!E136+'D5 RIN Forecast'!E123+'D6 RIN Forecast'!E214</f>
        <v>12216391</v>
      </c>
      <c r="F105" s="18">
        <f>'D4 RIN Forecast'!F136+'D5 RIN Forecast'!F123+'D6 RIN Forecast'!F214</f>
        <v>26551717</v>
      </c>
      <c r="G105" s="18">
        <f>'D4 RIN Forecast'!G136+'D5 RIN Forecast'!G123+'D6 RIN Forecast'!G214</f>
        <v>24463955</v>
      </c>
      <c r="H105" s="18">
        <f>'D4 RIN Forecast'!H136+'D5 RIN Forecast'!H123+'D6 RIN Forecast'!H214</f>
        <v>38367891</v>
      </c>
      <c r="I105" s="18">
        <f>'D4 RIN Forecast'!I136+'D5 RIN Forecast'!I123+'D6 RIN Forecast'!I214</f>
        <v>30170338</v>
      </c>
      <c r="J105" s="18">
        <f>'D4 RIN Forecast'!J136+'D5 RIN Forecast'!J123+'D6 RIN Forecast'!J214</f>
        <v>21052891</v>
      </c>
      <c r="K105" s="18">
        <f>'D4 RIN Forecast'!K136+'D5 RIN Forecast'!K123+'D6 RIN Forecast'!K214</f>
        <v>67593155</v>
      </c>
      <c r="L105" s="18">
        <f>'D4 RIN Forecast'!L136+'D5 RIN Forecast'!L123+'D6 RIN Forecast'!L214</f>
        <v>90442988</v>
      </c>
      <c r="M105" s="18">
        <f>'D4 RIN Forecast'!M136+'D5 RIN Forecast'!M123+'D6 RIN Forecast'!M214</f>
        <v>117061311</v>
      </c>
      <c r="N105" s="18">
        <f>'D4 RIN Forecast'!N136+'D5 RIN Forecast'!N123+'D6 RIN Forecast'!N214</f>
        <v>197587414</v>
      </c>
      <c r="O105" s="18">
        <f>'D4 RIN Forecast'!O136+'D5 RIN Forecast'!O123+'D6 RIN Forecast'!O214</f>
        <v>340080466</v>
      </c>
      <c r="P105" s="18">
        <f>'D4 RIN Forecast'!P136+'D5 RIN Forecast'!P123+'D6 RIN Forecast'!P214</f>
        <v>476011270</v>
      </c>
      <c r="Q105" s="19">
        <f>'D4 RIN Forecast'!Q136+'D5 RIN Forecast'!Q123+'D6 RIN Forecast'!Q214</f>
        <v>332512259.32307637</v>
      </c>
      <c r="R105" s="19">
        <f>'D4 RIN Forecast'!R136+'D5 RIN Forecast'!R123+'D6 RIN Forecast'!R214</f>
        <v>366729233.21355104</v>
      </c>
      <c r="S105" s="19">
        <f>'D4 RIN Forecast'!S136+'D5 RIN Forecast'!S123+'D6 RIN Forecast'!S214</f>
        <v>405222498.55182344</v>
      </c>
      <c r="T105" s="19">
        <f>'D4 RIN Forecast'!T136+'D5 RIN Forecast'!T123+'D6 RIN Forecast'!T214</f>
        <v>414131646.68913835</v>
      </c>
      <c r="U105" s="19">
        <f>'D4 RIN Forecast'!U136+'D5 RIN Forecast'!U123+'D6 RIN Forecast'!U214</f>
        <v>400623523.258313</v>
      </c>
      <c r="V105" s="19">
        <f>'D4 RIN Forecast'!V136+'D5 RIN Forecast'!V123+'D6 RIN Forecast'!V214</f>
        <v>419477353.02558917</v>
      </c>
      <c r="W105" s="19">
        <f>'D4 RIN Forecast'!W136+'D5 RIN Forecast'!W123+'D6 RIN Forecast'!W214</f>
        <v>455423625.51285303</v>
      </c>
      <c r="X105" s="19">
        <f>'D4 RIN Forecast'!X136+'D5 RIN Forecast'!X123+'D6 RIN Forecast'!X214</f>
        <v>540918316.32865787</v>
      </c>
      <c r="Y105" s="19">
        <f>'D4 RIN Forecast'!Y136+'D5 RIN Forecast'!Y123+'D6 RIN Forecast'!Y214</f>
        <v>537690448.48248816</v>
      </c>
      <c r="Z105" s="19">
        <f>'D4 RIN Forecast'!Z136+'D5 RIN Forecast'!Z123+'D6 RIN Forecast'!Z214</f>
        <v>521476930.78201455</v>
      </c>
      <c r="AA105" s="19"/>
      <c r="AB105" s="21">
        <f t="shared" si="51"/>
        <v>-0.11508738552135278</v>
      </c>
      <c r="AC105" s="22"/>
      <c r="AD105" s="23">
        <f t="shared" si="48"/>
        <v>98747551.799999997</v>
      </c>
      <c r="AE105" s="23">
        <f t="shared" si="49"/>
        <v>241332914.19999999</v>
      </c>
      <c r="AF105" s="23">
        <f t="shared" si="46"/>
        <v>142493052</v>
      </c>
      <c r="AG105" s="23">
        <f>O105/30</f>
        <v>11336015.533333333</v>
      </c>
      <c r="AH105" s="23">
        <f>AD105/30</f>
        <v>3291585.06</v>
      </c>
      <c r="AI105" s="23">
        <f t="shared" si="50"/>
        <v>8044430.4733333327</v>
      </c>
      <c r="AJ105" s="18">
        <f>'D4 Gallon Forecast'!BM138+'D5 Gallon Forecast'!AX125+'D6 Gallon Forecast'!BK214</f>
        <v>17635527.208558206</v>
      </c>
      <c r="AK105" s="18">
        <f t="shared" si="47"/>
        <v>322444938.7914418</v>
      </c>
    </row>
    <row r="106" spans="1:37">
      <c r="A106" s="14" t="s">
        <v>49</v>
      </c>
      <c r="B106" s="18">
        <f>'D4 RIN Forecast'!B137+'D5 RIN Forecast'!B124+'D6 RIN Forecast'!B215</f>
        <v>531710</v>
      </c>
      <c r="C106" s="18">
        <f>'D4 RIN Forecast'!C137+'D5 RIN Forecast'!C124+'D6 RIN Forecast'!C215</f>
        <v>10813839</v>
      </c>
      <c r="D106" s="18">
        <f>'D4 RIN Forecast'!D137+'D5 RIN Forecast'!D124+'D6 RIN Forecast'!D215</f>
        <v>10523026</v>
      </c>
      <c r="E106" s="18">
        <f>'D4 RIN Forecast'!E137+'D5 RIN Forecast'!E124+'D6 RIN Forecast'!E215</f>
        <v>25601909</v>
      </c>
      <c r="F106" s="18">
        <f>'D4 RIN Forecast'!F137+'D5 RIN Forecast'!F124+'D6 RIN Forecast'!F215</f>
        <v>23759652</v>
      </c>
      <c r="G106" s="18">
        <f>'D4 RIN Forecast'!G137+'D5 RIN Forecast'!G124+'D6 RIN Forecast'!G215</f>
        <v>26338639</v>
      </c>
      <c r="H106" s="18">
        <f>'D4 RIN Forecast'!H137+'D5 RIN Forecast'!H124+'D6 RIN Forecast'!H215</f>
        <v>33184025</v>
      </c>
      <c r="I106" s="18">
        <f>'D4 RIN Forecast'!I137+'D5 RIN Forecast'!I124+'D6 RIN Forecast'!I215</f>
        <v>33408095</v>
      </c>
      <c r="J106" s="18">
        <f>'D4 RIN Forecast'!J137+'D5 RIN Forecast'!J124+'D6 RIN Forecast'!J215</f>
        <v>17941037</v>
      </c>
      <c r="K106" s="18">
        <f>'D4 RIN Forecast'!K137+'D5 RIN Forecast'!K124+'D6 RIN Forecast'!K215</f>
        <v>78679915</v>
      </c>
      <c r="L106" s="18">
        <f>'D4 RIN Forecast'!L137+'D5 RIN Forecast'!L124+'D6 RIN Forecast'!L215</f>
        <v>79319036</v>
      </c>
      <c r="M106" s="18">
        <f>'D4 RIN Forecast'!M137+'D5 RIN Forecast'!M124+'D6 RIN Forecast'!M215</f>
        <v>118107195</v>
      </c>
      <c r="N106" s="18">
        <f>'D4 RIN Forecast'!N137+'D5 RIN Forecast'!N124+'D6 RIN Forecast'!N215</f>
        <v>185221836</v>
      </c>
      <c r="O106" s="18">
        <f>'D4 RIN Forecast'!O137+'D5 RIN Forecast'!O124+'D6 RIN Forecast'!O215</f>
        <v>306715422</v>
      </c>
      <c r="P106" s="18">
        <f>'D4 RIN Forecast'!P137+'D5 RIN Forecast'!P124+'D6 RIN Forecast'!P215</f>
        <v>491858902</v>
      </c>
      <c r="Q106" s="19">
        <f>'D4 RIN Forecast'!Q137+'D5 RIN Forecast'!Q124+'D6 RIN Forecast'!Q215</f>
        <v>326528068.3004654</v>
      </c>
      <c r="R106" s="19">
        <f>'D4 RIN Forecast'!R137+'D5 RIN Forecast'!R124+'D6 RIN Forecast'!R215</f>
        <v>357883127.41238868</v>
      </c>
      <c r="S106" s="19">
        <f>'D4 RIN Forecast'!S137+'D5 RIN Forecast'!S124+'D6 RIN Forecast'!S215</f>
        <v>394539833.37518507</v>
      </c>
      <c r="T106" s="19">
        <f>'D4 RIN Forecast'!T137+'D5 RIN Forecast'!T124+'D6 RIN Forecast'!T215</f>
        <v>402515267.01775402</v>
      </c>
      <c r="U106" s="19">
        <f>'D4 RIN Forecast'!U137+'D5 RIN Forecast'!U124+'D6 RIN Forecast'!U215</f>
        <v>392389411.7722258</v>
      </c>
      <c r="V106" s="19">
        <f>'D4 RIN Forecast'!V137+'D5 RIN Forecast'!V124+'D6 RIN Forecast'!V215</f>
        <v>410855734.24841523</v>
      </c>
      <c r="W106" s="19">
        <f>'D4 RIN Forecast'!W137+'D5 RIN Forecast'!W124+'D6 RIN Forecast'!W215</f>
        <v>446063194.36449802</v>
      </c>
      <c r="X106" s="19">
        <f>'D4 RIN Forecast'!X137+'D5 RIN Forecast'!X124+'D6 RIN Forecast'!X215</f>
        <v>529800692.26781386</v>
      </c>
      <c r="Y106" s="19">
        <f>'D4 RIN Forecast'!Y137+'D5 RIN Forecast'!Y124+'D6 RIN Forecast'!Y215</f>
        <v>526639167.56468159</v>
      </c>
      <c r="Z106" s="19">
        <f>'D4 RIN Forecast'!Z137+'D5 RIN Forecast'!Z124+'D6 RIN Forecast'!Z215</f>
        <v>510758890.18729627</v>
      </c>
      <c r="AA106" s="19"/>
      <c r="AB106" s="20">
        <f t="shared" si="51"/>
        <v>-9.8109263352985421E-2</v>
      </c>
      <c r="AD106" s="18">
        <f t="shared" si="48"/>
        <v>95853803.799999997</v>
      </c>
      <c r="AE106" s="19">
        <f t="shared" si="49"/>
        <v>210861618.19999999</v>
      </c>
      <c r="AF106" s="19">
        <f t="shared" si="46"/>
        <v>121493586</v>
      </c>
      <c r="AG106" s="19">
        <f>O106/31</f>
        <v>9894045.8709677421</v>
      </c>
      <c r="AH106" s="18">
        <f>AD106/31</f>
        <v>3092058.1870967741</v>
      </c>
      <c r="AI106" s="19">
        <f t="shared" si="50"/>
        <v>6801987.6838709675</v>
      </c>
      <c r="AJ106" s="18">
        <f>'D4 Gallon Forecast'!BM139+'D5 Gallon Forecast'!AX126+'D6 Gallon Forecast'!BK215</f>
        <v>18973953.249238759</v>
      </c>
      <c r="AK106" s="18">
        <f t="shared" si="47"/>
        <v>287741468.75076127</v>
      </c>
    </row>
    <row r="107" spans="1:37">
      <c r="A107" s="14" t="s">
        <v>50</v>
      </c>
      <c r="B107" s="18">
        <f>'D4 RIN Forecast'!B138+'D5 RIN Forecast'!B125+'D6 RIN Forecast'!B216</f>
        <v>1226079</v>
      </c>
      <c r="C107" s="18">
        <f>'D4 RIN Forecast'!C138+'D5 RIN Forecast'!C125+'D6 RIN Forecast'!C216</f>
        <v>14108213</v>
      </c>
      <c r="D107" s="18">
        <f>'D4 RIN Forecast'!D138+'D5 RIN Forecast'!D125+'D6 RIN Forecast'!D216</f>
        <v>9272795</v>
      </c>
      <c r="E107" s="18">
        <f>'D4 RIN Forecast'!E138+'D5 RIN Forecast'!E125+'D6 RIN Forecast'!E216</f>
        <v>25212690</v>
      </c>
      <c r="F107" s="18">
        <f>'D4 RIN Forecast'!F138+'D5 RIN Forecast'!F125+'D6 RIN Forecast'!F216</f>
        <v>3425869</v>
      </c>
      <c r="G107" s="18">
        <f>'D4 RIN Forecast'!G138+'D5 RIN Forecast'!G125+'D6 RIN Forecast'!G216</f>
        <v>25637374</v>
      </c>
      <c r="H107" s="18">
        <f>'D4 RIN Forecast'!H138+'D5 RIN Forecast'!H125+'D6 RIN Forecast'!H216</f>
        <v>42159960</v>
      </c>
      <c r="I107" s="18">
        <f>'D4 RIN Forecast'!I138+'D5 RIN Forecast'!I125+'D6 RIN Forecast'!I216</f>
        <v>41943111</v>
      </c>
      <c r="J107" s="18">
        <f>'D4 RIN Forecast'!J138+'D5 RIN Forecast'!J125+'D6 RIN Forecast'!J216</f>
        <v>27241885</v>
      </c>
      <c r="K107" s="18">
        <f>'D4 RIN Forecast'!K138+'D5 RIN Forecast'!K125+'D6 RIN Forecast'!K216</f>
        <v>51307123</v>
      </c>
      <c r="L107" s="18">
        <f>'D4 RIN Forecast'!L138+'D5 RIN Forecast'!L125+'D6 RIN Forecast'!L216</f>
        <v>74719590</v>
      </c>
      <c r="M107" s="18">
        <f>'D4 RIN Forecast'!M138+'D5 RIN Forecast'!M125+'D6 RIN Forecast'!M216</f>
        <v>140039898</v>
      </c>
      <c r="N107" s="18">
        <f>'D4 RIN Forecast'!N138+'D5 RIN Forecast'!N125+'D6 RIN Forecast'!N216</f>
        <v>207823335</v>
      </c>
      <c r="O107" s="18">
        <f>'D4 RIN Forecast'!O138+'D5 RIN Forecast'!O125+'D6 RIN Forecast'!O216</f>
        <v>396937287</v>
      </c>
      <c r="P107" s="18">
        <f>'D4 RIN Forecast'!P138+'D5 RIN Forecast'!P125+'D6 RIN Forecast'!P216</f>
        <v>438017570</v>
      </c>
      <c r="Q107" s="19">
        <f>'D4 RIN Forecast'!Q138+'D5 RIN Forecast'!Q125+'D6 RIN Forecast'!Q216</f>
        <v>334490194.50630116</v>
      </c>
      <c r="R107" s="19">
        <f>'D4 RIN Forecast'!R138+'D5 RIN Forecast'!R125+'D6 RIN Forecast'!R216</f>
        <v>367610723.98318398</v>
      </c>
      <c r="S107" s="19">
        <f>'D4 RIN Forecast'!S138+'D5 RIN Forecast'!S125+'D6 RIN Forecast'!S216</f>
        <v>405683004.18844795</v>
      </c>
      <c r="T107" s="19">
        <f>'D4 RIN Forecast'!T138+'D5 RIN Forecast'!T125+'D6 RIN Forecast'!T216</f>
        <v>414165450.16158766</v>
      </c>
      <c r="U107" s="19">
        <f>'D4 RIN Forecast'!U138+'D5 RIN Forecast'!U125+'D6 RIN Forecast'!U216</f>
        <v>398004713.84818751</v>
      </c>
      <c r="V107" s="19">
        <f>'D4 RIN Forecast'!V138+'D5 RIN Forecast'!V125+'D6 RIN Forecast'!V216</f>
        <v>416735299.26273602</v>
      </c>
      <c r="W107" s="19">
        <f>'D4 RIN Forecast'!W138+'D5 RIN Forecast'!W125+'D6 RIN Forecast'!W216</f>
        <v>452446596.93902791</v>
      </c>
      <c r="X107" s="19">
        <f>'D4 RIN Forecast'!X138+'D5 RIN Forecast'!X125+'D6 RIN Forecast'!X216</f>
        <v>537382423.16544652</v>
      </c>
      <c r="Y107" s="19">
        <f>'D4 RIN Forecast'!Y138+'D5 RIN Forecast'!Y125+'D6 RIN Forecast'!Y216</f>
        <v>534175655.35509461</v>
      </c>
      <c r="Z107" s="19">
        <f>'D4 RIN Forecast'!Z138+'D5 RIN Forecast'!Z125+'D6 RIN Forecast'!Z216</f>
        <v>518068122.72604144</v>
      </c>
      <c r="AA107" s="19"/>
      <c r="AB107" s="30">
        <f t="shared" si="51"/>
        <v>0.29415496753208581</v>
      </c>
      <c r="AD107" s="18">
        <f t="shared" si="48"/>
        <v>100226366.2</v>
      </c>
      <c r="AE107" s="19">
        <f t="shared" si="49"/>
        <v>296710920.80000001</v>
      </c>
      <c r="AF107" s="19">
        <f t="shared" si="46"/>
        <v>189113952</v>
      </c>
      <c r="AG107" s="19">
        <f>O107/31</f>
        <v>12804428.612903226</v>
      </c>
      <c r="AH107" s="18">
        <f>AD107/31</f>
        <v>3233108.5870967745</v>
      </c>
      <c r="AI107" s="19">
        <f t="shared" si="50"/>
        <v>9571320.0258064512</v>
      </c>
      <c r="AJ107" s="18">
        <f>'D4 Gallon Forecast'!BM140+'D5 Gallon Forecast'!AX127+'D6 Gallon Forecast'!BK216</f>
        <v>18300122.69410871</v>
      </c>
      <c r="AK107" s="18">
        <f t="shared" si="47"/>
        <v>378637164.30589128</v>
      </c>
    </row>
    <row r="108" spans="1:37">
      <c r="A108" s="14" t="s">
        <v>51</v>
      </c>
      <c r="B108" s="18">
        <f>'D4 RIN Forecast'!B139+'D5 RIN Forecast'!B126+'D6 RIN Forecast'!B217</f>
        <v>1605551</v>
      </c>
      <c r="C108" s="18">
        <f>'D4 RIN Forecast'!C139+'D5 RIN Forecast'!C126+'D6 RIN Forecast'!C217</f>
        <v>9705170</v>
      </c>
      <c r="D108" s="18">
        <f>'D4 RIN Forecast'!D139+'D5 RIN Forecast'!D126+'D6 RIN Forecast'!D217</f>
        <v>6296962</v>
      </c>
      <c r="E108" s="18">
        <f>'D4 RIN Forecast'!E139+'D5 RIN Forecast'!E126+'D6 RIN Forecast'!E217</f>
        <v>29792695</v>
      </c>
      <c r="F108" s="18">
        <f>'D4 RIN Forecast'!F139+'D5 RIN Forecast'!F126+'D6 RIN Forecast'!F217</f>
        <v>10073593</v>
      </c>
      <c r="G108" s="18">
        <f>'D4 RIN Forecast'!G139+'D5 RIN Forecast'!G126+'D6 RIN Forecast'!G217</f>
        <v>23504986</v>
      </c>
      <c r="H108" s="18">
        <f>'D4 RIN Forecast'!H139+'D5 RIN Forecast'!H126+'D6 RIN Forecast'!H217</f>
        <v>32666214</v>
      </c>
      <c r="I108" s="18">
        <f>'D4 RIN Forecast'!I139+'D5 RIN Forecast'!I126+'D6 RIN Forecast'!I217</f>
        <v>37344009</v>
      </c>
      <c r="J108" s="18">
        <f>'D4 RIN Forecast'!J139+'D5 RIN Forecast'!J126+'D6 RIN Forecast'!J217</f>
        <v>54822410</v>
      </c>
      <c r="K108" s="18">
        <f>'D4 RIN Forecast'!K139+'D5 RIN Forecast'!K126+'D6 RIN Forecast'!K217</f>
        <v>69177080</v>
      </c>
      <c r="L108" s="18">
        <f>'D4 RIN Forecast'!L139+'D5 RIN Forecast'!L126+'D6 RIN Forecast'!L217</f>
        <v>81791761</v>
      </c>
      <c r="M108" s="18">
        <f>'D4 RIN Forecast'!M139+'D5 RIN Forecast'!M126+'D6 RIN Forecast'!M217</f>
        <v>94770789</v>
      </c>
      <c r="N108" s="18">
        <f>'D4 RIN Forecast'!N139+'D5 RIN Forecast'!N126+'D6 RIN Forecast'!N217</f>
        <v>216942829</v>
      </c>
      <c r="O108" s="18">
        <f>'D4 RIN Forecast'!O139+'D5 RIN Forecast'!O126+'D6 RIN Forecast'!O217</f>
        <v>393236384</v>
      </c>
      <c r="P108" s="18">
        <f>'D4 RIN Forecast'!P139+'D5 RIN Forecast'!P126+'D6 RIN Forecast'!P217</f>
        <v>435017870</v>
      </c>
      <c r="Q108" s="19">
        <f>'D4 RIN Forecast'!Q139+'D5 RIN Forecast'!Q126+'D6 RIN Forecast'!Q217</f>
        <v>339264979.23812646</v>
      </c>
      <c r="R108" s="19">
        <f>'D4 RIN Forecast'!R139+'D5 RIN Forecast'!R126+'D6 RIN Forecast'!R217</f>
        <v>372689055.22346669</v>
      </c>
      <c r="S108" s="19">
        <f>'D4 RIN Forecast'!S139+'D5 RIN Forecast'!S126+'D6 RIN Forecast'!S217</f>
        <v>411666768.25125927</v>
      </c>
      <c r="T108" s="19">
        <f>'D4 RIN Forecast'!T139+'D5 RIN Forecast'!T126+'D6 RIN Forecast'!T217</f>
        <v>419271532.59208232</v>
      </c>
      <c r="U108" s="19">
        <f>'D4 RIN Forecast'!U139+'D5 RIN Forecast'!U126+'D6 RIN Forecast'!U217</f>
        <v>405258662.89596957</v>
      </c>
      <c r="V108" s="19">
        <f>'D4 RIN Forecast'!V139+'D5 RIN Forecast'!V126+'D6 RIN Forecast'!V217</f>
        <v>424330627.96634817</v>
      </c>
      <c r="W108" s="19">
        <f>'D4 RIN Forecast'!W139+'D5 RIN Forecast'!W126+'D6 RIN Forecast'!W217</f>
        <v>460692792.13934392</v>
      </c>
      <c r="X108" s="19">
        <f>'D4 RIN Forecast'!X139+'D5 RIN Forecast'!X126+'D6 RIN Forecast'!X217</f>
        <v>547176640.62364149</v>
      </c>
      <c r="Y108" s="19">
        <f>'D4 RIN Forecast'!Y139+'D5 RIN Forecast'!Y126+'D6 RIN Forecast'!Y217</f>
        <v>543911426.94695926</v>
      </c>
      <c r="Z108" s="19">
        <f>'D4 RIN Forecast'!Z139+'D5 RIN Forecast'!Z126+'D6 RIN Forecast'!Z217</f>
        <v>527510321.86282915</v>
      </c>
      <c r="AA108" s="19"/>
      <c r="AB108" s="30">
        <f t="shared" si="51"/>
        <v>-9.32364663438634E-3</v>
      </c>
      <c r="AD108" s="18">
        <f t="shared" si="48"/>
        <v>103500973.8</v>
      </c>
      <c r="AE108" s="19">
        <f t="shared" si="49"/>
        <v>289735410.19999999</v>
      </c>
      <c r="AF108" s="19">
        <f t="shared" si="46"/>
        <v>176293555</v>
      </c>
      <c r="AG108" s="19">
        <f>O108/30</f>
        <v>13107879.466666667</v>
      </c>
      <c r="AH108" s="18">
        <f>AD108/30</f>
        <v>3450032.46</v>
      </c>
      <c r="AI108" s="19">
        <f t="shared" si="50"/>
        <v>9657847.0066666678</v>
      </c>
      <c r="AJ108" s="18">
        <f>'D4 Gallon Forecast'!BM141+'D5 Gallon Forecast'!AX128+'D6 Gallon Forecast'!BK217</f>
        <v>21101604.46301746</v>
      </c>
      <c r="AK108" s="18">
        <f t="shared" si="47"/>
        <v>372134779.53698254</v>
      </c>
    </row>
    <row r="109" spans="1:37">
      <c r="A109" s="14" t="s">
        <v>52</v>
      </c>
      <c r="B109" s="18">
        <f>'D4 RIN Forecast'!B140+'D5 RIN Forecast'!B127+'D6 RIN Forecast'!B218</f>
        <v>2354841</v>
      </c>
      <c r="C109" s="18">
        <f>'D4 RIN Forecast'!C140+'D5 RIN Forecast'!C127+'D6 RIN Forecast'!C218</f>
        <v>11444811</v>
      </c>
      <c r="D109" s="18">
        <f>'D4 RIN Forecast'!D140+'D5 RIN Forecast'!D127+'D6 RIN Forecast'!D218</f>
        <v>6453765</v>
      </c>
      <c r="E109" s="18">
        <f>'D4 RIN Forecast'!E140+'D5 RIN Forecast'!E127+'D6 RIN Forecast'!E218</f>
        <v>31982380</v>
      </c>
      <c r="F109" s="18">
        <f>'D4 RIN Forecast'!F140+'D5 RIN Forecast'!F127+'D6 RIN Forecast'!F218</f>
        <v>24979312</v>
      </c>
      <c r="G109" s="18">
        <f>'D4 RIN Forecast'!G140+'D5 RIN Forecast'!G127+'D6 RIN Forecast'!G218</f>
        <v>22799292</v>
      </c>
      <c r="H109" s="18">
        <f>'D4 RIN Forecast'!H140+'D5 RIN Forecast'!H127+'D6 RIN Forecast'!H218</f>
        <v>35087625</v>
      </c>
      <c r="I109" s="18">
        <f>'D4 RIN Forecast'!I140+'D5 RIN Forecast'!I127+'D6 RIN Forecast'!I218</f>
        <v>43089647</v>
      </c>
      <c r="J109" s="18">
        <f>'D4 RIN Forecast'!J140+'D5 RIN Forecast'!J127+'D6 RIN Forecast'!J218</f>
        <v>66309137</v>
      </c>
      <c r="K109" s="18">
        <f>'D4 RIN Forecast'!K140+'D5 RIN Forecast'!K127+'D6 RIN Forecast'!K218</f>
        <v>82567731</v>
      </c>
      <c r="L109" s="18">
        <f>'D4 RIN Forecast'!L140+'D5 RIN Forecast'!L127+'D6 RIN Forecast'!L218</f>
        <v>42903805</v>
      </c>
      <c r="M109" s="18">
        <f>'D4 RIN Forecast'!M140+'D5 RIN Forecast'!M127+'D6 RIN Forecast'!M218</f>
        <v>131486536</v>
      </c>
      <c r="N109" s="18">
        <f>'D4 RIN Forecast'!N140+'D5 RIN Forecast'!N127+'D6 RIN Forecast'!N218</f>
        <v>193188640</v>
      </c>
      <c r="O109" s="18">
        <f>'D4 RIN Forecast'!O140+'D5 RIN Forecast'!O127+'D6 RIN Forecast'!O218</f>
        <v>358232123</v>
      </c>
      <c r="P109" s="18">
        <f>'D4 RIN Forecast'!P140+'D5 RIN Forecast'!P127+'D6 RIN Forecast'!P218</f>
        <v>486719053</v>
      </c>
      <c r="Q109" s="19">
        <f>'D4 RIN Forecast'!Q140+'D5 RIN Forecast'!Q127+'D6 RIN Forecast'!Q218</f>
        <v>368301079.40146667</v>
      </c>
      <c r="R109" s="19">
        <f>'D4 RIN Forecast'!R140+'D5 RIN Forecast'!R127+'D6 RIN Forecast'!R218</f>
        <v>405591888.26293498</v>
      </c>
      <c r="S109" s="19">
        <f>'D4 RIN Forecast'!S140+'D5 RIN Forecast'!S127+'D6 RIN Forecast'!S218</f>
        <v>447327657.78025591</v>
      </c>
      <c r="T109" s="19">
        <f>'D4 RIN Forecast'!T140+'D5 RIN Forecast'!T127+'D6 RIN Forecast'!T218</f>
        <v>456150796.66138947</v>
      </c>
      <c r="U109" s="19">
        <f>'D4 RIN Forecast'!U140+'D5 RIN Forecast'!U127+'D6 RIN Forecast'!U218</f>
        <v>445325558.05558336</v>
      </c>
      <c r="V109" s="19">
        <f>'D4 RIN Forecast'!V140+'D5 RIN Forecast'!V127+'D6 RIN Forecast'!V218</f>
        <v>466283119.89396697</v>
      </c>
      <c r="W109" s="19">
        <f>'D4 RIN Forecast'!W140+'D5 RIN Forecast'!W127+'D6 RIN Forecast'!W218</f>
        <v>506240318.92515665</v>
      </c>
      <c r="X109" s="19">
        <f>'D4 RIN Forecast'!X140+'D5 RIN Forecast'!X127+'D6 RIN Forecast'!X218</f>
        <v>601274605.95025802</v>
      </c>
      <c r="Y109" s="19">
        <f>'D4 RIN Forecast'!Y140+'D5 RIN Forecast'!Y127+'D6 RIN Forecast'!Y218</f>
        <v>597686568.88684678</v>
      </c>
      <c r="Z109" s="19">
        <f>'D4 RIN Forecast'!Z140+'D5 RIN Forecast'!Z127+'D6 RIN Forecast'!Z218</f>
        <v>579663928.18096888</v>
      </c>
      <c r="AA109" s="19"/>
      <c r="AB109" s="30">
        <f t="shared" si="51"/>
        <v>-8.9015824639461671E-2</v>
      </c>
      <c r="AD109" s="18">
        <f t="shared" si="48"/>
        <v>103291169.8</v>
      </c>
      <c r="AE109" s="19">
        <f t="shared" si="49"/>
        <v>254940953.19999999</v>
      </c>
      <c r="AF109" s="19">
        <f t="shared" si="46"/>
        <v>165043483</v>
      </c>
      <c r="AG109" s="19">
        <f>O109/31</f>
        <v>11555874.935483871</v>
      </c>
      <c r="AH109" s="18">
        <f>AD109/31</f>
        <v>3331973.2193548386</v>
      </c>
      <c r="AI109" s="19">
        <f t="shared" si="50"/>
        <v>8223901.7161290329</v>
      </c>
      <c r="AJ109" s="18">
        <f>'D4 Gallon Forecast'!BM142+'D5 Gallon Forecast'!AX129+'D6 Gallon Forecast'!BK218</f>
        <v>20966788.408679701</v>
      </c>
      <c r="AK109" s="18">
        <f t="shared" si="47"/>
        <v>337265334.59132028</v>
      </c>
    </row>
    <row r="110" spans="1:37">
      <c r="A110" s="14" t="s">
        <v>53</v>
      </c>
      <c r="B110" s="18">
        <f>'D4 RIN Forecast'!B141+'D5 RIN Forecast'!B128+'D6 RIN Forecast'!B219</f>
        <v>3653218</v>
      </c>
      <c r="C110" s="18">
        <f>'D4 RIN Forecast'!C141+'D5 RIN Forecast'!C128+'D6 RIN Forecast'!C219</f>
        <v>8550924</v>
      </c>
      <c r="D110" s="18">
        <f>'D4 RIN Forecast'!D141+'D5 RIN Forecast'!D128+'D6 RIN Forecast'!D219</f>
        <v>9430224</v>
      </c>
      <c r="E110" s="18">
        <f>'D4 RIN Forecast'!E141+'D5 RIN Forecast'!E128+'D6 RIN Forecast'!E219</f>
        <v>26529023</v>
      </c>
      <c r="F110" s="18">
        <f>'D4 RIN Forecast'!F141+'D5 RIN Forecast'!F128+'D6 RIN Forecast'!F219</f>
        <v>27945225</v>
      </c>
      <c r="G110" s="18">
        <f>'D4 RIN Forecast'!G141+'D5 RIN Forecast'!G128+'D6 RIN Forecast'!G219</f>
        <v>21506371</v>
      </c>
      <c r="H110" s="18">
        <f>'D4 RIN Forecast'!H141+'D5 RIN Forecast'!H128+'D6 RIN Forecast'!H219</f>
        <v>46514145</v>
      </c>
      <c r="I110" s="18">
        <f>'D4 RIN Forecast'!I141+'D5 RIN Forecast'!I128+'D6 RIN Forecast'!I219</f>
        <v>39400589</v>
      </c>
      <c r="J110" s="18">
        <f>'D4 RIN Forecast'!J141+'D5 RIN Forecast'!J128+'D6 RIN Forecast'!J219</f>
        <v>68553218</v>
      </c>
      <c r="K110" s="18">
        <f>'D4 RIN Forecast'!K141+'D5 RIN Forecast'!K128+'D6 RIN Forecast'!K219</f>
        <v>72274854</v>
      </c>
      <c r="L110" s="18">
        <f>'D4 RIN Forecast'!L141+'D5 RIN Forecast'!L128+'D6 RIN Forecast'!L219</f>
        <v>83401821</v>
      </c>
      <c r="M110" s="18">
        <f>'D4 RIN Forecast'!M141+'D5 RIN Forecast'!M128+'D6 RIN Forecast'!M219</f>
        <v>173163903</v>
      </c>
      <c r="N110" s="18">
        <f>'D4 RIN Forecast'!N141+'D5 RIN Forecast'!N128+'D6 RIN Forecast'!N219</f>
        <v>290628153</v>
      </c>
      <c r="O110" s="18">
        <f>'D4 RIN Forecast'!O141+'D5 RIN Forecast'!O128+'D6 RIN Forecast'!O219</f>
        <v>344852304</v>
      </c>
      <c r="P110" s="18">
        <f>'D4 RIN Forecast'!P141+'D5 RIN Forecast'!P128+'D6 RIN Forecast'!P219</f>
        <v>440068631</v>
      </c>
      <c r="Q110" s="19">
        <f>'D4 RIN Forecast'!Q141+'D5 RIN Forecast'!Q128+'D6 RIN Forecast'!Q219</f>
        <v>397767865.73534453</v>
      </c>
      <c r="R110" s="19">
        <f>'D4 RIN Forecast'!R141+'D5 RIN Forecast'!R128+'D6 RIN Forecast'!R219</f>
        <v>489610380.81173742</v>
      </c>
      <c r="S110" s="19">
        <f>'D4 RIN Forecast'!S141+'D5 RIN Forecast'!S128+'D6 RIN Forecast'!S219</f>
        <v>541344578.7155112</v>
      </c>
      <c r="T110" s="19">
        <f>'D4 RIN Forecast'!T141+'D5 RIN Forecast'!T128+'D6 RIN Forecast'!T219</f>
        <v>550980218.18517172</v>
      </c>
      <c r="U110" s="19">
        <f>'D4 RIN Forecast'!U141+'D5 RIN Forecast'!U128+'D6 RIN Forecast'!U219</f>
        <v>541060691.24889874</v>
      </c>
      <c r="V110" s="19">
        <f>'D4 RIN Forecast'!V141+'D5 RIN Forecast'!V128+'D6 RIN Forecast'!V219</f>
        <v>566523664.77477956</v>
      </c>
      <c r="W110" s="19">
        <f>'D4 RIN Forecast'!W141+'D5 RIN Forecast'!W128+'D6 RIN Forecast'!W219</f>
        <v>615070776.74064362</v>
      </c>
      <c r="X110" s="19">
        <f>'D4 RIN Forecast'!X141+'D5 RIN Forecast'!X128+'D6 RIN Forecast'!X219</f>
        <v>730535330.93029928</v>
      </c>
      <c r="Y110" s="19">
        <f>'D4 RIN Forecast'!Y141+'D5 RIN Forecast'!Y128+'D6 RIN Forecast'!Y219</f>
        <v>726175945.35577166</v>
      </c>
      <c r="Z110" s="19">
        <f>'D4 RIN Forecast'!Z141+'D5 RIN Forecast'!Z128+'D6 RIN Forecast'!Z219</f>
        <v>704278836.01170015</v>
      </c>
      <c r="AA110" s="19"/>
      <c r="AB110" s="30">
        <f t="shared" si="51"/>
        <v>-3.7349579060502069E-2</v>
      </c>
      <c r="AD110" s="18">
        <f t="shared" si="48"/>
        <v>137604389.80000001</v>
      </c>
      <c r="AE110" s="19">
        <f t="shared" si="49"/>
        <v>207247914.19999999</v>
      </c>
      <c r="AF110" s="19">
        <f t="shared" si="46"/>
        <v>54224151</v>
      </c>
      <c r="AG110" s="19">
        <f>O110/30</f>
        <v>11495076.800000001</v>
      </c>
      <c r="AH110" s="18">
        <f>AD110/30</f>
        <v>4586812.9933333341</v>
      </c>
      <c r="AI110" s="19">
        <f t="shared" si="50"/>
        <v>6908263.8066666666</v>
      </c>
      <c r="AJ110" s="18">
        <f>'D4 Gallon Forecast'!BM143+'D5 Gallon Forecast'!AX130+'D6 Gallon Forecast'!BK219</f>
        <v>-5910073.1820442444</v>
      </c>
      <c r="AK110" s="18">
        <f t="shared" si="47"/>
        <v>350762377.18204427</v>
      </c>
    </row>
    <row r="111" spans="1:37">
      <c r="A111" s="14" t="s">
        <v>54</v>
      </c>
      <c r="B111" s="18">
        <f>'D4 RIN Forecast'!B142+'D5 RIN Forecast'!B129+'D6 RIN Forecast'!B220</f>
        <v>5007247</v>
      </c>
      <c r="C111" s="18">
        <f>'D4 RIN Forecast'!C142+'D5 RIN Forecast'!C129+'D6 RIN Forecast'!C220</f>
        <v>10859400</v>
      </c>
      <c r="D111" s="18">
        <f>'D4 RIN Forecast'!D142+'D5 RIN Forecast'!D129+'D6 RIN Forecast'!D220</f>
        <v>6396924</v>
      </c>
      <c r="E111" s="18">
        <f>'D4 RIN Forecast'!E142+'D5 RIN Forecast'!E129+'D6 RIN Forecast'!E220</f>
        <v>23438520</v>
      </c>
      <c r="F111" s="18">
        <f>'D4 RIN Forecast'!F142+'D5 RIN Forecast'!F129+'D6 RIN Forecast'!F220</f>
        <v>38774367</v>
      </c>
      <c r="G111" s="18">
        <f>'D4 RIN Forecast'!G142+'D5 RIN Forecast'!G129+'D6 RIN Forecast'!G220</f>
        <v>22637788</v>
      </c>
      <c r="H111" s="18">
        <f>'D4 RIN Forecast'!H142+'D5 RIN Forecast'!H129+'D6 RIN Forecast'!H220</f>
        <v>46166903</v>
      </c>
      <c r="I111" s="18">
        <f>'D4 RIN Forecast'!I142+'D5 RIN Forecast'!I129+'D6 RIN Forecast'!I220</f>
        <v>43391432</v>
      </c>
      <c r="J111" s="18">
        <f>'D4 RIN Forecast'!J142+'D5 RIN Forecast'!J129+'D6 RIN Forecast'!J220</f>
        <v>80461792</v>
      </c>
      <c r="K111" s="18">
        <f>'D4 RIN Forecast'!K142+'D5 RIN Forecast'!K129+'D6 RIN Forecast'!K220</f>
        <v>89753539</v>
      </c>
      <c r="L111" s="18">
        <f>'D4 RIN Forecast'!L142+'D5 RIN Forecast'!L129+'D6 RIN Forecast'!L220</f>
        <v>98273647</v>
      </c>
      <c r="M111" s="18">
        <f>'D4 RIN Forecast'!M142+'D5 RIN Forecast'!M129+'D6 RIN Forecast'!M220</f>
        <v>201059849</v>
      </c>
      <c r="N111" s="18">
        <f>'D4 RIN Forecast'!N142+'D5 RIN Forecast'!N129+'D6 RIN Forecast'!N220</f>
        <v>259095324</v>
      </c>
      <c r="O111" s="18">
        <f>'D4 RIN Forecast'!O142+'D5 RIN Forecast'!O129+'D6 RIN Forecast'!O220</f>
        <v>461448141</v>
      </c>
      <c r="P111" s="18">
        <f>'D4 RIN Forecast'!P142+'D5 RIN Forecast'!P129+'D6 RIN Forecast'!P220</f>
        <v>528649158</v>
      </c>
      <c r="Q111" s="19">
        <f>'D4 RIN Forecast'!Q142+'D5 RIN Forecast'!Q129+'D6 RIN Forecast'!Q220</f>
        <v>482760564.44396293</v>
      </c>
      <c r="R111" s="19">
        <f>'D4 RIN Forecast'!R142+'D5 RIN Forecast'!R129+'D6 RIN Forecast'!R220</f>
        <v>557580434.39119363</v>
      </c>
      <c r="S111" s="19">
        <f>'D4 RIN Forecast'!S142+'D5 RIN Forecast'!S129+'D6 RIN Forecast'!S220</f>
        <v>612695396.18996274</v>
      </c>
      <c r="T111" s="19">
        <f>'D4 RIN Forecast'!T142+'D5 RIN Forecast'!T129+'D6 RIN Forecast'!T220</f>
        <v>623230438.92589283</v>
      </c>
      <c r="U111" s="19">
        <f>'D4 RIN Forecast'!U142+'D5 RIN Forecast'!U129+'D6 RIN Forecast'!U220</f>
        <v>613925750.00162244</v>
      </c>
      <c r="V111" s="19">
        <f>'D4 RIN Forecast'!V142+'D5 RIN Forecast'!V129+'D6 RIN Forecast'!V220</f>
        <v>642817841.72439063</v>
      </c>
      <c r="W111" s="19">
        <f>'D4 RIN Forecast'!W142+'D5 RIN Forecast'!W129+'D6 RIN Forecast'!W220</f>
        <v>697902830.53638506</v>
      </c>
      <c r="X111" s="19">
        <f>'D4 RIN Forecast'!X142+'D5 RIN Forecast'!X129+'D6 RIN Forecast'!X220</f>
        <v>828917084.90009475</v>
      </c>
      <c r="Y111" s="19">
        <f>'D4 RIN Forecast'!Y142+'D5 RIN Forecast'!Y129+'D6 RIN Forecast'!Y220</f>
        <v>823970617.52281916</v>
      </c>
      <c r="Z111" s="19">
        <f>'D4 RIN Forecast'!Z142+'D5 RIN Forecast'!Z129+'D6 RIN Forecast'!Z220</f>
        <v>799124607.64933074</v>
      </c>
      <c r="AA111" s="19"/>
      <c r="AB111" s="30">
        <f t="shared" si="51"/>
        <v>0.33810369148642838</v>
      </c>
      <c r="AD111" s="18">
        <f t="shared" si="48"/>
        <v>145728830.19999999</v>
      </c>
      <c r="AE111" s="19">
        <f t="shared" si="49"/>
        <v>315719310.80000001</v>
      </c>
      <c r="AF111" s="19">
        <f t="shared" si="46"/>
        <v>202352817</v>
      </c>
      <c r="AG111" s="19">
        <f>O111/31</f>
        <v>14885423.903225806</v>
      </c>
      <c r="AH111" s="18">
        <f>AD111/31</f>
        <v>4700930.0064516123</v>
      </c>
      <c r="AI111" s="19">
        <f t="shared" si="50"/>
        <v>10184493.896774193</v>
      </c>
      <c r="AJ111" s="18">
        <f>'D4 Gallon Forecast'!BM144+'D5 Gallon Forecast'!AX131+'D6 Gallon Forecast'!BK220</f>
        <v>48736940.673882216</v>
      </c>
      <c r="AK111" s="18">
        <f t="shared" si="47"/>
        <v>412711200.32611775</v>
      </c>
    </row>
    <row r="112" spans="1:37">
      <c r="A112" s="14" t="s">
        <v>29</v>
      </c>
      <c r="B112" s="18">
        <f>SUM(B100:B111)</f>
        <v>14378646</v>
      </c>
      <c r="C112" s="18">
        <f t="shared" ref="C112:L112" si="52">SUM(C100:C111)</f>
        <v>102734605</v>
      </c>
      <c r="D112" s="18">
        <f t="shared" si="52"/>
        <v>87736157</v>
      </c>
      <c r="E112" s="18">
        <f t="shared" si="52"/>
        <v>189593287</v>
      </c>
      <c r="F112" s="18">
        <f t="shared" si="52"/>
        <v>269753404</v>
      </c>
      <c r="G112" s="18">
        <f t="shared" si="52"/>
        <v>300211189</v>
      </c>
      <c r="H112" s="18">
        <f t="shared" si="52"/>
        <v>410528938</v>
      </c>
      <c r="I112" s="18">
        <f t="shared" si="52"/>
        <v>439182099</v>
      </c>
      <c r="J112" s="18">
        <f t="shared" si="52"/>
        <v>519324091</v>
      </c>
      <c r="K112" s="18">
        <f t="shared" si="52"/>
        <v>836633793</v>
      </c>
      <c r="L112" s="18">
        <f t="shared" si="52"/>
        <v>906845802</v>
      </c>
      <c r="M112" s="18">
        <f>SUM(M100:M111)</f>
        <v>1437168757</v>
      </c>
      <c r="N112" s="18">
        <f>SUM(N100:N111)</f>
        <v>2470158587</v>
      </c>
      <c r="O112" s="18">
        <f>SUM(O100:O111)</f>
        <v>4074596554</v>
      </c>
      <c r="P112" s="18">
        <f>SUM(P100:P111)</f>
        <v>5281495490</v>
      </c>
      <c r="Q112" s="19">
        <f>SUM(Q100:Q111)</f>
        <v>4325925690.6551743</v>
      </c>
      <c r="R112" s="19">
        <f t="shared" ref="R112:Z112" si="53">SUM(R100:R111)</f>
        <v>4571373251.0048094</v>
      </c>
      <c r="S112" s="19">
        <f t="shared" si="53"/>
        <v>5042571957.018465</v>
      </c>
      <c r="T112" s="19">
        <f t="shared" si="53"/>
        <v>5139552206.1635313</v>
      </c>
      <c r="U112" s="19">
        <f t="shared" si="53"/>
        <v>5008685414.845787</v>
      </c>
      <c r="V112" s="19">
        <f t="shared" si="53"/>
        <v>5244400236.0857096</v>
      </c>
      <c r="W112" s="19">
        <f t="shared" si="53"/>
        <v>5693808621.4464035</v>
      </c>
      <c r="X112" s="19">
        <f t="shared" si="53"/>
        <v>6762682479.5093212</v>
      </c>
      <c r="Y112" s="19">
        <f t="shared" si="53"/>
        <v>6722326949.5327749</v>
      </c>
      <c r="Z112" s="19">
        <f t="shared" si="53"/>
        <v>6519621903.7350912</v>
      </c>
      <c r="AA112" s="19"/>
      <c r="AD112" s="18">
        <f t="shared" si="48"/>
        <v>1234026206</v>
      </c>
      <c r="AE112" s="19">
        <f t="shared" si="49"/>
        <v>2840570348</v>
      </c>
    </row>
    <row r="113" spans="1:35">
      <c r="M113" s="25">
        <f>M105/L105-1</f>
        <v>0.29431052189474327</v>
      </c>
      <c r="N113" s="25">
        <f>N105/M105-1</f>
        <v>0.6878968150288356</v>
      </c>
      <c r="O113" s="25">
        <f>O105/N105-1</f>
        <v>0.7211646183091398</v>
      </c>
      <c r="P113" s="25">
        <f>P105/O105-1</f>
        <v>0.39970188702340814</v>
      </c>
      <c r="Q113" s="25">
        <f>Q105/P105-1</f>
        <v>-0.30146137228415548</v>
      </c>
      <c r="R113" s="26"/>
      <c r="S113" s="26"/>
      <c r="T113" s="26"/>
      <c r="U113" s="26"/>
      <c r="V113" s="26"/>
      <c r="W113" s="26"/>
      <c r="X113" s="26"/>
      <c r="Y113" s="26"/>
      <c r="Z113" s="26"/>
      <c r="AA113" s="18"/>
    </row>
    <row r="114" spans="1:35" ht="15.75">
      <c r="A114" s="15" t="s">
        <v>63</v>
      </c>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8"/>
      <c r="AB114" s="16"/>
      <c r="AC114" s="16"/>
      <c r="AD114" s="16"/>
      <c r="AE114" s="16"/>
      <c r="AF114" s="16"/>
      <c r="AG114" s="16"/>
      <c r="AH114" s="16"/>
      <c r="AI114" s="16"/>
    </row>
    <row r="115" spans="1:35">
      <c r="B115" s="14">
        <f>B35</f>
        <v>2010</v>
      </c>
      <c r="C115" s="14">
        <f t="shared" ref="C115:L115" si="54">C35</f>
        <v>2011</v>
      </c>
      <c r="D115" s="14">
        <f t="shared" si="54"/>
        <v>2012</v>
      </c>
      <c r="E115" s="14">
        <f t="shared" si="54"/>
        <v>2013</v>
      </c>
      <c r="F115" s="14">
        <f t="shared" si="54"/>
        <v>2014</v>
      </c>
      <c r="G115" s="14">
        <f t="shared" si="54"/>
        <v>2015</v>
      </c>
      <c r="H115" s="14">
        <f t="shared" si="54"/>
        <v>2016</v>
      </c>
      <c r="I115" s="14">
        <f t="shared" si="54"/>
        <v>2017</v>
      </c>
      <c r="J115" s="14">
        <f t="shared" si="54"/>
        <v>2018</v>
      </c>
      <c r="K115" s="14">
        <f t="shared" si="54"/>
        <v>2019</v>
      </c>
      <c r="L115" s="14">
        <f t="shared" si="54"/>
        <v>2020</v>
      </c>
      <c r="M115" s="14">
        <f>M35</f>
        <v>2021</v>
      </c>
      <c r="N115" s="14">
        <f>N35</f>
        <v>2022</v>
      </c>
      <c r="O115" s="14">
        <f>O35</f>
        <v>2023</v>
      </c>
      <c r="P115" s="14">
        <f>P35</f>
        <v>2024</v>
      </c>
      <c r="Q115" s="14">
        <f>Q35</f>
        <v>2025</v>
      </c>
      <c r="R115" s="14">
        <f t="shared" ref="R115:Z115" si="55">R35</f>
        <v>2026</v>
      </c>
      <c r="S115" s="14">
        <f t="shared" si="55"/>
        <v>2027</v>
      </c>
      <c r="T115" s="14">
        <f t="shared" si="55"/>
        <v>2028</v>
      </c>
      <c r="U115" s="14">
        <f t="shared" si="55"/>
        <v>2029</v>
      </c>
      <c r="V115" s="14">
        <f t="shared" si="55"/>
        <v>2030</v>
      </c>
      <c r="W115" s="14">
        <f t="shared" si="55"/>
        <v>2031</v>
      </c>
      <c r="X115" s="14">
        <f t="shared" si="55"/>
        <v>2032</v>
      </c>
      <c r="Y115" s="14">
        <f t="shared" si="55"/>
        <v>2033</v>
      </c>
      <c r="Z115" s="14">
        <f t="shared" si="55"/>
        <v>2034</v>
      </c>
      <c r="AA115" s="18"/>
      <c r="AD115" s="14" t="s">
        <v>37</v>
      </c>
      <c r="AE115" s="14" t="s">
        <v>38</v>
      </c>
      <c r="AF115" s="14" t="s">
        <v>39</v>
      </c>
      <c r="AG115" s="14" t="s">
        <v>40</v>
      </c>
      <c r="AH115" s="14" t="s">
        <v>41</v>
      </c>
      <c r="AI115" s="14" t="s">
        <v>42</v>
      </c>
    </row>
    <row r="116" spans="1:35">
      <c r="A116" s="14" t="s">
        <v>43</v>
      </c>
      <c r="B116" s="18">
        <f>'D4 RIN Forecast'!B259+'D5 RIN Forecast'!B166+'D6 RIN Forecast'!B241</f>
        <v>0</v>
      </c>
      <c r="C116" s="18">
        <f>'D4 RIN Forecast'!C259+'D5 RIN Forecast'!C166+'D6 RIN Forecast'!C241</f>
        <v>0</v>
      </c>
      <c r="D116" s="18">
        <f>'D4 RIN Forecast'!D259+'D5 RIN Forecast'!D166+'D6 RIN Forecast'!D241</f>
        <v>0</v>
      </c>
      <c r="E116" s="18">
        <f>'D4 RIN Forecast'!E259+'D5 RIN Forecast'!E166+'D6 RIN Forecast'!E241</f>
        <v>0</v>
      </c>
      <c r="F116" s="18">
        <f>'D4 RIN Forecast'!F259+'D5 RIN Forecast'!F166+'D6 RIN Forecast'!F241</f>
        <v>9541081</v>
      </c>
      <c r="G116" s="18">
        <f>'D4 RIN Forecast'!G259+'D5 RIN Forecast'!G166+'D6 RIN Forecast'!G241</f>
        <v>0</v>
      </c>
      <c r="H116" s="18">
        <f>'D4 RIN Forecast'!H259+'D5 RIN Forecast'!H166+'D6 RIN Forecast'!H241</f>
        <v>0</v>
      </c>
      <c r="I116" s="18">
        <f>'D4 RIN Forecast'!I259+'D5 RIN Forecast'!I166+'D6 RIN Forecast'!I241</f>
        <v>0</v>
      </c>
      <c r="J116" s="18">
        <f>'D4 RIN Forecast'!J259+'D5 RIN Forecast'!J166+'D6 RIN Forecast'!J241</f>
        <v>0</v>
      </c>
      <c r="K116" s="18">
        <f>'D4 RIN Forecast'!K259+'D5 RIN Forecast'!K166+'D6 RIN Forecast'!K241</f>
        <v>0</v>
      </c>
      <c r="L116" s="18">
        <f>'D4 RIN Forecast'!L259+'D5 RIN Forecast'!L166+'D6 RIN Forecast'!L241</f>
        <v>0</v>
      </c>
      <c r="M116" s="18">
        <f>'D4 RIN Forecast'!M259+'D5 RIN Forecast'!M166+'D6 RIN Forecast'!M241</f>
        <v>4861840</v>
      </c>
      <c r="N116" s="18">
        <f>'D4 RIN Forecast'!N259+'D5 RIN Forecast'!N166+'D6 RIN Forecast'!N241</f>
        <v>0</v>
      </c>
      <c r="O116" s="18">
        <f>'D4 RIN Forecast'!O259+'D5 RIN Forecast'!O166+'D6 RIN Forecast'!O241</f>
        <v>0</v>
      </c>
      <c r="P116" s="18">
        <f>'D4 RIN Forecast'!P259+'D5 RIN Forecast'!P166+'D6 RIN Forecast'!P241</f>
        <v>0</v>
      </c>
      <c r="Q116" s="19">
        <f>'D4 RIN Forecast'!Q259+'D5 RIN Forecast'!Q166+'D6 RIN Forecast'!Q241</f>
        <v>0</v>
      </c>
      <c r="R116" s="19">
        <f>'D4 RIN Forecast'!R259+'D5 RIN Forecast'!R166+'D6 RIN Forecast'!R241</f>
        <v>0</v>
      </c>
      <c r="S116" s="19">
        <f>'D4 RIN Forecast'!S259+'D5 RIN Forecast'!S166+'D6 RIN Forecast'!S241</f>
        <v>0</v>
      </c>
      <c r="T116" s="19">
        <f>'D4 RIN Forecast'!T259+'D5 RIN Forecast'!T166+'D6 RIN Forecast'!T241</f>
        <v>0</v>
      </c>
      <c r="U116" s="19">
        <f>'D4 RIN Forecast'!U259+'D5 RIN Forecast'!U166+'D6 RIN Forecast'!U241</f>
        <v>0</v>
      </c>
      <c r="V116" s="19">
        <f>'D4 RIN Forecast'!V259+'D5 RIN Forecast'!V166+'D6 RIN Forecast'!V241</f>
        <v>0</v>
      </c>
      <c r="W116" s="19">
        <f>'D4 RIN Forecast'!W259+'D5 RIN Forecast'!W166+'D6 RIN Forecast'!W241</f>
        <v>0</v>
      </c>
      <c r="X116" s="19">
        <f>'D4 RIN Forecast'!X259+'D5 RIN Forecast'!X166+'D6 RIN Forecast'!X241</f>
        <v>0</v>
      </c>
      <c r="Y116" s="19">
        <f>'D4 RIN Forecast'!Y259+'D5 RIN Forecast'!Y166+'D6 RIN Forecast'!Y241</f>
        <v>0</v>
      </c>
      <c r="Z116" s="19">
        <f>'D4 RIN Forecast'!Z259+'D5 RIN Forecast'!Z166+'D6 RIN Forecast'!Z241</f>
        <v>0</v>
      </c>
      <c r="AA116" s="19"/>
      <c r="AB116" s="20"/>
      <c r="AD116" s="18">
        <f>AVERAGE(J116:N116)</f>
        <v>972368</v>
      </c>
      <c r="AE116" s="18">
        <f>O116-AD116</f>
        <v>-972368</v>
      </c>
      <c r="AF116" s="18">
        <f t="shared" ref="AF116:AF127" si="56">O116-N116</f>
        <v>0</v>
      </c>
      <c r="AG116" s="18">
        <f>O116/31</f>
        <v>0</v>
      </c>
      <c r="AH116" s="18">
        <f>AD116/31</f>
        <v>31366.709677419356</v>
      </c>
      <c r="AI116" s="18">
        <f>AG116-AH116</f>
        <v>-31366.709677419356</v>
      </c>
    </row>
    <row r="117" spans="1:35">
      <c r="A117" s="14" t="s">
        <v>44</v>
      </c>
      <c r="B117" s="18">
        <f>'D4 RIN Forecast'!B260+'D5 RIN Forecast'!B167+'D6 RIN Forecast'!B242</f>
        <v>0</v>
      </c>
      <c r="C117" s="18">
        <f>'D4 RIN Forecast'!C260+'D5 RIN Forecast'!C167+'D6 RIN Forecast'!C242</f>
        <v>0</v>
      </c>
      <c r="D117" s="18">
        <f>'D4 RIN Forecast'!D260+'D5 RIN Forecast'!D167+'D6 RIN Forecast'!D242</f>
        <v>0</v>
      </c>
      <c r="E117" s="18">
        <f>'D4 RIN Forecast'!E260+'D5 RIN Forecast'!E167+'D6 RIN Forecast'!E242</f>
        <v>4090016</v>
      </c>
      <c r="F117" s="18">
        <f>'D4 RIN Forecast'!F260+'D5 RIN Forecast'!F167+'D6 RIN Forecast'!F242</f>
        <v>0</v>
      </c>
      <c r="G117" s="18">
        <f>'D4 RIN Forecast'!G260+'D5 RIN Forecast'!G167+'D6 RIN Forecast'!G242</f>
        <v>0</v>
      </c>
      <c r="H117" s="18">
        <f>'D4 RIN Forecast'!H260+'D5 RIN Forecast'!H167+'D6 RIN Forecast'!H242</f>
        <v>0</v>
      </c>
      <c r="I117" s="18">
        <f>'D4 RIN Forecast'!I260+'D5 RIN Forecast'!I167+'D6 RIN Forecast'!I242</f>
        <v>0</v>
      </c>
      <c r="J117" s="18">
        <f>'D4 RIN Forecast'!J260+'D5 RIN Forecast'!J167+'D6 RIN Forecast'!J242</f>
        <v>0</v>
      </c>
      <c r="K117" s="18">
        <f>'D4 RIN Forecast'!K260+'D5 RIN Forecast'!K167+'D6 RIN Forecast'!K242</f>
        <v>0</v>
      </c>
      <c r="L117" s="18">
        <f>'D4 RIN Forecast'!L260+'D5 RIN Forecast'!L167+'D6 RIN Forecast'!L242</f>
        <v>0</v>
      </c>
      <c r="M117" s="18">
        <f>'D4 RIN Forecast'!M260+'D5 RIN Forecast'!M167+'D6 RIN Forecast'!M242</f>
        <v>0</v>
      </c>
      <c r="N117" s="18">
        <f>'D4 RIN Forecast'!N260+'D5 RIN Forecast'!N167+'D6 RIN Forecast'!N242</f>
        <v>0</v>
      </c>
      <c r="O117" s="18">
        <f>'D4 RIN Forecast'!O260+'D5 RIN Forecast'!O167+'D6 RIN Forecast'!O242</f>
        <v>0</v>
      </c>
      <c r="P117" s="18">
        <f>'D4 RIN Forecast'!P260+'D5 RIN Forecast'!P167+'D6 RIN Forecast'!P242</f>
        <v>0</v>
      </c>
      <c r="Q117" s="19">
        <f>'D4 RIN Forecast'!Q260+'D5 RIN Forecast'!Q167+'D6 RIN Forecast'!Q242</f>
        <v>0</v>
      </c>
      <c r="R117" s="19">
        <f>'D4 RIN Forecast'!R260+'D5 RIN Forecast'!R167+'D6 RIN Forecast'!R242</f>
        <v>0</v>
      </c>
      <c r="S117" s="19">
        <f>'D4 RIN Forecast'!S260+'D5 RIN Forecast'!S167+'D6 RIN Forecast'!S242</f>
        <v>0</v>
      </c>
      <c r="T117" s="19">
        <f>'D4 RIN Forecast'!T260+'D5 RIN Forecast'!T167+'D6 RIN Forecast'!T242</f>
        <v>0</v>
      </c>
      <c r="U117" s="19">
        <f>'D4 RIN Forecast'!U260+'D5 RIN Forecast'!U167+'D6 RIN Forecast'!U242</f>
        <v>0</v>
      </c>
      <c r="V117" s="19">
        <f>'D4 RIN Forecast'!V260+'D5 RIN Forecast'!V167+'D6 RIN Forecast'!V242</f>
        <v>0</v>
      </c>
      <c r="W117" s="19">
        <f>'D4 RIN Forecast'!W260+'D5 RIN Forecast'!W167+'D6 RIN Forecast'!W242</f>
        <v>0</v>
      </c>
      <c r="X117" s="19">
        <f>'D4 RIN Forecast'!X260+'D5 RIN Forecast'!X167+'D6 RIN Forecast'!X242</f>
        <v>0</v>
      </c>
      <c r="Y117" s="19">
        <f>'D4 RIN Forecast'!Y260+'D5 RIN Forecast'!Y167+'D6 RIN Forecast'!Y242</f>
        <v>0</v>
      </c>
      <c r="Z117" s="19">
        <f>'D4 RIN Forecast'!Z260+'D5 RIN Forecast'!Z167+'D6 RIN Forecast'!Z242</f>
        <v>0</v>
      </c>
      <c r="AA117" s="19"/>
      <c r="AB117" s="20"/>
      <c r="AD117" s="18">
        <f t="shared" ref="AD117:AD128" si="57">AVERAGE(J117:N117)</f>
        <v>0</v>
      </c>
      <c r="AE117" s="18">
        <f t="shared" ref="AE117:AE128" si="58">O117-AD117</f>
        <v>0</v>
      </c>
      <c r="AF117" s="18">
        <f t="shared" si="56"/>
        <v>0</v>
      </c>
      <c r="AG117" s="18">
        <f>O117/28</f>
        <v>0</v>
      </c>
      <c r="AH117" s="18">
        <f>AD117/28</f>
        <v>0</v>
      </c>
      <c r="AI117" s="18">
        <f t="shared" ref="AI117:AI127" si="59">AG117-AH117</f>
        <v>0</v>
      </c>
    </row>
    <row r="118" spans="1:35">
      <c r="A118" s="14" t="s">
        <v>45</v>
      </c>
      <c r="B118" s="18">
        <f>'D4 RIN Forecast'!B261+'D5 RIN Forecast'!B168+'D6 RIN Forecast'!B243</f>
        <v>0</v>
      </c>
      <c r="C118" s="18">
        <f>'D4 RIN Forecast'!C261+'D5 RIN Forecast'!C168+'D6 RIN Forecast'!C243</f>
        <v>0</v>
      </c>
      <c r="D118" s="18">
        <f>'D4 RIN Forecast'!D261+'D5 RIN Forecast'!D168+'D6 RIN Forecast'!D243</f>
        <v>0</v>
      </c>
      <c r="E118" s="18">
        <f>'D4 RIN Forecast'!E261+'D5 RIN Forecast'!E168+'D6 RIN Forecast'!E243</f>
        <v>8396103</v>
      </c>
      <c r="F118" s="18">
        <f>'D4 RIN Forecast'!F261+'D5 RIN Forecast'!F168+'D6 RIN Forecast'!F243</f>
        <v>0</v>
      </c>
      <c r="G118" s="18">
        <f>'D4 RIN Forecast'!G261+'D5 RIN Forecast'!G168+'D6 RIN Forecast'!G243</f>
        <v>0</v>
      </c>
      <c r="H118" s="18">
        <f>'D4 RIN Forecast'!H261+'D5 RIN Forecast'!H168+'D6 RIN Forecast'!H243</f>
        <v>0</v>
      </c>
      <c r="I118" s="18">
        <f>'D4 RIN Forecast'!I261+'D5 RIN Forecast'!I168+'D6 RIN Forecast'!I243</f>
        <v>0</v>
      </c>
      <c r="J118" s="18">
        <f>'D4 RIN Forecast'!J261+'D5 RIN Forecast'!J168+'D6 RIN Forecast'!J243</f>
        <v>0</v>
      </c>
      <c r="K118" s="18">
        <f>'D4 RIN Forecast'!K261+'D5 RIN Forecast'!K168+'D6 RIN Forecast'!K243</f>
        <v>0</v>
      </c>
      <c r="L118" s="18">
        <f>'D4 RIN Forecast'!L261+'D5 RIN Forecast'!L168+'D6 RIN Forecast'!L243</f>
        <v>0</v>
      </c>
      <c r="M118" s="18">
        <f>'D4 RIN Forecast'!M261+'D5 RIN Forecast'!M168+'D6 RIN Forecast'!M243</f>
        <v>0</v>
      </c>
      <c r="N118" s="18">
        <f>'D4 RIN Forecast'!N261+'D5 RIN Forecast'!N168+'D6 RIN Forecast'!N243</f>
        <v>0</v>
      </c>
      <c r="O118" s="18">
        <f>'D4 RIN Forecast'!O261+'D5 RIN Forecast'!O168+'D6 RIN Forecast'!O243</f>
        <v>0</v>
      </c>
      <c r="P118" s="18">
        <f>'D4 RIN Forecast'!P261+'D5 RIN Forecast'!P168+'D6 RIN Forecast'!P243</f>
        <v>0</v>
      </c>
      <c r="Q118" s="19">
        <f>'D4 RIN Forecast'!Q261+'D5 RIN Forecast'!Q168+'D6 RIN Forecast'!Q243</f>
        <v>21551583</v>
      </c>
      <c r="R118" s="19">
        <f>'D4 RIN Forecast'!R261+'D5 RIN Forecast'!R168+'D6 RIN Forecast'!R243</f>
        <v>0</v>
      </c>
      <c r="S118" s="19">
        <f>'D4 RIN Forecast'!S261+'D5 RIN Forecast'!S168+'D6 RIN Forecast'!S243</f>
        <v>0</v>
      </c>
      <c r="T118" s="19">
        <f>'D4 RIN Forecast'!T261+'D5 RIN Forecast'!T168+'D6 RIN Forecast'!T243</f>
        <v>0</v>
      </c>
      <c r="U118" s="19">
        <f>'D4 RIN Forecast'!U261+'D5 RIN Forecast'!U168+'D6 RIN Forecast'!U243</f>
        <v>0</v>
      </c>
      <c r="V118" s="19">
        <f>'D4 RIN Forecast'!V261+'D5 RIN Forecast'!V168+'D6 RIN Forecast'!V243</f>
        <v>0</v>
      </c>
      <c r="W118" s="19">
        <f>'D4 RIN Forecast'!W261+'D5 RIN Forecast'!W168+'D6 RIN Forecast'!W243</f>
        <v>0</v>
      </c>
      <c r="X118" s="19">
        <f>'D4 RIN Forecast'!X261+'D5 RIN Forecast'!X168+'D6 RIN Forecast'!X243</f>
        <v>0</v>
      </c>
      <c r="Y118" s="19">
        <f>'D4 RIN Forecast'!Y261+'D5 RIN Forecast'!Y168+'D6 RIN Forecast'!Y243</f>
        <v>0</v>
      </c>
      <c r="Z118" s="19">
        <f>'D4 RIN Forecast'!Z261+'D5 RIN Forecast'!Z168+'D6 RIN Forecast'!Z243</f>
        <v>0</v>
      </c>
      <c r="AA118" s="19"/>
      <c r="AB118" s="20"/>
      <c r="AD118" s="18">
        <f t="shared" si="57"/>
        <v>0</v>
      </c>
      <c r="AE118" s="18">
        <f t="shared" si="58"/>
        <v>0</v>
      </c>
      <c r="AF118" s="18">
        <f t="shared" si="56"/>
        <v>0</v>
      </c>
      <c r="AG118" s="18">
        <f>O118/31</f>
        <v>0</v>
      </c>
      <c r="AH118" s="18">
        <f>AD118/31</f>
        <v>0</v>
      </c>
      <c r="AI118" s="18">
        <f t="shared" si="59"/>
        <v>0</v>
      </c>
    </row>
    <row r="119" spans="1:35">
      <c r="A119" s="14" t="s">
        <v>46</v>
      </c>
      <c r="B119" s="18">
        <f>'D4 RIN Forecast'!B262+'D5 RIN Forecast'!B169+'D6 RIN Forecast'!B244</f>
        <v>0</v>
      </c>
      <c r="C119" s="18">
        <f>'D4 RIN Forecast'!C262+'D5 RIN Forecast'!C169+'D6 RIN Forecast'!C244</f>
        <v>0</v>
      </c>
      <c r="D119" s="18">
        <f>'D4 RIN Forecast'!D262+'D5 RIN Forecast'!D169+'D6 RIN Forecast'!D244</f>
        <v>0</v>
      </c>
      <c r="E119" s="18">
        <f>'D4 RIN Forecast'!E262+'D5 RIN Forecast'!E169+'D6 RIN Forecast'!E244</f>
        <v>0</v>
      </c>
      <c r="F119" s="18">
        <f>'D4 RIN Forecast'!F262+'D5 RIN Forecast'!F169+'D6 RIN Forecast'!F244</f>
        <v>0</v>
      </c>
      <c r="G119" s="18">
        <f>'D4 RIN Forecast'!G262+'D5 RIN Forecast'!G169+'D6 RIN Forecast'!G244</f>
        <v>0</v>
      </c>
      <c r="H119" s="18">
        <f>'D4 RIN Forecast'!H262+'D5 RIN Forecast'!H169+'D6 RIN Forecast'!H244</f>
        <v>0</v>
      </c>
      <c r="I119" s="18">
        <f>'D4 RIN Forecast'!I262+'D5 RIN Forecast'!I169+'D6 RIN Forecast'!I244</f>
        <v>0</v>
      </c>
      <c r="J119" s="18">
        <f>'D4 RIN Forecast'!J262+'D5 RIN Forecast'!J169+'D6 RIN Forecast'!J244</f>
        <v>0</v>
      </c>
      <c r="K119" s="18">
        <f>'D4 RIN Forecast'!K262+'D5 RIN Forecast'!K169+'D6 RIN Forecast'!K244</f>
        <v>0</v>
      </c>
      <c r="L119" s="18">
        <f>'D4 RIN Forecast'!L262+'D5 RIN Forecast'!L169+'D6 RIN Forecast'!L244</f>
        <v>0</v>
      </c>
      <c r="M119" s="18">
        <f>'D4 RIN Forecast'!M262+'D5 RIN Forecast'!M169+'D6 RIN Forecast'!M244</f>
        <v>0</v>
      </c>
      <c r="N119" s="18">
        <f>'D4 RIN Forecast'!N262+'D5 RIN Forecast'!N169+'D6 RIN Forecast'!N244</f>
        <v>0</v>
      </c>
      <c r="O119" s="18">
        <f>'D4 RIN Forecast'!O262+'D5 RIN Forecast'!O169+'D6 RIN Forecast'!O244</f>
        <v>0</v>
      </c>
      <c r="P119" s="18">
        <f>'D4 RIN Forecast'!P262+'D5 RIN Forecast'!P169+'D6 RIN Forecast'!P244</f>
        <v>0</v>
      </c>
      <c r="Q119" s="19">
        <f>'D4 RIN Forecast'!Q262+'D5 RIN Forecast'!Q169+'D6 RIN Forecast'!Q244</f>
        <v>0</v>
      </c>
      <c r="R119" s="19">
        <f>'D4 RIN Forecast'!R262+'D5 RIN Forecast'!R169+'D6 RIN Forecast'!R244</f>
        <v>0</v>
      </c>
      <c r="S119" s="19">
        <f>'D4 RIN Forecast'!S262+'D5 RIN Forecast'!S169+'D6 RIN Forecast'!S244</f>
        <v>0</v>
      </c>
      <c r="T119" s="19">
        <f>'D4 RIN Forecast'!T262+'D5 RIN Forecast'!T169+'D6 RIN Forecast'!T244</f>
        <v>0</v>
      </c>
      <c r="U119" s="19">
        <f>'D4 RIN Forecast'!U262+'D5 RIN Forecast'!U169+'D6 RIN Forecast'!U244</f>
        <v>0</v>
      </c>
      <c r="V119" s="19">
        <f>'D4 RIN Forecast'!V262+'D5 RIN Forecast'!V169+'D6 RIN Forecast'!V244</f>
        <v>0</v>
      </c>
      <c r="W119" s="19">
        <f>'D4 RIN Forecast'!W262+'D5 RIN Forecast'!W169+'D6 RIN Forecast'!W244</f>
        <v>0</v>
      </c>
      <c r="X119" s="19">
        <f>'D4 RIN Forecast'!X262+'D5 RIN Forecast'!X169+'D6 RIN Forecast'!X244</f>
        <v>0</v>
      </c>
      <c r="Y119" s="19">
        <f>'D4 RIN Forecast'!Y262+'D5 RIN Forecast'!Y169+'D6 RIN Forecast'!Y244</f>
        <v>0</v>
      </c>
      <c r="Z119" s="19">
        <f>'D4 RIN Forecast'!Z262+'D5 RIN Forecast'!Z169+'D6 RIN Forecast'!Z244</f>
        <v>0</v>
      </c>
      <c r="AA119" s="19"/>
      <c r="AB119" s="20"/>
      <c r="AD119" s="18">
        <f t="shared" si="57"/>
        <v>0</v>
      </c>
      <c r="AE119" s="18">
        <f t="shared" si="58"/>
        <v>0</v>
      </c>
      <c r="AF119" s="18">
        <f t="shared" si="56"/>
        <v>0</v>
      </c>
      <c r="AG119" s="18">
        <f>O119/30</f>
        <v>0</v>
      </c>
      <c r="AH119" s="18">
        <f>AD119/30</f>
        <v>0</v>
      </c>
      <c r="AI119" s="18">
        <f t="shared" si="59"/>
        <v>0</v>
      </c>
    </row>
    <row r="120" spans="1:35">
      <c r="A120" s="14" t="s">
        <v>47</v>
      </c>
      <c r="B120" s="18">
        <f>'D4 RIN Forecast'!B263+'D5 RIN Forecast'!B170+'D6 RIN Forecast'!B245</f>
        <v>0</v>
      </c>
      <c r="C120" s="18">
        <f>'D4 RIN Forecast'!C263+'D5 RIN Forecast'!C170+'D6 RIN Forecast'!C245</f>
        <v>0</v>
      </c>
      <c r="D120" s="18">
        <f>'D4 RIN Forecast'!D263+'D5 RIN Forecast'!D170+'D6 RIN Forecast'!D245</f>
        <v>0</v>
      </c>
      <c r="E120" s="18">
        <f>'D4 RIN Forecast'!E263+'D5 RIN Forecast'!E170+'D6 RIN Forecast'!E245</f>
        <v>0</v>
      </c>
      <c r="F120" s="18">
        <f>'D4 RIN Forecast'!F263+'D5 RIN Forecast'!F170+'D6 RIN Forecast'!F245</f>
        <v>0</v>
      </c>
      <c r="G120" s="18">
        <f>'D4 RIN Forecast'!G263+'D5 RIN Forecast'!G170+'D6 RIN Forecast'!G245</f>
        <v>0</v>
      </c>
      <c r="H120" s="18">
        <f>'D4 RIN Forecast'!H263+'D5 RIN Forecast'!H170+'D6 RIN Forecast'!H245</f>
        <v>0</v>
      </c>
      <c r="I120" s="18">
        <f>'D4 RIN Forecast'!I263+'D5 RIN Forecast'!I170+'D6 RIN Forecast'!I245</f>
        <v>0</v>
      </c>
      <c r="J120" s="18">
        <f>'D4 RIN Forecast'!J263+'D5 RIN Forecast'!J170+'D6 RIN Forecast'!J245</f>
        <v>0</v>
      </c>
      <c r="K120" s="18">
        <f>'D4 RIN Forecast'!K263+'D5 RIN Forecast'!K170+'D6 RIN Forecast'!K245</f>
        <v>0</v>
      </c>
      <c r="L120" s="18">
        <f>'D4 RIN Forecast'!L263+'D5 RIN Forecast'!L170+'D6 RIN Forecast'!L245</f>
        <v>0</v>
      </c>
      <c r="M120" s="18">
        <f>'D4 RIN Forecast'!M263+'D5 RIN Forecast'!M170+'D6 RIN Forecast'!M245</f>
        <v>0</v>
      </c>
      <c r="N120" s="18">
        <f>'D4 RIN Forecast'!N263+'D5 RIN Forecast'!N170+'D6 RIN Forecast'!N245</f>
        <v>0</v>
      </c>
      <c r="O120" s="18">
        <f>'D4 RIN Forecast'!O263+'D5 RIN Forecast'!O170+'D6 RIN Forecast'!O245</f>
        <v>0</v>
      </c>
      <c r="P120" s="18">
        <f>'D4 RIN Forecast'!P263+'D5 RIN Forecast'!P170+'D6 RIN Forecast'!P245</f>
        <v>0</v>
      </c>
      <c r="Q120" s="19">
        <f>'D4 RIN Forecast'!Q263+'D5 RIN Forecast'!Q170+'D6 RIN Forecast'!Q245</f>
        <v>0</v>
      </c>
      <c r="R120" s="19">
        <f>'D4 RIN Forecast'!R263+'D5 RIN Forecast'!R170+'D6 RIN Forecast'!R245</f>
        <v>0</v>
      </c>
      <c r="S120" s="19">
        <f>'D4 RIN Forecast'!S263+'D5 RIN Forecast'!S170+'D6 RIN Forecast'!S245</f>
        <v>0</v>
      </c>
      <c r="T120" s="19">
        <f>'D4 RIN Forecast'!T263+'D5 RIN Forecast'!T170+'D6 RIN Forecast'!T245</f>
        <v>0</v>
      </c>
      <c r="U120" s="19">
        <f>'D4 RIN Forecast'!U263+'D5 RIN Forecast'!U170+'D6 RIN Forecast'!U245</f>
        <v>0</v>
      </c>
      <c r="V120" s="19">
        <f>'D4 RIN Forecast'!V263+'D5 RIN Forecast'!V170+'D6 RIN Forecast'!V245</f>
        <v>0</v>
      </c>
      <c r="W120" s="19">
        <f>'D4 RIN Forecast'!W263+'D5 RIN Forecast'!W170+'D6 RIN Forecast'!W245</f>
        <v>0</v>
      </c>
      <c r="X120" s="19">
        <f>'D4 RIN Forecast'!X263+'D5 RIN Forecast'!X170+'D6 RIN Forecast'!X245</f>
        <v>0</v>
      </c>
      <c r="Y120" s="19">
        <f>'D4 RIN Forecast'!Y263+'D5 RIN Forecast'!Y170+'D6 RIN Forecast'!Y245</f>
        <v>0</v>
      </c>
      <c r="Z120" s="19">
        <f>'D4 RIN Forecast'!Z263+'D5 RIN Forecast'!Z170+'D6 RIN Forecast'!Z245</f>
        <v>0</v>
      </c>
      <c r="AA120" s="19"/>
      <c r="AB120" s="20"/>
      <c r="AD120" s="18">
        <f t="shared" si="57"/>
        <v>0</v>
      </c>
      <c r="AE120" s="18">
        <f t="shared" si="58"/>
        <v>0</v>
      </c>
      <c r="AF120" s="18">
        <f t="shared" si="56"/>
        <v>0</v>
      </c>
      <c r="AG120" s="18">
        <f>O120/31</f>
        <v>0</v>
      </c>
      <c r="AH120" s="18">
        <f>AD120/31</f>
        <v>0</v>
      </c>
      <c r="AI120" s="18">
        <f t="shared" si="59"/>
        <v>0</v>
      </c>
    </row>
    <row r="121" spans="1:35">
      <c r="A121" s="14" t="s">
        <v>48</v>
      </c>
      <c r="B121" s="18">
        <f>'D4 RIN Forecast'!B264+'D5 RIN Forecast'!B171+'D6 RIN Forecast'!B246</f>
        <v>0</v>
      </c>
      <c r="C121" s="18">
        <f>'D4 RIN Forecast'!C264+'D5 RIN Forecast'!C171+'D6 RIN Forecast'!C246</f>
        <v>0</v>
      </c>
      <c r="D121" s="18">
        <f>'D4 RIN Forecast'!D264+'D5 RIN Forecast'!D171+'D6 RIN Forecast'!D246</f>
        <v>0</v>
      </c>
      <c r="E121" s="18">
        <f>'D4 RIN Forecast'!E264+'D5 RIN Forecast'!E171+'D6 RIN Forecast'!E246</f>
        <v>8066041</v>
      </c>
      <c r="F121" s="18">
        <f>'D4 RIN Forecast'!F264+'D5 RIN Forecast'!F171+'D6 RIN Forecast'!F246</f>
        <v>0</v>
      </c>
      <c r="G121" s="18">
        <f>'D4 RIN Forecast'!G264+'D5 RIN Forecast'!G171+'D6 RIN Forecast'!G246</f>
        <v>0</v>
      </c>
      <c r="H121" s="18">
        <f>'D4 RIN Forecast'!H264+'D5 RIN Forecast'!H171+'D6 RIN Forecast'!H246</f>
        <v>0</v>
      </c>
      <c r="I121" s="18">
        <f>'D4 RIN Forecast'!I264+'D5 RIN Forecast'!I171+'D6 RIN Forecast'!I246</f>
        <v>0</v>
      </c>
      <c r="J121" s="18">
        <f>'D4 RIN Forecast'!J264+'D5 RIN Forecast'!J171+'D6 RIN Forecast'!J246</f>
        <v>0</v>
      </c>
      <c r="K121" s="18">
        <f>'D4 RIN Forecast'!K264+'D5 RIN Forecast'!K171+'D6 RIN Forecast'!K246</f>
        <v>0</v>
      </c>
      <c r="L121" s="18">
        <f>'D4 RIN Forecast'!L264+'D5 RIN Forecast'!L171+'D6 RIN Forecast'!L246</f>
        <v>0</v>
      </c>
      <c r="M121" s="18">
        <f>'D4 RIN Forecast'!M264+'D5 RIN Forecast'!M171+'D6 RIN Forecast'!M246</f>
        <v>0</v>
      </c>
      <c r="N121" s="18">
        <f>'D4 RIN Forecast'!N264+'D5 RIN Forecast'!N171+'D6 RIN Forecast'!N246</f>
        <v>0</v>
      </c>
      <c r="O121" s="18">
        <f>'D4 RIN Forecast'!O264+'D5 RIN Forecast'!O171+'D6 RIN Forecast'!O246</f>
        <v>0</v>
      </c>
      <c r="P121" s="18">
        <f>'D4 RIN Forecast'!P264+'D5 RIN Forecast'!P171+'D6 RIN Forecast'!P246</f>
        <v>0</v>
      </c>
      <c r="Q121" s="19">
        <f>'D4 RIN Forecast'!Q264+'D5 RIN Forecast'!Q171+'D6 RIN Forecast'!Q246</f>
        <v>0</v>
      </c>
      <c r="R121" s="19">
        <f>'D4 RIN Forecast'!R264+'D5 RIN Forecast'!R171+'D6 RIN Forecast'!R246</f>
        <v>0</v>
      </c>
      <c r="S121" s="19">
        <f>'D4 RIN Forecast'!S264+'D5 RIN Forecast'!S171+'D6 RIN Forecast'!S246</f>
        <v>0</v>
      </c>
      <c r="T121" s="19">
        <f>'D4 RIN Forecast'!T264+'D5 RIN Forecast'!T171+'D6 RIN Forecast'!T246</f>
        <v>0</v>
      </c>
      <c r="U121" s="19">
        <f>'D4 RIN Forecast'!U264+'D5 RIN Forecast'!U171+'D6 RIN Forecast'!U246</f>
        <v>0</v>
      </c>
      <c r="V121" s="19">
        <f>'D4 RIN Forecast'!V264+'D5 RIN Forecast'!V171+'D6 RIN Forecast'!V246</f>
        <v>0</v>
      </c>
      <c r="W121" s="19">
        <f>'D4 RIN Forecast'!W264+'D5 RIN Forecast'!W171+'D6 RIN Forecast'!W246</f>
        <v>0</v>
      </c>
      <c r="X121" s="19">
        <f>'D4 RIN Forecast'!X264+'D5 RIN Forecast'!X171+'D6 RIN Forecast'!X246</f>
        <v>0</v>
      </c>
      <c r="Y121" s="19">
        <f>'D4 RIN Forecast'!Y264+'D5 RIN Forecast'!Y171+'D6 RIN Forecast'!Y246</f>
        <v>0</v>
      </c>
      <c r="Z121" s="19">
        <f>'D4 RIN Forecast'!Z264+'D5 RIN Forecast'!Z171+'D6 RIN Forecast'!Z246</f>
        <v>0</v>
      </c>
      <c r="AA121" s="31"/>
      <c r="AB121" s="20"/>
      <c r="AD121" s="23">
        <f t="shared" si="57"/>
        <v>0</v>
      </c>
      <c r="AE121" s="23">
        <f t="shared" si="58"/>
        <v>0</v>
      </c>
      <c r="AF121" s="23">
        <f t="shared" si="56"/>
        <v>0</v>
      </c>
      <c r="AG121" s="23">
        <f>O121/30</f>
        <v>0</v>
      </c>
      <c r="AH121" s="23">
        <f>AD121/30</f>
        <v>0</v>
      </c>
      <c r="AI121" s="23">
        <f t="shared" si="59"/>
        <v>0</v>
      </c>
    </row>
    <row r="122" spans="1:35">
      <c r="A122" s="14" t="s">
        <v>49</v>
      </c>
      <c r="B122" s="18">
        <f>'D4 RIN Forecast'!B265+'D5 RIN Forecast'!B172+'D6 RIN Forecast'!B247</f>
        <v>0</v>
      </c>
      <c r="C122" s="18">
        <f>'D4 RIN Forecast'!C265+'D5 RIN Forecast'!C172+'D6 RIN Forecast'!C247</f>
        <v>0</v>
      </c>
      <c r="D122" s="18">
        <f>'D4 RIN Forecast'!D265+'D5 RIN Forecast'!D172+'D6 RIN Forecast'!D247</f>
        <v>0</v>
      </c>
      <c r="E122" s="18">
        <f>'D4 RIN Forecast'!E265+'D5 RIN Forecast'!E172+'D6 RIN Forecast'!E247</f>
        <v>12302762</v>
      </c>
      <c r="F122" s="18">
        <f>'D4 RIN Forecast'!F265+'D5 RIN Forecast'!F172+'D6 RIN Forecast'!F247</f>
        <v>0</v>
      </c>
      <c r="G122" s="18">
        <f>'D4 RIN Forecast'!G265+'D5 RIN Forecast'!G172+'D6 RIN Forecast'!G247</f>
        <v>0</v>
      </c>
      <c r="H122" s="18">
        <f>'D4 RIN Forecast'!H265+'D5 RIN Forecast'!H172+'D6 RIN Forecast'!H247</f>
        <v>0</v>
      </c>
      <c r="I122" s="18">
        <f>'D4 RIN Forecast'!I265+'D5 RIN Forecast'!I172+'D6 RIN Forecast'!I247</f>
        <v>0</v>
      </c>
      <c r="J122" s="18">
        <f>'D4 RIN Forecast'!J265+'D5 RIN Forecast'!J172+'D6 RIN Forecast'!J247</f>
        <v>0</v>
      </c>
      <c r="K122" s="18">
        <f>'D4 RIN Forecast'!K265+'D5 RIN Forecast'!K172+'D6 RIN Forecast'!K247</f>
        <v>0</v>
      </c>
      <c r="L122" s="18">
        <f>'D4 RIN Forecast'!L265+'D5 RIN Forecast'!L172+'D6 RIN Forecast'!L247</f>
        <v>0</v>
      </c>
      <c r="M122" s="18">
        <f>'D4 RIN Forecast'!M265+'D5 RIN Forecast'!M172+'D6 RIN Forecast'!M247</f>
        <v>0</v>
      </c>
      <c r="N122" s="18">
        <f>'D4 RIN Forecast'!N265+'D5 RIN Forecast'!N172+'D6 RIN Forecast'!N247</f>
        <v>0</v>
      </c>
      <c r="O122" s="18">
        <f>'D4 RIN Forecast'!O265+'D5 RIN Forecast'!O172+'D6 RIN Forecast'!O247</f>
        <v>0</v>
      </c>
      <c r="P122" s="18">
        <f>'D4 RIN Forecast'!P265+'D5 RIN Forecast'!P172+'D6 RIN Forecast'!P247</f>
        <v>42802473</v>
      </c>
      <c r="Q122" s="19">
        <f>'D4 RIN Forecast'!Q265+'D5 RIN Forecast'!Q172+'D6 RIN Forecast'!Q247</f>
        <v>0</v>
      </c>
      <c r="R122" s="19">
        <f>'D4 RIN Forecast'!R265+'D5 RIN Forecast'!R172+'D6 RIN Forecast'!R247</f>
        <v>0</v>
      </c>
      <c r="S122" s="19">
        <f>'D4 RIN Forecast'!S265+'D5 RIN Forecast'!S172+'D6 RIN Forecast'!S247</f>
        <v>0</v>
      </c>
      <c r="T122" s="19">
        <f>'D4 RIN Forecast'!T265+'D5 RIN Forecast'!T172+'D6 RIN Forecast'!T247</f>
        <v>0</v>
      </c>
      <c r="U122" s="19">
        <f>'D4 RIN Forecast'!U265+'D5 RIN Forecast'!U172+'D6 RIN Forecast'!U247</f>
        <v>0</v>
      </c>
      <c r="V122" s="19">
        <f>'D4 RIN Forecast'!V265+'D5 RIN Forecast'!V172+'D6 RIN Forecast'!V247</f>
        <v>0</v>
      </c>
      <c r="W122" s="19">
        <f>'D4 RIN Forecast'!W265+'D5 RIN Forecast'!W172+'D6 RIN Forecast'!W247</f>
        <v>0</v>
      </c>
      <c r="X122" s="19">
        <f>'D4 RIN Forecast'!X265+'D5 RIN Forecast'!X172+'D6 RIN Forecast'!X247</f>
        <v>0</v>
      </c>
      <c r="Y122" s="19">
        <f>'D4 RIN Forecast'!Y265+'D5 RIN Forecast'!Y172+'D6 RIN Forecast'!Y247</f>
        <v>0</v>
      </c>
      <c r="Z122" s="19">
        <f>'D4 RIN Forecast'!Z265+'D5 RIN Forecast'!Z172+'D6 RIN Forecast'!Z247</f>
        <v>0</v>
      </c>
      <c r="AA122" s="31"/>
      <c r="AB122" s="20"/>
      <c r="AD122" s="18">
        <f t="shared" si="57"/>
        <v>0</v>
      </c>
      <c r="AE122" s="19">
        <f t="shared" si="58"/>
        <v>0</v>
      </c>
      <c r="AF122" s="19">
        <f t="shared" si="56"/>
        <v>0</v>
      </c>
      <c r="AG122" s="19">
        <f>O122/31</f>
        <v>0</v>
      </c>
      <c r="AH122" s="18">
        <f>AD122/31</f>
        <v>0</v>
      </c>
      <c r="AI122" s="19">
        <f t="shared" si="59"/>
        <v>0</v>
      </c>
    </row>
    <row r="123" spans="1:35">
      <c r="A123" s="14" t="s">
        <v>50</v>
      </c>
      <c r="B123" s="18">
        <f>'D4 RIN Forecast'!B266+'D5 RIN Forecast'!B173+'D6 RIN Forecast'!B248</f>
        <v>0</v>
      </c>
      <c r="C123" s="18">
        <f>'D4 RIN Forecast'!C266+'D5 RIN Forecast'!C173+'D6 RIN Forecast'!C248</f>
        <v>0</v>
      </c>
      <c r="D123" s="18">
        <f>'D4 RIN Forecast'!D266+'D5 RIN Forecast'!D173+'D6 RIN Forecast'!D248</f>
        <v>0</v>
      </c>
      <c r="E123" s="18">
        <f>'D4 RIN Forecast'!E266+'D5 RIN Forecast'!E173+'D6 RIN Forecast'!E248</f>
        <v>3869496</v>
      </c>
      <c r="F123" s="18">
        <f>'D4 RIN Forecast'!F266+'D5 RIN Forecast'!F173+'D6 RIN Forecast'!F248</f>
        <v>0</v>
      </c>
      <c r="G123" s="18">
        <f>'D4 RIN Forecast'!G266+'D5 RIN Forecast'!G173+'D6 RIN Forecast'!G248</f>
        <v>0</v>
      </c>
      <c r="H123" s="18">
        <f>'D4 RIN Forecast'!H266+'D5 RIN Forecast'!H173+'D6 RIN Forecast'!H248</f>
        <v>0</v>
      </c>
      <c r="I123" s="18">
        <f>'D4 RIN Forecast'!I266+'D5 RIN Forecast'!I173+'D6 RIN Forecast'!I248</f>
        <v>0</v>
      </c>
      <c r="J123" s="18">
        <f>'D4 RIN Forecast'!J266+'D5 RIN Forecast'!J173+'D6 RIN Forecast'!J248</f>
        <v>0</v>
      </c>
      <c r="K123" s="18">
        <f>'D4 RIN Forecast'!K266+'D5 RIN Forecast'!K173+'D6 RIN Forecast'!K248</f>
        <v>0</v>
      </c>
      <c r="L123" s="18">
        <f>'D4 RIN Forecast'!L266+'D5 RIN Forecast'!L173+'D6 RIN Forecast'!L248</f>
        <v>0</v>
      </c>
      <c r="M123" s="18">
        <f>'D4 RIN Forecast'!M266+'D5 RIN Forecast'!M173+'D6 RIN Forecast'!M248</f>
        <v>0</v>
      </c>
      <c r="N123" s="18">
        <f>'D4 RIN Forecast'!N266+'D5 RIN Forecast'!N173+'D6 RIN Forecast'!N248</f>
        <v>0</v>
      </c>
      <c r="O123" s="18">
        <f>'D4 RIN Forecast'!O266+'D5 RIN Forecast'!O173+'D6 RIN Forecast'!O248</f>
        <v>0</v>
      </c>
      <c r="P123" s="18">
        <f>'D4 RIN Forecast'!P266+'D5 RIN Forecast'!P173+'D6 RIN Forecast'!P248</f>
        <v>0</v>
      </c>
      <c r="Q123" s="19">
        <f>'D4 RIN Forecast'!Q266+'D5 RIN Forecast'!Q173+'D6 RIN Forecast'!Q248</f>
        <v>0</v>
      </c>
      <c r="R123" s="19">
        <f>'D4 RIN Forecast'!R266+'D5 RIN Forecast'!R173+'D6 RIN Forecast'!R248</f>
        <v>0</v>
      </c>
      <c r="S123" s="19">
        <f>'D4 RIN Forecast'!S266+'D5 RIN Forecast'!S173+'D6 RIN Forecast'!S248</f>
        <v>0</v>
      </c>
      <c r="T123" s="19">
        <f>'D4 RIN Forecast'!T266+'D5 RIN Forecast'!T173+'D6 RIN Forecast'!T248</f>
        <v>0</v>
      </c>
      <c r="U123" s="19">
        <f>'D4 RIN Forecast'!U266+'D5 RIN Forecast'!U173+'D6 RIN Forecast'!U248</f>
        <v>0</v>
      </c>
      <c r="V123" s="19">
        <f>'D4 RIN Forecast'!V266+'D5 RIN Forecast'!V173+'D6 RIN Forecast'!V248</f>
        <v>0</v>
      </c>
      <c r="W123" s="19">
        <f>'D4 RIN Forecast'!W266+'D5 RIN Forecast'!W173+'D6 RIN Forecast'!W248</f>
        <v>0</v>
      </c>
      <c r="X123" s="19">
        <f>'D4 RIN Forecast'!X266+'D5 RIN Forecast'!X173+'D6 RIN Forecast'!X248</f>
        <v>0</v>
      </c>
      <c r="Y123" s="19">
        <f>'D4 RIN Forecast'!Y266+'D5 RIN Forecast'!Y173+'D6 RIN Forecast'!Y248</f>
        <v>0</v>
      </c>
      <c r="Z123" s="19">
        <f>'D4 RIN Forecast'!Z266+'D5 RIN Forecast'!Z173+'D6 RIN Forecast'!Z248</f>
        <v>0</v>
      </c>
      <c r="AA123" s="31"/>
      <c r="AB123" s="20"/>
      <c r="AD123" s="18">
        <f t="shared" si="57"/>
        <v>0</v>
      </c>
      <c r="AE123" s="19">
        <f t="shared" si="58"/>
        <v>0</v>
      </c>
      <c r="AF123" s="19">
        <f t="shared" si="56"/>
        <v>0</v>
      </c>
      <c r="AG123" s="19">
        <f>O123/31</f>
        <v>0</v>
      </c>
      <c r="AH123" s="18">
        <f>AD123/31</f>
        <v>0</v>
      </c>
      <c r="AI123" s="19">
        <f t="shared" si="59"/>
        <v>0</v>
      </c>
    </row>
    <row r="124" spans="1:35">
      <c r="A124" s="14" t="s">
        <v>51</v>
      </c>
      <c r="B124" s="18">
        <f>'D4 RIN Forecast'!B267+'D5 RIN Forecast'!B174+'D6 RIN Forecast'!B249</f>
        <v>0</v>
      </c>
      <c r="C124" s="18">
        <f>'D4 RIN Forecast'!C267+'D5 RIN Forecast'!C174+'D6 RIN Forecast'!C249</f>
        <v>0</v>
      </c>
      <c r="D124" s="18">
        <f>'D4 RIN Forecast'!D267+'D5 RIN Forecast'!D174+'D6 RIN Forecast'!D249</f>
        <v>0</v>
      </c>
      <c r="E124" s="18">
        <f>'D4 RIN Forecast'!E267+'D5 RIN Forecast'!E174+'D6 RIN Forecast'!E249</f>
        <v>0</v>
      </c>
      <c r="F124" s="18">
        <f>'D4 RIN Forecast'!F267+'D5 RIN Forecast'!F174+'D6 RIN Forecast'!F249</f>
        <v>0</v>
      </c>
      <c r="G124" s="18">
        <f>'D4 RIN Forecast'!G267+'D5 RIN Forecast'!G174+'D6 RIN Forecast'!G249</f>
        <v>0</v>
      </c>
      <c r="H124" s="18">
        <f>'D4 RIN Forecast'!H267+'D5 RIN Forecast'!H174+'D6 RIN Forecast'!H249</f>
        <v>0</v>
      </c>
      <c r="I124" s="18">
        <f>'D4 RIN Forecast'!I267+'D5 RIN Forecast'!I174+'D6 RIN Forecast'!I249</f>
        <v>1287334</v>
      </c>
      <c r="J124" s="18">
        <f>'D4 RIN Forecast'!J267+'D5 RIN Forecast'!J174+'D6 RIN Forecast'!J249</f>
        <v>0</v>
      </c>
      <c r="K124" s="18">
        <f>'D4 RIN Forecast'!K267+'D5 RIN Forecast'!K174+'D6 RIN Forecast'!K249</f>
        <v>0</v>
      </c>
      <c r="L124" s="18">
        <f>'D4 RIN Forecast'!L267+'D5 RIN Forecast'!L174+'D6 RIN Forecast'!L249</f>
        <v>0</v>
      </c>
      <c r="M124" s="18">
        <f>'D4 RIN Forecast'!M267+'D5 RIN Forecast'!M174+'D6 RIN Forecast'!M249</f>
        <v>0</v>
      </c>
      <c r="N124" s="18">
        <f>'D4 RIN Forecast'!N267+'D5 RIN Forecast'!N174+'D6 RIN Forecast'!N249</f>
        <v>0</v>
      </c>
      <c r="O124" s="18">
        <f>'D4 RIN Forecast'!O267+'D5 RIN Forecast'!O174+'D6 RIN Forecast'!O249</f>
        <v>0</v>
      </c>
      <c r="P124" s="18">
        <f>'D4 RIN Forecast'!P267+'D5 RIN Forecast'!P174+'D6 RIN Forecast'!P249</f>
        <v>41744015</v>
      </c>
      <c r="Q124" s="19">
        <f>'D4 RIN Forecast'!Q267+'D5 RIN Forecast'!Q174+'D6 RIN Forecast'!Q249</f>
        <v>0</v>
      </c>
      <c r="R124" s="19">
        <f>'D4 RIN Forecast'!R267+'D5 RIN Forecast'!R174+'D6 RIN Forecast'!R249</f>
        <v>0</v>
      </c>
      <c r="S124" s="19">
        <f>'D4 RIN Forecast'!S267+'D5 RIN Forecast'!S174+'D6 RIN Forecast'!S249</f>
        <v>0</v>
      </c>
      <c r="T124" s="19">
        <f>'D4 RIN Forecast'!T267+'D5 RIN Forecast'!T174+'D6 RIN Forecast'!T249</f>
        <v>0</v>
      </c>
      <c r="U124" s="19">
        <f>'D4 RIN Forecast'!U267+'D5 RIN Forecast'!U174+'D6 RIN Forecast'!U249</f>
        <v>0</v>
      </c>
      <c r="V124" s="19">
        <f>'D4 RIN Forecast'!V267+'D5 RIN Forecast'!V174+'D6 RIN Forecast'!V249</f>
        <v>0</v>
      </c>
      <c r="W124" s="19">
        <f>'D4 RIN Forecast'!W267+'D5 RIN Forecast'!W174+'D6 RIN Forecast'!W249</f>
        <v>0</v>
      </c>
      <c r="X124" s="19">
        <f>'D4 RIN Forecast'!X267+'D5 RIN Forecast'!X174+'D6 RIN Forecast'!X249</f>
        <v>0</v>
      </c>
      <c r="Y124" s="19">
        <f>'D4 RIN Forecast'!Y267+'D5 RIN Forecast'!Y174+'D6 RIN Forecast'!Y249</f>
        <v>0</v>
      </c>
      <c r="Z124" s="19">
        <f>'D4 RIN Forecast'!Z267+'D5 RIN Forecast'!Z174+'D6 RIN Forecast'!Z249</f>
        <v>0</v>
      </c>
      <c r="AA124" s="31"/>
      <c r="AB124" s="20"/>
      <c r="AD124" s="18">
        <f t="shared" si="57"/>
        <v>0</v>
      </c>
      <c r="AE124" s="19">
        <f t="shared" si="58"/>
        <v>0</v>
      </c>
      <c r="AF124" s="19">
        <f t="shared" si="56"/>
        <v>0</v>
      </c>
      <c r="AG124" s="19">
        <f>O124/30</f>
        <v>0</v>
      </c>
      <c r="AH124" s="18">
        <f>AD124/30</f>
        <v>0</v>
      </c>
      <c r="AI124" s="19">
        <f t="shared" si="59"/>
        <v>0</v>
      </c>
    </row>
    <row r="125" spans="1:35">
      <c r="A125" s="14" t="s">
        <v>52</v>
      </c>
      <c r="B125" s="18">
        <f>'D4 RIN Forecast'!B268+'D5 RIN Forecast'!B175+'D6 RIN Forecast'!B250</f>
        <v>0</v>
      </c>
      <c r="C125" s="18">
        <f>'D4 RIN Forecast'!C268+'D5 RIN Forecast'!C175+'D6 RIN Forecast'!C250</f>
        <v>0</v>
      </c>
      <c r="D125" s="18">
        <f>'D4 RIN Forecast'!D268+'D5 RIN Forecast'!D175+'D6 RIN Forecast'!D250</f>
        <v>0</v>
      </c>
      <c r="E125" s="18">
        <f>'D4 RIN Forecast'!E268+'D5 RIN Forecast'!E175+'D6 RIN Forecast'!E250</f>
        <v>0</v>
      </c>
      <c r="F125" s="18">
        <f>'D4 RIN Forecast'!F268+'D5 RIN Forecast'!F175+'D6 RIN Forecast'!F250</f>
        <v>0</v>
      </c>
      <c r="G125" s="18">
        <f>'D4 RIN Forecast'!G268+'D5 RIN Forecast'!G175+'D6 RIN Forecast'!G250</f>
        <v>0</v>
      </c>
      <c r="H125" s="18">
        <f>'D4 RIN Forecast'!H268+'D5 RIN Forecast'!H175+'D6 RIN Forecast'!H250</f>
        <v>0</v>
      </c>
      <c r="I125" s="18">
        <f>'D4 RIN Forecast'!I268+'D5 RIN Forecast'!I175+'D6 RIN Forecast'!I250</f>
        <v>0</v>
      </c>
      <c r="J125" s="18">
        <f>'D4 RIN Forecast'!J268+'D5 RIN Forecast'!J175+'D6 RIN Forecast'!J250</f>
        <v>0</v>
      </c>
      <c r="K125" s="18">
        <f>'D4 RIN Forecast'!K268+'D5 RIN Forecast'!K175+'D6 RIN Forecast'!K250</f>
        <v>0</v>
      </c>
      <c r="L125" s="18">
        <f>'D4 RIN Forecast'!L268+'D5 RIN Forecast'!L175+'D6 RIN Forecast'!L250</f>
        <v>0</v>
      </c>
      <c r="M125" s="18">
        <f>'D4 RIN Forecast'!M268+'D5 RIN Forecast'!M175+'D6 RIN Forecast'!M250</f>
        <v>0</v>
      </c>
      <c r="N125" s="18">
        <f>'D4 RIN Forecast'!N268+'D5 RIN Forecast'!N175+'D6 RIN Forecast'!N250</f>
        <v>0</v>
      </c>
      <c r="O125" s="18">
        <f>'D4 RIN Forecast'!O268+'D5 RIN Forecast'!O175+'D6 RIN Forecast'!O250</f>
        <v>0</v>
      </c>
      <c r="P125" s="18">
        <f>'D4 RIN Forecast'!P268+'D5 RIN Forecast'!P175+'D6 RIN Forecast'!P250</f>
        <v>0</v>
      </c>
      <c r="Q125" s="19">
        <f>'D4 RIN Forecast'!Q268+'D5 RIN Forecast'!Q175+'D6 RIN Forecast'!Q250</f>
        <v>0</v>
      </c>
      <c r="R125" s="19">
        <f>'D4 RIN Forecast'!R268+'D5 RIN Forecast'!R175+'D6 RIN Forecast'!R250</f>
        <v>0</v>
      </c>
      <c r="S125" s="19">
        <f>'D4 RIN Forecast'!S268+'D5 RIN Forecast'!S175+'D6 RIN Forecast'!S250</f>
        <v>0</v>
      </c>
      <c r="T125" s="19">
        <f>'D4 RIN Forecast'!T268+'D5 RIN Forecast'!T175+'D6 RIN Forecast'!T250</f>
        <v>0</v>
      </c>
      <c r="U125" s="19">
        <f>'D4 RIN Forecast'!U268+'D5 RIN Forecast'!U175+'D6 RIN Forecast'!U250</f>
        <v>0</v>
      </c>
      <c r="V125" s="19">
        <f>'D4 RIN Forecast'!V268+'D5 RIN Forecast'!V175+'D6 RIN Forecast'!V250</f>
        <v>0</v>
      </c>
      <c r="W125" s="19">
        <f>'D4 RIN Forecast'!W268+'D5 RIN Forecast'!W175+'D6 RIN Forecast'!W250</f>
        <v>0</v>
      </c>
      <c r="X125" s="19">
        <f>'D4 RIN Forecast'!X268+'D5 RIN Forecast'!X175+'D6 RIN Forecast'!X250</f>
        <v>0</v>
      </c>
      <c r="Y125" s="19">
        <f>'D4 RIN Forecast'!Y268+'D5 RIN Forecast'!Y175+'D6 RIN Forecast'!Y250</f>
        <v>0</v>
      </c>
      <c r="Z125" s="19">
        <f>'D4 RIN Forecast'!Z268+'D5 RIN Forecast'!Z175+'D6 RIN Forecast'!Z250</f>
        <v>0</v>
      </c>
      <c r="AA125" s="31"/>
      <c r="AB125" s="20"/>
      <c r="AD125" s="18">
        <f t="shared" si="57"/>
        <v>0</v>
      </c>
      <c r="AE125" s="19">
        <f t="shared" si="58"/>
        <v>0</v>
      </c>
      <c r="AF125" s="19">
        <f t="shared" si="56"/>
        <v>0</v>
      </c>
      <c r="AG125" s="19">
        <f>O125/31</f>
        <v>0</v>
      </c>
      <c r="AH125" s="18">
        <f>AD125/31</f>
        <v>0</v>
      </c>
      <c r="AI125" s="19">
        <f t="shared" si="59"/>
        <v>0</v>
      </c>
    </row>
    <row r="126" spans="1:35">
      <c r="A126" s="14" t="s">
        <v>53</v>
      </c>
      <c r="B126" s="18">
        <f>'D4 RIN Forecast'!B269+'D5 RIN Forecast'!B176+'D6 RIN Forecast'!B251</f>
        <v>0</v>
      </c>
      <c r="C126" s="18">
        <f>'D4 RIN Forecast'!C269+'D5 RIN Forecast'!C176+'D6 RIN Forecast'!C251</f>
        <v>0</v>
      </c>
      <c r="D126" s="18">
        <f>'D4 RIN Forecast'!D269+'D5 RIN Forecast'!D176+'D6 RIN Forecast'!D251</f>
        <v>0</v>
      </c>
      <c r="E126" s="18">
        <f>'D4 RIN Forecast'!E269+'D5 RIN Forecast'!E176+'D6 RIN Forecast'!E251</f>
        <v>0</v>
      </c>
      <c r="F126" s="18">
        <f>'D4 RIN Forecast'!F269+'D5 RIN Forecast'!F176+'D6 RIN Forecast'!F251</f>
        <v>0</v>
      </c>
      <c r="G126" s="18">
        <f>'D4 RIN Forecast'!G269+'D5 RIN Forecast'!G176+'D6 RIN Forecast'!G251</f>
        <v>0</v>
      </c>
      <c r="H126" s="18">
        <f>'D4 RIN Forecast'!H269+'D5 RIN Forecast'!H176+'D6 RIN Forecast'!H251</f>
        <v>0</v>
      </c>
      <c r="I126" s="18">
        <f>'D4 RIN Forecast'!I269+'D5 RIN Forecast'!I176+'D6 RIN Forecast'!I251</f>
        <v>0</v>
      </c>
      <c r="J126" s="18">
        <f>'D4 RIN Forecast'!J269+'D5 RIN Forecast'!J176+'D6 RIN Forecast'!J251</f>
        <v>0</v>
      </c>
      <c r="K126" s="18">
        <f>'D4 RIN Forecast'!K269+'D5 RIN Forecast'!K176+'D6 RIN Forecast'!K251</f>
        <v>0</v>
      </c>
      <c r="L126" s="18">
        <f>'D4 RIN Forecast'!L269+'D5 RIN Forecast'!L176+'D6 RIN Forecast'!L251</f>
        <v>0</v>
      </c>
      <c r="M126" s="18">
        <f>'D4 RIN Forecast'!M269+'D5 RIN Forecast'!M176+'D6 RIN Forecast'!M251</f>
        <v>0</v>
      </c>
      <c r="N126" s="18">
        <f>'D4 RIN Forecast'!N269+'D5 RIN Forecast'!N176+'D6 RIN Forecast'!N251</f>
        <v>0</v>
      </c>
      <c r="O126" s="18">
        <f>'D4 RIN Forecast'!O269+'D5 RIN Forecast'!O176+'D6 RIN Forecast'!O251</f>
        <v>0</v>
      </c>
      <c r="P126" s="18">
        <f>'D4 RIN Forecast'!P269+'D5 RIN Forecast'!P176+'D6 RIN Forecast'!P251</f>
        <v>50729608</v>
      </c>
      <c r="Q126" s="19">
        <f>'D4 RIN Forecast'!Q269+'D5 RIN Forecast'!Q176+'D6 RIN Forecast'!Q251</f>
        <v>0</v>
      </c>
      <c r="R126" s="19">
        <f>'D4 RIN Forecast'!R269+'D5 RIN Forecast'!R176+'D6 RIN Forecast'!R251</f>
        <v>0</v>
      </c>
      <c r="S126" s="19">
        <f>'D4 RIN Forecast'!S269+'D5 RIN Forecast'!S176+'D6 RIN Forecast'!S251</f>
        <v>0</v>
      </c>
      <c r="T126" s="19">
        <f>'D4 RIN Forecast'!T269+'D5 RIN Forecast'!T176+'D6 RIN Forecast'!T251</f>
        <v>0</v>
      </c>
      <c r="U126" s="19">
        <f>'D4 RIN Forecast'!U269+'D5 RIN Forecast'!U176+'D6 RIN Forecast'!U251</f>
        <v>0</v>
      </c>
      <c r="V126" s="19">
        <f>'D4 RIN Forecast'!V269+'D5 RIN Forecast'!V176+'D6 RIN Forecast'!V251</f>
        <v>0</v>
      </c>
      <c r="W126" s="19">
        <f>'D4 RIN Forecast'!W269+'D5 RIN Forecast'!W176+'D6 RIN Forecast'!W251</f>
        <v>0</v>
      </c>
      <c r="X126" s="19">
        <f>'D4 RIN Forecast'!X269+'D5 RIN Forecast'!X176+'D6 RIN Forecast'!X251</f>
        <v>0</v>
      </c>
      <c r="Y126" s="19">
        <f>'D4 RIN Forecast'!Y269+'D5 RIN Forecast'!Y176+'D6 RIN Forecast'!Y251</f>
        <v>0</v>
      </c>
      <c r="Z126" s="19">
        <f>'D4 RIN Forecast'!Z269+'D5 RIN Forecast'!Z176+'D6 RIN Forecast'!Z251</f>
        <v>0</v>
      </c>
      <c r="AA126" s="31"/>
      <c r="AB126" s="20"/>
      <c r="AD126" s="18">
        <f t="shared" si="57"/>
        <v>0</v>
      </c>
      <c r="AE126" s="19">
        <f t="shared" si="58"/>
        <v>0</v>
      </c>
      <c r="AF126" s="19">
        <f t="shared" si="56"/>
        <v>0</v>
      </c>
      <c r="AG126" s="19">
        <f>O126/30</f>
        <v>0</v>
      </c>
      <c r="AH126" s="18">
        <f>AD126/30</f>
        <v>0</v>
      </c>
      <c r="AI126" s="19">
        <f t="shared" si="59"/>
        <v>0</v>
      </c>
    </row>
    <row r="127" spans="1:35">
      <c r="A127" s="14" t="s">
        <v>54</v>
      </c>
      <c r="B127" s="18">
        <f>'D4 RIN Forecast'!B270+'D5 RIN Forecast'!B177+'D6 RIN Forecast'!B252</f>
        <v>0</v>
      </c>
      <c r="C127" s="18">
        <f>'D4 RIN Forecast'!C270+'D5 RIN Forecast'!C177+'D6 RIN Forecast'!C252</f>
        <v>0</v>
      </c>
      <c r="D127" s="18">
        <f>'D4 RIN Forecast'!D270+'D5 RIN Forecast'!D177+'D6 RIN Forecast'!D252</f>
        <v>0</v>
      </c>
      <c r="E127" s="18">
        <f>'D4 RIN Forecast'!E270+'D5 RIN Forecast'!E177+'D6 RIN Forecast'!E252</f>
        <v>0</v>
      </c>
      <c r="F127" s="18">
        <f>'D4 RIN Forecast'!F270+'D5 RIN Forecast'!F177+'D6 RIN Forecast'!F252</f>
        <v>0</v>
      </c>
      <c r="G127" s="18">
        <f>'D4 RIN Forecast'!G270+'D5 RIN Forecast'!G177+'D6 RIN Forecast'!G252</f>
        <v>0</v>
      </c>
      <c r="H127" s="18">
        <f>'D4 RIN Forecast'!H270+'D5 RIN Forecast'!H177+'D6 RIN Forecast'!H252</f>
        <v>0</v>
      </c>
      <c r="I127" s="18">
        <f>'D4 RIN Forecast'!I270+'D5 RIN Forecast'!I177+'D6 RIN Forecast'!I252</f>
        <v>0</v>
      </c>
      <c r="J127" s="18">
        <f>'D4 RIN Forecast'!J270+'D5 RIN Forecast'!J177+'D6 RIN Forecast'!J252</f>
        <v>0</v>
      </c>
      <c r="K127" s="18">
        <f>'D4 RIN Forecast'!K270+'D5 RIN Forecast'!K177+'D6 RIN Forecast'!K252</f>
        <v>0</v>
      </c>
      <c r="L127" s="18">
        <f>'D4 RIN Forecast'!L270+'D5 RIN Forecast'!L177+'D6 RIN Forecast'!L252</f>
        <v>0</v>
      </c>
      <c r="M127" s="18">
        <f>'D4 RIN Forecast'!M270+'D5 RIN Forecast'!M177+'D6 RIN Forecast'!M252</f>
        <v>0</v>
      </c>
      <c r="N127" s="18">
        <f>'D4 RIN Forecast'!N270+'D5 RIN Forecast'!N177+'D6 RIN Forecast'!N252</f>
        <v>0</v>
      </c>
      <c r="O127" s="18">
        <f>'D4 RIN Forecast'!O270+'D5 RIN Forecast'!O177+'D6 RIN Forecast'!O252</f>
        <v>0</v>
      </c>
      <c r="P127" s="18">
        <f>'D4 RIN Forecast'!P270+'D5 RIN Forecast'!P177+'D6 RIN Forecast'!P252</f>
        <v>55934331</v>
      </c>
      <c r="Q127" s="19">
        <f>'D4 RIN Forecast'!Q270+'D5 RIN Forecast'!Q177+'D6 RIN Forecast'!Q252</f>
        <v>0</v>
      </c>
      <c r="R127" s="19">
        <f>'D4 RIN Forecast'!R270+'D5 RIN Forecast'!R177+'D6 RIN Forecast'!R252</f>
        <v>0</v>
      </c>
      <c r="S127" s="19">
        <f>'D4 RIN Forecast'!S270+'D5 RIN Forecast'!S177+'D6 RIN Forecast'!S252</f>
        <v>0</v>
      </c>
      <c r="T127" s="19">
        <f>'D4 RIN Forecast'!T270+'D5 RIN Forecast'!T177+'D6 RIN Forecast'!T252</f>
        <v>0</v>
      </c>
      <c r="U127" s="19">
        <f>'D4 RIN Forecast'!U270+'D5 RIN Forecast'!U177+'D6 RIN Forecast'!U252</f>
        <v>0</v>
      </c>
      <c r="V127" s="19">
        <f>'D4 RIN Forecast'!V270+'D5 RIN Forecast'!V177+'D6 RIN Forecast'!V252</f>
        <v>0</v>
      </c>
      <c r="W127" s="19">
        <f>'D4 RIN Forecast'!W270+'D5 RIN Forecast'!W177+'D6 RIN Forecast'!W252</f>
        <v>0</v>
      </c>
      <c r="X127" s="19">
        <f>'D4 RIN Forecast'!X270+'D5 RIN Forecast'!X177+'D6 RIN Forecast'!X252</f>
        <v>0</v>
      </c>
      <c r="Y127" s="19">
        <f>'D4 RIN Forecast'!Y270+'D5 RIN Forecast'!Y177+'D6 RIN Forecast'!Y252</f>
        <v>0</v>
      </c>
      <c r="Z127" s="19">
        <f>'D4 RIN Forecast'!Z270+'D5 RIN Forecast'!Z177+'D6 RIN Forecast'!Z252</f>
        <v>0</v>
      </c>
      <c r="AA127" s="31"/>
      <c r="AB127" s="20"/>
      <c r="AD127" s="18">
        <f t="shared" si="57"/>
        <v>0</v>
      </c>
      <c r="AE127" s="19">
        <f t="shared" si="58"/>
        <v>0</v>
      </c>
      <c r="AF127" s="19">
        <f t="shared" si="56"/>
        <v>0</v>
      </c>
      <c r="AG127" s="19">
        <f>O127/31</f>
        <v>0</v>
      </c>
      <c r="AH127" s="18">
        <f>AD127/31</f>
        <v>0</v>
      </c>
      <c r="AI127" s="19">
        <f t="shared" si="59"/>
        <v>0</v>
      </c>
    </row>
    <row r="128" spans="1:35">
      <c r="A128" s="14" t="s">
        <v>29</v>
      </c>
      <c r="B128" s="18">
        <f t="shared" ref="B128:M128" si="60">SUM(B116:B127)</f>
        <v>0</v>
      </c>
      <c r="C128" s="18">
        <f t="shared" si="60"/>
        <v>0</v>
      </c>
      <c r="D128" s="18">
        <f t="shared" si="60"/>
        <v>0</v>
      </c>
      <c r="E128" s="18">
        <f t="shared" si="60"/>
        <v>36724418</v>
      </c>
      <c r="F128" s="18">
        <f t="shared" si="60"/>
        <v>9541081</v>
      </c>
      <c r="G128" s="18">
        <f t="shared" si="60"/>
        <v>0</v>
      </c>
      <c r="H128" s="18">
        <f t="shared" si="60"/>
        <v>0</v>
      </c>
      <c r="I128" s="18">
        <f t="shared" si="60"/>
        <v>1287334</v>
      </c>
      <c r="J128" s="18">
        <f t="shared" si="60"/>
        <v>0</v>
      </c>
      <c r="K128" s="18">
        <f t="shared" si="60"/>
        <v>0</v>
      </c>
      <c r="L128" s="18">
        <f t="shared" si="60"/>
        <v>0</v>
      </c>
      <c r="M128" s="18">
        <f t="shared" si="60"/>
        <v>4861840</v>
      </c>
      <c r="N128" s="18">
        <f t="shared" ref="N128:Z128" si="61">SUM(N116:N127)</f>
        <v>0</v>
      </c>
      <c r="O128" s="18">
        <f t="shared" si="61"/>
        <v>0</v>
      </c>
      <c r="P128" s="18">
        <f t="shared" si="61"/>
        <v>191210427</v>
      </c>
      <c r="Q128" s="19">
        <f t="shared" si="61"/>
        <v>21551583</v>
      </c>
      <c r="R128" s="19">
        <f t="shared" si="61"/>
        <v>0</v>
      </c>
      <c r="S128" s="19">
        <f t="shared" si="61"/>
        <v>0</v>
      </c>
      <c r="T128" s="19">
        <f t="shared" si="61"/>
        <v>0</v>
      </c>
      <c r="U128" s="19">
        <f t="shared" si="61"/>
        <v>0</v>
      </c>
      <c r="V128" s="19">
        <f t="shared" si="61"/>
        <v>0</v>
      </c>
      <c r="W128" s="19">
        <f t="shared" si="61"/>
        <v>0</v>
      </c>
      <c r="X128" s="19">
        <f t="shared" si="61"/>
        <v>0</v>
      </c>
      <c r="Y128" s="19">
        <f t="shared" si="61"/>
        <v>0</v>
      </c>
      <c r="Z128" s="19">
        <f t="shared" si="61"/>
        <v>0</v>
      </c>
      <c r="AA128" s="31"/>
      <c r="AD128" s="18">
        <f t="shared" si="57"/>
        <v>972368</v>
      </c>
      <c r="AE128" s="19">
        <f t="shared" si="58"/>
        <v>-972368</v>
      </c>
    </row>
    <row r="130" spans="1:35" ht="15.75">
      <c r="A130" s="15" t="s">
        <v>64</v>
      </c>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B130" s="16"/>
      <c r="AC130" s="16"/>
      <c r="AD130" s="16"/>
      <c r="AE130" s="16"/>
      <c r="AF130" s="16"/>
      <c r="AG130" s="16"/>
      <c r="AH130" s="16"/>
      <c r="AI130" s="16"/>
    </row>
    <row r="131" spans="1:35">
      <c r="B131" s="14">
        <f>B51</f>
        <v>2010</v>
      </c>
      <c r="C131" s="14">
        <f t="shared" ref="C131:L131" si="62">C51</f>
        <v>2011</v>
      </c>
      <c r="D131" s="14">
        <f t="shared" si="62"/>
        <v>2012</v>
      </c>
      <c r="E131" s="14">
        <f t="shared" si="62"/>
        <v>2013</v>
      </c>
      <c r="F131" s="14">
        <f t="shared" si="62"/>
        <v>2014</v>
      </c>
      <c r="G131" s="14">
        <f t="shared" si="62"/>
        <v>2015</v>
      </c>
      <c r="H131" s="14">
        <f t="shared" si="62"/>
        <v>2016</v>
      </c>
      <c r="I131" s="14">
        <f t="shared" si="62"/>
        <v>2017</v>
      </c>
      <c r="J131" s="14">
        <f t="shared" si="62"/>
        <v>2018</v>
      </c>
      <c r="K131" s="14">
        <f t="shared" si="62"/>
        <v>2019</v>
      </c>
      <c r="L131" s="14">
        <f t="shared" si="62"/>
        <v>2020</v>
      </c>
      <c r="M131" s="14">
        <f>M51</f>
        <v>2021</v>
      </c>
      <c r="N131" s="14">
        <f>N51</f>
        <v>2022</v>
      </c>
      <c r="O131" s="14">
        <f>O51</f>
        <v>2023</v>
      </c>
      <c r="P131" s="14">
        <f>P51</f>
        <v>2024</v>
      </c>
      <c r="Q131" s="14">
        <f>Q51</f>
        <v>2025</v>
      </c>
      <c r="R131" s="14">
        <f t="shared" ref="R131:Z131" si="63">R51</f>
        <v>2026</v>
      </c>
      <c r="S131" s="14">
        <f t="shared" si="63"/>
        <v>2027</v>
      </c>
      <c r="T131" s="14">
        <f t="shared" si="63"/>
        <v>2028</v>
      </c>
      <c r="U131" s="14">
        <f t="shared" si="63"/>
        <v>2029</v>
      </c>
      <c r="V131" s="14">
        <f t="shared" si="63"/>
        <v>2030</v>
      </c>
      <c r="W131" s="14">
        <f t="shared" si="63"/>
        <v>2031</v>
      </c>
      <c r="X131" s="14">
        <f t="shared" si="63"/>
        <v>2032</v>
      </c>
      <c r="Y131" s="14">
        <f t="shared" si="63"/>
        <v>2033</v>
      </c>
      <c r="Z131" s="14">
        <f t="shared" si="63"/>
        <v>2034</v>
      </c>
      <c r="AD131" s="14" t="s">
        <v>37</v>
      </c>
      <c r="AE131" s="14" t="s">
        <v>38</v>
      </c>
      <c r="AF131" s="14" t="s">
        <v>39</v>
      </c>
      <c r="AG131" s="14" t="s">
        <v>40</v>
      </c>
      <c r="AH131" s="14" t="s">
        <v>41</v>
      </c>
      <c r="AI131" s="14" t="s">
        <v>42</v>
      </c>
    </row>
    <row r="132" spans="1:35">
      <c r="A132" s="14" t="s">
        <v>43</v>
      </c>
      <c r="B132" s="18">
        <f>'D4 RIN Forecast'!B195+'D6 RIN Forecast'!B225</f>
        <v>0</v>
      </c>
      <c r="C132" s="18">
        <f>'D4 RIN Forecast'!C195+'D6 RIN Forecast'!C225</f>
        <v>0</v>
      </c>
      <c r="D132" s="18">
        <f>'D4 RIN Forecast'!D195+'D6 RIN Forecast'!D225</f>
        <v>0</v>
      </c>
      <c r="E132" s="18">
        <f>'D4 RIN Forecast'!E195+'D6 RIN Forecast'!E225</f>
        <v>11916516</v>
      </c>
      <c r="F132" s="18">
        <f>'D4 RIN Forecast'!F195+'D6 RIN Forecast'!F225</f>
        <v>47240060</v>
      </c>
      <c r="G132" s="18">
        <f>'D4 RIN Forecast'!G195+'D6 RIN Forecast'!G225</f>
        <v>51311665</v>
      </c>
      <c r="H132" s="18">
        <f>'D4 RIN Forecast'!H195+'D6 RIN Forecast'!H225</f>
        <v>44538515</v>
      </c>
      <c r="I132" s="18">
        <f>'D4 RIN Forecast'!I195+'D6 RIN Forecast'!I225</f>
        <v>51810381</v>
      </c>
      <c r="J132" s="18">
        <f>'D4 RIN Forecast'!J195+'D6 RIN Forecast'!J225</f>
        <v>54066459</v>
      </c>
      <c r="K132" s="18">
        <f>'D4 RIN Forecast'!K195+'D6 RIN Forecast'!K225</f>
        <v>46746689</v>
      </c>
      <c r="L132" s="18">
        <f>'D4 RIN Forecast'!L195+'D6 RIN Forecast'!L225</f>
        <v>50622570</v>
      </c>
      <c r="M132" s="18">
        <f>'D4 RIN Forecast'!M195+'D6 RIN Forecast'!M225</f>
        <v>56297535</v>
      </c>
      <c r="N132" s="18">
        <f>'D4 RIN Forecast'!N195+'D6 RIN Forecast'!N225</f>
        <v>64303205</v>
      </c>
      <c r="O132" s="18">
        <f>'D4 RIN Forecast'!O195+'D6 RIN Forecast'!O225</f>
        <v>78640781</v>
      </c>
      <c r="P132" s="18">
        <f>'D4 RIN Forecast'!P195+'D6 RIN Forecast'!P225</f>
        <v>41196032</v>
      </c>
      <c r="Q132" s="19">
        <f>'D4 RIN Forecast'!Q195+'D6 RIN Forecast'!Q225</f>
        <v>0</v>
      </c>
      <c r="R132" s="19">
        <f>'D4 RIN Forecast'!R195+'D6 RIN Forecast'!R225</f>
        <v>33796780.856898621</v>
      </c>
      <c r="S132" s="19">
        <f>'D4 RIN Forecast'!S195+'D6 RIN Forecast'!S225</f>
        <v>30401447.29276279</v>
      </c>
      <c r="T132" s="19">
        <f>'D4 RIN Forecast'!T195+'D6 RIN Forecast'!T225</f>
        <v>26107277.72344628</v>
      </c>
      <c r="U132" s="19">
        <f>'D4 RIN Forecast'!U195+'D6 RIN Forecast'!U225</f>
        <v>21638820.019539598</v>
      </c>
      <c r="V132" s="19">
        <f>'D4 RIN Forecast'!V195+'D6 RIN Forecast'!V225</f>
        <v>17991052.379070446</v>
      </c>
      <c r="W132" s="19">
        <f>'D4 RIN Forecast'!W195+'D6 RIN Forecast'!W225</f>
        <v>21262152.808351364</v>
      </c>
      <c r="X132" s="19">
        <f>'D4 RIN Forecast'!X195+'D6 RIN Forecast'!X225</f>
        <v>18415803.956755068</v>
      </c>
      <c r="Y132" s="19">
        <f>'D4 RIN Forecast'!Y195+'D6 RIN Forecast'!Y225</f>
        <v>17045847.07123084</v>
      </c>
      <c r="Z132" s="19">
        <f>'D4 RIN Forecast'!Z195+'D6 RIN Forecast'!Z225</f>
        <v>15911616.259037089</v>
      </c>
      <c r="AA132" s="31"/>
      <c r="AB132" s="20">
        <f>O132/N143-1</f>
        <v>6.1998072811344951E-2</v>
      </c>
      <c r="AD132" s="18">
        <f>AVERAGE(J132:N132)</f>
        <v>54407291.600000001</v>
      </c>
      <c r="AE132" s="18">
        <f>O132-AD132</f>
        <v>24233489.399999999</v>
      </c>
      <c r="AF132" s="18">
        <f t="shared" ref="AF132:AF143" si="64">O132-N132</f>
        <v>14337576</v>
      </c>
      <c r="AG132" s="18">
        <f>O132/31</f>
        <v>2536799.3870967743</v>
      </c>
      <c r="AH132" s="18">
        <f>AD132/31</f>
        <v>1755073.9225806452</v>
      </c>
      <c r="AI132" s="18">
        <f>AG132-AH132</f>
        <v>781725.46451612911</v>
      </c>
    </row>
    <row r="133" spans="1:35">
      <c r="A133" s="14" t="s">
        <v>44</v>
      </c>
      <c r="B133" s="18">
        <f>'D4 RIN Forecast'!B196+'D6 RIN Forecast'!B226</f>
        <v>0</v>
      </c>
      <c r="C133" s="18">
        <f>'D4 RIN Forecast'!C196+'D6 RIN Forecast'!C226</f>
        <v>0</v>
      </c>
      <c r="D133" s="18">
        <f>'D4 RIN Forecast'!D196+'D6 RIN Forecast'!D226</f>
        <v>0</v>
      </c>
      <c r="E133" s="18">
        <f>'D4 RIN Forecast'!E196+'D6 RIN Forecast'!E226</f>
        <v>0</v>
      </c>
      <c r="F133" s="18">
        <f>'D4 RIN Forecast'!F196+'D6 RIN Forecast'!F226</f>
        <v>61121209</v>
      </c>
      <c r="G133" s="18">
        <f>'D4 RIN Forecast'!G196+'D6 RIN Forecast'!G226</f>
        <v>43526035</v>
      </c>
      <c r="H133" s="18">
        <f>'D4 RIN Forecast'!H196+'D6 RIN Forecast'!H226</f>
        <v>41531183</v>
      </c>
      <c r="I133" s="18">
        <f>'D4 RIN Forecast'!I196+'D6 RIN Forecast'!I226</f>
        <v>41216783</v>
      </c>
      <c r="J133" s="18">
        <f>'D4 RIN Forecast'!J196+'D6 RIN Forecast'!J226</f>
        <v>48103252</v>
      </c>
      <c r="K133" s="18">
        <f>'D4 RIN Forecast'!K196+'D6 RIN Forecast'!K226</f>
        <v>56757326</v>
      </c>
      <c r="L133" s="18">
        <f>'D4 RIN Forecast'!L196+'D6 RIN Forecast'!L226</f>
        <v>69133082</v>
      </c>
      <c r="M133" s="18">
        <f>'D4 RIN Forecast'!M196+'D6 RIN Forecast'!M226</f>
        <v>63269096</v>
      </c>
      <c r="N133" s="18">
        <f>'D4 RIN Forecast'!N196+'D6 RIN Forecast'!N226</f>
        <v>58030946</v>
      </c>
      <c r="O133" s="18">
        <f>'D4 RIN Forecast'!O196+'D6 RIN Forecast'!O226</f>
        <v>57684846</v>
      </c>
      <c r="P133" s="18">
        <f>'D4 RIN Forecast'!P196+'D6 RIN Forecast'!P226</f>
        <v>95563499</v>
      </c>
      <c r="Q133" s="19">
        <f>'D4 RIN Forecast'!Q196+'D6 RIN Forecast'!Q226</f>
        <v>0</v>
      </c>
      <c r="R133" s="19">
        <f>'D4 RIN Forecast'!R196+'D6 RIN Forecast'!R226</f>
        <v>39896856.948440313</v>
      </c>
      <c r="S133" s="19">
        <f>'D4 RIN Forecast'!S196+'D6 RIN Forecast'!S226</f>
        <v>38029195.99759613</v>
      </c>
      <c r="T133" s="19">
        <f>'D4 RIN Forecast'!T196+'D6 RIN Forecast'!T226</f>
        <v>35242811.001502149</v>
      </c>
      <c r="U133" s="19">
        <f>'D4 RIN Forecast'!U196+'D6 RIN Forecast'!U226</f>
        <v>34347294.428185038</v>
      </c>
      <c r="V133" s="19">
        <f>'D4 RIN Forecast'!V196+'D6 RIN Forecast'!V226</f>
        <v>23707954.029237788</v>
      </c>
      <c r="W133" s="19">
        <f>'D4 RIN Forecast'!W196+'D6 RIN Forecast'!W226</f>
        <v>28018491.121144079</v>
      </c>
      <c r="X133" s="19">
        <f>'D4 RIN Forecast'!X196+'D6 RIN Forecast'!X226</f>
        <v>24995411.228138987</v>
      </c>
      <c r="Y133" s="19">
        <f>'D4 RIN Forecast'!Y196+'D6 RIN Forecast'!Y226</f>
        <v>23658955.526646353</v>
      </c>
      <c r="Z133" s="19">
        <f>'D4 RIN Forecast'!Z196+'D6 RIN Forecast'!Z226</f>
        <v>22248678.110236067</v>
      </c>
      <c r="AA133" s="31"/>
      <c r="AB133" s="20">
        <f>O133/O132-1</f>
        <v>-0.26647668974701566</v>
      </c>
      <c r="AD133" s="18">
        <f t="shared" ref="AD133:AD144" si="65">AVERAGE(J133:N133)</f>
        <v>59058740.399999999</v>
      </c>
      <c r="AE133" s="18">
        <f t="shared" ref="AE133:AE144" si="66">O133-AD133</f>
        <v>-1373894.3999999985</v>
      </c>
      <c r="AF133" s="18">
        <f t="shared" si="64"/>
        <v>-346100</v>
      </c>
      <c r="AG133" s="18">
        <f>O133/28</f>
        <v>2060173.0714285714</v>
      </c>
      <c r="AH133" s="18">
        <f>AD133/28</f>
        <v>2109240.7285714285</v>
      </c>
      <c r="AI133" s="18">
        <f t="shared" ref="AI133:AI143" si="67">AG133-AH133</f>
        <v>-49067.65714285709</v>
      </c>
    </row>
    <row r="134" spans="1:35">
      <c r="A134" s="14" t="s">
        <v>45</v>
      </c>
      <c r="B134" s="18">
        <f>'D4 RIN Forecast'!B197+'D6 RIN Forecast'!B227</f>
        <v>0</v>
      </c>
      <c r="C134" s="18">
        <f>'D4 RIN Forecast'!C197+'D6 RIN Forecast'!C227</f>
        <v>0</v>
      </c>
      <c r="D134" s="18">
        <f>'D4 RIN Forecast'!D197+'D6 RIN Forecast'!D227</f>
        <v>5301327</v>
      </c>
      <c r="E134" s="18">
        <f>'D4 RIN Forecast'!E197+'D6 RIN Forecast'!E227</f>
        <v>22112585</v>
      </c>
      <c r="F134" s="18">
        <f>'D4 RIN Forecast'!F197+'D6 RIN Forecast'!F227</f>
        <v>60808077</v>
      </c>
      <c r="G134" s="18">
        <f>'D4 RIN Forecast'!G197+'D6 RIN Forecast'!G227</f>
        <v>44309984</v>
      </c>
      <c r="H134" s="18">
        <f>'D4 RIN Forecast'!H197+'D6 RIN Forecast'!H227</f>
        <v>44095881</v>
      </c>
      <c r="I134" s="18">
        <f>'D4 RIN Forecast'!I197+'D6 RIN Forecast'!I227</f>
        <v>52493265</v>
      </c>
      <c r="J134" s="18">
        <f>'D4 RIN Forecast'!J197+'D6 RIN Forecast'!J227</f>
        <v>48357558</v>
      </c>
      <c r="K134" s="18">
        <f>'D4 RIN Forecast'!K197+'D6 RIN Forecast'!K227</f>
        <v>56012257</v>
      </c>
      <c r="L134" s="18">
        <f>'D4 RIN Forecast'!L197+'D6 RIN Forecast'!L227</f>
        <v>74282616</v>
      </c>
      <c r="M134" s="18">
        <f>'D4 RIN Forecast'!M197+'D6 RIN Forecast'!M227</f>
        <v>79169127</v>
      </c>
      <c r="N134" s="18">
        <f>'D4 RIN Forecast'!N197+'D6 RIN Forecast'!N227</f>
        <v>78278008</v>
      </c>
      <c r="O134" s="18">
        <f>'D4 RIN Forecast'!O197+'D6 RIN Forecast'!O227</f>
        <v>74055461</v>
      </c>
      <c r="P134" s="18">
        <f>'D4 RIN Forecast'!P197+'D6 RIN Forecast'!P227</f>
        <v>45276974</v>
      </c>
      <c r="Q134" s="19">
        <f>'D4 RIN Forecast'!Q197+'D6 RIN Forecast'!Q227</f>
        <v>12638851</v>
      </c>
      <c r="R134" s="19">
        <f>'D4 RIN Forecast'!R197+'D6 RIN Forecast'!R227</f>
        <v>40572799.865380593</v>
      </c>
      <c r="S134" s="19">
        <f>'D4 RIN Forecast'!S197+'D6 RIN Forecast'!S227</f>
        <v>35774226.973012097</v>
      </c>
      <c r="T134" s="19">
        <f>'D4 RIN Forecast'!T197+'D6 RIN Forecast'!T227</f>
        <v>30595476.025823757</v>
      </c>
      <c r="U134" s="19">
        <f>'D4 RIN Forecast'!U197+'D6 RIN Forecast'!U227</f>
        <v>27127741.094760638</v>
      </c>
      <c r="V134" s="19">
        <f>'D4 RIN Forecast'!V197+'D6 RIN Forecast'!V227</f>
        <v>23578247.353238445</v>
      </c>
      <c r="W134" s="19">
        <f>'D4 RIN Forecast'!W197+'D6 RIN Forecast'!W227</f>
        <v>25797025.85134051</v>
      </c>
      <c r="X134" s="19">
        <f>'D4 RIN Forecast'!X197+'D6 RIN Forecast'!X227</f>
        <v>22411406.635175716</v>
      </c>
      <c r="Y134" s="19">
        <f>'D4 RIN Forecast'!Y197+'D6 RIN Forecast'!Y227</f>
        <v>20942025.891558237</v>
      </c>
      <c r="Z134" s="19">
        <f>'D4 RIN Forecast'!Z197+'D6 RIN Forecast'!Z227</f>
        <v>19792807.732786648</v>
      </c>
      <c r="AB134" s="20">
        <f t="shared" ref="AB134:AB143" si="68">M134/M133-1</f>
        <v>0.25130801616005383</v>
      </c>
      <c r="AD134" s="18">
        <f t="shared" si="65"/>
        <v>67219913.200000003</v>
      </c>
      <c r="AE134" s="18">
        <f t="shared" si="66"/>
        <v>6835547.799999997</v>
      </c>
      <c r="AF134" s="18">
        <f t="shared" si="64"/>
        <v>-4222547</v>
      </c>
      <c r="AG134" s="18">
        <f>O134/31</f>
        <v>2388885.8387096776</v>
      </c>
      <c r="AH134" s="18">
        <f>AD134/31</f>
        <v>2168384.2967741936</v>
      </c>
      <c r="AI134" s="18">
        <f t="shared" si="67"/>
        <v>220501.54193548393</v>
      </c>
    </row>
    <row r="135" spans="1:35">
      <c r="A135" s="14" t="s">
        <v>46</v>
      </c>
      <c r="B135" s="18">
        <f>'D4 RIN Forecast'!B198+'D6 RIN Forecast'!B228</f>
        <v>0</v>
      </c>
      <c r="C135" s="18">
        <f>'D4 RIN Forecast'!C198+'D6 RIN Forecast'!C228</f>
        <v>0</v>
      </c>
      <c r="D135" s="18">
        <f>'D4 RIN Forecast'!D198+'D6 RIN Forecast'!D228</f>
        <v>1103098</v>
      </c>
      <c r="E135" s="18">
        <f>'D4 RIN Forecast'!E198+'D6 RIN Forecast'!E228</f>
        <v>14602933</v>
      </c>
      <c r="F135" s="18">
        <f>'D4 RIN Forecast'!F198+'D6 RIN Forecast'!F228</f>
        <v>65440762</v>
      </c>
      <c r="G135" s="18">
        <f>'D4 RIN Forecast'!G198+'D6 RIN Forecast'!G228</f>
        <v>46702686</v>
      </c>
      <c r="H135" s="18">
        <f>'D4 RIN Forecast'!H198+'D6 RIN Forecast'!H228</f>
        <v>58472038</v>
      </c>
      <c r="I135" s="18">
        <f>'D4 RIN Forecast'!I198+'D6 RIN Forecast'!I228</f>
        <v>49113023</v>
      </c>
      <c r="J135" s="18">
        <f>'D4 RIN Forecast'!J198+'D6 RIN Forecast'!J228</f>
        <v>53980869</v>
      </c>
      <c r="K135" s="18">
        <f>'D4 RIN Forecast'!K198+'D6 RIN Forecast'!K228</f>
        <v>60710918</v>
      </c>
      <c r="L135" s="18">
        <f>'D4 RIN Forecast'!L198+'D6 RIN Forecast'!L228</f>
        <v>61556967</v>
      </c>
      <c r="M135" s="18">
        <f>'D4 RIN Forecast'!M198+'D6 RIN Forecast'!M228</f>
        <v>76602893</v>
      </c>
      <c r="N135" s="18">
        <f>'D4 RIN Forecast'!N198+'D6 RIN Forecast'!N228</f>
        <v>73595674</v>
      </c>
      <c r="O135" s="18">
        <f>'D4 RIN Forecast'!O198+'D6 RIN Forecast'!O228</f>
        <v>78375658</v>
      </c>
      <c r="P135" s="18">
        <f>'D4 RIN Forecast'!P198+'D6 RIN Forecast'!P228</f>
        <v>46967029</v>
      </c>
      <c r="Q135" s="19">
        <f>'D4 RIN Forecast'!Q198+'D6 RIN Forecast'!Q228</f>
        <v>31932624.750518605</v>
      </c>
      <c r="R135" s="19">
        <f>'D4 RIN Forecast'!R198+'D6 RIN Forecast'!R228</f>
        <v>43581252.886202626</v>
      </c>
      <c r="S135" s="19">
        <f>'D4 RIN Forecast'!S198+'D6 RIN Forecast'!S228</f>
        <v>40208253.175036125</v>
      </c>
      <c r="T135" s="19">
        <f>'D4 RIN Forecast'!T198+'D6 RIN Forecast'!T228</f>
        <v>35420122.291276731</v>
      </c>
      <c r="U135" s="19">
        <f>'D4 RIN Forecast'!U198+'D6 RIN Forecast'!U228</f>
        <v>32599246.846921284</v>
      </c>
      <c r="V135" s="19">
        <f>'D4 RIN Forecast'!V198+'D6 RIN Forecast'!V228</f>
        <v>29529883.926218193</v>
      </c>
      <c r="W135" s="19">
        <f>'D4 RIN Forecast'!W198+'D6 RIN Forecast'!W228</f>
        <v>29673615.129865061</v>
      </c>
      <c r="X135" s="19">
        <f>'D4 RIN Forecast'!X198+'D6 RIN Forecast'!X228</f>
        <v>26263705.312976733</v>
      </c>
      <c r="Y135" s="19">
        <f>'D4 RIN Forecast'!Y198+'D6 RIN Forecast'!Y228</f>
        <v>24819105.503377199</v>
      </c>
      <c r="Z135" s="19">
        <f>'D4 RIN Forecast'!Z198+'D6 RIN Forecast'!Z228</f>
        <v>23595780.008716214</v>
      </c>
      <c r="AB135" s="20">
        <f t="shared" si="68"/>
        <v>-3.241457999151609E-2</v>
      </c>
      <c r="AD135" s="18">
        <f t="shared" si="65"/>
        <v>65289464.200000003</v>
      </c>
      <c r="AE135" s="18">
        <f t="shared" si="66"/>
        <v>13086193.799999997</v>
      </c>
      <c r="AF135" s="18">
        <f t="shared" si="64"/>
        <v>4779984</v>
      </c>
      <c r="AG135" s="18">
        <f>O135/30</f>
        <v>2612521.9333333331</v>
      </c>
      <c r="AH135" s="18">
        <f>AD135/30</f>
        <v>2176315.4733333336</v>
      </c>
      <c r="AI135" s="18">
        <f t="shared" si="67"/>
        <v>436206.4599999995</v>
      </c>
    </row>
    <row r="136" spans="1:35">
      <c r="A136" s="14" t="s">
        <v>47</v>
      </c>
      <c r="B136" s="18">
        <f>'D4 RIN Forecast'!B199+'D6 RIN Forecast'!B229</f>
        <v>0</v>
      </c>
      <c r="C136" s="18">
        <f>'D4 RIN Forecast'!C199+'D6 RIN Forecast'!C229</f>
        <v>0</v>
      </c>
      <c r="D136" s="18">
        <f>'D4 RIN Forecast'!D199+'D6 RIN Forecast'!D229</f>
        <v>5843978</v>
      </c>
      <c r="E136" s="18">
        <f>'D4 RIN Forecast'!E199+'D6 RIN Forecast'!E229</f>
        <v>39860729</v>
      </c>
      <c r="F136" s="18">
        <f>'D4 RIN Forecast'!F199+'D6 RIN Forecast'!F229</f>
        <v>49738476</v>
      </c>
      <c r="G136" s="18">
        <f>'D4 RIN Forecast'!G199+'D6 RIN Forecast'!G229</f>
        <v>51013469</v>
      </c>
      <c r="H136" s="18">
        <f>'D4 RIN Forecast'!H199+'D6 RIN Forecast'!H229</f>
        <v>52732773</v>
      </c>
      <c r="I136" s="18">
        <f>'D4 RIN Forecast'!I199+'D6 RIN Forecast'!I229</f>
        <v>52414893</v>
      </c>
      <c r="J136" s="18">
        <f>'D4 RIN Forecast'!J199+'D6 RIN Forecast'!J229</f>
        <v>53913859</v>
      </c>
      <c r="K136" s="18">
        <f>'D4 RIN Forecast'!K199+'D6 RIN Forecast'!K229</f>
        <v>62260212</v>
      </c>
      <c r="L136" s="18">
        <f>'D4 RIN Forecast'!L199+'D6 RIN Forecast'!L229</f>
        <v>60853957</v>
      </c>
      <c r="M136" s="18">
        <f>'D4 RIN Forecast'!M199+'D6 RIN Forecast'!M229</f>
        <v>65064875</v>
      </c>
      <c r="N136" s="18">
        <f>'D4 RIN Forecast'!N199+'D6 RIN Forecast'!N229</f>
        <v>80019365</v>
      </c>
      <c r="O136" s="18">
        <f>'D4 RIN Forecast'!O199+'D6 RIN Forecast'!O229</f>
        <v>94789475</v>
      </c>
      <c r="P136" s="18">
        <f>'D4 RIN Forecast'!P199+'D6 RIN Forecast'!P229</f>
        <v>50457214</v>
      </c>
      <c r="Q136" s="19">
        <f>'D4 RIN Forecast'!Q199+'D6 RIN Forecast'!Q229</f>
        <v>34867649.967005022</v>
      </c>
      <c r="R136" s="19">
        <f>'D4 RIN Forecast'!R199+'D6 RIN Forecast'!R229</f>
        <v>45992563.753862604</v>
      </c>
      <c r="S136" s="19">
        <f>'D4 RIN Forecast'!S199+'D6 RIN Forecast'!S229</f>
        <v>44123004.343669139</v>
      </c>
      <c r="T136" s="19">
        <f>'D4 RIN Forecast'!T199+'D6 RIN Forecast'!T229</f>
        <v>39736794.960337877</v>
      </c>
      <c r="U136" s="19">
        <f>'D4 RIN Forecast'!U199+'D6 RIN Forecast'!U229</f>
        <v>35407808.587455891</v>
      </c>
      <c r="V136" s="19">
        <f>'D4 RIN Forecast'!V199+'D6 RIN Forecast'!V229</f>
        <v>32163399.908178765</v>
      </c>
      <c r="W136" s="19">
        <f>'D4 RIN Forecast'!W199+'D6 RIN Forecast'!W229</f>
        <v>32305675.345349703</v>
      </c>
      <c r="X136" s="19">
        <f>'D4 RIN Forecast'!X199+'D6 RIN Forecast'!X229</f>
        <v>28821440.493497372</v>
      </c>
      <c r="Y136" s="19">
        <f>'D4 RIN Forecast'!Y199+'D6 RIN Forecast'!Y229</f>
        <v>27236317.162659034</v>
      </c>
      <c r="Z136" s="19">
        <f>'D4 RIN Forecast'!Z199+'D6 RIN Forecast'!Z229</f>
        <v>25750674.742663182</v>
      </c>
      <c r="AB136" s="20">
        <f t="shared" si="68"/>
        <v>-0.15062117823670185</v>
      </c>
      <c r="AD136" s="18">
        <f t="shared" si="65"/>
        <v>64422453.600000001</v>
      </c>
      <c r="AE136" s="18">
        <f t="shared" si="66"/>
        <v>30367021.399999999</v>
      </c>
      <c r="AF136" s="18">
        <f t="shared" si="64"/>
        <v>14770110</v>
      </c>
      <c r="AG136" s="18">
        <f>O136/31</f>
        <v>3057725</v>
      </c>
      <c r="AH136" s="18">
        <f>AD136/31</f>
        <v>2078143.6645161291</v>
      </c>
      <c r="AI136" s="18">
        <f t="shared" si="67"/>
        <v>979581.33548387093</v>
      </c>
    </row>
    <row r="137" spans="1:35">
      <c r="A137" s="14" t="s">
        <v>48</v>
      </c>
      <c r="B137" s="18">
        <f>'D4 RIN Forecast'!B200+'D6 RIN Forecast'!B230</f>
        <v>0</v>
      </c>
      <c r="C137" s="18">
        <f>'D4 RIN Forecast'!C200+'D6 RIN Forecast'!C230</f>
        <v>0</v>
      </c>
      <c r="D137" s="18">
        <f>'D4 RIN Forecast'!D200+'D6 RIN Forecast'!D230</f>
        <v>4573340</v>
      </c>
      <c r="E137" s="18">
        <f>'D4 RIN Forecast'!E200+'D6 RIN Forecast'!E230</f>
        <v>40151397</v>
      </c>
      <c r="F137" s="18">
        <f>'D4 RIN Forecast'!F200+'D6 RIN Forecast'!F230</f>
        <v>54525545</v>
      </c>
      <c r="G137" s="18">
        <f>'D4 RIN Forecast'!G200+'D6 RIN Forecast'!G230</f>
        <v>47208902</v>
      </c>
      <c r="H137" s="18">
        <f>'D4 RIN Forecast'!H200+'D6 RIN Forecast'!H230</f>
        <v>50498182</v>
      </c>
      <c r="I137" s="18">
        <f>'D4 RIN Forecast'!I200+'D6 RIN Forecast'!I230</f>
        <v>47138285</v>
      </c>
      <c r="J137" s="18">
        <f>'D4 RIN Forecast'!J200+'D6 RIN Forecast'!J230</f>
        <v>48979146</v>
      </c>
      <c r="K137" s="18">
        <f>'D4 RIN Forecast'!K200+'D6 RIN Forecast'!K230</f>
        <v>60767761</v>
      </c>
      <c r="L137" s="18">
        <f>'D4 RIN Forecast'!L200+'D6 RIN Forecast'!L230</f>
        <v>37106254</v>
      </c>
      <c r="M137" s="18">
        <f>'D4 RIN Forecast'!M200+'D6 RIN Forecast'!M230</f>
        <v>75958215</v>
      </c>
      <c r="N137" s="18">
        <f>'D4 RIN Forecast'!N200+'D6 RIN Forecast'!N230</f>
        <v>59998275</v>
      </c>
      <c r="O137" s="18">
        <f>'D4 RIN Forecast'!O200+'D6 RIN Forecast'!O230</f>
        <v>73083853</v>
      </c>
      <c r="P137" s="18">
        <f>'D4 RIN Forecast'!P200+'D6 RIN Forecast'!P230</f>
        <v>96000988</v>
      </c>
      <c r="Q137" s="19">
        <f>'D4 RIN Forecast'!Q200+'D6 RIN Forecast'!Q230</f>
        <v>34499189.421695851</v>
      </c>
      <c r="R137" s="19">
        <f>'D4 RIN Forecast'!R200+'D6 RIN Forecast'!R230</f>
        <v>49798007.731135696</v>
      </c>
      <c r="S137" s="19">
        <f>'D4 RIN Forecast'!S200+'D6 RIN Forecast'!S230</f>
        <v>47115428.216547355</v>
      </c>
      <c r="T137" s="19">
        <f>'D4 RIN Forecast'!T200+'D6 RIN Forecast'!T230</f>
        <v>45112830.838046551</v>
      </c>
      <c r="U137" s="19">
        <f>'D4 RIN Forecast'!U200+'D6 RIN Forecast'!U230</f>
        <v>44844727.734786943</v>
      </c>
      <c r="V137" s="19">
        <f>'D4 RIN Forecast'!V200+'D6 RIN Forecast'!V230</f>
        <v>35577350.997567557</v>
      </c>
      <c r="W137" s="19">
        <f>'D4 RIN Forecast'!W200+'D6 RIN Forecast'!W230</f>
        <v>36400638.357785664</v>
      </c>
      <c r="X137" s="19">
        <f>'D4 RIN Forecast'!X200+'D6 RIN Forecast'!X230</f>
        <v>32792309.98370878</v>
      </c>
      <c r="Y137" s="19">
        <f>'D4 RIN Forecast'!Y200+'D6 RIN Forecast'!Y230</f>
        <v>31487908.939111609</v>
      </c>
      <c r="Z137" s="19">
        <f>'D4 RIN Forecast'!Z200+'D6 RIN Forecast'!Z230</f>
        <v>29906906.864614468</v>
      </c>
      <c r="AB137" s="20">
        <f t="shared" si="68"/>
        <v>0.16742274537528878</v>
      </c>
      <c r="AD137" s="23">
        <f t="shared" si="65"/>
        <v>56561930.200000003</v>
      </c>
      <c r="AE137" s="23">
        <f t="shared" si="66"/>
        <v>16521922.799999997</v>
      </c>
      <c r="AF137" s="23">
        <f t="shared" si="64"/>
        <v>13085578</v>
      </c>
      <c r="AG137" s="23">
        <f>O137/30</f>
        <v>2436128.4333333331</v>
      </c>
      <c r="AH137" s="23">
        <f>AD137/30</f>
        <v>1885397.6733333333</v>
      </c>
      <c r="AI137" s="23">
        <f t="shared" si="67"/>
        <v>550730.75999999978</v>
      </c>
    </row>
    <row r="138" spans="1:35">
      <c r="A138" s="14" t="s">
        <v>49</v>
      </c>
      <c r="B138" s="18">
        <f>'D4 RIN Forecast'!B201+'D6 RIN Forecast'!B231</f>
        <v>0</v>
      </c>
      <c r="C138" s="18">
        <f>'D4 RIN Forecast'!C201+'D6 RIN Forecast'!C231</f>
        <v>0</v>
      </c>
      <c r="D138" s="18">
        <f>'D4 RIN Forecast'!D201+'D6 RIN Forecast'!D231</f>
        <v>5244966</v>
      </c>
      <c r="E138" s="18">
        <f>'D4 RIN Forecast'!E201+'D6 RIN Forecast'!E231</f>
        <v>56471369</v>
      </c>
      <c r="F138" s="18">
        <f>'D4 RIN Forecast'!F201+'D6 RIN Forecast'!F231</f>
        <v>65558003</v>
      </c>
      <c r="G138" s="18">
        <f>'D4 RIN Forecast'!G201+'D6 RIN Forecast'!G231</f>
        <v>51522651</v>
      </c>
      <c r="H138" s="18">
        <f>'D4 RIN Forecast'!H201+'D6 RIN Forecast'!H231</f>
        <v>52230270</v>
      </c>
      <c r="I138" s="18">
        <f>'D4 RIN Forecast'!I201+'D6 RIN Forecast'!I231</f>
        <v>52356549</v>
      </c>
      <c r="J138" s="18">
        <f>'D4 RIN Forecast'!J201+'D6 RIN Forecast'!J231</f>
        <v>50446436</v>
      </c>
      <c r="K138" s="18">
        <f>'D4 RIN Forecast'!K201+'D6 RIN Forecast'!K231</f>
        <v>62719260</v>
      </c>
      <c r="L138" s="18">
        <f>'D4 RIN Forecast'!L201+'D6 RIN Forecast'!L231</f>
        <v>37273326</v>
      </c>
      <c r="M138" s="18">
        <f>'D4 RIN Forecast'!M201+'D6 RIN Forecast'!M231</f>
        <v>4856526</v>
      </c>
      <c r="N138" s="18">
        <f>'D4 RIN Forecast'!N201+'D6 RIN Forecast'!N231</f>
        <v>29614705</v>
      </c>
      <c r="O138" s="18">
        <f>'D4 RIN Forecast'!O201+'D6 RIN Forecast'!O231</f>
        <v>83717318</v>
      </c>
      <c r="P138" s="18">
        <f>'D4 RIN Forecast'!P201+'D6 RIN Forecast'!P231</f>
        <v>37477648</v>
      </c>
      <c r="Q138" s="19">
        <f>'D4 RIN Forecast'!Q201+'D6 RIN Forecast'!Q231</f>
        <v>24842798.139850907</v>
      </c>
      <c r="R138" s="19">
        <f>'D4 RIN Forecast'!R201+'D6 RIN Forecast'!R231</f>
        <v>26022097.575546306</v>
      </c>
      <c r="S138" s="19">
        <f>'D4 RIN Forecast'!S201+'D6 RIN Forecast'!S231</f>
        <v>29383447.745323453</v>
      </c>
      <c r="T138" s="19">
        <f>'D4 RIN Forecast'!T201+'D6 RIN Forecast'!T231</f>
        <v>30328862.736514028</v>
      </c>
      <c r="U138" s="19">
        <f>'D4 RIN Forecast'!U201+'D6 RIN Forecast'!U231</f>
        <v>24362698.590070911</v>
      </c>
      <c r="V138" s="19">
        <f>'D4 RIN Forecast'!V201+'D6 RIN Forecast'!V231</f>
        <v>21686770.416424029</v>
      </c>
      <c r="W138" s="19">
        <f>'D4 RIN Forecast'!W201+'D6 RIN Forecast'!W231</f>
        <v>21564634.428781934</v>
      </c>
      <c r="X138" s="19">
        <f>'D4 RIN Forecast'!X201+'D6 RIN Forecast'!X231</f>
        <v>19972770.810665525</v>
      </c>
      <c r="Y138" s="19">
        <f>'D4 RIN Forecast'!Y201+'D6 RIN Forecast'!Y231</f>
        <v>19067225.55470863</v>
      </c>
      <c r="Z138" s="19">
        <f>'D4 RIN Forecast'!Z201+'D6 RIN Forecast'!Z231</f>
        <v>17612603.636823058</v>
      </c>
      <c r="AB138" s="20">
        <f t="shared" si="68"/>
        <v>-0.93606318947858369</v>
      </c>
      <c r="AD138" s="18">
        <f t="shared" si="65"/>
        <v>36982050.600000001</v>
      </c>
      <c r="AE138" s="19">
        <f t="shared" si="66"/>
        <v>46735267.399999999</v>
      </c>
      <c r="AF138" s="19">
        <f t="shared" si="64"/>
        <v>54102613</v>
      </c>
      <c r="AG138" s="19">
        <f>O138/31</f>
        <v>2700558.6451612902</v>
      </c>
      <c r="AH138" s="18">
        <f>AD138/31</f>
        <v>1192969.3741935485</v>
      </c>
      <c r="AI138" s="19">
        <f t="shared" si="67"/>
        <v>1507589.2709677417</v>
      </c>
    </row>
    <row r="139" spans="1:35">
      <c r="A139" s="14" t="s">
        <v>50</v>
      </c>
      <c r="B139" s="18">
        <f>'D4 RIN Forecast'!B202+'D6 RIN Forecast'!B232</f>
        <v>0</v>
      </c>
      <c r="C139" s="18">
        <f>'D4 RIN Forecast'!C202+'D6 RIN Forecast'!C232</f>
        <v>0</v>
      </c>
      <c r="D139" s="18">
        <f>'D4 RIN Forecast'!D202+'D6 RIN Forecast'!D232</f>
        <v>1752396</v>
      </c>
      <c r="E139" s="18">
        <f>'D4 RIN Forecast'!E202+'D6 RIN Forecast'!E232</f>
        <v>60671257</v>
      </c>
      <c r="F139" s="18">
        <f>'D4 RIN Forecast'!F202+'D6 RIN Forecast'!F232</f>
        <v>48394949</v>
      </c>
      <c r="G139" s="18">
        <f>'D4 RIN Forecast'!G202+'D6 RIN Forecast'!G232</f>
        <v>50960932</v>
      </c>
      <c r="H139" s="18">
        <f>'D4 RIN Forecast'!H202+'D6 RIN Forecast'!H232</f>
        <v>53017377</v>
      </c>
      <c r="I139" s="18">
        <f>'D4 RIN Forecast'!I202+'D6 RIN Forecast'!I232</f>
        <v>53494913</v>
      </c>
      <c r="J139" s="18">
        <f>'D4 RIN Forecast'!J202+'D6 RIN Forecast'!J232</f>
        <v>50652348</v>
      </c>
      <c r="K139" s="18">
        <f>'D4 RIN Forecast'!K202+'D6 RIN Forecast'!K232</f>
        <v>54530027</v>
      </c>
      <c r="L139" s="18">
        <f>'D4 RIN Forecast'!L202+'D6 RIN Forecast'!L232</f>
        <v>41140787</v>
      </c>
      <c r="M139" s="18">
        <f>'D4 RIN Forecast'!M202+'D6 RIN Forecast'!M232</f>
        <v>49819847</v>
      </c>
      <c r="N139" s="18">
        <f>'D4 RIN Forecast'!N202+'D6 RIN Forecast'!N232</f>
        <v>28137330</v>
      </c>
      <c r="O139" s="18">
        <f>'D4 RIN Forecast'!O202+'D6 RIN Forecast'!O232</f>
        <v>20007955</v>
      </c>
      <c r="P139" s="18">
        <f>'D4 RIN Forecast'!P202+'D6 RIN Forecast'!P232</f>
        <v>39060624</v>
      </c>
      <c r="Q139" s="19">
        <f>'D4 RIN Forecast'!Q202+'D6 RIN Forecast'!Q232</f>
        <v>23611424.187794033</v>
      </c>
      <c r="R139" s="19">
        <f>'D4 RIN Forecast'!R202+'D6 RIN Forecast'!R232</f>
        <v>23476012.557043031</v>
      </c>
      <c r="S139" s="19">
        <f>'D4 RIN Forecast'!S202+'D6 RIN Forecast'!S232</f>
        <v>19845789.374691956</v>
      </c>
      <c r="T139" s="19">
        <f>'D4 RIN Forecast'!T202+'D6 RIN Forecast'!T232</f>
        <v>19495769.13230991</v>
      </c>
      <c r="U139" s="19">
        <f>'D4 RIN Forecast'!U202+'D6 RIN Forecast'!U232</f>
        <v>20649547.567305811</v>
      </c>
      <c r="V139" s="19">
        <f>'D4 RIN Forecast'!V202+'D6 RIN Forecast'!V232</f>
        <v>17209051.52782115</v>
      </c>
      <c r="W139" s="19">
        <f>'D4 RIN Forecast'!W202+'D6 RIN Forecast'!W232</f>
        <v>16474282.389774922</v>
      </c>
      <c r="X139" s="19">
        <f>'D4 RIN Forecast'!X202+'D6 RIN Forecast'!X232</f>
        <v>14694029.802711355</v>
      </c>
      <c r="Y139" s="19">
        <f>'D4 RIN Forecast'!Y202+'D6 RIN Forecast'!Y232</f>
        <v>14314305.770075742</v>
      </c>
      <c r="Z139" s="19">
        <f>'D4 RIN Forecast'!Z202+'D6 RIN Forecast'!Z232</f>
        <v>13762769.789363809</v>
      </c>
      <c r="AB139" s="20">
        <f t="shared" si="68"/>
        <v>9.2583301314561073</v>
      </c>
      <c r="AD139" s="18">
        <f t="shared" si="65"/>
        <v>44856067.799999997</v>
      </c>
      <c r="AE139" s="19">
        <f t="shared" si="66"/>
        <v>-24848112.799999997</v>
      </c>
      <c r="AF139" s="19">
        <f t="shared" si="64"/>
        <v>-8129375</v>
      </c>
      <c r="AG139" s="19">
        <f>O139/31</f>
        <v>645417.90322580643</v>
      </c>
      <c r="AH139" s="18">
        <f>AD139/31</f>
        <v>1446969.929032258</v>
      </c>
      <c r="AI139" s="19">
        <f t="shared" si="67"/>
        <v>-801552.02580645157</v>
      </c>
    </row>
    <row r="140" spans="1:35">
      <c r="A140" s="14" t="s">
        <v>51</v>
      </c>
      <c r="B140" s="18">
        <f>'D4 RIN Forecast'!B203+'D6 RIN Forecast'!B233</f>
        <v>0</v>
      </c>
      <c r="C140" s="18">
        <f>'D4 RIN Forecast'!C203+'D6 RIN Forecast'!C233</f>
        <v>0</v>
      </c>
      <c r="D140" s="18">
        <f>'D4 RIN Forecast'!D203+'D6 RIN Forecast'!D233</f>
        <v>14983692</v>
      </c>
      <c r="E140" s="18">
        <f>'D4 RIN Forecast'!E203+'D6 RIN Forecast'!E233</f>
        <v>62426172</v>
      </c>
      <c r="F140" s="18">
        <f>'D4 RIN Forecast'!F203+'D6 RIN Forecast'!F233</f>
        <v>0</v>
      </c>
      <c r="G140" s="18">
        <f>'D4 RIN Forecast'!G203+'D6 RIN Forecast'!G233</f>
        <v>47277181</v>
      </c>
      <c r="H140" s="18">
        <f>'D4 RIN Forecast'!H203+'D6 RIN Forecast'!H233</f>
        <v>50758639</v>
      </c>
      <c r="I140" s="18">
        <f>'D4 RIN Forecast'!I203+'D6 RIN Forecast'!I233</f>
        <v>48829375</v>
      </c>
      <c r="J140" s="18">
        <f>'D4 RIN Forecast'!J203+'D6 RIN Forecast'!J233</f>
        <v>38075909</v>
      </c>
      <c r="K140" s="18">
        <f>'D4 RIN Forecast'!K203+'D6 RIN Forecast'!K233</f>
        <v>47426822</v>
      </c>
      <c r="L140" s="18">
        <f>'D4 RIN Forecast'!L203+'D6 RIN Forecast'!L233</f>
        <v>93704142</v>
      </c>
      <c r="M140" s="18">
        <f>'D4 RIN Forecast'!M203+'D6 RIN Forecast'!M233</f>
        <v>84653244</v>
      </c>
      <c r="N140" s="18">
        <f>'D4 RIN Forecast'!N203+'D6 RIN Forecast'!N233</f>
        <v>71573140</v>
      </c>
      <c r="O140" s="18">
        <f>'D4 RIN Forecast'!O203+'D6 RIN Forecast'!O233</f>
        <v>13898429</v>
      </c>
      <c r="P140" s="18">
        <f>'D4 RIN Forecast'!P203+'D6 RIN Forecast'!P233</f>
        <v>31025527</v>
      </c>
      <c r="Q140" s="19">
        <f>'D4 RIN Forecast'!Q203+'D6 RIN Forecast'!Q233</f>
        <v>30671866.845214706</v>
      </c>
      <c r="R140" s="19">
        <f>'D4 RIN Forecast'!R203+'D6 RIN Forecast'!R233</f>
        <v>33648206.989643991</v>
      </c>
      <c r="S140" s="19">
        <f>'D4 RIN Forecast'!S203+'D6 RIN Forecast'!S233</f>
        <v>27238716.32122441</v>
      </c>
      <c r="T140" s="19">
        <f>'D4 RIN Forecast'!T203+'D6 RIN Forecast'!T233</f>
        <v>21654210.865446854</v>
      </c>
      <c r="U140" s="19">
        <f>'D4 RIN Forecast'!U203+'D6 RIN Forecast'!U233</f>
        <v>23734715.174330577</v>
      </c>
      <c r="V140" s="19">
        <f>'D4 RIN Forecast'!V203+'D6 RIN Forecast'!V233</f>
        <v>22009454.392861106</v>
      </c>
      <c r="W140" s="19">
        <f>'D4 RIN Forecast'!W203+'D6 RIN Forecast'!W233</f>
        <v>20992140.612688866</v>
      </c>
      <c r="X140" s="19">
        <f>'D4 RIN Forecast'!X203+'D6 RIN Forecast'!X233</f>
        <v>18137919.586956732</v>
      </c>
      <c r="Y140" s="19">
        <f>'D4 RIN Forecast'!Y203+'D6 RIN Forecast'!Y233</f>
        <v>17225875.506500721</v>
      </c>
      <c r="Z140" s="19">
        <f>'D4 RIN Forecast'!Z203+'D6 RIN Forecast'!Z233</f>
        <v>16860567.84329601</v>
      </c>
      <c r="AB140" s="20">
        <f t="shared" si="68"/>
        <v>0.69918715326444092</v>
      </c>
      <c r="AD140" s="18">
        <f t="shared" si="65"/>
        <v>67086651.399999999</v>
      </c>
      <c r="AE140" s="19">
        <f t="shared" si="66"/>
        <v>-53188222.399999999</v>
      </c>
      <c r="AF140" s="19">
        <f t="shared" si="64"/>
        <v>-57674711</v>
      </c>
      <c r="AG140" s="19">
        <f>O140/30</f>
        <v>463280.96666666667</v>
      </c>
      <c r="AH140" s="18">
        <f>AD140/30</f>
        <v>2236221.7133333334</v>
      </c>
      <c r="AI140" s="19">
        <f t="shared" si="67"/>
        <v>-1772940.7466666666</v>
      </c>
    </row>
    <row r="141" spans="1:35">
      <c r="A141" s="14" t="s">
        <v>52</v>
      </c>
      <c r="B141" s="18">
        <f>'D4 RIN Forecast'!B204+'D6 RIN Forecast'!B234</f>
        <v>0</v>
      </c>
      <c r="C141" s="18">
        <f>'D4 RIN Forecast'!C204+'D6 RIN Forecast'!C234</f>
        <v>0</v>
      </c>
      <c r="D141" s="18">
        <f>'D4 RIN Forecast'!D204+'D6 RIN Forecast'!D234</f>
        <v>21620626</v>
      </c>
      <c r="E141" s="18">
        <f>'D4 RIN Forecast'!E204+'D6 RIN Forecast'!E234</f>
        <v>59894058</v>
      </c>
      <c r="F141" s="18">
        <f>'D4 RIN Forecast'!F204+'D6 RIN Forecast'!F234</f>
        <v>1390156</v>
      </c>
      <c r="G141" s="18">
        <f>'D4 RIN Forecast'!G204+'D6 RIN Forecast'!G234</f>
        <v>50233146</v>
      </c>
      <c r="H141" s="18">
        <f>'D4 RIN Forecast'!H204+'D6 RIN Forecast'!H234</f>
        <v>49354570</v>
      </c>
      <c r="I141" s="18">
        <f>'D4 RIN Forecast'!I204+'D6 RIN Forecast'!I234</f>
        <v>54935688</v>
      </c>
      <c r="J141" s="18">
        <f>'D4 RIN Forecast'!J204+'D6 RIN Forecast'!J234</f>
        <v>0</v>
      </c>
      <c r="K141" s="18">
        <f>'D4 RIN Forecast'!K204+'D6 RIN Forecast'!K234</f>
        <v>74466066</v>
      </c>
      <c r="L141" s="18">
        <f>'D4 RIN Forecast'!L204+'D6 RIN Forecast'!L234</f>
        <v>65000223</v>
      </c>
      <c r="M141" s="18">
        <f>'D4 RIN Forecast'!M204+'D6 RIN Forecast'!M234</f>
        <v>89572630</v>
      </c>
      <c r="N141" s="18">
        <f>'D4 RIN Forecast'!N204+'D6 RIN Forecast'!N234</f>
        <v>80130772</v>
      </c>
      <c r="O141" s="18">
        <f>'D4 RIN Forecast'!O204+'D6 RIN Forecast'!O234</f>
        <v>81552983</v>
      </c>
      <c r="P141" s="18">
        <f>'D4 RIN Forecast'!P204+'D6 RIN Forecast'!P234</f>
        <v>29588164</v>
      </c>
      <c r="Q141" s="19">
        <f>'D4 RIN Forecast'!Q204+'D6 RIN Forecast'!Q234</f>
        <v>31752374.475441303</v>
      </c>
      <c r="R141" s="19">
        <f>'D4 RIN Forecast'!R204+'D6 RIN Forecast'!R234</f>
        <v>41962633.365055621</v>
      </c>
      <c r="S141" s="19">
        <f>'D4 RIN Forecast'!S204+'D6 RIN Forecast'!S234</f>
        <v>37917648.160517111</v>
      </c>
      <c r="T141" s="19">
        <f>'D4 RIN Forecast'!T204+'D6 RIN Forecast'!T234</f>
        <v>34493432.66235663</v>
      </c>
      <c r="U141" s="19">
        <f>'D4 RIN Forecast'!U204+'D6 RIN Forecast'!U234</f>
        <v>28356986.246537123</v>
      </c>
      <c r="V141" s="19">
        <f>'D4 RIN Forecast'!V204+'D6 RIN Forecast'!V234</f>
        <v>28041922.758781001</v>
      </c>
      <c r="W141" s="19">
        <f>'D4 RIN Forecast'!W204+'D6 RIN Forecast'!W234</f>
        <v>27944611.068178669</v>
      </c>
      <c r="X141" s="19">
        <f>'D4 RIN Forecast'!X204+'D6 RIN Forecast'!X234</f>
        <v>24588957.003472846</v>
      </c>
      <c r="Y141" s="19">
        <f>'D4 RIN Forecast'!Y204+'D6 RIN Forecast'!Y234</f>
        <v>23192274.766414426</v>
      </c>
      <c r="Z141" s="19">
        <f>'D4 RIN Forecast'!Z204+'D6 RIN Forecast'!Z234</f>
        <v>21818766.35944045</v>
      </c>
      <c r="AB141" s="20">
        <f t="shared" si="68"/>
        <v>5.8112197094301488E-2</v>
      </c>
      <c r="AD141" s="18">
        <f t="shared" si="65"/>
        <v>61833938.200000003</v>
      </c>
      <c r="AE141" s="19">
        <f t="shared" si="66"/>
        <v>19719044.799999997</v>
      </c>
      <c r="AF141" s="19">
        <f t="shared" si="64"/>
        <v>1422211</v>
      </c>
      <c r="AG141" s="19">
        <f>O141/31</f>
        <v>2630741.3870967743</v>
      </c>
      <c r="AH141" s="18">
        <f>AD141/31</f>
        <v>1994643.1677419355</v>
      </c>
      <c r="AI141" s="19">
        <f t="shared" si="67"/>
        <v>636098.21935483883</v>
      </c>
    </row>
    <row r="142" spans="1:35">
      <c r="A142" s="14" t="s">
        <v>53</v>
      </c>
      <c r="B142" s="18">
        <f>'D4 RIN Forecast'!B205+'D6 RIN Forecast'!B235</f>
        <v>0</v>
      </c>
      <c r="C142" s="18">
        <f>'D4 RIN Forecast'!C205+'D6 RIN Forecast'!C235</f>
        <v>0</v>
      </c>
      <c r="D142" s="18">
        <f>'D4 RIN Forecast'!D205+'D6 RIN Forecast'!D235</f>
        <v>17524064</v>
      </c>
      <c r="E142" s="18">
        <f>'D4 RIN Forecast'!E205+'D6 RIN Forecast'!E235</f>
        <v>59734592</v>
      </c>
      <c r="F142" s="18">
        <f>'D4 RIN Forecast'!F205+'D6 RIN Forecast'!F235</f>
        <v>48615777</v>
      </c>
      <c r="G142" s="18">
        <f>'D4 RIN Forecast'!G205+'D6 RIN Forecast'!G235</f>
        <v>45613233</v>
      </c>
      <c r="H142" s="18">
        <f>'D4 RIN Forecast'!H205+'D6 RIN Forecast'!H235</f>
        <v>48948032</v>
      </c>
      <c r="I142" s="18">
        <f>'D4 RIN Forecast'!I205+'D6 RIN Forecast'!I235</f>
        <v>27212823</v>
      </c>
      <c r="J142" s="18">
        <f>'D4 RIN Forecast'!J205+'D6 RIN Forecast'!J235</f>
        <v>19330873</v>
      </c>
      <c r="K142" s="18">
        <f>'D4 RIN Forecast'!K205+'D6 RIN Forecast'!K235</f>
        <v>63331711</v>
      </c>
      <c r="L142" s="18">
        <f>'D4 RIN Forecast'!L205+'D6 RIN Forecast'!L235</f>
        <v>75571457</v>
      </c>
      <c r="M142" s="18">
        <f>'D4 RIN Forecast'!M205+'D6 RIN Forecast'!M235</f>
        <v>64864142</v>
      </c>
      <c r="N142" s="18">
        <f>'D4 RIN Forecast'!N205+'D6 RIN Forecast'!N235</f>
        <v>59122748</v>
      </c>
      <c r="O142" s="18">
        <f>'D4 RIN Forecast'!O205+'D6 RIN Forecast'!O235</f>
        <v>76883434</v>
      </c>
      <c r="P142" s="18">
        <f>'D4 RIN Forecast'!P205+'D6 RIN Forecast'!P235</f>
        <v>13660232</v>
      </c>
      <c r="Q142" s="19">
        <f>'D4 RIN Forecast'!Q205+'D6 RIN Forecast'!Q235</f>
        <v>28660341.462727264</v>
      </c>
      <c r="R142" s="19">
        <f>'D4 RIN Forecast'!R205+'D6 RIN Forecast'!R235</f>
        <v>33806792.713921428</v>
      </c>
      <c r="S142" s="19">
        <f>'D4 RIN Forecast'!S205+'D6 RIN Forecast'!S235</f>
        <v>30727849.551264275</v>
      </c>
      <c r="T142" s="19">
        <f>'D4 RIN Forecast'!T205+'D6 RIN Forecast'!T235</f>
        <v>28730527.602328412</v>
      </c>
      <c r="U142" s="19">
        <f>'D4 RIN Forecast'!U205+'D6 RIN Forecast'!U235</f>
        <v>22095602.20827936</v>
      </c>
      <c r="V142" s="19">
        <f>'D4 RIN Forecast'!V205+'D6 RIN Forecast'!V235</f>
        <v>23146250.394579101</v>
      </c>
      <c r="W142" s="19">
        <f>'D4 RIN Forecast'!W205+'D6 RIN Forecast'!W235</f>
        <v>22664785.495295495</v>
      </c>
      <c r="X142" s="19">
        <f>'D4 RIN Forecast'!X205+'D6 RIN Forecast'!X235</f>
        <v>19978825.921929911</v>
      </c>
      <c r="Y142" s="19">
        <f>'D4 RIN Forecast'!Y205+'D6 RIN Forecast'!Y235</f>
        <v>18857053.9645098</v>
      </c>
      <c r="Z142" s="19">
        <f>'D4 RIN Forecast'!Z205+'D6 RIN Forecast'!Z235</f>
        <v>17627204.804763</v>
      </c>
      <c r="AB142" s="20">
        <f t="shared" si="68"/>
        <v>-0.27584863813868143</v>
      </c>
      <c r="AD142" s="18">
        <f t="shared" si="65"/>
        <v>56444186.200000003</v>
      </c>
      <c r="AE142" s="19">
        <f t="shared" si="66"/>
        <v>20439247.799999997</v>
      </c>
      <c r="AF142" s="19">
        <f t="shared" si="64"/>
        <v>17760686</v>
      </c>
      <c r="AG142" s="19">
        <f>O142/30</f>
        <v>2562781.1333333333</v>
      </c>
      <c r="AH142" s="18">
        <f>AD142/30</f>
        <v>1881472.8733333335</v>
      </c>
      <c r="AI142" s="19">
        <f t="shared" si="67"/>
        <v>681308.25999999978</v>
      </c>
    </row>
    <row r="143" spans="1:35">
      <c r="A143" s="14" t="s">
        <v>54</v>
      </c>
      <c r="B143" s="18">
        <f>'D4 RIN Forecast'!B206+'D6 RIN Forecast'!B236</f>
        <v>0</v>
      </c>
      <c r="C143" s="18">
        <f>'D4 RIN Forecast'!C206+'D6 RIN Forecast'!C236</f>
        <v>0</v>
      </c>
      <c r="D143" s="18">
        <f>'D4 RIN Forecast'!D206+'D6 RIN Forecast'!D236</f>
        <v>7516482</v>
      </c>
      <c r="E143" s="18">
        <f>'D4 RIN Forecast'!E206+'D6 RIN Forecast'!E236</f>
        <v>51213205</v>
      </c>
      <c r="F143" s="18">
        <f>'D4 RIN Forecast'!F206+'D6 RIN Forecast'!F236</f>
        <v>46503441</v>
      </c>
      <c r="G143" s="18">
        <f>'D4 RIN Forecast'!G206+'D6 RIN Forecast'!G236</f>
        <v>42024957</v>
      </c>
      <c r="H143" s="18">
        <f>'D4 RIN Forecast'!H206+'D6 RIN Forecast'!H236</f>
        <v>48288816</v>
      </c>
      <c r="I143" s="18">
        <f>'D4 RIN Forecast'!I206+'D6 RIN Forecast'!I236</f>
        <v>53145568</v>
      </c>
      <c r="J143" s="18">
        <f>'D4 RIN Forecast'!J206+'D6 RIN Forecast'!J236</f>
        <v>60832579</v>
      </c>
      <c r="K143" s="18">
        <f>'D4 RIN Forecast'!K206+'D6 RIN Forecast'!K236</f>
        <v>68667665</v>
      </c>
      <c r="L143" s="18">
        <f>'D4 RIN Forecast'!L206+'D6 RIN Forecast'!L236</f>
        <v>73850860</v>
      </c>
      <c r="M143" s="18">
        <f>'D4 RIN Forecast'!M206+'D6 RIN Forecast'!M236</f>
        <v>83892683</v>
      </c>
      <c r="N143" s="18">
        <f>'D4 RIN Forecast'!N206+'D6 RIN Forecast'!N236</f>
        <v>74049834</v>
      </c>
      <c r="O143" s="18">
        <f>'D4 RIN Forecast'!O206+'D6 RIN Forecast'!O236</f>
        <v>81742040</v>
      </c>
      <c r="P143" s="18">
        <f>'D4 RIN Forecast'!P206+'D6 RIN Forecast'!P236</f>
        <v>7202279</v>
      </c>
      <c r="Q143" s="19">
        <f>'D4 RIN Forecast'!Q206+'D6 RIN Forecast'!Q236</f>
        <v>104506682.28108422</v>
      </c>
      <c r="R143" s="19">
        <f>'D4 RIN Forecast'!R206+'D6 RIN Forecast'!R236</f>
        <v>52824937.599267565</v>
      </c>
      <c r="S143" s="19">
        <f>'D4 RIN Forecast'!S206+'D6 RIN Forecast'!S236</f>
        <v>48815555.472107477</v>
      </c>
      <c r="T143" s="19">
        <f>'D4 RIN Forecast'!T206+'D6 RIN Forecast'!T236</f>
        <v>46864066.565717205</v>
      </c>
      <c r="U143" s="19">
        <f>'D4 RIN Forecast'!U206+'D6 RIN Forecast'!U236</f>
        <v>42818613.688287117</v>
      </c>
      <c r="V143" s="19">
        <f>'D4 RIN Forecast'!V206+'D6 RIN Forecast'!V236</f>
        <v>47544083.945913635</v>
      </c>
      <c r="W143" s="19">
        <f>'D4 RIN Forecast'!W206+'D6 RIN Forecast'!W236</f>
        <v>39087369.371673405</v>
      </c>
      <c r="X143" s="19">
        <f>'D4 RIN Forecast'!X206+'D6 RIN Forecast'!X236</f>
        <v>35314461.026422322</v>
      </c>
      <c r="Y143" s="19">
        <f>'D4 RIN Forecast'!Y206+'D6 RIN Forecast'!Y236</f>
        <v>34220794.020014316</v>
      </c>
      <c r="Z143" s="19">
        <f>'D4 RIN Forecast'!Z206+'D6 RIN Forecast'!Z236</f>
        <v>32859961.43967453</v>
      </c>
      <c r="AB143" s="20">
        <f t="shared" si="68"/>
        <v>0.29335994300209811</v>
      </c>
      <c r="AD143" s="18">
        <f t="shared" si="65"/>
        <v>72258724.200000003</v>
      </c>
      <c r="AE143" s="19">
        <f t="shared" si="66"/>
        <v>9483315.799999997</v>
      </c>
      <c r="AF143" s="19">
        <f t="shared" si="64"/>
        <v>7692206</v>
      </c>
      <c r="AG143" s="19">
        <f>O143/31</f>
        <v>2636840</v>
      </c>
      <c r="AH143" s="18">
        <f>AD143/31</f>
        <v>2330926.5870967745</v>
      </c>
      <c r="AI143" s="19">
        <f t="shared" si="67"/>
        <v>305913.41290322552</v>
      </c>
    </row>
    <row r="144" spans="1:35">
      <c r="A144" s="14" t="s">
        <v>29</v>
      </c>
      <c r="B144" s="18">
        <f t="shared" ref="B144:M144" si="69">SUM(B132:B143)</f>
        <v>0</v>
      </c>
      <c r="C144" s="18">
        <f t="shared" si="69"/>
        <v>0</v>
      </c>
      <c r="D144" s="18">
        <f t="shared" si="69"/>
        <v>85463969</v>
      </c>
      <c r="E144" s="18">
        <f t="shared" si="69"/>
        <v>479054813</v>
      </c>
      <c r="F144" s="18">
        <f t="shared" si="69"/>
        <v>549336455</v>
      </c>
      <c r="G144" s="18">
        <f t="shared" si="69"/>
        <v>571704841</v>
      </c>
      <c r="H144" s="18">
        <f t="shared" si="69"/>
        <v>594466276</v>
      </c>
      <c r="I144" s="18">
        <f t="shared" si="69"/>
        <v>584161546</v>
      </c>
      <c r="J144" s="18">
        <f t="shared" si="69"/>
        <v>526739288</v>
      </c>
      <c r="K144" s="18">
        <f t="shared" si="69"/>
        <v>714396714</v>
      </c>
      <c r="L144" s="18">
        <f t="shared" si="69"/>
        <v>740096241</v>
      </c>
      <c r="M144" s="18">
        <f t="shared" si="69"/>
        <v>794020813</v>
      </c>
      <c r="N144" s="18">
        <f t="shared" ref="N144:Z144" si="70">SUM(N132:N143)</f>
        <v>756854002</v>
      </c>
      <c r="O144" s="18">
        <f t="shared" si="70"/>
        <v>814432233</v>
      </c>
      <c r="P144" s="18">
        <f t="shared" si="70"/>
        <v>533476210</v>
      </c>
      <c r="Q144" s="19">
        <f t="shared" si="70"/>
        <v>357983802.53133196</v>
      </c>
      <c r="R144" s="19">
        <f t="shared" si="70"/>
        <v>465378942.84239835</v>
      </c>
      <c r="S144" s="19">
        <f t="shared" si="70"/>
        <v>429580562.6237523</v>
      </c>
      <c r="T144" s="19">
        <f t="shared" si="70"/>
        <v>393782182.40510637</v>
      </c>
      <c r="U144" s="19">
        <f t="shared" si="70"/>
        <v>357983802.18646038</v>
      </c>
      <c r="V144" s="19">
        <f t="shared" si="70"/>
        <v>322185422.02989119</v>
      </c>
      <c r="W144" s="19">
        <f t="shared" si="70"/>
        <v>322185421.98022968</v>
      </c>
      <c r="X144" s="19">
        <f t="shared" si="70"/>
        <v>286387041.76241136</v>
      </c>
      <c r="Y144" s="19">
        <f t="shared" si="70"/>
        <v>272067689.67680693</v>
      </c>
      <c r="Z144" s="19">
        <f t="shared" si="70"/>
        <v>257748337.59141451</v>
      </c>
      <c r="AD144" s="18">
        <f t="shared" si="65"/>
        <v>706421411.60000002</v>
      </c>
      <c r="AE144" s="19">
        <f t="shared" si="66"/>
        <v>108010821.39999998</v>
      </c>
    </row>
    <row r="146" spans="1:26" ht="15.75">
      <c r="A146" s="15" t="s">
        <v>64</v>
      </c>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c r="B147" s="14">
        <f>B3</f>
        <v>2010</v>
      </c>
      <c r="C147" s="14">
        <f t="shared" ref="C147:Z147" si="71">C3</f>
        <v>2011</v>
      </c>
      <c r="D147" s="14">
        <f t="shared" si="71"/>
        <v>2012</v>
      </c>
      <c r="E147" s="14">
        <f t="shared" si="71"/>
        <v>2013</v>
      </c>
      <c r="F147" s="14">
        <f t="shared" si="71"/>
        <v>2014</v>
      </c>
      <c r="G147" s="14">
        <f t="shared" si="71"/>
        <v>2015</v>
      </c>
      <c r="H147" s="14">
        <f t="shared" si="71"/>
        <v>2016</v>
      </c>
      <c r="I147" s="14">
        <f t="shared" si="71"/>
        <v>2017</v>
      </c>
      <c r="J147" s="14">
        <f t="shared" si="71"/>
        <v>2018</v>
      </c>
      <c r="K147" s="14">
        <f t="shared" si="71"/>
        <v>2019</v>
      </c>
      <c r="L147" s="14">
        <f t="shared" si="71"/>
        <v>2020</v>
      </c>
      <c r="M147" s="14">
        <f t="shared" si="71"/>
        <v>2021</v>
      </c>
      <c r="N147" s="14">
        <f t="shared" si="71"/>
        <v>2022</v>
      </c>
      <c r="O147" s="14">
        <f t="shared" si="71"/>
        <v>2023</v>
      </c>
      <c r="P147" s="14">
        <f t="shared" si="71"/>
        <v>2024</v>
      </c>
      <c r="Q147" s="14">
        <f t="shared" si="71"/>
        <v>2025</v>
      </c>
      <c r="R147" s="14">
        <f t="shared" si="71"/>
        <v>2026</v>
      </c>
      <c r="S147" s="14">
        <f t="shared" si="71"/>
        <v>2027</v>
      </c>
      <c r="T147" s="14">
        <f t="shared" si="71"/>
        <v>2028</v>
      </c>
      <c r="U147" s="14">
        <f t="shared" si="71"/>
        <v>2029</v>
      </c>
      <c r="V147" s="14">
        <f t="shared" si="71"/>
        <v>2030</v>
      </c>
      <c r="W147" s="14">
        <f t="shared" si="71"/>
        <v>2031</v>
      </c>
      <c r="X147" s="14">
        <f t="shared" si="71"/>
        <v>2032</v>
      </c>
      <c r="Y147" s="14">
        <f t="shared" si="71"/>
        <v>2033</v>
      </c>
      <c r="Z147" s="14">
        <f t="shared" si="71"/>
        <v>2034</v>
      </c>
    </row>
    <row r="148" spans="1:26">
      <c r="A148" s="14" t="s">
        <v>43</v>
      </c>
      <c r="B148" s="18">
        <f t="shared" ref="B148:Z158" si="72">B132+B116</f>
        <v>0</v>
      </c>
      <c r="C148" s="18">
        <f t="shared" si="72"/>
        <v>0</v>
      </c>
      <c r="D148" s="18">
        <f t="shared" si="72"/>
        <v>0</v>
      </c>
      <c r="E148" s="18">
        <f t="shared" si="72"/>
        <v>11916516</v>
      </c>
      <c r="F148" s="18">
        <f t="shared" si="72"/>
        <v>56781141</v>
      </c>
      <c r="G148" s="18">
        <f t="shared" si="72"/>
        <v>51311665</v>
      </c>
      <c r="H148" s="18">
        <f t="shared" si="72"/>
        <v>44538515</v>
      </c>
      <c r="I148" s="18">
        <f t="shared" si="72"/>
        <v>51810381</v>
      </c>
      <c r="J148" s="18">
        <f t="shared" si="72"/>
        <v>54066459</v>
      </c>
      <c r="K148" s="18">
        <f t="shared" si="72"/>
        <v>46746689</v>
      </c>
      <c r="L148" s="18">
        <f t="shared" si="72"/>
        <v>50622570</v>
      </c>
      <c r="M148" s="18">
        <f t="shared" si="72"/>
        <v>61159375</v>
      </c>
      <c r="N148" s="18">
        <f t="shared" si="72"/>
        <v>64303205</v>
      </c>
      <c r="O148" s="18">
        <f t="shared" si="72"/>
        <v>78640781</v>
      </c>
      <c r="P148" s="18">
        <f t="shared" si="72"/>
        <v>41196032</v>
      </c>
      <c r="Q148" s="19">
        <f t="shared" si="72"/>
        <v>0</v>
      </c>
      <c r="R148" s="19">
        <f t="shared" si="72"/>
        <v>33796780.856898621</v>
      </c>
      <c r="S148" s="18">
        <f t="shared" si="72"/>
        <v>30401447.29276279</v>
      </c>
      <c r="T148" s="18">
        <f t="shared" si="72"/>
        <v>26107277.72344628</v>
      </c>
      <c r="U148" s="18">
        <f t="shared" si="72"/>
        <v>21638820.019539598</v>
      </c>
      <c r="V148" s="18">
        <f t="shared" si="72"/>
        <v>17991052.379070446</v>
      </c>
      <c r="W148" s="18">
        <f t="shared" si="72"/>
        <v>21262152.808351364</v>
      </c>
      <c r="X148" s="18">
        <f t="shared" si="72"/>
        <v>18415803.956755068</v>
      </c>
      <c r="Y148" s="18">
        <f t="shared" si="72"/>
        <v>17045847.07123084</v>
      </c>
      <c r="Z148" s="18">
        <f t="shared" si="72"/>
        <v>15911616.259037089</v>
      </c>
    </row>
    <row r="149" spans="1:26">
      <c r="A149" s="14" t="s">
        <v>44</v>
      </c>
      <c r="B149" s="18">
        <f t="shared" si="72"/>
        <v>0</v>
      </c>
      <c r="C149" s="18">
        <f t="shared" si="72"/>
        <v>0</v>
      </c>
      <c r="D149" s="18">
        <f t="shared" si="72"/>
        <v>0</v>
      </c>
      <c r="E149" s="18">
        <f t="shared" si="72"/>
        <v>4090016</v>
      </c>
      <c r="F149" s="18">
        <f t="shared" si="72"/>
        <v>61121209</v>
      </c>
      <c r="G149" s="18">
        <f t="shared" si="72"/>
        <v>43526035</v>
      </c>
      <c r="H149" s="18">
        <f t="shared" si="72"/>
        <v>41531183</v>
      </c>
      <c r="I149" s="18">
        <f t="shared" si="72"/>
        <v>41216783</v>
      </c>
      <c r="J149" s="18">
        <f t="shared" si="72"/>
        <v>48103252</v>
      </c>
      <c r="K149" s="18">
        <f t="shared" si="72"/>
        <v>56757326</v>
      </c>
      <c r="L149" s="18">
        <f t="shared" si="72"/>
        <v>69133082</v>
      </c>
      <c r="M149" s="18">
        <f t="shared" si="72"/>
        <v>63269096</v>
      </c>
      <c r="N149" s="18">
        <f t="shared" si="72"/>
        <v>58030946</v>
      </c>
      <c r="O149" s="18">
        <f t="shared" si="72"/>
        <v>57684846</v>
      </c>
      <c r="P149" s="18">
        <f t="shared" si="72"/>
        <v>95563499</v>
      </c>
      <c r="Q149" s="19">
        <f t="shared" si="72"/>
        <v>0</v>
      </c>
      <c r="R149" s="19">
        <f t="shared" si="72"/>
        <v>39896856.948440313</v>
      </c>
      <c r="S149" s="18">
        <f t="shared" si="72"/>
        <v>38029195.99759613</v>
      </c>
      <c r="T149" s="18">
        <f t="shared" si="72"/>
        <v>35242811.001502149</v>
      </c>
      <c r="U149" s="18">
        <f t="shared" si="72"/>
        <v>34347294.428185038</v>
      </c>
      <c r="V149" s="18">
        <f t="shared" si="72"/>
        <v>23707954.029237788</v>
      </c>
      <c r="W149" s="18">
        <f t="shared" si="72"/>
        <v>28018491.121144079</v>
      </c>
      <c r="X149" s="18">
        <f t="shared" si="72"/>
        <v>24995411.228138987</v>
      </c>
      <c r="Y149" s="18">
        <f t="shared" si="72"/>
        <v>23658955.526646353</v>
      </c>
      <c r="Z149" s="18">
        <f t="shared" si="72"/>
        <v>22248678.110236067</v>
      </c>
    </row>
    <row r="150" spans="1:26">
      <c r="A150" s="14" t="s">
        <v>45</v>
      </c>
      <c r="B150" s="18">
        <f t="shared" si="72"/>
        <v>0</v>
      </c>
      <c r="C150" s="18">
        <f t="shared" si="72"/>
        <v>0</v>
      </c>
      <c r="D150" s="18">
        <f t="shared" si="72"/>
        <v>5301327</v>
      </c>
      <c r="E150" s="18">
        <f t="shared" si="72"/>
        <v>30508688</v>
      </c>
      <c r="F150" s="18">
        <f t="shared" si="72"/>
        <v>60808077</v>
      </c>
      <c r="G150" s="18">
        <f t="shared" si="72"/>
        <v>44309984</v>
      </c>
      <c r="H150" s="18">
        <f t="shared" si="72"/>
        <v>44095881</v>
      </c>
      <c r="I150" s="18">
        <f t="shared" si="72"/>
        <v>52493265</v>
      </c>
      <c r="J150" s="18">
        <f t="shared" si="72"/>
        <v>48357558</v>
      </c>
      <c r="K150" s="18">
        <f t="shared" si="72"/>
        <v>56012257</v>
      </c>
      <c r="L150" s="18">
        <f t="shared" si="72"/>
        <v>74282616</v>
      </c>
      <c r="M150" s="18">
        <f t="shared" si="72"/>
        <v>79169127</v>
      </c>
      <c r="N150" s="18">
        <f t="shared" si="72"/>
        <v>78278008</v>
      </c>
      <c r="O150" s="18">
        <f t="shared" si="72"/>
        <v>74055461</v>
      </c>
      <c r="P150" s="18">
        <f t="shared" si="72"/>
        <v>45276974</v>
      </c>
      <c r="Q150" s="19">
        <f t="shared" si="72"/>
        <v>34190434</v>
      </c>
      <c r="R150" s="19">
        <f t="shared" si="72"/>
        <v>40572799.865380593</v>
      </c>
      <c r="S150" s="18">
        <f t="shared" si="72"/>
        <v>35774226.973012097</v>
      </c>
      <c r="T150" s="18">
        <f t="shared" si="72"/>
        <v>30595476.025823757</v>
      </c>
      <c r="U150" s="18">
        <f t="shared" si="72"/>
        <v>27127741.094760638</v>
      </c>
      <c r="V150" s="18">
        <f t="shared" si="72"/>
        <v>23578247.353238445</v>
      </c>
      <c r="W150" s="18">
        <f t="shared" si="72"/>
        <v>25797025.85134051</v>
      </c>
      <c r="X150" s="18">
        <f t="shared" si="72"/>
        <v>22411406.635175716</v>
      </c>
      <c r="Y150" s="18">
        <f t="shared" si="72"/>
        <v>20942025.891558237</v>
      </c>
      <c r="Z150" s="18">
        <f t="shared" si="72"/>
        <v>19792807.732786648</v>
      </c>
    </row>
    <row r="151" spans="1:26">
      <c r="A151" s="14" t="s">
        <v>46</v>
      </c>
      <c r="B151" s="18">
        <f t="shared" si="72"/>
        <v>0</v>
      </c>
      <c r="C151" s="18">
        <f t="shared" si="72"/>
        <v>0</v>
      </c>
      <c r="D151" s="18">
        <f t="shared" si="72"/>
        <v>1103098</v>
      </c>
      <c r="E151" s="18">
        <f t="shared" si="72"/>
        <v>14602933</v>
      </c>
      <c r="F151" s="18">
        <f t="shared" si="72"/>
        <v>65440762</v>
      </c>
      <c r="G151" s="18">
        <f t="shared" si="72"/>
        <v>46702686</v>
      </c>
      <c r="H151" s="18">
        <f t="shared" si="72"/>
        <v>58472038</v>
      </c>
      <c r="I151" s="18">
        <f t="shared" si="72"/>
        <v>49113023</v>
      </c>
      <c r="J151" s="18">
        <f t="shared" si="72"/>
        <v>53980869</v>
      </c>
      <c r="K151" s="18">
        <f t="shared" si="72"/>
        <v>60710918</v>
      </c>
      <c r="L151" s="18">
        <f t="shared" si="72"/>
        <v>61556967</v>
      </c>
      <c r="M151" s="18">
        <f t="shared" si="72"/>
        <v>76602893</v>
      </c>
      <c r="N151" s="18">
        <f t="shared" si="72"/>
        <v>73595674</v>
      </c>
      <c r="O151" s="18">
        <f t="shared" si="72"/>
        <v>78375658</v>
      </c>
      <c r="P151" s="18">
        <f t="shared" si="72"/>
        <v>46967029</v>
      </c>
      <c r="Q151" s="19">
        <f t="shared" si="72"/>
        <v>31932624.750518605</v>
      </c>
      <c r="R151" s="19">
        <f t="shared" si="72"/>
        <v>43581252.886202626</v>
      </c>
      <c r="S151" s="18">
        <f t="shared" si="72"/>
        <v>40208253.175036125</v>
      </c>
      <c r="T151" s="18">
        <f t="shared" si="72"/>
        <v>35420122.291276731</v>
      </c>
      <c r="U151" s="18">
        <f t="shared" si="72"/>
        <v>32599246.846921284</v>
      </c>
      <c r="V151" s="18">
        <f t="shared" si="72"/>
        <v>29529883.926218193</v>
      </c>
      <c r="W151" s="18">
        <f t="shared" si="72"/>
        <v>29673615.129865061</v>
      </c>
      <c r="X151" s="18">
        <f t="shared" si="72"/>
        <v>26263705.312976733</v>
      </c>
      <c r="Y151" s="18">
        <f t="shared" si="72"/>
        <v>24819105.503377199</v>
      </c>
      <c r="Z151" s="18">
        <f t="shared" si="72"/>
        <v>23595780.008716214</v>
      </c>
    </row>
    <row r="152" spans="1:26">
      <c r="A152" s="14" t="s">
        <v>47</v>
      </c>
      <c r="B152" s="18">
        <f t="shared" si="72"/>
        <v>0</v>
      </c>
      <c r="C152" s="18">
        <f t="shared" si="72"/>
        <v>0</v>
      </c>
      <c r="D152" s="18">
        <f t="shared" si="72"/>
        <v>5843978</v>
      </c>
      <c r="E152" s="18">
        <f t="shared" si="72"/>
        <v>39860729</v>
      </c>
      <c r="F152" s="18">
        <f t="shared" si="72"/>
        <v>49738476</v>
      </c>
      <c r="G152" s="18">
        <f t="shared" si="72"/>
        <v>51013469</v>
      </c>
      <c r="H152" s="18">
        <f t="shared" si="72"/>
        <v>52732773</v>
      </c>
      <c r="I152" s="18">
        <f t="shared" si="72"/>
        <v>52414893</v>
      </c>
      <c r="J152" s="18">
        <f t="shared" si="72"/>
        <v>53913859</v>
      </c>
      <c r="K152" s="18">
        <f t="shared" si="72"/>
        <v>62260212</v>
      </c>
      <c r="L152" s="18">
        <f t="shared" si="72"/>
        <v>60853957</v>
      </c>
      <c r="M152" s="18">
        <f t="shared" si="72"/>
        <v>65064875</v>
      </c>
      <c r="N152" s="18">
        <f t="shared" si="72"/>
        <v>80019365</v>
      </c>
      <c r="O152" s="18">
        <f t="shared" si="72"/>
        <v>94789475</v>
      </c>
      <c r="P152" s="18">
        <f t="shared" si="72"/>
        <v>50457214</v>
      </c>
      <c r="Q152" s="19">
        <f t="shared" si="72"/>
        <v>34867649.967005022</v>
      </c>
      <c r="R152" s="19">
        <f t="shared" si="72"/>
        <v>45992563.753862604</v>
      </c>
      <c r="S152" s="18">
        <f t="shared" si="72"/>
        <v>44123004.343669139</v>
      </c>
      <c r="T152" s="18">
        <f t="shared" si="72"/>
        <v>39736794.960337877</v>
      </c>
      <c r="U152" s="18">
        <f t="shared" si="72"/>
        <v>35407808.587455891</v>
      </c>
      <c r="V152" s="18">
        <f t="shared" si="72"/>
        <v>32163399.908178765</v>
      </c>
      <c r="W152" s="18">
        <f t="shared" si="72"/>
        <v>32305675.345349703</v>
      </c>
      <c r="X152" s="18">
        <f t="shared" si="72"/>
        <v>28821440.493497372</v>
      </c>
      <c r="Y152" s="18">
        <f t="shared" si="72"/>
        <v>27236317.162659034</v>
      </c>
      <c r="Z152" s="18">
        <f t="shared" si="72"/>
        <v>25750674.742663182</v>
      </c>
    </row>
    <row r="153" spans="1:26">
      <c r="A153" s="14" t="s">
        <v>48</v>
      </c>
      <c r="B153" s="18">
        <f t="shared" si="72"/>
        <v>0</v>
      </c>
      <c r="C153" s="18">
        <f t="shared" si="72"/>
        <v>0</v>
      </c>
      <c r="D153" s="18">
        <f t="shared" si="72"/>
        <v>4573340</v>
      </c>
      <c r="E153" s="18">
        <f t="shared" si="72"/>
        <v>48217438</v>
      </c>
      <c r="F153" s="18">
        <f t="shared" si="72"/>
        <v>54525545</v>
      </c>
      <c r="G153" s="18">
        <f t="shared" si="72"/>
        <v>47208902</v>
      </c>
      <c r="H153" s="18">
        <f t="shared" si="72"/>
        <v>50498182</v>
      </c>
      <c r="I153" s="18">
        <f t="shared" si="72"/>
        <v>47138285</v>
      </c>
      <c r="J153" s="18">
        <f t="shared" si="72"/>
        <v>48979146</v>
      </c>
      <c r="K153" s="18">
        <f t="shared" si="72"/>
        <v>60767761</v>
      </c>
      <c r="L153" s="18">
        <f t="shared" si="72"/>
        <v>37106254</v>
      </c>
      <c r="M153" s="18">
        <f t="shared" si="72"/>
        <v>75958215</v>
      </c>
      <c r="N153" s="18">
        <f t="shared" si="72"/>
        <v>59998275</v>
      </c>
      <c r="O153" s="18">
        <f t="shared" si="72"/>
        <v>73083853</v>
      </c>
      <c r="P153" s="18">
        <f t="shared" si="72"/>
        <v>96000988</v>
      </c>
      <c r="Q153" s="19">
        <f t="shared" si="72"/>
        <v>34499189.421695851</v>
      </c>
      <c r="R153" s="19">
        <f t="shared" si="72"/>
        <v>49798007.731135696</v>
      </c>
      <c r="S153" s="18">
        <f t="shared" si="72"/>
        <v>47115428.216547355</v>
      </c>
      <c r="T153" s="18">
        <f t="shared" si="72"/>
        <v>45112830.838046551</v>
      </c>
      <c r="U153" s="18">
        <f t="shared" si="72"/>
        <v>44844727.734786943</v>
      </c>
      <c r="V153" s="18">
        <f t="shared" si="72"/>
        <v>35577350.997567557</v>
      </c>
      <c r="W153" s="18">
        <f t="shared" si="72"/>
        <v>36400638.357785664</v>
      </c>
      <c r="X153" s="18">
        <f t="shared" si="72"/>
        <v>32792309.98370878</v>
      </c>
      <c r="Y153" s="18">
        <f t="shared" si="72"/>
        <v>31487908.939111609</v>
      </c>
      <c r="Z153" s="18">
        <f t="shared" si="72"/>
        <v>29906906.864614468</v>
      </c>
    </row>
    <row r="154" spans="1:26">
      <c r="A154" s="14" t="s">
        <v>49</v>
      </c>
      <c r="B154" s="18">
        <f t="shared" si="72"/>
        <v>0</v>
      </c>
      <c r="C154" s="18">
        <f t="shared" si="72"/>
        <v>0</v>
      </c>
      <c r="D154" s="18">
        <f t="shared" si="72"/>
        <v>5244966</v>
      </c>
      <c r="E154" s="18">
        <f t="shared" si="72"/>
        <v>68774131</v>
      </c>
      <c r="F154" s="18">
        <f t="shared" si="72"/>
        <v>65558003</v>
      </c>
      <c r="G154" s="18">
        <f t="shared" si="72"/>
        <v>51522651</v>
      </c>
      <c r="H154" s="18">
        <f t="shared" si="72"/>
        <v>52230270</v>
      </c>
      <c r="I154" s="18">
        <f t="shared" si="72"/>
        <v>52356549</v>
      </c>
      <c r="J154" s="18">
        <f t="shared" si="72"/>
        <v>50446436</v>
      </c>
      <c r="K154" s="18">
        <f t="shared" si="72"/>
        <v>62719260</v>
      </c>
      <c r="L154" s="18">
        <f t="shared" si="72"/>
        <v>37273326</v>
      </c>
      <c r="M154" s="18">
        <f t="shared" si="72"/>
        <v>4856526</v>
      </c>
      <c r="N154" s="18">
        <f t="shared" si="72"/>
        <v>29614705</v>
      </c>
      <c r="O154" s="18">
        <f t="shared" si="72"/>
        <v>83717318</v>
      </c>
      <c r="P154" s="18">
        <f t="shared" si="72"/>
        <v>80280121</v>
      </c>
      <c r="Q154" s="19">
        <f t="shared" si="72"/>
        <v>24842798.139850907</v>
      </c>
      <c r="R154" s="19">
        <f t="shared" si="72"/>
        <v>26022097.575546306</v>
      </c>
      <c r="S154" s="18">
        <f t="shared" si="72"/>
        <v>29383447.745323453</v>
      </c>
      <c r="T154" s="18">
        <f t="shared" si="72"/>
        <v>30328862.736514028</v>
      </c>
      <c r="U154" s="18">
        <f t="shared" si="72"/>
        <v>24362698.590070911</v>
      </c>
      <c r="V154" s="18">
        <f t="shared" si="72"/>
        <v>21686770.416424029</v>
      </c>
      <c r="W154" s="18">
        <f t="shared" si="72"/>
        <v>21564634.428781934</v>
      </c>
      <c r="X154" s="18">
        <f t="shared" si="72"/>
        <v>19972770.810665525</v>
      </c>
      <c r="Y154" s="18">
        <f t="shared" si="72"/>
        <v>19067225.55470863</v>
      </c>
      <c r="Z154" s="18">
        <f t="shared" si="72"/>
        <v>17612603.636823058</v>
      </c>
    </row>
    <row r="155" spans="1:26">
      <c r="A155" s="14" t="s">
        <v>50</v>
      </c>
      <c r="B155" s="18">
        <f t="shared" si="72"/>
        <v>0</v>
      </c>
      <c r="C155" s="18">
        <f t="shared" si="72"/>
        <v>0</v>
      </c>
      <c r="D155" s="18">
        <f t="shared" si="72"/>
        <v>1752396</v>
      </c>
      <c r="E155" s="18">
        <f t="shared" si="72"/>
        <v>64540753</v>
      </c>
      <c r="F155" s="18">
        <f t="shared" si="72"/>
        <v>48394949</v>
      </c>
      <c r="G155" s="18">
        <f t="shared" si="72"/>
        <v>50960932</v>
      </c>
      <c r="H155" s="18">
        <f t="shared" si="72"/>
        <v>53017377</v>
      </c>
      <c r="I155" s="18">
        <f t="shared" si="72"/>
        <v>53494913</v>
      </c>
      <c r="J155" s="18">
        <f t="shared" si="72"/>
        <v>50652348</v>
      </c>
      <c r="K155" s="18">
        <f t="shared" si="72"/>
        <v>54530027</v>
      </c>
      <c r="L155" s="18">
        <f t="shared" si="72"/>
        <v>41140787</v>
      </c>
      <c r="M155" s="18">
        <f t="shared" si="72"/>
        <v>49819847</v>
      </c>
      <c r="N155" s="18">
        <f t="shared" si="72"/>
        <v>28137330</v>
      </c>
      <c r="O155" s="18">
        <f t="shared" si="72"/>
        <v>20007955</v>
      </c>
      <c r="P155" s="18">
        <f t="shared" si="72"/>
        <v>39060624</v>
      </c>
      <c r="Q155" s="19">
        <f t="shared" si="72"/>
        <v>23611424.187794033</v>
      </c>
      <c r="R155" s="19">
        <f t="shared" si="72"/>
        <v>23476012.557043031</v>
      </c>
      <c r="S155" s="18">
        <f t="shared" si="72"/>
        <v>19845789.374691956</v>
      </c>
      <c r="T155" s="18">
        <f t="shared" si="72"/>
        <v>19495769.13230991</v>
      </c>
      <c r="U155" s="18">
        <f t="shared" si="72"/>
        <v>20649547.567305811</v>
      </c>
      <c r="V155" s="18">
        <f t="shared" si="72"/>
        <v>17209051.52782115</v>
      </c>
      <c r="W155" s="18">
        <f t="shared" si="72"/>
        <v>16474282.389774922</v>
      </c>
      <c r="X155" s="18">
        <f t="shared" si="72"/>
        <v>14694029.802711355</v>
      </c>
      <c r="Y155" s="18">
        <f t="shared" si="72"/>
        <v>14314305.770075742</v>
      </c>
      <c r="Z155" s="18">
        <f t="shared" si="72"/>
        <v>13762769.789363809</v>
      </c>
    </row>
    <row r="156" spans="1:26">
      <c r="A156" s="14" t="s">
        <v>51</v>
      </c>
      <c r="B156" s="18">
        <f t="shared" si="72"/>
        <v>0</v>
      </c>
      <c r="C156" s="18">
        <f t="shared" si="72"/>
        <v>0</v>
      </c>
      <c r="D156" s="18">
        <f t="shared" si="72"/>
        <v>14983692</v>
      </c>
      <c r="E156" s="18">
        <f t="shared" si="72"/>
        <v>62426172</v>
      </c>
      <c r="F156" s="18">
        <f t="shared" si="72"/>
        <v>0</v>
      </c>
      <c r="G156" s="18">
        <f t="shared" si="72"/>
        <v>47277181</v>
      </c>
      <c r="H156" s="18">
        <f t="shared" si="72"/>
        <v>50758639</v>
      </c>
      <c r="I156" s="18">
        <f t="shared" si="72"/>
        <v>50116709</v>
      </c>
      <c r="J156" s="18">
        <f t="shared" si="72"/>
        <v>38075909</v>
      </c>
      <c r="K156" s="18">
        <f t="shared" si="72"/>
        <v>47426822</v>
      </c>
      <c r="L156" s="18">
        <f t="shared" si="72"/>
        <v>93704142</v>
      </c>
      <c r="M156" s="18">
        <f t="shared" si="72"/>
        <v>84653244</v>
      </c>
      <c r="N156" s="18">
        <f t="shared" si="72"/>
        <v>71573140</v>
      </c>
      <c r="O156" s="18">
        <f t="shared" si="72"/>
        <v>13898429</v>
      </c>
      <c r="P156" s="18">
        <f t="shared" si="72"/>
        <v>72769542</v>
      </c>
      <c r="Q156" s="19">
        <f t="shared" si="72"/>
        <v>30671866.845214706</v>
      </c>
      <c r="R156" s="19">
        <f t="shared" si="72"/>
        <v>33648206.989643991</v>
      </c>
      <c r="S156" s="18">
        <f t="shared" si="72"/>
        <v>27238716.32122441</v>
      </c>
      <c r="T156" s="18">
        <f t="shared" si="72"/>
        <v>21654210.865446854</v>
      </c>
      <c r="U156" s="18">
        <f t="shared" si="72"/>
        <v>23734715.174330577</v>
      </c>
      <c r="V156" s="18">
        <f t="shared" si="72"/>
        <v>22009454.392861106</v>
      </c>
      <c r="W156" s="18">
        <f t="shared" si="72"/>
        <v>20992140.612688866</v>
      </c>
      <c r="X156" s="18">
        <f t="shared" si="72"/>
        <v>18137919.586956732</v>
      </c>
      <c r="Y156" s="18">
        <f t="shared" si="72"/>
        <v>17225875.506500721</v>
      </c>
      <c r="Z156" s="18">
        <f t="shared" si="72"/>
        <v>16860567.84329601</v>
      </c>
    </row>
    <row r="157" spans="1:26">
      <c r="A157" s="14" t="s">
        <v>52</v>
      </c>
      <c r="B157" s="18">
        <f t="shared" si="72"/>
        <v>0</v>
      </c>
      <c r="C157" s="18">
        <f t="shared" si="72"/>
        <v>0</v>
      </c>
      <c r="D157" s="18">
        <f t="shared" si="72"/>
        <v>21620626</v>
      </c>
      <c r="E157" s="18">
        <f t="shared" si="72"/>
        <v>59894058</v>
      </c>
      <c r="F157" s="18">
        <f t="shared" si="72"/>
        <v>1390156</v>
      </c>
      <c r="G157" s="18">
        <f t="shared" si="72"/>
        <v>50233146</v>
      </c>
      <c r="H157" s="18">
        <f t="shared" si="72"/>
        <v>49354570</v>
      </c>
      <c r="I157" s="18">
        <f t="shared" si="72"/>
        <v>54935688</v>
      </c>
      <c r="J157" s="18">
        <f t="shared" si="72"/>
        <v>0</v>
      </c>
      <c r="K157" s="18">
        <f t="shared" si="72"/>
        <v>74466066</v>
      </c>
      <c r="L157" s="18">
        <f t="shared" si="72"/>
        <v>65000223</v>
      </c>
      <c r="M157" s="18">
        <f t="shared" si="72"/>
        <v>89572630</v>
      </c>
      <c r="N157" s="18">
        <f t="shared" si="72"/>
        <v>80130772</v>
      </c>
      <c r="O157" s="18">
        <f t="shared" si="72"/>
        <v>81552983</v>
      </c>
      <c r="P157" s="18">
        <f t="shared" si="72"/>
        <v>29588164</v>
      </c>
      <c r="Q157" s="19">
        <f t="shared" si="72"/>
        <v>31752374.475441303</v>
      </c>
      <c r="R157" s="19">
        <f t="shared" si="72"/>
        <v>41962633.365055621</v>
      </c>
      <c r="S157" s="18">
        <f t="shared" si="72"/>
        <v>37917648.160517111</v>
      </c>
      <c r="T157" s="18">
        <f t="shared" si="72"/>
        <v>34493432.66235663</v>
      </c>
      <c r="U157" s="18">
        <f t="shared" si="72"/>
        <v>28356986.246537123</v>
      </c>
      <c r="V157" s="18">
        <f t="shared" si="72"/>
        <v>28041922.758781001</v>
      </c>
      <c r="W157" s="18">
        <f t="shared" si="72"/>
        <v>27944611.068178669</v>
      </c>
      <c r="X157" s="18">
        <f t="shared" si="72"/>
        <v>24588957.003472846</v>
      </c>
      <c r="Y157" s="18">
        <f t="shared" si="72"/>
        <v>23192274.766414426</v>
      </c>
      <c r="Z157" s="18">
        <f t="shared" si="72"/>
        <v>21818766.35944045</v>
      </c>
    </row>
    <row r="158" spans="1:26">
      <c r="A158" s="14" t="s">
        <v>53</v>
      </c>
      <c r="B158" s="18">
        <f t="shared" si="72"/>
        <v>0</v>
      </c>
      <c r="C158" s="18">
        <f t="shared" si="72"/>
        <v>0</v>
      </c>
      <c r="D158" s="18">
        <f t="shared" si="72"/>
        <v>17524064</v>
      </c>
      <c r="E158" s="18">
        <f t="shared" si="72"/>
        <v>59734592</v>
      </c>
      <c r="F158" s="18">
        <f t="shared" si="72"/>
        <v>48615777</v>
      </c>
      <c r="G158" s="18">
        <f t="shared" ref="C158:Z159" si="73">G142+G126</f>
        <v>45613233</v>
      </c>
      <c r="H158" s="18">
        <f t="shared" si="73"/>
        <v>48948032</v>
      </c>
      <c r="I158" s="18">
        <f t="shared" si="73"/>
        <v>27212823</v>
      </c>
      <c r="J158" s="18">
        <f t="shared" si="73"/>
        <v>19330873</v>
      </c>
      <c r="K158" s="18">
        <f t="shared" si="73"/>
        <v>63331711</v>
      </c>
      <c r="L158" s="18">
        <f t="shared" si="73"/>
        <v>75571457</v>
      </c>
      <c r="M158" s="18">
        <f t="shared" si="73"/>
        <v>64864142</v>
      </c>
      <c r="N158" s="18">
        <f t="shared" si="73"/>
        <v>59122748</v>
      </c>
      <c r="O158" s="18">
        <f t="shared" si="73"/>
        <v>76883434</v>
      </c>
      <c r="P158" s="18">
        <f t="shared" si="73"/>
        <v>64389840</v>
      </c>
      <c r="Q158" s="19">
        <f t="shared" si="73"/>
        <v>28660341.462727264</v>
      </c>
      <c r="R158" s="19">
        <f t="shared" si="73"/>
        <v>33806792.713921428</v>
      </c>
      <c r="S158" s="18">
        <f t="shared" si="73"/>
        <v>30727849.551264275</v>
      </c>
      <c r="T158" s="18">
        <f t="shared" si="73"/>
        <v>28730527.602328412</v>
      </c>
      <c r="U158" s="18">
        <f t="shared" si="73"/>
        <v>22095602.20827936</v>
      </c>
      <c r="V158" s="18">
        <f t="shared" si="73"/>
        <v>23146250.394579101</v>
      </c>
      <c r="W158" s="18">
        <f t="shared" si="73"/>
        <v>22664785.495295495</v>
      </c>
      <c r="X158" s="18">
        <f t="shared" si="73"/>
        <v>19978825.921929911</v>
      </c>
      <c r="Y158" s="18">
        <f t="shared" si="73"/>
        <v>18857053.9645098</v>
      </c>
      <c r="Z158" s="18">
        <f t="shared" si="73"/>
        <v>17627204.804763</v>
      </c>
    </row>
    <row r="159" spans="1:26">
      <c r="A159" s="14" t="s">
        <v>54</v>
      </c>
      <c r="B159" s="18">
        <f t="shared" ref="B159" si="74">B143+B127</f>
        <v>0</v>
      </c>
      <c r="C159" s="18">
        <f t="shared" si="73"/>
        <v>0</v>
      </c>
      <c r="D159" s="18">
        <f t="shared" si="73"/>
        <v>7516482</v>
      </c>
      <c r="E159" s="18">
        <f t="shared" si="73"/>
        <v>51213205</v>
      </c>
      <c r="F159" s="18">
        <f t="shared" si="73"/>
        <v>46503441</v>
      </c>
      <c r="G159" s="18">
        <f t="shared" si="73"/>
        <v>42024957</v>
      </c>
      <c r="H159" s="18">
        <f t="shared" si="73"/>
        <v>48288816</v>
      </c>
      <c r="I159" s="18">
        <f t="shared" si="73"/>
        <v>53145568</v>
      </c>
      <c r="J159" s="18">
        <f t="shared" si="73"/>
        <v>60832579</v>
      </c>
      <c r="K159" s="18">
        <f t="shared" si="73"/>
        <v>68667665</v>
      </c>
      <c r="L159" s="18">
        <f t="shared" si="73"/>
        <v>73850860</v>
      </c>
      <c r="M159" s="18">
        <f t="shared" si="73"/>
        <v>83892683</v>
      </c>
      <c r="N159" s="18">
        <f t="shared" si="73"/>
        <v>74049834</v>
      </c>
      <c r="O159" s="18">
        <f t="shared" si="73"/>
        <v>81742040</v>
      </c>
      <c r="P159" s="18">
        <f t="shared" si="73"/>
        <v>63136610</v>
      </c>
      <c r="Q159" s="19">
        <f t="shared" si="73"/>
        <v>104506682.28108422</v>
      </c>
      <c r="R159" s="19">
        <f t="shared" si="73"/>
        <v>52824937.599267565</v>
      </c>
      <c r="S159" s="18">
        <f t="shared" si="73"/>
        <v>48815555.472107477</v>
      </c>
      <c r="T159" s="18">
        <f t="shared" si="73"/>
        <v>46864066.565717205</v>
      </c>
      <c r="U159" s="18">
        <f t="shared" si="73"/>
        <v>42818613.688287117</v>
      </c>
      <c r="V159" s="18">
        <f t="shared" si="73"/>
        <v>47544083.945913635</v>
      </c>
      <c r="W159" s="18">
        <f t="shared" si="73"/>
        <v>39087369.371673405</v>
      </c>
      <c r="X159" s="18">
        <f t="shared" si="73"/>
        <v>35314461.026422322</v>
      </c>
      <c r="Y159" s="18">
        <f t="shared" si="73"/>
        <v>34220794.020014316</v>
      </c>
      <c r="Z159" s="18">
        <f t="shared" si="73"/>
        <v>32859961.43967453</v>
      </c>
    </row>
    <row r="160" spans="1:26">
      <c r="A160" s="14" t="s">
        <v>29</v>
      </c>
      <c r="B160" s="18">
        <f>SUM(B148:B159)</f>
        <v>0</v>
      </c>
      <c r="C160" s="18">
        <f t="shared" ref="C160:Z160" si="75">SUM(C148:C159)</f>
        <v>0</v>
      </c>
      <c r="D160" s="18">
        <f t="shared" si="75"/>
        <v>85463969</v>
      </c>
      <c r="E160" s="18">
        <f t="shared" si="75"/>
        <v>515779231</v>
      </c>
      <c r="F160" s="18">
        <f t="shared" si="75"/>
        <v>558877536</v>
      </c>
      <c r="G160" s="18">
        <f t="shared" si="75"/>
        <v>571704841</v>
      </c>
      <c r="H160" s="18">
        <f t="shared" si="75"/>
        <v>594466276</v>
      </c>
      <c r="I160" s="18">
        <f t="shared" si="75"/>
        <v>585448880</v>
      </c>
      <c r="J160" s="18">
        <f t="shared" si="75"/>
        <v>526739288</v>
      </c>
      <c r="K160" s="18">
        <f t="shared" si="75"/>
        <v>714396714</v>
      </c>
      <c r="L160" s="18">
        <f t="shared" si="75"/>
        <v>740096241</v>
      </c>
      <c r="M160" s="18">
        <f t="shared" si="75"/>
        <v>798882653</v>
      </c>
      <c r="N160" s="18">
        <f t="shared" si="75"/>
        <v>756854002</v>
      </c>
      <c r="O160" s="18">
        <f t="shared" si="75"/>
        <v>814432233</v>
      </c>
      <c r="P160" s="18">
        <f t="shared" si="75"/>
        <v>724686637</v>
      </c>
      <c r="Q160" s="19">
        <f t="shared" si="75"/>
        <v>379535385.53133196</v>
      </c>
      <c r="R160" s="19">
        <f t="shared" si="75"/>
        <v>465378942.84239835</v>
      </c>
      <c r="S160" s="18">
        <f t="shared" si="75"/>
        <v>429580562.6237523</v>
      </c>
      <c r="T160" s="18">
        <f t="shared" si="75"/>
        <v>393782182.40510637</v>
      </c>
      <c r="U160" s="18">
        <f t="shared" si="75"/>
        <v>357983802.18646038</v>
      </c>
      <c r="V160" s="18">
        <f t="shared" si="75"/>
        <v>322185422.02989119</v>
      </c>
      <c r="W160" s="18">
        <f t="shared" si="75"/>
        <v>322185421.98022968</v>
      </c>
      <c r="X160" s="18">
        <f t="shared" si="75"/>
        <v>286387041.76241136</v>
      </c>
      <c r="Y160" s="18">
        <f t="shared" si="75"/>
        <v>272067689.67680693</v>
      </c>
      <c r="Z160" s="18">
        <f t="shared" si="75"/>
        <v>257748337.59141451</v>
      </c>
    </row>
    <row r="162" spans="1:35" ht="15.75">
      <c r="A162" s="15" t="s">
        <v>65</v>
      </c>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B162" s="16"/>
      <c r="AC162" s="16"/>
      <c r="AD162" s="16"/>
      <c r="AE162" s="16"/>
      <c r="AF162" s="16"/>
      <c r="AG162" s="16"/>
      <c r="AH162" s="16"/>
      <c r="AI162" s="16"/>
    </row>
    <row r="163" spans="1:35">
      <c r="B163" s="14">
        <f t="shared" ref="B163:Z163" si="76">B3</f>
        <v>2010</v>
      </c>
      <c r="C163" s="14">
        <f t="shared" si="76"/>
        <v>2011</v>
      </c>
      <c r="D163" s="14">
        <f t="shared" si="76"/>
        <v>2012</v>
      </c>
      <c r="E163" s="14">
        <f t="shared" si="76"/>
        <v>2013</v>
      </c>
      <c r="F163" s="14">
        <f t="shared" si="76"/>
        <v>2014</v>
      </c>
      <c r="G163" s="14">
        <f t="shared" si="76"/>
        <v>2015</v>
      </c>
      <c r="H163" s="14">
        <f t="shared" si="76"/>
        <v>2016</v>
      </c>
      <c r="I163" s="14">
        <f t="shared" si="76"/>
        <v>2017</v>
      </c>
      <c r="J163" s="14">
        <f t="shared" si="76"/>
        <v>2018</v>
      </c>
      <c r="K163" s="14">
        <f t="shared" si="76"/>
        <v>2019</v>
      </c>
      <c r="L163" s="14">
        <f t="shared" si="76"/>
        <v>2020</v>
      </c>
      <c r="M163" s="14">
        <f t="shared" si="76"/>
        <v>2021</v>
      </c>
      <c r="N163" s="14">
        <f t="shared" si="76"/>
        <v>2022</v>
      </c>
      <c r="O163" s="14">
        <f t="shared" si="76"/>
        <v>2023</v>
      </c>
      <c r="P163" s="14">
        <f t="shared" si="76"/>
        <v>2024</v>
      </c>
      <c r="Q163" s="14">
        <f t="shared" si="76"/>
        <v>2025</v>
      </c>
      <c r="R163" s="14">
        <f t="shared" si="76"/>
        <v>2026</v>
      </c>
      <c r="S163" s="14">
        <f t="shared" si="76"/>
        <v>2027</v>
      </c>
      <c r="T163" s="14">
        <f t="shared" si="76"/>
        <v>2028</v>
      </c>
      <c r="U163" s="14">
        <f t="shared" si="76"/>
        <v>2029</v>
      </c>
      <c r="V163" s="14">
        <f t="shared" si="76"/>
        <v>2030</v>
      </c>
      <c r="W163" s="14">
        <f t="shared" si="76"/>
        <v>2031</v>
      </c>
      <c r="X163" s="14">
        <f t="shared" si="76"/>
        <v>2032</v>
      </c>
      <c r="Y163" s="14">
        <f t="shared" si="76"/>
        <v>2033</v>
      </c>
      <c r="Z163" s="14">
        <f t="shared" si="76"/>
        <v>2034</v>
      </c>
      <c r="AD163" s="14" t="s">
        <v>37</v>
      </c>
      <c r="AE163" s="14" t="s">
        <v>38</v>
      </c>
      <c r="AF163" s="14" t="s">
        <v>39</v>
      </c>
      <c r="AG163" s="14" t="s">
        <v>40</v>
      </c>
      <c r="AH163" s="14" t="s">
        <v>41</v>
      </c>
      <c r="AI163" s="14" t="s">
        <v>42</v>
      </c>
    </row>
    <row r="164" spans="1:35">
      <c r="A164" s="14" t="s">
        <v>43</v>
      </c>
      <c r="B164" s="18">
        <f t="shared" ref="B164:Z174" si="77">B180+B196</f>
        <v>0</v>
      </c>
      <c r="C164" s="18">
        <f t="shared" si="77"/>
        <v>60782856</v>
      </c>
      <c r="D164" s="18">
        <f t="shared" si="77"/>
        <v>98897824</v>
      </c>
      <c r="E164" s="18">
        <f t="shared" si="77"/>
        <v>122240189</v>
      </c>
      <c r="F164" s="18">
        <f t="shared" si="77"/>
        <v>162294539</v>
      </c>
      <c r="G164" s="18">
        <f t="shared" si="77"/>
        <v>177798654</v>
      </c>
      <c r="H164" s="18">
        <f t="shared" si="77"/>
        <v>223963955</v>
      </c>
      <c r="I164" s="18">
        <f t="shared" si="77"/>
        <v>214053749</v>
      </c>
      <c r="J164" s="18">
        <f t="shared" si="77"/>
        <v>259113654</v>
      </c>
      <c r="K164" s="18">
        <f t="shared" si="77"/>
        <v>288010887</v>
      </c>
      <c r="L164" s="18">
        <f t="shared" si="77"/>
        <v>319995237</v>
      </c>
      <c r="M164" s="18">
        <f t="shared" si="77"/>
        <v>320556466</v>
      </c>
      <c r="N164" s="18">
        <f t="shared" si="77"/>
        <v>367346407</v>
      </c>
      <c r="O164" s="18">
        <f t="shared" si="77"/>
        <v>543968119</v>
      </c>
      <c r="P164" s="18">
        <f t="shared" si="77"/>
        <v>670897567</v>
      </c>
      <c r="Q164" s="19">
        <f t="shared" si="77"/>
        <v>469075433</v>
      </c>
      <c r="R164" s="19">
        <f t="shared" si="77"/>
        <v>490861037.30648005</v>
      </c>
      <c r="S164" s="19">
        <f t="shared" si="77"/>
        <v>506764047.25874233</v>
      </c>
      <c r="T164" s="19">
        <f t="shared" si="77"/>
        <v>485373847.66741848</v>
      </c>
      <c r="U164" s="19">
        <f t="shared" si="77"/>
        <v>484997739.38889325</v>
      </c>
      <c r="V164" s="19">
        <f t="shared" si="77"/>
        <v>488023076.44956046</v>
      </c>
      <c r="W164" s="19">
        <f t="shared" si="77"/>
        <v>529409485.01225394</v>
      </c>
      <c r="X164" s="19">
        <f t="shared" si="77"/>
        <v>598526773.79711425</v>
      </c>
      <c r="Y164" s="19">
        <f t="shared" si="77"/>
        <v>615354258.67214596</v>
      </c>
      <c r="Z164" s="19">
        <f t="shared" si="77"/>
        <v>583448901.33245385</v>
      </c>
      <c r="AA164" s="31"/>
      <c r="AD164" s="18">
        <f>AVERAGE(J164:N164)</f>
        <v>311004530.19999999</v>
      </c>
      <c r="AE164" s="18">
        <f>O164-AD164</f>
        <v>232963588.80000001</v>
      </c>
      <c r="AF164" s="18">
        <f t="shared" ref="AF164:AF175" si="78">O164-N164</f>
        <v>176621712</v>
      </c>
      <c r="AG164" s="18">
        <f>O164/31</f>
        <v>17547358.677419353</v>
      </c>
      <c r="AH164" s="18">
        <f>AD164/31</f>
        <v>10032404.199999999</v>
      </c>
      <c r="AI164" s="18">
        <f>AG164-AH164</f>
        <v>7514954.477419354</v>
      </c>
    </row>
    <row r="165" spans="1:35">
      <c r="A165" s="14" t="s">
        <v>44</v>
      </c>
      <c r="B165" s="18">
        <f t="shared" si="77"/>
        <v>0</v>
      </c>
      <c r="C165" s="18">
        <f t="shared" si="77"/>
        <v>66200884</v>
      </c>
      <c r="D165" s="18">
        <f t="shared" si="77"/>
        <v>120837038</v>
      </c>
      <c r="E165" s="18">
        <f t="shared" si="77"/>
        <v>122618741</v>
      </c>
      <c r="F165" s="18">
        <f t="shared" si="77"/>
        <v>192563843</v>
      </c>
      <c r="G165" s="18">
        <f t="shared" si="77"/>
        <v>168217921</v>
      </c>
      <c r="H165" s="18">
        <f t="shared" si="77"/>
        <v>225302442</v>
      </c>
      <c r="I165" s="18">
        <f t="shared" si="77"/>
        <v>239363266</v>
      </c>
      <c r="J165" s="18">
        <f t="shared" si="77"/>
        <v>275515036</v>
      </c>
      <c r="K165" s="18">
        <f t="shared" si="77"/>
        <v>317502823</v>
      </c>
      <c r="L165" s="18">
        <f t="shared" si="77"/>
        <v>341796526</v>
      </c>
      <c r="M165" s="18">
        <f t="shared" si="77"/>
        <v>326583777</v>
      </c>
      <c r="N165" s="18">
        <f t="shared" si="77"/>
        <v>406149867</v>
      </c>
      <c r="O165" s="18">
        <f t="shared" si="77"/>
        <v>528052269</v>
      </c>
      <c r="P165" s="18">
        <f t="shared" si="77"/>
        <v>752040680</v>
      </c>
      <c r="Q165" s="19">
        <f t="shared" si="77"/>
        <v>432970049</v>
      </c>
      <c r="R165" s="19">
        <f t="shared" si="77"/>
        <v>536582674.32362735</v>
      </c>
      <c r="S165" s="19">
        <f t="shared" si="77"/>
        <v>558985701.60981858</v>
      </c>
      <c r="T165" s="19">
        <f t="shared" si="77"/>
        <v>536620770.375826</v>
      </c>
      <c r="U165" s="19">
        <f t="shared" si="77"/>
        <v>544863376.97150373</v>
      </c>
      <c r="V165" s="19">
        <f t="shared" si="77"/>
        <v>542059276.26060069</v>
      </c>
      <c r="W165" s="19">
        <f t="shared" si="77"/>
        <v>587056540.18747675</v>
      </c>
      <c r="X165" s="19">
        <f t="shared" si="77"/>
        <v>662996685.58234489</v>
      </c>
      <c r="Y165" s="19">
        <f t="shared" si="77"/>
        <v>648694154.65598309</v>
      </c>
      <c r="Z165" s="19">
        <f t="shared" si="77"/>
        <v>628739424.68010223</v>
      </c>
      <c r="AA165" s="31"/>
      <c r="AD165" s="18">
        <f t="shared" ref="AD165:AD176" si="79">AVERAGE(J165:N165)</f>
        <v>333509605.80000001</v>
      </c>
      <c r="AE165" s="18">
        <f t="shared" ref="AE165:AE176" si="80">O165-AD165</f>
        <v>194542663.19999999</v>
      </c>
      <c r="AF165" s="18">
        <f t="shared" si="78"/>
        <v>121902402</v>
      </c>
      <c r="AG165" s="18">
        <f>O165/28</f>
        <v>18859009.607142858</v>
      </c>
      <c r="AH165" s="18">
        <f>AD165/28</f>
        <v>11911057.35</v>
      </c>
      <c r="AI165" s="18">
        <f t="shared" ref="AI165:AI175" si="81">AG165-AH165</f>
        <v>6947952.2571428586</v>
      </c>
    </row>
    <row r="166" spans="1:35">
      <c r="A166" s="14" t="s">
        <v>45</v>
      </c>
      <c r="B166" s="18">
        <f t="shared" si="77"/>
        <v>0</v>
      </c>
      <c r="C166" s="18">
        <f t="shared" si="77"/>
        <v>107450399</v>
      </c>
      <c r="D166" s="18">
        <f t="shared" si="77"/>
        <v>165142672</v>
      </c>
      <c r="E166" s="18">
        <f t="shared" si="77"/>
        <v>199223788</v>
      </c>
      <c r="F166" s="18">
        <f t="shared" si="77"/>
        <v>241965003</v>
      </c>
      <c r="G166" s="18">
        <f t="shared" si="77"/>
        <v>230357596</v>
      </c>
      <c r="H166" s="18">
        <f t="shared" si="77"/>
        <v>279428942</v>
      </c>
      <c r="I166" s="18">
        <f t="shared" si="77"/>
        <v>307518449</v>
      </c>
      <c r="J166" s="18">
        <f t="shared" si="77"/>
        <v>332233182</v>
      </c>
      <c r="K166" s="18">
        <f t="shared" si="77"/>
        <v>356345755</v>
      </c>
      <c r="L166" s="18">
        <f t="shared" si="77"/>
        <v>404165141</v>
      </c>
      <c r="M166" s="18">
        <f t="shared" si="77"/>
        <v>428075172</v>
      </c>
      <c r="N166" s="18">
        <f t="shared" si="77"/>
        <v>503173177</v>
      </c>
      <c r="O166" s="18">
        <f t="shared" si="77"/>
        <v>647073976</v>
      </c>
      <c r="P166" s="18">
        <f t="shared" si="77"/>
        <v>653055761</v>
      </c>
      <c r="Q166" s="19">
        <f t="shared" si="77"/>
        <v>570122469</v>
      </c>
      <c r="R166" s="19">
        <f t="shared" si="77"/>
        <v>573993775.24050486</v>
      </c>
      <c r="S166" s="19">
        <f t="shared" si="77"/>
        <v>602753514.1086061</v>
      </c>
      <c r="T166" s="19">
        <f t="shared" si="77"/>
        <v>569860167.35507822</v>
      </c>
      <c r="U166" s="19">
        <f t="shared" si="77"/>
        <v>567941917.18855953</v>
      </c>
      <c r="V166" s="19">
        <f t="shared" si="77"/>
        <v>579236105.84515309</v>
      </c>
      <c r="W166" s="19">
        <f t="shared" si="77"/>
        <v>621966468.76144671</v>
      </c>
      <c r="X166" s="19">
        <f t="shared" si="77"/>
        <v>703304127.26397789</v>
      </c>
      <c r="Y166" s="19">
        <f t="shared" si="77"/>
        <v>686891316.37865138</v>
      </c>
      <c r="Z166" s="19">
        <f t="shared" si="77"/>
        <v>666197342.4187448</v>
      </c>
      <c r="AA166" s="31"/>
      <c r="AD166" s="18">
        <f t="shared" si="79"/>
        <v>404798485.39999998</v>
      </c>
      <c r="AE166" s="18">
        <f t="shared" si="80"/>
        <v>242275490.60000002</v>
      </c>
      <c r="AF166" s="18">
        <f t="shared" si="78"/>
        <v>143900799</v>
      </c>
      <c r="AG166" s="18">
        <f>O166/31</f>
        <v>20873354.064516131</v>
      </c>
      <c r="AH166" s="18">
        <f>AD166/31</f>
        <v>13058015.658064516</v>
      </c>
      <c r="AI166" s="18">
        <f t="shared" si="81"/>
        <v>7815338.4064516146</v>
      </c>
    </row>
    <row r="167" spans="1:35">
      <c r="A167" s="14" t="s">
        <v>46</v>
      </c>
      <c r="B167" s="18">
        <f t="shared" si="77"/>
        <v>0</v>
      </c>
      <c r="C167" s="18">
        <f t="shared" si="77"/>
        <v>112055398</v>
      </c>
      <c r="D167" s="18">
        <f t="shared" si="77"/>
        <v>149789740</v>
      </c>
      <c r="E167" s="18">
        <f t="shared" si="77"/>
        <v>191131487</v>
      </c>
      <c r="F167" s="18">
        <f t="shared" si="77"/>
        <v>252322463</v>
      </c>
      <c r="G167" s="18">
        <f t="shared" si="77"/>
        <v>262846902</v>
      </c>
      <c r="H167" s="18">
        <f t="shared" si="77"/>
        <v>335094545</v>
      </c>
      <c r="I167" s="18">
        <f t="shared" si="77"/>
        <v>301568693</v>
      </c>
      <c r="J167" s="18">
        <f t="shared" si="77"/>
        <v>338621453</v>
      </c>
      <c r="K167" s="18">
        <f t="shared" si="77"/>
        <v>399874995</v>
      </c>
      <c r="L167" s="18">
        <f t="shared" si="77"/>
        <v>379249408</v>
      </c>
      <c r="M167" s="18">
        <f t="shared" si="77"/>
        <v>405284284</v>
      </c>
      <c r="N167" s="18">
        <f t="shared" si="77"/>
        <v>515854414</v>
      </c>
      <c r="O167" s="18">
        <f t="shared" si="77"/>
        <v>624673631</v>
      </c>
      <c r="P167" s="18">
        <f t="shared" si="77"/>
        <v>803270588</v>
      </c>
      <c r="Q167" s="19">
        <f t="shared" si="77"/>
        <v>621040020.91704583</v>
      </c>
      <c r="R167" s="19">
        <f t="shared" si="77"/>
        <v>583081891.38140583</v>
      </c>
      <c r="S167" s="19">
        <f t="shared" si="77"/>
        <v>616437733.16540182</v>
      </c>
      <c r="T167" s="19">
        <f t="shared" si="77"/>
        <v>580688115.36835039</v>
      </c>
      <c r="U167" s="19">
        <f t="shared" si="77"/>
        <v>596093698.44834638</v>
      </c>
      <c r="V167" s="19">
        <f t="shared" si="77"/>
        <v>612275162.07959092</v>
      </c>
      <c r="W167" s="19">
        <f t="shared" si="77"/>
        <v>641052710.32934439</v>
      </c>
      <c r="X167" s="19">
        <f t="shared" si="77"/>
        <v>721540424.60815382</v>
      </c>
      <c r="Y167" s="19">
        <f t="shared" si="77"/>
        <v>704585295.88303161</v>
      </c>
      <c r="Z167" s="19">
        <f t="shared" si="77"/>
        <v>684550951.67159081</v>
      </c>
      <c r="AA167" s="31"/>
      <c r="AD167" s="18">
        <f t="shared" si="79"/>
        <v>407776910.80000001</v>
      </c>
      <c r="AE167" s="18">
        <f t="shared" si="80"/>
        <v>216896720.19999999</v>
      </c>
      <c r="AF167" s="18">
        <f t="shared" si="78"/>
        <v>108819217</v>
      </c>
      <c r="AG167" s="18">
        <f>O167/30</f>
        <v>20822454.366666667</v>
      </c>
      <c r="AH167" s="18">
        <f>AD167/30</f>
        <v>13592563.693333333</v>
      </c>
      <c r="AI167" s="18">
        <f t="shared" si="81"/>
        <v>7229890.6733333338</v>
      </c>
    </row>
    <row r="168" spans="1:35">
      <c r="A168" s="14" t="s">
        <v>47</v>
      </c>
      <c r="B168" s="18">
        <f t="shared" si="77"/>
        <v>0</v>
      </c>
      <c r="C168" s="18">
        <f t="shared" si="77"/>
        <v>132492893</v>
      </c>
      <c r="D168" s="18">
        <f t="shared" si="77"/>
        <v>183802642</v>
      </c>
      <c r="E168" s="18">
        <f t="shared" si="77"/>
        <v>238062416</v>
      </c>
      <c r="F168" s="18">
        <f t="shared" si="77"/>
        <v>254475729</v>
      </c>
      <c r="G168" s="18">
        <f t="shared" si="77"/>
        <v>288309290</v>
      </c>
      <c r="H168" s="18">
        <f t="shared" si="77"/>
        <v>364328918</v>
      </c>
      <c r="I168" s="18">
        <f t="shared" si="77"/>
        <v>373044007</v>
      </c>
      <c r="J168" s="18">
        <f t="shared" si="77"/>
        <v>363920067</v>
      </c>
      <c r="K168" s="18">
        <f t="shared" si="77"/>
        <v>400462073</v>
      </c>
      <c r="L168" s="18">
        <f t="shared" si="77"/>
        <v>382504488</v>
      </c>
      <c r="M168" s="18">
        <f t="shared" si="77"/>
        <v>412898244</v>
      </c>
      <c r="N168" s="18">
        <f t="shared" si="77"/>
        <v>538828444</v>
      </c>
      <c r="O168" s="18">
        <f t="shared" si="77"/>
        <v>783622331</v>
      </c>
      <c r="P168" s="18">
        <f t="shared" si="77"/>
        <v>693348421</v>
      </c>
      <c r="Q168" s="19">
        <f t="shared" si="77"/>
        <v>617968085.13689911</v>
      </c>
      <c r="R168" s="19">
        <f t="shared" si="77"/>
        <v>629752020.1079886</v>
      </c>
      <c r="S168" s="19">
        <f t="shared" si="77"/>
        <v>669700891.37362289</v>
      </c>
      <c r="T168" s="19">
        <f t="shared" si="77"/>
        <v>636533281.39993298</v>
      </c>
      <c r="U168" s="19">
        <f t="shared" si="77"/>
        <v>644135694.83743989</v>
      </c>
      <c r="V168" s="19">
        <f t="shared" si="77"/>
        <v>663446073.58397794</v>
      </c>
      <c r="W168" s="19">
        <f t="shared" si="77"/>
        <v>697274200.58794892</v>
      </c>
      <c r="X168" s="19">
        <f t="shared" si="77"/>
        <v>788300535.13871765</v>
      </c>
      <c r="Y168" s="19">
        <f t="shared" si="77"/>
        <v>770553696.79356873</v>
      </c>
      <c r="Z168" s="19">
        <f t="shared" si="77"/>
        <v>747583937.82032955</v>
      </c>
      <c r="AA168" s="31"/>
      <c r="AD168" s="18">
        <f t="shared" si="79"/>
        <v>419722663.19999999</v>
      </c>
      <c r="AE168" s="18">
        <f t="shared" si="80"/>
        <v>363899667.80000001</v>
      </c>
      <c r="AF168" s="18">
        <f t="shared" si="78"/>
        <v>244793887</v>
      </c>
      <c r="AG168" s="18">
        <f>O168/31</f>
        <v>25278139.709677421</v>
      </c>
      <c r="AH168" s="18">
        <f>AD168/31</f>
        <v>13539440.748387096</v>
      </c>
      <c r="AI168" s="18">
        <f t="shared" si="81"/>
        <v>11738698.961290324</v>
      </c>
    </row>
    <row r="169" spans="1:35">
      <c r="A169" s="14" t="s">
        <v>48</v>
      </c>
      <c r="B169" s="18">
        <f t="shared" si="77"/>
        <v>0</v>
      </c>
      <c r="C169" s="18">
        <f t="shared" si="77"/>
        <v>130140014</v>
      </c>
      <c r="D169" s="18">
        <f t="shared" si="77"/>
        <v>179322912</v>
      </c>
      <c r="E169" s="18">
        <f t="shared" si="77"/>
        <v>258866793</v>
      </c>
      <c r="F169" s="18">
        <f t="shared" si="77"/>
        <v>266699808</v>
      </c>
      <c r="G169" s="18">
        <f t="shared" si="77"/>
        <v>306322638</v>
      </c>
      <c r="H169" s="18">
        <f t="shared" si="77"/>
        <v>413162924</v>
      </c>
      <c r="I169" s="18">
        <f t="shared" si="77"/>
        <v>420472491</v>
      </c>
      <c r="J169" s="18">
        <f t="shared" si="77"/>
        <v>329209115</v>
      </c>
      <c r="K169" s="18">
        <f t="shared" si="77"/>
        <v>373601421</v>
      </c>
      <c r="L169" s="18">
        <f t="shared" si="77"/>
        <v>400955633</v>
      </c>
      <c r="M169" s="18">
        <f t="shared" si="77"/>
        <v>451091253</v>
      </c>
      <c r="N169" s="18">
        <f t="shared" si="77"/>
        <v>500843472</v>
      </c>
      <c r="O169" s="18">
        <f t="shared" si="77"/>
        <v>704446516</v>
      </c>
      <c r="P169" s="18">
        <f t="shared" si="77"/>
        <v>834578655</v>
      </c>
      <c r="Q169" s="19">
        <f t="shared" si="77"/>
        <v>620089480.94946218</v>
      </c>
      <c r="R169" s="19">
        <f t="shared" si="77"/>
        <v>633126905.74164343</v>
      </c>
      <c r="S169" s="19">
        <f t="shared" si="77"/>
        <v>670154065.25307739</v>
      </c>
      <c r="T169" s="19">
        <f t="shared" si="77"/>
        <v>640501171.94479549</v>
      </c>
      <c r="U169" s="19">
        <f t="shared" si="77"/>
        <v>648499942.28523779</v>
      </c>
      <c r="V169" s="19">
        <f t="shared" si="77"/>
        <v>663628182.42095423</v>
      </c>
      <c r="W169" s="19">
        <f t="shared" si="77"/>
        <v>696412718.77697253</v>
      </c>
      <c r="X169" s="19">
        <f t="shared" si="77"/>
        <v>785720837.47518837</v>
      </c>
      <c r="Y169" s="19">
        <f t="shared" si="77"/>
        <v>768371383.74045849</v>
      </c>
      <c r="Z169" s="19">
        <f t="shared" si="77"/>
        <v>745844827.2259798</v>
      </c>
      <c r="AA169" s="31"/>
      <c r="AD169" s="23">
        <f t="shared" si="79"/>
        <v>411140178.80000001</v>
      </c>
      <c r="AE169" s="23">
        <f t="shared" si="80"/>
        <v>293306337.19999999</v>
      </c>
      <c r="AF169" s="23">
        <f t="shared" si="78"/>
        <v>203603044</v>
      </c>
      <c r="AG169" s="23">
        <f>O169/30</f>
        <v>23481550.533333335</v>
      </c>
      <c r="AH169" s="23">
        <f>AD169/30</f>
        <v>13704672.626666667</v>
      </c>
      <c r="AI169" s="23">
        <f t="shared" si="81"/>
        <v>9776877.9066666681</v>
      </c>
    </row>
    <row r="170" spans="1:35">
      <c r="A170" s="14" t="s">
        <v>49</v>
      </c>
      <c r="B170" s="18">
        <f t="shared" si="77"/>
        <v>62644634</v>
      </c>
      <c r="C170" s="18">
        <f t="shared" si="77"/>
        <v>145149163</v>
      </c>
      <c r="D170" s="18">
        <f t="shared" si="77"/>
        <v>165759039</v>
      </c>
      <c r="E170" s="18">
        <f t="shared" si="77"/>
        <v>296895391</v>
      </c>
      <c r="F170" s="18">
        <f t="shared" si="77"/>
        <v>318718557</v>
      </c>
      <c r="G170" s="18">
        <f t="shared" si="77"/>
        <v>347236967</v>
      </c>
      <c r="H170" s="18">
        <f t="shared" si="77"/>
        <v>354106026</v>
      </c>
      <c r="I170" s="18">
        <f t="shared" si="77"/>
        <v>393149445</v>
      </c>
      <c r="J170" s="18">
        <f t="shared" si="77"/>
        <v>331027806</v>
      </c>
      <c r="K170" s="18">
        <f t="shared" si="77"/>
        <v>420071376</v>
      </c>
      <c r="L170" s="18">
        <f t="shared" si="77"/>
        <v>390695946</v>
      </c>
      <c r="M170" s="18">
        <f t="shared" si="77"/>
        <v>366376096</v>
      </c>
      <c r="N170" s="18">
        <f t="shared" si="77"/>
        <v>434231481</v>
      </c>
      <c r="O170" s="18">
        <f t="shared" si="77"/>
        <v>649804213</v>
      </c>
      <c r="P170" s="18">
        <f t="shared" si="77"/>
        <v>824168999</v>
      </c>
      <c r="Q170" s="19">
        <f t="shared" si="77"/>
        <v>592682138.8227967</v>
      </c>
      <c r="R170" s="19">
        <f t="shared" si="77"/>
        <v>589418276.97962642</v>
      </c>
      <c r="S170" s="19">
        <f t="shared" si="77"/>
        <v>630957225.00084198</v>
      </c>
      <c r="T170" s="19">
        <f t="shared" si="77"/>
        <v>604549397.43765378</v>
      </c>
      <c r="U170" s="19">
        <f t="shared" si="77"/>
        <v>612133086.46749604</v>
      </c>
      <c r="V170" s="19">
        <f t="shared" si="77"/>
        <v>631146886.76702237</v>
      </c>
      <c r="W170" s="19">
        <f t="shared" si="77"/>
        <v>662492407.12655091</v>
      </c>
      <c r="X170" s="19">
        <f t="shared" si="77"/>
        <v>753176236.88335407</v>
      </c>
      <c r="Y170" s="19">
        <f t="shared" si="77"/>
        <v>737090126.67764711</v>
      </c>
      <c r="Z170" s="19">
        <f t="shared" si="77"/>
        <v>715300248.05406976</v>
      </c>
      <c r="AA170" s="31"/>
      <c r="AD170" s="18">
        <f t="shared" si="79"/>
        <v>388480541</v>
      </c>
      <c r="AE170" s="19">
        <f t="shared" si="80"/>
        <v>261323672</v>
      </c>
      <c r="AF170" s="19">
        <f t="shared" si="78"/>
        <v>215572732</v>
      </c>
      <c r="AG170" s="19">
        <f>O170/31</f>
        <v>20961426.225806452</v>
      </c>
      <c r="AH170" s="18">
        <f>AD170/31</f>
        <v>12531630.35483871</v>
      </c>
      <c r="AI170" s="19">
        <f t="shared" si="81"/>
        <v>8429795.8709677421</v>
      </c>
    </row>
    <row r="171" spans="1:35">
      <c r="A171" s="14" t="s">
        <v>50</v>
      </c>
      <c r="B171" s="18">
        <f t="shared" si="77"/>
        <v>53244134</v>
      </c>
      <c r="C171" s="18">
        <f t="shared" si="77"/>
        <v>169416346</v>
      </c>
      <c r="D171" s="18">
        <f t="shared" si="77"/>
        <v>160656458</v>
      </c>
      <c r="E171" s="18">
        <f t="shared" si="77"/>
        <v>312989773</v>
      </c>
      <c r="F171" s="18">
        <f t="shared" si="77"/>
        <v>263744299</v>
      </c>
      <c r="G171" s="18">
        <f t="shared" si="77"/>
        <v>336500244</v>
      </c>
      <c r="H171" s="18">
        <f t="shared" si="77"/>
        <v>434426933</v>
      </c>
      <c r="I171" s="18">
        <f t="shared" si="77"/>
        <v>409807875</v>
      </c>
      <c r="J171" s="18">
        <f t="shared" si="77"/>
        <v>368376532</v>
      </c>
      <c r="K171" s="18">
        <f t="shared" si="77"/>
        <v>349471672</v>
      </c>
      <c r="L171" s="18">
        <f t="shared" si="77"/>
        <v>397631791</v>
      </c>
      <c r="M171" s="18">
        <f t="shared" si="77"/>
        <v>438308521</v>
      </c>
      <c r="N171" s="18">
        <f t="shared" si="77"/>
        <v>486618169</v>
      </c>
      <c r="O171" s="18">
        <f t="shared" si="77"/>
        <v>711907706</v>
      </c>
      <c r="P171" s="18">
        <f t="shared" si="77"/>
        <v>721727858</v>
      </c>
      <c r="Q171" s="19">
        <f t="shared" si="77"/>
        <v>611393229.82443023</v>
      </c>
      <c r="R171" s="19">
        <f t="shared" si="77"/>
        <v>608292073.27976823</v>
      </c>
      <c r="S171" s="19">
        <f t="shared" si="77"/>
        <v>645371231.5630362</v>
      </c>
      <c r="T171" s="19">
        <f t="shared" si="77"/>
        <v>614584944.7786603</v>
      </c>
      <c r="U171" s="19">
        <f t="shared" si="77"/>
        <v>620795641.69314516</v>
      </c>
      <c r="V171" s="19">
        <f t="shared" si="77"/>
        <v>642781677.40815818</v>
      </c>
      <c r="W171" s="19">
        <f t="shared" si="77"/>
        <v>673869702.22036469</v>
      </c>
      <c r="X171" s="19">
        <f t="shared" si="77"/>
        <v>765237185.46631408</v>
      </c>
      <c r="Y171" s="19">
        <f t="shared" si="77"/>
        <v>748550657.98000979</v>
      </c>
      <c r="Z171" s="19">
        <f t="shared" si="77"/>
        <v>727128058.42781234</v>
      </c>
      <c r="AA171" s="31"/>
      <c r="AD171" s="18">
        <f t="shared" si="79"/>
        <v>408081337</v>
      </c>
      <c r="AE171" s="19">
        <f t="shared" si="80"/>
        <v>303826369</v>
      </c>
      <c r="AF171" s="19">
        <f t="shared" si="78"/>
        <v>225289537</v>
      </c>
      <c r="AG171" s="19">
        <f>O171/31</f>
        <v>22964764.709677421</v>
      </c>
      <c r="AH171" s="18">
        <f>AD171/31</f>
        <v>13163914.096774194</v>
      </c>
      <c r="AI171" s="19">
        <f t="shared" si="81"/>
        <v>9800850.6129032262</v>
      </c>
    </row>
    <row r="172" spans="1:35">
      <c r="A172" s="14" t="s">
        <v>51</v>
      </c>
      <c r="B172" s="18">
        <f t="shared" si="77"/>
        <v>65696803</v>
      </c>
      <c r="C172" s="18">
        <f t="shared" si="77"/>
        <v>188015989</v>
      </c>
      <c r="D172" s="18">
        <f t="shared" si="77"/>
        <v>149296782</v>
      </c>
      <c r="E172" s="18">
        <f t="shared" si="77"/>
        <v>314042003</v>
      </c>
      <c r="F172" s="18">
        <f t="shared" si="77"/>
        <v>229429691</v>
      </c>
      <c r="G172" s="18">
        <f t="shared" si="77"/>
        <v>285014415</v>
      </c>
      <c r="H172" s="18">
        <f t="shared" si="77"/>
        <v>438684981</v>
      </c>
      <c r="I172" s="18">
        <f t="shared" si="77"/>
        <v>351809441</v>
      </c>
      <c r="J172" s="18">
        <f t="shared" si="77"/>
        <v>346133187</v>
      </c>
      <c r="K172" s="18">
        <f t="shared" si="77"/>
        <v>354385118</v>
      </c>
      <c r="L172" s="18">
        <f t="shared" si="77"/>
        <v>448378754</v>
      </c>
      <c r="M172" s="18">
        <f t="shared" si="77"/>
        <v>407017781</v>
      </c>
      <c r="N172" s="18">
        <f t="shared" si="77"/>
        <v>529947206</v>
      </c>
      <c r="O172" s="18">
        <f t="shared" si="77"/>
        <v>688389273</v>
      </c>
      <c r="P172" s="18">
        <f t="shared" si="77"/>
        <v>746463639</v>
      </c>
      <c r="Q172" s="19">
        <f t="shared" si="77"/>
        <v>612933842.14321399</v>
      </c>
      <c r="R172" s="19">
        <f t="shared" si="77"/>
        <v>611681352.2597338</v>
      </c>
      <c r="S172" s="19">
        <f t="shared" si="77"/>
        <v>648142365.44222021</v>
      </c>
      <c r="T172" s="19">
        <f t="shared" si="77"/>
        <v>613315495.65764558</v>
      </c>
      <c r="U172" s="19">
        <f t="shared" si="77"/>
        <v>622319355.59689438</v>
      </c>
      <c r="V172" s="19">
        <f t="shared" si="77"/>
        <v>645451054.78027952</v>
      </c>
      <c r="W172" s="19">
        <f t="shared" si="77"/>
        <v>676754828.67436063</v>
      </c>
      <c r="X172" s="19">
        <f t="shared" si="77"/>
        <v>768167337.53570986</v>
      </c>
      <c r="Y172" s="19">
        <f t="shared" si="77"/>
        <v>751544036.88685107</v>
      </c>
      <c r="Z172" s="19">
        <f t="shared" si="77"/>
        <v>730288253.59678769</v>
      </c>
      <c r="AA172" s="31"/>
      <c r="AD172" s="18">
        <f t="shared" si="79"/>
        <v>417172409.19999999</v>
      </c>
      <c r="AE172" s="19">
        <f t="shared" si="80"/>
        <v>271216863.80000001</v>
      </c>
      <c r="AF172" s="19">
        <f t="shared" si="78"/>
        <v>158442067</v>
      </c>
      <c r="AG172" s="19">
        <f>O172/30</f>
        <v>22946309.100000001</v>
      </c>
      <c r="AH172" s="18">
        <f>AD172/30</f>
        <v>13905746.973333333</v>
      </c>
      <c r="AI172" s="19">
        <f t="shared" si="81"/>
        <v>9040562.1266666688</v>
      </c>
    </row>
    <row r="173" spans="1:35">
      <c r="A173" s="14" t="s">
        <v>52</v>
      </c>
      <c r="B173" s="18">
        <f t="shared" si="77"/>
        <v>63155173</v>
      </c>
      <c r="C173" s="18">
        <f t="shared" si="77"/>
        <v>188793019</v>
      </c>
      <c r="D173" s="18">
        <f t="shared" si="77"/>
        <v>152917186</v>
      </c>
      <c r="E173" s="18">
        <f t="shared" si="77"/>
        <v>321141905</v>
      </c>
      <c r="F173" s="18">
        <f t="shared" si="77"/>
        <v>241195677</v>
      </c>
      <c r="G173" s="18">
        <f t="shared" si="77"/>
        <v>304095310</v>
      </c>
      <c r="H173" s="18">
        <f t="shared" si="77"/>
        <v>399411721</v>
      </c>
      <c r="I173" s="18">
        <f t="shared" si="77"/>
        <v>377078949</v>
      </c>
      <c r="J173" s="18">
        <f t="shared" si="77"/>
        <v>353710198</v>
      </c>
      <c r="K173" s="18">
        <f t="shared" si="77"/>
        <v>397636534</v>
      </c>
      <c r="L173" s="18">
        <f t="shared" si="77"/>
        <v>355065623</v>
      </c>
      <c r="M173" s="18">
        <f t="shared" si="77"/>
        <v>457562579</v>
      </c>
      <c r="N173" s="18">
        <f t="shared" si="77"/>
        <v>506378743</v>
      </c>
      <c r="O173" s="18">
        <f t="shared" si="77"/>
        <v>742533661</v>
      </c>
      <c r="P173" s="18">
        <f t="shared" si="77"/>
        <v>777757825</v>
      </c>
      <c r="Q173" s="19">
        <f t="shared" si="77"/>
        <v>643859489.48138189</v>
      </c>
      <c r="R173" s="19">
        <f t="shared" si="77"/>
        <v>659434054.80373657</v>
      </c>
      <c r="S173" s="19">
        <f t="shared" si="77"/>
        <v>701267992.94282901</v>
      </c>
      <c r="T173" s="19">
        <f t="shared" si="77"/>
        <v>671799040.48288763</v>
      </c>
      <c r="U173" s="19">
        <f t="shared" si="77"/>
        <v>675112299.04018426</v>
      </c>
      <c r="V173" s="19">
        <f t="shared" si="77"/>
        <v>699490262.85063553</v>
      </c>
      <c r="W173" s="19">
        <f t="shared" si="77"/>
        <v>736451159.65249395</v>
      </c>
      <c r="X173" s="19">
        <f t="shared" si="77"/>
        <v>835945047.37777317</v>
      </c>
      <c r="Y173" s="19">
        <f t="shared" si="77"/>
        <v>818245557.71065414</v>
      </c>
      <c r="Z173" s="19">
        <f t="shared" si="77"/>
        <v>793882420.12528038</v>
      </c>
      <c r="AA173" s="31"/>
      <c r="AD173" s="18">
        <f t="shared" si="79"/>
        <v>414070735.39999998</v>
      </c>
      <c r="AE173" s="19">
        <f t="shared" si="80"/>
        <v>328462925.60000002</v>
      </c>
      <c r="AF173" s="19">
        <f t="shared" si="78"/>
        <v>236154918</v>
      </c>
      <c r="AG173" s="19">
        <f>O173/31</f>
        <v>23952698.741935484</v>
      </c>
      <c r="AH173" s="18">
        <f>AD173/31</f>
        <v>13357120.496774193</v>
      </c>
      <c r="AI173" s="19">
        <f t="shared" si="81"/>
        <v>10595578.245161291</v>
      </c>
    </row>
    <row r="174" spans="1:35">
      <c r="A174" s="14" t="s">
        <v>53</v>
      </c>
      <c r="B174" s="18">
        <f t="shared" si="77"/>
        <v>53362399</v>
      </c>
      <c r="C174" s="18">
        <f t="shared" si="77"/>
        <v>172019771</v>
      </c>
      <c r="D174" s="18">
        <f t="shared" si="77"/>
        <v>130208295</v>
      </c>
      <c r="E174" s="18">
        <f t="shared" si="77"/>
        <v>300332744</v>
      </c>
      <c r="F174" s="18">
        <f t="shared" si="77"/>
        <v>270600549</v>
      </c>
      <c r="G174" s="18">
        <f t="shared" ref="G174:Z174" si="82">G190+G206</f>
        <v>256762709</v>
      </c>
      <c r="H174" s="18">
        <f t="shared" si="82"/>
        <v>433543933</v>
      </c>
      <c r="I174" s="18">
        <f t="shared" si="82"/>
        <v>324934465</v>
      </c>
      <c r="J174" s="18">
        <f t="shared" si="82"/>
        <v>333438486</v>
      </c>
      <c r="K174" s="18">
        <f t="shared" si="82"/>
        <v>337171772</v>
      </c>
      <c r="L174" s="18">
        <f t="shared" si="82"/>
        <v>406135477</v>
      </c>
      <c r="M174" s="18">
        <f t="shared" si="82"/>
        <v>481539488</v>
      </c>
      <c r="N174" s="18">
        <f t="shared" si="82"/>
        <v>612422747</v>
      </c>
      <c r="O174" s="18">
        <f t="shared" si="82"/>
        <v>689581865</v>
      </c>
      <c r="P174" s="18">
        <f t="shared" si="82"/>
        <v>738709221</v>
      </c>
      <c r="Q174" s="19">
        <f t="shared" si="82"/>
        <v>664286753.487306</v>
      </c>
      <c r="R174" s="19">
        <f t="shared" si="82"/>
        <v>729377002.68645394</v>
      </c>
      <c r="S174" s="19">
        <f t="shared" si="82"/>
        <v>779912535.1477313</v>
      </c>
      <c r="T174" s="19">
        <f t="shared" si="82"/>
        <v>748912868.06100678</v>
      </c>
      <c r="U174" s="19">
        <f t="shared" si="82"/>
        <v>753862520.62737489</v>
      </c>
      <c r="V174" s="19">
        <f t="shared" si="82"/>
        <v>786525897.71422303</v>
      </c>
      <c r="W174" s="19">
        <f t="shared" si="82"/>
        <v>831020085.1876502</v>
      </c>
      <c r="X174" s="19">
        <f t="shared" si="82"/>
        <v>950527351.53943801</v>
      </c>
      <c r="Y174" s="19">
        <f t="shared" si="82"/>
        <v>932540265.48578298</v>
      </c>
      <c r="Z174" s="19">
        <f t="shared" si="82"/>
        <v>905204998.65040982</v>
      </c>
      <c r="AA174" s="31"/>
      <c r="AD174" s="18">
        <f t="shared" si="79"/>
        <v>434141594</v>
      </c>
      <c r="AE174" s="19">
        <f t="shared" si="80"/>
        <v>255440271</v>
      </c>
      <c r="AF174" s="19">
        <f t="shared" si="78"/>
        <v>77159118</v>
      </c>
      <c r="AG174" s="19">
        <f>O174/30</f>
        <v>22986062.166666668</v>
      </c>
      <c r="AH174" s="18">
        <f>AD174/30</f>
        <v>14471386.466666667</v>
      </c>
      <c r="AI174" s="19">
        <f t="shared" si="81"/>
        <v>8514675.7000000011</v>
      </c>
    </row>
    <row r="175" spans="1:35">
      <c r="A175" s="14" t="s">
        <v>54</v>
      </c>
      <c r="B175" s="18">
        <f t="shared" ref="B175:Z175" si="83">B191+B207</f>
        <v>56724229</v>
      </c>
      <c r="C175" s="18">
        <f t="shared" si="83"/>
        <v>252560811</v>
      </c>
      <c r="D175" s="18">
        <f t="shared" si="83"/>
        <v>102354801</v>
      </c>
      <c r="E175" s="18">
        <f t="shared" si="83"/>
        <v>384627133</v>
      </c>
      <c r="F175" s="18">
        <f t="shared" si="83"/>
        <v>367733927</v>
      </c>
      <c r="G175" s="18">
        <f t="shared" si="83"/>
        <v>293384415</v>
      </c>
      <c r="H175" s="18">
        <f t="shared" si="83"/>
        <v>564483616</v>
      </c>
      <c r="I175" s="18">
        <f t="shared" si="83"/>
        <v>387107548</v>
      </c>
      <c r="J175" s="18">
        <f t="shared" si="83"/>
        <v>460692759</v>
      </c>
      <c r="K175" s="18">
        <f t="shared" si="83"/>
        <v>404303782</v>
      </c>
      <c r="L175" s="18">
        <f t="shared" si="83"/>
        <v>471956207</v>
      </c>
      <c r="M175" s="18">
        <f t="shared" si="83"/>
        <v>610408850</v>
      </c>
      <c r="N175" s="18">
        <f t="shared" si="83"/>
        <v>616047655</v>
      </c>
      <c r="O175" s="18">
        <f t="shared" si="83"/>
        <v>850246676</v>
      </c>
      <c r="P175" s="18">
        <f t="shared" si="83"/>
        <v>901179092</v>
      </c>
      <c r="Q175" s="19">
        <f t="shared" si="83"/>
        <v>1135533463.3856215</v>
      </c>
      <c r="R175" s="19">
        <f t="shared" si="83"/>
        <v>866705593.78071117</v>
      </c>
      <c r="S175" s="19">
        <f t="shared" si="83"/>
        <v>946272060.55603015</v>
      </c>
      <c r="T175" s="19">
        <f t="shared" si="83"/>
        <v>917625195.46517217</v>
      </c>
      <c r="U175" s="19">
        <f t="shared" si="83"/>
        <v>951564991.782359</v>
      </c>
      <c r="V175" s="19">
        <f t="shared" si="83"/>
        <v>1007966152.0315292</v>
      </c>
      <c r="W175" s="19">
        <f t="shared" si="83"/>
        <v>1015856030.2337931</v>
      </c>
      <c r="X175" s="19">
        <f t="shared" si="83"/>
        <v>1157736339.4485941</v>
      </c>
      <c r="Y175" s="19">
        <f t="shared" si="83"/>
        <v>1107454038.5336797</v>
      </c>
      <c r="Z175" s="19">
        <f t="shared" si="83"/>
        <v>1090545202.4904737</v>
      </c>
      <c r="AA175" s="31"/>
      <c r="AD175" s="18">
        <f t="shared" si="79"/>
        <v>512681850.60000002</v>
      </c>
      <c r="AE175" s="19">
        <f t="shared" si="80"/>
        <v>337564825.39999998</v>
      </c>
      <c r="AF175" s="19">
        <f t="shared" si="78"/>
        <v>234199021</v>
      </c>
      <c r="AG175" s="19">
        <f>O175/31</f>
        <v>27427312.129032258</v>
      </c>
      <c r="AH175" s="18">
        <f>AD175/31</f>
        <v>16538124.212903226</v>
      </c>
      <c r="AI175" s="19">
        <f t="shared" si="81"/>
        <v>10889187.916129032</v>
      </c>
    </row>
    <row r="176" spans="1:35">
      <c r="A176" s="14" t="s">
        <v>29</v>
      </c>
      <c r="B176" s="18">
        <f t="shared" ref="B176:Z176" si="84">SUM(B164:B175)</f>
        <v>354827372</v>
      </c>
      <c r="C176" s="18">
        <f t="shared" si="84"/>
        <v>1725077543</v>
      </c>
      <c r="D176" s="18">
        <f t="shared" si="84"/>
        <v>1758985389</v>
      </c>
      <c r="E176" s="18">
        <f t="shared" si="84"/>
        <v>3062172363</v>
      </c>
      <c r="F176" s="18">
        <f t="shared" si="84"/>
        <v>3061744085</v>
      </c>
      <c r="G176" s="18">
        <f t="shared" si="84"/>
        <v>3256847061</v>
      </c>
      <c r="H176" s="18">
        <f t="shared" si="84"/>
        <v>4465938936</v>
      </c>
      <c r="I176" s="18">
        <f t="shared" si="84"/>
        <v>4099908378</v>
      </c>
      <c r="J176" s="18">
        <f t="shared" si="84"/>
        <v>4091991475</v>
      </c>
      <c r="K176" s="18">
        <f t="shared" si="84"/>
        <v>4398838208</v>
      </c>
      <c r="L176" s="18">
        <f t="shared" si="84"/>
        <v>4698530231</v>
      </c>
      <c r="M176" s="18">
        <f t="shared" si="84"/>
        <v>5105702511</v>
      </c>
      <c r="N176" s="18">
        <f t="shared" si="84"/>
        <v>6017841782</v>
      </c>
      <c r="O176" s="18">
        <f t="shared" si="84"/>
        <v>8164300236</v>
      </c>
      <c r="P176" s="18">
        <f t="shared" si="84"/>
        <v>9117198306</v>
      </c>
      <c r="Q176" s="19">
        <f t="shared" si="84"/>
        <v>7591954455.1481571</v>
      </c>
      <c r="R176" s="19">
        <f t="shared" si="84"/>
        <v>7512306657.8916798</v>
      </c>
      <c r="S176" s="19">
        <f t="shared" si="84"/>
        <v>7976719363.4219589</v>
      </c>
      <c r="T176" s="19">
        <f t="shared" si="84"/>
        <v>7620364295.9944258</v>
      </c>
      <c r="U176" s="19">
        <f t="shared" si="84"/>
        <v>7722320264.3274336</v>
      </c>
      <c r="V176" s="19">
        <f t="shared" si="84"/>
        <v>7962029808.1916857</v>
      </c>
      <c r="W176" s="19">
        <f t="shared" si="84"/>
        <v>8369616336.7506561</v>
      </c>
      <c r="X176" s="19">
        <f t="shared" si="84"/>
        <v>9491178882.1166801</v>
      </c>
      <c r="Y176" s="19">
        <f t="shared" si="84"/>
        <v>9289874789.3984642</v>
      </c>
      <c r="Z176" s="19">
        <f t="shared" si="84"/>
        <v>9018714566.4940338</v>
      </c>
      <c r="AD176" s="18">
        <f t="shared" si="79"/>
        <v>4862580841.3999996</v>
      </c>
      <c r="AE176" s="19">
        <f t="shared" si="80"/>
        <v>3301719394.6000004</v>
      </c>
    </row>
    <row r="178" spans="1:35" ht="15.75">
      <c r="A178" s="15" t="s">
        <v>66</v>
      </c>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B178" s="16"/>
      <c r="AC178" s="16"/>
      <c r="AD178" s="16"/>
      <c r="AE178" s="16"/>
      <c r="AF178" s="16"/>
      <c r="AG178" s="16"/>
      <c r="AH178" s="16"/>
      <c r="AI178" s="16"/>
    </row>
    <row r="179" spans="1:35">
      <c r="B179" s="14">
        <f t="shared" ref="B179:Z179" si="85">B131</f>
        <v>2010</v>
      </c>
      <c r="C179" s="14">
        <f t="shared" si="85"/>
        <v>2011</v>
      </c>
      <c r="D179" s="14">
        <f t="shared" si="85"/>
        <v>2012</v>
      </c>
      <c r="E179" s="14">
        <f t="shared" si="85"/>
        <v>2013</v>
      </c>
      <c r="F179" s="14">
        <f t="shared" si="85"/>
        <v>2014</v>
      </c>
      <c r="G179" s="14">
        <f t="shared" si="85"/>
        <v>2015</v>
      </c>
      <c r="H179" s="14">
        <f t="shared" si="85"/>
        <v>2016</v>
      </c>
      <c r="I179" s="14">
        <f t="shared" si="85"/>
        <v>2017</v>
      </c>
      <c r="J179" s="14">
        <f t="shared" si="85"/>
        <v>2018</v>
      </c>
      <c r="K179" s="14">
        <f t="shared" si="85"/>
        <v>2019</v>
      </c>
      <c r="L179" s="14">
        <f t="shared" si="85"/>
        <v>2020</v>
      </c>
      <c r="M179" s="14">
        <f t="shared" si="85"/>
        <v>2021</v>
      </c>
      <c r="N179" s="14">
        <f t="shared" si="85"/>
        <v>2022</v>
      </c>
      <c r="O179" s="14">
        <f t="shared" si="85"/>
        <v>2023</v>
      </c>
      <c r="P179" s="14">
        <f t="shared" si="85"/>
        <v>2024</v>
      </c>
      <c r="Q179" s="14">
        <f t="shared" si="85"/>
        <v>2025</v>
      </c>
      <c r="R179" s="14">
        <f t="shared" si="85"/>
        <v>2026</v>
      </c>
      <c r="S179" s="14">
        <f t="shared" si="85"/>
        <v>2027</v>
      </c>
      <c r="T179" s="14">
        <f t="shared" si="85"/>
        <v>2028</v>
      </c>
      <c r="U179" s="14">
        <f t="shared" si="85"/>
        <v>2029</v>
      </c>
      <c r="V179" s="14">
        <f t="shared" si="85"/>
        <v>2030</v>
      </c>
      <c r="W179" s="14">
        <f t="shared" si="85"/>
        <v>2031</v>
      </c>
      <c r="X179" s="14">
        <f t="shared" si="85"/>
        <v>2032</v>
      </c>
      <c r="Y179" s="14">
        <f t="shared" si="85"/>
        <v>2033</v>
      </c>
      <c r="Z179" s="14">
        <f t="shared" si="85"/>
        <v>2034</v>
      </c>
      <c r="AC179" s="32" t="s">
        <v>67</v>
      </c>
      <c r="AD179" s="14" t="s">
        <v>37</v>
      </c>
      <c r="AE179" s="14" t="s">
        <v>38</v>
      </c>
      <c r="AF179" s="14" t="s">
        <v>39</v>
      </c>
      <c r="AG179" s="14" t="s">
        <v>40</v>
      </c>
      <c r="AH179" s="14" t="s">
        <v>41</v>
      </c>
      <c r="AI179" s="14" t="s">
        <v>42</v>
      </c>
    </row>
    <row r="180" spans="1:35">
      <c r="A180" s="14" t="s">
        <v>43</v>
      </c>
      <c r="B180" s="18">
        <f t="shared" ref="B180:Z190" si="86">B100+B20</f>
        <v>0</v>
      </c>
      <c r="C180" s="18">
        <f t="shared" si="86"/>
        <v>56828200</v>
      </c>
      <c r="D180" s="18">
        <f t="shared" si="86"/>
        <v>97340233</v>
      </c>
      <c r="E180" s="18">
        <f t="shared" si="86"/>
        <v>108859685</v>
      </c>
      <c r="F180" s="18">
        <f t="shared" si="86"/>
        <v>102540448</v>
      </c>
      <c r="G180" s="18">
        <f t="shared" si="86"/>
        <v>113547311</v>
      </c>
      <c r="H180" s="18">
        <f t="shared" si="86"/>
        <v>148347873</v>
      </c>
      <c r="I180" s="18">
        <f t="shared" si="86"/>
        <v>130458212</v>
      </c>
      <c r="J180" s="18">
        <f t="shared" si="86"/>
        <v>189003028</v>
      </c>
      <c r="K180" s="18">
        <f t="shared" si="86"/>
        <v>223550327</v>
      </c>
      <c r="L180" s="18">
        <f t="shared" si="86"/>
        <v>248765808</v>
      </c>
      <c r="M180" s="18">
        <f t="shared" si="86"/>
        <v>246592718</v>
      </c>
      <c r="N180" s="18">
        <f t="shared" si="86"/>
        <v>283991605</v>
      </c>
      <c r="O180" s="18">
        <f t="shared" si="86"/>
        <v>428453587</v>
      </c>
      <c r="P180" s="18">
        <f t="shared" si="86"/>
        <v>569229386</v>
      </c>
      <c r="Q180" s="19">
        <f t="shared" si="86"/>
        <v>464372388</v>
      </c>
      <c r="R180" s="19">
        <f t="shared" si="86"/>
        <v>442025531.0841403</v>
      </c>
      <c r="S180" s="19">
        <f t="shared" si="86"/>
        <v>460090751.08328426</v>
      </c>
      <c r="T180" s="18">
        <f t="shared" si="86"/>
        <v>441300034.66745687</v>
      </c>
      <c r="U180" s="18">
        <f t="shared" si="86"/>
        <v>444680470.21434832</v>
      </c>
      <c r="V180" s="18">
        <f t="shared" si="86"/>
        <v>455748709.76212204</v>
      </c>
      <c r="W180" s="18">
        <f t="shared" si="86"/>
        <v>491854725.25412655</v>
      </c>
      <c r="X180" s="18">
        <f t="shared" si="86"/>
        <v>565422429.66649008</v>
      </c>
      <c r="Y180" s="18">
        <f t="shared" si="86"/>
        <v>584529252.46616173</v>
      </c>
      <c r="Z180" s="18">
        <f t="shared" si="86"/>
        <v>554332079.04875195</v>
      </c>
      <c r="AB180" s="14" t="s">
        <v>68</v>
      </c>
      <c r="AC180" s="18">
        <f t="shared" ref="AC180:AC191" si="87">AVERAGE(J180:N180)</f>
        <v>238380697.19999999</v>
      </c>
      <c r="AD180" s="18">
        <f>AVERAGE(J180:N180)</f>
        <v>238380697.19999999</v>
      </c>
      <c r="AE180" s="18">
        <f>O180-AD180</f>
        <v>190072889.80000001</v>
      </c>
      <c r="AF180" s="18">
        <f t="shared" ref="AF180:AF191" si="88">O180-N180</f>
        <v>144461982</v>
      </c>
      <c r="AG180" s="18">
        <f>O180/31</f>
        <v>13821083.451612903</v>
      </c>
      <c r="AH180" s="18">
        <f>AD180/31</f>
        <v>7689699.9096774189</v>
      </c>
      <c r="AI180" s="18">
        <f>AG180-AH180</f>
        <v>6131383.5419354839</v>
      </c>
    </row>
    <row r="181" spans="1:35">
      <c r="A181" s="14" t="s">
        <v>44</v>
      </c>
      <c r="B181" s="18">
        <f t="shared" si="86"/>
        <v>0</v>
      </c>
      <c r="C181" s="18">
        <f t="shared" si="86"/>
        <v>64196799</v>
      </c>
      <c r="D181" s="18">
        <f t="shared" si="86"/>
        <v>114673806</v>
      </c>
      <c r="E181" s="18">
        <f t="shared" si="86"/>
        <v>113918283</v>
      </c>
      <c r="F181" s="18">
        <f t="shared" si="86"/>
        <v>125599964</v>
      </c>
      <c r="G181" s="18">
        <f t="shared" si="86"/>
        <v>117154232</v>
      </c>
      <c r="H181" s="18">
        <f t="shared" si="86"/>
        <v>163108133</v>
      </c>
      <c r="I181" s="18">
        <f t="shared" si="86"/>
        <v>153488265</v>
      </c>
      <c r="J181" s="18">
        <f t="shared" si="86"/>
        <v>210034728</v>
      </c>
      <c r="K181" s="18">
        <f t="shared" si="86"/>
        <v>244293134</v>
      </c>
      <c r="L181" s="18">
        <f t="shared" si="86"/>
        <v>255463052</v>
      </c>
      <c r="M181" s="18">
        <f t="shared" si="86"/>
        <v>251822229</v>
      </c>
      <c r="N181" s="18">
        <f t="shared" si="86"/>
        <v>338003164</v>
      </c>
      <c r="O181" s="18">
        <f t="shared" si="86"/>
        <v>409172910</v>
      </c>
      <c r="P181" s="18">
        <f t="shared" si="86"/>
        <v>576249892</v>
      </c>
      <c r="Q181" s="19">
        <f t="shared" si="86"/>
        <v>423356370</v>
      </c>
      <c r="R181" s="19">
        <f t="shared" si="86"/>
        <v>477553985.24942899</v>
      </c>
      <c r="S181" s="19">
        <f t="shared" si="86"/>
        <v>499682588.90668756</v>
      </c>
      <c r="T181" s="18">
        <f t="shared" si="86"/>
        <v>475895526.81594545</v>
      </c>
      <c r="U181" s="18">
        <f t="shared" si="86"/>
        <v>485475651.74424815</v>
      </c>
      <c r="V181" s="18">
        <f t="shared" si="86"/>
        <v>498586597.4601239</v>
      </c>
      <c r="W181" s="18">
        <f t="shared" si="86"/>
        <v>537108236.96541905</v>
      </c>
      <c r="X181" s="18">
        <f t="shared" si="86"/>
        <v>618035209.3159138</v>
      </c>
      <c r="Y181" s="18">
        <f t="shared" si="86"/>
        <v>606163214.28982508</v>
      </c>
      <c r="Z181" s="18">
        <f t="shared" si="86"/>
        <v>588553583.39043665</v>
      </c>
      <c r="AB181" s="14" t="s">
        <v>69</v>
      </c>
      <c r="AC181" s="18">
        <f t="shared" si="87"/>
        <v>259923261.40000001</v>
      </c>
      <c r="AD181" s="18">
        <f t="shared" ref="AD181:AD192" si="89">AVERAGE(J181:N181)</f>
        <v>259923261.40000001</v>
      </c>
      <c r="AE181" s="18">
        <f t="shared" ref="AE181:AE192" si="90">O181-AD181</f>
        <v>149249648.59999999</v>
      </c>
      <c r="AF181" s="18">
        <f t="shared" si="88"/>
        <v>71169746</v>
      </c>
      <c r="AG181" s="18">
        <f>O181/28</f>
        <v>14613318.214285715</v>
      </c>
      <c r="AH181" s="18">
        <f>AD181/28</f>
        <v>9282973.6214285716</v>
      </c>
      <c r="AI181" s="18">
        <f t="shared" ref="AI181:AI191" si="91">AG181-AH181</f>
        <v>5330344.5928571429</v>
      </c>
    </row>
    <row r="182" spans="1:35">
      <c r="A182" s="14" t="s">
        <v>45</v>
      </c>
      <c r="B182" s="18">
        <f t="shared" si="86"/>
        <v>0</v>
      </c>
      <c r="C182" s="18">
        <f t="shared" si="86"/>
        <v>100508909</v>
      </c>
      <c r="D182" s="18">
        <f t="shared" si="86"/>
        <v>151682423</v>
      </c>
      <c r="E182" s="18">
        <f t="shared" si="86"/>
        <v>154660929</v>
      </c>
      <c r="F182" s="18">
        <f t="shared" si="86"/>
        <v>161524231</v>
      </c>
      <c r="G182" s="18">
        <f t="shared" si="86"/>
        <v>165886739</v>
      </c>
      <c r="H182" s="18">
        <f t="shared" si="86"/>
        <v>220609356</v>
      </c>
      <c r="I182" s="18">
        <f t="shared" si="86"/>
        <v>194200261</v>
      </c>
      <c r="J182" s="18">
        <f t="shared" si="86"/>
        <v>260410275</v>
      </c>
      <c r="K182" s="18">
        <f t="shared" si="86"/>
        <v>282249509</v>
      </c>
      <c r="L182" s="18">
        <f t="shared" si="86"/>
        <v>302016607</v>
      </c>
      <c r="M182" s="18">
        <f t="shared" si="86"/>
        <v>326185544</v>
      </c>
      <c r="N182" s="18">
        <f t="shared" si="86"/>
        <v>390874130</v>
      </c>
      <c r="O182" s="18">
        <f t="shared" si="86"/>
        <v>505835861</v>
      </c>
      <c r="P182" s="18">
        <f t="shared" si="86"/>
        <v>562942496</v>
      </c>
      <c r="Q182" s="19">
        <f t="shared" si="86"/>
        <v>530079667</v>
      </c>
      <c r="R182" s="19">
        <f t="shared" si="86"/>
        <v>513810375.64678371</v>
      </c>
      <c r="S182" s="19">
        <f t="shared" si="86"/>
        <v>546480640.45736885</v>
      </c>
      <c r="T182" s="18">
        <f t="shared" si="86"/>
        <v>517981144.34617895</v>
      </c>
      <c r="U182" s="18">
        <f t="shared" si="86"/>
        <v>522522646.5813278</v>
      </c>
      <c r="V182" s="18">
        <f t="shared" si="86"/>
        <v>538842952.68591678</v>
      </c>
      <c r="W182" s="18">
        <f t="shared" si="86"/>
        <v>577051671.1474241</v>
      </c>
      <c r="X182" s="18">
        <f t="shared" si="86"/>
        <v>664002705.64630997</v>
      </c>
      <c r="Y182" s="18">
        <f t="shared" si="86"/>
        <v>650405740.5309335</v>
      </c>
      <c r="Z182" s="18">
        <f t="shared" si="86"/>
        <v>631681126.81760955</v>
      </c>
      <c r="AB182" s="14" t="s">
        <v>70</v>
      </c>
      <c r="AC182" s="18">
        <f t="shared" si="87"/>
        <v>312347213</v>
      </c>
      <c r="AD182" s="18">
        <f t="shared" si="89"/>
        <v>312347213</v>
      </c>
      <c r="AE182" s="18">
        <f t="shared" si="90"/>
        <v>193488648</v>
      </c>
      <c r="AF182" s="18">
        <f t="shared" si="88"/>
        <v>114961731</v>
      </c>
      <c r="AG182" s="18">
        <f>O182/31</f>
        <v>16317285.838709677</v>
      </c>
      <c r="AH182" s="18">
        <f>AD182/31</f>
        <v>10075716.548387097</v>
      </c>
      <c r="AI182" s="18">
        <f t="shared" si="91"/>
        <v>6241569.2903225794</v>
      </c>
    </row>
    <row r="183" spans="1:35">
      <c r="A183" s="14" t="s">
        <v>46</v>
      </c>
      <c r="B183" s="18">
        <f t="shared" si="86"/>
        <v>0</v>
      </c>
      <c r="C183" s="18">
        <f t="shared" si="86"/>
        <v>108737756</v>
      </c>
      <c r="D183" s="18">
        <f t="shared" si="86"/>
        <v>144700004</v>
      </c>
      <c r="E183" s="18">
        <f t="shared" si="86"/>
        <v>169344637</v>
      </c>
      <c r="F183" s="18">
        <f t="shared" si="86"/>
        <v>178242474</v>
      </c>
      <c r="G183" s="18">
        <f t="shared" si="86"/>
        <v>186441809</v>
      </c>
      <c r="H183" s="18">
        <f t="shared" si="86"/>
        <v>225532924</v>
      </c>
      <c r="I183" s="18">
        <f t="shared" si="86"/>
        <v>221174243</v>
      </c>
      <c r="J183" s="18">
        <f t="shared" si="86"/>
        <v>260736264</v>
      </c>
      <c r="K183" s="18">
        <f t="shared" si="86"/>
        <v>306883839</v>
      </c>
      <c r="L183" s="18">
        <f t="shared" si="86"/>
        <v>289667697</v>
      </c>
      <c r="M183" s="18">
        <f t="shared" si="86"/>
        <v>302676423</v>
      </c>
      <c r="N183" s="18">
        <f t="shared" si="86"/>
        <v>397448881</v>
      </c>
      <c r="O183" s="18">
        <f t="shared" si="86"/>
        <v>493851253</v>
      </c>
      <c r="P183" s="18">
        <f t="shared" si="86"/>
        <v>680227701</v>
      </c>
      <c r="Q183" s="19">
        <f t="shared" si="86"/>
        <v>540386670.01553357</v>
      </c>
      <c r="R183" s="19">
        <f t="shared" si="86"/>
        <v>512050306.9041521</v>
      </c>
      <c r="S183" s="19">
        <f t="shared" si="86"/>
        <v>546843029.82452655</v>
      </c>
      <c r="T183" s="18">
        <f t="shared" si="86"/>
        <v>514222551.8164686</v>
      </c>
      <c r="U183" s="18">
        <f t="shared" si="86"/>
        <v>529379670.68150735</v>
      </c>
      <c r="V183" s="18">
        <f t="shared" si="86"/>
        <v>549185382.96186244</v>
      </c>
      <c r="W183" s="18">
        <f t="shared" si="86"/>
        <v>580561218.95060313</v>
      </c>
      <c r="X183" s="18">
        <f t="shared" si="86"/>
        <v>667317789.40400124</v>
      </c>
      <c r="Y183" s="18">
        <f t="shared" si="86"/>
        <v>653271380.83669746</v>
      </c>
      <c r="Z183" s="18">
        <f t="shared" si="86"/>
        <v>634969151.2349695</v>
      </c>
      <c r="AB183" s="14" t="s">
        <v>71</v>
      </c>
      <c r="AC183" s="18">
        <f t="shared" si="87"/>
        <v>311482620.80000001</v>
      </c>
      <c r="AD183" s="18">
        <f t="shared" si="89"/>
        <v>311482620.80000001</v>
      </c>
      <c r="AE183" s="18">
        <f t="shared" si="90"/>
        <v>182368632.19999999</v>
      </c>
      <c r="AF183" s="18">
        <f t="shared" si="88"/>
        <v>96402372</v>
      </c>
      <c r="AG183" s="18">
        <f>O183/30</f>
        <v>16461708.433333334</v>
      </c>
      <c r="AH183" s="18">
        <f>AD183/30</f>
        <v>10382754.026666667</v>
      </c>
      <c r="AI183" s="18">
        <f t="shared" si="91"/>
        <v>6078954.4066666663</v>
      </c>
    </row>
    <row r="184" spans="1:35">
      <c r="A184" s="14" t="s">
        <v>47</v>
      </c>
      <c r="B184" s="18">
        <f t="shared" si="86"/>
        <v>0</v>
      </c>
      <c r="C184" s="18">
        <f t="shared" si="86"/>
        <v>129117999</v>
      </c>
      <c r="D184" s="18">
        <f t="shared" si="86"/>
        <v>167463867</v>
      </c>
      <c r="E184" s="18">
        <f t="shared" si="86"/>
        <v>183151973</v>
      </c>
      <c r="F184" s="18">
        <f t="shared" si="86"/>
        <v>193042899</v>
      </c>
      <c r="G184" s="18">
        <f t="shared" si="86"/>
        <v>208999926</v>
      </c>
      <c r="H184" s="18">
        <f t="shared" si="86"/>
        <v>240219149</v>
      </c>
      <c r="I184" s="18">
        <f t="shared" si="86"/>
        <v>262081597</v>
      </c>
      <c r="J184" s="18">
        <f t="shared" si="86"/>
        <v>285920908</v>
      </c>
      <c r="K184" s="18">
        <f t="shared" si="86"/>
        <v>314718213</v>
      </c>
      <c r="L184" s="18">
        <f t="shared" si="86"/>
        <v>293680504</v>
      </c>
      <c r="M184" s="18">
        <f t="shared" si="86"/>
        <v>327843670</v>
      </c>
      <c r="N184" s="18">
        <f t="shared" si="86"/>
        <v>441144077</v>
      </c>
      <c r="O184" s="18">
        <f t="shared" si="86"/>
        <v>629703049</v>
      </c>
      <c r="P184" s="18">
        <f t="shared" si="86"/>
        <v>589714046</v>
      </c>
      <c r="Q184" s="19">
        <f t="shared" si="86"/>
        <v>544351603.23992181</v>
      </c>
      <c r="R184" s="19">
        <f t="shared" si="86"/>
        <v>562565564.4406054</v>
      </c>
      <c r="S184" s="19">
        <f t="shared" si="86"/>
        <v>602878604.61614883</v>
      </c>
      <c r="T184" s="18">
        <f t="shared" si="86"/>
        <v>570532460.84665012</v>
      </c>
      <c r="U184" s="18">
        <f t="shared" si="86"/>
        <v>582276145.73378313</v>
      </c>
      <c r="V184" s="18">
        <f t="shared" si="86"/>
        <v>604673881.17960763</v>
      </c>
      <c r="W184" s="18">
        <f t="shared" si="86"/>
        <v>640557464.92727518</v>
      </c>
      <c r="X184" s="18">
        <f t="shared" si="86"/>
        <v>737235917.58088911</v>
      </c>
      <c r="Y184" s="18">
        <f t="shared" si="86"/>
        <v>722124684.98524427</v>
      </c>
      <c r="Z184" s="18">
        <f t="shared" si="86"/>
        <v>701290732.62796831</v>
      </c>
      <c r="AB184" s="14" t="s">
        <v>47</v>
      </c>
      <c r="AC184" s="18">
        <f t="shared" si="87"/>
        <v>332661474.39999998</v>
      </c>
      <c r="AD184" s="18">
        <f t="shared" si="89"/>
        <v>332661474.39999998</v>
      </c>
      <c r="AE184" s="18">
        <f t="shared" si="90"/>
        <v>297041574.60000002</v>
      </c>
      <c r="AF184" s="18">
        <f t="shared" si="88"/>
        <v>188558972</v>
      </c>
      <c r="AG184" s="18">
        <f>O184/31</f>
        <v>20313001.580645163</v>
      </c>
      <c r="AH184" s="18">
        <f>AD184/31</f>
        <v>10731015.303225806</v>
      </c>
      <c r="AI184" s="18">
        <f t="shared" si="91"/>
        <v>9581986.2774193566</v>
      </c>
    </row>
    <row r="185" spans="1:35">
      <c r="A185" s="14" t="s">
        <v>48</v>
      </c>
      <c r="B185" s="18">
        <f t="shared" si="86"/>
        <v>0</v>
      </c>
      <c r="C185" s="18">
        <f t="shared" si="86"/>
        <v>124874846</v>
      </c>
      <c r="D185" s="18">
        <f t="shared" si="86"/>
        <v>165933251</v>
      </c>
      <c r="E185" s="18">
        <f t="shared" si="86"/>
        <v>188528567</v>
      </c>
      <c r="F185" s="18">
        <f t="shared" si="86"/>
        <v>197064837</v>
      </c>
      <c r="G185" s="18">
        <f t="shared" si="86"/>
        <v>220845827</v>
      </c>
      <c r="H185" s="18">
        <f t="shared" si="86"/>
        <v>252261739</v>
      </c>
      <c r="I185" s="18">
        <f t="shared" si="86"/>
        <v>247689862</v>
      </c>
      <c r="J185" s="18">
        <f t="shared" si="86"/>
        <v>261878479</v>
      </c>
      <c r="K185" s="18">
        <f t="shared" si="86"/>
        <v>283749922</v>
      </c>
      <c r="L185" s="18">
        <f t="shared" si="86"/>
        <v>338725519</v>
      </c>
      <c r="M185" s="18">
        <f t="shared" si="86"/>
        <v>348750369</v>
      </c>
      <c r="N185" s="18">
        <f t="shared" si="86"/>
        <v>411872931</v>
      </c>
      <c r="O185" s="18">
        <f t="shared" si="86"/>
        <v>569592790</v>
      </c>
      <c r="P185" s="18">
        <f t="shared" si="86"/>
        <v>678892730</v>
      </c>
      <c r="Q185" s="19">
        <f t="shared" si="86"/>
        <v>542358079.24614906</v>
      </c>
      <c r="R185" s="19">
        <f t="shared" si="86"/>
        <v>558999683.76159716</v>
      </c>
      <c r="S185" s="19">
        <f t="shared" si="86"/>
        <v>597391989.70697117</v>
      </c>
      <c r="T185" s="18">
        <f t="shared" si="86"/>
        <v>566928422.81972218</v>
      </c>
      <c r="U185" s="18">
        <f t="shared" si="86"/>
        <v>574615927.44447625</v>
      </c>
      <c r="V185" s="18">
        <f t="shared" si="86"/>
        <v>598424614.55037737</v>
      </c>
      <c r="W185" s="18">
        <f t="shared" si="86"/>
        <v>632850505.30837345</v>
      </c>
      <c r="X185" s="18">
        <f t="shared" si="86"/>
        <v>728310571.50351906</v>
      </c>
      <c r="Y185" s="18">
        <f t="shared" si="86"/>
        <v>713516286.39585948</v>
      </c>
      <c r="Z185" s="18">
        <f t="shared" si="86"/>
        <v>693202833.86796749</v>
      </c>
      <c r="AB185" s="14" t="s">
        <v>72</v>
      </c>
      <c r="AC185" s="18">
        <f t="shared" si="87"/>
        <v>328995444</v>
      </c>
      <c r="AD185" s="23">
        <f t="shared" si="89"/>
        <v>328995444</v>
      </c>
      <c r="AE185" s="23">
        <f t="shared" si="90"/>
        <v>240597346</v>
      </c>
      <c r="AF185" s="23">
        <f t="shared" si="88"/>
        <v>157719859</v>
      </c>
      <c r="AG185" s="23">
        <f>O185/30</f>
        <v>18986426.333333332</v>
      </c>
      <c r="AH185" s="23">
        <f>AD185/30</f>
        <v>10966514.800000001</v>
      </c>
      <c r="AI185" s="23">
        <f t="shared" si="91"/>
        <v>8019911.5333333313</v>
      </c>
    </row>
    <row r="186" spans="1:35">
      <c r="A186" s="14" t="s">
        <v>49</v>
      </c>
      <c r="B186" s="18">
        <f t="shared" si="86"/>
        <v>60578518</v>
      </c>
      <c r="C186" s="18">
        <f t="shared" si="86"/>
        <v>141367453</v>
      </c>
      <c r="D186" s="18">
        <f t="shared" si="86"/>
        <v>156538323</v>
      </c>
      <c r="E186" s="18">
        <f t="shared" si="86"/>
        <v>218341161</v>
      </c>
      <c r="F186" s="18">
        <f t="shared" si="86"/>
        <v>216128675</v>
      </c>
      <c r="G186" s="18">
        <f t="shared" si="86"/>
        <v>220100593</v>
      </c>
      <c r="H186" s="18">
        <f t="shared" si="86"/>
        <v>240131540</v>
      </c>
      <c r="I186" s="18">
        <f t="shared" si="86"/>
        <v>258846545</v>
      </c>
      <c r="J186" s="18">
        <f t="shared" si="86"/>
        <v>272614341</v>
      </c>
      <c r="K186" s="18">
        <f t="shared" si="86"/>
        <v>332862452</v>
      </c>
      <c r="L186" s="18">
        <f t="shared" si="86"/>
        <v>323429899</v>
      </c>
      <c r="M186" s="18">
        <f t="shared" si="86"/>
        <v>338446012</v>
      </c>
      <c r="N186" s="18">
        <f t="shared" si="86"/>
        <v>391543200</v>
      </c>
      <c r="O186" s="18">
        <f t="shared" si="86"/>
        <v>520607962</v>
      </c>
      <c r="P186" s="18">
        <f t="shared" si="86"/>
        <v>710198992</v>
      </c>
      <c r="Q186" s="19">
        <f t="shared" si="86"/>
        <v>532444963.13813061</v>
      </c>
      <c r="R186" s="19">
        <f t="shared" si="86"/>
        <v>546470056.61130357</v>
      </c>
      <c r="S186" s="19">
        <f t="shared" si="86"/>
        <v>584295110.03492188</v>
      </c>
      <c r="T186" s="18">
        <f t="shared" si="86"/>
        <v>554178136.33590877</v>
      </c>
      <c r="U186" s="18">
        <f t="shared" si="86"/>
        <v>567642879.4648006</v>
      </c>
      <c r="V186" s="18">
        <f t="shared" si="86"/>
        <v>587881580.81976891</v>
      </c>
      <c r="W186" s="18">
        <f t="shared" si="86"/>
        <v>621918170.07066739</v>
      </c>
      <c r="X186" s="18">
        <f t="shared" si="86"/>
        <v>715956266.73896527</v>
      </c>
      <c r="Y186" s="18">
        <f t="shared" si="86"/>
        <v>701536037.61266947</v>
      </c>
      <c r="Z186" s="18">
        <f t="shared" si="86"/>
        <v>681640363.7098248</v>
      </c>
      <c r="AB186" s="14" t="s">
        <v>73</v>
      </c>
      <c r="AC186" s="18">
        <f t="shared" si="87"/>
        <v>331779180.80000001</v>
      </c>
      <c r="AD186" s="18">
        <f t="shared" si="89"/>
        <v>331779180.80000001</v>
      </c>
      <c r="AE186" s="19">
        <f t="shared" si="90"/>
        <v>188828781.19999999</v>
      </c>
      <c r="AF186" s="19">
        <f t="shared" si="88"/>
        <v>129064762</v>
      </c>
      <c r="AG186" s="19">
        <f>O186/31</f>
        <v>16793805.225806452</v>
      </c>
      <c r="AH186" s="18">
        <f>AD186/31</f>
        <v>10702554.21935484</v>
      </c>
      <c r="AI186" s="19">
        <f t="shared" si="91"/>
        <v>6091251.0064516123</v>
      </c>
    </row>
    <row r="187" spans="1:35">
      <c r="A187" s="14" t="s">
        <v>50</v>
      </c>
      <c r="B187" s="18">
        <f t="shared" si="86"/>
        <v>49770881</v>
      </c>
      <c r="C187" s="18">
        <f t="shared" si="86"/>
        <v>165540559</v>
      </c>
      <c r="D187" s="18">
        <f t="shared" si="86"/>
        <v>153804912</v>
      </c>
      <c r="E187" s="18">
        <f t="shared" si="86"/>
        <v>220046270</v>
      </c>
      <c r="F187" s="18">
        <f t="shared" si="86"/>
        <v>194604975</v>
      </c>
      <c r="G187" s="18">
        <f t="shared" si="86"/>
        <v>214055814</v>
      </c>
      <c r="H187" s="18">
        <f t="shared" si="86"/>
        <v>284632652</v>
      </c>
      <c r="I187" s="18">
        <f t="shared" si="86"/>
        <v>278251280</v>
      </c>
      <c r="J187" s="18">
        <f t="shared" si="86"/>
        <v>298192659</v>
      </c>
      <c r="K187" s="18">
        <f t="shared" si="86"/>
        <v>281708375</v>
      </c>
      <c r="L187" s="18">
        <f t="shared" si="86"/>
        <v>331963490</v>
      </c>
      <c r="M187" s="18">
        <f t="shared" si="86"/>
        <v>371916425</v>
      </c>
      <c r="N187" s="18">
        <f t="shared" si="86"/>
        <v>435575816</v>
      </c>
      <c r="O187" s="18">
        <f t="shared" si="86"/>
        <v>625539797</v>
      </c>
      <c r="P187" s="18">
        <f t="shared" si="86"/>
        <v>645921509</v>
      </c>
      <c r="Q187" s="19">
        <f t="shared" si="86"/>
        <v>549889572.50939822</v>
      </c>
      <c r="R187" s="19">
        <f t="shared" si="86"/>
        <v>564547074.14219654</v>
      </c>
      <c r="S187" s="19">
        <f t="shared" si="86"/>
        <v>603512560.50174522</v>
      </c>
      <c r="T187" s="18">
        <f t="shared" si="86"/>
        <v>570397256.17239845</v>
      </c>
      <c r="U187" s="18">
        <f t="shared" si="86"/>
        <v>577035266.33578479</v>
      </c>
      <c r="V187" s="18">
        <f t="shared" si="86"/>
        <v>600414784.22109699</v>
      </c>
      <c r="W187" s="18">
        <f t="shared" si="86"/>
        <v>634564366.97276878</v>
      </c>
      <c r="X187" s="18">
        <f t="shared" si="86"/>
        <v>729818285.80842483</v>
      </c>
      <c r="Y187" s="18">
        <f t="shared" si="86"/>
        <v>714635443.71598709</v>
      </c>
      <c r="Z187" s="18">
        <f t="shared" si="86"/>
        <v>694433771.55596054</v>
      </c>
      <c r="AB187" s="14" t="s">
        <v>74</v>
      </c>
      <c r="AC187" s="18">
        <f t="shared" si="87"/>
        <v>343871353</v>
      </c>
      <c r="AD187" s="18">
        <f t="shared" si="89"/>
        <v>343871353</v>
      </c>
      <c r="AE187" s="19">
        <f t="shared" si="90"/>
        <v>281668444</v>
      </c>
      <c r="AF187" s="19">
        <f t="shared" si="88"/>
        <v>189963981</v>
      </c>
      <c r="AG187" s="19">
        <f>O187/31</f>
        <v>20178703.129032258</v>
      </c>
      <c r="AH187" s="18">
        <f>AD187/31</f>
        <v>11092624.290322581</v>
      </c>
      <c r="AI187" s="19">
        <f t="shared" si="91"/>
        <v>9086078.8387096766</v>
      </c>
    </row>
    <row r="188" spans="1:35">
      <c r="A188" s="14" t="s">
        <v>51</v>
      </c>
      <c r="B188" s="18">
        <f t="shared" si="86"/>
        <v>63833186</v>
      </c>
      <c r="C188" s="18">
        <f t="shared" si="86"/>
        <v>181048495</v>
      </c>
      <c r="D188" s="18">
        <f t="shared" si="86"/>
        <v>128307570</v>
      </c>
      <c r="E188" s="18">
        <f t="shared" si="86"/>
        <v>221268256</v>
      </c>
      <c r="F188" s="18">
        <f t="shared" si="86"/>
        <v>196879317</v>
      </c>
      <c r="G188" s="18">
        <f t="shared" si="86"/>
        <v>200251364</v>
      </c>
      <c r="H188" s="18">
        <f t="shared" si="86"/>
        <v>252665287</v>
      </c>
      <c r="I188" s="18">
        <f t="shared" si="86"/>
        <v>259846713</v>
      </c>
      <c r="J188" s="18">
        <f t="shared" si="86"/>
        <v>290335232</v>
      </c>
      <c r="K188" s="18">
        <f t="shared" si="86"/>
        <v>284669732</v>
      </c>
      <c r="L188" s="18">
        <f t="shared" si="86"/>
        <v>333593235</v>
      </c>
      <c r="M188" s="18">
        <f t="shared" si="86"/>
        <v>304676053</v>
      </c>
      <c r="N188" s="18">
        <f t="shared" si="86"/>
        <v>429736946</v>
      </c>
      <c r="O188" s="18">
        <f t="shared" si="86"/>
        <v>610569070</v>
      </c>
      <c r="P188" s="18">
        <f t="shared" si="86"/>
        <v>633721957</v>
      </c>
      <c r="Q188" s="19">
        <f t="shared" si="86"/>
        <v>542659483.20642853</v>
      </c>
      <c r="R188" s="19">
        <f t="shared" si="86"/>
        <v>557076618.69512379</v>
      </c>
      <c r="S188" s="19">
        <f t="shared" si="86"/>
        <v>598210300.21526825</v>
      </c>
      <c r="T188" s="18">
        <f t="shared" si="86"/>
        <v>566882936.97880697</v>
      </c>
      <c r="U188" s="18">
        <f t="shared" si="86"/>
        <v>574430791.77956045</v>
      </c>
      <c r="V188" s="18">
        <f t="shared" si="86"/>
        <v>597456601.04060566</v>
      </c>
      <c r="W188" s="18">
        <f t="shared" si="86"/>
        <v>632272985.24721313</v>
      </c>
      <c r="X188" s="18">
        <f t="shared" si="86"/>
        <v>728724744.79190898</v>
      </c>
      <c r="Y188" s="18">
        <f t="shared" si="86"/>
        <v>714179766.13866568</v>
      </c>
      <c r="Z188" s="18">
        <f t="shared" si="86"/>
        <v>693876682.51107669</v>
      </c>
      <c r="AB188" s="14" t="s">
        <v>75</v>
      </c>
      <c r="AC188" s="18">
        <f t="shared" si="87"/>
        <v>328602239.60000002</v>
      </c>
      <c r="AD188" s="18">
        <f t="shared" si="89"/>
        <v>328602239.60000002</v>
      </c>
      <c r="AE188" s="19">
        <f t="shared" si="90"/>
        <v>281966830.39999998</v>
      </c>
      <c r="AF188" s="19">
        <f t="shared" si="88"/>
        <v>180832124</v>
      </c>
      <c r="AG188" s="19">
        <f>O188/30</f>
        <v>20352302.333333332</v>
      </c>
      <c r="AH188" s="18">
        <f>AD188/30</f>
        <v>10953407.986666668</v>
      </c>
      <c r="AI188" s="19">
        <f t="shared" si="91"/>
        <v>9398894.3466666639</v>
      </c>
    </row>
    <row r="189" spans="1:35">
      <c r="A189" s="14" t="s">
        <v>52</v>
      </c>
      <c r="B189" s="18">
        <f t="shared" si="86"/>
        <v>57756544</v>
      </c>
      <c r="C189" s="18">
        <f t="shared" si="86"/>
        <v>181962954</v>
      </c>
      <c r="D189" s="18">
        <f t="shared" si="86"/>
        <v>127524021</v>
      </c>
      <c r="E189" s="18">
        <f t="shared" si="86"/>
        <v>229148253</v>
      </c>
      <c r="F189" s="18">
        <f t="shared" si="86"/>
        <v>206989012</v>
      </c>
      <c r="G189" s="18">
        <f t="shared" si="86"/>
        <v>180347775</v>
      </c>
      <c r="H189" s="18">
        <f t="shared" si="86"/>
        <v>249718520</v>
      </c>
      <c r="I189" s="18">
        <f t="shared" si="86"/>
        <v>267114695</v>
      </c>
      <c r="J189" s="18">
        <f t="shared" si="86"/>
        <v>323228021</v>
      </c>
      <c r="K189" s="18">
        <f t="shared" si="86"/>
        <v>302498267</v>
      </c>
      <c r="L189" s="18">
        <f t="shared" si="86"/>
        <v>267141604</v>
      </c>
      <c r="M189" s="18">
        <f t="shared" si="86"/>
        <v>341157692</v>
      </c>
      <c r="N189" s="18">
        <f t="shared" si="86"/>
        <v>400251485</v>
      </c>
      <c r="O189" s="18">
        <f t="shared" si="86"/>
        <v>575414605</v>
      </c>
      <c r="P189" s="18">
        <f t="shared" si="86"/>
        <v>708173922</v>
      </c>
      <c r="Q189" s="19">
        <f t="shared" si="86"/>
        <v>569766166.65712333</v>
      </c>
      <c r="R189" s="19">
        <f t="shared" si="86"/>
        <v>592681283.63951433</v>
      </c>
      <c r="S189" s="19">
        <f t="shared" si="86"/>
        <v>637211811.34619808</v>
      </c>
      <c r="T189" s="18">
        <f t="shared" si="86"/>
        <v>607824075.60106015</v>
      </c>
      <c r="U189" s="18">
        <f t="shared" si="86"/>
        <v>620195260.36857963</v>
      </c>
      <c r="V189" s="18">
        <f t="shared" si="86"/>
        <v>642096565.28757477</v>
      </c>
      <c r="W189" s="18">
        <f t="shared" si="86"/>
        <v>681499353.80760169</v>
      </c>
      <c r="X189" s="18">
        <f t="shared" si="86"/>
        <v>786983473.11089194</v>
      </c>
      <c r="Y189" s="18">
        <f t="shared" si="86"/>
        <v>772044712.0420512</v>
      </c>
      <c r="Z189" s="18">
        <f t="shared" si="86"/>
        <v>749925268.56440282</v>
      </c>
      <c r="AB189" s="14" t="s">
        <v>76</v>
      </c>
      <c r="AC189" s="18">
        <f t="shared" si="87"/>
        <v>326855413.80000001</v>
      </c>
      <c r="AD189" s="18">
        <f t="shared" si="89"/>
        <v>326855413.80000001</v>
      </c>
      <c r="AE189" s="19">
        <f t="shared" si="90"/>
        <v>248559191.19999999</v>
      </c>
      <c r="AF189" s="19">
        <f t="shared" si="88"/>
        <v>175163120</v>
      </c>
      <c r="AG189" s="19">
        <f>O189/31</f>
        <v>18561761.451612905</v>
      </c>
      <c r="AH189" s="18">
        <f>AD189/31</f>
        <v>10543723.025806451</v>
      </c>
      <c r="AI189" s="19">
        <f t="shared" si="91"/>
        <v>8018038.4258064535</v>
      </c>
    </row>
    <row r="190" spans="1:35">
      <c r="A190" s="14" t="s">
        <v>53</v>
      </c>
      <c r="B190" s="18">
        <f t="shared" si="86"/>
        <v>50376458</v>
      </c>
      <c r="C190" s="18">
        <f t="shared" si="86"/>
        <v>167227727</v>
      </c>
      <c r="D190" s="18">
        <f t="shared" si="86"/>
        <v>111469703</v>
      </c>
      <c r="E190" s="18">
        <f t="shared" si="86"/>
        <v>194382749</v>
      </c>
      <c r="F190" s="18">
        <f t="shared" si="86"/>
        <v>173962780</v>
      </c>
      <c r="G190" s="18">
        <f t="shared" ref="G190:Z190" si="92">G110+G30</f>
        <v>166223219</v>
      </c>
      <c r="H190" s="18">
        <f t="shared" si="92"/>
        <v>256078127</v>
      </c>
      <c r="I190" s="18">
        <f t="shared" si="92"/>
        <v>261148241</v>
      </c>
      <c r="J190" s="18">
        <f t="shared" si="92"/>
        <v>294727048</v>
      </c>
      <c r="K190" s="18">
        <f t="shared" si="92"/>
        <v>250986601</v>
      </c>
      <c r="L190" s="18">
        <f t="shared" si="92"/>
        <v>297647236</v>
      </c>
      <c r="M190" s="18">
        <f t="shared" si="92"/>
        <v>384451426</v>
      </c>
      <c r="N190" s="18">
        <f t="shared" si="92"/>
        <v>502573861</v>
      </c>
      <c r="O190" s="18">
        <f t="shared" si="92"/>
        <v>548886173</v>
      </c>
      <c r="P190" s="18">
        <f t="shared" si="92"/>
        <v>639855786</v>
      </c>
      <c r="Q190" s="19">
        <f t="shared" si="92"/>
        <v>591991788.20615125</v>
      </c>
      <c r="R190" s="19">
        <f t="shared" si="92"/>
        <v>670316343.95304394</v>
      </c>
      <c r="S190" s="19">
        <f t="shared" si="92"/>
        <v>723141638.53777087</v>
      </c>
      <c r="T190" s="18">
        <f t="shared" si="92"/>
        <v>694152946.88184214</v>
      </c>
      <c r="U190" s="18">
        <f t="shared" si="92"/>
        <v>706401866.27770567</v>
      </c>
      <c r="V190" s="18">
        <f t="shared" si="92"/>
        <v>734614711.04612803</v>
      </c>
      <c r="W190" s="18">
        <f t="shared" si="92"/>
        <v>782312071.43227315</v>
      </c>
      <c r="X190" s="18">
        <f t="shared" si="92"/>
        <v>907283085.92401636</v>
      </c>
      <c r="Y190" s="18">
        <f t="shared" si="92"/>
        <v>891903539.58650362</v>
      </c>
      <c r="Z190" s="18">
        <f t="shared" si="92"/>
        <v>866302835.1777662</v>
      </c>
      <c r="AB190" s="14" t="s">
        <v>77</v>
      </c>
      <c r="AC190" s="18">
        <f t="shared" si="87"/>
        <v>346077234.39999998</v>
      </c>
      <c r="AD190" s="18">
        <f t="shared" si="89"/>
        <v>346077234.39999998</v>
      </c>
      <c r="AE190" s="19">
        <f t="shared" si="90"/>
        <v>202808938.60000002</v>
      </c>
      <c r="AF190" s="19">
        <f t="shared" si="88"/>
        <v>46312312</v>
      </c>
      <c r="AG190" s="19">
        <f>O190/30</f>
        <v>18296205.766666666</v>
      </c>
      <c r="AH190" s="18">
        <f>AD190/30</f>
        <v>11535907.813333333</v>
      </c>
      <c r="AI190" s="19">
        <f t="shared" si="91"/>
        <v>6760297.9533333331</v>
      </c>
    </row>
    <row r="191" spans="1:35">
      <c r="A191" s="14" t="s">
        <v>54</v>
      </c>
      <c r="B191" s="18">
        <f t="shared" ref="B191:Z191" si="93">B111+B31</f>
        <v>53780479</v>
      </c>
      <c r="C191" s="18">
        <f t="shared" si="93"/>
        <v>236976283</v>
      </c>
      <c r="D191" s="18">
        <f t="shared" si="93"/>
        <v>93739945</v>
      </c>
      <c r="E191" s="18">
        <f t="shared" si="93"/>
        <v>264861231</v>
      </c>
      <c r="F191" s="18">
        <f t="shared" si="93"/>
        <v>284021416</v>
      </c>
      <c r="G191" s="18">
        <f t="shared" si="93"/>
        <v>187789577</v>
      </c>
      <c r="H191" s="18">
        <f t="shared" si="93"/>
        <v>326914021</v>
      </c>
      <c r="I191" s="18">
        <f t="shared" si="93"/>
        <v>287286708</v>
      </c>
      <c r="J191" s="18">
        <f t="shared" si="93"/>
        <v>355458771</v>
      </c>
      <c r="K191" s="18">
        <f t="shared" si="93"/>
        <v>299158460</v>
      </c>
      <c r="L191" s="18">
        <f t="shared" si="93"/>
        <v>362098249</v>
      </c>
      <c r="M191" s="18">
        <f t="shared" si="93"/>
        <v>449624714</v>
      </c>
      <c r="N191" s="18">
        <f t="shared" si="93"/>
        <v>477484463</v>
      </c>
      <c r="O191" s="18">
        <f t="shared" si="93"/>
        <v>665220358</v>
      </c>
      <c r="P191" s="18">
        <f t="shared" si="93"/>
        <v>790957130</v>
      </c>
      <c r="Q191" s="19">
        <f t="shared" si="93"/>
        <v>870761700.56682754</v>
      </c>
      <c r="R191" s="19">
        <f t="shared" si="93"/>
        <v>763830583.41993654</v>
      </c>
      <c r="S191" s="19">
        <f t="shared" si="93"/>
        <v>847399481.6511693</v>
      </c>
      <c r="T191" s="18">
        <f t="shared" si="93"/>
        <v>816286293.57974386</v>
      </c>
      <c r="U191" s="18">
        <f t="shared" si="93"/>
        <v>849679546.64128518</v>
      </c>
      <c r="V191" s="18">
        <f t="shared" si="93"/>
        <v>886917640.33819664</v>
      </c>
      <c r="W191" s="18">
        <f t="shared" si="93"/>
        <v>919879821.30387115</v>
      </c>
      <c r="X191" s="18">
        <f t="shared" si="93"/>
        <v>1070701071.2618921</v>
      </c>
      <c r="Y191" s="18">
        <f t="shared" si="93"/>
        <v>1023496764.7953022</v>
      </c>
      <c r="Z191" s="18">
        <f t="shared" si="93"/>
        <v>1008257529.9951537</v>
      </c>
      <c r="AB191" s="14" t="s">
        <v>78</v>
      </c>
      <c r="AC191" s="18">
        <f t="shared" si="87"/>
        <v>388764931.39999998</v>
      </c>
      <c r="AD191" s="18">
        <f t="shared" si="89"/>
        <v>388764931.39999998</v>
      </c>
      <c r="AE191" s="19">
        <f t="shared" si="90"/>
        <v>276455426.60000002</v>
      </c>
      <c r="AF191" s="19">
        <f t="shared" si="88"/>
        <v>187735895</v>
      </c>
      <c r="AG191" s="19">
        <f>O191/31</f>
        <v>21458721.225806452</v>
      </c>
      <c r="AH191" s="18">
        <f>AD191/31</f>
        <v>12540804.238709677</v>
      </c>
      <c r="AI191" s="19">
        <f t="shared" si="91"/>
        <v>8917916.9870967753</v>
      </c>
    </row>
    <row r="192" spans="1:35">
      <c r="A192" s="14" t="s">
        <v>29</v>
      </c>
      <c r="B192" s="18">
        <f t="shared" ref="B192:Z192" si="94">SUM(B180:B191)</f>
        <v>336096066</v>
      </c>
      <c r="C192" s="18">
        <f t="shared" si="94"/>
        <v>1658387980</v>
      </c>
      <c r="D192" s="18">
        <f t="shared" si="94"/>
        <v>1613178058</v>
      </c>
      <c r="E192" s="18">
        <f t="shared" si="94"/>
        <v>2266511994</v>
      </c>
      <c r="F192" s="18">
        <f t="shared" si="94"/>
        <v>2230601028</v>
      </c>
      <c r="G192" s="18">
        <f t="shared" si="94"/>
        <v>2181644186</v>
      </c>
      <c r="H192" s="18">
        <f t="shared" si="94"/>
        <v>2860219321</v>
      </c>
      <c r="I192" s="18">
        <f t="shared" si="94"/>
        <v>2821586622</v>
      </c>
      <c r="J192" s="18">
        <f t="shared" si="94"/>
        <v>3302539754</v>
      </c>
      <c r="K192" s="18">
        <f t="shared" si="94"/>
        <v>3407328831</v>
      </c>
      <c r="L192" s="18">
        <f t="shared" si="94"/>
        <v>3644192900</v>
      </c>
      <c r="M192" s="18">
        <f t="shared" si="94"/>
        <v>3994143275</v>
      </c>
      <c r="N192" s="18">
        <f t="shared" si="94"/>
        <v>4900500559</v>
      </c>
      <c r="O192" s="18">
        <f t="shared" si="94"/>
        <v>6582847415</v>
      </c>
      <c r="P192" s="18">
        <f t="shared" si="94"/>
        <v>7786085547</v>
      </c>
      <c r="Q192" s="19">
        <f t="shared" si="94"/>
        <v>6702418451.7856636</v>
      </c>
      <c r="R192" s="19">
        <f t="shared" si="94"/>
        <v>6761927407.5478258</v>
      </c>
      <c r="S192" s="19">
        <f t="shared" si="94"/>
        <v>7247138506.882061</v>
      </c>
      <c r="T192" s="18">
        <f t="shared" si="94"/>
        <v>6896581786.8621826</v>
      </c>
      <c r="U192" s="18">
        <f t="shared" si="94"/>
        <v>7034336123.2674065</v>
      </c>
      <c r="V192" s="18">
        <f t="shared" si="94"/>
        <v>7294844021.3533821</v>
      </c>
      <c r="W192" s="18">
        <f t="shared" si="94"/>
        <v>7732430591.3876162</v>
      </c>
      <c r="X192" s="18">
        <f t="shared" si="94"/>
        <v>8919791550.7532234</v>
      </c>
      <c r="Y192" s="18">
        <f t="shared" si="94"/>
        <v>8747806823.3959007</v>
      </c>
      <c r="Z192" s="18">
        <f t="shared" si="94"/>
        <v>8498465958.5018873</v>
      </c>
      <c r="AC192" s="18">
        <f>SUM(AC180:AC191)</f>
        <v>3849741063.8000007</v>
      </c>
      <c r="AD192" s="18">
        <f t="shared" si="89"/>
        <v>3849741063.8000002</v>
      </c>
      <c r="AE192" s="19">
        <f t="shared" si="90"/>
        <v>2733106351.1999998</v>
      </c>
    </row>
    <row r="193" spans="1:35">
      <c r="O193" s="25">
        <f>P184/O184-1</f>
        <v>-6.3504540852239111E-2</v>
      </c>
      <c r="P193" s="25">
        <f>P184/P183-1</f>
        <v>-0.13306375918965996</v>
      </c>
    </row>
    <row r="194" spans="1:35" ht="15.75">
      <c r="A194" s="15" t="s">
        <v>79</v>
      </c>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B194" s="16"/>
      <c r="AC194" s="16"/>
      <c r="AD194" s="16"/>
      <c r="AE194" s="16"/>
      <c r="AF194" s="16"/>
      <c r="AG194" s="16"/>
      <c r="AH194" s="16"/>
      <c r="AI194" s="16"/>
    </row>
    <row r="195" spans="1:35">
      <c r="B195" s="14">
        <f t="shared" ref="B195:Z195" si="95">B3</f>
        <v>2010</v>
      </c>
      <c r="C195" s="14">
        <f t="shared" si="95"/>
        <v>2011</v>
      </c>
      <c r="D195" s="14">
        <f t="shared" si="95"/>
        <v>2012</v>
      </c>
      <c r="E195" s="14">
        <f t="shared" si="95"/>
        <v>2013</v>
      </c>
      <c r="F195" s="14">
        <f t="shared" si="95"/>
        <v>2014</v>
      </c>
      <c r="G195" s="14">
        <f t="shared" si="95"/>
        <v>2015</v>
      </c>
      <c r="H195" s="14">
        <f t="shared" si="95"/>
        <v>2016</v>
      </c>
      <c r="I195" s="14">
        <f t="shared" si="95"/>
        <v>2017</v>
      </c>
      <c r="J195" s="14">
        <f t="shared" si="95"/>
        <v>2018</v>
      </c>
      <c r="K195" s="14">
        <f t="shared" si="95"/>
        <v>2019</v>
      </c>
      <c r="L195" s="14">
        <f t="shared" si="95"/>
        <v>2020</v>
      </c>
      <c r="M195" s="14">
        <f t="shared" si="95"/>
        <v>2021</v>
      </c>
      <c r="N195" s="14">
        <f t="shared" si="95"/>
        <v>2022</v>
      </c>
      <c r="O195" s="14">
        <f t="shared" si="95"/>
        <v>2023</v>
      </c>
      <c r="P195" s="14">
        <f t="shared" si="95"/>
        <v>2024</v>
      </c>
      <c r="Q195" s="14">
        <f t="shared" si="95"/>
        <v>2025</v>
      </c>
      <c r="R195" s="14">
        <f t="shared" si="95"/>
        <v>2026</v>
      </c>
      <c r="S195" s="14">
        <f t="shared" si="95"/>
        <v>2027</v>
      </c>
      <c r="T195" s="14">
        <f t="shared" si="95"/>
        <v>2028</v>
      </c>
      <c r="U195" s="14">
        <f t="shared" si="95"/>
        <v>2029</v>
      </c>
      <c r="V195" s="14">
        <f t="shared" si="95"/>
        <v>2030</v>
      </c>
      <c r="W195" s="14">
        <f t="shared" si="95"/>
        <v>2031</v>
      </c>
      <c r="X195" s="14">
        <f t="shared" si="95"/>
        <v>2032</v>
      </c>
      <c r="Y195" s="14">
        <f t="shared" si="95"/>
        <v>2033</v>
      </c>
      <c r="Z195" s="14">
        <f t="shared" si="95"/>
        <v>2034</v>
      </c>
      <c r="AC195" s="32" t="s">
        <v>67</v>
      </c>
      <c r="AD195" s="14" t="s">
        <v>37</v>
      </c>
      <c r="AE195" s="14" t="s">
        <v>38</v>
      </c>
      <c r="AF195" s="14" t="s">
        <v>39</v>
      </c>
      <c r="AG195" s="14" t="s">
        <v>40</v>
      </c>
      <c r="AH195" s="14" t="s">
        <v>41</v>
      </c>
      <c r="AI195" s="14" t="s">
        <v>42</v>
      </c>
    </row>
    <row r="196" spans="1:35">
      <c r="A196" s="14" t="s">
        <v>43</v>
      </c>
      <c r="B196" s="18">
        <f t="shared" ref="B196:Z206" si="96">B36+B52+B116+B132</f>
        <v>0</v>
      </c>
      <c r="C196" s="18">
        <f t="shared" si="96"/>
        <v>3954656</v>
      </c>
      <c r="D196" s="18">
        <f t="shared" si="96"/>
        <v>1557591</v>
      </c>
      <c r="E196" s="18">
        <f t="shared" si="96"/>
        <v>13380504</v>
      </c>
      <c r="F196" s="18">
        <f t="shared" si="96"/>
        <v>59754091</v>
      </c>
      <c r="G196" s="18">
        <f t="shared" si="96"/>
        <v>64251343</v>
      </c>
      <c r="H196" s="18">
        <f t="shared" si="96"/>
        <v>75616082</v>
      </c>
      <c r="I196" s="18">
        <f t="shared" si="96"/>
        <v>83595537</v>
      </c>
      <c r="J196" s="18">
        <f t="shared" si="96"/>
        <v>70110626</v>
      </c>
      <c r="K196" s="18">
        <f t="shared" si="96"/>
        <v>64460560</v>
      </c>
      <c r="L196" s="18">
        <f t="shared" si="96"/>
        <v>71229429</v>
      </c>
      <c r="M196" s="18">
        <f t="shared" si="96"/>
        <v>73963748</v>
      </c>
      <c r="N196" s="18">
        <f t="shared" si="96"/>
        <v>83354802</v>
      </c>
      <c r="O196" s="18">
        <f t="shared" si="96"/>
        <v>115514532</v>
      </c>
      <c r="P196" s="18">
        <f t="shared" si="96"/>
        <v>101668181</v>
      </c>
      <c r="Q196" s="19">
        <f t="shared" si="96"/>
        <v>4703045</v>
      </c>
      <c r="R196" s="19">
        <f t="shared" si="96"/>
        <v>48835506.22233972</v>
      </c>
      <c r="S196" s="19">
        <f t="shared" si="96"/>
        <v>46673296.175458081</v>
      </c>
      <c r="T196" s="19">
        <f t="shared" si="96"/>
        <v>44073812.999961615</v>
      </c>
      <c r="U196" s="19">
        <f t="shared" si="96"/>
        <v>40317269.174544953</v>
      </c>
      <c r="V196" s="19">
        <f t="shared" si="96"/>
        <v>32274366.687438447</v>
      </c>
      <c r="W196" s="19">
        <f t="shared" si="96"/>
        <v>37554759.758127399</v>
      </c>
      <c r="X196" s="19">
        <f t="shared" si="96"/>
        <v>33104344.13062416</v>
      </c>
      <c r="Y196" s="19">
        <f t="shared" si="96"/>
        <v>30825006.205984257</v>
      </c>
      <c r="Z196" s="19">
        <f t="shared" si="96"/>
        <v>29116822.283701856</v>
      </c>
      <c r="AA196" s="31"/>
      <c r="AC196" s="18">
        <f t="shared" ref="AC196:AC207" si="97">AVERAGE(J196:N196)</f>
        <v>72623833</v>
      </c>
      <c r="AD196" s="18">
        <f>AVERAGE(J196:N196)</f>
        <v>72623833</v>
      </c>
      <c r="AE196" s="18">
        <f>O196-AD196</f>
        <v>42890699</v>
      </c>
      <c r="AF196" s="18">
        <f t="shared" ref="AF196:AF207" si="98">O196-N196</f>
        <v>32159730</v>
      </c>
      <c r="AG196" s="18">
        <f>O196/31</f>
        <v>3726275.2258064514</v>
      </c>
      <c r="AH196" s="18">
        <f>AD196/31</f>
        <v>2342704.2903225808</v>
      </c>
      <c r="AI196" s="18">
        <f>AG196-AH196</f>
        <v>1383570.9354838706</v>
      </c>
    </row>
    <row r="197" spans="1:35">
      <c r="A197" s="14" t="s">
        <v>44</v>
      </c>
      <c r="B197" s="18">
        <f t="shared" si="96"/>
        <v>0</v>
      </c>
      <c r="C197" s="18">
        <f t="shared" si="96"/>
        <v>2004085</v>
      </c>
      <c r="D197" s="18">
        <f t="shared" si="96"/>
        <v>6163232</v>
      </c>
      <c r="E197" s="18">
        <f t="shared" si="96"/>
        <v>8700458</v>
      </c>
      <c r="F197" s="18">
        <f t="shared" si="96"/>
        <v>66963879</v>
      </c>
      <c r="G197" s="18">
        <f t="shared" si="96"/>
        <v>51063689</v>
      </c>
      <c r="H197" s="18">
        <f t="shared" si="96"/>
        <v>62194309</v>
      </c>
      <c r="I197" s="18">
        <f t="shared" si="96"/>
        <v>85875001</v>
      </c>
      <c r="J197" s="18">
        <f t="shared" si="96"/>
        <v>65480308</v>
      </c>
      <c r="K197" s="18">
        <f t="shared" si="96"/>
        <v>73209689</v>
      </c>
      <c r="L197" s="18">
        <f t="shared" si="96"/>
        <v>86333474</v>
      </c>
      <c r="M197" s="18">
        <f t="shared" si="96"/>
        <v>74761548</v>
      </c>
      <c r="N197" s="18">
        <f t="shared" si="96"/>
        <v>68146703</v>
      </c>
      <c r="O197" s="18">
        <f t="shared" si="96"/>
        <v>118879359</v>
      </c>
      <c r="P197" s="18">
        <f t="shared" si="96"/>
        <v>175790788</v>
      </c>
      <c r="Q197" s="19">
        <f t="shared" si="96"/>
        <v>9613679</v>
      </c>
      <c r="R197" s="19">
        <f t="shared" si="96"/>
        <v>59028689.07419838</v>
      </c>
      <c r="S197" s="19">
        <f t="shared" si="96"/>
        <v>59303112.70313105</v>
      </c>
      <c r="T197" s="19">
        <f t="shared" si="96"/>
        <v>60725243.559880584</v>
      </c>
      <c r="U197" s="19">
        <f t="shared" si="96"/>
        <v>59387725.227255568</v>
      </c>
      <c r="V197" s="19">
        <f t="shared" si="96"/>
        <v>43472678.80047676</v>
      </c>
      <c r="W197" s="19">
        <f t="shared" si="96"/>
        <v>49948303.22205767</v>
      </c>
      <c r="X197" s="19">
        <f t="shared" si="96"/>
        <v>44961476.266431049</v>
      </c>
      <c r="Y197" s="19">
        <f t="shared" si="96"/>
        <v>42530940.366158009</v>
      </c>
      <c r="Z197" s="19">
        <f t="shared" si="96"/>
        <v>40185841.289665557</v>
      </c>
      <c r="AA197" s="31"/>
      <c r="AC197" s="18">
        <f t="shared" si="97"/>
        <v>73586344.400000006</v>
      </c>
      <c r="AD197" s="18">
        <f t="shared" ref="AD197:AD208" si="99">AVERAGE(J197:N197)</f>
        <v>73586344.400000006</v>
      </c>
      <c r="AE197" s="18">
        <f t="shared" ref="AE197:AE207" si="100">O197-AD197</f>
        <v>45293014.599999994</v>
      </c>
      <c r="AF197" s="18">
        <f t="shared" si="98"/>
        <v>50732656</v>
      </c>
      <c r="AG197" s="18">
        <f>O197/28</f>
        <v>4245691.3928571427</v>
      </c>
      <c r="AH197" s="18">
        <f>AD197/28</f>
        <v>2628083.7285714289</v>
      </c>
      <c r="AI197" s="18">
        <f t="shared" ref="AI197:AI207" si="101">AG197-AH197</f>
        <v>1617607.6642857138</v>
      </c>
    </row>
    <row r="198" spans="1:35">
      <c r="A198" s="14" t="s">
        <v>45</v>
      </c>
      <c r="B198" s="18">
        <f t="shared" si="96"/>
        <v>0</v>
      </c>
      <c r="C198" s="18">
        <f t="shared" si="96"/>
        <v>6941490</v>
      </c>
      <c r="D198" s="18">
        <f t="shared" si="96"/>
        <v>13460249</v>
      </c>
      <c r="E198" s="18">
        <f t="shared" si="96"/>
        <v>44562859</v>
      </c>
      <c r="F198" s="18">
        <f t="shared" si="96"/>
        <v>80440772</v>
      </c>
      <c r="G198" s="18">
        <f t="shared" si="96"/>
        <v>64470857</v>
      </c>
      <c r="H198" s="18">
        <f t="shared" si="96"/>
        <v>58819586</v>
      </c>
      <c r="I198" s="18">
        <f t="shared" si="96"/>
        <v>113318188</v>
      </c>
      <c r="J198" s="18">
        <f t="shared" si="96"/>
        <v>71822907</v>
      </c>
      <c r="K198" s="18">
        <f t="shared" si="96"/>
        <v>74096246</v>
      </c>
      <c r="L198" s="18">
        <f t="shared" si="96"/>
        <v>102148534</v>
      </c>
      <c r="M198" s="18">
        <f t="shared" si="96"/>
        <v>101889628</v>
      </c>
      <c r="N198" s="18">
        <f t="shared" si="96"/>
        <v>112299047</v>
      </c>
      <c r="O198" s="18">
        <f t="shared" si="96"/>
        <v>141238115</v>
      </c>
      <c r="P198" s="18">
        <f t="shared" si="96"/>
        <v>90113265</v>
      </c>
      <c r="Q198" s="19">
        <f t="shared" si="96"/>
        <v>40042802</v>
      </c>
      <c r="R198" s="19">
        <f t="shared" si="96"/>
        <v>60183399.593721166</v>
      </c>
      <c r="S198" s="19">
        <f t="shared" si="96"/>
        <v>56272873.651237264</v>
      </c>
      <c r="T198" s="19">
        <f t="shared" si="96"/>
        <v>51879023.008899212</v>
      </c>
      <c r="U198" s="19">
        <f t="shared" si="96"/>
        <v>45419270.607231744</v>
      </c>
      <c r="V198" s="19">
        <f t="shared" si="96"/>
        <v>40393153.159236297</v>
      </c>
      <c r="W198" s="19">
        <f t="shared" si="96"/>
        <v>44914797.614022672</v>
      </c>
      <c r="X198" s="19">
        <f t="shared" si="96"/>
        <v>39301421.617667899</v>
      </c>
      <c r="Y198" s="19">
        <f t="shared" si="96"/>
        <v>36485575.847717904</v>
      </c>
      <c r="Z198" s="19">
        <f t="shared" si="96"/>
        <v>34516215.601135217</v>
      </c>
      <c r="AA198" s="31"/>
      <c r="AC198" s="18">
        <f t="shared" si="97"/>
        <v>92451272.400000006</v>
      </c>
      <c r="AD198" s="18">
        <f t="shared" si="99"/>
        <v>92451272.400000006</v>
      </c>
      <c r="AE198" s="18">
        <f t="shared" si="100"/>
        <v>48786842.599999994</v>
      </c>
      <c r="AF198" s="18">
        <f t="shared" si="98"/>
        <v>28939068</v>
      </c>
      <c r="AG198" s="18">
        <f>O198/31</f>
        <v>4556068.2258064514</v>
      </c>
      <c r="AH198" s="18">
        <f>AD198/31</f>
        <v>2982299.1096774195</v>
      </c>
      <c r="AI198" s="18">
        <f t="shared" si="101"/>
        <v>1573769.1161290319</v>
      </c>
    </row>
    <row r="199" spans="1:35">
      <c r="A199" s="14" t="s">
        <v>46</v>
      </c>
      <c r="B199" s="18">
        <f t="shared" si="96"/>
        <v>0</v>
      </c>
      <c r="C199" s="18">
        <f t="shared" si="96"/>
        <v>3317642</v>
      </c>
      <c r="D199" s="18">
        <f t="shared" si="96"/>
        <v>5089736</v>
      </c>
      <c r="E199" s="18">
        <f t="shared" si="96"/>
        <v>21786850</v>
      </c>
      <c r="F199" s="18">
        <f t="shared" si="96"/>
        <v>74079989</v>
      </c>
      <c r="G199" s="18">
        <f t="shared" si="96"/>
        <v>76405093</v>
      </c>
      <c r="H199" s="18">
        <f t="shared" si="96"/>
        <v>109561621</v>
      </c>
      <c r="I199" s="18">
        <f t="shared" si="96"/>
        <v>80394450</v>
      </c>
      <c r="J199" s="18">
        <f t="shared" si="96"/>
        <v>77885189</v>
      </c>
      <c r="K199" s="18">
        <f t="shared" si="96"/>
        <v>92991156</v>
      </c>
      <c r="L199" s="18">
        <f t="shared" si="96"/>
        <v>89581711</v>
      </c>
      <c r="M199" s="18">
        <f t="shared" si="96"/>
        <v>102607861</v>
      </c>
      <c r="N199" s="18">
        <f t="shared" si="96"/>
        <v>118405533</v>
      </c>
      <c r="O199" s="18">
        <f t="shared" si="96"/>
        <v>130822378</v>
      </c>
      <c r="P199" s="18">
        <f t="shared" si="96"/>
        <v>123042887</v>
      </c>
      <c r="Q199" s="19">
        <f t="shared" si="96"/>
        <v>80653350.901512265</v>
      </c>
      <c r="R199" s="19">
        <f t="shared" si="96"/>
        <v>71031584.477253765</v>
      </c>
      <c r="S199" s="19">
        <f t="shared" si="96"/>
        <v>69594703.340875238</v>
      </c>
      <c r="T199" s="19">
        <f t="shared" si="96"/>
        <v>66465563.55188179</v>
      </c>
      <c r="U199" s="19">
        <f t="shared" si="96"/>
        <v>66714027.766839087</v>
      </c>
      <c r="V199" s="19">
        <f t="shared" si="96"/>
        <v>63089779.117728472</v>
      </c>
      <c r="W199" s="19">
        <f t="shared" si="96"/>
        <v>60491491.378741287</v>
      </c>
      <c r="X199" s="19">
        <f t="shared" si="96"/>
        <v>54222635.204152614</v>
      </c>
      <c r="Y199" s="19">
        <f t="shared" si="96"/>
        <v>51313915.046334192</v>
      </c>
      <c r="Z199" s="19">
        <f t="shared" si="96"/>
        <v>49581800.436621279</v>
      </c>
      <c r="AA199" s="31"/>
      <c r="AC199" s="18">
        <f t="shared" si="97"/>
        <v>96294290</v>
      </c>
      <c r="AD199" s="18">
        <f t="shared" si="99"/>
        <v>96294290</v>
      </c>
      <c r="AE199" s="18">
        <f t="shared" si="100"/>
        <v>34528088</v>
      </c>
      <c r="AF199" s="18">
        <f t="shared" si="98"/>
        <v>12416845</v>
      </c>
      <c r="AG199" s="18">
        <f>O199/30</f>
        <v>4360745.9333333336</v>
      </c>
      <c r="AH199" s="18">
        <f>AD199/30</f>
        <v>3209809.6666666665</v>
      </c>
      <c r="AI199" s="18">
        <f t="shared" si="101"/>
        <v>1150936.2666666671</v>
      </c>
    </row>
    <row r="200" spans="1:35">
      <c r="A200" s="14" t="s">
        <v>47</v>
      </c>
      <c r="B200" s="18">
        <f t="shared" si="96"/>
        <v>0</v>
      </c>
      <c r="C200" s="18">
        <f t="shared" si="96"/>
        <v>3374894</v>
      </c>
      <c r="D200" s="18">
        <f t="shared" si="96"/>
        <v>16338775</v>
      </c>
      <c r="E200" s="18">
        <f t="shared" si="96"/>
        <v>54910443</v>
      </c>
      <c r="F200" s="18">
        <f t="shared" si="96"/>
        <v>61432830</v>
      </c>
      <c r="G200" s="18">
        <f t="shared" si="96"/>
        <v>79309364</v>
      </c>
      <c r="H200" s="18">
        <f t="shared" si="96"/>
        <v>124109769</v>
      </c>
      <c r="I200" s="18">
        <f t="shared" si="96"/>
        <v>110962410</v>
      </c>
      <c r="J200" s="18">
        <f t="shared" si="96"/>
        <v>77999159</v>
      </c>
      <c r="K200" s="18">
        <f t="shared" si="96"/>
        <v>85743860</v>
      </c>
      <c r="L200" s="18">
        <f t="shared" si="96"/>
        <v>88823984</v>
      </c>
      <c r="M200" s="18">
        <f t="shared" si="96"/>
        <v>85054574</v>
      </c>
      <c r="N200" s="18">
        <f t="shared" si="96"/>
        <v>97684367</v>
      </c>
      <c r="O200" s="18">
        <f t="shared" si="96"/>
        <v>153919282</v>
      </c>
      <c r="P200" s="18">
        <f t="shared" si="96"/>
        <v>103634375</v>
      </c>
      <c r="Q200" s="19">
        <f t="shared" si="96"/>
        <v>73616481.896977291</v>
      </c>
      <c r="R200" s="19">
        <f t="shared" si="96"/>
        <v>67186455.667383239</v>
      </c>
      <c r="S200" s="19">
        <f t="shared" si="96"/>
        <v>66822286.75747405</v>
      </c>
      <c r="T200" s="19">
        <f t="shared" si="96"/>
        <v>66000820.553282812</v>
      </c>
      <c r="U200" s="19">
        <f t="shared" si="96"/>
        <v>61859549.103656806</v>
      </c>
      <c r="V200" s="19">
        <f t="shared" si="96"/>
        <v>58772192.404370345</v>
      </c>
      <c r="W200" s="19">
        <f t="shared" si="96"/>
        <v>56716735.660673745</v>
      </c>
      <c r="X200" s="19">
        <f t="shared" si="96"/>
        <v>51064617.557828486</v>
      </c>
      <c r="Y200" s="19">
        <f t="shared" si="96"/>
        <v>48429011.808324464</v>
      </c>
      <c r="Z200" s="19">
        <f t="shared" si="96"/>
        <v>46293205.192361273</v>
      </c>
      <c r="AA200" s="31"/>
      <c r="AC200" s="18">
        <f t="shared" si="97"/>
        <v>87061188.799999997</v>
      </c>
      <c r="AD200" s="18">
        <f t="shared" si="99"/>
        <v>87061188.799999997</v>
      </c>
      <c r="AE200" s="18">
        <f t="shared" si="100"/>
        <v>66858093.200000003</v>
      </c>
      <c r="AF200" s="18">
        <f t="shared" si="98"/>
        <v>56234915</v>
      </c>
      <c r="AG200" s="18">
        <f>O200/31</f>
        <v>4965138.1290322579</v>
      </c>
      <c r="AH200" s="18">
        <f>AD200/31</f>
        <v>2808425.44516129</v>
      </c>
      <c r="AI200" s="18">
        <f t="shared" si="101"/>
        <v>2156712.6838709679</v>
      </c>
    </row>
    <row r="201" spans="1:35">
      <c r="A201" s="14" t="s">
        <v>48</v>
      </c>
      <c r="B201" s="18">
        <f t="shared" si="96"/>
        <v>0</v>
      </c>
      <c r="C201" s="18">
        <f t="shared" si="96"/>
        <v>5265168</v>
      </c>
      <c r="D201" s="18">
        <f t="shared" si="96"/>
        <v>13389661</v>
      </c>
      <c r="E201" s="18">
        <f t="shared" si="96"/>
        <v>70338226</v>
      </c>
      <c r="F201" s="18">
        <f t="shared" si="96"/>
        <v>69634971</v>
      </c>
      <c r="G201" s="18">
        <f t="shared" si="96"/>
        <v>85476811</v>
      </c>
      <c r="H201" s="18">
        <f t="shared" si="96"/>
        <v>160901185</v>
      </c>
      <c r="I201" s="18">
        <f t="shared" si="96"/>
        <v>172782629</v>
      </c>
      <c r="J201" s="18">
        <f t="shared" si="96"/>
        <v>67330636</v>
      </c>
      <c r="K201" s="18">
        <f t="shared" si="96"/>
        <v>89851499</v>
      </c>
      <c r="L201" s="18">
        <f t="shared" si="96"/>
        <v>62230114</v>
      </c>
      <c r="M201" s="18">
        <f t="shared" si="96"/>
        <v>102340884</v>
      </c>
      <c r="N201" s="18">
        <f t="shared" si="96"/>
        <v>88970541</v>
      </c>
      <c r="O201" s="18">
        <f t="shared" si="96"/>
        <v>134853726</v>
      </c>
      <c r="P201" s="18">
        <f t="shared" si="96"/>
        <v>155685925</v>
      </c>
      <c r="Q201" s="19">
        <f t="shared" si="96"/>
        <v>77731401.703313053</v>
      </c>
      <c r="R201" s="19">
        <f t="shared" si="96"/>
        <v>74127221.980046228</v>
      </c>
      <c r="S201" s="19">
        <f t="shared" si="96"/>
        <v>72762075.546106219</v>
      </c>
      <c r="T201" s="19">
        <f t="shared" si="96"/>
        <v>73572749.125073358</v>
      </c>
      <c r="U201" s="19">
        <f t="shared" si="96"/>
        <v>73884014.840761483</v>
      </c>
      <c r="V201" s="19">
        <f t="shared" si="96"/>
        <v>65203567.870576799</v>
      </c>
      <c r="W201" s="19">
        <f t="shared" si="96"/>
        <v>63562213.468599021</v>
      </c>
      <c r="X201" s="19">
        <f t="shared" si="96"/>
        <v>57410265.971669331</v>
      </c>
      <c r="Y201" s="19">
        <f t="shared" si="96"/>
        <v>54855097.344598986</v>
      </c>
      <c r="Z201" s="19">
        <f t="shared" si="96"/>
        <v>52641993.358012356</v>
      </c>
      <c r="AA201" s="31"/>
      <c r="AC201" s="18">
        <f t="shared" si="97"/>
        <v>82144734.799999997</v>
      </c>
      <c r="AD201" s="23">
        <f t="shared" si="99"/>
        <v>82144734.799999997</v>
      </c>
      <c r="AE201" s="23">
        <f t="shared" si="100"/>
        <v>52708991.200000003</v>
      </c>
      <c r="AF201" s="23">
        <f t="shared" si="98"/>
        <v>45883185</v>
      </c>
      <c r="AG201" s="23">
        <f>O201/30</f>
        <v>4495124.2</v>
      </c>
      <c r="AH201" s="23">
        <f>AD201/30</f>
        <v>2738157.8266666667</v>
      </c>
      <c r="AI201" s="23">
        <f t="shared" si="101"/>
        <v>1756966.3733333335</v>
      </c>
    </row>
    <row r="202" spans="1:35">
      <c r="A202" s="14" t="s">
        <v>49</v>
      </c>
      <c r="B202" s="18">
        <f t="shared" si="96"/>
        <v>2066116</v>
      </c>
      <c r="C202" s="18">
        <f t="shared" si="96"/>
        <v>3781710</v>
      </c>
      <c r="D202" s="18">
        <f t="shared" si="96"/>
        <v>9220716</v>
      </c>
      <c r="E202" s="18">
        <f t="shared" si="96"/>
        <v>78554230</v>
      </c>
      <c r="F202" s="18">
        <f t="shared" si="96"/>
        <v>102589882</v>
      </c>
      <c r="G202" s="18">
        <f t="shared" si="96"/>
        <v>127136374</v>
      </c>
      <c r="H202" s="18">
        <f t="shared" si="96"/>
        <v>113974486</v>
      </c>
      <c r="I202" s="18">
        <f t="shared" si="96"/>
        <v>134302900</v>
      </c>
      <c r="J202" s="18">
        <f t="shared" si="96"/>
        <v>58413465</v>
      </c>
      <c r="K202" s="18">
        <f t="shared" si="96"/>
        <v>87208924</v>
      </c>
      <c r="L202" s="18">
        <f t="shared" si="96"/>
        <v>67266047</v>
      </c>
      <c r="M202" s="18">
        <f t="shared" si="96"/>
        <v>27930084</v>
      </c>
      <c r="N202" s="18">
        <f t="shared" si="96"/>
        <v>42688281</v>
      </c>
      <c r="O202" s="18">
        <f t="shared" si="96"/>
        <v>129196251</v>
      </c>
      <c r="P202" s="18">
        <f t="shared" si="96"/>
        <v>113970007</v>
      </c>
      <c r="Q202" s="19">
        <f t="shared" si="96"/>
        <v>60237175.684666075</v>
      </c>
      <c r="R202" s="19">
        <f t="shared" si="96"/>
        <v>42948220.368322909</v>
      </c>
      <c r="S202" s="19">
        <f t="shared" si="96"/>
        <v>46662114.965920106</v>
      </c>
      <c r="T202" s="19">
        <f t="shared" si="96"/>
        <v>50371261.101744987</v>
      </c>
      <c r="U202" s="19">
        <f t="shared" si="96"/>
        <v>44490207.002695434</v>
      </c>
      <c r="V202" s="19">
        <f t="shared" si="96"/>
        <v>43265305.947253443</v>
      </c>
      <c r="W202" s="19">
        <f t="shared" si="96"/>
        <v>40574237.055883586</v>
      </c>
      <c r="X202" s="19">
        <f t="shared" si="96"/>
        <v>37219970.144388795</v>
      </c>
      <c r="Y202" s="19">
        <f t="shared" si="96"/>
        <v>35554089.064977616</v>
      </c>
      <c r="Z202" s="19">
        <f t="shared" si="96"/>
        <v>33659884.344244897</v>
      </c>
      <c r="AA202" s="31"/>
      <c r="AC202" s="18">
        <f t="shared" si="97"/>
        <v>56701360.200000003</v>
      </c>
      <c r="AD202" s="18">
        <f t="shared" si="99"/>
        <v>56701360.200000003</v>
      </c>
      <c r="AE202" s="19">
        <f t="shared" si="100"/>
        <v>72494890.799999997</v>
      </c>
      <c r="AF202" s="19">
        <f t="shared" si="98"/>
        <v>86507970</v>
      </c>
      <c r="AG202" s="19">
        <f>O202/31</f>
        <v>4167621</v>
      </c>
      <c r="AH202" s="18">
        <f>AD202/31</f>
        <v>1829076.135483871</v>
      </c>
      <c r="AI202" s="19">
        <f t="shared" si="101"/>
        <v>2338544.8645161288</v>
      </c>
    </row>
    <row r="203" spans="1:35">
      <c r="A203" s="14" t="s">
        <v>50</v>
      </c>
      <c r="B203" s="18">
        <f t="shared" si="96"/>
        <v>3473253</v>
      </c>
      <c r="C203" s="18">
        <f t="shared" si="96"/>
        <v>3875787</v>
      </c>
      <c r="D203" s="18">
        <f t="shared" si="96"/>
        <v>6851546</v>
      </c>
      <c r="E203" s="18">
        <f t="shared" si="96"/>
        <v>92943503</v>
      </c>
      <c r="F203" s="18">
        <f t="shared" si="96"/>
        <v>69139324</v>
      </c>
      <c r="G203" s="18">
        <f t="shared" si="96"/>
        <v>122444430</v>
      </c>
      <c r="H203" s="18">
        <f t="shared" si="96"/>
        <v>149794281</v>
      </c>
      <c r="I203" s="18">
        <f t="shared" si="96"/>
        <v>131556595</v>
      </c>
      <c r="J203" s="18">
        <f t="shared" si="96"/>
        <v>70183873</v>
      </c>
      <c r="K203" s="18">
        <f t="shared" si="96"/>
        <v>67763297</v>
      </c>
      <c r="L203" s="18">
        <f t="shared" si="96"/>
        <v>65668301</v>
      </c>
      <c r="M203" s="18">
        <f t="shared" si="96"/>
        <v>66392096</v>
      </c>
      <c r="N203" s="18">
        <f t="shared" si="96"/>
        <v>51042353</v>
      </c>
      <c r="O203" s="18">
        <f t="shared" si="96"/>
        <v>86367909</v>
      </c>
      <c r="P203" s="18">
        <f t="shared" si="96"/>
        <v>75806349</v>
      </c>
      <c r="Q203" s="19">
        <f t="shared" si="96"/>
        <v>61503657.315031961</v>
      </c>
      <c r="R203" s="19">
        <f t="shared" si="96"/>
        <v>43744999.137571715</v>
      </c>
      <c r="S203" s="19">
        <f t="shared" si="96"/>
        <v>41858671.061290935</v>
      </c>
      <c r="T203" s="19">
        <f t="shared" si="96"/>
        <v>44187688.606261879</v>
      </c>
      <c r="U203" s="19">
        <f t="shared" si="96"/>
        <v>43760375.357360378</v>
      </c>
      <c r="V203" s="19">
        <f t="shared" si="96"/>
        <v>42366893.18706122</v>
      </c>
      <c r="W203" s="19">
        <f t="shared" si="96"/>
        <v>39305335.247595921</v>
      </c>
      <c r="X203" s="19">
        <f t="shared" si="96"/>
        <v>35418899.65788921</v>
      </c>
      <c r="Y203" s="19">
        <f t="shared" si="96"/>
        <v>33915214.264022753</v>
      </c>
      <c r="Z203" s="19">
        <f t="shared" si="96"/>
        <v>32694286.871851757</v>
      </c>
      <c r="AA203" s="31"/>
      <c r="AC203" s="18">
        <f t="shared" si="97"/>
        <v>64209984</v>
      </c>
      <c r="AD203" s="18">
        <f t="shared" si="99"/>
        <v>64209984</v>
      </c>
      <c r="AE203" s="19">
        <f t="shared" si="100"/>
        <v>22157925</v>
      </c>
      <c r="AF203" s="19">
        <f t="shared" si="98"/>
        <v>35325556</v>
      </c>
      <c r="AG203" s="19">
        <f>O203/31</f>
        <v>2786061.5806451612</v>
      </c>
      <c r="AH203" s="18">
        <f>AD203/31</f>
        <v>2071289.8064516129</v>
      </c>
      <c r="AI203" s="19">
        <f t="shared" si="101"/>
        <v>714771.77419354836</v>
      </c>
    </row>
    <row r="204" spans="1:35">
      <c r="A204" s="14" t="s">
        <v>51</v>
      </c>
      <c r="B204" s="18">
        <f t="shared" si="96"/>
        <v>1863617</v>
      </c>
      <c r="C204" s="18">
        <f t="shared" si="96"/>
        <v>6967494</v>
      </c>
      <c r="D204" s="18">
        <f t="shared" si="96"/>
        <v>20989212</v>
      </c>
      <c r="E204" s="18">
        <f t="shared" si="96"/>
        <v>92773747</v>
      </c>
      <c r="F204" s="18">
        <f t="shared" si="96"/>
        <v>32550374</v>
      </c>
      <c r="G204" s="18">
        <f t="shared" si="96"/>
        <v>84763051</v>
      </c>
      <c r="H204" s="18">
        <f t="shared" si="96"/>
        <v>186019694</v>
      </c>
      <c r="I204" s="18">
        <f t="shared" si="96"/>
        <v>91962728</v>
      </c>
      <c r="J204" s="18">
        <f t="shared" si="96"/>
        <v>55797955</v>
      </c>
      <c r="K204" s="18">
        <f t="shared" si="96"/>
        <v>69715386</v>
      </c>
      <c r="L204" s="18">
        <f t="shared" si="96"/>
        <v>114785519</v>
      </c>
      <c r="M204" s="18">
        <f t="shared" si="96"/>
        <v>102341728</v>
      </c>
      <c r="N204" s="18">
        <f t="shared" si="96"/>
        <v>100210260</v>
      </c>
      <c r="O204" s="18">
        <f t="shared" si="96"/>
        <v>77820203</v>
      </c>
      <c r="P204" s="18">
        <f t="shared" si="96"/>
        <v>112741682</v>
      </c>
      <c r="Q204" s="19">
        <f t="shared" si="96"/>
        <v>70274358.936785474</v>
      </c>
      <c r="R204" s="19">
        <f t="shared" si="96"/>
        <v>54604733.564610027</v>
      </c>
      <c r="S204" s="19">
        <f t="shared" si="96"/>
        <v>49932065.226952001</v>
      </c>
      <c r="T204" s="19">
        <f t="shared" si="96"/>
        <v>46432558.678838655</v>
      </c>
      <c r="U204" s="19">
        <f t="shared" si="96"/>
        <v>47888563.817333922</v>
      </c>
      <c r="V204" s="19">
        <f t="shared" si="96"/>
        <v>47994453.739673831</v>
      </c>
      <c r="W204" s="19">
        <f t="shared" si="96"/>
        <v>44481843.42714753</v>
      </c>
      <c r="X204" s="19">
        <f t="shared" si="96"/>
        <v>39442592.743800886</v>
      </c>
      <c r="Y204" s="19">
        <f t="shared" si="96"/>
        <v>37364270.748185448</v>
      </c>
      <c r="Z204" s="19">
        <f t="shared" si="96"/>
        <v>36411571.085710987</v>
      </c>
      <c r="AA204" s="31"/>
      <c r="AC204" s="18">
        <f t="shared" si="97"/>
        <v>88570169.599999994</v>
      </c>
      <c r="AD204" s="18">
        <f t="shared" si="99"/>
        <v>88570169.599999994</v>
      </c>
      <c r="AE204" s="19">
        <f t="shared" si="100"/>
        <v>-10749966.599999994</v>
      </c>
      <c r="AF204" s="19">
        <f t="shared" si="98"/>
        <v>-22390057</v>
      </c>
      <c r="AG204" s="19">
        <f>O204/30</f>
        <v>2594006.7666666666</v>
      </c>
      <c r="AH204" s="18">
        <f>AD204/30</f>
        <v>2952338.9866666663</v>
      </c>
      <c r="AI204" s="19">
        <f t="shared" si="101"/>
        <v>-358332.21999999974</v>
      </c>
    </row>
    <row r="205" spans="1:35">
      <c r="A205" s="14" t="s">
        <v>52</v>
      </c>
      <c r="B205" s="18">
        <f t="shared" si="96"/>
        <v>5398629</v>
      </c>
      <c r="C205" s="18">
        <f t="shared" si="96"/>
        <v>6830065</v>
      </c>
      <c r="D205" s="18">
        <f t="shared" si="96"/>
        <v>25393165</v>
      </c>
      <c r="E205" s="18">
        <f t="shared" si="96"/>
        <v>91993652</v>
      </c>
      <c r="F205" s="18">
        <f t="shared" si="96"/>
        <v>34206665</v>
      </c>
      <c r="G205" s="18">
        <f t="shared" si="96"/>
        <v>123747535</v>
      </c>
      <c r="H205" s="18">
        <f t="shared" si="96"/>
        <v>149693201</v>
      </c>
      <c r="I205" s="18">
        <f t="shared" si="96"/>
        <v>109964254</v>
      </c>
      <c r="J205" s="18">
        <f t="shared" si="96"/>
        <v>30482177</v>
      </c>
      <c r="K205" s="18">
        <f t="shared" si="96"/>
        <v>95138267</v>
      </c>
      <c r="L205" s="18">
        <f t="shared" si="96"/>
        <v>87924019</v>
      </c>
      <c r="M205" s="18">
        <f t="shared" si="96"/>
        <v>116404887</v>
      </c>
      <c r="N205" s="18">
        <f t="shared" si="96"/>
        <v>106127258</v>
      </c>
      <c r="O205" s="18">
        <f t="shared" si="96"/>
        <v>167119056</v>
      </c>
      <c r="P205" s="18">
        <f t="shared" si="96"/>
        <v>69583903</v>
      </c>
      <c r="Q205" s="19">
        <f t="shared" si="96"/>
        <v>74093322.824258536</v>
      </c>
      <c r="R205" s="19">
        <f t="shared" si="96"/>
        <v>66752771.164222263</v>
      </c>
      <c r="S205" s="19">
        <f t="shared" si="96"/>
        <v>64056181.596630909</v>
      </c>
      <c r="T205" s="19">
        <f t="shared" si="96"/>
        <v>63974964.881827496</v>
      </c>
      <c r="U205" s="19">
        <f t="shared" si="96"/>
        <v>54917038.671604648</v>
      </c>
      <c r="V205" s="19">
        <f t="shared" si="96"/>
        <v>57393697.563060723</v>
      </c>
      <c r="W205" s="19">
        <f t="shared" si="96"/>
        <v>54951805.844892249</v>
      </c>
      <c r="X205" s="19">
        <f t="shared" si="96"/>
        <v>48961574.26688119</v>
      </c>
      <c r="Y205" s="19">
        <f t="shared" si="96"/>
        <v>46200845.668602973</v>
      </c>
      <c r="Z205" s="19">
        <f t="shared" si="96"/>
        <v>43957151.560877509</v>
      </c>
      <c r="AA205" s="31"/>
      <c r="AC205" s="18">
        <f t="shared" si="97"/>
        <v>87215321.599999994</v>
      </c>
      <c r="AD205" s="18">
        <f t="shared" si="99"/>
        <v>87215321.599999994</v>
      </c>
      <c r="AE205" s="19">
        <f t="shared" si="100"/>
        <v>79903734.400000006</v>
      </c>
      <c r="AF205" s="19">
        <f t="shared" si="98"/>
        <v>60991798</v>
      </c>
      <c r="AG205" s="19">
        <f>O205/31</f>
        <v>5390937.2903225804</v>
      </c>
      <c r="AH205" s="18">
        <f>AD205/31</f>
        <v>2813397.4709677417</v>
      </c>
      <c r="AI205" s="19">
        <f t="shared" si="101"/>
        <v>2577539.8193548387</v>
      </c>
    </row>
    <row r="206" spans="1:35">
      <c r="A206" s="14" t="s">
        <v>53</v>
      </c>
      <c r="B206" s="18">
        <f t="shared" si="96"/>
        <v>2985941</v>
      </c>
      <c r="C206" s="18">
        <f t="shared" si="96"/>
        <v>4792044</v>
      </c>
      <c r="D206" s="18">
        <f t="shared" si="96"/>
        <v>18738592</v>
      </c>
      <c r="E206" s="18">
        <f t="shared" si="96"/>
        <v>105949995</v>
      </c>
      <c r="F206" s="18">
        <f t="shared" si="96"/>
        <v>96637769</v>
      </c>
      <c r="G206" s="18">
        <f t="shared" ref="G206:Z206" si="102">G46+G62+G126+G142</f>
        <v>90539490</v>
      </c>
      <c r="H206" s="18">
        <f t="shared" si="102"/>
        <v>177465806</v>
      </c>
      <c r="I206" s="18">
        <f t="shared" si="102"/>
        <v>63786224</v>
      </c>
      <c r="J206" s="18">
        <f t="shared" si="102"/>
        <v>38711438</v>
      </c>
      <c r="K206" s="18">
        <f t="shared" si="102"/>
        <v>86185171</v>
      </c>
      <c r="L206" s="18">
        <f t="shared" si="102"/>
        <v>108488241</v>
      </c>
      <c r="M206" s="18">
        <f t="shared" si="102"/>
        <v>97088062</v>
      </c>
      <c r="N206" s="18">
        <f t="shared" si="102"/>
        <v>109848886</v>
      </c>
      <c r="O206" s="18">
        <f t="shared" si="102"/>
        <v>140695692</v>
      </c>
      <c r="P206" s="18">
        <f t="shared" si="102"/>
        <v>98853435</v>
      </c>
      <c r="Q206" s="19">
        <f t="shared" si="102"/>
        <v>72294965.281154796</v>
      </c>
      <c r="R206" s="19">
        <f t="shared" si="102"/>
        <v>59060658.733410031</v>
      </c>
      <c r="S206" s="19">
        <f t="shared" si="102"/>
        <v>56770896.609960459</v>
      </c>
      <c r="T206" s="19">
        <f t="shared" si="102"/>
        <v>54759921.179164633</v>
      </c>
      <c r="U206" s="19">
        <f t="shared" si="102"/>
        <v>47460654.349669196</v>
      </c>
      <c r="V206" s="19">
        <f t="shared" si="102"/>
        <v>51911186.668095022</v>
      </c>
      <c r="W206" s="19">
        <f t="shared" si="102"/>
        <v>48708013.755377077</v>
      </c>
      <c r="X206" s="19">
        <f t="shared" si="102"/>
        <v>43244265.615421623</v>
      </c>
      <c r="Y206" s="19">
        <f t="shared" si="102"/>
        <v>40636725.899279311</v>
      </c>
      <c r="Z206" s="19">
        <f t="shared" si="102"/>
        <v>38902163.472643614</v>
      </c>
      <c r="AA206" s="31"/>
      <c r="AC206" s="18">
        <f t="shared" si="97"/>
        <v>88064359.599999994</v>
      </c>
      <c r="AD206" s="18">
        <f t="shared" si="99"/>
        <v>88064359.599999994</v>
      </c>
      <c r="AE206" s="19">
        <f t="shared" si="100"/>
        <v>52631332.400000006</v>
      </c>
      <c r="AF206" s="19">
        <f t="shared" si="98"/>
        <v>30846806</v>
      </c>
      <c r="AG206" s="19">
        <f>O206/30</f>
        <v>4689856.4000000004</v>
      </c>
      <c r="AH206" s="18">
        <f>AD206/30</f>
        <v>2935478.6533333333</v>
      </c>
      <c r="AI206" s="19">
        <f t="shared" si="101"/>
        <v>1754377.7466666671</v>
      </c>
    </row>
    <row r="207" spans="1:35">
      <c r="A207" s="14" t="s">
        <v>54</v>
      </c>
      <c r="B207" s="18">
        <f t="shared" ref="B207:Z207" si="103">B47+B63+B127+B143</f>
        <v>2943750</v>
      </c>
      <c r="C207" s="18">
        <f t="shared" si="103"/>
        <v>15584528</v>
      </c>
      <c r="D207" s="18">
        <f t="shared" si="103"/>
        <v>8614856</v>
      </c>
      <c r="E207" s="18">
        <f t="shared" si="103"/>
        <v>119765902</v>
      </c>
      <c r="F207" s="18">
        <f t="shared" si="103"/>
        <v>83712511</v>
      </c>
      <c r="G207" s="18">
        <f t="shared" si="103"/>
        <v>105594838</v>
      </c>
      <c r="H207" s="18">
        <f t="shared" si="103"/>
        <v>237569595</v>
      </c>
      <c r="I207" s="18">
        <f t="shared" si="103"/>
        <v>99820840</v>
      </c>
      <c r="J207" s="18">
        <f t="shared" si="103"/>
        <v>105233988</v>
      </c>
      <c r="K207" s="18">
        <f t="shared" si="103"/>
        <v>105145322</v>
      </c>
      <c r="L207" s="18">
        <f t="shared" si="103"/>
        <v>109857958</v>
      </c>
      <c r="M207" s="18">
        <f t="shared" si="103"/>
        <v>160784136</v>
      </c>
      <c r="N207" s="18">
        <f t="shared" si="103"/>
        <v>138563192</v>
      </c>
      <c r="O207" s="18">
        <f t="shared" si="103"/>
        <v>185026318</v>
      </c>
      <c r="P207" s="18">
        <f t="shared" si="103"/>
        <v>110221962</v>
      </c>
      <c r="Q207" s="19">
        <f t="shared" si="103"/>
        <v>264771762.81879407</v>
      </c>
      <c r="R207" s="19">
        <f t="shared" si="103"/>
        <v>102875010.36077458</v>
      </c>
      <c r="S207" s="19">
        <f t="shared" si="103"/>
        <v>98872578.904860884</v>
      </c>
      <c r="T207" s="19">
        <f t="shared" si="103"/>
        <v>101338901.88542835</v>
      </c>
      <c r="U207" s="19">
        <f t="shared" si="103"/>
        <v>101885445.14107379</v>
      </c>
      <c r="V207" s="19">
        <f t="shared" si="103"/>
        <v>121048511.69333261</v>
      </c>
      <c r="W207" s="19">
        <f t="shared" si="103"/>
        <v>95976208.92992194</v>
      </c>
      <c r="X207" s="19">
        <f t="shared" si="103"/>
        <v>87035268.186702058</v>
      </c>
      <c r="Y207" s="19">
        <f t="shared" si="103"/>
        <v>83957273.738377631</v>
      </c>
      <c r="Z207" s="19">
        <f t="shared" si="103"/>
        <v>82287672.495320067</v>
      </c>
      <c r="AA207" s="31"/>
      <c r="AC207" s="18">
        <f t="shared" si="97"/>
        <v>123916919.2</v>
      </c>
      <c r="AD207" s="18">
        <f t="shared" si="99"/>
        <v>123916919.2</v>
      </c>
      <c r="AE207" s="19">
        <f t="shared" si="100"/>
        <v>61109398.799999997</v>
      </c>
      <c r="AF207" s="19">
        <f t="shared" si="98"/>
        <v>46463126</v>
      </c>
      <c r="AG207" s="19">
        <f>O207/31</f>
        <v>5968590.9032258065</v>
      </c>
      <c r="AH207" s="18">
        <f>AD207/31</f>
        <v>3997319.9741935483</v>
      </c>
      <c r="AI207" s="19">
        <f t="shared" si="101"/>
        <v>1971270.9290322582</v>
      </c>
    </row>
    <row r="208" spans="1:35">
      <c r="A208" s="14" t="s">
        <v>29</v>
      </c>
      <c r="B208" s="18">
        <f t="shared" ref="B208:N208" si="104">SUM(B196:B207)</f>
        <v>18731306</v>
      </c>
      <c r="C208" s="18">
        <f t="shared" si="104"/>
        <v>66689563</v>
      </c>
      <c r="D208" s="18">
        <f t="shared" si="104"/>
        <v>145807331</v>
      </c>
      <c r="E208" s="18">
        <f t="shared" si="104"/>
        <v>795660369</v>
      </c>
      <c r="F208" s="18">
        <f t="shared" si="104"/>
        <v>831143057</v>
      </c>
      <c r="G208" s="18">
        <f t="shared" si="104"/>
        <v>1075202875</v>
      </c>
      <c r="H208" s="18">
        <f t="shared" si="104"/>
        <v>1605719615</v>
      </c>
      <c r="I208" s="18">
        <f t="shared" si="104"/>
        <v>1278321756</v>
      </c>
      <c r="J208" s="18">
        <f t="shared" si="104"/>
        <v>789451721</v>
      </c>
      <c r="K208" s="18">
        <f t="shared" si="104"/>
        <v>991509377</v>
      </c>
      <c r="L208" s="18">
        <f t="shared" si="104"/>
        <v>1054337331</v>
      </c>
      <c r="M208" s="18">
        <f t="shared" si="104"/>
        <v>1111559236</v>
      </c>
      <c r="N208" s="18">
        <f t="shared" si="104"/>
        <v>1117341223</v>
      </c>
      <c r="O208" s="18">
        <f>SUM(O196:O207)</f>
        <v>1581452821</v>
      </c>
      <c r="P208" s="18">
        <f>SUM(P196:P207)</f>
        <v>1331112759</v>
      </c>
      <c r="Q208" s="19">
        <f t="shared" ref="Q208:Z208" si="105">SUM(Q196:Q207)</f>
        <v>889536003.36249352</v>
      </c>
      <c r="R208" s="19">
        <f t="shared" si="105"/>
        <v>750379250.34385395</v>
      </c>
      <c r="S208" s="19">
        <f t="shared" si="105"/>
        <v>729580856.53989708</v>
      </c>
      <c r="T208" s="19">
        <f t="shared" si="105"/>
        <v>723782509.13224542</v>
      </c>
      <c r="U208" s="19">
        <f t="shared" si="105"/>
        <v>687984141.06002712</v>
      </c>
      <c r="V208" s="19">
        <f t="shared" si="105"/>
        <v>667185786.83830404</v>
      </c>
      <c r="W208" s="19">
        <f t="shared" si="105"/>
        <v>637185745.36304009</v>
      </c>
      <c r="X208" s="19">
        <f t="shared" si="105"/>
        <v>571387331.3634572</v>
      </c>
      <c r="Y208" s="19">
        <f t="shared" si="105"/>
        <v>542067966.0025636</v>
      </c>
      <c r="Z208" s="19">
        <f t="shared" si="105"/>
        <v>520248607.99214637</v>
      </c>
      <c r="AA208" s="31"/>
      <c r="AC208" s="18">
        <f>SUM(AC196:AC207)</f>
        <v>1012839777.6000001</v>
      </c>
      <c r="AD208" s="18">
        <f t="shared" si="99"/>
        <v>1012839777.6</v>
      </c>
      <c r="AE208" s="19">
        <f>O208-AD208</f>
        <v>568613043.39999998</v>
      </c>
    </row>
    <row r="226" spans="1:35" ht="15.75">
      <c r="A226" s="15" t="s">
        <v>80</v>
      </c>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B226" s="16"/>
      <c r="AC226" s="16"/>
      <c r="AD226" s="16"/>
      <c r="AE226" s="16"/>
      <c r="AF226" s="16"/>
      <c r="AG226" s="16"/>
      <c r="AH226" s="16"/>
      <c r="AI226" s="16"/>
    </row>
    <row r="227" spans="1:35">
      <c r="B227" s="14">
        <f t="shared" ref="B227:Z227" si="106">B3</f>
        <v>2010</v>
      </c>
      <c r="C227" s="14">
        <f t="shared" si="106"/>
        <v>2011</v>
      </c>
      <c r="D227" s="14">
        <f t="shared" si="106"/>
        <v>2012</v>
      </c>
      <c r="E227" s="14">
        <f t="shared" si="106"/>
        <v>2013</v>
      </c>
      <c r="F227" s="14">
        <f t="shared" si="106"/>
        <v>2014</v>
      </c>
      <c r="G227" s="14">
        <f t="shared" si="106"/>
        <v>2015</v>
      </c>
      <c r="H227" s="14">
        <f t="shared" si="106"/>
        <v>2016</v>
      </c>
      <c r="I227" s="14">
        <f t="shared" si="106"/>
        <v>2017</v>
      </c>
      <c r="J227" s="14">
        <f t="shared" si="106"/>
        <v>2018</v>
      </c>
      <c r="K227" s="14">
        <f t="shared" si="106"/>
        <v>2019</v>
      </c>
      <c r="L227" s="14">
        <f t="shared" si="106"/>
        <v>2020</v>
      </c>
      <c r="M227" s="14">
        <f t="shared" si="106"/>
        <v>2021</v>
      </c>
      <c r="N227" s="14">
        <f t="shared" si="106"/>
        <v>2022</v>
      </c>
      <c r="O227" s="14">
        <f t="shared" si="106"/>
        <v>2023</v>
      </c>
      <c r="P227" s="14">
        <f t="shared" si="106"/>
        <v>2024</v>
      </c>
      <c r="Q227" s="14">
        <f t="shared" si="106"/>
        <v>2025</v>
      </c>
      <c r="R227" s="14">
        <f t="shared" si="106"/>
        <v>2026</v>
      </c>
      <c r="S227" s="14">
        <f t="shared" si="106"/>
        <v>2027</v>
      </c>
      <c r="T227" s="14">
        <f t="shared" si="106"/>
        <v>2028</v>
      </c>
      <c r="U227" s="14">
        <f t="shared" si="106"/>
        <v>2029</v>
      </c>
      <c r="V227" s="14">
        <f t="shared" si="106"/>
        <v>2030</v>
      </c>
      <c r="W227" s="14">
        <f t="shared" si="106"/>
        <v>2031</v>
      </c>
      <c r="X227" s="14">
        <f t="shared" si="106"/>
        <v>2032</v>
      </c>
      <c r="Y227" s="14">
        <f t="shared" si="106"/>
        <v>2033</v>
      </c>
      <c r="Z227" s="14">
        <f t="shared" si="106"/>
        <v>2034</v>
      </c>
      <c r="AD227" s="14" t="s">
        <v>37</v>
      </c>
      <c r="AE227" s="14" t="s">
        <v>38</v>
      </c>
      <c r="AF227" s="14" t="s">
        <v>39</v>
      </c>
      <c r="AG227" s="14" t="s">
        <v>40</v>
      </c>
      <c r="AH227" s="14" t="s">
        <v>41</v>
      </c>
      <c r="AI227" s="14" t="s">
        <v>42</v>
      </c>
    </row>
    <row r="228" spans="1:35">
      <c r="A228" s="14" t="s">
        <v>43</v>
      </c>
      <c r="B228" s="18">
        <f t="shared" ref="B228:Z238" si="107">B244+B276</f>
        <v>0</v>
      </c>
      <c r="C228" s="18">
        <f t="shared" si="107"/>
        <v>0</v>
      </c>
      <c r="D228" s="18">
        <f t="shared" si="107"/>
        <v>0</v>
      </c>
      <c r="E228" s="18">
        <f t="shared" si="107"/>
        <v>0</v>
      </c>
      <c r="F228" s="18">
        <f t="shared" si="107"/>
        <v>0</v>
      </c>
      <c r="G228" s="18">
        <f t="shared" si="107"/>
        <v>0</v>
      </c>
      <c r="H228" s="18">
        <f t="shared" si="107"/>
        <v>0</v>
      </c>
      <c r="I228" s="18">
        <f t="shared" si="107"/>
        <v>210331</v>
      </c>
      <c r="J228" s="18">
        <f t="shared" si="107"/>
        <v>139714</v>
      </c>
      <c r="K228" s="18">
        <f t="shared" si="107"/>
        <v>194630</v>
      </c>
      <c r="L228" s="18">
        <f t="shared" si="107"/>
        <v>41590</v>
      </c>
      <c r="M228" s="18">
        <f t="shared" si="107"/>
        <v>289825</v>
      </c>
      <c r="N228" s="18">
        <f t="shared" si="107"/>
        <v>402120</v>
      </c>
      <c r="O228" s="18">
        <f t="shared" si="107"/>
        <v>100937</v>
      </c>
      <c r="P228" s="18">
        <f t="shared" si="107"/>
        <v>14956665</v>
      </c>
      <c r="Q228" s="19">
        <f t="shared" si="107"/>
        <v>21110873</v>
      </c>
      <c r="R228" s="19">
        <f t="shared" si="107"/>
        <v>28176026.657202777</v>
      </c>
      <c r="S228" s="19">
        <f t="shared" si="107"/>
        <v>74491260.339565709</v>
      </c>
      <c r="T228" s="19">
        <f t="shared" si="107"/>
        <v>97158934.338565961</v>
      </c>
      <c r="U228" s="19">
        <f t="shared" si="107"/>
        <v>131242505.67301729</v>
      </c>
      <c r="V228" s="19">
        <f t="shared" si="107"/>
        <v>175990986.71918467</v>
      </c>
      <c r="W228" s="19">
        <f t="shared" si="107"/>
        <v>199104625.13643873</v>
      </c>
      <c r="X228" s="19">
        <f t="shared" si="107"/>
        <v>247213888.99023932</v>
      </c>
      <c r="Y228" s="19">
        <f t="shared" si="107"/>
        <v>258504862.48988321</v>
      </c>
      <c r="Z228" s="19">
        <f t="shared" si="107"/>
        <v>281512672.67101187</v>
      </c>
      <c r="AD228" s="18">
        <f>AVERAGE(J228:N228)</f>
        <v>213575.8</v>
      </c>
      <c r="AE228" s="18">
        <f>O228-AD228</f>
        <v>-112638.79999999999</v>
      </c>
      <c r="AF228" s="18">
        <f t="shared" ref="AF228:AF239" si="108">O228-N228</f>
        <v>-301183</v>
      </c>
      <c r="AG228" s="18">
        <f>O228/31</f>
        <v>3256.0322580645161</v>
      </c>
      <c r="AH228" s="18">
        <f>AD228/31</f>
        <v>6889.5419354838705</v>
      </c>
      <c r="AI228" s="18">
        <f>AG228-AH228</f>
        <v>-3633.5096774193544</v>
      </c>
    </row>
    <row r="229" spans="1:35">
      <c r="A229" s="14" t="s">
        <v>44</v>
      </c>
      <c r="B229" s="18">
        <f t="shared" si="107"/>
        <v>0</v>
      </c>
      <c r="C229" s="18">
        <f t="shared" si="107"/>
        <v>0</v>
      </c>
      <c r="D229" s="18">
        <f t="shared" si="107"/>
        <v>0</v>
      </c>
      <c r="E229" s="18">
        <f t="shared" si="107"/>
        <v>0</v>
      </c>
      <c r="F229" s="18">
        <f t="shared" si="107"/>
        <v>0</v>
      </c>
      <c r="G229" s="18">
        <f t="shared" si="107"/>
        <v>0</v>
      </c>
      <c r="H229" s="18">
        <f t="shared" si="107"/>
        <v>0</v>
      </c>
      <c r="I229" s="18">
        <f t="shared" si="107"/>
        <v>190622</v>
      </c>
      <c r="J229" s="18">
        <f t="shared" si="107"/>
        <v>237996</v>
      </c>
      <c r="K229" s="18">
        <f t="shared" si="107"/>
        <v>187609</v>
      </c>
      <c r="L229" s="18">
        <f t="shared" si="107"/>
        <v>0</v>
      </c>
      <c r="M229" s="18">
        <f t="shared" si="107"/>
        <v>294725</v>
      </c>
      <c r="N229" s="18">
        <f t="shared" si="107"/>
        <v>3366468</v>
      </c>
      <c r="O229" s="18">
        <f t="shared" si="107"/>
        <v>3956644</v>
      </c>
      <c r="P229" s="18">
        <f t="shared" si="107"/>
        <v>1254939</v>
      </c>
      <c r="Q229" s="19">
        <f t="shared" si="107"/>
        <v>15728119</v>
      </c>
      <c r="R229" s="19">
        <f t="shared" si="107"/>
        <v>53103788.275166623</v>
      </c>
      <c r="S229" s="19">
        <f t="shared" si="107"/>
        <v>140944637.95458713</v>
      </c>
      <c r="T229" s="19">
        <f t="shared" si="107"/>
        <v>184384175.11398625</v>
      </c>
      <c r="U229" s="19">
        <f t="shared" si="107"/>
        <v>232848005.70315263</v>
      </c>
      <c r="V229" s="19">
        <f t="shared" si="107"/>
        <v>318448545.13077551</v>
      </c>
      <c r="W229" s="19">
        <f t="shared" si="107"/>
        <v>368813350.45361477</v>
      </c>
      <c r="X229" s="19">
        <f t="shared" si="107"/>
        <v>460245898.50804436</v>
      </c>
      <c r="Y229" s="19">
        <f t="shared" si="107"/>
        <v>480252666.85279536</v>
      </c>
      <c r="Z229" s="19">
        <f t="shared" si="107"/>
        <v>521362974.97019267</v>
      </c>
      <c r="AD229" s="18">
        <f t="shared" ref="AD229:AD240" si="109">AVERAGE(J229:N229)</f>
        <v>817359.6</v>
      </c>
      <c r="AE229" s="18">
        <f t="shared" ref="AE229:AE240" si="110">O229-AD229</f>
        <v>3139284.4</v>
      </c>
      <c r="AF229" s="18">
        <f t="shared" si="108"/>
        <v>590176</v>
      </c>
      <c r="AG229" s="18">
        <f>O229/28</f>
        <v>141308.71428571429</v>
      </c>
      <c r="AH229" s="18">
        <f>AD229/28</f>
        <v>29191.414285714283</v>
      </c>
      <c r="AI229" s="18">
        <f t="shared" ref="AI229:AI239" si="111">AG229-AH229</f>
        <v>112117.3</v>
      </c>
    </row>
    <row r="230" spans="1:35">
      <c r="A230" s="14" t="s">
        <v>45</v>
      </c>
      <c r="B230" s="18">
        <f t="shared" si="107"/>
        <v>0</v>
      </c>
      <c r="C230" s="18">
        <f t="shared" si="107"/>
        <v>0</v>
      </c>
      <c r="D230" s="18">
        <f t="shared" si="107"/>
        <v>0</v>
      </c>
      <c r="E230" s="18">
        <f t="shared" si="107"/>
        <v>0</v>
      </c>
      <c r="F230" s="18">
        <f t="shared" si="107"/>
        <v>0</v>
      </c>
      <c r="G230" s="18">
        <f t="shared" si="107"/>
        <v>0</v>
      </c>
      <c r="H230" s="18">
        <f t="shared" si="107"/>
        <v>0</v>
      </c>
      <c r="I230" s="18">
        <f t="shared" si="107"/>
        <v>184825</v>
      </c>
      <c r="J230" s="18">
        <f t="shared" si="107"/>
        <v>103790</v>
      </c>
      <c r="K230" s="18">
        <f t="shared" si="107"/>
        <v>183940</v>
      </c>
      <c r="L230" s="18">
        <f t="shared" si="107"/>
        <v>280826</v>
      </c>
      <c r="M230" s="18">
        <f t="shared" si="107"/>
        <v>288906</v>
      </c>
      <c r="N230" s="18">
        <f t="shared" si="107"/>
        <v>4060091</v>
      </c>
      <c r="O230" s="18">
        <f t="shared" si="107"/>
        <v>3060588</v>
      </c>
      <c r="P230" s="18">
        <f t="shared" si="107"/>
        <v>11180762</v>
      </c>
      <c r="Q230" s="19">
        <f t="shared" si="107"/>
        <v>11815724</v>
      </c>
      <c r="R230" s="19">
        <f t="shared" si="107"/>
        <v>21852170.695524883</v>
      </c>
      <c r="S230" s="19">
        <f t="shared" si="107"/>
        <v>57262320.639850184</v>
      </c>
      <c r="T230" s="19">
        <f t="shared" si="107"/>
        <v>74158687.879166663</v>
      </c>
      <c r="U230" s="19">
        <f t="shared" si="107"/>
        <v>98710794.453884527</v>
      </c>
      <c r="V230" s="19">
        <f t="shared" si="107"/>
        <v>131913708.88944055</v>
      </c>
      <c r="W230" s="19">
        <f t="shared" si="107"/>
        <v>150764833.84560236</v>
      </c>
      <c r="X230" s="19">
        <f t="shared" si="107"/>
        <v>187172329.44646016</v>
      </c>
      <c r="Y230" s="19">
        <f t="shared" si="107"/>
        <v>195474037.75174895</v>
      </c>
      <c r="Z230" s="19">
        <f t="shared" si="107"/>
        <v>212664653.58809462</v>
      </c>
      <c r="AD230" s="18">
        <f t="shared" si="109"/>
        <v>983510.6</v>
      </c>
      <c r="AE230" s="18">
        <f t="shared" si="110"/>
        <v>2077077.4</v>
      </c>
      <c r="AF230" s="18">
        <f t="shared" si="108"/>
        <v>-999503</v>
      </c>
      <c r="AG230" s="18">
        <f>O230/31</f>
        <v>98728.645161290318</v>
      </c>
      <c r="AH230" s="18">
        <f>AD230/31</f>
        <v>31726.148387096775</v>
      </c>
      <c r="AI230" s="18">
        <f t="shared" si="111"/>
        <v>67002.49677419354</v>
      </c>
    </row>
    <row r="231" spans="1:35">
      <c r="A231" s="14" t="s">
        <v>46</v>
      </c>
      <c r="B231" s="18">
        <f t="shared" si="107"/>
        <v>0</v>
      </c>
      <c r="C231" s="18">
        <f t="shared" si="107"/>
        <v>0</v>
      </c>
      <c r="D231" s="18">
        <f t="shared" si="107"/>
        <v>0</v>
      </c>
      <c r="E231" s="18">
        <f t="shared" si="107"/>
        <v>0</v>
      </c>
      <c r="F231" s="18">
        <f t="shared" si="107"/>
        <v>0</v>
      </c>
      <c r="G231" s="18">
        <f t="shared" si="107"/>
        <v>0</v>
      </c>
      <c r="H231" s="18">
        <f t="shared" si="107"/>
        <v>0</v>
      </c>
      <c r="I231" s="18">
        <f t="shared" si="107"/>
        <v>0</v>
      </c>
      <c r="J231" s="18">
        <f t="shared" si="107"/>
        <v>184634</v>
      </c>
      <c r="K231" s="18">
        <f t="shared" si="107"/>
        <v>245975</v>
      </c>
      <c r="L231" s="18">
        <f t="shared" si="107"/>
        <v>1234442</v>
      </c>
      <c r="M231" s="18">
        <f t="shared" si="107"/>
        <v>293289</v>
      </c>
      <c r="N231" s="18">
        <f t="shared" si="107"/>
        <v>408991</v>
      </c>
      <c r="O231" s="18">
        <f t="shared" si="107"/>
        <v>3150207</v>
      </c>
      <c r="P231" s="18">
        <f t="shared" si="107"/>
        <v>11864148</v>
      </c>
      <c r="Q231" s="19">
        <f t="shared" si="107"/>
        <v>16350193.91560312</v>
      </c>
      <c r="R231" s="19">
        <f t="shared" si="107"/>
        <v>34171756.094504431</v>
      </c>
      <c r="S231" s="19">
        <f t="shared" si="107"/>
        <v>90632408.167907804</v>
      </c>
      <c r="T231" s="19">
        <f t="shared" si="107"/>
        <v>118587704.01738468</v>
      </c>
      <c r="U231" s="19">
        <f t="shared" si="107"/>
        <v>154944810.33021232</v>
      </c>
      <c r="V231" s="19">
        <f t="shared" si="107"/>
        <v>208691374.97321945</v>
      </c>
      <c r="W231" s="19">
        <f t="shared" si="107"/>
        <v>239455298.64027932</v>
      </c>
      <c r="X231" s="19">
        <f t="shared" si="107"/>
        <v>298026478.91818124</v>
      </c>
      <c r="Y231" s="19">
        <f t="shared" si="107"/>
        <v>311293259.25268179</v>
      </c>
      <c r="Z231" s="19">
        <f t="shared" si="107"/>
        <v>338391969.61107355</v>
      </c>
      <c r="AD231" s="18">
        <f t="shared" si="109"/>
        <v>473466.2</v>
      </c>
      <c r="AE231" s="18">
        <f t="shared" si="110"/>
        <v>2676740.7999999998</v>
      </c>
      <c r="AF231" s="18">
        <f t="shared" si="108"/>
        <v>2741216</v>
      </c>
      <c r="AG231" s="18">
        <f>O231/30</f>
        <v>105006.9</v>
      </c>
      <c r="AH231" s="18">
        <f>AD231/30</f>
        <v>15782.206666666667</v>
      </c>
      <c r="AI231" s="18">
        <f t="shared" si="111"/>
        <v>89224.693333333329</v>
      </c>
    </row>
    <row r="232" spans="1:35">
      <c r="A232" s="14" t="s">
        <v>47</v>
      </c>
      <c r="B232" s="18">
        <f t="shared" si="107"/>
        <v>0</v>
      </c>
      <c r="C232" s="18">
        <f t="shared" si="107"/>
        <v>0</v>
      </c>
      <c r="D232" s="18">
        <f t="shared" si="107"/>
        <v>0</v>
      </c>
      <c r="E232" s="18">
        <f t="shared" si="107"/>
        <v>0</v>
      </c>
      <c r="F232" s="18">
        <f t="shared" si="107"/>
        <v>0</v>
      </c>
      <c r="G232" s="18">
        <f t="shared" si="107"/>
        <v>0</v>
      </c>
      <c r="H232" s="18">
        <f t="shared" si="107"/>
        <v>0</v>
      </c>
      <c r="I232" s="18">
        <f t="shared" si="107"/>
        <v>134485</v>
      </c>
      <c r="J232" s="18">
        <f t="shared" si="107"/>
        <v>64189</v>
      </c>
      <c r="K232" s="18">
        <f t="shared" si="107"/>
        <v>254288</v>
      </c>
      <c r="L232" s="18">
        <f t="shared" si="107"/>
        <v>0</v>
      </c>
      <c r="M232" s="18">
        <f t="shared" si="107"/>
        <v>287496</v>
      </c>
      <c r="N232" s="18">
        <f t="shared" si="107"/>
        <v>202831</v>
      </c>
      <c r="O232" s="18">
        <f t="shared" si="107"/>
        <v>1626715</v>
      </c>
      <c r="P232" s="18">
        <f t="shared" si="107"/>
        <v>26929067</v>
      </c>
      <c r="Q232" s="19">
        <f t="shared" si="107"/>
        <v>18627232.818878412</v>
      </c>
      <c r="R232" s="19">
        <f t="shared" si="107"/>
        <v>44624955.726316832</v>
      </c>
      <c r="S232" s="19">
        <f t="shared" si="107"/>
        <v>119163992.60153636</v>
      </c>
      <c r="T232" s="19">
        <f t="shared" si="107"/>
        <v>156004675.7206462</v>
      </c>
      <c r="U232" s="19">
        <f t="shared" si="107"/>
        <v>206320099.26700297</v>
      </c>
      <c r="V232" s="19">
        <f t="shared" si="107"/>
        <v>274390194.72292912</v>
      </c>
      <c r="W232" s="19">
        <f t="shared" si="107"/>
        <v>315708359.84181815</v>
      </c>
      <c r="X232" s="19">
        <f t="shared" si="107"/>
        <v>392838587.6870001</v>
      </c>
      <c r="Y232" s="19">
        <f t="shared" si="107"/>
        <v>410399559.68171471</v>
      </c>
      <c r="Z232" s="19">
        <f t="shared" si="107"/>
        <v>446245930.09006697</v>
      </c>
      <c r="AD232" s="18">
        <f t="shared" si="109"/>
        <v>161760.79999999999</v>
      </c>
      <c r="AE232" s="18">
        <f t="shared" si="110"/>
        <v>1464954.2</v>
      </c>
      <c r="AF232" s="18">
        <f t="shared" si="108"/>
        <v>1423884</v>
      </c>
      <c r="AG232" s="18">
        <f>O232/31</f>
        <v>52474.677419354841</v>
      </c>
      <c r="AH232" s="18">
        <f>AD232/31</f>
        <v>5218.0903225806451</v>
      </c>
      <c r="AI232" s="18">
        <f t="shared" si="111"/>
        <v>47256.587096774194</v>
      </c>
    </row>
    <row r="233" spans="1:35">
      <c r="A233" s="14" t="s">
        <v>48</v>
      </c>
      <c r="B233" s="18">
        <f t="shared" si="107"/>
        <v>0</v>
      </c>
      <c r="C233" s="18">
        <f t="shared" si="107"/>
        <v>0</v>
      </c>
      <c r="D233" s="18">
        <f t="shared" si="107"/>
        <v>0</v>
      </c>
      <c r="E233" s="18">
        <f t="shared" si="107"/>
        <v>0</v>
      </c>
      <c r="F233" s="18">
        <f t="shared" si="107"/>
        <v>0</v>
      </c>
      <c r="G233" s="18">
        <f t="shared" si="107"/>
        <v>0</v>
      </c>
      <c r="H233" s="18">
        <f t="shared" si="107"/>
        <v>0</v>
      </c>
      <c r="I233" s="18">
        <f t="shared" si="107"/>
        <v>127471</v>
      </c>
      <c r="J233" s="18">
        <f t="shared" si="107"/>
        <v>140194</v>
      </c>
      <c r="K233" s="18">
        <f t="shared" si="107"/>
        <v>223279</v>
      </c>
      <c r="L233" s="18">
        <f t="shared" si="107"/>
        <v>508513</v>
      </c>
      <c r="M233" s="18">
        <f t="shared" si="107"/>
        <v>357317</v>
      </c>
      <c r="N233" s="18">
        <f t="shared" si="107"/>
        <v>3249440</v>
      </c>
      <c r="O233" s="18">
        <f t="shared" si="107"/>
        <v>3218059</v>
      </c>
      <c r="P233" s="18">
        <f t="shared" si="107"/>
        <v>8231655</v>
      </c>
      <c r="Q233" s="19">
        <f t="shared" si="107"/>
        <v>19022160.24137735</v>
      </c>
      <c r="R233" s="19">
        <f t="shared" si="107"/>
        <v>42897312.720418736</v>
      </c>
      <c r="S233" s="19">
        <f t="shared" si="107"/>
        <v>113678842.68495598</v>
      </c>
      <c r="T233" s="19">
        <f t="shared" si="107"/>
        <v>148660387.45970511</v>
      </c>
      <c r="U233" s="19">
        <f t="shared" si="107"/>
        <v>191899833.00838882</v>
      </c>
      <c r="V233" s="19">
        <f t="shared" si="107"/>
        <v>260427780.39140013</v>
      </c>
      <c r="W233" s="19">
        <f t="shared" si="107"/>
        <v>299420298.9217397</v>
      </c>
      <c r="X233" s="19">
        <f t="shared" si="107"/>
        <v>372939889.51431137</v>
      </c>
      <c r="Y233" s="19">
        <f t="shared" si="107"/>
        <v>389404700.03232974</v>
      </c>
      <c r="Z233" s="19">
        <f t="shared" si="107"/>
        <v>423134618.83736545</v>
      </c>
      <c r="AD233" s="23">
        <f t="shared" si="109"/>
        <v>895748.6</v>
      </c>
      <c r="AE233" s="23">
        <f t="shared" si="110"/>
        <v>2322310.4</v>
      </c>
      <c r="AF233" s="23">
        <f t="shared" si="108"/>
        <v>-31381</v>
      </c>
      <c r="AG233" s="23">
        <f>O233/30</f>
        <v>107268.63333333333</v>
      </c>
      <c r="AH233" s="23">
        <f>AD233/30</f>
        <v>29858.286666666667</v>
      </c>
      <c r="AI233" s="23">
        <f t="shared" si="111"/>
        <v>77410.346666666665</v>
      </c>
    </row>
    <row r="234" spans="1:35">
      <c r="A234" s="14" t="s">
        <v>49</v>
      </c>
      <c r="B234" s="18">
        <f t="shared" si="107"/>
        <v>0</v>
      </c>
      <c r="C234" s="18">
        <f t="shared" si="107"/>
        <v>0</v>
      </c>
      <c r="D234" s="18">
        <f t="shared" si="107"/>
        <v>0</v>
      </c>
      <c r="E234" s="18">
        <f t="shared" si="107"/>
        <v>0</v>
      </c>
      <c r="F234" s="18">
        <f t="shared" si="107"/>
        <v>0</v>
      </c>
      <c r="G234" s="18">
        <f t="shared" si="107"/>
        <v>0</v>
      </c>
      <c r="H234" s="18">
        <f t="shared" si="107"/>
        <v>0</v>
      </c>
      <c r="I234" s="18">
        <f t="shared" si="107"/>
        <v>120661</v>
      </c>
      <c r="J234" s="18">
        <f t="shared" si="107"/>
        <v>82231</v>
      </c>
      <c r="K234" s="18">
        <f t="shared" si="107"/>
        <v>146613</v>
      </c>
      <c r="L234" s="18">
        <f t="shared" si="107"/>
        <v>1536725</v>
      </c>
      <c r="M234" s="18">
        <f t="shared" si="107"/>
        <v>1093159</v>
      </c>
      <c r="N234" s="18">
        <f t="shared" si="107"/>
        <v>1137973</v>
      </c>
      <c r="O234" s="18">
        <f t="shared" si="107"/>
        <v>1770762</v>
      </c>
      <c r="P234" s="19">
        <f t="shared" si="107"/>
        <v>14356802</v>
      </c>
      <c r="Q234" s="19">
        <f t="shared" si="107"/>
        <v>23370959.969193749</v>
      </c>
      <c r="R234" s="19">
        <f t="shared" si="107"/>
        <v>47193229.7629034</v>
      </c>
      <c r="S234" s="19">
        <f t="shared" si="107"/>
        <v>123776764.39956695</v>
      </c>
      <c r="T234" s="19">
        <f t="shared" si="107"/>
        <v>161827348.99290442</v>
      </c>
      <c r="U234" s="19">
        <f t="shared" si="107"/>
        <v>211403493.30644497</v>
      </c>
      <c r="V234" s="19">
        <f t="shared" si="107"/>
        <v>285610813.24463153</v>
      </c>
      <c r="W234" s="19">
        <f t="shared" si="107"/>
        <v>327405454.64074177</v>
      </c>
      <c r="X234" s="19">
        <f t="shared" si="107"/>
        <v>407210673.34979546</v>
      </c>
      <c r="Y234" s="19">
        <f t="shared" si="107"/>
        <v>425335358.01147532</v>
      </c>
      <c r="Z234" s="19">
        <f t="shared" si="107"/>
        <v>462419106.55801398</v>
      </c>
      <c r="AD234" s="18">
        <f t="shared" si="109"/>
        <v>799340.2</v>
      </c>
      <c r="AE234" s="19">
        <f t="shared" si="110"/>
        <v>971421.8</v>
      </c>
      <c r="AF234" s="19">
        <f t="shared" si="108"/>
        <v>632789</v>
      </c>
      <c r="AG234" s="19">
        <f>O234/31</f>
        <v>57121.354838709674</v>
      </c>
      <c r="AH234" s="18">
        <f>AD234/31</f>
        <v>25785.167741935482</v>
      </c>
      <c r="AI234" s="19">
        <f t="shared" si="111"/>
        <v>31336.187096774192</v>
      </c>
    </row>
    <row r="235" spans="1:35">
      <c r="A235" s="14" t="s">
        <v>50</v>
      </c>
      <c r="B235" s="18">
        <f t="shared" si="107"/>
        <v>0</v>
      </c>
      <c r="C235" s="18">
        <f t="shared" si="107"/>
        <v>0</v>
      </c>
      <c r="D235" s="18">
        <f t="shared" si="107"/>
        <v>0</v>
      </c>
      <c r="E235" s="18">
        <f t="shared" si="107"/>
        <v>0</v>
      </c>
      <c r="F235" s="18">
        <f t="shared" si="107"/>
        <v>0</v>
      </c>
      <c r="G235" s="18">
        <f t="shared" si="107"/>
        <v>0</v>
      </c>
      <c r="H235" s="18">
        <f t="shared" si="107"/>
        <v>0</v>
      </c>
      <c r="I235" s="18">
        <f t="shared" si="107"/>
        <v>174175</v>
      </c>
      <c r="J235" s="18">
        <f t="shared" si="107"/>
        <v>70236</v>
      </c>
      <c r="K235" s="18">
        <f t="shared" si="107"/>
        <v>271757</v>
      </c>
      <c r="L235" s="18">
        <f t="shared" si="107"/>
        <v>63855</v>
      </c>
      <c r="M235" s="18">
        <f t="shared" si="107"/>
        <v>722058</v>
      </c>
      <c r="N235" s="18">
        <f t="shared" si="107"/>
        <v>3027759</v>
      </c>
      <c r="O235" s="18">
        <f t="shared" si="107"/>
        <v>5821045</v>
      </c>
      <c r="P235" s="19">
        <f t="shared" si="107"/>
        <v>15213887</v>
      </c>
      <c r="Q235" s="19">
        <f t="shared" si="107"/>
        <v>22031700.415693574</v>
      </c>
      <c r="R235" s="19">
        <f t="shared" si="107"/>
        <v>47361396.202738136</v>
      </c>
      <c r="S235" s="19">
        <f t="shared" si="107"/>
        <v>135530469.76068765</v>
      </c>
      <c r="T235" s="19">
        <f t="shared" si="107"/>
        <v>174974770.03776723</v>
      </c>
      <c r="U235" s="19">
        <f t="shared" si="107"/>
        <v>264349184.05686441</v>
      </c>
      <c r="V235" s="19">
        <f t="shared" si="107"/>
        <v>-343122803.99612296</v>
      </c>
      <c r="W235" s="19">
        <f t="shared" si="107"/>
        <v>10417677835.456963</v>
      </c>
      <c r="X235" s="19">
        <f t="shared" si="107"/>
        <v>-143043447104.2543</v>
      </c>
      <c r="Y235" s="19">
        <f t="shared" si="107"/>
        <v>1906376343905.7214</v>
      </c>
      <c r="Z235" s="19">
        <f t="shared" si="107"/>
        <v>-23698686561159.746</v>
      </c>
      <c r="AD235" s="18">
        <f t="shared" si="109"/>
        <v>831133</v>
      </c>
      <c r="AE235" s="19">
        <f t="shared" si="110"/>
        <v>4989912</v>
      </c>
      <c r="AF235" s="19">
        <f t="shared" si="108"/>
        <v>2793286</v>
      </c>
      <c r="AG235" s="19">
        <f>O235/31</f>
        <v>187775.64516129033</v>
      </c>
      <c r="AH235" s="18">
        <f>AD235/31</f>
        <v>26810.741935483871</v>
      </c>
      <c r="AI235" s="19">
        <f t="shared" si="111"/>
        <v>160964.90322580645</v>
      </c>
    </row>
    <row r="236" spans="1:35">
      <c r="A236" s="14" t="s">
        <v>51</v>
      </c>
      <c r="B236" s="18">
        <f t="shared" si="107"/>
        <v>0</v>
      </c>
      <c r="C236" s="18">
        <f t="shared" si="107"/>
        <v>0</v>
      </c>
      <c r="D236" s="18">
        <f t="shared" si="107"/>
        <v>0</v>
      </c>
      <c r="E236" s="18">
        <f t="shared" si="107"/>
        <v>0</v>
      </c>
      <c r="F236" s="18">
        <f t="shared" si="107"/>
        <v>0</v>
      </c>
      <c r="G236" s="18">
        <f t="shared" si="107"/>
        <v>0</v>
      </c>
      <c r="H236" s="18">
        <f t="shared" si="107"/>
        <v>230790</v>
      </c>
      <c r="I236" s="18">
        <f t="shared" si="107"/>
        <v>137952</v>
      </c>
      <c r="J236" s="18">
        <f t="shared" si="107"/>
        <v>151082</v>
      </c>
      <c r="K236" s="18">
        <f t="shared" si="107"/>
        <v>275529</v>
      </c>
      <c r="L236" s="18">
        <f t="shared" si="107"/>
        <v>371169</v>
      </c>
      <c r="M236" s="18">
        <f t="shared" si="107"/>
        <v>300122</v>
      </c>
      <c r="N236" s="18">
        <f t="shared" si="107"/>
        <v>393571</v>
      </c>
      <c r="O236" s="18">
        <f t="shared" si="107"/>
        <v>3065321</v>
      </c>
      <c r="P236" s="19">
        <f t="shared" si="107"/>
        <v>27568898</v>
      </c>
      <c r="Q236" s="19">
        <f t="shared" si="107"/>
        <v>23986224.549409911</v>
      </c>
      <c r="R236" s="19">
        <f t="shared" si="107"/>
        <v>60936183.965476431</v>
      </c>
      <c r="S236" s="19">
        <f t="shared" si="107"/>
        <v>163559230.48722142</v>
      </c>
      <c r="T236" s="19">
        <f t="shared" si="107"/>
        <v>214262037.31497991</v>
      </c>
      <c r="U236" s="19">
        <f t="shared" si="107"/>
        <v>280452118.62001914</v>
      </c>
      <c r="V236" s="19">
        <f t="shared" si="107"/>
        <v>374893687.38982749</v>
      </c>
      <c r="W236" s="19">
        <f t="shared" si="107"/>
        <v>432238030.4080134</v>
      </c>
      <c r="X236" s="19">
        <f t="shared" si="107"/>
        <v>538328802.26375806</v>
      </c>
      <c r="Y236" s="19">
        <f t="shared" si="107"/>
        <v>562238244.51026654</v>
      </c>
      <c r="Z236" s="19">
        <f t="shared" si="107"/>
        <v>611094667.47121477</v>
      </c>
      <c r="AD236" s="18">
        <f t="shared" si="109"/>
        <v>298294.59999999998</v>
      </c>
      <c r="AE236" s="19">
        <f t="shared" si="110"/>
        <v>2767026.4</v>
      </c>
      <c r="AF236" s="19">
        <f t="shared" si="108"/>
        <v>2671750</v>
      </c>
      <c r="AG236" s="19">
        <f>O236/30</f>
        <v>102177.36666666667</v>
      </c>
      <c r="AH236" s="18">
        <f>AD236/30</f>
        <v>9943.1533333333318</v>
      </c>
      <c r="AI236" s="19">
        <f t="shared" si="111"/>
        <v>92234.213333333333</v>
      </c>
    </row>
    <row r="237" spans="1:35">
      <c r="A237" s="14" t="s">
        <v>52</v>
      </c>
      <c r="B237" s="18">
        <f t="shared" si="107"/>
        <v>0</v>
      </c>
      <c r="C237" s="18">
        <f t="shared" si="107"/>
        <v>0</v>
      </c>
      <c r="D237" s="18">
        <f t="shared" si="107"/>
        <v>0</v>
      </c>
      <c r="E237" s="18">
        <f t="shared" si="107"/>
        <v>0</v>
      </c>
      <c r="F237" s="18">
        <f t="shared" si="107"/>
        <v>0</v>
      </c>
      <c r="G237" s="18">
        <f t="shared" si="107"/>
        <v>0</v>
      </c>
      <c r="H237" s="18">
        <f t="shared" si="107"/>
        <v>181093</v>
      </c>
      <c r="I237" s="18">
        <f t="shared" si="107"/>
        <v>160272</v>
      </c>
      <c r="J237" s="18">
        <f t="shared" si="107"/>
        <v>229089</v>
      </c>
      <c r="K237" s="18">
        <f t="shared" si="107"/>
        <v>216574</v>
      </c>
      <c r="L237" s="18">
        <f t="shared" si="107"/>
        <v>188416</v>
      </c>
      <c r="M237" s="18">
        <f t="shared" si="107"/>
        <v>437741</v>
      </c>
      <c r="N237" s="18">
        <f t="shared" si="107"/>
        <v>1764631</v>
      </c>
      <c r="O237" s="18">
        <f t="shared" si="107"/>
        <v>4584185</v>
      </c>
      <c r="P237" s="19">
        <f t="shared" si="107"/>
        <v>12194695</v>
      </c>
      <c r="Q237" s="19">
        <f t="shared" si="107"/>
        <v>23504739.0150152</v>
      </c>
      <c r="R237" s="19">
        <f t="shared" si="107"/>
        <v>58754236.287912466</v>
      </c>
      <c r="S237" s="19">
        <f t="shared" si="107"/>
        <v>159642952.23726985</v>
      </c>
      <c r="T237" s="19">
        <f t="shared" si="107"/>
        <v>207823540.30174258</v>
      </c>
      <c r="U237" s="19">
        <f t="shared" si="107"/>
        <v>288584466.10427517</v>
      </c>
      <c r="V237" s="19">
        <f t="shared" si="107"/>
        <v>1369605.0868040361</v>
      </c>
      <c r="W237" s="19">
        <f t="shared" si="107"/>
        <v>6024798644.885335</v>
      </c>
      <c r="X237" s="19">
        <f t="shared" si="107"/>
        <v>-79394196113.448013</v>
      </c>
      <c r="Y237" s="19">
        <f t="shared" si="107"/>
        <v>1062088332989.5765</v>
      </c>
      <c r="Z237" s="19">
        <f t="shared" si="107"/>
        <v>-13199200031485.563</v>
      </c>
      <c r="AD237" s="18">
        <f t="shared" si="109"/>
        <v>567290.19999999995</v>
      </c>
      <c r="AE237" s="19">
        <f t="shared" si="110"/>
        <v>4016894.8</v>
      </c>
      <c r="AF237" s="19">
        <f t="shared" si="108"/>
        <v>2819554</v>
      </c>
      <c r="AG237" s="19">
        <f>O237/31</f>
        <v>147876.93548387097</v>
      </c>
      <c r="AH237" s="18">
        <f>AD237/31</f>
        <v>18299.683870967739</v>
      </c>
      <c r="AI237" s="19">
        <f t="shared" si="111"/>
        <v>129577.25161290323</v>
      </c>
    </row>
    <row r="238" spans="1:35">
      <c r="A238" s="14" t="s">
        <v>53</v>
      </c>
      <c r="B238" s="18">
        <f t="shared" si="107"/>
        <v>0</v>
      </c>
      <c r="C238" s="18">
        <f t="shared" si="107"/>
        <v>0</v>
      </c>
      <c r="D238" s="18">
        <f t="shared" si="107"/>
        <v>0</v>
      </c>
      <c r="E238" s="18">
        <f t="shared" si="107"/>
        <v>0</v>
      </c>
      <c r="F238" s="18">
        <f t="shared" si="107"/>
        <v>0</v>
      </c>
      <c r="G238" s="18">
        <f t="shared" ref="G238:Z238" si="112">G254+G286</f>
        <v>0</v>
      </c>
      <c r="H238" s="18">
        <f t="shared" si="112"/>
        <v>192991</v>
      </c>
      <c r="I238" s="18">
        <f t="shared" si="112"/>
        <v>68957</v>
      </c>
      <c r="J238" s="18">
        <f t="shared" si="112"/>
        <v>152783</v>
      </c>
      <c r="K238" s="18">
        <f t="shared" si="112"/>
        <v>91175</v>
      </c>
      <c r="L238" s="18">
        <f t="shared" si="112"/>
        <v>188201</v>
      </c>
      <c r="M238" s="18">
        <f t="shared" si="112"/>
        <v>403482</v>
      </c>
      <c r="N238" s="18">
        <f t="shared" si="112"/>
        <v>152226</v>
      </c>
      <c r="O238" s="18">
        <f t="shared" si="112"/>
        <v>764623</v>
      </c>
      <c r="P238" s="19">
        <f t="shared" si="112"/>
        <v>4417889</v>
      </c>
      <c r="Q238" s="19">
        <f t="shared" si="112"/>
        <v>22400032.424731039</v>
      </c>
      <c r="R238" s="19">
        <f t="shared" si="112"/>
        <v>49560291.106830105</v>
      </c>
      <c r="S238" s="19">
        <f t="shared" si="112"/>
        <v>137491074.2880052</v>
      </c>
      <c r="T238" s="19">
        <f t="shared" si="112"/>
        <v>179249104.73042366</v>
      </c>
      <c r="U238" s="19">
        <f t="shared" si="112"/>
        <v>248889137.75641957</v>
      </c>
      <c r="V238" s="19">
        <f t="shared" si="112"/>
        <v>-19965126.486530114</v>
      </c>
      <c r="W238" s="19">
        <f t="shared" si="112"/>
        <v>5528045726.0517035</v>
      </c>
      <c r="X238" s="19">
        <f t="shared" si="112"/>
        <v>-73211974184.910675</v>
      </c>
      <c r="Y238" s="19">
        <f t="shared" si="112"/>
        <v>978942287884.75464</v>
      </c>
      <c r="Z238" s="19">
        <f t="shared" si="112"/>
        <v>-12166328913690.301</v>
      </c>
      <c r="AD238" s="18">
        <f t="shared" si="109"/>
        <v>197573.4</v>
      </c>
      <c r="AE238" s="19">
        <f t="shared" si="110"/>
        <v>567049.6</v>
      </c>
      <c r="AF238" s="19">
        <f t="shared" si="108"/>
        <v>612397</v>
      </c>
      <c r="AG238" s="19">
        <f>O238/30</f>
        <v>25487.433333333334</v>
      </c>
      <c r="AH238" s="18">
        <f>AD238/30</f>
        <v>6585.78</v>
      </c>
      <c r="AI238" s="19">
        <f t="shared" si="111"/>
        <v>18901.653333333335</v>
      </c>
    </row>
    <row r="239" spans="1:35">
      <c r="A239" s="14" t="s">
        <v>54</v>
      </c>
      <c r="B239" s="18">
        <f t="shared" ref="B239:Z239" si="113">B255+B287</f>
        <v>0</v>
      </c>
      <c r="C239" s="18">
        <f t="shared" si="113"/>
        <v>0</v>
      </c>
      <c r="D239" s="18">
        <f t="shared" si="113"/>
        <v>0</v>
      </c>
      <c r="E239" s="18">
        <f t="shared" si="113"/>
        <v>0</v>
      </c>
      <c r="F239" s="18">
        <f t="shared" si="113"/>
        <v>0</v>
      </c>
      <c r="G239" s="18">
        <f t="shared" si="113"/>
        <v>0</v>
      </c>
      <c r="H239" s="18">
        <f t="shared" si="113"/>
        <v>178772</v>
      </c>
      <c r="I239" s="18">
        <f t="shared" si="113"/>
        <v>201266</v>
      </c>
      <c r="J239" s="18">
        <f t="shared" si="113"/>
        <v>272240</v>
      </c>
      <c r="K239" s="18">
        <f t="shared" si="113"/>
        <v>137333</v>
      </c>
      <c r="L239" s="18">
        <f t="shared" si="113"/>
        <v>194662</v>
      </c>
      <c r="M239" s="18">
        <f t="shared" si="113"/>
        <v>308503</v>
      </c>
      <c r="N239" s="18">
        <f t="shared" si="113"/>
        <v>2409821</v>
      </c>
      <c r="O239" s="18">
        <f t="shared" si="113"/>
        <v>3829123</v>
      </c>
      <c r="P239" s="19">
        <f t="shared" si="113"/>
        <v>7606840</v>
      </c>
      <c r="Q239" s="19">
        <f t="shared" si="113"/>
        <v>17622883.456537135</v>
      </c>
      <c r="R239" s="19">
        <f t="shared" si="113"/>
        <v>46048573.343629986</v>
      </c>
      <c r="S239" s="19">
        <f t="shared" si="113"/>
        <v>114908513.29430594</v>
      </c>
      <c r="T239" s="19">
        <f t="shared" si="113"/>
        <v>157986273.93334925</v>
      </c>
      <c r="U239" s="19">
        <f t="shared" si="113"/>
        <v>127738948.12922779</v>
      </c>
      <c r="V239" s="19">
        <f t="shared" si="113"/>
        <v>1625734590.4924841</v>
      </c>
      <c r="W239" s="19">
        <f t="shared" si="113"/>
        <v>-20514002571.671722</v>
      </c>
      <c r="X239" s="19">
        <f t="shared" si="113"/>
        <v>297466617879.34644</v>
      </c>
      <c r="Y239" s="19">
        <f t="shared" si="113"/>
        <v>-3945509240227.9487</v>
      </c>
      <c r="Z239" s="19">
        <f t="shared" si="113"/>
        <v>49066278010889.758</v>
      </c>
      <c r="AD239" s="18">
        <f t="shared" si="109"/>
        <v>664511.80000000005</v>
      </c>
      <c r="AE239" s="19">
        <f t="shared" si="110"/>
        <v>3164611.2</v>
      </c>
      <c r="AF239" s="19">
        <f t="shared" si="108"/>
        <v>1419302</v>
      </c>
      <c r="AG239" s="19">
        <f>O239/31</f>
        <v>123520.09677419355</v>
      </c>
      <c r="AH239" s="18">
        <f>AD239/31</f>
        <v>21435.864516129033</v>
      </c>
      <c r="AI239" s="19">
        <f t="shared" si="111"/>
        <v>102084.23225806451</v>
      </c>
    </row>
    <row r="240" spans="1:35">
      <c r="A240" s="14" t="s">
        <v>29</v>
      </c>
      <c r="B240" s="18">
        <f t="shared" ref="B240:Y240" si="114">SUM(B228:B239)</f>
        <v>0</v>
      </c>
      <c r="C240" s="18">
        <f t="shared" si="114"/>
        <v>0</v>
      </c>
      <c r="D240" s="18">
        <f t="shared" si="114"/>
        <v>0</v>
      </c>
      <c r="E240" s="18">
        <f t="shared" si="114"/>
        <v>0</v>
      </c>
      <c r="F240" s="18">
        <f t="shared" si="114"/>
        <v>0</v>
      </c>
      <c r="G240" s="18">
        <f t="shared" si="114"/>
        <v>0</v>
      </c>
      <c r="H240" s="18">
        <f t="shared" si="114"/>
        <v>783646</v>
      </c>
      <c r="I240" s="18">
        <f t="shared" si="114"/>
        <v>1711017</v>
      </c>
      <c r="J240" s="18">
        <f t="shared" si="114"/>
        <v>1828178</v>
      </c>
      <c r="K240" s="18">
        <f t="shared" si="114"/>
        <v>2428702</v>
      </c>
      <c r="L240" s="18">
        <f t="shared" si="114"/>
        <v>4608399</v>
      </c>
      <c r="M240" s="18">
        <f t="shared" si="114"/>
        <v>5076623</v>
      </c>
      <c r="N240" s="18">
        <f t="shared" si="114"/>
        <v>20575922</v>
      </c>
      <c r="O240" s="18">
        <f t="shared" si="114"/>
        <v>34948209</v>
      </c>
      <c r="P240" s="19">
        <f t="shared" si="114"/>
        <v>155776247</v>
      </c>
      <c r="Q240" s="19">
        <f t="shared" si="114"/>
        <v>235570842.80643949</v>
      </c>
      <c r="R240" s="19">
        <f t="shared" si="114"/>
        <v>534679920.83862484</v>
      </c>
      <c r="S240" s="19">
        <f t="shared" si="114"/>
        <v>1431082466.8554602</v>
      </c>
      <c r="T240" s="19">
        <f t="shared" si="114"/>
        <v>1875077639.8406219</v>
      </c>
      <c r="U240" s="19">
        <f t="shared" si="114"/>
        <v>2437383396.4089093</v>
      </c>
      <c r="V240" s="19">
        <f t="shared" si="114"/>
        <v>3294383356.5580435</v>
      </c>
      <c r="W240" s="19">
        <f t="shared" si="114"/>
        <v>3789429886.6105309</v>
      </c>
      <c r="X240" s="19">
        <f t="shared" si="114"/>
        <v>4720977025.4112549</v>
      </c>
      <c r="Y240" s="19">
        <f t="shared" si="114"/>
        <v>4930627240.6870117</v>
      </c>
      <c r="Z240" s="19">
        <f>SUM(Z228:Z239)</f>
        <v>5359331147.9453125</v>
      </c>
      <c r="AD240" s="18">
        <f t="shared" si="109"/>
        <v>6903564.7999999998</v>
      </c>
      <c r="AE240" s="19">
        <f t="shared" si="110"/>
        <v>28044644.199999999</v>
      </c>
    </row>
    <row r="241" spans="1:35">
      <c r="M241" s="25">
        <f>M233/L233-1</f>
        <v>-0.29732966512163894</v>
      </c>
      <c r="N241" s="25">
        <f>N233/M233-1</f>
        <v>8.0939977666889629</v>
      </c>
      <c r="O241" s="25">
        <f>O233/N233-1</f>
        <v>-9.657356344477841E-3</v>
      </c>
      <c r="P241" s="25">
        <f>P233/O233-1</f>
        <v>1.557956519753056</v>
      </c>
      <c r="Q241" s="25">
        <f>Q233/P233-1</f>
        <v>1.3108548938673148</v>
      </c>
    </row>
    <row r="242" spans="1:35" ht="15.75">
      <c r="A242" s="15" t="s">
        <v>81</v>
      </c>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B242" s="16"/>
      <c r="AC242" s="16"/>
      <c r="AD242" s="16"/>
      <c r="AE242" s="16"/>
      <c r="AF242" s="16"/>
      <c r="AG242" s="16"/>
      <c r="AH242" s="16"/>
      <c r="AI242" s="16"/>
    </row>
    <row r="243" spans="1:35">
      <c r="B243" s="14">
        <f t="shared" ref="B243:Z243" si="115">B3</f>
        <v>2010</v>
      </c>
      <c r="C243" s="14">
        <f t="shared" si="115"/>
        <v>2011</v>
      </c>
      <c r="D243" s="14">
        <f t="shared" si="115"/>
        <v>2012</v>
      </c>
      <c r="E243" s="14">
        <f t="shared" si="115"/>
        <v>2013</v>
      </c>
      <c r="F243" s="14">
        <f t="shared" si="115"/>
        <v>2014</v>
      </c>
      <c r="G243" s="14">
        <f t="shared" si="115"/>
        <v>2015</v>
      </c>
      <c r="H243" s="14">
        <f t="shared" si="115"/>
        <v>2016</v>
      </c>
      <c r="I243" s="14">
        <f t="shared" si="115"/>
        <v>2017</v>
      </c>
      <c r="J243" s="14">
        <f t="shared" si="115"/>
        <v>2018</v>
      </c>
      <c r="K243" s="14">
        <f t="shared" si="115"/>
        <v>2019</v>
      </c>
      <c r="L243" s="14">
        <f t="shared" si="115"/>
        <v>2020</v>
      </c>
      <c r="M243" s="14">
        <f t="shared" si="115"/>
        <v>2021</v>
      </c>
      <c r="N243" s="14">
        <f t="shared" si="115"/>
        <v>2022</v>
      </c>
      <c r="O243" s="14">
        <f t="shared" si="115"/>
        <v>2023</v>
      </c>
      <c r="P243" s="14">
        <f t="shared" si="115"/>
        <v>2024</v>
      </c>
      <c r="Q243" s="14">
        <f t="shared" si="115"/>
        <v>2025</v>
      </c>
      <c r="R243" s="14">
        <f t="shared" si="115"/>
        <v>2026</v>
      </c>
      <c r="S243" s="14">
        <f t="shared" si="115"/>
        <v>2027</v>
      </c>
      <c r="T243" s="14">
        <f t="shared" si="115"/>
        <v>2028</v>
      </c>
      <c r="U243" s="14">
        <f t="shared" si="115"/>
        <v>2029</v>
      </c>
      <c r="V243" s="14">
        <f t="shared" si="115"/>
        <v>2030</v>
      </c>
      <c r="W243" s="14">
        <f t="shared" si="115"/>
        <v>2031</v>
      </c>
      <c r="X243" s="14">
        <f t="shared" si="115"/>
        <v>2032</v>
      </c>
      <c r="Y243" s="14">
        <f t="shared" si="115"/>
        <v>2033</v>
      </c>
      <c r="Z243" s="14">
        <f t="shared" si="115"/>
        <v>2034</v>
      </c>
      <c r="AD243" s="14" t="s">
        <v>37</v>
      </c>
      <c r="AE243" s="14" t="s">
        <v>38</v>
      </c>
      <c r="AF243" s="14" t="s">
        <v>39</v>
      </c>
      <c r="AG243" s="14" t="s">
        <v>40</v>
      </c>
      <c r="AH243" s="14" t="s">
        <v>41</v>
      </c>
      <c r="AI243" s="14" t="s">
        <v>42</v>
      </c>
    </row>
    <row r="244" spans="1:35">
      <c r="A244" s="14" t="s">
        <v>43</v>
      </c>
      <c r="B244" s="18">
        <f>'D4 Gallon Forecast'!B341+'D4 Gallon Forecast'!B357+'D6 RIN Forecast'!B273</f>
        <v>0</v>
      </c>
      <c r="C244" s="18">
        <f>'D4 Gallon Forecast'!C341+'D4 Gallon Forecast'!C357+'D6 RIN Forecast'!C273</f>
        <v>0</v>
      </c>
      <c r="D244" s="18">
        <f>'D4 Gallon Forecast'!D341+'D4 Gallon Forecast'!D357+'D6 RIN Forecast'!D273</f>
        <v>0</v>
      </c>
      <c r="E244" s="18">
        <f>'D4 Gallon Forecast'!E341+'D4 Gallon Forecast'!E357+'D6 RIN Forecast'!E273</f>
        <v>0</v>
      </c>
      <c r="F244" s="18">
        <f>'D4 Gallon Forecast'!F341+'D4 Gallon Forecast'!F357+'D6 RIN Forecast'!F273</f>
        <v>0</v>
      </c>
      <c r="G244" s="18">
        <f>'D4 Gallon Forecast'!G341+'D4 Gallon Forecast'!G357+'D6 RIN Forecast'!G273</f>
        <v>0</v>
      </c>
      <c r="H244" s="18">
        <f>'D4 Gallon Forecast'!H341+'D4 Gallon Forecast'!H357+'D6 RIN Forecast'!H273</f>
        <v>0</v>
      </c>
      <c r="I244" s="18">
        <f>'D4 Gallon Forecast'!I341+'D4 Gallon Forecast'!I357+'D6 RIN Forecast'!I273</f>
        <v>210331</v>
      </c>
      <c r="J244" s="18">
        <f>'D4 Gallon Forecast'!J341+'D4 Gallon Forecast'!J357+'D6 RIN Forecast'!J273</f>
        <v>139714</v>
      </c>
      <c r="K244" s="18">
        <f>'D4 Gallon Forecast'!K341+'D4 Gallon Forecast'!K357+'D6 RIN Forecast'!K273</f>
        <v>194630</v>
      </c>
      <c r="L244" s="18">
        <f>'D4 Gallon Forecast'!L341+'D4 Gallon Forecast'!L357+'D6 RIN Forecast'!L273</f>
        <v>41590</v>
      </c>
      <c r="M244" s="18">
        <f>'D4 Gallon Forecast'!M341+'D4 Gallon Forecast'!M357+'D6 RIN Forecast'!M273</f>
        <v>289825</v>
      </c>
      <c r="N244" s="18">
        <f>'D4 Gallon Forecast'!N341+'D4 Gallon Forecast'!N357+'D6 RIN Forecast'!N273</f>
        <v>402120</v>
      </c>
      <c r="O244" s="18">
        <f>'D4 Gallon Forecast'!O341+'D4 Gallon Forecast'!O357+'D6 RIN Forecast'!O273</f>
        <v>100937</v>
      </c>
      <c r="P244" s="18">
        <f>'D4 Gallon Forecast'!P341+'D4 Gallon Forecast'!P357+'D6 RIN Forecast'!P273</f>
        <v>833897</v>
      </c>
      <c r="Q244" s="19">
        <f>'D4 Gallon Forecast'!Q341+'D4 Gallon Forecast'!Q357+'D6 RIN Forecast'!Q273</f>
        <v>8475344</v>
      </c>
      <c r="R244" s="19">
        <f>'D4 Gallon Forecast'!R341+'D4 Gallon Forecast'!R357+'D6 RIN Forecast'!R273</f>
        <v>24513126.179649942</v>
      </c>
      <c r="S244" s="18">
        <f>'D4 Gallon Forecast'!S341+'D4 Gallon Forecast'!S357+'D6 RIN Forecast'!S273</f>
        <v>69071166.585377201</v>
      </c>
      <c r="T244" s="18">
        <f>'D4 Gallon Forecast'!T341+'D4 Gallon Forecast'!T357+'D6 RIN Forecast'!T273</f>
        <v>90007901.643266886</v>
      </c>
      <c r="U244" s="18">
        <f>'D4 Gallon Forecast'!U341+'D4 Gallon Forecast'!U357+'D6 RIN Forecast'!U273</f>
        <v>118005330.87423706</v>
      </c>
      <c r="V244" s="18">
        <f>'D4 Gallon Forecast'!V341+'D4 Gallon Forecast'!V357+'D6 RIN Forecast'!V273</f>
        <v>159881725.44323626</v>
      </c>
      <c r="W244" s="18">
        <f>'D4 Gallon Forecast'!W341+'D4 Gallon Forecast'!W357+'D6 RIN Forecast'!W273</f>
        <v>186086582.8150773</v>
      </c>
      <c r="X244" s="18">
        <f>'D4 Gallon Forecast'!X341+'D4 Gallon Forecast'!X357+'D6 RIN Forecast'!X273</f>
        <v>235207648.48402637</v>
      </c>
      <c r="Y244" s="18">
        <f>'D4 Gallon Forecast'!Y341+'D4 Gallon Forecast'!Y357+'D6 RIN Forecast'!Y273</f>
        <v>245632961.90866026</v>
      </c>
      <c r="Z244" s="18">
        <f>'D4 Gallon Forecast'!Z341+'D4 Gallon Forecast'!Z357+'D6 RIN Forecast'!Z273</f>
        <v>267031351.41822481</v>
      </c>
      <c r="AD244" s="18">
        <f>AVERAGE(J244:N244)</f>
        <v>213575.8</v>
      </c>
      <c r="AE244" s="18">
        <f>O244-AD244</f>
        <v>-112638.79999999999</v>
      </c>
      <c r="AF244" s="18">
        <f t="shared" ref="AF244:AF255" si="116">O244-N244</f>
        <v>-301183</v>
      </c>
      <c r="AG244" s="18">
        <f>O244/31</f>
        <v>3256.0322580645161</v>
      </c>
      <c r="AH244" s="18">
        <f>AD244/31</f>
        <v>6889.5419354838705</v>
      </c>
      <c r="AI244" s="18">
        <f>AG244-AH244</f>
        <v>-3633.5096774193544</v>
      </c>
    </row>
    <row r="245" spans="1:35">
      <c r="A245" s="14" t="s">
        <v>44</v>
      </c>
      <c r="B245" s="18">
        <f>'D4 Gallon Forecast'!B342+'D4 Gallon Forecast'!B358+'D6 RIN Forecast'!B274</f>
        <v>0</v>
      </c>
      <c r="C245" s="18">
        <f>'D4 Gallon Forecast'!C342+'D4 Gallon Forecast'!C358+'D6 RIN Forecast'!C274</f>
        <v>0</v>
      </c>
      <c r="D245" s="18">
        <f>'D4 Gallon Forecast'!D342+'D4 Gallon Forecast'!D358+'D6 RIN Forecast'!D274</f>
        <v>0</v>
      </c>
      <c r="E245" s="18">
        <f>'D4 Gallon Forecast'!E342+'D4 Gallon Forecast'!E358+'D6 RIN Forecast'!E274</f>
        <v>0</v>
      </c>
      <c r="F245" s="18">
        <f>'D4 Gallon Forecast'!F342+'D4 Gallon Forecast'!F358+'D6 RIN Forecast'!F274</f>
        <v>0</v>
      </c>
      <c r="G245" s="18">
        <f>'D4 Gallon Forecast'!G342+'D4 Gallon Forecast'!G358+'D6 RIN Forecast'!G274</f>
        <v>0</v>
      </c>
      <c r="H245" s="18">
        <f>'D4 Gallon Forecast'!H342+'D4 Gallon Forecast'!H358+'D6 RIN Forecast'!H274</f>
        <v>0</v>
      </c>
      <c r="I245" s="18">
        <f>'D4 Gallon Forecast'!I342+'D4 Gallon Forecast'!I358+'D6 RIN Forecast'!I274</f>
        <v>190622</v>
      </c>
      <c r="J245" s="18">
        <f>'D4 Gallon Forecast'!J342+'D4 Gallon Forecast'!J358+'D6 RIN Forecast'!J274</f>
        <v>237996</v>
      </c>
      <c r="K245" s="18">
        <f>'D4 Gallon Forecast'!K342+'D4 Gallon Forecast'!K358+'D6 RIN Forecast'!K274</f>
        <v>187609</v>
      </c>
      <c r="L245" s="18">
        <f>'D4 Gallon Forecast'!L342+'D4 Gallon Forecast'!L358+'D6 RIN Forecast'!L274</f>
        <v>0</v>
      </c>
      <c r="M245" s="18">
        <f>'D4 Gallon Forecast'!M342+'D4 Gallon Forecast'!M358+'D6 RIN Forecast'!M274</f>
        <v>294725</v>
      </c>
      <c r="N245" s="18">
        <f>'D4 Gallon Forecast'!N342+'D4 Gallon Forecast'!N358+'D6 RIN Forecast'!N274</f>
        <v>1108870</v>
      </c>
      <c r="O245" s="18">
        <f>'D4 Gallon Forecast'!O342+'D4 Gallon Forecast'!O358+'D6 RIN Forecast'!O274</f>
        <v>1578596</v>
      </c>
      <c r="P245" s="18">
        <f>'D4 Gallon Forecast'!P342+'D4 Gallon Forecast'!P358+'D6 RIN Forecast'!P274</f>
        <v>1254939</v>
      </c>
      <c r="Q245" s="19">
        <f>'D4 Gallon Forecast'!Q342+'D4 Gallon Forecast'!Q358+'D6 RIN Forecast'!Q274</f>
        <v>15728119</v>
      </c>
      <c r="R245" s="19">
        <f>'D4 Gallon Forecast'!R342+'D4 Gallon Forecast'!R358+'D6 RIN Forecast'!R274</f>
        <v>45864644.57274276</v>
      </c>
      <c r="S245" s="18">
        <f>'D4 Gallon Forecast'!S342+'D4 Gallon Forecast'!S358+'D6 RIN Forecast'!S274</f>
        <v>130505775.12177198</v>
      </c>
      <c r="T245" s="18">
        <f>'D4 Gallon Forecast'!T342+'D4 Gallon Forecast'!T358+'D6 RIN Forecast'!T274</f>
        <v>170772013.0006552</v>
      </c>
      <c r="U245" s="18">
        <f>'D4 Gallon Forecast'!U342+'D4 Gallon Forecast'!U358+'D6 RIN Forecast'!U274</f>
        <v>223213880.73946691</v>
      </c>
      <c r="V245" s="18">
        <f>'D4 Gallon Forecast'!V342+'D4 Gallon Forecast'!V358+'D6 RIN Forecast'!V274</f>
        <v>302791663.15545493</v>
      </c>
      <c r="W245" s="18">
        <f>'D4 Gallon Forecast'!W342+'D4 Gallon Forecast'!W358+'D6 RIN Forecast'!W274</f>
        <v>352653441.4087075</v>
      </c>
      <c r="X245" s="18">
        <f>'D4 Gallon Forecast'!X342+'D4 Gallon Forecast'!X358+'D6 RIN Forecast'!X274</f>
        <v>445930372.95188993</v>
      </c>
      <c r="Y245" s="18">
        <f>'D4 Gallon Forecast'!Y342+'D4 Gallon Forecast'!Y358+'D6 RIN Forecast'!Y274</f>
        <v>465736914.86002159</v>
      </c>
      <c r="Z245" s="18">
        <f>'D4 Gallon Forecast'!Z342+'D4 Gallon Forecast'!Z358+'D6 RIN Forecast'!Z274</f>
        <v>506227053.25518018</v>
      </c>
      <c r="AD245" s="18">
        <f t="shared" ref="AD245:AD256" si="117">AVERAGE(J245:N245)</f>
        <v>365840</v>
      </c>
      <c r="AE245" s="18">
        <f t="shared" ref="AE245:AE256" si="118">O245-AD245</f>
        <v>1212756</v>
      </c>
      <c r="AF245" s="18">
        <f t="shared" si="116"/>
        <v>469726</v>
      </c>
      <c r="AG245" s="18">
        <f>O245/28</f>
        <v>56378.428571428572</v>
      </c>
      <c r="AH245" s="18">
        <f>AD245/28</f>
        <v>13065.714285714286</v>
      </c>
      <c r="AI245" s="18">
        <f t="shared" ref="AI245:AI255" si="119">AG245-AH245</f>
        <v>43312.71428571429</v>
      </c>
    </row>
    <row r="246" spans="1:35">
      <c r="A246" s="14" t="s">
        <v>45</v>
      </c>
      <c r="B246" s="18">
        <f>'D4 Gallon Forecast'!B343+'D4 Gallon Forecast'!B359+'D6 RIN Forecast'!B275</f>
        <v>0</v>
      </c>
      <c r="C246" s="18">
        <f>'D4 Gallon Forecast'!C343+'D4 Gallon Forecast'!C359+'D6 RIN Forecast'!C275</f>
        <v>0</v>
      </c>
      <c r="D246" s="18">
        <f>'D4 Gallon Forecast'!D343+'D4 Gallon Forecast'!D359+'D6 RIN Forecast'!D275</f>
        <v>0</v>
      </c>
      <c r="E246" s="18">
        <f>'D4 Gallon Forecast'!E343+'D4 Gallon Forecast'!E359+'D6 RIN Forecast'!E275</f>
        <v>0</v>
      </c>
      <c r="F246" s="18">
        <f>'D4 Gallon Forecast'!F343+'D4 Gallon Forecast'!F359+'D6 RIN Forecast'!F275</f>
        <v>0</v>
      </c>
      <c r="G246" s="18">
        <f>'D4 Gallon Forecast'!G343+'D4 Gallon Forecast'!G359+'D6 RIN Forecast'!G275</f>
        <v>0</v>
      </c>
      <c r="H246" s="18">
        <f>'D4 Gallon Forecast'!H343+'D4 Gallon Forecast'!H359+'D6 RIN Forecast'!H275</f>
        <v>0</v>
      </c>
      <c r="I246" s="18">
        <f>'D4 Gallon Forecast'!I343+'D4 Gallon Forecast'!I359+'D6 RIN Forecast'!I275</f>
        <v>184825</v>
      </c>
      <c r="J246" s="18">
        <f>'D4 Gallon Forecast'!J343+'D4 Gallon Forecast'!J359+'D6 RIN Forecast'!J275</f>
        <v>103790</v>
      </c>
      <c r="K246" s="18">
        <f>'D4 Gallon Forecast'!K343+'D4 Gallon Forecast'!K359+'D6 RIN Forecast'!K275</f>
        <v>183940</v>
      </c>
      <c r="L246" s="18">
        <f>'D4 Gallon Forecast'!L343+'D4 Gallon Forecast'!L359+'D6 RIN Forecast'!L275</f>
        <v>280826</v>
      </c>
      <c r="M246" s="18">
        <f>'D4 Gallon Forecast'!M343+'D4 Gallon Forecast'!M359+'D6 RIN Forecast'!M275</f>
        <v>288906</v>
      </c>
      <c r="N246" s="18">
        <f>'D4 Gallon Forecast'!N343+'D4 Gallon Forecast'!N359+'D6 RIN Forecast'!N275</f>
        <v>1026537</v>
      </c>
      <c r="O246" s="18">
        <f>'D4 Gallon Forecast'!O343+'D4 Gallon Forecast'!O359+'D6 RIN Forecast'!O275</f>
        <v>797170</v>
      </c>
      <c r="P246" s="18">
        <f>'D4 Gallon Forecast'!P343+'D4 Gallon Forecast'!P359+'D6 RIN Forecast'!P275</f>
        <v>2119258</v>
      </c>
      <c r="Q246" s="19">
        <f>'D4 Gallon Forecast'!Q343+'D4 Gallon Forecast'!Q359+'D6 RIN Forecast'!Q275</f>
        <v>3845015</v>
      </c>
      <c r="R246" s="19">
        <f>'D4 Gallon Forecast'!R343+'D4 Gallon Forecast'!R359+'D6 RIN Forecast'!R275</f>
        <v>18923595.228116713</v>
      </c>
      <c r="S246" s="18">
        <f>'D4 Gallon Forecast'!S343+'D4 Gallon Forecast'!S359+'D6 RIN Forecast'!S275</f>
        <v>53066592.878731005</v>
      </c>
      <c r="T246" s="18">
        <f>'D4 Gallon Forecast'!T343+'D4 Gallon Forecast'!T359+'D6 RIN Forecast'!T275</f>
        <v>68711377.268205896</v>
      </c>
      <c r="U246" s="18">
        <f>'D4 Gallon Forecast'!U343+'D4 Gallon Forecast'!U359+'D6 RIN Forecast'!U275</f>
        <v>89595887.423838913</v>
      </c>
      <c r="V246" s="18">
        <f>'D4 Gallon Forecast'!V343+'D4 Gallon Forecast'!V359+'D6 RIN Forecast'!V275</f>
        <v>120567398.0919919</v>
      </c>
      <c r="W246" s="18">
        <f>'D4 Gallon Forecast'!W343+'D4 Gallon Forecast'!W359+'D6 RIN Forecast'!W275</f>
        <v>141330467.1858601</v>
      </c>
      <c r="X246" s="18">
        <f>'D4 Gallon Forecast'!X343+'D4 Gallon Forecast'!X359+'D6 RIN Forecast'!X275</f>
        <v>178531117.31121516</v>
      </c>
      <c r="Y246" s="18">
        <f>'D4 Gallon Forecast'!Y343+'D4 Gallon Forecast'!Y359+'D6 RIN Forecast'!Y275</f>
        <v>186271454.26298955</v>
      </c>
      <c r="Z246" s="18">
        <f>'D4 Gallon Forecast'!Z343+'D4 Gallon Forecast'!Z359+'D6 RIN Forecast'!Z275</f>
        <v>202383535.67193198</v>
      </c>
      <c r="AD246" s="18">
        <f t="shared" si="117"/>
        <v>376799.8</v>
      </c>
      <c r="AE246" s="18">
        <f t="shared" si="118"/>
        <v>420370.2</v>
      </c>
      <c r="AF246" s="18">
        <f t="shared" si="116"/>
        <v>-229367</v>
      </c>
      <c r="AG246" s="18">
        <f>O246/31</f>
        <v>25715.16129032258</v>
      </c>
      <c r="AH246" s="18">
        <f>AD246/31</f>
        <v>12154.832258064516</v>
      </c>
      <c r="AI246" s="18">
        <f t="shared" si="119"/>
        <v>13560.329032258063</v>
      </c>
    </row>
    <row r="247" spans="1:35">
      <c r="A247" s="14" t="s">
        <v>46</v>
      </c>
      <c r="B247" s="18">
        <f>'D4 Gallon Forecast'!B344+'D4 Gallon Forecast'!B360+'D6 RIN Forecast'!B276</f>
        <v>0</v>
      </c>
      <c r="C247" s="18">
        <f>'D4 Gallon Forecast'!C344+'D4 Gallon Forecast'!C360+'D6 RIN Forecast'!C276</f>
        <v>0</v>
      </c>
      <c r="D247" s="18">
        <f>'D4 Gallon Forecast'!D344+'D4 Gallon Forecast'!D360+'D6 RIN Forecast'!D276</f>
        <v>0</v>
      </c>
      <c r="E247" s="18">
        <f>'D4 Gallon Forecast'!E344+'D4 Gallon Forecast'!E360+'D6 RIN Forecast'!E276</f>
        <v>0</v>
      </c>
      <c r="F247" s="18">
        <f>'D4 Gallon Forecast'!F344+'D4 Gallon Forecast'!F360+'D6 RIN Forecast'!F276</f>
        <v>0</v>
      </c>
      <c r="G247" s="18">
        <f>'D4 Gallon Forecast'!G344+'D4 Gallon Forecast'!G360+'D6 RIN Forecast'!G276</f>
        <v>0</v>
      </c>
      <c r="H247" s="18">
        <f>'D4 Gallon Forecast'!H344+'D4 Gallon Forecast'!H360+'D6 RIN Forecast'!H276</f>
        <v>0</v>
      </c>
      <c r="I247" s="18">
        <f>'D4 Gallon Forecast'!I344+'D4 Gallon Forecast'!I360+'D6 RIN Forecast'!I276</f>
        <v>0</v>
      </c>
      <c r="J247" s="18">
        <f>'D4 Gallon Forecast'!J344+'D4 Gallon Forecast'!J360+'D6 RIN Forecast'!J276</f>
        <v>184634</v>
      </c>
      <c r="K247" s="18">
        <f>'D4 Gallon Forecast'!K344+'D4 Gallon Forecast'!K360+'D6 RIN Forecast'!K276</f>
        <v>245975</v>
      </c>
      <c r="L247" s="18">
        <f>'D4 Gallon Forecast'!L344+'D4 Gallon Forecast'!L360+'D6 RIN Forecast'!L276</f>
        <v>1234442</v>
      </c>
      <c r="M247" s="18">
        <f>'D4 Gallon Forecast'!M344+'D4 Gallon Forecast'!M360+'D6 RIN Forecast'!M276</f>
        <v>293289</v>
      </c>
      <c r="N247" s="18">
        <f>'D4 Gallon Forecast'!N344+'D4 Gallon Forecast'!N360+'D6 RIN Forecast'!N276</f>
        <v>408991</v>
      </c>
      <c r="O247" s="18">
        <f>'D4 Gallon Forecast'!O344+'D4 Gallon Forecast'!O360+'D6 RIN Forecast'!O276</f>
        <v>913521</v>
      </c>
      <c r="P247" s="18">
        <f>'D4 Gallon Forecast'!P344+'D4 Gallon Forecast'!P360+'D6 RIN Forecast'!P276</f>
        <v>2807887</v>
      </c>
      <c r="Q247" s="19">
        <f>'D4 Gallon Forecast'!Q344+'D4 Gallon Forecast'!Q360+'D6 RIN Forecast'!Q276</f>
        <v>8504474.9199190307</v>
      </c>
      <c r="R247" s="19">
        <f>'D4 Gallon Forecast'!R344+'D4 Gallon Forecast'!R360+'D6 RIN Forecast'!R276</f>
        <v>29543927.353115387</v>
      </c>
      <c r="S247" s="18">
        <f>'D4 Gallon Forecast'!S344+'D4 Gallon Forecast'!S360+'D6 RIN Forecast'!S276</f>
        <v>83975933.002837479</v>
      </c>
      <c r="T247" s="18">
        <f>'D4 Gallon Forecast'!T344+'D4 Gallon Forecast'!T360+'D6 RIN Forecast'!T276</f>
        <v>109849354.93369608</v>
      </c>
      <c r="U247" s="18">
        <f>'D4 Gallon Forecast'!U344+'D4 Gallon Forecast'!U360+'D6 RIN Forecast'!U276</f>
        <v>143575854.88060638</v>
      </c>
      <c r="V247" s="18">
        <f>'D4 Gallon Forecast'!V344+'D4 Gallon Forecast'!V360+'D6 RIN Forecast'!V276</f>
        <v>193679895.2271235</v>
      </c>
      <c r="W247" s="18">
        <f>'D4 Gallon Forecast'!W344+'D4 Gallon Forecast'!W360+'D6 RIN Forecast'!W276</f>
        <v>226202309.85068756</v>
      </c>
      <c r="X247" s="18">
        <f>'D4 Gallon Forecast'!X344+'D4 Gallon Forecast'!X360+'D6 RIN Forecast'!X276</f>
        <v>285999991.09891659</v>
      </c>
      <c r="Y247" s="18">
        <f>'D4 Gallon Forecast'!Y344+'D4 Gallon Forecast'!Y360+'D6 RIN Forecast'!Y276</f>
        <v>298656421.23796737</v>
      </c>
      <c r="Z247" s="18">
        <f>'D4 Gallon Forecast'!Z344+'D4 Gallon Forecast'!Z360+'D6 RIN Forecast'!Z276</f>
        <v>324545068.68341893</v>
      </c>
      <c r="AD247" s="18">
        <f t="shared" si="117"/>
        <v>473466.2</v>
      </c>
      <c r="AE247" s="18">
        <f t="shared" si="118"/>
        <v>440054.8</v>
      </c>
      <c r="AF247" s="18">
        <f t="shared" si="116"/>
        <v>504530</v>
      </c>
      <c r="AG247" s="18">
        <f>O247/30</f>
        <v>30450.7</v>
      </c>
      <c r="AH247" s="18">
        <f>AD247/30</f>
        <v>15782.206666666667</v>
      </c>
      <c r="AI247" s="18">
        <f t="shared" si="119"/>
        <v>14668.493333333334</v>
      </c>
    </row>
    <row r="248" spans="1:35">
      <c r="A248" s="14" t="s">
        <v>47</v>
      </c>
      <c r="B248" s="18">
        <f>'D4 Gallon Forecast'!B345+'D4 Gallon Forecast'!B361+'D6 RIN Forecast'!B277</f>
        <v>0</v>
      </c>
      <c r="C248" s="18">
        <f>'D4 Gallon Forecast'!C345+'D4 Gallon Forecast'!C361+'D6 RIN Forecast'!C277</f>
        <v>0</v>
      </c>
      <c r="D248" s="18">
        <f>'D4 Gallon Forecast'!D345+'D4 Gallon Forecast'!D361+'D6 RIN Forecast'!D277</f>
        <v>0</v>
      </c>
      <c r="E248" s="18">
        <f>'D4 Gallon Forecast'!E345+'D4 Gallon Forecast'!E361+'D6 RIN Forecast'!E277</f>
        <v>0</v>
      </c>
      <c r="F248" s="18">
        <f>'D4 Gallon Forecast'!F345+'D4 Gallon Forecast'!F361+'D6 RIN Forecast'!F277</f>
        <v>0</v>
      </c>
      <c r="G248" s="18">
        <f>'D4 Gallon Forecast'!G345+'D4 Gallon Forecast'!G361+'D6 RIN Forecast'!G277</f>
        <v>0</v>
      </c>
      <c r="H248" s="18">
        <f>'D4 Gallon Forecast'!H345+'D4 Gallon Forecast'!H361+'D6 RIN Forecast'!H277</f>
        <v>0</v>
      </c>
      <c r="I248" s="18">
        <f>'D4 Gallon Forecast'!I345+'D4 Gallon Forecast'!I361+'D6 RIN Forecast'!I277</f>
        <v>134485</v>
      </c>
      <c r="J248" s="18">
        <f>'D4 Gallon Forecast'!J345+'D4 Gallon Forecast'!J361+'D6 RIN Forecast'!J277</f>
        <v>64189</v>
      </c>
      <c r="K248" s="18">
        <f>'D4 Gallon Forecast'!K345+'D4 Gallon Forecast'!K361+'D6 RIN Forecast'!K277</f>
        <v>254288</v>
      </c>
      <c r="L248" s="18">
        <f>'D4 Gallon Forecast'!L345+'D4 Gallon Forecast'!L361+'D6 RIN Forecast'!L277</f>
        <v>0</v>
      </c>
      <c r="M248" s="18">
        <f>'D4 Gallon Forecast'!M345+'D4 Gallon Forecast'!M361+'D6 RIN Forecast'!M277</f>
        <v>287496</v>
      </c>
      <c r="N248" s="18">
        <f>'D4 Gallon Forecast'!N345+'D4 Gallon Forecast'!N361+'D6 RIN Forecast'!N277</f>
        <v>202831</v>
      </c>
      <c r="O248" s="18">
        <f>'D4 Gallon Forecast'!O345+'D4 Gallon Forecast'!O361+'D6 RIN Forecast'!O277</f>
        <v>1626715</v>
      </c>
      <c r="P248" s="18">
        <f>'D4 Gallon Forecast'!P345+'D4 Gallon Forecast'!P361+'D6 RIN Forecast'!P277</f>
        <v>3266216</v>
      </c>
      <c r="Q248" s="19">
        <f>'D4 Gallon Forecast'!Q345+'D4 Gallon Forecast'!Q361+'D6 RIN Forecast'!Q277</f>
        <v>11076167.97756708</v>
      </c>
      <c r="R248" s="19">
        <f>'D4 Gallon Forecast'!R345+'D4 Gallon Forecast'!R361+'D6 RIN Forecast'!R277</f>
        <v>38693237.291912429</v>
      </c>
      <c r="S248" s="18">
        <f>'D4 Gallon Forecast'!S345+'D4 Gallon Forecast'!S361+'D6 RIN Forecast'!S277</f>
        <v>110457029.55094272</v>
      </c>
      <c r="T248" s="18">
        <f>'D4 Gallon Forecast'!T345+'D4 Gallon Forecast'!T361+'D6 RIN Forecast'!T277</f>
        <v>144494698.90103579</v>
      </c>
      <c r="U248" s="18">
        <f>'D4 Gallon Forecast'!U345+'D4 Gallon Forecast'!U361+'D6 RIN Forecast'!U277</f>
        <v>188658378.30701107</v>
      </c>
      <c r="V248" s="18">
        <f>'D4 Gallon Forecast'!V345+'D4 Gallon Forecast'!V361+'D6 RIN Forecast'!V277</f>
        <v>254740250.94949621</v>
      </c>
      <c r="W248" s="18">
        <f>'D4 Gallon Forecast'!W345+'D4 Gallon Forecast'!W361+'D6 RIN Forecast'!W277</f>
        <v>297583726.71365535</v>
      </c>
      <c r="X248" s="18">
        <f>'D4 Gallon Forecast'!X345+'D4 Gallon Forecast'!X361+'D6 RIN Forecast'!X277</f>
        <v>376304484.37097663</v>
      </c>
      <c r="Y248" s="18">
        <f>'D4 Gallon Forecast'!Y345+'D4 Gallon Forecast'!Y361+'D6 RIN Forecast'!Y277</f>
        <v>392933361.18468958</v>
      </c>
      <c r="Z248" s="18">
        <f>'D4 Gallon Forecast'!Z345+'D4 Gallon Forecast'!Z361+'D6 RIN Forecast'!Z277</f>
        <v>426984929.53210127</v>
      </c>
      <c r="AD248" s="18">
        <f t="shared" si="117"/>
        <v>161760.79999999999</v>
      </c>
      <c r="AE248" s="18">
        <f t="shared" si="118"/>
        <v>1464954.2</v>
      </c>
      <c r="AF248" s="18">
        <f t="shared" si="116"/>
        <v>1423884</v>
      </c>
      <c r="AG248" s="18">
        <f>O248/31</f>
        <v>52474.677419354841</v>
      </c>
      <c r="AH248" s="18">
        <f>AD248/31</f>
        <v>5218.0903225806451</v>
      </c>
      <c r="AI248" s="18">
        <f t="shared" si="119"/>
        <v>47256.587096774194</v>
      </c>
    </row>
    <row r="249" spans="1:35">
      <c r="A249" s="14" t="s">
        <v>48</v>
      </c>
      <c r="B249" s="18">
        <f>'D4 Gallon Forecast'!B346+'D4 Gallon Forecast'!B362+'D6 RIN Forecast'!B278</f>
        <v>0</v>
      </c>
      <c r="C249" s="18">
        <f>'D4 Gallon Forecast'!C346+'D4 Gallon Forecast'!C362+'D6 RIN Forecast'!C278</f>
        <v>0</v>
      </c>
      <c r="D249" s="18">
        <f>'D4 Gallon Forecast'!D346+'D4 Gallon Forecast'!D362+'D6 RIN Forecast'!D278</f>
        <v>0</v>
      </c>
      <c r="E249" s="18">
        <f>'D4 Gallon Forecast'!E346+'D4 Gallon Forecast'!E362+'D6 RIN Forecast'!E278</f>
        <v>0</v>
      </c>
      <c r="F249" s="18">
        <f>'D4 Gallon Forecast'!F346+'D4 Gallon Forecast'!F362+'D6 RIN Forecast'!F278</f>
        <v>0</v>
      </c>
      <c r="G249" s="18">
        <f>'D4 Gallon Forecast'!G346+'D4 Gallon Forecast'!G362+'D6 RIN Forecast'!G278</f>
        <v>0</v>
      </c>
      <c r="H249" s="18">
        <f>'D4 Gallon Forecast'!H346+'D4 Gallon Forecast'!H362+'D6 RIN Forecast'!H278</f>
        <v>0</v>
      </c>
      <c r="I249" s="18">
        <f>'D4 Gallon Forecast'!I346+'D4 Gallon Forecast'!I362+'D6 RIN Forecast'!I278</f>
        <v>127471</v>
      </c>
      <c r="J249" s="18">
        <f>'D4 Gallon Forecast'!J346+'D4 Gallon Forecast'!J362+'D6 RIN Forecast'!J278</f>
        <v>140194</v>
      </c>
      <c r="K249" s="18">
        <f>'D4 Gallon Forecast'!K346+'D4 Gallon Forecast'!K362+'D6 RIN Forecast'!K278</f>
        <v>223279</v>
      </c>
      <c r="L249" s="18">
        <f>'D4 Gallon Forecast'!L346+'D4 Gallon Forecast'!L362+'D6 RIN Forecast'!L278</f>
        <v>508513</v>
      </c>
      <c r="M249" s="18">
        <f>'D4 Gallon Forecast'!M346+'D4 Gallon Forecast'!M362+'D6 RIN Forecast'!M278</f>
        <v>357317</v>
      </c>
      <c r="N249" s="18">
        <f>'D4 Gallon Forecast'!N346+'D4 Gallon Forecast'!N362+'D6 RIN Forecast'!N278</f>
        <v>802264</v>
      </c>
      <c r="O249" s="18">
        <f>'D4 Gallon Forecast'!O346+'D4 Gallon Forecast'!O362+'D6 RIN Forecast'!O278</f>
        <v>1121861</v>
      </c>
      <c r="P249" s="18">
        <f>'D4 Gallon Forecast'!P346+'D4 Gallon Forecast'!P362+'D6 RIN Forecast'!P278</f>
        <v>2998612</v>
      </c>
      <c r="Q249" s="19">
        <f>'D4 Gallon Forecast'!Q346+'D4 Gallon Forecast'!Q362+'D6 RIN Forecast'!Q278</f>
        <v>10902570.811467988</v>
      </c>
      <c r="R249" s="19">
        <f>'D4 Gallon Forecast'!R346+'D4 Gallon Forecast'!R362+'D6 RIN Forecast'!R278</f>
        <v>37065958.845373936</v>
      </c>
      <c r="S249" s="18">
        <f>'D4 Gallon Forecast'!S346+'D4 Gallon Forecast'!S362+'D6 RIN Forecast'!S278</f>
        <v>105289298.16987525</v>
      </c>
      <c r="T249" s="18">
        <f>'D4 Gallon Forecast'!T346+'D4 Gallon Forecast'!T362+'D6 RIN Forecast'!T278</f>
        <v>137694432.0324741</v>
      </c>
      <c r="U249" s="18">
        <f>'D4 Gallon Forecast'!U346+'D4 Gallon Forecast'!U362+'D6 RIN Forecast'!U278</f>
        <v>180033670.29720333</v>
      </c>
      <c r="V249" s="18">
        <f>'D4 Gallon Forecast'!V346+'D4 Gallon Forecast'!V362+'D6 RIN Forecast'!V278</f>
        <v>243145572.25580677</v>
      </c>
      <c r="W249" s="18">
        <f>'D4 Gallon Forecast'!W346+'D4 Gallon Forecast'!W362+'D6 RIN Forecast'!W278</f>
        <v>283901846.34963793</v>
      </c>
      <c r="X249" s="18">
        <f>'D4 Gallon Forecast'!X346+'D4 Gallon Forecast'!X362+'D6 RIN Forecast'!X278</f>
        <v>358947736.08893472</v>
      </c>
      <c r="Y249" s="18">
        <f>'D4 Gallon Forecast'!Y346+'D4 Gallon Forecast'!Y362+'D6 RIN Forecast'!Y278</f>
        <v>374837409.88050759</v>
      </c>
      <c r="Z249" s="18">
        <f>'D4 Gallon Forecast'!Z346+'D4 Gallon Forecast'!Z362+'D6 RIN Forecast'!Z278</f>
        <v>407364663.62686306</v>
      </c>
      <c r="AB249" s="22"/>
      <c r="AC249" s="22"/>
      <c r="AD249" s="23">
        <f t="shared" si="117"/>
        <v>406313.4</v>
      </c>
      <c r="AE249" s="23">
        <f t="shared" si="118"/>
        <v>715547.6</v>
      </c>
      <c r="AF249" s="23">
        <f t="shared" si="116"/>
        <v>319597</v>
      </c>
      <c r="AG249" s="23">
        <f>O249/30</f>
        <v>37395.366666666669</v>
      </c>
      <c r="AH249" s="23">
        <f>AD249/30</f>
        <v>13543.78</v>
      </c>
      <c r="AI249" s="23">
        <f t="shared" si="119"/>
        <v>23851.58666666667</v>
      </c>
    </row>
    <row r="250" spans="1:35">
      <c r="A250" s="14" t="s">
        <v>49</v>
      </c>
      <c r="B250" s="18">
        <f>'D4 Gallon Forecast'!B347+'D4 Gallon Forecast'!B363+'D6 RIN Forecast'!B279</f>
        <v>0</v>
      </c>
      <c r="C250" s="18">
        <f>'D4 Gallon Forecast'!C347+'D4 Gallon Forecast'!C363+'D6 RIN Forecast'!C279</f>
        <v>0</v>
      </c>
      <c r="D250" s="18">
        <f>'D4 Gallon Forecast'!D347+'D4 Gallon Forecast'!D363+'D6 RIN Forecast'!D279</f>
        <v>0</v>
      </c>
      <c r="E250" s="18">
        <f>'D4 Gallon Forecast'!E347+'D4 Gallon Forecast'!E363+'D6 RIN Forecast'!E279</f>
        <v>0</v>
      </c>
      <c r="F250" s="18">
        <f>'D4 Gallon Forecast'!F347+'D4 Gallon Forecast'!F363+'D6 RIN Forecast'!F279</f>
        <v>0</v>
      </c>
      <c r="G250" s="18">
        <f>'D4 Gallon Forecast'!G347+'D4 Gallon Forecast'!G363+'D6 RIN Forecast'!G279</f>
        <v>0</v>
      </c>
      <c r="H250" s="18">
        <f>'D4 Gallon Forecast'!H347+'D4 Gallon Forecast'!H363+'D6 RIN Forecast'!H279</f>
        <v>0</v>
      </c>
      <c r="I250" s="18">
        <f>'D4 Gallon Forecast'!I347+'D4 Gallon Forecast'!I363+'D6 RIN Forecast'!I279</f>
        <v>120661</v>
      </c>
      <c r="J250" s="18">
        <f>'D4 Gallon Forecast'!J347+'D4 Gallon Forecast'!J363+'D6 RIN Forecast'!J279</f>
        <v>82231</v>
      </c>
      <c r="K250" s="18">
        <f>'D4 Gallon Forecast'!K347+'D4 Gallon Forecast'!K363+'D6 RIN Forecast'!K279</f>
        <v>146613</v>
      </c>
      <c r="L250" s="18">
        <f>'D4 Gallon Forecast'!L347+'D4 Gallon Forecast'!L363+'D6 RIN Forecast'!L279</f>
        <v>1536725</v>
      </c>
      <c r="M250" s="18">
        <f>'D4 Gallon Forecast'!M347+'D4 Gallon Forecast'!M363+'D6 RIN Forecast'!M279</f>
        <v>1093159</v>
      </c>
      <c r="N250" s="18">
        <f>'D4 Gallon Forecast'!N347+'D4 Gallon Forecast'!N363+'D6 RIN Forecast'!N279</f>
        <v>1137973</v>
      </c>
      <c r="O250" s="18">
        <f>'D4 Gallon Forecast'!O347+'D4 Gallon Forecast'!O363+'D6 RIN Forecast'!O279</f>
        <v>1770762</v>
      </c>
      <c r="P250" s="19">
        <f>'D4 Gallon Forecast'!P347+'D4 Gallon Forecast'!P363+'D6 RIN Forecast'!P279</f>
        <v>3256887</v>
      </c>
      <c r="Q250" s="19">
        <f>'D4 Gallon Forecast'!Q347+'D4 Gallon Forecast'!Q363+'D6 RIN Forecast'!Q279</f>
        <v>11033554.606466778</v>
      </c>
      <c r="R250" s="19">
        <f>'D4 Gallon Forecast'!R347+'D4 Gallon Forecast'!R363+'D6 RIN Forecast'!R279</f>
        <v>40596921.76103799</v>
      </c>
      <c r="S250" s="18">
        <f>'D4 Gallon Forecast'!S347+'D4 Gallon Forecast'!S363+'D6 RIN Forecast'!S279</f>
        <v>114598484.88508038</v>
      </c>
      <c r="T250" s="18">
        <f>'D4 Gallon Forecast'!T347+'D4 Gallon Forecast'!T363+'D6 RIN Forecast'!T279</f>
        <v>149886063.01052725</v>
      </c>
      <c r="U250" s="18">
        <f>'D4 Gallon Forecast'!U347+'D4 Gallon Forecast'!U363+'D6 RIN Forecast'!U279</f>
        <v>195653617.43180668</v>
      </c>
      <c r="V250" s="18">
        <f>'D4 Gallon Forecast'!V347+'D4 Gallon Forecast'!V363+'D6 RIN Forecast'!V279</f>
        <v>264261552.68483701</v>
      </c>
      <c r="W250" s="18">
        <f>'D4 Gallon Forecast'!W347+'D4 Gallon Forecast'!W363+'D6 RIN Forecast'!W279</f>
        <v>308893915.13317132</v>
      </c>
      <c r="X250" s="18">
        <f>'D4 Gallon Forecast'!X347+'D4 Gallon Forecast'!X363+'D6 RIN Forecast'!X279</f>
        <v>390441189.605676</v>
      </c>
      <c r="Y250" s="18">
        <f>'D4 Gallon Forecast'!Y347+'D4 Gallon Forecast'!Y363+'D6 RIN Forecast'!Y279</f>
        <v>407693186.95247626</v>
      </c>
      <c r="Z250" s="18">
        <f>'D4 Gallon Forecast'!Z347+'D4 Gallon Forecast'!Z363+'D6 RIN Forecast'!Z279</f>
        <v>443031963.37090188</v>
      </c>
      <c r="AD250" s="18">
        <f t="shared" si="117"/>
        <v>799340.2</v>
      </c>
      <c r="AE250" s="19">
        <f t="shared" si="118"/>
        <v>971421.8</v>
      </c>
      <c r="AF250" s="19">
        <f t="shared" si="116"/>
        <v>632789</v>
      </c>
      <c r="AG250" s="19">
        <f>O250/31</f>
        <v>57121.354838709674</v>
      </c>
      <c r="AH250" s="18">
        <f>AD250/31</f>
        <v>25785.167741935482</v>
      </c>
      <c r="AI250" s="19">
        <f t="shared" si="119"/>
        <v>31336.187096774192</v>
      </c>
    </row>
    <row r="251" spans="1:35">
      <c r="A251" s="14" t="s">
        <v>50</v>
      </c>
      <c r="B251" s="18">
        <f>'D4 Gallon Forecast'!B348+'D4 Gallon Forecast'!B364+'D6 RIN Forecast'!B280</f>
        <v>0</v>
      </c>
      <c r="C251" s="18">
        <f>'D4 Gallon Forecast'!C348+'D4 Gallon Forecast'!C364+'D6 RIN Forecast'!C280</f>
        <v>0</v>
      </c>
      <c r="D251" s="18">
        <f>'D4 Gallon Forecast'!D348+'D4 Gallon Forecast'!D364+'D6 RIN Forecast'!D280</f>
        <v>0</v>
      </c>
      <c r="E251" s="18">
        <f>'D4 Gallon Forecast'!E348+'D4 Gallon Forecast'!E364+'D6 RIN Forecast'!E280</f>
        <v>0</v>
      </c>
      <c r="F251" s="18">
        <f>'D4 Gallon Forecast'!F348+'D4 Gallon Forecast'!F364+'D6 RIN Forecast'!F280</f>
        <v>0</v>
      </c>
      <c r="G251" s="18">
        <f>'D4 Gallon Forecast'!G348+'D4 Gallon Forecast'!G364+'D6 RIN Forecast'!G280</f>
        <v>0</v>
      </c>
      <c r="H251" s="18">
        <f>'D4 Gallon Forecast'!H348+'D4 Gallon Forecast'!H364+'D6 RIN Forecast'!H280</f>
        <v>0</v>
      </c>
      <c r="I251" s="18">
        <f>'D4 Gallon Forecast'!I348+'D4 Gallon Forecast'!I364+'D6 RIN Forecast'!I280</f>
        <v>174175</v>
      </c>
      <c r="J251" s="18">
        <f>'D4 Gallon Forecast'!J348+'D4 Gallon Forecast'!J364+'D6 RIN Forecast'!J280</f>
        <v>70236</v>
      </c>
      <c r="K251" s="18">
        <f>'D4 Gallon Forecast'!K348+'D4 Gallon Forecast'!K364+'D6 RIN Forecast'!K280</f>
        <v>271757</v>
      </c>
      <c r="L251" s="18">
        <f>'D4 Gallon Forecast'!L348+'D4 Gallon Forecast'!L364+'D6 RIN Forecast'!L280</f>
        <v>63855</v>
      </c>
      <c r="M251" s="18">
        <f>'D4 Gallon Forecast'!M348+'D4 Gallon Forecast'!M364+'D6 RIN Forecast'!M280</f>
        <v>722058</v>
      </c>
      <c r="N251" s="18">
        <f>'D4 Gallon Forecast'!N348+'D4 Gallon Forecast'!N364+'D6 RIN Forecast'!N280</f>
        <v>392568</v>
      </c>
      <c r="O251" s="18">
        <f>'D4 Gallon Forecast'!O348+'D4 Gallon Forecast'!O364+'D6 RIN Forecast'!O280</f>
        <v>3522927</v>
      </c>
      <c r="P251" s="19">
        <f>'D4 Gallon Forecast'!P348+'D4 Gallon Forecast'!P364+'D6 RIN Forecast'!P280</f>
        <v>4026790</v>
      </c>
      <c r="Q251" s="19">
        <f>'D4 Gallon Forecast'!Q348+'D4 Gallon Forecast'!Q364+'D6 RIN Forecast'!Q280</f>
        <v>11870394.176198298</v>
      </c>
      <c r="R251" s="19">
        <f>'D4 Gallon Forecast'!R348+'D4 Gallon Forecast'!R364+'D6 RIN Forecast'!R280</f>
        <v>40490124.343353242</v>
      </c>
      <c r="S251" s="18">
        <f>'D4 Gallon Forecast'!S348+'D4 Gallon Forecast'!S364+'D6 RIN Forecast'!S280</f>
        <v>125693205.90914409</v>
      </c>
      <c r="T251" s="18">
        <f>'D4 Gallon Forecast'!T348+'D4 Gallon Forecast'!T364+'D6 RIN Forecast'!T280</f>
        <v>161963113.05947298</v>
      </c>
      <c r="U251" s="18">
        <f>'D4 Gallon Forecast'!U348+'D4 Gallon Forecast'!U364+'D6 RIN Forecast'!U280</f>
        <v>248625355.44150898</v>
      </c>
      <c r="V251" s="18">
        <f>'D4 Gallon Forecast'!V348+'D4 Gallon Forecast'!V364+'D6 RIN Forecast'!V280</f>
        <v>-364396379.51108009</v>
      </c>
      <c r="W251" s="18">
        <f>'D4 Gallon Forecast'!W348+'D4 Gallon Forecast'!W364+'D6 RIN Forecast'!W280</f>
        <v>10398622906.202536</v>
      </c>
      <c r="X251" s="18">
        <f>'D4 Gallon Forecast'!X348+'D4 Gallon Forecast'!X364+'D6 RIN Forecast'!X280</f>
        <v>-143060691065.36697</v>
      </c>
      <c r="Y251" s="18">
        <f>'D4 Gallon Forecast'!Y348+'D4 Gallon Forecast'!Y364+'D6 RIN Forecast'!Y280</f>
        <v>1906358286107.5974</v>
      </c>
      <c r="Z251" s="18">
        <f>'D4 Gallon Forecast'!Z348+'D4 Gallon Forecast'!Z364+'D6 RIN Forecast'!Z280</f>
        <v>-23698706235110.195</v>
      </c>
      <c r="AD251" s="18">
        <f t="shared" si="117"/>
        <v>304094.8</v>
      </c>
      <c r="AE251" s="19">
        <f t="shared" si="118"/>
        <v>3218832.2</v>
      </c>
      <c r="AF251" s="19">
        <f t="shared" si="116"/>
        <v>3130359</v>
      </c>
      <c r="AG251" s="19">
        <f>O251/31</f>
        <v>113642.80645161291</v>
      </c>
      <c r="AH251" s="18">
        <f>AD251/31</f>
        <v>9809.5096774193553</v>
      </c>
      <c r="AI251" s="19">
        <f t="shared" si="119"/>
        <v>103833.29677419356</v>
      </c>
    </row>
    <row r="252" spans="1:35">
      <c r="A252" s="14" t="s">
        <v>51</v>
      </c>
      <c r="B252" s="18">
        <f>'D4 Gallon Forecast'!B349+'D4 Gallon Forecast'!B365+'D6 RIN Forecast'!B281</f>
        <v>0</v>
      </c>
      <c r="C252" s="18">
        <f>'D4 Gallon Forecast'!C349+'D4 Gallon Forecast'!C365+'D6 RIN Forecast'!C281</f>
        <v>0</v>
      </c>
      <c r="D252" s="18">
        <f>'D4 Gallon Forecast'!D349+'D4 Gallon Forecast'!D365+'D6 RIN Forecast'!D281</f>
        <v>0</v>
      </c>
      <c r="E252" s="18">
        <f>'D4 Gallon Forecast'!E349+'D4 Gallon Forecast'!E365+'D6 RIN Forecast'!E281</f>
        <v>0</v>
      </c>
      <c r="F252" s="18">
        <f>'D4 Gallon Forecast'!F349+'D4 Gallon Forecast'!F365+'D6 RIN Forecast'!F281</f>
        <v>0</v>
      </c>
      <c r="G252" s="18">
        <f>'D4 Gallon Forecast'!G349+'D4 Gallon Forecast'!G365+'D6 RIN Forecast'!G281</f>
        <v>0</v>
      </c>
      <c r="H252" s="18">
        <f>'D4 Gallon Forecast'!H349+'D4 Gallon Forecast'!H365+'D6 RIN Forecast'!H281</f>
        <v>230790</v>
      </c>
      <c r="I252" s="18">
        <f>'D4 Gallon Forecast'!I349+'D4 Gallon Forecast'!I365+'D6 RIN Forecast'!I281</f>
        <v>137952</v>
      </c>
      <c r="J252" s="18">
        <f>'D4 Gallon Forecast'!J349+'D4 Gallon Forecast'!J365+'D6 RIN Forecast'!J281</f>
        <v>151082</v>
      </c>
      <c r="K252" s="18">
        <f>'D4 Gallon Forecast'!K349+'D4 Gallon Forecast'!K365+'D6 RIN Forecast'!K281</f>
        <v>275529</v>
      </c>
      <c r="L252" s="18">
        <f>'D4 Gallon Forecast'!L349+'D4 Gallon Forecast'!L365+'D6 RIN Forecast'!L281</f>
        <v>371169</v>
      </c>
      <c r="M252" s="18">
        <f>'D4 Gallon Forecast'!M349+'D4 Gallon Forecast'!M365+'D6 RIN Forecast'!M281</f>
        <v>300122</v>
      </c>
      <c r="N252" s="18">
        <f>'D4 Gallon Forecast'!N349+'D4 Gallon Forecast'!N365+'D6 RIN Forecast'!N281</f>
        <v>393571</v>
      </c>
      <c r="O252" s="18">
        <f>'D4 Gallon Forecast'!O349+'D4 Gallon Forecast'!O365+'D6 RIN Forecast'!O281</f>
        <v>659302</v>
      </c>
      <c r="P252" s="19">
        <f>'D4 Gallon Forecast'!P349+'D4 Gallon Forecast'!P365+'D6 RIN Forecast'!P281</f>
        <v>9238825</v>
      </c>
      <c r="Q252" s="19">
        <f>'D4 Gallon Forecast'!Q349+'D4 Gallon Forecast'!Q365+'D6 RIN Forecast'!Q281</f>
        <v>12452933.632424854</v>
      </c>
      <c r="R252" s="19">
        <f>'D4 Gallon Forecast'!R349+'D4 Gallon Forecast'!R365+'D6 RIN Forecast'!R281</f>
        <v>52616710.025440149</v>
      </c>
      <c r="S252" s="18">
        <f>'D4 Gallon Forecast'!S349+'D4 Gallon Forecast'!S365+'D6 RIN Forecast'!S281</f>
        <v>151556323.87113687</v>
      </c>
      <c r="T252" s="18">
        <f>'D4 Gallon Forecast'!T349+'D4 Gallon Forecast'!T365+'D6 RIN Forecast'!T281</f>
        <v>198436700.35851759</v>
      </c>
      <c r="U252" s="18">
        <f>'D4 Gallon Forecast'!U349+'D4 Gallon Forecast'!U365+'D6 RIN Forecast'!U281</f>
        <v>260127554.87836725</v>
      </c>
      <c r="V252" s="18">
        <f>'D4 Gallon Forecast'!V349+'D4 Gallon Forecast'!V365+'D6 RIN Forecast'!V281</f>
        <v>348876006.37040305</v>
      </c>
      <c r="W252" s="18">
        <f>'D4 Gallon Forecast'!W349+'D4 Gallon Forecast'!W365+'D6 RIN Forecast'!W281</f>
        <v>408678422.89728802</v>
      </c>
      <c r="X252" s="18">
        <f>'D4 Gallon Forecast'!X349+'D4 Gallon Forecast'!X365+'D6 RIN Forecast'!X281</f>
        <v>516969775.86017174</v>
      </c>
      <c r="Y252" s="18">
        <f>'D4 Gallon Forecast'!Y349+'D4 Gallon Forecast'!Y365+'D6 RIN Forecast'!Y281</f>
        <v>539833109.98474038</v>
      </c>
      <c r="Z252" s="18">
        <f>'D4 Gallon Forecast'!Z349+'D4 Gallon Forecast'!Z365+'D6 RIN Forecast'!Z281</f>
        <v>586615638.15935934</v>
      </c>
      <c r="AD252" s="18">
        <f t="shared" si="117"/>
        <v>298294.59999999998</v>
      </c>
      <c r="AE252" s="19">
        <f t="shared" si="118"/>
        <v>361007.4</v>
      </c>
      <c r="AF252" s="19">
        <f t="shared" si="116"/>
        <v>265731</v>
      </c>
      <c r="AG252" s="19">
        <f>O252/30</f>
        <v>21976.733333333334</v>
      </c>
      <c r="AH252" s="18">
        <f>AD252/30</f>
        <v>9943.1533333333318</v>
      </c>
      <c r="AI252" s="19">
        <f t="shared" si="119"/>
        <v>12033.580000000002</v>
      </c>
    </row>
    <row r="253" spans="1:35">
      <c r="A253" s="14" t="s">
        <v>52</v>
      </c>
      <c r="B253" s="18">
        <f>'D4 Gallon Forecast'!B350+'D4 Gallon Forecast'!B366+'D6 RIN Forecast'!B282</f>
        <v>0</v>
      </c>
      <c r="C253" s="18">
        <f>'D4 Gallon Forecast'!C350+'D4 Gallon Forecast'!C366+'D6 RIN Forecast'!C282</f>
        <v>0</v>
      </c>
      <c r="D253" s="18">
        <f>'D4 Gallon Forecast'!D350+'D4 Gallon Forecast'!D366+'D6 RIN Forecast'!D282</f>
        <v>0</v>
      </c>
      <c r="E253" s="18">
        <f>'D4 Gallon Forecast'!E350+'D4 Gallon Forecast'!E366+'D6 RIN Forecast'!E282</f>
        <v>0</v>
      </c>
      <c r="F253" s="18">
        <f>'D4 Gallon Forecast'!F350+'D4 Gallon Forecast'!F366+'D6 RIN Forecast'!F282</f>
        <v>0</v>
      </c>
      <c r="G253" s="18">
        <f>'D4 Gallon Forecast'!G350+'D4 Gallon Forecast'!G366+'D6 RIN Forecast'!G282</f>
        <v>0</v>
      </c>
      <c r="H253" s="18">
        <f>'D4 Gallon Forecast'!H350+'D4 Gallon Forecast'!H366+'D6 RIN Forecast'!H282</f>
        <v>181093</v>
      </c>
      <c r="I253" s="18">
        <f>'D4 Gallon Forecast'!I350+'D4 Gallon Forecast'!I366+'D6 RIN Forecast'!I282</f>
        <v>160272</v>
      </c>
      <c r="J253" s="18">
        <f>'D4 Gallon Forecast'!J350+'D4 Gallon Forecast'!J366+'D6 RIN Forecast'!J282</f>
        <v>229089</v>
      </c>
      <c r="K253" s="18">
        <f>'D4 Gallon Forecast'!K350+'D4 Gallon Forecast'!K366+'D6 RIN Forecast'!K282</f>
        <v>216574</v>
      </c>
      <c r="L253" s="18">
        <f>'D4 Gallon Forecast'!L350+'D4 Gallon Forecast'!L366+'D6 RIN Forecast'!L282</f>
        <v>188416</v>
      </c>
      <c r="M253" s="18">
        <f>'D4 Gallon Forecast'!M350+'D4 Gallon Forecast'!M366+'D6 RIN Forecast'!M282</f>
        <v>437741</v>
      </c>
      <c r="N253" s="18">
        <f>'D4 Gallon Forecast'!N350+'D4 Gallon Forecast'!N366+'D6 RIN Forecast'!N282</f>
        <v>1764631</v>
      </c>
      <c r="O253" s="18">
        <f>'D4 Gallon Forecast'!O350+'D4 Gallon Forecast'!O366+'D6 RIN Forecast'!O282</f>
        <v>2295001</v>
      </c>
      <c r="P253" s="19">
        <f>'D4 Gallon Forecast'!P350+'D4 Gallon Forecast'!P366+'D6 RIN Forecast'!P282</f>
        <v>4385751</v>
      </c>
      <c r="Q253" s="19">
        <f>'D4 Gallon Forecast'!Q350+'D4 Gallon Forecast'!Q366+'D6 RIN Forecast'!Q282</f>
        <v>14834325.59477609</v>
      </c>
      <c r="R253" s="19">
        <f>'D4 Gallon Forecast'!R350+'D4 Gallon Forecast'!R366+'D6 RIN Forecast'!R282</f>
        <v>50466368.362446688</v>
      </c>
      <c r="S253" s="18">
        <f>'D4 Gallon Forecast'!S350+'D4 Gallon Forecast'!S366+'D6 RIN Forecast'!S282</f>
        <v>147707958.69611695</v>
      </c>
      <c r="T253" s="18">
        <f>'D4 Gallon Forecast'!T350+'D4 Gallon Forecast'!T366+'D6 RIN Forecast'!T282</f>
        <v>192401756.72541958</v>
      </c>
      <c r="U253" s="18">
        <f>'D4 Gallon Forecast'!U350+'D4 Gallon Forecast'!U366+'D6 RIN Forecast'!U282</f>
        <v>272535682.06256491</v>
      </c>
      <c r="V253" s="18">
        <f>'D4 Gallon Forecast'!V350+'D4 Gallon Forecast'!V366+'D6 RIN Forecast'!V282</f>
        <v>-21724490.724122405</v>
      </c>
      <c r="W253" s="18">
        <f>'D4 Gallon Forecast'!W350+'D4 Gallon Forecast'!W366+'D6 RIN Forecast'!W282</f>
        <v>6003438897.7809658</v>
      </c>
      <c r="X253" s="18">
        <f>'D4 Gallon Forecast'!X350+'D4 Gallon Forecast'!X366+'D6 RIN Forecast'!X282</f>
        <v>-79413397888.654556</v>
      </c>
      <c r="Y253" s="18">
        <f>'D4 Gallon Forecast'!Y350+'D4 Gallon Forecast'!Y366+'D6 RIN Forecast'!Y282</f>
        <v>1062068430194.6534</v>
      </c>
      <c r="Z253" s="18">
        <f>'D4 Gallon Forecast'!Z350+'D4 Gallon Forecast'!Z366+'D6 RIN Forecast'!Z282</f>
        <v>-13199221482818.549</v>
      </c>
      <c r="AD253" s="18">
        <f t="shared" si="117"/>
        <v>567290.19999999995</v>
      </c>
      <c r="AE253" s="19">
        <f t="shared" si="118"/>
        <v>1727710.8</v>
      </c>
      <c r="AF253" s="19">
        <f t="shared" si="116"/>
        <v>530370</v>
      </c>
      <c r="AG253" s="19">
        <f>O253/31</f>
        <v>74032.290322580651</v>
      </c>
      <c r="AH253" s="18">
        <f>AD253/31</f>
        <v>18299.683870967739</v>
      </c>
      <c r="AI253" s="19">
        <f t="shared" si="119"/>
        <v>55732.606451612912</v>
      </c>
    </row>
    <row r="254" spans="1:35">
      <c r="A254" s="14" t="s">
        <v>53</v>
      </c>
      <c r="B254" s="18">
        <f>'D4 Gallon Forecast'!B351+'D4 Gallon Forecast'!B367+'D6 RIN Forecast'!B283</f>
        <v>0</v>
      </c>
      <c r="C254" s="18">
        <f>'D4 Gallon Forecast'!C351+'D4 Gallon Forecast'!C367+'D6 RIN Forecast'!C283</f>
        <v>0</v>
      </c>
      <c r="D254" s="18">
        <f>'D4 Gallon Forecast'!D351+'D4 Gallon Forecast'!D367+'D6 RIN Forecast'!D283</f>
        <v>0</v>
      </c>
      <c r="E254" s="18">
        <f>'D4 Gallon Forecast'!E351+'D4 Gallon Forecast'!E367+'D6 RIN Forecast'!E283</f>
        <v>0</v>
      </c>
      <c r="F254" s="18">
        <f>'D4 Gallon Forecast'!F351+'D4 Gallon Forecast'!F367+'D6 RIN Forecast'!F283</f>
        <v>0</v>
      </c>
      <c r="G254" s="18">
        <f>'D4 Gallon Forecast'!G351+'D4 Gallon Forecast'!G367+'D6 RIN Forecast'!G283</f>
        <v>0</v>
      </c>
      <c r="H254" s="18">
        <f>'D4 Gallon Forecast'!H351+'D4 Gallon Forecast'!H367+'D6 RIN Forecast'!H283</f>
        <v>192991</v>
      </c>
      <c r="I254" s="18">
        <f>'D4 Gallon Forecast'!I351+'D4 Gallon Forecast'!I367+'D6 RIN Forecast'!I283</f>
        <v>68957</v>
      </c>
      <c r="J254" s="18">
        <f>'D4 Gallon Forecast'!J351+'D4 Gallon Forecast'!J367+'D6 RIN Forecast'!J283</f>
        <v>152783</v>
      </c>
      <c r="K254" s="18">
        <f>'D4 Gallon Forecast'!K351+'D4 Gallon Forecast'!K367+'D6 RIN Forecast'!K283</f>
        <v>91175</v>
      </c>
      <c r="L254" s="18">
        <f>'D4 Gallon Forecast'!L351+'D4 Gallon Forecast'!L367+'D6 RIN Forecast'!L283</f>
        <v>188201</v>
      </c>
      <c r="M254" s="18">
        <f>'D4 Gallon Forecast'!M351+'D4 Gallon Forecast'!M367+'D6 RIN Forecast'!M283</f>
        <v>403482</v>
      </c>
      <c r="N254" s="18">
        <f>'D4 Gallon Forecast'!N351+'D4 Gallon Forecast'!N367+'D6 RIN Forecast'!N283</f>
        <v>152226</v>
      </c>
      <c r="O254" s="18">
        <f>'D4 Gallon Forecast'!O351+'D4 Gallon Forecast'!O367+'D6 RIN Forecast'!O283</f>
        <v>764623</v>
      </c>
      <c r="P254" s="19">
        <f>'D4 Gallon Forecast'!P351+'D4 Gallon Forecast'!P367+'D6 RIN Forecast'!P283</f>
        <v>2385423</v>
      </c>
      <c r="Q254" s="19">
        <f>'D4 Gallon Forecast'!Q351+'D4 Gallon Forecast'!Q367+'D6 RIN Forecast'!Q283</f>
        <v>16410536.413000446</v>
      </c>
      <c r="R254" s="19">
        <f>'D4 Gallon Forecast'!R351+'D4 Gallon Forecast'!R367+'D6 RIN Forecast'!R283</f>
        <v>42554501.84904772</v>
      </c>
      <c r="S254" s="18">
        <f>'D4 Gallon Forecast'!S351+'D4 Gallon Forecast'!S367+'D6 RIN Forecast'!S283</f>
        <v>127407725.85366595</v>
      </c>
      <c r="T254" s="18">
        <f>'D4 Gallon Forecast'!T351+'D4 Gallon Forecast'!T367+'D6 RIN Forecast'!T283</f>
        <v>165946028.60346749</v>
      </c>
      <c r="U254" s="18">
        <f>'D4 Gallon Forecast'!U351+'D4 Gallon Forecast'!U367+'D6 RIN Forecast'!U283</f>
        <v>237061557.91248119</v>
      </c>
      <c r="V254" s="18">
        <f>'D4 Gallon Forecast'!V351+'D4 Gallon Forecast'!V367+'D6 RIN Forecast'!V283</f>
        <v>-38409113.95527184</v>
      </c>
      <c r="W254" s="18">
        <f>'D4 Gallon Forecast'!W351+'D4 Gallon Forecast'!W367+'D6 RIN Forecast'!W283</f>
        <v>5510719801.3743763</v>
      </c>
      <c r="X254" s="18">
        <f>'D4 Gallon Forecast'!X351+'D4 Gallon Forecast'!X367+'D6 RIN Forecast'!X283</f>
        <v>-73227487802.640564</v>
      </c>
      <c r="Y254" s="18">
        <f>'D4 Gallon Forecast'!Y351+'D4 Gallon Forecast'!Y367+'D6 RIN Forecast'!Y283</f>
        <v>978926300111.68909</v>
      </c>
      <c r="Z254" s="18">
        <f>'D4 Gallon Forecast'!Z351+'D4 Gallon Forecast'!Z367+'D6 RIN Forecast'!Z283</f>
        <v>-12166345948367.75</v>
      </c>
      <c r="AD254" s="18">
        <f t="shared" si="117"/>
        <v>197573.4</v>
      </c>
      <c r="AE254" s="19">
        <f t="shared" si="118"/>
        <v>567049.6</v>
      </c>
      <c r="AF254" s="19">
        <f t="shared" si="116"/>
        <v>612397</v>
      </c>
      <c r="AG254" s="19">
        <f>O254/30</f>
        <v>25487.433333333334</v>
      </c>
      <c r="AH254" s="18">
        <f>AD254/30</f>
        <v>6585.78</v>
      </c>
      <c r="AI254" s="19">
        <f t="shared" si="119"/>
        <v>18901.653333333335</v>
      </c>
    </row>
    <row r="255" spans="1:35">
      <c r="A255" s="14" t="s">
        <v>54</v>
      </c>
      <c r="B255" s="18">
        <f>'D4 Gallon Forecast'!B352+'D4 Gallon Forecast'!B368+'D6 RIN Forecast'!B284</f>
        <v>0</v>
      </c>
      <c r="C255" s="18">
        <f>'D4 Gallon Forecast'!C352+'D4 Gallon Forecast'!C368+'D6 RIN Forecast'!C284</f>
        <v>0</v>
      </c>
      <c r="D255" s="18">
        <f>'D4 Gallon Forecast'!D352+'D4 Gallon Forecast'!D368+'D6 RIN Forecast'!D284</f>
        <v>0</v>
      </c>
      <c r="E255" s="18">
        <f>'D4 Gallon Forecast'!E352+'D4 Gallon Forecast'!E368+'D6 RIN Forecast'!E284</f>
        <v>0</v>
      </c>
      <c r="F255" s="18">
        <f>'D4 Gallon Forecast'!F352+'D4 Gallon Forecast'!F368+'D6 RIN Forecast'!F284</f>
        <v>0</v>
      </c>
      <c r="G255" s="18">
        <f>'D4 Gallon Forecast'!G352+'D4 Gallon Forecast'!G368+'D6 RIN Forecast'!G284</f>
        <v>0</v>
      </c>
      <c r="H255" s="18">
        <f>'D4 Gallon Forecast'!H352+'D4 Gallon Forecast'!H368+'D6 RIN Forecast'!H284</f>
        <v>178772</v>
      </c>
      <c r="I255" s="18">
        <f>'D4 Gallon Forecast'!I352+'D4 Gallon Forecast'!I368+'D6 RIN Forecast'!I284</f>
        <v>201266</v>
      </c>
      <c r="J255" s="18">
        <f>'D4 Gallon Forecast'!J352+'D4 Gallon Forecast'!J368+'D6 RIN Forecast'!J284</f>
        <v>272240</v>
      </c>
      <c r="K255" s="18">
        <f>'D4 Gallon Forecast'!K352+'D4 Gallon Forecast'!K368+'D6 RIN Forecast'!K284</f>
        <v>137333</v>
      </c>
      <c r="L255" s="18">
        <f>'D4 Gallon Forecast'!L352+'D4 Gallon Forecast'!L368+'D6 RIN Forecast'!L284</f>
        <v>194662</v>
      </c>
      <c r="M255" s="18">
        <f>'D4 Gallon Forecast'!M352+'D4 Gallon Forecast'!M368+'D6 RIN Forecast'!M284</f>
        <v>308503</v>
      </c>
      <c r="N255" s="18">
        <f>'D4 Gallon Forecast'!N352+'D4 Gallon Forecast'!N368+'D6 RIN Forecast'!N284</f>
        <v>100555</v>
      </c>
      <c r="O255" s="18">
        <f>'D4 Gallon Forecast'!O352+'D4 Gallon Forecast'!O368+'D6 RIN Forecast'!O284</f>
        <v>142407</v>
      </c>
      <c r="P255" s="19">
        <f>'D4 Gallon Forecast'!P352+'D4 Gallon Forecast'!P368+'D6 RIN Forecast'!P284</f>
        <v>2161094</v>
      </c>
      <c r="Q255" s="19">
        <f>'D4 Gallon Forecast'!Q352+'D4 Gallon Forecast'!Q368+'D6 RIN Forecast'!Q284</f>
        <v>14437401.130043851</v>
      </c>
      <c r="R255" s="19">
        <f>'D4 Gallon Forecast'!R352+'D4 Gallon Forecast'!R368+'D6 RIN Forecast'!R284</f>
        <v>39609206.845971122</v>
      </c>
      <c r="S255" s="18">
        <f>'D4 Gallon Forecast'!S352+'D4 Gallon Forecast'!S368+'D6 RIN Forecast'!S284</f>
        <v>105750988.64019375</v>
      </c>
      <c r="T255" s="18">
        <f>'D4 Gallon Forecast'!T352+'D4 Gallon Forecast'!T368+'D6 RIN Forecast'!T284</f>
        <v>146023980.93353385</v>
      </c>
      <c r="U255" s="18">
        <f>'D4 Gallon Forecast'!U352+'D4 Gallon Forecast'!U368+'D6 RIN Forecast'!U284</f>
        <v>116596056.55519518</v>
      </c>
      <c r="V255" s="18">
        <f>'D4 Gallon Forecast'!V352+'D4 Gallon Forecast'!V368+'D6 RIN Forecast'!V284</f>
        <v>1609709181.2607434</v>
      </c>
      <c r="W255" s="18">
        <f>'D4 Gallon Forecast'!W352+'D4 Gallon Forecast'!W368+'D6 RIN Forecast'!W284</f>
        <v>-20529633056.024551</v>
      </c>
      <c r="X255" s="18">
        <f>'D4 Gallon Forecast'!X352+'D4 Gallon Forecast'!X368+'D6 RIN Forecast'!X284</f>
        <v>297452648394.17676</v>
      </c>
      <c r="Y255" s="18">
        <f>'D4 Gallon Forecast'!Y352+'D4 Gallon Forecast'!Y368+'D6 RIN Forecast'!Y284</f>
        <v>-3945523620393.5771</v>
      </c>
      <c r="Z255" s="18">
        <f>'D4 Gallon Forecast'!Z352+'D4 Gallon Forecast'!Z368+'D6 RIN Forecast'!Z284</f>
        <v>49066262688414.719</v>
      </c>
      <c r="AD255" s="18">
        <f t="shared" si="117"/>
        <v>202658.6</v>
      </c>
      <c r="AE255" s="19">
        <f t="shared" si="118"/>
        <v>-60251.600000000006</v>
      </c>
      <c r="AF255" s="19">
        <f t="shared" si="116"/>
        <v>41852</v>
      </c>
      <c r="AG255" s="19">
        <f>O255/31</f>
        <v>4593.7741935483873</v>
      </c>
      <c r="AH255" s="18">
        <f>AD255/31</f>
        <v>6537.3741935483877</v>
      </c>
      <c r="AI255" s="19">
        <f t="shared" si="119"/>
        <v>-1943.6000000000004</v>
      </c>
    </row>
    <row r="256" spans="1:35">
      <c r="A256" s="14" t="s">
        <v>29</v>
      </c>
      <c r="B256" s="18">
        <f>SUM(B244:B255)</f>
        <v>0</v>
      </c>
      <c r="C256" s="18">
        <f t="shared" ref="C256:Z256" si="120">SUM(C244:C255)</f>
        <v>0</v>
      </c>
      <c r="D256" s="18">
        <f t="shared" si="120"/>
        <v>0</v>
      </c>
      <c r="E256" s="18">
        <f t="shared" si="120"/>
        <v>0</v>
      </c>
      <c r="F256" s="18">
        <f t="shared" si="120"/>
        <v>0</v>
      </c>
      <c r="G256" s="18">
        <f t="shared" si="120"/>
        <v>0</v>
      </c>
      <c r="H256" s="18">
        <f t="shared" si="120"/>
        <v>783646</v>
      </c>
      <c r="I256" s="18">
        <f t="shared" si="120"/>
        <v>1711017</v>
      </c>
      <c r="J256" s="18">
        <f t="shared" si="120"/>
        <v>1828178</v>
      </c>
      <c r="K256" s="18">
        <f t="shared" si="120"/>
        <v>2428702</v>
      </c>
      <c r="L256" s="18">
        <f t="shared" si="120"/>
        <v>4608399</v>
      </c>
      <c r="M256" s="18">
        <f t="shared" si="120"/>
        <v>5076623</v>
      </c>
      <c r="N256" s="18">
        <f t="shared" si="120"/>
        <v>7893137</v>
      </c>
      <c r="O256" s="18">
        <f t="shared" si="120"/>
        <v>15293822</v>
      </c>
      <c r="P256" s="19">
        <f t="shared" si="120"/>
        <v>38735579</v>
      </c>
      <c r="Q256" s="19">
        <f t="shared" si="120"/>
        <v>139570837.26186442</v>
      </c>
      <c r="R256" s="19">
        <f t="shared" si="120"/>
        <v>460938322.65820801</v>
      </c>
      <c r="S256" s="18">
        <f t="shared" si="120"/>
        <v>1325080483.1648734</v>
      </c>
      <c r="T256" s="18">
        <f t="shared" si="120"/>
        <v>1736187420.4702725</v>
      </c>
      <c r="U256" s="18">
        <f t="shared" si="120"/>
        <v>2273682826.8042879</v>
      </c>
      <c r="V256" s="18">
        <f t="shared" si="120"/>
        <v>3073123261.2486191</v>
      </c>
      <c r="W256" s="18">
        <f t="shared" si="120"/>
        <v>3588479261.6874084</v>
      </c>
      <c r="X256" s="18">
        <f t="shared" si="120"/>
        <v>4539403953.286438</v>
      </c>
      <c r="Y256" s="18">
        <f t="shared" si="120"/>
        <v>4740990840.6347656</v>
      </c>
      <c r="Z256" s="18">
        <f t="shared" si="120"/>
        <v>5153206321.9453125</v>
      </c>
      <c r="AD256" s="18">
        <f t="shared" si="117"/>
        <v>4367007.8</v>
      </c>
      <c r="AE256" s="19">
        <f t="shared" si="118"/>
        <v>10926814.199999999</v>
      </c>
    </row>
    <row r="257" spans="1:26">
      <c r="M257" s="25">
        <f>M249/L249-1</f>
        <v>-0.29732966512163894</v>
      </c>
      <c r="N257" s="25">
        <f>N249/M249-1</f>
        <v>1.2452444188213825</v>
      </c>
      <c r="O257" s="25">
        <f>O249/N249-1</f>
        <v>0.39836886610891176</v>
      </c>
      <c r="P257" s="25">
        <f>P249/O249-1</f>
        <v>1.6728908483314777</v>
      </c>
      <c r="Q257" s="25">
        <f>Q249/P249-1</f>
        <v>2.6358724674842855</v>
      </c>
    </row>
    <row r="258" spans="1:26" ht="15.75">
      <c r="A258" s="15" t="s">
        <v>82</v>
      </c>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c r="B259" s="14">
        <f t="shared" ref="B259:Z259" si="121">B3</f>
        <v>2010</v>
      </c>
      <c r="C259" s="14">
        <f t="shared" si="121"/>
        <v>2011</v>
      </c>
      <c r="D259" s="14">
        <f t="shared" si="121"/>
        <v>2012</v>
      </c>
      <c r="E259" s="14">
        <f t="shared" si="121"/>
        <v>2013</v>
      </c>
      <c r="F259" s="14">
        <f t="shared" si="121"/>
        <v>2014</v>
      </c>
      <c r="G259" s="14">
        <f t="shared" si="121"/>
        <v>2015</v>
      </c>
      <c r="H259" s="14">
        <f t="shared" si="121"/>
        <v>2016</v>
      </c>
      <c r="I259" s="14">
        <f t="shared" si="121"/>
        <v>2017</v>
      </c>
      <c r="J259" s="14">
        <f t="shared" si="121"/>
        <v>2018</v>
      </c>
      <c r="K259" s="14">
        <f t="shared" si="121"/>
        <v>2019</v>
      </c>
      <c r="L259" s="14">
        <f t="shared" si="121"/>
        <v>2020</v>
      </c>
      <c r="M259" s="14">
        <f t="shared" si="121"/>
        <v>2021</v>
      </c>
      <c r="N259" s="14">
        <f t="shared" si="121"/>
        <v>2022</v>
      </c>
      <c r="O259" s="14">
        <f t="shared" si="121"/>
        <v>2023</v>
      </c>
      <c r="P259" s="14">
        <f t="shared" si="121"/>
        <v>2024</v>
      </c>
      <c r="Q259" s="14">
        <f t="shared" si="121"/>
        <v>2025</v>
      </c>
      <c r="R259" s="14">
        <f t="shared" si="121"/>
        <v>2026</v>
      </c>
      <c r="S259" s="14">
        <f t="shared" si="121"/>
        <v>2027</v>
      </c>
      <c r="T259" s="14">
        <f t="shared" si="121"/>
        <v>2028</v>
      </c>
      <c r="U259" s="14">
        <f t="shared" si="121"/>
        <v>2029</v>
      </c>
      <c r="V259" s="14">
        <f t="shared" si="121"/>
        <v>2030</v>
      </c>
      <c r="W259" s="14">
        <f t="shared" si="121"/>
        <v>2031</v>
      </c>
      <c r="X259" s="14">
        <f t="shared" si="121"/>
        <v>2032</v>
      </c>
      <c r="Y259" s="14">
        <f t="shared" si="121"/>
        <v>2033</v>
      </c>
      <c r="Z259" s="14">
        <f t="shared" si="121"/>
        <v>2034</v>
      </c>
    </row>
    <row r="260" spans="1:26">
      <c r="A260" s="14" t="s">
        <v>43</v>
      </c>
      <c r="B260" s="18">
        <f>'D4 RIN Forecast'!B387+'D6 RIN Forecast'!B305</f>
        <v>0</v>
      </c>
      <c r="C260" s="18">
        <f>'D4 RIN Forecast'!C387+'D6 RIN Forecast'!C305</f>
        <v>0</v>
      </c>
      <c r="D260" s="18">
        <f>'D4 RIN Forecast'!D387+'D6 RIN Forecast'!D305</f>
        <v>0</v>
      </c>
      <c r="E260" s="18">
        <f>'D4 RIN Forecast'!E387+'D6 RIN Forecast'!E305</f>
        <v>0</v>
      </c>
      <c r="F260" s="18">
        <f>'D4 RIN Forecast'!F387+'D6 RIN Forecast'!F305</f>
        <v>0</v>
      </c>
      <c r="G260" s="18">
        <f>'D4 RIN Forecast'!G387+'D6 RIN Forecast'!G305</f>
        <v>0</v>
      </c>
      <c r="H260" s="18">
        <f>'D4 RIN Forecast'!H387+'D6 RIN Forecast'!H305</f>
        <v>0</v>
      </c>
      <c r="I260" s="18">
        <f>'D4 RIN Forecast'!I387+'D6 RIN Forecast'!I305</f>
        <v>0</v>
      </c>
      <c r="J260" s="18">
        <f>'D4 RIN Forecast'!J387+'D6 RIN Forecast'!J305</f>
        <v>0</v>
      </c>
      <c r="K260" s="18">
        <f>'D4 RIN Forecast'!K387+'D6 RIN Forecast'!K305</f>
        <v>0</v>
      </c>
      <c r="L260" s="18">
        <f>'D4 RIN Forecast'!L387+'D6 RIN Forecast'!L305</f>
        <v>0</v>
      </c>
      <c r="M260" s="18">
        <f>'D4 RIN Forecast'!M387+'D6 RIN Forecast'!M305</f>
        <v>0</v>
      </c>
      <c r="N260" s="18">
        <f>'D4 RIN Forecast'!N387+'D6 RIN Forecast'!N305</f>
        <v>0</v>
      </c>
      <c r="O260" s="18">
        <f>'D4 RIN Forecast'!O387+'D6 RIN Forecast'!O305</f>
        <v>0</v>
      </c>
      <c r="P260" s="18">
        <f>'D4 RIN Forecast'!P387+'D6 RIN Forecast'!P305</f>
        <v>0</v>
      </c>
      <c r="Q260" s="18">
        <f>'D4 RIN Forecast'!Q387+'D6 RIN Forecast'!Q305</f>
        <v>0</v>
      </c>
      <c r="R260" s="18">
        <f>'D4 RIN Forecast'!R387+'D6 RIN Forecast'!R305</f>
        <v>0</v>
      </c>
      <c r="S260" s="18">
        <f>'D4 RIN Forecast'!S387+'D6 RIN Forecast'!S305</f>
        <v>0</v>
      </c>
      <c r="T260" s="18">
        <f>'D4 RIN Forecast'!T387+'D6 RIN Forecast'!T305</f>
        <v>0</v>
      </c>
      <c r="U260" s="18">
        <f>'D4 RIN Forecast'!U387+'D6 RIN Forecast'!U305</f>
        <v>0</v>
      </c>
      <c r="V260" s="18">
        <f>'D4 RIN Forecast'!V387+'D6 RIN Forecast'!V305</f>
        <v>0</v>
      </c>
      <c r="W260" s="18">
        <f>'D4 RIN Forecast'!W387+'D6 RIN Forecast'!W305</f>
        <v>0</v>
      </c>
      <c r="X260" s="18">
        <f>'D4 RIN Forecast'!X387+'D6 RIN Forecast'!X305</f>
        <v>0</v>
      </c>
      <c r="Y260" s="18">
        <f>'D4 RIN Forecast'!Y387+'D6 RIN Forecast'!Y305</f>
        <v>0</v>
      </c>
      <c r="Z260" s="18">
        <f>'D4 RIN Forecast'!Z387+'D6 RIN Forecast'!Z305</f>
        <v>0</v>
      </c>
    </row>
    <row r="261" spans="1:26">
      <c r="A261" s="14" t="s">
        <v>44</v>
      </c>
      <c r="B261" s="18">
        <f>'D4 RIN Forecast'!B388+'D6 RIN Forecast'!B306</f>
        <v>0</v>
      </c>
      <c r="C261" s="18">
        <f>'D4 RIN Forecast'!C388+'D6 RIN Forecast'!C306</f>
        <v>0</v>
      </c>
      <c r="D261" s="18">
        <f>'D4 RIN Forecast'!D388+'D6 RIN Forecast'!D306</f>
        <v>0</v>
      </c>
      <c r="E261" s="18">
        <f>'D4 RIN Forecast'!E388+'D6 RIN Forecast'!E306</f>
        <v>0</v>
      </c>
      <c r="F261" s="18">
        <f>'D4 RIN Forecast'!F388+'D6 RIN Forecast'!F306</f>
        <v>0</v>
      </c>
      <c r="G261" s="18">
        <f>'D4 RIN Forecast'!G388+'D6 RIN Forecast'!G306</f>
        <v>0</v>
      </c>
      <c r="H261" s="18">
        <f>'D4 RIN Forecast'!H388+'D6 RIN Forecast'!H306</f>
        <v>0</v>
      </c>
      <c r="I261" s="18">
        <f>'D4 RIN Forecast'!I388+'D6 RIN Forecast'!I306</f>
        <v>0</v>
      </c>
      <c r="J261" s="18">
        <f>'D4 RIN Forecast'!J388+'D6 RIN Forecast'!J306</f>
        <v>0</v>
      </c>
      <c r="K261" s="18">
        <f>'D4 RIN Forecast'!K388+'D6 RIN Forecast'!K306</f>
        <v>0</v>
      </c>
      <c r="L261" s="18">
        <f>'D4 RIN Forecast'!L388+'D6 RIN Forecast'!L306</f>
        <v>0</v>
      </c>
      <c r="M261" s="18">
        <f>'D4 RIN Forecast'!M388+'D6 RIN Forecast'!M306</f>
        <v>0</v>
      </c>
      <c r="N261" s="18">
        <f>'D4 RIN Forecast'!N388+'D6 RIN Forecast'!N306</f>
        <v>0</v>
      </c>
      <c r="O261" s="18">
        <f>'D4 RIN Forecast'!O388+'D6 RIN Forecast'!O306</f>
        <v>0</v>
      </c>
      <c r="P261" s="18">
        <f>'D4 RIN Forecast'!P388+'D6 RIN Forecast'!P306</f>
        <v>0</v>
      </c>
      <c r="Q261" s="18">
        <f>'D4 RIN Forecast'!Q388+'D6 RIN Forecast'!Q306</f>
        <v>0</v>
      </c>
      <c r="R261" s="18">
        <f>'D4 RIN Forecast'!R388+'D6 RIN Forecast'!R306</f>
        <v>0</v>
      </c>
      <c r="S261" s="18">
        <f>'D4 RIN Forecast'!S388+'D6 RIN Forecast'!S306</f>
        <v>0</v>
      </c>
      <c r="T261" s="18">
        <f>'D4 RIN Forecast'!T388+'D6 RIN Forecast'!T306</f>
        <v>0</v>
      </c>
      <c r="U261" s="18">
        <f>'D4 RIN Forecast'!U388+'D6 RIN Forecast'!U306</f>
        <v>0</v>
      </c>
      <c r="V261" s="18">
        <f>'D4 RIN Forecast'!V388+'D6 RIN Forecast'!V306</f>
        <v>0</v>
      </c>
      <c r="W261" s="18">
        <f>'D4 RIN Forecast'!W388+'D6 RIN Forecast'!W306</f>
        <v>0</v>
      </c>
      <c r="X261" s="18">
        <f>'D4 RIN Forecast'!X388+'D6 RIN Forecast'!X306</f>
        <v>0</v>
      </c>
      <c r="Y261" s="18">
        <f>'D4 RIN Forecast'!Y388+'D6 RIN Forecast'!Y306</f>
        <v>0</v>
      </c>
      <c r="Z261" s="18">
        <f>'D4 RIN Forecast'!Z388+'D6 RIN Forecast'!Z306</f>
        <v>0</v>
      </c>
    </row>
    <row r="262" spans="1:26">
      <c r="A262" s="14" t="s">
        <v>45</v>
      </c>
      <c r="B262" s="18">
        <f>'D4 RIN Forecast'!B389+'D6 RIN Forecast'!B307</f>
        <v>0</v>
      </c>
      <c r="C262" s="18">
        <f>'D4 RIN Forecast'!C389+'D6 RIN Forecast'!C307</f>
        <v>0</v>
      </c>
      <c r="D262" s="18">
        <f>'D4 RIN Forecast'!D389+'D6 RIN Forecast'!D307</f>
        <v>0</v>
      </c>
      <c r="E262" s="18">
        <f>'D4 RIN Forecast'!E389+'D6 RIN Forecast'!E307</f>
        <v>0</v>
      </c>
      <c r="F262" s="18">
        <f>'D4 RIN Forecast'!F389+'D6 RIN Forecast'!F307</f>
        <v>0</v>
      </c>
      <c r="G262" s="18">
        <f>'D4 RIN Forecast'!G389+'D6 RIN Forecast'!G307</f>
        <v>0</v>
      </c>
      <c r="H262" s="18">
        <f>'D4 RIN Forecast'!H389+'D6 RIN Forecast'!H307</f>
        <v>0</v>
      </c>
      <c r="I262" s="18">
        <f>'D4 RIN Forecast'!I389+'D6 RIN Forecast'!I307</f>
        <v>0</v>
      </c>
      <c r="J262" s="18">
        <f>'D4 RIN Forecast'!J389+'D6 RIN Forecast'!J307</f>
        <v>0</v>
      </c>
      <c r="K262" s="18">
        <f>'D4 RIN Forecast'!K389+'D6 RIN Forecast'!K307</f>
        <v>0</v>
      </c>
      <c r="L262" s="18">
        <f>'D4 RIN Forecast'!L389+'D6 RIN Forecast'!L307</f>
        <v>0</v>
      </c>
      <c r="M262" s="18">
        <f>'D4 RIN Forecast'!M389+'D6 RIN Forecast'!M307</f>
        <v>0</v>
      </c>
      <c r="N262" s="18">
        <f>'D4 RIN Forecast'!N389+'D6 RIN Forecast'!N307</f>
        <v>0</v>
      </c>
      <c r="O262" s="18">
        <f>'D4 RIN Forecast'!O389+'D6 RIN Forecast'!O307</f>
        <v>0</v>
      </c>
      <c r="P262" s="18">
        <f>'D4 RIN Forecast'!P389+'D6 RIN Forecast'!P307</f>
        <v>0</v>
      </c>
      <c r="Q262" s="18">
        <f>'D4 RIN Forecast'!Q389+'D6 RIN Forecast'!Q307</f>
        <v>0</v>
      </c>
      <c r="R262" s="18">
        <f>'D4 RIN Forecast'!R389+'D6 RIN Forecast'!R307</f>
        <v>0</v>
      </c>
      <c r="S262" s="18">
        <f>'D4 RIN Forecast'!S389+'D6 RIN Forecast'!S307</f>
        <v>0</v>
      </c>
      <c r="T262" s="18">
        <f>'D4 RIN Forecast'!T389+'D6 RIN Forecast'!T307</f>
        <v>0</v>
      </c>
      <c r="U262" s="18">
        <f>'D4 RIN Forecast'!U389+'D6 RIN Forecast'!U307</f>
        <v>0</v>
      </c>
      <c r="V262" s="18">
        <f>'D4 RIN Forecast'!V389+'D6 RIN Forecast'!V307</f>
        <v>0</v>
      </c>
      <c r="W262" s="18">
        <f>'D4 RIN Forecast'!W389+'D6 RIN Forecast'!W307</f>
        <v>0</v>
      </c>
      <c r="X262" s="18">
        <f>'D4 RIN Forecast'!X389+'D6 RIN Forecast'!X307</f>
        <v>0</v>
      </c>
      <c r="Y262" s="18">
        <f>'D4 RIN Forecast'!Y389+'D6 RIN Forecast'!Y307</f>
        <v>0</v>
      </c>
      <c r="Z262" s="18">
        <f>'D4 RIN Forecast'!Z389+'D6 RIN Forecast'!Z307</f>
        <v>0</v>
      </c>
    </row>
    <row r="263" spans="1:26">
      <c r="A263" s="14" t="s">
        <v>46</v>
      </c>
      <c r="B263" s="18">
        <f>'D4 RIN Forecast'!B390+'D6 RIN Forecast'!B308</f>
        <v>0</v>
      </c>
      <c r="C263" s="18">
        <f>'D4 RIN Forecast'!C390+'D6 RIN Forecast'!C308</f>
        <v>0</v>
      </c>
      <c r="D263" s="18">
        <f>'D4 RIN Forecast'!D390+'D6 RIN Forecast'!D308</f>
        <v>0</v>
      </c>
      <c r="E263" s="18">
        <f>'D4 RIN Forecast'!E390+'D6 RIN Forecast'!E308</f>
        <v>0</v>
      </c>
      <c r="F263" s="18">
        <f>'D4 RIN Forecast'!F390+'D6 RIN Forecast'!F308</f>
        <v>0</v>
      </c>
      <c r="G263" s="18">
        <f>'D4 RIN Forecast'!G390+'D6 RIN Forecast'!G308</f>
        <v>0</v>
      </c>
      <c r="H263" s="18">
        <f>'D4 RIN Forecast'!H390+'D6 RIN Forecast'!H308</f>
        <v>0</v>
      </c>
      <c r="I263" s="18">
        <f>'D4 RIN Forecast'!I390+'D6 RIN Forecast'!I308</f>
        <v>0</v>
      </c>
      <c r="J263" s="18">
        <f>'D4 RIN Forecast'!J390+'D6 RIN Forecast'!J308</f>
        <v>0</v>
      </c>
      <c r="K263" s="18">
        <f>'D4 RIN Forecast'!K390+'D6 RIN Forecast'!K308</f>
        <v>0</v>
      </c>
      <c r="L263" s="18">
        <f>'D4 RIN Forecast'!L390+'D6 RIN Forecast'!L308</f>
        <v>0</v>
      </c>
      <c r="M263" s="18">
        <f>'D4 RIN Forecast'!M390+'D6 RIN Forecast'!M308</f>
        <v>0</v>
      </c>
      <c r="N263" s="18">
        <f>'D4 RIN Forecast'!N390+'D6 RIN Forecast'!N308</f>
        <v>0</v>
      </c>
      <c r="O263" s="18">
        <f>'D4 RIN Forecast'!O390+'D6 RIN Forecast'!O308</f>
        <v>0</v>
      </c>
      <c r="P263" s="18">
        <f>'D4 RIN Forecast'!P390+'D6 RIN Forecast'!P308</f>
        <v>0</v>
      </c>
      <c r="Q263" s="18">
        <f>'D4 RIN Forecast'!Q390+'D6 RIN Forecast'!Q308</f>
        <v>0</v>
      </c>
      <c r="R263" s="18">
        <f>'D4 RIN Forecast'!R390+'D6 RIN Forecast'!R308</f>
        <v>0</v>
      </c>
      <c r="S263" s="18">
        <f>'D4 RIN Forecast'!S390+'D6 RIN Forecast'!S308</f>
        <v>0</v>
      </c>
      <c r="T263" s="18">
        <f>'D4 RIN Forecast'!T390+'D6 RIN Forecast'!T308</f>
        <v>0</v>
      </c>
      <c r="U263" s="18">
        <f>'D4 RIN Forecast'!U390+'D6 RIN Forecast'!U308</f>
        <v>0</v>
      </c>
      <c r="V263" s="18">
        <f>'D4 RIN Forecast'!V390+'D6 RIN Forecast'!V308</f>
        <v>0</v>
      </c>
      <c r="W263" s="18">
        <f>'D4 RIN Forecast'!W390+'D6 RIN Forecast'!W308</f>
        <v>0</v>
      </c>
      <c r="X263" s="18">
        <f>'D4 RIN Forecast'!X390+'D6 RIN Forecast'!X308</f>
        <v>0</v>
      </c>
      <c r="Y263" s="18">
        <f>'D4 RIN Forecast'!Y390+'D6 RIN Forecast'!Y308</f>
        <v>0</v>
      </c>
      <c r="Z263" s="18">
        <f>'D4 RIN Forecast'!Z390+'D6 RIN Forecast'!Z308</f>
        <v>0</v>
      </c>
    </row>
    <row r="264" spans="1:26">
      <c r="A264" s="14" t="s">
        <v>47</v>
      </c>
      <c r="B264" s="18">
        <f>'D4 RIN Forecast'!B391+'D6 RIN Forecast'!B309</f>
        <v>0</v>
      </c>
      <c r="C264" s="18">
        <f>'D4 RIN Forecast'!C391+'D6 RIN Forecast'!C309</f>
        <v>0</v>
      </c>
      <c r="D264" s="18">
        <f>'D4 RIN Forecast'!D391+'D6 RIN Forecast'!D309</f>
        <v>0</v>
      </c>
      <c r="E264" s="18">
        <f>'D4 RIN Forecast'!E391+'D6 RIN Forecast'!E309</f>
        <v>0</v>
      </c>
      <c r="F264" s="18">
        <f>'D4 RIN Forecast'!F391+'D6 RIN Forecast'!F309</f>
        <v>0</v>
      </c>
      <c r="G264" s="18">
        <f>'D4 RIN Forecast'!G391+'D6 RIN Forecast'!G309</f>
        <v>0</v>
      </c>
      <c r="H264" s="18">
        <f>'D4 RIN Forecast'!H391+'D6 RIN Forecast'!H309</f>
        <v>0</v>
      </c>
      <c r="I264" s="18">
        <f>'D4 RIN Forecast'!I391+'D6 RIN Forecast'!I309</f>
        <v>0</v>
      </c>
      <c r="J264" s="18">
        <f>'D4 RIN Forecast'!J391+'D6 RIN Forecast'!J309</f>
        <v>0</v>
      </c>
      <c r="K264" s="18">
        <f>'D4 RIN Forecast'!K391+'D6 RIN Forecast'!K309</f>
        <v>0</v>
      </c>
      <c r="L264" s="18">
        <f>'D4 RIN Forecast'!L391+'D6 RIN Forecast'!L309</f>
        <v>0</v>
      </c>
      <c r="M264" s="18">
        <f>'D4 RIN Forecast'!M391+'D6 RIN Forecast'!M309</f>
        <v>0</v>
      </c>
      <c r="N264" s="18">
        <f>'D4 RIN Forecast'!N391+'D6 RIN Forecast'!N309</f>
        <v>0</v>
      </c>
      <c r="O264" s="18">
        <f>'D4 RIN Forecast'!O391+'D6 RIN Forecast'!O309</f>
        <v>0</v>
      </c>
      <c r="P264" s="18">
        <f>'D4 RIN Forecast'!P391+'D6 RIN Forecast'!P309</f>
        <v>0</v>
      </c>
      <c r="Q264" s="18">
        <f>'D4 RIN Forecast'!Q391+'D6 RIN Forecast'!Q309</f>
        <v>0</v>
      </c>
      <c r="R264" s="18">
        <f>'D4 RIN Forecast'!R391+'D6 RIN Forecast'!R309</f>
        <v>0</v>
      </c>
      <c r="S264" s="18">
        <f>'D4 RIN Forecast'!S391+'D6 RIN Forecast'!S309</f>
        <v>0</v>
      </c>
      <c r="T264" s="18">
        <f>'D4 RIN Forecast'!T391+'D6 RIN Forecast'!T309</f>
        <v>0</v>
      </c>
      <c r="U264" s="18">
        <f>'D4 RIN Forecast'!U391+'D6 RIN Forecast'!U309</f>
        <v>0</v>
      </c>
      <c r="V264" s="18">
        <f>'D4 RIN Forecast'!V391+'D6 RIN Forecast'!V309</f>
        <v>0</v>
      </c>
      <c r="W264" s="18">
        <f>'D4 RIN Forecast'!W391+'D6 RIN Forecast'!W309</f>
        <v>0</v>
      </c>
      <c r="X264" s="18">
        <f>'D4 RIN Forecast'!X391+'D6 RIN Forecast'!X309</f>
        <v>0</v>
      </c>
      <c r="Y264" s="18">
        <f>'D4 RIN Forecast'!Y391+'D6 RIN Forecast'!Y309</f>
        <v>0</v>
      </c>
      <c r="Z264" s="18">
        <f>'D4 RIN Forecast'!Z391+'D6 RIN Forecast'!Z309</f>
        <v>0</v>
      </c>
    </row>
    <row r="265" spans="1:26">
      <c r="A265" s="14" t="s">
        <v>48</v>
      </c>
      <c r="B265" s="18">
        <f>'D4 RIN Forecast'!B392+'D6 RIN Forecast'!B310</f>
        <v>0</v>
      </c>
      <c r="C265" s="18">
        <f>'D4 RIN Forecast'!C392+'D6 RIN Forecast'!C310</f>
        <v>0</v>
      </c>
      <c r="D265" s="18">
        <f>'D4 RIN Forecast'!D392+'D6 RIN Forecast'!D310</f>
        <v>0</v>
      </c>
      <c r="E265" s="18">
        <f>'D4 RIN Forecast'!E392+'D6 RIN Forecast'!E310</f>
        <v>0</v>
      </c>
      <c r="F265" s="18">
        <f>'D4 RIN Forecast'!F392+'D6 RIN Forecast'!F310</f>
        <v>0</v>
      </c>
      <c r="G265" s="18">
        <f>'D4 RIN Forecast'!G392+'D6 RIN Forecast'!G310</f>
        <v>0</v>
      </c>
      <c r="H265" s="18">
        <f>'D4 RIN Forecast'!H392+'D6 RIN Forecast'!H310</f>
        <v>0</v>
      </c>
      <c r="I265" s="18">
        <f>'D4 RIN Forecast'!I392+'D6 RIN Forecast'!I310</f>
        <v>0</v>
      </c>
      <c r="J265" s="18">
        <f>'D4 RIN Forecast'!J392+'D6 RIN Forecast'!J310</f>
        <v>0</v>
      </c>
      <c r="K265" s="18">
        <f>'D4 RIN Forecast'!K392+'D6 RIN Forecast'!K310</f>
        <v>0</v>
      </c>
      <c r="L265" s="18">
        <f>'D4 RIN Forecast'!L392+'D6 RIN Forecast'!L310</f>
        <v>0</v>
      </c>
      <c r="M265" s="18">
        <f>'D4 RIN Forecast'!M392+'D6 RIN Forecast'!M310</f>
        <v>0</v>
      </c>
      <c r="N265" s="18">
        <f>'D4 RIN Forecast'!N392+'D6 RIN Forecast'!N310</f>
        <v>0</v>
      </c>
      <c r="O265" s="18">
        <f>'D4 RIN Forecast'!O392+'D6 RIN Forecast'!O310</f>
        <v>0</v>
      </c>
      <c r="P265" s="18">
        <f>'D4 RIN Forecast'!P392+'D6 RIN Forecast'!P310</f>
        <v>0</v>
      </c>
      <c r="Q265" s="18">
        <f>'D4 RIN Forecast'!Q392+'D6 RIN Forecast'!Q310</f>
        <v>0</v>
      </c>
      <c r="R265" s="18">
        <f>'D4 RIN Forecast'!R392+'D6 RIN Forecast'!R310</f>
        <v>0</v>
      </c>
      <c r="S265" s="18">
        <f>'D4 RIN Forecast'!S392+'D6 RIN Forecast'!S310</f>
        <v>0</v>
      </c>
      <c r="T265" s="18">
        <f>'D4 RIN Forecast'!T392+'D6 RIN Forecast'!T310</f>
        <v>0</v>
      </c>
      <c r="U265" s="18">
        <f>'D4 RIN Forecast'!U392+'D6 RIN Forecast'!U310</f>
        <v>0</v>
      </c>
      <c r="V265" s="18">
        <f>'D4 RIN Forecast'!V392+'D6 RIN Forecast'!V310</f>
        <v>0</v>
      </c>
      <c r="W265" s="18">
        <f>'D4 RIN Forecast'!W392+'D6 RIN Forecast'!W310</f>
        <v>0</v>
      </c>
      <c r="X265" s="18">
        <f>'D4 RIN Forecast'!X392+'D6 RIN Forecast'!X310</f>
        <v>0</v>
      </c>
      <c r="Y265" s="18">
        <f>'D4 RIN Forecast'!Y392+'D6 RIN Forecast'!Y310</f>
        <v>0</v>
      </c>
      <c r="Z265" s="18">
        <f>'D4 RIN Forecast'!Z392+'D6 RIN Forecast'!Z310</f>
        <v>0</v>
      </c>
    </row>
    <row r="266" spans="1:26">
      <c r="A266" s="14" t="s">
        <v>49</v>
      </c>
      <c r="B266" s="18">
        <f>'D4 RIN Forecast'!B393+'D6 RIN Forecast'!B311</f>
        <v>0</v>
      </c>
      <c r="C266" s="18">
        <f>'D4 RIN Forecast'!C393+'D6 RIN Forecast'!C311</f>
        <v>0</v>
      </c>
      <c r="D266" s="18">
        <f>'D4 RIN Forecast'!D393+'D6 RIN Forecast'!D311</f>
        <v>0</v>
      </c>
      <c r="E266" s="18">
        <f>'D4 RIN Forecast'!E393+'D6 RIN Forecast'!E311</f>
        <v>0</v>
      </c>
      <c r="F266" s="18">
        <f>'D4 RIN Forecast'!F393+'D6 RIN Forecast'!F311</f>
        <v>0</v>
      </c>
      <c r="G266" s="18">
        <f>'D4 RIN Forecast'!G393+'D6 RIN Forecast'!G311</f>
        <v>0</v>
      </c>
      <c r="H266" s="18">
        <f>'D4 RIN Forecast'!H393+'D6 RIN Forecast'!H311</f>
        <v>0</v>
      </c>
      <c r="I266" s="18">
        <f>'D4 RIN Forecast'!I393+'D6 RIN Forecast'!I311</f>
        <v>0</v>
      </c>
      <c r="J266" s="18">
        <f>'D4 RIN Forecast'!J393+'D6 RIN Forecast'!J311</f>
        <v>0</v>
      </c>
      <c r="K266" s="18">
        <f>'D4 RIN Forecast'!K393+'D6 RIN Forecast'!K311</f>
        <v>0</v>
      </c>
      <c r="L266" s="18">
        <f>'D4 RIN Forecast'!L393+'D6 RIN Forecast'!L311</f>
        <v>0</v>
      </c>
      <c r="M266" s="18">
        <f>'D4 RIN Forecast'!M393+'D6 RIN Forecast'!M311</f>
        <v>0</v>
      </c>
      <c r="N266" s="18">
        <f>'D4 RIN Forecast'!N393+'D6 RIN Forecast'!N311</f>
        <v>0</v>
      </c>
      <c r="O266" s="18">
        <f>'D4 RIN Forecast'!O393+'D6 RIN Forecast'!O311</f>
        <v>0</v>
      </c>
      <c r="P266" s="18">
        <f>'D4 RIN Forecast'!P393+'D6 RIN Forecast'!P311</f>
        <v>0</v>
      </c>
      <c r="Q266" s="18">
        <f>'D4 RIN Forecast'!Q393+'D6 RIN Forecast'!Q311</f>
        <v>0</v>
      </c>
      <c r="R266" s="18">
        <f>'D4 RIN Forecast'!R393+'D6 RIN Forecast'!R311</f>
        <v>0</v>
      </c>
      <c r="S266" s="18">
        <f>'D4 RIN Forecast'!S393+'D6 RIN Forecast'!S311</f>
        <v>0</v>
      </c>
      <c r="T266" s="18">
        <f>'D4 RIN Forecast'!T393+'D6 RIN Forecast'!T311</f>
        <v>0</v>
      </c>
      <c r="U266" s="18">
        <f>'D4 RIN Forecast'!U393+'D6 RIN Forecast'!U311</f>
        <v>0</v>
      </c>
      <c r="V266" s="18">
        <f>'D4 RIN Forecast'!V393+'D6 RIN Forecast'!V311</f>
        <v>0</v>
      </c>
      <c r="W266" s="18">
        <f>'D4 RIN Forecast'!W393+'D6 RIN Forecast'!W311</f>
        <v>0</v>
      </c>
      <c r="X266" s="18">
        <f>'D4 RIN Forecast'!X393+'D6 RIN Forecast'!X311</f>
        <v>0</v>
      </c>
      <c r="Y266" s="18">
        <f>'D4 RIN Forecast'!Y393+'D6 RIN Forecast'!Y311</f>
        <v>0</v>
      </c>
      <c r="Z266" s="18">
        <f>'D4 RIN Forecast'!Z393+'D6 RIN Forecast'!Z311</f>
        <v>0</v>
      </c>
    </row>
    <row r="267" spans="1:26">
      <c r="A267" s="14" t="s">
        <v>50</v>
      </c>
      <c r="B267" s="18">
        <f>'D4 RIN Forecast'!B394+'D6 RIN Forecast'!B312</f>
        <v>0</v>
      </c>
      <c r="C267" s="18">
        <f>'D4 RIN Forecast'!C394+'D6 RIN Forecast'!C312</f>
        <v>0</v>
      </c>
      <c r="D267" s="18">
        <f>'D4 RIN Forecast'!D394+'D6 RIN Forecast'!D312</f>
        <v>0</v>
      </c>
      <c r="E267" s="18">
        <f>'D4 RIN Forecast'!E394+'D6 RIN Forecast'!E312</f>
        <v>0</v>
      </c>
      <c r="F267" s="18">
        <f>'D4 RIN Forecast'!F394+'D6 RIN Forecast'!F312</f>
        <v>0</v>
      </c>
      <c r="G267" s="18">
        <f>'D4 RIN Forecast'!G394+'D6 RIN Forecast'!G312</f>
        <v>0</v>
      </c>
      <c r="H267" s="18">
        <f>'D4 RIN Forecast'!H394+'D6 RIN Forecast'!H312</f>
        <v>0</v>
      </c>
      <c r="I267" s="18">
        <f>'D4 RIN Forecast'!I394+'D6 RIN Forecast'!I312</f>
        <v>0</v>
      </c>
      <c r="J267" s="18">
        <f>'D4 RIN Forecast'!J394+'D6 RIN Forecast'!J312</f>
        <v>0</v>
      </c>
      <c r="K267" s="18">
        <f>'D4 RIN Forecast'!K394+'D6 RIN Forecast'!K312</f>
        <v>0</v>
      </c>
      <c r="L267" s="18">
        <f>'D4 RIN Forecast'!L394+'D6 RIN Forecast'!L312</f>
        <v>0</v>
      </c>
      <c r="M267" s="18">
        <f>'D4 RIN Forecast'!M394+'D6 RIN Forecast'!M312</f>
        <v>0</v>
      </c>
      <c r="N267" s="18">
        <f>'D4 RIN Forecast'!N394+'D6 RIN Forecast'!N312</f>
        <v>0</v>
      </c>
      <c r="O267" s="18">
        <f>'D4 RIN Forecast'!O394+'D6 RIN Forecast'!O312</f>
        <v>0</v>
      </c>
      <c r="P267" s="18">
        <f>'D4 RIN Forecast'!P394+'D6 RIN Forecast'!P312</f>
        <v>0</v>
      </c>
      <c r="Q267" s="18">
        <f>'D4 RIN Forecast'!Q394+'D6 RIN Forecast'!Q312</f>
        <v>0</v>
      </c>
      <c r="R267" s="18">
        <f>'D4 RIN Forecast'!R394+'D6 RIN Forecast'!R312</f>
        <v>0</v>
      </c>
      <c r="S267" s="18">
        <f>'D4 RIN Forecast'!S394+'D6 RIN Forecast'!S312</f>
        <v>0</v>
      </c>
      <c r="T267" s="18">
        <f>'D4 RIN Forecast'!T394+'D6 RIN Forecast'!T312</f>
        <v>0</v>
      </c>
      <c r="U267" s="18">
        <f>'D4 RIN Forecast'!U394+'D6 RIN Forecast'!U312</f>
        <v>0</v>
      </c>
      <c r="V267" s="18">
        <f>'D4 RIN Forecast'!V394+'D6 RIN Forecast'!V312</f>
        <v>0</v>
      </c>
      <c r="W267" s="18">
        <f>'D4 RIN Forecast'!W394+'D6 RIN Forecast'!W312</f>
        <v>0</v>
      </c>
      <c r="X267" s="18">
        <f>'D4 RIN Forecast'!X394+'D6 RIN Forecast'!X312</f>
        <v>0</v>
      </c>
      <c r="Y267" s="18">
        <f>'D4 RIN Forecast'!Y394+'D6 RIN Forecast'!Y312</f>
        <v>0</v>
      </c>
      <c r="Z267" s="18">
        <f>'D4 RIN Forecast'!Z394+'D6 RIN Forecast'!Z312</f>
        <v>0</v>
      </c>
    </row>
    <row r="268" spans="1:26">
      <c r="A268" s="14" t="s">
        <v>51</v>
      </c>
      <c r="B268" s="18">
        <f>'D4 RIN Forecast'!B395+'D6 RIN Forecast'!B313</f>
        <v>0</v>
      </c>
      <c r="C268" s="18">
        <f>'D4 RIN Forecast'!C395+'D6 RIN Forecast'!C313</f>
        <v>0</v>
      </c>
      <c r="D268" s="18">
        <f>'D4 RIN Forecast'!D395+'D6 RIN Forecast'!D313</f>
        <v>0</v>
      </c>
      <c r="E268" s="18">
        <f>'D4 RIN Forecast'!E395+'D6 RIN Forecast'!E313</f>
        <v>0</v>
      </c>
      <c r="F268" s="18">
        <f>'D4 RIN Forecast'!F395+'D6 RIN Forecast'!F313</f>
        <v>0</v>
      </c>
      <c r="G268" s="18">
        <f>'D4 RIN Forecast'!G395+'D6 RIN Forecast'!G313</f>
        <v>0</v>
      </c>
      <c r="H268" s="18">
        <f>'D4 RIN Forecast'!H395+'D6 RIN Forecast'!H313</f>
        <v>0</v>
      </c>
      <c r="I268" s="18">
        <f>'D4 RIN Forecast'!I395+'D6 RIN Forecast'!I313</f>
        <v>0</v>
      </c>
      <c r="J268" s="18">
        <f>'D4 RIN Forecast'!J395+'D6 RIN Forecast'!J313</f>
        <v>0</v>
      </c>
      <c r="K268" s="18">
        <f>'D4 RIN Forecast'!K395+'D6 RIN Forecast'!K313</f>
        <v>0</v>
      </c>
      <c r="L268" s="18">
        <f>'D4 RIN Forecast'!L395+'D6 RIN Forecast'!L313</f>
        <v>0</v>
      </c>
      <c r="M268" s="18">
        <f>'D4 RIN Forecast'!M395+'D6 RIN Forecast'!M313</f>
        <v>0</v>
      </c>
      <c r="N268" s="18">
        <f>'D4 RIN Forecast'!N395+'D6 RIN Forecast'!N313</f>
        <v>0</v>
      </c>
      <c r="O268" s="18">
        <f>'D4 RIN Forecast'!O395+'D6 RIN Forecast'!O313</f>
        <v>0</v>
      </c>
      <c r="P268" s="18">
        <f>'D4 RIN Forecast'!P395+'D6 RIN Forecast'!P313</f>
        <v>0</v>
      </c>
      <c r="Q268" s="18">
        <f>'D4 RIN Forecast'!Q395+'D6 RIN Forecast'!Q313</f>
        <v>0</v>
      </c>
      <c r="R268" s="18">
        <f>'D4 RIN Forecast'!R395+'D6 RIN Forecast'!R313</f>
        <v>0</v>
      </c>
      <c r="S268" s="18">
        <f>'D4 RIN Forecast'!S395+'D6 RIN Forecast'!S313</f>
        <v>0</v>
      </c>
      <c r="T268" s="18">
        <f>'D4 RIN Forecast'!T395+'D6 RIN Forecast'!T313</f>
        <v>0</v>
      </c>
      <c r="U268" s="18">
        <f>'D4 RIN Forecast'!U395+'D6 RIN Forecast'!U313</f>
        <v>0</v>
      </c>
      <c r="V268" s="18">
        <f>'D4 RIN Forecast'!V395+'D6 RIN Forecast'!V313</f>
        <v>0</v>
      </c>
      <c r="W268" s="18">
        <f>'D4 RIN Forecast'!W395+'D6 RIN Forecast'!W313</f>
        <v>0</v>
      </c>
      <c r="X268" s="18">
        <f>'D4 RIN Forecast'!X395+'D6 RIN Forecast'!X313</f>
        <v>0</v>
      </c>
      <c r="Y268" s="18">
        <f>'D4 RIN Forecast'!Y395+'D6 RIN Forecast'!Y313</f>
        <v>0</v>
      </c>
      <c r="Z268" s="18">
        <f>'D4 RIN Forecast'!Z395+'D6 RIN Forecast'!Z313</f>
        <v>0</v>
      </c>
    </row>
    <row r="269" spans="1:26">
      <c r="A269" s="14" t="s">
        <v>52</v>
      </c>
      <c r="B269" s="18">
        <f>'D4 RIN Forecast'!B396+'D6 RIN Forecast'!B314</f>
        <v>0</v>
      </c>
      <c r="C269" s="18">
        <f>'D4 RIN Forecast'!C396+'D6 RIN Forecast'!C314</f>
        <v>0</v>
      </c>
      <c r="D269" s="18">
        <f>'D4 RIN Forecast'!D396+'D6 RIN Forecast'!D314</f>
        <v>0</v>
      </c>
      <c r="E269" s="18">
        <f>'D4 RIN Forecast'!E396+'D6 RIN Forecast'!E314</f>
        <v>0</v>
      </c>
      <c r="F269" s="18">
        <f>'D4 RIN Forecast'!F396+'D6 RIN Forecast'!F314</f>
        <v>0</v>
      </c>
      <c r="G269" s="18">
        <f>'D4 RIN Forecast'!G396+'D6 RIN Forecast'!G314</f>
        <v>0</v>
      </c>
      <c r="H269" s="18">
        <f>'D4 RIN Forecast'!H396+'D6 RIN Forecast'!H314</f>
        <v>0</v>
      </c>
      <c r="I269" s="18">
        <f>'D4 RIN Forecast'!I396+'D6 RIN Forecast'!I314</f>
        <v>0</v>
      </c>
      <c r="J269" s="18">
        <f>'D4 RIN Forecast'!J396+'D6 RIN Forecast'!J314</f>
        <v>0</v>
      </c>
      <c r="K269" s="18">
        <f>'D4 RIN Forecast'!K396+'D6 RIN Forecast'!K314</f>
        <v>0</v>
      </c>
      <c r="L269" s="18">
        <f>'D4 RIN Forecast'!L396+'D6 RIN Forecast'!L314</f>
        <v>0</v>
      </c>
      <c r="M269" s="18">
        <f>'D4 RIN Forecast'!M396+'D6 RIN Forecast'!M314</f>
        <v>0</v>
      </c>
      <c r="N269" s="18">
        <f>'D4 RIN Forecast'!N396+'D6 RIN Forecast'!N314</f>
        <v>0</v>
      </c>
      <c r="O269" s="18">
        <f>'D4 RIN Forecast'!O396+'D6 RIN Forecast'!O314</f>
        <v>0</v>
      </c>
      <c r="P269" s="18">
        <f>'D4 RIN Forecast'!P396+'D6 RIN Forecast'!P314</f>
        <v>0</v>
      </c>
      <c r="Q269" s="18">
        <f>'D4 RIN Forecast'!Q396+'D6 RIN Forecast'!Q314</f>
        <v>0</v>
      </c>
      <c r="R269" s="18">
        <f>'D4 RIN Forecast'!R396+'D6 RIN Forecast'!R314</f>
        <v>0</v>
      </c>
      <c r="S269" s="18">
        <f>'D4 RIN Forecast'!S396+'D6 RIN Forecast'!S314</f>
        <v>0</v>
      </c>
      <c r="T269" s="18">
        <f>'D4 RIN Forecast'!T396+'D6 RIN Forecast'!T314</f>
        <v>0</v>
      </c>
      <c r="U269" s="18">
        <f>'D4 RIN Forecast'!U396+'D6 RIN Forecast'!U314</f>
        <v>0</v>
      </c>
      <c r="V269" s="18">
        <f>'D4 RIN Forecast'!V396+'D6 RIN Forecast'!V314</f>
        <v>0</v>
      </c>
      <c r="W269" s="18">
        <f>'D4 RIN Forecast'!W396+'D6 RIN Forecast'!W314</f>
        <v>0</v>
      </c>
      <c r="X269" s="18">
        <f>'D4 RIN Forecast'!X396+'D6 RIN Forecast'!X314</f>
        <v>0</v>
      </c>
      <c r="Y269" s="18">
        <f>'D4 RIN Forecast'!Y396+'D6 RIN Forecast'!Y314</f>
        <v>0</v>
      </c>
      <c r="Z269" s="18">
        <f>'D4 RIN Forecast'!Z396+'D6 RIN Forecast'!Z314</f>
        <v>0</v>
      </c>
    </row>
    <row r="270" spans="1:26">
      <c r="A270" s="14" t="s">
        <v>53</v>
      </c>
      <c r="B270" s="18">
        <f>'D4 RIN Forecast'!B397+'D6 RIN Forecast'!B315</f>
        <v>0</v>
      </c>
      <c r="C270" s="18">
        <f>'D4 RIN Forecast'!C397+'D6 RIN Forecast'!C315</f>
        <v>0</v>
      </c>
      <c r="D270" s="18">
        <f>'D4 RIN Forecast'!D397+'D6 RIN Forecast'!D315</f>
        <v>0</v>
      </c>
      <c r="E270" s="18">
        <f>'D4 RIN Forecast'!E397+'D6 RIN Forecast'!E315</f>
        <v>0</v>
      </c>
      <c r="F270" s="18">
        <f>'D4 RIN Forecast'!F397+'D6 RIN Forecast'!F315</f>
        <v>0</v>
      </c>
      <c r="G270" s="18">
        <f>'D4 RIN Forecast'!G397+'D6 RIN Forecast'!G315</f>
        <v>0</v>
      </c>
      <c r="H270" s="18">
        <f>'D4 RIN Forecast'!H397+'D6 RIN Forecast'!H315</f>
        <v>0</v>
      </c>
      <c r="I270" s="18">
        <f>'D4 RIN Forecast'!I397+'D6 RIN Forecast'!I315</f>
        <v>0</v>
      </c>
      <c r="J270" s="18">
        <f>'D4 RIN Forecast'!J397+'D6 RIN Forecast'!J315</f>
        <v>0</v>
      </c>
      <c r="K270" s="18">
        <f>'D4 RIN Forecast'!K397+'D6 RIN Forecast'!K315</f>
        <v>0</v>
      </c>
      <c r="L270" s="18">
        <f>'D4 RIN Forecast'!L397+'D6 RIN Forecast'!L315</f>
        <v>0</v>
      </c>
      <c r="M270" s="18">
        <f>'D4 RIN Forecast'!M397+'D6 RIN Forecast'!M315</f>
        <v>0</v>
      </c>
      <c r="N270" s="18">
        <f>'D4 RIN Forecast'!N397+'D6 RIN Forecast'!N315</f>
        <v>0</v>
      </c>
      <c r="O270" s="18">
        <f>'D4 RIN Forecast'!O397+'D6 RIN Forecast'!O315</f>
        <v>0</v>
      </c>
      <c r="P270" s="18">
        <f>'D4 RIN Forecast'!P397+'D6 RIN Forecast'!P315</f>
        <v>0</v>
      </c>
      <c r="Q270" s="18">
        <f>'D4 RIN Forecast'!Q397+'D6 RIN Forecast'!Q315</f>
        <v>0</v>
      </c>
      <c r="R270" s="18">
        <f>'D4 RIN Forecast'!R397+'D6 RIN Forecast'!R315</f>
        <v>0</v>
      </c>
      <c r="S270" s="18">
        <f>'D4 RIN Forecast'!S397+'D6 RIN Forecast'!S315</f>
        <v>0</v>
      </c>
      <c r="T270" s="18">
        <f>'D4 RIN Forecast'!T397+'D6 RIN Forecast'!T315</f>
        <v>0</v>
      </c>
      <c r="U270" s="18">
        <f>'D4 RIN Forecast'!U397+'D6 RIN Forecast'!U315</f>
        <v>0</v>
      </c>
      <c r="V270" s="18">
        <f>'D4 RIN Forecast'!V397+'D6 RIN Forecast'!V315</f>
        <v>0</v>
      </c>
      <c r="W270" s="18">
        <f>'D4 RIN Forecast'!W397+'D6 RIN Forecast'!W315</f>
        <v>0</v>
      </c>
      <c r="X270" s="18">
        <f>'D4 RIN Forecast'!X397+'D6 RIN Forecast'!X315</f>
        <v>0</v>
      </c>
      <c r="Y270" s="18">
        <f>'D4 RIN Forecast'!Y397+'D6 RIN Forecast'!Y315</f>
        <v>0</v>
      </c>
      <c r="Z270" s="18">
        <f>'D4 RIN Forecast'!Z397+'D6 RIN Forecast'!Z315</f>
        <v>0</v>
      </c>
    </row>
    <row r="271" spans="1:26">
      <c r="A271" s="14" t="s">
        <v>54</v>
      </c>
      <c r="B271" s="18">
        <f>'D4 RIN Forecast'!B398+'D6 RIN Forecast'!B316</f>
        <v>0</v>
      </c>
      <c r="C271" s="18">
        <f>'D4 RIN Forecast'!C398+'D6 RIN Forecast'!C316</f>
        <v>0</v>
      </c>
      <c r="D271" s="18">
        <f>'D4 RIN Forecast'!D398+'D6 RIN Forecast'!D316</f>
        <v>0</v>
      </c>
      <c r="E271" s="18">
        <f>'D4 RIN Forecast'!E398+'D6 RIN Forecast'!E316</f>
        <v>0</v>
      </c>
      <c r="F271" s="18">
        <f>'D4 RIN Forecast'!F398+'D6 RIN Forecast'!F316</f>
        <v>0</v>
      </c>
      <c r="G271" s="18">
        <f>'D4 RIN Forecast'!G398+'D6 RIN Forecast'!G316</f>
        <v>0</v>
      </c>
      <c r="H271" s="18">
        <f>'D4 RIN Forecast'!H398+'D6 RIN Forecast'!H316</f>
        <v>0</v>
      </c>
      <c r="I271" s="18">
        <f>'D4 RIN Forecast'!I398+'D6 RIN Forecast'!I316</f>
        <v>0</v>
      </c>
      <c r="J271" s="18">
        <f>'D4 RIN Forecast'!J398+'D6 RIN Forecast'!J316</f>
        <v>0</v>
      </c>
      <c r="K271" s="18">
        <f>'D4 RIN Forecast'!K398+'D6 RIN Forecast'!K316</f>
        <v>0</v>
      </c>
      <c r="L271" s="18">
        <f>'D4 RIN Forecast'!L398+'D6 RIN Forecast'!L316</f>
        <v>0</v>
      </c>
      <c r="M271" s="18">
        <f>'D4 RIN Forecast'!M398+'D6 RIN Forecast'!M316</f>
        <v>0</v>
      </c>
      <c r="N271" s="18">
        <f>'D4 RIN Forecast'!N398+'D6 RIN Forecast'!N316</f>
        <v>0</v>
      </c>
      <c r="O271" s="18">
        <f>'D4 RIN Forecast'!O398+'D6 RIN Forecast'!O316</f>
        <v>0</v>
      </c>
      <c r="P271" s="18">
        <f>'D4 RIN Forecast'!P398+'D6 RIN Forecast'!P316</f>
        <v>0</v>
      </c>
      <c r="Q271" s="18">
        <f>'D4 RIN Forecast'!Q398+'D6 RIN Forecast'!Q316</f>
        <v>0</v>
      </c>
      <c r="R271" s="18">
        <f>'D4 RIN Forecast'!R398+'D6 RIN Forecast'!R316</f>
        <v>0</v>
      </c>
      <c r="S271" s="18">
        <f>'D4 RIN Forecast'!S398+'D6 RIN Forecast'!S316</f>
        <v>0</v>
      </c>
      <c r="T271" s="18">
        <f>'D4 RIN Forecast'!T398+'D6 RIN Forecast'!T316</f>
        <v>0</v>
      </c>
      <c r="U271" s="18">
        <f>'D4 RIN Forecast'!U398+'D6 RIN Forecast'!U316</f>
        <v>0</v>
      </c>
      <c r="V271" s="18">
        <f>'D4 RIN Forecast'!V398+'D6 RIN Forecast'!V316</f>
        <v>0</v>
      </c>
      <c r="W271" s="18">
        <f>'D4 RIN Forecast'!W398+'D6 RIN Forecast'!W316</f>
        <v>0</v>
      </c>
      <c r="X271" s="18">
        <f>'D4 RIN Forecast'!X398+'D6 RIN Forecast'!X316</f>
        <v>0</v>
      </c>
      <c r="Y271" s="18">
        <f>'D4 RIN Forecast'!Y398+'D6 RIN Forecast'!Y316</f>
        <v>0</v>
      </c>
      <c r="Z271" s="18">
        <f>'D4 RIN Forecast'!Z398+'D6 RIN Forecast'!Z316</f>
        <v>0</v>
      </c>
    </row>
    <row r="272" spans="1:26">
      <c r="A272" s="14" t="s">
        <v>29</v>
      </c>
      <c r="B272" s="18">
        <f>SUM(B260:B271)</f>
        <v>0</v>
      </c>
      <c r="C272" s="18">
        <f t="shared" ref="C272:Z272" si="122">SUM(C260:C271)</f>
        <v>0</v>
      </c>
      <c r="D272" s="18">
        <f t="shared" si="122"/>
        <v>0</v>
      </c>
      <c r="E272" s="18">
        <f t="shared" si="122"/>
        <v>0</v>
      </c>
      <c r="F272" s="18">
        <f t="shared" si="122"/>
        <v>0</v>
      </c>
      <c r="G272" s="18">
        <f t="shared" si="122"/>
        <v>0</v>
      </c>
      <c r="H272" s="18">
        <f t="shared" si="122"/>
        <v>0</v>
      </c>
      <c r="I272" s="18">
        <f t="shared" si="122"/>
        <v>0</v>
      </c>
      <c r="J272" s="18">
        <f t="shared" si="122"/>
        <v>0</v>
      </c>
      <c r="K272" s="18">
        <f t="shared" si="122"/>
        <v>0</v>
      </c>
      <c r="L272" s="18">
        <f t="shared" si="122"/>
        <v>0</v>
      </c>
      <c r="M272" s="18">
        <f t="shared" si="122"/>
        <v>0</v>
      </c>
      <c r="N272" s="18">
        <f t="shared" si="122"/>
        <v>0</v>
      </c>
      <c r="O272" s="18">
        <f t="shared" si="122"/>
        <v>0</v>
      </c>
      <c r="P272" s="18">
        <f t="shared" si="122"/>
        <v>0</v>
      </c>
      <c r="Q272" s="18">
        <f t="shared" si="122"/>
        <v>0</v>
      </c>
      <c r="R272" s="18">
        <f t="shared" si="122"/>
        <v>0</v>
      </c>
      <c r="S272" s="18">
        <f t="shared" si="122"/>
        <v>0</v>
      </c>
      <c r="T272" s="18">
        <f t="shared" si="122"/>
        <v>0</v>
      </c>
      <c r="U272" s="18">
        <f t="shared" si="122"/>
        <v>0</v>
      </c>
      <c r="V272" s="18">
        <f t="shared" si="122"/>
        <v>0</v>
      </c>
      <c r="W272" s="18">
        <f t="shared" si="122"/>
        <v>0</v>
      </c>
      <c r="X272" s="18">
        <f t="shared" si="122"/>
        <v>0</v>
      </c>
      <c r="Y272" s="18">
        <f t="shared" si="122"/>
        <v>0</v>
      </c>
      <c r="Z272" s="18">
        <f t="shared" si="122"/>
        <v>0</v>
      </c>
    </row>
    <row r="274" spans="1:35" ht="15.75">
      <c r="A274" s="15" t="s">
        <v>83</v>
      </c>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B274" s="16"/>
      <c r="AC274" s="16"/>
      <c r="AD274" s="16"/>
      <c r="AE274" s="16"/>
      <c r="AF274" s="16"/>
      <c r="AG274" s="16"/>
      <c r="AH274" s="16"/>
      <c r="AI274" s="16"/>
    </row>
    <row r="275" spans="1:35">
      <c r="B275" s="14">
        <f t="shared" ref="B275:Z275" si="123">B3</f>
        <v>2010</v>
      </c>
      <c r="C275" s="14">
        <f t="shared" si="123"/>
        <v>2011</v>
      </c>
      <c r="D275" s="14">
        <f t="shared" si="123"/>
        <v>2012</v>
      </c>
      <c r="E275" s="14">
        <f t="shared" si="123"/>
        <v>2013</v>
      </c>
      <c r="F275" s="14">
        <f t="shared" si="123"/>
        <v>2014</v>
      </c>
      <c r="G275" s="14">
        <f t="shared" si="123"/>
        <v>2015</v>
      </c>
      <c r="H275" s="14">
        <f t="shared" si="123"/>
        <v>2016</v>
      </c>
      <c r="I275" s="14">
        <f t="shared" si="123"/>
        <v>2017</v>
      </c>
      <c r="J275" s="14">
        <f t="shared" si="123"/>
        <v>2018</v>
      </c>
      <c r="K275" s="14">
        <f t="shared" si="123"/>
        <v>2019</v>
      </c>
      <c r="L275" s="14">
        <f t="shared" si="123"/>
        <v>2020</v>
      </c>
      <c r="M275" s="14">
        <f t="shared" si="123"/>
        <v>2021</v>
      </c>
      <c r="N275" s="14">
        <f t="shared" si="123"/>
        <v>2022</v>
      </c>
      <c r="O275" s="14">
        <f t="shared" si="123"/>
        <v>2023</v>
      </c>
      <c r="P275" s="14">
        <f t="shared" si="123"/>
        <v>2024</v>
      </c>
      <c r="Q275" s="14">
        <f t="shared" si="123"/>
        <v>2025</v>
      </c>
      <c r="R275" s="14">
        <f t="shared" si="123"/>
        <v>2026</v>
      </c>
      <c r="S275" s="14">
        <f t="shared" si="123"/>
        <v>2027</v>
      </c>
      <c r="T275" s="14">
        <f t="shared" si="123"/>
        <v>2028</v>
      </c>
      <c r="U275" s="14">
        <f t="shared" si="123"/>
        <v>2029</v>
      </c>
      <c r="V275" s="14">
        <f t="shared" si="123"/>
        <v>2030</v>
      </c>
      <c r="W275" s="14">
        <f t="shared" si="123"/>
        <v>2031</v>
      </c>
      <c r="X275" s="14">
        <f t="shared" si="123"/>
        <v>2032</v>
      </c>
      <c r="Y275" s="14">
        <f t="shared" si="123"/>
        <v>2033</v>
      </c>
      <c r="Z275" s="14">
        <f t="shared" si="123"/>
        <v>2034</v>
      </c>
      <c r="AD275" s="14" t="s">
        <v>37</v>
      </c>
      <c r="AE275" s="14" t="s">
        <v>38</v>
      </c>
      <c r="AF275" s="14" t="s">
        <v>39</v>
      </c>
      <c r="AG275" s="14" t="s">
        <v>40</v>
      </c>
      <c r="AH275" s="14" t="s">
        <v>41</v>
      </c>
      <c r="AI275" s="14" t="s">
        <v>42</v>
      </c>
    </row>
    <row r="276" spans="1:35">
      <c r="A276" s="14" t="s">
        <v>43</v>
      </c>
      <c r="B276" s="18">
        <f>'D4 RIN Forecast'!B403+'D6 RIN Forecast'!B289</f>
        <v>0</v>
      </c>
      <c r="C276" s="18">
        <f>'D4 RIN Forecast'!C403+'D6 RIN Forecast'!C289</f>
        <v>0</v>
      </c>
      <c r="D276" s="18">
        <f>'D4 RIN Forecast'!D403+'D6 RIN Forecast'!D289</f>
        <v>0</v>
      </c>
      <c r="E276" s="18">
        <f>'D4 RIN Forecast'!E403+'D6 RIN Forecast'!E289</f>
        <v>0</v>
      </c>
      <c r="F276" s="18">
        <f>'D4 RIN Forecast'!F403+'D6 RIN Forecast'!F289</f>
        <v>0</v>
      </c>
      <c r="G276" s="18">
        <f>'D4 RIN Forecast'!G403+'D6 RIN Forecast'!G289</f>
        <v>0</v>
      </c>
      <c r="H276" s="18">
        <f>'D4 RIN Forecast'!H403+'D6 RIN Forecast'!H289</f>
        <v>0</v>
      </c>
      <c r="I276" s="18">
        <f>'D4 RIN Forecast'!I403+'D6 RIN Forecast'!I289</f>
        <v>0</v>
      </c>
      <c r="J276" s="18">
        <f>'D4 RIN Forecast'!J403+'D6 RIN Forecast'!J289</f>
        <v>0</v>
      </c>
      <c r="K276" s="18">
        <f>'D4 RIN Forecast'!K403+'D6 RIN Forecast'!K289</f>
        <v>0</v>
      </c>
      <c r="L276" s="18">
        <f>'D4 RIN Forecast'!L403+'D6 RIN Forecast'!L289</f>
        <v>0</v>
      </c>
      <c r="M276" s="18">
        <f>'D4 RIN Forecast'!M403+'D6 RIN Forecast'!M289</f>
        <v>0</v>
      </c>
      <c r="N276" s="18">
        <f>'D4 RIN Forecast'!N403+'D6 RIN Forecast'!N289</f>
        <v>0</v>
      </c>
      <c r="O276" s="18">
        <f>'D4 RIN Forecast'!O403+'D6 RIN Forecast'!O289</f>
        <v>0</v>
      </c>
      <c r="P276" s="18">
        <f>'D4 RIN Forecast'!P403+'D6 RIN Forecast'!P289</f>
        <v>14122768</v>
      </c>
      <c r="Q276" s="18">
        <f>'D4 RIN Forecast'!Q403+'D6 RIN Forecast'!Q289</f>
        <v>12635529</v>
      </c>
      <c r="R276" s="18">
        <f>'D4 RIN Forecast'!R403+'D6 RIN Forecast'!R289</f>
        <v>3662900.4775528354</v>
      </c>
      <c r="S276" s="18">
        <f>'D4 RIN Forecast'!S403+'D6 RIN Forecast'!S289</f>
        <v>5420093.7541885013</v>
      </c>
      <c r="T276" s="18">
        <f>'D4 RIN Forecast'!T403+'D6 RIN Forecast'!T289</f>
        <v>7151032.6952990796</v>
      </c>
      <c r="U276" s="18">
        <f>'D4 RIN Forecast'!U403+'D6 RIN Forecast'!U289</f>
        <v>13237174.798780225</v>
      </c>
      <c r="V276" s="18">
        <f>'D4 RIN Forecast'!V403+'D6 RIN Forecast'!V289</f>
        <v>16109261.275948416</v>
      </c>
      <c r="W276" s="18">
        <f>'D4 RIN Forecast'!W403+'D6 RIN Forecast'!W289</f>
        <v>13018042.321361419</v>
      </c>
      <c r="X276" s="18">
        <f>'D4 RIN Forecast'!X403+'D6 RIN Forecast'!X289</f>
        <v>12006240.506212959</v>
      </c>
      <c r="Y276" s="18">
        <f>'D4 RIN Forecast'!Y403+'D6 RIN Forecast'!Y289</f>
        <v>12871900.581222938</v>
      </c>
      <c r="Z276" s="18">
        <f>'D4 RIN Forecast'!Z403+'D6 RIN Forecast'!Z289</f>
        <v>14481321.252787074</v>
      </c>
      <c r="AD276" s="18">
        <f>AVERAGE(J276:N276)</f>
        <v>0</v>
      </c>
      <c r="AE276" s="18">
        <f>O276-AD276</f>
        <v>0</v>
      </c>
      <c r="AF276" s="18">
        <f t="shared" ref="AF276:AF287" si="124">O276-N276</f>
        <v>0</v>
      </c>
      <c r="AG276" s="18">
        <f>O276/31</f>
        <v>0</v>
      </c>
      <c r="AH276" s="18">
        <f>AD276/31</f>
        <v>0</v>
      </c>
      <c r="AI276" s="18">
        <f>AG276-AH276</f>
        <v>0</v>
      </c>
    </row>
    <row r="277" spans="1:35">
      <c r="A277" s="14" t="s">
        <v>44</v>
      </c>
      <c r="B277" s="18">
        <f>'D4 RIN Forecast'!B404+'D6 RIN Forecast'!B290</f>
        <v>0</v>
      </c>
      <c r="C277" s="18">
        <f>'D4 RIN Forecast'!C404+'D6 RIN Forecast'!C290</f>
        <v>0</v>
      </c>
      <c r="D277" s="18">
        <f>'D4 RIN Forecast'!D404+'D6 RIN Forecast'!D290</f>
        <v>0</v>
      </c>
      <c r="E277" s="18">
        <f>'D4 RIN Forecast'!E404+'D6 RIN Forecast'!E290</f>
        <v>0</v>
      </c>
      <c r="F277" s="18">
        <f>'D4 RIN Forecast'!F404+'D6 RIN Forecast'!F290</f>
        <v>0</v>
      </c>
      <c r="G277" s="18">
        <f>'D4 RIN Forecast'!G404+'D6 RIN Forecast'!G290</f>
        <v>0</v>
      </c>
      <c r="H277" s="18">
        <f>'D4 RIN Forecast'!H404+'D6 RIN Forecast'!H290</f>
        <v>0</v>
      </c>
      <c r="I277" s="18">
        <f>'D4 RIN Forecast'!I404+'D6 RIN Forecast'!I290</f>
        <v>0</v>
      </c>
      <c r="J277" s="18">
        <f>'D4 RIN Forecast'!J404+'D6 RIN Forecast'!J290</f>
        <v>0</v>
      </c>
      <c r="K277" s="18">
        <f>'D4 RIN Forecast'!K404+'D6 RIN Forecast'!K290</f>
        <v>0</v>
      </c>
      <c r="L277" s="18">
        <f>'D4 RIN Forecast'!L404+'D6 RIN Forecast'!L290</f>
        <v>0</v>
      </c>
      <c r="M277" s="18">
        <f>'D4 RIN Forecast'!M404+'D6 RIN Forecast'!M290</f>
        <v>0</v>
      </c>
      <c r="N277" s="18">
        <f>'D4 RIN Forecast'!N404+'D6 RIN Forecast'!N290</f>
        <v>2257598</v>
      </c>
      <c r="O277" s="18">
        <f>'D4 RIN Forecast'!O404+'D6 RIN Forecast'!O290</f>
        <v>2378048</v>
      </c>
      <c r="P277" s="18">
        <f>'D4 RIN Forecast'!P404+'D6 RIN Forecast'!P290</f>
        <v>0</v>
      </c>
      <c r="Q277" s="18">
        <f>'D4 RIN Forecast'!Q404+'D6 RIN Forecast'!Q290</f>
        <v>0</v>
      </c>
      <c r="R277" s="18">
        <f>'D4 RIN Forecast'!R404+'D6 RIN Forecast'!R290</f>
        <v>7239143.7024238631</v>
      </c>
      <c r="S277" s="18">
        <f>'D4 RIN Forecast'!S404+'D6 RIN Forecast'!S290</f>
        <v>10438862.832815146</v>
      </c>
      <c r="T277" s="18">
        <f>'D4 RIN Forecast'!T404+'D6 RIN Forecast'!T290</f>
        <v>13612162.113331046</v>
      </c>
      <c r="U277" s="18">
        <f>'D4 RIN Forecast'!U404+'D6 RIN Forecast'!U290</f>
        <v>9634124.9636857118</v>
      </c>
      <c r="V277" s="18">
        <f>'D4 RIN Forecast'!V404+'D6 RIN Forecast'!V290</f>
        <v>15656881.975320602</v>
      </c>
      <c r="W277" s="18">
        <f>'D4 RIN Forecast'!W404+'D6 RIN Forecast'!W290</f>
        <v>16159909.044907248</v>
      </c>
      <c r="X277" s="18">
        <f>'D4 RIN Forecast'!X404+'D6 RIN Forecast'!X290</f>
        <v>14315525.55615445</v>
      </c>
      <c r="Y277" s="18">
        <f>'D4 RIN Forecast'!Y404+'D6 RIN Forecast'!Y290</f>
        <v>14515751.992773749</v>
      </c>
      <c r="Z277" s="18">
        <f>'D4 RIN Forecast'!Z404+'D6 RIN Forecast'!Z290</f>
        <v>15135921.715012506</v>
      </c>
      <c r="AD277" s="18">
        <f t="shared" ref="AD277:AD288" si="125">AVERAGE(J277:N277)</f>
        <v>451519.6</v>
      </c>
      <c r="AE277" s="18">
        <f t="shared" ref="AE277:AE288" si="126">O277-AD277</f>
        <v>1926528.4</v>
      </c>
      <c r="AF277" s="18">
        <f t="shared" si="124"/>
        <v>120450</v>
      </c>
      <c r="AG277" s="18">
        <f>O277/28</f>
        <v>84930.28571428571</v>
      </c>
      <c r="AH277" s="18">
        <f>AD277/28</f>
        <v>16125.699999999999</v>
      </c>
      <c r="AI277" s="18">
        <f t="shared" ref="AI277:AI287" si="127">AG277-AH277</f>
        <v>68804.585714285713</v>
      </c>
    </row>
    <row r="278" spans="1:35">
      <c r="A278" s="14" t="s">
        <v>45</v>
      </c>
      <c r="B278" s="18">
        <f>'D4 RIN Forecast'!B405+'D6 RIN Forecast'!B291</f>
        <v>0</v>
      </c>
      <c r="C278" s="18">
        <f>'D4 RIN Forecast'!C405+'D6 RIN Forecast'!C291</f>
        <v>0</v>
      </c>
      <c r="D278" s="18">
        <f>'D4 RIN Forecast'!D405+'D6 RIN Forecast'!D291</f>
        <v>0</v>
      </c>
      <c r="E278" s="18">
        <f>'D4 RIN Forecast'!E405+'D6 RIN Forecast'!E291</f>
        <v>0</v>
      </c>
      <c r="F278" s="18">
        <f>'D4 RIN Forecast'!F405+'D6 RIN Forecast'!F291</f>
        <v>0</v>
      </c>
      <c r="G278" s="18">
        <f>'D4 RIN Forecast'!G405+'D6 RIN Forecast'!G291</f>
        <v>0</v>
      </c>
      <c r="H278" s="18">
        <f>'D4 RIN Forecast'!H405+'D6 RIN Forecast'!H291</f>
        <v>0</v>
      </c>
      <c r="I278" s="18">
        <f>'D4 RIN Forecast'!I405+'D6 RIN Forecast'!I291</f>
        <v>0</v>
      </c>
      <c r="J278" s="18">
        <f>'D4 RIN Forecast'!J405+'D6 RIN Forecast'!J291</f>
        <v>0</v>
      </c>
      <c r="K278" s="18">
        <f>'D4 RIN Forecast'!K405+'D6 RIN Forecast'!K291</f>
        <v>0</v>
      </c>
      <c r="L278" s="18">
        <f>'D4 RIN Forecast'!L405+'D6 RIN Forecast'!L291</f>
        <v>0</v>
      </c>
      <c r="M278" s="18">
        <f>'D4 RIN Forecast'!M405+'D6 RIN Forecast'!M291</f>
        <v>0</v>
      </c>
      <c r="N278" s="18">
        <f>'D4 RIN Forecast'!N405+'D6 RIN Forecast'!N291</f>
        <v>3033554</v>
      </c>
      <c r="O278" s="18">
        <f>'D4 RIN Forecast'!O405+'D6 RIN Forecast'!O291</f>
        <v>2263418</v>
      </c>
      <c r="P278" s="18">
        <f>'D4 RIN Forecast'!P405+'D6 RIN Forecast'!P291</f>
        <v>9061504</v>
      </c>
      <c r="Q278" s="18">
        <f>'D4 RIN Forecast'!Q405+'D6 RIN Forecast'!Q291</f>
        <v>7970709</v>
      </c>
      <c r="R278" s="18">
        <f>'D4 RIN Forecast'!R405+'D6 RIN Forecast'!R291</f>
        <v>2928575.4674081681</v>
      </c>
      <c r="S278" s="18">
        <f>'D4 RIN Forecast'!S405+'D6 RIN Forecast'!S291</f>
        <v>4195727.7611191766</v>
      </c>
      <c r="T278" s="18">
        <f>'D4 RIN Forecast'!T405+'D6 RIN Forecast'!T291</f>
        <v>5447310.6109607648</v>
      </c>
      <c r="U278" s="18">
        <f>'D4 RIN Forecast'!U405+'D6 RIN Forecast'!U291</f>
        <v>9114907.0300456192</v>
      </c>
      <c r="V278" s="18">
        <f>'D4 RIN Forecast'!V405+'D6 RIN Forecast'!V291</f>
        <v>11346310.797448654</v>
      </c>
      <c r="W278" s="18">
        <f>'D4 RIN Forecast'!W405+'D6 RIN Forecast'!W291</f>
        <v>9434366.6597422678</v>
      </c>
      <c r="X278" s="18">
        <f>'D4 RIN Forecast'!X405+'D6 RIN Forecast'!X291</f>
        <v>8641212.1352450065</v>
      </c>
      <c r="Y278" s="18">
        <f>'D4 RIN Forecast'!Y405+'D6 RIN Forecast'!Y291</f>
        <v>9202583.4887593873</v>
      </c>
      <c r="Z278" s="18">
        <f>'D4 RIN Forecast'!Z405+'D6 RIN Forecast'!Z291</f>
        <v>10281117.916162649</v>
      </c>
      <c r="AD278" s="18">
        <f t="shared" si="125"/>
        <v>606710.80000000005</v>
      </c>
      <c r="AE278" s="18">
        <f t="shared" si="126"/>
        <v>1656707.2</v>
      </c>
      <c r="AF278" s="18">
        <f t="shared" si="124"/>
        <v>-770136</v>
      </c>
      <c r="AG278" s="18">
        <f>O278/31</f>
        <v>73013.483870967742</v>
      </c>
      <c r="AH278" s="18">
        <f>AD278/31</f>
        <v>19571.316129032261</v>
      </c>
      <c r="AI278" s="18">
        <f t="shared" si="127"/>
        <v>53442.167741935482</v>
      </c>
    </row>
    <row r="279" spans="1:35">
      <c r="A279" s="14" t="s">
        <v>46</v>
      </c>
      <c r="B279" s="18">
        <f>'D4 RIN Forecast'!B406+'D6 RIN Forecast'!B292</f>
        <v>0</v>
      </c>
      <c r="C279" s="18">
        <f>'D4 RIN Forecast'!C406+'D6 RIN Forecast'!C292</f>
        <v>0</v>
      </c>
      <c r="D279" s="18">
        <f>'D4 RIN Forecast'!D406+'D6 RIN Forecast'!D292</f>
        <v>0</v>
      </c>
      <c r="E279" s="18">
        <f>'D4 RIN Forecast'!E406+'D6 RIN Forecast'!E292</f>
        <v>0</v>
      </c>
      <c r="F279" s="18">
        <f>'D4 RIN Forecast'!F406+'D6 RIN Forecast'!F292</f>
        <v>0</v>
      </c>
      <c r="G279" s="18">
        <f>'D4 RIN Forecast'!G406+'D6 RIN Forecast'!G292</f>
        <v>0</v>
      </c>
      <c r="H279" s="18">
        <f>'D4 RIN Forecast'!H406+'D6 RIN Forecast'!H292</f>
        <v>0</v>
      </c>
      <c r="I279" s="18">
        <f>'D4 RIN Forecast'!I406+'D6 RIN Forecast'!I292</f>
        <v>0</v>
      </c>
      <c r="J279" s="18">
        <f>'D4 RIN Forecast'!J406+'D6 RIN Forecast'!J292</f>
        <v>0</v>
      </c>
      <c r="K279" s="18">
        <f>'D4 RIN Forecast'!K406+'D6 RIN Forecast'!K292</f>
        <v>0</v>
      </c>
      <c r="L279" s="18">
        <f>'D4 RIN Forecast'!L406+'D6 RIN Forecast'!L292</f>
        <v>0</v>
      </c>
      <c r="M279" s="18">
        <f>'D4 RIN Forecast'!M406+'D6 RIN Forecast'!M292</f>
        <v>0</v>
      </c>
      <c r="N279" s="18">
        <f>'D4 RIN Forecast'!N406+'D6 RIN Forecast'!N292</f>
        <v>0</v>
      </c>
      <c r="O279" s="18">
        <f>'D4 RIN Forecast'!O406+'D6 RIN Forecast'!O292</f>
        <v>2236686</v>
      </c>
      <c r="P279" s="18">
        <f>'D4 RIN Forecast'!P406+'D6 RIN Forecast'!P292</f>
        <v>9056261</v>
      </c>
      <c r="Q279" s="18">
        <f>'D4 RIN Forecast'!Q406+'D6 RIN Forecast'!Q292</f>
        <v>7845718.9956840882</v>
      </c>
      <c r="R279" s="18">
        <f>'D4 RIN Forecast'!R406+'D6 RIN Forecast'!R292</f>
        <v>4627828.7413890399</v>
      </c>
      <c r="S279" s="18">
        <f>'D4 RIN Forecast'!S406+'D6 RIN Forecast'!S292</f>
        <v>6656475.1650703317</v>
      </c>
      <c r="T279" s="18">
        <f>'D4 RIN Forecast'!T406+'D6 RIN Forecast'!T292</f>
        <v>8738349.0836886056</v>
      </c>
      <c r="U279" s="18">
        <f>'D4 RIN Forecast'!U406+'D6 RIN Forecast'!U292</f>
        <v>11368955.449605949</v>
      </c>
      <c r="V279" s="18">
        <f>'D4 RIN Forecast'!V406+'D6 RIN Forecast'!V292</f>
        <v>15011479.746095965</v>
      </c>
      <c r="W279" s="18">
        <f>'D4 RIN Forecast'!W406+'D6 RIN Forecast'!W292</f>
        <v>13252988.78959175</v>
      </c>
      <c r="X279" s="18">
        <f>'D4 RIN Forecast'!X406+'D6 RIN Forecast'!X292</f>
        <v>12026487.819264637</v>
      </c>
      <c r="Y279" s="18">
        <f>'D4 RIN Forecast'!Y406+'D6 RIN Forecast'!Y292</f>
        <v>12636838.014714433</v>
      </c>
      <c r="Z279" s="18">
        <f>'D4 RIN Forecast'!Z406+'D6 RIN Forecast'!Z292</f>
        <v>13846900.927654626</v>
      </c>
      <c r="AD279" s="18">
        <f t="shared" si="125"/>
        <v>0</v>
      </c>
      <c r="AE279" s="18">
        <f t="shared" si="126"/>
        <v>2236686</v>
      </c>
      <c r="AF279" s="18">
        <f t="shared" si="124"/>
        <v>2236686</v>
      </c>
      <c r="AG279" s="18">
        <f>O279/30</f>
        <v>74556.2</v>
      </c>
      <c r="AH279" s="18">
        <f>AD279/30</f>
        <v>0</v>
      </c>
      <c r="AI279" s="18">
        <f t="shared" si="127"/>
        <v>74556.2</v>
      </c>
    </row>
    <row r="280" spans="1:35">
      <c r="A280" s="14" t="s">
        <v>47</v>
      </c>
      <c r="B280" s="18">
        <f>'D4 RIN Forecast'!B407+'D6 RIN Forecast'!B293</f>
        <v>0</v>
      </c>
      <c r="C280" s="18">
        <f>'D4 RIN Forecast'!C407+'D6 RIN Forecast'!C293</f>
        <v>0</v>
      </c>
      <c r="D280" s="18">
        <f>'D4 RIN Forecast'!D407+'D6 RIN Forecast'!D293</f>
        <v>0</v>
      </c>
      <c r="E280" s="18">
        <f>'D4 RIN Forecast'!E407+'D6 RIN Forecast'!E293</f>
        <v>0</v>
      </c>
      <c r="F280" s="18">
        <f>'D4 RIN Forecast'!F407+'D6 RIN Forecast'!F293</f>
        <v>0</v>
      </c>
      <c r="G280" s="18">
        <f>'D4 RIN Forecast'!G407+'D6 RIN Forecast'!G293</f>
        <v>0</v>
      </c>
      <c r="H280" s="18">
        <f>'D4 RIN Forecast'!H407+'D6 RIN Forecast'!H293</f>
        <v>0</v>
      </c>
      <c r="I280" s="18">
        <f>'D4 RIN Forecast'!I407+'D6 RIN Forecast'!I293</f>
        <v>0</v>
      </c>
      <c r="J280" s="18">
        <f>'D4 RIN Forecast'!J407+'D6 RIN Forecast'!J293</f>
        <v>0</v>
      </c>
      <c r="K280" s="18">
        <f>'D4 RIN Forecast'!K407+'D6 RIN Forecast'!K293</f>
        <v>0</v>
      </c>
      <c r="L280" s="18">
        <f>'D4 RIN Forecast'!L407+'D6 RIN Forecast'!L293</f>
        <v>0</v>
      </c>
      <c r="M280" s="18">
        <f>'D4 RIN Forecast'!M407+'D6 RIN Forecast'!M293</f>
        <v>0</v>
      </c>
      <c r="N280" s="18">
        <f>'D4 RIN Forecast'!N407+'D6 RIN Forecast'!N293</f>
        <v>0</v>
      </c>
      <c r="O280" s="18">
        <f>'D4 RIN Forecast'!O407+'D6 RIN Forecast'!O293</f>
        <v>0</v>
      </c>
      <c r="P280" s="18">
        <f>'D4 RIN Forecast'!P407+'D6 RIN Forecast'!P293</f>
        <v>23662851</v>
      </c>
      <c r="Q280" s="18">
        <f>'D4 RIN Forecast'!Q407+'D6 RIN Forecast'!Q293</f>
        <v>7551064.84131133</v>
      </c>
      <c r="R280" s="18">
        <f>'D4 RIN Forecast'!R407+'D6 RIN Forecast'!R293</f>
        <v>5931718.434404403</v>
      </c>
      <c r="S280" s="18">
        <f>'D4 RIN Forecast'!S407+'D6 RIN Forecast'!S293</f>
        <v>8706963.0505936425</v>
      </c>
      <c r="T280" s="18">
        <f>'D4 RIN Forecast'!T407+'D6 RIN Forecast'!T293</f>
        <v>11509976.819610415</v>
      </c>
      <c r="U280" s="18">
        <f>'D4 RIN Forecast'!U407+'D6 RIN Forecast'!U293</f>
        <v>17661720.959991913</v>
      </c>
      <c r="V280" s="18">
        <f>'D4 RIN Forecast'!V407+'D6 RIN Forecast'!V293</f>
        <v>19649943.77343291</v>
      </c>
      <c r="W280" s="18">
        <f>'D4 RIN Forecast'!W407+'D6 RIN Forecast'!W293</f>
        <v>18124633.128162812</v>
      </c>
      <c r="X280" s="18">
        <f>'D4 RIN Forecast'!X407+'D6 RIN Forecast'!X293</f>
        <v>16534103.316023471</v>
      </c>
      <c r="Y280" s="18">
        <f>'D4 RIN Forecast'!Y407+'D6 RIN Forecast'!Y293</f>
        <v>17466198.49702511</v>
      </c>
      <c r="Z280" s="18">
        <f>'D4 RIN Forecast'!Z407+'D6 RIN Forecast'!Z293</f>
        <v>19261000.557965681</v>
      </c>
      <c r="AD280" s="18">
        <f t="shared" si="125"/>
        <v>0</v>
      </c>
      <c r="AE280" s="18">
        <f t="shared" si="126"/>
        <v>0</v>
      </c>
      <c r="AF280" s="18">
        <f t="shared" si="124"/>
        <v>0</v>
      </c>
      <c r="AG280" s="18">
        <f>O280/31</f>
        <v>0</v>
      </c>
      <c r="AH280" s="18">
        <f>AD280/31</f>
        <v>0</v>
      </c>
      <c r="AI280" s="18">
        <f t="shared" si="127"/>
        <v>0</v>
      </c>
    </row>
    <row r="281" spans="1:35">
      <c r="A281" s="14" t="s">
        <v>48</v>
      </c>
      <c r="B281" s="18">
        <f>'D4 RIN Forecast'!B408+'D6 RIN Forecast'!B294</f>
        <v>0</v>
      </c>
      <c r="C281" s="18">
        <f>'D4 RIN Forecast'!C408+'D6 RIN Forecast'!C294</f>
        <v>0</v>
      </c>
      <c r="D281" s="18">
        <f>'D4 RIN Forecast'!D408+'D6 RIN Forecast'!D294</f>
        <v>0</v>
      </c>
      <c r="E281" s="18">
        <f>'D4 RIN Forecast'!E408+'D6 RIN Forecast'!E294</f>
        <v>0</v>
      </c>
      <c r="F281" s="18">
        <f>'D4 RIN Forecast'!F408+'D6 RIN Forecast'!F294</f>
        <v>0</v>
      </c>
      <c r="G281" s="18">
        <f>'D4 RIN Forecast'!G408+'D6 RIN Forecast'!G294</f>
        <v>0</v>
      </c>
      <c r="H281" s="18">
        <f>'D4 RIN Forecast'!H408+'D6 RIN Forecast'!H294</f>
        <v>0</v>
      </c>
      <c r="I281" s="18">
        <f>'D4 RIN Forecast'!I408+'D6 RIN Forecast'!I294</f>
        <v>0</v>
      </c>
      <c r="J281" s="18">
        <f>'D4 RIN Forecast'!J408+'D6 RIN Forecast'!J294</f>
        <v>0</v>
      </c>
      <c r="K281" s="18">
        <f>'D4 RIN Forecast'!K408+'D6 RIN Forecast'!K294</f>
        <v>0</v>
      </c>
      <c r="L281" s="18">
        <f>'D4 RIN Forecast'!L408+'D6 RIN Forecast'!L294</f>
        <v>0</v>
      </c>
      <c r="M281" s="18">
        <f>'D4 RIN Forecast'!M408+'D6 RIN Forecast'!M294</f>
        <v>0</v>
      </c>
      <c r="N281" s="18">
        <f>'D4 RIN Forecast'!N408+'D6 RIN Forecast'!N294</f>
        <v>2447176</v>
      </c>
      <c r="O281" s="18">
        <f>'D4 RIN Forecast'!O408+'D6 RIN Forecast'!O294</f>
        <v>2096198</v>
      </c>
      <c r="P281" s="18">
        <f>'D4 RIN Forecast'!P408+'D6 RIN Forecast'!P294</f>
        <v>5233043</v>
      </c>
      <c r="Q281" s="18">
        <f>'D4 RIN Forecast'!Q408+'D6 RIN Forecast'!Q294</f>
        <v>8119589.4299093606</v>
      </c>
      <c r="R281" s="18">
        <f>'D4 RIN Forecast'!R408+'D6 RIN Forecast'!R294</f>
        <v>5831353.8750447966</v>
      </c>
      <c r="S281" s="18">
        <f>'D4 RIN Forecast'!S408+'D6 RIN Forecast'!S294</f>
        <v>8389544.5150807351</v>
      </c>
      <c r="T281" s="18">
        <f>'D4 RIN Forecast'!T408+'D6 RIN Forecast'!T294</f>
        <v>10965955.427231004</v>
      </c>
      <c r="U281" s="18">
        <f>'D4 RIN Forecast'!U408+'D6 RIN Forecast'!U294</f>
        <v>11866162.7111855</v>
      </c>
      <c r="V281" s="18">
        <f>'D4 RIN Forecast'!V408+'D6 RIN Forecast'!V294</f>
        <v>17282208.135593347</v>
      </c>
      <c r="W281" s="18">
        <f>'D4 RIN Forecast'!W408+'D6 RIN Forecast'!W294</f>
        <v>15518452.572101748</v>
      </c>
      <c r="X281" s="18">
        <f>'D4 RIN Forecast'!X408+'D6 RIN Forecast'!X294</f>
        <v>13992153.425376672</v>
      </c>
      <c r="Y281" s="18">
        <f>'D4 RIN Forecast'!Y408+'D6 RIN Forecast'!Y294</f>
        <v>14567290.151822161</v>
      </c>
      <c r="Z281" s="18">
        <f>'D4 RIN Forecast'!Z408+'D6 RIN Forecast'!Z294</f>
        <v>15769955.210502407</v>
      </c>
      <c r="AD281" s="23">
        <f t="shared" si="125"/>
        <v>489435.2</v>
      </c>
      <c r="AE281" s="23">
        <f t="shared" si="126"/>
        <v>1606762.8</v>
      </c>
      <c r="AF281" s="23">
        <f t="shared" si="124"/>
        <v>-350978</v>
      </c>
      <c r="AG281" s="23">
        <f>O281/30</f>
        <v>69873.266666666663</v>
      </c>
      <c r="AH281" s="23">
        <f>AD281/30</f>
        <v>16314.506666666666</v>
      </c>
      <c r="AI281" s="23">
        <f t="shared" si="127"/>
        <v>53558.759999999995</v>
      </c>
    </row>
    <row r="282" spans="1:35">
      <c r="A282" s="14" t="s">
        <v>49</v>
      </c>
      <c r="B282" s="18">
        <f>'D4 RIN Forecast'!B409+'D6 RIN Forecast'!B295</f>
        <v>0</v>
      </c>
      <c r="C282" s="18">
        <f>'D4 RIN Forecast'!C409+'D6 RIN Forecast'!C295</f>
        <v>0</v>
      </c>
      <c r="D282" s="18">
        <f>'D4 RIN Forecast'!D409+'D6 RIN Forecast'!D295</f>
        <v>0</v>
      </c>
      <c r="E282" s="18">
        <f>'D4 RIN Forecast'!E409+'D6 RIN Forecast'!E295</f>
        <v>0</v>
      </c>
      <c r="F282" s="18">
        <f>'D4 RIN Forecast'!F409+'D6 RIN Forecast'!F295</f>
        <v>0</v>
      </c>
      <c r="G282" s="18">
        <f>'D4 RIN Forecast'!G409+'D6 RIN Forecast'!G295</f>
        <v>0</v>
      </c>
      <c r="H282" s="18">
        <f>'D4 RIN Forecast'!H409+'D6 RIN Forecast'!H295</f>
        <v>0</v>
      </c>
      <c r="I282" s="18">
        <f>'D4 RIN Forecast'!I409+'D6 RIN Forecast'!I295</f>
        <v>0</v>
      </c>
      <c r="J282" s="18">
        <f>'D4 RIN Forecast'!J409+'D6 RIN Forecast'!J295</f>
        <v>0</v>
      </c>
      <c r="K282" s="18">
        <f>'D4 RIN Forecast'!K409+'D6 RIN Forecast'!K295</f>
        <v>0</v>
      </c>
      <c r="L282" s="18">
        <f>'D4 RIN Forecast'!L409+'D6 RIN Forecast'!L295</f>
        <v>0</v>
      </c>
      <c r="M282" s="18">
        <f>'D4 RIN Forecast'!M409+'D6 RIN Forecast'!M295</f>
        <v>0</v>
      </c>
      <c r="N282" s="18">
        <f>'D4 RIN Forecast'!N409+'D6 RIN Forecast'!N295</f>
        <v>0</v>
      </c>
      <c r="O282" s="18">
        <f>'D4 RIN Forecast'!O409+'D6 RIN Forecast'!O295</f>
        <v>0</v>
      </c>
      <c r="P282" s="18">
        <f>'D4 RIN Forecast'!P409+'D6 RIN Forecast'!P295</f>
        <v>11099915</v>
      </c>
      <c r="Q282" s="18">
        <f>'D4 RIN Forecast'!Q409+'D6 RIN Forecast'!Q295</f>
        <v>12337405.36272697</v>
      </c>
      <c r="R282" s="18">
        <f>'D4 RIN Forecast'!R409+'D6 RIN Forecast'!R295</f>
        <v>6596308.0018654102</v>
      </c>
      <c r="S282" s="18">
        <f>'D4 RIN Forecast'!S409+'D6 RIN Forecast'!S295</f>
        <v>9178279.5144865606</v>
      </c>
      <c r="T282" s="18">
        <f>'D4 RIN Forecast'!T409+'D6 RIN Forecast'!T295</f>
        <v>11941285.982377181</v>
      </c>
      <c r="U282" s="18">
        <f>'D4 RIN Forecast'!U409+'D6 RIN Forecast'!U295</f>
        <v>15749875.87463828</v>
      </c>
      <c r="V282" s="18">
        <f>'D4 RIN Forecast'!V409+'D6 RIN Forecast'!V295</f>
        <v>21349260.559794515</v>
      </c>
      <c r="W282" s="18">
        <f>'D4 RIN Forecast'!W409+'D6 RIN Forecast'!W295</f>
        <v>18511539.507570442</v>
      </c>
      <c r="X282" s="18">
        <f>'D4 RIN Forecast'!X409+'D6 RIN Forecast'!X295</f>
        <v>16769483.744119486</v>
      </c>
      <c r="Y282" s="18">
        <f>'D4 RIN Forecast'!Y409+'D6 RIN Forecast'!Y295</f>
        <v>17642171.058999069</v>
      </c>
      <c r="Z282" s="18">
        <f>'D4 RIN Forecast'!Z409+'D6 RIN Forecast'!Z295</f>
        <v>19387143.187112078</v>
      </c>
      <c r="AD282" s="18">
        <f t="shared" si="125"/>
        <v>0</v>
      </c>
      <c r="AE282" s="19">
        <f t="shared" si="126"/>
        <v>0</v>
      </c>
      <c r="AF282" s="19">
        <f t="shared" si="124"/>
        <v>0</v>
      </c>
      <c r="AG282" s="19">
        <f>O282/31</f>
        <v>0</v>
      </c>
      <c r="AH282" s="18">
        <f>AD282/31</f>
        <v>0</v>
      </c>
      <c r="AI282" s="19">
        <f t="shared" si="127"/>
        <v>0</v>
      </c>
    </row>
    <row r="283" spans="1:35">
      <c r="A283" s="14" t="s">
        <v>50</v>
      </c>
      <c r="B283" s="18">
        <f>'D4 RIN Forecast'!B410+'D6 RIN Forecast'!B296</f>
        <v>0</v>
      </c>
      <c r="C283" s="18">
        <f>'D4 RIN Forecast'!C410+'D6 RIN Forecast'!C296</f>
        <v>0</v>
      </c>
      <c r="D283" s="18">
        <f>'D4 RIN Forecast'!D410+'D6 RIN Forecast'!D296</f>
        <v>0</v>
      </c>
      <c r="E283" s="18">
        <f>'D4 RIN Forecast'!E410+'D6 RIN Forecast'!E296</f>
        <v>0</v>
      </c>
      <c r="F283" s="18">
        <f>'D4 RIN Forecast'!F410+'D6 RIN Forecast'!F296</f>
        <v>0</v>
      </c>
      <c r="G283" s="18">
        <f>'D4 RIN Forecast'!G410+'D6 RIN Forecast'!G296</f>
        <v>0</v>
      </c>
      <c r="H283" s="18">
        <f>'D4 RIN Forecast'!H410+'D6 RIN Forecast'!H296</f>
        <v>0</v>
      </c>
      <c r="I283" s="18">
        <f>'D4 RIN Forecast'!I410+'D6 RIN Forecast'!I296</f>
        <v>0</v>
      </c>
      <c r="J283" s="18">
        <f>'D4 RIN Forecast'!J410+'D6 RIN Forecast'!J296</f>
        <v>0</v>
      </c>
      <c r="K283" s="18">
        <f>'D4 RIN Forecast'!K410+'D6 RIN Forecast'!K296</f>
        <v>0</v>
      </c>
      <c r="L283" s="18">
        <f>'D4 RIN Forecast'!L410+'D6 RIN Forecast'!L296</f>
        <v>0</v>
      </c>
      <c r="M283" s="18">
        <f>'D4 RIN Forecast'!M410+'D6 RIN Forecast'!M296</f>
        <v>0</v>
      </c>
      <c r="N283" s="18">
        <f>'D4 RIN Forecast'!N410+'D6 RIN Forecast'!N296</f>
        <v>2635191</v>
      </c>
      <c r="O283" s="18">
        <f>'D4 RIN Forecast'!O410+'D6 RIN Forecast'!O296</f>
        <v>2298118</v>
      </c>
      <c r="P283" s="18">
        <f>'D4 RIN Forecast'!P410+'D6 RIN Forecast'!P296</f>
        <v>11187097</v>
      </c>
      <c r="Q283" s="18">
        <f>'D4 RIN Forecast'!Q410+'D6 RIN Forecast'!Q296</f>
        <v>10161306.239495274</v>
      </c>
      <c r="R283" s="18">
        <f>'D4 RIN Forecast'!R410+'D6 RIN Forecast'!R296</f>
        <v>6871271.8593848953</v>
      </c>
      <c r="S283" s="18">
        <f>'D4 RIN Forecast'!S410+'D6 RIN Forecast'!S296</f>
        <v>9837263.8515435457</v>
      </c>
      <c r="T283" s="18">
        <f>'D4 RIN Forecast'!T410+'D6 RIN Forecast'!T296</f>
        <v>13011656.978294253</v>
      </c>
      <c r="U283" s="18">
        <f>'D4 RIN Forecast'!U410+'D6 RIN Forecast'!U296</f>
        <v>15723828.615355438</v>
      </c>
      <c r="V283" s="18">
        <f>'D4 RIN Forecast'!V410+'D6 RIN Forecast'!V296</f>
        <v>21273575.514957134</v>
      </c>
      <c r="W283" s="18">
        <f>'D4 RIN Forecast'!W410+'D6 RIN Forecast'!W296</f>
        <v>19054929.254426979</v>
      </c>
      <c r="X283" s="18">
        <f>'D4 RIN Forecast'!X410+'D6 RIN Forecast'!X296</f>
        <v>17243961.112659205</v>
      </c>
      <c r="Y283" s="18">
        <f>'D4 RIN Forecast'!Y410+'D6 RIN Forecast'!Y296</f>
        <v>18057798.124028623</v>
      </c>
      <c r="Z283" s="18">
        <f>'D4 RIN Forecast'!Z410+'D6 RIN Forecast'!Z296</f>
        <v>19673950.449687351</v>
      </c>
      <c r="AD283" s="18">
        <f t="shared" si="125"/>
        <v>527038.19999999995</v>
      </c>
      <c r="AE283" s="19">
        <f t="shared" si="126"/>
        <v>1771079.8</v>
      </c>
      <c r="AF283" s="19">
        <f t="shared" si="124"/>
        <v>-337073</v>
      </c>
      <c r="AG283" s="19">
        <f>O283/31</f>
        <v>74132.838709677424</v>
      </c>
      <c r="AH283" s="18">
        <f>AD283/31</f>
        <v>17001.232258064516</v>
      </c>
      <c r="AI283" s="19">
        <f t="shared" si="127"/>
        <v>57131.606451612912</v>
      </c>
    </row>
    <row r="284" spans="1:35">
      <c r="A284" s="14" t="s">
        <v>51</v>
      </c>
      <c r="B284" s="18">
        <f>'D4 RIN Forecast'!B411+'D6 RIN Forecast'!B297</f>
        <v>0</v>
      </c>
      <c r="C284" s="18">
        <f>'D4 RIN Forecast'!C411+'D6 RIN Forecast'!C297</f>
        <v>0</v>
      </c>
      <c r="D284" s="18">
        <f>'D4 RIN Forecast'!D411+'D6 RIN Forecast'!D297</f>
        <v>0</v>
      </c>
      <c r="E284" s="18">
        <f>'D4 RIN Forecast'!E411+'D6 RIN Forecast'!E297</f>
        <v>0</v>
      </c>
      <c r="F284" s="18">
        <f>'D4 RIN Forecast'!F411+'D6 RIN Forecast'!F297</f>
        <v>0</v>
      </c>
      <c r="G284" s="18">
        <f>'D4 RIN Forecast'!G411+'D6 RIN Forecast'!G297</f>
        <v>0</v>
      </c>
      <c r="H284" s="18">
        <f>'D4 RIN Forecast'!H411+'D6 RIN Forecast'!H297</f>
        <v>0</v>
      </c>
      <c r="I284" s="18">
        <f>'D4 RIN Forecast'!I411+'D6 RIN Forecast'!I297</f>
        <v>0</v>
      </c>
      <c r="J284" s="18">
        <f>'D4 RIN Forecast'!J411+'D6 RIN Forecast'!J297</f>
        <v>0</v>
      </c>
      <c r="K284" s="18">
        <f>'D4 RIN Forecast'!K411+'D6 RIN Forecast'!K297</f>
        <v>0</v>
      </c>
      <c r="L284" s="18">
        <f>'D4 RIN Forecast'!L411+'D6 RIN Forecast'!L297</f>
        <v>0</v>
      </c>
      <c r="M284" s="18">
        <f>'D4 RIN Forecast'!M411+'D6 RIN Forecast'!M297</f>
        <v>0</v>
      </c>
      <c r="N284" s="18">
        <f>'D4 RIN Forecast'!N411+'D6 RIN Forecast'!N297</f>
        <v>0</v>
      </c>
      <c r="O284" s="18">
        <f>'D4 RIN Forecast'!O411+'D6 RIN Forecast'!O297</f>
        <v>2406019</v>
      </c>
      <c r="P284" s="18">
        <f>'D4 RIN Forecast'!P411+'D6 RIN Forecast'!P297</f>
        <v>18330073</v>
      </c>
      <c r="Q284" s="18">
        <f>'D4 RIN Forecast'!Q411+'D6 RIN Forecast'!Q297</f>
        <v>11533290.916985057</v>
      </c>
      <c r="R284" s="18">
        <f>'D4 RIN Forecast'!R411+'D6 RIN Forecast'!R297</f>
        <v>8319473.9400362819</v>
      </c>
      <c r="S284" s="18">
        <f>'D4 RIN Forecast'!S411+'D6 RIN Forecast'!S297</f>
        <v>12002906.616084555</v>
      </c>
      <c r="T284" s="18">
        <f>'D4 RIN Forecast'!T411+'D6 RIN Forecast'!T297</f>
        <v>15825336.956462312</v>
      </c>
      <c r="U284" s="18">
        <f>'D4 RIN Forecast'!U411+'D6 RIN Forecast'!U297</f>
        <v>20324563.7416519</v>
      </c>
      <c r="V284" s="18">
        <f>'D4 RIN Forecast'!V411+'D6 RIN Forecast'!V297</f>
        <v>26017681.019424453</v>
      </c>
      <c r="W284" s="18">
        <f>'D4 RIN Forecast'!W411+'D6 RIN Forecast'!W297</f>
        <v>23559607.510725372</v>
      </c>
      <c r="X284" s="18">
        <f>'D4 RIN Forecast'!X411+'D6 RIN Forecast'!X297</f>
        <v>21359026.403586313</v>
      </c>
      <c r="Y284" s="18">
        <f>'D4 RIN Forecast'!Y411+'D6 RIN Forecast'!Y297</f>
        <v>22405134.525526226</v>
      </c>
      <c r="Z284" s="18">
        <f>'D4 RIN Forecast'!Z411+'D6 RIN Forecast'!Z297</f>
        <v>24479029.311855488</v>
      </c>
      <c r="AD284" s="18">
        <f t="shared" si="125"/>
        <v>0</v>
      </c>
      <c r="AE284" s="19">
        <f t="shared" si="126"/>
        <v>2406019</v>
      </c>
      <c r="AF284" s="19">
        <f t="shared" si="124"/>
        <v>2406019</v>
      </c>
      <c r="AG284" s="19">
        <f>O284/30</f>
        <v>80200.633333333331</v>
      </c>
      <c r="AH284" s="18">
        <f>AD284/30</f>
        <v>0</v>
      </c>
      <c r="AI284" s="19">
        <f t="shared" si="127"/>
        <v>80200.633333333331</v>
      </c>
    </row>
    <row r="285" spans="1:35">
      <c r="A285" s="14" t="s">
        <v>52</v>
      </c>
      <c r="B285" s="18">
        <f>'D4 RIN Forecast'!B412+'D6 RIN Forecast'!B298</f>
        <v>0</v>
      </c>
      <c r="C285" s="18">
        <f>'D4 RIN Forecast'!C412+'D6 RIN Forecast'!C298</f>
        <v>0</v>
      </c>
      <c r="D285" s="18">
        <f>'D4 RIN Forecast'!D412+'D6 RIN Forecast'!D298</f>
        <v>0</v>
      </c>
      <c r="E285" s="18">
        <f>'D4 RIN Forecast'!E412+'D6 RIN Forecast'!E298</f>
        <v>0</v>
      </c>
      <c r="F285" s="18">
        <f>'D4 RIN Forecast'!F412+'D6 RIN Forecast'!F298</f>
        <v>0</v>
      </c>
      <c r="G285" s="18">
        <f>'D4 RIN Forecast'!G412+'D6 RIN Forecast'!G298</f>
        <v>0</v>
      </c>
      <c r="H285" s="18">
        <f>'D4 RIN Forecast'!H412+'D6 RIN Forecast'!H298</f>
        <v>0</v>
      </c>
      <c r="I285" s="18">
        <f>'D4 RIN Forecast'!I412+'D6 RIN Forecast'!I298</f>
        <v>0</v>
      </c>
      <c r="J285" s="18">
        <f>'D4 RIN Forecast'!J412+'D6 RIN Forecast'!J298</f>
        <v>0</v>
      </c>
      <c r="K285" s="18">
        <f>'D4 RIN Forecast'!K412+'D6 RIN Forecast'!K298</f>
        <v>0</v>
      </c>
      <c r="L285" s="18">
        <f>'D4 RIN Forecast'!L412+'D6 RIN Forecast'!L298</f>
        <v>0</v>
      </c>
      <c r="M285" s="18">
        <f>'D4 RIN Forecast'!M412+'D6 RIN Forecast'!M298</f>
        <v>0</v>
      </c>
      <c r="N285" s="18">
        <f>'D4 RIN Forecast'!N412+'D6 RIN Forecast'!N298</f>
        <v>0</v>
      </c>
      <c r="O285" s="18">
        <f>'D4 RIN Forecast'!O412+'D6 RIN Forecast'!O298</f>
        <v>2289184</v>
      </c>
      <c r="P285" s="18">
        <f>'D4 RIN Forecast'!P412+'D6 RIN Forecast'!P298</f>
        <v>7808944</v>
      </c>
      <c r="Q285" s="18">
        <f>'D4 RIN Forecast'!Q412+'D6 RIN Forecast'!Q298</f>
        <v>8670413.4202391095</v>
      </c>
      <c r="R285" s="18">
        <f>'D4 RIN Forecast'!R412+'D6 RIN Forecast'!R298</f>
        <v>8287867.9254657803</v>
      </c>
      <c r="S285" s="18">
        <f>'D4 RIN Forecast'!S412+'D6 RIN Forecast'!S298</f>
        <v>11934993.541152904</v>
      </c>
      <c r="T285" s="18">
        <f>'D4 RIN Forecast'!T412+'D6 RIN Forecast'!T298</f>
        <v>15421783.576322995</v>
      </c>
      <c r="U285" s="18">
        <f>'D4 RIN Forecast'!U412+'D6 RIN Forecast'!U298</f>
        <v>16048784.041710237</v>
      </c>
      <c r="V285" s="18">
        <f>'D4 RIN Forecast'!V412+'D6 RIN Forecast'!V298</f>
        <v>23094095.810926441</v>
      </c>
      <c r="W285" s="18">
        <f>'D4 RIN Forecast'!W412+'D6 RIN Forecast'!W298</f>
        <v>21359747.104369182</v>
      </c>
      <c r="X285" s="18">
        <f>'D4 RIN Forecast'!X412+'D6 RIN Forecast'!X298</f>
        <v>19201775.206537474</v>
      </c>
      <c r="Y285" s="18">
        <f>'D4 RIN Forecast'!Y412+'D6 RIN Forecast'!Y298</f>
        <v>19902794.923121203</v>
      </c>
      <c r="Z285" s="18">
        <f>'D4 RIN Forecast'!Z412+'D6 RIN Forecast'!Z298</f>
        <v>21451332.986386329</v>
      </c>
      <c r="AD285" s="18">
        <f t="shared" si="125"/>
        <v>0</v>
      </c>
      <c r="AE285" s="19">
        <f t="shared" si="126"/>
        <v>2289184</v>
      </c>
      <c r="AF285" s="19">
        <f t="shared" si="124"/>
        <v>2289184</v>
      </c>
      <c r="AG285" s="19">
        <f>O285/31</f>
        <v>73844.645161290318</v>
      </c>
      <c r="AH285" s="18">
        <f>AD285/31</f>
        <v>0</v>
      </c>
      <c r="AI285" s="19">
        <f t="shared" si="127"/>
        <v>73844.645161290318</v>
      </c>
    </row>
    <row r="286" spans="1:35">
      <c r="A286" s="14" t="s">
        <v>53</v>
      </c>
      <c r="B286" s="18">
        <f>'D4 RIN Forecast'!B413+'D6 RIN Forecast'!B299</f>
        <v>0</v>
      </c>
      <c r="C286" s="18">
        <f>'D4 RIN Forecast'!C413+'D6 RIN Forecast'!C299</f>
        <v>0</v>
      </c>
      <c r="D286" s="18">
        <f>'D4 RIN Forecast'!D413+'D6 RIN Forecast'!D299</f>
        <v>0</v>
      </c>
      <c r="E286" s="18">
        <f>'D4 RIN Forecast'!E413+'D6 RIN Forecast'!E299</f>
        <v>0</v>
      </c>
      <c r="F286" s="18">
        <f>'D4 RIN Forecast'!F413+'D6 RIN Forecast'!F299</f>
        <v>0</v>
      </c>
      <c r="G286" s="18">
        <f>'D4 RIN Forecast'!G413+'D6 RIN Forecast'!G299</f>
        <v>0</v>
      </c>
      <c r="H286" s="18">
        <f>'D4 RIN Forecast'!H413+'D6 RIN Forecast'!H299</f>
        <v>0</v>
      </c>
      <c r="I286" s="18">
        <f>'D4 RIN Forecast'!I413+'D6 RIN Forecast'!I299</f>
        <v>0</v>
      </c>
      <c r="J286" s="18">
        <f>'D4 RIN Forecast'!J413+'D6 RIN Forecast'!J299</f>
        <v>0</v>
      </c>
      <c r="K286" s="18">
        <f>'D4 RIN Forecast'!K413+'D6 RIN Forecast'!K299</f>
        <v>0</v>
      </c>
      <c r="L286" s="18">
        <f>'D4 RIN Forecast'!L413+'D6 RIN Forecast'!L299</f>
        <v>0</v>
      </c>
      <c r="M286" s="18">
        <f>'D4 RIN Forecast'!M413+'D6 RIN Forecast'!M299</f>
        <v>0</v>
      </c>
      <c r="N286" s="18">
        <f>'D4 RIN Forecast'!N413+'D6 RIN Forecast'!N299</f>
        <v>0</v>
      </c>
      <c r="O286" s="18">
        <f>'D4 RIN Forecast'!O413+'D6 RIN Forecast'!O299</f>
        <v>0</v>
      </c>
      <c r="P286" s="18">
        <f>'D4 RIN Forecast'!P413+'D6 RIN Forecast'!P299</f>
        <v>2032466</v>
      </c>
      <c r="Q286" s="18">
        <f>'D4 RIN Forecast'!Q413+'D6 RIN Forecast'!Q299</f>
        <v>5989496.0117305946</v>
      </c>
      <c r="R286" s="18">
        <f>'D4 RIN Forecast'!R413+'D6 RIN Forecast'!R299</f>
        <v>7005789.2577823875</v>
      </c>
      <c r="S286" s="18">
        <f>'D4 RIN Forecast'!S413+'D6 RIN Forecast'!S299</f>
        <v>10083348.434339264</v>
      </c>
      <c r="T286" s="18">
        <f>'D4 RIN Forecast'!T413+'D6 RIN Forecast'!T299</f>
        <v>13303076.12695617</v>
      </c>
      <c r="U286" s="18">
        <f>'D4 RIN Forecast'!U413+'D6 RIN Forecast'!U299</f>
        <v>11827579.843938377</v>
      </c>
      <c r="V286" s="18">
        <f>'D4 RIN Forecast'!V413+'D6 RIN Forecast'!V299</f>
        <v>18443987.468741726</v>
      </c>
      <c r="W286" s="18">
        <f>'D4 RIN Forecast'!W413+'D6 RIN Forecast'!W299</f>
        <v>17325924.677326813</v>
      </c>
      <c r="X286" s="18">
        <f>'D4 RIN Forecast'!X413+'D6 RIN Forecast'!X299</f>
        <v>15513617.729895389</v>
      </c>
      <c r="Y286" s="18">
        <f>'D4 RIN Forecast'!Y413+'D6 RIN Forecast'!Y299</f>
        <v>15987773.065514047</v>
      </c>
      <c r="Z286" s="18">
        <f>'D4 RIN Forecast'!Z413+'D6 RIN Forecast'!Z299</f>
        <v>17034677.44967299</v>
      </c>
      <c r="AD286" s="18">
        <f t="shared" si="125"/>
        <v>0</v>
      </c>
      <c r="AE286" s="19">
        <f t="shared" si="126"/>
        <v>0</v>
      </c>
      <c r="AF286" s="19">
        <f t="shared" si="124"/>
        <v>0</v>
      </c>
      <c r="AG286" s="19">
        <f>O286/30</f>
        <v>0</v>
      </c>
      <c r="AH286" s="18">
        <f>AD286/30</f>
        <v>0</v>
      </c>
      <c r="AI286" s="19">
        <f t="shared" si="127"/>
        <v>0</v>
      </c>
    </row>
    <row r="287" spans="1:35">
      <c r="A287" s="14" t="s">
        <v>54</v>
      </c>
      <c r="B287" s="18">
        <f>'D4 RIN Forecast'!B414+'D6 RIN Forecast'!B300</f>
        <v>0</v>
      </c>
      <c r="C287" s="18">
        <f>'D4 RIN Forecast'!C414+'D6 RIN Forecast'!C300</f>
        <v>0</v>
      </c>
      <c r="D287" s="18">
        <f>'D4 RIN Forecast'!D414+'D6 RIN Forecast'!D300</f>
        <v>0</v>
      </c>
      <c r="E287" s="18">
        <f>'D4 RIN Forecast'!E414+'D6 RIN Forecast'!E300</f>
        <v>0</v>
      </c>
      <c r="F287" s="18">
        <f>'D4 RIN Forecast'!F414+'D6 RIN Forecast'!F300</f>
        <v>0</v>
      </c>
      <c r="G287" s="18">
        <f>'D4 RIN Forecast'!G414+'D6 RIN Forecast'!G300</f>
        <v>0</v>
      </c>
      <c r="H287" s="18">
        <f>'D4 RIN Forecast'!H414+'D6 RIN Forecast'!H300</f>
        <v>0</v>
      </c>
      <c r="I287" s="18">
        <f>'D4 RIN Forecast'!I414+'D6 RIN Forecast'!I300</f>
        <v>0</v>
      </c>
      <c r="J287" s="18">
        <f>'D4 RIN Forecast'!J414+'D6 RIN Forecast'!J300</f>
        <v>0</v>
      </c>
      <c r="K287" s="18">
        <f>'D4 RIN Forecast'!K414+'D6 RIN Forecast'!K300</f>
        <v>0</v>
      </c>
      <c r="L287" s="18">
        <f>'D4 RIN Forecast'!L414+'D6 RIN Forecast'!L300</f>
        <v>0</v>
      </c>
      <c r="M287" s="18">
        <f>'D4 RIN Forecast'!M414+'D6 RIN Forecast'!M300</f>
        <v>0</v>
      </c>
      <c r="N287" s="18">
        <f>'D4 RIN Forecast'!N414+'D6 RIN Forecast'!N300</f>
        <v>2309266</v>
      </c>
      <c r="O287" s="18">
        <f>'D4 RIN Forecast'!O414+'D6 RIN Forecast'!O300</f>
        <v>3686716</v>
      </c>
      <c r="P287" s="18">
        <f>'D4 RIN Forecast'!P414+'D6 RIN Forecast'!P300</f>
        <v>5445746</v>
      </c>
      <c r="Q287" s="18">
        <f>'D4 RIN Forecast'!Q414+'D6 RIN Forecast'!Q300</f>
        <v>3185482.3264932823</v>
      </c>
      <c r="R287" s="18">
        <f>'D4 RIN Forecast'!R414+'D6 RIN Forecast'!R300</f>
        <v>6439366.4976588665</v>
      </c>
      <c r="S287" s="18">
        <f>'D4 RIN Forecast'!S414+'D6 RIN Forecast'!S300</f>
        <v>9157524.6541121863</v>
      </c>
      <c r="T287" s="18">
        <f>'D4 RIN Forecast'!T414+'D6 RIN Forecast'!T300</f>
        <v>11962292.999815419</v>
      </c>
      <c r="U287" s="18">
        <f>'D4 RIN Forecast'!U414+'D6 RIN Forecast'!U300</f>
        <v>11142891.574032605</v>
      </c>
      <c r="V287" s="18">
        <f>'D4 RIN Forecast'!V414+'D6 RIN Forecast'!V300</f>
        <v>16025409.231740765</v>
      </c>
      <c r="W287" s="18">
        <f>'D4 RIN Forecast'!W414+'D6 RIN Forecast'!W300</f>
        <v>15630484.352829695</v>
      </c>
      <c r="X287" s="18">
        <f>'D4 RIN Forecast'!X414+'D6 RIN Forecast'!X300</f>
        <v>13969485.169648595</v>
      </c>
      <c r="Y287" s="18">
        <f>'D4 RIN Forecast'!Y414+'D6 RIN Forecast'!Y300</f>
        <v>14380165.628631812</v>
      </c>
      <c r="Z287" s="18">
        <f>'D4 RIN Forecast'!Z414+'D6 RIN Forecast'!Z300</f>
        <v>15322475.041045308</v>
      </c>
      <c r="AD287" s="18">
        <f t="shared" si="125"/>
        <v>461853.2</v>
      </c>
      <c r="AE287" s="19">
        <f t="shared" si="126"/>
        <v>3224862.8</v>
      </c>
      <c r="AF287" s="19">
        <f t="shared" si="124"/>
        <v>1377450</v>
      </c>
      <c r="AG287" s="19">
        <f>O287/31</f>
        <v>118926.32258064517</v>
      </c>
      <c r="AH287" s="18">
        <f>AD287/31</f>
        <v>14898.490322580645</v>
      </c>
      <c r="AI287" s="19">
        <f t="shared" si="127"/>
        <v>104027.83225806452</v>
      </c>
    </row>
    <row r="288" spans="1:35">
      <c r="A288" s="14" t="s">
        <v>29</v>
      </c>
      <c r="B288" s="18">
        <f>SUM(B276:B287)</f>
        <v>0</v>
      </c>
      <c r="C288" s="18">
        <f t="shared" ref="C288:Z288" si="128">SUM(C276:C287)</f>
        <v>0</v>
      </c>
      <c r="D288" s="18">
        <f t="shared" si="128"/>
        <v>0</v>
      </c>
      <c r="E288" s="18">
        <f t="shared" si="128"/>
        <v>0</v>
      </c>
      <c r="F288" s="18">
        <f t="shared" si="128"/>
        <v>0</v>
      </c>
      <c r="G288" s="18">
        <f t="shared" si="128"/>
        <v>0</v>
      </c>
      <c r="H288" s="18">
        <f t="shared" si="128"/>
        <v>0</v>
      </c>
      <c r="I288" s="18">
        <f t="shared" si="128"/>
        <v>0</v>
      </c>
      <c r="J288" s="18">
        <f t="shared" si="128"/>
        <v>0</v>
      </c>
      <c r="K288" s="18">
        <f t="shared" si="128"/>
        <v>0</v>
      </c>
      <c r="L288" s="18">
        <f t="shared" si="128"/>
        <v>0</v>
      </c>
      <c r="M288" s="18">
        <f t="shared" si="128"/>
        <v>0</v>
      </c>
      <c r="N288" s="18">
        <f t="shared" si="128"/>
        <v>12682785</v>
      </c>
      <c r="O288" s="18">
        <f t="shared" si="128"/>
        <v>19654387</v>
      </c>
      <c r="P288" s="18">
        <f t="shared" si="128"/>
        <v>117040668</v>
      </c>
      <c r="Q288" s="18">
        <f t="shared" si="128"/>
        <v>96000005.54457505</v>
      </c>
      <c r="R288" s="18">
        <f t="shared" si="128"/>
        <v>73741598.180416718</v>
      </c>
      <c r="S288" s="18">
        <f t="shared" si="128"/>
        <v>106001983.69058657</v>
      </c>
      <c r="T288" s="18">
        <f t="shared" si="128"/>
        <v>138890219.37034923</v>
      </c>
      <c r="U288" s="18">
        <f t="shared" si="128"/>
        <v>163700569.60462174</v>
      </c>
      <c r="V288" s="18">
        <f t="shared" si="128"/>
        <v>221260095.30942494</v>
      </c>
      <c r="W288" s="18">
        <f t="shared" si="128"/>
        <v>200950624.92311573</v>
      </c>
      <c r="X288" s="18">
        <f t="shared" si="128"/>
        <v>181573072.12472364</v>
      </c>
      <c r="Y288" s="18">
        <f t="shared" si="128"/>
        <v>189636400.05213878</v>
      </c>
      <c r="Z288" s="18">
        <f t="shared" si="128"/>
        <v>206124826.00584447</v>
      </c>
      <c r="AD288" s="18">
        <f t="shared" si="125"/>
        <v>2536557</v>
      </c>
      <c r="AE288" s="19">
        <f t="shared" si="126"/>
        <v>17117830</v>
      </c>
    </row>
    <row r="289" spans="1:26">
      <c r="M289" s="25" t="e">
        <f>M281/L281-1</f>
        <v>#DIV/0!</v>
      </c>
      <c r="N289" s="25" t="e">
        <f>N281/M281-1</f>
        <v>#DIV/0!</v>
      </c>
      <c r="O289" s="25">
        <f>O281/N281-1</f>
        <v>-0.14342164192522322</v>
      </c>
      <c r="P289" s="25">
        <f>P281/O281-1</f>
        <v>1.4964449923146574</v>
      </c>
      <c r="Q289" s="25">
        <f>Q281/P281-1</f>
        <v>0.55159998301358515</v>
      </c>
    </row>
    <row r="290" spans="1:26" ht="15.75">
      <c r="A290" s="15" t="s">
        <v>84</v>
      </c>
      <c r="M290" s="25"/>
      <c r="N290" s="25"/>
      <c r="O290" s="25"/>
      <c r="P290" s="25"/>
      <c r="Q290" s="25"/>
    </row>
    <row r="291" spans="1:26">
      <c r="B291" s="14">
        <f>B3</f>
        <v>2010</v>
      </c>
      <c r="M291" s="25"/>
      <c r="N291" s="25"/>
      <c r="O291" s="25"/>
      <c r="P291" s="25"/>
      <c r="Q291" s="25"/>
    </row>
    <row r="292" spans="1:26">
      <c r="A292" s="14" t="s">
        <v>43</v>
      </c>
      <c r="B292" s="18">
        <f t="shared" ref="B292:Z302" si="129">B276+B260</f>
        <v>0</v>
      </c>
      <c r="C292" s="18">
        <f t="shared" si="129"/>
        <v>0</v>
      </c>
      <c r="D292" s="18">
        <f t="shared" si="129"/>
        <v>0</v>
      </c>
      <c r="E292" s="18">
        <f t="shared" si="129"/>
        <v>0</v>
      </c>
      <c r="F292" s="18">
        <f t="shared" si="129"/>
        <v>0</v>
      </c>
      <c r="G292" s="18">
        <f t="shared" si="129"/>
        <v>0</v>
      </c>
      <c r="H292" s="18">
        <f t="shared" si="129"/>
        <v>0</v>
      </c>
      <c r="I292" s="18">
        <f t="shared" si="129"/>
        <v>0</v>
      </c>
      <c r="J292" s="18">
        <f t="shared" si="129"/>
        <v>0</v>
      </c>
      <c r="K292" s="18">
        <f t="shared" si="129"/>
        <v>0</v>
      </c>
      <c r="L292" s="18">
        <f t="shared" si="129"/>
        <v>0</v>
      </c>
      <c r="M292" s="18">
        <f t="shared" si="129"/>
        <v>0</v>
      </c>
      <c r="N292" s="18">
        <f t="shared" si="129"/>
        <v>0</v>
      </c>
      <c r="O292" s="18">
        <f t="shared" si="129"/>
        <v>0</v>
      </c>
      <c r="P292" s="18">
        <f t="shared" si="129"/>
        <v>14122768</v>
      </c>
      <c r="Q292" s="18">
        <f t="shared" si="129"/>
        <v>12635529</v>
      </c>
      <c r="R292" s="18">
        <f t="shared" si="129"/>
        <v>3662900.4775528354</v>
      </c>
      <c r="S292" s="18">
        <f t="shared" si="129"/>
        <v>5420093.7541885013</v>
      </c>
      <c r="T292" s="18">
        <f t="shared" si="129"/>
        <v>7151032.6952990796</v>
      </c>
      <c r="U292" s="18">
        <f t="shared" si="129"/>
        <v>13237174.798780225</v>
      </c>
      <c r="V292" s="18">
        <f t="shared" si="129"/>
        <v>16109261.275948416</v>
      </c>
      <c r="W292" s="18">
        <f t="shared" si="129"/>
        <v>13018042.321361419</v>
      </c>
      <c r="X292" s="18">
        <f t="shared" si="129"/>
        <v>12006240.506212959</v>
      </c>
      <c r="Y292" s="18">
        <f t="shared" si="129"/>
        <v>12871900.581222938</v>
      </c>
      <c r="Z292" s="18">
        <f t="shared" si="129"/>
        <v>14481321.252787074</v>
      </c>
    </row>
    <row r="293" spans="1:26">
      <c r="A293" s="14" t="s">
        <v>44</v>
      </c>
      <c r="B293" s="18">
        <f t="shared" si="129"/>
        <v>0</v>
      </c>
      <c r="C293" s="18">
        <f t="shared" si="129"/>
        <v>0</v>
      </c>
      <c r="D293" s="18">
        <f t="shared" si="129"/>
        <v>0</v>
      </c>
      <c r="E293" s="18">
        <f t="shared" si="129"/>
        <v>0</v>
      </c>
      <c r="F293" s="18">
        <f t="shared" si="129"/>
        <v>0</v>
      </c>
      <c r="G293" s="18">
        <f t="shared" si="129"/>
        <v>0</v>
      </c>
      <c r="H293" s="18">
        <f t="shared" si="129"/>
        <v>0</v>
      </c>
      <c r="I293" s="18">
        <f t="shared" si="129"/>
        <v>0</v>
      </c>
      <c r="J293" s="18">
        <f t="shared" si="129"/>
        <v>0</v>
      </c>
      <c r="K293" s="18">
        <f t="shared" si="129"/>
        <v>0</v>
      </c>
      <c r="L293" s="18">
        <f t="shared" si="129"/>
        <v>0</v>
      </c>
      <c r="M293" s="18">
        <f t="shared" si="129"/>
        <v>0</v>
      </c>
      <c r="N293" s="18">
        <f t="shared" si="129"/>
        <v>2257598</v>
      </c>
      <c r="O293" s="18">
        <f t="shared" si="129"/>
        <v>2378048</v>
      </c>
      <c r="P293" s="18">
        <f t="shared" si="129"/>
        <v>0</v>
      </c>
      <c r="Q293" s="18">
        <f t="shared" si="129"/>
        <v>0</v>
      </c>
      <c r="R293" s="18">
        <f t="shared" si="129"/>
        <v>7239143.7024238631</v>
      </c>
      <c r="S293" s="18">
        <f t="shared" si="129"/>
        <v>10438862.832815146</v>
      </c>
      <c r="T293" s="18">
        <f t="shared" si="129"/>
        <v>13612162.113331046</v>
      </c>
      <c r="U293" s="18">
        <f t="shared" si="129"/>
        <v>9634124.9636857118</v>
      </c>
      <c r="V293" s="18">
        <f t="shared" si="129"/>
        <v>15656881.975320602</v>
      </c>
      <c r="W293" s="18">
        <f t="shared" si="129"/>
        <v>16159909.044907248</v>
      </c>
      <c r="X293" s="18">
        <f t="shared" si="129"/>
        <v>14315525.55615445</v>
      </c>
      <c r="Y293" s="18">
        <f t="shared" si="129"/>
        <v>14515751.992773749</v>
      </c>
      <c r="Z293" s="18">
        <f t="shared" si="129"/>
        <v>15135921.715012506</v>
      </c>
    </row>
    <row r="294" spans="1:26">
      <c r="A294" s="14" t="s">
        <v>45</v>
      </c>
      <c r="B294" s="18">
        <f t="shared" si="129"/>
        <v>0</v>
      </c>
      <c r="C294" s="18">
        <f t="shared" si="129"/>
        <v>0</v>
      </c>
      <c r="D294" s="18">
        <f t="shared" si="129"/>
        <v>0</v>
      </c>
      <c r="E294" s="18">
        <f t="shared" si="129"/>
        <v>0</v>
      </c>
      <c r="F294" s="18">
        <f t="shared" si="129"/>
        <v>0</v>
      </c>
      <c r="G294" s="18">
        <f t="shared" si="129"/>
        <v>0</v>
      </c>
      <c r="H294" s="18">
        <f t="shared" si="129"/>
        <v>0</v>
      </c>
      <c r="I294" s="18">
        <f t="shared" si="129"/>
        <v>0</v>
      </c>
      <c r="J294" s="18">
        <f t="shared" si="129"/>
        <v>0</v>
      </c>
      <c r="K294" s="18">
        <f t="shared" si="129"/>
        <v>0</v>
      </c>
      <c r="L294" s="18">
        <f t="shared" si="129"/>
        <v>0</v>
      </c>
      <c r="M294" s="18">
        <f t="shared" si="129"/>
        <v>0</v>
      </c>
      <c r="N294" s="18">
        <f t="shared" si="129"/>
        <v>3033554</v>
      </c>
      <c r="O294" s="18">
        <f t="shared" si="129"/>
        <v>2263418</v>
      </c>
      <c r="P294" s="18">
        <f t="shared" si="129"/>
        <v>9061504</v>
      </c>
      <c r="Q294" s="18">
        <f t="shared" si="129"/>
        <v>7970709</v>
      </c>
      <c r="R294" s="18">
        <f t="shared" si="129"/>
        <v>2928575.4674081681</v>
      </c>
      <c r="S294" s="18">
        <f t="shared" si="129"/>
        <v>4195727.7611191766</v>
      </c>
      <c r="T294" s="18">
        <f t="shared" si="129"/>
        <v>5447310.6109607648</v>
      </c>
      <c r="U294" s="18">
        <f t="shared" si="129"/>
        <v>9114907.0300456192</v>
      </c>
      <c r="V294" s="18">
        <f t="shared" si="129"/>
        <v>11346310.797448654</v>
      </c>
      <c r="W294" s="18">
        <f t="shared" si="129"/>
        <v>9434366.6597422678</v>
      </c>
      <c r="X294" s="18">
        <f t="shared" si="129"/>
        <v>8641212.1352450065</v>
      </c>
      <c r="Y294" s="18">
        <f t="shared" si="129"/>
        <v>9202583.4887593873</v>
      </c>
      <c r="Z294" s="18">
        <f t="shared" si="129"/>
        <v>10281117.916162649</v>
      </c>
    </row>
    <row r="295" spans="1:26">
      <c r="A295" s="14" t="s">
        <v>46</v>
      </c>
      <c r="B295" s="18">
        <f t="shared" si="129"/>
        <v>0</v>
      </c>
      <c r="C295" s="18">
        <f t="shared" si="129"/>
        <v>0</v>
      </c>
      <c r="D295" s="18">
        <f t="shared" si="129"/>
        <v>0</v>
      </c>
      <c r="E295" s="18">
        <f t="shared" si="129"/>
        <v>0</v>
      </c>
      <c r="F295" s="18">
        <f t="shared" si="129"/>
        <v>0</v>
      </c>
      <c r="G295" s="18">
        <f t="shared" si="129"/>
        <v>0</v>
      </c>
      <c r="H295" s="18">
        <f t="shared" si="129"/>
        <v>0</v>
      </c>
      <c r="I295" s="18">
        <f t="shared" si="129"/>
        <v>0</v>
      </c>
      <c r="J295" s="18">
        <f t="shared" si="129"/>
        <v>0</v>
      </c>
      <c r="K295" s="18">
        <f t="shared" si="129"/>
        <v>0</v>
      </c>
      <c r="L295" s="18">
        <f t="shared" si="129"/>
        <v>0</v>
      </c>
      <c r="M295" s="18">
        <f t="shared" si="129"/>
        <v>0</v>
      </c>
      <c r="N295" s="18">
        <f t="shared" si="129"/>
        <v>0</v>
      </c>
      <c r="O295" s="18">
        <f t="shared" si="129"/>
        <v>2236686</v>
      </c>
      <c r="P295" s="18">
        <f t="shared" si="129"/>
        <v>9056261</v>
      </c>
      <c r="Q295" s="18">
        <f t="shared" si="129"/>
        <v>7845718.9956840882</v>
      </c>
      <c r="R295" s="18">
        <f t="shared" si="129"/>
        <v>4627828.7413890399</v>
      </c>
      <c r="S295" s="18">
        <f t="shared" si="129"/>
        <v>6656475.1650703317</v>
      </c>
      <c r="T295" s="18">
        <f t="shared" si="129"/>
        <v>8738349.0836886056</v>
      </c>
      <c r="U295" s="18">
        <f t="shared" si="129"/>
        <v>11368955.449605949</v>
      </c>
      <c r="V295" s="18">
        <f t="shared" si="129"/>
        <v>15011479.746095965</v>
      </c>
      <c r="W295" s="18">
        <f t="shared" si="129"/>
        <v>13252988.78959175</v>
      </c>
      <c r="X295" s="18">
        <f t="shared" si="129"/>
        <v>12026487.819264637</v>
      </c>
      <c r="Y295" s="18">
        <f t="shared" si="129"/>
        <v>12636838.014714433</v>
      </c>
      <c r="Z295" s="18">
        <f t="shared" si="129"/>
        <v>13846900.927654626</v>
      </c>
    </row>
    <row r="296" spans="1:26">
      <c r="A296" s="14" t="s">
        <v>47</v>
      </c>
      <c r="B296" s="18">
        <f t="shared" si="129"/>
        <v>0</v>
      </c>
      <c r="C296" s="18">
        <f t="shared" si="129"/>
        <v>0</v>
      </c>
      <c r="D296" s="18">
        <f t="shared" si="129"/>
        <v>0</v>
      </c>
      <c r="E296" s="18">
        <f t="shared" si="129"/>
        <v>0</v>
      </c>
      <c r="F296" s="18">
        <f t="shared" si="129"/>
        <v>0</v>
      </c>
      <c r="G296" s="18">
        <f t="shared" si="129"/>
        <v>0</v>
      </c>
      <c r="H296" s="18">
        <f t="shared" si="129"/>
        <v>0</v>
      </c>
      <c r="I296" s="18">
        <f t="shared" si="129"/>
        <v>0</v>
      </c>
      <c r="J296" s="18">
        <f t="shared" si="129"/>
        <v>0</v>
      </c>
      <c r="K296" s="18">
        <f t="shared" si="129"/>
        <v>0</v>
      </c>
      <c r="L296" s="18">
        <f t="shared" si="129"/>
        <v>0</v>
      </c>
      <c r="M296" s="18">
        <f t="shared" si="129"/>
        <v>0</v>
      </c>
      <c r="N296" s="18">
        <f t="shared" si="129"/>
        <v>0</v>
      </c>
      <c r="O296" s="18">
        <f t="shared" si="129"/>
        <v>0</v>
      </c>
      <c r="P296" s="18">
        <f t="shared" si="129"/>
        <v>23662851</v>
      </c>
      <c r="Q296" s="18">
        <f t="shared" si="129"/>
        <v>7551064.84131133</v>
      </c>
      <c r="R296" s="18">
        <f t="shared" si="129"/>
        <v>5931718.434404403</v>
      </c>
      <c r="S296" s="18">
        <f t="shared" si="129"/>
        <v>8706963.0505936425</v>
      </c>
      <c r="T296" s="18">
        <f t="shared" si="129"/>
        <v>11509976.819610415</v>
      </c>
      <c r="U296" s="18">
        <f t="shared" si="129"/>
        <v>17661720.959991913</v>
      </c>
      <c r="V296" s="18">
        <f t="shared" si="129"/>
        <v>19649943.77343291</v>
      </c>
      <c r="W296" s="18">
        <f t="shared" si="129"/>
        <v>18124633.128162812</v>
      </c>
      <c r="X296" s="18">
        <f t="shared" si="129"/>
        <v>16534103.316023471</v>
      </c>
      <c r="Y296" s="18">
        <f t="shared" si="129"/>
        <v>17466198.49702511</v>
      </c>
      <c r="Z296" s="18">
        <f t="shared" si="129"/>
        <v>19261000.557965681</v>
      </c>
    </row>
    <row r="297" spans="1:26">
      <c r="A297" s="14" t="s">
        <v>48</v>
      </c>
      <c r="B297" s="18">
        <f t="shared" si="129"/>
        <v>0</v>
      </c>
      <c r="C297" s="18">
        <f t="shared" si="129"/>
        <v>0</v>
      </c>
      <c r="D297" s="18">
        <f t="shared" si="129"/>
        <v>0</v>
      </c>
      <c r="E297" s="18">
        <f t="shared" si="129"/>
        <v>0</v>
      </c>
      <c r="F297" s="18">
        <f t="shared" si="129"/>
        <v>0</v>
      </c>
      <c r="G297" s="18">
        <f t="shared" si="129"/>
        <v>0</v>
      </c>
      <c r="H297" s="18">
        <f t="shared" si="129"/>
        <v>0</v>
      </c>
      <c r="I297" s="18">
        <f t="shared" si="129"/>
        <v>0</v>
      </c>
      <c r="J297" s="18">
        <f t="shared" si="129"/>
        <v>0</v>
      </c>
      <c r="K297" s="18">
        <f t="shared" si="129"/>
        <v>0</v>
      </c>
      <c r="L297" s="18">
        <f t="shared" si="129"/>
        <v>0</v>
      </c>
      <c r="M297" s="18">
        <f t="shared" si="129"/>
        <v>0</v>
      </c>
      <c r="N297" s="18">
        <f t="shared" si="129"/>
        <v>2447176</v>
      </c>
      <c r="O297" s="18">
        <f t="shared" si="129"/>
        <v>2096198</v>
      </c>
      <c r="P297" s="18">
        <f t="shared" si="129"/>
        <v>5233043</v>
      </c>
      <c r="Q297" s="18">
        <f t="shared" si="129"/>
        <v>8119589.4299093606</v>
      </c>
      <c r="R297" s="18">
        <f t="shared" si="129"/>
        <v>5831353.8750447966</v>
      </c>
      <c r="S297" s="18">
        <f t="shared" si="129"/>
        <v>8389544.5150807351</v>
      </c>
      <c r="T297" s="18">
        <f t="shared" si="129"/>
        <v>10965955.427231004</v>
      </c>
      <c r="U297" s="18">
        <f t="shared" si="129"/>
        <v>11866162.7111855</v>
      </c>
      <c r="V297" s="18">
        <f t="shared" si="129"/>
        <v>17282208.135593347</v>
      </c>
      <c r="W297" s="18">
        <f t="shared" si="129"/>
        <v>15518452.572101748</v>
      </c>
      <c r="X297" s="18">
        <f t="shared" si="129"/>
        <v>13992153.425376672</v>
      </c>
      <c r="Y297" s="18">
        <f t="shared" si="129"/>
        <v>14567290.151822161</v>
      </c>
      <c r="Z297" s="18">
        <f t="shared" si="129"/>
        <v>15769955.210502407</v>
      </c>
    </row>
    <row r="298" spans="1:26">
      <c r="A298" s="14" t="s">
        <v>49</v>
      </c>
      <c r="B298" s="18">
        <f t="shared" si="129"/>
        <v>0</v>
      </c>
      <c r="C298" s="18">
        <f t="shared" si="129"/>
        <v>0</v>
      </c>
      <c r="D298" s="18">
        <f t="shared" si="129"/>
        <v>0</v>
      </c>
      <c r="E298" s="18">
        <f t="shared" si="129"/>
        <v>0</v>
      </c>
      <c r="F298" s="18">
        <f t="shared" si="129"/>
        <v>0</v>
      </c>
      <c r="G298" s="18">
        <f t="shared" si="129"/>
        <v>0</v>
      </c>
      <c r="H298" s="18">
        <f t="shared" si="129"/>
        <v>0</v>
      </c>
      <c r="I298" s="18">
        <f t="shared" si="129"/>
        <v>0</v>
      </c>
      <c r="J298" s="18">
        <f t="shared" si="129"/>
        <v>0</v>
      </c>
      <c r="K298" s="18">
        <f t="shared" si="129"/>
        <v>0</v>
      </c>
      <c r="L298" s="18">
        <f t="shared" si="129"/>
        <v>0</v>
      </c>
      <c r="M298" s="18">
        <f t="shared" si="129"/>
        <v>0</v>
      </c>
      <c r="N298" s="18">
        <f t="shared" si="129"/>
        <v>0</v>
      </c>
      <c r="O298" s="18">
        <f t="shared" si="129"/>
        <v>0</v>
      </c>
      <c r="P298" s="18">
        <f t="shared" si="129"/>
        <v>11099915</v>
      </c>
      <c r="Q298" s="18">
        <f t="shared" si="129"/>
        <v>12337405.36272697</v>
      </c>
      <c r="R298" s="18">
        <f t="shared" si="129"/>
        <v>6596308.0018654102</v>
      </c>
      <c r="S298" s="18">
        <f t="shared" si="129"/>
        <v>9178279.5144865606</v>
      </c>
      <c r="T298" s="18">
        <f t="shared" si="129"/>
        <v>11941285.982377181</v>
      </c>
      <c r="U298" s="18">
        <f t="shared" si="129"/>
        <v>15749875.87463828</v>
      </c>
      <c r="V298" s="18">
        <f t="shared" si="129"/>
        <v>21349260.559794515</v>
      </c>
      <c r="W298" s="18">
        <f t="shared" si="129"/>
        <v>18511539.507570442</v>
      </c>
      <c r="X298" s="18">
        <f t="shared" si="129"/>
        <v>16769483.744119486</v>
      </c>
      <c r="Y298" s="18">
        <f t="shared" si="129"/>
        <v>17642171.058999069</v>
      </c>
      <c r="Z298" s="18">
        <f t="shared" si="129"/>
        <v>19387143.187112078</v>
      </c>
    </row>
    <row r="299" spans="1:26">
      <c r="A299" s="14" t="s">
        <v>50</v>
      </c>
      <c r="B299" s="18">
        <f t="shared" si="129"/>
        <v>0</v>
      </c>
      <c r="C299" s="18">
        <f t="shared" si="129"/>
        <v>0</v>
      </c>
      <c r="D299" s="18">
        <f t="shared" si="129"/>
        <v>0</v>
      </c>
      <c r="E299" s="18">
        <f t="shared" si="129"/>
        <v>0</v>
      </c>
      <c r="F299" s="18">
        <f t="shared" si="129"/>
        <v>0</v>
      </c>
      <c r="G299" s="18">
        <f t="shared" si="129"/>
        <v>0</v>
      </c>
      <c r="H299" s="18">
        <f t="shared" si="129"/>
        <v>0</v>
      </c>
      <c r="I299" s="18">
        <f t="shared" si="129"/>
        <v>0</v>
      </c>
      <c r="J299" s="18">
        <f t="shared" si="129"/>
        <v>0</v>
      </c>
      <c r="K299" s="18">
        <f t="shared" si="129"/>
        <v>0</v>
      </c>
      <c r="L299" s="18">
        <f t="shared" si="129"/>
        <v>0</v>
      </c>
      <c r="M299" s="18">
        <f t="shared" si="129"/>
        <v>0</v>
      </c>
      <c r="N299" s="18">
        <f t="shared" si="129"/>
        <v>2635191</v>
      </c>
      <c r="O299" s="18">
        <f t="shared" si="129"/>
        <v>2298118</v>
      </c>
      <c r="P299" s="18">
        <f t="shared" si="129"/>
        <v>11187097</v>
      </c>
      <c r="Q299" s="18">
        <f t="shared" si="129"/>
        <v>10161306.239495274</v>
      </c>
      <c r="R299" s="18">
        <f t="shared" si="129"/>
        <v>6871271.8593848953</v>
      </c>
      <c r="S299" s="18">
        <f t="shared" si="129"/>
        <v>9837263.8515435457</v>
      </c>
      <c r="T299" s="18">
        <f t="shared" si="129"/>
        <v>13011656.978294253</v>
      </c>
      <c r="U299" s="18">
        <f t="shared" si="129"/>
        <v>15723828.615355438</v>
      </c>
      <c r="V299" s="18">
        <f t="shared" si="129"/>
        <v>21273575.514957134</v>
      </c>
      <c r="W299" s="18">
        <f t="shared" si="129"/>
        <v>19054929.254426979</v>
      </c>
      <c r="X299" s="18">
        <f t="shared" si="129"/>
        <v>17243961.112659205</v>
      </c>
      <c r="Y299" s="18">
        <f t="shared" si="129"/>
        <v>18057798.124028623</v>
      </c>
      <c r="Z299" s="18">
        <f t="shared" si="129"/>
        <v>19673950.449687351</v>
      </c>
    </row>
    <row r="300" spans="1:26">
      <c r="A300" s="14" t="s">
        <v>51</v>
      </c>
      <c r="B300" s="18">
        <f t="shared" si="129"/>
        <v>0</v>
      </c>
      <c r="C300" s="18">
        <f t="shared" si="129"/>
        <v>0</v>
      </c>
      <c r="D300" s="18">
        <f t="shared" si="129"/>
        <v>0</v>
      </c>
      <c r="E300" s="18">
        <f t="shared" si="129"/>
        <v>0</v>
      </c>
      <c r="F300" s="18">
        <f t="shared" si="129"/>
        <v>0</v>
      </c>
      <c r="G300" s="18">
        <f t="shared" si="129"/>
        <v>0</v>
      </c>
      <c r="H300" s="18">
        <f t="shared" si="129"/>
        <v>0</v>
      </c>
      <c r="I300" s="18">
        <f t="shared" si="129"/>
        <v>0</v>
      </c>
      <c r="J300" s="18">
        <f t="shared" si="129"/>
        <v>0</v>
      </c>
      <c r="K300" s="18">
        <f t="shared" si="129"/>
        <v>0</v>
      </c>
      <c r="L300" s="18">
        <f t="shared" si="129"/>
        <v>0</v>
      </c>
      <c r="M300" s="18">
        <f t="shared" si="129"/>
        <v>0</v>
      </c>
      <c r="N300" s="18">
        <f t="shared" si="129"/>
        <v>0</v>
      </c>
      <c r="O300" s="18">
        <f t="shared" si="129"/>
        <v>2406019</v>
      </c>
      <c r="P300" s="18">
        <f t="shared" si="129"/>
        <v>18330073</v>
      </c>
      <c r="Q300" s="18">
        <f t="shared" si="129"/>
        <v>11533290.916985057</v>
      </c>
      <c r="R300" s="18">
        <f t="shared" si="129"/>
        <v>8319473.9400362819</v>
      </c>
      <c r="S300" s="18">
        <f t="shared" si="129"/>
        <v>12002906.616084555</v>
      </c>
      <c r="T300" s="18">
        <f t="shared" si="129"/>
        <v>15825336.956462312</v>
      </c>
      <c r="U300" s="18">
        <f t="shared" si="129"/>
        <v>20324563.7416519</v>
      </c>
      <c r="V300" s="18">
        <f t="shared" si="129"/>
        <v>26017681.019424453</v>
      </c>
      <c r="W300" s="18">
        <f t="shared" si="129"/>
        <v>23559607.510725372</v>
      </c>
      <c r="X300" s="18">
        <f t="shared" si="129"/>
        <v>21359026.403586313</v>
      </c>
      <c r="Y300" s="18">
        <f t="shared" si="129"/>
        <v>22405134.525526226</v>
      </c>
      <c r="Z300" s="18">
        <f t="shared" si="129"/>
        <v>24479029.311855488</v>
      </c>
    </row>
    <row r="301" spans="1:26">
      <c r="A301" s="14" t="s">
        <v>52</v>
      </c>
      <c r="B301" s="18">
        <f t="shared" si="129"/>
        <v>0</v>
      </c>
      <c r="C301" s="18">
        <f t="shared" si="129"/>
        <v>0</v>
      </c>
      <c r="D301" s="18">
        <f t="shared" si="129"/>
        <v>0</v>
      </c>
      <c r="E301" s="18">
        <f t="shared" si="129"/>
        <v>0</v>
      </c>
      <c r="F301" s="18">
        <f t="shared" si="129"/>
        <v>0</v>
      </c>
      <c r="G301" s="18">
        <f t="shared" si="129"/>
        <v>0</v>
      </c>
      <c r="H301" s="18">
        <f t="shared" si="129"/>
        <v>0</v>
      </c>
      <c r="I301" s="18">
        <f t="shared" si="129"/>
        <v>0</v>
      </c>
      <c r="J301" s="18">
        <f t="shared" si="129"/>
        <v>0</v>
      </c>
      <c r="K301" s="18">
        <f t="shared" si="129"/>
        <v>0</v>
      </c>
      <c r="L301" s="18">
        <f t="shared" si="129"/>
        <v>0</v>
      </c>
      <c r="M301" s="18">
        <f t="shared" si="129"/>
        <v>0</v>
      </c>
      <c r="N301" s="18">
        <f t="shared" si="129"/>
        <v>0</v>
      </c>
      <c r="O301" s="18">
        <f t="shared" si="129"/>
        <v>2289184</v>
      </c>
      <c r="P301" s="18">
        <f t="shared" si="129"/>
        <v>7808944</v>
      </c>
      <c r="Q301" s="18">
        <f t="shared" si="129"/>
        <v>8670413.4202391095</v>
      </c>
      <c r="R301" s="18">
        <f t="shared" si="129"/>
        <v>8287867.9254657803</v>
      </c>
      <c r="S301" s="18">
        <f t="shared" si="129"/>
        <v>11934993.541152904</v>
      </c>
      <c r="T301" s="18">
        <f t="shared" si="129"/>
        <v>15421783.576322995</v>
      </c>
      <c r="U301" s="18">
        <f t="shared" si="129"/>
        <v>16048784.041710237</v>
      </c>
      <c r="V301" s="18">
        <f t="shared" si="129"/>
        <v>23094095.810926441</v>
      </c>
      <c r="W301" s="18">
        <f t="shared" si="129"/>
        <v>21359747.104369182</v>
      </c>
      <c r="X301" s="18">
        <f t="shared" si="129"/>
        <v>19201775.206537474</v>
      </c>
      <c r="Y301" s="18">
        <f t="shared" si="129"/>
        <v>19902794.923121203</v>
      </c>
      <c r="Z301" s="18">
        <f t="shared" si="129"/>
        <v>21451332.986386329</v>
      </c>
    </row>
    <row r="302" spans="1:26">
      <c r="A302" s="14" t="s">
        <v>53</v>
      </c>
      <c r="B302" s="18">
        <f t="shared" si="129"/>
        <v>0</v>
      </c>
      <c r="C302" s="18">
        <f t="shared" si="129"/>
        <v>0</v>
      </c>
      <c r="D302" s="18">
        <f t="shared" si="129"/>
        <v>0</v>
      </c>
      <c r="E302" s="18">
        <f t="shared" si="129"/>
        <v>0</v>
      </c>
      <c r="F302" s="18">
        <f t="shared" si="129"/>
        <v>0</v>
      </c>
      <c r="G302" s="18">
        <f t="shared" ref="C302:Z303" si="130">G286+G270</f>
        <v>0</v>
      </c>
      <c r="H302" s="18">
        <f t="shared" si="130"/>
        <v>0</v>
      </c>
      <c r="I302" s="18">
        <f t="shared" si="130"/>
        <v>0</v>
      </c>
      <c r="J302" s="18">
        <f t="shared" si="130"/>
        <v>0</v>
      </c>
      <c r="K302" s="18">
        <f t="shared" si="130"/>
        <v>0</v>
      </c>
      <c r="L302" s="18">
        <f t="shared" si="130"/>
        <v>0</v>
      </c>
      <c r="M302" s="18">
        <f t="shared" si="130"/>
        <v>0</v>
      </c>
      <c r="N302" s="18">
        <f t="shared" si="130"/>
        <v>0</v>
      </c>
      <c r="O302" s="18">
        <f t="shared" si="130"/>
        <v>0</v>
      </c>
      <c r="P302" s="18">
        <f t="shared" si="130"/>
        <v>2032466</v>
      </c>
      <c r="Q302" s="18">
        <f t="shared" si="130"/>
        <v>5989496.0117305946</v>
      </c>
      <c r="R302" s="18">
        <f t="shared" si="130"/>
        <v>7005789.2577823875</v>
      </c>
      <c r="S302" s="18">
        <f t="shared" si="130"/>
        <v>10083348.434339264</v>
      </c>
      <c r="T302" s="18">
        <f t="shared" si="130"/>
        <v>13303076.12695617</v>
      </c>
      <c r="U302" s="18">
        <f t="shared" si="130"/>
        <v>11827579.843938377</v>
      </c>
      <c r="V302" s="18">
        <f t="shared" si="130"/>
        <v>18443987.468741726</v>
      </c>
      <c r="W302" s="18">
        <f t="shared" si="130"/>
        <v>17325924.677326813</v>
      </c>
      <c r="X302" s="18">
        <f t="shared" si="130"/>
        <v>15513617.729895389</v>
      </c>
      <c r="Y302" s="18">
        <f t="shared" si="130"/>
        <v>15987773.065514047</v>
      </c>
      <c r="Z302" s="18">
        <f t="shared" si="130"/>
        <v>17034677.44967299</v>
      </c>
    </row>
    <row r="303" spans="1:26">
      <c r="A303" s="14" t="s">
        <v>54</v>
      </c>
      <c r="B303" s="18">
        <f t="shared" ref="B303" si="131">B287+B271</f>
        <v>0</v>
      </c>
      <c r="C303" s="18">
        <f t="shared" si="130"/>
        <v>0</v>
      </c>
      <c r="D303" s="18">
        <f t="shared" si="130"/>
        <v>0</v>
      </c>
      <c r="E303" s="18">
        <f t="shared" si="130"/>
        <v>0</v>
      </c>
      <c r="F303" s="18">
        <f t="shared" si="130"/>
        <v>0</v>
      </c>
      <c r="G303" s="18">
        <f t="shared" si="130"/>
        <v>0</v>
      </c>
      <c r="H303" s="18">
        <f t="shared" si="130"/>
        <v>0</v>
      </c>
      <c r="I303" s="18">
        <f t="shared" si="130"/>
        <v>0</v>
      </c>
      <c r="J303" s="18">
        <f t="shared" si="130"/>
        <v>0</v>
      </c>
      <c r="K303" s="18">
        <f t="shared" si="130"/>
        <v>0</v>
      </c>
      <c r="L303" s="18">
        <f t="shared" si="130"/>
        <v>0</v>
      </c>
      <c r="M303" s="18">
        <f t="shared" si="130"/>
        <v>0</v>
      </c>
      <c r="N303" s="18">
        <f t="shared" si="130"/>
        <v>2309266</v>
      </c>
      <c r="O303" s="18">
        <f t="shared" si="130"/>
        <v>3686716</v>
      </c>
      <c r="P303" s="18">
        <f t="shared" si="130"/>
        <v>5445746</v>
      </c>
      <c r="Q303" s="18">
        <f t="shared" si="130"/>
        <v>3185482.3264932823</v>
      </c>
      <c r="R303" s="18">
        <f t="shared" si="130"/>
        <v>6439366.4976588665</v>
      </c>
      <c r="S303" s="18">
        <f t="shared" si="130"/>
        <v>9157524.6541121863</v>
      </c>
      <c r="T303" s="18">
        <f t="shared" si="130"/>
        <v>11962292.999815419</v>
      </c>
      <c r="U303" s="18">
        <f t="shared" si="130"/>
        <v>11142891.574032605</v>
      </c>
      <c r="V303" s="18">
        <f t="shared" si="130"/>
        <v>16025409.231740765</v>
      </c>
      <c r="W303" s="18">
        <f t="shared" si="130"/>
        <v>15630484.352829695</v>
      </c>
      <c r="X303" s="18">
        <f t="shared" si="130"/>
        <v>13969485.169648595</v>
      </c>
      <c r="Y303" s="18">
        <f t="shared" si="130"/>
        <v>14380165.628631812</v>
      </c>
      <c r="Z303" s="18">
        <f t="shared" si="130"/>
        <v>15322475.041045308</v>
      </c>
    </row>
    <row r="304" spans="1:26">
      <c r="A304" s="14" t="s">
        <v>29</v>
      </c>
      <c r="B304" s="18">
        <f>SUM(B292:B303)</f>
        <v>0</v>
      </c>
      <c r="C304" s="18">
        <f t="shared" ref="C304:Z304" si="132">SUM(C292:C303)</f>
        <v>0</v>
      </c>
      <c r="D304" s="18">
        <f t="shared" si="132"/>
        <v>0</v>
      </c>
      <c r="E304" s="18">
        <f t="shared" si="132"/>
        <v>0</v>
      </c>
      <c r="F304" s="18">
        <f t="shared" si="132"/>
        <v>0</v>
      </c>
      <c r="G304" s="18">
        <f t="shared" si="132"/>
        <v>0</v>
      </c>
      <c r="H304" s="18">
        <f t="shared" si="132"/>
        <v>0</v>
      </c>
      <c r="I304" s="18">
        <f t="shared" si="132"/>
        <v>0</v>
      </c>
      <c r="J304" s="18">
        <f t="shared" si="132"/>
        <v>0</v>
      </c>
      <c r="K304" s="18">
        <f t="shared" si="132"/>
        <v>0</v>
      </c>
      <c r="L304" s="18">
        <f t="shared" si="132"/>
        <v>0</v>
      </c>
      <c r="M304" s="18">
        <f t="shared" si="132"/>
        <v>0</v>
      </c>
      <c r="N304" s="18">
        <f t="shared" si="132"/>
        <v>12682785</v>
      </c>
      <c r="O304" s="18">
        <f t="shared" si="132"/>
        <v>19654387</v>
      </c>
      <c r="P304" s="18">
        <f t="shared" si="132"/>
        <v>117040668</v>
      </c>
      <c r="Q304" s="18">
        <f t="shared" si="132"/>
        <v>96000005.54457505</v>
      </c>
      <c r="R304" s="18">
        <f t="shared" si="132"/>
        <v>73741598.180416718</v>
      </c>
      <c r="S304" s="18">
        <f t="shared" si="132"/>
        <v>106001983.69058657</v>
      </c>
      <c r="T304" s="18">
        <f t="shared" si="132"/>
        <v>138890219.37034923</v>
      </c>
      <c r="U304" s="18">
        <f t="shared" si="132"/>
        <v>163700569.60462174</v>
      </c>
      <c r="V304" s="18">
        <f t="shared" si="132"/>
        <v>221260095.30942494</v>
      </c>
      <c r="W304" s="18">
        <f t="shared" si="132"/>
        <v>200950624.92311573</v>
      </c>
      <c r="X304" s="18">
        <f t="shared" si="132"/>
        <v>181573072.12472364</v>
      </c>
      <c r="Y304" s="18">
        <f t="shared" si="132"/>
        <v>189636400.05213878</v>
      </c>
      <c r="Z304" s="18">
        <f t="shared" si="132"/>
        <v>206124826.00584447</v>
      </c>
    </row>
    <row r="308" spans="1:26" ht="15.75">
      <c r="A308" s="15" t="s">
        <v>85</v>
      </c>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c r="B309" s="14">
        <f t="shared" ref="B309:Z309" si="133">B3</f>
        <v>2010</v>
      </c>
      <c r="C309" s="14">
        <f t="shared" si="133"/>
        <v>2011</v>
      </c>
      <c r="D309" s="14">
        <f t="shared" si="133"/>
        <v>2012</v>
      </c>
      <c r="E309" s="14">
        <f t="shared" si="133"/>
        <v>2013</v>
      </c>
      <c r="F309" s="14">
        <f t="shared" si="133"/>
        <v>2014</v>
      </c>
      <c r="G309" s="14">
        <f t="shared" si="133"/>
        <v>2015</v>
      </c>
      <c r="H309" s="14">
        <f t="shared" si="133"/>
        <v>2016</v>
      </c>
      <c r="I309" s="14">
        <f t="shared" si="133"/>
        <v>2017</v>
      </c>
      <c r="J309" s="14">
        <f t="shared" si="133"/>
        <v>2018</v>
      </c>
      <c r="K309" s="14">
        <f t="shared" si="133"/>
        <v>2019</v>
      </c>
      <c r="L309" s="14">
        <f t="shared" si="133"/>
        <v>2020</v>
      </c>
      <c r="M309" s="14">
        <f t="shared" si="133"/>
        <v>2021</v>
      </c>
      <c r="N309" s="14">
        <f t="shared" si="133"/>
        <v>2022</v>
      </c>
      <c r="O309" s="14">
        <f t="shared" si="133"/>
        <v>2023</v>
      </c>
      <c r="P309" s="14">
        <f t="shared" si="133"/>
        <v>2024</v>
      </c>
      <c r="Q309" s="14">
        <f t="shared" si="133"/>
        <v>2025</v>
      </c>
      <c r="R309" s="14">
        <f t="shared" si="133"/>
        <v>2026</v>
      </c>
      <c r="S309" s="14">
        <f t="shared" si="133"/>
        <v>2027</v>
      </c>
      <c r="T309" s="14">
        <f t="shared" si="133"/>
        <v>2028</v>
      </c>
      <c r="U309" s="14">
        <f t="shared" si="133"/>
        <v>2029</v>
      </c>
      <c r="V309" s="14">
        <f t="shared" si="133"/>
        <v>2030</v>
      </c>
      <c r="W309" s="14">
        <f t="shared" si="133"/>
        <v>2031</v>
      </c>
      <c r="X309" s="14">
        <f t="shared" si="133"/>
        <v>2032</v>
      </c>
      <c r="Y309" s="14">
        <f t="shared" si="133"/>
        <v>2033</v>
      </c>
      <c r="Z309" s="14">
        <f t="shared" si="133"/>
        <v>2034</v>
      </c>
    </row>
    <row r="310" spans="1:26">
      <c r="A310" s="14" t="s">
        <v>68</v>
      </c>
      <c r="B310" s="18">
        <f t="shared" ref="B310:Z320" si="134">B164+B228</f>
        <v>0</v>
      </c>
      <c r="C310" s="18">
        <f t="shared" si="134"/>
        <v>60782856</v>
      </c>
      <c r="D310" s="18">
        <f t="shared" si="134"/>
        <v>98897824</v>
      </c>
      <c r="E310" s="18">
        <f t="shared" si="134"/>
        <v>122240189</v>
      </c>
      <c r="F310" s="18">
        <f t="shared" si="134"/>
        <v>162294539</v>
      </c>
      <c r="G310" s="18">
        <f t="shared" si="134"/>
        <v>177798654</v>
      </c>
      <c r="H310" s="18">
        <f t="shared" si="134"/>
        <v>223963955</v>
      </c>
      <c r="I310" s="18">
        <f t="shared" si="134"/>
        <v>214264080</v>
      </c>
      <c r="J310" s="18">
        <f t="shared" si="134"/>
        <v>259253368</v>
      </c>
      <c r="K310" s="18">
        <f t="shared" si="134"/>
        <v>288205517</v>
      </c>
      <c r="L310" s="18">
        <f t="shared" si="134"/>
        <v>320036827</v>
      </c>
      <c r="M310" s="18">
        <f t="shared" si="134"/>
        <v>320846291</v>
      </c>
      <c r="N310" s="18">
        <f t="shared" si="134"/>
        <v>367748527</v>
      </c>
      <c r="O310" s="18">
        <f t="shared" si="134"/>
        <v>544069056</v>
      </c>
      <c r="P310" s="18">
        <f t="shared" si="134"/>
        <v>685854232</v>
      </c>
      <c r="Q310" s="19">
        <f t="shared" si="134"/>
        <v>490186306</v>
      </c>
      <c r="R310" s="19">
        <f t="shared" si="134"/>
        <v>519037063.96368283</v>
      </c>
      <c r="S310" s="19">
        <f t="shared" si="134"/>
        <v>581255307.59830809</v>
      </c>
      <c r="T310" s="19">
        <f t="shared" si="134"/>
        <v>582532782.00598443</v>
      </c>
      <c r="U310" s="19">
        <f t="shared" si="134"/>
        <v>616240245.06191051</v>
      </c>
      <c r="V310" s="19">
        <f t="shared" si="134"/>
        <v>664014063.16874516</v>
      </c>
      <c r="W310" s="19">
        <f t="shared" si="134"/>
        <v>728514110.14869261</v>
      </c>
      <c r="X310" s="19">
        <f t="shared" si="134"/>
        <v>845740662.78735352</v>
      </c>
      <c r="Y310" s="19">
        <f t="shared" si="134"/>
        <v>873859121.16202915</v>
      </c>
      <c r="Z310" s="19">
        <f t="shared" si="134"/>
        <v>864961574.00346565</v>
      </c>
    </row>
    <row r="311" spans="1:26">
      <c r="A311" s="14" t="s">
        <v>69</v>
      </c>
      <c r="B311" s="18">
        <f t="shared" si="134"/>
        <v>0</v>
      </c>
      <c r="C311" s="18">
        <f t="shared" si="134"/>
        <v>66200884</v>
      </c>
      <c r="D311" s="18">
        <f t="shared" si="134"/>
        <v>120837038</v>
      </c>
      <c r="E311" s="18">
        <f t="shared" si="134"/>
        <v>122618741</v>
      </c>
      <c r="F311" s="18">
        <f t="shared" si="134"/>
        <v>192563843</v>
      </c>
      <c r="G311" s="18">
        <f t="shared" si="134"/>
        <v>168217921</v>
      </c>
      <c r="H311" s="18">
        <f t="shared" si="134"/>
        <v>225302442</v>
      </c>
      <c r="I311" s="18">
        <f t="shared" si="134"/>
        <v>239553888</v>
      </c>
      <c r="J311" s="18">
        <f t="shared" si="134"/>
        <v>275753032</v>
      </c>
      <c r="K311" s="18">
        <f t="shared" si="134"/>
        <v>317690432</v>
      </c>
      <c r="L311" s="18">
        <f t="shared" si="134"/>
        <v>341796526</v>
      </c>
      <c r="M311" s="18">
        <f t="shared" si="134"/>
        <v>326878502</v>
      </c>
      <c r="N311" s="18">
        <f t="shared" si="134"/>
        <v>409516335</v>
      </c>
      <c r="O311" s="18">
        <f t="shared" si="134"/>
        <v>532008913</v>
      </c>
      <c r="P311" s="18">
        <f t="shared" si="134"/>
        <v>753295619</v>
      </c>
      <c r="Q311" s="19">
        <f t="shared" si="134"/>
        <v>448698168</v>
      </c>
      <c r="R311" s="19">
        <f t="shared" si="134"/>
        <v>589686462.59879398</v>
      </c>
      <c r="S311" s="19">
        <f t="shared" si="134"/>
        <v>699930339.56440568</v>
      </c>
      <c r="T311" s="19">
        <f t="shared" si="134"/>
        <v>721004945.48981225</v>
      </c>
      <c r="U311" s="19">
        <f t="shared" si="134"/>
        <v>777711382.67465639</v>
      </c>
      <c r="V311" s="19">
        <f t="shared" si="134"/>
        <v>860507821.39137626</v>
      </c>
      <c r="W311" s="19">
        <f t="shared" si="134"/>
        <v>955869890.64109159</v>
      </c>
      <c r="X311" s="19">
        <f t="shared" si="134"/>
        <v>1123242584.0903893</v>
      </c>
      <c r="Y311" s="19">
        <f t="shared" si="134"/>
        <v>1128946821.5087786</v>
      </c>
      <c r="Z311" s="19">
        <f t="shared" si="134"/>
        <v>1150102399.6502948</v>
      </c>
    </row>
    <row r="312" spans="1:26">
      <c r="A312" s="14" t="s">
        <v>70</v>
      </c>
      <c r="B312" s="18">
        <f t="shared" si="134"/>
        <v>0</v>
      </c>
      <c r="C312" s="18">
        <f t="shared" si="134"/>
        <v>107450399</v>
      </c>
      <c r="D312" s="18">
        <f t="shared" si="134"/>
        <v>165142672</v>
      </c>
      <c r="E312" s="18">
        <f t="shared" si="134"/>
        <v>199223788</v>
      </c>
      <c r="F312" s="18">
        <f t="shared" si="134"/>
        <v>241965003</v>
      </c>
      <c r="G312" s="18">
        <f t="shared" si="134"/>
        <v>230357596</v>
      </c>
      <c r="H312" s="18">
        <f t="shared" si="134"/>
        <v>279428942</v>
      </c>
      <c r="I312" s="18">
        <f t="shared" si="134"/>
        <v>307703274</v>
      </c>
      <c r="J312" s="18">
        <f t="shared" si="134"/>
        <v>332336972</v>
      </c>
      <c r="K312" s="18">
        <f t="shared" si="134"/>
        <v>356529695</v>
      </c>
      <c r="L312" s="18">
        <f t="shared" si="134"/>
        <v>404445967</v>
      </c>
      <c r="M312" s="18">
        <f t="shared" si="134"/>
        <v>428364078</v>
      </c>
      <c r="N312" s="18">
        <f t="shared" si="134"/>
        <v>507233268</v>
      </c>
      <c r="O312" s="18">
        <f t="shared" si="134"/>
        <v>650134564</v>
      </c>
      <c r="P312" s="18">
        <f t="shared" si="134"/>
        <v>664236523</v>
      </c>
      <c r="Q312" s="19">
        <f t="shared" si="134"/>
        <v>581938193</v>
      </c>
      <c r="R312" s="19">
        <f t="shared" si="134"/>
        <v>595845945.93602979</v>
      </c>
      <c r="S312" s="19">
        <f t="shared" si="134"/>
        <v>660015834.74845624</v>
      </c>
      <c r="T312" s="19">
        <f t="shared" si="134"/>
        <v>644018855.23424482</v>
      </c>
      <c r="U312" s="19">
        <f t="shared" si="134"/>
        <v>666652711.64244401</v>
      </c>
      <c r="V312" s="19">
        <f t="shared" si="134"/>
        <v>711149814.73459363</v>
      </c>
      <c r="W312" s="19">
        <f t="shared" si="134"/>
        <v>772731302.60704911</v>
      </c>
      <c r="X312" s="19">
        <f t="shared" si="134"/>
        <v>890476456.71043801</v>
      </c>
      <c r="Y312" s="19">
        <f t="shared" si="134"/>
        <v>882365354.1304003</v>
      </c>
      <c r="Z312" s="19">
        <f t="shared" si="134"/>
        <v>878861996.00683939</v>
      </c>
    </row>
    <row r="313" spans="1:26">
      <c r="A313" s="14" t="s">
        <v>71</v>
      </c>
      <c r="B313" s="18">
        <f t="shared" si="134"/>
        <v>0</v>
      </c>
      <c r="C313" s="18">
        <f t="shared" si="134"/>
        <v>112055398</v>
      </c>
      <c r="D313" s="18">
        <f t="shared" si="134"/>
        <v>149789740</v>
      </c>
      <c r="E313" s="18">
        <f t="shared" si="134"/>
        <v>191131487</v>
      </c>
      <c r="F313" s="18">
        <f t="shared" si="134"/>
        <v>252322463</v>
      </c>
      <c r="G313" s="18">
        <f t="shared" si="134"/>
        <v>262846902</v>
      </c>
      <c r="H313" s="18">
        <f t="shared" si="134"/>
        <v>335094545</v>
      </c>
      <c r="I313" s="18">
        <f t="shared" si="134"/>
        <v>301568693</v>
      </c>
      <c r="J313" s="18">
        <f t="shared" si="134"/>
        <v>338806087</v>
      </c>
      <c r="K313" s="18">
        <f t="shared" si="134"/>
        <v>400120970</v>
      </c>
      <c r="L313" s="18">
        <f t="shared" si="134"/>
        <v>380483850</v>
      </c>
      <c r="M313" s="18">
        <f t="shared" si="134"/>
        <v>405577573</v>
      </c>
      <c r="N313" s="18">
        <f t="shared" si="134"/>
        <v>516263405</v>
      </c>
      <c r="O313" s="18">
        <f t="shared" si="134"/>
        <v>627823838</v>
      </c>
      <c r="P313" s="18">
        <f t="shared" si="134"/>
        <v>815134736</v>
      </c>
      <c r="Q313" s="19">
        <f t="shared" si="134"/>
        <v>637390214.83264899</v>
      </c>
      <c r="R313" s="19">
        <f t="shared" si="134"/>
        <v>617253647.47591031</v>
      </c>
      <c r="S313" s="19">
        <f t="shared" si="134"/>
        <v>707070141.33330965</v>
      </c>
      <c r="T313" s="19">
        <f t="shared" si="134"/>
        <v>699275819.38573503</v>
      </c>
      <c r="U313" s="19">
        <f t="shared" si="134"/>
        <v>751038508.77855873</v>
      </c>
      <c r="V313" s="19">
        <f t="shared" si="134"/>
        <v>820966537.05281043</v>
      </c>
      <c r="W313" s="19">
        <f t="shared" si="134"/>
        <v>880508008.96962368</v>
      </c>
      <c r="X313" s="19">
        <f t="shared" si="134"/>
        <v>1019566903.526335</v>
      </c>
      <c r="Y313" s="19">
        <f t="shared" si="134"/>
        <v>1015878555.1357133</v>
      </c>
      <c r="Z313" s="19">
        <f t="shared" si="134"/>
        <v>1022942921.2826643</v>
      </c>
    </row>
    <row r="314" spans="1:26">
      <c r="A314" s="14" t="s">
        <v>47</v>
      </c>
      <c r="B314" s="18">
        <f t="shared" si="134"/>
        <v>0</v>
      </c>
      <c r="C314" s="18">
        <f t="shared" si="134"/>
        <v>132492893</v>
      </c>
      <c r="D314" s="18">
        <f t="shared" si="134"/>
        <v>183802642</v>
      </c>
      <c r="E314" s="18">
        <f t="shared" si="134"/>
        <v>238062416</v>
      </c>
      <c r="F314" s="18">
        <f t="shared" si="134"/>
        <v>254475729</v>
      </c>
      <c r="G314" s="18">
        <f t="shared" si="134"/>
        <v>288309290</v>
      </c>
      <c r="H314" s="18">
        <f t="shared" si="134"/>
        <v>364328918</v>
      </c>
      <c r="I314" s="18">
        <f t="shared" si="134"/>
        <v>373178492</v>
      </c>
      <c r="J314" s="18">
        <f t="shared" si="134"/>
        <v>363984256</v>
      </c>
      <c r="K314" s="18">
        <f t="shared" si="134"/>
        <v>400716361</v>
      </c>
      <c r="L314" s="18">
        <f t="shared" si="134"/>
        <v>382504488</v>
      </c>
      <c r="M314" s="18">
        <f t="shared" si="134"/>
        <v>413185740</v>
      </c>
      <c r="N314" s="18">
        <f t="shared" si="134"/>
        <v>539031275</v>
      </c>
      <c r="O314" s="18">
        <f t="shared" si="134"/>
        <v>785249046</v>
      </c>
      <c r="P314" s="18">
        <f t="shared" si="134"/>
        <v>720277488</v>
      </c>
      <c r="Q314" s="19">
        <f t="shared" si="134"/>
        <v>636595317.95577753</v>
      </c>
      <c r="R314" s="19">
        <f t="shared" si="134"/>
        <v>674376975.83430541</v>
      </c>
      <c r="S314" s="19">
        <f t="shared" si="134"/>
        <v>788864883.97515929</v>
      </c>
      <c r="T314" s="19">
        <f t="shared" si="134"/>
        <v>792537957.12057924</v>
      </c>
      <c r="U314" s="19">
        <f t="shared" si="134"/>
        <v>850455794.10444283</v>
      </c>
      <c r="V314" s="19">
        <f t="shared" si="134"/>
        <v>937836268.30690706</v>
      </c>
      <c r="W314" s="19">
        <f t="shared" si="134"/>
        <v>1012982560.4297671</v>
      </c>
      <c r="X314" s="19">
        <f t="shared" si="134"/>
        <v>1181139122.8257177</v>
      </c>
      <c r="Y314" s="19">
        <f t="shared" si="134"/>
        <v>1180953256.4752834</v>
      </c>
      <c r="Z314" s="19">
        <f t="shared" si="134"/>
        <v>1193829867.9103966</v>
      </c>
    </row>
    <row r="315" spans="1:26">
      <c r="A315" s="14" t="s">
        <v>72</v>
      </c>
      <c r="B315" s="18">
        <f t="shared" si="134"/>
        <v>0</v>
      </c>
      <c r="C315" s="18">
        <f t="shared" si="134"/>
        <v>130140014</v>
      </c>
      <c r="D315" s="18">
        <f t="shared" si="134"/>
        <v>179322912</v>
      </c>
      <c r="E315" s="18">
        <f t="shared" si="134"/>
        <v>258866793</v>
      </c>
      <c r="F315" s="18">
        <f t="shared" si="134"/>
        <v>266699808</v>
      </c>
      <c r="G315" s="18">
        <f t="shared" si="134"/>
        <v>306322638</v>
      </c>
      <c r="H315" s="18">
        <f t="shared" si="134"/>
        <v>413162924</v>
      </c>
      <c r="I315" s="18">
        <f t="shared" si="134"/>
        <v>420599962</v>
      </c>
      <c r="J315" s="18">
        <f t="shared" si="134"/>
        <v>329349309</v>
      </c>
      <c r="K315" s="18">
        <f t="shared" si="134"/>
        <v>373824700</v>
      </c>
      <c r="L315" s="18">
        <f t="shared" si="134"/>
        <v>401464146</v>
      </c>
      <c r="M315" s="18">
        <f t="shared" si="134"/>
        <v>451448570</v>
      </c>
      <c r="N315" s="18">
        <f t="shared" si="134"/>
        <v>504092912</v>
      </c>
      <c r="O315" s="18">
        <f t="shared" si="134"/>
        <v>707664575</v>
      </c>
      <c r="P315" s="18">
        <f t="shared" si="134"/>
        <v>842810310</v>
      </c>
      <c r="Q315" s="19">
        <f t="shared" si="134"/>
        <v>639111641.19083953</v>
      </c>
      <c r="R315" s="19">
        <f t="shared" si="134"/>
        <v>676024218.46206212</v>
      </c>
      <c r="S315" s="19">
        <f t="shared" si="134"/>
        <v>783832907.93803334</v>
      </c>
      <c r="T315" s="19">
        <f t="shared" si="134"/>
        <v>789161559.4045006</v>
      </c>
      <c r="U315" s="19">
        <f t="shared" si="134"/>
        <v>840399775.29362655</v>
      </c>
      <c r="V315" s="19">
        <f t="shared" si="134"/>
        <v>924055962.81235433</v>
      </c>
      <c r="W315" s="19">
        <f t="shared" si="134"/>
        <v>995833017.69871223</v>
      </c>
      <c r="X315" s="19">
        <f t="shared" si="134"/>
        <v>1158660726.9894998</v>
      </c>
      <c r="Y315" s="19">
        <f t="shared" si="134"/>
        <v>1157776083.7727883</v>
      </c>
      <c r="Z315" s="19">
        <f t="shared" si="134"/>
        <v>1168979446.0633452</v>
      </c>
    </row>
    <row r="316" spans="1:26">
      <c r="A316" s="14" t="s">
        <v>73</v>
      </c>
      <c r="B316" s="18">
        <f t="shared" si="134"/>
        <v>62644634</v>
      </c>
      <c r="C316" s="18">
        <f t="shared" si="134"/>
        <v>145149163</v>
      </c>
      <c r="D316" s="18">
        <f t="shared" si="134"/>
        <v>165759039</v>
      </c>
      <c r="E316" s="18">
        <f t="shared" si="134"/>
        <v>296895391</v>
      </c>
      <c r="F316" s="18">
        <f t="shared" si="134"/>
        <v>318718557</v>
      </c>
      <c r="G316" s="18">
        <f t="shared" si="134"/>
        <v>347236967</v>
      </c>
      <c r="H316" s="18">
        <f t="shared" si="134"/>
        <v>354106026</v>
      </c>
      <c r="I316" s="18">
        <f t="shared" si="134"/>
        <v>393270106</v>
      </c>
      <c r="J316" s="18">
        <f t="shared" si="134"/>
        <v>331110037</v>
      </c>
      <c r="K316" s="18">
        <f t="shared" si="134"/>
        <v>420217989</v>
      </c>
      <c r="L316" s="18">
        <f t="shared" si="134"/>
        <v>392232671</v>
      </c>
      <c r="M316" s="18">
        <f t="shared" si="134"/>
        <v>367469255</v>
      </c>
      <c r="N316" s="18">
        <f t="shared" si="134"/>
        <v>435369454</v>
      </c>
      <c r="O316" s="18">
        <f t="shared" si="134"/>
        <v>651574975</v>
      </c>
      <c r="P316" s="19">
        <f t="shared" si="134"/>
        <v>838525801</v>
      </c>
      <c r="Q316" s="19">
        <f t="shared" si="134"/>
        <v>616053098.7919904</v>
      </c>
      <c r="R316" s="19">
        <f t="shared" si="134"/>
        <v>636611506.74252987</v>
      </c>
      <c r="S316" s="19">
        <f t="shared" si="134"/>
        <v>754733989.40040898</v>
      </c>
      <c r="T316" s="19">
        <f t="shared" si="134"/>
        <v>766376746.4305582</v>
      </c>
      <c r="U316" s="19">
        <f t="shared" si="134"/>
        <v>823536579.77394104</v>
      </c>
      <c r="V316" s="19">
        <f t="shared" si="134"/>
        <v>916757700.0116539</v>
      </c>
      <c r="W316" s="19">
        <f t="shared" si="134"/>
        <v>989897861.76729274</v>
      </c>
      <c r="X316" s="19">
        <f t="shared" si="134"/>
        <v>1160386910.2331495</v>
      </c>
      <c r="Y316" s="19">
        <f t="shared" si="134"/>
        <v>1162425484.6891224</v>
      </c>
      <c r="Z316" s="19">
        <f t="shared" si="134"/>
        <v>1177719354.6120837</v>
      </c>
    </row>
    <row r="317" spans="1:26">
      <c r="A317" s="14" t="s">
        <v>74</v>
      </c>
      <c r="B317" s="18">
        <f t="shared" si="134"/>
        <v>53244134</v>
      </c>
      <c r="C317" s="18">
        <f t="shared" si="134"/>
        <v>169416346</v>
      </c>
      <c r="D317" s="18">
        <f t="shared" si="134"/>
        <v>160656458</v>
      </c>
      <c r="E317" s="18">
        <f t="shared" si="134"/>
        <v>312989773</v>
      </c>
      <c r="F317" s="18">
        <f t="shared" si="134"/>
        <v>263744299</v>
      </c>
      <c r="G317" s="18">
        <f t="shared" si="134"/>
        <v>336500244</v>
      </c>
      <c r="H317" s="18">
        <f t="shared" si="134"/>
        <v>434426933</v>
      </c>
      <c r="I317" s="18">
        <f t="shared" si="134"/>
        <v>409982050</v>
      </c>
      <c r="J317" s="18">
        <f t="shared" si="134"/>
        <v>368446768</v>
      </c>
      <c r="K317" s="18">
        <f t="shared" si="134"/>
        <v>349743429</v>
      </c>
      <c r="L317" s="18">
        <f t="shared" si="134"/>
        <v>397695646</v>
      </c>
      <c r="M317" s="18">
        <f t="shared" si="134"/>
        <v>439030579</v>
      </c>
      <c r="N317" s="18">
        <f t="shared" si="134"/>
        <v>489645928</v>
      </c>
      <c r="O317" s="18">
        <f t="shared" si="134"/>
        <v>717728751</v>
      </c>
      <c r="P317" s="19">
        <f t="shared" si="134"/>
        <v>736941745</v>
      </c>
      <c r="Q317" s="19">
        <f t="shared" si="134"/>
        <v>633424930.24012375</v>
      </c>
      <c r="R317" s="19">
        <f t="shared" si="134"/>
        <v>655653469.48250639</v>
      </c>
      <c r="S317" s="19">
        <f t="shared" si="134"/>
        <v>780901701.32372379</v>
      </c>
      <c r="T317" s="19">
        <f t="shared" si="134"/>
        <v>789559714.81642747</v>
      </c>
      <c r="U317" s="19">
        <f t="shared" si="134"/>
        <v>885144825.75000954</v>
      </c>
      <c r="V317" s="19">
        <f t="shared" si="134"/>
        <v>299658873.41203523</v>
      </c>
      <c r="W317" s="19">
        <f t="shared" si="134"/>
        <v>11091547537.677328</v>
      </c>
      <c r="X317" s="19">
        <f t="shared" si="134"/>
        <v>-142278209918.78799</v>
      </c>
      <c r="Y317" s="19">
        <f t="shared" si="134"/>
        <v>1907124894563.7014</v>
      </c>
      <c r="Z317" s="19">
        <f t="shared" si="134"/>
        <v>-23697959433101.316</v>
      </c>
    </row>
    <row r="318" spans="1:26">
      <c r="A318" s="14" t="s">
        <v>75</v>
      </c>
      <c r="B318" s="18">
        <f t="shared" si="134"/>
        <v>65696803</v>
      </c>
      <c r="C318" s="18">
        <f t="shared" si="134"/>
        <v>188015989</v>
      </c>
      <c r="D318" s="18">
        <f t="shared" si="134"/>
        <v>149296782</v>
      </c>
      <c r="E318" s="18">
        <f t="shared" si="134"/>
        <v>314042003</v>
      </c>
      <c r="F318" s="18">
        <f t="shared" si="134"/>
        <v>229429691</v>
      </c>
      <c r="G318" s="18">
        <f t="shared" si="134"/>
        <v>285014415</v>
      </c>
      <c r="H318" s="18">
        <f t="shared" si="134"/>
        <v>438915771</v>
      </c>
      <c r="I318" s="18">
        <f t="shared" si="134"/>
        <v>351947393</v>
      </c>
      <c r="J318" s="18">
        <f t="shared" si="134"/>
        <v>346284269</v>
      </c>
      <c r="K318" s="18">
        <f t="shared" si="134"/>
        <v>354660647</v>
      </c>
      <c r="L318" s="18">
        <f t="shared" si="134"/>
        <v>448749923</v>
      </c>
      <c r="M318" s="18">
        <f t="shared" si="134"/>
        <v>407317903</v>
      </c>
      <c r="N318" s="18">
        <f t="shared" si="134"/>
        <v>530340777</v>
      </c>
      <c r="O318" s="18">
        <f t="shared" si="134"/>
        <v>691454594</v>
      </c>
      <c r="P318" s="19">
        <f t="shared" si="134"/>
        <v>774032537</v>
      </c>
      <c r="Q318" s="19">
        <f t="shared" si="134"/>
        <v>636920066.69262385</v>
      </c>
      <c r="R318" s="19">
        <f t="shared" si="134"/>
        <v>672617536.22521019</v>
      </c>
      <c r="S318" s="19">
        <f t="shared" si="134"/>
        <v>811701595.92944169</v>
      </c>
      <c r="T318" s="19">
        <f t="shared" si="134"/>
        <v>827577532.97262549</v>
      </c>
      <c r="U318" s="19">
        <f t="shared" si="134"/>
        <v>902771474.21691346</v>
      </c>
      <c r="V318" s="19">
        <f t="shared" si="134"/>
        <v>1020344742.170107</v>
      </c>
      <c r="W318" s="19">
        <f t="shared" si="134"/>
        <v>1108992859.0823741</v>
      </c>
      <c r="X318" s="19">
        <f t="shared" si="134"/>
        <v>1306496139.799468</v>
      </c>
      <c r="Y318" s="19">
        <f t="shared" si="134"/>
        <v>1313782281.3971176</v>
      </c>
      <c r="Z318" s="19">
        <f t="shared" si="134"/>
        <v>1341382921.0680025</v>
      </c>
    </row>
    <row r="319" spans="1:26">
      <c r="A319" s="14" t="s">
        <v>76</v>
      </c>
      <c r="B319" s="18">
        <f t="shared" si="134"/>
        <v>63155173</v>
      </c>
      <c r="C319" s="18">
        <f t="shared" si="134"/>
        <v>188793019</v>
      </c>
      <c r="D319" s="18">
        <f t="shared" si="134"/>
        <v>152917186</v>
      </c>
      <c r="E319" s="18">
        <f t="shared" si="134"/>
        <v>321141905</v>
      </c>
      <c r="F319" s="18">
        <f t="shared" si="134"/>
        <v>241195677</v>
      </c>
      <c r="G319" s="18">
        <f t="shared" si="134"/>
        <v>304095310</v>
      </c>
      <c r="H319" s="18">
        <f t="shared" si="134"/>
        <v>399592814</v>
      </c>
      <c r="I319" s="18">
        <f t="shared" si="134"/>
        <v>377239221</v>
      </c>
      <c r="J319" s="18">
        <f t="shared" si="134"/>
        <v>353939287</v>
      </c>
      <c r="K319" s="18">
        <f t="shared" si="134"/>
        <v>397853108</v>
      </c>
      <c r="L319" s="18">
        <f t="shared" si="134"/>
        <v>355254039</v>
      </c>
      <c r="M319" s="18">
        <f t="shared" si="134"/>
        <v>458000320</v>
      </c>
      <c r="N319" s="18">
        <f t="shared" si="134"/>
        <v>508143374</v>
      </c>
      <c r="O319" s="18">
        <f t="shared" si="134"/>
        <v>747117846</v>
      </c>
      <c r="P319" s="19">
        <f t="shared" si="134"/>
        <v>789952520</v>
      </c>
      <c r="Q319" s="19">
        <f t="shared" si="134"/>
        <v>667364228.49639714</v>
      </c>
      <c r="R319" s="19">
        <f t="shared" si="134"/>
        <v>718188291.09164906</v>
      </c>
      <c r="S319" s="19">
        <f t="shared" si="134"/>
        <v>860910945.18009889</v>
      </c>
      <c r="T319" s="19">
        <f t="shared" si="134"/>
        <v>879622580.78463018</v>
      </c>
      <c r="U319" s="19">
        <f t="shared" si="134"/>
        <v>963696765.14445949</v>
      </c>
      <c r="V319" s="19">
        <f t="shared" si="134"/>
        <v>700859867.93743956</v>
      </c>
      <c r="W319" s="19">
        <f t="shared" si="134"/>
        <v>6761249804.5378284</v>
      </c>
      <c r="X319" s="19">
        <f t="shared" si="134"/>
        <v>-78558251066.070236</v>
      </c>
      <c r="Y319" s="19">
        <f t="shared" si="134"/>
        <v>1062906578547.2872</v>
      </c>
      <c r="Z319" s="19">
        <f t="shared" si="134"/>
        <v>-13198406149065.438</v>
      </c>
    </row>
    <row r="320" spans="1:26">
      <c r="A320" s="14" t="s">
        <v>77</v>
      </c>
      <c r="B320" s="18">
        <f t="shared" si="134"/>
        <v>53362399</v>
      </c>
      <c r="C320" s="18">
        <f t="shared" si="134"/>
        <v>172019771</v>
      </c>
      <c r="D320" s="18">
        <f t="shared" si="134"/>
        <v>130208295</v>
      </c>
      <c r="E320" s="18">
        <f t="shared" si="134"/>
        <v>300332744</v>
      </c>
      <c r="F320" s="18">
        <f t="shared" si="134"/>
        <v>270600549</v>
      </c>
      <c r="G320" s="18">
        <f t="shared" ref="G320:Z320" si="135">G174+G238</f>
        <v>256762709</v>
      </c>
      <c r="H320" s="18">
        <f t="shared" si="135"/>
        <v>433736924</v>
      </c>
      <c r="I320" s="18">
        <f t="shared" si="135"/>
        <v>325003422</v>
      </c>
      <c r="J320" s="18">
        <f t="shared" si="135"/>
        <v>333591269</v>
      </c>
      <c r="K320" s="18">
        <f t="shared" si="135"/>
        <v>337262947</v>
      </c>
      <c r="L320" s="18">
        <f t="shared" si="135"/>
        <v>406323678</v>
      </c>
      <c r="M320" s="18">
        <f t="shared" si="135"/>
        <v>481942970</v>
      </c>
      <c r="N320" s="18">
        <f t="shared" si="135"/>
        <v>612574973</v>
      </c>
      <c r="O320" s="18">
        <f t="shared" si="135"/>
        <v>690346488</v>
      </c>
      <c r="P320" s="19">
        <f t="shared" si="135"/>
        <v>743127110</v>
      </c>
      <c r="Q320" s="19">
        <f t="shared" si="135"/>
        <v>686686785.91203701</v>
      </c>
      <c r="R320" s="19">
        <f t="shared" si="135"/>
        <v>778937293.79328406</v>
      </c>
      <c r="S320" s="19">
        <f t="shared" si="135"/>
        <v>917403609.43573654</v>
      </c>
      <c r="T320" s="19">
        <f t="shared" si="135"/>
        <v>928161972.79143047</v>
      </c>
      <c r="U320" s="19">
        <f t="shared" si="135"/>
        <v>1002751658.3837944</v>
      </c>
      <c r="V320" s="19">
        <f t="shared" si="135"/>
        <v>766560771.22769296</v>
      </c>
      <c r="W320" s="19">
        <f t="shared" si="135"/>
        <v>6359065811.2393532</v>
      </c>
      <c r="X320" s="19">
        <f t="shared" si="135"/>
        <v>-72261446833.371231</v>
      </c>
      <c r="Y320" s="19">
        <f t="shared" si="135"/>
        <v>979874828150.24048</v>
      </c>
      <c r="Z320" s="19">
        <f t="shared" si="135"/>
        <v>-12165423708691.65</v>
      </c>
    </row>
    <row r="321" spans="1:35">
      <c r="A321" s="14" t="s">
        <v>78</v>
      </c>
      <c r="B321" s="18">
        <f t="shared" ref="B321:Z321" si="136">B175+B239</f>
        <v>56724229</v>
      </c>
      <c r="C321" s="18">
        <f t="shared" si="136"/>
        <v>252560811</v>
      </c>
      <c r="D321" s="18">
        <f t="shared" si="136"/>
        <v>102354801</v>
      </c>
      <c r="E321" s="18">
        <f t="shared" si="136"/>
        <v>384627133</v>
      </c>
      <c r="F321" s="18">
        <f t="shared" si="136"/>
        <v>367733927</v>
      </c>
      <c r="G321" s="18">
        <f t="shared" si="136"/>
        <v>293384415</v>
      </c>
      <c r="H321" s="18">
        <f t="shared" si="136"/>
        <v>564662388</v>
      </c>
      <c r="I321" s="18">
        <f t="shared" si="136"/>
        <v>387308814</v>
      </c>
      <c r="J321" s="18">
        <f t="shared" si="136"/>
        <v>460964999</v>
      </c>
      <c r="K321" s="18">
        <f t="shared" si="136"/>
        <v>404441115</v>
      </c>
      <c r="L321" s="18">
        <f t="shared" si="136"/>
        <v>472150869</v>
      </c>
      <c r="M321" s="18">
        <f t="shared" si="136"/>
        <v>610717353</v>
      </c>
      <c r="N321" s="18">
        <f t="shared" si="136"/>
        <v>618457476</v>
      </c>
      <c r="O321" s="18">
        <f t="shared" si="136"/>
        <v>854075799</v>
      </c>
      <c r="P321" s="19">
        <f t="shared" si="136"/>
        <v>908785932</v>
      </c>
      <c r="Q321" s="19">
        <f t="shared" si="136"/>
        <v>1153156346.8421588</v>
      </c>
      <c r="R321" s="19">
        <f t="shared" si="136"/>
        <v>912754167.12434113</v>
      </c>
      <c r="S321" s="19">
        <f t="shared" si="136"/>
        <v>1061180573.8503361</v>
      </c>
      <c r="T321" s="19">
        <f t="shared" si="136"/>
        <v>1075611469.3985214</v>
      </c>
      <c r="U321" s="19">
        <f t="shared" si="136"/>
        <v>1079303939.9115868</v>
      </c>
      <c r="V321" s="19">
        <f t="shared" si="136"/>
        <v>2633700742.5240135</v>
      </c>
      <c r="W321" s="19">
        <f t="shared" si="136"/>
        <v>-19498146541.437931</v>
      </c>
      <c r="X321" s="19">
        <f t="shared" si="136"/>
        <v>298624354218.79504</v>
      </c>
      <c r="Y321" s="19">
        <f t="shared" si="136"/>
        <v>-3944401786189.415</v>
      </c>
      <c r="Z321" s="19">
        <f t="shared" si="136"/>
        <v>49067368556092.25</v>
      </c>
      <c r="AA321" s="31"/>
    </row>
    <row r="322" spans="1:35">
      <c r="A322" s="14" t="s">
        <v>29</v>
      </c>
      <c r="B322" s="18">
        <f>SUM(B310:B321)</f>
        <v>354827372</v>
      </c>
      <c r="C322" s="18">
        <f t="shared" ref="C322:Z322" si="137">SUM(C310:C321)</f>
        <v>1725077543</v>
      </c>
      <c r="D322" s="18">
        <f t="shared" si="137"/>
        <v>1758985389</v>
      </c>
      <c r="E322" s="18">
        <f t="shared" si="137"/>
        <v>3062172363</v>
      </c>
      <c r="F322" s="18">
        <f t="shared" si="137"/>
        <v>3061744085</v>
      </c>
      <c r="G322" s="18">
        <f t="shared" si="137"/>
        <v>3256847061</v>
      </c>
      <c r="H322" s="18">
        <f t="shared" si="137"/>
        <v>4466722582</v>
      </c>
      <c r="I322" s="18">
        <f t="shared" si="137"/>
        <v>4101619395</v>
      </c>
      <c r="J322" s="18">
        <f t="shared" si="137"/>
        <v>4093819653</v>
      </c>
      <c r="K322" s="18">
        <f t="shared" si="137"/>
        <v>4401266910</v>
      </c>
      <c r="L322" s="18">
        <f t="shared" si="137"/>
        <v>4703138630</v>
      </c>
      <c r="M322" s="18">
        <f t="shared" si="137"/>
        <v>5110779134</v>
      </c>
      <c r="N322" s="18">
        <f t="shared" si="137"/>
        <v>6038417704</v>
      </c>
      <c r="O322" s="18">
        <f t="shared" si="137"/>
        <v>8199248445</v>
      </c>
      <c r="P322" s="19">
        <f t="shared" si="137"/>
        <v>9272974553</v>
      </c>
      <c r="Q322" s="19">
        <f t="shared" si="137"/>
        <v>7827525297.9545975</v>
      </c>
      <c r="R322" s="19">
        <f t="shared" si="137"/>
        <v>8046986578.7303057</v>
      </c>
      <c r="S322" s="19">
        <f t="shared" si="137"/>
        <v>9407801830.2774162</v>
      </c>
      <c r="T322" s="19">
        <f t="shared" si="137"/>
        <v>9495441935.8350487</v>
      </c>
      <c r="U322" s="19">
        <f t="shared" si="137"/>
        <v>10159703660.736343</v>
      </c>
      <c r="V322" s="19">
        <f t="shared" si="137"/>
        <v>11256413164.749729</v>
      </c>
      <c r="W322" s="19">
        <f t="shared" si="137"/>
        <v>12159046223.361183</v>
      </c>
      <c r="X322" s="19">
        <f t="shared" si="137"/>
        <v>14212155907.527954</v>
      </c>
      <c r="Y322" s="19">
        <f t="shared" si="137"/>
        <v>14220502030.084961</v>
      </c>
      <c r="Z322" s="19">
        <f t="shared" si="137"/>
        <v>14378045714.445313</v>
      </c>
      <c r="AA322" s="31"/>
    </row>
    <row r="323" spans="1:35">
      <c r="M323" s="25"/>
      <c r="N323" s="25"/>
      <c r="O323" s="25"/>
      <c r="P323" s="25"/>
      <c r="Q323" s="25"/>
    </row>
    <row r="324" spans="1:35">
      <c r="M324" s="25"/>
      <c r="N324" s="25"/>
      <c r="O324" s="25"/>
      <c r="P324" s="25"/>
      <c r="Q324" s="25"/>
    </row>
    <row r="326" spans="1:35" ht="15.75">
      <c r="A326" s="15" t="s">
        <v>86</v>
      </c>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B326" s="16"/>
      <c r="AC326" s="16"/>
      <c r="AD326" s="16"/>
      <c r="AE326" s="16"/>
      <c r="AF326" s="16"/>
      <c r="AG326" s="16"/>
      <c r="AH326" s="16"/>
      <c r="AI326" s="16"/>
    </row>
    <row r="327" spans="1:35">
      <c r="B327" s="14">
        <f t="shared" ref="B327:Z327" si="138">B3</f>
        <v>2010</v>
      </c>
      <c r="C327" s="14">
        <f t="shared" si="138"/>
        <v>2011</v>
      </c>
      <c r="D327" s="14">
        <f t="shared" si="138"/>
        <v>2012</v>
      </c>
      <c r="E327" s="14">
        <f t="shared" si="138"/>
        <v>2013</v>
      </c>
      <c r="F327" s="14">
        <f t="shared" si="138"/>
        <v>2014</v>
      </c>
      <c r="G327" s="14">
        <f t="shared" si="138"/>
        <v>2015</v>
      </c>
      <c r="H327" s="14">
        <f t="shared" si="138"/>
        <v>2016</v>
      </c>
      <c r="I327" s="14">
        <f t="shared" si="138"/>
        <v>2017</v>
      </c>
      <c r="J327" s="14">
        <f t="shared" si="138"/>
        <v>2018</v>
      </c>
      <c r="K327" s="14">
        <f t="shared" si="138"/>
        <v>2019</v>
      </c>
      <c r="L327" s="14">
        <f t="shared" si="138"/>
        <v>2020</v>
      </c>
      <c r="M327" s="14">
        <f t="shared" si="138"/>
        <v>2021</v>
      </c>
      <c r="N327" s="14">
        <f t="shared" si="138"/>
        <v>2022</v>
      </c>
      <c r="O327" s="14">
        <f t="shared" si="138"/>
        <v>2023</v>
      </c>
      <c r="P327" s="14">
        <f t="shared" si="138"/>
        <v>2024</v>
      </c>
      <c r="Q327" s="14">
        <f t="shared" si="138"/>
        <v>2025</v>
      </c>
      <c r="R327" s="14">
        <f t="shared" si="138"/>
        <v>2026</v>
      </c>
      <c r="S327" s="14">
        <f t="shared" si="138"/>
        <v>2027</v>
      </c>
      <c r="T327" s="14">
        <f t="shared" si="138"/>
        <v>2028</v>
      </c>
      <c r="U327" s="14">
        <f t="shared" si="138"/>
        <v>2029</v>
      </c>
      <c r="V327" s="14">
        <f t="shared" si="138"/>
        <v>2030</v>
      </c>
      <c r="W327" s="14">
        <f t="shared" si="138"/>
        <v>2031</v>
      </c>
      <c r="X327" s="14">
        <f t="shared" si="138"/>
        <v>2032</v>
      </c>
      <c r="Y327" s="14">
        <f t="shared" si="138"/>
        <v>2033</v>
      </c>
      <c r="Z327" s="14">
        <f t="shared" si="138"/>
        <v>2034</v>
      </c>
      <c r="AD327" s="14" t="s">
        <v>37</v>
      </c>
      <c r="AE327" s="14" t="s">
        <v>38</v>
      </c>
      <c r="AF327" s="14" t="s">
        <v>39</v>
      </c>
      <c r="AG327" s="14" t="s">
        <v>40</v>
      </c>
      <c r="AH327" s="14" t="s">
        <v>41</v>
      </c>
      <c r="AI327" s="14" t="s">
        <v>42</v>
      </c>
    </row>
    <row r="328" spans="1:35">
      <c r="A328" s="14" t="s">
        <v>68</v>
      </c>
      <c r="B328" s="18">
        <f t="shared" ref="B328:Z338" si="139">B180+B244</f>
        <v>0</v>
      </c>
      <c r="C328" s="18">
        <f t="shared" si="139"/>
        <v>56828200</v>
      </c>
      <c r="D328" s="18">
        <f t="shared" si="139"/>
        <v>97340233</v>
      </c>
      <c r="E328" s="18">
        <f t="shared" si="139"/>
        <v>108859685</v>
      </c>
      <c r="F328" s="18">
        <f t="shared" si="139"/>
        <v>102540448</v>
      </c>
      <c r="G328" s="18">
        <f t="shared" si="139"/>
        <v>113547311</v>
      </c>
      <c r="H328" s="18">
        <f t="shared" si="139"/>
        <v>148347873</v>
      </c>
      <c r="I328" s="18">
        <f t="shared" si="139"/>
        <v>130668543</v>
      </c>
      <c r="J328" s="18">
        <f t="shared" si="139"/>
        <v>189142742</v>
      </c>
      <c r="K328" s="18">
        <f t="shared" si="139"/>
        <v>223744957</v>
      </c>
      <c r="L328" s="18">
        <f t="shared" si="139"/>
        <v>248807398</v>
      </c>
      <c r="M328" s="18">
        <f t="shared" si="139"/>
        <v>246882543</v>
      </c>
      <c r="N328" s="18">
        <f t="shared" si="139"/>
        <v>284393725</v>
      </c>
      <c r="O328" s="18">
        <f t="shared" si="139"/>
        <v>428554524</v>
      </c>
      <c r="P328" s="18">
        <f t="shared" si="139"/>
        <v>570063283</v>
      </c>
      <c r="Q328" s="19">
        <f t="shared" si="139"/>
        <v>472847732</v>
      </c>
      <c r="R328" s="19">
        <f t="shared" si="139"/>
        <v>466538657.26379025</v>
      </c>
      <c r="S328" s="18">
        <f t="shared" si="139"/>
        <v>529161917.66866148</v>
      </c>
      <c r="T328" s="18">
        <f t="shared" si="139"/>
        <v>531307936.31072378</v>
      </c>
      <c r="U328" s="18">
        <f t="shared" si="139"/>
        <v>562685801.08858538</v>
      </c>
      <c r="V328" s="18">
        <f t="shared" si="139"/>
        <v>615630435.20535827</v>
      </c>
      <c r="W328" s="18">
        <f t="shared" si="139"/>
        <v>677941308.06920385</v>
      </c>
      <c r="X328" s="18">
        <f t="shared" si="139"/>
        <v>800630078.15051651</v>
      </c>
      <c r="Y328" s="18">
        <f t="shared" si="139"/>
        <v>830162214.37482202</v>
      </c>
      <c r="Z328" s="18">
        <f t="shared" si="139"/>
        <v>821363430.46697676</v>
      </c>
      <c r="AD328" s="18">
        <f>AVERAGE(J328:N328)</f>
        <v>238594273</v>
      </c>
      <c r="AE328" s="18">
        <f>O328-AD328</f>
        <v>189960251</v>
      </c>
      <c r="AF328" s="18">
        <f t="shared" ref="AF328:AF339" si="140">O328-N328</f>
        <v>144160799</v>
      </c>
      <c r="AG328" s="18">
        <f>O328/31</f>
        <v>13824339.483870968</v>
      </c>
      <c r="AH328" s="18">
        <f>AD328/31</f>
        <v>7696589.4516129028</v>
      </c>
      <c r="AI328" s="18">
        <f>AG328-AH328</f>
        <v>6127750.0322580654</v>
      </c>
    </row>
    <row r="329" spans="1:35">
      <c r="A329" s="14" t="s">
        <v>69</v>
      </c>
      <c r="B329" s="18">
        <f t="shared" si="139"/>
        <v>0</v>
      </c>
      <c r="C329" s="18">
        <f t="shared" si="139"/>
        <v>64196799</v>
      </c>
      <c r="D329" s="18">
        <f t="shared" si="139"/>
        <v>114673806</v>
      </c>
      <c r="E329" s="18">
        <f t="shared" si="139"/>
        <v>113918283</v>
      </c>
      <c r="F329" s="18">
        <f t="shared" si="139"/>
        <v>125599964</v>
      </c>
      <c r="G329" s="18">
        <f t="shared" si="139"/>
        <v>117154232</v>
      </c>
      <c r="H329" s="18">
        <f t="shared" si="139"/>
        <v>163108133</v>
      </c>
      <c r="I329" s="18">
        <f t="shared" si="139"/>
        <v>153678887</v>
      </c>
      <c r="J329" s="18">
        <f t="shared" si="139"/>
        <v>210272724</v>
      </c>
      <c r="K329" s="18">
        <f t="shared" si="139"/>
        <v>244480743</v>
      </c>
      <c r="L329" s="18">
        <f t="shared" si="139"/>
        <v>255463052</v>
      </c>
      <c r="M329" s="18">
        <f t="shared" si="139"/>
        <v>252116954</v>
      </c>
      <c r="N329" s="18">
        <f t="shared" si="139"/>
        <v>339112034</v>
      </c>
      <c r="O329" s="18">
        <f t="shared" si="139"/>
        <v>410751506</v>
      </c>
      <c r="P329" s="18">
        <f t="shared" si="139"/>
        <v>577504831</v>
      </c>
      <c r="Q329" s="19">
        <f t="shared" si="139"/>
        <v>439084489</v>
      </c>
      <c r="R329" s="19">
        <f t="shared" si="139"/>
        <v>523418629.82217175</v>
      </c>
      <c r="S329" s="18">
        <f t="shared" si="139"/>
        <v>630188364.02845955</v>
      </c>
      <c r="T329" s="18">
        <f t="shared" si="139"/>
        <v>646667539.81660068</v>
      </c>
      <c r="U329" s="18">
        <f t="shared" si="139"/>
        <v>708689532.48371506</v>
      </c>
      <c r="V329" s="18">
        <f t="shared" si="139"/>
        <v>801378260.61557889</v>
      </c>
      <c r="W329" s="18">
        <f t="shared" si="139"/>
        <v>889761678.37412655</v>
      </c>
      <c r="X329" s="18">
        <f t="shared" si="139"/>
        <v>1063965582.2678037</v>
      </c>
      <c r="Y329" s="18">
        <f t="shared" si="139"/>
        <v>1071900129.1498467</v>
      </c>
      <c r="Z329" s="18">
        <f t="shared" si="139"/>
        <v>1094780636.6456168</v>
      </c>
      <c r="AD329" s="18">
        <f t="shared" ref="AD329:AD340" si="141">AVERAGE(J329:N329)</f>
        <v>260289101.40000001</v>
      </c>
      <c r="AE329" s="18">
        <f t="shared" ref="AE329:AE340" si="142">O329-AD329</f>
        <v>150462404.59999999</v>
      </c>
      <c r="AF329" s="18">
        <f t="shared" si="140"/>
        <v>71639472</v>
      </c>
      <c r="AG329" s="18">
        <f>O329/28</f>
        <v>14669696.642857144</v>
      </c>
      <c r="AH329" s="18">
        <f>AD329/28</f>
        <v>9296039.3357142862</v>
      </c>
      <c r="AI329" s="18">
        <f t="shared" ref="AI329:AI339" si="143">AG329-AH329</f>
        <v>5373657.3071428575</v>
      </c>
    </row>
    <row r="330" spans="1:35">
      <c r="A330" s="14" t="s">
        <v>70</v>
      </c>
      <c r="B330" s="18">
        <f t="shared" si="139"/>
        <v>0</v>
      </c>
      <c r="C330" s="18">
        <f t="shared" si="139"/>
        <v>100508909</v>
      </c>
      <c r="D330" s="18">
        <f t="shared" si="139"/>
        <v>151682423</v>
      </c>
      <c r="E330" s="18">
        <f t="shared" si="139"/>
        <v>154660929</v>
      </c>
      <c r="F330" s="18">
        <f t="shared" si="139"/>
        <v>161524231</v>
      </c>
      <c r="G330" s="18">
        <f t="shared" si="139"/>
        <v>165886739</v>
      </c>
      <c r="H330" s="18">
        <f t="shared" si="139"/>
        <v>220609356</v>
      </c>
      <c r="I330" s="18">
        <f t="shared" si="139"/>
        <v>194385086</v>
      </c>
      <c r="J330" s="18">
        <f t="shared" si="139"/>
        <v>260514065</v>
      </c>
      <c r="K330" s="18">
        <f t="shared" si="139"/>
        <v>282433449</v>
      </c>
      <c r="L330" s="18">
        <f t="shared" si="139"/>
        <v>302297433</v>
      </c>
      <c r="M330" s="18">
        <f t="shared" si="139"/>
        <v>326474450</v>
      </c>
      <c r="N330" s="18">
        <f t="shared" si="139"/>
        <v>391900667</v>
      </c>
      <c r="O330" s="18">
        <f t="shared" si="139"/>
        <v>506633031</v>
      </c>
      <c r="P330" s="18">
        <f t="shared" si="139"/>
        <v>565061754</v>
      </c>
      <c r="Q330" s="19">
        <f t="shared" si="139"/>
        <v>533924682</v>
      </c>
      <c r="R330" s="19">
        <f t="shared" si="139"/>
        <v>532733970.8749004</v>
      </c>
      <c r="S330" s="18">
        <f t="shared" si="139"/>
        <v>599547233.33609986</v>
      </c>
      <c r="T330" s="18">
        <f t="shared" si="139"/>
        <v>586692521.61438489</v>
      </c>
      <c r="U330" s="18">
        <f t="shared" si="139"/>
        <v>612118534.00516677</v>
      </c>
      <c r="V330" s="18">
        <f t="shared" si="139"/>
        <v>659410350.77790868</v>
      </c>
      <c r="W330" s="18">
        <f t="shared" si="139"/>
        <v>718382138.33328414</v>
      </c>
      <c r="X330" s="18">
        <f t="shared" si="139"/>
        <v>842533822.95752513</v>
      </c>
      <c r="Y330" s="18">
        <f t="shared" si="139"/>
        <v>836677194.79392302</v>
      </c>
      <c r="Z330" s="18">
        <f t="shared" si="139"/>
        <v>834064662.48954153</v>
      </c>
      <c r="AD330" s="18">
        <f t="shared" si="141"/>
        <v>312724012.80000001</v>
      </c>
      <c r="AE330" s="18">
        <f t="shared" si="142"/>
        <v>193909018.19999999</v>
      </c>
      <c r="AF330" s="18">
        <f t="shared" si="140"/>
        <v>114732364</v>
      </c>
      <c r="AG330" s="18">
        <f>O330/31</f>
        <v>16343001</v>
      </c>
      <c r="AH330" s="18">
        <f>AD330/31</f>
        <v>10087871.380645161</v>
      </c>
      <c r="AI330" s="18">
        <f t="shared" si="143"/>
        <v>6255129.6193548385</v>
      </c>
    </row>
    <row r="331" spans="1:35">
      <c r="A331" s="14" t="s">
        <v>71</v>
      </c>
      <c r="B331" s="18">
        <f t="shared" si="139"/>
        <v>0</v>
      </c>
      <c r="C331" s="18">
        <f t="shared" si="139"/>
        <v>108737756</v>
      </c>
      <c r="D331" s="18">
        <f t="shared" si="139"/>
        <v>144700004</v>
      </c>
      <c r="E331" s="18">
        <f t="shared" si="139"/>
        <v>169344637</v>
      </c>
      <c r="F331" s="18">
        <f t="shared" si="139"/>
        <v>178242474</v>
      </c>
      <c r="G331" s="18">
        <f t="shared" si="139"/>
        <v>186441809</v>
      </c>
      <c r="H331" s="18">
        <f t="shared" si="139"/>
        <v>225532924</v>
      </c>
      <c r="I331" s="18">
        <f t="shared" si="139"/>
        <v>221174243</v>
      </c>
      <c r="J331" s="18">
        <f t="shared" si="139"/>
        <v>260920898</v>
      </c>
      <c r="K331" s="18">
        <f t="shared" si="139"/>
        <v>307129814</v>
      </c>
      <c r="L331" s="18">
        <f t="shared" si="139"/>
        <v>290902139</v>
      </c>
      <c r="M331" s="18">
        <f t="shared" si="139"/>
        <v>302969712</v>
      </c>
      <c r="N331" s="18">
        <f t="shared" si="139"/>
        <v>397857872</v>
      </c>
      <c r="O331" s="18">
        <f t="shared" si="139"/>
        <v>494764774</v>
      </c>
      <c r="P331" s="18">
        <f t="shared" si="139"/>
        <v>683035588</v>
      </c>
      <c r="Q331" s="19">
        <f t="shared" si="139"/>
        <v>548891144.93545258</v>
      </c>
      <c r="R331" s="19">
        <f t="shared" si="139"/>
        <v>541594234.25726748</v>
      </c>
      <c r="S331" s="18">
        <f t="shared" si="139"/>
        <v>630818962.82736397</v>
      </c>
      <c r="T331" s="18">
        <f t="shared" si="139"/>
        <v>624071906.75016463</v>
      </c>
      <c r="U331" s="18">
        <f t="shared" si="139"/>
        <v>672955525.56211376</v>
      </c>
      <c r="V331" s="18">
        <f t="shared" si="139"/>
        <v>742865278.18898594</v>
      </c>
      <c r="W331" s="18">
        <f t="shared" si="139"/>
        <v>806763528.80129075</v>
      </c>
      <c r="X331" s="18">
        <f t="shared" si="139"/>
        <v>953317780.50291777</v>
      </c>
      <c r="Y331" s="18">
        <f t="shared" si="139"/>
        <v>951927802.07466483</v>
      </c>
      <c r="Z331" s="18">
        <f t="shared" si="139"/>
        <v>959514219.91838837</v>
      </c>
      <c r="AD331" s="18">
        <f t="shared" si="141"/>
        <v>311956087</v>
      </c>
      <c r="AE331" s="18">
        <f t="shared" si="142"/>
        <v>182808687</v>
      </c>
      <c r="AF331" s="18">
        <f t="shared" si="140"/>
        <v>96906902</v>
      </c>
      <c r="AG331" s="18">
        <f>O331/30</f>
        <v>16492159.133333333</v>
      </c>
      <c r="AH331" s="18">
        <f>AD331/30</f>
        <v>10398536.233333332</v>
      </c>
      <c r="AI331" s="18">
        <f t="shared" si="143"/>
        <v>6093622.9000000004</v>
      </c>
    </row>
    <row r="332" spans="1:35">
      <c r="A332" s="14" t="s">
        <v>47</v>
      </c>
      <c r="B332" s="18">
        <f t="shared" si="139"/>
        <v>0</v>
      </c>
      <c r="C332" s="18">
        <f t="shared" si="139"/>
        <v>129117999</v>
      </c>
      <c r="D332" s="18">
        <f t="shared" si="139"/>
        <v>167463867</v>
      </c>
      <c r="E332" s="18">
        <f t="shared" si="139"/>
        <v>183151973</v>
      </c>
      <c r="F332" s="18">
        <f t="shared" si="139"/>
        <v>193042899</v>
      </c>
      <c r="G332" s="18">
        <f t="shared" si="139"/>
        <v>208999926</v>
      </c>
      <c r="H332" s="18">
        <f t="shared" si="139"/>
        <v>240219149</v>
      </c>
      <c r="I332" s="18">
        <f t="shared" si="139"/>
        <v>262216082</v>
      </c>
      <c r="J332" s="18">
        <f t="shared" si="139"/>
        <v>285985097</v>
      </c>
      <c r="K332" s="18">
        <f t="shared" si="139"/>
        <v>314972501</v>
      </c>
      <c r="L332" s="18">
        <f t="shared" si="139"/>
        <v>293680504</v>
      </c>
      <c r="M332" s="18">
        <f t="shared" si="139"/>
        <v>328131166</v>
      </c>
      <c r="N332" s="18">
        <f t="shared" si="139"/>
        <v>441346908</v>
      </c>
      <c r="O332" s="18">
        <f t="shared" si="139"/>
        <v>631329764</v>
      </c>
      <c r="P332" s="18">
        <f t="shared" si="139"/>
        <v>592980262</v>
      </c>
      <c r="Q332" s="19">
        <f t="shared" si="139"/>
        <v>555427771.21748888</v>
      </c>
      <c r="R332" s="19">
        <f t="shared" si="139"/>
        <v>601258801.73251784</v>
      </c>
      <c r="S332" s="18">
        <f t="shared" si="139"/>
        <v>713335634.16709161</v>
      </c>
      <c r="T332" s="18">
        <f t="shared" si="139"/>
        <v>715027159.74768591</v>
      </c>
      <c r="U332" s="18">
        <f t="shared" si="139"/>
        <v>770934524.04079413</v>
      </c>
      <c r="V332" s="18">
        <f t="shared" si="139"/>
        <v>859414132.1291039</v>
      </c>
      <c r="W332" s="18">
        <f t="shared" si="139"/>
        <v>938141191.64093053</v>
      </c>
      <c r="X332" s="18">
        <f t="shared" si="139"/>
        <v>1113540401.9518657</v>
      </c>
      <c r="Y332" s="18">
        <f t="shared" si="139"/>
        <v>1115058046.1699338</v>
      </c>
      <c r="Z332" s="18">
        <f t="shared" si="139"/>
        <v>1128275662.1600695</v>
      </c>
      <c r="AD332" s="18">
        <f t="shared" si="141"/>
        <v>332823235.19999999</v>
      </c>
      <c r="AE332" s="18">
        <f t="shared" si="142"/>
        <v>298506528.80000001</v>
      </c>
      <c r="AF332" s="18">
        <f t="shared" si="140"/>
        <v>189982856</v>
      </c>
      <c r="AG332" s="18">
        <f>O332/31</f>
        <v>20365476.258064516</v>
      </c>
      <c r="AH332" s="18">
        <f>AD332/31</f>
        <v>10736233.393548386</v>
      </c>
      <c r="AI332" s="18">
        <f t="shared" si="143"/>
        <v>9629242.8645161297</v>
      </c>
    </row>
    <row r="333" spans="1:35">
      <c r="A333" s="14" t="s">
        <v>72</v>
      </c>
      <c r="B333" s="18">
        <f t="shared" si="139"/>
        <v>0</v>
      </c>
      <c r="C333" s="18">
        <f t="shared" si="139"/>
        <v>124874846</v>
      </c>
      <c r="D333" s="18">
        <f t="shared" si="139"/>
        <v>165933251</v>
      </c>
      <c r="E333" s="18">
        <f t="shared" si="139"/>
        <v>188528567</v>
      </c>
      <c r="F333" s="18">
        <f t="shared" si="139"/>
        <v>197064837</v>
      </c>
      <c r="G333" s="18">
        <f t="shared" si="139"/>
        <v>220845827</v>
      </c>
      <c r="H333" s="18">
        <f t="shared" si="139"/>
        <v>252261739</v>
      </c>
      <c r="I333" s="18">
        <f t="shared" si="139"/>
        <v>247817333</v>
      </c>
      <c r="J333" s="18">
        <f t="shared" si="139"/>
        <v>262018673</v>
      </c>
      <c r="K333" s="18">
        <f t="shared" si="139"/>
        <v>283973201</v>
      </c>
      <c r="L333" s="18">
        <f t="shared" si="139"/>
        <v>339234032</v>
      </c>
      <c r="M333" s="18">
        <f t="shared" si="139"/>
        <v>349107686</v>
      </c>
      <c r="N333" s="18">
        <f t="shared" si="139"/>
        <v>412675195</v>
      </c>
      <c r="O333" s="18">
        <f t="shared" si="139"/>
        <v>570714651</v>
      </c>
      <c r="P333" s="18">
        <f t="shared" si="139"/>
        <v>681891342</v>
      </c>
      <c r="Q333" s="19">
        <f t="shared" si="139"/>
        <v>553260650.05761707</v>
      </c>
      <c r="R333" s="19">
        <f t="shared" si="139"/>
        <v>596065642.60697114</v>
      </c>
      <c r="S333" s="18">
        <f t="shared" si="139"/>
        <v>702681287.87684643</v>
      </c>
      <c r="T333" s="18">
        <f t="shared" si="139"/>
        <v>704622854.85219622</v>
      </c>
      <c r="U333" s="18">
        <f t="shared" si="139"/>
        <v>754649597.74167955</v>
      </c>
      <c r="V333" s="18">
        <f t="shared" si="139"/>
        <v>841570186.80618417</v>
      </c>
      <c r="W333" s="18">
        <f t="shared" si="139"/>
        <v>916752351.65801144</v>
      </c>
      <c r="X333" s="18">
        <f t="shared" si="139"/>
        <v>1087258307.5924537</v>
      </c>
      <c r="Y333" s="18">
        <f t="shared" si="139"/>
        <v>1088353696.2763672</v>
      </c>
      <c r="Z333" s="18">
        <f t="shared" si="139"/>
        <v>1100567497.4948306</v>
      </c>
      <c r="AD333" s="23">
        <f t="shared" si="141"/>
        <v>329401757.39999998</v>
      </c>
      <c r="AE333" s="23">
        <f t="shared" si="142"/>
        <v>241312893.60000002</v>
      </c>
      <c r="AF333" s="23">
        <f t="shared" si="140"/>
        <v>158039456</v>
      </c>
      <c r="AG333" s="23">
        <f>O333/30</f>
        <v>19023821.699999999</v>
      </c>
      <c r="AH333" s="23">
        <f>AD333/30</f>
        <v>10980058.58</v>
      </c>
      <c r="AI333" s="23">
        <f t="shared" si="143"/>
        <v>8043763.1199999992</v>
      </c>
    </row>
    <row r="334" spans="1:35">
      <c r="A334" s="14" t="s">
        <v>73</v>
      </c>
      <c r="B334" s="18">
        <f t="shared" si="139"/>
        <v>60578518</v>
      </c>
      <c r="C334" s="18">
        <f t="shared" si="139"/>
        <v>141367453</v>
      </c>
      <c r="D334" s="18">
        <f t="shared" si="139"/>
        <v>156538323</v>
      </c>
      <c r="E334" s="18">
        <f t="shared" si="139"/>
        <v>218341161</v>
      </c>
      <c r="F334" s="18">
        <f t="shared" si="139"/>
        <v>216128675</v>
      </c>
      <c r="G334" s="18">
        <f t="shared" si="139"/>
        <v>220100593</v>
      </c>
      <c r="H334" s="18">
        <f t="shared" si="139"/>
        <v>240131540</v>
      </c>
      <c r="I334" s="18">
        <f t="shared" si="139"/>
        <v>258967206</v>
      </c>
      <c r="J334" s="18">
        <f t="shared" si="139"/>
        <v>272696572</v>
      </c>
      <c r="K334" s="18">
        <f t="shared" si="139"/>
        <v>333009065</v>
      </c>
      <c r="L334" s="18">
        <f t="shared" si="139"/>
        <v>324966624</v>
      </c>
      <c r="M334" s="18">
        <f t="shared" si="139"/>
        <v>339539171</v>
      </c>
      <c r="N334" s="18">
        <f t="shared" si="139"/>
        <v>392681173</v>
      </c>
      <c r="O334" s="18">
        <f t="shared" si="139"/>
        <v>522378724</v>
      </c>
      <c r="P334" s="19">
        <f t="shared" si="139"/>
        <v>713455879</v>
      </c>
      <c r="Q334" s="19">
        <f t="shared" si="139"/>
        <v>543478517.74459743</v>
      </c>
      <c r="R334" s="19">
        <f t="shared" si="139"/>
        <v>587066978.37234151</v>
      </c>
      <c r="S334" s="18">
        <f t="shared" si="139"/>
        <v>698893594.92000222</v>
      </c>
      <c r="T334" s="18">
        <f t="shared" si="139"/>
        <v>704064199.34643602</v>
      </c>
      <c r="U334" s="18">
        <f t="shared" si="139"/>
        <v>763296496.89660728</v>
      </c>
      <c r="V334" s="18">
        <f t="shared" si="139"/>
        <v>852143133.50460589</v>
      </c>
      <c r="W334" s="18">
        <f t="shared" si="139"/>
        <v>930812085.20383871</v>
      </c>
      <c r="X334" s="18">
        <f t="shared" si="139"/>
        <v>1106397456.3446412</v>
      </c>
      <c r="Y334" s="18">
        <f t="shared" si="139"/>
        <v>1109229224.5651457</v>
      </c>
      <c r="Z334" s="18">
        <f t="shared" si="139"/>
        <v>1124672327.0807266</v>
      </c>
      <c r="AD334" s="18">
        <f t="shared" si="141"/>
        <v>332578521</v>
      </c>
      <c r="AE334" s="19">
        <f t="shared" si="142"/>
        <v>189800203</v>
      </c>
      <c r="AF334" s="19">
        <f t="shared" si="140"/>
        <v>129697551</v>
      </c>
      <c r="AG334" s="19">
        <f>O334/31</f>
        <v>16850926.580645163</v>
      </c>
      <c r="AH334" s="18">
        <f>AD334/31</f>
        <v>10728339.387096774</v>
      </c>
      <c r="AI334" s="19">
        <f t="shared" si="143"/>
        <v>6122587.1935483888</v>
      </c>
    </row>
    <row r="335" spans="1:35">
      <c r="A335" s="14" t="s">
        <v>74</v>
      </c>
      <c r="B335" s="18">
        <f t="shared" si="139"/>
        <v>49770881</v>
      </c>
      <c r="C335" s="18">
        <f t="shared" si="139"/>
        <v>165540559</v>
      </c>
      <c r="D335" s="18">
        <f t="shared" si="139"/>
        <v>153804912</v>
      </c>
      <c r="E335" s="18">
        <f t="shared" si="139"/>
        <v>220046270</v>
      </c>
      <c r="F335" s="18">
        <f t="shared" si="139"/>
        <v>194604975</v>
      </c>
      <c r="G335" s="18">
        <f t="shared" si="139"/>
        <v>214055814</v>
      </c>
      <c r="H335" s="18">
        <f t="shared" si="139"/>
        <v>284632652</v>
      </c>
      <c r="I335" s="18">
        <f t="shared" si="139"/>
        <v>278425455</v>
      </c>
      <c r="J335" s="18">
        <f t="shared" si="139"/>
        <v>298262895</v>
      </c>
      <c r="K335" s="18">
        <f t="shared" si="139"/>
        <v>281980132</v>
      </c>
      <c r="L335" s="18">
        <f t="shared" si="139"/>
        <v>332027345</v>
      </c>
      <c r="M335" s="18">
        <f t="shared" si="139"/>
        <v>372638483</v>
      </c>
      <c r="N335" s="18">
        <f t="shared" si="139"/>
        <v>435968384</v>
      </c>
      <c r="O335" s="18">
        <f t="shared" si="139"/>
        <v>629062724</v>
      </c>
      <c r="P335" s="19">
        <f t="shared" si="139"/>
        <v>649948299</v>
      </c>
      <c r="Q335" s="19">
        <f t="shared" si="139"/>
        <v>561759966.68559647</v>
      </c>
      <c r="R335" s="19">
        <f t="shared" si="139"/>
        <v>605037198.48554981</v>
      </c>
      <c r="S335" s="18">
        <f t="shared" si="139"/>
        <v>729205766.41088927</v>
      </c>
      <c r="T335" s="18">
        <f t="shared" si="139"/>
        <v>732360369.23187137</v>
      </c>
      <c r="U335" s="18">
        <f t="shared" si="139"/>
        <v>825660621.7772938</v>
      </c>
      <c r="V335" s="18">
        <f t="shared" si="139"/>
        <v>236018404.71001691</v>
      </c>
      <c r="W335" s="18">
        <f t="shared" si="139"/>
        <v>11033187273.175304</v>
      </c>
      <c r="X335" s="18">
        <f t="shared" si="139"/>
        <v>-142330872779.55856</v>
      </c>
      <c r="Y335" s="18">
        <f t="shared" si="139"/>
        <v>1907072921551.3135</v>
      </c>
      <c r="Z335" s="18">
        <f t="shared" si="139"/>
        <v>-23698011801338.641</v>
      </c>
      <c r="AD335" s="18">
        <f t="shared" si="141"/>
        <v>344175447.80000001</v>
      </c>
      <c r="AE335" s="19">
        <f t="shared" si="142"/>
        <v>284887276.19999999</v>
      </c>
      <c r="AF335" s="19">
        <f t="shared" si="140"/>
        <v>193094340</v>
      </c>
      <c r="AG335" s="19">
        <f>O335/31</f>
        <v>20292345.935483869</v>
      </c>
      <c r="AH335" s="18">
        <f>AD335/31</f>
        <v>11102433.800000001</v>
      </c>
      <c r="AI335" s="19">
        <f t="shared" si="143"/>
        <v>9189912.1354838684</v>
      </c>
    </row>
    <row r="336" spans="1:35">
      <c r="A336" s="14" t="s">
        <v>75</v>
      </c>
      <c r="B336" s="18">
        <f t="shared" si="139"/>
        <v>63833186</v>
      </c>
      <c r="C336" s="18">
        <f t="shared" si="139"/>
        <v>181048495</v>
      </c>
      <c r="D336" s="18">
        <f t="shared" si="139"/>
        <v>128307570</v>
      </c>
      <c r="E336" s="18">
        <f t="shared" si="139"/>
        <v>221268256</v>
      </c>
      <c r="F336" s="18">
        <f t="shared" si="139"/>
        <v>196879317</v>
      </c>
      <c r="G336" s="18">
        <f t="shared" si="139"/>
        <v>200251364</v>
      </c>
      <c r="H336" s="18">
        <f t="shared" si="139"/>
        <v>252896077</v>
      </c>
      <c r="I336" s="18">
        <f t="shared" si="139"/>
        <v>259984665</v>
      </c>
      <c r="J336" s="18">
        <f t="shared" si="139"/>
        <v>290486314</v>
      </c>
      <c r="K336" s="18">
        <f t="shared" si="139"/>
        <v>284945261</v>
      </c>
      <c r="L336" s="18">
        <f t="shared" si="139"/>
        <v>333964404</v>
      </c>
      <c r="M336" s="18">
        <f t="shared" si="139"/>
        <v>304976175</v>
      </c>
      <c r="N336" s="18">
        <f t="shared" si="139"/>
        <v>430130517</v>
      </c>
      <c r="O336" s="18">
        <f t="shared" si="139"/>
        <v>611228372</v>
      </c>
      <c r="P336" s="19">
        <f t="shared" si="139"/>
        <v>642960782</v>
      </c>
      <c r="Q336" s="19">
        <f t="shared" si="139"/>
        <v>555112416.83885336</v>
      </c>
      <c r="R336" s="19">
        <f t="shared" si="139"/>
        <v>609693328.72056389</v>
      </c>
      <c r="S336" s="18">
        <f t="shared" si="139"/>
        <v>749766624.08640516</v>
      </c>
      <c r="T336" s="18">
        <f t="shared" si="139"/>
        <v>765319637.33732462</v>
      </c>
      <c r="U336" s="18">
        <f t="shared" si="139"/>
        <v>834558346.65792775</v>
      </c>
      <c r="V336" s="18">
        <f t="shared" si="139"/>
        <v>946332607.41100872</v>
      </c>
      <c r="W336" s="18">
        <f t="shared" si="139"/>
        <v>1040951408.1445012</v>
      </c>
      <c r="X336" s="18">
        <f t="shared" si="139"/>
        <v>1245694520.6520808</v>
      </c>
      <c r="Y336" s="18">
        <f t="shared" si="139"/>
        <v>1254012876.1234059</v>
      </c>
      <c r="Z336" s="18">
        <f t="shared" si="139"/>
        <v>1280492320.6704359</v>
      </c>
      <c r="AD336" s="18">
        <f t="shared" si="141"/>
        <v>328900534.19999999</v>
      </c>
      <c r="AE336" s="19">
        <f t="shared" si="142"/>
        <v>282327837.80000001</v>
      </c>
      <c r="AF336" s="19">
        <f t="shared" si="140"/>
        <v>181097855</v>
      </c>
      <c r="AG336" s="19">
        <f>O336/30</f>
        <v>20374279.066666666</v>
      </c>
      <c r="AH336" s="18">
        <f>AD336/30</f>
        <v>10963351.139999999</v>
      </c>
      <c r="AI336" s="19">
        <f t="shared" si="143"/>
        <v>9410927.9266666677</v>
      </c>
    </row>
    <row r="337" spans="1:35">
      <c r="A337" s="14" t="s">
        <v>76</v>
      </c>
      <c r="B337" s="18">
        <f t="shared" si="139"/>
        <v>57756544</v>
      </c>
      <c r="C337" s="18">
        <f t="shared" si="139"/>
        <v>181962954</v>
      </c>
      <c r="D337" s="18">
        <f t="shared" si="139"/>
        <v>127524021</v>
      </c>
      <c r="E337" s="18">
        <f t="shared" si="139"/>
        <v>229148253</v>
      </c>
      <c r="F337" s="18">
        <f t="shared" si="139"/>
        <v>206989012</v>
      </c>
      <c r="G337" s="18">
        <f t="shared" si="139"/>
        <v>180347775</v>
      </c>
      <c r="H337" s="18">
        <f t="shared" si="139"/>
        <v>249899613</v>
      </c>
      <c r="I337" s="18">
        <f t="shared" si="139"/>
        <v>267274967</v>
      </c>
      <c r="J337" s="18">
        <f t="shared" si="139"/>
        <v>323457110</v>
      </c>
      <c r="K337" s="18">
        <f t="shared" si="139"/>
        <v>302714841</v>
      </c>
      <c r="L337" s="18">
        <f t="shared" si="139"/>
        <v>267330020</v>
      </c>
      <c r="M337" s="18">
        <f t="shared" si="139"/>
        <v>341595433</v>
      </c>
      <c r="N337" s="18">
        <f t="shared" si="139"/>
        <v>402016116</v>
      </c>
      <c r="O337" s="18">
        <f t="shared" si="139"/>
        <v>577709606</v>
      </c>
      <c r="P337" s="19">
        <f t="shared" si="139"/>
        <v>712559673</v>
      </c>
      <c r="Q337" s="19">
        <f t="shared" si="139"/>
        <v>584600492.25189936</v>
      </c>
      <c r="R337" s="19">
        <f t="shared" si="139"/>
        <v>643147652.00196099</v>
      </c>
      <c r="S337" s="18">
        <f t="shared" si="139"/>
        <v>784919770.04231501</v>
      </c>
      <c r="T337" s="18">
        <f t="shared" si="139"/>
        <v>800225832.32647967</v>
      </c>
      <c r="U337" s="18">
        <f t="shared" si="139"/>
        <v>892730942.43114448</v>
      </c>
      <c r="V337" s="18">
        <f t="shared" si="139"/>
        <v>620372074.56345236</v>
      </c>
      <c r="W337" s="18">
        <f t="shared" si="139"/>
        <v>6684938251.5885677</v>
      </c>
      <c r="X337" s="18">
        <f t="shared" si="139"/>
        <v>-78626414415.543671</v>
      </c>
      <c r="Y337" s="18">
        <f t="shared" si="139"/>
        <v>1062840474906.6954</v>
      </c>
      <c r="Z337" s="18">
        <f t="shared" si="139"/>
        <v>-13198471557549.984</v>
      </c>
      <c r="AD337" s="18">
        <f t="shared" si="141"/>
        <v>327422704</v>
      </c>
      <c r="AE337" s="19">
        <f t="shared" si="142"/>
        <v>250286902</v>
      </c>
      <c r="AF337" s="19">
        <f t="shared" si="140"/>
        <v>175693490</v>
      </c>
      <c r="AG337" s="19">
        <f>O337/31</f>
        <v>18635793.741935484</v>
      </c>
      <c r="AH337" s="18">
        <f>AD337/31</f>
        <v>10562022.709677419</v>
      </c>
      <c r="AI337" s="19">
        <f t="shared" si="143"/>
        <v>8073771.0322580654</v>
      </c>
    </row>
    <row r="338" spans="1:35">
      <c r="A338" s="14" t="s">
        <v>77</v>
      </c>
      <c r="B338" s="18">
        <f t="shared" si="139"/>
        <v>50376458</v>
      </c>
      <c r="C338" s="18">
        <f t="shared" si="139"/>
        <v>167227727</v>
      </c>
      <c r="D338" s="18">
        <f t="shared" si="139"/>
        <v>111469703</v>
      </c>
      <c r="E338" s="18">
        <f t="shared" si="139"/>
        <v>194382749</v>
      </c>
      <c r="F338" s="18">
        <f t="shared" si="139"/>
        <v>173962780</v>
      </c>
      <c r="G338" s="18">
        <f t="shared" ref="B338:Z339" si="144">G190+G254</f>
        <v>166223219</v>
      </c>
      <c r="H338" s="18">
        <f t="shared" si="144"/>
        <v>256271118</v>
      </c>
      <c r="I338" s="18">
        <f t="shared" si="144"/>
        <v>261217198</v>
      </c>
      <c r="J338" s="18">
        <f t="shared" si="144"/>
        <v>294879831</v>
      </c>
      <c r="K338" s="18">
        <f t="shared" si="144"/>
        <v>251077776</v>
      </c>
      <c r="L338" s="18">
        <f t="shared" si="144"/>
        <v>297835437</v>
      </c>
      <c r="M338" s="18">
        <f t="shared" si="144"/>
        <v>384854908</v>
      </c>
      <c r="N338" s="18">
        <f t="shared" si="144"/>
        <v>502726087</v>
      </c>
      <c r="O338" s="18">
        <f t="shared" si="144"/>
        <v>549650796</v>
      </c>
      <c r="P338" s="19">
        <f t="shared" si="144"/>
        <v>642241209</v>
      </c>
      <c r="Q338" s="19">
        <f t="shared" si="144"/>
        <v>608402324.61915171</v>
      </c>
      <c r="R338" s="19">
        <f t="shared" si="144"/>
        <v>712870845.8020916</v>
      </c>
      <c r="S338" s="18">
        <f t="shared" si="144"/>
        <v>850549364.39143682</v>
      </c>
      <c r="T338" s="18">
        <f t="shared" si="144"/>
        <v>860098975.4853096</v>
      </c>
      <c r="U338" s="18">
        <f t="shared" si="144"/>
        <v>943463424.19018686</v>
      </c>
      <c r="V338" s="18">
        <f t="shared" si="144"/>
        <v>696205597.09085619</v>
      </c>
      <c r="W338" s="18">
        <f t="shared" si="144"/>
        <v>6293031872.8066492</v>
      </c>
      <c r="X338" s="18">
        <f t="shared" si="144"/>
        <v>-72320204716.716553</v>
      </c>
      <c r="Y338" s="18">
        <f t="shared" si="144"/>
        <v>979818203651.27563</v>
      </c>
      <c r="Z338" s="18">
        <f t="shared" si="144"/>
        <v>-12165479645532.572</v>
      </c>
      <c r="AD338" s="18">
        <f t="shared" si="141"/>
        <v>346274807.80000001</v>
      </c>
      <c r="AE338" s="19">
        <f t="shared" si="142"/>
        <v>203375988.19999999</v>
      </c>
      <c r="AF338" s="19">
        <f t="shared" si="140"/>
        <v>46924709</v>
      </c>
      <c r="AG338" s="19">
        <f>O338/30</f>
        <v>18321693.199999999</v>
      </c>
      <c r="AH338" s="18">
        <f>AD338/30</f>
        <v>11542493.593333334</v>
      </c>
      <c r="AI338" s="19">
        <f t="shared" si="143"/>
        <v>6779199.6066666655</v>
      </c>
    </row>
    <row r="339" spans="1:35">
      <c r="A339" s="14" t="s">
        <v>78</v>
      </c>
      <c r="B339" s="18">
        <f t="shared" si="144"/>
        <v>53780479</v>
      </c>
      <c r="C339" s="18">
        <f t="shared" si="144"/>
        <v>236976283</v>
      </c>
      <c r="D339" s="18">
        <f t="shared" si="144"/>
        <v>93739945</v>
      </c>
      <c r="E339" s="18">
        <f t="shared" si="144"/>
        <v>264861231</v>
      </c>
      <c r="F339" s="18">
        <f t="shared" si="144"/>
        <v>284021416</v>
      </c>
      <c r="G339" s="18">
        <f t="shared" si="144"/>
        <v>187789577</v>
      </c>
      <c r="H339" s="18">
        <f t="shared" si="144"/>
        <v>327092793</v>
      </c>
      <c r="I339" s="18">
        <f t="shared" si="144"/>
        <v>287487974</v>
      </c>
      <c r="J339" s="18">
        <f t="shared" si="144"/>
        <v>355731011</v>
      </c>
      <c r="K339" s="18">
        <f t="shared" si="144"/>
        <v>299295793</v>
      </c>
      <c r="L339" s="18">
        <f t="shared" si="144"/>
        <v>362292911</v>
      </c>
      <c r="M339" s="18">
        <f t="shared" si="144"/>
        <v>449933217</v>
      </c>
      <c r="N339" s="18">
        <f t="shared" si="144"/>
        <v>477585018</v>
      </c>
      <c r="O339" s="18">
        <f t="shared" si="144"/>
        <v>665362765</v>
      </c>
      <c r="P339" s="19">
        <f t="shared" si="144"/>
        <v>793118224</v>
      </c>
      <c r="Q339" s="19">
        <f t="shared" si="144"/>
        <v>885199101.6968714</v>
      </c>
      <c r="R339" s="19">
        <f t="shared" si="144"/>
        <v>803439790.26590765</v>
      </c>
      <c r="S339" s="18">
        <f t="shared" si="144"/>
        <v>953150470.291363</v>
      </c>
      <c r="T339" s="18">
        <f t="shared" si="144"/>
        <v>962310274.51327777</v>
      </c>
      <c r="U339" s="18">
        <f t="shared" si="144"/>
        <v>966275603.19648039</v>
      </c>
      <c r="V339" s="18">
        <f t="shared" si="144"/>
        <v>2496626821.5989399</v>
      </c>
      <c r="W339" s="18">
        <f t="shared" si="144"/>
        <v>-19609753234.72068</v>
      </c>
      <c r="X339" s="18">
        <f t="shared" si="144"/>
        <v>298523349465.43866</v>
      </c>
      <c r="Y339" s="18">
        <f t="shared" si="144"/>
        <v>-3944500123628.7817</v>
      </c>
      <c r="Z339" s="18">
        <f t="shared" si="144"/>
        <v>49067270945944.711</v>
      </c>
      <c r="AD339" s="18">
        <f t="shared" si="141"/>
        <v>388967590</v>
      </c>
      <c r="AE339" s="19">
        <f t="shared" si="142"/>
        <v>276395175</v>
      </c>
      <c r="AF339" s="19">
        <f t="shared" si="140"/>
        <v>187777747</v>
      </c>
      <c r="AG339" s="19">
        <f>O339/31</f>
        <v>21463315</v>
      </c>
      <c r="AH339" s="18">
        <f>AD339/31</f>
        <v>12547341.612903226</v>
      </c>
      <c r="AI339" s="19">
        <f t="shared" si="143"/>
        <v>8915973.3870967738</v>
      </c>
    </row>
    <row r="340" spans="1:35">
      <c r="A340" s="14" t="s">
        <v>29</v>
      </c>
      <c r="B340" s="18">
        <f>SUM(B328:B339)</f>
        <v>336096066</v>
      </c>
      <c r="C340" s="18">
        <f t="shared" ref="C340:O340" si="145">SUM(C328:C339)</f>
        <v>1658387980</v>
      </c>
      <c r="D340" s="18">
        <f t="shared" si="145"/>
        <v>1613178058</v>
      </c>
      <c r="E340" s="18">
        <f t="shared" si="145"/>
        <v>2266511994</v>
      </c>
      <c r="F340" s="18">
        <f t="shared" si="145"/>
        <v>2230601028</v>
      </c>
      <c r="G340" s="18">
        <f t="shared" si="145"/>
        <v>2181644186</v>
      </c>
      <c r="H340" s="18">
        <f t="shared" si="145"/>
        <v>2861002967</v>
      </c>
      <c r="I340" s="18">
        <f t="shared" si="145"/>
        <v>2823297639</v>
      </c>
      <c r="J340" s="18">
        <f t="shared" si="145"/>
        <v>3304367932</v>
      </c>
      <c r="K340" s="18">
        <f t="shared" si="145"/>
        <v>3409757533</v>
      </c>
      <c r="L340" s="18">
        <f t="shared" si="145"/>
        <v>3648801299</v>
      </c>
      <c r="M340" s="18">
        <f t="shared" si="145"/>
        <v>3999219898</v>
      </c>
      <c r="N340" s="18">
        <f t="shared" si="145"/>
        <v>4908393696</v>
      </c>
      <c r="O340" s="18">
        <f t="shared" si="145"/>
        <v>6598141237</v>
      </c>
      <c r="P340" s="19">
        <f>SUM(P328:P339)</f>
        <v>7824821126</v>
      </c>
      <c r="Q340" s="19">
        <f>SUM(Q328:Q339)</f>
        <v>6841989289.0475292</v>
      </c>
      <c r="R340" s="19">
        <f t="shared" ref="R340:Z340" si="146">SUM(R328:R339)</f>
        <v>7222865730.2060337</v>
      </c>
      <c r="S340" s="19">
        <f t="shared" si="146"/>
        <v>8572218990.0469332</v>
      </c>
      <c r="T340" s="19">
        <f t="shared" si="146"/>
        <v>8632769207.3324566</v>
      </c>
      <c r="U340" s="19">
        <f t="shared" si="146"/>
        <v>9308018950.0716953</v>
      </c>
      <c r="V340" s="19">
        <f t="shared" si="146"/>
        <v>10367967282.602001</v>
      </c>
      <c r="W340" s="19">
        <f t="shared" si="146"/>
        <v>11320909853.075027</v>
      </c>
      <c r="X340" s="19">
        <f t="shared" si="146"/>
        <v>13459195504.039673</v>
      </c>
      <c r="Y340" s="19">
        <f t="shared" si="146"/>
        <v>13488797664.030762</v>
      </c>
      <c r="Z340" s="19">
        <f t="shared" si="146"/>
        <v>13651672280.445313</v>
      </c>
      <c r="AD340" s="18">
        <f t="shared" si="141"/>
        <v>3854108071.5999999</v>
      </c>
      <c r="AE340" s="19">
        <f t="shared" si="142"/>
        <v>2744033165.4000001</v>
      </c>
    </row>
    <row r="342" spans="1:35" ht="15.75">
      <c r="A342" s="15" t="s">
        <v>87</v>
      </c>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spans="1:35">
      <c r="B343" s="14">
        <f t="shared" ref="B343:G344" si="147">B327</f>
        <v>2010</v>
      </c>
      <c r="C343" s="14">
        <f t="shared" si="147"/>
        <v>2011</v>
      </c>
      <c r="D343" s="14">
        <f t="shared" si="147"/>
        <v>2012</v>
      </c>
      <c r="E343" s="14">
        <f t="shared" si="147"/>
        <v>2013</v>
      </c>
      <c r="F343" s="14">
        <f t="shared" si="147"/>
        <v>2014</v>
      </c>
      <c r="G343" s="14">
        <f t="shared" si="147"/>
        <v>2015</v>
      </c>
      <c r="H343" s="14">
        <f>H327</f>
        <v>2016</v>
      </c>
      <c r="I343" s="14">
        <f t="shared" ref="I343:Z344" si="148">I327</f>
        <v>2017</v>
      </c>
      <c r="J343" s="14">
        <f t="shared" si="148"/>
        <v>2018</v>
      </c>
      <c r="K343" s="14">
        <f t="shared" si="148"/>
        <v>2019</v>
      </c>
      <c r="L343" s="14">
        <f t="shared" si="148"/>
        <v>2020</v>
      </c>
      <c r="M343" s="14">
        <f t="shared" si="148"/>
        <v>2021</v>
      </c>
      <c r="N343" s="14">
        <f t="shared" si="148"/>
        <v>2022</v>
      </c>
      <c r="O343" s="14">
        <f t="shared" si="148"/>
        <v>2023</v>
      </c>
      <c r="P343" s="14">
        <f t="shared" si="148"/>
        <v>2024</v>
      </c>
      <c r="Q343" s="14">
        <f t="shared" si="148"/>
        <v>2025</v>
      </c>
      <c r="R343" s="14">
        <f t="shared" si="148"/>
        <v>2026</v>
      </c>
      <c r="S343" s="14">
        <f t="shared" si="148"/>
        <v>2027</v>
      </c>
      <c r="T343" s="14">
        <f t="shared" si="148"/>
        <v>2028</v>
      </c>
      <c r="U343" s="14">
        <f t="shared" si="148"/>
        <v>2029</v>
      </c>
      <c r="V343" s="14">
        <f t="shared" si="148"/>
        <v>2030</v>
      </c>
      <c r="W343" s="14">
        <f t="shared" si="148"/>
        <v>2031</v>
      </c>
      <c r="X343" s="14">
        <f t="shared" si="148"/>
        <v>2032</v>
      </c>
      <c r="Y343" s="14">
        <f t="shared" si="148"/>
        <v>2033</v>
      </c>
      <c r="Z343" s="14">
        <f t="shared" si="148"/>
        <v>2034</v>
      </c>
      <c r="AD343" s="14" t="s">
        <v>37</v>
      </c>
      <c r="AE343" s="14" t="s">
        <v>38</v>
      </c>
      <c r="AF343" s="14" t="s">
        <v>39</v>
      </c>
      <c r="AG343" s="14" t="s">
        <v>40</v>
      </c>
      <c r="AH343" s="14" t="s">
        <v>41</v>
      </c>
      <c r="AI343" s="14" t="s">
        <v>42</v>
      </c>
    </row>
    <row r="344" spans="1:35">
      <c r="A344" s="14" t="s">
        <v>68</v>
      </c>
      <c r="B344" s="18">
        <f t="shared" si="147"/>
        <v>0</v>
      </c>
      <c r="C344" s="18">
        <f t="shared" si="147"/>
        <v>56828200</v>
      </c>
      <c r="D344" s="18">
        <f t="shared" si="147"/>
        <v>97340233</v>
      </c>
      <c r="E344" s="18">
        <f t="shared" si="147"/>
        <v>108859685</v>
      </c>
      <c r="F344" s="18">
        <f t="shared" si="147"/>
        <v>102540448</v>
      </c>
      <c r="G344" s="18">
        <f t="shared" si="147"/>
        <v>113547311</v>
      </c>
      <c r="H344" s="18">
        <f>H328</f>
        <v>148347873</v>
      </c>
      <c r="I344" s="18">
        <f t="shared" si="148"/>
        <v>130668543</v>
      </c>
      <c r="J344" s="18">
        <f t="shared" si="148"/>
        <v>189142742</v>
      </c>
      <c r="K344" s="18">
        <f t="shared" si="148"/>
        <v>223744957</v>
      </c>
      <c r="L344" s="18">
        <f t="shared" si="148"/>
        <v>248807398</v>
      </c>
      <c r="M344" s="18">
        <f t="shared" si="148"/>
        <v>246882543</v>
      </c>
      <c r="N344" s="18">
        <f t="shared" si="148"/>
        <v>284393725</v>
      </c>
      <c r="O344" s="18">
        <f t="shared" si="148"/>
        <v>428554524</v>
      </c>
      <c r="P344" s="18">
        <f t="shared" si="148"/>
        <v>570063283</v>
      </c>
      <c r="Q344" s="19">
        <f t="shared" si="148"/>
        <v>472847732</v>
      </c>
      <c r="R344" s="19">
        <f t="shared" si="148"/>
        <v>466538657.26379025</v>
      </c>
      <c r="S344" s="19">
        <f t="shared" si="148"/>
        <v>529161917.66866148</v>
      </c>
      <c r="T344" s="19">
        <f t="shared" si="148"/>
        <v>531307936.31072378</v>
      </c>
      <c r="U344" s="19">
        <f t="shared" si="148"/>
        <v>562685801.08858538</v>
      </c>
      <c r="V344" s="19">
        <f t="shared" si="148"/>
        <v>615630435.20535827</v>
      </c>
      <c r="W344" s="19">
        <f t="shared" si="148"/>
        <v>677941308.06920385</v>
      </c>
      <c r="X344" s="19">
        <f t="shared" si="148"/>
        <v>800630078.15051651</v>
      </c>
      <c r="Y344" s="19">
        <f t="shared" si="148"/>
        <v>830162214.37482202</v>
      </c>
      <c r="Z344" s="19">
        <f t="shared" si="148"/>
        <v>821363430.46697676</v>
      </c>
      <c r="AD344" s="18">
        <f>AVERAGE(J344:N344)</f>
        <v>238594273</v>
      </c>
      <c r="AE344" s="18">
        <f>O344-AD344</f>
        <v>189960251</v>
      </c>
      <c r="AF344" s="18">
        <f t="shared" ref="AF344:AF355" si="149">O344-N344</f>
        <v>144160799</v>
      </c>
      <c r="AG344" s="18">
        <f>O344/31</f>
        <v>13824339.483870968</v>
      </c>
      <c r="AH344" s="18">
        <f>AD344/31</f>
        <v>7696589.4516129028</v>
      </c>
      <c r="AI344" s="18">
        <f>AG344-AH344</f>
        <v>6127750.0322580654</v>
      </c>
    </row>
    <row r="345" spans="1:35">
      <c r="A345" s="14" t="s">
        <v>69</v>
      </c>
      <c r="B345" s="18">
        <f t="shared" ref="B345:H355" si="150">B344+B329</f>
        <v>0</v>
      </c>
      <c r="C345" s="18">
        <f t="shared" si="150"/>
        <v>121024999</v>
      </c>
      <c r="D345" s="18">
        <f t="shared" si="150"/>
        <v>212014039</v>
      </c>
      <c r="E345" s="18">
        <f t="shared" si="150"/>
        <v>222777968</v>
      </c>
      <c r="F345" s="18">
        <f t="shared" si="150"/>
        <v>228140412</v>
      </c>
      <c r="G345" s="18">
        <f t="shared" si="150"/>
        <v>230701543</v>
      </c>
      <c r="H345" s="18">
        <f>H344+H329</f>
        <v>311456006</v>
      </c>
      <c r="I345" s="18">
        <f t="shared" ref="I345:Z355" si="151">I344+I329</f>
        <v>284347430</v>
      </c>
      <c r="J345" s="18">
        <f t="shared" si="151"/>
        <v>399415466</v>
      </c>
      <c r="K345" s="18">
        <f t="shared" si="151"/>
        <v>468225700</v>
      </c>
      <c r="L345" s="18">
        <f t="shared" si="151"/>
        <v>504270450</v>
      </c>
      <c r="M345" s="18">
        <f t="shared" si="151"/>
        <v>498999497</v>
      </c>
      <c r="N345" s="18">
        <f t="shared" si="151"/>
        <v>623505759</v>
      </c>
      <c r="O345" s="18">
        <f t="shared" si="151"/>
        <v>839306030</v>
      </c>
      <c r="P345" s="18">
        <f t="shared" si="151"/>
        <v>1147568114</v>
      </c>
      <c r="Q345" s="19">
        <f t="shared" si="151"/>
        <v>911932221</v>
      </c>
      <c r="R345" s="19">
        <f t="shared" si="151"/>
        <v>989957287.08596206</v>
      </c>
      <c r="S345" s="19">
        <f t="shared" si="151"/>
        <v>1159350281.6971211</v>
      </c>
      <c r="T345" s="19">
        <f t="shared" si="151"/>
        <v>1177975476.1273246</v>
      </c>
      <c r="U345" s="19">
        <f t="shared" si="151"/>
        <v>1271375333.5723004</v>
      </c>
      <c r="V345" s="19">
        <f t="shared" si="151"/>
        <v>1417008695.8209372</v>
      </c>
      <c r="W345" s="19">
        <f t="shared" si="151"/>
        <v>1567702986.4433303</v>
      </c>
      <c r="X345" s="19">
        <f t="shared" si="151"/>
        <v>1864595660.4183202</v>
      </c>
      <c r="Y345" s="19">
        <f t="shared" si="151"/>
        <v>1902062343.5246687</v>
      </c>
      <c r="Z345" s="19">
        <f t="shared" si="151"/>
        <v>1916144067.1125937</v>
      </c>
      <c r="AD345" s="18">
        <f t="shared" ref="AD345:AD355" si="152">AVERAGE(J345:N345)</f>
        <v>498883374.39999998</v>
      </c>
      <c r="AE345" s="18">
        <f t="shared" ref="AE345:AE355" si="153">O345-AD345</f>
        <v>340422655.60000002</v>
      </c>
      <c r="AF345" s="18">
        <f t="shared" si="149"/>
        <v>215800271</v>
      </c>
      <c r="AG345" s="18">
        <f>O345/28</f>
        <v>29975215.357142858</v>
      </c>
      <c r="AH345" s="18">
        <f>AD345/28</f>
        <v>17817263.371428572</v>
      </c>
      <c r="AI345" s="18">
        <f t="shared" ref="AI345:AI355" si="154">AG345-AH345</f>
        <v>12157951.985714287</v>
      </c>
    </row>
    <row r="346" spans="1:35">
      <c r="A346" s="14" t="s">
        <v>70</v>
      </c>
      <c r="B346" s="18">
        <f t="shared" si="150"/>
        <v>0</v>
      </c>
      <c r="C346" s="18">
        <f t="shared" si="150"/>
        <v>221533908</v>
      </c>
      <c r="D346" s="18">
        <f t="shared" si="150"/>
        <v>363696462</v>
      </c>
      <c r="E346" s="18">
        <f t="shared" si="150"/>
        <v>377438897</v>
      </c>
      <c r="F346" s="18">
        <f t="shared" si="150"/>
        <v>389664643</v>
      </c>
      <c r="G346" s="18">
        <f t="shared" si="150"/>
        <v>396588282</v>
      </c>
      <c r="H346" s="18">
        <f t="shared" si="150"/>
        <v>532065362</v>
      </c>
      <c r="I346" s="18">
        <f t="shared" si="151"/>
        <v>478732516</v>
      </c>
      <c r="J346" s="18">
        <f t="shared" si="151"/>
        <v>659929531</v>
      </c>
      <c r="K346" s="18">
        <f t="shared" si="151"/>
        <v>750659149</v>
      </c>
      <c r="L346" s="18">
        <f t="shared" si="151"/>
        <v>806567883</v>
      </c>
      <c r="M346" s="18">
        <f t="shared" si="151"/>
        <v>825473947</v>
      </c>
      <c r="N346" s="18">
        <f t="shared" si="151"/>
        <v>1015406426</v>
      </c>
      <c r="O346" s="18">
        <f t="shared" si="151"/>
        <v>1345939061</v>
      </c>
      <c r="P346" s="18">
        <f t="shared" si="151"/>
        <v>1712629868</v>
      </c>
      <c r="Q346" s="19">
        <f t="shared" si="151"/>
        <v>1445856903</v>
      </c>
      <c r="R346" s="19">
        <f t="shared" si="151"/>
        <v>1522691257.9608624</v>
      </c>
      <c r="S346" s="19">
        <f t="shared" si="151"/>
        <v>1758897515.033221</v>
      </c>
      <c r="T346" s="19">
        <f t="shared" si="151"/>
        <v>1764667997.7417095</v>
      </c>
      <c r="U346" s="19">
        <f t="shared" si="151"/>
        <v>1883493867.5774672</v>
      </c>
      <c r="V346" s="19">
        <f t="shared" si="151"/>
        <v>2076419046.598846</v>
      </c>
      <c r="W346" s="19">
        <f t="shared" si="151"/>
        <v>2286085124.7766142</v>
      </c>
      <c r="X346" s="19">
        <f t="shared" si="151"/>
        <v>2707129483.3758454</v>
      </c>
      <c r="Y346" s="19">
        <f t="shared" si="151"/>
        <v>2738739538.3185916</v>
      </c>
      <c r="Z346" s="19">
        <f t="shared" si="151"/>
        <v>2750208729.6021352</v>
      </c>
      <c r="AD346" s="18">
        <f t="shared" si="152"/>
        <v>811607387.20000005</v>
      </c>
      <c r="AE346" s="18">
        <f t="shared" si="153"/>
        <v>534331673.79999995</v>
      </c>
      <c r="AF346" s="18">
        <f t="shared" si="149"/>
        <v>330532635</v>
      </c>
      <c r="AG346" s="18">
        <f>O346/31</f>
        <v>43417389.064516127</v>
      </c>
      <c r="AH346" s="18">
        <f>AD346/31</f>
        <v>26180883.458064519</v>
      </c>
      <c r="AI346" s="18">
        <f t="shared" si="154"/>
        <v>17236505.606451608</v>
      </c>
    </row>
    <row r="347" spans="1:35">
      <c r="A347" s="14" t="s">
        <v>71</v>
      </c>
      <c r="B347" s="18">
        <f t="shared" si="150"/>
        <v>0</v>
      </c>
      <c r="C347" s="18">
        <f t="shared" si="150"/>
        <v>330271664</v>
      </c>
      <c r="D347" s="18">
        <f t="shared" si="150"/>
        <v>508396466</v>
      </c>
      <c r="E347" s="18">
        <f t="shared" si="150"/>
        <v>546783534</v>
      </c>
      <c r="F347" s="18">
        <f t="shared" si="150"/>
        <v>567907117</v>
      </c>
      <c r="G347" s="18">
        <f t="shared" si="150"/>
        <v>583030091</v>
      </c>
      <c r="H347" s="18">
        <f t="shared" si="150"/>
        <v>757598286</v>
      </c>
      <c r="I347" s="18">
        <f t="shared" si="151"/>
        <v>699906759</v>
      </c>
      <c r="J347" s="18">
        <f t="shared" si="151"/>
        <v>920850429</v>
      </c>
      <c r="K347" s="18">
        <f t="shared" si="151"/>
        <v>1057788963</v>
      </c>
      <c r="L347" s="18">
        <f t="shared" si="151"/>
        <v>1097470022</v>
      </c>
      <c r="M347" s="18">
        <f t="shared" si="151"/>
        <v>1128443659</v>
      </c>
      <c r="N347" s="18">
        <f t="shared" si="151"/>
        <v>1413264298</v>
      </c>
      <c r="O347" s="18">
        <f t="shared" si="151"/>
        <v>1840703835</v>
      </c>
      <c r="P347" s="18">
        <f t="shared" si="151"/>
        <v>2395665456</v>
      </c>
      <c r="Q347" s="19">
        <f t="shared" si="151"/>
        <v>1994748047.9354525</v>
      </c>
      <c r="R347" s="19">
        <f t="shared" si="151"/>
        <v>2064285492.2181299</v>
      </c>
      <c r="S347" s="19">
        <f t="shared" si="151"/>
        <v>2389716477.8605852</v>
      </c>
      <c r="T347" s="19">
        <f t="shared" si="151"/>
        <v>2388739904.4918742</v>
      </c>
      <c r="U347" s="19">
        <f t="shared" si="151"/>
        <v>2556449393.1395807</v>
      </c>
      <c r="V347" s="19">
        <f t="shared" si="151"/>
        <v>2819284324.7878318</v>
      </c>
      <c r="W347" s="19">
        <f t="shared" si="151"/>
        <v>3092848653.5779047</v>
      </c>
      <c r="X347" s="19">
        <f t="shared" si="151"/>
        <v>3660447263.8787632</v>
      </c>
      <c r="Y347" s="19">
        <f t="shared" si="151"/>
        <v>3690667340.3932562</v>
      </c>
      <c r="Z347" s="19">
        <f t="shared" si="151"/>
        <v>3709722949.5205235</v>
      </c>
      <c r="AD347" s="18">
        <f t="shared" si="152"/>
        <v>1123563474.2</v>
      </c>
      <c r="AE347" s="18">
        <f t="shared" si="153"/>
        <v>717140360.79999995</v>
      </c>
      <c r="AF347" s="18">
        <f t="shared" si="149"/>
        <v>427439537</v>
      </c>
      <c r="AG347" s="18">
        <f>O347/30</f>
        <v>61356794.5</v>
      </c>
      <c r="AH347" s="18">
        <f>AD347/30</f>
        <v>37452115.806666665</v>
      </c>
      <c r="AI347" s="18">
        <f t="shared" si="154"/>
        <v>23904678.693333335</v>
      </c>
    </row>
    <row r="348" spans="1:35">
      <c r="A348" s="14" t="s">
        <v>47</v>
      </c>
      <c r="B348" s="18">
        <f t="shared" si="150"/>
        <v>0</v>
      </c>
      <c r="C348" s="18">
        <f t="shared" si="150"/>
        <v>459389663</v>
      </c>
      <c r="D348" s="18">
        <f t="shared" si="150"/>
        <v>675860333</v>
      </c>
      <c r="E348" s="18">
        <f t="shared" si="150"/>
        <v>729935507</v>
      </c>
      <c r="F348" s="18">
        <f t="shared" si="150"/>
        <v>760950016</v>
      </c>
      <c r="G348" s="18">
        <f t="shared" si="150"/>
        <v>792030017</v>
      </c>
      <c r="H348" s="18">
        <f t="shared" si="150"/>
        <v>997817435</v>
      </c>
      <c r="I348" s="18">
        <f t="shared" si="151"/>
        <v>962122841</v>
      </c>
      <c r="J348" s="18">
        <f t="shared" si="151"/>
        <v>1206835526</v>
      </c>
      <c r="K348" s="18">
        <f t="shared" si="151"/>
        <v>1372761464</v>
      </c>
      <c r="L348" s="18">
        <f t="shared" si="151"/>
        <v>1391150526</v>
      </c>
      <c r="M348" s="18">
        <f t="shared" si="151"/>
        <v>1456574825</v>
      </c>
      <c r="N348" s="18">
        <f t="shared" si="151"/>
        <v>1854611206</v>
      </c>
      <c r="O348" s="18">
        <f t="shared" si="151"/>
        <v>2472033599</v>
      </c>
      <c r="P348" s="18">
        <f t="shared" si="151"/>
        <v>2988645718</v>
      </c>
      <c r="Q348" s="19">
        <f t="shared" si="151"/>
        <v>2550175819.1529412</v>
      </c>
      <c r="R348" s="19">
        <f t="shared" si="151"/>
        <v>2665544293.9506478</v>
      </c>
      <c r="S348" s="19">
        <f t="shared" si="151"/>
        <v>3103052112.0276766</v>
      </c>
      <c r="T348" s="19">
        <f t="shared" si="151"/>
        <v>3103767064.2395601</v>
      </c>
      <c r="U348" s="19">
        <f t="shared" si="151"/>
        <v>3327383917.1803751</v>
      </c>
      <c r="V348" s="19">
        <f t="shared" si="151"/>
        <v>3678698456.9169359</v>
      </c>
      <c r="W348" s="19">
        <f t="shared" si="151"/>
        <v>4030989845.2188354</v>
      </c>
      <c r="X348" s="19">
        <f t="shared" si="151"/>
        <v>4773987665.8306293</v>
      </c>
      <c r="Y348" s="19">
        <f t="shared" si="151"/>
        <v>4805725386.5631905</v>
      </c>
      <c r="Z348" s="19">
        <f t="shared" si="151"/>
        <v>4837998611.6805935</v>
      </c>
      <c r="AD348" s="18">
        <f t="shared" si="152"/>
        <v>1456386709.4000001</v>
      </c>
      <c r="AE348" s="18">
        <f t="shared" si="153"/>
        <v>1015646889.5999999</v>
      </c>
      <c r="AF348" s="18">
        <f t="shared" si="149"/>
        <v>617422393</v>
      </c>
      <c r="AG348" s="18">
        <f>O348/31</f>
        <v>79743019.32258065</v>
      </c>
      <c r="AH348" s="18">
        <f>AD348/31</f>
        <v>46980216.43225807</v>
      </c>
      <c r="AI348" s="18">
        <f t="shared" si="154"/>
        <v>32762802.890322581</v>
      </c>
    </row>
    <row r="349" spans="1:35">
      <c r="A349" s="14" t="s">
        <v>72</v>
      </c>
      <c r="B349" s="18">
        <f t="shared" si="150"/>
        <v>0</v>
      </c>
      <c r="C349" s="18">
        <f t="shared" si="150"/>
        <v>584264509</v>
      </c>
      <c r="D349" s="18">
        <f t="shared" si="150"/>
        <v>841793584</v>
      </c>
      <c r="E349" s="18">
        <f t="shared" si="150"/>
        <v>918464074</v>
      </c>
      <c r="F349" s="18">
        <f t="shared" si="150"/>
        <v>958014853</v>
      </c>
      <c r="G349" s="18">
        <f t="shared" si="150"/>
        <v>1012875844</v>
      </c>
      <c r="H349" s="18">
        <f t="shared" si="150"/>
        <v>1250079174</v>
      </c>
      <c r="I349" s="18">
        <f t="shared" si="151"/>
        <v>1209940174</v>
      </c>
      <c r="J349" s="18">
        <f t="shared" si="151"/>
        <v>1468854199</v>
      </c>
      <c r="K349" s="18">
        <f t="shared" si="151"/>
        <v>1656734665</v>
      </c>
      <c r="L349" s="18">
        <f t="shared" si="151"/>
        <v>1730384558</v>
      </c>
      <c r="M349" s="18">
        <f t="shared" si="151"/>
        <v>1805682511</v>
      </c>
      <c r="N349" s="18">
        <f t="shared" si="151"/>
        <v>2267286401</v>
      </c>
      <c r="O349" s="18">
        <f t="shared" si="151"/>
        <v>3042748250</v>
      </c>
      <c r="P349" s="18">
        <f t="shared" si="151"/>
        <v>3670537060</v>
      </c>
      <c r="Q349" s="19">
        <f t="shared" si="151"/>
        <v>3103436469.2105584</v>
      </c>
      <c r="R349" s="19">
        <f t="shared" si="151"/>
        <v>3261609936.5576191</v>
      </c>
      <c r="S349" s="19">
        <f t="shared" si="151"/>
        <v>3805733399.9045229</v>
      </c>
      <c r="T349" s="19">
        <f t="shared" si="151"/>
        <v>3808389919.0917563</v>
      </c>
      <c r="U349" s="19">
        <f t="shared" si="151"/>
        <v>4082033514.9220548</v>
      </c>
      <c r="V349" s="19">
        <f t="shared" si="151"/>
        <v>4520268643.7231197</v>
      </c>
      <c r="W349" s="19">
        <f t="shared" si="151"/>
        <v>4947742196.8768463</v>
      </c>
      <c r="X349" s="19">
        <f t="shared" si="151"/>
        <v>5861245973.4230833</v>
      </c>
      <c r="Y349" s="19">
        <f t="shared" si="151"/>
        <v>5894079082.8395576</v>
      </c>
      <c r="Z349" s="19">
        <f t="shared" si="151"/>
        <v>5938566109.1754246</v>
      </c>
      <c r="AD349" s="23">
        <f t="shared" si="152"/>
        <v>1785788466.8</v>
      </c>
      <c r="AE349" s="23">
        <f t="shared" si="153"/>
        <v>1256959783.2</v>
      </c>
      <c r="AF349" s="23">
        <f t="shared" si="149"/>
        <v>775461849</v>
      </c>
      <c r="AG349" s="23">
        <f>O349/30</f>
        <v>101424941.66666667</v>
      </c>
      <c r="AH349" s="23">
        <f>AD349/30</f>
        <v>59526282.226666667</v>
      </c>
      <c r="AI349" s="23">
        <f t="shared" si="154"/>
        <v>41898659.440000005</v>
      </c>
    </row>
    <row r="350" spans="1:35">
      <c r="A350" s="14" t="s">
        <v>73</v>
      </c>
      <c r="B350" s="18">
        <f t="shared" si="150"/>
        <v>60578518</v>
      </c>
      <c r="C350" s="18">
        <f t="shared" si="150"/>
        <v>725631962</v>
      </c>
      <c r="D350" s="18">
        <f t="shared" si="150"/>
        <v>998331907</v>
      </c>
      <c r="E350" s="18">
        <f t="shared" si="150"/>
        <v>1136805235</v>
      </c>
      <c r="F350" s="18">
        <f t="shared" si="150"/>
        <v>1174143528</v>
      </c>
      <c r="G350" s="18">
        <f t="shared" si="150"/>
        <v>1232976437</v>
      </c>
      <c r="H350" s="18">
        <f t="shared" si="150"/>
        <v>1490210714</v>
      </c>
      <c r="I350" s="18">
        <f t="shared" si="151"/>
        <v>1468907380</v>
      </c>
      <c r="J350" s="18">
        <f t="shared" si="151"/>
        <v>1741550771</v>
      </c>
      <c r="K350" s="18">
        <f t="shared" si="151"/>
        <v>1989743730</v>
      </c>
      <c r="L350" s="18">
        <f t="shared" si="151"/>
        <v>2055351182</v>
      </c>
      <c r="M350" s="18">
        <f t="shared" si="151"/>
        <v>2145221682</v>
      </c>
      <c r="N350" s="18">
        <f t="shared" si="151"/>
        <v>2659967574</v>
      </c>
      <c r="O350" s="18">
        <f t="shared" si="151"/>
        <v>3565126974</v>
      </c>
      <c r="P350" s="19">
        <f t="shared" si="151"/>
        <v>4383992939</v>
      </c>
      <c r="Q350" s="19">
        <f t="shared" si="151"/>
        <v>3646914986.9551558</v>
      </c>
      <c r="R350" s="19">
        <f t="shared" si="151"/>
        <v>3848676914.9299607</v>
      </c>
      <c r="S350" s="19">
        <f t="shared" si="151"/>
        <v>4504626994.8245249</v>
      </c>
      <c r="T350" s="19">
        <f t="shared" si="151"/>
        <v>4512454118.4381924</v>
      </c>
      <c r="U350" s="19">
        <f t="shared" si="151"/>
        <v>4845330011.8186617</v>
      </c>
      <c r="V350" s="19">
        <f t="shared" si="151"/>
        <v>5372411777.227726</v>
      </c>
      <c r="W350" s="19">
        <f t="shared" si="151"/>
        <v>5878554282.0806847</v>
      </c>
      <c r="X350" s="19">
        <f t="shared" si="151"/>
        <v>6967643429.767725</v>
      </c>
      <c r="Y350" s="19">
        <f t="shared" si="151"/>
        <v>7003308307.4047031</v>
      </c>
      <c r="Z350" s="19">
        <f t="shared" si="151"/>
        <v>7063238436.2561512</v>
      </c>
      <c r="AD350" s="18">
        <f t="shared" si="152"/>
        <v>2118366987.8</v>
      </c>
      <c r="AE350" s="19">
        <f t="shared" si="153"/>
        <v>1446759986.2</v>
      </c>
      <c r="AF350" s="19">
        <f t="shared" si="149"/>
        <v>905159400</v>
      </c>
      <c r="AG350" s="19">
        <f>O350/31</f>
        <v>115004095.93548387</v>
      </c>
      <c r="AH350" s="18">
        <f>AD350/31</f>
        <v>68334418.961290315</v>
      </c>
      <c r="AI350" s="19">
        <f t="shared" si="154"/>
        <v>46669676.974193558</v>
      </c>
    </row>
    <row r="351" spans="1:35">
      <c r="A351" s="14" t="s">
        <v>74</v>
      </c>
      <c r="B351" s="18">
        <f t="shared" si="150"/>
        <v>110349399</v>
      </c>
      <c r="C351" s="18">
        <f t="shared" si="150"/>
        <v>891172521</v>
      </c>
      <c r="D351" s="18">
        <f t="shared" si="150"/>
        <v>1152136819</v>
      </c>
      <c r="E351" s="18">
        <f t="shared" si="150"/>
        <v>1356851505</v>
      </c>
      <c r="F351" s="18">
        <f t="shared" si="150"/>
        <v>1368748503</v>
      </c>
      <c r="G351" s="18">
        <f t="shared" si="150"/>
        <v>1447032251</v>
      </c>
      <c r="H351" s="18">
        <f t="shared" si="150"/>
        <v>1774843366</v>
      </c>
      <c r="I351" s="18">
        <f t="shared" si="151"/>
        <v>1747332835</v>
      </c>
      <c r="J351" s="18">
        <f t="shared" si="151"/>
        <v>2039813666</v>
      </c>
      <c r="K351" s="18">
        <f t="shared" si="151"/>
        <v>2271723862</v>
      </c>
      <c r="L351" s="18">
        <f t="shared" si="151"/>
        <v>2387378527</v>
      </c>
      <c r="M351" s="18">
        <f t="shared" si="151"/>
        <v>2517860165</v>
      </c>
      <c r="N351" s="18">
        <f t="shared" si="151"/>
        <v>3095935958</v>
      </c>
      <c r="O351" s="18">
        <f t="shared" si="151"/>
        <v>4194189698</v>
      </c>
      <c r="P351" s="19">
        <f t="shared" si="151"/>
        <v>5033941238</v>
      </c>
      <c r="Q351" s="19">
        <f t="shared" si="151"/>
        <v>4208674953.6407523</v>
      </c>
      <c r="R351" s="19">
        <f t="shared" si="151"/>
        <v>4453714113.4155102</v>
      </c>
      <c r="S351" s="19">
        <f t="shared" si="151"/>
        <v>5233832761.2354145</v>
      </c>
      <c r="T351" s="19">
        <f t="shared" si="151"/>
        <v>5244814487.670064</v>
      </c>
      <c r="U351" s="19">
        <f t="shared" si="151"/>
        <v>5670990633.5959558</v>
      </c>
      <c r="V351" s="19">
        <f t="shared" si="151"/>
        <v>5608430181.9377432</v>
      </c>
      <c r="W351" s="19">
        <f t="shared" si="151"/>
        <v>16911741555.255989</v>
      </c>
      <c r="X351" s="19">
        <f t="shared" si="151"/>
        <v>-135363229349.79083</v>
      </c>
      <c r="Y351" s="19">
        <f t="shared" si="151"/>
        <v>1914076229858.7183</v>
      </c>
      <c r="Z351" s="19">
        <f t="shared" si="151"/>
        <v>-23690948562902.383</v>
      </c>
      <c r="AD351" s="18">
        <f t="shared" si="152"/>
        <v>2462542435.5999999</v>
      </c>
      <c r="AE351" s="19">
        <f t="shared" si="153"/>
        <v>1731647262.4000001</v>
      </c>
      <c r="AF351" s="19">
        <f t="shared" si="149"/>
        <v>1098253740</v>
      </c>
      <c r="AG351" s="19">
        <f>O351/31</f>
        <v>135296441.87096775</v>
      </c>
      <c r="AH351" s="18">
        <f>AD351/31</f>
        <v>79436852.761290327</v>
      </c>
      <c r="AI351" s="19">
        <f t="shared" si="154"/>
        <v>55859589.109677419</v>
      </c>
    </row>
    <row r="352" spans="1:35">
      <c r="A352" s="14" t="s">
        <v>75</v>
      </c>
      <c r="B352" s="18">
        <f t="shared" si="150"/>
        <v>174182585</v>
      </c>
      <c r="C352" s="18">
        <f t="shared" si="150"/>
        <v>1072221016</v>
      </c>
      <c r="D352" s="18">
        <f t="shared" si="150"/>
        <v>1280444389</v>
      </c>
      <c r="E352" s="18">
        <f t="shared" si="150"/>
        <v>1578119761</v>
      </c>
      <c r="F352" s="18">
        <f t="shared" si="150"/>
        <v>1565627820</v>
      </c>
      <c r="G352" s="18">
        <f t="shared" si="150"/>
        <v>1647283615</v>
      </c>
      <c r="H352" s="18">
        <f t="shared" si="150"/>
        <v>2027739443</v>
      </c>
      <c r="I352" s="18">
        <f t="shared" si="151"/>
        <v>2007317500</v>
      </c>
      <c r="J352" s="18">
        <f t="shared" si="151"/>
        <v>2330299980</v>
      </c>
      <c r="K352" s="18">
        <f t="shared" si="151"/>
        <v>2556669123</v>
      </c>
      <c r="L352" s="18">
        <f t="shared" si="151"/>
        <v>2721342931</v>
      </c>
      <c r="M352" s="18">
        <f t="shared" si="151"/>
        <v>2822836340</v>
      </c>
      <c r="N352" s="18">
        <f t="shared" si="151"/>
        <v>3526066475</v>
      </c>
      <c r="O352" s="18">
        <f t="shared" si="151"/>
        <v>4805418070</v>
      </c>
      <c r="P352" s="19">
        <f t="shared" si="151"/>
        <v>5676902020</v>
      </c>
      <c r="Q352" s="19">
        <f t="shared" si="151"/>
        <v>4763787370.4796057</v>
      </c>
      <c r="R352" s="19">
        <f t="shared" si="151"/>
        <v>5063407442.1360741</v>
      </c>
      <c r="S352" s="19">
        <f t="shared" si="151"/>
        <v>5983599385.3218193</v>
      </c>
      <c r="T352" s="19">
        <f t="shared" si="151"/>
        <v>6010134125.0073891</v>
      </c>
      <c r="U352" s="19">
        <f t="shared" si="151"/>
        <v>6505548980.2538834</v>
      </c>
      <c r="V352" s="19">
        <f t="shared" si="151"/>
        <v>6554762789.348752</v>
      </c>
      <c r="W352" s="19">
        <f t="shared" si="151"/>
        <v>17952692963.40049</v>
      </c>
      <c r="X352" s="19">
        <f t="shared" si="151"/>
        <v>-134117534829.13875</v>
      </c>
      <c r="Y352" s="19">
        <f t="shared" si="151"/>
        <v>1915330242734.8416</v>
      </c>
      <c r="Z352" s="19">
        <f t="shared" si="151"/>
        <v>-23689668070581.711</v>
      </c>
      <c r="AD352" s="18">
        <f t="shared" si="152"/>
        <v>2791442969.8000002</v>
      </c>
      <c r="AE352" s="19">
        <f t="shared" si="153"/>
        <v>2013975100.1999998</v>
      </c>
      <c r="AF352" s="19">
        <f t="shared" si="149"/>
        <v>1279351595</v>
      </c>
      <c r="AG352" s="19">
        <f>O352/30</f>
        <v>160180602.33333334</v>
      </c>
      <c r="AH352" s="18">
        <f>AD352/30</f>
        <v>93048098.99333334</v>
      </c>
      <c r="AI352" s="19">
        <f t="shared" si="154"/>
        <v>67132503.340000004</v>
      </c>
    </row>
    <row r="353" spans="1:35">
      <c r="A353" s="14" t="s">
        <v>76</v>
      </c>
      <c r="B353" s="18">
        <f t="shared" si="150"/>
        <v>231939129</v>
      </c>
      <c r="C353" s="18">
        <f t="shared" si="150"/>
        <v>1254183970</v>
      </c>
      <c r="D353" s="18">
        <f t="shared" si="150"/>
        <v>1407968410</v>
      </c>
      <c r="E353" s="18">
        <f t="shared" si="150"/>
        <v>1807268014</v>
      </c>
      <c r="F353" s="18">
        <f t="shared" si="150"/>
        <v>1772616832</v>
      </c>
      <c r="G353" s="18">
        <f t="shared" si="150"/>
        <v>1827631390</v>
      </c>
      <c r="H353" s="18">
        <f t="shared" si="150"/>
        <v>2277639056</v>
      </c>
      <c r="I353" s="18">
        <f t="shared" si="151"/>
        <v>2274592467</v>
      </c>
      <c r="J353" s="18">
        <f t="shared" si="151"/>
        <v>2653757090</v>
      </c>
      <c r="K353" s="18">
        <f t="shared" si="151"/>
        <v>2859383964</v>
      </c>
      <c r="L353" s="18">
        <f t="shared" si="151"/>
        <v>2988672951</v>
      </c>
      <c r="M353" s="18">
        <f t="shared" si="151"/>
        <v>3164431773</v>
      </c>
      <c r="N353" s="18">
        <f t="shared" si="151"/>
        <v>3928082591</v>
      </c>
      <c r="O353" s="18">
        <f t="shared" si="151"/>
        <v>5383127676</v>
      </c>
      <c r="P353" s="19">
        <f t="shared" si="151"/>
        <v>6389461693</v>
      </c>
      <c r="Q353" s="19">
        <f t="shared" si="151"/>
        <v>5348387862.7315054</v>
      </c>
      <c r="R353" s="19">
        <f t="shared" si="151"/>
        <v>5706555094.1380348</v>
      </c>
      <c r="S353" s="19">
        <f t="shared" si="151"/>
        <v>6768519155.3641338</v>
      </c>
      <c r="T353" s="19">
        <f t="shared" si="151"/>
        <v>6810359957.333869</v>
      </c>
      <c r="U353" s="19">
        <f t="shared" si="151"/>
        <v>7398279922.6850281</v>
      </c>
      <c r="V353" s="19">
        <f t="shared" si="151"/>
        <v>7175134863.9122047</v>
      </c>
      <c r="W353" s="19">
        <f t="shared" si="151"/>
        <v>24637631214.989059</v>
      </c>
      <c r="X353" s="19">
        <f t="shared" si="151"/>
        <v>-212743949244.68243</v>
      </c>
      <c r="Y353" s="19">
        <f t="shared" si="151"/>
        <v>2978170717641.5371</v>
      </c>
      <c r="Z353" s="19">
        <f t="shared" si="151"/>
        <v>-36888139628131.695</v>
      </c>
      <c r="AD353" s="18">
        <f t="shared" si="152"/>
        <v>3118865673.8000002</v>
      </c>
      <c r="AE353" s="19">
        <f t="shared" si="153"/>
        <v>2264262002.1999998</v>
      </c>
      <c r="AF353" s="19">
        <f t="shared" si="149"/>
        <v>1455045085</v>
      </c>
      <c r="AG353" s="19">
        <f>O353/31</f>
        <v>173649279.87096775</v>
      </c>
      <c r="AH353" s="18">
        <f>AD353/31</f>
        <v>100608570.12258065</v>
      </c>
      <c r="AI353" s="19">
        <f t="shared" si="154"/>
        <v>73040709.748387098</v>
      </c>
    </row>
    <row r="354" spans="1:35">
      <c r="A354" s="14" t="s">
        <v>77</v>
      </c>
      <c r="B354" s="18">
        <f t="shared" si="150"/>
        <v>282315587</v>
      </c>
      <c r="C354" s="18">
        <f t="shared" si="150"/>
        <v>1421411697</v>
      </c>
      <c r="D354" s="18">
        <f t="shared" si="150"/>
        <v>1519438113</v>
      </c>
      <c r="E354" s="18">
        <f t="shared" si="150"/>
        <v>2001650763</v>
      </c>
      <c r="F354" s="18">
        <f t="shared" si="150"/>
        <v>1946579612</v>
      </c>
      <c r="G354" s="18">
        <f t="shared" si="150"/>
        <v>1993854609</v>
      </c>
      <c r="H354" s="18">
        <f t="shared" si="150"/>
        <v>2533910174</v>
      </c>
      <c r="I354" s="18">
        <f t="shared" si="151"/>
        <v>2535809665</v>
      </c>
      <c r="J354" s="18">
        <f t="shared" si="151"/>
        <v>2948636921</v>
      </c>
      <c r="K354" s="18">
        <f t="shared" si="151"/>
        <v>3110461740</v>
      </c>
      <c r="L354" s="18">
        <f t="shared" si="151"/>
        <v>3286508388</v>
      </c>
      <c r="M354" s="18">
        <f t="shared" si="151"/>
        <v>3549286681</v>
      </c>
      <c r="N354" s="18">
        <f t="shared" si="151"/>
        <v>4430808678</v>
      </c>
      <c r="O354" s="18">
        <f t="shared" si="151"/>
        <v>5932778472</v>
      </c>
      <c r="P354" s="19">
        <f t="shared" si="151"/>
        <v>7031702902</v>
      </c>
      <c r="Q354" s="19">
        <f t="shared" si="151"/>
        <v>5956790187.3506575</v>
      </c>
      <c r="R354" s="19">
        <f t="shared" si="151"/>
        <v>6419425939.9401264</v>
      </c>
      <c r="S354" s="19">
        <f t="shared" si="151"/>
        <v>7619068519.7555704</v>
      </c>
      <c r="T354" s="19">
        <f t="shared" si="151"/>
        <v>7670458932.8191786</v>
      </c>
      <c r="U354" s="19">
        <f t="shared" si="151"/>
        <v>8341743346.8752146</v>
      </c>
      <c r="V354" s="19">
        <f t="shared" si="151"/>
        <v>7871340461.0030613</v>
      </c>
      <c r="W354" s="19">
        <f t="shared" si="151"/>
        <v>30930663087.795708</v>
      </c>
      <c r="X354" s="19">
        <f t="shared" si="151"/>
        <v>-285064153961.39899</v>
      </c>
      <c r="Y354" s="19">
        <f t="shared" si="151"/>
        <v>3957988921292.8125</v>
      </c>
      <c r="Z354" s="19">
        <f t="shared" si="151"/>
        <v>-49053619273664.266</v>
      </c>
      <c r="AD354" s="18">
        <f t="shared" si="152"/>
        <v>3465140481.5999999</v>
      </c>
      <c r="AE354" s="19">
        <f t="shared" si="153"/>
        <v>2467637990.4000001</v>
      </c>
      <c r="AF354" s="19">
        <f t="shared" si="149"/>
        <v>1501969794</v>
      </c>
      <c r="AG354" s="19">
        <f>O354/30</f>
        <v>197759282.40000001</v>
      </c>
      <c r="AH354" s="18">
        <f>AD354/30</f>
        <v>115504682.72</v>
      </c>
      <c r="AI354" s="19">
        <f t="shared" si="154"/>
        <v>82254599.680000007</v>
      </c>
    </row>
    <row r="355" spans="1:35">
      <c r="A355" s="14" t="s">
        <v>78</v>
      </c>
      <c r="B355" s="18">
        <f t="shared" si="150"/>
        <v>336096066</v>
      </c>
      <c r="C355" s="18">
        <f t="shared" si="150"/>
        <v>1658387980</v>
      </c>
      <c r="D355" s="18">
        <f t="shared" si="150"/>
        <v>1613178058</v>
      </c>
      <c r="E355" s="18">
        <f t="shared" si="150"/>
        <v>2266511994</v>
      </c>
      <c r="F355" s="18">
        <f t="shared" si="150"/>
        <v>2230601028</v>
      </c>
      <c r="G355" s="18">
        <f t="shared" si="150"/>
        <v>2181644186</v>
      </c>
      <c r="H355" s="18">
        <f t="shared" si="150"/>
        <v>2861002967</v>
      </c>
      <c r="I355" s="18">
        <f t="shared" si="151"/>
        <v>2823297639</v>
      </c>
      <c r="J355" s="18">
        <f t="shared" si="151"/>
        <v>3304367932</v>
      </c>
      <c r="K355" s="18">
        <f t="shared" si="151"/>
        <v>3409757533</v>
      </c>
      <c r="L355" s="18">
        <f t="shared" si="151"/>
        <v>3648801299</v>
      </c>
      <c r="M355" s="18">
        <f t="shared" si="151"/>
        <v>3999219898</v>
      </c>
      <c r="N355" s="18">
        <f t="shared" si="151"/>
        <v>4908393696</v>
      </c>
      <c r="O355" s="18">
        <f t="shared" si="151"/>
        <v>6598141237</v>
      </c>
      <c r="P355" s="19">
        <f t="shared" si="151"/>
        <v>7824821126</v>
      </c>
      <c r="Q355" s="19">
        <f t="shared" si="151"/>
        <v>6841989289.0475292</v>
      </c>
      <c r="R355" s="19">
        <f t="shared" si="151"/>
        <v>7222865730.2060337</v>
      </c>
      <c r="S355" s="19">
        <f t="shared" si="151"/>
        <v>8572218990.0469332</v>
      </c>
      <c r="T355" s="19">
        <f t="shared" si="151"/>
        <v>8632769207.3324566</v>
      </c>
      <c r="U355" s="19">
        <f t="shared" si="151"/>
        <v>9308018950.0716953</v>
      </c>
      <c r="V355" s="19">
        <f t="shared" si="151"/>
        <v>10367967282.602001</v>
      </c>
      <c r="W355" s="19">
        <f t="shared" si="151"/>
        <v>11320909853.075027</v>
      </c>
      <c r="X355" s="19">
        <f t="shared" si="151"/>
        <v>13459195504.039673</v>
      </c>
      <c r="Y355" s="19">
        <f t="shared" si="151"/>
        <v>13488797664.030762</v>
      </c>
      <c r="Z355" s="19">
        <f t="shared" si="151"/>
        <v>13651672280.445313</v>
      </c>
      <c r="AD355" s="18">
        <f t="shared" si="152"/>
        <v>3854108071.5999999</v>
      </c>
      <c r="AE355" s="19">
        <f t="shared" si="153"/>
        <v>2744033165.4000001</v>
      </c>
      <c r="AF355" s="19">
        <f t="shared" si="149"/>
        <v>1689747541</v>
      </c>
      <c r="AG355" s="19">
        <f>O355/31</f>
        <v>212843265.70967743</v>
      </c>
      <c r="AH355" s="18">
        <f>AD355/31</f>
        <v>124326066.82580645</v>
      </c>
      <c r="AI355" s="19">
        <f t="shared" si="154"/>
        <v>88517198.883870974</v>
      </c>
    </row>
    <row r="356" spans="1:35">
      <c r="AD356" s="18"/>
      <c r="AE356" s="19"/>
    </row>
    <row r="358" spans="1:35" ht="15.75">
      <c r="A358" s="15" t="s">
        <v>88</v>
      </c>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spans="1:35">
      <c r="D359" s="14">
        <f>D327</f>
        <v>2012</v>
      </c>
      <c r="E359" s="14">
        <f>E327</f>
        <v>2013</v>
      </c>
      <c r="F359" s="14">
        <f>F327</f>
        <v>2014</v>
      </c>
      <c r="G359" s="14">
        <f>G327</f>
        <v>2015</v>
      </c>
      <c r="H359" s="14">
        <f>H327</f>
        <v>2016</v>
      </c>
      <c r="I359" s="14">
        <f t="shared" ref="I359:Z359" si="155">I327</f>
        <v>2017</v>
      </c>
      <c r="J359" s="14">
        <f t="shared" si="155"/>
        <v>2018</v>
      </c>
      <c r="K359" s="14">
        <f t="shared" si="155"/>
        <v>2019</v>
      </c>
      <c r="L359" s="14">
        <f t="shared" si="155"/>
        <v>2020</v>
      </c>
      <c r="M359" s="14">
        <f t="shared" si="155"/>
        <v>2021</v>
      </c>
      <c r="N359" s="14">
        <f t="shared" si="155"/>
        <v>2022</v>
      </c>
      <c r="O359" s="14">
        <f t="shared" si="155"/>
        <v>2023</v>
      </c>
      <c r="P359" s="14">
        <f t="shared" si="155"/>
        <v>2024</v>
      </c>
      <c r="Q359" s="14">
        <f t="shared" si="155"/>
        <v>2025</v>
      </c>
      <c r="R359" s="14">
        <f t="shared" si="155"/>
        <v>2026</v>
      </c>
      <c r="S359" s="14">
        <f t="shared" si="155"/>
        <v>2027</v>
      </c>
      <c r="T359" s="14">
        <f t="shared" si="155"/>
        <v>2028</v>
      </c>
      <c r="U359" s="14">
        <f t="shared" si="155"/>
        <v>2029</v>
      </c>
      <c r="V359" s="14">
        <f t="shared" si="155"/>
        <v>2030</v>
      </c>
      <c r="W359" s="14">
        <f t="shared" si="155"/>
        <v>2031</v>
      </c>
      <c r="X359" s="14">
        <f t="shared" si="155"/>
        <v>2032</v>
      </c>
      <c r="Y359" s="14">
        <f t="shared" si="155"/>
        <v>2033</v>
      </c>
      <c r="Z359" s="14">
        <f t="shared" si="155"/>
        <v>2034</v>
      </c>
    </row>
    <row r="360" spans="1:35">
      <c r="A360" s="14" t="s">
        <v>68</v>
      </c>
      <c r="C360" s="33"/>
      <c r="D360" s="33">
        <f t="shared" ref="D360:Z371" si="156">D344/C344-1</f>
        <v>0.71288608472554116</v>
      </c>
      <c r="E360" s="33">
        <f t="shared" si="156"/>
        <v>0.11834214532854048</v>
      </c>
      <c r="F360" s="33">
        <f t="shared" si="156"/>
        <v>-5.8049377967610338E-2</v>
      </c>
      <c r="G360" s="33">
        <f t="shared" si="156"/>
        <v>0.10734167067419098</v>
      </c>
      <c r="H360" s="33">
        <f t="shared" si="156"/>
        <v>0.30648512671515404</v>
      </c>
      <c r="I360" s="33">
        <f t="shared" si="156"/>
        <v>-0.11917481284008702</v>
      </c>
      <c r="J360" s="33">
        <f t="shared" si="156"/>
        <v>0.44750019903413163</v>
      </c>
      <c r="K360" s="33">
        <f t="shared" si="156"/>
        <v>0.18294233568846119</v>
      </c>
      <c r="L360" s="33">
        <f t="shared" si="156"/>
        <v>0.11201343411731068</v>
      </c>
      <c r="M360" s="33">
        <f t="shared" si="156"/>
        <v>-7.7363254287157179E-3</v>
      </c>
      <c r="N360" s="33">
        <f t="shared" si="156"/>
        <v>0.15193938600997003</v>
      </c>
      <c r="O360" s="33">
        <f t="shared" si="156"/>
        <v>0.50690569561617438</v>
      </c>
      <c r="P360" s="33">
        <f t="shared" si="156"/>
        <v>0.33020012874721161</v>
      </c>
      <c r="Q360" s="34">
        <f t="shared" si="156"/>
        <v>-0.17053466500841097</v>
      </c>
      <c r="R360" s="34">
        <f t="shared" si="156"/>
        <v>-1.3342719673253622E-2</v>
      </c>
      <c r="S360" s="34">
        <f t="shared" si="156"/>
        <v>0.13422952081216888</v>
      </c>
      <c r="T360" s="34">
        <f t="shared" si="156"/>
        <v>4.0555046960240038E-3</v>
      </c>
      <c r="U360" s="34">
        <f t="shared" si="156"/>
        <v>5.9057775413147384E-2</v>
      </c>
      <c r="V360" s="34">
        <f t="shared" si="156"/>
        <v>9.409271393439278E-2</v>
      </c>
      <c r="W360" s="34">
        <f t="shared" si="156"/>
        <v>0.10121473744724829</v>
      </c>
      <c r="X360" s="34">
        <f t="shared" si="156"/>
        <v>0.18097255414444913</v>
      </c>
      <c r="Y360" s="34">
        <f t="shared" si="156"/>
        <v>3.6886118858444394E-2</v>
      </c>
      <c r="Z360" s="34">
        <f t="shared" si="156"/>
        <v>-1.0598873034074918E-2</v>
      </c>
    </row>
    <row r="361" spans="1:35">
      <c r="A361" s="14" t="s">
        <v>69</v>
      </c>
      <c r="C361" s="33"/>
      <c r="D361" s="33">
        <f t="shared" si="156"/>
        <v>0.75182020864961951</v>
      </c>
      <c r="E361" s="33">
        <f t="shared" si="156"/>
        <v>5.0769887931808144E-2</v>
      </c>
      <c r="F361" s="33">
        <f t="shared" si="156"/>
        <v>2.4070800394408787E-2</v>
      </c>
      <c r="G361" s="33">
        <f t="shared" si="156"/>
        <v>1.122611718611255E-2</v>
      </c>
      <c r="H361" s="33">
        <f t="shared" si="156"/>
        <v>0.35003867746129469</v>
      </c>
      <c r="I361" s="33">
        <f t="shared" si="156"/>
        <v>-8.703821881026752E-2</v>
      </c>
      <c r="J361" s="33">
        <f t="shared" si="156"/>
        <v>0.40467408479830458</v>
      </c>
      <c r="K361" s="33">
        <f t="shared" si="156"/>
        <v>0.17227733990651228</v>
      </c>
      <c r="L361" s="33">
        <f t="shared" si="156"/>
        <v>7.6981571067115784E-2</v>
      </c>
      <c r="M361" s="33">
        <f t="shared" si="156"/>
        <v>-1.0452631122842893E-2</v>
      </c>
      <c r="N361" s="33">
        <f t="shared" si="156"/>
        <v>0.24951179860608153</v>
      </c>
      <c r="O361" s="33">
        <f t="shared" si="156"/>
        <v>0.34610790339147446</v>
      </c>
      <c r="P361" s="33">
        <f t="shared" si="156"/>
        <v>0.36728210328716449</v>
      </c>
      <c r="Q361" s="34">
        <f t="shared" si="156"/>
        <v>-0.20533499504326591</v>
      </c>
      <c r="R361" s="34">
        <f t="shared" si="156"/>
        <v>8.5560159285085868E-2</v>
      </c>
      <c r="S361" s="34">
        <f t="shared" si="156"/>
        <v>0.17111141745295311</v>
      </c>
      <c r="T361" s="34">
        <f t="shared" si="156"/>
        <v>1.606520024555369E-2</v>
      </c>
      <c r="U361" s="34">
        <f t="shared" si="156"/>
        <v>7.9288456625628889E-2</v>
      </c>
      <c r="V361" s="34">
        <f t="shared" si="156"/>
        <v>0.11454789030666279</v>
      </c>
      <c r="W361" s="34">
        <f t="shared" si="156"/>
        <v>0.10634676489059158</v>
      </c>
      <c r="X361" s="34">
        <f t="shared" si="156"/>
        <v>0.18938069043840655</v>
      </c>
      <c r="Y361" s="34">
        <f t="shared" si="156"/>
        <v>2.0093730722264391E-2</v>
      </c>
      <c r="Z361" s="34">
        <f t="shared" si="156"/>
        <v>7.4033974942326886E-3</v>
      </c>
    </row>
    <row r="362" spans="1:35">
      <c r="A362" s="14" t="s">
        <v>70</v>
      </c>
      <c r="C362" s="33"/>
      <c r="D362" s="33">
        <f t="shared" si="156"/>
        <v>0.64171916291929443</v>
      </c>
      <c r="E362" s="33">
        <f t="shared" si="156"/>
        <v>3.7785451429549477E-2</v>
      </c>
      <c r="F362" s="33">
        <f t="shared" si="156"/>
        <v>3.2391325052012254E-2</v>
      </c>
      <c r="G362" s="33">
        <f t="shared" si="156"/>
        <v>1.7768199205079105E-2</v>
      </c>
      <c r="H362" s="33">
        <f t="shared" si="156"/>
        <v>0.34160636143051759</v>
      </c>
      <c r="I362" s="33">
        <f t="shared" si="156"/>
        <v>-0.10023739526949327</v>
      </c>
      <c r="J362" s="33">
        <f t="shared" si="156"/>
        <v>0.37849322731192969</v>
      </c>
      <c r="K362" s="33">
        <f t="shared" si="156"/>
        <v>0.13748379749352369</v>
      </c>
      <c r="L362" s="33">
        <f t="shared" si="156"/>
        <v>7.4479521197442944E-2</v>
      </c>
      <c r="M362" s="33">
        <f t="shared" si="156"/>
        <v>2.3440139879707944E-2</v>
      </c>
      <c r="N362" s="33">
        <f t="shared" si="156"/>
        <v>0.23008900485626116</v>
      </c>
      <c r="O362" s="33">
        <f t="shared" si="156"/>
        <v>0.32551757260594694</v>
      </c>
      <c r="P362" s="33">
        <f t="shared" si="156"/>
        <v>0.27244235465427202</v>
      </c>
      <c r="Q362" s="34">
        <f t="shared" si="156"/>
        <v>-0.15576802085761587</v>
      </c>
      <c r="R362" s="34">
        <f t="shared" si="156"/>
        <v>5.3141050681737134E-2</v>
      </c>
      <c r="S362" s="34">
        <f t="shared" si="156"/>
        <v>0.15512419595071303</v>
      </c>
      <c r="T362" s="34">
        <f t="shared" si="156"/>
        <v>3.2807384507445025E-3</v>
      </c>
      <c r="U362" s="34">
        <f t="shared" si="156"/>
        <v>6.7336105141489577E-2</v>
      </c>
      <c r="V362" s="34">
        <f t="shared" si="156"/>
        <v>0.10242941712866704</v>
      </c>
      <c r="W362" s="34">
        <f t="shared" si="156"/>
        <v>0.10097483863924239</v>
      </c>
      <c r="X362" s="34">
        <f t="shared" si="156"/>
        <v>0.18417702562163951</v>
      </c>
      <c r="Y362" s="34">
        <f t="shared" si="156"/>
        <v>1.1676595130325262E-2</v>
      </c>
      <c r="Z362" s="34">
        <f t="shared" si="156"/>
        <v>4.1877626999846651E-3</v>
      </c>
    </row>
    <row r="363" spans="1:35">
      <c r="A363" s="14" t="s">
        <v>71</v>
      </c>
      <c r="C363" s="33"/>
      <c r="D363" s="33">
        <f t="shared" si="156"/>
        <v>0.53932813927385537</v>
      </c>
      <c r="E363" s="33">
        <f t="shared" si="156"/>
        <v>7.5506166087315085E-2</v>
      </c>
      <c r="F363" s="33">
        <f t="shared" si="156"/>
        <v>3.8632441700411579E-2</v>
      </c>
      <c r="G363" s="33">
        <f t="shared" si="156"/>
        <v>2.662930882058312E-2</v>
      </c>
      <c r="H363" s="33">
        <f t="shared" si="156"/>
        <v>0.2994154121626631</v>
      </c>
      <c r="I363" s="33">
        <f t="shared" si="156"/>
        <v>-7.6150551111463294E-2</v>
      </c>
      <c r="J363" s="33">
        <f t="shared" si="156"/>
        <v>0.31567586276159965</v>
      </c>
      <c r="K363" s="33">
        <f t="shared" si="156"/>
        <v>0.14870876929352006</v>
      </c>
      <c r="L363" s="33">
        <f t="shared" si="156"/>
        <v>3.7513209522871627E-2</v>
      </c>
      <c r="M363" s="33">
        <f t="shared" si="156"/>
        <v>2.8222763610029622E-2</v>
      </c>
      <c r="N363" s="33">
        <f t="shared" si="156"/>
        <v>0.25240129334627248</v>
      </c>
      <c r="O363" s="33">
        <f t="shared" si="156"/>
        <v>0.3024484079905625</v>
      </c>
      <c r="P363" s="33">
        <f t="shared" si="156"/>
        <v>0.30149424934511537</v>
      </c>
      <c r="Q363" s="34">
        <f t="shared" si="156"/>
        <v>-0.16735116627425606</v>
      </c>
      <c r="R363" s="34">
        <f t="shared" si="156"/>
        <v>3.4860264360026871E-2</v>
      </c>
      <c r="S363" s="34">
        <f t="shared" si="156"/>
        <v>0.15764824529807209</v>
      </c>
      <c r="T363" s="34">
        <f t="shared" si="156"/>
        <v>-4.0865658238475877E-4</v>
      </c>
      <c r="U363" s="34">
        <f t="shared" si="156"/>
        <v>7.020835057527175E-2</v>
      </c>
      <c r="V363" s="34">
        <f t="shared" si="156"/>
        <v>0.10281249155707428</v>
      </c>
      <c r="W363" s="34">
        <f t="shared" si="156"/>
        <v>9.7033252866633113E-2</v>
      </c>
      <c r="X363" s="34">
        <f t="shared" si="156"/>
        <v>0.18351968488475578</v>
      </c>
      <c r="Y363" s="34">
        <f t="shared" si="156"/>
        <v>8.2558426159295983E-3</v>
      </c>
      <c r="Z363" s="34">
        <f t="shared" si="156"/>
        <v>5.1631879467188835E-3</v>
      </c>
    </row>
    <row r="364" spans="1:35">
      <c r="A364" s="14" t="s">
        <v>47</v>
      </c>
      <c r="C364" s="33"/>
      <c r="D364" s="33">
        <f t="shared" si="156"/>
        <v>0.47121362850517601</v>
      </c>
      <c r="E364" s="33">
        <f t="shared" si="156"/>
        <v>8.0009391526163043E-2</v>
      </c>
      <c r="F364" s="33">
        <f t="shared" si="156"/>
        <v>4.2489382558560829E-2</v>
      </c>
      <c r="G364" s="33">
        <f t="shared" si="156"/>
        <v>4.0843682694659433E-2</v>
      </c>
      <c r="H364" s="33">
        <f t="shared" si="156"/>
        <v>0.25982275113696862</v>
      </c>
      <c r="I364" s="33">
        <f t="shared" si="156"/>
        <v>-3.5772670177886767E-2</v>
      </c>
      <c r="J364" s="33">
        <f t="shared" si="156"/>
        <v>0.25434661206634845</v>
      </c>
      <c r="K364" s="33">
        <f t="shared" si="156"/>
        <v>0.13748844347493949</v>
      </c>
      <c r="L364" s="33">
        <f t="shared" si="156"/>
        <v>1.3395671777103546E-2</v>
      </c>
      <c r="M364" s="33">
        <f t="shared" si="156"/>
        <v>4.7028914396571864E-2</v>
      </c>
      <c r="N364" s="33">
        <f t="shared" si="156"/>
        <v>0.27326874951309144</v>
      </c>
      <c r="O364" s="33">
        <f t="shared" si="156"/>
        <v>0.33291203622760812</v>
      </c>
      <c r="P364" s="33">
        <f t="shared" si="156"/>
        <v>0.20898264457610227</v>
      </c>
      <c r="Q364" s="34">
        <f t="shared" si="156"/>
        <v>-0.14671190238650389</v>
      </c>
      <c r="R364" s="34">
        <f t="shared" si="156"/>
        <v>4.523941993773084E-2</v>
      </c>
      <c r="S364" s="34">
        <f t="shared" si="156"/>
        <v>0.16413451431662063</v>
      </c>
      <c r="T364" s="34">
        <f t="shared" si="156"/>
        <v>2.3040290206943759E-4</v>
      </c>
      <c r="U364" s="34">
        <f t="shared" si="156"/>
        <v>7.2046918571063046E-2</v>
      </c>
      <c r="V364" s="34">
        <f t="shared" si="156"/>
        <v>0.10558280874130821</v>
      </c>
      <c r="W364" s="34">
        <f t="shared" si="156"/>
        <v>9.5765225779649743E-2</v>
      </c>
      <c r="X364" s="34">
        <f t="shared" si="156"/>
        <v>0.18432143199096984</v>
      </c>
      <c r="Y364" s="34">
        <f t="shared" si="156"/>
        <v>6.648052520060066E-3</v>
      </c>
      <c r="Z364" s="34">
        <f t="shared" si="156"/>
        <v>6.7155782990928614E-3</v>
      </c>
    </row>
    <row r="365" spans="1:35">
      <c r="A365" s="14" t="s">
        <v>72</v>
      </c>
      <c r="C365" s="33"/>
      <c r="D365" s="33">
        <f t="shared" si="156"/>
        <v>0.44077480496081267</v>
      </c>
      <c r="E365" s="33">
        <f t="shared" si="156"/>
        <v>9.1079917282904876E-2</v>
      </c>
      <c r="F365" s="33">
        <f t="shared" si="156"/>
        <v>4.3061868307763485E-2</v>
      </c>
      <c r="G365" s="33">
        <f t="shared" si="156"/>
        <v>5.7265282295158704E-2</v>
      </c>
      <c r="H365" s="33">
        <f t="shared" si="156"/>
        <v>0.23418796233035644</v>
      </c>
      <c r="I365" s="33">
        <f t="shared" si="156"/>
        <v>-3.2109166231098274E-2</v>
      </c>
      <c r="J365" s="33">
        <f t="shared" si="156"/>
        <v>0.21398911331627546</v>
      </c>
      <c r="K365" s="33">
        <f t="shared" si="156"/>
        <v>0.12790954073447836</v>
      </c>
      <c r="L365" s="33">
        <f t="shared" si="156"/>
        <v>4.4454851193688194E-2</v>
      </c>
      <c r="M365" s="33">
        <f t="shared" si="156"/>
        <v>4.3515155432865438E-2</v>
      </c>
      <c r="N365" s="33">
        <f t="shared" si="156"/>
        <v>0.25563956409167443</v>
      </c>
      <c r="O365" s="33">
        <f t="shared" si="156"/>
        <v>0.34202200862580834</v>
      </c>
      <c r="P365" s="33">
        <f t="shared" si="156"/>
        <v>0.2063229549141965</v>
      </c>
      <c r="Q365" s="34">
        <f t="shared" si="156"/>
        <v>-0.15450071243510111</v>
      </c>
      <c r="R365" s="34">
        <f t="shared" si="156"/>
        <v>5.0967200043020799E-2</v>
      </c>
      <c r="S365" s="34">
        <f t="shared" si="156"/>
        <v>0.16682665123383345</v>
      </c>
      <c r="T365" s="34">
        <f t="shared" si="156"/>
        <v>6.9803081511166098E-4</v>
      </c>
      <c r="U365" s="34">
        <f t="shared" si="156"/>
        <v>7.1852830630209752E-2</v>
      </c>
      <c r="V365" s="34">
        <f t="shared" si="156"/>
        <v>0.10735706289501956</v>
      </c>
      <c r="W365" s="34">
        <f t="shared" si="156"/>
        <v>9.4568174337894551E-2</v>
      </c>
      <c r="X365" s="34">
        <f t="shared" si="156"/>
        <v>0.18463043145676949</v>
      </c>
      <c r="Y365" s="34">
        <f t="shared" si="156"/>
        <v>5.601728636769554E-3</v>
      </c>
      <c r="Z365" s="34">
        <f t="shared" si="156"/>
        <v>7.5477484625867675E-3</v>
      </c>
    </row>
    <row r="366" spans="1:35">
      <c r="A366" s="14" t="s">
        <v>73</v>
      </c>
      <c r="C366" s="33"/>
      <c r="D366" s="33">
        <f t="shared" si="156"/>
        <v>0.37581027198468409</v>
      </c>
      <c r="E366" s="33">
        <f t="shared" si="156"/>
        <v>0.13870470033970372</v>
      </c>
      <c r="F366" s="33">
        <f t="shared" si="156"/>
        <v>3.284493407527278E-2</v>
      </c>
      <c r="G366" s="33">
        <f t="shared" si="156"/>
        <v>5.0107084523315581E-2</v>
      </c>
      <c r="H366" s="33">
        <f t="shared" si="156"/>
        <v>0.20862870471870987</v>
      </c>
      <c r="I366" s="33">
        <f t="shared" si="156"/>
        <v>-1.4295517942437774E-2</v>
      </c>
      <c r="J366" s="33">
        <f t="shared" si="156"/>
        <v>0.18560965429964682</v>
      </c>
      <c r="K366" s="33">
        <f t="shared" si="156"/>
        <v>0.14251261756640465</v>
      </c>
      <c r="L366" s="33">
        <f t="shared" si="156"/>
        <v>3.2972815046890425E-2</v>
      </c>
      <c r="M366" s="33">
        <f t="shared" si="156"/>
        <v>4.3725131153766972E-2</v>
      </c>
      <c r="N366" s="33">
        <f t="shared" si="156"/>
        <v>0.23994997641460536</v>
      </c>
      <c r="O366" s="33">
        <f t="shared" si="156"/>
        <v>0.34028963692923564</v>
      </c>
      <c r="P366" s="34">
        <f t="shared" si="156"/>
        <v>0.22968774211181864</v>
      </c>
      <c r="Q366" s="34">
        <f t="shared" si="156"/>
        <v>-0.16812936569486658</v>
      </c>
      <c r="R366" s="34">
        <f t="shared" si="156"/>
        <v>5.5324000887461811E-2</v>
      </c>
      <c r="S366" s="34">
        <f t="shared" si="156"/>
        <v>0.17043521563214958</v>
      </c>
      <c r="T366" s="34">
        <f t="shared" si="156"/>
        <v>1.7375741926379806E-3</v>
      </c>
      <c r="U366" s="34">
        <f t="shared" si="156"/>
        <v>7.3768261048974715E-2</v>
      </c>
      <c r="V366" s="34">
        <f t="shared" si="156"/>
        <v>0.10878139654541874</v>
      </c>
      <c r="W366" s="34">
        <f t="shared" si="156"/>
        <v>9.421141301907765E-2</v>
      </c>
      <c r="X366" s="34">
        <f t="shared" si="156"/>
        <v>0.18526479393187856</v>
      </c>
      <c r="Y366" s="34">
        <f t="shared" si="156"/>
        <v>5.1186427658751477E-3</v>
      </c>
      <c r="Z366" s="34">
        <f t="shared" si="156"/>
        <v>8.5574026189998431E-3</v>
      </c>
    </row>
    <row r="367" spans="1:35">
      <c r="A367" s="14" t="s">
        <v>74</v>
      </c>
      <c r="C367" s="33"/>
      <c r="D367" s="33">
        <f t="shared" si="156"/>
        <v>0.29283252327749909</v>
      </c>
      <c r="E367" s="33">
        <f t="shared" si="156"/>
        <v>0.1776826177447246</v>
      </c>
      <c r="F367" s="33">
        <f t="shared" si="156"/>
        <v>8.7680913911061253E-3</v>
      </c>
      <c r="G367" s="33">
        <f t="shared" si="156"/>
        <v>5.7193668397385711E-2</v>
      </c>
      <c r="H367" s="33">
        <f t="shared" si="156"/>
        <v>0.22654029637104478</v>
      </c>
      <c r="I367" s="33">
        <f t="shared" si="156"/>
        <v>-1.5500258516897181E-2</v>
      </c>
      <c r="J367" s="33">
        <f t="shared" si="156"/>
        <v>0.16738701702472158</v>
      </c>
      <c r="K367" s="33">
        <f t="shared" si="156"/>
        <v>0.11369185326362063</v>
      </c>
      <c r="L367" s="33">
        <f t="shared" si="156"/>
        <v>5.0910529635489699E-2</v>
      </c>
      <c r="M367" s="33">
        <f t="shared" si="156"/>
        <v>5.4654775740135442E-2</v>
      </c>
      <c r="N367" s="33">
        <f t="shared" si="156"/>
        <v>0.22959011029907606</v>
      </c>
      <c r="O367" s="33">
        <f t="shared" si="156"/>
        <v>0.35474045810349408</v>
      </c>
      <c r="P367" s="34">
        <f t="shared" si="156"/>
        <v>0.20021782524534726</v>
      </c>
      <c r="Q367" s="34">
        <f t="shared" si="156"/>
        <v>-0.16394038892021878</v>
      </c>
      <c r="R367" s="34">
        <f t="shared" si="156"/>
        <v>5.8222400749381897E-2</v>
      </c>
      <c r="S367" s="34">
        <f t="shared" si="156"/>
        <v>0.17516136598665488</v>
      </c>
      <c r="T367" s="34">
        <f t="shared" si="156"/>
        <v>2.0982188265521451E-3</v>
      </c>
      <c r="U367" s="34">
        <f t="shared" si="156"/>
        <v>8.1256667309736352E-2</v>
      </c>
      <c r="V367" s="34">
        <f t="shared" si="156"/>
        <v>-1.1031661961773187E-2</v>
      </c>
      <c r="W367" s="34">
        <f t="shared" si="156"/>
        <v>2.0154144754660903</v>
      </c>
      <c r="X367" s="34">
        <f t="shared" si="156"/>
        <v>-9.0040975618931078</v>
      </c>
      <c r="Y367" s="34">
        <f t="shared" si="156"/>
        <v>-15.140296733853564</v>
      </c>
      <c r="Z367" s="34">
        <f t="shared" si="156"/>
        <v>-13.377223118564645</v>
      </c>
    </row>
    <row r="368" spans="1:35">
      <c r="A368" s="14" t="s">
        <v>75</v>
      </c>
      <c r="C368" s="33"/>
      <c r="D368" s="33">
        <f t="shared" si="156"/>
        <v>0.19419818292388324</v>
      </c>
      <c r="E368" s="33">
        <f t="shared" si="156"/>
        <v>0.2324781728572205</v>
      </c>
      <c r="F368" s="33">
        <f t="shared" si="156"/>
        <v>-7.9157116644203995E-3</v>
      </c>
      <c r="G368" s="33">
        <f t="shared" si="156"/>
        <v>5.2155304061983321E-2</v>
      </c>
      <c r="H368" s="33">
        <f t="shared" si="156"/>
        <v>0.23095951694996986</v>
      </c>
      <c r="I368" s="33">
        <f t="shared" si="156"/>
        <v>-1.0071285573942435E-2</v>
      </c>
      <c r="J368" s="33">
        <f t="shared" si="156"/>
        <v>0.16090253783967912</v>
      </c>
      <c r="K368" s="33">
        <f t="shared" si="156"/>
        <v>9.7141631954182905E-2</v>
      </c>
      <c r="L368" s="33">
        <f t="shared" si="156"/>
        <v>6.4409510999519304E-2</v>
      </c>
      <c r="M368" s="33">
        <f t="shared" si="156"/>
        <v>3.7295339680951001E-2</v>
      </c>
      <c r="N368" s="33">
        <f t="shared" si="156"/>
        <v>0.24912182298177443</v>
      </c>
      <c r="O368" s="33">
        <f t="shared" si="156"/>
        <v>0.36282685084659394</v>
      </c>
      <c r="P368" s="34">
        <f t="shared" si="156"/>
        <v>0.18135444977006965</v>
      </c>
      <c r="Q368" s="34">
        <f t="shared" si="156"/>
        <v>-0.16084735059781674</v>
      </c>
      <c r="R368" s="34">
        <f t="shared" si="156"/>
        <v>6.2895349509754395E-2</v>
      </c>
      <c r="S368" s="34">
        <f t="shared" si="156"/>
        <v>0.18173373438767726</v>
      </c>
      <c r="T368" s="34">
        <f t="shared" si="156"/>
        <v>4.4345782491155283E-3</v>
      </c>
      <c r="U368" s="34">
        <f t="shared" si="156"/>
        <v>8.2429916694394034E-2</v>
      </c>
      <c r="V368" s="34">
        <f t="shared" si="156"/>
        <v>7.5648971738198068E-3</v>
      </c>
      <c r="W368" s="34">
        <f t="shared" si="156"/>
        <v>1.7388775979159696</v>
      </c>
      <c r="X368" s="34">
        <f t="shared" si="156"/>
        <v>-8.4706081757516465</v>
      </c>
      <c r="Y368" s="34">
        <f t="shared" si="156"/>
        <v>-15.280983058441301</v>
      </c>
      <c r="Z368" s="34">
        <f t="shared" si="156"/>
        <v>-13.36845090314867</v>
      </c>
    </row>
    <row r="369" spans="1:26">
      <c r="A369" s="14" t="s">
        <v>76</v>
      </c>
      <c r="C369" s="33"/>
      <c r="D369" s="33">
        <f t="shared" si="156"/>
        <v>0.12261713088232185</v>
      </c>
      <c r="E369" s="33">
        <f t="shared" si="156"/>
        <v>0.2835998316183812</v>
      </c>
      <c r="F369" s="33">
        <f t="shared" si="156"/>
        <v>-1.9173239238217343E-2</v>
      </c>
      <c r="G369" s="33">
        <f t="shared" si="156"/>
        <v>3.1035786757100947E-2</v>
      </c>
      <c r="H369" s="33">
        <f t="shared" si="156"/>
        <v>0.24622452233105929</v>
      </c>
      <c r="I369" s="33">
        <f t="shared" si="156"/>
        <v>-1.3376083413982887E-3</v>
      </c>
      <c r="J369" s="33">
        <f t="shared" si="156"/>
        <v>0.1666956294373414</v>
      </c>
      <c r="K369" s="33">
        <f t="shared" si="156"/>
        <v>7.7485190628355571E-2</v>
      </c>
      <c r="L369" s="33">
        <f t="shared" si="156"/>
        <v>4.5215678841234563E-2</v>
      </c>
      <c r="M369" s="33">
        <f t="shared" si="156"/>
        <v>5.8808315557308255E-2</v>
      </c>
      <c r="N369" s="33">
        <f t="shared" si="156"/>
        <v>0.24132320516932193</v>
      </c>
      <c r="O369" s="33">
        <f t="shared" si="156"/>
        <v>0.3704212045677937</v>
      </c>
      <c r="P369" s="34">
        <f t="shared" si="156"/>
        <v>0.18694225319726554</v>
      </c>
      <c r="Q369" s="34">
        <f t="shared" si="156"/>
        <v>-0.1629360782316055</v>
      </c>
      <c r="R369" s="34">
        <f t="shared" si="156"/>
        <v>6.6967325593998206E-2</v>
      </c>
      <c r="S369" s="34">
        <f t="shared" si="156"/>
        <v>0.18609547155988815</v>
      </c>
      <c r="T369" s="34">
        <f t="shared" si="156"/>
        <v>6.1816774111624895E-3</v>
      </c>
      <c r="U369" s="34">
        <f t="shared" si="156"/>
        <v>8.6327296799935782E-2</v>
      </c>
      <c r="V369" s="34">
        <f t="shared" si="156"/>
        <v>-3.0161748555715406E-2</v>
      </c>
      <c r="W369" s="34">
        <f t="shared" si="156"/>
        <v>2.4337516551647811</v>
      </c>
      <c r="X369" s="34">
        <f t="shared" si="156"/>
        <v>-9.6349189736736189</v>
      </c>
      <c r="Y369" s="34">
        <f t="shared" si="156"/>
        <v>-14.998850393701511</v>
      </c>
      <c r="Z369" s="34">
        <f t="shared" si="156"/>
        <v>-13.386173636595295</v>
      </c>
    </row>
    <row r="370" spans="1:26">
      <c r="A370" s="14" t="s">
        <v>77</v>
      </c>
      <c r="C370" s="33"/>
      <c r="D370" s="33">
        <f t="shared" si="156"/>
        <v>6.8964126443374907E-2</v>
      </c>
      <c r="E370" s="33">
        <f t="shared" si="156"/>
        <v>0.31736248148199508</v>
      </c>
      <c r="F370" s="33">
        <f t="shared" si="156"/>
        <v>-2.7512866888658172E-2</v>
      </c>
      <c r="G370" s="33">
        <f t="shared" si="156"/>
        <v>2.4286187273598214E-2</v>
      </c>
      <c r="H370" s="33">
        <f t="shared" si="156"/>
        <v>0.27086005296587801</v>
      </c>
      <c r="I370" s="33">
        <f t="shared" si="156"/>
        <v>7.4962838836611922E-4</v>
      </c>
      <c r="J370" s="33">
        <f t="shared" si="156"/>
        <v>0.16279899146137211</v>
      </c>
      <c r="K370" s="33">
        <f t="shared" si="156"/>
        <v>5.4881229305478119E-2</v>
      </c>
      <c r="L370" s="33">
        <f t="shared" si="156"/>
        <v>5.6598236119117074E-2</v>
      </c>
      <c r="M370" s="33">
        <f t="shared" si="156"/>
        <v>7.9956678023241912E-2</v>
      </c>
      <c r="N370" s="33">
        <f t="shared" si="156"/>
        <v>0.24836596088981855</v>
      </c>
      <c r="O370" s="33">
        <f t="shared" si="156"/>
        <v>0.33898322025449468</v>
      </c>
      <c r="P370" s="34">
        <f t="shared" si="156"/>
        <v>0.18522930447958252</v>
      </c>
      <c r="Q370" s="34">
        <f t="shared" si="156"/>
        <v>-0.15286662841565868</v>
      </c>
      <c r="R370" s="34">
        <f t="shared" si="156"/>
        <v>7.7665275767456743E-2</v>
      </c>
      <c r="S370" s="34">
        <f t="shared" si="156"/>
        <v>0.18687692498351849</v>
      </c>
      <c r="T370" s="34">
        <f t="shared" si="156"/>
        <v>6.7449732116671157E-3</v>
      </c>
      <c r="U370" s="34">
        <f t="shared" si="156"/>
        <v>8.7515547626993762E-2</v>
      </c>
      <c r="V370" s="34">
        <f t="shared" si="156"/>
        <v>-5.639143597583407E-2</v>
      </c>
      <c r="W370" s="34">
        <f t="shared" si="156"/>
        <v>2.9295293147381085</v>
      </c>
      <c r="X370" s="34">
        <f t="shared" si="156"/>
        <v>-10.216231580689151</v>
      </c>
      <c r="Y370" s="34">
        <f t="shared" si="156"/>
        <v>-14.884554989782302</v>
      </c>
      <c r="Z370" s="34">
        <f t="shared" si="156"/>
        <v>-13.393571646896298</v>
      </c>
    </row>
    <row r="371" spans="1:26">
      <c r="A371" s="14" t="s">
        <v>78</v>
      </c>
      <c r="C371" s="33"/>
      <c r="D371" s="33">
        <f t="shared" si="156"/>
        <v>-2.7261366185251767E-2</v>
      </c>
      <c r="E371" s="33">
        <f t="shared" si="156"/>
        <v>0.40499803029183035</v>
      </c>
      <c r="F371" s="33">
        <f t="shared" ref="F371:Z371" si="157">F355/E355-1</f>
        <v>-1.5844154407770539E-2</v>
      </c>
      <c r="G371" s="33">
        <f t="shared" si="157"/>
        <v>-2.1947825445008284E-2</v>
      </c>
      <c r="H371" s="33">
        <f t="shared" si="157"/>
        <v>0.31139760798739169</v>
      </c>
      <c r="I371" s="33">
        <f t="shared" si="157"/>
        <v>-1.3179059384037295E-2</v>
      </c>
      <c r="J371" s="33">
        <f t="shared" si="157"/>
        <v>0.17039304901993724</v>
      </c>
      <c r="K371" s="33">
        <f t="shared" si="157"/>
        <v>3.1894027290178872E-2</v>
      </c>
      <c r="L371" s="33">
        <f t="shared" si="157"/>
        <v>7.0105795994732434E-2</v>
      </c>
      <c r="M371" s="33">
        <f t="shared" si="157"/>
        <v>9.6036635126181435E-2</v>
      </c>
      <c r="N371" s="33">
        <f t="shared" si="157"/>
        <v>0.22733778616541578</v>
      </c>
      <c r="O371" s="33">
        <f t="shared" si="157"/>
        <v>0.34425672544910713</v>
      </c>
      <c r="P371" s="34">
        <f t="shared" si="157"/>
        <v>0.18591294804682579</v>
      </c>
      <c r="Q371" s="34">
        <f t="shared" si="157"/>
        <v>-0.1256043839375135</v>
      </c>
      <c r="R371" s="34">
        <f t="shared" si="157"/>
        <v>5.5667500352302612E-2</v>
      </c>
      <c r="S371" s="34">
        <f t="shared" si="157"/>
        <v>0.18681688269489793</v>
      </c>
      <c r="T371" s="34">
        <f t="shared" si="157"/>
        <v>7.0635406486729835E-3</v>
      </c>
      <c r="U371" s="34">
        <f t="shared" si="157"/>
        <v>7.8219366986632677E-2</v>
      </c>
      <c r="V371" s="34">
        <f t="shared" si="157"/>
        <v>0.11387475017142523</v>
      </c>
      <c r="W371" s="34">
        <f t="shared" si="157"/>
        <v>9.1912189197598471E-2</v>
      </c>
      <c r="X371" s="34">
        <f t="shared" si="157"/>
        <v>0.18887931082534282</v>
      </c>
      <c r="Y371" s="34">
        <f t="shared" si="157"/>
        <v>2.1994004011758328E-3</v>
      </c>
      <c r="Z371" s="34">
        <f t="shared" si="157"/>
        <v>1.2074806107357672E-2</v>
      </c>
    </row>
    <row r="374" spans="1:26" ht="15.75">
      <c r="A374" s="15" t="s">
        <v>89</v>
      </c>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c r="B375" s="14">
        <f t="shared" ref="B375:Z375" si="158">B3</f>
        <v>2010</v>
      </c>
      <c r="C375" s="14">
        <f t="shared" si="158"/>
        <v>2011</v>
      </c>
      <c r="D375" s="14">
        <f t="shared" si="158"/>
        <v>2012</v>
      </c>
      <c r="E375" s="14">
        <f t="shared" si="158"/>
        <v>2013</v>
      </c>
      <c r="F375" s="14">
        <f t="shared" si="158"/>
        <v>2014</v>
      </c>
      <c r="G375" s="14">
        <f t="shared" si="158"/>
        <v>2015</v>
      </c>
      <c r="H375" s="14">
        <f t="shared" si="158"/>
        <v>2016</v>
      </c>
      <c r="I375" s="14">
        <f t="shared" si="158"/>
        <v>2017</v>
      </c>
      <c r="J375" s="14">
        <f t="shared" si="158"/>
        <v>2018</v>
      </c>
      <c r="K375" s="14">
        <f t="shared" si="158"/>
        <v>2019</v>
      </c>
      <c r="L375" s="14">
        <f t="shared" si="158"/>
        <v>2020</v>
      </c>
      <c r="M375" s="14">
        <f t="shared" si="158"/>
        <v>2021</v>
      </c>
      <c r="N375" s="14">
        <f t="shared" si="158"/>
        <v>2022</v>
      </c>
      <c r="O375" s="14">
        <f t="shared" si="158"/>
        <v>2023</v>
      </c>
      <c r="P375" s="14">
        <f t="shared" si="158"/>
        <v>2024</v>
      </c>
      <c r="Q375" s="14">
        <f t="shared" si="158"/>
        <v>2025</v>
      </c>
      <c r="R375" s="14">
        <f t="shared" si="158"/>
        <v>2026</v>
      </c>
      <c r="S375" s="14">
        <f t="shared" si="158"/>
        <v>2027</v>
      </c>
      <c r="T375" s="14">
        <f t="shared" si="158"/>
        <v>2028</v>
      </c>
      <c r="U375" s="14">
        <f t="shared" si="158"/>
        <v>2029</v>
      </c>
      <c r="V375" s="14">
        <f t="shared" si="158"/>
        <v>2030</v>
      </c>
      <c r="W375" s="14">
        <f t="shared" si="158"/>
        <v>2031</v>
      </c>
      <c r="X375" s="14">
        <f t="shared" si="158"/>
        <v>2032</v>
      </c>
      <c r="Y375" s="14">
        <f t="shared" si="158"/>
        <v>2033</v>
      </c>
      <c r="Z375" s="14">
        <f t="shared" si="158"/>
        <v>2034</v>
      </c>
    </row>
    <row r="376" spans="1:26">
      <c r="A376" s="14" t="s">
        <v>68</v>
      </c>
      <c r="D376" s="35">
        <f t="shared" ref="D376:O376" si="159">D360-C360</f>
        <v>0.71288608472554116</v>
      </c>
      <c r="E376" s="35">
        <f t="shared" si="159"/>
        <v>-0.59454393939700068</v>
      </c>
      <c r="F376" s="35">
        <f t="shared" si="159"/>
        <v>-0.17639152329615082</v>
      </c>
      <c r="G376" s="35">
        <f t="shared" si="159"/>
        <v>0.16539104864180132</v>
      </c>
      <c r="H376" s="35">
        <f t="shared" si="159"/>
        <v>0.19914345604096306</v>
      </c>
      <c r="I376" s="35">
        <f t="shared" si="159"/>
        <v>-0.42565993955524106</v>
      </c>
      <c r="J376" s="35">
        <f t="shared" si="159"/>
        <v>0.56667501187421865</v>
      </c>
      <c r="K376" s="35">
        <f t="shared" si="159"/>
        <v>-0.26455786334567044</v>
      </c>
      <c r="L376" s="35">
        <f t="shared" si="159"/>
        <v>-7.0928901571150504E-2</v>
      </c>
      <c r="M376" s="35">
        <f t="shared" si="159"/>
        <v>-0.1197497595460264</v>
      </c>
      <c r="N376" s="35">
        <f t="shared" si="159"/>
        <v>0.15967571143868575</v>
      </c>
      <c r="O376" s="35">
        <f t="shared" si="159"/>
        <v>0.35496630960620434</v>
      </c>
      <c r="P376" s="35">
        <f>P360-O360</f>
        <v>-0.17670556686896277</v>
      </c>
      <c r="Q376" s="36">
        <f>Q360-P360</f>
        <v>-0.50073479375562258</v>
      </c>
      <c r="R376" s="36">
        <f t="shared" ref="R376:Z376" si="160">R360-Q360</f>
        <v>0.15719194533515735</v>
      </c>
      <c r="S376" s="36">
        <f t="shared" si="160"/>
        <v>0.1475722404854225</v>
      </c>
      <c r="T376" s="36">
        <f t="shared" si="160"/>
        <v>-0.13017401611614487</v>
      </c>
      <c r="U376" s="36">
        <f t="shared" si="160"/>
        <v>5.500227071712338E-2</v>
      </c>
      <c r="V376" s="36">
        <f t="shared" si="160"/>
        <v>3.5034938521245396E-2</v>
      </c>
      <c r="W376" s="36">
        <f t="shared" si="160"/>
        <v>7.1220235128555132E-3</v>
      </c>
      <c r="X376" s="36">
        <f t="shared" si="160"/>
        <v>7.9757816697200834E-2</v>
      </c>
      <c r="Y376" s="36">
        <f t="shared" si="160"/>
        <v>-0.14408643528600473</v>
      </c>
      <c r="Z376" s="36">
        <f t="shared" si="160"/>
        <v>-4.7484991892519313E-2</v>
      </c>
    </row>
    <row r="377" spans="1:26">
      <c r="A377" s="14" t="s">
        <v>69</v>
      </c>
      <c r="D377" s="35">
        <f t="shared" ref="D377:Z387" si="161">D360-C360</f>
        <v>0.71288608472554116</v>
      </c>
      <c r="E377" s="35">
        <f t="shared" si="161"/>
        <v>-0.59454393939700068</v>
      </c>
      <c r="F377" s="35">
        <f t="shared" si="161"/>
        <v>-0.17639152329615082</v>
      </c>
      <c r="G377" s="35">
        <f t="shared" si="161"/>
        <v>0.16539104864180132</v>
      </c>
      <c r="H377" s="35">
        <f t="shared" si="161"/>
        <v>0.19914345604096306</v>
      </c>
      <c r="I377" s="35">
        <f t="shared" si="161"/>
        <v>-0.42565993955524106</v>
      </c>
      <c r="J377" s="35">
        <f t="shared" si="161"/>
        <v>0.56667501187421865</v>
      </c>
      <c r="K377" s="35">
        <f t="shared" si="161"/>
        <v>-0.26455786334567044</v>
      </c>
      <c r="L377" s="35">
        <f t="shared" si="161"/>
        <v>-7.0928901571150504E-2</v>
      </c>
      <c r="M377" s="35">
        <f t="shared" si="161"/>
        <v>-0.1197497595460264</v>
      </c>
      <c r="N377" s="35">
        <f t="shared" si="161"/>
        <v>0.15967571143868575</v>
      </c>
      <c r="O377" s="35">
        <f t="shared" si="161"/>
        <v>0.35496630960620434</v>
      </c>
      <c r="P377" s="35">
        <f t="shared" si="161"/>
        <v>-0.17670556686896277</v>
      </c>
      <c r="Q377" s="36">
        <f t="shared" si="161"/>
        <v>-0.50073479375562258</v>
      </c>
      <c r="R377" s="36">
        <f t="shared" si="161"/>
        <v>0.15719194533515735</v>
      </c>
      <c r="S377" s="36">
        <f t="shared" si="161"/>
        <v>0.1475722404854225</v>
      </c>
      <c r="T377" s="36">
        <f t="shared" si="161"/>
        <v>-0.13017401611614487</v>
      </c>
      <c r="U377" s="36">
        <f t="shared" si="161"/>
        <v>5.500227071712338E-2</v>
      </c>
      <c r="V377" s="36">
        <f t="shared" si="161"/>
        <v>3.5034938521245396E-2</v>
      </c>
      <c r="W377" s="36">
        <f t="shared" si="161"/>
        <v>7.1220235128555132E-3</v>
      </c>
      <c r="X377" s="36">
        <f t="shared" si="161"/>
        <v>7.9757816697200834E-2</v>
      </c>
      <c r="Y377" s="36">
        <f t="shared" si="161"/>
        <v>-0.14408643528600473</v>
      </c>
      <c r="Z377" s="36">
        <f t="shared" si="161"/>
        <v>-4.7484991892519313E-2</v>
      </c>
    </row>
    <row r="378" spans="1:26">
      <c r="A378" s="14" t="s">
        <v>70</v>
      </c>
      <c r="D378" s="35">
        <f t="shared" si="161"/>
        <v>0.75182020864961951</v>
      </c>
      <c r="E378" s="35">
        <f t="shared" si="161"/>
        <v>-0.70105032071781137</v>
      </c>
      <c r="F378" s="35">
        <f t="shared" si="161"/>
        <v>-2.6699087537399357E-2</v>
      </c>
      <c r="G378" s="35">
        <f t="shared" si="161"/>
        <v>-1.2844683208296237E-2</v>
      </c>
      <c r="H378" s="35">
        <f t="shared" si="161"/>
        <v>0.33881256027518214</v>
      </c>
      <c r="I378" s="35">
        <f t="shared" si="161"/>
        <v>-0.43707689627156221</v>
      </c>
      <c r="J378" s="35">
        <f t="shared" si="161"/>
        <v>0.4917123036085721</v>
      </c>
      <c r="K378" s="35">
        <f t="shared" si="161"/>
        <v>-0.2323967448917923</v>
      </c>
      <c r="L378" s="35">
        <f t="shared" si="161"/>
        <v>-9.52957688393965E-2</v>
      </c>
      <c r="M378" s="35">
        <f t="shared" si="161"/>
        <v>-8.7434202189958676E-2</v>
      </c>
      <c r="N378" s="35">
        <f t="shared" si="161"/>
        <v>0.25996442972892442</v>
      </c>
      <c r="O378" s="35">
        <f t="shared" si="161"/>
        <v>9.6596104785392933E-2</v>
      </c>
      <c r="P378" s="35">
        <f t="shared" si="161"/>
        <v>2.1174199895690027E-2</v>
      </c>
      <c r="Q378" s="36">
        <f t="shared" si="161"/>
        <v>-0.5726170983304304</v>
      </c>
      <c r="R378" s="36">
        <f t="shared" si="161"/>
        <v>0.29089515432835178</v>
      </c>
      <c r="S378" s="36">
        <f t="shared" si="161"/>
        <v>8.5551258167867239E-2</v>
      </c>
      <c r="T378" s="36">
        <f t="shared" si="161"/>
        <v>-0.15504621720739942</v>
      </c>
      <c r="U378" s="36">
        <f t="shared" si="161"/>
        <v>6.3223256380075199E-2</v>
      </c>
      <c r="V378" s="36">
        <f t="shared" si="161"/>
        <v>3.5259433681033903E-2</v>
      </c>
      <c r="W378" s="36">
        <f t="shared" si="161"/>
        <v>-8.2011254160712088E-3</v>
      </c>
      <c r="X378" s="36">
        <f t="shared" si="161"/>
        <v>8.3033925547814968E-2</v>
      </c>
      <c r="Y378" s="36">
        <f t="shared" si="161"/>
        <v>-0.16928695971614216</v>
      </c>
      <c r="Z378" s="36">
        <f t="shared" si="161"/>
        <v>-1.2690333228031703E-2</v>
      </c>
    </row>
    <row r="379" spans="1:26">
      <c r="A379" s="14" t="s">
        <v>71</v>
      </c>
      <c r="D379" s="35">
        <f t="shared" si="161"/>
        <v>0.64171916291929443</v>
      </c>
      <c r="E379" s="35">
        <f t="shared" si="161"/>
        <v>-0.60393371148974495</v>
      </c>
      <c r="F379" s="35">
        <f t="shared" si="161"/>
        <v>-5.3941263775372228E-3</v>
      </c>
      <c r="G379" s="35">
        <f t="shared" si="161"/>
        <v>-1.4623125846933149E-2</v>
      </c>
      <c r="H379" s="35">
        <f t="shared" si="161"/>
        <v>0.32383816222543849</v>
      </c>
      <c r="I379" s="35">
        <f t="shared" si="161"/>
        <v>-0.44184375670001086</v>
      </c>
      <c r="J379" s="35">
        <f t="shared" si="161"/>
        <v>0.47873062258142296</v>
      </c>
      <c r="K379" s="35">
        <f t="shared" si="161"/>
        <v>-0.24100942981840601</v>
      </c>
      <c r="L379" s="35">
        <f t="shared" si="161"/>
        <v>-6.3004276296080741E-2</v>
      </c>
      <c r="M379" s="35">
        <f t="shared" si="161"/>
        <v>-5.1039381317735E-2</v>
      </c>
      <c r="N379" s="35">
        <f t="shared" si="161"/>
        <v>0.20664886497655321</v>
      </c>
      <c r="O379" s="35">
        <f t="shared" si="161"/>
        <v>9.5428567749685778E-2</v>
      </c>
      <c r="P379" s="35">
        <f t="shared" si="161"/>
        <v>-5.3075217951674913E-2</v>
      </c>
      <c r="Q379" s="36">
        <f t="shared" si="161"/>
        <v>-0.4282103755118879</v>
      </c>
      <c r="R379" s="36">
        <f t="shared" si="161"/>
        <v>0.20890907153935301</v>
      </c>
      <c r="S379" s="36">
        <f t="shared" si="161"/>
        <v>0.10198314526897589</v>
      </c>
      <c r="T379" s="36">
        <f t="shared" si="161"/>
        <v>-0.15184345749996853</v>
      </c>
      <c r="U379" s="36">
        <f t="shared" si="161"/>
        <v>6.4055366690745075E-2</v>
      </c>
      <c r="V379" s="36">
        <f t="shared" si="161"/>
        <v>3.5093311987177467E-2</v>
      </c>
      <c r="W379" s="36">
        <f t="shared" si="161"/>
        <v>-1.4545784894246516E-3</v>
      </c>
      <c r="X379" s="36">
        <f t="shared" si="161"/>
        <v>8.3202186982397119E-2</v>
      </c>
      <c r="Y379" s="36">
        <f t="shared" si="161"/>
        <v>-0.17250043049131425</v>
      </c>
      <c r="Z379" s="36">
        <f t="shared" si="161"/>
        <v>-7.4888324303405973E-3</v>
      </c>
    </row>
    <row r="380" spans="1:26">
      <c r="A380" s="14" t="s">
        <v>47</v>
      </c>
      <c r="D380" s="35">
        <f t="shared" si="161"/>
        <v>0.53932813927385537</v>
      </c>
      <c r="E380" s="35">
        <f t="shared" si="161"/>
        <v>-0.46382197318654028</v>
      </c>
      <c r="F380" s="35">
        <f t="shared" si="161"/>
        <v>-3.6873724386903506E-2</v>
      </c>
      <c r="G380" s="35">
        <f t="shared" si="161"/>
        <v>-1.200313287982846E-2</v>
      </c>
      <c r="H380" s="35">
        <f t="shared" si="161"/>
        <v>0.27278610334207998</v>
      </c>
      <c r="I380" s="35">
        <f t="shared" si="161"/>
        <v>-0.37556596327412639</v>
      </c>
      <c r="J380" s="35">
        <f t="shared" si="161"/>
        <v>0.39182641387306294</v>
      </c>
      <c r="K380" s="35">
        <f t="shared" si="161"/>
        <v>-0.16696709346807959</v>
      </c>
      <c r="L380" s="35">
        <f t="shared" si="161"/>
        <v>-0.11119555977064843</v>
      </c>
      <c r="M380" s="35">
        <f t="shared" si="161"/>
        <v>-9.2904459128420047E-3</v>
      </c>
      <c r="N380" s="35">
        <f t="shared" si="161"/>
        <v>0.22417852973624286</v>
      </c>
      <c r="O380" s="35">
        <f t="shared" si="161"/>
        <v>5.0047114644290014E-2</v>
      </c>
      <c r="P380" s="35">
        <f t="shared" si="161"/>
        <v>-9.5415864544712292E-4</v>
      </c>
      <c r="Q380" s="36">
        <f t="shared" si="161"/>
        <v>-0.46884541561937143</v>
      </c>
      <c r="R380" s="36">
        <f t="shared" si="161"/>
        <v>0.20221143063428293</v>
      </c>
      <c r="S380" s="36">
        <f t="shared" si="161"/>
        <v>0.12278798093804522</v>
      </c>
      <c r="T380" s="36">
        <f t="shared" si="161"/>
        <v>-0.15805690188045685</v>
      </c>
      <c r="U380" s="36">
        <f t="shared" si="161"/>
        <v>7.0617007157656508E-2</v>
      </c>
      <c r="V380" s="36">
        <f t="shared" si="161"/>
        <v>3.2604140981802532E-2</v>
      </c>
      <c r="W380" s="36">
        <f t="shared" si="161"/>
        <v>-5.7792386904411686E-3</v>
      </c>
      <c r="X380" s="36">
        <f t="shared" si="161"/>
        <v>8.6486432018122672E-2</v>
      </c>
      <c r="Y380" s="36">
        <f t="shared" si="161"/>
        <v>-0.17526384226882619</v>
      </c>
      <c r="Z380" s="36">
        <f t="shared" si="161"/>
        <v>-3.0926546692107149E-3</v>
      </c>
    </row>
    <row r="381" spans="1:26">
      <c r="A381" s="14" t="s">
        <v>72</v>
      </c>
      <c r="D381" s="35">
        <f t="shared" si="161"/>
        <v>0.47121362850517601</v>
      </c>
      <c r="E381" s="35">
        <f t="shared" si="161"/>
        <v>-0.39120423697901296</v>
      </c>
      <c r="F381" s="35">
        <f t="shared" si="161"/>
        <v>-3.7520008967602214E-2</v>
      </c>
      <c r="G381" s="35">
        <f t="shared" si="161"/>
        <v>-1.6456998639013953E-3</v>
      </c>
      <c r="H381" s="35">
        <f t="shared" si="161"/>
        <v>0.21897906844230919</v>
      </c>
      <c r="I381" s="35">
        <f t="shared" si="161"/>
        <v>-0.29559542131485539</v>
      </c>
      <c r="J381" s="35">
        <f t="shared" si="161"/>
        <v>0.29011928224423522</v>
      </c>
      <c r="K381" s="35">
        <f t="shared" si="161"/>
        <v>-0.11685816859140896</v>
      </c>
      <c r="L381" s="35">
        <f t="shared" si="161"/>
        <v>-0.12409277169783595</v>
      </c>
      <c r="M381" s="35">
        <f t="shared" si="161"/>
        <v>3.3633242619468318E-2</v>
      </c>
      <c r="N381" s="35">
        <f t="shared" si="161"/>
        <v>0.22623983511651957</v>
      </c>
      <c r="O381" s="35">
        <f t="shared" si="161"/>
        <v>5.9643286714516686E-2</v>
      </c>
      <c r="P381" s="35">
        <f t="shared" si="161"/>
        <v>-0.12392939165150585</v>
      </c>
      <c r="Q381" s="36">
        <f t="shared" si="161"/>
        <v>-0.35569454696260616</v>
      </c>
      <c r="R381" s="36">
        <f t="shared" si="161"/>
        <v>0.19195132232423473</v>
      </c>
      <c r="S381" s="36">
        <f t="shared" si="161"/>
        <v>0.11889509437888979</v>
      </c>
      <c r="T381" s="36">
        <f t="shared" si="161"/>
        <v>-0.16390411141455119</v>
      </c>
      <c r="U381" s="36">
        <f t="shared" si="161"/>
        <v>7.1816515668993608E-2</v>
      </c>
      <c r="V381" s="36">
        <f t="shared" si="161"/>
        <v>3.3535890170245164E-2</v>
      </c>
      <c r="W381" s="36">
        <f t="shared" si="161"/>
        <v>-9.8175829616584664E-3</v>
      </c>
      <c r="X381" s="36">
        <f t="shared" si="161"/>
        <v>8.8556206211320099E-2</v>
      </c>
      <c r="Y381" s="36">
        <f t="shared" si="161"/>
        <v>-0.17767337947090978</v>
      </c>
      <c r="Z381" s="36">
        <f t="shared" si="161"/>
        <v>6.7525779032795441E-5</v>
      </c>
    </row>
    <row r="382" spans="1:26">
      <c r="A382" s="14" t="s">
        <v>73</v>
      </c>
      <c r="D382" s="35">
        <f t="shared" si="161"/>
        <v>0.44077480496081267</v>
      </c>
      <c r="E382" s="35">
        <f t="shared" si="161"/>
        <v>-0.3496948876779078</v>
      </c>
      <c r="F382" s="35">
        <f t="shared" si="161"/>
        <v>-4.8018048975141392E-2</v>
      </c>
      <c r="G382" s="35">
        <f t="shared" si="161"/>
        <v>1.4203413987395219E-2</v>
      </c>
      <c r="H382" s="35">
        <f t="shared" si="161"/>
        <v>0.17692268003519773</v>
      </c>
      <c r="I382" s="35">
        <f t="shared" si="161"/>
        <v>-0.26629712856145471</v>
      </c>
      <c r="J382" s="35">
        <f t="shared" si="161"/>
        <v>0.24609827954737373</v>
      </c>
      <c r="K382" s="35">
        <f t="shared" si="161"/>
        <v>-8.6079572581797104E-2</v>
      </c>
      <c r="L382" s="35">
        <f t="shared" si="161"/>
        <v>-8.3454689540790161E-2</v>
      </c>
      <c r="M382" s="35">
        <f t="shared" si="161"/>
        <v>-9.396957608227563E-4</v>
      </c>
      <c r="N382" s="35">
        <f t="shared" si="161"/>
        <v>0.21212440865880899</v>
      </c>
      <c r="O382" s="35">
        <f t="shared" si="161"/>
        <v>8.6382444534133906E-2</v>
      </c>
      <c r="P382" s="36">
        <f t="shared" si="161"/>
        <v>-0.13569905371161184</v>
      </c>
      <c r="Q382" s="36">
        <f t="shared" si="161"/>
        <v>-0.36082366734929761</v>
      </c>
      <c r="R382" s="36">
        <f t="shared" si="161"/>
        <v>0.20546791247812191</v>
      </c>
      <c r="S382" s="36">
        <f t="shared" si="161"/>
        <v>0.11585945119081265</v>
      </c>
      <c r="T382" s="36">
        <f t="shared" si="161"/>
        <v>-0.16612862041872178</v>
      </c>
      <c r="U382" s="36">
        <f t="shared" si="161"/>
        <v>7.1154799815098091E-2</v>
      </c>
      <c r="V382" s="36">
        <f t="shared" si="161"/>
        <v>3.550423226480981E-2</v>
      </c>
      <c r="W382" s="36">
        <f t="shared" si="161"/>
        <v>-1.2788888557125011E-2</v>
      </c>
      <c r="X382" s="36">
        <f t="shared" si="161"/>
        <v>9.0062257118874944E-2</v>
      </c>
      <c r="Y382" s="36">
        <f t="shared" si="161"/>
        <v>-0.17902870281999994</v>
      </c>
      <c r="Z382" s="36">
        <f t="shared" si="161"/>
        <v>1.9460198258172134E-3</v>
      </c>
    </row>
    <row r="383" spans="1:26">
      <c r="A383" s="14" t="s">
        <v>74</v>
      </c>
      <c r="D383" s="35">
        <f t="shared" si="161"/>
        <v>0.37581027198468409</v>
      </c>
      <c r="E383" s="35">
        <f t="shared" si="161"/>
        <v>-0.23710557164498036</v>
      </c>
      <c r="F383" s="35">
        <f t="shared" si="161"/>
        <v>-0.10585976626443094</v>
      </c>
      <c r="G383" s="35">
        <f t="shared" si="161"/>
        <v>1.7262150448042801E-2</v>
      </c>
      <c r="H383" s="35">
        <f t="shared" si="161"/>
        <v>0.15852162019539429</v>
      </c>
      <c r="I383" s="35">
        <f t="shared" si="161"/>
        <v>-0.22292422266114764</v>
      </c>
      <c r="J383" s="35">
        <f t="shared" si="161"/>
        <v>0.19990517224208459</v>
      </c>
      <c r="K383" s="35">
        <f t="shared" si="161"/>
        <v>-4.3097036733242167E-2</v>
      </c>
      <c r="L383" s="35">
        <f t="shared" si="161"/>
        <v>-0.10953980251951423</v>
      </c>
      <c r="M383" s="35">
        <f t="shared" si="161"/>
        <v>1.0752316106876547E-2</v>
      </c>
      <c r="N383" s="35">
        <f t="shared" si="161"/>
        <v>0.19622484526083839</v>
      </c>
      <c r="O383" s="35">
        <f t="shared" si="161"/>
        <v>0.10033966051463028</v>
      </c>
      <c r="P383" s="36">
        <f t="shared" si="161"/>
        <v>-0.110601894817417</v>
      </c>
      <c r="Q383" s="36">
        <f t="shared" si="161"/>
        <v>-0.39781710780668522</v>
      </c>
      <c r="R383" s="36">
        <f t="shared" si="161"/>
        <v>0.22345336658232839</v>
      </c>
      <c r="S383" s="36">
        <f t="shared" si="161"/>
        <v>0.11511121474468777</v>
      </c>
      <c r="T383" s="36">
        <f t="shared" si="161"/>
        <v>-0.1686976414395116</v>
      </c>
      <c r="U383" s="36">
        <f t="shared" si="161"/>
        <v>7.2030686856336734E-2</v>
      </c>
      <c r="V383" s="36">
        <f t="shared" si="161"/>
        <v>3.5013135496444026E-2</v>
      </c>
      <c r="W383" s="36">
        <f t="shared" si="161"/>
        <v>-1.456998352634109E-2</v>
      </c>
      <c r="X383" s="36">
        <f t="shared" si="161"/>
        <v>9.1053380912800908E-2</v>
      </c>
      <c r="Y383" s="36">
        <f t="shared" si="161"/>
        <v>-0.18014615116600341</v>
      </c>
      <c r="Z383" s="36">
        <f t="shared" si="161"/>
        <v>3.4387598531246955E-3</v>
      </c>
    </row>
    <row r="384" spans="1:26">
      <c r="A384" s="14" t="s">
        <v>75</v>
      </c>
      <c r="D384" s="35">
        <f t="shared" si="161"/>
        <v>0.29283252327749909</v>
      </c>
      <c r="E384" s="35">
        <f t="shared" si="161"/>
        <v>-0.11514990553277449</v>
      </c>
      <c r="F384" s="35">
        <f t="shared" si="161"/>
        <v>-0.16891452635361848</v>
      </c>
      <c r="G384" s="35">
        <f t="shared" si="161"/>
        <v>4.8425577006279585E-2</v>
      </c>
      <c r="H384" s="35">
        <f t="shared" si="161"/>
        <v>0.16934662797365907</v>
      </c>
      <c r="I384" s="35">
        <f t="shared" si="161"/>
        <v>-0.24204055488794196</v>
      </c>
      <c r="J384" s="35">
        <f t="shared" si="161"/>
        <v>0.18288727554161877</v>
      </c>
      <c r="K384" s="35">
        <f t="shared" si="161"/>
        <v>-5.369516376110095E-2</v>
      </c>
      <c r="L384" s="35">
        <f t="shared" si="161"/>
        <v>-6.2781323628130936E-2</v>
      </c>
      <c r="M384" s="35">
        <f t="shared" si="161"/>
        <v>3.7442461046457431E-3</v>
      </c>
      <c r="N384" s="35">
        <f t="shared" si="161"/>
        <v>0.17493533455894061</v>
      </c>
      <c r="O384" s="35">
        <f t="shared" si="161"/>
        <v>0.12515034780441803</v>
      </c>
      <c r="P384" s="36">
        <f t="shared" si="161"/>
        <v>-0.15452263285814682</v>
      </c>
      <c r="Q384" s="36">
        <f t="shared" si="161"/>
        <v>-0.36415821416556604</v>
      </c>
      <c r="R384" s="36">
        <f t="shared" si="161"/>
        <v>0.22216278966960068</v>
      </c>
      <c r="S384" s="36">
        <f t="shared" si="161"/>
        <v>0.11693896523727298</v>
      </c>
      <c r="T384" s="36">
        <f t="shared" si="161"/>
        <v>-0.17306314716010274</v>
      </c>
      <c r="U384" s="36">
        <f t="shared" si="161"/>
        <v>7.9158448483184207E-2</v>
      </c>
      <c r="V384" s="36">
        <f t="shared" si="161"/>
        <v>-9.2288329271509539E-2</v>
      </c>
      <c r="W384" s="36">
        <f t="shared" si="161"/>
        <v>2.0264461374278637</v>
      </c>
      <c r="X384" s="36">
        <f t="shared" si="161"/>
        <v>-11.019512037359199</v>
      </c>
      <c r="Y384" s="36">
        <f t="shared" si="161"/>
        <v>-6.1361991719604561</v>
      </c>
      <c r="Z384" s="36">
        <f t="shared" si="161"/>
        <v>1.7630736152889188</v>
      </c>
    </row>
    <row r="385" spans="1:35">
      <c r="A385" s="14" t="s">
        <v>76</v>
      </c>
      <c r="D385" s="35">
        <f t="shared" si="161"/>
        <v>0.19419818292388324</v>
      </c>
      <c r="E385" s="35">
        <f t="shared" si="161"/>
        <v>3.8279989933337255E-2</v>
      </c>
      <c r="F385" s="35">
        <f t="shared" si="161"/>
        <v>-0.2403938845216409</v>
      </c>
      <c r="G385" s="35">
        <f t="shared" si="161"/>
        <v>6.007101572640372E-2</v>
      </c>
      <c r="H385" s="35">
        <f t="shared" si="161"/>
        <v>0.17880421288798654</v>
      </c>
      <c r="I385" s="35">
        <f t="shared" si="161"/>
        <v>-0.24103080252391229</v>
      </c>
      <c r="J385" s="35">
        <f t="shared" si="161"/>
        <v>0.17097382341362155</v>
      </c>
      <c r="K385" s="35">
        <f t="shared" si="161"/>
        <v>-6.3760905885496211E-2</v>
      </c>
      <c r="L385" s="35">
        <f t="shared" si="161"/>
        <v>-3.2732120954663602E-2</v>
      </c>
      <c r="M385" s="35">
        <f t="shared" si="161"/>
        <v>-2.7114171318568303E-2</v>
      </c>
      <c r="N385" s="35">
        <f t="shared" si="161"/>
        <v>0.21182648330082343</v>
      </c>
      <c r="O385" s="35">
        <f t="shared" si="161"/>
        <v>0.11370502786481951</v>
      </c>
      <c r="P385" s="36">
        <f t="shared" si="161"/>
        <v>-0.18147240107652429</v>
      </c>
      <c r="Q385" s="36">
        <f t="shared" si="161"/>
        <v>-0.34220180036788639</v>
      </c>
      <c r="R385" s="36">
        <f t="shared" si="161"/>
        <v>0.22374270010757114</v>
      </c>
      <c r="S385" s="36">
        <f t="shared" si="161"/>
        <v>0.11883838487792286</v>
      </c>
      <c r="T385" s="36">
        <f t="shared" si="161"/>
        <v>-0.17729915613856173</v>
      </c>
      <c r="U385" s="36">
        <f t="shared" si="161"/>
        <v>7.7995338445278506E-2</v>
      </c>
      <c r="V385" s="36">
        <f t="shared" si="161"/>
        <v>-7.4865019520574227E-2</v>
      </c>
      <c r="W385" s="36">
        <f t="shared" si="161"/>
        <v>1.7313127007421498</v>
      </c>
      <c r="X385" s="36">
        <f t="shared" si="161"/>
        <v>-10.209485773667616</v>
      </c>
      <c r="Y385" s="36">
        <f t="shared" si="161"/>
        <v>-6.8103748826896542</v>
      </c>
      <c r="Z385" s="36">
        <f t="shared" si="161"/>
        <v>1.9125321552926309</v>
      </c>
    </row>
    <row r="386" spans="1:35">
      <c r="A386" s="14" t="s">
        <v>77</v>
      </c>
      <c r="D386" s="35">
        <f t="shared" si="161"/>
        <v>0.12261713088232185</v>
      </c>
      <c r="E386" s="35">
        <f t="shared" si="161"/>
        <v>0.16098270073605936</v>
      </c>
      <c r="F386" s="35">
        <f t="shared" si="161"/>
        <v>-0.30277307085659855</v>
      </c>
      <c r="G386" s="35">
        <f t="shared" si="161"/>
        <v>5.020902599531829E-2</v>
      </c>
      <c r="H386" s="35">
        <f t="shared" si="161"/>
        <v>0.21518873557395835</v>
      </c>
      <c r="I386" s="35">
        <f t="shared" si="161"/>
        <v>-0.24756213067245758</v>
      </c>
      <c r="J386" s="35">
        <f t="shared" si="161"/>
        <v>0.16803323777873969</v>
      </c>
      <c r="K386" s="35">
        <f t="shared" si="161"/>
        <v>-8.9210438808985826E-2</v>
      </c>
      <c r="L386" s="35">
        <f t="shared" si="161"/>
        <v>-3.2269511787121008E-2</v>
      </c>
      <c r="M386" s="35">
        <f t="shared" si="161"/>
        <v>1.3592636716073692E-2</v>
      </c>
      <c r="N386" s="35">
        <f t="shared" si="161"/>
        <v>0.18251488961201368</v>
      </c>
      <c r="O386" s="35">
        <f t="shared" si="161"/>
        <v>0.12909799939847177</v>
      </c>
      <c r="P386" s="36">
        <f t="shared" si="161"/>
        <v>-0.18347895137052816</v>
      </c>
      <c r="Q386" s="36">
        <f t="shared" si="161"/>
        <v>-0.34987833142887104</v>
      </c>
      <c r="R386" s="36">
        <f t="shared" si="161"/>
        <v>0.2299034038256037</v>
      </c>
      <c r="S386" s="36">
        <f t="shared" si="161"/>
        <v>0.11912814596588994</v>
      </c>
      <c r="T386" s="36">
        <f t="shared" si="161"/>
        <v>-0.17991379414872566</v>
      </c>
      <c r="U386" s="36">
        <f t="shared" si="161"/>
        <v>8.0145619388773293E-2</v>
      </c>
      <c r="V386" s="36">
        <f t="shared" si="161"/>
        <v>-0.11648904535565119</v>
      </c>
      <c r="W386" s="36">
        <f t="shared" si="161"/>
        <v>2.4639134037204964</v>
      </c>
      <c r="X386" s="36">
        <f t="shared" si="161"/>
        <v>-12.068670628838401</v>
      </c>
      <c r="Y386" s="36">
        <f t="shared" si="161"/>
        <v>-5.3639314200278925</v>
      </c>
      <c r="Z386" s="36">
        <f t="shared" si="161"/>
        <v>1.6126767571062164</v>
      </c>
    </row>
    <row r="387" spans="1:35">
      <c r="A387" s="14" t="s">
        <v>78</v>
      </c>
      <c r="D387" s="35">
        <f t="shared" si="161"/>
        <v>6.8964126443374907E-2</v>
      </c>
      <c r="E387" s="35">
        <f t="shared" si="161"/>
        <v>0.24839835503862018</v>
      </c>
      <c r="F387" s="35">
        <f t="shared" si="161"/>
        <v>-0.34487534837065326</v>
      </c>
      <c r="G387" s="35">
        <f t="shared" si="161"/>
        <v>5.1799054162256386E-2</v>
      </c>
      <c r="H387" s="35">
        <f t="shared" si="161"/>
        <v>0.24657386569227979</v>
      </c>
      <c r="I387" s="35">
        <f t="shared" si="161"/>
        <v>-0.27011042457751189</v>
      </c>
      <c r="J387" s="35">
        <f t="shared" si="161"/>
        <v>0.16204936307300599</v>
      </c>
      <c r="K387" s="35">
        <f t="shared" si="161"/>
        <v>-0.10791776215589399</v>
      </c>
      <c r="L387" s="35">
        <f t="shared" si="161"/>
        <v>1.7170068136389549E-3</v>
      </c>
      <c r="M387" s="35">
        <f t="shared" si="161"/>
        <v>2.3358441904124838E-2</v>
      </c>
      <c r="N387" s="35">
        <f t="shared" si="161"/>
        <v>0.16840928286657664</v>
      </c>
      <c r="O387" s="35">
        <f t="shared" si="161"/>
        <v>9.0617259364676128E-2</v>
      </c>
      <c r="P387" s="36">
        <f t="shared" si="161"/>
        <v>-0.15375391577491215</v>
      </c>
      <c r="Q387" s="36">
        <f t="shared" si="161"/>
        <v>-0.3380959328952412</v>
      </c>
      <c r="R387" s="36">
        <f t="shared" si="161"/>
        <v>0.23053190418311542</v>
      </c>
      <c r="S387" s="36">
        <f t="shared" si="161"/>
        <v>0.10921164921606175</v>
      </c>
      <c r="T387" s="36">
        <f t="shared" si="161"/>
        <v>-0.18013195177185137</v>
      </c>
      <c r="U387" s="36">
        <f t="shared" si="161"/>
        <v>8.0770574415326646E-2</v>
      </c>
      <c r="V387" s="36">
        <f t="shared" si="161"/>
        <v>-0.14390698360282783</v>
      </c>
      <c r="W387" s="36">
        <f t="shared" si="161"/>
        <v>2.9859207507139427</v>
      </c>
      <c r="X387" s="36">
        <f t="shared" si="161"/>
        <v>-13.145760895427259</v>
      </c>
      <c r="Y387" s="36">
        <f t="shared" si="161"/>
        <v>-4.6683234090931514</v>
      </c>
      <c r="Z387" s="36">
        <f t="shared" si="161"/>
        <v>1.490983342886004</v>
      </c>
    </row>
    <row r="389" spans="1:35" ht="15.75">
      <c r="A389" s="15" t="s">
        <v>90</v>
      </c>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spans="1:35">
      <c r="B390" s="14">
        <f t="shared" ref="B390:Z390" si="162">B3</f>
        <v>2010</v>
      </c>
      <c r="C390" s="14">
        <f t="shared" si="162"/>
        <v>2011</v>
      </c>
      <c r="D390" s="14">
        <f t="shared" si="162"/>
        <v>2012</v>
      </c>
      <c r="E390" s="14">
        <f t="shared" si="162"/>
        <v>2013</v>
      </c>
      <c r="F390" s="14">
        <f t="shared" si="162"/>
        <v>2014</v>
      </c>
      <c r="G390" s="14">
        <f t="shared" si="162"/>
        <v>2015</v>
      </c>
      <c r="H390" s="14">
        <f t="shared" si="162"/>
        <v>2016</v>
      </c>
      <c r="I390" s="14">
        <f t="shared" si="162"/>
        <v>2017</v>
      </c>
      <c r="J390" s="14">
        <f t="shared" si="162"/>
        <v>2018</v>
      </c>
      <c r="K390" s="14">
        <f t="shared" si="162"/>
        <v>2019</v>
      </c>
      <c r="L390" s="14">
        <f t="shared" si="162"/>
        <v>2020</v>
      </c>
      <c r="M390" s="14">
        <f t="shared" si="162"/>
        <v>2021</v>
      </c>
      <c r="N390" s="14">
        <f t="shared" si="162"/>
        <v>2022</v>
      </c>
      <c r="O390" s="14">
        <f t="shared" si="162"/>
        <v>2023</v>
      </c>
      <c r="P390" s="14">
        <f t="shared" si="162"/>
        <v>2024</v>
      </c>
      <c r="Q390" s="14">
        <f t="shared" si="162"/>
        <v>2025</v>
      </c>
      <c r="R390" s="14">
        <f t="shared" si="162"/>
        <v>2026</v>
      </c>
      <c r="S390" s="14">
        <f t="shared" si="162"/>
        <v>2027</v>
      </c>
      <c r="T390" s="14">
        <f t="shared" si="162"/>
        <v>2028</v>
      </c>
      <c r="U390" s="14">
        <f t="shared" si="162"/>
        <v>2029</v>
      </c>
      <c r="V390" s="14">
        <f t="shared" si="162"/>
        <v>2030</v>
      </c>
      <c r="W390" s="14">
        <f t="shared" si="162"/>
        <v>2031</v>
      </c>
      <c r="X390" s="14">
        <f t="shared" si="162"/>
        <v>2032</v>
      </c>
      <c r="Y390" s="14">
        <f t="shared" si="162"/>
        <v>2033</v>
      </c>
      <c r="Z390" s="14">
        <f t="shared" si="162"/>
        <v>2034</v>
      </c>
      <c r="AD390" s="14" t="s">
        <v>37</v>
      </c>
      <c r="AE390" s="14" t="s">
        <v>38</v>
      </c>
      <c r="AF390" s="14" t="s">
        <v>39</v>
      </c>
      <c r="AG390" s="14" t="s">
        <v>40</v>
      </c>
      <c r="AH390" s="14" t="s">
        <v>41</v>
      </c>
      <c r="AI390" s="14" t="s">
        <v>42</v>
      </c>
    </row>
    <row r="391" spans="1:35">
      <c r="A391" s="14" t="s">
        <v>68</v>
      </c>
      <c r="B391" s="18">
        <f>'D3 Gallon Forecast'!B25+'D5 Gallon Forecast'!B56+'D6 Gallon Forecast'!B97</f>
        <v>145876</v>
      </c>
      <c r="C391" s="18">
        <f>'D3 Gallon Forecast'!C25+'D5 Gallon Forecast'!C56+'D6 Gallon Forecast'!C97</f>
        <v>1162104984</v>
      </c>
      <c r="D391" s="18">
        <f>'D3 Gallon Forecast'!D25+'D5 Gallon Forecast'!D56+'D6 Gallon Forecast'!D97</f>
        <v>1184612816</v>
      </c>
      <c r="E391" s="18">
        <f>'D3 Gallon Forecast'!E25+'D5 Gallon Forecast'!E56+'D6 Gallon Forecast'!E97</f>
        <v>1079871669</v>
      </c>
      <c r="F391" s="18">
        <f>'D3 Gallon Forecast'!F25+'D5 Gallon Forecast'!F56+'D6 Gallon Forecast'!F97</f>
        <v>1155218628</v>
      </c>
      <c r="G391" s="18">
        <f>'D3 Gallon Forecast'!G25+'D5 Gallon Forecast'!G56+'D6 Gallon Forecast'!G97</f>
        <v>1199457055</v>
      </c>
      <c r="H391" s="18">
        <f>'D3 Gallon Forecast'!H25+'D5 Gallon Forecast'!H56+'D6 Gallon Forecast'!H97</f>
        <v>1220479376</v>
      </c>
      <c r="I391" s="18">
        <f>'D3 Gallon Forecast'!I25+'D5 Gallon Forecast'!I56+'D6 Gallon Forecast'!I97</f>
        <v>1241898945</v>
      </c>
      <c r="J391" s="18">
        <f>'D3 Gallon Forecast'!J25+'D5 Gallon Forecast'!J56+'D6 Gallon Forecast'!J97</f>
        <v>1259666618</v>
      </c>
      <c r="K391" s="18">
        <f>'D3 Gallon Forecast'!K25+'D5 Gallon Forecast'!K56+'D6 Gallon Forecast'!K97</f>
        <v>1193659890</v>
      </c>
      <c r="L391" s="18">
        <f>'D3 Gallon Forecast'!L25+'D5 Gallon Forecast'!L56+'D6 Gallon Forecast'!L97</f>
        <v>1249439514</v>
      </c>
      <c r="M391" s="18">
        <f>'D3 Gallon Forecast'!M25+'D5 Gallon Forecast'!M56+'D6 Gallon Forecast'!M97</f>
        <v>1081284017</v>
      </c>
      <c r="N391" s="18">
        <f>'D3 Gallon Forecast'!N25+'D5 Gallon Forecast'!N56+'D6 Gallon Forecast'!N97</f>
        <v>1210627464</v>
      </c>
      <c r="O391" s="18">
        <f>'D3 Gallon Forecast'!O25+'D5 Gallon Forecast'!O56+'D6 Gallon Forecast'!O97</f>
        <v>1206027501</v>
      </c>
      <c r="P391" s="18">
        <f>'D3 Gallon Forecast'!P25+'D5 Gallon Forecast'!P56+'D6 Gallon Forecast'!P97</f>
        <v>1214363395</v>
      </c>
      <c r="Q391" s="19">
        <f>'D3 Gallon Forecast'!Q25+'D5 Gallon Forecast'!Q56+'D6 Gallon Forecast'!Q97</f>
        <v>1256023563</v>
      </c>
      <c r="R391" s="19">
        <f>'D3 Gallon Forecast'!R25+'D5 Gallon Forecast'!R56+'D6 Gallon Forecast'!R97</f>
        <v>1207928735.3809433</v>
      </c>
      <c r="S391" s="19">
        <f>'D3 Gallon Forecast'!S25+'D5 Gallon Forecast'!S56+'D6 Gallon Forecast'!S97</f>
        <v>1226838355.4127917</v>
      </c>
      <c r="T391" s="19">
        <f>'D3 Gallon Forecast'!T25+'D5 Gallon Forecast'!T56+'D6 Gallon Forecast'!T97</f>
        <v>1236798700.347842</v>
      </c>
      <c r="U391" s="19">
        <f>'D3 Gallon Forecast'!U25+'D5 Gallon Forecast'!U56+'D6 Gallon Forecast'!U97</f>
        <v>1248397446.8146749</v>
      </c>
      <c r="V391" s="19">
        <f>'D3 Gallon Forecast'!V25+'D5 Gallon Forecast'!V56+'D6 Gallon Forecast'!V97</f>
        <v>1261684004.5827022</v>
      </c>
      <c r="W391" s="19">
        <f>'D3 Gallon Forecast'!W25+'D5 Gallon Forecast'!W56+'D6 Gallon Forecast'!W97</f>
        <v>1268387905.6149945</v>
      </c>
      <c r="X391" s="19">
        <f>'D3 Gallon Forecast'!X25+'D5 Gallon Forecast'!X56+'D6 Gallon Forecast'!X97</f>
        <v>1281037773.5144351</v>
      </c>
      <c r="Y391" s="19">
        <f>'D3 Gallon Forecast'!Y25+'D5 Gallon Forecast'!Y56+'D6 Gallon Forecast'!Y97</f>
        <v>1293149156.7314653</v>
      </c>
      <c r="Z391" s="19">
        <f>'D3 Gallon Forecast'!Z25+'D5 Gallon Forecast'!Z56+'D6 Gallon Forecast'!Z97</f>
        <v>1305764528.2982016</v>
      </c>
      <c r="AD391" s="18">
        <f>AVERAGE(J391:N391)</f>
        <v>1198935500.5999999</v>
      </c>
      <c r="AE391" s="18">
        <f>O391-AD391</f>
        <v>7092000.4000000954</v>
      </c>
      <c r="AF391" s="18">
        <f t="shared" ref="AF391:AF402" si="163">O391-N391</f>
        <v>-4599963</v>
      </c>
      <c r="AG391" s="18">
        <f>O391/31</f>
        <v>38904112.935483873</v>
      </c>
      <c r="AH391" s="18">
        <f>AD391/31</f>
        <v>38675338.729032256</v>
      </c>
      <c r="AI391" s="18">
        <f>AG391-AH391</f>
        <v>228774.20645161718</v>
      </c>
    </row>
    <row r="392" spans="1:35">
      <c r="A392" s="14" t="s">
        <v>69</v>
      </c>
      <c r="B392" s="18">
        <f>'D3 Gallon Forecast'!B26+'D5 Gallon Forecast'!B57+'D6 Gallon Forecast'!B98</f>
        <v>1813991</v>
      </c>
      <c r="C392" s="18">
        <f>'D3 Gallon Forecast'!C26+'D5 Gallon Forecast'!C57+'D6 Gallon Forecast'!C98</f>
        <v>1055587726</v>
      </c>
      <c r="D392" s="18">
        <f>'D3 Gallon Forecast'!D26+'D5 Gallon Forecast'!D57+'D6 Gallon Forecast'!D98</f>
        <v>1081691853</v>
      </c>
      <c r="E392" s="18">
        <f>'D3 Gallon Forecast'!E26+'D5 Gallon Forecast'!E57+'D6 Gallon Forecast'!E98</f>
        <v>970264123</v>
      </c>
      <c r="F392" s="18">
        <f>'D3 Gallon Forecast'!F26+'D5 Gallon Forecast'!F57+'D6 Gallon Forecast'!F98</f>
        <v>1022279358</v>
      </c>
      <c r="G392" s="18">
        <f>'D3 Gallon Forecast'!G26+'D5 Gallon Forecast'!G57+'D6 Gallon Forecast'!G98</f>
        <v>1087446600</v>
      </c>
      <c r="H392" s="18">
        <f>'D3 Gallon Forecast'!H26+'D5 Gallon Forecast'!H57+'D6 Gallon Forecast'!H98</f>
        <v>1179848114</v>
      </c>
      <c r="I392" s="18">
        <f>'D3 Gallon Forecast'!I26+'D5 Gallon Forecast'!I57+'D6 Gallon Forecast'!I98</f>
        <v>1149332757</v>
      </c>
      <c r="J392" s="18">
        <f>'D3 Gallon Forecast'!J26+'D5 Gallon Forecast'!J57+'D6 Gallon Forecast'!J98</f>
        <v>1121769108</v>
      </c>
      <c r="K392" s="18">
        <f>'D3 Gallon Forecast'!K26+'D5 Gallon Forecast'!K57+'D6 Gallon Forecast'!K98</f>
        <v>1167315628</v>
      </c>
      <c r="L392" s="18">
        <f>'D3 Gallon Forecast'!L26+'D5 Gallon Forecast'!L57+'D6 Gallon Forecast'!L98</f>
        <v>1193948580</v>
      </c>
      <c r="M392" s="18">
        <f>'D3 Gallon Forecast'!M26+'D5 Gallon Forecast'!M57+'D6 Gallon Forecast'!M98</f>
        <v>933453984</v>
      </c>
      <c r="N392" s="18">
        <f>'D3 Gallon Forecast'!N26+'D5 Gallon Forecast'!N57+'D6 Gallon Forecast'!N98</f>
        <v>1128866429</v>
      </c>
      <c r="O392" s="18">
        <f>'D3 Gallon Forecast'!O26+'D5 Gallon Forecast'!O57+'D6 Gallon Forecast'!O98</f>
        <v>1182448684</v>
      </c>
      <c r="P392" s="18">
        <f>'D3 Gallon Forecast'!P26+'D5 Gallon Forecast'!P57+'D6 Gallon Forecast'!P98</f>
        <v>1279450609</v>
      </c>
      <c r="Q392" s="19">
        <f>'D3 Gallon Forecast'!Q26+'D5 Gallon Forecast'!Q57+'D6 Gallon Forecast'!Q98</f>
        <v>1129718148</v>
      </c>
      <c r="R392" s="19">
        <f>'D3 Gallon Forecast'!R26+'D5 Gallon Forecast'!R57+'D6 Gallon Forecast'!R98</f>
        <v>1129633251.6114731</v>
      </c>
      <c r="S392" s="19">
        <f>'D3 Gallon Forecast'!S26+'D5 Gallon Forecast'!S57+'D6 Gallon Forecast'!S98</f>
        <v>1162429709.6877778</v>
      </c>
      <c r="T392" s="19">
        <f>'D3 Gallon Forecast'!T26+'D5 Gallon Forecast'!T57+'D6 Gallon Forecast'!T98</f>
        <v>1180775912.4527941</v>
      </c>
      <c r="U392" s="19">
        <f>'D3 Gallon Forecast'!U26+'D5 Gallon Forecast'!U57+'D6 Gallon Forecast'!U98</f>
        <v>1189998668.1625366</v>
      </c>
      <c r="V392" s="19">
        <f>'D3 Gallon Forecast'!V26+'D5 Gallon Forecast'!V57+'D6 Gallon Forecast'!V98</f>
        <v>1182610972.8253653</v>
      </c>
      <c r="W392" s="19">
        <f>'D3 Gallon Forecast'!W26+'D5 Gallon Forecast'!W57+'D6 Gallon Forecast'!W98</f>
        <v>1197923150.8499072</v>
      </c>
      <c r="X392" s="19">
        <f>'D3 Gallon Forecast'!X26+'D5 Gallon Forecast'!X57+'D6 Gallon Forecast'!X98</f>
        <v>1212913770.3397639</v>
      </c>
      <c r="Y392" s="19">
        <f>'D3 Gallon Forecast'!Y26+'D5 Gallon Forecast'!Y57+'D6 Gallon Forecast'!Y98</f>
        <v>1225462850.3927393</v>
      </c>
      <c r="Z392" s="19">
        <f>'D3 Gallon Forecast'!Z26+'D5 Gallon Forecast'!Z57+'D6 Gallon Forecast'!Z98</f>
        <v>1235716555.4039803</v>
      </c>
      <c r="AD392" s="18">
        <f t="shared" ref="AD392:AD403" si="164">AVERAGE(J392:N392)</f>
        <v>1109070745.8</v>
      </c>
      <c r="AE392" s="18">
        <f t="shared" ref="AE392:AE403" si="165">O392-AD392</f>
        <v>73377938.200000048</v>
      </c>
      <c r="AF392" s="18">
        <f t="shared" si="163"/>
        <v>53582255</v>
      </c>
      <c r="AG392" s="18">
        <f>O392/28</f>
        <v>42230310.142857142</v>
      </c>
      <c r="AH392" s="18">
        <f>AD392/28</f>
        <v>39609669.492857143</v>
      </c>
      <c r="AI392" s="18">
        <f t="shared" ref="AI392:AI402" si="166">AG392-AH392</f>
        <v>2620640.6499999985</v>
      </c>
    </row>
    <row r="393" spans="1:35">
      <c r="A393" s="14" t="s">
        <v>70</v>
      </c>
      <c r="B393" s="18">
        <f>'D3 Gallon Forecast'!B27+'D5 Gallon Forecast'!B58+'D6 Gallon Forecast'!B99</f>
        <v>726074</v>
      </c>
      <c r="C393" s="18">
        <f>'D3 Gallon Forecast'!C27+'D5 Gallon Forecast'!C58+'D6 Gallon Forecast'!C99</f>
        <v>1227484991</v>
      </c>
      <c r="D393" s="18">
        <f>'D3 Gallon Forecast'!D27+'D5 Gallon Forecast'!D58+'D6 Gallon Forecast'!D99</f>
        <v>1157490408</v>
      </c>
      <c r="E393" s="18">
        <f>'D3 Gallon Forecast'!E27+'D5 Gallon Forecast'!E58+'D6 Gallon Forecast'!E99</f>
        <v>1082202121</v>
      </c>
      <c r="F393" s="18">
        <f>'D3 Gallon Forecast'!F27+'D5 Gallon Forecast'!F58+'D6 Gallon Forecast'!F99</f>
        <v>1151949557</v>
      </c>
      <c r="G393" s="18">
        <f>'D3 Gallon Forecast'!G27+'D5 Gallon Forecast'!G58+'D6 Gallon Forecast'!G99</f>
        <v>1211056625</v>
      </c>
      <c r="H393" s="18">
        <f>'D3 Gallon Forecast'!H27+'D5 Gallon Forecast'!H58+'D6 Gallon Forecast'!H99</f>
        <v>1240603875</v>
      </c>
      <c r="I393" s="18">
        <f>'D3 Gallon Forecast'!I27+'D5 Gallon Forecast'!I58+'D6 Gallon Forecast'!I99</f>
        <v>1282319969</v>
      </c>
      <c r="J393" s="18">
        <f>'D3 Gallon Forecast'!J27+'D5 Gallon Forecast'!J58+'D6 Gallon Forecast'!J99</f>
        <v>1244470199</v>
      </c>
      <c r="K393" s="18">
        <f>'D3 Gallon Forecast'!K27+'D5 Gallon Forecast'!K58+'D6 Gallon Forecast'!K99</f>
        <v>1225841305</v>
      </c>
      <c r="L393" s="18">
        <f>'D3 Gallon Forecast'!L27+'D5 Gallon Forecast'!L58+'D6 Gallon Forecast'!L99</f>
        <v>1174159077</v>
      </c>
      <c r="M393" s="18">
        <f>'D3 Gallon Forecast'!M27+'D5 Gallon Forecast'!M58+'D6 Gallon Forecast'!M99</f>
        <v>1216107016</v>
      </c>
      <c r="N393" s="18">
        <f>'D3 Gallon Forecast'!N27+'D5 Gallon Forecast'!N58+'D6 Gallon Forecast'!N99</f>
        <v>1308292317</v>
      </c>
      <c r="O393" s="18">
        <f>'D3 Gallon Forecast'!O27+'D5 Gallon Forecast'!O58+'D6 Gallon Forecast'!O99</f>
        <v>1265398583</v>
      </c>
      <c r="P393" s="18">
        <f>'D3 Gallon Forecast'!P27+'D5 Gallon Forecast'!P58+'D6 Gallon Forecast'!P99</f>
        <v>1254977216</v>
      </c>
      <c r="Q393" s="19">
        <f>'D3 Gallon Forecast'!Q27+'D5 Gallon Forecast'!Q58+'D6 Gallon Forecast'!Q99</f>
        <v>1258613326.3453763</v>
      </c>
      <c r="R393" s="19">
        <f>'D3 Gallon Forecast'!R27+'D5 Gallon Forecast'!R58+'D6 Gallon Forecast'!R99</f>
        <v>1258795050.627341</v>
      </c>
      <c r="S393" s="19">
        <f>'D3 Gallon Forecast'!S27+'D5 Gallon Forecast'!S58+'D6 Gallon Forecast'!S99</f>
        <v>1259888728.1170373</v>
      </c>
      <c r="T393" s="19">
        <f>'D3 Gallon Forecast'!T27+'D5 Gallon Forecast'!T58+'D6 Gallon Forecast'!T99</f>
        <v>1260673818.1858246</v>
      </c>
      <c r="U393" s="19">
        <f>'D3 Gallon Forecast'!U27+'D5 Gallon Forecast'!U58+'D6 Gallon Forecast'!U99</f>
        <v>1270782537.3724918</v>
      </c>
      <c r="V393" s="19">
        <f>'D3 Gallon Forecast'!V27+'D5 Gallon Forecast'!V58+'D6 Gallon Forecast'!V99</f>
        <v>1287249629.3308568</v>
      </c>
      <c r="W393" s="19">
        <f>'D3 Gallon Forecast'!W27+'D5 Gallon Forecast'!W58+'D6 Gallon Forecast'!W99</f>
        <v>1298210564.4173896</v>
      </c>
      <c r="X393" s="19">
        <f>'D3 Gallon Forecast'!X27+'D5 Gallon Forecast'!X58+'D6 Gallon Forecast'!X99</f>
        <v>1307157105.9193783</v>
      </c>
      <c r="Y393" s="19">
        <f>'D3 Gallon Forecast'!Y27+'D5 Gallon Forecast'!Y58+'D6 Gallon Forecast'!Y99</f>
        <v>1318878214.2280521</v>
      </c>
      <c r="Z393" s="19">
        <f>'D3 Gallon Forecast'!Z27+'D5 Gallon Forecast'!Z58+'D6 Gallon Forecast'!Z99</f>
        <v>1331286291.4716694</v>
      </c>
      <c r="AD393" s="18">
        <f t="shared" si="164"/>
        <v>1233773982.8</v>
      </c>
      <c r="AE393" s="18">
        <f t="shared" si="165"/>
        <v>31624600.200000048</v>
      </c>
      <c r="AF393" s="18">
        <f t="shared" si="163"/>
        <v>-42893734</v>
      </c>
      <c r="AG393" s="18">
        <f>O393/31</f>
        <v>40819309.129032262</v>
      </c>
      <c r="AH393" s="18">
        <f>AD393/31</f>
        <v>39799160.73548387</v>
      </c>
      <c r="AI393" s="18">
        <f t="shared" si="166"/>
        <v>1020148.3935483918</v>
      </c>
    </row>
    <row r="394" spans="1:35">
      <c r="A394" s="14" t="s">
        <v>71</v>
      </c>
      <c r="B394" s="18">
        <f>'D3 Gallon Forecast'!B28+'D5 Gallon Forecast'!B59+'D6 Gallon Forecast'!B100</f>
        <v>0</v>
      </c>
      <c r="C394" s="18">
        <f>'D3 Gallon Forecast'!C28+'D5 Gallon Forecast'!C59+'D6 Gallon Forecast'!C100</f>
        <v>1071259498</v>
      </c>
      <c r="D394" s="18">
        <f>'D3 Gallon Forecast'!D28+'D5 Gallon Forecast'!D59+'D6 Gallon Forecast'!D100</f>
        <v>1112212274</v>
      </c>
      <c r="E394" s="18">
        <f>'D3 Gallon Forecast'!E28+'D5 Gallon Forecast'!E59+'D6 Gallon Forecast'!E100</f>
        <v>1112326804</v>
      </c>
      <c r="F394" s="18">
        <f>'D3 Gallon Forecast'!F28+'D5 Gallon Forecast'!F59+'D6 Gallon Forecast'!F100</f>
        <v>1194189904</v>
      </c>
      <c r="G394" s="18">
        <f>'D3 Gallon Forecast'!G28+'D5 Gallon Forecast'!G59+'D6 Gallon Forecast'!G100</f>
        <v>1176654378</v>
      </c>
      <c r="H394" s="18">
        <f>'D3 Gallon Forecast'!H28+'D5 Gallon Forecast'!H59+'D6 Gallon Forecast'!H100</f>
        <v>1175518260</v>
      </c>
      <c r="I394" s="18">
        <f>'D3 Gallon Forecast'!I28+'D5 Gallon Forecast'!I59+'D6 Gallon Forecast'!I100</f>
        <v>1181652022</v>
      </c>
      <c r="J394" s="18">
        <f>'D3 Gallon Forecast'!J28+'D5 Gallon Forecast'!J59+'D6 Gallon Forecast'!J100</f>
        <v>1244911974</v>
      </c>
      <c r="K394" s="18">
        <f>'D3 Gallon Forecast'!K28+'D5 Gallon Forecast'!K59+'D6 Gallon Forecast'!K100</f>
        <v>1286955190</v>
      </c>
      <c r="L394" s="18">
        <f>'D3 Gallon Forecast'!L28+'D5 Gallon Forecast'!L59+'D6 Gallon Forecast'!L100</f>
        <v>671335167</v>
      </c>
      <c r="M394" s="18">
        <f>'D3 Gallon Forecast'!M28+'D5 Gallon Forecast'!M59+'D6 Gallon Forecast'!M100</f>
        <v>1168296005</v>
      </c>
      <c r="N394" s="18">
        <f>'D3 Gallon Forecast'!N28+'D5 Gallon Forecast'!N59+'D6 Gallon Forecast'!N100</f>
        <v>1180970884</v>
      </c>
      <c r="O394" s="18">
        <f>'D3 Gallon Forecast'!O28+'D5 Gallon Forecast'!O59+'D6 Gallon Forecast'!O100</f>
        <v>1205747364</v>
      </c>
      <c r="P394" s="18">
        <f>'D3 Gallon Forecast'!P28+'D5 Gallon Forecast'!P59+'D6 Gallon Forecast'!P100</f>
        <v>1263301212</v>
      </c>
      <c r="Q394" s="19">
        <f>'D3 Gallon Forecast'!Q28+'D5 Gallon Forecast'!Q59+'D6 Gallon Forecast'!Q100</f>
        <v>1117197069.9311473</v>
      </c>
      <c r="R394" s="19">
        <f>'D3 Gallon Forecast'!R28+'D5 Gallon Forecast'!R59+'D6 Gallon Forecast'!R100</f>
        <v>1183578107.5657997</v>
      </c>
      <c r="S394" s="19">
        <f>'D3 Gallon Forecast'!S28+'D5 Gallon Forecast'!S59+'D6 Gallon Forecast'!S100</f>
        <v>1179344511.548003</v>
      </c>
      <c r="T394" s="19">
        <f>'D3 Gallon Forecast'!T28+'D5 Gallon Forecast'!T59+'D6 Gallon Forecast'!T100</f>
        <v>1189300847.8408406</v>
      </c>
      <c r="U394" s="19">
        <f>'D3 Gallon Forecast'!U28+'D5 Gallon Forecast'!U59+'D6 Gallon Forecast'!U100</f>
        <v>1197120314.1916392</v>
      </c>
      <c r="V394" s="19">
        <f>'D3 Gallon Forecast'!V28+'D5 Gallon Forecast'!V59+'D6 Gallon Forecast'!V100</f>
        <v>1196972741.2678728</v>
      </c>
      <c r="W394" s="19">
        <f>'D3 Gallon Forecast'!W28+'D5 Gallon Forecast'!W59+'D6 Gallon Forecast'!W100</f>
        <v>1217896351.5080211</v>
      </c>
      <c r="X394" s="19">
        <f>'D3 Gallon Forecast'!X28+'D5 Gallon Forecast'!X59+'D6 Gallon Forecast'!X100</f>
        <v>1226001168.4391065</v>
      </c>
      <c r="Y394" s="19">
        <f>'D3 Gallon Forecast'!Y28+'D5 Gallon Forecast'!Y59+'D6 Gallon Forecast'!Y100</f>
        <v>1237954694.8955381</v>
      </c>
      <c r="Z394" s="19">
        <f>'D3 Gallon Forecast'!Z28+'D5 Gallon Forecast'!Z59+'D6 Gallon Forecast'!Z100</f>
        <v>1248625750.6327713</v>
      </c>
      <c r="AD394" s="18">
        <f t="shared" si="164"/>
        <v>1110493844</v>
      </c>
      <c r="AE394" s="18">
        <f t="shared" si="165"/>
        <v>95253520</v>
      </c>
      <c r="AF394" s="18">
        <f t="shared" si="163"/>
        <v>24776480</v>
      </c>
      <c r="AG394" s="18">
        <f>O394/30</f>
        <v>40191578.799999997</v>
      </c>
      <c r="AH394" s="18">
        <f>AD394/30</f>
        <v>37016461.466666669</v>
      </c>
      <c r="AI394" s="18">
        <f t="shared" si="166"/>
        <v>3175117.3333333284</v>
      </c>
    </row>
    <row r="395" spans="1:35">
      <c r="A395" s="14" t="s">
        <v>47</v>
      </c>
      <c r="B395" s="18">
        <f>'D3 Gallon Forecast'!B29+'D5 Gallon Forecast'!B60+'D6 Gallon Forecast'!B101</f>
        <v>0</v>
      </c>
      <c r="C395" s="18">
        <f>'D3 Gallon Forecast'!C29+'D5 Gallon Forecast'!C60+'D6 Gallon Forecast'!C101</f>
        <v>1141675414</v>
      </c>
      <c r="D395" s="18">
        <f>'D3 Gallon Forecast'!D29+'D5 Gallon Forecast'!D60+'D6 Gallon Forecast'!D101</f>
        <v>1148584610</v>
      </c>
      <c r="E395" s="18">
        <f>'D3 Gallon Forecast'!E29+'D5 Gallon Forecast'!E60+'D6 Gallon Forecast'!E101</f>
        <v>1171556785</v>
      </c>
      <c r="F395" s="18">
        <f>'D3 Gallon Forecast'!F29+'D5 Gallon Forecast'!F60+'D6 Gallon Forecast'!F101</f>
        <v>1222489190</v>
      </c>
      <c r="G395" s="18">
        <f>'D3 Gallon Forecast'!G29+'D5 Gallon Forecast'!G60+'D6 Gallon Forecast'!G101</f>
        <v>1211383680</v>
      </c>
      <c r="H395" s="18">
        <f>'D3 Gallon Forecast'!H29+'D5 Gallon Forecast'!H60+'D6 Gallon Forecast'!H101</f>
        <v>1256298961</v>
      </c>
      <c r="I395" s="18">
        <f>'D3 Gallon Forecast'!I29+'D5 Gallon Forecast'!I60+'D6 Gallon Forecast'!I101</f>
        <v>1288335269</v>
      </c>
      <c r="J395" s="18">
        <f>'D3 Gallon Forecast'!J29+'D5 Gallon Forecast'!J60+'D6 Gallon Forecast'!J101</f>
        <v>1309430420</v>
      </c>
      <c r="K395" s="18">
        <f>'D3 Gallon Forecast'!K29+'D5 Gallon Forecast'!K60+'D6 Gallon Forecast'!K101</f>
        <v>1311063762</v>
      </c>
      <c r="L395" s="18">
        <f>'D3 Gallon Forecast'!L29+'D5 Gallon Forecast'!L60+'D6 Gallon Forecast'!L101</f>
        <v>876338662</v>
      </c>
      <c r="M395" s="18">
        <f>'D3 Gallon Forecast'!M29+'D5 Gallon Forecast'!M60+'D6 Gallon Forecast'!M101</f>
        <v>1297078723</v>
      </c>
      <c r="N395" s="18">
        <f>'D3 Gallon Forecast'!N29+'D5 Gallon Forecast'!N60+'D6 Gallon Forecast'!N101</f>
        <v>1293680217</v>
      </c>
      <c r="O395" s="18">
        <f>'D3 Gallon Forecast'!O29+'D5 Gallon Forecast'!O60+'D6 Gallon Forecast'!O101</f>
        <v>1319501475</v>
      </c>
      <c r="P395" s="18">
        <f>'D3 Gallon Forecast'!P29+'D5 Gallon Forecast'!P60+'D6 Gallon Forecast'!P101</f>
        <v>1343730189</v>
      </c>
      <c r="Q395" s="19">
        <f>'D3 Gallon Forecast'!Q29+'D5 Gallon Forecast'!Q60+'D6 Gallon Forecast'!Q101</f>
        <v>1252746059.4855692</v>
      </c>
      <c r="R395" s="19">
        <f>'D3 Gallon Forecast'!R29+'D5 Gallon Forecast'!R60+'D6 Gallon Forecast'!R101</f>
        <v>1311270082.0984011</v>
      </c>
      <c r="S395" s="19">
        <f>'D3 Gallon Forecast'!S29+'D5 Gallon Forecast'!S60+'D6 Gallon Forecast'!S101</f>
        <v>1304855831.7051196</v>
      </c>
      <c r="T395" s="19">
        <f>'D3 Gallon Forecast'!T29+'D5 Gallon Forecast'!T60+'D6 Gallon Forecast'!T101</f>
        <v>1319445939.749984</v>
      </c>
      <c r="U395" s="19">
        <f>'D3 Gallon Forecast'!U29+'D5 Gallon Forecast'!U60+'D6 Gallon Forecast'!U101</f>
        <v>1330649753.6452711</v>
      </c>
      <c r="V395" s="19">
        <f>'D3 Gallon Forecast'!V29+'D5 Gallon Forecast'!V60+'D6 Gallon Forecast'!V101</f>
        <v>1343747693.8917298</v>
      </c>
      <c r="W395" s="19">
        <f>'D3 Gallon Forecast'!W29+'D5 Gallon Forecast'!W60+'D6 Gallon Forecast'!W101</f>
        <v>1367122888.7168543</v>
      </c>
      <c r="X395" s="19">
        <f>'D3 Gallon Forecast'!X29+'D5 Gallon Forecast'!X60+'D6 Gallon Forecast'!X101</f>
        <v>1381526374.6700165</v>
      </c>
      <c r="Y395" s="19">
        <f>'D3 Gallon Forecast'!Y29+'D5 Gallon Forecast'!Y60+'D6 Gallon Forecast'!Y101</f>
        <v>1403556077.2970026</v>
      </c>
      <c r="Z395" s="19">
        <f>'D3 Gallon Forecast'!Z29+'D5 Gallon Forecast'!Z60+'D6 Gallon Forecast'!Z101</f>
        <v>1424529509.47088</v>
      </c>
      <c r="AD395" s="18">
        <f t="shared" si="164"/>
        <v>1217518356.8</v>
      </c>
      <c r="AE395" s="18">
        <f t="shared" si="165"/>
        <v>101983118.20000005</v>
      </c>
      <c r="AF395" s="18">
        <f t="shared" si="163"/>
        <v>25821258</v>
      </c>
      <c r="AG395" s="18">
        <f>O395/31</f>
        <v>42564563.709677421</v>
      </c>
      <c r="AH395" s="18">
        <f>AD395/31</f>
        <v>39274785.703225806</v>
      </c>
      <c r="AI395" s="18">
        <f t="shared" si="166"/>
        <v>3289778.0064516142</v>
      </c>
    </row>
    <row r="396" spans="1:35">
      <c r="A396" s="14" t="s">
        <v>72</v>
      </c>
      <c r="B396" s="18">
        <f>'D3 Gallon Forecast'!B30+'D5 Gallon Forecast'!B61+'D6 Gallon Forecast'!B102</f>
        <v>90996</v>
      </c>
      <c r="C396" s="18">
        <f>'D3 Gallon Forecast'!C30+'D5 Gallon Forecast'!C61+'D6 Gallon Forecast'!C102</f>
        <v>1169622510</v>
      </c>
      <c r="D396" s="18">
        <f>'D3 Gallon Forecast'!D30+'D5 Gallon Forecast'!D61+'D6 Gallon Forecast'!D102</f>
        <v>1125180743</v>
      </c>
      <c r="E396" s="18">
        <f>'D3 Gallon Forecast'!E30+'D5 Gallon Forecast'!E61+'D6 Gallon Forecast'!E102</f>
        <v>1138837984</v>
      </c>
      <c r="F396" s="18">
        <f>'D3 Gallon Forecast'!F30+'D5 Gallon Forecast'!F61+'D6 Gallon Forecast'!F102</f>
        <v>1203536310</v>
      </c>
      <c r="G396" s="18">
        <f>'D3 Gallon Forecast'!G30+'D5 Gallon Forecast'!G61+'D6 Gallon Forecast'!G102</f>
        <v>1253292390</v>
      </c>
      <c r="H396" s="18">
        <f>'D3 Gallon Forecast'!H30+'D5 Gallon Forecast'!H61+'D6 Gallon Forecast'!H102</f>
        <v>1297473837</v>
      </c>
      <c r="I396" s="18">
        <f>'D3 Gallon Forecast'!I30+'D5 Gallon Forecast'!I61+'D6 Gallon Forecast'!I102</f>
        <v>1277478069</v>
      </c>
      <c r="J396" s="18">
        <f>'D3 Gallon Forecast'!J30+'D5 Gallon Forecast'!J61+'D6 Gallon Forecast'!J102</f>
        <v>1275832358</v>
      </c>
      <c r="K396" s="18">
        <f>'D3 Gallon Forecast'!K30+'D5 Gallon Forecast'!K61+'D6 Gallon Forecast'!K102</f>
        <v>1298091635</v>
      </c>
      <c r="L396" s="18">
        <f>'D3 Gallon Forecast'!L30+'D5 Gallon Forecast'!L61+'D6 Gallon Forecast'!L102</f>
        <v>1110436245</v>
      </c>
      <c r="M396" s="18">
        <f>'D3 Gallon Forecast'!M30+'D5 Gallon Forecast'!M61+'D6 Gallon Forecast'!M102</f>
        <v>1319857386</v>
      </c>
      <c r="N396" s="18">
        <f>'D3 Gallon Forecast'!N30+'D5 Gallon Forecast'!N61+'D6 Gallon Forecast'!N102</f>
        <v>1343269923</v>
      </c>
      <c r="O396" s="18">
        <f>'D3 Gallon Forecast'!O30+'D5 Gallon Forecast'!O61+'D6 Gallon Forecast'!O102</f>
        <v>1347488978</v>
      </c>
      <c r="P396" s="18">
        <f>'D3 Gallon Forecast'!P30+'D5 Gallon Forecast'!P61+'D6 Gallon Forecast'!P102</f>
        <v>1290870210</v>
      </c>
      <c r="Q396" s="19">
        <f>'D3 Gallon Forecast'!Q30+'D5 Gallon Forecast'!Q61+'D6 Gallon Forecast'!Q102</f>
        <v>1305841093.0560875</v>
      </c>
      <c r="R396" s="19">
        <f>'D3 Gallon Forecast'!R30+'D5 Gallon Forecast'!R61+'D6 Gallon Forecast'!R102</f>
        <v>1333488494.6437361</v>
      </c>
      <c r="S396" s="19">
        <f>'D3 Gallon Forecast'!S30+'D5 Gallon Forecast'!S61+'D6 Gallon Forecast'!S102</f>
        <v>1329820141.8875871</v>
      </c>
      <c r="T396" s="19">
        <f>'D3 Gallon Forecast'!T30+'D5 Gallon Forecast'!T61+'D6 Gallon Forecast'!T102</f>
        <v>1338470464.6963637</v>
      </c>
      <c r="U396" s="19">
        <f>'D3 Gallon Forecast'!U30+'D5 Gallon Forecast'!U61+'D6 Gallon Forecast'!U102</f>
        <v>1350404976.8481448</v>
      </c>
      <c r="V396" s="19">
        <f>'D3 Gallon Forecast'!V30+'D5 Gallon Forecast'!V61+'D6 Gallon Forecast'!V102</f>
        <v>1382146266.0767925</v>
      </c>
      <c r="W396" s="19">
        <f>'D3 Gallon Forecast'!W30+'D5 Gallon Forecast'!W61+'D6 Gallon Forecast'!W102</f>
        <v>1403472698.3688166</v>
      </c>
      <c r="X396" s="19">
        <f>'D3 Gallon Forecast'!X30+'D5 Gallon Forecast'!X61+'D6 Gallon Forecast'!X102</f>
        <v>1422780234.9699049</v>
      </c>
      <c r="Y396" s="19">
        <f>'D3 Gallon Forecast'!Y30+'D5 Gallon Forecast'!Y61+'D6 Gallon Forecast'!Y102</f>
        <v>1451585541.4285257</v>
      </c>
      <c r="Z396" s="19">
        <f>'D3 Gallon Forecast'!Z30+'D5 Gallon Forecast'!Z61+'D6 Gallon Forecast'!Z102</f>
        <v>1481156764.8568587</v>
      </c>
      <c r="AD396" s="23">
        <f t="shared" si="164"/>
        <v>1269497509.4000001</v>
      </c>
      <c r="AE396" s="23">
        <f t="shared" si="165"/>
        <v>77991468.599999905</v>
      </c>
      <c r="AF396" s="23">
        <f t="shared" si="163"/>
        <v>4219055</v>
      </c>
      <c r="AG396" s="23">
        <f>O396/30</f>
        <v>44916299.266666666</v>
      </c>
      <c r="AH396" s="23">
        <f>AD396/30</f>
        <v>42316583.646666668</v>
      </c>
      <c r="AI396" s="23">
        <f t="shared" si="166"/>
        <v>2599715.6199999973</v>
      </c>
    </row>
    <row r="397" spans="1:35">
      <c r="A397" s="14" t="s">
        <v>73</v>
      </c>
      <c r="B397" s="18">
        <f>'D3 Gallon Forecast'!B31+'D5 Gallon Forecast'!B62+'D6 Gallon Forecast'!B103</f>
        <v>1113361005</v>
      </c>
      <c r="C397" s="18">
        <f>'D3 Gallon Forecast'!C31+'D5 Gallon Forecast'!C62+'D6 Gallon Forecast'!C103</f>
        <v>1141451602</v>
      </c>
      <c r="D397" s="18">
        <f>'D3 Gallon Forecast'!D31+'D5 Gallon Forecast'!D62+'D6 Gallon Forecast'!D103</f>
        <v>1108156507</v>
      </c>
      <c r="E397" s="18">
        <f>'D3 Gallon Forecast'!E31+'D5 Gallon Forecast'!E62+'D6 Gallon Forecast'!E103</f>
        <v>1175304998</v>
      </c>
      <c r="F397" s="18">
        <f>'D3 Gallon Forecast'!F31+'D5 Gallon Forecast'!F62+'D6 Gallon Forecast'!F103</f>
        <v>1245628716</v>
      </c>
      <c r="G397" s="18">
        <f>'D3 Gallon Forecast'!G31+'D5 Gallon Forecast'!G62+'D6 Gallon Forecast'!G103</f>
        <v>1242432201</v>
      </c>
      <c r="H397" s="18">
        <f>'D3 Gallon Forecast'!H31+'D5 Gallon Forecast'!H62+'D6 Gallon Forecast'!H103</f>
        <v>1258354003</v>
      </c>
      <c r="I397" s="18">
        <f>'D3 Gallon Forecast'!I31+'D5 Gallon Forecast'!I62+'D6 Gallon Forecast'!I103</f>
        <v>1275739890</v>
      </c>
      <c r="J397" s="18">
        <f>'D3 Gallon Forecast'!J31+'D5 Gallon Forecast'!J62+'D6 Gallon Forecast'!J103</f>
        <v>1377670010</v>
      </c>
      <c r="K397" s="18">
        <f>'D3 Gallon Forecast'!K31+'D5 Gallon Forecast'!K62+'D6 Gallon Forecast'!K103</f>
        <v>1378050367</v>
      </c>
      <c r="L397" s="18">
        <f>'D3 Gallon Forecast'!L31+'D5 Gallon Forecast'!L62+'D6 Gallon Forecast'!L103</f>
        <v>1234937149</v>
      </c>
      <c r="M397" s="18">
        <f>'D3 Gallon Forecast'!M31+'D5 Gallon Forecast'!M62+'D6 Gallon Forecast'!M103</f>
        <v>1332595037</v>
      </c>
      <c r="N397" s="18">
        <f>'D3 Gallon Forecast'!N31+'D5 Gallon Forecast'!N62+'D6 Gallon Forecast'!N103</f>
        <v>1265552944</v>
      </c>
      <c r="O397" s="18">
        <f>'D3 Gallon Forecast'!O31+'D5 Gallon Forecast'!O62+'D6 Gallon Forecast'!O103</f>
        <v>1337482658</v>
      </c>
      <c r="P397" s="19">
        <f>'D3 Gallon Forecast'!P31+'D5 Gallon Forecast'!P62+'D6 Gallon Forecast'!P103</f>
        <v>1412668651</v>
      </c>
      <c r="Q397" s="19">
        <f>'D3 Gallon Forecast'!Q31+'D5 Gallon Forecast'!Q62+'D6 Gallon Forecast'!Q103</f>
        <v>1347129214.3176138</v>
      </c>
      <c r="R397" s="19">
        <f>'D3 Gallon Forecast'!R31+'D5 Gallon Forecast'!R62+'D6 Gallon Forecast'!R103</f>
        <v>1359965733.4819691</v>
      </c>
      <c r="S397" s="19">
        <f>'D3 Gallon Forecast'!S31+'D5 Gallon Forecast'!S62+'D6 Gallon Forecast'!S103</f>
        <v>1357325939.922606</v>
      </c>
      <c r="T397" s="19">
        <f>'D3 Gallon Forecast'!T31+'D5 Gallon Forecast'!T62+'D6 Gallon Forecast'!T103</f>
        <v>1385818648.8151972</v>
      </c>
      <c r="U397" s="19">
        <f>'D3 Gallon Forecast'!U31+'D5 Gallon Forecast'!U62+'D6 Gallon Forecast'!U103</f>
        <v>1406550415.3695016</v>
      </c>
      <c r="V397" s="19">
        <f>'D3 Gallon Forecast'!V31+'D5 Gallon Forecast'!V62+'D6 Gallon Forecast'!V103</f>
        <v>1422927226.9568419</v>
      </c>
      <c r="W397" s="19">
        <f>'D3 Gallon Forecast'!W31+'D5 Gallon Forecast'!W62+'D6 Gallon Forecast'!W103</f>
        <v>1444007995.3978193</v>
      </c>
      <c r="X397" s="19">
        <f>'D3 Gallon Forecast'!X31+'D5 Gallon Forecast'!X62+'D6 Gallon Forecast'!X103</f>
        <v>1466865363.6561205</v>
      </c>
      <c r="Y397" s="19">
        <f>'D3 Gallon Forecast'!Y31+'D5 Gallon Forecast'!Y62+'D6 Gallon Forecast'!Y103</f>
        <v>1500452146.8669882</v>
      </c>
      <c r="Z397" s="19">
        <f>'D3 Gallon Forecast'!Z31+'D5 Gallon Forecast'!Z62+'D6 Gallon Forecast'!Z103</f>
        <v>1532253472.566417</v>
      </c>
      <c r="AD397" s="18">
        <f t="shared" si="164"/>
        <v>1317761101.4000001</v>
      </c>
      <c r="AE397" s="19">
        <f t="shared" si="165"/>
        <v>19721556.599999905</v>
      </c>
      <c r="AF397" s="19">
        <f t="shared" si="163"/>
        <v>71929714</v>
      </c>
      <c r="AG397" s="19">
        <f>O397/31</f>
        <v>43144601.870967738</v>
      </c>
      <c r="AH397" s="18">
        <f>AD397/31</f>
        <v>42508422.625806458</v>
      </c>
      <c r="AI397" s="19">
        <f t="shared" si="166"/>
        <v>636179.24516128004</v>
      </c>
    </row>
    <row r="398" spans="1:35">
      <c r="A398" s="14" t="s">
        <v>74</v>
      </c>
      <c r="B398" s="18">
        <f>'D3 Gallon Forecast'!B32+'D5 Gallon Forecast'!B63+'D6 Gallon Forecast'!B104</f>
        <v>1111950852</v>
      </c>
      <c r="C398" s="18">
        <f>'D3 Gallon Forecast'!C32+'D5 Gallon Forecast'!C63+'D6 Gallon Forecast'!C104</f>
        <v>1190403443</v>
      </c>
      <c r="D398" s="18">
        <f>'D3 Gallon Forecast'!D32+'D5 Gallon Forecast'!D63+'D6 Gallon Forecast'!D104</f>
        <v>1180695850</v>
      </c>
      <c r="E398" s="18">
        <f>'D3 Gallon Forecast'!E32+'D5 Gallon Forecast'!E63+'D6 Gallon Forecast'!E104</f>
        <v>1185292685</v>
      </c>
      <c r="F398" s="18">
        <f>'D3 Gallon Forecast'!F32+'D5 Gallon Forecast'!F63+'D6 Gallon Forecast'!F104</f>
        <v>1185733609</v>
      </c>
      <c r="G398" s="18">
        <f>'D3 Gallon Forecast'!G32+'D5 Gallon Forecast'!G63+'D6 Gallon Forecast'!G104</f>
        <v>1239858491</v>
      </c>
      <c r="H398" s="18">
        <f>'D3 Gallon Forecast'!H32+'D5 Gallon Forecast'!H63+'D6 Gallon Forecast'!H104</f>
        <v>1332528846</v>
      </c>
      <c r="I398" s="18">
        <f>'D3 Gallon Forecast'!I32+'D5 Gallon Forecast'!I63+'D6 Gallon Forecast'!I104</f>
        <v>1342522917</v>
      </c>
      <c r="J398" s="18">
        <f>'D3 Gallon Forecast'!J32+'D5 Gallon Forecast'!J63+'D6 Gallon Forecast'!J104</f>
        <v>1394649277</v>
      </c>
      <c r="K398" s="18">
        <f>'D3 Gallon Forecast'!K32+'D5 Gallon Forecast'!K63+'D6 Gallon Forecast'!K104</f>
        <v>1298388853</v>
      </c>
      <c r="L398" s="18">
        <f>'D3 Gallon Forecast'!L32+'D5 Gallon Forecast'!L63+'D6 Gallon Forecast'!L104</f>
        <v>1198008922</v>
      </c>
      <c r="M398" s="18">
        <f>'D3 Gallon Forecast'!M32+'D5 Gallon Forecast'!M63+'D6 Gallon Forecast'!M104</f>
        <v>1277012733</v>
      </c>
      <c r="N398" s="18">
        <f>'D3 Gallon Forecast'!N32+'D5 Gallon Forecast'!N63+'D6 Gallon Forecast'!N104</f>
        <v>1339359539</v>
      </c>
      <c r="O398" s="18">
        <f>'D3 Gallon Forecast'!O32+'D5 Gallon Forecast'!O63+'D6 Gallon Forecast'!O104</f>
        <v>1330643432</v>
      </c>
      <c r="P398" s="19">
        <f>'D3 Gallon Forecast'!P32+'D5 Gallon Forecast'!P63+'D6 Gallon Forecast'!P104</f>
        <v>1408962873</v>
      </c>
      <c r="Q398" s="19">
        <f>'D3 Gallon Forecast'!Q32+'D5 Gallon Forecast'!Q63+'D6 Gallon Forecast'!Q104</f>
        <v>1333737639.4996266</v>
      </c>
      <c r="R398" s="19">
        <f>'D3 Gallon Forecast'!R32+'D5 Gallon Forecast'!R63+'D6 Gallon Forecast'!R104</f>
        <v>1355011768.0294716</v>
      </c>
      <c r="S398" s="19">
        <f>'D3 Gallon Forecast'!S32+'D5 Gallon Forecast'!S63+'D6 Gallon Forecast'!S104</f>
        <v>1363487822.5947781</v>
      </c>
      <c r="T398" s="19">
        <f>'D3 Gallon Forecast'!T32+'D5 Gallon Forecast'!T63+'D6 Gallon Forecast'!T104</f>
        <v>1380836262.3444381</v>
      </c>
      <c r="U398" s="19">
        <f>'D3 Gallon Forecast'!U32+'D5 Gallon Forecast'!U63+'D6 Gallon Forecast'!U104</f>
        <v>1403978432.6275833</v>
      </c>
      <c r="V398" s="19">
        <f>'D3 Gallon Forecast'!V32+'D5 Gallon Forecast'!V63+'D6 Gallon Forecast'!V104</f>
        <v>1423018955.3170722</v>
      </c>
      <c r="W398" s="19">
        <f>'D3 Gallon Forecast'!W32+'D5 Gallon Forecast'!W63+'D6 Gallon Forecast'!W104</f>
        <v>1447174623.0999596</v>
      </c>
      <c r="X398" s="19">
        <f>'D3 Gallon Forecast'!X32+'D5 Gallon Forecast'!X63+'D6 Gallon Forecast'!X104</f>
        <v>1472442827.76683</v>
      </c>
      <c r="Y398" s="19">
        <f>'D3 Gallon Forecast'!Y32+'D5 Gallon Forecast'!Y63+'D6 Gallon Forecast'!Y104</f>
        <v>1507096479.6979666</v>
      </c>
      <c r="Z398" s="19">
        <f>'D3 Gallon Forecast'!Z32+'D5 Gallon Forecast'!Z63+'D6 Gallon Forecast'!Z104</f>
        <v>1542067134.4057488</v>
      </c>
      <c r="AD398" s="18">
        <f t="shared" si="164"/>
        <v>1301483864.8</v>
      </c>
      <c r="AE398" s="19">
        <f t="shared" si="165"/>
        <v>29159567.200000048</v>
      </c>
      <c r="AF398" s="19">
        <f t="shared" si="163"/>
        <v>-8716107</v>
      </c>
      <c r="AG398" s="19">
        <f>O398/31</f>
        <v>42923981.677419357</v>
      </c>
      <c r="AH398" s="18">
        <f>AD398/31</f>
        <v>41983350.477419354</v>
      </c>
      <c r="AI398" s="19">
        <f t="shared" si="166"/>
        <v>940631.20000000298</v>
      </c>
    </row>
    <row r="399" spans="1:35">
      <c r="A399" s="14" t="s">
        <v>75</v>
      </c>
      <c r="B399" s="18">
        <f>'D3 Gallon Forecast'!B33+'D5 Gallon Forecast'!B64+'D6 Gallon Forecast'!B105</f>
        <v>1102538684</v>
      </c>
      <c r="C399" s="18">
        <f>'D3 Gallon Forecast'!C33+'D5 Gallon Forecast'!C64+'D6 Gallon Forecast'!C105</f>
        <v>1117009567</v>
      </c>
      <c r="D399" s="18">
        <f>'D3 Gallon Forecast'!D33+'D5 Gallon Forecast'!D64+'D6 Gallon Forecast'!D105</f>
        <v>1062472303</v>
      </c>
      <c r="E399" s="18">
        <f>'D3 Gallon Forecast'!E33+'D5 Gallon Forecast'!E64+'D6 Gallon Forecast'!E105</f>
        <v>1120289963</v>
      </c>
      <c r="F399" s="18">
        <f>'D3 Gallon Forecast'!F33+'D5 Gallon Forecast'!F64+'D6 Gallon Forecast'!F105</f>
        <v>1168242781</v>
      </c>
      <c r="G399" s="18">
        <f>'D3 Gallon Forecast'!G33+'D5 Gallon Forecast'!G64+'D6 Gallon Forecast'!G105</f>
        <v>1214871928</v>
      </c>
      <c r="H399" s="18">
        <f>'D3 Gallon Forecast'!H33+'D5 Gallon Forecast'!H64+'D6 Gallon Forecast'!H105</f>
        <v>1230887726</v>
      </c>
      <c r="I399" s="18">
        <f>'D3 Gallon Forecast'!I33+'D5 Gallon Forecast'!I64+'D6 Gallon Forecast'!I105</f>
        <v>1244692470</v>
      </c>
      <c r="J399" s="18">
        <f>'D3 Gallon Forecast'!J33+'D5 Gallon Forecast'!J64+'D6 Gallon Forecast'!J105</f>
        <v>1242103763</v>
      </c>
      <c r="K399" s="18">
        <f>'D3 Gallon Forecast'!K33+'D5 Gallon Forecast'!K64+'D6 Gallon Forecast'!K105</f>
        <v>1253121413</v>
      </c>
      <c r="L399" s="18">
        <f>'D3 Gallon Forecast'!L33+'D5 Gallon Forecast'!L64+'D6 Gallon Forecast'!L105</f>
        <v>1192347232</v>
      </c>
      <c r="M399" s="18">
        <f>'D3 Gallon Forecast'!M33+'D5 Gallon Forecast'!M64+'D6 Gallon Forecast'!M105</f>
        <v>1213068647</v>
      </c>
      <c r="N399" s="18">
        <f>'D3 Gallon Forecast'!N33+'D5 Gallon Forecast'!N64+'D6 Gallon Forecast'!N105</f>
        <v>1187482598</v>
      </c>
      <c r="O399" s="18">
        <f>'D3 Gallon Forecast'!O33+'D5 Gallon Forecast'!O64+'D6 Gallon Forecast'!O105</f>
        <v>1260476825</v>
      </c>
      <c r="P399" s="19">
        <f>'D3 Gallon Forecast'!P33+'D5 Gallon Forecast'!P64+'D6 Gallon Forecast'!P105</f>
        <v>1310825343</v>
      </c>
      <c r="Q399" s="19">
        <f>'D3 Gallon Forecast'!Q33+'D5 Gallon Forecast'!Q64+'D6 Gallon Forecast'!Q105</f>
        <v>1253285683.6560071</v>
      </c>
      <c r="R399" s="19">
        <f>'D3 Gallon Forecast'!R33+'D5 Gallon Forecast'!R64+'D6 Gallon Forecast'!R105</f>
        <v>1260900140.7735472</v>
      </c>
      <c r="S399" s="19">
        <f>'D3 Gallon Forecast'!S33+'D5 Gallon Forecast'!S64+'D6 Gallon Forecast'!S105</f>
        <v>1262715926.5115473</v>
      </c>
      <c r="T399" s="19">
        <f>'D3 Gallon Forecast'!T33+'D5 Gallon Forecast'!T64+'D6 Gallon Forecast'!T105</f>
        <v>1289293163.1136742</v>
      </c>
      <c r="U399" s="19">
        <f>'D3 Gallon Forecast'!U33+'D5 Gallon Forecast'!U64+'D6 Gallon Forecast'!U105</f>
        <v>1310775439.7982719</v>
      </c>
      <c r="V399" s="19">
        <f>'D3 Gallon Forecast'!V33+'D5 Gallon Forecast'!V64+'D6 Gallon Forecast'!V105</f>
        <v>1329744052.7432308</v>
      </c>
      <c r="W399" s="19">
        <f>'D3 Gallon Forecast'!W33+'D5 Gallon Forecast'!W64+'D6 Gallon Forecast'!W105</f>
        <v>1350673478.8238118</v>
      </c>
      <c r="X399" s="19">
        <f>'D3 Gallon Forecast'!X33+'D5 Gallon Forecast'!X64+'D6 Gallon Forecast'!X105</f>
        <v>1375782802.1974769</v>
      </c>
      <c r="Y399" s="19">
        <f>'D3 Gallon Forecast'!Y33+'D5 Gallon Forecast'!Y64+'D6 Gallon Forecast'!Y105</f>
        <v>1411990086.6479654</v>
      </c>
      <c r="Z399" s="19">
        <f>'D3 Gallon Forecast'!Z33+'D5 Gallon Forecast'!Z64+'D6 Gallon Forecast'!Z105</f>
        <v>1447002669.8719535</v>
      </c>
      <c r="AD399" s="18">
        <f t="shared" si="164"/>
        <v>1217624730.5999999</v>
      </c>
      <c r="AE399" s="19">
        <f t="shared" si="165"/>
        <v>42852094.400000095</v>
      </c>
      <c r="AF399" s="19">
        <f t="shared" si="163"/>
        <v>72994227</v>
      </c>
      <c r="AG399" s="19">
        <f>O399/30</f>
        <v>42015894.166666664</v>
      </c>
      <c r="AH399" s="18">
        <f>AD399/30</f>
        <v>40587491.019999996</v>
      </c>
      <c r="AI399" s="19">
        <f t="shared" si="166"/>
        <v>1428403.1466666684</v>
      </c>
    </row>
    <row r="400" spans="1:35">
      <c r="A400" s="14" t="s">
        <v>76</v>
      </c>
      <c r="B400" s="18">
        <f>'D3 Gallon Forecast'!B34+'D5 Gallon Forecast'!B65+'D6 Gallon Forecast'!B106</f>
        <v>1111735014</v>
      </c>
      <c r="C400" s="18">
        <f>'D3 Gallon Forecast'!C34+'D5 Gallon Forecast'!C65+'D6 Gallon Forecast'!C106</f>
        <v>1123104279</v>
      </c>
      <c r="D400" s="18">
        <f>'D3 Gallon Forecast'!D34+'D5 Gallon Forecast'!D65+'D6 Gallon Forecast'!D106</f>
        <v>1133996587</v>
      </c>
      <c r="E400" s="18">
        <f>'D3 Gallon Forecast'!E34+'D5 Gallon Forecast'!E65+'D6 Gallon Forecast'!E106</f>
        <v>1169486249</v>
      </c>
      <c r="F400" s="18">
        <f>'D3 Gallon Forecast'!F34+'D5 Gallon Forecast'!F65+'D6 Gallon Forecast'!F106</f>
        <v>1170999535</v>
      </c>
      <c r="G400" s="18">
        <f>'D3 Gallon Forecast'!G34+'D5 Gallon Forecast'!G65+'D6 Gallon Forecast'!G106</f>
        <v>1241389098</v>
      </c>
      <c r="H400" s="18">
        <f>'D3 Gallon Forecast'!H34+'D5 Gallon Forecast'!H65+'D6 Gallon Forecast'!H106</f>
        <v>1255575468</v>
      </c>
      <c r="I400" s="18">
        <f>'D3 Gallon Forecast'!I34+'D5 Gallon Forecast'!I65+'D6 Gallon Forecast'!I106</f>
        <v>1300078609</v>
      </c>
      <c r="J400" s="18">
        <f>'D3 Gallon Forecast'!J34+'D5 Gallon Forecast'!J65+'D6 Gallon Forecast'!J106</f>
        <v>1320261294</v>
      </c>
      <c r="K400" s="18">
        <f>'D3 Gallon Forecast'!K34+'D5 Gallon Forecast'!K65+'D6 Gallon Forecast'!K106</f>
        <v>1328772654</v>
      </c>
      <c r="L400" s="18">
        <f>'D3 Gallon Forecast'!L34+'D5 Gallon Forecast'!L65+'D6 Gallon Forecast'!L106</f>
        <v>1202656314</v>
      </c>
      <c r="M400" s="18">
        <f>'D3 Gallon Forecast'!M34+'D5 Gallon Forecast'!M65+'D6 Gallon Forecast'!M106</f>
        <v>1247179570</v>
      </c>
      <c r="N400" s="18">
        <f>'D3 Gallon Forecast'!N34+'D5 Gallon Forecast'!N65+'D6 Gallon Forecast'!N106</f>
        <v>1295527917</v>
      </c>
      <c r="O400" s="18">
        <f>'D3 Gallon Forecast'!O34+'D5 Gallon Forecast'!O65+'D6 Gallon Forecast'!O106</f>
        <v>1359964368</v>
      </c>
      <c r="P400" s="19">
        <f>'D3 Gallon Forecast'!P34+'D5 Gallon Forecast'!P65+'D6 Gallon Forecast'!P106</f>
        <v>1362971052</v>
      </c>
      <c r="Q400" s="19">
        <f>'D3 Gallon Forecast'!Q34+'D5 Gallon Forecast'!Q65+'D6 Gallon Forecast'!Q106</f>
        <v>1319962983.8696272</v>
      </c>
      <c r="R400" s="19">
        <f>'D3 Gallon Forecast'!R34+'D5 Gallon Forecast'!R65+'D6 Gallon Forecast'!R106</f>
        <v>1336901614.1030934</v>
      </c>
      <c r="S400" s="19">
        <f>'D3 Gallon Forecast'!S34+'D5 Gallon Forecast'!S65+'D6 Gallon Forecast'!S106</f>
        <v>1346794455.8852177</v>
      </c>
      <c r="T400" s="19">
        <f>'D3 Gallon Forecast'!T34+'D5 Gallon Forecast'!T65+'D6 Gallon Forecast'!T106</f>
        <v>1370679659.8567958</v>
      </c>
      <c r="U400" s="19">
        <f>'D3 Gallon Forecast'!U34+'D5 Gallon Forecast'!U65+'D6 Gallon Forecast'!U106</f>
        <v>1385573142.991889</v>
      </c>
      <c r="V400" s="19">
        <f>'D3 Gallon Forecast'!V34+'D5 Gallon Forecast'!V65+'D6 Gallon Forecast'!V106</f>
        <v>1410162383.4650881</v>
      </c>
      <c r="W400" s="19">
        <f>'D3 Gallon Forecast'!W34+'D5 Gallon Forecast'!W65+'D6 Gallon Forecast'!W106</f>
        <v>1434733848.0501633</v>
      </c>
      <c r="X400" s="19">
        <f>'D3 Gallon Forecast'!X34+'D5 Gallon Forecast'!X65+'D6 Gallon Forecast'!X106</f>
        <v>1462119395.3935108</v>
      </c>
      <c r="Y400" s="19">
        <f>'D3 Gallon Forecast'!Y34+'D5 Gallon Forecast'!Y65+'D6 Gallon Forecast'!Y106</f>
        <v>1499833828.7131314</v>
      </c>
      <c r="Z400" s="19">
        <f>'D3 Gallon Forecast'!Z34+'D5 Gallon Forecast'!Z65+'D6 Gallon Forecast'!Z106</f>
        <v>1537301032.5813184</v>
      </c>
      <c r="AD400" s="18">
        <f t="shared" si="164"/>
        <v>1278879549.8</v>
      </c>
      <c r="AE400" s="19">
        <f t="shared" si="165"/>
        <v>81084818.200000048</v>
      </c>
      <c r="AF400" s="19">
        <f t="shared" si="163"/>
        <v>64436451</v>
      </c>
      <c r="AG400" s="19">
        <f>O400/31</f>
        <v>43869818.322580643</v>
      </c>
      <c r="AH400" s="18">
        <f>AD400/31</f>
        <v>41254179.025806449</v>
      </c>
      <c r="AI400" s="19">
        <f t="shared" si="166"/>
        <v>2615639.2967741936</v>
      </c>
    </row>
    <row r="401" spans="1:35">
      <c r="A401" s="14" t="s">
        <v>77</v>
      </c>
      <c r="B401" s="18">
        <f>'D3 Gallon Forecast'!B35+'D5 Gallon Forecast'!B66+'D6 Gallon Forecast'!B107</f>
        <v>1139352288</v>
      </c>
      <c r="C401" s="18">
        <f>'D3 Gallon Forecast'!C35+'D5 Gallon Forecast'!C66+'D6 Gallon Forecast'!C107</f>
        <v>1166704710</v>
      </c>
      <c r="D401" s="18">
        <f>'D3 Gallon Forecast'!D35+'D5 Gallon Forecast'!D66+'D6 Gallon Forecast'!D107</f>
        <v>1154072989</v>
      </c>
      <c r="E401" s="18">
        <f>'D3 Gallon Forecast'!E35+'D5 Gallon Forecast'!E66+'D6 Gallon Forecast'!E107</f>
        <v>1139626714</v>
      </c>
      <c r="F401" s="18">
        <f>'D3 Gallon Forecast'!F35+'D5 Gallon Forecast'!F66+'D6 Gallon Forecast'!F107</f>
        <v>1135125517</v>
      </c>
      <c r="G401" s="18">
        <f>'D3 Gallon Forecast'!G35+'D5 Gallon Forecast'!G66+'D6 Gallon Forecast'!G107</f>
        <v>1235952773</v>
      </c>
      <c r="H401" s="18">
        <f>'D3 Gallon Forecast'!H35+'D5 Gallon Forecast'!H66+'D6 Gallon Forecast'!H107</f>
        <v>1225624007</v>
      </c>
      <c r="I401" s="18">
        <f>'D3 Gallon Forecast'!I35+'D5 Gallon Forecast'!I66+'D6 Gallon Forecast'!I107</f>
        <v>1319729610</v>
      </c>
      <c r="J401" s="18">
        <f>'D3 Gallon Forecast'!J35+'D5 Gallon Forecast'!J66+'D6 Gallon Forecast'!J107</f>
        <v>1273227023</v>
      </c>
      <c r="K401" s="18">
        <f>'D3 Gallon Forecast'!K35+'D5 Gallon Forecast'!K66+'D6 Gallon Forecast'!K107</f>
        <v>1239605787</v>
      </c>
      <c r="L401" s="18">
        <f>'D3 Gallon Forecast'!L35+'D5 Gallon Forecast'!L66+'D6 Gallon Forecast'!L107</f>
        <v>1207140495</v>
      </c>
      <c r="M401" s="18">
        <f>'D3 Gallon Forecast'!M35+'D5 Gallon Forecast'!M66+'D6 Gallon Forecast'!M107</f>
        <v>1296116494</v>
      </c>
      <c r="N401" s="18">
        <f>'D3 Gallon Forecast'!N35+'D5 Gallon Forecast'!N66+'D6 Gallon Forecast'!N107</f>
        <v>1323076936</v>
      </c>
      <c r="O401" s="18">
        <f>'D3 Gallon Forecast'!O35+'D5 Gallon Forecast'!O66+'D6 Gallon Forecast'!O107</f>
        <v>1301740118</v>
      </c>
      <c r="P401" s="19">
        <f>'D3 Gallon Forecast'!P35+'D5 Gallon Forecast'!P66+'D6 Gallon Forecast'!P107</f>
        <v>1290221277</v>
      </c>
      <c r="Q401" s="19">
        <f>'D3 Gallon Forecast'!Q35+'D5 Gallon Forecast'!Q66+'D6 Gallon Forecast'!Q107</f>
        <v>1313184276.5344338</v>
      </c>
      <c r="R401" s="19">
        <f>'D3 Gallon Forecast'!R35+'D5 Gallon Forecast'!R66+'D6 Gallon Forecast'!R107</f>
        <v>1327425826.9182258</v>
      </c>
      <c r="S401" s="19">
        <f>'D3 Gallon Forecast'!S35+'D5 Gallon Forecast'!S66+'D6 Gallon Forecast'!S107</f>
        <v>1323317521.7349415</v>
      </c>
      <c r="T401" s="19">
        <f>'D3 Gallon Forecast'!T35+'D5 Gallon Forecast'!T66+'D6 Gallon Forecast'!T107</f>
        <v>1334486135.9449</v>
      </c>
      <c r="U401" s="19">
        <f>'D3 Gallon Forecast'!U35+'D5 Gallon Forecast'!U66+'D6 Gallon Forecast'!U107</f>
        <v>1352393940.7423742</v>
      </c>
      <c r="V401" s="19">
        <f>'D3 Gallon Forecast'!V35+'D5 Gallon Forecast'!V66+'D6 Gallon Forecast'!V107</f>
        <v>1383645127.8750079</v>
      </c>
      <c r="W401" s="19">
        <f>'D3 Gallon Forecast'!W35+'D5 Gallon Forecast'!W66+'D6 Gallon Forecast'!W107</f>
        <v>1403298985.633327</v>
      </c>
      <c r="X401" s="19">
        <f>'D3 Gallon Forecast'!X35+'D5 Gallon Forecast'!X66+'D6 Gallon Forecast'!X107</f>
        <v>1425110872.6975932</v>
      </c>
      <c r="Y401" s="19">
        <f>'D3 Gallon Forecast'!Y35+'D5 Gallon Forecast'!Y66+'D6 Gallon Forecast'!Y107</f>
        <v>1458337550.4637775</v>
      </c>
      <c r="Z401" s="19">
        <f>'D3 Gallon Forecast'!Z35+'D5 Gallon Forecast'!Z66+'D6 Gallon Forecast'!Z107</f>
        <v>1492915151.5528686</v>
      </c>
      <c r="AD401" s="18">
        <f t="shared" si="164"/>
        <v>1267833347</v>
      </c>
      <c r="AE401" s="19">
        <f t="shared" si="165"/>
        <v>33906771</v>
      </c>
      <c r="AF401" s="19">
        <f t="shared" si="163"/>
        <v>-21336818</v>
      </c>
      <c r="AG401" s="19">
        <f>O401/30</f>
        <v>43391337.266666666</v>
      </c>
      <c r="AH401" s="18">
        <f>AD401/30</f>
        <v>42261111.56666667</v>
      </c>
      <c r="AI401" s="19">
        <f t="shared" si="166"/>
        <v>1130225.6999999955</v>
      </c>
    </row>
    <row r="402" spans="1:35">
      <c r="A402" s="14" t="s">
        <v>78</v>
      </c>
      <c r="B402" s="18">
        <f>'D3 Gallon Forecast'!B36+'D5 Gallon Forecast'!B67+'D6 Gallon Forecast'!B108</f>
        <v>1199636608</v>
      </c>
      <c r="C402" s="18">
        <f>'D3 Gallon Forecast'!C36+'D5 Gallon Forecast'!C67+'D6 Gallon Forecast'!C108</f>
        <v>1236397201</v>
      </c>
      <c r="D402" s="18">
        <f>'D3 Gallon Forecast'!D36+'D5 Gallon Forecast'!D67+'D6 Gallon Forecast'!D108</f>
        <v>1141037894</v>
      </c>
      <c r="E402" s="18">
        <f>'D3 Gallon Forecast'!E36+'D5 Gallon Forecast'!E67+'D6 Gallon Forecast'!E108</f>
        <v>1212161498</v>
      </c>
      <c r="F402" s="18">
        <f>'D3 Gallon Forecast'!F36+'D5 Gallon Forecast'!F67+'D6 Gallon Forecast'!F108</f>
        <v>1290142885</v>
      </c>
      <c r="G402" s="18">
        <f>'D3 Gallon Forecast'!G36+'D5 Gallon Forecast'!G67+'D6 Gallon Forecast'!G108</f>
        <v>1335349246</v>
      </c>
      <c r="H402" s="18">
        <f>'D3 Gallon Forecast'!H36+'D5 Gallon Forecast'!H67+'D6 Gallon Forecast'!H108</f>
        <v>1305241897</v>
      </c>
      <c r="I402" s="18">
        <f>'D3 Gallon Forecast'!I36+'D5 Gallon Forecast'!I67+'D6 Gallon Forecast'!I108</f>
        <v>1310456539</v>
      </c>
      <c r="J402" s="18">
        <f>'D3 Gallon Forecast'!J36+'D5 Gallon Forecast'!J67+'D6 Gallon Forecast'!J108</f>
        <v>1317981514</v>
      </c>
      <c r="K402" s="18">
        <f>'D3 Gallon Forecast'!K36+'D5 Gallon Forecast'!K67+'D6 Gallon Forecast'!K108</f>
        <v>1383145242</v>
      </c>
      <c r="L402" s="18">
        <f>'D3 Gallon Forecast'!L36+'D5 Gallon Forecast'!L67+'D6 Gallon Forecast'!L108</f>
        <v>1260955720</v>
      </c>
      <c r="M402" s="18">
        <f>'D3 Gallon Forecast'!M36+'D5 Gallon Forecast'!M67+'D6 Gallon Forecast'!M108</f>
        <v>1395554442</v>
      </c>
      <c r="N402" s="18">
        <f>'D3 Gallon Forecast'!N36+'D5 Gallon Forecast'!N67+'D6 Gallon Forecast'!N108</f>
        <v>1324883789</v>
      </c>
      <c r="O402" s="18">
        <f>'D3 Gallon Forecast'!O36+'D5 Gallon Forecast'!O67+'D6 Gallon Forecast'!O108</f>
        <v>1387717884</v>
      </c>
      <c r="P402" s="19">
        <f>'D3 Gallon Forecast'!P36+'D5 Gallon Forecast'!P67+'D6 Gallon Forecast'!P108</f>
        <v>1385034350</v>
      </c>
      <c r="Q402" s="19">
        <f>'D3 Gallon Forecast'!Q36+'D5 Gallon Forecast'!Q67+'D6 Gallon Forecast'!Q108</f>
        <v>1384530180.3910296</v>
      </c>
      <c r="R402" s="19">
        <f>'D3 Gallon Forecast'!R36+'D5 Gallon Forecast'!R67+'D6 Gallon Forecast'!R108</f>
        <v>1407685922.9533539</v>
      </c>
      <c r="S402" s="19">
        <f>'D3 Gallon Forecast'!S36+'D5 Gallon Forecast'!S67+'D6 Gallon Forecast'!S108</f>
        <v>1395389836.7569165</v>
      </c>
      <c r="T402" s="19">
        <f>'D3 Gallon Forecast'!T36+'D5 Gallon Forecast'!T67+'D6 Gallon Forecast'!T108</f>
        <v>1422876345.1623664</v>
      </c>
      <c r="U402" s="19">
        <f>'D3 Gallon Forecast'!U36+'D5 Gallon Forecast'!U67+'D6 Gallon Forecast'!U108</f>
        <v>1443053627.8924229</v>
      </c>
      <c r="V402" s="19">
        <f>'D3 Gallon Forecast'!V36+'D5 Gallon Forecast'!V67+'D6 Gallon Forecast'!V108</f>
        <v>1480437006.4563007</v>
      </c>
      <c r="W402" s="19">
        <f>'D3 Gallon Forecast'!W36+'D5 Gallon Forecast'!W67+'D6 Gallon Forecast'!W108</f>
        <v>1500637844.4896367</v>
      </c>
      <c r="X402" s="19">
        <f>'D3 Gallon Forecast'!X36+'D5 Gallon Forecast'!X67+'D6 Gallon Forecast'!X108</f>
        <v>1523912028.7573588</v>
      </c>
      <c r="Y402" s="19">
        <f>'D3 Gallon Forecast'!Y36+'D5 Gallon Forecast'!Y67+'D6 Gallon Forecast'!Y108</f>
        <v>1561516963.4982104</v>
      </c>
      <c r="Z402" s="19">
        <f>'D3 Gallon Forecast'!Z36+'D5 Gallon Forecast'!Z67+'D6 Gallon Forecast'!Z108</f>
        <v>1593605493.166487</v>
      </c>
      <c r="AD402" s="18">
        <f t="shared" si="164"/>
        <v>1336504141.4000001</v>
      </c>
      <c r="AE402" s="19">
        <f t="shared" si="165"/>
        <v>51213742.599999905</v>
      </c>
      <c r="AF402" s="19">
        <f t="shared" si="163"/>
        <v>62834095</v>
      </c>
      <c r="AG402" s="19">
        <f>O402/31</f>
        <v>44765093.032258064</v>
      </c>
      <c r="AH402" s="18">
        <f>AD402/31</f>
        <v>43113036.81935484</v>
      </c>
      <c r="AI402" s="19">
        <f t="shared" si="166"/>
        <v>1652056.2129032239</v>
      </c>
    </row>
    <row r="403" spans="1:35">
      <c r="A403" s="14" t="s">
        <v>29</v>
      </c>
      <c r="B403" s="18">
        <f t="shared" ref="B403:N403" si="167">SUM(B391:B402)</f>
        <v>6781351388</v>
      </c>
      <c r="C403" s="18">
        <f t="shared" si="167"/>
        <v>13802805925</v>
      </c>
      <c r="D403" s="18">
        <f t="shared" si="167"/>
        <v>13590204834</v>
      </c>
      <c r="E403" s="18">
        <f t="shared" si="167"/>
        <v>13557221593</v>
      </c>
      <c r="F403" s="18">
        <f t="shared" si="167"/>
        <v>14145535990</v>
      </c>
      <c r="G403" s="18">
        <f t="shared" si="167"/>
        <v>14649144465</v>
      </c>
      <c r="H403" s="18">
        <f t="shared" si="167"/>
        <v>14978434370</v>
      </c>
      <c r="I403" s="18">
        <f t="shared" si="167"/>
        <v>15214237066</v>
      </c>
      <c r="J403" s="18">
        <f t="shared" si="167"/>
        <v>15381973558</v>
      </c>
      <c r="K403" s="18">
        <f t="shared" si="167"/>
        <v>15364011726</v>
      </c>
      <c r="L403" s="18">
        <f t="shared" si="167"/>
        <v>13571703077</v>
      </c>
      <c r="M403" s="18">
        <f t="shared" si="167"/>
        <v>14777604054</v>
      </c>
      <c r="N403" s="18">
        <f t="shared" si="167"/>
        <v>15201590957</v>
      </c>
      <c r="O403" s="18">
        <f>SUM(O391:O402)</f>
        <v>15504637870</v>
      </c>
      <c r="P403" s="19">
        <f>SUM(P391:P402)</f>
        <v>15817376377</v>
      </c>
      <c r="Q403" s="19">
        <f>SUM(Q391:Q402)</f>
        <v>15271969238.086517</v>
      </c>
      <c r="R403" s="19">
        <f t="shared" ref="R403:Z403" si="168">SUM(R391:R402)</f>
        <v>15472584728.187359</v>
      </c>
      <c r="S403" s="19">
        <f t="shared" si="168"/>
        <v>15512208781.764322</v>
      </c>
      <c r="T403" s="19">
        <f t="shared" si="168"/>
        <v>15709455898.511023</v>
      </c>
      <c r="U403" s="19">
        <f t="shared" si="168"/>
        <v>15889678696.4568</v>
      </c>
      <c r="V403" s="19">
        <f t="shared" si="168"/>
        <v>16104346060.78886</v>
      </c>
      <c r="W403" s="19">
        <f t="shared" si="168"/>
        <v>16333540334.970703</v>
      </c>
      <c r="X403" s="19">
        <f t="shared" si="168"/>
        <v>16557649718.321497</v>
      </c>
      <c r="Y403" s="19">
        <f t="shared" si="168"/>
        <v>16869813590.861364</v>
      </c>
      <c r="Z403" s="19">
        <f t="shared" si="168"/>
        <v>17172224354.279154</v>
      </c>
      <c r="AD403" s="18">
        <f t="shared" si="164"/>
        <v>14859376674.4</v>
      </c>
      <c r="AE403" s="19">
        <f t="shared" si="165"/>
        <v>645261195.60000038</v>
      </c>
    </row>
    <row r="406" spans="1:35" ht="15.75">
      <c r="A406" s="15" t="s">
        <v>91</v>
      </c>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spans="1:35">
      <c r="B407" s="14">
        <f>B390</f>
        <v>2010</v>
      </c>
      <c r="C407" s="14">
        <f t="shared" ref="C407:Z407" si="169">C3</f>
        <v>2011</v>
      </c>
      <c r="D407" s="14">
        <f t="shared" si="169"/>
        <v>2012</v>
      </c>
      <c r="E407" s="14">
        <f t="shared" si="169"/>
        <v>2013</v>
      </c>
      <c r="F407" s="14">
        <f t="shared" si="169"/>
        <v>2014</v>
      </c>
      <c r="G407" s="14">
        <f t="shared" si="169"/>
        <v>2015</v>
      </c>
      <c r="H407" s="14">
        <f t="shared" si="169"/>
        <v>2016</v>
      </c>
      <c r="I407" s="14">
        <f t="shared" si="169"/>
        <v>2017</v>
      </c>
      <c r="J407" s="14">
        <f t="shared" si="169"/>
        <v>2018</v>
      </c>
      <c r="K407" s="14">
        <f t="shared" si="169"/>
        <v>2019</v>
      </c>
      <c r="L407" s="14">
        <f t="shared" si="169"/>
        <v>2020</v>
      </c>
      <c r="M407" s="14">
        <f t="shared" si="169"/>
        <v>2021</v>
      </c>
      <c r="N407" s="14">
        <f t="shared" si="169"/>
        <v>2022</v>
      </c>
      <c r="O407" s="14">
        <f t="shared" si="169"/>
        <v>2023</v>
      </c>
      <c r="P407" s="14">
        <f t="shared" si="169"/>
        <v>2024</v>
      </c>
      <c r="Q407" s="14">
        <f t="shared" si="169"/>
        <v>2025</v>
      </c>
      <c r="R407" s="14">
        <f t="shared" si="169"/>
        <v>2026</v>
      </c>
      <c r="S407" s="14">
        <f t="shared" si="169"/>
        <v>2027</v>
      </c>
      <c r="T407" s="14">
        <f t="shared" si="169"/>
        <v>2028</v>
      </c>
      <c r="U407" s="14">
        <f t="shared" si="169"/>
        <v>2029</v>
      </c>
      <c r="V407" s="14">
        <f t="shared" si="169"/>
        <v>2030</v>
      </c>
      <c r="W407" s="14">
        <f t="shared" si="169"/>
        <v>2031</v>
      </c>
      <c r="X407" s="14">
        <f t="shared" si="169"/>
        <v>2032</v>
      </c>
      <c r="Y407" s="14">
        <f t="shared" si="169"/>
        <v>2033</v>
      </c>
      <c r="Z407" s="14">
        <f t="shared" si="169"/>
        <v>2034</v>
      </c>
      <c r="AD407" s="14" t="s">
        <v>37</v>
      </c>
      <c r="AE407" s="14" t="s">
        <v>38</v>
      </c>
      <c r="AF407" s="14" t="s">
        <v>39</v>
      </c>
      <c r="AG407" s="14" t="s">
        <v>40</v>
      </c>
      <c r="AH407" s="14" t="s">
        <v>41</v>
      </c>
      <c r="AI407" s="14" t="s">
        <v>42</v>
      </c>
    </row>
    <row r="408" spans="1:35">
      <c r="A408" s="14" t="s">
        <v>68</v>
      </c>
      <c r="B408" s="18">
        <f>B391</f>
        <v>145876</v>
      </c>
      <c r="C408" s="18">
        <f t="shared" ref="C408:Z408" si="170">C391</f>
        <v>1162104984</v>
      </c>
      <c r="D408" s="18">
        <f t="shared" si="170"/>
        <v>1184612816</v>
      </c>
      <c r="E408" s="18">
        <f t="shared" si="170"/>
        <v>1079871669</v>
      </c>
      <c r="F408" s="18">
        <f t="shared" si="170"/>
        <v>1155218628</v>
      </c>
      <c r="G408" s="18">
        <f t="shared" si="170"/>
        <v>1199457055</v>
      </c>
      <c r="H408" s="18">
        <f t="shared" si="170"/>
        <v>1220479376</v>
      </c>
      <c r="I408" s="18">
        <f t="shared" si="170"/>
        <v>1241898945</v>
      </c>
      <c r="J408" s="18">
        <f t="shared" si="170"/>
        <v>1259666618</v>
      </c>
      <c r="K408" s="18">
        <f t="shared" si="170"/>
        <v>1193659890</v>
      </c>
      <c r="L408" s="18">
        <f t="shared" si="170"/>
        <v>1249439514</v>
      </c>
      <c r="M408" s="18">
        <f t="shared" si="170"/>
        <v>1081284017</v>
      </c>
      <c r="N408" s="18">
        <f t="shared" si="170"/>
        <v>1210627464</v>
      </c>
      <c r="O408" s="18">
        <f t="shared" si="170"/>
        <v>1206027501</v>
      </c>
      <c r="P408" s="18">
        <f t="shared" si="170"/>
        <v>1214363395</v>
      </c>
      <c r="Q408" s="19">
        <f t="shared" si="170"/>
        <v>1256023563</v>
      </c>
      <c r="R408" s="19">
        <f t="shared" si="170"/>
        <v>1207928735.3809433</v>
      </c>
      <c r="S408" s="19">
        <f t="shared" si="170"/>
        <v>1226838355.4127917</v>
      </c>
      <c r="T408" s="19">
        <f t="shared" si="170"/>
        <v>1236798700.347842</v>
      </c>
      <c r="U408" s="19">
        <f t="shared" si="170"/>
        <v>1248397446.8146749</v>
      </c>
      <c r="V408" s="19">
        <f t="shared" si="170"/>
        <v>1261684004.5827022</v>
      </c>
      <c r="W408" s="19">
        <f t="shared" si="170"/>
        <v>1268387905.6149945</v>
      </c>
      <c r="X408" s="19">
        <f t="shared" si="170"/>
        <v>1281037773.5144351</v>
      </c>
      <c r="Y408" s="19">
        <f t="shared" si="170"/>
        <v>1293149156.7314653</v>
      </c>
      <c r="Z408" s="19">
        <f t="shared" si="170"/>
        <v>1305764528.2982016</v>
      </c>
      <c r="AD408" s="18">
        <f>AVERAGE(J408:N408)</f>
        <v>1198935500.5999999</v>
      </c>
      <c r="AE408" s="18">
        <f>O408-AD408</f>
        <v>7092000.4000000954</v>
      </c>
      <c r="AF408" s="18">
        <f t="shared" ref="AF408:AF419" si="171">O408-N408</f>
        <v>-4599963</v>
      </c>
      <c r="AG408" s="18">
        <f>O408/31</f>
        <v>38904112.935483873</v>
      </c>
      <c r="AH408" s="18">
        <f>AD408/31</f>
        <v>38675338.729032256</v>
      </c>
      <c r="AI408" s="18">
        <f>AG408-AH408</f>
        <v>228774.20645161718</v>
      </c>
    </row>
    <row r="409" spans="1:35">
      <c r="A409" s="14" t="s">
        <v>69</v>
      </c>
      <c r="B409" s="18">
        <f>B408+B392</f>
        <v>1959867</v>
      </c>
      <c r="C409" s="18">
        <f t="shared" ref="C409:Z419" si="172">C408+C392</f>
        <v>2217692710</v>
      </c>
      <c r="D409" s="18">
        <f t="shared" si="172"/>
        <v>2266304669</v>
      </c>
      <c r="E409" s="18">
        <f t="shared" si="172"/>
        <v>2050135792</v>
      </c>
      <c r="F409" s="18">
        <f t="shared" si="172"/>
        <v>2177497986</v>
      </c>
      <c r="G409" s="18">
        <f t="shared" si="172"/>
        <v>2286903655</v>
      </c>
      <c r="H409" s="18">
        <f t="shared" si="172"/>
        <v>2400327490</v>
      </c>
      <c r="I409" s="18">
        <f t="shared" si="172"/>
        <v>2391231702</v>
      </c>
      <c r="J409" s="18">
        <f t="shared" si="172"/>
        <v>2381435726</v>
      </c>
      <c r="K409" s="18">
        <f t="shared" si="172"/>
        <v>2360975518</v>
      </c>
      <c r="L409" s="18">
        <f t="shared" si="172"/>
        <v>2443388094</v>
      </c>
      <c r="M409" s="18">
        <f t="shared" si="172"/>
        <v>2014738001</v>
      </c>
      <c r="N409" s="18">
        <f t="shared" si="172"/>
        <v>2339493893</v>
      </c>
      <c r="O409" s="18">
        <f t="shared" si="172"/>
        <v>2388476185</v>
      </c>
      <c r="P409" s="18">
        <f t="shared" si="172"/>
        <v>2493814004</v>
      </c>
      <c r="Q409" s="19">
        <f t="shared" si="172"/>
        <v>2385741711</v>
      </c>
      <c r="R409" s="19">
        <f t="shared" si="172"/>
        <v>2337561986.9924164</v>
      </c>
      <c r="S409" s="19">
        <f t="shared" si="172"/>
        <v>2389268065.1005697</v>
      </c>
      <c r="T409" s="19">
        <f t="shared" si="172"/>
        <v>2417574612.8006363</v>
      </c>
      <c r="U409" s="19">
        <f t="shared" si="172"/>
        <v>2438396114.9772115</v>
      </c>
      <c r="V409" s="19">
        <f t="shared" si="172"/>
        <v>2444294977.4080677</v>
      </c>
      <c r="W409" s="19">
        <f t="shared" si="172"/>
        <v>2466311056.4649019</v>
      </c>
      <c r="X409" s="19">
        <f t="shared" si="172"/>
        <v>2493951543.8541989</v>
      </c>
      <c r="Y409" s="19">
        <f t="shared" si="172"/>
        <v>2518612007.1242046</v>
      </c>
      <c r="Z409" s="19">
        <f t="shared" si="172"/>
        <v>2541481083.7021818</v>
      </c>
      <c r="AD409" s="18">
        <f t="shared" ref="AD409:AD419" si="173">AVERAGE(J409:N409)</f>
        <v>2308006246.4000001</v>
      </c>
      <c r="AE409" s="18">
        <f t="shared" ref="AE409:AE419" si="174">O409-AD409</f>
        <v>80469938.599999905</v>
      </c>
      <c r="AF409" s="18">
        <f t="shared" si="171"/>
        <v>48982292</v>
      </c>
      <c r="AG409" s="18">
        <f>O409/28</f>
        <v>85302720.892857149</v>
      </c>
      <c r="AH409" s="18">
        <f>AD409/28</f>
        <v>82428794.514285713</v>
      </c>
      <c r="AI409" s="18">
        <f t="shared" ref="AI409:AI419" si="175">AG409-AH409</f>
        <v>2873926.3785714358</v>
      </c>
    </row>
    <row r="410" spans="1:35">
      <c r="A410" s="14" t="s">
        <v>70</v>
      </c>
      <c r="B410" s="18">
        <f t="shared" ref="B410:B419" si="176">B409+B393</f>
        <v>2685941</v>
      </c>
      <c r="C410" s="18">
        <f t="shared" si="172"/>
        <v>3445177701</v>
      </c>
      <c r="D410" s="18">
        <f t="shared" si="172"/>
        <v>3423795077</v>
      </c>
      <c r="E410" s="18">
        <f t="shared" si="172"/>
        <v>3132337913</v>
      </c>
      <c r="F410" s="18">
        <f t="shared" si="172"/>
        <v>3329447543</v>
      </c>
      <c r="G410" s="18">
        <f t="shared" si="172"/>
        <v>3497960280</v>
      </c>
      <c r="H410" s="18">
        <f t="shared" si="172"/>
        <v>3640931365</v>
      </c>
      <c r="I410" s="18">
        <f t="shared" si="172"/>
        <v>3673551671</v>
      </c>
      <c r="J410" s="18">
        <f t="shared" si="172"/>
        <v>3625905925</v>
      </c>
      <c r="K410" s="18">
        <f t="shared" si="172"/>
        <v>3586816823</v>
      </c>
      <c r="L410" s="18">
        <f t="shared" si="172"/>
        <v>3617547171</v>
      </c>
      <c r="M410" s="18">
        <f t="shared" si="172"/>
        <v>3230845017</v>
      </c>
      <c r="N410" s="18">
        <f t="shared" si="172"/>
        <v>3647786210</v>
      </c>
      <c r="O410" s="18">
        <f t="shared" si="172"/>
        <v>3653874768</v>
      </c>
      <c r="P410" s="18">
        <f t="shared" si="172"/>
        <v>3748791220</v>
      </c>
      <c r="Q410" s="19">
        <f t="shared" si="172"/>
        <v>3644355037.345376</v>
      </c>
      <c r="R410" s="19">
        <f t="shared" si="172"/>
        <v>3596357037.6197577</v>
      </c>
      <c r="S410" s="19">
        <f t="shared" si="172"/>
        <v>3649156793.217607</v>
      </c>
      <c r="T410" s="19">
        <f t="shared" si="172"/>
        <v>3678248430.9864607</v>
      </c>
      <c r="U410" s="19">
        <f t="shared" si="172"/>
        <v>3709178652.3497033</v>
      </c>
      <c r="V410" s="19">
        <f t="shared" si="172"/>
        <v>3731544606.7389245</v>
      </c>
      <c r="W410" s="19">
        <f t="shared" si="172"/>
        <v>3764521620.8822918</v>
      </c>
      <c r="X410" s="19">
        <f t="shared" si="172"/>
        <v>3801108649.7735772</v>
      </c>
      <c r="Y410" s="19">
        <f t="shared" si="172"/>
        <v>3837490221.3522568</v>
      </c>
      <c r="Z410" s="19">
        <f t="shared" si="172"/>
        <v>3872767375.173851</v>
      </c>
      <c r="AD410" s="18">
        <f t="shared" si="173"/>
        <v>3541780229.1999998</v>
      </c>
      <c r="AE410" s="18">
        <f t="shared" si="174"/>
        <v>112094538.80000019</v>
      </c>
      <c r="AF410" s="18">
        <f t="shared" si="171"/>
        <v>6088558</v>
      </c>
      <c r="AG410" s="18">
        <f>O410/31</f>
        <v>117866928</v>
      </c>
      <c r="AH410" s="18">
        <f>AD410/31</f>
        <v>114250975.13548386</v>
      </c>
      <c r="AI410" s="18">
        <f t="shared" si="175"/>
        <v>3615952.864516139</v>
      </c>
    </row>
    <row r="411" spans="1:35">
      <c r="A411" s="14" t="s">
        <v>71</v>
      </c>
      <c r="B411" s="18">
        <f t="shared" si="176"/>
        <v>2685941</v>
      </c>
      <c r="C411" s="18">
        <f t="shared" si="172"/>
        <v>4516437199</v>
      </c>
      <c r="D411" s="18">
        <f t="shared" si="172"/>
        <v>4536007351</v>
      </c>
      <c r="E411" s="18">
        <f t="shared" si="172"/>
        <v>4244664717</v>
      </c>
      <c r="F411" s="18">
        <f t="shared" si="172"/>
        <v>4523637447</v>
      </c>
      <c r="G411" s="18">
        <f t="shared" si="172"/>
        <v>4674614658</v>
      </c>
      <c r="H411" s="18">
        <f t="shared" si="172"/>
        <v>4816449625</v>
      </c>
      <c r="I411" s="18">
        <f t="shared" si="172"/>
        <v>4855203693</v>
      </c>
      <c r="J411" s="18">
        <f t="shared" si="172"/>
        <v>4870817899</v>
      </c>
      <c r="K411" s="18">
        <f t="shared" si="172"/>
        <v>4873772013</v>
      </c>
      <c r="L411" s="18">
        <f t="shared" si="172"/>
        <v>4288882338</v>
      </c>
      <c r="M411" s="18">
        <f t="shared" si="172"/>
        <v>4399141022</v>
      </c>
      <c r="N411" s="18">
        <f t="shared" si="172"/>
        <v>4828757094</v>
      </c>
      <c r="O411" s="18">
        <f t="shared" si="172"/>
        <v>4859622132</v>
      </c>
      <c r="P411" s="18">
        <f t="shared" si="172"/>
        <v>5012092432</v>
      </c>
      <c r="Q411" s="19">
        <f t="shared" si="172"/>
        <v>4761552107.2765236</v>
      </c>
      <c r="R411" s="19">
        <f t="shared" si="172"/>
        <v>4779935145.1855574</v>
      </c>
      <c r="S411" s="19">
        <f t="shared" si="172"/>
        <v>4828501304.7656097</v>
      </c>
      <c r="T411" s="19">
        <f t="shared" si="172"/>
        <v>4867549278.827301</v>
      </c>
      <c r="U411" s="19">
        <f t="shared" si="172"/>
        <v>4906298966.5413427</v>
      </c>
      <c r="V411" s="19">
        <f t="shared" si="172"/>
        <v>4928517348.0067978</v>
      </c>
      <c r="W411" s="19">
        <f t="shared" si="172"/>
        <v>4982417972.3903131</v>
      </c>
      <c r="X411" s="19">
        <f t="shared" si="172"/>
        <v>5027109818.2126837</v>
      </c>
      <c r="Y411" s="19">
        <f t="shared" si="172"/>
        <v>5075444916.2477951</v>
      </c>
      <c r="Z411" s="19">
        <f t="shared" si="172"/>
        <v>5121393125.8066225</v>
      </c>
      <c r="AD411" s="18">
        <f t="shared" si="173"/>
        <v>4652274073.1999998</v>
      </c>
      <c r="AE411" s="18">
        <f t="shared" si="174"/>
        <v>207348058.80000019</v>
      </c>
      <c r="AF411" s="18">
        <f t="shared" si="171"/>
        <v>30865038</v>
      </c>
      <c r="AG411" s="18">
        <f>O411/30</f>
        <v>161987404.40000001</v>
      </c>
      <c r="AH411" s="18">
        <f>AD411/30</f>
        <v>155075802.44</v>
      </c>
      <c r="AI411" s="18">
        <f t="shared" si="175"/>
        <v>6911601.9600000083</v>
      </c>
    </row>
    <row r="412" spans="1:35">
      <c r="A412" s="14" t="s">
        <v>47</v>
      </c>
      <c r="B412" s="18">
        <f t="shared" si="176"/>
        <v>2685941</v>
      </c>
      <c r="C412" s="18">
        <f t="shared" si="172"/>
        <v>5658112613</v>
      </c>
      <c r="D412" s="18">
        <f t="shared" si="172"/>
        <v>5684591961</v>
      </c>
      <c r="E412" s="18">
        <f t="shared" si="172"/>
        <v>5416221502</v>
      </c>
      <c r="F412" s="18">
        <f t="shared" si="172"/>
        <v>5746126637</v>
      </c>
      <c r="G412" s="18">
        <f t="shared" si="172"/>
        <v>5885998338</v>
      </c>
      <c r="H412" s="18">
        <f t="shared" si="172"/>
        <v>6072748586</v>
      </c>
      <c r="I412" s="18">
        <f t="shared" si="172"/>
        <v>6143538962</v>
      </c>
      <c r="J412" s="18">
        <f t="shared" si="172"/>
        <v>6180248319</v>
      </c>
      <c r="K412" s="18">
        <f t="shared" si="172"/>
        <v>6184835775</v>
      </c>
      <c r="L412" s="18">
        <f t="shared" si="172"/>
        <v>5165221000</v>
      </c>
      <c r="M412" s="18">
        <f t="shared" si="172"/>
        <v>5696219745</v>
      </c>
      <c r="N412" s="18">
        <f t="shared" si="172"/>
        <v>6122437311</v>
      </c>
      <c r="O412" s="18">
        <f t="shared" si="172"/>
        <v>6179123607</v>
      </c>
      <c r="P412" s="18">
        <f t="shared" si="172"/>
        <v>6355822621</v>
      </c>
      <c r="Q412" s="19">
        <f t="shared" si="172"/>
        <v>6014298166.7620926</v>
      </c>
      <c r="R412" s="19">
        <f t="shared" si="172"/>
        <v>6091205227.2839584</v>
      </c>
      <c r="S412" s="19">
        <f t="shared" si="172"/>
        <v>6133357136.4707298</v>
      </c>
      <c r="T412" s="19">
        <f t="shared" si="172"/>
        <v>6186995218.5772848</v>
      </c>
      <c r="U412" s="19">
        <f t="shared" si="172"/>
        <v>6236948720.186614</v>
      </c>
      <c r="V412" s="19">
        <f t="shared" si="172"/>
        <v>6272265041.8985271</v>
      </c>
      <c r="W412" s="19">
        <f t="shared" si="172"/>
        <v>6349540861.1071672</v>
      </c>
      <c r="X412" s="19">
        <f t="shared" si="172"/>
        <v>6408636192.8827</v>
      </c>
      <c r="Y412" s="19">
        <f t="shared" si="172"/>
        <v>6479000993.5447979</v>
      </c>
      <c r="Z412" s="19">
        <f t="shared" si="172"/>
        <v>6545922635.2775021</v>
      </c>
      <c r="AD412" s="18">
        <f t="shared" si="173"/>
        <v>5869792430</v>
      </c>
      <c r="AE412" s="18">
        <f t="shared" si="174"/>
        <v>309331177</v>
      </c>
      <c r="AF412" s="18">
        <f t="shared" si="171"/>
        <v>56686296</v>
      </c>
      <c r="AG412" s="18">
        <f>O412/31</f>
        <v>199326567.96774194</v>
      </c>
      <c r="AH412" s="18">
        <f>AD412/31</f>
        <v>189348142.90322581</v>
      </c>
      <c r="AI412" s="18">
        <f t="shared" si="175"/>
        <v>9978425.0645161271</v>
      </c>
    </row>
    <row r="413" spans="1:35">
      <c r="A413" s="14" t="s">
        <v>72</v>
      </c>
      <c r="B413" s="18">
        <f t="shared" si="176"/>
        <v>2776937</v>
      </c>
      <c r="C413" s="18">
        <f t="shared" si="172"/>
        <v>6827735123</v>
      </c>
      <c r="D413" s="18">
        <f t="shared" si="172"/>
        <v>6809772704</v>
      </c>
      <c r="E413" s="18">
        <f t="shared" si="172"/>
        <v>6555059486</v>
      </c>
      <c r="F413" s="18">
        <f t="shared" si="172"/>
        <v>6949662947</v>
      </c>
      <c r="G413" s="18">
        <f t="shared" si="172"/>
        <v>7139290728</v>
      </c>
      <c r="H413" s="18">
        <f t="shared" si="172"/>
        <v>7370222423</v>
      </c>
      <c r="I413" s="18">
        <f t="shared" si="172"/>
        <v>7421017031</v>
      </c>
      <c r="J413" s="18">
        <f t="shared" si="172"/>
        <v>7456080677</v>
      </c>
      <c r="K413" s="18">
        <f t="shared" si="172"/>
        <v>7482927410</v>
      </c>
      <c r="L413" s="18">
        <f t="shared" si="172"/>
        <v>6275657245</v>
      </c>
      <c r="M413" s="18">
        <f t="shared" si="172"/>
        <v>7016077131</v>
      </c>
      <c r="N413" s="18">
        <f t="shared" si="172"/>
        <v>7465707234</v>
      </c>
      <c r="O413" s="18">
        <f t="shared" si="172"/>
        <v>7526612585</v>
      </c>
      <c r="P413" s="18">
        <f t="shared" si="172"/>
        <v>7646692831</v>
      </c>
      <c r="Q413" s="19">
        <f t="shared" si="172"/>
        <v>7320139259.8181801</v>
      </c>
      <c r="R413" s="19">
        <f t="shared" si="172"/>
        <v>7424693721.9276943</v>
      </c>
      <c r="S413" s="19">
        <f t="shared" si="172"/>
        <v>7463177278.3583164</v>
      </c>
      <c r="T413" s="19">
        <f t="shared" si="172"/>
        <v>7525465683.2736483</v>
      </c>
      <c r="U413" s="19">
        <f t="shared" si="172"/>
        <v>7587353697.0347586</v>
      </c>
      <c r="V413" s="19">
        <f t="shared" si="172"/>
        <v>7654411307.9753199</v>
      </c>
      <c r="W413" s="19">
        <f t="shared" si="172"/>
        <v>7753013559.4759836</v>
      </c>
      <c r="X413" s="19">
        <f t="shared" si="172"/>
        <v>7831416427.8526049</v>
      </c>
      <c r="Y413" s="19">
        <f t="shared" si="172"/>
        <v>7930586534.9733238</v>
      </c>
      <c r="Z413" s="19">
        <f t="shared" si="172"/>
        <v>8027079400.1343613</v>
      </c>
      <c r="AD413" s="23">
        <f t="shared" si="173"/>
        <v>7139289939.3999996</v>
      </c>
      <c r="AE413" s="23">
        <f t="shared" si="174"/>
        <v>387322645.60000038</v>
      </c>
      <c r="AF413" s="23">
        <f t="shared" si="171"/>
        <v>60905351</v>
      </c>
      <c r="AG413" s="23">
        <f>O413/30</f>
        <v>250887086.16666666</v>
      </c>
      <c r="AH413" s="23">
        <f>AD413/30</f>
        <v>237976331.31333333</v>
      </c>
      <c r="AI413" s="23">
        <f t="shared" si="175"/>
        <v>12910754.853333324</v>
      </c>
    </row>
    <row r="414" spans="1:35">
      <c r="A414" s="14" t="s">
        <v>73</v>
      </c>
      <c r="B414" s="18">
        <f t="shared" si="176"/>
        <v>1116137942</v>
      </c>
      <c r="C414" s="18">
        <f t="shared" si="172"/>
        <v>7969186725</v>
      </c>
      <c r="D414" s="18">
        <f t="shared" si="172"/>
        <v>7917929211</v>
      </c>
      <c r="E414" s="18">
        <f t="shared" si="172"/>
        <v>7730364484</v>
      </c>
      <c r="F414" s="18">
        <f t="shared" si="172"/>
        <v>8195291663</v>
      </c>
      <c r="G414" s="18">
        <f t="shared" si="172"/>
        <v>8381722929</v>
      </c>
      <c r="H414" s="18">
        <f t="shared" si="172"/>
        <v>8628576426</v>
      </c>
      <c r="I414" s="18">
        <f t="shared" si="172"/>
        <v>8696756921</v>
      </c>
      <c r="J414" s="18">
        <f t="shared" si="172"/>
        <v>8833750687</v>
      </c>
      <c r="K414" s="18">
        <f t="shared" si="172"/>
        <v>8860977777</v>
      </c>
      <c r="L414" s="18">
        <f t="shared" si="172"/>
        <v>7510594394</v>
      </c>
      <c r="M414" s="18">
        <f t="shared" si="172"/>
        <v>8348672168</v>
      </c>
      <c r="N414" s="18">
        <f t="shared" si="172"/>
        <v>8731260178</v>
      </c>
      <c r="O414" s="18">
        <f t="shared" si="172"/>
        <v>8864095243</v>
      </c>
      <c r="P414" s="19">
        <f t="shared" si="172"/>
        <v>9059361482</v>
      </c>
      <c r="Q414" s="19">
        <f t="shared" si="172"/>
        <v>8667268474.1357937</v>
      </c>
      <c r="R414" s="19">
        <f t="shared" si="172"/>
        <v>8784659455.4096642</v>
      </c>
      <c r="S414" s="19">
        <f t="shared" si="172"/>
        <v>8820503218.2809219</v>
      </c>
      <c r="T414" s="19">
        <f t="shared" si="172"/>
        <v>8911284332.0888462</v>
      </c>
      <c r="U414" s="19">
        <f t="shared" si="172"/>
        <v>8993904112.4042606</v>
      </c>
      <c r="V414" s="19">
        <f t="shared" si="172"/>
        <v>9077338534.9321613</v>
      </c>
      <c r="W414" s="19">
        <f t="shared" si="172"/>
        <v>9197021554.8738022</v>
      </c>
      <c r="X414" s="19">
        <f t="shared" si="172"/>
        <v>9298281791.5087261</v>
      </c>
      <c r="Y414" s="19">
        <f t="shared" si="172"/>
        <v>9431038681.840313</v>
      </c>
      <c r="Z414" s="19">
        <f t="shared" si="172"/>
        <v>9559332872.700779</v>
      </c>
      <c r="AD414" s="18">
        <f t="shared" si="173"/>
        <v>8457051040.8000002</v>
      </c>
      <c r="AE414" s="19">
        <f t="shared" si="174"/>
        <v>407044202.19999981</v>
      </c>
      <c r="AF414" s="19">
        <f t="shared" si="171"/>
        <v>132835065</v>
      </c>
      <c r="AG414" s="19">
        <f>O414/31</f>
        <v>285938556.22580647</v>
      </c>
      <c r="AH414" s="18">
        <f>AD414/31</f>
        <v>272808098.09032261</v>
      </c>
      <c r="AI414" s="19">
        <f t="shared" si="175"/>
        <v>13130458.135483861</v>
      </c>
    </row>
    <row r="415" spans="1:35">
      <c r="A415" s="14" t="s">
        <v>74</v>
      </c>
      <c r="B415" s="18">
        <f t="shared" si="176"/>
        <v>2228088794</v>
      </c>
      <c r="C415" s="18">
        <f t="shared" si="172"/>
        <v>9159590168</v>
      </c>
      <c r="D415" s="18">
        <f t="shared" si="172"/>
        <v>9098625061</v>
      </c>
      <c r="E415" s="18">
        <f t="shared" si="172"/>
        <v>8915657169</v>
      </c>
      <c r="F415" s="18">
        <f t="shared" si="172"/>
        <v>9381025272</v>
      </c>
      <c r="G415" s="18">
        <f t="shared" si="172"/>
        <v>9621581420</v>
      </c>
      <c r="H415" s="18">
        <f t="shared" si="172"/>
        <v>9961105272</v>
      </c>
      <c r="I415" s="18">
        <f t="shared" si="172"/>
        <v>10039279838</v>
      </c>
      <c r="J415" s="18">
        <f t="shared" si="172"/>
        <v>10228399964</v>
      </c>
      <c r="K415" s="18">
        <f t="shared" si="172"/>
        <v>10159366630</v>
      </c>
      <c r="L415" s="18">
        <f t="shared" si="172"/>
        <v>8708603316</v>
      </c>
      <c r="M415" s="18">
        <f t="shared" si="172"/>
        <v>9625684901</v>
      </c>
      <c r="N415" s="18">
        <f t="shared" si="172"/>
        <v>10070619717</v>
      </c>
      <c r="O415" s="18">
        <f t="shared" si="172"/>
        <v>10194738675</v>
      </c>
      <c r="P415" s="19">
        <f t="shared" si="172"/>
        <v>10468324355</v>
      </c>
      <c r="Q415" s="19">
        <f t="shared" si="172"/>
        <v>10001006113.63542</v>
      </c>
      <c r="R415" s="19">
        <f t="shared" si="172"/>
        <v>10139671223.439137</v>
      </c>
      <c r="S415" s="19">
        <f t="shared" si="172"/>
        <v>10183991040.8757</v>
      </c>
      <c r="T415" s="19">
        <f t="shared" si="172"/>
        <v>10292120594.433285</v>
      </c>
      <c r="U415" s="19">
        <f t="shared" si="172"/>
        <v>10397882545.031843</v>
      </c>
      <c r="V415" s="19">
        <f t="shared" si="172"/>
        <v>10500357490.249233</v>
      </c>
      <c r="W415" s="19">
        <f t="shared" si="172"/>
        <v>10644196177.973763</v>
      </c>
      <c r="X415" s="19">
        <f t="shared" si="172"/>
        <v>10770724619.275557</v>
      </c>
      <c r="Y415" s="19">
        <f t="shared" si="172"/>
        <v>10938135161.53828</v>
      </c>
      <c r="Z415" s="19">
        <f t="shared" si="172"/>
        <v>11101400007.106527</v>
      </c>
      <c r="AD415" s="18">
        <f t="shared" si="173"/>
        <v>9758534905.6000004</v>
      </c>
      <c r="AE415" s="19">
        <f t="shared" si="174"/>
        <v>436203769.39999962</v>
      </c>
      <c r="AF415" s="19">
        <f t="shared" si="171"/>
        <v>124118958</v>
      </c>
      <c r="AG415" s="19">
        <f>O415/31</f>
        <v>328862537.90322578</v>
      </c>
      <c r="AH415" s="18">
        <f>AD415/31</f>
        <v>314791448.56774193</v>
      </c>
      <c r="AI415" s="19">
        <f t="shared" si="175"/>
        <v>14071089.335483849</v>
      </c>
    </row>
    <row r="416" spans="1:35">
      <c r="A416" s="14" t="s">
        <v>75</v>
      </c>
      <c r="B416" s="18">
        <f t="shared" si="176"/>
        <v>3330627478</v>
      </c>
      <c r="C416" s="18">
        <f t="shared" si="172"/>
        <v>10276599735</v>
      </c>
      <c r="D416" s="18">
        <f t="shared" si="172"/>
        <v>10161097364</v>
      </c>
      <c r="E416" s="18">
        <f t="shared" si="172"/>
        <v>10035947132</v>
      </c>
      <c r="F416" s="18">
        <f t="shared" si="172"/>
        <v>10549268053</v>
      </c>
      <c r="G416" s="18">
        <f t="shared" si="172"/>
        <v>10836453348</v>
      </c>
      <c r="H416" s="18">
        <f t="shared" si="172"/>
        <v>11191992998</v>
      </c>
      <c r="I416" s="18">
        <f t="shared" si="172"/>
        <v>11283972308</v>
      </c>
      <c r="J416" s="18">
        <f t="shared" si="172"/>
        <v>11470503727</v>
      </c>
      <c r="K416" s="18">
        <f t="shared" si="172"/>
        <v>11412488043</v>
      </c>
      <c r="L416" s="18">
        <f t="shared" si="172"/>
        <v>9900950548</v>
      </c>
      <c r="M416" s="18">
        <f t="shared" si="172"/>
        <v>10838753548</v>
      </c>
      <c r="N416" s="18">
        <f t="shared" si="172"/>
        <v>11258102315</v>
      </c>
      <c r="O416" s="18">
        <f t="shared" si="172"/>
        <v>11455215500</v>
      </c>
      <c r="P416" s="19">
        <f t="shared" si="172"/>
        <v>11779149698</v>
      </c>
      <c r="Q416" s="19">
        <f t="shared" si="172"/>
        <v>11254291797.291428</v>
      </c>
      <c r="R416" s="19">
        <f t="shared" si="172"/>
        <v>11400571364.212685</v>
      </c>
      <c r="S416" s="19">
        <f t="shared" si="172"/>
        <v>11446706967.387247</v>
      </c>
      <c r="T416" s="19">
        <f t="shared" si="172"/>
        <v>11581413757.546959</v>
      </c>
      <c r="U416" s="19">
        <f t="shared" si="172"/>
        <v>11708657984.830114</v>
      </c>
      <c r="V416" s="19">
        <f t="shared" si="172"/>
        <v>11830101542.992464</v>
      </c>
      <c r="W416" s="19">
        <f t="shared" si="172"/>
        <v>11994869656.797575</v>
      </c>
      <c r="X416" s="19">
        <f t="shared" si="172"/>
        <v>12146507421.473034</v>
      </c>
      <c r="Y416" s="19">
        <f t="shared" si="172"/>
        <v>12350125248.186245</v>
      </c>
      <c r="Z416" s="19">
        <f t="shared" si="172"/>
        <v>12548402676.978481</v>
      </c>
      <c r="AD416" s="18">
        <f t="shared" si="173"/>
        <v>10976159636.200001</v>
      </c>
      <c r="AE416" s="19">
        <f t="shared" si="174"/>
        <v>479055863.79999924</v>
      </c>
      <c r="AF416" s="19">
        <f t="shared" si="171"/>
        <v>197113185</v>
      </c>
      <c r="AG416" s="19">
        <f>O416/30</f>
        <v>381840516.66666669</v>
      </c>
      <c r="AH416" s="18">
        <f>AD416/30</f>
        <v>365871987.87333333</v>
      </c>
      <c r="AI416" s="19">
        <f t="shared" si="175"/>
        <v>15968528.793333352</v>
      </c>
    </row>
    <row r="417" spans="1:35">
      <c r="A417" s="14" t="s">
        <v>76</v>
      </c>
      <c r="B417" s="18">
        <f t="shared" si="176"/>
        <v>4442362492</v>
      </c>
      <c r="C417" s="18">
        <f t="shared" si="172"/>
        <v>11399704014</v>
      </c>
      <c r="D417" s="18">
        <f t="shared" si="172"/>
        <v>11295093951</v>
      </c>
      <c r="E417" s="18">
        <f t="shared" si="172"/>
        <v>11205433381</v>
      </c>
      <c r="F417" s="18">
        <f t="shared" si="172"/>
        <v>11720267588</v>
      </c>
      <c r="G417" s="18">
        <f t="shared" si="172"/>
        <v>12077842446</v>
      </c>
      <c r="H417" s="18">
        <f t="shared" si="172"/>
        <v>12447568466</v>
      </c>
      <c r="I417" s="18">
        <f t="shared" si="172"/>
        <v>12584050917</v>
      </c>
      <c r="J417" s="18">
        <f t="shared" si="172"/>
        <v>12790765021</v>
      </c>
      <c r="K417" s="18">
        <f t="shared" si="172"/>
        <v>12741260697</v>
      </c>
      <c r="L417" s="18">
        <f t="shared" si="172"/>
        <v>11103606862</v>
      </c>
      <c r="M417" s="18">
        <f t="shared" si="172"/>
        <v>12085933118</v>
      </c>
      <c r="N417" s="18">
        <f t="shared" si="172"/>
        <v>12553630232</v>
      </c>
      <c r="O417" s="18">
        <f t="shared" si="172"/>
        <v>12815179868</v>
      </c>
      <c r="P417" s="19">
        <f t="shared" si="172"/>
        <v>13142120750</v>
      </c>
      <c r="Q417" s="19">
        <f t="shared" si="172"/>
        <v>12574254781.161055</v>
      </c>
      <c r="R417" s="19">
        <f t="shared" si="172"/>
        <v>12737472978.315779</v>
      </c>
      <c r="S417" s="19">
        <f t="shared" si="172"/>
        <v>12793501423.272465</v>
      </c>
      <c r="T417" s="19">
        <f t="shared" si="172"/>
        <v>12952093417.403755</v>
      </c>
      <c r="U417" s="19">
        <f t="shared" si="172"/>
        <v>13094231127.822002</v>
      </c>
      <c r="V417" s="19">
        <f t="shared" si="172"/>
        <v>13240263926.457552</v>
      </c>
      <c r="W417" s="19">
        <f t="shared" si="172"/>
        <v>13429603504.847738</v>
      </c>
      <c r="X417" s="19">
        <f t="shared" si="172"/>
        <v>13608626816.866545</v>
      </c>
      <c r="Y417" s="19">
        <f t="shared" si="172"/>
        <v>13849959076.899376</v>
      </c>
      <c r="Z417" s="19">
        <f t="shared" si="172"/>
        <v>14085703709.559799</v>
      </c>
      <c r="AD417" s="18">
        <f t="shared" si="173"/>
        <v>12255039186</v>
      </c>
      <c r="AE417" s="19">
        <f t="shared" si="174"/>
        <v>560140682</v>
      </c>
      <c r="AF417" s="19">
        <f t="shared" si="171"/>
        <v>261549636</v>
      </c>
      <c r="AG417" s="19">
        <f>O417/31</f>
        <v>413392898.96774191</v>
      </c>
      <c r="AH417" s="18">
        <f>AD417/31</f>
        <v>395323844.7096774</v>
      </c>
      <c r="AI417" s="19">
        <f t="shared" si="175"/>
        <v>18069054.258064508</v>
      </c>
    </row>
    <row r="418" spans="1:35">
      <c r="A418" s="14" t="s">
        <v>77</v>
      </c>
      <c r="B418" s="18">
        <f t="shared" si="176"/>
        <v>5581714780</v>
      </c>
      <c r="C418" s="18">
        <f t="shared" si="172"/>
        <v>12566408724</v>
      </c>
      <c r="D418" s="18">
        <f t="shared" si="172"/>
        <v>12449166940</v>
      </c>
      <c r="E418" s="18">
        <f t="shared" si="172"/>
        <v>12345060095</v>
      </c>
      <c r="F418" s="18">
        <f t="shared" si="172"/>
        <v>12855393105</v>
      </c>
      <c r="G418" s="18">
        <f t="shared" si="172"/>
        <v>13313795219</v>
      </c>
      <c r="H418" s="18">
        <f t="shared" si="172"/>
        <v>13673192473</v>
      </c>
      <c r="I418" s="18">
        <f t="shared" si="172"/>
        <v>13903780527</v>
      </c>
      <c r="J418" s="18">
        <f t="shared" si="172"/>
        <v>14063992044</v>
      </c>
      <c r="K418" s="18">
        <f t="shared" si="172"/>
        <v>13980866484</v>
      </c>
      <c r="L418" s="18">
        <f t="shared" si="172"/>
        <v>12310747357</v>
      </c>
      <c r="M418" s="18">
        <f t="shared" si="172"/>
        <v>13382049612</v>
      </c>
      <c r="N418" s="18">
        <f t="shared" si="172"/>
        <v>13876707168</v>
      </c>
      <c r="O418" s="18">
        <f t="shared" si="172"/>
        <v>14116919986</v>
      </c>
      <c r="P418" s="19">
        <f t="shared" si="172"/>
        <v>14432342027</v>
      </c>
      <c r="Q418" s="19">
        <f t="shared" si="172"/>
        <v>13887439057.695488</v>
      </c>
      <c r="R418" s="19">
        <f t="shared" si="172"/>
        <v>14064898805.234005</v>
      </c>
      <c r="S418" s="19">
        <f t="shared" si="172"/>
        <v>14116818945.007406</v>
      </c>
      <c r="T418" s="19">
        <f t="shared" si="172"/>
        <v>14286579553.348656</v>
      </c>
      <c r="U418" s="19">
        <f t="shared" si="172"/>
        <v>14446625068.564377</v>
      </c>
      <c r="V418" s="19">
        <f t="shared" si="172"/>
        <v>14623909054.33256</v>
      </c>
      <c r="W418" s="19">
        <f t="shared" si="172"/>
        <v>14832902490.481066</v>
      </c>
      <c r="X418" s="19">
        <f t="shared" si="172"/>
        <v>15033737689.564138</v>
      </c>
      <c r="Y418" s="19">
        <f t="shared" si="172"/>
        <v>15308296627.363153</v>
      </c>
      <c r="Z418" s="19">
        <f t="shared" si="172"/>
        <v>15578618861.112667</v>
      </c>
      <c r="AD418" s="18">
        <f t="shared" si="173"/>
        <v>13522872533</v>
      </c>
      <c r="AE418" s="19">
        <f t="shared" si="174"/>
        <v>594047453</v>
      </c>
      <c r="AF418" s="19">
        <f t="shared" si="171"/>
        <v>240212818</v>
      </c>
      <c r="AG418" s="19">
        <f>O418/30</f>
        <v>470563999.53333336</v>
      </c>
      <c r="AH418" s="18">
        <f>AD418/30</f>
        <v>450762417.76666665</v>
      </c>
      <c r="AI418" s="19">
        <f t="shared" si="175"/>
        <v>19801581.76666671</v>
      </c>
    </row>
    <row r="419" spans="1:35">
      <c r="A419" s="14" t="s">
        <v>78</v>
      </c>
      <c r="B419" s="18">
        <f t="shared" si="176"/>
        <v>6781351388</v>
      </c>
      <c r="C419" s="18">
        <f t="shared" si="172"/>
        <v>13802805925</v>
      </c>
      <c r="D419" s="18">
        <f t="shared" si="172"/>
        <v>13590204834</v>
      </c>
      <c r="E419" s="18">
        <f t="shared" si="172"/>
        <v>13557221593</v>
      </c>
      <c r="F419" s="18">
        <f t="shared" si="172"/>
        <v>14145535990</v>
      </c>
      <c r="G419" s="18">
        <f t="shared" si="172"/>
        <v>14649144465</v>
      </c>
      <c r="H419" s="18">
        <f t="shared" si="172"/>
        <v>14978434370</v>
      </c>
      <c r="I419" s="18">
        <f t="shared" si="172"/>
        <v>15214237066</v>
      </c>
      <c r="J419" s="18">
        <f t="shared" si="172"/>
        <v>15381973558</v>
      </c>
      <c r="K419" s="18">
        <f t="shared" si="172"/>
        <v>15364011726</v>
      </c>
      <c r="L419" s="18">
        <f t="shared" si="172"/>
        <v>13571703077</v>
      </c>
      <c r="M419" s="18">
        <f t="shared" si="172"/>
        <v>14777604054</v>
      </c>
      <c r="N419" s="18">
        <f t="shared" si="172"/>
        <v>15201590957</v>
      </c>
      <c r="O419" s="18">
        <f t="shared" si="172"/>
        <v>15504637870</v>
      </c>
      <c r="P419" s="19">
        <f t="shared" si="172"/>
        <v>15817376377</v>
      </c>
      <c r="Q419" s="19">
        <f t="shared" si="172"/>
        <v>15271969238.086517</v>
      </c>
      <c r="R419" s="19">
        <f t="shared" ref="R419:Z419" si="177">R418+R402</f>
        <v>15472584728.187359</v>
      </c>
      <c r="S419" s="19">
        <f t="shared" si="177"/>
        <v>15512208781.764322</v>
      </c>
      <c r="T419" s="19">
        <f t="shared" si="177"/>
        <v>15709455898.511023</v>
      </c>
      <c r="U419" s="19">
        <f t="shared" si="177"/>
        <v>15889678696.4568</v>
      </c>
      <c r="V419" s="19">
        <f t="shared" si="177"/>
        <v>16104346060.78886</v>
      </c>
      <c r="W419" s="19">
        <f t="shared" si="177"/>
        <v>16333540334.970703</v>
      </c>
      <c r="X419" s="19">
        <f t="shared" si="177"/>
        <v>16557649718.321497</v>
      </c>
      <c r="Y419" s="19">
        <f t="shared" si="177"/>
        <v>16869813590.861364</v>
      </c>
      <c r="Z419" s="19">
        <f t="shared" si="177"/>
        <v>17172224354.279154</v>
      </c>
      <c r="AD419" s="18">
        <f t="shared" si="173"/>
        <v>14859376674.4</v>
      </c>
      <c r="AE419" s="19">
        <f t="shared" si="174"/>
        <v>645261195.60000038</v>
      </c>
      <c r="AF419" s="19">
        <f t="shared" si="171"/>
        <v>303046913</v>
      </c>
      <c r="AG419" s="19">
        <f>O419/31</f>
        <v>500149608.7096774</v>
      </c>
      <c r="AH419" s="18">
        <f>AD419/31</f>
        <v>479334731.43225807</v>
      </c>
      <c r="AI419" s="19">
        <f t="shared" si="175"/>
        <v>20814877.277419329</v>
      </c>
    </row>
    <row r="420" spans="1:35">
      <c r="AD420" s="18"/>
      <c r="AE420" s="19"/>
    </row>
    <row r="422" spans="1:35" ht="15.75">
      <c r="A422" s="15" t="s">
        <v>92</v>
      </c>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spans="1:35">
      <c r="B423" s="14">
        <f t="shared" ref="B423:Z423" si="178">B3</f>
        <v>2010</v>
      </c>
      <c r="C423" s="14">
        <f t="shared" si="178"/>
        <v>2011</v>
      </c>
      <c r="D423" s="14">
        <f t="shared" si="178"/>
        <v>2012</v>
      </c>
      <c r="E423" s="14">
        <f t="shared" si="178"/>
        <v>2013</v>
      </c>
      <c r="F423" s="14">
        <f t="shared" si="178"/>
        <v>2014</v>
      </c>
      <c r="G423" s="14">
        <f t="shared" si="178"/>
        <v>2015</v>
      </c>
      <c r="H423" s="14">
        <f t="shared" si="178"/>
        <v>2016</v>
      </c>
      <c r="I423" s="14">
        <f t="shared" si="178"/>
        <v>2017</v>
      </c>
      <c r="J423" s="14">
        <f t="shared" si="178"/>
        <v>2018</v>
      </c>
      <c r="K423" s="14">
        <f t="shared" si="178"/>
        <v>2019</v>
      </c>
      <c r="L423" s="14">
        <f t="shared" si="178"/>
        <v>2020</v>
      </c>
      <c r="M423" s="14">
        <f t="shared" si="178"/>
        <v>2021</v>
      </c>
      <c r="N423" s="14">
        <f t="shared" si="178"/>
        <v>2022</v>
      </c>
      <c r="O423" s="14">
        <f t="shared" si="178"/>
        <v>2023</v>
      </c>
      <c r="P423" s="14">
        <f t="shared" si="178"/>
        <v>2024</v>
      </c>
      <c r="Q423" s="14">
        <f t="shared" si="178"/>
        <v>2025</v>
      </c>
      <c r="R423" s="14">
        <f t="shared" si="178"/>
        <v>2026</v>
      </c>
      <c r="S423" s="14">
        <f t="shared" si="178"/>
        <v>2027</v>
      </c>
      <c r="T423" s="14">
        <f t="shared" si="178"/>
        <v>2028</v>
      </c>
      <c r="U423" s="14">
        <f t="shared" si="178"/>
        <v>2029</v>
      </c>
      <c r="V423" s="14">
        <f t="shared" si="178"/>
        <v>2030</v>
      </c>
      <c r="W423" s="14">
        <f t="shared" si="178"/>
        <v>2031</v>
      </c>
      <c r="X423" s="14">
        <f t="shared" si="178"/>
        <v>2032</v>
      </c>
      <c r="Y423" s="14">
        <f t="shared" si="178"/>
        <v>2033</v>
      </c>
      <c r="Z423" s="14">
        <f t="shared" si="178"/>
        <v>2034</v>
      </c>
    </row>
    <row r="424" spans="1:35">
      <c r="A424" s="14" t="s">
        <v>68</v>
      </c>
      <c r="D424" s="26">
        <f>D408/C408-1</f>
        <v>1.9368157188800028E-2</v>
      </c>
      <c r="E424" s="26">
        <f t="shared" ref="E424:Z435" si="179">E408/D408-1</f>
        <v>-8.8418043081512687E-2</v>
      </c>
      <c r="F424" s="26">
        <f t="shared" si="179"/>
        <v>6.9773993672575862E-2</v>
      </c>
      <c r="G424" s="26">
        <f t="shared" si="179"/>
        <v>3.8294419712213923E-2</v>
      </c>
      <c r="H424" s="26">
        <f t="shared" si="179"/>
        <v>1.7526530785214378E-2</v>
      </c>
      <c r="I424" s="26">
        <f t="shared" si="179"/>
        <v>1.7550127778644287E-2</v>
      </c>
      <c r="J424" s="26">
        <f t="shared" si="179"/>
        <v>1.4306858920795751E-2</v>
      </c>
      <c r="K424" s="26">
        <f t="shared" si="179"/>
        <v>-5.2400156562694589E-2</v>
      </c>
      <c r="L424" s="26">
        <f t="shared" si="179"/>
        <v>4.6729913995853467E-2</v>
      </c>
      <c r="M424" s="26">
        <f t="shared" si="179"/>
        <v>-0.13458474389181196</v>
      </c>
      <c r="N424" s="26">
        <f t="shared" si="179"/>
        <v>0.11962023387607323</v>
      </c>
      <c r="O424" s="26">
        <f t="shared" si="179"/>
        <v>-3.7996519464389422E-3</v>
      </c>
      <c r="P424" s="26">
        <f t="shared" si="179"/>
        <v>6.9118606276292738E-3</v>
      </c>
      <c r="Q424" s="37">
        <f t="shared" si="179"/>
        <v>3.4306179000067827E-2</v>
      </c>
      <c r="R424" s="37">
        <f t="shared" si="179"/>
        <v>-3.8291341847268123E-2</v>
      </c>
      <c r="S424" s="37">
        <f t="shared" si="179"/>
        <v>1.5654582491478664E-2</v>
      </c>
      <c r="T424" s="37">
        <f t="shared" si="179"/>
        <v>8.1187100901316533E-3</v>
      </c>
      <c r="U424" s="37">
        <f t="shared" si="179"/>
        <v>9.3780390160265181E-3</v>
      </c>
      <c r="V424" s="37">
        <f t="shared" si="179"/>
        <v>1.0642890853332254E-2</v>
      </c>
      <c r="W424" s="37">
        <f t="shared" si="179"/>
        <v>5.3134548808912996E-3</v>
      </c>
      <c r="X424" s="37">
        <f t="shared" si="179"/>
        <v>9.9731855242715106E-3</v>
      </c>
      <c r="Y424" s="37">
        <f t="shared" si="179"/>
        <v>9.4543529218529265E-3</v>
      </c>
      <c r="Z424" s="37">
        <f t="shared" si="179"/>
        <v>9.7555425072715085E-3</v>
      </c>
    </row>
    <row r="425" spans="1:35">
      <c r="A425" s="14" t="s">
        <v>69</v>
      </c>
      <c r="D425" s="26">
        <f>D409/C409-1</f>
        <v>2.1920060782451678E-2</v>
      </c>
      <c r="E425" s="26">
        <f t="shared" si="179"/>
        <v>-9.5383855470493217E-2</v>
      </c>
      <c r="F425" s="26">
        <f t="shared" si="179"/>
        <v>6.2123784432714269E-2</v>
      </c>
      <c r="G425" s="26">
        <f t="shared" si="179"/>
        <v>5.0243752096861938E-2</v>
      </c>
      <c r="H425" s="26">
        <f t="shared" si="179"/>
        <v>4.9597119997606631E-2</v>
      </c>
      <c r="I425" s="26">
        <f t="shared" si="179"/>
        <v>-3.7893945879859947E-3</v>
      </c>
      <c r="J425" s="26">
        <f t="shared" si="179"/>
        <v>-4.0966235065412748E-3</v>
      </c>
      <c r="K425" s="26">
        <f t="shared" si="179"/>
        <v>-8.5915432344529918E-3</v>
      </c>
      <c r="L425" s="26">
        <f t="shared" si="179"/>
        <v>3.4906154414431345E-2</v>
      </c>
      <c r="M425" s="26">
        <f t="shared" si="179"/>
        <v>-0.17543266829063953</v>
      </c>
      <c r="N425" s="26">
        <f t="shared" si="179"/>
        <v>0.16119013580863117</v>
      </c>
      <c r="O425" s="26">
        <f t="shared" si="179"/>
        <v>2.0937131807251097E-2</v>
      </c>
      <c r="P425" s="26">
        <f t="shared" si="179"/>
        <v>4.4102520117863309E-2</v>
      </c>
      <c r="Q425" s="37">
        <f t="shared" si="179"/>
        <v>-4.3336148095509675E-2</v>
      </c>
      <c r="R425" s="37">
        <f t="shared" si="179"/>
        <v>-2.0194861742761194E-2</v>
      </c>
      <c r="S425" s="37">
        <f t="shared" si="179"/>
        <v>2.2119660738785463E-2</v>
      </c>
      <c r="T425" s="37">
        <f t="shared" si="179"/>
        <v>1.1847372052359084E-2</v>
      </c>
      <c r="U425" s="37">
        <f t="shared" si="179"/>
        <v>8.6125582500449216E-3</v>
      </c>
      <c r="V425" s="37">
        <f t="shared" si="179"/>
        <v>2.4191567541564929E-3</v>
      </c>
      <c r="W425" s="37">
        <f t="shared" si="179"/>
        <v>9.0071285423087843E-3</v>
      </c>
      <c r="X425" s="37">
        <f t="shared" si="179"/>
        <v>1.1207218698891852E-2</v>
      </c>
      <c r="Y425" s="37">
        <f t="shared" si="179"/>
        <v>9.8881084240693973E-3</v>
      </c>
      <c r="Z425" s="37">
        <f t="shared" si="179"/>
        <v>9.0800315861629954E-3</v>
      </c>
    </row>
    <row r="426" spans="1:35">
      <c r="A426" s="14" t="s">
        <v>70</v>
      </c>
      <c r="D426" s="26">
        <f t="shared" ref="D426:F435" si="180">D410/C410-1</f>
        <v>-6.2065373271728008E-3</v>
      </c>
      <c r="E426" s="26">
        <f t="shared" si="180"/>
        <v>-8.512693004260663E-2</v>
      </c>
      <c r="F426" s="26">
        <f t="shared" si="180"/>
        <v>6.2927319936314952E-2</v>
      </c>
      <c r="G426" s="26">
        <f t="shared" si="179"/>
        <v>5.0612822344743069E-2</v>
      </c>
      <c r="H426" s="26">
        <f t="shared" si="179"/>
        <v>4.0872701104541997E-2</v>
      </c>
      <c r="I426" s="26">
        <f t="shared" si="179"/>
        <v>8.9593301081081211E-3</v>
      </c>
      <c r="J426" s="26">
        <f t="shared" si="179"/>
        <v>-1.2969940337610675E-2</v>
      </c>
      <c r="K426" s="26">
        <f t="shared" si="179"/>
        <v>-1.0780506391654399E-2</v>
      </c>
      <c r="L426" s="26">
        <f t="shared" si="179"/>
        <v>8.5675822090900411E-3</v>
      </c>
      <c r="M426" s="26">
        <f t="shared" si="179"/>
        <v>-0.10689622988194614</v>
      </c>
      <c r="N426" s="26">
        <f t="shared" si="179"/>
        <v>0.12905019919127869</v>
      </c>
      <c r="O426" s="26">
        <f t="shared" si="179"/>
        <v>1.6691104273898194E-3</v>
      </c>
      <c r="P426" s="26">
        <f t="shared" si="179"/>
        <v>2.5976930799944675E-2</v>
      </c>
      <c r="Q426" s="37">
        <f t="shared" si="179"/>
        <v>-2.7858628695418219E-2</v>
      </c>
      <c r="R426" s="37">
        <f t="shared" si="179"/>
        <v>-1.3170505956132339E-2</v>
      </c>
      <c r="S426" s="37">
        <f t="shared" si="179"/>
        <v>1.4681455441030167E-2</v>
      </c>
      <c r="T426" s="37">
        <f t="shared" si="179"/>
        <v>7.9721534089529644E-3</v>
      </c>
      <c r="U426" s="37">
        <f t="shared" si="179"/>
        <v>8.4089538658342899E-3</v>
      </c>
      <c r="V426" s="37">
        <f t="shared" si="179"/>
        <v>6.0298940777772092E-3</v>
      </c>
      <c r="W426" s="37">
        <f t="shared" si="179"/>
        <v>8.8373629739848525E-3</v>
      </c>
      <c r="X426" s="37">
        <f t="shared" si="179"/>
        <v>9.7189052357495864E-3</v>
      </c>
      <c r="Y426" s="37">
        <f t="shared" si="179"/>
        <v>9.5713053560957384E-3</v>
      </c>
      <c r="Z426" s="37">
        <f t="shared" si="179"/>
        <v>9.1927670917069104E-3</v>
      </c>
    </row>
    <row r="427" spans="1:35">
      <c r="A427" s="14" t="s">
        <v>71</v>
      </c>
      <c r="D427" s="26">
        <f t="shared" si="180"/>
        <v>4.3330951229285652E-3</v>
      </c>
      <c r="E427" s="26">
        <f t="shared" si="180"/>
        <v>-6.4228871660838682E-2</v>
      </c>
      <c r="F427" s="26">
        <f t="shared" si="180"/>
        <v>6.5723148611174453E-2</v>
      </c>
      <c r="G427" s="26">
        <f t="shared" si="179"/>
        <v>3.3375179326125215E-2</v>
      </c>
      <c r="H427" s="26">
        <f t="shared" si="179"/>
        <v>3.0341531308311742E-2</v>
      </c>
      <c r="I427" s="26">
        <f t="shared" si="179"/>
        <v>8.0461898322043979E-3</v>
      </c>
      <c r="J427" s="26">
        <f t="shared" si="179"/>
        <v>3.215973414773865E-3</v>
      </c>
      <c r="K427" s="26">
        <f t="shared" si="179"/>
        <v>6.064923922954879E-4</v>
      </c>
      <c r="L427" s="26">
        <f t="shared" si="179"/>
        <v>-0.12000759851710363</v>
      </c>
      <c r="M427" s="26">
        <f t="shared" si="179"/>
        <v>2.5708022582735524E-2</v>
      </c>
      <c r="N427" s="26">
        <f t="shared" si="179"/>
        <v>9.7659081591497054E-2</v>
      </c>
      <c r="O427" s="26">
        <f t="shared" si="179"/>
        <v>6.3919218546635292E-3</v>
      </c>
      <c r="P427" s="26">
        <f t="shared" si="179"/>
        <v>3.1374929132041318E-2</v>
      </c>
      <c r="Q427" s="37">
        <f t="shared" si="179"/>
        <v>-4.9987171649885531E-2</v>
      </c>
      <c r="R427" s="37">
        <f t="shared" si="179"/>
        <v>3.8607238763472829E-3</v>
      </c>
      <c r="S427" s="37">
        <f t="shared" si="179"/>
        <v>1.0160422287103454E-2</v>
      </c>
      <c r="T427" s="37">
        <f t="shared" si="179"/>
        <v>8.0869759780641814E-3</v>
      </c>
      <c r="U427" s="37">
        <f t="shared" si="179"/>
        <v>7.9608208349515319E-3</v>
      </c>
      <c r="V427" s="37">
        <f t="shared" si="179"/>
        <v>4.5285421082110755E-3</v>
      </c>
      <c r="W427" s="37">
        <f t="shared" si="179"/>
        <v>1.0936478575106268E-2</v>
      </c>
      <c r="X427" s="37">
        <f t="shared" si="179"/>
        <v>8.9699110090777356E-3</v>
      </c>
      <c r="Y427" s="37">
        <f t="shared" si="179"/>
        <v>9.6148880336766052E-3</v>
      </c>
      <c r="Z427" s="37">
        <f t="shared" si="179"/>
        <v>9.0530407318056838E-3</v>
      </c>
    </row>
    <row r="428" spans="1:35">
      <c r="A428" s="14" t="s">
        <v>47</v>
      </c>
      <c r="D428" s="26">
        <f t="shared" si="180"/>
        <v>4.6798905944644975E-3</v>
      </c>
      <c r="E428" s="26">
        <f t="shared" si="180"/>
        <v>-4.7210153488798534E-2</v>
      </c>
      <c r="F428" s="26">
        <f t="shared" si="180"/>
        <v>6.091056927383387E-2</v>
      </c>
      <c r="G428" s="26">
        <f t="shared" si="179"/>
        <v>2.4341910618424167E-2</v>
      </c>
      <c r="H428" s="26">
        <f t="shared" si="179"/>
        <v>3.1727879838895134E-2</v>
      </c>
      <c r="I428" s="26">
        <f t="shared" si="179"/>
        <v>1.1657056931880794E-2</v>
      </c>
      <c r="J428" s="26">
        <f t="shared" si="179"/>
        <v>5.9752786182460937E-3</v>
      </c>
      <c r="K428" s="26">
        <f t="shared" si="179"/>
        <v>7.42276970635114E-4</v>
      </c>
      <c r="L428" s="26">
        <f t="shared" si="179"/>
        <v>-0.16485721078018434</v>
      </c>
      <c r="M428" s="26">
        <f t="shared" si="179"/>
        <v>0.10280271550820386</v>
      </c>
      <c r="N428" s="26">
        <f t="shared" si="179"/>
        <v>7.4824635474100676E-2</v>
      </c>
      <c r="O428" s="26">
        <f t="shared" si="179"/>
        <v>9.258779326029698E-3</v>
      </c>
      <c r="P428" s="26">
        <f t="shared" si="179"/>
        <v>2.859612871311179E-2</v>
      </c>
      <c r="Q428" s="37">
        <f t="shared" si="179"/>
        <v>-5.3734107227834116E-2</v>
      </c>
      <c r="R428" s="37">
        <f t="shared" si="179"/>
        <v>1.2787370760380945E-2</v>
      </c>
      <c r="S428" s="37">
        <f t="shared" si="179"/>
        <v>6.9201262498861382E-3</v>
      </c>
      <c r="T428" s="37">
        <f t="shared" si="179"/>
        <v>8.7453055338335695E-3</v>
      </c>
      <c r="U428" s="37">
        <f t="shared" si="179"/>
        <v>8.0739518691297363E-3</v>
      </c>
      <c r="V428" s="37">
        <f t="shared" si="179"/>
        <v>5.6624357993528829E-3</v>
      </c>
      <c r="W428" s="37">
        <f t="shared" si="179"/>
        <v>1.2320241362959061E-2</v>
      </c>
      <c r="X428" s="37">
        <f t="shared" si="179"/>
        <v>9.3070244082542608E-3</v>
      </c>
      <c r="Y428" s="37">
        <f t="shared" si="179"/>
        <v>1.0979684061367623E-2</v>
      </c>
      <c r="Z428" s="37">
        <f t="shared" si="179"/>
        <v>1.0329006246392103E-2</v>
      </c>
    </row>
    <row r="429" spans="1:35">
      <c r="A429" s="14" t="s">
        <v>72</v>
      </c>
      <c r="D429" s="26">
        <f t="shared" si="180"/>
        <v>-2.6308019682093065E-3</v>
      </c>
      <c r="E429" s="26">
        <f t="shared" si="180"/>
        <v>-3.7404070454566507E-2</v>
      </c>
      <c r="F429" s="26">
        <f t="shared" si="180"/>
        <v>6.0198303591718183E-2</v>
      </c>
      <c r="G429" s="26">
        <f t="shared" si="179"/>
        <v>2.728589608534282E-2</v>
      </c>
      <c r="H429" s="26">
        <f t="shared" si="179"/>
        <v>3.2346587889227729E-2</v>
      </c>
      <c r="I429" s="26">
        <f t="shared" si="179"/>
        <v>6.8918690759571799E-3</v>
      </c>
      <c r="J429" s="26">
        <f t="shared" si="179"/>
        <v>4.7249111346232553E-3</v>
      </c>
      <c r="K429" s="26">
        <f t="shared" si="179"/>
        <v>3.6006494783265008E-3</v>
      </c>
      <c r="L429" s="26">
        <f t="shared" si="179"/>
        <v>-0.16133661317984105</v>
      </c>
      <c r="M429" s="26">
        <f t="shared" si="179"/>
        <v>0.11798284340495391</v>
      </c>
      <c r="N429" s="26">
        <f t="shared" si="179"/>
        <v>6.4085684151524491E-2</v>
      </c>
      <c r="O429" s="26">
        <f t="shared" si="179"/>
        <v>8.1580149195548124E-3</v>
      </c>
      <c r="P429" s="26">
        <f t="shared" si="179"/>
        <v>1.5954088860546722E-2</v>
      </c>
      <c r="Q429" s="37">
        <f t="shared" si="179"/>
        <v>-4.2705203203397768E-2</v>
      </c>
      <c r="R429" s="37">
        <f t="shared" si="179"/>
        <v>1.4283124732808794E-2</v>
      </c>
      <c r="S429" s="37">
        <f t="shared" si="179"/>
        <v>5.1831843671836797E-3</v>
      </c>
      <c r="T429" s="37">
        <f t="shared" si="179"/>
        <v>8.3460974585121139E-3</v>
      </c>
      <c r="U429" s="37">
        <f t="shared" si="179"/>
        <v>8.2238118364774682E-3</v>
      </c>
      <c r="V429" s="37">
        <f t="shared" si="179"/>
        <v>8.8380763067323898E-3</v>
      </c>
      <c r="W429" s="37">
        <f t="shared" si="179"/>
        <v>1.2881755047305488E-2</v>
      </c>
      <c r="X429" s="37">
        <f t="shared" si="179"/>
        <v>1.0112566910294385E-2</v>
      </c>
      <c r="Y429" s="37">
        <f t="shared" si="179"/>
        <v>1.2663112482183658E-2</v>
      </c>
      <c r="Z429" s="37">
        <f t="shared" si="179"/>
        <v>1.2167178901019593E-2</v>
      </c>
    </row>
    <row r="430" spans="1:35">
      <c r="A430" s="14" t="s">
        <v>73</v>
      </c>
      <c r="D430" s="26">
        <f t="shared" si="180"/>
        <v>-6.431962980513517E-3</v>
      </c>
      <c r="E430" s="26">
        <f t="shared" si="180"/>
        <v>-2.3688608726057492E-2</v>
      </c>
      <c r="F430" s="26">
        <f t="shared" si="180"/>
        <v>6.0142982903624853E-2</v>
      </c>
      <c r="G430" s="26">
        <f t="shared" si="179"/>
        <v>2.2748582194053846E-2</v>
      </c>
      <c r="H430" s="26">
        <f t="shared" si="179"/>
        <v>2.945140266399271E-2</v>
      </c>
      <c r="I430" s="26">
        <f t="shared" si="179"/>
        <v>7.901708420239073E-3</v>
      </c>
      <c r="J430" s="26">
        <f t="shared" si="179"/>
        <v>1.5752281826941994E-2</v>
      </c>
      <c r="K430" s="26">
        <f t="shared" si="179"/>
        <v>3.0821664505507052E-3</v>
      </c>
      <c r="L430" s="26">
        <f t="shared" si="179"/>
        <v>-0.15239665610099185</v>
      </c>
      <c r="M430" s="26">
        <f t="shared" si="179"/>
        <v>0.11158607828290079</v>
      </c>
      <c r="N430" s="26">
        <f t="shared" si="179"/>
        <v>4.5826210719644545E-2</v>
      </c>
      <c r="O430" s="26">
        <f t="shared" si="179"/>
        <v>1.5213733446484801E-2</v>
      </c>
      <c r="P430" s="37">
        <f t="shared" si="179"/>
        <v>2.2028896762385619E-2</v>
      </c>
      <c r="Q430" s="37">
        <f t="shared" si="179"/>
        <v>-4.3280424193609446E-2</v>
      </c>
      <c r="R430" s="37">
        <f t="shared" si="179"/>
        <v>1.3544172725718617E-2</v>
      </c>
      <c r="S430" s="37">
        <f t="shared" si="179"/>
        <v>4.0802677728373205E-3</v>
      </c>
      <c r="T430" s="37">
        <f t="shared" si="179"/>
        <v>1.0292056083577528E-2</v>
      </c>
      <c r="U430" s="37">
        <f t="shared" si="179"/>
        <v>9.2713661955445836E-3</v>
      </c>
      <c r="V430" s="37">
        <f t="shared" si="179"/>
        <v>9.2767747448885274E-3</v>
      </c>
      <c r="W430" s="37">
        <f t="shared" si="179"/>
        <v>1.3184813971745868E-2</v>
      </c>
      <c r="X430" s="37">
        <f t="shared" si="179"/>
        <v>1.1010111918381194E-2</v>
      </c>
      <c r="Y430" s="37">
        <f t="shared" si="179"/>
        <v>1.4277572277151318E-2</v>
      </c>
      <c r="Z430" s="37">
        <f t="shared" si="179"/>
        <v>1.3603399921102932E-2</v>
      </c>
    </row>
    <row r="431" spans="1:35">
      <c r="A431" s="14" t="s">
        <v>74</v>
      </c>
      <c r="D431" s="26">
        <f t="shared" si="180"/>
        <v>-6.6558771606385347E-3</v>
      </c>
      <c r="E431" s="26">
        <f t="shared" si="180"/>
        <v>-2.0109400131704147E-2</v>
      </c>
      <c r="F431" s="26">
        <f t="shared" si="180"/>
        <v>5.2196724725811494E-2</v>
      </c>
      <c r="G431" s="26">
        <f t="shared" si="179"/>
        <v>2.5642841909615077E-2</v>
      </c>
      <c r="H431" s="26">
        <f t="shared" si="179"/>
        <v>3.5287738800842572E-2</v>
      </c>
      <c r="I431" s="26">
        <f t="shared" si="179"/>
        <v>7.8479811090585994E-3</v>
      </c>
      <c r="J431" s="26">
        <f t="shared" si="179"/>
        <v>1.883801717371747E-2</v>
      </c>
      <c r="K431" s="26">
        <f t="shared" si="179"/>
        <v>-6.7491821050184031E-3</v>
      </c>
      <c r="L431" s="26">
        <f t="shared" si="179"/>
        <v>-0.14280056688927667</v>
      </c>
      <c r="M431" s="26">
        <f t="shared" si="179"/>
        <v>0.10530753919116731</v>
      </c>
      <c r="N431" s="26">
        <f t="shared" si="179"/>
        <v>4.6223704658540754E-2</v>
      </c>
      <c r="O431" s="26">
        <f t="shared" si="179"/>
        <v>1.2324858001586225E-2</v>
      </c>
      <c r="P431" s="37">
        <f t="shared" si="179"/>
        <v>2.6835967916558623E-2</v>
      </c>
      <c r="Q431" s="37">
        <f t="shared" si="179"/>
        <v>-4.4641169447656059E-2</v>
      </c>
      <c r="R431" s="37">
        <f t="shared" si="179"/>
        <v>1.3865115992146126E-2</v>
      </c>
      <c r="S431" s="37">
        <f t="shared" si="179"/>
        <v>4.3709323961227398E-3</v>
      </c>
      <c r="T431" s="37">
        <f t="shared" si="179"/>
        <v>1.0617601009622168E-2</v>
      </c>
      <c r="U431" s="37">
        <f t="shared" si="179"/>
        <v>1.0276011598208568E-2</v>
      </c>
      <c r="V431" s="37">
        <f t="shared" si="179"/>
        <v>9.8553666838978593E-3</v>
      </c>
      <c r="W431" s="37">
        <f t="shared" si="179"/>
        <v>1.3698456253332214E-2</v>
      </c>
      <c r="X431" s="37">
        <f t="shared" si="179"/>
        <v>1.188708279950923E-2</v>
      </c>
      <c r="Y431" s="37">
        <f t="shared" si="179"/>
        <v>1.5543108581861143E-2</v>
      </c>
      <c r="Z431" s="37">
        <f t="shared" si="179"/>
        <v>1.4926204801558374E-2</v>
      </c>
    </row>
    <row r="432" spans="1:35">
      <c r="A432" s="14" t="s">
        <v>75</v>
      </c>
      <c r="D432" s="26">
        <f t="shared" si="180"/>
        <v>-1.1239356789057631E-2</v>
      </c>
      <c r="E432" s="26">
        <f t="shared" si="180"/>
        <v>-1.231660592520234E-2</v>
      </c>
      <c r="F432" s="26">
        <f t="shared" si="180"/>
        <v>5.1148228886465308E-2</v>
      </c>
      <c r="G432" s="26">
        <f t="shared" si="179"/>
        <v>2.7223243693985877E-2</v>
      </c>
      <c r="H432" s="26">
        <f t="shared" si="179"/>
        <v>3.2809595407488068E-2</v>
      </c>
      <c r="I432" s="26">
        <f t="shared" si="179"/>
        <v>8.2183137548814678E-3</v>
      </c>
      <c r="J432" s="26">
        <f t="shared" si="179"/>
        <v>1.6530651964446585E-2</v>
      </c>
      <c r="K432" s="26">
        <f t="shared" si="179"/>
        <v>-5.057814842380326E-3</v>
      </c>
      <c r="L432" s="26">
        <f t="shared" si="179"/>
        <v>-0.13244592145944212</v>
      </c>
      <c r="M432" s="26">
        <f t="shared" si="179"/>
        <v>9.4718481367370932E-2</v>
      </c>
      <c r="N432" s="26">
        <f t="shared" si="179"/>
        <v>3.8689759402950941E-2</v>
      </c>
      <c r="O432" s="26">
        <f t="shared" si="179"/>
        <v>1.7508562232319669E-2</v>
      </c>
      <c r="P432" s="37">
        <f t="shared" si="179"/>
        <v>2.8278315497425544E-2</v>
      </c>
      <c r="Q432" s="37">
        <f t="shared" si="179"/>
        <v>-4.4558216353909552E-2</v>
      </c>
      <c r="R432" s="37">
        <f t="shared" si="179"/>
        <v>1.2997669649587484E-2</v>
      </c>
      <c r="S432" s="37">
        <f t="shared" si="179"/>
        <v>4.0467799113459435E-3</v>
      </c>
      <c r="T432" s="37">
        <f t="shared" si="179"/>
        <v>1.1768169705357545E-2</v>
      </c>
      <c r="U432" s="37">
        <f t="shared" si="179"/>
        <v>1.0986933887949357E-2</v>
      </c>
      <c r="V432" s="37">
        <f t="shared" si="179"/>
        <v>1.0372115943577231E-2</v>
      </c>
      <c r="W432" s="37">
        <f t="shared" si="179"/>
        <v>1.3927869782547342E-2</v>
      </c>
      <c r="X432" s="37">
        <f t="shared" si="179"/>
        <v>1.2641885157086641E-2</v>
      </c>
      <c r="Y432" s="37">
        <f t="shared" si="179"/>
        <v>1.676348761399904E-2</v>
      </c>
      <c r="Z432" s="37">
        <f t="shared" si="179"/>
        <v>1.6054689714289028E-2</v>
      </c>
    </row>
    <row r="433" spans="1:35">
      <c r="A433" s="14" t="s">
        <v>76</v>
      </c>
      <c r="D433" s="26">
        <f t="shared" si="180"/>
        <v>-9.1765595730843863E-3</v>
      </c>
      <c r="E433" s="26">
        <f t="shared" si="180"/>
        <v>-7.938010112086058E-3</v>
      </c>
      <c r="F433" s="26">
        <f t="shared" si="180"/>
        <v>4.5945050895841E-2</v>
      </c>
      <c r="G433" s="26">
        <f t="shared" si="179"/>
        <v>3.0509103594708709E-2</v>
      </c>
      <c r="H433" s="26">
        <f t="shared" si="179"/>
        <v>3.0611926066517636E-2</v>
      </c>
      <c r="I433" s="26">
        <f t="shared" si="179"/>
        <v>1.0964587290505534E-2</v>
      </c>
      <c r="J433" s="26">
        <f t="shared" si="179"/>
        <v>1.6426674157901555E-2</v>
      </c>
      <c r="K433" s="26">
        <f t="shared" si="179"/>
        <v>-3.8703176798825512E-3</v>
      </c>
      <c r="L433" s="26">
        <f t="shared" si="179"/>
        <v>-0.1285315381220945</v>
      </c>
      <c r="M433" s="26">
        <f t="shared" si="179"/>
        <v>8.8469113523987009E-2</v>
      </c>
      <c r="N433" s="26">
        <f t="shared" si="179"/>
        <v>3.8697642079736694E-2</v>
      </c>
      <c r="O433" s="26">
        <f t="shared" si="179"/>
        <v>2.0834581803540253E-2</v>
      </c>
      <c r="P433" s="37">
        <f t="shared" si="179"/>
        <v>2.5512001030620235E-2</v>
      </c>
      <c r="Q433" s="37">
        <f t="shared" si="179"/>
        <v>-4.3209614311217281E-2</v>
      </c>
      <c r="R433" s="37">
        <f t="shared" si="179"/>
        <v>1.2980347543081416E-2</v>
      </c>
      <c r="S433" s="37">
        <f t="shared" si="179"/>
        <v>4.3987096225497346E-3</v>
      </c>
      <c r="T433" s="37">
        <f t="shared" si="179"/>
        <v>1.23962931557422E-2</v>
      </c>
      <c r="U433" s="37">
        <f t="shared" si="179"/>
        <v>1.0974110967054695E-2</v>
      </c>
      <c r="V433" s="37">
        <f t="shared" si="179"/>
        <v>1.1152453107786231E-2</v>
      </c>
      <c r="W433" s="37">
        <f t="shared" si="179"/>
        <v>1.4300287323716798E-2</v>
      </c>
      <c r="X433" s="37">
        <f t="shared" si="179"/>
        <v>1.3330498696717541E-2</v>
      </c>
      <c r="Y433" s="37">
        <f t="shared" si="179"/>
        <v>1.7733770150396344E-2</v>
      </c>
      <c r="Z433" s="37">
        <f t="shared" si="179"/>
        <v>1.7021323409801781E-2</v>
      </c>
    </row>
    <row r="434" spans="1:35">
      <c r="A434" s="14" t="s">
        <v>77</v>
      </c>
      <c r="D434" s="26">
        <f t="shared" si="180"/>
        <v>-9.329776436133641E-3</v>
      </c>
      <c r="E434" s="26">
        <f t="shared" si="180"/>
        <v>-8.3625551413804011E-3</v>
      </c>
      <c r="F434" s="26">
        <f t="shared" si="180"/>
        <v>4.1339046231674059E-2</v>
      </c>
      <c r="G434" s="26">
        <f t="shared" si="179"/>
        <v>3.5658350565857644E-2</v>
      </c>
      <c r="H434" s="26">
        <f t="shared" si="179"/>
        <v>2.6994350452912652E-2</v>
      </c>
      <c r="I434" s="26">
        <f t="shared" si="179"/>
        <v>1.6864243990957872E-2</v>
      </c>
      <c r="J434" s="26">
        <f t="shared" si="179"/>
        <v>1.152287442173594E-2</v>
      </c>
      <c r="K434" s="26">
        <f t="shared" si="179"/>
        <v>-5.9105238213970068E-3</v>
      </c>
      <c r="L434" s="26">
        <f t="shared" si="179"/>
        <v>-0.11945748347652985</v>
      </c>
      <c r="M434" s="26">
        <f t="shared" si="179"/>
        <v>8.7021707450672947E-2</v>
      </c>
      <c r="N434" s="26">
        <f t="shared" si="179"/>
        <v>3.6964259612102257E-2</v>
      </c>
      <c r="O434" s="26">
        <f t="shared" si="179"/>
        <v>1.7310505661886078E-2</v>
      </c>
      <c r="P434" s="37">
        <f t="shared" si="179"/>
        <v>2.2343545285572919E-2</v>
      </c>
      <c r="Q434" s="37">
        <f t="shared" si="179"/>
        <v>-3.7755685687403284E-2</v>
      </c>
      <c r="R434" s="37">
        <f t="shared" si="179"/>
        <v>1.2778435736154004E-2</v>
      </c>
      <c r="S434" s="37">
        <f t="shared" si="179"/>
        <v>3.6914691312304182E-3</v>
      </c>
      <c r="T434" s="37">
        <f t="shared" si="179"/>
        <v>1.2025415145052065E-2</v>
      </c>
      <c r="U434" s="37">
        <f t="shared" si="179"/>
        <v>1.1202507543396356E-2</v>
      </c>
      <c r="V434" s="37">
        <f t="shared" si="179"/>
        <v>1.2271654100994844E-2</v>
      </c>
      <c r="W434" s="37">
        <f t="shared" si="179"/>
        <v>1.4291215527396206E-2</v>
      </c>
      <c r="X434" s="37">
        <f t="shared" si="179"/>
        <v>1.3539844896301112E-2</v>
      </c>
      <c r="Y434" s="37">
        <f t="shared" si="179"/>
        <v>1.826285275614481E-2</v>
      </c>
      <c r="Z434" s="37">
        <f t="shared" si="179"/>
        <v>1.7658544273718935E-2</v>
      </c>
    </row>
    <row r="435" spans="1:35">
      <c r="A435" s="14" t="s">
        <v>78</v>
      </c>
      <c r="D435" s="26">
        <f t="shared" si="180"/>
        <v>-1.5402744351779352E-2</v>
      </c>
      <c r="E435" s="26">
        <f t="shared" si="180"/>
        <v>-2.4269863039505513E-3</v>
      </c>
      <c r="F435" s="26">
        <f t="shared" si="180"/>
        <v>4.3394908976317481E-2</v>
      </c>
      <c r="G435" s="26">
        <f t="shared" si="179"/>
        <v>3.5601936565430981E-2</v>
      </c>
      <c r="H435" s="26">
        <f t="shared" si="179"/>
        <v>2.2478439323657895E-2</v>
      </c>
      <c r="I435" s="26">
        <f t="shared" si="179"/>
        <v>1.5742813312470405E-2</v>
      </c>
      <c r="J435" s="26">
        <f t="shared" si="179"/>
        <v>1.1024968999257201E-2</v>
      </c>
      <c r="K435" s="26">
        <f t="shared" si="179"/>
        <v>-1.1677195993265999E-3</v>
      </c>
      <c r="L435" s="26">
        <f t="shared" si="179"/>
        <v>-0.11665629270296218</v>
      </c>
      <c r="M435" s="26">
        <f t="shared" si="179"/>
        <v>8.8854064236318475E-2</v>
      </c>
      <c r="N435" s="26">
        <f t="shared" si="179"/>
        <v>2.869118034633189E-2</v>
      </c>
      <c r="O435" s="26">
        <f t="shared" si="179"/>
        <v>1.9935210324841357E-2</v>
      </c>
      <c r="P435" s="37">
        <f t="shared" si="179"/>
        <v>2.0170642463383182E-2</v>
      </c>
      <c r="Q435" s="37">
        <f t="shared" si="179"/>
        <v>-3.448151740933203E-2</v>
      </c>
      <c r="R435" s="37">
        <f t="shared" si="179"/>
        <v>1.3136190033733897E-2</v>
      </c>
      <c r="S435" s="37">
        <f t="shared" si="179"/>
        <v>2.5609201224652267E-3</v>
      </c>
      <c r="T435" s="37">
        <f t="shared" si="179"/>
        <v>1.2715604819513393E-2</v>
      </c>
      <c r="U435" s="37">
        <f t="shared" si="179"/>
        <v>1.147224952347714E-2</v>
      </c>
      <c r="V435" s="37">
        <f t="shared" si="179"/>
        <v>1.3509861869008599E-2</v>
      </c>
      <c r="W435" s="37">
        <f t="shared" si="179"/>
        <v>1.4231827440661426E-2</v>
      </c>
      <c r="X435" s="37">
        <f t="shared" si="179"/>
        <v>1.3720808762504921E-2</v>
      </c>
      <c r="Y435" s="37">
        <f t="shared" si="179"/>
        <v>1.8853151132582013E-2</v>
      </c>
      <c r="Z435" s="37">
        <f t="shared" si="179"/>
        <v>1.7926147303821471E-2</v>
      </c>
    </row>
    <row r="438" spans="1:35" ht="15.75">
      <c r="A438" s="15" t="s">
        <v>93</v>
      </c>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spans="1:35">
      <c r="B439" s="14">
        <f t="shared" ref="B439:Z439" si="181">B3</f>
        <v>2010</v>
      </c>
      <c r="C439" s="14">
        <f t="shared" si="181"/>
        <v>2011</v>
      </c>
      <c r="D439" s="14">
        <f t="shared" si="181"/>
        <v>2012</v>
      </c>
      <c r="E439" s="14">
        <f t="shared" si="181"/>
        <v>2013</v>
      </c>
      <c r="F439" s="14">
        <f t="shared" si="181"/>
        <v>2014</v>
      </c>
      <c r="G439" s="14">
        <f t="shared" si="181"/>
        <v>2015</v>
      </c>
      <c r="H439" s="14">
        <f t="shared" si="181"/>
        <v>2016</v>
      </c>
      <c r="I439" s="14">
        <f t="shared" si="181"/>
        <v>2017</v>
      </c>
      <c r="J439" s="14">
        <f t="shared" si="181"/>
        <v>2018</v>
      </c>
      <c r="K439" s="14">
        <f t="shared" si="181"/>
        <v>2019</v>
      </c>
      <c r="L439" s="14">
        <f t="shared" si="181"/>
        <v>2020</v>
      </c>
      <c r="M439" s="14">
        <f t="shared" si="181"/>
        <v>2021</v>
      </c>
      <c r="N439" s="14">
        <f t="shared" si="181"/>
        <v>2022</v>
      </c>
      <c r="O439" s="14">
        <f t="shared" si="181"/>
        <v>2023</v>
      </c>
      <c r="P439" s="14">
        <f t="shared" si="181"/>
        <v>2024</v>
      </c>
      <c r="Q439" s="14">
        <f t="shared" si="181"/>
        <v>2025</v>
      </c>
      <c r="R439" s="14">
        <f t="shared" si="181"/>
        <v>2026</v>
      </c>
      <c r="S439" s="14">
        <f t="shared" si="181"/>
        <v>2027</v>
      </c>
      <c r="T439" s="14">
        <f t="shared" si="181"/>
        <v>2028</v>
      </c>
      <c r="U439" s="14">
        <f t="shared" si="181"/>
        <v>2029</v>
      </c>
      <c r="V439" s="14">
        <f t="shared" si="181"/>
        <v>2030</v>
      </c>
      <c r="W439" s="14">
        <f t="shared" si="181"/>
        <v>2031</v>
      </c>
      <c r="X439" s="14">
        <f t="shared" si="181"/>
        <v>2032</v>
      </c>
      <c r="Y439" s="14">
        <f t="shared" si="181"/>
        <v>2033</v>
      </c>
      <c r="Z439" s="14">
        <f t="shared" si="181"/>
        <v>2034</v>
      </c>
      <c r="AD439" s="14" t="s">
        <v>37</v>
      </c>
      <c r="AE439" s="14" t="s">
        <v>38</v>
      </c>
      <c r="AF439" s="14" t="s">
        <v>39</v>
      </c>
      <c r="AG439" s="14" t="s">
        <v>40</v>
      </c>
      <c r="AH439" s="14" t="s">
        <v>41</v>
      </c>
      <c r="AI439" s="14" t="s">
        <v>42</v>
      </c>
    </row>
    <row r="440" spans="1:35">
      <c r="A440" s="14" t="s">
        <v>68</v>
      </c>
      <c r="B440" s="18">
        <f t="shared" ref="B440:Z450" si="182">B4+B84+B228+B391</f>
        <v>145876</v>
      </c>
      <c r="C440" s="18">
        <f t="shared" si="182"/>
        <v>1222887840</v>
      </c>
      <c r="D440" s="18">
        <f t="shared" si="182"/>
        <v>1283510640</v>
      </c>
      <c r="E440" s="18">
        <f t="shared" si="182"/>
        <v>1202111858</v>
      </c>
      <c r="F440" s="18">
        <f t="shared" si="182"/>
        <v>1317513167</v>
      </c>
      <c r="G440" s="18">
        <f t="shared" si="182"/>
        <v>1377255709</v>
      </c>
      <c r="H440" s="18">
        <f t="shared" si="182"/>
        <v>1444443331</v>
      </c>
      <c r="I440" s="18">
        <f t="shared" si="182"/>
        <v>1456163025</v>
      </c>
      <c r="J440" s="18">
        <f t="shared" si="182"/>
        <v>1518919986</v>
      </c>
      <c r="K440" s="18">
        <f t="shared" si="182"/>
        <v>1481865407</v>
      </c>
      <c r="L440" s="18">
        <f t="shared" si="182"/>
        <v>1569476341</v>
      </c>
      <c r="M440" s="18">
        <f t="shared" si="182"/>
        <v>1402130308</v>
      </c>
      <c r="N440" s="18">
        <f t="shared" si="182"/>
        <v>1578375991</v>
      </c>
      <c r="O440" s="18">
        <f t="shared" si="182"/>
        <v>1750096557</v>
      </c>
      <c r="P440" s="18">
        <f t="shared" si="182"/>
        <v>1900217627</v>
      </c>
      <c r="Q440" s="19">
        <f t="shared" si="182"/>
        <v>1746209869</v>
      </c>
      <c r="R440" s="19">
        <f t="shared" si="182"/>
        <v>1726965799.3446259</v>
      </c>
      <c r="S440" s="19">
        <f t="shared" si="182"/>
        <v>1808093663.0110998</v>
      </c>
      <c r="T440" s="19">
        <f t="shared" si="182"/>
        <v>1819331482.3538265</v>
      </c>
      <c r="U440" s="19">
        <f t="shared" si="182"/>
        <v>1864637691.8765855</v>
      </c>
      <c r="V440" s="19">
        <f t="shared" si="182"/>
        <v>1925698067.7514472</v>
      </c>
      <c r="W440" s="19">
        <f t="shared" si="182"/>
        <v>1996902015.7636871</v>
      </c>
      <c r="X440" s="19">
        <f t="shared" si="182"/>
        <v>2126778436.3017886</v>
      </c>
      <c r="Y440" s="19">
        <f t="shared" si="182"/>
        <v>2167008277.8934946</v>
      </c>
      <c r="Z440" s="19">
        <f t="shared" si="182"/>
        <v>2170726102.3016672</v>
      </c>
      <c r="AD440" s="18">
        <f>AVERAGE(J440:N440)</f>
        <v>1510153606.5999999</v>
      </c>
      <c r="AE440" s="18">
        <f>O440-AD440</f>
        <v>239942950.4000001</v>
      </c>
      <c r="AF440" s="18">
        <f t="shared" ref="AF440:AF451" si="183">O440-N440</f>
        <v>171720566</v>
      </c>
      <c r="AG440" s="18">
        <f>O440/31</f>
        <v>56454727.645161293</v>
      </c>
      <c r="AH440" s="18">
        <f>AD440/31</f>
        <v>48714632.47096774</v>
      </c>
      <c r="AI440" s="18">
        <f>AG440-AH440</f>
        <v>7740095.1741935536</v>
      </c>
    </row>
    <row r="441" spans="1:35">
      <c r="A441" s="14" t="s">
        <v>69</v>
      </c>
      <c r="B441" s="18">
        <f t="shared" si="182"/>
        <v>1813991</v>
      </c>
      <c r="C441" s="18">
        <f t="shared" si="182"/>
        <v>1121788610</v>
      </c>
      <c r="D441" s="18">
        <f t="shared" si="182"/>
        <v>1202528891</v>
      </c>
      <c r="E441" s="18">
        <f t="shared" si="182"/>
        <v>1092882864</v>
      </c>
      <c r="F441" s="18">
        <f t="shared" si="182"/>
        <v>1214843201</v>
      </c>
      <c r="G441" s="18">
        <f t="shared" si="182"/>
        <v>1255664521</v>
      </c>
      <c r="H441" s="18">
        <f t="shared" si="182"/>
        <v>1405150556</v>
      </c>
      <c r="I441" s="18">
        <f t="shared" si="182"/>
        <v>1388886645</v>
      </c>
      <c r="J441" s="18">
        <f t="shared" si="182"/>
        <v>1397522140</v>
      </c>
      <c r="K441" s="18">
        <f t="shared" si="182"/>
        <v>1485006060</v>
      </c>
      <c r="L441" s="18">
        <f t="shared" si="182"/>
        <v>1535745106</v>
      </c>
      <c r="M441" s="18">
        <f t="shared" si="182"/>
        <v>1260332486</v>
      </c>
      <c r="N441" s="18">
        <f t="shared" si="182"/>
        <v>1538382764</v>
      </c>
      <c r="O441" s="18">
        <f t="shared" si="182"/>
        <v>1714457597</v>
      </c>
      <c r="P441" s="18">
        <f t="shared" si="182"/>
        <v>2032746228</v>
      </c>
      <c r="Q441" s="19">
        <f t="shared" si="182"/>
        <v>1578416316</v>
      </c>
      <c r="R441" s="19">
        <f t="shared" si="182"/>
        <v>1719319714.2102671</v>
      </c>
      <c r="S441" s="19">
        <f t="shared" si="182"/>
        <v>1862360049.2521834</v>
      </c>
      <c r="T441" s="19">
        <f t="shared" si="182"/>
        <v>1901780857.9426064</v>
      </c>
      <c r="U441" s="19">
        <f t="shared" si="182"/>
        <v>1967710050.837193</v>
      </c>
      <c r="V441" s="19">
        <f t="shared" si="182"/>
        <v>2043118794.2167413</v>
      </c>
      <c r="W441" s="19">
        <f t="shared" si="182"/>
        <v>2153793041.4909987</v>
      </c>
      <c r="X441" s="19">
        <f t="shared" si="182"/>
        <v>2336156354.4301529</v>
      </c>
      <c r="Y441" s="19">
        <f t="shared" si="182"/>
        <v>2354409671.9015179</v>
      </c>
      <c r="Z441" s="19">
        <f t="shared" si="182"/>
        <v>2385818955.054275</v>
      </c>
      <c r="AD441" s="18">
        <f t="shared" ref="AD441:AD452" si="184">AVERAGE(J441:N441)</f>
        <v>1443397711.2</v>
      </c>
      <c r="AE441" s="18">
        <f t="shared" ref="AE441:AE452" si="185">O441-AD441</f>
        <v>271059885.79999995</v>
      </c>
      <c r="AF441" s="18">
        <f t="shared" si="183"/>
        <v>176074833</v>
      </c>
      <c r="AG441" s="18">
        <f>O441/28</f>
        <v>61230628.464285716</v>
      </c>
      <c r="AH441" s="18">
        <f>AD441/28</f>
        <v>51549918.257142857</v>
      </c>
      <c r="AI441" s="18">
        <f t="shared" ref="AI441:AI451" si="186">AG441-AH441</f>
        <v>9680710.2071428597</v>
      </c>
    </row>
    <row r="442" spans="1:35">
      <c r="A442" s="14" t="s">
        <v>70</v>
      </c>
      <c r="B442" s="18">
        <f t="shared" si="182"/>
        <v>726074</v>
      </c>
      <c r="C442" s="18">
        <f t="shared" si="182"/>
        <v>1334935390</v>
      </c>
      <c r="D442" s="18">
        <f t="shared" si="182"/>
        <v>1322633080</v>
      </c>
      <c r="E442" s="18">
        <f t="shared" si="182"/>
        <v>1281425909</v>
      </c>
      <c r="F442" s="18">
        <f t="shared" si="182"/>
        <v>1393914560</v>
      </c>
      <c r="G442" s="18">
        <f t="shared" si="182"/>
        <v>1441414221</v>
      </c>
      <c r="H442" s="18">
        <f t="shared" si="182"/>
        <v>1520032817</v>
      </c>
      <c r="I442" s="18">
        <f t="shared" si="182"/>
        <v>1590023243</v>
      </c>
      <c r="J442" s="18">
        <f t="shared" si="182"/>
        <v>1576807171</v>
      </c>
      <c r="K442" s="18">
        <f t="shared" si="182"/>
        <v>1582371000</v>
      </c>
      <c r="L442" s="18">
        <f t="shared" si="182"/>
        <v>1578605044</v>
      </c>
      <c r="M442" s="18">
        <f t="shared" si="182"/>
        <v>1644471094</v>
      </c>
      <c r="N442" s="18">
        <f t="shared" si="182"/>
        <v>1815525585</v>
      </c>
      <c r="O442" s="18">
        <f t="shared" si="182"/>
        <v>1915533147</v>
      </c>
      <c r="P442" s="18">
        <f t="shared" si="182"/>
        <v>1919213739</v>
      </c>
      <c r="Q442" s="19">
        <f t="shared" si="182"/>
        <v>1840551519.3453763</v>
      </c>
      <c r="R442" s="19">
        <f t="shared" si="182"/>
        <v>1854640996.5633707</v>
      </c>
      <c r="S442" s="19">
        <f t="shared" si="182"/>
        <v>1919904562.8654935</v>
      </c>
      <c r="T442" s="19">
        <f t="shared" si="182"/>
        <v>1904692673.4200695</v>
      </c>
      <c r="U442" s="19">
        <f t="shared" si="182"/>
        <v>1937435249.014936</v>
      </c>
      <c r="V442" s="19">
        <f t="shared" si="182"/>
        <v>1998399444.0654504</v>
      </c>
      <c r="W442" s="19">
        <f t="shared" si="182"/>
        <v>2070941867.0244389</v>
      </c>
      <c r="X442" s="19">
        <f t="shared" si="182"/>
        <v>2197633562.6298161</v>
      </c>
      <c r="Y442" s="19">
        <f t="shared" si="182"/>
        <v>2201243568.3584523</v>
      </c>
      <c r="Z442" s="19">
        <f t="shared" si="182"/>
        <v>2210148287.4785089</v>
      </c>
      <c r="AD442" s="18">
        <f t="shared" si="184"/>
        <v>1639555978.8</v>
      </c>
      <c r="AE442" s="18">
        <f t="shared" si="185"/>
        <v>275977168.20000005</v>
      </c>
      <c r="AF442" s="18">
        <f t="shared" si="183"/>
        <v>100007562</v>
      </c>
      <c r="AG442" s="18">
        <f>O442/31</f>
        <v>61791391.838709675</v>
      </c>
      <c r="AH442" s="18">
        <f>AD442/31</f>
        <v>52888902.541935481</v>
      </c>
      <c r="AI442" s="18">
        <f t="shared" si="186"/>
        <v>8902489.2967741936</v>
      </c>
    </row>
    <row r="443" spans="1:35">
      <c r="A443" s="14" t="s">
        <v>71</v>
      </c>
      <c r="B443" s="18">
        <f t="shared" si="182"/>
        <v>0</v>
      </c>
      <c r="C443" s="18">
        <f t="shared" si="182"/>
        <v>1183314896</v>
      </c>
      <c r="D443" s="18">
        <f t="shared" si="182"/>
        <v>1262002014</v>
      </c>
      <c r="E443" s="18">
        <f t="shared" si="182"/>
        <v>1303458291</v>
      </c>
      <c r="F443" s="18">
        <f t="shared" si="182"/>
        <v>1446512367</v>
      </c>
      <c r="G443" s="18">
        <f t="shared" si="182"/>
        <v>1439501280</v>
      </c>
      <c r="H443" s="18">
        <f t="shared" si="182"/>
        <v>1510612805</v>
      </c>
      <c r="I443" s="18">
        <f t="shared" si="182"/>
        <v>1483220715</v>
      </c>
      <c r="J443" s="18">
        <f t="shared" si="182"/>
        <v>1583718061</v>
      </c>
      <c r="K443" s="18">
        <f t="shared" si="182"/>
        <v>1687076160</v>
      </c>
      <c r="L443" s="18">
        <f t="shared" si="182"/>
        <v>1051819017</v>
      </c>
      <c r="M443" s="18">
        <f t="shared" si="182"/>
        <v>1573873578</v>
      </c>
      <c r="N443" s="18">
        <f t="shared" si="182"/>
        <v>1697234289</v>
      </c>
      <c r="O443" s="18">
        <f t="shared" si="182"/>
        <v>1833571202</v>
      </c>
      <c r="P443" s="18">
        <f t="shared" si="182"/>
        <v>2078435948</v>
      </c>
      <c r="Q443" s="19">
        <f t="shared" si="182"/>
        <v>1754587284.7637963</v>
      </c>
      <c r="R443" s="19">
        <f t="shared" si="182"/>
        <v>1800831755.0417099</v>
      </c>
      <c r="S443" s="19">
        <f t="shared" si="182"/>
        <v>1886414652.8813126</v>
      </c>
      <c r="T443" s="19">
        <f t="shared" si="182"/>
        <v>1888576667.2265756</v>
      </c>
      <c r="U443" s="19">
        <f t="shared" si="182"/>
        <v>1948158822.9701979</v>
      </c>
      <c r="V443" s="19">
        <f t="shared" si="182"/>
        <v>2017939278.3206832</v>
      </c>
      <c r="W443" s="19">
        <f t="shared" si="182"/>
        <v>2098404360.4776449</v>
      </c>
      <c r="X443" s="19">
        <f t="shared" si="182"/>
        <v>2245568071.9654417</v>
      </c>
      <c r="Y443" s="19">
        <f t="shared" si="182"/>
        <v>2253833250.0312514</v>
      </c>
      <c r="Z443" s="19">
        <f t="shared" si="182"/>
        <v>2271568671.9154358</v>
      </c>
      <c r="AD443" s="18">
        <f t="shared" si="184"/>
        <v>1518744221</v>
      </c>
      <c r="AE443" s="18">
        <f t="shared" si="185"/>
        <v>314826981</v>
      </c>
      <c r="AF443" s="18">
        <f t="shared" si="183"/>
        <v>136336913</v>
      </c>
      <c r="AG443" s="18">
        <f>O443/30</f>
        <v>61119040.06666667</v>
      </c>
      <c r="AH443" s="18">
        <f>AD443/30</f>
        <v>50624807.366666667</v>
      </c>
      <c r="AI443" s="18">
        <f t="shared" si="186"/>
        <v>10494232.700000003</v>
      </c>
    </row>
    <row r="444" spans="1:35">
      <c r="A444" s="14" t="s">
        <v>47</v>
      </c>
      <c r="B444" s="18">
        <f t="shared" si="182"/>
        <v>0</v>
      </c>
      <c r="C444" s="18">
        <f t="shared" si="182"/>
        <v>1274168307</v>
      </c>
      <c r="D444" s="18">
        <f t="shared" si="182"/>
        <v>1332387252</v>
      </c>
      <c r="E444" s="18">
        <f t="shared" si="182"/>
        <v>1409619201</v>
      </c>
      <c r="F444" s="18">
        <f t="shared" si="182"/>
        <v>1476964919</v>
      </c>
      <c r="G444" s="18">
        <f t="shared" si="182"/>
        <v>1499692970</v>
      </c>
      <c r="H444" s="18">
        <f t="shared" si="182"/>
        <v>1620627879</v>
      </c>
      <c r="I444" s="18">
        <f t="shared" si="182"/>
        <v>1661513761</v>
      </c>
      <c r="J444" s="18">
        <f t="shared" si="182"/>
        <v>1673414676</v>
      </c>
      <c r="K444" s="18">
        <f t="shared" si="182"/>
        <v>1711780123</v>
      </c>
      <c r="L444" s="18">
        <f t="shared" si="182"/>
        <v>1258843150</v>
      </c>
      <c r="M444" s="18">
        <f t="shared" si="182"/>
        <v>1710264463</v>
      </c>
      <c r="N444" s="18">
        <f t="shared" si="182"/>
        <v>1832711492</v>
      </c>
      <c r="O444" s="18">
        <f t="shared" si="182"/>
        <v>2104750521</v>
      </c>
      <c r="P444" s="18">
        <f t="shared" si="182"/>
        <v>2064007677</v>
      </c>
      <c r="Q444" s="19">
        <f t="shared" si="182"/>
        <v>1889341377.4413466</v>
      </c>
      <c r="R444" s="19">
        <f t="shared" si="182"/>
        <v>1985647057.9327064</v>
      </c>
      <c r="S444" s="19">
        <f t="shared" si="182"/>
        <v>2093720715.6802788</v>
      </c>
      <c r="T444" s="19">
        <f t="shared" si="182"/>
        <v>2111983896.8705633</v>
      </c>
      <c r="U444" s="19">
        <f t="shared" si="182"/>
        <v>2181105547.7497139</v>
      </c>
      <c r="V444" s="19">
        <f t="shared" si="182"/>
        <v>2281583962.198637</v>
      </c>
      <c r="W444" s="19">
        <f t="shared" si="182"/>
        <v>2380105449.1466217</v>
      </c>
      <c r="X444" s="19">
        <f t="shared" si="182"/>
        <v>2562665497.4957342</v>
      </c>
      <c r="Y444" s="19">
        <f t="shared" si="182"/>
        <v>2584509333.7722864</v>
      </c>
      <c r="Z444" s="19">
        <f t="shared" si="182"/>
        <v>2618359377.3812761</v>
      </c>
      <c r="AD444" s="18">
        <f t="shared" si="184"/>
        <v>1637402780.8</v>
      </c>
      <c r="AE444" s="18">
        <f t="shared" si="185"/>
        <v>467347740.20000005</v>
      </c>
      <c r="AF444" s="18">
        <f t="shared" si="183"/>
        <v>272039029</v>
      </c>
      <c r="AG444" s="18">
        <f>O444/31</f>
        <v>67895178.096774191</v>
      </c>
      <c r="AH444" s="18">
        <f>AD444/31</f>
        <v>52819444.541935481</v>
      </c>
      <c r="AI444" s="18">
        <f t="shared" si="186"/>
        <v>15075733.55483871</v>
      </c>
    </row>
    <row r="445" spans="1:35">
      <c r="A445" s="14" t="s">
        <v>72</v>
      </c>
      <c r="B445" s="18">
        <f t="shared" si="182"/>
        <v>90996</v>
      </c>
      <c r="C445" s="18">
        <f t="shared" si="182"/>
        <v>1299762524</v>
      </c>
      <c r="D445" s="18">
        <f t="shared" si="182"/>
        <v>1304503655</v>
      </c>
      <c r="E445" s="18">
        <f t="shared" si="182"/>
        <v>1397704777</v>
      </c>
      <c r="F445" s="18">
        <f t="shared" si="182"/>
        <v>1470236118</v>
      </c>
      <c r="G445" s="18">
        <f t="shared" si="182"/>
        <v>1559615028</v>
      </c>
      <c r="H445" s="18">
        <f t="shared" si="182"/>
        <v>1710636761</v>
      </c>
      <c r="I445" s="18">
        <f t="shared" si="182"/>
        <v>1698078031</v>
      </c>
      <c r="J445" s="18">
        <f t="shared" si="182"/>
        <v>1605181667</v>
      </c>
      <c r="K445" s="18">
        <f t="shared" si="182"/>
        <v>1671916335</v>
      </c>
      <c r="L445" s="18">
        <f t="shared" si="182"/>
        <v>1511900391</v>
      </c>
      <c r="M445" s="18">
        <f t="shared" si="182"/>
        <v>1771305956</v>
      </c>
      <c r="N445" s="18">
        <f t="shared" si="182"/>
        <v>1847362835</v>
      </c>
      <c r="O445" s="18">
        <f t="shared" si="182"/>
        <v>2055153553</v>
      </c>
      <c r="P445" s="18">
        <f t="shared" si="182"/>
        <v>2133680520</v>
      </c>
      <c r="Q445" s="19">
        <f t="shared" si="182"/>
        <v>1944952734.2469268</v>
      </c>
      <c r="R445" s="19">
        <f t="shared" si="182"/>
        <v>2009512713.1057982</v>
      </c>
      <c r="S445" s="19">
        <f t="shared" si="182"/>
        <v>2113653049.8256207</v>
      </c>
      <c r="T445" s="19">
        <f t="shared" si="182"/>
        <v>2127632024.1008644</v>
      </c>
      <c r="U445" s="19">
        <f t="shared" si="182"/>
        <v>2190804752.1417713</v>
      </c>
      <c r="V445" s="19">
        <f t="shared" si="182"/>
        <v>2306202228.8891468</v>
      </c>
      <c r="W445" s="19">
        <f t="shared" si="182"/>
        <v>2399305716.0675287</v>
      </c>
      <c r="X445" s="19">
        <f t="shared" si="182"/>
        <v>2581440961.9594049</v>
      </c>
      <c r="Y445" s="19">
        <f t="shared" si="182"/>
        <v>2609361625.201314</v>
      </c>
      <c r="Z445" s="19">
        <f t="shared" si="182"/>
        <v>2650136210.9202042</v>
      </c>
      <c r="AD445" s="23">
        <f t="shared" si="184"/>
        <v>1681533436.8</v>
      </c>
      <c r="AE445" s="23">
        <f t="shared" si="185"/>
        <v>373620116.20000005</v>
      </c>
      <c r="AF445" s="23">
        <f t="shared" si="183"/>
        <v>207790718</v>
      </c>
      <c r="AG445" s="23">
        <f>O445/30</f>
        <v>68505118.433333337</v>
      </c>
      <c r="AH445" s="23">
        <f>AD445/30</f>
        <v>56051114.559999995</v>
      </c>
      <c r="AI445" s="23">
        <f t="shared" si="186"/>
        <v>12454003.873333342</v>
      </c>
    </row>
    <row r="446" spans="1:35">
      <c r="A446" s="14" t="s">
        <v>73</v>
      </c>
      <c r="B446" s="18">
        <f t="shared" si="182"/>
        <v>1176005639</v>
      </c>
      <c r="C446" s="18">
        <f t="shared" si="182"/>
        <v>1286600765</v>
      </c>
      <c r="D446" s="18">
        <f t="shared" si="182"/>
        <v>1273915546</v>
      </c>
      <c r="E446" s="18">
        <f t="shared" si="182"/>
        <v>1472200389</v>
      </c>
      <c r="F446" s="18">
        <f t="shared" si="182"/>
        <v>1564347273</v>
      </c>
      <c r="G446" s="18">
        <f t="shared" si="182"/>
        <v>1589669168</v>
      </c>
      <c r="H446" s="18">
        <f t="shared" si="182"/>
        <v>1612460029</v>
      </c>
      <c r="I446" s="18">
        <f t="shared" si="182"/>
        <v>1669009996</v>
      </c>
      <c r="J446" s="18">
        <f t="shared" si="182"/>
        <v>1708780047</v>
      </c>
      <c r="K446" s="18">
        <f t="shared" si="182"/>
        <v>1798268356</v>
      </c>
      <c r="L446" s="18">
        <f t="shared" si="182"/>
        <v>1627169820</v>
      </c>
      <c r="M446" s="18">
        <f t="shared" si="182"/>
        <v>1700064292</v>
      </c>
      <c r="N446" s="18">
        <f t="shared" si="182"/>
        <v>1700922398</v>
      </c>
      <c r="O446" s="18">
        <f t="shared" si="182"/>
        <v>1989057633</v>
      </c>
      <c r="P446" s="19">
        <f t="shared" si="182"/>
        <v>2251194452</v>
      </c>
      <c r="Q446" s="19">
        <f t="shared" si="182"/>
        <v>1963182313.1096044</v>
      </c>
      <c r="R446" s="19">
        <f t="shared" si="182"/>
        <v>1996577240.2244992</v>
      </c>
      <c r="S446" s="19">
        <f t="shared" si="182"/>
        <v>2112059929.323015</v>
      </c>
      <c r="T446" s="19">
        <f t="shared" si="182"/>
        <v>2152195395.2457552</v>
      </c>
      <c r="U446" s="19">
        <f t="shared" si="182"/>
        <v>2230086995.1434426</v>
      </c>
      <c r="V446" s="19">
        <f t="shared" si="182"/>
        <v>2339684926.9684958</v>
      </c>
      <c r="W446" s="19">
        <f t="shared" si="182"/>
        <v>2433905857.165112</v>
      </c>
      <c r="X446" s="19">
        <f t="shared" si="182"/>
        <v>2627252273.8892698</v>
      </c>
      <c r="Y446" s="19">
        <f t="shared" si="182"/>
        <v>2662877631.5561104</v>
      </c>
      <c r="Z446" s="19">
        <f t="shared" si="182"/>
        <v>2709972827.1785007</v>
      </c>
      <c r="AD446" s="18">
        <f t="shared" si="184"/>
        <v>1707040982.5999999</v>
      </c>
      <c r="AE446" s="19">
        <f t="shared" si="185"/>
        <v>282016650.4000001</v>
      </c>
      <c r="AF446" s="19">
        <f t="shared" si="183"/>
        <v>288135235</v>
      </c>
      <c r="AG446" s="19">
        <f>O446/31</f>
        <v>64163149.451612905</v>
      </c>
      <c r="AH446" s="18">
        <f>AD446/31</f>
        <v>55065838.148387097</v>
      </c>
      <c r="AI446" s="19">
        <f t="shared" si="186"/>
        <v>9097311.3032258078</v>
      </c>
    </row>
    <row r="447" spans="1:35">
      <c r="A447" s="14" t="s">
        <v>74</v>
      </c>
      <c r="B447" s="18">
        <f t="shared" si="182"/>
        <v>1165194986</v>
      </c>
      <c r="C447" s="18">
        <f t="shared" si="182"/>
        <v>1359819789</v>
      </c>
      <c r="D447" s="18">
        <f t="shared" si="182"/>
        <v>1341352308</v>
      </c>
      <c r="E447" s="18">
        <f t="shared" si="182"/>
        <v>1498282458</v>
      </c>
      <c r="F447" s="18">
        <f t="shared" si="182"/>
        <v>1449477908</v>
      </c>
      <c r="G447" s="18">
        <f t="shared" si="182"/>
        <v>1576358735</v>
      </c>
      <c r="H447" s="18">
        <f t="shared" si="182"/>
        <v>1766955779</v>
      </c>
      <c r="I447" s="18">
        <f t="shared" si="182"/>
        <v>1752504967</v>
      </c>
      <c r="J447" s="18">
        <f t="shared" si="182"/>
        <v>1763096045</v>
      </c>
      <c r="K447" s="18">
        <f t="shared" si="182"/>
        <v>1648132282</v>
      </c>
      <c r="L447" s="18">
        <f t="shared" si="182"/>
        <v>1595704568</v>
      </c>
      <c r="M447" s="18">
        <f t="shared" si="182"/>
        <v>1716043312</v>
      </c>
      <c r="N447" s="18">
        <f t="shared" si="182"/>
        <v>1829005467</v>
      </c>
      <c r="O447" s="18">
        <f t="shared" si="182"/>
        <v>2048372183</v>
      </c>
      <c r="P447" s="19">
        <f t="shared" si="182"/>
        <v>2145904618</v>
      </c>
      <c r="Q447" s="19">
        <f t="shared" si="182"/>
        <v>1967162569.7397504</v>
      </c>
      <c r="R447" s="19">
        <f t="shared" si="182"/>
        <v>2010665237.5119781</v>
      </c>
      <c r="S447" s="19">
        <f t="shared" si="182"/>
        <v>2144389523.9185019</v>
      </c>
      <c r="T447" s="19">
        <f t="shared" si="182"/>
        <v>2170395977.1608658</v>
      </c>
      <c r="U447" s="19">
        <f t="shared" si="182"/>
        <v>2289123258.377593</v>
      </c>
      <c r="V447" s="19">
        <f t="shared" si="182"/>
        <v>1722677828.7291074</v>
      </c>
      <c r="W447" s="19">
        <f t="shared" si="182"/>
        <v>12538722160.777288</v>
      </c>
      <c r="X447" s="19">
        <f t="shared" si="182"/>
        <v>-140805767091.02118</v>
      </c>
      <c r="Y447" s="19">
        <f t="shared" si="182"/>
        <v>1908631991043.3994</v>
      </c>
      <c r="Z447" s="19">
        <f t="shared" si="182"/>
        <v>-23696417365966.91</v>
      </c>
      <c r="AD447" s="18">
        <f t="shared" si="184"/>
        <v>1710396334.8</v>
      </c>
      <c r="AE447" s="19">
        <f t="shared" si="185"/>
        <v>337975848.20000005</v>
      </c>
      <c r="AF447" s="19">
        <f t="shared" si="183"/>
        <v>219366716</v>
      </c>
      <c r="AG447" s="19">
        <f>O447/31</f>
        <v>66076522.032258064</v>
      </c>
      <c r="AH447" s="18">
        <f>AD447/31</f>
        <v>55174075.316129029</v>
      </c>
      <c r="AI447" s="19">
        <f t="shared" si="186"/>
        <v>10902446.716129035</v>
      </c>
    </row>
    <row r="448" spans="1:35">
      <c r="A448" s="14" t="s">
        <v>75</v>
      </c>
      <c r="B448" s="18">
        <f t="shared" si="182"/>
        <v>1168235487</v>
      </c>
      <c r="C448" s="18">
        <f t="shared" si="182"/>
        <v>1305025556</v>
      </c>
      <c r="D448" s="18">
        <f t="shared" si="182"/>
        <v>1211769085</v>
      </c>
      <c r="E448" s="18">
        <f t="shared" si="182"/>
        <v>1434331966</v>
      </c>
      <c r="F448" s="18">
        <f t="shared" si="182"/>
        <v>1397672472</v>
      </c>
      <c r="G448" s="18">
        <f t="shared" si="182"/>
        <v>1499886343</v>
      </c>
      <c r="H448" s="18">
        <f t="shared" si="182"/>
        <v>1669803497</v>
      </c>
      <c r="I448" s="18">
        <f t="shared" si="182"/>
        <v>1596639863</v>
      </c>
      <c r="J448" s="18">
        <f t="shared" si="182"/>
        <v>1588388032</v>
      </c>
      <c r="K448" s="18">
        <f t="shared" si="182"/>
        <v>1607782060</v>
      </c>
      <c r="L448" s="18">
        <f t="shared" si="182"/>
        <v>1641097155</v>
      </c>
      <c r="M448" s="18">
        <f t="shared" si="182"/>
        <v>1620386550</v>
      </c>
      <c r="N448" s="18">
        <f t="shared" si="182"/>
        <v>1717823375</v>
      </c>
      <c r="O448" s="18">
        <f t="shared" si="182"/>
        <v>1951931419</v>
      </c>
      <c r="P448" s="19">
        <f t="shared" si="182"/>
        <v>2084857880</v>
      </c>
      <c r="Q448" s="19">
        <f t="shared" si="182"/>
        <v>1890205750.3486309</v>
      </c>
      <c r="R448" s="19">
        <f t="shared" si="182"/>
        <v>1933517676.9987574</v>
      </c>
      <c r="S448" s="19">
        <f t="shared" si="182"/>
        <v>2074417522.440989</v>
      </c>
      <c r="T448" s="19">
        <f t="shared" si="182"/>
        <v>2116870696.0862997</v>
      </c>
      <c r="U448" s="19">
        <f t="shared" si="182"/>
        <v>2213546914.0151854</v>
      </c>
      <c r="V448" s="19">
        <f t="shared" si="182"/>
        <v>2350088794.9133377</v>
      </c>
      <c r="W448" s="19">
        <f t="shared" si="182"/>
        <v>2459666337.9061861</v>
      </c>
      <c r="X448" s="19">
        <f t="shared" si="182"/>
        <v>2682278941.9969449</v>
      </c>
      <c r="Y448" s="19">
        <f t="shared" si="182"/>
        <v>2725772368.045083</v>
      </c>
      <c r="Z448" s="19">
        <f t="shared" si="182"/>
        <v>2788385590.9399557</v>
      </c>
      <c r="AD448" s="18">
        <f t="shared" si="184"/>
        <v>1635095434.4000001</v>
      </c>
      <c r="AE448" s="19">
        <f t="shared" si="185"/>
        <v>316835984.5999999</v>
      </c>
      <c r="AF448" s="19">
        <f t="shared" si="183"/>
        <v>234108044</v>
      </c>
      <c r="AG448" s="19">
        <f>O448/30</f>
        <v>65064380.633333333</v>
      </c>
      <c r="AH448" s="18">
        <f>AD448/30</f>
        <v>54503181.146666668</v>
      </c>
      <c r="AI448" s="19">
        <f t="shared" si="186"/>
        <v>10561199.486666664</v>
      </c>
    </row>
    <row r="449" spans="1:35">
      <c r="A449" s="14" t="s">
        <v>76</v>
      </c>
      <c r="B449" s="18">
        <f t="shared" si="182"/>
        <v>1174890187</v>
      </c>
      <c r="C449" s="18">
        <f t="shared" si="182"/>
        <v>1311897298</v>
      </c>
      <c r="D449" s="18">
        <f t="shared" si="182"/>
        <v>1286913773</v>
      </c>
      <c r="E449" s="18">
        <f t="shared" si="182"/>
        <v>1490628154</v>
      </c>
      <c r="F449" s="18">
        <f t="shared" si="182"/>
        <v>1412195212</v>
      </c>
      <c r="G449" s="18">
        <f t="shared" si="182"/>
        <v>1545484408</v>
      </c>
      <c r="H449" s="18">
        <f t="shared" si="182"/>
        <v>1655168282</v>
      </c>
      <c r="I449" s="18">
        <f t="shared" si="182"/>
        <v>1677317830</v>
      </c>
      <c r="J449" s="18">
        <f t="shared" si="182"/>
        <v>1674200581</v>
      </c>
      <c r="K449" s="18">
        <f t="shared" si="182"/>
        <v>1726625762</v>
      </c>
      <c r="L449" s="18">
        <f t="shared" si="182"/>
        <v>1557910353</v>
      </c>
      <c r="M449" s="18">
        <f t="shared" si="182"/>
        <v>1705179890</v>
      </c>
      <c r="N449" s="18">
        <f t="shared" si="182"/>
        <v>1803671291</v>
      </c>
      <c r="O449" s="18">
        <f t="shared" si="182"/>
        <v>2107082214</v>
      </c>
      <c r="P449" s="19">
        <f t="shared" si="182"/>
        <v>2152923572</v>
      </c>
      <c r="Q449" s="19">
        <f t="shared" si="182"/>
        <v>1987327212.3660243</v>
      </c>
      <c r="R449" s="19">
        <f t="shared" si="182"/>
        <v>2055089905.1947424</v>
      </c>
      <c r="S449" s="19">
        <f t="shared" si="182"/>
        <v>2207705401.0653162</v>
      </c>
      <c r="T449" s="19">
        <f t="shared" si="182"/>
        <v>2250302240.6414261</v>
      </c>
      <c r="U449" s="19">
        <f t="shared" si="182"/>
        <v>2349269908.1363487</v>
      </c>
      <c r="V449" s="19">
        <f t="shared" si="182"/>
        <v>2111022251.4025278</v>
      </c>
      <c r="W449" s="19">
        <f t="shared" si="182"/>
        <v>8195983652.5879917</v>
      </c>
      <c r="X449" s="19">
        <f t="shared" si="182"/>
        <v>-77096131670.676727</v>
      </c>
      <c r="Y449" s="19">
        <f t="shared" si="182"/>
        <v>1064406412376.0004</v>
      </c>
      <c r="Z449" s="19">
        <f t="shared" si="182"/>
        <v>-13196868848032.855</v>
      </c>
      <c r="AD449" s="18">
        <f t="shared" si="184"/>
        <v>1693517575.4000001</v>
      </c>
      <c r="AE449" s="19">
        <f t="shared" si="185"/>
        <v>413564638.5999999</v>
      </c>
      <c r="AF449" s="19">
        <f t="shared" si="183"/>
        <v>303410923</v>
      </c>
      <c r="AG449" s="19">
        <f>O449/31</f>
        <v>67970394</v>
      </c>
      <c r="AH449" s="18">
        <f>AD449/31</f>
        <v>54629599.206451617</v>
      </c>
      <c r="AI449" s="19">
        <f t="shared" si="186"/>
        <v>13340794.793548383</v>
      </c>
    </row>
    <row r="450" spans="1:35">
      <c r="A450" s="14" t="s">
        <v>77</v>
      </c>
      <c r="B450" s="18">
        <f t="shared" si="182"/>
        <v>1192714687</v>
      </c>
      <c r="C450" s="18">
        <f t="shared" si="182"/>
        <v>1338724481</v>
      </c>
      <c r="D450" s="18">
        <f t="shared" si="182"/>
        <v>1284281284</v>
      </c>
      <c r="E450" s="18">
        <f t="shared" si="182"/>
        <v>1439959458</v>
      </c>
      <c r="F450" s="18">
        <f t="shared" si="182"/>
        <v>1405726066</v>
      </c>
      <c r="G450" s="18">
        <f t="shared" ref="G450:Z450" si="187">G14+G94+G238+G401</f>
        <v>1492715482</v>
      </c>
      <c r="H450" s="18">
        <f t="shared" si="187"/>
        <v>1659360931</v>
      </c>
      <c r="I450" s="18">
        <f t="shared" si="187"/>
        <v>1644733032</v>
      </c>
      <c r="J450" s="18">
        <f t="shared" si="187"/>
        <v>1606818292</v>
      </c>
      <c r="K450" s="18">
        <f t="shared" si="187"/>
        <v>1576868734</v>
      </c>
      <c r="L450" s="18">
        <f t="shared" si="187"/>
        <v>1613464173</v>
      </c>
      <c r="M450" s="18">
        <f t="shared" si="187"/>
        <v>1778059464</v>
      </c>
      <c r="N450" s="18">
        <f t="shared" si="187"/>
        <v>1935651909</v>
      </c>
      <c r="O450" s="18">
        <f t="shared" si="187"/>
        <v>1992086606</v>
      </c>
      <c r="P450" s="19">
        <f t="shared" si="187"/>
        <v>2033348387</v>
      </c>
      <c r="Q450" s="19">
        <f t="shared" si="187"/>
        <v>1999871062.4464707</v>
      </c>
      <c r="R450" s="19">
        <f t="shared" si="187"/>
        <v>2106363120.7115097</v>
      </c>
      <c r="S450" s="19">
        <f t="shared" si="187"/>
        <v>2240721131.1706781</v>
      </c>
      <c r="T450" s="19">
        <f t="shared" si="187"/>
        <v>2262648108.7363305</v>
      </c>
      <c r="U450" s="19">
        <f t="shared" si="187"/>
        <v>2355145599.1261687</v>
      </c>
      <c r="V450" s="19">
        <f t="shared" si="187"/>
        <v>2150205899.1027007</v>
      </c>
      <c r="W450" s="19">
        <f t="shared" si="187"/>
        <v>7762364796.8726807</v>
      </c>
      <c r="X450" s="19">
        <f t="shared" si="187"/>
        <v>-70836335960.673645</v>
      </c>
      <c r="Y450" s="19">
        <f t="shared" si="187"/>
        <v>981333165700.70422</v>
      </c>
      <c r="Z450" s="19">
        <f t="shared" si="187"/>
        <v>-12163930793540.098</v>
      </c>
      <c r="AD450" s="18">
        <f t="shared" si="184"/>
        <v>1702172514.4000001</v>
      </c>
      <c r="AE450" s="19">
        <f t="shared" si="185"/>
        <v>289914091.5999999</v>
      </c>
      <c r="AF450" s="19">
        <f t="shared" si="183"/>
        <v>56434697</v>
      </c>
      <c r="AG450" s="19">
        <f>O450/30</f>
        <v>66402886.866666667</v>
      </c>
      <c r="AH450" s="18">
        <f>AD450/30</f>
        <v>56739083.81333334</v>
      </c>
      <c r="AI450" s="19">
        <f t="shared" si="186"/>
        <v>9663803.0533333272</v>
      </c>
    </row>
    <row r="451" spans="1:35">
      <c r="A451" s="14" t="s">
        <v>78</v>
      </c>
      <c r="B451" s="18">
        <f t="shared" ref="B451:Z451" si="188">B15+B95+B239+B402</f>
        <v>1256360837</v>
      </c>
      <c r="C451" s="18">
        <f t="shared" si="188"/>
        <v>1488958012</v>
      </c>
      <c r="D451" s="18">
        <f t="shared" si="188"/>
        <v>1243392695</v>
      </c>
      <c r="E451" s="18">
        <f t="shared" si="188"/>
        <v>1596788631</v>
      </c>
      <c r="F451" s="18">
        <f t="shared" si="188"/>
        <v>1657876812</v>
      </c>
      <c r="G451" s="18">
        <f t="shared" si="188"/>
        <v>1628733661</v>
      </c>
      <c r="H451" s="18">
        <f t="shared" si="188"/>
        <v>1869904285</v>
      </c>
      <c r="I451" s="18">
        <f t="shared" si="188"/>
        <v>1697765353</v>
      </c>
      <c r="J451" s="18">
        <f t="shared" si="188"/>
        <v>1778946513</v>
      </c>
      <c r="K451" s="18">
        <f t="shared" si="188"/>
        <v>1787586357</v>
      </c>
      <c r="L451" s="18">
        <f t="shared" si="188"/>
        <v>1733106589</v>
      </c>
      <c r="M451" s="18">
        <f t="shared" si="188"/>
        <v>2006271795</v>
      </c>
      <c r="N451" s="18">
        <f t="shared" si="188"/>
        <v>1943341265</v>
      </c>
      <c r="O451" s="18">
        <f t="shared" si="188"/>
        <v>2241793683</v>
      </c>
      <c r="P451" s="19">
        <f t="shared" si="188"/>
        <v>2293820282</v>
      </c>
      <c r="Q451" s="19">
        <f t="shared" si="188"/>
        <v>2537686527.2331886</v>
      </c>
      <c r="R451" s="19">
        <f t="shared" si="188"/>
        <v>2320440090.0776949</v>
      </c>
      <c r="S451" s="19">
        <f t="shared" si="188"/>
        <v>2456570410.6072526</v>
      </c>
      <c r="T451" s="19">
        <f t="shared" si="188"/>
        <v>2498487814.5608878</v>
      </c>
      <c r="U451" s="19">
        <f t="shared" si="188"/>
        <v>2522357567.8040099</v>
      </c>
      <c r="V451" s="19">
        <f t="shared" si="188"/>
        <v>4114137748.9803143</v>
      </c>
      <c r="W451" s="19">
        <f t="shared" si="188"/>
        <v>-17997508696.948296</v>
      </c>
      <c r="X451" s="19">
        <f t="shared" si="188"/>
        <v>300148266247.55243</v>
      </c>
      <c r="Y451" s="19">
        <f t="shared" si="188"/>
        <v>-3942840269225.917</v>
      </c>
      <c r="Z451" s="19">
        <f t="shared" si="188"/>
        <v>49068962161585.414</v>
      </c>
      <c r="AD451" s="18">
        <f t="shared" si="184"/>
        <v>1849850503.8</v>
      </c>
      <c r="AE451" s="19">
        <f t="shared" si="185"/>
        <v>391943179.20000005</v>
      </c>
      <c r="AF451" s="19">
        <f t="shared" si="183"/>
        <v>298452418</v>
      </c>
      <c r="AG451" s="19">
        <f>O451/31</f>
        <v>72315925.258064523</v>
      </c>
      <c r="AH451" s="18">
        <f>AD451/31</f>
        <v>59672596.896774195</v>
      </c>
      <c r="AI451" s="19">
        <f t="shared" si="186"/>
        <v>12643328.361290328</v>
      </c>
    </row>
    <row r="452" spans="1:35">
      <c r="A452" s="14" t="s">
        <v>29</v>
      </c>
      <c r="B452" s="18">
        <f>SUM(B440:B451)</f>
        <v>7136178760</v>
      </c>
      <c r="C452" s="18">
        <f>SUM(C440:C451)</f>
        <v>15527883468</v>
      </c>
      <c r="D452" s="18">
        <f t="shared" ref="D452:Z452" si="189">SUM(D440:D451)</f>
        <v>15349190223</v>
      </c>
      <c r="E452" s="18">
        <f t="shared" si="189"/>
        <v>16619393956</v>
      </c>
      <c r="F452" s="18">
        <f t="shared" si="189"/>
        <v>17207280075</v>
      </c>
      <c r="G452" s="18">
        <f t="shared" si="189"/>
        <v>17905991526</v>
      </c>
      <c r="H452" s="18">
        <f t="shared" si="189"/>
        <v>19445156952</v>
      </c>
      <c r="I452" s="18">
        <f t="shared" si="189"/>
        <v>19315856461</v>
      </c>
      <c r="J452" s="18">
        <f t="shared" si="189"/>
        <v>19475793211</v>
      </c>
      <c r="K452" s="18">
        <f t="shared" si="189"/>
        <v>19765278636</v>
      </c>
      <c r="L452" s="18">
        <f t="shared" si="189"/>
        <v>18274841707</v>
      </c>
      <c r="M452" s="18">
        <f t="shared" si="189"/>
        <v>19888383188</v>
      </c>
      <c r="N452" s="18">
        <f t="shared" si="189"/>
        <v>21240008661</v>
      </c>
      <c r="O452" s="18">
        <f t="shared" si="189"/>
        <v>23703886315</v>
      </c>
      <c r="P452" s="19">
        <f t="shared" si="189"/>
        <v>25090350930</v>
      </c>
      <c r="Q452" s="19">
        <f t="shared" si="189"/>
        <v>23099494536.041119</v>
      </c>
      <c r="R452" s="19">
        <f t="shared" si="189"/>
        <v>23519571306.91766</v>
      </c>
      <c r="S452" s="19">
        <f t="shared" si="189"/>
        <v>24920010612.041744</v>
      </c>
      <c r="T452" s="19">
        <f t="shared" si="189"/>
        <v>25204897834.346069</v>
      </c>
      <c r="U452" s="19">
        <f t="shared" si="189"/>
        <v>26049382357.193142</v>
      </c>
      <c r="V452" s="19">
        <f t="shared" si="189"/>
        <v>27360759225.538589</v>
      </c>
      <c r="W452" s="19">
        <f t="shared" si="189"/>
        <v>28492586558.331886</v>
      </c>
      <c r="X452" s="19">
        <f t="shared" si="189"/>
        <v>30769805625.849426</v>
      </c>
      <c r="Y452" s="19">
        <f t="shared" si="189"/>
        <v>31090315620.946289</v>
      </c>
      <c r="Z452" s="19">
        <f t="shared" si="189"/>
        <v>31550270068.726563</v>
      </c>
      <c r="AD452" s="18">
        <f t="shared" si="184"/>
        <v>19728861080.599998</v>
      </c>
      <c r="AE452" s="19">
        <f t="shared" si="185"/>
        <v>3975025234.4000015</v>
      </c>
    </row>
    <row r="455" spans="1:35" ht="15.75">
      <c r="A455" s="15" t="s">
        <v>94</v>
      </c>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spans="1:35">
      <c r="B456" s="14">
        <f t="shared" ref="B456:Z456" si="190">B3</f>
        <v>2010</v>
      </c>
      <c r="C456" s="14">
        <f t="shared" si="190"/>
        <v>2011</v>
      </c>
      <c r="D456" s="14">
        <f t="shared" si="190"/>
        <v>2012</v>
      </c>
      <c r="E456" s="14">
        <f t="shared" si="190"/>
        <v>2013</v>
      </c>
      <c r="F456" s="14">
        <f t="shared" si="190"/>
        <v>2014</v>
      </c>
      <c r="G456" s="14">
        <f t="shared" si="190"/>
        <v>2015</v>
      </c>
      <c r="H456" s="14">
        <f t="shared" si="190"/>
        <v>2016</v>
      </c>
      <c r="I456" s="14">
        <f t="shared" si="190"/>
        <v>2017</v>
      </c>
      <c r="J456" s="14">
        <f t="shared" si="190"/>
        <v>2018</v>
      </c>
      <c r="K456" s="14">
        <f t="shared" si="190"/>
        <v>2019</v>
      </c>
      <c r="L456" s="14">
        <f t="shared" si="190"/>
        <v>2020</v>
      </c>
      <c r="M456" s="14">
        <f t="shared" si="190"/>
        <v>2021</v>
      </c>
      <c r="N456" s="14">
        <f t="shared" si="190"/>
        <v>2022</v>
      </c>
      <c r="O456" s="14">
        <f t="shared" si="190"/>
        <v>2023</v>
      </c>
      <c r="P456" s="14">
        <f t="shared" si="190"/>
        <v>2024</v>
      </c>
      <c r="Q456" s="14">
        <f t="shared" si="190"/>
        <v>2025</v>
      </c>
      <c r="R456" s="14">
        <f t="shared" si="190"/>
        <v>2026</v>
      </c>
      <c r="S456" s="14">
        <f t="shared" si="190"/>
        <v>2027</v>
      </c>
      <c r="T456" s="14">
        <f t="shared" si="190"/>
        <v>2028</v>
      </c>
      <c r="U456" s="14">
        <f t="shared" si="190"/>
        <v>2029</v>
      </c>
      <c r="V456" s="14">
        <f t="shared" si="190"/>
        <v>2030</v>
      </c>
      <c r="W456" s="14">
        <f t="shared" si="190"/>
        <v>2031</v>
      </c>
      <c r="X456" s="14">
        <f t="shared" si="190"/>
        <v>2032</v>
      </c>
      <c r="Y456" s="14">
        <f t="shared" si="190"/>
        <v>2033</v>
      </c>
      <c r="Z456" s="14">
        <f t="shared" si="190"/>
        <v>2034</v>
      </c>
      <c r="AD456" s="14" t="s">
        <v>37</v>
      </c>
      <c r="AE456" s="14" t="s">
        <v>38</v>
      </c>
      <c r="AF456" s="14" t="s">
        <v>39</v>
      </c>
      <c r="AG456" s="14" t="s">
        <v>40</v>
      </c>
      <c r="AH456" s="14" t="s">
        <v>41</v>
      </c>
      <c r="AI456" s="14" t="s">
        <v>42</v>
      </c>
    </row>
    <row r="457" spans="1:35">
      <c r="A457" s="14" t="s">
        <v>68</v>
      </c>
      <c r="B457" s="18">
        <f>B440</f>
        <v>145876</v>
      </c>
      <c r="C457" s="18">
        <f t="shared" ref="C457:Z457" si="191">C440</f>
        <v>1222887840</v>
      </c>
      <c r="D457" s="18">
        <f t="shared" si="191"/>
        <v>1283510640</v>
      </c>
      <c r="E457" s="18">
        <f t="shared" si="191"/>
        <v>1202111858</v>
      </c>
      <c r="F457" s="18">
        <f t="shared" si="191"/>
        <v>1317513167</v>
      </c>
      <c r="G457" s="18">
        <f t="shared" si="191"/>
        <v>1377255709</v>
      </c>
      <c r="H457" s="18">
        <f t="shared" si="191"/>
        <v>1444443331</v>
      </c>
      <c r="I457" s="18">
        <f t="shared" si="191"/>
        <v>1456163025</v>
      </c>
      <c r="J457" s="18">
        <f t="shared" si="191"/>
        <v>1518919986</v>
      </c>
      <c r="K457" s="18">
        <f t="shared" si="191"/>
        <v>1481865407</v>
      </c>
      <c r="L457" s="18">
        <f t="shared" si="191"/>
        <v>1569476341</v>
      </c>
      <c r="M457" s="18">
        <f t="shared" si="191"/>
        <v>1402130308</v>
      </c>
      <c r="N457" s="18">
        <f t="shared" si="191"/>
        <v>1578375991</v>
      </c>
      <c r="O457" s="18">
        <f t="shared" si="191"/>
        <v>1750096557</v>
      </c>
      <c r="P457" s="18">
        <f t="shared" si="191"/>
        <v>1900217627</v>
      </c>
      <c r="Q457" s="19">
        <f t="shared" si="191"/>
        <v>1746209869</v>
      </c>
      <c r="R457" s="19">
        <f t="shared" si="191"/>
        <v>1726965799.3446259</v>
      </c>
      <c r="S457" s="19">
        <f t="shared" si="191"/>
        <v>1808093663.0110998</v>
      </c>
      <c r="T457" s="19">
        <f t="shared" si="191"/>
        <v>1819331482.3538265</v>
      </c>
      <c r="U457" s="19">
        <f t="shared" si="191"/>
        <v>1864637691.8765855</v>
      </c>
      <c r="V457" s="19">
        <f t="shared" si="191"/>
        <v>1925698067.7514472</v>
      </c>
      <c r="W457" s="19">
        <f t="shared" si="191"/>
        <v>1996902015.7636871</v>
      </c>
      <c r="X457" s="19">
        <f t="shared" si="191"/>
        <v>2126778436.3017886</v>
      </c>
      <c r="Y457" s="19">
        <f t="shared" si="191"/>
        <v>2167008277.8934946</v>
      </c>
      <c r="Z457" s="19">
        <f t="shared" si="191"/>
        <v>2170726102.3016672</v>
      </c>
      <c r="AD457" s="18">
        <f>AVERAGE(J457:N457)</f>
        <v>1510153606.5999999</v>
      </c>
      <c r="AE457" s="18">
        <f>O457-AD457</f>
        <v>239942950.4000001</v>
      </c>
      <c r="AF457" s="18">
        <f t="shared" ref="AF457:AF468" si="192">O457-N457</f>
        <v>171720566</v>
      </c>
      <c r="AG457" s="18">
        <f>O457/31</f>
        <v>56454727.645161293</v>
      </c>
      <c r="AH457" s="18">
        <f>AD457/31</f>
        <v>48714632.47096774</v>
      </c>
      <c r="AI457" s="18">
        <f>AG457-AH457</f>
        <v>7740095.1741935536</v>
      </c>
    </row>
    <row r="458" spans="1:35">
      <c r="A458" s="14" t="s">
        <v>69</v>
      </c>
      <c r="B458" s="18">
        <f>B457+B441</f>
        <v>1959867</v>
      </c>
      <c r="C458" s="18">
        <f t="shared" ref="C458:Z468" si="193">C457+C441</f>
        <v>2344676450</v>
      </c>
      <c r="D458" s="18">
        <f t="shared" si="193"/>
        <v>2486039531</v>
      </c>
      <c r="E458" s="18">
        <f t="shared" si="193"/>
        <v>2294994722</v>
      </c>
      <c r="F458" s="18">
        <f t="shared" si="193"/>
        <v>2532356368</v>
      </c>
      <c r="G458" s="18">
        <f t="shared" si="193"/>
        <v>2632920230</v>
      </c>
      <c r="H458" s="18">
        <f t="shared" si="193"/>
        <v>2849593887</v>
      </c>
      <c r="I458" s="18">
        <f t="shared" si="193"/>
        <v>2845049670</v>
      </c>
      <c r="J458" s="18">
        <f t="shared" si="193"/>
        <v>2916442126</v>
      </c>
      <c r="K458" s="18">
        <f t="shared" si="193"/>
        <v>2966871467</v>
      </c>
      <c r="L458" s="18">
        <f t="shared" si="193"/>
        <v>3105221447</v>
      </c>
      <c r="M458" s="18">
        <f t="shared" si="193"/>
        <v>2662462794</v>
      </c>
      <c r="N458" s="18">
        <f t="shared" si="193"/>
        <v>3116758755</v>
      </c>
      <c r="O458" s="18">
        <f t="shared" si="193"/>
        <v>3464554154</v>
      </c>
      <c r="P458" s="18">
        <f t="shared" si="193"/>
        <v>3932963855</v>
      </c>
      <c r="Q458" s="19">
        <f t="shared" si="193"/>
        <v>3324626185</v>
      </c>
      <c r="R458" s="19">
        <f t="shared" si="193"/>
        <v>3446285513.554893</v>
      </c>
      <c r="S458" s="19">
        <f t="shared" si="193"/>
        <v>3670453712.2632833</v>
      </c>
      <c r="T458" s="19">
        <f t="shared" si="193"/>
        <v>3721112340.296433</v>
      </c>
      <c r="U458" s="19">
        <f t="shared" si="193"/>
        <v>3832347742.7137785</v>
      </c>
      <c r="V458" s="19">
        <f t="shared" si="193"/>
        <v>3968816861.9681883</v>
      </c>
      <c r="W458" s="19">
        <f t="shared" si="193"/>
        <v>4150695057.2546859</v>
      </c>
      <c r="X458" s="19">
        <f t="shared" si="193"/>
        <v>4462934790.7319412</v>
      </c>
      <c r="Y458" s="19">
        <f t="shared" si="193"/>
        <v>4521417949.7950125</v>
      </c>
      <c r="Z458" s="19">
        <f t="shared" si="193"/>
        <v>4556545057.3559418</v>
      </c>
      <c r="AD458" s="18">
        <f t="shared" ref="AD458:AD468" si="194">AVERAGE(J458:N458)</f>
        <v>2953551317.8000002</v>
      </c>
      <c r="AE458" s="18">
        <f t="shared" ref="AE458:AE468" si="195">O458-AD458</f>
        <v>511002836.19999981</v>
      </c>
      <c r="AF458" s="18">
        <f t="shared" si="192"/>
        <v>347795399</v>
      </c>
      <c r="AG458" s="18">
        <f>O458/28</f>
        <v>123734076.92857143</v>
      </c>
      <c r="AH458" s="18">
        <f>AD458/28</f>
        <v>105483975.63571429</v>
      </c>
      <c r="AI458" s="18">
        <f t="shared" ref="AI458:AI468" si="196">AG458-AH458</f>
        <v>18250101.29285714</v>
      </c>
    </row>
    <row r="459" spans="1:35">
      <c r="A459" s="14" t="s">
        <v>70</v>
      </c>
      <c r="B459" s="18">
        <f t="shared" ref="B459:B468" si="197">B458+B442</f>
        <v>2685941</v>
      </c>
      <c r="C459" s="18">
        <f t="shared" si="193"/>
        <v>3679611840</v>
      </c>
      <c r="D459" s="18">
        <f t="shared" si="193"/>
        <v>3808672611</v>
      </c>
      <c r="E459" s="18">
        <f t="shared" si="193"/>
        <v>3576420631</v>
      </c>
      <c r="F459" s="18">
        <f t="shared" si="193"/>
        <v>3926270928</v>
      </c>
      <c r="G459" s="18">
        <f t="shared" si="193"/>
        <v>4074334451</v>
      </c>
      <c r="H459" s="18">
        <f t="shared" si="193"/>
        <v>4369626704</v>
      </c>
      <c r="I459" s="18">
        <f t="shared" si="193"/>
        <v>4435072913</v>
      </c>
      <c r="J459" s="18">
        <f t="shared" si="193"/>
        <v>4493249297</v>
      </c>
      <c r="K459" s="18">
        <f t="shared" si="193"/>
        <v>4549242467</v>
      </c>
      <c r="L459" s="18">
        <f t="shared" si="193"/>
        <v>4683826491</v>
      </c>
      <c r="M459" s="18">
        <f t="shared" si="193"/>
        <v>4306933888</v>
      </c>
      <c r="N459" s="18">
        <f t="shared" si="193"/>
        <v>4932284340</v>
      </c>
      <c r="O459" s="18">
        <f t="shared" si="193"/>
        <v>5380087301</v>
      </c>
      <c r="P459" s="18">
        <f t="shared" si="193"/>
        <v>5852177594</v>
      </c>
      <c r="Q459" s="19">
        <f t="shared" si="193"/>
        <v>5165177704.345376</v>
      </c>
      <c r="R459" s="19">
        <f t="shared" si="193"/>
        <v>5300926510.1182632</v>
      </c>
      <c r="S459" s="19">
        <f t="shared" si="193"/>
        <v>5590358275.1287766</v>
      </c>
      <c r="T459" s="19">
        <f t="shared" si="193"/>
        <v>5625805013.7165022</v>
      </c>
      <c r="U459" s="19">
        <f t="shared" si="193"/>
        <v>5769782991.728714</v>
      </c>
      <c r="V459" s="19">
        <f t="shared" si="193"/>
        <v>5967216306.033639</v>
      </c>
      <c r="W459" s="19">
        <f t="shared" si="193"/>
        <v>6221636924.2791252</v>
      </c>
      <c r="X459" s="19">
        <f t="shared" si="193"/>
        <v>6660568353.3617573</v>
      </c>
      <c r="Y459" s="19">
        <f t="shared" si="193"/>
        <v>6722661518.1534653</v>
      </c>
      <c r="Z459" s="19">
        <f t="shared" si="193"/>
        <v>6766693344.8344507</v>
      </c>
      <c r="AD459" s="18">
        <f t="shared" si="194"/>
        <v>4593107296.6000004</v>
      </c>
      <c r="AE459" s="18">
        <f t="shared" si="195"/>
        <v>786980004.39999962</v>
      </c>
      <c r="AF459" s="18">
        <f t="shared" si="192"/>
        <v>447802961</v>
      </c>
      <c r="AG459" s="18">
        <f>O459/31</f>
        <v>173551203.25806451</v>
      </c>
      <c r="AH459" s="18">
        <f>AD459/31</f>
        <v>148164751.50322583</v>
      </c>
      <c r="AI459" s="18">
        <f t="shared" si="196"/>
        <v>25386451.754838675</v>
      </c>
    </row>
    <row r="460" spans="1:35">
      <c r="A460" s="14" t="s">
        <v>71</v>
      </c>
      <c r="B460" s="18">
        <f t="shared" si="197"/>
        <v>2685941</v>
      </c>
      <c r="C460" s="18">
        <f t="shared" si="193"/>
        <v>4862926736</v>
      </c>
      <c r="D460" s="18">
        <f t="shared" si="193"/>
        <v>5070674625</v>
      </c>
      <c r="E460" s="18">
        <f t="shared" si="193"/>
        <v>4879878922</v>
      </c>
      <c r="F460" s="18">
        <f t="shared" si="193"/>
        <v>5372783295</v>
      </c>
      <c r="G460" s="18">
        <f t="shared" si="193"/>
        <v>5513835731</v>
      </c>
      <c r="H460" s="18">
        <f t="shared" si="193"/>
        <v>5880239509</v>
      </c>
      <c r="I460" s="18">
        <f t="shared" si="193"/>
        <v>5918293628</v>
      </c>
      <c r="J460" s="18">
        <f t="shared" si="193"/>
        <v>6076967358</v>
      </c>
      <c r="K460" s="18">
        <f t="shared" si="193"/>
        <v>6236318627</v>
      </c>
      <c r="L460" s="18">
        <f t="shared" si="193"/>
        <v>5735645508</v>
      </c>
      <c r="M460" s="18">
        <f t="shared" si="193"/>
        <v>5880807466</v>
      </c>
      <c r="N460" s="18">
        <f t="shared" si="193"/>
        <v>6629518629</v>
      </c>
      <c r="O460" s="18">
        <f t="shared" si="193"/>
        <v>7213658503</v>
      </c>
      <c r="P460" s="18">
        <f t="shared" si="193"/>
        <v>7930613542</v>
      </c>
      <c r="Q460" s="19">
        <f t="shared" si="193"/>
        <v>6919764989.1091728</v>
      </c>
      <c r="R460" s="19">
        <f t="shared" si="193"/>
        <v>7101758265.1599731</v>
      </c>
      <c r="S460" s="19">
        <f t="shared" si="193"/>
        <v>7476772928.0100889</v>
      </c>
      <c r="T460" s="19">
        <f t="shared" si="193"/>
        <v>7514381680.943078</v>
      </c>
      <c r="U460" s="19">
        <f t="shared" si="193"/>
        <v>7717941814.6989117</v>
      </c>
      <c r="V460" s="19">
        <f t="shared" si="193"/>
        <v>7985155584.3543224</v>
      </c>
      <c r="W460" s="19">
        <f t="shared" si="193"/>
        <v>8320041284.7567701</v>
      </c>
      <c r="X460" s="19">
        <f t="shared" si="193"/>
        <v>8906136425.327198</v>
      </c>
      <c r="Y460" s="19">
        <f t="shared" si="193"/>
        <v>8976494768.1847172</v>
      </c>
      <c r="Z460" s="19">
        <f t="shared" si="193"/>
        <v>9038262016.7498856</v>
      </c>
      <c r="AD460" s="18">
        <f t="shared" si="194"/>
        <v>6111851517.6000004</v>
      </c>
      <c r="AE460" s="18">
        <f t="shared" si="195"/>
        <v>1101806985.3999996</v>
      </c>
      <c r="AF460" s="18">
        <f t="shared" si="192"/>
        <v>584139874</v>
      </c>
      <c r="AG460" s="18">
        <f>O460/30</f>
        <v>240455283.43333334</v>
      </c>
      <c r="AH460" s="18">
        <f>AD460/30</f>
        <v>203728383.92000002</v>
      </c>
      <c r="AI460" s="18">
        <f t="shared" si="196"/>
        <v>36726899.513333321</v>
      </c>
    </row>
    <row r="461" spans="1:35">
      <c r="A461" s="14" t="s">
        <v>47</v>
      </c>
      <c r="B461" s="18">
        <f t="shared" si="197"/>
        <v>2685941</v>
      </c>
      <c r="C461" s="18">
        <f t="shared" si="193"/>
        <v>6137095043</v>
      </c>
      <c r="D461" s="18">
        <f t="shared" si="193"/>
        <v>6403061877</v>
      </c>
      <c r="E461" s="18">
        <f t="shared" si="193"/>
        <v>6289498123</v>
      </c>
      <c r="F461" s="18">
        <f t="shared" si="193"/>
        <v>6849748214</v>
      </c>
      <c r="G461" s="18">
        <f t="shared" si="193"/>
        <v>7013528701</v>
      </c>
      <c r="H461" s="18">
        <f t="shared" si="193"/>
        <v>7500867388</v>
      </c>
      <c r="I461" s="18">
        <f t="shared" si="193"/>
        <v>7579807389</v>
      </c>
      <c r="J461" s="18">
        <f t="shared" si="193"/>
        <v>7750382034</v>
      </c>
      <c r="K461" s="18">
        <f t="shared" si="193"/>
        <v>7948098750</v>
      </c>
      <c r="L461" s="18">
        <f t="shared" si="193"/>
        <v>6994488658</v>
      </c>
      <c r="M461" s="18">
        <f t="shared" si="193"/>
        <v>7591071929</v>
      </c>
      <c r="N461" s="18">
        <f t="shared" si="193"/>
        <v>8462230121</v>
      </c>
      <c r="O461" s="18">
        <f t="shared" si="193"/>
        <v>9318409024</v>
      </c>
      <c r="P461" s="18">
        <f t="shared" si="193"/>
        <v>9994621219</v>
      </c>
      <c r="Q461" s="19">
        <f t="shared" si="193"/>
        <v>8809106366.5505199</v>
      </c>
      <c r="R461" s="19">
        <f t="shared" si="193"/>
        <v>9087405323.09268</v>
      </c>
      <c r="S461" s="19">
        <f t="shared" si="193"/>
        <v>9570493643.6903687</v>
      </c>
      <c r="T461" s="19">
        <f t="shared" si="193"/>
        <v>9626365577.8136406</v>
      </c>
      <c r="U461" s="19">
        <f t="shared" si="193"/>
        <v>9899047362.4486256</v>
      </c>
      <c r="V461" s="19">
        <f t="shared" si="193"/>
        <v>10266739546.552959</v>
      </c>
      <c r="W461" s="19">
        <f t="shared" si="193"/>
        <v>10700146733.903393</v>
      </c>
      <c r="X461" s="19">
        <f t="shared" si="193"/>
        <v>11468801922.822933</v>
      </c>
      <c r="Y461" s="19">
        <f t="shared" si="193"/>
        <v>11561004101.957005</v>
      </c>
      <c r="Z461" s="19">
        <f t="shared" si="193"/>
        <v>11656621394.131161</v>
      </c>
      <c r="AD461" s="18">
        <f t="shared" si="194"/>
        <v>7749254298.3999996</v>
      </c>
      <c r="AE461" s="18">
        <f t="shared" si="195"/>
        <v>1569154725.6000004</v>
      </c>
      <c r="AF461" s="18">
        <f t="shared" si="192"/>
        <v>856178903</v>
      </c>
      <c r="AG461" s="18">
        <f>O461/31</f>
        <v>300593839.48387098</v>
      </c>
      <c r="AH461" s="18">
        <f>AD461/31</f>
        <v>249975945.1096774</v>
      </c>
      <c r="AI461" s="18">
        <f t="shared" si="196"/>
        <v>50617894.374193579</v>
      </c>
    </row>
    <row r="462" spans="1:35">
      <c r="A462" s="14" t="s">
        <v>72</v>
      </c>
      <c r="B462" s="18">
        <f t="shared" si="197"/>
        <v>2776937</v>
      </c>
      <c r="C462" s="18">
        <f t="shared" si="193"/>
        <v>7436857567</v>
      </c>
      <c r="D462" s="18">
        <f t="shared" si="193"/>
        <v>7707565532</v>
      </c>
      <c r="E462" s="18">
        <f t="shared" si="193"/>
        <v>7687202900</v>
      </c>
      <c r="F462" s="18">
        <f t="shared" si="193"/>
        <v>8319984332</v>
      </c>
      <c r="G462" s="18">
        <f t="shared" si="193"/>
        <v>8573143729</v>
      </c>
      <c r="H462" s="18">
        <f t="shared" si="193"/>
        <v>9211504149</v>
      </c>
      <c r="I462" s="18">
        <f t="shared" si="193"/>
        <v>9277885420</v>
      </c>
      <c r="J462" s="18">
        <f t="shared" si="193"/>
        <v>9355563701</v>
      </c>
      <c r="K462" s="18">
        <f t="shared" si="193"/>
        <v>9620015085</v>
      </c>
      <c r="L462" s="18">
        <f t="shared" si="193"/>
        <v>8506389049</v>
      </c>
      <c r="M462" s="18">
        <f t="shared" si="193"/>
        <v>9362377885</v>
      </c>
      <c r="N462" s="18">
        <f t="shared" si="193"/>
        <v>10309592956</v>
      </c>
      <c r="O462" s="18">
        <f t="shared" si="193"/>
        <v>11373562577</v>
      </c>
      <c r="P462" s="18">
        <f>P461+P445</f>
        <v>12128301739</v>
      </c>
      <c r="Q462" s="19">
        <f t="shared" si="193"/>
        <v>10754059100.797447</v>
      </c>
      <c r="R462" s="19">
        <f t="shared" si="193"/>
        <v>11096918036.198479</v>
      </c>
      <c r="S462" s="19">
        <f t="shared" si="193"/>
        <v>11684146693.515989</v>
      </c>
      <c r="T462" s="19">
        <f t="shared" si="193"/>
        <v>11753997601.914505</v>
      </c>
      <c r="U462" s="19">
        <f t="shared" si="193"/>
        <v>12089852114.590397</v>
      </c>
      <c r="V462" s="19">
        <f t="shared" si="193"/>
        <v>12572941775.442106</v>
      </c>
      <c r="W462" s="19">
        <f t="shared" si="193"/>
        <v>13099452449.970921</v>
      </c>
      <c r="X462" s="19">
        <f t="shared" si="193"/>
        <v>14050242884.782337</v>
      </c>
      <c r="Y462" s="19">
        <f t="shared" si="193"/>
        <v>14170365727.158318</v>
      </c>
      <c r="Z462" s="19">
        <f t="shared" si="193"/>
        <v>14306757605.051365</v>
      </c>
      <c r="AD462" s="23">
        <f t="shared" si="194"/>
        <v>9430787735.2000008</v>
      </c>
      <c r="AE462" s="23">
        <f t="shared" si="195"/>
        <v>1942774841.7999992</v>
      </c>
      <c r="AF462" s="23">
        <f t="shared" si="192"/>
        <v>1063969621</v>
      </c>
      <c r="AG462" s="23">
        <f>O462/30</f>
        <v>379118752.56666666</v>
      </c>
      <c r="AH462" s="23">
        <f>AD462/30</f>
        <v>314359591.17333335</v>
      </c>
      <c r="AI462" s="23">
        <f t="shared" si="196"/>
        <v>64759161.393333316</v>
      </c>
    </row>
    <row r="463" spans="1:35">
      <c r="A463" s="14" t="s">
        <v>73</v>
      </c>
      <c r="B463" s="18">
        <f t="shared" si="197"/>
        <v>1178782576</v>
      </c>
      <c r="C463" s="18">
        <f t="shared" si="193"/>
        <v>8723458332</v>
      </c>
      <c r="D463" s="18">
        <f t="shared" si="193"/>
        <v>8981481078</v>
      </c>
      <c r="E463" s="18">
        <f t="shared" si="193"/>
        <v>9159403289</v>
      </c>
      <c r="F463" s="18">
        <f t="shared" si="193"/>
        <v>9884331605</v>
      </c>
      <c r="G463" s="18">
        <f t="shared" si="193"/>
        <v>10162812897</v>
      </c>
      <c r="H463" s="18">
        <f t="shared" si="193"/>
        <v>10823964178</v>
      </c>
      <c r="I463" s="18">
        <f t="shared" si="193"/>
        <v>10946895416</v>
      </c>
      <c r="J463" s="18">
        <f t="shared" si="193"/>
        <v>11064343748</v>
      </c>
      <c r="K463" s="18">
        <f t="shared" si="193"/>
        <v>11418283441</v>
      </c>
      <c r="L463" s="18">
        <f t="shared" si="193"/>
        <v>10133558869</v>
      </c>
      <c r="M463" s="18">
        <f t="shared" si="193"/>
        <v>11062442177</v>
      </c>
      <c r="N463" s="18">
        <f t="shared" si="193"/>
        <v>12010515354</v>
      </c>
      <c r="O463" s="18">
        <f t="shared" si="193"/>
        <v>13362620210</v>
      </c>
      <c r="P463" s="19">
        <f t="shared" si="193"/>
        <v>14379496191</v>
      </c>
      <c r="Q463" s="19">
        <f t="shared" si="193"/>
        <v>12717241413.907051</v>
      </c>
      <c r="R463" s="19">
        <f t="shared" si="193"/>
        <v>13093495276.422977</v>
      </c>
      <c r="S463" s="19">
        <f t="shared" si="193"/>
        <v>13796206622.839005</v>
      </c>
      <c r="T463" s="19">
        <f t="shared" si="193"/>
        <v>13906192997.160259</v>
      </c>
      <c r="U463" s="19">
        <f t="shared" si="193"/>
        <v>14319939109.733839</v>
      </c>
      <c r="V463" s="19">
        <f t="shared" si="193"/>
        <v>14912626702.410603</v>
      </c>
      <c r="W463" s="19">
        <f t="shared" si="193"/>
        <v>15533358307.136032</v>
      </c>
      <c r="X463" s="19">
        <f t="shared" si="193"/>
        <v>16677495158.671608</v>
      </c>
      <c r="Y463" s="19">
        <f t="shared" si="193"/>
        <v>16833243358.714428</v>
      </c>
      <c r="Z463" s="19">
        <f t="shared" si="193"/>
        <v>17016730432.229866</v>
      </c>
      <c r="AD463" s="18">
        <f t="shared" si="194"/>
        <v>11137828717.799999</v>
      </c>
      <c r="AE463" s="19">
        <f t="shared" si="195"/>
        <v>2224791492.2000008</v>
      </c>
      <c r="AF463" s="19">
        <f t="shared" si="192"/>
        <v>1352104856</v>
      </c>
      <c r="AG463" s="19">
        <f>O463/31</f>
        <v>431052264.83870965</v>
      </c>
      <c r="AH463" s="18">
        <f>AD463/31</f>
        <v>359284797.34838706</v>
      </c>
      <c r="AI463" s="19">
        <f t="shared" si="196"/>
        <v>71767467.49032259</v>
      </c>
    </row>
    <row r="464" spans="1:35">
      <c r="A464" s="14" t="s">
        <v>74</v>
      </c>
      <c r="B464" s="18">
        <f t="shared" si="197"/>
        <v>2343977562</v>
      </c>
      <c r="C464" s="18">
        <f t="shared" si="193"/>
        <v>10083278121</v>
      </c>
      <c r="D464" s="18">
        <f t="shared" si="193"/>
        <v>10322833386</v>
      </c>
      <c r="E464" s="18">
        <f t="shared" si="193"/>
        <v>10657685747</v>
      </c>
      <c r="F464" s="18">
        <f t="shared" si="193"/>
        <v>11333809513</v>
      </c>
      <c r="G464" s="18">
        <f t="shared" si="193"/>
        <v>11739171632</v>
      </c>
      <c r="H464" s="18">
        <f t="shared" si="193"/>
        <v>12590919957</v>
      </c>
      <c r="I464" s="18">
        <f t="shared" si="193"/>
        <v>12699400383</v>
      </c>
      <c r="J464" s="18">
        <f t="shared" si="193"/>
        <v>12827439793</v>
      </c>
      <c r="K464" s="18">
        <f t="shared" si="193"/>
        <v>13066415723</v>
      </c>
      <c r="L464" s="18">
        <f t="shared" si="193"/>
        <v>11729263437</v>
      </c>
      <c r="M464" s="18">
        <f t="shared" si="193"/>
        <v>12778485489</v>
      </c>
      <c r="N464" s="18">
        <f t="shared" si="193"/>
        <v>13839520821</v>
      </c>
      <c r="O464" s="18">
        <f t="shared" si="193"/>
        <v>15410992393</v>
      </c>
      <c r="P464" s="19">
        <f t="shared" si="193"/>
        <v>16525400809</v>
      </c>
      <c r="Q464" s="19">
        <f t="shared" si="193"/>
        <v>14684403983.646801</v>
      </c>
      <c r="R464" s="19">
        <f t="shared" si="193"/>
        <v>15104160513.934956</v>
      </c>
      <c r="S464" s="19">
        <f t="shared" si="193"/>
        <v>15940596146.757507</v>
      </c>
      <c r="T464" s="19">
        <f t="shared" si="193"/>
        <v>16076588974.321125</v>
      </c>
      <c r="U464" s="19">
        <f t="shared" si="193"/>
        <v>16609062368.111431</v>
      </c>
      <c r="V464" s="19">
        <f t="shared" si="193"/>
        <v>16635304531.139709</v>
      </c>
      <c r="W464" s="19">
        <f t="shared" si="193"/>
        <v>28072080467.913322</v>
      </c>
      <c r="X464" s="19">
        <f t="shared" si="193"/>
        <v>-124128271932.34958</v>
      </c>
      <c r="Y464" s="19">
        <f t="shared" si="193"/>
        <v>1925465234402.1138</v>
      </c>
      <c r="Z464" s="19">
        <f t="shared" si="193"/>
        <v>-23679400635534.68</v>
      </c>
      <c r="AD464" s="18">
        <f t="shared" si="194"/>
        <v>12848225052.6</v>
      </c>
      <c r="AE464" s="19">
        <f t="shared" si="195"/>
        <v>2562767340.3999996</v>
      </c>
      <c r="AF464" s="19">
        <f t="shared" si="192"/>
        <v>1571471572</v>
      </c>
      <c r="AG464" s="19">
        <f>O464/31</f>
        <v>497128786.87096775</v>
      </c>
      <c r="AH464" s="18">
        <f>AD464/31</f>
        <v>414458872.66451615</v>
      </c>
      <c r="AI464" s="19">
        <f t="shared" si="196"/>
        <v>82669914.206451595</v>
      </c>
    </row>
    <row r="465" spans="1:35">
      <c r="A465" s="14" t="s">
        <v>75</v>
      </c>
      <c r="B465" s="18">
        <f t="shared" si="197"/>
        <v>3512213049</v>
      </c>
      <c r="C465" s="18">
        <f t="shared" si="193"/>
        <v>11388303677</v>
      </c>
      <c r="D465" s="18">
        <f t="shared" si="193"/>
        <v>11534602471</v>
      </c>
      <c r="E465" s="18">
        <f t="shared" si="193"/>
        <v>12092017713</v>
      </c>
      <c r="F465" s="18">
        <f t="shared" si="193"/>
        <v>12731481985</v>
      </c>
      <c r="G465" s="18">
        <f t="shared" si="193"/>
        <v>13239057975</v>
      </c>
      <c r="H465" s="18">
        <f t="shared" si="193"/>
        <v>14260723454</v>
      </c>
      <c r="I465" s="18">
        <f t="shared" si="193"/>
        <v>14296040246</v>
      </c>
      <c r="J465" s="18">
        <f t="shared" si="193"/>
        <v>14415827825</v>
      </c>
      <c r="K465" s="18">
        <f t="shared" si="193"/>
        <v>14674197783</v>
      </c>
      <c r="L465" s="18">
        <f t="shared" si="193"/>
        <v>13370360592</v>
      </c>
      <c r="M465" s="18">
        <f t="shared" si="193"/>
        <v>14398872039</v>
      </c>
      <c r="N465" s="18">
        <f t="shared" si="193"/>
        <v>15557344196</v>
      </c>
      <c r="O465" s="18">
        <f t="shared" si="193"/>
        <v>17362923812</v>
      </c>
      <c r="P465" s="19">
        <f t="shared" si="193"/>
        <v>18610258689</v>
      </c>
      <c r="Q465" s="19">
        <f t="shared" si="193"/>
        <v>16574609733.995432</v>
      </c>
      <c r="R465" s="19">
        <f t="shared" si="193"/>
        <v>17037678190.933712</v>
      </c>
      <c r="S465" s="19">
        <f t="shared" si="193"/>
        <v>18015013669.198498</v>
      </c>
      <c r="T465" s="19">
        <f t="shared" si="193"/>
        <v>18193459670.407425</v>
      </c>
      <c r="U465" s="19">
        <f t="shared" si="193"/>
        <v>18822609282.126617</v>
      </c>
      <c r="V465" s="19">
        <f t="shared" si="193"/>
        <v>18985393326.053047</v>
      </c>
      <c r="W465" s="19">
        <f t="shared" si="193"/>
        <v>30531746805.819508</v>
      </c>
      <c r="X465" s="19">
        <f t="shared" si="193"/>
        <v>-121445992990.35263</v>
      </c>
      <c r="Y465" s="19">
        <f t="shared" si="193"/>
        <v>1928191006770.1589</v>
      </c>
      <c r="Z465" s="19">
        <f t="shared" si="193"/>
        <v>-23676612249943.738</v>
      </c>
      <c r="AD465" s="18">
        <f t="shared" si="194"/>
        <v>14483320487</v>
      </c>
      <c r="AE465" s="19">
        <f t="shared" si="195"/>
        <v>2879603325</v>
      </c>
      <c r="AF465" s="19">
        <f t="shared" si="192"/>
        <v>1805579616</v>
      </c>
      <c r="AG465" s="19">
        <f>O465/30</f>
        <v>578764127.06666672</v>
      </c>
      <c r="AH465" s="18">
        <f>AD465/30</f>
        <v>482777349.56666666</v>
      </c>
      <c r="AI465" s="19">
        <f t="shared" si="196"/>
        <v>95986777.50000006</v>
      </c>
    </row>
    <row r="466" spans="1:35">
      <c r="A466" s="14" t="s">
        <v>76</v>
      </c>
      <c r="B466" s="18">
        <f t="shared" si="197"/>
        <v>4687103236</v>
      </c>
      <c r="C466" s="18">
        <f t="shared" si="193"/>
        <v>12700200975</v>
      </c>
      <c r="D466" s="18">
        <f t="shared" si="193"/>
        <v>12821516244</v>
      </c>
      <c r="E466" s="18">
        <f t="shared" si="193"/>
        <v>13582645867</v>
      </c>
      <c r="F466" s="18">
        <f t="shared" si="193"/>
        <v>14143677197</v>
      </c>
      <c r="G466" s="18">
        <f t="shared" si="193"/>
        <v>14784542383</v>
      </c>
      <c r="H466" s="18">
        <f t="shared" si="193"/>
        <v>15915891736</v>
      </c>
      <c r="I466" s="18">
        <f t="shared" si="193"/>
        <v>15973358076</v>
      </c>
      <c r="J466" s="18">
        <f t="shared" si="193"/>
        <v>16090028406</v>
      </c>
      <c r="K466" s="18">
        <f t="shared" si="193"/>
        <v>16400823545</v>
      </c>
      <c r="L466" s="18">
        <f t="shared" si="193"/>
        <v>14928270945</v>
      </c>
      <c r="M466" s="18">
        <f t="shared" si="193"/>
        <v>16104051929</v>
      </c>
      <c r="N466" s="18">
        <f t="shared" si="193"/>
        <v>17361015487</v>
      </c>
      <c r="O466" s="18">
        <f t="shared" si="193"/>
        <v>19470006026</v>
      </c>
      <c r="P466" s="19">
        <f t="shared" si="193"/>
        <v>20763182261</v>
      </c>
      <c r="Q466" s="19">
        <f t="shared" si="193"/>
        <v>18561936946.361458</v>
      </c>
      <c r="R466" s="19">
        <f t="shared" si="193"/>
        <v>19092768096.128456</v>
      </c>
      <c r="S466" s="19">
        <f t="shared" si="193"/>
        <v>20222719070.263813</v>
      </c>
      <c r="T466" s="19">
        <f t="shared" si="193"/>
        <v>20443761911.048851</v>
      </c>
      <c r="U466" s="19">
        <f t="shared" si="193"/>
        <v>21171879190.262966</v>
      </c>
      <c r="V466" s="19">
        <f t="shared" si="193"/>
        <v>21096415577.455574</v>
      </c>
      <c r="W466" s="19">
        <f t="shared" si="193"/>
        <v>38727730458.407501</v>
      </c>
      <c r="X466" s="19">
        <f t="shared" si="193"/>
        <v>-198542124661.02936</v>
      </c>
      <c r="Y466" s="19">
        <f t="shared" si="193"/>
        <v>2992597419146.1592</v>
      </c>
      <c r="Z466" s="19">
        <f t="shared" si="193"/>
        <v>-36873481097976.594</v>
      </c>
      <c r="AD466" s="18">
        <f t="shared" si="194"/>
        <v>16176838062.4</v>
      </c>
      <c r="AE466" s="19">
        <f t="shared" si="195"/>
        <v>3293167963.6000004</v>
      </c>
      <c r="AF466" s="19">
        <f t="shared" si="192"/>
        <v>2108990539</v>
      </c>
      <c r="AG466" s="19">
        <f>O466/31</f>
        <v>628064710.51612902</v>
      </c>
      <c r="AH466" s="18">
        <f>AD466/31</f>
        <v>521833485.88387096</v>
      </c>
      <c r="AI466" s="19">
        <f t="shared" si="196"/>
        <v>106231224.63225806</v>
      </c>
    </row>
    <row r="467" spans="1:35">
      <c r="A467" s="14" t="s">
        <v>77</v>
      </c>
      <c r="B467" s="18">
        <f t="shared" si="197"/>
        <v>5879817923</v>
      </c>
      <c r="C467" s="18">
        <f t="shared" si="193"/>
        <v>14038925456</v>
      </c>
      <c r="D467" s="18">
        <f t="shared" si="193"/>
        <v>14105797528</v>
      </c>
      <c r="E467" s="18">
        <f t="shared" si="193"/>
        <v>15022605325</v>
      </c>
      <c r="F467" s="18">
        <f t="shared" si="193"/>
        <v>15549403263</v>
      </c>
      <c r="G467" s="18">
        <f t="shared" si="193"/>
        <v>16277257865</v>
      </c>
      <c r="H467" s="18">
        <f t="shared" si="193"/>
        <v>17575252667</v>
      </c>
      <c r="I467" s="18">
        <f t="shared" si="193"/>
        <v>17618091108</v>
      </c>
      <c r="J467" s="18">
        <f t="shared" si="193"/>
        <v>17696846698</v>
      </c>
      <c r="K467" s="18">
        <f t="shared" si="193"/>
        <v>17977692279</v>
      </c>
      <c r="L467" s="18">
        <f t="shared" si="193"/>
        <v>16541735118</v>
      </c>
      <c r="M467" s="18">
        <f t="shared" si="193"/>
        <v>17882111393</v>
      </c>
      <c r="N467" s="18">
        <f t="shared" si="193"/>
        <v>19296667396</v>
      </c>
      <c r="O467" s="18">
        <f t="shared" si="193"/>
        <v>21462092632</v>
      </c>
      <c r="P467" s="19">
        <f t="shared" si="193"/>
        <v>22796530648</v>
      </c>
      <c r="Q467" s="19">
        <f t="shared" si="193"/>
        <v>20561808008.80793</v>
      </c>
      <c r="R467" s="19">
        <f t="shared" si="193"/>
        <v>21199131216.839966</v>
      </c>
      <c r="S467" s="19">
        <f t="shared" si="193"/>
        <v>22463440201.43449</v>
      </c>
      <c r="T467" s="19">
        <f t="shared" si="193"/>
        <v>22706410019.785183</v>
      </c>
      <c r="U467" s="19">
        <f t="shared" si="193"/>
        <v>23527024789.389133</v>
      </c>
      <c r="V467" s="19">
        <f t="shared" si="193"/>
        <v>23246621476.558273</v>
      </c>
      <c r="W467" s="19">
        <f t="shared" si="193"/>
        <v>46490095255.280182</v>
      </c>
      <c r="X467" s="19">
        <f t="shared" si="193"/>
        <v>-269378460621.703</v>
      </c>
      <c r="Y467" s="19">
        <f t="shared" si="193"/>
        <v>3973930584846.8633</v>
      </c>
      <c r="Z467" s="19">
        <f t="shared" si="193"/>
        <v>-49037411891516.688</v>
      </c>
      <c r="AD467" s="18">
        <f t="shared" si="194"/>
        <v>17879010576.799999</v>
      </c>
      <c r="AE467" s="19">
        <f t="shared" si="195"/>
        <v>3583082055.2000008</v>
      </c>
      <c r="AF467" s="19">
        <f t="shared" si="192"/>
        <v>2165425236</v>
      </c>
      <c r="AG467" s="19">
        <f>O467/30</f>
        <v>715403087.73333335</v>
      </c>
      <c r="AH467" s="18">
        <f>AD467/30</f>
        <v>595967019.22666669</v>
      </c>
      <c r="AI467" s="19">
        <f t="shared" si="196"/>
        <v>119436068.50666666</v>
      </c>
    </row>
    <row r="468" spans="1:35">
      <c r="A468" s="14" t="s">
        <v>78</v>
      </c>
      <c r="B468" s="18">
        <f t="shared" si="197"/>
        <v>7136178760</v>
      </c>
      <c r="C468" s="18">
        <f t="shared" si="193"/>
        <v>15527883468</v>
      </c>
      <c r="D468" s="18">
        <f t="shared" si="193"/>
        <v>15349190223</v>
      </c>
      <c r="E468" s="18">
        <f t="shared" si="193"/>
        <v>16619393956</v>
      </c>
      <c r="F468" s="18">
        <f t="shared" si="193"/>
        <v>17207280075</v>
      </c>
      <c r="G468" s="18">
        <f t="shared" si="193"/>
        <v>17905991526</v>
      </c>
      <c r="H468" s="18">
        <f t="shared" si="193"/>
        <v>19445156952</v>
      </c>
      <c r="I468" s="18">
        <f t="shared" si="193"/>
        <v>19315856461</v>
      </c>
      <c r="J468" s="18">
        <f t="shared" si="193"/>
        <v>19475793211</v>
      </c>
      <c r="K468" s="18">
        <f t="shared" si="193"/>
        <v>19765278636</v>
      </c>
      <c r="L468" s="18">
        <f t="shared" si="193"/>
        <v>18274841707</v>
      </c>
      <c r="M468" s="18">
        <f t="shared" si="193"/>
        <v>19888383188</v>
      </c>
      <c r="N468" s="18">
        <f t="shared" si="193"/>
        <v>21240008661</v>
      </c>
      <c r="O468" s="18">
        <f t="shared" si="193"/>
        <v>23703886315</v>
      </c>
      <c r="P468" s="19">
        <f t="shared" si="193"/>
        <v>25090350930</v>
      </c>
      <c r="Q468" s="19">
        <f t="shared" si="193"/>
        <v>23099494536.041119</v>
      </c>
      <c r="R468" s="19">
        <f t="shared" si="193"/>
        <v>23519571306.91766</v>
      </c>
      <c r="S468" s="19">
        <f t="shared" ref="S468:Z468" si="198">S467+S451</f>
        <v>24920010612.041744</v>
      </c>
      <c r="T468" s="19">
        <f t="shared" si="198"/>
        <v>25204897834.346069</v>
      </c>
      <c r="U468" s="19">
        <f t="shared" si="198"/>
        <v>26049382357.193142</v>
      </c>
      <c r="V468" s="19">
        <f t="shared" si="198"/>
        <v>27360759225.538589</v>
      </c>
      <c r="W468" s="19">
        <f t="shared" si="198"/>
        <v>28492586558.331886</v>
      </c>
      <c r="X468" s="19">
        <f t="shared" si="198"/>
        <v>30769805625.849426</v>
      </c>
      <c r="Y468" s="19">
        <f t="shared" si="198"/>
        <v>31090315620.946289</v>
      </c>
      <c r="Z468" s="19">
        <f t="shared" si="198"/>
        <v>31550270068.726563</v>
      </c>
      <c r="AD468" s="18">
        <f t="shared" si="194"/>
        <v>19728861080.599998</v>
      </c>
      <c r="AE468" s="19">
        <f t="shared" si="195"/>
        <v>3975025234.4000015</v>
      </c>
      <c r="AF468" s="19">
        <f t="shared" si="192"/>
        <v>2463877654</v>
      </c>
      <c r="AG468" s="19">
        <f>O468/31</f>
        <v>764641494.03225803</v>
      </c>
      <c r="AH468" s="18">
        <f>AD468/31</f>
        <v>636414873.56774187</v>
      </c>
      <c r="AI468" s="19">
        <f t="shared" si="196"/>
        <v>128226620.46451616</v>
      </c>
    </row>
    <row r="469" spans="1:35">
      <c r="AD469" s="18"/>
      <c r="AE469" s="19"/>
    </row>
    <row r="471" spans="1:35" ht="15.75">
      <c r="A471" s="15" t="s">
        <v>95</v>
      </c>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spans="1:35">
      <c r="B472" s="14">
        <f t="shared" ref="B472:Z472" si="199">B3</f>
        <v>2010</v>
      </c>
      <c r="C472" s="14">
        <f t="shared" si="199"/>
        <v>2011</v>
      </c>
      <c r="D472" s="14">
        <f t="shared" si="199"/>
        <v>2012</v>
      </c>
      <c r="E472" s="14">
        <f t="shared" si="199"/>
        <v>2013</v>
      </c>
      <c r="F472" s="14">
        <f t="shared" si="199"/>
        <v>2014</v>
      </c>
      <c r="G472" s="14">
        <f t="shared" si="199"/>
        <v>2015</v>
      </c>
      <c r="H472" s="14">
        <f t="shared" si="199"/>
        <v>2016</v>
      </c>
      <c r="I472" s="14">
        <f t="shared" si="199"/>
        <v>2017</v>
      </c>
      <c r="J472" s="14">
        <f t="shared" si="199"/>
        <v>2018</v>
      </c>
      <c r="K472" s="14">
        <f t="shared" si="199"/>
        <v>2019</v>
      </c>
      <c r="L472" s="14">
        <f t="shared" si="199"/>
        <v>2020</v>
      </c>
      <c r="M472" s="14">
        <f t="shared" si="199"/>
        <v>2021</v>
      </c>
      <c r="N472" s="14">
        <f t="shared" si="199"/>
        <v>2022</v>
      </c>
      <c r="O472" s="14">
        <f t="shared" si="199"/>
        <v>2023</v>
      </c>
      <c r="P472" s="14">
        <f t="shared" si="199"/>
        <v>2024</v>
      </c>
      <c r="Q472" s="14">
        <f t="shared" si="199"/>
        <v>2025</v>
      </c>
      <c r="R472" s="14">
        <f t="shared" si="199"/>
        <v>2026</v>
      </c>
      <c r="S472" s="14">
        <f t="shared" si="199"/>
        <v>2027</v>
      </c>
      <c r="T472" s="14">
        <f t="shared" si="199"/>
        <v>2028</v>
      </c>
      <c r="U472" s="14">
        <f t="shared" si="199"/>
        <v>2029</v>
      </c>
      <c r="V472" s="14">
        <f t="shared" si="199"/>
        <v>2030</v>
      </c>
      <c r="W472" s="14">
        <f t="shared" si="199"/>
        <v>2031</v>
      </c>
      <c r="X472" s="14">
        <f t="shared" si="199"/>
        <v>2032</v>
      </c>
      <c r="Y472" s="14">
        <f t="shared" si="199"/>
        <v>2033</v>
      </c>
      <c r="Z472" s="14">
        <f t="shared" si="199"/>
        <v>2034</v>
      </c>
    </row>
    <row r="473" spans="1:35">
      <c r="A473" s="14" t="s">
        <v>68</v>
      </c>
      <c r="C473" s="26">
        <f>C440/B451-1</f>
        <v>-2.6642821086280022E-2</v>
      </c>
      <c r="D473" s="26">
        <f t="shared" ref="D473:Z473" si="200">D440/C451-1</f>
        <v>-0.13798063501068025</v>
      </c>
      <c r="E473" s="26">
        <f t="shared" si="200"/>
        <v>-3.3200160469014195E-2</v>
      </c>
      <c r="F473" s="26">
        <f t="shared" si="200"/>
        <v>-0.17489820416939084</v>
      </c>
      <c r="G473" s="26">
        <f t="shared" si="200"/>
        <v>-0.16926535250919472</v>
      </c>
      <c r="H473" s="26">
        <f t="shared" si="200"/>
        <v>-0.11314945740536275</v>
      </c>
      <c r="I473" s="26">
        <f t="shared" si="200"/>
        <v>-0.22126333594663106</v>
      </c>
      <c r="J473" s="26">
        <f t="shared" si="200"/>
        <v>-0.10534162844351558</v>
      </c>
      <c r="K473" s="26">
        <f t="shared" si="200"/>
        <v>-0.16699833515455442</v>
      </c>
      <c r="L473" s="26">
        <f>L440/K451-1</f>
        <v>-0.122013694692793</v>
      </c>
      <c r="M473" s="26">
        <f t="shared" si="200"/>
        <v>-0.19097283635103646</v>
      </c>
      <c r="N473" s="26">
        <f t="shared" si="200"/>
        <v>-0.21327908066414303</v>
      </c>
      <c r="O473" s="26">
        <f t="shared" si="200"/>
        <v>-9.9439409577915749E-2</v>
      </c>
      <c r="P473" s="26">
        <f t="shared" si="200"/>
        <v>-0.15236730239283125</v>
      </c>
      <c r="Q473" s="37">
        <f t="shared" si="200"/>
        <v>-0.23873291961763199</v>
      </c>
      <c r="R473" s="37">
        <f t="shared" si="200"/>
        <v>-0.31947236949414803</v>
      </c>
      <c r="S473" s="37">
        <f t="shared" si="200"/>
        <v>-0.22079709330028008</v>
      </c>
      <c r="T473" s="37">
        <f t="shared" si="200"/>
        <v>-0.25940185776963076</v>
      </c>
      <c r="U473" s="37">
        <f t="shared" si="200"/>
        <v>-0.25369350172144112</v>
      </c>
      <c r="V473" s="37">
        <f t="shared" si="200"/>
        <v>-0.2365483417848725</v>
      </c>
      <c r="W473" s="37">
        <f t="shared" si="200"/>
        <v>-0.51462441522318558</v>
      </c>
      <c r="X473" s="37">
        <f t="shared" si="200"/>
        <v>-1.1181707130755498</v>
      </c>
      <c r="Y473" s="37">
        <f t="shared" si="200"/>
        <v>-0.99278020724562099</v>
      </c>
      <c r="Z473" s="37">
        <f t="shared" si="200"/>
        <v>-1.0005505488313196</v>
      </c>
    </row>
    <row r="474" spans="1:35">
      <c r="A474" s="14" t="s">
        <v>69</v>
      </c>
      <c r="C474" s="26">
        <f t="shared" ref="C474:Z484" si="201">C441/C440-1</f>
        <v>-8.2672528659701094E-2</v>
      </c>
      <c r="D474" s="26">
        <f t="shared" si="201"/>
        <v>-6.309394443352645E-2</v>
      </c>
      <c r="E474" s="26">
        <f t="shared" si="201"/>
        <v>-9.0864251336584045E-2</v>
      </c>
      <c r="F474" s="26">
        <f t="shared" si="201"/>
        <v>-7.7927089133979055E-2</v>
      </c>
      <c r="G474" s="26">
        <f t="shared" si="201"/>
        <v>-8.828512178634218E-2</v>
      </c>
      <c r="H474" s="26">
        <f t="shared" si="201"/>
        <v>-2.7202711353720765E-2</v>
      </c>
      <c r="I474" s="26">
        <f t="shared" si="201"/>
        <v>-4.6201131909663795E-2</v>
      </c>
      <c r="J474" s="26">
        <f t="shared" si="201"/>
        <v>-7.9923792641438007E-2</v>
      </c>
      <c r="K474" s="26">
        <f t="shared" si="201"/>
        <v>2.1193915352664128E-3</v>
      </c>
      <c r="L474" s="26">
        <f t="shared" si="201"/>
        <v>-2.1492031525947031E-2</v>
      </c>
      <c r="M474" s="26">
        <f t="shared" si="201"/>
        <v>-0.10113027383471984</v>
      </c>
      <c r="N474" s="26">
        <f t="shared" si="201"/>
        <v>-2.5338212965759666E-2</v>
      </c>
      <c r="O474" s="26">
        <f t="shared" si="201"/>
        <v>-2.0363996407770757E-2</v>
      </c>
      <c r="P474" s="26">
        <f t="shared" si="201"/>
        <v>6.9743906759370367E-2</v>
      </c>
      <c r="Q474" s="37">
        <f t="shared" si="201"/>
        <v>-9.6090141270413376E-2</v>
      </c>
      <c r="R474" s="37">
        <f t="shared" si="201"/>
        <v>-4.4274676066315966E-3</v>
      </c>
      <c r="S474" s="37">
        <f t="shared" si="201"/>
        <v>3.0013039341508119E-2</v>
      </c>
      <c r="T474" s="37">
        <f t="shared" si="201"/>
        <v>4.531850099252277E-2</v>
      </c>
      <c r="U474" s="37">
        <f t="shared" si="201"/>
        <v>5.5277418991179328E-2</v>
      </c>
      <c r="V474" s="37">
        <f t="shared" si="201"/>
        <v>6.0975668216981305E-2</v>
      </c>
      <c r="W474" s="37">
        <f t="shared" si="201"/>
        <v>7.8567212857117097E-2</v>
      </c>
      <c r="X474" s="37">
        <f t="shared" si="201"/>
        <v>9.8448392439245858E-2</v>
      </c>
      <c r="Y474" s="37">
        <f t="shared" si="201"/>
        <v>8.6479316170491316E-2</v>
      </c>
      <c r="Z474" s="37">
        <f t="shared" si="201"/>
        <v>9.9087974537432455E-2</v>
      </c>
    </row>
    <row r="475" spans="1:35">
      <c r="A475" s="14" t="s">
        <v>70</v>
      </c>
      <c r="C475" s="26">
        <f t="shared" si="201"/>
        <v>0.19000619020369625</v>
      </c>
      <c r="D475" s="26">
        <f t="shared" si="201"/>
        <v>9.9876343844116366E-2</v>
      </c>
      <c r="E475" s="26">
        <f t="shared" si="201"/>
        <v>0.17251898735965532</v>
      </c>
      <c r="F475" s="26">
        <f t="shared" si="201"/>
        <v>0.1474028573009234</v>
      </c>
      <c r="G475" s="26">
        <f t="shared" si="201"/>
        <v>0.14792940064283311</v>
      </c>
      <c r="H475" s="26">
        <f t="shared" si="201"/>
        <v>8.1757972844583859E-2</v>
      </c>
      <c r="I475" s="26">
        <f t="shared" si="201"/>
        <v>0.14481858452890517</v>
      </c>
      <c r="J475" s="26">
        <f t="shared" si="201"/>
        <v>0.12828779299339033</v>
      </c>
      <c r="K475" s="26">
        <f t="shared" si="201"/>
        <v>6.5565348602011797E-2</v>
      </c>
      <c r="L475" s="26">
        <f t="shared" si="201"/>
        <v>2.7908236746156945E-2</v>
      </c>
      <c r="M475" s="26">
        <f t="shared" si="201"/>
        <v>0.30479148341178286</v>
      </c>
      <c r="N475" s="26">
        <f t="shared" si="201"/>
        <v>0.18015205804788903</v>
      </c>
      <c r="O475" s="26">
        <f t="shared" si="201"/>
        <v>0.11728231153214108</v>
      </c>
      <c r="P475" s="26">
        <f t="shared" si="201"/>
        <v>-5.5851776988268487E-2</v>
      </c>
      <c r="Q475" s="37">
        <f t="shared" si="201"/>
        <v>0.16607481859391537</v>
      </c>
      <c r="R475" s="37">
        <f t="shared" si="201"/>
        <v>7.8706293678055372E-2</v>
      </c>
      <c r="S475" s="37">
        <f t="shared" si="201"/>
        <v>3.0898704918212117E-2</v>
      </c>
      <c r="T475" s="37">
        <f t="shared" si="201"/>
        <v>1.5310993720976107E-3</v>
      </c>
      <c r="U475" s="37">
        <f t="shared" si="201"/>
        <v>-1.5385804330966368E-2</v>
      </c>
      <c r="V475" s="37">
        <f t="shared" si="201"/>
        <v>-2.1887787571566397E-2</v>
      </c>
      <c r="W475" s="37">
        <f t="shared" si="201"/>
        <v>-3.8467565300148276E-2</v>
      </c>
      <c r="X475" s="37">
        <f t="shared" si="201"/>
        <v>-5.9295171548620962E-2</v>
      </c>
      <c r="Y475" s="37">
        <f t="shared" si="201"/>
        <v>-6.5054992498124742E-2</v>
      </c>
      <c r="Z475" s="37">
        <f t="shared" si="201"/>
        <v>-7.3631181110206945E-2</v>
      </c>
    </row>
    <row r="476" spans="1:35">
      <c r="A476" s="14" t="s">
        <v>71</v>
      </c>
      <c r="C476" s="26">
        <f t="shared" si="201"/>
        <v>-0.11357890062379727</v>
      </c>
      <c r="D476" s="26">
        <f t="shared" si="201"/>
        <v>-4.5841183709090405E-2</v>
      </c>
      <c r="E476" s="26">
        <f t="shared" si="201"/>
        <v>1.7193644864878399E-2</v>
      </c>
      <c r="F476" s="26">
        <f t="shared" si="201"/>
        <v>3.7733881623275289E-2</v>
      </c>
      <c r="G476" s="26">
        <f t="shared" si="201"/>
        <v>-1.3271278804733999E-3</v>
      </c>
      <c r="H476" s="26">
        <f t="shared" si="201"/>
        <v>-6.1972425165081058E-3</v>
      </c>
      <c r="I476" s="26">
        <f t="shared" si="201"/>
        <v>-6.7170419344618315E-2</v>
      </c>
      <c r="J476" s="26">
        <f t="shared" si="201"/>
        <v>4.3828377541035302E-3</v>
      </c>
      <c r="K476" s="26">
        <f t="shared" si="201"/>
        <v>6.6169792039919795E-2</v>
      </c>
      <c r="L476" s="26">
        <f t="shared" si="201"/>
        <v>-0.33370349917620057</v>
      </c>
      <c r="M476" s="26">
        <f t="shared" si="201"/>
        <v>-4.2930226172768426E-2</v>
      </c>
      <c r="N476" s="26">
        <f t="shared" si="201"/>
        <v>-6.5155400164740751E-2</v>
      </c>
      <c r="O476" s="26">
        <f t="shared" si="201"/>
        <v>-4.2788058838012843E-2</v>
      </c>
      <c r="P476" s="26">
        <f t="shared" si="201"/>
        <v>8.2962207785653996E-2</v>
      </c>
      <c r="Q476" s="37">
        <f t="shared" si="201"/>
        <v>-4.6705693200130849E-2</v>
      </c>
      <c r="R476" s="37">
        <f t="shared" si="201"/>
        <v>-2.9013292395330792E-2</v>
      </c>
      <c r="S476" s="37">
        <f t="shared" si="201"/>
        <v>-1.7443528512790518E-2</v>
      </c>
      <c r="T476" s="37">
        <f t="shared" si="201"/>
        <v>-8.4612107865967845E-3</v>
      </c>
      <c r="U476" s="37">
        <f t="shared" si="201"/>
        <v>5.5349328245752893E-3</v>
      </c>
      <c r="V476" s="37">
        <f t="shared" si="201"/>
        <v>9.7777420391400582E-3</v>
      </c>
      <c r="W476" s="37">
        <f t="shared" si="201"/>
        <v>1.326087124437958E-2</v>
      </c>
      <c r="X476" s="37">
        <f t="shared" si="201"/>
        <v>2.1811875351168464E-2</v>
      </c>
      <c r="Y476" s="37">
        <f t="shared" si="201"/>
        <v>2.3890896231904657E-2</v>
      </c>
      <c r="Z476" s="37">
        <f t="shared" si="201"/>
        <v>2.779016448122551E-2</v>
      </c>
    </row>
    <row r="477" spans="1:35">
      <c r="A477" s="14" t="s">
        <v>47</v>
      </c>
      <c r="C477" s="26">
        <f t="shared" si="201"/>
        <v>7.6778726699980648E-2</v>
      </c>
      <c r="D477" s="26">
        <f t="shared" si="201"/>
        <v>5.5772682784323901E-2</v>
      </c>
      <c r="E477" s="26">
        <f t="shared" si="201"/>
        <v>8.1445575000757664E-2</v>
      </c>
      <c r="F477" s="26">
        <f t="shared" si="201"/>
        <v>2.10523965744982E-2</v>
      </c>
      <c r="G477" s="26">
        <f t="shared" si="201"/>
        <v>4.1814266396484223E-2</v>
      </c>
      <c r="H477" s="26">
        <f t="shared" si="201"/>
        <v>7.2828108987200046E-2</v>
      </c>
      <c r="I477" s="26">
        <f t="shared" si="201"/>
        <v>0.12020668548982605</v>
      </c>
      <c r="J477" s="26">
        <f t="shared" si="201"/>
        <v>5.6636731757269576E-2</v>
      </c>
      <c r="K477" s="26">
        <f t="shared" si="201"/>
        <v>1.4643063298339865E-2</v>
      </c>
      <c r="L477" s="26">
        <f t="shared" si="201"/>
        <v>0.19682486212359485</v>
      </c>
      <c r="M477" s="26">
        <f t="shared" si="201"/>
        <v>8.6659365089106322E-2</v>
      </c>
      <c r="N477" s="26">
        <f t="shared" si="201"/>
        <v>7.9822334416671747E-2</v>
      </c>
      <c r="O477" s="26">
        <f t="shared" si="201"/>
        <v>0.1478968030825345</v>
      </c>
      <c r="P477" s="26">
        <f t="shared" si="201"/>
        <v>-6.9418886898505727E-3</v>
      </c>
      <c r="Q477" s="37">
        <f t="shared" si="201"/>
        <v>7.6801019731367104E-2</v>
      </c>
      <c r="R477" s="37">
        <f t="shared" si="201"/>
        <v>0.10262774541462694</v>
      </c>
      <c r="S477" s="37">
        <f t="shared" si="201"/>
        <v>0.10989421783928921</v>
      </c>
      <c r="T477" s="37">
        <f t="shared" si="201"/>
        <v>0.1182939689560325</v>
      </c>
      <c r="U477" s="37">
        <f t="shared" si="201"/>
        <v>0.11957275866469708</v>
      </c>
      <c r="V477" s="37">
        <f t="shared" si="201"/>
        <v>0.13065045450592416</v>
      </c>
      <c r="W477" s="37">
        <f t="shared" si="201"/>
        <v>0.13424537900066857</v>
      </c>
      <c r="X477" s="37">
        <f t="shared" si="201"/>
        <v>0.14121033759299562</v>
      </c>
      <c r="Y477" s="37">
        <f t="shared" si="201"/>
        <v>0.1467171911393399</v>
      </c>
      <c r="Z477" s="37">
        <f t="shared" si="201"/>
        <v>0.15266573700957897</v>
      </c>
    </row>
    <row r="478" spans="1:35">
      <c r="A478" s="14" t="s">
        <v>72</v>
      </c>
      <c r="C478" s="26">
        <f t="shared" si="201"/>
        <v>2.0086998600884254E-2</v>
      </c>
      <c r="D478" s="26">
        <f t="shared" si="201"/>
        <v>-2.0927547121262879E-2</v>
      </c>
      <c r="E478" s="26">
        <f t="shared" si="201"/>
        <v>-8.4522287945196783E-3</v>
      </c>
      <c r="F478" s="26">
        <f t="shared" si="201"/>
        <v>-4.5558299411443404E-3</v>
      </c>
      <c r="G478" s="26">
        <f t="shared" si="201"/>
        <v>3.9956217171572161E-2</v>
      </c>
      <c r="H478" s="26">
        <f t="shared" si="201"/>
        <v>5.5539512288002468E-2</v>
      </c>
      <c r="I478" s="26">
        <f t="shared" si="201"/>
        <v>2.2006600762664474E-2</v>
      </c>
      <c r="J478" s="26">
        <f t="shared" si="201"/>
        <v>-4.0774716499498376E-2</v>
      </c>
      <c r="K478" s="26">
        <f t="shared" si="201"/>
        <v>-2.3287913829806772E-2</v>
      </c>
      <c r="L478" s="26">
        <f t="shared" si="201"/>
        <v>0.20102364698890396</v>
      </c>
      <c r="M478" s="26">
        <f t="shared" si="201"/>
        <v>3.5691259638831685E-2</v>
      </c>
      <c r="N478" s="26">
        <f t="shared" si="201"/>
        <v>7.9943532105051229E-3</v>
      </c>
      <c r="O478" s="26">
        <f t="shared" si="201"/>
        <v>-2.3564297766005882E-2</v>
      </c>
      <c r="P478" s="26">
        <f t="shared" si="201"/>
        <v>3.3756096828703841E-2</v>
      </c>
      <c r="Q478" s="37">
        <f t="shared" si="201"/>
        <v>2.9434255486900041E-2</v>
      </c>
      <c r="R478" s="37">
        <f t="shared" si="201"/>
        <v>1.201908218167369E-2</v>
      </c>
      <c r="S478" s="37">
        <f t="shared" si="201"/>
        <v>9.5200539384574512E-3</v>
      </c>
      <c r="T478" s="37">
        <f t="shared" si="201"/>
        <v>7.4092076428649012E-3</v>
      </c>
      <c r="U478" s="37">
        <f t="shared" si="201"/>
        <v>4.4469211506359407E-3</v>
      </c>
      <c r="V478" s="37">
        <f t="shared" si="201"/>
        <v>1.07899893663288E-2</v>
      </c>
      <c r="W478" s="37">
        <f t="shared" si="201"/>
        <v>8.0669816237726177E-3</v>
      </c>
      <c r="X478" s="37">
        <f t="shared" si="201"/>
        <v>7.3265373424733493E-3</v>
      </c>
      <c r="Y478" s="37">
        <f t="shared" si="201"/>
        <v>9.6158644522106318E-3</v>
      </c>
      <c r="Z478" s="37">
        <f t="shared" si="201"/>
        <v>1.2136161985032423E-2</v>
      </c>
    </row>
    <row r="479" spans="1:35">
      <c r="A479" s="14" t="s">
        <v>73</v>
      </c>
      <c r="C479" s="26">
        <f t="shared" si="201"/>
        <v>-1.012627980647951E-2</v>
      </c>
      <c r="D479" s="26">
        <f t="shared" si="201"/>
        <v>-2.3448082251636193E-2</v>
      </c>
      <c r="E479" s="26">
        <f t="shared" si="201"/>
        <v>5.3298531439447183E-2</v>
      </c>
      <c r="F479" s="26">
        <f t="shared" si="201"/>
        <v>6.4010912157444366E-2</v>
      </c>
      <c r="G479" s="26">
        <f t="shared" si="201"/>
        <v>1.9270229806993111E-2</v>
      </c>
      <c r="H479" s="26">
        <f t="shared" si="201"/>
        <v>-5.7391922258591022E-2</v>
      </c>
      <c r="I479" s="26">
        <f t="shared" si="201"/>
        <v>-1.7118197438124705E-2</v>
      </c>
      <c r="J479" s="26">
        <f t="shared" si="201"/>
        <v>6.4539972097750198E-2</v>
      </c>
      <c r="K479" s="26">
        <f t="shared" si="201"/>
        <v>7.5573172146798928E-2</v>
      </c>
      <c r="L479" s="26">
        <f t="shared" si="201"/>
        <v>7.6241417547196155E-2</v>
      </c>
      <c r="M479" s="26">
        <f t="shared" si="201"/>
        <v>-4.0219852340405038E-2</v>
      </c>
      <c r="N479" s="26">
        <f t="shared" si="201"/>
        <v>-7.9269991917965577E-2</v>
      </c>
      <c r="O479" s="26">
        <f t="shared" si="201"/>
        <v>-3.2161061592461904E-2</v>
      </c>
      <c r="P479" s="37">
        <f t="shared" si="201"/>
        <v>5.507569240028487E-2</v>
      </c>
      <c r="Q479" s="37">
        <f t="shared" si="201"/>
        <v>9.3727618885997011E-3</v>
      </c>
      <c r="R479" s="37">
        <f t="shared" si="201"/>
        <v>-6.4371192065297844E-3</v>
      </c>
      <c r="S479" s="37">
        <f t="shared" si="201"/>
        <v>-7.5372848099986012E-4</v>
      </c>
      <c r="T479" s="37">
        <f t="shared" si="201"/>
        <v>1.1544933929668266E-2</v>
      </c>
      <c r="U479" s="37">
        <f t="shared" si="201"/>
        <v>1.7930508395724631E-2</v>
      </c>
      <c r="V479" s="37">
        <f t="shared" si="201"/>
        <v>1.4518543803279993E-2</v>
      </c>
      <c r="W479" s="37">
        <f t="shared" si="201"/>
        <v>1.4420897206168792E-2</v>
      </c>
      <c r="X479" s="37">
        <f t="shared" si="201"/>
        <v>1.7746410863137552E-2</v>
      </c>
      <c r="Y479" s="37">
        <f t="shared" si="201"/>
        <v>2.0509233307463681E-2</v>
      </c>
      <c r="Z479" s="37">
        <f t="shared" si="201"/>
        <v>2.2578694639065144E-2</v>
      </c>
    </row>
    <row r="480" spans="1:35">
      <c r="A480" s="14" t="s">
        <v>74</v>
      </c>
      <c r="C480" s="26">
        <f t="shared" si="201"/>
        <v>5.6908892013599832E-2</v>
      </c>
      <c r="D480" s="26">
        <f t="shared" si="201"/>
        <v>5.2936603381398717E-2</v>
      </c>
      <c r="E480" s="26">
        <f t="shared" si="201"/>
        <v>1.7716385075619012E-2</v>
      </c>
      <c r="F480" s="26">
        <f t="shared" si="201"/>
        <v>-7.3429581131120081E-2</v>
      </c>
      <c r="G480" s="26">
        <f t="shared" si="201"/>
        <v>-8.3730837006458225E-3</v>
      </c>
      <c r="H480" s="26">
        <f t="shared" si="201"/>
        <v>9.5813692880073242E-2</v>
      </c>
      <c r="I480" s="26">
        <f t="shared" si="201"/>
        <v>5.0026645256832758E-2</v>
      </c>
      <c r="J480" s="26">
        <f t="shared" si="201"/>
        <v>3.1786418676505113E-2</v>
      </c>
      <c r="K480" s="26">
        <f t="shared" si="201"/>
        <v>-8.3489248698095819E-2</v>
      </c>
      <c r="L480" s="26">
        <f t="shared" si="201"/>
        <v>-1.9337411260491599E-2</v>
      </c>
      <c r="M480" s="26">
        <f t="shared" si="201"/>
        <v>9.3990680677151772E-3</v>
      </c>
      <c r="N480" s="26">
        <f t="shared" si="201"/>
        <v>7.5302123806826327E-2</v>
      </c>
      <c r="O480" s="26">
        <f t="shared" si="201"/>
        <v>2.9820428033821678E-2</v>
      </c>
      <c r="P480" s="37">
        <f t="shared" si="201"/>
        <v>-4.67706527556776E-2</v>
      </c>
      <c r="Q480" s="37">
        <f t="shared" si="201"/>
        <v>2.0274513495597279E-3</v>
      </c>
      <c r="R480" s="37">
        <f t="shared" si="201"/>
        <v>7.0560742673271282E-3</v>
      </c>
      <c r="S480" s="37">
        <f t="shared" si="201"/>
        <v>1.530713884896695E-2</v>
      </c>
      <c r="T480" s="37">
        <f t="shared" si="201"/>
        <v>8.4567516292042288E-3</v>
      </c>
      <c r="U480" s="37">
        <f t="shared" si="201"/>
        <v>2.6472627912146995E-2</v>
      </c>
      <c r="V480" s="37">
        <f t="shared" si="201"/>
        <v>-0.26371375526996188</v>
      </c>
      <c r="W480" s="37">
        <f t="shared" si="201"/>
        <v>4.1516874097101457</v>
      </c>
      <c r="X480" s="37">
        <f t="shared" si="201"/>
        <v>-54.594307821295921</v>
      </c>
      <c r="Y480" s="37">
        <f t="shared" si="201"/>
        <v>715.75542594424394</v>
      </c>
      <c r="Z480" s="37">
        <f t="shared" si="201"/>
        <v>-8745.1531251951819</v>
      </c>
    </row>
    <row r="481" spans="1:26">
      <c r="A481" s="14" t="s">
        <v>75</v>
      </c>
      <c r="C481" s="26">
        <f t="shared" si="201"/>
        <v>-4.0295216648005394E-2</v>
      </c>
      <c r="D481" s="26">
        <f t="shared" si="201"/>
        <v>-9.6606404020143533E-2</v>
      </c>
      <c r="E481" s="26">
        <f t="shared" si="201"/>
        <v>-4.2682534029908514E-2</v>
      </c>
      <c r="F481" s="26">
        <f t="shared" si="201"/>
        <v>-3.5740755836342175E-2</v>
      </c>
      <c r="G481" s="26">
        <f t="shared" si="201"/>
        <v>-4.8512048876996228E-2</v>
      </c>
      <c r="H481" s="26">
        <f t="shared" si="201"/>
        <v>-5.4982859873823675E-2</v>
      </c>
      <c r="I481" s="26">
        <f t="shared" si="201"/>
        <v>-8.893846632960789E-2</v>
      </c>
      <c r="J481" s="26">
        <f t="shared" si="201"/>
        <v>-9.9091602806017254E-2</v>
      </c>
      <c r="K481" s="26">
        <f t="shared" si="201"/>
        <v>-2.4482392852007706E-2</v>
      </c>
      <c r="L481" s="26">
        <f t="shared" si="201"/>
        <v>2.8446736263275429E-2</v>
      </c>
      <c r="M481" s="26">
        <f t="shared" si="201"/>
        <v>-5.5742626850434629E-2</v>
      </c>
      <c r="N481" s="26">
        <f t="shared" si="201"/>
        <v>-6.0788277567242477E-2</v>
      </c>
      <c r="O481" s="26">
        <f t="shared" si="201"/>
        <v>-4.7081660647605106E-2</v>
      </c>
      <c r="P481" s="37">
        <f t="shared" si="201"/>
        <v>-2.8448020237216376E-2</v>
      </c>
      <c r="Q481" s="37">
        <f t="shared" si="201"/>
        <v>-3.9120721680517057E-2</v>
      </c>
      <c r="R481" s="37">
        <f t="shared" si="201"/>
        <v>-3.8369172089872117E-2</v>
      </c>
      <c r="S481" s="37">
        <f t="shared" si="201"/>
        <v>-3.2630266421769805E-2</v>
      </c>
      <c r="T481" s="37">
        <f t="shared" si="201"/>
        <v>-2.4661527959788931E-2</v>
      </c>
      <c r="U481" s="37">
        <f t="shared" si="201"/>
        <v>-3.3015410631916819E-2</v>
      </c>
      <c r="V481" s="37">
        <f t="shared" si="201"/>
        <v>0.36420679230956265</v>
      </c>
      <c r="W481" s="37">
        <f t="shared" si="201"/>
        <v>-0.80383436953405552</v>
      </c>
      <c r="X481" s="37">
        <f t="shared" si="201"/>
        <v>-1.0190494963197285</v>
      </c>
      <c r="Y481" s="37">
        <f t="shared" si="201"/>
        <v>-0.99857187117221324</v>
      </c>
      <c r="Z481" s="37">
        <f t="shared" si="201"/>
        <v>-1.0001176711883437</v>
      </c>
    </row>
    <row r="482" spans="1:26">
      <c r="A482" s="14" t="s">
        <v>76</v>
      </c>
      <c r="C482" s="26">
        <f t="shared" si="201"/>
        <v>5.2655995650094933E-3</v>
      </c>
      <c r="D482" s="26">
        <f t="shared" si="201"/>
        <v>6.2012382499426533E-2</v>
      </c>
      <c r="E482" s="26">
        <f t="shared" si="201"/>
        <v>3.9249064606010409E-2</v>
      </c>
      <c r="F482" s="26">
        <f t="shared" si="201"/>
        <v>1.0390660395005691E-2</v>
      </c>
      <c r="G482" s="26">
        <f t="shared" si="201"/>
        <v>3.0401013525329423E-2</v>
      </c>
      <c r="H482" s="26">
        <f t="shared" si="201"/>
        <v>-8.7646330998191191E-3</v>
      </c>
      <c r="I482" s="26">
        <f t="shared" si="201"/>
        <v>5.0529846379014032E-2</v>
      </c>
      <c r="J482" s="26">
        <f t="shared" si="201"/>
        <v>5.4024927959165137E-2</v>
      </c>
      <c r="K482" s="26">
        <f t="shared" si="201"/>
        <v>7.3917793310867008E-2</v>
      </c>
      <c r="L482" s="26">
        <f t="shared" si="201"/>
        <v>-5.068974846891372E-2</v>
      </c>
      <c r="M482" s="26">
        <f t="shared" si="201"/>
        <v>5.2329081600930305E-2</v>
      </c>
      <c r="N482" s="26">
        <f t="shared" si="201"/>
        <v>4.9974821189052721E-2</v>
      </c>
      <c r="O482" s="26">
        <f t="shared" si="201"/>
        <v>7.948578187213462E-2</v>
      </c>
      <c r="P482" s="37">
        <f t="shared" si="201"/>
        <v>3.2647641190775012E-2</v>
      </c>
      <c r="Q482" s="37">
        <f t="shared" si="201"/>
        <v>5.1381423424132544E-2</v>
      </c>
      <c r="R482" s="37">
        <f t="shared" si="201"/>
        <v>6.2876191742240461E-2</v>
      </c>
      <c r="S482" s="37">
        <f t="shared" si="201"/>
        <v>6.425315886624694E-2</v>
      </c>
      <c r="T482" s="37">
        <f t="shared" si="201"/>
        <v>6.3032449172174987E-2</v>
      </c>
      <c r="U482" s="37">
        <f t="shared" si="201"/>
        <v>6.1314713169992707E-2</v>
      </c>
      <c r="V482" s="37">
        <f t="shared" si="201"/>
        <v>-0.1017266003004903</v>
      </c>
      <c r="W482" s="37">
        <f t="shared" si="201"/>
        <v>2.3321526282970964</v>
      </c>
      <c r="X482" s="37">
        <f t="shared" si="201"/>
        <v>-29.742771851043575</v>
      </c>
      <c r="Y482" s="37">
        <f t="shared" si="201"/>
        <v>389.49717608642055</v>
      </c>
      <c r="Z482" s="37">
        <f t="shared" si="201"/>
        <v>-4733.799111755643</v>
      </c>
    </row>
    <row r="483" spans="1:26">
      <c r="A483" s="14" t="s">
        <v>77</v>
      </c>
      <c r="C483" s="26">
        <f t="shared" si="201"/>
        <v>2.0449148756459978E-2</v>
      </c>
      <c r="D483" s="26">
        <f t="shared" si="201"/>
        <v>-2.0455830493314453E-3</v>
      </c>
      <c r="E483" s="26">
        <f t="shared" si="201"/>
        <v>-3.3991506107028724E-2</v>
      </c>
      <c r="F483" s="26">
        <f t="shared" si="201"/>
        <v>-4.5809148374311714E-3</v>
      </c>
      <c r="G483" s="26">
        <f t="shared" si="201"/>
        <v>-3.4143939419154612E-2</v>
      </c>
      <c r="H483" s="26">
        <f t="shared" si="201"/>
        <v>2.5330650941026711E-3</v>
      </c>
      <c r="I483" s="26">
        <f t="shared" si="201"/>
        <v>-1.9426728445377628E-2</v>
      </c>
      <c r="J483" s="26">
        <f t="shared" si="201"/>
        <v>-4.0247440936708179E-2</v>
      </c>
      <c r="K483" s="26">
        <f t="shared" si="201"/>
        <v>-8.6733924221385483E-2</v>
      </c>
      <c r="L483" s="26">
        <f t="shared" si="201"/>
        <v>3.5659189178005368E-2</v>
      </c>
      <c r="M483" s="26">
        <f t="shared" si="201"/>
        <v>4.2740108786997189E-2</v>
      </c>
      <c r="N483" s="26">
        <f t="shared" si="201"/>
        <v>7.3173320803274988E-2</v>
      </c>
      <c r="O483" s="26">
        <f t="shared" si="201"/>
        <v>-5.4575757526659108E-2</v>
      </c>
      <c r="P483" s="37">
        <f t="shared" si="201"/>
        <v>-5.5540840629525134E-2</v>
      </c>
      <c r="Q483" s="37">
        <f t="shared" si="201"/>
        <v>6.3119198501349061E-3</v>
      </c>
      <c r="R483" s="37">
        <f t="shared" si="201"/>
        <v>2.4949378315353377E-2</v>
      </c>
      <c r="S483" s="37">
        <f t="shared" si="201"/>
        <v>1.4954771632768704E-2</v>
      </c>
      <c r="T483" s="37">
        <f t="shared" si="201"/>
        <v>5.4863155143929365E-3</v>
      </c>
      <c r="U483" s="37">
        <f t="shared" si="201"/>
        <v>2.5010710644488565E-3</v>
      </c>
      <c r="V483" s="37">
        <f t="shared" si="201"/>
        <v>1.8561456504847307E-2</v>
      </c>
      <c r="W483" s="37">
        <f t="shared" si="201"/>
        <v>-5.2906261663710152E-2</v>
      </c>
      <c r="X483" s="37">
        <f t="shared" si="201"/>
        <v>-8.119467960782234E-2</v>
      </c>
      <c r="Y483" s="37">
        <f t="shared" si="201"/>
        <v>-7.8046548488802769E-2</v>
      </c>
      <c r="Z483" s="37">
        <f t="shared" si="201"/>
        <v>-7.8271449567882123E-2</v>
      </c>
    </row>
    <row r="484" spans="1:26" ht="14.25" thickBot="1">
      <c r="A484" s="14" t="s">
        <v>78</v>
      </c>
      <c r="C484" s="26">
        <f t="shared" si="201"/>
        <v>0.11222139665943698</v>
      </c>
      <c r="D484" s="26">
        <f t="shared" si="201"/>
        <v>-3.1837720839977601E-2</v>
      </c>
      <c r="E484" s="26">
        <f t="shared" si="201"/>
        <v>0.10891221424929864</v>
      </c>
      <c r="F484" s="26">
        <f t="shared" si="201"/>
        <v>0.17937402748566522</v>
      </c>
      <c r="G484" s="26">
        <f t="shared" si="201"/>
        <v>9.1121302512222391E-2</v>
      </c>
      <c r="H484" s="26">
        <f t="shared" si="201"/>
        <v>0.1268821930579731</v>
      </c>
      <c r="I484" s="26">
        <f t="shared" si="201"/>
        <v>3.2243725862009631E-2</v>
      </c>
      <c r="J484" s="26">
        <f t="shared" si="201"/>
        <v>0.10712363797262525</v>
      </c>
      <c r="K484" s="26">
        <f t="shared" si="201"/>
        <v>0.13363041479393045</v>
      </c>
      <c r="L484" s="26">
        <f t="shared" si="201"/>
        <v>7.4152508622204127E-2</v>
      </c>
      <c r="M484" s="26">
        <f t="shared" si="201"/>
        <v>0.12834909946521345</v>
      </c>
      <c r="N484" s="26">
        <f t="shared" si="201"/>
        <v>3.9724890432248916E-3</v>
      </c>
      <c r="O484" s="26">
        <f t="shared" si="201"/>
        <v>0.12534950852432969</v>
      </c>
      <c r="P484" s="37">
        <f t="shared" si="201"/>
        <v>0.12809998358633456</v>
      </c>
      <c r="Q484" s="37">
        <f t="shared" si="201"/>
        <v>0.2689250696636416</v>
      </c>
      <c r="R484" s="37">
        <f t="shared" ref="R484:Z484" si="202">R451/R450-1</f>
        <v>0.10163345876178842</v>
      </c>
      <c r="S484" s="37">
        <f t="shared" si="202"/>
        <v>9.6330273515027987E-2</v>
      </c>
      <c r="T484" s="37">
        <f t="shared" si="202"/>
        <v>0.10423172074966258</v>
      </c>
      <c r="U484" s="37">
        <f t="shared" si="202"/>
        <v>7.0998569574586723E-2</v>
      </c>
      <c r="V484" s="37">
        <f t="shared" si="202"/>
        <v>0.91336920371076058</v>
      </c>
      <c r="W484" s="37">
        <f t="shared" si="202"/>
        <v>-3.3185600223528753</v>
      </c>
      <c r="X484" s="37">
        <f t="shared" si="202"/>
        <v>-5.237207672827493</v>
      </c>
      <c r="Y484" s="37">
        <f t="shared" si="202"/>
        <v>-5.0178406345928392</v>
      </c>
      <c r="Z484" s="37">
        <f t="shared" si="202"/>
        <v>-5.0339724875485548</v>
      </c>
    </row>
    <row r="485" spans="1:26" ht="14.25" thickTop="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7" spans="1:26" ht="15.75">
      <c r="A487" s="15" t="s">
        <v>96</v>
      </c>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c r="B488" s="14">
        <f t="shared" ref="B488:Z488" si="203">B3</f>
        <v>2010</v>
      </c>
      <c r="C488" s="14">
        <f t="shared" si="203"/>
        <v>2011</v>
      </c>
      <c r="D488" s="14">
        <f t="shared" si="203"/>
        <v>2012</v>
      </c>
      <c r="E488" s="14">
        <f t="shared" si="203"/>
        <v>2013</v>
      </c>
      <c r="F488" s="14">
        <f t="shared" si="203"/>
        <v>2014</v>
      </c>
      <c r="G488" s="14">
        <f t="shared" si="203"/>
        <v>2015</v>
      </c>
      <c r="H488" s="14">
        <f t="shared" si="203"/>
        <v>2016</v>
      </c>
      <c r="I488" s="14">
        <f t="shared" si="203"/>
        <v>2017</v>
      </c>
      <c r="J488" s="14">
        <f t="shared" si="203"/>
        <v>2018</v>
      </c>
      <c r="K488" s="14">
        <f t="shared" si="203"/>
        <v>2019</v>
      </c>
      <c r="L488" s="14">
        <f t="shared" si="203"/>
        <v>2020</v>
      </c>
      <c r="M488" s="14">
        <f t="shared" si="203"/>
        <v>2021</v>
      </c>
      <c r="N488" s="14">
        <f t="shared" si="203"/>
        <v>2022</v>
      </c>
      <c r="O488" s="14">
        <f t="shared" si="203"/>
        <v>2023</v>
      </c>
      <c r="P488" s="14">
        <f t="shared" si="203"/>
        <v>2024</v>
      </c>
      <c r="Q488" s="14">
        <f t="shared" si="203"/>
        <v>2025</v>
      </c>
      <c r="R488" s="14">
        <f t="shared" si="203"/>
        <v>2026</v>
      </c>
      <c r="S488" s="14">
        <f t="shared" si="203"/>
        <v>2027</v>
      </c>
      <c r="T488" s="14">
        <f t="shared" si="203"/>
        <v>2028</v>
      </c>
      <c r="U488" s="14">
        <f t="shared" si="203"/>
        <v>2029</v>
      </c>
      <c r="V488" s="14">
        <f t="shared" si="203"/>
        <v>2030</v>
      </c>
      <c r="W488" s="14">
        <f t="shared" si="203"/>
        <v>2031</v>
      </c>
      <c r="X488" s="14">
        <f t="shared" si="203"/>
        <v>2032</v>
      </c>
      <c r="Y488" s="14">
        <f t="shared" si="203"/>
        <v>2033</v>
      </c>
      <c r="Z488" s="14">
        <f t="shared" si="203"/>
        <v>2034</v>
      </c>
    </row>
    <row r="489" spans="1:26">
      <c r="A489" s="14" t="s">
        <v>68</v>
      </c>
      <c r="C489" s="26">
        <f>C457/B457-1</f>
        <v>8382.0639721407224</v>
      </c>
      <c r="D489" s="26">
        <f t="shared" ref="D489:I489" si="204">D457/C457-1</f>
        <v>4.9573475192949745E-2</v>
      </c>
      <c r="E489" s="26">
        <f t="shared" si="204"/>
        <v>-6.3418860322030479E-2</v>
      </c>
      <c r="F489" s="26">
        <f t="shared" si="204"/>
        <v>9.5998810952582669E-2</v>
      </c>
      <c r="G489" s="26">
        <f t="shared" si="204"/>
        <v>4.534492974824289E-2</v>
      </c>
      <c r="H489" s="26">
        <f t="shared" si="204"/>
        <v>4.8783694676991951E-2</v>
      </c>
      <c r="I489" s="26">
        <f t="shared" si="204"/>
        <v>8.1136405620609864E-3</v>
      </c>
      <c r="J489" s="26">
        <f>J457/I457-1</f>
        <v>4.309748285223769E-2</v>
      </c>
      <c r="K489" s="26">
        <f t="shared" ref="K489:Z500" si="205">K457/J457-1</f>
        <v>-2.4395346260194684E-2</v>
      </c>
      <c r="L489" s="26">
        <f t="shared" si="205"/>
        <v>5.9122058984672599E-2</v>
      </c>
      <c r="M489" s="26">
        <f t="shared" si="205"/>
        <v>-0.10662539385166814</v>
      </c>
      <c r="N489" s="26">
        <f t="shared" si="205"/>
        <v>0.12569850462144072</v>
      </c>
      <c r="O489" s="26">
        <f t="shared" si="205"/>
        <v>0.10879572863447096</v>
      </c>
      <c r="P489" s="26">
        <f t="shared" si="205"/>
        <v>8.577873569292449E-2</v>
      </c>
      <c r="Q489" s="37">
        <f t="shared" si="205"/>
        <v>-8.1047431521379054E-2</v>
      </c>
      <c r="R489" s="37">
        <f t="shared" si="205"/>
        <v>-1.1020479265985705E-2</v>
      </c>
      <c r="S489" s="37">
        <f t="shared" si="205"/>
        <v>4.6977110778488651E-2</v>
      </c>
      <c r="T489" s="37">
        <f t="shared" si="205"/>
        <v>6.2152860621234041E-3</v>
      </c>
      <c r="U489" s="37">
        <f t="shared" si="205"/>
        <v>2.4902668899096092E-2</v>
      </c>
      <c r="V489" s="37">
        <f t="shared" si="205"/>
        <v>3.2746509491294207E-2</v>
      </c>
      <c r="W489" s="37">
        <f t="shared" si="205"/>
        <v>3.6975655324503531E-2</v>
      </c>
      <c r="X489" s="37">
        <f t="shared" si="205"/>
        <v>6.5038955097870499E-2</v>
      </c>
      <c r="Y489" s="37">
        <f t="shared" si="205"/>
        <v>1.8915859266309232E-2</v>
      </c>
      <c r="Z489" s="37">
        <f t="shared" si="205"/>
        <v>1.715648456953156E-3</v>
      </c>
    </row>
    <row r="490" spans="1:26">
      <c r="A490" s="14" t="s">
        <v>69</v>
      </c>
      <c r="C490" s="26">
        <f t="shared" ref="C490:P500" si="206">C458/B458-1</f>
        <v>1195.3446754295062</v>
      </c>
      <c r="D490" s="26">
        <f t="shared" si="206"/>
        <v>6.0291082379404726E-2</v>
      </c>
      <c r="E490" s="26">
        <f t="shared" si="206"/>
        <v>-7.6847051954621604E-2</v>
      </c>
      <c r="F490" s="26">
        <f t="shared" si="206"/>
        <v>0.10342579166942412</v>
      </c>
      <c r="G490" s="26">
        <f t="shared" si="206"/>
        <v>3.9711575855108983E-2</v>
      </c>
      <c r="H490" s="26">
        <f t="shared" si="206"/>
        <v>8.2294045421953399E-2</v>
      </c>
      <c r="I490" s="26">
        <f t="shared" si="206"/>
        <v>-1.5946893417798647E-3</v>
      </c>
      <c r="J490" s="26">
        <f t="shared" si="206"/>
        <v>2.5093571037724693E-2</v>
      </c>
      <c r="K490" s="26">
        <f t="shared" si="206"/>
        <v>1.7291390955583852E-2</v>
      </c>
      <c r="L490" s="26">
        <f t="shared" si="206"/>
        <v>4.6631605561225919E-2</v>
      </c>
      <c r="M490" s="26">
        <f t="shared" si="206"/>
        <v>-0.14258521028436011</v>
      </c>
      <c r="N490" s="26">
        <f t="shared" si="206"/>
        <v>0.17062997538361091</v>
      </c>
      <c r="O490" s="26">
        <f t="shared" si="206"/>
        <v>0.11158880950989736</v>
      </c>
      <c r="P490" s="26">
        <f t="shared" si="206"/>
        <v>0.13520057132292118</v>
      </c>
      <c r="Q490" s="37">
        <f t="shared" si="205"/>
        <v>-0.1546766490687721</v>
      </c>
      <c r="R490" s="37">
        <f t="shared" si="205"/>
        <v>3.6593385777863974E-2</v>
      </c>
      <c r="S490" s="37">
        <f t="shared" si="205"/>
        <v>6.5046322432280812E-2</v>
      </c>
      <c r="T490" s="37">
        <f t="shared" si="205"/>
        <v>1.3801734609510286E-2</v>
      </c>
      <c r="U490" s="37">
        <f t="shared" si="205"/>
        <v>2.9893051390242231E-2</v>
      </c>
      <c r="V490" s="37">
        <f t="shared" si="205"/>
        <v>3.5609795461247096E-2</v>
      </c>
      <c r="W490" s="37">
        <f t="shared" si="205"/>
        <v>4.5826804715877412E-2</v>
      </c>
      <c r="X490" s="37">
        <f t="shared" si="205"/>
        <v>7.5225890885796343E-2</v>
      </c>
      <c r="Y490" s="37">
        <f t="shared" si="205"/>
        <v>1.3104193049049639E-2</v>
      </c>
      <c r="Z490" s="37">
        <f t="shared" si="205"/>
        <v>7.7690467793454232E-3</v>
      </c>
    </row>
    <row r="491" spans="1:26">
      <c r="A491" s="14" t="s">
        <v>70</v>
      </c>
      <c r="C491" s="26">
        <f t="shared" si="206"/>
        <v>1368.9525938953982</v>
      </c>
      <c r="D491" s="26">
        <f t="shared" si="206"/>
        <v>3.5074561288508166E-2</v>
      </c>
      <c r="E491" s="26">
        <f t="shared" si="206"/>
        <v>-6.0979770046189485E-2</v>
      </c>
      <c r="F491" s="26">
        <f t="shared" si="206"/>
        <v>9.7821350757105519E-2</v>
      </c>
      <c r="G491" s="26">
        <f t="shared" si="206"/>
        <v>3.7710979633140518E-2</v>
      </c>
      <c r="H491" s="26">
        <f t="shared" si="206"/>
        <v>7.2476193732088801E-2</v>
      </c>
      <c r="I491" s="26">
        <f t="shared" si="206"/>
        <v>1.4977528615909064E-2</v>
      </c>
      <c r="J491" s="26">
        <f t="shared" si="206"/>
        <v>1.3117345563693927E-2</v>
      </c>
      <c r="K491" s="26">
        <f t="shared" si="206"/>
        <v>1.2461621045016358E-2</v>
      </c>
      <c r="L491" s="26">
        <f t="shared" si="206"/>
        <v>2.9583831808541072E-2</v>
      </c>
      <c r="M491" s="26">
        <f t="shared" si="206"/>
        <v>-8.0466815695287019E-2</v>
      </c>
      <c r="N491" s="26">
        <f t="shared" si="206"/>
        <v>0.14519620413546508</v>
      </c>
      <c r="O491" s="26">
        <f t="shared" si="206"/>
        <v>9.0790175531526573E-2</v>
      </c>
      <c r="P491" s="26">
        <f t="shared" si="206"/>
        <v>8.7747701215229679E-2</v>
      </c>
      <c r="Q491" s="37">
        <f t="shared" si="205"/>
        <v>-0.11739218070876334</v>
      </c>
      <c r="R491" s="37">
        <f t="shared" si="205"/>
        <v>2.6281536385221349E-2</v>
      </c>
      <c r="S491" s="37">
        <f t="shared" si="205"/>
        <v>5.4600222141931942E-2</v>
      </c>
      <c r="T491" s="37">
        <f t="shared" si="205"/>
        <v>6.3406917487607295E-3</v>
      </c>
      <c r="U491" s="37">
        <f t="shared" si="205"/>
        <v>2.5592422357542333E-2</v>
      </c>
      <c r="V491" s="37">
        <f t="shared" si="205"/>
        <v>3.4218499133841895E-2</v>
      </c>
      <c r="W491" s="37">
        <f t="shared" si="205"/>
        <v>4.2636399486345677E-2</v>
      </c>
      <c r="X491" s="37">
        <f t="shared" si="205"/>
        <v>7.0549187364141952E-2</v>
      </c>
      <c r="Y491" s="37">
        <f t="shared" si="205"/>
        <v>9.3225024498648779E-3</v>
      </c>
      <c r="Z491" s="37">
        <f t="shared" si="205"/>
        <v>6.5497610674112305E-3</v>
      </c>
    </row>
    <row r="492" spans="1:26">
      <c r="A492" s="14" t="s">
        <v>71</v>
      </c>
      <c r="C492" s="26">
        <f t="shared" si="206"/>
        <v>1809.5113760875611</v>
      </c>
      <c r="D492" s="26">
        <f t="shared" si="206"/>
        <v>4.2720752394243E-2</v>
      </c>
      <c r="E492" s="26">
        <f t="shared" si="206"/>
        <v>-3.7627281793889522E-2</v>
      </c>
      <c r="F492" s="26">
        <f t="shared" si="206"/>
        <v>0.10100750057093322</v>
      </c>
      <c r="G492" s="26">
        <f t="shared" si="206"/>
        <v>2.6253140738295766E-2</v>
      </c>
      <c r="H492" s="26">
        <f t="shared" si="206"/>
        <v>6.645170365522457E-2</v>
      </c>
      <c r="I492" s="26">
        <f t="shared" si="206"/>
        <v>6.4715253420810637E-3</v>
      </c>
      <c r="J492" s="26">
        <f t="shared" si="206"/>
        <v>2.6810722815322929E-2</v>
      </c>
      <c r="K492" s="26">
        <f t="shared" si="206"/>
        <v>2.6222169646875404E-2</v>
      </c>
      <c r="L492" s="26">
        <f t="shared" si="206"/>
        <v>-8.0283441072485751E-2</v>
      </c>
      <c r="M492" s="26">
        <f t="shared" si="206"/>
        <v>2.5308739495411681E-2</v>
      </c>
      <c r="N492" s="26">
        <f t="shared" si="206"/>
        <v>0.12731434710772072</v>
      </c>
      <c r="O492" s="26">
        <f t="shared" si="206"/>
        <v>8.8111959056084821E-2</v>
      </c>
      <c r="P492" s="26">
        <f t="shared" si="206"/>
        <v>9.9388547254050774E-2</v>
      </c>
      <c r="Q492" s="37">
        <f t="shared" si="205"/>
        <v>-0.1274615825796378</v>
      </c>
      <c r="R492" s="37">
        <f t="shared" si="205"/>
        <v>2.6300499559917867E-2</v>
      </c>
      <c r="S492" s="37">
        <f t="shared" si="205"/>
        <v>5.280588959073329E-2</v>
      </c>
      <c r="T492" s="37">
        <f t="shared" si="205"/>
        <v>5.0300782563685864E-3</v>
      </c>
      <c r="U492" s="37">
        <f t="shared" si="205"/>
        <v>2.708940567552931E-2</v>
      </c>
      <c r="V492" s="37">
        <f t="shared" si="205"/>
        <v>3.462241308252656E-2</v>
      </c>
      <c r="W492" s="37">
        <f t="shared" si="205"/>
        <v>4.1938531674774682E-2</v>
      </c>
      <c r="X492" s="37">
        <f t="shared" si="205"/>
        <v>7.0443777922619022E-2</v>
      </c>
      <c r="Y492" s="37">
        <f t="shared" si="205"/>
        <v>7.8999848528520378E-3</v>
      </c>
      <c r="Z492" s="37">
        <f t="shared" si="205"/>
        <v>6.8809986704485571E-3</v>
      </c>
    </row>
    <row r="493" spans="1:26">
      <c r="A493" s="14" t="s">
        <v>47</v>
      </c>
      <c r="C493" s="26">
        <f t="shared" si="206"/>
        <v>2283.8957006129322</v>
      </c>
      <c r="D493" s="26">
        <f t="shared" si="206"/>
        <v>4.333757781759684E-2</v>
      </c>
      <c r="E493" s="26">
        <f t="shared" si="206"/>
        <v>-1.7735851406953329E-2</v>
      </c>
      <c r="F493" s="26">
        <f t="shared" si="206"/>
        <v>8.9077074202666084E-2</v>
      </c>
      <c r="G493" s="26">
        <f t="shared" si="206"/>
        <v>2.3910439023912433E-2</v>
      </c>
      <c r="H493" s="26">
        <f t="shared" si="206"/>
        <v>6.9485519739943991E-2</v>
      </c>
      <c r="I493" s="26">
        <f t="shared" si="206"/>
        <v>1.0524116334370781E-2</v>
      </c>
      <c r="J493" s="26">
        <f t="shared" si="206"/>
        <v>2.250382315090782E-2</v>
      </c>
      <c r="K493" s="26">
        <f t="shared" si="206"/>
        <v>2.5510576786104355E-2</v>
      </c>
      <c r="L493" s="26">
        <f t="shared" si="206"/>
        <v>-0.11997964821461238</v>
      </c>
      <c r="M493" s="26">
        <f t="shared" si="206"/>
        <v>8.5293335963545047E-2</v>
      </c>
      <c r="N493" s="26">
        <f t="shared" si="206"/>
        <v>0.1147608928156687</v>
      </c>
      <c r="O493" s="26">
        <f t="shared" si="206"/>
        <v>0.1011765091184762</v>
      </c>
      <c r="P493" s="26">
        <f t="shared" si="206"/>
        <v>7.2567344195600736E-2</v>
      </c>
      <c r="Q493" s="37">
        <f t="shared" si="205"/>
        <v>-0.1186152858095102</v>
      </c>
      <c r="R493" s="37">
        <f t="shared" si="205"/>
        <v>3.1592189373362833E-2</v>
      </c>
      <c r="S493" s="37">
        <f t="shared" si="205"/>
        <v>5.3160203977044684E-2</v>
      </c>
      <c r="T493" s="37">
        <f t="shared" si="205"/>
        <v>5.8379364955858382E-3</v>
      </c>
      <c r="U493" s="37">
        <f t="shared" si="205"/>
        <v>2.8326556105810807E-2</v>
      </c>
      <c r="V493" s="37">
        <f t="shared" si="205"/>
        <v>3.7144198895254332E-2</v>
      </c>
      <c r="W493" s="37">
        <f t="shared" si="205"/>
        <v>4.2214686111906818E-2</v>
      </c>
      <c r="X493" s="37">
        <f t="shared" si="205"/>
        <v>7.1835948425273299E-2</v>
      </c>
      <c r="Y493" s="37">
        <f t="shared" si="205"/>
        <v>8.0393906664817383E-3</v>
      </c>
      <c r="Z493" s="37">
        <f t="shared" si="205"/>
        <v>8.2706736656179558E-3</v>
      </c>
    </row>
    <row r="494" spans="1:26">
      <c r="A494" s="14" t="s">
        <v>72</v>
      </c>
      <c r="C494" s="26">
        <f t="shared" si="206"/>
        <v>2677.0793251701425</v>
      </c>
      <c r="D494" s="26">
        <f t="shared" si="206"/>
        <v>3.6400853796263011E-2</v>
      </c>
      <c r="E494" s="26">
        <f t="shared" si="206"/>
        <v>-2.641901896968557E-3</v>
      </c>
      <c r="F494" s="26">
        <f t="shared" si="206"/>
        <v>8.2316213092280988E-2</v>
      </c>
      <c r="G494" s="26">
        <f t="shared" si="206"/>
        <v>3.0427869440367683E-2</v>
      </c>
      <c r="H494" s="26">
        <f t="shared" si="206"/>
        <v>7.4460482662928706E-2</v>
      </c>
      <c r="I494" s="26">
        <f t="shared" si="206"/>
        <v>7.2063443631196211E-3</v>
      </c>
      <c r="J494" s="26">
        <f t="shared" si="206"/>
        <v>8.3724121913115734E-3</v>
      </c>
      <c r="K494" s="26">
        <f t="shared" si="206"/>
        <v>2.8266750401339635E-2</v>
      </c>
      <c r="L494" s="26">
        <f t="shared" si="206"/>
        <v>-0.11576136067982057</v>
      </c>
      <c r="M494" s="26">
        <f t="shared" si="206"/>
        <v>0.1006289309211208</v>
      </c>
      <c r="N494" s="26">
        <f t="shared" si="206"/>
        <v>0.10117248872400109</v>
      </c>
      <c r="O494" s="26">
        <f t="shared" si="206"/>
        <v>0.10320190385215833</v>
      </c>
      <c r="P494" s="26">
        <f t="shared" si="206"/>
        <v>6.6359081148967158E-2</v>
      </c>
      <c r="Q494" s="37">
        <f t="shared" si="205"/>
        <v>-0.11330874410747149</v>
      </c>
      <c r="R494" s="37">
        <f t="shared" si="205"/>
        <v>3.1881816176331679E-2</v>
      </c>
      <c r="S494" s="37">
        <f t="shared" si="205"/>
        <v>5.291817560533052E-2</v>
      </c>
      <c r="T494" s="37">
        <f t="shared" si="205"/>
        <v>5.9782635592275923E-3</v>
      </c>
      <c r="U494" s="37">
        <f t="shared" si="205"/>
        <v>2.8573641415511997E-2</v>
      </c>
      <c r="V494" s="37">
        <f t="shared" si="205"/>
        <v>3.995827709659916E-2</v>
      </c>
      <c r="W494" s="37">
        <f t="shared" si="205"/>
        <v>4.1876490318058401E-2</v>
      </c>
      <c r="X494" s="37">
        <f t="shared" si="205"/>
        <v>7.2582456285302799E-2</v>
      </c>
      <c r="Y494" s="37">
        <f t="shared" si="205"/>
        <v>8.5495206994665729E-3</v>
      </c>
      <c r="Z494" s="37">
        <f t="shared" si="205"/>
        <v>9.6251487448657524E-3</v>
      </c>
    </row>
    <row r="495" spans="1:26">
      <c r="A495" s="14" t="s">
        <v>73</v>
      </c>
      <c r="C495" s="26">
        <f t="shared" si="206"/>
        <v>6.400396400158531</v>
      </c>
      <c r="D495" s="26">
        <f t="shared" si="206"/>
        <v>2.9578033869148257E-2</v>
      </c>
      <c r="E495" s="26">
        <f t="shared" si="206"/>
        <v>1.9809896547666073E-2</v>
      </c>
      <c r="F495" s="26">
        <f t="shared" si="206"/>
        <v>7.9145801656162806E-2</v>
      </c>
      <c r="G495" s="26">
        <f t="shared" si="206"/>
        <v>2.8174013492134442E-2</v>
      </c>
      <c r="H495" s="26">
        <f t="shared" si="206"/>
        <v>6.5055933598380689E-2</v>
      </c>
      <c r="I495" s="26">
        <f t="shared" si="206"/>
        <v>1.1357321215997862E-2</v>
      </c>
      <c r="J495" s="26">
        <f t="shared" si="206"/>
        <v>1.0728916970224933E-2</v>
      </c>
      <c r="K495" s="26">
        <f t="shared" si="206"/>
        <v>3.1989216989392499E-2</v>
      </c>
      <c r="L495" s="26">
        <f t="shared" si="206"/>
        <v>-0.11251468564766032</v>
      </c>
      <c r="M495" s="26">
        <f t="shared" si="206"/>
        <v>9.1664075771206832E-2</v>
      </c>
      <c r="N495" s="26">
        <f t="shared" si="206"/>
        <v>8.570197808320712E-2</v>
      </c>
      <c r="O495" s="26">
        <f t="shared" si="206"/>
        <v>0.11257675596323957</v>
      </c>
      <c r="P495" s="37">
        <f t="shared" si="206"/>
        <v>7.6098546918142107E-2</v>
      </c>
      <c r="Q495" s="37">
        <f t="shared" si="205"/>
        <v>-0.11559895805899933</v>
      </c>
      <c r="R495" s="37">
        <f t="shared" si="205"/>
        <v>2.9586122514311253E-2</v>
      </c>
      <c r="S495" s="37">
        <f t="shared" si="205"/>
        <v>5.3668736390150684E-2</v>
      </c>
      <c r="T495" s="37">
        <f t="shared" si="205"/>
        <v>7.972218547319887E-3</v>
      </c>
      <c r="U495" s="37">
        <f t="shared" si="205"/>
        <v>2.9752651402009889E-2</v>
      </c>
      <c r="V495" s="37">
        <f t="shared" si="205"/>
        <v>4.1388974361901365E-2</v>
      </c>
      <c r="W495" s="37">
        <f t="shared" si="205"/>
        <v>4.162456535072323E-2</v>
      </c>
      <c r="X495" s="37">
        <f t="shared" si="205"/>
        <v>7.3656760432157187E-2</v>
      </c>
      <c r="Y495" s="37">
        <f t="shared" si="205"/>
        <v>9.3388244793966013E-3</v>
      </c>
      <c r="Z495" s="37">
        <f t="shared" si="205"/>
        <v>1.0900280451327848E-2</v>
      </c>
    </row>
    <row r="496" spans="1:26">
      <c r="A496" s="14" t="s">
        <v>74</v>
      </c>
      <c r="C496" s="26">
        <f t="shared" si="206"/>
        <v>3.3017809916219667</v>
      </c>
      <c r="D496" s="26">
        <f t="shared" si="206"/>
        <v>2.3757677029763613E-2</v>
      </c>
      <c r="E496" s="26">
        <f t="shared" si="206"/>
        <v>3.2438028250473705E-2</v>
      </c>
      <c r="F496" s="26">
        <f t="shared" si="206"/>
        <v>6.3440017096612289E-2</v>
      </c>
      <c r="G496" s="26">
        <f t="shared" si="206"/>
        <v>3.5765743065916622E-2</v>
      </c>
      <c r="H496" s="26">
        <f t="shared" si="206"/>
        <v>7.2556084168512003E-2</v>
      </c>
      <c r="I496" s="26">
        <f t="shared" si="206"/>
        <v>8.6157664706374426E-3</v>
      </c>
      <c r="J496" s="26">
        <f t="shared" si="206"/>
        <v>1.0082319333076573E-2</v>
      </c>
      <c r="K496" s="26">
        <f t="shared" si="206"/>
        <v>1.863005664859263E-2</v>
      </c>
      <c r="L496" s="26">
        <f t="shared" si="206"/>
        <v>-0.10233504844379737</v>
      </c>
      <c r="M496" s="26">
        <f t="shared" si="206"/>
        <v>8.9453362321987306E-2</v>
      </c>
      <c r="N496" s="26">
        <f t="shared" si="206"/>
        <v>8.3032948850891852E-2</v>
      </c>
      <c r="O496" s="26">
        <f t="shared" si="206"/>
        <v>0.11354956521438653</v>
      </c>
      <c r="P496" s="37">
        <f t="shared" si="206"/>
        <v>7.2312566743345297E-2</v>
      </c>
      <c r="Q496" s="37">
        <f t="shared" si="205"/>
        <v>-0.11140406496831001</v>
      </c>
      <c r="R496" s="37">
        <f t="shared" si="205"/>
        <v>2.8585193566971645E-2</v>
      </c>
      <c r="S496" s="37">
        <f t="shared" si="205"/>
        <v>5.537782997279872E-2</v>
      </c>
      <c r="T496" s="37">
        <f t="shared" si="205"/>
        <v>8.5312259536340918E-3</v>
      </c>
      <c r="U496" s="37">
        <f t="shared" si="205"/>
        <v>3.3121042942680035E-2</v>
      </c>
      <c r="V496" s="37">
        <f t="shared" si="205"/>
        <v>1.5799906368383354E-3</v>
      </c>
      <c r="W496" s="37">
        <f t="shared" si="205"/>
        <v>0.68750024475747074</v>
      </c>
      <c r="X496" s="37">
        <f t="shared" si="205"/>
        <v>-5.4217695968145101</v>
      </c>
      <c r="Y496" s="37">
        <f t="shared" si="205"/>
        <v>-16.511899138106912</v>
      </c>
      <c r="Z496" s="37">
        <f t="shared" si="205"/>
        <v>-13.298015156262997</v>
      </c>
    </row>
    <row r="497" spans="1:26">
      <c r="A497" s="14" t="s">
        <v>75</v>
      </c>
      <c r="C497" s="26">
        <f t="shared" si="206"/>
        <v>2.242486579862371</v>
      </c>
      <c r="D497" s="26">
        <f t="shared" si="206"/>
        <v>1.2846407871566212E-2</v>
      </c>
      <c r="E497" s="26">
        <f t="shared" si="206"/>
        <v>4.8325483552765558E-2</v>
      </c>
      <c r="F497" s="26">
        <f t="shared" si="206"/>
        <v>5.2883173609026279E-2</v>
      </c>
      <c r="G497" s="26">
        <f t="shared" si="206"/>
        <v>3.986778527417445E-2</v>
      </c>
      <c r="H497" s="26">
        <f t="shared" si="206"/>
        <v>7.7170557069034862E-2</v>
      </c>
      <c r="I497" s="26">
        <f t="shared" si="206"/>
        <v>2.4765077391704082E-3</v>
      </c>
      <c r="J497" s="26">
        <f t="shared" si="206"/>
        <v>8.3790739910316603E-3</v>
      </c>
      <c r="K497" s="26">
        <f t="shared" si="206"/>
        <v>1.7922658423537241E-2</v>
      </c>
      <c r="L497" s="26">
        <f t="shared" si="206"/>
        <v>-8.8852365920165655E-2</v>
      </c>
      <c r="M497" s="26">
        <f t="shared" si="206"/>
        <v>7.6924735120113219E-2</v>
      </c>
      <c r="N497" s="26">
        <f t="shared" si="206"/>
        <v>8.0455757496991742E-2</v>
      </c>
      <c r="O497" s="26">
        <f t="shared" si="206"/>
        <v>0.1160596303104382</v>
      </c>
      <c r="P497" s="37">
        <f t="shared" si="206"/>
        <v>7.1838988093579692E-2</v>
      </c>
      <c r="Q497" s="37">
        <f t="shared" si="205"/>
        <v>-0.10938316275032667</v>
      </c>
      <c r="R497" s="37">
        <f t="shared" si="205"/>
        <v>2.7938422947509922E-2</v>
      </c>
      <c r="S497" s="37">
        <f t="shared" si="205"/>
        <v>5.7363184543822276E-2</v>
      </c>
      <c r="T497" s="37">
        <f t="shared" si="205"/>
        <v>9.9054047077427043E-3</v>
      </c>
      <c r="U497" s="37">
        <f t="shared" si="205"/>
        <v>3.4581087001420485E-2</v>
      </c>
      <c r="V497" s="37">
        <f t="shared" si="205"/>
        <v>8.6483250800410971E-3</v>
      </c>
      <c r="W497" s="37">
        <f t="shared" si="205"/>
        <v>0.60817035925833407</v>
      </c>
      <c r="X497" s="37">
        <f t="shared" si="205"/>
        <v>-4.9776955364769506</v>
      </c>
      <c r="Y497" s="37">
        <f t="shared" si="205"/>
        <v>-16.876942164105238</v>
      </c>
      <c r="Z497" s="37">
        <f t="shared" si="205"/>
        <v>-13.279184047022163</v>
      </c>
    </row>
    <row r="498" spans="1:26">
      <c r="A498" s="14" t="s">
        <v>76</v>
      </c>
      <c r="C498" s="26">
        <f t="shared" si="206"/>
        <v>1.7096055571070421</v>
      </c>
      <c r="D498" s="26">
        <f t="shared" si="206"/>
        <v>9.5522322236321067E-3</v>
      </c>
      <c r="E498" s="26">
        <f t="shared" si="206"/>
        <v>5.9363464391832821E-2</v>
      </c>
      <c r="F498" s="26">
        <f t="shared" si="206"/>
        <v>4.1305010488646099E-2</v>
      </c>
      <c r="G498" s="26">
        <f t="shared" si="206"/>
        <v>4.5311072719895762E-2</v>
      </c>
      <c r="H498" s="26">
        <f t="shared" si="206"/>
        <v>7.6522446464144966E-2</v>
      </c>
      <c r="I498" s="26">
        <f t="shared" si="206"/>
        <v>3.6106264702728819E-3</v>
      </c>
      <c r="J498" s="26">
        <f t="shared" si="206"/>
        <v>7.3040577594825074E-3</v>
      </c>
      <c r="K498" s="26">
        <f t="shared" si="206"/>
        <v>1.931600934179234E-2</v>
      </c>
      <c r="L498" s="26">
        <f t="shared" si="206"/>
        <v>-8.9785284010870714E-2</v>
      </c>
      <c r="M498" s="26">
        <f t="shared" si="206"/>
        <v>7.8762034017999305E-2</v>
      </c>
      <c r="N498" s="26">
        <f t="shared" si="206"/>
        <v>7.8052626974983497E-2</v>
      </c>
      <c r="O498" s="26">
        <f t="shared" si="206"/>
        <v>0.12147852414389138</v>
      </c>
      <c r="P498" s="37">
        <f t="shared" si="206"/>
        <v>6.6418892386222561E-2</v>
      </c>
      <c r="Q498" s="37">
        <f t="shared" si="205"/>
        <v>-0.10601676019447148</v>
      </c>
      <c r="R498" s="37">
        <f t="shared" si="205"/>
        <v>2.8597831751123071E-2</v>
      </c>
      <c r="S498" s="37">
        <f t="shared" si="205"/>
        <v>5.9182145220968874E-2</v>
      </c>
      <c r="T498" s="37">
        <f t="shared" si="205"/>
        <v>1.0930421374941046E-2</v>
      </c>
      <c r="U498" s="37">
        <f t="shared" si="205"/>
        <v>3.5615621155351329E-2</v>
      </c>
      <c r="V498" s="37">
        <f t="shared" si="205"/>
        <v>-3.5643322980086767E-3</v>
      </c>
      <c r="W498" s="37">
        <f t="shared" si="205"/>
        <v>0.83574931562276467</v>
      </c>
      <c r="X498" s="37">
        <f t="shared" si="205"/>
        <v>-6.126613987211516</v>
      </c>
      <c r="Y498" s="37">
        <f t="shared" si="205"/>
        <v>-16.072858841696267</v>
      </c>
      <c r="Z498" s="37">
        <f t="shared" si="205"/>
        <v>-13.321564157633087</v>
      </c>
    </row>
    <row r="499" spans="1:26">
      <c r="A499" s="14" t="s">
        <v>77</v>
      </c>
      <c r="C499" s="26">
        <f t="shared" si="206"/>
        <v>1.3876462910669622</v>
      </c>
      <c r="D499" s="26">
        <f t="shared" si="206"/>
        <v>4.7633326503218054E-3</v>
      </c>
      <c r="E499" s="26">
        <f t="shared" si="206"/>
        <v>6.4995105394086261E-2</v>
      </c>
      <c r="F499" s="26">
        <f t="shared" si="206"/>
        <v>3.5067015780766431E-2</v>
      </c>
      <c r="G499" s="26">
        <f t="shared" si="206"/>
        <v>4.6809166222599563E-2</v>
      </c>
      <c r="H499" s="26">
        <f t="shared" si="206"/>
        <v>7.9742841992507918E-2</v>
      </c>
      <c r="I499" s="26">
        <f t="shared" si="206"/>
        <v>2.4374295955604808E-3</v>
      </c>
      <c r="J499" s="26">
        <f t="shared" si="206"/>
        <v>4.470154542692617E-3</v>
      </c>
      <c r="K499" s="26">
        <f t="shared" si="206"/>
        <v>1.5869809226054965E-2</v>
      </c>
      <c r="L499" s="26">
        <f t="shared" si="206"/>
        <v>-7.9874387586295614E-2</v>
      </c>
      <c r="M499" s="26">
        <f t="shared" si="206"/>
        <v>8.1029968466939106E-2</v>
      </c>
      <c r="N499" s="26">
        <f t="shared" si="206"/>
        <v>7.9104529208655405E-2</v>
      </c>
      <c r="O499" s="26">
        <f t="shared" si="206"/>
        <v>0.11221757578973812</v>
      </c>
      <c r="P499" s="37">
        <f t="shared" si="206"/>
        <v>6.2176509946208602E-2</v>
      </c>
      <c r="Q499" s="37">
        <f t="shared" si="205"/>
        <v>-9.802906739180195E-2</v>
      </c>
      <c r="R499" s="37">
        <f t="shared" si="205"/>
        <v>3.0995484821132013E-2</v>
      </c>
      <c r="S499" s="37">
        <f t="shared" si="205"/>
        <v>5.9639660307880593E-2</v>
      </c>
      <c r="T499" s="37">
        <f t="shared" si="205"/>
        <v>1.0816233674447506E-2</v>
      </c>
      <c r="U499" s="37">
        <f t="shared" si="205"/>
        <v>3.6140225112155866E-2</v>
      </c>
      <c r="V499" s="37">
        <f t="shared" si="205"/>
        <v>-1.1918349869607159E-2</v>
      </c>
      <c r="W499" s="37">
        <f t="shared" si="205"/>
        <v>0.99986459547080675</v>
      </c>
      <c r="X499" s="37">
        <f t="shared" si="205"/>
        <v>-6.7943193951857506</v>
      </c>
      <c r="Y499" s="37">
        <f t="shared" si="205"/>
        <v>-15.752221004141768</v>
      </c>
      <c r="Z499" s="37">
        <f t="shared" si="205"/>
        <v>-13.339775656500644</v>
      </c>
    </row>
    <row r="500" spans="1:26">
      <c r="A500" s="14" t="s">
        <v>78</v>
      </c>
      <c r="C500" s="26">
        <f t="shared" si="206"/>
        <v>1.1759381302269958</v>
      </c>
      <c r="D500" s="26">
        <f t="shared" si="206"/>
        <v>-1.1507894515582429E-2</v>
      </c>
      <c r="E500" s="26">
        <f t="shared" si="206"/>
        <v>8.275379447032094E-2</v>
      </c>
      <c r="F500" s="26">
        <f t="shared" si="206"/>
        <v>3.5373499211609927E-2</v>
      </c>
      <c r="G500" s="26">
        <f t="shared" si="206"/>
        <v>4.0605572057558215E-2</v>
      </c>
      <c r="H500" s="26">
        <f t="shared" si="206"/>
        <v>8.5958123221776761E-2</v>
      </c>
      <c r="I500" s="26">
        <f t="shared" si="206"/>
        <v>-6.6494958780315416E-3</v>
      </c>
      <c r="J500" s="26">
        <f t="shared" si="206"/>
        <v>8.2800755080636446E-3</v>
      </c>
      <c r="K500" s="26">
        <f t="shared" si="206"/>
        <v>1.4863858014085851E-2</v>
      </c>
      <c r="L500" s="26">
        <f t="shared" si="206"/>
        <v>-7.5406826103900926E-2</v>
      </c>
      <c r="M500" s="26">
        <f t="shared" si="206"/>
        <v>8.8293048272037655E-2</v>
      </c>
      <c r="N500" s="26">
        <f t="shared" si="206"/>
        <v>6.7960550650267404E-2</v>
      </c>
      <c r="O500" s="26">
        <f t="shared" si="206"/>
        <v>0.11600172548536047</v>
      </c>
      <c r="P500" s="37">
        <f t="shared" si="206"/>
        <v>5.8491025335479785E-2</v>
      </c>
      <c r="Q500" s="37">
        <f t="shared" si="205"/>
        <v>-7.9347490974247648E-2</v>
      </c>
      <c r="R500" s="37">
        <f t="shared" si="205"/>
        <v>1.8185539524300687E-2</v>
      </c>
      <c r="S500" s="37">
        <f t="shared" si="205"/>
        <v>5.9543572748376628E-2</v>
      </c>
      <c r="T500" s="37">
        <f t="shared" si="205"/>
        <v>1.1432066652759199E-2</v>
      </c>
      <c r="U500" s="37">
        <f t="shared" si="205"/>
        <v>3.3504778650454092E-2</v>
      </c>
      <c r="V500" s="37">
        <f t="shared" si="205"/>
        <v>5.0341956302980551E-2</v>
      </c>
      <c r="W500" s="37">
        <f t="shared" si="205"/>
        <v>4.1366810162813294E-2</v>
      </c>
      <c r="X500" s="37">
        <f t="shared" si="205"/>
        <v>7.9923213108626268E-2</v>
      </c>
      <c r="Y500" s="37">
        <f t="shared" si="205"/>
        <v>1.0416380233081668E-2</v>
      </c>
      <c r="Z500" s="37">
        <f t="shared" si="205"/>
        <v>1.4794138901259357E-2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B1909-1D6E-47D8-A535-339292B974C6}">
  <dimension ref="A1:AZ401"/>
  <sheetViews>
    <sheetView zoomScale="130" zoomScaleNormal="130" workbookViewId="0">
      <pane xSplit="1" ySplit="2" topLeftCell="Q22"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3.28515625" style="40" customWidth="1"/>
    <col min="2" max="13" width="13.85546875" style="40" hidden="1" customWidth="1"/>
    <col min="14" max="44" width="13.85546875" style="40" customWidth="1"/>
    <col min="45" max="50" width="12.140625" style="40" customWidth="1"/>
    <col min="51" max="51" width="14.85546875" style="40" bestFit="1" customWidth="1"/>
    <col min="52" max="52" width="12.140625" style="40" bestFit="1" customWidth="1"/>
    <col min="53" max="16384" width="9.140625" style="40"/>
  </cols>
  <sheetData>
    <row r="1" spans="1:45" ht="12" thickBot="1">
      <c r="A1" s="39" t="s">
        <v>97</v>
      </c>
      <c r="J1" s="40" t="s">
        <v>35</v>
      </c>
    </row>
    <row r="2" spans="1:45" ht="12" thickBot="1">
      <c r="A2" s="41"/>
      <c r="B2" s="41">
        <v>2010</v>
      </c>
      <c r="C2" s="41">
        <v>2011</v>
      </c>
      <c r="D2" s="41">
        <v>2012</v>
      </c>
      <c r="E2" s="41">
        <v>2013</v>
      </c>
      <c r="F2" s="41">
        <v>2014</v>
      </c>
      <c r="G2" s="41">
        <v>2015</v>
      </c>
      <c r="H2" s="41">
        <v>2016</v>
      </c>
      <c r="I2" s="41">
        <v>2017</v>
      </c>
      <c r="J2" s="41">
        <v>2018</v>
      </c>
      <c r="K2" s="41">
        <v>2019</v>
      </c>
      <c r="L2" s="41">
        <v>2020</v>
      </c>
      <c r="M2" s="41">
        <v>2021</v>
      </c>
      <c r="N2" s="41">
        <v>2022</v>
      </c>
      <c r="O2" s="41">
        <v>2023</v>
      </c>
      <c r="P2" s="41">
        <v>2024</v>
      </c>
      <c r="Q2" s="41">
        <v>2025</v>
      </c>
      <c r="R2" s="41">
        <v>2026</v>
      </c>
      <c r="S2" s="41">
        <v>2027</v>
      </c>
      <c r="T2" s="41">
        <v>2028</v>
      </c>
      <c r="U2" s="41">
        <v>2029</v>
      </c>
      <c r="V2" s="41">
        <v>2030</v>
      </c>
      <c r="W2" s="41">
        <v>2031</v>
      </c>
      <c r="X2" s="41">
        <v>2032</v>
      </c>
      <c r="Y2" s="41">
        <v>2033</v>
      </c>
      <c r="Z2" s="41">
        <v>2034</v>
      </c>
      <c r="AA2" s="41">
        <v>2035</v>
      </c>
      <c r="AB2" s="41">
        <v>2036</v>
      </c>
      <c r="AC2" s="41">
        <v>2037</v>
      </c>
      <c r="AD2" s="41">
        <v>2038</v>
      </c>
      <c r="AE2" s="41">
        <v>2039</v>
      </c>
      <c r="AF2" s="41">
        <v>2040</v>
      </c>
      <c r="AG2" s="41">
        <v>2041</v>
      </c>
      <c r="AH2" s="41">
        <v>2042</v>
      </c>
      <c r="AI2" s="41">
        <v>2043</v>
      </c>
      <c r="AJ2" s="41">
        <v>2044</v>
      </c>
      <c r="AK2" s="41">
        <v>2045</v>
      </c>
      <c r="AL2" s="41">
        <v>2046</v>
      </c>
      <c r="AM2" s="41">
        <v>2047</v>
      </c>
      <c r="AN2" s="41">
        <v>2048</v>
      </c>
      <c r="AO2" s="41">
        <v>2049</v>
      </c>
      <c r="AP2" s="41">
        <v>2050</v>
      </c>
      <c r="AQ2" s="41">
        <v>2051</v>
      </c>
      <c r="AS2" s="40" t="s">
        <v>36</v>
      </c>
    </row>
    <row r="3" spans="1:45">
      <c r="A3" s="40" t="s">
        <v>68</v>
      </c>
      <c r="B3" s="42">
        <f>B19+B35+B51</f>
        <v>485714</v>
      </c>
      <c r="C3" s="42">
        <f t="shared" ref="C3:AQ10" si="0">C19+C35+C51</f>
        <v>35639852</v>
      </c>
      <c r="D3" s="42">
        <f t="shared" si="0"/>
        <v>61156111</v>
      </c>
      <c r="E3" s="42">
        <f t="shared" si="0"/>
        <v>72139922</v>
      </c>
      <c r="F3" s="42">
        <f t="shared" si="0"/>
        <v>58677581</v>
      </c>
      <c r="G3" s="42">
        <f t="shared" si="0"/>
        <v>64506298</v>
      </c>
      <c r="H3" s="42">
        <f t="shared" si="0"/>
        <v>106290073</v>
      </c>
      <c r="I3" s="42">
        <f t="shared" si="0"/>
        <v>87126264</v>
      </c>
      <c r="J3" s="42">
        <f t="shared" si="0"/>
        <v>121192145</v>
      </c>
      <c r="K3" s="42">
        <f t="shared" si="0"/>
        <v>119489389</v>
      </c>
      <c r="L3" s="42">
        <f t="shared" si="0"/>
        <v>132141705</v>
      </c>
      <c r="M3" s="42">
        <f t="shared" si="0"/>
        <v>115838804</v>
      </c>
      <c r="N3" s="42">
        <f t="shared" si="0"/>
        <v>103416061</v>
      </c>
      <c r="O3" s="42">
        <f t="shared" si="0"/>
        <v>144130783</v>
      </c>
      <c r="P3" s="42">
        <f t="shared" si="0"/>
        <v>162119963</v>
      </c>
      <c r="Q3" s="42">
        <f t="shared" si="0"/>
        <v>68771165</v>
      </c>
      <c r="R3" s="43">
        <f t="shared" si="0"/>
        <v>108429735.80509585</v>
      </c>
      <c r="S3" s="43">
        <f t="shared" si="0"/>
        <v>102025404.85762216</v>
      </c>
      <c r="T3" s="43">
        <f t="shared" si="0"/>
        <v>86118935.2578585</v>
      </c>
      <c r="U3" s="43">
        <f t="shared" si="0"/>
        <v>95322460.271250993</v>
      </c>
      <c r="V3" s="43">
        <f t="shared" si="0"/>
        <v>89723747.891593993</v>
      </c>
      <c r="W3" s="43">
        <f t="shared" si="0"/>
        <v>95961717.351140276</v>
      </c>
      <c r="X3" s="43">
        <f t="shared" si="0"/>
        <v>98346766.760262221</v>
      </c>
      <c r="Y3" s="43">
        <f t="shared" si="0"/>
        <v>112206260.92681818</v>
      </c>
      <c r="Z3" s="43">
        <f t="shared" si="0"/>
        <v>100354125.5932281</v>
      </c>
      <c r="AA3" s="43">
        <f t="shared" si="0"/>
        <v>97009474.542341262</v>
      </c>
      <c r="AB3" s="43">
        <f t="shared" si="0"/>
        <v>78754271.190041199</v>
      </c>
      <c r="AC3" s="43">
        <f t="shared" si="0"/>
        <v>65085590.513128623</v>
      </c>
      <c r="AD3" s="43">
        <f t="shared" si="0"/>
        <v>64479675.800666444</v>
      </c>
      <c r="AE3" s="43">
        <f t="shared" si="0"/>
        <v>52694343.107969932</v>
      </c>
      <c r="AF3" s="43">
        <f t="shared" si="0"/>
        <v>33245552.135157965</v>
      </c>
      <c r="AG3" s="43">
        <f t="shared" si="0"/>
        <v>36288881.926415548</v>
      </c>
      <c r="AH3" s="43">
        <f t="shared" si="0"/>
        <v>36001236.560841501</v>
      </c>
      <c r="AI3" s="43">
        <f t="shared" si="0"/>
        <v>30611683.149329469</v>
      </c>
      <c r="AJ3" s="43">
        <f t="shared" si="0"/>
        <v>30780194.161514059</v>
      </c>
      <c r="AK3" s="43">
        <f t="shared" si="0"/>
        <v>30888645.360062152</v>
      </c>
      <c r="AL3" s="43">
        <f t="shared" si="0"/>
        <v>30808446.429845307</v>
      </c>
      <c r="AM3" s="43">
        <f t="shared" si="0"/>
        <v>30832077.098892413</v>
      </c>
      <c r="AN3" s="43">
        <f t="shared" si="0"/>
        <v>31296903.416631114</v>
      </c>
      <c r="AO3" s="43">
        <f t="shared" si="0"/>
        <v>31769218.920429967</v>
      </c>
      <c r="AP3" s="43">
        <f t="shared" si="0"/>
        <v>32374914.057860229</v>
      </c>
      <c r="AQ3" s="43">
        <f t="shared" si="0"/>
        <v>33687260.749850616</v>
      </c>
      <c r="AR3" s="43"/>
      <c r="AS3" s="44">
        <f>O3/N14-1</f>
        <v>-0.23578702284230946</v>
      </c>
    </row>
    <row r="4" spans="1:45">
      <c r="A4" s="40" t="s">
        <v>69</v>
      </c>
      <c r="B4" s="42">
        <f t="shared" ref="B4:Q14" si="1">B20+B36+B52</f>
        <v>538632</v>
      </c>
      <c r="C4" s="42">
        <f t="shared" si="1"/>
        <v>43098149</v>
      </c>
      <c r="D4" s="42">
        <f t="shared" si="1"/>
        <v>77037010</v>
      </c>
      <c r="E4" s="42">
        <f t="shared" si="1"/>
        <v>77591273</v>
      </c>
      <c r="F4" s="42">
        <f t="shared" si="1"/>
        <v>73754382</v>
      </c>
      <c r="G4" s="42">
        <f t="shared" si="1"/>
        <v>67872401</v>
      </c>
      <c r="H4" s="42">
        <f t="shared" si="1"/>
        <v>114177321</v>
      </c>
      <c r="I4" s="42">
        <f t="shared" si="1"/>
        <v>108248383</v>
      </c>
      <c r="J4" s="42">
        <f t="shared" si="1"/>
        <v>127120953</v>
      </c>
      <c r="K4" s="42">
        <f t="shared" si="1"/>
        <v>128298680</v>
      </c>
      <c r="L4" s="42">
        <f t="shared" si="1"/>
        <v>139499905</v>
      </c>
      <c r="M4" s="42">
        <f t="shared" si="0"/>
        <v>117542663</v>
      </c>
      <c r="N4" s="42">
        <f t="shared" si="0"/>
        <v>117186475</v>
      </c>
      <c r="O4" s="42">
        <f t="shared" si="0"/>
        <v>155538920</v>
      </c>
      <c r="P4" s="42">
        <f t="shared" si="0"/>
        <v>179930852</v>
      </c>
      <c r="Q4" s="42">
        <f t="shared" si="0"/>
        <v>80233615</v>
      </c>
      <c r="R4" s="43">
        <f t="shared" si="0"/>
        <v>117150295.91888173</v>
      </c>
      <c r="S4" s="43">
        <f t="shared" si="0"/>
        <v>111637466.94434479</v>
      </c>
      <c r="T4" s="43">
        <f t="shared" si="0"/>
        <v>94226402.720275581</v>
      </c>
      <c r="U4" s="43">
        <f t="shared" si="0"/>
        <v>104819117.51480958</v>
      </c>
      <c r="V4" s="43">
        <f t="shared" si="0"/>
        <v>98962838.539927453</v>
      </c>
      <c r="W4" s="43">
        <f t="shared" si="0"/>
        <v>104945820.3029526</v>
      </c>
      <c r="X4" s="43">
        <f t="shared" si="0"/>
        <v>107314113.75237419</v>
      </c>
      <c r="Y4" s="43">
        <f t="shared" si="0"/>
        <v>100575449.10055925</v>
      </c>
      <c r="Z4" s="43">
        <f t="shared" si="0"/>
        <v>97763517.111707732</v>
      </c>
      <c r="AA4" s="43">
        <f t="shared" si="0"/>
        <v>93024687.786969945</v>
      </c>
      <c r="AB4" s="43">
        <f t="shared" si="0"/>
        <v>78474444.328913525</v>
      </c>
      <c r="AC4" s="43">
        <f t="shared" si="0"/>
        <v>63817577.763409413</v>
      </c>
      <c r="AD4" s="43">
        <f t="shared" si="0"/>
        <v>61335391.415603831</v>
      </c>
      <c r="AE4" s="43">
        <f t="shared" si="0"/>
        <v>51048975.856399037</v>
      </c>
      <c r="AF4" s="43">
        <f t="shared" si="0"/>
        <v>32842597.387407791</v>
      </c>
      <c r="AG4" s="43">
        <f t="shared" si="0"/>
        <v>35847020.71511516</v>
      </c>
      <c r="AH4" s="43">
        <f t="shared" si="0"/>
        <v>35368849.866632402</v>
      </c>
      <c r="AI4" s="43">
        <f t="shared" si="0"/>
        <v>30272563.477874808</v>
      </c>
      <c r="AJ4" s="43">
        <f t="shared" si="0"/>
        <v>30552994.89925015</v>
      </c>
      <c r="AK4" s="43">
        <f t="shared" si="0"/>
        <v>30652327.859600306</v>
      </c>
      <c r="AL4" s="43">
        <f t="shared" si="0"/>
        <v>30575614.573666051</v>
      </c>
      <c r="AM4" s="43">
        <f t="shared" si="0"/>
        <v>30563585.147686385</v>
      </c>
      <c r="AN4" s="43">
        <f t="shared" si="0"/>
        <v>31006277.843435623</v>
      </c>
      <c r="AO4" s="43">
        <f t="shared" si="0"/>
        <v>31471180.491219297</v>
      </c>
      <c r="AP4" s="43">
        <f t="shared" si="0"/>
        <v>32036012.547765601</v>
      </c>
      <c r="AQ4" s="43">
        <f t="shared" si="0"/>
        <v>33259791.031770594</v>
      </c>
      <c r="AR4" s="43"/>
      <c r="AS4" s="44">
        <f t="shared" ref="AS4:AS14" si="2">O4/O3-1</f>
        <v>7.9151287202817722E-2</v>
      </c>
    </row>
    <row r="5" spans="1:45">
      <c r="A5" s="40" t="s">
        <v>70</v>
      </c>
      <c r="B5" s="42">
        <f t="shared" si="1"/>
        <v>808785</v>
      </c>
      <c r="C5" s="42">
        <f t="shared" si="1"/>
        <v>68148680</v>
      </c>
      <c r="D5" s="42">
        <f t="shared" si="1"/>
        <v>100590686</v>
      </c>
      <c r="E5" s="42">
        <f t="shared" si="1"/>
        <v>110399744</v>
      </c>
      <c r="F5" s="42">
        <f t="shared" si="1"/>
        <v>103899694</v>
      </c>
      <c r="G5" s="42">
        <f t="shared" si="1"/>
        <v>105811566</v>
      </c>
      <c r="H5" s="42">
        <f t="shared" si="1"/>
        <v>136572162</v>
      </c>
      <c r="I5" s="42">
        <f t="shared" si="1"/>
        <v>152044624</v>
      </c>
      <c r="J5" s="42">
        <f t="shared" si="1"/>
        <v>160838257</v>
      </c>
      <c r="K5" s="42">
        <f t="shared" si="1"/>
        <v>159714776</v>
      </c>
      <c r="L5" s="42">
        <f t="shared" si="1"/>
        <v>168667912</v>
      </c>
      <c r="M5" s="42">
        <f t="shared" si="0"/>
        <v>165483884</v>
      </c>
      <c r="N5" s="42">
        <f t="shared" si="0"/>
        <v>158548093</v>
      </c>
      <c r="O5" s="42">
        <f t="shared" si="0"/>
        <v>175675686</v>
      </c>
      <c r="P5" s="42">
        <f t="shared" si="0"/>
        <v>164253420</v>
      </c>
      <c r="Q5" s="42">
        <f t="shared" si="0"/>
        <v>99734968</v>
      </c>
      <c r="R5" s="43">
        <f t="shared" si="0"/>
        <v>127885664.63677984</v>
      </c>
      <c r="S5" s="43">
        <f t="shared" si="0"/>
        <v>126216867.93343177</v>
      </c>
      <c r="T5" s="43">
        <f t="shared" si="0"/>
        <v>102156593.16035217</v>
      </c>
      <c r="U5" s="43">
        <f t="shared" si="0"/>
        <v>112507349.65289553</v>
      </c>
      <c r="V5" s="43">
        <f t="shared" si="0"/>
        <v>110735572.5388722</v>
      </c>
      <c r="W5" s="43">
        <f t="shared" si="0"/>
        <v>115477251.29953115</v>
      </c>
      <c r="X5" s="43">
        <f t="shared" si="0"/>
        <v>119013009.05613826</v>
      </c>
      <c r="Y5" s="43">
        <f t="shared" si="0"/>
        <v>111058694.3450629</v>
      </c>
      <c r="Z5" s="43">
        <f t="shared" si="0"/>
        <v>108090643.578731</v>
      </c>
      <c r="AA5" s="43">
        <f t="shared" si="0"/>
        <v>103446002.00772521</v>
      </c>
      <c r="AB5" s="43">
        <f t="shared" si="0"/>
        <v>87085701.002203122</v>
      </c>
      <c r="AC5" s="43">
        <f t="shared" si="0"/>
        <v>70776994.710604936</v>
      </c>
      <c r="AD5" s="43">
        <f t="shared" si="0"/>
        <v>68347838.661036402</v>
      </c>
      <c r="AE5" s="43">
        <f t="shared" si="0"/>
        <v>56934105.571711481</v>
      </c>
      <c r="AF5" s="43">
        <f t="shared" si="0"/>
        <v>36117988.034924887</v>
      </c>
      <c r="AG5" s="43">
        <f t="shared" si="0"/>
        <v>39524707.81191124</v>
      </c>
      <c r="AH5" s="43">
        <f t="shared" si="0"/>
        <v>38985337.941832148</v>
      </c>
      <c r="AI5" s="43">
        <f t="shared" si="0"/>
        <v>33161867.526574668</v>
      </c>
      <c r="AJ5" s="43">
        <f t="shared" si="0"/>
        <v>33490686.630168475</v>
      </c>
      <c r="AK5" s="43">
        <f t="shared" si="0"/>
        <v>33604096.404422008</v>
      </c>
      <c r="AL5" s="43">
        <f t="shared" si="0"/>
        <v>33511505.936630748</v>
      </c>
      <c r="AM5" s="43">
        <f t="shared" si="0"/>
        <v>33497021.851384591</v>
      </c>
      <c r="AN5" s="43">
        <f t="shared" si="0"/>
        <v>34008274.373430401</v>
      </c>
      <c r="AO5" s="43">
        <f t="shared" si="0"/>
        <v>34544695.203533143</v>
      </c>
      <c r="AP5" s="43">
        <f t="shared" si="0"/>
        <v>35191679.020283043</v>
      </c>
      <c r="AQ5" s="43">
        <f t="shared" si="0"/>
        <v>36591746.634986624</v>
      </c>
      <c r="AR5" s="43"/>
      <c r="AS5" s="44">
        <f t="shared" si="2"/>
        <v>0.12946448387323239</v>
      </c>
    </row>
    <row r="6" spans="1:45">
      <c r="A6" s="40" t="s">
        <v>71</v>
      </c>
      <c r="B6" s="42">
        <f t="shared" si="1"/>
        <v>522149</v>
      </c>
      <c r="C6" s="42">
        <f t="shared" si="1"/>
        <v>72512352</v>
      </c>
      <c r="D6" s="42">
        <f t="shared" si="1"/>
        <v>95239341</v>
      </c>
      <c r="E6" s="42">
        <f t="shared" si="1"/>
        <v>115832975</v>
      </c>
      <c r="F6" s="42">
        <f t="shared" si="1"/>
        <v>109149244</v>
      </c>
      <c r="G6" s="42">
        <f t="shared" si="1"/>
        <v>126305677</v>
      </c>
      <c r="H6" s="42">
        <f t="shared" si="1"/>
        <v>160326474</v>
      </c>
      <c r="I6" s="42">
        <f t="shared" si="1"/>
        <v>145178416</v>
      </c>
      <c r="J6" s="42">
        <f t="shared" si="1"/>
        <v>160573861</v>
      </c>
      <c r="K6" s="42">
        <f t="shared" si="1"/>
        <v>182408698</v>
      </c>
      <c r="L6" s="42">
        <f t="shared" si="1"/>
        <v>168039266</v>
      </c>
      <c r="M6" s="42">
        <f t="shared" si="0"/>
        <v>161733115</v>
      </c>
      <c r="N6" s="42">
        <f t="shared" si="0"/>
        <v>174159602</v>
      </c>
      <c r="O6" s="42">
        <f t="shared" si="0"/>
        <v>168799978</v>
      </c>
      <c r="P6" s="42">
        <f t="shared" si="0"/>
        <v>186750989</v>
      </c>
      <c r="Q6" s="43">
        <f t="shared" si="0"/>
        <v>164705112.67678431</v>
      </c>
      <c r="R6" s="43">
        <f t="shared" si="0"/>
        <v>140716445.78568619</v>
      </c>
      <c r="S6" s="43">
        <f t="shared" si="0"/>
        <v>142512291.62113082</v>
      </c>
      <c r="T6" s="43">
        <f t="shared" si="0"/>
        <v>117376610.37788923</v>
      </c>
      <c r="U6" s="43">
        <f t="shared" si="0"/>
        <v>134845058.83369169</v>
      </c>
      <c r="V6" s="43">
        <f t="shared" si="0"/>
        <v>136351148.08407462</v>
      </c>
      <c r="W6" s="43">
        <f t="shared" si="0"/>
        <v>133821704.80183303</v>
      </c>
      <c r="X6" s="43">
        <f t="shared" si="0"/>
        <v>138346920.03904358</v>
      </c>
      <c r="Y6" s="43">
        <f t="shared" si="0"/>
        <v>129956626.89892343</v>
      </c>
      <c r="Z6" s="43">
        <f t="shared" si="0"/>
        <v>127186222.00002687</v>
      </c>
      <c r="AA6" s="43">
        <f t="shared" si="0"/>
        <v>121269613.41446209</v>
      </c>
      <c r="AB6" s="43">
        <f t="shared" si="0"/>
        <v>101240619.70178121</v>
      </c>
      <c r="AC6" s="43">
        <f t="shared" si="0"/>
        <v>82633023.337302715</v>
      </c>
      <c r="AD6" s="43">
        <f t="shared" si="0"/>
        <v>79342211.90022485</v>
      </c>
      <c r="AE6" s="43">
        <f t="shared" si="0"/>
        <v>66092994.474684596</v>
      </c>
      <c r="AF6" s="43">
        <f t="shared" si="0"/>
        <v>42792107.327294968</v>
      </c>
      <c r="AG6" s="43">
        <f t="shared" si="0"/>
        <v>46548231.491320372</v>
      </c>
      <c r="AH6" s="43">
        <f t="shared" si="0"/>
        <v>45983534.523676209</v>
      </c>
      <c r="AI6" s="43">
        <f t="shared" si="0"/>
        <v>39484408.383064814</v>
      </c>
      <c r="AJ6" s="43">
        <f t="shared" si="0"/>
        <v>39843355.014377698</v>
      </c>
      <c r="AK6" s="43">
        <f t="shared" si="0"/>
        <v>39959327.581385151</v>
      </c>
      <c r="AL6" s="43">
        <f t="shared" si="0"/>
        <v>39855152.222467944</v>
      </c>
      <c r="AM6" s="43">
        <f t="shared" si="0"/>
        <v>39848541.123324387</v>
      </c>
      <c r="AN6" s="43">
        <f t="shared" si="0"/>
        <v>40414622.459199637</v>
      </c>
      <c r="AO6" s="43">
        <f t="shared" si="0"/>
        <v>41006605.120472148</v>
      </c>
      <c r="AP6" s="43">
        <f t="shared" si="0"/>
        <v>41726248.571380414</v>
      </c>
      <c r="AQ6" s="43">
        <f t="shared" si="0"/>
        <v>43289792.42906148</v>
      </c>
      <c r="AR6" s="43"/>
      <c r="AS6" s="44">
        <f t="shared" si="2"/>
        <v>-3.913864323831362E-2</v>
      </c>
    </row>
    <row r="7" spans="1:45">
      <c r="A7" s="40" t="s">
        <v>47</v>
      </c>
      <c r="B7" s="42">
        <f t="shared" si="1"/>
        <v>485714</v>
      </c>
      <c r="C7" s="42">
        <f t="shared" si="1"/>
        <v>80127677</v>
      </c>
      <c r="D7" s="42">
        <f t="shared" si="1"/>
        <v>114551282</v>
      </c>
      <c r="E7" s="42">
        <f t="shared" si="1"/>
        <v>129014992</v>
      </c>
      <c r="F7" s="42">
        <f t="shared" si="1"/>
        <v>118170961</v>
      </c>
      <c r="G7" s="42">
        <f t="shared" si="1"/>
        <v>140394220</v>
      </c>
      <c r="H7" s="42">
        <f t="shared" si="1"/>
        <v>182870966</v>
      </c>
      <c r="I7" s="42">
        <f t="shared" si="1"/>
        <v>186105670</v>
      </c>
      <c r="J7" s="42">
        <f t="shared" si="1"/>
        <v>182292273</v>
      </c>
      <c r="K7" s="42">
        <f t="shared" si="1"/>
        <v>179698181</v>
      </c>
      <c r="L7" s="42">
        <f t="shared" si="1"/>
        <v>161820889</v>
      </c>
      <c r="M7" s="42">
        <f t="shared" si="0"/>
        <v>163828393</v>
      </c>
      <c r="N7" s="42">
        <f t="shared" si="0"/>
        <v>151651903</v>
      </c>
      <c r="O7" s="42">
        <f t="shared" si="0"/>
        <v>203013371</v>
      </c>
      <c r="P7" s="42">
        <f t="shared" si="0"/>
        <v>178936379</v>
      </c>
      <c r="Q7" s="43">
        <f t="shared" si="0"/>
        <v>164099619.81557757</v>
      </c>
      <c r="R7" s="43">
        <f t="shared" si="0"/>
        <v>144439438.55361927</v>
      </c>
      <c r="S7" s="43">
        <f t="shared" si="0"/>
        <v>146568784.57170254</v>
      </c>
      <c r="T7" s="43">
        <f t="shared" si="0"/>
        <v>123029294.45498154</v>
      </c>
      <c r="U7" s="43">
        <f t="shared" si="0"/>
        <v>136783731.09519178</v>
      </c>
      <c r="V7" s="43">
        <f t="shared" si="0"/>
        <v>139164742.91701373</v>
      </c>
      <c r="W7" s="43">
        <f t="shared" si="0"/>
        <v>137471099.99620375</v>
      </c>
      <c r="X7" s="43">
        <f t="shared" si="0"/>
        <v>143049418.59556749</v>
      </c>
      <c r="Y7" s="43">
        <f t="shared" si="0"/>
        <v>134452728.98326743</v>
      </c>
      <c r="Z7" s="43">
        <f t="shared" si="0"/>
        <v>131043162.18091474</v>
      </c>
      <c r="AA7" s="43">
        <f t="shared" si="0"/>
        <v>125343223.80045235</v>
      </c>
      <c r="AB7" s="43">
        <f t="shared" si="0"/>
        <v>104800773.14402252</v>
      </c>
      <c r="AC7" s="43">
        <f t="shared" si="0"/>
        <v>85430243.344923288</v>
      </c>
      <c r="AD7" s="43">
        <f t="shared" si="0"/>
        <v>82425097.325468734</v>
      </c>
      <c r="AE7" s="43">
        <f t="shared" si="0"/>
        <v>68613825.977823466</v>
      </c>
      <c r="AF7" s="43">
        <f t="shared" si="0"/>
        <v>43713544.070697702</v>
      </c>
      <c r="AG7" s="43">
        <f t="shared" si="0"/>
        <v>47736945.757739931</v>
      </c>
      <c r="AH7" s="43">
        <f t="shared" si="0"/>
        <v>47127746.739188507</v>
      </c>
      <c r="AI7" s="43">
        <f t="shared" si="0"/>
        <v>40166506.986797497</v>
      </c>
      <c r="AJ7" s="43">
        <f t="shared" si="0"/>
        <v>40547323.411183581</v>
      </c>
      <c r="AK7" s="43">
        <f t="shared" si="0"/>
        <v>40675890.020761862</v>
      </c>
      <c r="AL7" s="43">
        <f t="shared" si="0"/>
        <v>40564604.152590662</v>
      </c>
      <c r="AM7" s="43">
        <f t="shared" si="0"/>
        <v>40557407.850233182</v>
      </c>
      <c r="AN7" s="43">
        <f t="shared" si="0"/>
        <v>41160728.465688989</v>
      </c>
      <c r="AO7" s="43">
        <f t="shared" si="0"/>
        <v>41792535.396682635</v>
      </c>
      <c r="AP7" s="43">
        <f t="shared" si="0"/>
        <v>42562672.722163565</v>
      </c>
      <c r="AQ7" s="43">
        <f t="shared" si="0"/>
        <v>44235394.14040456</v>
      </c>
      <c r="AR7" s="43"/>
      <c r="AS7" s="45">
        <f t="shared" si="2"/>
        <v>0.20268600390457392</v>
      </c>
    </row>
    <row r="8" spans="1:45">
      <c r="A8" s="40" t="s">
        <v>72</v>
      </c>
      <c r="B8" s="42">
        <f t="shared" si="1"/>
        <v>637838</v>
      </c>
      <c r="C8" s="42">
        <f t="shared" si="1"/>
        <v>81715377</v>
      </c>
      <c r="D8" s="42">
        <f t="shared" si="1"/>
        <v>112491179</v>
      </c>
      <c r="E8" s="42">
        <f t="shared" si="1"/>
        <v>132287074</v>
      </c>
      <c r="F8" s="42">
        <f t="shared" si="1"/>
        <v>123746657</v>
      </c>
      <c r="G8" s="42">
        <f t="shared" si="1"/>
        <v>156431461</v>
      </c>
      <c r="H8" s="42">
        <f t="shared" si="1"/>
        <v>216195892</v>
      </c>
      <c r="I8" s="42">
        <f t="shared" si="1"/>
        <v>228773847</v>
      </c>
      <c r="J8" s="42">
        <f t="shared" si="1"/>
        <v>172782518</v>
      </c>
      <c r="K8" s="42">
        <f>K24+K40+K56</f>
        <v>163491563</v>
      </c>
      <c r="L8" s="42">
        <f t="shared" si="1"/>
        <v>182268531</v>
      </c>
      <c r="M8" s="42">
        <f t="shared" si="0"/>
        <v>172045534</v>
      </c>
      <c r="N8" s="42">
        <f t="shared" si="0"/>
        <v>162170057</v>
      </c>
      <c r="O8" s="42">
        <f t="shared" si="0"/>
        <v>194186168</v>
      </c>
      <c r="P8" s="42">
        <f t="shared" si="0"/>
        <v>175042432</v>
      </c>
      <c r="Q8" s="43">
        <f t="shared" si="0"/>
        <v>168866490.42728215</v>
      </c>
      <c r="R8" s="43">
        <f t="shared" si="0"/>
        <v>144579112.31785151</v>
      </c>
      <c r="S8" s="43">
        <f t="shared" si="0"/>
        <v>145427760.43191114</v>
      </c>
      <c r="T8" s="43">
        <f t="shared" si="0"/>
        <v>121065019.4510794</v>
      </c>
      <c r="U8" s="43">
        <f t="shared" si="0"/>
        <v>135597984.46585736</v>
      </c>
      <c r="V8" s="43">
        <f t="shared" si="0"/>
        <v>139309540.21101218</v>
      </c>
      <c r="W8" s="43">
        <f t="shared" si="0"/>
        <v>136663228.91604441</v>
      </c>
      <c r="X8" s="43">
        <f t="shared" si="0"/>
        <v>141647465.14095953</v>
      </c>
      <c r="Y8" s="43">
        <f t="shared" si="0"/>
        <v>133110838.32977715</v>
      </c>
      <c r="Z8" s="43">
        <f t="shared" si="0"/>
        <v>129971394.84631868</v>
      </c>
      <c r="AA8" s="43">
        <f t="shared" si="0"/>
        <v>124324284.482003</v>
      </c>
      <c r="AB8" s="43">
        <f t="shared" si="0"/>
        <v>103795877.5624413</v>
      </c>
      <c r="AC8" s="43">
        <f t="shared" si="0"/>
        <v>84641613.751507774</v>
      </c>
      <c r="AD8" s="43">
        <f t="shared" si="0"/>
        <v>81522352.409449667</v>
      </c>
      <c r="AE8" s="43">
        <f t="shared" si="0"/>
        <v>67892536.083656996</v>
      </c>
      <c r="AF8" s="43">
        <f t="shared" si="0"/>
        <v>43537146.595147587</v>
      </c>
      <c r="AG8" s="43">
        <f t="shared" si="0"/>
        <v>47459849.383548036</v>
      </c>
      <c r="AH8" s="43">
        <f t="shared" si="0"/>
        <v>46866385.103900492</v>
      </c>
      <c r="AI8" s="43">
        <f t="shared" si="0"/>
        <v>40065258.308110505</v>
      </c>
      <c r="AJ8" s="43">
        <f t="shared" si="0"/>
        <v>40440438.111021221</v>
      </c>
      <c r="AK8" s="43">
        <f t="shared" si="0"/>
        <v>40564268.057488382</v>
      </c>
      <c r="AL8" s="43">
        <f t="shared" si="0"/>
        <v>40453980.628063649</v>
      </c>
      <c r="AM8" s="43">
        <f t="shared" si="0"/>
        <v>40447013.616381824</v>
      </c>
      <c r="AN8" s="43">
        <f t="shared" si="0"/>
        <v>41038814.590467334</v>
      </c>
      <c r="AO8" s="43">
        <f t="shared" si="0"/>
        <v>41657837.89907515</v>
      </c>
      <c r="AP8" s="43">
        <f t="shared" si="0"/>
        <v>42410844.992799371</v>
      </c>
      <c r="AQ8" s="43">
        <f t="shared" si="0"/>
        <v>44046445.478066429</v>
      </c>
      <c r="AR8" s="43"/>
      <c r="AS8" s="45">
        <f t="shared" si="2"/>
        <v>-4.3480894664814973E-2</v>
      </c>
    </row>
    <row r="9" spans="1:45">
      <c r="A9" s="40" t="s">
        <v>73</v>
      </c>
      <c r="B9" s="42">
        <f t="shared" si="1"/>
        <v>37929238</v>
      </c>
      <c r="C9" s="42">
        <f t="shared" si="1"/>
        <v>89555693</v>
      </c>
      <c r="D9" s="42">
        <f t="shared" si="1"/>
        <v>99992886</v>
      </c>
      <c r="E9" s="42">
        <f t="shared" si="1"/>
        <v>135011084</v>
      </c>
      <c r="F9" s="42">
        <f t="shared" si="1"/>
        <v>152931939</v>
      </c>
      <c r="G9" s="42">
        <f t="shared" si="1"/>
        <v>179582165</v>
      </c>
      <c r="H9" s="42">
        <f t="shared" si="1"/>
        <v>179126043</v>
      </c>
      <c r="I9" s="42">
        <f t="shared" si="1"/>
        <v>204921202</v>
      </c>
      <c r="J9" s="42">
        <f t="shared" si="1"/>
        <v>175091203</v>
      </c>
      <c r="K9" s="42">
        <f t="shared" si="1"/>
        <v>185779056</v>
      </c>
      <c r="L9" s="42">
        <f t="shared" si="1"/>
        <v>182733358</v>
      </c>
      <c r="M9" s="42">
        <f t="shared" si="0"/>
        <v>162272680</v>
      </c>
      <c r="N9" s="42">
        <f t="shared" si="0"/>
        <v>146261573</v>
      </c>
      <c r="O9" s="42">
        <f t="shared" si="0"/>
        <v>172912484</v>
      </c>
      <c r="P9" s="42">
        <f t="shared" si="0"/>
        <v>168018140</v>
      </c>
      <c r="Q9" s="43">
        <f t="shared" si="0"/>
        <v>161021881.08261746</v>
      </c>
      <c r="R9" s="43">
        <f t="shared" si="0"/>
        <v>137187901.04320136</v>
      </c>
      <c r="S9" s="43">
        <f t="shared" si="0"/>
        <v>138239448.46829909</v>
      </c>
      <c r="T9" s="43">
        <f t="shared" si="0"/>
        <v>114697199.86648804</v>
      </c>
      <c r="U9" s="43">
        <f t="shared" si="0"/>
        <v>130497271.4445492</v>
      </c>
      <c r="V9" s="43">
        <f t="shared" si="0"/>
        <v>132663248.99176314</v>
      </c>
      <c r="W9" s="43">
        <f t="shared" si="0"/>
        <v>130180404.75883834</v>
      </c>
      <c r="X9" s="43">
        <f t="shared" si="0"/>
        <v>135908895.91856623</v>
      </c>
      <c r="Y9" s="43">
        <f t="shared" si="0"/>
        <v>127904355.08080365</v>
      </c>
      <c r="Z9" s="43">
        <f t="shared" si="0"/>
        <v>124949601.33814098</v>
      </c>
      <c r="AA9" s="43">
        <f t="shared" si="0"/>
        <v>119499344.3580589</v>
      </c>
      <c r="AB9" s="43">
        <f t="shared" si="0"/>
        <v>99861803.856778279</v>
      </c>
      <c r="AC9" s="43">
        <f t="shared" si="0"/>
        <v>81378905.018022671</v>
      </c>
      <c r="AD9" s="43">
        <f t="shared" si="0"/>
        <v>78795596.739123717</v>
      </c>
      <c r="AE9" s="43">
        <f t="shared" si="0"/>
        <v>65612270.421355069</v>
      </c>
      <c r="AF9" s="43">
        <f t="shared" si="0"/>
        <v>41396731.065163232</v>
      </c>
      <c r="AG9" s="43">
        <f t="shared" si="0"/>
        <v>45297191.793687485</v>
      </c>
      <c r="AH9" s="43">
        <f t="shared" si="0"/>
        <v>44714256.336226098</v>
      </c>
      <c r="AI9" s="43">
        <f t="shared" si="0"/>
        <v>37956655.5089854</v>
      </c>
      <c r="AJ9" s="43">
        <f t="shared" si="0"/>
        <v>38327373.109225795</v>
      </c>
      <c r="AK9" s="43">
        <f t="shared" si="0"/>
        <v>38449188.25712762</v>
      </c>
      <c r="AL9" s="43">
        <f t="shared" si="0"/>
        <v>38340501.220444262</v>
      </c>
      <c r="AM9" s="43">
        <f t="shared" si="0"/>
        <v>38334260.986607656</v>
      </c>
      <c r="AN9" s="43">
        <f t="shared" si="0"/>
        <v>38922388.844669148</v>
      </c>
      <c r="AO9" s="43">
        <f t="shared" si="0"/>
        <v>39537420.368126988</v>
      </c>
      <c r="AP9" s="43">
        <f t="shared" si="0"/>
        <v>40285755.8463424</v>
      </c>
      <c r="AQ9" s="43">
        <f t="shared" si="0"/>
        <v>41911326.495391265</v>
      </c>
      <c r="AR9" s="43"/>
      <c r="AS9" s="44">
        <f t="shared" si="2"/>
        <v>-0.10955303469400557</v>
      </c>
    </row>
    <row r="10" spans="1:45">
      <c r="A10" s="40" t="s">
        <v>74</v>
      </c>
      <c r="B10" s="42">
        <f t="shared" si="1"/>
        <v>34678112</v>
      </c>
      <c r="C10" s="42">
        <f t="shared" si="1"/>
        <v>103537294</v>
      </c>
      <c r="D10" s="42">
        <f t="shared" si="1"/>
        <v>99752856</v>
      </c>
      <c r="E10" s="42">
        <f t="shared" si="1"/>
        <v>148822283</v>
      </c>
      <c r="F10" s="42">
        <f t="shared" si="1"/>
        <v>141280370</v>
      </c>
      <c r="G10" s="42">
        <f t="shared" si="1"/>
        <v>173266269</v>
      </c>
      <c r="H10" s="42">
        <f t="shared" si="1"/>
        <v>226164286</v>
      </c>
      <c r="I10" s="42">
        <f t="shared" si="1"/>
        <v>209577776</v>
      </c>
      <c r="J10" s="42">
        <f t="shared" si="1"/>
        <v>193652290</v>
      </c>
      <c r="K10" s="42">
        <f t="shared" si="1"/>
        <v>162420863</v>
      </c>
      <c r="L10" s="42">
        <f t="shared" si="1"/>
        <v>187845121</v>
      </c>
      <c r="M10" s="42">
        <f t="shared" si="0"/>
        <v>165630384</v>
      </c>
      <c r="N10" s="42">
        <f t="shared" si="0"/>
        <v>167103111</v>
      </c>
      <c r="O10" s="42">
        <f t="shared" si="0"/>
        <v>196639603</v>
      </c>
      <c r="P10" s="42">
        <f t="shared" si="0"/>
        <v>163097890</v>
      </c>
      <c r="Q10" s="43">
        <f t="shared" si="0"/>
        <v>169013541.29676008</v>
      </c>
      <c r="R10" s="43">
        <f t="shared" si="0"/>
        <v>144988551.43382367</v>
      </c>
      <c r="S10" s="43">
        <f t="shared" si="0"/>
        <v>146785461.05524242</v>
      </c>
      <c r="T10" s="43">
        <f t="shared" si="0"/>
        <v>120850204.25406893</v>
      </c>
      <c r="U10" s="43">
        <f t="shared" si="0"/>
        <v>135012114.84807137</v>
      </c>
      <c r="V10" s="43">
        <f t="shared" si="0"/>
        <v>139493648.8532109</v>
      </c>
      <c r="W10" s="43">
        <f t="shared" si="0"/>
        <v>136912010.08934438</v>
      </c>
      <c r="X10" s="43">
        <f t="shared" si="0"/>
        <v>142424159.84104717</v>
      </c>
      <c r="Y10" s="43">
        <f t="shared" si="0"/>
        <v>133699222.98234148</v>
      </c>
      <c r="Z10" s="43">
        <f t="shared" si="0"/>
        <v>130539262.09658688</v>
      </c>
      <c r="AA10" s="43">
        <f t="shared" si="0"/>
        <v>125076165.91507885</v>
      </c>
      <c r="AB10" s="43">
        <f t="shared" si="0"/>
        <v>104459922.10102892</v>
      </c>
      <c r="AC10" s="43">
        <f t="shared" si="0"/>
        <v>85118954.639064685</v>
      </c>
      <c r="AD10" s="43">
        <f t="shared" si="0"/>
        <v>82232075.271887317</v>
      </c>
      <c r="AE10" s="43">
        <f t="shared" si="0"/>
        <v>68487958.193493441</v>
      </c>
      <c r="AF10" s="43">
        <f t="shared" si="0"/>
        <v>43489560.676133975</v>
      </c>
      <c r="AG10" s="43">
        <f t="shared" si="0"/>
        <v>47512951.679601751</v>
      </c>
      <c r="AH10" s="43">
        <f t="shared" si="0"/>
        <v>46903207.734880954</v>
      </c>
      <c r="AI10" s="43">
        <f t="shared" si="0"/>
        <v>39920510.195027895</v>
      </c>
      <c r="AJ10" s="43">
        <f t="shared" si="0"/>
        <v>40306995.189045466</v>
      </c>
      <c r="AK10" s="43">
        <f t="shared" si="0"/>
        <v>40434728.638250478</v>
      </c>
      <c r="AL10" s="43">
        <f t="shared" si="0"/>
        <v>40320714.818387233</v>
      </c>
      <c r="AM10" s="43">
        <f t="shared" si="0"/>
        <v>40313346.236916147</v>
      </c>
      <c r="AN10" s="43">
        <f t="shared" si="0"/>
        <v>40921271.879660465</v>
      </c>
      <c r="AO10" s="43">
        <f t="shared" ref="AO10:AQ10" si="3">AO26+AO42+AO58</f>
        <v>41557276.346813813</v>
      </c>
      <c r="AP10" s="43">
        <f t="shared" si="3"/>
        <v>42330448.921139404</v>
      </c>
      <c r="AQ10" s="43">
        <f t="shared" si="3"/>
        <v>44009576.230021834</v>
      </c>
      <c r="AR10" s="43"/>
      <c r="AS10" s="44">
        <f t="shared" si="2"/>
        <v>0.13722039294745203</v>
      </c>
    </row>
    <row r="11" spans="1:45">
      <c r="A11" s="40" t="s">
        <v>75</v>
      </c>
      <c r="B11" s="42">
        <f t="shared" si="1"/>
        <v>42726945</v>
      </c>
      <c r="C11" s="42">
        <f t="shared" si="1"/>
        <v>118872486</v>
      </c>
      <c r="D11" s="42">
        <f t="shared" si="1"/>
        <v>85342771</v>
      </c>
      <c r="E11" s="42">
        <f t="shared" si="1"/>
        <v>147880261</v>
      </c>
      <c r="F11" s="42">
        <f t="shared" si="1"/>
        <v>146235413</v>
      </c>
      <c r="G11" s="42">
        <f t="shared" si="1"/>
        <v>142819646</v>
      </c>
      <c r="H11" s="42">
        <f t="shared" si="1"/>
        <v>236838041</v>
      </c>
      <c r="I11" s="42">
        <f t="shared" si="1"/>
        <v>176230508</v>
      </c>
      <c r="J11" s="42">
        <f t="shared" si="1"/>
        <v>168821035</v>
      </c>
      <c r="K11" s="42">
        <f t="shared" si="1"/>
        <v>158518831</v>
      </c>
      <c r="L11" s="42">
        <f t="shared" si="1"/>
        <v>181919433</v>
      </c>
      <c r="M11" s="42">
        <f t="shared" si="1"/>
        <v>151727069</v>
      </c>
      <c r="N11" s="42">
        <f t="shared" si="1"/>
        <v>160952336</v>
      </c>
      <c r="O11" s="42">
        <f t="shared" si="1"/>
        <v>187501121</v>
      </c>
      <c r="P11" s="42">
        <f t="shared" si="1"/>
        <v>159115544</v>
      </c>
      <c r="Q11" s="43">
        <f t="shared" si="1"/>
        <v>162141378.50227746</v>
      </c>
      <c r="R11" s="43">
        <f t="shared" ref="R11:AQ14" si="4">R27+R43+R59</f>
        <v>137070046.66257191</v>
      </c>
      <c r="S11" s="43">
        <f t="shared" si="4"/>
        <v>139701759.84852144</v>
      </c>
      <c r="T11" s="43">
        <f t="shared" si="4"/>
        <v>115146929.54700071</v>
      </c>
      <c r="U11" s="43">
        <f t="shared" si="4"/>
        <v>129120218.36669084</v>
      </c>
      <c r="V11" s="43">
        <f t="shared" si="4"/>
        <v>132993408.92425884</v>
      </c>
      <c r="W11" s="43">
        <f t="shared" si="4"/>
        <v>130309419.08697954</v>
      </c>
      <c r="X11" s="43">
        <f t="shared" si="4"/>
        <v>135533313.16699892</v>
      </c>
      <c r="Y11" s="43">
        <f t="shared" si="4"/>
        <v>127243870.42832586</v>
      </c>
      <c r="Z11" s="43">
        <f t="shared" si="4"/>
        <v>124265747.35660404</v>
      </c>
      <c r="AA11" s="43">
        <f t="shared" si="4"/>
        <v>118955086.06397367</v>
      </c>
      <c r="AB11" s="43">
        <f t="shared" si="4"/>
        <v>99325347.054693758</v>
      </c>
      <c r="AC11" s="43">
        <f t="shared" si="4"/>
        <v>80976000.900478974</v>
      </c>
      <c r="AD11" s="43">
        <f t="shared" si="4"/>
        <v>78126932.585535616</v>
      </c>
      <c r="AE11" s="43">
        <f t="shared" si="4"/>
        <v>65067144.929834642</v>
      </c>
      <c r="AF11" s="43">
        <f t="shared" si="4"/>
        <v>41484501.138926752</v>
      </c>
      <c r="AG11" s="43">
        <f t="shared" si="4"/>
        <v>45280446.869079821</v>
      </c>
      <c r="AH11" s="43">
        <f t="shared" si="4"/>
        <v>44707060.260795444</v>
      </c>
      <c r="AI11" s="43">
        <f t="shared" si="4"/>
        <v>38120330.434644088</v>
      </c>
      <c r="AJ11" s="43">
        <f t="shared" si="4"/>
        <v>38484338.693321906</v>
      </c>
      <c r="AK11" s="43">
        <f t="shared" si="4"/>
        <v>38604391.043551162</v>
      </c>
      <c r="AL11" s="43">
        <f t="shared" si="4"/>
        <v>38497209.253846355</v>
      </c>
      <c r="AM11" s="43">
        <f t="shared" si="4"/>
        <v>38490551.405130334</v>
      </c>
      <c r="AN11" s="43">
        <f t="shared" si="4"/>
        <v>39063664.438432477</v>
      </c>
      <c r="AO11" s="43">
        <f t="shared" si="4"/>
        <v>39663298.075577304</v>
      </c>
      <c r="AP11" s="43">
        <f t="shared" si="4"/>
        <v>40392498.343591601</v>
      </c>
      <c r="AQ11" s="43">
        <f t="shared" si="4"/>
        <v>41976323.63988629</v>
      </c>
      <c r="AR11" s="43"/>
      <c r="AS11" s="46">
        <f t="shared" si="2"/>
        <v>-4.6473252898095008E-2</v>
      </c>
    </row>
    <row r="12" spans="1:45">
      <c r="A12" s="40" t="s">
        <v>76</v>
      </c>
      <c r="B12" s="42">
        <f t="shared" si="1"/>
        <v>40533085</v>
      </c>
      <c r="C12" s="42">
        <f t="shared" si="1"/>
        <v>118230916</v>
      </c>
      <c r="D12" s="42">
        <f t="shared" si="1"/>
        <v>83227266</v>
      </c>
      <c r="E12" s="42">
        <f t="shared" si="1"/>
        <v>152841558</v>
      </c>
      <c r="F12" s="42">
        <f t="shared" si="1"/>
        <v>143215770</v>
      </c>
      <c r="G12" s="42">
        <f t="shared" si="1"/>
        <v>154040451</v>
      </c>
      <c r="H12" s="42">
        <f t="shared" si="1"/>
        <v>209977729</v>
      </c>
      <c r="I12" s="42">
        <f t="shared" si="1"/>
        <v>186033545</v>
      </c>
      <c r="J12" s="42">
        <f t="shared" si="1"/>
        <v>191598338</v>
      </c>
      <c r="K12" s="42">
        <f t="shared" si="1"/>
        <v>160399806</v>
      </c>
      <c r="L12" s="42">
        <f t="shared" si="1"/>
        <v>164772262</v>
      </c>
      <c r="M12" s="42">
        <f t="shared" si="1"/>
        <v>157667026</v>
      </c>
      <c r="N12" s="42">
        <f t="shared" si="1"/>
        <v>155371189</v>
      </c>
      <c r="O12" s="42">
        <f t="shared" si="1"/>
        <v>201830538</v>
      </c>
      <c r="P12" s="42">
        <f t="shared" si="1"/>
        <v>174298400</v>
      </c>
      <c r="Q12" s="43">
        <f t="shared" si="1"/>
        <v>162676977.37988558</v>
      </c>
      <c r="R12" s="43">
        <f t="shared" si="4"/>
        <v>141422418.44170514</v>
      </c>
      <c r="S12" s="43">
        <f t="shared" si="4"/>
        <v>144220086.10602698</v>
      </c>
      <c r="T12" s="43">
        <f t="shared" si="4"/>
        <v>120984500.62985013</v>
      </c>
      <c r="U12" s="43">
        <f t="shared" si="4"/>
        <v>134516507.19702715</v>
      </c>
      <c r="V12" s="43">
        <f t="shared" si="4"/>
        <v>137022937.72639018</v>
      </c>
      <c r="W12" s="43">
        <f t="shared" si="4"/>
        <v>135100069.18678448</v>
      </c>
      <c r="X12" s="43">
        <f t="shared" si="4"/>
        <v>140344621.52125853</v>
      </c>
      <c r="Y12" s="43">
        <f t="shared" si="4"/>
        <v>131875824.12008809</v>
      </c>
      <c r="Z12" s="43">
        <f t="shared" si="4"/>
        <v>128578906.90381737</v>
      </c>
      <c r="AA12" s="43">
        <f t="shared" si="4"/>
        <v>122895989.04569952</v>
      </c>
      <c r="AB12" s="43">
        <f t="shared" si="4"/>
        <v>102707775.42419414</v>
      </c>
      <c r="AC12" s="43">
        <f t="shared" si="4"/>
        <v>83759463.595440015</v>
      </c>
      <c r="AD12" s="43">
        <f t="shared" si="4"/>
        <v>80657740.224200934</v>
      </c>
      <c r="AE12" s="43">
        <f t="shared" si="4"/>
        <v>67138598.343252495</v>
      </c>
      <c r="AF12" s="43">
        <f t="shared" si="4"/>
        <v>43018593.194236487</v>
      </c>
      <c r="AG12" s="43">
        <f t="shared" si="4"/>
        <v>46913369.252731718</v>
      </c>
      <c r="AH12" s="43">
        <f t="shared" si="4"/>
        <v>46321374.413755596</v>
      </c>
      <c r="AI12" s="43">
        <f t="shared" si="4"/>
        <v>39575282.60606163</v>
      </c>
      <c r="AJ12" s="43">
        <f t="shared" si="4"/>
        <v>39944107.091764219</v>
      </c>
      <c r="AK12" s="43">
        <f t="shared" si="4"/>
        <v>40068690.069543049</v>
      </c>
      <c r="AL12" s="43">
        <f t="shared" si="4"/>
        <v>39960606.651114695</v>
      </c>
      <c r="AM12" s="43">
        <f t="shared" si="4"/>
        <v>39954333.435124196</v>
      </c>
      <c r="AN12" s="43">
        <f t="shared" si="4"/>
        <v>40537363.353492819</v>
      </c>
      <c r="AO12" s="43">
        <f t="shared" si="4"/>
        <v>41148019.550030038</v>
      </c>
      <c r="AP12" s="43">
        <f t="shared" si="4"/>
        <v>41893595.570082486</v>
      </c>
      <c r="AQ12" s="43">
        <f t="shared" si="4"/>
        <v>43513870.048506938</v>
      </c>
      <c r="AR12" s="43"/>
      <c r="AS12" s="47">
        <f t="shared" si="2"/>
        <v>7.6423100425090151E-2</v>
      </c>
    </row>
    <row r="13" spans="1:45">
      <c r="A13" s="40" t="s">
        <v>77</v>
      </c>
      <c r="B13" s="42">
        <f t="shared" si="1"/>
        <v>33139101</v>
      </c>
      <c r="C13" s="42">
        <f t="shared" si="1"/>
        <v>108978201</v>
      </c>
      <c r="D13" s="42">
        <f t="shared" si="1"/>
        <v>68834962</v>
      </c>
      <c r="E13" s="42">
        <f t="shared" si="1"/>
        <v>142711036</v>
      </c>
      <c r="F13" s="42">
        <f t="shared" si="1"/>
        <v>129358498</v>
      </c>
      <c r="G13" s="42">
        <f t="shared" si="1"/>
        <v>126427524</v>
      </c>
      <c r="H13" s="42">
        <f t="shared" si="1"/>
        <v>225386120</v>
      </c>
      <c r="I13" s="42">
        <f t="shared" si="1"/>
        <v>172212170</v>
      </c>
      <c r="J13" s="42">
        <f t="shared" si="1"/>
        <v>163700900</v>
      </c>
      <c r="K13" s="42">
        <f t="shared" si="1"/>
        <v>134375291</v>
      </c>
      <c r="L13" s="42">
        <f t="shared" si="1"/>
        <v>164773007</v>
      </c>
      <c r="M13" s="42">
        <f t="shared" si="1"/>
        <v>162339335</v>
      </c>
      <c r="N13" s="42">
        <f t="shared" si="1"/>
        <v>175112972</v>
      </c>
      <c r="O13" s="42">
        <f t="shared" si="1"/>
        <v>178562497</v>
      </c>
      <c r="P13" s="42">
        <f t="shared" si="1"/>
        <v>156165502</v>
      </c>
      <c r="Q13" s="43">
        <f t="shared" si="1"/>
        <v>158704392.37558138</v>
      </c>
      <c r="R13" s="43">
        <f t="shared" si="4"/>
        <v>137466746.45016271</v>
      </c>
      <c r="S13" s="43">
        <f t="shared" si="4"/>
        <v>138753917.9607507</v>
      </c>
      <c r="T13" s="43">
        <f t="shared" si="4"/>
        <v>113004425.43592112</v>
      </c>
      <c r="U13" s="43">
        <f t="shared" si="4"/>
        <v>127355037.13851352</v>
      </c>
      <c r="V13" s="43">
        <f t="shared" si="4"/>
        <v>131470105.95904052</v>
      </c>
      <c r="W13" s="43">
        <f t="shared" si="4"/>
        <v>129098397.62127578</v>
      </c>
      <c r="X13" s="43">
        <f t="shared" si="4"/>
        <v>133616703.1294142</v>
      </c>
      <c r="Y13" s="43">
        <f t="shared" si="4"/>
        <v>125286718.30508187</v>
      </c>
      <c r="Z13" s="43">
        <f t="shared" si="4"/>
        <v>122494806.19279402</v>
      </c>
      <c r="AA13" s="43">
        <f t="shared" si="4"/>
        <v>117225060.4787682</v>
      </c>
      <c r="AB13" s="43">
        <f t="shared" si="4"/>
        <v>97855516.814721644</v>
      </c>
      <c r="AC13" s="43">
        <f t="shared" si="4"/>
        <v>79754987.671513289</v>
      </c>
      <c r="AD13" s="43">
        <f t="shared" si="4"/>
        <v>76797781.289620012</v>
      </c>
      <c r="AE13" s="43">
        <f t="shared" si="4"/>
        <v>63959912.633462854</v>
      </c>
      <c r="AF13" s="43">
        <f t="shared" si="4"/>
        <v>40996551.953184247</v>
      </c>
      <c r="AG13" s="43">
        <f t="shared" si="4"/>
        <v>44689238.574471466</v>
      </c>
      <c r="AH13" s="43">
        <f t="shared" si="4"/>
        <v>44122100.949559122</v>
      </c>
      <c r="AI13" s="43">
        <f t="shared" si="4"/>
        <v>37703528.239322603</v>
      </c>
      <c r="AJ13" s="43">
        <f t="shared" si="4"/>
        <v>38058698.259524584</v>
      </c>
      <c r="AK13" s="43">
        <f t="shared" si="4"/>
        <v>38175473.005922981</v>
      </c>
      <c r="AL13" s="43">
        <f t="shared" si="4"/>
        <v>38070437.106506743</v>
      </c>
      <c r="AM13" s="43">
        <f t="shared" si="4"/>
        <v>38064900.975542396</v>
      </c>
      <c r="AN13" s="43">
        <f t="shared" si="4"/>
        <v>38620578.509853579</v>
      </c>
      <c r="AO13" s="43">
        <f t="shared" si="4"/>
        <v>39201899.013566591</v>
      </c>
      <c r="AP13" s="43">
        <f t="shared" si="4"/>
        <v>39911106.761941127</v>
      </c>
      <c r="AQ13" s="43">
        <f t="shared" si="4"/>
        <v>41453383.039911635</v>
      </c>
      <c r="AR13" s="43"/>
      <c r="AS13" s="47">
        <f t="shared" si="2"/>
        <v>-0.11528503679656243</v>
      </c>
    </row>
    <row r="14" spans="1:45">
      <c r="A14" s="40" t="s">
        <v>78</v>
      </c>
      <c r="B14" s="42">
        <f t="shared" si="1"/>
        <v>34477690</v>
      </c>
      <c r="C14" s="42">
        <f t="shared" si="1"/>
        <v>161133225</v>
      </c>
      <c r="D14" s="42">
        <f t="shared" si="1"/>
        <v>58960099</v>
      </c>
      <c r="E14" s="42">
        <f t="shared" si="1"/>
        <v>206648617</v>
      </c>
      <c r="F14" s="42">
        <f t="shared" si="1"/>
        <v>188302689</v>
      </c>
      <c r="G14" s="42">
        <f t="shared" si="1"/>
        <v>152479902</v>
      </c>
      <c r="H14" s="42">
        <f t="shared" si="1"/>
        <v>313350330</v>
      </c>
      <c r="I14" s="42">
        <f t="shared" si="1"/>
        <v>193711979</v>
      </c>
      <c r="J14" s="42">
        <f t="shared" si="1"/>
        <v>212930298</v>
      </c>
      <c r="K14" s="42">
        <f t="shared" si="1"/>
        <v>163919996</v>
      </c>
      <c r="L14" s="42">
        <f t="shared" si="1"/>
        <v>199885923</v>
      </c>
      <c r="M14" s="42">
        <f t="shared" si="1"/>
        <v>216969174</v>
      </c>
      <c r="N14" s="42">
        <f t="shared" si="1"/>
        <v>188600282</v>
      </c>
      <c r="O14" s="42">
        <f t="shared" si="1"/>
        <v>204702835</v>
      </c>
      <c r="P14" s="42">
        <f t="shared" si="1"/>
        <v>206260553</v>
      </c>
      <c r="Q14" s="43">
        <f t="shared" si="1"/>
        <v>365985295.30746078</v>
      </c>
      <c r="R14" s="43">
        <f t="shared" si="4"/>
        <v>171046626.92701417</v>
      </c>
      <c r="S14" s="43">
        <f t="shared" si="4"/>
        <v>190058118.80366105</v>
      </c>
      <c r="T14" s="43">
        <f t="shared" si="4"/>
        <v>165248109.67130482</v>
      </c>
      <c r="U14" s="43">
        <f t="shared" si="4"/>
        <v>196790911.95777324</v>
      </c>
      <c r="V14" s="43">
        <f t="shared" si="4"/>
        <v>211997028.4774088</v>
      </c>
      <c r="W14" s="43">
        <f t="shared" si="4"/>
        <v>186182015.03527075</v>
      </c>
      <c r="X14" s="43">
        <f t="shared" si="4"/>
        <v>195977768.21144441</v>
      </c>
      <c r="Y14" s="43">
        <f t="shared" si="4"/>
        <v>166491429.13057137</v>
      </c>
      <c r="Z14" s="43">
        <f t="shared" si="4"/>
        <v>172705287.51886305</v>
      </c>
      <c r="AA14" s="43">
        <f t="shared" si="4"/>
        <v>162773924.99381387</v>
      </c>
      <c r="AB14" s="43">
        <f t="shared" si="4"/>
        <v>136783601.02641195</v>
      </c>
      <c r="AC14" s="43">
        <f t="shared" si="4"/>
        <v>111411735.00133972</v>
      </c>
      <c r="AD14" s="43">
        <f t="shared" si="4"/>
        <v>104696347.81189941</v>
      </c>
      <c r="AE14" s="43">
        <f t="shared" si="4"/>
        <v>88092268.424245372</v>
      </c>
      <c r="AF14" s="43">
        <f t="shared" si="4"/>
        <v>58515037.060632057</v>
      </c>
      <c r="AG14" s="43">
        <f t="shared" si="4"/>
        <v>63278901.583934717</v>
      </c>
      <c r="AH14" s="43">
        <f t="shared" si="4"/>
        <v>62447415.304808781</v>
      </c>
      <c r="AI14" s="43">
        <f t="shared" si="4"/>
        <v>54165605.102881305</v>
      </c>
      <c r="AJ14" s="43">
        <f t="shared" si="4"/>
        <v>54723393.536615655</v>
      </c>
      <c r="AK14" s="43">
        <f t="shared" si="4"/>
        <v>54845252.069399916</v>
      </c>
      <c r="AL14" s="43">
        <f t="shared" si="4"/>
        <v>54706615.5338668</v>
      </c>
      <c r="AM14" s="43">
        <f t="shared" si="4"/>
        <v>54690827.680234909</v>
      </c>
      <c r="AN14" s="43">
        <f t="shared" si="4"/>
        <v>55396476.557838015</v>
      </c>
      <c r="AO14" s="43">
        <f t="shared" si="4"/>
        <v>56146068.052608542</v>
      </c>
      <c r="AP14" s="43">
        <f t="shared" si="4"/>
        <v>57045940.36080043</v>
      </c>
      <c r="AQ14" s="43">
        <f t="shared" si="4"/>
        <v>59018941.478080675</v>
      </c>
      <c r="AR14" s="43"/>
      <c r="AS14" s="47">
        <f t="shared" si="2"/>
        <v>0.14639321492015211</v>
      </c>
    </row>
    <row r="15" spans="1:45" ht="12" thickBot="1">
      <c r="A15" s="48" t="s">
        <v>29</v>
      </c>
      <c r="B15" s="49">
        <f>SUM(B3:B14)</f>
        <v>226963003</v>
      </c>
      <c r="C15" s="49">
        <f t="shared" ref="C15:AQ15" si="5">SUM(C3:C14)</f>
        <v>1081549902</v>
      </c>
      <c r="D15" s="49">
        <f t="shared" si="5"/>
        <v>1057176449</v>
      </c>
      <c r="E15" s="49">
        <f t="shared" si="5"/>
        <v>1571180819</v>
      </c>
      <c r="F15" s="49">
        <f t="shared" si="5"/>
        <v>1488723198</v>
      </c>
      <c r="G15" s="49">
        <f t="shared" si="5"/>
        <v>1589937580</v>
      </c>
      <c r="H15" s="49">
        <f t="shared" si="5"/>
        <v>2307275437</v>
      </c>
      <c r="I15" s="49">
        <f t="shared" si="5"/>
        <v>2050164384</v>
      </c>
      <c r="J15" s="49">
        <f t="shared" si="5"/>
        <v>2030594071</v>
      </c>
      <c r="K15" s="49">
        <f t="shared" si="5"/>
        <v>1898515130</v>
      </c>
      <c r="L15" s="49">
        <f t="shared" si="5"/>
        <v>2034367312</v>
      </c>
      <c r="M15" s="49">
        <f t="shared" si="5"/>
        <v>1913078061</v>
      </c>
      <c r="N15" s="49">
        <f t="shared" si="5"/>
        <v>1860533654</v>
      </c>
      <c r="O15" s="49">
        <f t="shared" si="5"/>
        <v>2183493984</v>
      </c>
      <c r="P15" s="49">
        <f t="shared" si="5"/>
        <v>2073990064</v>
      </c>
      <c r="Q15" s="50">
        <f t="shared" si="5"/>
        <v>1925954436.8642268</v>
      </c>
      <c r="R15" s="50">
        <f t="shared" si="5"/>
        <v>1652382983.9763932</v>
      </c>
      <c r="S15" s="50">
        <f t="shared" si="5"/>
        <v>1672147368.6026447</v>
      </c>
      <c r="T15" s="50">
        <f t="shared" si="5"/>
        <v>1393904224.8270702</v>
      </c>
      <c r="U15" s="50">
        <f t="shared" si="5"/>
        <v>1573167762.7863224</v>
      </c>
      <c r="V15" s="50">
        <f t="shared" si="5"/>
        <v>1599887969.1145668</v>
      </c>
      <c r="W15" s="50">
        <f t="shared" si="5"/>
        <v>1572123138.4461985</v>
      </c>
      <c r="X15" s="50">
        <f t="shared" si="5"/>
        <v>1631523155.1330748</v>
      </c>
      <c r="Y15" s="50">
        <f t="shared" si="5"/>
        <v>1533862018.6316206</v>
      </c>
      <c r="Z15" s="50">
        <f t="shared" si="5"/>
        <v>1497942676.7177336</v>
      </c>
      <c r="AA15" s="50">
        <f t="shared" si="5"/>
        <v>1430842856.8893466</v>
      </c>
      <c r="AB15" s="50">
        <f t="shared" si="5"/>
        <v>1195145653.2072315</v>
      </c>
      <c r="AC15" s="50">
        <f t="shared" si="5"/>
        <v>974785090.24673605</v>
      </c>
      <c r="AD15" s="50">
        <f t="shared" si="5"/>
        <v>938759041.43471694</v>
      </c>
      <c r="AE15" s="50">
        <f t="shared" si="5"/>
        <v>781634934.01788938</v>
      </c>
      <c r="AF15" s="50">
        <f t="shared" si="5"/>
        <v>501149910.63890761</v>
      </c>
      <c r="AG15" s="50">
        <f t="shared" si="5"/>
        <v>546377736.83955717</v>
      </c>
      <c r="AH15" s="50">
        <f t="shared" si="5"/>
        <v>539548505.73609734</v>
      </c>
      <c r="AI15" s="50">
        <f t="shared" si="5"/>
        <v>461204199.91867471</v>
      </c>
      <c r="AJ15" s="50">
        <f t="shared" si="5"/>
        <v>465499898.10701287</v>
      </c>
      <c r="AK15" s="50">
        <f t="shared" si="5"/>
        <v>466922278.36751503</v>
      </c>
      <c r="AL15" s="50">
        <f t="shared" si="5"/>
        <v>465665388.52743047</v>
      </c>
      <c r="AM15" s="50">
        <f t="shared" si="5"/>
        <v>465593867.40745842</v>
      </c>
      <c r="AN15" s="50">
        <f t="shared" si="5"/>
        <v>472387364.73279965</v>
      </c>
      <c r="AO15" s="50">
        <f t="shared" si="5"/>
        <v>479496054.43813562</v>
      </c>
      <c r="AP15" s="50">
        <f t="shared" si="5"/>
        <v>488161717.71614975</v>
      </c>
      <c r="AQ15" s="50">
        <f t="shared" si="5"/>
        <v>506993851.39593887</v>
      </c>
      <c r="AR15" s="43"/>
    </row>
    <row r="16" spans="1:45">
      <c r="A16" s="51"/>
      <c r="B16" s="51"/>
      <c r="C16" s="51"/>
      <c r="D16" s="51"/>
      <c r="E16" s="51"/>
      <c r="F16" s="51"/>
      <c r="G16" s="51"/>
      <c r="H16" s="51"/>
      <c r="I16" s="51"/>
      <c r="J16" s="51"/>
      <c r="K16" s="51"/>
      <c r="L16" s="51"/>
      <c r="M16" s="52">
        <f t="shared" ref="M16" si="6">M10/M9-1</f>
        <v>2.0691739361178962E-2</v>
      </c>
      <c r="N16" s="53"/>
      <c r="O16" s="54"/>
      <c r="P16" s="54"/>
      <c r="Q16" s="53"/>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row>
    <row r="17" spans="1:52" ht="12" thickBot="1">
      <c r="A17" s="39" t="s">
        <v>98</v>
      </c>
    </row>
    <row r="18" spans="1:52" ht="12" thickBot="1">
      <c r="A18" s="41"/>
      <c r="B18" s="41">
        <v>2010</v>
      </c>
      <c r="C18" s="41">
        <v>2011</v>
      </c>
      <c r="D18" s="41">
        <v>2012</v>
      </c>
      <c r="E18" s="41">
        <v>2013</v>
      </c>
      <c r="F18" s="41">
        <v>2014</v>
      </c>
      <c r="G18" s="41">
        <v>2015</v>
      </c>
      <c r="H18" s="41">
        <v>2016</v>
      </c>
      <c r="I18" s="41">
        <v>2017</v>
      </c>
      <c r="J18" s="41">
        <v>2018</v>
      </c>
      <c r="K18" s="41">
        <v>2019</v>
      </c>
      <c r="L18" s="41">
        <v>2020</v>
      </c>
      <c r="M18" s="41">
        <v>2021</v>
      </c>
      <c r="N18" s="41">
        <v>2022</v>
      </c>
      <c r="O18" s="41">
        <v>2023</v>
      </c>
      <c r="P18" s="41">
        <v>2024</v>
      </c>
      <c r="Q18" s="41">
        <v>2025</v>
      </c>
      <c r="R18" s="41">
        <v>2026</v>
      </c>
      <c r="S18" s="41">
        <v>2027</v>
      </c>
      <c r="T18" s="41">
        <v>2028</v>
      </c>
      <c r="U18" s="41">
        <v>2029</v>
      </c>
      <c r="V18" s="41">
        <v>2030</v>
      </c>
      <c r="W18" s="41">
        <v>2031</v>
      </c>
      <c r="X18" s="41">
        <v>2032</v>
      </c>
      <c r="Y18" s="41">
        <v>2033</v>
      </c>
      <c r="Z18" s="41">
        <v>2034</v>
      </c>
      <c r="AA18" s="41">
        <f>AA2</f>
        <v>2035</v>
      </c>
      <c r="AB18" s="41">
        <f t="shared" ref="AB18:AQ18" si="7">AB2</f>
        <v>2036</v>
      </c>
      <c r="AC18" s="41">
        <f t="shared" si="7"/>
        <v>2037</v>
      </c>
      <c r="AD18" s="41">
        <f t="shared" si="7"/>
        <v>2038</v>
      </c>
      <c r="AE18" s="41">
        <f t="shared" si="7"/>
        <v>2039</v>
      </c>
      <c r="AF18" s="41">
        <f t="shared" si="7"/>
        <v>2040</v>
      </c>
      <c r="AG18" s="41">
        <f t="shared" si="7"/>
        <v>2041</v>
      </c>
      <c r="AH18" s="41">
        <f t="shared" si="7"/>
        <v>2042</v>
      </c>
      <c r="AI18" s="41">
        <f t="shared" si="7"/>
        <v>2043</v>
      </c>
      <c r="AJ18" s="41">
        <f t="shared" si="7"/>
        <v>2044</v>
      </c>
      <c r="AK18" s="41">
        <f t="shared" si="7"/>
        <v>2045</v>
      </c>
      <c r="AL18" s="41">
        <f t="shared" si="7"/>
        <v>2046</v>
      </c>
      <c r="AM18" s="41">
        <f t="shared" si="7"/>
        <v>2047</v>
      </c>
      <c r="AN18" s="41">
        <f t="shared" si="7"/>
        <v>2048</v>
      </c>
      <c r="AO18" s="41">
        <f t="shared" si="7"/>
        <v>2049</v>
      </c>
      <c r="AP18" s="41">
        <f t="shared" si="7"/>
        <v>2050</v>
      </c>
      <c r="AQ18" s="41">
        <f t="shared" si="7"/>
        <v>2051</v>
      </c>
      <c r="AU18" s="40" t="s">
        <v>37</v>
      </c>
      <c r="AV18" s="40" t="s">
        <v>38</v>
      </c>
      <c r="AW18" s="40" t="s">
        <v>39</v>
      </c>
      <c r="AX18" s="40" t="s">
        <v>40</v>
      </c>
      <c r="AY18" s="40" t="s">
        <v>41</v>
      </c>
      <c r="AZ18" s="40" t="s">
        <v>38</v>
      </c>
    </row>
    <row r="19" spans="1:52">
      <c r="A19" s="40" t="s">
        <v>43</v>
      </c>
      <c r="B19" s="42">
        <f>'D4 Gallon Forecast'!B69+'D6 Gallon Forecast'!B65</f>
        <v>485714</v>
      </c>
      <c r="C19" s="42">
        <f>'D4 Gallon Forecast'!C69+'D6 Gallon Forecast'!C65</f>
        <v>33003428</v>
      </c>
      <c r="D19" s="42">
        <f>'D4 Gallon Forecast'!D69+'D6 Gallon Forecast'!D65</f>
        <v>60117730</v>
      </c>
      <c r="E19" s="42">
        <f>'D4 Gallon Forecast'!E69+'D6 Gallon Forecast'!E65</f>
        <v>71163938</v>
      </c>
      <c r="F19" s="42">
        <f>'D4 Gallon Forecast'!F69+'D6 Gallon Forecast'!F65</f>
        <v>56695627</v>
      </c>
      <c r="G19" s="42">
        <f>'D4 Gallon Forecast'!G69+'D6 Gallon Forecast'!G65</f>
        <v>55879853</v>
      </c>
      <c r="H19" s="42">
        <f>'D4 Gallon Forecast'!H69+'D6 Gallon Forecast'!H65</f>
        <v>85571711</v>
      </c>
      <c r="I19" s="42">
        <f>'D4 Gallon Forecast'!I69+'D6 Gallon Forecast'!I65</f>
        <v>65936175</v>
      </c>
      <c r="J19" s="42">
        <f>'D4 Gallon Forecast'!J69+'D6 Gallon Forecast'!J65</f>
        <v>110496056</v>
      </c>
      <c r="K19" s="42">
        <f>'D4 Gallon Forecast'!K69+'D6 Gallon Forecast'!K65</f>
        <v>107680155</v>
      </c>
      <c r="L19" s="42">
        <f>'D4 Gallon Forecast'!L69+'D6 Gallon Forecast'!L65</f>
        <v>118403817</v>
      </c>
      <c r="M19" s="42">
        <f>'D4 Gallon Forecast'!M69+'D6 Gallon Forecast'!M65</f>
        <v>107302585</v>
      </c>
      <c r="N19" s="42">
        <f>'D4 Gallon Forecast'!N69+'D6 Gallon Forecast'!N65</f>
        <v>90715015</v>
      </c>
      <c r="O19" s="42">
        <f>'D4 Gallon Forecast'!O69+'D6 Gallon Forecast'!O65</f>
        <v>119548309</v>
      </c>
      <c r="P19" s="42">
        <f>'D4 Gallon Forecast'!P69+'D6 Gallon Forecast'!P65</f>
        <v>121805230</v>
      </c>
      <c r="Q19" s="42">
        <f>'D4 Gallon Forecast'!Q69+'D6 Gallon Forecast'!Q65</f>
        <v>65635810</v>
      </c>
      <c r="R19" s="43">
        <f>'D4 Gallon Forecast'!R69+'D6 Gallon Forecast'!R65</f>
        <v>98403929.712170094</v>
      </c>
      <c r="S19" s="43">
        <f>'D4 Gallon Forecast'!S69+'D6 Gallon Forecast'!S65</f>
        <v>91177516.230390653</v>
      </c>
      <c r="T19" s="43">
        <f>'D4 Gallon Forecast'!T69+'D6 Gallon Forecast'!T65</f>
        <v>74141256.932401523</v>
      </c>
      <c r="U19" s="43">
        <f>'D4 Gallon Forecast'!U69+'D6 Gallon Forecast'!U65</f>
        <v>82870173.62170437</v>
      </c>
      <c r="V19" s="43">
        <f>'D4 Gallon Forecast'!V69+'D6 Gallon Forecast'!V65</f>
        <v>80201548.42160511</v>
      </c>
      <c r="W19" s="43">
        <f>'D4 Gallon Forecast'!W69+'D6 Gallon Forecast'!W65</f>
        <v>85099990.535403058</v>
      </c>
      <c r="X19" s="43">
        <f>'D4 Gallon Forecast'!X69+'D6 Gallon Forecast'!X65</f>
        <v>88554416.594787568</v>
      </c>
      <c r="Y19" s="43">
        <f>'D4 Gallon Forecast'!Y69+'D6 Gallon Forecast'!Y65</f>
        <v>103020164.23829782</v>
      </c>
      <c r="Z19" s="43">
        <f>'D4 Gallon Forecast'!Z69+'D6 Gallon Forecast'!Z65</f>
        <v>91550663.978546694</v>
      </c>
      <c r="AA19" s="43">
        <f>'D4 Gallon Forecast'!AA69+'D6 Gallon Forecast'!AA65</f>
        <v>89185582.602539837</v>
      </c>
      <c r="AB19" s="43">
        <f>'D4 Gallon Forecast'!AB69+'D6 Gallon Forecast'!AB65</f>
        <v>72152327.431409553</v>
      </c>
      <c r="AC19" s="43">
        <f>'D4 Gallon Forecast'!AC69+'D6 Gallon Forecast'!AC65</f>
        <v>59525288.88632378</v>
      </c>
      <c r="AD19" s="43">
        <f>'D4 Gallon Forecast'!AD69+'D6 Gallon Forecast'!AD65</f>
        <v>59952771.686018005</v>
      </c>
      <c r="AE19" s="43">
        <f>'D4 Gallon Forecast'!AE69+'D6 Gallon Forecast'!AE65</f>
        <v>48936842.763469808</v>
      </c>
      <c r="AF19" s="43">
        <f>'D4 Gallon Forecast'!AF69+'D6 Gallon Forecast'!AF65</f>
        <v>29492825.349619936</v>
      </c>
      <c r="AG19" s="43">
        <f>'D4 Gallon Forecast'!AG69+'D6 Gallon Forecast'!AG65</f>
        <v>32507729.327958819</v>
      </c>
      <c r="AH19" s="43">
        <f>'D4 Gallon Forecast'!AH69+'D6 Gallon Forecast'!AH65</f>
        <v>32228544.007321235</v>
      </c>
      <c r="AI19" s="43">
        <f>'D4 Gallon Forecast'!AI69+'D6 Gallon Forecast'!AI65</f>
        <v>26844185.880740315</v>
      </c>
      <c r="AJ19" s="43">
        <f>'D4 Gallon Forecast'!AJ69+'D6 Gallon Forecast'!AJ65</f>
        <v>27013877.851393197</v>
      </c>
      <c r="AK19" s="43">
        <f>'D4 Gallon Forecast'!AK69+'D6 Gallon Forecast'!AK65</f>
        <v>27120565.456817143</v>
      </c>
      <c r="AL19" s="43">
        <f>'D4 Gallon Forecast'!AL69+'D6 Gallon Forecast'!AL65</f>
        <v>27037295.703058902</v>
      </c>
      <c r="AM19" s="43">
        <f>'D4 Gallon Forecast'!AM69+'D6 Gallon Forecast'!AM65</f>
        <v>27062926.746440075</v>
      </c>
      <c r="AN19" s="43">
        <f>'D4 Gallon Forecast'!AN69+'D6 Gallon Forecast'!AN65</f>
        <v>27528461.504392359</v>
      </c>
      <c r="AO19" s="43">
        <f>'D4 Gallon Forecast'!AO69+'D6 Gallon Forecast'!AO65</f>
        <v>28000588.079461295</v>
      </c>
      <c r="AP19" s="43">
        <f>'D4 Gallon Forecast'!AP69+'D6 Gallon Forecast'!AP65</f>
        <v>28605820.310721993</v>
      </c>
      <c r="AQ19" s="43">
        <f>'D4 Gallon Forecast'!AQ69+'D6 Gallon Forecast'!AQ65</f>
        <v>29917963.233933732</v>
      </c>
      <c r="AR19" s="43"/>
      <c r="AS19" s="44">
        <f>O19/N30-1</f>
        <v>-0.1788779544747976</v>
      </c>
      <c r="AU19" s="42">
        <f t="shared" ref="AU19:AU31" si="8">AVERAGE(K19:O19)</f>
        <v>108729976.2</v>
      </c>
      <c r="AV19" s="42">
        <f t="shared" ref="AV19:AV31" si="9">P19-AU19</f>
        <v>13075253.799999997</v>
      </c>
      <c r="AW19" s="42">
        <f t="shared" ref="AW19:AW30" si="10">P19-O19</f>
        <v>2256921</v>
      </c>
      <c r="AX19" s="42">
        <f>P19/31</f>
        <v>3929200.9677419355</v>
      </c>
      <c r="AY19" s="42">
        <f>AU19/31</f>
        <v>3507418.5870967745</v>
      </c>
      <c r="AZ19" s="42">
        <f>AX19-AY19</f>
        <v>421782.38064516103</v>
      </c>
    </row>
    <row r="20" spans="1:52">
      <c r="A20" s="40" t="s">
        <v>44</v>
      </c>
      <c r="B20" s="42">
        <f>'D4 Gallon Forecast'!B70+'D6 Gallon Forecast'!B66</f>
        <v>538632</v>
      </c>
      <c r="C20" s="42">
        <f>'D4 Gallon Forecast'!C70+'D6 Gallon Forecast'!C66</f>
        <v>41762104</v>
      </c>
      <c r="D20" s="42">
        <f>'D4 Gallon Forecast'!D70+'D6 Gallon Forecast'!D66</f>
        <v>72928196</v>
      </c>
      <c r="E20" s="42">
        <f>'D4 Gallon Forecast'!E70+'D6 Gallon Forecast'!E66</f>
        <v>74517662</v>
      </c>
      <c r="F20" s="42">
        <f>'D4 Gallon Forecast'!F70+'D6 Gallon Forecast'!F66</f>
        <v>69859288</v>
      </c>
      <c r="G20" s="42">
        <f>'D4 Gallon Forecast'!G70+'D6 Gallon Forecast'!G66</f>
        <v>62847310</v>
      </c>
      <c r="H20" s="42">
        <f>'D4 Gallon Forecast'!H70+'D6 Gallon Forecast'!H66</f>
        <v>100401918</v>
      </c>
      <c r="I20" s="42">
        <f>'D4 Gallon Forecast'!I70+'D6 Gallon Forecast'!I66</f>
        <v>78476257</v>
      </c>
      <c r="J20" s="42">
        <f>'D4 Gallon Forecast'!J70+'D6 Gallon Forecast'!J66</f>
        <v>115536272</v>
      </c>
      <c r="K20" s="42">
        <f>'D4 Gallon Forecast'!K70+'D6 Gallon Forecast'!K66</f>
        <v>117330452</v>
      </c>
      <c r="L20" s="42">
        <f>'D4 Gallon Forecast'!L70+'D6 Gallon Forecast'!L66</f>
        <v>128033003</v>
      </c>
      <c r="M20" s="42">
        <f>'D4 Gallon Forecast'!M70+'D6 Gallon Forecast'!M66</f>
        <v>109881050</v>
      </c>
      <c r="N20" s="42">
        <f>'D4 Gallon Forecast'!N70+'D6 Gallon Forecast'!N66</f>
        <v>110442650</v>
      </c>
      <c r="O20" s="42">
        <f>'D4 Gallon Forecast'!O70+'D6 Gallon Forecast'!O66</f>
        <v>114742607</v>
      </c>
      <c r="P20" s="42">
        <f>'D4 Gallon Forecast'!P70+'D6 Gallon Forecast'!P66</f>
        <v>126446027</v>
      </c>
      <c r="Q20" s="42">
        <f>'D4 Gallon Forecast'!Q70+'D6 Gallon Forecast'!Q66</f>
        <v>73824502</v>
      </c>
      <c r="R20" s="43">
        <f>'D4 Gallon Forecast'!R70+'D6 Gallon Forecast'!R66</f>
        <v>104395754.92991993</v>
      </c>
      <c r="S20" s="43">
        <f>'D4 Gallon Forecast'!S70+'D6 Gallon Forecast'!S66</f>
        <v>97454869.70230253</v>
      </c>
      <c r="T20" s="43">
        <f>'D4 Gallon Forecast'!T70+'D6 Gallon Forecast'!T66</f>
        <v>77238131.167809233</v>
      </c>
      <c r="U20" s="43">
        <f>'D4 Gallon Forecast'!U70+'D6 Gallon Forecast'!U66</f>
        <v>88125514.124583527</v>
      </c>
      <c r="V20" s="43">
        <f>'D4 Gallon Forecast'!V70+'D6 Gallon Forecast'!V66</f>
        <v>85786369.292106777</v>
      </c>
      <c r="W20" s="43">
        <f>'D4 Gallon Forecast'!W70+'D6 Gallon Forecast'!W66</f>
        <v>90325960.577935055</v>
      </c>
      <c r="X20" s="43">
        <f>'D4 Gallon Forecast'!X70+'D6 Gallon Forecast'!X66</f>
        <v>94003417.252430812</v>
      </c>
      <c r="Y20" s="43">
        <f>'D4 Gallon Forecast'!Y70+'D6 Gallon Forecast'!Y66</f>
        <v>87994138.750292599</v>
      </c>
      <c r="Z20" s="43">
        <f>'D4 Gallon Forecast'!Z70+'D6 Gallon Forecast'!Z66</f>
        <v>85805420.643432975</v>
      </c>
      <c r="AA20" s="43">
        <f>'D4 Gallon Forecast'!AA70+'D6 Gallon Forecast'!AA66</f>
        <v>82361307.922389552</v>
      </c>
      <c r="AB20" s="43">
        <f>'D4 Gallon Forecast'!AB70+'D6 Gallon Forecast'!AB66</f>
        <v>69504679.76273784</v>
      </c>
      <c r="AC20" s="43">
        <f>'D4 Gallon Forecast'!AC70+'D6 Gallon Forecast'!AC66</f>
        <v>56244934.347341754</v>
      </c>
      <c r="AD20" s="43">
        <f>'D4 Gallon Forecast'!AD70+'D6 Gallon Forecast'!AD66</f>
        <v>55167090.064765602</v>
      </c>
      <c r="AE20" s="43">
        <f>'D4 Gallon Forecast'!AE70+'D6 Gallon Forecast'!AE66</f>
        <v>45936323.337684371</v>
      </c>
      <c r="AF20" s="43">
        <f>'D4 Gallon Forecast'!AF70+'D6 Gallon Forecast'!AF66</f>
        <v>27733737.867534786</v>
      </c>
      <c r="AG20" s="43">
        <f>'D4 Gallon Forecast'!AG70+'D6 Gallon Forecast'!AG66</f>
        <v>30701361.125791837</v>
      </c>
      <c r="AH20" s="43">
        <f>'D4 Gallon Forecast'!AH70+'D6 Gallon Forecast'!AH66</f>
        <v>30232122.44401766</v>
      </c>
      <c r="AI20" s="43">
        <f>'D4 Gallon Forecast'!AI70+'D6 Gallon Forecast'!AI66</f>
        <v>25143292.362227891</v>
      </c>
      <c r="AJ20" s="43">
        <f>'D4 Gallon Forecast'!AJ70+'D6 Gallon Forecast'!AJ66</f>
        <v>25426358.466015618</v>
      </c>
      <c r="AK20" s="43">
        <f>'D4 Gallon Forecast'!AK70+'D6 Gallon Forecast'!AK66</f>
        <v>25522894.243461803</v>
      </c>
      <c r="AL20" s="43">
        <f>'D4 Gallon Forecast'!AL70+'D6 Gallon Forecast'!AL66</f>
        <v>25442065.938274447</v>
      </c>
      <c r="AM20" s="43">
        <f>'D4 Gallon Forecast'!AM70+'D6 Gallon Forecast'!AM66</f>
        <v>25432458.703081127</v>
      </c>
      <c r="AN20" s="43">
        <f>'D4 Gallon Forecast'!AN70+'D6 Gallon Forecast'!AN66</f>
        <v>25876271.594432261</v>
      </c>
      <c r="AO20" s="43">
        <f>'D4 Gallon Forecast'!AO70+'D6 Gallon Forecast'!AO66</f>
        <v>26341027.215544645</v>
      </c>
      <c r="AP20" s="43">
        <f>'D4 Gallon Forecast'!AP70+'D6 Gallon Forecast'!AP66</f>
        <v>26905155.903602924</v>
      </c>
      <c r="AQ20" s="43">
        <f>'D4 Gallon Forecast'!AQ70+'D6 Gallon Forecast'!AQ66</f>
        <v>28128648.782003082</v>
      </c>
      <c r="AR20" s="43"/>
      <c r="AS20" s="44">
        <f>O20/O19-1</f>
        <v>-4.0198828742947779E-2</v>
      </c>
      <c r="AU20" s="42">
        <f t="shared" si="8"/>
        <v>116085952.40000001</v>
      </c>
      <c r="AV20" s="42">
        <f t="shared" si="9"/>
        <v>10360074.599999994</v>
      </c>
      <c r="AW20" s="42">
        <f t="shared" si="10"/>
        <v>11703420</v>
      </c>
      <c r="AX20" s="42">
        <f>P20/28</f>
        <v>4515929.5357142854</v>
      </c>
      <c r="AY20" s="42">
        <f>AU20/28</f>
        <v>4145926.8714285716</v>
      </c>
      <c r="AZ20" s="42">
        <f t="shared" ref="AZ20:AZ30" si="11">AX20-AY20</f>
        <v>370002.66428571381</v>
      </c>
    </row>
    <row r="21" spans="1:52">
      <c r="A21" s="40" t="s">
        <v>45</v>
      </c>
      <c r="B21" s="42">
        <f>'D4 Gallon Forecast'!B71+'D6 Gallon Forecast'!B67</f>
        <v>808785</v>
      </c>
      <c r="C21" s="42">
        <f>'D4 Gallon Forecast'!C71+'D6 Gallon Forecast'!C67</f>
        <v>63521035</v>
      </c>
      <c r="D21" s="42">
        <f>'D4 Gallon Forecast'!D71+'D6 Gallon Forecast'!D67</f>
        <v>95151425</v>
      </c>
      <c r="E21" s="42">
        <f>'D4 Gallon Forecast'!E71+'D6 Gallon Forecast'!E67</f>
        <v>101030322</v>
      </c>
      <c r="F21" s="42">
        <f>'D4 Gallon Forecast'!F71+'D6 Gallon Forecast'!F67</f>
        <v>90811260</v>
      </c>
      <c r="G21" s="42">
        <f>'D4 Gallon Forecast'!G71+'D6 Gallon Forecast'!G67</f>
        <v>92371029</v>
      </c>
      <c r="H21" s="42">
        <f>'D4 Gallon Forecast'!H71+'D6 Gallon Forecast'!H67</f>
        <v>126756378</v>
      </c>
      <c r="I21" s="42">
        <f>'D4 Gallon Forecast'!I71+'D6 Gallon Forecast'!I67</f>
        <v>111494709</v>
      </c>
      <c r="J21" s="42">
        <f>'D4 Gallon Forecast'!J71+'D6 Gallon Forecast'!J67</f>
        <v>145194734</v>
      </c>
      <c r="K21" s="42">
        <f>'D4 Gallon Forecast'!K71+'D6 Gallon Forecast'!K67</f>
        <v>147658797</v>
      </c>
      <c r="L21" s="42">
        <f>'D4 Gallon Forecast'!L71+'D6 Gallon Forecast'!L67</f>
        <v>150090658</v>
      </c>
      <c r="M21" s="42">
        <f>'D4 Gallon Forecast'!M71+'D6 Gallon Forecast'!M67</f>
        <v>150336910</v>
      </c>
      <c r="N21" s="42">
        <f>'D4 Gallon Forecast'!N71+'D6 Gallon Forecast'!N67</f>
        <v>135867416</v>
      </c>
      <c r="O21" s="42">
        <f>'D4 Gallon Forecast'!O71+'D6 Gallon Forecast'!O67</f>
        <v>130887285</v>
      </c>
      <c r="P21" s="42">
        <f>'D4 Gallon Forecast'!P71+'D6 Gallon Forecast'!P67</f>
        <v>134362588</v>
      </c>
      <c r="Q21" s="42">
        <f>'D4 Gallon Forecast'!Q71+'D6 Gallon Forecast'!Q67</f>
        <v>95833393</v>
      </c>
      <c r="R21" s="43">
        <f>'D4 Gallon Forecast'!R71+'D6 Gallon Forecast'!R67</f>
        <v>114811945.59047434</v>
      </c>
      <c r="S21" s="43">
        <f>'D4 Gallon Forecast'!S71+'D6 Gallon Forecast'!S67</f>
        <v>112551116.86989789</v>
      </c>
      <c r="T21" s="43">
        <f>'D4 Gallon Forecast'!T71+'D6 Gallon Forecast'!T67</f>
        <v>87967575.88659586</v>
      </c>
      <c r="U21" s="43">
        <f>'D4 Gallon Forecast'!U71+'D6 Gallon Forecast'!U67</f>
        <v>100313009.16682284</v>
      </c>
      <c r="V21" s="43">
        <f>'D4 Gallon Forecast'!V71+'D6 Gallon Forecast'!V67</f>
        <v>99525647.188424557</v>
      </c>
      <c r="W21" s="43">
        <f>'D4 Gallon Forecast'!W71+'D6 Gallon Forecast'!W67</f>
        <v>102732083.20875344</v>
      </c>
      <c r="X21" s="43">
        <f>'D4 Gallon Forecast'!X71+'D6 Gallon Forecast'!X67</f>
        <v>107753010.50959034</v>
      </c>
      <c r="Y21" s="43">
        <f>'D4 Gallon Forecast'!Y71+'D6 Gallon Forecast'!Y67</f>
        <v>100696338.31275597</v>
      </c>
      <c r="Z21" s="43">
        <f>'D4 Gallon Forecast'!Z71+'D6 Gallon Forecast'!Z67</f>
        <v>98275048.444190457</v>
      </c>
      <c r="AA21" s="43">
        <f>'D4 Gallon Forecast'!AA71+'D6 Gallon Forecast'!AA67</f>
        <v>94448147.282101542</v>
      </c>
      <c r="AB21" s="43">
        <f>'D4 Gallon Forecast'!AB71+'D6 Gallon Forecast'!AB67</f>
        <v>79529934.41327025</v>
      </c>
      <c r="AC21" s="43">
        <f>'D4 Gallon Forecast'!AC71+'D6 Gallon Forecast'!AC67</f>
        <v>64454751.820695102</v>
      </c>
      <c r="AD21" s="43">
        <f>'D4 Gallon Forecast'!AD71+'D6 Gallon Forecast'!AD67</f>
        <v>63215595.76909171</v>
      </c>
      <c r="AE21" s="43">
        <f>'D4 Gallon Forecast'!AE71+'D6 Gallon Forecast'!AE67</f>
        <v>52668274.493032731</v>
      </c>
      <c r="AF21" s="43">
        <f>'D4 Gallon Forecast'!AF71+'D6 Gallon Forecast'!AF67</f>
        <v>31833836.949735973</v>
      </c>
      <c r="AG21" s="43">
        <f>'D4 Gallon Forecast'!AG71+'D6 Gallon Forecast'!AG67</f>
        <v>35218421.165871389</v>
      </c>
      <c r="AH21" s="43">
        <f>'D4 Gallon Forecast'!AH71+'D6 Gallon Forecast'!AH67</f>
        <v>34695203.778580017</v>
      </c>
      <c r="AI21" s="43">
        <f>'D4 Gallon Forecast'!AI71+'D6 Gallon Forecast'!AI67</f>
        <v>28877510.744823832</v>
      </c>
      <c r="AJ21" s="43">
        <f>'D4 Gallon Forecast'!AJ71+'D6 Gallon Forecast'!AJ67</f>
        <v>29204532.279186379</v>
      </c>
      <c r="AK21" s="43">
        <f>'D4 Gallon Forecast'!AK71+'D6 Gallon Forecast'!AK67</f>
        <v>29313876.998979244</v>
      </c>
      <c r="AL21" s="43">
        <f>'D4 Gallon Forecast'!AL71+'D6 Gallon Forecast'!AL67</f>
        <v>29220072.667137213</v>
      </c>
      <c r="AM21" s="43">
        <f>'D4 Gallon Forecast'!AM71+'D6 Gallon Forecast'!AM67</f>
        <v>29208559.257200319</v>
      </c>
      <c r="AN21" s="43">
        <f>'D4 Gallon Forecast'!AN71+'D6 Gallon Forecast'!AN67</f>
        <v>29720146.093059704</v>
      </c>
      <c r="AO21" s="43">
        <f>'D4 Gallon Forecast'!AO71+'D6 Gallon Forecast'!AO67</f>
        <v>30255812.62343847</v>
      </c>
      <c r="AP21" s="43">
        <f>'D4 Gallon Forecast'!AP71+'D6 Gallon Forecast'!AP67</f>
        <v>30902250.794365857</v>
      </c>
      <c r="AQ21" s="43">
        <f>'D4 Gallon Forecast'!AQ71+'D6 Gallon Forecast'!AQ67</f>
        <v>32302475.644974548</v>
      </c>
      <c r="AR21" s="43"/>
      <c r="AS21" s="44">
        <f t="shared" ref="AS21:AS30" si="12">M21/M20-1</f>
        <v>0.36817868049131319</v>
      </c>
      <c r="AU21" s="42">
        <f t="shared" si="8"/>
        <v>142968213.19999999</v>
      </c>
      <c r="AV21" s="42">
        <f t="shared" si="9"/>
        <v>-8605625.1999999881</v>
      </c>
      <c r="AW21" s="42">
        <f t="shared" si="10"/>
        <v>3475303</v>
      </c>
      <c r="AX21" s="42">
        <f>P21/31</f>
        <v>4334277.0322580645</v>
      </c>
      <c r="AY21" s="42">
        <f>AU21/31</f>
        <v>4611877.8451612899</v>
      </c>
      <c r="AZ21" s="42">
        <f t="shared" si="11"/>
        <v>-277600.81290322542</v>
      </c>
    </row>
    <row r="22" spans="1:52">
      <c r="A22" s="40" t="s">
        <v>46</v>
      </c>
      <c r="B22" s="42">
        <f>'D4 Gallon Forecast'!B72+'D6 Gallon Forecast'!B68</f>
        <v>522149</v>
      </c>
      <c r="C22" s="42">
        <f>'D4 Gallon Forecast'!C72+'D6 Gallon Forecast'!C68</f>
        <v>70300597</v>
      </c>
      <c r="D22" s="42">
        <f>'D4 Gallon Forecast'!D72+'D6 Gallon Forecast'!D68</f>
        <v>92581599</v>
      </c>
      <c r="E22" s="42">
        <f>'D4 Gallon Forecast'!E72+'D6 Gallon Forecast'!E68</f>
        <v>111043708</v>
      </c>
      <c r="F22" s="42">
        <f>'D4 Gallon Forecast'!F72+'D6 Gallon Forecast'!F68</f>
        <v>103389773</v>
      </c>
      <c r="G22" s="42">
        <f>'D4 Gallon Forecast'!G72+'D6 Gallon Forecast'!G68</f>
        <v>106504091</v>
      </c>
      <c r="H22" s="42">
        <f>'D4 Gallon Forecast'!H72+'D6 Gallon Forecast'!H68</f>
        <v>126266788</v>
      </c>
      <c r="I22" s="42">
        <f>'D4 Gallon Forecast'!I72+'D6 Gallon Forecast'!I68</f>
        <v>124324164</v>
      </c>
      <c r="J22" s="42">
        <f>'D4 Gallon Forecast'!J72+'D6 Gallon Forecast'!J68</f>
        <v>144637673</v>
      </c>
      <c r="K22" s="42">
        <f>'D4 Gallon Forecast'!K72+'D6 Gallon Forecast'!K68</f>
        <v>160888556</v>
      </c>
      <c r="L22" s="42">
        <f>'D4 Gallon Forecast'!L72+'D6 Gallon Forecast'!L68</f>
        <v>149356126</v>
      </c>
      <c r="M22" s="42">
        <f>'D4 Gallon Forecast'!M72+'D6 Gallon Forecast'!M68</f>
        <v>144396494</v>
      </c>
      <c r="N22" s="42">
        <f>'D4 Gallon Forecast'!N72+'D6 Gallon Forecast'!N68</f>
        <v>144286382</v>
      </c>
      <c r="O22" s="42">
        <f>'D4 Gallon Forecast'!O72+'D6 Gallon Forecast'!O68</f>
        <v>133835520</v>
      </c>
      <c r="P22" s="42">
        <f>'D4 Gallon Forecast'!P72+'D6 Gallon Forecast'!P68</f>
        <v>136033783</v>
      </c>
      <c r="Q22" s="43">
        <f>'D4 Gallon Forecast'!Q72+'D6 Gallon Forecast'!Q68</f>
        <v>132224667.72068669</v>
      </c>
      <c r="R22" s="43">
        <f>'D4 Gallon Forecast'!R72+'D6 Gallon Forecast'!R68</f>
        <v>122416244.47003295</v>
      </c>
      <c r="S22" s="43">
        <f>'D4 Gallon Forecast'!S72+'D6 Gallon Forecast'!S68</f>
        <v>122921344.03755736</v>
      </c>
      <c r="T22" s="43">
        <f>'D4 Gallon Forecast'!T72+'D6 Gallon Forecast'!T68</f>
        <v>96679670.029158905</v>
      </c>
      <c r="U22" s="43">
        <f>'D4 Gallon Forecast'!U72+'D6 Gallon Forecast'!U68</f>
        <v>112101894.90846491</v>
      </c>
      <c r="V22" s="43">
        <f>'D4 Gallon Forecast'!V72+'D6 Gallon Forecast'!V68</f>
        <v>113977908.28088255</v>
      </c>
      <c r="W22" s="43">
        <f>'D4 Gallon Forecast'!W72+'D6 Gallon Forecast'!W68</f>
        <v>113276475.06123026</v>
      </c>
      <c r="X22" s="43">
        <f>'D4 Gallon Forecast'!X72+'D6 Gallon Forecast'!X68</f>
        <v>119707652.3851067</v>
      </c>
      <c r="Y22" s="43">
        <f>'D4 Gallon Forecast'!Y72+'D6 Gallon Forecast'!Y68</f>
        <v>112293438.61396642</v>
      </c>
      <c r="Z22" s="43">
        <f>'D4 Gallon Forecast'!Z72+'D6 Gallon Forecast'!Z68</f>
        <v>109862226.22683734</v>
      </c>
      <c r="AA22" s="43">
        <f>'D4 Gallon Forecast'!AA72+'D6 Gallon Forecast'!AA68</f>
        <v>105587189.65716207</v>
      </c>
      <c r="AB22" s="43">
        <f>'D4 Gallon Forecast'!AB72+'D6 Gallon Forecast'!AB68</f>
        <v>88474462.677411586</v>
      </c>
      <c r="AC22" s="43">
        <f>'D4 Gallon Forecast'!AC72+'D6 Gallon Forecast'!AC68</f>
        <v>71820743.607586741</v>
      </c>
      <c r="AD22" s="43">
        <f>'D4 Gallon Forecast'!AD72+'D6 Gallon Forecast'!AD68</f>
        <v>70491451.620413065</v>
      </c>
      <c r="AE22" s="43">
        <f>'D4 Gallon Forecast'!AE72+'D6 Gallon Forecast'!AE68</f>
        <v>58713037.71930261</v>
      </c>
      <c r="AF22" s="43">
        <f>'D4 Gallon Forecast'!AF72+'D6 Gallon Forecast'!AF68</f>
        <v>35425968.714917175</v>
      </c>
      <c r="AG22" s="43">
        <f>'D4 Gallon Forecast'!AG72+'D6 Gallon Forecast'!AG68</f>
        <v>39177092.053561442</v>
      </c>
      <c r="AH22" s="43">
        <f>'D4 Gallon Forecast'!AH72+'D6 Gallon Forecast'!AH68</f>
        <v>38610543.850432716</v>
      </c>
      <c r="AI22" s="43">
        <f>'D4 Gallon Forecast'!AI72+'D6 Gallon Forecast'!AI68</f>
        <v>32111140.083339047</v>
      </c>
      <c r="AJ22" s="43">
        <f>'D4 Gallon Forecast'!AJ72+'D6 Gallon Forecast'!AJ68</f>
        <v>32470653.858680107</v>
      </c>
      <c r="AK22" s="43">
        <f>'D4 Gallon Forecast'!AK72+'D6 Gallon Forecast'!AK68</f>
        <v>32588077.145624436</v>
      </c>
      <c r="AL22" s="43">
        <f>'D4 Gallon Forecast'!AL72+'D6 Gallon Forecast'!AL68</f>
        <v>32482879.22203064</v>
      </c>
      <c r="AM22" s="43">
        <f>'D4 Gallon Forecast'!AM72+'D6 Gallon Forecast'!AM68</f>
        <v>32476041.410351411</v>
      </c>
      <c r="AN22" s="43">
        <f>'D4 Gallon Forecast'!AN72+'D6 Gallon Forecast'!AN68</f>
        <v>33042220.938280769</v>
      </c>
      <c r="AO22" s="43">
        <f>'D4 Gallon Forecast'!AO72+'D6 Gallon Forecast'!AO68</f>
        <v>33634376.955314659</v>
      </c>
      <c r="AP22" s="43">
        <f>'D4 Gallon Forecast'!AP72+'D6 Gallon Forecast'!AP68</f>
        <v>34354115.004330941</v>
      </c>
      <c r="AQ22" s="43">
        <f>'D4 Gallon Forecast'!AQ72+'D6 Gallon Forecast'!AQ68</f>
        <v>35917481.235754259</v>
      </c>
      <c r="AR22" s="43"/>
      <c r="AS22" s="44">
        <f t="shared" si="12"/>
        <v>-3.951402220519229E-2</v>
      </c>
      <c r="AU22" s="42">
        <f t="shared" si="8"/>
        <v>146552615.59999999</v>
      </c>
      <c r="AV22" s="42">
        <f t="shared" si="9"/>
        <v>-10518832.599999994</v>
      </c>
      <c r="AW22" s="42">
        <f t="shared" si="10"/>
        <v>2198263</v>
      </c>
      <c r="AX22" s="42">
        <f>P22/30</f>
        <v>4534459.4333333336</v>
      </c>
      <c r="AY22" s="42">
        <f>AU22/30</f>
        <v>4885087.1866666665</v>
      </c>
      <c r="AZ22" s="42">
        <f t="shared" si="11"/>
        <v>-350627.75333333295</v>
      </c>
    </row>
    <row r="23" spans="1:52">
      <c r="A23" s="40" t="s">
        <v>47</v>
      </c>
      <c r="B23" s="42">
        <f>'D4 Gallon Forecast'!B73+'D6 Gallon Forecast'!B69</f>
        <v>485714</v>
      </c>
      <c r="C23" s="42">
        <f>'D4 Gallon Forecast'!C73+'D6 Gallon Forecast'!C69</f>
        <v>77877755</v>
      </c>
      <c r="D23" s="42">
        <f>'D4 Gallon Forecast'!D73+'D6 Gallon Forecast'!D69</f>
        <v>107554758</v>
      </c>
      <c r="E23" s="42">
        <f>'D4 Gallon Forecast'!E73+'D6 Gallon Forecast'!E69</f>
        <v>118981878</v>
      </c>
      <c r="F23" s="42">
        <f>'D4 Gallon Forecast'!F73+'D6 Gallon Forecast'!F69</f>
        <v>110374751</v>
      </c>
      <c r="G23" s="42">
        <f>'D4 Gallon Forecast'!G73+'D6 Gallon Forecast'!G69</f>
        <v>121530326</v>
      </c>
      <c r="H23" s="42">
        <f>'D4 Gallon Forecast'!H73+'D6 Gallon Forecast'!H69</f>
        <v>135286354</v>
      </c>
      <c r="I23" s="42">
        <f>'D4 Gallon Forecast'!I73+'D6 Gallon Forecast'!I69</f>
        <v>147074058</v>
      </c>
      <c r="J23" s="42">
        <f>'D4 Gallon Forecast'!J73+'D6 Gallon Forecast'!J69</f>
        <v>166235446</v>
      </c>
      <c r="K23" s="42">
        <f>'D4 Gallon Forecast'!K73+'D6 Gallon Forecast'!K69</f>
        <v>164042436</v>
      </c>
      <c r="L23" s="42">
        <f>'D4 Gallon Forecast'!L73+'D6 Gallon Forecast'!L69</f>
        <v>143174223</v>
      </c>
      <c r="M23" s="42">
        <f>'D4 Gallon Forecast'!M73+'D6 Gallon Forecast'!M69</f>
        <v>150501950</v>
      </c>
      <c r="N23" s="42">
        <f>'D4 Gallon Forecast'!N73+'D6 Gallon Forecast'!N69</f>
        <v>139875243</v>
      </c>
      <c r="O23" s="42">
        <f>'D4 Gallon Forecast'!O73+'D6 Gallon Forecast'!O69</f>
        <v>163593533</v>
      </c>
      <c r="P23" s="42">
        <f>'D4 Gallon Forecast'!P73+'D6 Gallon Forecast'!P69</f>
        <v>143484967</v>
      </c>
      <c r="Q23" s="43">
        <f>'D4 Gallon Forecast'!Q73+'D6 Gallon Forecast'!Q69</f>
        <v>138267096.32826346</v>
      </c>
      <c r="R23" s="43">
        <f>'D4 Gallon Forecast'!R73+'D6 Gallon Forecast'!R69</f>
        <v>130310192.52272382</v>
      </c>
      <c r="S23" s="43">
        <f>'D4 Gallon Forecast'!S73+'D6 Gallon Forecast'!S69</f>
        <v>131435944.45511936</v>
      </c>
      <c r="T23" s="43">
        <f>'D4 Gallon Forecast'!T73+'D6 Gallon Forecast'!T69</f>
        <v>105519961.3953646</v>
      </c>
      <c r="U23" s="43">
        <f>'D4 Gallon Forecast'!U73+'D6 Gallon Forecast'!U69</f>
        <v>119149255.52638401</v>
      </c>
      <c r="V23" s="43">
        <f>'D4 Gallon Forecast'!V73+'D6 Gallon Forecast'!V69</f>
        <v>121425566.67723595</v>
      </c>
      <c r="W23" s="43">
        <f>'D4 Gallon Forecast'!W73+'D6 Gallon Forecast'!W69</f>
        <v>121197076.49309711</v>
      </c>
      <c r="X23" s="43">
        <f>'D4 Gallon Forecast'!X73+'D6 Gallon Forecast'!X69</f>
        <v>128220648.95417902</v>
      </c>
      <c r="Y23" s="43">
        <f>'D4 Gallon Forecast'!Y73+'D6 Gallon Forecast'!Y69</f>
        <v>120324280.34561735</v>
      </c>
      <c r="Z23" s="43">
        <f>'D4 Gallon Forecast'!Z73+'D6 Gallon Forecast'!Z69</f>
        <v>117348155.98831487</v>
      </c>
      <c r="AA23" s="43">
        <f>'D4 Gallon Forecast'!AA73+'D6 Gallon Forecast'!AA69</f>
        <v>112889956.92296641</v>
      </c>
      <c r="AB23" s="43">
        <f>'D4 Gallon Forecast'!AB73+'D6 Gallon Forecast'!AB69</f>
        <v>94659421.307093531</v>
      </c>
      <c r="AC23" s="43">
        <f>'D4 Gallon Forecast'!AC73+'D6 Gallon Forecast'!AC69</f>
        <v>76834850.829395309</v>
      </c>
      <c r="AD23" s="43">
        <f>'D4 Gallon Forecast'!AD73+'D6 Gallon Forecast'!AD69</f>
        <v>75390379.516968921</v>
      </c>
      <c r="AE23" s="43">
        <f>'D4 Gallon Forecast'!AE73+'D6 Gallon Forecast'!AE69</f>
        <v>62758216.741239719</v>
      </c>
      <c r="AF23" s="43">
        <f>'D4 Gallon Forecast'!AF73+'D6 Gallon Forecast'!AF69</f>
        <v>37862171.733304806</v>
      </c>
      <c r="AG23" s="43">
        <f>'D4 Gallon Forecast'!AG73+'D6 Gallon Forecast'!AG69</f>
        <v>41880938.924156576</v>
      </c>
      <c r="AH23" s="43">
        <f>'D4 Gallon Forecast'!AH73+'D6 Gallon Forecast'!AH69</f>
        <v>41270140.080673009</v>
      </c>
      <c r="AI23" s="43">
        <f>'D4 Gallon Forecast'!AI73+'D6 Gallon Forecast'!AI69</f>
        <v>34309714.241686858</v>
      </c>
      <c r="AJ23" s="43">
        <f>'D4 Gallon Forecast'!AJ73+'D6 Gallon Forecast'!AJ69</f>
        <v>34691843.448946357</v>
      </c>
      <c r="AK23" s="43">
        <f>'D4 Gallon Forecast'!AK73+'D6 Gallon Forecast'!AK69</f>
        <v>34820435.513393946</v>
      </c>
      <c r="AL23" s="43">
        <f>'D4 Gallon Forecast'!AL73+'D6 Gallon Forecast'!AL69</f>
        <v>34708333.011227734</v>
      </c>
      <c r="AM23" s="43">
        <f>'D4 Gallon Forecast'!AM73+'D6 Gallon Forecast'!AM69</f>
        <v>34701083.847314343</v>
      </c>
      <c r="AN23" s="43">
        <f>'D4 Gallon Forecast'!AN73+'D6 Gallon Forecast'!AN69</f>
        <v>35304660.993889481</v>
      </c>
      <c r="AO23" s="43">
        <f>'D4 Gallon Forecast'!AO73+'D6 Gallon Forecast'!AO69</f>
        <v>35936612.979545347</v>
      </c>
      <c r="AP23" s="43">
        <f>'D4 Gallon Forecast'!AP73+'D6 Gallon Forecast'!AP69</f>
        <v>36706661.814046271</v>
      </c>
      <c r="AQ23" s="43">
        <f>'D4 Gallon Forecast'!AQ73+'D6 Gallon Forecast'!AQ69</f>
        <v>38379270.952137388</v>
      </c>
      <c r="AR23" s="43"/>
      <c r="AS23" s="45">
        <f t="shared" si="12"/>
        <v>4.2282577858157699E-2</v>
      </c>
      <c r="AU23" s="42">
        <f t="shared" si="8"/>
        <v>152237477</v>
      </c>
      <c r="AV23" s="42">
        <f t="shared" si="9"/>
        <v>-8752510</v>
      </c>
      <c r="AW23" s="42">
        <f t="shared" si="10"/>
        <v>-20108566</v>
      </c>
      <c r="AX23" s="42">
        <f>P23/31</f>
        <v>4628547.3225806449</v>
      </c>
      <c r="AY23" s="42">
        <f>AU23/31</f>
        <v>4910886.3548387093</v>
      </c>
      <c r="AZ23" s="42">
        <f t="shared" si="11"/>
        <v>-282339.03225806449</v>
      </c>
    </row>
    <row r="24" spans="1:52">
      <c r="A24" s="40" t="s">
        <v>48</v>
      </c>
      <c r="B24" s="42">
        <f>'D4 Gallon Forecast'!B74+'D6 Gallon Forecast'!B70</f>
        <v>637838</v>
      </c>
      <c r="C24" s="42">
        <f>'D4 Gallon Forecast'!C74+'D6 Gallon Forecast'!C70</f>
        <v>78205276</v>
      </c>
      <c r="D24" s="42">
        <f>'D4 Gallon Forecast'!D74+'D6 Gallon Forecast'!D70</f>
        <v>106613644</v>
      </c>
      <c r="E24" s="42">
        <f>'D4 Gallon Forecast'!E74+'D6 Gallon Forecast'!E70</f>
        <v>117539910</v>
      </c>
      <c r="F24" s="42">
        <f>'D4 Gallon Forecast'!F74+'D6 Gallon Forecast'!F70</f>
        <v>113673723</v>
      </c>
      <c r="G24" s="42">
        <f>'D4 Gallon Forecast'!G74+'D6 Gallon Forecast'!G70</f>
        <v>130919551</v>
      </c>
      <c r="H24" s="42">
        <f>'D4 Gallon Forecast'!H74+'D6 Gallon Forecast'!H70</f>
        <v>142593935</v>
      </c>
      <c r="I24" s="42">
        <f>'D4 Gallon Forecast'!I74+'D6 Gallon Forecast'!I70</f>
        <v>145011076</v>
      </c>
      <c r="J24" s="42">
        <f>'D4 Gallon Forecast'!J74+'D6 Gallon Forecast'!J70</f>
        <v>160548223</v>
      </c>
      <c r="K24" s="42">
        <f>'D4 Gallon Forecast'!K74+'D6 Gallon Forecast'!K70</f>
        <v>144102423</v>
      </c>
      <c r="L24" s="42">
        <f>'D4 Gallon Forecast'!L74+'D6 Gallon Forecast'!L70</f>
        <v>165519330</v>
      </c>
      <c r="M24" s="42">
        <f>'D4 Gallon Forecast'!M74+'D6 Gallon Forecast'!M70</f>
        <v>154457118</v>
      </c>
      <c r="N24" s="42">
        <f>'D4 Gallon Forecast'!N74+'D6 Gallon Forecast'!N70</f>
        <v>142855221</v>
      </c>
      <c r="O24" s="42">
        <f>'D4 Gallon Forecast'!O74+'D6 Gallon Forecast'!O70</f>
        <v>153006295</v>
      </c>
      <c r="P24" s="42">
        <f>'D4 Gallon Forecast'!P74+'D6 Gallon Forecast'!P70</f>
        <v>135252503</v>
      </c>
      <c r="Q24" s="43">
        <f>'D4 Gallon Forecast'!Q74+'D6 Gallon Forecast'!Q70</f>
        <v>140045050.30770057</v>
      </c>
      <c r="R24" s="43">
        <f>'D4 Gallon Forecast'!R74+'D6 Gallon Forecast'!R70</f>
        <v>128359653.65193625</v>
      </c>
      <c r="S24" s="43">
        <f>'D4 Gallon Forecast'!S74+'D6 Gallon Forecast'!S70</f>
        <v>128330012.29655263</v>
      </c>
      <c r="T24" s="43">
        <f>'D4 Gallon Forecast'!T74+'D6 Gallon Forecast'!T70</f>
        <v>102091759.37814935</v>
      </c>
      <c r="U24" s="43">
        <f>'D4 Gallon Forecast'!U74+'D6 Gallon Forecast'!U70</f>
        <v>116238479.60861513</v>
      </c>
      <c r="V24" s="43">
        <f>'D4 Gallon Forecast'!V74+'D6 Gallon Forecast'!V70</f>
        <v>119558749.84713495</v>
      </c>
      <c r="W24" s="43">
        <f>'D4 Gallon Forecast'!W74+'D6 Gallon Forecast'!W70</f>
        <v>118555530.76508413</v>
      </c>
      <c r="X24" s="43">
        <f>'D4 Gallon Forecast'!X74+'D6 Gallon Forecast'!X70</f>
        <v>125235511.15922807</v>
      </c>
      <c r="Y24" s="43">
        <f>'D4 Gallon Forecast'!Y74+'D6 Gallon Forecast'!Y70</f>
        <v>117532728.66920386</v>
      </c>
      <c r="Z24" s="43">
        <f>'D4 Gallon Forecast'!Z74+'D6 Gallon Forecast'!Z70</f>
        <v>114814686.13028248</v>
      </c>
      <c r="AA24" s="43">
        <f>'D4 Gallon Forecast'!AA74+'D6 Gallon Forecast'!AA70</f>
        <v>110516323.32493848</v>
      </c>
      <c r="AB24" s="43">
        <f>'D4 Gallon Forecast'!AB74+'D6 Gallon Forecast'!AB70</f>
        <v>92562963.773777321</v>
      </c>
      <c r="AC24" s="43">
        <f>'D4 Gallon Forecast'!AC74+'D6 Gallon Forecast'!AC70</f>
        <v>75131863.807259098</v>
      </c>
      <c r="AD24" s="43">
        <f>'D4 Gallon Forecast'!AD74+'D6 Gallon Forecast'!AD70</f>
        <v>73739981.688929409</v>
      </c>
      <c r="AE24" s="43">
        <f>'D4 Gallon Forecast'!AE74+'D6 Gallon Forecast'!AE70</f>
        <v>61408734.843822375</v>
      </c>
      <c r="AF24" s="43">
        <f>'D4 Gallon Forecast'!AF74+'D6 Gallon Forecast'!AF70</f>
        <v>37057040.818554834</v>
      </c>
      <c r="AG24" s="43">
        <f>'D4 Gallon Forecast'!AG74+'D6 Gallon Forecast'!AG70</f>
        <v>40977202.278882362</v>
      </c>
      <c r="AH24" s="43">
        <f>'D4 Gallon Forecast'!AH74+'D6 Gallon Forecast'!AH70</f>
        <v>40383088.553454258</v>
      </c>
      <c r="AI24" s="43">
        <f>'D4 Gallon Forecast'!AI74+'D6 Gallon Forecast'!AI70</f>
        <v>33582137.001945212</v>
      </c>
      <c r="AJ24" s="43">
        <f>'D4 Gallon Forecast'!AJ74+'D6 Gallon Forecast'!AJ70</f>
        <v>33957841.315480307</v>
      </c>
      <c r="AK24" s="43">
        <f>'D4 Gallon Forecast'!AK74+'D6 Gallon Forecast'!AK70</f>
        <v>34081911.750806212</v>
      </c>
      <c r="AL24" s="43">
        <f>'D4 Gallon Forecast'!AL74+'D6 Gallon Forecast'!AL70</f>
        <v>33971174.015363589</v>
      </c>
      <c r="AM24" s="43">
        <f>'D4 Gallon Forecast'!AM74+'D6 Gallon Forecast'!AM70</f>
        <v>33964175.102074891</v>
      </c>
      <c r="AN24" s="43">
        <f>'D4 Gallon Forecast'!AN74+'D6 Gallon Forecast'!AN70</f>
        <v>34556067.683388256</v>
      </c>
      <c r="AO24" s="43">
        <f>'D4 Gallon Forecast'!AO74+'D6 Gallon Forecast'!AO70</f>
        <v>35175165.87181332</v>
      </c>
      <c r="AP24" s="43">
        <f>'D4 Gallon Forecast'!AP74+'D6 Gallon Forecast'!AP70</f>
        <v>35928157.919193357</v>
      </c>
      <c r="AQ24" s="43">
        <f>'D4 Gallon Forecast'!AQ74+'D6 Gallon Forecast'!AQ70</f>
        <v>37563691.251075648</v>
      </c>
      <c r="AR24" s="43"/>
      <c r="AS24" s="45">
        <f t="shared" si="12"/>
        <v>2.6279845543529579E-2</v>
      </c>
      <c r="AU24" s="42">
        <f t="shared" si="8"/>
        <v>151988077.40000001</v>
      </c>
      <c r="AV24" s="42">
        <f t="shared" si="9"/>
        <v>-16735574.400000006</v>
      </c>
      <c r="AW24" s="42">
        <f t="shared" si="10"/>
        <v>-17753792</v>
      </c>
      <c r="AX24" s="42">
        <f>P24/30</f>
        <v>4508416.7666666666</v>
      </c>
      <c r="AY24" s="42">
        <f>AU24/30</f>
        <v>5066269.2466666671</v>
      </c>
      <c r="AZ24" s="42">
        <f t="shared" si="11"/>
        <v>-557852.48000000045</v>
      </c>
    </row>
    <row r="25" spans="1:52">
      <c r="A25" s="40" t="s">
        <v>49</v>
      </c>
      <c r="B25" s="42">
        <f>'D4 Gallon Forecast'!B75+'D6 Gallon Forecast'!B71</f>
        <v>36551830</v>
      </c>
      <c r="C25" s="42">
        <f>'D4 Gallon Forecast'!C75+'D6 Gallon Forecast'!C71</f>
        <v>87034571</v>
      </c>
      <c r="D25" s="42">
        <f>'D4 Gallon Forecast'!D75+'D6 Gallon Forecast'!D71</f>
        <v>97342403</v>
      </c>
      <c r="E25" s="42">
        <f>'D4 Gallon Forecast'!E75+'D6 Gallon Forecast'!E71</f>
        <v>128491052</v>
      </c>
      <c r="F25" s="42">
        <f>'D4 Gallon Forecast'!F75+'D6 Gallon Forecast'!F71</f>
        <v>128244034</v>
      </c>
      <c r="G25" s="42">
        <f>'D4 Gallon Forecast'!G75+'D6 Gallon Forecast'!G71</f>
        <v>129173039</v>
      </c>
      <c r="H25" s="42">
        <f>'D4 Gallon Forecast'!H75+'D6 Gallon Forecast'!H71</f>
        <v>137963278</v>
      </c>
      <c r="I25" s="42">
        <f>'D4 Gallon Forecast'!I75+'D6 Gallon Forecast'!I71</f>
        <v>150290364</v>
      </c>
      <c r="J25" s="42">
        <f>'D4 Gallon Forecast'!J75+'D6 Gallon Forecast'!J71</f>
        <v>169779870</v>
      </c>
      <c r="K25" s="42">
        <f>'D4 Gallon Forecast'!K75+'D6 Gallon Forecast'!K71</f>
        <v>169452631</v>
      </c>
      <c r="L25" s="42">
        <f>'D4 Gallon Forecast'!L75+'D6 Gallon Forecast'!L71</f>
        <v>162738265</v>
      </c>
      <c r="M25" s="42">
        <f>'D4 Gallon Forecast'!M75+'D6 Gallon Forecast'!M71</f>
        <v>146890338</v>
      </c>
      <c r="N25" s="42">
        <f>'D4 Gallon Forecast'!N75+'D6 Gallon Forecast'!N71</f>
        <v>137545866</v>
      </c>
      <c r="O25" s="42">
        <f>'D4 Gallon Forecast'!O75+'D6 Gallon Forecast'!O71</f>
        <v>142593233</v>
      </c>
      <c r="P25" s="42">
        <f>'D4 Gallon Forecast'!P75+'D6 Gallon Forecast'!P71</f>
        <v>145558251</v>
      </c>
      <c r="Q25" s="43">
        <f>'D4 Gallon Forecast'!Q75+'D6 Gallon Forecast'!Q71</f>
        <v>137425657.82361212</v>
      </c>
      <c r="R25" s="43">
        <f>'D4 Gallon Forecast'!R75+'D6 Gallon Forecast'!R71</f>
        <v>125903831.35632521</v>
      </c>
      <c r="S25" s="43">
        <f>'D4 Gallon Forecast'!S75+'D6 Gallon Forecast'!S71</f>
        <v>126720348.27339973</v>
      </c>
      <c r="T25" s="43">
        <f>'D4 Gallon Forecast'!T75+'D6 Gallon Forecast'!T71</f>
        <v>101335614.18540274</v>
      </c>
      <c r="U25" s="43">
        <f>'D4 Gallon Forecast'!U75+'D6 Gallon Forecast'!U71</f>
        <v>117078946.28193803</v>
      </c>
      <c r="V25" s="43">
        <f>'D4 Gallon Forecast'!V75+'D6 Gallon Forecast'!V71</f>
        <v>118277573.84951545</v>
      </c>
      <c r="W25" s="43">
        <f>'D4 Gallon Forecast'!W75+'D6 Gallon Forecast'!W71</f>
        <v>117507349.35108256</v>
      </c>
      <c r="X25" s="43">
        <f>'D4 Gallon Forecast'!X75+'D6 Gallon Forecast'!X71</f>
        <v>124410774.71316451</v>
      </c>
      <c r="Y25" s="43">
        <f>'D4 Gallon Forecast'!Y75+'D6 Gallon Forecast'!Y71</f>
        <v>116913123.98936598</v>
      </c>
      <c r="Z25" s="43">
        <f>'D4 Gallon Forecast'!Z75+'D6 Gallon Forecast'!Z71</f>
        <v>114251425.22002986</v>
      </c>
      <c r="AA25" s="43">
        <f>'D4 Gallon Forecast'!AA75+'D6 Gallon Forecast'!AA71</f>
        <v>109713150.0084217</v>
      </c>
      <c r="AB25" s="43">
        <f>'D4 Gallon Forecast'!AB75+'D6 Gallon Forecast'!AB71</f>
        <v>91955704.225734934</v>
      </c>
      <c r="AC25" s="43">
        <f>'D4 Gallon Forecast'!AC75+'D6 Gallon Forecast'!AC71</f>
        <v>74676173.923987448</v>
      </c>
      <c r="AD25" s="43">
        <f>'D4 Gallon Forecast'!AD75+'D6 Gallon Forecast'!AD71</f>
        <v>73302088.254906744</v>
      </c>
      <c r="AE25" s="43">
        <f>'D4 Gallon Forecast'!AE75+'D6 Gallon Forecast'!AE71</f>
        <v>61034821.961538091</v>
      </c>
      <c r="AF25" s="43">
        <f>'D4 Gallon Forecast'!AF75+'D6 Gallon Forecast'!AF71</f>
        <v>36821600.708692029</v>
      </c>
      <c r="AG25" s="43">
        <f>'D4 Gallon Forecast'!AG75+'D6 Gallon Forecast'!AG71</f>
        <v>40726110.852190033</v>
      </c>
      <c r="AH25" s="43">
        <f>'D4 Gallon Forecast'!AH75+'D6 Gallon Forecast'!AH71</f>
        <v>40140155.453395896</v>
      </c>
      <c r="AI25" s="43">
        <f>'D4 Gallon Forecast'!AI75+'D6 Gallon Forecast'!AI71</f>
        <v>33381409.638825245</v>
      </c>
      <c r="AJ25" s="43">
        <f>'D4 Gallon Forecast'!AJ75+'D6 Gallon Forecast'!AJ71</f>
        <v>33752769.407070599</v>
      </c>
      <c r="AK25" s="43">
        <f>'D4 Gallon Forecast'!AK75+'D6 Gallon Forecast'!AK71</f>
        <v>33875153.106504776</v>
      </c>
      <c r="AL25" s="43">
        <f>'D4 Gallon Forecast'!AL75+'D6 Gallon Forecast'!AL71</f>
        <v>33766684.910991088</v>
      </c>
      <c r="AM25" s="43">
        <f>'D4 Gallon Forecast'!AM75+'D6 Gallon Forecast'!AM71</f>
        <v>33759897.603563339</v>
      </c>
      <c r="AN25" s="43">
        <f>'D4 Gallon Forecast'!AN75+'D6 Gallon Forecast'!AN71</f>
        <v>34347972.961582012</v>
      </c>
      <c r="AO25" s="43">
        <f>'D4 Gallon Forecast'!AO75+'D6 Gallon Forecast'!AO71</f>
        <v>34963170.482454456</v>
      </c>
      <c r="AP25" s="43">
        <f>'D4 Gallon Forecast'!AP75+'D6 Gallon Forecast'!AP71</f>
        <v>35711576.723966397</v>
      </c>
      <c r="AQ25" s="43">
        <f>'D4 Gallon Forecast'!AQ75+'D6 Gallon Forecast'!AQ71</f>
        <v>37337117.578664631</v>
      </c>
      <c r="AR25" s="43"/>
      <c r="AS25" s="44">
        <f t="shared" si="12"/>
        <v>-4.8989519537714021E-2</v>
      </c>
      <c r="AU25" s="42">
        <f t="shared" si="8"/>
        <v>151844066.59999999</v>
      </c>
      <c r="AV25" s="42">
        <f t="shared" si="9"/>
        <v>-6285815.599999994</v>
      </c>
      <c r="AW25" s="42">
        <f t="shared" si="10"/>
        <v>2965018</v>
      </c>
      <c r="AX25" s="42">
        <f>P25/31</f>
        <v>4695427.4516129028</v>
      </c>
      <c r="AY25" s="42">
        <f>AU25/31</f>
        <v>4898195.6967741931</v>
      </c>
      <c r="AZ25" s="42">
        <f t="shared" si="11"/>
        <v>-202768.24516129028</v>
      </c>
    </row>
    <row r="26" spans="1:52">
      <c r="A26" s="40" t="s">
        <v>50</v>
      </c>
      <c r="B26" s="42">
        <f>'D4 Gallon Forecast'!B76+'D6 Gallon Forecast'!B72</f>
        <v>32362617</v>
      </c>
      <c r="C26" s="42">
        <f>'D4 Gallon Forecast'!C76+'D6 Gallon Forecast'!C72</f>
        <v>100953452</v>
      </c>
      <c r="D26" s="42">
        <f>'D4 Gallon Forecast'!D76+'D6 Gallon Forecast'!D72</f>
        <v>96353439</v>
      </c>
      <c r="E26" s="42">
        <f>'D4 Gallon Forecast'!E76+'D6 Gallon Forecast'!E72</f>
        <v>129887145</v>
      </c>
      <c r="F26" s="42">
        <f>'D4 Gallon Forecast'!F76+'D6 Gallon Forecast'!F72</f>
        <v>127450802</v>
      </c>
      <c r="G26" s="42">
        <f>'D4 Gallon Forecast'!G76+'D6 Gallon Forecast'!G72</f>
        <v>125610667</v>
      </c>
      <c r="H26" s="42">
        <f>'D4 Gallon Forecast'!H76+'D6 Gallon Forecast'!H72</f>
        <v>161646399</v>
      </c>
      <c r="I26" s="42">
        <f>'D4 Gallon Forecast'!I76+'D6 Gallon Forecast'!I72</f>
        <v>157536696</v>
      </c>
      <c r="J26" s="42">
        <f>'D4 Gallon Forecast'!J76+'D6 Gallon Forecast'!J72</f>
        <v>180631297</v>
      </c>
      <c r="K26" s="42">
        <f>'D4 Gallon Forecast'!K76+'D6 Gallon Forecast'!K72</f>
        <v>153598697</v>
      </c>
      <c r="L26" s="42">
        <f>'D4 Gallon Forecast'!L76+'D6 Gallon Forecast'!L72</f>
        <v>171493499</v>
      </c>
      <c r="M26" s="42">
        <f>'D4 Gallon Forecast'!M76+'D6 Gallon Forecast'!M72</f>
        <v>154582245</v>
      </c>
      <c r="N26" s="42">
        <f>'D4 Gallon Forecast'!N76+'D6 Gallon Forecast'!N72</f>
        <v>151833118</v>
      </c>
      <c r="O26" s="42">
        <f>'D4 Gallon Forecast'!O76+'D6 Gallon Forecast'!O72</f>
        <v>152399674</v>
      </c>
      <c r="P26" s="42">
        <f>'D4 Gallon Forecast'!P76+'D6 Gallon Forecast'!P72</f>
        <v>138600768</v>
      </c>
      <c r="Q26" s="43">
        <f>'D4 Gallon Forecast'!Q76+'D6 Gallon Forecast'!Q72</f>
        <v>143752082.98970303</v>
      </c>
      <c r="R26" s="43">
        <f>'D4 Gallon Forecast'!R76+'D6 Gallon Forecast'!R72</f>
        <v>131475908.29297099</v>
      </c>
      <c r="S26" s="43">
        <f>'D4 Gallon Forecast'!S76+'D6 Gallon Forecast'!S72</f>
        <v>132110220.97514307</v>
      </c>
      <c r="T26" s="43">
        <f>'D4 Gallon Forecast'!T76+'D6 Gallon Forecast'!T72</f>
        <v>104388940.9027721</v>
      </c>
      <c r="U26" s="43">
        <f>'D4 Gallon Forecast'!U76+'D6 Gallon Forecast'!U72</f>
        <v>119604912.1428645</v>
      </c>
      <c r="V26" s="43">
        <f>'D4 Gallon Forecast'!V76+'D6 Gallon Forecast'!V72</f>
        <v>122721772.14856309</v>
      </c>
      <c r="W26" s="43">
        <f>'D4 Gallon Forecast'!W76+'D6 Gallon Forecast'!W72</f>
        <v>121691323.80987105</v>
      </c>
      <c r="X26" s="43">
        <f>'D4 Gallon Forecast'!X76+'D6 Gallon Forecast'!X72</f>
        <v>128607593.97721606</v>
      </c>
      <c r="Y26" s="43">
        <f>'D4 Gallon Forecast'!Y76+'D6 Gallon Forecast'!Y72</f>
        <v>120631964.02645169</v>
      </c>
      <c r="Z26" s="43">
        <f>'D4 Gallon Forecast'!Z76+'D6 Gallon Forecast'!Z72</f>
        <v>117918263.70912711</v>
      </c>
      <c r="AA26" s="43">
        <f>'D4 Gallon Forecast'!AA76+'D6 Gallon Forecast'!AA72</f>
        <v>113462377.29517195</v>
      </c>
      <c r="AB26" s="43">
        <f>'D4 Gallon Forecast'!AB76+'D6 Gallon Forecast'!AB72</f>
        <v>95034666.632337198</v>
      </c>
      <c r="AC26" s="43">
        <f>'D4 Gallon Forecast'!AC76+'D6 Gallon Forecast'!AC72</f>
        <v>77143115.833632678</v>
      </c>
      <c r="AD26" s="43">
        <f>'D4 Gallon Forecast'!AD76+'D6 Gallon Forecast'!AD72</f>
        <v>75711171.137630075</v>
      </c>
      <c r="AE26" s="43">
        <f>'D4 Gallon Forecast'!AE76+'D6 Gallon Forecast'!AE72</f>
        <v>63056741.793221153</v>
      </c>
      <c r="AF26" s="43">
        <f>'D4 Gallon Forecast'!AF76+'D6 Gallon Forecast'!AF72</f>
        <v>38051462.875882626</v>
      </c>
      <c r="AG26" s="43">
        <f>'D4 Gallon Forecast'!AG76+'D6 Gallon Forecast'!AG72</f>
        <v>42076809.084460407</v>
      </c>
      <c r="AH26" s="43">
        <f>'D4 Gallon Forecast'!AH76+'D6 Gallon Forecast'!AH72</f>
        <v>41467524.428641975</v>
      </c>
      <c r="AI26" s="43">
        <f>'D4 Gallon Forecast'!AI76+'D6 Gallon Forecast'!AI72</f>
        <v>34485499.88038151</v>
      </c>
      <c r="AJ26" s="43">
        <f>'D4 Gallon Forecast'!AJ76+'D6 Gallon Forecast'!AJ72</f>
        <v>34871762.7057354</v>
      </c>
      <c r="AK26" s="43">
        <f>'D4 Gallon Forecast'!AK76+'D6 Gallon Forecast'!AK72</f>
        <v>34998692.538332857</v>
      </c>
      <c r="AL26" s="43">
        <f>'D4 Gallon Forecast'!AL76+'D6 Gallon Forecast'!AL72</f>
        <v>34885090.858536355</v>
      </c>
      <c r="AM26" s="43">
        <f>'D4 Gallon Forecast'!AM76+'D6 Gallon Forecast'!AM72</f>
        <v>34877826.00412336</v>
      </c>
      <c r="AN26" s="43">
        <f>'D4 Gallon Forecast'!AN76+'D6 Gallon Forecast'!AN72</f>
        <v>35485784.261556916</v>
      </c>
      <c r="AO26" s="43">
        <f>'D4 Gallon Forecast'!AO76+'D6 Gallon Forecast'!AO72</f>
        <v>36121693.268018834</v>
      </c>
      <c r="AP26" s="43">
        <f>'D4 Gallon Forecast'!AP76+'D6 Gallon Forecast'!AP72</f>
        <v>36894795.723247439</v>
      </c>
      <c r="AQ26" s="43">
        <f>'D4 Gallon Forecast'!AQ76+'D6 Gallon Forecast'!AQ72</f>
        <v>38573998.612535</v>
      </c>
      <c r="AR26" s="43"/>
      <c r="AS26" s="44">
        <f t="shared" si="12"/>
        <v>5.2364962221000511E-2</v>
      </c>
      <c r="AU26" s="42">
        <f t="shared" si="8"/>
        <v>156781446.59999999</v>
      </c>
      <c r="AV26" s="42">
        <f t="shared" si="9"/>
        <v>-18180678.599999994</v>
      </c>
      <c r="AW26" s="42">
        <f t="shared" si="10"/>
        <v>-13798906</v>
      </c>
      <c r="AX26" s="42">
        <f>P26/31</f>
        <v>4470992.5161290327</v>
      </c>
      <c r="AY26" s="42">
        <f>AU26/31</f>
        <v>5057466.0193548389</v>
      </c>
      <c r="AZ26" s="42">
        <f t="shared" si="11"/>
        <v>-586473.50322580617</v>
      </c>
    </row>
    <row r="27" spans="1:52">
      <c r="A27" s="40" t="s">
        <v>51</v>
      </c>
      <c r="B27" s="42">
        <f>'D4 Gallon Forecast'!B77+'D6 Gallon Forecast'!B73</f>
        <v>41484536</v>
      </c>
      <c r="C27" s="42">
        <f>'D4 Gallon Forecast'!C77+'D6 Gallon Forecast'!C73</f>
        <v>114227507</v>
      </c>
      <c r="D27" s="42">
        <f>'D4 Gallon Forecast'!D77+'D6 Gallon Forecast'!D73</f>
        <v>81339106</v>
      </c>
      <c r="E27" s="42">
        <f>'D4 Gallon Forecast'!E77+'D6 Gallon Forecast'!E73</f>
        <v>127648582</v>
      </c>
      <c r="F27" s="42">
        <f>'D4 Gallon Forecast'!F77+'D6 Gallon Forecast'!F73</f>
        <v>124535190</v>
      </c>
      <c r="G27" s="42">
        <f>'D4 Gallon Forecast'!G77+'D6 Gallon Forecast'!G73</f>
        <v>117829158</v>
      </c>
      <c r="H27" s="42">
        <f>'D4 Gallon Forecast'!H77+'D6 Gallon Forecast'!H73</f>
        <v>146664055</v>
      </c>
      <c r="I27" s="42">
        <f>'D4 Gallon Forecast'!I77+'D6 Gallon Forecast'!I73</f>
        <v>148333215</v>
      </c>
      <c r="J27" s="42">
        <f>'D4 Gallon Forecast'!J77+'D6 Gallon Forecast'!J73</f>
        <v>157006356</v>
      </c>
      <c r="K27" s="42">
        <f>'D4 Gallon Forecast'!K77+'D6 Gallon Forecast'!K73</f>
        <v>143659811</v>
      </c>
      <c r="L27" s="42">
        <f>'D4 Gallon Forecast'!L77+'D6 Gallon Forecast'!L73</f>
        <v>167865219</v>
      </c>
      <c r="M27" s="42">
        <f>'D4 Gallon Forecast'!M77+'D6 Gallon Forecast'!M73</f>
        <v>139934774</v>
      </c>
      <c r="N27" s="42">
        <f>'D4 Gallon Forecast'!N77+'D6 Gallon Forecast'!N73</f>
        <v>141860945</v>
      </c>
      <c r="O27" s="42">
        <f>'D4 Gallon Forecast'!O77+'D6 Gallon Forecast'!O73</f>
        <v>144886635</v>
      </c>
      <c r="P27" s="42">
        <f>'D4 Gallon Forecast'!P77+'D6 Gallon Forecast'!P73</f>
        <v>132467476</v>
      </c>
      <c r="Q27" s="43">
        <f>'D4 Gallon Forecast'!Q77+'D6 Gallon Forecast'!Q73</f>
        <v>135739748.92643583</v>
      </c>
      <c r="R27" s="43">
        <f>'D4 Gallon Forecast'!R77+'D6 Gallon Forecast'!R73</f>
        <v>123099044.01997577</v>
      </c>
      <c r="S27" s="43">
        <f>'D4 Gallon Forecast'!S77+'D6 Gallon Forecast'!S73</f>
        <v>124572875.40011436</v>
      </c>
      <c r="T27" s="43">
        <f>'D4 Gallon Forecast'!T77+'D6 Gallon Forecast'!T73</f>
        <v>98628047.359791368</v>
      </c>
      <c r="U27" s="43">
        <f>'D4 Gallon Forecast'!U77+'D6 Gallon Forecast'!U73</f>
        <v>113017669.14022888</v>
      </c>
      <c r="V27" s="43">
        <f>'D4 Gallon Forecast'!V77+'D6 Gallon Forecast'!V73</f>
        <v>115670094.34432831</v>
      </c>
      <c r="W27" s="43">
        <f>'D4 Gallon Forecast'!W77+'D6 Gallon Forecast'!W73</f>
        <v>114649633.28719929</v>
      </c>
      <c r="X27" s="43">
        <f>'D4 Gallon Forecast'!X77+'D6 Gallon Forecast'!X73</f>
        <v>121330212.16149899</v>
      </c>
      <c r="Y27" s="43">
        <f>'D4 Gallon Forecast'!Y77+'D6 Gallon Forecast'!Y73</f>
        <v>113818287.34066346</v>
      </c>
      <c r="Z27" s="43">
        <f>'D4 Gallon Forecast'!Z77+'D6 Gallon Forecast'!Z73</f>
        <v>111231758.62128012</v>
      </c>
      <c r="AA27" s="43">
        <f>'D4 Gallon Forecast'!AA77+'D6 Gallon Forecast'!AA73</f>
        <v>106992320.87279445</v>
      </c>
      <c r="AB27" s="43">
        <f>'D4 Gallon Forecast'!AB77+'D6 Gallon Forecast'!AB73</f>
        <v>89623621.266138628</v>
      </c>
      <c r="AC27" s="43">
        <f>'D4 Gallon Forecast'!AC77+'D6 Gallon Forecast'!AC73</f>
        <v>72765236.805982843</v>
      </c>
      <c r="AD27" s="43">
        <f>'D4 Gallon Forecast'!AD77+'D6 Gallon Forecast'!AD73</f>
        <v>71411522.756728321</v>
      </c>
      <c r="AE27" s="43">
        <f>'D4 Gallon Forecast'!AE77+'D6 Gallon Forecast'!AE73</f>
        <v>59470379.481899112</v>
      </c>
      <c r="AF27" s="43">
        <f>'D4 Gallon Forecast'!AF77+'D6 Gallon Forecast'!AF73</f>
        <v>35884399.764903747</v>
      </c>
      <c r="AG27" s="43">
        <f>'D4 Gallon Forecast'!AG77+'D6 Gallon Forecast'!AG73</f>
        <v>39682827.098170899</v>
      </c>
      <c r="AH27" s="43">
        <f>'D4 Gallon Forecast'!AH77+'D6 Gallon Forecast'!AH73</f>
        <v>39109295.640294701</v>
      </c>
      <c r="AI27" s="43">
        <f>'D4 Gallon Forecast'!AI77+'D6 Gallon Forecast'!AI73</f>
        <v>32522701.503456492</v>
      </c>
      <c r="AJ27" s="43">
        <f>'D4 Gallon Forecast'!AJ77+'D6 Gallon Forecast'!AJ73</f>
        <v>32886360.264410749</v>
      </c>
      <c r="AK27" s="43">
        <f>'D4 Gallon Forecast'!AK77+'D6 Gallon Forecast'!AK73</f>
        <v>33006169.618444882</v>
      </c>
      <c r="AL27" s="43">
        <f>'D4 Gallon Forecast'!AL77+'D6 Gallon Forecast'!AL73</f>
        <v>32899363.618523415</v>
      </c>
      <c r="AM27" s="43">
        <f>'D4 Gallon Forecast'!AM77+'D6 Gallon Forecast'!AM73</f>
        <v>32892660.596924592</v>
      </c>
      <c r="AN27" s="43">
        <f>'D4 Gallon Forecast'!AN77+'D6 Gallon Forecast'!AN73</f>
        <v>33465748.392685734</v>
      </c>
      <c r="AO27" s="43">
        <f>'D4 Gallon Forecast'!AO77+'D6 Gallon Forecast'!AO73</f>
        <v>34065324.60691873</v>
      </c>
      <c r="AP27" s="43">
        <f>'D4 Gallon Forecast'!AP77+'D6 Gallon Forecast'!AP73</f>
        <v>34794525.866983548</v>
      </c>
      <c r="AQ27" s="43">
        <f>'D4 Gallon Forecast'!AQ77+'D6 Gallon Forecast'!AQ73</f>
        <v>36378399.952977881</v>
      </c>
      <c r="AR27" s="43"/>
      <c r="AS27" s="46">
        <f t="shared" si="12"/>
        <v>-9.475519649750197E-2</v>
      </c>
      <c r="AU27" s="42">
        <f t="shared" si="8"/>
        <v>147641476.80000001</v>
      </c>
      <c r="AV27" s="42">
        <f t="shared" si="9"/>
        <v>-15174000.800000012</v>
      </c>
      <c r="AW27" s="42">
        <f t="shared" si="10"/>
        <v>-12419159</v>
      </c>
      <c r="AX27" s="42">
        <f>P27/30</f>
        <v>4415582.5333333332</v>
      </c>
      <c r="AY27" s="42">
        <f>AU27/30</f>
        <v>4921382.5600000005</v>
      </c>
      <c r="AZ27" s="42">
        <f t="shared" si="11"/>
        <v>-505800.02666666731</v>
      </c>
    </row>
    <row r="28" spans="1:52">
      <c r="A28" s="40" t="s">
        <v>52</v>
      </c>
      <c r="B28" s="42">
        <f>'D4 Gallon Forecast'!B78+'D6 Gallon Forecast'!B74</f>
        <v>36934002</v>
      </c>
      <c r="C28" s="42">
        <f>'D4 Gallon Forecast'!C78+'D6 Gallon Forecast'!C74</f>
        <v>113677550</v>
      </c>
      <c r="D28" s="42">
        <f>'D4 Gallon Forecast'!D78+'D6 Gallon Forecast'!D74</f>
        <v>80712245</v>
      </c>
      <c r="E28" s="42">
        <f>'D4 Gallon Forecast'!E78+'D6 Gallon Forecast'!E74</f>
        <v>131441848</v>
      </c>
      <c r="F28" s="42">
        <f>'D4 Gallon Forecast'!F78+'D6 Gallon Forecast'!F74</f>
        <v>121338129</v>
      </c>
      <c r="G28" s="42">
        <f>'D4 Gallon Forecast'!G78+'D6 Gallon Forecast'!G74</f>
        <v>105030916</v>
      </c>
      <c r="H28" s="42">
        <f>'D4 Gallon Forecast'!H78+'D6 Gallon Forecast'!H74</f>
        <v>143085368</v>
      </c>
      <c r="I28" s="42">
        <f>'D4 Gallon Forecast'!I78+'D6 Gallon Forecast'!I74</f>
        <v>149347918</v>
      </c>
      <c r="J28" s="42">
        <f>'D4 Gallon Forecast'!J78+'D6 Gallon Forecast'!J74</f>
        <v>171276906</v>
      </c>
      <c r="K28" s="42">
        <f>'D4 Gallon Forecast'!K78+'D6 Gallon Forecast'!K74</f>
        <v>146618360</v>
      </c>
      <c r="L28" s="42">
        <f>'D4 Gallon Forecast'!L78+'D6 Gallon Forecast'!L74</f>
        <v>149489760</v>
      </c>
      <c r="M28" s="42">
        <f>'D4 Gallon Forecast'!M78+'D6 Gallon Forecast'!M74</f>
        <v>139778878</v>
      </c>
      <c r="N28" s="42">
        <f>'D4 Gallon Forecast'!N78+'D6 Gallon Forecast'!N74</f>
        <v>138040230</v>
      </c>
      <c r="O28" s="42">
        <f>'D4 Gallon Forecast'!O78+'D6 Gallon Forecast'!O74</f>
        <v>144786525</v>
      </c>
      <c r="P28" s="42">
        <f>'D4 Gallon Forecast'!P78+'D6 Gallon Forecast'!P74</f>
        <v>147634604</v>
      </c>
      <c r="Q28" s="43">
        <f>'D4 Gallon Forecast'!Q78+'D6 Gallon Forecast'!Q74</f>
        <v>134449712.49941987</v>
      </c>
      <c r="R28" s="43">
        <f>'D4 Gallon Forecast'!R78+'D6 Gallon Forecast'!R74</f>
        <v>124895677.74049518</v>
      </c>
      <c r="S28" s="43">
        <f>'D4 Gallon Forecast'!S78+'D6 Gallon Forecast'!S74</f>
        <v>126794414.22090545</v>
      </c>
      <c r="T28" s="43">
        <f>'D4 Gallon Forecast'!T78+'D6 Gallon Forecast'!T74</f>
        <v>101330165.27627791</v>
      </c>
      <c r="U28" s="43">
        <f>'D4 Gallon Forecast'!U78+'D6 Gallon Forecast'!U74</f>
        <v>116809823.76312448</v>
      </c>
      <c r="V28" s="43">
        <f>'D4 Gallon Forecast'!V78+'D6 Gallon Forecast'!V74</f>
        <v>117455108.54819994</v>
      </c>
      <c r="W28" s="43">
        <f>'D4 Gallon Forecast'!W78+'D6 Gallon Forecast'!W74</f>
        <v>117095291.15289834</v>
      </c>
      <c r="X28" s="43">
        <f>'D4 Gallon Forecast'!X78+'D6 Gallon Forecast'!X74</f>
        <v>124096226.52302906</v>
      </c>
      <c r="Y28" s="43">
        <f>'D4 Gallon Forecast'!Y78+'D6 Gallon Forecast'!Y74</f>
        <v>116536792.55036797</v>
      </c>
      <c r="Z28" s="43">
        <f>'D4 Gallon Forecast'!Z78+'D6 Gallon Forecast'!Z74</f>
        <v>113819998.63931493</v>
      </c>
      <c r="AA28" s="43">
        <f>'D4 Gallon Forecast'!AA78+'D6 Gallon Forecast'!AA74</f>
        <v>109264485.76943095</v>
      </c>
      <c r="AB28" s="43">
        <f>'D4 Gallon Forecast'!AB78+'D6 Gallon Forecast'!AB74</f>
        <v>91628278.048741817</v>
      </c>
      <c r="AC28" s="43">
        <f>'D4 Gallon Forecast'!AC78+'D6 Gallon Forecast'!AC74</f>
        <v>74398617.004710644</v>
      </c>
      <c r="AD28" s="43">
        <f>'D4 Gallon Forecast'!AD78+'D6 Gallon Forecast'!AD74</f>
        <v>73008361.632279664</v>
      </c>
      <c r="AE28" s="43">
        <f>'D4 Gallon Forecast'!AE78+'D6 Gallon Forecast'!AE74</f>
        <v>60768658.407289259</v>
      </c>
      <c r="AF28" s="43">
        <f>'D4 Gallon Forecast'!AF78+'D6 Gallon Forecast'!AF74</f>
        <v>36634810.12737789</v>
      </c>
      <c r="AG28" s="43">
        <f>'D4 Gallon Forecast'!AG78+'D6 Gallon Forecast'!AG74</f>
        <v>40531580.883837223</v>
      </c>
      <c r="AH28" s="43">
        <f>'D4 Gallon Forecast'!AH78+'D6 Gallon Forecast'!AH74</f>
        <v>39942714.021808483</v>
      </c>
      <c r="AI28" s="43">
        <f>'D4 Gallon Forecast'!AI78+'D6 Gallon Forecast'!AI74</f>
        <v>33197674.960756879</v>
      </c>
      <c r="AJ28" s="43">
        <f>'D4 Gallon Forecast'!AJ78+'D6 Gallon Forecast'!AJ74</f>
        <v>33565748.80997058</v>
      </c>
      <c r="AK28" s="43">
        <f>'D4 Gallon Forecast'!AK78+'D6 Gallon Forecast'!AK74</f>
        <v>33688647.718583331</v>
      </c>
      <c r="AL28" s="43">
        <f>'D4 Gallon Forecast'!AL78+'D6 Gallon Forecast'!AL74</f>
        <v>33581312.243334755</v>
      </c>
      <c r="AM28" s="43">
        <f>'D4 Gallon Forecast'!AM78+'D6 Gallon Forecast'!AM74</f>
        <v>33575537.819567166</v>
      </c>
      <c r="AN28" s="43">
        <f>'D4 Gallon Forecast'!AN78+'D6 Gallon Forecast'!AN74</f>
        <v>34158540.693213806</v>
      </c>
      <c r="AO28" s="43">
        <f>'D4 Gallon Forecast'!AO78+'D6 Gallon Forecast'!AO74</f>
        <v>34768953.886756167</v>
      </c>
      <c r="AP28" s="43">
        <f>'D4 Gallon Forecast'!AP78+'D6 Gallon Forecast'!AP74</f>
        <v>35514388.43051257</v>
      </c>
      <c r="AQ28" s="43">
        <f>'D4 Gallon Forecast'!AQ78+'D6 Gallon Forecast'!AQ74</f>
        <v>37134828.951214984</v>
      </c>
      <c r="AR28" s="43"/>
      <c r="AS28" s="47">
        <f t="shared" si="12"/>
        <v>-1.114061898581431E-3</v>
      </c>
      <c r="AU28" s="42">
        <f t="shared" si="8"/>
        <v>143742750.59999999</v>
      </c>
      <c r="AV28" s="42">
        <f t="shared" si="9"/>
        <v>3891853.400000006</v>
      </c>
      <c r="AW28" s="42">
        <f t="shared" si="10"/>
        <v>2848079</v>
      </c>
      <c r="AX28" s="42">
        <f>P28/31</f>
        <v>4762406.5806451617</v>
      </c>
      <c r="AY28" s="42">
        <f>AU28/31</f>
        <v>4636862.9225806454</v>
      </c>
      <c r="AZ28" s="42">
        <f t="shared" si="11"/>
        <v>125543.65806451626</v>
      </c>
    </row>
    <row r="29" spans="1:52">
      <c r="A29" s="40" t="s">
        <v>53</v>
      </c>
      <c r="B29" s="42">
        <f>'D4 Gallon Forecast'!B79+'D6 Gallon Forecast'!B75</f>
        <v>31148480</v>
      </c>
      <c r="C29" s="42">
        <f>'D4 Gallon Forecast'!C79+'D6 Gallon Forecast'!C75</f>
        <v>105783510</v>
      </c>
      <c r="D29" s="42">
        <f>'D4 Gallon Forecast'!D79+'D6 Gallon Forecast'!D75</f>
        <v>68025280</v>
      </c>
      <c r="E29" s="42">
        <f>'D4 Gallon Forecast'!E79+'D6 Gallon Forecast'!E75</f>
        <v>111900793</v>
      </c>
      <c r="F29" s="42">
        <f>'D4 Gallon Forecast'!F79+'D6 Gallon Forecast'!F75</f>
        <v>97343855</v>
      </c>
      <c r="G29" s="42">
        <f>'D4 Gallon Forecast'!G79+'D6 Gallon Forecast'!G75</f>
        <v>96476718</v>
      </c>
      <c r="H29" s="42">
        <f>'D4 Gallon Forecast'!H79+'D6 Gallon Forecast'!H75</f>
        <v>139707687</v>
      </c>
      <c r="I29" s="42">
        <f>'D4 Gallon Forecast'!I79+'D6 Gallon Forecast'!I75</f>
        <v>147829945</v>
      </c>
      <c r="J29" s="42">
        <f>'D4 Gallon Forecast'!J79+'D6 Gallon Forecast'!J75</f>
        <v>150780540</v>
      </c>
      <c r="K29" s="42">
        <f>'D4 Gallon Forecast'!K79+'D6 Gallon Forecast'!K75</f>
        <v>119139678</v>
      </c>
      <c r="L29" s="42">
        <f>'D4 Gallon Forecast'!L79+'D6 Gallon Forecast'!L75</f>
        <v>142828517</v>
      </c>
      <c r="M29" s="42">
        <f>'D4 Gallon Forecast'!M79+'D6 Gallon Forecast'!M75</f>
        <v>140856752</v>
      </c>
      <c r="N29" s="42">
        <f>'D4 Gallon Forecast'!N79+'D6 Gallon Forecast'!N75</f>
        <v>141295576</v>
      </c>
      <c r="O29" s="42">
        <f>'D4 Gallon Forecast'!O79+'D6 Gallon Forecast'!O75</f>
        <v>136021020</v>
      </c>
      <c r="P29" s="42">
        <f>'D4 Gallon Forecast'!P79+'D6 Gallon Forecast'!P75</f>
        <v>133189802</v>
      </c>
      <c r="Q29" s="43">
        <f>'D4 Gallon Forecast'!Q79+'D6 Gallon Forecast'!Q75</f>
        <v>129614678.22144295</v>
      </c>
      <c r="R29" s="43">
        <f>'D4 Gallon Forecast'!R79+'D6 Gallon Forecast'!R75</f>
        <v>120630853.93563154</v>
      </c>
      <c r="S29" s="43">
        <f>'D4 Gallon Forecast'!S79+'D6 Gallon Forecast'!S75</f>
        <v>121391903.59820768</v>
      </c>
      <c r="T29" s="43">
        <f>'D4 Gallon Forecast'!T79+'D6 Gallon Forecast'!T75</f>
        <v>95651513.565506816</v>
      </c>
      <c r="U29" s="43">
        <f>'D4 Gallon Forecast'!U79+'D6 Gallon Forecast'!U75</f>
        <v>110445019.7423079</v>
      </c>
      <c r="V29" s="43">
        <f>'D4 Gallon Forecast'!V79+'D6 Gallon Forecast'!V75</f>
        <v>112293502.05433841</v>
      </c>
      <c r="W29" s="43">
        <f>'D4 Gallon Forecast'!W79+'D6 Gallon Forecast'!W75</f>
        <v>111736263.27206521</v>
      </c>
      <c r="X29" s="43">
        <f>'D4 Gallon Forecast'!X79+'D6 Gallon Forecast'!X75</f>
        <v>118106425.76109533</v>
      </c>
      <c r="Y29" s="43">
        <f>'D4 Gallon Forecast'!Y79+'D6 Gallon Forecast'!Y75</f>
        <v>110766951.87518163</v>
      </c>
      <c r="Z29" s="43">
        <f>'D4 Gallon Forecast'!Z79+'D6 Gallon Forecast'!Z75</f>
        <v>108311515.02438718</v>
      </c>
      <c r="AA29" s="43">
        <f>'D4 Gallon Forecast'!AA79+'D6 Gallon Forecast'!AA75</f>
        <v>104107972.44294466</v>
      </c>
      <c r="AB29" s="43">
        <f>'D4 Gallon Forecast'!AB79+'D6 Gallon Forecast'!AB75</f>
        <v>87243459.486070484</v>
      </c>
      <c r="AC29" s="43">
        <f>'D4 Gallon Forecast'!AC79+'D6 Gallon Forecast'!AC75</f>
        <v>70804481.280589849</v>
      </c>
      <c r="AD29" s="43">
        <f>'D4 Gallon Forecast'!AD79+'D6 Gallon Forecast'!AD75</f>
        <v>69480637.12825118</v>
      </c>
      <c r="AE29" s="43">
        <f>'D4 Gallon Forecast'!AE79+'D6 Gallon Forecast'!AE75</f>
        <v>57849376.496037237</v>
      </c>
      <c r="AF29" s="43">
        <f>'D4 Gallon Forecast'!AF79+'D6 Gallon Forecast'!AF75</f>
        <v>34876109.645105585</v>
      </c>
      <c r="AG29" s="43">
        <f>'D4 Gallon Forecast'!AG79+'D6 Gallon Forecast'!AG75</f>
        <v>38578193.835964009</v>
      </c>
      <c r="AH29" s="43">
        <f>'D4 Gallon Forecast'!AH79+'D6 Gallon Forecast'!AH75</f>
        <v>38014510.466681942</v>
      </c>
      <c r="AI29" s="43">
        <f>'D4 Gallon Forecast'!AI79+'D6 Gallon Forecast'!AI75</f>
        <v>31594534.541580729</v>
      </c>
      <c r="AJ29" s="43">
        <f>'D4 Gallon Forecast'!AJ79+'D6 Gallon Forecast'!AJ75</f>
        <v>31946974.386598431</v>
      </c>
      <c r="AK29" s="43">
        <f>'D4 Gallon Forecast'!AK79+'D6 Gallon Forecast'!AK75</f>
        <v>32063511.185896713</v>
      </c>
      <c r="AL29" s="43">
        <f>'D4 Gallon Forecast'!AL79+'D6 Gallon Forecast'!AL75</f>
        <v>31960171.184090961</v>
      </c>
      <c r="AM29" s="43">
        <f>'D4 Gallon Forecast'!AM79+'D6 Gallon Forecast'!AM75</f>
        <v>31954790.816344947</v>
      </c>
      <c r="AN29" s="43">
        <f>'D4 Gallon Forecast'!AN79+'D6 Gallon Forecast'!AN75</f>
        <v>32509964.415392071</v>
      </c>
      <c r="AO29" s="43">
        <f>'D4 Gallon Forecast'!AO79+'D6 Gallon Forecast'!AO75</f>
        <v>33090960.839761157</v>
      </c>
      <c r="AP29" s="43">
        <f>'D4 Gallon Forecast'!AP79+'D6 Gallon Forecast'!AP75</f>
        <v>33800325.727959841</v>
      </c>
      <c r="AQ29" s="43">
        <f>'D4 Gallon Forecast'!AQ79+'D6 Gallon Forecast'!AQ75</f>
        <v>35342837.163139343</v>
      </c>
      <c r="AR29" s="43"/>
      <c r="AS29" s="47">
        <f t="shared" si="12"/>
        <v>7.7112795253657662E-3</v>
      </c>
      <c r="AU29" s="42">
        <f t="shared" si="8"/>
        <v>136028308.59999999</v>
      </c>
      <c r="AV29" s="42">
        <f t="shared" si="9"/>
        <v>-2838506.599999994</v>
      </c>
      <c r="AW29" s="42">
        <f t="shared" si="10"/>
        <v>-2831218</v>
      </c>
      <c r="AX29" s="43">
        <f>P29/30</f>
        <v>4439660.0666666664</v>
      </c>
      <c r="AY29" s="43">
        <f>AU29/30</f>
        <v>4534276.9533333331</v>
      </c>
      <c r="AZ29" s="42">
        <f t="shared" si="11"/>
        <v>-94616.886666666716</v>
      </c>
    </row>
    <row r="30" spans="1:52">
      <c r="A30" s="40" t="s">
        <v>54</v>
      </c>
      <c r="B30" s="42">
        <f>'D4 Gallon Forecast'!B80+'D6 Gallon Forecast'!B76</f>
        <v>32515200</v>
      </c>
      <c r="C30" s="42">
        <f>'D4 Gallon Forecast'!C80+'D6 Gallon Forecast'!C76</f>
        <v>150743545</v>
      </c>
      <c r="D30" s="42">
        <f>'D4 Gallon Forecast'!D80+'D6 Gallon Forecast'!D76</f>
        <v>58227854</v>
      </c>
      <c r="E30" s="42">
        <f>'D4 Gallon Forecast'!E80+'D6 Gallon Forecast'!E76</f>
        <v>160946844</v>
      </c>
      <c r="F30" s="42">
        <f>'D4 Gallon Forecast'!F80+'D6 Gallon Forecast'!F76</f>
        <v>163496685</v>
      </c>
      <c r="G30" s="42">
        <f>'D4 Gallon Forecast'!G80+'D6 Gallon Forecast'!G76</f>
        <v>110100066</v>
      </c>
      <c r="H30" s="42">
        <f>'D4 Gallon Forecast'!H80+'D6 Gallon Forecast'!H76</f>
        <v>187163249</v>
      </c>
      <c r="I30" s="42">
        <f>'D4 Gallon Forecast'!I80+'D6 Gallon Forecast'!I76</f>
        <v>162595163</v>
      </c>
      <c r="J30" s="42">
        <f>'D4 Gallon Forecast'!J80+'D6 Gallon Forecast'!J76</f>
        <v>183329377</v>
      </c>
      <c r="K30" s="42">
        <f>'D4 Gallon Forecast'!K80+'D6 Gallon Forecast'!K76</f>
        <v>139601581</v>
      </c>
      <c r="L30" s="42">
        <f>'D4 Gallon Forecast'!L80+'D6 Gallon Forecast'!L76</f>
        <v>175881221</v>
      </c>
      <c r="M30" s="42">
        <f>'D4 Gallon Forecast'!M80+'D6 Gallon Forecast'!M76</f>
        <v>165708240</v>
      </c>
      <c r="N30" s="42">
        <f>'D4 Gallon Forecast'!N80+'D6 Gallon Forecast'!N76</f>
        <v>145591401</v>
      </c>
      <c r="O30" s="42">
        <f>'D4 Gallon Forecast'!O80+'D6 Gallon Forecast'!O76</f>
        <v>135846697</v>
      </c>
      <c r="P30" s="42">
        <f>'D4 Gallon Forecast'!P80+'D6 Gallon Forecast'!P76</f>
        <v>174870333</v>
      </c>
      <c r="Q30" s="43">
        <f>'D4 Gallon Forecast'!Q80+'D6 Gallon Forecast'!Q76</f>
        <v>259142037.04696232</v>
      </c>
      <c r="R30" s="43">
        <f>'D4 Gallon Forecast'!R80+'D6 Gallon Forecast'!R76</f>
        <v>137679947.75373727</v>
      </c>
      <c r="S30" s="43">
        <f>'D4 Gallon Forecast'!S80+'D6 Gallon Forecast'!S76</f>
        <v>156686802.54305419</v>
      </c>
      <c r="T30" s="43">
        <f>'D4 Gallon Forecast'!T80+'D6 Gallon Forecast'!T76</f>
        <v>128931588.74783976</v>
      </c>
      <c r="U30" s="43">
        <f>'D4 Gallon Forecast'!U80+'D6 Gallon Forecast'!U76</f>
        <v>157413064.75928372</v>
      </c>
      <c r="V30" s="43">
        <f>'D4 Gallon Forecast'!V80+'D6 Gallon Forecast'!V76</f>
        <v>162994128.46223143</v>
      </c>
      <c r="W30" s="43">
        <f>'D4 Gallon Forecast'!W80+'D6 Gallon Forecast'!W76</f>
        <v>148256160.93157899</v>
      </c>
      <c r="X30" s="43">
        <f>'D4 Gallon Forecast'!X80+'D6 Gallon Forecast'!X76</f>
        <v>161497265.14174828</v>
      </c>
      <c r="Y30" s="43">
        <f>'D4 Gallon Forecast'!Y80+'D6 Gallon Forecast'!Y76</f>
        <v>133333809.9194559</v>
      </c>
      <c r="Z30" s="43">
        <f>'D4 Gallon Forecast'!Z80+'D6 Gallon Forecast'!Z76</f>
        <v>139753514.09198946</v>
      </c>
      <c r="AA30" s="43">
        <f>'D4 Gallon Forecast'!AA80+'D6 Gallon Forecast'!AA76</f>
        <v>132314042.78848526</v>
      </c>
      <c r="AB30" s="43">
        <f>'D4 Gallon Forecast'!AB80+'D6 Gallon Forecast'!AB76</f>
        <v>112776134.18250845</v>
      </c>
      <c r="AC30" s="43">
        <f>'D4 Gallon Forecast'!AC80+'D6 Gallon Forecast'!AC76</f>
        <v>90985032.099230856</v>
      </c>
      <c r="AD30" s="43">
        <f>'D4 Gallon Forecast'!AD80+'D6 Gallon Forecast'!AD76</f>
        <v>87887990.178734228</v>
      </c>
      <c r="AE30" s="43">
        <f>'D4 Gallon Forecast'!AE80+'D6 Gallon Forecast'!AE76</f>
        <v>74033525.979352921</v>
      </c>
      <c r="AF30" s="43">
        <f>'D4 Gallon Forecast'!AF80+'D6 Gallon Forecast'!AF76</f>
        <v>44475946.083278269</v>
      </c>
      <c r="AG30" s="43">
        <f>'D4 Gallon Forecast'!AG80+'D6 Gallon Forecast'!AG76</f>
        <v>49319470.20871225</v>
      </c>
      <c r="AH30" s="43">
        <f>'D4 Gallon Forecast'!AH80+'D6 Gallon Forecast'!AH76</f>
        <v>48454651.010795355</v>
      </c>
      <c r="AI30" s="43">
        <f>'D4 Gallon Forecast'!AI80+'D6 Gallon Forecast'!AI76</f>
        <v>40154375.078910664</v>
      </c>
      <c r="AJ30" s="43">
        <f>'D4 Gallon Forecast'!AJ80+'D6 Gallon Forecast'!AJ76</f>
        <v>40711139.313525096</v>
      </c>
      <c r="AK30" s="43">
        <f>'D4 Gallon Forecast'!AK80+'D6 Gallon Forecast'!AK76</f>
        <v>40842295.090669729</v>
      </c>
      <c r="AL30" s="43">
        <f>'D4 Gallon Forecast'!AL80+'D6 Gallon Forecast'!AL76</f>
        <v>40710885.154861346</v>
      </c>
      <c r="AM30" s="43">
        <f>'D4 Gallon Forecast'!AM80+'D6 Gallon Forecast'!AM76</f>
        <v>40687837.500472859</v>
      </c>
      <c r="AN30" s="43">
        <f>'D4 Gallon Forecast'!AN80+'D6 Gallon Forecast'!AN76</f>
        <v>41391441.200926237</v>
      </c>
      <c r="AO30" s="43">
        <f>'D4 Gallon Forecast'!AO80+'D6 Gallon Forecast'!AO76</f>
        <v>42142271.629108533</v>
      </c>
      <c r="AP30" s="43">
        <f>'D4 Gallon Forecast'!AP80+'D6 Gallon Forecast'!AP76</f>
        <v>43043835.497218534</v>
      </c>
      <c r="AQ30" s="43">
        <f>'D4 Gallon Forecast'!AQ80+'D6 Gallon Forecast'!AQ76</f>
        <v>45017006.03752844</v>
      </c>
      <c r="AR30" s="43"/>
      <c r="AS30" s="47">
        <f t="shared" si="12"/>
        <v>0.17643093175966462</v>
      </c>
      <c r="AU30" s="42">
        <f t="shared" si="8"/>
        <v>152525828</v>
      </c>
      <c r="AV30" s="42">
        <f t="shared" si="9"/>
        <v>22344505</v>
      </c>
      <c r="AW30" s="42">
        <f t="shared" si="10"/>
        <v>39023636</v>
      </c>
      <c r="AX30" s="43">
        <f>P30/31</f>
        <v>5640978.4838709673</v>
      </c>
      <c r="AY30" s="43">
        <f>AU30/31</f>
        <v>4920188</v>
      </c>
      <c r="AZ30" s="42">
        <f t="shared" si="11"/>
        <v>720790.48387096729</v>
      </c>
    </row>
    <row r="31" spans="1:52" ht="12" thickBot="1">
      <c r="A31" s="48" t="s">
        <v>29</v>
      </c>
      <c r="B31" s="49">
        <f>SUM(B19:B30)</f>
        <v>214475497</v>
      </c>
      <c r="C31" s="49">
        <f t="shared" ref="C31:AQ31" si="13">SUM(C19:C30)</f>
        <v>1037090330</v>
      </c>
      <c r="D31" s="49">
        <f t="shared" si="13"/>
        <v>1016947679</v>
      </c>
      <c r="E31" s="49">
        <f t="shared" si="13"/>
        <v>1384593682</v>
      </c>
      <c r="F31" s="49">
        <f t="shared" si="13"/>
        <v>1307213117</v>
      </c>
      <c r="G31" s="49">
        <f t="shared" si="13"/>
        <v>1254272724</v>
      </c>
      <c r="H31" s="49">
        <f t="shared" si="13"/>
        <v>1633107120</v>
      </c>
      <c r="I31" s="49">
        <f t="shared" si="13"/>
        <v>1588249740</v>
      </c>
      <c r="J31" s="49">
        <f t="shared" si="13"/>
        <v>1855452750</v>
      </c>
      <c r="K31" s="49">
        <f t="shared" si="13"/>
        <v>1713773577</v>
      </c>
      <c r="L31" s="49">
        <f t="shared" si="13"/>
        <v>1824873638</v>
      </c>
      <c r="M31" s="49">
        <f t="shared" si="13"/>
        <v>1704627334</v>
      </c>
      <c r="N31" s="49">
        <f t="shared" si="13"/>
        <v>1620209063</v>
      </c>
      <c r="O31" s="49">
        <f t="shared" si="13"/>
        <v>1672147333</v>
      </c>
      <c r="P31" s="49">
        <f t="shared" si="13"/>
        <v>1669706332</v>
      </c>
      <c r="Q31" s="50">
        <f t="shared" si="13"/>
        <v>1585954436.8642268</v>
      </c>
      <c r="R31" s="50">
        <f t="shared" si="13"/>
        <v>1462382983.9763932</v>
      </c>
      <c r="S31" s="50">
        <f t="shared" si="13"/>
        <v>1472147368.6026449</v>
      </c>
      <c r="T31" s="50">
        <f t="shared" si="13"/>
        <v>1173904224.8270702</v>
      </c>
      <c r="U31" s="50">
        <f t="shared" si="13"/>
        <v>1353167762.7863224</v>
      </c>
      <c r="V31" s="50">
        <f t="shared" si="13"/>
        <v>1369887969.1145666</v>
      </c>
      <c r="W31" s="50">
        <f t="shared" si="13"/>
        <v>1362123138.4461985</v>
      </c>
      <c r="X31" s="50">
        <f t="shared" si="13"/>
        <v>1441523155.1330745</v>
      </c>
      <c r="Y31" s="50">
        <f t="shared" si="13"/>
        <v>1353862018.6316209</v>
      </c>
      <c r="Z31" s="50">
        <f t="shared" si="13"/>
        <v>1322942676.7177334</v>
      </c>
      <c r="AA31" s="50">
        <f t="shared" si="13"/>
        <v>1270842856.8893468</v>
      </c>
      <c r="AB31" s="50">
        <f t="shared" si="13"/>
        <v>1065145653.2072316</v>
      </c>
      <c r="AC31" s="50">
        <f t="shared" si="13"/>
        <v>864785090.24673605</v>
      </c>
      <c r="AD31" s="50">
        <f t="shared" si="13"/>
        <v>848759041.43471694</v>
      </c>
      <c r="AE31" s="50">
        <f t="shared" si="13"/>
        <v>706634934.01788938</v>
      </c>
      <c r="AF31" s="50">
        <f t="shared" si="13"/>
        <v>426149910.63890755</v>
      </c>
      <c r="AG31" s="50">
        <f t="shared" si="13"/>
        <v>471377736.83955729</v>
      </c>
      <c r="AH31" s="50">
        <f t="shared" si="13"/>
        <v>464548493.73609722</v>
      </c>
      <c r="AI31" s="50">
        <f t="shared" si="13"/>
        <v>386204175.91867465</v>
      </c>
      <c r="AJ31" s="50">
        <f t="shared" si="13"/>
        <v>390499862.10701275</v>
      </c>
      <c r="AK31" s="50">
        <f t="shared" si="13"/>
        <v>391922230.36751509</v>
      </c>
      <c r="AL31" s="50">
        <f t="shared" si="13"/>
        <v>390665328.52743047</v>
      </c>
      <c r="AM31" s="50">
        <f t="shared" si="13"/>
        <v>390593795.40745836</v>
      </c>
      <c r="AN31" s="50">
        <f t="shared" si="13"/>
        <v>397387280.73279959</v>
      </c>
      <c r="AO31" s="50">
        <f t="shared" si="13"/>
        <v>404495958.43813562</v>
      </c>
      <c r="AP31" s="50">
        <f t="shared" si="13"/>
        <v>413161609.71614963</v>
      </c>
      <c r="AQ31" s="50">
        <f t="shared" si="13"/>
        <v>431993719.39593899</v>
      </c>
      <c r="AR31" s="43"/>
      <c r="AU31" s="42">
        <f t="shared" si="8"/>
        <v>1707126189</v>
      </c>
      <c r="AV31" s="42">
        <f t="shared" si="9"/>
        <v>-37419857</v>
      </c>
    </row>
    <row r="32" spans="1:52">
      <c r="A32" s="51"/>
      <c r="B32" s="51"/>
      <c r="C32" s="51"/>
      <c r="D32" s="51"/>
      <c r="E32" s="51"/>
      <c r="F32" s="51"/>
      <c r="G32" s="51"/>
      <c r="H32" s="51"/>
      <c r="I32" s="51"/>
      <c r="J32" s="51"/>
      <c r="K32" s="51"/>
      <c r="L32" s="51"/>
      <c r="M32" s="52">
        <f t="shared" ref="M32" si="14">M26/M25-1</f>
        <v>5.2364962221000511E-2</v>
      </c>
      <c r="N32" s="53"/>
      <c r="O32" s="54"/>
      <c r="P32" s="54"/>
      <c r="Q32" s="53"/>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5"/>
    </row>
    <row r="33" spans="1:52" ht="12" thickBot="1">
      <c r="A33" s="39" t="s">
        <v>99</v>
      </c>
    </row>
    <row r="34" spans="1:52" ht="12" thickBot="1">
      <c r="A34" s="41"/>
      <c r="B34" s="41">
        <v>2010</v>
      </c>
      <c r="C34" s="41">
        <v>2011</v>
      </c>
      <c r="D34" s="41">
        <v>2012</v>
      </c>
      <c r="E34" s="41">
        <v>2013</v>
      </c>
      <c r="F34" s="41">
        <v>2014</v>
      </c>
      <c r="G34" s="41">
        <v>2015</v>
      </c>
      <c r="H34" s="41">
        <v>2016</v>
      </c>
      <c r="I34" s="41">
        <v>2017</v>
      </c>
      <c r="J34" s="41">
        <v>2018</v>
      </c>
      <c r="K34" s="41">
        <v>2019</v>
      </c>
      <c r="L34" s="41">
        <v>2020</v>
      </c>
      <c r="M34" s="41">
        <v>2021</v>
      </c>
      <c r="N34" s="41">
        <v>2022</v>
      </c>
      <c r="O34" s="41">
        <v>2023</v>
      </c>
      <c r="P34" s="41">
        <v>2024</v>
      </c>
      <c r="Q34" s="41">
        <v>2025</v>
      </c>
      <c r="R34" s="41">
        <v>2026</v>
      </c>
      <c r="S34" s="41">
        <v>2027</v>
      </c>
      <c r="T34" s="41">
        <v>2028</v>
      </c>
      <c r="U34" s="41">
        <v>2029</v>
      </c>
      <c r="V34" s="41">
        <v>2030</v>
      </c>
      <c r="W34" s="41">
        <v>2031</v>
      </c>
      <c r="X34" s="41">
        <v>2032</v>
      </c>
      <c r="Y34" s="41">
        <v>2033</v>
      </c>
      <c r="Z34" s="41">
        <v>2034</v>
      </c>
      <c r="AA34" s="41">
        <f>AA2</f>
        <v>2035</v>
      </c>
      <c r="AB34" s="41">
        <f t="shared" ref="AB34:AQ34" si="15">AB2</f>
        <v>2036</v>
      </c>
      <c r="AC34" s="41">
        <f t="shared" si="15"/>
        <v>2037</v>
      </c>
      <c r="AD34" s="41">
        <f t="shared" si="15"/>
        <v>2038</v>
      </c>
      <c r="AE34" s="41">
        <f t="shared" si="15"/>
        <v>2039</v>
      </c>
      <c r="AF34" s="41">
        <f t="shared" si="15"/>
        <v>2040</v>
      </c>
      <c r="AG34" s="41">
        <f t="shared" si="15"/>
        <v>2041</v>
      </c>
      <c r="AH34" s="41">
        <f t="shared" si="15"/>
        <v>2042</v>
      </c>
      <c r="AI34" s="41">
        <f t="shared" si="15"/>
        <v>2043</v>
      </c>
      <c r="AJ34" s="41">
        <f t="shared" si="15"/>
        <v>2044</v>
      </c>
      <c r="AK34" s="41">
        <f t="shared" si="15"/>
        <v>2045</v>
      </c>
      <c r="AL34" s="41">
        <f t="shared" si="15"/>
        <v>2046</v>
      </c>
      <c r="AM34" s="41">
        <f t="shared" si="15"/>
        <v>2047</v>
      </c>
      <c r="AN34" s="41">
        <f t="shared" si="15"/>
        <v>2048</v>
      </c>
      <c r="AO34" s="41">
        <f t="shared" si="15"/>
        <v>2049</v>
      </c>
      <c r="AP34" s="41">
        <f t="shared" si="15"/>
        <v>2050</v>
      </c>
      <c r="AQ34" s="41">
        <f t="shared" si="15"/>
        <v>2051</v>
      </c>
      <c r="AU34" s="40" t="s">
        <v>37</v>
      </c>
      <c r="AV34" s="40" t="s">
        <v>38</v>
      </c>
      <c r="AW34" s="40" t="s">
        <v>39</v>
      </c>
      <c r="AX34" s="40" t="s">
        <v>40</v>
      </c>
      <c r="AY34" s="40" t="s">
        <v>41</v>
      </c>
      <c r="AZ34" s="40" t="s">
        <v>38</v>
      </c>
    </row>
    <row r="35" spans="1:52">
      <c r="A35" s="40" t="s">
        <v>43</v>
      </c>
      <c r="B35" s="42">
        <f>'D4 Gallon Forecast'!B101+'D6 Gallon Forecast'!B81</f>
        <v>0</v>
      </c>
      <c r="C35" s="42">
        <f>'D4 Gallon Forecast'!C101+'D6 Gallon Forecast'!C81</f>
        <v>2636424</v>
      </c>
      <c r="D35" s="42">
        <f>'D4 Gallon Forecast'!D101+'D6 Gallon Forecast'!D81</f>
        <v>1038381</v>
      </c>
      <c r="E35" s="42">
        <f>'D4 Gallon Forecast'!E101+'D6 Gallon Forecast'!E81</f>
        <v>975984</v>
      </c>
      <c r="F35" s="42">
        <f>'D4 Gallon Forecast'!F101+'D6 Gallon Forecast'!F81</f>
        <v>1981954</v>
      </c>
      <c r="G35" s="42">
        <f>'D4 Gallon Forecast'!G101+'D6 Gallon Forecast'!G81</f>
        <v>8626445</v>
      </c>
      <c r="H35" s="42">
        <f>'D4 Gallon Forecast'!H101+'D6 Gallon Forecast'!H81</f>
        <v>20718362</v>
      </c>
      <c r="I35" s="42">
        <f>'D4 Gallon Forecast'!I101+'D6 Gallon Forecast'!I81</f>
        <v>21190089</v>
      </c>
      <c r="J35" s="42">
        <f>'D4 Gallon Forecast'!J101+'D6 Gallon Forecast'!J81</f>
        <v>10696089</v>
      </c>
      <c r="K35" s="42">
        <f>'D4 Gallon Forecast'!K101+'D6 Gallon Forecast'!K81</f>
        <v>11809234</v>
      </c>
      <c r="L35" s="42">
        <f>'D4 Gallon Forecast'!L101+'D6 Gallon Forecast'!L81</f>
        <v>13737888</v>
      </c>
      <c r="M35" s="42">
        <f>'D4 Gallon Forecast'!M101+'D6 Gallon Forecast'!M81</f>
        <v>8536219</v>
      </c>
      <c r="N35" s="42">
        <f>'D4 Gallon Forecast'!N101+'D6 Gallon Forecast'!N81</f>
        <v>12701046</v>
      </c>
      <c r="O35" s="42">
        <f>'D4 Gallon Forecast'!O101+'D6 Gallon Forecast'!O81</f>
        <v>24582474</v>
      </c>
      <c r="P35" s="42">
        <f>'D4 Gallon Forecast'!P101+'D6 Gallon Forecast'!P81</f>
        <v>40314733</v>
      </c>
      <c r="Q35" s="42">
        <f>'D4 Gallon Forecast'!Q101+'D6 Gallon Forecast'!Q81</f>
        <v>3135355</v>
      </c>
      <c r="R35" s="43">
        <f>'D4 Gallon Forecast'!R101+'D6 Gallon Forecast'!R81</f>
        <v>10025806.092925757</v>
      </c>
      <c r="S35" s="43">
        <f>'D4 Gallon Forecast'!S101+'D6 Gallon Forecast'!S81</f>
        <v>10847888.627231512</v>
      </c>
      <c r="T35" s="43">
        <f>'D4 Gallon Forecast'!T101+'D6 Gallon Forecast'!T81</f>
        <v>11977678.325456975</v>
      </c>
      <c r="U35" s="43">
        <f>'D4 Gallon Forecast'!U101+'D6 Gallon Forecast'!U81</f>
        <v>12452286.649546627</v>
      </c>
      <c r="V35" s="43">
        <f>'D4 Gallon Forecast'!V101+'D6 Gallon Forecast'!V81</f>
        <v>9522199.4699888881</v>
      </c>
      <c r="W35" s="43">
        <f>'D4 Gallon Forecast'!W101+'D6 Gallon Forecast'!W81</f>
        <v>10861726.815737216</v>
      </c>
      <c r="X35" s="43">
        <f>'D4 Gallon Forecast'!X101+'D6 Gallon Forecast'!X81</f>
        <v>9792350.1654746588</v>
      </c>
      <c r="Y35" s="43">
        <f>'D4 Gallon Forecast'!Y101+'D6 Gallon Forecast'!Y81</f>
        <v>9186096.6885203607</v>
      </c>
      <c r="Z35" s="43">
        <f>'D4 Gallon Forecast'!Z101+'D6 Gallon Forecast'!Z81</f>
        <v>8803461.6146814134</v>
      </c>
      <c r="AA35" s="43">
        <f>'D4 Gallon Forecast'!AA101+'D6 Gallon Forecast'!AA81</f>
        <v>7823891.9398014285</v>
      </c>
      <c r="AB35" s="43">
        <f>'D4 Gallon Forecast'!AB101+'D6 Gallon Forecast'!AB81</f>
        <v>6601943.7586316494</v>
      </c>
      <c r="AC35" s="43">
        <f>'D4 Gallon Forecast'!AC101+'D6 Gallon Forecast'!AC81</f>
        <v>5560301.6268048445</v>
      </c>
      <c r="AD35" s="43">
        <f>'D4 Gallon Forecast'!AD101+'D6 Gallon Forecast'!AD81</f>
        <v>4526904.1146484409</v>
      </c>
      <c r="AE35" s="43">
        <f>'D4 Gallon Forecast'!AE101+'D6 Gallon Forecast'!AE81</f>
        <v>3757500.3445001254</v>
      </c>
      <c r="AF35" s="43">
        <f>'D4 Gallon Forecast'!AF101+'D6 Gallon Forecast'!AF81</f>
        <v>3752726.7855380289</v>
      </c>
      <c r="AG35" s="43">
        <f>'D4 Gallon Forecast'!AG101+'D6 Gallon Forecast'!AG81</f>
        <v>3781152.5984567325</v>
      </c>
      <c r="AH35" s="43">
        <f>'D4 Gallon Forecast'!AH101+'D6 Gallon Forecast'!AH81</f>
        <v>3772692.553520266</v>
      </c>
      <c r="AI35" s="43">
        <f>'D4 Gallon Forecast'!AI101+'D6 Gallon Forecast'!AI81</f>
        <v>3767497.268589153</v>
      </c>
      <c r="AJ35" s="43">
        <f>'D4 Gallon Forecast'!AJ101+'D6 Gallon Forecast'!AJ81</f>
        <v>3766316.3101208615</v>
      </c>
      <c r="AK35" s="43">
        <f>'D4 Gallon Forecast'!AK101+'D6 Gallon Forecast'!AK81</f>
        <v>3768079.9032450086</v>
      </c>
      <c r="AL35" s="43">
        <f>'D4 Gallon Forecast'!AL101+'D6 Gallon Forecast'!AL81</f>
        <v>3771150.7267864048</v>
      </c>
      <c r="AM35" s="43">
        <f>'D4 Gallon Forecast'!AM101+'D6 Gallon Forecast'!AM81</f>
        <v>3769150.3524523387</v>
      </c>
      <c r="AN35" s="43">
        <f>'D4 Gallon Forecast'!AN101+'D6 Gallon Forecast'!AN81</f>
        <v>3768441.9122387529</v>
      </c>
      <c r="AO35" s="43">
        <f>'D4 Gallon Forecast'!AO101+'D6 Gallon Forecast'!AO81</f>
        <v>3768630.8409686736</v>
      </c>
      <c r="AP35" s="43">
        <f>'D4 Gallon Forecast'!AP101+'D6 Gallon Forecast'!AP81</f>
        <v>3769093.7471382362</v>
      </c>
      <c r="AQ35" s="43">
        <f>'D4 Gallon Forecast'!AQ101+'D6 Gallon Forecast'!AQ81</f>
        <v>3769296.5159168816</v>
      </c>
      <c r="AR35" s="43"/>
      <c r="AS35" s="44">
        <f>O35/N46-1</f>
        <v>-0.42843260674463957</v>
      </c>
      <c r="AU35" s="42">
        <f t="shared" ref="AU35:AU47" si="16">AVERAGE(K35:O35)</f>
        <v>14273372.199999999</v>
      </c>
      <c r="AV35" s="42">
        <f t="shared" ref="AV35:AV47" si="17">P35-AU35</f>
        <v>26041360.800000001</v>
      </c>
      <c r="AW35" s="42">
        <f t="shared" ref="AW35:AW46" si="18">P35-O35</f>
        <v>15732259</v>
      </c>
      <c r="AX35" s="42">
        <f>P35/31</f>
        <v>1300475.2580645161</v>
      </c>
      <c r="AY35" s="42">
        <f>AU35/31</f>
        <v>460431.36129032256</v>
      </c>
      <c r="AZ35" s="42">
        <f>AX35-AY35</f>
        <v>840043.8967741935</v>
      </c>
    </row>
    <row r="36" spans="1:52">
      <c r="A36" s="40" t="s">
        <v>44</v>
      </c>
      <c r="B36" s="42">
        <f>'D4 Gallon Forecast'!B102+'D6 Gallon Forecast'!B82</f>
        <v>0</v>
      </c>
      <c r="C36" s="42">
        <f>'D4 Gallon Forecast'!C102+'D6 Gallon Forecast'!C82</f>
        <v>1336045</v>
      </c>
      <c r="D36" s="42">
        <f>'D4 Gallon Forecast'!D102+'D6 Gallon Forecast'!D82</f>
        <v>4022017</v>
      </c>
      <c r="E36" s="42">
        <f>'D4 Gallon Forecast'!E102+'D6 Gallon Forecast'!E82</f>
        <v>3073611</v>
      </c>
      <c r="F36" s="42">
        <f>'D4 Gallon Forecast'!F102+'D6 Gallon Forecast'!F82</f>
        <v>3895094</v>
      </c>
      <c r="G36" s="42">
        <f>'D4 Gallon Forecast'!G102+'D6 Gallon Forecast'!G82</f>
        <v>5025091</v>
      </c>
      <c r="H36" s="42">
        <f>'D4 Gallon Forecast'!H102+'D6 Gallon Forecast'!H82</f>
        <v>13775403</v>
      </c>
      <c r="I36" s="42">
        <f>'D4 Gallon Forecast'!I102+'D6 Gallon Forecast'!I82</f>
        <v>29772126</v>
      </c>
      <c r="J36" s="42">
        <f>'D4 Gallon Forecast'!J102+'D6 Gallon Forecast'!J82</f>
        <v>11584681</v>
      </c>
      <c r="K36" s="42">
        <f>'D4 Gallon Forecast'!K102+'D6 Gallon Forecast'!K82</f>
        <v>10968228</v>
      </c>
      <c r="L36" s="42">
        <f>'D4 Gallon Forecast'!L102+'D6 Gallon Forecast'!L82</f>
        <v>11466902</v>
      </c>
      <c r="M36" s="42">
        <f>'D4 Gallon Forecast'!M102+'D6 Gallon Forecast'!M82</f>
        <v>7661613</v>
      </c>
      <c r="N36" s="42">
        <f>'D4 Gallon Forecast'!N102+'D6 Gallon Forecast'!N82</f>
        <v>6743825</v>
      </c>
      <c r="O36" s="42">
        <f>'D4 Gallon Forecast'!O102+'D6 Gallon Forecast'!O82</f>
        <v>40796313</v>
      </c>
      <c r="P36" s="42">
        <f>'D4 Gallon Forecast'!P102+'D6 Gallon Forecast'!P82</f>
        <v>53484825</v>
      </c>
      <c r="Q36" s="42">
        <f>'D4 Gallon Forecast'!Q102+'D6 Gallon Forecast'!Q82</f>
        <v>6409113</v>
      </c>
      <c r="R36" s="43">
        <f>'D4 Gallon Forecast'!R102+'D6 Gallon Forecast'!R82</f>
        <v>12754540.988961799</v>
      </c>
      <c r="S36" s="43">
        <f>'D4 Gallon Forecast'!S102+'D6 Gallon Forecast'!S82</f>
        <v>14182597.242042266</v>
      </c>
      <c r="T36" s="43">
        <f>'D4 Gallon Forecast'!T102+'D6 Gallon Forecast'!T82</f>
        <v>16988271.552466348</v>
      </c>
      <c r="U36" s="43">
        <f>'D4 Gallon Forecast'!U102+'D6 Gallon Forecast'!U82</f>
        <v>16693603.390226046</v>
      </c>
      <c r="V36" s="43">
        <f>'D4 Gallon Forecast'!V102+'D6 Gallon Forecast'!V82</f>
        <v>13176469.247820672</v>
      </c>
      <c r="W36" s="43">
        <f>'D4 Gallon Forecast'!W102+'D6 Gallon Forecast'!W82</f>
        <v>14619859.725017546</v>
      </c>
      <c r="X36" s="43">
        <f>'D4 Gallon Forecast'!X102+'D6 Gallon Forecast'!X82</f>
        <v>13310696.499943377</v>
      </c>
      <c r="Y36" s="43">
        <f>'D4 Gallon Forecast'!Y102+'D6 Gallon Forecast'!Y82</f>
        <v>12581310.350266652</v>
      </c>
      <c r="Z36" s="43">
        <f>'D4 Gallon Forecast'!Z102+'D6 Gallon Forecast'!Z82</f>
        <v>11958096.468274761</v>
      </c>
      <c r="AA36" s="43">
        <f>'D4 Gallon Forecast'!AA102+'D6 Gallon Forecast'!AA82</f>
        <v>10663379.864580387</v>
      </c>
      <c r="AB36" s="43">
        <f>'D4 Gallon Forecast'!AB102+'D6 Gallon Forecast'!AB82</f>
        <v>8969764.5661756862</v>
      </c>
      <c r="AC36" s="43">
        <f>'D4 Gallon Forecast'!AC102+'D6 Gallon Forecast'!AC82</f>
        <v>7572643.416067658</v>
      </c>
      <c r="AD36" s="43">
        <f>'D4 Gallon Forecast'!AD102+'D6 Gallon Forecast'!AD82</f>
        <v>6168301.35083823</v>
      </c>
      <c r="AE36" s="43">
        <f>'D4 Gallon Forecast'!AE102+'D6 Gallon Forecast'!AE82</f>
        <v>5112652.5187146682</v>
      </c>
      <c r="AF36" s="43">
        <f>'D4 Gallon Forecast'!AF102+'D6 Gallon Forecast'!AF82</f>
        <v>5108859.5198730035</v>
      </c>
      <c r="AG36" s="43">
        <f>'D4 Gallon Forecast'!AG102+'D6 Gallon Forecast'!AG82</f>
        <v>5145659.5893233195</v>
      </c>
      <c r="AH36" s="43">
        <f>'D4 Gallon Forecast'!AH102+'D6 Gallon Forecast'!AH82</f>
        <v>5136727.422614743</v>
      </c>
      <c r="AI36" s="43">
        <f>'D4 Gallon Forecast'!AI102+'D6 Gallon Forecast'!AI82</f>
        <v>5129271.1156469164</v>
      </c>
      <c r="AJ36" s="43">
        <f>'D4 Gallon Forecast'!AJ102+'D6 Gallon Forecast'!AJ82</f>
        <v>5126636.4332345305</v>
      </c>
      <c r="AK36" s="43">
        <f>'D4 Gallon Forecast'!AK102+'D6 Gallon Forecast'!AK82</f>
        <v>5129433.616138503</v>
      </c>
      <c r="AL36" s="43">
        <f>'D4 Gallon Forecast'!AL102+'D6 Gallon Forecast'!AL82</f>
        <v>5133548.6353916023</v>
      </c>
      <c r="AM36" s="43">
        <f>'D4 Gallon Forecast'!AM102+'D6 Gallon Forecast'!AM82</f>
        <v>5131126.4446052592</v>
      </c>
      <c r="AN36" s="43">
        <f>'D4 Gallon Forecast'!AN102+'D6 Gallon Forecast'!AN82</f>
        <v>5130006.2490033628</v>
      </c>
      <c r="AO36" s="43">
        <f>'D4 Gallon Forecast'!AO102+'D6 Gallon Forecast'!AO82</f>
        <v>5130153.2756746514</v>
      </c>
      <c r="AP36" s="43">
        <f>'D4 Gallon Forecast'!AP102+'D6 Gallon Forecast'!AP82</f>
        <v>5130856.6441626763</v>
      </c>
      <c r="AQ36" s="43">
        <f>'D4 Gallon Forecast'!AQ102+'D6 Gallon Forecast'!AQ82</f>
        <v>5131141.2497675112</v>
      </c>
      <c r="AR36" s="43"/>
      <c r="AS36" s="44">
        <f>O36/O35-1</f>
        <v>0.65956904907130176</v>
      </c>
      <c r="AU36" s="42">
        <f t="shared" si="16"/>
        <v>15527376.199999999</v>
      </c>
      <c r="AV36" s="42">
        <f t="shared" si="17"/>
        <v>37957448.799999997</v>
      </c>
      <c r="AW36" s="42">
        <f t="shared" si="18"/>
        <v>12688512</v>
      </c>
      <c r="AX36" s="42">
        <f>P36/28</f>
        <v>1910172.3214285714</v>
      </c>
      <c r="AY36" s="42">
        <f>AU36/28</f>
        <v>554549.15</v>
      </c>
      <c r="AZ36" s="42">
        <f t="shared" ref="AZ36:AZ46" si="19">AX36-AY36</f>
        <v>1355623.1714285715</v>
      </c>
    </row>
    <row r="37" spans="1:52">
      <c r="A37" s="40" t="s">
        <v>45</v>
      </c>
      <c r="B37" s="42">
        <f>'D4 Gallon Forecast'!B103+'D6 Gallon Forecast'!B83</f>
        <v>0</v>
      </c>
      <c r="C37" s="42">
        <f>'D4 Gallon Forecast'!C103+'D6 Gallon Forecast'!C83</f>
        <v>4627645</v>
      </c>
      <c r="D37" s="42">
        <f>'D4 Gallon Forecast'!D103+'D6 Gallon Forecast'!D83</f>
        <v>4310074</v>
      </c>
      <c r="E37" s="42">
        <f>'D4 Gallon Forecast'!E103+'D6 Gallon Forecast'!E83</f>
        <v>9369422</v>
      </c>
      <c r="F37" s="42">
        <f>'D4 Gallon Forecast'!F103+'D6 Gallon Forecast'!F83</f>
        <v>13088434</v>
      </c>
      <c r="G37" s="42">
        <f>'D4 Gallon Forecast'!G103+'D6 Gallon Forecast'!G83</f>
        <v>13440537</v>
      </c>
      <c r="H37" s="42">
        <f>'D4 Gallon Forecast'!H103+'D6 Gallon Forecast'!H83</f>
        <v>9815784</v>
      </c>
      <c r="I37" s="42">
        <f>'D4 Gallon Forecast'!I103+'D6 Gallon Forecast'!I83</f>
        <v>40549915</v>
      </c>
      <c r="J37" s="42">
        <f>'D4 Gallon Forecast'!J103+'D6 Gallon Forecast'!J83</f>
        <v>15643523</v>
      </c>
      <c r="K37" s="42">
        <f>'D4 Gallon Forecast'!K103+'D6 Gallon Forecast'!K83</f>
        <v>12055979</v>
      </c>
      <c r="L37" s="42">
        <f>'D4 Gallon Forecast'!L103+'D6 Gallon Forecast'!L83</f>
        <v>18577254</v>
      </c>
      <c r="M37" s="42">
        <f>'D4 Gallon Forecast'!M103+'D6 Gallon Forecast'!M83</f>
        <v>15146974</v>
      </c>
      <c r="N37" s="42">
        <f>'D4 Gallon Forecast'!N103+'D6 Gallon Forecast'!N83</f>
        <v>22680677</v>
      </c>
      <c r="O37" s="42">
        <f>'D4 Gallon Forecast'!O103+'D6 Gallon Forecast'!O83</f>
        <v>44788401</v>
      </c>
      <c r="P37" s="42">
        <f>'D4 Gallon Forecast'!P103+'D6 Gallon Forecast'!P83</f>
        <v>29890832</v>
      </c>
      <c r="Q37" s="42">
        <f>'D4 Gallon Forecast'!Q103+'D6 Gallon Forecast'!Q83</f>
        <v>3901575</v>
      </c>
      <c r="R37" s="43">
        <f>'D4 Gallon Forecast'!R103+'D6 Gallon Forecast'!R83</f>
        <v>13073719.046305515</v>
      </c>
      <c r="S37" s="43">
        <f>'D4 Gallon Forecast'!S103+'D6 Gallon Forecast'!S83</f>
        <v>13665751.06353388</v>
      </c>
      <c r="T37" s="43">
        <f>'D4 Gallon Forecast'!T103+'D6 Gallon Forecast'!T83</f>
        <v>14189017.273756305</v>
      </c>
      <c r="U37" s="43">
        <f>'D4 Gallon Forecast'!U103+'D6 Gallon Forecast'!U83</f>
        <v>12194340.486072693</v>
      </c>
      <c r="V37" s="43">
        <f>'D4 Gallon Forecast'!V103+'D6 Gallon Forecast'!V83</f>
        <v>11209925.350447634</v>
      </c>
      <c r="W37" s="43">
        <f>'D4 Gallon Forecast'!W103+'D6 Gallon Forecast'!W83</f>
        <v>12745168.090777704</v>
      </c>
      <c r="X37" s="43">
        <f>'D4 Gallon Forecast'!X103+'D6 Gallon Forecast'!X83</f>
        <v>11259998.546547925</v>
      </c>
      <c r="Y37" s="43">
        <f>'D4 Gallon Forecast'!Y103+'D6 Gallon Forecast'!Y83</f>
        <v>10362356.032306923</v>
      </c>
      <c r="Z37" s="43">
        <f>'D4 Gallon Forecast'!Z103+'D6 Gallon Forecast'!Z83</f>
        <v>9815595.1345405392</v>
      </c>
      <c r="AA37" s="43">
        <f>'D4 Gallon Forecast'!AA103+'D6 Gallon Forecast'!AA83</f>
        <v>8997854.725623671</v>
      </c>
      <c r="AB37" s="43">
        <f>'D4 Gallon Forecast'!AB103+'D6 Gallon Forecast'!AB83</f>
        <v>7555766.5889328737</v>
      </c>
      <c r="AC37" s="43">
        <f>'D4 Gallon Forecast'!AC103+'D6 Gallon Forecast'!AC83</f>
        <v>6322242.8899098346</v>
      </c>
      <c r="AD37" s="43">
        <f>'D4 Gallon Forecast'!AD103+'D6 Gallon Forecast'!AD83</f>
        <v>5132242.8919446962</v>
      </c>
      <c r="AE37" s="43">
        <f>'D4 Gallon Forecast'!AE103+'D6 Gallon Forecast'!AE83</f>
        <v>4265831.0786787532</v>
      </c>
      <c r="AF37" s="43">
        <f>'D4 Gallon Forecast'!AF103+'D6 Gallon Forecast'!AF83</f>
        <v>4284151.085188915</v>
      </c>
      <c r="AG37" s="43">
        <f>'D4 Gallon Forecast'!AG103+'D6 Gallon Forecast'!AG83</f>
        <v>4306286.6460398547</v>
      </c>
      <c r="AH37" s="43">
        <f>'D4 Gallon Forecast'!AH103+'D6 Gallon Forecast'!AH83</f>
        <v>4290134.1632521274</v>
      </c>
      <c r="AI37" s="43">
        <f>'D4 Gallon Forecast'!AI103+'D6 Gallon Forecast'!AI83</f>
        <v>4284356.7817508355</v>
      </c>
      <c r="AJ37" s="43">
        <f>'D4 Gallon Forecast'!AJ103+'D6 Gallon Forecast'!AJ83</f>
        <v>4286154.350982097</v>
      </c>
      <c r="AK37" s="43">
        <f>'D4 Gallon Forecast'!AK103+'D6 Gallon Forecast'!AK83</f>
        <v>4290219.405442765</v>
      </c>
      <c r="AL37" s="43">
        <f>'D4 Gallon Forecast'!AL103+'D6 Gallon Forecast'!AL83</f>
        <v>4291433.2694935352</v>
      </c>
      <c r="AM37" s="43">
        <f>'D4 Gallon Forecast'!AM103+'D6 Gallon Forecast'!AM83</f>
        <v>4288462.594184272</v>
      </c>
      <c r="AN37" s="43">
        <f>'D4 Gallon Forecast'!AN103+'D6 Gallon Forecast'!AN83</f>
        <v>4288128.2803707002</v>
      </c>
      <c r="AO37" s="43">
        <f>'D4 Gallon Forecast'!AO103+'D6 Gallon Forecast'!AO83</f>
        <v>4288882.5800946746</v>
      </c>
      <c r="AP37" s="43">
        <f>'D4 Gallon Forecast'!AP103+'D6 Gallon Forecast'!AP83</f>
        <v>4289428.2259171894</v>
      </c>
      <c r="AQ37" s="43">
        <f>'D4 Gallon Forecast'!AQ103+'D6 Gallon Forecast'!AQ83</f>
        <v>4289269.9900120748</v>
      </c>
      <c r="AR37" s="43"/>
      <c r="AS37" s="44">
        <f t="shared" ref="AS37:AS46" si="20">M37/M36-1</f>
        <v>0.97699544469291255</v>
      </c>
      <c r="AU37" s="42">
        <f t="shared" si="16"/>
        <v>22649857</v>
      </c>
      <c r="AV37" s="42">
        <f t="shared" si="17"/>
        <v>7240975</v>
      </c>
      <c r="AW37" s="42">
        <f t="shared" si="18"/>
        <v>-14897569</v>
      </c>
      <c r="AX37" s="42">
        <f>P37/31</f>
        <v>964220.38709677418</v>
      </c>
      <c r="AY37" s="42">
        <f>AU37/31</f>
        <v>730640.54838709673</v>
      </c>
      <c r="AZ37" s="42">
        <f t="shared" si="19"/>
        <v>233579.83870967745</v>
      </c>
    </row>
    <row r="38" spans="1:52">
      <c r="A38" s="40" t="s">
        <v>46</v>
      </c>
      <c r="B38" s="42">
        <f>'D4 Gallon Forecast'!B104+'D6 Gallon Forecast'!B84</f>
        <v>0</v>
      </c>
      <c r="C38" s="42">
        <f>'D4 Gallon Forecast'!C104+'D6 Gallon Forecast'!C84</f>
        <v>2211755</v>
      </c>
      <c r="D38" s="42">
        <f>'D4 Gallon Forecast'!D104+'D6 Gallon Forecast'!D84</f>
        <v>2657742</v>
      </c>
      <c r="E38" s="42">
        <f>'D4 Gallon Forecast'!E104+'D6 Gallon Forecast'!E84</f>
        <v>4789267</v>
      </c>
      <c r="F38" s="42">
        <f>'D4 Gallon Forecast'!F104+'D6 Gallon Forecast'!F84</f>
        <v>5759471</v>
      </c>
      <c r="G38" s="42">
        <f>'D4 Gallon Forecast'!G104+'D6 Gallon Forecast'!G84</f>
        <v>19801586</v>
      </c>
      <c r="H38" s="42">
        <f>'D4 Gallon Forecast'!H104+'D6 Gallon Forecast'!H84</f>
        <v>34059686</v>
      </c>
      <c r="I38" s="42">
        <f>'D4 Gallon Forecast'!I104+'D6 Gallon Forecast'!I84</f>
        <v>20854252</v>
      </c>
      <c r="J38" s="42">
        <f>'D4 Gallon Forecast'!J104+'D6 Gallon Forecast'!J84</f>
        <v>15936188</v>
      </c>
      <c r="K38" s="42">
        <f>'D4 Gallon Forecast'!K104+'D6 Gallon Forecast'!K84</f>
        <v>21520142</v>
      </c>
      <c r="L38" s="42">
        <f>'D4 Gallon Forecast'!L104+'D6 Gallon Forecast'!L84</f>
        <v>18683140</v>
      </c>
      <c r="M38" s="42">
        <f>'D4 Gallon Forecast'!M104+'D6 Gallon Forecast'!M84</f>
        <v>17336621</v>
      </c>
      <c r="N38" s="42">
        <f>'D4 Gallon Forecast'!N104+'D6 Gallon Forecast'!N84</f>
        <v>29873220</v>
      </c>
      <c r="O38" s="42">
        <f>'D4 Gallon Forecast'!O104+'D6 Gallon Forecast'!O84</f>
        <v>34964458</v>
      </c>
      <c r="P38" s="42">
        <f>'D4 Gallon Forecast'!P104+'D6 Gallon Forecast'!P84</f>
        <v>50717206</v>
      </c>
      <c r="Q38" s="43">
        <f>'D4 Gallon Forecast'!Q104+'D6 Gallon Forecast'!Q84</f>
        <v>32480444.956097625</v>
      </c>
      <c r="R38" s="43">
        <f>'D4 Gallon Forecast'!R104+'D6 Gallon Forecast'!R84</f>
        <v>18300201.315653235</v>
      </c>
      <c r="S38" s="43">
        <f>'D4 Gallon Forecast'!S104+'D6 Gallon Forecast'!S84</f>
        <v>19590947.583573449</v>
      </c>
      <c r="T38" s="43">
        <f>'D4 Gallon Forecast'!T104+'D6 Gallon Forecast'!T84</f>
        <v>20696940.348730329</v>
      </c>
      <c r="U38" s="43">
        <f>'D4 Gallon Forecast'!U104+'D6 Gallon Forecast'!U84</f>
        <v>22743163.925226785</v>
      </c>
      <c r="V38" s="43">
        <f>'D4 Gallon Forecast'!V104+'D6 Gallon Forecast'!V84</f>
        <v>22373239.803192075</v>
      </c>
      <c r="W38" s="43">
        <f>'D4 Gallon Forecast'!W104+'D6 Gallon Forecast'!W84</f>
        <v>20545229.740602769</v>
      </c>
      <c r="X38" s="43">
        <f>'D4 Gallon Forecast'!X104+'D6 Gallon Forecast'!X84</f>
        <v>18639267.653936878</v>
      </c>
      <c r="Y38" s="43">
        <f>'D4 Gallon Forecast'!Y104+'D6 Gallon Forecast'!Y84</f>
        <v>17663188.284957003</v>
      </c>
      <c r="Z38" s="43">
        <f>'D4 Gallon Forecast'!Z104+'D6 Gallon Forecast'!Z84</f>
        <v>17323995.77318953</v>
      </c>
      <c r="AA38" s="43">
        <f>'D4 Gallon Forecast'!AA104+'D6 Gallon Forecast'!AA84</f>
        <v>15682423.757300021</v>
      </c>
      <c r="AB38" s="43">
        <f>'D4 Gallon Forecast'!AB104+'D6 Gallon Forecast'!AB84</f>
        <v>12766157.024369624</v>
      </c>
      <c r="AC38" s="43">
        <f>'D4 Gallon Forecast'!AC104+'D6 Gallon Forecast'!AC84</f>
        <v>10812279.729715971</v>
      </c>
      <c r="AD38" s="43">
        <f>'D4 Gallon Forecast'!AD104+'D6 Gallon Forecast'!AD84</f>
        <v>8850760.2798117809</v>
      </c>
      <c r="AE38" s="43">
        <f>'D4 Gallon Forecast'!AE104+'D6 Gallon Forecast'!AE84</f>
        <v>7379956.7553819856</v>
      </c>
      <c r="AF38" s="43">
        <f>'D4 Gallon Forecast'!AF104+'D6 Gallon Forecast'!AF84</f>
        <v>7366138.6123777954</v>
      </c>
      <c r="AG38" s="43">
        <f>'D4 Gallon Forecast'!AG104+'D6 Gallon Forecast'!AG84</f>
        <v>7371139.4377589291</v>
      </c>
      <c r="AH38" s="43">
        <f>'D4 Gallon Forecast'!AH104+'D6 Gallon Forecast'!AH84</f>
        <v>7372990.6732434928</v>
      </c>
      <c r="AI38" s="43">
        <f>'D4 Gallon Forecast'!AI104+'D6 Gallon Forecast'!AI84</f>
        <v>7373268.2997257663</v>
      </c>
      <c r="AJ38" s="43">
        <f>'D4 Gallon Forecast'!AJ104+'D6 Gallon Forecast'!AJ84</f>
        <v>7372701.1556975935</v>
      </c>
      <c r="AK38" s="43">
        <f>'D4 Gallon Forecast'!AK104+'D6 Gallon Forecast'!AK84</f>
        <v>7371250.435760716</v>
      </c>
      <c r="AL38" s="43">
        <f>'D4 Gallon Forecast'!AL104+'D6 Gallon Forecast'!AL84</f>
        <v>7372273.0004373007</v>
      </c>
      <c r="AM38" s="43">
        <f>'D4 Gallon Forecast'!AM104+'D6 Gallon Forecast'!AM84</f>
        <v>7372499.7129729744</v>
      </c>
      <c r="AN38" s="43">
        <f>'D4 Gallon Forecast'!AN104+'D6 Gallon Forecast'!AN84</f>
        <v>7372401.5209188703</v>
      </c>
      <c r="AO38" s="43">
        <f>'D4 Gallon Forecast'!AO104+'D6 Gallon Forecast'!AO84</f>
        <v>7372228.1651574913</v>
      </c>
      <c r="AP38" s="43">
        <f>'D4 Gallon Forecast'!AP104+'D6 Gallon Forecast'!AP84</f>
        <v>7372133.5670494707</v>
      </c>
      <c r="AQ38" s="43">
        <f>'D4 Gallon Forecast'!AQ104+'D6 Gallon Forecast'!AQ84</f>
        <v>7372310.1933072228</v>
      </c>
      <c r="AR38" s="43"/>
      <c r="AS38" s="44">
        <f t="shared" si="20"/>
        <v>0.14456002895363795</v>
      </c>
      <c r="AU38" s="42">
        <f t="shared" si="16"/>
        <v>24475516.199999999</v>
      </c>
      <c r="AV38" s="42">
        <f t="shared" si="17"/>
        <v>26241689.800000001</v>
      </c>
      <c r="AW38" s="42">
        <f t="shared" si="18"/>
        <v>15752748</v>
      </c>
      <c r="AX38" s="42">
        <f>P38/30</f>
        <v>1690573.5333333334</v>
      </c>
      <c r="AY38" s="42">
        <f>AU38/30</f>
        <v>815850.53999999992</v>
      </c>
      <c r="AZ38" s="42">
        <f t="shared" si="19"/>
        <v>874722.99333333352</v>
      </c>
    </row>
    <row r="39" spans="1:52">
      <c r="A39" s="40" t="s">
        <v>47</v>
      </c>
      <c r="B39" s="42">
        <f>'D4 Gallon Forecast'!B105+'D6 Gallon Forecast'!B85</f>
        <v>0</v>
      </c>
      <c r="C39" s="42">
        <f>'D4 Gallon Forecast'!C105+'D6 Gallon Forecast'!C85</f>
        <v>2249922</v>
      </c>
      <c r="D39" s="42">
        <f>'D4 Gallon Forecast'!D105+'D6 Gallon Forecast'!D85</f>
        <v>2132126</v>
      </c>
      <c r="E39" s="42">
        <f>'D4 Gallon Forecast'!E105+'D6 Gallon Forecast'!E85</f>
        <v>10033114</v>
      </c>
      <c r="F39" s="42">
        <f>'D4 Gallon Forecast'!F105+'D6 Gallon Forecast'!F85</f>
        <v>7796210</v>
      </c>
      <c r="G39" s="42">
        <f>'D4 Gallon Forecast'!G105+'D6 Gallon Forecast'!G85</f>
        <v>18863894</v>
      </c>
      <c r="H39" s="42">
        <f>'D4 Gallon Forecast'!H105+'D6 Gallon Forecast'!H85</f>
        <v>47584612</v>
      </c>
      <c r="I39" s="42">
        <f>'D4 Gallon Forecast'!I105+'D6 Gallon Forecast'!I85</f>
        <v>39031612</v>
      </c>
      <c r="J39" s="42">
        <f>'D4 Gallon Forecast'!J105+'D6 Gallon Forecast'!J85</f>
        <v>16056827</v>
      </c>
      <c r="K39" s="42">
        <f>'D4 Gallon Forecast'!K105+'D6 Gallon Forecast'!K85</f>
        <v>15655745</v>
      </c>
      <c r="L39" s="42">
        <f>'D4 Gallon Forecast'!L105+'D6 Gallon Forecast'!L85</f>
        <v>18646666</v>
      </c>
      <c r="M39" s="42">
        <f>'D4 Gallon Forecast'!M105+'D6 Gallon Forecast'!M85</f>
        <v>13326443</v>
      </c>
      <c r="N39" s="42">
        <f>'D4 Gallon Forecast'!N105+'D6 Gallon Forecast'!N85</f>
        <v>11776660</v>
      </c>
      <c r="O39" s="42">
        <f>'D4 Gallon Forecast'!O105+'D6 Gallon Forecast'!O85</f>
        <v>39419838</v>
      </c>
      <c r="P39" s="42">
        <f>'D4 Gallon Forecast'!P105+'D6 Gallon Forecast'!P85</f>
        <v>35451412</v>
      </c>
      <c r="Q39" s="43">
        <f>'D4 Gallon Forecast'!Q105+'D6 Gallon Forecast'!Q85</f>
        <v>25832523.487314109</v>
      </c>
      <c r="R39" s="43">
        <f>'D4 Gallon Forecast'!R105+'D6 Gallon Forecast'!R85</f>
        <v>14129246.030895434</v>
      </c>
      <c r="S39" s="43">
        <f>'D4 Gallon Forecast'!S105+'D6 Gallon Forecast'!S85</f>
        <v>15132840.116583182</v>
      </c>
      <c r="T39" s="43">
        <f>'D4 Gallon Forecast'!T105+'D6 Gallon Forecast'!T85</f>
        <v>17509333.059616942</v>
      </c>
      <c r="U39" s="43">
        <f>'D4 Gallon Forecast'!U105+'D6 Gallon Forecast'!U85</f>
        <v>17634475.568807781</v>
      </c>
      <c r="V39" s="43">
        <f>'D4 Gallon Forecast'!V105+'D6 Gallon Forecast'!V85</f>
        <v>17739176.239777789</v>
      </c>
      <c r="W39" s="43">
        <f>'D4 Gallon Forecast'!W105+'D6 Gallon Forecast'!W85</f>
        <v>16274023.503106639</v>
      </c>
      <c r="X39" s="43">
        <f>'D4 Gallon Forecast'!X105+'D6 Gallon Forecast'!X85</f>
        <v>14828769.641388467</v>
      </c>
      <c r="Y39" s="43">
        <f>'D4 Gallon Forecast'!Y105+'D6 Gallon Forecast'!Y85</f>
        <v>14128448.637650065</v>
      </c>
      <c r="Z39" s="43">
        <f>'D4 Gallon Forecast'!Z105+'D6 Gallon Forecast'!Z85</f>
        <v>13695006.192599883</v>
      </c>
      <c r="AA39" s="43">
        <f>'D4 Gallon Forecast'!AA105+'D6 Gallon Forecast'!AA85</f>
        <v>12453266.877485942</v>
      </c>
      <c r="AB39" s="43">
        <f>'D4 Gallon Forecast'!AB105+'D6 Gallon Forecast'!AB85</f>
        <v>10141351.836928993</v>
      </c>
      <c r="AC39" s="43">
        <f>'D4 Gallon Forecast'!AC105+'D6 Gallon Forecast'!AC85</f>
        <v>8595392.515527986</v>
      </c>
      <c r="AD39" s="43">
        <f>'D4 Gallon Forecast'!AD105+'D6 Gallon Forecast'!AD85</f>
        <v>7034717.8084998121</v>
      </c>
      <c r="AE39" s="43">
        <f>'D4 Gallon Forecast'!AE105+'D6 Gallon Forecast'!AE85</f>
        <v>5855609.2365837544</v>
      </c>
      <c r="AF39" s="43">
        <f>'D4 Gallon Forecast'!AF105+'D6 Gallon Forecast'!AF85</f>
        <v>5851372.3373928964</v>
      </c>
      <c r="AG39" s="43">
        <f>'D4 Gallon Forecast'!AG105+'D6 Gallon Forecast'!AG85</f>
        <v>5856006.8335833512</v>
      </c>
      <c r="AH39" s="43">
        <f>'D4 Gallon Forecast'!AH105+'D6 Gallon Forecast'!AH85</f>
        <v>5857606.6585154943</v>
      </c>
      <c r="AI39" s="43">
        <f>'D4 Gallon Forecast'!AI105+'D6 Gallon Forecast'!AI85</f>
        <v>5856792.7451106356</v>
      </c>
      <c r="AJ39" s="43">
        <f>'D4 Gallon Forecast'!AJ105+'D6 Gallon Forecast'!AJ85</f>
        <v>5855479.9622372258</v>
      </c>
      <c r="AK39" s="43">
        <f>'D4 Gallon Forecast'!AK105+'D6 Gallon Forecast'!AK85</f>
        <v>5855454.5073679201</v>
      </c>
      <c r="AL39" s="43">
        <f>'D4 Gallon Forecast'!AL105+'D6 Gallon Forecast'!AL85</f>
        <v>5856271.141362926</v>
      </c>
      <c r="AM39" s="43">
        <f>'D4 Gallon Forecast'!AM105+'D6 Gallon Forecast'!AM85</f>
        <v>5856324.0029188395</v>
      </c>
      <c r="AN39" s="43">
        <f>'D4 Gallon Forecast'!AN105+'D6 Gallon Forecast'!AN85</f>
        <v>5856067.4717995096</v>
      </c>
      <c r="AO39" s="43">
        <f>'D4 Gallon Forecast'!AO105+'D6 Gallon Forecast'!AO85</f>
        <v>5855922.4171372848</v>
      </c>
      <c r="AP39" s="43">
        <f>'D4 Gallon Forecast'!AP105+'D6 Gallon Forecast'!AP85</f>
        <v>5856010.9081172952</v>
      </c>
      <c r="AQ39" s="43">
        <f>'D4 Gallon Forecast'!AQ105+'D6 Gallon Forecast'!AQ85</f>
        <v>5856122.1882671705</v>
      </c>
      <c r="AR39" s="43"/>
      <c r="AS39" s="44">
        <f t="shared" si="20"/>
        <v>-0.23131254931396372</v>
      </c>
      <c r="AU39" s="42">
        <f t="shared" si="16"/>
        <v>19765070.399999999</v>
      </c>
      <c r="AV39" s="42">
        <f t="shared" si="17"/>
        <v>15686341.600000001</v>
      </c>
      <c r="AW39" s="42">
        <f t="shared" si="18"/>
        <v>-3968426</v>
      </c>
      <c r="AX39" s="42">
        <f>P39/31</f>
        <v>1143593.935483871</v>
      </c>
      <c r="AY39" s="42">
        <f>AU39/31</f>
        <v>637582.91612903227</v>
      </c>
      <c r="AZ39" s="42">
        <f t="shared" si="19"/>
        <v>506011.01935483876</v>
      </c>
    </row>
    <row r="40" spans="1:52">
      <c r="A40" s="40" t="s">
        <v>48</v>
      </c>
      <c r="B40" s="42">
        <f>'D4 Gallon Forecast'!B106+'D6 Gallon Forecast'!B86</f>
        <v>0</v>
      </c>
      <c r="C40" s="42">
        <f>'D4 Gallon Forecast'!C106+'D6 Gallon Forecast'!C86</f>
        <v>3510101</v>
      </c>
      <c r="D40" s="42">
        <f>'D4 Gallon Forecast'!D106+'D6 Gallon Forecast'!D86</f>
        <v>5877535</v>
      </c>
      <c r="E40" s="42">
        <f>'D4 Gallon Forecast'!E106+'D6 Gallon Forecast'!E86</f>
        <v>14747164</v>
      </c>
      <c r="F40" s="42">
        <f>'D4 Gallon Forecast'!F106+'D6 Gallon Forecast'!F86</f>
        <v>10072934</v>
      </c>
      <c r="G40" s="42">
        <f>'D4 Gallon Forecast'!G106+'D6 Gallon Forecast'!G86</f>
        <v>25511910</v>
      </c>
      <c r="H40" s="42">
        <f>'D4 Gallon Forecast'!H106+'D6 Gallon Forecast'!H86</f>
        <v>73601957</v>
      </c>
      <c r="I40" s="42">
        <f>'D4 Gallon Forecast'!I106+'D6 Gallon Forecast'!I86</f>
        <v>83762771</v>
      </c>
      <c r="J40" s="42">
        <f>'D4 Gallon Forecast'!J106+'D6 Gallon Forecast'!J86</f>
        <v>12234295</v>
      </c>
      <c r="K40" s="42">
        <f>'D4 Gallon Forecast'!K106+'D6 Gallon Forecast'!K86</f>
        <v>19389140</v>
      </c>
      <c r="L40" s="42">
        <f>'D4 Gallon Forecast'!L106+'D6 Gallon Forecast'!L86</f>
        <v>16749201</v>
      </c>
      <c r="M40" s="42">
        <f>'D4 Gallon Forecast'!M106+'D6 Gallon Forecast'!M86</f>
        <v>17588416</v>
      </c>
      <c r="N40" s="42">
        <f>'D4 Gallon Forecast'!N106+'D6 Gallon Forecast'!N86</f>
        <v>19314836</v>
      </c>
      <c r="O40" s="42">
        <f>'D4 Gallon Forecast'!O106+'D6 Gallon Forecast'!O86</f>
        <v>41179873</v>
      </c>
      <c r="P40" s="42">
        <f>'D4 Gallon Forecast'!P106+'D6 Gallon Forecast'!P86</f>
        <v>39789929</v>
      </c>
      <c r="Q40" s="43">
        <f>'D4 Gallon Forecast'!Q106+'D6 Gallon Forecast'!Q86</f>
        <v>28821440.119581573</v>
      </c>
      <c r="R40" s="43">
        <f>'D4 Gallon Forecast'!R106+'D6 Gallon Forecast'!R86</f>
        <v>16219458.665915268</v>
      </c>
      <c r="S40" s="43">
        <f>'D4 Gallon Forecast'!S106+'D6 Gallon Forecast'!S86</f>
        <v>17097748.13535852</v>
      </c>
      <c r="T40" s="43">
        <f>'D4 Gallon Forecast'!T106+'D6 Gallon Forecast'!T86</f>
        <v>18973260.072930049</v>
      </c>
      <c r="U40" s="43">
        <f>'D4 Gallon Forecast'!U106+'D6 Gallon Forecast'!U86</f>
        <v>19359504.85724223</v>
      </c>
      <c r="V40" s="43">
        <f>'D4 Gallon Forecast'!V106+'D6 Gallon Forecast'!V86</f>
        <v>19750790.363877229</v>
      </c>
      <c r="W40" s="43">
        <f>'D4 Gallon Forecast'!W106+'D6 Gallon Forecast'!W86</f>
        <v>18107698.150960274</v>
      </c>
      <c r="X40" s="43">
        <f>'D4 Gallon Forecast'!X106+'D6 Gallon Forecast'!X86</f>
        <v>16411953.981731458</v>
      </c>
      <c r="Y40" s="43">
        <f>'D4 Gallon Forecast'!Y106+'D6 Gallon Forecast'!Y86</f>
        <v>15578109.660573293</v>
      </c>
      <c r="Z40" s="43">
        <f>'D4 Gallon Forecast'!Z106+'D6 Gallon Forecast'!Z86</f>
        <v>15156708.716036197</v>
      </c>
      <c r="AA40" s="43">
        <f>'D4 Gallon Forecast'!AA106+'D6 Gallon Forecast'!AA86</f>
        <v>13807961.157064522</v>
      </c>
      <c r="AB40" s="43">
        <f>'D4 Gallon Forecast'!AB106+'D6 Gallon Forecast'!AB86</f>
        <v>11232913.788663989</v>
      </c>
      <c r="AC40" s="43">
        <f>'D4 Gallon Forecast'!AC106+'D6 Gallon Forecast'!AC86</f>
        <v>9509749.9442486707</v>
      </c>
      <c r="AD40" s="43">
        <f>'D4 Gallon Forecast'!AD106+'D6 Gallon Forecast'!AD86</f>
        <v>7782370.7205202654</v>
      </c>
      <c r="AE40" s="43">
        <f>'D4 Gallon Forecast'!AE106+'D6 Gallon Forecast'!AE86</f>
        <v>6483801.2398346225</v>
      </c>
      <c r="AF40" s="43">
        <f>'D4 Gallon Forecast'!AF106+'D6 Gallon Forecast'!AF86</f>
        <v>6480105.776592752</v>
      </c>
      <c r="AG40" s="43">
        <f>'D4 Gallon Forecast'!AG106+'D6 Gallon Forecast'!AG86</f>
        <v>6482647.1046656715</v>
      </c>
      <c r="AH40" s="43">
        <f>'D4 Gallon Forecast'!AH106+'D6 Gallon Forecast'!AH86</f>
        <v>6483296.5504462328</v>
      </c>
      <c r="AI40" s="43">
        <f>'D4 Gallon Forecast'!AI106+'D6 Gallon Forecast'!AI86</f>
        <v>6483121.3061652966</v>
      </c>
      <c r="AJ40" s="43">
        <f>'D4 Gallon Forecast'!AJ106+'D6 Gallon Forecast'!AJ86</f>
        <v>6482596.7955409149</v>
      </c>
      <c r="AK40" s="43">
        <f>'D4 Gallon Forecast'!AK106+'D6 Gallon Forecast'!AK86</f>
        <v>6482356.3066821732</v>
      </c>
      <c r="AL40" s="43">
        <f>'D4 Gallon Forecast'!AL106+'D6 Gallon Forecast'!AL86</f>
        <v>6482806.6127000581</v>
      </c>
      <c r="AM40" s="43">
        <f>'D4 Gallon Forecast'!AM106+'D6 Gallon Forecast'!AM86</f>
        <v>6482838.5143069355</v>
      </c>
      <c r="AN40" s="43">
        <f>'D4 Gallon Forecast'!AN106+'D6 Gallon Forecast'!AN86</f>
        <v>6482746.9070790755</v>
      </c>
      <c r="AO40" s="43">
        <f>'D4 Gallon Forecast'!AO106+'D6 Gallon Forecast'!AO86</f>
        <v>6482672.0272618309</v>
      </c>
      <c r="AP40" s="43">
        <f>'D4 Gallon Forecast'!AP106+'D6 Gallon Forecast'!AP86</f>
        <v>6482687.0736060143</v>
      </c>
      <c r="AQ40" s="43">
        <f>'D4 Gallon Forecast'!AQ106+'D6 Gallon Forecast'!AQ86</f>
        <v>6482753.2269907827</v>
      </c>
      <c r="AR40" s="43"/>
      <c r="AS40" s="45">
        <f t="shared" si="20"/>
        <v>0.31981324649045506</v>
      </c>
      <c r="AU40" s="42">
        <f t="shared" si="16"/>
        <v>22844293.199999999</v>
      </c>
      <c r="AV40" s="42">
        <f t="shared" si="17"/>
        <v>16945635.800000001</v>
      </c>
      <c r="AW40" s="42">
        <f t="shared" si="18"/>
        <v>-1389944</v>
      </c>
      <c r="AX40" s="42">
        <f>P40/30</f>
        <v>1326330.9666666666</v>
      </c>
      <c r="AY40" s="42">
        <f>AU40/30</f>
        <v>761476.44</v>
      </c>
      <c r="AZ40" s="42">
        <f t="shared" si="19"/>
        <v>564854.52666666661</v>
      </c>
    </row>
    <row r="41" spans="1:52">
      <c r="A41" s="40" t="s">
        <v>49</v>
      </c>
      <c r="B41" s="42">
        <f>'D4 Gallon Forecast'!B107+'D6 Gallon Forecast'!B87</f>
        <v>1377408</v>
      </c>
      <c r="C41" s="42">
        <f>'D4 Gallon Forecast'!C107+'D6 Gallon Forecast'!C87</f>
        <v>2521122</v>
      </c>
      <c r="D41" s="42">
        <f>'D4 Gallon Forecast'!D107+'D6 Gallon Forecast'!D87</f>
        <v>2650483</v>
      </c>
      <c r="E41" s="42">
        <f>'D4 Gallon Forecast'!E107+'D6 Gallon Forecast'!E87</f>
        <v>6520032</v>
      </c>
      <c r="F41" s="42">
        <f>'D4 Gallon Forecast'!F107+'D6 Gallon Forecast'!F87</f>
        <v>24687905</v>
      </c>
      <c r="G41" s="42">
        <f>'D4 Gallon Forecast'!G107+'D6 Gallon Forecast'!G87</f>
        <v>50409126</v>
      </c>
      <c r="H41" s="42">
        <f>'D4 Gallon Forecast'!H107+'D6 Gallon Forecast'!H87</f>
        <v>41162765</v>
      </c>
      <c r="I41" s="42">
        <f>'D4 Gallon Forecast'!I107+'D6 Gallon Forecast'!I87</f>
        <v>54630838</v>
      </c>
      <c r="J41" s="42">
        <f>'D4 Gallon Forecast'!J107+'D6 Gallon Forecast'!J87</f>
        <v>5311333</v>
      </c>
      <c r="K41" s="42">
        <f>'D4 Gallon Forecast'!K107+'D6 Gallon Forecast'!K87</f>
        <v>16326425</v>
      </c>
      <c r="L41" s="42">
        <f>'D4 Gallon Forecast'!L107+'D6 Gallon Forecast'!L87</f>
        <v>19995093</v>
      </c>
      <c r="M41" s="42">
        <f>'D4 Gallon Forecast'!M107+'D6 Gallon Forecast'!M87</f>
        <v>15382342</v>
      </c>
      <c r="N41" s="42">
        <f>'D4 Gallon Forecast'!N107+'D6 Gallon Forecast'!N87</f>
        <v>8715707</v>
      </c>
      <c r="O41" s="42">
        <f>'D4 Gallon Forecast'!O107+'D6 Gallon Forecast'!O87</f>
        <v>30319251</v>
      </c>
      <c r="P41" s="42">
        <f>'D4 Gallon Forecast'!P107+'D6 Gallon Forecast'!P87</f>
        <v>22459889</v>
      </c>
      <c r="Q41" s="43">
        <f>'D4 Gallon Forecast'!Q107+'D6 Gallon Forecast'!Q87</f>
        <v>23596223.259005353</v>
      </c>
      <c r="R41" s="43">
        <f>'D4 Gallon Forecast'!R107+'D6 Gallon Forecast'!R87</f>
        <v>11284069.686876141</v>
      </c>
      <c r="S41" s="43">
        <f>'D4 Gallon Forecast'!S107+'D6 Gallon Forecast'!S87</f>
        <v>11519100.194899365</v>
      </c>
      <c r="T41" s="43">
        <f>'D4 Gallon Forecast'!T107+'D6 Gallon Forecast'!T87</f>
        <v>13361585.681085302</v>
      </c>
      <c r="U41" s="43">
        <f>'D4 Gallon Forecast'!U107+'D6 Gallon Forecast'!U87</f>
        <v>13418325.162611175</v>
      </c>
      <c r="V41" s="43">
        <f>'D4 Gallon Forecast'!V107+'D6 Gallon Forecast'!V87</f>
        <v>14385675.142247684</v>
      </c>
      <c r="W41" s="43">
        <f>'D4 Gallon Forecast'!W107+'D6 Gallon Forecast'!W87</f>
        <v>12673055.407755783</v>
      </c>
      <c r="X41" s="43">
        <f>'D4 Gallon Forecast'!X107+'D6 Gallon Forecast'!X87</f>
        <v>11498121.20540173</v>
      </c>
      <c r="Y41" s="43">
        <f>'D4 Gallon Forecast'!Y107+'D6 Gallon Forecast'!Y87</f>
        <v>10991231.091437666</v>
      </c>
      <c r="Z41" s="43">
        <f>'D4 Gallon Forecast'!Z107+'D6 Gallon Forecast'!Z87</f>
        <v>10698176.118111124</v>
      </c>
      <c r="AA41" s="43">
        <f>'D4 Gallon Forecast'!AA107+'D6 Gallon Forecast'!AA87</f>
        <v>9786194.3496371973</v>
      </c>
      <c r="AB41" s="43">
        <f>'D4 Gallon Forecast'!AB107+'D6 Gallon Forecast'!AB87</f>
        <v>7906099.6310433391</v>
      </c>
      <c r="AC41" s="43">
        <f>'D4 Gallon Forecast'!AC107+'D6 Gallon Forecast'!AC87</f>
        <v>6702731.0940352287</v>
      </c>
      <c r="AD41" s="43">
        <f>'D4 Gallon Forecast'!AD107+'D6 Gallon Forecast'!AD87</f>
        <v>5493508.4842169667</v>
      </c>
      <c r="AE41" s="43">
        <f>'D4 Gallon Forecast'!AE107+'D6 Gallon Forecast'!AE87</f>
        <v>4577448.4598169765</v>
      </c>
      <c r="AF41" s="43">
        <f>'D4 Gallon Forecast'!AF107+'D6 Gallon Forecast'!AF87</f>
        <v>4575130.3564712005</v>
      </c>
      <c r="AG41" s="43">
        <f>'D4 Gallon Forecast'!AG107+'D6 Gallon Forecast'!AG87</f>
        <v>4571080.9414974544</v>
      </c>
      <c r="AH41" s="43">
        <f>'D4 Gallon Forecast'!AH107+'D6 Gallon Forecast'!AH87</f>
        <v>4574100.8828302054</v>
      </c>
      <c r="AI41" s="43">
        <f>'D4 Gallon Forecast'!AI107+'D6 Gallon Forecast'!AI87</f>
        <v>4575245.870160155</v>
      </c>
      <c r="AJ41" s="43">
        <f>'D4 Gallon Forecast'!AJ107+'D6 Gallon Forecast'!AJ87</f>
        <v>4574603.702155198</v>
      </c>
      <c r="AK41" s="43">
        <f>'D4 Gallon Forecast'!AK107+'D6 Gallon Forecast'!AK87</f>
        <v>4574035.1506228428</v>
      </c>
      <c r="AL41" s="43">
        <f>'D4 Gallon Forecast'!AL107+'D6 Gallon Forecast'!AL87</f>
        <v>4573816.3094531717</v>
      </c>
      <c r="AM41" s="43">
        <f>'D4 Gallon Forecast'!AM107+'D6 Gallon Forecast'!AM87</f>
        <v>4574363.3830443155</v>
      </c>
      <c r="AN41" s="43">
        <f>'D4 Gallon Forecast'!AN107+'D6 Gallon Forecast'!AN87</f>
        <v>4574415.8830871377</v>
      </c>
      <c r="AO41" s="43">
        <f>'D4 Gallon Forecast'!AO107+'D6 Gallon Forecast'!AO87</f>
        <v>4574249.885672532</v>
      </c>
      <c r="AP41" s="43">
        <f>'D4 Gallon Forecast'!AP107+'D6 Gallon Forecast'!AP87</f>
        <v>4574179.1223760005</v>
      </c>
      <c r="AQ41" s="43">
        <f>'D4 Gallon Forecast'!AQ107+'D6 Gallon Forecast'!AQ87</f>
        <v>4574207.916726633</v>
      </c>
      <c r="AR41" s="43"/>
      <c r="AS41" s="44">
        <f t="shared" si="20"/>
        <v>-0.12542766784683734</v>
      </c>
      <c r="AU41" s="42">
        <f t="shared" si="16"/>
        <v>18147763.600000001</v>
      </c>
      <c r="AV41" s="42">
        <f t="shared" si="17"/>
        <v>4312125.3999999985</v>
      </c>
      <c r="AW41" s="42">
        <f t="shared" si="18"/>
        <v>-7859362</v>
      </c>
      <c r="AX41" s="42">
        <f>P41/31</f>
        <v>724512.54838709673</v>
      </c>
      <c r="AY41" s="42">
        <f>AU41/31</f>
        <v>585411.72903225815</v>
      </c>
      <c r="AZ41" s="42">
        <f t="shared" si="19"/>
        <v>139100.81935483858</v>
      </c>
    </row>
    <row r="42" spans="1:52">
      <c r="A42" s="40" t="s">
        <v>50</v>
      </c>
      <c r="B42" s="42">
        <f>'D4 Gallon Forecast'!B108+'D6 Gallon Forecast'!B88</f>
        <v>2315495</v>
      </c>
      <c r="C42" s="42">
        <f>'D4 Gallon Forecast'!C108+'D6 Gallon Forecast'!C88</f>
        <v>2583842</v>
      </c>
      <c r="D42" s="42">
        <f>'D4 Gallon Forecast'!D108+'D6 Gallon Forecast'!D88</f>
        <v>3399417</v>
      </c>
      <c r="E42" s="42">
        <f>'D4 Gallon Forecast'!E108+'D6 Gallon Forecast'!E88</f>
        <v>17424036</v>
      </c>
      <c r="F42" s="42">
        <f>'D4 Gallon Forecast'!F108+'D6 Gallon Forecast'!F88</f>
        <v>13829568</v>
      </c>
      <c r="G42" s="42">
        <f>'D4 Gallon Forecast'!G108+'D6 Gallon Forecast'!G88</f>
        <v>47655602</v>
      </c>
      <c r="H42" s="42">
        <f>'D4 Gallon Forecast'!H108+'D6 Gallon Forecast'!H88</f>
        <v>64517887</v>
      </c>
      <c r="I42" s="42">
        <f>'D4 Gallon Forecast'!I108+'D6 Gallon Forecast'!I88</f>
        <v>52041080</v>
      </c>
      <c r="J42" s="42">
        <f>'D4 Gallon Forecast'!J108+'D6 Gallon Forecast'!J88</f>
        <v>13020993</v>
      </c>
      <c r="K42" s="42">
        <f>'D4 Gallon Forecast'!K108+'D6 Gallon Forecast'!K88</f>
        <v>8822166</v>
      </c>
      <c r="L42" s="42">
        <f>'D4 Gallon Forecast'!L108+'D6 Gallon Forecast'!L88</f>
        <v>16351622</v>
      </c>
      <c r="M42" s="42">
        <f>'D4 Gallon Forecast'!M108+'D6 Gallon Forecast'!M88</f>
        <v>11048139</v>
      </c>
      <c r="N42" s="42">
        <f>'D4 Gallon Forecast'!N108+'D6 Gallon Forecast'!N88</f>
        <v>15269993</v>
      </c>
      <c r="O42" s="42">
        <f>'D4 Gallon Forecast'!O108+'D6 Gallon Forecast'!O88</f>
        <v>44239929</v>
      </c>
      <c r="P42" s="42">
        <f>'D4 Gallon Forecast'!P108+'D6 Gallon Forecast'!P88</f>
        <v>24497122</v>
      </c>
      <c r="Q42" s="43">
        <f>'D4 Gallon Forecast'!Q108+'D6 Gallon Forecast'!Q88</f>
        <v>25261458.307057053</v>
      </c>
      <c r="R42" s="43">
        <f>'D4 Gallon Forecast'!R108+'D6 Gallon Forecast'!R88</f>
        <v>13512643.140852682</v>
      </c>
      <c r="S42" s="43">
        <f>'D4 Gallon Forecast'!S108+'D6 Gallon Forecast'!S88</f>
        <v>14675240.080099355</v>
      </c>
      <c r="T42" s="43">
        <f>'D4 Gallon Forecast'!T108+'D6 Gallon Forecast'!T88</f>
        <v>16461263.351296833</v>
      </c>
      <c r="U42" s="43">
        <f>'D4 Gallon Forecast'!U108+'D6 Gallon Forecast'!U88</f>
        <v>15407202.705206882</v>
      </c>
      <c r="V42" s="43">
        <f>'D4 Gallon Forecast'!V108+'D6 Gallon Forecast'!V88</f>
        <v>16771876.704647817</v>
      </c>
      <c r="W42" s="43">
        <f>'D4 Gallon Forecast'!W108+'D6 Gallon Forecast'!W88</f>
        <v>15220686.279473348</v>
      </c>
      <c r="X42" s="43">
        <f>'D4 Gallon Forecast'!X108+'D6 Gallon Forecast'!X88</f>
        <v>13816565.863831114</v>
      </c>
      <c r="Y42" s="43">
        <f>'D4 Gallon Forecast'!Y108+'D6 Gallon Forecast'!Y88</f>
        <v>13067258.955889791</v>
      </c>
      <c r="Z42" s="43">
        <f>'D4 Gallon Forecast'!Z108+'D6 Gallon Forecast'!Z88</f>
        <v>12620998.387459774</v>
      </c>
      <c r="AA42" s="43">
        <f>'D4 Gallon Forecast'!AA108+'D6 Gallon Forecast'!AA88</f>
        <v>11613788.619906897</v>
      </c>
      <c r="AB42" s="43">
        <f>'D4 Gallon Forecast'!AB108+'D6 Gallon Forecast'!AB88</f>
        <v>9425255.468691716</v>
      </c>
      <c r="AC42" s="43">
        <f>'D4 Gallon Forecast'!AC108+'D6 Gallon Forecast'!AC88</f>
        <v>7975838.8054320021</v>
      </c>
      <c r="AD42" s="43">
        <f>'D4 Gallon Forecast'!AD108+'D6 Gallon Forecast'!AD88</f>
        <v>6520904.1342572393</v>
      </c>
      <c r="AE42" s="43">
        <f>'D4 Gallon Forecast'!AE108+'D6 Gallon Forecast'!AE88</f>
        <v>5431216.4002722884</v>
      </c>
      <c r="AF42" s="43">
        <f>'D4 Gallon Forecast'!AF108+'D6 Gallon Forecast'!AF88</f>
        <v>5438097.800251347</v>
      </c>
      <c r="AG42" s="43">
        <f>'D4 Gallon Forecast'!AG108+'D6 Gallon Forecast'!AG88</f>
        <v>5436142.5951413428</v>
      </c>
      <c r="AH42" s="43">
        <f>'D4 Gallon Forecast'!AH108+'D6 Gallon Forecast'!AH88</f>
        <v>5435683.30623898</v>
      </c>
      <c r="AI42" s="43">
        <f>'D4 Gallon Forecast'!AI108+'D6 Gallon Forecast'!AI88</f>
        <v>5435010.3146463837</v>
      </c>
      <c r="AJ42" s="43">
        <f>'D4 Gallon Forecast'!AJ108+'D6 Gallon Forecast'!AJ88</f>
        <v>5435232.483310068</v>
      </c>
      <c r="AK42" s="43">
        <f>'D4 Gallon Forecast'!AK108+'D6 Gallon Forecast'!AK88</f>
        <v>5436036.0999176232</v>
      </c>
      <c r="AL42" s="43">
        <f>'D4 Gallon Forecast'!AL108+'D6 Gallon Forecast'!AL88</f>
        <v>5435623.9598508794</v>
      </c>
      <c r="AM42" s="43">
        <f>'D4 Gallon Forecast'!AM108+'D6 Gallon Forecast'!AM88</f>
        <v>5435520.2327927873</v>
      </c>
      <c r="AN42" s="43">
        <f>'D4 Gallon Forecast'!AN108+'D6 Gallon Forecast'!AN88</f>
        <v>5435487.6181035489</v>
      </c>
      <c r="AO42" s="43">
        <f>'D4 Gallon Forecast'!AO108+'D6 Gallon Forecast'!AO88</f>
        <v>5435583.0787949814</v>
      </c>
      <c r="AP42" s="43">
        <f>'D4 Gallon Forecast'!AP108+'D6 Gallon Forecast'!AP88</f>
        <v>5435653.1978919646</v>
      </c>
      <c r="AQ42" s="43">
        <f>'D4 Gallon Forecast'!AQ108+'D6 Gallon Forecast'!AQ88</f>
        <v>5435576.6174868317</v>
      </c>
      <c r="AR42" s="43"/>
      <c r="AS42" s="44">
        <f t="shared" si="20"/>
        <v>-0.28176483138913433</v>
      </c>
      <c r="AU42" s="42">
        <f t="shared" si="16"/>
        <v>19146369.800000001</v>
      </c>
      <c r="AV42" s="42">
        <f t="shared" si="17"/>
        <v>5350752.1999999993</v>
      </c>
      <c r="AW42" s="42">
        <f t="shared" si="18"/>
        <v>-19742807</v>
      </c>
      <c r="AX42" s="42">
        <f>P42/31</f>
        <v>790229.74193548388</v>
      </c>
      <c r="AY42" s="42">
        <f>AU42/31</f>
        <v>617624.83225806453</v>
      </c>
      <c r="AZ42" s="42">
        <f t="shared" si="19"/>
        <v>172604.90967741935</v>
      </c>
    </row>
    <row r="43" spans="1:52">
      <c r="A43" s="40" t="s">
        <v>51</v>
      </c>
      <c r="B43" s="42">
        <f>'D4 Gallon Forecast'!B109+'D6 Gallon Forecast'!B89</f>
        <v>1242409</v>
      </c>
      <c r="C43" s="42">
        <f>'D4 Gallon Forecast'!C109+'D6 Gallon Forecast'!C89</f>
        <v>4644979</v>
      </c>
      <c r="D43" s="42">
        <f>'D4 Gallon Forecast'!D109+'D6 Gallon Forecast'!D89</f>
        <v>4003665</v>
      </c>
      <c r="E43" s="42">
        <f>'D4 Gallon Forecast'!E109+'D6 Gallon Forecast'!E89</f>
        <v>20231679</v>
      </c>
      <c r="F43" s="42">
        <f>'D4 Gallon Forecast'!F109+'D6 Gallon Forecast'!F89</f>
        <v>21700223</v>
      </c>
      <c r="G43" s="42">
        <f>'D4 Gallon Forecast'!G109+'D6 Gallon Forecast'!G89</f>
        <v>24990488</v>
      </c>
      <c r="H43" s="42">
        <f>'D4 Gallon Forecast'!H109+'D6 Gallon Forecast'!H89</f>
        <v>90173986</v>
      </c>
      <c r="I43" s="42">
        <f>'D4 Gallon Forecast'!I109+'D6 Gallon Forecast'!I89</f>
        <v>27897293</v>
      </c>
      <c r="J43" s="42">
        <f>'D4 Gallon Forecast'!J109+'D6 Gallon Forecast'!J89</f>
        <v>11814679</v>
      </c>
      <c r="K43" s="42">
        <f>'D4 Gallon Forecast'!K109+'D6 Gallon Forecast'!K89</f>
        <v>14859020</v>
      </c>
      <c r="L43" s="42">
        <f>'D4 Gallon Forecast'!L109+'D6 Gallon Forecast'!L89</f>
        <v>14054214</v>
      </c>
      <c r="M43" s="42">
        <f>'D4 Gallon Forecast'!M109+'D6 Gallon Forecast'!M89</f>
        <v>11792295</v>
      </c>
      <c r="N43" s="42">
        <f>'D4 Gallon Forecast'!N109+'D6 Gallon Forecast'!N89</f>
        <v>19091391</v>
      </c>
      <c r="O43" s="42">
        <f>'D4 Gallon Forecast'!O109+'D6 Gallon Forecast'!O89</f>
        <v>42614486</v>
      </c>
      <c r="P43" s="42">
        <f>'D4 Gallon Forecast'!P109+'D6 Gallon Forecast'!P89</f>
        <v>26648068</v>
      </c>
      <c r="Q43" s="43">
        <f>'D4 Gallon Forecast'!Q109+'D6 Gallon Forecast'!Q89</f>
        <v>26401629.575841647</v>
      </c>
      <c r="R43" s="43">
        <f>'D4 Gallon Forecast'!R109+'D6 Gallon Forecast'!R89</f>
        <v>13971002.642596131</v>
      </c>
      <c r="S43" s="43">
        <f>'D4 Gallon Forecast'!S109+'D6 Gallon Forecast'!S89</f>
        <v>15128884.448407082</v>
      </c>
      <c r="T43" s="43">
        <f>'D4 Gallon Forecast'!T109+'D6 Gallon Forecast'!T89</f>
        <v>16518882.187209332</v>
      </c>
      <c r="U43" s="43">
        <f>'D4 Gallon Forecast'!U109+'D6 Gallon Forecast'!U89</f>
        <v>16102549.226461956</v>
      </c>
      <c r="V43" s="43">
        <f>'D4 Gallon Forecast'!V109+'D6 Gallon Forecast'!V89</f>
        <v>17323314.579930529</v>
      </c>
      <c r="W43" s="43">
        <f>'D4 Gallon Forecast'!W109+'D6 Gallon Forecast'!W89</f>
        <v>15659785.799780242</v>
      </c>
      <c r="X43" s="43">
        <f>'D4 Gallon Forecast'!X109+'D6 Gallon Forecast'!X89</f>
        <v>14203101.00549994</v>
      </c>
      <c r="Y43" s="43">
        <f>'D4 Gallon Forecast'!Y109+'D6 Gallon Forecast'!Y89</f>
        <v>13425583.087662391</v>
      </c>
      <c r="Z43" s="43">
        <f>'D4 Gallon Forecast'!Z109+'D6 Gallon Forecast'!Z89</f>
        <v>13033988.735323919</v>
      </c>
      <c r="AA43" s="43">
        <f>'D4 Gallon Forecast'!AA109+'D6 Gallon Forecast'!AA89</f>
        <v>11962765.19117921</v>
      </c>
      <c r="AB43" s="43">
        <f>'D4 Gallon Forecast'!AB109+'D6 Gallon Forecast'!AB89</f>
        <v>9701725.7885551285</v>
      </c>
      <c r="AC43" s="43">
        <f>'D4 Gallon Forecast'!AC109+'D6 Gallon Forecast'!AC89</f>
        <v>8210764.0944961254</v>
      </c>
      <c r="AD43" s="43">
        <f>'D4 Gallon Forecast'!AD109+'D6 Gallon Forecast'!AD89</f>
        <v>6715409.8288072972</v>
      </c>
      <c r="AE43" s="43">
        <f>'D4 Gallon Forecast'!AE109+'D6 Gallon Forecast'!AE89</f>
        <v>5596765.4479355272</v>
      </c>
      <c r="AF43" s="43">
        <f>'D4 Gallon Forecast'!AF109+'D6 Gallon Forecast'!AF89</f>
        <v>5600101.3740230026</v>
      </c>
      <c r="AG43" s="43">
        <f>'D4 Gallon Forecast'!AG109+'D6 Gallon Forecast'!AG89</f>
        <v>5597619.7709089192</v>
      </c>
      <c r="AH43" s="43">
        <f>'D4 Gallon Forecast'!AH109+'D6 Gallon Forecast'!AH89</f>
        <v>5597764.6205007415</v>
      </c>
      <c r="AI43" s="43">
        <f>'D4 Gallon Forecast'!AI109+'D6 Gallon Forecast'!AI89</f>
        <v>5597628.9311875934</v>
      </c>
      <c r="AJ43" s="43">
        <f>'D4 Gallon Forecast'!AJ109+'D6 Gallon Forecast'!AJ89</f>
        <v>5597978.428911157</v>
      </c>
      <c r="AK43" s="43">
        <f>'D4 Gallon Forecast'!AK109+'D6 Gallon Forecast'!AK89</f>
        <v>5598221.4251062823</v>
      </c>
      <c r="AL43" s="43">
        <f>'D4 Gallon Forecast'!AL109+'D6 Gallon Forecast'!AL89</f>
        <v>5597845.6353229387</v>
      </c>
      <c r="AM43" s="43">
        <f>'D4 Gallon Forecast'!AM109+'D6 Gallon Forecast'!AM89</f>
        <v>5597890.8082057433</v>
      </c>
      <c r="AN43" s="43">
        <f>'D4 Gallon Forecast'!AN109+'D6 Gallon Forecast'!AN89</f>
        <v>5597916.0457467427</v>
      </c>
      <c r="AO43" s="43">
        <f>'D4 Gallon Forecast'!AO109+'D6 Gallon Forecast'!AO89</f>
        <v>5597973.468658573</v>
      </c>
      <c r="AP43" s="43">
        <f>'D4 Gallon Forecast'!AP109+'D6 Gallon Forecast'!AP89</f>
        <v>5597972.4766080566</v>
      </c>
      <c r="AQ43" s="43">
        <f>'D4 Gallon Forecast'!AQ109+'D6 Gallon Forecast'!AQ89</f>
        <v>5597922.6869084109</v>
      </c>
      <c r="AR43" s="43"/>
      <c r="AS43" s="46">
        <f t="shared" si="20"/>
        <v>6.7355778199387206E-2</v>
      </c>
      <c r="AU43" s="42">
        <f t="shared" si="16"/>
        <v>20482281.199999999</v>
      </c>
      <c r="AV43" s="42">
        <f t="shared" si="17"/>
        <v>6165786.8000000007</v>
      </c>
      <c r="AW43" s="42">
        <f t="shared" si="18"/>
        <v>-15966418</v>
      </c>
      <c r="AX43" s="42">
        <f>P43/30</f>
        <v>888268.93333333335</v>
      </c>
      <c r="AY43" s="42">
        <f>AU43/30</f>
        <v>682742.70666666667</v>
      </c>
      <c r="AZ43" s="42">
        <f t="shared" si="19"/>
        <v>205526.22666666668</v>
      </c>
    </row>
    <row r="44" spans="1:52">
      <c r="A44" s="40" t="s">
        <v>52</v>
      </c>
      <c r="B44" s="42">
        <f>'D4 Gallon Forecast'!B110+'D6 Gallon Forecast'!B90</f>
        <v>3599083</v>
      </c>
      <c r="C44" s="42">
        <f>'D4 Gallon Forecast'!C110+'D6 Gallon Forecast'!C90</f>
        <v>4553366</v>
      </c>
      <c r="D44" s="42">
        <f>'D4 Gallon Forecast'!D110+'D6 Gallon Forecast'!D90</f>
        <v>1813495</v>
      </c>
      <c r="E44" s="42">
        <f>'D4 Gallon Forecast'!E110+'D6 Gallon Forecast'!E90</f>
        <v>21399710</v>
      </c>
      <c r="F44" s="42">
        <f>'D4 Gallon Forecast'!F110+'D6 Gallon Forecast'!F90</f>
        <v>21877641</v>
      </c>
      <c r="G44" s="42">
        <f>'D4 Gallon Forecast'!G110+'D6 Gallon Forecast'!G90</f>
        <v>49009535</v>
      </c>
      <c r="H44" s="42">
        <f>'D4 Gallon Forecast'!H110+'D6 Gallon Forecast'!H90</f>
        <v>66892361</v>
      </c>
      <c r="I44" s="42">
        <f>'D4 Gallon Forecast'!I110+'D6 Gallon Forecast'!I90</f>
        <v>36685627</v>
      </c>
      <c r="J44" s="42">
        <f>'D4 Gallon Forecast'!J110+'D6 Gallon Forecast'!J90</f>
        <v>20321432</v>
      </c>
      <c r="K44" s="42">
        <f>'D4 Gallon Forecast'!K110+'D6 Gallon Forecast'!K90</f>
        <v>13781446</v>
      </c>
      <c r="L44" s="42">
        <f>'D4 Gallon Forecast'!L110+'D6 Gallon Forecast'!L90</f>
        <v>15282502</v>
      </c>
      <c r="M44" s="42">
        <f>'D4 Gallon Forecast'!M110+'D6 Gallon Forecast'!M90</f>
        <v>17888148</v>
      </c>
      <c r="N44" s="42">
        <f>'D4 Gallon Forecast'!N110+'D6 Gallon Forecast'!N90</f>
        <v>17330959</v>
      </c>
      <c r="O44" s="42">
        <f>'D4 Gallon Forecast'!O110+'D6 Gallon Forecast'!O90</f>
        <v>57044013</v>
      </c>
      <c r="P44" s="42">
        <f>'D4 Gallon Forecast'!P110+'D6 Gallon Forecast'!P90</f>
        <v>26663796</v>
      </c>
      <c r="Q44" s="43">
        <f>'D4 Gallon Forecast'!Q110+'D6 Gallon Forecast'!Q90</f>
        <v>28227264.88046572</v>
      </c>
      <c r="R44" s="43">
        <f>'D4 Gallon Forecast'!R110+'D6 Gallon Forecast'!R90</f>
        <v>16526740.701209962</v>
      </c>
      <c r="S44" s="43">
        <f>'D4 Gallon Forecast'!S110+'D6 Gallon Forecast'!S90</f>
        <v>17425671.885121524</v>
      </c>
      <c r="T44" s="43">
        <f>'D4 Gallon Forecast'!T110+'D6 Gallon Forecast'!T90</f>
        <v>19654335.35357222</v>
      </c>
      <c r="U44" s="43">
        <f>'D4 Gallon Forecast'!U110+'D6 Gallon Forecast'!U90</f>
        <v>17706683.433902681</v>
      </c>
      <c r="V44" s="43">
        <f>'D4 Gallon Forecast'!V110+'D6 Gallon Forecast'!V90</f>
        <v>19567829.178190242</v>
      </c>
      <c r="W44" s="43">
        <f>'D4 Gallon Forecast'!W110+'D6 Gallon Forecast'!W90</f>
        <v>18004778.033886127</v>
      </c>
      <c r="X44" s="43">
        <f>'D4 Gallon Forecast'!X110+'D6 Gallon Forecast'!X90</f>
        <v>16248394.998229472</v>
      </c>
      <c r="Y44" s="43">
        <f>'D4 Gallon Forecast'!Y110+'D6 Gallon Forecast'!Y90</f>
        <v>15339031.569720125</v>
      </c>
      <c r="Z44" s="43">
        <f>'D4 Gallon Forecast'!Z110+'D6 Gallon Forecast'!Z90</f>
        <v>14758908.264502438</v>
      </c>
      <c r="AA44" s="43">
        <f>'D4 Gallon Forecast'!AA110+'D6 Gallon Forecast'!AA90</f>
        <v>13631503.276268573</v>
      </c>
      <c r="AB44" s="43">
        <f>'D4 Gallon Forecast'!AB110+'D6 Gallon Forecast'!AB90</f>
        <v>11079497.375452325</v>
      </c>
      <c r="AC44" s="43">
        <f>'D4 Gallon Forecast'!AC110+'D6 Gallon Forecast'!AC90</f>
        <v>9360846.5907293689</v>
      </c>
      <c r="AD44" s="43">
        <f>'D4 Gallon Forecast'!AD110+'D6 Gallon Forecast'!AD90</f>
        <v>7649378.5919212643</v>
      </c>
      <c r="AE44" s="43">
        <f>'D4 Gallon Forecast'!AE110+'D6 Gallon Forecast'!AE90</f>
        <v>6369939.9359632293</v>
      </c>
      <c r="AF44" s="43">
        <f>'D4 Gallon Forecast'!AF110+'D6 Gallon Forecast'!AF90</f>
        <v>6383783.0668585962</v>
      </c>
      <c r="AG44" s="43">
        <f>'D4 Gallon Forecast'!AG110+'D6 Gallon Forecast'!AG90</f>
        <v>6381788.3688944969</v>
      </c>
      <c r="AH44" s="43">
        <f>'D4 Gallon Forecast'!AH110+'D6 Gallon Forecast'!AH90</f>
        <v>6378660.3919471093</v>
      </c>
      <c r="AI44" s="43">
        <f>'D4 Gallon Forecast'!AI110+'D6 Gallon Forecast'!AI90</f>
        <v>6377607.6453047507</v>
      </c>
      <c r="AJ44" s="43">
        <f>'D4 Gallon Forecast'!AJ110+'D6 Gallon Forecast'!AJ90</f>
        <v>6378358.2817936363</v>
      </c>
      <c r="AK44" s="43">
        <f>'D4 Gallon Forecast'!AK110+'D6 Gallon Forecast'!AK90</f>
        <v>6380042.3509597173</v>
      </c>
      <c r="AL44" s="43">
        <f>'D4 Gallon Forecast'!AL110+'D6 Gallon Forecast'!AL90</f>
        <v>6379294.4077799413</v>
      </c>
      <c r="AM44" s="43">
        <f>'D4 Gallon Forecast'!AM110+'D6 Gallon Forecast'!AM90</f>
        <v>6378795.6155570317</v>
      </c>
      <c r="AN44" s="43">
        <f>'D4 Gallon Forecast'!AN110+'D6 Gallon Forecast'!AN90</f>
        <v>6378822.6602790151</v>
      </c>
      <c r="AO44" s="43">
        <f>'D4 Gallon Forecast'!AO110+'D6 Gallon Forecast'!AO90</f>
        <v>6379065.6632738682</v>
      </c>
      <c r="AP44" s="43">
        <f>'D4 Gallon Forecast'!AP110+'D6 Gallon Forecast'!AP90</f>
        <v>6379207.139569913</v>
      </c>
      <c r="AQ44" s="43">
        <f>'D4 Gallon Forecast'!AQ110+'D6 Gallon Forecast'!AQ90</f>
        <v>6379040.0972919539</v>
      </c>
      <c r="AR44" s="43"/>
      <c r="AS44" s="47">
        <f t="shared" si="20"/>
        <v>0.51693525306142707</v>
      </c>
      <c r="AU44" s="42">
        <f t="shared" si="16"/>
        <v>24265413.600000001</v>
      </c>
      <c r="AV44" s="42">
        <f t="shared" si="17"/>
        <v>2398382.3999999985</v>
      </c>
      <c r="AW44" s="42">
        <f t="shared" si="18"/>
        <v>-30380217</v>
      </c>
      <c r="AX44" s="42">
        <f>P44/31</f>
        <v>860122.45161290327</v>
      </c>
      <c r="AY44" s="42">
        <f>AU44/31</f>
        <v>782755.27741935488</v>
      </c>
      <c r="AZ44" s="42">
        <f t="shared" si="19"/>
        <v>77367.174193548388</v>
      </c>
    </row>
    <row r="45" spans="1:52">
      <c r="A45" s="40" t="s">
        <v>53</v>
      </c>
      <c r="B45" s="42">
        <f>'D4 Gallon Forecast'!B111+'D6 Gallon Forecast'!B91</f>
        <v>1990621</v>
      </c>
      <c r="C45" s="42">
        <f>'D4 Gallon Forecast'!C111+'D6 Gallon Forecast'!C91</f>
        <v>3194691</v>
      </c>
      <c r="D45" s="42">
        <f>'D4 Gallon Forecast'!D111+'D6 Gallon Forecast'!D91</f>
        <v>809682</v>
      </c>
      <c r="E45" s="42">
        <f>'D4 Gallon Forecast'!E111+'D6 Gallon Forecast'!E91</f>
        <v>29530582</v>
      </c>
      <c r="F45" s="42">
        <f>'D4 Gallon Forecast'!F111+'D6 Gallon Forecast'!F91</f>
        <v>32014643</v>
      </c>
      <c r="G45" s="42">
        <f>'D4 Gallon Forecast'!G111+'D6 Gallon Forecast'!G91</f>
        <v>29950806</v>
      </c>
      <c r="H45" s="42">
        <f>'D4 Gallon Forecast'!H111+'D6 Gallon Forecast'!H91</f>
        <v>85678433</v>
      </c>
      <c r="I45" s="42">
        <f>'D4 Gallon Forecast'!I111+'D6 Gallon Forecast'!I91</f>
        <v>24382225</v>
      </c>
      <c r="J45" s="42">
        <f>'D4 Gallon Forecast'!J111+'D6 Gallon Forecast'!J91</f>
        <v>12920360</v>
      </c>
      <c r="K45" s="42">
        <f>'D4 Gallon Forecast'!K111+'D6 Gallon Forecast'!K91</f>
        <v>15235613</v>
      </c>
      <c r="L45" s="42">
        <f>'D4 Gallon Forecast'!L111+'D6 Gallon Forecast'!L91</f>
        <v>21944490</v>
      </c>
      <c r="M45" s="42">
        <f>'D4 Gallon Forecast'!M111+'D6 Gallon Forecast'!M91</f>
        <v>21482583</v>
      </c>
      <c r="N45" s="42">
        <f>'D4 Gallon Forecast'!N111+'D6 Gallon Forecast'!N91</f>
        <v>33817396</v>
      </c>
      <c r="O45" s="42">
        <f>'D4 Gallon Forecast'!O111+'D6 Gallon Forecast'!O91</f>
        <v>42541477</v>
      </c>
      <c r="P45" s="42">
        <f>'D4 Gallon Forecast'!P111+'D6 Gallon Forecast'!P91</f>
        <v>22975700</v>
      </c>
      <c r="Q45" s="43">
        <f>'D4 Gallon Forecast'!Q111+'D6 Gallon Forecast'!Q91</f>
        <v>29089714.154138416</v>
      </c>
      <c r="R45" s="43">
        <f>'D4 Gallon Forecast'!R111+'D6 Gallon Forecast'!R91</f>
        <v>16835892.514531154</v>
      </c>
      <c r="S45" s="43">
        <f>'D4 Gallon Forecast'!S111+'D6 Gallon Forecast'!S91</f>
        <v>17362014.362543028</v>
      </c>
      <c r="T45" s="43">
        <f>'D4 Gallon Forecast'!T111+'D6 Gallon Forecast'!T91</f>
        <v>17352911.870414302</v>
      </c>
      <c r="U45" s="43">
        <f>'D4 Gallon Forecast'!U111+'D6 Gallon Forecast'!U91</f>
        <v>16910017.396205623</v>
      </c>
      <c r="V45" s="43">
        <f>'D4 Gallon Forecast'!V111+'D6 Gallon Forecast'!V91</f>
        <v>19176603.90470212</v>
      </c>
      <c r="W45" s="43">
        <f>'D4 Gallon Forecast'!W111+'D6 Gallon Forecast'!W91</f>
        <v>17362134.349210575</v>
      </c>
      <c r="X45" s="43">
        <f>'D4 Gallon Forecast'!X111+'D6 Gallon Forecast'!X91</f>
        <v>15510277.368318863</v>
      </c>
      <c r="Y45" s="43">
        <f>'D4 Gallon Forecast'!Y111+'D6 Gallon Forecast'!Y91</f>
        <v>14519766.429900246</v>
      </c>
      <c r="Z45" s="43">
        <f>'D4 Gallon Forecast'!Z111+'D6 Gallon Forecast'!Z91</f>
        <v>14183291.168406844</v>
      </c>
      <c r="AA45" s="43">
        <f>'D4 Gallon Forecast'!AA111+'D6 Gallon Forecast'!AA91</f>
        <v>13117088.035823537</v>
      </c>
      <c r="AB45" s="43">
        <f>'D4 Gallon Forecast'!AB111+'D6 Gallon Forecast'!AB91</f>
        <v>10612057.328651156</v>
      </c>
      <c r="AC45" s="43">
        <f>'D4 Gallon Forecast'!AC111+'D6 Gallon Forecast'!AC91</f>
        <v>8950506.3909234386</v>
      </c>
      <c r="AD45" s="43">
        <f>'D4 Gallon Forecast'!AD111+'D6 Gallon Forecast'!AD91</f>
        <v>7317144.1613688348</v>
      </c>
      <c r="AE45" s="43">
        <f>'D4 Gallon Forecast'!AE111+'D6 Gallon Forecast'!AE91</f>
        <v>6110536.1374256182</v>
      </c>
      <c r="AF45" s="43">
        <f>'D4 Gallon Forecast'!AF111+'D6 Gallon Forecast'!AF91</f>
        <v>6120442.3080786616</v>
      </c>
      <c r="AG45" s="43">
        <f>'D4 Gallon Forecast'!AG111+'D6 Gallon Forecast'!AG91</f>
        <v>6111044.7385074543</v>
      </c>
      <c r="AH45" s="43">
        <f>'D4 Gallon Forecast'!AH111+'D6 Gallon Forecast'!AH91</f>
        <v>6107590.4828771772</v>
      </c>
      <c r="AI45" s="43">
        <f>'D4 Gallon Forecast'!AI111+'D6 Gallon Forecast'!AI91</f>
        <v>6108993.6977418736</v>
      </c>
      <c r="AJ45" s="43">
        <f>'D4 Gallon Forecast'!AJ111+'D6 Gallon Forecast'!AJ91</f>
        <v>6111723.872926157</v>
      </c>
      <c r="AK45" s="43">
        <f>'D4 Gallon Forecast'!AK111+'D6 Gallon Forecast'!AK91</f>
        <v>6111961.8200262645</v>
      </c>
      <c r="AL45" s="43">
        <f>'D4 Gallon Forecast'!AL111+'D6 Gallon Forecast'!AL91</f>
        <v>6110265.9224157846</v>
      </c>
      <c r="AM45" s="43">
        <f>'D4 Gallon Forecast'!AM111+'D6 Gallon Forecast'!AM91</f>
        <v>6110110.1591974506</v>
      </c>
      <c r="AN45" s="43">
        <f>'D4 Gallon Forecast'!AN111+'D6 Gallon Forecast'!AN91</f>
        <v>6110614.0944615062</v>
      </c>
      <c r="AO45" s="43">
        <f>'D4 Gallon Forecast'!AO111+'D6 Gallon Forecast'!AO91</f>
        <v>6110938.1738054315</v>
      </c>
      <c r="AP45" s="43">
        <f>'D4 Gallon Forecast'!AP111+'D6 Gallon Forecast'!AP91</f>
        <v>6110781.0339812879</v>
      </c>
      <c r="AQ45" s="43">
        <f>'D4 Gallon Forecast'!AQ111+'D6 Gallon Forecast'!AQ91</f>
        <v>6110544.876772292</v>
      </c>
      <c r="AR45" s="43"/>
      <c r="AS45" s="47">
        <f t="shared" si="20"/>
        <v>0.20093947120741618</v>
      </c>
      <c r="AU45" s="42">
        <f t="shared" si="16"/>
        <v>27004311.800000001</v>
      </c>
      <c r="AV45" s="42">
        <f t="shared" si="17"/>
        <v>-4028611.8000000007</v>
      </c>
      <c r="AW45" s="42">
        <f t="shared" si="18"/>
        <v>-19565777</v>
      </c>
      <c r="AX45" s="43">
        <f>P45/30</f>
        <v>765856.66666666663</v>
      </c>
      <c r="AY45" s="43">
        <f>AU45/30</f>
        <v>900143.72666666668</v>
      </c>
      <c r="AZ45" s="42">
        <f t="shared" si="19"/>
        <v>-134287.06000000006</v>
      </c>
    </row>
    <row r="46" spans="1:52">
      <c r="A46" s="40" t="s">
        <v>54</v>
      </c>
      <c r="B46" s="42">
        <f>'D4 Gallon Forecast'!B112+'D6 Gallon Forecast'!B92</f>
        <v>1962490</v>
      </c>
      <c r="C46" s="42">
        <f>'D4 Gallon Forecast'!C112+'D6 Gallon Forecast'!C92</f>
        <v>10389680</v>
      </c>
      <c r="D46" s="42">
        <f>'D4 Gallon Forecast'!D112+'D6 Gallon Forecast'!D92</f>
        <v>732245</v>
      </c>
      <c r="E46" s="42">
        <f>'D4 Gallon Forecast'!E112+'D6 Gallon Forecast'!E92</f>
        <v>45701773</v>
      </c>
      <c r="F46" s="42">
        <f>'D4 Gallon Forecast'!F112+'D6 Gallon Forecast'!F92</f>
        <v>24806004</v>
      </c>
      <c r="G46" s="42">
        <f>'D4 Gallon Forecast'!G112+'D6 Gallon Forecast'!G92</f>
        <v>42379836</v>
      </c>
      <c r="H46" s="42">
        <f>'D4 Gallon Forecast'!H112+'D6 Gallon Forecast'!H92</f>
        <v>126187081</v>
      </c>
      <c r="I46" s="42">
        <f>'D4 Gallon Forecast'!I112+'D6 Gallon Forecast'!I92</f>
        <v>31116816</v>
      </c>
      <c r="J46" s="42">
        <f>'D4 Gallon Forecast'!J112+'D6 Gallon Forecast'!J92</f>
        <v>29600921</v>
      </c>
      <c r="K46" s="42">
        <f>'D4 Gallon Forecast'!K112+'D6 Gallon Forecast'!K92</f>
        <v>24318415</v>
      </c>
      <c r="L46" s="42">
        <f>'D4 Gallon Forecast'!L112+'D6 Gallon Forecast'!L92</f>
        <v>24004702</v>
      </c>
      <c r="M46" s="42">
        <f>'D4 Gallon Forecast'!M112+'D6 Gallon Forecast'!M92</f>
        <v>51260934</v>
      </c>
      <c r="N46" s="42">
        <f>'D4 Gallon Forecast'!N112+'D6 Gallon Forecast'!N92</f>
        <v>43008881</v>
      </c>
      <c r="O46" s="42">
        <f>'D4 Gallon Forecast'!O112+'D6 Gallon Forecast'!O92</f>
        <v>68856138</v>
      </c>
      <c r="P46" s="42">
        <f>'D4 Gallon Forecast'!P112+'D6 Gallon Forecast'!P92</f>
        <v>31390220</v>
      </c>
      <c r="Q46" s="43">
        <f>'D4 Gallon Forecast'!Q112+'D6 Gallon Forecast'!Q92</f>
        <v>106843258.26049849</v>
      </c>
      <c r="R46" s="43">
        <f>'D4 Gallon Forecast'!R112+'D6 Gallon Forecast'!R92</f>
        <v>33366679.173276901</v>
      </c>
      <c r="S46" s="43">
        <f>'D4 Gallon Forecast'!S112+'D6 Gallon Forecast'!S92</f>
        <v>33371316.260606855</v>
      </c>
      <c r="T46" s="43">
        <f>'D4 Gallon Forecast'!T112+'D6 Gallon Forecast'!T92</f>
        <v>36316520.923465073</v>
      </c>
      <c r="U46" s="43">
        <f>'D4 Gallon Forecast'!U112+'D6 Gallon Forecast'!U92</f>
        <v>39377847.198489517</v>
      </c>
      <c r="V46" s="43">
        <f>'D4 Gallon Forecast'!V112+'D6 Gallon Forecast'!V92</f>
        <v>49002900.015177369</v>
      </c>
      <c r="W46" s="43">
        <f>'D4 Gallon Forecast'!W112+'D6 Gallon Forecast'!W92</f>
        <v>37925854.103691757</v>
      </c>
      <c r="X46" s="43">
        <f>'D4 Gallon Forecast'!X112+'D6 Gallon Forecast'!X92</f>
        <v>34480503.069696128</v>
      </c>
      <c r="Y46" s="43">
        <f>'D4 Gallon Forecast'!Y112+'D6 Gallon Forecast'!Y92</f>
        <v>33157619.211115479</v>
      </c>
      <c r="Z46" s="43">
        <f>'D4 Gallon Forecast'!Z112+'D6 Gallon Forecast'!Z92</f>
        <v>32951773.426873595</v>
      </c>
      <c r="AA46" s="43">
        <f>'D4 Gallon Forecast'!AA112+'D6 Gallon Forecast'!AA92</f>
        <v>30459882.205328599</v>
      </c>
      <c r="AB46" s="43">
        <f>'D4 Gallon Forecast'!AB112+'D6 Gallon Forecast'!AB92</f>
        <v>24007466.843903512</v>
      </c>
      <c r="AC46" s="43">
        <f>'D4 Gallon Forecast'!AC112+'D6 Gallon Forecast'!AC92</f>
        <v>20426702.902108863</v>
      </c>
      <c r="AD46" s="43">
        <f>'D4 Gallon Forecast'!AD112+'D6 Gallon Forecast'!AD92</f>
        <v>16808357.633165181</v>
      </c>
      <c r="AE46" s="43">
        <f>'D4 Gallon Forecast'!AE112+'D6 Gallon Forecast'!AE92</f>
        <v>14058742.444892451</v>
      </c>
      <c r="AF46" s="43">
        <f>'D4 Gallon Forecast'!AF112+'D6 Gallon Forecast'!AF92</f>
        <v>14039090.977353789</v>
      </c>
      <c r="AG46" s="43">
        <f>'D4 Gallon Forecast'!AG112+'D6 Gallon Forecast'!AG92</f>
        <v>13959431.375222467</v>
      </c>
      <c r="AH46" s="43">
        <f>'D4 Gallon Forecast'!AH112+'D6 Gallon Forecast'!AH92</f>
        <v>13992764.294013426</v>
      </c>
      <c r="AI46" s="43">
        <f>'D4 Gallon Forecast'!AI112+'D6 Gallon Forecast'!AI92</f>
        <v>14011230.023970641</v>
      </c>
      <c r="AJ46" s="43">
        <f>'D4 Gallon Forecast'!AJ112+'D6 Gallon Forecast'!AJ92</f>
        <v>14012254.223090559</v>
      </c>
      <c r="AK46" s="43">
        <f>'D4 Gallon Forecast'!AK112+'D6 Gallon Forecast'!AK92</f>
        <v>14002956.978730187</v>
      </c>
      <c r="AL46" s="43">
        <f>'D4 Gallon Forecast'!AL112+'D6 Gallon Forecast'!AL92</f>
        <v>13995730.379005454</v>
      </c>
      <c r="AM46" s="43">
        <f>'D4 Gallon Forecast'!AM112+'D6 Gallon Forecast'!AM92</f>
        <v>14002990.179762051</v>
      </c>
      <c r="AN46" s="43">
        <f>'D4 Gallon Forecast'!AN112+'D6 Gallon Forecast'!AN92</f>
        <v>14005035.356911778</v>
      </c>
      <c r="AO46" s="43">
        <f>'D4 Gallon Forecast'!AO112+'D6 Gallon Forecast'!AO92</f>
        <v>14003796.423500009</v>
      </c>
      <c r="AP46" s="43">
        <f>'D4 Gallon Forecast'!AP112+'D6 Gallon Forecast'!AP92</f>
        <v>14002104.863581896</v>
      </c>
      <c r="AQ46" s="43">
        <f>'D4 Gallon Forecast'!AQ112+'D6 Gallon Forecast'!AQ92</f>
        <v>14001934.440552235</v>
      </c>
      <c r="AR46" s="43"/>
      <c r="AS46" s="47">
        <f t="shared" si="20"/>
        <v>1.3861625019672914</v>
      </c>
      <c r="AU46" s="42">
        <f t="shared" si="16"/>
        <v>42289814</v>
      </c>
      <c r="AV46" s="42">
        <f t="shared" si="17"/>
        <v>-10899594</v>
      </c>
      <c r="AW46" s="42">
        <f t="shared" si="18"/>
        <v>-37465918</v>
      </c>
      <c r="AX46" s="43">
        <f>P46/31</f>
        <v>1012587.7419354839</v>
      </c>
      <c r="AY46" s="43">
        <f>AU46/31</f>
        <v>1364187.5483870967</v>
      </c>
      <c r="AZ46" s="42">
        <f t="shared" si="19"/>
        <v>-351599.80645161285</v>
      </c>
    </row>
    <row r="47" spans="1:52" ht="12" thickBot="1">
      <c r="A47" s="48" t="s">
        <v>29</v>
      </c>
      <c r="B47" s="49">
        <f>SUM(B35:B46)</f>
        <v>12487506</v>
      </c>
      <c r="C47" s="49">
        <f t="shared" ref="C47:AQ47" si="21">SUM(C35:C46)</f>
        <v>44459572</v>
      </c>
      <c r="D47" s="49">
        <f t="shared" si="21"/>
        <v>33446862</v>
      </c>
      <c r="E47" s="49">
        <f t="shared" si="21"/>
        <v>183796374</v>
      </c>
      <c r="F47" s="49">
        <f t="shared" si="21"/>
        <v>181510081</v>
      </c>
      <c r="G47" s="49">
        <f t="shared" si="21"/>
        <v>335664856</v>
      </c>
      <c r="H47" s="49">
        <f t="shared" si="21"/>
        <v>674168317</v>
      </c>
      <c r="I47" s="49">
        <f t="shared" si="21"/>
        <v>461914644</v>
      </c>
      <c r="J47" s="49">
        <f t="shared" si="21"/>
        <v>175141321</v>
      </c>
      <c r="K47" s="49">
        <f t="shared" si="21"/>
        <v>184741553</v>
      </c>
      <c r="L47" s="49">
        <f t="shared" si="21"/>
        <v>209493674</v>
      </c>
      <c r="M47" s="49">
        <f t="shared" si="21"/>
        <v>208450727</v>
      </c>
      <c r="N47" s="49">
        <f t="shared" si="21"/>
        <v>240324591</v>
      </c>
      <c r="O47" s="49">
        <f t="shared" si="21"/>
        <v>511346651</v>
      </c>
      <c r="P47" s="49">
        <f t="shared" si="21"/>
        <v>404283732</v>
      </c>
      <c r="Q47" s="50">
        <f t="shared" si="21"/>
        <v>340000000</v>
      </c>
      <c r="R47" s="50">
        <f t="shared" si="21"/>
        <v>190000000</v>
      </c>
      <c r="S47" s="50">
        <f t="shared" si="21"/>
        <v>200000000</v>
      </c>
      <c r="T47" s="50">
        <f t="shared" si="21"/>
        <v>220000000</v>
      </c>
      <c r="U47" s="50">
        <f t="shared" si="21"/>
        <v>220000000</v>
      </c>
      <c r="V47" s="50">
        <f t="shared" si="21"/>
        <v>230000000</v>
      </c>
      <c r="W47" s="50">
        <f t="shared" si="21"/>
        <v>210000000</v>
      </c>
      <c r="X47" s="50">
        <f t="shared" si="21"/>
        <v>190000000</v>
      </c>
      <c r="Y47" s="50">
        <f t="shared" si="21"/>
        <v>180000000</v>
      </c>
      <c r="Z47" s="50">
        <f t="shared" si="21"/>
        <v>175000000</v>
      </c>
      <c r="AA47" s="50">
        <f t="shared" si="21"/>
        <v>160000000</v>
      </c>
      <c r="AB47" s="50">
        <f t="shared" si="21"/>
        <v>130000000</v>
      </c>
      <c r="AC47" s="50">
        <f t="shared" si="21"/>
        <v>110000000</v>
      </c>
      <c r="AD47" s="50">
        <f t="shared" si="21"/>
        <v>90000000</v>
      </c>
      <c r="AE47" s="50">
        <f t="shared" si="21"/>
        <v>75000000</v>
      </c>
      <c r="AF47" s="50">
        <f t="shared" si="21"/>
        <v>75000000</v>
      </c>
      <c r="AG47" s="50">
        <f t="shared" si="21"/>
        <v>75000000</v>
      </c>
      <c r="AH47" s="50">
        <f t="shared" si="21"/>
        <v>75000012</v>
      </c>
      <c r="AI47" s="50">
        <f t="shared" si="21"/>
        <v>75000024</v>
      </c>
      <c r="AJ47" s="50">
        <f t="shared" si="21"/>
        <v>75000036</v>
      </c>
      <c r="AK47" s="50">
        <f t="shared" si="21"/>
        <v>75000048</v>
      </c>
      <c r="AL47" s="50">
        <f t="shared" si="21"/>
        <v>75000060</v>
      </c>
      <c r="AM47" s="50">
        <f t="shared" si="21"/>
        <v>75000072</v>
      </c>
      <c r="AN47" s="50">
        <f t="shared" si="21"/>
        <v>75000084</v>
      </c>
      <c r="AO47" s="50">
        <f t="shared" si="21"/>
        <v>75000096</v>
      </c>
      <c r="AP47" s="50">
        <f t="shared" si="21"/>
        <v>75000108</v>
      </c>
      <c r="AQ47" s="50">
        <f t="shared" si="21"/>
        <v>75000120</v>
      </c>
      <c r="AR47" s="43"/>
      <c r="AU47" s="42">
        <f t="shared" si="16"/>
        <v>270871439.19999999</v>
      </c>
      <c r="AV47" s="42">
        <f t="shared" si="17"/>
        <v>133412292.80000001</v>
      </c>
    </row>
    <row r="48" spans="1:52">
      <c r="A48" s="51"/>
      <c r="B48" s="51"/>
      <c r="C48" s="51"/>
      <c r="D48" s="51"/>
      <c r="E48" s="51"/>
      <c r="F48" s="51"/>
      <c r="G48" s="51"/>
      <c r="H48" s="51"/>
      <c r="I48" s="51"/>
      <c r="J48" s="51"/>
      <c r="K48" s="51"/>
      <c r="L48" s="51"/>
      <c r="M48" s="52">
        <f t="shared" ref="M48" si="22">M42/M41-1</f>
        <v>-0.28176483138913433</v>
      </c>
      <c r="N48" s="53"/>
      <c r="O48" s="54"/>
      <c r="P48" s="54"/>
      <c r="Q48" s="53"/>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row>
    <row r="49" spans="1:52" ht="12" thickBot="1">
      <c r="A49" s="39" t="s">
        <v>100</v>
      </c>
    </row>
    <row r="50" spans="1:52" ht="12" thickBot="1">
      <c r="A50" s="41"/>
      <c r="B50" s="41">
        <v>2010</v>
      </c>
      <c r="C50" s="41">
        <v>2011</v>
      </c>
      <c r="D50" s="41">
        <v>2012</v>
      </c>
      <c r="E50" s="41">
        <v>2013</v>
      </c>
      <c r="F50" s="41">
        <v>2014</v>
      </c>
      <c r="G50" s="41">
        <v>2015</v>
      </c>
      <c r="H50" s="41">
        <v>2016</v>
      </c>
      <c r="I50" s="41">
        <v>2017</v>
      </c>
      <c r="J50" s="41">
        <v>2018</v>
      </c>
      <c r="K50" s="41">
        <v>2019</v>
      </c>
      <c r="L50" s="41">
        <v>2020</v>
      </c>
      <c r="M50" s="41">
        <v>2021</v>
      </c>
      <c r="N50" s="41">
        <v>2022</v>
      </c>
      <c r="O50" s="41">
        <v>2023</v>
      </c>
      <c r="P50" s="41">
        <v>2024</v>
      </c>
      <c r="Q50" s="41">
        <v>2025</v>
      </c>
      <c r="R50" s="41">
        <v>2026</v>
      </c>
      <c r="S50" s="41">
        <v>2027</v>
      </c>
      <c r="T50" s="41">
        <v>2028</v>
      </c>
      <c r="U50" s="41">
        <v>2029</v>
      </c>
      <c r="V50" s="41">
        <v>2030</v>
      </c>
      <c r="W50" s="41">
        <v>2031</v>
      </c>
      <c r="X50" s="41">
        <v>2032</v>
      </c>
      <c r="Y50" s="41">
        <v>2033</v>
      </c>
      <c r="Z50" s="41">
        <v>2034</v>
      </c>
      <c r="AA50" s="41">
        <f>AA2</f>
        <v>2035</v>
      </c>
      <c r="AB50" s="41">
        <f t="shared" ref="AB50:AQ50" si="23">AB2</f>
        <v>2036</v>
      </c>
      <c r="AC50" s="41">
        <f t="shared" si="23"/>
        <v>2037</v>
      </c>
      <c r="AD50" s="41">
        <f t="shared" si="23"/>
        <v>2038</v>
      </c>
      <c r="AE50" s="41">
        <f t="shared" si="23"/>
        <v>2039</v>
      </c>
      <c r="AF50" s="41">
        <f t="shared" si="23"/>
        <v>2040</v>
      </c>
      <c r="AG50" s="41">
        <f t="shared" si="23"/>
        <v>2041</v>
      </c>
      <c r="AH50" s="41">
        <f t="shared" si="23"/>
        <v>2042</v>
      </c>
      <c r="AI50" s="41">
        <f t="shared" si="23"/>
        <v>2043</v>
      </c>
      <c r="AJ50" s="41">
        <f t="shared" si="23"/>
        <v>2044</v>
      </c>
      <c r="AK50" s="41">
        <f t="shared" si="23"/>
        <v>2045</v>
      </c>
      <c r="AL50" s="41">
        <f t="shared" si="23"/>
        <v>2046</v>
      </c>
      <c r="AM50" s="41">
        <f t="shared" si="23"/>
        <v>2047</v>
      </c>
      <c r="AN50" s="41">
        <f t="shared" si="23"/>
        <v>2048</v>
      </c>
      <c r="AO50" s="41">
        <f t="shared" si="23"/>
        <v>2049</v>
      </c>
      <c r="AP50" s="41">
        <f t="shared" si="23"/>
        <v>2050</v>
      </c>
      <c r="AQ50" s="41">
        <f t="shared" si="23"/>
        <v>2051</v>
      </c>
      <c r="AU50" s="40" t="s">
        <v>37</v>
      </c>
      <c r="AV50" s="40" t="s">
        <v>38</v>
      </c>
      <c r="AW50" s="40" t="s">
        <v>39</v>
      </c>
      <c r="AX50" s="40" t="s">
        <v>40</v>
      </c>
      <c r="AY50" s="40" t="s">
        <v>41</v>
      </c>
      <c r="AZ50" s="40" t="s">
        <v>38</v>
      </c>
    </row>
    <row r="51" spans="1:52">
      <c r="A51" s="40" t="s">
        <v>43</v>
      </c>
      <c r="B51" s="42">
        <f>'D4 Gallon Forecast'!B85</f>
        <v>0</v>
      </c>
      <c r="C51" s="42">
        <f>'D4 Gallon Forecast'!C85</f>
        <v>0</v>
      </c>
      <c r="D51" s="42">
        <f>'D4 Gallon Forecast'!D85</f>
        <v>0</v>
      </c>
      <c r="E51" s="42">
        <f>'D4 Gallon Forecast'!E85</f>
        <v>0</v>
      </c>
      <c r="F51" s="42">
        <f>'D4 Gallon Forecast'!F85</f>
        <v>0</v>
      </c>
      <c r="G51" s="42">
        <f>'D4 Gallon Forecast'!G85</f>
        <v>0</v>
      </c>
      <c r="H51" s="42">
        <f>'D4 Gallon Forecast'!H85</f>
        <v>0</v>
      </c>
      <c r="I51" s="42">
        <f>'D4 Gallon Forecast'!I85</f>
        <v>0</v>
      </c>
      <c r="J51" s="42">
        <f>'D4 Gallon Forecast'!J85</f>
        <v>0</v>
      </c>
      <c r="K51" s="42">
        <f>'D4 Gallon Forecast'!K85</f>
        <v>0</v>
      </c>
      <c r="L51" s="42">
        <f>'D4 Gallon Forecast'!L85</f>
        <v>0</v>
      </c>
      <c r="M51" s="42">
        <f>'D4 Gallon Forecast'!M85</f>
        <v>0</v>
      </c>
      <c r="N51" s="42">
        <f>'D4 Gallon Forecast'!N85</f>
        <v>0</v>
      </c>
      <c r="O51" s="42">
        <f>'D4 Gallon Forecast'!O85</f>
        <v>0</v>
      </c>
      <c r="P51" s="42">
        <f>'D4 Gallon Forecast'!P85</f>
        <v>0</v>
      </c>
      <c r="Q51" s="42">
        <f>'D4 Gallon Forecast'!Q85</f>
        <v>0</v>
      </c>
      <c r="R51" s="43">
        <f>'D4 Gallon Forecast'!R85</f>
        <v>0</v>
      </c>
      <c r="S51" s="43">
        <f>'D4 Gallon Forecast'!S85</f>
        <v>0</v>
      </c>
      <c r="T51" s="43">
        <f>'D4 Gallon Forecast'!T85</f>
        <v>0</v>
      </c>
      <c r="U51" s="43">
        <f>'D4 Gallon Forecast'!U85</f>
        <v>0</v>
      </c>
      <c r="V51" s="43">
        <f>'D4 Gallon Forecast'!V85</f>
        <v>0</v>
      </c>
      <c r="W51" s="43">
        <f>'D4 Gallon Forecast'!W85</f>
        <v>0</v>
      </c>
      <c r="X51" s="43">
        <f>'D4 Gallon Forecast'!X85</f>
        <v>0</v>
      </c>
      <c r="Y51" s="43">
        <f>'D4 Gallon Forecast'!Y85</f>
        <v>0</v>
      </c>
      <c r="Z51" s="43">
        <f>'D4 Gallon Forecast'!Z85</f>
        <v>0</v>
      </c>
      <c r="AA51" s="43">
        <f>'D4 Gallon Forecast'!AA85</f>
        <v>0</v>
      </c>
      <c r="AB51" s="43">
        <f>'D4 Gallon Forecast'!AB85</f>
        <v>0</v>
      </c>
      <c r="AC51" s="43">
        <f>'D4 Gallon Forecast'!AC85</f>
        <v>0</v>
      </c>
      <c r="AD51" s="43">
        <f>'D4 Gallon Forecast'!AD85</f>
        <v>0</v>
      </c>
      <c r="AE51" s="43">
        <f>'D4 Gallon Forecast'!AE85</f>
        <v>0</v>
      </c>
      <c r="AF51" s="43">
        <f>'D4 Gallon Forecast'!AF85</f>
        <v>0</v>
      </c>
      <c r="AG51" s="43">
        <f>'D4 Gallon Forecast'!AG85</f>
        <v>0</v>
      </c>
      <c r="AH51" s="43">
        <f>'D4 Gallon Forecast'!AH85</f>
        <v>0</v>
      </c>
      <c r="AI51" s="43">
        <f>'D4 Gallon Forecast'!AI85</f>
        <v>0</v>
      </c>
      <c r="AJ51" s="43">
        <f>'D4 Gallon Forecast'!AJ85</f>
        <v>0</v>
      </c>
      <c r="AK51" s="43">
        <f>'D4 Gallon Forecast'!AK85</f>
        <v>0</v>
      </c>
      <c r="AL51" s="43">
        <f>'D4 Gallon Forecast'!AL85</f>
        <v>0</v>
      </c>
      <c r="AM51" s="43">
        <f>'D4 Gallon Forecast'!AM85</f>
        <v>0</v>
      </c>
      <c r="AN51" s="43">
        <f>'D4 Gallon Forecast'!AN85</f>
        <v>0</v>
      </c>
      <c r="AO51" s="43">
        <f>'D4 Gallon Forecast'!AO85</f>
        <v>0</v>
      </c>
      <c r="AP51" s="43">
        <f>'D4 Gallon Forecast'!AP85</f>
        <v>0</v>
      </c>
      <c r="AQ51" s="43">
        <f>'D4 Gallon Forecast'!AQ85</f>
        <v>1</v>
      </c>
      <c r="AR51" s="43"/>
      <c r="AU51" s="42">
        <f t="shared" ref="AU51:AU63" si="24">AVERAGE(K51:O51)</f>
        <v>0</v>
      </c>
      <c r="AV51" s="42">
        <f t="shared" ref="AV51:AV63" si="25">P51-AU51</f>
        <v>0</v>
      </c>
      <c r="AW51" s="42">
        <f t="shared" ref="AW51:AW62" si="26">P51-O51</f>
        <v>0</v>
      </c>
      <c r="AX51" s="42">
        <f>P51/31</f>
        <v>0</v>
      </c>
      <c r="AY51" s="42">
        <f>AU51/31</f>
        <v>0</v>
      </c>
      <c r="AZ51" s="42">
        <f>AX51-AY51</f>
        <v>0</v>
      </c>
    </row>
    <row r="52" spans="1:52">
      <c r="A52" s="40" t="s">
        <v>44</v>
      </c>
      <c r="B52" s="42">
        <f>'D4 Gallon Forecast'!B86</f>
        <v>0</v>
      </c>
      <c r="C52" s="42">
        <f>'D4 Gallon Forecast'!C86</f>
        <v>0</v>
      </c>
      <c r="D52" s="42">
        <f>'D4 Gallon Forecast'!D86</f>
        <v>86797</v>
      </c>
      <c r="E52" s="42">
        <f>'D4 Gallon Forecast'!E86</f>
        <v>0</v>
      </c>
      <c r="F52" s="42">
        <f>'D4 Gallon Forecast'!F86</f>
        <v>0</v>
      </c>
      <c r="G52" s="42">
        <f>'D4 Gallon Forecast'!G86</f>
        <v>0</v>
      </c>
      <c r="H52" s="42">
        <f>'D4 Gallon Forecast'!H86</f>
        <v>0</v>
      </c>
      <c r="I52" s="42">
        <f>'D4 Gallon Forecast'!I86</f>
        <v>0</v>
      </c>
      <c r="J52" s="42">
        <f>'D4 Gallon Forecast'!J86</f>
        <v>0</v>
      </c>
      <c r="K52" s="42">
        <f>'D4 Gallon Forecast'!K86</f>
        <v>0</v>
      </c>
      <c r="L52" s="42">
        <f>'D4 Gallon Forecast'!L86</f>
        <v>0</v>
      </c>
      <c r="M52" s="42">
        <f>'D4 Gallon Forecast'!M86</f>
        <v>0</v>
      </c>
      <c r="N52" s="42">
        <f>'D4 Gallon Forecast'!N86</f>
        <v>0</v>
      </c>
      <c r="O52" s="42">
        <f>'D4 Gallon Forecast'!O86</f>
        <v>0</v>
      </c>
      <c r="P52" s="42">
        <f>'D4 Gallon Forecast'!P86</f>
        <v>0</v>
      </c>
      <c r="Q52" s="42">
        <f>'D4 Gallon Forecast'!Q86</f>
        <v>0</v>
      </c>
      <c r="R52" s="43">
        <f>'D4 Gallon Forecast'!R86</f>
        <v>0</v>
      </c>
      <c r="S52" s="43">
        <f>'D4 Gallon Forecast'!S86</f>
        <v>0</v>
      </c>
      <c r="T52" s="43">
        <f>'D4 Gallon Forecast'!T86</f>
        <v>0</v>
      </c>
      <c r="U52" s="43">
        <f>'D4 Gallon Forecast'!U86</f>
        <v>0</v>
      </c>
      <c r="V52" s="43">
        <f>'D4 Gallon Forecast'!V86</f>
        <v>0</v>
      </c>
      <c r="W52" s="43">
        <f>'D4 Gallon Forecast'!W86</f>
        <v>0</v>
      </c>
      <c r="X52" s="43">
        <f>'D4 Gallon Forecast'!X86</f>
        <v>0</v>
      </c>
      <c r="Y52" s="43">
        <f>'D4 Gallon Forecast'!Y86</f>
        <v>0</v>
      </c>
      <c r="Z52" s="43">
        <f>'D4 Gallon Forecast'!Z86</f>
        <v>0</v>
      </c>
      <c r="AA52" s="43">
        <f>'D4 Gallon Forecast'!AA86</f>
        <v>0</v>
      </c>
      <c r="AB52" s="43">
        <f>'D4 Gallon Forecast'!AB86</f>
        <v>0</v>
      </c>
      <c r="AC52" s="43">
        <f>'D4 Gallon Forecast'!AC86</f>
        <v>0</v>
      </c>
      <c r="AD52" s="43">
        <f>'D4 Gallon Forecast'!AD86</f>
        <v>0</v>
      </c>
      <c r="AE52" s="43">
        <f>'D4 Gallon Forecast'!AE86</f>
        <v>0</v>
      </c>
      <c r="AF52" s="43">
        <f>'D4 Gallon Forecast'!AF86</f>
        <v>0</v>
      </c>
      <c r="AG52" s="43">
        <f>'D4 Gallon Forecast'!AG86</f>
        <v>0</v>
      </c>
      <c r="AH52" s="43">
        <f>'D4 Gallon Forecast'!AH86</f>
        <v>0</v>
      </c>
      <c r="AI52" s="43">
        <f>'D4 Gallon Forecast'!AI86</f>
        <v>0</v>
      </c>
      <c r="AJ52" s="43">
        <f>'D4 Gallon Forecast'!AJ86</f>
        <v>0</v>
      </c>
      <c r="AK52" s="43">
        <f>'D4 Gallon Forecast'!AK86</f>
        <v>0</v>
      </c>
      <c r="AL52" s="43">
        <f>'D4 Gallon Forecast'!AL86</f>
        <v>0</v>
      </c>
      <c r="AM52" s="43">
        <f>'D4 Gallon Forecast'!AM86</f>
        <v>0</v>
      </c>
      <c r="AN52" s="43">
        <f>'D4 Gallon Forecast'!AN86</f>
        <v>0</v>
      </c>
      <c r="AO52" s="43">
        <f>'D4 Gallon Forecast'!AO86</f>
        <v>0</v>
      </c>
      <c r="AP52" s="43">
        <f>'D4 Gallon Forecast'!AP86</f>
        <v>0</v>
      </c>
      <c r="AQ52" s="43">
        <f>'D4 Gallon Forecast'!AQ86</f>
        <v>1</v>
      </c>
      <c r="AR52" s="43"/>
      <c r="AU52" s="42">
        <f t="shared" si="24"/>
        <v>0</v>
      </c>
      <c r="AV52" s="42">
        <f t="shared" si="25"/>
        <v>0</v>
      </c>
      <c r="AW52" s="42">
        <f t="shared" si="26"/>
        <v>0</v>
      </c>
      <c r="AX52" s="42">
        <f>P52/28</f>
        <v>0</v>
      </c>
      <c r="AY52" s="42">
        <f>AU52/28</f>
        <v>0</v>
      </c>
      <c r="AZ52" s="42">
        <f t="shared" ref="AZ52:AZ62" si="27">AX52-AY52</f>
        <v>0</v>
      </c>
    </row>
    <row r="53" spans="1:52">
      <c r="A53" s="40" t="s">
        <v>45</v>
      </c>
      <c r="B53" s="42">
        <f>'D4 Gallon Forecast'!B87</f>
        <v>0</v>
      </c>
      <c r="C53" s="42">
        <f>'D4 Gallon Forecast'!C87</f>
        <v>0</v>
      </c>
      <c r="D53" s="42">
        <f>'D4 Gallon Forecast'!D87</f>
        <v>1129187</v>
      </c>
      <c r="E53" s="42">
        <f>'D4 Gallon Forecast'!E87</f>
        <v>0</v>
      </c>
      <c r="F53" s="42">
        <f>'D4 Gallon Forecast'!F87</f>
        <v>0</v>
      </c>
      <c r="G53" s="42">
        <f>'D4 Gallon Forecast'!G87</f>
        <v>0</v>
      </c>
      <c r="H53" s="42">
        <f>'D4 Gallon Forecast'!H87</f>
        <v>0</v>
      </c>
      <c r="I53" s="42">
        <f>'D4 Gallon Forecast'!I87</f>
        <v>0</v>
      </c>
      <c r="J53" s="42">
        <f>'D4 Gallon Forecast'!J87</f>
        <v>0</v>
      </c>
      <c r="K53" s="42">
        <f>'D4 Gallon Forecast'!K87</f>
        <v>0</v>
      </c>
      <c r="L53" s="42">
        <f>'D4 Gallon Forecast'!L87</f>
        <v>0</v>
      </c>
      <c r="M53" s="42">
        <f>'D4 Gallon Forecast'!M87</f>
        <v>0</v>
      </c>
      <c r="N53" s="42">
        <f>'D4 Gallon Forecast'!N87</f>
        <v>0</v>
      </c>
      <c r="O53" s="42">
        <f>'D4 Gallon Forecast'!O87</f>
        <v>0</v>
      </c>
      <c r="P53" s="42">
        <f>'D4 Gallon Forecast'!P87</f>
        <v>0</v>
      </c>
      <c r="Q53" s="42">
        <f>'D4 Gallon Forecast'!Q87</f>
        <v>0</v>
      </c>
      <c r="R53" s="43">
        <f>'D4 Gallon Forecast'!R87</f>
        <v>0</v>
      </c>
      <c r="S53" s="43">
        <f>'D4 Gallon Forecast'!S87</f>
        <v>0</v>
      </c>
      <c r="T53" s="43">
        <f>'D4 Gallon Forecast'!T87</f>
        <v>0</v>
      </c>
      <c r="U53" s="43">
        <f>'D4 Gallon Forecast'!U87</f>
        <v>0</v>
      </c>
      <c r="V53" s="43">
        <f>'D4 Gallon Forecast'!V87</f>
        <v>0</v>
      </c>
      <c r="W53" s="43">
        <f>'D4 Gallon Forecast'!W87</f>
        <v>0</v>
      </c>
      <c r="X53" s="43">
        <f>'D4 Gallon Forecast'!X87</f>
        <v>0</v>
      </c>
      <c r="Y53" s="43">
        <f>'D4 Gallon Forecast'!Y87</f>
        <v>0</v>
      </c>
      <c r="Z53" s="43">
        <f>'D4 Gallon Forecast'!Z87</f>
        <v>0</v>
      </c>
      <c r="AA53" s="43">
        <f>'D4 Gallon Forecast'!AA87</f>
        <v>0</v>
      </c>
      <c r="AB53" s="43">
        <f>'D4 Gallon Forecast'!AB87</f>
        <v>0</v>
      </c>
      <c r="AC53" s="43">
        <f>'D4 Gallon Forecast'!AC87</f>
        <v>0</v>
      </c>
      <c r="AD53" s="43">
        <f>'D4 Gallon Forecast'!AD87</f>
        <v>0</v>
      </c>
      <c r="AE53" s="43">
        <f>'D4 Gallon Forecast'!AE87</f>
        <v>0</v>
      </c>
      <c r="AF53" s="43">
        <f>'D4 Gallon Forecast'!AF87</f>
        <v>0</v>
      </c>
      <c r="AG53" s="43">
        <f>'D4 Gallon Forecast'!AG87</f>
        <v>0</v>
      </c>
      <c r="AH53" s="43">
        <f>'D4 Gallon Forecast'!AH87</f>
        <v>0</v>
      </c>
      <c r="AI53" s="43">
        <f>'D4 Gallon Forecast'!AI87</f>
        <v>0</v>
      </c>
      <c r="AJ53" s="43">
        <f>'D4 Gallon Forecast'!AJ87</f>
        <v>0</v>
      </c>
      <c r="AK53" s="43">
        <f>'D4 Gallon Forecast'!AK87</f>
        <v>0</v>
      </c>
      <c r="AL53" s="43">
        <f>'D4 Gallon Forecast'!AL87</f>
        <v>0</v>
      </c>
      <c r="AM53" s="43">
        <f>'D4 Gallon Forecast'!AM87</f>
        <v>0</v>
      </c>
      <c r="AN53" s="43">
        <f>'D4 Gallon Forecast'!AN87</f>
        <v>0</v>
      </c>
      <c r="AO53" s="43">
        <f>'D4 Gallon Forecast'!AO87</f>
        <v>0</v>
      </c>
      <c r="AP53" s="43">
        <f>'D4 Gallon Forecast'!AP87</f>
        <v>0</v>
      </c>
      <c r="AQ53" s="43">
        <f>'D4 Gallon Forecast'!AQ87</f>
        <v>1</v>
      </c>
      <c r="AR53" s="43"/>
      <c r="AU53" s="42">
        <f t="shared" si="24"/>
        <v>0</v>
      </c>
      <c r="AV53" s="42">
        <f t="shared" si="25"/>
        <v>0</v>
      </c>
      <c r="AW53" s="42">
        <f t="shared" si="26"/>
        <v>0</v>
      </c>
      <c r="AX53" s="42">
        <f>P53/31</f>
        <v>0</v>
      </c>
      <c r="AY53" s="42">
        <f>AU53/31</f>
        <v>0</v>
      </c>
      <c r="AZ53" s="42">
        <f t="shared" si="27"/>
        <v>0</v>
      </c>
    </row>
    <row r="54" spans="1:52">
      <c r="A54" s="40" t="s">
        <v>46</v>
      </c>
      <c r="B54" s="42">
        <f>'D4 Gallon Forecast'!B88</f>
        <v>0</v>
      </c>
      <c r="C54" s="42">
        <f>'D4 Gallon Forecast'!C88</f>
        <v>0</v>
      </c>
      <c r="D54" s="42">
        <f>'D4 Gallon Forecast'!D88</f>
        <v>0</v>
      </c>
      <c r="E54" s="42">
        <f>'D4 Gallon Forecast'!E88</f>
        <v>0</v>
      </c>
      <c r="F54" s="42">
        <f>'D4 Gallon Forecast'!F88</f>
        <v>0</v>
      </c>
      <c r="G54" s="42">
        <f>'D4 Gallon Forecast'!G88</f>
        <v>0</v>
      </c>
      <c r="H54" s="42">
        <f>'D4 Gallon Forecast'!H88</f>
        <v>0</v>
      </c>
      <c r="I54" s="42">
        <f>'D4 Gallon Forecast'!I88</f>
        <v>0</v>
      </c>
      <c r="J54" s="42">
        <f>'D4 Gallon Forecast'!J88</f>
        <v>0</v>
      </c>
      <c r="K54" s="42">
        <f>'D4 Gallon Forecast'!K88</f>
        <v>0</v>
      </c>
      <c r="L54" s="42">
        <f>'D4 Gallon Forecast'!L88</f>
        <v>0</v>
      </c>
      <c r="M54" s="42">
        <f>'D4 Gallon Forecast'!M88</f>
        <v>0</v>
      </c>
      <c r="N54" s="42">
        <f>'D4 Gallon Forecast'!N88</f>
        <v>0</v>
      </c>
      <c r="O54" s="42">
        <f>'D4 Gallon Forecast'!O88</f>
        <v>0</v>
      </c>
      <c r="P54" s="42">
        <f>'D4 Gallon Forecast'!P88</f>
        <v>0</v>
      </c>
      <c r="Q54" s="43">
        <f>'D4 Gallon Forecast'!Q88</f>
        <v>0</v>
      </c>
      <c r="R54" s="43">
        <f>'D4 Gallon Forecast'!R88</f>
        <v>0</v>
      </c>
      <c r="S54" s="43">
        <f>'D4 Gallon Forecast'!S88</f>
        <v>0</v>
      </c>
      <c r="T54" s="43">
        <f>'D4 Gallon Forecast'!T88</f>
        <v>0</v>
      </c>
      <c r="U54" s="43">
        <f>'D4 Gallon Forecast'!U88</f>
        <v>0</v>
      </c>
      <c r="V54" s="43">
        <f>'D4 Gallon Forecast'!V88</f>
        <v>0</v>
      </c>
      <c r="W54" s="43">
        <f>'D4 Gallon Forecast'!W88</f>
        <v>0</v>
      </c>
      <c r="X54" s="43">
        <f>'D4 Gallon Forecast'!X88</f>
        <v>0</v>
      </c>
      <c r="Y54" s="43">
        <f>'D4 Gallon Forecast'!Y88</f>
        <v>0</v>
      </c>
      <c r="Z54" s="43">
        <f>'D4 Gallon Forecast'!Z88</f>
        <v>0</v>
      </c>
      <c r="AA54" s="43">
        <f>'D4 Gallon Forecast'!AA88</f>
        <v>0</v>
      </c>
      <c r="AB54" s="43">
        <f>'D4 Gallon Forecast'!AB88</f>
        <v>0</v>
      </c>
      <c r="AC54" s="43">
        <f>'D4 Gallon Forecast'!AC88</f>
        <v>0</v>
      </c>
      <c r="AD54" s="43">
        <f>'D4 Gallon Forecast'!AD88</f>
        <v>0</v>
      </c>
      <c r="AE54" s="43">
        <f>'D4 Gallon Forecast'!AE88</f>
        <v>0</v>
      </c>
      <c r="AF54" s="43">
        <f>'D4 Gallon Forecast'!AF88</f>
        <v>0</v>
      </c>
      <c r="AG54" s="43">
        <f>'D4 Gallon Forecast'!AG88</f>
        <v>0</v>
      </c>
      <c r="AH54" s="43">
        <f>'D4 Gallon Forecast'!AH88</f>
        <v>0</v>
      </c>
      <c r="AI54" s="43">
        <f>'D4 Gallon Forecast'!AI88</f>
        <v>0</v>
      </c>
      <c r="AJ54" s="43">
        <f>'D4 Gallon Forecast'!AJ88</f>
        <v>0</v>
      </c>
      <c r="AK54" s="43">
        <f>'D4 Gallon Forecast'!AK88</f>
        <v>0</v>
      </c>
      <c r="AL54" s="43">
        <f>'D4 Gallon Forecast'!AL88</f>
        <v>0</v>
      </c>
      <c r="AM54" s="43">
        <f>'D4 Gallon Forecast'!AM88</f>
        <v>0</v>
      </c>
      <c r="AN54" s="43">
        <f>'D4 Gallon Forecast'!AN88</f>
        <v>0</v>
      </c>
      <c r="AO54" s="43">
        <f>'D4 Gallon Forecast'!AO88</f>
        <v>0</v>
      </c>
      <c r="AP54" s="43">
        <f>'D4 Gallon Forecast'!AP88</f>
        <v>0</v>
      </c>
      <c r="AQ54" s="43">
        <f>'D4 Gallon Forecast'!AQ88</f>
        <v>1</v>
      </c>
      <c r="AR54" s="43"/>
      <c r="AU54" s="42">
        <f t="shared" si="24"/>
        <v>0</v>
      </c>
      <c r="AV54" s="42">
        <f t="shared" si="25"/>
        <v>0</v>
      </c>
      <c r="AW54" s="42">
        <f t="shared" si="26"/>
        <v>0</v>
      </c>
      <c r="AX54" s="42">
        <f>P54/30</f>
        <v>0</v>
      </c>
      <c r="AY54" s="42">
        <f>AU54/30</f>
        <v>0</v>
      </c>
      <c r="AZ54" s="42">
        <f t="shared" si="27"/>
        <v>0</v>
      </c>
    </row>
    <row r="55" spans="1:52">
      <c r="A55" s="40" t="s">
        <v>47</v>
      </c>
      <c r="B55" s="42">
        <f>'D4 Gallon Forecast'!B89</f>
        <v>0</v>
      </c>
      <c r="C55" s="42">
        <f>'D4 Gallon Forecast'!C89</f>
        <v>0</v>
      </c>
      <c r="D55" s="42">
        <f>'D4 Gallon Forecast'!D89</f>
        <v>4864398</v>
      </c>
      <c r="E55" s="42">
        <f>'D4 Gallon Forecast'!E89</f>
        <v>0</v>
      </c>
      <c r="F55" s="42">
        <f>'D4 Gallon Forecast'!F89</f>
        <v>0</v>
      </c>
      <c r="G55" s="42">
        <f>'D4 Gallon Forecast'!G89</f>
        <v>0</v>
      </c>
      <c r="H55" s="42">
        <f>'D4 Gallon Forecast'!H89</f>
        <v>0</v>
      </c>
      <c r="I55" s="42">
        <f>'D4 Gallon Forecast'!I89</f>
        <v>0</v>
      </c>
      <c r="J55" s="42">
        <f>'D4 Gallon Forecast'!J89</f>
        <v>0</v>
      </c>
      <c r="K55" s="42">
        <f>'D4 Gallon Forecast'!K89</f>
        <v>0</v>
      </c>
      <c r="L55" s="42">
        <f>'D4 Gallon Forecast'!L89</f>
        <v>0</v>
      </c>
      <c r="M55" s="42">
        <f>'D4 Gallon Forecast'!M89</f>
        <v>0</v>
      </c>
      <c r="N55" s="42">
        <f>'D4 Gallon Forecast'!N89</f>
        <v>0</v>
      </c>
      <c r="O55" s="42">
        <f>'D4 Gallon Forecast'!O89</f>
        <v>0</v>
      </c>
      <c r="P55" s="42">
        <f>'D4 Gallon Forecast'!P89</f>
        <v>0</v>
      </c>
      <c r="Q55" s="43">
        <f>'D4 Gallon Forecast'!Q89</f>
        <v>0</v>
      </c>
      <c r="R55" s="43">
        <f>'D4 Gallon Forecast'!R89</f>
        <v>0</v>
      </c>
      <c r="S55" s="43">
        <f>'D4 Gallon Forecast'!S89</f>
        <v>0</v>
      </c>
      <c r="T55" s="43">
        <f>'D4 Gallon Forecast'!T89</f>
        <v>0</v>
      </c>
      <c r="U55" s="43">
        <f>'D4 Gallon Forecast'!U89</f>
        <v>0</v>
      </c>
      <c r="V55" s="43">
        <f>'D4 Gallon Forecast'!V89</f>
        <v>0</v>
      </c>
      <c r="W55" s="43">
        <f>'D4 Gallon Forecast'!W89</f>
        <v>0</v>
      </c>
      <c r="X55" s="43">
        <f>'D4 Gallon Forecast'!X89</f>
        <v>0</v>
      </c>
      <c r="Y55" s="43">
        <f>'D4 Gallon Forecast'!Y89</f>
        <v>0</v>
      </c>
      <c r="Z55" s="43">
        <f>'D4 Gallon Forecast'!Z89</f>
        <v>0</v>
      </c>
      <c r="AA55" s="43">
        <f>'D4 Gallon Forecast'!AA89</f>
        <v>0</v>
      </c>
      <c r="AB55" s="43">
        <f>'D4 Gallon Forecast'!AB89</f>
        <v>0</v>
      </c>
      <c r="AC55" s="43">
        <f>'D4 Gallon Forecast'!AC89</f>
        <v>0</v>
      </c>
      <c r="AD55" s="43">
        <f>'D4 Gallon Forecast'!AD89</f>
        <v>0</v>
      </c>
      <c r="AE55" s="43">
        <f>'D4 Gallon Forecast'!AE89</f>
        <v>0</v>
      </c>
      <c r="AF55" s="43">
        <f>'D4 Gallon Forecast'!AF89</f>
        <v>0</v>
      </c>
      <c r="AG55" s="43">
        <f>'D4 Gallon Forecast'!AG89</f>
        <v>0</v>
      </c>
      <c r="AH55" s="43">
        <f>'D4 Gallon Forecast'!AH89</f>
        <v>0</v>
      </c>
      <c r="AI55" s="43">
        <f>'D4 Gallon Forecast'!AI89</f>
        <v>0</v>
      </c>
      <c r="AJ55" s="43">
        <f>'D4 Gallon Forecast'!AJ89</f>
        <v>0</v>
      </c>
      <c r="AK55" s="43">
        <f>'D4 Gallon Forecast'!AK89</f>
        <v>0</v>
      </c>
      <c r="AL55" s="43">
        <f>'D4 Gallon Forecast'!AL89</f>
        <v>0</v>
      </c>
      <c r="AM55" s="43">
        <f>'D4 Gallon Forecast'!AM89</f>
        <v>0</v>
      </c>
      <c r="AN55" s="43">
        <f>'D4 Gallon Forecast'!AN89</f>
        <v>0</v>
      </c>
      <c r="AO55" s="43">
        <f>'D4 Gallon Forecast'!AO89</f>
        <v>0</v>
      </c>
      <c r="AP55" s="43">
        <f>'D4 Gallon Forecast'!AP89</f>
        <v>0</v>
      </c>
      <c r="AQ55" s="43">
        <f>'D4 Gallon Forecast'!AQ89</f>
        <v>1</v>
      </c>
      <c r="AR55" s="43"/>
      <c r="AU55" s="42">
        <f t="shared" si="24"/>
        <v>0</v>
      </c>
      <c r="AV55" s="42">
        <f t="shared" si="25"/>
        <v>0</v>
      </c>
      <c r="AW55" s="42">
        <f t="shared" si="26"/>
        <v>0</v>
      </c>
      <c r="AX55" s="42">
        <f>P55/31</f>
        <v>0</v>
      </c>
      <c r="AY55" s="42">
        <f>AU55/31</f>
        <v>0</v>
      </c>
      <c r="AZ55" s="42">
        <f t="shared" si="27"/>
        <v>0</v>
      </c>
    </row>
    <row r="56" spans="1:52">
      <c r="A56" s="40" t="s">
        <v>48</v>
      </c>
      <c r="B56" s="42">
        <f>'D4 Gallon Forecast'!B90</f>
        <v>0</v>
      </c>
      <c r="C56" s="42">
        <f>'D4 Gallon Forecast'!C90</f>
        <v>0</v>
      </c>
      <c r="D56" s="42">
        <f>'D4 Gallon Forecast'!D90</f>
        <v>0</v>
      </c>
      <c r="E56" s="42">
        <f>'D4 Gallon Forecast'!E90</f>
        <v>0</v>
      </c>
      <c r="F56" s="42">
        <f>'D4 Gallon Forecast'!F90</f>
        <v>0</v>
      </c>
      <c r="G56" s="42">
        <f>'D4 Gallon Forecast'!G90</f>
        <v>0</v>
      </c>
      <c r="H56" s="42">
        <f>'D4 Gallon Forecast'!H90</f>
        <v>0</v>
      </c>
      <c r="I56" s="42">
        <f>'D4 Gallon Forecast'!I90</f>
        <v>0</v>
      </c>
      <c r="J56" s="42">
        <f>'D4 Gallon Forecast'!J90</f>
        <v>0</v>
      </c>
      <c r="K56" s="42">
        <f>'D4 Gallon Forecast'!K90</f>
        <v>0</v>
      </c>
      <c r="L56" s="42">
        <f>'D4 Gallon Forecast'!L90</f>
        <v>0</v>
      </c>
      <c r="M56" s="42">
        <f>'D4 Gallon Forecast'!M90</f>
        <v>0</v>
      </c>
      <c r="N56" s="42">
        <f>'D4 Gallon Forecast'!N90</f>
        <v>0</v>
      </c>
      <c r="O56" s="42">
        <f>'D4 Gallon Forecast'!O90</f>
        <v>0</v>
      </c>
      <c r="P56" s="42">
        <f>'D4 Gallon Forecast'!P90</f>
        <v>0</v>
      </c>
      <c r="Q56" s="43">
        <f>'D4 Gallon Forecast'!Q90</f>
        <v>0</v>
      </c>
      <c r="R56" s="43">
        <f>'D4 Gallon Forecast'!R90</f>
        <v>0</v>
      </c>
      <c r="S56" s="43">
        <f>'D4 Gallon Forecast'!S90</f>
        <v>0</v>
      </c>
      <c r="T56" s="43">
        <f>'D4 Gallon Forecast'!T90</f>
        <v>0</v>
      </c>
      <c r="U56" s="43">
        <f>'D4 Gallon Forecast'!U90</f>
        <v>0</v>
      </c>
      <c r="V56" s="43">
        <f>'D4 Gallon Forecast'!V90</f>
        <v>0</v>
      </c>
      <c r="W56" s="43">
        <f>'D4 Gallon Forecast'!W90</f>
        <v>0</v>
      </c>
      <c r="X56" s="43">
        <f>'D4 Gallon Forecast'!X90</f>
        <v>0</v>
      </c>
      <c r="Y56" s="43">
        <f>'D4 Gallon Forecast'!Y90</f>
        <v>0</v>
      </c>
      <c r="Z56" s="43">
        <f>'D4 Gallon Forecast'!Z90</f>
        <v>0</v>
      </c>
      <c r="AA56" s="43">
        <f>'D4 Gallon Forecast'!AA90</f>
        <v>0</v>
      </c>
      <c r="AB56" s="43">
        <f>'D4 Gallon Forecast'!AB90</f>
        <v>0</v>
      </c>
      <c r="AC56" s="43">
        <f>'D4 Gallon Forecast'!AC90</f>
        <v>0</v>
      </c>
      <c r="AD56" s="43">
        <f>'D4 Gallon Forecast'!AD90</f>
        <v>0</v>
      </c>
      <c r="AE56" s="43">
        <f>'D4 Gallon Forecast'!AE90</f>
        <v>0</v>
      </c>
      <c r="AF56" s="43">
        <f>'D4 Gallon Forecast'!AF90</f>
        <v>0</v>
      </c>
      <c r="AG56" s="43">
        <f>'D4 Gallon Forecast'!AG90</f>
        <v>0</v>
      </c>
      <c r="AH56" s="43">
        <f>'D4 Gallon Forecast'!AH90</f>
        <v>0</v>
      </c>
      <c r="AI56" s="43">
        <f>'D4 Gallon Forecast'!AI90</f>
        <v>0</v>
      </c>
      <c r="AJ56" s="43">
        <f>'D4 Gallon Forecast'!AJ90</f>
        <v>0</v>
      </c>
      <c r="AK56" s="43">
        <f>'D4 Gallon Forecast'!AK90</f>
        <v>0</v>
      </c>
      <c r="AL56" s="43">
        <f>'D4 Gallon Forecast'!AL90</f>
        <v>0</v>
      </c>
      <c r="AM56" s="43">
        <f>'D4 Gallon Forecast'!AM90</f>
        <v>0</v>
      </c>
      <c r="AN56" s="43">
        <f>'D4 Gallon Forecast'!AN90</f>
        <v>0</v>
      </c>
      <c r="AO56" s="43">
        <f>'D4 Gallon Forecast'!AO90</f>
        <v>0</v>
      </c>
      <c r="AP56" s="43">
        <f>'D4 Gallon Forecast'!AP90</f>
        <v>0</v>
      </c>
      <c r="AQ56" s="43">
        <f>'D4 Gallon Forecast'!AQ90</f>
        <v>1</v>
      </c>
      <c r="AR56" s="43"/>
      <c r="AU56" s="42">
        <f t="shared" si="24"/>
        <v>0</v>
      </c>
      <c r="AV56" s="42">
        <f t="shared" si="25"/>
        <v>0</v>
      </c>
      <c r="AW56" s="42">
        <f t="shared" si="26"/>
        <v>0</v>
      </c>
      <c r="AX56" s="56">
        <f>P56/30</f>
        <v>0</v>
      </c>
      <c r="AY56" s="56">
        <f>AU56/30</f>
        <v>0</v>
      </c>
      <c r="AZ56" s="56">
        <f t="shared" si="27"/>
        <v>0</v>
      </c>
    </row>
    <row r="57" spans="1:52">
      <c r="A57" s="40" t="s">
        <v>49</v>
      </c>
      <c r="B57" s="42">
        <f>'D4 Gallon Forecast'!B91</f>
        <v>0</v>
      </c>
      <c r="C57" s="42">
        <f>'D4 Gallon Forecast'!C91</f>
        <v>0</v>
      </c>
      <c r="D57" s="42">
        <f>'D4 Gallon Forecast'!D91</f>
        <v>0</v>
      </c>
      <c r="E57" s="42">
        <f>'D4 Gallon Forecast'!E91</f>
        <v>0</v>
      </c>
      <c r="F57" s="42">
        <f>'D4 Gallon Forecast'!F91</f>
        <v>0</v>
      </c>
      <c r="G57" s="42">
        <f>'D4 Gallon Forecast'!G91</f>
        <v>0</v>
      </c>
      <c r="H57" s="42">
        <f>'D4 Gallon Forecast'!H91</f>
        <v>0</v>
      </c>
      <c r="I57" s="42">
        <f>'D4 Gallon Forecast'!I91</f>
        <v>0</v>
      </c>
      <c r="J57" s="42">
        <f>'D4 Gallon Forecast'!J91</f>
        <v>0</v>
      </c>
      <c r="K57" s="42">
        <f>'D4 Gallon Forecast'!K91</f>
        <v>0</v>
      </c>
      <c r="L57" s="42">
        <f>'D4 Gallon Forecast'!L91</f>
        <v>0</v>
      </c>
      <c r="M57" s="42">
        <f>'D4 Gallon Forecast'!M91</f>
        <v>0</v>
      </c>
      <c r="N57" s="42">
        <f>'D4 Gallon Forecast'!N91</f>
        <v>0</v>
      </c>
      <c r="O57" s="42">
        <f>'D4 Gallon Forecast'!O91</f>
        <v>0</v>
      </c>
      <c r="P57" s="42">
        <f>'D4 Gallon Forecast'!P91</f>
        <v>0</v>
      </c>
      <c r="Q57" s="43">
        <f>'D4 Gallon Forecast'!Q91</f>
        <v>0</v>
      </c>
      <c r="R57" s="43">
        <f>'D4 Gallon Forecast'!R91</f>
        <v>0</v>
      </c>
      <c r="S57" s="43">
        <f>'D4 Gallon Forecast'!S91</f>
        <v>0</v>
      </c>
      <c r="T57" s="43">
        <f>'D4 Gallon Forecast'!T91</f>
        <v>0</v>
      </c>
      <c r="U57" s="43">
        <f>'D4 Gallon Forecast'!U91</f>
        <v>0</v>
      </c>
      <c r="V57" s="43">
        <f>'D4 Gallon Forecast'!V91</f>
        <v>0</v>
      </c>
      <c r="W57" s="43">
        <f>'D4 Gallon Forecast'!W91</f>
        <v>0</v>
      </c>
      <c r="X57" s="43">
        <f>'D4 Gallon Forecast'!X91</f>
        <v>0</v>
      </c>
      <c r="Y57" s="43">
        <f>'D4 Gallon Forecast'!Y91</f>
        <v>0</v>
      </c>
      <c r="Z57" s="43">
        <f>'D4 Gallon Forecast'!Z91</f>
        <v>0</v>
      </c>
      <c r="AA57" s="43">
        <f>'D4 Gallon Forecast'!AA91</f>
        <v>0</v>
      </c>
      <c r="AB57" s="43">
        <f>'D4 Gallon Forecast'!AB91</f>
        <v>0</v>
      </c>
      <c r="AC57" s="43">
        <f>'D4 Gallon Forecast'!AC91</f>
        <v>0</v>
      </c>
      <c r="AD57" s="43">
        <f>'D4 Gallon Forecast'!AD91</f>
        <v>0</v>
      </c>
      <c r="AE57" s="43">
        <f>'D4 Gallon Forecast'!AE91</f>
        <v>0</v>
      </c>
      <c r="AF57" s="43">
        <f>'D4 Gallon Forecast'!AF91</f>
        <v>0</v>
      </c>
      <c r="AG57" s="43">
        <f>'D4 Gallon Forecast'!AG91</f>
        <v>0</v>
      </c>
      <c r="AH57" s="43">
        <f>'D4 Gallon Forecast'!AH91</f>
        <v>0</v>
      </c>
      <c r="AI57" s="43">
        <f>'D4 Gallon Forecast'!AI91</f>
        <v>0</v>
      </c>
      <c r="AJ57" s="43">
        <f>'D4 Gallon Forecast'!AJ91</f>
        <v>0</v>
      </c>
      <c r="AK57" s="43">
        <f>'D4 Gallon Forecast'!AK91</f>
        <v>0</v>
      </c>
      <c r="AL57" s="43">
        <f>'D4 Gallon Forecast'!AL91</f>
        <v>0</v>
      </c>
      <c r="AM57" s="43">
        <f>'D4 Gallon Forecast'!AM91</f>
        <v>0</v>
      </c>
      <c r="AN57" s="43">
        <f>'D4 Gallon Forecast'!AN91</f>
        <v>0</v>
      </c>
      <c r="AO57" s="43">
        <f>'D4 Gallon Forecast'!AO91</f>
        <v>0</v>
      </c>
      <c r="AP57" s="43">
        <f>'D4 Gallon Forecast'!AP91</f>
        <v>0</v>
      </c>
      <c r="AQ57" s="43">
        <f>'D4 Gallon Forecast'!AQ91</f>
        <v>1</v>
      </c>
      <c r="AR57" s="43"/>
      <c r="AU57" s="42">
        <f t="shared" si="24"/>
        <v>0</v>
      </c>
      <c r="AV57" s="42">
        <f t="shared" si="25"/>
        <v>0</v>
      </c>
      <c r="AW57" s="42">
        <f t="shared" si="26"/>
        <v>0</v>
      </c>
      <c r="AX57" s="42">
        <f>P57/31</f>
        <v>0</v>
      </c>
      <c r="AY57" s="42">
        <f>AU57/31</f>
        <v>0</v>
      </c>
      <c r="AZ57" s="42">
        <f t="shared" si="27"/>
        <v>0</v>
      </c>
    </row>
    <row r="58" spans="1:52">
      <c r="A58" s="40" t="s">
        <v>50</v>
      </c>
      <c r="B58" s="42">
        <f>'D4 Gallon Forecast'!B92</f>
        <v>0</v>
      </c>
      <c r="C58" s="42">
        <f>'D4 Gallon Forecast'!C92</f>
        <v>0</v>
      </c>
      <c r="D58" s="42">
        <f>'D4 Gallon Forecast'!D92</f>
        <v>0</v>
      </c>
      <c r="E58" s="42">
        <f>'D4 Gallon Forecast'!E92</f>
        <v>1511102</v>
      </c>
      <c r="F58" s="42">
        <f>'D4 Gallon Forecast'!F92</f>
        <v>0</v>
      </c>
      <c r="G58" s="42">
        <f>'D4 Gallon Forecast'!G92</f>
        <v>0</v>
      </c>
      <c r="H58" s="42">
        <f>'D4 Gallon Forecast'!H92</f>
        <v>0</v>
      </c>
      <c r="I58" s="42">
        <f>'D4 Gallon Forecast'!I92</f>
        <v>0</v>
      </c>
      <c r="J58" s="42">
        <f>'D4 Gallon Forecast'!J92</f>
        <v>0</v>
      </c>
      <c r="K58" s="42">
        <f>'D4 Gallon Forecast'!K92</f>
        <v>0</v>
      </c>
      <c r="L58" s="42">
        <f>'D4 Gallon Forecast'!L92</f>
        <v>0</v>
      </c>
      <c r="M58" s="42">
        <f>'D4 Gallon Forecast'!M92</f>
        <v>0</v>
      </c>
      <c r="N58" s="42">
        <f>'D4 Gallon Forecast'!N92</f>
        <v>0</v>
      </c>
      <c r="O58" s="42">
        <f>'D4 Gallon Forecast'!O92</f>
        <v>0</v>
      </c>
      <c r="P58" s="42">
        <f>'D4 Gallon Forecast'!P92</f>
        <v>0</v>
      </c>
      <c r="Q58" s="43">
        <f>'D4 Gallon Forecast'!Q92</f>
        <v>0</v>
      </c>
      <c r="R58" s="43">
        <f>'D4 Gallon Forecast'!R92</f>
        <v>0</v>
      </c>
      <c r="S58" s="43">
        <f>'D4 Gallon Forecast'!S92</f>
        <v>0</v>
      </c>
      <c r="T58" s="43">
        <f>'D4 Gallon Forecast'!T92</f>
        <v>0</v>
      </c>
      <c r="U58" s="43">
        <f>'D4 Gallon Forecast'!U92</f>
        <v>0</v>
      </c>
      <c r="V58" s="43">
        <f>'D4 Gallon Forecast'!V92</f>
        <v>0</v>
      </c>
      <c r="W58" s="43">
        <f>'D4 Gallon Forecast'!W92</f>
        <v>0</v>
      </c>
      <c r="X58" s="43">
        <f>'D4 Gallon Forecast'!X92</f>
        <v>0</v>
      </c>
      <c r="Y58" s="43">
        <f>'D4 Gallon Forecast'!Y92</f>
        <v>0</v>
      </c>
      <c r="Z58" s="43">
        <f>'D4 Gallon Forecast'!Z92</f>
        <v>0</v>
      </c>
      <c r="AA58" s="43">
        <f>'D4 Gallon Forecast'!AA92</f>
        <v>0</v>
      </c>
      <c r="AB58" s="43">
        <f>'D4 Gallon Forecast'!AB92</f>
        <v>0</v>
      </c>
      <c r="AC58" s="43">
        <f>'D4 Gallon Forecast'!AC92</f>
        <v>0</v>
      </c>
      <c r="AD58" s="43">
        <f>'D4 Gallon Forecast'!AD92</f>
        <v>0</v>
      </c>
      <c r="AE58" s="43">
        <f>'D4 Gallon Forecast'!AE92</f>
        <v>0</v>
      </c>
      <c r="AF58" s="43">
        <f>'D4 Gallon Forecast'!AF92</f>
        <v>0</v>
      </c>
      <c r="AG58" s="43">
        <f>'D4 Gallon Forecast'!AG92</f>
        <v>0</v>
      </c>
      <c r="AH58" s="43">
        <f>'D4 Gallon Forecast'!AH92</f>
        <v>0</v>
      </c>
      <c r="AI58" s="43">
        <f>'D4 Gallon Forecast'!AI92</f>
        <v>0</v>
      </c>
      <c r="AJ58" s="43">
        <f>'D4 Gallon Forecast'!AJ92</f>
        <v>0</v>
      </c>
      <c r="AK58" s="43">
        <f>'D4 Gallon Forecast'!AK92</f>
        <v>0</v>
      </c>
      <c r="AL58" s="43">
        <f>'D4 Gallon Forecast'!AL92</f>
        <v>0</v>
      </c>
      <c r="AM58" s="43">
        <f>'D4 Gallon Forecast'!AM92</f>
        <v>0</v>
      </c>
      <c r="AN58" s="43">
        <f>'D4 Gallon Forecast'!AN92</f>
        <v>0</v>
      </c>
      <c r="AO58" s="43">
        <f>'D4 Gallon Forecast'!AO92</f>
        <v>0</v>
      </c>
      <c r="AP58" s="43">
        <f>'D4 Gallon Forecast'!AP92</f>
        <v>0</v>
      </c>
      <c r="AQ58" s="43">
        <f>'D4 Gallon Forecast'!AQ92</f>
        <v>1</v>
      </c>
      <c r="AR58" s="43"/>
      <c r="AU58" s="42">
        <f t="shared" si="24"/>
        <v>0</v>
      </c>
      <c r="AV58" s="42">
        <f t="shared" si="25"/>
        <v>0</v>
      </c>
      <c r="AW58" s="42">
        <f t="shared" si="26"/>
        <v>0</v>
      </c>
      <c r="AX58" s="42">
        <f>P58/31</f>
        <v>0</v>
      </c>
      <c r="AY58" s="42">
        <f>AU58/31</f>
        <v>0</v>
      </c>
      <c r="AZ58" s="42">
        <f t="shared" si="27"/>
        <v>0</v>
      </c>
    </row>
    <row r="59" spans="1:52">
      <c r="A59" s="40" t="s">
        <v>51</v>
      </c>
      <c r="B59" s="42">
        <f>'D4 Gallon Forecast'!B93</f>
        <v>0</v>
      </c>
      <c r="C59" s="42">
        <f>'D4 Gallon Forecast'!C93</f>
        <v>0</v>
      </c>
      <c r="D59" s="42">
        <f>'D4 Gallon Forecast'!D93</f>
        <v>0</v>
      </c>
      <c r="E59" s="42">
        <f>'D4 Gallon Forecast'!E93</f>
        <v>0</v>
      </c>
      <c r="F59" s="42">
        <f>'D4 Gallon Forecast'!F93</f>
        <v>0</v>
      </c>
      <c r="G59" s="42">
        <f>'D4 Gallon Forecast'!G93</f>
        <v>0</v>
      </c>
      <c r="H59" s="42">
        <f>'D4 Gallon Forecast'!H93</f>
        <v>0</v>
      </c>
      <c r="I59" s="42">
        <f>'D4 Gallon Forecast'!I93</f>
        <v>0</v>
      </c>
      <c r="J59" s="42">
        <f>'D4 Gallon Forecast'!J93</f>
        <v>0</v>
      </c>
      <c r="K59" s="42">
        <f>'D4 Gallon Forecast'!K93</f>
        <v>0</v>
      </c>
      <c r="L59" s="42">
        <f>'D4 Gallon Forecast'!L93</f>
        <v>0</v>
      </c>
      <c r="M59" s="42">
        <f>'D4 Gallon Forecast'!M93</f>
        <v>0</v>
      </c>
      <c r="N59" s="42">
        <f>'D4 Gallon Forecast'!N93</f>
        <v>0</v>
      </c>
      <c r="O59" s="42">
        <f>'D4 Gallon Forecast'!O93</f>
        <v>0</v>
      </c>
      <c r="P59" s="42">
        <f>'D4 Gallon Forecast'!P93</f>
        <v>0</v>
      </c>
      <c r="Q59" s="43">
        <f>'D4 Gallon Forecast'!Q93</f>
        <v>0</v>
      </c>
      <c r="R59" s="43">
        <f>'D4 Gallon Forecast'!R93</f>
        <v>0</v>
      </c>
      <c r="S59" s="43">
        <f>'D4 Gallon Forecast'!S93</f>
        <v>0</v>
      </c>
      <c r="T59" s="43">
        <f>'D4 Gallon Forecast'!T93</f>
        <v>0</v>
      </c>
      <c r="U59" s="43">
        <f>'D4 Gallon Forecast'!U93</f>
        <v>0</v>
      </c>
      <c r="V59" s="43">
        <f>'D4 Gallon Forecast'!V93</f>
        <v>0</v>
      </c>
      <c r="W59" s="43">
        <f>'D4 Gallon Forecast'!W93</f>
        <v>0</v>
      </c>
      <c r="X59" s="43">
        <f>'D4 Gallon Forecast'!X93</f>
        <v>0</v>
      </c>
      <c r="Y59" s="43">
        <f>'D4 Gallon Forecast'!Y93</f>
        <v>0</v>
      </c>
      <c r="Z59" s="43">
        <f>'D4 Gallon Forecast'!Z93</f>
        <v>0</v>
      </c>
      <c r="AA59" s="43">
        <f>'D4 Gallon Forecast'!AA93</f>
        <v>0</v>
      </c>
      <c r="AB59" s="43">
        <f>'D4 Gallon Forecast'!AB93</f>
        <v>0</v>
      </c>
      <c r="AC59" s="43">
        <f>'D4 Gallon Forecast'!AC93</f>
        <v>0</v>
      </c>
      <c r="AD59" s="43">
        <f>'D4 Gallon Forecast'!AD93</f>
        <v>0</v>
      </c>
      <c r="AE59" s="43">
        <f>'D4 Gallon Forecast'!AE93</f>
        <v>0</v>
      </c>
      <c r="AF59" s="43">
        <f>'D4 Gallon Forecast'!AF93</f>
        <v>0</v>
      </c>
      <c r="AG59" s="43">
        <f>'D4 Gallon Forecast'!AG93</f>
        <v>0</v>
      </c>
      <c r="AH59" s="43">
        <f>'D4 Gallon Forecast'!AH93</f>
        <v>0</v>
      </c>
      <c r="AI59" s="43">
        <f>'D4 Gallon Forecast'!AI93</f>
        <v>0</v>
      </c>
      <c r="AJ59" s="43">
        <f>'D4 Gallon Forecast'!AJ93</f>
        <v>0</v>
      </c>
      <c r="AK59" s="43">
        <f>'D4 Gallon Forecast'!AK93</f>
        <v>0</v>
      </c>
      <c r="AL59" s="43">
        <f>'D4 Gallon Forecast'!AL93</f>
        <v>0</v>
      </c>
      <c r="AM59" s="43">
        <f>'D4 Gallon Forecast'!AM93</f>
        <v>0</v>
      </c>
      <c r="AN59" s="43">
        <f>'D4 Gallon Forecast'!AN93</f>
        <v>0</v>
      </c>
      <c r="AO59" s="43">
        <f>'D4 Gallon Forecast'!AO93</f>
        <v>0</v>
      </c>
      <c r="AP59" s="43">
        <f>'D4 Gallon Forecast'!AP93</f>
        <v>0</v>
      </c>
      <c r="AQ59" s="43">
        <f>'D4 Gallon Forecast'!AQ93</f>
        <v>1</v>
      </c>
      <c r="AR59" s="43"/>
      <c r="AU59" s="42">
        <f t="shared" si="24"/>
        <v>0</v>
      </c>
      <c r="AV59" s="42">
        <f t="shared" si="25"/>
        <v>0</v>
      </c>
      <c r="AW59" s="42">
        <f t="shared" si="26"/>
        <v>0</v>
      </c>
      <c r="AX59" s="42">
        <f>P59/30</f>
        <v>0</v>
      </c>
      <c r="AY59" s="42">
        <f>AU59/30</f>
        <v>0</v>
      </c>
      <c r="AZ59" s="42">
        <f t="shared" si="27"/>
        <v>0</v>
      </c>
    </row>
    <row r="60" spans="1:52">
      <c r="A60" s="40" t="s">
        <v>52</v>
      </c>
      <c r="B60" s="42">
        <f>'D4 Gallon Forecast'!B94</f>
        <v>0</v>
      </c>
      <c r="C60" s="42">
        <f>'D4 Gallon Forecast'!C94</f>
        <v>0</v>
      </c>
      <c r="D60" s="42">
        <f>'D4 Gallon Forecast'!D94</f>
        <v>701526</v>
      </c>
      <c r="E60" s="42">
        <f>'D4 Gallon Forecast'!E94</f>
        <v>0</v>
      </c>
      <c r="F60" s="42">
        <f>'D4 Gallon Forecast'!F94</f>
        <v>0</v>
      </c>
      <c r="G60" s="42">
        <f>'D4 Gallon Forecast'!G94</f>
        <v>0</v>
      </c>
      <c r="H60" s="42">
        <f>'D4 Gallon Forecast'!H94</f>
        <v>0</v>
      </c>
      <c r="I60" s="42">
        <f>'D4 Gallon Forecast'!I94</f>
        <v>0</v>
      </c>
      <c r="J60" s="42">
        <f>'D4 Gallon Forecast'!J94</f>
        <v>0</v>
      </c>
      <c r="K60" s="42">
        <f>'D4 Gallon Forecast'!K94</f>
        <v>0</v>
      </c>
      <c r="L60" s="42">
        <f>'D4 Gallon Forecast'!L94</f>
        <v>0</v>
      </c>
      <c r="M60" s="42">
        <f>'D4 Gallon Forecast'!M94</f>
        <v>0</v>
      </c>
      <c r="N60" s="42">
        <f>'D4 Gallon Forecast'!N94</f>
        <v>0</v>
      </c>
      <c r="O60" s="42">
        <f>'D4 Gallon Forecast'!O94</f>
        <v>0</v>
      </c>
      <c r="P60" s="42">
        <f>'D4 Gallon Forecast'!P94</f>
        <v>0</v>
      </c>
      <c r="Q60" s="43">
        <f>'D4 Gallon Forecast'!Q94</f>
        <v>0</v>
      </c>
      <c r="R60" s="43">
        <f>'D4 Gallon Forecast'!R94</f>
        <v>0</v>
      </c>
      <c r="S60" s="43">
        <f>'D4 Gallon Forecast'!S94</f>
        <v>0</v>
      </c>
      <c r="T60" s="43">
        <f>'D4 Gallon Forecast'!T94</f>
        <v>0</v>
      </c>
      <c r="U60" s="43">
        <f>'D4 Gallon Forecast'!U94</f>
        <v>0</v>
      </c>
      <c r="V60" s="43">
        <f>'D4 Gallon Forecast'!V94</f>
        <v>0</v>
      </c>
      <c r="W60" s="43">
        <f>'D4 Gallon Forecast'!W94</f>
        <v>0</v>
      </c>
      <c r="X60" s="43">
        <f>'D4 Gallon Forecast'!X94</f>
        <v>0</v>
      </c>
      <c r="Y60" s="43">
        <f>'D4 Gallon Forecast'!Y94</f>
        <v>0</v>
      </c>
      <c r="Z60" s="43">
        <f>'D4 Gallon Forecast'!Z94</f>
        <v>0</v>
      </c>
      <c r="AA60" s="43">
        <f>'D4 Gallon Forecast'!AA94</f>
        <v>0</v>
      </c>
      <c r="AB60" s="43">
        <f>'D4 Gallon Forecast'!AB94</f>
        <v>0</v>
      </c>
      <c r="AC60" s="43">
        <f>'D4 Gallon Forecast'!AC94</f>
        <v>0</v>
      </c>
      <c r="AD60" s="43">
        <f>'D4 Gallon Forecast'!AD94</f>
        <v>0</v>
      </c>
      <c r="AE60" s="43">
        <f>'D4 Gallon Forecast'!AE94</f>
        <v>0</v>
      </c>
      <c r="AF60" s="43">
        <f>'D4 Gallon Forecast'!AF94</f>
        <v>0</v>
      </c>
      <c r="AG60" s="43">
        <f>'D4 Gallon Forecast'!AG94</f>
        <v>0</v>
      </c>
      <c r="AH60" s="43">
        <f>'D4 Gallon Forecast'!AH94</f>
        <v>0</v>
      </c>
      <c r="AI60" s="43">
        <f>'D4 Gallon Forecast'!AI94</f>
        <v>0</v>
      </c>
      <c r="AJ60" s="43">
        <f>'D4 Gallon Forecast'!AJ94</f>
        <v>0</v>
      </c>
      <c r="AK60" s="43">
        <f>'D4 Gallon Forecast'!AK94</f>
        <v>0</v>
      </c>
      <c r="AL60" s="43">
        <f>'D4 Gallon Forecast'!AL94</f>
        <v>0</v>
      </c>
      <c r="AM60" s="43">
        <f>'D4 Gallon Forecast'!AM94</f>
        <v>0</v>
      </c>
      <c r="AN60" s="43">
        <f>'D4 Gallon Forecast'!AN94</f>
        <v>0</v>
      </c>
      <c r="AO60" s="43">
        <f>'D4 Gallon Forecast'!AO94</f>
        <v>0</v>
      </c>
      <c r="AP60" s="43">
        <f>'D4 Gallon Forecast'!AP94</f>
        <v>0</v>
      </c>
      <c r="AQ60" s="43">
        <f>'D4 Gallon Forecast'!AQ94</f>
        <v>1</v>
      </c>
      <c r="AR60" s="43"/>
      <c r="AU60" s="42">
        <f t="shared" si="24"/>
        <v>0</v>
      </c>
      <c r="AV60" s="42">
        <f t="shared" si="25"/>
        <v>0</v>
      </c>
      <c r="AW60" s="42">
        <f t="shared" si="26"/>
        <v>0</v>
      </c>
      <c r="AX60" s="42">
        <f>P60/31</f>
        <v>0</v>
      </c>
      <c r="AY60" s="42">
        <f>AU60/31</f>
        <v>0</v>
      </c>
      <c r="AZ60" s="42">
        <f t="shared" si="27"/>
        <v>0</v>
      </c>
    </row>
    <row r="61" spans="1:52">
      <c r="A61" s="40" t="s">
        <v>53</v>
      </c>
      <c r="B61" s="42">
        <f>'D4 Gallon Forecast'!B95</f>
        <v>0</v>
      </c>
      <c r="C61" s="42">
        <f>'D4 Gallon Forecast'!C95</f>
        <v>0</v>
      </c>
      <c r="D61" s="42">
        <f>'D4 Gallon Forecast'!D95</f>
        <v>0</v>
      </c>
      <c r="E61" s="42">
        <f>'D4 Gallon Forecast'!E95</f>
        <v>1279661</v>
      </c>
      <c r="F61" s="42">
        <f>'D4 Gallon Forecast'!F95</f>
        <v>0</v>
      </c>
      <c r="G61" s="42">
        <f>'D4 Gallon Forecast'!G95</f>
        <v>0</v>
      </c>
      <c r="H61" s="42">
        <f>'D4 Gallon Forecast'!H95</f>
        <v>0</v>
      </c>
      <c r="I61" s="42">
        <f>'D4 Gallon Forecast'!I95</f>
        <v>0</v>
      </c>
      <c r="J61" s="42">
        <f>'D4 Gallon Forecast'!J95</f>
        <v>0</v>
      </c>
      <c r="K61" s="42">
        <f>'D4 Gallon Forecast'!K95</f>
        <v>0</v>
      </c>
      <c r="L61" s="42">
        <f>'D4 Gallon Forecast'!L95</f>
        <v>0</v>
      </c>
      <c r="M61" s="42">
        <f>'D4 Gallon Forecast'!M95</f>
        <v>0</v>
      </c>
      <c r="N61" s="42">
        <f>'D4 Gallon Forecast'!N95</f>
        <v>0</v>
      </c>
      <c r="O61" s="42">
        <f>'D4 Gallon Forecast'!O95</f>
        <v>0</v>
      </c>
      <c r="P61" s="42">
        <f>'D4 Gallon Forecast'!P95</f>
        <v>0</v>
      </c>
      <c r="Q61" s="43">
        <f>'D4 Gallon Forecast'!Q95</f>
        <v>0</v>
      </c>
      <c r="R61" s="43">
        <f>'D4 Gallon Forecast'!R95</f>
        <v>0</v>
      </c>
      <c r="S61" s="43">
        <f>'D4 Gallon Forecast'!S95</f>
        <v>0</v>
      </c>
      <c r="T61" s="43">
        <f>'D4 Gallon Forecast'!T95</f>
        <v>0</v>
      </c>
      <c r="U61" s="43">
        <f>'D4 Gallon Forecast'!U95</f>
        <v>0</v>
      </c>
      <c r="V61" s="43">
        <f>'D4 Gallon Forecast'!V95</f>
        <v>0</v>
      </c>
      <c r="W61" s="43">
        <f>'D4 Gallon Forecast'!W95</f>
        <v>0</v>
      </c>
      <c r="X61" s="43">
        <f>'D4 Gallon Forecast'!X95</f>
        <v>0</v>
      </c>
      <c r="Y61" s="43">
        <f>'D4 Gallon Forecast'!Y95</f>
        <v>0</v>
      </c>
      <c r="Z61" s="43">
        <f>'D4 Gallon Forecast'!Z95</f>
        <v>0</v>
      </c>
      <c r="AA61" s="43">
        <f>'D4 Gallon Forecast'!AA95</f>
        <v>0</v>
      </c>
      <c r="AB61" s="43">
        <f>'D4 Gallon Forecast'!AB95</f>
        <v>0</v>
      </c>
      <c r="AC61" s="43">
        <f>'D4 Gallon Forecast'!AC95</f>
        <v>0</v>
      </c>
      <c r="AD61" s="43">
        <f>'D4 Gallon Forecast'!AD95</f>
        <v>0</v>
      </c>
      <c r="AE61" s="43">
        <f>'D4 Gallon Forecast'!AE95</f>
        <v>0</v>
      </c>
      <c r="AF61" s="43">
        <f>'D4 Gallon Forecast'!AF95</f>
        <v>0</v>
      </c>
      <c r="AG61" s="43">
        <f>'D4 Gallon Forecast'!AG95</f>
        <v>0</v>
      </c>
      <c r="AH61" s="43">
        <f>'D4 Gallon Forecast'!AH95</f>
        <v>0</v>
      </c>
      <c r="AI61" s="43">
        <f>'D4 Gallon Forecast'!AI95</f>
        <v>0</v>
      </c>
      <c r="AJ61" s="43">
        <f>'D4 Gallon Forecast'!AJ95</f>
        <v>0</v>
      </c>
      <c r="AK61" s="43">
        <f>'D4 Gallon Forecast'!AK95</f>
        <v>0</v>
      </c>
      <c r="AL61" s="43">
        <f>'D4 Gallon Forecast'!AL95</f>
        <v>0</v>
      </c>
      <c r="AM61" s="43">
        <f>'D4 Gallon Forecast'!AM95</f>
        <v>0</v>
      </c>
      <c r="AN61" s="43">
        <f>'D4 Gallon Forecast'!AN95</f>
        <v>0</v>
      </c>
      <c r="AO61" s="43">
        <f>'D4 Gallon Forecast'!AO95</f>
        <v>0</v>
      </c>
      <c r="AP61" s="43">
        <f>'D4 Gallon Forecast'!AP95</f>
        <v>0</v>
      </c>
      <c r="AQ61" s="43">
        <f>'D4 Gallon Forecast'!AQ95</f>
        <v>1</v>
      </c>
      <c r="AR61" s="43"/>
      <c r="AU61" s="42">
        <f t="shared" si="24"/>
        <v>0</v>
      </c>
      <c r="AV61" s="42">
        <f t="shared" si="25"/>
        <v>0</v>
      </c>
      <c r="AW61" s="42">
        <f t="shared" si="26"/>
        <v>0</v>
      </c>
      <c r="AX61" s="43">
        <f>P61/30</f>
        <v>0</v>
      </c>
      <c r="AY61" s="43">
        <f>AU61/30</f>
        <v>0</v>
      </c>
      <c r="AZ61" s="42">
        <f t="shared" si="27"/>
        <v>0</v>
      </c>
    </row>
    <row r="62" spans="1:52">
      <c r="A62" s="40" t="s">
        <v>54</v>
      </c>
      <c r="B62" s="42">
        <f>'D4 Gallon Forecast'!B96</f>
        <v>0</v>
      </c>
      <c r="C62" s="42">
        <f>'D4 Gallon Forecast'!C96</f>
        <v>0</v>
      </c>
      <c r="D62" s="42">
        <f>'D4 Gallon Forecast'!D96</f>
        <v>0</v>
      </c>
      <c r="E62" s="42">
        <f>'D4 Gallon Forecast'!E96</f>
        <v>0</v>
      </c>
      <c r="F62" s="42">
        <f>'D4 Gallon Forecast'!F96</f>
        <v>0</v>
      </c>
      <c r="G62" s="42">
        <f>'D4 Gallon Forecast'!G96</f>
        <v>0</v>
      </c>
      <c r="H62" s="42">
        <f>'D4 Gallon Forecast'!H96</f>
        <v>0</v>
      </c>
      <c r="I62" s="42">
        <f>'D4 Gallon Forecast'!I96</f>
        <v>0</v>
      </c>
      <c r="J62" s="42">
        <f>'D4 Gallon Forecast'!J96</f>
        <v>0</v>
      </c>
      <c r="K62" s="42">
        <f>'D4 Gallon Forecast'!K96</f>
        <v>0</v>
      </c>
      <c r="L62" s="42">
        <f>'D4 Gallon Forecast'!L96</f>
        <v>0</v>
      </c>
      <c r="M62" s="42">
        <f>'D4 Gallon Forecast'!M96</f>
        <v>0</v>
      </c>
      <c r="N62" s="42">
        <f>'D4 Gallon Forecast'!N96</f>
        <v>0</v>
      </c>
      <c r="O62" s="42">
        <f>'D4 Gallon Forecast'!O96</f>
        <v>0</v>
      </c>
      <c r="P62" s="42">
        <f>'D4 Gallon Forecast'!P96</f>
        <v>0</v>
      </c>
      <c r="Q62" s="43">
        <f>'D4 Gallon Forecast'!Q96</f>
        <v>0</v>
      </c>
      <c r="R62" s="43">
        <f>'D4 Gallon Forecast'!R96</f>
        <v>0</v>
      </c>
      <c r="S62" s="43">
        <f>'D4 Gallon Forecast'!S96</f>
        <v>0</v>
      </c>
      <c r="T62" s="43">
        <f>'D4 Gallon Forecast'!T96</f>
        <v>0</v>
      </c>
      <c r="U62" s="43">
        <f>'D4 Gallon Forecast'!U96</f>
        <v>0</v>
      </c>
      <c r="V62" s="43">
        <f>'D4 Gallon Forecast'!V96</f>
        <v>0</v>
      </c>
      <c r="W62" s="43">
        <f>'D4 Gallon Forecast'!W96</f>
        <v>0</v>
      </c>
      <c r="X62" s="43">
        <f>'D4 Gallon Forecast'!X96</f>
        <v>0</v>
      </c>
      <c r="Y62" s="43">
        <f>'D4 Gallon Forecast'!Y96</f>
        <v>0</v>
      </c>
      <c r="Z62" s="43">
        <f>'D4 Gallon Forecast'!Z96</f>
        <v>0</v>
      </c>
      <c r="AA62" s="43">
        <f>'D4 Gallon Forecast'!AA96</f>
        <v>0</v>
      </c>
      <c r="AB62" s="43">
        <f>'D4 Gallon Forecast'!AB96</f>
        <v>0</v>
      </c>
      <c r="AC62" s="43">
        <f>'D4 Gallon Forecast'!AC96</f>
        <v>0</v>
      </c>
      <c r="AD62" s="43">
        <f>'D4 Gallon Forecast'!AD96</f>
        <v>0</v>
      </c>
      <c r="AE62" s="43">
        <f>'D4 Gallon Forecast'!AE96</f>
        <v>0</v>
      </c>
      <c r="AF62" s="43">
        <f>'D4 Gallon Forecast'!AF96</f>
        <v>0</v>
      </c>
      <c r="AG62" s="43">
        <f>'D4 Gallon Forecast'!AG96</f>
        <v>0</v>
      </c>
      <c r="AH62" s="43">
        <f>'D4 Gallon Forecast'!AH96</f>
        <v>0</v>
      </c>
      <c r="AI62" s="43">
        <f>'D4 Gallon Forecast'!AI96</f>
        <v>0</v>
      </c>
      <c r="AJ62" s="43">
        <f>'D4 Gallon Forecast'!AJ96</f>
        <v>0</v>
      </c>
      <c r="AK62" s="43">
        <f>'D4 Gallon Forecast'!AK96</f>
        <v>0</v>
      </c>
      <c r="AL62" s="43">
        <f>'D4 Gallon Forecast'!AL96</f>
        <v>0</v>
      </c>
      <c r="AM62" s="43">
        <f>'D4 Gallon Forecast'!AM96</f>
        <v>0</v>
      </c>
      <c r="AN62" s="43">
        <f>'D4 Gallon Forecast'!AN96</f>
        <v>0</v>
      </c>
      <c r="AO62" s="43">
        <f>'D4 Gallon Forecast'!AO96</f>
        <v>0</v>
      </c>
      <c r="AP62" s="43">
        <f>'D4 Gallon Forecast'!AP96</f>
        <v>0</v>
      </c>
      <c r="AQ62" s="43">
        <f>'D4 Gallon Forecast'!AQ96</f>
        <v>1</v>
      </c>
      <c r="AR62" s="43"/>
      <c r="AU62" s="42">
        <f t="shared" si="24"/>
        <v>0</v>
      </c>
      <c r="AV62" s="42">
        <f t="shared" si="25"/>
        <v>0</v>
      </c>
      <c r="AW62" s="42">
        <f t="shared" si="26"/>
        <v>0</v>
      </c>
      <c r="AX62" s="43">
        <f>P62/31</f>
        <v>0</v>
      </c>
      <c r="AY62" s="43">
        <f>AU62/31</f>
        <v>0</v>
      </c>
      <c r="AZ62" s="42">
        <f t="shared" si="27"/>
        <v>0</v>
      </c>
    </row>
    <row r="63" spans="1:52" ht="12" thickBot="1">
      <c r="A63" s="48" t="s">
        <v>29</v>
      </c>
      <c r="B63" s="49">
        <f>SUM(B51:B62)</f>
        <v>0</v>
      </c>
      <c r="C63" s="49">
        <f t="shared" ref="C63:AQ63" si="28">SUM(C51:C62)</f>
        <v>0</v>
      </c>
      <c r="D63" s="49">
        <f t="shared" si="28"/>
        <v>6781908</v>
      </c>
      <c r="E63" s="49">
        <f t="shared" si="28"/>
        <v>2790763</v>
      </c>
      <c r="F63" s="49">
        <f t="shared" si="28"/>
        <v>0</v>
      </c>
      <c r="G63" s="49">
        <f t="shared" si="28"/>
        <v>0</v>
      </c>
      <c r="H63" s="49">
        <f t="shared" si="28"/>
        <v>0</v>
      </c>
      <c r="I63" s="49">
        <f t="shared" si="28"/>
        <v>0</v>
      </c>
      <c r="J63" s="49">
        <f t="shared" si="28"/>
        <v>0</v>
      </c>
      <c r="K63" s="49">
        <f t="shared" si="28"/>
        <v>0</v>
      </c>
      <c r="L63" s="49">
        <f t="shared" si="28"/>
        <v>0</v>
      </c>
      <c r="M63" s="49">
        <f t="shared" si="28"/>
        <v>0</v>
      </c>
      <c r="N63" s="49">
        <f t="shared" si="28"/>
        <v>0</v>
      </c>
      <c r="O63" s="49">
        <f t="shared" si="28"/>
        <v>0</v>
      </c>
      <c r="P63" s="49">
        <f t="shared" si="28"/>
        <v>0</v>
      </c>
      <c r="Q63" s="50">
        <f t="shared" si="28"/>
        <v>0</v>
      </c>
      <c r="R63" s="50">
        <f t="shared" si="28"/>
        <v>0</v>
      </c>
      <c r="S63" s="50">
        <f t="shared" si="28"/>
        <v>0</v>
      </c>
      <c r="T63" s="50">
        <f t="shared" si="28"/>
        <v>0</v>
      </c>
      <c r="U63" s="50">
        <f t="shared" si="28"/>
        <v>0</v>
      </c>
      <c r="V63" s="50">
        <f t="shared" si="28"/>
        <v>0</v>
      </c>
      <c r="W63" s="50">
        <f t="shared" si="28"/>
        <v>0</v>
      </c>
      <c r="X63" s="50">
        <f t="shared" si="28"/>
        <v>0</v>
      </c>
      <c r="Y63" s="50">
        <f t="shared" si="28"/>
        <v>0</v>
      </c>
      <c r="Z63" s="50">
        <f t="shared" si="28"/>
        <v>0</v>
      </c>
      <c r="AA63" s="50">
        <f t="shared" si="28"/>
        <v>0</v>
      </c>
      <c r="AB63" s="50">
        <f t="shared" si="28"/>
        <v>0</v>
      </c>
      <c r="AC63" s="50">
        <f t="shared" si="28"/>
        <v>0</v>
      </c>
      <c r="AD63" s="50">
        <f t="shared" si="28"/>
        <v>0</v>
      </c>
      <c r="AE63" s="50">
        <f t="shared" si="28"/>
        <v>0</v>
      </c>
      <c r="AF63" s="50">
        <f t="shared" si="28"/>
        <v>0</v>
      </c>
      <c r="AG63" s="50">
        <f t="shared" si="28"/>
        <v>0</v>
      </c>
      <c r="AH63" s="50">
        <f t="shared" si="28"/>
        <v>0</v>
      </c>
      <c r="AI63" s="50">
        <f t="shared" si="28"/>
        <v>0</v>
      </c>
      <c r="AJ63" s="50">
        <f t="shared" si="28"/>
        <v>0</v>
      </c>
      <c r="AK63" s="50">
        <f t="shared" si="28"/>
        <v>0</v>
      </c>
      <c r="AL63" s="50">
        <f t="shared" si="28"/>
        <v>0</v>
      </c>
      <c r="AM63" s="50">
        <f t="shared" si="28"/>
        <v>0</v>
      </c>
      <c r="AN63" s="50">
        <f t="shared" si="28"/>
        <v>0</v>
      </c>
      <c r="AO63" s="50">
        <f t="shared" si="28"/>
        <v>0</v>
      </c>
      <c r="AP63" s="50">
        <f t="shared" si="28"/>
        <v>0</v>
      </c>
      <c r="AQ63" s="50">
        <f t="shared" si="28"/>
        <v>12</v>
      </c>
      <c r="AR63" s="43"/>
      <c r="AU63" s="42">
        <f t="shared" si="24"/>
        <v>0</v>
      </c>
      <c r="AV63" s="42">
        <f t="shared" si="25"/>
        <v>0</v>
      </c>
    </row>
    <row r="64" spans="1:52">
      <c r="A64" s="51"/>
      <c r="B64" s="51"/>
      <c r="C64" s="51"/>
      <c r="D64" s="51"/>
      <c r="E64" s="51"/>
      <c r="F64" s="51"/>
      <c r="G64" s="51"/>
      <c r="H64" s="51"/>
      <c r="I64" s="51"/>
      <c r="J64" s="51"/>
      <c r="K64" s="51"/>
      <c r="L64" s="51"/>
      <c r="M64" s="52"/>
      <c r="N64" s="53"/>
      <c r="O64" s="54"/>
      <c r="P64" s="54"/>
      <c r="Q64" s="53"/>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row>
    <row r="65" spans="1:52" ht="12" thickBot="1">
      <c r="A65" s="39" t="s">
        <v>101</v>
      </c>
    </row>
    <row r="66" spans="1:52" ht="12" thickBot="1">
      <c r="A66" s="41"/>
      <c r="B66" s="41">
        <v>2010</v>
      </c>
      <c r="C66" s="41">
        <v>2011</v>
      </c>
      <c r="D66" s="41">
        <v>2012</v>
      </c>
      <c r="E66" s="41">
        <v>2013</v>
      </c>
      <c r="F66" s="41">
        <v>2014</v>
      </c>
      <c r="G66" s="41">
        <v>2015</v>
      </c>
      <c r="H66" s="41">
        <v>2016</v>
      </c>
      <c r="I66" s="41">
        <v>2017</v>
      </c>
      <c r="J66" s="41">
        <v>2018</v>
      </c>
      <c r="K66" s="41">
        <v>2019</v>
      </c>
      <c r="L66" s="41">
        <v>2020</v>
      </c>
      <c r="M66" s="41">
        <v>2021</v>
      </c>
      <c r="N66" s="41">
        <v>2022</v>
      </c>
      <c r="O66" s="41">
        <v>2023</v>
      </c>
      <c r="P66" s="41">
        <v>2024</v>
      </c>
      <c r="Q66" s="41">
        <v>2025</v>
      </c>
      <c r="R66" s="41">
        <v>2026</v>
      </c>
      <c r="S66" s="41">
        <v>2027</v>
      </c>
      <c r="T66" s="41">
        <v>2028</v>
      </c>
      <c r="U66" s="41">
        <v>2029</v>
      </c>
      <c r="V66" s="41">
        <v>2030</v>
      </c>
      <c r="W66" s="41">
        <v>2031</v>
      </c>
      <c r="X66" s="41">
        <v>2032</v>
      </c>
      <c r="Y66" s="41">
        <v>2033</v>
      </c>
      <c r="Z66" s="41">
        <v>2034</v>
      </c>
      <c r="AA66" s="41">
        <f>AA2</f>
        <v>2035</v>
      </c>
      <c r="AB66" s="41">
        <f t="shared" ref="AB66:AQ66" si="29">AB2</f>
        <v>2036</v>
      </c>
      <c r="AC66" s="41">
        <f t="shared" si="29"/>
        <v>2037</v>
      </c>
      <c r="AD66" s="41">
        <f t="shared" si="29"/>
        <v>2038</v>
      </c>
      <c r="AE66" s="41">
        <f t="shared" si="29"/>
        <v>2039</v>
      </c>
      <c r="AF66" s="41">
        <f t="shared" si="29"/>
        <v>2040</v>
      </c>
      <c r="AG66" s="41">
        <f t="shared" si="29"/>
        <v>2041</v>
      </c>
      <c r="AH66" s="41">
        <f t="shared" si="29"/>
        <v>2042</v>
      </c>
      <c r="AI66" s="41">
        <f t="shared" si="29"/>
        <v>2043</v>
      </c>
      <c r="AJ66" s="41">
        <f t="shared" si="29"/>
        <v>2044</v>
      </c>
      <c r="AK66" s="41">
        <f t="shared" si="29"/>
        <v>2045</v>
      </c>
      <c r="AL66" s="41">
        <f t="shared" si="29"/>
        <v>2046</v>
      </c>
      <c r="AM66" s="41">
        <f t="shared" si="29"/>
        <v>2047</v>
      </c>
      <c r="AN66" s="41">
        <f t="shared" si="29"/>
        <v>2048</v>
      </c>
      <c r="AO66" s="41">
        <f t="shared" si="29"/>
        <v>2049</v>
      </c>
      <c r="AP66" s="41">
        <f t="shared" si="29"/>
        <v>2050</v>
      </c>
      <c r="AQ66" s="41">
        <f t="shared" si="29"/>
        <v>2051</v>
      </c>
      <c r="AU66" s="40" t="s">
        <v>37</v>
      </c>
      <c r="AV66" s="40" t="s">
        <v>38</v>
      </c>
      <c r="AW66" s="40" t="s">
        <v>39</v>
      </c>
      <c r="AX66" s="40" t="s">
        <v>40</v>
      </c>
      <c r="AY66" s="40" t="s">
        <v>41</v>
      </c>
      <c r="AZ66" s="40" t="s">
        <v>38</v>
      </c>
    </row>
    <row r="67" spans="1:52">
      <c r="A67" s="40" t="s">
        <v>43</v>
      </c>
      <c r="B67" s="42">
        <f>B83+B99+B115</f>
        <v>0</v>
      </c>
      <c r="C67" s="42">
        <f t="shared" ref="C67:AQ74" si="30">C83+C99+C115</f>
        <v>4427855</v>
      </c>
      <c r="D67" s="42">
        <f t="shared" si="30"/>
        <v>4217364</v>
      </c>
      <c r="E67" s="42">
        <f t="shared" si="30"/>
        <v>8288468</v>
      </c>
      <c r="F67" s="42">
        <f t="shared" si="30"/>
        <v>43729400</v>
      </c>
      <c r="G67" s="42">
        <f t="shared" si="30"/>
        <v>47688011</v>
      </c>
      <c r="H67" s="42">
        <f t="shared" si="30"/>
        <v>37957269</v>
      </c>
      <c r="I67" s="42">
        <f t="shared" si="30"/>
        <v>49037230</v>
      </c>
      <c r="J67" s="42">
        <f t="shared" si="30"/>
        <v>45484451</v>
      </c>
      <c r="K67" s="42">
        <f t="shared" si="30"/>
        <v>63985073</v>
      </c>
      <c r="L67" s="42">
        <f t="shared" si="30"/>
        <v>71635475</v>
      </c>
      <c r="M67" s="42">
        <f t="shared" si="30"/>
        <v>86350733</v>
      </c>
      <c r="N67" s="42">
        <f t="shared" si="30"/>
        <v>121624245</v>
      </c>
      <c r="O67" s="42">
        <f t="shared" si="30"/>
        <v>190427086</v>
      </c>
      <c r="P67" s="42">
        <f t="shared" si="30"/>
        <v>254443224</v>
      </c>
      <c r="Q67" s="42">
        <f t="shared" si="30"/>
        <v>217367275</v>
      </c>
      <c r="R67" s="43">
        <f t="shared" si="30"/>
        <v>193181499.16097897</v>
      </c>
      <c r="S67" s="43">
        <f t="shared" si="30"/>
        <v>208210931.42950642</v>
      </c>
      <c r="T67" s="43">
        <f t="shared" si="30"/>
        <v>209670012.5683673</v>
      </c>
      <c r="U67" s="43">
        <f t="shared" si="30"/>
        <v>209044100.79624954</v>
      </c>
      <c r="V67" s="43">
        <f t="shared" si="30"/>
        <v>216290603.63427636</v>
      </c>
      <c r="W67" s="43">
        <f t="shared" si="30"/>
        <v>235289442.43496317</v>
      </c>
      <c r="X67" s="43">
        <f t="shared" si="30"/>
        <v>274891838.9908644</v>
      </c>
      <c r="Y67" s="43">
        <f t="shared" si="30"/>
        <v>272917197.4617393</v>
      </c>
      <c r="Z67" s="43">
        <f t="shared" si="30"/>
        <v>265136907.68228596</v>
      </c>
      <c r="AA67" s="43">
        <f t="shared" si="30"/>
        <v>280356081.6082927</v>
      </c>
      <c r="AB67" s="43">
        <f t="shared" si="30"/>
        <v>296558535.75807506</v>
      </c>
      <c r="AC67" s="43">
        <f t="shared" si="30"/>
        <v>335509228.61812633</v>
      </c>
      <c r="AD67" s="43">
        <f t="shared" si="30"/>
        <v>369777581.78066599</v>
      </c>
      <c r="AE67" s="43">
        <f t="shared" si="30"/>
        <v>371137844.56716853</v>
      </c>
      <c r="AF67" s="43">
        <f t="shared" si="30"/>
        <v>326905621.87677574</v>
      </c>
      <c r="AG67" s="43">
        <f t="shared" si="30"/>
        <v>345602230.92098677</v>
      </c>
      <c r="AH67" s="43">
        <f t="shared" si="30"/>
        <v>365119325.38409156</v>
      </c>
      <c r="AI67" s="43">
        <f t="shared" si="30"/>
        <v>396505620.14536232</v>
      </c>
      <c r="AJ67" s="43">
        <f t="shared" si="30"/>
        <v>404362644.04760289</v>
      </c>
      <c r="AK67" s="43">
        <f t="shared" si="30"/>
        <v>402094776.1240021</v>
      </c>
      <c r="AL67" s="43">
        <f t="shared" si="30"/>
        <v>383424184.34319645</v>
      </c>
      <c r="AM67" s="43">
        <f t="shared" si="30"/>
        <v>398904530.92206305</v>
      </c>
      <c r="AN67" s="43">
        <f t="shared" si="30"/>
        <v>413119435.08007497</v>
      </c>
      <c r="AO67" s="43">
        <f t="shared" si="30"/>
        <v>427960397.08454251</v>
      </c>
      <c r="AP67" s="43">
        <f t="shared" si="30"/>
        <v>446261062.14483416</v>
      </c>
      <c r="AQ67" s="43">
        <f t="shared" si="30"/>
        <v>461718326.33593106</v>
      </c>
      <c r="AR67" s="43"/>
      <c r="AS67" s="44">
        <f>O67/N78-1</f>
        <v>-3.239071716641051E-2</v>
      </c>
      <c r="AU67" s="42">
        <f t="shared" ref="AU67:AU79" si="31">AVERAGE(K67:O67)</f>
        <v>106804522.40000001</v>
      </c>
      <c r="AV67" s="42">
        <f t="shared" ref="AV67:AV79" si="32">P67-AU67</f>
        <v>147638701.59999999</v>
      </c>
      <c r="AW67" s="42">
        <f t="shared" ref="AW67:AW78" si="33">P67-O67</f>
        <v>64016138</v>
      </c>
      <c r="AX67" s="42">
        <f>P67/31</f>
        <v>8207845.935483871</v>
      </c>
      <c r="AY67" s="42">
        <f>AU67/31</f>
        <v>3445307.1741935485</v>
      </c>
      <c r="AZ67" s="42">
        <f>AX67-AY67</f>
        <v>4762538.761290323</v>
      </c>
    </row>
    <row r="68" spans="1:52">
      <c r="A68" s="40" t="s">
        <v>44</v>
      </c>
      <c r="B68" s="42">
        <f t="shared" ref="B68:Q78" si="34">B84+B100+B116</f>
        <v>0</v>
      </c>
      <c r="C68" s="42">
        <f t="shared" si="34"/>
        <v>962206</v>
      </c>
      <c r="D68" s="42">
        <f t="shared" si="34"/>
        <v>3189484</v>
      </c>
      <c r="E68" s="42">
        <f t="shared" si="34"/>
        <v>3698582</v>
      </c>
      <c r="F68" s="42">
        <f t="shared" si="34"/>
        <v>48246869</v>
      </c>
      <c r="G68" s="42">
        <f t="shared" si="34"/>
        <v>39084630</v>
      </c>
      <c r="H68" s="42">
        <f t="shared" si="34"/>
        <v>31785058</v>
      </c>
      <c r="I68" s="42">
        <f t="shared" si="34"/>
        <v>45287792</v>
      </c>
      <c r="J68" s="42">
        <f t="shared" si="34"/>
        <v>49900842</v>
      </c>
      <c r="K68" s="42">
        <f t="shared" si="34"/>
        <v>73560362</v>
      </c>
      <c r="L68" s="42">
        <f t="shared" si="34"/>
        <v>77967184</v>
      </c>
      <c r="M68" s="42">
        <f t="shared" si="30"/>
        <v>86313832</v>
      </c>
      <c r="N68" s="42">
        <f t="shared" si="30"/>
        <v>134950078</v>
      </c>
      <c r="O68" s="42">
        <f t="shared" si="30"/>
        <v>174452545</v>
      </c>
      <c r="P68" s="42">
        <f t="shared" si="30"/>
        <v>286287459</v>
      </c>
      <c r="Q68" s="42">
        <f t="shared" si="30"/>
        <v>186102792</v>
      </c>
      <c r="R68" s="43">
        <f t="shared" si="30"/>
        <v>212389617.16182414</v>
      </c>
      <c r="S68" s="43">
        <f t="shared" si="30"/>
        <v>230457573.9423365</v>
      </c>
      <c r="T68" s="43">
        <f t="shared" si="30"/>
        <v>232671322.50613174</v>
      </c>
      <c r="U68" s="43">
        <f t="shared" si="30"/>
        <v>234224703.43683922</v>
      </c>
      <c r="V68" s="43">
        <f t="shared" si="30"/>
        <v>238194847.63875645</v>
      </c>
      <c r="W68" s="43">
        <f t="shared" si="30"/>
        <v>259423153.3839336</v>
      </c>
      <c r="X68" s="43">
        <f t="shared" si="30"/>
        <v>302889946.81921864</v>
      </c>
      <c r="Y68" s="43">
        <f t="shared" si="30"/>
        <v>300657440.6656692</v>
      </c>
      <c r="Z68" s="43">
        <f t="shared" si="30"/>
        <v>291846911.91619205</v>
      </c>
      <c r="AA68" s="43">
        <f t="shared" si="30"/>
        <v>308030024.08649307</v>
      </c>
      <c r="AB68" s="43">
        <f t="shared" si="30"/>
        <v>324649954.62438333</v>
      </c>
      <c r="AC68" s="43">
        <f t="shared" si="30"/>
        <v>366988263.15145838</v>
      </c>
      <c r="AD68" s="43">
        <f t="shared" si="30"/>
        <v>404450259.5098719</v>
      </c>
      <c r="AE68" s="43">
        <f t="shared" si="30"/>
        <v>405595358.79428613</v>
      </c>
      <c r="AF68" s="43">
        <f t="shared" si="30"/>
        <v>356710726.2525351</v>
      </c>
      <c r="AG68" s="43">
        <f t="shared" si="30"/>
        <v>377345571.57696867</v>
      </c>
      <c r="AH68" s="43">
        <f t="shared" si="30"/>
        <v>398667091.17784488</v>
      </c>
      <c r="AI68" s="43">
        <f t="shared" si="30"/>
        <v>432908814.62386805</v>
      </c>
      <c r="AJ68" s="43">
        <f t="shared" si="30"/>
        <v>441438979.52728498</v>
      </c>
      <c r="AK68" s="43">
        <f t="shared" si="30"/>
        <v>438929522.1031791</v>
      </c>
      <c r="AL68" s="43">
        <f t="shared" si="30"/>
        <v>418382059.38274944</v>
      </c>
      <c r="AM68" s="43">
        <f t="shared" si="30"/>
        <v>435542066.72198981</v>
      </c>
      <c r="AN68" s="43">
        <f t="shared" si="30"/>
        <v>451028638.40074748</v>
      </c>
      <c r="AO68" s="43">
        <f t="shared" si="30"/>
        <v>467198259.344284</v>
      </c>
      <c r="AP68" s="43">
        <f t="shared" si="30"/>
        <v>487318162.01700509</v>
      </c>
      <c r="AQ68" s="43">
        <f t="shared" si="30"/>
        <v>509842013.35052747</v>
      </c>
      <c r="AR68" s="43"/>
      <c r="AS68" s="44">
        <f t="shared" ref="AS68:AS78" si="35">O68/O67-1</f>
        <v>-8.3887966441916761E-2</v>
      </c>
      <c r="AU68" s="42">
        <f t="shared" si="31"/>
        <v>109448800.2</v>
      </c>
      <c r="AV68" s="42">
        <f t="shared" si="32"/>
        <v>176838658.80000001</v>
      </c>
      <c r="AW68" s="42">
        <f t="shared" si="33"/>
        <v>111834914</v>
      </c>
      <c r="AX68" s="42">
        <f>P68/28</f>
        <v>10224552.107142856</v>
      </c>
      <c r="AY68" s="42">
        <f>AU68/28</f>
        <v>3908885.7214285717</v>
      </c>
      <c r="AZ68" s="42">
        <f t="shared" ref="AZ68:AZ78" si="36">AX68-AY68</f>
        <v>6315666.3857142851</v>
      </c>
    </row>
    <row r="69" spans="1:52">
      <c r="A69" s="40" t="s">
        <v>45</v>
      </c>
      <c r="B69" s="42">
        <f t="shared" si="34"/>
        <v>0</v>
      </c>
      <c r="C69" s="42">
        <f t="shared" si="34"/>
        <v>3151383</v>
      </c>
      <c r="D69" s="42">
        <f t="shared" si="34"/>
        <v>8472698</v>
      </c>
      <c r="E69" s="42">
        <f t="shared" si="34"/>
        <v>19820780</v>
      </c>
      <c r="F69" s="42">
        <f t="shared" si="34"/>
        <v>50722783</v>
      </c>
      <c r="G69" s="42">
        <f t="shared" si="34"/>
        <v>42174620</v>
      </c>
      <c r="H69" s="42">
        <f t="shared" si="34"/>
        <v>43863835</v>
      </c>
      <c r="I69" s="42">
        <f t="shared" si="34"/>
        <v>46734971</v>
      </c>
      <c r="J69" s="42">
        <f t="shared" si="34"/>
        <v>53513601</v>
      </c>
      <c r="K69" s="42">
        <f t="shared" si="34"/>
        <v>68688651</v>
      </c>
      <c r="L69" s="42">
        <f t="shared" si="34"/>
        <v>88922442</v>
      </c>
      <c r="M69" s="42">
        <f t="shared" si="30"/>
        <v>105792108</v>
      </c>
      <c r="N69" s="42">
        <f t="shared" si="30"/>
        <v>153067762</v>
      </c>
      <c r="O69" s="42">
        <f t="shared" si="30"/>
        <v>225203052</v>
      </c>
      <c r="P69" s="42">
        <f t="shared" si="30"/>
        <v>241870817</v>
      </c>
      <c r="Q69" s="42">
        <f t="shared" si="30"/>
        <v>249510512</v>
      </c>
      <c r="R69" s="43">
        <f t="shared" si="30"/>
        <v>224951878.23023364</v>
      </c>
      <c r="S69" s="43">
        <f t="shared" si="30"/>
        <v>243373110.19513106</v>
      </c>
      <c r="T69" s="43">
        <f t="shared" si="30"/>
        <v>245262218.50729582</v>
      </c>
      <c r="U69" s="43">
        <f t="shared" si="30"/>
        <v>244535759.57596314</v>
      </c>
      <c r="V69" s="43">
        <f t="shared" si="30"/>
        <v>253686994.71064997</v>
      </c>
      <c r="W69" s="43">
        <f t="shared" si="30"/>
        <v>274915278.46285599</v>
      </c>
      <c r="X69" s="43">
        <f t="shared" si="30"/>
        <v>321211525.90225631</v>
      </c>
      <c r="Y69" s="43">
        <f t="shared" si="30"/>
        <v>318946029.27517045</v>
      </c>
      <c r="Z69" s="43">
        <f t="shared" si="30"/>
        <v>309917824.35897535</v>
      </c>
      <c r="AA69" s="43">
        <f t="shared" si="30"/>
        <v>327723337.98330611</v>
      </c>
      <c r="AB69" s="43">
        <f t="shared" si="30"/>
        <v>346045787.79600257</v>
      </c>
      <c r="AC69" s="43">
        <f t="shared" si="30"/>
        <v>391295188.10411924</v>
      </c>
      <c r="AD69" s="43">
        <f t="shared" si="30"/>
        <v>431245207.93218821</v>
      </c>
      <c r="AE69" s="43">
        <f t="shared" si="30"/>
        <v>432993752.59428614</v>
      </c>
      <c r="AF69" s="43">
        <f t="shared" si="30"/>
        <v>381631975.93201959</v>
      </c>
      <c r="AG69" s="43">
        <f t="shared" si="30"/>
        <v>403324013.45739669</v>
      </c>
      <c r="AH69" s="43">
        <f t="shared" si="30"/>
        <v>426088352.96031904</v>
      </c>
      <c r="AI69" s="43">
        <f t="shared" si="30"/>
        <v>462690748.35818815</v>
      </c>
      <c r="AJ69" s="43">
        <f t="shared" si="30"/>
        <v>471869681.14400589</v>
      </c>
      <c r="AK69" s="43">
        <f t="shared" si="30"/>
        <v>469229658.43789721</v>
      </c>
      <c r="AL69" s="43">
        <f t="shared" si="30"/>
        <v>447527994.51406085</v>
      </c>
      <c r="AM69" s="43">
        <f t="shared" si="30"/>
        <v>465472782.95512861</v>
      </c>
      <c r="AN69" s="43">
        <f t="shared" si="30"/>
        <v>482064918.62518591</v>
      </c>
      <c r="AO69" s="43">
        <f t="shared" si="30"/>
        <v>499379726.63337648</v>
      </c>
      <c r="AP69" s="43">
        <f t="shared" si="30"/>
        <v>520650979.47626299</v>
      </c>
      <c r="AQ69" s="43">
        <f t="shared" si="30"/>
        <v>536443013.50455958</v>
      </c>
      <c r="AR69" s="43"/>
      <c r="AS69" s="44">
        <f t="shared" si="35"/>
        <v>0.29091296432505476</v>
      </c>
      <c r="AU69" s="42">
        <f t="shared" si="31"/>
        <v>128334803</v>
      </c>
      <c r="AV69" s="42">
        <f t="shared" si="32"/>
        <v>113536014</v>
      </c>
      <c r="AW69" s="42">
        <f t="shared" si="33"/>
        <v>16667765</v>
      </c>
      <c r="AX69" s="42">
        <f>P69/31</f>
        <v>7802284.4193548383</v>
      </c>
      <c r="AY69" s="42">
        <f>AU69/31</f>
        <v>4139832.3548387098</v>
      </c>
      <c r="AZ69" s="42">
        <f t="shared" si="36"/>
        <v>3662452.0645161285</v>
      </c>
    </row>
    <row r="70" spans="1:52">
      <c r="A70" s="40" t="s">
        <v>46</v>
      </c>
      <c r="B70" s="42">
        <f t="shared" si="34"/>
        <v>0</v>
      </c>
      <c r="C70" s="42">
        <f t="shared" si="34"/>
        <v>1966907</v>
      </c>
      <c r="D70" s="42">
        <f t="shared" si="34"/>
        <v>4201229</v>
      </c>
      <c r="E70" s="42">
        <f t="shared" si="34"/>
        <v>10263783</v>
      </c>
      <c r="F70" s="42">
        <f t="shared" si="34"/>
        <v>52170893</v>
      </c>
      <c r="G70" s="42">
        <f t="shared" si="34"/>
        <v>43204824</v>
      </c>
      <c r="H70" s="42">
        <f t="shared" si="34"/>
        <v>55648397</v>
      </c>
      <c r="I70" s="42">
        <f t="shared" si="34"/>
        <v>49293215</v>
      </c>
      <c r="J70" s="42">
        <f t="shared" si="34"/>
        <v>57504437</v>
      </c>
      <c r="K70" s="42">
        <f t="shared" si="34"/>
        <v>74269738</v>
      </c>
      <c r="L70" s="42">
        <f t="shared" si="34"/>
        <v>72782260</v>
      </c>
      <c r="M70" s="42">
        <f t="shared" si="30"/>
        <v>93720419</v>
      </c>
      <c r="N70" s="42">
        <f t="shared" si="30"/>
        <v>149772234</v>
      </c>
      <c r="O70" s="42">
        <f t="shared" si="30"/>
        <v>218119219</v>
      </c>
      <c r="P70" s="42">
        <f t="shared" si="30"/>
        <v>310817021</v>
      </c>
      <c r="Q70" s="43">
        <f t="shared" si="30"/>
        <v>220115253.31168392</v>
      </c>
      <c r="R70" s="43">
        <f t="shared" si="30"/>
        <v>218980233.49741507</v>
      </c>
      <c r="S70" s="43">
        <f t="shared" si="30"/>
        <v>237048773.26988927</v>
      </c>
      <c r="T70" s="43">
        <f t="shared" si="30"/>
        <v>238206833.21727109</v>
      </c>
      <c r="U70" s="43">
        <f t="shared" si="30"/>
        <v>238131368.61841294</v>
      </c>
      <c r="V70" s="43">
        <f t="shared" si="30"/>
        <v>246832798.02673337</v>
      </c>
      <c r="W70" s="43">
        <f t="shared" si="30"/>
        <v>266281513.01506719</v>
      </c>
      <c r="X70" s="43">
        <f t="shared" si="30"/>
        <v>310624565.23897058</v>
      </c>
      <c r="Y70" s="43">
        <f t="shared" si="30"/>
        <v>308242671.24849033</v>
      </c>
      <c r="Z70" s="43">
        <f t="shared" si="30"/>
        <v>299301132.87846524</v>
      </c>
      <c r="AA70" s="43">
        <f t="shared" si="30"/>
        <v>316295303.27100199</v>
      </c>
      <c r="AB70" s="43">
        <f t="shared" si="30"/>
        <v>332652324.1366474</v>
      </c>
      <c r="AC70" s="43">
        <f t="shared" si="30"/>
        <v>375868358.92140484</v>
      </c>
      <c r="AD70" s="43">
        <f t="shared" si="30"/>
        <v>414201836.63500535</v>
      </c>
      <c r="AE70" s="43">
        <f t="shared" si="30"/>
        <v>415452561.3871665</v>
      </c>
      <c r="AF70" s="43">
        <f t="shared" si="30"/>
        <v>365577164.27687973</v>
      </c>
      <c r="AG70" s="43">
        <f t="shared" si="30"/>
        <v>386582557.02300364</v>
      </c>
      <c r="AH70" s="43">
        <f t="shared" si="30"/>
        <v>408413339.61641747</v>
      </c>
      <c r="AI70" s="43">
        <f t="shared" si="30"/>
        <v>443482418.12385654</v>
      </c>
      <c r="AJ70" s="43">
        <f t="shared" si="30"/>
        <v>452236189.88822293</v>
      </c>
      <c r="AK70" s="43">
        <f t="shared" si="30"/>
        <v>449680056.43003821</v>
      </c>
      <c r="AL70" s="43">
        <f t="shared" si="30"/>
        <v>428632014.94805425</v>
      </c>
      <c r="AM70" s="43">
        <f t="shared" si="30"/>
        <v>446169730.51190948</v>
      </c>
      <c r="AN70" s="43">
        <f t="shared" si="30"/>
        <v>462038516.13114172</v>
      </c>
      <c r="AO70" s="43">
        <f t="shared" si="30"/>
        <v>478608979.24719352</v>
      </c>
      <c r="AP70" s="43">
        <f t="shared" si="30"/>
        <v>499196870.93034035</v>
      </c>
      <c r="AQ70" s="43">
        <f t="shared" si="30"/>
        <v>521552388.4316659</v>
      </c>
      <c r="AR70" s="43"/>
      <c r="AS70" s="44">
        <f t="shared" si="35"/>
        <v>-3.145531526810752E-2</v>
      </c>
      <c r="AU70" s="42">
        <f t="shared" si="31"/>
        <v>121732774</v>
      </c>
      <c r="AV70" s="42">
        <f t="shared" si="32"/>
        <v>189084247</v>
      </c>
      <c r="AW70" s="42">
        <f t="shared" si="33"/>
        <v>92697802</v>
      </c>
      <c r="AX70" s="42">
        <f>P70/30</f>
        <v>10360567.366666667</v>
      </c>
      <c r="AY70" s="42">
        <f>AU70/30</f>
        <v>4057759.1333333333</v>
      </c>
      <c r="AZ70" s="42">
        <f t="shared" si="36"/>
        <v>6302808.2333333343</v>
      </c>
    </row>
    <row r="71" spans="1:52">
      <c r="A71" s="40" t="s">
        <v>47</v>
      </c>
      <c r="B71" s="42">
        <f t="shared" si="34"/>
        <v>0</v>
      </c>
      <c r="C71" s="42">
        <f t="shared" si="34"/>
        <v>7525643</v>
      </c>
      <c r="D71" s="42">
        <f t="shared" si="34"/>
        <v>7203882</v>
      </c>
      <c r="E71" s="42">
        <f t="shared" si="34"/>
        <v>26239954</v>
      </c>
      <c r="F71" s="42">
        <f t="shared" si="34"/>
        <v>45476771</v>
      </c>
      <c r="G71" s="42">
        <f t="shared" si="34"/>
        <v>45749085</v>
      </c>
      <c r="H71" s="42">
        <f t="shared" si="34"/>
        <v>52952774</v>
      </c>
      <c r="I71" s="42">
        <f t="shared" si="34"/>
        <v>55225042</v>
      </c>
      <c r="J71" s="42">
        <f t="shared" si="34"/>
        <v>53222281</v>
      </c>
      <c r="K71" s="42">
        <f t="shared" si="34"/>
        <v>77006509</v>
      </c>
      <c r="L71" s="42">
        <f t="shared" si="34"/>
        <v>82217617</v>
      </c>
      <c r="M71" s="42">
        <f t="shared" si="30"/>
        <v>98324892</v>
      </c>
      <c r="N71" s="42">
        <f t="shared" si="30"/>
        <v>181011441</v>
      </c>
      <c r="O71" s="42">
        <f t="shared" si="30"/>
        <v>285023849</v>
      </c>
      <c r="P71" s="42">
        <f t="shared" si="30"/>
        <v>250083449</v>
      </c>
      <c r="Q71" s="43">
        <f t="shared" si="30"/>
        <v>218847370.46092188</v>
      </c>
      <c r="R71" s="43">
        <f t="shared" si="30"/>
        <v>243154130.73095253</v>
      </c>
      <c r="S71" s="43">
        <f t="shared" si="30"/>
        <v>264807893.43226665</v>
      </c>
      <c r="T71" s="43">
        <f t="shared" si="30"/>
        <v>266076699.4446004</v>
      </c>
      <c r="U71" s="43">
        <f t="shared" si="30"/>
        <v>264828160.19738841</v>
      </c>
      <c r="V71" s="43">
        <f t="shared" si="30"/>
        <v>275271341.06847703</v>
      </c>
      <c r="W71" s="43">
        <f t="shared" si="30"/>
        <v>296939393.16302729</v>
      </c>
      <c r="X71" s="43">
        <f t="shared" si="30"/>
        <v>346628722.31404471</v>
      </c>
      <c r="Y71" s="43">
        <f t="shared" si="30"/>
        <v>343859404.36038995</v>
      </c>
      <c r="Z71" s="43">
        <f t="shared" si="30"/>
        <v>333788418.27522588</v>
      </c>
      <c r="AA71" s="43">
        <f t="shared" si="30"/>
        <v>352882492.94488353</v>
      </c>
      <c r="AB71" s="43">
        <f t="shared" si="30"/>
        <v>371338404.40107828</v>
      </c>
      <c r="AC71" s="43">
        <f t="shared" si="30"/>
        <v>419648795.89503849</v>
      </c>
      <c r="AD71" s="43">
        <f t="shared" si="30"/>
        <v>462439764.01558679</v>
      </c>
      <c r="AE71" s="43">
        <f t="shared" si="30"/>
        <v>463807035.28719461</v>
      </c>
      <c r="AF71" s="43">
        <f t="shared" si="30"/>
        <v>408109893.14216942</v>
      </c>
      <c r="AG71" s="43">
        <f t="shared" si="30"/>
        <v>431570037.23122191</v>
      </c>
      <c r="AH71" s="43">
        <f t="shared" si="30"/>
        <v>455949237.07643175</v>
      </c>
      <c r="AI71" s="43">
        <f t="shared" si="30"/>
        <v>495105864.74131221</v>
      </c>
      <c r="AJ71" s="43">
        <f t="shared" si="30"/>
        <v>504878602.59603202</v>
      </c>
      <c r="AK71" s="43">
        <f t="shared" si="30"/>
        <v>502026940.98117381</v>
      </c>
      <c r="AL71" s="43">
        <f t="shared" si="30"/>
        <v>478515853.37996608</v>
      </c>
      <c r="AM71" s="43">
        <f t="shared" si="30"/>
        <v>498110922.94592071</v>
      </c>
      <c r="AN71" s="43">
        <f t="shared" si="30"/>
        <v>515827789.59293139</v>
      </c>
      <c r="AO71" s="43">
        <f t="shared" si="30"/>
        <v>534328324.85490304</v>
      </c>
      <c r="AP71" s="43">
        <f t="shared" si="30"/>
        <v>557326258.06358731</v>
      </c>
      <c r="AQ71" s="43">
        <f t="shared" si="30"/>
        <v>582533629.56062019</v>
      </c>
      <c r="AR71" s="43"/>
      <c r="AS71" s="45">
        <f t="shared" si="35"/>
        <v>0.30673422684499885</v>
      </c>
      <c r="AU71" s="42">
        <f t="shared" si="31"/>
        <v>144716861.59999999</v>
      </c>
      <c r="AV71" s="42">
        <f t="shared" si="32"/>
        <v>105366587.40000001</v>
      </c>
      <c r="AW71" s="42">
        <f t="shared" si="33"/>
        <v>-34940400</v>
      </c>
      <c r="AX71" s="42">
        <f>P71/31</f>
        <v>8067208.0322580645</v>
      </c>
      <c r="AY71" s="42">
        <f>AU71/31</f>
        <v>4668285.8580645155</v>
      </c>
      <c r="AZ71" s="42">
        <f t="shared" si="36"/>
        <v>3398922.174193549</v>
      </c>
    </row>
    <row r="72" spans="1:52">
      <c r="A72" s="40" t="s">
        <v>48</v>
      </c>
      <c r="B72" s="42">
        <f t="shared" si="34"/>
        <v>0</v>
      </c>
      <c r="C72" s="42">
        <f t="shared" si="34"/>
        <v>4563727</v>
      </c>
      <c r="D72" s="42">
        <f t="shared" si="34"/>
        <v>6282828</v>
      </c>
      <c r="E72" s="42">
        <f t="shared" si="34"/>
        <v>35619174</v>
      </c>
      <c r="F72" s="42">
        <f t="shared" si="34"/>
        <v>47738773</v>
      </c>
      <c r="G72" s="42">
        <f t="shared" si="34"/>
        <v>42189925</v>
      </c>
      <c r="H72" s="42">
        <f t="shared" si="34"/>
        <v>52274134</v>
      </c>
      <c r="I72" s="42">
        <f t="shared" si="34"/>
        <v>45475641</v>
      </c>
      <c r="J72" s="42">
        <f t="shared" si="34"/>
        <v>41195287</v>
      </c>
      <c r="K72" s="42">
        <f t="shared" si="34"/>
        <v>75506393</v>
      </c>
      <c r="L72" s="42">
        <f t="shared" si="34"/>
        <v>75035144</v>
      </c>
      <c r="M72" s="42">
        <f t="shared" si="30"/>
        <v>113540847</v>
      </c>
      <c r="N72" s="42">
        <f t="shared" si="30"/>
        <v>150906797</v>
      </c>
      <c r="O72" s="42">
        <f t="shared" si="30"/>
        <v>240899310</v>
      </c>
      <c r="P72" s="42">
        <f t="shared" si="30"/>
        <v>339060733</v>
      </c>
      <c r="Q72" s="43">
        <f t="shared" si="30"/>
        <v>215888951.17585048</v>
      </c>
      <c r="R72" s="43">
        <f t="shared" si="30"/>
        <v>245015874.1563772</v>
      </c>
      <c r="S72" s="43">
        <f t="shared" si="30"/>
        <v>266080968.33836031</v>
      </c>
      <c r="T72" s="43">
        <f t="shared" si="30"/>
        <v>270143642.10952151</v>
      </c>
      <c r="U72" s="43">
        <f t="shared" si="30"/>
        <v>271349773.96685439</v>
      </c>
      <c r="V72" s="43">
        <f t="shared" si="30"/>
        <v>277636296.47822958</v>
      </c>
      <c r="W72" s="43">
        <f t="shared" si="30"/>
        <v>299754622.66516441</v>
      </c>
      <c r="X72" s="43">
        <f t="shared" si="30"/>
        <v>349405135.06311095</v>
      </c>
      <c r="Y72" s="43">
        <f t="shared" si="30"/>
        <v>347079107.96188802</v>
      </c>
      <c r="Z72" s="43">
        <f t="shared" si="30"/>
        <v>337086326.80492342</v>
      </c>
      <c r="AA72" s="43">
        <f t="shared" si="30"/>
        <v>355753080.35489345</v>
      </c>
      <c r="AB72" s="43">
        <f t="shared" si="30"/>
        <v>372791574.18212301</v>
      </c>
      <c r="AC72" s="43">
        <f t="shared" si="30"/>
        <v>420683293.77190733</v>
      </c>
      <c r="AD72" s="43">
        <f t="shared" si="30"/>
        <v>463606769.57628626</v>
      </c>
      <c r="AE72" s="43">
        <f t="shared" si="30"/>
        <v>465347839.78467858</v>
      </c>
      <c r="AF72" s="43">
        <f t="shared" si="30"/>
        <v>409987981.41540688</v>
      </c>
      <c r="AG72" s="43">
        <f t="shared" si="30"/>
        <v>433314735.74472976</v>
      </c>
      <c r="AH72" s="43">
        <f t="shared" si="30"/>
        <v>457751570.20725185</v>
      </c>
      <c r="AI72" s="43">
        <f t="shared" si="30"/>
        <v>496983654.1449759</v>
      </c>
      <c r="AJ72" s="43">
        <f t="shared" si="30"/>
        <v>506795718.07798511</v>
      </c>
      <c r="AK72" s="43">
        <f t="shared" si="30"/>
        <v>503939065.79216069</v>
      </c>
      <c r="AL72" s="43">
        <f t="shared" si="30"/>
        <v>480611957.90786779</v>
      </c>
      <c r="AM72" s="43">
        <f t="shared" si="30"/>
        <v>499957191.42206717</v>
      </c>
      <c r="AN72" s="43">
        <f t="shared" si="30"/>
        <v>517737457.47255903</v>
      </c>
      <c r="AO72" s="43">
        <f t="shared" si="30"/>
        <v>536277740.282691</v>
      </c>
      <c r="AP72" s="43">
        <f t="shared" si="30"/>
        <v>559127648.17762625</v>
      </c>
      <c r="AQ72" s="43">
        <f t="shared" si="30"/>
        <v>578432391.77784133</v>
      </c>
      <c r="AR72" s="43"/>
      <c r="AS72" s="45">
        <f t="shared" si="35"/>
        <v>-0.15480998925111</v>
      </c>
      <c r="AU72" s="42">
        <f t="shared" si="31"/>
        <v>131177698.2</v>
      </c>
      <c r="AV72" s="42">
        <f t="shared" si="32"/>
        <v>207883034.80000001</v>
      </c>
      <c r="AW72" s="42">
        <f t="shared" si="33"/>
        <v>98161423</v>
      </c>
      <c r="AX72" s="42">
        <f>P72/30</f>
        <v>11302024.433333334</v>
      </c>
      <c r="AY72" s="42">
        <f>AU72/30</f>
        <v>4372589.9400000004</v>
      </c>
      <c r="AZ72" s="42">
        <f t="shared" si="36"/>
        <v>6929434.4933333332</v>
      </c>
    </row>
    <row r="73" spans="1:52">
      <c r="A73" s="40" t="s">
        <v>49</v>
      </c>
      <c r="B73" s="42">
        <f t="shared" si="34"/>
        <v>314992</v>
      </c>
      <c r="C73" s="42">
        <f t="shared" si="34"/>
        <v>6466366</v>
      </c>
      <c r="D73" s="42">
        <f t="shared" si="34"/>
        <v>9363985</v>
      </c>
      <c r="E73" s="42">
        <f t="shared" si="34"/>
        <v>56167716</v>
      </c>
      <c r="F73" s="42">
        <f t="shared" si="34"/>
        <v>52561093</v>
      </c>
      <c r="G73" s="42">
        <f t="shared" si="34"/>
        <v>45828690</v>
      </c>
      <c r="H73" s="42">
        <f t="shared" si="34"/>
        <v>50243696</v>
      </c>
      <c r="I73" s="42">
        <f t="shared" si="34"/>
        <v>50449779</v>
      </c>
      <c r="J73" s="42">
        <f t="shared" si="34"/>
        <v>40227889</v>
      </c>
      <c r="K73" s="42">
        <f t="shared" si="34"/>
        <v>83175966</v>
      </c>
      <c r="L73" s="42">
        <f t="shared" si="34"/>
        <v>68609885</v>
      </c>
      <c r="M73" s="42">
        <f t="shared" si="30"/>
        <v>71309031</v>
      </c>
      <c r="N73" s="42">
        <f t="shared" si="30"/>
        <v>124221262</v>
      </c>
      <c r="O73" s="42">
        <f t="shared" si="30"/>
        <v>229946682</v>
      </c>
      <c r="P73" s="42">
        <f t="shared" si="30"/>
        <v>339709789</v>
      </c>
      <c r="Q73" s="43">
        <f t="shared" si="30"/>
        <v>206688610.82341814</v>
      </c>
      <c r="R73" s="43">
        <f t="shared" si="30"/>
        <v>225826456.24829343</v>
      </c>
      <c r="S73" s="43">
        <f t="shared" si="30"/>
        <v>249366474.51923135</v>
      </c>
      <c r="T73" s="43">
        <f t="shared" si="30"/>
        <v>254614029.50960538</v>
      </c>
      <c r="U73" s="43">
        <f t="shared" si="30"/>
        <v>253287909.3565678</v>
      </c>
      <c r="V73" s="43">
        <f t="shared" si="30"/>
        <v>262790134.83762592</v>
      </c>
      <c r="W73" s="43">
        <f t="shared" si="30"/>
        <v>283780714.65351176</v>
      </c>
      <c r="X73" s="43">
        <f t="shared" si="30"/>
        <v>333287522.37903601</v>
      </c>
      <c r="Y73" s="43">
        <f t="shared" si="30"/>
        <v>331209442.66417527</v>
      </c>
      <c r="Z73" s="43">
        <f t="shared" si="30"/>
        <v>321513522.84533197</v>
      </c>
      <c r="AA73" s="43">
        <f t="shared" si="30"/>
        <v>339959343.57686067</v>
      </c>
      <c r="AB73" s="43">
        <f t="shared" si="30"/>
        <v>360451806.43784225</v>
      </c>
      <c r="AC73" s="43">
        <f t="shared" si="30"/>
        <v>408166750.49786532</v>
      </c>
      <c r="AD73" s="43">
        <f t="shared" si="30"/>
        <v>449972527.31095976</v>
      </c>
      <c r="AE73" s="43">
        <f t="shared" si="30"/>
        <v>451392788.8693921</v>
      </c>
      <c r="AF73" s="43">
        <f t="shared" si="30"/>
        <v>397253574.98334891</v>
      </c>
      <c r="AG73" s="43">
        <f t="shared" si="30"/>
        <v>420069904.47767448</v>
      </c>
      <c r="AH73" s="43">
        <f t="shared" si="30"/>
        <v>443881920.50222504</v>
      </c>
      <c r="AI73" s="43">
        <f t="shared" si="30"/>
        <v>482090699.03285116</v>
      </c>
      <c r="AJ73" s="43">
        <f t="shared" si="30"/>
        <v>491625457.081756</v>
      </c>
      <c r="AK73" s="43">
        <f t="shared" si="30"/>
        <v>488850676.52981162</v>
      </c>
      <c r="AL73" s="43">
        <f t="shared" si="30"/>
        <v>466009959.69215637</v>
      </c>
      <c r="AM73" s="43">
        <f t="shared" si="30"/>
        <v>485007765.65352464</v>
      </c>
      <c r="AN73" s="43">
        <f t="shared" si="30"/>
        <v>502305119.43343747</v>
      </c>
      <c r="AO73" s="43">
        <f t="shared" si="30"/>
        <v>520353917.66559696</v>
      </c>
      <c r="AP73" s="43">
        <f t="shared" si="30"/>
        <v>542718970.10316467</v>
      </c>
      <c r="AQ73" s="43">
        <f t="shared" si="30"/>
        <v>564708162.05232799</v>
      </c>
      <c r="AR73" s="43"/>
      <c r="AS73" s="45">
        <f t="shared" si="35"/>
        <v>-4.5465584770666201E-2</v>
      </c>
      <c r="AU73" s="42">
        <f t="shared" si="31"/>
        <v>115452565.2</v>
      </c>
      <c r="AV73" s="42">
        <f t="shared" si="32"/>
        <v>224257223.80000001</v>
      </c>
      <c r="AW73" s="42">
        <f t="shared" si="33"/>
        <v>109763107</v>
      </c>
      <c r="AX73" s="42">
        <f>P73/31</f>
        <v>10958380.290322581</v>
      </c>
      <c r="AY73" s="42">
        <f>AU73/31</f>
        <v>3724276.2967741936</v>
      </c>
      <c r="AZ73" s="42">
        <f t="shared" si="36"/>
        <v>7234103.9935483877</v>
      </c>
    </row>
    <row r="74" spans="1:52">
      <c r="A74" s="40" t="s">
        <v>50</v>
      </c>
      <c r="B74" s="42">
        <f t="shared" si="34"/>
        <v>730498</v>
      </c>
      <c r="C74" s="42">
        <f t="shared" si="34"/>
        <v>8445355</v>
      </c>
      <c r="D74" s="42">
        <f t="shared" si="34"/>
        <v>6511922</v>
      </c>
      <c r="E74" s="42">
        <f t="shared" si="34"/>
        <v>53221399</v>
      </c>
      <c r="F74" s="42">
        <f t="shared" si="34"/>
        <v>30510731</v>
      </c>
      <c r="G74" s="42">
        <f t="shared" si="34"/>
        <v>45077427</v>
      </c>
      <c r="H74" s="42">
        <f t="shared" si="34"/>
        <v>55986656</v>
      </c>
      <c r="I74" s="42">
        <f t="shared" si="34"/>
        <v>56139988</v>
      </c>
      <c r="J74" s="42">
        <f t="shared" si="34"/>
        <v>45820099</v>
      </c>
      <c r="K74" s="42">
        <f t="shared" si="34"/>
        <v>60021239</v>
      </c>
      <c r="L74" s="42">
        <f t="shared" si="34"/>
        <v>68153117</v>
      </c>
      <c r="M74" s="42">
        <f t="shared" si="30"/>
        <v>110282562</v>
      </c>
      <c r="N74" s="42">
        <f t="shared" si="30"/>
        <v>135649540</v>
      </c>
      <c r="O74" s="42">
        <f t="shared" si="30"/>
        <v>245684246</v>
      </c>
      <c r="P74" s="42">
        <f t="shared" si="30"/>
        <v>283467210</v>
      </c>
      <c r="Q74" s="43">
        <f t="shared" si="30"/>
        <v>210647874.68874568</v>
      </c>
      <c r="R74" s="43">
        <f t="shared" si="30"/>
        <v>230050872.35409552</v>
      </c>
      <c r="S74" s="43">
        <f t="shared" si="30"/>
        <v>250310890.88560843</v>
      </c>
      <c r="T74" s="43">
        <f t="shared" si="30"/>
        <v>255094667.62681386</v>
      </c>
      <c r="U74" s="43">
        <f t="shared" si="30"/>
        <v>257997926.64725944</v>
      </c>
      <c r="V74" s="43">
        <f t="shared" si="30"/>
        <v>267535055.74695233</v>
      </c>
      <c r="W74" s="43">
        <f t="shared" si="30"/>
        <v>288669793.0620935</v>
      </c>
      <c r="X74" s="43">
        <f t="shared" si="30"/>
        <v>339311230.25512767</v>
      </c>
      <c r="Y74" s="43">
        <f t="shared" si="30"/>
        <v>337631491.01652855</v>
      </c>
      <c r="Z74" s="43">
        <f t="shared" si="30"/>
        <v>328534453.41172773</v>
      </c>
      <c r="AA74" s="43">
        <f t="shared" si="30"/>
        <v>347384476.8160671</v>
      </c>
      <c r="AB74" s="43">
        <f t="shared" si="30"/>
        <v>369537580.96896273</v>
      </c>
      <c r="AC74" s="43">
        <f t="shared" si="30"/>
        <v>418629440.91294432</v>
      </c>
      <c r="AD74" s="43">
        <f t="shared" si="30"/>
        <v>461629183.14412332</v>
      </c>
      <c r="AE74" s="43">
        <f t="shared" si="30"/>
        <v>463728991.83610016</v>
      </c>
      <c r="AF74" s="43">
        <f t="shared" si="30"/>
        <v>408767698.7140705</v>
      </c>
      <c r="AG74" s="43">
        <f t="shared" si="30"/>
        <v>431913604.1018517</v>
      </c>
      <c r="AH74" s="43">
        <f t="shared" si="30"/>
        <v>456389180.55600291</v>
      </c>
      <c r="AI74" s="43">
        <f t="shared" si="30"/>
        <v>495710285.59424055</v>
      </c>
      <c r="AJ74" s="43">
        <f t="shared" si="30"/>
        <v>505579832.02906829</v>
      </c>
      <c r="AK74" s="43">
        <f t="shared" si="30"/>
        <v>502735516.71593678</v>
      </c>
      <c r="AL74" s="43">
        <f t="shared" si="30"/>
        <v>479524829.03773057</v>
      </c>
      <c r="AM74" s="43">
        <f t="shared" si="30"/>
        <v>498663698.19731665</v>
      </c>
      <c r="AN74" s="43">
        <f t="shared" si="30"/>
        <v>516508203.97732037</v>
      </c>
      <c r="AO74" s="43">
        <f t="shared" ref="AO74:AQ74" si="37">AO90+AO106+AO122</f>
        <v>535104171.73410183</v>
      </c>
      <c r="AP74" s="43">
        <f t="shared" si="37"/>
        <v>557851393.41394413</v>
      </c>
      <c r="AQ74" s="43">
        <f t="shared" si="37"/>
        <v>572054904.63986683</v>
      </c>
      <c r="AR74" s="43"/>
      <c r="AS74" s="45">
        <f t="shared" si="35"/>
        <v>6.8440056899799151E-2</v>
      </c>
      <c r="AU74" s="42">
        <f t="shared" si="31"/>
        <v>123958140.8</v>
      </c>
      <c r="AV74" s="42">
        <f t="shared" si="32"/>
        <v>159509069.19999999</v>
      </c>
      <c r="AW74" s="42">
        <f t="shared" si="33"/>
        <v>37782964</v>
      </c>
      <c r="AX74" s="42">
        <f>P74/31</f>
        <v>9144103.5483870972</v>
      </c>
      <c r="AY74" s="42">
        <f>AU74/31</f>
        <v>3998649.7032258064</v>
      </c>
      <c r="AZ74" s="42">
        <f t="shared" si="36"/>
        <v>5145453.8451612908</v>
      </c>
    </row>
    <row r="75" spans="1:52">
      <c r="A75" s="40" t="s">
        <v>51</v>
      </c>
      <c r="B75" s="42">
        <f t="shared" si="34"/>
        <v>973736</v>
      </c>
      <c r="C75" s="42">
        <f t="shared" si="34"/>
        <v>5899070</v>
      </c>
      <c r="D75" s="42">
        <f t="shared" si="34"/>
        <v>12552853</v>
      </c>
      <c r="E75" s="42">
        <f t="shared" si="34"/>
        <v>54362368</v>
      </c>
      <c r="F75" s="42">
        <f t="shared" si="34"/>
        <v>5949426</v>
      </c>
      <c r="G75" s="42">
        <f t="shared" si="34"/>
        <v>41656360</v>
      </c>
      <c r="H75" s="42">
        <f t="shared" si="34"/>
        <v>49073433</v>
      </c>
      <c r="I75" s="42">
        <f t="shared" si="34"/>
        <v>51447455</v>
      </c>
      <c r="J75" s="42">
        <f t="shared" si="34"/>
        <v>54646049</v>
      </c>
      <c r="K75" s="42">
        <f t="shared" si="34"/>
        <v>68590510</v>
      </c>
      <c r="L75" s="42">
        <f t="shared" si="34"/>
        <v>103232854</v>
      </c>
      <c r="M75" s="42">
        <f t="shared" si="34"/>
        <v>103410593</v>
      </c>
      <c r="N75" s="42">
        <f t="shared" si="34"/>
        <v>169715225</v>
      </c>
      <c r="O75" s="42">
        <f t="shared" si="34"/>
        <v>241542421</v>
      </c>
      <c r="P75" s="42">
        <f t="shared" si="34"/>
        <v>300733550</v>
      </c>
      <c r="Q75" s="43">
        <f t="shared" si="34"/>
        <v>217609770.76628542</v>
      </c>
      <c r="R75" s="43">
        <f t="shared" ref="R75:AQ78" si="38">R91+R107+R123</f>
        <v>239021767.19323197</v>
      </c>
      <c r="S75" s="43">
        <f t="shared" si="38"/>
        <v>258179529.7570194</v>
      </c>
      <c r="T75" s="43">
        <f t="shared" si="38"/>
        <v>259367914.27423447</v>
      </c>
      <c r="U75" s="43">
        <f t="shared" si="38"/>
        <v>262679928.33428499</v>
      </c>
      <c r="V75" s="43">
        <f t="shared" si="38"/>
        <v>273617110.84822357</v>
      </c>
      <c r="W75" s="43">
        <f t="shared" si="38"/>
        <v>294907916.29306197</v>
      </c>
      <c r="X75" s="43">
        <f t="shared" si="38"/>
        <v>345646902.42543221</v>
      </c>
      <c r="Y75" s="43">
        <f t="shared" si="38"/>
        <v>343489857.476825</v>
      </c>
      <c r="Z75" s="43">
        <f t="shared" si="38"/>
        <v>334277044.08317661</v>
      </c>
      <c r="AA75" s="43">
        <f t="shared" si="38"/>
        <v>353531773.21881986</v>
      </c>
      <c r="AB75" s="43">
        <f t="shared" si="38"/>
        <v>375040479.75800812</v>
      </c>
      <c r="AC75" s="43">
        <f t="shared" si="38"/>
        <v>424603779.14253545</v>
      </c>
      <c r="AD75" s="43">
        <f t="shared" si="38"/>
        <v>468101896.88304025</v>
      </c>
      <c r="AE75" s="43">
        <f t="shared" si="38"/>
        <v>470087320.41725022</v>
      </c>
      <c r="AF75" s="43">
        <f t="shared" si="38"/>
        <v>414167515.29276246</v>
      </c>
      <c r="AG75" s="43">
        <f t="shared" si="38"/>
        <v>437702526.67352605</v>
      </c>
      <c r="AH75" s="43">
        <f t="shared" si="38"/>
        <v>462473238.56213021</v>
      </c>
      <c r="AI75" s="43">
        <f t="shared" si="38"/>
        <v>502294633.86094314</v>
      </c>
      <c r="AJ75" s="43">
        <f t="shared" si="38"/>
        <v>512286606.16267657</v>
      </c>
      <c r="AK75" s="43">
        <f t="shared" si="38"/>
        <v>509399483.73352414</v>
      </c>
      <c r="AL75" s="43">
        <f t="shared" si="38"/>
        <v>485767278.25932157</v>
      </c>
      <c r="AM75" s="43">
        <f t="shared" si="38"/>
        <v>505304071.56039685</v>
      </c>
      <c r="AN75" s="43">
        <f t="shared" si="38"/>
        <v>523361533.26896346</v>
      </c>
      <c r="AO75" s="43">
        <f t="shared" si="38"/>
        <v>542197731.45804656</v>
      </c>
      <c r="AP75" s="43">
        <f t="shared" si="38"/>
        <v>565333277.07292926</v>
      </c>
      <c r="AQ75" s="43">
        <f t="shared" si="38"/>
        <v>582952487.76812077</v>
      </c>
      <c r="AR75" s="43"/>
      <c r="AS75" s="46">
        <f t="shared" si="35"/>
        <v>-1.6858325543592234E-2</v>
      </c>
      <c r="AU75" s="42">
        <f t="shared" si="31"/>
        <v>137298320.59999999</v>
      </c>
      <c r="AV75" s="42">
        <f t="shared" si="32"/>
        <v>163435229.40000001</v>
      </c>
      <c r="AW75" s="42">
        <f t="shared" si="33"/>
        <v>59191129</v>
      </c>
      <c r="AX75" s="42">
        <f>P75/30</f>
        <v>10024451.666666666</v>
      </c>
      <c r="AY75" s="42">
        <f>AU75/30</f>
        <v>4576610.6866666665</v>
      </c>
      <c r="AZ75" s="42">
        <f t="shared" si="36"/>
        <v>5447840.9799999995</v>
      </c>
    </row>
    <row r="76" spans="1:52">
      <c r="A76" s="40" t="s">
        <v>52</v>
      </c>
      <c r="B76" s="42">
        <f t="shared" si="34"/>
        <v>1453856</v>
      </c>
      <c r="C76" s="42">
        <f t="shared" si="34"/>
        <v>6918026</v>
      </c>
      <c r="D76" s="42">
        <f t="shared" si="34"/>
        <v>16571869</v>
      </c>
      <c r="E76" s="42">
        <f t="shared" si="34"/>
        <v>54163560</v>
      </c>
      <c r="F76" s="42">
        <f t="shared" si="34"/>
        <v>15539562</v>
      </c>
      <c r="G76" s="42">
        <f t="shared" si="34"/>
        <v>42963029</v>
      </c>
      <c r="H76" s="42">
        <f t="shared" si="34"/>
        <v>49671864</v>
      </c>
      <c r="I76" s="42">
        <f t="shared" si="34"/>
        <v>57661938</v>
      </c>
      <c r="J76" s="42">
        <f t="shared" si="34"/>
        <v>39005346</v>
      </c>
      <c r="K76" s="42">
        <f t="shared" si="34"/>
        <v>92372791</v>
      </c>
      <c r="L76" s="42">
        <f t="shared" si="34"/>
        <v>63472922</v>
      </c>
      <c r="M76" s="42">
        <f t="shared" si="34"/>
        <v>124397011</v>
      </c>
      <c r="N76" s="42">
        <f t="shared" si="34"/>
        <v>158728585</v>
      </c>
      <c r="O76" s="42">
        <f t="shared" si="34"/>
        <v>259169684</v>
      </c>
      <c r="P76" s="42">
        <f t="shared" si="34"/>
        <v>304970528</v>
      </c>
      <c r="Q76" s="43">
        <f t="shared" si="34"/>
        <v>235325409.69246495</v>
      </c>
      <c r="R76" s="43">
        <f t="shared" si="38"/>
        <v>263267199.20194155</v>
      </c>
      <c r="S76" s="43">
        <f t="shared" si="38"/>
        <v>285438232.06946152</v>
      </c>
      <c r="T76" s="43">
        <f t="shared" si="38"/>
        <v>288614065.94489086</v>
      </c>
      <c r="U76" s="43">
        <f t="shared" si="38"/>
        <v>286889006.72262114</v>
      </c>
      <c r="V76" s="43">
        <f t="shared" si="38"/>
        <v>299701793.98706734</v>
      </c>
      <c r="W76" s="43">
        <f t="shared" si="38"/>
        <v>323499176.5552029</v>
      </c>
      <c r="X76" s="43">
        <f t="shared" si="38"/>
        <v>378675495.87892699</v>
      </c>
      <c r="Y76" s="43">
        <f t="shared" si="38"/>
        <v>376023532.78426611</v>
      </c>
      <c r="Z76" s="43">
        <f t="shared" si="38"/>
        <v>365104649.45487183</v>
      </c>
      <c r="AA76" s="43">
        <f t="shared" si="38"/>
        <v>386260816.1783542</v>
      </c>
      <c r="AB76" s="43">
        <f t="shared" si="38"/>
        <v>408750956.98295408</v>
      </c>
      <c r="AC76" s="43">
        <f t="shared" si="38"/>
        <v>462614328.66016871</v>
      </c>
      <c r="AD76" s="43">
        <f t="shared" si="38"/>
        <v>509915539.77742982</v>
      </c>
      <c r="AE76" s="43">
        <f t="shared" si="38"/>
        <v>511495568.88058114</v>
      </c>
      <c r="AF76" s="43">
        <f t="shared" si="38"/>
        <v>450117940.52021897</v>
      </c>
      <c r="AG76" s="43">
        <f t="shared" si="38"/>
        <v>475981700.00042826</v>
      </c>
      <c r="AH76" s="43">
        <f t="shared" si="38"/>
        <v>502914899.89994818</v>
      </c>
      <c r="AI76" s="43">
        <f t="shared" si="38"/>
        <v>546189245.36868382</v>
      </c>
      <c r="AJ76" s="43">
        <f t="shared" si="38"/>
        <v>556996046.85844159</v>
      </c>
      <c r="AK76" s="43">
        <f t="shared" si="38"/>
        <v>553855433.15722799</v>
      </c>
      <c r="AL76" s="43">
        <f t="shared" si="38"/>
        <v>527922415.46507359</v>
      </c>
      <c r="AM76" s="43">
        <f t="shared" si="38"/>
        <v>549501815.91311133</v>
      </c>
      <c r="AN76" s="43">
        <f t="shared" si="38"/>
        <v>569088098.9731499</v>
      </c>
      <c r="AO76" s="43">
        <f t="shared" si="38"/>
        <v>589537400.19810355</v>
      </c>
      <c r="AP76" s="43">
        <f t="shared" si="38"/>
        <v>614910801.86172855</v>
      </c>
      <c r="AQ76" s="43">
        <f t="shared" si="38"/>
        <v>641202837.51324773</v>
      </c>
      <c r="AR76" s="43"/>
      <c r="AS76" s="46">
        <f t="shared" si="35"/>
        <v>7.2977918027906208E-2</v>
      </c>
      <c r="AU76" s="42">
        <f t="shared" si="31"/>
        <v>139628198.59999999</v>
      </c>
      <c r="AV76" s="42">
        <f t="shared" si="32"/>
        <v>165342329.40000001</v>
      </c>
      <c r="AW76" s="42">
        <f t="shared" si="33"/>
        <v>45800844</v>
      </c>
      <c r="AX76" s="42">
        <f>P76/31</f>
        <v>9837758.9677419346</v>
      </c>
      <c r="AY76" s="42">
        <f>AU76/31</f>
        <v>4504135.4387096772</v>
      </c>
      <c r="AZ76" s="42">
        <f t="shared" si="36"/>
        <v>5333623.5290322574</v>
      </c>
    </row>
    <row r="77" spans="1:52">
      <c r="A77" s="40" t="s">
        <v>53</v>
      </c>
      <c r="B77" s="42">
        <f t="shared" si="34"/>
        <v>2233776</v>
      </c>
      <c r="C77" s="42">
        <f t="shared" si="34"/>
        <v>5233920</v>
      </c>
      <c r="D77" s="42">
        <f t="shared" si="34"/>
        <v>15888982</v>
      </c>
      <c r="E77" s="42">
        <f t="shared" si="34"/>
        <v>50816893</v>
      </c>
      <c r="F77" s="42">
        <f t="shared" si="34"/>
        <v>45060319</v>
      </c>
      <c r="G77" s="42">
        <f t="shared" si="34"/>
        <v>39486879</v>
      </c>
      <c r="H77" s="42">
        <f t="shared" si="34"/>
        <v>56154194</v>
      </c>
      <c r="I77" s="42">
        <f t="shared" si="34"/>
        <v>39184322</v>
      </c>
      <c r="J77" s="42">
        <f t="shared" si="34"/>
        <v>51696501</v>
      </c>
      <c r="K77" s="42">
        <f t="shared" si="34"/>
        <v>79768545</v>
      </c>
      <c r="L77" s="42">
        <f t="shared" si="34"/>
        <v>93513927</v>
      </c>
      <c r="M77" s="42">
        <f t="shared" si="34"/>
        <v>140016461</v>
      </c>
      <c r="N77" s="42">
        <f t="shared" si="34"/>
        <v>204668758</v>
      </c>
      <c r="O77" s="42">
        <f t="shared" si="34"/>
        <v>248824331</v>
      </c>
      <c r="P77" s="42">
        <f t="shared" si="34"/>
        <v>298296219</v>
      </c>
      <c r="Q77" s="43">
        <f t="shared" si="34"/>
        <v>250839958.05064553</v>
      </c>
      <c r="R77" s="43">
        <f t="shared" si="38"/>
        <v>307892253.0620265</v>
      </c>
      <c r="S77" s="43">
        <f t="shared" si="38"/>
        <v>336512970.73508728</v>
      </c>
      <c r="T77" s="43">
        <f t="shared" si="38"/>
        <v>341006094.62682456</v>
      </c>
      <c r="U77" s="43">
        <f t="shared" si="38"/>
        <v>339913370.51748234</v>
      </c>
      <c r="V77" s="43">
        <f t="shared" si="38"/>
        <v>355743325.53028357</v>
      </c>
      <c r="W77" s="43">
        <f t="shared" si="38"/>
        <v>384394494.04491645</v>
      </c>
      <c r="X77" s="43">
        <f t="shared" si="38"/>
        <v>452115632.21504128</v>
      </c>
      <c r="Y77" s="43">
        <f t="shared" si="38"/>
        <v>449114617.04479849</v>
      </c>
      <c r="Z77" s="43">
        <f t="shared" si="38"/>
        <v>436061929.20120478</v>
      </c>
      <c r="AA77" s="43">
        <f t="shared" si="38"/>
        <v>461554925.236274</v>
      </c>
      <c r="AB77" s="43">
        <f t="shared" si="38"/>
        <v>491992742.52575886</v>
      </c>
      <c r="AC77" s="43">
        <f t="shared" si="38"/>
        <v>557982107.99131083</v>
      </c>
      <c r="AD77" s="43">
        <f t="shared" si="38"/>
        <v>615185970.16351044</v>
      </c>
      <c r="AE77" s="43">
        <f t="shared" si="38"/>
        <v>616833108.53647268</v>
      </c>
      <c r="AF77" s="43">
        <f t="shared" si="38"/>
        <v>542253506.28632569</v>
      </c>
      <c r="AG77" s="43">
        <f t="shared" si="38"/>
        <v>573665629.22901607</v>
      </c>
      <c r="AH77" s="43">
        <f t="shared" si="38"/>
        <v>606234576.63839734</v>
      </c>
      <c r="AI77" s="43">
        <f t="shared" si="38"/>
        <v>658544779.85121369</v>
      </c>
      <c r="AJ77" s="43">
        <f t="shared" si="38"/>
        <v>671582805.44308174</v>
      </c>
      <c r="AK77" s="43">
        <f t="shared" si="38"/>
        <v>667773154.53080153</v>
      </c>
      <c r="AL77" s="43">
        <f t="shared" si="38"/>
        <v>636282478.30854881</v>
      </c>
      <c r="AM77" s="43">
        <f t="shared" si="38"/>
        <v>662564532.01377416</v>
      </c>
      <c r="AN77" s="43">
        <f t="shared" si="38"/>
        <v>686223694.28889298</v>
      </c>
      <c r="AO77" s="43">
        <f t="shared" si="38"/>
        <v>710932219.26944327</v>
      </c>
      <c r="AP77" s="43">
        <f t="shared" si="38"/>
        <v>741725423.45884252</v>
      </c>
      <c r="AQ77" s="43">
        <f t="shared" si="38"/>
        <v>777595450.48191094</v>
      </c>
      <c r="AR77" s="43"/>
      <c r="AS77" s="46">
        <f t="shared" si="35"/>
        <v>-3.9917296036831251E-2</v>
      </c>
      <c r="AU77" s="42">
        <f t="shared" si="31"/>
        <v>153358404.40000001</v>
      </c>
      <c r="AV77" s="42">
        <f t="shared" si="32"/>
        <v>144937814.59999999</v>
      </c>
      <c r="AW77" s="42">
        <f t="shared" si="33"/>
        <v>49471888</v>
      </c>
      <c r="AX77" s="43">
        <f>P77/30</f>
        <v>9943207.3000000007</v>
      </c>
      <c r="AY77" s="43">
        <f>AU77/30</f>
        <v>5111946.8133333335</v>
      </c>
      <c r="AZ77" s="42">
        <f t="shared" si="36"/>
        <v>4831260.4866666673</v>
      </c>
    </row>
    <row r="78" spans="1:52">
      <c r="A78" s="40" t="s">
        <v>54</v>
      </c>
      <c r="B78" s="42">
        <f t="shared" si="34"/>
        <v>3069735</v>
      </c>
      <c r="C78" s="42">
        <f t="shared" si="34"/>
        <v>6480832</v>
      </c>
      <c r="D78" s="42">
        <f t="shared" si="34"/>
        <v>8216928</v>
      </c>
      <c r="E78" s="42">
        <f t="shared" si="34"/>
        <v>44022723</v>
      </c>
      <c r="F78" s="42">
        <f t="shared" si="34"/>
        <v>50186076</v>
      </c>
      <c r="G78" s="42">
        <f t="shared" si="34"/>
        <v>38041094</v>
      </c>
      <c r="H78" s="42">
        <f t="shared" si="34"/>
        <v>55562161</v>
      </c>
      <c r="I78" s="42">
        <f t="shared" si="34"/>
        <v>56786447</v>
      </c>
      <c r="J78" s="42">
        <f t="shared" si="34"/>
        <v>83114301</v>
      </c>
      <c r="K78" s="42">
        <f t="shared" si="34"/>
        <v>93188904</v>
      </c>
      <c r="L78" s="42">
        <f t="shared" si="34"/>
        <v>101249674</v>
      </c>
      <c r="M78" s="42">
        <f t="shared" si="34"/>
        <v>164690376</v>
      </c>
      <c r="N78" s="42">
        <f t="shared" si="34"/>
        <v>196801632</v>
      </c>
      <c r="O78" s="42">
        <f t="shared" si="34"/>
        <v>320795507</v>
      </c>
      <c r="P78" s="42">
        <f t="shared" si="34"/>
        <v>351250772</v>
      </c>
      <c r="Q78" s="43">
        <f t="shared" si="34"/>
        <v>345451121.45092082</v>
      </c>
      <c r="R78" s="43">
        <f t="shared" si="38"/>
        <v>359061754.17628962</v>
      </c>
      <c r="S78" s="43">
        <f t="shared" si="38"/>
        <v>389123836.99062598</v>
      </c>
      <c r="T78" s="43">
        <f t="shared" si="38"/>
        <v>394172981.72405815</v>
      </c>
      <c r="U78" s="43">
        <f t="shared" si="38"/>
        <v>395044090.62168896</v>
      </c>
      <c r="V78" s="43">
        <f t="shared" si="38"/>
        <v>415266862.78178257</v>
      </c>
      <c r="W78" s="43">
        <f t="shared" si="38"/>
        <v>443341519.58671665</v>
      </c>
      <c r="X78" s="43">
        <f t="shared" si="38"/>
        <v>519248632.14325464</v>
      </c>
      <c r="Y78" s="43">
        <f t="shared" si="38"/>
        <v>515934486.7651251</v>
      </c>
      <c r="Z78" s="43">
        <f t="shared" si="38"/>
        <v>501152098.99840617</v>
      </c>
      <c r="AA78" s="43">
        <f t="shared" si="38"/>
        <v>530065732.17487973</v>
      </c>
      <c r="AB78" s="43">
        <f t="shared" si="38"/>
        <v>559974319.96901608</v>
      </c>
      <c r="AC78" s="43">
        <f t="shared" si="38"/>
        <v>633631590.93351185</v>
      </c>
      <c r="AD78" s="43">
        <f t="shared" si="38"/>
        <v>698542096.12492192</v>
      </c>
      <c r="AE78" s="43">
        <f t="shared" si="38"/>
        <v>700407005.84477472</v>
      </c>
      <c r="AF78" s="43">
        <f t="shared" si="38"/>
        <v>615791651.90617919</v>
      </c>
      <c r="AG78" s="43">
        <f t="shared" si="38"/>
        <v>651265704.32202935</v>
      </c>
      <c r="AH78" s="43">
        <f t="shared" si="38"/>
        <v>688187363.63348484</v>
      </c>
      <c r="AI78" s="43">
        <f t="shared" si="38"/>
        <v>747443953.96261764</v>
      </c>
      <c r="AJ78" s="43">
        <f t="shared" si="38"/>
        <v>762207616.27460372</v>
      </c>
      <c r="AK78" s="43">
        <f t="shared" si="38"/>
        <v>757870653.17188501</v>
      </c>
      <c r="AL78" s="43">
        <f t="shared" si="38"/>
        <v>722110980.14480269</v>
      </c>
      <c r="AM78" s="43">
        <f t="shared" si="38"/>
        <v>751968576.53342247</v>
      </c>
      <c r="AN78" s="43">
        <f t="shared" si="38"/>
        <v>778773687.42934275</v>
      </c>
      <c r="AO78" s="43">
        <f t="shared" si="38"/>
        <v>806751468.90458846</v>
      </c>
      <c r="AP78" s="43">
        <f t="shared" si="38"/>
        <v>841663022.19051826</v>
      </c>
      <c r="AQ78" s="43">
        <f t="shared" si="38"/>
        <v>884327334.77412403</v>
      </c>
      <c r="AR78" s="43"/>
      <c r="AS78" s="46">
        <f t="shared" si="35"/>
        <v>0.28924492918660749</v>
      </c>
      <c r="AU78" s="42">
        <f t="shared" si="31"/>
        <v>175345218.59999999</v>
      </c>
      <c r="AV78" s="42">
        <f t="shared" si="32"/>
        <v>175905553.40000001</v>
      </c>
      <c r="AW78" s="42">
        <f t="shared" si="33"/>
        <v>30455265</v>
      </c>
      <c r="AX78" s="43">
        <f>P78/31</f>
        <v>11330670.064516129</v>
      </c>
      <c r="AY78" s="43">
        <f>AU78/31</f>
        <v>5656297.3741935482</v>
      </c>
      <c r="AZ78" s="42">
        <f t="shared" si="36"/>
        <v>5674372.6903225807</v>
      </c>
    </row>
    <row r="79" spans="1:52" ht="12" thickBot="1">
      <c r="A79" s="48" t="s">
        <v>29</v>
      </c>
      <c r="B79" s="49">
        <f>SUM(B67:B78)</f>
        <v>8776593</v>
      </c>
      <c r="C79" s="49">
        <f t="shared" ref="C79:AQ79" si="39">SUM(C67:C78)</f>
        <v>62041290</v>
      </c>
      <c r="D79" s="49">
        <f t="shared" si="39"/>
        <v>102674024</v>
      </c>
      <c r="E79" s="49">
        <f t="shared" si="39"/>
        <v>416685400</v>
      </c>
      <c r="F79" s="49">
        <f t="shared" si="39"/>
        <v>487892696</v>
      </c>
      <c r="G79" s="49">
        <f t="shared" si="39"/>
        <v>513144574</v>
      </c>
      <c r="H79" s="49">
        <f t="shared" si="39"/>
        <v>591173471</v>
      </c>
      <c r="I79" s="49">
        <f t="shared" si="39"/>
        <v>602723820</v>
      </c>
      <c r="J79" s="49">
        <f t="shared" si="39"/>
        <v>615331084</v>
      </c>
      <c r="K79" s="49">
        <f t="shared" si="39"/>
        <v>910134681</v>
      </c>
      <c r="L79" s="49">
        <f t="shared" si="39"/>
        <v>966792501</v>
      </c>
      <c r="M79" s="49">
        <f t="shared" si="39"/>
        <v>1298148865</v>
      </c>
      <c r="N79" s="49">
        <f t="shared" si="39"/>
        <v>1881117559</v>
      </c>
      <c r="O79" s="49">
        <f t="shared" si="39"/>
        <v>2880087932</v>
      </c>
      <c r="P79" s="49">
        <f t="shared" si="39"/>
        <v>3560990771</v>
      </c>
      <c r="Q79" s="50">
        <f t="shared" si="39"/>
        <v>2774394899.4209366</v>
      </c>
      <c r="R79" s="50">
        <f t="shared" si="39"/>
        <v>2962793535.1736603</v>
      </c>
      <c r="S79" s="50">
        <f t="shared" si="39"/>
        <v>3218911185.5645237</v>
      </c>
      <c r="T79" s="50">
        <f t="shared" si="39"/>
        <v>3254900482.0596151</v>
      </c>
      <c r="U79" s="50">
        <f t="shared" si="39"/>
        <v>3257926098.7916117</v>
      </c>
      <c r="V79" s="50">
        <f t="shared" si="39"/>
        <v>3382567165.2890577</v>
      </c>
      <c r="W79" s="50">
        <f t="shared" si="39"/>
        <v>3651197017.3205156</v>
      </c>
      <c r="X79" s="50">
        <f t="shared" si="39"/>
        <v>4273937149.6252847</v>
      </c>
      <c r="Y79" s="50">
        <f t="shared" si="39"/>
        <v>4245105278.7250662</v>
      </c>
      <c r="Z79" s="50">
        <f t="shared" si="39"/>
        <v>4123721219.9107876</v>
      </c>
      <c r="AA79" s="50">
        <f t="shared" si="39"/>
        <v>4359797387.4501266</v>
      </c>
      <c r="AB79" s="50">
        <f t="shared" si="39"/>
        <v>4609784467.5408516</v>
      </c>
      <c r="AC79" s="50">
        <f t="shared" si="39"/>
        <v>5215621126.6003914</v>
      </c>
      <c r="AD79" s="50">
        <f t="shared" si="39"/>
        <v>5749068632.85359</v>
      </c>
      <c r="AE79" s="50">
        <f t="shared" si="39"/>
        <v>5768279176.7993507</v>
      </c>
      <c r="AF79" s="50">
        <f t="shared" si="39"/>
        <v>5077275250.5986919</v>
      </c>
      <c r="AG79" s="50">
        <f t="shared" si="39"/>
        <v>5368338214.7588329</v>
      </c>
      <c r="AH79" s="50">
        <f t="shared" si="39"/>
        <v>5672070096.2145452</v>
      </c>
      <c r="AI79" s="50">
        <f t="shared" si="39"/>
        <v>6159950717.8081131</v>
      </c>
      <c r="AJ79" s="50">
        <f t="shared" si="39"/>
        <v>6281860179.1307621</v>
      </c>
      <c r="AK79" s="50">
        <f t="shared" si="39"/>
        <v>6246384937.7076378</v>
      </c>
      <c r="AL79" s="50">
        <f t="shared" si="39"/>
        <v>5954712005.3835297</v>
      </c>
      <c r="AM79" s="50">
        <f t="shared" si="39"/>
        <v>6197167685.350625</v>
      </c>
      <c r="AN79" s="50">
        <f t="shared" si="39"/>
        <v>6418077092.673748</v>
      </c>
      <c r="AO79" s="50">
        <f t="shared" si="39"/>
        <v>6648630336.6768723</v>
      </c>
      <c r="AP79" s="50">
        <f t="shared" si="39"/>
        <v>6934083868.9107838</v>
      </c>
      <c r="AQ79" s="50">
        <f t="shared" si="39"/>
        <v>7213362940.1907434</v>
      </c>
      <c r="AR79" s="43"/>
      <c r="AU79" s="42">
        <f t="shared" si="31"/>
        <v>1587256307.5999999</v>
      </c>
      <c r="AV79" s="42">
        <f t="shared" si="32"/>
        <v>1973734463.4000001</v>
      </c>
    </row>
    <row r="80" spans="1:52">
      <c r="A80" s="51"/>
      <c r="B80" s="51"/>
      <c r="C80" s="51"/>
      <c r="D80" s="51"/>
      <c r="E80" s="51"/>
      <c r="F80" s="51"/>
      <c r="G80" s="51"/>
      <c r="H80" s="51"/>
      <c r="I80" s="51"/>
      <c r="J80" s="51"/>
      <c r="K80" s="51"/>
      <c r="L80" s="51"/>
      <c r="M80" s="52">
        <f t="shared" ref="M80" si="40">M74/M73-1</f>
        <v>0.54654411164274541</v>
      </c>
      <c r="N80" s="53"/>
      <c r="O80" s="54"/>
      <c r="P80" s="54"/>
      <c r="Q80" s="53"/>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row>
    <row r="81" spans="1:51" ht="12" thickBot="1">
      <c r="A81" s="39" t="s">
        <v>102</v>
      </c>
    </row>
    <row r="82" spans="1:51" ht="12" thickBot="1">
      <c r="A82" s="41"/>
      <c r="B82" s="41">
        <f t="shared" ref="B82:Z82" si="41">B18</f>
        <v>2010</v>
      </c>
      <c r="C82" s="41">
        <f t="shared" si="41"/>
        <v>2011</v>
      </c>
      <c r="D82" s="41">
        <f t="shared" si="41"/>
        <v>2012</v>
      </c>
      <c r="E82" s="41">
        <f t="shared" si="41"/>
        <v>2013</v>
      </c>
      <c r="F82" s="41">
        <f t="shared" si="41"/>
        <v>2014</v>
      </c>
      <c r="G82" s="41">
        <f t="shared" si="41"/>
        <v>2015</v>
      </c>
      <c r="H82" s="41">
        <f t="shared" si="41"/>
        <v>2016</v>
      </c>
      <c r="I82" s="41">
        <f t="shared" si="41"/>
        <v>2017</v>
      </c>
      <c r="J82" s="41">
        <f t="shared" si="41"/>
        <v>2018</v>
      </c>
      <c r="K82" s="41">
        <f t="shared" si="41"/>
        <v>2019</v>
      </c>
      <c r="L82" s="41">
        <f t="shared" si="41"/>
        <v>2020</v>
      </c>
      <c r="M82" s="41">
        <f t="shared" si="41"/>
        <v>2021</v>
      </c>
      <c r="N82" s="41">
        <f t="shared" si="41"/>
        <v>2022</v>
      </c>
      <c r="O82" s="41">
        <f t="shared" si="41"/>
        <v>2023</v>
      </c>
      <c r="P82" s="41">
        <f t="shared" si="41"/>
        <v>2024</v>
      </c>
      <c r="Q82" s="41">
        <f t="shared" si="41"/>
        <v>2025</v>
      </c>
      <c r="R82" s="41">
        <f t="shared" si="41"/>
        <v>2026</v>
      </c>
      <c r="S82" s="41">
        <f t="shared" si="41"/>
        <v>2027</v>
      </c>
      <c r="T82" s="41">
        <f t="shared" si="41"/>
        <v>2028</v>
      </c>
      <c r="U82" s="41">
        <f t="shared" si="41"/>
        <v>2029</v>
      </c>
      <c r="V82" s="41">
        <f t="shared" si="41"/>
        <v>2030</v>
      </c>
      <c r="W82" s="41">
        <f t="shared" si="41"/>
        <v>2031</v>
      </c>
      <c r="X82" s="41">
        <f t="shared" si="41"/>
        <v>2032</v>
      </c>
      <c r="Y82" s="41">
        <f t="shared" si="41"/>
        <v>2033</v>
      </c>
      <c r="Z82" s="41">
        <f t="shared" si="41"/>
        <v>2034</v>
      </c>
      <c r="AA82" s="41">
        <f>AA2</f>
        <v>2035</v>
      </c>
      <c r="AB82" s="41">
        <f t="shared" ref="AB82:AQ82" si="42">AB2</f>
        <v>2036</v>
      </c>
      <c r="AC82" s="41">
        <f t="shared" si="42"/>
        <v>2037</v>
      </c>
      <c r="AD82" s="41">
        <f t="shared" si="42"/>
        <v>2038</v>
      </c>
      <c r="AE82" s="41">
        <f t="shared" si="42"/>
        <v>2039</v>
      </c>
      <c r="AF82" s="41">
        <f t="shared" si="42"/>
        <v>2040</v>
      </c>
      <c r="AG82" s="41">
        <f t="shared" si="42"/>
        <v>2041</v>
      </c>
      <c r="AH82" s="41">
        <f t="shared" si="42"/>
        <v>2042</v>
      </c>
      <c r="AI82" s="41">
        <f t="shared" si="42"/>
        <v>2043</v>
      </c>
      <c r="AJ82" s="41">
        <f t="shared" si="42"/>
        <v>2044</v>
      </c>
      <c r="AK82" s="41">
        <f t="shared" si="42"/>
        <v>2045</v>
      </c>
      <c r="AL82" s="41">
        <f t="shared" si="42"/>
        <v>2046</v>
      </c>
      <c r="AM82" s="41">
        <f t="shared" si="42"/>
        <v>2047</v>
      </c>
      <c r="AN82" s="41">
        <f t="shared" si="42"/>
        <v>2048</v>
      </c>
      <c r="AO82" s="41">
        <f t="shared" si="42"/>
        <v>2049</v>
      </c>
      <c r="AP82" s="41">
        <f t="shared" si="42"/>
        <v>2050</v>
      </c>
      <c r="AQ82" s="41">
        <f t="shared" si="42"/>
        <v>2051</v>
      </c>
      <c r="AV82" s="40" t="s">
        <v>39</v>
      </c>
      <c r="AW82" s="40" t="s">
        <v>40</v>
      </c>
      <c r="AX82" s="40" t="s">
        <v>61</v>
      </c>
      <c r="AY82" s="40" t="s">
        <v>62</v>
      </c>
    </row>
    <row r="83" spans="1:51">
      <c r="A83" s="40" t="s">
        <v>43</v>
      </c>
      <c r="B83" s="42">
        <f>'D4 Gallon Forecast'!B133+'D5 Gallon Forecast'!B120+'D6 Gallon Forecast'!B209</f>
        <v>0</v>
      </c>
      <c r="C83" s="42">
        <f>'D4 Gallon Forecast'!C133+'D5 Gallon Forecast'!C120+'D6 Gallon Forecast'!C209</f>
        <v>4427855</v>
      </c>
      <c r="D83" s="42">
        <f>'D4 Gallon Forecast'!D133+'D5 Gallon Forecast'!D120+'D6 Gallon Forecast'!D209</f>
        <v>4217364</v>
      </c>
      <c r="E83" s="42">
        <f>'D4 Gallon Forecast'!E133+'D5 Gallon Forecast'!E120+'D6 Gallon Forecast'!E209</f>
        <v>1278753</v>
      </c>
      <c r="F83" s="42">
        <f>'D4 Gallon Forecast'!F133+'D5 Gallon Forecast'!F120+'D6 Gallon Forecast'!F209</f>
        <v>10328729</v>
      </c>
      <c r="G83" s="42">
        <f>'D4 Gallon Forecast'!G133+'D5 Gallon Forecast'!G120+'D6 Gallon Forecast'!G209</f>
        <v>17504679</v>
      </c>
      <c r="H83" s="42">
        <f>'D4 Gallon Forecast'!H133+'D5 Gallon Forecast'!H120+'D6 Gallon Forecast'!H209</f>
        <v>11758144</v>
      </c>
      <c r="I83" s="42">
        <f>'D4 Gallon Forecast'!I133+'D5 Gallon Forecast'!I120+'D6 Gallon Forecast'!I209</f>
        <v>18560535</v>
      </c>
      <c r="J83" s="42">
        <f>'D4 Gallon Forecast'!J133+'D5 Gallon Forecast'!J120+'D6 Gallon Forecast'!J209</f>
        <v>13680652</v>
      </c>
      <c r="K83" s="42">
        <f>'D4 Gallon Forecast'!K133+'D5 Gallon Forecast'!K120+'D6 Gallon Forecast'!K209</f>
        <v>36487021</v>
      </c>
      <c r="L83" s="42">
        <f>'D4 Gallon Forecast'!L133+'D5 Gallon Forecast'!L120+'D6 Gallon Forecast'!L209</f>
        <v>41857492</v>
      </c>
      <c r="M83" s="42">
        <f>'D4 Gallon Forecast'!M133+'D5 Gallon Forecast'!M120+'D6 Gallon Forecast'!M209</f>
        <v>50374630</v>
      </c>
      <c r="N83" s="42">
        <f>'D4 Gallon Forecast'!N133+'D5 Gallon Forecast'!N120+'D6 Gallon Forecast'!N209</f>
        <v>87010244</v>
      </c>
      <c r="O83" s="42">
        <f>'D4 Gallon Forecast'!O133+'D5 Gallon Forecast'!O120+'D6 Gallon Forecast'!O209</f>
        <v>148278375</v>
      </c>
      <c r="P83" s="42">
        <f>'D4 Gallon Forecast'!P133+'D5 Gallon Forecast'!P120+'D6 Gallon Forecast'!P209</f>
        <v>230210264</v>
      </c>
      <c r="Q83" s="42">
        <f>'D4 Gallon Forecast'!Q133+'D5 Gallon Forecast'!Q120+'D6 Gallon Forecast'!Q209</f>
        <v>217367275</v>
      </c>
      <c r="R83" s="43">
        <f>'D4 Gallon Forecast'!R133+'D5 Gallon Forecast'!R120+'D6 Gallon Forecast'!R209</f>
        <v>173301039.9201065</v>
      </c>
      <c r="S83" s="43">
        <f>'D4 Gallon Forecast'!S133+'D5 Gallon Forecast'!S120+'D6 Gallon Forecast'!S209</f>
        <v>190327727.21764925</v>
      </c>
      <c r="T83" s="43">
        <f>'D4 Gallon Forecast'!T133+'D5 Gallon Forecast'!T120+'D6 Gallon Forecast'!T209</f>
        <v>194312790.4450902</v>
      </c>
      <c r="U83" s="43">
        <f>'D4 Gallon Forecast'!U133+'D5 Gallon Forecast'!U120+'D6 Gallon Forecast'!U209</f>
        <v>196315383.19321719</v>
      </c>
      <c r="V83" s="43">
        <f>'D4 Gallon Forecast'!V133+'D5 Gallon Forecast'!V120+'D6 Gallon Forecast'!V209</f>
        <v>205707631.69478792</v>
      </c>
      <c r="W83" s="43">
        <f>'D4 Gallon Forecast'!W133+'D5 Gallon Forecast'!W120+'D6 Gallon Forecast'!W209</f>
        <v>222782293.77920413</v>
      </c>
      <c r="X83" s="43">
        <f>'D4 Gallon Forecast'!X133+'D5 Gallon Forecast'!X120+'D6 Gallon Forecast'!X209</f>
        <v>264059013.18170139</v>
      </c>
      <c r="Y83" s="43">
        <f>'D4 Gallon Forecast'!Y133+'D5 Gallon Forecast'!Y120+'D6 Gallon Forecast'!Y209</f>
        <v>262890228.64060161</v>
      </c>
      <c r="Z83" s="43">
        <f>'D4 Gallon Forecast'!Z133+'D5 Gallon Forecast'!Z120+'D6 Gallon Forecast'!Z209</f>
        <v>255777133.45371303</v>
      </c>
      <c r="AA83" s="43">
        <f>'D4 Gallon Forecast'!AA133+'D5 Gallon Forecast'!AA120+'D6 Gallon Forecast'!AA209</f>
        <v>270948489.35168308</v>
      </c>
      <c r="AB83" s="43">
        <f>'D4 Gallon Forecast'!AB133+'D5 Gallon Forecast'!AB120+'D6 Gallon Forecast'!AB209</f>
        <v>292548204.23721027</v>
      </c>
      <c r="AC83" s="43">
        <f>'D4 Gallon Forecast'!AC133+'D5 Gallon Forecast'!AC120+'D6 Gallon Forecast'!AC209</f>
        <v>332801022.16583556</v>
      </c>
      <c r="AD83" s="43">
        <f>'D4 Gallon Forecast'!AD133+'D5 Gallon Forecast'!AD120+'D6 Gallon Forecast'!AD209</f>
        <v>367138905.77510345</v>
      </c>
      <c r="AE83" s="43">
        <f>'D4 Gallon Forecast'!AE133+'D5 Gallon Forecast'!AE120+'D6 Gallon Forecast'!AE209</f>
        <v>368537907.28145385</v>
      </c>
      <c r="AF83" s="43">
        <f>'D4 Gallon Forecast'!AF133+'D5 Gallon Forecast'!AF120+'D6 Gallon Forecast'!AF209</f>
        <v>324292401.80549532</v>
      </c>
      <c r="AG83" s="43">
        <f>'D4 Gallon Forecast'!AG133+'D5 Gallon Forecast'!AG120+'D6 Gallon Forecast'!AG209</f>
        <v>342928676.57374358</v>
      </c>
      <c r="AH83" s="43">
        <f>'D4 Gallon Forecast'!AH133+'D5 Gallon Forecast'!AH120+'D6 Gallon Forecast'!AH209</f>
        <v>362474628.86067653</v>
      </c>
      <c r="AI83" s="43">
        <f>'D4 Gallon Forecast'!AI133+'D5 Gallon Forecast'!AI120+'D6 Gallon Forecast'!AI209</f>
        <v>393875036.93947524</v>
      </c>
      <c r="AJ83" s="43">
        <f>'D4 Gallon Forecast'!AJ133+'D5 Gallon Forecast'!AJ120+'D6 Gallon Forecast'!AJ209</f>
        <v>401734178.58368695</v>
      </c>
      <c r="AK83" s="43">
        <f>'D4 Gallon Forecast'!AK133+'D5 Gallon Forecast'!AK120+'D6 Gallon Forecast'!AK209</f>
        <v>399457153.46708328</v>
      </c>
      <c r="AL83" s="43">
        <f>'D4 Gallon Forecast'!AL133+'D5 Gallon Forecast'!AL120+'D6 Gallon Forecast'!AL209</f>
        <v>380775025.91852134</v>
      </c>
      <c r="AM83" s="43">
        <f>'D4 Gallon Forecast'!AM133+'D5 Gallon Forecast'!AM120+'D6 Gallon Forecast'!AM209</f>
        <v>396257812.08964473</v>
      </c>
      <c r="AN83" s="43">
        <f>'D4 Gallon Forecast'!AN133+'D5 Gallon Forecast'!AN120+'D6 Gallon Forecast'!AN209</f>
        <v>410485418.23343176</v>
      </c>
      <c r="AO83" s="43">
        <f>'D4 Gallon Forecast'!AO133+'D5 Gallon Forecast'!AO120+'D6 Gallon Forecast'!AO209</f>
        <v>425327998.7978344</v>
      </c>
      <c r="AP83" s="43">
        <f>'D4 Gallon Forecast'!AP133+'D5 Gallon Forecast'!AP120+'D6 Gallon Forecast'!AP209</f>
        <v>443622958.22248584</v>
      </c>
      <c r="AQ83" s="43">
        <f>'D4 Gallon Forecast'!AQ133+'D5 Gallon Forecast'!AQ120+'D6 Gallon Forecast'!AQ209</f>
        <v>459075336.89645505</v>
      </c>
      <c r="AR83" s="43"/>
      <c r="AS83" s="45">
        <f>O94/P83-1</f>
        <v>0.19376270729614387</v>
      </c>
      <c r="AT83" s="57">
        <f t="shared" ref="AT83:AT89" si="43">AA83/O83</f>
        <v>1.8272960527904563</v>
      </c>
      <c r="AV83" s="42">
        <f t="shared" ref="AV83:AV94" si="44">O83-N83</f>
        <v>61268131</v>
      </c>
      <c r="AW83" s="42">
        <f>O83/31</f>
        <v>4783173.3870967738</v>
      </c>
      <c r="AX83" s="42">
        <f>'D4 Gallon Forecast'!BM133+'D5 Gallon Forecast'!AX120+'D6 Gallon Forecast'!BK209</f>
        <v>8346201.1381376339</v>
      </c>
      <c r="AY83" s="42">
        <f t="shared" ref="AY83:AY94" si="45">O83-AX83</f>
        <v>139932173.86186236</v>
      </c>
    </row>
    <row r="84" spans="1:51">
      <c r="A84" s="40" t="s">
        <v>44</v>
      </c>
      <c r="B84" s="42">
        <f>'D4 Gallon Forecast'!B134+'D5 Gallon Forecast'!B121+'D6 Gallon Forecast'!B210</f>
        <v>0</v>
      </c>
      <c r="C84" s="42">
        <f>'D4 Gallon Forecast'!C134+'D5 Gallon Forecast'!C121+'D6 Gallon Forecast'!C210</f>
        <v>962206</v>
      </c>
      <c r="D84" s="42">
        <f>'D4 Gallon Forecast'!D134+'D5 Gallon Forecast'!D121+'D6 Gallon Forecast'!D210</f>
        <v>3189484</v>
      </c>
      <c r="E84" s="42">
        <f>'D4 Gallon Forecast'!E134+'D5 Gallon Forecast'!E121+'D6 Gallon Forecast'!E210</f>
        <v>1292690</v>
      </c>
      <c r="F84" s="42">
        <f>'D4 Gallon Forecast'!F134+'D5 Gallon Forecast'!F121+'D6 Gallon Forecast'!F210</f>
        <v>12293217</v>
      </c>
      <c r="G84" s="42">
        <f>'D4 Gallon Forecast'!G134+'D5 Gallon Forecast'!G121+'D6 Gallon Forecast'!G210</f>
        <v>13481081</v>
      </c>
      <c r="H84" s="42">
        <f>'D4 Gallon Forecast'!H134+'D5 Gallon Forecast'!H121+'D6 Gallon Forecast'!H210</f>
        <v>7354950</v>
      </c>
      <c r="I84" s="42">
        <f>'D4 Gallon Forecast'!I134+'D5 Gallon Forecast'!I121+'D6 Gallon Forecast'!I210</f>
        <v>21042625</v>
      </c>
      <c r="J84" s="42">
        <f>'D4 Gallon Forecast'!J134+'D5 Gallon Forecast'!J121+'D6 Gallon Forecast'!J210</f>
        <v>21604812</v>
      </c>
      <c r="K84" s="42">
        <f>'D4 Gallon Forecast'!K134+'D5 Gallon Forecast'!K121+'D6 Gallon Forecast'!K210</f>
        <v>40173701</v>
      </c>
      <c r="L84" s="42">
        <f>'D4 Gallon Forecast'!L134+'D5 Gallon Forecast'!L121+'D6 Gallon Forecast'!L210</f>
        <v>37300666</v>
      </c>
      <c r="M84" s="42">
        <f>'D4 Gallon Forecast'!M134+'D5 Gallon Forecast'!M121+'D6 Gallon Forecast'!M210</f>
        <v>51175710</v>
      </c>
      <c r="N84" s="42">
        <f>'D4 Gallon Forecast'!N134+'D5 Gallon Forecast'!N121+'D6 Gallon Forecast'!N210</f>
        <v>101396491</v>
      </c>
      <c r="O84" s="42">
        <f>'D4 Gallon Forecast'!O134+'D5 Gallon Forecast'!O121+'D6 Gallon Forecast'!O210</f>
        <v>141070359</v>
      </c>
      <c r="P84" s="42">
        <f>'D4 Gallon Forecast'!P134+'D5 Gallon Forecast'!P121+'D6 Gallon Forecast'!P210</f>
        <v>230073636</v>
      </c>
      <c r="Q84" s="42">
        <f>'D4 Gallon Forecast'!Q134+'D5 Gallon Forecast'!Q121+'D6 Gallon Forecast'!Q210</f>
        <v>186102792</v>
      </c>
      <c r="R84" s="43">
        <f>'D4 Gallon Forecast'!R134+'D5 Gallon Forecast'!R121+'D6 Gallon Forecast'!R210</f>
        <v>188920877.88275504</v>
      </c>
      <c r="S84" s="43">
        <f>'D4 Gallon Forecast'!S134+'D5 Gallon Forecast'!S121+'D6 Gallon Forecast'!S210</f>
        <v>208087458.74720728</v>
      </c>
      <c r="T84" s="43">
        <f>'D4 Gallon Forecast'!T134+'D5 Gallon Forecast'!T121+'D6 Gallon Forecast'!T210</f>
        <v>211940257.3015556</v>
      </c>
      <c r="U84" s="43">
        <f>'D4 Gallon Forecast'!U134+'D5 Gallon Forecast'!U121+'D6 Gallon Forecast'!U210</f>
        <v>214020412.68485782</v>
      </c>
      <c r="V84" s="43">
        <f>'D4 Gallon Forecast'!V134+'D5 Gallon Forecast'!V121+'D6 Gallon Forecast'!V210</f>
        <v>224248992.3909564</v>
      </c>
      <c r="W84" s="43">
        <f>'D4 Gallon Forecast'!W134+'D5 Gallon Forecast'!W121+'D6 Gallon Forecast'!W210</f>
        <v>242941688.091079</v>
      </c>
      <c r="X84" s="43">
        <f>'D4 Gallon Forecast'!X134+'D5 Gallon Forecast'!X121+'D6 Gallon Forecast'!X210</f>
        <v>288186763.80865526</v>
      </c>
      <c r="Y84" s="43">
        <f>'D4 Gallon Forecast'!Y134+'D5 Gallon Forecast'!Y121+'D6 Gallon Forecast'!Y210</f>
        <v>286740408.06441188</v>
      </c>
      <c r="Z84" s="43">
        <f>'D4 Gallon Forecast'!Z134+'D5 Gallon Forecast'!Z121+'D6 Gallon Forecast'!Z210</f>
        <v>278759454.26224506</v>
      </c>
      <c r="AA84" s="43">
        <f>'D4 Gallon Forecast'!AA134+'D5 Gallon Forecast'!AA121+'D6 Gallon Forecast'!AA210</f>
        <v>295300319.29712445</v>
      </c>
      <c r="AB84" s="43">
        <f>'D4 Gallon Forecast'!AB134+'D5 Gallon Forecast'!AB121+'D6 Gallon Forecast'!AB210</f>
        <v>319194658.98223019</v>
      </c>
      <c r="AC84" s="43">
        <f>'D4 Gallon Forecast'!AC134+'D5 Gallon Forecast'!AC121+'D6 Gallon Forecast'!AC210</f>
        <v>363312467.39881754</v>
      </c>
      <c r="AD84" s="43">
        <f>'D4 Gallon Forecast'!AD134+'D5 Gallon Forecast'!AD121+'D6 Gallon Forecast'!AD210</f>
        <v>400787882.50954103</v>
      </c>
      <c r="AE84" s="43">
        <f>'D4 Gallon Forecast'!AE134+'D5 Gallon Forecast'!AE121+'D6 Gallon Forecast'!AE210</f>
        <v>401959953.89041197</v>
      </c>
      <c r="AF84" s="43">
        <f>'D4 Gallon Forecast'!AF134+'D5 Gallon Forecast'!AF121+'D6 Gallon Forecast'!AF210</f>
        <v>353174697.14437717</v>
      </c>
      <c r="AG84" s="43">
        <f>'D4 Gallon Forecast'!AG134+'D5 Gallon Forecast'!AG121+'D6 Gallon Forecast'!AG210</f>
        <v>373708707.81553322</v>
      </c>
      <c r="AH84" s="43">
        <f>'D4 Gallon Forecast'!AH134+'D5 Gallon Forecast'!AH121+'D6 Gallon Forecast'!AH210</f>
        <v>395037232.16588795</v>
      </c>
      <c r="AI84" s="43">
        <f>'D4 Gallon Forecast'!AI134+'D5 Gallon Forecast'!AI121+'D6 Gallon Forecast'!AI210</f>
        <v>429289163.77650756</v>
      </c>
      <c r="AJ84" s="43">
        <f>'D4 Gallon Forecast'!AJ134+'D5 Gallon Forecast'!AJ121+'D6 Gallon Forecast'!AJ210</f>
        <v>437830509.35546809</v>
      </c>
      <c r="AK84" s="43">
        <f>'D4 Gallon Forecast'!AK134+'D5 Gallon Forecast'!AK121+'D6 Gallon Forecast'!AK210</f>
        <v>435329697.64782506</v>
      </c>
      <c r="AL84" s="43">
        <f>'D4 Gallon Forecast'!AL134+'D5 Gallon Forecast'!AL121+'D6 Gallon Forecast'!AL210</f>
        <v>414752077.1269027</v>
      </c>
      <c r="AM84" s="43">
        <f>'D4 Gallon Forecast'!AM134+'D5 Gallon Forecast'!AM121+'D6 Gallon Forecast'!AM210</f>
        <v>431912772.61670196</v>
      </c>
      <c r="AN84" s="43">
        <f>'D4 Gallon Forecast'!AN134+'D5 Gallon Forecast'!AN121+'D6 Gallon Forecast'!AN210</f>
        <v>447408531.64359641</v>
      </c>
      <c r="AO84" s="43">
        <f>'D4 Gallon Forecast'!AO134+'D5 Gallon Forecast'!AO121+'D6 Gallon Forecast'!AO210</f>
        <v>463586697.81772697</v>
      </c>
      <c r="AP84" s="43">
        <f>'D4 Gallon Forecast'!AP134+'D5 Gallon Forecast'!AP121+'D6 Gallon Forecast'!AP210</f>
        <v>483711987.43685955</v>
      </c>
      <c r="AQ84" s="43">
        <f>'D4 Gallon Forecast'!AQ134+'D5 Gallon Forecast'!AQ121+'D6 Gallon Forecast'!AQ210</f>
        <v>506223074.7009427</v>
      </c>
      <c r="AR84" s="43"/>
      <c r="AS84" s="45">
        <f t="shared" ref="AS84:AS94" si="46">P84/P83-1</f>
        <v>-5.9349221718452139E-4</v>
      </c>
      <c r="AT84" s="57">
        <f t="shared" si="43"/>
        <v>2.0932839569588424</v>
      </c>
      <c r="AV84" s="42">
        <f t="shared" si="44"/>
        <v>39673868</v>
      </c>
      <c r="AW84" s="42">
        <f>O84/28</f>
        <v>5038227.1071428573</v>
      </c>
      <c r="AX84" s="42">
        <f>'D4 Gallon Forecast'!BM134+'D5 Gallon Forecast'!AX121+'D6 Gallon Forecast'!BK210</f>
        <v>6800105.5753128696</v>
      </c>
      <c r="AY84" s="42">
        <f t="shared" si="45"/>
        <v>134270253.42468712</v>
      </c>
    </row>
    <row r="85" spans="1:51">
      <c r="A85" s="40" t="s">
        <v>45</v>
      </c>
      <c r="B85" s="42">
        <f>'D4 Gallon Forecast'!B135+'D5 Gallon Forecast'!B122+'D6 Gallon Forecast'!B211</f>
        <v>0</v>
      </c>
      <c r="C85" s="42">
        <f>'D4 Gallon Forecast'!C135+'D5 Gallon Forecast'!C122+'D6 Gallon Forecast'!C211</f>
        <v>3151383</v>
      </c>
      <c r="D85" s="42">
        <f>'D4 Gallon Forecast'!D135+'D5 Gallon Forecast'!D122+'D6 Gallon Forecast'!D211</f>
        <v>5354270</v>
      </c>
      <c r="E85" s="42">
        <f>'D4 Gallon Forecast'!E135+'D5 Gallon Forecast'!E122+'D6 Gallon Forecast'!E211</f>
        <v>1874493</v>
      </c>
      <c r="F85" s="42">
        <f>'D4 Gallon Forecast'!F135+'D5 Gallon Forecast'!F122+'D6 Gallon Forecast'!F211</f>
        <v>14953326</v>
      </c>
      <c r="G85" s="42">
        <f>'D4 Gallon Forecast'!G135+'D5 Gallon Forecast'!G122+'D6 Gallon Forecast'!G211</f>
        <v>16109924</v>
      </c>
      <c r="H85" s="42">
        <f>'D4 Gallon Forecast'!H135+'D5 Gallon Forecast'!H122+'D6 Gallon Forecast'!H211</f>
        <v>17925081</v>
      </c>
      <c r="I85" s="42">
        <f>'D4 Gallon Forecast'!I135+'D5 Gallon Forecast'!I122+'D6 Gallon Forecast'!I211</f>
        <v>15856580</v>
      </c>
      <c r="J85" s="42">
        <f>'D4 Gallon Forecast'!J135+'D5 Gallon Forecast'!J122+'D6 Gallon Forecast'!J211</f>
        <v>25067979</v>
      </c>
      <c r="K85" s="42">
        <f>'D4 Gallon Forecast'!K135+'D5 Gallon Forecast'!K122+'D6 Gallon Forecast'!K211</f>
        <v>35740265</v>
      </c>
      <c r="L85" s="42">
        <f>'D4 Gallon Forecast'!L135+'D5 Gallon Forecast'!L122+'D6 Gallon Forecast'!L211</f>
        <v>45226785</v>
      </c>
      <c r="M85" s="42">
        <f>'D4 Gallon Forecast'!M135+'D5 Gallon Forecast'!M122+'D6 Gallon Forecast'!M211</f>
        <v>59222033</v>
      </c>
      <c r="N85" s="42">
        <f>'D4 Gallon Forecast'!N135+'D5 Gallon Forecast'!N122+'D6 Gallon Forecast'!N211</f>
        <v>110055959</v>
      </c>
      <c r="O85" s="42">
        <f>'D4 Gallon Forecast'!O135+'D5 Gallon Forecast'!O122+'D6 Gallon Forecast'!O211</f>
        <v>184173779</v>
      </c>
      <c r="P85" s="42">
        <f>'D4 Gallon Forecast'!P135+'D5 Gallon Forecast'!P122+'D6 Gallon Forecast'!P211</f>
        <v>215237303</v>
      </c>
      <c r="Q85" s="42">
        <f>'D4 Gallon Forecast'!Q135+'D5 Gallon Forecast'!Q122+'D6 Gallon Forecast'!Q211</f>
        <v>229398492</v>
      </c>
      <c r="R85" s="43">
        <f>'D4 Gallon Forecast'!R135+'D5 Gallon Forecast'!R122+'D6 Gallon Forecast'!R211</f>
        <v>201085525.47234574</v>
      </c>
      <c r="S85" s="43">
        <f>'D4 Gallon Forecast'!S135+'D5 Gallon Forecast'!S122+'D6 Gallon Forecast'!S211</f>
        <v>222329447.36161846</v>
      </c>
      <c r="T85" s="43">
        <f>'D4 Gallon Forecast'!T135+'D5 Gallon Forecast'!T122+'D6 Gallon Forecast'!T211</f>
        <v>227264879.74707708</v>
      </c>
      <c r="U85" s="43">
        <f>'D4 Gallon Forecast'!U135+'D5 Gallon Forecast'!U122+'D6 Gallon Forecast'!U211</f>
        <v>228578264.88394293</v>
      </c>
      <c r="V85" s="43">
        <f>'D4 Gallon Forecast'!V135+'D5 Gallon Forecast'!V122+'D6 Gallon Forecast'!V211</f>
        <v>239817437.50720793</v>
      </c>
      <c r="W85" s="43">
        <f>'D4 Gallon Forecast'!W135+'D5 Gallon Forecast'!W122+'D6 Gallon Forecast'!W211</f>
        <v>259740557.4406063</v>
      </c>
      <c r="X85" s="43">
        <f>'D4 Gallon Forecast'!X135+'D5 Gallon Forecast'!X122+'D6 Gallon Forecast'!X211</f>
        <v>308028345.58673579</v>
      </c>
      <c r="Y85" s="43">
        <f>'D4 Gallon Forecast'!Y135+'D5 Gallon Forecast'!Y122+'D6 Gallon Forecast'!Y211</f>
        <v>306627190.56984639</v>
      </c>
      <c r="Z85" s="43">
        <f>'D4 Gallon Forecast'!Z135+'D5 Gallon Forecast'!Z122+'D6 Gallon Forecast'!Z211</f>
        <v>298274996.33242476</v>
      </c>
      <c r="AA85" s="43">
        <f>'D4 Gallon Forecast'!AA135+'D5 Gallon Forecast'!AA122+'D6 Gallon Forecast'!AA211</f>
        <v>316042904.1115849</v>
      </c>
      <c r="AB85" s="43">
        <f>'D4 Gallon Forecast'!AB135+'D5 Gallon Forecast'!AB122+'D6 Gallon Forecast'!AB211</f>
        <v>341122710.72358978</v>
      </c>
      <c r="AC85" s="43">
        <f>'D4 Gallon Forecast'!AC135+'D5 Gallon Forecast'!AC122+'D6 Gallon Forecast'!AC211</f>
        <v>387999393.02523911</v>
      </c>
      <c r="AD85" s="43">
        <f>'D4 Gallon Forecast'!AD135+'D5 Gallon Forecast'!AD122+'D6 Gallon Forecast'!AD211</f>
        <v>428003408.27289242</v>
      </c>
      <c r="AE85" s="43">
        <f>'D4 Gallon Forecast'!AE135+'D5 Gallon Forecast'!AE122+'D6 Gallon Forecast'!AE211</f>
        <v>429759633.69802207</v>
      </c>
      <c r="AF85" s="43">
        <f>'D4 Gallon Forecast'!AF135+'D5 Gallon Forecast'!AF122+'D6 Gallon Forecast'!AF211</f>
        <v>378387410.96765256</v>
      </c>
      <c r="AG85" s="43">
        <f>'D4 Gallon Forecast'!AG135+'D5 Gallon Forecast'!AG122+'D6 Gallon Forecast'!AG211</f>
        <v>400041962.07578814</v>
      </c>
      <c r="AH85" s="43">
        <f>'D4 Gallon Forecast'!AH135+'D5 Gallon Forecast'!AH122+'D6 Gallon Forecast'!AH211</f>
        <v>422830876.71840817</v>
      </c>
      <c r="AI85" s="43">
        <f>'D4 Gallon Forecast'!AI135+'D5 Gallon Forecast'!AI122+'D6 Gallon Forecast'!AI211</f>
        <v>459441787.41338158</v>
      </c>
      <c r="AJ85" s="43">
        <f>'D4 Gallon Forecast'!AJ135+'D5 Gallon Forecast'!AJ122+'D6 Gallon Forecast'!AJ211</f>
        <v>468618846.21794415</v>
      </c>
      <c r="AK85" s="43">
        <f>'D4 Gallon Forecast'!AK135+'D5 Gallon Forecast'!AK122+'D6 Gallon Forecast'!AK211</f>
        <v>465973457.87264115</v>
      </c>
      <c r="AL85" s="43">
        <f>'D4 Gallon Forecast'!AL135+'D5 Gallon Forecast'!AL122+'D6 Gallon Forecast'!AL211</f>
        <v>444266293.48293</v>
      </c>
      <c r="AM85" s="43">
        <f>'D4 Gallon Forecast'!AM135+'D5 Gallon Forecast'!AM122+'D6 Gallon Forecast'!AM211</f>
        <v>462213116.95904553</v>
      </c>
      <c r="AN85" s="43">
        <f>'D4 Gallon Forecast'!AN135+'D5 Gallon Forecast'!AN122+'D6 Gallon Forecast'!AN211</f>
        <v>478812916.39649665</v>
      </c>
      <c r="AO85" s="43">
        <f>'D4 Gallon Forecast'!AO135+'D5 Gallon Forecast'!AO122+'D6 Gallon Forecast'!AO211</f>
        <v>496126292.14758509</v>
      </c>
      <c r="AP85" s="43">
        <f>'D4 Gallon Forecast'!AP135+'D5 Gallon Forecast'!AP122+'D6 Gallon Forecast'!AP211</f>
        <v>517394201.78451204</v>
      </c>
      <c r="AQ85" s="43">
        <f>'D4 Gallon Forecast'!AQ135+'D5 Gallon Forecast'!AQ122+'D6 Gallon Forecast'!AQ211</f>
        <v>533183903.69263083</v>
      </c>
      <c r="AR85" s="43"/>
      <c r="AS85" s="45">
        <f t="shared" si="46"/>
        <v>-6.4485150310746642E-2</v>
      </c>
      <c r="AT85" s="57">
        <f t="shared" si="43"/>
        <v>1.7160037972158073</v>
      </c>
      <c r="AV85" s="42">
        <f t="shared" si="44"/>
        <v>74117820</v>
      </c>
      <c r="AW85" s="42">
        <f>O85/31</f>
        <v>5941089.6451612907</v>
      </c>
      <c r="AX85" s="42">
        <f>'D4 Gallon Forecast'!BM135+'D5 Gallon Forecast'!AX122+'D6 Gallon Forecast'!BK211</f>
        <v>62448105.780942202</v>
      </c>
      <c r="AY85" s="42">
        <f t="shared" si="45"/>
        <v>121725673.2190578</v>
      </c>
    </row>
    <row r="86" spans="1:51">
      <c r="A86" s="40" t="s">
        <v>46</v>
      </c>
      <c r="B86" s="42">
        <f>'D4 Gallon Forecast'!B136+'D5 Gallon Forecast'!B123+'D6 Gallon Forecast'!B212</f>
        <v>0</v>
      </c>
      <c r="C86" s="42">
        <f>'D4 Gallon Forecast'!C136+'D5 Gallon Forecast'!C123+'D6 Gallon Forecast'!C212</f>
        <v>1966907</v>
      </c>
      <c r="D86" s="42">
        <f>'D4 Gallon Forecast'!D136+'D5 Gallon Forecast'!D123+'D6 Gallon Forecast'!D212</f>
        <v>3552348</v>
      </c>
      <c r="E86" s="42">
        <f>'D4 Gallon Forecast'!E136+'D5 Gallon Forecast'!E123+'D6 Gallon Forecast'!E212</f>
        <v>1673823</v>
      </c>
      <c r="F86" s="42">
        <f>'D4 Gallon Forecast'!F136+'D5 Gallon Forecast'!F123+'D6 Gallon Forecast'!F212</f>
        <v>13676328</v>
      </c>
      <c r="G86" s="42">
        <f>'D4 Gallon Forecast'!G136+'D5 Gallon Forecast'!G123+'D6 Gallon Forecast'!G212</f>
        <v>15732656</v>
      </c>
      <c r="H86" s="42">
        <f>'D4 Gallon Forecast'!H136+'D5 Gallon Forecast'!H123+'D6 Gallon Forecast'!H212</f>
        <v>21253081</v>
      </c>
      <c r="I86" s="42">
        <f>'D4 Gallon Forecast'!I136+'D5 Gallon Forecast'!I123+'D6 Gallon Forecast'!I212</f>
        <v>20403202</v>
      </c>
      <c r="J86" s="42">
        <f>'D4 Gallon Forecast'!J136+'D5 Gallon Forecast'!J123+'D6 Gallon Forecast'!J212</f>
        <v>25750984</v>
      </c>
      <c r="K86" s="42">
        <f>'D4 Gallon Forecast'!K136+'D5 Gallon Forecast'!K123+'D6 Gallon Forecast'!K212</f>
        <v>38557434</v>
      </c>
      <c r="L86" s="42">
        <f>'D4 Gallon Forecast'!L136+'D5 Gallon Forecast'!L123+'D6 Gallon Forecast'!L212</f>
        <v>38638856</v>
      </c>
      <c r="M86" s="42">
        <f>'D4 Gallon Forecast'!M136+'D5 Gallon Forecast'!M123+'D6 Gallon Forecast'!M212</f>
        <v>50634433</v>
      </c>
      <c r="N86" s="42">
        <f>'D4 Gallon Forecast'!N136+'D5 Gallon Forecast'!N123+'D6 Gallon Forecast'!N212</f>
        <v>106480662</v>
      </c>
      <c r="O86" s="42">
        <f>'D4 Gallon Forecast'!O136+'D5 Gallon Forecast'!O123+'D6 Gallon Forecast'!O212</f>
        <v>174407540</v>
      </c>
      <c r="P86" s="42">
        <f>'D4 Gallon Forecast'!P136+'D5 Gallon Forecast'!P123+'D6 Gallon Forecast'!P212</f>
        <v>283189357</v>
      </c>
      <c r="Q86" s="43">
        <f>'D4 Gallon Forecast'!Q136+'D5 Gallon Forecast'!Q123+'D6 Gallon Forecast'!Q212</f>
        <v>201331356.4815461</v>
      </c>
      <c r="R86" s="43">
        <f>'D4 Gallon Forecast'!R136+'D5 Gallon Forecast'!R123+'D6 Gallon Forecast'!R212</f>
        <v>193344202.49970382</v>
      </c>
      <c r="S86" s="43">
        <f>'D4 Gallon Forecast'!S136+'D5 Gallon Forecast'!S123+'D6 Gallon Forecast'!S212</f>
        <v>213396859.74068043</v>
      </c>
      <c r="T86" s="43">
        <f>'D4 Gallon Forecast'!T136+'D5 Gallon Forecast'!T123+'D6 Gallon Forecast'!T212</f>
        <v>217371467.25445896</v>
      </c>
      <c r="U86" s="43">
        <f>'D4 Gallon Forecast'!U136+'D5 Gallon Forecast'!U123+'D6 Gallon Forecast'!U212</f>
        <v>218955341.14504278</v>
      </c>
      <c r="V86" s="43">
        <f>'D4 Gallon Forecast'!V136+'D5 Gallon Forecast'!V123+'D6 Gallon Forecast'!V212</f>
        <v>229462278.14924833</v>
      </c>
      <c r="W86" s="43">
        <f>'D4 Gallon Forecast'!W136+'D5 Gallon Forecast'!W123+'D6 Gallon Forecast'!W212</f>
        <v>248826445.36842561</v>
      </c>
      <c r="X86" s="43">
        <f>'D4 Gallon Forecast'!X136+'D5 Gallon Forecast'!X123+'D6 Gallon Forecast'!X212</f>
        <v>295175326.88767368</v>
      </c>
      <c r="Y86" s="43">
        <f>'D4 Gallon Forecast'!Y136+'D5 Gallon Forecast'!Y123+'D6 Gallon Forecast'!Y212</f>
        <v>293643197.48746473</v>
      </c>
      <c r="Z86" s="43">
        <f>'D4 Gallon Forecast'!Z136+'D5 Gallon Forecast'!Z123+'D6 Gallon Forecast'!Z212</f>
        <v>285421262.34656847</v>
      </c>
      <c r="AA86" s="43">
        <f>'D4 Gallon Forecast'!AA136+'D5 Gallon Forecast'!AA123+'D6 Gallon Forecast'!AA212</f>
        <v>302397508.53541154</v>
      </c>
      <c r="AB86" s="43">
        <f>'D4 Gallon Forecast'!AB136+'D5 Gallon Forecast'!AB123+'D6 Gallon Forecast'!AB212</f>
        <v>326861443.74999732</v>
      </c>
      <c r="AC86" s="43">
        <f>'D4 Gallon Forecast'!AC136+'D5 Gallon Forecast'!AC123+'D6 Gallon Forecast'!AC212</f>
        <v>372006049.33358061</v>
      </c>
      <c r="AD86" s="43">
        <f>'D4 Gallon Forecast'!AD136+'D5 Gallon Forecast'!AD123+'D6 Gallon Forecast'!AD212</f>
        <v>410359869.85578811</v>
      </c>
      <c r="AE86" s="43">
        <f>'D4 Gallon Forecast'!AE136+'D5 Gallon Forecast'!AE123+'D6 Gallon Forecast'!AE212</f>
        <v>411597041.79497296</v>
      </c>
      <c r="AF86" s="43">
        <f>'D4 Gallon Forecast'!AF136+'D5 Gallon Forecast'!AF123+'D6 Gallon Forecast'!AF212</f>
        <v>361716665.73921573</v>
      </c>
      <c r="AG86" s="43">
        <f>'D4 Gallon Forecast'!AG136+'D5 Gallon Forecast'!AG123+'D6 Gallon Forecast'!AG212</f>
        <v>382721970.09857023</v>
      </c>
      <c r="AH86" s="43">
        <f>'D4 Gallon Forecast'!AH136+'D5 Gallon Forecast'!AH123+'D6 Gallon Forecast'!AH212</f>
        <v>404557748.23663205</v>
      </c>
      <c r="AI86" s="43">
        <f>'D4 Gallon Forecast'!AI136+'D5 Gallon Forecast'!AI123+'D6 Gallon Forecast'!AI212</f>
        <v>439628319.67919081</v>
      </c>
      <c r="AJ86" s="43">
        <f>'D4 Gallon Forecast'!AJ136+'D5 Gallon Forecast'!AJ123+'D6 Gallon Forecast'!AJ212</f>
        <v>448378916.80213147</v>
      </c>
      <c r="AK86" s="43">
        <f>'D4 Gallon Forecast'!AK136+'D5 Gallon Forecast'!AK123+'D6 Gallon Forecast'!AK212</f>
        <v>445822220.49405354</v>
      </c>
      <c r="AL86" s="43">
        <f>'D4 Gallon Forecast'!AL136+'D5 Gallon Forecast'!AL123+'D6 Gallon Forecast'!AL212</f>
        <v>424775437.69649988</v>
      </c>
      <c r="AM86" s="43">
        <f>'D4 Gallon Forecast'!AM136+'D5 Gallon Forecast'!AM123+'D6 Gallon Forecast'!AM212</f>
        <v>442313554.22764301</v>
      </c>
      <c r="AN86" s="43">
        <f>'D4 Gallon Forecast'!AN136+'D5 Gallon Forecast'!AN123+'D6 Gallon Forecast'!AN212</f>
        <v>458183683.48848301</v>
      </c>
      <c r="AO86" s="43">
        <f>'D4 Gallon Forecast'!AO136+'D5 Gallon Forecast'!AO123+'D6 Gallon Forecast'!AO212</f>
        <v>474751720.2714451</v>
      </c>
      <c r="AP86" s="43">
        <f>'D4 Gallon Forecast'!AP136+'D5 Gallon Forecast'!AP123+'D6 Gallon Forecast'!AP212</f>
        <v>495339261.25581235</v>
      </c>
      <c r="AQ86" s="43">
        <f>'D4 Gallon Forecast'!AQ136+'D5 Gallon Forecast'!AQ123+'D6 Gallon Forecast'!AQ212</f>
        <v>517695306.27747375</v>
      </c>
      <c r="AR86" s="43"/>
      <c r="AS86" s="45">
        <f t="shared" si="46"/>
        <v>0.31570760761669647</v>
      </c>
      <c r="AT86" s="57">
        <f t="shared" si="43"/>
        <v>1.7338557067854494</v>
      </c>
      <c r="AV86" s="42">
        <f t="shared" si="44"/>
        <v>67926878</v>
      </c>
      <c r="AW86" s="42">
        <f>O86/30</f>
        <v>5813584.666666667</v>
      </c>
      <c r="AX86" s="42">
        <f>'D4 Gallon Forecast'!BM136+'D5 Gallon Forecast'!AX123+'D6 Gallon Forecast'!BK212</f>
        <v>25390981.147415746</v>
      </c>
      <c r="AY86" s="42">
        <f t="shared" si="45"/>
        <v>149016558.85258424</v>
      </c>
    </row>
    <row r="87" spans="1:51">
      <c r="A87" s="40" t="s">
        <v>47</v>
      </c>
      <c r="B87" s="42">
        <f>'D4 Gallon Forecast'!B137+'D5 Gallon Forecast'!B124+'D6 Gallon Forecast'!B213</f>
        <v>0</v>
      </c>
      <c r="C87" s="42">
        <f>'D4 Gallon Forecast'!C137+'D5 Gallon Forecast'!C124+'D6 Gallon Forecast'!C213</f>
        <v>7525643</v>
      </c>
      <c r="D87" s="42">
        <f>'D4 Gallon Forecast'!D137+'D5 Gallon Forecast'!D124+'D6 Gallon Forecast'!D213</f>
        <v>3766248</v>
      </c>
      <c r="E87" s="42">
        <f>'D4 Gallon Forecast'!E137+'D5 Gallon Forecast'!E124+'D6 Gallon Forecast'!E213</f>
        <v>2792467</v>
      </c>
      <c r="F87" s="42">
        <f>'D4 Gallon Forecast'!F137+'D5 Gallon Forecast'!F124+'D6 Gallon Forecast'!F213</f>
        <v>16218844</v>
      </c>
      <c r="G87" s="42">
        <f>'D4 Gallon Forecast'!G137+'D5 Gallon Forecast'!G124+'D6 Gallon Forecast'!G213</f>
        <v>15741162</v>
      </c>
      <c r="H87" s="42">
        <f>'D4 Gallon Forecast'!H137+'D5 Gallon Forecast'!H124+'D6 Gallon Forecast'!H213</f>
        <v>21933497</v>
      </c>
      <c r="I87" s="42">
        <f>'D4 Gallon Forecast'!I137+'D5 Gallon Forecast'!I124+'D6 Gallon Forecast'!I213</f>
        <v>24392752</v>
      </c>
      <c r="J87" s="42">
        <f>'D4 Gallon Forecast'!J137+'D5 Gallon Forecast'!J124+'D6 Gallon Forecast'!J213</f>
        <v>21508247</v>
      </c>
      <c r="K87" s="42">
        <f>'D4 Gallon Forecast'!K137+'D5 Gallon Forecast'!K124+'D6 Gallon Forecast'!K213</f>
        <v>40382855</v>
      </c>
      <c r="L87" s="42">
        <f>'D4 Gallon Forecast'!L137+'D5 Gallon Forecast'!L124+'D6 Gallon Forecast'!L213</f>
        <v>46421171</v>
      </c>
      <c r="M87" s="42">
        <f>'D4 Gallon Forecast'!M137+'D5 Gallon Forecast'!M124+'D6 Gallon Forecast'!M213</f>
        <v>60051437</v>
      </c>
      <c r="N87" s="42">
        <f>'D4 Gallon Forecast'!N137+'D5 Gallon Forecast'!N124+'D6 Gallon Forecast'!N213</f>
        <v>136075722</v>
      </c>
      <c r="O87" s="42">
        <f>'D4 Gallon Forecast'!O137+'D5 Gallon Forecast'!O124+'D6 Gallon Forecast'!O213</f>
        <v>229265334</v>
      </c>
      <c r="P87" s="42">
        <f>'D4 Gallon Forecast'!P137+'D5 Gallon Forecast'!P124+'D6 Gallon Forecast'!P213</f>
        <v>220402735</v>
      </c>
      <c r="Q87" s="43">
        <f>'D4 Gallon Forecast'!Q137+'D5 Gallon Forecast'!Q124+'D6 Gallon Forecast'!Q213</f>
        <v>198336988.21685207</v>
      </c>
      <c r="R87" s="43">
        <f>'D4 Gallon Forecast'!R137+'D5 Gallon Forecast'!R124+'D6 Gallon Forecast'!R213</f>
        <v>216099681.58198112</v>
      </c>
      <c r="S87" s="43">
        <f>'D4 Gallon Forecast'!S137+'D5 Gallon Forecast'!S124+'D6 Gallon Forecast'!S213</f>
        <v>238853185.10802394</v>
      </c>
      <c r="T87" s="43">
        <f>'D4 Gallon Forecast'!T137+'D5 Gallon Forecast'!T124+'D6 Gallon Forecast'!T213</f>
        <v>242702114.27576911</v>
      </c>
      <c r="U87" s="43">
        <f>'D4 Gallon Forecast'!U137+'D5 Gallon Forecast'!U124+'D6 Gallon Forecast'!U213</f>
        <v>244000037.58973342</v>
      </c>
      <c r="V87" s="43">
        <f>'D4 Gallon Forecast'!V137+'D5 Gallon Forecast'!V124+'D6 Gallon Forecast'!V213</f>
        <v>256351694.14983538</v>
      </c>
      <c r="W87" s="43">
        <f>'D4 Gallon Forecast'!W137+'D5 Gallon Forecast'!W124+'D6 Gallon Forecast'!W213</f>
        <v>277936054.80820769</v>
      </c>
      <c r="X87" s="43">
        <f>'D4 Gallon Forecast'!X137+'D5 Gallon Forecast'!X124+'D6 Gallon Forecast'!X213</f>
        <v>329674933.86319137</v>
      </c>
      <c r="Y87" s="43">
        <f>'D4 Gallon Forecast'!Y137+'D5 Gallon Forecast'!Y124+'D6 Gallon Forecast'!Y213</f>
        <v>327838041.39430302</v>
      </c>
      <c r="Z87" s="43">
        <f>'D4 Gallon Forecast'!Z137+'D5 Gallon Forecast'!Z124+'D6 Gallon Forecast'!Z213</f>
        <v>318640962.61132663</v>
      </c>
      <c r="AA87" s="43">
        <f>'D4 Gallon Forecast'!AA137+'D5 Gallon Forecast'!AA124+'D6 Gallon Forecast'!AA213</f>
        <v>337697976.64706576</v>
      </c>
      <c r="AB87" s="43">
        <f>'D4 Gallon Forecast'!AB137+'D5 Gallon Forecast'!AB124+'D6 Gallon Forecast'!AB213</f>
        <v>365006830.42158008</v>
      </c>
      <c r="AC87" s="43">
        <f>'D4 Gallon Forecast'!AC137+'D5 Gallon Forecast'!AC124+'D6 Gallon Forecast'!AC213</f>
        <v>415410348.78232515</v>
      </c>
      <c r="AD87" s="43">
        <f>'D4 Gallon Forecast'!AD137+'D5 Gallon Forecast'!AD124+'D6 Gallon Forecast'!AD213</f>
        <v>458223615.86661655</v>
      </c>
      <c r="AE87" s="43">
        <f>'D4 Gallon Forecast'!AE137+'D5 Gallon Forecast'!AE124+'D6 Gallon Forecast'!AE213</f>
        <v>459599408.71388924</v>
      </c>
      <c r="AF87" s="43">
        <f>'D4 Gallon Forecast'!AF137+'D5 Gallon Forecast'!AF124+'D6 Gallon Forecast'!AF213</f>
        <v>403891971.94833112</v>
      </c>
      <c r="AG87" s="43">
        <f>'D4 Gallon Forecast'!AG137+'D5 Gallon Forecast'!AG124+'D6 Gallon Forecast'!AG213</f>
        <v>427348987.91155642</v>
      </c>
      <c r="AH87" s="43">
        <f>'D4 Gallon Forecast'!AH137+'D5 Gallon Forecast'!AH124+'D6 Gallon Forecast'!AH213</f>
        <v>451728709.96381629</v>
      </c>
      <c r="AI87" s="43">
        <f>'D4 Gallon Forecast'!AI137+'D5 Gallon Forecast'!AI124+'D6 Gallon Forecast'!AI213</f>
        <v>490889319.8509407</v>
      </c>
      <c r="AJ87" s="43">
        <f>'D4 Gallon Forecast'!AJ137+'D5 Gallon Forecast'!AJ124+'D6 Gallon Forecast'!AJ213</f>
        <v>500661953.8854807</v>
      </c>
      <c r="AK87" s="43">
        <f>'D4 Gallon Forecast'!AK137+'D5 Gallon Forecast'!AK124+'D6 Gallon Forecast'!AK213</f>
        <v>497807396.27595097</v>
      </c>
      <c r="AL87" s="43">
        <f>'D4 Gallon Forecast'!AL137+'D5 Gallon Forecast'!AL124+'D6 Gallon Forecast'!AL213</f>
        <v>474295541.19663417</v>
      </c>
      <c r="AM87" s="43">
        <f>'D4 Gallon Forecast'!AM137+'D5 Gallon Forecast'!AM124+'D6 Gallon Forecast'!AM213</f>
        <v>493890684.47622216</v>
      </c>
      <c r="AN87" s="43">
        <f>'D4 Gallon Forecast'!AN137+'D5 Gallon Forecast'!AN124+'D6 Gallon Forecast'!AN213</f>
        <v>511611135.12325239</v>
      </c>
      <c r="AO87" s="43">
        <f>'D4 Gallon Forecast'!AO137+'D5 Gallon Forecast'!AO124+'D6 Gallon Forecast'!AO213</f>
        <v>530111591.03694379</v>
      </c>
      <c r="AP87" s="43">
        <f>'D4 Gallon Forecast'!AP137+'D5 Gallon Forecast'!AP124+'D6 Gallon Forecast'!AP213</f>
        <v>553107719.81817889</v>
      </c>
      <c r="AQ87" s="43">
        <f>'D4 Gallon Forecast'!AQ137+'D5 Gallon Forecast'!AQ124+'D6 Gallon Forecast'!AQ213</f>
        <v>578314761.61293483</v>
      </c>
      <c r="AR87" s="43"/>
      <c r="AS87" s="45">
        <f t="shared" si="46"/>
        <v>-0.22171250595409908</v>
      </c>
      <c r="AT87" s="57">
        <f t="shared" si="43"/>
        <v>1.4729569916011191</v>
      </c>
      <c r="AV87" s="42">
        <f t="shared" si="44"/>
        <v>93189612</v>
      </c>
      <c r="AW87" s="42">
        <f>O87/31</f>
        <v>7395655.935483871</v>
      </c>
      <c r="AX87" s="42">
        <f>'D4 Gallon Forecast'!BM137+'D5 Gallon Forecast'!AX124+'D6 Gallon Forecast'!BK213</f>
        <v>24319056.575219102</v>
      </c>
      <c r="AY87" s="42">
        <f t="shared" si="45"/>
        <v>204946277.42478091</v>
      </c>
    </row>
    <row r="88" spans="1:51">
      <c r="A88" s="40" t="s">
        <v>48</v>
      </c>
      <c r="B88" s="42">
        <f>'D4 Gallon Forecast'!B138+'D5 Gallon Forecast'!B125+'D6 Gallon Forecast'!B214</f>
        <v>0</v>
      </c>
      <c r="C88" s="42">
        <f>'D4 Gallon Forecast'!C138+'D5 Gallon Forecast'!C125+'D6 Gallon Forecast'!C214</f>
        <v>4563727</v>
      </c>
      <c r="D88" s="42">
        <f>'D4 Gallon Forecast'!D138+'D5 Gallon Forecast'!D125+'D6 Gallon Forecast'!D214</f>
        <v>3592628</v>
      </c>
      <c r="E88" s="42">
        <f>'D4 Gallon Forecast'!E138+'D5 Gallon Forecast'!E125+'D6 Gallon Forecast'!E214</f>
        <v>7255975</v>
      </c>
      <c r="F88" s="42">
        <f>'D4 Gallon Forecast'!F138+'D5 Gallon Forecast'!F125+'D6 Gallon Forecast'!F214</f>
        <v>15664923</v>
      </c>
      <c r="G88" s="42">
        <f>'D4 Gallon Forecast'!G138+'D5 Gallon Forecast'!G125+'D6 Gallon Forecast'!G214</f>
        <v>14419983</v>
      </c>
      <c r="H88" s="42">
        <f>'D4 Gallon Forecast'!H138+'D5 Gallon Forecast'!H125+'D6 Gallon Forecast'!H214</f>
        <v>22569322</v>
      </c>
      <c r="I88" s="42">
        <f>'D4 Gallon Forecast'!I138+'D5 Gallon Forecast'!I125+'D6 Gallon Forecast'!I214</f>
        <v>17747238</v>
      </c>
      <c r="J88" s="42">
        <f>'D4 Gallon Forecast'!J138+'D5 Gallon Forecast'!J125+'D6 Gallon Forecast'!J214</f>
        <v>12384025</v>
      </c>
      <c r="K88" s="42">
        <f>'D4 Gallon Forecast'!K138+'D5 Gallon Forecast'!K125+'D6 Gallon Forecast'!K214</f>
        <v>39760652</v>
      </c>
      <c r="L88" s="42">
        <f>'D4 Gallon Forecast'!L138+'D5 Gallon Forecast'!L125+'D6 Gallon Forecast'!L214</f>
        <v>53207936</v>
      </c>
      <c r="M88" s="42">
        <f>'D4 Gallon Forecast'!M138+'D5 Gallon Forecast'!M125+'D6 Gallon Forecast'!M214</f>
        <v>68859545</v>
      </c>
      <c r="N88" s="42">
        <f>'D4 Gallon Forecast'!N138+'D5 Gallon Forecast'!N125+'D6 Gallon Forecast'!N214</f>
        <v>116253275</v>
      </c>
      <c r="O88" s="42">
        <f>'D4 Gallon Forecast'!O138+'D5 Gallon Forecast'!O125+'D6 Gallon Forecast'!O214</f>
        <v>202490999</v>
      </c>
      <c r="P88" s="42">
        <f>'D4 Gallon Forecast'!P138+'D5 Gallon Forecast'!P125+'D6 Gallon Forecast'!P214</f>
        <v>282589564</v>
      </c>
      <c r="Q88" s="43">
        <f>'D4 Gallon Forecast'!Q138+'D5 Gallon Forecast'!Q125+'D6 Gallon Forecast'!Q214</f>
        <v>195595310.42807597</v>
      </c>
      <c r="R88" s="43">
        <f>'D4 Gallon Forecast'!R138+'D5 Gallon Forecast'!R125+'D6 Gallon Forecast'!R214</f>
        <v>215722928.55995023</v>
      </c>
      <c r="S88" s="43">
        <f>'D4 Gallon Forecast'!S138+'D5 Gallon Forecast'!S125+'D6 Gallon Forecast'!S214</f>
        <v>238366010.68480831</v>
      </c>
      <c r="T88" s="43">
        <f>'D4 Gallon Forecast'!T138+'D5 Gallon Forecast'!T125+'D6 Gallon Forecast'!T214</f>
        <v>243606682.90877292</v>
      </c>
      <c r="U88" s="43">
        <f>'D4 Gallon Forecast'!U138+'D5 Gallon Forecast'!U125+'D6 Gallon Forecast'!U214</f>
        <v>244970522.4732177</v>
      </c>
      <c r="V88" s="43">
        <f>'D4 Gallon Forecast'!V138+'D5 Gallon Forecast'!V125+'D6 Gallon Forecast'!V214</f>
        <v>256708443.04556444</v>
      </c>
      <c r="W88" s="43">
        <f>'D4 Gallon Forecast'!W138+'D5 Gallon Forecast'!W125+'D6 Gallon Forecast'!W214</f>
        <v>278342482.54892325</v>
      </c>
      <c r="X88" s="43">
        <f>'D4 Gallon Forecast'!X138+'D5 Gallon Forecast'!X125+'D6 Gallon Forecast'!X214</f>
        <v>330115541.04007667</v>
      </c>
      <c r="Y88" s="43">
        <f>'D4 Gallon Forecast'!Y138+'D5 Gallon Forecast'!Y125+'D6 Gallon Forecast'!Y214</f>
        <v>328556808.6677587</v>
      </c>
      <c r="Z88" s="43">
        <f>'D4 Gallon Forecast'!Z138+'D5 Gallon Forecast'!Z125+'D6 Gallon Forecast'!Z214</f>
        <v>319494028.72717369</v>
      </c>
      <c r="AA88" s="43">
        <f>'D4 Gallon Forecast'!AA138+'D5 Gallon Forecast'!AA125+'D6 Gallon Forecast'!AA214</f>
        <v>338504106.54127818</v>
      </c>
      <c r="AB88" s="43">
        <f>'D4 Gallon Forecast'!AB138+'D5 Gallon Forecast'!AB125+'D6 Gallon Forecast'!AB214</f>
        <v>365555781.46483302</v>
      </c>
      <c r="AC88" s="43">
        <f>'D4 Gallon Forecast'!AC138+'D5 Gallon Forecast'!AC125+'D6 Gallon Forecast'!AC214</f>
        <v>415860895.26614875</v>
      </c>
      <c r="AD88" s="43">
        <f>'D4 Gallon Forecast'!AD138+'D5 Gallon Forecast'!AD125+'D6 Gallon Forecast'!AD214</f>
        <v>458732480.2883575</v>
      </c>
      <c r="AE88" s="43">
        <f>'D4 Gallon Forecast'!AE138+'D5 Gallon Forecast'!AE125+'D6 Gallon Forecast'!AE214</f>
        <v>460461090.31863701</v>
      </c>
      <c r="AF88" s="43">
        <f>'D4 Gallon Forecast'!AF138+'D5 Gallon Forecast'!AF125+'D6 Gallon Forecast'!AF214</f>
        <v>405196599.80051374</v>
      </c>
      <c r="AG88" s="43">
        <f>'D4 Gallon Forecast'!AG138+'D5 Gallon Forecast'!AG125+'D6 Gallon Forecast'!AG214</f>
        <v>428490873.9332031</v>
      </c>
      <c r="AH88" s="43">
        <f>'D4 Gallon Forecast'!AH138+'D5 Gallon Forecast'!AH125+'D6 Gallon Forecast'!AH214</f>
        <v>452909815.18144464</v>
      </c>
      <c r="AI88" s="43">
        <f>'D4 Gallon Forecast'!AI138+'D5 Gallon Forecast'!AI125+'D6 Gallon Forecast'!AI214</f>
        <v>492137597.67026901</v>
      </c>
      <c r="AJ88" s="43">
        <f>'D4 Gallon Forecast'!AJ138+'D5 Gallon Forecast'!AJ125+'D6 Gallon Forecast'!AJ214</f>
        <v>501957049.62916809</v>
      </c>
      <c r="AK88" s="43">
        <f>'D4 Gallon Forecast'!AK138+'D5 Gallon Forecast'!AK125+'D6 Gallon Forecast'!AK214</f>
        <v>499115830.75627995</v>
      </c>
      <c r="AL88" s="43">
        <f>'D4 Gallon Forecast'!AL138+'D5 Gallon Forecast'!AL125+'D6 Gallon Forecast'!AL214</f>
        <v>475773664.89115649</v>
      </c>
      <c r="AM88" s="43">
        <f>'D4 Gallon Forecast'!AM138+'D5 Gallon Forecast'!AM125+'D6 Gallon Forecast'!AM214</f>
        <v>495117455.28483742</v>
      </c>
      <c r="AN88" s="43">
        <f>'D4 Gallon Forecast'!AN138+'D5 Gallon Forecast'!AN125+'D6 Gallon Forecast'!AN214</f>
        <v>512893850.03131956</v>
      </c>
      <c r="AO88" s="43">
        <f>'D4 Gallon Forecast'!AO138+'D5 Gallon Forecast'!AO125+'D6 Gallon Forecast'!AO214</f>
        <v>531439779.40409589</v>
      </c>
      <c r="AP88" s="43">
        <f>'D4 Gallon Forecast'!AP138+'D5 Gallon Forecast'!AP125+'D6 Gallon Forecast'!AP214</f>
        <v>554299303.5024761</v>
      </c>
      <c r="AQ88" s="43">
        <f>'D4 Gallon Forecast'!AQ138+'D5 Gallon Forecast'!AQ125+'D6 Gallon Forecast'!AQ214</f>
        <v>573597671.41849363</v>
      </c>
      <c r="AR88" s="43"/>
      <c r="AS88" s="45">
        <f t="shared" si="46"/>
        <v>0.28215089526906278</v>
      </c>
      <c r="AT88" s="57">
        <f t="shared" si="43"/>
        <v>1.6716995234996999</v>
      </c>
      <c r="AV88" s="42">
        <f t="shared" si="44"/>
        <v>86237724</v>
      </c>
      <c r="AW88" s="42">
        <f>O88/30</f>
        <v>6749699.9666666668</v>
      </c>
      <c r="AX88" s="42">
        <f>'D4 Gallon Forecast'!BM138+'D5 Gallon Forecast'!AX125+'D6 Gallon Forecast'!BK214</f>
        <v>17635527.208558206</v>
      </c>
      <c r="AY88" s="42">
        <f t="shared" si="45"/>
        <v>184855471.7914418</v>
      </c>
    </row>
    <row r="89" spans="1:51">
      <c r="A89" s="40" t="s">
        <v>49</v>
      </c>
      <c r="B89" s="42">
        <f>'D4 Gallon Forecast'!B139+'D5 Gallon Forecast'!B126+'D6 Gallon Forecast'!B215</f>
        <v>314992</v>
      </c>
      <c r="C89" s="42">
        <f>'D4 Gallon Forecast'!C139+'D5 Gallon Forecast'!C126+'D6 Gallon Forecast'!C215</f>
        <v>6466366</v>
      </c>
      <c r="D89" s="42">
        <f>'D4 Gallon Forecast'!D139+'D5 Gallon Forecast'!D126+'D6 Gallon Forecast'!D215</f>
        <v>6278711</v>
      </c>
      <c r="E89" s="42">
        <f>'D4 Gallon Forecast'!E139+'D5 Gallon Forecast'!E126+'D6 Gallon Forecast'!E215</f>
        <v>15712345</v>
      </c>
      <c r="F89" s="42">
        <f>'D4 Gallon Forecast'!F139+'D5 Gallon Forecast'!F126+'D6 Gallon Forecast'!F215</f>
        <v>13997563</v>
      </c>
      <c r="G89" s="42">
        <f>'D4 Gallon Forecast'!G139+'D5 Gallon Forecast'!G126+'D6 Gallon Forecast'!G215</f>
        <v>15521249</v>
      </c>
      <c r="H89" s="42">
        <f>'D4 Gallon Forecast'!H139+'D5 Gallon Forecast'!H126+'D6 Gallon Forecast'!H215</f>
        <v>19520008</v>
      </c>
      <c r="I89" s="42">
        <f>'D4 Gallon Forecast'!I139+'D5 Gallon Forecast'!I126+'D6 Gallon Forecast'!I215</f>
        <v>19651809</v>
      </c>
      <c r="J89" s="42">
        <f>'D4 Gallon Forecast'!J139+'D5 Gallon Forecast'!J126+'D6 Gallon Forecast'!J215</f>
        <v>10553514</v>
      </c>
      <c r="K89" s="42">
        <f>'D4 Gallon Forecast'!K139+'D5 Gallon Forecast'!K126+'D6 Gallon Forecast'!K215</f>
        <v>46282285</v>
      </c>
      <c r="L89" s="42">
        <f>'D4 Gallon Forecast'!L139+'D5 Gallon Forecast'!L126+'D6 Gallon Forecast'!L215</f>
        <v>46684399</v>
      </c>
      <c r="M89" s="42">
        <f>'D4 Gallon Forecast'!M139+'D5 Gallon Forecast'!M126+'D6 Gallon Forecast'!M215</f>
        <v>69500573</v>
      </c>
      <c r="N89" s="42">
        <f>'D4 Gallon Forecast'!N139+'D5 Gallon Forecast'!N126+'D6 Gallon Forecast'!N215</f>
        <v>108975538</v>
      </c>
      <c r="O89" s="42">
        <f>'D4 Gallon Forecast'!O139+'D5 Gallon Forecast'!O126+'D6 Gallon Forecast'!O215</f>
        <v>182796774</v>
      </c>
      <c r="P89" s="42">
        <f>'D4 Gallon Forecast'!P139+'D5 Gallon Forecast'!P126+'D6 Gallon Forecast'!P215</f>
        <v>292486189</v>
      </c>
      <c r="Q89" s="43">
        <f>'D4 Gallon Forecast'!Q139+'D5 Gallon Forecast'!Q126+'D6 Gallon Forecast'!Q215</f>
        <v>192075200.21665865</v>
      </c>
      <c r="R89" s="43">
        <f>'D4 Gallon Forecast'!R139+'D5 Gallon Forecast'!R126+'D6 Gallon Forecast'!R215</f>
        <v>210519340.09415069</v>
      </c>
      <c r="S89" s="43">
        <f>'D4 Gallon Forecast'!S139+'D5 Gallon Forecast'!S126+'D6 Gallon Forecast'!S215</f>
        <v>232082093.56796181</v>
      </c>
      <c r="T89" s="43">
        <f>'D4 Gallon Forecast'!T139+'D5 Gallon Forecast'!T126+'D6 Gallon Forecast'!T215</f>
        <v>236773522.09535536</v>
      </c>
      <c r="U89" s="43">
        <f>'D4 Gallon Forecast'!U139+'D5 Gallon Forecast'!U126+'D6 Gallon Forecast'!U215</f>
        <v>238956910.24844706</v>
      </c>
      <c r="V89" s="43">
        <f>'D4 Gallon Forecast'!V139+'D5 Gallon Forecast'!V126+'D6 Gallon Forecast'!V215</f>
        <v>250033211.12136015</v>
      </c>
      <c r="W89" s="43">
        <f>'D4 Gallon Forecast'!W139+'D5 Gallon Forecast'!W126+'D6 Gallon Forecast'!W215</f>
        <v>271095635.63357651</v>
      </c>
      <c r="X89" s="43">
        <f>'D4 Gallon Forecast'!X139+'D5 Gallon Forecast'!X126+'D6 Gallon Forecast'!X215</f>
        <v>321538833.71866876</v>
      </c>
      <c r="Y89" s="43">
        <f>'D4 Gallon Forecast'!Y139+'D5 Gallon Forecast'!Y126+'D6 Gallon Forecast'!Y215</f>
        <v>319993427.68153834</v>
      </c>
      <c r="Z89" s="43">
        <f>'D4 Gallon Forecast'!Z139+'D5 Gallon Forecast'!Z126+'D6 Gallon Forecast'!Z215</f>
        <v>311153167.81072766</v>
      </c>
      <c r="AA89" s="43">
        <f>'D4 Gallon Forecast'!AA139+'D5 Gallon Forecast'!AA126+'D6 Gallon Forecast'!AA215</f>
        <v>329588685.68030602</v>
      </c>
      <c r="AB89" s="43">
        <f>'D4 Gallon Forecast'!AB139+'D5 Gallon Forecast'!AB126+'D6 Gallon Forecast'!AB215</f>
        <v>356114822.16137314</v>
      </c>
      <c r="AC89" s="43">
        <f>'D4 Gallon Forecast'!AC139+'D5 Gallon Forecast'!AC126+'D6 Gallon Forecast'!AC215</f>
        <v>405229578.33277351</v>
      </c>
      <c r="AD89" s="43">
        <f>'D4 Gallon Forecast'!AD139+'D5 Gallon Forecast'!AD126+'D6 Gallon Forecast'!AD215</f>
        <v>447020944.42079216</v>
      </c>
      <c r="AE89" s="43">
        <f>'D4 Gallon Forecast'!AE139+'D5 Gallon Forecast'!AE126+'D6 Gallon Forecast'!AE215</f>
        <v>448514912.47089088</v>
      </c>
      <c r="AF89" s="43">
        <f>'D4 Gallon Forecast'!AF139+'D5 Gallon Forecast'!AF126+'D6 Gallon Forecast'!AF215</f>
        <v>394372836.6787504</v>
      </c>
      <c r="AG89" s="43">
        <f>'D4 Gallon Forecast'!AG139+'D5 Gallon Forecast'!AG126+'D6 Gallon Forecast'!AG215</f>
        <v>417178581.6266951</v>
      </c>
      <c r="AH89" s="43">
        <f>'D4 Gallon Forecast'!AH139+'D5 Gallon Forecast'!AH126+'D6 Gallon Forecast'!AH215</f>
        <v>440970847.72339886</v>
      </c>
      <c r="AI89" s="43">
        <f>'D4 Gallon Forecast'!AI139+'D5 Gallon Forecast'!AI126+'D6 Gallon Forecast'!AI215</f>
        <v>479185426.11763954</v>
      </c>
      <c r="AJ89" s="43">
        <f>'D4 Gallon Forecast'!AJ139+'D5 Gallon Forecast'!AJ126+'D6 Gallon Forecast'!AJ215</f>
        <v>488732302.66466373</v>
      </c>
      <c r="AK89" s="43">
        <f>'D4 Gallon Forecast'!AK139+'D5 Gallon Forecast'!AK126+'D6 Gallon Forecast'!AK215</f>
        <v>485952618.05736911</v>
      </c>
      <c r="AL89" s="43">
        <f>'D4 Gallon Forecast'!AL139+'D5 Gallon Forecast'!AL126+'D6 Gallon Forecast'!AL215</f>
        <v>463103713.50400579</v>
      </c>
      <c r="AM89" s="43">
        <f>'D4 Gallon Forecast'!AM139+'D5 Gallon Forecast'!AM126+'D6 Gallon Forecast'!AM215</f>
        <v>482100027.13165694</v>
      </c>
      <c r="AN89" s="43">
        <f>'D4 Gallon Forecast'!AN139+'D5 Gallon Forecast'!AN126+'D6 Gallon Forecast'!AN215</f>
        <v>499402600.78882289</v>
      </c>
      <c r="AO89" s="43">
        <f>'D4 Gallon Forecast'!AO139+'D5 Gallon Forecast'!AO126+'D6 Gallon Forecast'!AO215</f>
        <v>517460661.01597357</v>
      </c>
      <c r="AP89" s="43">
        <f>'D4 Gallon Forecast'!AP139+'D5 Gallon Forecast'!AP126+'D6 Gallon Forecast'!AP215</f>
        <v>539822657.84982312</v>
      </c>
      <c r="AQ89" s="43">
        <f>'D4 Gallon Forecast'!AQ139+'D5 Gallon Forecast'!AQ126+'D6 Gallon Forecast'!AQ215</f>
        <v>561808380.76541758</v>
      </c>
      <c r="AR89" s="43"/>
      <c r="AS89" s="45">
        <f t="shared" si="46"/>
        <v>3.5021197739630638E-2</v>
      </c>
      <c r="AT89" s="57">
        <f t="shared" si="43"/>
        <v>1.8030333821991082</v>
      </c>
      <c r="AV89" s="42">
        <f t="shared" si="44"/>
        <v>73821236</v>
      </c>
      <c r="AW89" s="42">
        <f>O89/31</f>
        <v>5896670.1290322579</v>
      </c>
      <c r="AX89" s="42">
        <f>'D4 Gallon Forecast'!BM139+'D5 Gallon Forecast'!AX126+'D6 Gallon Forecast'!BK215</f>
        <v>18973953.249238759</v>
      </c>
      <c r="AY89" s="42">
        <f t="shared" si="45"/>
        <v>163822820.75076124</v>
      </c>
    </row>
    <row r="90" spans="1:51">
      <c r="A90" s="40" t="s">
        <v>50</v>
      </c>
      <c r="B90" s="42">
        <f>'D4 Gallon Forecast'!B140+'D5 Gallon Forecast'!B127+'D6 Gallon Forecast'!B216</f>
        <v>730498</v>
      </c>
      <c r="C90" s="42">
        <f>'D4 Gallon Forecast'!C140+'D5 Gallon Forecast'!C127+'D6 Gallon Forecast'!C216</f>
        <v>8445355</v>
      </c>
      <c r="D90" s="42">
        <f>'D4 Gallon Forecast'!D140+'D5 Gallon Forecast'!D127+'D6 Gallon Forecast'!D216</f>
        <v>5481101</v>
      </c>
      <c r="E90" s="42">
        <f>'D4 Gallon Forecast'!E140+'D5 Gallon Forecast'!E127+'D6 Gallon Forecast'!E216</f>
        <v>15256251</v>
      </c>
      <c r="F90" s="42">
        <f>'D4 Gallon Forecast'!F140+'D5 Gallon Forecast'!F127+'D6 Gallon Forecast'!F216</f>
        <v>2043114</v>
      </c>
      <c r="G90" s="42">
        <f>'D4 Gallon Forecast'!G140+'D5 Gallon Forecast'!G127+'D6 Gallon Forecast'!G216</f>
        <v>15100408</v>
      </c>
      <c r="H90" s="42">
        <f>'D4 Gallon Forecast'!H140+'D5 Gallon Forecast'!H127+'D6 Gallon Forecast'!H216</f>
        <v>24799964</v>
      </c>
      <c r="I90" s="42">
        <f>'D4 Gallon Forecast'!I140+'D5 Gallon Forecast'!I127+'D6 Gallon Forecast'!I216</f>
        <v>24672392</v>
      </c>
      <c r="J90" s="42">
        <f>'D4 Gallon Forecast'!J140+'D5 Gallon Forecast'!J127+'D6 Gallon Forecast'!J216</f>
        <v>16024601</v>
      </c>
      <c r="K90" s="42">
        <f>'D4 Gallon Forecast'!K140+'D5 Gallon Forecast'!K127+'D6 Gallon Forecast'!K216</f>
        <v>30180616</v>
      </c>
      <c r="L90" s="42">
        <f>'D4 Gallon Forecast'!L140+'D5 Gallon Forecast'!L127+'D6 Gallon Forecast'!L216</f>
        <v>43952654</v>
      </c>
      <c r="M90" s="42">
        <f>'D4 Gallon Forecast'!M140+'D5 Gallon Forecast'!M127+'D6 Gallon Forecast'!M216</f>
        <v>82392520</v>
      </c>
      <c r="N90" s="42">
        <f>'D4 Gallon Forecast'!N140+'D5 Gallon Forecast'!N127+'D6 Gallon Forecast'!N216</f>
        <v>122248954</v>
      </c>
      <c r="O90" s="42">
        <f>'D4 Gallon Forecast'!O140+'D5 Gallon Forecast'!O127+'D6 Gallon Forecast'!O216</f>
        <v>236669072</v>
      </c>
      <c r="P90" s="42">
        <f>'D4 Gallon Forecast'!P140+'D5 Gallon Forecast'!P127+'D6 Gallon Forecast'!P216</f>
        <v>260490373</v>
      </c>
      <c r="Q90" s="43">
        <f>'D4 Gallon Forecast'!Q140+'D5 Gallon Forecast'!Q127+'D6 Gallon Forecast'!Q216</f>
        <v>196758801.69768375</v>
      </c>
      <c r="R90" s="43">
        <f>'D4 Gallon Forecast'!R140+'D5 Gallon Forecast'!R127+'D6 Gallon Forecast'!R216</f>
        <v>216241453.26312792</v>
      </c>
      <c r="S90" s="43">
        <f>'D4 Gallon Forecast'!S140+'D5 Gallon Forecast'!S127+'D6 Gallon Forecast'!S216</f>
        <v>238636897.18670946</v>
      </c>
      <c r="T90" s="43">
        <f>'D4 Gallon Forecast'!T140+'D5 Gallon Forecast'!T127+'D6 Gallon Forecast'!T216</f>
        <v>243626568.18724155</v>
      </c>
      <c r="U90" s="43">
        <f>'D4 Gallon Forecast'!U140+'D5 Gallon Forecast'!U127+'D6 Gallon Forecast'!U216</f>
        <v>245851134.01359108</v>
      </c>
      <c r="V90" s="43">
        <f>'D4 Gallon Forecast'!V140+'D5 Gallon Forecast'!V127+'D6 Gallon Forecast'!V216</f>
        <v>257412084.30610371</v>
      </c>
      <c r="W90" s="43">
        <f>'D4 Gallon Forecast'!W140+'D5 Gallon Forecast'!W127+'D6 Gallon Forecast'!W216</f>
        <v>278979038.75780982</v>
      </c>
      <c r="X90" s="43">
        <f>'D4 Gallon Forecast'!X140+'D5 Gallon Forecast'!X127+'D6 Gallon Forecast'!X216</f>
        <v>330667683.35045755</v>
      </c>
      <c r="Y90" s="43">
        <f>'D4 Gallon Forecast'!Y140+'D5 Gallon Forecast'!Y127+'D6 Gallon Forecast'!Y216</f>
        <v>329211311.18897265</v>
      </c>
      <c r="Z90" s="43">
        <f>'D4 Gallon Forecast'!Z140+'D5 Gallon Forecast'!Z127+'D6 Gallon Forecast'!Z216</f>
        <v>320438706.51265907</v>
      </c>
      <c r="AA90" s="43">
        <f>'D4 Gallon Forecast'!AA140+'D5 Gallon Forecast'!AA127+'D6 Gallon Forecast'!AA216</f>
        <v>339448029.86728585</v>
      </c>
      <c r="AB90" s="43">
        <f>'D4 Gallon Forecast'!AB140+'D5 Gallon Forecast'!AB127+'D6 Gallon Forecast'!AB216</f>
        <v>366246298.28555048</v>
      </c>
      <c r="AC90" s="43">
        <f>'D4 Gallon Forecast'!AC140+'D5 Gallon Forecast'!AC127+'D6 Gallon Forecast'!AC216</f>
        <v>416468554.18677682</v>
      </c>
      <c r="AD90" s="43">
        <f>'D4 Gallon Forecast'!AD140+'D5 Gallon Forecast'!AD127+'D6 Gallon Forecast'!AD216</f>
        <v>459413346.3473981</v>
      </c>
      <c r="AE90" s="43">
        <f>'D4 Gallon Forecast'!AE140+'D5 Gallon Forecast'!AE127+'D6 Gallon Forecast'!AE216</f>
        <v>461480173.25302553</v>
      </c>
      <c r="AF90" s="43">
        <f>'D4 Gallon Forecast'!AF140+'D5 Gallon Forecast'!AF127+'D6 Gallon Forecast'!AF216</f>
        <v>406563130.11718684</v>
      </c>
      <c r="AG90" s="43">
        <f>'D4 Gallon Forecast'!AG140+'D5 Gallon Forecast'!AG127+'D6 Gallon Forecast'!AG216</f>
        <v>429719415.64624351</v>
      </c>
      <c r="AH90" s="43">
        <f>'D4 Gallon Forecast'!AH140+'D5 Gallon Forecast'!AH127+'D6 Gallon Forecast'!AH216</f>
        <v>454183895.50973094</v>
      </c>
      <c r="AI90" s="43">
        <f>'D4 Gallon Forecast'!AI140+'D5 Gallon Forecast'!AI127+'D6 Gallon Forecast'!AI216</f>
        <v>493495134.25461197</v>
      </c>
      <c r="AJ90" s="43">
        <f>'D4 Gallon Forecast'!AJ140+'D5 Gallon Forecast'!AJ127+'D6 Gallon Forecast'!AJ216</f>
        <v>503364860.06139028</v>
      </c>
      <c r="AK90" s="43">
        <f>'D4 Gallon Forecast'!AK140+'D5 Gallon Forecast'!AK127+'D6 Gallon Forecast'!AK216</f>
        <v>500531409.09394163</v>
      </c>
      <c r="AL90" s="43">
        <f>'D4 Gallon Forecast'!AL140+'D5 Gallon Forecast'!AL127+'D6 Gallon Forecast'!AL216</f>
        <v>477320939.33113724</v>
      </c>
      <c r="AM90" s="43">
        <f>'D4 Gallon Forecast'!AM140+'D5 Gallon Forecast'!AM127+'D6 Gallon Forecast'!AM216</f>
        <v>496458838.36562479</v>
      </c>
      <c r="AN90" s="43">
        <f>'D4 Gallon Forecast'!AN140+'D5 Gallon Forecast'!AN127+'D6 Gallon Forecast'!AN216</f>
        <v>514294464.48160762</v>
      </c>
      <c r="AO90" s="43">
        <f>'D4 Gallon Forecast'!AO140+'D5 Gallon Forecast'!AO127+'D6 Gallon Forecast'!AO216</f>
        <v>532890569.32980841</v>
      </c>
      <c r="AP90" s="43">
        <f>'D4 Gallon Forecast'!AP140+'D5 Gallon Forecast'!AP127+'D6 Gallon Forecast'!AP216</f>
        <v>555644560.33273005</v>
      </c>
      <c r="AQ90" s="43">
        <f>'D4 Gallon Forecast'!AQ140+'D5 Gallon Forecast'!AQ127+'D6 Gallon Forecast'!AQ216</f>
        <v>569848158.7536304</v>
      </c>
      <c r="AR90" s="43"/>
      <c r="AS90" s="45">
        <f t="shared" si="46"/>
        <v>-0.10939257032748306</v>
      </c>
      <c r="AV90" s="42">
        <f t="shared" si="44"/>
        <v>114420118</v>
      </c>
      <c r="AW90" s="42">
        <f>O90/31</f>
        <v>7634486.1935483869</v>
      </c>
      <c r="AX90" s="42">
        <f>'D4 Gallon Forecast'!BM140+'D5 Gallon Forecast'!AX127+'D6 Gallon Forecast'!BK216</f>
        <v>18300122.69410871</v>
      </c>
      <c r="AY90" s="42">
        <f t="shared" si="45"/>
        <v>218368949.30589128</v>
      </c>
    </row>
    <row r="91" spans="1:51">
      <c r="A91" s="40" t="s">
        <v>51</v>
      </c>
      <c r="B91" s="42">
        <f>'D4 Gallon Forecast'!B141+'D5 Gallon Forecast'!B128+'D6 Gallon Forecast'!B217</f>
        <v>973736</v>
      </c>
      <c r="C91" s="42">
        <f>'D4 Gallon Forecast'!C141+'D5 Gallon Forecast'!C128+'D6 Gallon Forecast'!C217</f>
        <v>5899070</v>
      </c>
      <c r="D91" s="42">
        <f>'D4 Gallon Forecast'!D141+'D5 Gallon Forecast'!D128+'D6 Gallon Forecast'!D217</f>
        <v>3738917</v>
      </c>
      <c r="E91" s="42">
        <f>'D4 Gallon Forecast'!E141+'D5 Gallon Forecast'!E128+'D6 Gallon Forecast'!E217</f>
        <v>17641091</v>
      </c>
      <c r="F91" s="42">
        <f>'D4 Gallon Forecast'!F141+'D5 Gallon Forecast'!F128+'D6 Gallon Forecast'!F217</f>
        <v>5949426</v>
      </c>
      <c r="G91" s="42">
        <f>'D4 Gallon Forecast'!G141+'D5 Gallon Forecast'!G128+'D6 Gallon Forecast'!G217</f>
        <v>13846255</v>
      </c>
      <c r="H91" s="42">
        <f>'D4 Gallon Forecast'!H141+'D5 Gallon Forecast'!H128+'D6 Gallon Forecast'!H217</f>
        <v>19215411</v>
      </c>
      <c r="I91" s="42">
        <f>'D4 Gallon Forecast'!I141+'D5 Gallon Forecast'!I128+'D6 Gallon Forecast'!I217</f>
        <v>21967038</v>
      </c>
      <c r="J91" s="42">
        <f>'D4 Gallon Forecast'!J141+'D5 Gallon Forecast'!J128+'D6 Gallon Forecast'!J217</f>
        <v>32248456</v>
      </c>
      <c r="K91" s="42">
        <f>'D4 Gallon Forecast'!K141+'D5 Gallon Forecast'!K128+'D6 Gallon Forecast'!K217</f>
        <v>40692380</v>
      </c>
      <c r="L91" s="42">
        <f>'D4 Gallon Forecast'!L141+'D5 Gallon Forecast'!L128+'D6 Gallon Forecast'!L217</f>
        <v>48112771</v>
      </c>
      <c r="M91" s="42">
        <f>'D4 Gallon Forecast'!M141+'D5 Gallon Forecast'!M128+'D6 Gallon Forecast'!M217</f>
        <v>55747506</v>
      </c>
      <c r="N91" s="42">
        <f>'D4 Gallon Forecast'!N141+'D5 Gallon Forecast'!N128+'D6 Gallon Forecast'!N217</f>
        <v>127613378</v>
      </c>
      <c r="O91" s="42">
        <f>'D4 Gallon Forecast'!O141+'D5 Gallon Forecast'!O128+'D6 Gallon Forecast'!O217</f>
        <v>234008508</v>
      </c>
      <c r="P91" s="42">
        <f>'D4 Gallon Forecast'!P141+'D5 Gallon Forecast'!P128+'D6 Gallon Forecast'!P217</f>
        <v>257927937</v>
      </c>
      <c r="Q91" s="43">
        <f>'D4 Gallon Forecast'!Q141+'D5 Gallon Forecast'!Q128+'D6 Gallon Forecast'!Q217</f>
        <v>199567496.23015037</v>
      </c>
      <c r="R91" s="43">
        <f>'D4 Gallon Forecast'!R141+'D5 Gallon Forecast'!R128+'D6 Gallon Forecast'!R217</f>
        <v>219228704.34448102</v>
      </c>
      <c r="S91" s="43">
        <f>'D4 Gallon Forecast'!S141+'D5 Gallon Forecast'!S128+'D6 Gallon Forecast'!S217</f>
        <v>242156755.52030525</v>
      </c>
      <c r="T91" s="43">
        <f>'D4 Gallon Forecast'!T141+'D5 Gallon Forecast'!T128+'D6 Gallon Forecast'!T217</f>
        <v>246630143.23247263</v>
      </c>
      <c r="U91" s="43">
        <f>'D4 Gallon Forecast'!U141+'D5 Gallon Forecast'!U128+'D6 Gallon Forecast'!U217</f>
        <v>248718331.233812</v>
      </c>
      <c r="V91" s="43">
        <f>'D4 Gallon Forecast'!V141+'D5 Gallon Forecast'!V128+'D6 Gallon Forecast'!V217</f>
        <v>260670373.02903578</v>
      </c>
      <c r="W91" s="43">
        <f>'D4 Gallon Forecast'!W141+'D5 Gallon Forecast'!W128+'D6 Gallon Forecast'!W217</f>
        <v>282559598.33993489</v>
      </c>
      <c r="X91" s="43">
        <f>'D4 Gallon Forecast'!X141+'D5 Gallon Forecast'!X128+'D6 Gallon Forecast'!X217</f>
        <v>334977538.00954771</v>
      </c>
      <c r="Y91" s="43">
        <f>'D4 Gallon Forecast'!Y141+'D5 Gallon Forecast'!Y128+'D6 Gallon Forecast'!Y217</f>
        <v>333356989.57658458</v>
      </c>
      <c r="Z91" s="43">
        <f>'D4 Gallon Forecast'!Z141+'D5 Gallon Forecast'!Z128+'D6 Gallon Forecast'!Z217</f>
        <v>324359063.04280567</v>
      </c>
      <c r="AA91" s="43">
        <f>'D4 Gallon Forecast'!AA141+'D5 Gallon Forecast'!AA128+'D6 Gallon Forecast'!AA217</f>
        <v>343646725.72550035</v>
      </c>
      <c r="AB91" s="43">
        <f>'D4 Gallon Forecast'!AB141+'D5 Gallon Forecast'!AB128+'D6 Gallon Forecast'!AB217</f>
        <v>370967127.54239714</v>
      </c>
      <c r="AC91" s="43">
        <f>'D4 Gallon Forecast'!AC141+'D5 Gallon Forecast'!AC128+'D6 Gallon Forecast'!AC217</f>
        <v>421936438.03856432</v>
      </c>
      <c r="AD91" s="43">
        <f>'D4 Gallon Forecast'!AD141+'D5 Gallon Forecast'!AD128+'D6 Gallon Forecast'!AD217</f>
        <v>465435352.69876647</v>
      </c>
      <c r="AE91" s="43">
        <f>'D4 Gallon Forecast'!AE141+'D5 Gallon Forecast'!AE128+'D6 Gallon Forecast'!AE217</f>
        <v>467332325.68381387</v>
      </c>
      <c r="AF91" s="43">
        <f>'D4 Gallon Forecast'!AF141+'D5 Gallon Forecast'!AF128+'D6 Gallon Forecast'!AF217</f>
        <v>411421668.76684034</v>
      </c>
      <c r="AG91" s="43">
        <f>'D4 Gallon Forecast'!AG141+'D5 Gallon Forecast'!AG128+'D6 Gallon Forecast'!AG217</f>
        <v>434986958.52978539</v>
      </c>
      <c r="AH91" s="43">
        <f>'D4 Gallon Forecast'!AH141+'D5 Gallon Forecast'!AH128+'D6 Gallon Forecast'!AH217</f>
        <v>459765443.83089226</v>
      </c>
      <c r="AI91" s="43">
        <f>'D4 Gallon Forecast'!AI141+'D5 Gallon Forecast'!AI128+'D6 Gallon Forecast'!AI217</f>
        <v>499577849.43475699</v>
      </c>
      <c r="AJ91" s="43">
        <f>'D4 Gallon Forecast'!AJ141+'D5 Gallon Forecast'!AJ128+'D6 Gallon Forecast'!AJ217</f>
        <v>509556674.75729841</v>
      </c>
      <c r="AK91" s="43">
        <f>'D4 Gallon Forecast'!AK141+'D5 Gallon Forecast'!AK128+'D6 Gallon Forecast'!AK217</f>
        <v>506677597.34702885</v>
      </c>
      <c r="AL91" s="43">
        <f>'D4 Gallon Forecast'!AL141+'D5 Gallon Forecast'!AL128+'D6 Gallon Forecast'!AL217</f>
        <v>483056718.48419172</v>
      </c>
      <c r="AM91" s="43">
        <f>'D4 Gallon Forecast'!AM141+'D5 Gallon Forecast'!AM128+'D6 Gallon Forecast'!AM217</f>
        <v>502594012.62212807</v>
      </c>
      <c r="AN91" s="43">
        <f>'D4 Gallon Forecast'!AN141+'D5 Gallon Forecast'!AN128+'D6 Gallon Forecast'!AN217</f>
        <v>520643383.6052413</v>
      </c>
      <c r="AO91" s="43">
        <f>'D4 Gallon Forecast'!AO141+'D5 Gallon Forecast'!AO128+'D6 Gallon Forecast'!AO217</f>
        <v>539469533.74594188</v>
      </c>
      <c r="AP91" s="43">
        <f>'D4 Gallon Forecast'!AP141+'D5 Gallon Forecast'!AP128+'D6 Gallon Forecast'!AP217</f>
        <v>562610092.02643621</v>
      </c>
      <c r="AQ91" s="43">
        <f>'D4 Gallon Forecast'!AQ141+'D5 Gallon Forecast'!AQ128+'D6 Gallon Forecast'!AQ217</f>
        <v>580234089.74951315</v>
      </c>
      <c r="AR91" s="43"/>
      <c r="AS91" s="45">
        <f t="shared" si="46"/>
        <v>-9.836970059542316E-3</v>
      </c>
      <c r="AV91" s="42">
        <f t="shared" si="44"/>
        <v>106395130</v>
      </c>
      <c r="AW91" s="42">
        <f>O91/30</f>
        <v>7800283.5999999996</v>
      </c>
      <c r="AX91" s="42">
        <f>'D4 Gallon Forecast'!BM141+'D5 Gallon Forecast'!AX128+'D6 Gallon Forecast'!BK217</f>
        <v>21101604.46301746</v>
      </c>
      <c r="AY91" s="42">
        <f t="shared" si="45"/>
        <v>212906903.53698254</v>
      </c>
    </row>
    <row r="92" spans="1:51">
      <c r="A92" s="40" t="s">
        <v>52</v>
      </c>
      <c r="B92" s="42">
        <f>'D4 Gallon Forecast'!B142+'D5 Gallon Forecast'!B129+'D6 Gallon Forecast'!B218</f>
        <v>1453856</v>
      </c>
      <c r="C92" s="42">
        <f>'D4 Gallon Forecast'!C142+'D5 Gallon Forecast'!C129+'D6 Gallon Forecast'!C218</f>
        <v>6918026</v>
      </c>
      <c r="D92" s="42">
        <f>'D4 Gallon Forecast'!D142+'D5 Gallon Forecast'!D129+'D6 Gallon Forecast'!D218</f>
        <v>3853854</v>
      </c>
      <c r="E92" s="42">
        <f>'D4 Gallon Forecast'!E142+'D5 Gallon Forecast'!E129+'D6 Gallon Forecast'!E218</f>
        <v>18931762</v>
      </c>
      <c r="F92" s="42">
        <f>'D4 Gallon Forecast'!F142+'D5 Gallon Forecast'!F129+'D6 Gallon Forecast'!F218</f>
        <v>14721823</v>
      </c>
      <c r="G92" s="42">
        <f>'D4 Gallon Forecast'!G142+'D5 Gallon Forecast'!G129+'D6 Gallon Forecast'!G218</f>
        <v>13414121</v>
      </c>
      <c r="H92" s="42">
        <f>'D4 Gallon Forecast'!H142+'D5 Gallon Forecast'!H129+'D6 Gallon Forecast'!H218</f>
        <v>20639765</v>
      </c>
      <c r="I92" s="42">
        <f>'D4 Gallon Forecast'!I142+'D5 Gallon Forecast'!I129+'D6 Gallon Forecast'!I218</f>
        <v>25346827</v>
      </c>
      <c r="J92" s="42">
        <f>'D4 Gallon Forecast'!J142+'D5 Gallon Forecast'!J129+'D6 Gallon Forecast'!J218</f>
        <v>39005346</v>
      </c>
      <c r="K92" s="42">
        <f>'D4 Gallon Forecast'!K142+'D5 Gallon Forecast'!K129+'D6 Gallon Forecast'!K218</f>
        <v>48569223</v>
      </c>
      <c r="L92" s="42">
        <f>'D4 Gallon Forecast'!L142+'D5 Gallon Forecast'!L129+'D6 Gallon Forecast'!L218</f>
        <v>25237496</v>
      </c>
      <c r="M92" s="42">
        <f>'D4 Gallon Forecast'!M142+'D5 Gallon Forecast'!M129+'D6 Gallon Forecast'!M218</f>
        <v>77344974</v>
      </c>
      <c r="N92" s="42">
        <f>'D4 Gallon Forecast'!N142+'D5 Gallon Forecast'!N129+'D6 Gallon Forecast'!N218</f>
        <v>113679693</v>
      </c>
      <c r="O92" s="42">
        <f>'D4 Gallon Forecast'!O142+'D5 Gallon Forecast'!O129+'D6 Gallon Forecast'!O218</f>
        <v>214035407</v>
      </c>
      <c r="P92" s="42">
        <f>'D4 Gallon Forecast'!P142+'D5 Gallon Forecast'!P129+'D6 Gallon Forecast'!P218</f>
        <v>289557293</v>
      </c>
      <c r="Q92" s="43">
        <f>'D4 Gallon Forecast'!Q142+'D5 Gallon Forecast'!Q129+'D6 Gallon Forecast'!Q218</f>
        <v>216647542.43543953</v>
      </c>
      <c r="R92" s="43">
        <f>'D4 Gallon Forecast'!R142+'D5 Gallon Forecast'!R129+'D6 Gallon Forecast'!R218</f>
        <v>238583297.33016378</v>
      </c>
      <c r="S92" s="43">
        <f>'D4 Gallon Forecast'!S142+'D5 Gallon Forecast'!S129+'D6 Gallon Forecast'!S218</f>
        <v>263133733.24879843</v>
      </c>
      <c r="T92" s="43">
        <f>'D4 Gallon Forecast'!T142+'D5 Gallon Forecast'!T129+'D6 Gallon Forecast'!T218</f>
        <v>268323811.52612466</v>
      </c>
      <c r="U92" s="43">
        <f>'D4 Gallon Forecast'!U142+'D5 Gallon Forecast'!U129+'D6 Gallon Forecast'!U218</f>
        <v>270208426.65035695</v>
      </c>
      <c r="V92" s="43">
        <f>'D4 Gallon Forecast'!V142+'D5 Gallon Forecast'!V129+'D6 Gallon Forecast'!V218</f>
        <v>283206545.38055897</v>
      </c>
      <c r="W92" s="43">
        <f>'D4 Gallon Forecast'!W142+'D5 Gallon Forecast'!W129+'D6 Gallon Forecast'!W218</f>
        <v>307061170.11684263</v>
      </c>
      <c r="X92" s="43">
        <f>'D4 Gallon Forecast'!X142+'D5 Gallon Forecast'!X129+'D6 Gallon Forecast'!X218</f>
        <v>364211403.58770156</v>
      </c>
      <c r="Y92" s="43">
        <f>'D4 Gallon Forecast'!Y142+'D5 Gallon Forecast'!Y129+'D6 Gallon Forecast'!Y218</f>
        <v>362381018.27605021</v>
      </c>
      <c r="Z92" s="43">
        <f>'D4 Gallon Forecast'!Z142+'D5 Gallon Forecast'!Z129+'D6 Gallon Forecast'!Z218</f>
        <v>352270081.06497884</v>
      </c>
      <c r="AA92" s="43">
        <f>'D4 Gallon Forecast'!AA142+'D5 Gallon Forecast'!AA129+'D6 Gallon Forecast'!AA218</f>
        <v>373224152.01937723</v>
      </c>
      <c r="AB92" s="43">
        <f>'D4 Gallon Forecast'!AB142+'D5 Gallon Forecast'!AB129+'D6 Gallon Forecast'!AB218</f>
        <v>403334353.46090245</v>
      </c>
      <c r="AC92" s="43">
        <f>'D4 Gallon Forecast'!AC142+'D5 Gallon Forecast'!AC129+'D6 Gallon Forecast'!AC218</f>
        <v>458998305.58736235</v>
      </c>
      <c r="AD92" s="43">
        <f>'D4 Gallon Forecast'!AD142+'D5 Gallon Forecast'!AD129+'D6 Gallon Forecast'!AD218</f>
        <v>506325404.38053089</v>
      </c>
      <c r="AE92" s="43">
        <f>'D4 Gallon Forecast'!AE142+'D5 Gallon Forecast'!AE129+'D6 Gallon Forecast'!AE218</f>
        <v>507930410.99449974</v>
      </c>
      <c r="AF92" s="43">
        <f>'D4 Gallon Forecast'!AF142+'D5 Gallon Forecast'!AF129+'D6 Gallon Forecast'!AF218</f>
        <v>446496644.92050314</v>
      </c>
      <c r="AG92" s="43">
        <f>'D4 Gallon Forecast'!AG142+'D5 Gallon Forecast'!AG129+'D6 Gallon Forecast'!AG218</f>
        <v>472370630.98572713</v>
      </c>
      <c r="AH92" s="43">
        <f>'D4 Gallon Forecast'!AH142+'D5 Gallon Forecast'!AH129+'D6 Gallon Forecast'!AH218</f>
        <v>499315236.69568378</v>
      </c>
      <c r="AI92" s="43">
        <f>'D4 Gallon Forecast'!AI142+'D5 Gallon Forecast'!AI129+'D6 Gallon Forecast'!AI218</f>
        <v>542593217.69076204</v>
      </c>
      <c r="AJ92" s="43">
        <f>'D4 Gallon Forecast'!AJ142+'D5 Gallon Forecast'!AJ129+'D6 Gallon Forecast'!AJ218</f>
        <v>553398477.27520537</v>
      </c>
      <c r="AK92" s="43">
        <f>'D4 Gallon Forecast'!AK142+'D5 Gallon Forecast'!AK129+'D6 Gallon Forecast'!AK218</f>
        <v>550247459.81934953</v>
      </c>
      <c r="AL92" s="43">
        <f>'D4 Gallon Forecast'!AL142+'D5 Gallon Forecast'!AL129+'D6 Gallon Forecast'!AL218</f>
        <v>524320739.92370009</v>
      </c>
      <c r="AM92" s="43">
        <f>'D4 Gallon Forecast'!AM142+'D5 Gallon Forecast'!AM129+'D6 Gallon Forecast'!AM218</f>
        <v>545901079.71907055</v>
      </c>
      <c r="AN92" s="43">
        <f>'D4 Gallon Forecast'!AN142+'D5 Gallon Forecast'!AN129+'D6 Gallon Forecast'!AN218</f>
        <v>565490634.75281751</v>
      </c>
      <c r="AO92" s="43">
        <f>'D4 Gallon Forecast'!AO142+'D5 Gallon Forecast'!AO129+'D6 Gallon Forecast'!AO218</f>
        <v>585938757.52156663</v>
      </c>
      <c r="AP92" s="43">
        <f>'D4 Gallon Forecast'!AP142+'D5 Gallon Forecast'!AP129+'D6 Gallon Forecast'!AP218</f>
        <v>611305676.8457607</v>
      </c>
      <c r="AQ92" s="43">
        <f>'D4 Gallon Forecast'!AQ142+'D5 Gallon Forecast'!AQ129+'D6 Gallon Forecast'!AQ218</f>
        <v>637600360.94964731</v>
      </c>
      <c r="AR92" s="43"/>
      <c r="AS92" s="45">
        <f t="shared" si="46"/>
        <v>0.12262865499521292</v>
      </c>
      <c r="AV92" s="42">
        <f t="shared" si="44"/>
        <v>100355714</v>
      </c>
      <c r="AW92" s="42">
        <f>O92/31</f>
        <v>6904367.9677419355</v>
      </c>
      <c r="AX92" s="42">
        <f>'D4 Gallon Forecast'!BM142+'D5 Gallon Forecast'!AX129+'D6 Gallon Forecast'!BK218</f>
        <v>20966788.408679701</v>
      </c>
      <c r="AY92" s="42">
        <f t="shared" si="45"/>
        <v>193068618.59132031</v>
      </c>
    </row>
    <row r="93" spans="1:51">
      <c r="A93" s="40" t="s">
        <v>53</v>
      </c>
      <c r="B93" s="42">
        <f>'D4 Gallon Forecast'!B143+'D5 Gallon Forecast'!B130+'D6 Gallon Forecast'!B219</f>
        <v>2233776</v>
      </c>
      <c r="C93" s="42">
        <f>'D4 Gallon Forecast'!C143+'D5 Gallon Forecast'!C130+'D6 Gallon Forecast'!C219</f>
        <v>5233920</v>
      </c>
      <c r="D93" s="42">
        <f>'D4 Gallon Forecast'!D143+'D5 Gallon Forecast'!D130+'D6 Gallon Forecast'!D219</f>
        <v>5580709</v>
      </c>
      <c r="E93" s="42">
        <f>'D4 Gallon Forecast'!E143+'D5 Gallon Forecast'!E130+'D6 Gallon Forecast'!E219</f>
        <v>15678898</v>
      </c>
      <c r="F93" s="42">
        <f>'D4 Gallon Forecast'!F143+'D5 Gallon Forecast'!F130+'D6 Gallon Forecast'!F219</f>
        <v>16462802</v>
      </c>
      <c r="G93" s="42">
        <f>'D4 Gallon Forecast'!G143+'D5 Gallon Forecast'!G130+'D6 Gallon Forecast'!G219</f>
        <v>12655566</v>
      </c>
      <c r="H93" s="42">
        <f>'D4 Gallon Forecast'!H143+'D5 Gallon Forecast'!H130+'D6 Gallon Forecast'!H219</f>
        <v>27361235</v>
      </c>
      <c r="I93" s="42">
        <f>'D4 Gallon Forecast'!I143+'D5 Gallon Forecast'!I130+'D6 Gallon Forecast'!I219</f>
        <v>23176779</v>
      </c>
      <c r="J93" s="42">
        <f>'D4 Gallon Forecast'!J143+'D5 Gallon Forecast'!J130+'D6 Gallon Forecast'!J219</f>
        <v>40325399</v>
      </c>
      <c r="K93" s="42">
        <f>'D4 Gallon Forecast'!K143+'D5 Gallon Forecast'!K130+'D6 Gallon Forecast'!K219</f>
        <v>42514597</v>
      </c>
      <c r="L93" s="42">
        <f>'D4 Gallon Forecast'!L143+'D5 Gallon Forecast'!L130+'D6 Gallon Forecast'!L219</f>
        <v>49060129</v>
      </c>
      <c r="M93" s="42">
        <f>'D4 Gallon Forecast'!M143+'D5 Gallon Forecast'!M130+'D6 Gallon Forecast'!M219</f>
        <v>101861084</v>
      </c>
      <c r="N93" s="42">
        <f>'D4 Gallon Forecast'!N143+'D5 Gallon Forecast'!N130+'D6 Gallon Forecast'!N219</f>
        <v>171787630</v>
      </c>
      <c r="O93" s="42">
        <f>'D4 Gallon Forecast'!O143+'D5 Gallon Forecast'!O130+'D6 Gallon Forecast'!O219</f>
        <v>205783834</v>
      </c>
      <c r="P93" s="42">
        <f>'D4 Gallon Forecast'!P143+'D5 Gallon Forecast'!P130+'D6 Gallon Forecast'!P219</f>
        <v>261189424</v>
      </c>
      <c r="Q93" s="43">
        <f>'D4 Gallon Forecast'!Q143+'D5 Gallon Forecast'!Q130+'D6 Gallon Forecast'!Q219</f>
        <v>233980933.73434195</v>
      </c>
      <c r="R93" s="43">
        <f>'D4 Gallon Forecast'!R143+'D5 Gallon Forecast'!R130+'D6 Gallon Forecast'!R219</f>
        <v>288005904.49351925</v>
      </c>
      <c r="S93" s="43">
        <f>'D4 Gallon Forecast'!S143+'D5 Gallon Forecast'!S130+'D6 Gallon Forecast'!S219</f>
        <v>318437765.19553727</v>
      </c>
      <c r="T93" s="43">
        <f>'D4 Gallon Forecast'!T143+'D5 Gallon Forecast'!T130+'D6 Gallon Forecast'!T219</f>
        <v>324105784.34622979</v>
      </c>
      <c r="U93" s="43">
        <f>'D4 Gallon Forecast'!U143+'D5 Gallon Forecast'!U130+'D6 Gallon Forecast'!U219</f>
        <v>326915957.51048094</v>
      </c>
      <c r="V93" s="43">
        <f>'D4 Gallon Forecast'!V143+'D5 Gallon Forecast'!V130+'D6 Gallon Forecast'!V219</f>
        <v>342127884.18371904</v>
      </c>
      <c r="W93" s="43">
        <f>'D4 Gallon Forecast'!W143+'D5 Gallon Forecast'!W130+'D6 Gallon Forecast'!W219</f>
        <v>371062267.34164441</v>
      </c>
      <c r="X93" s="43">
        <f>'D4 Gallon Forecast'!X143+'D5 Gallon Forecast'!X130+'D6 Gallon Forecast'!X219</f>
        <v>440363381.72453421</v>
      </c>
      <c r="Y93" s="43">
        <f>'D4 Gallon Forecast'!Y143+'D5 Gallon Forecast'!Y130+'D6 Gallon Forecast'!Y219</f>
        <v>438022232.40879124</v>
      </c>
      <c r="Z93" s="43">
        <f>'D4 Gallon Forecast'!Z143+'D5 Gallon Forecast'!Z130+'D6 Gallon Forecast'!Z219</f>
        <v>425692985.24432093</v>
      </c>
      <c r="AA93" s="43">
        <f>'D4 Gallon Forecast'!AA143+'D5 Gallon Forecast'!AA130+'D6 Gallon Forecast'!AA219</f>
        <v>450938234.56570315</v>
      </c>
      <c r="AB93" s="43">
        <f>'D4 Gallon Forecast'!AB143+'D5 Gallon Forecast'!AB130+'D6 Gallon Forecast'!AB219</f>
        <v>487595627.41366339</v>
      </c>
      <c r="AC93" s="43">
        <f>'D4 Gallon Forecast'!AC143+'D5 Gallon Forecast'!AC130+'D6 Gallon Forecast'!AC219</f>
        <v>555044045.36868405</v>
      </c>
      <c r="AD93" s="43">
        <f>'D4 Gallon Forecast'!AD143+'D5 Gallon Forecast'!AD130+'D6 Gallon Forecast'!AD219</f>
        <v>612266921.57508743</v>
      </c>
      <c r="AE93" s="43">
        <f>'D4 Gallon Forecast'!AE143+'D5 Gallon Forecast'!AE130+'D6 Gallon Forecast'!AE219</f>
        <v>613952846.32622719</v>
      </c>
      <c r="AF93" s="43">
        <f>'D4 Gallon Forecast'!AF143+'D5 Gallon Forecast'!AF130+'D6 Gallon Forecast'!AF219</f>
        <v>539304425.54450047</v>
      </c>
      <c r="AG93" s="43">
        <f>'D4 Gallon Forecast'!AG143+'D5 Gallon Forecast'!AG130+'D6 Gallon Forecast'!AG219</f>
        <v>570734219.15428579</v>
      </c>
      <c r="AH93" s="43">
        <f>'D4 Gallon Forecast'!AH143+'D5 Gallon Forecast'!AH130+'D6 Gallon Forecast'!AH219</f>
        <v>603311704.82833278</v>
      </c>
      <c r="AI93" s="43">
        <f>'D4 Gallon Forecast'!AI143+'D5 Gallon Forecast'!AI130+'D6 Gallon Forecast'!AI219</f>
        <v>655625283.77727413</v>
      </c>
      <c r="AJ93" s="43">
        <f>'D4 Gallon Forecast'!AJ143+'D5 Gallon Forecast'!AJ130+'D6 Gallon Forecast'!AJ219</f>
        <v>668663192.27012849</v>
      </c>
      <c r="AK93" s="43">
        <f>'D4 Gallon Forecast'!AK143+'D5 Gallon Forecast'!AK130+'D6 Gallon Forecast'!AK219</f>
        <v>664840910.18463349</v>
      </c>
      <c r="AL93" s="43">
        <f>'D4 Gallon Forecast'!AL143+'D5 Gallon Forecast'!AL130+'D6 Gallon Forecast'!AL219</f>
        <v>633358192.98578227</v>
      </c>
      <c r="AM93" s="43">
        <f>'D4 Gallon Forecast'!AM143+'D5 Gallon Forecast'!AM130+'D6 Gallon Forecast'!AM219</f>
        <v>659640959.16620398</v>
      </c>
      <c r="AN93" s="43">
        <f>'D4 Gallon Forecast'!AN143+'D5 Gallon Forecast'!AN130+'D6 Gallon Forecast'!AN219</f>
        <v>683303159.60383523</v>
      </c>
      <c r="AO93" s="43">
        <f>'D4 Gallon Forecast'!AO143+'D5 Gallon Forecast'!AO130+'D6 Gallon Forecast'!AO219</f>
        <v>708011595.0872823</v>
      </c>
      <c r="AP93" s="43">
        <f>'D4 Gallon Forecast'!AP143+'D5 Gallon Forecast'!AP130+'D6 Gallon Forecast'!AP219</f>
        <v>738796929.08413994</v>
      </c>
      <c r="AQ93" s="43">
        <f>'D4 Gallon Forecast'!AQ143+'D5 Gallon Forecast'!AQ130+'D6 Gallon Forecast'!AQ219</f>
        <v>774670318.38633978</v>
      </c>
      <c r="AR93" s="43"/>
      <c r="AS93" s="45">
        <f t="shared" si="46"/>
        <v>-9.7969796257212582E-2</v>
      </c>
      <c r="AV93" s="43">
        <f t="shared" si="44"/>
        <v>33996204</v>
      </c>
      <c r="AW93" s="43">
        <f>O93/30</f>
        <v>6859461.1333333338</v>
      </c>
      <c r="AX93" s="42">
        <f>'D4 Gallon Forecast'!BM143+'D5 Gallon Forecast'!AX130+'D6 Gallon Forecast'!BK219</f>
        <v>-5910073.1820442444</v>
      </c>
      <c r="AY93" s="42">
        <f t="shared" si="45"/>
        <v>211693907.18204424</v>
      </c>
    </row>
    <row r="94" spans="1:51">
      <c r="A94" s="40" t="s">
        <v>54</v>
      </c>
      <c r="B94" s="42">
        <f>'D4 Gallon Forecast'!B144+'D5 Gallon Forecast'!B131+'D6 Gallon Forecast'!B220</f>
        <v>3069735</v>
      </c>
      <c r="C94" s="42">
        <f>'D4 Gallon Forecast'!C144+'D5 Gallon Forecast'!C131+'D6 Gallon Forecast'!C220</f>
        <v>6480832</v>
      </c>
      <c r="D94" s="42">
        <f>'D4 Gallon Forecast'!D144+'D5 Gallon Forecast'!D131+'D6 Gallon Forecast'!D220</f>
        <v>3795468</v>
      </c>
      <c r="E94" s="42">
        <f>'D4 Gallon Forecast'!E144+'D5 Gallon Forecast'!E131+'D6 Gallon Forecast'!E220</f>
        <v>13897310</v>
      </c>
      <c r="F94" s="42">
        <f>'D4 Gallon Forecast'!F144+'D5 Gallon Forecast'!F131+'D6 Gallon Forecast'!F220</f>
        <v>22831111</v>
      </c>
      <c r="G94" s="42">
        <f>'D4 Gallon Forecast'!G144+'D5 Gallon Forecast'!G131+'D6 Gallon Forecast'!G220</f>
        <v>13320532</v>
      </c>
      <c r="H94" s="42">
        <f>'D4 Gallon Forecast'!H144+'D5 Gallon Forecast'!H131+'D6 Gallon Forecast'!H220</f>
        <v>27156977</v>
      </c>
      <c r="I94" s="42">
        <f>'D4 Gallon Forecast'!I144+'D5 Gallon Forecast'!I131+'D6 Gallon Forecast'!I220</f>
        <v>25524348</v>
      </c>
      <c r="J94" s="42">
        <f>'D4 Gallon Forecast'!J144+'D5 Gallon Forecast'!J131+'D6 Gallon Forecast'!J220</f>
        <v>47330432</v>
      </c>
      <c r="K94" s="42">
        <f>'D4 Gallon Forecast'!K144+'D5 Gallon Forecast'!K131+'D6 Gallon Forecast'!K220</f>
        <v>52796160</v>
      </c>
      <c r="L94" s="42">
        <f>'D4 Gallon Forecast'!L144+'D5 Gallon Forecast'!L131+'D6 Gallon Forecast'!L220</f>
        <v>57807992</v>
      </c>
      <c r="M94" s="42">
        <f>'D4 Gallon Forecast'!M144+'D5 Gallon Forecast'!M131+'D6 Gallon Forecast'!M220</f>
        <v>118270462</v>
      </c>
      <c r="N94" s="42">
        <f>'D4 Gallon Forecast'!N144+'D5 Gallon Forecast'!N131+'D6 Gallon Forecast'!N220</f>
        <v>153759160</v>
      </c>
      <c r="O94" s="42">
        <f>'D4 Gallon Forecast'!O144+'D5 Gallon Forecast'!O131+'D6 Gallon Forecast'!O220</f>
        <v>274816428</v>
      </c>
      <c r="P94" s="42">
        <f>'D4 Gallon Forecast'!P144+'D5 Gallon Forecast'!P131+'D6 Gallon Forecast'!P220</f>
        <v>314111589</v>
      </c>
      <c r="Q94" s="43">
        <f>'D4 Gallon Forecast'!Q144+'D5 Gallon Forecast'!Q131+'D6 Gallon Forecast'!Q220</f>
        <v>283976602.73018843</v>
      </c>
      <c r="R94" s="43">
        <f>'D4 Gallon Forecast'!R144+'D5 Gallon Forecast'!R131+'D6 Gallon Forecast'!R220</f>
        <v>327988261.60637504</v>
      </c>
      <c r="S94" s="43">
        <f>'D4 Gallon Forecast'!S144+'D5 Gallon Forecast'!S131+'D6 Gallon Forecast'!S220</f>
        <v>360408804.48522425</v>
      </c>
      <c r="T94" s="43">
        <f>'D4 Gallon Forecast'!T144+'D5 Gallon Forecast'!T131+'D6 Gallon Forecast'!T220</f>
        <v>366605883.8644672</v>
      </c>
      <c r="U94" s="43">
        <f>'D4 Gallon Forecast'!U144+'D5 Gallon Forecast'!U131+'D6 Gallon Forecast'!U220</f>
        <v>369856670.91491246</v>
      </c>
      <c r="V94" s="43">
        <f>'D4 Gallon Forecast'!V144+'D5 Gallon Forecast'!V131+'D6 Gallon Forecast'!V220</f>
        <v>387299754.70567995</v>
      </c>
      <c r="W94" s="43">
        <f>'D4 Gallon Forecast'!W144+'D5 Gallon Forecast'!W131+'D6 Gallon Forecast'!W220</f>
        <v>420348949.46926063</v>
      </c>
      <c r="X94" s="43">
        <f>'D4 Gallon Forecast'!X144+'D5 Gallon Forecast'!X131+'D6 Gallon Forecast'!X220</f>
        <v>498475419.86634046</v>
      </c>
      <c r="Y94" s="43">
        <f>'D4 Gallon Forecast'!Y144+'D5 Gallon Forecast'!Y131+'D6 Gallon Forecast'!Y220</f>
        <v>495804608.01874244</v>
      </c>
      <c r="Z94" s="43">
        <f>'D4 Gallon Forecast'!Z144+'D5 Gallon Forecast'!Z131+'D6 Gallon Forecast'!Z220</f>
        <v>481822710.00184309</v>
      </c>
      <c r="AA94" s="43">
        <f>'D4 Gallon Forecast'!AA144+'D5 Gallon Forecast'!AA131+'D6 Gallon Forecast'!AA220</f>
        <v>510443586.60780591</v>
      </c>
      <c r="AB94" s="43">
        <f>'D4 Gallon Forecast'!AB144+'D5 Gallon Forecast'!AB131+'D6 Gallon Forecast'!AB220</f>
        <v>552062997.22252452</v>
      </c>
      <c r="AC94" s="43">
        <f>'D4 Gallon Forecast'!AC144+'D5 Gallon Forecast'!AC131+'D6 Gallon Forecast'!AC220</f>
        <v>628438287.86428332</v>
      </c>
      <c r="AD94" s="43">
        <f>'D4 Gallon Forecast'!AD144+'D5 Gallon Forecast'!AD131+'D6 Gallon Forecast'!AD220</f>
        <v>693244759.61271596</v>
      </c>
      <c r="AE94" s="43">
        <f>'D4 Gallon Forecast'!AE144+'D5 Gallon Forecast'!AE131+'D6 Gallon Forecast'!AE220</f>
        <v>695037731.12350714</v>
      </c>
      <c r="AF94" s="43">
        <f>'D4 Gallon Forecast'!AF144+'D5 Gallon Forecast'!AF131+'D6 Gallon Forecast'!AF220</f>
        <v>610341055.9153254</v>
      </c>
      <c r="AG94" s="43">
        <f>'D4 Gallon Forecast'!AG144+'D5 Gallon Forecast'!AG131+'D6 Gallon Forecast'!AG220</f>
        <v>645991489.15770173</v>
      </c>
      <c r="AH94" s="43">
        <f>'D4 Gallon Forecast'!AH144+'D5 Gallon Forecast'!AH131+'D6 Gallon Forecast'!AH220</f>
        <v>682868215.24964094</v>
      </c>
      <c r="AI94" s="43">
        <f>'D4 Gallon Forecast'!AI144+'D5 Gallon Forecast'!AI131+'D6 Gallon Forecast'!AI220</f>
        <v>742096839.95330358</v>
      </c>
      <c r="AJ94" s="43">
        <f>'D4 Gallon Forecast'!AJ144+'D5 Gallon Forecast'!AJ131+'D6 Gallon Forecast'!AJ220</f>
        <v>756847476.378196</v>
      </c>
      <c r="AK94" s="43">
        <f>'D4 Gallon Forecast'!AK144+'D5 Gallon Forecast'!AK131+'D6 Gallon Forecast'!AK220</f>
        <v>752513445.44148159</v>
      </c>
      <c r="AL94" s="43">
        <f>'D4 Gallon Forecast'!AL144+'D5 Gallon Forecast'!AL131+'D6 Gallon Forecast'!AL220</f>
        <v>716797919.59206676</v>
      </c>
      <c r="AM94" s="43">
        <f>'D4 Gallon Forecast'!AM144+'D5 Gallon Forecast'!AM131+'D6 Gallon Forecast'!AM220</f>
        <v>746651631.44184577</v>
      </c>
      <c r="AN94" s="43">
        <f>'D4 Gallon Forecast'!AN144+'D5 Gallon Forecast'!AN131+'D6 Gallon Forecast'!AN220</f>
        <v>773431573.27484298</v>
      </c>
      <c r="AO94" s="43">
        <f>'D4 Gallon Forecast'!AO144+'D5 Gallon Forecast'!AO131+'D6 Gallon Forecast'!AO220</f>
        <v>801399399.2506671</v>
      </c>
      <c r="AP94" s="43">
        <f>'D4 Gallon Forecast'!AP144+'D5 Gallon Forecast'!AP131+'D6 Gallon Forecast'!AP220</f>
        <v>836312779.50156879</v>
      </c>
      <c r="AQ94" s="43">
        <f>'D4 Gallon Forecast'!AQ144+'D5 Gallon Forecast'!AQ131+'D6 Gallon Forecast'!AQ220</f>
        <v>878995764.73726463</v>
      </c>
      <c r="AR94" s="43"/>
      <c r="AS94" s="45">
        <f t="shared" si="46"/>
        <v>0.20261986182105129</v>
      </c>
      <c r="AV94" s="43">
        <f t="shared" si="44"/>
        <v>121057268</v>
      </c>
      <c r="AW94" s="43">
        <f>O94/31</f>
        <v>8865046.064516129</v>
      </c>
      <c r="AX94" s="42">
        <f>'D4 Gallon Forecast'!BM144+'D5 Gallon Forecast'!AX131+'D6 Gallon Forecast'!BK220</f>
        <v>48736940.673882216</v>
      </c>
      <c r="AY94" s="42">
        <f t="shared" si="45"/>
        <v>226079487.32611778</v>
      </c>
    </row>
    <row r="95" spans="1:51" ht="12" thickBot="1">
      <c r="A95" s="48" t="s">
        <v>29</v>
      </c>
      <c r="B95" s="49">
        <f>SUM(B83:B94)</f>
        <v>8776593</v>
      </c>
      <c r="C95" s="49">
        <f t="shared" ref="C95:AQ95" si="47">SUM(C83:C94)</f>
        <v>62041290</v>
      </c>
      <c r="D95" s="49">
        <f t="shared" si="47"/>
        <v>52401102</v>
      </c>
      <c r="E95" s="49">
        <f t="shared" si="47"/>
        <v>113285858</v>
      </c>
      <c r="F95" s="49">
        <f t="shared" si="47"/>
        <v>159141206</v>
      </c>
      <c r="G95" s="49">
        <f t="shared" si="47"/>
        <v>176847616</v>
      </c>
      <c r="H95" s="49">
        <f t="shared" si="47"/>
        <v>241487435</v>
      </c>
      <c r="I95" s="49">
        <f t="shared" si="47"/>
        <v>258342125</v>
      </c>
      <c r="J95" s="49">
        <f t="shared" si="47"/>
        <v>305484447</v>
      </c>
      <c r="K95" s="49">
        <f t="shared" si="47"/>
        <v>492137189</v>
      </c>
      <c r="L95" s="49">
        <f t="shared" si="47"/>
        <v>533508347</v>
      </c>
      <c r="M95" s="49">
        <f t="shared" si="47"/>
        <v>845434907</v>
      </c>
      <c r="N95" s="49">
        <f t="shared" si="47"/>
        <v>1455336706</v>
      </c>
      <c r="O95" s="49">
        <f t="shared" si="47"/>
        <v>2427796409</v>
      </c>
      <c r="P95" s="49">
        <f t="shared" si="47"/>
        <v>3137465664</v>
      </c>
      <c r="Q95" s="50">
        <f t="shared" si="47"/>
        <v>2551138791.1709371</v>
      </c>
      <c r="R95" s="50">
        <f t="shared" si="47"/>
        <v>2689041217.0486603</v>
      </c>
      <c r="S95" s="50">
        <f t="shared" si="47"/>
        <v>2966216738.0645237</v>
      </c>
      <c r="T95" s="50">
        <f t="shared" si="47"/>
        <v>3023263905.1846147</v>
      </c>
      <c r="U95" s="50">
        <f t="shared" si="47"/>
        <v>3047347392.5416126</v>
      </c>
      <c r="V95" s="50">
        <f t="shared" si="47"/>
        <v>3193046329.6640577</v>
      </c>
      <c r="W95" s="50">
        <f t="shared" si="47"/>
        <v>3461676181.6955152</v>
      </c>
      <c r="X95" s="50">
        <f t="shared" si="47"/>
        <v>4105474184.6252842</v>
      </c>
      <c r="Y95" s="50">
        <f t="shared" si="47"/>
        <v>4085065461.9750652</v>
      </c>
      <c r="Z95" s="50">
        <f t="shared" si="47"/>
        <v>3972104551.4107871</v>
      </c>
      <c r="AA95" s="50">
        <f t="shared" si="47"/>
        <v>4208180718.9501262</v>
      </c>
      <c r="AB95" s="50">
        <f t="shared" si="47"/>
        <v>4546610855.6658516</v>
      </c>
      <c r="AC95" s="50">
        <f t="shared" si="47"/>
        <v>5173505385.3503914</v>
      </c>
      <c r="AD95" s="50">
        <f t="shared" si="47"/>
        <v>5706952891.60359</v>
      </c>
      <c r="AE95" s="50">
        <f t="shared" si="47"/>
        <v>5726163435.5493517</v>
      </c>
      <c r="AF95" s="50">
        <f t="shared" si="47"/>
        <v>5035159509.3486919</v>
      </c>
      <c r="AG95" s="50">
        <f t="shared" si="47"/>
        <v>5326222473.5088329</v>
      </c>
      <c r="AH95" s="50">
        <f t="shared" si="47"/>
        <v>5629954354.9645443</v>
      </c>
      <c r="AI95" s="50">
        <f t="shared" si="47"/>
        <v>6117834976.5581131</v>
      </c>
      <c r="AJ95" s="50">
        <f t="shared" si="47"/>
        <v>6239744437.8807611</v>
      </c>
      <c r="AK95" s="50">
        <f t="shared" si="47"/>
        <v>6204269196.4576378</v>
      </c>
      <c r="AL95" s="50">
        <f t="shared" si="47"/>
        <v>5912596264.1335287</v>
      </c>
      <c r="AM95" s="50">
        <f t="shared" si="47"/>
        <v>6155051944.100625</v>
      </c>
      <c r="AN95" s="50">
        <f t="shared" si="47"/>
        <v>6375961351.4237471</v>
      </c>
      <c r="AO95" s="50">
        <f t="shared" si="47"/>
        <v>6606514595.4268703</v>
      </c>
      <c r="AP95" s="50">
        <f t="shared" si="47"/>
        <v>6891968127.6607828</v>
      </c>
      <c r="AQ95" s="50">
        <f t="shared" si="47"/>
        <v>7171247127.9407444</v>
      </c>
      <c r="AR95" s="43"/>
    </row>
    <row r="96" spans="1:51">
      <c r="A96" s="51"/>
      <c r="B96" s="51"/>
      <c r="C96" s="51"/>
      <c r="D96" s="51"/>
      <c r="E96" s="51"/>
      <c r="F96" s="51"/>
      <c r="G96" s="51"/>
      <c r="H96" s="51"/>
      <c r="I96" s="51"/>
      <c r="J96" s="51"/>
      <c r="K96" s="51"/>
      <c r="L96" s="51"/>
      <c r="M96" s="52"/>
      <c r="N96" s="53"/>
      <c r="O96" s="54"/>
      <c r="P96" s="54"/>
      <c r="Q96" s="53">
        <f>230000*42*365</f>
        <v>3525900000</v>
      </c>
      <c r="R96" s="51" t="s">
        <v>103</v>
      </c>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5"/>
    </row>
    <row r="97" spans="1:45" ht="12" thickBot="1">
      <c r="A97" s="39" t="s">
        <v>104</v>
      </c>
      <c r="Q97" s="40">
        <f>Q96-Q95</f>
        <v>974761208.82906294</v>
      </c>
    </row>
    <row r="98" spans="1:45" ht="12" thickBot="1">
      <c r="A98" s="41"/>
      <c r="B98" s="41">
        <f>B34</f>
        <v>2010</v>
      </c>
      <c r="C98" s="41">
        <f t="shared" ref="C98:Z98" si="48">C34</f>
        <v>2011</v>
      </c>
      <c r="D98" s="41">
        <f t="shared" si="48"/>
        <v>2012</v>
      </c>
      <c r="E98" s="41">
        <f t="shared" si="48"/>
        <v>2013</v>
      </c>
      <c r="F98" s="41">
        <f t="shared" si="48"/>
        <v>2014</v>
      </c>
      <c r="G98" s="41">
        <f t="shared" si="48"/>
        <v>2015</v>
      </c>
      <c r="H98" s="41">
        <f t="shared" si="48"/>
        <v>2016</v>
      </c>
      <c r="I98" s="41">
        <f t="shared" si="48"/>
        <v>2017</v>
      </c>
      <c r="J98" s="41">
        <f t="shared" si="48"/>
        <v>2018</v>
      </c>
      <c r="K98" s="41">
        <f t="shared" si="48"/>
        <v>2019</v>
      </c>
      <c r="L98" s="41">
        <f t="shared" si="48"/>
        <v>2020</v>
      </c>
      <c r="M98" s="41">
        <f t="shared" si="48"/>
        <v>2021</v>
      </c>
      <c r="N98" s="41">
        <f t="shared" si="48"/>
        <v>2022</v>
      </c>
      <c r="O98" s="41">
        <f t="shared" si="48"/>
        <v>2023</v>
      </c>
      <c r="P98" s="41">
        <f t="shared" si="48"/>
        <v>2024</v>
      </c>
      <c r="Q98" s="41">
        <f t="shared" si="48"/>
        <v>2025</v>
      </c>
      <c r="R98" s="41">
        <f t="shared" si="48"/>
        <v>2026</v>
      </c>
      <c r="S98" s="41">
        <f t="shared" si="48"/>
        <v>2027</v>
      </c>
      <c r="T98" s="41">
        <f t="shared" si="48"/>
        <v>2028</v>
      </c>
      <c r="U98" s="41">
        <f t="shared" si="48"/>
        <v>2029</v>
      </c>
      <c r="V98" s="41">
        <f t="shared" si="48"/>
        <v>2030</v>
      </c>
      <c r="W98" s="41">
        <f t="shared" si="48"/>
        <v>2031</v>
      </c>
      <c r="X98" s="41">
        <f t="shared" si="48"/>
        <v>2032</v>
      </c>
      <c r="Y98" s="41">
        <f t="shared" si="48"/>
        <v>2033</v>
      </c>
      <c r="Z98" s="41">
        <f t="shared" si="48"/>
        <v>2034</v>
      </c>
      <c r="AA98" s="41">
        <f>AA2</f>
        <v>2035</v>
      </c>
      <c r="AB98" s="41">
        <f t="shared" ref="AB98:AQ98" si="49">AB2</f>
        <v>2036</v>
      </c>
      <c r="AC98" s="41">
        <f t="shared" si="49"/>
        <v>2037</v>
      </c>
      <c r="AD98" s="41">
        <f t="shared" si="49"/>
        <v>2038</v>
      </c>
      <c r="AE98" s="41">
        <f t="shared" si="49"/>
        <v>2039</v>
      </c>
      <c r="AF98" s="41">
        <f t="shared" si="49"/>
        <v>2040</v>
      </c>
      <c r="AG98" s="41">
        <f t="shared" si="49"/>
        <v>2041</v>
      </c>
      <c r="AH98" s="41">
        <f t="shared" si="49"/>
        <v>2042</v>
      </c>
      <c r="AI98" s="41">
        <f t="shared" si="49"/>
        <v>2043</v>
      </c>
      <c r="AJ98" s="41">
        <f t="shared" si="49"/>
        <v>2044</v>
      </c>
      <c r="AK98" s="41">
        <f t="shared" si="49"/>
        <v>2045</v>
      </c>
      <c r="AL98" s="41">
        <f t="shared" si="49"/>
        <v>2046</v>
      </c>
      <c r="AM98" s="41">
        <f t="shared" si="49"/>
        <v>2047</v>
      </c>
      <c r="AN98" s="41">
        <f t="shared" si="49"/>
        <v>2048</v>
      </c>
      <c r="AO98" s="41">
        <f t="shared" si="49"/>
        <v>2049</v>
      </c>
      <c r="AP98" s="41">
        <f t="shared" si="49"/>
        <v>2050</v>
      </c>
      <c r="AQ98" s="41">
        <f t="shared" si="49"/>
        <v>2051</v>
      </c>
    </row>
    <row r="99" spans="1:45">
      <c r="A99" s="40" t="s">
        <v>43</v>
      </c>
      <c r="B99" s="42">
        <f>'D4 Gallon Forecast'!B261+'D5 Gallon Forecast'!B168+'D6 Gallon Forecast'!B241</f>
        <v>0</v>
      </c>
      <c r="C99" s="42">
        <f>'D4 Gallon Forecast'!C261+'D5 Gallon Forecast'!C168+'D6 Gallon Forecast'!C241</f>
        <v>0</v>
      </c>
      <c r="D99" s="42">
        <f>'D4 Gallon Forecast'!D261+'D5 Gallon Forecast'!D168+'D6 Gallon Forecast'!D241</f>
        <v>0</v>
      </c>
      <c r="E99" s="42">
        <f>'D4 Gallon Forecast'!E261+'D5 Gallon Forecast'!E168+'D6 Gallon Forecast'!E241</f>
        <v>0</v>
      </c>
      <c r="F99" s="42">
        <f>'D4 Gallon Forecast'!F261+'D5 Gallon Forecast'!F168+'D6 Gallon Forecast'!F241</f>
        <v>5612400</v>
      </c>
      <c r="G99" s="42">
        <f>'D4 Gallon Forecast'!G261+'D5 Gallon Forecast'!G168+'D6 Gallon Forecast'!G241</f>
        <v>0</v>
      </c>
      <c r="H99" s="42">
        <f>'D4 Gallon Forecast'!H261+'D5 Gallon Forecast'!H168+'D6 Gallon Forecast'!H241</f>
        <v>0</v>
      </c>
      <c r="I99" s="42">
        <f>'D4 Gallon Forecast'!I261+'D5 Gallon Forecast'!I168+'D6 Gallon Forecast'!I241</f>
        <v>0</v>
      </c>
      <c r="J99" s="42">
        <f>'D4 Gallon Forecast'!J261+'D5 Gallon Forecast'!J168+'D6 Gallon Forecast'!J241</f>
        <v>0</v>
      </c>
      <c r="K99" s="42">
        <f>'D4 Gallon Forecast'!K261+'D5 Gallon Forecast'!K168+'D6 Gallon Forecast'!K241</f>
        <v>0</v>
      </c>
      <c r="L99" s="42">
        <f>'D4 Gallon Forecast'!L261+'D5 Gallon Forecast'!L168+'D6 Gallon Forecast'!L241</f>
        <v>0</v>
      </c>
      <c r="M99" s="42">
        <f>'D4 Gallon Forecast'!M261+'D5 Gallon Forecast'!M168+'D6 Gallon Forecast'!M241</f>
        <v>2859906</v>
      </c>
      <c r="N99" s="42">
        <f>'D4 Gallon Forecast'!N261+'D5 Gallon Forecast'!N168+'D6 Gallon Forecast'!N241</f>
        <v>0</v>
      </c>
      <c r="O99" s="42">
        <f>'D4 Gallon Forecast'!O261+'D5 Gallon Forecast'!O168+'D6 Gallon Forecast'!O241</f>
        <v>0</v>
      </c>
      <c r="P99" s="42">
        <f>'D4 Gallon Forecast'!P261+'D5 Gallon Forecast'!P168+'D6 Gallon Forecast'!P241</f>
        <v>0</v>
      </c>
      <c r="Q99" s="42">
        <f>'D4 Gallon Forecast'!Q261+'D5 Gallon Forecast'!Q168+'D6 Gallon Forecast'!Q241</f>
        <v>0</v>
      </c>
      <c r="R99" s="43">
        <f>'D4 Gallon Forecast'!R261+'D5 Gallon Forecast'!R168+'D6 Gallon Forecast'!R241</f>
        <v>0</v>
      </c>
      <c r="S99" s="43">
        <f>'D4 Gallon Forecast'!S261+'D5 Gallon Forecast'!S168+'D6 Gallon Forecast'!S241</f>
        <v>0</v>
      </c>
      <c r="T99" s="43">
        <f>'D4 Gallon Forecast'!T261+'D5 Gallon Forecast'!T168+'D6 Gallon Forecast'!T241</f>
        <v>0</v>
      </c>
      <c r="U99" s="43">
        <f>'D4 Gallon Forecast'!U261+'D5 Gallon Forecast'!U168+'D6 Gallon Forecast'!U241</f>
        <v>0</v>
      </c>
      <c r="V99" s="43">
        <f>'D4 Gallon Forecast'!V261+'D5 Gallon Forecast'!V168+'D6 Gallon Forecast'!V241</f>
        <v>0</v>
      </c>
      <c r="W99" s="43">
        <f>'D4 Gallon Forecast'!W261+'D5 Gallon Forecast'!W168+'D6 Gallon Forecast'!W241</f>
        <v>0</v>
      </c>
      <c r="X99" s="43">
        <f>'D4 Gallon Forecast'!X261+'D5 Gallon Forecast'!X168+'D6 Gallon Forecast'!X241</f>
        <v>0</v>
      </c>
      <c r="Y99" s="43">
        <f>'D4 Gallon Forecast'!Y261+'D5 Gallon Forecast'!Y168+'D6 Gallon Forecast'!Y241</f>
        <v>0</v>
      </c>
      <c r="Z99" s="43">
        <f>'D4 Gallon Forecast'!Z261+'D5 Gallon Forecast'!Z168+'D6 Gallon Forecast'!Z241</f>
        <v>0</v>
      </c>
      <c r="AA99" s="43">
        <f>'D4 Gallon Forecast'!AA261+'D5 Gallon Forecast'!AA168+'D6 Gallon Forecast'!AA241</f>
        <v>0</v>
      </c>
      <c r="AB99" s="43">
        <f>'D4 Gallon Forecast'!AB261+'D5 Gallon Forecast'!AB168+'D6 Gallon Forecast'!AB241</f>
        <v>0</v>
      </c>
      <c r="AC99" s="43">
        <f>'D4 Gallon Forecast'!AC261+'D5 Gallon Forecast'!AC168+'D6 Gallon Forecast'!AC241</f>
        <v>0</v>
      </c>
      <c r="AD99" s="43">
        <f>'D4 Gallon Forecast'!AD261+'D5 Gallon Forecast'!AD168+'D6 Gallon Forecast'!AD241</f>
        <v>0</v>
      </c>
      <c r="AE99" s="43">
        <f>'D4 Gallon Forecast'!AE261+'D5 Gallon Forecast'!AE168+'D6 Gallon Forecast'!AE241</f>
        <v>0</v>
      </c>
      <c r="AF99" s="43">
        <f>'D4 Gallon Forecast'!AF261+'D5 Gallon Forecast'!AF168+'D6 Gallon Forecast'!AF241</f>
        <v>0</v>
      </c>
      <c r="AG99" s="43">
        <f>'D4 Gallon Forecast'!AG261+'D5 Gallon Forecast'!AG168+'D6 Gallon Forecast'!AG241</f>
        <v>0</v>
      </c>
      <c r="AH99" s="43">
        <f>'D4 Gallon Forecast'!AH261+'D5 Gallon Forecast'!AH168+'D6 Gallon Forecast'!AH241</f>
        <v>0</v>
      </c>
      <c r="AI99" s="43">
        <f>'D4 Gallon Forecast'!AI261+'D5 Gallon Forecast'!AI168+'D6 Gallon Forecast'!AI241</f>
        <v>0</v>
      </c>
      <c r="AJ99" s="43">
        <f>'D4 Gallon Forecast'!AJ261+'D5 Gallon Forecast'!AJ168+'D6 Gallon Forecast'!AJ241</f>
        <v>0</v>
      </c>
      <c r="AK99" s="43">
        <f>'D4 Gallon Forecast'!AK261+'D5 Gallon Forecast'!AK168+'D6 Gallon Forecast'!AK241</f>
        <v>0</v>
      </c>
      <c r="AL99" s="43">
        <f>'D4 Gallon Forecast'!AL261+'D5 Gallon Forecast'!AL168+'D6 Gallon Forecast'!AL241</f>
        <v>0</v>
      </c>
      <c r="AM99" s="43">
        <f>'D4 Gallon Forecast'!AM261+'D5 Gallon Forecast'!AM168+'D6 Gallon Forecast'!AM241</f>
        <v>0</v>
      </c>
      <c r="AN99" s="43">
        <f>'D4 Gallon Forecast'!AN261+'D5 Gallon Forecast'!AN168+'D6 Gallon Forecast'!AN241</f>
        <v>0</v>
      </c>
      <c r="AO99" s="43">
        <f>'D4 Gallon Forecast'!AO261+'D5 Gallon Forecast'!AO168+'D6 Gallon Forecast'!AO241</f>
        <v>0</v>
      </c>
      <c r="AP99" s="43">
        <f>'D4 Gallon Forecast'!AP261+'D5 Gallon Forecast'!AP168+'D6 Gallon Forecast'!AP241</f>
        <v>0</v>
      </c>
      <c r="AQ99" s="43">
        <f>'D4 Gallon Forecast'!AQ261+'D5 Gallon Forecast'!AQ168+'D6 Gallon Forecast'!AQ241</f>
        <v>4</v>
      </c>
      <c r="AR99" s="43"/>
      <c r="AS99" s="44"/>
    </row>
    <row r="100" spans="1:45">
      <c r="A100" s="40" t="s">
        <v>44</v>
      </c>
      <c r="B100" s="42">
        <f>'D4 Gallon Forecast'!B262+'D5 Gallon Forecast'!B169+'D6 Gallon Forecast'!B242</f>
        <v>0</v>
      </c>
      <c r="C100" s="42">
        <f>'D4 Gallon Forecast'!C262+'D5 Gallon Forecast'!C169+'D6 Gallon Forecast'!C242</f>
        <v>0</v>
      </c>
      <c r="D100" s="42">
        <f>'D4 Gallon Forecast'!D262+'D5 Gallon Forecast'!D169+'D6 Gallon Forecast'!D242</f>
        <v>0</v>
      </c>
      <c r="E100" s="42">
        <f>'D4 Gallon Forecast'!E262+'D5 Gallon Forecast'!E169+'D6 Gallon Forecast'!E242</f>
        <v>2405892</v>
      </c>
      <c r="F100" s="42">
        <f>'D4 Gallon Forecast'!F262+'D5 Gallon Forecast'!F169+'D6 Gallon Forecast'!F242</f>
        <v>0</v>
      </c>
      <c r="G100" s="42">
        <f>'D4 Gallon Forecast'!G262+'D5 Gallon Forecast'!G169+'D6 Gallon Forecast'!G242</f>
        <v>0</v>
      </c>
      <c r="H100" s="42">
        <f>'D4 Gallon Forecast'!H262+'D5 Gallon Forecast'!H169+'D6 Gallon Forecast'!H242</f>
        <v>0</v>
      </c>
      <c r="I100" s="42">
        <f>'D4 Gallon Forecast'!I262+'D5 Gallon Forecast'!I169+'D6 Gallon Forecast'!I242</f>
        <v>0</v>
      </c>
      <c r="J100" s="42">
        <f>'D4 Gallon Forecast'!J262+'D5 Gallon Forecast'!J169+'D6 Gallon Forecast'!J242</f>
        <v>0</v>
      </c>
      <c r="K100" s="42">
        <f>'D4 Gallon Forecast'!K262+'D5 Gallon Forecast'!K169+'D6 Gallon Forecast'!K242</f>
        <v>0</v>
      </c>
      <c r="L100" s="42">
        <f>'D4 Gallon Forecast'!L262+'D5 Gallon Forecast'!L169+'D6 Gallon Forecast'!L242</f>
        <v>0</v>
      </c>
      <c r="M100" s="42">
        <f>'D4 Gallon Forecast'!M262+'D5 Gallon Forecast'!M169+'D6 Gallon Forecast'!M242</f>
        <v>0</v>
      </c>
      <c r="N100" s="42">
        <f>'D4 Gallon Forecast'!N262+'D5 Gallon Forecast'!N169+'D6 Gallon Forecast'!N242</f>
        <v>0</v>
      </c>
      <c r="O100" s="42">
        <f>'D4 Gallon Forecast'!O262+'D5 Gallon Forecast'!O169+'D6 Gallon Forecast'!O242</f>
        <v>0</v>
      </c>
      <c r="P100" s="42">
        <f>'D4 Gallon Forecast'!P262+'D5 Gallon Forecast'!P169+'D6 Gallon Forecast'!P242</f>
        <v>0</v>
      </c>
      <c r="Q100" s="42">
        <f>'D4 Gallon Forecast'!Q262+'D5 Gallon Forecast'!Q169+'D6 Gallon Forecast'!Q242</f>
        <v>0</v>
      </c>
      <c r="R100" s="43">
        <f>'D4 Gallon Forecast'!R262+'D5 Gallon Forecast'!R169+'D6 Gallon Forecast'!R242</f>
        <v>0</v>
      </c>
      <c r="S100" s="43">
        <f>'D4 Gallon Forecast'!S262+'D5 Gallon Forecast'!S169+'D6 Gallon Forecast'!S242</f>
        <v>0</v>
      </c>
      <c r="T100" s="43">
        <f>'D4 Gallon Forecast'!T262+'D5 Gallon Forecast'!T169+'D6 Gallon Forecast'!T242</f>
        <v>0</v>
      </c>
      <c r="U100" s="43">
        <f>'D4 Gallon Forecast'!U262+'D5 Gallon Forecast'!U169+'D6 Gallon Forecast'!U242</f>
        <v>0</v>
      </c>
      <c r="V100" s="43">
        <f>'D4 Gallon Forecast'!V262+'D5 Gallon Forecast'!V169+'D6 Gallon Forecast'!V242</f>
        <v>0</v>
      </c>
      <c r="W100" s="43">
        <f>'D4 Gallon Forecast'!W262+'D5 Gallon Forecast'!W169+'D6 Gallon Forecast'!W242</f>
        <v>0</v>
      </c>
      <c r="X100" s="43">
        <f>'D4 Gallon Forecast'!X262+'D5 Gallon Forecast'!X169+'D6 Gallon Forecast'!X242</f>
        <v>0</v>
      </c>
      <c r="Y100" s="43">
        <f>'D4 Gallon Forecast'!Y262+'D5 Gallon Forecast'!Y169+'D6 Gallon Forecast'!Y242</f>
        <v>0</v>
      </c>
      <c r="Z100" s="43">
        <f>'D4 Gallon Forecast'!Z262+'D5 Gallon Forecast'!Z169+'D6 Gallon Forecast'!Z242</f>
        <v>0</v>
      </c>
      <c r="AA100" s="43">
        <f>'D4 Gallon Forecast'!AA262+'D5 Gallon Forecast'!AA169+'D6 Gallon Forecast'!AA242</f>
        <v>0</v>
      </c>
      <c r="AB100" s="43">
        <f>'D4 Gallon Forecast'!AB262+'D5 Gallon Forecast'!AB169+'D6 Gallon Forecast'!AB242</f>
        <v>0</v>
      </c>
      <c r="AC100" s="43">
        <f>'D4 Gallon Forecast'!AC262+'D5 Gallon Forecast'!AC169+'D6 Gallon Forecast'!AC242</f>
        <v>0</v>
      </c>
      <c r="AD100" s="43">
        <f>'D4 Gallon Forecast'!AD262+'D5 Gallon Forecast'!AD169+'D6 Gallon Forecast'!AD242</f>
        <v>0</v>
      </c>
      <c r="AE100" s="43">
        <f>'D4 Gallon Forecast'!AE262+'D5 Gallon Forecast'!AE169+'D6 Gallon Forecast'!AE242</f>
        <v>0</v>
      </c>
      <c r="AF100" s="43">
        <f>'D4 Gallon Forecast'!AF262+'D5 Gallon Forecast'!AF169+'D6 Gallon Forecast'!AF242</f>
        <v>0</v>
      </c>
      <c r="AG100" s="43">
        <f>'D4 Gallon Forecast'!AG262+'D5 Gallon Forecast'!AG169+'D6 Gallon Forecast'!AG242</f>
        <v>0</v>
      </c>
      <c r="AH100" s="43">
        <f>'D4 Gallon Forecast'!AH262+'D5 Gallon Forecast'!AH169+'D6 Gallon Forecast'!AH242</f>
        <v>0</v>
      </c>
      <c r="AI100" s="43">
        <f>'D4 Gallon Forecast'!AI262+'D5 Gallon Forecast'!AI169+'D6 Gallon Forecast'!AI242</f>
        <v>0</v>
      </c>
      <c r="AJ100" s="43">
        <f>'D4 Gallon Forecast'!AJ262+'D5 Gallon Forecast'!AJ169+'D6 Gallon Forecast'!AJ242</f>
        <v>0</v>
      </c>
      <c r="AK100" s="43">
        <f>'D4 Gallon Forecast'!AK262+'D5 Gallon Forecast'!AK169+'D6 Gallon Forecast'!AK242</f>
        <v>0</v>
      </c>
      <c r="AL100" s="43">
        <f>'D4 Gallon Forecast'!AL262+'D5 Gallon Forecast'!AL169+'D6 Gallon Forecast'!AL242</f>
        <v>0</v>
      </c>
      <c r="AM100" s="43">
        <f>'D4 Gallon Forecast'!AM262+'D5 Gallon Forecast'!AM169+'D6 Gallon Forecast'!AM242</f>
        <v>0</v>
      </c>
      <c r="AN100" s="43">
        <f>'D4 Gallon Forecast'!AN262+'D5 Gallon Forecast'!AN169+'D6 Gallon Forecast'!AN242</f>
        <v>0</v>
      </c>
      <c r="AO100" s="43">
        <f>'D4 Gallon Forecast'!AO262+'D5 Gallon Forecast'!AO169+'D6 Gallon Forecast'!AO242</f>
        <v>0</v>
      </c>
      <c r="AP100" s="43">
        <f>'D4 Gallon Forecast'!AP262+'D5 Gallon Forecast'!AP169+'D6 Gallon Forecast'!AP242</f>
        <v>0</v>
      </c>
      <c r="AQ100" s="43">
        <f>'D4 Gallon Forecast'!AQ262+'D5 Gallon Forecast'!AQ169+'D6 Gallon Forecast'!AQ242</f>
        <v>4</v>
      </c>
      <c r="AR100" s="43"/>
      <c r="AS100" s="44"/>
    </row>
    <row r="101" spans="1:45">
      <c r="A101" s="40" t="s">
        <v>45</v>
      </c>
      <c r="B101" s="42">
        <f>'D4 Gallon Forecast'!B263+'D5 Gallon Forecast'!B170+'D6 Gallon Forecast'!B243</f>
        <v>0</v>
      </c>
      <c r="C101" s="42">
        <f>'D4 Gallon Forecast'!C263+'D5 Gallon Forecast'!C170+'D6 Gallon Forecast'!C243</f>
        <v>0</v>
      </c>
      <c r="D101" s="42">
        <f>'D4 Gallon Forecast'!D263+'D5 Gallon Forecast'!D170+'D6 Gallon Forecast'!D243</f>
        <v>0</v>
      </c>
      <c r="E101" s="42">
        <f>'D4 Gallon Forecast'!E263+'D5 Gallon Forecast'!E170+'D6 Gallon Forecast'!E243</f>
        <v>4938884</v>
      </c>
      <c r="F101" s="42">
        <f>'D4 Gallon Forecast'!F263+'D5 Gallon Forecast'!F170+'D6 Gallon Forecast'!F243</f>
        <v>0</v>
      </c>
      <c r="G101" s="42">
        <f>'D4 Gallon Forecast'!G263+'D5 Gallon Forecast'!G170+'D6 Gallon Forecast'!G243</f>
        <v>0</v>
      </c>
      <c r="H101" s="42">
        <f>'D4 Gallon Forecast'!H263+'D5 Gallon Forecast'!H170+'D6 Gallon Forecast'!H243</f>
        <v>0</v>
      </c>
      <c r="I101" s="42">
        <f>'D4 Gallon Forecast'!I263+'D5 Gallon Forecast'!I170+'D6 Gallon Forecast'!I243</f>
        <v>0</v>
      </c>
      <c r="J101" s="42">
        <f>'D4 Gallon Forecast'!J263+'D5 Gallon Forecast'!J170+'D6 Gallon Forecast'!J243</f>
        <v>0</v>
      </c>
      <c r="K101" s="42">
        <f>'D4 Gallon Forecast'!K263+'D5 Gallon Forecast'!K170+'D6 Gallon Forecast'!K243</f>
        <v>0</v>
      </c>
      <c r="L101" s="42">
        <f>'D4 Gallon Forecast'!L263+'D5 Gallon Forecast'!L170+'D6 Gallon Forecast'!L243</f>
        <v>0</v>
      </c>
      <c r="M101" s="42">
        <f>'D4 Gallon Forecast'!M263+'D5 Gallon Forecast'!M170+'D6 Gallon Forecast'!M243</f>
        <v>0</v>
      </c>
      <c r="N101" s="42">
        <f>'D4 Gallon Forecast'!N263+'D5 Gallon Forecast'!N170+'D6 Gallon Forecast'!N243</f>
        <v>0</v>
      </c>
      <c r="O101" s="42">
        <f>'D4 Gallon Forecast'!O263+'D5 Gallon Forecast'!O170+'D6 Gallon Forecast'!O243</f>
        <v>0</v>
      </c>
      <c r="P101" s="42">
        <f>'D4 Gallon Forecast'!P263+'D5 Gallon Forecast'!P170+'D6 Gallon Forecast'!P243</f>
        <v>0</v>
      </c>
      <c r="Q101" s="42">
        <f>'D4 Gallon Forecast'!Q263+'D5 Gallon Forecast'!Q170+'D6 Gallon Forecast'!Q243</f>
        <v>12677402</v>
      </c>
      <c r="R101" s="43">
        <f>'D4 Gallon Forecast'!R263+'D5 Gallon Forecast'!R170+'D6 Gallon Forecast'!R243</f>
        <v>0</v>
      </c>
      <c r="S101" s="43">
        <f>'D4 Gallon Forecast'!S263+'D5 Gallon Forecast'!S170+'D6 Gallon Forecast'!S243</f>
        <v>0</v>
      </c>
      <c r="T101" s="43">
        <f>'D4 Gallon Forecast'!T263+'D5 Gallon Forecast'!T170+'D6 Gallon Forecast'!T243</f>
        <v>0</v>
      </c>
      <c r="U101" s="43">
        <f>'D4 Gallon Forecast'!U263+'D5 Gallon Forecast'!U170+'D6 Gallon Forecast'!U243</f>
        <v>0</v>
      </c>
      <c r="V101" s="43">
        <f>'D4 Gallon Forecast'!V263+'D5 Gallon Forecast'!V170+'D6 Gallon Forecast'!V243</f>
        <v>0</v>
      </c>
      <c r="W101" s="43">
        <f>'D4 Gallon Forecast'!W263+'D5 Gallon Forecast'!W170+'D6 Gallon Forecast'!W243</f>
        <v>0</v>
      </c>
      <c r="X101" s="43">
        <f>'D4 Gallon Forecast'!X263+'D5 Gallon Forecast'!X170+'D6 Gallon Forecast'!X243</f>
        <v>0</v>
      </c>
      <c r="Y101" s="43">
        <f>'D4 Gallon Forecast'!Y263+'D5 Gallon Forecast'!Y170+'D6 Gallon Forecast'!Y243</f>
        <v>0</v>
      </c>
      <c r="Z101" s="43">
        <f>'D4 Gallon Forecast'!Z263+'D5 Gallon Forecast'!Z170+'D6 Gallon Forecast'!Z243</f>
        <v>0</v>
      </c>
      <c r="AA101" s="43">
        <f>'D4 Gallon Forecast'!AA263+'D5 Gallon Forecast'!AA170+'D6 Gallon Forecast'!AA243</f>
        <v>0</v>
      </c>
      <c r="AB101" s="43">
        <f>'D4 Gallon Forecast'!AB263+'D5 Gallon Forecast'!AB170+'D6 Gallon Forecast'!AB243</f>
        <v>0</v>
      </c>
      <c r="AC101" s="43">
        <f>'D4 Gallon Forecast'!AC263+'D5 Gallon Forecast'!AC170+'D6 Gallon Forecast'!AC243</f>
        <v>0</v>
      </c>
      <c r="AD101" s="43">
        <f>'D4 Gallon Forecast'!AD263+'D5 Gallon Forecast'!AD170+'D6 Gallon Forecast'!AD243</f>
        <v>0</v>
      </c>
      <c r="AE101" s="43">
        <f>'D4 Gallon Forecast'!AE263+'D5 Gallon Forecast'!AE170+'D6 Gallon Forecast'!AE243</f>
        <v>0</v>
      </c>
      <c r="AF101" s="43">
        <f>'D4 Gallon Forecast'!AF263+'D5 Gallon Forecast'!AF170+'D6 Gallon Forecast'!AF243</f>
        <v>0</v>
      </c>
      <c r="AG101" s="43">
        <f>'D4 Gallon Forecast'!AG263+'D5 Gallon Forecast'!AG170+'D6 Gallon Forecast'!AG243</f>
        <v>0</v>
      </c>
      <c r="AH101" s="43">
        <f>'D4 Gallon Forecast'!AH263+'D5 Gallon Forecast'!AH170+'D6 Gallon Forecast'!AH243</f>
        <v>0</v>
      </c>
      <c r="AI101" s="43">
        <f>'D4 Gallon Forecast'!AI263+'D5 Gallon Forecast'!AI170+'D6 Gallon Forecast'!AI243</f>
        <v>0</v>
      </c>
      <c r="AJ101" s="43">
        <f>'D4 Gallon Forecast'!AJ263+'D5 Gallon Forecast'!AJ170+'D6 Gallon Forecast'!AJ243</f>
        <v>0</v>
      </c>
      <c r="AK101" s="43">
        <f>'D4 Gallon Forecast'!AK263+'D5 Gallon Forecast'!AK170+'D6 Gallon Forecast'!AK243</f>
        <v>0</v>
      </c>
      <c r="AL101" s="43">
        <f>'D4 Gallon Forecast'!AL263+'D5 Gallon Forecast'!AL170+'D6 Gallon Forecast'!AL243</f>
        <v>0</v>
      </c>
      <c r="AM101" s="43">
        <f>'D4 Gallon Forecast'!AM263+'D5 Gallon Forecast'!AM170+'D6 Gallon Forecast'!AM243</f>
        <v>0</v>
      </c>
      <c r="AN101" s="43">
        <f>'D4 Gallon Forecast'!AN263+'D5 Gallon Forecast'!AN170+'D6 Gallon Forecast'!AN243</f>
        <v>0</v>
      </c>
      <c r="AO101" s="43">
        <f>'D4 Gallon Forecast'!AO263+'D5 Gallon Forecast'!AO170+'D6 Gallon Forecast'!AO243</f>
        <v>0</v>
      </c>
      <c r="AP101" s="43">
        <f>'D4 Gallon Forecast'!AP263+'D5 Gallon Forecast'!AP170+'D6 Gallon Forecast'!AP243</f>
        <v>0</v>
      </c>
      <c r="AQ101" s="43">
        <f>'D4 Gallon Forecast'!AQ263+'D5 Gallon Forecast'!AQ170+'D6 Gallon Forecast'!AQ243</f>
        <v>4</v>
      </c>
      <c r="AR101" s="43"/>
      <c r="AS101" s="44"/>
    </row>
    <row r="102" spans="1:45">
      <c r="A102" s="40" t="s">
        <v>46</v>
      </c>
      <c r="B102" s="42">
        <f>'D4 Gallon Forecast'!B264+'D5 Gallon Forecast'!B171+'D6 Gallon Forecast'!B244</f>
        <v>0</v>
      </c>
      <c r="C102" s="42">
        <f>'D4 Gallon Forecast'!C264+'D5 Gallon Forecast'!C171+'D6 Gallon Forecast'!C244</f>
        <v>0</v>
      </c>
      <c r="D102" s="42">
        <f>'D4 Gallon Forecast'!D264+'D5 Gallon Forecast'!D171+'D6 Gallon Forecast'!D244</f>
        <v>0</v>
      </c>
      <c r="E102" s="42">
        <f>'D4 Gallon Forecast'!E264+'D5 Gallon Forecast'!E171+'D6 Gallon Forecast'!E244</f>
        <v>0</v>
      </c>
      <c r="F102" s="42">
        <f>'D4 Gallon Forecast'!F264+'D5 Gallon Forecast'!F171+'D6 Gallon Forecast'!F244</f>
        <v>0</v>
      </c>
      <c r="G102" s="42">
        <f>'D4 Gallon Forecast'!G264+'D5 Gallon Forecast'!G171+'D6 Gallon Forecast'!G244</f>
        <v>0</v>
      </c>
      <c r="H102" s="42">
        <f>'D4 Gallon Forecast'!H264+'D5 Gallon Forecast'!H171+'D6 Gallon Forecast'!H244</f>
        <v>0</v>
      </c>
      <c r="I102" s="42">
        <f>'D4 Gallon Forecast'!I264+'D5 Gallon Forecast'!I171+'D6 Gallon Forecast'!I244</f>
        <v>0</v>
      </c>
      <c r="J102" s="42">
        <f>'D4 Gallon Forecast'!J264+'D5 Gallon Forecast'!J171+'D6 Gallon Forecast'!J244</f>
        <v>0</v>
      </c>
      <c r="K102" s="42">
        <f>'D4 Gallon Forecast'!K264+'D5 Gallon Forecast'!K171+'D6 Gallon Forecast'!K244</f>
        <v>0</v>
      </c>
      <c r="L102" s="42">
        <f>'D4 Gallon Forecast'!L264+'D5 Gallon Forecast'!L171+'D6 Gallon Forecast'!L244</f>
        <v>0</v>
      </c>
      <c r="M102" s="42">
        <f>'D4 Gallon Forecast'!M264+'D5 Gallon Forecast'!M171+'D6 Gallon Forecast'!M244</f>
        <v>0</v>
      </c>
      <c r="N102" s="42">
        <f>'D4 Gallon Forecast'!N264+'D5 Gallon Forecast'!N171+'D6 Gallon Forecast'!N244</f>
        <v>0</v>
      </c>
      <c r="O102" s="42">
        <f>'D4 Gallon Forecast'!O264+'D5 Gallon Forecast'!O171+'D6 Gallon Forecast'!O244</f>
        <v>0</v>
      </c>
      <c r="P102" s="42">
        <f>'D4 Gallon Forecast'!P264+'D5 Gallon Forecast'!P171+'D6 Gallon Forecast'!P244</f>
        <v>0</v>
      </c>
      <c r="Q102" s="43">
        <f>'D4 Gallon Forecast'!Q264+'D5 Gallon Forecast'!Q171+'D6 Gallon Forecast'!Q244</f>
        <v>0</v>
      </c>
      <c r="R102" s="43">
        <f>'D4 Gallon Forecast'!R264+'D5 Gallon Forecast'!R171+'D6 Gallon Forecast'!R244</f>
        <v>0</v>
      </c>
      <c r="S102" s="43">
        <f>'D4 Gallon Forecast'!S264+'D5 Gallon Forecast'!S171+'D6 Gallon Forecast'!S244</f>
        <v>0</v>
      </c>
      <c r="T102" s="43">
        <f>'D4 Gallon Forecast'!T264+'D5 Gallon Forecast'!T171+'D6 Gallon Forecast'!T244</f>
        <v>0</v>
      </c>
      <c r="U102" s="43">
        <f>'D4 Gallon Forecast'!U264+'D5 Gallon Forecast'!U171+'D6 Gallon Forecast'!U244</f>
        <v>0</v>
      </c>
      <c r="V102" s="43">
        <f>'D4 Gallon Forecast'!V264+'D5 Gallon Forecast'!V171+'D6 Gallon Forecast'!V244</f>
        <v>0</v>
      </c>
      <c r="W102" s="43">
        <f>'D4 Gallon Forecast'!W264+'D5 Gallon Forecast'!W171+'D6 Gallon Forecast'!W244</f>
        <v>0</v>
      </c>
      <c r="X102" s="43">
        <f>'D4 Gallon Forecast'!X264+'D5 Gallon Forecast'!X171+'D6 Gallon Forecast'!X244</f>
        <v>0</v>
      </c>
      <c r="Y102" s="43">
        <f>'D4 Gallon Forecast'!Y264+'D5 Gallon Forecast'!Y171+'D6 Gallon Forecast'!Y244</f>
        <v>0</v>
      </c>
      <c r="Z102" s="43">
        <f>'D4 Gallon Forecast'!Z264+'D5 Gallon Forecast'!Z171+'D6 Gallon Forecast'!Z244</f>
        <v>0</v>
      </c>
      <c r="AA102" s="43">
        <f>'D4 Gallon Forecast'!AA264+'D5 Gallon Forecast'!AA171+'D6 Gallon Forecast'!AA244</f>
        <v>0</v>
      </c>
      <c r="AB102" s="43">
        <f>'D4 Gallon Forecast'!AB264+'D5 Gallon Forecast'!AB171+'D6 Gallon Forecast'!AB244</f>
        <v>0</v>
      </c>
      <c r="AC102" s="43">
        <f>'D4 Gallon Forecast'!AC264+'D5 Gallon Forecast'!AC171+'D6 Gallon Forecast'!AC244</f>
        <v>0</v>
      </c>
      <c r="AD102" s="43">
        <f>'D4 Gallon Forecast'!AD264+'D5 Gallon Forecast'!AD171+'D6 Gallon Forecast'!AD244</f>
        <v>0</v>
      </c>
      <c r="AE102" s="43">
        <f>'D4 Gallon Forecast'!AE264+'D5 Gallon Forecast'!AE171+'D6 Gallon Forecast'!AE244</f>
        <v>0</v>
      </c>
      <c r="AF102" s="43">
        <f>'D4 Gallon Forecast'!AF264+'D5 Gallon Forecast'!AF171+'D6 Gallon Forecast'!AF244</f>
        <v>0</v>
      </c>
      <c r="AG102" s="43">
        <f>'D4 Gallon Forecast'!AG264+'D5 Gallon Forecast'!AG171+'D6 Gallon Forecast'!AG244</f>
        <v>0</v>
      </c>
      <c r="AH102" s="43">
        <f>'D4 Gallon Forecast'!AH264+'D5 Gallon Forecast'!AH171+'D6 Gallon Forecast'!AH244</f>
        <v>0</v>
      </c>
      <c r="AI102" s="43">
        <f>'D4 Gallon Forecast'!AI264+'D5 Gallon Forecast'!AI171+'D6 Gallon Forecast'!AI244</f>
        <v>0</v>
      </c>
      <c r="AJ102" s="43">
        <f>'D4 Gallon Forecast'!AJ264+'D5 Gallon Forecast'!AJ171+'D6 Gallon Forecast'!AJ244</f>
        <v>0</v>
      </c>
      <c r="AK102" s="43">
        <f>'D4 Gallon Forecast'!AK264+'D5 Gallon Forecast'!AK171+'D6 Gallon Forecast'!AK244</f>
        <v>0</v>
      </c>
      <c r="AL102" s="43">
        <f>'D4 Gallon Forecast'!AL264+'D5 Gallon Forecast'!AL171+'D6 Gallon Forecast'!AL244</f>
        <v>0</v>
      </c>
      <c r="AM102" s="43">
        <f>'D4 Gallon Forecast'!AM264+'D5 Gallon Forecast'!AM171+'D6 Gallon Forecast'!AM244</f>
        <v>0</v>
      </c>
      <c r="AN102" s="43">
        <f>'D4 Gallon Forecast'!AN264+'D5 Gallon Forecast'!AN171+'D6 Gallon Forecast'!AN244</f>
        <v>0</v>
      </c>
      <c r="AO102" s="43">
        <f>'D4 Gallon Forecast'!AO264+'D5 Gallon Forecast'!AO171+'D6 Gallon Forecast'!AO244</f>
        <v>0</v>
      </c>
      <c r="AP102" s="43">
        <f>'D4 Gallon Forecast'!AP264+'D5 Gallon Forecast'!AP171+'D6 Gallon Forecast'!AP244</f>
        <v>0</v>
      </c>
      <c r="AQ102" s="43">
        <f>'D4 Gallon Forecast'!AQ264+'D5 Gallon Forecast'!AQ171+'D6 Gallon Forecast'!AQ244</f>
        <v>4</v>
      </c>
      <c r="AR102" s="43"/>
      <c r="AS102" s="44"/>
    </row>
    <row r="103" spans="1:45">
      <c r="A103" s="40" t="s">
        <v>47</v>
      </c>
      <c r="B103" s="42">
        <f>'D4 Gallon Forecast'!B265+'D5 Gallon Forecast'!B172+'D6 Gallon Forecast'!B245</f>
        <v>0</v>
      </c>
      <c r="C103" s="42">
        <f>'D4 Gallon Forecast'!C265+'D5 Gallon Forecast'!C172+'D6 Gallon Forecast'!C245</f>
        <v>0</v>
      </c>
      <c r="D103" s="42">
        <f>'D4 Gallon Forecast'!D265+'D5 Gallon Forecast'!D172+'D6 Gallon Forecast'!D245</f>
        <v>0</v>
      </c>
      <c r="E103" s="42">
        <f>'D4 Gallon Forecast'!E265+'D5 Gallon Forecast'!E172+'D6 Gallon Forecast'!E245</f>
        <v>0</v>
      </c>
      <c r="F103" s="42">
        <f>'D4 Gallon Forecast'!F265+'D5 Gallon Forecast'!F172+'D6 Gallon Forecast'!F245</f>
        <v>0</v>
      </c>
      <c r="G103" s="42">
        <f>'D4 Gallon Forecast'!G265+'D5 Gallon Forecast'!G172+'D6 Gallon Forecast'!G245</f>
        <v>0</v>
      </c>
      <c r="H103" s="42">
        <f>'D4 Gallon Forecast'!H265+'D5 Gallon Forecast'!H172+'D6 Gallon Forecast'!H245</f>
        <v>0</v>
      </c>
      <c r="I103" s="42">
        <f>'D4 Gallon Forecast'!I265+'D5 Gallon Forecast'!I172+'D6 Gallon Forecast'!I245</f>
        <v>0</v>
      </c>
      <c r="J103" s="42">
        <f>'D4 Gallon Forecast'!J265+'D5 Gallon Forecast'!J172+'D6 Gallon Forecast'!J245</f>
        <v>0</v>
      </c>
      <c r="K103" s="42">
        <f>'D4 Gallon Forecast'!K265+'D5 Gallon Forecast'!K172+'D6 Gallon Forecast'!K245</f>
        <v>0</v>
      </c>
      <c r="L103" s="42">
        <f>'D4 Gallon Forecast'!L265+'D5 Gallon Forecast'!L172+'D6 Gallon Forecast'!L245</f>
        <v>0</v>
      </c>
      <c r="M103" s="42">
        <f>'D4 Gallon Forecast'!M265+'D5 Gallon Forecast'!M172+'D6 Gallon Forecast'!M245</f>
        <v>0</v>
      </c>
      <c r="N103" s="42">
        <f>'D4 Gallon Forecast'!N265+'D5 Gallon Forecast'!N172+'D6 Gallon Forecast'!N245</f>
        <v>0</v>
      </c>
      <c r="O103" s="42">
        <f>'D4 Gallon Forecast'!O265+'D5 Gallon Forecast'!O172+'D6 Gallon Forecast'!O245</f>
        <v>0</v>
      </c>
      <c r="P103" s="42">
        <f>'D4 Gallon Forecast'!P265+'D5 Gallon Forecast'!P172+'D6 Gallon Forecast'!P245</f>
        <v>0</v>
      </c>
      <c r="Q103" s="43">
        <f>'D4 Gallon Forecast'!Q265+'D5 Gallon Forecast'!Q172+'D6 Gallon Forecast'!Q245</f>
        <v>0</v>
      </c>
      <c r="R103" s="43">
        <f>'D4 Gallon Forecast'!R265+'D5 Gallon Forecast'!R172+'D6 Gallon Forecast'!R245</f>
        <v>0</v>
      </c>
      <c r="S103" s="43">
        <f>'D4 Gallon Forecast'!S265+'D5 Gallon Forecast'!S172+'D6 Gallon Forecast'!S245</f>
        <v>0</v>
      </c>
      <c r="T103" s="43">
        <f>'D4 Gallon Forecast'!T265+'D5 Gallon Forecast'!T172+'D6 Gallon Forecast'!T245</f>
        <v>0</v>
      </c>
      <c r="U103" s="43">
        <f>'D4 Gallon Forecast'!U265+'D5 Gallon Forecast'!U172+'D6 Gallon Forecast'!U245</f>
        <v>0</v>
      </c>
      <c r="V103" s="43">
        <f>'D4 Gallon Forecast'!V265+'D5 Gallon Forecast'!V172+'D6 Gallon Forecast'!V245</f>
        <v>0</v>
      </c>
      <c r="W103" s="43">
        <f>'D4 Gallon Forecast'!W265+'D5 Gallon Forecast'!W172+'D6 Gallon Forecast'!W245</f>
        <v>0</v>
      </c>
      <c r="X103" s="43">
        <f>'D4 Gallon Forecast'!X265+'D5 Gallon Forecast'!X172+'D6 Gallon Forecast'!X245</f>
        <v>0</v>
      </c>
      <c r="Y103" s="43">
        <f>'D4 Gallon Forecast'!Y265+'D5 Gallon Forecast'!Y172+'D6 Gallon Forecast'!Y245</f>
        <v>0</v>
      </c>
      <c r="Z103" s="43">
        <f>'D4 Gallon Forecast'!Z265+'D5 Gallon Forecast'!Z172+'D6 Gallon Forecast'!Z245</f>
        <v>0</v>
      </c>
      <c r="AA103" s="43">
        <f>'D4 Gallon Forecast'!AA265+'D5 Gallon Forecast'!AA172+'D6 Gallon Forecast'!AA245</f>
        <v>0</v>
      </c>
      <c r="AB103" s="43">
        <f>'D4 Gallon Forecast'!AB265+'D5 Gallon Forecast'!AB172+'D6 Gallon Forecast'!AB245</f>
        <v>0</v>
      </c>
      <c r="AC103" s="43">
        <f>'D4 Gallon Forecast'!AC265+'D5 Gallon Forecast'!AC172+'D6 Gallon Forecast'!AC245</f>
        <v>0</v>
      </c>
      <c r="AD103" s="43">
        <f>'D4 Gallon Forecast'!AD265+'D5 Gallon Forecast'!AD172+'D6 Gallon Forecast'!AD245</f>
        <v>0</v>
      </c>
      <c r="AE103" s="43">
        <f>'D4 Gallon Forecast'!AE265+'D5 Gallon Forecast'!AE172+'D6 Gallon Forecast'!AE245</f>
        <v>0</v>
      </c>
      <c r="AF103" s="43">
        <f>'D4 Gallon Forecast'!AF265+'D5 Gallon Forecast'!AF172+'D6 Gallon Forecast'!AF245</f>
        <v>0</v>
      </c>
      <c r="AG103" s="43">
        <f>'D4 Gallon Forecast'!AG265+'D5 Gallon Forecast'!AG172+'D6 Gallon Forecast'!AG245</f>
        <v>0</v>
      </c>
      <c r="AH103" s="43">
        <f>'D4 Gallon Forecast'!AH265+'D5 Gallon Forecast'!AH172+'D6 Gallon Forecast'!AH245</f>
        <v>0</v>
      </c>
      <c r="AI103" s="43">
        <f>'D4 Gallon Forecast'!AI265+'D5 Gallon Forecast'!AI172+'D6 Gallon Forecast'!AI245</f>
        <v>0</v>
      </c>
      <c r="AJ103" s="43">
        <f>'D4 Gallon Forecast'!AJ265+'D5 Gallon Forecast'!AJ172+'D6 Gallon Forecast'!AJ245</f>
        <v>0</v>
      </c>
      <c r="AK103" s="43">
        <f>'D4 Gallon Forecast'!AK265+'D5 Gallon Forecast'!AK172+'D6 Gallon Forecast'!AK245</f>
        <v>0</v>
      </c>
      <c r="AL103" s="43">
        <f>'D4 Gallon Forecast'!AL265+'D5 Gallon Forecast'!AL172+'D6 Gallon Forecast'!AL245</f>
        <v>0</v>
      </c>
      <c r="AM103" s="43">
        <f>'D4 Gallon Forecast'!AM265+'D5 Gallon Forecast'!AM172+'D6 Gallon Forecast'!AM245</f>
        <v>0</v>
      </c>
      <c r="AN103" s="43">
        <f>'D4 Gallon Forecast'!AN265+'D5 Gallon Forecast'!AN172+'D6 Gallon Forecast'!AN245</f>
        <v>0</v>
      </c>
      <c r="AO103" s="43">
        <f>'D4 Gallon Forecast'!AO265+'D5 Gallon Forecast'!AO172+'D6 Gallon Forecast'!AO245</f>
        <v>0</v>
      </c>
      <c r="AP103" s="43">
        <f>'D4 Gallon Forecast'!AP265+'D5 Gallon Forecast'!AP172+'D6 Gallon Forecast'!AP245</f>
        <v>0</v>
      </c>
      <c r="AQ103" s="43">
        <f>'D4 Gallon Forecast'!AQ265+'D5 Gallon Forecast'!AQ172+'D6 Gallon Forecast'!AQ245</f>
        <v>4</v>
      </c>
      <c r="AR103" s="43"/>
      <c r="AS103" s="44"/>
    </row>
    <row r="104" spans="1:45">
      <c r="A104" s="40" t="s">
        <v>48</v>
      </c>
      <c r="B104" s="42">
        <f>'D4 Gallon Forecast'!B266+'D5 Gallon Forecast'!B173+'D6 Gallon Forecast'!B246</f>
        <v>0</v>
      </c>
      <c r="C104" s="42">
        <f>'D4 Gallon Forecast'!C266+'D5 Gallon Forecast'!C173+'D6 Gallon Forecast'!C246</f>
        <v>0</v>
      </c>
      <c r="D104" s="42">
        <f>'D4 Gallon Forecast'!D266+'D5 Gallon Forecast'!D173+'D6 Gallon Forecast'!D246</f>
        <v>0</v>
      </c>
      <c r="E104" s="42">
        <f>'D4 Gallon Forecast'!E266+'D5 Gallon Forecast'!E173+'D6 Gallon Forecast'!E246</f>
        <v>4744730</v>
      </c>
      <c r="F104" s="42">
        <f>'D4 Gallon Forecast'!F266+'D5 Gallon Forecast'!F173+'D6 Gallon Forecast'!F246</f>
        <v>0</v>
      </c>
      <c r="G104" s="42">
        <f>'D4 Gallon Forecast'!G266+'D5 Gallon Forecast'!G173+'D6 Gallon Forecast'!G246</f>
        <v>0</v>
      </c>
      <c r="H104" s="42">
        <f>'D4 Gallon Forecast'!H266+'D5 Gallon Forecast'!H173+'D6 Gallon Forecast'!H246</f>
        <v>0</v>
      </c>
      <c r="I104" s="42">
        <f>'D4 Gallon Forecast'!I266+'D5 Gallon Forecast'!I173+'D6 Gallon Forecast'!I246</f>
        <v>0</v>
      </c>
      <c r="J104" s="42">
        <f>'D4 Gallon Forecast'!J266+'D5 Gallon Forecast'!J173+'D6 Gallon Forecast'!J246</f>
        <v>0</v>
      </c>
      <c r="K104" s="42">
        <f>'D4 Gallon Forecast'!K266+'D5 Gallon Forecast'!K173+'D6 Gallon Forecast'!K246</f>
        <v>0</v>
      </c>
      <c r="L104" s="42">
        <f>'D4 Gallon Forecast'!L266+'D5 Gallon Forecast'!L173+'D6 Gallon Forecast'!L246</f>
        <v>0</v>
      </c>
      <c r="M104" s="42">
        <f>'D4 Gallon Forecast'!M266+'D5 Gallon Forecast'!M173+'D6 Gallon Forecast'!M246</f>
        <v>0</v>
      </c>
      <c r="N104" s="42">
        <f>'D4 Gallon Forecast'!N266+'D5 Gallon Forecast'!N173+'D6 Gallon Forecast'!N246</f>
        <v>0</v>
      </c>
      <c r="O104" s="42">
        <f>'D4 Gallon Forecast'!O266+'D5 Gallon Forecast'!O173+'D6 Gallon Forecast'!O246</f>
        <v>0</v>
      </c>
      <c r="P104" s="42">
        <f>'D4 Gallon Forecast'!P266+'D5 Gallon Forecast'!P173+'D6 Gallon Forecast'!P246</f>
        <v>0</v>
      </c>
      <c r="Q104" s="43">
        <f>'D4 Gallon Forecast'!Q266+'D5 Gallon Forecast'!Q173+'D6 Gallon Forecast'!Q246</f>
        <v>0</v>
      </c>
      <c r="R104" s="43">
        <f>'D4 Gallon Forecast'!R266+'D5 Gallon Forecast'!R173+'D6 Gallon Forecast'!R246</f>
        <v>0</v>
      </c>
      <c r="S104" s="43">
        <f>'D4 Gallon Forecast'!S266+'D5 Gallon Forecast'!S173+'D6 Gallon Forecast'!S246</f>
        <v>0</v>
      </c>
      <c r="T104" s="43">
        <f>'D4 Gallon Forecast'!T266+'D5 Gallon Forecast'!T173+'D6 Gallon Forecast'!T246</f>
        <v>0</v>
      </c>
      <c r="U104" s="43">
        <f>'D4 Gallon Forecast'!U266+'D5 Gallon Forecast'!U173+'D6 Gallon Forecast'!U246</f>
        <v>0</v>
      </c>
      <c r="V104" s="43">
        <f>'D4 Gallon Forecast'!V266+'D5 Gallon Forecast'!V173+'D6 Gallon Forecast'!V246</f>
        <v>0</v>
      </c>
      <c r="W104" s="43">
        <f>'D4 Gallon Forecast'!W266+'D5 Gallon Forecast'!W173+'D6 Gallon Forecast'!W246</f>
        <v>0</v>
      </c>
      <c r="X104" s="43">
        <f>'D4 Gallon Forecast'!X266+'D5 Gallon Forecast'!X173+'D6 Gallon Forecast'!X246</f>
        <v>0</v>
      </c>
      <c r="Y104" s="43">
        <f>'D4 Gallon Forecast'!Y266+'D5 Gallon Forecast'!Y173+'D6 Gallon Forecast'!Y246</f>
        <v>0</v>
      </c>
      <c r="Z104" s="43">
        <f>'D4 Gallon Forecast'!Z266+'D5 Gallon Forecast'!Z173+'D6 Gallon Forecast'!Z246</f>
        <v>0</v>
      </c>
      <c r="AA104" s="43">
        <f>'D4 Gallon Forecast'!AA266+'D5 Gallon Forecast'!AA173+'D6 Gallon Forecast'!AA246</f>
        <v>0</v>
      </c>
      <c r="AB104" s="43">
        <f>'D4 Gallon Forecast'!AB266+'D5 Gallon Forecast'!AB173+'D6 Gallon Forecast'!AB246</f>
        <v>0</v>
      </c>
      <c r="AC104" s="43">
        <f>'D4 Gallon Forecast'!AC266+'D5 Gallon Forecast'!AC173+'D6 Gallon Forecast'!AC246</f>
        <v>0</v>
      </c>
      <c r="AD104" s="43">
        <f>'D4 Gallon Forecast'!AD266+'D5 Gallon Forecast'!AD173+'D6 Gallon Forecast'!AD246</f>
        <v>0</v>
      </c>
      <c r="AE104" s="43">
        <f>'D4 Gallon Forecast'!AE266+'D5 Gallon Forecast'!AE173+'D6 Gallon Forecast'!AE246</f>
        <v>0</v>
      </c>
      <c r="AF104" s="43">
        <f>'D4 Gallon Forecast'!AF266+'D5 Gallon Forecast'!AF173+'D6 Gallon Forecast'!AF246</f>
        <v>0</v>
      </c>
      <c r="AG104" s="43">
        <f>'D4 Gallon Forecast'!AG266+'D5 Gallon Forecast'!AG173+'D6 Gallon Forecast'!AG246</f>
        <v>0</v>
      </c>
      <c r="AH104" s="43">
        <f>'D4 Gallon Forecast'!AH266+'D5 Gallon Forecast'!AH173+'D6 Gallon Forecast'!AH246</f>
        <v>0</v>
      </c>
      <c r="AI104" s="43">
        <f>'D4 Gallon Forecast'!AI266+'D5 Gallon Forecast'!AI173+'D6 Gallon Forecast'!AI246</f>
        <v>0</v>
      </c>
      <c r="AJ104" s="43">
        <f>'D4 Gallon Forecast'!AJ266+'D5 Gallon Forecast'!AJ173+'D6 Gallon Forecast'!AJ246</f>
        <v>0</v>
      </c>
      <c r="AK104" s="43">
        <f>'D4 Gallon Forecast'!AK266+'D5 Gallon Forecast'!AK173+'D6 Gallon Forecast'!AK246</f>
        <v>0</v>
      </c>
      <c r="AL104" s="43">
        <f>'D4 Gallon Forecast'!AL266+'D5 Gallon Forecast'!AL173+'D6 Gallon Forecast'!AL246</f>
        <v>0</v>
      </c>
      <c r="AM104" s="43">
        <f>'D4 Gallon Forecast'!AM266+'D5 Gallon Forecast'!AM173+'D6 Gallon Forecast'!AM246</f>
        <v>0</v>
      </c>
      <c r="AN104" s="43">
        <f>'D4 Gallon Forecast'!AN266+'D5 Gallon Forecast'!AN173+'D6 Gallon Forecast'!AN246</f>
        <v>0</v>
      </c>
      <c r="AO104" s="43">
        <f>'D4 Gallon Forecast'!AO266+'D5 Gallon Forecast'!AO173+'D6 Gallon Forecast'!AO246</f>
        <v>0</v>
      </c>
      <c r="AP104" s="43">
        <f>'D4 Gallon Forecast'!AP266+'D5 Gallon Forecast'!AP173+'D6 Gallon Forecast'!AP246</f>
        <v>0</v>
      </c>
      <c r="AQ104" s="43">
        <f>'D4 Gallon Forecast'!AQ266+'D5 Gallon Forecast'!AQ173+'D6 Gallon Forecast'!AQ246</f>
        <v>4</v>
      </c>
      <c r="AR104" s="43"/>
      <c r="AS104" s="44"/>
    </row>
    <row r="105" spans="1:45">
      <c r="A105" s="40" t="s">
        <v>49</v>
      </c>
      <c r="B105" s="42">
        <f>'D4 Gallon Forecast'!B267+'D5 Gallon Forecast'!B174+'D6 Gallon Forecast'!B247</f>
        <v>0</v>
      </c>
      <c r="C105" s="42">
        <f>'D4 Gallon Forecast'!C267+'D5 Gallon Forecast'!C174+'D6 Gallon Forecast'!C247</f>
        <v>0</v>
      </c>
      <c r="D105" s="42">
        <f>'D4 Gallon Forecast'!D267+'D5 Gallon Forecast'!D174+'D6 Gallon Forecast'!D247</f>
        <v>0</v>
      </c>
      <c r="E105" s="42">
        <f>'D4 Gallon Forecast'!E267+'D5 Gallon Forecast'!E174+'D6 Gallon Forecast'!E247</f>
        <v>7236919</v>
      </c>
      <c r="F105" s="42">
        <f>'D4 Gallon Forecast'!F267+'D5 Gallon Forecast'!F174+'D6 Gallon Forecast'!F247</f>
        <v>0</v>
      </c>
      <c r="G105" s="42">
        <f>'D4 Gallon Forecast'!G267+'D5 Gallon Forecast'!G174+'D6 Gallon Forecast'!G247</f>
        <v>0</v>
      </c>
      <c r="H105" s="42">
        <f>'D4 Gallon Forecast'!H267+'D5 Gallon Forecast'!H174+'D6 Gallon Forecast'!H247</f>
        <v>0</v>
      </c>
      <c r="I105" s="42">
        <f>'D4 Gallon Forecast'!I267+'D5 Gallon Forecast'!I174+'D6 Gallon Forecast'!I247</f>
        <v>0</v>
      </c>
      <c r="J105" s="42">
        <f>'D4 Gallon Forecast'!J267+'D5 Gallon Forecast'!J174+'D6 Gallon Forecast'!J247</f>
        <v>0</v>
      </c>
      <c r="K105" s="42">
        <f>'D4 Gallon Forecast'!K267+'D5 Gallon Forecast'!K174+'D6 Gallon Forecast'!K247</f>
        <v>0</v>
      </c>
      <c r="L105" s="42">
        <f>'D4 Gallon Forecast'!L267+'D5 Gallon Forecast'!L174+'D6 Gallon Forecast'!L247</f>
        <v>0</v>
      </c>
      <c r="M105" s="42">
        <f>'D4 Gallon Forecast'!M267+'D5 Gallon Forecast'!M174+'D6 Gallon Forecast'!M247</f>
        <v>0</v>
      </c>
      <c r="N105" s="42">
        <f>'D4 Gallon Forecast'!N267+'D5 Gallon Forecast'!N174+'D6 Gallon Forecast'!N247</f>
        <v>0</v>
      </c>
      <c r="O105" s="42">
        <f>'D4 Gallon Forecast'!O267+'D5 Gallon Forecast'!O174+'D6 Gallon Forecast'!O247</f>
        <v>0</v>
      </c>
      <c r="P105" s="42">
        <f>'D4 Gallon Forecast'!P267+'D5 Gallon Forecast'!P174+'D6 Gallon Forecast'!P247</f>
        <v>25177925</v>
      </c>
      <c r="Q105" s="43">
        <f>'D4 Gallon Forecast'!Q267+'D5 Gallon Forecast'!Q174+'D6 Gallon Forecast'!Q247</f>
        <v>0</v>
      </c>
      <c r="R105" s="43">
        <f>'D4 Gallon Forecast'!R267+'D5 Gallon Forecast'!R174+'D6 Gallon Forecast'!R247</f>
        <v>0</v>
      </c>
      <c r="S105" s="43">
        <f>'D4 Gallon Forecast'!S267+'D5 Gallon Forecast'!S174+'D6 Gallon Forecast'!S247</f>
        <v>0</v>
      </c>
      <c r="T105" s="43">
        <f>'D4 Gallon Forecast'!T267+'D5 Gallon Forecast'!T174+'D6 Gallon Forecast'!T247</f>
        <v>0</v>
      </c>
      <c r="U105" s="43">
        <f>'D4 Gallon Forecast'!U267+'D5 Gallon Forecast'!U174+'D6 Gallon Forecast'!U247</f>
        <v>0</v>
      </c>
      <c r="V105" s="43">
        <f>'D4 Gallon Forecast'!V267+'D5 Gallon Forecast'!V174+'D6 Gallon Forecast'!V247</f>
        <v>0</v>
      </c>
      <c r="W105" s="43">
        <f>'D4 Gallon Forecast'!W267+'D5 Gallon Forecast'!W174+'D6 Gallon Forecast'!W247</f>
        <v>0</v>
      </c>
      <c r="X105" s="43">
        <f>'D4 Gallon Forecast'!X267+'D5 Gallon Forecast'!X174+'D6 Gallon Forecast'!X247</f>
        <v>0</v>
      </c>
      <c r="Y105" s="43">
        <f>'D4 Gallon Forecast'!Y267+'D5 Gallon Forecast'!Y174+'D6 Gallon Forecast'!Y247</f>
        <v>0</v>
      </c>
      <c r="Z105" s="43">
        <f>'D4 Gallon Forecast'!Z267+'D5 Gallon Forecast'!Z174+'D6 Gallon Forecast'!Z247</f>
        <v>0</v>
      </c>
      <c r="AA105" s="43">
        <f>'D4 Gallon Forecast'!AA267+'D5 Gallon Forecast'!AA174+'D6 Gallon Forecast'!AA247</f>
        <v>0</v>
      </c>
      <c r="AB105" s="43">
        <f>'D4 Gallon Forecast'!AB267+'D5 Gallon Forecast'!AB174+'D6 Gallon Forecast'!AB247</f>
        <v>0</v>
      </c>
      <c r="AC105" s="43">
        <f>'D4 Gallon Forecast'!AC267+'D5 Gallon Forecast'!AC174+'D6 Gallon Forecast'!AC247</f>
        <v>0</v>
      </c>
      <c r="AD105" s="43">
        <f>'D4 Gallon Forecast'!AD267+'D5 Gallon Forecast'!AD174+'D6 Gallon Forecast'!AD247</f>
        <v>0</v>
      </c>
      <c r="AE105" s="43">
        <f>'D4 Gallon Forecast'!AE267+'D5 Gallon Forecast'!AE174+'D6 Gallon Forecast'!AE247</f>
        <v>0</v>
      </c>
      <c r="AF105" s="43">
        <f>'D4 Gallon Forecast'!AF267+'D5 Gallon Forecast'!AF174+'D6 Gallon Forecast'!AF247</f>
        <v>0</v>
      </c>
      <c r="AG105" s="43">
        <f>'D4 Gallon Forecast'!AG267+'D5 Gallon Forecast'!AG174+'D6 Gallon Forecast'!AG247</f>
        <v>0</v>
      </c>
      <c r="AH105" s="43">
        <f>'D4 Gallon Forecast'!AH267+'D5 Gallon Forecast'!AH174+'D6 Gallon Forecast'!AH247</f>
        <v>0</v>
      </c>
      <c r="AI105" s="43">
        <f>'D4 Gallon Forecast'!AI267+'D5 Gallon Forecast'!AI174+'D6 Gallon Forecast'!AI247</f>
        <v>0</v>
      </c>
      <c r="AJ105" s="43">
        <f>'D4 Gallon Forecast'!AJ267+'D5 Gallon Forecast'!AJ174+'D6 Gallon Forecast'!AJ247</f>
        <v>0</v>
      </c>
      <c r="AK105" s="43">
        <f>'D4 Gallon Forecast'!AK267+'D5 Gallon Forecast'!AK174+'D6 Gallon Forecast'!AK247</f>
        <v>0</v>
      </c>
      <c r="AL105" s="43">
        <f>'D4 Gallon Forecast'!AL267+'D5 Gallon Forecast'!AL174+'D6 Gallon Forecast'!AL247</f>
        <v>0</v>
      </c>
      <c r="AM105" s="43">
        <f>'D4 Gallon Forecast'!AM267+'D5 Gallon Forecast'!AM174+'D6 Gallon Forecast'!AM247</f>
        <v>0</v>
      </c>
      <c r="AN105" s="43">
        <f>'D4 Gallon Forecast'!AN267+'D5 Gallon Forecast'!AN174+'D6 Gallon Forecast'!AN247</f>
        <v>0</v>
      </c>
      <c r="AO105" s="43">
        <f>'D4 Gallon Forecast'!AO267+'D5 Gallon Forecast'!AO174+'D6 Gallon Forecast'!AO247</f>
        <v>0</v>
      </c>
      <c r="AP105" s="43">
        <f>'D4 Gallon Forecast'!AP267+'D5 Gallon Forecast'!AP174+'D6 Gallon Forecast'!AP247</f>
        <v>0</v>
      </c>
      <c r="AQ105" s="43">
        <f>'D4 Gallon Forecast'!AQ267+'D5 Gallon Forecast'!AQ174+'D6 Gallon Forecast'!AQ247</f>
        <v>4</v>
      </c>
      <c r="AR105" s="43"/>
      <c r="AS105" s="44"/>
    </row>
    <row r="106" spans="1:45">
      <c r="A106" s="40" t="s">
        <v>50</v>
      </c>
      <c r="B106" s="42">
        <f>'D4 Gallon Forecast'!B268+'D5 Gallon Forecast'!B175+'D6 Gallon Forecast'!B248</f>
        <v>0</v>
      </c>
      <c r="C106" s="42">
        <f>'D4 Gallon Forecast'!C268+'D5 Gallon Forecast'!C175+'D6 Gallon Forecast'!C248</f>
        <v>0</v>
      </c>
      <c r="D106" s="42">
        <f>'D4 Gallon Forecast'!D268+'D5 Gallon Forecast'!D175+'D6 Gallon Forecast'!D248</f>
        <v>0</v>
      </c>
      <c r="E106" s="42">
        <f>'D4 Gallon Forecast'!E268+'D5 Gallon Forecast'!E175+'D6 Gallon Forecast'!E248</f>
        <v>2276174</v>
      </c>
      <c r="F106" s="42">
        <f>'D4 Gallon Forecast'!F268+'D5 Gallon Forecast'!F175+'D6 Gallon Forecast'!F248</f>
        <v>0</v>
      </c>
      <c r="G106" s="42">
        <f>'D4 Gallon Forecast'!G268+'D5 Gallon Forecast'!G175+'D6 Gallon Forecast'!G248</f>
        <v>0</v>
      </c>
      <c r="H106" s="42">
        <f>'D4 Gallon Forecast'!H268+'D5 Gallon Forecast'!H175+'D6 Gallon Forecast'!H248</f>
        <v>0</v>
      </c>
      <c r="I106" s="42">
        <f>'D4 Gallon Forecast'!I268+'D5 Gallon Forecast'!I175+'D6 Gallon Forecast'!I248</f>
        <v>0</v>
      </c>
      <c r="J106" s="42">
        <f>'D4 Gallon Forecast'!J268+'D5 Gallon Forecast'!J175+'D6 Gallon Forecast'!J248</f>
        <v>0</v>
      </c>
      <c r="K106" s="42">
        <f>'D4 Gallon Forecast'!K268+'D5 Gallon Forecast'!K175+'D6 Gallon Forecast'!K248</f>
        <v>0</v>
      </c>
      <c r="L106" s="42">
        <f>'D4 Gallon Forecast'!L268+'D5 Gallon Forecast'!L175+'D6 Gallon Forecast'!L248</f>
        <v>0</v>
      </c>
      <c r="M106" s="42">
        <f>'D4 Gallon Forecast'!M268+'D5 Gallon Forecast'!M175+'D6 Gallon Forecast'!M248</f>
        <v>0</v>
      </c>
      <c r="N106" s="42">
        <f>'D4 Gallon Forecast'!N268+'D5 Gallon Forecast'!N175+'D6 Gallon Forecast'!N248</f>
        <v>0</v>
      </c>
      <c r="O106" s="42">
        <f>'D4 Gallon Forecast'!O268+'D5 Gallon Forecast'!O175+'D6 Gallon Forecast'!O248</f>
        <v>0</v>
      </c>
      <c r="P106" s="42">
        <f>'D4 Gallon Forecast'!P268+'D5 Gallon Forecast'!P175+'D6 Gallon Forecast'!P248</f>
        <v>0</v>
      </c>
      <c r="Q106" s="43">
        <f>'D4 Gallon Forecast'!Q268+'D5 Gallon Forecast'!Q175+'D6 Gallon Forecast'!Q248</f>
        <v>0</v>
      </c>
      <c r="R106" s="43">
        <f>'D4 Gallon Forecast'!R268+'D5 Gallon Forecast'!R175+'D6 Gallon Forecast'!R248</f>
        <v>0</v>
      </c>
      <c r="S106" s="43">
        <f>'D4 Gallon Forecast'!S268+'D5 Gallon Forecast'!S175+'D6 Gallon Forecast'!S248</f>
        <v>0</v>
      </c>
      <c r="T106" s="43">
        <f>'D4 Gallon Forecast'!T268+'D5 Gallon Forecast'!T175+'D6 Gallon Forecast'!T248</f>
        <v>0</v>
      </c>
      <c r="U106" s="43">
        <f>'D4 Gallon Forecast'!U268+'D5 Gallon Forecast'!U175+'D6 Gallon Forecast'!U248</f>
        <v>0</v>
      </c>
      <c r="V106" s="43">
        <f>'D4 Gallon Forecast'!V268+'D5 Gallon Forecast'!V175+'D6 Gallon Forecast'!V248</f>
        <v>0</v>
      </c>
      <c r="W106" s="43">
        <f>'D4 Gallon Forecast'!W268+'D5 Gallon Forecast'!W175+'D6 Gallon Forecast'!W248</f>
        <v>0</v>
      </c>
      <c r="X106" s="43">
        <f>'D4 Gallon Forecast'!X268+'D5 Gallon Forecast'!X175+'D6 Gallon Forecast'!X248</f>
        <v>0</v>
      </c>
      <c r="Y106" s="43">
        <f>'D4 Gallon Forecast'!Y268+'D5 Gallon Forecast'!Y175+'D6 Gallon Forecast'!Y248</f>
        <v>0</v>
      </c>
      <c r="Z106" s="43">
        <f>'D4 Gallon Forecast'!Z268+'D5 Gallon Forecast'!Z175+'D6 Gallon Forecast'!Z248</f>
        <v>0</v>
      </c>
      <c r="AA106" s="43">
        <f>'D4 Gallon Forecast'!AA268+'D5 Gallon Forecast'!AA175+'D6 Gallon Forecast'!AA248</f>
        <v>0</v>
      </c>
      <c r="AB106" s="43">
        <f>'D4 Gallon Forecast'!AB268+'D5 Gallon Forecast'!AB175+'D6 Gallon Forecast'!AB248</f>
        <v>0</v>
      </c>
      <c r="AC106" s="43">
        <f>'D4 Gallon Forecast'!AC268+'D5 Gallon Forecast'!AC175+'D6 Gallon Forecast'!AC248</f>
        <v>0</v>
      </c>
      <c r="AD106" s="43">
        <f>'D4 Gallon Forecast'!AD268+'D5 Gallon Forecast'!AD175+'D6 Gallon Forecast'!AD248</f>
        <v>0</v>
      </c>
      <c r="AE106" s="43">
        <f>'D4 Gallon Forecast'!AE268+'D5 Gallon Forecast'!AE175+'D6 Gallon Forecast'!AE248</f>
        <v>0</v>
      </c>
      <c r="AF106" s="43">
        <f>'D4 Gallon Forecast'!AF268+'D5 Gallon Forecast'!AF175+'D6 Gallon Forecast'!AF248</f>
        <v>0</v>
      </c>
      <c r="AG106" s="43">
        <f>'D4 Gallon Forecast'!AG268+'D5 Gallon Forecast'!AG175+'D6 Gallon Forecast'!AG248</f>
        <v>0</v>
      </c>
      <c r="AH106" s="43">
        <f>'D4 Gallon Forecast'!AH268+'D5 Gallon Forecast'!AH175+'D6 Gallon Forecast'!AH248</f>
        <v>0</v>
      </c>
      <c r="AI106" s="43">
        <f>'D4 Gallon Forecast'!AI268+'D5 Gallon Forecast'!AI175+'D6 Gallon Forecast'!AI248</f>
        <v>0</v>
      </c>
      <c r="AJ106" s="43">
        <f>'D4 Gallon Forecast'!AJ268+'D5 Gallon Forecast'!AJ175+'D6 Gallon Forecast'!AJ248</f>
        <v>0</v>
      </c>
      <c r="AK106" s="43">
        <f>'D4 Gallon Forecast'!AK268+'D5 Gallon Forecast'!AK175+'D6 Gallon Forecast'!AK248</f>
        <v>0</v>
      </c>
      <c r="AL106" s="43">
        <f>'D4 Gallon Forecast'!AL268+'D5 Gallon Forecast'!AL175+'D6 Gallon Forecast'!AL248</f>
        <v>0</v>
      </c>
      <c r="AM106" s="43">
        <f>'D4 Gallon Forecast'!AM268+'D5 Gallon Forecast'!AM175+'D6 Gallon Forecast'!AM248</f>
        <v>0</v>
      </c>
      <c r="AN106" s="43">
        <f>'D4 Gallon Forecast'!AN268+'D5 Gallon Forecast'!AN175+'D6 Gallon Forecast'!AN248</f>
        <v>0</v>
      </c>
      <c r="AO106" s="43">
        <f>'D4 Gallon Forecast'!AO268+'D5 Gallon Forecast'!AO175+'D6 Gallon Forecast'!AO248</f>
        <v>0</v>
      </c>
      <c r="AP106" s="43">
        <f>'D4 Gallon Forecast'!AP268+'D5 Gallon Forecast'!AP175+'D6 Gallon Forecast'!AP248</f>
        <v>0</v>
      </c>
      <c r="AQ106" s="43">
        <f>'D4 Gallon Forecast'!AQ268+'D5 Gallon Forecast'!AQ175+'D6 Gallon Forecast'!AQ248</f>
        <v>4</v>
      </c>
      <c r="AR106" s="43"/>
      <c r="AS106" s="44"/>
    </row>
    <row r="107" spans="1:45">
      <c r="A107" s="40" t="s">
        <v>51</v>
      </c>
      <c r="B107" s="42">
        <f>'D4 Gallon Forecast'!B269+'D5 Gallon Forecast'!B176+'D6 Gallon Forecast'!B249</f>
        <v>0</v>
      </c>
      <c r="C107" s="42">
        <f>'D4 Gallon Forecast'!C269+'D5 Gallon Forecast'!C176+'D6 Gallon Forecast'!C249</f>
        <v>0</v>
      </c>
      <c r="D107" s="42">
        <f>'D4 Gallon Forecast'!D269+'D5 Gallon Forecast'!D176+'D6 Gallon Forecast'!D249</f>
        <v>0</v>
      </c>
      <c r="E107" s="42">
        <f>'D4 Gallon Forecast'!E269+'D5 Gallon Forecast'!E176+'D6 Gallon Forecast'!E249</f>
        <v>0</v>
      </c>
      <c r="F107" s="42">
        <f>'D4 Gallon Forecast'!F269+'D5 Gallon Forecast'!F176+'D6 Gallon Forecast'!F249</f>
        <v>0</v>
      </c>
      <c r="G107" s="42">
        <f>'D4 Gallon Forecast'!G269+'D5 Gallon Forecast'!G176+'D6 Gallon Forecast'!G249</f>
        <v>0</v>
      </c>
      <c r="H107" s="42">
        <f>'D4 Gallon Forecast'!H269+'D5 Gallon Forecast'!H176+'D6 Gallon Forecast'!H249</f>
        <v>0</v>
      </c>
      <c r="I107" s="42">
        <f>'D4 Gallon Forecast'!I269+'D5 Gallon Forecast'!I176+'D6 Gallon Forecast'!I249</f>
        <v>757255</v>
      </c>
      <c r="J107" s="42">
        <f>'D4 Gallon Forecast'!J269+'D5 Gallon Forecast'!J176+'D6 Gallon Forecast'!J249</f>
        <v>0</v>
      </c>
      <c r="K107" s="42">
        <f>'D4 Gallon Forecast'!K269+'D5 Gallon Forecast'!K176+'D6 Gallon Forecast'!K249</f>
        <v>0</v>
      </c>
      <c r="L107" s="42">
        <f>'D4 Gallon Forecast'!L269+'D5 Gallon Forecast'!L176+'D6 Gallon Forecast'!L249</f>
        <v>0</v>
      </c>
      <c r="M107" s="42">
        <f>'D4 Gallon Forecast'!M269+'D5 Gallon Forecast'!M176+'D6 Gallon Forecast'!M249</f>
        <v>0</v>
      </c>
      <c r="N107" s="42">
        <f>'D4 Gallon Forecast'!N269+'D5 Gallon Forecast'!N176+'D6 Gallon Forecast'!N249</f>
        <v>0</v>
      </c>
      <c r="O107" s="42">
        <f>'D4 Gallon Forecast'!O269+'D5 Gallon Forecast'!O176+'D6 Gallon Forecast'!O249</f>
        <v>0</v>
      </c>
      <c r="P107" s="42">
        <f>'D4 Gallon Forecast'!P269+'D5 Gallon Forecast'!P176+'D6 Gallon Forecast'!P249</f>
        <v>24555303</v>
      </c>
      <c r="Q107" s="43">
        <f>'D4 Gallon Forecast'!Q269+'D5 Gallon Forecast'!Q176+'D6 Gallon Forecast'!Q249</f>
        <v>0</v>
      </c>
      <c r="R107" s="43">
        <f>'D4 Gallon Forecast'!R269+'D5 Gallon Forecast'!R176+'D6 Gallon Forecast'!R249</f>
        <v>0</v>
      </c>
      <c r="S107" s="43">
        <f>'D4 Gallon Forecast'!S269+'D5 Gallon Forecast'!S176+'D6 Gallon Forecast'!S249</f>
        <v>0</v>
      </c>
      <c r="T107" s="43">
        <f>'D4 Gallon Forecast'!T269+'D5 Gallon Forecast'!T176+'D6 Gallon Forecast'!T249</f>
        <v>0</v>
      </c>
      <c r="U107" s="43">
        <f>'D4 Gallon Forecast'!U269+'D5 Gallon Forecast'!U176+'D6 Gallon Forecast'!U249</f>
        <v>0</v>
      </c>
      <c r="V107" s="43">
        <f>'D4 Gallon Forecast'!V269+'D5 Gallon Forecast'!V176+'D6 Gallon Forecast'!V249</f>
        <v>0</v>
      </c>
      <c r="W107" s="43">
        <f>'D4 Gallon Forecast'!W269+'D5 Gallon Forecast'!W176+'D6 Gallon Forecast'!W249</f>
        <v>0</v>
      </c>
      <c r="X107" s="43">
        <f>'D4 Gallon Forecast'!X269+'D5 Gallon Forecast'!X176+'D6 Gallon Forecast'!X249</f>
        <v>0</v>
      </c>
      <c r="Y107" s="43">
        <f>'D4 Gallon Forecast'!Y269+'D5 Gallon Forecast'!Y176+'D6 Gallon Forecast'!Y249</f>
        <v>0</v>
      </c>
      <c r="Z107" s="43">
        <f>'D4 Gallon Forecast'!Z269+'D5 Gallon Forecast'!Z176+'D6 Gallon Forecast'!Z249</f>
        <v>0</v>
      </c>
      <c r="AA107" s="43">
        <f>'D4 Gallon Forecast'!AA269+'D5 Gallon Forecast'!AA176+'D6 Gallon Forecast'!AA249</f>
        <v>0</v>
      </c>
      <c r="AB107" s="43">
        <f>'D4 Gallon Forecast'!AB269+'D5 Gallon Forecast'!AB176+'D6 Gallon Forecast'!AB249</f>
        <v>0</v>
      </c>
      <c r="AC107" s="43">
        <f>'D4 Gallon Forecast'!AC269+'D5 Gallon Forecast'!AC176+'D6 Gallon Forecast'!AC249</f>
        <v>0</v>
      </c>
      <c r="AD107" s="43">
        <f>'D4 Gallon Forecast'!AD269+'D5 Gallon Forecast'!AD176+'D6 Gallon Forecast'!AD249</f>
        <v>0</v>
      </c>
      <c r="AE107" s="43">
        <f>'D4 Gallon Forecast'!AE269+'D5 Gallon Forecast'!AE176+'D6 Gallon Forecast'!AE249</f>
        <v>0</v>
      </c>
      <c r="AF107" s="43">
        <f>'D4 Gallon Forecast'!AF269+'D5 Gallon Forecast'!AF176+'D6 Gallon Forecast'!AF249</f>
        <v>0</v>
      </c>
      <c r="AG107" s="43">
        <f>'D4 Gallon Forecast'!AG269+'D5 Gallon Forecast'!AG176+'D6 Gallon Forecast'!AG249</f>
        <v>0</v>
      </c>
      <c r="AH107" s="43">
        <f>'D4 Gallon Forecast'!AH269+'D5 Gallon Forecast'!AH176+'D6 Gallon Forecast'!AH249</f>
        <v>0</v>
      </c>
      <c r="AI107" s="43">
        <f>'D4 Gallon Forecast'!AI269+'D5 Gallon Forecast'!AI176+'D6 Gallon Forecast'!AI249</f>
        <v>0</v>
      </c>
      <c r="AJ107" s="43">
        <f>'D4 Gallon Forecast'!AJ269+'D5 Gallon Forecast'!AJ176+'D6 Gallon Forecast'!AJ249</f>
        <v>0</v>
      </c>
      <c r="AK107" s="43">
        <f>'D4 Gallon Forecast'!AK269+'D5 Gallon Forecast'!AK176+'D6 Gallon Forecast'!AK249</f>
        <v>0</v>
      </c>
      <c r="AL107" s="43">
        <f>'D4 Gallon Forecast'!AL269+'D5 Gallon Forecast'!AL176+'D6 Gallon Forecast'!AL249</f>
        <v>0</v>
      </c>
      <c r="AM107" s="43">
        <f>'D4 Gallon Forecast'!AM269+'D5 Gallon Forecast'!AM176+'D6 Gallon Forecast'!AM249</f>
        <v>0</v>
      </c>
      <c r="AN107" s="43">
        <f>'D4 Gallon Forecast'!AN269+'D5 Gallon Forecast'!AN176+'D6 Gallon Forecast'!AN249</f>
        <v>0</v>
      </c>
      <c r="AO107" s="43">
        <f>'D4 Gallon Forecast'!AO269+'D5 Gallon Forecast'!AO176+'D6 Gallon Forecast'!AO249</f>
        <v>0</v>
      </c>
      <c r="AP107" s="43">
        <f>'D4 Gallon Forecast'!AP269+'D5 Gallon Forecast'!AP176+'D6 Gallon Forecast'!AP249</f>
        <v>0</v>
      </c>
      <c r="AQ107" s="43">
        <f>'D4 Gallon Forecast'!AQ269+'D5 Gallon Forecast'!AQ176+'D6 Gallon Forecast'!AQ249</f>
        <v>4</v>
      </c>
      <c r="AR107" s="43"/>
      <c r="AS107" s="44"/>
    </row>
    <row r="108" spans="1:45">
      <c r="A108" s="40" t="s">
        <v>52</v>
      </c>
      <c r="B108" s="42">
        <f>'D4 Gallon Forecast'!B270+'D5 Gallon Forecast'!B177+'D6 Gallon Forecast'!B250</f>
        <v>0</v>
      </c>
      <c r="C108" s="42">
        <f>'D4 Gallon Forecast'!C270+'D5 Gallon Forecast'!C177+'D6 Gallon Forecast'!C250</f>
        <v>0</v>
      </c>
      <c r="D108" s="42">
        <f>'D4 Gallon Forecast'!D270+'D5 Gallon Forecast'!D177+'D6 Gallon Forecast'!D250</f>
        <v>0</v>
      </c>
      <c r="E108" s="42">
        <f>'D4 Gallon Forecast'!E270+'D5 Gallon Forecast'!E177+'D6 Gallon Forecast'!E250</f>
        <v>0</v>
      </c>
      <c r="F108" s="42">
        <f>'D4 Gallon Forecast'!F270+'D5 Gallon Forecast'!F177+'D6 Gallon Forecast'!F250</f>
        <v>0</v>
      </c>
      <c r="G108" s="42">
        <f>'D4 Gallon Forecast'!G270+'D5 Gallon Forecast'!G177+'D6 Gallon Forecast'!G250</f>
        <v>0</v>
      </c>
      <c r="H108" s="42">
        <f>'D4 Gallon Forecast'!H270+'D5 Gallon Forecast'!H177+'D6 Gallon Forecast'!H250</f>
        <v>0</v>
      </c>
      <c r="I108" s="42">
        <f>'D4 Gallon Forecast'!I270+'D5 Gallon Forecast'!I177+'D6 Gallon Forecast'!I250</f>
        <v>0</v>
      </c>
      <c r="J108" s="42">
        <f>'D4 Gallon Forecast'!J270+'D5 Gallon Forecast'!J177+'D6 Gallon Forecast'!J250</f>
        <v>0</v>
      </c>
      <c r="K108" s="42">
        <f>'D4 Gallon Forecast'!K270+'D5 Gallon Forecast'!K177+'D6 Gallon Forecast'!K250</f>
        <v>0</v>
      </c>
      <c r="L108" s="42">
        <f>'D4 Gallon Forecast'!L270+'D5 Gallon Forecast'!L177+'D6 Gallon Forecast'!L250</f>
        <v>0</v>
      </c>
      <c r="M108" s="42">
        <f>'D4 Gallon Forecast'!M270+'D5 Gallon Forecast'!M177+'D6 Gallon Forecast'!M250</f>
        <v>0</v>
      </c>
      <c r="N108" s="42">
        <f>'D4 Gallon Forecast'!N270+'D5 Gallon Forecast'!N177+'D6 Gallon Forecast'!N250</f>
        <v>0</v>
      </c>
      <c r="O108" s="42">
        <f>'D4 Gallon Forecast'!O270+'D5 Gallon Forecast'!O177+'D6 Gallon Forecast'!O250</f>
        <v>0</v>
      </c>
      <c r="P108" s="42">
        <f>'D4 Gallon Forecast'!P270+'D5 Gallon Forecast'!P177+'D6 Gallon Forecast'!P250</f>
        <v>0</v>
      </c>
      <c r="Q108" s="43">
        <f>'D4 Gallon Forecast'!Q270+'D5 Gallon Forecast'!Q177+'D6 Gallon Forecast'!Q250</f>
        <v>0</v>
      </c>
      <c r="R108" s="43">
        <f>'D4 Gallon Forecast'!R270+'D5 Gallon Forecast'!R177+'D6 Gallon Forecast'!R250</f>
        <v>0</v>
      </c>
      <c r="S108" s="43">
        <f>'D4 Gallon Forecast'!S270+'D5 Gallon Forecast'!S177+'D6 Gallon Forecast'!S250</f>
        <v>0</v>
      </c>
      <c r="T108" s="43">
        <f>'D4 Gallon Forecast'!T270+'D5 Gallon Forecast'!T177+'D6 Gallon Forecast'!T250</f>
        <v>0</v>
      </c>
      <c r="U108" s="43">
        <f>'D4 Gallon Forecast'!U270+'D5 Gallon Forecast'!U177+'D6 Gallon Forecast'!U250</f>
        <v>0</v>
      </c>
      <c r="V108" s="43">
        <f>'D4 Gallon Forecast'!V270+'D5 Gallon Forecast'!V177+'D6 Gallon Forecast'!V250</f>
        <v>0</v>
      </c>
      <c r="W108" s="43">
        <f>'D4 Gallon Forecast'!W270+'D5 Gallon Forecast'!W177+'D6 Gallon Forecast'!W250</f>
        <v>0</v>
      </c>
      <c r="X108" s="43">
        <f>'D4 Gallon Forecast'!X270+'D5 Gallon Forecast'!X177+'D6 Gallon Forecast'!X250</f>
        <v>0</v>
      </c>
      <c r="Y108" s="43">
        <f>'D4 Gallon Forecast'!Y270+'D5 Gallon Forecast'!Y177+'D6 Gallon Forecast'!Y250</f>
        <v>0</v>
      </c>
      <c r="Z108" s="43">
        <f>'D4 Gallon Forecast'!Z270+'D5 Gallon Forecast'!Z177+'D6 Gallon Forecast'!Z250</f>
        <v>0</v>
      </c>
      <c r="AA108" s="43">
        <f>'D4 Gallon Forecast'!AA270+'D5 Gallon Forecast'!AA177+'D6 Gallon Forecast'!AA250</f>
        <v>0</v>
      </c>
      <c r="AB108" s="43">
        <f>'D4 Gallon Forecast'!AB270+'D5 Gallon Forecast'!AB177+'D6 Gallon Forecast'!AB250</f>
        <v>0</v>
      </c>
      <c r="AC108" s="43">
        <f>'D4 Gallon Forecast'!AC270+'D5 Gallon Forecast'!AC177+'D6 Gallon Forecast'!AC250</f>
        <v>0</v>
      </c>
      <c r="AD108" s="43">
        <f>'D4 Gallon Forecast'!AD270+'D5 Gallon Forecast'!AD177+'D6 Gallon Forecast'!AD250</f>
        <v>0</v>
      </c>
      <c r="AE108" s="43">
        <f>'D4 Gallon Forecast'!AE270+'D5 Gallon Forecast'!AE177+'D6 Gallon Forecast'!AE250</f>
        <v>0</v>
      </c>
      <c r="AF108" s="43">
        <f>'D4 Gallon Forecast'!AF270+'D5 Gallon Forecast'!AF177+'D6 Gallon Forecast'!AF250</f>
        <v>0</v>
      </c>
      <c r="AG108" s="43">
        <f>'D4 Gallon Forecast'!AG270+'D5 Gallon Forecast'!AG177+'D6 Gallon Forecast'!AG250</f>
        <v>0</v>
      </c>
      <c r="AH108" s="43">
        <f>'D4 Gallon Forecast'!AH270+'D5 Gallon Forecast'!AH177+'D6 Gallon Forecast'!AH250</f>
        <v>0</v>
      </c>
      <c r="AI108" s="43">
        <f>'D4 Gallon Forecast'!AI270+'D5 Gallon Forecast'!AI177+'D6 Gallon Forecast'!AI250</f>
        <v>0</v>
      </c>
      <c r="AJ108" s="43">
        <f>'D4 Gallon Forecast'!AJ270+'D5 Gallon Forecast'!AJ177+'D6 Gallon Forecast'!AJ250</f>
        <v>0</v>
      </c>
      <c r="AK108" s="43">
        <f>'D4 Gallon Forecast'!AK270+'D5 Gallon Forecast'!AK177+'D6 Gallon Forecast'!AK250</f>
        <v>0</v>
      </c>
      <c r="AL108" s="43">
        <f>'D4 Gallon Forecast'!AL270+'D5 Gallon Forecast'!AL177+'D6 Gallon Forecast'!AL250</f>
        <v>0</v>
      </c>
      <c r="AM108" s="43">
        <f>'D4 Gallon Forecast'!AM270+'D5 Gallon Forecast'!AM177+'D6 Gallon Forecast'!AM250</f>
        <v>0</v>
      </c>
      <c r="AN108" s="43">
        <f>'D4 Gallon Forecast'!AN270+'D5 Gallon Forecast'!AN177+'D6 Gallon Forecast'!AN250</f>
        <v>0</v>
      </c>
      <c r="AO108" s="43">
        <f>'D4 Gallon Forecast'!AO270+'D5 Gallon Forecast'!AO177+'D6 Gallon Forecast'!AO250</f>
        <v>0</v>
      </c>
      <c r="AP108" s="43">
        <f>'D4 Gallon Forecast'!AP270+'D5 Gallon Forecast'!AP177+'D6 Gallon Forecast'!AP250</f>
        <v>0</v>
      </c>
      <c r="AQ108" s="43">
        <f>'D4 Gallon Forecast'!AQ270+'D5 Gallon Forecast'!AQ177+'D6 Gallon Forecast'!AQ250</f>
        <v>15</v>
      </c>
      <c r="AR108" s="43"/>
      <c r="AS108" s="44"/>
    </row>
    <row r="109" spans="1:45">
      <c r="A109" s="40" t="s">
        <v>53</v>
      </c>
      <c r="B109" s="42">
        <f>'D4 Gallon Forecast'!B271+'D5 Gallon Forecast'!B178+'D6 Gallon Forecast'!B251</f>
        <v>0</v>
      </c>
      <c r="C109" s="42">
        <f>'D4 Gallon Forecast'!C271+'D5 Gallon Forecast'!C178+'D6 Gallon Forecast'!C251</f>
        <v>0</v>
      </c>
      <c r="D109" s="42">
        <f>'D4 Gallon Forecast'!D271+'D5 Gallon Forecast'!D178+'D6 Gallon Forecast'!D251</f>
        <v>0</v>
      </c>
      <c r="E109" s="42">
        <f>'D4 Gallon Forecast'!E271+'D5 Gallon Forecast'!E178+'D6 Gallon Forecast'!E251</f>
        <v>0</v>
      </c>
      <c r="F109" s="42">
        <f>'D4 Gallon Forecast'!F271+'D5 Gallon Forecast'!F178+'D6 Gallon Forecast'!F251</f>
        <v>0</v>
      </c>
      <c r="G109" s="42">
        <f>'D4 Gallon Forecast'!G271+'D5 Gallon Forecast'!G178+'D6 Gallon Forecast'!G251</f>
        <v>0</v>
      </c>
      <c r="H109" s="42">
        <f>'D4 Gallon Forecast'!H271+'D5 Gallon Forecast'!H178+'D6 Gallon Forecast'!H251</f>
        <v>0</v>
      </c>
      <c r="I109" s="42">
        <f>'D4 Gallon Forecast'!I271+'D5 Gallon Forecast'!I178+'D6 Gallon Forecast'!I251</f>
        <v>0</v>
      </c>
      <c r="J109" s="42">
        <f>'D4 Gallon Forecast'!J271+'D5 Gallon Forecast'!J178+'D6 Gallon Forecast'!J251</f>
        <v>0</v>
      </c>
      <c r="K109" s="42">
        <f>'D4 Gallon Forecast'!K271+'D5 Gallon Forecast'!K178+'D6 Gallon Forecast'!K251</f>
        <v>0</v>
      </c>
      <c r="L109" s="42">
        <f>'D4 Gallon Forecast'!L271+'D5 Gallon Forecast'!L178+'D6 Gallon Forecast'!L251</f>
        <v>0</v>
      </c>
      <c r="M109" s="42">
        <f>'D4 Gallon Forecast'!M271+'D5 Gallon Forecast'!M178+'D6 Gallon Forecast'!M251</f>
        <v>0</v>
      </c>
      <c r="N109" s="42">
        <f>'D4 Gallon Forecast'!N271+'D5 Gallon Forecast'!N178+'D6 Gallon Forecast'!N251</f>
        <v>0</v>
      </c>
      <c r="O109" s="42">
        <f>'D4 Gallon Forecast'!O271+'D5 Gallon Forecast'!O178+'D6 Gallon Forecast'!O251</f>
        <v>0</v>
      </c>
      <c r="P109" s="42">
        <f>'D4 Gallon Forecast'!P271+'D5 Gallon Forecast'!P178+'D6 Gallon Forecast'!P251</f>
        <v>29840946</v>
      </c>
      <c r="Q109" s="43">
        <f>'D4 Gallon Forecast'!Q271+'D5 Gallon Forecast'!Q178+'D6 Gallon Forecast'!Q251</f>
        <v>0</v>
      </c>
      <c r="R109" s="43">
        <f>'D4 Gallon Forecast'!R271+'D5 Gallon Forecast'!R178+'D6 Gallon Forecast'!R251</f>
        <v>0</v>
      </c>
      <c r="S109" s="43">
        <f>'D4 Gallon Forecast'!S271+'D5 Gallon Forecast'!S178+'D6 Gallon Forecast'!S251</f>
        <v>0</v>
      </c>
      <c r="T109" s="43">
        <f>'D4 Gallon Forecast'!T271+'D5 Gallon Forecast'!T178+'D6 Gallon Forecast'!T251</f>
        <v>0</v>
      </c>
      <c r="U109" s="43">
        <f>'D4 Gallon Forecast'!U271+'D5 Gallon Forecast'!U178+'D6 Gallon Forecast'!U251</f>
        <v>0</v>
      </c>
      <c r="V109" s="43">
        <f>'D4 Gallon Forecast'!V271+'D5 Gallon Forecast'!V178+'D6 Gallon Forecast'!V251</f>
        <v>0</v>
      </c>
      <c r="W109" s="43">
        <f>'D4 Gallon Forecast'!W271+'D5 Gallon Forecast'!W178+'D6 Gallon Forecast'!W251</f>
        <v>0</v>
      </c>
      <c r="X109" s="43">
        <f>'D4 Gallon Forecast'!X271+'D5 Gallon Forecast'!X178+'D6 Gallon Forecast'!X251</f>
        <v>0</v>
      </c>
      <c r="Y109" s="43">
        <f>'D4 Gallon Forecast'!Y271+'D5 Gallon Forecast'!Y178+'D6 Gallon Forecast'!Y251</f>
        <v>0</v>
      </c>
      <c r="Z109" s="43">
        <f>'D4 Gallon Forecast'!Z271+'D5 Gallon Forecast'!Z178+'D6 Gallon Forecast'!Z251</f>
        <v>0</v>
      </c>
      <c r="AA109" s="43">
        <f>'D4 Gallon Forecast'!AA271+'D5 Gallon Forecast'!AA178+'D6 Gallon Forecast'!AA251</f>
        <v>0</v>
      </c>
      <c r="AB109" s="43">
        <f>'D4 Gallon Forecast'!AB271+'D5 Gallon Forecast'!AB178+'D6 Gallon Forecast'!AB251</f>
        <v>0</v>
      </c>
      <c r="AC109" s="43">
        <f>'D4 Gallon Forecast'!AC271+'D5 Gallon Forecast'!AC178+'D6 Gallon Forecast'!AC251</f>
        <v>0</v>
      </c>
      <c r="AD109" s="43">
        <f>'D4 Gallon Forecast'!AD271+'D5 Gallon Forecast'!AD178+'D6 Gallon Forecast'!AD251</f>
        <v>0</v>
      </c>
      <c r="AE109" s="43">
        <f>'D4 Gallon Forecast'!AE271+'D5 Gallon Forecast'!AE178+'D6 Gallon Forecast'!AE251</f>
        <v>0</v>
      </c>
      <c r="AF109" s="43">
        <f>'D4 Gallon Forecast'!AF271+'D5 Gallon Forecast'!AF178+'D6 Gallon Forecast'!AF251</f>
        <v>0</v>
      </c>
      <c r="AG109" s="43">
        <f>'D4 Gallon Forecast'!AG271+'D5 Gallon Forecast'!AG178+'D6 Gallon Forecast'!AG251</f>
        <v>0</v>
      </c>
      <c r="AH109" s="43">
        <f>'D4 Gallon Forecast'!AH271+'D5 Gallon Forecast'!AH178+'D6 Gallon Forecast'!AH251</f>
        <v>0</v>
      </c>
      <c r="AI109" s="43">
        <f>'D4 Gallon Forecast'!AI271+'D5 Gallon Forecast'!AI178+'D6 Gallon Forecast'!AI251</f>
        <v>0</v>
      </c>
      <c r="AJ109" s="43">
        <f>'D4 Gallon Forecast'!AJ271+'D5 Gallon Forecast'!AJ178+'D6 Gallon Forecast'!AJ251</f>
        <v>0</v>
      </c>
      <c r="AK109" s="43">
        <f>'D4 Gallon Forecast'!AK271+'D5 Gallon Forecast'!AK178+'D6 Gallon Forecast'!AK251</f>
        <v>0</v>
      </c>
      <c r="AL109" s="43">
        <f>'D4 Gallon Forecast'!AL271+'D5 Gallon Forecast'!AL178+'D6 Gallon Forecast'!AL251</f>
        <v>0</v>
      </c>
      <c r="AM109" s="43">
        <f>'D4 Gallon Forecast'!AM271+'D5 Gallon Forecast'!AM178+'D6 Gallon Forecast'!AM251</f>
        <v>0</v>
      </c>
      <c r="AN109" s="43">
        <f>'D4 Gallon Forecast'!AN271+'D5 Gallon Forecast'!AN178+'D6 Gallon Forecast'!AN251</f>
        <v>0</v>
      </c>
      <c r="AO109" s="43">
        <f>'D4 Gallon Forecast'!AO271+'D5 Gallon Forecast'!AO178+'D6 Gallon Forecast'!AO251</f>
        <v>0</v>
      </c>
      <c r="AP109" s="43">
        <f>'D4 Gallon Forecast'!AP271+'D5 Gallon Forecast'!AP178+'D6 Gallon Forecast'!AP251</f>
        <v>0</v>
      </c>
      <c r="AQ109" s="43">
        <f>'D4 Gallon Forecast'!AQ271+'D5 Gallon Forecast'!AQ178+'D6 Gallon Forecast'!AQ251</f>
        <v>4</v>
      </c>
      <c r="AR109" s="43"/>
      <c r="AS109" s="44"/>
    </row>
    <row r="110" spans="1:45">
      <c r="A110" s="40" t="s">
        <v>54</v>
      </c>
      <c r="B110" s="42">
        <f>'D4 Gallon Forecast'!B272+'D5 Gallon Forecast'!B179+'D6 Gallon Forecast'!B252</f>
        <v>0</v>
      </c>
      <c r="C110" s="42">
        <f>'D4 Gallon Forecast'!C272+'D5 Gallon Forecast'!C179+'D6 Gallon Forecast'!C252</f>
        <v>0</v>
      </c>
      <c r="D110" s="42">
        <f>'D4 Gallon Forecast'!D272+'D5 Gallon Forecast'!D179+'D6 Gallon Forecast'!D252</f>
        <v>0</v>
      </c>
      <c r="E110" s="42">
        <f>'D4 Gallon Forecast'!E272+'D5 Gallon Forecast'!E179+'D6 Gallon Forecast'!E252</f>
        <v>0</v>
      </c>
      <c r="F110" s="42">
        <f>'D4 Gallon Forecast'!F272+'D5 Gallon Forecast'!F179+'D6 Gallon Forecast'!F252</f>
        <v>0</v>
      </c>
      <c r="G110" s="42">
        <f>'D4 Gallon Forecast'!G272+'D5 Gallon Forecast'!G179+'D6 Gallon Forecast'!G252</f>
        <v>0</v>
      </c>
      <c r="H110" s="42">
        <f>'D4 Gallon Forecast'!H272+'D5 Gallon Forecast'!H179+'D6 Gallon Forecast'!H252</f>
        <v>0</v>
      </c>
      <c r="I110" s="42">
        <f>'D4 Gallon Forecast'!I272+'D5 Gallon Forecast'!I179+'D6 Gallon Forecast'!I252</f>
        <v>0</v>
      </c>
      <c r="J110" s="42">
        <f>'D4 Gallon Forecast'!J272+'D5 Gallon Forecast'!J179+'D6 Gallon Forecast'!J252</f>
        <v>0</v>
      </c>
      <c r="K110" s="42">
        <f>'D4 Gallon Forecast'!K272+'D5 Gallon Forecast'!K179+'D6 Gallon Forecast'!K252</f>
        <v>0</v>
      </c>
      <c r="L110" s="42">
        <f>'D4 Gallon Forecast'!L272+'D5 Gallon Forecast'!L179+'D6 Gallon Forecast'!L252</f>
        <v>0</v>
      </c>
      <c r="M110" s="42">
        <f>'D4 Gallon Forecast'!M272+'D5 Gallon Forecast'!M179+'D6 Gallon Forecast'!M252</f>
        <v>0</v>
      </c>
      <c r="N110" s="42">
        <f>'D4 Gallon Forecast'!N272+'D5 Gallon Forecast'!N179+'D6 Gallon Forecast'!N252</f>
        <v>0</v>
      </c>
      <c r="O110" s="42">
        <f>'D4 Gallon Forecast'!O272+'D5 Gallon Forecast'!O179+'D6 Gallon Forecast'!O252</f>
        <v>0</v>
      </c>
      <c r="P110" s="42">
        <f>'D4 Gallon Forecast'!P272+'D5 Gallon Forecast'!P179+'D6 Gallon Forecast'!P252</f>
        <v>32902548</v>
      </c>
      <c r="Q110" s="43">
        <f>'D4 Gallon Forecast'!Q272+'D5 Gallon Forecast'!Q179+'D6 Gallon Forecast'!Q252</f>
        <v>0</v>
      </c>
      <c r="R110" s="43">
        <f>'D4 Gallon Forecast'!R272+'D5 Gallon Forecast'!R179+'D6 Gallon Forecast'!R252</f>
        <v>0</v>
      </c>
      <c r="S110" s="43">
        <f>'D4 Gallon Forecast'!S272+'D5 Gallon Forecast'!S179+'D6 Gallon Forecast'!S252</f>
        <v>0</v>
      </c>
      <c r="T110" s="43">
        <f>'D4 Gallon Forecast'!T272+'D5 Gallon Forecast'!T179+'D6 Gallon Forecast'!T252</f>
        <v>0</v>
      </c>
      <c r="U110" s="43">
        <f>'D4 Gallon Forecast'!U272+'D5 Gallon Forecast'!U179+'D6 Gallon Forecast'!U252</f>
        <v>0</v>
      </c>
      <c r="V110" s="43">
        <f>'D4 Gallon Forecast'!V272+'D5 Gallon Forecast'!V179+'D6 Gallon Forecast'!V252</f>
        <v>0</v>
      </c>
      <c r="W110" s="43">
        <f>'D4 Gallon Forecast'!W272+'D5 Gallon Forecast'!W179+'D6 Gallon Forecast'!W252</f>
        <v>0</v>
      </c>
      <c r="X110" s="43">
        <f>'D4 Gallon Forecast'!X272+'D5 Gallon Forecast'!X179+'D6 Gallon Forecast'!X252</f>
        <v>0</v>
      </c>
      <c r="Y110" s="43">
        <f>'D4 Gallon Forecast'!Y272+'D5 Gallon Forecast'!Y179+'D6 Gallon Forecast'!Y252</f>
        <v>0</v>
      </c>
      <c r="Z110" s="43">
        <f>'D4 Gallon Forecast'!Z272+'D5 Gallon Forecast'!Z179+'D6 Gallon Forecast'!Z252</f>
        <v>0</v>
      </c>
      <c r="AA110" s="43">
        <f>'D4 Gallon Forecast'!AA272+'D5 Gallon Forecast'!AA179+'D6 Gallon Forecast'!AA252</f>
        <v>0</v>
      </c>
      <c r="AB110" s="43">
        <f>'D4 Gallon Forecast'!AB272+'D5 Gallon Forecast'!AB179+'D6 Gallon Forecast'!AB252</f>
        <v>0</v>
      </c>
      <c r="AC110" s="43">
        <f>'D4 Gallon Forecast'!AC272+'D5 Gallon Forecast'!AC179+'D6 Gallon Forecast'!AC252</f>
        <v>0</v>
      </c>
      <c r="AD110" s="43">
        <f>'D4 Gallon Forecast'!AD272+'D5 Gallon Forecast'!AD179+'D6 Gallon Forecast'!AD252</f>
        <v>0</v>
      </c>
      <c r="AE110" s="43">
        <f>'D4 Gallon Forecast'!AE272+'D5 Gallon Forecast'!AE179+'D6 Gallon Forecast'!AE252</f>
        <v>0</v>
      </c>
      <c r="AF110" s="43">
        <f>'D4 Gallon Forecast'!AF272+'D5 Gallon Forecast'!AF179+'D6 Gallon Forecast'!AF252</f>
        <v>0</v>
      </c>
      <c r="AG110" s="43">
        <f>'D4 Gallon Forecast'!AG272+'D5 Gallon Forecast'!AG179+'D6 Gallon Forecast'!AG252</f>
        <v>0</v>
      </c>
      <c r="AH110" s="43">
        <f>'D4 Gallon Forecast'!AH272+'D5 Gallon Forecast'!AH179+'D6 Gallon Forecast'!AH252</f>
        <v>0</v>
      </c>
      <c r="AI110" s="43">
        <f>'D4 Gallon Forecast'!AI272+'D5 Gallon Forecast'!AI179+'D6 Gallon Forecast'!AI252</f>
        <v>0</v>
      </c>
      <c r="AJ110" s="43">
        <f>'D4 Gallon Forecast'!AJ272+'D5 Gallon Forecast'!AJ179+'D6 Gallon Forecast'!AJ252</f>
        <v>0</v>
      </c>
      <c r="AK110" s="43">
        <f>'D4 Gallon Forecast'!AK272+'D5 Gallon Forecast'!AK179+'D6 Gallon Forecast'!AK252</f>
        <v>0</v>
      </c>
      <c r="AL110" s="43">
        <f>'D4 Gallon Forecast'!AL272+'D5 Gallon Forecast'!AL179+'D6 Gallon Forecast'!AL252</f>
        <v>0</v>
      </c>
      <c r="AM110" s="43">
        <f>'D4 Gallon Forecast'!AM272+'D5 Gallon Forecast'!AM179+'D6 Gallon Forecast'!AM252</f>
        <v>0</v>
      </c>
      <c r="AN110" s="43">
        <f>'D4 Gallon Forecast'!AN272+'D5 Gallon Forecast'!AN179+'D6 Gallon Forecast'!AN252</f>
        <v>0</v>
      </c>
      <c r="AO110" s="43">
        <f>'D4 Gallon Forecast'!AO272+'D5 Gallon Forecast'!AO179+'D6 Gallon Forecast'!AO252</f>
        <v>0</v>
      </c>
      <c r="AP110" s="43">
        <f>'D4 Gallon Forecast'!AP272+'D5 Gallon Forecast'!AP179+'D6 Gallon Forecast'!AP252</f>
        <v>0</v>
      </c>
      <c r="AQ110" s="43">
        <f>'D4 Gallon Forecast'!AQ272+'D5 Gallon Forecast'!AQ179+'D6 Gallon Forecast'!AQ252</f>
        <v>4</v>
      </c>
      <c r="AR110" s="43"/>
      <c r="AS110" s="44"/>
    </row>
    <row r="111" spans="1:45" ht="12" thickBot="1">
      <c r="A111" s="48" t="s">
        <v>29</v>
      </c>
      <c r="B111" s="49">
        <f t="shared" ref="B111:M111" si="50">SUM(B99:B110)</f>
        <v>0</v>
      </c>
      <c r="C111" s="49">
        <f t="shared" si="50"/>
        <v>0</v>
      </c>
      <c r="D111" s="49">
        <f t="shared" si="50"/>
        <v>0</v>
      </c>
      <c r="E111" s="49">
        <f t="shared" si="50"/>
        <v>21602599</v>
      </c>
      <c r="F111" s="49">
        <f t="shared" si="50"/>
        <v>5612400</v>
      </c>
      <c r="G111" s="49">
        <f t="shared" si="50"/>
        <v>0</v>
      </c>
      <c r="H111" s="49">
        <f t="shared" si="50"/>
        <v>0</v>
      </c>
      <c r="I111" s="49">
        <f t="shared" si="50"/>
        <v>757255</v>
      </c>
      <c r="J111" s="49">
        <f t="shared" si="50"/>
        <v>0</v>
      </c>
      <c r="K111" s="49">
        <f t="shared" si="50"/>
        <v>0</v>
      </c>
      <c r="L111" s="49">
        <f t="shared" si="50"/>
        <v>0</v>
      </c>
      <c r="M111" s="49">
        <f t="shared" si="50"/>
        <v>2859906</v>
      </c>
      <c r="N111" s="49">
        <f t="shared" ref="N111:AQ111" si="51">SUM(N99:N110)</f>
        <v>0</v>
      </c>
      <c r="O111" s="49">
        <f t="shared" si="51"/>
        <v>0</v>
      </c>
      <c r="P111" s="49">
        <f t="shared" si="51"/>
        <v>112476722</v>
      </c>
      <c r="Q111" s="50">
        <f t="shared" si="51"/>
        <v>12677402</v>
      </c>
      <c r="R111" s="50">
        <f t="shared" si="51"/>
        <v>0</v>
      </c>
      <c r="S111" s="50">
        <f t="shared" si="51"/>
        <v>0</v>
      </c>
      <c r="T111" s="50">
        <f t="shared" si="51"/>
        <v>0</v>
      </c>
      <c r="U111" s="50">
        <f t="shared" si="51"/>
        <v>0</v>
      </c>
      <c r="V111" s="50">
        <f t="shared" si="51"/>
        <v>0</v>
      </c>
      <c r="W111" s="50">
        <f t="shared" si="51"/>
        <v>0</v>
      </c>
      <c r="X111" s="50">
        <f t="shared" si="51"/>
        <v>0</v>
      </c>
      <c r="Y111" s="50">
        <f t="shared" si="51"/>
        <v>0</v>
      </c>
      <c r="Z111" s="50">
        <f t="shared" si="51"/>
        <v>0</v>
      </c>
      <c r="AA111" s="50">
        <f t="shared" si="51"/>
        <v>0</v>
      </c>
      <c r="AB111" s="50">
        <f t="shared" si="51"/>
        <v>0</v>
      </c>
      <c r="AC111" s="50">
        <f t="shared" si="51"/>
        <v>0</v>
      </c>
      <c r="AD111" s="50">
        <f t="shared" si="51"/>
        <v>0</v>
      </c>
      <c r="AE111" s="50">
        <f t="shared" si="51"/>
        <v>0</v>
      </c>
      <c r="AF111" s="50">
        <f t="shared" si="51"/>
        <v>0</v>
      </c>
      <c r="AG111" s="50">
        <f t="shared" si="51"/>
        <v>0</v>
      </c>
      <c r="AH111" s="50">
        <f t="shared" si="51"/>
        <v>0</v>
      </c>
      <c r="AI111" s="50">
        <f t="shared" si="51"/>
        <v>0</v>
      </c>
      <c r="AJ111" s="50">
        <f t="shared" si="51"/>
        <v>0</v>
      </c>
      <c r="AK111" s="50">
        <f t="shared" si="51"/>
        <v>0</v>
      </c>
      <c r="AL111" s="50">
        <f t="shared" si="51"/>
        <v>0</v>
      </c>
      <c r="AM111" s="50">
        <f t="shared" si="51"/>
        <v>0</v>
      </c>
      <c r="AN111" s="50">
        <f t="shared" si="51"/>
        <v>0</v>
      </c>
      <c r="AO111" s="50">
        <f t="shared" si="51"/>
        <v>0</v>
      </c>
      <c r="AP111" s="50">
        <f t="shared" si="51"/>
        <v>0</v>
      </c>
      <c r="AQ111" s="50">
        <f t="shared" si="51"/>
        <v>59</v>
      </c>
      <c r="AR111" s="43"/>
    </row>
    <row r="112" spans="1:45">
      <c r="A112" s="51"/>
      <c r="B112" s="51"/>
      <c r="C112" s="51"/>
      <c r="D112" s="51"/>
      <c r="E112" s="51"/>
      <c r="F112" s="51"/>
      <c r="G112" s="51"/>
      <c r="H112" s="51"/>
      <c r="I112" s="51"/>
      <c r="J112" s="51"/>
      <c r="K112" s="51"/>
      <c r="L112" s="51"/>
      <c r="M112" s="52"/>
      <c r="N112" s="53"/>
      <c r="O112" s="54"/>
      <c r="P112" s="54"/>
      <c r="Q112" s="53"/>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row>
    <row r="113" spans="1:45" ht="12" thickBot="1">
      <c r="A113" s="39" t="s">
        <v>105</v>
      </c>
    </row>
    <row r="114" spans="1:45" ht="12" thickBot="1">
      <c r="A114" s="41"/>
      <c r="B114" s="41">
        <f>B50</f>
        <v>2010</v>
      </c>
      <c r="C114" s="41">
        <f t="shared" ref="C114:Z114" si="52">C50</f>
        <v>2011</v>
      </c>
      <c r="D114" s="41">
        <f t="shared" si="52"/>
        <v>2012</v>
      </c>
      <c r="E114" s="41">
        <f t="shared" si="52"/>
        <v>2013</v>
      </c>
      <c r="F114" s="41">
        <f t="shared" si="52"/>
        <v>2014</v>
      </c>
      <c r="G114" s="41">
        <f t="shared" si="52"/>
        <v>2015</v>
      </c>
      <c r="H114" s="41">
        <f t="shared" si="52"/>
        <v>2016</v>
      </c>
      <c r="I114" s="41">
        <f t="shared" si="52"/>
        <v>2017</v>
      </c>
      <c r="J114" s="41">
        <f t="shared" si="52"/>
        <v>2018</v>
      </c>
      <c r="K114" s="41">
        <f t="shared" si="52"/>
        <v>2019</v>
      </c>
      <c r="L114" s="41">
        <f t="shared" si="52"/>
        <v>2020</v>
      </c>
      <c r="M114" s="41">
        <f t="shared" si="52"/>
        <v>2021</v>
      </c>
      <c r="N114" s="41">
        <f t="shared" si="52"/>
        <v>2022</v>
      </c>
      <c r="O114" s="41">
        <f t="shared" si="52"/>
        <v>2023</v>
      </c>
      <c r="P114" s="41">
        <f t="shared" si="52"/>
        <v>2024</v>
      </c>
      <c r="Q114" s="41">
        <f t="shared" si="52"/>
        <v>2025</v>
      </c>
      <c r="R114" s="41">
        <f t="shared" si="52"/>
        <v>2026</v>
      </c>
      <c r="S114" s="41">
        <f t="shared" si="52"/>
        <v>2027</v>
      </c>
      <c r="T114" s="41">
        <f t="shared" si="52"/>
        <v>2028</v>
      </c>
      <c r="U114" s="41">
        <f t="shared" si="52"/>
        <v>2029</v>
      </c>
      <c r="V114" s="41">
        <f t="shared" si="52"/>
        <v>2030</v>
      </c>
      <c r="W114" s="41">
        <f t="shared" si="52"/>
        <v>2031</v>
      </c>
      <c r="X114" s="41">
        <f t="shared" si="52"/>
        <v>2032</v>
      </c>
      <c r="Y114" s="41">
        <f t="shared" si="52"/>
        <v>2033</v>
      </c>
      <c r="Z114" s="41">
        <f t="shared" si="52"/>
        <v>2034</v>
      </c>
      <c r="AA114" s="41">
        <f>AA2</f>
        <v>2035</v>
      </c>
      <c r="AB114" s="41">
        <f t="shared" ref="AB114:AQ114" si="53">AB2</f>
        <v>2036</v>
      </c>
      <c r="AC114" s="41">
        <f t="shared" si="53"/>
        <v>2037</v>
      </c>
      <c r="AD114" s="41">
        <f t="shared" si="53"/>
        <v>2038</v>
      </c>
      <c r="AE114" s="41">
        <f t="shared" si="53"/>
        <v>2039</v>
      </c>
      <c r="AF114" s="41">
        <f t="shared" si="53"/>
        <v>2040</v>
      </c>
      <c r="AG114" s="41">
        <f t="shared" si="53"/>
        <v>2041</v>
      </c>
      <c r="AH114" s="41">
        <f t="shared" si="53"/>
        <v>2042</v>
      </c>
      <c r="AI114" s="41">
        <f t="shared" si="53"/>
        <v>2043</v>
      </c>
      <c r="AJ114" s="41">
        <f t="shared" si="53"/>
        <v>2044</v>
      </c>
      <c r="AK114" s="41">
        <f t="shared" si="53"/>
        <v>2045</v>
      </c>
      <c r="AL114" s="41">
        <f t="shared" si="53"/>
        <v>2046</v>
      </c>
      <c r="AM114" s="41">
        <f t="shared" si="53"/>
        <v>2047</v>
      </c>
      <c r="AN114" s="41">
        <f t="shared" si="53"/>
        <v>2048</v>
      </c>
      <c r="AO114" s="41">
        <f t="shared" si="53"/>
        <v>2049</v>
      </c>
      <c r="AP114" s="41">
        <f t="shared" si="53"/>
        <v>2050</v>
      </c>
      <c r="AQ114" s="41">
        <f t="shared" si="53"/>
        <v>2051</v>
      </c>
    </row>
    <row r="115" spans="1:45">
      <c r="A115" s="40" t="s">
        <v>43</v>
      </c>
      <c r="B115" s="42">
        <f>'D4 Gallon Forecast'!B245+'D6 Gallon Forecast'!B225</f>
        <v>0</v>
      </c>
      <c r="C115" s="42">
        <f>'D4 Gallon Forecast'!C245+'D6 Gallon Forecast'!C225</f>
        <v>0</v>
      </c>
      <c r="D115" s="42">
        <f>'D4 Gallon Forecast'!D245+'D6 Gallon Forecast'!D225</f>
        <v>0</v>
      </c>
      <c r="E115" s="42">
        <f>'D4 Gallon Forecast'!E245+'D6 Gallon Forecast'!E225</f>
        <v>7009715</v>
      </c>
      <c r="F115" s="42">
        <f>'D4 Gallon Forecast'!F245+'D6 Gallon Forecast'!F225</f>
        <v>27788271</v>
      </c>
      <c r="G115" s="42">
        <f>'D4 Gallon Forecast'!G245+'D6 Gallon Forecast'!G225</f>
        <v>30183332</v>
      </c>
      <c r="H115" s="42">
        <f>'D4 Gallon Forecast'!H245+'D6 Gallon Forecast'!H225</f>
        <v>26199125</v>
      </c>
      <c r="I115" s="42">
        <f>'D4 Gallon Forecast'!I245+'D6 Gallon Forecast'!I225</f>
        <v>30476695</v>
      </c>
      <c r="J115" s="42">
        <f>'D4 Gallon Forecast'!J245+'D6 Gallon Forecast'!J225</f>
        <v>31803799</v>
      </c>
      <c r="K115" s="42">
        <f>'D4 Gallon Forecast'!K245+'D6 Gallon Forecast'!K225</f>
        <v>27498052</v>
      </c>
      <c r="L115" s="42">
        <f>'D4 Gallon Forecast'!L245+'D6 Gallon Forecast'!L225</f>
        <v>29777983</v>
      </c>
      <c r="M115" s="42">
        <f>'D4 Gallon Forecast'!M245+'D6 Gallon Forecast'!M225</f>
        <v>33116197</v>
      </c>
      <c r="N115" s="42">
        <f>'D4 Gallon Forecast'!N245+'D6 Gallon Forecast'!N225</f>
        <v>34614001</v>
      </c>
      <c r="O115" s="42">
        <f>'D4 Gallon Forecast'!O245+'D6 Gallon Forecast'!O225</f>
        <v>42148711</v>
      </c>
      <c r="P115" s="42">
        <f>'D4 Gallon Forecast'!P245+'D6 Gallon Forecast'!P225</f>
        <v>24232960</v>
      </c>
      <c r="Q115" s="42">
        <f>'D4 Gallon Forecast'!Q245+'D6 Gallon Forecast'!Q225</f>
        <v>0</v>
      </c>
      <c r="R115" s="43">
        <f>'D4 Gallon Forecast'!R245+'D6 Gallon Forecast'!R225</f>
        <v>19880459.240872473</v>
      </c>
      <c r="S115" s="43">
        <f>'D4 Gallon Forecast'!S245+'D6 Gallon Forecast'!S225</f>
        <v>17883204.211857177</v>
      </c>
      <c r="T115" s="43">
        <f>'D4 Gallon Forecast'!T245+'D6 Gallon Forecast'!T225</f>
        <v>15357222.123277105</v>
      </c>
      <c r="U115" s="43">
        <f>'D4 Gallon Forecast'!U245+'D6 Gallon Forecast'!U225</f>
        <v>12728717.603032351</v>
      </c>
      <c r="V115" s="43">
        <f>'D4 Gallon Forecast'!V245+'D6 Gallon Forecast'!V225</f>
        <v>10582971.939488428</v>
      </c>
      <c r="W115" s="43">
        <f>'D4 Gallon Forecast'!W245+'D6 Gallon Forecast'!W225</f>
        <v>12507148.65575905</v>
      </c>
      <c r="X115" s="43">
        <f>'D4 Gallon Forecast'!X245+'D6 Gallon Forecast'!X225</f>
        <v>10832825.809162999</v>
      </c>
      <c r="Y115" s="43">
        <f>'D4 Gallon Forecast'!Y245+'D6 Gallon Forecast'!Y225</f>
        <v>10026968.821137691</v>
      </c>
      <c r="Z115" s="43">
        <f>'D4 Gallon Forecast'!Z245+'D6 Gallon Forecast'!Z225</f>
        <v>9359774.2285729293</v>
      </c>
      <c r="AA115" s="43">
        <f>'D4 Gallon Forecast'!AA245+'D6 Gallon Forecast'!AA225</f>
        <v>9407592.2566096038</v>
      </c>
      <c r="AB115" s="43">
        <f>'D4 Gallon Forecast'!AB245+'D6 Gallon Forecast'!AB225</f>
        <v>4010331.5208647889</v>
      </c>
      <c r="AC115" s="43">
        <f>'D4 Gallon Forecast'!AC245+'D6 Gallon Forecast'!AC225</f>
        <v>2708206.4522907496</v>
      </c>
      <c r="AD115" s="43">
        <f>'D4 Gallon Forecast'!AD245+'D6 Gallon Forecast'!AD225</f>
        <v>2638676.0055625509</v>
      </c>
      <c r="AE115" s="43">
        <f>'D4 Gallon Forecast'!AE245+'D6 Gallon Forecast'!AE225</f>
        <v>2599937.2857147027</v>
      </c>
      <c r="AF115" s="43">
        <f>'D4 Gallon Forecast'!AF245+'D6 Gallon Forecast'!AF225</f>
        <v>2613220.0712804459</v>
      </c>
      <c r="AG115" s="43">
        <f>'D4 Gallon Forecast'!AG245+'D6 Gallon Forecast'!AG225</f>
        <v>2673554.3472431935</v>
      </c>
      <c r="AH115" s="43">
        <f>'D4 Gallon Forecast'!AH245+'D6 Gallon Forecast'!AH225</f>
        <v>2644696.5234150314</v>
      </c>
      <c r="AI115" s="43">
        <f>'D4 Gallon Forecast'!AI245+'D6 Gallon Forecast'!AI225</f>
        <v>2630583.2058870941</v>
      </c>
      <c r="AJ115" s="43">
        <f>'D4 Gallon Forecast'!AJ245+'D6 Gallon Forecast'!AJ225</f>
        <v>2628465.4639159464</v>
      </c>
      <c r="AK115" s="43">
        <f>'D4 Gallon Forecast'!AK245+'D6 Gallon Forecast'!AK225</f>
        <v>2637622.6569188139</v>
      </c>
      <c r="AL115" s="43">
        <f>'D4 Gallon Forecast'!AL245+'D6 Gallon Forecast'!AL225</f>
        <v>2649158.4246751345</v>
      </c>
      <c r="AM115" s="43">
        <f>'D4 Gallon Forecast'!AM245+'D6 Gallon Forecast'!AM225</f>
        <v>2646718.8324183286</v>
      </c>
      <c r="AN115" s="43">
        <f>'D4 Gallon Forecast'!AN245+'D6 Gallon Forecast'!AN225</f>
        <v>2634016.8466431848</v>
      </c>
      <c r="AO115" s="43">
        <f>'D4 Gallon Forecast'!AO245+'D6 Gallon Forecast'!AO225</f>
        <v>2632398.2867080937</v>
      </c>
      <c r="AP115" s="43">
        <f>'D4 Gallon Forecast'!AP245+'D6 Gallon Forecast'!AP225</f>
        <v>2638103.9223483424</v>
      </c>
      <c r="AQ115" s="43">
        <f>'D4 Gallon Forecast'!AQ245+'D6 Gallon Forecast'!AQ225</f>
        <v>2642985.4394760155</v>
      </c>
      <c r="AR115" s="43"/>
      <c r="AS115" s="44">
        <f>O115/N126-1</f>
        <v>-2.0764629875347329E-2</v>
      </c>
    </row>
    <row r="116" spans="1:45">
      <c r="A116" s="40" t="s">
        <v>44</v>
      </c>
      <c r="B116" s="42">
        <f>'D4 Gallon Forecast'!B246+'D6 Gallon Forecast'!B226</f>
        <v>0</v>
      </c>
      <c r="C116" s="42">
        <f>'D4 Gallon Forecast'!C246+'D6 Gallon Forecast'!C226</f>
        <v>0</v>
      </c>
      <c r="D116" s="42">
        <f>'D4 Gallon Forecast'!D246+'D6 Gallon Forecast'!D226</f>
        <v>0</v>
      </c>
      <c r="E116" s="42">
        <f>'D4 Gallon Forecast'!E246+'D6 Gallon Forecast'!E226</f>
        <v>0</v>
      </c>
      <c r="F116" s="42">
        <f>'D4 Gallon Forecast'!F246+'D6 Gallon Forecast'!F226</f>
        <v>35953652</v>
      </c>
      <c r="G116" s="42">
        <f>'D4 Gallon Forecast'!G246+'D6 Gallon Forecast'!G226</f>
        <v>25603549</v>
      </c>
      <c r="H116" s="42">
        <f>'D4 Gallon Forecast'!H246+'D6 Gallon Forecast'!H226</f>
        <v>24430108</v>
      </c>
      <c r="I116" s="42">
        <f>'D4 Gallon Forecast'!I246+'D6 Gallon Forecast'!I226</f>
        <v>24245167</v>
      </c>
      <c r="J116" s="42">
        <f>'D4 Gallon Forecast'!J246+'D6 Gallon Forecast'!J226</f>
        <v>28296030</v>
      </c>
      <c r="K116" s="42">
        <f>'D4 Gallon Forecast'!K246+'D6 Gallon Forecast'!K226</f>
        <v>33386661</v>
      </c>
      <c r="L116" s="42">
        <f>'D4 Gallon Forecast'!L246+'D6 Gallon Forecast'!L226</f>
        <v>40666518</v>
      </c>
      <c r="M116" s="42">
        <f>'D4 Gallon Forecast'!M246+'D6 Gallon Forecast'!M226</f>
        <v>35138122</v>
      </c>
      <c r="N116" s="42">
        <f>'D4 Gallon Forecast'!N246+'D6 Gallon Forecast'!N226</f>
        <v>33553587</v>
      </c>
      <c r="O116" s="42">
        <f>'D4 Gallon Forecast'!O246+'D6 Gallon Forecast'!O226</f>
        <v>33382186</v>
      </c>
      <c r="P116" s="42">
        <f>'D4 Gallon Forecast'!P246+'D6 Gallon Forecast'!P226</f>
        <v>56213823</v>
      </c>
      <c r="Q116" s="42">
        <f>'D4 Gallon Forecast'!Q246+'D6 Gallon Forecast'!Q226</f>
        <v>0</v>
      </c>
      <c r="R116" s="43">
        <f>'D4 Gallon Forecast'!R246+'D6 Gallon Forecast'!R226</f>
        <v>23468739.279069103</v>
      </c>
      <c r="S116" s="43">
        <f>'D4 Gallon Forecast'!S246+'D6 Gallon Forecast'!S226</f>
        <v>22370115.195129227</v>
      </c>
      <c r="T116" s="43">
        <f>'D4 Gallon Forecast'!T246+'D6 Gallon Forecast'!T226</f>
        <v>20731065.204576124</v>
      </c>
      <c r="U116" s="43">
        <f>'D4 Gallon Forecast'!U246+'D6 Gallon Forecast'!U226</f>
        <v>20204290.7519814</v>
      </c>
      <c r="V116" s="43">
        <f>'D4 Gallon Forecast'!V246+'D6 Gallon Forecast'!V226</f>
        <v>13945855.247800048</v>
      </c>
      <c r="W116" s="43">
        <f>'D4 Gallon Forecast'!W246+'D6 Gallon Forecast'!W226</f>
        <v>16481465.292854603</v>
      </c>
      <c r="X116" s="43">
        <f>'D4 Gallon Forecast'!X246+'D6 Gallon Forecast'!X226</f>
        <v>14703183.010563359</v>
      </c>
      <c r="Y116" s="43">
        <f>'D4 Gallon Forecast'!Y246+'D6 Gallon Forecast'!Y226</f>
        <v>13917032.601257322</v>
      </c>
      <c r="Z116" s="43">
        <f>'D4 Gallon Forecast'!Z246+'D6 Gallon Forecast'!Z226</f>
        <v>13087457.653946983</v>
      </c>
      <c r="AA116" s="43">
        <f>'D4 Gallon Forecast'!AA246+'D6 Gallon Forecast'!AA226</f>
        <v>12729704.789368644</v>
      </c>
      <c r="AB116" s="43">
        <f>'D4 Gallon Forecast'!AB246+'D6 Gallon Forecast'!AB226</f>
        <v>5455295.6421531457</v>
      </c>
      <c r="AC116" s="43">
        <f>'D4 Gallon Forecast'!AC246+'D6 Gallon Forecast'!AC226</f>
        <v>3675795.7526408397</v>
      </c>
      <c r="AD116" s="43">
        <f>'D4 Gallon Forecast'!AD246+'D6 Gallon Forecast'!AD226</f>
        <v>3662377.0003308752</v>
      </c>
      <c r="AE116" s="43">
        <f>'D4 Gallon Forecast'!AE246+'D6 Gallon Forecast'!AE226</f>
        <v>3635404.9038741626</v>
      </c>
      <c r="AF116" s="43">
        <f>'D4 Gallon Forecast'!AF246+'D6 Gallon Forecast'!AF226</f>
        <v>3536029.1081579574</v>
      </c>
      <c r="AG116" s="43">
        <f>'D4 Gallon Forecast'!AG246+'D6 Gallon Forecast'!AG226</f>
        <v>3636863.7614354319</v>
      </c>
      <c r="AH116" s="43">
        <f>'D4 Gallon Forecast'!AH246+'D6 Gallon Forecast'!AH226</f>
        <v>3629859.0119569371</v>
      </c>
      <c r="AI116" s="43">
        <f>'D4 Gallon Forecast'!AI246+'D6 Gallon Forecast'!AI226</f>
        <v>3619650.8473605146</v>
      </c>
      <c r="AJ116" s="43">
        <f>'D4 Gallon Forecast'!AJ246+'D6 Gallon Forecast'!AJ226</f>
        <v>3608470.1718168682</v>
      </c>
      <c r="AK116" s="43">
        <f>'D4 Gallon Forecast'!AK246+'D6 Gallon Forecast'!AK226</f>
        <v>3599824.4553540335</v>
      </c>
      <c r="AL116" s="43">
        <f>'D4 Gallon Forecast'!AL246+'D6 Gallon Forecast'!AL226</f>
        <v>3629982.2558467248</v>
      </c>
      <c r="AM116" s="43">
        <f>'D4 Gallon Forecast'!AM246+'D6 Gallon Forecast'!AM226</f>
        <v>3629294.1052878527</v>
      </c>
      <c r="AN116" s="43">
        <f>'D4 Gallon Forecast'!AN246+'D6 Gallon Forecast'!AN226</f>
        <v>3620106.7571510724</v>
      </c>
      <c r="AO116" s="43">
        <f>'D4 Gallon Forecast'!AO246+'D6 Gallon Forecast'!AO226</f>
        <v>3611561.5265570008</v>
      </c>
      <c r="AP116" s="43">
        <f>'D4 Gallon Forecast'!AP246+'D6 Gallon Forecast'!AP226</f>
        <v>3606174.580145542</v>
      </c>
      <c r="AQ116" s="43">
        <f>'D4 Gallon Forecast'!AQ246+'D6 Gallon Forecast'!AQ226</f>
        <v>3618934.6495847576</v>
      </c>
      <c r="AR116" s="43"/>
      <c r="AS116" s="44">
        <f>O116/O115-1</f>
        <v>-0.20799034637144653</v>
      </c>
    </row>
    <row r="117" spans="1:45">
      <c r="A117" s="40" t="s">
        <v>45</v>
      </c>
      <c r="B117" s="42">
        <f>'D4 Gallon Forecast'!B247+'D6 Gallon Forecast'!B227</f>
        <v>0</v>
      </c>
      <c r="C117" s="42">
        <f>'D4 Gallon Forecast'!C247+'D6 Gallon Forecast'!C227</f>
        <v>0</v>
      </c>
      <c r="D117" s="42">
        <f>'D4 Gallon Forecast'!D247+'D6 Gallon Forecast'!D227</f>
        <v>3118428</v>
      </c>
      <c r="E117" s="42">
        <f>'D4 Gallon Forecast'!E247+'D6 Gallon Forecast'!E227</f>
        <v>13007403</v>
      </c>
      <c r="F117" s="42">
        <f>'D4 Gallon Forecast'!F247+'D6 Gallon Forecast'!F227</f>
        <v>35769457</v>
      </c>
      <c r="G117" s="42">
        <f>'D4 Gallon Forecast'!G247+'D6 Gallon Forecast'!G227</f>
        <v>26064696</v>
      </c>
      <c r="H117" s="42">
        <f>'D4 Gallon Forecast'!H247+'D6 Gallon Forecast'!H227</f>
        <v>25938754</v>
      </c>
      <c r="I117" s="42">
        <f>'D4 Gallon Forecast'!I247+'D6 Gallon Forecast'!I227</f>
        <v>30878391</v>
      </c>
      <c r="J117" s="42">
        <f>'D4 Gallon Forecast'!J247+'D6 Gallon Forecast'!J227</f>
        <v>28445622</v>
      </c>
      <c r="K117" s="42">
        <f>'D4 Gallon Forecast'!K247+'D6 Gallon Forecast'!K227</f>
        <v>32948386</v>
      </c>
      <c r="L117" s="42">
        <f>'D4 Gallon Forecast'!L247+'D6 Gallon Forecast'!L227</f>
        <v>43695657</v>
      </c>
      <c r="M117" s="42">
        <f>'D4 Gallon Forecast'!M247+'D6 Gallon Forecast'!M227</f>
        <v>46570075</v>
      </c>
      <c r="N117" s="42">
        <f>'D4 Gallon Forecast'!N247+'D6 Gallon Forecast'!N227</f>
        <v>43011803</v>
      </c>
      <c r="O117" s="42">
        <f>'D4 Gallon Forecast'!O247+'D6 Gallon Forecast'!O227</f>
        <v>41029273</v>
      </c>
      <c r="P117" s="42">
        <f>'D4 Gallon Forecast'!P247+'D6 Gallon Forecast'!P227</f>
        <v>26633514</v>
      </c>
      <c r="Q117" s="42">
        <f>'D4 Gallon Forecast'!Q247+'D6 Gallon Forecast'!Q227</f>
        <v>7434618</v>
      </c>
      <c r="R117" s="43">
        <f>'D4 Gallon Forecast'!R247+'D6 Gallon Forecast'!R227</f>
        <v>23866352.757887889</v>
      </c>
      <c r="S117" s="43">
        <f>'D4 Gallon Forecast'!S247+'D6 Gallon Forecast'!S227</f>
        <v>21043662.833512601</v>
      </c>
      <c r="T117" s="43">
        <f>'D4 Gallon Forecast'!T247+'D6 Gallon Forecast'!T227</f>
        <v>17997338.760218736</v>
      </c>
      <c r="U117" s="43">
        <f>'D4 Gallon Forecast'!U247+'D6 Gallon Forecast'!U227</f>
        <v>15957494.692020211</v>
      </c>
      <c r="V117" s="43">
        <f>'D4 Gallon Forecast'!V247+'D6 Gallon Forecast'!V227</f>
        <v>13869557.203442052</v>
      </c>
      <c r="W117" s="43">
        <f>'D4 Gallon Forecast'!W247+'D6 Gallon Forecast'!W227</f>
        <v>15174721.022249699</v>
      </c>
      <c r="X117" s="43">
        <f>'D4 Gallon Forecast'!X247+'D6 Gallon Forecast'!X227</f>
        <v>13183180.315520521</v>
      </c>
      <c r="Y117" s="43">
        <f>'D4 Gallon Forecast'!Y247+'D6 Gallon Forecast'!Y227</f>
        <v>12318838.705324028</v>
      </c>
      <c r="Z117" s="43">
        <f>'D4 Gallon Forecast'!Z247+'D6 Gallon Forecast'!Z227</f>
        <v>11642828.026550615</v>
      </c>
      <c r="AA117" s="43">
        <f>'D4 Gallon Forecast'!AA247+'D6 Gallon Forecast'!AA227</f>
        <v>11680433.871721221</v>
      </c>
      <c r="AB117" s="43">
        <f>'D4 Gallon Forecast'!AB247+'D6 Gallon Forecast'!AB227</f>
        <v>4923077.0724127758</v>
      </c>
      <c r="AC117" s="43">
        <f>'D4 Gallon Forecast'!AC247+'D6 Gallon Forecast'!AC227</f>
        <v>3295795.0788801303</v>
      </c>
      <c r="AD117" s="43">
        <f>'D4 Gallon Forecast'!AD247+'D6 Gallon Forecast'!AD227</f>
        <v>3241799.6592957973</v>
      </c>
      <c r="AE117" s="43">
        <f>'D4 Gallon Forecast'!AE247+'D6 Gallon Forecast'!AE227</f>
        <v>3234118.8962640604</v>
      </c>
      <c r="AF117" s="43">
        <f>'D4 Gallon Forecast'!AF247+'D6 Gallon Forecast'!AF227</f>
        <v>3244564.9643670064</v>
      </c>
      <c r="AG117" s="43">
        <f>'D4 Gallon Forecast'!AG247+'D6 Gallon Forecast'!AG227</f>
        <v>3282051.3816085178</v>
      </c>
      <c r="AH117" s="43">
        <f>'D4 Gallon Forecast'!AH247+'D6 Gallon Forecast'!AH227</f>
        <v>3257476.2419108585</v>
      </c>
      <c r="AI117" s="43">
        <f>'D4 Gallon Forecast'!AI247+'D6 Gallon Forecast'!AI227</f>
        <v>3248960.9448065762</v>
      </c>
      <c r="AJ117" s="43">
        <f>'D4 Gallon Forecast'!AJ247+'D6 Gallon Forecast'!AJ227</f>
        <v>3250834.9260617332</v>
      </c>
      <c r="AK117" s="43">
        <f>'D4 Gallon Forecast'!AK247+'D6 Gallon Forecast'!AK227</f>
        <v>3256200.565256048</v>
      </c>
      <c r="AL117" s="43">
        <f>'D4 Gallon Forecast'!AL247+'D6 Gallon Forecast'!AL227</f>
        <v>3261701.031130868</v>
      </c>
      <c r="AM117" s="43">
        <f>'D4 Gallon Forecast'!AM247+'D6 Gallon Forecast'!AM227</f>
        <v>3259665.9960831022</v>
      </c>
      <c r="AN117" s="43">
        <f>'D4 Gallon Forecast'!AN247+'D6 Gallon Forecast'!AN227</f>
        <v>3252002.2286892487</v>
      </c>
      <c r="AO117" s="43">
        <f>'D4 Gallon Forecast'!AO247+'D6 Gallon Forecast'!AO227</f>
        <v>3253434.4857914038</v>
      </c>
      <c r="AP117" s="43">
        <f>'D4 Gallon Forecast'!AP247+'D6 Gallon Forecast'!AP227</f>
        <v>3256777.6917509385</v>
      </c>
      <c r="AQ117" s="43">
        <f>'D4 Gallon Forecast'!AQ247+'D6 Gallon Forecast'!AQ227</f>
        <v>3259105.8119287463</v>
      </c>
      <c r="AR117" s="43"/>
      <c r="AS117" s="44">
        <f t="shared" ref="AS117:AS126" si="54">M117/M116-1</f>
        <v>0.32534331231475599</v>
      </c>
    </row>
    <row r="118" spans="1:45">
      <c r="A118" s="40" t="s">
        <v>46</v>
      </c>
      <c r="B118" s="42">
        <f>'D4 Gallon Forecast'!B248+'D6 Gallon Forecast'!B228</f>
        <v>0</v>
      </c>
      <c r="C118" s="42">
        <f>'D4 Gallon Forecast'!C248+'D6 Gallon Forecast'!C228</f>
        <v>0</v>
      </c>
      <c r="D118" s="42">
        <f>'D4 Gallon Forecast'!D248+'D6 Gallon Forecast'!D228</f>
        <v>648881</v>
      </c>
      <c r="E118" s="42">
        <f>'D4 Gallon Forecast'!E248+'D6 Gallon Forecast'!E228</f>
        <v>8589960</v>
      </c>
      <c r="F118" s="42">
        <f>'D4 Gallon Forecast'!F248+'D6 Gallon Forecast'!F228</f>
        <v>38494565</v>
      </c>
      <c r="G118" s="42">
        <f>'D4 Gallon Forecast'!G248+'D6 Gallon Forecast'!G228</f>
        <v>27472168</v>
      </c>
      <c r="H118" s="42">
        <f>'D4 Gallon Forecast'!H248+'D6 Gallon Forecast'!H228</f>
        <v>34395316</v>
      </c>
      <c r="I118" s="42">
        <f>'D4 Gallon Forecast'!I248+'D6 Gallon Forecast'!I228</f>
        <v>28890013</v>
      </c>
      <c r="J118" s="42">
        <f>'D4 Gallon Forecast'!J248+'D6 Gallon Forecast'!J228</f>
        <v>31753453</v>
      </c>
      <c r="K118" s="42">
        <f>'D4 Gallon Forecast'!K248+'D6 Gallon Forecast'!K228</f>
        <v>35712304</v>
      </c>
      <c r="L118" s="42">
        <f>'D4 Gallon Forecast'!L248+'D6 Gallon Forecast'!L228</f>
        <v>34143404</v>
      </c>
      <c r="M118" s="42">
        <f>'D4 Gallon Forecast'!M248+'D6 Gallon Forecast'!M228</f>
        <v>43085986</v>
      </c>
      <c r="N118" s="42">
        <f>'D4 Gallon Forecast'!N248+'D6 Gallon Forecast'!N228</f>
        <v>43291572</v>
      </c>
      <c r="O118" s="42">
        <f>'D4 Gallon Forecast'!O248+'D6 Gallon Forecast'!O228</f>
        <v>43711679</v>
      </c>
      <c r="P118" s="42">
        <f>'D4 Gallon Forecast'!P248+'D6 Gallon Forecast'!P228</f>
        <v>27627664</v>
      </c>
      <c r="Q118" s="43">
        <f>'D4 Gallon Forecast'!Q248+'D6 Gallon Forecast'!Q228</f>
        <v>18783896.830137823</v>
      </c>
      <c r="R118" s="43">
        <f>'D4 Gallon Forecast'!R248+'D6 Gallon Forecast'!R228</f>
        <v>25636030.997711245</v>
      </c>
      <c r="S118" s="43">
        <f>'D4 Gallon Forecast'!S248+'D6 Gallon Forecast'!S228</f>
        <v>23651913.529208843</v>
      </c>
      <c r="T118" s="43">
        <f>'D4 Gallon Forecast'!T248+'D6 Gallon Forecast'!T228</f>
        <v>20835365.962812115</v>
      </c>
      <c r="U118" s="43">
        <f>'D4 Gallon Forecast'!U248+'D6 Gallon Forecast'!U228</f>
        <v>19176027.473370172</v>
      </c>
      <c r="V118" s="43">
        <f>'D4 Gallon Forecast'!V248+'D6 Gallon Forecast'!V228</f>
        <v>17370519.877485029</v>
      </c>
      <c r="W118" s="43">
        <f>'D4 Gallon Forecast'!W248+'D6 Gallon Forecast'!W228</f>
        <v>17455067.646641575</v>
      </c>
      <c r="X118" s="43">
        <f>'D4 Gallon Forecast'!X248+'D6 Gallon Forecast'!X228</f>
        <v>15449238.351296905</v>
      </c>
      <c r="Y118" s="43">
        <f>'D4 Gallon Forecast'!Y248+'D6 Gallon Forecast'!Y228</f>
        <v>14599473.761025619</v>
      </c>
      <c r="Z118" s="43">
        <f>'D4 Gallon Forecast'!Z248+'D6 Gallon Forecast'!Z228</f>
        <v>13879870.531896766</v>
      </c>
      <c r="AA118" s="43">
        <f>'D4 Gallon Forecast'!AA248+'D6 Gallon Forecast'!AA228</f>
        <v>13897794.735590452</v>
      </c>
      <c r="AB118" s="43">
        <f>'D4 Gallon Forecast'!AB248+'D6 Gallon Forecast'!AB228</f>
        <v>5790880.3866501004</v>
      </c>
      <c r="AC118" s="43">
        <f>'D4 Gallon Forecast'!AC248+'D6 Gallon Forecast'!AC228</f>
        <v>3862309.5878242264</v>
      </c>
      <c r="AD118" s="43">
        <f>'D4 Gallon Forecast'!AD248+'D6 Gallon Forecast'!AD228</f>
        <v>3841966.7792172688</v>
      </c>
      <c r="AE118" s="43">
        <f>'D4 Gallon Forecast'!AE248+'D6 Gallon Forecast'!AE228</f>
        <v>3855519.5921935472</v>
      </c>
      <c r="AF118" s="43">
        <f>'D4 Gallon Forecast'!AF248+'D6 Gallon Forecast'!AF228</f>
        <v>3860498.5376640153</v>
      </c>
      <c r="AG118" s="43">
        <f>'D4 Gallon Forecast'!AG248+'D6 Gallon Forecast'!AG228</f>
        <v>3860586.9244334013</v>
      </c>
      <c r="AH118" s="43">
        <f>'D4 Gallon Forecast'!AH248+'D6 Gallon Forecast'!AH228</f>
        <v>3855591.379785446</v>
      </c>
      <c r="AI118" s="43">
        <f>'D4 Gallon Forecast'!AI248+'D6 Gallon Forecast'!AI228</f>
        <v>3854098.4446657165</v>
      </c>
      <c r="AJ118" s="43">
        <f>'D4 Gallon Forecast'!AJ248+'D6 Gallon Forecast'!AJ228</f>
        <v>3857273.0860914784</v>
      </c>
      <c r="AK118" s="43">
        <f>'D4 Gallon Forecast'!AK248+'D6 Gallon Forecast'!AK228</f>
        <v>3857835.9359846418</v>
      </c>
      <c r="AL118" s="43">
        <f>'D4 Gallon Forecast'!AL248+'D6 Gallon Forecast'!AL228</f>
        <v>3856577.2515543932</v>
      </c>
      <c r="AM118" s="43">
        <f>'D4 Gallon Forecast'!AM248+'D6 Gallon Forecast'!AM228</f>
        <v>3856176.2842664924</v>
      </c>
      <c r="AN118" s="43">
        <f>'D4 Gallon Forecast'!AN248+'D6 Gallon Forecast'!AN228</f>
        <v>3854832.6426587361</v>
      </c>
      <c r="AO118" s="43">
        <f>'D4 Gallon Forecast'!AO248+'D6 Gallon Forecast'!AO228</f>
        <v>3857258.9757484249</v>
      </c>
      <c r="AP118" s="43">
        <f>'D4 Gallon Forecast'!AP248+'D6 Gallon Forecast'!AP228</f>
        <v>3857609.6745280121</v>
      </c>
      <c r="AQ118" s="43">
        <f>'D4 Gallon Forecast'!AQ248+'D6 Gallon Forecast'!AQ228</f>
        <v>3857078.1541921371</v>
      </c>
      <c r="AR118" s="43"/>
      <c r="AS118" s="44">
        <f t="shared" si="54"/>
        <v>-7.4813901416306505E-2</v>
      </c>
    </row>
    <row r="119" spans="1:45">
      <c r="A119" s="40" t="s">
        <v>47</v>
      </c>
      <c r="B119" s="42">
        <f>'D4 Gallon Forecast'!B249+'D6 Gallon Forecast'!B229</f>
        <v>0</v>
      </c>
      <c r="C119" s="42">
        <f>'D4 Gallon Forecast'!C249+'D6 Gallon Forecast'!C229</f>
        <v>0</v>
      </c>
      <c r="D119" s="42">
        <f>'D4 Gallon Forecast'!D249+'D6 Gallon Forecast'!D229</f>
        <v>3437634</v>
      </c>
      <c r="E119" s="42">
        <f>'D4 Gallon Forecast'!E249+'D6 Gallon Forecast'!E229</f>
        <v>23447487</v>
      </c>
      <c r="F119" s="42">
        <f>'D4 Gallon Forecast'!F249+'D6 Gallon Forecast'!F229</f>
        <v>29257927</v>
      </c>
      <c r="G119" s="42">
        <f>'D4 Gallon Forecast'!G249+'D6 Gallon Forecast'!G229</f>
        <v>30007923</v>
      </c>
      <c r="H119" s="42">
        <f>'D4 Gallon Forecast'!H249+'D6 Gallon Forecast'!H229</f>
        <v>31019277</v>
      </c>
      <c r="I119" s="42">
        <f>'D4 Gallon Forecast'!I249+'D6 Gallon Forecast'!I229</f>
        <v>30832290</v>
      </c>
      <c r="J119" s="42">
        <f>'D4 Gallon Forecast'!J249+'D6 Gallon Forecast'!J229</f>
        <v>31714034</v>
      </c>
      <c r="K119" s="42">
        <f>'D4 Gallon Forecast'!K249+'D6 Gallon Forecast'!K229</f>
        <v>36623654</v>
      </c>
      <c r="L119" s="42">
        <f>'D4 Gallon Forecast'!L249+'D6 Gallon Forecast'!L229</f>
        <v>35796446</v>
      </c>
      <c r="M119" s="42">
        <f>'D4 Gallon Forecast'!M249+'D6 Gallon Forecast'!M229</f>
        <v>38273455</v>
      </c>
      <c r="N119" s="42">
        <f>'D4 Gallon Forecast'!N249+'D6 Gallon Forecast'!N229</f>
        <v>44935719</v>
      </c>
      <c r="O119" s="42">
        <f>'D4 Gallon Forecast'!O249+'D6 Gallon Forecast'!O229</f>
        <v>55758515</v>
      </c>
      <c r="P119" s="42">
        <f>'D4 Gallon Forecast'!P249+'D6 Gallon Forecast'!P229</f>
        <v>29680714</v>
      </c>
      <c r="Q119" s="43">
        <f>'D4 Gallon Forecast'!Q249+'D6 Gallon Forecast'!Q229</f>
        <v>20510382.244069804</v>
      </c>
      <c r="R119" s="43">
        <f>'D4 Gallon Forecast'!R249+'D6 Gallon Forecast'!R229</f>
        <v>27054449.148971412</v>
      </c>
      <c r="S119" s="43">
        <f>'D4 Gallon Forecast'!S249+'D6 Gallon Forecast'!S229</f>
        <v>25954708.324242711</v>
      </c>
      <c r="T119" s="43">
        <f>'D4 Gallon Forecast'!T249+'D6 Gallon Forecast'!T229</f>
        <v>23374585.168831293</v>
      </c>
      <c r="U119" s="43">
        <f>'D4 Gallon Forecast'!U249+'D6 Gallon Forecast'!U229</f>
        <v>20828122.607654978</v>
      </c>
      <c r="V119" s="43">
        <f>'D4 Gallon Forecast'!V249+'D6 Gallon Forecast'!V229</f>
        <v>18919646.918641642</v>
      </c>
      <c r="W119" s="43">
        <f>'D4 Gallon Forecast'!W249+'D6 Gallon Forecast'!W229</f>
        <v>19003338.354819603</v>
      </c>
      <c r="X119" s="43">
        <f>'D4 Gallon Forecast'!X249+'D6 Gallon Forecast'!X229</f>
        <v>16953788.45085337</v>
      </c>
      <c r="Y119" s="43">
        <f>'D4 Gallon Forecast'!Y249+'D6 Gallon Forecast'!Y229</f>
        <v>16021362.96608695</v>
      </c>
      <c r="Z119" s="43">
        <f>'D4 Gallon Forecast'!Z249+'D6 Gallon Forecast'!Z229</f>
        <v>15147455.663899247</v>
      </c>
      <c r="AA119" s="43">
        <f>'D4 Gallon Forecast'!AA249+'D6 Gallon Forecast'!AA229</f>
        <v>15184516.297817789</v>
      </c>
      <c r="AB119" s="43">
        <f>'D4 Gallon Forecast'!AB249+'D6 Gallon Forecast'!AB229</f>
        <v>6331573.9794982271</v>
      </c>
      <c r="AC119" s="43">
        <f>'D4 Gallon Forecast'!AC249+'D6 Gallon Forecast'!AC229</f>
        <v>4238447.1127133425</v>
      </c>
      <c r="AD119" s="43">
        <f>'D4 Gallon Forecast'!AD249+'D6 Gallon Forecast'!AD229</f>
        <v>4216148.148970251</v>
      </c>
      <c r="AE119" s="43">
        <f>'D4 Gallon Forecast'!AE249+'D6 Gallon Forecast'!AE229</f>
        <v>4207626.573305347</v>
      </c>
      <c r="AF119" s="43">
        <f>'D4 Gallon Forecast'!AF249+'D6 Gallon Forecast'!AF229</f>
        <v>4217921.193838276</v>
      </c>
      <c r="AG119" s="43">
        <f>'D4 Gallon Forecast'!AG249+'D6 Gallon Forecast'!AG229</f>
        <v>4221049.319665486</v>
      </c>
      <c r="AH119" s="43">
        <f>'D4 Gallon Forecast'!AH249+'D6 Gallon Forecast'!AH229</f>
        <v>4220527.1126154903</v>
      </c>
      <c r="AI119" s="43">
        <f>'D4 Gallon Forecast'!AI249+'D6 Gallon Forecast'!AI229</f>
        <v>4216544.8903715238</v>
      </c>
      <c r="AJ119" s="43">
        <f>'D4 Gallon Forecast'!AJ249+'D6 Gallon Forecast'!AJ229</f>
        <v>4216648.7105512964</v>
      </c>
      <c r="AK119" s="43">
        <f>'D4 Gallon Forecast'!AK249+'D6 Gallon Forecast'!AK229</f>
        <v>4219544.7052228348</v>
      </c>
      <c r="AL119" s="43">
        <f>'D4 Gallon Forecast'!AL249+'D6 Gallon Forecast'!AL229</f>
        <v>4220312.1833318993</v>
      </c>
      <c r="AM119" s="43">
        <f>'D4 Gallon Forecast'!AM249+'D6 Gallon Forecast'!AM229</f>
        <v>4220238.4696985409</v>
      </c>
      <c r="AN119" s="43">
        <f>'D4 Gallon Forecast'!AN249+'D6 Gallon Forecast'!AN229</f>
        <v>4216654.4696789701</v>
      </c>
      <c r="AO119" s="43">
        <f>'D4 Gallon Forecast'!AO249+'D6 Gallon Forecast'!AO229</f>
        <v>4216733.8179592248</v>
      </c>
      <c r="AP119" s="43">
        <f>'D4 Gallon Forecast'!AP249+'D6 Gallon Forecast'!AP229</f>
        <v>4218538.2454084139</v>
      </c>
      <c r="AQ119" s="43">
        <f>'D4 Gallon Forecast'!AQ249+'D6 Gallon Forecast'!AQ229</f>
        <v>4218863.9476853264</v>
      </c>
      <c r="AR119" s="43"/>
      <c r="AS119" s="44">
        <f t="shared" si="54"/>
        <v>-0.11169597000751008</v>
      </c>
    </row>
    <row r="120" spans="1:45">
      <c r="A120" s="40" t="s">
        <v>48</v>
      </c>
      <c r="B120" s="42">
        <f>'D4 Gallon Forecast'!B250+'D6 Gallon Forecast'!B230</f>
        <v>0</v>
      </c>
      <c r="C120" s="42">
        <f>'D4 Gallon Forecast'!C250+'D6 Gallon Forecast'!C230</f>
        <v>0</v>
      </c>
      <c r="D120" s="42">
        <f>'D4 Gallon Forecast'!D250+'D6 Gallon Forecast'!D230</f>
        <v>2690200</v>
      </c>
      <c r="E120" s="42">
        <f>'D4 Gallon Forecast'!E250+'D6 Gallon Forecast'!E230</f>
        <v>23618469</v>
      </c>
      <c r="F120" s="42">
        <f>'D4 Gallon Forecast'!F250+'D6 Gallon Forecast'!F230</f>
        <v>32073850</v>
      </c>
      <c r="G120" s="42">
        <f>'D4 Gallon Forecast'!G250+'D6 Gallon Forecast'!G230</f>
        <v>27769942</v>
      </c>
      <c r="H120" s="42">
        <f>'D4 Gallon Forecast'!H250+'D6 Gallon Forecast'!H230</f>
        <v>29704812</v>
      </c>
      <c r="I120" s="42">
        <f>'D4 Gallon Forecast'!I250+'D6 Gallon Forecast'!I230</f>
        <v>27728403</v>
      </c>
      <c r="J120" s="42">
        <f>'D4 Gallon Forecast'!J250+'D6 Gallon Forecast'!J230</f>
        <v>28811262</v>
      </c>
      <c r="K120" s="42">
        <f>'D4 Gallon Forecast'!K250+'D6 Gallon Forecast'!K230</f>
        <v>35745741</v>
      </c>
      <c r="L120" s="42">
        <f>'D4 Gallon Forecast'!L250+'D6 Gallon Forecast'!L230</f>
        <v>21827208</v>
      </c>
      <c r="M120" s="42">
        <f>'D4 Gallon Forecast'!M250+'D6 Gallon Forecast'!M230</f>
        <v>44681302</v>
      </c>
      <c r="N120" s="42">
        <f>'D4 Gallon Forecast'!N250+'D6 Gallon Forecast'!N230</f>
        <v>34653522</v>
      </c>
      <c r="O120" s="42">
        <f>'D4 Gallon Forecast'!O250+'D6 Gallon Forecast'!O230</f>
        <v>38408311</v>
      </c>
      <c r="P120" s="42">
        <f>'D4 Gallon Forecast'!P250+'D6 Gallon Forecast'!P230</f>
        <v>56471169</v>
      </c>
      <c r="Q120" s="43">
        <f>'D4 Gallon Forecast'!Q250+'D6 Gallon Forecast'!Q230</f>
        <v>20293640.747774504</v>
      </c>
      <c r="R120" s="43">
        <f>'D4 Gallon Forecast'!R250+'D6 Gallon Forecast'!R230</f>
        <v>29292945.59642696</v>
      </c>
      <c r="S120" s="43">
        <f>'D4 Gallon Forecast'!S250+'D6 Gallon Forecast'!S230</f>
        <v>27714957.653552011</v>
      </c>
      <c r="T120" s="43">
        <f>'D4 Gallon Forecast'!T250+'D6 Gallon Forecast'!T230</f>
        <v>26536959.200748578</v>
      </c>
      <c r="U120" s="43">
        <f>'D4 Gallon Forecast'!U250+'D6 Gallon Forecast'!U230</f>
        <v>26379251.493636698</v>
      </c>
      <c r="V120" s="43">
        <f>'D4 Gallon Forecast'!V250+'D6 Gallon Forecast'!V230</f>
        <v>20927853.432665158</v>
      </c>
      <c r="W120" s="43">
        <f>'D4 Gallon Forecast'!W250+'D6 Gallon Forecast'!W230</f>
        <v>21412140.116241176</v>
      </c>
      <c r="X120" s="43">
        <f>'D4 Gallon Forecast'!X250+'D6 Gallon Forecast'!X230</f>
        <v>19289594.023034297</v>
      </c>
      <c r="Y120" s="43">
        <f>'D4 Gallon Forecast'!Y250+'D6 Gallon Forecast'!Y230</f>
        <v>18522299.294129293</v>
      </c>
      <c r="Z120" s="43">
        <f>'D4 Gallon Forecast'!Z250+'D6 Gallon Forecast'!Z230</f>
        <v>17592298.077749718</v>
      </c>
      <c r="AA120" s="43">
        <f>'D4 Gallon Forecast'!AA250+'D6 Gallon Forecast'!AA230</f>
        <v>17248973.813615233</v>
      </c>
      <c r="AB120" s="43">
        <f>'D4 Gallon Forecast'!AB250+'D6 Gallon Forecast'!AB230</f>
        <v>7235792.7172899777</v>
      </c>
      <c r="AC120" s="43">
        <f>'D4 Gallon Forecast'!AC250+'D6 Gallon Forecast'!AC230</f>
        <v>4822398.5057585742</v>
      </c>
      <c r="AD120" s="43">
        <f>'D4 Gallon Forecast'!AD250+'D6 Gallon Forecast'!AD230</f>
        <v>4874289.2879287619</v>
      </c>
      <c r="AE120" s="43">
        <f>'D4 Gallon Forecast'!AE250+'D6 Gallon Forecast'!AE230</f>
        <v>4886749.4660415892</v>
      </c>
      <c r="AF120" s="43">
        <f>'D4 Gallon Forecast'!AF250+'D6 Gallon Forecast'!AF230</f>
        <v>4791381.6148931207</v>
      </c>
      <c r="AG120" s="43">
        <f>'D4 Gallon Forecast'!AG250+'D6 Gallon Forecast'!AG230</f>
        <v>4823861.8115266534</v>
      </c>
      <c r="AH120" s="43">
        <f>'D4 Gallon Forecast'!AH250+'D6 Gallon Forecast'!AH230</f>
        <v>4841755.0258071842</v>
      </c>
      <c r="AI120" s="43">
        <f>'D4 Gallon Forecast'!AI250+'D6 Gallon Forecast'!AI230</f>
        <v>4846056.4747068742</v>
      </c>
      <c r="AJ120" s="43">
        <f>'D4 Gallon Forecast'!AJ250+'D6 Gallon Forecast'!AJ230</f>
        <v>4838668.4488170343</v>
      </c>
      <c r="AK120" s="43">
        <f>'D4 Gallon Forecast'!AK250+'D6 Gallon Forecast'!AK230</f>
        <v>4823235.0358807584</v>
      </c>
      <c r="AL120" s="43">
        <f>'D4 Gallon Forecast'!AL250+'D6 Gallon Forecast'!AL230</f>
        <v>4838293.016711277</v>
      </c>
      <c r="AM120" s="43">
        <f>'D4 Gallon Forecast'!AM250+'D6 Gallon Forecast'!AM230</f>
        <v>4839736.1372297406</v>
      </c>
      <c r="AN120" s="43">
        <f>'D4 Gallon Forecast'!AN250+'D6 Gallon Forecast'!AN230</f>
        <v>4843607.4412394613</v>
      </c>
      <c r="AO120" s="43">
        <f>'D4 Gallon Forecast'!AO250+'D6 Gallon Forecast'!AO230</f>
        <v>4837960.878595084</v>
      </c>
      <c r="AP120" s="43">
        <f>'D4 Gallon Forecast'!AP250+'D6 Gallon Forecast'!AP230</f>
        <v>4828344.6751501728</v>
      </c>
      <c r="AQ120" s="43">
        <f>'D4 Gallon Forecast'!AQ250+'D6 Gallon Forecast'!AQ230</f>
        <v>4834716.3593477011</v>
      </c>
      <c r="AR120" s="43"/>
      <c r="AS120" s="44">
        <f t="shared" si="54"/>
        <v>0.16742274769811094</v>
      </c>
    </row>
    <row r="121" spans="1:45">
      <c r="A121" s="40" t="s">
        <v>49</v>
      </c>
      <c r="B121" s="42">
        <f>'D4 Gallon Forecast'!B251+'D6 Gallon Forecast'!B231</f>
        <v>0</v>
      </c>
      <c r="C121" s="42">
        <f>'D4 Gallon Forecast'!C251+'D6 Gallon Forecast'!C231</f>
        <v>0</v>
      </c>
      <c r="D121" s="42">
        <f>'D4 Gallon Forecast'!D251+'D6 Gallon Forecast'!D231</f>
        <v>3085274</v>
      </c>
      <c r="E121" s="42">
        <f>'D4 Gallon Forecast'!E251+'D6 Gallon Forecast'!E231</f>
        <v>33218452</v>
      </c>
      <c r="F121" s="42">
        <f>'D4 Gallon Forecast'!F251+'D6 Gallon Forecast'!F231</f>
        <v>38563530</v>
      </c>
      <c r="G121" s="42">
        <f>'D4 Gallon Forecast'!G251+'D6 Gallon Forecast'!G231</f>
        <v>30307441</v>
      </c>
      <c r="H121" s="42">
        <f>'D4 Gallon Forecast'!H251+'D6 Gallon Forecast'!H231</f>
        <v>30723688</v>
      </c>
      <c r="I121" s="42">
        <f>'D4 Gallon Forecast'!I251+'D6 Gallon Forecast'!I231</f>
        <v>30797970</v>
      </c>
      <c r="J121" s="42">
        <f>'D4 Gallon Forecast'!J251+'D6 Gallon Forecast'!J231</f>
        <v>29674375</v>
      </c>
      <c r="K121" s="42">
        <f>'D4 Gallon Forecast'!K251+'D6 Gallon Forecast'!K231</f>
        <v>36893681</v>
      </c>
      <c r="L121" s="42">
        <f>'D4 Gallon Forecast'!L251+'D6 Gallon Forecast'!L231</f>
        <v>21925486</v>
      </c>
      <c r="M121" s="42">
        <f>'D4 Gallon Forecast'!M251+'D6 Gallon Forecast'!M231</f>
        <v>1808458</v>
      </c>
      <c r="N121" s="42">
        <f>'D4 Gallon Forecast'!N251+'D6 Gallon Forecast'!N231</f>
        <v>15245724</v>
      </c>
      <c r="O121" s="42">
        <f>'D4 Gallon Forecast'!O251+'D6 Gallon Forecast'!O231</f>
        <v>47149908</v>
      </c>
      <c r="P121" s="42">
        <f>'D4 Gallon Forecast'!P251+'D6 Gallon Forecast'!P231</f>
        <v>22045675</v>
      </c>
      <c r="Q121" s="43">
        <f>'D4 Gallon Forecast'!Q251+'D6 Gallon Forecast'!Q231</f>
        <v>14613410.606759492</v>
      </c>
      <c r="R121" s="43">
        <f>'D4 Gallon Forecast'!R251+'D6 Gallon Forecast'!R231</f>
        <v>15307116.154142732</v>
      </c>
      <c r="S121" s="43">
        <f>'D4 Gallon Forecast'!S251+'D6 Gallon Forecast'!S231</f>
        <v>17284380.951269526</v>
      </c>
      <c r="T121" s="43">
        <f>'D4 Gallon Forecast'!T251+'D6 Gallon Forecast'!T231</f>
        <v>17840507.414250024</v>
      </c>
      <c r="U121" s="43">
        <f>'D4 Gallon Forecast'!U251+'D6 Gallon Forecast'!U231</f>
        <v>14330999.108120734</v>
      </c>
      <c r="V121" s="43">
        <f>'D4 Gallon Forecast'!V251+'D6 Gallon Forecast'!V231</f>
        <v>12756923.716265758</v>
      </c>
      <c r="W121" s="43">
        <f>'D4 Gallon Forecast'!W251+'D6 Gallon Forecast'!W231</f>
        <v>12685079.019935252</v>
      </c>
      <c r="X121" s="43">
        <f>'D4 Gallon Forecast'!X251+'D6 Gallon Forecast'!X231</f>
        <v>11748688.660367265</v>
      </c>
      <c r="Y121" s="43">
        <f>'D4 Gallon Forecast'!Y251+'D6 Gallon Forecast'!Y231</f>
        <v>11216014.982636947</v>
      </c>
      <c r="Z121" s="43">
        <f>'D4 Gallon Forecast'!Z251+'D6 Gallon Forecast'!Z231</f>
        <v>10360355.034604285</v>
      </c>
      <c r="AA121" s="43">
        <f>'D4 Gallon Forecast'!AA251+'D6 Gallon Forecast'!AA231</f>
        <v>10370657.896554619</v>
      </c>
      <c r="AB121" s="43">
        <f>'D4 Gallon Forecast'!AB251+'D6 Gallon Forecast'!AB231</f>
        <v>4336984.276469104</v>
      </c>
      <c r="AC121" s="43">
        <f>'D4 Gallon Forecast'!AC251+'D6 Gallon Forecast'!AC231</f>
        <v>2937172.1650918163</v>
      </c>
      <c r="AD121" s="43">
        <f>'D4 Gallon Forecast'!AD251+'D6 Gallon Forecast'!AD231</f>
        <v>2951582.8901676182</v>
      </c>
      <c r="AE121" s="43">
        <f>'D4 Gallon Forecast'!AE251+'D6 Gallon Forecast'!AE231</f>
        <v>2877876.3985011908</v>
      </c>
      <c r="AF121" s="43">
        <f>'D4 Gallon Forecast'!AF251+'D6 Gallon Forecast'!AF231</f>
        <v>2880738.3045985061</v>
      </c>
      <c r="AG121" s="43">
        <f>'D4 Gallon Forecast'!AG251+'D6 Gallon Forecast'!AG231</f>
        <v>2891322.8509794036</v>
      </c>
      <c r="AH121" s="43">
        <f>'D4 Gallon Forecast'!AH251+'D6 Gallon Forecast'!AH231</f>
        <v>2911072.7788261957</v>
      </c>
      <c r="AI121" s="43">
        <f>'D4 Gallon Forecast'!AI251+'D6 Gallon Forecast'!AI231</f>
        <v>2905272.9152116128</v>
      </c>
      <c r="AJ121" s="43">
        <f>'D4 Gallon Forecast'!AJ251+'D6 Gallon Forecast'!AJ231</f>
        <v>2893154.4170922847</v>
      </c>
      <c r="AK121" s="43">
        <f>'D4 Gallon Forecast'!AK251+'D6 Gallon Forecast'!AK231</f>
        <v>2898058.4724425129</v>
      </c>
      <c r="AL121" s="43">
        <f>'D4 Gallon Forecast'!AL251+'D6 Gallon Forecast'!AL231</f>
        <v>2906246.1881505889</v>
      </c>
      <c r="AM121" s="43">
        <f>'D4 Gallon Forecast'!AM251+'D6 Gallon Forecast'!AM231</f>
        <v>2907738.5218677074</v>
      </c>
      <c r="AN121" s="43">
        <f>'D4 Gallon Forecast'!AN251+'D6 Gallon Forecast'!AN231</f>
        <v>2902518.6446145838</v>
      </c>
      <c r="AO121" s="43">
        <f>'D4 Gallon Forecast'!AO251+'D6 Gallon Forecast'!AO231</f>
        <v>2893256.6496233819</v>
      </c>
      <c r="AP121" s="43">
        <f>'D4 Gallon Forecast'!AP251+'D6 Gallon Forecast'!AP231</f>
        <v>2896312.2533416003</v>
      </c>
      <c r="AQ121" s="43">
        <f>'D4 Gallon Forecast'!AQ251+'D6 Gallon Forecast'!AQ231</f>
        <v>2899777.2869104021</v>
      </c>
      <c r="AR121" s="43"/>
      <c r="AS121" s="44">
        <f t="shared" si="54"/>
        <v>-0.95952539610416898</v>
      </c>
    </row>
    <row r="122" spans="1:45">
      <c r="A122" s="40" t="s">
        <v>50</v>
      </c>
      <c r="B122" s="42">
        <f>'D4 Gallon Forecast'!B252+'D6 Gallon Forecast'!B232</f>
        <v>0</v>
      </c>
      <c r="C122" s="42">
        <f>'D4 Gallon Forecast'!C252+'D6 Gallon Forecast'!C232</f>
        <v>0</v>
      </c>
      <c r="D122" s="42">
        <f>'D4 Gallon Forecast'!D252+'D6 Gallon Forecast'!D232</f>
        <v>1030821</v>
      </c>
      <c r="E122" s="42">
        <f>'D4 Gallon Forecast'!E252+'D6 Gallon Forecast'!E232</f>
        <v>35688974</v>
      </c>
      <c r="F122" s="42">
        <f>'D4 Gallon Forecast'!F252+'D6 Gallon Forecast'!F232</f>
        <v>28467617</v>
      </c>
      <c r="G122" s="42">
        <f>'D4 Gallon Forecast'!G252+'D6 Gallon Forecast'!G232</f>
        <v>29977019</v>
      </c>
      <c r="H122" s="42">
        <f>'D4 Gallon Forecast'!H252+'D6 Gallon Forecast'!H232</f>
        <v>31186692</v>
      </c>
      <c r="I122" s="42">
        <f>'D4 Gallon Forecast'!I252+'D6 Gallon Forecast'!I232</f>
        <v>31467596</v>
      </c>
      <c r="J122" s="42">
        <f>'D4 Gallon Forecast'!J252+'D6 Gallon Forecast'!J232</f>
        <v>29795498</v>
      </c>
      <c r="K122" s="42">
        <f>'D4 Gallon Forecast'!K252+'D6 Gallon Forecast'!K232</f>
        <v>29840623</v>
      </c>
      <c r="L122" s="42">
        <f>'D4 Gallon Forecast'!L252+'D6 Gallon Forecast'!L232</f>
        <v>24200463</v>
      </c>
      <c r="M122" s="42">
        <f>'D4 Gallon Forecast'!M252+'D6 Gallon Forecast'!M232</f>
        <v>27890042</v>
      </c>
      <c r="N122" s="42">
        <f>'D4 Gallon Forecast'!N252+'D6 Gallon Forecast'!N232</f>
        <v>13400586</v>
      </c>
      <c r="O122" s="42">
        <f>'D4 Gallon Forecast'!O252+'D6 Gallon Forecast'!O232</f>
        <v>9015174</v>
      </c>
      <c r="P122" s="42">
        <f>'D4 Gallon Forecast'!P252+'D6 Gallon Forecast'!P232</f>
        <v>22976837</v>
      </c>
      <c r="Q122" s="43">
        <f>'D4 Gallon Forecast'!Q252+'D6 Gallon Forecast'!Q232</f>
        <v>13889072.991061935</v>
      </c>
      <c r="R122" s="43">
        <f>'D4 Gallon Forecast'!R252+'D6 Gallon Forecast'!R232</f>
        <v>13809419.090967605</v>
      </c>
      <c r="S122" s="43">
        <f>'D4 Gallon Forecast'!S252+'D6 Gallon Forecast'!S232</f>
        <v>11673993.698898958</v>
      </c>
      <c r="T122" s="43">
        <f>'D4 Gallon Forecast'!T252+'D6 Gallon Forecast'!T232</f>
        <v>11468099.439572299</v>
      </c>
      <c r="U122" s="43">
        <f>'D4 Gallon Forecast'!U252+'D6 Gallon Forecast'!U232</f>
        <v>12146792.633668374</v>
      </c>
      <c r="V122" s="43">
        <f>'D4 Gallon Forecast'!V252+'D6 Gallon Forecast'!V232</f>
        <v>10122971.440848617</v>
      </c>
      <c r="W122" s="43">
        <f>'D4 Gallon Forecast'!W252+'D6 Gallon Forecast'!W232</f>
        <v>9690754.3042836841</v>
      </c>
      <c r="X122" s="43">
        <f>'D4 Gallon Forecast'!X252+'D6 Gallon Forecast'!X232</f>
        <v>8643546.90467011</v>
      </c>
      <c r="Y122" s="43">
        <f>'D4 Gallon Forecast'!Y252+'D6 Gallon Forecast'!Y232</f>
        <v>8420179.8275559042</v>
      </c>
      <c r="Z122" s="43">
        <f>'D4 Gallon Forecast'!Z252+'D6 Gallon Forecast'!Z232</f>
        <v>8095746.8990686275</v>
      </c>
      <c r="AA122" s="43">
        <f>'D4 Gallon Forecast'!AA252+'D6 Gallon Forecast'!AA232</f>
        <v>7936446.948781224</v>
      </c>
      <c r="AB122" s="43">
        <f>'D4 Gallon Forecast'!AB252+'D6 Gallon Forecast'!AB232</f>
        <v>3291282.6834122729</v>
      </c>
      <c r="AC122" s="43">
        <f>'D4 Gallon Forecast'!AC252+'D6 Gallon Forecast'!AC232</f>
        <v>2160886.7261675275</v>
      </c>
      <c r="AD122" s="43">
        <f>'D4 Gallon Forecast'!AD252+'D6 Gallon Forecast'!AD232</f>
        <v>2215836.7967252382</v>
      </c>
      <c r="AE122" s="43">
        <f>'D4 Gallon Forecast'!AE252+'D6 Gallon Forecast'!AE232</f>
        <v>2248818.5830746191</v>
      </c>
      <c r="AF122" s="43">
        <f>'D4 Gallon Forecast'!AF252+'D6 Gallon Forecast'!AF232</f>
        <v>2204568.5968836737</v>
      </c>
      <c r="AG122" s="43">
        <f>'D4 Gallon Forecast'!AG252+'D6 Gallon Forecast'!AG232</f>
        <v>2194188.4556081826</v>
      </c>
      <c r="AH122" s="43">
        <f>'D4 Gallon Forecast'!AH252+'D6 Gallon Forecast'!AH232</f>
        <v>2205285.0462720091</v>
      </c>
      <c r="AI122" s="43">
        <f>'D4 Gallon Forecast'!AI252+'D6 Gallon Forecast'!AI232</f>
        <v>2215151.33962856</v>
      </c>
      <c r="AJ122" s="43">
        <f>'D4 Gallon Forecast'!AJ252+'D6 Gallon Forecast'!AJ232</f>
        <v>2214971.9676780277</v>
      </c>
      <c r="AK122" s="43">
        <f>'D4 Gallon Forecast'!AK252+'D6 Gallon Forecast'!AK232</f>
        <v>2204107.6219951711</v>
      </c>
      <c r="AL122" s="43">
        <f>'D4 Gallon Forecast'!AL252+'D6 Gallon Forecast'!AL232</f>
        <v>2203889.7065933333</v>
      </c>
      <c r="AM122" s="43">
        <f>'D4 Gallon Forecast'!AM252+'D6 Gallon Forecast'!AM232</f>
        <v>2204859.8316918486</v>
      </c>
      <c r="AN122" s="43">
        <f>'D4 Gallon Forecast'!AN252+'D6 Gallon Forecast'!AN232</f>
        <v>2213739.4957127445</v>
      </c>
      <c r="AO122" s="43">
        <f>'D4 Gallon Forecast'!AO252+'D6 Gallon Forecast'!AO232</f>
        <v>2213602.4042934091</v>
      </c>
      <c r="AP122" s="43">
        <f>'D4 Gallon Forecast'!AP252+'D6 Gallon Forecast'!AP232</f>
        <v>2206833.0812140908</v>
      </c>
      <c r="AQ122" s="43">
        <f>'D4 Gallon Forecast'!AQ252+'D6 Gallon Forecast'!AQ232</f>
        <v>2206741.8862363901</v>
      </c>
      <c r="AR122" s="43"/>
      <c r="AS122" s="44">
        <f t="shared" si="54"/>
        <v>14.422001506255606</v>
      </c>
    </row>
    <row r="123" spans="1:45">
      <c r="A123" s="40" t="s">
        <v>51</v>
      </c>
      <c r="B123" s="42">
        <f>'D4 Gallon Forecast'!B253+'D6 Gallon Forecast'!B233</f>
        <v>0</v>
      </c>
      <c r="C123" s="42">
        <f>'D4 Gallon Forecast'!C253+'D6 Gallon Forecast'!C233</f>
        <v>0</v>
      </c>
      <c r="D123" s="42">
        <f>'D4 Gallon Forecast'!D253+'D6 Gallon Forecast'!D233</f>
        <v>8813936</v>
      </c>
      <c r="E123" s="42">
        <f>'D4 Gallon Forecast'!E253+'D6 Gallon Forecast'!E233</f>
        <v>36721277</v>
      </c>
      <c r="F123" s="42">
        <f>'D4 Gallon Forecast'!F253+'D6 Gallon Forecast'!F233</f>
        <v>0</v>
      </c>
      <c r="G123" s="42">
        <f>'D4 Gallon Forecast'!G253+'D6 Gallon Forecast'!G233</f>
        <v>27810105</v>
      </c>
      <c r="H123" s="42">
        <f>'D4 Gallon Forecast'!H253+'D6 Gallon Forecast'!H233</f>
        <v>29858022</v>
      </c>
      <c r="I123" s="42">
        <f>'D4 Gallon Forecast'!I253+'D6 Gallon Forecast'!I233</f>
        <v>28723162</v>
      </c>
      <c r="J123" s="42">
        <f>'D4 Gallon Forecast'!J253+'D6 Gallon Forecast'!J233</f>
        <v>22397593</v>
      </c>
      <c r="K123" s="42">
        <f>'D4 Gallon Forecast'!K253+'D6 Gallon Forecast'!K233</f>
        <v>27898130</v>
      </c>
      <c r="L123" s="42">
        <f>'D4 Gallon Forecast'!L253+'D6 Gallon Forecast'!L233</f>
        <v>55120083</v>
      </c>
      <c r="M123" s="42">
        <f>'D4 Gallon Forecast'!M253+'D6 Gallon Forecast'!M233</f>
        <v>47663087</v>
      </c>
      <c r="N123" s="42">
        <f>'D4 Gallon Forecast'!N253+'D6 Gallon Forecast'!N233</f>
        <v>42101847</v>
      </c>
      <c r="O123" s="42">
        <f>'D4 Gallon Forecast'!O253+'D6 Gallon Forecast'!O233</f>
        <v>7533913</v>
      </c>
      <c r="P123" s="42">
        <f>'D4 Gallon Forecast'!P253+'D6 Gallon Forecast'!P233</f>
        <v>18250310</v>
      </c>
      <c r="Q123" s="43">
        <f>'D4 Gallon Forecast'!Q253+'D6 Gallon Forecast'!Q233</f>
        <v>18042274.536135055</v>
      </c>
      <c r="R123" s="43">
        <f>'D4 Gallon Forecast'!R253+'D6 Gallon Forecast'!R233</f>
        <v>19793062.848750956</v>
      </c>
      <c r="S123" s="43">
        <f>'D4 Gallon Forecast'!S253+'D6 Gallon Forecast'!S233</f>
        <v>16022774.236714164</v>
      </c>
      <c r="T123" s="43">
        <f>'D4 Gallon Forecast'!T253+'D6 Gallon Forecast'!T233</f>
        <v>12737771.041761836</v>
      </c>
      <c r="U123" s="43">
        <f>'D4 Gallon Forecast'!U253+'D6 Gallon Forecast'!U233</f>
        <v>13961597.100472977</v>
      </c>
      <c r="V123" s="43">
        <f>'D4 Gallon Forecast'!V253+'D6 Gallon Forecast'!V233</f>
        <v>12946737.819187766</v>
      </c>
      <c r="W123" s="43">
        <f>'D4 Gallon Forecast'!W253+'D6 Gallon Forecast'!W233</f>
        <v>12348317.953127079</v>
      </c>
      <c r="X123" s="43">
        <f>'D4 Gallon Forecast'!X253+'D6 Gallon Forecast'!X233</f>
        <v>10669364.415884525</v>
      </c>
      <c r="Y123" s="43">
        <f>'D4 Gallon Forecast'!Y253+'D6 Gallon Forecast'!Y233</f>
        <v>10132867.900240419</v>
      </c>
      <c r="Z123" s="43">
        <f>'D4 Gallon Forecast'!Z253+'D6 Gallon Forecast'!Z233</f>
        <v>9917981.0403709169</v>
      </c>
      <c r="AA123" s="43">
        <f>'D4 Gallon Forecast'!AA253+'D6 Gallon Forecast'!AA233</f>
        <v>9885047.4933195375</v>
      </c>
      <c r="AB123" s="43">
        <f>'D4 Gallon Forecast'!AB253+'D6 Gallon Forecast'!AB233</f>
        <v>4073352.21561096</v>
      </c>
      <c r="AC123" s="43">
        <f>'D4 Gallon Forecast'!AC253+'D6 Gallon Forecast'!AC233</f>
        <v>2667341.1039711311</v>
      </c>
      <c r="AD123" s="43">
        <f>'D4 Gallon Forecast'!AD253+'D6 Gallon Forecast'!AD233</f>
        <v>2666544.1842737952</v>
      </c>
      <c r="AE123" s="43">
        <f>'D4 Gallon Forecast'!AE253+'D6 Gallon Forecast'!AE233</f>
        <v>2754994.7334363661</v>
      </c>
      <c r="AF123" s="43">
        <f>'D4 Gallon Forecast'!AF253+'D6 Gallon Forecast'!AF233</f>
        <v>2745846.525922094</v>
      </c>
      <c r="AG123" s="43">
        <f>'D4 Gallon Forecast'!AG253+'D6 Gallon Forecast'!AG233</f>
        <v>2715568.1437406405</v>
      </c>
      <c r="AH123" s="43">
        <f>'D4 Gallon Forecast'!AH253+'D6 Gallon Forecast'!AH233</f>
        <v>2707794.7312379614</v>
      </c>
      <c r="AI123" s="43">
        <f>'D4 Gallon Forecast'!AI253+'D6 Gallon Forecast'!AI233</f>
        <v>2716784.4261861457</v>
      </c>
      <c r="AJ123" s="43">
        <f>'D4 Gallon Forecast'!AJ253+'D6 Gallon Forecast'!AJ233</f>
        <v>2729931.4053781624</v>
      </c>
      <c r="AK123" s="43">
        <f>'D4 Gallon Forecast'!AK253+'D6 Gallon Forecast'!AK233</f>
        <v>2721886.3864952833</v>
      </c>
      <c r="AL123" s="43">
        <f>'D4 Gallon Forecast'!AL253+'D6 Gallon Forecast'!AL233</f>
        <v>2710559.7751298822</v>
      </c>
      <c r="AM123" s="43">
        <f>'D4 Gallon Forecast'!AM253+'D6 Gallon Forecast'!AM233</f>
        <v>2710058.9382688054</v>
      </c>
      <c r="AN123" s="43">
        <f>'D4 Gallon Forecast'!AN253+'D6 Gallon Forecast'!AN233</f>
        <v>2718149.6637221714</v>
      </c>
      <c r="AO123" s="43">
        <f>'D4 Gallon Forecast'!AO253+'D6 Gallon Forecast'!AO233</f>
        <v>2728197.7121046418</v>
      </c>
      <c r="AP123" s="43">
        <f>'D4 Gallon Forecast'!AP253+'D6 Gallon Forecast'!AP233</f>
        <v>2723185.0464930008</v>
      </c>
      <c r="AQ123" s="43">
        <f>'D4 Gallon Forecast'!AQ253+'D6 Gallon Forecast'!AQ233</f>
        <v>2718394.0186076388</v>
      </c>
      <c r="AR123" s="43"/>
      <c r="AS123" s="44">
        <f t="shared" si="54"/>
        <v>0.70896433214406773</v>
      </c>
    </row>
    <row r="124" spans="1:45">
      <c r="A124" s="40" t="s">
        <v>52</v>
      </c>
      <c r="B124" s="42">
        <f>'D4 Gallon Forecast'!B254+'D6 Gallon Forecast'!B234</f>
        <v>0</v>
      </c>
      <c r="C124" s="42">
        <f>'D4 Gallon Forecast'!C254+'D6 Gallon Forecast'!C234</f>
        <v>0</v>
      </c>
      <c r="D124" s="42">
        <f>'D4 Gallon Forecast'!D254+'D6 Gallon Forecast'!D234</f>
        <v>12718015</v>
      </c>
      <c r="E124" s="42">
        <f>'D4 Gallon Forecast'!E254+'D6 Gallon Forecast'!E234</f>
        <v>35231798</v>
      </c>
      <c r="F124" s="42">
        <f>'D4 Gallon Forecast'!F254+'D6 Gallon Forecast'!F234</f>
        <v>817739</v>
      </c>
      <c r="G124" s="42">
        <f>'D4 Gallon Forecast'!G254+'D6 Gallon Forecast'!G234</f>
        <v>29548908</v>
      </c>
      <c r="H124" s="42">
        <f>'D4 Gallon Forecast'!H254+'D6 Gallon Forecast'!H234</f>
        <v>29032099</v>
      </c>
      <c r="I124" s="42">
        <f>'D4 Gallon Forecast'!I254+'D6 Gallon Forecast'!I234</f>
        <v>32315111</v>
      </c>
      <c r="J124" s="42">
        <f>'D4 Gallon Forecast'!J254+'D6 Gallon Forecast'!J234</f>
        <v>0</v>
      </c>
      <c r="K124" s="42">
        <f>'D4 Gallon Forecast'!K254+'D6 Gallon Forecast'!K234</f>
        <v>43803568</v>
      </c>
      <c r="L124" s="42">
        <f>'D4 Gallon Forecast'!L254+'D6 Gallon Forecast'!L234</f>
        <v>38235426</v>
      </c>
      <c r="M124" s="42">
        <f>'D4 Gallon Forecast'!M254+'D6 Gallon Forecast'!M234</f>
        <v>47052037</v>
      </c>
      <c r="N124" s="42">
        <f>'D4 Gallon Forecast'!N254+'D6 Gallon Forecast'!N234</f>
        <v>45048892</v>
      </c>
      <c r="O124" s="42">
        <f>'D4 Gallon Forecast'!O254+'D6 Gallon Forecast'!O234</f>
        <v>45134277</v>
      </c>
      <c r="P124" s="42">
        <f>'D4 Gallon Forecast'!P254+'D6 Gallon Forecast'!P234</f>
        <v>15413235</v>
      </c>
      <c r="Q124" s="43">
        <f>'D4 Gallon Forecast'!Q254+'D6 Gallon Forecast'!Q234</f>
        <v>18677867.257025421</v>
      </c>
      <c r="R124" s="43">
        <f>'D4 Gallon Forecast'!R254+'D6 Gallon Forecast'!R234</f>
        <v>24683901.871777788</v>
      </c>
      <c r="S124" s="43">
        <f>'D4 Gallon Forecast'!S254+'D6 Gallon Forecast'!S234</f>
        <v>22304498.820663068</v>
      </c>
      <c r="T124" s="43">
        <f>'D4 Gallon Forecast'!T254+'D6 Gallon Forecast'!T234</f>
        <v>20290254.418766204</v>
      </c>
      <c r="U124" s="43">
        <f>'D4 Gallon Forecast'!U254+'D6 Gallon Forecast'!U234</f>
        <v>16680580.072264178</v>
      </c>
      <c r="V124" s="43">
        <f>'D4 Gallon Forecast'!V254+'D6 Gallon Forecast'!V234</f>
        <v>16495248.606508391</v>
      </c>
      <c r="W124" s="43">
        <f>'D4 Gallon Forecast'!W254+'D6 Gallon Forecast'!W234</f>
        <v>16438006.438360302</v>
      </c>
      <c r="X124" s="43">
        <f>'D4 Gallon Forecast'!X254+'D6 Gallon Forecast'!X234</f>
        <v>14464092.291225439</v>
      </c>
      <c r="Y124" s="43">
        <f>'D4 Gallon Forecast'!Y254+'D6 Gallon Forecast'!Y234</f>
        <v>13642514.508215878</v>
      </c>
      <c r="Z124" s="43">
        <f>'D4 Gallon Forecast'!Z254+'D6 Gallon Forecast'!Z234</f>
        <v>12834568.389892986</v>
      </c>
      <c r="AA124" s="43">
        <f>'D4 Gallon Forecast'!AA254+'D6 Gallon Forecast'!AA234</f>
        <v>13036664.158976998</v>
      </c>
      <c r="AB124" s="43">
        <f>'D4 Gallon Forecast'!AB254+'D6 Gallon Forecast'!AB234</f>
        <v>5416603.5220516613</v>
      </c>
      <c r="AC124" s="43">
        <f>'D4 Gallon Forecast'!AC254+'D6 Gallon Forecast'!AC234</f>
        <v>3616023.0728063597</v>
      </c>
      <c r="AD124" s="43">
        <f>'D4 Gallon Forecast'!AD254+'D6 Gallon Forecast'!AD234</f>
        <v>3590135.396898916</v>
      </c>
      <c r="AE124" s="43">
        <f>'D4 Gallon Forecast'!AE254+'D6 Gallon Forecast'!AE234</f>
        <v>3565157.8860813854</v>
      </c>
      <c r="AF124" s="43">
        <f>'D4 Gallon Forecast'!AF254+'D6 Gallon Forecast'!AF234</f>
        <v>3621295.5997158336</v>
      </c>
      <c r="AG124" s="43">
        <f>'D4 Gallon Forecast'!AG254+'D6 Gallon Forecast'!AG234</f>
        <v>3611069.0147011089</v>
      </c>
      <c r="AH124" s="43">
        <f>'D4 Gallon Forecast'!AH254+'D6 Gallon Forecast'!AH234</f>
        <v>3599663.2042644233</v>
      </c>
      <c r="AI124" s="43">
        <f>'D4 Gallon Forecast'!AI254+'D6 Gallon Forecast'!AI234</f>
        <v>3596027.6779217697</v>
      </c>
      <c r="AJ124" s="43">
        <f>'D4 Gallon Forecast'!AJ254+'D6 Gallon Forecast'!AJ234</f>
        <v>3597569.5832361612</v>
      </c>
      <c r="AK124" s="43">
        <f>'D4 Gallon Forecast'!AK254+'D6 Gallon Forecast'!AK234</f>
        <v>3607973.3378784354</v>
      </c>
      <c r="AL124" s="43">
        <f>'D4 Gallon Forecast'!AL254+'D6 Gallon Forecast'!AL234</f>
        <v>3601675.5413734829</v>
      </c>
      <c r="AM124" s="43">
        <f>'D4 Gallon Forecast'!AM254+'D6 Gallon Forecast'!AM234</f>
        <v>3600736.1940407213</v>
      </c>
      <c r="AN124" s="43">
        <f>'D4 Gallon Forecast'!AN254+'D6 Gallon Forecast'!AN234</f>
        <v>3597464.2203323338</v>
      </c>
      <c r="AO124" s="43">
        <f>'D4 Gallon Forecast'!AO254+'D6 Gallon Forecast'!AO234</f>
        <v>3598642.6765369046</v>
      </c>
      <c r="AP124" s="43">
        <f>'D4 Gallon Forecast'!AP254+'D6 Gallon Forecast'!AP234</f>
        <v>3605125.0159678594</v>
      </c>
      <c r="AQ124" s="43">
        <f>'D4 Gallon Forecast'!AQ254+'D6 Gallon Forecast'!AQ234</f>
        <v>3602461.56360038</v>
      </c>
      <c r="AR124" s="43"/>
      <c r="AS124" s="44">
        <f t="shared" si="54"/>
        <v>-1.2820193538869984E-2</v>
      </c>
    </row>
    <row r="125" spans="1:45">
      <c r="A125" s="40" t="s">
        <v>53</v>
      </c>
      <c r="B125" s="42">
        <f>'D4 Gallon Forecast'!B255+'D6 Gallon Forecast'!B235</f>
        <v>0</v>
      </c>
      <c r="C125" s="42">
        <f>'D4 Gallon Forecast'!C255+'D6 Gallon Forecast'!C235</f>
        <v>0</v>
      </c>
      <c r="D125" s="42">
        <f>'D4 Gallon Forecast'!D255+'D6 Gallon Forecast'!D235</f>
        <v>10308273</v>
      </c>
      <c r="E125" s="42">
        <f>'D4 Gallon Forecast'!E255+'D6 Gallon Forecast'!E235</f>
        <v>35137995</v>
      </c>
      <c r="F125" s="42">
        <f>'D4 Gallon Forecast'!F255+'D6 Gallon Forecast'!F235</f>
        <v>28597517</v>
      </c>
      <c r="G125" s="42">
        <f>'D4 Gallon Forecast'!G255+'D6 Gallon Forecast'!G235</f>
        <v>26831313</v>
      </c>
      <c r="H125" s="42">
        <f>'D4 Gallon Forecast'!H255+'D6 Gallon Forecast'!H235</f>
        <v>28792959</v>
      </c>
      <c r="I125" s="42">
        <f>'D4 Gallon Forecast'!I255+'D6 Gallon Forecast'!I235</f>
        <v>16007543</v>
      </c>
      <c r="J125" s="42">
        <f>'D4 Gallon Forecast'!J255+'D6 Gallon Forecast'!J235</f>
        <v>11371102</v>
      </c>
      <c r="K125" s="42">
        <f>'D4 Gallon Forecast'!K255+'D6 Gallon Forecast'!K235</f>
        <v>37253948</v>
      </c>
      <c r="L125" s="42">
        <f>'D4 Gallon Forecast'!L255+'D6 Gallon Forecast'!L235</f>
        <v>44453798</v>
      </c>
      <c r="M125" s="42">
        <f>'D4 Gallon Forecast'!M255+'D6 Gallon Forecast'!M235</f>
        <v>38155377</v>
      </c>
      <c r="N125" s="42">
        <f>'D4 Gallon Forecast'!N255+'D6 Gallon Forecast'!N235</f>
        <v>32881128</v>
      </c>
      <c r="O125" s="42">
        <f>'D4 Gallon Forecast'!O255+'D6 Gallon Forecast'!O235</f>
        <v>43040497</v>
      </c>
      <c r="P125" s="42">
        <f>'D4 Gallon Forecast'!P255+'D6 Gallon Forecast'!P235</f>
        <v>7265849</v>
      </c>
      <c r="Q125" s="43">
        <f>'D4 Gallon Forecast'!Q255+'D6 Gallon Forecast'!Q235</f>
        <v>16859024.316303566</v>
      </c>
      <c r="R125" s="43">
        <f>'D4 Gallon Forecast'!R255+'D6 Gallon Forecast'!R235</f>
        <v>19886348.568507258</v>
      </c>
      <c r="S125" s="43">
        <f>'D4 Gallon Forecast'!S255+'D6 Gallon Forecast'!S235</f>
        <v>18075205.539549988</v>
      </c>
      <c r="T125" s="43">
        <f>'D4 Gallon Forecast'!T255+'D6 Gallon Forecast'!T235</f>
        <v>16900310.280594748</v>
      </c>
      <c r="U125" s="43">
        <f>'D4 Gallon Forecast'!U255+'D6 Gallon Forecast'!U235</f>
        <v>12997413.007001387</v>
      </c>
      <c r="V125" s="43">
        <f>'D4 Gallon Forecast'!V255+'D6 Gallon Forecast'!V235</f>
        <v>13615441.346564511</v>
      </c>
      <c r="W125" s="43">
        <f>'D4 Gallon Forecast'!W255+'D6 Gallon Forecast'!W235</f>
        <v>13332226.70327202</v>
      </c>
      <c r="X125" s="43">
        <f>'D4 Gallon Forecast'!X255+'D6 Gallon Forecast'!X235</f>
        <v>11752250.490507085</v>
      </c>
      <c r="Y125" s="43">
        <f>'D4 Gallon Forecast'!Y255+'D6 Gallon Forecast'!Y235</f>
        <v>11092384.636007279</v>
      </c>
      <c r="Z125" s="43">
        <f>'D4 Gallon Forecast'!Z255+'D6 Gallon Forecast'!Z235</f>
        <v>10368943.956883863</v>
      </c>
      <c r="AA125" s="43">
        <f>'D4 Gallon Forecast'!AA255+'D6 Gallon Forecast'!AA235</f>
        <v>10616690.670570839</v>
      </c>
      <c r="AB125" s="43">
        <f>'D4 Gallon Forecast'!AB255+'D6 Gallon Forecast'!AB235</f>
        <v>4397115.1120954677</v>
      </c>
      <c r="AC125" s="43">
        <f>'D4 Gallon Forecast'!AC255+'D6 Gallon Forecast'!AC235</f>
        <v>2938062.6226267712</v>
      </c>
      <c r="AD125" s="43">
        <f>'D4 Gallon Forecast'!AD255+'D6 Gallon Forecast'!AD235</f>
        <v>2919048.5884229685</v>
      </c>
      <c r="AE125" s="43">
        <f>'D4 Gallon Forecast'!AE255+'D6 Gallon Forecast'!AE235</f>
        <v>2880262.210245518</v>
      </c>
      <c r="AF125" s="43">
        <f>'D4 Gallon Forecast'!AF255+'D6 Gallon Forecast'!AF235</f>
        <v>2949080.7418252337</v>
      </c>
      <c r="AG125" s="43">
        <f>'D4 Gallon Forecast'!AG255+'D6 Gallon Forecast'!AG235</f>
        <v>2931410.0747303125</v>
      </c>
      <c r="AH125" s="43">
        <f>'D4 Gallon Forecast'!AH255+'D6 Gallon Forecast'!AH235</f>
        <v>2922871.8100645179</v>
      </c>
      <c r="AI125" s="43">
        <f>'D4 Gallon Forecast'!AI255+'D6 Gallon Forecast'!AI235</f>
        <v>2919496.073939573</v>
      </c>
      <c r="AJ125" s="43">
        <f>'D4 Gallon Forecast'!AJ255+'D6 Gallon Forecast'!AJ235</f>
        <v>2919613.1729532629</v>
      </c>
      <c r="AK125" s="43">
        <f>'D4 Gallon Forecast'!AK255+'D6 Gallon Forecast'!AK235</f>
        <v>2932244.3461680952</v>
      </c>
      <c r="AL125" s="43">
        <f>'D4 Gallon Forecast'!AL255+'D6 Gallon Forecast'!AL235</f>
        <v>2924285.3227665387</v>
      </c>
      <c r="AM125" s="43">
        <f>'D4 Gallon Forecast'!AM255+'D6 Gallon Forecast'!AM235</f>
        <v>2923572.8475701609</v>
      </c>
      <c r="AN125" s="43">
        <f>'D4 Gallon Forecast'!AN255+'D6 Gallon Forecast'!AN235</f>
        <v>2920534.6850577104</v>
      </c>
      <c r="AO125" s="43">
        <f>'D4 Gallon Forecast'!AO255+'D6 Gallon Forecast'!AO235</f>
        <v>2920624.1821610308</v>
      </c>
      <c r="AP125" s="43">
        <f>'D4 Gallon Forecast'!AP255+'D6 Gallon Forecast'!AP235</f>
        <v>2928494.3747025803</v>
      </c>
      <c r="AQ125" s="43">
        <f>'D4 Gallon Forecast'!AQ255+'D6 Gallon Forecast'!AQ235</f>
        <v>2925128.0955711529</v>
      </c>
      <c r="AR125" s="43"/>
      <c r="AS125" s="44">
        <f t="shared" si="54"/>
        <v>-0.18908129312233601</v>
      </c>
    </row>
    <row r="126" spans="1:45">
      <c r="A126" s="40" t="s">
        <v>54</v>
      </c>
      <c r="B126" s="42">
        <f>'D4 Gallon Forecast'!B256+'D6 Gallon Forecast'!B236</f>
        <v>0</v>
      </c>
      <c r="C126" s="42">
        <f>'D4 Gallon Forecast'!C256+'D6 Gallon Forecast'!C236</f>
        <v>0</v>
      </c>
      <c r="D126" s="42">
        <f>'D4 Gallon Forecast'!D256+'D6 Gallon Forecast'!D236</f>
        <v>4421460</v>
      </c>
      <c r="E126" s="42">
        <f>'D4 Gallon Forecast'!E256+'D6 Gallon Forecast'!E236</f>
        <v>30125413</v>
      </c>
      <c r="F126" s="42">
        <f>'D4 Gallon Forecast'!F256+'D6 Gallon Forecast'!F236</f>
        <v>27354965</v>
      </c>
      <c r="G126" s="42">
        <f>'D4 Gallon Forecast'!G256+'D6 Gallon Forecast'!G236</f>
        <v>24720562</v>
      </c>
      <c r="H126" s="42">
        <f>'D4 Gallon Forecast'!H256+'D6 Gallon Forecast'!H236</f>
        <v>28405184</v>
      </c>
      <c r="I126" s="42">
        <f>'D4 Gallon Forecast'!I256+'D6 Gallon Forecast'!I236</f>
        <v>31262099</v>
      </c>
      <c r="J126" s="42">
        <f>'D4 Gallon Forecast'!J256+'D6 Gallon Forecast'!J236</f>
        <v>35783869</v>
      </c>
      <c r="K126" s="42">
        <f>'D4 Gallon Forecast'!K256+'D6 Gallon Forecast'!K236</f>
        <v>40392744</v>
      </c>
      <c r="L126" s="42">
        <f>'D4 Gallon Forecast'!L256+'D6 Gallon Forecast'!L236</f>
        <v>43441682</v>
      </c>
      <c r="M126" s="42">
        <f>'D4 Gallon Forecast'!M256+'D6 Gallon Forecast'!M236</f>
        <v>46419914</v>
      </c>
      <c r="N126" s="42">
        <f>'D4 Gallon Forecast'!N256+'D6 Gallon Forecast'!N236</f>
        <v>43042472</v>
      </c>
      <c r="O126" s="42">
        <f>'D4 Gallon Forecast'!O256+'D6 Gallon Forecast'!O236</f>
        <v>45979079</v>
      </c>
      <c r="P126" s="42">
        <f>'D4 Gallon Forecast'!P256+'D6 Gallon Forecast'!P236</f>
        <v>4236635</v>
      </c>
      <c r="Q126" s="43">
        <f>'D4 Gallon Forecast'!Q256+'D6 Gallon Forecast'!Q236</f>
        <v>61474518.720732391</v>
      </c>
      <c r="R126" s="43">
        <f>'D4 Gallon Forecast'!R256+'D6 Gallon Forecast'!R236</f>
        <v>31073492.569914579</v>
      </c>
      <c r="S126" s="43">
        <f>'D4 Gallon Forecast'!S256+'D6 Gallon Forecast'!S236</f>
        <v>28715032.505401701</v>
      </c>
      <c r="T126" s="43">
        <f>'D4 Gallon Forecast'!T256+'D6 Gallon Forecast'!T236</f>
        <v>27567097.859590977</v>
      </c>
      <c r="U126" s="43">
        <f>'D4 Gallon Forecast'!U256+'D6 Gallon Forecast'!U236</f>
        <v>25187419.70677653</v>
      </c>
      <c r="V126" s="43">
        <f>'D4 Gallon Forecast'!V256+'D6 Gallon Forecast'!V236</f>
        <v>27967108.076102614</v>
      </c>
      <c r="W126" s="43">
        <f>'D4 Gallon Forecast'!W256+'D6 Gallon Forecast'!W236</f>
        <v>22992570.117455989</v>
      </c>
      <c r="X126" s="43">
        <f>'D4 Gallon Forecast'!X256+'D6 Gallon Forecast'!X236</f>
        <v>20773212.27691415</v>
      </c>
      <c r="Y126" s="43">
        <f>'D4 Gallon Forecast'!Y256+'D6 Gallon Forecast'!Y236</f>
        <v>20129878.746382654</v>
      </c>
      <c r="Z126" s="43">
        <f>'D4 Gallon Forecast'!Z256+'D6 Gallon Forecast'!Z236</f>
        <v>19329388.996563092</v>
      </c>
      <c r="AA126" s="43">
        <f>'D4 Gallon Forecast'!AA256+'D6 Gallon Forecast'!AA236</f>
        <v>19622145.567073837</v>
      </c>
      <c r="AB126" s="43">
        <f>'D4 Gallon Forecast'!AB256+'D6 Gallon Forecast'!AB236</f>
        <v>7911322.7464915067</v>
      </c>
      <c r="AC126" s="43">
        <f>'D4 Gallon Forecast'!AC256+'D6 Gallon Forecast'!AC236</f>
        <v>5193303.0692285374</v>
      </c>
      <c r="AD126" s="43">
        <f>'D4 Gallon Forecast'!AD256+'D6 Gallon Forecast'!AD236</f>
        <v>5297336.5122059658</v>
      </c>
      <c r="AE126" s="43">
        <f>'D4 Gallon Forecast'!AE256+'D6 Gallon Forecast'!AE236</f>
        <v>5369274.7212675214</v>
      </c>
      <c r="AF126" s="43">
        <f>'D4 Gallon Forecast'!AF256+'D6 Gallon Forecast'!AF236</f>
        <v>5450595.9908538461</v>
      </c>
      <c r="AG126" s="43">
        <f>'D4 Gallon Forecast'!AG256+'D6 Gallon Forecast'!AG236</f>
        <v>5274215.1643276811</v>
      </c>
      <c r="AH126" s="43">
        <f>'D4 Gallon Forecast'!AH256+'D6 Gallon Forecast'!AH236</f>
        <v>5319148.3838439509</v>
      </c>
      <c r="AI126" s="43">
        <f>'D4 Gallon Forecast'!AI256+'D6 Gallon Forecast'!AI236</f>
        <v>5347114.0093140528</v>
      </c>
      <c r="AJ126" s="43">
        <f>'D4 Gallon Forecast'!AJ256+'D6 Gallon Forecast'!AJ236</f>
        <v>5360139.8964077532</v>
      </c>
      <c r="AK126" s="43">
        <f>'D4 Gallon Forecast'!AK256+'D6 Gallon Forecast'!AK236</f>
        <v>5357207.7304033861</v>
      </c>
      <c r="AL126" s="43">
        <f>'D4 Gallon Forecast'!AL256+'D6 Gallon Forecast'!AL236</f>
        <v>5313060.5527358875</v>
      </c>
      <c r="AM126" s="43">
        <f>'D4 Gallon Forecast'!AM256+'D6 Gallon Forecast'!AM236</f>
        <v>5316945.0915767029</v>
      </c>
      <c r="AN126" s="43">
        <f>'D4 Gallon Forecast'!AN256+'D6 Gallon Forecast'!AN236</f>
        <v>5342114.1544997916</v>
      </c>
      <c r="AO126" s="43">
        <f>'D4 Gallon Forecast'!AO256+'D6 Gallon Forecast'!AO236</f>
        <v>5352069.653921403</v>
      </c>
      <c r="AP126" s="43">
        <f>'D4 Gallon Forecast'!AP256+'D6 Gallon Forecast'!AP236</f>
        <v>5350242.6889494509</v>
      </c>
      <c r="AQ126" s="43">
        <f>'D4 Gallon Forecast'!AQ256+'D6 Gallon Forecast'!AQ236</f>
        <v>5331566.0368593633</v>
      </c>
      <c r="AR126" s="43"/>
      <c r="AS126" s="44">
        <f t="shared" si="54"/>
        <v>0.21660215806542804</v>
      </c>
    </row>
    <row r="127" spans="1:45" ht="12" thickBot="1">
      <c r="A127" s="48" t="s">
        <v>29</v>
      </c>
      <c r="B127" s="49">
        <f t="shared" ref="B127:M127" si="55">SUM(B115:B126)</f>
        <v>0</v>
      </c>
      <c r="C127" s="49">
        <f t="shared" si="55"/>
        <v>0</v>
      </c>
      <c r="D127" s="49">
        <f t="shared" si="55"/>
        <v>50272922</v>
      </c>
      <c r="E127" s="49">
        <f t="shared" si="55"/>
        <v>281796943</v>
      </c>
      <c r="F127" s="49">
        <f t="shared" si="55"/>
        <v>323139090</v>
      </c>
      <c r="G127" s="49">
        <f t="shared" si="55"/>
        <v>336296958</v>
      </c>
      <c r="H127" s="49">
        <f t="shared" si="55"/>
        <v>349686036</v>
      </c>
      <c r="I127" s="49">
        <f t="shared" si="55"/>
        <v>343624440</v>
      </c>
      <c r="J127" s="49">
        <f t="shared" si="55"/>
        <v>309846637</v>
      </c>
      <c r="K127" s="49">
        <f t="shared" si="55"/>
        <v>417997492</v>
      </c>
      <c r="L127" s="49">
        <f t="shared" si="55"/>
        <v>433284154</v>
      </c>
      <c r="M127" s="49">
        <f t="shared" si="55"/>
        <v>449854052</v>
      </c>
      <c r="N127" s="49">
        <f t="shared" ref="N127:AQ127" si="56">SUM(N115:N126)</f>
        <v>425780853</v>
      </c>
      <c r="O127" s="49">
        <f t="shared" si="56"/>
        <v>452291523</v>
      </c>
      <c r="P127" s="49">
        <f t="shared" si="56"/>
        <v>311048385</v>
      </c>
      <c r="Q127" s="50">
        <f t="shared" si="56"/>
        <v>210578706.25</v>
      </c>
      <c r="R127" s="50">
        <f t="shared" si="56"/>
        <v>273752318.125</v>
      </c>
      <c r="S127" s="50">
        <f t="shared" si="56"/>
        <v>252694447.49999997</v>
      </c>
      <c r="T127" s="50">
        <f t="shared" si="56"/>
        <v>231636576.87500003</v>
      </c>
      <c r="U127" s="50">
        <f t="shared" si="56"/>
        <v>210578706.25</v>
      </c>
      <c r="V127" s="50">
        <f t="shared" si="56"/>
        <v>189520835.625</v>
      </c>
      <c r="W127" s="50">
        <f t="shared" si="56"/>
        <v>189520835.625</v>
      </c>
      <c r="X127" s="50">
        <f t="shared" si="56"/>
        <v>168462965.00000003</v>
      </c>
      <c r="Y127" s="50">
        <f t="shared" si="56"/>
        <v>160039816.75</v>
      </c>
      <c r="Z127" s="50">
        <f t="shared" si="56"/>
        <v>151616668.5</v>
      </c>
      <c r="AA127" s="50">
        <f t="shared" si="56"/>
        <v>151616668.5</v>
      </c>
      <c r="AB127" s="50">
        <f t="shared" si="56"/>
        <v>63173611.874999993</v>
      </c>
      <c r="AC127" s="50">
        <f t="shared" si="56"/>
        <v>42115741.250000007</v>
      </c>
      <c r="AD127" s="50">
        <f t="shared" si="56"/>
        <v>42115741.250000007</v>
      </c>
      <c r="AE127" s="50">
        <f t="shared" si="56"/>
        <v>42115741.250000007</v>
      </c>
      <c r="AF127" s="50">
        <f t="shared" si="56"/>
        <v>42115741.250000007</v>
      </c>
      <c r="AG127" s="50">
        <f t="shared" si="56"/>
        <v>42115741.250000007</v>
      </c>
      <c r="AH127" s="50">
        <f t="shared" si="56"/>
        <v>42115741.250000007</v>
      </c>
      <c r="AI127" s="50">
        <f t="shared" si="56"/>
        <v>42115741.250000007</v>
      </c>
      <c r="AJ127" s="50">
        <f t="shared" si="56"/>
        <v>42115741.250000007</v>
      </c>
      <c r="AK127" s="50">
        <f t="shared" si="56"/>
        <v>42115741.250000007</v>
      </c>
      <c r="AL127" s="50">
        <f t="shared" si="56"/>
        <v>42115741.250000007</v>
      </c>
      <c r="AM127" s="50">
        <f t="shared" si="56"/>
        <v>42115741.250000007</v>
      </c>
      <c r="AN127" s="50">
        <f t="shared" si="56"/>
        <v>42115741.250000007</v>
      </c>
      <c r="AO127" s="50">
        <f t="shared" si="56"/>
        <v>42115741.250000007</v>
      </c>
      <c r="AP127" s="50">
        <f t="shared" si="56"/>
        <v>42115741.250000007</v>
      </c>
      <c r="AQ127" s="50">
        <f t="shared" si="56"/>
        <v>42115753.250000007</v>
      </c>
      <c r="AR127" s="43"/>
    </row>
    <row r="128" spans="1:45">
      <c r="A128" s="51"/>
      <c r="B128" s="51"/>
      <c r="C128" s="51"/>
      <c r="D128" s="51"/>
      <c r="E128" s="51"/>
      <c r="F128" s="51"/>
      <c r="G128" s="51"/>
      <c r="H128" s="51"/>
      <c r="I128" s="51"/>
      <c r="J128" s="51">
        <f>J127+J111</f>
        <v>309846637</v>
      </c>
      <c r="K128" s="51">
        <f t="shared" ref="K128:AQ128" si="57">K127+K111</f>
        <v>417997492</v>
      </c>
      <c r="L128" s="51">
        <f t="shared" si="57"/>
        <v>433284154</v>
      </c>
      <c r="M128" s="52">
        <f t="shared" si="57"/>
        <v>452713958</v>
      </c>
      <c r="N128" s="53">
        <f t="shared" si="57"/>
        <v>425780853</v>
      </c>
      <c r="O128" s="54">
        <f t="shared" si="57"/>
        <v>452291523</v>
      </c>
      <c r="P128" s="54">
        <f t="shared" si="57"/>
        <v>423525107</v>
      </c>
      <c r="Q128" s="53">
        <f t="shared" si="57"/>
        <v>223256108.25</v>
      </c>
      <c r="R128" s="51">
        <f t="shared" si="57"/>
        <v>273752318.125</v>
      </c>
      <c r="S128" s="51">
        <f t="shared" si="57"/>
        <v>252694447.49999997</v>
      </c>
      <c r="T128" s="51">
        <f t="shared" si="57"/>
        <v>231636576.87500003</v>
      </c>
      <c r="U128" s="51">
        <f t="shared" si="57"/>
        <v>210578706.25</v>
      </c>
      <c r="V128" s="51">
        <f t="shared" si="57"/>
        <v>189520835.625</v>
      </c>
      <c r="W128" s="51">
        <f t="shared" si="57"/>
        <v>189520835.625</v>
      </c>
      <c r="X128" s="51">
        <f t="shared" si="57"/>
        <v>168462965.00000003</v>
      </c>
      <c r="Y128" s="51">
        <f t="shared" si="57"/>
        <v>160039816.75</v>
      </c>
      <c r="Z128" s="51">
        <f t="shared" si="57"/>
        <v>151616668.5</v>
      </c>
      <c r="AA128" s="51">
        <f t="shared" si="57"/>
        <v>151616668.5</v>
      </c>
      <c r="AB128" s="51">
        <f t="shared" si="57"/>
        <v>63173611.874999993</v>
      </c>
      <c r="AC128" s="51">
        <f t="shared" si="57"/>
        <v>42115741.250000007</v>
      </c>
      <c r="AD128" s="51">
        <f t="shared" si="57"/>
        <v>42115741.250000007</v>
      </c>
      <c r="AE128" s="51">
        <f t="shared" si="57"/>
        <v>42115741.250000007</v>
      </c>
      <c r="AF128" s="51">
        <f t="shared" si="57"/>
        <v>42115741.250000007</v>
      </c>
      <c r="AG128" s="51">
        <f t="shared" si="57"/>
        <v>42115741.250000007</v>
      </c>
      <c r="AH128" s="51">
        <f t="shared" si="57"/>
        <v>42115741.250000007</v>
      </c>
      <c r="AI128" s="51">
        <f t="shared" si="57"/>
        <v>42115741.250000007</v>
      </c>
      <c r="AJ128" s="51">
        <f t="shared" si="57"/>
        <v>42115741.250000007</v>
      </c>
      <c r="AK128" s="51">
        <f t="shared" si="57"/>
        <v>42115741.250000007</v>
      </c>
      <c r="AL128" s="51">
        <f t="shared" si="57"/>
        <v>42115741.250000007</v>
      </c>
      <c r="AM128" s="51">
        <f t="shared" si="57"/>
        <v>42115741.250000007</v>
      </c>
      <c r="AN128" s="51">
        <f t="shared" si="57"/>
        <v>42115741.250000007</v>
      </c>
      <c r="AO128" s="51">
        <f t="shared" si="57"/>
        <v>42115741.250000007</v>
      </c>
      <c r="AP128" s="51">
        <f t="shared" si="57"/>
        <v>42115741.250000007</v>
      </c>
      <c r="AQ128" s="51">
        <f t="shared" si="57"/>
        <v>42115812.250000007</v>
      </c>
      <c r="AR128" s="58"/>
    </row>
    <row r="129" spans="1:47">
      <c r="N129" s="59"/>
      <c r="O129" s="59"/>
      <c r="P129" s="59"/>
      <c r="Q129" s="60"/>
    </row>
    <row r="130" spans="1:47" ht="12" thickBot="1">
      <c r="A130" s="39" t="s">
        <v>106</v>
      </c>
    </row>
    <row r="131" spans="1:47" ht="12" thickBot="1">
      <c r="A131" s="41"/>
      <c r="B131" s="41">
        <f t="shared" ref="B131:Z131" si="58">B114</f>
        <v>2010</v>
      </c>
      <c r="C131" s="41">
        <f t="shared" si="58"/>
        <v>2011</v>
      </c>
      <c r="D131" s="41">
        <f t="shared" si="58"/>
        <v>2012</v>
      </c>
      <c r="E131" s="41">
        <f t="shared" si="58"/>
        <v>2013</v>
      </c>
      <c r="F131" s="41">
        <f t="shared" si="58"/>
        <v>2014</v>
      </c>
      <c r="G131" s="41">
        <f t="shared" si="58"/>
        <v>2015</v>
      </c>
      <c r="H131" s="41">
        <f t="shared" si="58"/>
        <v>2016</v>
      </c>
      <c r="I131" s="41">
        <f t="shared" si="58"/>
        <v>2017</v>
      </c>
      <c r="J131" s="41">
        <f t="shared" si="58"/>
        <v>2018</v>
      </c>
      <c r="K131" s="41">
        <f t="shared" si="58"/>
        <v>2019</v>
      </c>
      <c r="L131" s="41">
        <f t="shared" si="58"/>
        <v>2020</v>
      </c>
      <c r="M131" s="41">
        <f t="shared" si="58"/>
        <v>2021</v>
      </c>
      <c r="N131" s="41">
        <f t="shared" si="58"/>
        <v>2022</v>
      </c>
      <c r="O131" s="41">
        <f t="shared" si="58"/>
        <v>2023</v>
      </c>
      <c r="P131" s="41">
        <f t="shared" si="58"/>
        <v>2024</v>
      </c>
      <c r="Q131" s="41">
        <f t="shared" si="58"/>
        <v>2025</v>
      </c>
      <c r="R131" s="41">
        <f t="shared" si="58"/>
        <v>2026</v>
      </c>
      <c r="S131" s="41">
        <f t="shared" si="58"/>
        <v>2027</v>
      </c>
      <c r="T131" s="41">
        <f t="shared" si="58"/>
        <v>2028</v>
      </c>
      <c r="U131" s="41">
        <f t="shared" si="58"/>
        <v>2029</v>
      </c>
      <c r="V131" s="41">
        <f t="shared" si="58"/>
        <v>2030</v>
      </c>
      <c r="W131" s="41">
        <f t="shared" si="58"/>
        <v>2031</v>
      </c>
      <c r="X131" s="41">
        <f t="shared" si="58"/>
        <v>2032</v>
      </c>
      <c r="Y131" s="41">
        <f t="shared" si="58"/>
        <v>2033</v>
      </c>
      <c r="Z131" s="41">
        <f t="shared" si="58"/>
        <v>2034</v>
      </c>
      <c r="AA131" s="41">
        <f>AA2</f>
        <v>2035</v>
      </c>
      <c r="AB131" s="41">
        <f t="shared" ref="AB131:AQ131" si="59">AB2</f>
        <v>2036</v>
      </c>
      <c r="AC131" s="41">
        <f t="shared" si="59"/>
        <v>2037</v>
      </c>
      <c r="AD131" s="41">
        <f t="shared" si="59"/>
        <v>2038</v>
      </c>
      <c r="AE131" s="41">
        <f t="shared" si="59"/>
        <v>2039</v>
      </c>
      <c r="AF131" s="41">
        <f t="shared" si="59"/>
        <v>2040</v>
      </c>
      <c r="AG131" s="41">
        <f t="shared" si="59"/>
        <v>2041</v>
      </c>
      <c r="AH131" s="41">
        <f t="shared" si="59"/>
        <v>2042</v>
      </c>
      <c r="AI131" s="41">
        <f t="shared" si="59"/>
        <v>2043</v>
      </c>
      <c r="AJ131" s="41">
        <f t="shared" si="59"/>
        <v>2044</v>
      </c>
      <c r="AK131" s="41">
        <f t="shared" si="59"/>
        <v>2045</v>
      </c>
      <c r="AL131" s="41">
        <f t="shared" si="59"/>
        <v>2046</v>
      </c>
      <c r="AM131" s="41">
        <f t="shared" si="59"/>
        <v>2047</v>
      </c>
      <c r="AN131" s="41">
        <f t="shared" si="59"/>
        <v>2048</v>
      </c>
      <c r="AO131" s="41">
        <f t="shared" si="59"/>
        <v>2049</v>
      </c>
      <c r="AP131" s="41">
        <f t="shared" si="59"/>
        <v>2050</v>
      </c>
      <c r="AQ131" s="41">
        <f t="shared" si="59"/>
        <v>2051</v>
      </c>
      <c r="AT131" s="61" t="s">
        <v>67</v>
      </c>
    </row>
    <row r="132" spans="1:47">
      <c r="A132" s="40" t="s">
        <v>43</v>
      </c>
      <c r="B132" s="42">
        <f>B83+B19</f>
        <v>485714</v>
      </c>
      <c r="C132" s="42">
        <f t="shared" ref="C132:AQ140" si="60">C83+C19</f>
        <v>37431283</v>
      </c>
      <c r="D132" s="42">
        <f t="shared" si="60"/>
        <v>64335094</v>
      </c>
      <c r="E132" s="42">
        <f t="shared" si="60"/>
        <v>72442691</v>
      </c>
      <c r="F132" s="42">
        <f t="shared" si="60"/>
        <v>67024356</v>
      </c>
      <c r="G132" s="42">
        <f t="shared" si="60"/>
        <v>73384532</v>
      </c>
      <c r="H132" s="42">
        <f t="shared" si="60"/>
        <v>97329855</v>
      </c>
      <c r="I132" s="42">
        <f t="shared" si="60"/>
        <v>84496710</v>
      </c>
      <c r="J132" s="42">
        <f t="shared" si="60"/>
        <v>124176708</v>
      </c>
      <c r="K132" s="42">
        <f t="shared" si="60"/>
        <v>144167176</v>
      </c>
      <c r="L132" s="42">
        <f t="shared" si="60"/>
        <v>160261309</v>
      </c>
      <c r="M132" s="42">
        <f t="shared" si="60"/>
        <v>157677215</v>
      </c>
      <c r="N132" s="42">
        <f t="shared" si="60"/>
        <v>177725259</v>
      </c>
      <c r="O132" s="42">
        <f t="shared" si="60"/>
        <v>267826684</v>
      </c>
      <c r="P132" s="42">
        <f t="shared" si="60"/>
        <v>352015494</v>
      </c>
      <c r="Q132" s="42">
        <f t="shared" si="60"/>
        <v>283003085</v>
      </c>
      <c r="R132" s="43">
        <f t="shared" si="60"/>
        <v>271704969.63227659</v>
      </c>
      <c r="S132" s="43">
        <f t="shared" si="60"/>
        <v>281505243.44803989</v>
      </c>
      <c r="T132" s="43">
        <f t="shared" si="60"/>
        <v>268454047.37749171</v>
      </c>
      <c r="U132" s="43">
        <f t="shared" si="60"/>
        <v>279185556.81492156</v>
      </c>
      <c r="V132" s="43">
        <f t="shared" si="60"/>
        <v>285909180.11639303</v>
      </c>
      <c r="W132" s="43">
        <f t="shared" si="60"/>
        <v>307882284.3146072</v>
      </c>
      <c r="X132" s="43">
        <f t="shared" si="60"/>
        <v>352613429.77648896</v>
      </c>
      <c r="Y132" s="43">
        <f t="shared" si="60"/>
        <v>365910392.87889946</v>
      </c>
      <c r="Z132" s="43">
        <f t="shared" si="60"/>
        <v>347327797.43225974</v>
      </c>
      <c r="AA132" s="43">
        <f t="shared" si="60"/>
        <v>360134071.95422292</v>
      </c>
      <c r="AB132" s="43">
        <f t="shared" si="60"/>
        <v>364700531.66861981</v>
      </c>
      <c r="AC132" s="43">
        <f t="shared" si="60"/>
        <v>392326311.05215931</v>
      </c>
      <c r="AD132" s="43">
        <f t="shared" si="60"/>
        <v>427091677.46112144</v>
      </c>
      <c r="AE132" s="43">
        <f t="shared" si="60"/>
        <v>417474750.04492366</v>
      </c>
      <c r="AF132" s="43">
        <f t="shared" si="60"/>
        <v>353785227.15511525</v>
      </c>
      <c r="AG132" s="43">
        <f t="shared" si="60"/>
        <v>375436405.9017024</v>
      </c>
      <c r="AH132" s="43">
        <f t="shared" si="60"/>
        <v>394703172.86799777</v>
      </c>
      <c r="AI132" s="43">
        <f t="shared" si="60"/>
        <v>420719222.82021558</v>
      </c>
      <c r="AJ132" s="43">
        <f t="shared" si="60"/>
        <v>428748056.43508017</v>
      </c>
      <c r="AK132" s="43">
        <f t="shared" si="60"/>
        <v>426577718.92390043</v>
      </c>
      <c r="AL132" s="43">
        <f t="shared" si="60"/>
        <v>407812321.62158024</v>
      </c>
      <c r="AM132" s="43">
        <f t="shared" si="60"/>
        <v>423320738.83608478</v>
      </c>
      <c r="AN132" s="43">
        <f t="shared" si="60"/>
        <v>438013879.73782414</v>
      </c>
      <c r="AO132" s="43">
        <f t="shared" si="60"/>
        <v>453328586.87729567</v>
      </c>
      <c r="AP132" s="43">
        <f t="shared" si="60"/>
        <v>472228778.53320783</v>
      </c>
      <c r="AQ132" s="43">
        <f t="shared" si="60"/>
        <v>488993300.1303888</v>
      </c>
      <c r="AR132" s="42"/>
      <c r="AS132" s="40" t="s">
        <v>68</v>
      </c>
      <c r="AT132" s="42">
        <f t="shared" ref="AT132:AT143" si="61">AVERAGE(J132:N132)</f>
        <v>152801533.40000001</v>
      </c>
      <c r="AU132" s="55">
        <f t="shared" ref="AU132:AU144" si="62">O132/AT132-1</f>
        <v>0.75277484486291146</v>
      </c>
    </row>
    <row r="133" spans="1:47">
      <c r="A133" s="40" t="s">
        <v>44</v>
      </c>
      <c r="B133" s="42">
        <f t="shared" ref="B133:Q143" si="63">B84+B20</f>
        <v>538632</v>
      </c>
      <c r="C133" s="42">
        <f t="shared" si="63"/>
        <v>42724310</v>
      </c>
      <c r="D133" s="42">
        <f t="shared" si="63"/>
        <v>76117680</v>
      </c>
      <c r="E133" s="42">
        <f t="shared" si="63"/>
        <v>75810352</v>
      </c>
      <c r="F133" s="42">
        <f t="shared" si="63"/>
        <v>82152505</v>
      </c>
      <c r="G133" s="42">
        <f t="shared" si="63"/>
        <v>76328391</v>
      </c>
      <c r="H133" s="42">
        <f t="shared" si="63"/>
        <v>107756868</v>
      </c>
      <c r="I133" s="42">
        <f t="shared" si="63"/>
        <v>99518882</v>
      </c>
      <c r="J133" s="42">
        <f t="shared" si="63"/>
        <v>137141084</v>
      </c>
      <c r="K133" s="42">
        <f t="shared" si="63"/>
        <v>157504153</v>
      </c>
      <c r="L133" s="42">
        <f t="shared" si="63"/>
        <v>165333669</v>
      </c>
      <c r="M133" s="42">
        <f t="shared" si="63"/>
        <v>161056760</v>
      </c>
      <c r="N133" s="42">
        <f t="shared" si="63"/>
        <v>211839141</v>
      </c>
      <c r="O133" s="42">
        <f t="shared" si="63"/>
        <v>255812966</v>
      </c>
      <c r="P133" s="42">
        <f t="shared" si="60"/>
        <v>356519663</v>
      </c>
      <c r="Q133" s="42">
        <f t="shared" si="60"/>
        <v>259927294</v>
      </c>
      <c r="R133" s="43">
        <f t="shared" si="60"/>
        <v>293316632.812675</v>
      </c>
      <c r="S133" s="43">
        <f t="shared" si="60"/>
        <v>305542328.4495098</v>
      </c>
      <c r="T133" s="43">
        <f t="shared" si="60"/>
        <v>289178388.46936482</v>
      </c>
      <c r="U133" s="43">
        <f t="shared" si="60"/>
        <v>302145926.80944133</v>
      </c>
      <c r="V133" s="43">
        <f t="shared" si="60"/>
        <v>310035361.68306315</v>
      </c>
      <c r="W133" s="43">
        <f t="shared" si="60"/>
        <v>333267648.66901404</v>
      </c>
      <c r="X133" s="43">
        <f t="shared" si="60"/>
        <v>382190181.06108606</v>
      </c>
      <c r="Y133" s="43">
        <f t="shared" si="60"/>
        <v>374734546.81470448</v>
      </c>
      <c r="Z133" s="43">
        <f t="shared" si="60"/>
        <v>364564874.90567803</v>
      </c>
      <c r="AA133" s="43">
        <f t="shared" si="60"/>
        <v>377661627.21951401</v>
      </c>
      <c r="AB133" s="43">
        <f t="shared" si="60"/>
        <v>388699338.74496806</v>
      </c>
      <c r="AC133" s="43">
        <f t="shared" si="60"/>
        <v>419557401.74615932</v>
      </c>
      <c r="AD133" s="43">
        <f t="shared" si="60"/>
        <v>455954972.57430661</v>
      </c>
      <c r="AE133" s="43">
        <f t="shared" si="60"/>
        <v>447896277.22809637</v>
      </c>
      <c r="AF133" s="43">
        <f t="shared" si="60"/>
        <v>380908435.01191199</v>
      </c>
      <c r="AG133" s="43">
        <f t="shared" si="60"/>
        <v>404410068.94132507</v>
      </c>
      <c r="AH133" s="43">
        <f t="shared" si="60"/>
        <v>425269354.6099056</v>
      </c>
      <c r="AI133" s="43">
        <f t="shared" si="60"/>
        <v>454432456.13873547</v>
      </c>
      <c r="AJ133" s="43">
        <f t="shared" si="60"/>
        <v>463256867.82148373</v>
      </c>
      <c r="AK133" s="43">
        <f t="shared" si="60"/>
        <v>460852591.89128685</v>
      </c>
      <c r="AL133" s="43">
        <f t="shared" si="60"/>
        <v>440194143.06517714</v>
      </c>
      <c r="AM133" s="43">
        <f t="shared" si="60"/>
        <v>457345231.31978309</v>
      </c>
      <c r="AN133" s="43">
        <f t="shared" si="60"/>
        <v>473284803.23802865</v>
      </c>
      <c r="AO133" s="43">
        <f t="shared" si="60"/>
        <v>489927725.03327161</v>
      </c>
      <c r="AP133" s="43">
        <f t="shared" si="60"/>
        <v>510617143.34046245</v>
      </c>
      <c r="AQ133" s="43">
        <f t="shared" si="60"/>
        <v>534351723.4829458</v>
      </c>
      <c r="AR133" s="42"/>
      <c r="AS133" s="40" t="s">
        <v>69</v>
      </c>
      <c r="AT133" s="42">
        <f t="shared" si="61"/>
        <v>166574961.40000001</v>
      </c>
      <c r="AU133" s="55">
        <f t="shared" si="62"/>
        <v>0.53572279921296739</v>
      </c>
    </row>
    <row r="134" spans="1:47">
      <c r="A134" s="40" t="s">
        <v>45</v>
      </c>
      <c r="B134" s="42">
        <f t="shared" si="63"/>
        <v>808785</v>
      </c>
      <c r="C134" s="42">
        <f t="shared" si="63"/>
        <v>66672418</v>
      </c>
      <c r="D134" s="42">
        <f t="shared" si="63"/>
        <v>100505695</v>
      </c>
      <c r="E134" s="42">
        <f t="shared" si="63"/>
        <v>102904815</v>
      </c>
      <c r="F134" s="42">
        <f t="shared" si="63"/>
        <v>105764586</v>
      </c>
      <c r="G134" s="42">
        <f t="shared" si="63"/>
        <v>108480953</v>
      </c>
      <c r="H134" s="42">
        <f t="shared" si="63"/>
        <v>144681459</v>
      </c>
      <c r="I134" s="42">
        <f t="shared" si="63"/>
        <v>127351289</v>
      </c>
      <c r="J134" s="42">
        <f t="shared" si="63"/>
        <v>170262713</v>
      </c>
      <c r="K134" s="42">
        <f t="shared" si="63"/>
        <v>183399062</v>
      </c>
      <c r="L134" s="42">
        <f t="shared" si="63"/>
        <v>195317443</v>
      </c>
      <c r="M134" s="42">
        <f t="shared" si="63"/>
        <v>209558943</v>
      </c>
      <c r="N134" s="42">
        <f t="shared" si="63"/>
        <v>245923375</v>
      </c>
      <c r="O134" s="42">
        <f t="shared" si="63"/>
        <v>315061064</v>
      </c>
      <c r="P134" s="42">
        <f t="shared" si="60"/>
        <v>349599891</v>
      </c>
      <c r="Q134" s="42">
        <f t="shared" si="60"/>
        <v>325231885</v>
      </c>
      <c r="R134" s="43">
        <f t="shared" si="60"/>
        <v>315897471.06282008</v>
      </c>
      <c r="S134" s="43">
        <f t="shared" si="60"/>
        <v>334880564.23151636</v>
      </c>
      <c r="T134" s="43">
        <f t="shared" si="60"/>
        <v>315232455.63367295</v>
      </c>
      <c r="U134" s="43">
        <f t="shared" si="60"/>
        <v>328891274.05076575</v>
      </c>
      <c r="V134" s="43">
        <f t="shared" si="60"/>
        <v>339343084.69563246</v>
      </c>
      <c r="W134" s="43">
        <f t="shared" si="60"/>
        <v>362472640.6493597</v>
      </c>
      <c r="X134" s="43">
        <f t="shared" si="60"/>
        <v>415781356.09632611</v>
      </c>
      <c r="Y134" s="43">
        <f t="shared" si="60"/>
        <v>407323528.88260233</v>
      </c>
      <c r="Z134" s="43">
        <f t="shared" si="60"/>
        <v>396550044.7766152</v>
      </c>
      <c r="AA134" s="43">
        <f t="shared" si="60"/>
        <v>410491051.39368641</v>
      </c>
      <c r="AB134" s="43">
        <f t="shared" si="60"/>
        <v>420652645.13686001</v>
      </c>
      <c r="AC134" s="43">
        <f t="shared" si="60"/>
        <v>452454144.84593421</v>
      </c>
      <c r="AD134" s="43">
        <f t="shared" si="60"/>
        <v>491219004.04198414</v>
      </c>
      <c r="AE134" s="43">
        <f t="shared" si="60"/>
        <v>482427908.19105482</v>
      </c>
      <c r="AF134" s="43">
        <f t="shared" si="60"/>
        <v>410221247.91738856</v>
      </c>
      <c r="AG134" s="43">
        <f t="shared" si="60"/>
        <v>435260383.24165952</v>
      </c>
      <c r="AH134" s="43">
        <f t="shared" si="60"/>
        <v>457526080.49698818</v>
      </c>
      <c r="AI134" s="43">
        <f t="shared" si="60"/>
        <v>488319298.15820539</v>
      </c>
      <c r="AJ134" s="43">
        <f t="shared" si="60"/>
        <v>497823378.49713051</v>
      </c>
      <c r="AK134" s="43">
        <f t="shared" si="60"/>
        <v>495287334.87162042</v>
      </c>
      <c r="AL134" s="43">
        <f t="shared" si="60"/>
        <v>473486366.15006721</v>
      </c>
      <c r="AM134" s="43">
        <f t="shared" si="60"/>
        <v>491421676.21624583</v>
      </c>
      <c r="AN134" s="43">
        <f t="shared" si="60"/>
        <v>508533062.48955637</v>
      </c>
      <c r="AO134" s="43">
        <f t="shared" si="60"/>
        <v>526382104.77102357</v>
      </c>
      <c r="AP134" s="43">
        <f t="shared" si="60"/>
        <v>548296452.57887793</v>
      </c>
      <c r="AQ134" s="43">
        <f t="shared" si="60"/>
        <v>565486379.33760536</v>
      </c>
      <c r="AR134" s="42"/>
      <c r="AS134" s="40" t="s">
        <v>70</v>
      </c>
      <c r="AT134" s="42">
        <f t="shared" si="61"/>
        <v>200892307.19999999</v>
      </c>
      <c r="AU134" s="55">
        <f t="shared" si="62"/>
        <v>0.56830825625561832</v>
      </c>
    </row>
    <row r="135" spans="1:47">
      <c r="A135" s="40" t="s">
        <v>46</v>
      </c>
      <c r="B135" s="42">
        <f t="shared" si="63"/>
        <v>522149</v>
      </c>
      <c r="C135" s="42">
        <f t="shared" si="63"/>
        <v>72267504</v>
      </c>
      <c r="D135" s="42">
        <f t="shared" si="63"/>
        <v>96133947</v>
      </c>
      <c r="E135" s="42">
        <f t="shared" si="63"/>
        <v>112717531</v>
      </c>
      <c r="F135" s="42">
        <f t="shared" si="63"/>
        <v>117066101</v>
      </c>
      <c r="G135" s="42">
        <f t="shared" si="63"/>
        <v>122236747</v>
      </c>
      <c r="H135" s="42">
        <f t="shared" si="63"/>
        <v>147519869</v>
      </c>
      <c r="I135" s="42">
        <f t="shared" si="63"/>
        <v>144727366</v>
      </c>
      <c r="J135" s="42">
        <f t="shared" si="63"/>
        <v>170388657</v>
      </c>
      <c r="K135" s="42">
        <f t="shared" si="63"/>
        <v>199445990</v>
      </c>
      <c r="L135" s="42">
        <f t="shared" si="63"/>
        <v>187994982</v>
      </c>
      <c r="M135" s="42">
        <f t="shared" si="63"/>
        <v>195030927</v>
      </c>
      <c r="N135" s="42">
        <f t="shared" si="63"/>
        <v>250767044</v>
      </c>
      <c r="O135" s="42">
        <f t="shared" si="63"/>
        <v>308243060</v>
      </c>
      <c r="P135" s="42">
        <f t="shared" si="60"/>
        <v>419223140</v>
      </c>
      <c r="Q135" s="43">
        <f t="shared" si="60"/>
        <v>333556024.20223278</v>
      </c>
      <c r="R135" s="43">
        <f t="shared" si="60"/>
        <v>315760446.96973675</v>
      </c>
      <c r="S135" s="43">
        <f t="shared" si="60"/>
        <v>336318203.77823782</v>
      </c>
      <c r="T135" s="43">
        <f t="shared" si="60"/>
        <v>314051137.28361785</v>
      </c>
      <c r="U135" s="43">
        <f t="shared" si="60"/>
        <v>331057236.05350769</v>
      </c>
      <c r="V135" s="43">
        <f t="shared" si="60"/>
        <v>343440186.4301309</v>
      </c>
      <c r="W135" s="43">
        <f t="shared" si="60"/>
        <v>362102920.42965585</v>
      </c>
      <c r="X135" s="43">
        <f t="shared" si="60"/>
        <v>414882979.27278036</v>
      </c>
      <c r="Y135" s="43">
        <f t="shared" si="60"/>
        <v>405936636.10143113</v>
      </c>
      <c r="Z135" s="43">
        <f t="shared" si="60"/>
        <v>395283488.5734058</v>
      </c>
      <c r="AA135" s="43">
        <f t="shared" si="60"/>
        <v>407984698.19257361</v>
      </c>
      <c r="AB135" s="43">
        <f t="shared" si="60"/>
        <v>415335906.42740893</v>
      </c>
      <c r="AC135" s="43">
        <f t="shared" si="60"/>
        <v>443826792.94116735</v>
      </c>
      <c r="AD135" s="43">
        <f t="shared" si="60"/>
        <v>480851321.47620118</v>
      </c>
      <c r="AE135" s="43">
        <f t="shared" si="60"/>
        <v>470310079.51427555</v>
      </c>
      <c r="AF135" s="43">
        <f t="shared" si="60"/>
        <v>397142634.45413291</v>
      </c>
      <c r="AG135" s="43">
        <f t="shared" si="60"/>
        <v>421899062.15213168</v>
      </c>
      <c r="AH135" s="43">
        <f t="shared" si="60"/>
        <v>443168292.08706474</v>
      </c>
      <c r="AI135" s="43">
        <f t="shared" si="60"/>
        <v>471739459.76252985</v>
      </c>
      <c r="AJ135" s="43">
        <f t="shared" si="60"/>
        <v>480849570.6608116</v>
      </c>
      <c r="AK135" s="43">
        <f t="shared" si="60"/>
        <v>478410297.639678</v>
      </c>
      <c r="AL135" s="43">
        <f t="shared" si="60"/>
        <v>457258316.91853052</v>
      </c>
      <c r="AM135" s="43">
        <f t="shared" si="60"/>
        <v>474789595.63799441</v>
      </c>
      <c r="AN135" s="43">
        <f t="shared" si="60"/>
        <v>491225904.42676377</v>
      </c>
      <c r="AO135" s="43">
        <f t="shared" si="60"/>
        <v>508386097.22675973</v>
      </c>
      <c r="AP135" s="43">
        <f t="shared" si="60"/>
        <v>529693376.26014328</v>
      </c>
      <c r="AQ135" s="43">
        <f t="shared" si="60"/>
        <v>553612787.51322806</v>
      </c>
      <c r="AR135" s="42"/>
      <c r="AS135" s="40" t="s">
        <v>71</v>
      </c>
      <c r="AT135" s="42">
        <f t="shared" si="61"/>
        <v>200725520</v>
      </c>
      <c r="AU135" s="55">
        <f t="shared" si="62"/>
        <v>0.53564459566476641</v>
      </c>
    </row>
    <row r="136" spans="1:47">
      <c r="A136" s="40" t="s">
        <v>47</v>
      </c>
      <c r="B136" s="42">
        <f t="shared" si="63"/>
        <v>485714</v>
      </c>
      <c r="C136" s="42">
        <f t="shared" si="63"/>
        <v>85403398</v>
      </c>
      <c r="D136" s="42">
        <f t="shared" si="63"/>
        <v>111321006</v>
      </c>
      <c r="E136" s="42">
        <f t="shared" si="63"/>
        <v>121774345</v>
      </c>
      <c r="F136" s="42">
        <f t="shared" si="63"/>
        <v>126593595</v>
      </c>
      <c r="G136" s="42">
        <f t="shared" si="63"/>
        <v>137271488</v>
      </c>
      <c r="H136" s="42">
        <f t="shared" si="63"/>
        <v>157219851</v>
      </c>
      <c r="I136" s="42">
        <f t="shared" si="63"/>
        <v>171466810</v>
      </c>
      <c r="J136" s="42">
        <f t="shared" si="63"/>
        <v>187743693</v>
      </c>
      <c r="K136" s="42">
        <f t="shared" si="63"/>
        <v>204425291</v>
      </c>
      <c r="L136" s="42">
        <f t="shared" si="63"/>
        <v>189595394</v>
      </c>
      <c r="M136" s="42">
        <f t="shared" si="63"/>
        <v>210553387</v>
      </c>
      <c r="N136" s="42">
        <f t="shared" si="63"/>
        <v>275950965</v>
      </c>
      <c r="O136" s="42">
        <f t="shared" si="63"/>
        <v>392858867</v>
      </c>
      <c r="P136" s="42">
        <f t="shared" si="60"/>
        <v>363887702</v>
      </c>
      <c r="Q136" s="43">
        <f t="shared" si="60"/>
        <v>336604084.54511553</v>
      </c>
      <c r="R136" s="43">
        <f t="shared" si="60"/>
        <v>346409874.10470498</v>
      </c>
      <c r="S136" s="43">
        <f t="shared" si="60"/>
        <v>370289129.56314331</v>
      </c>
      <c r="T136" s="43">
        <f t="shared" si="60"/>
        <v>348222075.6711337</v>
      </c>
      <c r="U136" s="43">
        <f t="shared" si="60"/>
        <v>363149293.11611742</v>
      </c>
      <c r="V136" s="43">
        <f t="shared" si="60"/>
        <v>377777260.82707131</v>
      </c>
      <c r="W136" s="43">
        <f t="shared" si="60"/>
        <v>399133131.30130482</v>
      </c>
      <c r="X136" s="43">
        <f t="shared" si="60"/>
        <v>457895582.81737041</v>
      </c>
      <c r="Y136" s="43">
        <f t="shared" si="60"/>
        <v>448162321.73992038</v>
      </c>
      <c r="Z136" s="43">
        <f t="shared" si="60"/>
        <v>435989118.5996415</v>
      </c>
      <c r="AA136" s="43">
        <f t="shared" si="60"/>
        <v>450587933.57003218</v>
      </c>
      <c r="AB136" s="43">
        <f t="shared" si="60"/>
        <v>459666251.72867358</v>
      </c>
      <c r="AC136" s="43">
        <f t="shared" si="60"/>
        <v>492245199.61172044</v>
      </c>
      <c r="AD136" s="43">
        <f t="shared" si="60"/>
        <v>533613995.38358545</v>
      </c>
      <c r="AE136" s="43">
        <f t="shared" si="60"/>
        <v>522357625.45512897</v>
      </c>
      <c r="AF136" s="43">
        <f t="shared" si="60"/>
        <v>441754143.68163592</v>
      </c>
      <c r="AG136" s="43">
        <f t="shared" si="60"/>
        <v>469229926.83571303</v>
      </c>
      <c r="AH136" s="43">
        <f t="shared" si="60"/>
        <v>492998850.04448926</v>
      </c>
      <c r="AI136" s="43">
        <f t="shared" si="60"/>
        <v>525199034.09262758</v>
      </c>
      <c r="AJ136" s="43">
        <f t="shared" si="60"/>
        <v>535353797.33442706</v>
      </c>
      <c r="AK136" s="43">
        <f t="shared" si="60"/>
        <v>532627831.78934491</v>
      </c>
      <c r="AL136" s="43">
        <f t="shared" si="60"/>
        <v>509003874.2078619</v>
      </c>
      <c r="AM136" s="43">
        <f t="shared" si="60"/>
        <v>528591768.32353652</v>
      </c>
      <c r="AN136" s="43">
        <f t="shared" si="60"/>
        <v>546915796.11714184</v>
      </c>
      <c r="AO136" s="43">
        <f t="shared" si="60"/>
        <v>566048204.01648915</v>
      </c>
      <c r="AP136" s="43">
        <f t="shared" si="60"/>
        <v>589814381.63222516</v>
      </c>
      <c r="AQ136" s="43">
        <f t="shared" si="60"/>
        <v>616694032.56507218</v>
      </c>
      <c r="AR136" s="42"/>
      <c r="AS136" s="40" t="s">
        <v>47</v>
      </c>
      <c r="AT136" s="42">
        <f t="shared" si="61"/>
        <v>213653746</v>
      </c>
      <c r="AU136" s="62">
        <f t="shared" si="62"/>
        <v>0.8387642358491576</v>
      </c>
    </row>
    <row r="137" spans="1:47">
      <c r="A137" s="40" t="s">
        <v>48</v>
      </c>
      <c r="B137" s="42">
        <f t="shared" si="63"/>
        <v>637838</v>
      </c>
      <c r="C137" s="42">
        <f t="shared" si="63"/>
        <v>82769003</v>
      </c>
      <c r="D137" s="42">
        <f t="shared" si="63"/>
        <v>110206272</v>
      </c>
      <c r="E137" s="42">
        <f t="shared" si="63"/>
        <v>124795885</v>
      </c>
      <c r="F137" s="42">
        <f t="shared" si="63"/>
        <v>129338646</v>
      </c>
      <c r="G137" s="42">
        <f t="shared" si="63"/>
        <v>145339534</v>
      </c>
      <c r="H137" s="42">
        <f t="shared" si="63"/>
        <v>165163257</v>
      </c>
      <c r="I137" s="42">
        <f t="shared" si="63"/>
        <v>162758314</v>
      </c>
      <c r="J137" s="42">
        <f t="shared" si="63"/>
        <v>172932248</v>
      </c>
      <c r="K137" s="42">
        <f t="shared" si="63"/>
        <v>183863075</v>
      </c>
      <c r="L137" s="42">
        <f t="shared" si="63"/>
        <v>218727266</v>
      </c>
      <c r="M137" s="42">
        <f t="shared" si="63"/>
        <v>223316663</v>
      </c>
      <c r="N137" s="42">
        <f t="shared" si="63"/>
        <v>259108496</v>
      </c>
      <c r="O137" s="42">
        <f t="shared" si="63"/>
        <v>355497294</v>
      </c>
      <c r="P137" s="42">
        <f t="shared" si="60"/>
        <v>417842067</v>
      </c>
      <c r="Q137" s="43">
        <f t="shared" si="60"/>
        <v>335640360.73577654</v>
      </c>
      <c r="R137" s="43">
        <f t="shared" si="60"/>
        <v>344082582.21188647</v>
      </c>
      <c r="S137" s="43">
        <f t="shared" si="60"/>
        <v>366696022.98136091</v>
      </c>
      <c r="T137" s="43">
        <f t="shared" si="60"/>
        <v>345698442.28692228</v>
      </c>
      <c r="U137" s="43">
        <f t="shared" si="60"/>
        <v>361209002.08183283</v>
      </c>
      <c r="V137" s="43">
        <f t="shared" si="60"/>
        <v>376267192.89269936</v>
      </c>
      <c r="W137" s="43">
        <f t="shared" si="60"/>
        <v>396898013.3140074</v>
      </c>
      <c r="X137" s="43">
        <f t="shared" si="60"/>
        <v>455351052.19930476</v>
      </c>
      <c r="Y137" s="43">
        <f t="shared" si="60"/>
        <v>446089537.33696258</v>
      </c>
      <c r="Z137" s="43">
        <f t="shared" si="60"/>
        <v>434308714.85745615</v>
      </c>
      <c r="AA137" s="43">
        <f t="shared" si="60"/>
        <v>449020429.86621666</v>
      </c>
      <c r="AB137" s="43">
        <f t="shared" si="60"/>
        <v>458118745.23861033</v>
      </c>
      <c r="AC137" s="43">
        <f t="shared" si="60"/>
        <v>490992759.07340783</v>
      </c>
      <c r="AD137" s="43">
        <f t="shared" si="60"/>
        <v>532472461.97728693</v>
      </c>
      <c r="AE137" s="43">
        <f t="shared" si="60"/>
        <v>521869825.16245937</v>
      </c>
      <c r="AF137" s="43">
        <f t="shared" si="60"/>
        <v>442253640.61906856</v>
      </c>
      <c r="AG137" s="43">
        <f t="shared" si="60"/>
        <v>469468076.21208549</v>
      </c>
      <c r="AH137" s="43">
        <f t="shared" si="60"/>
        <v>493292903.73489892</v>
      </c>
      <c r="AI137" s="43">
        <f t="shared" si="60"/>
        <v>525719734.67221421</v>
      </c>
      <c r="AJ137" s="43">
        <f t="shared" si="60"/>
        <v>535914890.94464839</v>
      </c>
      <c r="AK137" s="43">
        <f t="shared" si="60"/>
        <v>533197742.50708616</v>
      </c>
      <c r="AL137" s="43">
        <f t="shared" si="60"/>
        <v>509744838.90652007</v>
      </c>
      <c r="AM137" s="43">
        <f t="shared" si="60"/>
        <v>529081630.38691235</v>
      </c>
      <c r="AN137" s="43">
        <f t="shared" si="60"/>
        <v>547449917.71470785</v>
      </c>
      <c r="AO137" s="43">
        <f t="shared" si="60"/>
        <v>566614945.27590919</v>
      </c>
      <c r="AP137" s="43">
        <f t="shared" si="60"/>
        <v>590227461.42166948</v>
      </c>
      <c r="AQ137" s="43">
        <f t="shared" si="60"/>
        <v>611161362.66956925</v>
      </c>
      <c r="AR137" s="42"/>
      <c r="AS137" s="40" t="s">
        <v>72</v>
      </c>
      <c r="AT137" s="42">
        <f t="shared" si="61"/>
        <v>211589549.59999999</v>
      </c>
      <c r="AU137" s="62">
        <f t="shared" si="62"/>
        <v>0.68012689980223873</v>
      </c>
    </row>
    <row r="138" spans="1:47">
      <c r="A138" s="40" t="s">
        <v>49</v>
      </c>
      <c r="B138" s="42">
        <f t="shared" si="63"/>
        <v>36866822</v>
      </c>
      <c r="C138" s="42">
        <f t="shared" si="63"/>
        <v>93500937</v>
      </c>
      <c r="D138" s="42">
        <f t="shared" si="63"/>
        <v>103621114</v>
      </c>
      <c r="E138" s="42">
        <f t="shared" si="63"/>
        <v>144203397</v>
      </c>
      <c r="F138" s="42">
        <f t="shared" si="63"/>
        <v>142241597</v>
      </c>
      <c r="G138" s="42">
        <f t="shared" si="63"/>
        <v>144694288</v>
      </c>
      <c r="H138" s="42">
        <f t="shared" si="63"/>
        <v>157483286</v>
      </c>
      <c r="I138" s="42">
        <f t="shared" si="63"/>
        <v>169942173</v>
      </c>
      <c r="J138" s="42">
        <f t="shared" si="63"/>
        <v>180333384</v>
      </c>
      <c r="K138" s="42">
        <f t="shared" si="63"/>
        <v>215734916</v>
      </c>
      <c r="L138" s="42">
        <f t="shared" si="63"/>
        <v>209422664</v>
      </c>
      <c r="M138" s="42">
        <f t="shared" si="63"/>
        <v>216390911</v>
      </c>
      <c r="N138" s="42">
        <f t="shared" si="63"/>
        <v>246521404</v>
      </c>
      <c r="O138" s="42">
        <f t="shared" si="63"/>
        <v>325390007</v>
      </c>
      <c r="P138" s="42">
        <f t="shared" si="60"/>
        <v>438044440</v>
      </c>
      <c r="Q138" s="43">
        <f t="shared" si="60"/>
        <v>329500858.04027081</v>
      </c>
      <c r="R138" s="43">
        <f t="shared" si="60"/>
        <v>336423171.45047593</v>
      </c>
      <c r="S138" s="43">
        <f t="shared" si="60"/>
        <v>358802441.84136152</v>
      </c>
      <c r="T138" s="43">
        <f t="shared" si="60"/>
        <v>338109136.28075808</v>
      </c>
      <c r="U138" s="43">
        <f t="shared" si="60"/>
        <v>356035856.53038508</v>
      </c>
      <c r="V138" s="43">
        <f t="shared" si="60"/>
        <v>368310784.97087562</v>
      </c>
      <c r="W138" s="43">
        <f t="shared" si="60"/>
        <v>388602984.98465908</v>
      </c>
      <c r="X138" s="43">
        <f t="shared" si="60"/>
        <v>445949608.43183327</v>
      </c>
      <c r="Y138" s="43">
        <f t="shared" si="60"/>
        <v>436906551.67090434</v>
      </c>
      <c r="Z138" s="43">
        <f t="shared" si="60"/>
        <v>425404593.03075755</v>
      </c>
      <c r="AA138" s="43">
        <f t="shared" si="60"/>
        <v>439301835.68872774</v>
      </c>
      <c r="AB138" s="43">
        <f t="shared" si="60"/>
        <v>448070526.38710809</v>
      </c>
      <c r="AC138" s="43">
        <f t="shared" si="60"/>
        <v>479905752.25676095</v>
      </c>
      <c r="AD138" s="43">
        <f t="shared" si="60"/>
        <v>520323032.67569888</v>
      </c>
      <c r="AE138" s="43">
        <f t="shared" si="60"/>
        <v>509549734.43242896</v>
      </c>
      <c r="AF138" s="43">
        <f t="shared" si="60"/>
        <v>431194437.38744241</v>
      </c>
      <c r="AG138" s="43">
        <f t="shared" si="60"/>
        <v>457904692.47888511</v>
      </c>
      <c r="AH138" s="43">
        <f t="shared" si="60"/>
        <v>481111003.17679477</v>
      </c>
      <c r="AI138" s="43">
        <f t="shared" si="60"/>
        <v>512566835.75646478</v>
      </c>
      <c r="AJ138" s="43">
        <f t="shared" si="60"/>
        <v>522485072.07173431</v>
      </c>
      <c r="AK138" s="43">
        <f t="shared" si="60"/>
        <v>519827771.16387391</v>
      </c>
      <c r="AL138" s="43">
        <f t="shared" si="60"/>
        <v>496870398.41499686</v>
      </c>
      <c r="AM138" s="43">
        <f t="shared" si="60"/>
        <v>515859924.73522031</v>
      </c>
      <c r="AN138" s="43">
        <f t="shared" si="60"/>
        <v>533750573.75040489</v>
      </c>
      <c r="AO138" s="43">
        <f t="shared" si="60"/>
        <v>552423831.49842799</v>
      </c>
      <c r="AP138" s="43">
        <f t="shared" si="60"/>
        <v>575534234.57378948</v>
      </c>
      <c r="AQ138" s="43">
        <f t="shared" si="60"/>
        <v>599145498.34408224</v>
      </c>
      <c r="AR138" s="42"/>
      <c r="AS138" s="40" t="s">
        <v>73</v>
      </c>
      <c r="AT138" s="42">
        <f t="shared" si="61"/>
        <v>213680655.80000001</v>
      </c>
      <c r="AU138" s="62">
        <f t="shared" si="62"/>
        <v>0.522786448692657</v>
      </c>
    </row>
    <row r="139" spans="1:47">
      <c r="A139" s="40" t="s">
        <v>50</v>
      </c>
      <c r="B139" s="42">
        <f t="shared" si="63"/>
        <v>33093115</v>
      </c>
      <c r="C139" s="42">
        <f t="shared" si="63"/>
        <v>109398807</v>
      </c>
      <c r="D139" s="42">
        <f t="shared" si="63"/>
        <v>101834540</v>
      </c>
      <c r="E139" s="42">
        <f t="shared" si="63"/>
        <v>145143396</v>
      </c>
      <c r="F139" s="42">
        <f t="shared" si="63"/>
        <v>129493916</v>
      </c>
      <c r="G139" s="42">
        <f t="shared" si="63"/>
        <v>140711075</v>
      </c>
      <c r="H139" s="42">
        <f t="shared" si="63"/>
        <v>186446363</v>
      </c>
      <c r="I139" s="42">
        <f t="shared" si="63"/>
        <v>182209088</v>
      </c>
      <c r="J139" s="42">
        <f t="shared" si="63"/>
        <v>196655898</v>
      </c>
      <c r="K139" s="42">
        <f t="shared" si="63"/>
        <v>183779313</v>
      </c>
      <c r="L139" s="42">
        <f t="shared" si="63"/>
        <v>215446153</v>
      </c>
      <c r="M139" s="42">
        <f t="shared" si="63"/>
        <v>236974765</v>
      </c>
      <c r="N139" s="42">
        <f t="shared" si="63"/>
        <v>274082072</v>
      </c>
      <c r="O139" s="42">
        <f t="shared" si="63"/>
        <v>389068746</v>
      </c>
      <c r="P139" s="42">
        <f t="shared" si="60"/>
        <v>399091141</v>
      </c>
      <c r="Q139" s="43">
        <f t="shared" si="60"/>
        <v>340510884.68738675</v>
      </c>
      <c r="R139" s="43">
        <f t="shared" si="60"/>
        <v>347717361.55609894</v>
      </c>
      <c r="S139" s="43">
        <f t="shared" si="60"/>
        <v>370747118.16185254</v>
      </c>
      <c r="T139" s="43">
        <f t="shared" si="60"/>
        <v>348015509.09001362</v>
      </c>
      <c r="U139" s="43">
        <f t="shared" si="60"/>
        <v>365456046.15645558</v>
      </c>
      <c r="V139" s="43">
        <f t="shared" si="60"/>
        <v>380133856.45466679</v>
      </c>
      <c r="W139" s="43">
        <f t="shared" si="60"/>
        <v>400670362.56768084</v>
      </c>
      <c r="X139" s="43">
        <f t="shared" si="60"/>
        <v>459275277.32767361</v>
      </c>
      <c r="Y139" s="43">
        <f t="shared" si="60"/>
        <v>449843275.21542436</v>
      </c>
      <c r="Z139" s="43">
        <f t="shared" si="60"/>
        <v>438356970.2217862</v>
      </c>
      <c r="AA139" s="43">
        <f t="shared" si="60"/>
        <v>452910407.16245782</v>
      </c>
      <c r="AB139" s="43">
        <f t="shared" si="60"/>
        <v>461280964.91788769</v>
      </c>
      <c r="AC139" s="43">
        <f t="shared" si="60"/>
        <v>493611670.02040946</v>
      </c>
      <c r="AD139" s="43">
        <f t="shared" si="60"/>
        <v>535124517.48502815</v>
      </c>
      <c r="AE139" s="43">
        <f t="shared" si="60"/>
        <v>524536915.04624671</v>
      </c>
      <c r="AF139" s="43">
        <f t="shared" si="60"/>
        <v>444614592.99306947</v>
      </c>
      <c r="AG139" s="43">
        <f t="shared" si="60"/>
        <v>471796224.73070395</v>
      </c>
      <c r="AH139" s="43">
        <f t="shared" si="60"/>
        <v>495651419.93837291</v>
      </c>
      <c r="AI139" s="43">
        <f t="shared" si="60"/>
        <v>527980634.13499349</v>
      </c>
      <c r="AJ139" s="43">
        <f t="shared" si="60"/>
        <v>538236622.76712573</v>
      </c>
      <c r="AK139" s="43">
        <f t="shared" si="60"/>
        <v>535530101.63227451</v>
      </c>
      <c r="AL139" s="43">
        <f t="shared" si="60"/>
        <v>512206030.1896736</v>
      </c>
      <c r="AM139" s="43">
        <f t="shared" si="60"/>
        <v>531336664.36974812</v>
      </c>
      <c r="AN139" s="43">
        <f t="shared" si="60"/>
        <v>549780248.74316454</v>
      </c>
      <c r="AO139" s="43">
        <f t="shared" si="60"/>
        <v>569012262.5978272</v>
      </c>
      <c r="AP139" s="43">
        <f t="shared" si="60"/>
        <v>592539356.05597746</v>
      </c>
      <c r="AQ139" s="43">
        <f t="shared" si="60"/>
        <v>608422157.3661654</v>
      </c>
      <c r="AR139" s="42"/>
      <c r="AS139" s="40" t="s">
        <v>74</v>
      </c>
      <c r="AT139" s="42">
        <f t="shared" si="61"/>
        <v>221387640.19999999</v>
      </c>
      <c r="AU139" s="62">
        <f t="shared" si="62"/>
        <v>0.75740951775138909</v>
      </c>
    </row>
    <row r="140" spans="1:47">
      <c r="A140" s="40" t="s">
        <v>51</v>
      </c>
      <c r="B140" s="42">
        <f t="shared" si="63"/>
        <v>42458272</v>
      </c>
      <c r="C140" s="42">
        <f t="shared" si="63"/>
        <v>120126577</v>
      </c>
      <c r="D140" s="42">
        <f t="shared" si="63"/>
        <v>85078023</v>
      </c>
      <c r="E140" s="42">
        <f t="shared" si="63"/>
        <v>145289673</v>
      </c>
      <c r="F140" s="42">
        <f t="shared" si="63"/>
        <v>130484616</v>
      </c>
      <c r="G140" s="42">
        <f t="shared" si="63"/>
        <v>131675413</v>
      </c>
      <c r="H140" s="42">
        <f t="shared" si="63"/>
        <v>165879466</v>
      </c>
      <c r="I140" s="42">
        <f t="shared" si="63"/>
        <v>170300253</v>
      </c>
      <c r="J140" s="42">
        <f t="shared" si="63"/>
        <v>189254812</v>
      </c>
      <c r="K140" s="42">
        <f t="shared" si="63"/>
        <v>184352191</v>
      </c>
      <c r="L140" s="42">
        <f t="shared" si="63"/>
        <v>215977990</v>
      </c>
      <c r="M140" s="42">
        <f t="shared" si="63"/>
        <v>195682280</v>
      </c>
      <c r="N140" s="42">
        <f t="shared" si="63"/>
        <v>269474323</v>
      </c>
      <c r="O140" s="42">
        <f t="shared" si="63"/>
        <v>378895143</v>
      </c>
      <c r="P140" s="42">
        <f t="shared" si="60"/>
        <v>390395413</v>
      </c>
      <c r="Q140" s="43">
        <f t="shared" si="60"/>
        <v>335307245.15658617</v>
      </c>
      <c r="R140" s="43">
        <f t="shared" si="60"/>
        <v>342327748.36445677</v>
      </c>
      <c r="S140" s="43">
        <f t="shared" si="60"/>
        <v>366729630.92041957</v>
      </c>
      <c r="T140" s="43">
        <f t="shared" si="60"/>
        <v>345258190.592264</v>
      </c>
      <c r="U140" s="43">
        <f t="shared" si="60"/>
        <v>361736000.3740409</v>
      </c>
      <c r="V140" s="43">
        <f t="shared" si="60"/>
        <v>376340467.37336409</v>
      </c>
      <c r="W140" s="43">
        <f t="shared" si="60"/>
        <v>397209231.6271342</v>
      </c>
      <c r="X140" s="43">
        <f t="shared" si="60"/>
        <v>456307750.17104673</v>
      </c>
      <c r="Y140" s="43">
        <f t="shared" si="60"/>
        <v>447175276.91724801</v>
      </c>
      <c r="Z140" s="43">
        <f t="shared" si="60"/>
        <v>435590821.66408581</v>
      </c>
      <c r="AA140" s="43">
        <f t="shared" si="60"/>
        <v>450639046.59829479</v>
      </c>
      <c r="AB140" s="43">
        <f t="shared" si="60"/>
        <v>460590748.80853575</v>
      </c>
      <c r="AC140" s="43">
        <f t="shared" si="60"/>
        <v>494701674.84454715</v>
      </c>
      <c r="AD140" s="43">
        <f t="shared" si="60"/>
        <v>536846875.45549476</v>
      </c>
      <c r="AE140" s="43">
        <f t="shared" si="60"/>
        <v>526802705.16571295</v>
      </c>
      <c r="AF140" s="43">
        <f t="shared" si="60"/>
        <v>447306068.53174406</v>
      </c>
      <c r="AG140" s="43">
        <f t="shared" si="60"/>
        <v>474669785.62795627</v>
      </c>
      <c r="AH140" s="43">
        <f t="shared" ref="AH140:AQ143" si="64">AH91+AH27</f>
        <v>498874739.471187</v>
      </c>
      <c r="AI140" s="43">
        <f t="shared" si="64"/>
        <v>532100550.93821347</v>
      </c>
      <c r="AJ140" s="43">
        <f t="shared" si="64"/>
        <v>542443035.0217092</v>
      </c>
      <c r="AK140" s="43">
        <f t="shared" si="64"/>
        <v>539683766.96547377</v>
      </c>
      <c r="AL140" s="43">
        <f t="shared" si="64"/>
        <v>515956082.10271513</v>
      </c>
      <c r="AM140" s="43">
        <f t="shared" si="64"/>
        <v>535486673.21905267</v>
      </c>
      <c r="AN140" s="43">
        <f t="shared" si="64"/>
        <v>554109131.99792707</v>
      </c>
      <c r="AO140" s="43">
        <f t="shared" si="64"/>
        <v>573534858.35286057</v>
      </c>
      <c r="AP140" s="43">
        <f t="shared" si="64"/>
        <v>597404617.89341974</v>
      </c>
      <c r="AQ140" s="43">
        <f t="shared" si="64"/>
        <v>616612489.70249104</v>
      </c>
      <c r="AR140" s="42"/>
      <c r="AS140" s="40" t="s">
        <v>75</v>
      </c>
      <c r="AT140" s="42">
        <f t="shared" si="61"/>
        <v>210948319.19999999</v>
      </c>
      <c r="AU140" s="62">
        <f t="shared" si="62"/>
        <v>0.79615151444164733</v>
      </c>
    </row>
    <row r="141" spans="1:47">
      <c r="A141" s="40" t="s">
        <v>52</v>
      </c>
      <c r="B141" s="42">
        <f t="shared" si="63"/>
        <v>38387858</v>
      </c>
      <c r="C141" s="42">
        <f t="shared" si="63"/>
        <v>120595576</v>
      </c>
      <c r="D141" s="42">
        <f t="shared" si="63"/>
        <v>84566099</v>
      </c>
      <c r="E141" s="42">
        <f t="shared" si="63"/>
        <v>150373610</v>
      </c>
      <c r="F141" s="42">
        <f t="shared" si="63"/>
        <v>136059952</v>
      </c>
      <c r="G141" s="42">
        <f t="shared" si="63"/>
        <v>118445037</v>
      </c>
      <c r="H141" s="42">
        <f t="shared" si="63"/>
        <v>163725133</v>
      </c>
      <c r="I141" s="42">
        <f t="shared" si="63"/>
        <v>174694745</v>
      </c>
      <c r="J141" s="42">
        <f t="shared" si="63"/>
        <v>210282252</v>
      </c>
      <c r="K141" s="42">
        <f t="shared" si="63"/>
        <v>195187583</v>
      </c>
      <c r="L141" s="42">
        <f t="shared" si="63"/>
        <v>174727256</v>
      </c>
      <c r="M141" s="42">
        <f t="shared" si="63"/>
        <v>217123852</v>
      </c>
      <c r="N141" s="42">
        <f t="shared" si="63"/>
        <v>251719923</v>
      </c>
      <c r="O141" s="42">
        <f t="shared" si="63"/>
        <v>358821932</v>
      </c>
      <c r="P141" s="42">
        <f t="shared" si="63"/>
        <v>437191897</v>
      </c>
      <c r="Q141" s="43">
        <f t="shared" si="63"/>
        <v>351097254.9348594</v>
      </c>
      <c r="R141" s="43">
        <f t="shared" ref="R141:AK143" si="65">R92+R28</f>
        <v>363478975.07065892</v>
      </c>
      <c r="S141" s="43">
        <f t="shared" si="65"/>
        <v>389928147.46970391</v>
      </c>
      <c r="T141" s="43">
        <f t="shared" si="65"/>
        <v>369653976.80240256</v>
      </c>
      <c r="U141" s="43">
        <f t="shared" si="65"/>
        <v>387018250.41348141</v>
      </c>
      <c r="V141" s="43">
        <f t="shared" si="65"/>
        <v>400661653.92875892</v>
      </c>
      <c r="W141" s="43">
        <f t="shared" si="65"/>
        <v>424156461.26974094</v>
      </c>
      <c r="X141" s="43">
        <f t="shared" si="65"/>
        <v>488307630.11073065</v>
      </c>
      <c r="Y141" s="43">
        <f t="shared" si="65"/>
        <v>478917810.82641816</v>
      </c>
      <c r="Z141" s="43">
        <f t="shared" si="65"/>
        <v>466090079.70429379</v>
      </c>
      <c r="AA141" s="43">
        <f t="shared" si="65"/>
        <v>482488637.78880817</v>
      </c>
      <c r="AB141" s="43">
        <f t="shared" si="65"/>
        <v>494962631.50964427</v>
      </c>
      <c r="AC141" s="43">
        <f t="shared" si="65"/>
        <v>533396922.59207296</v>
      </c>
      <c r="AD141" s="43">
        <f t="shared" si="65"/>
        <v>579333766.01281059</v>
      </c>
      <c r="AE141" s="43">
        <f t="shared" si="65"/>
        <v>568699069.40178895</v>
      </c>
      <c r="AF141" s="43">
        <f t="shared" si="65"/>
        <v>483131455.04788101</v>
      </c>
      <c r="AG141" s="43">
        <f t="shared" si="65"/>
        <v>512902211.86956435</v>
      </c>
      <c r="AH141" s="43">
        <f t="shared" si="65"/>
        <v>539257950.71749222</v>
      </c>
      <c r="AI141" s="43">
        <f t="shared" si="65"/>
        <v>575790892.65151894</v>
      </c>
      <c r="AJ141" s="43">
        <f t="shared" si="65"/>
        <v>586964226.08517599</v>
      </c>
      <c r="AK141" s="43">
        <f t="shared" si="65"/>
        <v>583936107.53793287</v>
      </c>
      <c r="AL141" s="43">
        <f t="shared" si="64"/>
        <v>557902052.16703486</v>
      </c>
      <c r="AM141" s="43">
        <f t="shared" si="64"/>
        <v>579476617.53863776</v>
      </c>
      <c r="AN141" s="43">
        <f t="shared" si="64"/>
        <v>599649175.44603133</v>
      </c>
      <c r="AO141" s="43">
        <f t="shared" si="64"/>
        <v>620707711.40832281</v>
      </c>
      <c r="AP141" s="43">
        <f t="shared" si="64"/>
        <v>646820065.27627325</v>
      </c>
      <c r="AQ141" s="43">
        <f t="shared" si="64"/>
        <v>674735189.90086234</v>
      </c>
      <c r="AR141" s="42"/>
      <c r="AS141" s="40" t="s">
        <v>76</v>
      </c>
      <c r="AT141" s="42">
        <f t="shared" si="61"/>
        <v>209808173.19999999</v>
      </c>
      <c r="AU141" s="62">
        <f t="shared" si="62"/>
        <v>0.71023810239247642</v>
      </c>
    </row>
    <row r="142" spans="1:47">
      <c r="A142" s="40" t="s">
        <v>53</v>
      </c>
      <c r="B142" s="42">
        <f t="shared" si="63"/>
        <v>33382256</v>
      </c>
      <c r="C142" s="42">
        <f t="shared" si="63"/>
        <v>111017430</v>
      </c>
      <c r="D142" s="42">
        <f t="shared" si="63"/>
        <v>73605989</v>
      </c>
      <c r="E142" s="42">
        <f t="shared" si="63"/>
        <v>127579691</v>
      </c>
      <c r="F142" s="42">
        <f t="shared" si="63"/>
        <v>113806657</v>
      </c>
      <c r="G142" s="42">
        <f t="shared" si="63"/>
        <v>109132284</v>
      </c>
      <c r="H142" s="42">
        <f t="shared" si="63"/>
        <v>167068922</v>
      </c>
      <c r="I142" s="42">
        <f t="shared" si="63"/>
        <v>171006724</v>
      </c>
      <c r="J142" s="42">
        <f t="shared" si="63"/>
        <v>191105939</v>
      </c>
      <c r="K142" s="42">
        <f t="shared" si="63"/>
        <v>161654275</v>
      </c>
      <c r="L142" s="42">
        <f t="shared" si="63"/>
        <v>191888646</v>
      </c>
      <c r="M142" s="42">
        <f t="shared" si="63"/>
        <v>242717836</v>
      </c>
      <c r="N142" s="42">
        <f t="shared" si="63"/>
        <v>313083206</v>
      </c>
      <c r="O142" s="42">
        <f t="shared" si="63"/>
        <v>341804854</v>
      </c>
      <c r="P142" s="42">
        <f t="shared" si="63"/>
        <v>394379226</v>
      </c>
      <c r="Q142" s="43">
        <f t="shared" si="63"/>
        <v>363595611.95578492</v>
      </c>
      <c r="R142" s="43">
        <f t="shared" si="65"/>
        <v>408636758.42915082</v>
      </c>
      <c r="S142" s="43">
        <f t="shared" si="65"/>
        <v>439829668.79374492</v>
      </c>
      <c r="T142" s="43">
        <f t="shared" si="65"/>
        <v>419757297.91173661</v>
      </c>
      <c r="U142" s="43">
        <f t="shared" si="65"/>
        <v>437360977.25278884</v>
      </c>
      <c r="V142" s="43">
        <f t="shared" si="65"/>
        <v>454421386.23805743</v>
      </c>
      <c r="W142" s="43">
        <f t="shared" si="65"/>
        <v>482798530.61370963</v>
      </c>
      <c r="X142" s="43">
        <f t="shared" si="65"/>
        <v>558469807.48562956</v>
      </c>
      <c r="Y142" s="43">
        <f t="shared" si="65"/>
        <v>548789184.28397286</v>
      </c>
      <c r="Z142" s="43">
        <f t="shared" si="65"/>
        <v>534004500.26870811</v>
      </c>
      <c r="AA142" s="43">
        <f t="shared" si="65"/>
        <v>555046207.0086478</v>
      </c>
      <c r="AB142" s="43">
        <f t="shared" si="65"/>
        <v>574839086.8997339</v>
      </c>
      <c r="AC142" s="43">
        <f t="shared" si="65"/>
        <v>625848526.64927387</v>
      </c>
      <c r="AD142" s="43">
        <f t="shared" si="65"/>
        <v>681747558.70333862</v>
      </c>
      <c r="AE142" s="43">
        <f t="shared" si="65"/>
        <v>671802222.82226443</v>
      </c>
      <c r="AF142" s="43">
        <f t="shared" si="65"/>
        <v>574180535.18960607</v>
      </c>
      <c r="AG142" s="43">
        <f t="shared" si="65"/>
        <v>609312412.99024975</v>
      </c>
      <c r="AH142" s="43">
        <f t="shared" si="65"/>
        <v>641326215.29501474</v>
      </c>
      <c r="AI142" s="43">
        <f t="shared" si="65"/>
        <v>687219818.31885481</v>
      </c>
      <c r="AJ142" s="43">
        <f t="shared" si="65"/>
        <v>700610166.65672696</v>
      </c>
      <c r="AK142" s="43">
        <f t="shared" si="65"/>
        <v>696904421.37053025</v>
      </c>
      <c r="AL142" s="43">
        <f t="shared" si="64"/>
        <v>665318364.16987324</v>
      </c>
      <c r="AM142" s="43">
        <f t="shared" si="64"/>
        <v>691595749.98254895</v>
      </c>
      <c r="AN142" s="43">
        <f t="shared" si="64"/>
        <v>715813124.01922727</v>
      </c>
      <c r="AO142" s="43">
        <f t="shared" si="64"/>
        <v>741102555.92704344</v>
      </c>
      <c r="AP142" s="43">
        <f t="shared" si="64"/>
        <v>772597254.81209981</v>
      </c>
      <c r="AQ142" s="43">
        <f t="shared" si="64"/>
        <v>810013155.54947913</v>
      </c>
      <c r="AR142" s="42"/>
      <c r="AS142" s="40" t="s">
        <v>77</v>
      </c>
      <c r="AT142" s="42">
        <f t="shared" si="61"/>
        <v>220089980.40000001</v>
      </c>
      <c r="AU142" s="62">
        <f t="shared" si="62"/>
        <v>0.5530232379447293</v>
      </c>
    </row>
    <row r="143" spans="1:47">
      <c r="A143" s="40" t="s">
        <v>54</v>
      </c>
      <c r="B143" s="42">
        <f t="shared" si="63"/>
        <v>35584935</v>
      </c>
      <c r="C143" s="42">
        <f t="shared" si="63"/>
        <v>157224377</v>
      </c>
      <c r="D143" s="42">
        <f t="shared" si="63"/>
        <v>62023322</v>
      </c>
      <c r="E143" s="42">
        <f t="shared" si="63"/>
        <v>174844154</v>
      </c>
      <c r="F143" s="42">
        <f t="shared" si="63"/>
        <v>186327796</v>
      </c>
      <c r="G143" s="42">
        <f t="shared" si="63"/>
        <v>123420598</v>
      </c>
      <c r="H143" s="42">
        <f t="shared" si="63"/>
        <v>214320226</v>
      </c>
      <c r="I143" s="42">
        <f t="shared" si="63"/>
        <v>188119511</v>
      </c>
      <c r="J143" s="42">
        <f t="shared" si="63"/>
        <v>230659809</v>
      </c>
      <c r="K143" s="42">
        <f t="shared" si="63"/>
        <v>192397741</v>
      </c>
      <c r="L143" s="42">
        <f t="shared" si="63"/>
        <v>233689213</v>
      </c>
      <c r="M143" s="42">
        <f t="shared" si="63"/>
        <v>283978702</v>
      </c>
      <c r="N143" s="42">
        <f t="shared" si="63"/>
        <v>299350561</v>
      </c>
      <c r="O143" s="42">
        <f t="shared" si="63"/>
        <v>410663125</v>
      </c>
      <c r="P143" s="42">
        <f t="shared" si="63"/>
        <v>488981922</v>
      </c>
      <c r="Q143" s="43">
        <f t="shared" si="63"/>
        <v>543118639.77715075</v>
      </c>
      <c r="R143" s="43">
        <f t="shared" si="65"/>
        <v>465668209.36011231</v>
      </c>
      <c r="S143" s="43">
        <f t="shared" si="65"/>
        <v>517095607.02827847</v>
      </c>
      <c r="T143" s="43">
        <f t="shared" si="65"/>
        <v>495537472.61230695</v>
      </c>
      <c r="U143" s="43">
        <f t="shared" si="65"/>
        <v>527269735.67419618</v>
      </c>
      <c r="V143" s="43">
        <f t="shared" si="65"/>
        <v>550293883.16791141</v>
      </c>
      <c r="W143" s="43">
        <f t="shared" si="65"/>
        <v>568605110.40083957</v>
      </c>
      <c r="X143" s="43">
        <f t="shared" si="65"/>
        <v>659972685.00808871</v>
      </c>
      <c r="Y143" s="43">
        <f t="shared" si="65"/>
        <v>629138417.93819833</v>
      </c>
      <c r="Z143" s="43">
        <f t="shared" si="65"/>
        <v>621576224.09383249</v>
      </c>
      <c r="AA143" s="43">
        <f t="shared" si="65"/>
        <v>642757629.39629114</v>
      </c>
      <c r="AB143" s="43">
        <f t="shared" si="65"/>
        <v>664839131.40503299</v>
      </c>
      <c r="AC143" s="43">
        <f t="shared" si="65"/>
        <v>719423319.96351421</v>
      </c>
      <c r="AD143" s="43">
        <f t="shared" si="65"/>
        <v>781132749.79145014</v>
      </c>
      <c r="AE143" s="43">
        <f t="shared" si="65"/>
        <v>769071257.10286009</v>
      </c>
      <c r="AF143" s="43">
        <f t="shared" si="65"/>
        <v>654817001.9986037</v>
      </c>
      <c r="AG143" s="43">
        <f t="shared" si="65"/>
        <v>695310959.36641395</v>
      </c>
      <c r="AH143" s="43">
        <f t="shared" si="65"/>
        <v>731322866.2604363</v>
      </c>
      <c r="AI143" s="43">
        <f t="shared" si="65"/>
        <v>782251215.03221428</v>
      </c>
      <c r="AJ143" s="43">
        <f t="shared" si="65"/>
        <v>797558615.69172108</v>
      </c>
      <c r="AK143" s="43">
        <f t="shared" si="65"/>
        <v>793355740.53215134</v>
      </c>
      <c r="AL143" s="43">
        <f t="shared" si="64"/>
        <v>757508804.7469281</v>
      </c>
      <c r="AM143" s="43">
        <f t="shared" si="64"/>
        <v>787339468.94231868</v>
      </c>
      <c r="AN143" s="43">
        <f t="shared" si="64"/>
        <v>814823014.47576916</v>
      </c>
      <c r="AO143" s="43">
        <f t="shared" si="64"/>
        <v>843541670.87977564</v>
      </c>
      <c r="AP143" s="43">
        <f t="shared" si="64"/>
        <v>879356614.99878728</v>
      </c>
      <c r="AQ143" s="43">
        <f t="shared" si="64"/>
        <v>924012770.77479303</v>
      </c>
      <c r="AR143" s="42"/>
      <c r="AS143" s="40" t="s">
        <v>78</v>
      </c>
      <c r="AT143" s="42">
        <f t="shared" si="61"/>
        <v>248015205.19999999</v>
      </c>
      <c r="AU143" s="62">
        <f t="shared" si="62"/>
        <v>0.65579817845781019</v>
      </c>
    </row>
    <row r="144" spans="1:47" ht="12" thickBot="1">
      <c r="A144" s="48" t="s">
        <v>29</v>
      </c>
      <c r="B144" s="49">
        <f t="shared" ref="B144:O144" si="66">SUM(B132:B143)</f>
        <v>223252090</v>
      </c>
      <c r="C144" s="49">
        <f t="shared" si="66"/>
        <v>1099131620</v>
      </c>
      <c r="D144" s="49">
        <f t="shared" si="66"/>
        <v>1069348781</v>
      </c>
      <c r="E144" s="49">
        <f t="shared" si="66"/>
        <v>1497879540</v>
      </c>
      <c r="F144" s="49">
        <f t="shared" si="66"/>
        <v>1466354323</v>
      </c>
      <c r="G144" s="49">
        <f t="shared" si="66"/>
        <v>1431120340</v>
      </c>
      <c r="H144" s="49">
        <f t="shared" si="66"/>
        <v>1874594555</v>
      </c>
      <c r="I144" s="49">
        <f t="shared" si="66"/>
        <v>1846591865</v>
      </c>
      <c r="J144" s="49">
        <f t="shared" si="66"/>
        <v>2160937197</v>
      </c>
      <c r="K144" s="49">
        <f t="shared" si="66"/>
        <v>2205910766</v>
      </c>
      <c r="L144" s="49">
        <f t="shared" si="66"/>
        <v>2358381985</v>
      </c>
      <c r="M144" s="49">
        <f t="shared" si="66"/>
        <v>2550062241</v>
      </c>
      <c r="N144" s="49">
        <f t="shared" si="66"/>
        <v>3075545769</v>
      </c>
      <c r="O144" s="49">
        <f t="shared" si="66"/>
        <v>4099943742</v>
      </c>
      <c r="P144" s="49">
        <f t="shared" ref="P144:AQ144" si="67">SUM(P132:P143)</f>
        <v>4807171996</v>
      </c>
      <c r="Q144" s="50">
        <f t="shared" si="67"/>
        <v>4137093228.0351629</v>
      </c>
      <c r="R144" s="50">
        <f t="shared" si="67"/>
        <v>4151424201.025053</v>
      </c>
      <c r="S144" s="50">
        <f t="shared" si="67"/>
        <v>4438364106.6671686</v>
      </c>
      <c r="T144" s="50">
        <f t="shared" si="67"/>
        <v>4197168130.0116849</v>
      </c>
      <c r="U144" s="50">
        <f t="shared" si="67"/>
        <v>4400515155.3279343</v>
      </c>
      <c r="V144" s="50">
        <f t="shared" si="67"/>
        <v>4562934298.7786245</v>
      </c>
      <c r="W144" s="50">
        <f t="shared" si="67"/>
        <v>4823799320.1417131</v>
      </c>
      <c r="X144" s="50">
        <f t="shared" si="67"/>
        <v>5546997339.7583599</v>
      </c>
      <c r="Y144" s="50">
        <f t="shared" si="67"/>
        <v>5438927480.6066856</v>
      </c>
      <c r="Z144" s="50">
        <f t="shared" si="67"/>
        <v>5295047228.1285191</v>
      </c>
      <c r="AA144" s="50">
        <f t="shared" si="67"/>
        <v>5479023575.8394728</v>
      </c>
      <c r="AB144" s="50">
        <f t="shared" si="67"/>
        <v>5611756508.8730831</v>
      </c>
      <c r="AC144" s="50">
        <f t="shared" si="67"/>
        <v>6038290475.597127</v>
      </c>
      <c r="AD144" s="50">
        <f t="shared" si="67"/>
        <v>6555711933.0383072</v>
      </c>
      <c r="AE144" s="50">
        <f t="shared" si="67"/>
        <v>6432798369.5672407</v>
      </c>
      <c r="AF144" s="50">
        <f t="shared" si="67"/>
        <v>5461309419.9876003</v>
      </c>
      <c r="AG144" s="50">
        <f t="shared" si="67"/>
        <v>5797600210.3483906</v>
      </c>
      <c r="AH144" s="50">
        <f t="shared" si="67"/>
        <v>6094502848.7006426</v>
      </c>
      <c r="AI144" s="50">
        <f t="shared" si="67"/>
        <v>6504039152.4767885</v>
      </c>
      <c r="AJ144" s="50">
        <f t="shared" si="67"/>
        <v>6630244299.9877739</v>
      </c>
      <c r="AK144" s="50">
        <f t="shared" si="67"/>
        <v>6596191426.8251534</v>
      </c>
      <c r="AL144" s="50">
        <f t="shared" si="67"/>
        <v>6303261592.6609592</v>
      </c>
      <c r="AM144" s="50">
        <f t="shared" si="67"/>
        <v>6545645739.5080833</v>
      </c>
      <c r="AN144" s="50">
        <f t="shared" si="67"/>
        <v>6773348632.1565466</v>
      </c>
      <c r="AO144" s="50">
        <f t="shared" si="67"/>
        <v>7011010553.8650074</v>
      </c>
      <c r="AP144" s="50">
        <f t="shared" si="67"/>
        <v>7305129737.3769341</v>
      </c>
      <c r="AQ144" s="50">
        <f t="shared" si="67"/>
        <v>7603240847.3366833</v>
      </c>
      <c r="AR144" s="42"/>
      <c r="AT144" s="42">
        <f>SUM(AT132:AT143)</f>
        <v>2470167591.5999999</v>
      </c>
      <c r="AU144" s="62">
        <f t="shared" si="62"/>
        <v>0.65978363409113716</v>
      </c>
    </row>
    <row r="145" spans="1:47">
      <c r="A145" s="51"/>
      <c r="B145" s="51"/>
      <c r="C145" s="51"/>
      <c r="D145" s="51"/>
      <c r="E145" s="51"/>
      <c r="F145" s="51"/>
      <c r="G145" s="51"/>
      <c r="H145" s="51"/>
      <c r="I145" s="51"/>
      <c r="J145" s="51"/>
      <c r="K145" s="51"/>
      <c r="L145" s="51"/>
      <c r="M145" s="52">
        <f t="shared" ref="M145" si="68">M139/M138-1</f>
        <v>9.5123468471372208E-2</v>
      </c>
      <c r="N145" s="53"/>
      <c r="O145" s="54"/>
      <c r="P145" s="54"/>
      <c r="Q145" s="53"/>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row>
    <row r="146" spans="1:47" ht="12" thickBot="1">
      <c r="A146" s="39" t="s">
        <v>107</v>
      </c>
    </row>
    <row r="147" spans="1:47" ht="12" thickBot="1">
      <c r="A147" s="41"/>
      <c r="B147" s="41">
        <f>B2</f>
        <v>2010</v>
      </c>
      <c r="C147" s="41">
        <f t="shared" ref="C147:AQ147" si="69">C2</f>
        <v>2011</v>
      </c>
      <c r="D147" s="41">
        <f t="shared" si="69"/>
        <v>2012</v>
      </c>
      <c r="E147" s="41">
        <f t="shared" si="69"/>
        <v>2013</v>
      </c>
      <c r="F147" s="41">
        <f t="shared" si="69"/>
        <v>2014</v>
      </c>
      <c r="G147" s="41">
        <f t="shared" si="69"/>
        <v>2015</v>
      </c>
      <c r="H147" s="41">
        <f t="shared" si="69"/>
        <v>2016</v>
      </c>
      <c r="I147" s="41">
        <f t="shared" si="69"/>
        <v>2017</v>
      </c>
      <c r="J147" s="41">
        <f t="shared" si="69"/>
        <v>2018</v>
      </c>
      <c r="K147" s="41">
        <f t="shared" si="69"/>
        <v>2019</v>
      </c>
      <c r="L147" s="41">
        <f t="shared" si="69"/>
        <v>2020</v>
      </c>
      <c r="M147" s="41">
        <f t="shared" si="69"/>
        <v>2021</v>
      </c>
      <c r="N147" s="41">
        <f t="shared" si="69"/>
        <v>2022</v>
      </c>
      <c r="O147" s="41">
        <f t="shared" si="69"/>
        <v>2023</v>
      </c>
      <c r="P147" s="41">
        <f t="shared" si="69"/>
        <v>2024</v>
      </c>
      <c r="Q147" s="41">
        <f t="shared" si="69"/>
        <v>2025</v>
      </c>
      <c r="R147" s="41">
        <f t="shared" si="69"/>
        <v>2026</v>
      </c>
      <c r="S147" s="41">
        <f t="shared" si="69"/>
        <v>2027</v>
      </c>
      <c r="T147" s="41">
        <f t="shared" si="69"/>
        <v>2028</v>
      </c>
      <c r="U147" s="41">
        <f t="shared" si="69"/>
        <v>2029</v>
      </c>
      <c r="V147" s="41">
        <f t="shared" si="69"/>
        <v>2030</v>
      </c>
      <c r="W147" s="41">
        <f t="shared" si="69"/>
        <v>2031</v>
      </c>
      <c r="X147" s="41">
        <f t="shared" si="69"/>
        <v>2032</v>
      </c>
      <c r="Y147" s="41">
        <f t="shared" si="69"/>
        <v>2033</v>
      </c>
      <c r="Z147" s="41">
        <f t="shared" si="69"/>
        <v>2034</v>
      </c>
      <c r="AA147" s="41">
        <f t="shared" si="69"/>
        <v>2035</v>
      </c>
      <c r="AB147" s="41">
        <f t="shared" si="69"/>
        <v>2036</v>
      </c>
      <c r="AC147" s="41">
        <f t="shared" si="69"/>
        <v>2037</v>
      </c>
      <c r="AD147" s="41">
        <f t="shared" si="69"/>
        <v>2038</v>
      </c>
      <c r="AE147" s="41">
        <f t="shared" si="69"/>
        <v>2039</v>
      </c>
      <c r="AF147" s="41">
        <f t="shared" si="69"/>
        <v>2040</v>
      </c>
      <c r="AG147" s="41">
        <f t="shared" si="69"/>
        <v>2041</v>
      </c>
      <c r="AH147" s="41">
        <f t="shared" si="69"/>
        <v>2042</v>
      </c>
      <c r="AI147" s="41">
        <f t="shared" si="69"/>
        <v>2043</v>
      </c>
      <c r="AJ147" s="41">
        <f t="shared" si="69"/>
        <v>2044</v>
      </c>
      <c r="AK147" s="41">
        <f t="shared" si="69"/>
        <v>2045</v>
      </c>
      <c r="AL147" s="41">
        <f t="shared" si="69"/>
        <v>2046</v>
      </c>
      <c r="AM147" s="41">
        <f t="shared" si="69"/>
        <v>2047</v>
      </c>
      <c r="AN147" s="41">
        <f t="shared" si="69"/>
        <v>2048</v>
      </c>
      <c r="AO147" s="41">
        <f t="shared" si="69"/>
        <v>2049</v>
      </c>
      <c r="AP147" s="41">
        <f t="shared" si="69"/>
        <v>2050</v>
      </c>
      <c r="AQ147" s="41">
        <f t="shared" si="69"/>
        <v>2051</v>
      </c>
      <c r="AT147" s="61" t="s">
        <v>67</v>
      </c>
      <c r="AU147" s="61" t="s">
        <v>38</v>
      </c>
    </row>
    <row r="148" spans="1:47">
      <c r="A148" s="40" t="s">
        <v>43</v>
      </c>
      <c r="B148" s="42">
        <f>B35+B51+B99+B115</f>
        <v>0</v>
      </c>
      <c r="C148" s="42">
        <f t="shared" ref="C148:AQ156" si="70">C35+C51+C99+C115</f>
        <v>2636424</v>
      </c>
      <c r="D148" s="42">
        <f t="shared" si="70"/>
        <v>1038381</v>
      </c>
      <c r="E148" s="42">
        <f t="shared" si="70"/>
        <v>7985699</v>
      </c>
      <c r="F148" s="42">
        <f t="shared" si="70"/>
        <v>35382625</v>
      </c>
      <c r="G148" s="42">
        <f t="shared" si="70"/>
        <v>38809777</v>
      </c>
      <c r="H148" s="42">
        <f t="shared" si="70"/>
        <v>46917487</v>
      </c>
      <c r="I148" s="42">
        <f t="shared" si="70"/>
        <v>51666784</v>
      </c>
      <c r="J148" s="42">
        <f t="shared" si="70"/>
        <v>42499888</v>
      </c>
      <c r="K148" s="42">
        <f t="shared" si="70"/>
        <v>39307286</v>
      </c>
      <c r="L148" s="42">
        <f t="shared" si="70"/>
        <v>43515871</v>
      </c>
      <c r="M148" s="42">
        <f t="shared" si="70"/>
        <v>44512322</v>
      </c>
      <c r="N148" s="42">
        <f t="shared" si="70"/>
        <v>47315047</v>
      </c>
      <c r="O148" s="42">
        <f t="shared" si="70"/>
        <v>66731185</v>
      </c>
      <c r="P148" s="42">
        <f t="shared" si="70"/>
        <v>64547693</v>
      </c>
      <c r="Q148" s="42">
        <f t="shared" si="70"/>
        <v>3135355</v>
      </c>
      <c r="R148" s="43">
        <f t="shared" si="70"/>
        <v>29906265.33379823</v>
      </c>
      <c r="S148" s="43">
        <f t="shared" si="70"/>
        <v>28731092.83908869</v>
      </c>
      <c r="T148" s="43">
        <f t="shared" si="70"/>
        <v>27334900.448734082</v>
      </c>
      <c r="U148" s="43">
        <f t="shared" si="70"/>
        <v>25181004.252578977</v>
      </c>
      <c r="V148" s="43">
        <f t="shared" si="70"/>
        <v>20105171.409477316</v>
      </c>
      <c r="W148" s="43">
        <f t="shared" si="70"/>
        <v>23368875.471496265</v>
      </c>
      <c r="X148" s="43">
        <f t="shared" si="70"/>
        <v>20625175.974637657</v>
      </c>
      <c r="Y148" s="43">
        <f t="shared" si="70"/>
        <v>19213065.509658054</v>
      </c>
      <c r="Z148" s="43">
        <f t="shared" si="70"/>
        <v>18163235.843254343</v>
      </c>
      <c r="AA148" s="43">
        <f t="shared" si="70"/>
        <v>17231484.196411032</v>
      </c>
      <c r="AB148" s="43">
        <f t="shared" si="70"/>
        <v>10612275.279496439</v>
      </c>
      <c r="AC148" s="43">
        <f t="shared" si="70"/>
        <v>8268508.0790955946</v>
      </c>
      <c r="AD148" s="43">
        <f t="shared" si="70"/>
        <v>7165580.1202109922</v>
      </c>
      <c r="AE148" s="43">
        <f t="shared" si="70"/>
        <v>6357437.6302148281</v>
      </c>
      <c r="AF148" s="43">
        <f t="shared" si="70"/>
        <v>6365946.8568184748</v>
      </c>
      <c r="AG148" s="43">
        <f t="shared" si="70"/>
        <v>6454706.9456999265</v>
      </c>
      <c r="AH148" s="43">
        <f t="shared" si="70"/>
        <v>6417389.0769352969</v>
      </c>
      <c r="AI148" s="43">
        <f t="shared" si="70"/>
        <v>6398080.4744762471</v>
      </c>
      <c r="AJ148" s="43">
        <f t="shared" si="70"/>
        <v>6394781.7740368079</v>
      </c>
      <c r="AK148" s="43">
        <f t="shared" si="70"/>
        <v>6405702.560163822</v>
      </c>
      <c r="AL148" s="43">
        <f t="shared" si="70"/>
        <v>6420309.1514615398</v>
      </c>
      <c r="AM148" s="43">
        <f t="shared" si="70"/>
        <v>6415869.1848706678</v>
      </c>
      <c r="AN148" s="43">
        <f t="shared" si="70"/>
        <v>6402458.7588819377</v>
      </c>
      <c r="AO148" s="43">
        <f t="shared" si="70"/>
        <v>6401029.1276767673</v>
      </c>
      <c r="AP148" s="43">
        <f t="shared" si="70"/>
        <v>6407197.6694865786</v>
      </c>
      <c r="AQ148" s="43">
        <f t="shared" si="70"/>
        <v>6412286.9553928971</v>
      </c>
      <c r="AR148" s="43"/>
      <c r="AT148" s="42">
        <f t="shared" ref="AT148:AT159" si="71">AVERAGE(J148:N148)</f>
        <v>43430082.799999997</v>
      </c>
      <c r="AU148" s="55">
        <f t="shared" ref="AU148:AU160" si="72">O148/AT148-1</f>
        <v>0.53651986590271949</v>
      </c>
    </row>
    <row r="149" spans="1:47">
      <c r="A149" s="40" t="s">
        <v>44</v>
      </c>
      <c r="B149" s="42">
        <f t="shared" ref="B149:Q159" si="73">B36+B52+B100+B116</f>
        <v>0</v>
      </c>
      <c r="C149" s="42">
        <f t="shared" si="73"/>
        <v>1336045</v>
      </c>
      <c r="D149" s="42">
        <f t="shared" si="73"/>
        <v>4108814</v>
      </c>
      <c r="E149" s="42">
        <f t="shared" si="73"/>
        <v>5479503</v>
      </c>
      <c r="F149" s="42">
        <f t="shared" si="73"/>
        <v>39848746</v>
      </c>
      <c r="G149" s="42">
        <f t="shared" si="73"/>
        <v>30628640</v>
      </c>
      <c r="H149" s="42">
        <f t="shared" si="73"/>
        <v>38205511</v>
      </c>
      <c r="I149" s="42">
        <f t="shared" si="73"/>
        <v>54017293</v>
      </c>
      <c r="J149" s="42">
        <f t="shared" si="73"/>
        <v>39880711</v>
      </c>
      <c r="K149" s="42">
        <f t="shared" si="73"/>
        <v>44354889</v>
      </c>
      <c r="L149" s="42">
        <f t="shared" si="73"/>
        <v>52133420</v>
      </c>
      <c r="M149" s="42">
        <f t="shared" si="73"/>
        <v>42799735</v>
      </c>
      <c r="N149" s="42">
        <f t="shared" si="73"/>
        <v>40297412</v>
      </c>
      <c r="O149" s="42">
        <f t="shared" si="73"/>
        <v>74178499</v>
      </c>
      <c r="P149" s="42">
        <f t="shared" si="70"/>
        <v>109698648</v>
      </c>
      <c r="Q149" s="42">
        <f t="shared" si="70"/>
        <v>6409113</v>
      </c>
      <c r="R149" s="43">
        <f t="shared" si="70"/>
        <v>36223280.268030904</v>
      </c>
      <c r="S149" s="43">
        <f t="shared" si="70"/>
        <v>36552712.437171489</v>
      </c>
      <c r="T149" s="43">
        <f t="shared" si="70"/>
        <v>37719336.757042468</v>
      </c>
      <c r="U149" s="43">
        <f t="shared" si="70"/>
        <v>36897894.142207444</v>
      </c>
      <c r="V149" s="43">
        <f t="shared" si="70"/>
        <v>27122324.49562072</v>
      </c>
      <c r="W149" s="43">
        <f t="shared" si="70"/>
        <v>31101325.017872147</v>
      </c>
      <c r="X149" s="43">
        <f t="shared" si="70"/>
        <v>28013879.510506734</v>
      </c>
      <c r="Y149" s="43">
        <f t="shared" si="70"/>
        <v>26498342.951523975</v>
      </c>
      <c r="Z149" s="43">
        <f t="shared" si="70"/>
        <v>25045554.122221746</v>
      </c>
      <c r="AA149" s="43">
        <f t="shared" si="70"/>
        <v>23393084.65394903</v>
      </c>
      <c r="AB149" s="43">
        <f t="shared" si="70"/>
        <v>14425060.208328832</v>
      </c>
      <c r="AC149" s="43">
        <f t="shared" si="70"/>
        <v>11248439.168708498</v>
      </c>
      <c r="AD149" s="43">
        <f t="shared" si="70"/>
        <v>9830678.3511691056</v>
      </c>
      <c r="AE149" s="43">
        <f t="shared" si="70"/>
        <v>8748057.4225888308</v>
      </c>
      <c r="AF149" s="43">
        <f t="shared" si="70"/>
        <v>8644888.6280309614</v>
      </c>
      <c r="AG149" s="43">
        <f t="shared" si="70"/>
        <v>8782523.3507587519</v>
      </c>
      <c r="AH149" s="43">
        <f t="shared" si="70"/>
        <v>8766586.4345716797</v>
      </c>
      <c r="AI149" s="43">
        <f t="shared" si="70"/>
        <v>8748921.9630074315</v>
      </c>
      <c r="AJ149" s="43">
        <f t="shared" si="70"/>
        <v>8735106.6050513983</v>
      </c>
      <c r="AK149" s="43">
        <f t="shared" si="70"/>
        <v>8729258.071492536</v>
      </c>
      <c r="AL149" s="43">
        <f t="shared" si="70"/>
        <v>8763530.8912383281</v>
      </c>
      <c r="AM149" s="43">
        <f t="shared" si="70"/>
        <v>8760420.549893111</v>
      </c>
      <c r="AN149" s="43">
        <f t="shared" si="70"/>
        <v>8750113.0061544348</v>
      </c>
      <c r="AO149" s="43">
        <f t="shared" si="70"/>
        <v>8741714.8022316527</v>
      </c>
      <c r="AP149" s="43">
        <f t="shared" si="70"/>
        <v>8737031.2243082188</v>
      </c>
      <c r="AQ149" s="43">
        <f t="shared" si="70"/>
        <v>8750080.8993522692</v>
      </c>
      <c r="AR149" s="43"/>
      <c r="AT149" s="42">
        <f t="shared" si="71"/>
        <v>43893233.399999999</v>
      </c>
      <c r="AU149" s="55">
        <f t="shared" si="72"/>
        <v>0.6899757264180042</v>
      </c>
    </row>
    <row r="150" spans="1:47">
      <c r="A150" s="40" t="s">
        <v>45</v>
      </c>
      <c r="B150" s="42">
        <f t="shared" si="73"/>
        <v>0</v>
      </c>
      <c r="C150" s="42">
        <f t="shared" si="73"/>
        <v>4627645</v>
      </c>
      <c r="D150" s="42">
        <f t="shared" si="73"/>
        <v>8557689</v>
      </c>
      <c r="E150" s="42">
        <f t="shared" si="73"/>
        <v>27315709</v>
      </c>
      <c r="F150" s="42">
        <f t="shared" si="73"/>
        <v>48857891</v>
      </c>
      <c r="G150" s="42">
        <f t="shared" si="73"/>
        <v>39505233</v>
      </c>
      <c r="H150" s="42">
        <f t="shared" si="73"/>
        <v>35754538</v>
      </c>
      <c r="I150" s="42">
        <f t="shared" si="73"/>
        <v>71428306</v>
      </c>
      <c r="J150" s="42">
        <f t="shared" si="73"/>
        <v>44089145</v>
      </c>
      <c r="K150" s="42">
        <f t="shared" si="73"/>
        <v>45004365</v>
      </c>
      <c r="L150" s="42">
        <f t="shared" si="73"/>
        <v>62272911</v>
      </c>
      <c r="M150" s="42">
        <f t="shared" si="73"/>
        <v>61717049</v>
      </c>
      <c r="N150" s="42">
        <f t="shared" si="73"/>
        <v>65692480</v>
      </c>
      <c r="O150" s="42">
        <f t="shared" si="73"/>
        <v>85817674</v>
      </c>
      <c r="P150" s="42">
        <f t="shared" si="70"/>
        <v>56524346</v>
      </c>
      <c r="Q150" s="42">
        <f t="shared" si="70"/>
        <v>24013595</v>
      </c>
      <c r="R150" s="43">
        <f t="shared" si="70"/>
        <v>36940071.804193407</v>
      </c>
      <c r="S150" s="43">
        <f t="shared" si="70"/>
        <v>34709413.897046477</v>
      </c>
      <c r="T150" s="43">
        <f t="shared" si="70"/>
        <v>32186356.033975042</v>
      </c>
      <c r="U150" s="43">
        <f t="shared" si="70"/>
        <v>28151835.178092904</v>
      </c>
      <c r="V150" s="43">
        <f t="shared" si="70"/>
        <v>25079482.553889684</v>
      </c>
      <c r="W150" s="43">
        <f t="shared" si="70"/>
        <v>27919889.113027401</v>
      </c>
      <c r="X150" s="43">
        <f t="shared" si="70"/>
        <v>24443178.862068444</v>
      </c>
      <c r="Y150" s="43">
        <f t="shared" si="70"/>
        <v>22681194.737630948</v>
      </c>
      <c r="Z150" s="43">
        <f t="shared" si="70"/>
        <v>21458423.161091156</v>
      </c>
      <c r="AA150" s="43">
        <f t="shared" si="70"/>
        <v>20678288.59734489</v>
      </c>
      <c r="AB150" s="43">
        <f t="shared" si="70"/>
        <v>12478843.66134565</v>
      </c>
      <c r="AC150" s="43">
        <f t="shared" si="70"/>
        <v>9618037.9687899649</v>
      </c>
      <c r="AD150" s="43">
        <f t="shared" si="70"/>
        <v>8374042.5512404935</v>
      </c>
      <c r="AE150" s="43">
        <f t="shared" si="70"/>
        <v>7499949.9749428136</v>
      </c>
      <c r="AF150" s="43">
        <f t="shared" si="70"/>
        <v>7528716.0495559219</v>
      </c>
      <c r="AG150" s="43">
        <f t="shared" si="70"/>
        <v>7588338.0276483726</v>
      </c>
      <c r="AH150" s="43">
        <f t="shared" si="70"/>
        <v>7547610.4051629864</v>
      </c>
      <c r="AI150" s="43">
        <f t="shared" si="70"/>
        <v>7533317.7265574113</v>
      </c>
      <c r="AJ150" s="43">
        <f t="shared" si="70"/>
        <v>7536989.2770438306</v>
      </c>
      <c r="AK150" s="43">
        <f t="shared" si="70"/>
        <v>7546419.970698813</v>
      </c>
      <c r="AL150" s="43">
        <f t="shared" si="70"/>
        <v>7553134.3006244032</v>
      </c>
      <c r="AM150" s="43">
        <f t="shared" si="70"/>
        <v>7548128.5902673742</v>
      </c>
      <c r="AN150" s="43">
        <f t="shared" si="70"/>
        <v>7540130.5090599488</v>
      </c>
      <c r="AO150" s="43">
        <f t="shared" si="70"/>
        <v>7542317.0658860784</v>
      </c>
      <c r="AP150" s="43">
        <f t="shared" si="70"/>
        <v>7546205.9176681284</v>
      </c>
      <c r="AQ150" s="43">
        <f t="shared" si="70"/>
        <v>7548380.8019408211</v>
      </c>
      <c r="AR150" s="43"/>
      <c r="AT150" s="42">
        <f t="shared" si="71"/>
        <v>55755190</v>
      </c>
      <c r="AU150" s="55">
        <f t="shared" si="72"/>
        <v>0.53918718598214799</v>
      </c>
    </row>
    <row r="151" spans="1:47">
      <c r="A151" s="40" t="s">
        <v>46</v>
      </c>
      <c r="B151" s="42">
        <f t="shared" si="73"/>
        <v>0</v>
      </c>
      <c r="C151" s="42">
        <f t="shared" si="73"/>
        <v>2211755</v>
      </c>
      <c r="D151" s="42">
        <f t="shared" si="73"/>
        <v>3306623</v>
      </c>
      <c r="E151" s="42">
        <f t="shared" si="73"/>
        <v>13379227</v>
      </c>
      <c r="F151" s="42">
        <f t="shared" si="73"/>
        <v>44254036</v>
      </c>
      <c r="G151" s="42">
        <f t="shared" si="73"/>
        <v>47273754</v>
      </c>
      <c r="H151" s="42">
        <f t="shared" si="73"/>
        <v>68455002</v>
      </c>
      <c r="I151" s="42">
        <f t="shared" si="73"/>
        <v>49744265</v>
      </c>
      <c r="J151" s="42">
        <f t="shared" si="73"/>
        <v>47689641</v>
      </c>
      <c r="K151" s="42">
        <f t="shared" si="73"/>
        <v>57232446</v>
      </c>
      <c r="L151" s="42">
        <f t="shared" si="73"/>
        <v>52826544</v>
      </c>
      <c r="M151" s="42">
        <f t="shared" si="73"/>
        <v>60422607</v>
      </c>
      <c r="N151" s="42">
        <f t="shared" si="73"/>
        <v>73164792</v>
      </c>
      <c r="O151" s="42">
        <f t="shared" si="73"/>
        <v>78676137</v>
      </c>
      <c r="P151" s="42">
        <f t="shared" si="70"/>
        <v>78344870</v>
      </c>
      <c r="Q151" s="43">
        <f t="shared" si="70"/>
        <v>51264341.786235452</v>
      </c>
      <c r="R151" s="43">
        <f t="shared" si="70"/>
        <v>43936232.313364476</v>
      </c>
      <c r="S151" s="43">
        <f t="shared" si="70"/>
        <v>43242861.112782292</v>
      </c>
      <c r="T151" s="43">
        <f t="shared" si="70"/>
        <v>41532306.311542444</v>
      </c>
      <c r="U151" s="43">
        <f t="shared" si="70"/>
        <v>41919191.398596957</v>
      </c>
      <c r="V151" s="43">
        <f t="shared" si="70"/>
        <v>39743759.680677101</v>
      </c>
      <c r="W151" s="43">
        <f t="shared" si="70"/>
        <v>38000297.387244344</v>
      </c>
      <c r="X151" s="43">
        <f t="shared" si="70"/>
        <v>34088506.00523378</v>
      </c>
      <c r="Y151" s="43">
        <f t="shared" si="70"/>
        <v>32262662.045982622</v>
      </c>
      <c r="Z151" s="43">
        <f t="shared" si="70"/>
        <v>31203866.305086296</v>
      </c>
      <c r="AA151" s="43">
        <f t="shared" si="70"/>
        <v>29580218.492890473</v>
      </c>
      <c r="AB151" s="43">
        <f t="shared" si="70"/>
        <v>18557037.411019724</v>
      </c>
      <c r="AC151" s="43">
        <f t="shared" si="70"/>
        <v>14674589.317540199</v>
      </c>
      <c r="AD151" s="43">
        <f t="shared" si="70"/>
        <v>12692727.05902905</v>
      </c>
      <c r="AE151" s="43">
        <f t="shared" si="70"/>
        <v>11235476.347575532</v>
      </c>
      <c r="AF151" s="43">
        <f t="shared" si="70"/>
        <v>11226637.150041811</v>
      </c>
      <c r="AG151" s="43">
        <f t="shared" si="70"/>
        <v>11231726.362192331</v>
      </c>
      <c r="AH151" s="43">
        <f t="shared" si="70"/>
        <v>11228582.053028939</v>
      </c>
      <c r="AI151" s="43">
        <f t="shared" si="70"/>
        <v>11227366.744391482</v>
      </c>
      <c r="AJ151" s="43">
        <f t="shared" si="70"/>
        <v>11229974.241789073</v>
      </c>
      <c r="AK151" s="43">
        <f t="shared" si="70"/>
        <v>11229086.371745357</v>
      </c>
      <c r="AL151" s="43">
        <f t="shared" si="70"/>
        <v>11228850.251991693</v>
      </c>
      <c r="AM151" s="43">
        <f t="shared" si="70"/>
        <v>11228675.997239467</v>
      </c>
      <c r="AN151" s="43">
        <f t="shared" si="70"/>
        <v>11227234.163577607</v>
      </c>
      <c r="AO151" s="43">
        <f t="shared" si="70"/>
        <v>11229487.140905917</v>
      </c>
      <c r="AP151" s="43">
        <f t="shared" si="70"/>
        <v>11229743.241577484</v>
      </c>
      <c r="AQ151" s="43">
        <f t="shared" si="70"/>
        <v>11229393.347499359</v>
      </c>
      <c r="AR151" s="43"/>
      <c r="AT151" s="42">
        <f t="shared" si="71"/>
        <v>58267206</v>
      </c>
      <c r="AU151" s="55">
        <f t="shared" si="72"/>
        <v>0.35026445235764347</v>
      </c>
    </row>
    <row r="152" spans="1:47">
      <c r="A152" s="40" t="s">
        <v>47</v>
      </c>
      <c r="B152" s="42">
        <f t="shared" si="73"/>
        <v>0</v>
      </c>
      <c r="C152" s="42">
        <f t="shared" si="73"/>
        <v>2249922</v>
      </c>
      <c r="D152" s="42">
        <f t="shared" si="73"/>
        <v>10434158</v>
      </c>
      <c r="E152" s="42">
        <f t="shared" si="73"/>
        <v>33480601</v>
      </c>
      <c r="F152" s="42">
        <f t="shared" si="73"/>
        <v>37054137</v>
      </c>
      <c r="G152" s="42">
        <f t="shared" si="73"/>
        <v>48871817</v>
      </c>
      <c r="H152" s="42">
        <f t="shared" si="73"/>
        <v>78603889</v>
      </c>
      <c r="I152" s="42">
        <f t="shared" si="73"/>
        <v>69863902</v>
      </c>
      <c r="J152" s="42">
        <f t="shared" si="73"/>
        <v>47770861</v>
      </c>
      <c r="K152" s="42">
        <f t="shared" si="73"/>
        <v>52279399</v>
      </c>
      <c r="L152" s="42">
        <f t="shared" si="73"/>
        <v>54443112</v>
      </c>
      <c r="M152" s="42">
        <f t="shared" si="73"/>
        <v>51599898</v>
      </c>
      <c r="N152" s="42">
        <f t="shared" si="73"/>
        <v>56712379</v>
      </c>
      <c r="O152" s="42">
        <f t="shared" si="73"/>
        <v>95178353</v>
      </c>
      <c r="P152" s="42">
        <f t="shared" si="70"/>
        <v>65132126</v>
      </c>
      <c r="Q152" s="43">
        <f t="shared" si="70"/>
        <v>46342905.731383912</v>
      </c>
      <c r="R152" s="43">
        <f t="shared" si="70"/>
        <v>41183695.17986685</v>
      </c>
      <c r="S152" s="43">
        <f t="shared" si="70"/>
        <v>41087548.440825894</v>
      </c>
      <c r="T152" s="43">
        <f t="shared" si="70"/>
        <v>40883918.228448234</v>
      </c>
      <c r="U152" s="43">
        <f t="shared" si="70"/>
        <v>38462598.176462755</v>
      </c>
      <c r="V152" s="43">
        <f t="shared" si="70"/>
        <v>36658823.15841943</v>
      </c>
      <c r="W152" s="43">
        <f t="shared" si="70"/>
        <v>35277361.857926242</v>
      </c>
      <c r="X152" s="43">
        <f t="shared" si="70"/>
        <v>31782558.092241839</v>
      </c>
      <c r="Y152" s="43">
        <f t="shared" si="70"/>
        <v>30149811.603737015</v>
      </c>
      <c r="Z152" s="43">
        <f t="shared" si="70"/>
        <v>28842461.856499128</v>
      </c>
      <c r="AA152" s="43">
        <f t="shared" si="70"/>
        <v>27637783.175303731</v>
      </c>
      <c r="AB152" s="43">
        <f t="shared" si="70"/>
        <v>16472925.81642722</v>
      </c>
      <c r="AC152" s="43">
        <f t="shared" si="70"/>
        <v>12833839.628241329</v>
      </c>
      <c r="AD152" s="43">
        <f t="shared" si="70"/>
        <v>11250865.957470063</v>
      </c>
      <c r="AE152" s="43">
        <f t="shared" si="70"/>
        <v>10063235.8098891</v>
      </c>
      <c r="AF152" s="43">
        <f t="shared" si="70"/>
        <v>10069293.531231172</v>
      </c>
      <c r="AG152" s="43">
        <f t="shared" si="70"/>
        <v>10077056.153248837</v>
      </c>
      <c r="AH152" s="43">
        <f t="shared" si="70"/>
        <v>10078133.771130985</v>
      </c>
      <c r="AI152" s="43">
        <f t="shared" si="70"/>
        <v>10073337.635482159</v>
      </c>
      <c r="AJ152" s="43">
        <f t="shared" si="70"/>
        <v>10072128.672788523</v>
      </c>
      <c r="AK152" s="43">
        <f t="shared" si="70"/>
        <v>10074999.212590754</v>
      </c>
      <c r="AL152" s="43">
        <f t="shared" si="70"/>
        <v>10076583.324694825</v>
      </c>
      <c r="AM152" s="43">
        <f t="shared" si="70"/>
        <v>10076562.47261738</v>
      </c>
      <c r="AN152" s="43">
        <f t="shared" si="70"/>
        <v>10072721.94147848</v>
      </c>
      <c r="AO152" s="43">
        <f t="shared" si="70"/>
        <v>10072656.23509651</v>
      </c>
      <c r="AP152" s="43">
        <f t="shared" si="70"/>
        <v>10074549.15352571</v>
      </c>
      <c r="AQ152" s="43">
        <f t="shared" si="70"/>
        <v>10074991.135952497</v>
      </c>
      <c r="AR152" s="43"/>
      <c r="AT152" s="42">
        <f t="shared" si="71"/>
        <v>52561129.799999997</v>
      </c>
      <c r="AU152" s="55">
        <f t="shared" si="72"/>
        <v>0.81081254079131315</v>
      </c>
    </row>
    <row r="153" spans="1:47">
      <c r="A153" s="40" t="s">
        <v>48</v>
      </c>
      <c r="B153" s="42">
        <f t="shared" si="73"/>
        <v>0</v>
      </c>
      <c r="C153" s="42">
        <f t="shared" si="73"/>
        <v>3510101</v>
      </c>
      <c r="D153" s="42">
        <f t="shared" si="73"/>
        <v>8567735</v>
      </c>
      <c r="E153" s="42">
        <f t="shared" si="73"/>
        <v>43110363</v>
      </c>
      <c r="F153" s="42">
        <f t="shared" si="73"/>
        <v>42146784</v>
      </c>
      <c r="G153" s="42">
        <f t="shared" si="73"/>
        <v>53281852</v>
      </c>
      <c r="H153" s="42">
        <f t="shared" si="73"/>
        <v>103306769</v>
      </c>
      <c r="I153" s="42">
        <f t="shared" si="73"/>
        <v>111491174</v>
      </c>
      <c r="J153" s="42">
        <f t="shared" si="73"/>
        <v>41045557</v>
      </c>
      <c r="K153" s="42">
        <f t="shared" si="73"/>
        <v>55134881</v>
      </c>
      <c r="L153" s="42">
        <f t="shared" si="73"/>
        <v>38576409</v>
      </c>
      <c r="M153" s="42">
        <f t="shared" si="73"/>
        <v>62269718</v>
      </c>
      <c r="N153" s="42">
        <f t="shared" si="73"/>
        <v>53968358</v>
      </c>
      <c r="O153" s="42">
        <f t="shared" si="73"/>
        <v>79588184</v>
      </c>
      <c r="P153" s="42">
        <f t="shared" si="70"/>
        <v>96261098</v>
      </c>
      <c r="Q153" s="43">
        <f t="shared" si="70"/>
        <v>49115080.867356077</v>
      </c>
      <c r="R153" s="43">
        <f t="shared" si="70"/>
        <v>45512404.262342229</v>
      </c>
      <c r="S153" s="43">
        <f t="shared" si="70"/>
        <v>44812705.788910531</v>
      </c>
      <c r="T153" s="43">
        <f t="shared" si="70"/>
        <v>45510219.273678631</v>
      </c>
      <c r="U153" s="43">
        <f t="shared" si="70"/>
        <v>45738756.350878924</v>
      </c>
      <c r="V153" s="43">
        <f t="shared" si="70"/>
        <v>40678643.796542391</v>
      </c>
      <c r="W153" s="43">
        <f t="shared" si="70"/>
        <v>39519838.267201453</v>
      </c>
      <c r="X153" s="43">
        <f t="shared" si="70"/>
        <v>35701548.004765756</v>
      </c>
      <c r="Y153" s="43">
        <f t="shared" si="70"/>
        <v>34100408.954702586</v>
      </c>
      <c r="Z153" s="43">
        <f t="shared" si="70"/>
        <v>32749006.793785915</v>
      </c>
      <c r="AA153" s="43">
        <f t="shared" si="70"/>
        <v>31056934.970679753</v>
      </c>
      <c r="AB153" s="43">
        <f t="shared" si="70"/>
        <v>18468706.505953968</v>
      </c>
      <c r="AC153" s="43">
        <f t="shared" si="70"/>
        <v>14332148.450007245</v>
      </c>
      <c r="AD153" s="43">
        <f t="shared" si="70"/>
        <v>12656660.008449027</v>
      </c>
      <c r="AE153" s="43">
        <f t="shared" si="70"/>
        <v>11370550.705876213</v>
      </c>
      <c r="AF153" s="43">
        <f t="shared" si="70"/>
        <v>11271487.391485874</v>
      </c>
      <c r="AG153" s="43">
        <f t="shared" si="70"/>
        <v>11306508.916192325</v>
      </c>
      <c r="AH153" s="43">
        <f t="shared" si="70"/>
        <v>11325051.576253418</v>
      </c>
      <c r="AI153" s="43">
        <f t="shared" si="70"/>
        <v>11329177.78087217</v>
      </c>
      <c r="AJ153" s="43">
        <f t="shared" si="70"/>
        <v>11321265.244357949</v>
      </c>
      <c r="AK153" s="43">
        <f t="shared" si="70"/>
        <v>11305591.342562933</v>
      </c>
      <c r="AL153" s="43">
        <f t="shared" si="70"/>
        <v>11321099.629411336</v>
      </c>
      <c r="AM153" s="43">
        <f t="shared" si="70"/>
        <v>11322574.651536677</v>
      </c>
      <c r="AN153" s="43">
        <f t="shared" si="70"/>
        <v>11326354.348318536</v>
      </c>
      <c r="AO153" s="43">
        <f t="shared" si="70"/>
        <v>11320632.905856915</v>
      </c>
      <c r="AP153" s="43">
        <f t="shared" si="70"/>
        <v>11311031.748756187</v>
      </c>
      <c r="AQ153" s="43">
        <f t="shared" si="70"/>
        <v>11317474.586338483</v>
      </c>
      <c r="AR153" s="43"/>
      <c r="AT153" s="42">
        <f t="shared" si="71"/>
        <v>50198984.600000001</v>
      </c>
      <c r="AU153" s="55">
        <f t="shared" si="72"/>
        <v>0.58545406115644805</v>
      </c>
    </row>
    <row r="154" spans="1:47">
      <c r="A154" s="40" t="s">
        <v>49</v>
      </c>
      <c r="B154" s="42">
        <f t="shared" si="73"/>
        <v>1377408</v>
      </c>
      <c r="C154" s="42">
        <f t="shared" si="73"/>
        <v>2521122</v>
      </c>
      <c r="D154" s="42">
        <f t="shared" si="73"/>
        <v>5735757</v>
      </c>
      <c r="E154" s="42">
        <f t="shared" si="73"/>
        <v>46975403</v>
      </c>
      <c r="F154" s="42">
        <f t="shared" si="73"/>
        <v>63251435</v>
      </c>
      <c r="G154" s="42">
        <f t="shared" si="73"/>
        <v>80716567</v>
      </c>
      <c r="H154" s="42">
        <f t="shared" si="73"/>
        <v>71886453</v>
      </c>
      <c r="I154" s="42">
        <f t="shared" si="73"/>
        <v>85428808</v>
      </c>
      <c r="J154" s="42">
        <f t="shared" si="73"/>
        <v>34985708</v>
      </c>
      <c r="K154" s="42">
        <f t="shared" si="73"/>
        <v>53220106</v>
      </c>
      <c r="L154" s="42">
        <f t="shared" si="73"/>
        <v>41920579</v>
      </c>
      <c r="M154" s="42">
        <f t="shared" si="73"/>
        <v>17190800</v>
      </c>
      <c r="N154" s="42">
        <f t="shared" si="73"/>
        <v>23961431</v>
      </c>
      <c r="O154" s="42">
        <f t="shared" si="73"/>
        <v>77469159</v>
      </c>
      <c r="P154" s="42">
        <f t="shared" si="70"/>
        <v>69683489</v>
      </c>
      <c r="Q154" s="43">
        <f t="shared" si="70"/>
        <v>38209633.865764841</v>
      </c>
      <c r="R154" s="43">
        <f t="shared" si="70"/>
        <v>26591185.84101887</v>
      </c>
      <c r="S154" s="43">
        <f t="shared" si="70"/>
        <v>28803481.146168891</v>
      </c>
      <c r="T154" s="43">
        <f t="shared" si="70"/>
        <v>31202093.095335327</v>
      </c>
      <c r="U154" s="43">
        <f t="shared" si="70"/>
        <v>27749324.270731911</v>
      </c>
      <c r="V154" s="43">
        <f t="shared" si="70"/>
        <v>27142598.858513445</v>
      </c>
      <c r="W154" s="43">
        <f t="shared" si="70"/>
        <v>25358134.427691035</v>
      </c>
      <c r="X154" s="43">
        <f t="shared" si="70"/>
        <v>23246809.865768995</v>
      </c>
      <c r="Y154" s="43">
        <f t="shared" si="70"/>
        <v>22207246.074074611</v>
      </c>
      <c r="Z154" s="43">
        <f t="shared" si="70"/>
        <v>21058531.152715407</v>
      </c>
      <c r="AA154" s="43">
        <f t="shared" si="70"/>
        <v>20156852.246191815</v>
      </c>
      <c r="AB154" s="43">
        <f t="shared" si="70"/>
        <v>12243083.907512443</v>
      </c>
      <c r="AC154" s="43">
        <f t="shared" si="70"/>
        <v>9639903.2591270451</v>
      </c>
      <c r="AD154" s="43">
        <f t="shared" si="70"/>
        <v>8445091.3743845858</v>
      </c>
      <c r="AE154" s="43">
        <f t="shared" si="70"/>
        <v>7455324.8583181668</v>
      </c>
      <c r="AF154" s="43">
        <f t="shared" si="70"/>
        <v>7455868.6610697061</v>
      </c>
      <c r="AG154" s="43">
        <f t="shared" si="70"/>
        <v>7462403.792476858</v>
      </c>
      <c r="AH154" s="43">
        <f t="shared" si="70"/>
        <v>7485173.6616564011</v>
      </c>
      <c r="AI154" s="43">
        <f t="shared" si="70"/>
        <v>7480518.7853717674</v>
      </c>
      <c r="AJ154" s="43">
        <f t="shared" si="70"/>
        <v>7467758.1192474831</v>
      </c>
      <c r="AK154" s="43">
        <f t="shared" si="70"/>
        <v>7472093.6230653562</v>
      </c>
      <c r="AL154" s="43">
        <f t="shared" si="70"/>
        <v>7480062.497603761</v>
      </c>
      <c r="AM154" s="43">
        <f t="shared" si="70"/>
        <v>7482101.9049120229</v>
      </c>
      <c r="AN154" s="43">
        <f t="shared" si="70"/>
        <v>7476934.5277017215</v>
      </c>
      <c r="AO154" s="43">
        <f t="shared" si="70"/>
        <v>7467506.5352959139</v>
      </c>
      <c r="AP154" s="43">
        <f t="shared" si="70"/>
        <v>7470491.3757176008</v>
      </c>
      <c r="AQ154" s="43">
        <f t="shared" si="70"/>
        <v>7473990.2036370356</v>
      </c>
      <c r="AR154" s="43"/>
      <c r="AT154" s="42">
        <f t="shared" si="71"/>
        <v>34255724.799999997</v>
      </c>
      <c r="AU154" s="55">
        <f t="shared" si="72"/>
        <v>1.2614952523205698</v>
      </c>
    </row>
    <row r="155" spans="1:47">
      <c r="A155" s="40" t="s">
        <v>50</v>
      </c>
      <c r="B155" s="42">
        <f t="shared" si="73"/>
        <v>2315495</v>
      </c>
      <c r="C155" s="42">
        <f t="shared" si="73"/>
        <v>2583842</v>
      </c>
      <c r="D155" s="42">
        <f t="shared" si="73"/>
        <v>4430238</v>
      </c>
      <c r="E155" s="42">
        <f t="shared" si="73"/>
        <v>56900286</v>
      </c>
      <c r="F155" s="42">
        <f t="shared" si="73"/>
        <v>42297185</v>
      </c>
      <c r="G155" s="42">
        <f t="shared" si="73"/>
        <v>77632621</v>
      </c>
      <c r="H155" s="42">
        <f t="shared" si="73"/>
        <v>95704579</v>
      </c>
      <c r="I155" s="42">
        <f t="shared" si="73"/>
        <v>83508676</v>
      </c>
      <c r="J155" s="42">
        <f t="shared" si="73"/>
        <v>42816491</v>
      </c>
      <c r="K155" s="42">
        <f t="shared" si="73"/>
        <v>38662789</v>
      </c>
      <c r="L155" s="42">
        <f t="shared" si="73"/>
        <v>40552085</v>
      </c>
      <c r="M155" s="42">
        <f t="shared" si="73"/>
        <v>38938181</v>
      </c>
      <c r="N155" s="42">
        <f t="shared" si="73"/>
        <v>28670579</v>
      </c>
      <c r="O155" s="42">
        <f t="shared" si="73"/>
        <v>53255103</v>
      </c>
      <c r="P155" s="42">
        <f t="shared" si="70"/>
        <v>47473959</v>
      </c>
      <c r="Q155" s="43">
        <f t="shared" si="70"/>
        <v>39150531.298118986</v>
      </c>
      <c r="R155" s="43">
        <f t="shared" si="70"/>
        <v>27322062.231820285</v>
      </c>
      <c r="S155" s="43">
        <f t="shared" si="70"/>
        <v>26349233.778998315</v>
      </c>
      <c r="T155" s="43">
        <f t="shared" si="70"/>
        <v>27929362.790869132</v>
      </c>
      <c r="U155" s="43">
        <f t="shared" si="70"/>
        <v>27553995.338875256</v>
      </c>
      <c r="V155" s="43">
        <f t="shared" si="70"/>
        <v>26894848.145496435</v>
      </c>
      <c r="W155" s="43">
        <f t="shared" si="70"/>
        <v>24911440.583757032</v>
      </c>
      <c r="X155" s="43">
        <f t="shared" si="70"/>
        <v>22460112.768501222</v>
      </c>
      <c r="Y155" s="43">
        <f t="shared" si="70"/>
        <v>21487438.783445694</v>
      </c>
      <c r="Z155" s="43">
        <f t="shared" si="70"/>
        <v>20716745.286528401</v>
      </c>
      <c r="AA155" s="43">
        <f t="shared" si="70"/>
        <v>19550235.568688121</v>
      </c>
      <c r="AB155" s="43">
        <f t="shared" si="70"/>
        <v>12716538.152103988</v>
      </c>
      <c r="AC155" s="43">
        <f t="shared" si="70"/>
        <v>10136725.531599529</v>
      </c>
      <c r="AD155" s="43">
        <f t="shared" si="70"/>
        <v>8736740.930982478</v>
      </c>
      <c r="AE155" s="43">
        <f t="shared" si="70"/>
        <v>7680034.9833469074</v>
      </c>
      <c r="AF155" s="43">
        <f t="shared" si="70"/>
        <v>7642666.3971350212</v>
      </c>
      <c r="AG155" s="43">
        <f t="shared" si="70"/>
        <v>7630331.0507495254</v>
      </c>
      <c r="AH155" s="43">
        <f t="shared" si="70"/>
        <v>7640968.3525109887</v>
      </c>
      <c r="AI155" s="43">
        <f t="shared" si="70"/>
        <v>7650161.6542749442</v>
      </c>
      <c r="AJ155" s="43">
        <f t="shared" si="70"/>
        <v>7650204.4509880953</v>
      </c>
      <c r="AK155" s="43">
        <f t="shared" si="70"/>
        <v>7640143.7219127938</v>
      </c>
      <c r="AL155" s="43">
        <f t="shared" si="70"/>
        <v>7639513.6664442122</v>
      </c>
      <c r="AM155" s="43">
        <f t="shared" si="70"/>
        <v>7640380.0644846354</v>
      </c>
      <c r="AN155" s="43">
        <f t="shared" si="70"/>
        <v>7649227.113816293</v>
      </c>
      <c r="AO155" s="43">
        <f t="shared" si="70"/>
        <v>7649185.4830883909</v>
      </c>
      <c r="AP155" s="43">
        <f t="shared" si="70"/>
        <v>7642486.2791060554</v>
      </c>
      <c r="AQ155" s="43">
        <f t="shared" si="70"/>
        <v>7642323.5037232218</v>
      </c>
      <c r="AR155" s="43"/>
      <c r="AT155" s="42">
        <f t="shared" si="71"/>
        <v>37928025</v>
      </c>
      <c r="AU155" s="55">
        <f t="shared" si="72"/>
        <v>0.4041095733300113</v>
      </c>
    </row>
    <row r="156" spans="1:47">
      <c r="A156" s="40" t="s">
        <v>51</v>
      </c>
      <c r="B156" s="42">
        <f t="shared" si="73"/>
        <v>1242409</v>
      </c>
      <c r="C156" s="42">
        <f t="shared" si="73"/>
        <v>4644979</v>
      </c>
      <c r="D156" s="42">
        <f t="shared" si="73"/>
        <v>12817601</v>
      </c>
      <c r="E156" s="42">
        <f t="shared" si="73"/>
        <v>56952956</v>
      </c>
      <c r="F156" s="42">
        <f t="shared" si="73"/>
        <v>21700223</v>
      </c>
      <c r="G156" s="42">
        <f t="shared" si="73"/>
        <v>52800593</v>
      </c>
      <c r="H156" s="42">
        <f t="shared" si="73"/>
        <v>120032008</v>
      </c>
      <c r="I156" s="42">
        <f t="shared" si="73"/>
        <v>57377710</v>
      </c>
      <c r="J156" s="42">
        <f t="shared" si="73"/>
        <v>34212272</v>
      </c>
      <c r="K156" s="42">
        <f t="shared" si="73"/>
        <v>42757150</v>
      </c>
      <c r="L156" s="42">
        <f t="shared" si="73"/>
        <v>69174297</v>
      </c>
      <c r="M156" s="42">
        <f t="shared" si="73"/>
        <v>59455382</v>
      </c>
      <c r="N156" s="42">
        <f t="shared" si="73"/>
        <v>61193238</v>
      </c>
      <c r="O156" s="42">
        <f t="shared" si="73"/>
        <v>50148399</v>
      </c>
      <c r="P156" s="42">
        <f t="shared" si="70"/>
        <v>69453681</v>
      </c>
      <c r="Q156" s="43">
        <f t="shared" si="70"/>
        <v>44443904.111976698</v>
      </c>
      <c r="R156" s="43">
        <f t="shared" si="70"/>
        <v>33764065.491347089</v>
      </c>
      <c r="S156" s="43">
        <f t="shared" si="70"/>
        <v>31151658.685121246</v>
      </c>
      <c r="T156" s="43">
        <f t="shared" si="70"/>
        <v>29256653.228971168</v>
      </c>
      <c r="U156" s="43">
        <f t="shared" si="70"/>
        <v>30064146.326934934</v>
      </c>
      <c r="V156" s="43">
        <f t="shared" si="70"/>
        <v>30270052.399118297</v>
      </c>
      <c r="W156" s="43">
        <f t="shared" si="70"/>
        <v>28008103.752907321</v>
      </c>
      <c r="X156" s="43">
        <f t="shared" si="70"/>
        <v>24872465.421384465</v>
      </c>
      <c r="Y156" s="43">
        <f t="shared" si="70"/>
        <v>23558450.987902813</v>
      </c>
      <c r="Z156" s="43">
        <f t="shared" si="70"/>
        <v>22951969.775694836</v>
      </c>
      <c r="AA156" s="43">
        <f t="shared" si="70"/>
        <v>21847812.68449875</v>
      </c>
      <c r="AB156" s="43">
        <f t="shared" si="70"/>
        <v>13775078.004166089</v>
      </c>
      <c r="AC156" s="43">
        <f t="shared" si="70"/>
        <v>10878105.198467257</v>
      </c>
      <c r="AD156" s="43">
        <f t="shared" si="70"/>
        <v>9381954.0130810924</v>
      </c>
      <c r="AE156" s="43">
        <f t="shared" si="70"/>
        <v>8351760.1813718937</v>
      </c>
      <c r="AF156" s="43">
        <f t="shared" si="70"/>
        <v>8345947.899945097</v>
      </c>
      <c r="AG156" s="43">
        <f t="shared" si="70"/>
        <v>8313187.9146495592</v>
      </c>
      <c r="AH156" s="43">
        <f t="shared" ref="AH156:AQ159" si="74">AH43+AH59+AH107+AH123</f>
        <v>8305559.3517387025</v>
      </c>
      <c r="AI156" s="43">
        <f t="shared" si="74"/>
        <v>8314413.3573737387</v>
      </c>
      <c r="AJ156" s="43">
        <f t="shared" si="74"/>
        <v>8327909.8342893198</v>
      </c>
      <c r="AK156" s="43">
        <f t="shared" si="74"/>
        <v>8320107.8116015662</v>
      </c>
      <c r="AL156" s="43">
        <f t="shared" si="74"/>
        <v>8308405.4104528204</v>
      </c>
      <c r="AM156" s="43">
        <f t="shared" si="74"/>
        <v>8307949.7464745492</v>
      </c>
      <c r="AN156" s="43">
        <f t="shared" si="74"/>
        <v>8316065.7094689142</v>
      </c>
      <c r="AO156" s="43">
        <f t="shared" si="74"/>
        <v>8326171.1807632148</v>
      </c>
      <c r="AP156" s="43">
        <f t="shared" si="74"/>
        <v>8321157.5231010579</v>
      </c>
      <c r="AQ156" s="43">
        <f t="shared" si="74"/>
        <v>8316321.7055160496</v>
      </c>
      <c r="AR156" s="43"/>
      <c r="AT156" s="42">
        <f t="shared" si="71"/>
        <v>53358467.799999997</v>
      </c>
      <c r="AU156" s="55">
        <f t="shared" si="72"/>
        <v>-6.0160438115128834E-2</v>
      </c>
    </row>
    <row r="157" spans="1:47">
      <c r="A157" s="40" t="s">
        <v>52</v>
      </c>
      <c r="B157" s="42">
        <f t="shared" si="73"/>
        <v>3599083</v>
      </c>
      <c r="C157" s="42">
        <f t="shared" si="73"/>
        <v>4553366</v>
      </c>
      <c r="D157" s="42">
        <f t="shared" si="73"/>
        <v>15233036</v>
      </c>
      <c r="E157" s="42">
        <f t="shared" si="73"/>
        <v>56631508</v>
      </c>
      <c r="F157" s="42">
        <f t="shared" si="73"/>
        <v>22695380</v>
      </c>
      <c r="G157" s="42">
        <f t="shared" si="73"/>
        <v>78558443</v>
      </c>
      <c r="H157" s="42">
        <f t="shared" si="73"/>
        <v>95924460</v>
      </c>
      <c r="I157" s="42">
        <f t="shared" si="73"/>
        <v>69000738</v>
      </c>
      <c r="J157" s="42">
        <f t="shared" si="73"/>
        <v>20321432</v>
      </c>
      <c r="K157" s="42">
        <f t="shared" si="73"/>
        <v>57585014</v>
      </c>
      <c r="L157" s="42">
        <f t="shared" si="73"/>
        <v>53517928</v>
      </c>
      <c r="M157" s="42">
        <f t="shared" si="73"/>
        <v>64940185</v>
      </c>
      <c r="N157" s="42">
        <f t="shared" si="73"/>
        <v>62379851</v>
      </c>
      <c r="O157" s="42">
        <f t="shared" si="73"/>
        <v>102178290</v>
      </c>
      <c r="P157" s="42">
        <f t="shared" si="73"/>
        <v>42077031</v>
      </c>
      <c r="Q157" s="43">
        <f t="shared" si="73"/>
        <v>46905132.137491137</v>
      </c>
      <c r="R157" s="43">
        <f t="shared" ref="R157:AK159" si="75">R44+R60+R108+R124</f>
        <v>41210642.57298775</v>
      </c>
      <c r="S157" s="43">
        <f t="shared" si="75"/>
        <v>39730170.705784589</v>
      </c>
      <c r="T157" s="43">
        <f t="shared" si="75"/>
        <v>39944589.77233842</v>
      </c>
      <c r="U157" s="43">
        <f t="shared" si="75"/>
        <v>34387263.50616686</v>
      </c>
      <c r="V157" s="43">
        <f t="shared" si="75"/>
        <v>36063077.784698635</v>
      </c>
      <c r="W157" s="43">
        <f t="shared" si="75"/>
        <v>34442784.472246431</v>
      </c>
      <c r="X157" s="43">
        <f t="shared" si="75"/>
        <v>30712487.289454911</v>
      </c>
      <c r="Y157" s="43">
        <f t="shared" si="75"/>
        <v>28981546.077936001</v>
      </c>
      <c r="Z157" s="43">
        <f t="shared" si="75"/>
        <v>27593476.654395424</v>
      </c>
      <c r="AA157" s="43">
        <f t="shared" si="75"/>
        <v>26668167.435245574</v>
      </c>
      <c r="AB157" s="43">
        <f t="shared" si="75"/>
        <v>16496100.897503987</v>
      </c>
      <c r="AC157" s="43">
        <f t="shared" si="75"/>
        <v>12976869.663535729</v>
      </c>
      <c r="AD157" s="43">
        <f t="shared" si="75"/>
        <v>11239513.98882018</v>
      </c>
      <c r="AE157" s="43">
        <f t="shared" si="75"/>
        <v>9935097.8220446147</v>
      </c>
      <c r="AF157" s="43">
        <f t="shared" si="75"/>
        <v>10005078.66657443</v>
      </c>
      <c r="AG157" s="43">
        <f t="shared" si="75"/>
        <v>9992857.3835956063</v>
      </c>
      <c r="AH157" s="43">
        <f t="shared" si="75"/>
        <v>9978323.5962115321</v>
      </c>
      <c r="AI157" s="43">
        <f t="shared" si="75"/>
        <v>9973635.3232265208</v>
      </c>
      <c r="AJ157" s="43">
        <f t="shared" si="75"/>
        <v>9975927.865029797</v>
      </c>
      <c r="AK157" s="43">
        <f t="shared" si="75"/>
        <v>9988015.6888381522</v>
      </c>
      <c r="AL157" s="43">
        <f t="shared" si="74"/>
        <v>9980969.9491534233</v>
      </c>
      <c r="AM157" s="43">
        <f t="shared" si="74"/>
        <v>9979531.809597753</v>
      </c>
      <c r="AN157" s="43">
        <f t="shared" si="74"/>
        <v>9976286.8806113489</v>
      </c>
      <c r="AO157" s="43">
        <f t="shared" si="74"/>
        <v>9977708.3398107737</v>
      </c>
      <c r="AP157" s="43">
        <f t="shared" si="74"/>
        <v>9984332.1555377729</v>
      </c>
      <c r="AQ157" s="43">
        <f t="shared" si="74"/>
        <v>9981517.6608923338</v>
      </c>
      <c r="AR157" s="43"/>
      <c r="AT157" s="42">
        <f t="shared" si="71"/>
        <v>51748882</v>
      </c>
      <c r="AU157" s="55">
        <f t="shared" si="72"/>
        <v>0.97450236702698234</v>
      </c>
    </row>
    <row r="158" spans="1:47">
      <c r="A158" s="40" t="s">
        <v>53</v>
      </c>
      <c r="B158" s="42">
        <f t="shared" si="73"/>
        <v>1990621</v>
      </c>
      <c r="C158" s="42">
        <f t="shared" si="73"/>
        <v>3194691</v>
      </c>
      <c r="D158" s="42">
        <f t="shared" si="73"/>
        <v>11117955</v>
      </c>
      <c r="E158" s="42">
        <f t="shared" si="73"/>
        <v>65948238</v>
      </c>
      <c r="F158" s="42">
        <f t="shared" si="73"/>
        <v>60612160</v>
      </c>
      <c r="G158" s="42">
        <f t="shared" si="73"/>
        <v>56782119</v>
      </c>
      <c r="H158" s="42">
        <f t="shared" si="73"/>
        <v>114471392</v>
      </c>
      <c r="I158" s="42">
        <f t="shared" si="73"/>
        <v>40389768</v>
      </c>
      <c r="J158" s="42">
        <f t="shared" si="73"/>
        <v>24291462</v>
      </c>
      <c r="K158" s="42">
        <f t="shared" si="73"/>
        <v>52489561</v>
      </c>
      <c r="L158" s="42">
        <f t="shared" si="73"/>
        <v>66398288</v>
      </c>
      <c r="M158" s="42">
        <f t="shared" si="73"/>
        <v>59637960</v>
      </c>
      <c r="N158" s="42">
        <f t="shared" si="73"/>
        <v>66698524</v>
      </c>
      <c r="O158" s="42">
        <f t="shared" si="73"/>
        <v>85581974</v>
      </c>
      <c r="P158" s="42">
        <f t="shared" si="73"/>
        <v>60082495</v>
      </c>
      <c r="Q158" s="43">
        <f t="shared" si="73"/>
        <v>45948738.470441982</v>
      </c>
      <c r="R158" s="43">
        <f t="shared" si="75"/>
        <v>36722241.083038412</v>
      </c>
      <c r="S158" s="43">
        <f t="shared" si="75"/>
        <v>35437219.902093016</v>
      </c>
      <c r="T158" s="43">
        <f t="shared" si="75"/>
        <v>34253222.151009053</v>
      </c>
      <c r="U158" s="43">
        <f t="shared" si="75"/>
        <v>29907430.403207012</v>
      </c>
      <c r="V158" s="43">
        <f t="shared" si="75"/>
        <v>32792045.251266629</v>
      </c>
      <c r="W158" s="43">
        <f t="shared" si="75"/>
        <v>30694361.052482598</v>
      </c>
      <c r="X158" s="43">
        <f t="shared" si="75"/>
        <v>27262527.858825948</v>
      </c>
      <c r="Y158" s="43">
        <f t="shared" si="75"/>
        <v>25612151.065907523</v>
      </c>
      <c r="Z158" s="43">
        <f t="shared" si="75"/>
        <v>24552235.125290707</v>
      </c>
      <c r="AA158" s="43">
        <f t="shared" si="75"/>
        <v>23733778.706394374</v>
      </c>
      <c r="AB158" s="43">
        <f t="shared" si="75"/>
        <v>15009172.440746624</v>
      </c>
      <c r="AC158" s="43">
        <f t="shared" si="75"/>
        <v>11888569.013550211</v>
      </c>
      <c r="AD158" s="43">
        <f t="shared" si="75"/>
        <v>10236192.749791803</v>
      </c>
      <c r="AE158" s="43">
        <f t="shared" si="75"/>
        <v>8990798.3476711363</v>
      </c>
      <c r="AF158" s="43">
        <f t="shared" si="75"/>
        <v>9069523.0499038957</v>
      </c>
      <c r="AG158" s="43">
        <f t="shared" si="75"/>
        <v>9042454.8132377677</v>
      </c>
      <c r="AH158" s="43">
        <f t="shared" si="75"/>
        <v>9030462.2929416951</v>
      </c>
      <c r="AI158" s="43">
        <f t="shared" si="75"/>
        <v>9028489.7716814466</v>
      </c>
      <c r="AJ158" s="43">
        <f t="shared" si="75"/>
        <v>9031337.0458794199</v>
      </c>
      <c r="AK158" s="43">
        <f t="shared" si="75"/>
        <v>9044206.1661943607</v>
      </c>
      <c r="AL158" s="43">
        <f t="shared" si="74"/>
        <v>9034551.2451823242</v>
      </c>
      <c r="AM158" s="43">
        <f t="shared" si="74"/>
        <v>9033683.006767612</v>
      </c>
      <c r="AN158" s="43">
        <f t="shared" si="74"/>
        <v>9031148.7795192171</v>
      </c>
      <c r="AO158" s="43">
        <f t="shared" si="74"/>
        <v>9031562.3559664618</v>
      </c>
      <c r="AP158" s="43">
        <f t="shared" si="74"/>
        <v>9039275.4086838681</v>
      </c>
      <c r="AQ158" s="43">
        <f t="shared" si="74"/>
        <v>9035677.9723434448</v>
      </c>
      <c r="AR158" s="43"/>
      <c r="AT158" s="42">
        <f t="shared" si="71"/>
        <v>53903159</v>
      </c>
      <c r="AU158" s="55">
        <f t="shared" si="72"/>
        <v>0.58769867272528509</v>
      </c>
    </row>
    <row r="159" spans="1:47">
      <c r="A159" s="40" t="s">
        <v>54</v>
      </c>
      <c r="B159" s="42">
        <f t="shared" si="73"/>
        <v>1962490</v>
      </c>
      <c r="C159" s="42">
        <f t="shared" si="73"/>
        <v>10389680</v>
      </c>
      <c r="D159" s="42">
        <f t="shared" si="73"/>
        <v>5153705</v>
      </c>
      <c r="E159" s="42">
        <f t="shared" si="73"/>
        <v>75827186</v>
      </c>
      <c r="F159" s="42">
        <f t="shared" si="73"/>
        <v>52160969</v>
      </c>
      <c r="G159" s="42">
        <f t="shared" si="73"/>
        <v>67100398</v>
      </c>
      <c r="H159" s="42">
        <f t="shared" si="73"/>
        <v>154592265</v>
      </c>
      <c r="I159" s="42">
        <f t="shared" si="73"/>
        <v>62378915</v>
      </c>
      <c r="J159" s="42">
        <f t="shared" si="73"/>
        <v>65384790</v>
      </c>
      <c r="K159" s="42">
        <f t="shared" si="73"/>
        <v>64711159</v>
      </c>
      <c r="L159" s="42">
        <f t="shared" si="73"/>
        <v>67446384</v>
      </c>
      <c r="M159" s="42">
        <f t="shared" si="73"/>
        <v>97680848</v>
      </c>
      <c r="N159" s="42">
        <f t="shared" si="73"/>
        <v>86051353</v>
      </c>
      <c r="O159" s="42">
        <f t="shared" si="73"/>
        <v>114835217</v>
      </c>
      <c r="P159" s="42">
        <f t="shared" si="73"/>
        <v>68529403</v>
      </c>
      <c r="Q159" s="43">
        <f t="shared" si="73"/>
        <v>168317776.98123088</v>
      </c>
      <c r="R159" s="43">
        <f t="shared" si="75"/>
        <v>64440171.743191481</v>
      </c>
      <c r="S159" s="43">
        <f t="shared" si="75"/>
        <v>62086348.766008556</v>
      </c>
      <c r="T159" s="43">
        <f t="shared" si="75"/>
        <v>63883618.783056051</v>
      </c>
      <c r="U159" s="43">
        <f t="shared" si="75"/>
        <v>64565266.905266047</v>
      </c>
      <c r="V159" s="43">
        <f t="shared" si="75"/>
        <v>76970008.091279984</v>
      </c>
      <c r="W159" s="43">
        <f t="shared" si="75"/>
        <v>60918424.221147746</v>
      </c>
      <c r="X159" s="43">
        <f t="shared" si="75"/>
        <v>55253715.346610278</v>
      </c>
      <c r="Y159" s="43">
        <f t="shared" si="75"/>
        <v>53287497.957498133</v>
      </c>
      <c r="Z159" s="43">
        <f t="shared" si="75"/>
        <v>52281162.423436686</v>
      </c>
      <c r="AA159" s="43">
        <f t="shared" si="75"/>
        <v>50082027.772402436</v>
      </c>
      <c r="AB159" s="43">
        <f t="shared" si="75"/>
        <v>31918789.590395018</v>
      </c>
      <c r="AC159" s="43">
        <f t="shared" si="75"/>
        <v>25620005.9713374</v>
      </c>
      <c r="AD159" s="43">
        <f t="shared" si="75"/>
        <v>22105694.145371147</v>
      </c>
      <c r="AE159" s="43">
        <f t="shared" si="75"/>
        <v>19428017.166159973</v>
      </c>
      <c r="AF159" s="43">
        <f t="shared" si="75"/>
        <v>19489686.968207635</v>
      </c>
      <c r="AG159" s="43">
        <f t="shared" si="75"/>
        <v>19233646.539550148</v>
      </c>
      <c r="AH159" s="43">
        <f t="shared" si="75"/>
        <v>19311912.677857377</v>
      </c>
      <c r="AI159" s="43">
        <f t="shared" si="75"/>
        <v>19358344.033284694</v>
      </c>
      <c r="AJ159" s="43">
        <f t="shared" si="75"/>
        <v>19372394.119498312</v>
      </c>
      <c r="AK159" s="43">
        <f t="shared" si="75"/>
        <v>19360164.709133573</v>
      </c>
      <c r="AL159" s="43">
        <f t="shared" si="74"/>
        <v>19308790.931741342</v>
      </c>
      <c r="AM159" s="43">
        <f t="shared" si="74"/>
        <v>19319935.271338753</v>
      </c>
      <c r="AN159" s="43">
        <f t="shared" si="74"/>
        <v>19347149.51141157</v>
      </c>
      <c r="AO159" s="43">
        <f t="shared" si="74"/>
        <v>19355866.077421412</v>
      </c>
      <c r="AP159" s="43">
        <f t="shared" si="74"/>
        <v>19352347.552531347</v>
      </c>
      <c r="AQ159" s="43">
        <f t="shared" si="74"/>
        <v>19333505.477411598</v>
      </c>
      <c r="AR159" s="43"/>
      <c r="AT159" s="42">
        <f t="shared" si="71"/>
        <v>76254906.799999997</v>
      </c>
      <c r="AU159" s="55">
        <f t="shared" si="72"/>
        <v>0.50593872340815715</v>
      </c>
    </row>
    <row r="160" spans="1:47" ht="12" thickBot="1">
      <c r="A160" s="48" t="s">
        <v>29</v>
      </c>
      <c r="B160" s="49">
        <f t="shared" ref="B160:O160" si="76">SUM(B148:B159)</f>
        <v>12487506</v>
      </c>
      <c r="C160" s="49">
        <f t="shared" si="76"/>
        <v>44459572</v>
      </c>
      <c r="D160" s="49">
        <f t="shared" si="76"/>
        <v>90501692</v>
      </c>
      <c r="E160" s="49">
        <f t="shared" si="76"/>
        <v>489986679</v>
      </c>
      <c r="F160" s="49">
        <f t="shared" si="76"/>
        <v>510261571</v>
      </c>
      <c r="G160" s="49">
        <f t="shared" si="76"/>
        <v>671961814</v>
      </c>
      <c r="H160" s="49">
        <f t="shared" si="76"/>
        <v>1023854353</v>
      </c>
      <c r="I160" s="49">
        <f t="shared" si="76"/>
        <v>806296339</v>
      </c>
      <c r="J160" s="49">
        <f t="shared" si="76"/>
        <v>484987958</v>
      </c>
      <c r="K160" s="49">
        <f t="shared" si="76"/>
        <v>602739045</v>
      </c>
      <c r="L160" s="49">
        <f t="shared" si="76"/>
        <v>642777828</v>
      </c>
      <c r="M160" s="49">
        <f t="shared" si="76"/>
        <v>661164685</v>
      </c>
      <c r="N160" s="49">
        <f t="shared" si="76"/>
        <v>666105444</v>
      </c>
      <c r="O160" s="49">
        <f t="shared" si="76"/>
        <v>963638174</v>
      </c>
      <c r="P160" s="49">
        <f t="shared" ref="P160:AQ160" si="77">SUM(P148:P159)</f>
        <v>827808839</v>
      </c>
      <c r="Q160" s="50">
        <f t="shared" si="77"/>
        <v>563256108.25</v>
      </c>
      <c r="R160" s="50">
        <f t="shared" si="77"/>
        <v>463752318.12499994</v>
      </c>
      <c r="S160" s="50">
        <f t="shared" si="77"/>
        <v>452694447.5</v>
      </c>
      <c r="T160" s="50">
        <f t="shared" si="77"/>
        <v>451636576.87500012</v>
      </c>
      <c r="U160" s="50">
        <f t="shared" si="77"/>
        <v>430578706.24999994</v>
      </c>
      <c r="V160" s="50">
        <f t="shared" si="77"/>
        <v>419520835.625</v>
      </c>
      <c r="W160" s="50">
        <f t="shared" si="77"/>
        <v>399520835.625</v>
      </c>
      <c r="X160" s="50">
        <f t="shared" si="77"/>
        <v>358462965</v>
      </c>
      <c r="Y160" s="50">
        <f t="shared" si="77"/>
        <v>340039816.74999994</v>
      </c>
      <c r="Z160" s="50">
        <f t="shared" si="77"/>
        <v>326616668.50000006</v>
      </c>
      <c r="AA160" s="50">
        <f t="shared" si="77"/>
        <v>311616668.5</v>
      </c>
      <c r="AB160" s="50">
        <f t="shared" si="77"/>
        <v>193173611.875</v>
      </c>
      <c r="AC160" s="50">
        <f t="shared" si="77"/>
        <v>152115741.25</v>
      </c>
      <c r="AD160" s="50">
        <f t="shared" si="77"/>
        <v>132115741.25</v>
      </c>
      <c r="AE160" s="50">
        <f t="shared" si="77"/>
        <v>117115741.25000001</v>
      </c>
      <c r="AF160" s="50">
        <f t="shared" si="77"/>
        <v>117115741.25</v>
      </c>
      <c r="AG160" s="50">
        <f t="shared" si="77"/>
        <v>117115741.25</v>
      </c>
      <c r="AH160" s="50">
        <f t="shared" si="77"/>
        <v>117115753.25</v>
      </c>
      <c r="AI160" s="50">
        <f t="shared" si="77"/>
        <v>117115765.25000001</v>
      </c>
      <c r="AJ160" s="50">
        <f t="shared" si="77"/>
        <v>117115777.25000001</v>
      </c>
      <c r="AK160" s="50">
        <f t="shared" si="77"/>
        <v>117115789.25</v>
      </c>
      <c r="AL160" s="50">
        <f t="shared" si="77"/>
        <v>117115801.25</v>
      </c>
      <c r="AM160" s="50">
        <f t="shared" si="77"/>
        <v>117115813.25</v>
      </c>
      <c r="AN160" s="50">
        <f t="shared" si="77"/>
        <v>117115825.25</v>
      </c>
      <c r="AO160" s="50">
        <f t="shared" si="77"/>
        <v>117115837.25</v>
      </c>
      <c r="AP160" s="50">
        <f t="shared" si="77"/>
        <v>117115849.25</v>
      </c>
      <c r="AQ160" s="50">
        <f t="shared" si="77"/>
        <v>117115944.25000001</v>
      </c>
      <c r="AR160" s="43"/>
      <c r="AT160" s="42">
        <f>SUM(AT148:AT159)</f>
        <v>611554992</v>
      </c>
      <c r="AU160" s="55">
        <f t="shared" si="72"/>
        <v>0.57571794295810452</v>
      </c>
    </row>
    <row r="161" spans="1:44">
      <c r="A161" s="51"/>
      <c r="B161" s="51"/>
      <c r="C161" s="51"/>
      <c r="D161" s="51"/>
      <c r="E161" s="51"/>
      <c r="F161" s="51"/>
      <c r="G161" s="51"/>
      <c r="H161" s="51"/>
      <c r="I161" s="51"/>
      <c r="J161" s="51"/>
      <c r="K161" s="51"/>
      <c r="L161" s="51"/>
      <c r="M161" s="52"/>
      <c r="N161" s="53"/>
      <c r="O161" s="54"/>
      <c r="P161" s="54"/>
      <c r="Q161" s="53"/>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row>
    <row r="162" spans="1:44" ht="12" thickBot="1">
      <c r="A162" s="39" t="s">
        <v>108</v>
      </c>
    </row>
    <row r="163" spans="1:44" ht="12" thickBot="1">
      <c r="A163" s="41"/>
      <c r="B163" s="41">
        <f>B2</f>
        <v>2010</v>
      </c>
      <c r="C163" s="41">
        <f t="shared" ref="C163:AQ163" si="78">C2</f>
        <v>2011</v>
      </c>
      <c r="D163" s="41">
        <f t="shared" si="78"/>
        <v>2012</v>
      </c>
      <c r="E163" s="41">
        <f t="shared" si="78"/>
        <v>2013</v>
      </c>
      <c r="F163" s="41">
        <f t="shared" si="78"/>
        <v>2014</v>
      </c>
      <c r="G163" s="41">
        <f t="shared" si="78"/>
        <v>2015</v>
      </c>
      <c r="H163" s="41">
        <f t="shared" si="78"/>
        <v>2016</v>
      </c>
      <c r="I163" s="41">
        <f t="shared" si="78"/>
        <v>2017</v>
      </c>
      <c r="J163" s="41">
        <f t="shared" si="78"/>
        <v>2018</v>
      </c>
      <c r="K163" s="41">
        <f t="shared" si="78"/>
        <v>2019</v>
      </c>
      <c r="L163" s="41">
        <f t="shared" si="78"/>
        <v>2020</v>
      </c>
      <c r="M163" s="41">
        <f t="shared" si="78"/>
        <v>2021</v>
      </c>
      <c r="N163" s="41">
        <f t="shared" si="78"/>
        <v>2022</v>
      </c>
      <c r="O163" s="41">
        <f t="shared" si="78"/>
        <v>2023</v>
      </c>
      <c r="P163" s="41">
        <f t="shared" si="78"/>
        <v>2024</v>
      </c>
      <c r="Q163" s="41">
        <f t="shared" si="78"/>
        <v>2025</v>
      </c>
      <c r="R163" s="41">
        <f t="shared" si="78"/>
        <v>2026</v>
      </c>
      <c r="S163" s="41">
        <f t="shared" si="78"/>
        <v>2027</v>
      </c>
      <c r="T163" s="41">
        <f t="shared" si="78"/>
        <v>2028</v>
      </c>
      <c r="U163" s="41">
        <f t="shared" si="78"/>
        <v>2029</v>
      </c>
      <c r="V163" s="41">
        <f t="shared" si="78"/>
        <v>2030</v>
      </c>
      <c r="W163" s="41">
        <f t="shared" si="78"/>
        <v>2031</v>
      </c>
      <c r="X163" s="41">
        <f t="shared" si="78"/>
        <v>2032</v>
      </c>
      <c r="Y163" s="41">
        <f t="shared" si="78"/>
        <v>2033</v>
      </c>
      <c r="Z163" s="41">
        <f t="shared" si="78"/>
        <v>2034</v>
      </c>
      <c r="AA163" s="41">
        <f t="shared" si="78"/>
        <v>2035</v>
      </c>
      <c r="AB163" s="41">
        <f t="shared" si="78"/>
        <v>2036</v>
      </c>
      <c r="AC163" s="41">
        <f t="shared" si="78"/>
        <v>2037</v>
      </c>
      <c r="AD163" s="41">
        <f t="shared" si="78"/>
        <v>2038</v>
      </c>
      <c r="AE163" s="41">
        <f t="shared" si="78"/>
        <v>2039</v>
      </c>
      <c r="AF163" s="41">
        <f t="shared" si="78"/>
        <v>2040</v>
      </c>
      <c r="AG163" s="41">
        <f t="shared" si="78"/>
        <v>2041</v>
      </c>
      <c r="AH163" s="41">
        <f t="shared" si="78"/>
        <v>2042</v>
      </c>
      <c r="AI163" s="41">
        <f t="shared" si="78"/>
        <v>2043</v>
      </c>
      <c r="AJ163" s="41">
        <f t="shared" si="78"/>
        <v>2044</v>
      </c>
      <c r="AK163" s="41">
        <f t="shared" si="78"/>
        <v>2045</v>
      </c>
      <c r="AL163" s="41">
        <f t="shared" si="78"/>
        <v>2046</v>
      </c>
      <c r="AM163" s="41">
        <f t="shared" si="78"/>
        <v>2047</v>
      </c>
      <c r="AN163" s="41">
        <f t="shared" si="78"/>
        <v>2048</v>
      </c>
      <c r="AO163" s="41">
        <f t="shared" si="78"/>
        <v>2049</v>
      </c>
      <c r="AP163" s="41">
        <f t="shared" si="78"/>
        <v>2050</v>
      </c>
      <c r="AQ163" s="41">
        <f t="shared" si="78"/>
        <v>2051</v>
      </c>
    </row>
    <row r="164" spans="1:44">
      <c r="A164" s="40" t="s">
        <v>43</v>
      </c>
      <c r="B164" s="42">
        <f>B132+B148</f>
        <v>485714</v>
      </c>
      <c r="C164" s="42">
        <f t="shared" ref="C164:AQ172" si="79">C132+C148</f>
        <v>40067707</v>
      </c>
      <c r="D164" s="42">
        <f t="shared" si="79"/>
        <v>65373475</v>
      </c>
      <c r="E164" s="42">
        <f t="shared" si="79"/>
        <v>80428390</v>
      </c>
      <c r="F164" s="42">
        <f t="shared" si="79"/>
        <v>102406981</v>
      </c>
      <c r="G164" s="42">
        <f t="shared" si="79"/>
        <v>112194309</v>
      </c>
      <c r="H164" s="42">
        <f t="shared" si="79"/>
        <v>144247342</v>
      </c>
      <c r="I164" s="42">
        <f t="shared" si="79"/>
        <v>136163494</v>
      </c>
      <c r="J164" s="42">
        <f t="shared" si="79"/>
        <v>166676596</v>
      </c>
      <c r="K164" s="42">
        <f t="shared" si="79"/>
        <v>183474462</v>
      </c>
      <c r="L164" s="42">
        <f t="shared" si="79"/>
        <v>203777180</v>
      </c>
      <c r="M164" s="42">
        <f t="shared" si="79"/>
        <v>202189537</v>
      </c>
      <c r="N164" s="42">
        <f t="shared" si="79"/>
        <v>225040306</v>
      </c>
      <c r="O164" s="42">
        <f t="shared" si="79"/>
        <v>334557869</v>
      </c>
      <c r="P164" s="42">
        <f t="shared" si="79"/>
        <v>416563187</v>
      </c>
      <c r="Q164" s="42">
        <f t="shared" si="79"/>
        <v>286138440</v>
      </c>
      <c r="R164" s="43">
        <f t="shared" si="79"/>
        <v>301611234.96607482</v>
      </c>
      <c r="S164" s="43">
        <f t="shared" si="79"/>
        <v>310236336.28712857</v>
      </c>
      <c r="T164" s="43">
        <f t="shared" si="79"/>
        <v>295788947.82622582</v>
      </c>
      <c r="U164" s="43">
        <f t="shared" si="79"/>
        <v>304366561.06750053</v>
      </c>
      <c r="V164" s="43">
        <f t="shared" si="79"/>
        <v>306014351.52587032</v>
      </c>
      <c r="W164" s="43">
        <f t="shared" si="79"/>
        <v>331251159.78610349</v>
      </c>
      <c r="X164" s="43">
        <f t="shared" si="79"/>
        <v>373238605.75112665</v>
      </c>
      <c r="Y164" s="43">
        <f t="shared" si="79"/>
        <v>385123458.38855749</v>
      </c>
      <c r="Z164" s="43">
        <f t="shared" si="79"/>
        <v>365491033.27551407</v>
      </c>
      <c r="AA164" s="43">
        <f t="shared" si="79"/>
        <v>377365556.15063393</v>
      </c>
      <c r="AB164" s="43">
        <f t="shared" si="79"/>
        <v>375312806.94811624</v>
      </c>
      <c r="AC164" s="43">
        <f t="shared" si="79"/>
        <v>400594819.13125491</v>
      </c>
      <c r="AD164" s="43">
        <f t="shared" si="79"/>
        <v>434257257.58133245</v>
      </c>
      <c r="AE164" s="43">
        <f t="shared" si="79"/>
        <v>423832187.67513847</v>
      </c>
      <c r="AF164" s="43">
        <f t="shared" si="79"/>
        <v>360151174.01193374</v>
      </c>
      <c r="AG164" s="43">
        <f t="shared" si="79"/>
        <v>381891112.84740233</v>
      </c>
      <c r="AH164" s="43">
        <f t="shared" si="79"/>
        <v>401120561.94493306</v>
      </c>
      <c r="AI164" s="43">
        <f t="shared" si="79"/>
        <v>427117303.2946918</v>
      </c>
      <c r="AJ164" s="43">
        <f t="shared" si="79"/>
        <v>435142838.209117</v>
      </c>
      <c r="AK164" s="43">
        <f t="shared" si="79"/>
        <v>432983421.48406422</v>
      </c>
      <c r="AL164" s="43">
        <f t="shared" si="79"/>
        <v>414232630.77304178</v>
      </c>
      <c r="AM164" s="43">
        <f t="shared" si="79"/>
        <v>429736608.02095544</v>
      </c>
      <c r="AN164" s="43">
        <f t="shared" si="79"/>
        <v>444416338.49670607</v>
      </c>
      <c r="AO164" s="43">
        <f t="shared" si="79"/>
        <v>459729616.00497246</v>
      </c>
      <c r="AP164" s="43">
        <f t="shared" si="79"/>
        <v>478635976.20269442</v>
      </c>
      <c r="AQ164" s="43">
        <f t="shared" si="79"/>
        <v>495405587.08578169</v>
      </c>
      <c r="AR164" s="43"/>
    </row>
    <row r="165" spans="1:44">
      <c r="A165" s="40" t="s">
        <v>44</v>
      </c>
      <c r="B165" s="42">
        <f t="shared" ref="B165:Q175" si="80">B133+B149</f>
        <v>538632</v>
      </c>
      <c r="C165" s="42">
        <f t="shared" si="80"/>
        <v>44060355</v>
      </c>
      <c r="D165" s="42">
        <f t="shared" si="80"/>
        <v>80226494</v>
      </c>
      <c r="E165" s="42">
        <f t="shared" si="80"/>
        <v>81289855</v>
      </c>
      <c r="F165" s="42">
        <f t="shared" si="80"/>
        <v>122001251</v>
      </c>
      <c r="G165" s="42">
        <f t="shared" si="80"/>
        <v>106957031</v>
      </c>
      <c r="H165" s="42">
        <f t="shared" si="80"/>
        <v>145962379</v>
      </c>
      <c r="I165" s="42">
        <f t="shared" si="80"/>
        <v>153536175</v>
      </c>
      <c r="J165" s="42">
        <f t="shared" si="80"/>
        <v>177021795</v>
      </c>
      <c r="K165" s="42">
        <f t="shared" si="80"/>
        <v>201859042</v>
      </c>
      <c r="L165" s="42">
        <f t="shared" si="80"/>
        <v>217467089</v>
      </c>
      <c r="M165" s="42">
        <f t="shared" si="80"/>
        <v>203856495</v>
      </c>
      <c r="N165" s="42">
        <f t="shared" si="80"/>
        <v>252136553</v>
      </c>
      <c r="O165" s="42">
        <f t="shared" si="80"/>
        <v>329991465</v>
      </c>
      <c r="P165" s="42">
        <f t="shared" si="79"/>
        <v>466218311</v>
      </c>
      <c r="Q165" s="42">
        <f t="shared" si="79"/>
        <v>266336407</v>
      </c>
      <c r="R165" s="43">
        <f t="shared" si="79"/>
        <v>329539913.08070588</v>
      </c>
      <c r="S165" s="43">
        <f t="shared" si="79"/>
        <v>342095040.88668132</v>
      </c>
      <c r="T165" s="43">
        <f t="shared" si="79"/>
        <v>326897725.22640729</v>
      </c>
      <c r="U165" s="43">
        <f t="shared" si="79"/>
        <v>339043820.95164877</v>
      </c>
      <c r="V165" s="43">
        <f t="shared" si="79"/>
        <v>337157686.17868388</v>
      </c>
      <c r="W165" s="43">
        <f t="shared" si="79"/>
        <v>364368973.68688619</v>
      </c>
      <c r="X165" s="43">
        <f t="shared" si="79"/>
        <v>410204060.57159281</v>
      </c>
      <c r="Y165" s="43">
        <f t="shared" si="79"/>
        <v>401232889.76622844</v>
      </c>
      <c r="Z165" s="43">
        <f t="shared" si="79"/>
        <v>389610429.0278998</v>
      </c>
      <c r="AA165" s="43">
        <f t="shared" si="79"/>
        <v>401054711.87346303</v>
      </c>
      <c r="AB165" s="43">
        <f t="shared" si="79"/>
        <v>403124398.9532969</v>
      </c>
      <c r="AC165" s="43">
        <f t="shared" si="79"/>
        <v>430805840.91486782</v>
      </c>
      <c r="AD165" s="43">
        <f t="shared" si="79"/>
        <v>465785650.92547572</v>
      </c>
      <c r="AE165" s="43">
        <f t="shared" si="79"/>
        <v>456644334.65068519</v>
      </c>
      <c r="AF165" s="43">
        <f t="shared" si="79"/>
        <v>389553323.63994294</v>
      </c>
      <c r="AG165" s="43">
        <f t="shared" si="79"/>
        <v>413192592.2920838</v>
      </c>
      <c r="AH165" s="43">
        <f t="shared" si="79"/>
        <v>434035941.04447728</v>
      </c>
      <c r="AI165" s="43">
        <f t="shared" si="79"/>
        <v>463181378.10174292</v>
      </c>
      <c r="AJ165" s="43">
        <f t="shared" si="79"/>
        <v>471991974.42653513</v>
      </c>
      <c r="AK165" s="43">
        <f t="shared" si="79"/>
        <v>469581849.9627794</v>
      </c>
      <c r="AL165" s="43">
        <f t="shared" si="79"/>
        <v>448957673.95641547</v>
      </c>
      <c r="AM165" s="43">
        <f t="shared" si="79"/>
        <v>466105651.86967623</v>
      </c>
      <c r="AN165" s="43">
        <f t="shared" si="79"/>
        <v>482034916.24418306</v>
      </c>
      <c r="AO165" s="43">
        <f t="shared" si="79"/>
        <v>498669439.83550328</v>
      </c>
      <c r="AP165" s="43">
        <f t="shared" si="79"/>
        <v>519354174.56477064</v>
      </c>
      <c r="AQ165" s="43">
        <f t="shared" si="79"/>
        <v>543101804.38229811</v>
      </c>
      <c r="AR165" s="43"/>
    </row>
    <row r="166" spans="1:44">
      <c r="A166" s="40" t="s">
        <v>45</v>
      </c>
      <c r="B166" s="42">
        <f t="shared" si="80"/>
        <v>808785</v>
      </c>
      <c r="C166" s="42">
        <f t="shared" si="80"/>
        <v>71300063</v>
      </c>
      <c r="D166" s="42">
        <f t="shared" si="80"/>
        <v>109063384</v>
      </c>
      <c r="E166" s="42">
        <f t="shared" si="80"/>
        <v>130220524</v>
      </c>
      <c r="F166" s="42">
        <f t="shared" si="80"/>
        <v>154622477</v>
      </c>
      <c r="G166" s="42">
        <f t="shared" si="80"/>
        <v>147986186</v>
      </c>
      <c r="H166" s="42">
        <f t="shared" si="80"/>
        <v>180435997</v>
      </c>
      <c r="I166" s="42">
        <f t="shared" si="80"/>
        <v>198779595</v>
      </c>
      <c r="J166" s="42">
        <f t="shared" si="80"/>
        <v>214351858</v>
      </c>
      <c r="K166" s="42">
        <f t="shared" si="80"/>
        <v>228403427</v>
      </c>
      <c r="L166" s="42">
        <f t="shared" si="80"/>
        <v>257590354</v>
      </c>
      <c r="M166" s="42">
        <f t="shared" si="80"/>
        <v>271275992</v>
      </c>
      <c r="N166" s="42">
        <f t="shared" si="80"/>
        <v>311615855</v>
      </c>
      <c r="O166" s="42">
        <f t="shared" si="80"/>
        <v>400878738</v>
      </c>
      <c r="P166" s="42">
        <f t="shared" si="79"/>
        <v>406124237</v>
      </c>
      <c r="Q166" s="42">
        <f t="shared" si="79"/>
        <v>349245480</v>
      </c>
      <c r="R166" s="43">
        <f t="shared" si="79"/>
        <v>352837542.86701345</v>
      </c>
      <c r="S166" s="43">
        <f t="shared" si="79"/>
        <v>369589978.12856281</v>
      </c>
      <c r="T166" s="43">
        <f t="shared" si="79"/>
        <v>347418811.66764802</v>
      </c>
      <c r="U166" s="43">
        <f t="shared" si="79"/>
        <v>357043109.22885865</v>
      </c>
      <c r="V166" s="43">
        <f t="shared" si="79"/>
        <v>364422567.24952215</v>
      </c>
      <c r="W166" s="43">
        <f t="shared" si="79"/>
        <v>390392529.7623871</v>
      </c>
      <c r="X166" s="43">
        <f t="shared" si="79"/>
        <v>440224534.95839453</v>
      </c>
      <c r="Y166" s="43">
        <f t="shared" si="79"/>
        <v>430004723.6202333</v>
      </c>
      <c r="Z166" s="43">
        <f t="shared" si="79"/>
        <v>418008467.93770635</v>
      </c>
      <c r="AA166" s="43">
        <f t="shared" si="79"/>
        <v>431169339.99103129</v>
      </c>
      <c r="AB166" s="43">
        <f t="shared" si="79"/>
        <v>433131488.79820567</v>
      </c>
      <c r="AC166" s="43">
        <f t="shared" si="79"/>
        <v>462072182.81472421</v>
      </c>
      <c r="AD166" s="43">
        <f t="shared" si="79"/>
        <v>499593046.59322464</v>
      </c>
      <c r="AE166" s="43">
        <f t="shared" si="79"/>
        <v>489927858.16599762</v>
      </c>
      <c r="AF166" s="43">
        <f t="shared" si="79"/>
        <v>417749963.96694446</v>
      </c>
      <c r="AG166" s="43">
        <f t="shared" si="79"/>
        <v>442848721.26930791</v>
      </c>
      <c r="AH166" s="43">
        <f t="shared" si="79"/>
        <v>465073690.90215117</v>
      </c>
      <c r="AI166" s="43">
        <f t="shared" si="79"/>
        <v>495852615.88476282</v>
      </c>
      <c r="AJ166" s="43">
        <f t="shared" si="79"/>
        <v>505360367.77417433</v>
      </c>
      <c r="AK166" s="43">
        <f t="shared" si="79"/>
        <v>502833754.84231925</v>
      </c>
      <c r="AL166" s="43">
        <f t="shared" si="79"/>
        <v>481039500.45069164</v>
      </c>
      <c r="AM166" s="43">
        <f t="shared" si="79"/>
        <v>498969804.80651319</v>
      </c>
      <c r="AN166" s="43">
        <f t="shared" si="79"/>
        <v>516073192.99861634</v>
      </c>
      <c r="AO166" s="43">
        <f t="shared" si="79"/>
        <v>533924421.83690965</v>
      </c>
      <c r="AP166" s="43">
        <f t="shared" si="79"/>
        <v>555842658.49654603</v>
      </c>
      <c r="AQ166" s="43">
        <f t="shared" si="79"/>
        <v>573034760.13954616</v>
      </c>
      <c r="AR166" s="43"/>
    </row>
    <row r="167" spans="1:44">
      <c r="A167" s="40" t="s">
        <v>46</v>
      </c>
      <c r="B167" s="42">
        <f t="shared" si="80"/>
        <v>522149</v>
      </c>
      <c r="C167" s="42">
        <f t="shared" si="80"/>
        <v>74479259</v>
      </c>
      <c r="D167" s="42">
        <f t="shared" si="80"/>
        <v>99440570</v>
      </c>
      <c r="E167" s="42">
        <f t="shared" si="80"/>
        <v>126096758</v>
      </c>
      <c r="F167" s="42">
        <f t="shared" si="80"/>
        <v>161320137</v>
      </c>
      <c r="G167" s="42">
        <f t="shared" si="80"/>
        <v>169510501</v>
      </c>
      <c r="H167" s="42">
        <f t="shared" si="80"/>
        <v>215974871</v>
      </c>
      <c r="I167" s="42">
        <f t="shared" si="80"/>
        <v>194471631</v>
      </c>
      <c r="J167" s="42">
        <f t="shared" si="80"/>
        <v>218078298</v>
      </c>
      <c r="K167" s="42">
        <f t="shared" si="80"/>
        <v>256678436</v>
      </c>
      <c r="L167" s="42">
        <f t="shared" si="80"/>
        <v>240821526</v>
      </c>
      <c r="M167" s="42">
        <f t="shared" si="80"/>
        <v>255453534</v>
      </c>
      <c r="N167" s="42">
        <f t="shared" si="80"/>
        <v>323931836</v>
      </c>
      <c r="O167" s="42">
        <f t="shared" si="80"/>
        <v>386919197</v>
      </c>
      <c r="P167" s="42">
        <f t="shared" si="79"/>
        <v>497568010</v>
      </c>
      <c r="Q167" s="43">
        <f t="shared" si="79"/>
        <v>384820365.98846823</v>
      </c>
      <c r="R167" s="43">
        <f t="shared" si="79"/>
        <v>359696679.2831012</v>
      </c>
      <c r="S167" s="43">
        <f t="shared" si="79"/>
        <v>379561064.89102012</v>
      </c>
      <c r="T167" s="43">
        <f t="shared" si="79"/>
        <v>355583443.59516031</v>
      </c>
      <c r="U167" s="43">
        <f t="shared" si="79"/>
        <v>372976427.45210463</v>
      </c>
      <c r="V167" s="43">
        <f t="shared" si="79"/>
        <v>383183946.11080801</v>
      </c>
      <c r="W167" s="43">
        <f t="shared" si="79"/>
        <v>400103217.81690019</v>
      </c>
      <c r="X167" s="43">
        <f t="shared" si="79"/>
        <v>448971485.27801412</v>
      </c>
      <c r="Y167" s="43">
        <f t="shared" si="79"/>
        <v>438199298.14741373</v>
      </c>
      <c r="Z167" s="43">
        <f t="shared" si="79"/>
        <v>426487354.87849212</v>
      </c>
      <c r="AA167" s="43">
        <f t="shared" si="79"/>
        <v>437564916.68546408</v>
      </c>
      <c r="AB167" s="43">
        <f t="shared" si="79"/>
        <v>433892943.83842868</v>
      </c>
      <c r="AC167" s="43">
        <f t="shared" si="79"/>
        <v>458501382.25870752</v>
      </c>
      <c r="AD167" s="43">
        <f t="shared" si="79"/>
        <v>493544048.53523022</v>
      </c>
      <c r="AE167" s="43">
        <f t="shared" si="79"/>
        <v>481545555.8618511</v>
      </c>
      <c r="AF167" s="43">
        <f t="shared" si="79"/>
        <v>408369271.60417473</v>
      </c>
      <c r="AG167" s="43">
        <f t="shared" si="79"/>
        <v>433130788.51432401</v>
      </c>
      <c r="AH167" s="43">
        <f t="shared" si="79"/>
        <v>454396874.14009368</v>
      </c>
      <c r="AI167" s="43">
        <f t="shared" si="79"/>
        <v>482966826.50692135</v>
      </c>
      <c r="AJ167" s="43">
        <f t="shared" si="79"/>
        <v>492079544.90260065</v>
      </c>
      <c r="AK167" s="43">
        <f t="shared" si="79"/>
        <v>489639384.01142335</v>
      </c>
      <c r="AL167" s="43">
        <f t="shared" si="79"/>
        <v>468487167.17052221</v>
      </c>
      <c r="AM167" s="43">
        <f t="shared" si="79"/>
        <v>486018271.63523388</v>
      </c>
      <c r="AN167" s="43">
        <f t="shared" si="79"/>
        <v>502453138.59034139</v>
      </c>
      <c r="AO167" s="43">
        <f t="shared" si="79"/>
        <v>519615584.36766565</v>
      </c>
      <c r="AP167" s="43">
        <f t="shared" si="79"/>
        <v>540923119.50172079</v>
      </c>
      <c r="AQ167" s="43">
        <f t="shared" si="79"/>
        <v>564842180.86072743</v>
      </c>
      <c r="AR167" s="43"/>
    </row>
    <row r="168" spans="1:44">
      <c r="A168" s="40" t="s">
        <v>47</v>
      </c>
      <c r="B168" s="42">
        <f t="shared" si="80"/>
        <v>485714</v>
      </c>
      <c r="C168" s="42">
        <f t="shared" si="80"/>
        <v>87653320</v>
      </c>
      <c r="D168" s="42">
        <f t="shared" si="80"/>
        <v>121755164</v>
      </c>
      <c r="E168" s="42">
        <f t="shared" si="80"/>
        <v>155254946</v>
      </c>
      <c r="F168" s="42">
        <f t="shared" si="80"/>
        <v>163647732</v>
      </c>
      <c r="G168" s="42">
        <f t="shared" si="80"/>
        <v>186143305</v>
      </c>
      <c r="H168" s="42">
        <f t="shared" si="80"/>
        <v>235823740</v>
      </c>
      <c r="I168" s="42">
        <f t="shared" si="80"/>
        <v>241330712</v>
      </c>
      <c r="J168" s="42">
        <f t="shared" si="80"/>
        <v>235514554</v>
      </c>
      <c r="K168" s="42">
        <f t="shared" si="80"/>
        <v>256704690</v>
      </c>
      <c r="L168" s="42">
        <f t="shared" si="80"/>
        <v>244038506</v>
      </c>
      <c r="M168" s="42">
        <f t="shared" si="80"/>
        <v>262153285</v>
      </c>
      <c r="N168" s="42">
        <f t="shared" si="80"/>
        <v>332663344</v>
      </c>
      <c r="O168" s="42">
        <f t="shared" si="80"/>
        <v>488037220</v>
      </c>
      <c r="P168" s="42">
        <f t="shared" si="79"/>
        <v>429019828</v>
      </c>
      <c r="Q168" s="43">
        <f t="shared" si="79"/>
        <v>382946990.27649945</v>
      </c>
      <c r="R168" s="43">
        <f t="shared" si="79"/>
        <v>387593569.28457183</v>
      </c>
      <c r="S168" s="43">
        <f t="shared" si="79"/>
        <v>411376678.00396919</v>
      </c>
      <c r="T168" s="43">
        <f t="shared" si="79"/>
        <v>389105993.89958191</v>
      </c>
      <c r="U168" s="43">
        <f t="shared" si="79"/>
        <v>401611891.29258019</v>
      </c>
      <c r="V168" s="43">
        <f t="shared" si="79"/>
        <v>414436083.98549074</v>
      </c>
      <c r="W168" s="43">
        <f t="shared" si="79"/>
        <v>434410493.15923107</v>
      </c>
      <c r="X168" s="43">
        <f t="shared" si="79"/>
        <v>489678140.90961224</v>
      </c>
      <c r="Y168" s="43">
        <f t="shared" si="79"/>
        <v>478312133.34365737</v>
      </c>
      <c r="Z168" s="43">
        <f t="shared" si="79"/>
        <v>464831580.45614064</v>
      </c>
      <c r="AA168" s="43">
        <f t="shared" si="79"/>
        <v>478225716.74533594</v>
      </c>
      <c r="AB168" s="43">
        <f t="shared" si="79"/>
        <v>476139177.54510081</v>
      </c>
      <c r="AC168" s="43">
        <f t="shared" si="79"/>
        <v>505079039.23996174</v>
      </c>
      <c r="AD168" s="43">
        <f t="shared" si="79"/>
        <v>544864861.34105551</v>
      </c>
      <c r="AE168" s="43">
        <f t="shared" si="79"/>
        <v>532420861.26501805</v>
      </c>
      <c r="AF168" s="43">
        <f t="shared" si="79"/>
        <v>451823437.21286708</v>
      </c>
      <c r="AG168" s="43">
        <f t="shared" si="79"/>
        <v>479306982.98896188</v>
      </c>
      <c r="AH168" s="43">
        <f t="shared" si="79"/>
        <v>503076983.81562024</v>
      </c>
      <c r="AI168" s="43">
        <f t="shared" si="79"/>
        <v>535272371.72810972</v>
      </c>
      <c r="AJ168" s="43">
        <f t="shared" si="79"/>
        <v>545425926.00721562</v>
      </c>
      <c r="AK168" s="43">
        <f t="shared" si="79"/>
        <v>542702831.00193572</v>
      </c>
      <c r="AL168" s="43">
        <f t="shared" si="79"/>
        <v>519080457.53255671</v>
      </c>
      <c r="AM168" s="43">
        <f t="shared" si="79"/>
        <v>538668330.7961539</v>
      </c>
      <c r="AN168" s="43">
        <f t="shared" si="79"/>
        <v>556988518.05862033</v>
      </c>
      <c r="AO168" s="43">
        <f t="shared" si="79"/>
        <v>576120860.2515856</v>
      </c>
      <c r="AP168" s="43">
        <f t="shared" si="79"/>
        <v>599888930.78575087</v>
      </c>
      <c r="AQ168" s="43">
        <f t="shared" si="79"/>
        <v>626769023.70102465</v>
      </c>
      <c r="AR168" s="43"/>
    </row>
    <row r="169" spans="1:44">
      <c r="A169" s="40" t="s">
        <v>48</v>
      </c>
      <c r="B169" s="42">
        <f t="shared" si="80"/>
        <v>637838</v>
      </c>
      <c r="C169" s="42">
        <f t="shared" si="80"/>
        <v>86279104</v>
      </c>
      <c r="D169" s="42">
        <f t="shared" si="80"/>
        <v>118774007</v>
      </c>
      <c r="E169" s="42">
        <f t="shared" si="80"/>
        <v>167906248</v>
      </c>
      <c r="F169" s="42">
        <f t="shared" si="80"/>
        <v>171485430</v>
      </c>
      <c r="G169" s="42">
        <f t="shared" si="80"/>
        <v>198621386</v>
      </c>
      <c r="H169" s="42">
        <f t="shared" si="80"/>
        <v>268470026</v>
      </c>
      <c r="I169" s="42">
        <f t="shared" si="80"/>
        <v>274249488</v>
      </c>
      <c r="J169" s="42">
        <f t="shared" si="80"/>
        <v>213977805</v>
      </c>
      <c r="K169" s="42">
        <f t="shared" si="80"/>
        <v>238997956</v>
      </c>
      <c r="L169" s="42">
        <f t="shared" si="80"/>
        <v>257303675</v>
      </c>
      <c r="M169" s="42">
        <f t="shared" si="80"/>
        <v>285586381</v>
      </c>
      <c r="N169" s="42">
        <f t="shared" si="80"/>
        <v>313076854</v>
      </c>
      <c r="O169" s="42">
        <f t="shared" si="80"/>
        <v>435085478</v>
      </c>
      <c r="P169" s="42">
        <f t="shared" si="79"/>
        <v>514103165</v>
      </c>
      <c r="Q169" s="43">
        <f t="shared" si="79"/>
        <v>384755441.60313261</v>
      </c>
      <c r="R169" s="43">
        <f t="shared" si="79"/>
        <v>389594986.47422868</v>
      </c>
      <c r="S169" s="43">
        <f t="shared" si="79"/>
        <v>411508728.77027142</v>
      </c>
      <c r="T169" s="43">
        <f t="shared" si="79"/>
        <v>391208661.56060088</v>
      </c>
      <c r="U169" s="43">
        <f t="shared" si="79"/>
        <v>406947758.43271172</v>
      </c>
      <c r="V169" s="43">
        <f t="shared" si="79"/>
        <v>416945836.68924177</v>
      </c>
      <c r="W169" s="43">
        <f t="shared" si="79"/>
        <v>436417851.58120883</v>
      </c>
      <c r="X169" s="43">
        <f t="shared" si="79"/>
        <v>491052600.20407051</v>
      </c>
      <c r="Y169" s="43">
        <f t="shared" si="79"/>
        <v>480189946.2916652</v>
      </c>
      <c r="Z169" s="43">
        <f t="shared" si="79"/>
        <v>467057721.65124208</v>
      </c>
      <c r="AA169" s="43">
        <f t="shared" si="79"/>
        <v>480077364.83689642</v>
      </c>
      <c r="AB169" s="43">
        <f t="shared" si="79"/>
        <v>476587451.74456429</v>
      </c>
      <c r="AC169" s="43">
        <f t="shared" si="79"/>
        <v>505324907.52341509</v>
      </c>
      <c r="AD169" s="43">
        <f t="shared" si="79"/>
        <v>545129121.98573601</v>
      </c>
      <c r="AE169" s="43">
        <f t="shared" si="79"/>
        <v>533240375.8683356</v>
      </c>
      <c r="AF169" s="43">
        <f t="shared" si="79"/>
        <v>453525128.01055443</v>
      </c>
      <c r="AG169" s="43">
        <f t="shared" si="79"/>
        <v>480774585.12827784</v>
      </c>
      <c r="AH169" s="43">
        <f t="shared" si="79"/>
        <v>504617955.31115234</v>
      </c>
      <c r="AI169" s="43">
        <f t="shared" si="79"/>
        <v>537048912.45308638</v>
      </c>
      <c r="AJ169" s="43">
        <f t="shared" si="79"/>
        <v>547236156.18900633</v>
      </c>
      <c r="AK169" s="43">
        <f t="shared" si="79"/>
        <v>544503333.84964907</v>
      </c>
      <c r="AL169" s="43">
        <f t="shared" si="79"/>
        <v>521065938.53593141</v>
      </c>
      <c r="AM169" s="43">
        <f t="shared" si="79"/>
        <v>540404205.03844905</v>
      </c>
      <c r="AN169" s="43">
        <f t="shared" si="79"/>
        <v>558776272.06302643</v>
      </c>
      <c r="AO169" s="43">
        <f t="shared" si="79"/>
        <v>577935578.18176615</v>
      </c>
      <c r="AP169" s="43">
        <f t="shared" si="79"/>
        <v>601538493.17042565</v>
      </c>
      <c r="AQ169" s="43">
        <f t="shared" si="79"/>
        <v>622478837.25590777</v>
      </c>
      <c r="AR169" s="43"/>
    </row>
    <row r="170" spans="1:44">
      <c r="A170" s="40" t="s">
        <v>49</v>
      </c>
      <c r="B170" s="42">
        <f t="shared" si="80"/>
        <v>38244230</v>
      </c>
      <c r="C170" s="42">
        <f t="shared" si="80"/>
        <v>96022059</v>
      </c>
      <c r="D170" s="42">
        <f t="shared" si="80"/>
        <v>109356871</v>
      </c>
      <c r="E170" s="42">
        <f t="shared" si="80"/>
        <v>191178800</v>
      </c>
      <c r="F170" s="42">
        <f t="shared" si="80"/>
        <v>205493032</v>
      </c>
      <c r="G170" s="42">
        <f t="shared" si="80"/>
        <v>225410855</v>
      </c>
      <c r="H170" s="42">
        <f t="shared" si="80"/>
        <v>229369739</v>
      </c>
      <c r="I170" s="42">
        <f t="shared" si="80"/>
        <v>255370981</v>
      </c>
      <c r="J170" s="42">
        <f t="shared" si="80"/>
        <v>215319092</v>
      </c>
      <c r="K170" s="42">
        <f t="shared" si="80"/>
        <v>268955022</v>
      </c>
      <c r="L170" s="42">
        <f t="shared" si="80"/>
        <v>251343243</v>
      </c>
      <c r="M170" s="42">
        <f t="shared" si="80"/>
        <v>233581711</v>
      </c>
      <c r="N170" s="42">
        <f t="shared" si="80"/>
        <v>270482835</v>
      </c>
      <c r="O170" s="42">
        <f t="shared" si="80"/>
        <v>402859166</v>
      </c>
      <c r="P170" s="42">
        <f t="shared" si="79"/>
        <v>507727929</v>
      </c>
      <c r="Q170" s="43">
        <f t="shared" si="79"/>
        <v>367710491.90603566</v>
      </c>
      <c r="R170" s="43">
        <f t="shared" si="79"/>
        <v>363014357.29149479</v>
      </c>
      <c r="S170" s="43">
        <f t="shared" si="79"/>
        <v>387605922.98753041</v>
      </c>
      <c r="T170" s="43">
        <f t="shared" si="79"/>
        <v>369311229.37609339</v>
      </c>
      <c r="U170" s="43">
        <f t="shared" si="79"/>
        <v>383785180.801117</v>
      </c>
      <c r="V170" s="43">
        <f t="shared" si="79"/>
        <v>395453383.8293891</v>
      </c>
      <c r="W170" s="43">
        <f t="shared" si="79"/>
        <v>413961119.41235012</v>
      </c>
      <c r="X170" s="43">
        <f t="shared" si="79"/>
        <v>469196418.29760224</v>
      </c>
      <c r="Y170" s="43">
        <f t="shared" si="79"/>
        <v>459113797.74497896</v>
      </c>
      <c r="Z170" s="43">
        <f t="shared" si="79"/>
        <v>446463124.18347293</v>
      </c>
      <c r="AA170" s="43">
        <f t="shared" si="79"/>
        <v>459458687.93491954</v>
      </c>
      <c r="AB170" s="43">
        <f t="shared" si="79"/>
        <v>460313610.29462051</v>
      </c>
      <c r="AC170" s="43">
        <f t="shared" si="79"/>
        <v>489545655.51588798</v>
      </c>
      <c r="AD170" s="43">
        <f t="shared" si="79"/>
        <v>528768124.05008346</v>
      </c>
      <c r="AE170" s="43">
        <f t="shared" si="79"/>
        <v>517005059.29074711</v>
      </c>
      <c r="AF170" s="43">
        <f t="shared" si="79"/>
        <v>438650306.0485121</v>
      </c>
      <c r="AG170" s="43">
        <f t="shared" si="79"/>
        <v>465367096.27136195</v>
      </c>
      <c r="AH170" s="43">
        <f t="shared" si="79"/>
        <v>488596176.83845115</v>
      </c>
      <c r="AI170" s="43">
        <f t="shared" si="79"/>
        <v>520047354.54183656</v>
      </c>
      <c r="AJ170" s="43">
        <f t="shared" si="79"/>
        <v>529952830.19098181</v>
      </c>
      <c r="AK170" s="43">
        <f t="shared" si="79"/>
        <v>527299864.78693926</v>
      </c>
      <c r="AL170" s="43">
        <f t="shared" si="79"/>
        <v>504350460.91260064</v>
      </c>
      <c r="AM170" s="43">
        <f t="shared" si="79"/>
        <v>523342026.64013231</v>
      </c>
      <c r="AN170" s="43">
        <f t="shared" si="79"/>
        <v>541227508.27810657</v>
      </c>
      <c r="AO170" s="43">
        <f t="shared" si="79"/>
        <v>559891338.03372395</v>
      </c>
      <c r="AP170" s="43">
        <f t="shared" si="79"/>
        <v>583004725.94950712</v>
      </c>
      <c r="AQ170" s="43">
        <f t="shared" si="79"/>
        <v>606619488.54771924</v>
      </c>
      <c r="AR170" s="43"/>
    </row>
    <row r="171" spans="1:44">
      <c r="A171" s="40" t="s">
        <v>50</v>
      </c>
      <c r="B171" s="42">
        <f t="shared" si="80"/>
        <v>35408610</v>
      </c>
      <c r="C171" s="42">
        <f t="shared" si="80"/>
        <v>111982649</v>
      </c>
      <c r="D171" s="42">
        <f t="shared" si="80"/>
        <v>106264778</v>
      </c>
      <c r="E171" s="42">
        <f t="shared" si="80"/>
        <v>202043682</v>
      </c>
      <c r="F171" s="42">
        <f t="shared" si="80"/>
        <v>171791101</v>
      </c>
      <c r="G171" s="42">
        <f t="shared" si="80"/>
        <v>218343696</v>
      </c>
      <c r="H171" s="42">
        <f t="shared" si="80"/>
        <v>282150942</v>
      </c>
      <c r="I171" s="42">
        <f t="shared" si="80"/>
        <v>265717764</v>
      </c>
      <c r="J171" s="42">
        <f t="shared" si="80"/>
        <v>239472389</v>
      </c>
      <c r="K171" s="42">
        <f t="shared" si="80"/>
        <v>222442102</v>
      </c>
      <c r="L171" s="42">
        <f t="shared" si="80"/>
        <v>255998238</v>
      </c>
      <c r="M171" s="42">
        <f t="shared" si="80"/>
        <v>275912946</v>
      </c>
      <c r="N171" s="42">
        <f t="shared" si="80"/>
        <v>302752651</v>
      </c>
      <c r="O171" s="42">
        <f t="shared" si="80"/>
        <v>442323849</v>
      </c>
      <c r="P171" s="42">
        <f t="shared" si="79"/>
        <v>446565100</v>
      </c>
      <c r="Q171" s="43">
        <f t="shared" si="79"/>
        <v>379661415.98550576</v>
      </c>
      <c r="R171" s="43">
        <f t="shared" si="79"/>
        <v>375039423.78791922</v>
      </c>
      <c r="S171" s="43">
        <f t="shared" si="79"/>
        <v>397096351.94085085</v>
      </c>
      <c r="T171" s="43">
        <f t="shared" si="79"/>
        <v>375944871.88088274</v>
      </c>
      <c r="U171" s="43">
        <f t="shared" si="79"/>
        <v>393010041.49533081</v>
      </c>
      <c r="V171" s="43">
        <f t="shared" si="79"/>
        <v>407028704.60016322</v>
      </c>
      <c r="W171" s="43">
        <f t="shared" si="79"/>
        <v>425581803.15143788</v>
      </c>
      <c r="X171" s="43">
        <f t="shared" si="79"/>
        <v>481735390.09617484</v>
      </c>
      <c r="Y171" s="43">
        <f t="shared" si="79"/>
        <v>471330713.99887007</v>
      </c>
      <c r="Z171" s="43">
        <f t="shared" si="79"/>
        <v>459073715.50831461</v>
      </c>
      <c r="AA171" s="43">
        <f t="shared" si="79"/>
        <v>472460642.73114592</v>
      </c>
      <c r="AB171" s="43">
        <f t="shared" si="79"/>
        <v>473997503.06999165</v>
      </c>
      <c r="AC171" s="43">
        <f t="shared" si="79"/>
        <v>503748395.55200899</v>
      </c>
      <c r="AD171" s="43">
        <f t="shared" si="79"/>
        <v>543861258.41601062</v>
      </c>
      <c r="AE171" s="43">
        <f t="shared" si="79"/>
        <v>532216950.02959359</v>
      </c>
      <c r="AF171" s="43">
        <f t="shared" si="79"/>
        <v>452257259.39020449</v>
      </c>
      <c r="AG171" s="43">
        <f t="shared" si="79"/>
        <v>479426555.78145349</v>
      </c>
      <c r="AH171" s="43">
        <f t="shared" si="79"/>
        <v>503292388.2908839</v>
      </c>
      <c r="AI171" s="43">
        <f t="shared" si="79"/>
        <v>535630795.78926843</v>
      </c>
      <c r="AJ171" s="43">
        <f t="shared" si="79"/>
        <v>545886827.21811378</v>
      </c>
      <c r="AK171" s="43">
        <f t="shared" si="79"/>
        <v>543170245.35418725</v>
      </c>
      <c r="AL171" s="43">
        <f t="shared" si="79"/>
        <v>519845543.85611784</v>
      </c>
      <c r="AM171" s="43">
        <f t="shared" si="79"/>
        <v>538977044.43423271</v>
      </c>
      <c r="AN171" s="43">
        <f t="shared" si="79"/>
        <v>557429475.8569808</v>
      </c>
      <c r="AO171" s="43">
        <f t="shared" si="79"/>
        <v>576661448.08091557</v>
      </c>
      <c r="AP171" s="43">
        <f t="shared" si="79"/>
        <v>600181842.33508348</v>
      </c>
      <c r="AQ171" s="43">
        <f t="shared" si="79"/>
        <v>616064480.86988866</v>
      </c>
      <c r="AR171" s="43"/>
    </row>
    <row r="172" spans="1:44">
      <c r="A172" s="40" t="s">
        <v>51</v>
      </c>
      <c r="B172" s="42">
        <f t="shared" si="80"/>
        <v>43700681</v>
      </c>
      <c r="C172" s="42">
        <f t="shared" si="80"/>
        <v>124771556</v>
      </c>
      <c r="D172" s="42">
        <f t="shared" si="80"/>
        <v>97895624</v>
      </c>
      <c r="E172" s="42">
        <f t="shared" si="80"/>
        <v>202242629</v>
      </c>
      <c r="F172" s="42">
        <f t="shared" si="80"/>
        <v>152184839</v>
      </c>
      <c r="G172" s="42">
        <f t="shared" si="80"/>
        <v>184476006</v>
      </c>
      <c r="H172" s="42">
        <f t="shared" si="80"/>
        <v>285911474</v>
      </c>
      <c r="I172" s="42">
        <f t="shared" si="80"/>
        <v>227677963</v>
      </c>
      <c r="J172" s="42">
        <f t="shared" si="80"/>
        <v>223467084</v>
      </c>
      <c r="K172" s="42">
        <f t="shared" si="80"/>
        <v>227109341</v>
      </c>
      <c r="L172" s="42">
        <f t="shared" si="80"/>
        <v>285152287</v>
      </c>
      <c r="M172" s="42">
        <f t="shared" si="80"/>
        <v>255137662</v>
      </c>
      <c r="N172" s="42">
        <f t="shared" si="80"/>
        <v>330667561</v>
      </c>
      <c r="O172" s="42">
        <f t="shared" si="80"/>
        <v>429043542</v>
      </c>
      <c r="P172" s="42">
        <f t="shared" si="79"/>
        <v>459849094</v>
      </c>
      <c r="Q172" s="43">
        <f t="shared" si="79"/>
        <v>379751149.26856285</v>
      </c>
      <c r="R172" s="43">
        <f t="shared" si="79"/>
        <v>376091813.85580385</v>
      </c>
      <c r="S172" s="43">
        <f t="shared" si="79"/>
        <v>397881289.60554081</v>
      </c>
      <c r="T172" s="43">
        <f t="shared" si="79"/>
        <v>374514843.82123518</v>
      </c>
      <c r="U172" s="43">
        <f t="shared" si="79"/>
        <v>391800146.70097584</v>
      </c>
      <c r="V172" s="43">
        <f t="shared" si="79"/>
        <v>406610519.7724824</v>
      </c>
      <c r="W172" s="43">
        <f t="shared" si="79"/>
        <v>425217335.38004154</v>
      </c>
      <c r="X172" s="43">
        <f t="shared" si="79"/>
        <v>481180215.59243119</v>
      </c>
      <c r="Y172" s="43">
        <f t="shared" si="79"/>
        <v>470733727.90515083</v>
      </c>
      <c r="Z172" s="43">
        <f t="shared" si="79"/>
        <v>458542791.43978065</v>
      </c>
      <c r="AA172" s="43">
        <f t="shared" si="79"/>
        <v>472486859.28279352</v>
      </c>
      <c r="AB172" s="43">
        <f t="shared" si="79"/>
        <v>474365826.81270182</v>
      </c>
      <c r="AC172" s="43">
        <f t="shared" si="79"/>
        <v>505579780.04301441</v>
      </c>
      <c r="AD172" s="43">
        <f t="shared" si="79"/>
        <v>546228829.46857584</v>
      </c>
      <c r="AE172" s="43">
        <f t="shared" si="79"/>
        <v>535154465.34708482</v>
      </c>
      <c r="AF172" s="43">
        <f t="shared" si="79"/>
        <v>455652016.43168914</v>
      </c>
      <c r="AG172" s="43">
        <f t="shared" si="79"/>
        <v>482982973.54260582</v>
      </c>
      <c r="AH172" s="43">
        <f t="shared" ref="AH172:AQ175" si="81">AH140+AH156</f>
        <v>507180298.82292569</v>
      </c>
      <c r="AI172" s="43">
        <f t="shared" si="81"/>
        <v>540414964.29558718</v>
      </c>
      <c r="AJ172" s="43">
        <f t="shared" si="81"/>
        <v>550770944.85599852</v>
      </c>
      <c r="AK172" s="43">
        <f t="shared" si="81"/>
        <v>548003874.77707529</v>
      </c>
      <c r="AL172" s="43">
        <f t="shared" si="81"/>
        <v>524264487.51316798</v>
      </c>
      <c r="AM172" s="43">
        <f t="shared" si="81"/>
        <v>543794622.96552718</v>
      </c>
      <c r="AN172" s="43">
        <f t="shared" si="81"/>
        <v>562425197.70739603</v>
      </c>
      <c r="AO172" s="43">
        <f t="shared" si="81"/>
        <v>581861029.53362381</v>
      </c>
      <c r="AP172" s="43">
        <f t="shared" si="81"/>
        <v>605725775.41652083</v>
      </c>
      <c r="AQ172" s="43">
        <f t="shared" si="81"/>
        <v>624928811.40800714</v>
      </c>
      <c r="AR172" s="43"/>
    </row>
    <row r="173" spans="1:44">
      <c r="A173" s="40" t="s">
        <v>52</v>
      </c>
      <c r="B173" s="42">
        <f t="shared" si="80"/>
        <v>41986941</v>
      </c>
      <c r="C173" s="42">
        <f t="shared" si="80"/>
        <v>125148942</v>
      </c>
      <c r="D173" s="42">
        <f t="shared" si="80"/>
        <v>99799135</v>
      </c>
      <c r="E173" s="42">
        <f t="shared" si="80"/>
        <v>207005118</v>
      </c>
      <c r="F173" s="42">
        <f t="shared" si="80"/>
        <v>158755332</v>
      </c>
      <c r="G173" s="42">
        <f t="shared" si="80"/>
        <v>197003480</v>
      </c>
      <c r="H173" s="42">
        <f t="shared" si="80"/>
        <v>259649593</v>
      </c>
      <c r="I173" s="42">
        <f t="shared" si="80"/>
        <v>243695483</v>
      </c>
      <c r="J173" s="42">
        <f t="shared" si="80"/>
        <v>230603684</v>
      </c>
      <c r="K173" s="42">
        <f t="shared" si="80"/>
        <v>252772597</v>
      </c>
      <c r="L173" s="42">
        <f t="shared" si="80"/>
        <v>228245184</v>
      </c>
      <c r="M173" s="42">
        <f t="shared" si="80"/>
        <v>282064037</v>
      </c>
      <c r="N173" s="42">
        <f t="shared" si="80"/>
        <v>314099774</v>
      </c>
      <c r="O173" s="42">
        <f t="shared" si="80"/>
        <v>461000222</v>
      </c>
      <c r="P173" s="42">
        <f t="shared" si="80"/>
        <v>479268928</v>
      </c>
      <c r="Q173" s="43">
        <f t="shared" si="80"/>
        <v>398002387.0723505</v>
      </c>
      <c r="R173" s="43">
        <f t="shared" ref="R173:AK175" si="82">R141+R157</f>
        <v>404689617.64364666</v>
      </c>
      <c r="S173" s="43">
        <f t="shared" si="82"/>
        <v>429658318.17548847</v>
      </c>
      <c r="T173" s="43">
        <f t="shared" si="82"/>
        <v>409598566.57474101</v>
      </c>
      <c r="U173" s="43">
        <f t="shared" si="82"/>
        <v>421405513.91964829</v>
      </c>
      <c r="V173" s="43">
        <f t="shared" si="82"/>
        <v>436724731.71345758</v>
      </c>
      <c r="W173" s="43">
        <f t="shared" si="82"/>
        <v>458599245.74198735</v>
      </c>
      <c r="X173" s="43">
        <f t="shared" si="82"/>
        <v>519020117.40018559</v>
      </c>
      <c r="Y173" s="43">
        <f t="shared" si="82"/>
        <v>507899356.90435416</v>
      </c>
      <c r="Z173" s="43">
        <f t="shared" si="82"/>
        <v>493683556.35868919</v>
      </c>
      <c r="AA173" s="43">
        <f t="shared" si="82"/>
        <v>509156805.22405374</v>
      </c>
      <c r="AB173" s="43">
        <f t="shared" si="82"/>
        <v>511458732.40714824</v>
      </c>
      <c r="AC173" s="43">
        <f t="shared" si="82"/>
        <v>546373792.25560868</v>
      </c>
      <c r="AD173" s="43">
        <f t="shared" si="82"/>
        <v>590573280.00163078</v>
      </c>
      <c r="AE173" s="43">
        <f t="shared" si="82"/>
        <v>578634167.22383356</v>
      </c>
      <c r="AF173" s="43">
        <f t="shared" si="82"/>
        <v>493136533.71445543</v>
      </c>
      <c r="AG173" s="43">
        <f t="shared" si="82"/>
        <v>522895069.25315994</v>
      </c>
      <c r="AH173" s="43">
        <f t="shared" si="82"/>
        <v>549236274.31370378</v>
      </c>
      <c r="AI173" s="43">
        <f t="shared" si="82"/>
        <v>585764527.97474551</v>
      </c>
      <c r="AJ173" s="43">
        <f t="shared" si="82"/>
        <v>596940153.9502058</v>
      </c>
      <c r="AK173" s="43">
        <f t="shared" si="82"/>
        <v>593924123.226771</v>
      </c>
      <c r="AL173" s="43">
        <f t="shared" si="81"/>
        <v>567883022.11618829</v>
      </c>
      <c r="AM173" s="43">
        <f t="shared" si="81"/>
        <v>589456149.34823549</v>
      </c>
      <c r="AN173" s="43">
        <f t="shared" si="81"/>
        <v>609625462.32664263</v>
      </c>
      <c r="AO173" s="43">
        <f t="shared" si="81"/>
        <v>630685419.74813354</v>
      </c>
      <c r="AP173" s="43">
        <f t="shared" si="81"/>
        <v>656804397.43181098</v>
      </c>
      <c r="AQ173" s="43">
        <f t="shared" si="81"/>
        <v>684716707.5617547</v>
      </c>
      <c r="AR173" s="43"/>
    </row>
    <row r="174" spans="1:44">
      <c r="A174" s="40" t="s">
        <v>53</v>
      </c>
      <c r="B174" s="42">
        <f t="shared" si="80"/>
        <v>35372877</v>
      </c>
      <c r="C174" s="42">
        <f t="shared" si="80"/>
        <v>114212121</v>
      </c>
      <c r="D174" s="42">
        <f t="shared" si="80"/>
        <v>84723944</v>
      </c>
      <c r="E174" s="42">
        <f t="shared" si="80"/>
        <v>193527929</v>
      </c>
      <c r="F174" s="42">
        <f t="shared" si="80"/>
        <v>174418817</v>
      </c>
      <c r="G174" s="42">
        <f t="shared" si="80"/>
        <v>165914403</v>
      </c>
      <c r="H174" s="42">
        <f t="shared" si="80"/>
        <v>281540314</v>
      </c>
      <c r="I174" s="42">
        <f t="shared" si="80"/>
        <v>211396492</v>
      </c>
      <c r="J174" s="42">
        <f t="shared" si="80"/>
        <v>215397401</v>
      </c>
      <c r="K174" s="42">
        <f t="shared" si="80"/>
        <v>214143836</v>
      </c>
      <c r="L174" s="42">
        <f t="shared" si="80"/>
        <v>258286934</v>
      </c>
      <c r="M174" s="42">
        <f t="shared" si="80"/>
        <v>302355796</v>
      </c>
      <c r="N174" s="42">
        <f t="shared" si="80"/>
        <v>379781730</v>
      </c>
      <c r="O174" s="42">
        <f t="shared" si="80"/>
        <v>427386828</v>
      </c>
      <c r="P174" s="42">
        <f t="shared" si="80"/>
        <v>454461721</v>
      </c>
      <c r="Q174" s="43">
        <f t="shared" si="80"/>
        <v>409544350.42622691</v>
      </c>
      <c r="R174" s="43">
        <f t="shared" si="82"/>
        <v>445358999.51218921</v>
      </c>
      <c r="S174" s="43">
        <f t="shared" si="82"/>
        <v>475266888.69583791</v>
      </c>
      <c r="T174" s="43">
        <f t="shared" si="82"/>
        <v>454010520.06274569</v>
      </c>
      <c r="U174" s="43">
        <f t="shared" si="82"/>
        <v>467268407.65599585</v>
      </c>
      <c r="V174" s="43">
        <f t="shared" si="82"/>
        <v>487213431.48932409</v>
      </c>
      <c r="W174" s="43">
        <f t="shared" si="82"/>
        <v>513492891.66619223</v>
      </c>
      <c r="X174" s="43">
        <f t="shared" si="82"/>
        <v>585732335.34445548</v>
      </c>
      <c r="Y174" s="43">
        <f t="shared" si="82"/>
        <v>574401335.34988034</v>
      </c>
      <c r="Z174" s="43">
        <f t="shared" si="82"/>
        <v>558556735.39399886</v>
      </c>
      <c r="AA174" s="43">
        <f t="shared" si="82"/>
        <v>578779985.71504211</v>
      </c>
      <c r="AB174" s="43">
        <f t="shared" si="82"/>
        <v>589848259.34048057</v>
      </c>
      <c r="AC174" s="43">
        <f t="shared" si="82"/>
        <v>637737095.66282403</v>
      </c>
      <c r="AD174" s="43">
        <f t="shared" si="82"/>
        <v>691983751.45313048</v>
      </c>
      <c r="AE174" s="43">
        <f t="shared" si="82"/>
        <v>680793021.16993558</v>
      </c>
      <c r="AF174" s="43">
        <f t="shared" si="82"/>
        <v>583250058.23950994</v>
      </c>
      <c r="AG174" s="43">
        <f t="shared" si="82"/>
        <v>618354867.80348754</v>
      </c>
      <c r="AH174" s="43">
        <f t="shared" si="82"/>
        <v>650356677.58795643</v>
      </c>
      <c r="AI174" s="43">
        <f t="shared" si="82"/>
        <v>696248308.09053624</v>
      </c>
      <c r="AJ174" s="43">
        <f t="shared" si="82"/>
        <v>709641503.70260632</v>
      </c>
      <c r="AK174" s="43">
        <f t="shared" si="82"/>
        <v>705948627.53672457</v>
      </c>
      <c r="AL174" s="43">
        <f t="shared" si="81"/>
        <v>674352915.41505551</v>
      </c>
      <c r="AM174" s="43">
        <f t="shared" si="81"/>
        <v>700629432.98931658</v>
      </c>
      <c r="AN174" s="43">
        <f t="shared" si="81"/>
        <v>724844272.79874647</v>
      </c>
      <c r="AO174" s="43">
        <f t="shared" si="81"/>
        <v>750134118.28300989</v>
      </c>
      <c r="AP174" s="43">
        <f t="shared" si="81"/>
        <v>781636530.22078371</v>
      </c>
      <c r="AQ174" s="43">
        <f t="shared" si="81"/>
        <v>819048833.52182257</v>
      </c>
      <c r="AR174" s="43"/>
    </row>
    <row r="175" spans="1:44">
      <c r="A175" s="40" t="s">
        <v>54</v>
      </c>
      <c r="B175" s="42">
        <f t="shared" si="80"/>
        <v>37547425</v>
      </c>
      <c r="C175" s="42">
        <f t="shared" si="80"/>
        <v>167614057</v>
      </c>
      <c r="D175" s="42">
        <f t="shared" si="80"/>
        <v>67177027</v>
      </c>
      <c r="E175" s="42">
        <f t="shared" si="80"/>
        <v>250671340</v>
      </c>
      <c r="F175" s="42">
        <f t="shared" si="80"/>
        <v>238488765</v>
      </c>
      <c r="G175" s="42">
        <f t="shared" si="80"/>
        <v>190520996</v>
      </c>
      <c r="H175" s="42">
        <f t="shared" si="80"/>
        <v>368912491</v>
      </c>
      <c r="I175" s="42">
        <f t="shared" si="80"/>
        <v>250498426</v>
      </c>
      <c r="J175" s="42">
        <f t="shared" si="80"/>
        <v>296044599</v>
      </c>
      <c r="K175" s="42">
        <f t="shared" si="80"/>
        <v>257108900</v>
      </c>
      <c r="L175" s="42">
        <f t="shared" si="80"/>
        <v>301135597</v>
      </c>
      <c r="M175" s="42">
        <f t="shared" si="80"/>
        <v>381659550</v>
      </c>
      <c r="N175" s="42">
        <f t="shared" si="80"/>
        <v>385401914</v>
      </c>
      <c r="O175" s="42">
        <f t="shared" si="80"/>
        <v>525498342</v>
      </c>
      <c r="P175" s="42">
        <f t="shared" si="80"/>
        <v>557511325</v>
      </c>
      <c r="Q175" s="43">
        <f t="shared" si="80"/>
        <v>711436416.75838161</v>
      </c>
      <c r="R175" s="43">
        <f t="shared" si="82"/>
        <v>530108381.10330379</v>
      </c>
      <c r="S175" s="43">
        <f t="shared" si="82"/>
        <v>579181955.79428697</v>
      </c>
      <c r="T175" s="43">
        <f t="shared" si="82"/>
        <v>559421091.39536297</v>
      </c>
      <c r="U175" s="43">
        <f t="shared" si="82"/>
        <v>591835002.57946229</v>
      </c>
      <c r="V175" s="43">
        <f t="shared" si="82"/>
        <v>627263891.25919139</v>
      </c>
      <c r="W175" s="43">
        <f t="shared" si="82"/>
        <v>629523534.62198734</v>
      </c>
      <c r="X175" s="43">
        <f t="shared" si="82"/>
        <v>715226400.35469902</v>
      </c>
      <c r="Y175" s="43">
        <f t="shared" si="82"/>
        <v>682425915.8956964</v>
      </c>
      <c r="Z175" s="43">
        <f t="shared" si="82"/>
        <v>673857386.51726913</v>
      </c>
      <c r="AA175" s="43">
        <f t="shared" si="82"/>
        <v>692839657.16869354</v>
      </c>
      <c r="AB175" s="43">
        <f t="shared" si="82"/>
        <v>696757920.99542797</v>
      </c>
      <c r="AC175" s="43">
        <f t="shared" si="82"/>
        <v>745043325.93485165</v>
      </c>
      <c r="AD175" s="43">
        <f t="shared" si="82"/>
        <v>803238443.93682134</v>
      </c>
      <c r="AE175" s="43">
        <f t="shared" si="82"/>
        <v>788499274.26902008</v>
      </c>
      <c r="AF175" s="43">
        <f t="shared" si="82"/>
        <v>674306688.9668113</v>
      </c>
      <c r="AG175" s="43">
        <f t="shared" si="82"/>
        <v>714544605.90596414</v>
      </c>
      <c r="AH175" s="43">
        <f t="shared" si="82"/>
        <v>750634778.9382937</v>
      </c>
      <c r="AI175" s="43">
        <f t="shared" si="82"/>
        <v>801609559.06549895</v>
      </c>
      <c r="AJ175" s="43">
        <f t="shared" si="82"/>
        <v>816931009.81121945</v>
      </c>
      <c r="AK175" s="43">
        <f t="shared" si="82"/>
        <v>812715905.24128497</v>
      </c>
      <c r="AL175" s="43">
        <f t="shared" si="81"/>
        <v>776817595.67866945</v>
      </c>
      <c r="AM175" s="43">
        <f t="shared" si="81"/>
        <v>806659404.21365738</v>
      </c>
      <c r="AN175" s="43">
        <f t="shared" si="81"/>
        <v>834170163.98718071</v>
      </c>
      <c r="AO175" s="43">
        <f t="shared" si="81"/>
        <v>862897536.95719707</v>
      </c>
      <c r="AP175" s="43">
        <f t="shared" si="81"/>
        <v>898708962.55131865</v>
      </c>
      <c r="AQ175" s="43">
        <f t="shared" si="81"/>
        <v>943346276.25220466</v>
      </c>
      <c r="AR175" s="43"/>
    </row>
    <row r="176" spans="1:44" ht="12" thickBot="1">
      <c r="A176" s="48" t="s">
        <v>29</v>
      </c>
      <c r="B176" s="49">
        <f t="shared" ref="B176:AQ176" si="83">SUM(B164:B175)</f>
        <v>235739596</v>
      </c>
      <c r="C176" s="49">
        <f t="shared" si="83"/>
        <v>1143591192</v>
      </c>
      <c r="D176" s="49">
        <f t="shared" si="83"/>
        <v>1159850473</v>
      </c>
      <c r="E176" s="49">
        <f t="shared" si="83"/>
        <v>1987866219</v>
      </c>
      <c r="F176" s="49">
        <f t="shared" si="83"/>
        <v>1976615894</v>
      </c>
      <c r="G176" s="49">
        <f t="shared" si="83"/>
        <v>2103082154</v>
      </c>
      <c r="H176" s="49">
        <f t="shared" si="83"/>
        <v>2898448908</v>
      </c>
      <c r="I176" s="49">
        <f t="shared" si="83"/>
        <v>2652888204</v>
      </c>
      <c r="J176" s="49">
        <f t="shared" si="83"/>
        <v>2645925155</v>
      </c>
      <c r="K176" s="49">
        <f t="shared" si="83"/>
        <v>2808649811</v>
      </c>
      <c r="L176" s="49">
        <f t="shared" si="83"/>
        <v>3001159813</v>
      </c>
      <c r="M176" s="49">
        <f t="shared" si="83"/>
        <v>3211226926</v>
      </c>
      <c r="N176" s="49">
        <f t="shared" si="83"/>
        <v>3741651213</v>
      </c>
      <c r="O176" s="49">
        <f t="shared" si="83"/>
        <v>5063581916</v>
      </c>
      <c r="P176" s="49">
        <f t="shared" si="83"/>
        <v>5634980835</v>
      </c>
      <c r="Q176" s="50">
        <f t="shared" si="83"/>
        <v>4700349336.2851629</v>
      </c>
      <c r="R176" s="50">
        <f t="shared" si="83"/>
        <v>4615176519.150053</v>
      </c>
      <c r="S176" s="50">
        <f t="shared" si="83"/>
        <v>4891058554.1671677</v>
      </c>
      <c r="T176" s="50">
        <f t="shared" si="83"/>
        <v>4648804706.8866854</v>
      </c>
      <c r="U176" s="50">
        <f t="shared" si="83"/>
        <v>4831093861.5779343</v>
      </c>
      <c r="V176" s="50">
        <f t="shared" si="83"/>
        <v>4982455134.4036255</v>
      </c>
      <c r="W176" s="50">
        <f t="shared" si="83"/>
        <v>5223320155.7667131</v>
      </c>
      <c r="X176" s="50">
        <f t="shared" si="83"/>
        <v>5905460304.758359</v>
      </c>
      <c r="Y176" s="50">
        <f t="shared" si="83"/>
        <v>5778967297.3566866</v>
      </c>
      <c r="Z176" s="50">
        <f t="shared" si="83"/>
        <v>5621663896.628521</v>
      </c>
      <c r="AA176" s="50">
        <f t="shared" si="83"/>
        <v>5790640244.3394728</v>
      </c>
      <c r="AB176" s="50">
        <f t="shared" si="83"/>
        <v>5804930120.7480841</v>
      </c>
      <c r="AC176" s="50">
        <f t="shared" si="83"/>
        <v>6190406216.847127</v>
      </c>
      <c r="AD176" s="50">
        <f t="shared" si="83"/>
        <v>6687827674.2883062</v>
      </c>
      <c r="AE176" s="50">
        <f t="shared" si="83"/>
        <v>6549914110.8172398</v>
      </c>
      <c r="AF176" s="50">
        <f t="shared" si="83"/>
        <v>5578425161.2375994</v>
      </c>
      <c r="AG176" s="50">
        <f t="shared" si="83"/>
        <v>5914715951.5983906</v>
      </c>
      <c r="AH176" s="50">
        <f t="shared" si="83"/>
        <v>6211618601.9506426</v>
      </c>
      <c r="AI176" s="50">
        <f t="shared" si="83"/>
        <v>6621154917.7267885</v>
      </c>
      <c r="AJ176" s="50">
        <f t="shared" si="83"/>
        <v>6747360077.2377739</v>
      </c>
      <c r="AK176" s="50">
        <f t="shared" si="83"/>
        <v>6713307216.0751534</v>
      </c>
      <c r="AL176" s="50">
        <f t="shared" si="83"/>
        <v>6420377393.9109592</v>
      </c>
      <c r="AM176" s="50">
        <f t="shared" si="83"/>
        <v>6662761552.7580833</v>
      </c>
      <c r="AN176" s="50">
        <f t="shared" si="83"/>
        <v>6890464457.4065466</v>
      </c>
      <c r="AO176" s="50">
        <f t="shared" si="83"/>
        <v>7128126391.1150064</v>
      </c>
      <c r="AP176" s="50">
        <f t="shared" si="83"/>
        <v>7422245586.6269341</v>
      </c>
      <c r="AQ176" s="50">
        <f t="shared" si="83"/>
        <v>7720356791.5866823</v>
      </c>
      <c r="AR176" s="43"/>
    </row>
    <row r="177" spans="1:44">
      <c r="A177" s="51"/>
      <c r="B177" s="51"/>
      <c r="C177" s="51"/>
      <c r="D177" s="51"/>
      <c r="E177" s="51"/>
      <c r="F177" s="51"/>
      <c r="G177" s="51"/>
      <c r="H177" s="51"/>
      <c r="I177" s="51"/>
      <c r="J177" s="51"/>
      <c r="K177" s="51"/>
      <c r="L177" s="51"/>
      <c r="M177" s="52"/>
      <c r="N177" s="53"/>
      <c r="O177" s="54"/>
      <c r="P177" s="54"/>
      <c r="Q177" s="53"/>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row>
    <row r="178" spans="1:44" ht="12" thickBot="1">
      <c r="A178" s="39" t="s">
        <v>109</v>
      </c>
    </row>
    <row r="179" spans="1:44" ht="12" thickBot="1">
      <c r="A179" s="41"/>
      <c r="B179" s="41">
        <f t="shared" ref="B179:AQ179" si="84">B2</f>
        <v>2010</v>
      </c>
      <c r="C179" s="41">
        <f t="shared" si="84"/>
        <v>2011</v>
      </c>
      <c r="D179" s="41">
        <f t="shared" si="84"/>
        <v>2012</v>
      </c>
      <c r="E179" s="41">
        <f t="shared" si="84"/>
        <v>2013</v>
      </c>
      <c r="F179" s="41">
        <f t="shared" si="84"/>
        <v>2014</v>
      </c>
      <c r="G179" s="41">
        <f t="shared" si="84"/>
        <v>2015</v>
      </c>
      <c r="H179" s="41">
        <f t="shared" si="84"/>
        <v>2016</v>
      </c>
      <c r="I179" s="41">
        <f t="shared" si="84"/>
        <v>2017</v>
      </c>
      <c r="J179" s="41">
        <f t="shared" si="84"/>
        <v>2018</v>
      </c>
      <c r="K179" s="41">
        <f t="shared" si="84"/>
        <v>2019</v>
      </c>
      <c r="L179" s="41">
        <f t="shared" si="84"/>
        <v>2020</v>
      </c>
      <c r="M179" s="41">
        <f t="shared" si="84"/>
        <v>2021</v>
      </c>
      <c r="N179" s="41">
        <f t="shared" si="84"/>
        <v>2022</v>
      </c>
      <c r="O179" s="41">
        <f t="shared" si="84"/>
        <v>2023</v>
      </c>
      <c r="P179" s="41">
        <f t="shared" si="84"/>
        <v>2024</v>
      </c>
      <c r="Q179" s="41">
        <f t="shared" si="84"/>
        <v>2025</v>
      </c>
      <c r="R179" s="41">
        <f t="shared" si="84"/>
        <v>2026</v>
      </c>
      <c r="S179" s="41">
        <f t="shared" si="84"/>
        <v>2027</v>
      </c>
      <c r="T179" s="41">
        <f t="shared" si="84"/>
        <v>2028</v>
      </c>
      <c r="U179" s="41">
        <f t="shared" si="84"/>
        <v>2029</v>
      </c>
      <c r="V179" s="41">
        <f t="shared" si="84"/>
        <v>2030</v>
      </c>
      <c r="W179" s="41">
        <f t="shared" si="84"/>
        <v>2031</v>
      </c>
      <c r="X179" s="41">
        <f t="shared" si="84"/>
        <v>2032</v>
      </c>
      <c r="Y179" s="41">
        <f t="shared" si="84"/>
        <v>2033</v>
      </c>
      <c r="Z179" s="41">
        <f t="shared" si="84"/>
        <v>2034</v>
      </c>
      <c r="AA179" s="41">
        <f t="shared" si="84"/>
        <v>2035</v>
      </c>
      <c r="AB179" s="41">
        <f t="shared" si="84"/>
        <v>2036</v>
      </c>
      <c r="AC179" s="41">
        <f t="shared" si="84"/>
        <v>2037</v>
      </c>
      <c r="AD179" s="41">
        <f t="shared" si="84"/>
        <v>2038</v>
      </c>
      <c r="AE179" s="41">
        <f t="shared" si="84"/>
        <v>2039</v>
      </c>
      <c r="AF179" s="41">
        <f t="shared" si="84"/>
        <v>2040</v>
      </c>
      <c r="AG179" s="41">
        <f t="shared" si="84"/>
        <v>2041</v>
      </c>
      <c r="AH179" s="41">
        <f t="shared" si="84"/>
        <v>2042</v>
      </c>
      <c r="AI179" s="41">
        <f t="shared" si="84"/>
        <v>2043</v>
      </c>
      <c r="AJ179" s="41">
        <f t="shared" si="84"/>
        <v>2044</v>
      </c>
      <c r="AK179" s="41">
        <f t="shared" si="84"/>
        <v>2045</v>
      </c>
      <c r="AL179" s="41">
        <f t="shared" si="84"/>
        <v>2046</v>
      </c>
      <c r="AM179" s="41">
        <f t="shared" si="84"/>
        <v>2047</v>
      </c>
      <c r="AN179" s="41">
        <f t="shared" si="84"/>
        <v>2048</v>
      </c>
      <c r="AO179" s="41">
        <f t="shared" si="84"/>
        <v>2049</v>
      </c>
      <c r="AP179" s="41">
        <f t="shared" si="84"/>
        <v>2050</v>
      </c>
      <c r="AQ179" s="41">
        <f t="shared" si="84"/>
        <v>2051</v>
      </c>
    </row>
    <row r="180" spans="1:44">
      <c r="A180" s="40" t="s">
        <v>43</v>
      </c>
      <c r="B180" s="42">
        <f>'D4 Gallon Forecast'!B325+'D6 Gallon Forecast'!B257</f>
        <v>0</v>
      </c>
      <c r="C180" s="42">
        <f>'D4 Gallon Forecast'!C325+'D6 Gallon Forecast'!C257</f>
        <v>0</v>
      </c>
      <c r="D180" s="42">
        <f>'D4 Gallon Forecast'!D325+'D6 Gallon Forecast'!D257</f>
        <v>0</v>
      </c>
      <c r="E180" s="42">
        <f>'D4 Gallon Forecast'!E325+'D6 Gallon Forecast'!E257</f>
        <v>0</v>
      </c>
      <c r="F180" s="42">
        <f>'D4 Gallon Forecast'!F325+'D6 Gallon Forecast'!F257</f>
        <v>0</v>
      </c>
      <c r="G180" s="42">
        <f>'D4 Gallon Forecast'!G325+'D6 Gallon Forecast'!G257</f>
        <v>0</v>
      </c>
      <c r="H180" s="42">
        <f>'D4 Gallon Forecast'!H325+'D6 Gallon Forecast'!H257</f>
        <v>0</v>
      </c>
      <c r="I180" s="42">
        <f>'D4 Gallon Forecast'!I325+'D6 Gallon Forecast'!I257</f>
        <v>210331</v>
      </c>
      <c r="J180" s="42">
        <f>'D4 Gallon Forecast'!J325+'D6 Gallon Forecast'!J257</f>
        <v>139714</v>
      </c>
      <c r="K180" s="42">
        <f>'D4 Gallon Forecast'!K325+'D6 Gallon Forecast'!K257</f>
        <v>194630</v>
      </c>
      <c r="L180" s="42">
        <f>'D4 Gallon Forecast'!L325+'D6 Gallon Forecast'!L257</f>
        <v>41590</v>
      </c>
      <c r="M180" s="42">
        <f>'D4 Gallon Forecast'!M325+'D6 Gallon Forecast'!M257</f>
        <v>289825</v>
      </c>
      <c r="N180" s="42">
        <f>'D4 Gallon Forecast'!N325+'D6 Gallon Forecast'!N257</f>
        <v>402120</v>
      </c>
      <c r="O180" s="42">
        <f>'D4 Gallon Forecast'!O325+'D6 Gallon Forecast'!O257</f>
        <v>100937</v>
      </c>
      <c r="P180" s="42">
        <f>'D4 Gallon Forecast'!P325+'D6 Gallon Forecast'!P257</f>
        <v>9660626</v>
      </c>
      <c r="Q180" s="42">
        <f>'D4 Gallon Forecast'!Q325+'D6 Gallon Forecast'!Q257</f>
        <v>16372550</v>
      </c>
      <c r="R180" s="43">
        <f>'D4 Gallon Forecast'!R325+'D6 Gallon Forecast'!R257</f>
        <v>26182438.797614936</v>
      </c>
      <c r="S180" s="43">
        <f>'D4 Gallon Forecast'!S325+'D6 Gallon Forecast'!S257</f>
        <v>71838724.914646059</v>
      </c>
      <c r="T180" s="43">
        <f>'D4 Gallon Forecast'!T325+'D6 Gallon Forecast'!T257</f>
        <v>93857296.725430235</v>
      </c>
      <c r="U180" s="43">
        <f>'D4 Gallon Forecast'!U325+'D6 Gallon Forecast'!U257</f>
        <v>125658564.4711547</v>
      </c>
      <c r="V180" s="43">
        <f>'D4 Gallon Forecast'!V325+'D6 Gallon Forecast'!V257</f>
        <v>169330013.3135882</v>
      </c>
      <c r="W180" s="43">
        <f>'D4 Gallon Forecast'!W325+'D6 Gallon Forecast'!W257</f>
        <v>193602858.8713778</v>
      </c>
      <c r="X180" s="43">
        <f>'D4 Gallon Forecast'!X325+'D6 Gallon Forecast'!X257</f>
        <v>242091548.40398535</v>
      </c>
      <c r="Y180" s="43">
        <f>'D4 Gallon Forecast'!Y325+'D6 Gallon Forecast'!Y257</f>
        <v>253057899.32075387</v>
      </c>
      <c r="Z180" s="43">
        <f>'D4 Gallon Forecast'!Z325+'D6 Gallon Forecast'!Z257</f>
        <v>275462176.70737106</v>
      </c>
      <c r="AA180" s="43">
        <f>'D4 Gallon Forecast'!AA325+'D6 Gallon Forecast'!AA257</f>
        <v>287580160.678868</v>
      </c>
      <c r="AB180" s="43">
        <f>'D4 Gallon Forecast'!AB325+'D6 Gallon Forecast'!AB257</f>
        <v>222493016.48350796</v>
      </c>
      <c r="AC180" s="43">
        <f>'D4 Gallon Forecast'!AC325+'D6 Gallon Forecast'!AC257</f>
        <v>242188863.88938624</v>
      </c>
      <c r="AD180" s="43">
        <f>'D4 Gallon Forecast'!AD325+'D6 Gallon Forecast'!AD257</f>
        <v>271900291.41320002</v>
      </c>
      <c r="AE180" s="43">
        <f>'D4 Gallon Forecast'!AE325+'D6 Gallon Forecast'!AE257</f>
        <v>270958485.92603678</v>
      </c>
      <c r="AF180" s="43">
        <f>'D4 Gallon Forecast'!AF325+'D6 Gallon Forecast'!AF257</f>
        <v>269082448.10783219</v>
      </c>
      <c r="AG180" s="43">
        <f>'D4 Gallon Forecast'!AG325+'D6 Gallon Forecast'!AG257</f>
        <v>280584246.7841081</v>
      </c>
      <c r="AH180" s="43">
        <f>'D4 Gallon Forecast'!AH325+'D6 Gallon Forecast'!AH257</f>
        <v>289698756.54173476</v>
      </c>
      <c r="AI180" s="43">
        <f>'D4 Gallon Forecast'!AI325+'D6 Gallon Forecast'!AI257</f>
        <v>296364712.56034964</v>
      </c>
      <c r="AJ180" s="43">
        <f>'D4 Gallon Forecast'!AJ325+'D6 Gallon Forecast'!AJ257</f>
        <v>299747823.08860928</v>
      </c>
      <c r="AK180" s="43">
        <f>'D4 Gallon Forecast'!AK325+'D6 Gallon Forecast'!AK257</f>
        <v>308646117.02075291</v>
      </c>
      <c r="AL180" s="43">
        <f>'D4 Gallon Forecast'!AL325+'D6 Gallon Forecast'!AL257</f>
        <v>325545514.02043581</v>
      </c>
      <c r="AM180" s="43">
        <f>'D4 Gallon Forecast'!AM325+'D6 Gallon Forecast'!AM257</f>
        <v>337304404.30988789</v>
      </c>
      <c r="AN180" s="43">
        <f>'D4 Gallon Forecast'!AN325+'D6 Gallon Forecast'!AN257</f>
        <v>337690618.44112271</v>
      </c>
      <c r="AO180" s="43">
        <f>'D4 Gallon Forecast'!AO325+'D6 Gallon Forecast'!AO257</f>
        <v>337125014.36640096</v>
      </c>
      <c r="AP180" s="43">
        <f>'D4 Gallon Forecast'!AP325+'D6 Gallon Forecast'!AP257</f>
        <v>345049411.98056835</v>
      </c>
      <c r="AQ180" s="43">
        <f>'D4 Gallon Forecast'!AQ325+'D6 Gallon Forecast'!AQ257</f>
        <v>387381555.62533927</v>
      </c>
      <c r="AR180" s="43"/>
    </row>
    <row r="181" spans="1:44">
      <c r="A181" s="40" t="s">
        <v>44</v>
      </c>
      <c r="B181" s="42">
        <f>'D4 Gallon Forecast'!B326+'D6 Gallon Forecast'!B258</f>
        <v>0</v>
      </c>
      <c r="C181" s="42">
        <f>'D4 Gallon Forecast'!C326+'D6 Gallon Forecast'!C258</f>
        <v>0</v>
      </c>
      <c r="D181" s="42">
        <f>'D4 Gallon Forecast'!D326+'D6 Gallon Forecast'!D258</f>
        <v>0</v>
      </c>
      <c r="E181" s="42">
        <f>'D4 Gallon Forecast'!E326+'D6 Gallon Forecast'!E258</f>
        <v>0</v>
      </c>
      <c r="F181" s="42">
        <f>'D4 Gallon Forecast'!F326+'D6 Gallon Forecast'!F258</f>
        <v>0</v>
      </c>
      <c r="G181" s="42">
        <f>'D4 Gallon Forecast'!G326+'D6 Gallon Forecast'!G258</f>
        <v>0</v>
      </c>
      <c r="H181" s="42">
        <f>'D4 Gallon Forecast'!H326+'D6 Gallon Forecast'!H258</f>
        <v>0</v>
      </c>
      <c r="I181" s="42">
        <f>'D4 Gallon Forecast'!I326+'D6 Gallon Forecast'!I258</f>
        <v>190622</v>
      </c>
      <c r="J181" s="42">
        <f>'D4 Gallon Forecast'!J326+'D6 Gallon Forecast'!J258</f>
        <v>237996</v>
      </c>
      <c r="K181" s="42">
        <f>'D4 Gallon Forecast'!K326+'D6 Gallon Forecast'!K258</f>
        <v>187609</v>
      </c>
      <c r="L181" s="42">
        <f>'D4 Gallon Forecast'!L326+'D6 Gallon Forecast'!L258</f>
        <v>0</v>
      </c>
      <c r="M181" s="42">
        <f>'D4 Gallon Forecast'!M326+'D6 Gallon Forecast'!M258</f>
        <v>294725</v>
      </c>
      <c r="N181" s="42">
        <f>'D4 Gallon Forecast'!N326+'D6 Gallon Forecast'!N258</f>
        <v>2519869</v>
      </c>
      <c r="O181" s="42">
        <f>'D4 Gallon Forecast'!O326+'D6 Gallon Forecast'!O258</f>
        <v>3064876</v>
      </c>
      <c r="P181" s="42">
        <f>'D4 Gallon Forecast'!P326+'D6 Gallon Forecast'!P258</f>
        <v>1254939</v>
      </c>
      <c r="Q181" s="42">
        <f>'D4 Gallon Forecast'!Q326+'D6 Gallon Forecast'!Q258</f>
        <v>15728119</v>
      </c>
      <c r="R181" s="43">
        <f>'D4 Gallon Forecast'!R326+'D6 Gallon Forecast'!R258</f>
        <v>49769109.030017033</v>
      </c>
      <c r="S181" s="43">
        <f>'D4 Gallon Forecast'!S326+'D6 Gallon Forecast'!S258</f>
        <v>136410063.87786058</v>
      </c>
      <c r="T181" s="43">
        <f>'D4 Gallon Forecast'!T326+'D6 Gallon Forecast'!T258</f>
        <v>178659613.65068796</v>
      </c>
      <c r="U181" s="43">
        <f>'D4 Gallon Forecast'!U326+'D6 Gallon Forecast'!U258</f>
        <v>228615208.3670066</v>
      </c>
      <c r="V181" s="43">
        <f>'D4 Gallon Forecast'!V326+'D6 Gallon Forecast'!V258</f>
        <v>311957213.97490871</v>
      </c>
      <c r="W181" s="43">
        <f>'D4 Gallon Forecast'!W326+'D6 Gallon Forecast'!W258</f>
        <v>362133384.0720005</v>
      </c>
      <c r="X181" s="43">
        <f>'D4 Gallon Forecast'!X326+'D6 Gallon Forecast'!X258</f>
        <v>454257575.951814</v>
      </c>
      <c r="Y181" s="43">
        <f>'D4 Gallon Forecast'!Y326+'D6 Gallon Forecast'!Y258</f>
        <v>474189259.34671611</v>
      </c>
      <c r="Z181" s="43">
        <f>'D4 Gallon Forecast'!Z326+'D6 Gallon Forecast'!Z258</f>
        <v>515067003.81089395</v>
      </c>
      <c r="AA181" s="43">
        <f>'D4 Gallon Forecast'!AA326+'D6 Gallon Forecast'!AA258</f>
        <v>538532430.72217834</v>
      </c>
      <c r="AB181" s="43">
        <f>'D4 Gallon Forecast'!AB326+'D6 Gallon Forecast'!AB258</f>
        <v>415940792.25408375</v>
      </c>
      <c r="AC181" s="43">
        <f>'D4 Gallon Forecast'!AC326+'D6 Gallon Forecast'!AC258</f>
        <v>453101106.43873698</v>
      </c>
      <c r="AD181" s="43">
        <f>'D4 Gallon Forecast'!AD326+'D6 Gallon Forecast'!AD258</f>
        <v>509185560.96955699</v>
      </c>
      <c r="AE181" s="43">
        <f>'D4 Gallon Forecast'!AE326+'D6 Gallon Forecast'!AE258</f>
        <v>508035806.06366986</v>
      </c>
      <c r="AF181" s="43">
        <f>'D4 Gallon Forecast'!AF326+'D6 Gallon Forecast'!AF258</f>
        <v>504915344.10027957</v>
      </c>
      <c r="AG181" s="43">
        <f>'D4 Gallon Forecast'!AG326+'D6 Gallon Forecast'!AG258</f>
        <v>526656338.85305774</v>
      </c>
      <c r="AH181" s="43">
        <f>'D4 Gallon Forecast'!AH326+'D6 Gallon Forecast'!AH258</f>
        <v>543714229.79158998</v>
      </c>
      <c r="AI181" s="43">
        <f>'D4 Gallon Forecast'!AI326+'D6 Gallon Forecast'!AI258</f>
        <v>556206414.11382818</v>
      </c>
      <c r="AJ181" s="43">
        <f>'D4 Gallon Forecast'!AJ326+'D6 Gallon Forecast'!AJ258</f>
        <v>562563938.92635345</v>
      </c>
      <c r="AK181" s="43">
        <f>'D4 Gallon Forecast'!AK326+'D6 Gallon Forecast'!AK258</f>
        <v>579284937.640288</v>
      </c>
      <c r="AL181" s="43">
        <f>'D4 Gallon Forecast'!AL326+'D6 Gallon Forecast'!AL258</f>
        <v>610998757.72198415</v>
      </c>
      <c r="AM181" s="43">
        <f>'D4 Gallon Forecast'!AM326+'D6 Gallon Forecast'!AM258</f>
        <v>633058851.40300572</v>
      </c>
      <c r="AN181" s="43">
        <f>'D4 Gallon Forecast'!AN326+'D6 Gallon Forecast'!AN258</f>
        <v>633783166.94524372</v>
      </c>
      <c r="AO181" s="43">
        <f>'D4 Gallon Forecast'!AO326+'D6 Gallon Forecast'!AO258</f>
        <v>632724907.1701597</v>
      </c>
      <c r="AP181" s="43">
        <f>'D4 Gallon Forecast'!AP326+'D6 Gallon Forecast'!AP258</f>
        <v>647599819.92666256</v>
      </c>
      <c r="AQ181" s="43">
        <f>'D4 Gallon Forecast'!AQ326+'D6 Gallon Forecast'!AQ258</f>
        <v>727048307.26167512</v>
      </c>
      <c r="AR181" s="43"/>
    </row>
    <row r="182" spans="1:44">
      <c r="A182" s="40" t="s">
        <v>45</v>
      </c>
      <c r="B182" s="42">
        <f>'D4 Gallon Forecast'!B327+'D6 Gallon Forecast'!B259</f>
        <v>0</v>
      </c>
      <c r="C182" s="42">
        <f>'D4 Gallon Forecast'!C327+'D6 Gallon Forecast'!C259</f>
        <v>0</v>
      </c>
      <c r="D182" s="42">
        <f>'D4 Gallon Forecast'!D327+'D6 Gallon Forecast'!D259</f>
        <v>0</v>
      </c>
      <c r="E182" s="42">
        <f>'D4 Gallon Forecast'!E327+'D6 Gallon Forecast'!E259</f>
        <v>0</v>
      </c>
      <c r="F182" s="42">
        <f>'D4 Gallon Forecast'!F327+'D6 Gallon Forecast'!F259</f>
        <v>0</v>
      </c>
      <c r="G182" s="42">
        <f>'D4 Gallon Forecast'!G327+'D6 Gallon Forecast'!G259</f>
        <v>0</v>
      </c>
      <c r="H182" s="42">
        <f>'D4 Gallon Forecast'!H327+'D6 Gallon Forecast'!H259</f>
        <v>0</v>
      </c>
      <c r="I182" s="42">
        <f>'D4 Gallon Forecast'!I327+'D6 Gallon Forecast'!I259</f>
        <v>184825</v>
      </c>
      <c r="J182" s="42">
        <f>'D4 Gallon Forecast'!J327+'D6 Gallon Forecast'!J259</f>
        <v>103790</v>
      </c>
      <c r="K182" s="42">
        <f>'D4 Gallon Forecast'!K327+'D6 Gallon Forecast'!K259</f>
        <v>183940</v>
      </c>
      <c r="L182" s="42">
        <f>'D4 Gallon Forecast'!L327+'D6 Gallon Forecast'!L259</f>
        <v>280826</v>
      </c>
      <c r="M182" s="42">
        <f>'D4 Gallon Forecast'!M327+'D6 Gallon Forecast'!M259</f>
        <v>288906</v>
      </c>
      <c r="N182" s="42">
        <f>'D4 Gallon Forecast'!N327+'D6 Gallon Forecast'!N259</f>
        <v>2922508</v>
      </c>
      <c r="O182" s="42">
        <f>'D4 Gallon Forecast'!O327+'D6 Gallon Forecast'!O259</f>
        <v>2211806</v>
      </c>
      <c r="P182" s="42">
        <f>'D4 Gallon Forecast'!P327+'D6 Gallon Forecast'!P259</f>
        <v>7782698</v>
      </c>
      <c r="Q182" s="42">
        <f>'D4 Gallon Forecast'!Q327+'D6 Gallon Forecast'!Q259</f>
        <v>8826708</v>
      </c>
      <c r="R182" s="43">
        <f>'D4 Gallon Forecast'!R327+'D6 Gallon Forecast'!R259</f>
        <v>20133954.750928383</v>
      </c>
      <c r="S182" s="43">
        <f>'D4 Gallon Forecast'!S327+'D6 Gallon Forecast'!S259</f>
        <v>55068922.522667557</v>
      </c>
      <c r="T182" s="43">
        <f>'D4 Gallon Forecast'!T327+'D6 Gallon Forecast'!T259</f>
        <v>71495946.13161619</v>
      </c>
      <c r="U182" s="43">
        <f>'D4 Gallon Forecast'!U327+'D6 Gallon Forecast'!U259</f>
        <v>94672703.8684403</v>
      </c>
      <c r="V182" s="43">
        <f>'D4 Gallon Forecast'!V327+'D6 Gallon Forecast'!V259</f>
        <v>127038842.03956485</v>
      </c>
      <c r="W182" s="43">
        <f>'D4 Gallon Forecast'!W327+'D6 Gallon Forecast'!W259</f>
        <v>146606946.06226254</v>
      </c>
      <c r="X182" s="43">
        <f>'D4 Gallon Forecast'!X327+'D6 Gallon Forecast'!X259</f>
        <v>183311874.61042628</v>
      </c>
      <c r="Y182" s="43">
        <f>'D4 Gallon Forecast'!Y327+'D6 Gallon Forecast'!Y259</f>
        <v>191403068.62090603</v>
      </c>
      <c r="Z182" s="43">
        <f>'D4 Gallon Forecast'!Z327+'D6 Gallon Forecast'!Z259</f>
        <v>208189234.01892436</v>
      </c>
      <c r="AA182" s="43">
        <f>'D4 Gallon Forecast'!AA327+'D6 Gallon Forecast'!AA259</f>
        <v>217377392.87950662</v>
      </c>
      <c r="AB182" s="43">
        <f>'D4 Gallon Forecast'!AB327+'D6 Gallon Forecast'!AB259</f>
        <v>168260433.80499935</v>
      </c>
      <c r="AC182" s="43">
        <f>'D4 Gallon Forecast'!AC327+'D6 Gallon Forecast'!AC259</f>
        <v>183139013.65481985</v>
      </c>
      <c r="AD182" s="43">
        <f>'D4 Gallon Forecast'!AD327+'D6 Gallon Forecast'!AD259</f>
        <v>205597022.29338294</v>
      </c>
      <c r="AE182" s="43">
        <f>'D4 Gallon Forecast'!AE327+'D6 Gallon Forecast'!AE259</f>
        <v>204910697.61726433</v>
      </c>
      <c r="AF182" s="43">
        <f>'D4 Gallon Forecast'!AF327+'D6 Gallon Forecast'!AF259</f>
        <v>203523933.66342291</v>
      </c>
      <c r="AG182" s="43">
        <f>'D4 Gallon Forecast'!AG327+'D6 Gallon Forecast'!AG259</f>
        <v>212249282.99278367</v>
      </c>
      <c r="AH182" s="43">
        <f>'D4 Gallon Forecast'!AH327+'D6 Gallon Forecast'!AH259</f>
        <v>219131196.24082625</v>
      </c>
      <c r="AI182" s="43">
        <f>'D4 Gallon Forecast'!AI327+'D6 Gallon Forecast'!AI259</f>
        <v>224167182.04883334</v>
      </c>
      <c r="AJ182" s="43">
        <f>'D4 Gallon Forecast'!AJ327+'D6 Gallon Forecast'!AJ259</f>
        <v>226727591.49033585</v>
      </c>
      <c r="AK182" s="43">
        <f>'D4 Gallon Forecast'!AK327+'D6 Gallon Forecast'!AK259</f>
        <v>233462263.37527874</v>
      </c>
      <c r="AL182" s="43">
        <f>'D4 Gallon Forecast'!AL327+'D6 Gallon Forecast'!AL259</f>
        <v>246246159.71347085</v>
      </c>
      <c r="AM182" s="43">
        <f>'D4 Gallon Forecast'!AM327+'D6 Gallon Forecast'!AM259</f>
        <v>255137979.39059666</v>
      </c>
      <c r="AN182" s="43">
        <f>'D4 Gallon Forecast'!AN327+'D6 Gallon Forecast'!AN259</f>
        <v>255429626.02287757</v>
      </c>
      <c r="AO182" s="43">
        <f>'D4 Gallon Forecast'!AO327+'D6 Gallon Forecast'!AO259</f>
        <v>255002530.41339225</v>
      </c>
      <c r="AP182" s="43">
        <f>'D4 Gallon Forecast'!AP327+'D6 Gallon Forecast'!AP259</f>
        <v>260997138.52264854</v>
      </c>
      <c r="AQ182" s="43">
        <f>'D4 Gallon Forecast'!AQ327+'D6 Gallon Forecast'!AQ259</f>
        <v>293017212.60884261</v>
      </c>
      <c r="AR182" s="43"/>
    </row>
    <row r="183" spans="1:44">
      <c r="A183" s="40" t="s">
        <v>46</v>
      </c>
      <c r="B183" s="42">
        <f>'D4 Gallon Forecast'!B328+'D6 Gallon Forecast'!B260</f>
        <v>0</v>
      </c>
      <c r="C183" s="42">
        <f>'D4 Gallon Forecast'!C328+'D6 Gallon Forecast'!C260</f>
        <v>0</v>
      </c>
      <c r="D183" s="42">
        <f>'D4 Gallon Forecast'!D328+'D6 Gallon Forecast'!D260</f>
        <v>0</v>
      </c>
      <c r="E183" s="42">
        <f>'D4 Gallon Forecast'!E328+'D6 Gallon Forecast'!E260</f>
        <v>0</v>
      </c>
      <c r="F183" s="42">
        <f>'D4 Gallon Forecast'!F328+'D6 Gallon Forecast'!F260</f>
        <v>0</v>
      </c>
      <c r="G183" s="42">
        <f>'D4 Gallon Forecast'!G328+'D6 Gallon Forecast'!G260</f>
        <v>0</v>
      </c>
      <c r="H183" s="42">
        <f>'D4 Gallon Forecast'!H328+'D6 Gallon Forecast'!H260</f>
        <v>0</v>
      </c>
      <c r="I183" s="42">
        <f>'D4 Gallon Forecast'!I328+'D6 Gallon Forecast'!I260</f>
        <v>0</v>
      </c>
      <c r="J183" s="42">
        <f>'D4 Gallon Forecast'!J328+'D6 Gallon Forecast'!J260</f>
        <v>184634</v>
      </c>
      <c r="K183" s="42">
        <f>'D4 Gallon Forecast'!K328+'D6 Gallon Forecast'!K260</f>
        <v>245975</v>
      </c>
      <c r="L183" s="42">
        <f>'D4 Gallon Forecast'!L328+'D6 Gallon Forecast'!L260</f>
        <v>1234442</v>
      </c>
      <c r="M183" s="42">
        <f>'D4 Gallon Forecast'!M328+'D6 Gallon Forecast'!M260</f>
        <v>293289</v>
      </c>
      <c r="N183" s="42">
        <f>'D4 Gallon Forecast'!N328+'D6 Gallon Forecast'!N260</f>
        <v>408991</v>
      </c>
      <c r="O183" s="42">
        <f>'D4 Gallon Forecast'!O328+'D6 Gallon Forecast'!O260</f>
        <v>2311450</v>
      </c>
      <c r="P183" s="42">
        <f>'D4 Gallon Forecast'!P328+'D6 Gallon Forecast'!P260</f>
        <v>8441364</v>
      </c>
      <c r="Q183" s="43">
        <f>'D4 Gallon Forecast'!Q328+'D6 Gallon Forecast'!Q260</f>
        <v>13308048.905589283</v>
      </c>
      <c r="R183" s="43">
        <f>'D4 Gallon Forecast'!R328+'D6 Gallon Forecast'!R260</f>
        <v>31816320.088426925</v>
      </c>
      <c r="S183" s="43">
        <f>'D4 Gallon Forecast'!S328+'D6 Gallon Forecast'!S260</f>
        <v>87516229.652979359</v>
      </c>
      <c r="T183" s="43">
        <f>'D4 Gallon Forecast'!T328+'D6 Gallon Forecast'!T260</f>
        <v>114690822.68038088</v>
      </c>
      <c r="U183" s="43">
        <f>'D4 Gallon Forecast'!U328+'D6 Gallon Forecast'!U260</f>
        <v>150061451.47635484</v>
      </c>
      <c r="V183" s="43">
        <f>'D4 Gallon Forecast'!V328+'D6 Gallon Forecast'!V260</f>
        <v>202442069.6704239</v>
      </c>
      <c r="W183" s="43">
        <f>'D4 Gallon Forecast'!W328+'D6 Gallon Forecast'!W260</f>
        <v>233865427.44251126</v>
      </c>
      <c r="X183" s="43">
        <f>'D4 Gallon Forecast'!X328+'D6 Gallon Forecast'!X260</f>
        <v>292896545.58886433</v>
      </c>
      <c r="Y183" s="43">
        <f>'D4 Gallon Forecast'!Y328+'D6 Gallon Forecast'!Y260</f>
        <v>305934444.5542323</v>
      </c>
      <c r="Z183" s="43">
        <f>'D4 Gallon Forecast'!Z328+'D6 Gallon Forecast'!Z260</f>
        <v>332579381.29099256</v>
      </c>
      <c r="AA183" s="43">
        <f>'D4 Gallon Forecast'!AA328+'D6 Gallon Forecast'!AA260</f>
        <v>347384122.91677815</v>
      </c>
      <c r="AB183" s="43">
        <f>'D4 Gallon Forecast'!AB328+'D6 Gallon Forecast'!AB260</f>
        <v>268642630.10744131</v>
      </c>
      <c r="AC183" s="43">
        <f>'D4 Gallon Forecast'!AC328+'D6 Gallon Forecast'!AC260</f>
        <v>292518605.05435014</v>
      </c>
      <c r="AD183" s="43">
        <f>'D4 Gallon Forecast'!AD328+'D6 Gallon Forecast'!AD260</f>
        <v>328537416.85152793</v>
      </c>
      <c r="AE183" s="43">
        <f>'D4 Gallon Forecast'!AE328+'D6 Gallon Forecast'!AE260</f>
        <v>327570325.19799984</v>
      </c>
      <c r="AF183" s="43">
        <f>'D4 Gallon Forecast'!AF328+'D6 Gallon Forecast'!AF260</f>
        <v>325424212.82770789</v>
      </c>
      <c r="AG183" s="43">
        <f>'D4 Gallon Forecast'!AG328+'D6 Gallon Forecast'!AG260</f>
        <v>339399858.27864075</v>
      </c>
      <c r="AH183" s="43">
        <f>'D4 Gallon Forecast'!AH328+'D6 Gallon Forecast'!AH260</f>
        <v>350405082.0411765</v>
      </c>
      <c r="AI183" s="43">
        <f>'D4 Gallon Forecast'!AI328+'D6 Gallon Forecast'!AI260</f>
        <v>358458174.30512685</v>
      </c>
      <c r="AJ183" s="43">
        <f>'D4 Gallon Forecast'!AJ328+'D6 Gallon Forecast'!AJ260</f>
        <v>362551299.51928526</v>
      </c>
      <c r="AK183" s="43">
        <f>'D4 Gallon Forecast'!AK328+'D6 Gallon Forecast'!AK260</f>
        <v>373322139.26566219</v>
      </c>
      <c r="AL183" s="43">
        <f>'D4 Gallon Forecast'!AL328+'D6 Gallon Forecast'!AL260</f>
        <v>393763558.47419029</v>
      </c>
      <c r="AM183" s="43">
        <f>'D4 Gallon Forecast'!AM328+'D6 Gallon Forecast'!AM260</f>
        <v>407982263.31526423</v>
      </c>
      <c r="AN183" s="43">
        <f>'D4 Gallon Forecast'!AN328+'D6 Gallon Forecast'!AN260</f>
        <v>408448622.59732509</v>
      </c>
      <c r="AO183" s="43">
        <f>'D4 Gallon Forecast'!AO328+'D6 Gallon Forecast'!AO260</f>
        <v>407765619.10970992</v>
      </c>
      <c r="AP183" s="43">
        <f>'D4 Gallon Forecast'!AP328+'D6 Gallon Forecast'!AP260</f>
        <v>417351566.19460899</v>
      </c>
      <c r="AQ183" s="43">
        <f>'D4 Gallon Forecast'!AQ328+'D6 Gallon Forecast'!AQ260</f>
        <v>468553618.74891579</v>
      </c>
      <c r="AR183" s="43"/>
    </row>
    <row r="184" spans="1:44">
      <c r="A184" s="40" t="s">
        <v>47</v>
      </c>
      <c r="B184" s="42">
        <f>'D4 Gallon Forecast'!B329+'D6 Gallon Forecast'!B261</f>
        <v>0</v>
      </c>
      <c r="C184" s="42">
        <f>'D4 Gallon Forecast'!C329+'D6 Gallon Forecast'!C261</f>
        <v>0</v>
      </c>
      <c r="D184" s="42">
        <f>'D4 Gallon Forecast'!D329+'D6 Gallon Forecast'!D261</f>
        <v>0</v>
      </c>
      <c r="E184" s="42">
        <f>'D4 Gallon Forecast'!E329+'D6 Gallon Forecast'!E261</f>
        <v>0</v>
      </c>
      <c r="F184" s="42">
        <f>'D4 Gallon Forecast'!F329+'D6 Gallon Forecast'!F261</f>
        <v>0</v>
      </c>
      <c r="G184" s="42">
        <f>'D4 Gallon Forecast'!G329+'D6 Gallon Forecast'!G261</f>
        <v>0</v>
      </c>
      <c r="H184" s="42">
        <f>'D4 Gallon Forecast'!H329+'D6 Gallon Forecast'!H261</f>
        <v>0</v>
      </c>
      <c r="I184" s="42">
        <f>'D4 Gallon Forecast'!I329+'D6 Gallon Forecast'!I261</f>
        <v>134485</v>
      </c>
      <c r="J184" s="42">
        <f>'D4 Gallon Forecast'!J329+'D6 Gallon Forecast'!J261</f>
        <v>64189</v>
      </c>
      <c r="K184" s="42">
        <f>'D4 Gallon Forecast'!K329+'D6 Gallon Forecast'!K261</f>
        <v>254288</v>
      </c>
      <c r="L184" s="42">
        <f>'D4 Gallon Forecast'!L329+'D6 Gallon Forecast'!L261</f>
        <v>0</v>
      </c>
      <c r="M184" s="42">
        <f>'D4 Gallon Forecast'!M329+'D6 Gallon Forecast'!M261</f>
        <v>287496</v>
      </c>
      <c r="N184" s="42">
        <f>'D4 Gallon Forecast'!N329+'D6 Gallon Forecast'!N261</f>
        <v>202831</v>
      </c>
      <c r="O184" s="42">
        <f>'D4 Gallon Forecast'!O329+'D6 Gallon Forecast'!O261</f>
        <v>1626715</v>
      </c>
      <c r="P184" s="42">
        <f>'D4 Gallon Forecast'!P329+'D6 Gallon Forecast'!P261</f>
        <v>18055498</v>
      </c>
      <c r="Q184" s="43">
        <f>'D4 Gallon Forecast'!Q329+'D6 Gallon Forecast'!Q261</f>
        <v>15695583.131274737</v>
      </c>
      <c r="R184" s="43">
        <f>'D4 Gallon Forecast'!R329+'D6 Gallon Forecast'!R261</f>
        <v>41780561.021103673</v>
      </c>
      <c r="S184" s="43">
        <f>'D4 Gallon Forecast'!S329+'D6 Gallon Forecast'!S261</f>
        <v>115278881.02848986</v>
      </c>
      <c r="T184" s="43">
        <f>'D4 Gallon Forecast'!T329+'D6 Gallon Forecast'!T261</f>
        <v>151068433.84608757</v>
      </c>
      <c r="U184" s="43">
        <f>'D4 Gallon Forecast'!U329+'D6 Gallon Forecast'!U261</f>
        <v>199076953.03664705</v>
      </c>
      <c r="V184" s="43">
        <f>'D4 Gallon Forecast'!V329+'D6 Gallon Forecast'!V261</f>
        <v>266401465.28689945</v>
      </c>
      <c r="W184" s="43">
        <f>'D4 Gallon Forecast'!W329+'D6 Gallon Forecast'!W261</f>
        <v>308291621.86943632</v>
      </c>
      <c r="X184" s="43">
        <f>'D4 Gallon Forecast'!X329+'D6 Gallon Forecast'!X261</f>
        <v>386018298.39756542</v>
      </c>
      <c r="Y184" s="43">
        <f>'D4 Gallon Forecast'!Y329+'D6 Gallon Forecast'!Y261</f>
        <v>403229734.6331256</v>
      </c>
      <c r="Z184" s="43">
        <f>'D4 Gallon Forecast'!Z329+'D6 Gallon Forecast'!Z261</f>
        <v>438403054.22398633</v>
      </c>
      <c r="AA184" s="43">
        <f>'D4 Gallon Forecast'!AA329+'D6 Gallon Forecast'!AA261</f>
        <v>457698449.26422077</v>
      </c>
      <c r="AB184" s="43">
        <f>'D4 Gallon Forecast'!AB329+'D6 Gallon Forecast'!AB261</f>
        <v>354118209.6740467</v>
      </c>
      <c r="AC184" s="43">
        <f>'D4 Gallon Forecast'!AC329+'D6 Gallon Forecast'!AC261</f>
        <v>385558497.24723381</v>
      </c>
      <c r="AD184" s="43">
        <f>'D4 Gallon Forecast'!AD329+'D6 Gallon Forecast'!AD261</f>
        <v>432981750.12180865</v>
      </c>
      <c r="AE184" s="43">
        <f>'D4 Gallon Forecast'!AE329+'D6 Gallon Forecast'!AE261</f>
        <v>431649760.04424119</v>
      </c>
      <c r="AF184" s="43">
        <f>'D4 Gallon Forecast'!AF329+'D6 Gallon Forecast'!AF261</f>
        <v>428784834.20417035</v>
      </c>
      <c r="AG184" s="43">
        <f>'D4 Gallon Forecast'!AG329+'D6 Gallon Forecast'!AG261</f>
        <v>447206387.44169664</v>
      </c>
      <c r="AH184" s="43">
        <f>'D4 Gallon Forecast'!AH329+'D6 Gallon Forecast'!AH261</f>
        <v>461707527.31536746</v>
      </c>
      <c r="AI184" s="43">
        <f>'D4 Gallon Forecast'!AI329+'D6 Gallon Forecast'!AI261</f>
        <v>472316737.85257494</v>
      </c>
      <c r="AJ184" s="43">
        <f>'D4 Gallon Forecast'!AJ329+'D6 Gallon Forecast'!AJ261</f>
        <v>477707934.64939249</v>
      </c>
      <c r="AK184" s="43">
        <f>'D4 Gallon Forecast'!AK329+'D6 Gallon Forecast'!AK261</f>
        <v>491899049.01143104</v>
      </c>
      <c r="AL184" s="43">
        <f>'D4 Gallon Forecast'!AL329+'D6 Gallon Forecast'!AL261</f>
        <v>518835955.28814048</v>
      </c>
      <c r="AM184" s="43">
        <f>'D4 Gallon Forecast'!AM329+'D6 Gallon Forecast'!AM261</f>
        <v>537570582.76409626</v>
      </c>
      <c r="AN184" s="43">
        <f>'D4 Gallon Forecast'!AN329+'D6 Gallon Forecast'!AN261</f>
        <v>538184535.36821783</v>
      </c>
      <c r="AO184" s="43">
        <f>'D4 Gallon Forecast'!AO329+'D6 Gallon Forecast'!AO261</f>
        <v>537284345.16967785</v>
      </c>
      <c r="AP184" s="43">
        <f>'D4 Gallon Forecast'!AP329+'D6 Gallon Forecast'!AP261</f>
        <v>549915216.37465036</v>
      </c>
      <c r="AQ184" s="43">
        <f>'D4 Gallon Forecast'!AQ329+'D6 Gallon Forecast'!AQ261</f>
        <v>617380988.93996465</v>
      </c>
      <c r="AR184" s="43"/>
    </row>
    <row r="185" spans="1:44">
      <c r="A185" s="40" t="s">
        <v>48</v>
      </c>
      <c r="B185" s="42">
        <f>'D4 Gallon Forecast'!B330+'D6 Gallon Forecast'!B262</f>
        <v>0</v>
      </c>
      <c r="C185" s="42">
        <f>'D4 Gallon Forecast'!C330+'D6 Gallon Forecast'!C262</f>
        <v>0</v>
      </c>
      <c r="D185" s="42">
        <f>'D4 Gallon Forecast'!D330+'D6 Gallon Forecast'!D262</f>
        <v>0</v>
      </c>
      <c r="E185" s="42">
        <f>'D4 Gallon Forecast'!E330+'D6 Gallon Forecast'!E262</f>
        <v>0</v>
      </c>
      <c r="F185" s="42">
        <f>'D4 Gallon Forecast'!F330+'D6 Gallon Forecast'!F262</f>
        <v>0</v>
      </c>
      <c r="G185" s="42">
        <f>'D4 Gallon Forecast'!G330+'D6 Gallon Forecast'!G262</f>
        <v>0</v>
      </c>
      <c r="H185" s="42">
        <f>'D4 Gallon Forecast'!H330+'D6 Gallon Forecast'!H262</f>
        <v>0</v>
      </c>
      <c r="I185" s="42">
        <f>'D4 Gallon Forecast'!I330+'D6 Gallon Forecast'!I262</f>
        <v>127471</v>
      </c>
      <c r="J185" s="42">
        <f>'D4 Gallon Forecast'!J330+'D6 Gallon Forecast'!J262</f>
        <v>140194</v>
      </c>
      <c r="K185" s="42">
        <f>'D4 Gallon Forecast'!K330+'D6 Gallon Forecast'!K262</f>
        <v>223279</v>
      </c>
      <c r="L185" s="42">
        <f>'D4 Gallon Forecast'!L330+'D6 Gallon Forecast'!L262</f>
        <v>508513</v>
      </c>
      <c r="M185" s="42">
        <f>'D4 Gallon Forecast'!M330+'D6 Gallon Forecast'!M262</f>
        <v>357317</v>
      </c>
      <c r="N185" s="42">
        <f>'D4 Gallon Forecast'!N330+'D6 Gallon Forecast'!N262</f>
        <v>2331749</v>
      </c>
      <c r="O185" s="42">
        <f>'D4 Gallon Forecast'!O330+'D6 Gallon Forecast'!O262</f>
        <v>2431985</v>
      </c>
      <c r="P185" s="42">
        <f>'D4 Gallon Forecast'!P330+'D6 Gallon Forecast'!P262</f>
        <v>6269264</v>
      </c>
      <c r="Q185" s="43">
        <f>'D4 Gallon Forecast'!Q330+'D6 Gallon Forecast'!Q262</f>
        <v>15877313.805032866</v>
      </c>
      <c r="R185" s="43">
        <f>'D4 Gallon Forecast'!R330+'D6 Gallon Forecast'!R262</f>
        <v>40090554.729911327</v>
      </c>
      <c r="S185" s="43">
        <f>'D4 Gallon Forecast'!S330+'D6 Gallon Forecast'!S262</f>
        <v>109912763.07836901</v>
      </c>
      <c r="T185" s="43">
        <f>'D4 Gallon Forecast'!T330+'D6 Gallon Forecast'!T262</f>
        <v>143928153.63409781</v>
      </c>
      <c r="U185" s="43">
        <f>'D4 Gallon Forecast'!U330+'D6 Gallon Forecast'!U262</f>
        <v>186830021.40693691</v>
      </c>
      <c r="V185" s="43">
        <f>'D4 Gallon Forecast'!V330+'D6 Gallon Forecast'!V262</f>
        <v>253326951.88233766</v>
      </c>
      <c r="W185" s="43">
        <f>'D4 Gallon Forecast'!W330+'D6 Gallon Forecast'!W262</f>
        <v>292980878.73686874</v>
      </c>
      <c r="X185" s="43">
        <f>'D4 Gallon Forecast'!X330+'D6 Gallon Forecast'!X262</f>
        <v>367072831.51779979</v>
      </c>
      <c r="Y185" s="43">
        <f>'D4 Gallon Forecast'!Y330+'D6 Gallon Forecast'!Y262</f>
        <v>383321965.71480089</v>
      </c>
      <c r="Z185" s="43">
        <f>'D4 Gallon Forecast'!Z330+'D6 Gallon Forecast'!Z262</f>
        <v>416600885.09563607</v>
      </c>
      <c r="AA185" s="43">
        <f>'D4 Gallon Forecast'!AA330+'D6 Gallon Forecast'!AA262</f>
        <v>435320747.81909347</v>
      </c>
      <c r="AB185" s="43">
        <f>'D4 Gallon Forecast'!AB330+'D6 Gallon Forecast'!AB262</f>
        <v>336504831.94912809</v>
      </c>
      <c r="AC185" s="43">
        <f>'D4 Gallon Forecast'!AC330+'D6 Gallon Forecast'!AC262</f>
        <v>366454290.76937747</v>
      </c>
      <c r="AD185" s="43">
        <f>'D4 Gallon Forecast'!AD330+'D6 Gallon Forecast'!AD262</f>
        <v>411647918.89044106</v>
      </c>
      <c r="AE185" s="43">
        <f>'D4 Gallon Forecast'!AE330+'D6 Gallon Forecast'!AE262</f>
        <v>410524297.58924985</v>
      </c>
      <c r="AF185" s="43">
        <f>'D4 Gallon Forecast'!AF330+'D6 Gallon Forecast'!AF262</f>
        <v>407889172.2767899</v>
      </c>
      <c r="AG185" s="43">
        <f>'D4 Gallon Forecast'!AG330+'D6 Gallon Forecast'!AG262</f>
        <v>425417319.98768061</v>
      </c>
      <c r="AH185" s="43">
        <f>'D4 Gallon Forecast'!AH330+'D6 Gallon Forecast'!AH262</f>
        <v>439206283.68416983</v>
      </c>
      <c r="AI185" s="43">
        <f>'D4 Gallon Forecast'!AI330+'D6 Gallon Forecast'!AI262</f>
        <v>449299655.95658058</v>
      </c>
      <c r="AJ185" s="43">
        <f>'D4 Gallon Forecast'!AJ330+'D6 Gallon Forecast'!AJ262</f>
        <v>454432264.35824293</v>
      </c>
      <c r="AK185" s="43">
        <f>'D4 Gallon Forecast'!AK330+'D6 Gallon Forecast'!AK262</f>
        <v>467934926.58408231</v>
      </c>
      <c r="AL185" s="43">
        <f>'D4 Gallon Forecast'!AL330+'D6 Gallon Forecast'!AL262</f>
        <v>493555094.71268988</v>
      </c>
      <c r="AM185" s="43">
        <f>'D4 Gallon Forecast'!AM330+'D6 Gallon Forecast'!AM262</f>
        <v>511376509.82642299</v>
      </c>
      <c r="AN185" s="43">
        <f>'D4 Gallon Forecast'!AN330+'D6 Gallon Forecast'!AN262</f>
        <v>511961350.36461264</v>
      </c>
      <c r="AO185" s="43">
        <f>'D4 Gallon Forecast'!AO330+'D6 Gallon Forecast'!AO262</f>
        <v>511105718.42924017</v>
      </c>
      <c r="AP185" s="43">
        <f>'D4 Gallon Forecast'!AP330+'D6 Gallon Forecast'!AP262</f>
        <v>523121130.4948082</v>
      </c>
      <c r="AQ185" s="43">
        <f>'D4 Gallon Forecast'!AQ330+'D6 Gallon Forecast'!AQ262</f>
        <v>587298966.16713428</v>
      </c>
      <c r="AR185" s="43"/>
    </row>
    <row r="186" spans="1:44">
      <c r="A186" s="40" t="s">
        <v>49</v>
      </c>
      <c r="B186" s="42">
        <f>'D4 Gallon Forecast'!B331+'D6 Gallon Forecast'!B263</f>
        <v>0</v>
      </c>
      <c r="C186" s="42">
        <f>'D4 Gallon Forecast'!C331+'D6 Gallon Forecast'!C263</f>
        <v>0</v>
      </c>
      <c r="D186" s="42">
        <f>'D4 Gallon Forecast'!D331+'D6 Gallon Forecast'!D263</f>
        <v>0</v>
      </c>
      <c r="E186" s="42">
        <f>'D4 Gallon Forecast'!E331+'D6 Gallon Forecast'!E263</f>
        <v>0</v>
      </c>
      <c r="F186" s="42">
        <f>'D4 Gallon Forecast'!F331+'D6 Gallon Forecast'!F263</f>
        <v>0</v>
      </c>
      <c r="G186" s="42">
        <f>'D4 Gallon Forecast'!G331+'D6 Gallon Forecast'!G263</f>
        <v>0</v>
      </c>
      <c r="H186" s="42">
        <f>'D4 Gallon Forecast'!H331+'D6 Gallon Forecast'!H263</f>
        <v>0</v>
      </c>
      <c r="I186" s="42">
        <f>'D4 Gallon Forecast'!I331+'D6 Gallon Forecast'!I263</f>
        <v>120661</v>
      </c>
      <c r="J186" s="42">
        <f>'D4 Gallon Forecast'!J331+'D6 Gallon Forecast'!J263</f>
        <v>82231</v>
      </c>
      <c r="K186" s="42">
        <f>'D4 Gallon Forecast'!K331+'D6 Gallon Forecast'!K263</f>
        <v>146613</v>
      </c>
      <c r="L186" s="42">
        <f>'D4 Gallon Forecast'!L331+'D6 Gallon Forecast'!L263</f>
        <v>1536725</v>
      </c>
      <c r="M186" s="42">
        <f>'D4 Gallon Forecast'!M331+'D6 Gallon Forecast'!M263</f>
        <v>1093159</v>
      </c>
      <c r="N186" s="42">
        <f>'D4 Gallon Forecast'!N331+'D6 Gallon Forecast'!N263</f>
        <v>1137973</v>
      </c>
      <c r="O186" s="42">
        <f>'D4 Gallon Forecast'!O331+'D6 Gallon Forecast'!O263</f>
        <v>1770762</v>
      </c>
      <c r="P186" s="42">
        <f>'D4 Gallon Forecast'!P331+'D6 Gallon Forecast'!P263</f>
        <v>10194334</v>
      </c>
      <c r="Q186" s="43">
        <f>'D4 Gallon Forecast'!Q331+'D6 Gallon Forecast'!Q263</f>
        <v>18644432.350191236</v>
      </c>
      <c r="R186" s="43">
        <f>'D4 Gallon Forecast'!R331+'D6 Gallon Forecast'!R263</f>
        <v>44099613.937141791</v>
      </c>
      <c r="S186" s="43">
        <f>'D4 Gallon Forecast'!S331+'D6 Gallon Forecast'!S263</f>
        <v>119714909.12933441</v>
      </c>
      <c r="T186" s="43">
        <f>'D4 Gallon Forecast'!T331+'D6 Gallon Forecast'!T263</f>
        <v>156729366.16105363</v>
      </c>
      <c r="U186" s="43">
        <f>'D4 Gallon Forecast'!U331+'D6 Gallon Forecast'!U263</f>
        <v>204877289.07731122</v>
      </c>
      <c r="V186" s="43">
        <f>'D4 Gallon Forecast'!V331+'D6 Gallon Forecast'!V263</f>
        <v>276984839.96866107</v>
      </c>
      <c r="W186" s="43">
        <f>'D4 Gallon Forecast'!W331+'D6 Gallon Forecast'!W263</f>
        <v>319843626.76435572</v>
      </c>
      <c r="X186" s="43">
        <f>'D4 Gallon Forecast'!X331+'D6 Gallon Forecast'!X263</f>
        <v>400302116.39205301</v>
      </c>
      <c r="Y186" s="43">
        <f>'D4 Gallon Forecast'!Y331+'D6 Gallon Forecast'!Y263</f>
        <v>418099543.24597806</v>
      </c>
      <c r="Z186" s="43">
        <f>'D4 Gallon Forecast'!Z331+'D6 Gallon Forecast'!Z263</f>
        <v>454528927.20170164</v>
      </c>
      <c r="AA186" s="43">
        <f>'D4 Gallon Forecast'!AA331+'D6 Gallon Forecast'!AA263</f>
        <v>474837622.02182615</v>
      </c>
      <c r="AB186" s="43">
        <f>'D4 Gallon Forecast'!AB331+'D6 Gallon Forecast'!AB263</f>
        <v>367229900.51074994</v>
      </c>
      <c r="AC186" s="43">
        <f>'D4 Gallon Forecast'!AC331+'D6 Gallon Forecast'!AC263</f>
        <v>399822694.51615721</v>
      </c>
      <c r="AD186" s="43">
        <f>'D4 Gallon Forecast'!AD331+'D6 Gallon Forecast'!AD263</f>
        <v>449029832.94191366</v>
      </c>
      <c r="AE186" s="43">
        <f>'D4 Gallon Forecast'!AE331+'D6 Gallon Forecast'!AE263</f>
        <v>447687612.60758471</v>
      </c>
      <c r="AF186" s="43">
        <f>'D4 Gallon Forecast'!AF331+'D6 Gallon Forecast'!AF263</f>
        <v>444750406.21882141</v>
      </c>
      <c r="AG186" s="43">
        <f>'D4 Gallon Forecast'!AG331+'D6 Gallon Forecast'!AG263</f>
        <v>463838349.9205718</v>
      </c>
      <c r="AH186" s="43">
        <f>'D4 Gallon Forecast'!AH331+'D6 Gallon Forecast'!AH263</f>
        <v>478876025.6222105</v>
      </c>
      <c r="AI186" s="43">
        <f>'D4 Gallon Forecast'!AI331+'D6 Gallon Forecast'!AI263</f>
        <v>489883207.73802304</v>
      </c>
      <c r="AJ186" s="43">
        <f>'D4 Gallon Forecast'!AJ331+'D6 Gallon Forecast'!AJ263</f>
        <v>495478516.72862762</v>
      </c>
      <c r="AK186" s="43">
        <f>'D4 Gallon Forecast'!AK331+'D6 Gallon Forecast'!AK263</f>
        <v>510198651.27004594</v>
      </c>
      <c r="AL186" s="43">
        <f>'D4 Gallon Forecast'!AL331+'D6 Gallon Forecast'!AL263</f>
        <v>538133553.04368472</v>
      </c>
      <c r="AM186" s="43">
        <f>'D4 Gallon Forecast'!AM331+'D6 Gallon Forecast'!AM263</f>
        <v>557565317.01577449</v>
      </c>
      <c r="AN186" s="43">
        <f>'D4 Gallon Forecast'!AN331+'D6 Gallon Forecast'!AN263</f>
        <v>558203082.99026334</v>
      </c>
      <c r="AO186" s="43">
        <f>'D4 Gallon Forecast'!AO331+'D6 Gallon Forecast'!AO263</f>
        <v>557269834.33797264</v>
      </c>
      <c r="AP186" s="43">
        <f>'D4 Gallon Forecast'!AP331+'D6 Gallon Forecast'!AP263</f>
        <v>570370293.67011321</v>
      </c>
      <c r="AQ186" s="43">
        <f>'D4 Gallon Forecast'!AQ331+'D6 Gallon Forecast'!AQ263</f>
        <v>640344991.28756511</v>
      </c>
      <c r="AR186" s="43"/>
    </row>
    <row r="187" spans="1:44">
      <c r="A187" s="40" t="s">
        <v>50</v>
      </c>
      <c r="B187" s="42">
        <f>'D4 Gallon Forecast'!B332+'D6 Gallon Forecast'!B264</f>
        <v>0</v>
      </c>
      <c r="C187" s="42">
        <f>'D4 Gallon Forecast'!C332+'D6 Gallon Forecast'!C264</f>
        <v>0</v>
      </c>
      <c r="D187" s="42">
        <f>'D4 Gallon Forecast'!D332+'D6 Gallon Forecast'!D264</f>
        <v>0</v>
      </c>
      <c r="E187" s="42">
        <f>'D4 Gallon Forecast'!E332+'D6 Gallon Forecast'!E264</f>
        <v>0</v>
      </c>
      <c r="F187" s="42">
        <f>'D4 Gallon Forecast'!F332+'D6 Gallon Forecast'!F264</f>
        <v>0</v>
      </c>
      <c r="G187" s="42">
        <f>'D4 Gallon Forecast'!G332+'D6 Gallon Forecast'!G264</f>
        <v>0</v>
      </c>
      <c r="H187" s="42">
        <f>'D4 Gallon Forecast'!H332+'D6 Gallon Forecast'!H264</f>
        <v>0</v>
      </c>
      <c r="I187" s="42">
        <f>'D4 Gallon Forecast'!I332+'D6 Gallon Forecast'!I264</f>
        <v>174175</v>
      </c>
      <c r="J187" s="42">
        <f>'D4 Gallon Forecast'!J332+'D6 Gallon Forecast'!J264</f>
        <v>70236</v>
      </c>
      <c r="K187" s="42">
        <f>'D4 Gallon Forecast'!K332+'D6 Gallon Forecast'!K264</f>
        <v>271757</v>
      </c>
      <c r="L187" s="42">
        <f>'D4 Gallon Forecast'!L332+'D6 Gallon Forecast'!L264</f>
        <v>63855</v>
      </c>
      <c r="M187" s="42">
        <f>'D4 Gallon Forecast'!M332+'D6 Gallon Forecast'!M264</f>
        <v>722058</v>
      </c>
      <c r="N187" s="42">
        <f>'D4 Gallon Forecast'!N332+'D6 Gallon Forecast'!N264</f>
        <v>2039562</v>
      </c>
      <c r="O187" s="42">
        <f>'D4 Gallon Forecast'!O332+'D6 Gallon Forecast'!O264</f>
        <v>4348166</v>
      </c>
      <c r="P187" s="42">
        <f>'D4 Gallon Forecast'!P332+'D6 Gallon Forecast'!P264</f>
        <v>11018726</v>
      </c>
      <c r="Q187" s="43">
        <f>'D4 Gallon Forecast'!Q332+'D6 Gallon Forecast'!Q264</f>
        <v>18121210.075139798</v>
      </c>
      <c r="R187" s="43">
        <f>'D4 Gallon Forecast'!R332+'D6 Gallon Forecast'!R264</f>
        <v>47239990.308537669</v>
      </c>
      <c r="S187" s="43">
        <f>'D4 Gallon Forecast'!S332+'D6 Gallon Forecast'!S264</f>
        <v>130514077.87124597</v>
      </c>
      <c r="T187" s="43">
        <f>'D4 Gallon Forecast'!T332+'D6 Gallon Forecast'!T264</f>
        <v>170777984.37477323</v>
      </c>
      <c r="U187" s="43">
        <f>'D4 Gallon Forecast'!U332+'D6 Gallon Forecast'!U264</f>
        <v>222275866.58954853</v>
      </c>
      <c r="V187" s="43">
        <f>'D4 Gallon Forecast'!V332+'D6 Gallon Forecast'!V264</f>
        <v>300230446.138376</v>
      </c>
      <c r="W187" s="43">
        <f>'D4 Gallon Forecast'!W332+'D6 Gallon Forecast'!W264</f>
        <v>347471708.85113049</v>
      </c>
      <c r="X187" s="43">
        <f>'D4 Gallon Forecast'!X332+'D6 Gallon Forecast'!X264</f>
        <v>435321484.67285985</v>
      </c>
      <c r="Y187" s="43">
        <f>'D4 Gallon Forecast'!Y332+'D6 Gallon Forecast'!Y264</f>
        <v>454545640.3650158</v>
      </c>
      <c r="Z187" s="43">
        <f>'D4 Gallon Forecast'!Z332+'D6 Gallon Forecast'!Z264</f>
        <v>494004571.30375582</v>
      </c>
      <c r="AA187" s="43">
        <f>'D4 Gallon Forecast'!AA332+'D6 Gallon Forecast'!AA264</f>
        <v>516092136.11016458</v>
      </c>
      <c r="AB187" s="43">
        <f>'D4 Gallon Forecast'!AB332+'D6 Gallon Forecast'!AB264</f>
        <v>399082243.85461897</v>
      </c>
      <c r="AC187" s="43">
        <f>'D4 Gallon Forecast'!AC332+'D6 Gallon Forecast'!AC264</f>
        <v>434569912.87510228</v>
      </c>
      <c r="AD187" s="43">
        <f>'D4 Gallon Forecast'!AD332+'D6 Gallon Forecast'!AD264</f>
        <v>488098371.86020541</v>
      </c>
      <c r="AE187" s="43">
        <f>'D4 Gallon Forecast'!AE332+'D6 Gallon Forecast'!AE264</f>
        <v>486706304.34401494</v>
      </c>
      <c r="AF187" s="43">
        <f>'D4 Gallon Forecast'!AF332+'D6 Gallon Forecast'!AF264</f>
        <v>483555339.51892412</v>
      </c>
      <c r="AG187" s="43">
        <f>'D4 Gallon Forecast'!AG332+'D6 Gallon Forecast'!AG264</f>
        <v>504336771.8224569</v>
      </c>
      <c r="AH187" s="43">
        <f>'D4 Gallon Forecast'!AH332+'D6 Gallon Forecast'!AH264</f>
        <v>520683279.40178376</v>
      </c>
      <c r="AI187" s="43">
        <f>'D4 Gallon Forecast'!AI332+'D6 Gallon Forecast'!AI264</f>
        <v>532645954.37678677</v>
      </c>
      <c r="AJ187" s="43">
        <f>'D4 Gallon Forecast'!AJ332+'D6 Gallon Forecast'!AJ264</f>
        <v>538729626.88032687</v>
      </c>
      <c r="AK187" s="43">
        <f>'D4 Gallon Forecast'!AK332+'D6 Gallon Forecast'!AK264</f>
        <v>554737404.44404888</v>
      </c>
      <c r="AL187" s="43">
        <f>'D4 Gallon Forecast'!AL332+'D6 Gallon Forecast'!AL264</f>
        <v>585111928.0152998</v>
      </c>
      <c r="AM187" s="43">
        <f>'D4 Gallon Forecast'!AM332+'D6 Gallon Forecast'!AM264</f>
        <v>606238745.74514627</v>
      </c>
      <c r="AN187" s="43">
        <f>'D4 Gallon Forecast'!AN332+'D6 Gallon Forecast'!AN264</f>
        <v>606931515.43055546</v>
      </c>
      <c r="AO187" s="43">
        <f>'D4 Gallon Forecast'!AO332+'D6 Gallon Forecast'!AO264</f>
        <v>605917152.94723928</v>
      </c>
      <c r="AP187" s="43">
        <f>'D4 Gallon Forecast'!AP332+'D6 Gallon Forecast'!AP264</f>
        <v>620161664.5515734</v>
      </c>
      <c r="AQ187" s="43">
        <f>'D4 Gallon Forecast'!AQ332+'D6 Gallon Forecast'!AQ264</f>
        <v>696244876.41860402</v>
      </c>
      <c r="AR187" s="43"/>
    </row>
    <row r="188" spans="1:44">
      <c r="A188" s="40" t="s">
        <v>51</v>
      </c>
      <c r="B188" s="42">
        <f>'D4 Gallon Forecast'!B333+'D6 Gallon Forecast'!B265</f>
        <v>0</v>
      </c>
      <c r="C188" s="42">
        <f>'D4 Gallon Forecast'!C333+'D6 Gallon Forecast'!C265</f>
        <v>0</v>
      </c>
      <c r="D188" s="42">
        <f>'D4 Gallon Forecast'!D333+'D6 Gallon Forecast'!D265</f>
        <v>0</v>
      </c>
      <c r="E188" s="42">
        <f>'D4 Gallon Forecast'!E333+'D6 Gallon Forecast'!E265</f>
        <v>0</v>
      </c>
      <c r="F188" s="42">
        <f>'D4 Gallon Forecast'!F333+'D6 Gallon Forecast'!F265</f>
        <v>0</v>
      </c>
      <c r="G188" s="42">
        <f>'D4 Gallon Forecast'!G333+'D6 Gallon Forecast'!G265</f>
        <v>0</v>
      </c>
      <c r="H188" s="42">
        <f>'D4 Gallon Forecast'!H333+'D6 Gallon Forecast'!H265</f>
        <v>230790</v>
      </c>
      <c r="I188" s="42">
        <f>'D4 Gallon Forecast'!I333+'D6 Gallon Forecast'!I265</f>
        <v>137952</v>
      </c>
      <c r="J188" s="42">
        <f>'D4 Gallon Forecast'!J333+'D6 Gallon Forecast'!J265</f>
        <v>151082</v>
      </c>
      <c r="K188" s="42">
        <f>'D4 Gallon Forecast'!K333+'D6 Gallon Forecast'!K265</f>
        <v>275529</v>
      </c>
      <c r="L188" s="42">
        <f>'D4 Gallon Forecast'!L333+'D6 Gallon Forecast'!L265</f>
        <v>371169</v>
      </c>
      <c r="M188" s="42">
        <f>'D4 Gallon Forecast'!M333+'D6 Gallon Forecast'!M265</f>
        <v>300122</v>
      </c>
      <c r="N188" s="42">
        <f>'D4 Gallon Forecast'!N333+'D6 Gallon Forecast'!N265</f>
        <v>393571</v>
      </c>
      <c r="O188" s="42">
        <f>'D4 Gallon Forecast'!O333+'D6 Gallon Forecast'!O265</f>
        <v>2163064</v>
      </c>
      <c r="P188" s="42">
        <f>'D4 Gallon Forecast'!P333+'D6 Gallon Forecast'!P265</f>
        <v>20695121</v>
      </c>
      <c r="Q188" s="43">
        <f>'D4 Gallon Forecast'!Q333+'D6 Gallon Forecast'!Q265</f>
        <v>19561239.887186892</v>
      </c>
      <c r="R188" s="43">
        <f>'D4 Gallon Forecast'!R333+'D6 Gallon Forecast'!R265</f>
        <v>57196378.827984162</v>
      </c>
      <c r="S188" s="43">
        <f>'D4 Gallon Forecast'!S333+'D6 Gallon Forecast'!S265</f>
        <v>158438136.91469371</v>
      </c>
      <c r="T188" s="43">
        <f>'D4 Gallon Forecast'!T333+'D6 Gallon Forecast'!T265</f>
        <v>207707531.17644346</v>
      </c>
      <c r="U188" s="43">
        <f>'D4 Gallon Forecast'!U333+'D6 Gallon Forecast'!U265</f>
        <v>272210401.21531743</v>
      </c>
      <c r="V188" s="43">
        <f>'D4 Gallon Forecast'!V333+'D6 Gallon Forecast'!V265</f>
        <v>364517050.31771886</v>
      </c>
      <c r="W188" s="43">
        <f>'D4 Gallon Forecast'!W333+'D6 Gallon Forecast'!W265</f>
        <v>422783169.87744755</v>
      </c>
      <c r="X188" s="43">
        <f>'D4 Gallon Forecast'!X333+'D6 Gallon Forecast'!X265</f>
        <v>529699158.65717715</v>
      </c>
      <c r="Y188" s="43">
        <f>'D4 Gallon Forecast'!Y333+'D6 Gallon Forecast'!Y265</f>
        <v>553216309.27787578</v>
      </c>
      <c r="Z188" s="43">
        <f>'D4 Gallon Forecast'!Z333+'D6 Gallon Forecast'!Z265</f>
        <v>601295020.64447892</v>
      </c>
      <c r="AA188" s="43">
        <f>'D4 Gallon Forecast'!AA333+'D6 Gallon Forecast'!AA265</f>
        <v>627805091.66413951</v>
      </c>
      <c r="AB188" s="43">
        <f>'D4 Gallon Forecast'!AB333+'D6 Gallon Forecast'!AB265</f>
        <v>485655028.48193932</v>
      </c>
      <c r="AC188" s="43">
        <f>'D4 Gallon Forecast'!AC333+'D6 Gallon Forecast'!AC265</f>
        <v>528836985.62768936</v>
      </c>
      <c r="AD188" s="43">
        <f>'D4 Gallon Forecast'!AD333+'D6 Gallon Forecast'!AD265</f>
        <v>593954856.84986866</v>
      </c>
      <c r="AE188" s="43">
        <f>'D4 Gallon Forecast'!AE333+'D6 Gallon Forecast'!AE265</f>
        <v>592214013.69778848</v>
      </c>
      <c r="AF188" s="43">
        <f>'D4 Gallon Forecast'!AF333+'D6 Gallon Forecast'!AF265</f>
        <v>588334729.41870618</v>
      </c>
      <c r="AG188" s="43">
        <f>'D4 Gallon Forecast'!AG333+'D6 Gallon Forecast'!AG265</f>
        <v>613646961.06679022</v>
      </c>
      <c r="AH188" s="43">
        <f>'D4 Gallon Forecast'!AH333+'D6 Gallon Forecast'!AH265</f>
        <v>633537549.88372314</v>
      </c>
      <c r="AI188" s="43">
        <f>'D4 Gallon Forecast'!AI333+'D6 Gallon Forecast'!AI265</f>
        <v>648090266.54360902</v>
      </c>
      <c r="AJ188" s="43">
        <f>'D4 Gallon Forecast'!AJ333+'D6 Gallon Forecast'!AJ265</f>
        <v>655487645.3890146</v>
      </c>
      <c r="AK188" s="43">
        <f>'D4 Gallon Forecast'!AK333+'D6 Gallon Forecast'!AK265</f>
        <v>674963043.56951916</v>
      </c>
      <c r="AL188" s="43">
        <f>'D4 Gallon Forecast'!AL333+'D6 Gallon Forecast'!AL265</f>
        <v>711925965.47816062</v>
      </c>
      <c r="AM188" s="43">
        <f>'D4 Gallon Forecast'!AM333+'D6 Gallon Forecast'!AM265</f>
        <v>737631047.17210543</v>
      </c>
      <c r="AN188" s="43">
        <f>'D4 Gallon Forecast'!AN333+'D6 Gallon Forecast'!AN265</f>
        <v>738472948.13120592</v>
      </c>
      <c r="AO188" s="43">
        <f>'D4 Gallon Forecast'!AO333+'D6 Gallon Forecast'!AO265</f>
        <v>737238126.62097335</v>
      </c>
      <c r="AP188" s="43">
        <f>'D4 Gallon Forecast'!AP333+'D6 Gallon Forecast'!AP265</f>
        <v>754570145.35132217</v>
      </c>
      <c r="AQ188" s="43">
        <f>'D4 Gallon Forecast'!AQ333+'D6 Gallon Forecast'!AQ265</f>
        <v>847143747.03842115</v>
      </c>
      <c r="AR188" s="43"/>
    </row>
    <row r="189" spans="1:44">
      <c r="A189" s="40" t="s">
        <v>52</v>
      </c>
      <c r="B189" s="42">
        <f>'D4 Gallon Forecast'!B334+'D6 Gallon Forecast'!B266</f>
        <v>0</v>
      </c>
      <c r="C189" s="42">
        <f>'D4 Gallon Forecast'!C334+'D6 Gallon Forecast'!C266</f>
        <v>0</v>
      </c>
      <c r="D189" s="42">
        <f>'D4 Gallon Forecast'!D334+'D6 Gallon Forecast'!D266</f>
        <v>0</v>
      </c>
      <c r="E189" s="42">
        <f>'D4 Gallon Forecast'!E334+'D6 Gallon Forecast'!E266</f>
        <v>0</v>
      </c>
      <c r="F189" s="42">
        <f>'D4 Gallon Forecast'!F334+'D6 Gallon Forecast'!F266</f>
        <v>0</v>
      </c>
      <c r="G189" s="42">
        <f>'D4 Gallon Forecast'!G334+'D6 Gallon Forecast'!G266</f>
        <v>0</v>
      </c>
      <c r="H189" s="42">
        <f>'D4 Gallon Forecast'!H334+'D6 Gallon Forecast'!H266</f>
        <v>181093</v>
      </c>
      <c r="I189" s="42">
        <f>'D4 Gallon Forecast'!I334+'D6 Gallon Forecast'!I266</f>
        <v>160272</v>
      </c>
      <c r="J189" s="42">
        <f>'D4 Gallon Forecast'!J334+'D6 Gallon Forecast'!J266</f>
        <v>229089</v>
      </c>
      <c r="K189" s="42">
        <f>'D4 Gallon Forecast'!K334+'D6 Gallon Forecast'!K266</f>
        <v>216574</v>
      </c>
      <c r="L189" s="42">
        <f>'D4 Gallon Forecast'!L334+'D6 Gallon Forecast'!L266</f>
        <v>188416</v>
      </c>
      <c r="M189" s="42">
        <f>'D4 Gallon Forecast'!M334+'D6 Gallon Forecast'!M266</f>
        <v>437741</v>
      </c>
      <c r="N189" s="42">
        <f>'D4 Gallon Forecast'!N334+'D6 Gallon Forecast'!N266</f>
        <v>1764631</v>
      </c>
      <c r="O189" s="42">
        <f>'D4 Gallon Forecast'!O334+'D6 Gallon Forecast'!O266</f>
        <v>3384032</v>
      </c>
      <c r="P189" s="42">
        <f>'D4 Gallon Forecast'!P334+'D6 Gallon Forecast'!P266</f>
        <v>9266341</v>
      </c>
      <c r="Q189" s="43">
        <f>'D4 Gallon Forecast'!Q334+'D6 Gallon Forecast'!Q266</f>
        <v>20223333.555152789</v>
      </c>
      <c r="R189" s="43">
        <f>'D4 Gallon Forecast'!R334+'D6 Gallon Forecast'!R266</f>
        <v>56979087.494944744</v>
      </c>
      <c r="S189" s="43">
        <f>'D4 Gallon Forecast'!S334+'D6 Gallon Forecast'!S266</f>
        <v>154446777.87649685</v>
      </c>
      <c r="T189" s="43">
        <f>'D4 Gallon Forecast'!T334+'D6 Gallon Forecast'!T266</f>
        <v>202410893.47973916</v>
      </c>
      <c r="U189" s="43">
        <f>'D4 Gallon Forecast'!U334+'D6 Gallon Forecast'!U266</f>
        <v>262415001.66691062</v>
      </c>
      <c r="V189" s="43">
        <f>'D4 Gallon Forecast'!V334+'D6 Gallon Forecast'!V266</f>
        <v>355512244.73193038</v>
      </c>
      <c r="W189" s="43">
        <f>'D4 Gallon Forecast'!W334+'D6 Gallon Forecast'!W266</f>
        <v>411903283.55131447</v>
      </c>
      <c r="X189" s="43">
        <f>'D4 Gallon Forecast'!X334+'D6 Gallon Forecast'!X266</f>
        <v>515939900.55258411</v>
      </c>
      <c r="Y189" s="43">
        <f>'D4 Gallon Forecast'!Y334+'D6 Gallon Forecast'!Y266</f>
        <v>538791882.46172917</v>
      </c>
      <c r="Z189" s="43">
        <f>'D4 Gallon Forecast'!Z334+'D6 Gallon Forecast'!Z266</f>
        <v>585518802.14841163</v>
      </c>
      <c r="AA189" s="43">
        <f>'D4 Gallon Forecast'!AA334+'D6 Gallon Forecast'!AA266</f>
        <v>611830248.44069135</v>
      </c>
      <c r="AB189" s="43">
        <f>'D4 Gallon Forecast'!AB334+'D6 Gallon Forecast'!AB266</f>
        <v>472940604.86853898</v>
      </c>
      <c r="AC189" s="43">
        <f>'D4 Gallon Forecast'!AC334+'D6 Gallon Forecast'!AC266</f>
        <v>515030164.72771519</v>
      </c>
      <c r="AD189" s="43">
        <f>'D4 Gallon Forecast'!AD334+'D6 Gallon Forecast'!AD266</f>
        <v>578586018.2915113</v>
      </c>
      <c r="AE189" s="43">
        <f>'D4 Gallon Forecast'!AE334+'D6 Gallon Forecast'!AE266</f>
        <v>577044010.81661201</v>
      </c>
      <c r="AF189" s="43">
        <f>'D4 Gallon Forecast'!AF334+'D6 Gallon Forecast'!AF266</f>
        <v>573360524.79421484</v>
      </c>
      <c r="AG189" s="43">
        <f>'D4 Gallon Forecast'!AG334+'D6 Gallon Forecast'!AG266</f>
        <v>598013443.49350882</v>
      </c>
      <c r="AH189" s="43">
        <f>'D4 Gallon Forecast'!AH334+'D6 Gallon Forecast'!AH266</f>
        <v>617390805.59099126</v>
      </c>
      <c r="AI189" s="43">
        <f>'D4 Gallon Forecast'!AI334+'D6 Gallon Forecast'!AI266</f>
        <v>631579134.77789879</v>
      </c>
      <c r="AJ189" s="43">
        <f>'D4 Gallon Forecast'!AJ334+'D6 Gallon Forecast'!AJ266</f>
        <v>638794277.7892096</v>
      </c>
      <c r="AK189" s="43">
        <f>'D4 Gallon Forecast'!AK334+'D6 Gallon Forecast'!AK266</f>
        <v>657775923.47029114</v>
      </c>
      <c r="AL189" s="43">
        <f>'D4 Gallon Forecast'!AL334+'D6 Gallon Forecast'!AL266</f>
        <v>693790418.43302131</v>
      </c>
      <c r="AM189" s="43">
        <f>'D4 Gallon Forecast'!AM334+'D6 Gallon Forecast'!AM266</f>
        <v>718841028.67455041</v>
      </c>
      <c r="AN189" s="43">
        <f>'D4 Gallon Forecast'!AN334+'D6 Gallon Forecast'!AN266</f>
        <v>719663281.76985824</v>
      </c>
      <c r="AO189" s="43">
        <f>'D4 Gallon Forecast'!AO334+'D6 Gallon Forecast'!AO266</f>
        <v>718460667.8787055</v>
      </c>
      <c r="AP189" s="43">
        <f>'D4 Gallon Forecast'!AP334+'D6 Gallon Forecast'!AP266</f>
        <v>735350840.53289282</v>
      </c>
      <c r="AQ189" s="43">
        <f>'D4 Gallon Forecast'!AQ334+'D6 Gallon Forecast'!AQ266</f>
        <v>825565495.81296849</v>
      </c>
      <c r="AR189" s="43"/>
    </row>
    <row r="190" spans="1:44">
      <c r="A190" s="40" t="s">
        <v>53</v>
      </c>
      <c r="B190" s="42">
        <f>'D4 Gallon Forecast'!B335+'D6 Gallon Forecast'!B267</f>
        <v>0</v>
      </c>
      <c r="C190" s="42">
        <f>'D4 Gallon Forecast'!C335+'D6 Gallon Forecast'!C267</f>
        <v>0</v>
      </c>
      <c r="D190" s="42">
        <f>'D4 Gallon Forecast'!D335+'D6 Gallon Forecast'!D267</f>
        <v>0</v>
      </c>
      <c r="E190" s="42">
        <f>'D4 Gallon Forecast'!E335+'D6 Gallon Forecast'!E267</f>
        <v>0</v>
      </c>
      <c r="F190" s="42">
        <f>'D4 Gallon Forecast'!F335+'D6 Gallon Forecast'!F267</f>
        <v>0</v>
      </c>
      <c r="G190" s="42">
        <f>'D4 Gallon Forecast'!G335+'D6 Gallon Forecast'!G267</f>
        <v>0</v>
      </c>
      <c r="H190" s="42">
        <f>'D4 Gallon Forecast'!H335+'D6 Gallon Forecast'!H267</f>
        <v>192991</v>
      </c>
      <c r="I190" s="42">
        <f>'D4 Gallon Forecast'!I335+'D6 Gallon Forecast'!I267</f>
        <v>68957</v>
      </c>
      <c r="J190" s="42">
        <f>'D4 Gallon Forecast'!J335+'D6 Gallon Forecast'!J267</f>
        <v>152783</v>
      </c>
      <c r="K190" s="42">
        <f>'D4 Gallon Forecast'!K335+'D6 Gallon Forecast'!K267</f>
        <v>91175</v>
      </c>
      <c r="L190" s="42">
        <f>'D4 Gallon Forecast'!L335+'D6 Gallon Forecast'!L267</f>
        <v>188201</v>
      </c>
      <c r="M190" s="42">
        <f>'D4 Gallon Forecast'!M335+'D6 Gallon Forecast'!M267</f>
        <v>403482</v>
      </c>
      <c r="N190" s="42">
        <f>'D4 Gallon Forecast'!N335+'D6 Gallon Forecast'!N267</f>
        <v>152226</v>
      </c>
      <c r="O190" s="42">
        <f>'D4 Gallon Forecast'!O335+'D6 Gallon Forecast'!O267</f>
        <v>449778</v>
      </c>
      <c r="P190" s="42">
        <f>'D4 Gallon Forecast'!P335+'D6 Gallon Forecast'!P267</f>
        <v>3655714</v>
      </c>
      <c r="Q190" s="43">
        <f>'D4 Gallon Forecast'!Q335+'D6 Gallon Forecast'!Q267</f>
        <v>20123971.125173315</v>
      </c>
      <c r="R190" s="43">
        <f>'D4 Gallon Forecast'!R335+'D6 Gallon Forecast'!R267</f>
        <v>48164797.349602126</v>
      </c>
      <c r="S190" s="43">
        <f>'D4 Gallon Forecast'!S335+'D6 Gallon Forecast'!S267</f>
        <v>133043937.76577485</v>
      </c>
      <c r="T190" s="43">
        <f>'D4 Gallon Forecast'!T335+'D6 Gallon Forecast'!T267</f>
        <v>174602860.39938071</v>
      </c>
      <c r="U190" s="43">
        <f>'D4 Gallon Forecast'!U335+'D6 Gallon Forecast'!U267</f>
        <v>225879709.25137934</v>
      </c>
      <c r="V190" s="43">
        <f>'D4 Gallon Forecast'!V335+'D6 Gallon Forecast'!V267</f>
        <v>307527381.62205279</v>
      </c>
      <c r="W190" s="43">
        <f>'D4 Gallon Forecast'!W335+'D6 Gallon Forecast'!W267</f>
        <v>355278001.20339346</v>
      </c>
      <c r="X190" s="43">
        <f>'D4 Gallon Forecast'!X335+'D6 Gallon Forecast'!X267</f>
        <v>445595739.02338171</v>
      </c>
      <c r="Y190" s="43">
        <f>'D4 Gallon Forecast'!Y335+'D6 Gallon Forecast'!Y267</f>
        <v>465404449.19100988</v>
      </c>
      <c r="Z190" s="43">
        <f>'D4 Gallon Forecast'!Z335+'D6 Gallon Forecast'!Z267</f>
        <v>505792693.43018126</v>
      </c>
      <c r="AA190" s="43">
        <f>'D4 Gallon Forecast'!AA335+'D6 Gallon Forecast'!AA267</f>
        <v>528621390.94683194</v>
      </c>
      <c r="AB190" s="43">
        <f>'D4 Gallon Forecast'!AB335+'D6 Gallon Forecast'!AB267</f>
        <v>408354490.67827815</v>
      </c>
      <c r="AC190" s="43">
        <f>'D4 Gallon Forecast'!AC335+'D6 Gallon Forecast'!AC267</f>
        <v>444815499.4983936</v>
      </c>
      <c r="AD190" s="43">
        <f>'D4 Gallon Forecast'!AD335+'D6 Gallon Forecast'!AD267</f>
        <v>499806183.71295327</v>
      </c>
      <c r="AE190" s="43">
        <f>'D4 Gallon Forecast'!AE335+'D6 Gallon Forecast'!AE267</f>
        <v>498563868.8264128</v>
      </c>
      <c r="AF190" s="43">
        <f>'D4 Gallon Forecast'!AF335+'D6 Gallon Forecast'!AF267</f>
        <v>495413625.3095938</v>
      </c>
      <c r="AG190" s="43">
        <f>'D4 Gallon Forecast'!AG335+'D6 Gallon Forecast'!AG267</f>
        <v>516712549.78378665</v>
      </c>
      <c r="AH190" s="43">
        <f>'D4 Gallon Forecast'!AH335+'D6 Gallon Forecast'!AH267</f>
        <v>533466114.97746742</v>
      </c>
      <c r="AI190" s="43">
        <f>'D4 Gallon Forecast'!AI335+'D6 Gallon Forecast'!AI267</f>
        <v>545728418.89480829</v>
      </c>
      <c r="AJ190" s="43">
        <f>'D4 Gallon Forecast'!AJ335+'D6 Gallon Forecast'!AJ267</f>
        <v>551962576.0185771</v>
      </c>
      <c r="AK190" s="43">
        <f>'D4 Gallon Forecast'!AK335+'D6 Gallon Forecast'!AK267</f>
        <v>568362351.65299749</v>
      </c>
      <c r="AL190" s="43">
        <f>'D4 Gallon Forecast'!AL335+'D6 Gallon Forecast'!AL267</f>
        <v>599479440.28035152</v>
      </c>
      <c r="AM190" s="43">
        <f>'D4 Gallon Forecast'!AM335+'D6 Gallon Forecast'!AM267</f>
        <v>621126869.43814158</v>
      </c>
      <c r="AN190" s="43">
        <f>'D4 Gallon Forecast'!AN335+'D6 Gallon Forecast'!AN267</f>
        <v>621837557.27874005</v>
      </c>
      <c r="AO190" s="43">
        <f>'D4 Gallon Forecast'!AO335+'D6 Gallon Forecast'!AO267</f>
        <v>620798103.85034108</v>
      </c>
      <c r="AP190" s="43">
        <f>'D4 Gallon Forecast'!AP335+'D6 Gallon Forecast'!AP267</f>
        <v>635392015.41745877</v>
      </c>
      <c r="AQ190" s="43">
        <f>'D4 Gallon Forecast'!AQ335+'D6 Gallon Forecast'!AQ267</f>
        <v>713343424.30068684</v>
      </c>
      <c r="AR190" s="43"/>
    </row>
    <row r="191" spans="1:44">
      <c r="A191" s="40" t="s">
        <v>54</v>
      </c>
      <c r="B191" s="42">
        <f>'D4 Gallon Forecast'!B336+'D6 Gallon Forecast'!B268</f>
        <v>0</v>
      </c>
      <c r="C191" s="42">
        <f>'D4 Gallon Forecast'!C336+'D6 Gallon Forecast'!C268</f>
        <v>0</v>
      </c>
      <c r="D191" s="42">
        <f>'D4 Gallon Forecast'!D336+'D6 Gallon Forecast'!D268</f>
        <v>0</v>
      </c>
      <c r="E191" s="42">
        <f>'D4 Gallon Forecast'!E336+'D6 Gallon Forecast'!E268</f>
        <v>0</v>
      </c>
      <c r="F191" s="42">
        <f>'D4 Gallon Forecast'!F336+'D6 Gallon Forecast'!F268</f>
        <v>0</v>
      </c>
      <c r="G191" s="42">
        <f>'D4 Gallon Forecast'!G336+'D6 Gallon Forecast'!G268</f>
        <v>0</v>
      </c>
      <c r="H191" s="42">
        <f>'D4 Gallon Forecast'!H336+'D6 Gallon Forecast'!H268</f>
        <v>178772</v>
      </c>
      <c r="I191" s="42">
        <f>'D4 Gallon Forecast'!I336+'D6 Gallon Forecast'!I268</f>
        <v>201266</v>
      </c>
      <c r="J191" s="42">
        <f>'D4 Gallon Forecast'!J336+'D6 Gallon Forecast'!J268</f>
        <v>272240</v>
      </c>
      <c r="K191" s="42">
        <f>'D4 Gallon Forecast'!K336+'D6 Gallon Forecast'!K268</f>
        <v>137333</v>
      </c>
      <c r="L191" s="42">
        <f>'D4 Gallon Forecast'!L336+'D6 Gallon Forecast'!L268</f>
        <v>194662</v>
      </c>
      <c r="M191" s="42">
        <f>'D4 Gallon Forecast'!M336+'D6 Gallon Forecast'!M268</f>
        <v>308503</v>
      </c>
      <c r="N191" s="42">
        <f>'D4 Gallon Forecast'!N336+'D6 Gallon Forecast'!N268</f>
        <v>1543846</v>
      </c>
      <c r="O191" s="42">
        <f>'D4 Gallon Forecast'!O336+'D6 Gallon Forecast'!O268</f>
        <v>2436526</v>
      </c>
      <c r="P191" s="42">
        <f>'D4 Gallon Forecast'!P336+'D6 Gallon Forecast'!P268</f>
        <v>5564685</v>
      </c>
      <c r="Q191" s="43">
        <f>'D4 Gallon Forecast'!Q336+'D6 Gallon Forecast'!Q268</f>
        <v>17062339.941113248</v>
      </c>
      <c r="R191" s="43">
        <f>'D4 Gallon Forecast'!R336+'D6 Gallon Forecast'!R268</f>
        <v>43520641.180795692</v>
      </c>
      <c r="S191" s="43">
        <f>'D4 Gallon Forecast'!S336+'D6 Gallon Forecast'!S268</f>
        <v>119092501.60839956</v>
      </c>
      <c r="T191" s="43">
        <f>'D4 Gallon Forecast'!T336+'D6 Gallon Forecast'!T268</f>
        <v>157005083.24319091</v>
      </c>
      <c r="U191" s="43">
        <f>'D4 Gallon Forecast'!U336+'D6 Gallon Forecast'!U268</f>
        <v>203358520.52710912</v>
      </c>
      <c r="V191" s="43">
        <f>'D4 Gallon Forecast'!V336+'D6 Gallon Forecast'!V268</f>
        <v>276075783.68819708</v>
      </c>
      <c r="W191" s="43">
        <f>'D4 Gallon Forecast'!W336+'D6 Gallon Forecast'!W268</f>
        <v>319237069.65708202</v>
      </c>
      <c r="X191" s="43">
        <f>'D4 Gallon Forecast'!X336+'D6 Gallon Forecast'!X268</f>
        <v>400302653.62388659</v>
      </c>
      <c r="Y191" s="43">
        <f>'D4 Gallon Forecast'!Y336+'D6 Gallon Forecast'!Y268</f>
        <v>418238282.08050859</v>
      </c>
      <c r="Z191" s="43">
        <f>'D4 Gallon Forecast'!Z336+'D6 Gallon Forecast'!Z268</f>
        <v>454506628.32126623</v>
      </c>
      <c r="AA191" s="43">
        <f>'D4 Gallon Forecast'!AA336+'D6 Gallon Forecast'!AA268</f>
        <v>474936299.98842728</v>
      </c>
      <c r="AB191" s="43">
        <f>'D4 Gallon Forecast'!AB336+'D6 Gallon Forecast'!AB268</f>
        <v>366915672.78283215</v>
      </c>
      <c r="AC191" s="43">
        <f>'D4 Gallon Forecast'!AC336+'D6 Gallon Forecast'!AC268</f>
        <v>399673796.39598131</v>
      </c>
      <c r="AD191" s="43">
        <f>'D4 Gallon Forecast'!AD336+'D6 Gallon Forecast'!AD268</f>
        <v>449099730.41624707</v>
      </c>
      <c r="AE191" s="43">
        <f>'D4 Gallon Forecast'!AE336+'D6 Gallon Forecast'!AE268</f>
        <v>447974187.91155297</v>
      </c>
      <c r="AF191" s="43">
        <f>'D4 Gallon Forecast'!AF336+'D6 Gallon Forecast'!AF268</f>
        <v>445136769.02387118</v>
      </c>
      <c r="AG191" s="43">
        <f>'D4 Gallon Forecast'!AG336+'D6 Gallon Forecast'!AG268</f>
        <v>464280954.23693538</v>
      </c>
      <c r="AH191" s="43">
        <f>'D4 Gallon Forecast'!AH336+'D6 Gallon Forecast'!AH268</f>
        <v>479334886.1594367</v>
      </c>
      <c r="AI191" s="43">
        <f>'D4 Gallon Forecast'!AI336+'D6 Gallon Forecast'!AI268</f>
        <v>490353846.55170214</v>
      </c>
      <c r="AJ191" s="43">
        <f>'D4 Gallon Forecast'!AJ336+'D6 Gallon Forecast'!AJ268</f>
        <v>495953320.5968008</v>
      </c>
      <c r="AK191" s="43">
        <f>'D4 Gallon Forecast'!AK336+'D6 Gallon Forecast'!AK268</f>
        <v>510688610.56693208</v>
      </c>
      <c r="AL191" s="43">
        <f>'D4 Gallon Forecast'!AL336+'D6 Gallon Forecast'!AL268</f>
        <v>538649305.60635626</v>
      </c>
      <c r="AM191" s="43">
        <f>'D4 Gallon Forecast'!AM336+'D6 Gallon Forecast'!AM268</f>
        <v>558100124.34282148</v>
      </c>
      <c r="AN191" s="43">
        <f>'D4 Gallon Forecast'!AN336+'D6 Gallon Forecast'!AN268</f>
        <v>558738603.15538108</v>
      </c>
      <c r="AO191" s="43">
        <f>'D4 Gallon Forecast'!AO336+'D6 Gallon Forecast'!AO268</f>
        <v>557804320.40282571</v>
      </c>
      <c r="AP191" s="43">
        <f>'D4 Gallon Forecast'!AP336+'D6 Gallon Forecast'!AP268</f>
        <v>570917432.02633893</v>
      </c>
      <c r="AQ191" s="43">
        <f>'D4 Gallon Forecast'!AQ336+'D6 Gallon Forecast'!AQ268</f>
        <v>640959129.47048831</v>
      </c>
      <c r="AR191" s="43"/>
    </row>
    <row r="192" spans="1:44" ht="12" thickBot="1">
      <c r="A192" s="48" t="s">
        <v>29</v>
      </c>
      <c r="B192" s="49">
        <f t="shared" ref="B192:Y192" si="85">SUM(B180:B191)</f>
        <v>0</v>
      </c>
      <c r="C192" s="49">
        <f t="shared" si="85"/>
        <v>0</v>
      </c>
      <c r="D192" s="49">
        <f t="shared" si="85"/>
        <v>0</v>
      </c>
      <c r="E192" s="49">
        <f t="shared" si="85"/>
        <v>0</v>
      </c>
      <c r="F192" s="49">
        <f t="shared" si="85"/>
        <v>0</v>
      </c>
      <c r="G192" s="49">
        <f t="shared" si="85"/>
        <v>0</v>
      </c>
      <c r="H192" s="49">
        <f t="shared" si="85"/>
        <v>783646</v>
      </c>
      <c r="I192" s="49">
        <f t="shared" si="85"/>
        <v>1711017</v>
      </c>
      <c r="J192" s="49">
        <f t="shared" si="85"/>
        <v>1828178</v>
      </c>
      <c r="K192" s="49">
        <f t="shared" si="85"/>
        <v>2428702</v>
      </c>
      <c r="L192" s="49">
        <f t="shared" si="85"/>
        <v>4608399</v>
      </c>
      <c r="M192" s="49">
        <f t="shared" si="85"/>
        <v>5076623</v>
      </c>
      <c r="N192" s="49">
        <f t="shared" si="85"/>
        <v>15819877</v>
      </c>
      <c r="O192" s="49">
        <f t="shared" si="85"/>
        <v>26300097</v>
      </c>
      <c r="P192" s="49">
        <f t="shared" si="85"/>
        <v>111859310</v>
      </c>
      <c r="Q192" s="50">
        <f t="shared" si="85"/>
        <v>199544849.77585417</v>
      </c>
      <c r="R192" s="50">
        <f t="shared" si="85"/>
        <v>506973447.51700842</v>
      </c>
      <c r="S192" s="50">
        <f t="shared" si="85"/>
        <v>1391275926.240958</v>
      </c>
      <c r="T192" s="50">
        <f t="shared" si="85"/>
        <v>1822933985.5028818</v>
      </c>
      <c r="U192" s="50">
        <f t="shared" si="85"/>
        <v>2375931690.9541168</v>
      </c>
      <c r="V192" s="50">
        <f t="shared" si="85"/>
        <v>3211344302.6346588</v>
      </c>
      <c r="W192" s="50">
        <f t="shared" si="85"/>
        <v>3713997976.9591808</v>
      </c>
      <c r="X192" s="50">
        <f t="shared" si="85"/>
        <v>4652809727.3923969</v>
      </c>
      <c r="Y192" s="50">
        <f t="shared" si="85"/>
        <v>4859432478.8126516</v>
      </c>
      <c r="Z192" s="50">
        <f>SUM(Z180:Z191)</f>
        <v>5281948378.1975994</v>
      </c>
      <c r="AA192" s="50">
        <f>SUM(AA180:AA191)</f>
        <v>5518016093.4527254</v>
      </c>
      <c r="AB192" s="50">
        <f t="shared" ref="AB192:AQ192" si="86">SUM(AB180:AB191)</f>
        <v>4266137855.4501648</v>
      </c>
      <c r="AC192" s="50">
        <f t="shared" si="86"/>
        <v>4645709430.6949425</v>
      </c>
      <c r="AD192" s="50">
        <f t="shared" si="86"/>
        <v>5218424954.6126175</v>
      </c>
      <c r="AE192" s="50">
        <f t="shared" si="86"/>
        <v>5203839370.6424284</v>
      </c>
      <c r="AF192" s="50">
        <f t="shared" si="86"/>
        <v>5170171339.4643345</v>
      </c>
      <c r="AG192" s="50">
        <f t="shared" si="86"/>
        <v>5392342464.6620169</v>
      </c>
      <c r="AH192" s="50">
        <f t="shared" si="86"/>
        <v>5567151737.2504787</v>
      </c>
      <c r="AI192" s="50">
        <f t="shared" si="86"/>
        <v>5695093705.7201214</v>
      </c>
      <c r="AJ192" s="50">
        <f t="shared" si="86"/>
        <v>5760136815.4347754</v>
      </c>
      <c r="AK192" s="50">
        <f t="shared" si="86"/>
        <v>5931275417.8713293</v>
      </c>
      <c r="AL192" s="50">
        <f t="shared" si="86"/>
        <v>6256035650.7877865</v>
      </c>
      <c r="AM192" s="50">
        <f t="shared" si="86"/>
        <v>6481933723.3978128</v>
      </c>
      <c r="AN192" s="50">
        <f t="shared" si="86"/>
        <v>6489344908.4954033</v>
      </c>
      <c r="AO192" s="50">
        <f t="shared" si="86"/>
        <v>6478496340.6966381</v>
      </c>
      <c r="AP192" s="50">
        <f t="shared" si="86"/>
        <v>6630796675.0436459</v>
      </c>
      <c r="AQ192" s="50">
        <f t="shared" si="86"/>
        <v>7444282313.6806059</v>
      </c>
      <c r="AR192" s="43"/>
    </row>
    <row r="193" spans="1:45">
      <c r="A193" s="51"/>
      <c r="B193" s="51"/>
      <c r="C193" s="51"/>
      <c r="D193" s="51"/>
      <c r="E193" s="51"/>
      <c r="F193" s="51"/>
      <c r="G193" s="51"/>
      <c r="H193" s="51"/>
      <c r="I193" s="51"/>
      <c r="J193" s="51"/>
      <c r="K193" s="51"/>
      <c r="L193" s="51"/>
      <c r="M193" s="52">
        <f t="shared" ref="M193" si="87">M187/M186-1</f>
        <v>-0.3394757761679682</v>
      </c>
      <c r="N193" s="53"/>
      <c r="O193" s="54"/>
      <c r="P193" s="54"/>
      <c r="Q193" s="53"/>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row>
    <row r="194" spans="1:45" ht="12" thickBot="1">
      <c r="A194" s="39" t="s">
        <v>110</v>
      </c>
    </row>
    <row r="195" spans="1:45" ht="12" thickBot="1">
      <c r="A195" s="41" t="s">
        <v>111</v>
      </c>
      <c r="B195" s="41" t="s">
        <v>112</v>
      </c>
      <c r="C195" s="41" t="s">
        <v>113</v>
      </c>
      <c r="D195" s="41" t="s">
        <v>114</v>
      </c>
      <c r="E195" s="41" t="s">
        <v>115</v>
      </c>
      <c r="F195" s="41" t="s">
        <v>116</v>
      </c>
      <c r="G195" s="41" t="s">
        <v>117</v>
      </c>
      <c r="H195" s="41" t="s">
        <v>118</v>
      </c>
      <c r="I195" s="41" t="s">
        <v>119</v>
      </c>
      <c r="J195" s="41" t="s">
        <v>120</v>
      </c>
      <c r="K195" s="41" t="s">
        <v>121</v>
      </c>
      <c r="L195" s="41" t="s">
        <v>122</v>
      </c>
      <c r="M195" s="41" t="s">
        <v>123</v>
      </c>
      <c r="N195" s="41" t="s">
        <v>124</v>
      </c>
      <c r="O195" s="41" t="s">
        <v>125</v>
      </c>
      <c r="P195" s="41" t="s">
        <v>126</v>
      </c>
      <c r="Q195" s="41" t="s">
        <v>127</v>
      </c>
      <c r="R195" s="41" t="s">
        <v>128</v>
      </c>
      <c r="S195" s="41" t="s">
        <v>129</v>
      </c>
      <c r="T195" s="41" t="s">
        <v>130</v>
      </c>
      <c r="U195" s="41" t="s">
        <v>131</v>
      </c>
      <c r="V195" s="41" t="s">
        <v>132</v>
      </c>
      <c r="W195" s="41" t="s">
        <v>133</v>
      </c>
      <c r="X195" s="41" t="s">
        <v>134</v>
      </c>
      <c r="Y195" s="41">
        <f>Y2</f>
        <v>2033</v>
      </c>
      <c r="Z195" s="41">
        <f t="shared" ref="Z195:AQ195" si="88">Z2</f>
        <v>2034</v>
      </c>
      <c r="AA195" s="41">
        <f t="shared" si="88"/>
        <v>2035</v>
      </c>
      <c r="AB195" s="41">
        <f t="shared" si="88"/>
        <v>2036</v>
      </c>
      <c r="AC195" s="41">
        <f t="shared" si="88"/>
        <v>2037</v>
      </c>
      <c r="AD195" s="41">
        <f t="shared" si="88"/>
        <v>2038</v>
      </c>
      <c r="AE195" s="41">
        <f t="shared" si="88"/>
        <v>2039</v>
      </c>
      <c r="AF195" s="41">
        <f t="shared" si="88"/>
        <v>2040</v>
      </c>
      <c r="AG195" s="41">
        <f t="shared" si="88"/>
        <v>2041</v>
      </c>
      <c r="AH195" s="41">
        <f t="shared" si="88"/>
        <v>2042</v>
      </c>
      <c r="AI195" s="41">
        <f t="shared" si="88"/>
        <v>2043</v>
      </c>
      <c r="AJ195" s="41">
        <f t="shared" si="88"/>
        <v>2044</v>
      </c>
      <c r="AK195" s="41">
        <f t="shared" si="88"/>
        <v>2045</v>
      </c>
      <c r="AL195" s="41">
        <f t="shared" si="88"/>
        <v>2046</v>
      </c>
      <c r="AM195" s="41">
        <f t="shared" si="88"/>
        <v>2047</v>
      </c>
      <c r="AN195" s="41">
        <f t="shared" si="88"/>
        <v>2048</v>
      </c>
      <c r="AO195" s="41">
        <f t="shared" si="88"/>
        <v>2049</v>
      </c>
      <c r="AP195" s="41">
        <f t="shared" si="88"/>
        <v>2050</v>
      </c>
      <c r="AQ195" s="41">
        <f t="shared" si="88"/>
        <v>2051</v>
      </c>
    </row>
    <row r="196" spans="1:45">
      <c r="A196" s="40" t="s">
        <v>43</v>
      </c>
      <c r="B196" s="42">
        <f>'D4 Gallon Forecast'!B341+'D4 Gallon Forecast'!B357+'D6 Gallon Forecast'!B273</f>
        <v>0</v>
      </c>
      <c r="C196" s="42">
        <f>'D4 Gallon Forecast'!C341+'D4 Gallon Forecast'!C357+'D6 Gallon Forecast'!C273</f>
        <v>0</v>
      </c>
      <c r="D196" s="42">
        <f>'D4 Gallon Forecast'!D341+'D4 Gallon Forecast'!D357+'D6 Gallon Forecast'!D273</f>
        <v>0</v>
      </c>
      <c r="E196" s="42">
        <f>'D4 Gallon Forecast'!E341+'D4 Gallon Forecast'!E357+'D6 Gallon Forecast'!E273</f>
        <v>0</v>
      </c>
      <c r="F196" s="42">
        <f>'D4 Gallon Forecast'!F341+'D4 Gallon Forecast'!F357+'D6 Gallon Forecast'!F273</f>
        <v>0</v>
      </c>
      <c r="G196" s="42">
        <f>'D4 Gallon Forecast'!G341+'D4 Gallon Forecast'!G357+'D6 Gallon Forecast'!G273</f>
        <v>0</v>
      </c>
      <c r="H196" s="42">
        <f>'D4 Gallon Forecast'!H341+'D4 Gallon Forecast'!H357+'D6 Gallon Forecast'!H273</f>
        <v>0</v>
      </c>
      <c r="I196" s="42">
        <f>'D4 Gallon Forecast'!I341+'D4 Gallon Forecast'!I357+'D6 Gallon Forecast'!I273</f>
        <v>210331</v>
      </c>
      <c r="J196" s="42">
        <f>'D4 Gallon Forecast'!J341+'D4 Gallon Forecast'!J357+'D6 Gallon Forecast'!J273</f>
        <v>139714</v>
      </c>
      <c r="K196" s="42">
        <f>'D4 Gallon Forecast'!K341+'D4 Gallon Forecast'!K357+'D6 Gallon Forecast'!K273</f>
        <v>194630</v>
      </c>
      <c r="L196" s="42">
        <f>'D4 Gallon Forecast'!L341+'D4 Gallon Forecast'!L357+'D6 Gallon Forecast'!L273</f>
        <v>41590</v>
      </c>
      <c r="M196" s="42">
        <f>'D4 Gallon Forecast'!M341+'D4 Gallon Forecast'!M357+'D6 Gallon Forecast'!M273</f>
        <v>289825</v>
      </c>
      <c r="N196" s="42">
        <f>'D4 Gallon Forecast'!N341+'D4 Gallon Forecast'!N357+'D6 Gallon Forecast'!N273</f>
        <v>402120</v>
      </c>
      <c r="O196" s="42">
        <f>'D4 Gallon Forecast'!O341+'D4 Gallon Forecast'!O357+'D6 Gallon Forecast'!O273</f>
        <v>100937</v>
      </c>
      <c r="P196" s="42">
        <f>'D4 Gallon Forecast'!P341+'D4 Gallon Forecast'!P357+'D6 Gallon Forecast'!P273</f>
        <v>833897</v>
      </c>
      <c r="Q196" s="42">
        <f>'D4 Gallon Forecast'!Q341+'D4 Gallon Forecast'!Q357+'D6 Gallon Forecast'!Q273</f>
        <v>8475344</v>
      </c>
      <c r="R196" s="43">
        <f>'D4 Gallon Forecast'!R341+'D4 Gallon Forecast'!R357+'D6 Gallon Forecast'!R273</f>
        <v>23893126.179649942</v>
      </c>
      <c r="S196" s="43">
        <f>'D4 Gallon Forecast'!S341+'D4 Gallon Forecast'!S357+'D6 Gallon Forecast'!S273</f>
        <v>68451166.585377201</v>
      </c>
      <c r="T196" s="43">
        <f>'D4 Gallon Forecast'!T341+'D4 Gallon Forecast'!T357+'D6 Gallon Forecast'!T273</f>
        <v>89387901.643266886</v>
      </c>
      <c r="U196" s="43">
        <f>'D4 Gallon Forecast'!U341+'D4 Gallon Forecast'!U357+'D6 Gallon Forecast'!U273</f>
        <v>117385330.87423706</v>
      </c>
      <c r="V196" s="43">
        <f>'D4 Gallon Forecast'!V341+'D4 Gallon Forecast'!V357+'D6 Gallon Forecast'!V273</f>
        <v>159261725.44323626</v>
      </c>
      <c r="W196" s="43">
        <f>'D4 Gallon Forecast'!W341+'D4 Gallon Forecast'!W357+'D6 Gallon Forecast'!W273</f>
        <v>185466582.8150773</v>
      </c>
      <c r="X196" s="43">
        <f>'D4 Gallon Forecast'!X341+'D4 Gallon Forecast'!X357+'D6 Gallon Forecast'!X273</f>
        <v>234587648.48402637</v>
      </c>
      <c r="Y196" s="43">
        <f>'D4 Gallon Forecast'!Y341+'D4 Gallon Forecast'!Y357+'D6 Gallon Forecast'!Y273</f>
        <v>245012961.90866026</v>
      </c>
      <c r="Z196" s="43">
        <f>'D4 Gallon Forecast'!Z341+'D4 Gallon Forecast'!Z357+'D6 Gallon Forecast'!Z273</f>
        <v>266411351.41822481</v>
      </c>
      <c r="AA196" s="43">
        <f>'D4 Gallon Forecast'!AA341+'D4 Gallon Forecast'!AA357+'D6 Gallon Forecast'!AA273</f>
        <v>278358621.71511191</v>
      </c>
      <c r="AB196" s="43">
        <f>'D4 Gallon Forecast'!AB341+'D4 Gallon Forecast'!AB357+'D6 Gallon Forecast'!AB273</f>
        <v>214097894.14772648</v>
      </c>
      <c r="AC196" s="43">
        <f>'D4 Gallon Forecast'!AC341+'D4 Gallon Forecast'!AC357+'D6 Gallon Forecast'!AC273</f>
        <v>233718178.31806746</v>
      </c>
      <c r="AD196" s="43">
        <f>'D4 Gallon Forecast'!AD341+'D4 Gallon Forecast'!AD357+'D6 Gallon Forecast'!AD273</f>
        <v>263183367.04348183</v>
      </c>
      <c r="AE196" s="43">
        <f>'D4 Gallon Forecast'!AE341+'D4 Gallon Forecast'!AE357+'D6 Gallon Forecast'!AE273</f>
        <v>263103099.37063354</v>
      </c>
      <c r="AF196" s="43">
        <f>'D4 Gallon Forecast'!AF341+'D4 Gallon Forecast'!AF357+'D6 Gallon Forecast'!AF273</f>
        <v>261654578.54580531</v>
      </c>
      <c r="AG196" s="43">
        <f>'D4 Gallon Forecast'!AG341+'D4 Gallon Forecast'!AG357+'D6 Gallon Forecast'!AG273</f>
        <v>273020100.644651</v>
      </c>
      <c r="AH196" s="43">
        <f>'D4 Gallon Forecast'!AH341+'D4 Gallon Forecast'!AH357+'D6 Gallon Forecast'!AH273</f>
        <v>281873905.02968735</v>
      </c>
      <c r="AI196" s="43">
        <f>'D4 Gallon Forecast'!AI341+'D4 Gallon Forecast'!AI357+'D6 Gallon Forecast'!AI273</f>
        <v>288354734.98635715</v>
      </c>
      <c r="AJ196" s="43">
        <f>'D4 Gallon Forecast'!AJ341+'D4 Gallon Forecast'!AJ357+'D6 Gallon Forecast'!AJ273</f>
        <v>291649181.10102969</v>
      </c>
      <c r="AK196" s="43">
        <f>'D4 Gallon Forecast'!AK341+'D4 Gallon Forecast'!AK357+'D6 Gallon Forecast'!AK273</f>
        <v>300312804.89545679</v>
      </c>
      <c r="AL196" s="43">
        <f>'D4 Gallon Forecast'!AL341+'D4 Gallon Forecast'!AL357+'D6 Gallon Forecast'!AL273</f>
        <v>316754724.74837255</v>
      </c>
      <c r="AM196" s="43">
        <f>'D4 Gallon Forecast'!AM341+'D4 Gallon Forecast'!AM357+'D6 Gallon Forecast'!AM273</f>
        <v>328193303.39483994</v>
      </c>
      <c r="AN196" s="43">
        <f>'D4 Gallon Forecast'!AN341+'D4 Gallon Forecast'!AN357+'D6 Gallon Forecast'!AN273</f>
        <v>328569010.11343735</v>
      </c>
      <c r="AO196" s="43">
        <f>'D4 Gallon Forecast'!AO341+'D4 Gallon Forecast'!AO357+'D6 Gallon Forecast'!AO273</f>
        <v>328019659.05087328</v>
      </c>
      <c r="AP196" s="43">
        <f>'D4 Gallon Forecast'!AP341+'D4 Gallon Forecast'!AP357+'D6 Gallon Forecast'!AP273</f>
        <v>335730614.99024582</v>
      </c>
      <c r="AQ196" s="43">
        <f>'D4 Gallon Forecast'!AQ341+'D4 Gallon Forecast'!AQ357+'D6 Gallon Forecast'!AQ273</f>
        <v>376918950.81091923</v>
      </c>
      <c r="AR196" s="43"/>
      <c r="AS196" s="55">
        <f>P196/O207-1</f>
        <v>5.3016950177209834</v>
      </c>
    </row>
    <row r="197" spans="1:45">
      <c r="A197" s="40" t="s">
        <v>44</v>
      </c>
      <c r="B197" s="42">
        <f>'D4 Gallon Forecast'!B342+'D4 Gallon Forecast'!B358+'D6 Gallon Forecast'!B274</f>
        <v>0</v>
      </c>
      <c r="C197" s="42">
        <f>'D4 Gallon Forecast'!C342+'D4 Gallon Forecast'!C358+'D6 Gallon Forecast'!C274</f>
        <v>0</v>
      </c>
      <c r="D197" s="42">
        <f>'D4 Gallon Forecast'!D342+'D4 Gallon Forecast'!D358+'D6 Gallon Forecast'!D274</f>
        <v>0</v>
      </c>
      <c r="E197" s="42">
        <f>'D4 Gallon Forecast'!E342+'D4 Gallon Forecast'!E358+'D6 Gallon Forecast'!E274</f>
        <v>0</v>
      </c>
      <c r="F197" s="42">
        <f>'D4 Gallon Forecast'!F342+'D4 Gallon Forecast'!F358+'D6 Gallon Forecast'!F274</f>
        <v>0</v>
      </c>
      <c r="G197" s="42">
        <f>'D4 Gallon Forecast'!G342+'D4 Gallon Forecast'!G358+'D6 Gallon Forecast'!G274</f>
        <v>0</v>
      </c>
      <c r="H197" s="42">
        <f>'D4 Gallon Forecast'!H342+'D4 Gallon Forecast'!H358+'D6 Gallon Forecast'!H274</f>
        <v>0</v>
      </c>
      <c r="I197" s="42">
        <f>'D4 Gallon Forecast'!I342+'D4 Gallon Forecast'!I358+'D6 Gallon Forecast'!I274</f>
        <v>190622</v>
      </c>
      <c r="J197" s="42">
        <f>'D4 Gallon Forecast'!J342+'D4 Gallon Forecast'!J358+'D6 Gallon Forecast'!J274</f>
        <v>237996</v>
      </c>
      <c r="K197" s="42">
        <f>'D4 Gallon Forecast'!K342+'D4 Gallon Forecast'!K358+'D6 Gallon Forecast'!K274</f>
        <v>187609</v>
      </c>
      <c r="L197" s="42">
        <f>'D4 Gallon Forecast'!L342+'D4 Gallon Forecast'!L358+'D6 Gallon Forecast'!L274</f>
        <v>0</v>
      </c>
      <c r="M197" s="42">
        <f>'D4 Gallon Forecast'!M342+'D4 Gallon Forecast'!M358+'D6 Gallon Forecast'!M274</f>
        <v>294725</v>
      </c>
      <c r="N197" s="42">
        <f>'D4 Gallon Forecast'!N342+'D4 Gallon Forecast'!N358+'D6 Gallon Forecast'!N274</f>
        <v>1108870</v>
      </c>
      <c r="O197" s="42">
        <f>'D4 Gallon Forecast'!O342+'D4 Gallon Forecast'!O358+'D6 Gallon Forecast'!O274</f>
        <v>1578596</v>
      </c>
      <c r="P197" s="42">
        <f>'D4 Gallon Forecast'!P342+'D4 Gallon Forecast'!P358+'D6 Gallon Forecast'!P274</f>
        <v>1254939</v>
      </c>
      <c r="Q197" s="42">
        <f>'D4 Gallon Forecast'!Q342+'D4 Gallon Forecast'!Q358+'D6 Gallon Forecast'!Q274</f>
        <v>15728119</v>
      </c>
      <c r="R197" s="43">
        <f>'D4 Gallon Forecast'!R342+'D4 Gallon Forecast'!R358+'D6 Gallon Forecast'!R274</f>
        <v>45244644.57274276</v>
      </c>
      <c r="S197" s="43">
        <f>'D4 Gallon Forecast'!S342+'D4 Gallon Forecast'!S358+'D6 Gallon Forecast'!S274</f>
        <v>129885775.12177198</v>
      </c>
      <c r="T197" s="43">
        <f>'D4 Gallon Forecast'!T342+'D4 Gallon Forecast'!T358+'D6 Gallon Forecast'!T274</f>
        <v>170152013.0006552</v>
      </c>
      <c r="U197" s="43">
        <f>'D4 Gallon Forecast'!U342+'D4 Gallon Forecast'!U358+'D6 Gallon Forecast'!U274</f>
        <v>222593880.73946691</v>
      </c>
      <c r="V197" s="43">
        <f>'D4 Gallon Forecast'!V342+'D4 Gallon Forecast'!V358+'D6 Gallon Forecast'!V274</f>
        <v>302171663.15545493</v>
      </c>
      <c r="W197" s="43">
        <f>'D4 Gallon Forecast'!W342+'D4 Gallon Forecast'!W358+'D6 Gallon Forecast'!W274</f>
        <v>352033441.4087075</v>
      </c>
      <c r="X197" s="43">
        <f>'D4 Gallon Forecast'!X342+'D4 Gallon Forecast'!X358+'D6 Gallon Forecast'!X274</f>
        <v>445310372.95188993</v>
      </c>
      <c r="Y197" s="43">
        <f>'D4 Gallon Forecast'!Y342+'D4 Gallon Forecast'!Y358+'D6 Gallon Forecast'!Y274</f>
        <v>465116914.86002159</v>
      </c>
      <c r="Z197" s="43">
        <f>'D4 Gallon Forecast'!Z342+'D4 Gallon Forecast'!Z358+'D6 Gallon Forecast'!Z274</f>
        <v>505607053.25518018</v>
      </c>
      <c r="AA197" s="43">
        <f>'D4 Gallon Forecast'!AA342+'D4 Gallon Forecast'!AA358+'D6 Gallon Forecast'!AA274</f>
        <v>528328342.24558318</v>
      </c>
      <c r="AB197" s="43">
        <f>'D4 Gallon Forecast'!AB342+'D4 Gallon Forecast'!AB358+'D6 Gallon Forecast'!AB274</f>
        <v>406379956.00577486</v>
      </c>
      <c r="AC197" s="43">
        <f>'D4 Gallon Forecast'!AC342+'D4 Gallon Forecast'!AC358+'D6 Gallon Forecast'!AC274</f>
        <v>443621535.19489545</v>
      </c>
      <c r="AD197" s="43">
        <f>'D4 Gallon Forecast'!AD342+'D4 Gallon Forecast'!AD358+'D6 Gallon Forecast'!AD274</f>
        <v>499541357.99300319</v>
      </c>
      <c r="AE197" s="43">
        <f>'D4 Gallon Forecast'!AE342+'D4 Gallon Forecast'!AE358+'D6 Gallon Forecast'!AE274</f>
        <v>499375527.98162818</v>
      </c>
      <c r="AF197" s="43">
        <f>'D4 Gallon Forecast'!AF342+'D4 Gallon Forecast'!AF358+'D6 Gallon Forecast'!AF274</f>
        <v>496636149.71817642</v>
      </c>
      <c r="AG197" s="43">
        <f>'D4 Gallon Forecast'!AG342+'D4 Gallon Forecast'!AG358+'D6 Gallon Forecast'!AG274</f>
        <v>518211486.68275392</v>
      </c>
      <c r="AH197" s="43">
        <f>'D4 Gallon Forecast'!AH342+'D4 Gallon Forecast'!AH358+'D6 Gallon Forecast'!AH274</f>
        <v>535015112.55638307</v>
      </c>
      <c r="AI197" s="43">
        <f>'D4 Gallon Forecast'!AI342+'D4 Gallon Forecast'!AI358+'D6 Gallon Forecast'!AI274</f>
        <v>547314188.6058799</v>
      </c>
      <c r="AJ197" s="43">
        <f>'D4 Gallon Forecast'!AJ342+'D4 Gallon Forecast'!AJ358+'D6 Gallon Forecast'!AJ274</f>
        <v>553566408.73780203</v>
      </c>
      <c r="AK197" s="43">
        <f>'D4 Gallon Forecast'!AK342+'D4 Gallon Forecast'!AK358+'D6 Gallon Forecast'!AK274</f>
        <v>570012347.69929874</v>
      </c>
      <c r="AL197" s="43">
        <f>'D4 Gallon Forecast'!AL342+'D4 Gallon Forecast'!AL358+'D6 Gallon Forecast'!AL274</f>
        <v>601220239.23310149</v>
      </c>
      <c r="AM197" s="43">
        <f>'D4 Gallon Forecast'!AM342+'D4 Gallon Forecast'!AM358+'D6 Gallon Forecast'!AM274</f>
        <v>622930866.45601022</v>
      </c>
      <c r="AN197" s="43">
        <f>'D4 Gallon Forecast'!AN342+'D4 Gallon Forecast'!AN358+'D6 Gallon Forecast'!AN274</f>
        <v>623643704.16930509</v>
      </c>
      <c r="AO197" s="43">
        <f>'D4 Gallon Forecast'!AO342+'D4 Gallon Forecast'!AO358+'D6 Gallon Forecast'!AO274</f>
        <v>622601088.24775302</v>
      </c>
      <c r="AP197" s="43">
        <f>'D4 Gallon Forecast'!AP342+'D4 Gallon Forecast'!AP358+'D6 Gallon Forecast'!AP274</f>
        <v>637237224.08494902</v>
      </c>
      <c r="AQ197" s="43">
        <f>'D4 Gallon Forecast'!AQ342+'D4 Gallon Forecast'!AQ358+'D6 Gallon Forecast'!AQ274</f>
        <v>715415135.40490758</v>
      </c>
      <c r="AR197" s="43"/>
      <c r="AS197" s="55">
        <f t="shared" ref="AS197:AS203" si="89">P197/P196-1</f>
        <v>0.5049088796338157</v>
      </c>
    </row>
    <row r="198" spans="1:45">
      <c r="A198" s="40" t="s">
        <v>45</v>
      </c>
      <c r="B198" s="42">
        <f>'D4 Gallon Forecast'!B343+'D4 Gallon Forecast'!B359+'D6 Gallon Forecast'!B275</f>
        <v>0</v>
      </c>
      <c r="C198" s="42">
        <f>'D4 Gallon Forecast'!C343+'D4 Gallon Forecast'!C359+'D6 Gallon Forecast'!C275</f>
        <v>0</v>
      </c>
      <c r="D198" s="42">
        <f>'D4 Gallon Forecast'!D343+'D4 Gallon Forecast'!D359+'D6 Gallon Forecast'!D275</f>
        <v>0</v>
      </c>
      <c r="E198" s="42">
        <f>'D4 Gallon Forecast'!E343+'D4 Gallon Forecast'!E359+'D6 Gallon Forecast'!E275</f>
        <v>0</v>
      </c>
      <c r="F198" s="42">
        <f>'D4 Gallon Forecast'!F343+'D4 Gallon Forecast'!F359+'D6 Gallon Forecast'!F275</f>
        <v>0</v>
      </c>
      <c r="G198" s="42">
        <f>'D4 Gallon Forecast'!G343+'D4 Gallon Forecast'!G359+'D6 Gallon Forecast'!G275</f>
        <v>0</v>
      </c>
      <c r="H198" s="42">
        <f>'D4 Gallon Forecast'!H343+'D4 Gallon Forecast'!H359+'D6 Gallon Forecast'!H275</f>
        <v>0</v>
      </c>
      <c r="I198" s="42">
        <f>'D4 Gallon Forecast'!I343+'D4 Gallon Forecast'!I359+'D6 Gallon Forecast'!I275</f>
        <v>184825</v>
      </c>
      <c r="J198" s="42">
        <f>'D4 Gallon Forecast'!J343+'D4 Gallon Forecast'!J359+'D6 Gallon Forecast'!J275</f>
        <v>103790</v>
      </c>
      <c r="K198" s="42">
        <f>'D4 Gallon Forecast'!K343+'D4 Gallon Forecast'!K359+'D6 Gallon Forecast'!K275</f>
        <v>183940</v>
      </c>
      <c r="L198" s="42">
        <f>'D4 Gallon Forecast'!L343+'D4 Gallon Forecast'!L359+'D6 Gallon Forecast'!L275</f>
        <v>280826</v>
      </c>
      <c r="M198" s="42">
        <f>'D4 Gallon Forecast'!M343+'D4 Gallon Forecast'!M359+'D6 Gallon Forecast'!M275</f>
        <v>288906</v>
      </c>
      <c r="N198" s="42">
        <f>'D4 Gallon Forecast'!N343+'D4 Gallon Forecast'!N359+'D6 Gallon Forecast'!N275</f>
        <v>1026537</v>
      </c>
      <c r="O198" s="42">
        <f>'D4 Gallon Forecast'!O343+'D4 Gallon Forecast'!O359+'D6 Gallon Forecast'!O275</f>
        <v>797170</v>
      </c>
      <c r="P198" s="42">
        <f>'D4 Gallon Forecast'!P343+'D4 Gallon Forecast'!P359+'D6 Gallon Forecast'!P275</f>
        <v>2119258</v>
      </c>
      <c r="Q198" s="42">
        <f>'D4 Gallon Forecast'!Q343+'D4 Gallon Forecast'!Q359+'D6 Gallon Forecast'!Q275</f>
        <v>3845015</v>
      </c>
      <c r="R198" s="43">
        <f>'D4 Gallon Forecast'!R343+'D4 Gallon Forecast'!R359+'D6 Gallon Forecast'!R275</f>
        <v>18303595.228116713</v>
      </c>
      <c r="S198" s="43">
        <f>'D4 Gallon Forecast'!S343+'D4 Gallon Forecast'!S359+'D6 Gallon Forecast'!S275</f>
        <v>52446592.878731005</v>
      </c>
      <c r="T198" s="43">
        <f>'D4 Gallon Forecast'!T343+'D4 Gallon Forecast'!T359+'D6 Gallon Forecast'!T275</f>
        <v>68091377.268205896</v>
      </c>
      <c r="U198" s="43">
        <f>'D4 Gallon Forecast'!U343+'D4 Gallon Forecast'!U359+'D6 Gallon Forecast'!U275</f>
        <v>88975887.423838913</v>
      </c>
      <c r="V198" s="43">
        <f>'D4 Gallon Forecast'!V343+'D4 Gallon Forecast'!V359+'D6 Gallon Forecast'!V275</f>
        <v>119947398.0919919</v>
      </c>
      <c r="W198" s="43">
        <f>'D4 Gallon Forecast'!W343+'D4 Gallon Forecast'!W359+'D6 Gallon Forecast'!W275</f>
        <v>140710467.1858601</v>
      </c>
      <c r="X198" s="43">
        <f>'D4 Gallon Forecast'!X343+'D4 Gallon Forecast'!X359+'D6 Gallon Forecast'!X275</f>
        <v>177911117.31121516</v>
      </c>
      <c r="Y198" s="43">
        <f>'D4 Gallon Forecast'!Y343+'D4 Gallon Forecast'!Y359+'D6 Gallon Forecast'!Y275</f>
        <v>185651454.26298955</v>
      </c>
      <c r="Z198" s="43">
        <f>'D4 Gallon Forecast'!Z343+'D4 Gallon Forecast'!Z359+'D6 Gallon Forecast'!Z275</f>
        <v>201763535.67193198</v>
      </c>
      <c r="AA198" s="43">
        <f>'D4 Gallon Forecast'!AA343+'D4 Gallon Forecast'!AA359+'D6 Gallon Forecast'!AA275</f>
        <v>210792400.77562943</v>
      </c>
      <c r="AB198" s="43">
        <f>'D4 Gallon Forecast'!AB343+'D4 Gallon Forecast'!AB359+'D6 Gallon Forecast'!AB275</f>
        <v>162245927.2591306</v>
      </c>
      <c r="AC198" s="43">
        <f>'D4 Gallon Forecast'!AC343+'D4 Gallon Forecast'!AC359+'D6 Gallon Forecast'!AC275</f>
        <v>177083898.6748009</v>
      </c>
      <c r="AD198" s="43">
        <f>'D4 Gallon Forecast'!AD343+'D4 Gallon Forecast'!AD359+'D6 Gallon Forecast'!AD275</f>
        <v>199373302.58687672</v>
      </c>
      <c r="AE198" s="43">
        <f>'D4 Gallon Forecast'!AE343+'D4 Gallon Forecast'!AE359+'D6 Gallon Forecast'!AE275</f>
        <v>199303475.4453105</v>
      </c>
      <c r="AF198" s="43">
        <f>'D4 Gallon Forecast'!AF343+'D4 Gallon Forecast'!AF359+'D6 Gallon Forecast'!AF275</f>
        <v>198215810.21517587</v>
      </c>
      <c r="AG198" s="43">
        <f>'D4 Gallon Forecast'!AG343+'D4 Gallon Forecast'!AG359+'D6 Gallon Forecast'!AG275</f>
        <v>206842861.06158769</v>
      </c>
      <c r="AH198" s="43">
        <f>'D4 Gallon Forecast'!AH343+'D4 Gallon Forecast'!AH359+'D6 Gallon Forecast'!AH275</f>
        <v>213541202.54829344</v>
      </c>
      <c r="AI198" s="43">
        <f>'D4 Gallon Forecast'!AI343+'D4 Gallon Forecast'!AI359+'D6 Gallon Forecast'!AI275</f>
        <v>218445697.56765974</v>
      </c>
      <c r="AJ198" s="43">
        <f>'D4 Gallon Forecast'!AJ343+'D4 Gallon Forecast'!AJ359+'D6 Gallon Forecast'!AJ275</f>
        <v>220942202.27381268</v>
      </c>
      <c r="AK198" s="43">
        <f>'D4 Gallon Forecast'!AK343+'D4 Gallon Forecast'!AK359+'D6 Gallon Forecast'!AK275</f>
        <v>227508293.3043544</v>
      </c>
      <c r="AL198" s="43">
        <f>'D4 Gallon Forecast'!AL343+'D4 Gallon Forecast'!AL359+'D6 Gallon Forecast'!AL275</f>
        <v>239965568.85772124</v>
      </c>
      <c r="AM198" s="43">
        <f>'D4 Gallon Forecast'!AM343+'D4 Gallon Forecast'!AM359+'D6 Gallon Forecast'!AM275</f>
        <v>248629031.41110516</v>
      </c>
      <c r="AN198" s="43">
        <f>'D4 Gallon Forecast'!AN343+'D4 Gallon Forecast'!AN359+'D6 Gallon Forecast'!AN275</f>
        <v>248913158.45657554</v>
      </c>
      <c r="AO198" s="43">
        <f>'D4 Gallon Forecast'!AO343+'D4 Gallon Forecast'!AO359+'D6 Gallon Forecast'!AO275</f>
        <v>248497498.97531804</v>
      </c>
      <c r="AP198" s="43">
        <f>'D4 Gallon Forecast'!AP343+'D4 Gallon Forecast'!AP359+'D6 Gallon Forecast'!AP275</f>
        <v>254339530.78464967</v>
      </c>
      <c r="AQ198" s="43">
        <f>'D4 Gallon Forecast'!AQ343+'D4 Gallon Forecast'!AQ359+'D6 Gallon Forecast'!AQ275</f>
        <v>285542533.46912926</v>
      </c>
      <c r="AR198" s="43"/>
      <c r="AS198" s="55">
        <f t="shared" si="89"/>
        <v>0.68873387471422909</v>
      </c>
    </row>
    <row r="199" spans="1:45">
      <c r="A199" s="40" t="s">
        <v>46</v>
      </c>
      <c r="B199" s="42">
        <f>'D4 Gallon Forecast'!B344+'D4 Gallon Forecast'!B360+'D6 Gallon Forecast'!B276</f>
        <v>0</v>
      </c>
      <c r="C199" s="42">
        <f>'D4 Gallon Forecast'!C344+'D4 Gallon Forecast'!C360+'D6 Gallon Forecast'!C276</f>
        <v>0</v>
      </c>
      <c r="D199" s="42">
        <f>'D4 Gallon Forecast'!D344+'D4 Gallon Forecast'!D360+'D6 Gallon Forecast'!D276</f>
        <v>0</v>
      </c>
      <c r="E199" s="42">
        <f>'D4 Gallon Forecast'!E344+'D4 Gallon Forecast'!E360+'D6 Gallon Forecast'!E276</f>
        <v>0</v>
      </c>
      <c r="F199" s="42">
        <f>'D4 Gallon Forecast'!F344+'D4 Gallon Forecast'!F360+'D6 Gallon Forecast'!F276</f>
        <v>0</v>
      </c>
      <c r="G199" s="42">
        <f>'D4 Gallon Forecast'!G344+'D4 Gallon Forecast'!G360+'D6 Gallon Forecast'!G276</f>
        <v>0</v>
      </c>
      <c r="H199" s="42">
        <f>'D4 Gallon Forecast'!H344+'D4 Gallon Forecast'!H360+'D6 Gallon Forecast'!H276</f>
        <v>0</v>
      </c>
      <c r="I199" s="42">
        <f>'D4 Gallon Forecast'!I344+'D4 Gallon Forecast'!I360+'D6 Gallon Forecast'!I276</f>
        <v>0</v>
      </c>
      <c r="J199" s="42">
        <f>'D4 Gallon Forecast'!J344+'D4 Gallon Forecast'!J360+'D6 Gallon Forecast'!J276</f>
        <v>184634</v>
      </c>
      <c r="K199" s="42">
        <f>'D4 Gallon Forecast'!K344+'D4 Gallon Forecast'!K360+'D6 Gallon Forecast'!K276</f>
        <v>245975</v>
      </c>
      <c r="L199" s="42">
        <f>'D4 Gallon Forecast'!L344+'D4 Gallon Forecast'!L360+'D6 Gallon Forecast'!L276</f>
        <v>1234442</v>
      </c>
      <c r="M199" s="42">
        <f>'D4 Gallon Forecast'!M344+'D4 Gallon Forecast'!M360+'D6 Gallon Forecast'!M276</f>
        <v>293289</v>
      </c>
      <c r="N199" s="42">
        <f>'D4 Gallon Forecast'!N344+'D4 Gallon Forecast'!N360+'D6 Gallon Forecast'!N276</f>
        <v>408991</v>
      </c>
      <c r="O199" s="42">
        <f>'D4 Gallon Forecast'!O344+'D4 Gallon Forecast'!O360+'D6 Gallon Forecast'!O276</f>
        <v>913521</v>
      </c>
      <c r="P199" s="42">
        <f>'D4 Gallon Forecast'!P344+'D4 Gallon Forecast'!P360+'D6 Gallon Forecast'!P276</f>
        <v>2781201</v>
      </c>
      <c r="Q199" s="43">
        <f>'D4 Gallon Forecast'!Q344+'D4 Gallon Forecast'!Q360+'D6 Gallon Forecast'!Q276</f>
        <v>8404474.9199190307</v>
      </c>
      <c r="R199" s="43">
        <f>'D4 Gallon Forecast'!R344+'D4 Gallon Forecast'!R360+'D6 Gallon Forecast'!R276</f>
        <v>28923927.353115387</v>
      </c>
      <c r="S199" s="43">
        <f>'D4 Gallon Forecast'!S344+'D4 Gallon Forecast'!S360+'D6 Gallon Forecast'!S276</f>
        <v>83355933.002837479</v>
      </c>
      <c r="T199" s="43">
        <f>'D4 Gallon Forecast'!T344+'D4 Gallon Forecast'!T360+'D6 Gallon Forecast'!T276</f>
        <v>109229354.93369608</v>
      </c>
      <c r="U199" s="43">
        <f>'D4 Gallon Forecast'!U344+'D4 Gallon Forecast'!U360+'D6 Gallon Forecast'!U276</f>
        <v>142955854.88060638</v>
      </c>
      <c r="V199" s="43">
        <f>'D4 Gallon Forecast'!V344+'D4 Gallon Forecast'!V360+'D6 Gallon Forecast'!V276</f>
        <v>193059895.2271235</v>
      </c>
      <c r="W199" s="43">
        <f>'D4 Gallon Forecast'!W344+'D4 Gallon Forecast'!W360+'D6 Gallon Forecast'!W276</f>
        <v>225582309.85068756</v>
      </c>
      <c r="X199" s="43">
        <f>'D4 Gallon Forecast'!X344+'D4 Gallon Forecast'!X360+'D6 Gallon Forecast'!X276</f>
        <v>285379991.09891659</v>
      </c>
      <c r="Y199" s="43">
        <f>'D4 Gallon Forecast'!Y344+'D4 Gallon Forecast'!Y360+'D6 Gallon Forecast'!Y276</f>
        <v>298036421.23796737</v>
      </c>
      <c r="Z199" s="43">
        <f>'D4 Gallon Forecast'!Z344+'D4 Gallon Forecast'!Z360+'D6 Gallon Forecast'!Z276</f>
        <v>323925068.68341893</v>
      </c>
      <c r="AA199" s="43">
        <f>'D4 Gallon Forecast'!AA344+'D4 Gallon Forecast'!AA360+'D6 Gallon Forecast'!AA276</f>
        <v>338393109.16389787</v>
      </c>
      <c r="AB199" s="43">
        <f>'D4 Gallon Forecast'!AB344+'D4 Gallon Forecast'!AB360+'D6 Gallon Forecast'!AB276</f>
        <v>260370452.06182569</v>
      </c>
      <c r="AC199" s="43">
        <f>'D4 Gallon Forecast'!AC344+'D4 Gallon Forecast'!AC360+'D6 Gallon Forecast'!AC276</f>
        <v>284225342.16662228</v>
      </c>
      <c r="AD199" s="43">
        <f>'D4 Gallon Forecast'!AD344+'D4 Gallon Forecast'!AD360+'D6 Gallon Forecast'!AD276</f>
        <v>320037354.05648094</v>
      </c>
      <c r="AE199" s="43">
        <f>'D4 Gallon Forecast'!AE344+'D4 Gallon Forecast'!AE360+'D6 Gallon Forecast'!AE276</f>
        <v>319919901.25644851</v>
      </c>
      <c r="AF199" s="43">
        <f>'D4 Gallon Forecast'!AF344+'D4 Gallon Forecast'!AF360+'D6 Gallon Forecast'!AF276</f>
        <v>318162229.56939334</v>
      </c>
      <c r="AG199" s="43">
        <f>'D4 Gallon Forecast'!AG344+'D4 Gallon Forecast'!AG360+'D6 Gallon Forecast'!AG276</f>
        <v>332000092.05509609</v>
      </c>
      <c r="AH199" s="43">
        <f>'D4 Gallon Forecast'!AH344+'D4 Gallon Forecast'!AH360+'D6 Gallon Forecast'!AH276</f>
        <v>342761904.05742484</v>
      </c>
      <c r="AI199" s="43">
        <f>'D4 Gallon Forecast'!AI344+'D4 Gallon Forecast'!AI360+'D6 Gallon Forecast'!AI276</f>
        <v>350638082.08908695</v>
      </c>
      <c r="AJ199" s="43">
        <f>'D4 Gallon Forecast'!AJ344+'D4 Gallon Forecast'!AJ360+'D6 Gallon Forecast'!AJ276</f>
        <v>354642505.65695173</v>
      </c>
      <c r="AK199" s="43">
        <f>'D4 Gallon Forecast'!AK344+'D4 Gallon Forecast'!AK360+'D6 Gallon Forecast'!AK276</f>
        <v>365179719.8424052</v>
      </c>
      <c r="AL199" s="43">
        <f>'D4 Gallon Forecast'!AL344+'D4 Gallon Forecast'!AL360+'D6 Gallon Forecast'!AL276</f>
        <v>385175082.77066052</v>
      </c>
      <c r="AM199" s="43">
        <f>'D4 Gallon Forecast'!AM344+'D4 Gallon Forecast'!AM360+'D6 Gallon Forecast'!AM276</f>
        <v>399083000.98258507</v>
      </c>
      <c r="AN199" s="43">
        <f>'D4 Gallon Forecast'!AN344+'D4 Gallon Forecast'!AN360+'D6 Gallon Forecast'!AN276</f>
        <v>399539152.94475967</v>
      </c>
      <c r="AO199" s="43">
        <f>'D4 Gallon Forecast'!AO344+'D4 Gallon Forecast'!AO360+'D6 Gallon Forecast'!AO276</f>
        <v>398871270.24936539</v>
      </c>
      <c r="AP199" s="43">
        <f>'D4 Gallon Forecast'!AP344+'D4 Gallon Forecast'!AP360+'D6 Gallon Forecast'!AP276</f>
        <v>408248266.88676333</v>
      </c>
      <c r="AQ199" s="43">
        <f>'D4 Gallon Forecast'!AQ344+'D4 Gallon Forecast'!AQ360+'D6 Gallon Forecast'!AQ276</f>
        <v>458333380.20550692</v>
      </c>
      <c r="AR199" s="43"/>
      <c r="AS199" s="55">
        <f t="shared" si="89"/>
        <v>0.31234658545585292</v>
      </c>
    </row>
    <row r="200" spans="1:45">
      <c r="A200" s="40" t="s">
        <v>47</v>
      </c>
      <c r="B200" s="42">
        <f>'D4 Gallon Forecast'!B345+'D4 Gallon Forecast'!B361+'D6 Gallon Forecast'!B277</f>
        <v>0</v>
      </c>
      <c r="C200" s="42">
        <f>'D4 Gallon Forecast'!C345+'D4 Gallon Forecast'!C361+'D6 Gallon Forecast'!C277</f>
        <v>0</v>
      </c>
      <c r="D200" s="42">
        <f>'D4 Gallon Forecast'!D345+'D4 Gallon Forecast'!D361+'D6 Gallon Forecast'!D277</f>
        <v>0</v>
      </c>
      <c r="E200" s="42">
        <f>'D4 Gallon Forecast'!E345+'D4 Gallon Forecast'!E361+'D6 Gallon Forecast'!E277</f>
        <v>0</v>
      </c>
      <c r="F200" s="42">
        <f>'D4 Gallon Forecast'!F345+'D4 Gallon Forecast'!F361+'D6 Gallon Forecast'!F277</f>
        <v>0</v>
      </c>
      <c r="G200" s="42">
        <f>'D4 Gallon Forecast'!G345+'D4 Gallon Forecast'!G361+'D6 Gallon Forecast'!G277</f>
        <v>0</v>
      </c>
      <c r="H200" s="42">
        <f>'D4 Gallon Forecast'!H345+'D4 Gallon Forecast'!H361+'D6 Gallon Forecast'!H277</f>
        <v>0</v>
      </c>
      <c r="I200" s="42">
        <f>'D4 Gallon Forecast'!I345+'D4 Gallon Forecast'!I361+'D6 Gallon Forecast'!I277</f>
        <v>134485</v>
      </c>
      <c r="J200" s="42">
        <f>'D4 Gallon Forecast'!J345+'D4 Gallon Forecast'!J361+'D6 Gallon Forecast'!J277</f>
        <v>64189</v>
      </c>
      <c r="K200" s="42">
        <f>'D4 Gallon Forecast'!K345+'D4 Gallon Forecast'!K361+'D6 Gallon Forecast'!K277</f>
        <v>254288</v>
      </c>
      <c r="L200" s="42">
        <f>'D4 Gallon Forecast'!L345+'D4 Gallon Forecast'!L361+'D6 Gallon Forecast'!L277</f>
        <v>0</v>
      </c>
      <c r="M200" s="42">
        <f>'D4 Gallon Forecast'!M345+'D4 Gallon Forecast'!M361+'D6 Gallon Forecast'!M277</f>
        <v>287496</v>
      </c>
      <c r="N200" s="42">
        <f>'D4 Gallon Forecast'!N345+'D4 Gallon Forecast'!N361+'D6 Gallon Forecast'!N277</f>
        <v>202831</v>
      </c>
      <c r="O200" s="42">
        <f>'D4 Gallon Forecast'!O345+'D4 Gallon Forecast'!O361+'D6 Gallon Forecast'!O277</f>
        <v>1626715</v>
      </c>
      <c r="P200" s="42">
        <f>'D4 Gallon Forecast'!P345+'D4 Gallon Forecast'!P361+'D6 Gallon Forecast'!P277</f>
        <v>3266216</v>
      </c>
      <c r="Q200" s="43">
        <f>'D4 Gallon Forecast'!Q345+'D4 Gallon Forecast'!Q361+'D6 Gallon Forecast'!Q277</f>
        <v>10976167.97756708</v>
      </c>
      <c r="R200" s="43">
        <f>'D4 Gallon Forecast'!R345+'D4 Gallon Forecast'!R361+'D6 Gallon Forecast'!R277</f>
        <v>38073237.291912429</v>
      </c>
      <c r="S200" s="43">
        <f>'D4 Gallon Forecast'!S345+'D4 Gallon Forecast'!S361+'D6 Gallon Forecast'!S277</f>
        <v>109837029.55094272</v>
      </c>
      <c r="T200" s="43">
        <f>'D4 Gallon Forecast'!T345+'D4 Gallon Forecast'!T361+'D6 Gallon Forecast'!T277</f>
        <v>143874698.90103579</v>
      </c>
      <c r="U200" s="43">
        <f>'D4 Gallon Forecast'!U345+'D4 Gallon Forecast'!U361+'D6 Gallon Forecast'!U277</f>
        <v>188038378.30701107</v>
      </c>
      <c r="V200" s="43">
        <f>'D4 Gallon Forecast'!V345+'D4 Gallon Forecast'!V361+'D6 Gallon Forecast'!V277</f>
        <v>254120250.94949621</v>
      </c>
      <c r="W200" s="43">
        <f>'D4 Gallon Forecast'!W345+'D4 Gallon Forecast'!W361+'D6 Gallon Forecast'!W277</f>
        <v>296963726.71365535</v>
      </c>
      <c r="X200" s="43">
        <f>'D4 Gallon Forecast'!X345+'D4 Gallon Forecast'!X361+'D6 Gallon Forecast'!X277</f>
        <v>375684484.37097663</v>
      </c>
      <c r="Y200" s="43">
        <f>'D4 Gallon Forecast'!Y345+'D4 Gallon Forecast'!Y361+'D6 Gallon Forecast'!Y277</f>
        <v>392313361.18468958</v>
      </c>
      <c r="Z200" s="43">
        <f>'D4 Gallon Forecast'!Z345+'D4 Gallon Forecast'!Z361+'D6 Gallon Forecast'!Z277</f>
        <v>426364929.53210127</v>
      </c>
      <c r="AA200" s="43">
        <f>'D4 Gallon Forecast'!AA345+'D4 Gallon Forecast'!AA361+'D6 Gallon Forecast'!AA277</f>
        <v>445440739.38154668</v>
      </c>
      <c r="AB200" s="43">
        <f>'D4 Gallon Forecast'!AB345+'D4 Gallon Forecast'!AB361+'D6 Gallon Forecast'!AB277</f>
        <v>342738510.04728287</v>
      </c>
      <c r="AC200" s="43">
        <f>'D4 Gallon Forecast'!AC345+'D4 Gallon Forecast'!AC361+'D6 Gallon Forecast'!AC277</f>
        <v>374136377.92329395</v>
      </c>
      <c r="AD200" s="43">
        <f>'D4 Gallon Forecast'!AD345+'D4 Gallon Forecast'!AD361+'D6 Gallon Forecast'!AD277</f>
        <v>421271062.99150306</v>
      </c>
      <c r="AE200" s="43">
        <f>'D4 Gallon Forecast'!AE345+'D4 Gallon Forecast'!AE361+'D6 Gallon Forecast'!AE277</f>
        <v>421115927.37514073</v>
      </c>
      <c r="AF200" s="43">
        <f>'D4 Gallon Forecast'!AF345+'D4 Gallon Forecast'!AF361+'D6 Gallon Forecast'!AF277</f>
        <v>418807093.62650222</v>
      </c>
      <c r="AG200" s="43">
        <f>'D4 Gallon Forecast'!AG345+'D4 Gallon Forecast'!AG361+'D6 Gallon Forecast'!AG277</f>
        <v>437021630.05349731</v>
      </c>
      <c r="AH200" s="43">
        <f>'D4 Gallon Forecast'!AH345+'D4 Gallon Forecast'!AH361+'D6 Gallon Forecast'!AH277</f>
        <v>451186611.20667756</v>
      </c>
      <c r="AI200" s="43">
        <f>'D4 Gallon Forecast'!AI345+'D4 Gallon Forecast'!AI361+'D6 Gallon Forecast'!AI277</f>
        <v>461553589.61231804</v>
      </c>
      <c r="AJ200" s="43">
        <f>'D4 Gallon Forecast'!AJ345+'D4 Gallon Forecast'!AJ361+'D6 Gallon Forecast'!AJ277</f>
        <v>466825144.41902298</v>
      </c>
      <c r="AK200" s="43">
        <f>'D4 Gallon Forecast'!AK345+'D4 Gallon Forecast'!AK361+'D6 Gallon Forecast'!AK277</f>
        <v>480696187.74489999</v>
      </c>
      <c r="AL200" s="43">
        <f>'D4 Gallon Forecast'!AL345+'D4 Gallon Forecast'!AL361+'D6 Gallon Forecast'!AL277</f>
        <v>507016344.33260828</v>
      </c>
      <c r="AM200" s="43">
        <f>'D4 Gallon Forecast'!AM345+'D4 Gallon Forecast'!AM361+'D6 Gallon Forecast'!AM277</f>
        <v>525323499.07992679</v>
      </c>
      <c r="AN200" s="43">
        <f>'D4 Gallon Forecast'!AN345+'D4 Gallon Forecast'!AN361+'D6 Gallon Forecast'!AN277</f>
        <v>525923930.99888676</v>
      </c>
      <c r="AO200" s="43">
        <f>'D4 Gallon Forecast'!AO345+'D4 Gallon Forecast'!AO361+'D6 Gallon Forecast'!AO277</f>
        <v>525044899.08814824</v>
      </c>
      <c r="AP200" s="43">
        <f>'D4 Gallon Forecast'!AP345+'D4 Gallon Forecast'!AP361+'D6 Gallon Forecast'!AP277</f>
        <v>537388142.71860778</v>
      </c>
      <c r="AQ200" s="43">
        <f>'D4 Gallon Forecast'!AQ345+'D4 Gallon Forecast'!AQ361+'D6 Gallon Forecast'!AQ277</f>
        <v>603316444.99528301</v>
      </c>
      <c r="AR200" s="43"/>
      <c r="AS200" s="55">
        <f t="shared" si="89"/>
        <v>0.17439048813803826</v>
      </c>
    </row>
    <row r="201" spans="1:45">
      <c r="A201" s="40" t="s">
        <v>48</v>
      </c>
      <c r="B201" s="42">
        <f>'D4 Gallon Forecast'!B346+'D4 Gallon Forecast'!B362+'D6 Gallon Forecast'!B278</f>
        <v>0</v>
      </c>
      <c r="C201" s="42">
        <f>'D4 Gallon Forecast'!C346+'D4 Gallon Forecast'!C362+'D6 Gallon Forecast'!C278</f>
        <v>0</v>
      </c>
      <c r="D201" s="42">
        <f>'D4 Gallon Forecast'!D346+'D4 Gallon Forecast'!D362+'D6 Gallon Forecast'!D278</f>
        <v>0</v>
      </c>
      <c r="E201" s="42">
        <f>'D4 Gallon Forecast'!E346+'D4 Gallon Forecast'!E362+'D6 Gallon Forecast'!E278</f>
        <v>0</v>
      </c>
      <c r="F201" s="42">
        <f>'D4 Gallon Forecast'!F346+'D4 Gallon Forecast'!F362+'D6 Gallon Forecast'!F278</f>
        <v>0</v>
      </c>
      <c r="G201" s="42">
        <f>'D4 Gallon Forecast'!G346+'D4 Gallon Forecast'!G362+'D6 Gallon Forecast'!G278</f>
        <v>0</v>
      </c>
      <c r="H201" s="42">
        <f>'D4 Gallon Forecast'!H346+'D4 Gallon Forecast'!H362+'D6 Gallon Forecast'!H278</f>
        <v>0</v>
      </c>
      <c r="I201" s="42">
        <f>'D4 Gallon Forecast'!I346+'D4 Gallon Forecast'!I362+'D6 Gallon Forecast'!I278</f>
        <v>127471</v>
      </c>
      <c r="J201" s="42">
        <f>'D4 Gallon Forecast'!J346+'D4 Gallon Forecast'!J362+'D6 Gallon Forecast'!J278</f>
        <v>140194</v>
      </c>
      <c r="K201" s="42">
        <f>'D4 Gallon Forecast'!K346+'D4 Gallon Forecast'!K362+'D6 Gallon Forecast'!K278</f>
        <v>223279</v>
      </c>
      <c r="L201" s="42">
        <f>'D4 Gallon Forecast'!L346+'D4 Gallon Forecast'!L362+'D6 Gallon Forecast'!L278</f>
        <v>508513</v>
      </c>
      <c r="M201" s="42">
        <f>'D4 Gallon Forecast'!M346+'D4 Gallon Forecast'!M362+'D6 Gallon Forecast'!M278</f>
        <v>357317</v>
      </c>
      <c r="N201" s="42">
        <f>'D4 Gallon Forecast'!N346+'D4 Gallon Forecast'!N362+'D6 Gallon Forecast'!N278</f>
        <v>802264</v>
      </c>
      <c r="O201" s="42">
        <f>'D4 Gallon Forecast'!O346+'D4 Gallon Forecast'!O362+'D6 Gallon Forecast'!O278</f>
        <v>1121861</v>
      </c>
      <c r="P201" s="42">
        <f>'D4 Gallon Forecast'!P346+'D4 Gallon Forecast'!P362+'D6 Gallon Forecast'!P278</f>
        <v>2998612</v>
      </c>
      <c r="Q201" s="43">
        <f>'D4 Gallon Forecast'!Q346+'D4 Gallon Forecast'!Q362+'D6 Gallon Forecast'!Q278</f>
        <v>10802570.811467988</v>
      </c>
      <c r="R201" s="43">
        <f>'D4 Gallon Forecast'!R346+'D4 Gallon Forecast'!R362+'D6 Gallon Forecast'!R278</f>
        <v>36445958.845373936</v>
      </c>
      <c r="S201" s="43">
        <f>'D4 Gallon Forecast'!S346+'D4 Gallon Forecast'!S362+'D6 Gallon Forecast'!S278</f>
        <v>104669298.16987525</v>
      </c>
      <c r="T201" s="43">
        <f>'D4 Gallon Forecast'!T346+'D4 Gallon Forecast'!T362+'D6 Gallon Forecast'!T278</f>
        <v>137074432.0324741</v>
      </c>
      <c r="U201" s="43">
        <f>'D4 Gallon Forecast'!U346+'D4 Gallon Forecast'!U362+'D6 Gallon Forecast'!U278</f>
        <v>179413670.29720333</v>
      </c>
      <c r="V201" s="43">
        <f>'D4 Gallon Forecast'!V346+'D4 Gallon Forecast'!V362+'D6 Gallon Forecast'!V278</f>
        <v>242525572.25580677</v>
      </c>
      <c r="W201" s="43">
        <f>'D4 Gallon Forecast'!W346+'D4 Gallon Forecast'!W362+'D6 Gallon Forecast'!W278</f>
        <v>283281846.34963793</v>
      </c>
      <c r="X201" s="43">
        <f>'D4 Gallon Forecast'!X346+'D4 Gallon Forecast'!X362+'D6 Gallon Forecast'!X278</f>
        <v>358327736.08893472</v>
      </c>
      <c r="Y201" s="43">
        <f>'D4 Gallon Forecast'!Y346+'D4 Gallon Forecast'!Y362+'D6 Gallon Forecast'!Y278</f>
        <v>374217409.88050759</v>
      </c>
      <c r="Z201" s="43">
        <f>'D4 Gallon Forecast'!Z346+'D4 Gallon Forecast'!Z362+'D6 Gallon Forecast'!Z278</f>
        <v>406744663.62686306</v>
      </c>
      <c r="AA201" s="43">
        <f>'D4 Gallon Forecast'!AA346+'D4 Gallon Forecast'!AA362+'D6 Gallon Forecast'!AA278</f>
        <v>424935415.13276678</v>
      </c>
      <c r="AB201" s="43">
        <f>'D4 Gallon Forecast'!AB346+'D4 Gallon Forecast'!AB362+'D6 Gallon Forecast'!AB278</f>
        <v>326942653.39627159</v>
      </c>
      <c r="AC201" s="43">
        <f>'D4 Gallon Forecast'!AC346+'D4 Gallon Forecast'!AC362+'D6 Gallon Forecast'!AC278</f>
        <v>356892661.65201229</v>
      </c>
      <c r="AD201" s="43">
        <f>'D4 Gallon Forecast'!AD346+'D4 Gallon Forecast'!AD362+'D6 Gallon Forecast'!AD278</f>
        <v>401863801.65960729</v>
      </c>
      <c r="AE201" s="43">
        <f>'D4 Gallon Forecast'!AE346+'D4 Gallon Forecast'!AE362+'D6 Gallon Forecast'!AE278</f>
        <v>401720573.79123837</v>
      </c>
      <c r="AF201" s="43">
        <f>'D4 Gallon Forecast'!AF346+'D4 Gallon Forecast'!AF362+'D6 Gallon Forecast'!AF278</f>
        <v>399514559.7619276</v>
      </c>
      <c r="AG201" s="43">
        <f>'D4 Gallon Forecast'!AG346+'D4 Gallon Forecast'!AG362+'D6 Gallon Forecast'!AG278</f>
        <v>416886920.29490292</v>
      </c>
      <c r="AH201" s="43">
        <f>'D4 Gallon Forecast'!AH346+'D4 Gallon Forecast'!AH362+'D6 Gallon Forecast'!AH278</f>
        <v>430400375.67974269</v>
      </c>
      <c r="AI201" s="43">
        <f>'D4 Gallon Forecast'!AI346+'D4 Gallon Forecast'!AI362+'D6 Gallon Forecast'!AI278</f>
        <v>440291291.20100427</v>
      </c>
      <c r="AJ201" s="43">
        <f>'D4 Gallon Forecast'!AJ346+'D4 Gallon Forecast'!AJ362+'D6 Gallon Forecast'!AJ278</f>
        <v>445320140.93675435</v>
      </c>
      <c r="AK201" s="43">
        <f>'D4 Gallon Forecast'!AK346+'D4 Gallon Forecast'!AK362+'D6 Gallon Forecast'!AK278</f>
        <v>458551336.62133384</v>
      </c>
      <c r="AL201" s="43">
        <f>'D4 Gallon Forecast'!AL346+'D4 Gallon Forecast'!AL362+'D6 Gallon Forecast'!AL278</f>
        <v>483658705.4162572</v>
      </c>
      <c r="AM201" s="43">
        <f>'D4 Gallon Forecast'!AM346+'D4 Gallon Forecast'!AM362+'D6 Gallon Forecast'!AM278</f>
        <v>501122836.16229832</v>
      </c>
      <c r="AN201" s="43">
        <f>'D4 Gallon Forecast'!AN346+'D4 Gallon Forecast'!AN362+'D6 Gallon Forecast'!AN278</f>
        <v>501695805.331774</v>
      </c>
      <c r="AO201" s="43">
        <f>'D4 Gallon Forecast'!AO346+'D4 Gallon Forecast'!AO362+'D6 Gallon Forecast'!AO278</f>
        <v>500857178.0697338</v>
      </c>
      <c r="AP201" s="43">
        <f>'D4 Gallon Forecast'!AP346+'D4 Gallon Forecast'!AP362+'D6 Gallon Forecast'!AP278</f>
        <v>512631656.95782721</v>
      </c>
      <c r="AQ201" s="43">
        <f>'D4 Gallon Forecast'!AQ346+'D4 Gallon Forecast'!AQ362+'D6 Gallon Forecast'!AQ278</f>
        <v>575522777.05733383</v>
      </c>
      <c r="AR201" s="43"/>
      <c r="AS201" s="55">
        <f t="shared" si="89"/>
        <v>-8.1930894956120492E-2</v>
      </c>
    </row>
    <row r="202" spans="1:45">
      <c r="A202" s="40" t="s">
        <v>49</v>
      </c>
      <c r="B202" s="42">
        <f>'D4 Gallon Forecast'!B347+'D4 Gallon Forecast'!B363+'D6 Gallon Forecast'!B279</f>
        <v>0</v>
      </c>
      <c r="C202" s="42">
        <f>'D4 Gallon Forecast'!C347+'D4 Gallon Forecast'!C363+'D6 Gallon Forecast'!C279</f>
        <v>0</v>
      </c>
      <c r="D202" s="42">
        <f>'D4 Gallon Forecast'!D347+'D4 Gallon Forecast'!D363+'D6 Gallon Forecast'!D279</f>
        <v>0</v>
      </c>
      <c r="E202" s="42">
        <f>'D4 Gallon Forecast'!E347+'D4 Gallon Forecast'!E363+'D6 Gallon Forecast'!E279</f>
        <v>0</v>
      </c>
      <c r="F202" s="42">
        <f>'D4 Gallon Forecast'!F347+'D4 Gallon Forecast'!F363+'D6 Gallon Forecast'!F279</f>
        <v>0</v>
      </c>
      <c r="G202" s="42">
        <f>'D4 Gallon Forecast'!G347+'D4 Gallon Forecast'!G363+'D6 Gallon Forecast'!G279</f>
        <v>0</v>
      </c>
      <c r="H202" s="42">
        <f>'D4 Gallon Forecast'!H347+'D4 Gallon Forecast'!H363+'D6 Gallon Forecast'!H279</f>
        <v>0</v>
      </c>
      <c r="I202" s="42">
        <f>'D4 Gallon Forecast'!I347+'D4 Gallon Forecast'!I363+'D6 Gallon Forecast'!I279</f>
        <v>120661</v>
      </c>
      <c r="J202" s="42">
        <f>'D4 Gallon Forecast'!J347+'D4 Gallon Forecast'!J363+'D6 Gallon Forecast'!J279</f>
        <v>82231</v>
      </c>
      <c r="K202" s="42">
        <f>'D4 Gallon Forecast'!K347+'D4 Gallon Forecast'!K363+'D6 Gallon Forecast'!K279</f>
        <v>146613</v>
      </c>
      <c r="L202" s="42">
        <f>'D4 Gallon Forecast'!L347+'D4 Gallon Forecast'!L363+'D6 Gallon Forecast'!L279</f>
        <v>1536725</v>
      </c>
      <c r="M202" s="42">
        <f>'D4 Gallon Forecast'!M347+'D4 Gallon Forecast'!M363+'D6 Gallon Forecast'!M279</f>
        <v>1093159</v>
      </c>
      <c r="N202" s="42">
        <f>'D4 Gallon Forecast'!N347+'D4 Gallon Forecast'!N363+'D6 Gallon Forecast'!N279</f>
        <v>1137973</v>
      </c>
      <c r="O202" s="42">
        <f>'D4 Gallon Forecast'!O347+'D4 Gallon Forecast'!O363+'D6 Gallon Forecast'!O279</f>
        <v>1770762</v>
      </c>
      <c r="P202" s="42">
        <f>'D4 Gallon Forecast'!P347+'D4 Gallon Forecast'!P363+'D6 Gallon Forecast'!P279</f>
        <v>3256887</v>
      </c>
      <c r="Q202" s="43">
        <f>'D4 Gallon Forecast'!Q347+'D4 Gallon Forecast'!Q363+'D6 Gallon Forecast'!Q279</f>
        <v>10933554.606466778</v>
      </c>
      <c r="R202" s="43">
        <f>'D4 Gallon Forecast'!R347+'D4 Gallon Forecast'!R363+'D6 Gallon Forecast'!R279</f>
        <v>39976921.76103799</v>
      </c>
      <c r="S202" s="43">
        <f>'D4 Gallon Forecast'!S347+'D4 Gallon Forecast'!S363+'D6 Gallon Forecast'!S279</f>
        <v>113978484.88508038</v>
      </c>
      <c r="T202" s="43">
        <f>'D4 Gallon Forecast'!T347+'D4 Gallon Forecast'!T363+'D6 Gallon Forecast'!T279</f>
        <v>149266063.01052725</v>
      </c>
      <c r="U202" s="43">
        <f>'D4 Gallon Forecast'!U347+'D4 Gallon Forecast'!U363+'D6 Gallon Forecast'!U279</f>
        <v>195033617.43180668</v>
      </c>
      <c r="V202" s="43">
        <f>'D4 Gallon Forecast'!V347+'D4 Gallon Forecast'!V363+'D6 Gallon Forecast'!V279</f>
        <v>263641552.68483701</v>
      </c>
      <c r="W202" s="43">
        <f>'D4 Gallon Forecast'!W347+'D4 Gallon Forecast'!W363+'D6 Gallon Forecast'!W279</f>
        <v>308273915.13317132</v>
      </c>
      <c r="X202" s="43">
        <f>'D4 Gallon Forecast'!X347+'D4 Gallon Forecast'!X363+'D6 Gallon Forecast'!X279</f>
        <v>389821189.605676</v>
      </c>
      <c r="Y202" s="43">
        <f>'D4 Gallon Forecast'!Y347+'D4 Gallon Forecast'!Y363+'D6 Gallon Forecast'!Y279</f>
        <v>407073186.95247626</v>
      </c>
      <c r="Z202" s="43">
        <f>'D4 Gallon Forecast'!Z347+'D4 Gallon Forecast'!Z363+'D6 Gallon Forecast'!Z279</f>
        <v>442411963.37090188</v>
      </c>
      <c r="AA202" s="43">
        <f>'D4 Gallon Forecast'!AA347+'D4 Gallon Forecast'!AA363+'D6 Gallon Forecast'!AA279</f>
        <v>462226636.22094756</v>
      </c>
      <c r="AB202" s="43">
        <f>'D4 Gallon Forecast'!AB347+'D4 Gallon Forecast'!AB363+'D6 Gallon Forecast'!AB279</f>
        <v>355663914.97845483</v>
      </c>
      <c r="AC202" s="43">
        <f>'D4 Gallon Forecast'!AC347+'D4 Gallon Forecast'!AC363+'D6 Gallon Forecast'!AC279</f>
        <v>388224907.21705157</v>
      </c>
      <c r="AD202" s="43">
        <f>'D4 Gallon Forecast'!AD347+'D4 Gallon Forecast'!AD363+'D6 Gallon Forecast'!AD279</f>
        <v>437136654.29824138</v>
      </c>
      <c r="AE202" s="43">
        <f>'D4 Gallon Forecast'!AE347+'D4 Gallon Forecast'!AE363+'D6 Gallon Forecast'!AE279</f>
        <v>436978857.05731893</v>
      </c>
      <c r="AF202" s="43">
        <f>'D4 Gallon Forecast'!AF347+'D4 Gallon Forecast'!AF363+'D6 Gallon Forecast'!AF279</f>
        <v>434585897.58986247</v>
      </c>
      <c r="AG202" s="43">
        <f>'D4 Gallon Forecast'!AG347+'D4 Gallon Forecast'!AG363+'D6 Gallon Forecast'!AG279</f>
        <v>453485869.98691624</v>
      </c>
      <c r="AH202" s="43">
        <f>'D4 Gallon Forecast'!AH347+'D4 Gallon Forecast'!AH363+'D6 Gallon Forecast'!AH279</f>
        <v>468181633.19149017</v>
      </c>
      <c r="AI202" s="43">
        <f>'D4 Gallon Forecast'!AI347+'D4 Gallon Forecast'!AI363+'D6 Gallon Forecast'!AI279</f>
        <v>478940012.97739762</v>
      </c>
      <c r="AJ202" s="43">
        <f>'D4 Gallon Forecast'!AJ347+'D4 Gallon Forecast'!AJ363+'D6 Gallon Forecast'!AJ279</f>
        <v>484410871.98217189</v>
      </c>
      <c r="AK202" s="43">
        <f>'D4 Gallon Forecast'!AK347+'D4 Gallon Forecast'!AK363+'D6 Gallon Forecast'!AK279</f>
        <v>498804641.53052044</v>
      </c>
      <c r="AL202" s="43">
        <f>'D4 Gallon Forecast'!AL347+'D4 Gallon Forecast'!AL363+'D6 Gallon Forecast'!AL279</f>
        <v>526115917.04737741</v>
      </c>
      <c r="AM202" s="43">
        <f>'D4 Gallon Forecast'!AM347+'D4 Gallon Forecast'!AM363+'D6 Gallon Forecast'!AM279</f>
        <v>545112400.17848992</v>
      </c>
      <c r="AN202" s="43">
        <f>'D4 Gallon Forecast'!AN347+'D4 Gallon Forecast'!AN363+'D6 Gallon Forecast'!AN279</f>
        <v>545735697.52009904</v>
      </c>
      <c r="AO202" s="43">
        <f>'D4 Gallon Forecast'!AO347+'D4 Gallon Forecast'!AO363+'D6 Gallon Forecast'!AO279</f>
        <v>544823654.04887807</v>
      </c>
      <c r="AP202" s="43">
        <f>'D4 Gallon Forecast'!AP347+'D4 Gallon Forecast'!AP363+'D6 Gallon Forecast'!AP279</f>
        <v>557631844.53683186</v>
      </c>
      <c r="AQ202" s="43">
        <f>'D4 Gallon Forecast'!AQ347+'D4 Gallon Forecast'!AQ363+'D6 Gallon Forecast'!AQ279</f>
        <v>626043616.75138581</v>
      </c>
      <c r="AR202" s="43"/>
      <c r="AS202" s="55">
        <f t="shared" si="89"/>
        <v>8.6131516848461986E-2</v>
      </c>
    </row>
    <row r="203" spans="1:45">
      <c r="A203" s="40" t="s">
        <v>50</v>
      </c>
      <c r="B203" s="42">
        <f>'D4 Gallon Forecast'!B348+'D4 Gallon Forecast'!B364+'D6 Gallon Forecast'!B280</f>
        <v>0</v>
      </c>
      <c r="C203" s="42">
        <f>'D4 Gallon Forecast'!C348+'D4 Gallon Forecast'!C364+'D6 Gallon Forecast'!C280</f>
        <v>0</v>
      </c>
      <c r="D203" s="42">
        <f>'D4 Gallon Forecast'!D348+'D4 Gallon Forecast'!D364+'D6 Gallon Forecast'!D280</f>
        <v>0</v>
      </c>
      <c r="E203" s="42">
        <f>'D4 Gallon Forecast'!E348+'D4 Gallon Forecast'!E364+'D6 Gallon Forecast'!E280</f>
        <v>0</v>
      </c>
      <c r="F203" s="42">
        <f>'D4 Gallon Forecast'!F348+'D4 Gallon Forecast'!F364+'D6 Gallon Forecast'!F280</f>
        <v>0</v>
      </c>
      <c r="G203" s="42">
        <f>'D4 Gallon Forecast'!G348+'D4 Gallon Forecast'!G364+'D6 Gallon Forecast'!G280</f>
        <v>0</v>
      </c>
      <c r="H203" s="42">
        <f>'D4 Gallon Forecast'!H348+'D4 Gallon Forecast'!H364+'D6 Gallon Forecast'!H280</f>
        <v>0</v>
      </c>
      <c r="I203" s="42">
        <f>'D4 Gallon Forecast'!I348+'D4 Gallon Forecast'!I364+'D6 Gallon Forecast'!I280</f>
        <v>174175</v>
      </c>
      <c r="J203" s="42">
        <f>'D4 Gallon Forecast'!J348+'D4 Gallon Forecast'!J364+'D6 Gallon Forecast'!J280</f>
        <v>70236</v>
      </c>
      <c r="K203" s="42">
        <f>'D4 Gallon Forecast'!K348+'D4 Gallon Forecast'!K364+'D6 Gallon Forecast'!K280</f>
        <v>271757</v>
      </c>
      <c r="L203" s="42">
        <f>'D4 Gallon Forecast'!L348+'D4 Gallon Forecast'!L364+'D6 Gallon Forecast'!L280</f>
        <v>63855</v>
      </c>
      <c r="M203" s="42">
        <f>'D4 Gallon Forecast'!M348+'D4 Gallon Forecast'!M364+'D6 Gallon Forecast'!M280</f>
        <v>722058</v>
      </c>
      <c r="N203" s="42">
        <f>'D4 Gallon Forecast'!N348+'D4 Gallon Forecast'!N364+'D6 Gallon Forecast'!N280</f>
        <v>392568</v>
      </c>
      <c r="O203" s="42">
        <f>'D4 Gallon Forecast'!O348+'D4 Gallon Forecast'!O364+'D6 Gallon Forecast'!O280</f>
        <v>2911842</v>
      </c>
      <c r="P203" s="42">
        <f>'D4 Gallon Forecast'!P348+'D4 Gallon Forecast'!P364+'D6 Gallon Forecast'!P280</f>
        <v>4026790</v>
      </c>
      <c r="Q203" s="43">
        <f>'D4 Gallon Forecast'!Q348+'D4 Gallon Forecast'!Q364+'D6 Gallon Forecast'!Q280</f>
        <v>11770394.176198298</v>
      </c>
      <c r="R203" s="43">
        <f>'D4 Gallon Forecast'!R348+'D4 Gallon Forecast'!R364+'D6 Gallon Forecast'!R280</f>
        <v>42945445.735034242</v>
      </c>
      <c r="S203" s="43">
        <f>'D4 Gallon Forecast'!S348+'D4 Gallon Forecast'!S364+'D6 Gallon Forecast'!S280</f>
        <v>124365788.44880567</v>
      </c>
      <c r="T203" s="43">
        <f>'D4 Gallon Forecast'!T348+'D4 Gallon Forecast'!T364+'D6 Gallon Forecast'!T280</f>
        <v>162645699.40454593</v>
      </c>
      <c r="U203" s="43">
        <f>'D4 Gallon Forecast'!U348+'D4 Gallon Forecast'!U364+'D6 Gallon Forecast'!U280</f>
        <v>212448474.47981218</v>
      </c>
      <c r="V203" s="43">
        <f>'D4 Gallon Forecast'!V348+'D4 Gallon Forecast'!V364+'D6 Gallon Forecast'!V280</f>
        <v>286934462.00556856</v>
      </c>
      <c r="W203" s="43">
        <f>'D4 Gallon Forecast'!W348+'D4 Gallon Forecast'!W364+'D6 Gallon Forecast'!W280</f>
        <v>335562378.64462978</v>
      </c>
      <c r="X203" s="43">
        <f>'D4 Gallon Forecast'!X348+'D4 Gallon Forecast'!X364+'D6 Gallon Forecast'!X280</f>
        <v>424544009.54681194</v>
      </c>
      <c r="Y203" s="43">
        <f>'D4 Gallon Forecast'!Y348+'D4 Gallon Forecast'!Y364+'D6 Gallon Forecast'!Y280</f>
        <v>443259517.17043865</v>
      </c>
      <c r="Z203" s="43">
        <f>'D4 Gallon Forecast'!Z348+'D4 Gallon Forecast'!Z364+'D6 Gallon Forecast'!Z280</f>
        <v>481708352.9436273</v>
      </c>
      <c r="AA203" s="43">
        <f>'D4 Gallon Forecast'!AA348+'D4 Gallon Forecast'!AA364+'D6 Gallon Forecast'!AA280</f>
        <v>503259707.61227572</v>
      </c>
      <c r="AB203" s="43">
        <f>'D4 Gallon Forecast'!AB348+'D4 Gallon Forecast'!AB364+'D6 Gallon Forecast'!AB280</f>
        <v>387256820.03295845</v>
      </c>
      <c r="AC203" s="43">
        <f>'D4 Gallon Forecast'!AC348+'D4 Gallon Forecast'!AC364+'D6 Gallon Forecast'!AC280</f>
        <v>422728045.30291945</v>
      </c>
      <c r="AD203" s="43">
        <f>'D4 Gallon Forecast'!AD348+'D4 Gallon Forecast'!AD364+'D6 Gallon Forecast'!AD280</f>
        <v>475970232.15940487</v>
      </c>
      <c r="AE203" s="43">
        <f>'D4 Gallon Forecast'!AE348+'D4 Gallon Forecast'!AE364+'D6 Gallon Forecast'!AE280</f>
        <v>475793497.8353042</v>
      </c>
      <c r="AF203" s="43">
        <f>'D4 Gallon Forecast'!AF348+'D4 Gallon Forecast'!AF364+'D6 Gallon Forecast'!AF280</f>
        <v>473188160.68332803</v>
      </c>
      <c r="AG203" s="43">
        <f>'D4 Gallon Forecast'!AG348+'D4 Gallon Forecast'!AG364+'D6 Gallon Forecast'!AG280</f>
        <v>493772319.37976605</v>
      </c>
      <c r="AH203" s="43">
        <f>'D4 Gallon Forecast'!AH348+'D4 Gallon Forecast'!AH364+'D6 Gallon Forecast'!AH280</f>
        <v>509774334.43475008</v>
      </c>
      <c r="AI203" s="43">
        <f>'D4 Gallon Forecast'!AI348+'D4 Gallon Forecast'!AI364+'D6 Gallon Forecast'!AI280</f>
        <v>521485534.56446302</v>
      </c>
      <c r="AJ203" s="43">
        <f>'D4 Gallon Forecast'!AJ348+'D4 Gallon Forecast'!AJ364+'D6 Gallon Forecast'!AJ280</f>
        <v>527442051.93918288</v>
      </c>
      <c r="AK203" s="43">
        <f>'D4 Gallon Forecast'!AK348+'D4 Gallon Forecast'!AK364+'D6 Gallon Forecast'!AK280</f>
        <v>543115106.44728863</v>
      </c>
      <c r="AL203" s="43">
        <f>'D4 Gallon Forecast'!AL348+'D4 Gallon Forecast'!AL364+'D6 Gallon Forecast'!AL280</f>
        <v>572853291.73189974</v>
      </c>
      <c r="AM203" s="43">
        <f>'D4 Gallon Forecast'!AM348+'D4 Gallon Forecast'!AM364+'D6 Gallon Forecast'!AM280</f>
        <v>593537068.20316672</v>
      </c>
      <c r="AN203" s="43">
        <f>'D4 Gallon Forecast'!AN348+'D4 Gallon Forecast'!AN364+'D6 Gallon Forecast'!AN280</f>
        <v>594215278.47558987</v>
      </c>
      <c r="AO203" s="43">
        <f>'D4 Gallon Forecast'!AO348+'D4 Gallon Forecast'!AO364+'D6 Gallon Forecast'!AO280</f>
        <v>593222292.30504501</v>
      </c>
      <c r="AP203" s="43">
        <f>'D4 Gallon Forecast'!AP348+'D4 Gallon Forecast'!AP364+'D6 Gallon Forecast'!AP280</f>
        <v>607168442.55397356</v>
      </c>
      <c r="AQ203" s="43">
        <f>'D4 Gallon Forecast'!AQ348+'D4 Gallon Forecast'!AQ364+'D6 Gallon Forecast'!AQ280</f>
        <v>681657563.17546654</v>
      </c>
      <c r="AR203" s="43"/>
      <c r="AS203" s="55">
        <f t="shared" si="89"/>
        <v>0.23639229730721389</v>
      </c>
    </row>
    <row r="204" spans="1:45">
      <c r="A204" s="40" t="s">
        <v>51</v>
      </c>
      <c r="B204" s="42">
        <f>'D4 Gallon Forecast'!B349+'D4 Gallon Forecast'!B365+'D6 Gallon Forecast'!B281</f>
        <v>0</v>
      </c>
      <c r="C204" s="42">
        <f>'D4 Gallon Forecast'!C349+'D4 Gallon Forecast'!C365+'D6 Gallon Forecast'!C281</f>
        <v>0</v>
      </c>
      <c r="D204" s="42">
        <f>'D4 Gallon Forecast'!D349+'D4 Gallon Forecast'!D365+'D6 Gallon Forecast'!D281</f>
        <v>0</v>
      </c>
      <c r="E204" s="42">
        <f>'D4 Gallon Forecast'!E349+'D4 Gallon Forecast'!E365+'D6 Gallon Forecast'!E281</f>
        <v>0</v>
      </c>
      <c r="F204" s="42">
        <f>'D4 Gallon Forecast'!F349+'D4 Gallon Forecast'!F365+'D6 Gallon Forecast'!F281</f>
        <v>0</v>
      </c>
      <c r="G204" s="42">
        <f>'D4 Gallon Forecast'!G349+'D4 Gallon Forecast'!G365+'D6 Gallon Forecast'!G281</f>
        <v>0</v>
      </c>
      <c r="H204" s="42">
        <f>'D4 Gallon Forecast'!H349+'D4 Gallon Forecast'!H365+'D6 Gallon Forecast'!H281</f>
        <v>230790</v>
      </c>
      <c r="I204" s="42">
        <f>'D4 Gallon Forecast'!I349+'D4 Gallon Forecast'!I365+'D6 Gallon Forecast'!I281</f>
        <v>137952</v>
      </c>
      <c r="J204" s="42">
        <f>'D4 Gallon Forecast'!J349+'D4 Gallon Forecast'!J365+'D6 Gallon Forecast'!J281</f>
        <v>151082</v>
      </c>
      <c r="K204" s="42">
        <f>'D4 Gallon Forecast'!K349+'D4 Gallon Forecast'!K365+'D6 Gallon Forecast'!K281</f>
        <v>275529</v>
      </c>
      <c r="L204" s="42">
        <f>'D4 Gallon Forecast'!L349+'D4 Gallon Forecast'!L365+'D6 Gallon Forecast'!L281</f>
        <v>371169</v>
      </c>
      <c r="M204" s="42">
        <f>'D4 Gallon Forecast'!M349+'D4 Gallon Forecast'!M365+'D6 Gallon Forecast'!M281</f>
        <v>300122</v>
      </c>
      <c r="N204" s="42">
        <f>'D4 Gallon Forecast'!N349+'D4 Gallon Forecast'!N365+'D6 Gallon Forecast'!N281</f>
        <v>393571</v>
      </c>
      <c r="O204" s="42">
        <f>'D4 Gallon Forecast'!O349+'D4 Gallon Forecast'!O365+'D6 Gallon Forecast'!O281</f>
        <v>659302</v>
      </c>
      <c r="P204" s="42">
        <f>'D4 Gallon Forecast'!P349+'D4 Gallon Forecast'!P365+'D6 Gallon Forecast'!P281</f>
        <v>9238825</v>
      </c>
      <c r="Q204" s="43">
        <f>'D4 Gallon Forecast'!Q349+'D4 Gallon Forecast'!Q365+'D6 Gallon Forecast'!Q281</f>
        <v>12352933.632424854</v>
      </c>
      <c r="R204" s="43">
        <f>'D4 Gallon Forecast'!R349+'D4 Gallon Forecast'!R365+'D6 Gallon Forecast'!R281</f>
        <v>51996708.025440149</v>
      </c>
      <c r="S204" s="43">
        <f>'D4 Gallon Forecast'!S349+'D4 Gallon Forecast'!S365+'D6 Gallon Forecast'!S281</f>
        <v>150936320.87113687</v>
      </c>
      <c r="T204" s="43">
        <f>'D4 Gallon Forecast'!T349+'D4 Gallon Forecast'!T365+'D6 Gallon Forecast'!T281</f>
        <v>197816696.35851759</v>
      </c>
      <c r="U204" s="43">
        <f>'D4 Gallon Forecast'!U349+'D4 Gallon Forecast'!U365+'D6 Gallon Forecast'!U281</f>
        <v>259507549.87836725</v>
      </c>
      <c r="V204" s="43">
        <f>'D4 Gallon Forecast'!V349+'D4 Gallon Forecast'!V365+'D6 Gallon Forecast'!V281</f>
        <v>348256000.37040305</v>
      </c>
      <c r="W204" s="43">
        <f>'D4 Gallon Forecast'!W349+'D4 Gallon Forecast'!W365+'D6 Gallon Forecast'!W281</f>
        <v>408058415.89728802</v>
      </c>
      <c r="X204" s="43">
        <f>'D4 Gallon Forecast'!X349+'D4 Gallon Forecast'!X365+'D6 Gallon Forecast'!X281</f>
        <v>516349767.86017174</v>
      </c>
      <c r="Y204" s="43">
        <f>'D4 Gallon Forecast'!Y349+'D4 Gallon Forecast'!Y365+'D6 Gallon Forecast'!Y281</f>
        <v>539213100.98474038</v>
      </c>
      <c r="Z204" s="43">
        <f>'D4 Gallon Forecast'!Z349+'D4 Gallon Forecast'!Z365+'D6 Gallon Forecast'!Z281</f>
        <v>585995628.15935934</v>
      </c>
      <c r="AA204" s="43">
        <f>'D4 Gallon Forecast'!AA349+'D4 Gallon Forecast'!AA365+'D6 Gallon Forecast'!AA281</f>
        <v>611940915.26851034</v>
      </c>
      <c r="AB204" s="43">
        <f>'D4 Gallon Forecast'!AB349+'D4 Gallon Forecast'!AB365+'D6 Gallon Forecast'!AB281</f>
        <v>471000513.1409145</v>
      </c>
      <c r="AC204" s="43">
        <f>'D4 Gallon Forecast'!AC349+'D4 Gallon Forecast'!AC365+'D6 Gallon Forecast'!AC281</f>
        <v>514155322.37966496</v>
      </c>
      <c r="AD204" s="43">
        <f>'D4 Gallon Forecast'!AD349+'D4 Gallon Forecast'!AD365+'D6 Gallon Forecast'!AD281</f>
        <v>578915721.47631049</v>
      </c>
      <c r="AE204" s="43">
        <f>'D4 Gallon Forecast'!AE349+'D4 Gallon Forecast'!AE365+'D6 Gallon Forecast'!AE281</f>
        <v>578683382.78706324</v>
      </c>
      <c r="AF204" s="43">
        <f>'D4 Gallon Forecast'!AF349+'D4 Gallon Forecast'!AF365+'D6 Gallon Forecast'!AF281</f>
        <v>575489927.87385142</v>
      </c>
      <c r="AG204" s="43">
        <f>'D4 Gallon Forecast'!AG349+'D4 Gallon Forecast'!AG365+'D6 Gallon Forecast'!AG281</f>
        <v>600551254.67594326</v>
      </c>
      <c r="AH204" s="43">
        <f>'D4 Gallon Forecast'!AH349+'D4 Gallon Forecast'!AH365+'D6 Gallon Forecast'!AH281</f>
        <v>620013971.22608721</v>
      </c>
      <c r="AI204" s="43">
        <f>'D4 Gallon Forecast'!AI349+'D4 Gallon Forecast'!AI365+'D6 Gallon Forecast'!AI281</f>
        <v>634255257.49864268</v>
      </c>
      <c r="AJ204" s="43">
        <f>'D4 Gallon Forecast'!AJ349+'D4 Gallon Forecast'!AJ365+'D6 Gallon Forecast'!AJ281</f>
        <v>641495949.18487644</v>
      </c>
      <c r="AK204" s="43">
        <f>'D4 Gallon Forecast'!AK349+'D4 Gallon Forecast'!AK365+'D6 Gallon Forecast'!AK281</f>
        <v>660557182.06234705</v>
      </c>
      <c r="AL204" s="43">
        <f>'D4 Gallon Forecast'!AL349+'D4 Gallon Forecast'!AL365+'D6 Gallon Forecast'!AL281</f>
        <v>696730183.44994998</v>
      </c>
      <c r="AM204" s="43">
        <f>'D4 Gallon Forecast'!AM349+'D4 Gallon Forecast'!AM365+'D6 Gallon Forecast'!AM281</f>
        <v>721886079.01795352</v>
      </c>
      <c r="AN204" s="43">
        <f>'D4 Gallon Forecast'!AN349+'D4 Gallon Forecast'!AN365+'D6 Gallon Forecast'!AN281</f>
        <v>722710121.16820073</v>
      </c>
      <c r="AO204" s="43">
        <f>'D4 Gallon Forecast'!AO349+'D4 Gallon Forecast'!AO365+'D6 Gallon Forecast'!AO281</f>
        <v>721501953.68708563</v>
      </c>
      <c r="AP204" s="43">
        <f>'D4 Gallon Forecast'!AP349+'D4 Gallon Forecast'!AP365+'D6 Gallon Forecast'!AP281</f>
        <v>738464122.65584946</v>
      </c>
      <c r="AQ204" s="43">
        <f>'D4 Gallon Forecast'!AQ349+'D4 Gallon Forecast'!AQ365+'D6 Gallon Forecast'!AQ281</f>
        <v>829061549.92710483</v>
      </c>
      <c r="AR204" s="43"/>
      <c r="AS204" s="62"/>
    </row>
    <row r="205" spans="1:45">
      <c r="A205" s="40" t="s">
        <v>52</v>
      </c>
      <c r="B205" s="42">
        <f>'D4 Gallon Forecast'!B350+'D4 Gallon Forecast'!B366+'D6 Gallon Forecast'!B282</f>
        <v>0</v>
      </c>
      <c r="C205" s="42">
        <f>'D4 Gallon Forecast'!C350+'D4 Gallon Forecast'!C366+'D6 Gallon Forecast'!C282</f>
        <v>0</v>
      </c>
      <c r="D205" s="42">
        <f>'D4 Gallon Forecast'!D350+'D4 Gallon Forecast'!D366+'D6 Gallon Forecast'!D282</f>
        <v>0</v>
      </c>
      <c r="E205" s="42">
        <f>'D4 Gallon Forecast'!E350+'D4 Gallon Forecast'!E366+'D6 Gallon Forecast'!E282</f>
        <v>0</v>
      </c>
      <c r="F205" s="42">
        <f>'D4 Gallon Forecast'!F350+'D4 Gallon Forecast'!F366+'D6 Gallon Forecast'!F282</f>
        <v>0</v>
      </c>
      <c r="G205" s="42">
        <f>'D4 Gallon Forecast'!G350+'D4 Gallon Forecast'!G366+'D6 Gallon Forecast'!G282</f>
        <v>0</v>
      </c>
      <c r="H205" s="42">
        <f>'D4 Gallon Forecast'!H350+'D4 Gallon Forecast'!H366+'D6 Gallon Forecast'!H282</f>
        <v>181093</v>
      </c>
      <c r="I205" s="42">
        <f>'D4 Gallon Forecast'!I350+'D4 Gallon Forecast'!I366+'D6 Gallon Forecast'!I282</f>
        <v>160272</v>
      </c>
      <c r="J205" s="42">
        <f>'D4 Gallon Forecast'!J350+'D4 Gallon Forecast'!J366+'D6 Gallon Forecast'!J282</f>
        <v>229089</v>
      </c>
      <c r="K205" s="42">
        <f>'D4 Gallon Forecast'!K350+'D4 Gallon Forecast'!K366+'D6 Gallon Forecast'!K282</f>
        <v>216574</v>
      </c>
      <c r="L205" s="42">
        <f>'D4 Gallon Forecast'!L350+'D4 Gallon Forecast'!L366+'D6 Gallon Forecast'!L282</f>
        <v>188416</v>
      </c>
      <c r="M205" s="42">
        <f>'D4 Gallon Forecast'!M350+'D4 Gallon Forecast'!M366+'D6 Gallon Forecast'!M282</f>
        <v>437741</v>
      </c>
      <c r="N205" s="42">
        <f>'D4 Gallon Forecast'!N350+'D4 Gallon Forecast'!N366+'D6 Gallon Forecast'!N282</f>
        <v>1764631</v>
      </c>
      <c r="O205" s="42">
        <f>'D4 Gallon Forecast'!O350+'D4 Gallon Forecast'!O366+'D6 Gallon Forecast'!O282</f>
        <v>1953292</v>
      </c>
      <c r="P205" s="42">
        <f>'D4 Gallon Forecast'!P350+'D4 Gallon Forecast'!P366+'D6 Gallon Forecast'!P282</f>
        <v>4385751</v>
      </c>
      <c r="Q205" s="43">
        <f>'D4 Gallon Forecast'!Q350+'D4 Gallon Forecast'!Q366+'D6 Gallon Forecast'!Q282</f>
        <v>14804325.59477609</v>
      </c>
      <c r="R205" s="43">
        <f>'D4 Gallon Forecast'!R350+'D4 Gallon Forecast'!R366+'D6 Gallon Forecast'!R282</f>
        <v>51799170.449949764</v>
      </c>
      <c r="S205" s="43">
        <f>'D4 Gallon Forecast'!S350+'D4 Gallon Forecast'!S366+'D6 Gallon Forecast'!S282</f>
        <v>146987407.50142556</v>
      </c>
      <c r="T205" s="43">
        <f>'D4 Gallon Forecast'!T350+'D4 Gallon Forecast'!T366+'D6 Gallon Forecast'!T282</f>
        <v>192772279.50451347</v>
      </c>
      <c r="U205" s="43">
        <f>'D4 Gallon Forecast'!U350+'D4 Gallon Forecast'!U366+'D6 Gallon Forecast'!U282</f>
        <v>252384512.43171611</v>
      </c>
      <c r="V205" s="43">
        <f>'D4 Gallon Forecast'!V350+'D4 Gallon Forecast'!V366+'D6 Gallon Forecast'!V282</f>
        <v>341078435.46241087</v>
      </c>
      <c r="W205" s="43">
        <f>'D4 Gallon Forecast'!W350+'D4 Gallon Forecast'!W366+'D6 Gallon Forecast'!W282</f>
        <v>398553442.25845426</v>
      </c>
      <c r="X205" s="43">
        <f>'D4 Gallon Forecast'!X350+'D4 Gallon Forecast'!X366+'D6 Gallon Forecast'!X282</f>
        <v>503938791.68250573</v>
      </c>
      <c r="Y205" s="43">
        <f>'D4 Gallon Forecast'!Y350+'D4 Gallon Forecast'!Y366+'D6 Gallon Forecast'!Y282</f>
        <v>526352636.33238775</v>
      </c>
      <c r="Z205" s="43">
        <f>'D4 Gallon Forecast'!Z350+'D4 Gallon Forecast'!Z366+'D6 Gallon Forecast'!Z282</f>
        <v>572111719.76345897</v>
      </c>
      <c r="AA205" s="43">
        <f>'D4 Gallon Forecast'!AA350+'D4 Gallon Forecast'!AA366+'D6 Gallon Forecast'!AA282</f>
        <v>597690999.03600705</v>
      </c>
      <c r="AB205" s="43">
        <f>'D4 Gallon Forecast'!AB350+'D4 Gallon Forecast'!AB366+'D6 Gallon Forecast'!AB282</f>
        <v>459867651.55774254</v>
      </c>
      <c r="AC205" s="43">
        <f>'D4 Gallon Forecast'!AC350+'D4 Gallon Forecast'!AC366+'D6 Gallon Forecast'!AC282</f>
        <v>501975978.49151564</v>
      </c>
      <c r="AD205" s="43">
        <f>'D4 Gallon Forecast'!AD350+'D4 Gallon Forecast'!AD366+'D6 Gallon Forecast'!AD282</f>
        <v>565240532.89830947</v>
      </c>
      <c r="AE205" s="43">
        <f>'D4 Gallon Forecast'!AE350+'D4 Gallon Forecast'!AE366+'D6 Gallon Forecast'!AE282</f>
        <v>565039481.05127645</v>
      </c>
      <c r="AF205" s="43">
        <f>'D4 Gallon Forecast'!AF350+'D4 Gallon Forecast'!AF366+'D6 Gallon Forecast'!AF282</f>
        <v>561935442.73680806</v>
      </c>
      <c r="AG205" s="43">
        <f>'D4 Gallon Forecast'!AG350+'D4 Gallon Forecast'!AG366+'D6 Gallon Forecast'!AG282</f>
        <v>586370467.75575387</v>
      </c>
      <c r="AH205" s="43">
        <f>'D4 Gallon Forecast'!AH350+'D4 Gallon Forecast'!AH366+'D6 Gallon Forecast'!AH282</f>
        <v>605376039.6682775</v>
      </c>
      <c r="AI205" s="43">
        <f>'D4 Gallon Forecast'!AI350+'D4 Gallon Forecast'!AI366+'D6 Gallon Forecast'!AI282</f>
        <v>619289828.24733794</v>
      </c>
      <c r="AJ205" s="43">
        <f>'D4 Gallon Forecast'!AJ350+'D4 Gallon Forecast'!AJ366+'D6 Gallon Forecast'!AJ282</f>
        <v>626362980.64901257</v>
      </c>
      <c r="AK205" s="43">
        <f>'D4 Gallon Forecast'!AK350+'D4 Gallon Forecast'!AK366+'D6 Gallon Forecast'!AK282</f>
        <v>644972984.62789977</v>
      </c>
      <c r="AL205" s="43">
        <f>'D4 Gallon Forecast'!AL350+'D4 Gallon Forecast'!AL366+'D6 Gallon Forecast'!AL282</f>
        <v>680287550.5487324</v>
      </c>
      <c r="AM205" s="43">
        <f>'D4 Gallon Forecast'!AM350+'D4 Gallon Forecast'!AM366+'D6 Gallon Forecast'!AM282</f>
        <v>704851538.19353807</v>
      </c>
      <c r="AN205" s="43">
        <f>'D4 Gallon Forecast'!AN350+'D4 Gallon Forecast'!AN366+'D6 Gallon Forecast'!AN282</f>
        <v>705657706.53742337</v>
      </c>
      <c r="AO205" s="43">
        <f>'D4 Gallon Forecast'!AO350+'D4 Gallon Forecast'!AO366+'D6 Gallon Forecast'!AO282</f>
        <v>704478070.10873139</v>
      </c>
      <c r="AP205" s="43">
        <f>'D4 Gallon Forecast'!AP350+'D4 Gallon Forecast'!AP366+'D6 Gallon Forecast'!AP282</f>
        <v>721039351.58478773</v>
      </c>
      <c r="AQ205" s="43">
        <f>'D4 Gallon Forecast'!AQ350+'D4 Gallon Forecast'!AQ366+'D6 Gallon Forecast'!AQ282</f>
        <v>809498519.53192782</v>
      </c>
      <c r="AR205" s="43"/>
    </row>
    <row r="206" spans="1:45">
      <c r="A206" s="40" t="s">
        <v>53</v>
      </c>
      <c r="B206" s="42">
        <f>'D4 Gallon Forecast'!B351+'D4 Gallon Forecast'!B367+'D6 Gallon Forecast'!B283</f>
        <v>0</v>
      </c>
      <c r="C206" s="42">
        <f>'D4 Gallon Forecast'!C351+'D4 Gallon Forecast'!C367+'D6 Gallon Forecast'!C283</f>
        <v>0</v>
      </c>
      <c r="D206" s="42">
        <f>'D4 Gallon Forecast'!D351+'D4 Gallon Forecast'!D367+'D6 Gallon Forecast'!D283</f>
        <v>0</v>
      </c>
      <c r="E206" s="42">
        <f>'D4 Gallon Forecast'!E351+'D4 Gallon Forecast'!E367+'D6 Gallon Forecast'!E283</f>
        <v>0</v>
      </c>
      <c r="F206" s="42">
        <f>'D4 Gallon Forecast'!F351+'D4 Gallon Forecast'!F367+'D6 Gallon Forecast'!F283</f>
        <v>0</v>
      </c>
      <c r="G206" s="42">
        <f>'D4 Gallon Forecast'!G351+'D4 Gallon Forecast'!G367+'D6 Gallon Forecast'!G283</f>
        <v>0</v>
      </c>
      <c r="H206" s="42">
        <f>'D4 Gallon Forecast'!H351+'D4 Gallon Forecast'!H367+'D6 Gallon Forecast'!H283</f>
        <v>192991</v>
      </c>
      <c r="I206" s="42">
        <f>'D4 Gallon Forecast'!I351+'D4 Gallon Forecast'!I367+'D6 Gallon Forecast'!I283</f>
        <v>68957</v>
      </c>
      <c r="J206" s="42">
        <f>'D4 Gallon Forecast'!J351+'D4 Gallon Forecast'!J367+'D6 Gallon Forecast'!J283</f>
        <v>152783</v>
      </c>
      <c r="K206" s="42">
        <f>'D4 Gallon Forecast'!K351+'D4 Gallon Forecast'!K367+'D6 Gallon Forecast'!K283</f>
        <v>91175</v>
      </c>
      <c r="L206" s="42">
        <f>'D4 Gallon Forecast'!L351+'D4 Gallon Forecast'!L367+'D6 Gallon Forecast'!L283</f>
        <v>188201</v>
      </c>
      <c r="M206" s="42">
        <f>'D4 Gallon Forecast'!M351+'D4 Gallon Forecast'!M367+'D6 Gallon Forecast'!M283</f>
        <v>403482</v>
      </c>
      <c r="N206" s="42">
        <f>'D4 Gallon Forecast'!N351+'D4 Gallon Forecast'!N367+'D6 Gallon Forecast'!N283</f>
        <v>152226</v>
      </c>
      <c r="O206" s="42">
        <f>'D4 Gallon Forecast'!O351+'D4 Gallon Forecast'!O367+'D6 Gallon Forecast'!O283</f>
        <v>449778</v>
      </c>
      <c r="P206" s="42">
        <f>'D4 Gallon Forecast'!P351+'D4 Gallon Forecast'!P367+'D6 Gallon Forecast'!P283</f>
        <v>2385423</v>
      </c>
      <c r="Q206" s="43">
        <f>'D4 Gallon Forecast'!Q351+'D4 Gallon Forecast'!Q367+'D6 Gallon Forecast'!Q283</f>
        <v>16380536.413000446</v>
      </c>
      <c r="R206" s="43">
        <f>'D4 Gallon Forecast'!R351+'D4 Gallon Forecast'!R367+'D6 Gallon Forecast'!R283</f>
        <v>43786179.408729203</v>
      </c>
      <c r="S206" s="43">
        <f>'D4 Gallon Forecast'!S351+'D4 Gallon Forecast'!S367+'D6 Gallon Forecast'!S283</f>
        <v>126741845.49121414</v>
      </c>
      <c r="T206" s="43">
        <f>'D4 Gallon Forecast'!T351+'D4 Gallon Forecast'!T367+'D6 Gallon Forecast'!T283</f>
        <v>166288438.47560069</v>
      </c>
      <c r="U206" s="43">
        <f>'D4 Gallon Forecast'!U351+'D4 Gallon Forecast'!U367+'D6 Gallon Forecast'!U283</f>
        <v>218487472.43177387</v>
      </c>
      <c r="V206" s="43">
        <f>'D4 Gallon Forecast'!V351+'D4 Gallon Forecast'!V367+'D6 Gallon Forecast'!V283</f>
        <v>295999889.94310719</v>
      </c>
      <c r="W206" s="43">
        <f>'D4 Gallon Forecast'!W351+'D4 Gallon Forecast'!W367+'D6 Gallon Forecast'!W283</f>
        <v>344449298.80517775</v>
      </c>
      <c r="X206" s="43">
        <f>'D4 Gallon Forecast'!X351+'D4 Gallon Forecast'!X367+'D6 Gallon Forecast'!X283</f>
        <v>435899728.45442837</v>
      </c>
      <c r="Y206" s="43">
        <f>'D4 Gallon Forecast'!Y351+'D4 Gallon Forecast'!Y367+'D6 Gallon Forecast'!Y283</f>
        <v>455412091.58544821</v>
      </c>
      <c r="Z206" s="43">
        <f>'D4 Gallon Forecast'!Z351+'D4 Gallon Forecast'!Z367+'D6 Gallon Forecast'!Z283</f>
        <v>495146020.60505652</v>
      </c>
      <c r="AA206" s="43">
        <f>'D4 Gallon Forecast'!AA351+'D4 Gallon Forecast'!AA367+'D6 Gallon Forecast'!AA283</f>
        <v>517269841.89440447</v>
      </c>
      <c r="AB206" s="43">
        <f>'D4 Gallon Forecast'!AB351+'D4 Gallon Forecast'!AB367+'D6 Gallon Forecast'!AB283</f>
        <v>397846892.7623831</v>
      </c>
      <c r="AC206" s="43">
        <f>'D4 Gallon Forecast'!AC351+'D4 Gallon Forecast'!AC367+'D6 Gallon Forecast'!AC283</f>
        <v>434342760.19127095</v>
      </c>
      <c r="AD206" s="43">
        <f>'D4 Gallon Forecast'!AD351+'D4 Gallon Forecast'!AD367+'D6 Gallon Forecast'!AD283</f>
        <v>489113496.70413357</v>
      </c>
      <c r="AE206" s="43">
        <f>'D4 Gallon Forecast'!AE351+'D4 Gallon Forecast'!AE367+'D6 Gallon Forecast'!AE283</f>
        <v>488950199.75573337</v>
      </c>
      <c r="AF206" s="43">
        <f>'D4 Gallon Forecast'!AF351+'D4 Gallon Forecast'!AF367+'D6 Gallon Forecast'!AF283</f>
        <v>486248291.63399762</v>
      </c>
      <c r="AG206" s="43">
        <f>'D4 Gallon Forecast'!AG351+'D4 Gallon Forecast'!AG367+'D6 Gallon Forecast'!AG283</f>
        <v>507374062.69245309</v>
      </c>
      <c r="AH206" s="43">
        <f>'D4 Gallon Forecast'!AH351+'D4 Gallon Forecast'!AH367+'D6 Gallon Forecast'!AH283</f>
        <v>523833758.70202166</v>
      </c>
      <c r="AI206" s="43">
        <f>'D4 Gallon Forecast'!AI351+'D4 Gallon Forecast'!AI367+'D6 Gallon Forecast'!AI283</f>
        <v>535877398.32850617</v>
      </c>
      <c r="AJ206" s="43">
        <f>'D4 Gallon Forecast'!AJ351+'D4 Gallon Forecast'!AJ367+'D6 Gallon Forecast'!AJ283</f>
        <v>541996698.55620825</v>
      </c>
      <c r="AK206" s="43">
        <f>'D4 Gallon Forecast'!AK351+'D4 Gallon Forecast'!AK367+'D6 Gallon Forecast'!AK283</f>
        <v>558096380.04823458</v>
      </c>
      <c r="AL206" s="43">
        <f>'D4 Gallon Forecast'!AL351+'D4 Gallon Forecast'!AL367+'D6 Gallon Forecast'!AL283</f>
        <v>588653158.76595783</v>
      </c>
      <c r="AM206" s="43">
        <f>'D4 Gallon Forecast'!AM351+'D4 Gallon Forecast'!AM367+'D6 Gallon Forecast'!AM283</f>
        <v>609911185.05111206</v>
      </c>
      <c r="AN206" s="43">
        <f>'D4 Gallon Forecast'!AN351+'D4 Gallon Forecast'!AN367+'D6 Gallon Forecast'!AN283</f>
        <v>610608945.57455766</v>
      </c>
      <c r="AO206" s="43">
        <f>'D4 Gallon Forecast'!AO351+'D4 Gallon Forecast'!AO367+'D6 Gallon Forecast'!AO283</f>
        <v>609587575.00664842</v>
      </c>
      <c r="AP206" s="43">
        <f>'D4 Gallon Forecast'!AP351+'D4 Gallon Forecast'!AP367+'D6 Gallon Forecast'!AP283</f>
        <v>623917610.26345956</v>
      </c>
      <c r="AQ206" s="43">
        <f>'D4 Gallon Forecast'!AQ351+'D4 Gallon Forecast'!AQ367+'D6 Gallon Forecast'!AQ283</f>
        <v>700461781.47597051</v>
      </c>
      <c r="AR206" s="43"/>
    </row>
    <row r="207" spans="1:45">
      <c r="A207" s="40" t="s">
        <v>54</v>
      </c>
      <c r="B207" s="42">
        <f>'D4 Gallon Forecast'!B352+'D4 Gallon Forecast'!B368+'D6 Gallon Forecast'!B284</f>
        <v>0</v>
      </c>
      <c r="C207" s="42">
        <f>'D4 Gallon Forecast'!C352+'D4 Gallon Forecast'!C368+'D6 Gallon Forecast'!C284</f>
        <v>0</v>
      </c>
      <c r="D207" s="42">
        <f>'D4 Gallon Forecast'!D352+'D4 Gallon Forecast'!D368+'D6 Gallon Forecast'!D284</f>
        <v>0</v>
      </c>
      <c r="E207" s="42">
        <f>'D4 Gallon Forecast'!E352+'D4 Gallon Forecast'!E368+'D6 Gallon Forecast'!E284</f>
        <v>0</v>
      </c>
      <c r="F207" s="42">
        <f>'D4 Gallon Forecast'!F352+'D4 Gallon Forecast'!F368+'D6 Gallon Forecast'!F284</f>
        <v>0</v>
      </c>
      <c r="G207" s="42">
        <f>'D4 Gallon Forecast'!G352+'D4 Gallon Forecast'!G368+'D6 Gallon Forecast'!G284</f>
        <v>0</v>
      </c>
      <c r="H207" s="42">
        <f>'D4 Gallon Forecast'!H352+'D4 Gallon Forecast'!H368+'D6 Gallon Forecast'!H284</f>
        <v>178772</v>
      </c>
      <c r="I207" s="42">
        <f>'D4 Gallon Forecast'!I352+'D4 Gallon Forecast'!I368+'D6 Gallon Forecast'!I284</f>
        <v>201266</v>
      </c>
      <c r="J207" s="42">
        <f>'D4 Gallon Forecast'!J352+'D4 Gallon Forecast'!J368+'D6 Gallon Forecast'!J284</f>
        <v>272240</v>
      </c>
      <c r="K207" s="42">
        <f>'D4 Gallon Forecast'!K352+'D4 Gallon Forecast'!K368+'D6 Gallon Forecast'!K284</f>
        <v>137333</v>
      </c>
      <c r="L207" s="42">
        <f>'D4 Gallon Forecast'!L352+'D4 Gallon Forecast'!L368+'D6 Gallon Forecast'!L284</f>
        <v>194662</v>
      </c>
      <c r="M207" s="42">
        <f>'D4 Gallon Forecast'!M352+'D4 Gallon Forecast'!M368+'D6 Gallon Forecast'!M284</f>
        <v>308503</v>
      </c>
      <c r="N207" s="42">
        <f>'D4 Gallon Forecast'!N352+'D4 Gallon Forecast'!N368+'D6 Gallon Forecast'!N284</f>
        <v>100555</v>
      </c>
      <c r="O207" s="42">
        <f>'D4 Gallon Forecast'!O352+'D4 Gallon Forecast'!O368+'D6 Gallon Forecast'!O284</f>
        <v>132329</v>
      </c>
      <c r="P207" s="42">
        <f>'D4 Gallon Forecast'!P352+'D4 Gallon Forecast'!P368+'D6 Gallon Forecast'!P284</f>
        <v>2161094</v>
      </c>
      <c r="Q207" s="43">
        <f>'D4 Gallon Forecast'!Q352+'D4 Gallon Forecast'!Q368+'D6 Gallon Forecast'!Q284</f>
        <v>15071413.644033596</v>
      </c>
      <c r="R207" s="43">
        <f>'D4 Gallon Forecast'!R352+'D4 Gallon Forecast'!R368+'D6 Gallon Forecast'!R284</f>
        <v>39496037.437086999</v>
      </c>
      <c r="S207" s="43">
        <f>'D4 Gallon Forecast'!S352+'D4 Gallon Forecast'!S368+'D6 Gallon Forecast'!S284</f>
        <v>113369049.15085673</v>
      </c>
      <c r="T207" s="43">
        <f>'D4 Gallon Forecast'!T352+'D4 Gallon Forecast'!T368+'D6 Gallon Forecast'!T284</f>
        <v>149528650.70780087</v>
      </c>
      <c r="U207" s="43">
        <f>'D4 Gallon Forecast'!U352+'D4 Gallon Forecast'!U368+'D6 Gallon Forecast'!U284</f>
        <v>196394213.84245372</v>
      </c>
      <c r="V207" s="43">
        <f>'D4 Gallon Forecast'!V352+'D4 Gallon Forecast'!V368+'D6 Gallon Forecast'!V284</f>
        <v>266059903.34325171</v>
      </c>
      <c r="W207" s="43">
        <f>'D4 Gallon Forecast'!W352+'D4 Gallon Forecast'!W368+'D6 Gallon Forecast'!W284</f>
        <v>309468017.41029167</v>
      </c>
      <c r="X207" s="43">
        <f>'D4 Gallon Forecast'!X352+'D4 Gallon Forecast'!X368+'D6 Gallon Forecast'!X284</f>
        <v>391571725.85410309</v>
      </c>
      <c r="Y207" s="43">
        <f>'D4 Gallon Forecast'!Y352+'D4 Gallon Forecast'!Y368+'D6 Gallon Forecast'!Y284</f>
        <v>409250679.06665039</v>
      </c>
      <c r="Z207" s="43">
        <f>'D4 Gallon Forecast'!Z352+'D4 Gallon Forecast'!Z368+'D6 Gallon Forecast'!Z284</f>
        <v>444930081.94314384</v>
      </c>
      <c r="AA207" s="43">
        <f>'D4 Gallon Forecast'!AA352+'D4 Gallon Forecast'!AA368+'D6 Gallon Forecast'!AA284</f>
        <v>464793606.62914944</v>
      </c>
      <c r="AB207" s="43">
        <f>'D4 Gallon Forecast'!AB352+'D4 Gallon Forecast'!AB368+'D6 Gallon Forecast'!AB284</f>
        <v>357470227.66794682</v>
      </c>
      <c r="AC207" s="43">
        <f>'D4 Gallon Forecast'!AC352+'D4 Gallon Forecast'!AC368+'D6 Gallon Forecast'!AC284</f>
        <v>390266701.19342613</v>
      </c>
      <c r="AD207" s="43">
        <f>'D4 Gallon Forecast'!AD352+'D4 Gallon Forecast'!AD368+'D6 Gallon Forecast'!AD284</f>
        <v>439499413.31568813</v>
      </c>
      <c r="AE207" s="43">
        <f>'D4 Gallon Forecast'!AE352+'D4 Gallon Forecast'!AE368+'D6 Gallon Forecast'!AE284</f>
        <v>439345534.13390923</v>
      </c>
      <c r="AF207" s="43">
        <f>'D4 Gallon Forecast'!AF352+'D4 Gallon Forecast'!AF368+'D6 Gallon Forecast'!AF284</f>
        <v>436914123.79586601</v>
      </c>
      <c r="AG207" s="43">
        <f>'D4 Gallon Forecast'!AG352+'D4 Gallon Forecast'!AG368+'D6 Gallon Forecast'!AG284</f>
        <v>455895319.30239582</v>
      </c>
      <c r="AH207" s="43">
        <f>'D4 Gallon Forecast'!AH352+'D4 Gallon Forecast'!AH368+'D6 Gallon Forecast'!AH284</f>
        <v>470687319.42735004</v>
      </c>
      <c r="AI207" s="43">
        <f>'D4 Gallon Forecast'!AI352+'D4 Gallon Forecast'!AI368+'D6 Gallon Forecast'!AI284</f>
        <v>481511001.08934021</v>
      </c>
      <c r="AJ207" s="43">
        <f>'D4 Gallon Forecast'!AJ352+'D4 Gallon Forecast'!AJ368+'D6 Gallon Forecast'!AJ284</f>
        <v>487007779.77842999</v>
      </c>
      <c r="AK207" s="43">
        <f>'D4 Gallon Forecast'!AK352+'D4 Gallon Forecast'!AK368+'D6 Gallon Forecast'!AK284</f>
        <v>501473541.98431492</v>
      </c>
      <c r="AL207" s="43">
        <f>'D4 Gallon Forecast'!AL352+'D4 Gallon Forecast'!AL368+'D6 Gallon Forecast'!AL284</f>
        <v>528930301.44974709</v>
      </c>
      <c r="AM207" s="43">
        <f>'D4 Gallon Forecast'!AM352+'D4 Gallon Forecast'!AM368+'D6 Gallon Forecast'!AM284</f>
        <v>548032045.3438158</v>
      </c>
      <c r="AN207" s="43">
        <f>'D4 Gallon Forecast'!AN352+'D4 Gallon Forecast'!AN368+'D6 Gallon Forecast'!AN284</f>
        <v>548659093.50410557</v>
      </c>
      <c r="AO207" s="43">
        <f>'D4 Gallon Forecast'!AO352+'D4 Gallon Forecast'!AO368+'D6 Gallon Forecast'!AO284</f>
        <v>547741032.26588535</v>
      </c>
      <c r="AP207" s="43">
        <f>'D4 Gallon Forecast'!AP352+'D4 Gallon Forecast'!AP368+'D6 Gallon Forecast'!AP284</f>
        <v>560617173.41559696</v>
      </c>
      <c r="AQ207" s="43">
        <f>'D4 Gallon Forecast'!AQ352+'D4 Gallon Forecast'!AQ368+'D6 Gallon Forecast'!AQ284</f>
        <v>629395537.2838068</v>
      </c>
      <c r="AR207" s="43"/>
    </row>
    <row r="208" spans="1:45" ht="12" thickBot="1">
      <c r="A208" s="48" t="s">
        <v>29</v>
      </c>
      <c r="B208" s="49">
        <f>SUM(B196:B207)</f>
        <v>0</v>
      </c>
      <c r="C208" s="49">
        <f t="shared" ref="C208:AQ208" si="90">SUM(C196:C207)</f>
        <v>0</v>
      </c>
      <c r="D208" s="49">
        <f t="shared" si="90"/>
        <v>0</v>
      </c>
      <c r="E208" s="49">
        <f t="shared" si="90"/>
        <v>0</v>
      </c>
      <c r="F208" s="49">
        <f t="shared" si="90"/>
        <v>0</v>
      </c>
      <c r="G208" s="49">
        <f t="shared" si="90"/>
        <v>0</v>
      </c>
      <c r="H208" s="49">
        <f t="shared" si="90"/>
        <v>783646</v>
      </c>
      <c r="I208" s="49">
        <f t="shared" si="90"/>
        <v>1711017</v>
      </c>
      <c r="J208" s="49">
        <f t="shared" si="90"/>
        <v>1828178</v>
      </c>
      <c r="K208" s="49">
        <f t="shared" si="90"/>
        <v>2428702</v>
      </c>
      <c r="L208" s="49">
        <f t="shared" si="90"/>
        <v>4608399</v>
      </c>
      <c r="M208" s="49">
        <f t="shared" si="90"/>
        <v>5076623</v>
      </c>
      <c r="N208" s="49">
        <f t="shared" si="90"/>
        <v>7893137</v>
      </c>
      <c r="O208" s="49">
        <f t="shared" si="90"/>
        <v>14016105</v>
      </c>
      <c r="P208" s="49">
        <f t="shared" si="90"/>
        <v>38708893</v>
      </c>
      <c r="Q208" s="50">
        <f t="shared" si="90"/>
        <v>139544849.77585417</v>
      </c>
      <c r="R208" s="50">
        <f t="shared" si="90"/>
        <v>460884952.28818947</v>
      </c>
      <c r="S208" s="50">
        <f t="shared" si="90"/>
        <v>1325024691.6580548</v>
      </c>
      <c r="T208" s="50">
        <f t="shared" si="90"/>
        <v>1736127605.2408397</v>
      </c>
      <c r="U208" s="50">
        <f t="shared" si="90"/>
        <v>2273618843.0182934</v>
      </c>
      <c r="V208" s="50">
        <f t="shared" si="90"/>
        <v>3073056748.9326878</v>
      </c>
      <c r="W208" s="50">
        <f t="shared" si="90"/>
        <v>3588403842.4726381</v>
      </c>
      <c r="X208" s="50">
        <f t="shared" si="90"/>
        <v>4539326563.3096561</v>
      </c>
      <c r="Y208" s="50">
        <f t="shared" si="90"/>
        <v>4740909735.4269781</v>
      </c>
      <c r="Z208" s="50">
        <f t="shared" si="90"/>
        <v>5153120368.9732685</v>
      </c>
      <c r="AA208" s="50">
        <f t="shared" si="90"/>
        <v>5383430335.0758305</v>
      </c>
      <c r="AB208" s="50">
        <f t="shared" si="90"/>
        <v>4141881413.0584121</v>
      </c>
      <c r="AC208" s="50">
        <f t="shared" si="90"/>
        <v>4521371708.7055407</v>
      </c>
      <c r="AD208" s="50">
        <f t="shared" si="90"/>
        <v>5091146297.1830416</v>
      </c>
      <c r="AE208" s="50">
        <f t="shared" si="90"/>
        <v>5089329457.8410053</v>
      </c>
      <c r="AF208" s="50">
        <f t="shared" si="90"/>
        <v>5061352265.7506943</v>
      </c>
      <c r="AG208" s="50">
        <f t="shared" si="90"/>
        <v>5281432384.5857172</v>
      </c>
      <c r="AH208" s="50">
        <f t="shared" si="90"/>
        <v>5452646167.7281857</v>
      </c>
      <c r="AI208" s="50">
        <f t="shared" si="90"/>
        <v>5577956616.7679939</v>
      </c>
      <c r="AJ208" s="50">
        <f t="shared" si="90"/>
        <v>5641661915.2152557</v>
      </c>
      <c r="AK208" s="50">
        <f t="shared" si="90"/>
        <v>5809280526.8083544</v>
      </c>
      <c r="AL208" s="50">
        <f t="shared" si="90"/>
        <v>6127361068.3523865</v>
      </c>
      <c r="AM208" s="50">
        <f t="shared" si="90"/>
        <v>6348612853.4748421</v>
      </c>
      <c r="AN208" s="50">
        <f t="shared" si="90"/>
        <v>6355871604.794714</v>
      </c>
      <c r="AO208" s="50">
        <f t="shared" si="90"/>
        <v>6345246171.1034651</v>
      </c>
      <c r="AP208" s="50">
        <f t="shared" si="90"/>
        <v>6494413981.4335413</v>
      </c>
      <c r="AQ208" s="50">
        <f t="shared" si="90"/>
        <v>7291167790.0887423</v>
      </c>
      <c r="AR208" s="43"/>
    </row>
    <row r="209" spans="1:44">
      <c r="A209" s="51"/>
      <c r="B209" s="51"/>
      <c r="C209" s="51"/>
      <c r="D209" s="51"/>
      <c r="E209" s="51"/>
      <c r="F209" s="51"/>
      <c r="G209" s="51"/>
      <c r="H209" s="51"/>
      <c r="I209" s="51"/>
      <c r="J209" s="51"/>
      <c r="K209" s="51"/>
      <c r="L209" s="51"/>
      <c r="M209" s="52">
        <f t="shared" ref="M209" si="91">M203/M202-1</f>
        <v>-0.3394757761679682</v>
      </c>
      <c r="N209" s="53"/>
      <c r="O209" s="54"/>
      <c r="P209" s="54"/>
      <c r="Q209" s="53"/>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row>
    <row r="210" spans="1:44" ht="12" thickBot="1">
      <c r="A210" s="39" t="s">
        <v>135</v>
      </c>
    </row>
    <row r="211" spans="1:44" ht="12" thickBot="1">
      <c r="A211" s="41" t="s">
        <v>111</v>
      </c>
      <c r="B211" s="41" t="s">
        <v>112</v>
      </c>
      <c r="C211" s="41" t="s">
        <v>113</v>
      </c>
      <c r="D211" s="41" t="s">
        <v>114</v>
      </c>
      <c r="E211" s="41" t="s">
        <v>115</v>
      </c>
      <c r="F211" s="41" t="s">
        <v>116</v>
      </c>
      <c r="G211" s="41" t="s">
        <v>117</v>
      </c>
      <c r="H211" s="41" t="s">
        <v>118</v>
      </c>
      <c r="I211" s="41" t="s">
        <v>119</v>
      </c>
      <c r="J211" s="41" t="s">
        <v>120</v>
      </c>
      <c r="K211" s="41" t="s">
        <v>121</v>
      </c>
      <c r="L211" s="41" t="s">
        <v>122</v>
      </c>
      <c r="M211" s="41" t="s">
        <v>123</v>
      </c>
      <c r="N211" s="41" t="s">
        <v>124</v>
      </c>
      <c r="O211" s="41" t="s">
        <v>125</v>
      </c>
      <c r="P211" s="41" t="s">
        <v>126</v>
      </c>
      <c r="Q211" s="41" t="s">
        <v>127</v>
      </c>
      <c r="R211" s="41" t="s">
        <v>128</v>
      </c>
      <c r="S211" s="41" t="s">
        <v>129</v>
      </c>
      <c r="T211" s="41" t="s">
        <v>130</v>
      </c>
      <c r="U211" s="41" t="s">
        <v>131</v>
      </c>
      <c r="V211" s="41" t="s">
        <v>132</v>
      </c>
      <c r="W211" s="41" t="s">
        <v>133</v>
      </c>
      <c r="X211" s="41" t="s">
        <v>134</v>
      </c>
      <c r="Y211" s="41" t="s">
        <v>136</v>
      </c>
      <c r="Z211" s="41" t="s">
        <v>137</v>
      </c>
      <c r="AA211" s="41" t="s">
        <v>137</v>
      </c>
      <c r="AB211" s="41" t="s">
        <v>138</v>
      </c>
      <c r="AC211" s="41" t="s">
        <v>139</v>
      </c>
      <c r="AD211" s="41" t="s">
        <v>140</v>
      </c>
      <c r="AE211" s="41" t="s">
        <v>141</v>
      </c>
      <c r="AF211" s="41" t="s">
        <v>142</v>
      </c>
      <c r="AG211" s="41" t="s">
        <v>143</v>
      </c>
      <c r="AH211" s="41" t="s">
        <v>144</v>
      </c>
      <c r="AI211" s="41" t="s">
        <v>145</v>
      </c>
      <c r="AJ211" s="41" t="s">
        <v>146</v>
      </c>
      <c r="AK211" s="41" t="s">
        <v>147</v>
      </c>
      <c r="AL211" s="41" t="s">
        <v>148</v>
      </c>
      <c r="AM211" s="41" t="s">
        <v>149</v>
      </c>
      <c r="AN211" s="41" t="s">
        <v>150</v>
      </c>
      <c r="AO211" s="41" t="s">
        <v>151</v>
      </c>
      <c r="AP211" s="41" t="s">
        <v>152</v>
      </c>
      <c r="AQ211" s="41" t="s">
        <v>153</v>
      </c>
    </row>
    <row r="212" spans="1:44">
      <c r="A212" s="40" t="s">
        <v>43</v>
      </c>
      <c r="B212" s="42">
        <f>'D4 Gallon Forecast'!B373+'D6 Gallon Forecast'!B289+'D6 Gallon Forecast'!B305</f>
        <v>0</v>
      </c>
      <c r="C212" s="42">
        <f>'D4 Gallon Forecast'!C373+'D6 Gallon Forecast'!C289+'D6 Gallon Forecast'!C305</f>
        <v>0</v>
      </c>
      <c r="D212" s="42">
        <f>'D4 Gallon Forecast'!D373+'D6 Gallon Forecast'!D289+'D6 Gallon Forecast'!D305</f>
        <v>0</v>
      </c>
      <c r="E212" s="42">
        <f>'D4 Gallon Forecast'!E373+'D6 Gallon Forecast'!E289+'D6 Gallon Forecast'!E305</f>
        <v>0</v>
      </c>
      <c r="F212" s="42">
        <f>'D4 Gallon Forecast'!F373+'D6 Gallon Forecast'!F289+'D6 Gallon Forecast'!F305</f>
        <v>0</v>
      </c>
      <c r="G212" s="42">
        <f>'D4 Gallon Forecast'!G373+'D6 Gallon Forecast'!G289+'D6 Gallon Forecast'!G305</f>
        <v>0</v>
      </c>
      <c r="H212" s="42">
        <f>'D4 Gallon Forecast'!H373+'D6 Gallon Forecast'!H289+'D6 Gallon Forecast'!H305</f>
        <v>0</v>
      </c>
      <c r="I212" s="42">
        <f>'D4 Gallon Forecast'!I373+'D6 Gallon Forecast'!I289+'D6 Gallon Forecast'!I305</f>
        <v>0</v>
      </c>
      <c r="J212" s="42">
        <f>'D4 Gallon Forecast'!J373+'D6 Gallon Forecast'!J289+'D6 Gallon Forecast'!J305</f>
        <v>0</v>
      </c>
      <c r="K212" s="42">
        <f>'D4 Gallon Forecast'!K373+'D6 Gallon Forecast'!K289+'D6 Gallon Forecast'!K305</f>
        <v>0</v>
      </c>
      <c r="L212" s="42">
        <f>'D4 Gallon Forecast'!L373+'D6 Gallon Forecast'!L289+'D6 Gallon Forecast'!L305</f>
        <v>0</v>
      </c>
      <c r="M212" s="42">
        <f>'D4 Gallon Forecast'!M373+'D6 Gallon Forecast'!M289+'D6 Gallon Forecast'!M305</f>
        <v>0</v>
      </c>
      <c r="N212" s="42">
        <f>'D4 Gallon Forecast'!N373+'D6 Gallon Forecast'!N289+'D6 Gallon Forecast'!N305</f>
        <v>0</v>
      </c>
      <c r="O212" s="42">
        <f>'D4 Gallon Forecast'!O373+'D6 Gallon Forecast'!O289+'D6 Gallon Forecast'!O305</f>
        <v>0</v>
      </c>
      <c r="P212" s="42">
        <f>'D4 Gallon Forecast'!P373+'D6 Gallon Forecast'!P289+'D6 Gallon Forecast'!P305</f>
        <v>8826729</v>
      </c>
      <c r="Q212" s="58">
        <f>'D4 Gallon Forecast'!Q373+'D6 Gallon Forecast'!Q289+'D6 Gallon Forecast'!Q305</f>
        <v>7897206</v>
      </c>
      <c r="R212" s="63">
        <f>'D4 Gallon Forecast'!R373+'D6 Gallon Forecast'!R289+'D6 Gallon Forecast'!R305</f>
        <v>2289312.6179649946</v>
      </c>
      <c r="S212" s="63">
        <f>'D4 Gallon Forecast'!S373+'D6 Gallon Forecast'!S289+'D6 Gallon Forecast'!S305</f>
        <v>3387558.3292688606</v>
      </c>
      <c r="T212" s="63">
        <f>'D4 Gallon Forecast'!T373+'D6 Gallon Forecast'!T289+'D6 Gallon Forecast'!T305</f>
        <v>4469395.0821633441</v>
      </c>
      <c r="U212" s="63">
        <f>'D4 Gallon Forecast'!U373+'D6 Gallon Forecast'!U289+'D6 Gallon Forecast'!U305</f>
        <v>8273233.596917646</v>
      </c>
      <c r="V212" s="63">
        <f>'D4 Gallon Forecast'!V373+'D6 Gallon Forecast'!V289+'D6 Gallon Forecast'!V305</f>
        <v>10068287.870351942</v>
      </c>
      <c r="W212" s="63">
        <f>'D4 Gallon Forecast'!W373+'D6 Gallon Forecast'!W289+'D6 Gallon Forecast'!W305</f>
        <v>8136276.0563004846</v>
      </c>
      <c r="X212" s="63">
        <f>'D4 Gallon Forecast'!X373+'D6 Gallon Forecast'!X289+'D6 Gallon Forecast'!X305</f>
        <v>7503899.9199589891</v>
      </c>
      <c r="Y212" s="63">
        <f>'D4 Gallon Forecast'!Y373+'D6 Gallon Forecast'!Y289+'D6 Gallon Forecast'!Y305</f>
        <v>8044937.4120936021</v>
      </c>
      <c r="Z212" s="63">
        <f>'D4 Gallon Forecast'!Z373+'D6 Gallon Forecast'!Z289+'D6 Gallon Forecast'!Z305</f>
        <v>9050825.2891462334</v>
      </c>
      <c r="AA212" s="63">
        <f>'D4 Gallon Forecast'!AA373+'D6 Gallon Forecast'!AA289+'D6 Gallon Forecast'!AA305</f>
        <v>9221538.9637561105</v>
      </c>
      <c r="AB212" s="63">
        <f>'D4 Gallon Forecast'!AB373+'D6 Gallon Forecast'!AB289+'D6 Gallon Forecast'!AB305</f>
        <v>8395122.3357814979</v>
      </c>
      <c r="AC212" s="63">
        <f>'D4 Gallon Forecast'!AC373+'D6 Gallon Forecast'!AC289+'D6 Gallon Forecast'!AC305</f>
        <v>8470685.5713187754</v>
      </c>
      <c r="AD212" s="63">
        <f>'D4 Gallon Forecast'!AD373+'D6 Gallon Forecast'!AD289+'D6 Gallon Forecast'!AD305</f>
        <v>8716924.3697181884</v>
      </c>
      <c r="AE212" s="63">
        <f>'D4 Gallon Forecast'!AE373+'D6 Gallon Forecast'!AE289+'D6 Gallon Forecast'!AE305</f>
        <v>7855386.5554032605</v>
      </c>
      <c r="AF212" s="63">
        <f>'D4 Gallon Forecast'!AF373+'D6 Gallon Forecast'!AF289+'D6 Gallon Forecast'!AF305</f>
        <v>7427869.562026876</v>
      </c>
      <c r="AG212" s="63">
        <f>'D4 Gallon Forecast'!AG373+'D6 Gallon Forecast'!AG289+'D6 Gallon Forecast'!AG305</f>
        <v>7564146.1394570982</v>
      </c>
      <c r="AH212" s="63">
        <f>'D4 Gallon Forecast'!AH373+'D6 Gallon Forecast'!AH289+'D6 Gallon Forecast'!AH305</f>
        <v>7824851.5120473886</v>
      </c>
      <c r="AI212" s="63">
        <f>'D4 Gallon Forecast'!AI373+'D6 Gallon Forecast'!AI289+'D6 Gallon Forecast'!AI305</f>
        <v>8009977.5739925178</v>
      </c>
      <c r="AJ212" s="63">
        <f>'D4 Gallon Forecast'!AJ373+'D6 Gallon Forecast'!AJ289+'D6 Gallon Forecast'!AJ305</f>
        <v>8098641.9875795599</v>
      </c>
      <c r="AK212" s="63">
        <f>'D4 Gallon Forecast'!AK373+'D6 Gallon Forecast'!AK289+'D6 Gallon Forecast'!AK305</f>
        <v>8333312.1252960945</v>
      </c>
      <c r="AL212" s="63">
        <f>'D4 Gallon Forecast'!AL373+'D6 Gallon Forecast'!AL289+'D6 Gallon Forecast'!AL305</f>
        <v>8790789.2720632851</v>
      </c>
      <c r="AM212" s="63">
        <f>'D4 Gallon Forecast'!AM373+'D6 Gallon Forecast'!AM289+'D6 Gallon Forecast'!AM305</f>
        <v>9111100.9150479548</v>
      </c>
      <c r="AN212" s="63">
        <f>'D4 Gallon Forecast'!AN373+'D6 Gallon Forecast'!AN289+'D6 Gallon Forecast'!AN305</f>
        <v>9121608.3276853431</v>
      </c>
      <c r="AO212" s="63">
        <f>'D4 Gallon Forecast'!AO373+'D6 Gallon Forecast'!AO289+'D6 Gallon Forecast'!AO305</f>
        <v>9105355.3155277073</v>
      </c>
      <c r="AP212" s="63">
        <f>'D4 Gallon Forecast'!AP373+'D6 Gallon Forecast'!AP289+'D6 Gallon Forecast'!AP305</f>
        <v>9318796.9903225489</v>
      </c>
      <c r="AQ212" s="63">
        <f>'D4 Gallon Forecast'!AQ373+'D6 Gallon Forecast'!AQ289+'D6 Gallon Forecast'!AQ305</f>
        <v>10462604.814420054</v>
      </c>
      <c r="AR212" s="43"/>
    </row>
    <row r="213" spans="1:44">
      <c r="A213" s="40" t="s">
        <v>44</v>
      </c>
      <c r="B213" s="42">
        <f>'D4 Gallon Forecast'!B374+'D6 Gallon Forecast'!B290+'D6 Gallon Forecast'!B306</f>
        <v>0</v>
      </c>
      <c r="C213" s="42">
        <f>'D4 Gallon Forecast'!C374+'D6 Gallon Forecast'!C290+'D6 Gallon Forecast'!C306</f>
        <v>0</v>
      </c>
      <c r="D213" s="42">
        <f>'D4 Gallon Forecast'!D374+'D6 Gallon Forecast'!D290+'D6 Gallon Forecast'!D306</f>
        <v>0</v>
      </c>
      <c r="E213" s="42">
        <f>'D4 Gallon Forecast'!E374+'D6 Gallon Forecast'!E290+'D6 Gallon Forecast'!E306</f>
        <v>0</v>
      </c>
      <c r="F213" s="42">
        <f>'D4 Gallon Forecast'!F374+'D6 Gallon Forecast'!F290+'D6 Gallon Forecast'!F306</f>
        <v>0</v>
      </c>
      <c r="G213" s="42">
        <f>'D4 Gallon Forecast'!G374+'D6 Gallon Forecast'!G290+'D6 Gallon Forecast'!G306</f>
        <v>0</v>
      </c>
      <c r="H213" s="42">
        <f>'D4 Gallon Forecast'!H374+'D6 Gallon Forecast'!H290+'D6 Gallon Forecast'!H306</f>
        <v>0</v>
      </c>
      <c r="I213" s="42">
        <f>'D4 Gallon Forecast'!I374+'D6 Gallon Forecast'!I290+'D6 Gallon Forecast'!I306</f>
        <v>0</v>
      </c>
      <c r="J213" s="42">
        <f>'D4 Gallon Forecast'!J374+'D6 Gallon Forecast'!J290+'D6 Gallon Forecast'!J306</f>
        <v>0</v>
      </c>
      <c r="K213" s="42">
        <f>'D4 Gallon Forecast'!K374+'D6 Gallon Forecast'!K290+'D6 Gallon Forecast'!K306</f>
        <v>0</v>
      </c>
      <c r="L213" s="42">
        <f>'D4 Gallon Forecast'!L374+'D6 Gallon Forecast'!L290+'D6 Gallon Forecast'!L306</f>
        <v>0</v>
      </c>
      <c r="M213" s="42">
        <f>'D4 Gallon Forecast'!M374+'D6 Gallon Forecast'!M290+'D6 Gallon Forecast'!M306</f>
        <v>0</v>
      </c>
      <c r="N213" s="42">
        <f>'D4 Gallon Forecast'!N374+'D6 Gallon Forecast'!N290+'D6 Gallon Forecast'!N306</f>
        <v>1410999</v>
      </c>
      <c r="O213" s="42">
        <f>'D4 Gallon Forecast'!O374+'D6 Gallon Forecast'!O290+'D6 Gallon Forecast'!O306</f>
        <v>1486280</v>
      </c>
      <c r="P213" s="42">
        <f>'D4 Gallon Forecast'!P374+'D6 Gallon Forecast'!P290+'D6 Gallon Forecast'!P306</f>
        <v>0</v>
      </c>
      <c r="Q213" s="58">
        <f>'D4 Gallon Forecast'!Q374+'D6 Gallon Forecast'!Q290+'D6 Gallon Forecast'!Q306</f>
        <v>0</v>
      </c>
      <c r="R213" s="63">
        <f>'D4 Gallon Forecast'!R374+'D6 Gallon Forecast'!R290+'D6 Gallon Forecast'!R306</f>
        <v>4524464.4572742768</v>
      </c>
      <c r="S213" s="63">
        <f>'D4 Gallon Forecast'!S374+'D6 Gallon Forecast'!S290+'D6 Gallon Forecast'!S306</f>
        <v>6524288.7560885986</v>
      </c>
      <c r="T213" s="63">
        <f>'D4 Gallon Forecast'!T374+'D6 Gallon Forecast'!T290+'D6 Gallon Forecast'!T306</f>
        <v>8507600.6500327606</v>
      </c>
      <c r="U213" s="63">
        <f>'D4 Gallon Forecast'!U374+'D6 Gallon Forecast'!U290+'D6 Gallon Forecast'!U306</f>
        <v>6021327.627539699</v>
      </c>
      <c r="V213" s="63">
        <f>'D4 Gallon Forecast'!V374+'D6 Gallon Forecast'!V290+'D6 Gallon Forecast'!V306</f>
        <v>9785550.8194537982</v>
      </c>
      <c r="W213" s="63">
        <f>'D4 Gallon Forecast'!W374+'D6 Gallon Forecast'!W290+'D6 Gallon Forecast'!W306</f>
        <v>10099942.663293034</v>
      </c>
      <c r="X213" s="63">
        <f>'D4 Gallon Forecast'!X374+'D6 Gallon Forecast'!X290+'D6 Gallon Forecast'!X306</f>
        <v>8947202.9999240506</v>
      </c>
      <c r="Y213" s="63">
        <f>'D4 Gallon Forecast'!Y374+'D6 Gallon Forecast'!Y290+'D6 Gallon Forecast'!Y306</f>
        <v>9072344.486694511</v>
      </c>
      <c r="Z213" s="63">
        <f>'D4 Gallon Forecast'!Z374+'D6 Gallon Forecast'!Z290+'D6 Gallon Forecast'!Z306</f>
        <v>9459950.5557137765</v>
      </c>
      <c r="AA213" s="63">
        <f>'D4 Gallon Forecast'!AA374+'D6 Gallon Forecast'!AA290+'D6 Gallon Forecast'!AA306</f>
        <v>10204088.476595111</v>
      </c>
      <c r="AB213" s="63">
        <f>'D4 Gallon Forecast'!AB374+'D6 Gallon Forecast'!AB290+'D6 Gallon Forecast'!AB306</f>
        <v>9560836.2483089268</v>
      </c>
      <c r="AC213" s="63">
        <f>'D4 Gallon Forecast'!AC374+'D6 Gallon Forecast'!AC290+'D6 Gallon Forecast'!AC306</f>
        <v>9479571.243841555</v>
      </c>
      <c r="AD213" s="63">
        <f>'D4 Gallon Forecast'!AD374+'D6 Gallon Forecast'!AD290+'D6 Gallon Forecast'!AD306</f>
        <v>9644202.9765538201</v>
      </c>
      <c r="AE213" s="63">
        <f>'D4 Gallon Forecast'!AE374+'D6 Gallon Forecast'!AE290+'D6 Gallon Forecast'!AE306</f>
        <v>8660278.0820416864</v>
      </c>
      <c r="AF213" s="63">
        <f>'D4 Gallon Forecast'!AF374+'D6 Gallon Forecast'!AF290+'D6 Gallon Forecast'!AF306</f>
        <v>8279194.3821031414</v>
      </c>
      <c r="AG213" s="63">
        <f>'D4 Gallon Forecast'!AG374+'D6 Gallon Forecast'!AG290+'D6 Gallon Forecast'!AG306</f>
        <v>8444852.1703038253</v>
      </c>
      <c r="AH213" s="63">
        <f>'D4 Gallon Forecast'!AH374+'D6 Gallon Forecast'!AH290+'D6 Gallon Forecast'!AH306</f>
        <v>8699117.2352069002</v>
      </c>
      <c r="AI213" s="63">
        <f>'D4 Gallon Forecast'!AI374+'D6 Gallon Forecast'!AI290+'D6 Gallon Forecast'!AI306</f>
        <v>8892225.5079482626</v>
      </c>
      <c r="AJ213" s="63">
        <f>'D4 Gallon Forecast'!AJ374+'D6 Gallon Forecast'!AJ290+'D6 Gallon Forecast'!AJ306</f>
        <v>8997530.1885513812</v>
      </c>
      <c r="AK213" s="63">
        <f>'D4 Gallon Forecast'!AK374+'D6 Gallon Forecast'!AK290+'D6 Gallon Forecast'!AK306</f>
        <v>9272589.9409893099</v>
      </c>
      <c r="AL213" s="63">
        <f>'D4 Gallon Forecast'!AL374+'D6 Gallon Forecast'!AL290+'D6 Gallon Forecast'!AL306</f>
        <v>9778518.4888827093</v>
      </c>
      <c r="AM213" s="63">
        <f>'D4 Gallon Forecast'!AM374+'D6 Gallon Forecast'!AM290+'D6 Gallon Forecast'!AM306</f>
        <v>10127984.946995489</v>
      </c>
      <c r="AN213" s="63">
        <f>'D4 Gallon Forecast'!AN374+'D6 Gallon Forecast'!AN290+'D6 Gallon Forecast'!AN306</f>
        <v>10139462.775938636</v>
      </c>
      <c r="AO213" s="63">
        <f>'D4 Gallon Forecast'!AO374+'D6 Gallon Forecast'!AO290+'D6 Gallon Forecast'!AO306</f>
        <v>10123818.922406681</v>
      </c>
      <c r="AP213" s="63">
        <f>'D4 Gallon Forecast'!AP374+'D6 Gallon Forecast'!AP290+'D6 Gallon Forecast'!AP306</f>
        <v>10362595.841713604</v>
      </c>
      <c r="AQ213" s="63">
        <f>'D4 Gallon Forecast'!AQ374+'D6 Gallon Forecast'!AQ290+'D6 Gallon Forecast'!AQ306</f>
        <v>11633171.856767559</v>
      </c>
      <c r="AR213" s="43"/>
    </row>
    <row r="214" spans="1:44">
      <c r="A214" s="40" t="s">
        <v>45</v>
      </c>
      <c r="B214" s="42">
        <f>'D4 Gallon Forecast'!B375+'D6 Gallon Forecast'!B291+'D6 Gallon Forecast'!B307</f>
        <v>0</v>
      </c>
      <c r="C214" s="42">
        <f>'D4 Gallon Forecast'!C375+'D6 Gallon Forecast'!C291+'D6 Gallon Forecast'!C307</f>
        <v>0</v>
      </c>
      <c r="D214" s="42">
        <f>'D4 Gallon Forecast'!D375+'D6 Gallon Forecast'!D291+'D6 Gallon Forecast'!D307</f>
        <v>0</v>
      </c>
      <c r="E214" s="42">
        <f>'D4 Gallon Forecast'!E375+'D6 Gallon Forecast'!E291+'D6 Gallon Forecast'!E307</f>
        <v>0</v>
      </c>
      <c r="F214" s="42">
        <f>'D4 Gallon Forecast'!F375+'D6 Gallon Forecast'!F291+'D6 Gallon Forecast'!F307</f>
        <v>0</v>
      </c>
      <c r="G214" s="42">
        <f>'D4 Gallon Forecast'!G375+'D6 Gallon Forecast'!G291+'D6 Gallon Forecast'!G307</f>
        <v>0</v>
      </c>
      <c r="H214" s="42">
        <f>'D4 Gallon Forecast'!H375+'D6 Gallon Forecast'!H291+'D6 Gallon Forecast'!H307</f>
        <v>0</v>
      </c>
      <c r="I214" s="42">
        <f>'D4 Gallon Forecast'!I375+'D6 Gallon Forecast'!I291+'D6 Gallon Forecast'!I307</f>
        <v>0</v>
      </c>
      <c r="J214" s="42">
        <f>'D4 Gallon Forecast'!J375+'D6 Gallon Forecast'!J291+'D6 Gallon Forecast'!J307</f>
        <v>0</v>
      </c>
      <c r="K214" s="42">
        <f>'D4 Gallon Forecast'!K375+'D6 Gallon Forecast'!K291+'D6 Gallon Forecast'!K307</f>
        <v>0</v>
      </c>
      <c r="L214" s="42">
        <f>'D4 Gallon Forecast'!L375+'D6 Gallon Forecast'!L291+'D6 Gallon Forecast'!L307</f>
        <v>0</v>
      </c>
      <c r="M214" s="42">
        <f>'D4 Gallon Forecast'!M375+'D6 Gallon Forecast'!M291+'D6 Gallon Forecast'!M307</f>
        <v>0</v>
      </c>
      <c r="N214" s="42">
        <f>'D4 Gallon Forecast'!N375+'D6 Gallon Forecast'!N291+'D6 Gallon Forecast'!N307</f>
        <v>1895971</v>
      </c>
      <c r="O214" s="42">
        <f>'D4 Gallon Forecast'!O375+'D6 Gallon Forecast'!O291+'D6 Gallon Forecast'!O307</f>
        <v>1414636</v>
      </c>
      <c r="P214" s="58">
        <f>'D4 Gallon Forecast'!P375+'D6 Gallon Forecast'!P291+'D6 Gallon Forecast'!P307</f>
        <v>5663440</v>
      </c>
      <c r="Q214" s="58">
        <f>'D4 Gallon Forecast'!Q375+'D6 Gallon Forecast'!Q291+'D6 Gallon Forecast'!Q307</f>
        <v>4981693</v>
      </c>
      <c r="R214" s="63">
        <f>'D4 Gallon Forecast'!R375+'D6 Gallon Forecast'!R291+'D6 Gallon Forecast'!R307</f>
        <v>1830359.5228116715</v>
      </c>
      <c r="S214" s="63">
        <f>'D4 Gallon Forecast'!S375+'D6 Gallon Forecast'!S291+'D6 Gallon Forecast'!S307</f>
        <v>2622329.6439365507</v>
      </c>
      <c r="T214" s="63">
        <f>'D4 Gallon Forecast'!T375+'D6 Gallon Forecast'!T291+'D6 Gallon Forecast'!T307</f>
        <v>3404568.863410295</v>
      </c>
      <c r="U214" s="63">
        <f>'D4 Gallon Forecast'!U375+'D6 Gallon Forecast'!U291+'D6 Gallon Forecast'!U307</f>
        <v>5696816.4446013886</v>
      </c>
      <c r="V214" s="63">
        <f>'D4 Gallon Forecast'!V375+'D6 Gallon Forecast'!V291+'D6 Gallon Forecast'!V307</f>
        <v>7091443.947572941</v>
      </c>
      <c r="W214" s="63">
        <f>'D4 Gallon Forecast'!W375+'D6 Gallon Forecast'!W291+'D6 Gallon Forecast'!W307</f>
        <v>5896478.8764024405</v>
      </c>
      <c r="X214" s="63">
        <f>'D4 Gallon Forecast'!X375+'D6 Gallon Forecast'!X291+'D6 Gallon Forecast'!X307</f>
        <v>5400757.2992111025</v>
      </c>
      <c r="Y214" s="63">
        <f>'D4 Gallon Forecast'!Y375+'D6 Gallon Forecast'!Y291+'D6 Gallon Forecast'!Y307</f>
        <v>5751614.3579164734</v>
      </c>
      <c r="Z214" s="63">
        <f>'D4 Gallon Forecast'!Z375+'D6 Gallon Forecast'!Z291+'D6 Gallon Forecast'!Z307</f>
        <v>6425698.346992366</v>
      </c>
      <c r="AA214" s="63">
        <f>'D4 Gallon Forecast'!AA375+'D6 Gallon Forecast'!AA291+'D6 Gallon Forecast'!AA307</f>
        <v>6584992.1038771914</v>
      </c>
      <c r="AB214" s="63">
        <f>'D4 Gallon Forecast'!AB375+'D6 Gallon Forecast'!AB291+'D6 Gallon Forecast'!AB307</f>
        <v>6014506.5458687432</v>
      </c>
      <c r="AC214" s="63">
        <f>'D4 Gallon Forecast'!AC375+'D6 Gallon Forecast'!AC291+'D6 Gallon Forecast'!AC307</f>
        <v>6055114.9800189482</v>
      </c>
      <c r="AD214" s="63">
        <f>'D4 Gallon Forecast'!AD375+'D6 Gallon Forecast'!AD291+'D6 Gallon Forecast'!AD307</f>
        <v>6223719.7065062365</v>
      </c>
      <c r="AE214" s="63">
        <f>'D4 Gallon Forecast'!AE375+'D6 Gallon Forecast'!AE291+'D6 Gallon Forecast'!AE307</f>
        <v>5607222.1719538234</v>
      </c>
      <c r="AF214" s="63">
        <f>'D4 Gallon Forecast'!AF375+'D6 Gallon Forecast'!AF291+'D6 Gallon Forecast'!AF307</f>
        <v>5308123.4482470453</v>
      </c>
      <c r="AG214" s="63">
        <f>'D4 Gallon Forecast'!AG375+'D6 Gallon Forecast'!AG291+'D6 Gallon Forecast'!AG307</f>
        <v>5406421.9311959855</v>
      </c>
      <c r="AH214" s="63">
        <f>'D4 Gallon Forecast'!AH375+'D6 Gallon Forecast'!AH291+'D6 Gallon Forecast'!AH307</f>
        <v>5589993.6925328057</v>
      </c>
      <c r="AI214" s="63">
        <f>'D4 Gallon Forecast'!AI375+'D6 Gallon Forecast'!AI291+'D6 Gallon Forecast'!AI307</f>
        <v>5721484.4811736187</v>
      </c>
      <c r="AJ214" s="63">
        <f>'D4 Gallon Forecast'!AJ375+'D6 Gallon Forecast'!AJ291+'D6 Gallon Forecast'!AJ307</f>
        <v>5785389.2165231574</v>
      </c>
      <c r="AK214" s="63">
        <f>'D4 Gallon Forecast'!AK375+'D6 Gallon Forecast'!AK291+'D6 Gallon Forecast'!AK307</f>
        <v>5953970.0709243482</v>
      </c>
      <c r="AL214" s="63">
        <f>'D4 Gallon Forecast'!AL375+'D6 Gallon Forecast'!AL291+'D6 Gallon Forecast'!AL307</f>
        <v>6280590.8557496006</v>
      </c>
      <c r="AM214" s="63">
        <f>'D4 Gallon Forecast'!AM375+'D6 Gallon Forecast'!AM291+'D6 Gallon Forecast'!AM307</f>
        <v>6508947.9794914927</v>
      </c>
      <c r="AN214" s="63">
        <f>'D4 Gallon Forecast'!AN375+'D6 Gallon Forecast'!AN291+'D6 Gallon Forecast'!AN307</f>
        <v>6516467.5663020341</v>
      </c>
      <c r="AO214" s="63">
        <f>'D4 Gallon Forecast'!AO375+'D6 Gallon Forecast'!AO291+'D6 Gallon Forecast'!AO307</f>
        <v>6505031.4380742079</v>
      </c>
      <c r="AP214" s="63">
        <f>'D4 Gallon Forecast'!AP375+'D6 Gallon Forecast'!AP291+'D6 Gallon Forecast'!AP307</f>
        <v>6657607.7379988618</v>
      </c>
      <c r="AQ214" s="63">
        <f>'D4 Gallon Forecast'!AQ375+'D6 Gallon Forecast'!AQ291+'D6 Gallon Forecast'!AQ307</f>
        <v>7474679.1397133581</v>
      </c>
      <c r="AR214" s="43"/>
    </row>
    <row r="215" spans="1:44">
      <c r="A215" s="40" t="s">
        <v>46</v>
      </c>
      <c r="B215" s="42">
        <f>'D4 Gallon Forecast'!B376+'D6 Gallon Forecast'!B292+'D6 Gallon Forecast'!B308</f>
        <v>0</v>
      </c>
      <c r="C215" s="42">
        <f>'D4 Gallon Forecast'!C376+'D6 Gallon Forecast'!C292+'D6 Gallon Forecast'!C308</f>
        <v>0</v>
      </c>
      <c r="D215" s="42">
        <f>'D4 Gallon Forecast'!D376+'D6 Gallon Forecast'!D292+'D6 Gallon Forecast'!D308</f>
        <v>0</v>
      </c>
      <c r="E215" s="42">
        <f>'D4 Gallon Forecast'!E376+'D6 Gallon Forecast'!E292+'D6 Gallon Forecast'!E308</f>
        <v>0</v>
      </c>
      <c r="F215" s="42">
        <f>'D4 Gallon Forecast'!F376+'D6 Gallon Forecast'!F292+'D6 Gallon Forecast'!F308</f>
        <v>0</v>
      </c>
      <c r="G215" s="42">
        <f>'D4 Gallon Forecast'!G376+'D6 Gallon Forecast'!G292+'D6 Gallon Forecast'!G308</f>
        <v>0</v>
      </c>
      <c r="H215" s="42">
        <f>'D4 Gallon Forecast'!H376+'D6 Gallon Forecast'!H292+'D6 Gallon Forecast'!H308</f>
        <v>0</v>
      </c>
      <c r="I215" s="42">
        <f>'D4 Gallon Forecast'!I376+'D6 Gallon Forecast'!I292+'D6 Gallon Forecast'!I308</f>
        <v>0</v>
      </c>
      <c r="J215" s="42">
        <f>'D4 Gallon Forecast'!J376+'D6 Gallon Forecast'!J292+'D6 Gallon Forecast'!J308</f>
        <v>0</v>
      </c>
      <c r="K215" s="42">
        <f>'D4 Gallon Forecast'!K376+'D6 Gallon Forecast'!K292+'D6 Gallon Forecast'!K308</f>
        <v>0</v>
      </c>
      <c r="L215" s="42">
        <f>'D4 Gallon Forecast'!L376+'D6 Gallon Forecast'!L292+'D6 Gallon Forecast'!L308</f>
        <v>0</v>
      </c>
      <c r="M215" s="42">
        <f>'D4 Gallon Forecast'!M376+'D6 Gallon Forecast'!M292+'D6 Gallon Forecast'!M308</f>
        <v>0</v>
      </c>
      <c r="N215" s="42">
        <f>'D4 Gallon Forecast'!N376+'D6 Gallon Forecast'!N292+'D6 Gallon Forecast'!N308</f>
        <v>0</v>
      </c>
      <c r="O215" s="42">
        <f>'D4 Gallon Forecast'!O376+'D6 Gallon Forecast'!O292+'D6 Gallon Forecast'!O308</f>
        <v>1397929</v>
      </c>
      <c r="P215" s="58">
        <f>'D4 Gallon Forecast'!P376+'D6 Gallon Forecast'!P292+'D6 Gallon Forecast'!P308</f>
        <v>5660163</v>
      </c>
      <c r="Q215" s="63">
        <f>'D4 Gallon Forecast'!Q376+'D6 Gallon Forecast'!Q292+'D6 Gallon Forecast'!Q308</f>
        <v>4903573.9856702527</v>
      </c>
      <c r="R215" s="63">
        <f>'D4 Gallon Forecast'!R376+'D6 Gallon Forecast'!R292+'D6 Gallon Forecast'!R308</f>
        <v>2892392.7353115394</v>
      </c>
      <c r="S215" s="63">
        <f>'D4 Gallon Forecast'!S376+'D6 Gallon Forecast'!S292+'D6 Gallon Forecast'!S308</f>
        <v>4160296.6501418739</v>
      </c>
      <c r="T215" s="63">
        <f>'D4 Gallon Forecast'!T376+'D6 Gallon Forecast'!T292+'D6 Gallon Forecast'!T308</f>
        <v>5461467.7466848036</v>
      </c>
      <c r="U215" s="63">
        <f>'D4 Gallon Forecast'!U376+'D6 Gallon Forecast'!U292+'D6 Gallon Forecast'!U308</f>
        <v>7105596.5957484469</v>
      </c>
      <c r="V215" s="63">
        <f>'D4 Gallon Forecast'!V376+'D6 Gallon Forecast'!V292+'D6 Gallon Forecast'!V308</f>
        <v>9382174.4433003888</v>
      </c>
      <c r="W215" s="63">
        <f>'D4 Gallon Forecast'!W376+'D6 Gallon Forecast'!W292+'D6 Gallon Forecast'!W308</f>
        <v>8283117.5918236915</v>
      </c>
      <c r="X215" s="63">
        <f>'D4 Gallon Forecast'!X376+'D6 Gallon Forecast'!X292+'D6 Gallon Forecast'!X308</f>
        <v>7516554.4899477586</v>
      </c>
      <c r="Y215" s="63">
        <f>'D4 Gallon Forecast'!Y376+'D6 Gallon Forecast'!Y292+'D6 Gallon Forecast'!Y308</f>
        <v>7898023.3162649227</v>
      </c>
      <c r="Z215" s="63">
        <f>'D4 Gallon Forecast'!Z376+'D6 Gallon Forecast'!Z292+'D6 Gallon Forecast'!Z308</f>
        <v>8654312.6075736154</v>
      </c>
      <c r="AA215" s="63">
        <f>'D4 Gallon Forecast'!AA376+'D6 Gallon Forecast'!AA292+'D6 Gallon Forecast'!AA308</f>
        <v>8991013.7528802734</v>
      </c>
      <c r="AB215" s="63">
        <f>'D4 Gallon Forecast'!AB376+'D6 Gallon Forecast'!AB292+'D6 Gallon Forecast'!AB308</f>
        <v>8272178.0456156377</v>
      </c>
      <c r="AC215" s="63">
        <f>'D4 Gallon Forecast'!AC376+'D6 Gallon Forecast'!AC292+'D6 Gallon Forecast'!AC308</f>
        <v>8293262.8877278352</v>
      </c>
      <c r="AD215" s="63">
        <f>'D4 Gallon Forecast'!AD376+'D6 Gallon Forecast'!AD292+'D6 Gallon Forecast'!AD308</f>
        <v>8500062.7950469814</v>
      </c>
      <c r="AE215" s="63">
        <f>'D4 Gallon Forecast'!AE376+'D6 Gallon Forecast'!AE292+'D6 Gallon Forecast'!AE308</f>
        <v>7650423.9415513342</v>
      </c>
      <c r="AF215" s="63">
        <f>'D4 Gallon Forecast'!AF376+'D6 Gallon Forecast'!AF292+'D6 Gallon Forecast'!AF308</f>
        <v>7261983.2583145294</v>
      </c>
      <c r="AG215" s="63">
        <f>'D4 Gallon Forecast'!AG376+'D6 Gallon Forecast'!AG292+'D6 Gallon Forecast'!AG308</f>
        <v>7399766.2235446833</v>
      </c>
      <c r="AH215" s="63">
        <f>'D4 Gallon Forecast'!AH376+'D6 Gallon Forecast'!AH292+'D6 Gallon Forecast'!AH308</f>
        <v>7643177.9837516332</v>
      </c>
      <c r="AI215" s="63">
        <f>'D4 Gallon Forecast'!AI376+'D6 Gallon Forecast'!AI292+'D6 Gallon Forecast'!AI308</f>
        <v>7820092.2160399221</v>
      </c>
      <c r="AJ215" s="63">
        <f>'D4 Gallon Forecast'!AJ376+'D6 Gallon Forecast'!AJ292+'D6 Gallon Forecast'!AJ308</f>
        <v>7908793.8623335594</v>
      </c>
      <c r="AK215" s="63">
        <f>'D4 Gallon Forecast'!AK376+'D6 Gallon Forecast'!AK292+'D6 Gallon Forecast'!AK308</f>
        <v>8142419.4232569924</v>
      </c>
      <c r="AL215" s="63">
        <f>'D4 Gallon Forecast'!AL376+'D6 Gallon Forecast'!AL292+'D6 Gallon Forecast'!AL308</f>
        <v>8588475.7035297919</v>
      </c>
      <c r="AM215" s="63">
        <f>'D4 Gallon Forecast'!AM376+'D6 Gallon Forecast'!AM292+'D6 Gallon Forecast'!AM308</f>
        <v>8899262.3326791395</v>
      </c>
      <c r="AN215" s="63">
        <f>'D4 Gallon Forecast'!AN376+'D6 Gallon Forecast'!AN292+'D6 Gallon Forecast'!AN308</f>
        <v>8909469.6525654495</v>
      </c>
      <c r="AO215" s="63">
        <f>'D4 Gallon Forecast'!AO376+'D6 Gallon Forecast'!AO292+'D6 Gallon Forecast'!AO308</f>
        <v>8894348.8603445105</v>
      </c>
      <c r="AP215" s="63">
        <f>'D4 Gallon Forecast'!AP376+'D6 Gallon Forecast'!AP292+'D6 Gallon Forecast'!AP308</f>
        <v>9103299.3078456707</v>
      </c>
      <c r="AQ215" s="63">
        <f>'D4 Gallon Forecast'!AQ376+'D6 Gallon Forecast'!AQ292+'D6 Gallon Forecast'!AQ308</f>
        <v>10220238.54340885</v>
      </c>
      <c r="AR215" s="43"/>
    </row>
    <row r="216" spans="1:44">
      <c r="A216" s="40" t="s">
        <v>47</v>
      </c>
      <c r="B216" s="42">
        <f>'D4 Gallon Forecast'!B377+'D6 Gallon Forecast'!B293+'D6 Gallon Forecast'!B309</f>
        <v>0</v>
      </c>
      <c r="C216" s="42">
        <f>'D4 Gallon Forecast'!C377+'D6 Gallon Forecast'!C293+'D6 Gallon Forecast'!C309</f>
        <v>0</v>
      </c>
      <c r="D216" s="42">
        <f>'D4 Gallon Forecast'!D377+'D6 Gallon Forecast'!D293+'D6 Gallon Forecast'!D309</f>
        <v>0</v>
      </c>
      <c r="E216" s="42">
        <f>'D4 Gallon Forecast'!E377+'D6 Gallon Forecast'!E293+'D6 Gallon Forecast'!E309</f>
        <v>0</v>
      </c>
      <c r="F216" s="42">
        <f>'D4 Gallon Forecast'!F377+'D6 Gallon Forecast'!F293+'D6 Gallon Forecast'!F309</f>
        <v>0</v>
      </c>
      <c r="G216" s="42">
        <f>'D4 Gallon Forecast'!G377+'D6 Gallon Forecast'!G293+'D6 Gallon Forecast'!G309</f>
        <v>0</v>
      </c>
      <c r="H216" s="42">
        <f>'D4 Gallon Forecast'!H377+'D6 Gallon Forecast'!H293+'D6 Gallon Forecast'!H309</f>
        <v>0</v>
      </c>
      <c r="I216" s="42">
        <f>'D4 Gallon Forecast'!I377+'D6 Gallon Forecast'!I293+'D6 Gallon Forecast'!I309</f>
        <v>0</v>
      </c>
      <c r="J216" s="42">
        <f>'D4 Gallon Forecast'!J377+'D6 Gallon Forecast'!J293+'D6 Gallon Forecast'!J309</f>
        <v>0</v>
      </c>
      <c r="K216" s="42">
        <f>'D4 Gallon Forecast'!K377+'D6 Gallon Forecast'!K293+'D6 Gallon Forecast'!K309</f>
        <v>0</v>
      </c>
      <c r="L216" s="42">
        <f>'D4 Gallon Forecast'!L377+'D6 Gallon Forecast'!L293+'D6 Gallon Forecast'!L309</f>
        <v>0</v>
      </c>
      <c r="M216" s="42">
        <f>'D4 Gallon Forecast'!M377+'D6 Gallon Forecast'!M293+'D6 Gallon Forecast'!M309</f>
        <v>0</v>
      </c>
      <c r="N216" s="42">
        <f>'D4 Gallon Forecast'!N377+'D6 Gallon Forecast'!N293+'D6 Gallon Forecast'!N309</f>
        <v>0</v>
      </c>
      <c r="O216" s="42">
        <f>'D4 Gallon Forecast'!O377+'D6 Gallon Forecast'!O293+'D6 Gallon Forecast'!O309</f>
        <v>0</v>
      </c>
      <c r="P216" s="58">
        <f>'D4 Gallon Forecast'!P377+'D6 Gallon Forecast'!P293+'D6 Gallon Forecast'!P309</f>
        <v>14789282</v>
      </c>
      <c r="Q216" s="63">
        <f>'D4 Gallon Forecast'!Q377+'D6 Gallon Forecast'!Q293+'D6 Gallon Forecast'!Q309</f>
        <v>4719415.1537076579</v>
      </c>
      <c r="R216" s="63">
        <f>'D4 Gallon Forecast'!R377+'D6 Gallon Forecast'!R293+'D6 Gallon Forecast'!R309</f>
        <v>3707323.7291912432</v>
      </c>
      <c r="S216" s="63">
        <f>'D4 Gallon Forecast'!S377+'D6 Gallon Forecast'!S293+'D6 Gallon Forecast'!S309</f>
        <v>5441851.4775471361</v>
      </c>
      <c r="T216" s="63">
        <f>'D4 Gallon Forecast'!T377+'D6 Gallon Forecast'!T293+'D6 Gallon Forecast'!T309</f>
        <v>7193734.9450517902</v>
      </c>
      <c r="U216" s="63">
        <f>'D4 Gallon Forecast'!U377+'D6 Gallon Forecast'!U293+'D6 Gallon Forecast'!U309</f>
        <v>11038574.729635984</v>
      </c>
      <c r="V216" s="63">
        <f>'D4 Gallon Forecast'!V377+'D6 Gallon Forecast'!V293+'D6 Gallon Forecast'!V309</f>
        <v>12281214.337403223</v>
      </c>
      <c r="W216" s="63">
        <f>'D4 Gallon Forecast'!W377+'D6 Gallon Forecast'!W293+'D6 Gallon Forecast'!W309</f>
        <v>11327895.155780969</v>
      </c>
      <c r="X216" s="63">
        <f>'D4 Gallon Forecast'!X377+'D6 Gallon Forecast'!X293+'D6 Gallon Forecast'!X309</f>
        <v>10333814.026588807</v>
      </c>
      <c r="Y216" s="63">
        <f>'D4 Gallon Forecast'!Y377+'D6 Gallon Forecast'!Y293+'D6 Gallon Forecast'!Y309</f>
        <v>10916373.448436027</v>
      </c>
      <c r="Z216" s="63">
        <f>'D4 Gallon Forecast'!Z377+'D6 Gallon Forecast'!Z293+'D6 Gallon Forecast'!Z309</f>
        <v>12038124.691885026</v>
      </c>
      <c r="AA216" s="63">
        <f>'D4 Gallon Forecast'!AA377+'D6 Gallon Forecast'!AA293+'D6 Gallon Forecast'!AA309</f>
        <v>12257709.882674122</v>
      </c>
      <c r="AB216" s="63">
        <f>'D4 Gallon Forecast'!AB377+'D6 Gallon Forecast'!AB293+'D6 Gallon Forecast'!AB309</f>
        <v>11379699.626763849</v>
      </c>
      <c r="AC216" s="63">
        <f>'D4 Gallon Forecast'!AC377+'D6 Gallon Forecast'!AC293+'D6 Gallon Forecast'!AC309</f>
        <v>11422119.323939856</v>
      </c>
      <c r="AD216" s="63">
        <f>'D4 Gallon Forecast'!AD377+'D6 Gallon Forecast'!AD293+'D6 Gallon Forecast'!AD309</f>
        <v>11710687.130305609</v>
      </c>
      <c r="AE216" s="63">
        <f>'D4 Gallon Forecast'!AE377+'D6 Gallon Forecast'!AE293+'D6 Gallon Forecast'!AE309</f>
        <v>10533832.669100465</v>
      </c>
      <c r="AF216" s="63">
        <f>'D4 Gallon Forecast'!AF377+'D6 Gallon Forecast'!AF293+'D6 Gallon Forecast'!AF309</f>
        <v>9977740.5776681006</v>
      </c>
      <c r="AG216" s="63">
        <f>'D4 Gallon Forecast'!AG377+'D6 Gallon Forecast'!AG293+'D6 Gallon Forecast'!AG309</f>
        <v>10184757.388199346</v>
      </c>
      <c r="AH216" s="63">
        <f>'D4 Gallon Forecast'!AH377+'D6 Gallon Forecast'!AH293+'D6 Gallon Forecast'!AH309</f>
        <v>10520916.108689902</v>
      </c>
      <c r="AI216" s="63">
        <f>'D4 Gallon Forecast'!AI377+'D6 Gallon Forecast'!AI293+'D6 Gallon Forecast'!AI309</f>
        <v>10763148.240256883</v>
      </c>
      <c r="AJ216" s="63">
        <f>'D4 Gallon Forecast'!AJ377+'D6 Gallon Forecast'!AJ293+'D6 Gallon Forecast'!AJ309</f>
        <v>10882790.230369529</v>
      </c>
      <c r="AK216" s="63">
        <f>'D4 Gallon Forecast'!AK377+'D6 Gallon Forecast'!AK293+'D6 Gallon Forecast'!AK309</f>
        <v>11202861.266531074</v>
      </c>
      <c r="AL216" s="63">
        <f>'D4 Gallon Forecast'!AL377+'D6 Gallon Forecast'!AL293+'D6 Gallon Forecast'!AL309</f>
        <v>11819610.955532201</v>
      </c>
      <c r="AM216" s="63">
        <f>'D4 Gallon Forecast'!AM377+'D6 Gallon Forecast'!AM293+'D6 Gallon Forecast'!AM309</f>
        <v>12247083.684169462</v>
      </c>
      <c r="AN216" s="63">
        <f>'D4 Gallon Forecast'!AN377+'D6 Gallon Forecast'!AN293+'D6 Gallon Forecast'!AN309</f>
        <v>12260604.36933103</v>
      </c>
      <c r="AO216" s="63">
        <f>'D4 Gallon Forecast'!AO377+'D6 Gallon Forecast'!AO293+'D6 Gallon Forecast'!AO309</f>
        <v>12239446.081529563</v>
      </c>
      <c r="AP216" s="63">
        <f>'D4 Gallon Forecast'!AP377+'D6 Gallon Forecast'!AP293+'D6 Gallon Forecast'!AP309</f>
        <v>12527073.65604257</v>
      </c>
      <c r="AQ216" s="63">
        <f>'D4 Gallon Forecast'!AQ377+'D6 Gallon Forecast'!AQ293+'D6 Gallon Forecast'!AQ309</f>
        <v>14064543.944681633</v>
      </c>
      <c r="AR216" s="43"/>
    </row>
    <row r="217" spans="1:44">
      <c r="A217" s="40" t="s">
        <v>48</v>
      </c>
      <c r="B217" s="42">
        <f>'D4 Gallon Forecast'!B378+'D6 Gallon Forecast'!B294+'D6 Gallon Forecast'!B310</f>
        <v>0</v>
      </c>
      <c r="C217" s="42">
        <f>'D4 Gallon Forecast'!C378+'D6 Gallon Forecast'!C294+'D6 Gallon Forecast'!C310</f>
        <v>0</v>
      </c>
      <c r="D217" s="42">
        <f>'D4 Gallon Forecast'!D378+'D6 Gallon Forecast'!D294+'D6 Gallon Forecast'!D310</f>
        <v>0</v>
      </c>
      <c r="E217" s="42">
        <f>'D4 Gallon Forecast'!E378+'D6 Gallon Forecast'!E294+'D6 Gallon Forecast'!E310</f>
        <v>0</v>
      </c>
      <c r="F217" s="42">
        <f>'D4 Gallon Forecast'!F378+'D6 Gallon Forecast'!F294+'D6 Gallon Forecast'!F310</f>
        <v>0</v>
      </c>
      <c r="G217" s="42">
        <f>'D4 Gallon Forecast'!G378+'D6 Gallon Forecast'!G294+'D6 Gallon Forecast'!G310</f>
        <v>0</v>
      </c>
      <c r="H217" s="42">
        <f>'D4 Gallon Forecast'!H378+'D6 Gallon Forecast'!H294+'D6 Gallon Forecast'!H310</f>
        <v>0</v>
      </c>
      <c r="I217" s="42">
        <f>'D4 Gallon Forecast'!I378+'D6 Gallon Forecast'!I294+'D6 Gallon Forecast'!I310</f>
        <v>0</v>
      </c>
      <c r="J217" s="42">
        <f>'D4 Gallon Forecast'!J378+'D6 Gallon Forecast'!J294+'D6 Gallon Forecast'!J310</f>
        <v>0</v>
      </c>
      <c r="K217" s="42">
        <f>'D4 Gallon Forecast'!K378+'D6 Gallon Forecast'!K294+'D6 Gallon Forecast'!K310</f>
        <v>0</v>
      </c>
      <c r="L217" s="42">
        <f>'D4 Gallon Forecast'!L378+'D6 Gallon Forecast'!L294+'D6 Gallon Forecast'!L310</f>
        <v>0</v>
      </c>
      <c r="M217" s="42">
        <f>'D4 Gallon Forecast'!M378+'D6 Gallon Forecast'!M294+'D6 Gallon Forecast'!M310</f>
        <v>0</v>
      </c>
      <c r="N217" s="42">
        <f>'D4 Gallon Forecast'!N378+'D6 Gallon Forecast'!N294+'D6 Gallon Forecast'!N310</f>
        <v>1529485</v>
      </c>
      <c r="O217" s="42">
        <f>'D4 Gallon Forecast'!O378+'D6 Gallon Forecast'!O294+'D6 Gallon Forecast'!O310</f>
        <v>1310124</v>
      </c>
      <c r="P217" s="58">
        <f>'D4 Gallon Forecast'!P378+'D6 Gallon Forecast'!P294+'D6 Gallon Forecast'!P310</f>
        <v>3270652</v>
      </c>
      <c r="Q217" s="63">
        <f>'D4 Gallon Forecast'!Q378+'D6 Gallon Forecast'!Q294+'D6 Gallon Forecast'!Q310</f>
        <v>5074742.9935648777</v>
      </c>
      <c r="R217" s="63">
        <f>'D4 Gallon Forecast'!R378+'D6 Gallon Forecast'!R294+'D6 Gallon Forecast'!R310</f>
        <v>3644595.8845373942</v>
      </c>
      <c r="S217" s="63">
        <f>'D4 Gallon Forecast'!S378+'D6 Gallon Forecast'!S294+'D6 Gallon Forecast'!S310</f>
        <v>5243464.9084937628</v>
      </c>
      <c r="T217" s="63">
        <f>'D4 Gallon Forecast'!T378+'D6 Gallon Forecast'!T294+'D6 Gallon Forecast'!T310</f>
        <v>6853721.6016237047</v>
      </c>
      <c r="U217" s="63">
        <f>'D4 Gallon Forecast'!U378+'D6 Gallon Forecast'!U294+'D6 Gallon Forecast'!U310</f>
        <v>7416351.1097335918</v>
      </c>
      <c r="V217" s="63">
        <f>'D4 Gallon Forecast'!V378+'D6 Gallon Forecast'!V294+'D6 Gallon Forecast'!V310</f>
        <v>10801379.626530886</v>
      </c>
      <c r="W217" s="63">
        <f>'D4 Gallon Forecast'!W378+'D6 Gallon Forecast'!W294+'D6 Gallon Forecast'!W310</f>
        <v>9699032.3872308377</v>
      </c>
      <c r="X217" s="63">
        <f>'D4 Gallon Forecast'!X378+'D6 Gallon Forecast'!X294+'D6 Gallon Forecast'!X310</f>
        <v>8745095.4288650956</v>
      </c>
      <c r="Y217" s="63">
        <f>'D4 Gallon Forecast'!Y378+'D6 Gallon Forecast'!Y294+'D6 Gallon Forecast'!Y310</f>
        <v>9104555.8342933133</v>
      </c>
      <c r="Z217" s="63">
        <f>'D4 Gallon Forecast'!Z378+'D6 Gallon Forecast'!Z294+'D6 Gallon Forecast'!Z310</f>
        <v>9856221.4687729944</v>
      </c>
      <c r="AA217" s="63">
        <f>'D4 Gallon Forecast'!AA378+'D6 Gallon Forecast'!AA294+'D6 Gallon Forecast'!AA310</f>
        <v>10385332.686326662</v>
      </c>
      <c r="AB217" s="63">
        <f>'D4 Gallon Forecast'!AB378+'D6 Gallon Forecast'!AB294+'D6 Gallon Forecast'!AB310</f>
        <v>9562178.5528565105</v>
      </c>
      <c r="AC217" s="63">
        <f>'D4 Gallon Forecast'!AC378+'D6 Gallon Forecast'!AC294+'D6 Gallon Forecast'!AC310</f>
        <v>9561629.1173651814</v>
      </c>
      <c r="AD217" s="63">
        <f>'D4 Gallon Forecast'!AD378+'D6 Gallon Forecast'!AD294+'D6 Gallon Forecast'!AD310</f>
        <v>9784117.2308337614</v>
      </c>
      <c r="AE217" s="63">
        <f>'D4 Gallon Forecast'!AE378+'D6 Gallon Forecast'!AE294+'D6 Gallon Forecast'!AE310</f>
        <v>8803723.7980115078</v>
      </c>
      <c r="AF217" s="63">
        <f>'D4 Gallon Forecast'!AF378+'D6 Gallon Forecast'!AF294+'D6 Gallon Forecast'!AF310</f>
        <v>8374612.5148622878</v>
      </c>
      <c r="AG217" s="63">
        <f>'D4 Gallon Forecast'!AG378+'D6 Gallon Forecast'!AG294+'D6 Gallon Forecast'!AG310</f>
        <v>8530399.6927776765</v>
      </c>
      <c r="AH217" s="63">
        <f>'D4 Gallon Forecast'!AH378+'D6 Gallon Forecast'!AH294+'D6 Gallon Forecast'!AH310</f>
        <v>8805908.0044271387</v>
      </c>
      <c r="AI217" s="63">
        <f>'D4 Gallon Forecast'!AI378+'D6 Gallon Forecast'!AI294+'D6 Gallon Forecast'!AI310</f>
        <v>9008364.7555763144</v>
      </c>
      <c r="AJ217" s="63">
        <f>'D4 Gallon Forecast'!AJ378+'D6 Gallon Forecast'!AJ294+'D6 Gallon Forecast'!AJ310</f>
        <v>9112123.4214885831</v>
      </c>
      <c r="AK217" s="63">
        <f>'D4 Gallon Forecast'!AK378+'D6 Gallon Forecast'!AK294+'D6 Gallon Forecast'!AK310</f>
        <v>9383589.9627484623</v>
      </c>
      <c r="AL217" s="63">
        <f>'D4 Gallon Forecast'!AL378+'D6 Gallon Forecast'!AL294+'D6 Gallon Forecast'!AL310</f>
        <v>9896389.296432687</v>
      </c>
      <c r="AM217" s="63">
        <f>'D4 Gallon Forecast'!AM378+'D6 Gallon Forecast'!AM294+'D6 Gallon Forecast'!AM310</f>
        <v>10253673.664124696</v>
      </c>
      <c r="AN217" s="63">
        <f>'D4 Gallon Forecast'!AN378+'D6 Gallon Forecast'!AN294+'D6 Gallon Forecast'!AN310</f>
        <v>10265545.032838656</v>
      </c>
      <c r="AO217" s="63">
        <f>'D4 Gallon Forecast'!AO378+'D6 Gallon Forecast'!AO294+'D6 Gallon Forecast'!AO310</f>
        <v>10248540.359506354</v>
      </c>
      <c r="AP217" s="63">
        <f>'D4 Gallon Forecast'!AP378+'D6 Gallon Forecast'!AP294+'D6 Gallon Forecast'!AP310</f>
        <v>10489473.536981005</v>
      </c>
      <c r="AQ217" s="63">
        <f>'D4 Gallon Forecast'!AQ378+'D6 Gallon Forecast'!AQ294+'D6 Gallon Forecast'!AQ310</f>
        <v>11776189.109800499</v>
      </c>
      <c r="AR217" s="43"/>
    </row>
    <row r="218" spans="1:44">
      <c r="A218" s="40" t="s">
        <v>49</v>
      </c>
      <c r="B218" s="42">
        <f>'D4 Gallon Forecast'!B379+'D6 Gallon Forecast'!B295+'D6 Gallon Forecast'!B311</f>
        <v>0</v>
      </c>
      <c r="C218" s="42">
        <f>'D4 Gallon Forecast'!C379+'D6 Gallon Forecast'!C295+'D6 Gallon Forecast'!C311</f>
        <v>0</v>
      </c>
      <c r="D218" s="42">
        <f>'D4 Gallon Forecast'!D379+'D6 Gallon Forecast'!D295+'D6 Gallon Forecast'!D311</f>
        <v>0</v>
      </c>
      <c r="E218" s="42">
        <f>'D4 Gallon Forecast'!E379+'D6 Gallon Forecast'!E295+'D6 Gallon Forecast'!E311</f>
        <v>0</v>
      </c>
      <c r="F218" s="42">
        <f>'D4 Gallon Forecast'!F379+'D6 Gallon Forecast'!F295+'D6 Gallon Forecast'!F311</f>
        <v>0</v>
      </c>
      <c r="G218" s="42">
        <f>'D4 Gallon Forecast'!G379+'D6 Gallon Forecast'!G295+'D6 Gallon Forecast'!G311</f>
        <v>0</v>
      </c>
      <c r="H218" s="42">
        <f>'D4 Gallon Forecast'!H379+'D6 Gallon Forecast'!H295+'D6 Gallon Forecast'!H311</f>
        <v>0</v>
      </c>
      <c r="I218" s="42">
        <f>'D4 Gallon Forecast'!I379+'D6 Gallon Forecast'!I295+'D6 Gallon Forecast'!I311</f>
        <v>0</v>
      </c>
      <c r="J218" s="42">
        <f>'D4 Gallon Forecast'!J379+'D6 Gallon Forecast'!J295+'D6 Gallon Forecast'!J311</f>
        <v>0</v>
      </c>
      <c r="K218" s="42">
        <f>'D4 Gallon Forecast'!K379+'D6 Gallon Forecast'!K295+'D6 Gallon Forecast'!K311</f>
        <v>0</v>
      </c>
      <c r="L218" s="42">
        <f>'D4 Gallon Forecast'!L379+'D6 Gallon Forecast'!L295+'D6 Gallon Forecast'!L311</f>
        <v>0</v>
      </c>
      <c r="M218" s="42">
        <f>'D4 Gallon Forecast'!M379+'D6 Gallon Forecast'!M295+'D6 Gallon Forecast'!M311</f>
        <v>0</v>
      </c>
      <c r="N218" s="42">
        <f>'D4 Gallon Forecast'!N379+'D6 Gallon Forecast'!N295+'D6 Gallon Forecast'!N311</f>
        <v>0</v>
      </c>
      <c r="O218" s="42">
        <f>'D4 Gallon Forecast'!O379+'D6 Gallon Forecast'!O295+'D6 Gallon Forecast'!O311</f>
        <v>0</v>
      </c>
      <c r="P218" s="58">
        <f>'D4 Gallon Forecast'!P379+'D6 Gallon Forecast'!P295+'D6 Gallon Forecast'!P311</f>
        <v>6937447</v>
      </c>
      <c r="Q218" s="63">
        <f>'D4 Gallon Forecast'!Q379+'D6 Gallon Forecast'!Q295+'D6 Gallon Forecast'!Q311</f>
        <v>7710877.743724457</v>
      </c>
      <c r="R218" s="63">
        <f>'D4 Gallon Forecast'!R379+'D6 Gallon Forecast'!R295+'D6 Gallon Forecast'!R311</f>
        <v>4122692.1761037991</v>
      </c>
      <c r="S218" s="63">
        <f>'D4 Gallon Forecast'!S379+'D6 Gallon Forecast'!S295+'D6 Gallon Forecast'!S311</f>
        <v>5736424.2442540191</v>
      </c>
      <c r="T218" s="63">
        <f>'D4 Gallon Forecast'!T379+'D6 Gallon Forecast'!T295+'D6 Gallon Forecast'!T311</f>
        <v>7463303.1505263634</v>
      </c>
      <c r="U218" s="63">
        <f>'D4 Gallon Forecast'!U379+'D6 Gallon Forecast'!U295+'D6 Gallon Forecast'!U311</f>
        <v>9843671.6455045361</v>
      </c>
      <c r="V218" s="63">
        <f>'D4 Gallon Forecast'!V379+'D6 Gallon Forecast'!V295+'D6 Gallon Forecast'!V311</f>
        <v>13343287.283824084</v>
      </c>
      <c r="W218" s="63">
        <f>'D4 Gallon Forecast'!W379+'D6 Gallon Forecast'!W295+'D6 Gallon Forecast'!W311</f>
        <v>11569711.631184392</v>
      </c>
      <c r="X218" s="63">
        <f>'D4 Gallon Forecast'!X379+'D6 Gallon Forecast'!X295+'D6 Gallon Forecast'!X311</f>
        <v>10480926.786376985</v>
      </c>
      <c r="Y218" s="63">
        <f>'D4 Gallon Forecast'!Y379+'D6 Gallon Forecast'!Y295+'D6 Gallon Forecast'!Y311</f>
        <v>11026356.293501768</v>
      </c>
      <c r="Z218" s="63">
        <f>'D4 Gallon Forecast'!Z379+'D6 Gallon Forecast'!Z295+'D6 Gallon Forecast'!Z311</f>
        <v>12116963.830799777</v>
      </c>
      <c r="AA218" s="63">
        <f>'D4 Gallon Forecast'!AA379+'D6 Gallon Forecast'!AA295+'D6 Gallon Forecast'!AA311</f>
        <v>12610985.800878592</v>
      </c>
      <c r="AB218" s="63">
        <f>'D4 Gallon Forecast'!AB379+'D6 Gallon Forecast'!AB295+'D6 Gallon Forecast'!AB311</f>
        <v>11565985.532295106</v>
      </c>
      <c r="AC218" s="63">
        <f>'D4 Gallon Forecast'!AC379+'D6 Gallon Forecast'!AC295+'D6 Gallon Forecast'!AC311</f>
        <v>11597787.299105642</v>
      </c>
      <c r="AD218" s="63">
        <f>'D4 Gallon Forecast'!AD379+'D6 Gallon Forecast'!AD295+'D6 Gallon Forecast'!AD311</f>
        <v>11893178.643672295</v>
      </c>
      <c r="AE218" s="63">
        <f>'D4 Gallon Forecast'!AE379+'D6 Gallon Forecast'!AE295+'D6 Gallon Forecast'!AE311</f>
        <v>10708755.550265765</v>
      </c>
      <c r="AF218" s="63">
        <f>'D4 Gallon Forecast'!AF379+'D6 Gallon Forecast'!AF295+'D6 Gallon Forecast'!AF311</f>
        <v>10164508.628958957</v>
      </c>
      <c r="AG218" s="63">
        <f>'D4 Gallon Forecast'!AG379+'D6 Gallon Forecast'!AG295+'D6 Gallon Forecast'!AG311</f>
        <v>10352479.933655554</v>
      </c>
      <c r="AH218" s="63">
        <f>'D4 Gallon Forecast'!AH379+'D6 Gallon Forecast'!AH295+'D6 Gallon Forecast'!AH311</f>
        <v>10694392.430720307</v>
      </c>
      <c r="AI218" s="63">
        <f>'D4 Gallon Forecast'!AI379+'D6 Gallon Forecast'!AI295+'D6 Gallon Forecast'!AI311</f>
        <v>10943194.760625416</v>
      </c>
      <c r="AJ218" s="63">
        <f>'D4 Gallon Forecast'!AJ379+'D6 Gallon Forecast'!AJ295+'D6 Gallon Forecast'!AJ311</f>
        <v>11067644.746455751</v>
      </c>
      <c r="AK218" s="63">
        <f>'D4 Gallon Forecast'!AK379+'D6 Gallon Forecast'!AK295+'D6 Gallon Forecast'!AK311</f>
        <v>11394009.739525482</v>
      </c>
      <c r="AL218" s="63">
        <f>'D4 Gallon Forecast'!AL379+'D6 Gallon Forecast'!AL295+'D6 Gallon Forecast'!AL311</f>
        <v>12017635.996307347</v>
      </c>
      <c r="AM218" s="63">
        <f>'D4 Gallon Forecast'!AM379+'D6 Gallon Forecast'!AM295+'D6 Gallon Forecast'!AM311</f>
        <v>12452916.837284565</v>
      </c>
      <c r="AN218" s="63">
        <f>'D4 Gallon Forecast'!AN379+'D6 Gallon Forecast'!AN295+'D6 Gallon Forecast'!AN311</f>
        <v>12467385.470164316</v>
      </c>
      <c r="AO218" s="63">
        <f>'D4 Gallon Forecast'!AO379+'D6 Gallon Forecast'!AO295+'D6 Gallon Forecast'!AO311</f>
        <v>12446180.289094573</v>
      </c>
      <c r="AP218" s="63">
        <f>'D4 Gallon Forecast'!AP379+'D6 Gallon Forecast'!AP295+'D6 Gallon Forecast'!AP311</f>
        <v>12738449.133281387</v>
      </c>
      <c r="AQ218" s="63">
        <f>'D4 Gallon Forecast'!AQ379+'D6 Gallon Forecast'!AQ295+'D6 Gallon Forecast'!AQ311</f>
        <v>14301374.536179289</v>
      </c>
      <c r="AR218" s="43"/>
    </row>
    <row r="219" spans="1:44">
      <c r="A219" s="40" t="s">
        <v>50</v>
      </c>
      <c r="B219" s="42">
        <f>'D4 Gallon Forecast'!B380+'D6 Gallon Forecast'!B296+'D6 Gallon Forecast'!B312</f>
        <v>0</v>
      </c>
      <c r="C219" s="42">
        <f>'D4 Gallon Forecast'!C380+'D6 Gallon Forecast'!C296+'D6 Gallon Forecast'!C312</f>
        <v>0</v>
      </c>
      <c r="D219" s="42">
        <f>'D4 Gallon Forecast'!D380+'D6 Gallon Forecast'!D296+'D6 Gallon Forecast'!D312</f>
        <v>0</v>
      </c>
      <c r="E219" s="42">
        <f>'D4 Gallon Forecast'!E380+'D6 Gallon Forecast'!E296+'D6 Gallon Forecast'!E312</f>
        <v>0</v>
      </c>
      <c r="F219" s="42">
        <f>'D4 Gallon Forecast'!F380+'D6 Gallon Forecast'!F296+'D6 Gallon Forecast'!F312</f>
        <v>0</v>
      </c>
      <c r="G219" s="42">
        <f>'D4 Gallon Forecast'!G380+'D6 Gallon Forecast'!G296+'D6 Gallon Forecast'!G312</f>
        <v>0</v>
      </c>
      <c r="H219" s="42">
        <f>'D4 Gallon Forecast'!H380+'D6 Gallon Forecast'!H296+'D6 Gallon Forecast'!H312</f>
        <v>0</v>
      </c>
      <c r="I219" s="42">
        <f>'D4 Gallon Forecast'!I380+'D6 Gallon Forecast'!I296+'D6 Gallon Forecast'!I312</f>
        <v>0</v>
      </c>
      <c r="J219" s="42">
        <f>'D4 Gallon Forecast'!J380+'D6 Gallon Forecast'!J296+'D6 Gallon Forecast'!J312</f>
        <v>0</v>
      </c>
      <c r="K219" s="42">
        <f>'D4 Gallon Forecast'!K380+'D6 Gallon Forecast'!K296+'D6 Gallon Forecast'!K312</f>
        <v>0</v>
      </c>
      <c r="L219" s="42">
        <f>'D4 Gallon Forecast'!L380+'D6 Gallon Forecast'!L296+'D6 Gallon Forecast'!L312</f>
        <v>0</v>
      </c>
      <c r="M219" s="42">
        <f>'D4 Gallon Forecast'!M380+'D6 Gallon Forecast'!M296+'D6 Gallon Forecast'!M312</f>
        <v>0</v>
      </c>
      <c r="N219" s="42">
        <f>'D4 Gallon Forecast'!N380+'D6 Gallon Forecast'!N296+'D6 Gallon Forecast'!N312</f>
        <v>1646994</v>
      </c>
      <c r="O219" s="42">
        <f>'D4 Gallon Forecast'!O380+'D6 Gallon Forecast'!O296+'D6 Gallon Forecast'!O312</f>
        <v>1436324</v>
      </c>
      <c r="P219" s="58">
        <f>'D4 Gallon Forecast'!P380+'D6 Gallon Forecast'!P296+'D6 Gallon Forecast'!P312</f>
        <v>6991936</v>
      </c>
      <c r="Q219" s="63">
        <f>'D4 Gallon Forecast'!Q380+'D6 Gallon Forecast'!Q296+'D6 Gallon Forecast'!Q312</f>
        <v>6350815.8989415001</v>
      </c>
      <c r="R219" s="63">
        <f>'D4 Gallon Forecast'!R380+'D6 Gallon Forecast'!R296+'D6 Gallon Forecast'!R312</f>
        <v>4294544.5735034244</v>
      </c>
      <c r="S219" s="63">
        <f>'D4 Gallon Forecast'!S380+'D6 Gallon Forecast'!S296+'D6 Gallon Forecast'!S312</f>
        <v>6148289.4224402839</v>
      </c>
      <c r="T219" s="63">
        <f>'D4 Gallon Forecast'!T380+'D6 Gallon Forecast'!T296+'D6 Gallon Forecast'!T312</f>
        <v>8132284.9702272965</v>
      </c>
      <c r="U219" s="63">
        <f>'D4 Gallon Forecast'!U380+'D6 Gallon Forecast'!U296+'D6 Gallon Forecast'!U312</f>
        <v>9827392.1097363532</v>
      </c>
      <c r="V219" s="63">
        <f>'D4 Gallon Forecast'!V380+'D6 Gallon Forecast'!V296+'D6 Gallon Forecast'!V312</f>
        <v>13295984.132807409</v>
      </c>
      <c r="W219" s="63">
        <f>'D4 Gallon Forecast'!W380+'D6 Gallon Forecast'!W296+'D6 Gallon Forecast'!W312</f>
        <v>11909330.206500689</v>
      </c>
      <c r="X219" s="63">
        <f>'D4 Gallon Forecast'!X380+'D6 Gallon Forecast'!X296+'D6 Gallon Forecast'!X312</f>
        <v>10777475.126047933</v>
      </c>
      <c r="Y219" s="63">
        <f>'D4 Gallon Forecast'!Y380+'D6 Gallon Forecast'!Y296+'D6 Gallon Forecast'!Y312</f>
        <v>11286123.194577169</v>
      </c>
      <c r="Z219" s="63">
        <f>'D4 Gallon Forecast'!Z380+'D6 Gallon Forecast'!Z296+'D6 Gallon Forecast'!Z312</f>
        <v>12296218.36012855</v>
      </c>
      <c r="AA219" s="63">
        <f>'D4 Gallon Forecast'!AA380+'D6 Gallon Forecast'!AA296+'D6 Gallon Forecast'!AA312</f>
        <v>12832428.497888857</v>
      </c>
      <c r="AB219" s="63">
        <f>'D4 Gallon Forecast'!AB380+'D6 Gallon Forecast'!AB296+'D6 Gallon Forecast'!AB312</f>
        <v>11825423.821660498</v>
      </c>
      <c r="AC219" s="63">
        <f>'D4 Gallon Forecast'!AC380+'D6 Gallon Forecast'!AC296+'D6 Gallon Forecast'!AC312</f>
        <v>11841867.572182806</v>
      </c>
      <c r="AD219" s="63">
        <f>'D4 Gallon Forecast'!AD380+'D6 Gallon Forecast'!AD296+'D6 Gallon Forecast'!AD312</f>
        <v>12128139.700800538</v>
      </c>
      <c r="AE219" s="63">
        <f>'D4 Gallon Forecast'!AE380+'D6 Gallon Forecast'!AE296+'D6 Gallon Forecast'!AE312</f>
        <v>10912806.508710748</v>
      </c>
      <c r="AF219" s="63">
        <f>'D4 Gallon Forecast'!AF380+'D6 Gallon Forecast'!AF296+'D6 Gallon Forecast'!AF312</f>
        <v>10367178.835596055</v>
      </c>
      <c r="AG219" s="63">
        <f>'D4 Gallon Forecast'!AG380+'D6 Gallon Forecast'!AG296+'D6 Gallon Forecast'!AG312</f>
        <v>10564452.442690831</v>
      </c>
      <c r="AH219" s="63">
        <f>'D4 Gallon Forecast'!AH380+'D6 Gallon Forecast'!AH296+'D6 Gallon Forecast'!AH312</f>
        <v>10908944.967033701</v>
      </c>
      <c r="AI219" s="63">
        <f>'D4 Gallon Forecast'!AI380+'D6 Gallon Forecast'!AI296+'D6 Gallon Forecast'!AI312</f>
        <v>11160419.81232374</v>
      </c>
      <c r="AJ219" s="63">
        <f>'D4 Gallon Forecast'!AJ380+'D6 Gallon Forecast'!AJ296+'D6 Gallon Forecast'!AJ312</f>
        <v>11287574.94114396</v>
      </c>
      <c r="AK219" s="63">
        <f>'D4 Gallon Forecast'!AK380+'D6 Gallon Forecast'!AK296+'D6 Gallon Forecast'!AK312</f>
        <v>11622297.996760199</v>
      </c>
      <c r="AL219" s="63">
        <f>'D4 Gallon Forecast'!AL380+'D6 Gallon Forecast'!AL296+'D6 Gallon Forecast'!AL312</f>
        <v>12258636.283400008</v>
      </c>
      <c r="AM219" s="63">
        <f>'D4 Gallon Forecast'!AM380+'D6 Gallon Forecast'!AM296+'D6 Gallon Forecast'!AM312</f>
        <v>12701677.541979495</v>
      </c>
      <c r="AN219" s="63">
        <f>'D4 Gallon Forecast'!AN380+'D6 Gallon Forecast'!AN296+'D6 Gallon Forecast'!AN312</f>
        <v>12716236.954965601</v>
      </c>
      <c r="AO219" s="63">
        <f>'D4 Gallon Forecast'!AO380+'D6 Gallon Forecast'!AO296+'D6 Gallon Forecast'!AO312</f>
        <v>12694860.642194292</v>
      </c>
      <c r="AP219" s="63">
        <f>'D4 Gallon Forecast'!AP380+'D6 Gallon Forecast'!AP296+'D6 Gallon Forecast'!AP312</f>
        <v>12993221.997599801</v>
      </c>
      <c r="AQ219" s="63">
        <f>'D4 Gallon Forecast'!AQ380+'D6 Gallon Forecast'!AQ296+'D6 Gallon Forecast'!AQ312</f>
        <v>14587313.243137494</v>
      </c>
      <c r="AR219" s="43"/>
    </row>
    <row r="220" spans="1:44">
      <c r="A220" s="40" t="s">
        <v>51</v>
      </c>
      <c r="B220" s="42">
        <f>'D4 Gallon Forecast'!B381+'D6 Gallon Forecast'!B297+'D6 Gallon Forecast'!B313</f>
        <v>0</v>
      </c>
      <c r="C220" s="42">
        <f>'D4 Gallon Forecast'!C381+'D6 Gallon Forecast'!C297+'D6 Gallon Forecast'!C313</f>
        <v>0</v>
      </c>
      <c r="D220" s="42">
        <f>'D4 Gallon Forecast'!D381+'D6 Gallon Forecast'!D297+'D6 Gallon Forecast'!D313</f>
        <v>0</v>
      </c>
      <c r="E220" s="42">
        <f>'D4 Gallon Forecast'!E381+'D6 Gallon Forecast'!E297+'D6 Gallon Forecast'!E313</f>
        <v>0</v>
      </c>
      <c r="F220" s="42">
        <f>'D4 Gallon Forecast'!F381+'D6 Gallon Forecast'!F297+'D6 Gallon Forecast'!F313</f>
        <v>0</v>
      </c>
      <c r="G220" s="42">
        <f>'D4 Gallon Forecast'!G381+'D6 Gallon Forecast'!G297+'D6 Gallon Forecast'!G313</f>
        <v>0</v>
      </c>
      <c r="H220" s="42">
        <f>'D4 Gallon Forecast'!H381+'D6 Gallon Forecast'!H297+'D6 Gallon Forecast'!H313</f>
        <v>0</v>
      </c>
      <c r="I220" s="42">
        <f>'D4 Gallon Forecast'!I381+'D6 Gallon Forecast'!I297+'D6 Gallon Forecast'!I313</f>
        <v>0</v>
      </c>
      <c r="J220" s="42">
        <f>'D4 Gallon Forecast'!J381+'D6 Gallon Forecast'!J297+'D6 Gallon Forecast'!J313</f>
        <v>0</v>
      </c>
      <c r="K220" s="42">
        <f>'D4 Gallon Forecast'!K381+'D6 Gallon Forecast'!K297+'D6 Gallon Forecast'!K313</f>
        <v>0</v>
      </c>
      <c r="L220" s="42">
        <f>'D4 Gallon Forecast'!L381+'D6 Gallon Forecast'!L297+'D6 Gallon Forecast'!L313</f>
        <v>0</v>
      </c>
      <c r="M220" s="42">
        <f>'D4 Gallon Forecast'!M381+'D6 Gallon Forecast'!M297+'D6 Gallon Forecast'!M313</f>
        <v>0</v>
      </c>
      <c r="N220" s="42">
        <f>'D4 Gallon Forecast'!N381+'D6 Gallon Forecast'!N297+'D6 Gallon Forecast'!N313</f>
        <v>0</v>
      </c>
      <c r="O220" s="42">
        <f>'D4 Gallon Forecast'!O381+'D6 Gallon Forecast'!O297+'D6 Gallon Forecast'!O313</f>
        <v>1503762</v>
      </c>
      <c r="P220" s="58">
        <f>'D4 Gallon Forecast'!P381+'D6 Gallon Forecast'!P297+'D6 Gallon Forecast'!P313</f>
        <v>11456296</v>
      </c>
      <c r="Q220" s="63">
        <f>'D4 Gallon Forecast'!Q381+'D6 Gallon Forecast'!Q297+'D6 Gallon Forecast'!Q313</f>
        <v>7208306.2547620367</v>
      </c>
      <c r="R220" s="63">
        <f>'D4 Gallon Forecast'!R381+'D6 Gallon Forecast'!R297+'D6 Gallon Forecast'!R313</f>
        <v>5199670.8025440155</v>
      </c>
      <c r="S220" s="63">
        <f>'D4 Gallon Forecast'!S381+'D6 Gallon Forecast'!S297+'D6 Gallon Forecast'!S313</f>
        <v>7501816.0435568439</v>
      </c>
      <c r="T220" s="63">
        <f>'D4 Gallon Forecast'!T381+'D6 Gallon Forecast'!T297+'D6 Gallon Forecast'!T313</f>
        <v>9890834.8179258797</v>
      </c>
      <c r="U220" s="63">
        <f>'D4 Gallon Forecast'!U381+'D6 Gallon Forecast'!U297+'D6 Gallon Forecast'!U313</f>
        <v>12702851.336950189</v>
      </c>
      <c r="V220" s="63">
        <f>'D4 Gallon Forecast'!V381+'D6 Gallon Forecast'!V297+'D6 Gallon Forecast'!V313</f>
        <v>16261049.947315782</v>
      </c>
      <c r="W220" s="63">
        <f>'D4 Gallon Forecast'!W381+'D6 Gallon Forecast'!W297+'D6 Gallon Forecast'!W313</f>
        <v>14724753.980159542</v>
      </c>
      <c r="X220" s="63">
        <f>'D4 Gallon Forecast'!X381+'D6 Gallon Forecast'!X297+'D6 Gallon Forecast'!X313</f>
        <v>13349390.797005443</v>
      </c>
      <c r="Y220" s="63">
        <f>'D4 Gallon Forecast'!Y381+'D6 Gallon Forecast'!Y297+'D6 Gallon Forecast'!Y313</f>
        <v>14003208.293135442</v>
      </c>
      <c r="Z220" s="63">
        <f>'D4 Gallon Forecast'!Z381+'D6 Gallon Forecast'!Z297+'D6 Gallon Forecast'!Z313</f>
        <v>15299392.485119617</v>
      </c>
      <c r="AA220" s="63">
        <f>'D4 Gallon Forecast'!AA381+'D6 Gallon Forecast'!AA297+'D6 Gallon Forecast'!AA313</f>
        <v>15864176.395629117</v>
      </c>
      <c r="AB220" s="63">
        <f>'D4 Gallon Forecast'!AB381+'D6 Gallon Forecast'!AB297+'D6 Gallon Forecast'!AB313</f>
        <v>14654515.341024792</v>
      </c>
      <c r="AC220" s="63">
        <f>'D4 Gallon Forecast'!AC381+'D6 Gallon Forecast'!AC297+'D6 Gallon Forecast'!AC313</f>
        <v>14681663.248024389</v>
      </c>
      <c r="AD220" s="63">
        <f>'D4 Gallon Forecast'!AD381+'D6 Gallon Forecast'!AD297+'D6 Gallon Forecast'!AD313</f>
        <v>15039135.373558152</v>
      </c>
      <c r="AE220" s="63">
        <f>'D4 Gallon Forecast'!AE381+'D6 Gallon Forecast'!AE297+'D6 Gallon Forecast'!AE313</f>
        <v>13530630.910725281</v>
      </c>
      <c r="AF220" s="63">
        <f>'D4 Gallon Forecast'!AF381+'D6 Gallon Forecast'!AF297+'D6 Gallon Forecast'!AF313</f>
        <v>12844801.544854779</v>
      </c>
      <c r="AG220" s="63">
        <f>'D4 Gallon Forecast'!AG381+'D6 Gallon Forecast'!AG297+'D6 Gallon Forecast'!AG313</f>
        <v>13095706.39084699</v>
      </c>
      <c r="AH220" s="63">
        <f>'D4 Gallon Forecast'!AH381+'D6 Gallon Forecast'!AH297+'D6 Gallon Forecast'!AH313</f>
        <v>13523578.657635964</v>
      </c>
      <c r="AI220" s="63">
        <f>'D4 Gallon Forecast'!AI381+'D6 Gallon Forecast'!AI297+'D6 Gallon Forecast'!AI313</f>
        <v>13835009.044966334</v>
      </c>
      <c r="AJ220" s="63">
        <f>'D4 Gallon Forecast'!AJ381+'D6 Gallon Forecast'!AJ297+'D6 Gallon Forecast'!AJ313</f>
        <v>13991696.204138201</v>
      </c>
      <c r="AK220" s="63">
        <f>'D4 Gallon Forecast'!AK381+'D6 Gallon Forecast'!AK297+'D6 Gallon Forecast'!AK313</f>
        <v>14405861.507172108</v>
      </c>
      <c r="AL220" s="63">
        <f>'D4 Gallon Forecast'!AL381+'D6 Gallon Forecast'!AL297+'D6 Gallon Forecast'!AL313</f>
        <v>15195782.028210657</v>
      </c>
      <c r="AM220" s="63">
        <f>'D4 Gallon Forecast'!AM381+'D6 Gallon Forecast'!AM297+'D6 Gallon Forecast'!AM313</f>
        <v>15744968.154151894</v>
      </c>
      <c r="AN220" s="63">
        <f>'D4 Gallon Forecast'!AN381+'D6 Gallon Forecast'!AN297+'D6 Gallon Forecast'!AN313</f>
        <v>15762826.963005159</v>
      </c>
      <c r="AO220" s="63">
        <f>'D4 Gallon Forecast'!AO381+'D6 Gallon Forecast'!AO297+'D6 Gallon Forecast'!AO313</f>
        <v>15736172.933887731</v>
      </c>
      <c r="AP220" s="63">
        <f>'D4 Gallon Forecast'!AP381+'D6 Gallon Forecast'!AP297+'D6 Gallon Forecast'!AP313</f>
        <v>16106022.695472727</v>
      </c>
      <c r="AQ220" s="63">
        <f>'D4 Gallon Forecast'!AQ381+'D6 Gallon Forecast'!AQ297+'D6 Gallon Forecast'!AQ313</f>
        <v>18082197.111316353</v>
      </c>
      <c r="AR220" s="43"/>
    </row>
    <row r="221" spans="1:44">
      <c r="A221" s="40" t="s">
        <v>52</v>
      </c>
      <c r="B221" s="42">
        <f>'D4 Gallon Forecast'!B382+'D6 Gallon Forecast'!B298+'D6 Gallon Forecast'!B314</f>
        <v>0</v>
      </c>
      <c r="C221" s="42">
        <f>'D4 Gallon Forecast'!C382+'D6 Gallon Forecast'!C298+'D6 Gallon Forecast'!C314</f>
        <v>0</v>
      </c>
      <c r="D221" s="42">
        <f>'D4 Gallon Forecast'!D382+'D6 Gallon Forecast'!D298+'D6 Gallon Forecast'!D314</f>
        <v>0</v>
      </c>
      <c r="E221" s="42">
        <f>'D4 Gallon Forecast'!E382+'D6 Gallon Forecast'!E298+'D6 Gallon Forecast'!E314</f>
        <v>0</v>
      </c>
      <c r="F221" s="42">
        <f>'D4 Gallon Forecast'!F382+'D6 Gallon Forecast'!F298+'D6 Gallon Forecast'!F314</f>
        <v>0</v>
      </c>
      <c r="G221" s="42">
        <f>'D4 Gallon Forecast'!G382+'D6 Gallon Forecast'!G298+'D6 Gallon Forecast'!G314</f>
        <v>0</v>
      </c>
      <c r="H221" s="42">
        <f>'D4 Gallon Forecast'!H382+'D6 Gallon Forecast'!H298+'D6 Gallon Forecast'!H314</f>
        <v>0</v>
      </c>
      <c r="I221" s="42">
        <f>'D4 Gallon Forecast'!I382+'D6 Gallon Forecast'!I298+'D6 Gallon Forecast'!I314</f>
        <v>0</v>
      </c>
      <c r="J221" s="42">
        <f>'D4 Gallon Forecast'!J382+'D6 Gallon Forecast'!J298+'D6 Gallon Forecast'!J314</f>
        <v>0</v>
      </c>
      <c r="K221" s="42">
        <f>'D4 Gallon Forecast'!K382+'D6 Gallon Forecast'!K298+'D6 Gallon Forecast'!K314</f>
        <v>0</v>
      </c>
      <c r="L221" s="42">
        <f>'D4 Gallon Forecast'!L382+'D6 Gallon Forecast'!L298+'D6 Gallon Forecast'!L314</f>
        <v>0</v>
      </c>
      <c r="M221" s="42">
        <f>'D4 Gallon Forecast'!M382+'D6 Gallon Forecast'!M298+'D6 Gallon Forecast'!M314</f>
        <v>0</v>
      </c>
      <c r="N221" s="42">
        <f>'D4 Gallon Forecast'!N382+'D6 Gallon Forecast'!N298+'D6 Gallon Forecast'!N314</f>
        <v>0</v>
      </c>
      <c r="O221" s="42">
        <f>'D4 Gallon Forecast'!O382+'D6 Gallon Forecast'!O298+'D6 Gallon Forecast'!O314</f>
        <v>1430740</v>
      </c>
      <c r="P221" s="58">
        <f>'D4 Gallon Forecast'!P382+'D6 Gallon Forecast'!P298+'D6 Gallon Forecast'!P314</f>
        <v>4880590</v>
      </c>
      <c r="Q221" s="63">
        <f>'D4 Gallon Forecast'!Q382+'D6 Gallon Forecast'!Q298+'D6 Gallon Forecast'!Q314</f>
        <v>5419007.9603766967</v>
      </c>
      <c r="R221" s="63">
        <f>'D4 Gallon Forecast'!R382+'D6 Gallon Forecast'!R298+'D6 Gallon Forecast'!R314</f>
        <v>5179917.0449949773</v>
      </c>
      <c r="S221" s="63">
        <f>'D4 Gallon Forecast'!S382+'D6 Gallon Forecast'!S298+'D6 Gallon Forecast'!S314</f>
        <v>7459370.3750712778</v>
      </c>
      <c r="T221" s="63">
        <f>'D4 Gallon Forecast'!T382+'D6 Gallon Forecast'!T298+'D6 Gallon Forecast'!T314</f>
        <v>9638613.975225674</v>
      </c>
      <c r="U221" s="63">
        <f>'D4 Gallon Forecast'!U382+'D6 Gallon Forecast'!U298+'D6 Gallon Forecast'!U314</f>
        <v>10030489.235194495</v>
      </c>
      <c r="V221" s="63">
        <f>'D4 Gallon Forecast'!V382+'D6 Gallon Forecast'!V298+'D6 Gallon Forecast'!V314</f>
        <v>14433809.269519532</v>
      </c>
      <c r="W221" s="63">
        <f>'D4 Gallon Forecast'!W382+'D6 Gallon Forecast'!W298+'D6 Gallon Forecast'!W314</f>
        <v>13349841.292860221</v>
      </c>
      <c r="X221" s="63">
        <f>'D4 Gallon Forecast'!X382+'D6 Gallon Forecast'!X298+'D6 Gallon Forecast'!X314</f>
        <v>12001108.870078409</v>
      </c>
      <c r="Y221" s="63">
        <f>'D4 Gallon Forecast'!Y382+'D6 Gallon Forecast'!Y298+'D6 Gallon Forecast'!Y314</f>
        <v>12439246.129341371</v>
      </c>
      <c r="Z221" s="63">
        <f>'D4 Gallon Forecast'!Z382+'D6 Gallon Forecast'!Z298+'D6 Gallon Forecast'!Z314</f>
        <v>13407082.384952661</v>
      </c>
      <c r="AA221" s="63">
        <f>'D4 Gallon Forecast'!AA382+'D6 Gallon Forecast'!AA298+'D6 Gallon Forecast'!AA314</f>
        <v>14139249.404684341</v>
      </c>
      <c r="AB221" s="63">
        <f>'D4 Gallon Forecast'!AB382+'D6 Gallon Forecast'!AB298+'D6 Gallon Forecast'!AB314</f>
        <v>13072953.310796414</v>
      </c>
      <c r="AC221" s="63">
        <f>'D4 Gallon Forecast'!AC382+'D6 Gallon Forecast'!AC298+'D6 Gallon Forecast'!AC314</f>
        <v>13054186.236199539</v>
      </c>
      <c r="AD221" s="63">
        <f>'D4 Gallon Forecast'!AD382+'D6 Gallon Forecast'!AD298+'D6 Gallon Forecast'!AD314</f>
        <v>13345485.393201845</v>
      </c>
      <c r="AE221" s="63">
        <f>'D4 Gallon Forecast'!AE382+'D6 Gallon Forecast'!AE298+'D6 Gallon Forecast'!AE314</f>
        <v>12004529.765335547</v>
      </c>
      <c r="AF221" s="63">
        <f>'D4 Gallon Forecast'!AF382+'D6 Gallon Forecast'!AF298+'D6 Gallon Forecast'!AF314</f>
        <v>11425082.057406815</v>
      </c>
      <c r="AG221" s="63">
        <f>'D4 Gallon Forecast'!AG382+'D6 Gallon Forecast'!AG298+'D6 Gallon Forecast'!AG314</f>
        <v>11642975.737754909</v>
      </c>
      <c r="AH221" s="63">
        <f>'D4 Gallon Forecast'!AH382+'D6 Gallon Forecast'!AH298+'D6 Gallon Forecast'!AH314</f>
        <v>12014765.922713714</v>
      </c>
      <c r="AI221" s="63">
        <f>'D4 Gallon Forecast'!AI382+'D6 Gallon Forecast'!AI298+'D6 Gallon Forecast'!AI314</f>
        <v>12289306.530560831</v>
      </c>
      <c r="AJ221" s="63">
        <f>'D4 Gallon Forecast'!AJ382+'D6 Gallon Forecast'!AJ298+'D6 Gallon Forecast'!AJ314</f>
        <v>12431297.140196994</v>
      </c>
      <c r="AK221" s="63">
        <f>'D4 Gallon Forecast'!AK382+'D6 Gallon Forecast'!AK298+'D6 Gallon Forecast'!AK314</f>
        <v>12802938.842391336</v>
      </c>
      <c r="AL221" s="63">
        <f>'D4 Gallon Forecast'!AL382+'D6 Gallon Forecast'!AL298+'D6 Gallon Forecast'!AL314</f>
        <v>13502867.884288946</v>
      </c>
      <c r="AM221" s="63">
        <f>'D4 Gallon Forecast'!AM382+'D6 Gallon Forecast'!AM298+'D6 Gallon Forecast'!AM314</f>
        <v>13989490.481012387</v>
      </c>
      <c r="AN221" s="63">
        <f>'D4 Gallon Forecast'!AN382+'D6 Gallon Forecast'!AN298+'D6 Gallon Forecast'!AN314</f>
        <v>14005575.232434845</v>
      </c>
      <c r="AO221" s="63">
        <f>'D4 Gallon Forecast'!AO382+'D6 Gallon Forecast'!AO298+'D6 Gallon Forecast'!AO314</f>
        <v>13982597.769974079</v>
      </c>
      <c r="AP221" s="63">
        <f>'D4 Gallon Forecast'!AP382+'D6 Gallon Forecast'!AP298+'D6 Gallon Forecast'!AP314</f>
        <v>14311488.94810506</v>
      </c>
      <c r="AQ221" s="63">
        <f>'D4 Gallon Forecast'!AQ382+'D6 Gallon Forecast'!AQ298+'D6 Gallon Forecast'!AQ314</f>
        <v>16066976.281040676</v>
      </c>
      <c r="AR221" s="43"/>
    </row>
    <row r="222" spans="1:44">
      <c r="A222" s="40" t="s">
        <v>53</v>
      </c>
      <c r="B222" s="42">
        <f>'D4 Gallon Forecast'!B383+'D6 Gallon Forecast'!B299+'D6 Gallon Forecast'!B315</f>
        <v>0</v>
      </c>
      <c r="C222" s="42">
        <f>'D4 Gallon Forecast'!C383+'D6 Gallon Forecast'!C299+'D6 Gallon Forecast'!C315</f>
        <v>0</v>
      </c>
      <c r="D222" s="42">
        <f>'D4 Gallon Forecast'!D383+'D6 Gallon Forecast'!D299+'D6 Gallon Forecast'!D315</f>
        <v>0</v>
      </c>
      <c r="E222" s="42">
        <f>'D4 Gallon Forecast'!E383+'D6 Gallon Forecast'!E299+'D6 Gallon Forecast'!E315</f>
        <v>0</v>
      </c>
      <c r="F222" s="42">
        <f>'D4 Gallon Forecast'!F383+'D6 Gallon Forecast'!F299+'D6 Gallon Forecast'!F315</f>
        <v>0</v>
      </c>
      <c r="G222" s="42">
        <f>'D4 Gallon Forecast'!G383+'D6 Gallon Forecast'!G299+'D6 Gallon Forecast'!G315</f>
        <v>0</v>
      </c>
      <c r="H222" s="42">
        <f>'D4 Gallon Forecast'!H383+'D6 Gallon Forecast'!H299+'D6 Gallon Forecast'!H315</f>
        <v>0</v>
      </c>
      <c r="I222" s="42">
        <f>'D4 Gallon Forecast'!I383+'D6 Gallon Forecast'!I299+'D6 Gallon Forecast'!I315</f>
        <v>0</v>
      </c>
      <c r="J222" s="42">
        <f>'D4 Gallon Forecast'!J383+'D6 Gallon Forecast'!J299+'D6 Gallon Forecast'!J315</f>
        <v>0</v>
      </c>
      <c r="K222" s="42">
        <f>'D4 Gallon Forecast'!K383+'D6 Gallon Forecast'!K299+'D6 Gallon Forecast'!K315</f>
        <v>0</v>
      </c>
      <c r="L222" s="42">
        <f>'D4 Gallon Forecast'!L383+'D6 Gallon Forecast'!L299+'D6 Gallon Forecast'!L315</f>
        <v>0</v>
      </c>
      <c r="M222" s="42">
        <f>'D4 Gallon Forecast'!M383+'D6 Gallon Forecast'!M299+'D6 Gallon Forecast'!M315</f>
        <v>0</v>
      </c>
      <c r="N222" s="42">
        <f>'D4 Gallon Forecast'!N383+'D6 Gallon Forecast'!N299+'D6 Gallon Forecast'!N315</f>
        <v>0</v>
      </c>
      <c r="O222" s="42">
        <f>'D4 Gallon Forecast'!O383+'D6 Gallon Forecast'!O299+'D6 Gallon Forecast'!O315</f>
        <v>0</v>
      </c>
      <c r="P222" s="58">
        <f>'D4 Gallon Forecast'!P383+'D6 Gallon Forecast'!P299+'D6 Gallon Forecast'!P315</f>
        <v>1270291</v>
      </c>
      <c r="Q222" s="63">
        <f>'D4 Gallon Forecast'!Q383+'D6 Gallon Forecast'!Q299+'D6 Gallon Forecast'!Q315</f>
        <v>3743434.7121728687</v>
      </c>
      <c r="R222" s="63">
        <f>'D4 Gallon Forecast'!R383+'D6 Gallon Forecast'!R299+'D6 Gallon Forecast'!R315</f>
        <v>4378617.9408729207</v>
      </c>
      <c r="S222" s="63">
        <f>'D4 Gallon Forecast'!S383+'D6 Gallon Forecast'!S299+'D6 Gallon Forecast'!S315</f>
        <v>6302092.2745607076</v>
      </c>
      <c r="T222" s="63">
        <f>'D4 Gallon Forecast'!T383+'D6 Gallon Forecast'!T299+'D6 Gallon Forecast'!T315</f>
        <v>8314421.9237800343</v>
      </c>
      <c r="U222" s="63">
        <f>'D4 Gallon Forecast'!U383+'D6 Gallon Forecast'!U299+'D6 Gallon Forecast'!U315</f>
        <v>7392236.8196054809</v>
      </c>
      <c r="V222" s="63">
        <f>'D4 Gallon Forecast'!V383+'D6 Gallon Forecast'!V299+'D6 Gallon Forecast'!V315</f>
        <v>11527491.678945575</v>
      </c>
      <c r="W222" s="63">
        <f>'D4 Gallon Forecast'!W383+'D6 Gallon Forecast'!W299+'D6 Gallon Forecast'!W315</f>
        <v>10828702.398215698</v>
      </c>
      <c r="X222" s="63">
        <f>'D4 Gallon Forecast'!X383+'D6 Gallon Forecast'!X299+'D6 Gallon Forecast'!X315</f>
        <v>9696010.5689533241</v>
      </c>
      <c r="Y222" s="63">
        <f>'D4 Gallon Forecast'!Y383+'D6 Gallon Forecast'!Y299+'D6 Gallon Forecast'!Y315</f>
        <v>9992357.6055616438</v>
      </c>
      <c r="Z222" s="63">
        <f>'D4 Gallon Forecast'!Z383+'D6 Gallon Forecast'!Z299+'D6 Gallon Forecast'!Z315</f>
        <v>10646672.825124729</v>
      </c>
      <c r="AA222" s="63">
        <f>'D4 Gallon Forecast'!AA383+'D6 Gallon Forecast'!AA299+'D6 Gallon Forecast'!AA315</f>
        <v>11351549.0524275</v>
      </c>
      <c r="AB222" s="63">
        <f>'D4 Gallon Forecast'!AB383+'D6 Gallon Forecast'!AB299+'D6 Gallon Forecast'!AB315</f>
        <v>10507597.915895022</v>
      </c>
      <c r="AC222" s="63">
        <f>'D4 Gallon Forecast'!AC383+'D6 Gallon Forecast'!AC299+'D6 Gallon Forecast'!AC315</f>
        <v>10472739.307122627</v>
      </c>
      <c r="AD222" s="63">
        <f>'D4 Gallon Forecast'!AD383+'D6 Gallon Forecast'!AD299+'D6 Gallon Forecast'!AD315</f>
        <v>10692687.008819684</v>
      </c>
      <c r="AE222" s="63">
        <f>'D4 Gallon Forecast'!AE383+'D6 Gallon Forecast'!AE299+'D6 Gallon Forecast'!AE315</f>
        <v>9613669.070679443</v>
      </c>
      <c r="AF222" s="63">
        <f>'D4 Gallon Forecast'!AF383+'D6 Gallon Forecast'!AF299+'D6 Gallon Forecast'!AF315</f>
        <v>9165333.675596172</v>
      </c>
      <c r="AG222" s="63">
        <f>'D4 Gallon Forecast'!AG383+'D6 Gallon Forecast'!AG299+'D6 Gallon Forecast'!AG315</f>
        <v>9338487.0913335793</v>
      </c>
      <c r="AH222" s="63">
        <f>'D4 Gallon Forecast'!AH383+'D6 Gallon Forecast'!AH299+'D6 Gallon Forecast'!AH315</f>
        <v>9632356.2754457463</v>
      </c>
      <c r="AI222" s="63">
        <f>'D4 Gallon Forecast'!AI383+'D6 Gallon Forecast'!AI299+'D6 Gallon Forecast'!AI315</f>
        <v>9851020.5663020853</v>
      </c>
      <c r="AJ222" s="63">
        <f>'D4 Gallon Forecast'!AJ383+'D6 Gallon Forecast'!AJ299+'D6 Gallon Forecast'!AJ315</f>
        <v>9965877.4623689018</v>
      </c>
      <c r="AK222" s="63">
        <f>'D4 Gallon Forecast'!AK383+'D6 Gallon Forecast'!AK299+'D6 Gallon Forecast'!AK315</f>
        <v>10265971.604762895</v>
      </c>
      <c r="AL222" s="63">
        <f>'D4 Gallon Forecast'!AL383+'D6 Gallon Forecast'!AL299+'D6 Gallon Forecast'!AL315</f>
        <v>10826281.5143937</v>
      </c>
      <c r="AM222" s="63">
        <f>'D4 Gallon Forecast'!AM383+'D6 Gallon Forecast'!AM299+'D6 Gallon Forecast'!AM315</f>
        <v>11215684.387029476</v>
      </c>
      <c r="AN222" s="63">
        <f>'D4 Gallon Forecast'!AN383+'D6 Gallon Forecast'!AN299+'D6 Gallon Forecast'!AN315</f>
        <v>11228611.704182427</v>
      </c>
      <c r="AO222" s="63">
        <f>'D4 Gallon Forecast'!AO383+'D6 Gallon Forecast'!AO299+'D6 Gallon Forecast'!AO315</f>
        <v>11210528.843692688</v>
      </c>
      <c r="AP222" s="63">
        <f>'D4 Gallon Forecast'!AP383+'D6 Gallon Forecast'!AP299+'D6 Gallon Forecast'!AP315</f>
        <v>11474405.153999219</v>
      </c>
      <c r="AQ222" s="63">
        <f>'D4 Gallon Forecast'!AQ383+'D6 Gallon Forecast'!AQ299+'D6 Gallon Forecast'!AQ315</f>
        <v>12881642.824716309</v>
      </c>
      <c r="AR222" s="43"/>
    </row>
    <row r="223" spans="1:44">
      <c r="A223" s="40" t="s">
        <v>54</v>
      </c>
      <c r="B223" s="42">
        <f>'D4 Gallon Forecast'!B384+'D6 Gallon Forecast'!B300+'D6 Gallon Forecast'!B316</f>
        <v>0</v>
      </c>
      <c r="C223" s="42">
        <f>'D4 Gallon Forecast'!C384+'D6 Gallon Forecast'!C300+'D6 Gallon Forecast'!C316</f>
        <v>0</v>
      </c>
      <c r="D223" s="42">
        <f>'D4 Gallon Forecast'!D384+'D6 Gallon Forecast'!D300+'D6 Gallon Forecast'!D316</f>
        <v>0</v>
      </c>
      <c r="E223" s="42">
        <f>'D4 Gallon Forecast'!E384+'D6 Gallon Forecast'!E300+'D6 Gallon Forecast'!E316</f>
        <v>0</v>
      </c>
      <c r="F223" s="42">
        <f>'D4 Gallon Forecast'!F384+'D6 Gallon Forecast'!F300+'D6 Gallon Forecast'!F316</f>
        <v>0</v>
      </c>
      <c r="G223" s="42">
        <f>'D4 Gallon Forecast'!G384+'D6 Gallon Forecast'!G300+'D6 Gallon Forecast'!G316</f>
        <v>0</v>
      </c>
      <c r="H223" s="42">
        <f>'D4 Gallon Forecast'!H384+'D6 Gallon Forecast'!H300+'D6 Gallon Forecast'!H316</f>
        <v>0</v>
      </c>
      <c r="I223" s="42">
        <f>'D4 Gallon Forecast'!I384+'D6 Gallon Forecast'!I300+'D6 Gallon Forecast'!I316</f>
        <v>0</v>
      </c>
      <c r="J223" s="42">
        <f>'D4 Gallon Forecast'!J384+'D6 Gallon Forecast'!J300+'D6 Gallon Forecast'!J316</f>
        <v>0</v>
      </c>
      <c r="K223" s="42">
        <f>'D4 Gallon Forecast'!K384+'D6 Gallon Forecast'!K300+'D6 Gallon Forecast'!K316</f>
        <v>0</v>
      </c>
      <c r="L223" s="42">
        <f>'D4 Gallon Forecast'!L384+'D6 Gallon Forecast'!L300+'D6 Gallon Forecast'!L316</f>
        <v>0</v>
      </c>
      <c r="M223" s="42">
        <f>'D4 Gallon Forecast'!M384+'D6 Gallon Forecast'!M300+'D6 Gallon Forecast'!M316</f>
        <v>0</v>
      </c>
      <c r="N223" s="42">
        <f>'D4 Gallon Forecast'!N384+'D6 Gallon Forecast'!N300+'D6 Gallon Forecast'!N316</f>
        <v>1443291</v>
      </c>
      <c r="O223" s="42">
        <f>'D4 Gallon Forecast'!O384+'D6 Gallon Forecast'!O300+'D6 Gallon Forecast'!O316</f>
        <v>2304197</v>
      </c>
      <c r="P223" s="58">
        <f>'D4 Gallon Forecast'!P384+'D6 Gallon Forecast'!P300+'D6 Gallon Forecast'!P316</f>
        <v>3403591</v>
      </c>
      <c r="Q223" s="63">
        <f>'D4 Gallon Forecast'!Q384+'D6 Gallon Forecast'!Q300+'D6 Gallon Forecast'!Q316</f>
        <v>1990926.2970796525</v>
      </c>
      <c r="R223" s="63">
        <f>'D4 Gallon Forecast'!R384+'D6 Gallon Forecast'!R300+'D6 Gallon Forecast'!R316</f>
        <v>4024603.7437086925</v>
      </c>
      <c r="S223" s="63">
        <f>'D4 Gallon Forecast'!S384+'D6 Gallon Forecast'!S300+'D6 Gallon Forecast'!S316</f>
        <v>5723452.4575428218</v>
      </c>
      <c r="T223" s="63">
        <f>'D4 Gallon Forecast'!T384+'D6 Gallon Forecast'!T300+'D6 Gallon Forecast'!T316</f>
        <v>7476432.5353900492</v>
      </c>
      <c r="U223" s="63">
        <f>'D4 Gallon Forecast'!U384+'D6 Gallon Forecast'!U300+'D6 Gallon Forecast'!U316</f>
        <v>6964306.6846553981</v>
      </c>
      <c r="V223" s="63">
        <f>'D4 Gallon Forecast'!V384+'D6 Gallon Forecast'!V300+'D6 Gallon Forecast'!V316</f>
        <v>10015880.344945386</v>
      </c>
      <c r="W223" s="63">
        <f>'D4 Gallon Forecast'!W384+'D6 Gallon Forecast'!W300+'D6 Gallon Forecast'!W316</f>
        <v>9769052.2467903495</v>
      </c>
      <c r="X223" s="63">
        <f>'D4 Gallon Forecast'!X384+'D6 Gallon Forecast'!X300+'D6 Gallon Forecast'!X316</f>
        <v>8730927.7697835118</v>
      </c>
      <c r="Y223" s="63">
        <f>'D4 Gallon Forecast'!Y384+'D6 Gallon Forecast'!Y300+'D6 Gallon Forecast'!Y316</f>
        <v>8987603.013858214</v>
      </c>
      <c r="Z223" s="63">
        <f>'D4 Gallon Forecast'!Z384+'D6 Gallon Forecast'!Z300+'D6 Gallon Forecast'!Z316</f>
        <v>9576546.3781223893</v>
      </c>
      <c r="AA223" s="63">
        <f>'D4 Gallon Forecast'!AA384+'D6 Gallon Forecast'!AA300+'D6 Gallon Forecast'!AA316</f>
        <v>10142693.359277874</v>
      </c>
      <c r="AB223" s="63">
        <f>'D4 Gallon Forecast'!AB384+'D6 Gallon Forecast'!AB300+'D6 Gallon Forecast'!AB316</f>
        <v>9445445.11488536</v>
      </c>
      <c r="AC223" s="63">
        <f>'D4 Gallon Forecast'!AC384+'D6 Gallon Forecast'!AC300+'D6 Gallon Forecast'!AC316</f>
        <v>9407095.2025552094</v>
      </c>
      <c r="AD223" s="63">
        <f>'D4 Gallon Forecast'!AD384+'D6 Gallon Forecast'!AD300+'D6 Gallon Forecast'!AD316</f>
        <v>9600317.1005589366</v>
      </c>
      <c r="AE223" s="63">
        <f>'D4 Gallon Forecast'!AE384+'D6 Gallon Forecast'!AE300+'D6 Gallon Forecast'!AE316</f>
        <v>8628653.7776437551</v>
      </c>
      <c r="AF223" s="63">
        <f>'D4 Gallon Forecast'!AF384+'D6 Gallon Forecast'!AF300+'D6 Gallon Forecast'!AF316</f>
        <v>8222645.2280051559</v>
      </c>
      <c r="AG223" s="63">
        <f>'D4 Gallon Forecast'!AG384+'D6 Gallon Forecast'!AG300+'D6 Gallon Forecast'!AG316</f>
        <v>8385634.9345395863</v>
      </c>
      <c r="AH223" s="63">
        <f>'D4 Gallon Forecast'!AH384+'D6 Gallon Forecast'!AH300+'D6 Gallon Forecast'!AH316</f>
        <v>8647566.7320866883</v>
      </c>
      <c r="AI223" s="63">
        <f>'D4 Gallon Forecast'!AI384+'D6 Gallon Forecast'!AI300+'D6 Gallon Forecast'!AI316</f>
        <v>8842845.4623619318</v>
      </c>
      <c r="AJ223" s="63">
        <f>'D4 Gallon Forecast'!AJ384+'D6 Gallon Forecast'!AJ300+'D6 Gallon Forecast'!AJ316</f>
        <v>8945540.8183707893</v>
      </c>
      <c r="AK223" s="63">
        <f>'D4 Gallon Forecast'!AK384+'D6 Gallon Forecast'!AK300+'D6 Gallon Forecast'!AK316</f>
        <v>9215068.5826171339</v>
      </c>
      <c r="AL223" s="63">
        <f>'D4 Gallon Forecast'!AL384+'D6 Gallon Forecast'!AL300+'D6 Gallon Forecast'!AL316</f>
        <v>9719004.1566091776</v>
      </c>
      <c r="AM223" s="63">
        <f>'D4 Gallon Forecast'!AM384+'D6 Gallon Forecast'!AM300+'D6 Gallon Forecast'!AM316</f>
        <v>10068078.999005646</v>
      </c>
      <c r="AN223" s="63">
        <f>'D4 Gallon Forecast'!AN384+'D6 Gallon Forecast'!AN300+'D6 Gallon Forecast'!AN316</f>
        <v>10079509.651275501</v>
      </c>
      <c r="AO223" s="63">
        <f>'D4 Gallon Forecast'!AO384+'D6 Gallon Forecast'!AO300+'D6 Gallon Forecast'!AO316</f>
        <v>10063288.136940375</v>
      </c>
      <c r="AP223" s="63">
        <f>'D4 Gallon Forecast'!AP384+'D6 Gallon Forecast'!AP300+'D6 Gallon Forecast'!AP316</f>
        <v>10300258.610741928</v>
      </c>
      <c r="AQ223" s="63">
        <f>'D4 Gallon Forecast'!AQ384+'D6 Gallon Forecast'!AQ300+'D6 Gallon Forecast'!AQ316</f>
        <v>11563592.186681539</v>
      </c>
      <c r="AR223" s="43"/>
    </row>
    <row r="224" spans="1:44" ht="12" thickBot="1">
      <c r="A224" s="48" t="s">
        <v>29</v>
      </c>
      <c r="B224" s="49">
        <f>SUM(B212:B223)</f>
        <v>0</v>
      </c>
      <c r="C224" s="49">
        <f t="shared" ref="C224:AQ224" si="92">SUM(C212:C223)</f>
        <v>0</v>
      </c>
      <c r="D224" s="49">
        <f t="shared" si="92"/>
        <v>0</v>
      </c>
      <c r="E224" s="49">
        <f t="shared" si="92"/>
        <v>0</v>
      </c>
      <c r="F224" s="49">
        <f t="shared" si="92"/>
        <v>0</v>
      </c>
      <c r="G224" s="49">
        <f t="shared" si="92"/>
        <v>0</v>
      </c>
      <c r="H224" s="49">
        <f t="shared" si="92"/>
        <v>0</v>
      </c>
      <c r="I224" s="49">
        <f t="shared" si="92"/>
        <v>0</v>
      </c>
      <c r="J224" s="49">
        <f t="shared" si="92"/>
        <v>0</v>
      </c>
      <c r="K224" s="49">
        <f t="shared" si="92"/>
        <v>0</v>
      </c>
      <c r="L224" s="49">
        <f t="shared" si="92"/>
        <v>0</v>
      </c>
      <c r="M224" s="49">
        <f t="shared" si="92"/>
        <v>0</v>
      </c>
      <c r="N224" s="49">
        <f t="shared" si="92"/>
        <v>7926740</v>
      </c>
      <c r="O224" s="49">
        <f t="shared" si="92"/>
        <v>12283992</v>
      </c>
      <c r="P224" s="64">
        <f t="shared" si="92"/>
        <v>73150417</v>
      </c>
      <c r="Q224" s="65">
        <f t="shared" si="92"/>
        <v>60000000</v>
      </c>
      <c r="R224" s="65">
        <f t="shared" si="92"/>
        <v>46088495.228818953</v>
      </c>
      <c r="S224" s="65">
        <f t="shared" si="92"/>
        <v>66251234.582902744</v>
      </c>
      <c r="T224" s="65">
        <f t="shared" si="92"/>
        <v>86806380.262041986</v>
      </c>
      <c r="U224" s="65">
        <f t="shared" si="92"/>
        <v>102312847.9358232</v>
      </c>
      <c r="V224" s="65">
        <f t="shared" si="92"/>
        <v>138287553.70197093</v>
      </c>
      <c r="W224" s="65">
        <f t="shared" si="92"/>
        <v>125594134.48654234</v>
      </c>
      <c r="X224" s="65">
        <f t="shared" si="92"/>
        <v>113483164.08274141</v>
      </c>
      <c r="Y224" s="65">
        <f t="shared" si="92"/>
        <v>118522743.38567446</v>
      </c>
      <c r="Z224" s="65">
        <f t="shared" si="92"/>
        <v>128828009.22433172</v>
      </c>
      <c r="AA224" s="65">
        <f t="shared" si="92"/>
        <v>134585758.37689576</v>
      </c>
      <c r="AB224" s="65">
        <f t="shared" si="92"/>
        <v>124256442.39175236</v>
      </c>
      <c r="AC224" s="65">
        <f t="shared" si="92"/>
        <v>124337721.98940237</v>
      </c>
      <c r="AD224" s="65">
        <f t="shared" si="92"/>
        <v>127278657.42957604</v>
      </c>
      <c r="AE224" s="65">
        <f t="shared" si="92"/>
        <v>114509912.80142261</v>
      </c>
      <c r="AF224" s="65">
        <f t="shared" si="92"/>
        <v>108819073.71363991</v>
      </c>
      <c r="AG224" s="65">
        <f t="shared" si="92"/>
        <v>110910080.07630007</v>
      </c>
      <c r="AH224" s="65">
        <f t="shared" si="92"/>
        <v>114505569.5222919</v>
      </c>
      <c r="AI224" s="65">
        <f t="shared" si="92"/>
        <v>117137088.95212787</v>
      </c>
      <c r="AJ224" s="65">
        <f t="shared" si="92"/>
        <v>118474900.21952038</v>
      </c>
      <c r="AK224" s="65">
        <f t="shared" si="92"/>
        <v>121994891.06297545</v>
      </c>
      <c r="AL224" s="65">
        <f t="shared" si="92"/>
        <v>128674582.43540013</v>
      </c>
      <c r="AM224" s="65">
        <f t="shared" si="92"/>
        <v>133320869.9229717</v>
      </c>
      <c r="AN224" s="65">
        <f t="shared" si="92"/>
        <v>133473303.700689</v>
      </c>
      <c r="AO224" s="65">
        <f t="shared" si="92"/>
        <v>133250169.59317277</v>
      </c>
      <c r="AP224" s="65">
        <f t="shared" si="92"/>
        <v>136382693.61010438</v>
      </c>
      <c r="AQ224" s="65">
        <f t="shared" si="92"/>
        <v>153114523.5918636</v>
      </c>
      <c r="AR224" s="43"/>
    </row>
    <row r="225" spans="1:45">
      <c r="A225" s="51"/>
      <c r="B225" s="51"/>
      <c r="C225" s="51"/>
      <c r="D225" s="51"/>
      <c r="E225" s="51"/>
      <c r="F225" s="51"/>
      <c r="G225" s="51"/>
      <c r="H225" s="51"/>
      <c r="I225" s="51"/>
      <c r="J225" s="51"/>
      <c r="K225" s="51"/>
      <c r="L225" s="51"/>
      <c r="M225" s="52" t="e">
        <f t="shared" ref="M225" si="93">M219/M218-1</f>
        <v>#DIV/0!</v>
      </c>
      <c r="N225" s="53">
        <f>SUM(N212:N220)</f>
        <v>6483449</v>
      </c>
      <c r="O225" s="54">
        <f t="shared" ref="O225" si="94">SUM(O212:O220)</f>
        <v>8549055</v>
      </c>
      <c r="P225" s="54">
        <f>SUM(P212:P220)</f>
        <v>63595945</v>
      </c>
      <c r="Q225" s="53">
        <f t="shared" ref="Q225" si="95">SUM(Q212:Q220)</f>
        <v>48846631.030370787</v>
      </c>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row>
    <row r="226" spans="1:45">
      <c r="N226" s="66"/>
      <c r="O226" s="66">
        <f>O225/N225-1</f>
        <v>0.31859678390313562</v>
      </c>
      <c r="P226" s="66">
        <f>P225/O225-1</f>
        <v>6.4389444213424758</v>
      </c>
      <c r="Q226" s="66">
        <f>Q225/P225-1</f>
        <v>-0.23192223921869881</v>
      </c>
    </row>
    <row r="227" spans="1:45" ht="12" thickBot="1">
      <c r="A227" s="39" t="s">
        <v>154</v>
      </c>
    </row>
    <row r="228" spans="1:45" ht="12" thickBot="1">
      <c r="A228" s="41"/>
      <c r="B228" s="41">
        <f t="shared" ref="B228:G228" si="96">B2</f>
        <v>2010</v>
      </c>
      <c r="C228" s="41">
        <f t="shared" si="96"/>
        <v>2011</v>
      </c>
      <c r="D228" s="41">
        <f t="shared" si="96"/>
        <v>2012</v>
      </c>
      <c r="E228" s="41">
        <f t="shared" si="96"/>
        <v>2013</v>
      </c>
      <c r="F228" s="41">
        <f t="shared" si="96"/>
        <v>2014</v>
      </c>
      <c r="G228" s="41">
        <f t="shared" si="96"/>
        <v>2015</v>
      </c>
      <c r="H228" s="41">
        <f>H2</f>
        <v>2016</v>
      </c>
      <c r="I228" s="41">
        <f t="shared" ref="I228:AQ228" si="97">I2</f>
        <v>2017</v>
      </c>
      <c r="J228" s="41">
        <f t="shared" si="97"/>
        <v>2018</v>
      </c>
      <c r="K228" s="41">
        <f t="shared" si="97"/>
        <v>2019</v>
      </c>
      <c r="L228" s="41">
        <f t="shared" si="97"/>
        <v>2020</v>
      </c>
      <c r="M228" s="41">
        <f t="shared" si="97"/>
        <v>2021</v>
      </c>
      <c r="N228" s="41">
        <f t="shared" si="97"/>
        <v>2022</v>
      </c>
      <c r="O228" s="41">
        <f t="shared" si="97"/>
        <v>2023</v>
      </c>
      <c r="P228" s="41">
        <f t="shared" si="97"/>
        <v>2024</v>
      </c>
      <c r="Q228" s="41">
        <f t="shared" si="97"/>
        <v>2025</v>
      </c>
      <c r="R228" s="41">
        <f t="shared" si="97"/>
        <v>2026</v>
      </c>
      <c r="S228" s="41">
        <f t="shared" si="97"/>
        <v>2027</v>
      </c>
      <c r="T228" s="41">
        <f t="shared" si="97"/>
        <v>2028</v>
      </c>
      <c r="U228" s="41">
        <f t="shared" si="97"/>
        <v>2029</v>
      </c>
      <c r="V228" s="41">
        <f t="shared" si="97"/>
        <v>2030</v>
      </c>
      <c r="W228" s="41">
        <f t="shared" si="97"/>
        <v>2031</v>
      </c>
      <c r="X228" s="41">
        <f t="shared" si="97"/>
        <v>2032</v>
      </c>
      <c r="Y228" s="41">
        <f t="shared" si="97"/>
        <v>2033</v>
      </c>
      <c r="Z228" s="41">
        <f t="shared" si="97"/>
        <v>2034</v>
      </c>
      <c r="AA228" s="41">
        <f t="shared" si="97"/>
        <v>2035</v>
      </c>
      <c r="AB228" s="41">
        <f t="shared" si="97"/>
        <v>2036</v>
      </c>
      <c r="AC228" s="41">
        <f t="shared" si="97"/>
        <v>2037</v>
      </c>
      <c r="AD228" s="41">
        <f t="shared" si="97"/>
        <v>2038</v>
      </c>
      <c r="AE228" s="41">
        <f t="shared" si="97"/>
        <v>2039</v>
      </c>
      <c r="AF228" s="41">
        <f t="shared" si="97"/>
        <v>2040</v>
      </c>
      <c r="AG228" s="41">
        <f t="shared" si="97"/>
        <v>2041</v>
      </c>
      <c r="AH228" s="41">
        <f t="shared" si="97"/>
        <v>2042</v>
      </c>
      <c r="AI228" s="41">
        <f t="shared" si="97"/>
        <v>2043</v>
      </c>
      <c r="AJ228" s="41">
        <f t="shared" si="97"/>
        <v>2044</v>
      </c>
      <c r="AK228" s="41">
        <f t="shared" si="97"/>
        <v>2045</v>
      </c>
      <c r="AL228" s="41">
        <f t="shared" si="97"/>
        <v>2046</v>
      </c>
      <c r="AM228" s="41">
        <f t="shared" si="97"/>
        <v>2047</v>
      </c>
      <c r="AN228" s="41">
        <f t="shared" si="97"/>
        <v>2048</v>
      </c>
      <c r="AO228" s="41">
        <f t="shared" si="97"/>
        <v>2049</v>
      </c>
      <c r="AP228" s="41">
        <f t="shared" si="97"/>
        <v>2050</v>
      </c>
      <c r="AQ228" s="41">
        <f t="shared" si="97"/>
        <v>2051</v>
      </c>
    </row>
    <row r="229" spans="1:45">
      <c r="A229" s="40" t="s">
        <v>68</v>
      </c>
      <c r="B229" s="42">
        <f>'D3 Gallon Forecast'!B25+'D4 Gallon Forecast'!B37+'D5 Gallon Forecast'!B40+'D6 Gallon Forecast'!B33+'D7 Gallon Forecast'!B37</f>
        <v>631590</v>
      </c>
      <c r="C229" s="42">
        <f>'D3 Gallon Forecast'!C25+'D4 Gallon Forecast'!C37+'D5 Gallon Forecast'!C40+'D6 Gallon Forecast'!C33+'D7 Gallon Forecast'!C37</f>
        <v>1202662854</v>
      </c>
      <c r="D229" s="42">
        <f>'D3 Gallon Forecast'!D25+'D4 Gallon Forecast'!D37+'D5 Gallon Forecast'!D40+'D6 Gallon Forecast'!D33+'D7 Gallon Forecast'!D37</f>
        <v>1250310740</v>
      </c>
      <c r="E229" s="42">
        <f>'D3 Gallon Forecast'!E25+'D4 Gallon Forecast'!E37+'D5 Gallon Forecast'!E40+'D6 Gallon Forecast'!E33+'D7 Gallon Forecast'!E37</f>
        <v>1160662286</v>
      </c>
      <c r="F229" s="42">
        <f>'D3 Gallon Forecast'!F25+'D4 Gallon Forecast'!F37+'D5 Gallon Forecast'!F40+'D6 Gallon Forecast'!F33+'D7 Gallon Forecast'!F37</f>
        <v>1260458304</v>
      </c>
      <c r="G229" s="42">
        <f>'D3 Gallon Forecast'!G25+'D4 Gallon Forecast'!G37+'D5 Gallon Forecast'!G40+'D6 Gallon Forecast'!G33+'D7 Gallon Forecast'!G37</f>
        <v>1313422510</v>
      </c>
      <c r="H229" s="42">
        <f>'D3 Gallon Forecast'!H25+'D4 Gallon Forecast'!H37+'D5 Gallon Forecast'!H40+'D6 Gallon Forecast'!H33+'D7 Gallon Forecast'!H37</f>
        <v>1365987087</v>
      </c>
      <c r="I229" s="42">
        <f>'D3 Gallon Forecast'!I25+'D4 Gallon Forecast'!I37+'D5 Gallon Forecast'!I40+'D6 Gallon Forecast'!I33+'D7 Gallon Forecast'!I37</f>
        <v>1380177931</v>
      </c>
      <c r="J229" s="42">
        <f>'D3 Gallon Forecast'!J25+'D4 Gallon Forecast'!J37+'D5 Gallon Forecast'!J40+'D6 Gallon Forecast'!J33+'D7 Gallon Forecast'!J37</f>
        <v>1428501480</v>
      </c>
      <c r="K229" s="42">
        <f>'D3 Gallon Forecast'!K25+'D4 Gallon Forecast'!K37+'D5 Gallon Forecast'!K40+'D6 Gallon Forecast'!K33+'D7 Gallon Forecast'!K37</f>
        <v>1379650585</v>
      </c>
      <c r="L229" s="42">
        <f>'D3 Gallon Forecast'!L25+'D4 Gallon Forecast'!L37+'D5 Gallon Forecast'!L40+'D6 Gallon Forecast'!L33+'D7 Gallon Forecast'!L37</f>
        <v>1455545077</v>
      </c>
      <c r="M229" s="42">
        <f>'D3 Gallon Forecast'!M25+'D4 Gallon Forecast'!M37+'D5 Gallon Forecast'!M40+'D6 Gallon Forecast'!M33+'D7 Gallon Forecast'!M37</f>
        <v>1285410637</v>
      </c>
      <c r="N229" s="42">
        <f>'D3 Gallon Forecast'!N25+'D4 Gallon Forecast'!N37+'D5 Gallon Forecast'!N40+'D6 Gallon Forecast'!N33+'D7 Gallon Forecast'!N37</f>
        <v>1444083832</v>
      </c>
      <c r="O229" s="42">
        <f>'D3 Gallon Forecast'!O25+'D4 Gallon Forecast'!O37+'D5 Gallon Forecast'!O40+'D6 Gallon Forecast'!O33+'D7 Gallon Forecast'!O37</f>
        <v>1550436766</v>
      </c>
      <c r="P229" s="42">
        <f>'D3 Gallon Forecast'!P25+'D4 Gallon Forecast'!P37+'D5 Gallon Forecast'!P40+'D6 Gallon Forecast'!P33+'D7 Gallon Forecast'!P37</f>
        <v>1644988041</v>
      </c>
      <c r="Q229" s="42">
        <f>'D3 Gallon Forecast'!Q25+'D4 Gallon Forecast'!Q37+'D5 Gallon Forecast'!Q40+'D6 Gallon Forecast'!Q33+'D7 Gallon Forecast'!Q37</f>
        <v>1566792899</v>
      </c>
      <c r="R229" s="43">
        <f>'D3 Gallon Forecast'!R25+'D4 Gallon Forecast'!R37+'D5 Gallon Forecast'!R40+'D6 Gallon Forecast'!R33+'D7 Gallon Forecast'!R37</f>
        <v>1551810287.9906974</v>
      </c>
      <c r="S229" s="43">
        <f>'D3 Gallon Forecast'!S25+'D4 Gallon Forecast'!S37+'D5 Gallon Forecast'!S40+'D6 Gallon Forecast'!S33+'D7 Gallon Forecast'!S37</f>
        <v>1612795426.8041661</v>
      </c>
      <c r="T229" s="43">
        <f>'D3 Gallon Forecast'!T25+'D4 Gallon Forecast'!T37+'D5 Gallon Forecast'!T40+'D6 Gallon Forecast'!T33+'D7 Gallon Forecast'!T37</f>
        <v>1625631597.9485021</v>
      </c>
      <c r="U229" s="43">
        <f>'D3 Gallon Forecast'!U25+'D4 Gallon Forecast'!U37+'D5 Gallon Forecast'!U40+'D6 Gallon Forecast'!U33+'D7 Gallon Forecast'!U37</f>
        <v>1690152767.7230263</v>
      </c>
      <c r="V229" s="43">
        <f>'D3 Gallon Forecast'!V25+'D4 Gallon Forecast'!V37+'D5 Gallon Forecast'!V40+'D6 Gallon Forecast'!V33+'D7 Gallon Forecast'!V37</f>
        <v>1748889071.7964492</v>
      </c>
      <c r="W229" s="43">
        <f>'D3 Gallon Forecast'!W25+'D4 Gallon Forecast'!W37+'D5 Gallon Forecast'!W40+'D6 Gallon Forecast'!W33+'D7 Gallon Forecast'!W37</f>
        <v>1803571206.5435948</v>
      </c>
      <c r="X229" s="43">
        <f>'D3 Gallon Forecast'!X25+'D4 Gallon Forecast'!X37+'D5 Gallon Forecast'!X40+'D6 Gallon Forecast'!X33+'D7 Gallon Forecast'!X37</f>
        <v>1997555667.0813949</v>
      </c>
      <c r="Y229" s="43">
        <f>'D3 Gallon Forecast'!Y25+'D4 Gallon Forecast'!Y37+'D5 Gallon Forecast'!Y40+'D6 Gallon Forecast'!Y33+'D7 Gallon Forecast'!Y37</f>
        <v>2070334021.0904217</v>
      </c>
      <c r="Z229" s="43">
        <f>'D3 Gallon Forecast'!Z25+'D4 Gallon Forecast'!Z37+'D5 Gallon Forecast'!Z40+'D6 Gallon Forecast'!Z33+'D7 Gallon Forecast'!Z37</f>
        <v>2169326330.8118134</v>
      </c>
      <c r="AA229" s="43">
        <f>'D3 Gallon Forecast'!AA25+'D4 Gallon Forecast'!AA37+'D5 Gallon Forecast'!AA40+'D6 Gallon Forecast'!AA33+'D7 Gallon Forecast'!AA37</f>
        <v>2168389240.2415733</v>
      </c>
      <c r="AB229" s="43">
        <f>'D3 Gallon Forecast'!AB25+'D4 Gallon Forecast'!AB37+'D5 Gallon Forecast'!AB40+'D6 Gallon Forecast'!AB33+'D7 Gallon Forecast'!AB37</f>
        <v>1877153226.739948</v>
      </c>
      <c r="AC229" s="43">
        <f>'D3 Gallon Forecast'!AC25+'D4 Gallon Forecast'!AC37+'D5 Gallon Forecast'!AC40+'D6 Gallon Forecast'!AC33+'D7 Gallon Forecast'!AC37</f>
        <v>1915849338.2650902</v>
      </c>
      <c r="AD229" s="43">
        <f>'D3 Gallon Forecast'!AD25+'D4 Gallon Forecast'!AD37+'D5 Gallon Forecast'!AD40+'D6 Gallon Forecast'!AD33+'D7 Gallon Forecast'!AD37</f>
        <v>1936865358.4331105</v>
      </c>
      <c r="AE229" s="43">
        <f>'D3 Gallon Forecast'!AE25+'D4 Gallon Forecast'!AE37+'D5 Gallon Forecast'!AE40+'D6 Gallon Forecast'!AE33+'D7 Gallon Forecast'!AE37</f>
        <v>1914877326.7033157</v>
      </c>
      <c r="AF229" s="43">
        <f>'D3 Gallon Forecast'!AF25+'D4 Gallon Forecast'!AF37+'D5 Gallon Forecast'!AF40+'D6 Gallon Forecast'!AF33+'D7 Gallon Forecast'!AF37</f>
        <v>1896638868.0310733</v>
      </c>
      <c r="AG229" s="43">
        <f>'D3 Gallon Forecast'!AG25+'D4 Gallon Forecast'!AG37+'D5 Gallon Forecast'!AG40+'D6 Gallon Forecast'!AG33+'D7 Gallon Forecast'!AG37</f>
        <v>1942557874.2899733</v>
      </c>
      <c r="AH229" s="43">
        <f>'D3 Gallon Forecast'!AH25+'D4 Gallon Forecast'!AH37+'D5 Gallon Forecast'!AH40+'D6 Gallon Forecast'!AH33+'D7 Gallon Forecast'!AH37</f>
        <v>1904577124.860183</v>
      </c>
      <c r="AI229" s="43">
        <f>'D3 Gallon Forecast'!AI25+'D4 Gallon Forecast'!AI37+'D5 Gallon Forecast'!AI40+'D6 Gallon Forecast'!AI33+'D7 Gallon Forecast'!AI37</f>
        <v>1946861406.1722744</v>
      </c>
      <c r="AJ229" s="43">
        <f>'D3 Gallon Forecast'!AJ25+'D4 Gallon Forecast'!AJ37+'D5 Gallon Forecast'!AJ40+'D6 Gallon Forecast'!AJ33+'D7 Gallon Forecast'!AJ37</f>
        <v>1818078096.384201</v>
      </c>
      <c r="AK229" s="43">
        <f>'D3 Gallon Forecast'!AK25+'D4 Gallon Forecast'!AK37+'D5 Gallon Forecast'!AK40+'D6 Gallon Forecast'!AK33+'D7 Gallon Forecast'!AK37</f>
        <v>1629017604.853754</v>
      </c>
      <c r="AL229" s="43">
        <f>'D3 Gallon Forecast'!AL25+'D4 Gallon Forecast'!AL37+'D5 Gallon Forecast'!AL40+'D6 Gallon Forecast'!AL33+'D7 Gallon Forecast'!AL37</f>
        <v>1471282873.1753109</v>
      </c>
      <c r="AM229" s="43">
        <f>'D3 Gallon Forecast'!AM25+'D4 Gallon Forecast'!AM37+'D5 Gallon Forecast'!AM40+'D6 Gallon Forecast'!AM33+'D7 Gallon Forecast'!AM37</f>
        <v>1303663280.7229679</v>
      </c>
      <c r="AN229" s="43">
        <f>'D3 Gallon Forecast'!AN25+'D4 Gallon Forecast'!AN37+'D5 Gallon Forecast'!AN40+'D6 Gallon Forecast'!AN33+'D7 Gallon Forecast'!AN37</f>
        <v>1267379026.8137717</v>
      </c>
      <c r="AO229" s="43">
        <f>'D3 Gallon Forecast'!AO25+'D4 Gallon Forecast'!AO37+'D5 Gallon Forecast'!AO40+'D6 Gallon Forecast'!AO33+'D7 Gallon Forecast'!AO37</f>
        <v>1241036581.6491182</v>
      </c>
      <c r="AP229" s="43">
        <f>'D3 Gallon Forecast'!AP25+'D4 Gallon Forecast'!AP37+'D5 Gallon Forecast'!AP40+'D6 Gallon Forecast'!AP33+'D7 Gallon Forecast'!AP37</f>
        <v>1291422968.2895064</v>
      </c>
      <c r="AQ229" s="43">
        <f>'D3 Gallon Forecast'!AQ25+'D4 Gallon Forecast'!AQ37+'D5 Gallon Forecast'!AQ40+'D6 Gallon Forecast'!AQ33+'D7 Gallon Forecast'!AQ37</f>
        <v>2506982401.6411409</v>
      </c>
      <c r="AR229" s="43"/>
      <c r="AS229" s="55">
        <f>P229/O240-1</f>
        <v>-0.14574516043718388</v>
      </c>
    </row>
    <row r="230" spans="1:45">
      <c r="A230" s="40" t="s">
        <v>69</v>
      </c>
      <c r="B230" s="42">
        <f>'D3 Gallon Forecast'!B26+'D4 Gallon Forecast'!B38+'D5 Gallon Forecast'!B41+'D6 Gallon Forecast'!B34+'D7 Gallon Forecast'!B38</f>
        <v>2352623</v>
      </c>
      <c r="C230" s="42">
        <f>'D3 Gallon Forecast'!C26+'D4 Gallon Forecast'!C38+'D5 Gallon Forecast'!C41+'D6 Gallon Forecast'!C34+'D7 Gallon Forecast'!C38</f>
        <v>1099813290</v>
      </c>
      <c r="D230" s="42">
        <f>'D3 Gallon Forecast'!D26+'D4 Gallon Forecast'!D38+'D5 Gallon Forecast'!D41+'D6 Gallon Forecast'!D34+'D7 Gallon Forecast'!D38</f>
        <v>1162239762</v>
      </c>
      <c r="E230" s="42">
        <f>'D3 Gallon Forecast'!E26+'D4 Gallon Forecast'!E38+'D5 Gallon Forecast'!E41+'D6 Gallon Forecast'!E34+'D7 Gallon Forecast'!E38</f>
        <v>1051920104</v>
      </c>
      <c r="F230" s="42">
        <f>'D3 Gallon Forecast'!F26+'D4 Gallon Forecast'!F38+'D5 Gallon Forecast'!F41+'D6 Gallon Forecast'!F34+'D7 Gallon Forecast'!F38</f>
        <v>1147625093</v>
      </c>
      <c r="G230" s="42">
        <f>'D3 Gallon Forecast'!G26+'D4 Gallon Forecast'!G38+'D5 Gallon Forecast'!G41+'D6 Gallon Forecast'!G34+'D7 Gallon Forecast'!G38</f>
        <v>1195753052</v>
      </c>
      <c r="H230" s="42">
        <f>'D3 Gallon Forecast'!H26+'D4 Gallon Forecast'!H38+'D5 Gallon Forecast'!H41+'D6 Gallon Forecast'!H34+'D7 Gallon Forecast'!H38</f>
        <v>1326496415</v>
      </c>
      <c r="I230" s="42">
        <f>'D3 Gallon Forecast'!I26+'D4 Gallon Forecast'!I38+'D5 Gallon Forecast'!I41+'D6 Gallon Forecast'!I34+'D7 Gallon Forecast'!I38</f>
        <v>1304827000</v>
      </c>
      <c r="J230" s="42">
        <f>'D3 Gallon Forecast'!J26+'D4 Gallon Forecast'!J38+'D5 Gallon Forecast'!J41+'D6 Gallon Forecast'!J34+'D7 Gallon Forecast'!J38</f>
        <v>1301278118</v>
      </c>
      <c r="K230" s="42">
        <f>'D3 Gallon Forecast'!K26+'D4 Gallon Forecast'!K38+'D5 Gallon Forecast'!K41+'D6 Gallon Forecast'!K34+'D7 Gallon Forecast'!K38</f>
        <v>1371960640</v>
      </c>
      <c r="L230" s="42">
        <f>'D3 Gallon Forecast'!L26+'D4 Gallon Forecast'!L38+'D5 Gallon Forecast'!L41+'D6 Gallon Forecast'!L34+'D7 Gallon Forecast'!L38</f>
        <v>1413722214</v>
      </c>
      <c r="M230" s="42">
        <f>'D3 Gallon Forecast'!M26+'D4 Gallon Forecast'!M38+'D5 Gallon Forecast'!M41+'D6 Gallon Forecast'!M34+'D7 Gallon Forecast'!M38</f>
        <v>1142219350</v>
      </c>
      <c r="N230" s="42">
        <f>'D3 Gallon Forecast'!N26+'D4 Gallon Forecast'!N38+'D5 Gallon Forecast'!N41+'D6 Gallon Forecast'!N34+'D7 Gallon Forecast'!N38</f>
        <v>1388713541</v>
      </c>
      <c r="O230" s="42">
        <f>'D3 Gallon Forecast'!O26+'D4 Gallon Forecast'!O38+'D5 Gallon Forecast'!O41+'D6 Gallon Forecast'!O34+'D7 Gallon Forecast'!O38</f>
        <v>1522069204</v>
      </c>
      <c r="P230" s="42">
        <f>'D3 Gallon Forecast'!P26+'D4 Gallon Forecast'!P38+'D5 Gallon Forecast'!P41+'D6 Gallon Forecast'!P34+'D7 Gallon Forecast'!P38</f>
        <v>1751949969</v>
      </c>
      <c r="Q230" s="42">
        <f>'D3 Gallon Forecast'!Q26+'D4 Gallon Forecast'!Q38+'D5 Gallon Forecast'!Q41+'D6 Gallon Forecast'!Q34+'D7 Gallon Forecast'!Q38</f>
        <v>1421669238</v>
      </c>
      <c r="R230" s="43">
        <f>'D3 Gallon Forecast'!R26+'D4 Gallon Forecast'!R38+'D5 Gallon Forecast'!R41+'D6 Gallon Forecast'!R34+'D7 Gallon Forecast'!R38</f>
        <v>1534747737.9020565</v>
      </c>
      <c r="S230" s="43">
        <f>'D3 Gallon Forecast'!S26+'D4 Gallon Forecast'!S38+'D5 Gallon Forecast'!S41+'D6 Gallon Forecast'!S34+'D7 Gallon Forecast'!S38</f>
        <v>1642134914.576206</v>
      </c>
      <c r="T230" s="43">
        <f>'D3 Gallon Forecast'!T26+'D4 Gallon Forecast'!T38+'D5 Gallon Forecast'!T41+'D6 Gallon Forecast'!T34+'D7 Gallon Forecast'!T38</f>
        <v>1678016647.1592989</v>
      </c>
      <c r="U230" s="43">
        <f>'D3 Gallon Forecast'!U26+'D4 Gallon Forecast'!U38+'D5 Gallon Forecast'!U41+'D6 Gallon Forecast'!U34+'D7 Gallon Forecast'!U38</f>
        <v>1773836023.9027281</v>
      </c>
      <c r="V230" s="43">
        <f>'D3 Gallon Forecast'!V26+'D4 Gallon Forecast'!V38+'D5 Gallon Forecast'!V41+'D6 Gallon Forecast'!V34+'D7 Gallon Forecast'!V38</f>
        <v>1847578950.2453465</v>
      </c>
      <c r="W230" s="43">
        <f>'D3 Gallon Forecast'!W26+'D4 Gallon Forecast'!W38+'D5 Gallon Forecast'!W41+'D6 Gallon Forecast'!W34+'D7 Gallon Forecast'!W38</f>
        <v>1936357549.6101804</v>
      </c>
      <c r="X230" s="43">
        <f>'D3 Gallon Forecast'!X26+'D4 Gallon Forecast'!X38+'D5 Gallon Forecast'!X41+'D6 Gallon Forecast'!X34+'D7 Gallon Forecast'!X38</f>
        <v>2264311286.5207829</v>
      </c>
      <c r="Y230" s="43">
        <f>'D3 Gallon Forecast'!Y26+'D4 Gallon Forecast'!Y38+'D5 Gallon Forecast'!Y41+'D6 Gallon Forecast'!Y34+'D7 Gallon Forecast'!Y38</f>
        <v>2360293209.0077162</v>
      </c>
      <c r="Z230" s="43">
        <f>'D3 Gallon Forecast'!Z26+'D4 Gallon Forecast'!Z38+'D5 Gallon Forecast'!Z41+'D6 Gallon Forecast'!Z34+'D7 Gallon Forecast'!Z38</f>
        <v>2560666795.7396717</v>
      </c>
      <c r="AA230" s="43">
        <f>'D3 Gallon Forecast'!AA26+'D4 Gallon Forecast'!AA38+'D5 Gallon Forecast'!AA41+'D6 Gallon Forecast'!AA34+'D7 Gallon Forecast'!AA38</f>
        <v>2533427864.1064901</v>
      </c>
      <c r="AB230" s="43">
        <f>'D3 Gallon Forecast'!AB26+'D4 Gallon Forecast'!AB38+'D5 Gallon Forecast'!AB41+'D6 Gallon Forecast'!AB34+'D7 Gallon Forecast'!AB38</f>
        <v>1970638165.7989931</v>
      </c>
      <c r="AC230" s="43">
        <f>'D3 Gallon Forecast'!AC26+'D4 Gallon Forecast'!AC38+'D5 Gallon Forecast'!AC41+'D6 Gallon Forecast'!AC34+'D7 Gallon Forecast'!AC38</f>
        <v>2010965152.1712728</v>
      </c>
      <c r="AD230" s="43">
        <f>'D3 Gallon Forecast'!AD26+'D4 Gallon Forecast'!AD38+'D5 Gallon Forecast'!AD41+'D6 Gallon Forecast'!AD34+'D7 Gallon Forecast'!AD38</f>
        <v>2007113186.789711</v>
      </c>
      <c r="AE230" s="43">
        <f>'D3 Gallon Forecast'!AE26+'D4 Gallon Forecast'!AE38+'D5 Gallon Forecast'!AE41+'D6 Gallon Forecast'!AE34+'D7 Gallon Forecast'!AE38</f>
        <v>1962285632.0848422</v>
      </c>
      <c r="AF230" s="43">
        <f>'D3 Gallon Forecast'!AF26+'D4 Gallon Forecast'!AF38+'D5 Gallon Forecast'!AF41+'D6 Gallon Forecast'!AF34+'D7 Gallon Forecast'!AF38</f>
        <v>1968606846.1673658</v>
      </c>
      <c r="AG230" s="43">
        <f>'D3 Gallon Forecast'!AG26+'D4 Gallon Forecast'!AG38+'D5 Gallon Forecast'!AG41+'D6 Gallon Forecast'!AG34+'D7 Gallon Forecast'!AG38</f>
        <v>2023993021.5132773</v>
      </c>
      <c r="AH230" s="43">
        <f>'D3 Gallon Forecast'!AH26+'D4 Gallon Forecast'!AH38+'D5 Gallon Forecast'!AH41+'D6 Gallon Forecast'!AH34+'D7 Gallon Forecast'!AH38</f>
        <v>1918866938.7037029</v>
      </c>
      <c r="AI230" s="43">
        <f>'D3 Gallon Forecast'!AI26+'D4 Gallon Forecast'!AI38+'D5 Gallon Forecast'!AI41+'D6 Gallon Forecast'!AI34+'D7 Gallon Forecast'!AI38</f>
        <v>1962390528.1351142</v>
      </c>
      <c r="AJ230" s="43">
        <f>'D3 Gallon Forecast'!AJ26+'D4 Gallon Forecast'!AJ38+'D5 Gallon Forecast'!AJ41+'D6 Gallon Forecast'!AJ34+'D7 Gallon Forecast'!AJ38</f>
        <v>1688424119.0559828</v>
      </c>
      <c r="AK230" s="43">
        <f>'D3 Gallon Forecast'!AK26+'D4 Gallon Forecast'!AK38+'D5 Gallon Forecast'!AK41+'D6 Gallon Forecast'!AK34+'D7 Gallon Forecast'!AK38</f>
        <v>1304823465.5467575</v>
      </c>
      <c r="AL230" s="43">
        <f>'D3 Gallon Forecast'!AL26+'D4 Gallon Forecast'!AL38+'D5 Gallon Forecast'!AL41+'D6 Gallon Forecast'!AL34+'D7 Gallon Forecast'!AL38</f>
        <v>992722511.67733145</v>
      </c>
      <c r="AM230" s="43">
        <f>'D3 Gallon Forecast'!AM26+'D4 Gallon Forecast'!AM38+'D5 Gallon Forecast'!AM41+'D6 Gallon Forecast'!AM34+'D7 Gallon Forecast'!AM38</f>
        <v>632048671.70074534</v>
      </c>
      <c r="AN230" s="43">
        <f>'D3 Gallon Forecast'!AN26+'D4 Gallon Forecast'!AN38+'D5 Gallon Forecast'!AN41+'D6 Gallon Forecast'!AN34+'D7 Gallon Forecast'!AN38</f>
        <v>521142914.32624316</v>
      </c>
      <c r="AO230" s="43">
        <f>'D3 Gallon Forecast'!AO26+'D4 Gallon Forecast'!AO38+'D5 Gallon Forecast'!AO41+'D6 Gallon Forecast'!AO34+'D7 Gallon Forecast'!AO38</f>
        <v>428439179.09178758</v>
      </c>
      <c r="AP230" s="43">
        <f>'D3 Gallon Forecast'!AP26+'D4 Gallon Forecast'!AP38+'D5 Gallon Forecast'!AP41+'D6 Gallon Forecast'!AP34+'D7 Gallon Forecast'!AP38</f>
        <v>480245405.99056411</v>
      </c>
      <c r="AQ230" s="43">
        <f>'D3 Gallon Forecast'!AQ26+'D4 Gallon Forecast'!AQ38+'D5 Gallon Forecast'!AQ41+'D6 Gallon Forecast'!AQ34+'D7 Gallon Forecast'!AQ38</f>
        <v>2840402162.5570087</v>
      </c>
      <c r="AR230" s="43"/>
      <c r="AS230" s="55">
        <f t="shared" ref="AS230:AS236" si="98">P230/P229-1</f>
        <v>6.5022921342927864E-2</v>
      </c>
    </row>
    <row r="231" spans="1:45">
      <c r="A231" s="40" t="s">
        <v>70</v>
      </c>
      <c r="B231" s="42">
        <f>'D3 Gallon Forecast'!B27+'D4 Gallon Forecast'!B39+'D5 Gallon Forecast'!B42+'D6 Gallon Forecast'!B35+'D7 Gallon Forecast'!B39</f>
        <v>1534859</v>
      </c>
      <c r="C231" s="42">
        <f>'D3 Gallon Forecast'!C27+'D4 Gallon Forecast'!C39+'D5 Gallon Forecast'!C42+'D6 Gallon Forecast'!C35+'D7 Gallon Forecast'!C39</f>
        <v>1299436105</v>
      </c>
      <c r="D231" s="42">
        <f>'D3 Gallon Forecast'!D27+'D4 Gallon Forecast'!D39+'D5 Gallon Forecast'!D42+'D6 Gallon Forecast'!D35+'D7 Gallon Forecast'!D39</f>
        <v>1266799449</v>
      </c>
      <c r="E231" s="42">
        <f>'D3 Gallon Forecast'!E27+'D4 Gallon Forecast'!E39+'D5 Gallon Forecast'!E42+'D6 Gallon Forecast'!E35+'D7 Gallon Forecast'!E39</f>
        <v>1212955758</v>
      </c>
      <c r="F231" s="42">
        <f>'D3 Gallon Forecast'!F27+'D4 Gallon Forecast'!F39+'D5 Gallon Forecast'!F42+'D6 Gallon Forecast'!F35+'D7 Gallon Forecast'!F39</f>
        <v>1310548849</v>
      </c>
      <c r="G231" s="42">
        <f>'D3 Gallon Forecast'!G27+'D4 Gallon Forecast'!G39+'D5 Gallon Forecast'!G42+'D6 Gallon Forecast'!G35+'D7 Gallon Forecast'!G39</f>
        <v>1360180621</v>
      </c>
      <c r="H231" s="42">
        <f>'D3 Gallon Forecast'!H27+'D4 Gallon Forecast'!H39+'D5 Gallon Forecast'!H42+'D6 Gallon Forecast'!H35+'D7 Gallon Forecast'!H39</f>
        <v>1422216481</v>
      </c>
      <c r="I231" s="42">
        <f>'D3 Gallon Forecast'!I27+'D4 Gallon Forecast'!I39+'D5 Gallon Forecast'!I42+'D6 Gallon Forecast'!I35+'D7 Gallon Forecast'!I39</f>
        <v>1482337752</v>
      </c>
      <c r="J231" s="42">
        <f>'D3 Gallon Forecast'!J27+'D4 Gallon Forecast'!J39+'D5 Gallon Forecast'!J42+'D6 Gallon Forecast'!J35+'D7 Gallon Forecast'!J39</f>
        <v>1461622050</v>
      </c>
      <c r="K231" s="42">
        <f>'D3 Gallon Forecast'!K27+'D4 Gallon Forecast'!K39+'D5 Gallon Forecast'!K42+'D6 Gallon Forecast'!K35+'D7 Gallon Forecast'!K39</f>
        <v>1456678339</v>
      </c>
      <c r="L231" s="42">
        <f>'D3 Gallon Forecast'!L27+'D4 Gallon Forecast'!L39+'D5 Gallon Forecast'!L42+'D6 Gallon Forecast'!L35+'D7 Gallon Forecast'!L39</f>
        <v>1434989489</v>
      </c>
      <c r="M231" s="42">
        <f>'D3 Gallon Forecast'!M27+'D4 Gallon Forecast'!M39+'D5 Gallon Forecast'!M42+'D6 Gallon Forecast'!M35+'D7 Gallon Forecast'!M39</f>
        <v>1489488105</v>
      </c>
      <c r="N231" s="42">
        <f>'D3 Gallon Forecast'!N27+'D4 Gallon Forecast'!N39+'D5 Gallon Forecast'!N42+'D6 Gallon Forecast'!N35+'D7 Gallon Forecast'!N39</f>
        <v>1631620583</v>
      </c>
      <c r="O231" s="42">
        <f>'D3 Gallon Forecast'!O27+'D4 Gallon Forecast'!O39+'D5 Gallon Forecast'!O42+'D6 Gallon Forecast'!O35+'D7 Gallon Forecast'!O39</f>
        <v>1676565190</v>
      </c>
      <c r="P231" s="42">
        <f>'D3 Gallon Forecast'!P27+'D4 Gallon Forecast'!P39+'D5 Gallon Forecast'!P42+'D6 Gallon Forecast'!P35+'D7 Gallon Forecast'!P39</f>
        <v>1672398501</v>
      </c>
      <c r="Q231" s="42">
        <f>'D3 Gallon Forecast'!Q27+'D4 Gallon Forecast'!Q39+'D5 Gallon Forecast'!Q42+'D6 Gallon Forecast'!Q35+'D7 Gallon Forecast'!Q39</f>
        <v>1624609015.3453763</v>
      </c>
      <c r="R231" s="43">
        <f>'D3 Gallon Forecast'!R27+'D4 Gallon Forecast'!R39+'D5 Gallon Forecast'!R42+'D6 Gallon Forecast'!R35+'D7 Gallon Forecast'!R39</f>
        <v>1654504726.2768674</v>
      </c>
      <c r="S231" s="43">
        <f>'D3 Gallon Forecast'!S27+'D4 Gallon Forecast'!S39+'D5 Gallon Forecast'!S42+'D6 Gallon Forecast'!S35+'D7 Gallon Forecast'!S39</f>
        <v>1684935532.2825704</v>
      </c>
      <c r="T231" s="43">
        <f>'D3 Gallon Forecast'!T27+'D4 Gallon Forecast'!T39+'D5 Gallon Forecast'!T42+'D6 Gallon Forecast'!T35+'D7 Gallon Forecast'!T39</f>
        <v>1671026686.3209519</v>
      </c>
      <c r="U231" s="43">
        <f>'D3 Gallon Forecast'!U27+'D4 Gallon Forecast'!U39+'D5 Gallon Forecast'!U42+'D6 Gallon Forecast'!U35+'D7 Gallon Forecast'!U39</f>
        <v>1736037894.5833826</v>
      </c>
      <c r="V231" s="43">
        <f>'D3 Gallon Forecast'!V27+'D4 Gallon Forecast'!V39+'D5 Gallon Forecast'!V42+'D6 Gallon Forecast'!V35+'D7 Gallon Forecast'!V39</f>
        <v>1792048040.716675</v>
      </c>
      <c r="W231" s="43">
        <f>'D3 Gallon Forecast'!W27+'D4 Gallon Forecast'!W39+'D5 Gallon Forecast'!W42+'D6 Gallon Forecast'!W35+'D7 Gallon Forecast'!W39</f>
        <v>1844988388.3393784</v>
      </c>
      <c r="X231" s="43">
        <f>'D3 Gallon Forecast'!X27+'D4 Gallon Forecast'!X39+'D5 Gallon Forecast'!X42+'D6 Gallon Forecast'!X35+'D7 Gallon Forecast'!X39</f>
        <v>2099796887.9479477</v>
      </c>
      <c r="Y231" s="43">
        <f>'D3 Gallon Forecast'!Y27+'D4 Gallon Forecast'!Y39+'D5 Gallon Forecast'!Y42+'D6 Gallon Forecast'!Y35+'D7 Gallon Forecast'!Y39</f>
        <v>2175266097.0253229</v>
      </c>
      <c r="Z231" s="43">
        <f>'D3 Gallon Forecast'!Z27+'D4 Gallon Forecast'!Z39+'D5 Gallon Forecast'!Z42+'D6 Gallon Forecast'!Z35+'D7 Gallon Forecast'!Z39</f>
        <v>2338805826.2191467</v>
      </c>
      <c r="AA231" s="43">
        <f>'D3 Gallon Forecast'!AA27+'D4 Gallon Forecast'!AA39+'D5 Gallon Forecast'!AA42+'D6 Gallon Forecast'!AA35+'D7 Gallon Forecast'!AA39</f>
        <v>2308358978.7742476</v>
      </c>
      <c r="AB231" s="43">
        <f>'D3 Gallon Forecast'!AB27+'D4 Gallon Forecast'!AB39+'D5 Gallon Forecast'!AB42+'D6 Gallon Forecast'!AB35+'D7 Gallon Forecast'!AB39</f>
        <v>1858206764.6031959</v>
      </c>
      <c r="AC231" s="43">
        <f>'D3 Gallon Forecast'!AC27+'D4 Gallon Forecast'!AC39+'D5 Gallon Forecast'!AC42+'D6 Gallon Forecast'!AC35+'D7 Gallon Forecast'!AC39</f>
        <v>1879935243.747082</v>
      </c>
      <c r="AD231" s="43">
        <f>'D3 Gallon Forecast'!AD27+'D4 Gallon Forecast'!AD39+'D5 Gallon Forecast'!AD42+'D6 Gallon Forecast'!AD35+'D7 Gallon Forecast'!AD39</f>
        <v>1854632292.4855974</v>
      </c>
      <c r="AE231" s="43">
        <f>'D3 Gallon Forecast'!AE27+'D4 Gallon Forecast'!AE39+'D5 Gallon Forecast'!AE42+'D6 Gallon Forecast'!AE35+'D7 Gallon Forecast'!AE39</f>
        <v>1814149714.7679427</v>
      </c>
      <c r="AF231" s="43">
        <f>'D3 Gallon Forecast'!AF27+'D4 Gallon Forecast'!AF39+'D5 Gallon Forecast'!AF42+'D6 Gallon Forecast'!AF35+'D7 Gallon Forecast'!AF39</f>
        <v>1811092085.5246072</v>
      </c>
      <c r="AG231" s="43">
        <f>'D3 Gallon Forecast'!AG27+'D4 Gallon Forecast'!AG39+'D5 Gallon Forecast'!AG42+'D6 Gallon Forecast'!AG35+'D7 Gallon Forecast'!AG39</f>
        <v>1854377665.9312453</v>
      </c>
      <c r="AH231" s="43">
        <f>'D3 Gallon Forecast'!AH27+'D4 Gallon Forecast'!AH39+'D5 Gallon Forecast'!AH42+'D6 Gallon Forecast'!AH35+'D7 Gallon Forecast'!AH39</f>
        <v>1753167070.6606431</v>
      </c>
      <c r="AI231" s="43">
        <f>'D3 Gallon Forecast'!AI27+'D4 Gallon Forecast'!AI39+'D5 Gallon Forecast'!AI42+'D6 Gallon Forecast'!AI35+'D7 Gallon Forecast'!AI39</f>
        <v>1789725941.9155941</v>
      </c>
      <c r="AJ231" s="43">
        <f>'D3 Gallon Forecast'!AJ27+'D4 Gallon Forecast'!AJ39+'D5 Gallon Forecast'!AJ42+'D6 Gallon Forecast'!AJ35+'D7 Gallon Forecast'!AJ39</f>
        <v>1536891542.4333849</v>
      </c>
      <c r="AK231" s="43">
        <f>'D3 Gallon Forecast'!AK27+'D4 Gallon Forecast'!AK39+'D5 Gallon Forecast'!AK42+'D6 Gallon Forecast'!AK35+'D7 Gallon Forecast'!AK39</f>
        <v>1176517733.4661651</v>
      </c>
      <c r="AL231" s="43">
        <f>'D3 Gallon Forecast'!AL27+'D4 Gallon Forecast'!AL39+'D5 Gallon Forecast'!AL42+'D6 Gallon Forecast'!AL35+'D7 Gallon Forecast'!AL39</f>
        <v>870289649.83722687</v>
      </c>
      <c r="AM231" s="43">
        <f>'D3 Gallon Forecast'!AM27+'D4 Gallon Forecast'!AM39+'D5 Gallon Forecast'!AM42+'D6 Gallon Forecast'!AM35+'D7 Gallon Forecast'!AM39</f>
        <v>530002088.02227956</v>
      </c>
      <c r="AN231" s="43">
        <f>'D3 Gallon Forecast'!AN27+'D4 Gallon Forecast'!AN39+'D5 Gallon Forecast'!AN42+'D6 Gallon Forecast'!AN35+'D7 Gallon Forecast'!AN39</f>
        <v>427951422.56038612</v>
      </c>
      <c r="AO231" s="43">
        <f>'D3 Gallon Forecast'!AO27+'D4 Gallon Forecast'!AO39+'D5 Gallon Forecast'!AO42+'D6 Gallon Forecast'!AO35+'D7 Gallon Forecast'!AO39</f>
        <v>342870048.24487382</v>
      </c>
      <c r="AP231" s="43">
        <f>'D3 Gallon Forecast'!AP27+'D4 Gallon Forecast'!AP39+'D5 Gallon Forecast'!AP42+'D6 Gallon Forecast'!AP35+'D7 Gallon Forecast'!AP39</f>
        <v>381020711.56767029</v>
      </c>
      <c r="AQ231" s="43">
        <f>'D3 Gallon Forecast'!AQ27+'D4 Gallon Forecast'!AQ39+'D5 Gallon Forecast'!AQ42+'D6 Gallon Forecast'!AQ35+'D7 Gallon Forecast'!AQ39</f>
        <v>2481286362.4072127</v>
      </c>
      <c r="AR231" s="43"/>
      <c r="AS231" s="55">
        <f t="shared" si="98"/>
        <v>-4.5407385717417093E-2</v>
      </c>
    </row>
    <row r="232" spans="1:45">
      <c r="A232" s="40" t="s">
        <v>71</v>
      </c>
      <c r="B232" s="42">
        <f>'D3 Gallon Forecast'!B28+'D4 Gallon Forecast'!B40+'D5 Gallon Forecast'!B43+'D6 Gallon Forecast'!B36+'D7 Gallon Forecast'!B40</f>
        <v>522149</v>
      </c>
      <c r="C232" s="42">
        <f>'D3 Gallon Forecast'!C28+'D4 Gallon Forecast'!C40+'D5 Gallon Forecast'!C43+'D6 Gallon Forecast'!C36+'D7 Gallon Forecast'!C40</f>
        <v>1146046817</v>
      </c>
      <c r="D232" s="42">
        <f>'D3 Gallon Forecast'!D28+'D4 Gallon Forecast'!D40+'D5 Gallon Forecast'!D43+'D6 Gallon Forecast'!D36+'D7 Gallon Forecast'!D40</f>
        <v>1211886130</v>
      </c>
      <c r="E232" s="42">
        <f>'D3 Gallon Forecast'!E28+'D4 Gallon Forecast'!E40+'D5 Gallon Forecast'!E43+'D6 Gallon Forecast'!E36+'D7 Gallon Forecast'!E40</f>
        <v>1238899016</v>
      </c>
      <c r="F232" s="42">
        <f>'D3 Gallon Forecast'!F28+'D4 Gallon Forecast'!F40+'D5 Gallon Forecast'!F43+'D6 Gallon Forecast'!F36+'D7 Gallon Forecast'!F40</f>
        <v>1358813729</v>
      </c>
      <c r="G232" s="42">
        <f>'D3 Gallon Forecast'!G28+'D4 Gallon Forecast'!G40+'D5 Gallon Forecast'!G43+'D6 Gallon Forecast'!G36+'D7 Gallon Forecast'!G40</f>
        <v>1347411550</v>
      </c>
      <c r="H232" s="42">
        <f>'D3 Gallon Forecast'!H28+'D4 Gallon Forecast'!H40+'D5 Gallon Forecast'!H43+'D6 Gallon Forecast'!H36+'D7 Gallon Forecast'!H40</f>
        <v>1392658912</v>
      </c>
      <c r="I232" s="42">
        <f>'D3 Gallon Forecast'!I28+'D4 Gallon Forecast'!I40+'D5 Gallon Forecast'!I43+'D6 Gallon Forecast'!I36+'D7 Gallon Forecast'!I40</f>
        <v>1379248530</v>
      </c>
      <c r="J232" s="42">
        <f>'D3 Gallon Forecast'!J28+'D4 Gallon Forecast'!J40+'D5 Gallon Forecast'!J43+'D6 Gallon Forecast'!J36+'D7 Gallon Forecast'!J40</f>
        <v>1465332854</v>
      </c>
      <c r="K232" s="42">
        <f>'D3 Gallon Forecast'!K28+'D4 Gallon Forecast'!K40+'D5 Gallon Forecast'!K43+'D6 Gallon Forecast'!K36+'D7 Gallon Forecast'!K40</f>
        <v>1545934297</v>
      </c>
      <c r="L232" s="42">
        <f>'D3 Gallon Forecast'!L28+'D4 Gallon Forecast'!L40+'D5 Gallon Forecast'!L43+'D6 Gallon Forecast'!L36+'D7 Gallon Forecast'!L40</f>
        <v>917629618</v>
      </c>
      <c r="M232" s="42">
        <f>'D3 Gallon Forecast'!M28+'D4 Gallon Forecast'!M40+'D5 Gallon Forecast'!M43+'D6 Gallon Forecast'!M36+'D7 Gallon Forecast'!M40</f>
        <v>1427648016</v>
      </c>
      <c r="N232" s="42">
        <f>'D3 Gallon Forecast'!N28+'D4 Gallon Forecast'!N40+'D5 Gallon Forecast'!N43+'D6 Gallon Forecast'!N36+'D7 Gallon Forecast'!N40</f>
        <v>1510579639</v>
      </c>
      <c r="O232" s="42">
        <f>'D3 Gallon Forecast'!O28+'D4 Gallon Forecast'!O40+'D5 Gallon Forecast'!O43+'D6 Gallon Forecast'!O36+'D7 Gallon Forecast'!O40</f>
        <v>1602987298</v>
      </c>
      <c r="P232" s="42">
        <f>'D3 Gallon Forecast'!P28+'D4 Gallon Forecast'!P40+'D5 Gallon Forecast'!P43+'D6 Gallon Forecast'!P36+'D7 Gallon Forecast'!P40</f>
        <v>1776579735</v>
      </c>
      <c r="Q232" s="43">
        <f>'D3 Gallon Forecast'!Q28+'D4 Gallon Forecast'!Q40+'D5 Gallon Forecast'!Q43+'D6 Gallon Forecast'!Q36+'D7 Gallon Forecast'!Q40</f>
        <v>1522157467.8886898</v>
      </c>
      <c r="R232" s="43">
        <f>'D3 Gallon Forecast'!R28+'D4 Gallon Forecast'!R40+'D5 Gallon Forecast'!R43+'D6 Gallon Forecast'!R36+'D7 Gallon Forecast'!R40</f>
        <v>1585637066.8780596</v>
      </c>
      <c r="S232" s="43">
        <f>'D3 Gallon Forecast'!S28+'D4 Gallon Forecast'!S40+'D5 Gallon Forecast'!S43+'D6 Gallon Forecast'!S36+'D7 Gallon Forecast'!S40</f>
        <v>1665282377.4493442</v>
      </c>
      <c r="T232" s="43">
        <f>'D3 Gallon Forecast'!T28+'D4 Gallon Forecast'!T40+'D5 Gallon Forecast'!T43+'D6 Gallon Forecast'!T36+'D7 Gallon Forecast'!T40</f>
        <v>1678376078.0041461</v>
      </c>
      <c r="U232" s="43">
        <f>'D3 Gallon Forecast'!U28+'D4 Gallon Forecast'!U40+'D5 Gallon Forecast'!U43+'D6 Gallon Forecast'!U36+'D7 Gallon Forecast'!U40</f>
        <v>1741514743.4034712</v>
      </c>
      <c r="V232" s="43">
        <f>'D3 Gallon Forecast'!V28+'D4 Gallon Forecast'!V40+'D5 Gallon Forecast'!V43+'D6 Gallon Forecast'!V36+'D7 Gallon Forecast'!V40</f>
        <v>1803972493.1130123</v>
      </c>
      <c r="W232" s="43">
        <f>'D3 Gallon Forecast'!W28+'D4 Gallon Forecast'!W40+'D5 Gallon Forecast'!W43+'D6 Gallon Forecast'!W36+'D7 Gallon Forecast'!W40</f>
        <v>1873567335.3950737</v>
      </c>
      <c r="X232" s="43">
        <f>'D3 Gallon Forecast'!X28+'D4 Gallon Forecast'!X40+'D5 Gallon Forecast'!X43+'D6 Gallon Forecast'!X36+'D7 Gallon Forecast'!X40</f>
        <v>1989843639.4377215</v>
      </c>
      <c r="Y232" s="43">
        <f>'D3 Gallon Forecast'!Y28+'D4 Gallon Forecast'!Y40+'D5 Gallon Forecast'!Y43+'D6 Gallon Forecast'!Y36+'D7 Gallon Forecast'!Y40</f>
        <v>2005540367.1028268</v>
      </c>
      <c r="Z232" s="43">
        <f>'D3 Gallon Forecast'!Z28+'D4 Gallon Forecast'!Z40+'D5 Gallon Forecast'!Z43+'D6 Gallon Forecast'!Z36+'D7 Gallon Forecast'!Z40</f>
        <v>2033248841.9113798</v>
      </c>
      <c r="AA232" s="43">
        <f>'D3 Gallon Forecast'!AA28+'D4 Gallon Forecast'!AA40+'D5 Gallon Forecast'!AA43+'D6 Gallon Forecast'!AA36+'D7 Gallon Forecast'!AA40</f>
        <v>2070222864.7967501</v>
      </c>
      <c r="AB232" s="43">
        <f>'D3 Gallon Forecast'!AB28+'D4 Gallon Forecast'!AB40+'D5 Gallon Forecast'!AB43+'D6 Gallon Forecast'!AB36+'D7 Gallon Forecast'!AB40</f>
        <v>2000222162.4897738</v>
      </c>
      <c r="AC232" s="43">
        <f>'D3 Gallon Forecast'!AC28+'D4 Gallon Forecast'!AC40+'D5 Gallon Forecast'!AC43+'D6 Gallon Forecast'!AC36+'D7 Gallon Forecast'!AC40</f>
        <v>2060955291.0426896</v>
      </c>
      <c r="AD232" s="43">
        <f>'D3 Gallon Forecast'!AD28+'D4 Gallon Forecast'!AD40+'D5 Gallon Forecast'!AD43+'D6 Gallon Forecast'!AD36+'D7 Gallon Forecast'!AD40</f>
        <v>2143956125.9562886</v>
      </c>
      <c r="AE232" s="43">
        <f>'D3 Gallon Forecast'!AE28+'D4 Gallon Forecast'!AE40+'D5 Gallon Forecast'!AE43+'D6 Gallon Forecast'!AE36+'D7 Gallon Forecast'!AE40</f>
        <v>2143262582.0253434</v>
      </c>
      <c r="AF232" s="43">
        <f>'D3 Gallon Forecast'!AF28+'D4 Gallon Forecast'!AF40+'D5 Gallon Forecast'!AF43+'D6 Gallon Forecast'!AF36+'D7 Gallon Forecast'!AF40</f>
        <v>2083157746.4117067</v>
      </c>
      <c r="AG232" s="43">
        <f>'D3 Gallon Forecast'!AG28+'D4 Gallon Forecast'!AG40+'D5 Gallon Forecast'!AG43+'D6 Gallon Forecast'!AG36+'D7 Gallon Forecast'!AG40</f>
        <v>2136136133.9889927</v>
      </c>
      <c r="AH232" s="43">
        <f>'D3 Gallon Forecast'!AH28+'D4 Gallon Forecast'!AH40+'D5 Gallon Forecast'!AH43+'D6 Gallon Forecast'!AH36+'D7 Gallon Forecast'!AH40</f>
        <v>2196732605.8878727</v>
      </c>
      <c r="AI232" s="43">
        <f>'D3 Gallon Forecast'!AI28+'D4 Gallon Forecast'!AI40+'D5 Gallon Forecast'!AI43+'D6 Gallon Forecast'!AI36+'D7 Gallon Forecast'!AI40</f>
        <v>2260276621.0390105</v>
      </c>
      <c r="AJ232" s="43">
        <f>'D3 Gallon Forecast'!AJ28+'D4 Gallon Forecast'!AJ40+'D5 Gallon Forecast'!AJ43+'D6 Gallon Forecast'!AJ36+'D7 Gallon Forecast'!AJ40</f>
        <v>2296495729.5046325</v>
      </c>
      <c r="AK232" s="43">
        <f>'D3 Gallon Forecast'!AK28+'D4 Gallon Forecast'!AK40+'D5 Gallon Forecast'!AK43+'D6 Gallon Forecast'!AK36+'D7 Gallon Forecast'!AK40</f>
        <v>2325828903.6208086</v>
      </c>
      <c r="AL232" s="43">
        <f>'D3 Gallon Forecast'!AL28+'D4 Gallon Forecast'!AL40+'D5 Gallon Forecast'!AL43+'D6 Gallon Forecast'!AL36+'D7 Gallon Forecast'!AL40</f>
        <v>2347348816.6636105</v>
      </c>
      <c r="AM232" s="43">
        <f>'D3 Gallon Forecast'!AM28+'D4 Gallon Forecast'!AM40+'D5 Gallon Forecast'!AM43+'D6 Gallon Forecast'!AM36+'D7 Gallon Forecast'!AM40</f>
        <v>2400638134.2615018</v>
      </c>
      <c r="AN232" s="43">
        <f>'D3 Gallon Forecast'!AN28+'D4 Gallon Forecast'!AN40+'D5 Gallon Forecast'!AN43+'D6 Gallon Forecast'!AN36+'D7 Gallon Forecast'!AN40</f>
        <v>2442967938.1187048</v>
      </c>
      <c r="AO232" s="43">
        <f>'D3 Gallon Forecast'!AO28+'D4 Gallon Forecast'!AO40+'D5 Gallon Forecast'!AO43+'D6 Gallon Forecast'!AO36+'D7 Gallon Forecast'!AO40</f>
        <v>2484268703.5385914</v>
      </c>
      <c r="AP232" s="43">
        <f>'D3 Gallon Forecast'!AP28+'D4 Gallon Forecast'!AP40+'D5 Gallon Forecast'!AP43+'D6 Gallon Forecast'!AP36+'D7 Gallon Forecast'!AP40</f>
        <v>2540841325.5178204</v>
      </c>
      <c r="AQ232" s="43">
        <f>'D3 Gallon Forecast'!AQ28+'D4 Gallon Forecast'!AQ40+'D5 Gallon Forecast'!AQ43+'D6 Gallon Forecast'!AQ36+'D7 Gallon Forecast'!AQ40</f>
        <v>2594280316.6950016</v>
      </c>
      <c r="AR232" s="43"/>
      <c r="AS232" s="55">
        <f t="shared" si="98"/>
        <v>6.229450333619968E-2</v>
      </c>
    </row>
    <row r="233" spans="1:45">
      <c r="A233" s="40" t="s">
        <v>47</v>
      </c>
      <c r="B233" s="42">
        <f>'D3 Gallon Forecast'!B29+'D4 Gallon Forecast'!B41+'D5 Gallon Forecast'!B44+'D6 Gallon Forecast'!B37+'D7 Gallon Forecast'!B41</f>
        <v>485714</v>
      </c>
      <c r="C233" s="42">
        <f>'D3 Gallon Forecast'!C29+'D4 Gallon Forecast'!C41+'D5 Gallon Forecast'!C44+'D6 Gallon Forecast'!C37+'D7 Gallon Forecast'!C41</f>
        <v>1229648792</v>
      </c>
      <c r="D233" s="42">
        <f>'D3 Gallon Forecast'!D29+'D4 Gallon Forecast'!D41+'D5 Gallon Forecast'!D44+'D6 Gallon Forecast'!D37+'D7 Gallon Forecast'!D41</f>
        <v>1270628992</v>
      </c>
      <c r="E233" s="42">
        <f>'D3 Gallon Forecast'!E29+'D4 Gallon Forecast'!E41+'D5 Gallon Forecast'!E44+'D6 Gallon Forecast'!E37+'D7 Gallon Forecast'!E41</f>
        <v>1327386847</v>
      </c>
      <c r="F233" s="42">
        <f>'D3 Gallon Forecast'!F29+'D4 Gallon Forecast'!F41+'D5 Gallon Forecast'!F44+'D6 Gallon Forecast'!F37+'D7 Gallon Forecast'!F41</f>
        <v>1389267753</v>
      </c>
      <c r="G233" s="42">
        <f>'D3 Gallon Forecast'!G29+'D4 Gallon Forecast'!G41+'D5 Gallon Forecast'!G44+'D6 Gallon Forecast'!G37+'D7 Gallon Forecast'!G41</f>
        <v>1399036870</v>
      </c>
      <c r="H233" s="42">
        <f>'D3 Gallon Forecast'!H29+'D4 Gallon Forecast'!H41+'D5 Gallon Forecast'!H44+'D6 Gallon Forecast'!H37+'D7 Gallon Forecast'!H41</f>
        <v>1493777112</v>
      </c>
      <c r="I233" s="42">
        <f>'D3 Gallon Forecast'!I29+'D4 Gallon Forecast'!I41+'D5 Gallon Forecast'!I44+'D6 Gallon Forecast'!I37+'D7 Gallon Forecast'!I41</f>
        <v>1531156832</v>
      </c>
      <c r="J233" s="42">
        <f>'D3 Gallon Forecast'!J29+'D4 Gallon Forecast'!J41+'D5 Gallon Forecast'!J44+'D6 Gallon Forecast'!J37+'D7 Gallon Forecast'!J41</f>
        <v>1547199587</v>
      </c>
      <c r="K233" s="42">
        <f>'D3 Gallon Forecast'!K29+'D4 Gallon Forecast'!K41+'D5 Gallon Forecast'!K44+'D6 Gallon Forecast'!K37+'D7 Gallon Forecast'!K41</f>
        <v>1570784498</v>
      </c>
      <c r="L233" s="42">
        <f>'D3 Gallon Forecast'!L29+'D4 Gallon Forecast'!L41+'D5 Gallon Forecast'!L44+'D6 Gallon Forecast'!L37+'D7 Gallon Forecast'!L41</f>
        <v>1122812073</v>
      </c>
      <c r="M233" s="42">
        <f>'D3 Gallon Forecast'!M29+'D4 Gallon Forecast'!M41+'D5 Gallon Forecast'!M44+'D6 Gallon Forecast'!M37+'D7 Gallon Forecast'!M41</f>
        <v>1561268236</v>
      </c>
      <c r="N233" s="42">
        <f>'D3 Gallon Forecast'!N29+'D4 Gallon Forecast'!N41+'D5 Gallon Forecast'!N44+'D6 Gallon Forecast'!N37+'D7 Gallon Forecast'!N41</f>
        <v>1632834355</v>
      </c>
      <c r="O233" s="42">
        <f>'D3 Gallon Forecast'!O29+'D4 Gallon Forecast'!O41+'D5 Gallon Forecast'!O44+'D6 Gallon Forecast'!O37+'D7 Gallon Forecast'!O41</f>
        <v>1815247654</v>
      </c>
      <c r="P233" s="42">
        <f>'D3 Gallon Forecast'!P29+'D4 Gallon Forecast'!P41+'D5 Gallon Forecast'!P44+'D6 Gallon Forecast'!P37+'D7 Gallon Forecast'!P41</f>
        <v>1794316357</v>
      </c>
      <c r="Q233" s="43">
        <f>'D3 Gallon Forecast'!Q29+'D4 Gallon Forecast'!Q41+'D5 Gallon Forecast'!Q44+'D6 Gallon Forecast'!Q37+'D7 Gallon Forecast'!Q41</f>
        <v>1656431018.9277606</v>
      </c>
      <c r="R233" s="43">
        <f>'D3 Gallon Forecast'!R29+'D4 Gallon Forecast'!R41+'D5 Gallon Forecast'!R44+'D6 Gallon Forecast'!R37+'D7 Gallon Forecast'!R41</f>
        <v>1745780263.654439</v>
      </c>
      <c r="S233" s="43">
        <f>'D3 Gallon Forecast'!S29+'D4 Gallon Forecast'!S41+'D5 Gallon Forecast'!S44+'D6 Gallon Forecast'!S37+'D7 Gallon Forecast'!S41</f>
        <v>1837901464.859385</v>
      </c>
      <c r="T233" s="43">
        <f>'D3 Gallon Forecast'!T29+'D4 Gallon Forecast'!T41+'D5 Gallon Forecast'!T44+'D6 Gallon Forecast'!T37+'D7 Gallon Forecast'!T41</f>
        <v>1866699462.0953932</v>
      </c>
      <c r="U233" s="43">
        <f>'D3 Gallon Forecast'!U29+'D4 Gallon Forecast'!U41+'D5 Gallon Forecast'!U44+'D6 Gallon Forecast'!U37+'D7 Gallon Forecast'!U41</f>
        <v>1938005209.9678636</v>
      </c>
      <c r="V233" s="43">
        <f>'D3 Gallon Forecast'!V29+'D4 Gallon Forecast'!V41+'D5 Gallon Forecast'!V44+'D6 Gallon Forecast'!V37+'D7 Gallon Forecast'!V41</f>
        <v>2032056814.1406364</v>
      </c>
      <c r="W233" s="43">
        <f>'D3 Gallon Forecast'!W29+'D4 Gallon Forecast'!W41+'D5 Gallon Forecast'!W44+'D6 Gallon Forecast'!W37+'D7 Gallon Forecast'!W41</f>
        <v>2118048236.3206553</v>
      </c>
      <c r="X233" s="43">
        <f>'D3 Gallon Forecast'!X29+'D4 Gallon Forecast'!X41+'D5 Gallon Forecast'!X44+'D6 Gallon Forecast'!X37+'D7 Gallon Forecast'!X41</f>
        <v>2262788072.8724499</v>
      </c>
      <c r="Y233" s="43">
        <f>'D3 Gallon Forecast'!Y29+'D4 Gallon Forecast'!Y41+'D5 Gallon Forecast'!Y44+'D6 Gallon Forecast'!Y37+'D7 Gallon Forecast'!Y41</f>
        <v>2290307413.1934757</v>
      </c>
      <c r="Z233" s="43">
        <f>'D3 Gallon Forecast'!Z29+'D4 Gallon Forecast'!Z41+'D5 Gallon Forecast'!Z44+'D6 Gallon Forecast'!Z37+'D7 Gallon Forecast'!Z41</f>
        <v>2331197380.6002626</v>
      </c>
      <c r="AA233" s="43">
        <f>'D3 Gallon Forecast'!AA29+'D4 Gallon Forecast'!AA41+'D5 Gallon Forecast'!AA44+'D6 Gallon Forecast'!AA37+'D7 Gallon Forecast'!AA41</f>
        <v>2388532727.3869734</v>
      </c>
      <c r="AB233" s="43">
        <f>'D3 Gallon Forecast'!AB29+'D4 Gallon Forecast'!AB41+'D5 Gallon Forecast'!AB44+'D6 Gallon Forecast'!AB37+'D7 Gallon Forecast'!AB41</f>
        <v>2316930081.0215864</v>
      </c>
      <c r="AC233" s="43">
        <f>'D3 Gallon Forecast'!AC29+'D4 Gallon Forecast'!AC41+'D5 Gallon Forecast'!AC44+'D6 Gallon Forecast'!AC37+'D7 Gallon Forecast'!AC41</f>
        <v>2404554694.7710524</v>
      </c>
      <c r="AD233" s="43">
        <f>'D3 Gallon Forecast'!AD29+'D4 Gallon Forecast'!AD41+'D5 Gallon Forecast'!AD44+'D6 Gallon Forecast'!AD37+'D7 Gallon Forecast'!AD41</f>
        <v>2521351158.1855345</v>
      </c>
      <c r="AE233" s="43">
        <f>'D3 Gallon Forecast'!AE29+'D4 Gallon Forecast'!AE41+'D5 Gallon Forecast'!AE44+'D6 Gallon Forecast'!AE37+'D7 Gallon Forecast'!AE41</f>
        <v>2538394012.3400326</v>
      </c>
      <c r="AF233" s="43">
        <f>'D3 Gallon Forecast'!AF29+'D4 Gallon Forecast'!AF41+'D5 Gallon Forecast'!AF44+'D6 Gallon Forecast'!AF37+'D7 Gallon Forecast'!AF41</f>
        <v>2486917982.640255</v>
      </c>
      <c r="AG233" s="43">
        <f>'D3 Gallon Forecast'!AG29+'D4 Gallon Forecast'!AG41+'D5 Gallon Forecast'!AG44+'D6 Gallon Forecast'!AG37+'D7 Gallon Forecast'!AG41</f>
        <v>2566328052.3693447</v>
      </c>
      <c r="AH233" s="43">
        <f>'D3 Gallon Forecast'!AH29+'D4 Gallon Forecast'!AH41+'D5 Gallon Forecast'!AH44+'D6 Gallon Forecast'!AH37+'D7 Gallon Forecast'!AH41</f>
        <v>2703048004.6135778</v>
      </c>
      <c r="AI233" s="43">
        <f>'D3 Gallon Forecast'!AI29+'D4 Gallon Forecast'!AI41+'D5 Gallon Forecast'!AI44+'D6 Gallon Forecast'!AI37+'D7 Gallon Forecast'!AI41</f>
        <v>2844694621.6893792</v>
      </c>
      <c r="AJ233" s="43">
        <f>'D3 Gallon Forecast'!AJ29+'D4 Gallon Forecast'!AJ41+'D5 Gallon Forecast'!AJ44+'D6 Gallon Forecast'!AJ37+'D7 Gallon Forecast'!AJ41</f>
        <v>2962052154.302002</v>
      </c>
      <c r="AK233" s="43">
        <f>'D3 Gallon Forecast'!AK29+'D4 Gallon Forecast'!AK41+'D5 Gallon Forecast'!AK44+'D6 Gallon Forecast'!AK37+'D7 Gallon Forecast'!AK41</f>
        <v>3075389937.2850399</v>
      </c>
      <c r="AL233" s="43">
        <f>'D3 Gallon Forecast'!AL29+'D4 Gallon Forecast'!AL41+'D5 Gallon Forecast'!AL44+'D6 Gallon Forecast'!AL37+'D7 Gallon Forecast'!AL41</f>
        <v>3179591496.8874745</v>
      </c>
      <c r="AM233" s="43">
        <f>'D3 Gallon Forecast'!AM29+'D4 Gallon Forecast'!AM41+'D5 Gallon Forecast'!AM44+'D6 Gallon Forecast'!AM37+'D7 Gallon Forecast'!AM41</f>
        <v>3321757407.8687005</v>
      </c>
      <c r="AN233" s="43">
        <f>'D3 Gallon Forecast'!AN29+'D4 Gallon Forecast'!AN41+'D5 Gallon Forecast'!AN44+'D6 Gallon Forecast'!AN37+'D7 Gallon Forecast'!AN41</f>
        <v>3442355043.5421782</v>
      </c>
      <c r="AO233" s="43">
        <f>'D3 Gallon Forecast'!AO29+'D4 Gallon Forecast'!AO41+'D5 Gallon Forecast'!AO44+'D6 Gallon Forecast'!AO37+'D7 Gallon Forecast'!AO41</f>
        <v>3560993720.4061003</v>
      </c>
      <c r="AP233" s="43">
        <f>'D3 Gallon Forecast'!AP29+'D4 Gallon Forecast'!AP41+'D5 Gallon Forecast'!AP44+'D6 Gallon Forecast'!AP37+'D7 Gallon Forecast'!AP41</f>
        <v>3694665696.6691427</v>
      </c>
      <c r="AQ233" s="43">
        <f>'D3 Gallon Forecast'!AQ29+'D4 Gallon Forecast'!AQ41+'D5 Gallon Forecast'!AQ44+'D6 Gallon Forecast'!AQ37+'D7 Gallon Forecast'!AQ41</f>
        <v>3798080798.3655052</v>
      </c>
      <c r="AR233" s="43"/>
      <c r="AS233" s="55">
        <f t="shared" si="98"/>
        <v>9.9835777987189456E-3</v>
      </c>
    </row>
    <row r="234" spans="1:45">
      <c r="A234" s="40" t="s">
        <v>72</v>
      </c>
      <c r="B234" s="42">
        <f>'D3 Gallon Forecast'!B30+'D4 Gallon Forecast'!B42+'D5 Gallon Forecast'!B45+'D6 Gallon Forecast'!B38+'D7 Gallon Forecast'!B42</f>
        <v>728834</v>
      </c>
      <c r="C234" s="42">
        <f>'D3 Gallon Forecast'!C30+'D4 Gallon Forecast'!C42+'D5 Gallon Forecast'!C45+'D6 Gallon Forecast'!C38+'D7 Gallon Forecast'!C42</f>
        <v>1256508735</v>
      </c>
      <c r="D234" s="42">
        <f>'D3 Gallon Forecast'!D30+'D4 Gallon Forecast'!D42+'D5 Gallon Forecast'!D45+'D6 Gallon Forecast'!D38+'D7 Gallon Forecast'!D42</f>
        <v>1244227723</v>
      </c>
      <c r="E234" s="42">
        <f>'D3 Gallon Forecast'!E30+'D4 Gallon Forecast'!E42+'D5 Gallon Forecast'!E45+'D6 Gallon Forecast'!E38+'D7 Gallon Forecast'!E42</f>
        <v>1309187060</v>
      </c>
      <c r="F234" s="42">
        <f>'D3 Gallon Forecast'!F30+'D4 Gallon Forecast'!F42+'D5 Gallon Forecast'!F45+'D6 Gallon Forecast'!F38+'D7 Gallon Forecast'!F42</f>
        <v>1378464848</v>
      </c>
      <c r="G234" s="42">
        <f>'D3 Gallon Forecast'!G30+'D4 Gallon Forecast'!G42+'D5 Gallon Forecast'!G45+'D6 Gallon Forecast'!G38+'D7 Gallon Forecast'!G42</f>
        <v>1453058309</v>
      </c>
      <c r="H234" s="42">
        <f>'D3 Gallon Forecast'!H30+'D4 Gallon Forecast'!H42+'D5 Gallon Forecast'!H45+'D6 Gallon Forecast'!H38+'D7 Gallon Forecast'!H42</f>
        <v>1567564195</v>
      </c>
      <c r="I234" s="42">
        <f>'D3 Gallon Forecast'!I30+'D4 Gallon Forecast'!I42+'D5 Gallon Forecast'!I45+'D6 Gallon Forecast'!I38+'D7 Gallon Forecast'!I42</f>
        <v>1553294272</v>
      </c>
      <c r="J234" s="42">
        <f>'D3 Gallon Forecast'!J30+'D4 Gallon Forecast'!J42+'D5 Gallon Forecast'!J45+'D6 Gallon Forecast'!J38+'D7 Gallon Forecast'!J42</f>
        <v>1490640955</v>
      </c>
      <c r="K234" s="42">
        <f>'D3 Gallon Forecast'!K30+'D4 Gallon Forecast'!K42+'D5 Gallon Forecast'!K45+'D6 Gallon Forecast'!K38+'D7 Gallon Forecast'!K42</f>
        <v>1539128318</v>
      </c>
      <c r="L234" s="42">
        <f>'D3 Gallon Forecast'!L30+'D4 Gallon Forecast'!L42+'D5 Gallon Forecast'!L45+'D6 Gallon Forecast'!L38+'D7 Gallon Forecast'!L42</f>
        <v>1370369738</v>
      </c>
      <c r="M234" s="42">
        <f>'D3 Gallon Forecast'!M30+'D4 Gallon Forecast'!M42+'D5 Gallon Forecast'!M45+'D6 Gallon Forecast'!M38+'D7 Gallon Forecast'!M42</f>
        <v>1607769442</v>
      </c>
      <c r="N234" s="42">
        <f>'D3 Gallon Forecast'!N30+'D4 Gallon Forecast'!N42+'D5 Gallon Forecast'!N45+'D6 Gallon Forecast'!N38+'D7 Gallon Forecast'!N42</f>
        <v>1664365184</v>
      </c>
      <c r="O234" s="42">
        <f>'D3 Gallon Forecast'!O30+'D4 Gallon Forecast'!O42+'D5 Gallon Forecast'!O45+'D6 Gallon Forecast'!O38+'D7 Gallon Forecast'!O42</f>
        <v>1794388760</v>
      </c>
      <c r="P234" s="42">
        <f>'D3 Gallon Forecast'!P30+'D4 Gallon Forecast'!P42+'D5 Gallon Forecast'!P45+'D6 Gallon Forecast'!P38+'D7 Gallon Forecast'!P42</f>
        <v>1815897899</v>
      </c>
      <c r="Q234" s="43">
        <f>'D3 Gallon Forecast'!Q30+'D4 Gallon Forecast'!Q42+'D5 Gallon Forecast'!Q45+'D6 Gallon Forecast'!Q38+'D7 Gallon Forecast'!Q42</f>
        <v>1712150497.7080984</v>
      </c>
      <c r="R234" s="43">
        <f>'D3 Gallon Forecast'!R30+'D4 Gallon Forecast'!R42+'D5 Gallon Forecast'!R45+'D6 Gallon Forecast'!R38+'D7 Gallon Forecast'!R42</f>
        <v>1770290403.9352872</v>
      </c>
      <c r="S234" s="43">
        <f>'D3 Gallon Forecast'!S30+'D4 Gallon Forecast'!S42+'D5 Gallon Forecast'!S45+'D6 Gallon Forecast'!S38+'D7 Gallon Forecast'!S42</f>
        <v>1858177052.0802441</v>
      </c>
      <c r="T234" s="43">
        <f>'D3 Gallon Forecast'!T30+'D4 Gallon Forecast'!T42+'D5 Gallon Forecast'!T45+'D6 Gallon Forecast'!T38+'D7 Gallon Forecast'!T42</f>
        <v>1880826879.6413565</v>
      </c>
      <c r="U234" s="43">
        <f>'D3 Gallon Forecast'!U30+'D4 Gallon Forecast'!U42+'D5 Gallon Forecast'!U45+'D6 Gallon Forecast'!U38+'D7 Gallon Forecast'!U42</f>
        <v>1951787781.7792416</v>
      </c>
      <c r="V234" s="43">
        <f>'D3 Gallon Forecast'!V30+'D4 Gallon Forecast'!V42+'D5 Gallon Forecast'!V45+'D6 Gallon Forecast'!V38+'D7 Gallon Forecast'!V42</f>
        <v>2060748024.1621809</v>
      </c>
      <c r="W234" s="43">
        <f>'D3 Gallon Forecast'!W30+'D4 Gallon Forecast'!W42+'D5 Gallon Forecast'!W45+'D6 Gallon Forecast'!W38+'D7 Gallon Forecast'!W42</f>
        <v>2141854572.1860147</v>
      </c>
      <c r="X234" s="43">
        <f>'D3 Gallon Forecast'!X30+'D4 Gallon Forecast'!X42+'D5 Gallon Forecast'!X45+'D6 Gallon Forecast'!X38+'D7 Gallon Forecast'!X42</f>
        <v>2289326764.5886941</v>
      </c>
      <c r="Y234" s="43">
        <f>'D3 Gallon Forecast'!Y30+'D4 Gallon Forecast'!Y42+'D5 Gallon Forecast'!Y45+'D6 Gallon Forecast'!Y38+'D7 Gallon Forecast'!Y42</f>
        <v>2324132443.9250193</v>
      </c>
      <c r="Z234" s="43">
        <f>'D3 Gallon Forecast'!Z30+'D4 Gallon Forecast'!Z42+'D5 Gallon Forecast'!Z45+'D6 Gallon Forecast'!Z38+'D7 Gallon Forecast'!Z42</f>
        <v>2374289619.8648748</v>
      </c>
      <c r="AA234" s="43">
        <f>'D3 Gallon Forecast'!AA30+'D4 Gallon Forecast'!AA42+'D5 Gallon Forecast'!AA45+'D6 Gallon Forecast'!AA38+'D7 Gallon Forecast'!AA42</f>
        <v>2441407128.9491539</v>
      </c>
      <c r="AB234" s="43">
        <f>'D3 Gallon Forecast'!AB30+'D4 Gallon Forecast'!AB42+'D5 Gallon Forecast'!AB45+'D6 Gallon Forecast'!AB38+'D7 Gallon Forecast'!AB42</f>
        <v>2378995212.3616161</v>
      </c>
      <c r="AC234" s="43">
        <f>'D3 Gallon Forecast'!AC30+'D4 Gallon Forecast'!AC42+'D5 Gallon Forecast'!AC45+'D6 Gallon Forecast'!AC38+'D7 Gallon Forecast'!AC42</f>
        <v>2479275369.3994188</v>
      </c>
      <c r="AD234" s="43">
        <f>'D3 Gallon Forecast'!AD30+'D4 Gallon Forecast'!AD42+'D5 Gallon Forecast'!AD45+'D6 Gallon Forecast'!AD38+'D7 Gallon Forecast'!AD42</f>
        <v>2609449084.8197379</v>
      </c>
      <c r="AE234" s="43">
        <f>'D3 Gallon Forecast'!AE30+'D4 Gallon Forecast'!AE42+'D5 Gallon Forecast'!AE45+'D6 Gallon Forecast'!AE38+'D7 Gallon Forecast'!AE42</f>
        <v>2646605776.8270464</v>
      </c>
      <c r="AF234" s="43">
        <f>'D3 Gallon Forecast'!AF30+'D4 Gallon Forecast'!AF42+'D5 Gallon Forecast'!AF45+'D6 Gallon Forecast'!AF38+'D7 Gallon Forecast'!AF42</f>
        <v>2620262415.1135254</v>
      </c>
      <c r="AG234" s="43">
        <f>'D3 Gallon Forecast'!AG30+'D4 Gallon Forecast'!AG42+'D5 Gallon Forecast'!AG45+'D6 Gallon Forecast'!AG38+'D7 Gallon Forecast'!AG42</f>
        <v>2724342749.5051994</v>
      </c>
      <c r="AH234" s="43">
        <f>'D3 Gallon Forecast'!AH30+'D4 Gallon Forecast'!AH42+'D5 Gallon Forecast'!AH45+'D6 Gallon Forecast'!AH38+'D7 Gallon Forecast'!AH42</f>
        <v>2936804293.50175</v>
      </c>
      <c r="AI234" s="43">
        <f>'D3 Gallon Forecast'!AI30+'D4 Gallon Forecast'!AI42+'D5 Gallon Forecast'!AI45+'D6 Gallon Forecast'!AI38+'D7 Gallon Forecast'!AI42</f>
        <v>3171056332.5683384</v>
      </c>
      <c r="AJ234" s="43">
        <f>'D3 Gallon Forecast'!AJ30+'D4 Gallon Forecast'!AJ42+'D5 Gallon Forecast'!AJ45+'D6 Gallon Forecast'!AJ38+'D7 Gallon Forecast'!AJ42</f>
        <v>3388569838.4420929</v>
      </c>
      <c r="AK234" s="43">
        <f>'D3 Gallon Forecast'!AK30+'D4 Gallon Forecast'!AK42+'D5 Gallon Forecast'!AK45+'D6 Gallon Forecast'!AK38+'D7 Gallon Forecast'!AK42</f>
        <v>3610153933.4637012</v>
      </c>
      <c r="AL234" s="43">
        <f>'D3 Gallon Forecast'!AL30+'D4 Gallon Forecast'!AL42+'D5 Gallon Forecast'!AL45+'D6 Gallon Forecast'!AL38+'D7 Gallon Forecast'!AL42</f>
        <v>3833181741.0344286</v>
      </c>
      <c r="AM234" s="43">
        <f>'D3 Gallon Forecast'!AM30+'D4 Gallon Forecast'!AM42+'D5 Gallon Forecast'!AM45+'D6 Gallon Forecast'!AM38+'D7 Gallon Forecast'!AM42</f>
        <v>4103297920.1491532</v>
      </c>
      <c r="AN234" s="43">
        <f>'D3 Gallon Forecast'!AN30+'D4 Gallon Forecast'!AN42+'D5 Gallon Forecast'!AN45+'D6 Gallon Forecast'!AN38+'D7 Gallon Forecast'!AN42</f>
        <v>4366791407.9563599</v>
      </c>
      <c r="AO234" s="43">
        <f>'D3 Gallon Forecast'!AO30+'D4 Gallon Forecast'!AO42+'D5 Gallon Forecast'!AO45+'D6 Gallon Forecast'!AO38+'D7 Gallon Forecast'!AO42</f>
        <v>4640236331.9238586</v>
      </c>
      <c r="AP234" s="43">
        <f>'D3 Gallon Forecast'!AP30+'D4 Gallon Forecast'!AP42+'D5 Gallon Forecast'!AP45+'D6 Gallon Forecast'!AP38+'D7 Gallon Forecast'!AP42</f>
        <v>4942412984.5501871</v>
      </c>
      <c r="AQ234" s="43">
        <f>'D3 Gallon Forecast'!AQ30+'D4 Gallon Forecast'!AQ42+'D5 Gallon Forecast'!AQ45+'D6 Gallon Forecast'!AQ38+'D7 Gallon Forecast'!AQ42</f>
        <v>5243356519.1641426</v>
      </c>
      <c r="AR234" s="43"/>
      <c r="AS234" s="55">
        <f t="shared" si="98"/>
        <v>1.2027724049778588E-2</v>
      </c>
    </row>
    <row r="235" spans="1:45">
      <c r="A235" s="40" t="s">
        <v>73</v>
      </c>
      <c r="B235" s="42">
        <f>'D3 Gallon Forecast'!B31+'D4 Gallon Forecast'!B43+'D5 Gallon Forecast'!B46+'D6 Gallon Forecast'!B39+'D7 Gallon Forecast'!B43</f>
        <v>1152019628</v>
      </c>
      <c r="C235" s="42">
        <f>'D3 Gallon Forecast'!C31+'D4 Gallon Forecast'!C43+'D5 Gallon Forecast'!C46+'D6 Gallon Forecast'!C39+'D7 Gallon Forecast'!C43</f>
        <v>1237783458</v>
      </c>
      <c r="D235" s="42">
        <f>'D3 Gallon Forecast'!D31+'D4 Gallon Forecast'!D43+'D5 Gallon Forecast'!D46+'D6 Gallon Forecast'!D39+'D7 Gallon Forecast'!D43</f>
        <v>1217811818</v>
      </c>
      <c r="E235" s="42">
        <f>'D3 Gallon Forecast'!E31+'D4 Gallon Forecast'!E43+'D5 Gallon Forecast'!E46+'D6 Gallon Forecast'!E39+'D7 Gallon Forecast'!E43</f>
        <v>1369953507</v>
      </c>
      <c r="F235" s="42">
        <f>'D3 Gallon Forecast'!F31+'D4 Gallon Forecast'!F43+'D5 Gallon Forecast'!F46+'D6 Gallon Forecast'!F39+'D7 Gallon Forecast'!F43</f>
        <v>1456527683</v>
      </c>
      <c r="G235" s="42">
        <f>'D3 Gallon Forecast'!G31+'D4 Gallon Forecast'!G43+'D5 Gallon Forecast'!G46+'D6 Gallon Forecast'!G39+'D7 Gallon Forecast'!G43</f>
        <v>1469416301</v>
      </c>
      <c r="H235" s="42">
        <f>'D3 Gallon Forecast'!H31+'D4 Gallon Forecast'!H43+'D5 Gallon Forecast'!H46+'D6 Gallon Forecast'!H39+'D7 Gallon Forecast'!H43</f>
        <v>1489187658</v>
      </c>
      <c r="I235" s="42">
        <f>'D3 Gallon Forecast'!I31+'D4 Gallon Forecast'!I43+'D5 Gallon Forecast'!I46+'D6 Gallon Forecast'!I39+'D7 Gallon Forecast'!I43</f>
        <v>1532705644</v>
      </c>
      <c r="J235" s="42">
        <f>'D3 Gallon Forecast'!J31+'D4 Gallon Forecast'!J43+'D5 Gallon Forecast'!J46+'D6 Gallon Forecast'!J39+'D7 Gallon Forecast'!J43</f>
        <v>1593242604</v>
      </c>
      <c r="K235" s="42">
        <f>'D3 Gallon Forecast'!K31+'D4 Gallon Forecast'!K43+'D5 Gallon Forecast'!K46+'D6 Gallon Forecast'!K39+'D7 Gallon Forecast'!K43</f>
        <v>1649159058</v>
      </c>
      <c r="L235" s="42">
        <f>'D3 Gallon Forecast'!L31+'D4 Gallon Forecast'!L43+'D5 Gallon Forecast'!L46+'D6 Gallon Forecast'!L39+'D7 Gallon Forecast'!L43</f>
        <v>1490520135</v>
      </c>
      <c r="M235" s="42">
        <f>'D3 Gallon Forecast'!M31+'D4 Gallon Forecast'!M43+'D5 Gallon Forecast'!M46+'D6 Gallon Forecast'!M39+'D7 Gallon Forecast'!M43</f>
        <v>1570602500</v>
      </c>
      <c r="N235" s="42">
        <f>'D3 Gallon Forecast'!N31+'D4 Gallon Forecast'!N43+'D5 Gallon Forecast'!N46+'D6 Gallon Forecast'!N39+'D7 Gallon Forecast'!N43</f>
        <v>1544900996</v>
      </c>
      <c r="O235" s="42">
        <f>'D3 Gallon Forecast'!O31+'D4 Gallon Forecast'!O43+'D5 Gallon Forecast'!O46+'D6 Gallon Forecast'!O39+'D7 Gallon Forecast'!O43</f>
        <v>1747205983</v>
      </c>
      <c r="P235" s="42">
        <f>'D3 Gallon Forecast'!P31+'D4 Gallon Forecast'!P43+'D5 Gallon Forecast'!P46+'D6 Gallon Forecast'!P39+'D7 Gallon Forecast'!P43</f>
        <v>1934972742</v>
      </c>
      <c r="Q235" s="43">
        <f>'D3 Gallon Forecast'!Q31+'D4 Gallon Forecast'!Q43+'D5 Gallon Forecast'!Q46+'D6 Gallon Forecast'!Q39+'D7 Gallon Forecast'!Q43</f>
        <v>1740239497.0920546</v>
      </c>
      <c r="R235" s="43">
        <f>'D3 Gallon Forecast'!R31+'D4 Gallon Forecast'!R43+'D5 Gallon Forecast'!R46+'D6 Gallon Forecast'!R39+'D7 Gallon Forecast'!R43</f>
        <v>1774639590.3870225</v>
      </c>
      <c r="S235" s="43">
        <f>'D3 Gallon Forecast'!S31+'D4 Gallon Forecast'!S43+'D5 Gallon Forecast'!S46+'D6 Gallon Forecast'!S39+'D7 Gallon Forecast'!S43</f>
        <v>1872311993.4762063</v>
      </c>
      <c r="T235" s="43">
        <f>'D3 Gallon Forecast'!T31+'D4 Gallon Forecast'!T43+'D5 Gallon Forecast'!T46+'D6 Gallon Forecast'!T39+'D7 Gallon Forecast'!T43</f>
        <v>1919696214.904227</v>
      </c>
      <c r="U235" s="43">
        <f>'D3 Gallon Forecast'!U31+'D4 Gallon Forecast'!U43+'D5 Gallon Forecast'!U46+'D6 Gallon Forecast'!U39+'D7 Gallon Forecast'!U43</f>
        <v>2003423621.2076006</v>
      </c>
      <c r="V235" s="43">
        <f>'D3 Gallon Forecast'!V31+'D4 Gallon Forecast'!V43+'D5 Gallon Forecast'!V46+'D6 Gallon Forecast'!V39+'D7 Gallon Forecast'!V43</f>
        <v>2104323721.8891089</v>
      </c>
      <c r="W235" s="43">
        <f>'D3 Gallon Forecast'!W31+'D4 Gallon Forecast'!W43+'D5 Gallon Forecast'!W46+'D6 Gallon Forecast'!W39+'D7 Gallon Forecast'!W43</f>
        <v>2187361855.8345165</v>
      </c>
      <c r="X235" s="43">
        <f>'D3 Gallon Forecast'!X31+'D4 Gallon Forecast'!X43+'D5 Gallon Forecast'!X46+'D6 Gallon Forecast'!X39+'D7 Gallon Forecast'!X43</f>
        <v>2343703843.4973192</v>
      </c>
      <c r="Y235" s="43">
        <f>'D3 Gallon Forecast'!Y31+'D4 Gallon Forecast'!Y43+'D5 Gallon Forecast'!Y46+'D6 Gallon Forecast'!Y39+'D7 Gallon Forecast'!Y43</f>
        <v>2384882184.6639371</v>
      </c>
      <c r="Z235" s="43">
        <f>'D3 Gallon Forecast'!Z31+'D4 Gallon Forecast'!Z43+'D5 Gallon Forecast'!Z46+'D6 Gallon Forecast'!Z39+'D7 Gallon Forecast'!Z43</f>
        <v>2439392390.1814709</v>
      </c>
      <c r="AA235" s="43">
        <f>'D3 Gallon Forecast'!AA31+'D4 Gallon Forecast'!AA43+'D5 Gallon Forecast'!AA46+'D6 Gallon Forecast'!AA39+'D7 Gallon Forecast'!AA43</f>
        <v>2508219481.1388998</v>
      </c>
      <c r="AB235" s="43">
        <f>'D3 Gallon Forecast'!AB31+'D4 Gallon Forecast'!AB43+'D5 Gallon Forecast'!AB46+'D6 Gallon Forecast'!AB39+'D7 Gallon Forecast'!AB43</f>
        <v>2448661331.3749394</v>
      </c>
      <c r="AC235" s="43">
        <f>'D3 Gallon Forecast'!AC31+'D4 Gallon Forecast'!AC43+'D5 Gallon Forecast'!AC46+'D6 Gallon Forecast'!AC39+'D7 Gallon Forecast'!AC43</f>
        <v>2555753022.7856231</v>
      </c>
      <c r="AD235" s="43">
        <f>'D3 Gallon Forecast'!AD31+'D4 Gallon Forecast'!AD43+'D5 Gallon Forecast'!AD46+'D6 Gallon Forecast'!AD39+'D7 Gallon Forecast'!AD43</f>
        <v>2693608574.5784941</v>
      </c>
      <c r="AE235" s="43">
        <f>'D3 Gallon Forecast'!AE31+'D4 Gallon Forecast'!AE43+'D5 Gallon Forecast'!AE46+'D6 Gallon Forecast'!AE39+'D7 Gallon Forecast'!AE43</f>
        <v>2734245356.0823975</v>
      </c>
      <c r="AF235" s="43">
        <f>'D3 Gallon Forecast'!AF31+'D4 Gallon Forecast'!AF43+'D5 Gallon Forecast'!AF46+'D6 Gallon Forecast'!AF39+'D7 Gallon Forecast'!AF43</f>
        <v>2711287281.4641199</v>
      </c>
      <c r="AG235" s="43">
        <f>'D3 Gallon Forecast'!AG31+'D4 Gallon Forecast'!AG43+'D5 Gallon Forecast'!AG46+'D6 Gallon Forecast'!AG39+'D7 Gallon Forecast'!AG43</f>
        <v>2820131343.493454</v>
      </c>
      <c r="AH235" s="43">
        <f>'D3 Gallon Forecast'!AH31+'D4 Gallon Forecast'!AH43+'D5 Gallon Forecast'!AH46+'D6 Gallon Forecast'!AH39+'D7 Gallon Forecast'!AH43</f>
        <v>3048234724.1196651</v>
      </c>
      <c r="AI235" s="43">
        <f>'D3 Gallon Forecast'!AI31+'D4 Gallon Forecast'!AI43+'D5 Gallon Forecast'!AI46+'D6 Gallon Forecast'!AI39+'D7 Gallon Forecast'!AI43</f>
        <v>3296795979.9260507</v>
      </c>
      <c r="AJ235" s="43">
        <f>'D3 Gallon Forecast'!AJ31+'D4 Gallon Forecast'!AJ43+'D5 Gallon Forecast'!AJ46+'D6 Gallon Forecast'!AJ39+'D7 Gallon Forecast'!AJ43</f>
        <v>3531358844.5392027</v>
      </c>
      <c r="AK235" s="43">
        <f>'D3 Gallon Forecast'!AK31+'D4 Gallon Forecast'!AK43+'D5 Gallon Forecast'!AK46+'D6 Gallon Forecast'!AK39+'D7 Gallon Forecast'!AK43</f>
        <v>3772110075.5802755</v>
      </c>
      <c r="AL235" s="43">
        <f>'D3 Gallon Forecast'!AL31+'D4 Gallon Forecast'!AL43+'D5 Gallon Forecast'!AL46+'D6 Gallon Forecast'!AL39+'D7 Gallon Forecast'!AL43</f>
        <v>4015337816.6784453</v>
      </c>
      <c r="AM235" s="43">
        <f>'D3 Gallon Forecast'!AM31+'D4 Gallon Forecast'!AM43+'D5 Gallon Forecast'!AM46+'D6 Gallon Forecast'!AM39+'D7 Gallon Forecast'!AM43</f>
        <v>4304692144.1541424</v>
      </c>
      <c r="AN235" s="43">
        <f>'D3 Gallon Forecast'!AN31+'D4 Gallon Forecast'!AN43+'D5 Gallon Forecast'!AN46+'D6 Gallon Forecast'!AN39+'D7 Gallon Forecast'!AN43</f>
        <v>4582622697.051609</v>
      </c>
      <c r="AO235" s="43">
        <f>'D3 Gallon Forecast'!AO31+'D4 Gallon Forecast'!AO43+'D5 Gallon Forecast'!AO46+'D6 Gallon Forecast'!AO39+'D7 Gallon Forecast'!AO43</f>
        <v>4870310547.0058746</v>
      </c>
      <c r="AP235" s="43">
        <f>'D3 Gallon Forecast'!AP31+'D4 Gallon Forecast'!AP43+'D5 Gallon Forecast'!AP46+'D6 Gallon Forecast'!AP39+'D7 Gallon Forecast'!AP43</f>
        <v>5187485979.2294464</v>
      </c>
      <c r="AQ235" s="43">
        <f>'D3 Gallon Forecast'!AQ31+'D4 Gallon Forecast'!AQ43+'D5 Gallon Forecast'!AQ46+'D6 Gallon Forecast'!AQ39+'D7 Gallon Forecast'!AQ43</f>
        <v>5489708268.6206226</v>
      </c>
      <c r="AR235" s="43"/>
      <c r="AS235" s="55">
        <f t="shared" si="98"/>
        <v>6.557353420892964E-2</v>
      </c>
    </row>
    <row r="236" spans="1:45">
      <c r="A236" s="40" t="s">
        <v>74</v>
      </c>
      <c r="B236" s="42">
        <f>'D3 Gallon Forecast'!B32+'D4 Gallon Forecast'!B44+'D5 Gallon Forecast'!B47+'D6 Gallon Forecast'!B40+'D7 Gallon Forecast'!B44</f>
        <v>1148194653</v>
      </c>
      <c r="C236" s="42">
        <f>'D3 Gallon Forecast'!C32+'D4 Gallon Forecast'!C44+'D5 Gallon Forecast'!C47+'D6 Gallon Forecast'!C40+'D7 Gallon Forecast'!C44</f>
        <v>1303178935</v>
      </c>
      <c r="D236" s="42">
        <f>'D3 Gallon Forecast'!D32+'D4 Gallon Forecast'!D44+'D5 Gallon Forecast'!D47+'D6 Gallon Forecast'!D40+'D7 Gallon Forecast'!D44</f>
        <v>1287265803</v>
      </c>
      <c r="E236" s="42">
        <f>'D3 Gallon Forecast'!E32+'D4 Gallon Forecast'!E44+'D5 Gallon Forecast'!E47+'D6 Gallon Forecast'!E40+'D7 Gallon Forecast'!E44</f>
        <v>1391613358</v>
      </c>
      <c r="F236" s="42">
        <f>'D3 Gallon Forecast'!F32+'D4 Gallon Forecast'!F44+'D5 Gallon Forecast'!F47+'D6 Gallon Forecast'!F40+'D7 Gallon Forecast'!F44</f>
        <v>1359174923</v>
      </c>
      <c r="G236" s="42">
        <f>'D3 Gallon Forecast'!G32+'D4 Gallon Forecast'!G44+'D5 Gallon Forecast'!G47+'D6 Gallon Forecast'!G40+'D7 Gallon Forecast'!G44</f>
        <v>1459746581</v>
      </c>
      <c r="H236" s="42">
        <f>'D3 Gallon Forecast'!H32+'D4 Gallon Forecast'!H44+'D5 Gallon Forecast'!H47+'D6 Gallon Forecast'!H40+'D7 Gallon Forecast'!H44</f>
        <v>1616552955</v>
      </c>
      <c r="I236" s="42">
        <f>'D3 Gallon Forecast'!I32+'D4 Gallon Forecast'!I44+'D5 Gallon Forecast'!I47+'D6 Gallon Forecast'!I40+'D7 Gallon Forecast'!I44</f>
        <v>1610264350</v>
      </c>
      <c r="J236" s="42">
        <f>'D3 Gallon Forecast'!J32+'D4 Gallon Forecast'!J44+'D5 Gallon Forecast'!J47+'D6 Gallon Forecast'!J40+'D7 Gallon Forecast'!J44</f>
        <v>1635997531</v>
      </c>
      <c r="K236" s="42">
        <f>'D3 Gallon Forecast'!K32+'D4 Gallon Forecast'!K44+'D5 Gallon Forecast'!K47+'D6 Gallon Forecast'!K40+'D7 Gallon Forecast'!K44</f>
        <v>1524346794</v>
      </c>
      <c r="L236" s="42">
        <f>'D3 Gallon Forecast'!L32+'D4 Gallon Forecast'!L44+'D5 Gallon Forecast'!L47+'D6 Gallon Forecast'!L40+'D7 Gallon Forecast'!L44</f>
        <v>1456568957</v>
      </c>
      <c r="M236" s="42">
        <f>'D3 Gallon Forecast'!M32+'D4 Gallon Forecast'!M44+'D5 Gallon Forecast'!M47+'D6 Gallon Forecast'!M40+'D7 Gallon Forecast'!M44</f>
        <v>1557277546</v>
      </c>
      <c r="N236" s="42">
        <f>'D3 Gallon Forecast'!N32+'D4 Gallon Forecast'!N44+'D5 Gallon Forecast'!N47+'D6 Gallon Forecast'!N40+'D7 Gallon Forecast'!N44</f>
        <v>1655345786</v>
      </c>
      <c r="O236" s="42">
        <f>'D3 Gallon Forecast'!O32+'D4 Gallon Forecast'!O44+'D5 Gallon Forecast'!O47+'D6 Gallon Forecast'!O40+'D7 Gallon Forecast'!O44</f>
        <v>1795120385</v>
      </c>
      <c r="P236" s="42">
        <f>'D3 Gallon Forecast'!P32+'D4 Gallon Forecast'!P44+'D5 Gallon Forecast'!P47+'D6 Gallon Forecast'!P40+'D7 Gallon Forecast'!P44</f>
        <v>1871049132</v>
      </c>
      <c r="Q236" s="43">
        <f>'D3 Gallon Forecast'!Q32+'D4 Gallon Forecast'!Q44+'D5 Gallon Forecast'!Q47+'D6 Gallon Forecast'!Q40+'D7 Gallon Forecast'!Q44</f>
        <v>1738904860.8516054</v>
      </c>
      <c r="R236" s="43">
        <f>'D3 Gallon Forecast'!R32+'D4 Gallon Forecast'!R44+'D5 Gallon Forecast'!R47+'D6 Gallon Forecast'!R40+'D7 Gallon Forecast'!R44</f>
        <v>1795057403.6921353</v>
      </c>
      <c r="S236" s="43">
        <f>'D3 Gallon Forecast'!S32+'D4 Gallon Forecast'!S44+'D5 Gallon Forecast'!S47+'D6 Gallon Forecast'!S40+'D7 Gallon Forecast'!S44</f>
        <v>1950585042.0175729</v>
      </c>
      <c r="T236" s="43">
        <f>'D3 Gallon Forecast'!T32+'D4 Gallon Forecast'!T44+'D5 Gallon Forecast'!T47+'D6 Gallon Forecast'!T40+'D7 Gallon Forecast'!T44</f>
        <v>1987004969.6718638</v>
      </c>
      <c r="U236" s="43">
        <f>'D3 Gallon Forecast'!U32+'D4 Gallon Forecast'!U44+'D5 Gallon Forecast'!U47+'D6 Gallon Forecast'!U40+'D7 Gallon Forecast'!U44</f>
        <v>2078599665.2780824</v>
      </c>
      <c r="V236" s="43">
        <f>'D3 Gallon Forecast'!V32+'D4 Gallon Forecast'!V44+'D5 Gallon Forecast'!V47+'D6 Gallon Forecast'!V40+'D7 Gallon Forecast'!V44</f>
        <v>2190881968.1765218</v>
      </c>
      <c r="W236" s="43">
        <f>'D3 Gallon Forecast'!W32+'D4 Gallon Forecast'!W44+'D5 Gallon Forecast'!W47+'D6 Gallon Forecast'!W40+'D7 Gallon Forecast'!W44</f>
        <v>2281575317.5491323</v>
      </c>
      <c r="X236" s="43">
        <f>'D3 Gallon Forecast'!X32+'D4 Gallon Forecast'!X44+'D5 Gallon Forecast'!X47+'D6 Gallon Forecast'!X40+'D7 Gallon Forecast'!X44</f>
        <v>2448709971.7933331</v>
      </c>
      <c r="Y236" s="43">
        <f>'D3 Gallon Forecast'!Y32+'D4 Gallon Forecast'!Y44+'D5 Gallon Forecast'!Y47+'D6 Gallon Forecast'!Y40+'D7 Gallon Forecast'!Y44</f>
        <v>2492141726.2133622</v>
      </c>
      <c r="Z236" s="43">
        <f>'D3 Gallon Forecast'!Z32+'D4 Gallon Forecast'!Z44+'D5 Gallon Forecast'!Z47+'D6 Gallon Forecast'!Z40+'D7 Gallon Forecast'!Z44</f>
        <v>2553424877.4735994</v>
      </c>
      <c r="AA236" s="43">
        <f>'D3 Gallon Forecast'!AA32+'D4 Gallon Forecast'!AA44+'D5 Gallon Forecast'!AA47+'D6 Gallon Forecast'!AA40+'D7 Gallon Forecast'!AA44</f>
        <v>2628860341.5867157</v>
      </c>
      <c r="AB236" s="43">
        <f>'D3 Gallon Forecast'!AB32+'D4 Gallon Forecast'!AB44+'D5 Gallon Forecast'!AB47+'D6 Gallon Forecast'!AB40+'D7 Gallon Forecast'!AB44</f>
        <v>2565562449.3930516</v>
      </c>
      <c r="AC236" s="43">
        <f>'D3 Gallon Forecast'!AC32+'D4 Gallon Forecast'!AC44+'D5 Gallon Forecast'!AC47+'D6 Gallon Forecast'!AC40+'D7 Gallon Forecast'!AC44</f>
        <v>2682000520.0368443</v>
      </c>
      <c r="AD236" s="43">
        <f>'D3 Gallon Forecast'!AD32+'D4 Gallon Forecast'!AD44+'D5 Gallon Forecast'!AD47+'D6 Gallon Forecast'!AD40+'D7 Gallon Forecast'!AD44</f>
        <v>2831836803.6200881</v>
      </c>
      <c r="AE236" s="43">
        <f>'D3 Gallon Forecast'!AE32+'D4 Gallon Forecast'!AE44+'D5 Gallon Forecast'!AE47+'D6 Gallon Forecast'!AE40+'D7 Gallon Forecast'!AE44</f>
        <v>2881129099.4686918</v>
      </c>
      <c r="AF236" s="43">
        <f>'D3 Gallon Forecast'!AF32+'D4 Gallon Forecast'!AF44+'D5 Gallon Forecast'!AF47+'D6 Gallon Forecast'!AF40+'D7 Gallon Forecast'!AF44</f>
        <v>2866888778.0432925</v>
      </c>
      <c r="AG236" s="43">
        <f>'D3 Gallon Forecast'!AG32+'D4 Gallon Forecast'!AG44+'D5 Gallon Forecast'!AG47+'D6 Gallon Forecast'!AG40+'D7 Gallon Forecast'!AG44</f>
        <v>2989643583.306344</v>
      </c>
      <c r="AH236" s="43">
        <f>'D3 Gallon Forecast'!AH32+'D4 Gallon Forecast'!AH44+'D5 Gallon Forecast'!AH47+'D6 Gallon Forecast'!AH40+'D7 Gallon Forecast'!AH44</f>
        <v>3253786225.30194</v>
      </c>
      <c r="AI236" s="43">
        <f>'D3 Gallon Forecast'!AI32+'D4 Gallon Forecast'!AI44+'D5 Gallon Forecast'!AI47+'D6 Gallon Forecast'!AI40+'D7 Gallon Forecast'!AI44</f>
        <v>3546047767.491395</v>
      </c>
      <c r="AJ236" s="43">
        <f>'D3 Gallon Forecast'!AJ32+'D4 Gallon Forecast'!AJ44+'D5 Gallon Forecast'!AJ47+'D6 Gallon Forecast'!AJ40+'D7 Gallon Forecast'!AJ44</f>
        <v>3830016117.097991</v>
      </c>
      <c r="AK236" s="43">
        <f>'D3 Gallon Forecast'!AK32+'D4 Gallon Forecast'!AK44+'D5 Gallon Forecast'!AK47+'D6 Gallon Forecast'!AK40+'D7 Gallon Forecast'!AK44</f>
        <v>4126826064.6345706</v>
      </c>
      <c r="AL236" s="43">
        <f>'D3 Gallon Forecast'!AL32+'D4 Gallon Forecast'!AL44+'D5 Gallon Forecast'!AL47+'D6 Gallon Forecast'!AL40+'D7 Gallon Forecast'!AL44</f>
        <v>4432997408.1216412</v>
      </c>
      <c r="AM236" s="43">
        <f>'D3 Gallon Forecast'!AM32+'D4 Gallon Forecast'!AM44+'D5 Gallon Forecast'!AM47+'D6 Gallon Forecast'!AM40+'D7 Gallon Forecast'!AM44</f>
        <v>4792360760.6504364</v>
      </c>
      <c r="AN236" s="43">
        <f>'D3 Gallon Forecast'!AN32+'D4 Gallon Forecast'!AN44+'D5 Gallon Forecast'!AN47+'D6 Gallon Forecast'!AN40+'D7 Gallon Forecast'!AN44</f>
        <v>5147238013.8385792</v>
      </c>
      <c r="AO236" s="43">
        <f>'D3 Gallon Forecast'!AO32+'D4 Gallon Forecast'!AO44+'D5 Gallon Forecast'!AO47+'D6 Gallon Forecast'!AO40+'D7 Gallon Forecast'!AO44</f>
        <v>5519924256.187439</v>
      </c>
      <c r="AP236" s="43">
        <f>'D3 Gallon Forecast'!AP32+'D4 Gallon Forecast'!AP44+'D5 Gallon Forecast'!AP47+'D6 Gallon Forecast'!AP40+'D7 Gallon Forecast'!AP44</f>
        <v>5930765358.9988737</v>
      </c>
      <c r="AQ236" s="43">
        <f>'D3 Gallon Forecast'!AQ32+'D4 Gallon Forecast'!AQ44+'D5 Gallon Forecast'!AQ47+'D6 Gallon Forecast'!AQ40+'D7 Gallon Forecast'!AQ44</f>
        <v>6331241754.7765741</v>
      </c>
      <c r="AR236" s="43"/>
      <c r="AS236" s="55">
        <f t="shared" si="98"/>
        <v>-3.3035922735494494E-2</v>
      </c>
    </row>
    <row r="237" spans="1:45">
      <c r="A237" s="40" t="s">
        <v>75</v>
      </c>
      <c r="B237" s="42">
        <f>'D3 Gallon Forecast'!B33+'D4 Gallon Forecast'!B45+'D5 Gallon Forecast'!B48+'D6 Gallon Forecast'!B41+'D7 Gallon Forecast'!B45</f>
        <v>1147005790</v>
      </c>
      <c r="C237" s="42">
        <f>'D3 Gallon Forecast'!C33+'D4 Gallon Forecast'!C45+'D5 Gallon Forecast'!C48+'D6 Gallon Forecast'!C41+'D7 Gallon Forecast'!C45</f>
        <v>1242246296</v>
      </c>
      <c r="D237" s="42">
        <f>'D3 Gallon Forecast'!D33+'D4 Gallon Forecast'!D45+'D5 Gallon Forecast'!D48+'D6 Gallon Forecast'!D41+'D7 Gallon Forecast'!D45</f>
        <v>1160447642</v>
      </c>
      <c r="E237" s="42">
        <f>'D3 Gallon Forecast'!E33+'D4 Gallon Forecast'!E45+'D5 Gallon Forecast'!E48+'D6 Gallon Forecast'!E41+'D7 Gallon Forecast'!E45</f>
        <v>1329052653</v>
      </c>
      <c r="F237" s="42">
        <f>'D3 Gallon Forecast'!F33+'D4 Gallon Forecast'!F45+'D5 Gallon Forecast'!F48+'D6 Gallon Forecast'!F41+'D7 Gallon Forecast'!F45</f>
        <v>1321131021</v>
      </c>
      <c r="G237" s="42">
        <f>'D3 Gallon Forecast'!G33+'D4 Gallon Forecast'!G45+'D5 Gallon Forecast'!G48+'D6 Gallon Forecast'!G41+'D7 Gallon Forecast'!G45</f>
        <v>1400762480</v>
      </c>
      <c r="H237" s="42">
        <f>'D3 Gallon Forecast'!H33+'D4 Gallon Forecast'!H45+'D5 Gallon Forecast'!H48+'D6 Gallon Forecast'!H41+'D7 Gallon Forecast'!H45</f>
        <v>1518700685</v>
      </c>
      <c r="I237" s="42">
        <f>'D3 Gallon Forecast'!I33+'D4 Gallon Forecast'!I45+'D5 Gallon Forecast'!I48+'D6 Gallon Forecast'!I41+'D7 Gallon Forecast'!I45</f>
        <v>1474510104</v>
      </c>
      <c r="J237" s="42">
        <f>'D3 Gallon Forecast'!J33+'D4 Gallon Forecast'!J45+'D5 Gallon Forecast'!J48+'D6 Gallon Forecast'!J41+'D7 Gallon Forecast'!J45</f>
        <v>1468576118</v>
      </c>
      <c r="K237" s="42">
        <f>'D3 Gallon Forecast'!K33+'D4 Gallon Forecast'!K45+'D5 Gallon Forecast'!K48+'D6 Gallon Forecast'!K41+'D7 Gallon Forecast'!K45</f>
        <v>1482741706</v>
      </c>
      <c r="L237" s="42">
        <f>'D3 Gallon Forecast'!L33+'D4 Gallon Forecast'!L45+'D5 Gallon Forecast'!L48+'D6 Gallon Forecast'!L41+'D7 Gallon Forecast'!L45</f>
        <v>1480614332</v>
      </c>
      <c r="M237" s="42">
        <f>'D3 Gallon Forecast'!M33+'D4 Gallon Forecast'!M45+'D5 Gallon Forecast'!M48+'D6 Gallon Forecast'!M41+'D7 Gallon Forecast'!M45</f>
        <v>1472517221</v>
      </c>
      <c r="N237" s="42">
        <f>'D3 Gallon Forecast'!N33+'D4 Gallon Forecast'!N45+'D5 Gallon Forecast'!N48+'D6 Gallon Forecast'!N41+'D7 Gallon Forecast'!N45</f>
        <v>1524493548</v>
      </c>
      <c r="O237" s="42">
        <f>'D3 Gallon Forecast'!O33+'D4 Gallon Forecast'!O45+'D5 Gallon Forecast'!O48+'D6 Gallon Forecast'!O41+'D7 Gallon Forecast'!O45</f>
        <v>1696774438</v>
      </c>
      <c r="P237" s="42">
        <f>'D3 Gallon Forecast'!P33+'D4 Gallon Forecast'!P45+'D5 Gallon Forecast'!P48+'D6 Gallon Forecast'!P41+'D7 Gallon Forecast'!P45</f>
        <v>1800619131</v>
      </c>
      <c r="Q237" s="43">
        <f>'D3 Gallon Forecast'!Q33+'D4 Gallon Forecast'!Q45+'D5 Gallon Forecast'!Q48+'D6 Gallon Forecast'!Q41+'D7 Gallon Forecast'!Q45</f>
        <v>1661382804.9680028</v>
      </c>
      <c r="R237" s="43">
        <f>'D3 Gallon Forecast'!R33+'D4 Gallon Forecast'!R45+'D5 Gallon Forecast'!R48+'D6 Gallon Forecast'!R41+'D7 Gallon Forecast'!R45</f>
        <v>1706157832.3659101</v>
      </c>
      <c r="S237" s="43">
        <f>'D3 Gallon Forecast'!S33+'D4 Gallon Forecast'!S45+'D5 Gallon Forecast'!S48+'D6 Gallon Forecast'!S41+'D7 Gallon Forecast'!S45</f>
        <v>1831286428.5265648</v>
      </c>
      <c r="T237" s="43">
        <f>'D3 Gallon Forecast'!T33+'D4 Gallon Forecast'!T45+'D5 Gallon Forecast'!T48+'D6 Gallon Forecast'!T41+'D7 Gallon Forecast'!T45</f>
        <v>1884202964.3612871</v>
      </c>
      <c r="U237" s="43">
        <f>'D3 Gallon Forecast'!U33+'D4 Gallon Forecast'!U45+'D5 Gallon Forecast'!U48+'D6 Gallon Forecast'!U41+'D7 Gallon Forecast'!U45</f>
        <v>1988058398.400897</v>
      </c>
      <c r="V237" s="43">
        <f>'D3 Gallon Forecast'!V33+'D4 Gallon Forecast'!V45+'D5 Gallon Forecast'!V48+'D6 Gallon Forecast'!V41+'D7 Gallon Forecast'!V45</f>
        <v>2114540197.2993779</v>
      </c>
      <c r="W237" s="43">
        <f>'D3 Gallon Forecast'!W33+'D4 Gallon Forecast'!W45+'D5 Gallon Forecast'!W48+'D6 Gallon Forecast'!W41+'D7 Gallon Forecast'!W45</f>
        <v>2213630467.2035871</v>
      </c>
      <c r="X237" s="43">
        <f>'D3 Gallon Forecast'!X33+'D4 Gallon Forecast'!X45+'D5 Gallon Forecast'!X48+'D6 Gallon Forecast'!X41+'D7 Gallon Forecast'!X45</f>
        <v>2400889234.7686529</v>
      </c>
      <c r="Y237" s="43">
        <f>'D3 Gallon Forecast'!Y33+'D4 Gallon Forecast'!Y45+'D5 Gallon Forecast'!Y48+'D6 Gallon Forecast'!Y41+'D7 Gallon Forecast'!Y45</f>
        <v>2450837107.4076777</v>
      </c>
      <c r="Z237" s="43">
        <f>'D3 Gallon Forecast'!Z33+'D4 Gallon Forecast'!Z45+'D5 Gallon Forecast'!Z48+'D6 Gallon Forecast'!Z41+'D7 Gallon Forecast'!Z45</f>
        <v>2522074001.6052084</v>
      </c>
      <c r="AA237" s="43">
        <f>'D3 Gallon Forecast'!AA33+'D4 Gallon Forecast'!AA45+'D5 Gallon Forecast'!AA48+'D6 Gallon Forecast'!AA41+'D7 Gallon Forecast'!AA45</f>
        <v>2601910590.7523594</v>
      </c>
      <c r="AB237" s="43">
        <f>'D3 Gallon Forecast'!AB33+'D4 Gallon Forecast'!AB45+'D5 Gallon Forecast'!AB48+'D6 Gallon Forecast'!AB41+'D7 Gallon Forecast'!AB45</f>
        <v>2510916107.0789232</v>
      </c>
      <c r="AC237" s="43">
        <f>'D3 Gallon Forecast'!AC33+'D4 Gallon Forecast'!AC45+'D5 Gallon Forecast'!AC48+'D6 Gallon Forecast'!AC41+'D7 Gallon Forecast'!AC45</f>
        <v>2637150606.2534857</v>
      </c>
      <c r="AD237" s="43">
        <f>'D3 Gallon Forecast'!AD33+'D4 Gallon Forecast'!AD45+'D5 Gallon Forecast'!AD48+'D6 Gallon Forecast'!AD41+'D7 Gallon Forecast'!AD45</f>
        <v>2799396240.711164</v>
      </c>
      <c r="AE237" s="43">
        <f>'D3 Gallon Forecast'!AE33+'D4 Gallon Forecast'!AE45+'D5 Gallon Forecast'!AE48+'D6 Gallon Forecast'!AE41+'D7 Gallon Forecast'!AE45</f>
        <v>2849584933.0584536</v>
      </c>
      <c r="AF237" s="43">
        <f>'D3 Gallon Forecast'!AF33+'D4 Gallon Forecast'!AF45+'D5 Gallon Forecast'!AF48+'D6 Gallon Forecast'!AF41+'D7 Gallon Forecast'!AF45</f>
        <v>2836562263.4128132</v>
      </c>
      <c r="AG237" s="43">
        <f>'D3 Gallon Forecast'!AG33+'D4 Gallon Forecast'!AG45+'D5 Gallon Forecast'!AG48+'D6 Gallon Forecast'!AG41+'D7 Gallon Forecast'!AG45</f>
        <v>2965314438.3284512</v>
      </c>
      <c r="AH237" s="43">
        <f>'D3 Gallon Forecast'!AH33+'D4 Gallon Forecast'!AH45+'D5 Gallon Forecast'!AH48+'D6 Gallon Forecast'!AH41+'D7 Gallon Forecast'!AH45</f>
        <v>3239099445.9021559</v>
      </c>
      <c r="AI237" s="43">
        <f>'D3 Gallon Forecast'!AI33+'D4 Gallon Forecast'!AI45+'D5 Gallon Forecast'!AI48+'D6 Gallon Forecast'!AI41+'D7 Gallon Forecast'!AI45</f>
        <v>3542274400.8032622</v>
      </c>
      <c r="AJ237" s="43">
        <f>'D3 Gallon Forecast'!AJ33+'D4 Gallon Forecast'!AJ45+'D5 Gallon Forecast'!AJ48+'D6 Gallon Forecast'!AJ41+'D7 Gallon Forecast'!AJ45</f>
        <v>3833109727.71175</v>
      </c>
      <c r="AK237" s="43">
        <f>'D3 Gallon Forecast'!AK33+'D4 Gallon Forecast'!AK45+'D5 Gallon Forecast'!AK48+'D6 Gallon Forecast'!AK41+'D7 Gallon Forecast'!AK45</f>
        <v>4138196712.704617</v>
      </c>
      <c r="AL237" s="43">
        <f>'D3 Gallon Forecast'!AL33+'D4 Gallon Forecast'!AL45+'D5 Gallon Forecast'!AL48+'D6 Gallon Forecast'!AL41+'D7 Gallon Forecast'!AL45</f>
        <v>4457704644.8242102</v>
      </c>
      <c r="AM237" s="43">
        <f>'D3 Gallon Forecast'!AM33+'D4 Gallon Forecast'!AM45+'D5 Gallon Forecast'!AM48+'D6 Gallon Forecast'!AM41+'D7 Gallon Forecast'!AM45</f>
        <v>4827895770.4963951</v>
      </c>
      <c r="AN237" s="43">
        <f>'D3 Gallon Forecast'!AN33+'D4 Gallon Forecast'!AN45+'D5 Gallon Forecast'!AN48+'D6 Gallon Forecast'!AN41+'D7 Gallon Forecast'!AN45</f>
        <v>5191031769.4730902</v>
      </c>
      <c r="AO237" s="43">
        <f>'D3 Gallon Forecast'!AO33+'D4 Gallon Forecast'!AO45+'D5 Gallon Forecast'!AO48+'D6 Gallon Forecast'!AO41+'D7 Gallon Forecast'!AO45</f>
        <v>5572268687.1834497</v>
      </c>
      <c r="AP237" s="43">
        <f>'D3 Gallon Forecast'!AP33+'D4 Gallon Forecast'!AP45+'D5 Gallon Forecast'!AP48+'D6 Gallon Forecast'!AP41+'D7 Gallon Forecast'!AP45</f>
        <v>5998898859.0372639</v>
      </c>
      <c r="AQ237" s="43">
        <f>'D3 Gallon Forecast'!AQ33+'D4 Gallon Forecast'!AQ45+'D5 Gallon Forecast'!AQ48+'D6 Gallon Forecast'!AQ41+'D7 Gallon Forecast'!AQ45</f>
        <v>6429326491.8381472</v>
      </c>
      <c r="AR237" s="43"/>
    </row>
    <row r="238" spans="1:45">
      <c r="A238" s="40" t="s">
        <v>76</v>
      </c>
      <c r="B238" s="42">
        <f>'D3 Gallon Forecast'!B34+'D4 Gallon Forecast'!B46+'D5 Gallon Forecast'!B49+'D6 Gallon Forecast'!B42+'D7 Gallon Forecast'!B46</f>
        <v>1155166424</v>
      </c>
      <c r="C238" s="42">
        <f>'D3 Gallon Forecast'!C34+'D4 Gallon Forecast'!C46+'D5 Gallon Forecast'!C49+'D6 Gallon Forecast'!C42+'D7 Gallon Forecast'!C46</f>
        <v>1248479709</v>
      </c>
      <c r="D238" s="42">
        <f>'D3 Gallon Forecast'!D34+'D4 Gallon Forecast'!D46+'D5 Gallon Forecast'!D49+'D6 Gallon Forecast'!D42+'D7 Gallon Forecast'!D46</f>
        <v>1233973410</v>
      </c>
      <c r="E238" s="42">
        <f>'D3 Gallon Forecast'!E34+'D4 Gallon Forecast'!E46+'D5 Gallon Forecast'!E49+'D6 Gallon Forecast'!E42+'D7 Gallon Forecast'!E46</f>
        <v>1380951761</v>
      </c>
      <c r="F238" s="42">
        <f>'D3 Gallon Forecast'!F34+'D4 Gallon Forecast'!F46+'D5 Gallon Forecast'!F49+'D6 Gallon Forecast'!F42+'D7 Gallon Forecast'!F46</f>
        <v>1331357847</v>
      </c>
      <c r="G238" s="42">
        <f>'D3 Gallon Forecast'!G34+'D4 Gallon Forecast'!G46+'D5 Gallon Forecast'!G49+'D6 Gallon Forecast'!G42+'D7 Gallon Forecast'!G46</f>
        <v>1439723558</v>
      </c>
      <c r="H238" s="42">
        <f>'D3 Gallon Forecast'!H34+'D4 Gallon Forecast'!H46+'D5 Gallon Forecast'!H49+'D6 Gallon Forecast'!H42+'D7 Gallon Forecast'!H46</f>
        <v>1517136828</v>
      </c>
      <c r="I238" s="42">
        <f>'D3 Gallon Forecast'!I34+'D4 Gallon Forecast'!I46+'D5 Gallon Forecast'!I49+'D6 Gallon Forecast'!I42+'D7 Gallon Forecast'!I46</f>
        <v>1545824370</v>
      </c>
      <c r="J238" s="42">
        <f>'D3 Gallon Forecast'!J34+'D4 Gallon Forecast'!J46+'D5 Gallon Forecast'!J49+'D6 Gallon Forecast'!J42+'D7 Gallon Forecast'!J46</f>
        <v>1553427757</v>
      </c>
      <c r="K238" s="42">
        <f>'D3 Gallon Forecast'!K34+'D4 Gallon Forecast'!K46+'D5 Gallon Forecast'!K49+'D6 Gallon Forecast'!K42+'D7 Gallon Forecast'!K46</f>
        <v>1583894343</v>
      </c>
      <c r="L238" s="42">
        <f>'D3 Gallon Forecast'!L34+'D4 Gallon Forecast'!L46+'D5 Gallon Forecast'!L49+'D6 Gallon Forecast'!L42+'D7 Gallon Forecast'!L46</f>
        <v>1432161598</v>
      </c>
      <c r="M238" s="42">
        <f>'D3 Gallon Forecast'!M34+'D4 Gallon Forecast'!M46+'D5 Gallon Forecast'!M49+'D6 Gallon Forecast'!M42+'D7 Gallon Forecast'!M46</f>
        <v>1538535651</v>
      </c>
      <c r="N238" s="42">
        <f>'D3 Gallon Forecast'!N34+'D4 Gallon Forecast'!N46+'D5 Gallon Forecast'!N49+'D6 Gallon Forecast'!N42+'D7 Gallon Forecast'!N46</f>
        <v>1620076425</v>
      </c>
      <c r="O238" s="42">
        <f>'D3 Gallon Forecast'!O34+'D4 Gallon Forecast'!O46+'D5 Gallon Forecast'!O49+'D6 Gallon Forecast'!O42+'D7 Gallon Forecast'!O46</f>
        <v>1839992531</v>
      </c>
      <c r="P238" s="42">
        <f>'D3 Gallon Forecast'!P34+'D4 Gallon Forecast'!P46+'D5 Gallon Forecast'!P49+'D6 Gallon Forecast'!P42+'D7 Gallon Forecast'!P46</f>
        <v>1861757397</v>
      </c>
      <c r="Q238" s="43">
        <f>'D3 Gallon Forecast'!Q34+'D4 Gallon Forecast'!Q46+'D5 Gallon Forecast'!Q49+'D6 Gallon Forecast'!Q42+'D7 Gallon Forecast'!Q46</f>
        <v>1747655613.9238024</v>
      </c>
      <c r="R238" s="43">
        <f>'D3 Gallon Forecast'!R34+'D4 Gallon Forecast'!R46+'D5 Gallon Forecast'!R49+'D6 Gallon Forecast'!R42+'D7 Gallon Forecast'!R46</f>
        <v>1815503971.5041571</v>
      </c>
      <c r="S238" s="43">
        <f>'D3 Gallon Forecast'!S34+'D4 Gallon Forecast'!S46+'D5 Gallon Forecast'!S49+'D6 Gallon Forecast'!S42+'D7 Gallon Forecast'!S46</f>
        <v>1970731626.1455882</v>
      </c>
      <c r="T238" s="43">
        <f>'D3 Gallon Forecast'!T34+'D4 Gallon Forecast'!T46+'D5 Gallon Forecast'!T49+'D6 Gallon Forecast'!T42+'D7 Gallon Forecast'!T46</f>
        <v>2023130210.8579628</v>
      </c>
      <c r="U238" s="43">
        <f>'D3 Gallon Forecast'!U34+'D4 Gallon Forecast'!U46+'D5 Gallon Forecast'!U49+'D6 Gallon Forecast'!U42+'D7 Gallon Forecast'!U46</f>
        <v>2109701317.2594552</v>
      </c>
      <c r="V238" s="43">
        <f>'D3 Gallon Forecast'!V34+'D4 Gallon Forecast'!V46+'D5 Gallon Forecast'!V49+'D6 Gallon Forecast'!V42+'D7 Gallon Forecast'!V46</f>
        <v>2243709914.2020192</v>
      </c>
      <c r="W238" s="43">
        <f>'D3 Gallon Forecast'!W34+'D4 Gallon Forecast'!W46+'D5 Gallon Forecast'!W49+'D6 Gallon Forecast'!W42+'D7 Gallon Forecast'!W46</f>
        <v>2347911438.9235044</v>
      </c>
      <c r="X238" s="43">
        <f>'D3 Gallon Forecast'!X34+'D4 Gallon Forecast'!X46+'D5 Gallon Forecast'!X49+'D6 Gallon Forecast'!X42+'D7 Gallon Forecast'!X46</f>
        <v>2538838144.1182246</v>
      </c>
      <c r="Y238" s="43">
        <f>'D3 Gallon Forecast'!Y34+'D4 Gallon Forecast'!Y46+'D5 Gallon Forecast'!Y49+'D6 Gallon Forecast'!Y42+'D7 Gallon Forecast'!Y46</f>
        <v>2588932648.2521915</v>
      </c>
      <c r="Z238" s="43">
        <f>'D3 Gallon Forecast'!Z34+'D4 Gallon Forecast'!Z46+'D5 Gallon Forecast'!Z49+'D6 Gallon Forecast'!Z42+'D7 Gallon Forecast'!Z46</f>
        <v>2659077692.0095682</v>
      </c>
      <c r="AA238" s="43">
        <f>'D3 Gallon Forecast'!AA34+'D4 Gallon Forecast'!AA46+'D5 Gallon Forecast'!AA49+'D6 Gallon Forecast'!AA42+'D7 Gallon Forecast'!AA46</f>
        <v>2745198934.9954596</v>
      </c>
      <c r="AB238" s="43">
        <f>'D3 Gallon Forecast'!AB34+'D4 Gallon Forecast'!AB46+'D5 Gallon Forecast'!AB49+'D6 Gallon Forecast'!AB42+'D7 Gallon Forecast'!AB46</f>
        <v>2663443759.3253675</v>
      </c>
      <c r="AC238" s="43">
        <f>'D3 Gallon Forecast'!AC34+'D4 Gallon Forecast'!AC46+'D5 Gallon Forecast'!AC49+'D6 Gallon Forecast'!AC42+'D7 Gallon Forecast'!AC46</f>
        <v>2797830623.9922304</v>
      </c>
      <c r="AD238" s="43">
        <f>'D3 Gallon Forecast'!AD34+'D4 Gallon Forecast'!AD46+'D5 Gallon Forecast'!AD49+'D6 Gallon Forecast'!AD42+'D7 Gallon Forecast'!AD46</f>
        <v>2968646505.0337815</v>
      </c>
      <c r="AE238" s="43">
        <f>'D3 Gallon Forecast'!AE34+'D4 Gallon Forecast'!AE46+'D5 Gallon Forecast'!AE49+'D6 Gallon Forecast'!AE42+'D7 Gallon Forecast'!AE46</f>
        <v>3026396398.0731692</v>
      </c>
      <c r="AF238" s="43">
        <f>'D3 Gallon Forecast'!AF34+'D4 Gallon Forecast'!AF46+'D5 Gallon Forecast'!AF49+'D6 Gallon Forecast'!AF42+'D7 Gallon Forecast'!AF46</f>
        <v>3017512154.1494985</v>
      </c>
      <c r="AG238" s="43">
        <f>'D3 Gallon Forecast'!AG34+'D4 Gallon Forecast'!AG46+'D5 Gallon Forecast'!AG49+'D6 Gallon Forecast'!AG42+'D7 Gallon Forecast'!AG46</f>
        <v>3159240139.6708775</v>
      </c>
      <c r="AH238" s="43">
        <f>'D3 Gallon Forecast'!AH34+'D4 Gallon Forecast'!AH46+'D5 Gallon Forecast'!AH49+'D6 Gallon Forecast'!AH42+'D7 Gallon Forecast'!AH46</f>
        <v>3465054969.5719299</v>
      </c>
      <c r="AI238" s="43">
        <f>'D3 Gallon Forecast'!AI34+'D4 Gallon Forecast'!AI46+'D5 Gallon Forecast'!AI49+'D6 Gallon Forecast'!AI42+'D7 Gallon Forecast'!AI46</f>
        <v>3809090428.2897978</v>
      </c>
      <c r="AJ238" s="43">
        <f>'D3 Gallon Forecast'!AJ34+'D4 Gallon Forecast'!AJ46+'D5 Gallon Forecast'!AJ49+'D6 Gallon Forecast'!AJ42+'D7 Gallon Forecast'!AJ46</f>
        <v>4146071032.8743649</v>
      </c>
      <c r="AK238" s="43">
        <f>'D3 Gallon Forecast'!AK34+'D4 Gallon Forecast'!AK46+'D5 Gallon Forecast'!AK49+'D6 Gallon Forecast'!AK42+'D7 Gallon Forecast'!AK46</f>
        <v>4503024685.7433662</v>
      </c>
      <c r="AL238" s="43">
        <f>'D3 Gallon Forecast'!AL34+'D4 Gallon Forecast'!AL46+'D5 Gallon Forecast'!AL49+'D6 Gallon Forecast'!AL42+'D7 Gallon Forecast'!AL46</f>
        <v>4878376633.4941454</v>
      </c>
      <c r="AM238" s="43">
        <f>'D3 Gallon Forecast'!AM34+'D4 Gallon Forecast'!AM46+'D5 Gallon Forecast'!AM49+'D6 Gallon Forecast'!AM42+'D7 Gallon Forecast'!AM46</f>
        <v>5317278633.4703636</v>
      </c>
      <c r="AN238" s="43">
        <f>'D3 Gallon Forecast'!AN34+'D4 Gallon Forecast'!AN46+'D5 Gallon Forecast'!AN49+'D6 Gallon Forecast'!AN42+'D7 Gallon Forecast'!AN46</f>
        <v>5758050974.5828485</v>
      </c>
      <c r="AO238" s="43">
        <f>'D3 Gallon Forecast'!AO34+'D4 Gallon Forecast'!AO46+'D5 Gallon Forecast'!AO49+'D6 Gallon Forecast'!AO42+'D7 Gallon Forecast'!AO46</f>
        <v>6226599173.6630297</v>
      </c>
      <c r="AP238" s="43">
        <f>'D3 Gallon Forecast'!AP34+'D4 Gallon Forecast'!AP46+'D5 Gallon Forecast'!AP49+'D6 Gallon Forecast'!AP42+'D7 Gallon Forecast'!AP46</f>
        <v>6749351276.2868023</v>
      </c>
      <c r="AQ238" s="43">
        <f>'D3 Gallon Forecast'!AQ34+'D4 Gallon Forecast'!AQ46+'D5 Gallon Forecast'!AQ49+'D6 Gallon Forecast'!AQ42+'D7 Gallon Forecast'!AQ46</f>
        <v>7286625162.3207035</v>
      </c>
      <c r="AR238" s="43"/>
    </row>
    <row r="239" spans="1:45">
      <c r="A239" s="40" t="s">
        <v>77</v>
      </c>
      <c r="B239" s="42">
        <f>'D3 Gallon Forecast'!B35+'D4 Gallon Forecast'!B47+'D5 Gallon Forecast'!B50+'D6 Gallon Forecast'!B43+'D7 Gallon Forecast'!B47</f>
        <v>1176869089</v>
      </c>
      <c r="C239" s="42">
        <f>'D3 Gallon Forecast'!C35+'D4 Gallon Forecast'!C47+'D5 Gallon Forecast'!C50+'D6 Gallon Forecast'!C43+'D7 Gallon Forecast'!C47</f>
        <v>1281245875</v>
      </c>
      <c r="D239" s="42">
        <f>'D3 Gallon Forecast'!D35+'D4 Gallon Forecast'!D47+'D5 Gallon Forecast'!D50+'D6 Gallon Forecast'!D43+'D7 Gallon Forecast'!D47</f>
        <v>1239094526</v>
      </c>
      <c r="E239" s="42">
        <f>'D3 Gallon Forecast'!E35+'D4 Gallon Forecast'!E47+'D5 Gallon Forecast'!E50+'D6 Gallon Forecast'!E43+'D7 Gallon Forecast'!E47</f>
        <v>1335744161</v>
      </c>
      <c r="F239" s="42">
        <f>'D3 Gallon Forecast'!F35+'D4 Gallon Forecast'!F47+'D5 Gallon Forecast'!F50+'D6 Gallon Forecast'!F43+'D7 Gallon Forecast'!F47</f>
        <v>1310911186</v>
      </c>
      <c r="G239" s="42">
        <f>'D3 Gallon Forecast'!G35+'D4 Gallon Forecast'!G47+'D5 Gallon Forecast'!G50+'D6 Gallon Forecast'!G43+'D7 Gallon Forecast'!G47</f>
        <v>1403111222</v>
      </c>
      <c r="H239" s="42">
        <f>'D3 Gallon Forecast'!H35+'D4 Gallon Forecast'!H47+'D5 Gallon Forecast'!H50+'D6 Gallon Forecast'!H43+'D7 Gallon Forecast'!H47</f>
        <v>1509302823</v>
      </c>
      <c r="I239" s="42">
        <f>'D3 Gallon Forecast'!I35+'D4 Gallon Forecast'!I47+'D5 Gallon Forecast'!I50+'D6 Gallon Forecast'!I43+'D7 Gallon Forecast'!I47</f>
        <v>1534601072</v>
      </c>
      <c r="J239" s="42">
        <f>'D3 Gallon Forecast'!J35+'D4 Gallon Forecast'!J47+'D5 Gallon Forecast'!J50+'D6 Gallon Forecast'!J43+'D7 Gallon Forecast'!J47</f>
        <v>1491206246</v>
      </c>
      <c r="K239" s="42">
        <f>'D3 Gallon Forecast'!K35+'D4 Gallon Forecast'!K47+'D5 Gallon Forecast'!K50+'D6 Gallon Forecast'!K43+'D7 Gallon Forecast'!K47</f>
        <v>1456618642</v>
      </c>
      <c r="L239" s="42">
        <f>'D3 Gallon Forecast'!L35+'D4 Gallon Forecast'!L47+'D5 Gallon Forecast'!L50+'D6 Gallon Forecast'!L43+'D7 Gallon Forecast'!L47</f>
        <v>1468381843</v>
      </c>
      <c r="M239" s="42">
        <f>'D3 Gallon Forecast'!M35+'D4 Gallon Forecast'!M47+'D5 Gallon Forecast'!M50+'D6 Gallon Forecast'!M43+'D7 Gallon Forecast'!M47</f>
        <v>1602868608</v>
      </c>
      <c r="N239" s="42">
        <f>'D3 Gallon Forecast'!N35+'D4 Gallon Forecast'!N47+'D5 Gallon Forecast'!N50+'D6 Gallon Forecast'!N43+'D7 Gallon Forecast'!N47</f>
        <v>1712754821</v>
      </c>
      <c r="O239" s="42">
        <f>'D3 Gallon Forecast'!O35+'D4 Gallon Forecast'!O47+'D5 Gallon Forecast'!O50+'D6 Gallon Forecast'!O43+'D7 Gallon Forecast'!O47</f>
        <v>1742322478</v>
      </c>
      <c r="P239" s="42">
        <f>'D3 Gallon Forecast'!P35+'D4 Gallon Forecast'!P47+'D5 Gallon Forecast'!P50+'D6 Gallon Forecast'!P43+'D7 Gallon Forecast'!P47</f>
        <v>1756868773</v>
      </c>
      <c r="Q239" s="43">
        <f>'D3 Gallon Forecast'!Q35+'D4 Gallon Forecast'!Q47+'D5 Gallon Forecast'!Q50+'D6 Gallon Forecast'!Q43+'D7 Gallon Forecast'!Q47</f>
        <v>1752584139.6156082</v>
      </c>
      <c r="R239" s="43">
        <f>'D3 Gallon Forecast'!R35+'D4 Gallon Forecast'!R47+'D5 Gallon Forecast'!R50+'D6 Gallon Forecast'!R43+'D7 Gallon Forecast'!R47</f>
        <v>1838309395.4873877</v>
      </c>
      <c r="S239" s="43">
        <f>'D3 Gallon Forecast'!S35+'D4 Gallon Forecast'!S47+'D5 Gallon Forecast'!S50+'D6 Gallon Forecast'!S43+'D7 Gallon Forecast'!S47</f>
        <v>1972410944.3547049</v>
      </c>
      <c r="T239" s="43">
        <f>'D3 Gallon Forecast'!T35+'D4 Gallon Forecast'!T47+'D5 Gallon Forecast'!T50+'D6 Gallon Forecast'!T43+'D7 Gallon Forecast'!T47</f>
        <v>2004066114.8164291</v>
      </c>
      <c r="U239" s="43">
        <f>'D3 Gallon Forecast'!U35+'D4 Gallon Forecast'!U47+'D5 Gallon Forecast'!U50+'D6 Gallon Forecast'!U43+'D7 Gallon Forecast'!U47</f>
        <v>2086776706.1415935</v>
      </c>
      <c r="V239" s="43">
        <f>'D3 Gallon Forecast'!V35+'D4 Gallon Forecast'!V47+'D5 Gallon Forecast'!V50+'D6 Gallon Forecast'!V43+'D7 Gallon Forecast'!V47</f>
        <v>2220699226.896019</v>
      </c>
      <c r="W239" s="43">
        <f>'D3 Gallon Forecast'!W35+'D4 Gallon Forecast'!W47+'D5 Gallon Forecast'!W50+'D6 Gallon Forecast'!W43+'D7 Gallon Forecast'!W47</f>
        <v>2315543218.9888201</v>
      </c>
      <c r="X239" s="43">
        <f>'D3 Gallon Forecast'!X35+'D4 Gallon Forecast'!X47+'D5 Gallon Forecast'!X50+'D6 Gallon Forecast'!X43+'D7 Gallon Forecast'!X47</f>
        <v>2498166154.3139548</v>
      </c>
      <c r="Y239" s="43">
        <f>'D3 Gallon Forecast'!Y35+'D4 Gallon Forecast'!Y47+'D5 Gallon Forecast'!Y50+'D6 Gallon Forecast'!Y43+'D7 Gallon Forecast'!Y47</f>
        <v>2540184873.6887703</v>
      </c>
      <c r="Z239" s="43">
        <f>'D3 Gallon Forecast'!Z35+'D4 Gallon Forecast'!Z47+'D5 Gallon Forecast'!Z50+'D6 Gallon Forecast'!Z43+'D7 Gallon Forecast'!Z47</f>
        <v>2598926147.557889</v>
      </c>
      <c r="AA239" s="43">
        <f>'D3 Gallon Forecast'!AA35+'D4 Gallon Forecast'!AA47+'D5 Gallon Forecast'!AA50+'D6 Gallon Forecast'!AA43+'D7 Gallon Forecast'!AA47</f>
        <v>2681598792.6491156</v>
      </c>
      <c r="AB239" s="43">
        <f>'D3 Gallon Forecast'!AB35+'D4 Gallon Forecast'!AB47+'D5 Gallon Forecast'!AB50+'D6 Gallon Forecast'!AB43+'D7 Gallon Forecast'!AB47</f>
        <v>2620802133.1356068</v>
      </c>
      <c r="AC239" s="43">
        <f>'D3 Gallon Forecast'!AC35+'D4 Gallon Forecast'!AC47+'D5 Gallon Forecast'!AC50+'D6 Gallon Forecast'!AC43+'D7 Gallon Forecast'!AC47</f>
        <v>2753227155.366333</v>
      </c>
      <c r="AD239" s="43">
        <f>'D3 Gallon Forecast'!AD35+'D4 Gallon Forecast'!AD47+'D5 Gallon Forecast'!AD50+'D6 Gallon Forecast'!AD43+'D7 Gallon Forecast'!AD47</f>
        <v>2915194832.6107845</v>
      </c>
      <c r="AE239" s="43">
        <f>'D3 Gallon Forecast'!AE35+'D4 Gallon Forecast'!AE47+'D5 Gallon Forecast'!AE50+'D6 Gallon Forecast'!AE43+'D7 Gallon Forecast'!AE47</f>
        <v>2961063459.3919029</v>
      </c>
      <c r="AF239" s="43">
        <f>'D3 Gallon Forecast'!AF35+'D4 Gallon Forecast'!AF47+'D5 Gallon Forecast'!AF50+'D6 Gallon Forecast'!AF43+'D7 Gallon Forecast'!AF47</f>
        <v>2924324848.5784574</v>
      </c>
      <c r="AG239" s="43">
        <f>'D3 Gallon Forecast'!AG35+'D4 Gallon Forecast'!AG47+'D5 Gallon Forecast'!AG50+'D6 Gallon Forecast'!AG43+'D7 Gallon Forecast'!AG47</f>
        <v>3049028057.434329</v>
      </c>
      <c r="AH239" s="43">
        <f>'D3 Gallon Forecast'!AH35+'D4 Gallon Forecast'!AH47+'D5 Gallon Forecast'!AH50+'D6 Gallon Forecast'!AH43+'D7 Gallon Forecast'!AH47</f>
        <v>3306718251.3019714</v>
      </c>
      <c r="AI239" s="43">
        <f>'D3 Gallon Forecast'!AI35+'D4 Gallon Forecast'!AI47+'D5 Gallon Forecast'!AI50+'D6 Gallon Forecast'!AI43+'D7 Gallon Forecast'!AI47</f>
        <v>3592572434.8327379</v>
      </c>
      <c r="AJ239" s="43">
        <f>'D3 Gallon Forecast'!AJ35+'D4 Gallon Forecast'!AJ47+'D5 Gallon Forecast'!AJ50+'D6 Gallon Forecast'!AJ43+'D7 Gallon Forecast'!AJ47</f>
        <v>3853307427.9165049</v>
      </c>
      <c r="AK239" s="43">
        <f>'D3 Gallon Forecast'!AK35+'D4 Gallon Forecast'!AK47+'D5 Gallon Forecast'!AK50+'D6 Gallon Forecast'!AK43+'D7 Gallon Forecast'!AK47</f>
        <v>4117400240.6892457</v>
      </c>
      <c r="AL239" s="43">
        <f>'D3 Gallon Forecast'!AL35+'D4 Gallon Forecast'!AL47+'D5 Gallon Forecast'!AL50+'D6 Gallon Forecast'!AL43+'D7 Gallon Forecast'!AL47</f>
        <v>4380041148.1157494</v>
      </c>
      <c r="AM239" s="43">
        <f>'D3 Gallon Forecast'!AM35+'D4 Gallon Forecast'!AM47+'D5 Gallon Forecast'!AM50+'D6 Gallon Forecast'!AM43+'D7 Gallon Forecast'!AM47</f>
        <v>4704760015.0257139</v>
      </c>
      <c r="AN239" s="43">
        <f>'D3 Gallon Forecast'!AN35+'D4 Gallon Forecast'!AN47+'D5 Gallon Forecast'!AN50+'D6 Gallon Forecast'!AN43+'D7 Gallon Forecast'!AN47</f>
        <v>5017641443.2320747</v>
      </c>
      <c r="AO239" s="43">
        <f>'D3 Gallon Forecast'!AO35+'D4 Gallon Forecast'!AO47+'D5 Gallon Forecast'!AO50+'D6 Gallon Forecast'!AO43+'D7 Gallon Forecast'!AO47</f>
        <v>5342015195.5974369</v>
      </c>
      <c r="AP239" s="43">
        <f>'D3 Gallon Forecast'!AP35+'D4 Gallon Forecast'!AP47+'D5 Gallon Forecast'!AP50+'D6 Gallon Forecast'!AP43+'D7 Gallon Forecast'!AP47</f>
        <v>5701609527.974885</v>
      </c>
      <c r="AQ239" s="43">
        <f>'D3 Gallon Forecast'!AQ35+'D4 Gallon Forecast'!AQ47+'D5 Gallon Forecast'!AQ50+'D6 Gallon Forecast'!AQ43+'D7 Gallon Forecast'!AQ47</f>
        <v>6044474297.1174679</v>
      </c>
      <c r="AR239" s="43"/>
    </row>
    <row r="240" spans="1:45">
      <c r="A240" s="40" t="s">
        <v>78</v>
      </c>
      <c r="B240" s="42">
        <f>'D3 Gallon Forecast'!B36+'D4 Gallon Forecast'!B48+'D5 Gallon Forecast'!B51+'D6 Gallon Forecast'!B44+'D7 Gallon Forecast'!B48</f>
        <v>1238952860</v>
      </c>
      <c r="C240" s="42">
        <f>'D3 Gallon Forecast'!C36+'D4 Gallon Forecast'!C48+'D5 Gallon Forecast'!C51+'D6 Gallon Forecast'!C44+'D7 Gallon Forecast'!C48</f>
        <v>1404632889</v>
      </c>
      <c r="D240" s="42">
        <f>'D3 Gallon Forecast'!D36+'D4 Gallon Forecast'!D48+'D5 Gallon Forecast'!D51+'D6 Gallon Forecast'!D44+'D7 Gallon Forecast'!D48</f>
        <v>1208374924</v>
      </c>
      <c r="E240" s="42">
        <f>'D3 Gallon Forecast'!E36+'D4 Gallon Forecast'!E48+'D5 Gallon Forecast'!E51+'D6 Gallon Forecast'!E44+'D7 Gallon Forecast'!E48</f>
        <v>1465251770</v>
      </c>
      <c r="F240" s="42">
        <f>'D3 Gallon Forecast'!F36+'D4 Gallon Forecast'!F48+'D5 Gallon Forecast'!F51+'D6 Gallon Forecast'!F44+'D7 Gallon Forecast'!F48</f>
        <v>1530399990</v>
      </c>
      <c r="G240" s="42">
        <f>'D3 Gallon Forecast'!G36+'D4 Gallon Forecast'!G48+'D5 Gallon Forecast'!G51+'D6 Gallon Forecast'!G44+'D7 Gallon Forecast'!G48</f>
        <v>1527130293</v>
      </c>
      <c r="H240" s="42">
        <f>'D3 Gallon Forecast'!H36+'D4 Gallon Forecast'!H48+'D5 Gallon Forecast'!H51+'D6 Gallon Forecast'!H44+'D7 Gallon Forecast'!H48</f>
        <v>1677287752</v>
      </c>
      <c r="I240" s="42">
        <f>'D3 Gallon Forecast'!I36+'D4 Gallon Forecast'!I48+'D5 Gallon Forecast'!I51+'D6 Gallon Forecast'!I44+'D7 Gallon Forecast'!I48</f>
        <v>1564149136</v>
      </c>
      <c r="J240" s="42">
        <f>'D3 Gallon Forecast'!J36+'D4 Gallon Forecast'!J48+'D5 Gallon Forecast'!J51+'D6 Gallon Forecast'!J44+'D7 Gallon Forecast'!J48</f>
        <v>1617034367</v>
      </c>
      <c r="K240" s="42">
        <f>'D3 Gallon Forecast'!K36+'D4 Gallon Forecast'!K48+'D5 Gallon Forecast'!K51+'D6 Gallon Forecast'!K44+'D7 Gallon Forecast'!K48</f>
        <v>1644621367</v>
      </c>
      <c r="L240" s="42">
        <f>'D3 Gallon Forecast'!L36+'D4 Gallon Forecast'!L48+'D5 Gallon Forecast'!L51+'D6 Gallon Forecast'!L44+'D7 Gallon Forecast'!L48</f>
        <v>1564697829</v>
      </c>
      <c r="M240" s="42">
        <f>'D3 Gallon Forecast'!M36+'D4 Gallon Forecast'!M48+'D5 Gallon Forecast'!M51+'D6 Gallon Forecast'!M44+'D7 Gallon Forecast'!M48</f>
        <v>1786998578</v>
      </c>
      <c r="N240" s="42">
        <f>'D3 Gallon Forecast'!N36+'D4 Gallon Forecast'!N48+'D5 Gallon Forecast'!N51+'D6 Gallon Forecast'!N44+'D7 Gallon Forecast'!N48</f>
        <v>1721241555</v>
      </c>
      <c r="O240" s="42">
        <f>'D3 Gallon Forecast'!O36+'D4 Gallon Forecast'!O48+'D5 Gallon Forecast'!O51+'D6 Gallon Forecast'!O44+'D7 Gallon Forecast'!O48</f>
        <v>1925640880</v>
      </c>
      <c r="P240" s="42">
        <f>'D3 Gallon Forecast'!P36+'D4 Gallon Forecast'!P48+'D5 Gallon Forecast'!P51+'D6 Gallon Forecast'!P44+'D7 Gallon Forecast'!P48</f>
        <v>1957320742</v>
      </c>
      <c r="Q240" s="43">
        <f>'D3 Gallon Forecast'!Q36+'D4 Gallon Forecast'!Q48+'D5 Gallon Forecast'!Q51+'D6 Gallon Forecast'!Q44+'D7 Gallon Forecast'!Q48</f>
        <v>2121776040.7335126</v>
      </c>
      <c r="R240" s="43">
        <f>'D3 Gallon Forecast'!R36+'D4 Gallon Forecast'!R48+'D5 Gallon Forecast'!R51+'D6 Gallon Forecast'!R44+'D7 Gallon Forecast'!R48</f>
        <v>1953343892.3132162</v>
      </c>
      <c r="S240" s="43">
        <f>'D3 Gallon Forecast'!S36+'D4 Gallon Forecast'!S48+'D5 Gallon Forecast'!S51+'D6 Gallon Forecast'!S44+'D7 Gallon Forecast'!S48</f>
        <v>2128170489.2648392</v>
      </c>
      <c r="T240" s="43">
        <f>'D3 Gallon Forecast'!T36+'D4 Gallon Forecast'!T48+'D5 Gallon Forecast'!T51+'D6 Gallon Forecast'!T44+'D7 Gallon Forecast'!T48</f>
        <v>2199411541.5448747</v>
      </c>
      <c r="U240" s="43">
        <f>'D3 Gallon Forecast'!U36+'D4 Gallon Forecast'!U48+'D5 Gallon Forecast'!U51+'D6 Gallon Forecast'!U44+'D7 Gallon Forecast'!U48</f>
        <v>2239877193.0953374</v>
      </c>
      <c r="V240" s="43">
        <f>'D3 Gallon Forecast'!V36+'D4 Gallon Forecast'!V48+'D5 Gallon Forecast'!V51+'D6 Gallon Forecast'!V44+'D7 Gallon Forecast'!V48</f>
        <v>2389799695.3666773</v>
      </c>
      <c r="W240" s="43">
        <f>'D3 Gallon Forecast'!W36+'D4 Gallon Forecast'!W48+'D5 Gallon Forecast'!W51+'D6 Gallon Forecast'!W44+'D7 Gallon Forecast'!W48</f>
        <v>2468221612.7835011</v>
      </c>
      <c r="X240" s="43">
        <f>'D3 Gallon Forecast'!X36+'D4 Gallon Forecast'!X48+'D5 Gallon Forecast'!X51+'D6 Gallon Forecast'!X44+'D7 Gallon Forecast'!X48</f>
        <v>2237293025.9121861</v>
      </c>
      <c r="Y240" s="43">
        <f>'D3 Gallon Forecast'!Y36+'D4 Gallon Forecast'!Y48+'D5 Gallon Forecast'!Y51+'D6 Gallon Forecast'!Y44+'D7 Gallon Forecast'!Y48</f>
        <v>2089284719.1152282</v>
      </c>
      <c r="Z240" s="43">
        <f>'D3 Gallon Forecast'!Z36+'D4 Gallon Forecast'!Z48+'D5 Gallon Forecast'!Z51+'D6 Gallon Forecast'!Z44+'D7 Gallon Forecast'!Z48</f>
        <v>1765163476.3370519</v>
      </c>
      <c r="AA240" s="43">
        <f>'D3 Gallon Forecast'!AA36+'D4 Gallon Forecast'!AA48+'D5 Gallon Forecast'!AA51+'D6 Gallon Forecast'!AA44+'D7 Gallon Forecast'!AA48</f>
        <v>2014787784.9050698</v>
      </c>
      <c r="AB240" s="43">
        <f>'D3 Gallon Forecast'!AB36+'D4 Gallon Forecast'!AB48+'D5 Gallon Forecast'!AB51+'D6 Gallon Forecast'!AB44+'D7 Gallon Forecast'!AB48</f>
        <v>3045317163.5793233</v>
      </c>
      <c r="AC240" s="43">
        <f>'D3 Gallon Forecast'!AC36+'D4 Gallon Forecast'!AC48+'D5 Gallon Forecast'!AC51+'D6 Gallon Forecast'!AC44+'D7 Gallon Forecast'!AC48</f>
        <v>3251422690.144083</v>
      </c>
      <c r="AD240" s="43">
        <f>'D3 Gallon Forecast'!AD36+'D4 Gallon Forecast'!AD48+'D5 Gallon Forecast'!AD51+'D6 Gallon Forecast'!AD44+'D7 Gallon Forecast'!AD48</f>
        <v>3648070146.954267</v>
      </c>
      <c r="AE240" s="43">
        <f>'D3 Gallon Forecast'!AE36+'D4 Gallon Forecast'!AE48+'D5 Gallon Forecast'!AE51+'D6 Gallon Forecast'!AE44+'D7 Gallon Forecast'!AE48</f>
        <v>3774060460.3488669</v>
      </c>
      <c r="AF240" s="43">
        <f>'D3 Gallon Forecast'!AF36+'D4 Gallon Forecast'!AF48+'D5 Gallon Forecast'!AF51+'D6 Gallon Forecast'!AF44+'D7 Gallon Forecast'!AF48</f>
        <v>3532326023.7937231</v>
      </c>
      <c r="AG240" s="43">
        <f>'D3 Gallon Forecast'!AG36+'D4 Gallon Forecast'!AG48+'D5 Gallon Forecast'!AG51+'D6 Gallon Forecast'!AG44+'D7 Gallon Forecast'!AG48</f>
        <v>3617542684.9167624</v>
      </c>
      <c r="AH240" s="43">
        <f>'D3 Gallon Forecast'!AH36+'D4 Gallon Forecast'!AH48+'D5 Gallon Forecast'!AH51+'D6 Gallon Forecast'!AH44+'D7 Gallon Forecast'!AH48</f>
        <v>4175743970.9552374</v>
      </c>
      <c r="AI240" s="43">
        <f>'D3 Gallon Forecast'!AI36+'D4 Gallon Forecast'!AI48+'D5 Gallon Forecast'!AI51+'D6 Gallon Forecast'!AI44+'D7 Gallon Forecast'!AI48</f>
        <v>4350576254.9181547</v>
      </c>
      <c r="AJ240" s="43">
        <f>'D3 Gallon Forecast'!AJ36+'D4 Gallon Forecast'!AJ48+'D5 Gallon Forecast'!AJ51+'D6 Gallon Forecast'!AJ44+'D7 Gallon Forecast'!AJ48</f>
        <v>5127740324.0943689</v>
      </c>
      <c r="AK240" s="43">
        <f>'D3 Gallon Forecast'!AK36+'D4 Gallon Forecast'!AK48+'D5 Gallon Forecast'!AK51+'D6 Gallon Forecast'!AK44+'D7 Gallon Forecast'!AK48</f>
        <v>6100079005.2415905</v>
      </c>
      <c r="AL240" s="43">
        <f>'D3 Gallon Forecast'!AL36+'D4 Gallon Forecast'!AL48+'D5 Gallon Forecast'!AL51+'D6 Gallon Forecast'!AL44+'D7 Gallon Forecast'!AL48</f>
        <v>6829145503.5576229</v>
      </c>
      <c r="AM240" s="43">
        <f>'D3 Gallon Forecast'!AM36+'D4 Gallon Forecast'!AM48+'D5 Gallon Forecast'!AM51+'D6 Gallon Forecast'!AM44+'D7 Gallon Forecast'!AM48</f>
        <v>7751463379.8951683</v>
      </c>
      <c r="AN240" s="43">
        <f>'D3 Gallon Forecast'!AN36+'D4 Gallon Forecast'!AN48+'D5 Gallon Forecast'!AN51+'D6 Gallon Forecast'!AN44+'D7 Gallon Forecast'!AN48</f>
        <v>7945201309.1943398</v>
      </c>
      <c r="AO240" s="43">
        <f>'D3 Gallon Forecast'!AO36+'D4 Gallon Forecast'!AO48+'D5 Gallon Forecast'!AO51+'D6 Gallon Forecast'!AO44+'D7 Gallon Forecast'!AO48</f>
        <v>8024324800.8732471</v>
      </c>
      <c r="AP240" s="43">
        <f>'D3 Gallon Forecast'!AP36+'D4 Gallon Forecast'!AP48+'D5 Gallon Forecast'!AP51+'D6 Gallon Forecast'!AP44+'D7 Gallon Forecast'!AP48</f>
        <v>7756469884.130127</v>
      </c>
      <c r="AQ240" s="43">
        <f>'D3 Gallon Forecast'!AQ36+'D4 Gallon Forecast'!AQ48+'D5 Gallon Forecast'!AQ51+'D6 Gallon Forecast'!AQ44+'D7 Gallon Forecast'!AQ48</f>
        <v>1838740462.8083696</v>
      </c>
      <c r="AR240" s="43"/>
    </row>
    <row r="241" spans="1:44" ht="12" thickBot="1">
      <c r="A241" s="48" t="s">
        <v>29</v>
      </c>
      <c r="B241" s="49">
        <f t="shared" ref="B241:G241" si="99">SUM(B229:B240)</f>
        <v>7024464213</v>
      </c>
      <c r="C241" s="49">
        <f t="shared" si="99"/>
        <v>14951683755</v>
      </c>
      <c r="D241" s="49">
        <f t="shared" si="99"/>
        <v>14753060919</v>
      </c>
      <c r="E241" s="49">
        <f t="shared" si="99"/>
        <v>15573578281</v>
      </c>
      <c r="F241" s="49">
        <f t="shared" si="99"/>
        <v>16154681226</v>
      </c>
      <c r="G241" s="49">
        <f t="shared" si="99"/>
        <v>16768753347</v>
      </c>
      <c r="H241" s="49">
        <f t="shared" ref="H241:O241" si="100">SUM(H229:H240)</f>
        <v>17896868903</v>
      </c>
      <c r="I241" s="49">
        <f t="shared" si="100"/>
        <v>17893096993</v>
      </c>
      <c r="J241" s="49">
        <f t="shared" si="100"/>
        <v>18054059667</v>
      </c>
      <c r="K241" s="49">
        <f t="shared" si="100"/>
        <v>18205518587</v>
      </c>
      <c r="L241" s="49">
        <f t="shared" si="100"/>
        <v>16608012903</v>
      </c>
      <c r="M241" s="49">
        <f t="shared" si="100"/>
        <v>18042603890</v>
      </c>
      <c r="N241" s="49">
        <f t="shared" si="100"/>
        <v>19051010265</v>
      </c>
      <c r="O241" s="49">
        <f t="shared" si="100"/>
        <v>20708751567</v>
      </c>
      <c r="P241" s="49">
        <f>SUM(P229:P240)</f>
        <v>21638718419</v>
      </c>
      <c r="Q241" s="50">
        <f>SUM(Q229:Q240)</f>
        <v>20266353094.054512</v>
      </c>
      <c r="R241" s="50">
        <f t="shared" ref="R241:AQ241" si="101">SUM(R229:R240)</f>
        <v>20725782572.387234</v>
      </c>
      <c r="S241" s="50">
        <f t="shared" si="101"/>
        <v>22026723291.837395</v>
      </c>
      <c r="T241" s="50">
        <f t="shared" si="101"/>
        <v>22418089367.326294</v>
      </c>
      <c r="U241" s="50">
        <f t="shared" si="101"/>
        <v>23337771322.74268</v>
      </c>
      <c r="V241" s="50">
        <f t="shared" si="101"/>
        <v>24549248118.004025</v>
      </c>
      <c r="W241" s="50">
        <f t="shared" si="101"/>
        <v>25532631199.677956</v>
      </c>
      <c r="X241" s="50">
        <f t="shared" si="101"/>
        <v>27371222692.852657</v>
      </c>
      <c r="Y241" s="50">
        <f t="shared" si="101"/>
        <v>27772136810.685947</v>
      </c>
      <c r="Z241" s="50">
        <f t="shared" si="101"/>
        <v>28345593380.311935</v>
      </c>
      <c r="AA241" s="50">
        <f t="shared" si="101"/>
        <v>29090914730.28281</v>
      </c>
      <c r="AB241" s="50">
        <f t="shared" si="101"/>
        <v>28256848556.902321</v>
      </c>
      <c r="AC241" s="50">
        <f t="shared" si="101"/>
        <v>29428919707.975204</v>
      </c>
      <c r="AD241" s="50">
        <f t="shared" si="101"/>
        <v>30930120310.178555</v>
      </c>
      <c r="AE241" s="50">
        <f t="shared" si="101"/>
        <v>31246054751.172005</v>
      </c>
      <c r="AF241" s="50">
        <f t="shared" si="101"/>
        <v>30755577293.330441</v>
      </c>
      <c r="AG241" s="50">
        <f t="shared" si="101"/>
        <v>31848635744.748249</v>
      </c>
      <c r="AH241" s="50">
        <f t="shared" si="101"/>
        <v>33901833625.38063</v>
      </c>
      <c r="AI241" s="50">
        <f t="shared" si="101"/>
        <v>36112362717.781105</v>
      </c>
      <c r="AJ241" s="50">
        <f t="shared" si="101"/>
        <v>38012114954.356476</v>
      </c>
      <c r="AK241" s="50">
        <f t="shared" si="101"/>
        <v>39879368362.829895</v>
      </c>
      <c r="AL241" s="50">
        <f t="shared" si="101"/>
        <v>41688020244.0672</v>
      </c>
      <c r="AM241" s="50">
        <f t="shared" si="101"/>
        <v>43989858206.417572</v>
      </c>
      <c r="AN241" s="50">
        <f t="shared" si="101"/>
        <v>46110373960.690186</v>
      </c>
      <c r="AO241" s="50">
        <f t="shared" si="101"/>
        <v>48253287225.364807</v>
      </c>
      <c r="AP241" s="50">
        <f t="shared" si="101"/>
        <v>50655189978.242294</v>
      </c>
      <c r="AQ241" s="50">
        <f t="shared" si="101"/>
        <v>52884504998.311897</v>
      </c>
      <c r="AR241" s="43"/>
    </row>
    <row r="242" spans="1:44">
      <c r="A242" s="51"/>
      <c r="B242" s="51"/>
      <c r="C242" s="51"/>
      <c r="D242" s="51"/>
      <c r="E242" s="51"/>
      <c r="F242" s="51"/>
      <c r="G242" s="51"/>
      <c r="H242" s="51"/>
      <c r="I242" s="51"/>
      <c r="J242" s="51"/>
      <c r="K242" s="51"/>
      <c r="L242" s="51"/>
      <c r="M242" s="52"/>
      <c r="N242" s="53"/>
      <c r="O242" s="54"/>
      <c r="P242" s="54"/>
      <c r="Q242" s="53"/>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row>
    <row r="243" spans="1:44" ht="12" thickBot="1">
      <c r="A243" s="39" t="s">
        <v>155</v>
      </c>
    </row>
    <row r="244" spans="1:44" ht="12" thickBot="1">
      <c r="A244" s="41"/>
      <c r="B244" s="41">
        <f t="shared" ref="B244:G245" si="102">B228</f>
        <v>2010</v>
      </c>
      <c r="C244" s="41">
        <f t="shared" si="102"/>
        <v>2011</v>
      </c>
      <c r="D244" s="41">
        <f t="shared" si="102"/>
        <v>2012</v>
      </c>
      <c r="E244" s="41">
        <f t="shared" si="102"/>
        <v>2013</v>
      </c>
      <c r="F244" s="41">
        <f t="shared" si="102"/>
        <v>2014</v>
      </c>
      <c r="G244" s="41">
        <f t="shared" si="102"/>
        <v>2015</v>
      </c>
      <c r="H244" s="41">
        <f>H228</f>
        <v>2016</v>
      </c>
      <c r="I244" s="41">
        <f t="shared" ref="I244:AQ245" si="103">I228</f>
        <v>2017</v>
      </c>
      <c r="J244" s="41">
        <f t="shared" si="103"/>
        <v>2018</v>
      </c>
      <c r="K244" s="41">
        <f t="shared" si="103"/>
        <v>2019</v>
      </c>
      <c r="L244" s="41">
        <f t="shared" si="103"/>
        <v>2020</v>
      </c>
      <c r="M244" s="41">
        <f t="shared" si="103"/>
        <v>2021</v>
      </c>
      <c r="N244" s="41">
        <f t="shared" si="103"/>
        <v>2022</v>
      </c>
      <c r="O244" s="41">
        <f t="shared" si="103"/>
        <v>2023</v>
      </c>
      <c r="P244" s="41">
        <f t="shared" si="103"/>
        <v>2024</v>
      </c>
      <c r="Q244" s="41">
        <f t="shared" si="103"/>
        <v>2025</v>
      </c>
      <c r="R244" s="41">
        <f t="shared" si="103"/>
        <v>2026</v>
      </c>
      <c r="S244" s="41">
        <f t="shared" si="103"/>
        <v>2027</v>
      </c>
      <c r="T244" s="41">
        <f t="shared" si="103"/>
        <v>2028</v>
      </c>
      <c r="U244" s="41">
        <f t="shared" si="103"/>
        <v>2029</v>
      </c>
      <c r="V244" s="41">
        <f t="shared" si="103"/>
        <v>2030</v>
      </c>
      <c r="W244" s="41">
        <f t="shared" si="103"/>
        <v>2031</v>
      </c>
      <c r="X244" s="41">
        <f t="shared" si="103"/>
        <v>2032</v>
      </c>
      <c r="Y244" s="41">
        <f t="shared" si="103"/>
        <v>2033</v>
      </c>
      <c r="Z244" s="41">
        <f t="shared" si="103"/>
        <v>2034</v>
      </c>
      <c r="AA244" s="41">
        <f t="shared" si="103"/>
        <v>2035</v>
      </c>
      <c r="AB244" s="41">
        <f t="shared" si="103"/>
        <v>2036</v>
      </c>
      <c r="AC244" s="41">
        <f t="shared" si="103"/>
        <v>2037</v>
      </c>
      <c r="AD244" s="41">
        <f t="shared" si="103"/>
        <v>2038</v>
      </c>
      <c r="AE244" s="41">
        <f t="shared" si="103"/>
        <v>2039</v>
      </c>
      <c r="AF244" s="41">
        <f t="shared" si="103"/>
        <v>2040</v>
      </c>
      <c r="AG244" s="41">
        <f t="shared" si="103"/>
        <v>2041</v>
      </c>
      <c r="AH244" s="41">
        <f t="shared" si="103"/>
        <v>2042</v>
      </c>
      <c r="AI244" s="41">
        <f t="shared" si="103"/>
        <v>2043</v>
      </c>
      <c r="AJ244" s="41">
        <f t="shared" si="103"/>
        <v>2044</v>
      </c>
      <c r="AK244" s="41">
        <f t="shared" si="103"/>
        <v>2045</v>
      </c>
      <c r="AL244" s="41">
        <f t="shared" si="103"/>
        <v>2046</v>
      </c>
      <c r="AM244" s="41">
        <f t="shared" si="103"/>
        <v>2047</v>
      </c>
      <c r="AN244" s="41">
        <f t="shared" si="103"/>
        <v>2048</v>
      </c>
      <c r="AO244" s="41">
        <f t="shared" si="103"/>
        <v>2049</v>
      </c>
      <c r="AP244" s="41">
        <f t="shared" si="103"/>
        <v>2050</v>
      </c>
      <c r="AQ244" s="41">
        <f t="shared" si="103"/>
        <v>2051</v>
      </c>
    </row>
    <row r="245" spans="1:44">
      <c r="A245" s="40" t="s">
        <v>68</v>
      </c>
      <c r="B245" s="42">
        <f t="shared" si="102"/>
        <v>631590</v>
      </c>
      <c r="C245" s="42">
        <f t="shared" si="102"/>
        <v>1202662854</v>
      </c>
      <c r="D245" s="42">
        <f t="shared" si="102"/>
        <v>1250310740</v>
      </c>
      <c r="E245" s="42">
        <f t="shared" si="102"/>
        <v>1160662286</v>
      </c>
      <c r="F245" s="42">
        <f t="shared" si="102"/>
        <v>1260458304</v>
      </c>
      <c r="G245" s="42">
        <f t="shared" si="102"/>
        <v>1313422510</v>
      </c>
      <c r="H245" s="42">
        <f>H229</f>
        <v>1365987087</v>
      </c>
      <c r="I245" s="42">
        <f t="shared" si="103"/>
        <v>1380177931</v>
      </c>
      <c r="J245" s="42">
        <f t="shared" si="103"/>
        <v>1428501480</v>
      </c>
      <c r="K245" s="42">
        <f t="shared" si="103"/>
        <v>1379650585</v>
      </c>
      <c r="L245" s="42">
        <f t="shared" si="103"/>
        <v>1455545077</v>
      </c>
      <c r="M245" s="42">
        <f t="shared" si="103"/>
        <v>1285410637</v>
      </c>
      <c r="N245" s="42">
        <f t="shared" si="103"/>
        <v>1444083832</v>
      </c>
      <c r="O245" s="42">
        <f t="shared" si="103"/>
        <v>1550436766</v>
      </c>
      <c r="P245" s="42">
        <f t="shared" si="103"/>
        <v>1644988041</v>
      </c>
      <c r="Q245" s="42">
        <f t="shared" si="103"/>
        <v>1566792899</v>
      </c>
      <c r="R245" s="43">
        <f t="shared" si="103"/>
        <v>1551810287.9906974</v>
      </c>
      <c r="S245" s="43">
        <f t="shared" si="103"/>
        <v>1612795426.8041661</v>
      </c>
      <c r="T245" s="43">
        <f t="shared" si="103"/>
        <v>1625631597.9485021</v>
      </c>
      <c r="U245" s="43">
        <f t="shared" si="103"/>
        <v>1690152767.7230263</v>
      </c>
      <c r="V245" s="43">
        <f t="shared" si="103"/>
        <v>1748889071.7964492</v>
      </c>
      <c r="W245" s="43">
        <f t="shared" si="103"/>
        <v>1803571206.5435948</v>
      </c>
      <c r="X245" s="43">
        <f t="shared" si="103"/>
        <v>1997555667.0813949</v>
      </c>
      <c r="Y245" s="43">
        <f t="shared" si="103"/>
        <v>2070334021.0904217</v>
      </c>
      <c r="Z245" s="43">
        <f t="shared" si="103"/>
        <v>2169326330.8118134</v>
      </c>
      <c r="AA245" s="43">
        <f t="shared" si="103"/>
        <v>2168389240.2415733</v>
      </c>
      <c r="AB245" s="43">
        <f t="shared" si="103"/>
        <v>1877153226.739948</v>
      </c>
      <c r="AC245" s="43">
        <f t="shared" si="103"/>
        <v>1915849338.2650902</v>
      </c>
      <c r="AD245" s="43">
        <f t="shared" si="103"/>
        <v>1936865358.4331105</v>
      </c>
      <c r="AE245" s="43">
        <f t="shared" si="103"/>
        <v>1914877326.7033157</v>
      </c>
      <c r="AF245" s="43">
        <f t="shared" si="103"/>
        <v>1896638868.0310733</v>
      </c>
      <c r="AG245" s="43">
        <f t="shared" si="103"/>
        <v>1942557874.2899733</v>
      </c>
      <c r="AH245" s="43">
        <f t="shared" si="103"/>
        <v>1904577124.860183</v>
      </c>
      <c r="AI245" s="43">
        <f t="shared" si="103"/>
        <v>1946861406.1722744</v>
      </c>
      <c r="AJ245" s="43">
        <f t="shared" si="103"/>
        <v>1818078096.384201</v>
      </c>
      <c r="AK245" s="43">
        <f t="shared" si="103"/>
        <v>1629017604.853754</v>
      </c>
      <c r="AL245" s="43">
        <f t="shared" si="103"/>
        <v>1471282873.1753109</v>
      </c>
      <c r="AM245" s="43">
        <f t="shared" si="103"/>
        <v>1303663280.7229679</v>
      </c>
      <c r="AN245" s="43">
        <f t="shared" si="103"/>
        <v>1267379026.8137717</v>
      </c>
      <c r="AO245" s="43">
        <f t="shared" si="103"/>
        <v>1241036581.6491182</v>
      </c>
      <c r="AP245" s="43">
        <f t="shared" si="103"/>
        <v>1291422968.2895064</v>
      </c>
      <c r="AQ245" s="43">
        <f t="shared" si="103"/>
        <v>2506982401.6411409</v>
      </c>
      <c r="AR245" s="43"/>
    </row>
    <row r="246" spans="1:44">
      <c r="A246" s="40" t="s">
        <v>69</v>
      </c>
      <c r="B246" s="42">
        <f t="shared" ref="B246:Q256" si="104">B245+B230</f>
        <v>2984213</v>
      </c>
      <c r="C246" s="42">
        <f t="shared" si="104"/>
        <v>2302476144</v>
      </c>
      <c r="D246" s="42">
        <f t="shared" si="104"/>
        <v>2412550502</v>
      </c>
      <c r="E246" s="42">
        <f t="shared" si="104"/>
        <v>2212582390</v>
      </c>
      <c r="F246" s="42">
        <f t="shared" si="104"/>
        <v>2408083397</v>
      </c>
      <c r="G246" s="42">
        <f t="shared" si="104"/>
        <v>2509175562</v>
      </c>
      <c r="H246" s="42">
        <f>H245+H230</f>
        <v>2692483502</v>
      </c>
      <c r="I246" s="42">
        <f t="shared" ref="I246:AQ253" si="105">I245+I230</f>
        <v>2685004931</v>
      </c>
      <c r="J246" s="42">
        <f t="shared" si="105"/>
        <v>2729779598</v>
      </c>
      <c r="K246" s="42">
        <f t="shared" si="105"/>
        <v>2751611225</v>
      </c>
      <c r="L246" s="42">
        <f t="shared" si="105"/>
        <v>2869267291</v>
      </c>
      <c r="M246" s="42">
        <f t="shared" si="105"/>
        <v>2427629987</v>
      </c>
      <c r="N246" s="42">
        <f t="shared" si="105"/>
        <v>2832797373</v>
      </c>
      <c r="O246" s="42">
        <f t="shared" si="105"/>
        <v>3072505970</v>
      </c>
      <c r="P246" s="42">
        <f t="shared" si="105"/>
        <v>3396938010</v>
      </c>
      <c r="Q246" s="42">
        <f t="shared" si="105"/>
        <v>2988462137</v>
      </c>
      <c r="R246" s="43">
        <f t="shared" si="105"/>
        <v>3086558025.8927536</v>
      </c>
      <c r="S246" s="43">
        <f t="shared" si="105"/>
        <v>3254930341.380372</v>
      </c>
      <c r="T246" s="43">
        <f t="shared" si="105"/>
        <v>3303648245.107801</v>
      </c>
      <c r="U246" s="43">
        <f t="shared" si="105"/>
        <v>3463988791.6257544</v>
      </c>
      <c r="V246" s="43">
        <f t="shared" si="105"/>
        <v>3596468022.0417957</v>
      </c>
      <c r="W246" s="43">
        <f t="shared" si="105"/>
        <v>3739928756.1537752</v>
      </c>
      <c r="X246" s="43">
        <f t="shared" si="105"/>
        <v>4261866953.6021776</v>
      </c>
      <c r="Y246" s="43">
        <f t="shared" si="105"/>
        <v>4430627230.0981379</v>
      </c>
      <c r="Z246" s="43">
        <f t="shared" si="105"/>
        <v>4729993126.5514851</v>
      </c>
      <c r="AA246" s="43">
        <f t="shared" si="105"/>
        <v>4701817104.3480635</v>
      </c>
      <c r="AB246" s="43">
        <f t="shared" si="105"/>
        <v>3847791392.5389414</v>
      </c>
      <c r="AC246" s="43">
        <f t="shared" si="105"/>
        <v>3926814490.4363632</v>
      </c>
      <c r="AD246" s="43">
        <f t="shared" si="105"/>
        <v>3943978545.2228212</v>
      </c>
      <c r="AE246" s="43">
        <f t="shared" si="105"/>
        <v>3877162958.7881579</v>
      </c>
      <c r="AF246" s="43">
        <f t="shared" si="105"/>
        <v>3865245714.1984391</v>
      </c>
      <c r="AG246" s="43">
        <f t="shared" si="105"/>
        <v>3966550895.8032503</v>
      </c>
      <c r="AH246" s="43">
        <f t="shared" si="105"/>
        <v>3823444063.5638857</v>
      </c>
      <c r="AI246" s="43">
        <f t="shared" si="105"/>
        <v>3909251934.3073883</v>
      </c>
      <c r="AJ246" s="43">
        <f t="shared" si="105"/>
        <v>3506502215.4401836</v>
      </c>
      <c r="AK246" s="43">
        <f t="shared" si="105"/>
        <v>2933841070.4005117</v>
      </c>
      <c r="AL246" s="43">
        <f t="shared" si="105"/>
        <v>2464005384.8526421</v>
      </c>
      <c r="AM246" s="43">
        <f t="shared" si="105"/>
        <v>1935711952.4237132</v>
      </c>
      <c r="AN246" s="43">
        <f t="shared" si="105"/>
        <v>1788521941.1400149</v>
      </c>
      <c r="AO246" s="43">
        <f t="shared" si="105"/>
        <v>1669475760.7409058</v>
      </c>
      <c r="AP246" s="43">
        <f t="shared" si="105"/>
        <v>1771668374.2800705</v>
      </c>
      <c r="AQ246" s="43">
        <f t="shared" si="105"/>
        <v>5347384564.1981497</v>
      </c>
      <c r="AR246" s="43"/>
    </row>
    <row r="247" spans="1:44">
      <c r="A247" s="40" t="s">
        <v>70</v>
      </c>
      <c r="B247" s="42">
        <f t="shared" si="104"/>
        <v>4519072</v>
      </c>
      <c r="C247" s="42">
        <f t="shared" si="104"/>
        <v>3601912249</v>
      </c>
      <c r="D247" s="42">
        <f t="shared" si="104"/>
        <v>3679349951</v>
      </c>
      <c r="E247" s="42">
        <f t="shared" si="104"/>
        <v>3425538148</v>
      </c>
      <c r="F247" s="42">
        <f t="shared" si="104"/>
        <v>3718632246</v>
      </c>
      <c r="G247" s="42">
        <f t="shared" si="104"/>
        <v>3869356183</v>
      </c>
      <c r="H247" s="42">
        <f t="shared" si="104"/>
        <v>4114699983</v>
      </c>
      <c r="I247" s="42">
        <f t="shared" si="105"/>
        <v>4167342683</v>
      </c>
      <c r="J247" s="42">
        <f t="shared" si="105"/>
        <v>4191401648</v>
      </c>
      <c r="K247" s="42">
        <f t="shared" si="105"/>
        <v>4208289564</v>
      </c>
      <c r="L247" s="42">
        <f t="shared" si="105"/>
        <v>4304256780</v>
      </c>
      <c r="M247" s="42">
        <f t="shared" si="105"/>
        <v>3917118092</v>
      </c>
      <c r="N247" s="42">
        <f t="shared" si="105"/>
        <v>4464417956</v>
      </c>
      <c r="O247" s="42">
        <f t="shared" si="105"/>
        <v>4749071160</v>
      </c>
      <c r="P247" s="42">
        <f t="shared" si="105"/>
        <v>5069336511</v>
      </c>
      <c r="Q247" s="42">
        <f t="shared" si="105"/>
        <v>4613071152.345376</v>
      </c>
      <c r="R247" s="43">
        <f t="shared" si="105"/>
        <v>4741062752.1696205</v>
      </c>
      <c r="S247" s="43">
        <f t="shared" si="105"/>
        <v>4939865873.6629429</v>
      </c>
      <c r="T247" s="43">
        <f t="shared" si="105"/>
        <v>4974674931.4287529</v>
      </c>
      <c r="U247" s="43">
        <f t="shared" si="105"/>
        <v>5200026686.209137</v>
      </c>
      <c r="V247" s="43">
        <f t="shared" si="105"/>
        <v>5388516062.7584705</v>
      </c>
      <c r="W247" s="43">
        <f t="shared" si="105"/>
        <v>5584917144.4931536</v>
      </c>
      <c r="X247" s="43">
        <f t="shared" si="105"/>
        <v>6361663841.5501251</v>
      </c>
      <c r="Y247" s="43">
        <f t="shared" si="105"/>
        <v>6605893327.1234608</v>
      </c>
      <c r="Z247" s="43">
        <f t="shared" si="105"/>
        <v>7068798952.7706318</v>
      </c>
      <c r="AA247" s="43">
        <f t="shared" si="105"/>
        <v>7010176083.1223106</v>
      </c>
      <c r="AB247" s="43">
        <f t="shared" si="105"/>
        <v>5705998157.1421375</v>
      </c>
      <c r="AC247" s="43">
        <f t="shared" si="105"/>
        <v>5806749734.183445</v>
      </c>
      <c r="AD247" s="43">
        <f t="shared" si="105"/>
        <v>5798610837.7084188</v>
      </c>
      <c r="AE247" s="43">
        <f t="shared" si="105"/>
        <v>5691312673.5561008</v>
      </c>
      <c r="AF247" s="43">
        <f t="shared" si="105"/>
        <v>5676337799.7230463</v>
      </c>
      <c r="AG247" s="43">
        <f t="shared" si="105"/>
        <v>5820928561.7344952</v>
      </c>
      <c r="AH247" s="43">
        <f t="shared" si="105"/>
        <v>5576611134.2245293</v>
      </c>
      <c r="AI247" s="43">
        <f t="shared" si="105"/>
        <v>5698977876.2229824</v>
      </c>
      <c r="AJ247" s="43">
        <f t="shared" si="105"/>
        <v>5043393757.8735685</v>
      </c>
      <c r="AK247" s="43">
        <f t="shared" si="105"/>
        <v>4110358803.8666768</v>
      </c>
      <c r="AL247" s="43">
        <f t="shared" si="105"/>
        <v>3334295034.6898689</v>
      </c>
      <c r="AM247" s="43">
        <f t="shared" si="105"/>
        <v>2465714040.4459929</v>
      </c>
      <c r="AN247" s="43">
        <f t="shared" si="105"/>
        <v>2216473363.7004008</v>
      </c>
      <c r="AO247" s="43">
        <f t="shared" si="105"/>
        <v>2012345808.9857795</v>
      </c>
      <c r="AP247" s="43">
        <f t="shared" si="105"/>
        <v>2152689085.8477407</v>
      </c>
      <c r="AQ247" s="43">
        <f t="shared" si="105"/>
        <v>7828670926.6053619</v>
      </c>
      <c r="AR247" s="43"/>
    </row>
    <row r="248" spans="1:44">
      <c r="A248" s="40" t="s">
        <v>71</v>
      </c>
      <c r="B248" s="42">
        <f t="shared" si="104"/>
        <v>5041221</v>
      </c>
      <c r="C248" s="42">
        <f t="shared" si="104"/>
        <v>4747959066</v>
      </c>
      <c r="D248" s="42">
        <f t="shared" si="104"/>
        <v>4891236081</v>
      </c>
      <c r="E248" s="42">
        <f t="shared" si="104"/>
        <v>4664437164</v>
      </c>
      <c r="F248" s="42">
        <f t="shared" si="104"/>
        <v>5077445975</v>
      </c>
      <c r="G248" s="42">
        <f t="shared" si="104"/>
        <v>5216767733</v>
      </c>
      <c r="H248" s="42">
        <f t="shared" si="104"/>
        <v>5507358895</v>
      </c>
      <c r="I248" s="42">
        <f t="shared" si="105"/>
        <v>5546591213</v>
      </c>
      <c r="J248" s="42">
        <f t="shared" si="105"/>
        <v>5656734502</v>
      </c>
      <c r="K248" s="42">
        <f t="shared" si="105"/>
        <v>5754223861</v>
      </c>
      <c r="L248" s="42">
        <f t="shared" si="105"/>
        <v>5221886398</v>
      </c>
      <c r="M248" s="42">
        <f t="shared" si="105"/>
        <v>5344766108</v>
      </c>
      <c r="N248" s="42">
        <f t="shared" si="105"/>
        <v>5974997595</v>
      </c>
      <c r="O248" s="42">
        <f t="shared" si="105"/>
        <v>6352058458</v>
      </c>
      <c r="P248" s="42">
        <f t="shared" si="105"/>
        <v>6845916246</v>
      </c>
      <c r="Q248" s="43">
        <f t="shared" si="105"/>
        <v>6135228620.234066</v>
      </c>
      <c r="R248" s="43">
        <f t="shared" si="105"/>
        <v>6326699819.0476799</v>
      </c>
      <c r="S248" s="43">
        <f t="shared" si="105"/>
        <v>6605148251.1122875</v>
      </c>
      <c r="T248" s="43">
        <f t="shared" si="105"/>
        <v>6653051009.4328995</v>
      </c>
      <c r="U248" s="43">
        <f t="shared" si="105"/>
        <v>6941541429.612608</v>
      </c>
      <c r="V248" s="43">
        <f t="shared" si="105"/>
        <v>7192488555.8714828</v>
      </c>
      <c r="W248" s="43">
        <f t="shared" si="105"/>
        <v>7458484479.8882275</v>
      </c>
      <c r="X248" s="43">
        <f t="shared" si="105"/>
        <v>8351507480.9878464</v>
      </c>
      <c r="Y248" s="43">
        <f t="shared" si="105"/>
        <v>8611433694.2262878</v>
      </c>
      <c r="Z248" s="43">
        <f t="shared" si="105"/>
        <v>9102047794.6820107</v>
      </c>
      <c r="AA248" s="43">
        <f t="shared" si="105"/>
        <v>9080398947.9190598</v>
      </c>
      <c r="AB248" s="43">
        <f t="shared" si="105"/>
        <v>7706220319.6319113</v>
      </c>
      <c r="AC248" s="43">
        <f t="shared" si="105"/>
        <v>7867705025.2261343</v>
      </c>
      <c r="AD248" s="43">
        <f t="shared" si="105"/>
        <v>7942566963.6647072</v>
      </c>
      <c r="AE248" s="43">
        <f t="shared" si="105"/>
        <v>7834575255.5814438</v>
      </c>
      <c r="AF248" s="43">
        <f t="shared" si="105"/>
        <v>7759495546.1347532</v>
      </c>
      <c r="AG248" s="43">
        <f t="shared" si="105"/>
        <v>7957064695.7234879</v>
      </c>
      <c r="AH248" s="43">
        <f t="shared" si="105"/>
        <v>7773343740.112402</v>
      </c>
      <c r="AI248" s="43">
        <f t="shared" si="105"/>
        <v>7959254497.2619934</v>
      </c>
      <c r="AJ248" s="43">
        <f t="shared" si="105"/>
        <v>7339889487.3782005</v>
      </c>
      <c r="AK248" s="43">
        <f t="shared" si="105"/>
        <v>6436187707.4874859</v>
      </c>
      <c r="AL248" s="43">
        <f t="shared" si="105"/>
        <v>5681643851.3534794</v>
      </c>
      <c r="AM248" s="43">
        <f t="shared" si="105"/>
        <v>4866352174.7074947</v>
      </c>
      <c r="AN248" s="43">
        <f t="shared" si="105"/>
        <v>4659441301.8191051</v>
      </c>
      <c r="AO248" s="43">
        <f t="shared" si="105"/>
        <v>4496614512.5243711</v>
      </c>
      <c r="AP248" s="43">
        <f t="shared" si="105"/>
        <v>4693530411.3655605</v>
      </c>
      <c r="AQ248" s="43">
        <f t="shared" si="105"/>
        <v>10422951243.300364</v>
      </c>
      <c r="AR248" s="43"/>
    </row>
    <row r="249" spans="1:44">
      <c r="A249" s="40" t="s">
        <v>47</v>
      </c>
      <c r="B249" s="42">
        <f t="shared" si="104"/>
        <v>5526935</v>
      </c>
      <c r="C249" s="42">
        <f t="shared" si="104"/>
        <v>5977607858</v>
      </c>
      <c r="D249" s="42">
        <f t="shared" si="104"/>
        <v>6161865073</v>
      </c>
      <c r="E249" s="42">
        <f t="shared" si="104"/>
        <v>5991824011</v>
      </c>
      <c r="F249" s="42">
        <f t="shared" si="104"/>
        <v>6466713728</v>
      </c>
      <c r="G249" s="42">
        <f t="shared" si="104"/>
        <v>6615804603</v>
      </c>
      <c r="H249" s="42">
        <f t="shared" si="104"/>
        <v>7001136007</v>
      </c>
      <c r="I249" s="42">
        <f t="shared" si="105"/>
        <v>7077748045</v>
      </c>
      <c r="J249" s="42">
        <f t="shared" si="105"/>
        <v>7203934089</v>
      </c>
      <c r="K249" s="42">
        <f t="shared" si="105"/>
        <v>7325008359</v>
      </c>
      <c r="L249" s="42">
        <f t="shared" si="105"/>
        <v>6344698471</v>
      </c>
      <c r="M249" s="42">
        <f t="shared" si="105"/>
        <v>6906034344</v>
      </c>
      <c r="N249" s="42">
        <f t="shared" si="105"/>
        <v>7607831950</v>
      </c>
      <c r="O249" s="42">
        <f t="shared" si="105"/>
        <v>8167306112</v>
      </c>
      <c r="P249" s="42">
        <f t="shared" si="105"/>
        <v>8640232603</v>
      </c>
      <c r="Q249" s="43">
        <f t="shared" si="105"/>
        <v>7791659639.1618271</v>
      </c>
      <c r="R249" s="43">
        <f t="shared" si="105"/>
        <v>8072480082.7021189</v>
      </c>
      <c r="S249" s="43">
        <f t="shared" si="105"/>
        <v>8443049715.9716721</v>
      </c>
      <c r="T249" s="43">
        <f t="shared" si="105"/>
        <v>8519750471.5282927</v>
      </c>
      <c r="U249" s="43">
        <f t="shared" si="105"/>
        <v>8879546639.580471</v>
      </c>
      <c r="V249" s="43">
        <f t="shared" si="105"/>
        <v>9224545370.0121193</v>
      </c>
      <c r="W249" s="43">
        <f t="shared" si="105"/>
        <v>9576532716.2088833</v>
      </c>
      <c r="X249" s="43">
        <f t="shared" si="105"/>
        <v>10614295553.860296</v>
      </c>
      <c r="Y249" s="43">
        <f t="shared" si="105"/>
        <v>10901741107.419764</v>
      </c>
      <c r="Z249" s="43">
        <f t="shared" si="105"/>
        <v>11433245175.282272</v>
      </c>
      <c r="AA249" s="43">
        <f t="shared" si="105"/>
        <v>11468931675.306034</v>
      </c>
      <c r="AB249" s="43">
        <f t="shared" si="105"/>
        <v>10023150400.653498</v>
      </c>
      <c r="AC249" s="43">
        <f t="shared" si="105"/>
        <v>10272259719.997187</v>
      </c>
      <c r="AD249" s="43">
        <f t="shared" si="105"/>
        <v>10463918121.850243</v>
      </c>
      <c r="AE249" s="43">
        <f t="shared" si="105"/>
        <v>10372969267.921476</v>
      </c>
      <c r="AF249" s="43">
        <f t="shared" si="105"/>
        <v>10246413528.775009</v>
      </c>
      <c r="AG249" s="43">
        <f t="shared" si="105"/>
        <v>10523392748.092833</v>
      </c>
      <c r="AH249" s="43">
        <f t="shared" si="105"/>
        <v>10476391744.725979</v>
      </c>
      <c r="AI249" s="43">
        <f t="shared" si="105"/>
        <v>10803949118.951372</v>
      </c>
      <c r="AJ249" s="43">
        <f t="shared" si="105"/>
        <v>10301941641.680202</v>
      </c>
      <c r="AK249" s="43">
        <f t="shared" si="105"/>
        <v>9511577644.7725258</v>
      </c>
      <c r="AL249" s="43">
        <f t="shared" si="105"/>
        <v>8861235348.2409534</v>
      </c>
      <c r="AM249" s="43">
        <f t="shared" si="105"/>
        <v>8188109582.5761948</v>
      </c>
      <c r="AN249" s="43">
        <f t="shared" si="105"/>
        <v>8101796345.3612833</v>
      </c>
      <c r="AO249" s="43">
        <f t="shared" si="105"/>
        <v>8057608232.9304714</v>
      </c>
      <c r="AP249" s="43">
        <f t="shared" si="105"/>
        <v>8388196108.0347033</v>
      </c>
      <c r="AQ249" s="43">
        <f t="shared" si="105"/>
        <v>14221032041.665869</v>
      </c>
      <c r="AR249" s="43"/>
    </row>
    <row r="250" spans="1:44">
      <c r="A250" s="40" t="s">
        <v>72</v>
      </c>
      <c r="B250" s="42">
        <f t="shared" si="104"/>
        <v>6255769</v>
      </c>
      <c r="C250" s="42">
        <f t="shared" si="104"/>
        <v>7234116593</v>
      </c>
      <c r="D250" s="42">
        <f t="shared" si="104"/>
        <v>7406092796</v>
      </c>
      <c r="E250" s="42">
        <f t="shared" si="104"/>
        <v>7301011071</v>
      </c>
      <c r="F250" s="42">
        <f t="shared" si="104"/>
        <v>7845178576</v>
      </c>
      <c r="G250" s="42">
        <f t="shared" si="104"/>
        <v>8068862912</v>
      </c>
      <c r="H250" s="42">
        <f t="shared" si="104"/>
        <v>8568700202</v>
      </c>
      <c r="I250" s="42">
        <f t="shared" si="105"/>
        <v>8631042317</v>
      </c>
      <c r="J250" s="42">
        <f t="shared" si="105"/>
        <v>8694575044</v>
      </c>
      <c r="K250" s="42">
        <f t="shared" si="105"/>
        <v>8864136677</v>
      </c>
      <c r="L250" s="42">
        <f t="shared" si="105"/>
        <v>7715068209</v>
      </c>
      <c r="M250" s="42">
        <f t="shared" si="105"/>
        <v>8513803786</v>
      </c>
      <c r="N250" s="42">
        <f t="shared" si="105"/>
        <v>9272197134</v>
      </c>
      <c r="O250" s="42">
        <f t="shared" si="105"/>
        <v>9961694872</v>
      </c>
      <c r="P250" s="42">
        <f t="shared" si="105"/>
        <v>10456130502</v>
      </c>
      <c r="Q250" s="43">
        <f t="shared" si="105"/>
        <v>9503810136.8699265</v>
      </c>
      <c r="R250" s="43">
        <f t="shared" si="105"/>
        <v>9842770486.6374054</v>
      </c>
      <c r="S250" s="43">
        <f t="shared" si="105"/>
        <v>10301226768.051916</v>
      </c>
      <c r="T250" s="43">
        <f t="shared" si="105"/>
        <v>10400577351.169649</v>
      </c>
      <c r="U250" s="43">
        <f t="shared" si="105"/>
        <v>10831334421.359713</v>
      </c>
      <c r="V250" s="43">
        <f t="shared" si="105"/>
        <v>11285293394.174301</v>
      </c>
      <c r="W250" s="43">
        <f t="shared" si="105"/>
        <v>11718387288.394897</v>
      </c>
      <c r="X250" s="43">
        <f t="shared" si="105"/>
        <v>12903622318.44899</v>
      </c>
      <c r="Y250" s="43">
        <f t="shared" si="105"/>
        <v>13225873551.344784</v>
      </c>
      <c r="Z250" s="43">
        <f t="shared" si="105"/>
        <v>13807534795.147148</v>
      </c>
      <c r="AA250" s="43">
        <f t="shared" si="105"/>
        <v>13910338804.255188</v>
      </c>
      <c r="AB250" s="43">
        <f t="shared" si="105"/>
        <v>12402145613.015114</v>
      </c>
      <c r="AC250" s="43">
        <f t="shared" si="105"/>
        <v>12751535089.396606</v>
      </c>
      <c r="AD250" s="43">
        <f t="shared" si="105"/>
        <v>13073367206.669981</v>
      </c>
      <c r="AE250" s="43">
        <f t="shared" si="105"/>
        <v>13019575044.748524</v>
      </c>
      <c r="AF250" s="43">
        <f t="shared" si="105"/>
        <v>12866675943.888535</v>
      </c>
      <c r="AG250" s="43">
        <f t="shared" si="105"/>
        <v>13247735497.598032</v>
      </c>
      <c r="AH250" s="43">
        <f t="shared" si="105"/>
        <v>13413196038.22773</v>
      </c>
      <c r="AI250" s="43">
        <f t="shared" si="105"/>
        <v>13975005451.519711</v>
      </c>
      <c r="AJ250" s="43">
        <f t="shared" si="105"/>
        <v>13690511480.122295</v>
      </c>
      <c r="AK250" s="43">
        <f t="shared" si="105"/>
        <v>13121731578.236227</v>
      </c>
      <c r="AL250" s="43">
        <f t="shared" si="105"/>
        <v>12694417089.275383</v>
      </c>
      <c r="AM250" s="43">
        <f t="shared" si="105"/>
        <v>12291407502.725348</v>
      </c>
      <c r="AN250" s="43">
        <f t="shared" si="105"/>
        <v>12468587753.317642</v>
      </c>
      <c r="AO250" s="43">
        <f t="shared" si="105"/>
        <v>12697844564.85433</v>
      </c>
      <c r="AP250" s="43">
        <f t="shared" si="105"/>
        <v>13330609092.58489</v>
      </c>
      <c r="AQ250" s="43">
        <f t="shared" si="105"/>
        <v>19464388560.830009</v>
      </c>
      <c r="AR250" s="43"/>
    </row>
    <row r="251" spans="1:44">
      <c r="A251" s="40" t="s">
        <v>73</v>
      </c>
      <c r="B251" s="42">
        <f t="shared" si="104"/>
        <v>1158275397</v>
      </c>
      <c r="C251" s="42">
        <f t="shared" si="104"/>
        <v>8471900051</v>
      </c>
      <c r="D251" s="42">
        <f t="shared" si="104"/>
        <v>8623904614</v>
      </c>
      <c r="E251" s="42">
        <f t="shared" si="104"/>
        <v>8670964578</v>
      </c>
      <c r="F251" s="42">
        <f t="shared" si="104"/>
        <v>9301706259</v>
      </c>
      <c r="G251" s="42">
        <f t="shared" si="104"/>
        <v>9538279213</v>
      </c>
      <c r="H251" s="42">
        <f t="shared" si="104"/>
        <v>10057887860</v>
      </c>
      <c r="I251" s="42">
        <f t="shared" si="105"/>
        <v>10163747961</v>
      </c>
      <c r="J251" s="42">
        <f t="shared" si="105"/>
        <v>10287817648</v>
      </c>
      <c r="K251" s="42">
        <f t="shared" si="105"/>
        <v>10513295735</v>
      </c>
      <c r="L251" s="42">
        <f t="shared" si="105"/>
        <v>9205588344</v>
      </c>
      <c r="M251" s="42">
        <f t="shared" si="105"/>
        <v>10084406286</v>
      </c>
      <c r="N251" s="42">
        <f t="shared" si="105"/>
        <v>10817098130</v>
      </c>
      <c r="O251" s="42">
        <f t="shared" si="105"/>
        <v>11708900855</v>
      </c>
      <c r="P251" s="42">
        <f t="shared" si="105"/>
        <v>12391103244</v>
      </c>
      <c r="Q251" s="43">
        <f t="shared" si="105"/>
        <v>11244049633.961981</v>
      </c>
      <c r="R251" s="43">
        <f t="shared" si="105"/>
        <v>11617410077.024427</v>
      </c>
      <c r="S251" s="43">
        <f t="shared" si="105"/>
        <v>12173538761.528122</v>
      </c>
      <c r="T251" s="43">
        <f t="shared" si="105"/>
        <v>12320273566.073875</v>
      </c>
      <c r="U251" s="43">
        <f t="shared" si="105"/>
        <v>12834758042.567314</v>
      </c>
      <c r="V251" s="43">
        <f t="shared" si="105"/>
        <v>13389617116.06341</v>
      </c>
      <c r="W251" s="43">
        <f t="shared" si="105"/>
        <v>13905749144.229414</v>
      </c>
      <c r="X251" s="43">
        <f t="shared" si="105"/>
        <v>15247326161.946308</v>
      </c>
      <c r="Y251" s="43">
        <f t="shared" si="105"/>
        <v>15610755736.00872</v>
      </c>
      <c r="Z251" s="43">
        <f t="shared" si="105"/>
        <v>16246927185.328619</v>
      </c>
      <c r="AA251" s="43">
        <f t="shared" si="105"/>
        <v>16418558285.394089</v>
      </c>
      <c r="AB251" s="43">
        <f t="shared" si="105"/>
        <v>14850806944.390053</v>
      </c>
      <c r="AC251" s="43">
        <f t="shared" si="105"/>
        <v>15307288112.18223</v>
      </c>
      <c r="AD251" s="43">
        <f t="shared" si="105"/>
        <v>15766975781.248474</v>
      </c>
      <c r="AE251" s="43">
        <f t="shared" si="105"/>
        <v>15753820400.830921</v>
      </c>
      <c r="AF251" s="43">
        <f t="shared" si="105"/>
        <v>15577963225.352654</v>
      </c>
      <c r="AG251" s="43">
        <f t="shared" si="105"/>
        <v>16067866841.091486</v>
      </c>
      <c r="AH251" s="43">
        <f t="shared" si="105"/>
        <v>16461430762.347395</v>
      </c>
      <c r="AI251" s="43">
        <f t="shared" si="105"/>
        <v>17271801431.445763</v>
      </c>
      <c r="AJ251" s="43">
        <f t="shared" si="105"/>
        <v>17221870324.661499</v>
      </c>
      <c r="AK251" s="43">
        <f t="shared" si="105"/>
        <v>16893841653.816502</v>
      </c>
      <c r="AL251" s="43">
        <f t="shared" si="105"/>
        <v>16709754905.953829</v>
      </c>
      <c r="AM251" s="43">
        <f t="shared" si="105"/>
        <v>16596099646.87949</v>
      </c>
      <c r="AN251" s="43">
        <f t="shared" si="105"/>
        <v>17051210450.369251</v>
      </c>
      <c r="AO251" s="43">
        <f t="shared" si="105"/>
        <v>17568155111.860207</v>
      </c>
      <c r="AP251" s="43">
        <f t="shared" si="105"/>
        <v>18518095071.814339</v>
      </c>
      <c r="AQ251" s="43">
        <f t="shared" si="105"/>
        <v>24954096829.45063</v>
      </c>
      <c r="AR251" s="43"/>
    </row>
    <row r="252" spans="1:44">
      <c r="A252" s="40" t="s">
        <v>74</v>
      </c>
      <c r="B252" s="42">
        <f t="shared" si="104"/>
        <v>2306470050</v>
      </c>
      <c r="C252" s="42">
        <f t="shared" si="104"/>
        <v>9775078986</v>
      </c>
      <c r="D252" s="42">
        <f t="shared" si="104"/>
        <v>9911170417</v>
      </c>
      <c r="E252" s="42">
        <f t="shared" si="104"/>
        <v>10062577936</v>
      </c>
      <c r="F252" s="42">
        <f t="shared" si="104"/>
        <v>10660881182</v>
      </c>
      <c r="G252" s="42">
        <f t="shared" si="104"/>
        <v>10998025794</v>
      </c>
      <c r="H252" s="42">
        <f t="shared" si="104"/>
        <v>11674440815</v>
      </c>
      <c r="I252" s="42">
        <f t="shared" si="105"/>
        <v>11774012311</v>
      </c>
      <c r="J252" s="42">
        <f t="shared" si="105"/>
        <v>11923815179</v>
      </c>
      <c r="K252" s="42">
        <f t="shared" si="105"/>
        <v>12037642529</v>
      </c>
      <c r="L252" s="42">
        <f t="shared" si="105"/>
        <v>10662157301</v>
      </c>
      <c r="M252" s="42">
        <f t="shared" si="105"/>
        <v>11641683832</v>
      </c>
      <c r="N252" s="42">
        <f t="shared" si="105"/>
        <v>12472443916</v>
      </c>
      <c r="O252" s="42">
        <f t="shared" si="105"/>
        <v>13504021240</v>
      </c>
      <c r="P252" s="42">
        <f>P251+P236</f>
        <v>14262152376</v>
      </c>
      <c r="Q252" s="43">
        <f t="shared" si="105"/>
        <v>12982954494.813587</v>
      </c>
      <c r="R252" s="43">
        <f t="shared" si="105"/>
        <v>13412467480.716562</v>
      </c>
      <c r="S252" s="43">
        <f t="shared" si="105"/>
        <v>14124123803.545694</v>
      </c>
      <c r="T252" s="43">
        <f t="shared" si="105"/>
        <v>14307278535.745739</v>
      </c>
      <c r="U252" s="43">
        <f t="shared" si="105"/>
        <v>14913357707.845396</v>
      </c>
      <c r="V252" s="43">
        <f t="shared" si="105"/>
        <v>15580499084.239931</v>
      </c>
      <c r="W252" s="43">
        <f t="shared" si="105"/>
        <v>16187324461.778545</v>
      </c>
      <c r="X252" s="43">
        <f t="shared" si="105"/>
        <v>17696036133.739639</v>
      </c>
      <c r="Y252" s="43">
        <f t="shared" si="105"/>
        <v>18102897462.222084</v>
      </c>
      <c r="Z252" s="43">
        <f t="shared" si="105"/>
        <v>18800352062.802219</v>
      </c>
      <c r="AA252" s="43">
        <f t="shared" si="105"/>
        <v>19047418626.980804</v>
      </c>
      <c r="AB252" s="43">
        <f t="shared" si="105"/>
        <v>17416369393.783104</v>
      </c>
      <c r="AC252" s="43">
        <f t="shared" si="105"/>
        <v>17989288632.219074</v>
      </c>
      <c r="AD252" s="43">
        <f t="shared" si="105"/>
        <v>18598812584.868561</v>
      </c>
      <c r="AE252" s="43">
        <f t="shared" si="105"/>
        <v>18634949500.299614</v>
      </c>
      <c r="AF252" s="43">
        <f t="shared" si="105"/>
        <v>18444852003.395947</v>
      </c>
      <c r="AG252" s="43">
        <f t="shared" si="105"/>
        <v>19057510424.397831</v>
      </c>
      <c r="AH252" s="43">
        <f t="shared" si="105"/>
        <v>19715216987.649334</v>
      </c>
      <c r="AI252" s="43">
        <f t="shared" si="105"/>
        <v>20817849198.937157</v>
      </c>
      <c r="AJ252" s="43">
        <f t="shared" si="105"/>
        <v>21051886441.759491</v>
      </c>
      <c r="AK252" s="43">
        <f t="shared" si="105"/>
        <v>21020667718.451073</v>
      </c>
      <c r="AL252" s="43">
        <f t="shared" si="105"/>
        <v>21142752314.07547</v>
      </c>
      <c r="AM252" s="43">
        <f t="shared" si="105"/>
        <v>21388460407.529926</v>
      </c>
      <c r="AN252" s="43">
        <f t="shared" si="105"/>
        <v>22198448464.207832</v>
      </c>
      <c r="AO252" s="43">
        <f t="shared" si="105"/>
        <v>23088079368.047646</v>
      </c>
      <c r="AP252" s="43">
        <f t="shared" si="105"/>
        <v>24448860430.813213</v>
      </c>
      <c r="AQ252" s="43">
        <f t="shared" si="105"/>
        <v>31285338584.227203</v>
      </c>
      <c r="AR252" s="43"/>
    </row>
    <row r="253" spans="1:44">
      <c r="A253" s="40" t="s">
        <v>75</v>
      </c>
      <c r="B253" s="42">
        <f t="shared" si="104"/>
        <v>3453475840</v>
      </c>
      <c r="C253" s="42">
        <f t="shared" si="104"/>
        <v>11017325282</v>
      </c>
      <c r="D253" s="42">
        <f t="shared" si="104"/>
        <v>11071618059</v>
      </c>
      <c r="E253" s="42">
        <f t="shared" si="104"/>
        <v>11391630589</v>
      </c>
      <c r="F253" s="42">
        <f t="shared" si="104"/>
        <v>11982012203</v>
      </c>
      <c r="G253" s="42">
        <f t="shared" si="104"/>
        <v>12398788274</v>
      </c>
      <c r="H253" s="42">
        <f t="shared" si="104"/>
        <v>13193141500</v>
      </c>
      <c r="I253" s="42">
        <f t="shared" si="105"/>
        <v>13248522415</v>
      </c>
      <c r="J253" s="42">
        <f t="shared" si="105"/>
        <v>13392391297</v>
      </c>
      <c r="K253" s="42">
        <f t="shared" si="105"/>
        <v>13520384235</v>
      </c>
      <c r="L253" s="42">
        <f t="shared" si="105"/>
        <v>12142771633</v>
      </c>
      <c r="M253" s="42">
        <f t="shared" si="105"/>
        <v>13114201053</v>
      </c>
      <c r="N253" s="42">
        <f t="shared" si="105"/>
        <v>13996937464</v>
      </c>
      <c r="O253" s="42">
        <f t="shared" si="105"/>
        <v>15200795678</v>
      </c>
      <c r="P253" s="42">
        <f t="shared" si="105"/>
        <v>16062771507</v>
      </c>
      <c r="Q253" s="43">
        <f t="shared" si="105"/>
        <v>14644337299.78159</v>
      </c>
      <c r="R253" s="43">
        <f t="shared" si="105"/>
        <v>15118625313.082472</v>
      </c>
      <c r="S253" s="43">
        <f t="shared" si="105"/>
        <v>15955410232.07226</v>
      </c>
      <c r="T253" s="43">
        <f t="shared" ref="T253:AQ256" si="106">T252+T237</f>
        <v>16191481500.107025</v>
      </c>
      <c r="U253" s="43">
        <f t="shared" si="106"/>
        <v>16901416106.246292</v>
      </c>
      <c r="V253" s="43">
        <f t="shared" si="106"/>
        <v>17695039281.53931</v>
      </c>
      <c r="W253" s="43">
        <f t="shared" si="106"/>
        <v>18400954928.982132</v>
      </c>
      <c r="X253" s="43">
        <f t="shared" si="106"/>
        <v>20096925368.508293</v>
      </c>
      <c r="Y253" s="43">
        <f t="shared" si="106"/>
        <v>20553734569.629761</v>
      </c>
      <c r="Z253" s="43">
        <f t="shared" si="106"/>
        <v>21322426064.407429</v>
      </c>
      <c r="AA253" s="43">
        <f t="shared" si="106"/>
        <v>21649329217.733162</v>
      </c>
      <c r="AB253" s="43">
        <f t="shared" si="106"/>
        <v>19927285500.862026</v>
      </c>
      <c r="AC253" s="43">
        <f t="shared" si="106"/>
        <v>20626439238.472561</v>
      </c>
      <c r="AD253" s="43">
        <f t="shared" si="106"/>
        <v>21398208825.579723</v>
      </c>
      <c r="AE253" s="43">
        <f t="shared" si="106"/>
        <v>21484534433.358067</v>
      </c>
      <c r="AF253" s="43">
        <f t="shared" si="106"/>
        <v>21281414266.808762</v>
      </c>
      <c r="AG253" s="43">
        <f t="shared" si="106"/>
        <v>22022824862.72628</v>
      </c>
      <c r="AH253" s="43">
        <f t="shared" si="106"/>
        <v>22954316433.551491</v>
      </c>
      <c r="AI253" s="43">
        <f t="shared" si="106"/>
        <v>24360123599.740417</v>
      </c>
      <c r="AJ253" s="43">
        <f t="shared" si="106"/>
        <v>24884996169.471241</v>
      </c>
      <c r="AK253" s="43">
        <f t="shared" si="106"/>
        <v>25158864431.155689</v>
      </c>
      <c r="AL253" s="43">
        <f t="shared" si="106"/>
        <v>25600456958.899681</v>
      </c>
      <c r="AM253" s="43">
        <f t="shared" si="106"/>
        <v>26216356178.026321</v>
      </c>
      <c r="AN253" s="43">
        <f t="shared" si="106"/>
        <v>27389480233.680923</v>
      </c>
      <c r="AO253" s="43">
        <f t="shared" si="106"/>
        <v>28660348055.231094</v>
      </c>
      <c r="AP253" s="43">
        <f t="shared" si="106"/>
        <v>30447759289.850479</v>
      </c>
      <c r="AQ253" s="43">
        <f t="shared" si="106"/>
        <v>37714665076.065353</v>
      </c>
      <c r="AR253" s="43"/>
    </row>
    <row r="254" spans="1:44">
      <c r="A254" s="40" t="s">
        <v>76</v>
      </c>
      <c r="B254" s="42">
        <f t="shared" si="104"/>
        <v>4608642264</v>
      </c>
      <c r="C254" s="42">
        <f t="shared" si="104"/>
        <v>12265804991</v>
      </c>
      <c r="D254" s="42">
        <f t="shared" si="104"/>
        <v>12305591469</v>
      </c>
      <c r="E254" s="42">
        <f t="shared" si="104"/>
        <v>12772582350</v>
      </c>
      <c r="F254" s="42">
        <f t="shared" si="104"/>
        <v>13313370050</v>
      </c>
      <c r="G254" s="42">
        <f t="shared" si="104"/>
        <v>13838511832</v>
      </c>
      <c r="H254" s="42">
        <f t="shared" si="104"/>
        <v>14710278328</v>
      </c>
      <c r="I254" s="42">
        <f t="shared" si="104"/>
        <v>14794346785</v>
      </c>
      <c r="J254" s="42">
        <f t="shared" si="104"/>
        <v>14945819054</v>
      </c>
      <c r="K254" s="42">
        <f t="shared" si="104"/>
        <v>15104278578</v>
      </c>
      <c r="L254" s="42">
        <f t="shared" si="104"/>
        <v>13574933231</v>
      </c>
      <c r="M254" s="42">
        <f t="shared" si="104"/>
        <v>14652736704</v>
      </c>
      <c r="N254" s="42">
        <f t="shared" si="104"/>
        <v>15617013889</v>
      </c>
      <c r="O254" s="42">
        <f t="shared" si="104"/>
        <v>17040788209</v>
      </c>
      <c r="P254" s="42">
        <f t="shared" si="104"/>
        <v>17924528904</v>
      </c>
      <c r="Q254" s="43">
        <f t="shared" si="104"/>
        <v>16391992913.705391</v>
      </c>
      <c r="R254" s="43">
        <f t="shared" ref="R254:S256" si="107">R253+R238</f>
        <v>16934129284.586628</v>
      </c>
      <c r="S254" s="43">
        <f t="shared" si="107"/>
        <v>17926141858.21785</v>
      </c>
      <c r="T254" s="43">
        <f t="shared" si="106"/>
        <v>18214611710.964989</v>
      </c>
      <c r="U254" s="43">
        <f t="shared" si="106"/>
        <v>19011117423.505749</v>
      </c>
      <c r="V254" s="43">
        <f t="shared" si="106"/>
        <v>19938749195.741329</v>
      </c>
      <c r="W254" s="43">
        <f t="shared" si="106"/>
        <v>20748866367.905636</v>
      </c>
      <c r="X254" s="43">
        <f t="shared" si="106"/>
        <v>22635763512.626518</v>
      </c>
      <c r="Y254" s="43">
        <f t="shared" si="106"/>
        <v>23142667217.88195</v>
      </c>
      <c r="Z254" s="43">
        <f t="shared" si="106"/>
        <v>23981503756.416996</v>
      </c>
      <c r="AA254" s="43">
        <f t="shared" si="106"/>
        <v>24394528152.728622</v>
      </c>
      <c r="AB254" s="43">
        <f t="shared" si="106"/>
        <v>22590729260.187393</v>
      </c>
      <c r="AC254" s="43">
        <f t="shared" si="106"/>
        <v>23424269862.46479</v>
      </c>
      <c r="AD254" s="43">
        <f t="shared" si="106"/>
        <v>24366855330.613506</v>
      </c>
      <c r="AE254" s="43">
        <f t="shared" si="106"/>
        <v>24510930831.431236</v>
      </c>
      <c r="AF254" s="43">
        <f t="shared" si="106"/>
        <v>24298926420.95826</v>
      </c>
      <c r="AG254" s="43">
        <f t="shared" si="106"/>
        <v>25182065002.397156</v>
      </c>
      <c r="AH254" s="43">
        <f t="shared" si="106"/>
        <v>26419371403.123421</v>
      </c>
      <c r="AI254" s="43">
        <f t="shared" si="106"/>
        <v>28169214028.030216</v>
      </c>
      <c r="AJ254" s="43">
        <f t="shared" si="106"/>
        <v>29031067202.345604</v>
      </c>
      <c r="AK254" s="43">
        <f t="shared" si="106"/>
        <v>29661889116.899055</v>
      </c>
      <c r="AL254" s="43">
        <f t="shared" si="106"/>
        <v>30478833592.393826</v>
      </c>
      <c r="AM254" s="43">
        <f t="shared" si="106"/>
        <v>31533634811.496685</v>
      </c>
      <c r="AN254" s="43">
        <f t="shared" si="106"/>
        <v>33147531208.263771</v>
      </c>
      <c r="AO254" s="43">
        <f t="shared" si="106"/>
        <v>34886947228.894127</v>
      </c>
      <c r="AP254" s="43">
        <f t="shared" si="106"/>
        <v>37197110566.137283</v>
      </c>
      <c r="AQ254" s="43">
        <f t="shared" si="106"/>
        <v>45001290238.386055</v>
      </c>
      <c r="AR254" s="43"/>
    </row>
    <row r="255" spans="1:44">
      <c r="A255" s="40" t="s">
        <v>77</v>
      </c>
      <c r="B255" s="42">
        <f t="shared" si="104"/>
        <v>5785511353</v>
      </c>
      <c r="C255" s="42">
        <f t="shared" si="104"/>
        <v>13547050866</v>
      </c>
      <c r="D255" s="42">
        <f t="shared" si="104"/>
        <v>13544685995</v>
      </c>
      <c r="E255" s="42">
        <f t="shared" si="104"/>
        <v>14108326511</v>
      </c>
      <c r="F255" s="42">
        <f t="shared" si="104"/>
        <v>14624281236</v>
      </c>
      <c r="G255" s="42">
        <f t="shared" si="104"/>
        <v>15241623054</v>
      </c>
      <c r="H255" s="42">
        <f t="shared" si="104"/>
        <v>16219581151</v>
      </c>
      <c r="I255" s="42">
        <f t="shared" si="104"/>
        <v>16328947857</v>
      </c>
      <c r="J255" s="42">
        <f t="shared" si="104"/>
        <v>16437025300</v>
      </c>
      <c r="K255" s="42">
        <f t="shared" si="104"/>
        <v>16560897220</v>
      </c>
      <c r="L255" s="42">
        <f t="shared" si="104"/>
        <v>15043315074</v>
      </c>
      <c r="M255" s="42">
        <f t="shared" si="104"/>
        <v>16255605312</v>
      </c>
      <c r="N255" s="42">
        <f t="shared" si="104"/>
        <v>17329768710</v>
      </c>
      <c r="O255" s="42">
        <f t="shared" si="104"/>
        <v>18783110687</v>
      </c>
      <c r="P255" s="42">
        <f t="shared" si="104"/>
        <v>19681397677</v>
      </c>
      <c r="Q255" s="43">
        <f t="shared" si="104"/>
        <v>18144577053.320999</v>
      </c>
      <c r="R255" s="43">
        <f t="shared" si="107"/>
        <v>18772438680.074017</v>
      </c>
      <c r="S255" s="43">
        <f t="shared" si="107"/>
        <v>19898552802.572556</v>
      </c>
      <c r="T255" s="43">
        <f t="shared" si="106"/>
        <v>20218677825.781418</v>
      </c>
      <c r="U255" s="43">
        <f t="shared" si="106"/>
        <v>21097894129.647343</v>
      </c>
      <c r="V255" s="43">
        <f t="shared" si="106"/>
        <v>22159448422.637348</v>
      </c>
      <c r="W255" s="43">
        <f t="shared" si="106"/>
        <v>23064409586.894455</v>
      </c>
      <c r="X255" s="43">
        <f t="shared" si="106"/>
        <v>25133929666.940472</v>
      </c>
      <c r="Y255" s="43">
        <f t="shared" si="106"/>
        <v>25682852091.570721</v>
      </c>
      <c r="Z255" s="43">
        <f t="shared" si="106"/>
        <v>26580429903.974884</v>
      </c>
      <c r="AA255" s="43">
        <f t="shared" si="106"/>
        <v>27076126945.377739</v>
      </c>
      <c r="AB255" s="43">
        <f t="shared" si="106"/>
        <v>25211531393.322998</v>
      </c>
      <c r="AC255" s="43">
        <f t="shared" si="106"/>
        <v>26177497017.831123</v>
      </c>
      <c r="AD255" s="43">
        <f t="shared" si="106"/>
        <v>27282050163.224289</v>
      </c>
      <c r="AE255" s="43">
        <f t="shared" si="106"/>
        <v>27471994290.823139</v>
      </c>
      <c r="AF255" s="43">
        <f t="shared" si="106"/>
        <v>27223251269.536716</v>
      </c>
      <c r="AG255" s="43">
        <f t="shared" si="106"/>
        <v>28231093059.831486</v>
      </c>
      <c r="AH255" s="43">
        <f t="shared" si="106"/>
        <v>29726089654.425392</v>
      </c>
      <c r="AI255" s="43">
        <f t="shared" si="106"/>
        <v>31761786462.862953</v>
      </c>
      <c r="AJ255" s="43">
        <f t="shared" si="106"/>
        <v>32884374630.262108</v>
      </c>
      <c r="AK255" s="43">
        <f t="shared" si="106"/>
        <v>33779289357.588303</v>
      </c>
      <c r="AL255" s="43">
        <f t="shared" si="106"/>
        <v>34858874740.509575</v>
      </c>
      <c r="AM255" s="43">
        <f t="shared" si="106"/>
        <v>36238394826.5224</v>
      </c>
      <c r="AN255" s="43">
        <f t="shared" si="106"/>
        <v>38165172651.49585</v>
      </c>
      <c r="AO255" s="43">
        <f t="shared" si="106"/>
        <v>40228962424.491562</v>
      </c>
      <c r="AP255" s="43">
        <f t="shared" si="106"/>
        <v>42898720094.112167</v>
      </c>
      <c r="AQ255" s="43">
        <f t="shared" si="106"/>
        <v>51045764535.503525</v>
      </c>
      <c r="AR255" s="43"/>
    </row>
    <row r="256" spans="1:44" ht="12" thickBot="1">
      <c r="A256" s="40" t="s">
        <v>78</v>
      </c>
      <c r="B256" s="42">
        <f t="shared" si="104"/>
        <v>7024464213</v>
      </c>
      <c r="C256" s="42">
        <f t="shared" si="104"/>
        <v>14951683755</v>
      </c>
      <c r="D256" s="42">
        <f t="shared" si="104"/>
        <v>14753060919</v>
      </c>
      <c r="E256" s="42">
        <f t="shared" si="104"/>
        <v>15573578281</v>
      </c>
      <c r="F256" s="42">
        <f t="shared" si="104"/>
        <v>16154681226</v>
      </c>
      <c r="G256" s="42">
        <f t="shared" si="104"/>
        <v>16768753347</v>
      </c>
      <c r="H256" s="42">
        <f t="shared" si="104"/>
        <v>17896868903</v>
      </c>
      <c r="I256" s="42">
        <f t="shared" si="104"/>
        <v>17893096993</v>
      </c>
      <c r="J256" s="42">
        <f t="shared" si="104"/>
        <v>18054059667</v>
      </c>
      <c r="K256" s="42">
        <f t="shared" si="104"/>
        <v>18205518587</v>
      </c>
      <c r="L256" s="42">
        <f t="shared" si="104"/>
        <v>16608012903</v>
      </c>
      <c r="M256" s="42">
        <f t="shared" si="104"/>
        <v>18042603890</v>
      </c>
      <c r="N256" s="42">
        <f t="shared" si="104"/>
        <v>19051010265</v>
      </c>
      <c r="O256" s="42">
        <f t="shared" si="104"/>
        <v>20708751567</v>
      </c>
      <c r="P256" s="42">
        <f t="shared" si="104"/>
        <v>21638718419</v>
      </c>
      <c r="Q256" s="43">
        <f t="shared" si="104"/>
        <v>20266353094.054512</v>
      </c>
      <c r="R256" s="43">
        <f t="shared" si="107"/>
        <v>20725782572.387234</v>
      </c>
      <c r="S256" s="43">
        <f t="shared" si="107"/>
        <v>22026723291.837395</v>
      </c>
      <c r="T256" s="43">
        <f t="shared" si="106"/>
        <v>22418089367.326294</v>
      </c>
      <c r="U256" s="43">
        <f t="shared" si="106"/>
        <v>23337771322.74268</v>
      </c>
      <c r="V256" s="43">
        <f t="shared" si="106"/>
        <v>24549248118.004025</v>
      </c>
      <c r="W256" s="43">
        <f t="shared" si="106"/>
        <v>25532631199.677956</v>
      </c>
      <c r="X256" s="43">
        <f t="shared" si="106"/>
        <v>27371222692.852657</v>
      </c>
      <c r="Y256" s="43">
        <f t="shared" si="106"/>
        <v>27772136810.685947</v>
      </c>
      <c r="Z256" s="43">
        <f t="shared" si="106"/>
        <v>28345593380.311935</v>
      </c>
      <c r="AA256" s="43">
        <f t="shared" si="106"/>
        <v>29090914730.28281</v>
      </c>
      <c r="AB256" s="43">
        <f t="shared" si="106"/>
        <v>28256848556.902321</v>
      </c>
      <c r="AC256" s="43">
        <f t="shared" si="106"/>
        <v>29428919707.975204</v>
      </c>
      <c r="AD256" s="43">
        <f t="shared" si="106"/>
        <v>30930120310.178555</v>
      </c>
      <c r="AE256" s="43">
        <f t="shared" si="106"/>
        <v>31246054751.172005</v>
      </c>
      <c r="AF256" s="43">
        <f t="shared" si="106"/>
        <v>30755577293.330441</v>
      </c>
      <c r="AG256" s="43">
        <f t="shared" si="106"/>
        <v>31848635744.748249</v>
      </c>
      <c r="AH256" s="43">
        <f t="shared" si="106"/>
        <v>33901833625.38063</v>
      </c>
      <c r="AI256" s="43">
        <f t="shared" si="106"/>
        <v>36112362717.781105</v>
      </c>
      <c r="AJ256" s="43">
        <f t="shared" si="106"/>
        <v>38012114954.356476</v>
      </c>
      <c r="AK256" s="43">
        <f t="shared" si="106"/>
        <v>39879368362.829895</v>
      </c>
      <c r="AL256" s="43">
        <f t="shared" si="106"/>
        <v>41688020244.0672</v>
      </c>
      <c r="AM256" s="43">
        <f t="shared" si="106"/>
        <v>43989858206.417572</v>
      </c>
      <c r="AN256" s="43">
        <f t="shared" si="106"/>
        <v>46110373960.690186</v>
      </c>
      <c r="AO256" s="43">
        <f t="shared" si="106"/>
        <v>48253287225.364807</v>
      </c>
      <c r="AP256" s="43">
        <f t="shared" si="106"/>
        <v>50655189978.242294</v>
      </c>
      <c r="AQ256" s="43">
        <f t="shared" si="106"/>
        <v>52884504998.311897</v>
      </c>
      <c r="AR256" s="43"/>
    </row>
    <row r="257" spans="1:44">
      <c r="A257" s="51"/>
      <c r="B257" s="67"/>
      <c r="C257" s="67"/>
      <c r="D257" s="67"/>
      <c r="E257" s="67"/>
      <c r="F257" s="67"/>
      <c r="G257" s="67"/>
      <c r="H257" s="67"/>
      <c r="I257" s="67"/>
      <c r="J257" s="67"/>
      <c r="K257" s="67"/>
      <c r="L257" s="67"/>
      <c r="M257" s="67"/>
      <c r="N257" s="67"/>
      <c r="O257" s="67"/>
      <c r="P257" s="67"/>
      <c r="Q257" s="68"/>
      <c r="R257" s="68"/>
      <c r="S257" s="68"/>
      <c r="T257" s="68"/>
      <c r="U257" s="68"/>
      <c r="V257" s="68"/>
      <c r="W257" s="68"/>
      <c r="X257" s="68"/>
      <c r="Y257" s="68"/>
      <c r="Z257" s="68"/>
      <c r="AA257" s="68"/>
      <c r="AB257" s="68"/>
      <c r="AC257" s="68"/>
      <c r="AD257" s="68"/>
      <c r="AE257" s="68"/>
      <c r="AF257" s="68"/>
      <c r="AG257" s="68"/>
      <c r="AH257" s="68"/>
      <c r="AI257" s="68"/>
      <c r="AJ257" s="68"/>
      <c r="AK257" s="68"/>
      <c r="AL257" s="68"/>
      <c r="AM257" s="68"/>
      <c r="AN257" s="68"/>
      <c r="AO257" s="68"/>
      <c r="AP257" s="68"/>
      <c r="AQ257" s="68"/>
    </row>
    <row r="258" spans="1:44">
      <c r="M258" s="69"/>
      <c r="N258" s="70"/>
      <c r="O258" s="71"/>
      <c r="P258" s="71"/>
      <c r="Q258" s="70"/>
    </row>
    <row r="259" spans="1:44" ht="12" thickBot="1">
      <c r="A259" s="39" t="s">
        <v>156</v>
      </c>
    </row>
    <row r="260" spans="1:44" ht="12" thickBot="1">
      <c r="A260" s="41"/>
      <c r="B260" s="41"/>
      <c r="C260" s="41"/>
      <c r="D260" s="41">
        <f>D228</f>
        <v>2012</v>
      </c>
      <c r="E260" s="41">
        <f>E228</f>
        <v>2013</v>
      </c>
      <c r="F260" s="41">
        <f>F228</f>
        <v>2014</v>
      </c>
      <c r="G260" s="41">
        <f>G228</f>
        <v>2015</v>
      </c>
      <c r="H260" s="41">
        <f>H228</f>
        <v>2016</v>
      </c>
      <c r="I260" s="41">
        <f t="shared" ref="I260:AQ260" si="108">I228</f>
        <v>2017</v>
      </c>
      <c r="J260" s="41">
        <f t="shared" si="108"/>
        <v>2018</v>
      </c>
      <c r="K260" s="41">
        <f t="shared" si="108"/>
        <v>2019</v>
      </c>
      <c r="L260" s="41">
        <f t="shared" si="108"/>
        <v>2020</v>
      </c>
      <c r="M260" s="41">
        <f t="shared" si="108"/>
        <v>2021</v>
      </c>
      <c r="N260" s="41">
        <f t="shared" si="108"/>
        <v>2022</v>
      </c>
      <c r="O260" s="41">
        <f t="shared" si="108"/>
        <v>2023</v>
      </c>
      <c r="P260" s="41">
        <f t="shared" si="108"/>
        <v>2024</v>
      </c>
      <c r="Q260" s="41">
        <f t="shared" si="108"/>
        <v>2025</v>
      </c>
      <c r="R260" s="41">
        <f t="shared" si="108"/>
        <v>2026</v>
      </c>
      <c r="S260" s="41">
        <f t="shared" si="108"/>
        <v>2027</v>
      </c>
      <c r="T260" s="41">
        <f t="shared" si="108"/>
        <v>2028</v>
      </c>
      <c r="U260" s="41">
        <f t="shared" si="108"/>
        <v>2029</v>
      </c>
      <c r="V260" s="41">
        <f t="shared" si="108"/>
        <v>2030</v>
      </c>
      <c r="W260" s="41">
        <f t="shared" si="108"/>
        <v>2031</v>
      </c>
      <c r="X260" s="41">
        <f t="shared" si="108"/>
        <v>2032</v>
      </c>
      <c r="Y260" s="41">
        <f t="shared" si="108"/>
        <v>2033</v>
      </c>
      <c r="Z260" s="41">
        <f t="shared" si="108"/>
        <v>2034</v>
      </c>
      <c r="AA260" s="41">
        <f t="shared" si="108"/>
        <v>2035</v>
      </c>
      <c r="AB260" s="41">
        <f t="shared" si="108"/>
        <v>2036</v>
      </c>
      <c r="AC260" s="41">
        <f t="shared" si="108"/>
        <v>2037</v>
      </c>
      <c r="AD260" s="41">
        <f t="shared" si="108"/>
        <v>2038</v>
      </c>
      <c r="AE260" s="41">
        <f t="shared" si="108"/>
        <v>2039</v>
      </c>
      <c r="AF260" s="41">
        <f t="shared" si="108"/>
        <v>2040</v>
      </c>
      <c r="AG260" s="41">
        <f t="shared" si="108"/>
        <v>2041</v>
      </c>
      <c r="AH260" s="41">
        <f t="shared" si="108"/>
        <v>2042</v>
      </c>
      <c r="AI260" s="41">
        <f t="shared" si="108"/>
        <v>2043</v>
      </c>
      <c r="AJ260" s="41">
        <f t="shared" si="108"/>
        <v>2044</v>
      </c>
      <c r="AK260" s="41">
        <f t="shared" si="108"/>
        <v>2045</v>
      </c>
      <c r="AL260" s="41">
        <f t="shared" si="108"/>
        <v>2046</v>
      </c>
      <c r="AM260" s="41">
        <f t="shared" si="108"/>
        <v>2047</v>
      </c>
      <c r="AN260" s="41">
        <f t="shared" si="108"/>
        <v>2048</v>
      </c>
      <c r="AO260" s="41">
        <f t="shared" si="108"/>
        <v>2049</v>
      </c>
      <c r="AP260" s="41">
        <f t="shared" si="108"/>
        <v>2050</v>
      </c>
      <c r="AQ260" s="41">
        <f t="shared" si="108"/>
        <v>2051</v>
      </c>
    </row>
    <row r="261" spans="1:44">
      <c r="A261" s="40" t="s">
        <v>68</v>
      </c>
      <c r="C261" s="72"/>
      <c r="D261" s="72">
        <f>D245/C245-1</f>
        <v>3.961865608597237E-2</v>
      </c>
      <c r="E261" s="72">
        <f t="shared" ref="D261:AQ267" si="109">E245/D245-1</f>
        <v>-7.1700938920191915E-2</v>
      </c>
      <c r="F261" s="72">
        <f t="shared" si="109"/>
        <v>8.5981959786018303E-2</v>
      </c>
      <c r="G261" s="72">
        <f t="shared" si="109"/>
        <v>4.2019800125018714E-2</v>
      </c>
      <c r="H261" s="72">
        <f t="shared" si="109"/>
        <v>4.0021072122480961E-2</v>
      </c>
      <c r="I261" s="72">
        <f t="shared" si="109"/>
        <v>1.0388710211870489E-2</v>
      </c>
      <c r="J261" s="72">
        <f t="shared" si="109"/>
        <v>3.5012550131842346E-2</v>
      </c>
      <c r="K261" s="72">
        <f t="shared" si="109"/>
        <v>-3.4197300936643082E-2</v>
      </c>
      <c r="L261" s="72">
        <f t="shared" si="109"/>
        <v>5.500993717188174E-2</v>
      </c>
      <c r="M261" s="72">
        <f t="shared" si="109"/>
        <v>-0.11688709795966012</v>
      </c>
      <c r="N261" s="72">
        <f t="shared" si="109"/>
        <v>0.12344163836260513</v>
      </c>
      <c r="O261" s="72">
        <f t="shared" si="109"/>
        <v>7.364734071754353E-2</v>
      </c>
      <c r="P261" s="72">
        <f t="shared" si="109"/>
        <v>6.0983638335625034E-2</v>
      </c>
      <c r="Q261" s="72">
        <f t="shared" si="109"/>
        <v>-4.7535386307407168E-2</v>
      </c>
      <c r="R261" s="73">
        <f t="shared" si="109"/>
        <v>-9.5625982341795979E-3</v>
      </c>
      <c r="S261" s="73">
        <f t="shared" si="109"/>
        <v>3.9299352044142477E-2</v>
      </c>
      <c r="T261" s="73">
        <f t="shared" si="109"/>
        <v>7.9589580494852097E-3</v>
      </c>
      <c r="U261" s="73">
        <f t="shared" si="109"/>
        <v>3.968990874436007E-2</v>
      </c>
      <c r="V261" s="73">
        <f t="shared" si="109"/>
        <v>3.475206809414777E-2</v>
      </c>
      <c r="W261" s="73">
        <f t="shared" si="109"/>
        <v>3.12667827988522E-2</v>
      </c>
      <c r="X261" s="73">
        <f t="shared" si="109"/>
        <v>0.1075557537368077</v>
      </c>
      <c r="Y261" s="73">
        <f t="shared" si="109"/>
        <v>3.6433705056821974E-2</v>
      </c>
      <c r="Z261" s="73">
        <f t="shared" si="109"/>
        <v>4.7814656337074268E-2</v>
      </c>
      <c r="AA261" s="73">
        <f t="shared" si="109"/>
        <v>-4.3197307704712085E-4</v>
      </c>
      <c r="AB261" s="73">
        <f t="shared" si="109"/>
        <v>-0.13430984073190644</v>
      </c>
      <c r="AC261" s="73">
        <f t="shared" si="109"/>
        <v>2.0614252994331173E-2</v>
      </c>
      <c r="AD261" s="73">
        <f t="shared" si="109"/>
        <v>1.0969557860458501E-2</v>
      </c>
      <c r="AE261" s="73">
        <f t="shared" si="109"/>
        <v>-1.1352380088816671E-2</v>
      </c>
      <c r="AF261" s="73">
        <f t="shared" si="109"/>
        <v>-9.5246094451606478E-3</v>
      </c>
      <c r="AG261" s="73">
        <f t="shared" si="109"/>
        <v>2.421072721480666E-2</v>
      </c>
      <c r="AH261" s="73">
        <f t="shared" si="109"/>
        <v>-1.9551926834443845E-2</v>
      </c>
      <c r="AI261" s="73">
        <f t="shared" si="109"/>
        <v>2.2201401434554846E-2</v>
      </c>
      <c r="AJ261" s="73">
        <f t="shared" si="109"/>
        <v>-6.6149192428275772E-2</v>
      </c>
      <c r="AK261" s="73">
        <f t="shared" si="109"/>
        <v>-0.10398920261261113</v>
      </c>
      <c r="AL261" s="73">
        <f t="shared" si="109"/>
        <v>-9.6828132003278111E-2</v>
      </c>
      <c r="AM261" s="73">
        <f t="shared" si="109"/>
        <v>-0.11392750878054314</v>
      </c>
      <c r="AN261" s="73">
        <f t="shared" si="109"/>
        <v>-2.7832535015540283E-2</v>
      </c>
      <c r="AO261" s="73">
        <f t="shared" si="109"/>
        <v>-2.078497798001222E-2</v>
      </c>
      <c r="AP261" s="73">
        <f t="shared" si="109"/>
        <v>4.0600242881989601E-2</v>
      </c>
      <c r="AQ261" s="73">
        <f t="shared" si="109"/>
        <v>0.94125585745284268</v>
      </c>
      <c r="AR261" s="73"/>
    </row>
    <row r="262" spans="1:44">
      <c r="A262" s="40" t="s">
        <v>69</v>
      </c>
      <c r="C262" s="72"/>
      <c r="D262" s="72">
        <f t="shared" si="109"/>
        <v>4.7806948309471853E-2</v>
      </c>
      <c r="E262" s="72">
        <f t="shared" si="109"/>
        <v>-8.288660147600091E-2</v>
      </c>
      <c r="F262" s="72">
        <f t="shared" si="109"/>
        <v>8.8358746722195569E-2</v>
      </c>
      <c r="G262" s="72">
        <f t="shared" si="109"/>
        <v>4.1980342178323582E-2</v>
      </c>
      <c r="H262" s="72">
        <f t="shared" si="109"/>
        <v>7.3055047552706975E-2</v>
      </c>
      <c r="I262" s="72">
        <f t="shared" si="109"/>
        <v>-2.7775735652399991E-3</v>
      </c>
      <c r="J262" s="72">
        <f t="shared" si="109"/>
        <v>1.6675823006151447E-2</v>
      </c>
      <c r="K262" s="72">
        <f t="shared" si="109"/>
        <v>7.9975786382149305E-3</v>
      </c>
      <c r="L262" s="72">
        <f t="shared" si="109"/>
        <v>4.2758971518587208E-2</v>
      </c>
      <c r="M262" s="72">
        <f t="shared" si="109"/>
        <v>-0.15391988936871759</v>
      </c>
      <c r="N262" s="72">
        <f t="shared" si="109"/>
        <v>0.16689832806880722</v>
      </c>
      <c r="O262" s="72">
        <f t="shared" si="109"/>
        <v>8.4619040982145011E-2</v>
      </c>
      <c r="P262" s="72">
        <f t="shared" si="109"/>
        <v>0.1055919966202703</v>
      </c>
      <c r="Q262" s="72">
        <f t="shared" si="109"/>
        <v>-0.12024825645846859</v>
      </c>
      <c r="R262" s="73">
        <f t="shared" si="109"/>
        <v>3.2824872591903809E-2</v>
      </c>
      <c r="S262" s="73">
        <f t="shared" si="109"/>
        <v>5.4550186348406138E-2</v>
      </c>
      <c r="T262" s="73">
        <f t="shared" si="109"/>
        <v>1.4967418229530516E-2</v>
      </c>
      <c r="U262" s="73">
        <f t="shared" si="109"/>
        <v>4.8534388234399151E-2</v>
      </c>
      <c r="V262" s="73">
        <f t="shared" si="109"/>
        <v>3.8244705276273327E-2</v>
      </c>
      <c r="W262" s="73">
        <f t="shared" si="109"/>
        <v>3.9889339550010394E-2</v>
      </c>
      <c r="X262" s="73">
        <f t="shared" si="109"/>
        <v>0.13955832623538389</v>
      </c>
      <c r="Y262" s="73">
        <f t="shared" si="109"/>
        <v>3.959773459218896E-2</v>
      </c>
      <c r="Z262" s="73">
        <f t="shared" si="109"/>
        <v>6.7567385136735103E-2</v>
      </c>
      <c r="AA262" s="73">
        <f t="shared" si="109"/>
        <v>-5.9568843864185039E-3</v>
      </c>
      <c r="AB262" s="73">
        <f t="shared" si="109"/>
        <v>-0.18163737398873969</v>
      </c>
      <c r="AC262" s="73">
        <f t="shared" si="109"/>
        <v>2.0537261466578416E-2</v>
      </c>
      <c r="AD262" s="73">
        <f t="shared" si="109"/>
        <v>4.3709869229271447E-3</v>
      </c>
      <c r="AE262" s="73">
        <f t="shared" si="109"/>
        <v>-1.6941163768650402E-2</v>
      </c>
      <c r="AF262" s="73">
        <f t="shared" si="109"/>
        <v>-3.0737022705498163E-3</v>
      </c>
      <c r="AG262" s="73">
        <f t="shared" si="109"/>
        <v>2.62092475085558E-2</v>
      </c>
      <c r="AH262" s="73">
        <f t="shared" si="109"/>
        <v>-3.6078405647278267E-2</v>
      </c>
      <c r="AI262" s="73">
        <f t="shared" si="109"/>
        <v>2.2442559461304024E-2</v>
      </c>
      <c r="AJ262" s="73">
        <f t="shared" si="109"/>
        <v>-0.10302475400285527</v>
      </c>
      <c r="AK262" s="73">
        <f t="shared" si="109"/>
        <v>-0.16331406907945833</v>
      </c>
      <c r="AL262" s="73">
        <f t="shared" si="109"/>
        <v>-0.16014353684254967</v>
      </c>
      <c r="AM262" s="73">
        <f t="shared" si="109"/>
        <v>-0.21440433356054656</v>
      </c>
      <c r="AN262" s="73">
        <f t="shared" si="109"/>
        <v>-7.6039211877263591E-2</v>
      </c>
      <c r="AO262" s="73">
        <f t="shared" si="109"/>
        <v>-6.6561207699374569E-2</v>
      </c>
      <c r="AP262" s="73">
        <f t="shared" si="109"/>
        <v>6.1212397293993748E-2</v>
      </c>
      <c r="AQ262" s="73">
        <f t="shared" si="109"/>
        <v>2.018276242793517</v>
      </c>
      <c r="AR262" s="73"/>
    </row>
    <row r="263" spans="1:44">
      <c r="A263" s="40" t="s">
        <v>70</v>
      </c>
      <c r="C263" s="72"/>
      <c r="D263" s="72">
        <f t="shared" si="109"/>
        <v>2.1499052904883742E-2</v>
      </c>
      <c r="E263" s="72">
        <f t="shared" si="109"/>
        <v>-6.8982784018958854E-2</v>
      </c>
      <c r="F263" s="72">
        <f t="shared" si="109"/>
        <v>8.5561475405294463E-2</v>
      </c>
      <c r="G263" s="72">
        <f t="shared" si="109"/>
        <v>4.0532090034482104E-2</v>
      </c>
      <c r="H263" s="72">
        <f t="shared" si="109"/>
        <v>6.3406879180034403E-2</v>
      </c>
      <c r="I263" s="72">
        <f t="shared" si="109"/>
        <v>1.2793812481467715E-2</v>
      </c>
      <c r="J263" s="72">
        <f t="shared" si="109"/>
        <v>5.7732149309785985E-3</v>
      </c>
      <c r="K263" s="72">
        <f t="shared" si="109"/>
        <v>4.0291810277972573E-3</v>
      </c>
      <c r="L263" s="72">
        <f t="shared" si="109"/>
        <v>2.2804328110155758E-2</v>
      </c>
      <c r="M263" s="72">
        <f t="shared" si="109"/>
        <v>-8.9943213843296732E-2</v>
      </c>
      <c r="N263" s="72">
        <f t="shared" si="109"/>
        <v>0.13972003170334846</v>
      </c>
      <c r="O263" s="72">
        <f t="shared" si="109"/>
        <v>6.376042897539147E-2</v>
      </c>
      <c r="P263" s="72">
        <f t="shared" si="109"/>
        <v>6.7437471499163681E-2</v>
      </c>
      <c r="Q263" s="72">
        <f t="shared" si="109"/>
        <v>-9.000494594599695E-2</v>
      </c>
      <c r="R263" s="73">
        <f t="shared" si="109"/>
        <v>2.7745420696398959E-2</v>
      </c>
      <c r="S263" s="73">
        <f t="shared" si="109"/>
        <v>4.1932185226265073E-2</v>
      </c>
      <c r="T263" s="73">
        <f t="shared" si="109"/>
        <v>7.0465592904851437E-3</v>
      </c>
      <c r="U263" s="73">
        <f t="shared" si="109"/>
        <v>4.5299795039203117E-2</v>
      </c>
      <c r="V263" s="73">
        <f t="shared" si="109"/>
        <v>3.6247771006487683E-2</v>
      </c>
      <c r="W263" s="73">
        <f t="shared" si="109"/>
        <v>3.6448083191598091E-2</v>
      </c>
      <c r="X263" s="73">
        <f t="shared" si="109"/>
        <v>0.13907935909539137</v>
      </c>
      <c r="Y263" s="73">
        <f t="shared" si="109"/>
        <v>3.8390819077580352E-2</v>
      </c>
      <c r="Z263" s="73">
        <f t="shared" si="109"/>
        <v>7.0074644370429651E-2</v>
      </c>
      <c r="AA263" s="73">
        <f t="shared" si="109"/>
        <v>-8.2931867266282655E-3</v>
      </c>
      <c r="AB263" s="73">
        <f t="shared" si="109"/>
        <v>-0.18604068007936492</v>
      </c>
      <c r="AC263" s="73">
        <f t="shared" si="109"/>
        <v>1.7657134521713358E-2</v>
      </c>
      <c r="AD263" s="73">
        <f t="shared" si="109"/>
        <v>-1.4016268734837745E-3</v>
      </c>
      <c r="AE263" s="73">
        <f t="shared" si="109"/>
        <v>-1.8504115408910837E-2</v>
      </c>
      <c r="AF263" s="73">
        <f t="shared" si="109"/>
        <v>-2.6311810107768618E-3</v>
      </c>
      <c r="AG263" s="73">
        <f t="shared" si="109"/>
        <v>2.5472543585849161E-2</v>
      </c>
      <c r="AH263" s="73">
        <f t="shared" si="109"/>
        <v>-4.1972242902284518E-2</v>
      </c>
      <c r="AI263" s="73">
        <f t="shared" si="109"/>
        <v>2.19428500666774E-2</v>
      </c>
      <c r="AJ263" s="73">
        <f t="shared" si="109"/>
        <v>-0.11503538574603211</v>
      </c>
      <c r="AK263" s="73">
        <f t="shared" si="109"/>
        <v>-0.18500140952712063</v>
      </c>
      <c r="AL263" s="73">
        <f t="shared" si="109"/>
        <v>-0.18880681862779303</v>
      </c>
      <c r="AM263" s="73">
        <f t="shared" si="109"/>
        <v>-0.26049914155981846</v>
      </c>
      <c r="AN263" s="73">
        <f t="shared" si="109"/>
        <v>-0.10108255566428537</v>
      </c>
      <c r="AO263" s="73">
        <f t="shared" si="109"/>
        <v>-9.2095649809132096E-2</v>
      </c>
      <c r="AP263" s="73">
        <f t="shared" si="109"/>
        <v>6.9741133077268591E-2</v>
      </c>
      <c r="AQ263" s="73">
        <f t="shared" si="109"/>
        <v>2.6366937418286716</v>
      </c>
      <c r="AR263" s="73"/>
    </row>
    <row r="264" spans="1:44">
      <c r="A264" s="40" t="s">
        <v>71</v>
      </c>
      <c r="C264" s="72"/>
      <c r="D264" s="72">
        <f t="shared" si="109"/>
        <v>3.0176548072202714E-2</v>
      </c>
      <c r="E264" s="72">
        <f t="shared" si="109"/>
        <v>-4.6368425740274555E-2</v>
      </c>
      <c r="F264" s="72">
        <f t="shared" si="109"/>
        <v>8.854419010884973E-2</v>
      </c>
      <c r="G264" s="72">
        <f t="shared" si="109"/>
        <v>2.7439338337814645E-2</v>
      </c>
      <c r="H264" s="72">
        <f t="shared" si="109"/>
        <v>5.5703296921155054E-2</v>
      </c>
      <c r="I264" s="72">
        <f t="shared" si="109"/>
        <v>7.1236174631035265E-3</v>
      </c>
      <c r="J264" s="72">
        <f t="shared" si="109"/>
        <v>1.9857834257164697E-2</v>
      </c>
      <c r="K264" s="72">
        <f t="shared" si="109"/>
        <v>1.7234211534151278E-2</v>
      </c>
      <c r="L264" s="72">
        <f t="shared" si="109"/>
        <v>-9.2512470119208712E-2</v>
      </c>
      <c r="M264" s="72">
        <f t="shared" si="109"/>
        <v>2.3531670479668643E-2</v>
      </c>
      <c r="N264" s="72">
        <f t="shared" si="109"/>
        <v>0.11791563452265486</v>
      </c>
      <c r="O264" s="72">
        <f t="shared" si="109"/>
        <v>6.3106445986778725E-2</v>
      </c>
      <c r="P264" s="72">
        <f t="shared" si="109"/>
        <v>7.7747676798852305E-2</v>
      </c>
      <c r="Q264" s="73">
        <f t="shared" si="109"/>
        <v>-0.10381190774590354</v>
      </c>
      <c r="R264" s="73">
        <f t="shared" si="109"/>
        <v>3.1208486376879119E-2</v>
      </c>
      <c r="S264" s="73">
        <f t="shared" si="109"/>
        <v>4.4011639563851013E-2</v>
      </c>
      <c r="T264" s="73">
        <f t="shared" si="109"/>
        <v>7.2523365864718414E-3</v>
      </c>
      <c r="U264" s="73">
        <f t="shared" si="109"/>
        <v>4.3362123598733593E-2</v>
      </c>
      <c r="V264" s="73">
        <f t="shared" si="109"/>
        <v>3.6151498741811894E-2</v>
      </c>
      <c r="W264" s="73">
        <f t="shared" si="109"/>
        <v>3.6982460514254578E-2</v>
      </c>
      <c r="X264" s="73">
        <f t="shared" si="109"/>
        <v>0.1197325010875403</v>
      </c>
      <c r="Y264" s="73">
        <f t="shared" si="109"/>
        <v>3.1123268922426561E-2</v>
      </c>
      <c r="Z264" s="73">
        <f t="shared" si="109"/>
        <v>5.6972406439669276E-2</v>
      </c>
      <c r="AA264" s="73">
        <f t="shared" si="109"/>
        <v>-2.3784589194971728E-3</v>
      </c>
      <c r="AB264" s="73">
        <f t="shared" si="109"/>
        <v>-0.15133460943388033</v>
      </c>
      <c r="AC264" s="73">
        <f t="shared" si="109"/>
        <v>2.0955111441965046E-2</v>
      </c>
      <c r="AD264" s="73">
        <f t="shared" si="109"/>
        <v>9.5150921645568154E-3</v>
      </c>
      <c r="AE264" s="73">
        <f t="shared" si="109"/>
        <v>-1.3596575084264151E-2</v>
      </c>
      <c r="AF264" s="73">
        <f t="shared" si="109"/>
        <v>-9.5831244193107512E-3</v>
      </c>
      <c r="AG264" s="73">
        <f t="shared" si="109"/>
        <v>2.5461597137864223E-2</v>
      </c>
      <c r="AH264" s="73">
        <f t="shared" si="109"/>
        <v>-2.3089036301266574E-2</v>
      </c>
      <c r="AI264" s="73">
        <f t="shared" si="109"/>
        <v>2.3916446173638972E-2</v>
      </c>
      <c r="AJ264" s="73">
        <f t="shared" si="109"/>
        <v>-7.7816962643530996E-2</v>
      </c>
      <c r="AK264" s="73">
        <f t="shared" si="109"/>
        <v>-0.12312198725127066</v>
      </c>
      <c r="AL264" s="73">
        <f t="shared" si="109"/>
        <v>-0.11723459451877294</v>
      </c>
      <c r="AM264" s="73">
        <f t="shared" si="109"/>
        <v>-0.14349573784913783</v>
      </c>
      <c r="AN264" s="73">
        <f t="shared" si="109"/>
        <v>-4.2518680411950727E-2</v>
      </c>
      <c r="AO264" s="73">
        <f t="shared" si="109"/>
        <v>-3.4945560797420949E-2</v>
      </c>
      <c r="AP264" s="73">
        <f t="shared" si="109"/>
        <v>4.3792034716945816E-2</v>
      </c>
      <c r="AQ264" s="73">
        <f t="shared" si="109"/>
        <v>1.2207060207942395</v>
      </c>
      <c r="AR264" s="73"/>
    </row>
    <row r="265" spans="1:44">
      <c r="A265" s="40" t="s">
        <v>47</v>
      </c>
      <c r="C265" s="72"/>
      <c r="D265" s="72">
        <f t="shared" si="109"/>
        <v>3.0824573872540562E-2</v>
      </c>
      <c r="E265" s="72">
        <f t="shared" si="109"/>
        <v>-2.759571330847288E-2</v>
      </c>
      <c r="F265" s="72">
        <f t="shared" si="109"/>
        <v>7.9256285920310976E-2</v>
      </c>
      <c r="G265" s="72">
        <f t="shared" si="109"/>
        <v>2.3055122164207908E-2</v>
      </c>
      <c r="H265" s="72">
        <f t="shared" si="109"/>
        <v>5.824407265977416E-2</v>
      </c>
      <c r="I265" s="72">
        <f t="shared" si="109"/>
        <v>1.0942800985925816E-2</v>
      </c>
      <c r="J265" s="72">
        <f t="shared" si="109"/>
        <v>1.7828558349027857E-2</v>
      </c>
      <c r="K265" s="72">
        <f t="shared" si="109"/>
        <v>1.6806687638199369E-2</v>
      </c>
      <c r="L265" s="72">
        <f t="shared" si="109"/>
        <v>-0.13383054871132327</v>
      </c>
      <c r="M265" s="72">
        <f t="shared" si="109"/>
        <v>8.8473215167863994E-2</v>
      </c>
      <c r="N265" s="72">
        <f t="shared" si="109"/>
        <v>0.10162092614116891</v>
      </c>
      <c r="O265" s="72">
        <f t="shared" si="109"/>
        <v>7.3539237679927982E-2</v>
      </c>
      <c r="P265" s="72">
        <f t="shared" si="109"/>
        <v>5.7904832329614964E-2</v>
      </c>
      <c r="Q265" s="73">
        <f t="shared" si="109"/>
        <v>-9.8211819383605237E-2</v>
      </c>
      <c r="R265" s="73">
        <f t="shared" si="109"/>
        <v>3.6041158950123275E-2</v>
      </c>
      <c r="S265" s="73">
        <f t="shared" si="109"/>
        <v>4.5905301651176345E-2</v>
      </c>
      <c r="T265" s="73">
        <f t="shared" si="109"/>
        <v>9.0844846515027999E-3</v>
      </c>
      <c r="U265" s="73">
        <f t="shared" si="109"/>
        <v>4.223083401967731E-2</v>
      </c>
      <c r="V265" s="73">
        <f t="shared" si="109"/>
        <v>3.8853191996742309E-2</v>
      </c>
      <c r="W265" s="73">
        <f t="shared" si="109"/>
        <v>3.8157690387759624E-2</v>
      </c>
      <c r="X265" s="73">
        <f t="shared" si="109"/>
        <v>0.10836519525432564</v>
      </c>
      <c r="Y265" s="73">
        <f t="shared" si="109"/>
        <v>2.7080982633362449E-2</v>
      </c>
      <c r="Z265" s="73">
        <f t="shared" si="109"/>
        <v>4.8754053377837447E-2</v>
      </c>
      <c r="AA265" s="73">
        <f t="shared" si="109"/>
        <v>3.1212922907410956E-3</v>
      </c>
      <c r="AB265" s="73">
        <f t="shared" si="109"/>
        <v>-0.12606067553488653</v>
      </c>
      <c r="AC265" s="73">
        <f t="shared" si="109"/>
        <v>2.4853395328423566E-2</v>
      </c>
      <c r="AD265" s="73">
        <f t="shared" si="109"/>
        <v>1.8657861763361705E-2</v>
      </c>
      <c r="AE265" s="73">
        <f t="shared" si="109"/>
        <v>-8.6916633778748587E-3</v>
      </c>
      <c r="AF265" s="73">
        <f t="shared" si="109"/>
        <v>-1.2200531581428864E-2</v>
      </c>
      <c r="AG265" s="73">
        <f t="shared" si="109"/>
        <v>2.7031821284587254E-2</v>
      </c>
      <c r="AH265" s="73">
        <f t="shared" si="109"/>
        <v>-4.4663355718023157E-3</v>
      </c>
      <c r="AI265" s="73">
        <f t="shared" si="109"/>
        <v>3.1266239580081789E-2</v>
      </c>
      <c r="AJ265" s="73">
        <f t="shared" si="109"/>
        <v>-4.646518340137229E-2</v>
      </c>
      <c r="AK265" s="73">
        <f t="shared" si="109"/>
        <v>-7.6719906246602632E-2</v>
      </c>
      <c r="AL265" s="73">
        <f t="shared" si="109"/>
        <v>-6.837375678565738E-2</v>
      </c>
      <c r="AM265" s="73">
        <f t="shared" si="109"/>
        <v>-7.5962971212403363E-2</v>
      </c>
      <c r="AN265" s="73">
        <f t="shared" si="109"/>
        <v>-1.0541289945432686E-2</v>
      </c>
      <c r="AO265" s="73">
        <f t="shared" si="109"/>
        <v>-5.454112958061752E-3</v>
      </c>
      <c r="AP265" s="73">
        <f t="shared" si="109"/>
        <v>4.1028040275420619E-2</v>
      </c>
      <c r="AQ265" s="73">
        <f t="shared" si="109"/>
        <v>0.69536237094458664</v>
      </c>
      <c r="AR265" s="73"/>
    </row>
    <row r="266" spans="1:44">
      <c r="A266" s="40" t="s">
        <v>72</v>
      </c>
      <c r="C266" s="72"/>
      <c r="D266" s="72">
        <f t="shared" si="109"/>
        <v>2.3772937688951723E-2</v>
      </c>
      <c r="E266" s="72">
        <f t="shared" si="109"/>
        <v>-1.4188550953176615E-2</v>
      </c>
      <c r="F266" s="72">
        <f t="shared" si="109"/>
        <v>7.4533170777053348E-2</v>
      </c>
      <c r="G266" s="72">
        <f t="shared" si="109"/>
        <v>2.8512331979834826E-2</v>
      </c>
      <c r="H266" s="72">
        <f t="shared" si="109"/>
        <v>6.1946434764264424E-2</v>
      </c>
      <c r="I266" s="72">
        <f t="shared" si="109"/>
        <v>7.2755626326439504E-3</v>
      </c>
      <c r="J266" s="72">
        <f t="shared" si="109"/>
        <v>7.3609564947751949E-3</v>
      </c>
      <c r="K266" s="72">
        <f t="shared" si="109"/>
        <v>1.9502003507004373E-2</v>
      </c>
      <c r="L266" s="72">
        <f t="shared" si="109"/>
        <v>-0.1296311767147631</v>
      </c>
      <c r="M266" s="72">
        <f t="shared" si="109"/>
        <v>0.1035292955761864</v>
      </c>
      <c r="N266" s="72">
        <f t="shared" si="109"/>
        <v>8.90780862541245E-2</v>
      </c>
      <c r="O266" s="72">
        <f t="shared" si="109"/>
        <v>7.4361850598678281E-2</v>
      </c>
      <c r="P266" s="72">
        <f t="shared" si="109"/>
        <v>4.963368546749436E-2</v>
      </c>
      <c r="Q266" s="73">
        <f t="shared" si="109"/>
        <v>-9.1077704600943776E-2</v>
      </c>
      <c r="R266" s="73">
        <f t="shared" si="109"/>
        <v>3.5665732467916822E-2</v>
      </c>
      <c r="S266" s="73">
        <f t="shared" si="109"/>
        <v>4.657797131782293E-2</v>
      </c>
      <c r="T266" s="73">
        <f t="shared" si="109"/>
        <v>9.6445389811101734E-3</v>
      </c>
      <c r="U266" s="73">
        <f t="shared" si="109"/>
        <v>4.1416649830657848E-2</v>
      </c>
      <c r="V266" s="73">
        <f t="shared" si="109"/>
        <v>4.1911638506827664E-2</v>
      </c>
      <c r="W266" s="73">
        <f t="shared" si="109"/>
        <v>3.8376839581695688E-2</v>
      </c>
      <c r="X266" s="73">
        <f t="shared" si="109"/>
        <v>0.1011431864201886</v>
      </c>
      <c r="Y266" s="73">
        <f t="shared" si="109"/>
        <v>2.4973703115523938E-2</v>
      </c>
      <c r="Z266" s="73">
        <f t="shared" si="109"/>
        <v>4.3979041652278728E-2</v>
      </c>
      <c r="AA266" s="73">
        <f t="shared" si="109"/>
        <v>7.4455006366649368E-3</v>
      </c>
      <c r="AB266" s="73">
        <f t="shared" si="109"/>
        <v>-0.10842246277845624</v>
      </c>
      <c r="AC266" s="73">
        <f t="shared" si="109"/>
        <v>2.817169603417935E-2</v>
      </c>
      <c r="AD266" s="73">
        <f t="shared" si="109"/>
        <v>2.5238695970102532E-2</v>
      </c>
      <c r="AE266" s="73">
        <f t="shared" si="109"/>
        <v>-4.1146371146075778E-3</v>
      </c>
      <c r="AF266" s="73">
        <f t="shared" si="109"/>
        <v>-1.1743785825149566E-2</v>
      </c>
      <c r="AG266" s="73">
        <f t="shared" si="109"/>
        <v>2.9616006136417461E-2</v>
      </c>
      <c r="AH266" s="73">
        <f t="shared" si="109"/>
        <v>1.2489722538595149E-2</v>
      </c>
      <c r="AI266" s="73">
        <f t="shared" si="109"/>
        <v>4.188482832061946E-2</v>
      </c>
      <c r="AJ266" s="73">
        <f t="shared" si="109"/>
        <v>-2.0357342427117064E-2</v>
      </c>
      <c r="AK266" s="73">
        <f t="shared" si="109"/>
        <v>-4.1545555307549997E-2</v>
      </c>
      <c r="AL266" s="73">
        <f t="shared" si="109"/>
        <v>-3.2565403918914937E-2</v>
      </c>
      <c r="AM266" s="73">
        <f t="shared" si="109"/>
        <v>-3.1746994266519724E-2</v>
      </c>
      <c r="AN266" s="73">
        <f t="shared" si="109"/>
        <v>1.4414968387713945E-2</v>
      </c>
      <c r="AO266" s="73">
        <f t="shared" si="109"/>
        <v>1.8386750454211453E-2</v>
      </c>
      <c r="AP266" s="73">
        <f t="shared" si="109"/>
        <v>4.9832436087771548E-2</v>
      </c>
      <c r="AQ266" s="73">
        <f t="shared" si="109"/>
        <v>0.46012747246913221</v>
      </c>
      <c r="AR266" s="73"/>
    </row>
    <row r="267" spans="1:44">
      <c r="A267" s="40" t="s">
        <v>73</v>
      </c>
      <c r="C267" s="72"/>
      <c r="D267" s="72">
        <f t="shared" si="109"/>
        <v>1.794220447419681E-2</v>
      </c>
      <c r="E267" s="72">
        <f t="shared" si="109"/>
        <v>5.4569207460393176E-3</v>
      </c>
      <c r="F267" s="72">
        <f t="shared" si="109"/>
        <v>7.2741812669875339E-2</v>
      </c>
      <c r="G267" s="72">
        <f t="shared" si="109"/>
        <v>2.5433285830876562E-2</v>
      </c>
      <c r="H267" s="72">
        <f t="shared" si="109"/>
        <v>5.4476141387411969E-2</v>
      </c>
      <c r="I267" s="72">
        <f t="shared" si="109"/>
        <v>1.0525082648913164E-2</v>
      </c>
      <c r="J267" s="72">
        <f t="shared" si="109"/>
        <v>1.2207080249931002E-2</v>
      </c>
      <c r="K267" s="72">
        <f t="shared" si="109"/>
        <v>2.1916998795544762E-2</v>
      </c>
      <c r="L267" s="72">
        <f t="shared" si="109"/>
        <v>-0.12438605590124208</v>
      </c>
      <c r="M267" s="72">
        <f t="shared" si="109"/>
        <v>9.5465700741744985E-2</v>
      </c>
      <c r="N267" s="72">
        <f t="shared" si="109"/>
        <v>7.2655922740556766E-2</v>
      </c>
      <c r="O267" s="72">
        <f t="shared" si="109"/>
        <v>8.244380463986789E-2</v>
      </c>
      <c r="P267" s="72">
        <f t="shared" si="109"/>
        <v>5.8263572084879423E-2</v>
      </c>
      <c r="Q267" s="73">
        <f t="shared" si="109"/>
        <v>-9.2570741075331142E-2</v>
      </c>
      <c r="R267" s="73">
        <f t="shared" si="109"/>
        <v>3.3205157858315903E-2</v>
      </c>
      <c r="S267" s="73">
        <f t="shared" si="109"/>
        <v>4.7870280967660994E-2</v>
      </c>
      <c r="T267" s="73">
        <f t="shared" ref="I267:AQ272" si="110">T251/S251-1</f>
        <v>1.2053586670252248E-2</v>
      </c>
      <c r="U267" s="73">
        <f t="shared" si="110"/>
        <v>4.175917634736348E-2</v>
      </c>
      <c r="V267" s="73">
        <f t="shared" si="110"/>
        <v>4.3230972617938734E-2</v>
      </c>
      <c r="W267" s="73">
        <f t="shared" si="110"/>
        <v>3.8547183514815009E-2</v>
      </c>
      <c r="X267" s="73">
        <f t="shared" si="110"/>
        <v>9.6476428835451822E-2</v>
      </c>
      <c r="Y267" s="73">
        <f t="shared" si="110"/>
        <v>2.3835626666755871E-2</v>
      </c>
      <c r="Z267" s="73">
        <f t="shared" si="110"/>
        <v>4.0752123733027723E-2</v>
      </c>
      <c r="AA267" s="73">
        <f t="shared" si="110"/>
        <v>1.0563911446618501E-2</v>
      </c>
      <c r="AB267" s="73">
        <f t="shared" si="110"/>
        <v>-9.5486541129418456E-2</v>
      </c>
      <c r="AC267" s="73">
        <f t="shared" si="110"/>
        <v>3.0737802295963013E-2</v>
      </c>
      <c r="AD267" s="73">
        <f t="shared" si="110"/>
        <v>3.0030640678958997E-2</v>
      </c>
      <c r="AE267" s="73">
        <f t="shared" si="110"/>
        <v>-8.3436294950101075E-4</v>
      </c>
      <c r="AF267" s="73">
        <f t="shared" si="110"/>
        <v>-1.116282723833717E-2</v>
      </c>
      <c r="AG267" s="73">
        <f t="shared" si="110"/>
        <v>3.1448502519349164E-2</v>
      </c>
      <c r="AH267" s="73">
        <f t="shared" si="110"/>
        <v>2.4493850064118083E-2</v>
      </c>
      <c r="AI267" s="73">
        <f t="shared" si="110"/>
        <v>4.9228446834156614E-2</v>
      </c>
      <c r="AJ267" s="73">
        <f t="shared" si="110"/>
        <v>-2.8909032437900439E-3</v>
      </c>
      <c r="AK267" s="73">
        <f t="shared" si="110"/>
        <v>-1.9047215236272286E-2</v>
      </c>
      <c r="AL267" s="73">
        <f t="shared" si="110"/>
        <v>-1.0896677714573366E-2</v>
      </c>
      <c r="AM267" s="73">
        <f t="shared" si="110"/>
        <v>-6.8017310675121401E-3</v>
      </c>
      <c r="AN267" s="73">
        <f t="shared" si="110"/>
        <v>2.7422756742445431E-2</v>
      </c>
      <c r="AO267" s="73">
        <f t="shared" si="110"/>
        <v>3.0317182641995899E-2</v>
      </c>
      <c r="AP267" s="73">
        <f t="shared" si="110"/>
        <v>5.4071696994115737E-2</v>
      </c>
      <c r="AQ267" s="73">
        <f t="shared" si="110"/>
        <v>0.3475520420797642</v>
      </c>
      <c r="AR267" s="73"/>
    </row>
    <row r="268" spans="1:44">
      <c r="A268" s="40" t="s">
        <v>74</v>
      </c>
      <c r="C268" s="72"/>
      <c r="D268" s="72">
        <f t="shared" ref="D268:H272" si="111">D252/C252-1</f>
        <v>1.3922284535492047E-2</v>
      </c>
      <c r="E268" s="72">
        <f t="shared" si="111"/>
        <v>1.5276451985963169E-2</v>
      </c>
      <c r="F268" s="72">
        <f t="shared" si="111"/>
        <v>5.9458247161445987E-2</v>
      </c>
      <c r="G268" s="72">
        <f t="shared" si="111"/>
        <v>3.1624460140240673E-2</v>
      </c>
      <c r="H268" s="72">
        <f t="shared" si="111"/>
        <v>6.1503312837202007E-2</v>
      </c>
      <c r="I268" s="72">
        <f t="shared" si="110"/>
        <v>8.5290162996127794E-3</v>
      </c>
      <c r="J268" s="72">
        <f t="shared" si="110"/>
        <v>1.2723179154487951E-2</v>
      </c>
      <c r="K268" s="72">
        <f t="shared" si="110"/>
        <v>9.5462189149384535E-3</v>
      </c>
      <c r="L268" s="72">
        <f t="shared" si="110"/>
        <v>-0.11426533265847572</v>
      </c>
      <c r="M268" s="72">
        <f t="shared" si="110"/>
        <v>9.1869450369873151E-2</v>
      </c>
      <c r="N268" s="72">
        <f t="shared" si="110"/>
        <v>7.1360818244904811E-2</v>
      </c>
      <c r="O268" s="72">
        <f t="shared" si="110"/>
        <v>8.2708515744589928E-2</v>
      </c>
      <c r="P268" s="72">
        <f t="shared" si="110"/>
        <v>5.6141139185589717E-2</v>
      </c>
      <c r="Q268" s="73">
        <f t="shared" si="110"/>
        <v>-8.9691783362167432E-2</v>
      </c>
      <c r="R268" s="73">
        <f t="shared" si="110"/>
        <v>3.3082838430540384E-2</v>
      </c>
      <c r="S268" s="73">
        <f t="shared" si="110"/>
        <v>5.3059313944454845E-2</v>
      </c>
      <c r="T268" s="73">
        <f t="shared" si="110"/>
        <v>1.2967511099985174E-2</v>
      </c>
      <c r="U268" s="73">
        <f t="shared" si="110"/>
        <v>4.2361597321629807E-2</v>
      </c>
      <c r="V268" s="73">
        <f t="shared" si="110"/>
        <v>4.4734484980774925E-2</v>
      </c>
      <c r="W268" s="73">
        <f t="shared" si="110"/>
        <v>3.8947749636109696E-2</v>
      </c>
      <c r="X268" s="73">
        <f t="shared" si="110"/>
        <v>9.3203276151254011E-2</v>
      </c>
      <c r="Y268" s="73">
        <f t="shared" si="110"/>
        <v>2.2991664653459587E-2</v>
      </c>
      <c r="Z268" s="73">
        <f t="shared" si="110"/>
        <v>3.8527235876776755E-2</v>
      </c>
      <c r="AA268" s="73">
        <f t="shared" si="110"/>
        <v>1.3141592420889969E-2</v>
      </c>
      <c r="AB268" s="73">
        <f t="shared" si="110"/>
        <v>-8.5630985759262312E-2</v>
      </c>
      <c r="AC268" s="73">
        <f t="shared" si="110"/>
        <v>3.2895445972825899E-2</v>
      </c>
      <c r="AD268" s="73">
        <f t="shared" si="110"/>
        <v>3.3882604538226113E-2</v>
      </c>
      <c r="AE268" s="73">
        <f t="shared" si="110"/>
        <v>1.9429689538597028E-3</v>
      </c>
      <c r="AF268" s="73">
        <f t="shared" si="110"/>
        <v>-1.0201127558763234E-2</v>
      </c>
      <c r="AG268" s="73">
        <f t="shared" si="110"/>
        <v>3.3215686463035077E-2</v>
      </c>
      <c r="AH268" s="73">
        <f t="shared" si="110"/>
        <v>3.451167275288447E-2</v>
      </c>
      <c r="AI268" s="73">
        <f t="shared" si="110"/>
        <v>5.5927977459166112E-2</v>
      </c>
      <c r="AJ268" s="73">
        <f t="shared" si="110"/>
        <v>1.1242143248606284E-2</v>
      </c>
      <c r="AK268" s="73">
        <f t="shared" si="110"/>
        <v>-1.4829418444178843E-3</v>
      </c>
      <c r="AL268" s="73">
        <f t="shared" si="110"/>
        <v>5.8078362333484623E-3</v>
      </c>
      <c r="AM268" s="73">
        <f t="shared" si="110"/>
        <v>1.1621386364673025E-2</v>
      </c>
      <c r="AN268" s="73">
        <f t="shared" si="110"/>
        <v>3.7870330133380925E-2</v>
      </c>
      <c r="AO268" s="73">
        <f t="shared" si="110"/>
        <v>4.007626502700079E-2</v>
      </c>
      <c r="AP268" s="73">
        <f t="shared" si="110"/>
        <v>5.8938686110408867E-2</v>
      </c>
      <c r="AQ268" s="73">
        <f t="shared" si="110"/>
        <v>0.27962359115919733</v>
      </c>
      <c r="AR268" s="73"/>
    </row>
    <row r="269" spans="1:44">
      <c r="A269" s="40" t="s">
        <v>75</v>
      </c>
      <c r="C269" s="72"/>
      <c r="D269" s="72">
        <f t="shared" si="111"/>
        <v>4.9279453597237399E-3</v>
      </c>
      <c r="E269" s="72">
        <f t="shared" si="111"/>
        <v>2.8903862858587814E-2</v>
      </c>
      <c r="F269" s="72">
        <f t="shared" si="111"/>
        <v>5.1825909327685382E-2</v>
      </c>
      <c r="G269" s="72">
        <f t="shared" si="111"/>
        <v>3.4783479096745396E-2</v>
      </c>
      <c r="H269" s="72">
        <f t="shared" si="111"/>
        <v>6.4067004649619008E-2</v>
      </c>
      <c r="I269" s="72">
        <f t="shared" si="110"/>
        <v>4.1977049211516793E-3</v>
      </c>
      <c r="J269" s="72">
        <f t="shared" si="110"/>
        <v>1.0859239807536003E-2</v>
      </c>
      <c r="K269" s="72">
        <f t="shared" si="110"/>
        <v>9.5571384647841207E-3</v>
      </c>
      <c r="L269" s="72">
        <f t="shared" si="110"/>
        <v>-0.10189152749326436</v>
      </c>
      <c r="M269" s="72">
        <f t="shared" si="110"/>
        <v>8.0000633245871144E-2</v>
      </c>
      <c r="N269" s="72">
        <f t="shared" si="110"/>
        <v>6.7311489844672279E-2</v>
      </c>
      <c r="O269" s="72">
        <f t="shared" si="110"/>
        <v>8.6008687050028731E-2</v>
      </c>
      <c r="P269" s="72">
        <f t="shared" si="110"/>
        <v>5.6705967717698647E-2</v>
      </c>
      <c r="Q269" s="73">
        <f t="shared" si="110"/>
        <v>-8.8305695352777103E-2</v>
      </c>
      <c r="R269" s="73">
        <f t="shared" si="110"/>
        <v>3.2387127091640711E-2</v>
      </c>
      <c r="S269" s="73">
        <f t="shared" si="110"/>
        <v>5.5347950072266228E-2</v>
      </c>
      <c r="T269" s="73">
        <f t="shared" si="110"/>
        <v>1.4795687769922239E-2</v>
      </c>
      <c r="U269" s="73">
        <f t="shared" si="110"/>
        <v>4.3846179618250103E-2</v>
      </c>
      <c r="V269" s="73">
        <f t="shared" si="110"/>
        <v>4.6956016602639483E-2</v>
      </c>
      <c r="W269" s="73">
        <f t="shared" si="110"/>
        <v>3.9893420761110132E-2</v>
      </c>
      <c r="X269" s="73">
        <f t="shared" si="110"/>
        <v>9.2167523156907016E-2</v>
      </c>
      <c r="Y269" s="73">
        <f t="shared" si="110"/>
        <v>2.2730302906796007E-2</v>
      </c>
      <c r="Z269" s="73">
        <f t="shared" si="110"/>
        <v>3.739911558036213E-2</v>
      </c>
      <c r="AA269" s="73">
        <f t="shared" si="110"/>
        <v>1.5331423935450728E-2</v>
      </c>
      <c r="AB269" s="73">
        <f t="shared" si="110"/>
        <v>-7.9542589959812449E-2</v>
      </c>
      <c r="AC269" s="73">
        <f t="shared" si="110"/>
        <v>3.5085247189352131E-2</v>
      </c>
      <c r="AD269" s="73">
        <f t="shared" si="110"/>
        <v>3.7416520524184982E-2</v>
      </c>
      <c r="AE269" s="73">
        <f t="shared" si="110"/>
        <v>4.0342445707488572E-3</v>
      </c>
      <c r="AF269" s="73">
        <f t="shared" si="110"/>
        <v>-9.4542503203574046E-3</v>
      </c>
      <c r="AG269" s="73">
        <f t="shared" si="110"/>
        <v>3.4838408135019927E-2</v>
      </c>
      <c r="AH269" s="73">
        <f t="shared" si="110"/>
        <v>4.2296643442947479E-2</v>
      </c>
      <c r="AI269" s="73">
        <f t="shared" si="110"/>
        <v>6.1243695505308615E-2</v>
      </c>
      <c r="AJ269" s="73">
        <f t="shared" si="110"/>
        <v>2.1546383686510406E-2</v>
      </c>
      <c r="AK269" s="73">
        <f t="shared" si="110"/>
        <v>1.1005356794887788E-2</v>
      </c>
      <c r="AL269" s="73">
        <f t="shared" si="110"/>
        <v>1.755216452445052E-2</v>
      </c>
      <c r="AM269" s="73">
        <f t="shared" si="110"/>
        <v>2.4058133810479942E-2</v>
      </c>
      <c r="AN269" s="73">
        <f t="shared" si="110"/>
        <v>4.4747792091636152E-2</v>
      </c>
      <c r="AO269" s="73">
        <f t="shared" si="110"/>
        <v>4.6399851720712038E-2</v>
      </c>
      <c r="AP269" s="73">
        <f t="shared" si="110"/>
        <v>6.2365301048503685E-2</v>
      </c>
      <c r="AQ269" s="73">
        <f t="shared" si="110"/>
        <v>0.23866799908120795</v>
      </c>
      <c r="AR269" s="73"/>
    </row>
    <row r="270" spans="1:44">
      <c r="A270" s="40" t="s">
        <v>76</v>
      </c>
      <c r="C270" s="72"/>
      <c r="D270" s="72">
        <f t="shared" si="111"/>
        <v>3.2436907344599586E-3</v>
      </c>
      <c r="E270" s="72">
        <f t="shared" si="111"/>
        <v>3.7949486798455334E-2</v>
      </c>
      <c r="F270" s="72">
        <f t="shared" si="111"/>
        <v>4.2339730931544972E-2</v>
      </c>
      <c r="G270" s="72">
        <f t="shared" si="111"/>
        <v>3.9444692067280185E-2</v>
      </c>
      <c r="H270" s="72">
        <f t="shared" si="111"/>
        <v>6.299568238140596E-2</v>
      </c>
      <c r="I270" s="72">
        <f t="shared" si="110"/>
        <v>5.7149467280970256E-3</v>
      </c>
      <c r="J270" s="72">
        <f t="shared" si="110"/>
        <v>1.0238523619953144E-2</v>
      </c>
      <c r="K270" s="72">
        <f t="shared" si="110"/>
        <v>1.060226431401845E-2</v>
      </c>
      <c r="L270" s="72">
        <f t="shared" si="110"/>
        <v>-0.10125245897063595</v>
      </c>
      <c r="M270" s="72">
        <f t="shared" si="110"/>
        <v>7.9396594786831587E-2</v>
      </c>
      <c r="N270" s="72">
        <f t="shared" si="110"/>
        <v>6.5808674821596025E-2</v>
      </c>
      <c r="O270" s="72">
        <f t="shared" si="110"/>
        <v>9.1168153535603258E-2</v>
      </c>
      <c r="P270" s="72">
        <f t="shared" si="110"/>
        <v>5.1860317971281322E-2</v>
      </c>
      <c r="Q270" s="73">
        <f t="shared" si="110"/>
        <v>-8.549937342858771E-2</v>
      </c>
      <c r="R270" s="73">
        <f t="shared" si="110"/>
        <v>3.3073243365543181E-2</v>
      </c>
      <c r="S270" s="73">
        <f t="shared" si="110"/>
        <v>5.8580666118697167E-2</v>
      </c>
      <c r="T270" s="73">
        <f t="shared" si="110"/>
        <v>1.6092132653457547E-2</v>
      </c>
      <c r="U270" s="73">
        <f t="shared" si="110"/>
        <v>4.3728942740035137E-2</v>
      </c>
      <c r="V270" s="73">
        <f t="shared" si="110"/>
        <v>4.8794174038851335E-2</v>
      </c>
      <c r="W270" s="73">
        <f t="shared" si="110"/>
        <v>4.0630290506755484E-2</v>
      </c>
      <c r="X270" s="73">
        <f t="shared" si="110"/>
        <v>9.093977045606394E-2</v>
      </c>
      <c r="Y270" s="73">
        <f t="shared" si="110"/>
        <v>2.2393930073208113E-2</v>
      </c>
      <c r="Z270" s="73">
        <f t="shared" si="110"/>
        <v>3.6246320730347392E-2</v>
      </c>
      <c r="AA270" s="73">
        <f t="shared" si="110"/>
        <v>1.7222622922514086E-2</v>
      </c>
      <c r="AB270" s="73">
        <f t="shared" si="110"/>
        <v>-7.3942766232167001E-2</v>
      </c>
      <c r="AC270" s="73">
        <f t="shared" si="110"/>
        <v>3.6897463232689054E-2</v>
      </c>
      <c r="AD270" s="73">
        <f t="shared" si="110"/>
        <v>4.0239694713350316E-2</v>
      </c>
      <c r="AE270" s="73">
        <f t="shared" si="110"/>
        <v>5.9127654702624266E-3</v>
      </c>
      <c r="AF270" s="73">
        <f t="shared" si="110"/>
        <v>-8.6493822666707798E-3</v>
      </c>
      <c r="AG270" s="73">
        <f t="shared" si="110"/>
        <v>3.6344757218457646E-2</v>
      </c>
      <c r="AH270" s="73">
        <f t="shared" si="110"/>
        <v>4.9134429627136766E-2</v>
      </c>
      <c r="AI270" s="73">
        <f t="shared" si="110"/>
        <v>6.6233317901724265E-2</v>
      </c>
      <c r="AJ270" s="73">
        <f t="shared" si="110"/>
        <v>3.0595570520987492E-2</v>
      </c>
      <c r="AK270" s="73">
        <f t="shared" si="110"/>
        <v>2.1729201691299993E-2</v>
      </c>
      <c r="AL270" s="73">
        <f t="shared" si="110"/>
        <v>2.7541889603698078E-2</v>
      </c>
      <c r="AM270" s="73">
        <f t="shared" si="110"/>
        <v>3.4607663574307335E-2</v>
      </c>
      <c r="AN270" s="73">
        <f t="shared" si="110"/>
        <v>5.1180157517987324E-2</v>
      </c>
      <c r="AO270" s="73">
        <f t="shared" si="110"/>
        <v>5.2474979500033214E-2</v>
      </c>
      <c r="AP270" s="73">
        <f t="shared" si="110"/>
        <v>6.6218557963415803E-2</v>
      </c>
      <c r="AQ270" s="73">
        <f t="shared" si="110"/>
        <v>0.20980607239298243</v>
      </c>
      <c r="AR270" s="73"/>
    </row>
    <row r="271" spans="1:44">
      <c r="A271" s="40" t="s">
        <v>77</v>
      </c>
      <c r="C271" s="72"/>
      <c r="D271" s="72">
        <f t="shared" si="111"/>
        <v>-1.7456721934483443E-4</v>
      </c>
      <c r="E271" s="72">
        <f t="shared" si="111"/>
        <v>4.1613405892766187E-2</v>
      </c>
      <c r="F271" s="72">
        <f t="shared" si="111"/>
        <v>3.6570937353747723E-2</v>
      </c>
      <c r="G271" s="72">
        <f t="shared" si="111"/>
        <v>4.2213480993535279E-2</v>
      </c>
      <c r="H271" s="72">
        <f t="shared" si="111"/>
        <v>6.4163645402800062E-2</v>
      </c>
      <c r="I271" s="72">
        <f t="shared" si="110"/>
        <v>6.7428810264473782E-3</v>
      </c>
      <c r="J271" s="72">
        <f t="shared" si="110"/>
        <v>6.6187634345140633E-3</v>
      </c>
      <c r="K271" s="72">
        <f t="shared" si="110"/>
        <v>7.5361519337686644E-3</v>
      </c>
      <c r="L271" s="72">
        <f t="shared" si="110"/>
        <v>-9.1636469077730265E-2</v>
      </c>
      <c r="M271" s="72">
        <f t="shared" si="110"/>
        <v>8.0586641444162277E-2</v>
      </c>
      <c r="N271" s="72">
        <f t="shared" si="110"/>
        <v>6.6079569316747966E-2</v>
      </c>
      <c r="O271" s="72">
        <f t="shared" si="110"/>
        <v>8.3863899243003859E-2</v>
      </c>
      <c r="P271" s="72">
        <f t="shared" si="110"/>
        <v>4.7824186577450911E-2</v>
      </c>
      <c r="Q271" s="73">
        <f t="shared" si="110"/>
        <v>-7.8084933240028742E-2</v>
      </c>
      <c r="R271" s="73">
        <f t="shared" si="110"/>
        <v>3.4603266028628621E-2</v>
      </c>
      <c r="S271" s="73">
        <f t="shared" si="110"/>
        <v>5.9987630892828658E-2</v>
      </c>
      <c r="T271" s="73">
        <f t="shared" si="110"/>
        <v>1.6087854548270331E-2</v>
      </c>
      <c r="U271" s="73">
        <f t="shared" si="110"/>
        <v>4.3485351091791413E-2</v>
      </c>
      <c r="V271" s="73">
        <f t="shared" si="110"/>
        <v>5.0315651717025123E-2</v>
      </c>
      <c r="W271" s="73">
        <f t="shared" si="110"/>
        <v>4.0838614165713105E-2</v>
      </c>
      <c r="X271" s="73">
        <f t="shared" si="110"/>
        <v>8.9727858510713743E-2</v>
      </c>
      <c r="Y271" s="73">
        <f t="shared" si="110"/>
        <v>2.1839896582199314E-2</v>
      </c>
      <c r="Z271" s="73">
        <f t="shared" si="110"/>
        <v>3.4948525545523523E-2</v>
      </c>
      <c r="AA271" s="73">
        <f t="shared" si="110"/>
        <v>1.8648947484808165E-2</v>
      </c>
      <c r="AB271" s="73">
        <f t="shared" si="110"/>
        <v>-6.8864928718065932E-2</v>
      </c>
      <c r="AC271" s="73">
        <f t="shared" si="110"/>
        <v>3.8314436732865387E-2</v>
      </c>
      <c r="AD271" s="73">
        <f t="shared" si="110"/>
        <v>4.2194757758573509E-2</v>
      </c>
      <c r="AE271" s="73">
        <f t="shared" si="110"/>
        <v>6.9622380452512012E-3</v>
      </c>
      <c r="AF271" s="73">
        <f t="shared" si="110"/>
        <v>-9.054421701358395E-3</v>
      </c>
      <c r="AG271" s="73">
        <f t="shared" si="110"/>
        <v>3.7021360171720641E-2</v>
      </c>
      <c r="AH271" s="73">
        <f t="shared" si="110"/>
        <v>5.2955675199167551E-2</v>
      </c>
      <c r="AI271" s="73">
        <f t="shared" si="110"/>
        <v>6.8481822940828829E-2</v>
      </c>
      <c r="AJ271" s="73">
        <f t="shared" si="110"/>
        <v>3.5343986986113851E-2</v>
      </c>
      <c r="AK271" s="73">
        <f t="shared" si="110"/>
        <v>2.7213980420434769E-2</v>
      </c>
      <c r="AL271" s="73">
        <f t="shared" si="110"/>
        <v>3.1959979130784966E-2</v>
      </c>
      <c r="AM271" s="73">
        <f t="shared" si="110"/>
        <v>3.9574429647600828E-2</v>
      </c>
      <c r="AN271" s="73">
        <f t="shared" si="110"/>
        <v>5.3169513555916925E-2</v>
      </c>
      <c r="AO271" s="73">
        <f t="shared" si="110"/>
        <v>5.4075211236200849E-2</v>
      </c>
      <c r="AP271" s="73">
        <f t="shared" si="110"/>
        <v>6.6364069782601343E-2</v>
      </c>
      <c r="AQ271" s="73">
        <f t="shared" si="110"/>
        <v>0.18991346183564883</v>
      </c>
      <c r="AR271" s="73"/>
    </row>
    <row r="272" spans="1:44" ht="12" thickBot="1">
      <c r="A272" s="40" t="s">
        <v>78</v>
      </c>
      <c r="C272" s="72"/>
      <c r="D272" s="72">
        <f t="shared" si="111"/>
        <v>-1.3284312272427434E-2</v>
      </c>
      <c r="E272" s="72">
        <f t="shared" si="111"/>
        <v>5.5616754143764213E-2</v>
      </c>
      <c r="F272" s="72">
        <f t="shared" si="111"/>
        <v>3.7313386462310527E-2</v>
      </c>
      <c r="G272" s="72">
        <f t="shared" si="111"/>
        <v>3.8012023413478868E-2</v>
      </c>
      <c r="H272" s="72">
        <f t="shared" si="111"/>
        <v>6.7274861324251312E-2</v>
      </c>
      <c r="I272" s="72">
        <f t="shared" si="110"/>
        <v>-2.1075809519777167E-4</v>
      </c>
      <c r="J272" s="72">
        <f t="shared" si="110"/>
        <v>8.9957973213341536E-3</v>
      </c>
      <c r="K272" s="72">
        <f t="shared" si="110"/>
        <v>8.3891890684755221E-3</v>
      </c>
      <c r="L272" s="72">
        <f t="shared" si="110"/>
        <v>-8.7748430585258386E-2</v>
      </c>
      <c r="M272" s="72">
        <f t="shared" si="110"/>
        <v>8.6379448003732096E-2</v>
      </c>
      <c r="N272" s="72">
        <f t="shared" si="110"/>
        <v>5.5890290622569339E-2</v>
      </c>
      <c r="O272" s="72">
        <f t="shared" si="110"/>
        <v>8.7015926134140997E-2</v>
      </c>
      <c r="P272" s="72">
        <f t="shared" si="110"/>
        <v>4.4906949073739932E-2</v>
      </c>
      <c r="Q272" s="73">
        <f t="shared" si="110"/>
        <v>-6.342174699867964E-2</v>
      </c>
      <c r="R272" s="73">
        <f t="shared" si="110"/>
        <v>2.2669568431998854E-2</v>
      </c>
      <c r="S272" s="73">
        <f t="shared" si="110"/>
        <v>6.2769196526426541E-2</v>
      </c>
      <c r="T272" s="73">
        <f t="shared" si="110"/>
        <v>1.7767784627045868E-2</v>
      </c>
      <c r="U272" s="73">
        <f t="shared" si="110"/>
        <v>4.1024100687045761E-2</v>
      </c>
      <c r="V272" s="73">
        <f t="shared" si="110"/>
        <v>5.1910560717542076E-2</v>
      </c>
      <c r="W272" s="73">
        <f t="shared" si="110"/>
        <v>4.0057564164367676E-2</v>
      </c>
      <c r="X272" s="73">
        <f t="shared" si="110"/>
        <v>7.2009479900289053E-2</v>
      </c>
      <c r="Y272" s="73">
        <f t="shared" si="110"/>
        <v>1.4647285666854026E-2</v>
      </c>
      <c r="Z272" s="73">
        <f t="shared" si="110"/>
        <v>2.0648629723202916E-2</v>
      </c>
      <c r="AA272" s="73">
        <f t="shared" si="110"/>
        <v>2.629408176328929E-2</v>
      </c>
      <c r="AB272" s="73">
        <f t="shared" si="110"/>
        <v>-2.8671019151977672E-2</v>
      </c>
      <c r="AC272" s="73">
        <f t="shared" si="110"/>
        <v>4.1479188619092611E-2</v>
      </c>
      <c r="AD272" s="73">
        <f t="shared" si="110"/>
        <v>5.1011067246091502E-2</v>
      </c>
      <c r="AE272" s="73">
        <f t="shared" si="110"/>
        <v>1.0214458845460239E-2</v>
      </c>
      <c r="AF272" s="73">
        <f t="shared" si="110"/>
        <v>-1.5697260398072066E-2</v>
      </c>
      <c r="AG272" s="73">
        <f t="shared" si="110"/>
        <v>3.5540170193939069E-2</v>
      </c>
      <c r="AH272" s="73">
        <f t="shared" si="110"/>
        <v>6.4467373016784402E-2</v>
      </c>
      <c r="AI272" s="73">
        <f t="shared" si="110"/>
        <v>6.5203821033018139E-2</v>
      </c>
      <c r="AJ272" s="73">
        <f t="shared" si="110"/>
        <v>5.2606700132638018E-2</v>
      </c>
      <c r="AK272" s="73">
        <f t="shared" si="110"/>
        <v>4.9122586594183115E-2</v>
      </c>
      <c r="AL272" s="73">
        <f t="shared" si="110"/>
        <v>4.5353072415336593E-2</v>
      </c>
      <c r="AM272" s="73">
        <f t="shared" si="110"/>
        <v>5.5215813772733879E-2</v>
      </c>
      <c r="AN272" s="73">
        <f t="shared" si="110"/>
        <v>4.8204650815702355E-2</v>
      </c>
      <c r="AO272" s="73">
        <f t="shared" si="110"/>
        <v>4.647356073280795E-2</v>
      </c>
      <c r="AP272" s="73">
        <f t="shared" si="110"/>
        <v>4.977697667849057E-2</v>
      </c>
      <c r="AQ272" s="73">
        <f t="shared" si="110"/>
        <v>4.4009607328037825E-2</v>
      </c>
      <c r="AR272" s="73"/>
    </row>
    <row r="273" spans="1:44">
      <c r="A273" s="51"/>
      <c r="B273" s="67"/>
      <c r="C273" s="67"/>
      <c r="D273" s="67"/>
      <c r="E273" s="67"/>
      <c r="F273" s="67"/>
      <c r="G273" s="67"/>
      <c r="H273" s="67"/>
      <c r="I273" s="67"/>
      <c r="J273" s="67"/>
      <c r="K273" s="67"/>
      <c r="L273" s="67"/>
      <c r="M273" s="67"/>
      <c r="N273" s="67"/>
      <c r="O273" s="67"/>
      <c r="P273" s="67"/>
      <c r="Q273" s="68"/>
      <c r="R273" s="68"/>
      <c r="S273" s="68"/>
      <c r="T273" s="68"/>
      <c r="U273" s="68"/>
      <c r="V273" s="68"/>
      <c r="W273" s="68"/>
      <c r="X273" s="68"/>
      <c r="Y273" s="68"/>
      <c r="Z273" s="68"/>
      <c r="AA273" s="68"/>
      <c r="AB273" s="68"/>
      <c r="AC273" s="68"/>
      <c r="AD273" s="68"/>
      <c r="AE273" s="68"/>
      <c r="AF273" s="68"/>
      <c r="AG273" s="68"/>
      <c r="AH273" s="68"/>
      <c r="AI273" s="68"/>
      <c r="AJ273" s="68"/>
      <c r="AK273" s="68"/>
      <c r="AL273" s="68"/>
      <c r="AM273" s="68"/>
      <c r="AN273" s="68"/>
      <c r="AO273" s="68"/>
      <c r="AP273" s="68"/>
      <c r="AQ273" s="68"/>
    </row>
    <row r="275" spans="1:44" ht="12" thickBot="1">
      <c r="A275" s="39" t="s">
        <v>157</v>
      </c>
    </row>
    <row r="276" spans="1:44" ht="12" thickBot="1">
      <c r="A276" s="41"/>
      <c r="B276" s="41">
        <f>B2</f>
        <v>2010</v>
      </c>
      <c r="C276" s="41">
        <f t="shared" ref="C276:AQ276" si="112">C2</f>
        <v>2011</v>
      </c>
      <c r="D276" s="41">
        <f t="shared" si="112"/>
        <v>2012</v>
      </c>
      <c r="E276" s="41">
        <f t="shared" si="112"/>
        <v>2013</v>
      </c>
      <c r="F276" s="41">
        <f t="shared" si="112"/>
        <v>2014</v>
      </c>
      <c r="G276" s="41">
        <f t="shared" si="112"/>
        <v>2015</v>
      </c>
      <c r="H276" s="41">
        <f t="shared" si="112"/>
        <v>2016</v>
      </c>
      <c r="I276" s="41">
        <f t="shared" si="112"/>
        <v>2017</v>
      </c>
      <c r="J276" s="41">
        <f t="shared" si="112"/>
        <v>2018</v>
      </c>
      <c r="K276" s="41">
        <f t="shared" si="112"/>
        <v>2019</v>
      </c>
      <c r="L276" s="41">
        <f t="shared" si="112"/>
        <v>2020</v>
      </c>
      <c r="M276" s="41">
        <f t="shared" si="112"/>
        <v>2021</v>
      </c>
      <c r="N276" s="41">
        <f t="shared" si="112"/>
        <v>2022</v>
      </c>
      <c r="O276" s="41">
        <f t="shared" si="112"/>
        <v>2023</v>
      </c>
      <c r="P276" s="41">
        <f t="shared" si="112"/>
        <v>2024</v>
      </c>
      <c r="Q276" s="41">
        <f t="shared" si="112"/>
        <v>2025</v>
      </c>
      <c r="R276" s="41">
        <f t="shared" si="112"/>
        <v>2026</v>
      </c>
      <c r="S276" s="41">
        <f t="shared" si="112"/>
        <v>2027</v>
      </c>
      <c r="T276" s="41">
        <f t="shared" si="112"/>
        <v>2028</v>
      </c>
      <c r="U276" s="41">
        <f t="shared" si="112"/>
        <v>2029</v>
      </c>
      <c r="V276" s="41">
        <f t="shared" si="112"/>
        <v>2030</v>
      </c>
      <c r="W276" s="41">
        <f t="shared" si="112"/>
        <v>2031</v>
      </c>
      <c r="X276" s="41">
        <f t="shared" si="112"/>
        <v>2032</v>
      </c>
      <c r="Y276" s="41">
        <f t="shared" si="112"/>
        <v>2033</v>
      </c>
      <c r="Z276" s="41">
        <f t="shared" si="112"/>
        <v>2034</v>
      </c>
      <c r="AA276" s="41">
        <f t="shared" si="112"/>
        <v>2035</v>
      </c>
      <c r="AB276" s="41">
        <f t="shared" si="112"/>
        <v>2036</v>
      </c>
      <c r="AC276" s="41">
        <f t="shared" si="112"/>
        <v>2037</v>
      </c>
      <c r="AD276" s="41">
        <f t="shared" si="112"/>
        <v>2038</v>
      </c>
      <c r="AE276" s="41">
        <f t="shared" si="112"/>
        <v>2039</v>
      </c>
      <c r="AF276" s="41">
        <f t="shared" si="112"/>
        <v>2040</v>
      </c>
      <c r="AG276" s="41">
        <f t="shared" si="112"/>
        <v>2041</v>
      </c>
      <c r="AH276" s="41">
        <f t="shared" si="112"/>
        <v>2042</v>
      </c>
      <c r="AI276" s="41">
        <f t="shared" si="112"/>
        <v>2043</v>
      </c>
      <c r="AJ276" s="41">
        <f t="shared" si="112"/>
        <v>2044</v>
      </c>
      <c r="AK276" s="41">
        <f t="shared" si="112"/>
        <v>2045</v>
      </c>
      <c r="AL276" s="41">
        <f t="shared" si="112"/>
        <v>2046</v>
      </c>
      <c r="AM276" s="41">
        <f t="shared" si="112"/>
        <v>2047</v>
      </c>
      <c r="AN276" s="41">
        <f t="shared" si="112"/>
        <v>2048</v>
      </c>
      <c r="AO276" s="41">
        <f t="shared" si="112"/>
        <v>2049</v>
      </c>
      <c r="AP276" s="41">
        <f t="shared" si="112"/>
        <v>2050</v>
      </c>
      <c r="AQ276" s="41">
        <f t="shared" si="112"/>
        <v>2051</v>
      </c>
    </row>
    <row r="277" spans="1:44">
      <c r="A277" s="40" t="s">
        <v>68</v>
      </c>
      <c r="C277" s="72"/>
      <c r="D277" s="72">
        <f t="shared" ref="D277:O277" si="113">D261-C261</f>
        <v>3.961865608597237E-2</v>
      </c>
      <c r="E277" s="72">
        <f t="shared" si="113"/>
        <v>-0.11131959500616428</v>
      </c>
      <c r="F277" s="72">
        <f t="shared" si="113"/>
        <v>0.15768289870621022</v>
      </c>
      <c r="G277" s="72">
        <f t="shared" si="113"/>
        <v>-4.3962159660999589E-2</v>
      </c>
      <c r="H277" s="72">
        <f t="shared" si="113"/>
        <v>-1.998728002537753E-3</v>
      </c>
      <c r="I277" s="72">
        <f t="shared" si="113"/>
        <v>-2.9632361910610472E-2</v>
      </c>
      <c r="J277" s="72">
        <f t="shared" si="113"/>
        <v>2.4623839919971857E-2</v>
      </c>
      <c r="K277" s="72">
        <f t="shared" si="113"/>
        <v>-6.9209851068485428E-2</v>
      </c>
      <c r="L277" s="72">
        <f t="shared" si="113"/>
        <v>8.9207238108524822E-2</v>
      </c>
      <c r="M277" s="72">
        <f t="shared" si="113"/>
        <v>-0.17189703513154186</v>
      </c>
      <c r="N277" s="72">
        <f t="shared" si="113"/>
        <v>0.24032873632226526</v>
      </c>
      <c r="O277" s="72">
        <f t="shared" si="113"/>
        <v>-4.9794297645061603E-2</v>
      </c>
      <c r="P277" s="72">
        <f>P261-O261</f>
        <v>-1.2663702381918496E-2</v>
      </c>
      <c r="Q277" s="72">
        <f>Q261-P261</f>
        <v>-0.1085190246430322</v>
      </c>
      <c r="R277" s="73">
        <f t="shared" ref="R277:AQ277" si="114">R261-Q261</f>
        <v>3.797278807322757E-2</v>
      </c>
      <c r="S277" s="73">
        <f t="shared" si="114"/>
        <v>4.8861950278322075E-2</v>
      </c>
      <c r="T277" s="73">
        <f t="shared" si="114"/>
        <v>-3.1340393994657267E-2</v>
      </c>
      <c r="U277" s="73">
        <f t="shared" si="114"/>
        <v>3.173095069487486E-2</v>
      </c>
      <c r="V277" s="73">
        <f t="shared" si="114"/>
        <v>-4.9378406502122996E-3</v>
      </c>
      <c r="W277" s="73">
        <f t="shared" si="114"/>
        <v>-3.4852852952955704E-3</v>
      </c>
      <c r="X277" s="73">
        <f t="shared" si="114"/>
        <v>7.6288970937955503E-2</v>
      </c>
      <c r="Y277" s="73">
        <f t="shared" si="114"/>
        <v>-7.1122048679985728E-2</v>
      </c>
      <c r="Z277" s="73">
        <f t="shared" si="114"/>
        <v>1.1380951280252294E-2</v>
      </c>
      <c r="AA277" s="73">
        <f t="shared" si="114"/>
        <v>-4.8246629414121389E-2</v>
      </c>
      <c r="AB277" s="73">
        <f t="shared" si="114"/>
        <v>-0.13387786765485932</v>
      </c>
      <c r="AC277" s="73">
        <f t="shared" si="114"/>
        <v>0.15492409372623761</v>
      </c>
      <c r="AD277" s="73">
        <f t="shared" si="114"/>
        <v>-9.6446951338726716E-3</v>
      </c>
      <c r="AE277" s="73">
        <f t="shared" si="114"/>
        <v>-2.2321937949275172E-2</v>
      </c>
      <c r="AF277" s="73">
        <f t="shared" si="114"/>
        <v>1.8277706436560237E-3</v>
      </c>
      <c r="AG277" s="73">
        <f t="shared" si="114"/>
        <v>3.3735336659967308E-2</v>
      </c>
      <c r="AH277" s="73">
        <f t="shared" si="114"/>
        <v>-4.3762654049250505E-2</v>
      </c>
      <c r="AI277" s="73">
        <f t="shared" si="114"/>
        <v>4.1753328268998691E-2</v>
      </c>
      <c r="AJ277" s="73">
        <f t="shared" si="114"/>
        <v>-8.8350593862830618E-2</v>
      </c>
      <c r="AK277" s="73">
        <f t="shared" si="114"/>
        <v>-3.784001018433536E-2</v>
      </c>
      <c r="AL277" s="73">
        <f t="shared" si="114"/>
        <v>7.1610706093330201E-3</v>
      </c>
      <c r="AM277" s="73">
        <f t="shared" si="114"/>
        <v>-1.709937677726503E-2</v>
      </c>
      <c r="AN277" s="73">
        <f t="shared" si="114"/>
        <v>8.6094973765002858E-2</v>
      </c>
      <c r="AO277" s="73">
        <f t="shared" si="114"/>
        <v>7.0475570355280626E-3</v>
      </c>
      <c r="AP277" s="73">
        <f t="shared" si="114"/>
        <v>6.1385220862001821E-2</v>
      </c>
      <c r="AQ277" s="73">
        <f t="shared" si="114"/>
        <v>0.90065561457085308</v>
      </c>
      <c r="AR277" s="74"/>
    </row>
    <row r="278" spans="1:44">
      <c r="A278" s="40" t="s">
        <v>69</v>
      </c>
      <c r="C278" s="72"/>
      <c r="D278" s="72">
        <f t="shared" ref="D278:AQ284" si="115">D261-C261</f>
        <v>3.961865608597237E-2</v>
      </c>
      <c r="E278" s="72">
        <f t="shared" si="115"/>
        <v>-0.11131959500616428</v>
      </c>
      <c r="F278" s="72">
        <f t="shared" si="115"/>
        <v>0.15768289870621022</v>
      </c>
      <c r="G278" s="72">
        <f t="shared" si="115"/>
        <v>-4.3962159660999589E-2</v>
      </c>
      <c r="H278" s="72">
        <f t="shared" si="115"/>
        <v>-1.998728002537753E-3</v>
      </c>
      <c r="I278" s="72">
        <f t="shared" si="115"/>
        <v>-2.9632361910610472E-2</v>
      </c>
      <c r="J278" s="72">
        <f t="shared" si="115"/>
        <v>2.4623839919971857E-2</v>
      </c>
      <c r="K278" s="72">
        <f t="shared" si="115"/>
        <v>-6.9209851068485428E-2</v>
      </c>
      <c r="L278" s="72">
        <f t="shared" si="115"/>
        <v>8.9207238108524822E-2</v>
      </c>
      <c r="M278" s="72">
        <f t="shared" si="115"/>
        <v>-0.17189703513154186</v>
      </c>
      <c r="N278" s="72">
        <f t="shared" si="115"/>
        <v>0.24032873632226526</v>
      </c>
      <c r="O278" s="72">
        <f t="shared" si="115"/>
        <v>-4.9794297645061603E-2</v>
      </c>
      <c r="P278" s="72">
        <f t="shared" si="115"/>
        <v>-1.2663702381918496E-2</v>
      </c>
      <c r="Q278" s="72">
        <f t="shared" si="115"/>
        <v>-0.1085190246430322</v>
      </c>
      <c r="R278" s="73">
        <f t="shared" si="115"/>
        <v>3.797278807322757E-2</v>
      </c>
      <c r="S278" s="73">
        <f t="shared" si="115"/>
        <v>4.8861950278322075E-2</v>
      </c>
      <c r="T278" s="73">
        <f t="shared" si="115"/>
        <v>-3.1340393994657267E-2</v>
      </c>
      <c r="U278" s="73">
        <f t="shared" si="115"/>
        <v>3.173095069487486E-2</v>
      </c>
      <c r="V278" s="73">
        <f t="shared" si="115"/>
        <v>-4.9378406502122996E-3</v>
      </c>
      <c r="W278" s="73">
        <f t="shared" si="115"/>
        <v>-3.4852852952955704E-3</v>
      </c>
      <c r="X278" s="73">
        <f t="shared" si="115"/>
        <v>7.6288970937955503E-2</v>
      </c>
      <c r="Y278" s="73">
        <f t="shared" si="115"/>
        <v>-7.1122048679985728E-2</v>
      </c>
      <c r="Z278" s="73">
        <f t="shared" si="115"/>
        <v>1.1380951280252294E-2</v>
      </c>
      <c r="AA278" s="73">
        <f t="shared" si="115"/>
        <v>-4.8246629414121389E-2</v>
      </c>
      <c r="AB278" s="73">
        <f t="shared" si="115"/>
        <v>-0.13387786765485932</v>
      </c>
      <c r="AC278" s="73">
        <f t="shared" si="115"/>
        <v>0.15492409372623761</v>
      </c>
      <c r="AD278" s="73">
        <f t="shared" si="115"/>
        <v>-9.6446951338726716E-3</v>
      </c>
      <c r="AE278" s="73">
        <f t="shared" si="115"/>
        <v>-2.2321937949275172E-2</v>
      </c>
      <c r="AF278" s="73">
        <f t="shared" si="115"/>
        <v>1.8277706436560237E-3</v>
      </c>
      <c r="AG278" s="73">
        <f t="shared" si="115"/>
        <v>3.3735336659967308E-2</v>
      </c>
      <c r="AH278" s="73">
        <f t="shared" si="115"/>
        <v>-4.3762654049250505E-2</v>
      </c>
      <c r="AI278" s="73">
        <f t="shared" si="115"/>
        <v>4.1753328268998691E-2</v>
      </c>
      <c r="AJ278" s="73">
        <f t="shared" si="115"/>
        <v>-8.8350593862830618E-2</v>
      </c>
      <c r="AK278" s="73">
        <f t="shared" si="115"/>
        <v>-3.784001018433536E-2</v>
      </c>
      <c r="AL278" s="73">
        <f t="shared" si="115"/>
        <v>7.1610706093330201E-3</v>
      </c>
      <c r="AM278" s="73">
        <f t="shared" si="115"/>
        <v>-1.709937677726503E-2</v>
      </c>
      <c r="AN278" s="73">
        <f t="shared" si="115"/>
        <v>8.6094973765002858E-2</v>
      </c>
      <c r="AO278" s="73">
        <f t="shared" si="115"/>
        <v>7.0475570355280626E-3</v>
      </c>
      <c r="AP278" s="73">
        <f t="shared" si="115"/>
        <v>6.1385220862001821E-2</v>
      </c>
      <c r="AQ278" s="73">
        <f t="shared" si="115"/>
        <v>0.90065561457085308</v>
      </c>
      <c r="AR278" s="74"/>
    </row>
    <row r="279" spans="1:44">
      <c r="A279" s="40" t="s">
        <v>70</v>
      </c>
      <c r="C279" s="72"/>
      <c r="D279" s="72">
        <f t="shared" si="115"/>
        <v>4.7806948309471853E-2</v>
      </c>
      <c r="E279" s="72">
        <f t="shared" si="115"/>
        <v>-0.13069354978547276</v>
      </c>
      <c r="F279" s="72">
        <f t="shared" si="115"/>
        <v>0.17124534819819648</v>
      </c>
      <c r="G279" s="72">
        <f t="shared" si="115"/>
        <v>-4.6378404543871987E-2</v>
      </c>
      <c r="H279" s="72">
        <f t="shared" si="115"/>
        <v>3.1074705374383393E-2</v>
      </c>
      <c r="I279" s="72">
        <f t="shared" si="115"/>
        <v>-7.5832621117946974E-2</v>
      </c>
      <c r="J279" s="72">
        <f t="shared" si="115"/>
        <v>1.9453396571391446E-2</v>
      </c>
      <c r="K279" s="72">
        <f t="shared" si="115"/>
        <v>-8.6782443679365162E-3</v>
      </c>
      <c r="L279" s="72">
        <f t="shared" si="115"/>
        <v>3.4761392880372277E-2</v>
      </c>
      <c r="M279" s="72">
        <f t="shared" si="115"/>
        <v>-0.1966788608873048</v>
      </c>
      <c r="N279" s="72">
        <f t="shared" si="115"/>
        <v>0.32081821743752481</v>
      </c>
      <c r="O279" s="72">
        <f t="shared" si="115"/>
        <v>-8.2279287086662212E-2</v>
      </c>
      <c r="P279" s="72">
        <f t="shared" si="115"/>
        <v>2.097295563812529E-2</v>
      </c>
      <c r="Q279" s="72">
        <f t="shared" si="115"/>
        <v>-0.2258402530787389</v>
      </c>
      <c r="R279" s="73">
        <f t="shared" si="115"/>
        <v>0.1530731290503724</v>
      </c>
      <c r="S279" s="73">
        <f t="shared" si="115"/>
        <v>2.1725313756502329E-2</v>
      </c>
      <c r="T279" s="73">
        <f t="shared" si="115"/>
        <v>-3.9582768118875622E-2</v>
      </c>
      <c r="U279" s="73">
        <f t="shared" si="115"/>
        <v>3.3566970004868635E-2</v>
      </c>
      <c r="V279" s="73">
        <f t="shared" si="115"/>
        <v>-1.0289682958125823E-2</v>
      </c>
      <c r="W279" s="73">
        <f t="shared" si="115"/>
        <v>1.6446342737370667E-3</v>
      </c>
      <c r="X279" s="73">
        <f t="shared" si="115"/>
        <v>9.9668986685373495E-2</v>
      </c>
      <c r="Y279" s="73">
        <f t="shared" si="115"/>
        <v>-9.9960591643194929E-2</v>
      </c>
      <c r="Z279" s="73">
        <f t="shared" si="115"/>
        <v>2.7969650544546143E-2</v>
      </c>
      <c r="AA279" s="73">
        <f t="shared" si="115"/>
        <v>-7.3524269523153607E-2</v>
      </c>
      <c r="AB279" s="73">
        <f t="shared" si="115"/>
        <v>-0.17568048960232119</v>
      </c>
      <c r="AC279" s="73">
        <f t="shared" si="115"/>
        <v>0.20217463545531811</v>
      </c>
      <c r="AD279" s="73">
        <f t="shared" si="115"/>
        <v>-1.6166274543651271E-2</v>
      </c>
      <c r="AE279" s="73">
        <f t="shared" si="115"/>
        <v>-2.1312150691577547E-2</v>
      </c>
      <c r="AF279" s="73">
        <f t="shared" si="115"/>
        <v>1.3867461498100586E-2</v>
      </c>
      <c r="AG279" s="73">
        <f t="shared" si="115"/>
        <v>2.9282949779105616E-2</v>
      </c>
      <c r="AH279" s="73">
        <f t="shared" si="115"/>
        <v>-6.2287653155834066E-2</v>
      </c>
      <c r="AI279" s="73">
        <f t="shared" si="115"/>
        <v>5.852096510858229E-2</v>
      </c>
      <c r="AJ279" s="73">
        <f t="shared" si="115"/>
        <v>-0.12546731346415929</v>
      </c>
      <c r="AK279" s="73">
        <f t="shared" si="115"/>
        <v>-6.0289315076603067E-2</v>
      </c>
      <c r="AL279" s="73">
        <f t="shared" si="115"/>
        <v>3.170532236908663E-3</v>
      </c>
      <c r="AM279" s="73">
        <f t="shared" si="115"/>
        <v>-5.4260796717996884E-2</v>
      </c>
      <c r="AN279" s="73">
        <f t="shared" si="115"/>
        <v>0.13836512168328297</v>
      </c>
      <c r="AO279" s="73">
        <f t="shared" si="115"/>
        <v>9.4780041778890212E-3</v>
      </c>
      <c r="AP279" s="73">
        <f t="shared" si="115"/>
        <v>0.12777360499336832</v>
      </c>
      <c r="AQ279" s="73">
        <f t="shared" si="115"/>
        <v>1.9570638454995233</v>
      </c>
      <c r="AR279" s="74"/>
    </row>
    <row r="280" spans="1:44">
      <c r="A280" s="40" t="s">
        <v>71</v>
      </c>
      <c r="C280" s="72"/>
      <c r="D280" s="72">
        <f t="shared" si="115"/>
        <v>2.1499052904883742E-2</v>
      </c>
      <c r="E280" s="72">
        <f t="shared" si="115"/>
        <v>-9.0481836923842596E-2</v>
      </c>
      <c r="F280" s="72">
        <f t="shared" si="115"/>
        <v>0.15454425942425332</v>
      </c>
      <c r="G280" s="72">
        <f t="shared" si="115"/>
        <v>-4.5029385370812358E-2</v>
      </c>
      <c r="H280" s="72">
        <f t="shared" si="115"/>
        <v>2.2874789145552299E-2</v>
      </c>
      <c r="I280" s="72">
        <f t="shared" si="115"/>
        <v>-5.0613066698566689E-2</v>
      </c>
      <c r="J280" s="72">
        <f t="shared" si="115"/>
        <v>-7.020597550489116E-3</v>
      </c>
      <c r="K280" s="72">
        <f t="shared" si="115"/>
        <v>-1.7440339031813412E-3</v>
      </c>
      <c r="L280" s="72">
        <f t="shared" si="115"/>
        <v>1.8775147082358501E-2</v>
      </c>
      <c r="M280" s="72">
        <f t="shared" si="115"/>
        <v>-0.11274754195345249</v>
      </c>
      <c r="N280" s="72">
        <f t="shared" si="115"/>
        <v>0.22966324554664519</v>
      </c>
      <c r="O280" s="72">
        <f t="shared" si="115"/>
        <v>-7.5959602727956987E-2</v>
      </c>
      <c r="P280" s="72">
        <f t="shared" si="115"/>
        <v>3.6770425237722115E-3</v>
      </c>
      <c r="Q280" s="73">
        <f t="shared" si="115"/>
        <v>-0.15744241744516063</v>
      </c>
      <c r="R280" s="73">
        <f t="shared" si="115"/>
        <v>0.11775036664239591</v>
      </c>
      <c r="S280" s="73">
        <f t="shared" si="115"/>
        <v>1.4186764529866114E-2</v>
      </c>
      <c r="T280" s="73">
        <f t="shared" si="115"/>
        <v>-3.4885625935779929E-2</v>
      </c>
      <c r="U280" s="73">
        <f t="shared" si="115"/>
        <v>3.8253235748717973E-2</v>
      </c>
      <c r="V280" s="73">
        <f t="shared" si="115"/>
        <v>-9.0520240327154333E-3</v>
      </c>
      <c r="W280" s="73">
        <f t="shared" si="115"/>
        <v>2.0031218511040727E-4</v>
      </c>
      <c r="X280" s="73">
        <f t="shared" si="115"/>
        <v>0.10263127590379328</v>
      </c>
      <c r="Y280" s="73">
        <f t="shared" si="115"/>
        <v>-0.10068854001781102</v>
      </c>
      <c r="Z280" s="73">
        <f t="shared" si="115"/>
        <v>3.1683825292849299E-2</v>
      </c>
      <c r="AA280" s="73">
        <f t="shared" si="115"/>
        <v>-7.8367831097057916E-2</v>
      </c>
      <c r="AB280" s="73">
        <f t="shared" si="115"/>
        <v>-0.17774749335273665</v>
      </c>
      <c r="AC280" s="73">
        <f t="shared" si="115"/>
        <v>0.20369781460107828</v>
      </c>
      <c r="AD280" s="73">
        <f t="shared" si="115"/>
        <v>-1.9058761395197132E-2</v>
      </c>
      <c r="AE280" s="73">
        <f t="shared" si="115"/>
        <v>-1.7102488535427063E-2</v>
      </c>
      <c r="AF280" s="73">
        <f t="shared" si="115"/>
        <v>1.5872934398133975E-2</v>
      </c>
      <c r="AG280" s="73">
        <f t="shared" si="115"/>
        <v>2.8103724596626023E-2</v>
      </c>
      <c r="AH280" s="73">
        <f t="shared" si="115"/>
        <v>-6.7444786488133679E-2</v>
      </c>
      <c r="AI280" s="73">
        <f t="shared" si="115"/>
        <v>6.3915092968961917E-2</v>
      </c>
      <c r="AJ280" s="73">
        <f t="shared" si="115"/>
        <v>-0.13697823581270951</v>
      </c>
      <c r="AK280" s="73">
        <f t="shared" si="115"/>
        <v>-6.9966023781088515E-2</v>
      </c>
      <c r="AL280" s="73">
        <f t="shared" si="115"/>
        <v>-3.8054091006723967E-3</v>
      </c>
      <c r="AM280" s="73">
        <f t="shared" si="115"/>
        <v>-7.1692322932025432E-2</v>
      </c>
      <c r="AN280" s="73">
        <f t="shared" si="115"/>
        <v>0.15941658589553309</v>
      </c>
      <c r="AO280" s="73">
        <f t="shared" si="115"/>
        <v>8.986905855153271E-3</v>
      </c>
      <c r="AP280" s="73">
        <f t="shared" si="115"/>
        <v>0.16183678288640069</v>
      </c>
      <c r="AQ280" s="73">
        <f t="shared" si="115"/>
        <v>2.5669526087514027</v>
      </c>
      <c r="AR280" s="74"/>
    </row>
    <row r="281" spans="1:44">
      <c r="A281" s="40" t="s">
        <v>47</v>
      </c>
      <c r="C281" s="72"/>
      <c r="D281" s="72">
        <f t="shared" si="115"/>
        <v>3.0176548072202714E-2</v>
      </c>
      <c r="E281" s="72">
        <f t="shared" si="115"/>
        <v>-7.6544973812477268E-2</v>
      </c>
      <c r="F281" s="72">
        <f t="shared" si="115"/>
        <v>0.13491261584912428</v>
      </c>
      <c r="G281" s="72">
        <f t="shared" si="115"/>
        <v>-6.1104851771035085E-2</v>
      </c>
      <c r="H281" s="72">
        <f t="shared" si="115"/>
        <v>2.8263958583340409E-2</v>
      </c>
      <c r="I281" s="72">
        <f t="shared" si="115"/>
        <v>-4.8579679458051528E-2</v>
      </c>
      <c r="J281" s="72">
        <f t="shared" si="115"/>
        <v>1.2734216794061171E-2</v>
      </c>
      <c r="K281" s="72">
        <f t="shared" si="115"/>
        <v>-2.623622723013419E-3</v>
      </c>
      <c r="L281" s="72">
        <f t="shared" si="115"/>
        <v>-0.10974668165335999</v>
      </c>
      <c r="M281" s="72">
        <f t="shared" si="115"/>
        <v>0.11604414059887735</v>
      </c>
      <c r="N281" s="72">
        <f t="shared" si="115"/>
        <v>9.4383964042986213E-2</v>
      </c>
      <c r="O281" s="72">
        <f t="shared" si="115"/>
        <v>-5.480918853587613E-2</v>
      </c>
      <c r="P281" s="72">
        <f t="shared" si="115"/>
        <v>1.464123081207358E-2</v>
      </c>
      <c r="Q281" s="73">
        <f t="shared" si="115"/>
        <v>-0.18155958454475585</v>
      </c>
      <c r="R281" s="73">
        <f t="shared" si="115"/>
        <v>0.13502039412278266</v>
      </c>
      <c r="S281" s="73">
        <f t="shared" si="115"/>
        <v>1.2803153186971894E-2</v>
      </c>
      <c r="T281" s="73">
        <f t="shared" si="115"/>
        <v>-3.6759302977379171E-2</v>
      </c>
      <c r="U281" s="73">
        <f t="shared" si="115"/>
        <v>3.6109787012261751E-2</v>
      </c>
      <c r="V281" s="73">
        <f t="shared" si="115"/>
        <v>-7.2106248569216991E-3</v>
      </c>
      <c r="W281" s="73">
        <f t="shared" si="115"/>
        <v>8.3096177244268432E-4</v>
      </c>
      <c r="X281" s="73">
        <f t="shared" si="115"/>
        <v>8.2750040573285721E-2</v>
      </c>
      <c r="Y281" s="73">
        <f t="shared" si="115"/>
        <v>-8.8609232165113738E-2</v>
      </c>
      <c r="Z281" s="73">
        <f t="shared" si="115"/>
        <v>2.5849137517242715E-2</v>
      </c>
      <c r="AA281" s="73">
        <f t="shared" si="115"/>
        <v>-5.9350865359166449E-2</v>
      </c>
      <c r="AB281" s="73">
        <f t="shared" si="115"/>
        <v>-0.14895615051438316</v>
      </c>
      <c r="AC281" s="73">
        <f t="shared" si="115"/>
        <v>0.17228972087584538</v>
      </c>
      <c r="AD281" s="73">
        <f t="shared" si="115"/>
        <v>-1.1440019277408231E-2</v>
      </c>
      <c r="AE281" s="73">
        <f t="shared" si="115"/>
        <v>-2.3111667248820966E-2</v>
      </c>
      <c r="AF281" s="73">
        <f t="shared" si="115"/>
        <v>4.0134506649533996E-3</v>
      </c>
      <c r="AG281" s="73">
        <f t="shared" si="115"/>
        <v>3.5044721557174974E-2</v>
      </c>
      <c r="AH281" s="73">
        <f t="shared" si="115"/>
        <v>-4.8550633439130797E-2</v>
      </c>
      <c r="AI281" s="73">
        <f t="shared" si="115"/>
        <v>4.7005482474905547E-2</v>
      </c>
      <c r="AJ281" s="73">
        <f t="shared" si="115"/>
        <v>-0.10173340881716997</v>
      </c>
      <c r="AK281" s="73">
        <f t="shared" si="115"/>
        <v>-4.5305024607739663E-2</v>
      </c>
      <c r="AL281" s="73">
        <f t="shared" si="115"/>
        <v>5.8873927324977204E-3</v>
      </c>
      <c r="AM281" s="73">
        <f t="shared" si="115"/>
        <v>-2.6261143330364889E-2</v>
      </c>
      <c r="AN281" s="73">
        <f t="shared" si="115"/>
        <v>0.1009770574371871</v>
      </c>
      <c r="AO281" s="73">
        <f t="shared" si="115"/>
        <v>7.5731196145297774E-3</v>
      </c>
      <c r="AP281" s="73">
        <f t="shared" si="115"/>
        <v>7.8737595514366765E-2</v>
      </c>
      <c r="AQ281" s="73">
        <f t="shared" si="115"/>
        <v>1.1769139860772937</v>
      </c>
      <c r="AR281" s="74"/>
    </row>
    <row r="282" spans="1:44">
      <c r="A282" s="40" t="s">
        <v>72</v>
      </c>
      <c r="C282" s="72"/>
      <c r="D282" s="72">
        <f t="shared" si="115"/>
        <v>3.0824573872540562E-2</v>
      </c>
      <c r="E282" s="72">
        <f t="shared" si="115"/>
        <v>-5.8420287181013442E-2</v>
      </c>
      <c r="F282" s="72">
        <f t="shared" si="115"/>
        <v>0.10685199922878386</v>
      </c>
      <c r="G282" s="72">
        <f t="shared" si="115"/>
        <v>-5.6201163756103067E-2</v>
      </c>
      <c r="H282" s="72">
        <f t="shared" si="115"/>
        <v>3.5188950495566251E-2</v>
      </c>
      <c r="I282" s="72">
        <f t="shared" si="115"/>
        <v>-4.7301271673848344E-2</v>
      </c>
      <c r="J282" s="72">
        <f t="shared" si="115"/>
        <v>6.8857573631020408E-3</v>
      </c>
      <c r="K282" s="72">
        <f t="shared" si="115"/>
        <v>-1.0218707108284875E-3</v>
      </c>
      <c r="L282" s="72">
        <f t="shared" si="115"/>
        <v>-0.15063723634952264</v>
      </c>
      <c r="M282" s="72">
        <f t="shared" si="115"/>
        <v>0.22230376387918727</v>
      </c>
      <c r="N282" s="72">
        <f t="shared" si="115"/>
        <v>1.3147710973304916E-2</v>
      </c>
      <c r="O282" s="72">
        <f t="shared" si="115"/>
        <v>-2.8081688461240928E-2</v>
      </c>
      <c r="P282" s="72">
        <f t="shared" si="115"/>
        <v>-1.5634405350313019E-2</v>
      </c>
      <c r="Q282" s="73">
        <f t="shared" si="115"/>
        <v>-0.1561166517132202</v>
      </c>
      <c r="R282" s="73">
        <f t="shared" si="115"/>
        <v>0.13425297833372851</v>
      </c>
      <c r="S282" s="73">
        <f t="shared" si="115"/>
        <v>9.8641427010530691E-3</v>
      </c>
      <c r="T282" s="73">
        <f t="shared" si="115"/>
        <v>-3.6820816999673545E-2</v>
      </c>
      <c r="U282" s="73">
        <f t="shared" si="115"/>
        <v>3.314634936817451E-2</v>
      </c>
      <c r="V282" s="73">
        <f t="shared" si="115"/>
        <v>-3.3776420229350013E-3</v>
      </c>
      <c r="W282" s="73">
        <f t="shared" si="115"/>
        <v>-6.9550160898268487E-4</v>
      </c>
      <c r="X282" s="73">
        <f t="shared" si="115"/>
        <v>7.0207504866566017E-2</v>
      </c>
      <c r="Y282" s="73">
        <f t="shared" si="115"/>
        <v>-8.1284212620963192E-2</v>
      </c>
      <c r="Z282" s="73">
        <f t="shared" si="115"/>
        <v>2.1673070744474998E-2</v>
      </c>
      <c r="AA282" s="73">
        <f t="shared" si="115"/>
        <v>-4.5632761087096352E-2</v>
      </c>
      <c r="AB282" s="73">
        <f t="shared" si="115"/>
        <v>-0.12918196782562763</v>
      </c>
      <c r="AC282" s="73">
        <f t="shared" si="115"/>
        <v>0.1509140708633101</v>
      </c>
      <c r="AD282" s="73">
        <f t="shared" si="115"/>
        <v>-6.1955335650618615E-3</v>
      </c>
      <c r="AE282" s="73">
        <f t="shared" si="115"/>
        <v>-2.7349525141236564E-2</v>
      </c>
      <c r="AF282" s="73">
        <f t="shared" si="115"/>
        <v>-3.5088682035540053E-3</v>
      </c>
      <c r="AG282" s="73">
        <f t="shared" si="115"/>
        <v>3.9232352866016118E-2</v>
      </c>
      <c r="AH282" s="73">
        <f t="shared" si="115"/>
        <v>-3.149815685638957E-2</v>
      </c>
      <c r="AI282" s="73">
        <f t="shared" si="115"/>
        <v>3.5732575151884105E-2</v>
      </c>
      <c r="AJ282" s="73">
        <f t="shared" si="115"/>
        <v>-7.7731422981454079E-2</v>
      </c>
      <c r="AK282" s="73">
        <f t="shared" si="115"/>
        <v>-3.0254722845230342E-2</v>
      </c>
      <c r="AL282" s="73">
        <f t="shared" si="115"/>
        <v>8.3461494609452513E-3</v>
      </c>
      <c r="AM282" s="73">
        <f t="shared" si="115"/>
        <v>-7.5892144267459827E-3</v>
      </c>
      <c r="AN282" s="73">
        <f t="shared" si="115"/>
        <v>6.5421681266970677E-2</v>
      </c>
      <c r="AO282" s="73">
        <f t="shared" si="115"/>
        <v>5.0871769873709338E-3</v>
      </c>
      <c r="AP282" s="73">
        <f t="shared" si="115"/>
        <v>4.6482153233482371E-2</v>
      </c>
      <c r="AQ282" s="73">
        <f t="shared" si="115"/>
        <v>0.65433433066916602</v>
      </c>
      <c r="AR282" s="74"/>
    </row>
    <row r="283" spans="1:44">
      <c r="A283" s="40" t="s">
        <v>73</v>
      </c>
      <c r="C283" s="72"/>
      <c r="D283" s="72">
        <f t="shared" si="115"/>
        <v>2.3772937688951723E-2</v>
      </c>
      <c r="E283" s="72">
        <f t="shared" si="115"/>
        <v>-3.7961488642128338E-2</v>
      </c>
      <c r="F283" s="72">
        <f t="shared" si="115"/>
        <v>8.8721721730229963E-2</v>
      </c>
      <c r="G283" s="72">
        <f t="shared" si="115"/>
        <v>-4.6020838797218522E-2</v>
      </c>
      <c r="H283" s="72">
        <f t="shared" si="115"/>
        <v>3.3434102784429598E-2</v>
      </c>
      <c r="I283" s="72">
        <f t="shared" si="115"/>
        <v>-5.4670872131620474E-2</v>
      </c>
      <c r="J283" s="72">
        <f t="shared" si="115"/>
        <v>8.5393862131244447E-5</v>
      </c>
      <c r="K283" s="72">
        <f t="shared" si="115"/>
        <v>1.2141047012229178E-2</v>
      </c>
      <c r="L283" s="72">
        <f t="shared" si="115"/>
        <v>-0.14913318022176747</v>
      </c>
      <c r="M283" s="72">
        <f t="shared" si="115"/>
        <v>0.23316047229094949</v>
      </c>
      <c r="N283" s="72">
        <f t="shared" si="115"/>
        <v>-1.4451209322061898E-2</v>
      </c>
      <c r="O283" s="72">
        <f t="shared" si="115"/>
        <v>-1.4716235655446219E-2</v>
      </c>
      <c r="P283" s="72">
        <f t="shared" si="115"/>
        <v>-2.4728165131183921E-2</v>
      </c>
      <c r="Q283" s="73">
        <f t="shared" si="115"/>
        <v>-0.14071139006843814</v>
      </c>
      <c r="R283" s="73">
        <f t="shared" si="115"/>
        <v>0.1267434370688606</v>
      </c>
      <c r="S283" s="73">
        <f t="shared" si="115"/>
        <v>1.0912238849906108E-2</v>
      </c>
      <c r="T283" s="73">
        <f t="shared" si="115"/>
        <v>-3.6933432336712757E-2</v>
      </c>
      <c r="U283" s="73">
        <f t="shared" si="115"/>
        <v>3.1772110849547675E-2</v>
      </c>
      <c r="V283" s="73">
        <f t="shared" si="115"/>
        <v>4.9498867616981634E-4</v>
      </c>
      <c r="W283" s="73">
        <f t="shared" si="115"/>
        <v>-3.5347989251319767E-3</v>
      </c>
      <c r="X283" s="73">
        <f t="shared" si="115"/>
        <v>6.2766346838492915E-2</v>
      </c>
      <c r="Y283" s="73">
        <f t="shared" si="115"/>
        <v>-7.6169483304664665E-2</v>
      </c>
      <c r="Z283" s="73">
        <f t="shared" si="115"/>
        <v>1.900533853675479E-2</v>
      </c>
      <c r="AA283" s="73">
        <f t="shared" si="115"/>
        <v>-3.6533541015613791E-2</v>
      </c>
      <c r="AB283" s="73">
        <f t="shared" si="115"/>
        <v>-0.11586796341512118</v>
      </c>
      <c r="AC283" s="73">
        <f t="shared" si="115"/>
        <v>0.13659415881263559</v>
      </c>
      <c r="AD283" s="73">
        <f t="shared" si="115"/>
        <v>-2.9330000640768183E-3</v>
      </c>
      <c r="AE283" s="73">
        <f t="shared" si="115"/>
        <v>-2.9353333084710109E-2</v>
      </c>
      <c r="AF283" s="73">
        <f t="shared" si="115"/>
        <v>-7.6291487105419886E-3</v>
      </c>
      <c r="AG283" s="73">
        <f t="shared" si="115"/>
        <v>4.1359791961567027E-2</v>
      </c>
      <c r="AH283" s="73">
        <f t="shared" si="115"/>
        <v>-1.7126283597822312E-2</v>
      </c>
      <c r="AI283" s="73">
        <f t="shared" si="115"/>
        <v>2.9395105782024311E-2</v>
      </c>
      <c r="AJ283" s="73">
        <f t="shared" si="115"/>
        <v>-6.2242170747736525E-2</v>
      </c>
      <c r="AK283" s="73">
        <f t="shared" si="115"/>
        <v>-2.1188212880432933E-2</v>
      </c>
      <c r="AL283" s="73">
        <f t="shared" si="115"/>
        <v>8.9801513886350603E-3</v>
      </c>
      <c r="AM283" s="73">
        <f t="shared" si="115"/>
        <v>8.1840965239521335E-4</v>
      </c>
      <c r="AN283" s="73">
        <f t="shared" si="115"/>
        <v>4.6161962654233668E-2</v>
      </c>
      <c r="AO283" s="73">
        <f t="shared" si="115"/>
        <v>3.971782066497509E-3</v>
      </c>
      <c r="AP283" s="73">
        <f t="shared" si="115"/>
        <v>3.1445685633560094E-2</v>
      </c>
      <c r="AQ283" s="73">
        <f t="shared" si="115"/>
        <v>0.41029503638136067</v>
      </c>
      <c r="AR283" s="74"/>
    </row>
    <row r="284" spans="1:44">
      <c r="A284" s="40" t="s">
        <v>74</v>
      </c>
      <c r="C284" s="72"/>
      <c r="D284" s="72">
        <f t="shared" si="115"/>
        <v>1.794220447419681E-2</v>
      </c>
      <c r="E284" s="72">
        <f t="shared" si="115"/>
        <v>-1.2485283728157492E-2</v>
      </c>
      <c r="F284" s="72">
        <f t="shared" si="115"/>
        <v>6.7284891923836021E-2</v>
      </c>
      <c r="G284" s="72">
        <f t="shared" si="115"/>
        <v>-4.7308526838998777E-2</v>
      </c>
      <c r="H284" s="72">
        <f t="shared" si="115"/>
        <v>2.9042855556535407E-2</v>
      </c>
      <c r="I284" s="72">
        <f t="shared" si="115"/>
        <v>-4.3951058738498805E-2</v>
      </c>
      <c r="J284" s="72">
        <f t="shared" si="115"/>
        <v>1.6819976010178372E-3</v>
      </c>
      <c r="K284" s="72">
        <f t="shared" si="115"/>
        <v>9.7099185456137604E-3</v>
      </c>
      <c r="L284" s="72">
        <f t="shared" si="115"/>
        <v>-0.14630305469678684</v>
      </c>
      <c r="M284" s="72">
        <f t="shared" si="115"/>
        <v>0.21985175664298706</v>
      </c>
      <c r="N284" s="72">
        <f t="shared" si="115"/>
        <v>-2.2809778001188219E-2</v>
      </c>
      <c r="O284" s="72">
        <f t="shared" si="115"/>
        <v>9.7878818993111238E-3</v>
      </c>
      <c r="P284" s="72">
        <f t="shared" si="115"/>
        <v>-2.4180232554988468E-2</v>
      </c>
      <c r="Q284" s="73">
        <f t="shared" si="115"/>
        <v>-0.15083431316021056</v>
      </c>
      <c r="R284" s="73">
        <f t="shared" si="115"/>
        <v>0.12577589893364705</v>
      </c>
      <c r="S284" s="73">
        <f t="shared" ref="S284:AQ288" si="116">S267-R267</f>
        <v>1.4665123109345091E-2</v>
      </c>
      <c r="T284" s="73">
        <f t="shared" si="116"/>
        <v>-3.5816694297408747E-2</v>
      </c>
      <c r="U284" s="73">
        <f t="shared" si="116"/>
        <v>2.9705589677111233E-2</v>
      </c>
      <c r="V284" s="73">
        <f t="shared" si="116"/>
        <v>1.4717962705752541E-3</v>
      </c>
      <c r="W284" s="73">
        <f t="shared" si="116"/>
        <v>-4.6837891031237255E-3</v>
      </c>
      <c r="X284" s="73">
        <f t="shared" si="116"/>
        <v>5.7929245320636813E-2</v>
      </c>
      <c r="Y284" s="73">
        <f t="shared" si="116"/>
        <v>-7.264080216869595E-2</v>
      </c>
      <c r="Z284" s="73">
        <f t="shared" si="116"/>
        <v>1.6916497066271852E-2</v>
      </c>
      <c r="AA284" s="73">
        <f t="shared" si="116"/>
        <v>-3.0188212286409222E-2</v>
      </c>
      <c r="AB284" s="73">
        <f t="shared" si="116"/>
        <v>-0.10605045257603696</v>
      </c>
      <c r="AC284" s="73">
        <f t="shared" si="116"/>
        <v>0.12622434342538147</v>
      </c>
      <c r="AD284" s="73">
        <f t="shared" si="116"/>
        <v>-7.0716161700401514E-4</v>
      </c>
      <c r="AE284" s="73">
        <f t="shared" si="116"/>
        <v>-3.0865003628460008E-2</v>
      </c>
      <c r="AF284" s="73">
        <f t="shared" si="116"/>
        <v>-1.0328464288836159E-2</v>
      </c>
      <c r="AG284" s="73">
        <f t="shared" si="116"/>
        <v>4.2611329757686334E-2</v>
      </c>
      <c r="AH284" s="73">
        <f t="shared" si="116"/>
        <v>-6.9546524552310807E-3</v>
      </c>
      <c r="AI284" s="73">
        <f t="shared" si="116"/>
        <v>2.4734596770038531E-2</v>
      </c>
      <c r="AJ284" s="73">
        <f t="shared" si="116"/>
        <v>-5.2119350077946658E-2</v>
      </c>
      <c r="AK284" s="73">
        <f t="shared" si="116"/>
        <v>-1.6156311992482242E-2</v>
      </c>
      <c r="AL284" s="73">
        <f t="shared" si="116"/>
        <v>8.1505375216989195E-3</v>
      </c>
      <c r="AM284" s="73">
        <f t="shared" si="116"/>
        <v>4.0949466470612261E-3</v>
      </c>
      <c r="AN284" s="73">
        <f t="shared" si="116"/>
        <v>3.4224487809957571E-2</v>
      </c>
      <c r="AO284" s="73">
        <f t="shared" si="116"/>
        <v>2.8944258995504679E-3</v>
      </c>
      <c r="AP284" s="73">
        <f t="shared" si="116"/>
        <v>2.3754514352119838E-2</v>
      </c>
      <c r="AQ284" s="73">
        <f t="shared" si="116"/>
        <v>0.29348034508564846</v>
      </c>
      <c r="AR284" s="74"/>
    </row>
    <row r="285" spans="1:44">
      <c r="A285" s="40" t="s">
        <v>75</v>
      </c>
      <c r="C285" s="72"/>
      <c r="D285" s="72">
        <f t="shared" ref="D285:AA288" si="117">D268-C268</f>
        <v>1.3922284535492047E-2</v>
      </c>
      <c r="E285" s="72">
        <f t="shared" si="117"/>
        <v>1.3541674504711221E-3</v>
      </c>
      <c r="F285" s="72">
        <f t="shared" si="117"/>
        <v>4.4181795175482819E-2</v>
      </c>
      <c r="G285" s="72">
        <f t="shared" si="117"/>
        <v>-2.7833787021205314E-2</v>
      </c>
      <c r="H285" s="72">
        <f t="shared" si="117"/>
        <v>2.9878852696961333E-2</v>
      </c>
      <c r="I285" s="72">
        <f t="shared" si="117"/>
        <v>-5.2974296537589227E-2</v>
      </c>
      <c r="J285" s="72">
        <f t="shared" si="117"/>
        <v>4.1941628548751719E-3</v>
      </c>
      <c r="K285" s="72">
        <f t="shared" si="117"/>
        <v>-3.1769602395494978E-3</v>
      </c>
      <c r="L285" s="72">
        <f t="shared" si="117"/>
        <v>-0.12381155157341417</v>
      </c>
      <c r="M285" s="72">
        <f t="shared" si="117"/>
        <v>0.20613478302834887</v>
      </c>
      <c r="N285" s="72">
        <f t="shared" si="117"/>
        <v>-2.050863212496834E-2</v>
      </c>
      <c r="O285" s="72">
        <f t="shared" si="117"/>
        <v>1.1347697499685117E-2</v>
      </c>
      <c r="P285" s="72">
        <f t="shared" si="117"/>
        <v>-2.6567376559000211E-2</v>
      </c>
      <c r="Q285" s="73">
        <f t="shared" si="117"/>
        <v>-0.14583292254775715</v>
      </c>
      <c r="R285" s="73">
        <f t="shared" si="117"/>
        <v>0.12277462179270782</v>
      </c>
      <c r="S285" s="73">
        <f t="shared" si="117"/>
        <v>1.997647551391446E-2</v>
      </c>
      <c r="T285" s="73">
        <f t="shared" si="117"/>
        <v>-4.0091802844469671E-2</v>
      </c>
      <c r="U285" s="73">
        <f t="shared" si="117"/>
        <v>2.9394086221644633E-2</v>
      </c>
      <c r="V285" s="73">
        <f t="shared" si="117"/>
        <v>2.3728876591451176E-3</v>
      </c>
      <c r="W285" s="73">
        <f t="shared" si="117"/>
        <v>-5.7867353446652281E-3</v>
      </c>
      <c r="X285" s="73">
        <f t="shared" si="117"/>
        <v>5.4255526515144314E-2</v>
      </c>
      <c r="Y285" s="73">
        <f t="shared" si="117"/>
        <v>-7.0211611497794424E-2</v>
      </c>
      <c r="Z285" s="73">
        <f t="shared" si="117"/>
        <v>1.5535571223317168E-2</v>
      </c>
      <c r="AA285" s="73">
        <f t="shared" si="117"/>
        <v>-2.5385643455886786E-2</v>
      </c>
      <c r="AB285" s="73">
        <f t="shared" si="116"/>
        <v>-9.8772578180152282E-2</v>
      </c>
      <c r="AC285" s="73">
        <f t="shared" si="116"/>
        <v>0.11852643173208821</v>
      </c>
      <c r="AD285" s="73">
        <f t="shared" si="116"/>
        <v>9.8715856540021463E-4</v>
      </c>
      <c r="AE285" s="73">
        <f t="shared" si="116"/>
        <v>-3.193963558436641E-2</v>
      </c>
      <c r="AF285" s="73">
        <f t="shared" si="116"/>
        <v>-1.2144096512622937E-2</v>
      </c>
      <c r="AG285" s="73">
        <f t="shared" si="116"/>
        <v>4.3416814021798311E-2</v>
      </c>
      <c r="AH285" s="73">
        <f t="shared" si="116"/>
        <v>1.2959862898493935E-3</v>
      </c>
      <c r="AI285" s="73">
        <f t="shared" si="116"/>
        <v>2.1416304706281641E-2</v>
      </c>
      <c r="AJ285" s="73">
        <f t="shared" si="116"/>
        <v>-4.4685834210559827E-2</v>
      </c>
      <c r="AK285" s="73">
        <f t="shared" si="116"/>
        <v>-1.2725085093024169E-2</v>
      </c>
      <c r="AL285" s="73">
        <f t="shared" si="116"/>
        <v>7.2907780777663467E-3</v>
      </c>
      <c r="AM285" s="73">
        <f t="shared" si="116"/>
        <v>5.813550131324563E-3</v>
      </c>
      <c r="AN285" s="73">
        <f t="shared" si="116"/>
        <v>2.62489437687079E-2</v>
      </c>
      <c r="AO285" s="73">
        <f t="shared" si="116"/>
        <v>2.2059348936198653E-3</v>
      </c>
      <c r="AP285" s="73">
        <f t="shared" si="116"/>
        <v>1.8862421083408076E-2</v>
      </c>
      <c r="AQ285" s="73">
        <f t="shared" si="116"/>
        <v>0.22068490504878846</v>
      </c>
      <c r="AR285" s="74"/>
    </row>
    <row r="286" spans="1:44">
      <c r="A286" s="40" t="s">
        <v>76</v>
      </c>
      <c r="C286" s="72"/>
      <c r="D286" s="72">
        <f t="shared" si="117"/>
        <v>4.9279453597237399E-3</v>
      </c>
      <c r="E286" s="72">
        <f t="shared" si="117"/>
        <v>2.3975917498864074E-2</v>
      </c>
      <c r="F286" s="72">
        <f t="shared" si="117"/>
        <v>2.2922046469097568E-2</v>
      </c>
      <c r="G286" s="72">
        <f t="shared" si="117"/>
        <v>-1.7042430230939987E-2</v>
      </c>
      <c r="H286" s="72">
        <f t="shared" si="117"/>
        <v>2.9283525552873613E-2</v>
      </c>
      <c r="I286" s="72">
        <f t="shared" si="117"/>
        <v>-5.9869299728467329E-2</v>
      </c>
      <c r="J286" s="72">
        <f t="shared" si="117"/>
        <v>6.6615348863843238E-3</v>
      </c>
      <c r="K286" s="72">
        <f t="shared" si="117"/>
        <v>-1.3021013427518824E-3</v>
      </c>
      <c r="L286" s="72">
        <f t="shared" si="117"/>
        <v>-0.11144866595804848</v>
      </c>
      <c r="M286" s="72">
        <f t="shared" si="117"/>
        <v>0.1818921607391355</v>
      </c>
      <c r="N286" s="72">
        <f t="shared" si="117"/>
        <v>-1.2689143401198866E-2</v>
      </c>
      <c r="O286" s="72">
        <f t="shared" si="117"/>
        <v>1.8697197205356453E-2</v>
      </c>
      <c r="P286" s="72">
        <f t="shared" si="117"/>
        <v>-2.9302719332330085E-2</v>
      </c>
      <c r="Q286" s="73">
        <f t="shared" si="117"/>
        <v>-0.14501166307047575</v>
      </c>
      <c r="R286" s="73">
        <f t="shared" si="117"/>
        <v>0.12069282244441781</v>
      </c>
      <c r="S286" s="73">
        <f t="shared" si="117"/>
        <v>2.2960822980625517E-2</v>
      </c>
      <c r="T286" s="73">
        <f t="shared" si="117"/>
        <v>-4.0552262302343989E-2</v>
      </c>
      <c r="U286" s="73">
        <f t="shared" si="117"/>
        <v>2.9050491848327864E-2</v>
      </c>
      <c r="V286" s="73">
        <f t="shared" si="117"/>
        <v>3.1098369843893803E-3</v>
      </c>
      <c r="W286" s="73">
        <f t="shared" si="117"/>
        <v>-7.062595841529351E-3</v>
      </c>
      <c r="X286" s="73">
        <f t="shared" si="117"/>
        <v>5.2274102395796884E-2</v>
      </c>
      <c r="Y286" s="73">
        <f t="shared" si="117"/>
        <v>-6.9437220250111009E-2</v>
      </c>
      <c r="Z286" s="73">
        <f t="shared" si="117"/>
        <v>1.4668812673566123E-2</v>
      </c>
      <c r="AA286" s="73">
        <f t="shared" si="117"/>
        <v>-2.2067691644911402E-2</v>
      </c>
      <c r="AB286" s="73">
        <f t="shared" si="116"/>
        <v>-9.4874013895263176E-2</v>
      </c>
      <c r="AC286" s="73">
        <f t="shared" si="116"/>
        <v>0.11462783714916458</v>
      </c>
      <c r="AD286" s="73">
        <f t="shared" si="116"/>
        <v>2.3312733348328507E-3</v>
      </c>
      <c r="AE286" s="73">
        <f t="shared" si="116"/>
        <v>-3.3382275953436125E-2</v>
      </c>
      <c r="AF286" s="73">
        <f t="shared" si="116"/>
        <v>-1.3488494891106262E-2</v>
      </c>
      <c r="AG286" s="73">
        <f t="shared" si="116"/>
        <v>4.4292658455377332E-2</v>
      </c>
      <c r="AH286" s="73">
        <f t="shared" si="116"/>
        <v>7.4582353079275521E-3</v>
      </c>
      <c r="AI286" s="73">
        <f t="shared" si="116"/>
        <v>1.8947052062361136E-2</v>
      </c>
      <c r="AJ286" s="73">
        <f t="shared" si="116"/>
        <v>-3.9697311818798209E-2</v>
      </c>
      <c r="AK286" s="73">
        <f t="shared" si="116"/>
        <v>-1.0541026891622618E-2</v>
      </c>
      <c r="AL286" s="73">
        <f t="shared" si="116"/>
        <v>6.5468077295627314E-3</v>
      </c>
      <c r="AM286" s="73">
        <f t="shared" si="116"/>
        <v>6.5059692860294227E-3</v>
      </c>
      <c r="AN286" s="73">
        <f t="shared" si="116"/>
        <v>2.0689658281156209E-2</v>
      </c>
      <c r="AO286" s="73">
        <f t="shared" si="116"/>
        <v>1.652059629075886E-3</v>
      </c>
      <c r="AP286" s="73">
        <f t="shared" si="116"/>
        <v>1.5965449327791648E-2</v>
      </c>
      <c r="AQ286" s="73">
        <f t="shared" si="116"/>
        <v>0.17630269803270426</v>
      </c>
      <c r="AR286" s="74"/>
    </row>
    <row r="287" spans="1:44">
      <c r="A287" s="40" t="s">
        <v>77</v>
      </c>
      <c r="C287" s="72"/>
      <c r="D287" s="72">
        <f t="shared" si="117"/>
        <v>3.2436907344599586E-3</v>
      </c>
      <c r="E287" s="72">
        <f t="shared" si="117"/>
        <v>3.4705796063995376E-2</v>
      </c>
      <c r="F287" s="72">
        <f t="shared" si="117"/>
        <v>4.390244133089638E-3</v>
      </c>
      <c r="G287" s="72">
        <f t="shared" si="117"/>
        <v>-2.8950388642647873E-3</v>
      </c>
      <c r="H287" s="72">
        <f t="shared" si="117"/>
        <v>2.3550990314125775E-2</v>
      </c>
      <c r="I287" s="72">
        <f t="shared" si="117"/>
        <v>-5.7280735653308934E-2</v>
      </c>
      <c r="J287" s="72">
        <f t="shared" si="117"/>
        <v>4.5235768918561181E-3</v>
      </c>
      <c r="K287" s="72">
        <f t="shared" si="117"/>
        <v>3.6374069406530651E-4</v>
      </c>
      <c r="L287" s="72">
        <f t="shared" si="117"/>
        <v>-0.1118547232846544</v>
      </c>
      <c r="M287" s="72">
        <f t="shared" si="117"/>
        <v>0.18064905375746754</v>
      </c>
      <c r="N287" s="72">
        <f t="shared" si="117"/>
        <v>-1.3587919965235562E-2</v>
      </c>
      <c r="O287" s="72">
        <f t="shared" si="117"/>
        <v>2.5359478714007233E-2</v>
      </c>
      <c r="P287" s="72">
        <f t="shared" si="117"/>
        <v>-3.9307835564321936E-2</v>
      </c>
      <c r="Q287" s="73">
        <f t="shared" si="117"/>
        <v>-0.13735969139986903</v>
      </c>
      <c r="R287" s="73">
        <f t="shared" si="117"/>
        <v>0.11857261679413089</v>
      </c>
      <c r="S287" s="73">
        <f t="shared" si="117"/>
        <v>2.5507422753153985E-2</v>
      </c>
      <c r="T287" s="73">
        <f t="shared" si="117"/>
        <v>-4.248853346523962E-2</v>
      </c>
      <c r="U287" s="73">
        <f t="shared" si="117"/>
        <v>2.763681008657759E-2</v>
      </c>
      <c r="V287" s="73">
        <f t="shared" si="117"/>
        <v>5.0652312988161974E-3</v>
      </c>
      <c r="W287" s="73">
        <f t="shared" si="117"/>
        <v>-8.1638835320958503E-3</v>
      </c>
      <c r="X287" s="73">
        <f t="shared" si="117"/>
        <v>5.0309479949308455E-2</v>
      </c>
      <c r="Y287" s="73">
        <f t="shared" si="117"/>
        <v>-6.8545840382855827E-2</v>
      </c>
      <c r="Z287" s="73">
        <f t="shared" si="117"/>
        <v>1.385239065713928E-2</v>
      </c>
      <c r="AA287" s="73">
        <f t="shared" si="117"/>
        <v>-1.9023697807833306E-2</v>
      </c>
      <c r="AB287" s="73">
        <f t="shared" si="116"/>
        <v>-9.1165389154681087E-2</v>
      </c>
      <c r="AC287" s="73">
        <f t="shared" si="116"/>
        <v>0.11084022946485605</v>
      </c>
      <c r="AD287" s="73">
        <f t="shared" si="116"/>
        <v>3.3422314806612619E-3</v>
      </c>
      <c r="AE287" s="73">
        <f t="shared" si="116"/>
        <v>-3.4326929243087889E-2</v>
      </c>
      <c r="AF287" s="73">
        <f t="shared" si="116"/>
        <v>-1.4562147736933206E-2</v>
      </c>
      <c r="AG287" s="73">
        <f t="shared" si="116"/>
        <v>4.4994139485128426E-2</v>
      </c>
      <c r="AH287" s="73">
        <f t="shared" si="116"/>
        <v>1.278967240867912E-2</v>
      </c>
      <c r="AI287" s="73">
        <f t="shared" si="116"/>
        <v>1.7098888274587498E-2</v>
      </c>
      <c r="AJ287" s="73">
        <f t="shared" si="116"/>
        <v>-3.5637747380736773E-2</v>
      </c>
      <c r="AK287" s="73">
        <f t="shared" si="116"/>
        <v>-8.8663688296874987E-3</v>
      </c>
      <c r="AL287" s="73">
        <f t="shared" si="116"/>
        <v>5.8126879123980846E-3</v>
      </c>
      <c r="AM287" s="73">
        <f t="shared" si="116"/>
        <v>7.065773970609257E-3</v>
      </c>
      <c r="AN287" s="73">
        <f t="shared" si="116"/>
        <v>1.6572493943679989E-2</v>
      </c>
      <c r="AO287" s="73">
        <f t="shared" si="116"/>
        <v>1.2948219820458906E-3</v>
      </c>
      <c r="AP287" s="73">
        <f t="shared" si="116"/>
        <v>1.3743578463382589E-2</v>
      </c>
      <c r="AQ287" s="73">
        <f t="shared" si="116"/>
        <v>0.14358751442956663</v>
      </c>
      <c r="AR287" s="74"/>
    </row>
    <row r="288" spans="1:44" ht="12" thickBot="1">
      <c r="A288" s="40" t="s">
        <v>78</v>
      </c>
      <c r="C288" s="72"/>
      <c r="D288" s="72">
        <f t="shared" si="117"/>
        <v>-1.7456721934483443E-4</v>
      </c>
      <c r="E288" s="72">
        <f t="shared" si="117"/>
        <v>4.1787973112111021E-2</v>
      </c>
      <c r="F288" s="72">
        <f t="shared" si="117"/>
        <v>-5.0424685390184631E-3</v>
      </c>
      <c r="G288" s="72">
        <f t="shared" si="117"/>
        <v>5.6425436397875561E-3</v>
      </c>
      <c r="H288" s="72">
        <f t="shared" si="117"/>
        <v>2.1950164409264783E-2</v>
      </c>
      <c r="I288" s="72">
        <f t="shared" si="117"/>
        <v>-5.7420764376352684E-2</v>
      </c>
      <c r="J288" s="72">
        <f t="shared" si="117"/>
        <v>-1.2411759193331484E-4</v>
      </c>
      <c r="K288" s="72">
        <f t="shared" si="117"/>
        <v>9.1738849925460109E-4</v>
      </c>
      <c r="L288" s="72">
        <f t="shared" si="117"/>
        <v>-9.9172621011498929E-2</v>
      </c>
      <c r="M288" s="72">
        <f t="shared" si="117"/>
        <v>0.17222311052189254</v>
      </c>
      <c r="N288" s="72">
        <f t="shared" si="117"/>
        <v>-1.4507072127414311E-2</v>
      </c>
      <c r="O288" s="72">
        <f t="shared" si="117"/>
        <v>1.7784329926255893E-2</v>
      </c>
      <c r="P288" s="72">
        <f t="shared" si="117"/>
        <v>-3.6039712665552948E-2</v>
      </c>
      <c r="Q288" s="73">
        <f t="shared" si="117"/>
        <v>-0.12590911981747965</v>
      </c>
      <c r="R288" s="73">
        <f t="shared" si="117"/>
        <v>0.11268819926865736</v>
      </c>
      <c r="S288" s="73">
        <f t="shared" si="117"/>
        <v>2.5384364864200037E-2</v>
      </c>
      <c r="T288" s="73">
        <f t="shared" si="117"/>
        <v>-4.3899776344558328E-2</v>
      </c>
      <c r="U288" s="73">
        <f t="shared" si="117"/>
        <v>2.7397496543521083E-2</v>
      </c>
      <c r="V288" s="73">
        <f t="shared" si="117"/>
        <v>6.8303006252337095E-3</v>
      </c>
      <c r="W288" s="73">
        <f t="shared" si="117"/>
        <v>-9.4770375513120175E-3</v>
      </c>
      <c r="X288" s="73">
        <f t="shared" si="117"/>
        <v>4.8889244345000638E-2</v>
      </c>
      <c r="Y288" s="73">
        <f t="shared" si="117"/>
        <v>-6.7887961928514429E-2</v>
      </c>
      <c r="Z288" s="73">
        <f t="shared" si="117"/>
        <v>1.3108628963324209E-2</v>
      </c>
      <c r="AA288" s="73">
        <f t="shared" si="117"/>
        <v>-1.6299578060715358E-2</v>
      </c>
      <c r="AB288" s="73">
        <f t="shared" si="116"/>
        <v>-8.7513876202874097E-2</v>
      </c>
      <c r="AC288" s="73">
        <f t="shared" si="116"/>
        <v>0.10717936545093132</v>
      </c>
      <c r="AD288" s="73">
        <f t="shared" si="116"/>
        <v>3.8803210257081222E-3</v>
      </c>
      <c r="AE288" s="73">
        <f t="shared" si="116"/>
        <v>-3.5232519713322308E-2</v>
      </c>
      <c r="AF288" s="73">
        <f t="shared" si="116"/>
        <v>-1.6016659746609596E-2</v>
      </c>
      <c r="AG288" s="73">
        <f t="shared" si="116"/>
        <v>4.6075781873079036E-2</v>
      </c>
      <c r="AH288" s="73">
        <f t="shared" si="116"/>
        <v>1.593431502744691E-2</v>
      </c>
      <c r="AI288" s="73">
        <f t="shared" si="116"/>
        <v>1.5526147741661278E-2</v>
      </c>
      <c r="AJ288" s="73">
        <f t="shared" si="116"/>
        <v>-3.3137835954714978E-2</v>
      </c>
      <c r="AK288" s="73">
        <f t="shared" si="116"/>
        <v>-8.1300065656790821E-3</v>
      </c>
      <c r="AL288" s="73">
        <f t="shared" si="116"/>
        <v>4.7459987103501966E-3</v>
      </c>
      <c r="AM288" s="73">
        <f t="shared" si="116"/>
        <v>7.6144505168158627E-3</v>
      </c>
      <c r="AN288" s="73">
        <f t="shared" si="116"/>
        <v>1.3595083908316097E-2</v>
      </c>
      <c r="AO288" s="73">
        <f t="shared" si="116"/>
        <v>9.0569768028392339E-4</v>
      </c>
      <c r="AP288" s="73">
        <f t="shared" si="116"/>
        <v>1.2288858546400494E-2</v>
      </c>
      <c r="AQ288" s="73">
        <f t="shared" si="116"/>
        <v>0.12354939205304749</v>
      </c>
      <c r="AR288" s="74"/>
    </row>
    <row r="289" spans="1:44">
      <c r="A289" s="51"/>
      <c r="B289" s="67"/>
      <c r="C289" s="67"/>
      <c r="D289" s="67"/>
      <c r="E289" s="67"/>
      <c r="F289" s="67"/>
      <c r="G289" s="67"/>
      <c r="H289" s="67"/>
      <c r="I289" s="67"/>
      <c r="J289" s="67"/>
      <c r="K289" s="67"/>
      <c r="L289" s="67"/>
      <c r="M289" s="67"/>
      <c r="N289" s="67"/>
      <c r="O289" s="67"/>
      <c r="P289" s="67"/>
      <c r="Q289" s="68"/>
      <c r="R289" s="68"/>
      <c r="S289" s="68"/>
      <c r="T289" s="68"/>
      <c r="U289" s="68"/>
      <c r="V289" s="68"/>
      <c r="W289" s="68"/>
      <c r="X289" s="68"/>
      <c r="Y289" s="68"/>
      <c r="Z289" s="68"/>
      <c r="AA289" s="68"/>
      <c r="AB289" s="68"/>
      <c r="AC289" s="68"/>
      <c r="AD289" s="68"/>
      <c r="AE289" s="68"/>
      <c r="AF289" s="68"/>
      <c r="AG289" s="68"/>
      <c r="AH289" s="68"/>
      <c r="AI289" s="68"/>
      <c r="AJ289" s="68"/>
      <c r="AK289" s="68"/>
      <c r="AL289" s="68"/>
      <c r="AM289" s="68"/>
      <c r="AN289" s="68"/>
      <c r="AO289" s="68"/>
      <c r="AP289" s="68"/>
      <c r="AQ289" s="68"/>
    </row>
    <row r="290" spans="1:44" ht="12" thickBot="1">
      <c r="A290" s="39" t="s">
        <v>158</v>
      </c>
    </row>
    <row r="291" spans="1:44" ht="12" thickBot="1">
      <c r="A291" s="41"/>
      <c r="B291" s="41">
        <f>B2</f>
        <v>2010</v>
      </c>
      <c r="C291" s="41">
        <f t="shared" ref="C291:AQ291" si="118">C2</f>
        <v>2011</v>
      </c>
      <c r="D291" s="41">
        <f t="shared" si="118"/>
        <v>2012</v>
      </c>
      <c r="E291" s="41">
        <f t="shared" si="118"/>
        <v>2013</v>
      </c>
      <c r="F291" s="41">
        <f t="shared" si="118"/>
        <v>2014</v>
      </c>
      <c r="G291" s="41">
        <f t="shared" si="118"/>
        <v>2015</v>
      </c>
      <c r="H291" s="41">
        <f t="shared" si="118"/>
        <v>2016</v>
      </c>
      <c r="I291" s="41">
        <f t="shared" si="118"/>
        <v>2017</v>
      </c>
      <c r="J291" s="41">
        <f t="shared" si="118"/>
        <v>2018</v>
      </c>
      <c r="K291" s="41">
        <f t="shared" si="118"/>
        <v>2019</v>
      </c>
      <c r="L291" s="41">
        <f t="shared" si="118"/>
        <v>2020</v>
      </c>
      <c r="M291" s="41">
        <f t="shared" si="118"/>
        <v>2021</v>
      </c>
      <c r="N291" s="41">
        <f t="shared" si="118"/>
        <v>2022</v>
      </c>
      <c r="O291" s="41">
        <f t="shared" si="118"/>
        <v>2023</v>
      </c>
      <c r="P291" s="41">
        <f t="shared" si="118"/>
        <v>2024</v>
      </c>
      <c r="Q291" s="41">
        <f t="shared" si="118"/>
        <v>2025</v>
      </c>
      <c r="R291" s="41">
        <f t="shared" si="118"/>
        <v>2026</v>
      </c>
      <c r="S291" s="41">
        <f t="shared" si="118"/>
        <v>2027</v>
      </c>
      <c r="T291" s="41">
        <f t="shared" si="118"/>
        <v>2028</v>
      </c>
      <c r="U291" s="41">
        <f t="shared" si="118"/>
        <v>2029</v>
      </c>
      <c r="V291" s="41">
        <f t="shared" si="118"/>
        <v>2030</v>
      </c>
      <c r="W291" s="41">
        <f t="shared" si="118"/>
        <v>2031</v>
      </c>
      <c r="X291" s="41">
        <f t="shared" si="118"/>
        <v>2032</v>
      </c>
      <c r="Y291" s="41">
        <f t="shared" si="118"/>
        <v>2033</v>
      </c>
      <c r="Z291" s="41">
        <f t="shared" si="118"/>
        <v>2034</v>
      </c>
      <c r="AA291" s="41">
        <f t="shared" si="118"/>
        <v>2035</v>
      </c>
      <c r="AB291" s="41">
        <f t="shared" si="118"/>
        <v>2036</v>
      </c>
      <c r="AC291" s="41">
        <f t="shared" si="118"/>
        <v>2037</v>
      </c>
      <c r="AD291" s="41">
        <f t="shared" si="118"/>
        <v>2038</v>
      </c>
      <c r="AE291" s="41">
        <f t="shared" si="118"/>
        <v>2039</v>
      </c>
      <c r="AF291" s="41">
        <f t="shared" si="118"/>
        <v>2040</v>
      </c>
      <c r="AG291" s="41">
        <f t="shared" si="118"/>
        <v>2041</v>
      </c>
      <c r="AH291" s="41">
        <f t="shared" si="118"/>
        <v>2042</v>
      </c>
      <c r="AI291" s="41">
        <f t="shared" si="118"/>
        <v>2043</v>
      </c>
      <c r="AJ291" s="41">
        <f t="shared" si="118"/>
        <v>2044</v>
      </c>
      <c r="AK291" s="41">
        <f t="shared" si="118"/>
        <v>2045</v>
      </c>
      <c r="AL291" s="41">
        <f t="shared" si="118"/>
        <v>2046</v>
      </c>
      <c r="AM291" s="41">
        <f t="shared" si="118"/>
        <v>2047</v>
      </c>
      <c r="AN291" s="41">
        <f t="shared" si="118"/>
        <v>2048</v>
      </c>
      <c r="AO291" s="41">
        <f t="shared" si="118"/>
        <v>2049</v>
      </c>
      <c r="AP291" s="41">
        <f t="shared" si="118"/>
        <v>2050</v>
      </c>
      <c r="AQ291" s="41">
        <f t="shared" si="118"/>
        <v>2051</v>
      </c>
    </row>
    <row r="292" spans="1:44">
      <c r="A292" s="40" t="s">
        <v>68</v>
      </c>
      <c r="B292" s="42">
        <f>'D3 RIN Forecast'!B25+'D5 Gallon Forecast'!B56+'D6 Gallon Forecast'!B97</f>
        <v>145876</v>
      </c>
      <c r="C292" s="42">
        <f>'D3 RIN Forecast'!C25+'D5 Gallon Forecast'!C56+'D6 Gallon Forecast'!C97</f>
        <v>1162104984</v>
      </c>
      <c r="D292" s="42">
        <f>'D3 RIN Forecast'!D25+'D5 Gallon Forecast'!D56+'D6 Gallon Forecast'!D97</f>
        <v>1184612816</v>
      </c>
      <c r="E292" s="42">
        <f>'D3 RIN Forecast'!E25+'D5 Gallon Forecast'!E56+'D6 Gallon Forecast'!E97</f>
        <v>1079871669</v>
      </c>
      <c r="F292" s="42">
        <f>'D3 RIN Forecast'!F25+'D5 Gallon Forecast'!F56+'D6 Gallon Forecast'!F97</f>
        <v>1155218628</v>
      </c>
      <c r="G292" s="42">
        <f>'D3 RIN Forecast'!G25+'D5 Gallon Forecast'!G56+'D6 Gallon Forecast'!G97</f>
        <v>1199457055</v>
      </c>
      <c r="H292" s="42">
        <f>'D3 RIN Forecast'!H25+'D5 Gallon Forecast'!H56+'D6 Gallon Forecast'!H97</f>
        <v>1220479376</v>
      </c>
      <c r="I292" s="42">
        <f>'D3 RIN Forecast'!I25+'D5 Gallon Forecast'!I56+'D6 Gallon Forecast'!I97</f>
        <v>1241898945</v>
      </c>
      <c r="J292" s="42">
        <f>'D3 RIN Forecast'!J25+'D5 Gallon Forecast'!J56+'D6 Gallon Forecast'!J97</f>
        <v>1259666618</v>
      </c>
      <c r="K292" s="42">
        <f>'D3 RIN Forecast'!K25+'D5 Gallon Forecast'!K56+'D6 Gallon Forecast'!K97</f>
        <v>1193659890</v>
      </c>
      <c r="L292" s="42">
        <f>'D3 RIN Forecast'!L25+'D5 Gallon Forecast'!L56+'D6 Gallon Forecast'!L97</f>
        <v>1249439514</v>
      </c>
      <c r="M292" s="42">
        <f>'D3 Gallon Forecast'!M25+'D5 Gallon Forecast'!M56+'D6 Gallon Forecast'!M97</f>
        <v>1081284017</v>
      </c>
      <c r="N292" s="42">
        <f>'D3 Gallon Forecast'!N25+'D5 Gallon Forecast'!N56+'D6 Gallon Forecast'!N97</f>
        <v>1210627464</v>
      </c>
      <c r="O292" s="42">
        <f>'D3 Gallon Forecast'!O25+'D5 Gallon Forecast'!O56+'D6 Gallon Forecast'!O97</f>
        <v>1206027501</v>
      </c>
      <c r="P292" s="42">
        <f>'D3 Gallon Forecast'!P25+'D5 Gallon Forecast'!P56+'D6 Gallon Forecast'!P97</f>
        <v>1214363395</v>
      </c>
      <c r="Q292" s="42">
        <f>'D3 Gallon Forecast'!Q25+'D5 Gallon Forecast'!Q56+'D6 Gallon Forecast'!Q97</f>
        <v>1256023563</v>
      </c>
      <c r="R292" s="43">
        <f>'D3 Gallon Forecast'!R25+'D5 Gallon Forecast'!R56+'D6 Gallon Forecast'!R97</f>
        <v>1207928735.3809433</v>
      </c>
      <c r="S292" s="43">
        <f>'D3 Gallon Forecast'!S25+'D5 Gallon Forecast'!S56+'D6 Gallon Forecast'!S97</f>
        <v>1226838355.4127917</v>
      </c>
      <c r="T292" s="43">
        <f>'D3 Gallon Forecast'!T25+'D5 Gallon Forecast'!T56+'D6 Gallon Forecast'!T97</f>
        <v>1236798700.347842</v>
      </c>
      <c r="U292" s="43">
        <f>'D3 Gallon Forecast'!U25+'D5 Gallon Forecast'!U56+'D6 Gallon Forecast'!U97</f>
        <v>1248397446.8146749</v>
      </c>
      <c r="V292" s="43">
        <f>'D3 Gallon Forecast'!V25+'D5 Gallon Forecast'!V56+'D6 Gallon Forecast'!V97</f>
        <v>1261684004.5827022</v>
      </c>
      <c r="W292" s="43">
        <f>'D3 Gallon Forecast'!W25+'D5 Gallon Forecast'!W56+'D6 Gallon Forecast'!W97</f>
        <v>1268387905.6149945</v>
      </c>
      <c r="X292" s="43">
        <f>'D3 Gallon Forecast'!X25+'D5 Gallon Forecast'!X56+'D6 Gallon Forecast'!X97</f>
        <v>1281037773.5144351</v>
      </c>
      <c r="Y292" s="43">
        <f>'D3 Gallon Forecast'!Y25+'D5 Gallon Forecast'!Y56+'D6 Gallon Forecast'!Y97</f>
        <v>1293149156.7314653</v>
      </c>
      <c r="Z292" s="43">
        <f>'D3 Gallon Forecast'!Z25+'D5 Gallon Forecast'!Z56+'D6 Gallon Forecast'!Z97</f>
        <v>1305764528.2982016</v>
      </c>
      <c r="AA292" s="43">
        <f>'D3 Gallon Forecast'!AA25+'D5 Gallon Forecast'!AA56+'D6 Gallon Forecast'!AA97</f>
        <v>1317948977.003329</v>
      </c>
      <c r="AB292" s="43">
        <f>'D3 Gallon Forecast'!AB25+'D5 Gallon Forecast'!AB56+'D6 Gallon Forecast'!AB97</f>
        <v>1330117478.3504953</v>
      </c>
      <c r="AC292" s="43">
        <f>'D3 Gallon Forecast'!AC25+'D5 Gallon Forecast'!AC56+'D6 Gallon Forecast'!AC97</f>
        <v>1343372123.5877151</v>
      </c>
      <c r="AD292" s="43">
        <f>'D3 Gallon Forecast'!AD25+'D5 Gallon Forecast'!AD56+'D6 Gallon Forecast'!AD97</f>
        <v>1356648194.806725</v>
      </c>
      <c r="AE292" s="43">
        <f>'D3 Gallon Forecast'!AE25+'D5 Gallon Forecast'!AE56+'D6 Gallon Forecast'!AE97</f>
        <v>1370357068.2074871</v>
      </c>
      <c r="AF292" s="43">
        <f>'D3 Gallon Forecast'!AF25+'D5 Gallon Forecast'!AF56+'D6 Gallon Forecast'!AF97</f>
        <v>1384455962.4353464</v>
      </c>
      <c r="AG292" s="43">
        <f>'D3 Gallon Forecast'!AG25+'D5 Gallon Forecast'!AG56+'D6 Gallon Forecast'!AG97</f>
        <v>1399209316.1441209</v>
      </c>
      <c r="AH292" s="43">
        <f>'D3 Gallon Forecast'!AH25+'D5 Gallon Forecast'!AH56+'D6 Gallon Forecast'!AH97</f>
        <v>1421540156.6091743</v>
      </c>
      <c r="AI292" s="43">
        <f>'D3 Gallon Forecast'!AI25+'D5 Gallon Forecast'!AI56+'D6 Gallon Forecast'!AI97</f>
        <v>1444302107.4161601</v>
      </c>
      <c r="AJ292" s="43">
        <f>'D3 Gallon Forecast'!AJ25+'D5 Gallon Forecast'!AJ56+'D6 Gallon Forecast'!AJ97</f>
        <v>1467281540.3791354</v>
      </c>
      <c r="AK292" s="43">
        <f>'D3 Gallon Forecast'!AK25+'D5 Gallon Forecast'!AK56+'D6 Gallon Forecast'!AK97</f>
        <v>1490584234.9602289</v>
      </c>
      <c r="AL292" s="43">
        <f>'D3 Gallon Forecast'!AL25+'D5 Gallon Forecast'!AL56+'D6 Gallon Forecast'!AL97</f>
        <v>1514351026.0420079</v>
      </c>
      <c r="AM292" s="43">
        <f>'D3 Gallon Forecast'!AM25+'D5 Gallon Forecast'!AM56+'D6 Gallon Forecast'!AM97</f>
        <v>1538815830.6278467</v>
      </c>
      <c r="AN292" s="43">
        <f>'D3 Gallon Forecast'!AN25+'D5 Gallon Forecast'!AN56+'D6 Gallon Forecast'!AN97</f>
        <v>1564628590.0164335</v>
      </c>
      <c r="AO292" s="43">
        <f>'D3 Gallon Forecast'!AO25+'D5 Gallon Forecast'!AO56+'D6 Gallon Forecast'!AO97</f>
        <v>1590208887.7768128</v>
      </c>
      <c r="AP292" s="43">
        <f>'D3 Gallon Forecast'!AP25+'D5 Gallon Forecast'!AP56+'D6 Gallon Forecast'!AP97</f>
        <v>1616202263.0854599</v>
      </c>
      <c r="AQ292" s="43">
        <f>'D3 Gallon Forecast'!AQ25+'D5 Gallon Forecast'!AQ56+'D6 Gallon Forecast'!AQ97</f>
        <v>1624195253.8140109</v>
      </c>
      <c r="AR292" s="43"/>
    </row>
    <row r="293" spans="1:44">
      <c r="A293" s="40" t="s">
        <v>69</v>
      </c>
      <c r="B293" s="42">
        <f>'D3 RIN Forecast'!B26+'D5 Gallon Forecast'!B57+'D6 Gallon Forecast'!B98</f>
        <v>1813991</v>
      </c>
      <c r="C293" s="42">
        <f>'D3 RIN Forecast'!C26+'D5 Gallon Forecast'!C57+'D6 Gallon Forecast'!C98</f>
        <v>1055587726</v>
      </c>
      <c r="D293" s="42">
        <f>'D3 RIN Forecast'!D26+'D5 Gallon Forecast'!D57+'D6 Gallon Forecast'!D98</f>
        <v>1081691853</v>
      </c>
      <c r="E293" s="42">
        <f>'D3 RIN Forecast'!E26+'D5 Gallon Forecast'!E57+'D6 Gallon Forecast'!E98</f>
        <v>970264123</v>
      </c>
      <c r="F293" s="42">
        <f>'D3 RIN Forecast'!F26+'D5 Gallon Forecast'!F57+'D6 Gallon Forecast'!F98</f>
        <v>1022279358</v>
      </c>
      <c r="G293" s="42">
        <f>'D3 RIN Forecast'!G26+'D5 Gallon Forecast'!G57+'D6 Gallon Forecast'!G98</f>
        <v>1087446600</v>
      </c>
      <c r="H293" s="42">
        <f>'D3 RIN Forecast'!H26+'D5 Gallon Forecast'!H57+'D6 Gallon Forecast'!H98</f>
        <v>1179848114</v>
      </c>
      <c r="I293" s="42">
        <f>'D3 RIN Forecast'!I26+'D5 Gallon Forecast'!I57+'D6 Gallon Forecast'!I98</f>
        <v>1149332757</v>
      </c>
      <c r="J293" s="42">
        <f>'D3 RIN Forecast'!J26+'D5 Gallon Forecast'!J57+'D6 Gallon Forecast'!J98</f>
        <v>1121769108</v>
      </c>
      <c r="K293" s="42">
        <f>'D3 RIN Forecast'!K26+'D5 Gallon Forecast'!K57+'D6 Gallon Forecast'!K98</f>
        <v>1167315628</v>
      </c>
      <c r="L293" s="42">
        <f>'D3 RIN Forecast'!L26+'D5 Gallon Forecast'!L57+'D6 Gallon Forecast'!L98</f>
        <v>1193948580</v>
      </c>
      <c r="M293" s="42">
        <f>'D3 Gallon Forecast'!M26+'D5 Gallon Forecast'!M57+'D6 Gallon Forecast'!M98</f>
        <v>933453984</v>
      </c>
      <c r="N293" s="42">
        <f>'D3 Gallon Forecast'!N26+'D5 Gallon Forecast'!N57+'D6 Gallon Forecast'!N98</f>
        <v>1128866429</v>
      </c>
      <c r="O293" s="42">
        <f>'D3 Gallon Forecast'!O26+'D5 Gallon Forecast'!O57+'D6 Gallon Forecast'!O98</f>
        <v>1182448684</v>
      </c>
      <c r="P293" s="42">
        <f>'D3 Gallon Forecast'!P26+'D5 Gallon Forecast'!P57+'D6 Gallon Forecast'!P98</f>
        <v>1279450609</v>
      </c>
      <c r="Q293" s="42">
        <f>'D3 Gallon Forecast'!Q26+'D5 Gallon Forecast'!Q57+'D6 Gallon Forecast'!Q98</f>
        <v>1129718148</v>
      </c>
      <c r="R293" s="43">
        <f>'D3 Gallon Forecast'!R26+'D5 Gallon Forecast'!R57+'D6 Gallon Forecast'!R98</f>
        <v>1129633251.6114731</v>
      </c>
      <c r="S293" s="43">
        <f>'D3 Gallon Forecast'!S26+'D5 Gallon Forecast'!S57+'D6 Gallon Forecast'!S98</f>
        <v>1162429709.6877778</v>
      </c>
      <c r="T293" s="43">
        <f>'D3 Gallon Forecast'!T26+'D5 Gallon Forecast'!T57+'D6 Gallon Forecast'!T98</f>
        <v>1180775912.4527941</v>
      </c>
      <c r="U293" s="43">
        <f>'D3 Gallon Forecast'!U26+'D5 Gallon Forecast'!U57+'D6 Gallon Forecast'!U98</f>
        <v>1189998668.1625366</v>
      </c>
      <c r="V293" s="43">
        <f>'D3 Gallon Forecast'!V26+'D5 Gallon Forecast'!V57+'D6 Gallon Forecast'!V98</f>
        <v>1182610972.8253653</v>
      </c>
      <c r="W293" s="43">
        <f>'D3 Gallon Forecast'!W26+'D5 Gallon Forecast'!W57+'D6 Gallon Forecast'!W98</f>
        <v>1197923150.8499072</v>
      </c>
      <c r="X293" s="43">
        <f>'D3 Gallon Forecast'!X26+'D5 Gallon Forecast'!X57+'D6 Gallon Forecast'!X98</f>
        <v>1212913770.3397639</v>
      </c>
      <c r="Y293" s="43">
        <f>'D3 Gallon Forecast'!Y26+'D5 Gallon Forecast'!Y57+'D6 Gallon Forecast'!Y98</f>
        <v>1225462850.3927393</v>
      </c>
      <c r="Z293" s="43">
        <f>'D3 Gallon Forecast'!Z26+'D5 Gallon Forecast'!Z57+'D6 Gallon Forecast'!Z98</f>
        <v>1235716555.4039803</v>
      </c>
      <c r="AA293" s="43">
        <f>'D3 Gallon Forecast'!AA26+'D5 Gallon Forecast'!AA57+'D6 Gallon Forecast'!AA98</f>
        <v>1245810791.7980673</v>
      </c>
      <c r="AB293" s="43">
        <f>'D3 Gallon Forecast'!AB26+'D5 Gallon Forecast'!AB57+'D6 Gallon Forecast'!AB98</f>
        <v>1259972631.4147885</v>
      </c>
      <c r="AC293" s="43">
        <f>'D3 Gallon Forecast'!AC26+'D5 Gallon Forecast'!AC57+'D6 Gallon Forecast'!AC98</f>
        <v>1273422839.7562361</v>
      </c>
      <c r="AD293" s="43">
        <f>'D3 Gallon Forecast'!AD26+'D5 Gallon Forecast'!AD57+'D6 Gallon Forecast'!AD98</f>
        <v>1286142670.0507817</v>
      </c>
      <c r="AE293" s="43">
        <f>'D3 Gallon Forecast'!AE26+'D5 Gallon Forecast'!AE57+'D6 Gallon Forecast'!AE98</f>
        <v>1299144174.9130104</v>
      </c>
      <c r="AF293" s="43">
        <f>'D3 Gallon Forecast'!AF26+'D5 Gallon Forecast'!AF57+'D6 Gallon Forecast'!AF98</f>
        <v>1312798553.7830474</v>
      </c>
      <c r="AG293" s="43">
        <f>'D3 Gallon Forecast'!AG26+'D5 Gallon Forecast'!AG57+'D6 Gallon Forecast'!AG98</f>
        <v>1327297474.7709184</v>
      </c>
      <c r="AH293" s="43">
        <f>'D3 Gallon Forecast'!AH26+'D5 Gallon Forecast'!AH57+'D6 Gallon Forecast'!AH98</f>
        <v>1356209493.0305328</v>
      </c>
      <c r="AI293" s="43">
        <f>'D3 Gallon Forecast'!AI26+'D5 Gallon Forecast'!AI57+'D6 Gallon Forecast'!AI98</f>
        <v>1384019489.9449639</v>
      </c>
      <c r="AJ293" s="43">
        <f>'D3 Gallon Forecast'!AJ26+'D5 Gallon Forecast'!AJ57+'D6 Gallon Forecast'!AJ98</f>
        <v>1410439577.4557378</v>
      </c>
      <c r="AK293" s="43">
        <f>'D3 Gallon Forecast'!AK26+'D5 Gallon Forecast'!AK57+'D6 Gallon Forecast'!AK98</f>
        <v>1435980937.7213485</v>
      </c>
      <c r="AL293" s="43">
        <f>'D3 Gallon Forecast'!AL26+'D5 Gallon Forecast'!AL57+'D6 Gallon Forecast'!AL98</f>
        <v>1461151160.8927493</v>
      </c>
      <c r="AM293" s="43">
        <f>'D3 Gallon Forecast'!AM26+'D5 Gallon Forecast'!AM57+'D6 Gallon Forecast'!AM98</f>
        <v>1486540886.8785524</v>
      </c>
      <c r="AN293" s="43">
        <f>'D3 Gallon Forecast'!AN26+'D5 Gallon Forecast'!AN57+'D6 Gallon Forecast'!AN98</f>
        <v>1512284346.584727</v>
      </c>
      <c r="AO293" s="43">
        <f>'D3 Gallon Forecast'!AO26+'D5 Gallon Forecast'!AO57+'D6 Gallon Forecast'!AO98</f>
        <v>1537236889.5369754</v>
      </c>
      <c r="AP293" s="43">
        <f>'D3 Gallon Forecast'!AP26+'D5 Gallon Forecast'!AP57+'D6 Gallon Forecast'!AP98</f>
        <v>1562153350.4018497</v>
      </c>
      <c r="AQ293" s="43">
        <f>'D3 Gallon Forecast'!AQ26+'D5 Gallon Forecast'!AQ57+'D6 Gallon Forecast'!AQ98</f>
        <v>1570252045.8969874</v>
      </c>
      <c r="AR293" s="43"/>
    </row>
    <row r="294" spans="1:44">
      <c r="A294" s="40" t="s">
        <v>70</v>
      </c>
      <c r="B294" s="42">
        <f>'D3 RIN Forecast'!B27+'D5 Gallon Forecast'!B58+'D6 Gallon Forecast'!B99</f>
        <v>726074</v>
      </c>
      <c r="C294" s="42">
        <f>'D3 RIN Forecast'!C27+'D5 Gallon Forecast'!C58+'D6 Gallon Forecast'!C99</f>
        <v>1227484991</v>
      </c>
      <c r="D294" s="42">
        <f>'D3 RIN Forecast'!D27+'D5 Gallon Forecast'!D58+'D6 Gallon Forecast'!D99</f>
        <v>1157490408</v>
      </c>
      <c r="E294" s="42">
        <f>'D3 RIN Forecast'!E27+'D5 Gallon Forecast'!E58+'D6 Gallon Forecast'!E99</f>
        <v>1082202121</v>
      </c>
      <c r="F294" s="42">
        <f>'D3 RIN Forecast'!F27+'D5 Gallon Forecast'!F58+'D6 Gallon Forecast'!F99</f>
        <v>1151949557</v>
      </c>
      <c r="G294" s="42">
        <f>'D3 RIN Forecast'!G27+'D5 Gallon Forecast'!G58+'D6 Gallon Forecast'!G99</f>
        <v>1211056625</v>
      </c>
      <c r="H294" s="42">
        <f>'D3 RIN Forecast'!H27+'D5 Gallon Forecast'!H58+'D6 Gallon Forecast'!H99</f>
        <v>1240603875</v>
      </c>
      <c r="I294" s="42">
        <f>'D3 RIN Forecast'!I27+'D5 Gallon Forecast'!I58+'D6 Gallon Forecast'!I99</f>
        <v>1282319969</v>
      </c>
      <c r="J294" s="42">
        <f>'D3 RIN Forecast'!J27+'D5 Gallon Forecast'!J58+'D6 Gallon Forecast'!J99</f>
        <v>1244470199</v>
      </c>
      <c r="K294" s="42">
        <f>'D3 RIN Forecast'!K27+'D5 Gallon Forecast'!K58+'D6 Gallon Forecast'!K99</f>
        <v>1225841305</v>
      </c>
      <c r="L294" s="42">
        <f>'D3 RIN Forecast'!L27+'D5 Gallon Forecast'!L58+'D6 Gallon Forecast'!L99</f>
        <v>1174159077</v>
      </c>
      <c r="M294" s="42">
        <f>'D3 Gallon Forecast'!M27+'D5 Gallon Forecast'!M58+'D6 Gallon Forecast'!M99</f>
        <v>1216107016</v>
      </c>
      <c r="N294" s="42">
        <f>'D3 Gallon Forecast'!N27+'D5 Gallon Forecast'!N58+'D6 Gallon Forecast'!N99</f>
        <v>1308292317</v>
      </c>
      <c r="O294" s="42">
        <f>'D3 Gallon Forecast'!O27+'D5 Gallon Forecast'!O58+'D6 Gallon Forecast'!O99</f>
        <v>1265398583</v>
      </c>
      <c r="P294" s="42">
        <f>'D3 Gallon Forecast'!P27+'D5 Gallon Forecast'!P58+'D6 Gallon Forecast'!P99</f>
        <v>1254977216</v>
      </c>
      <c r="Q294" s="42">
        <f>'D3 Gallon Forecast'!Q27+'D5 Gallon Forecast'!Q58+'D6 Gallon Forecast'!Q99</f>
        <v>1258613326.3453763</v>
      </c>
      <c r="R294" s="43">
        <f>'D3 Gallon Forecast'!R27+'D5 Gallon Forecast'!R58+'D6 Gallon Forecast'!R99</f>
        <v>1258795050.627341</v>
      </c>
      <c r="S294" s="43">
        <f>'D3 Gallon Forecast'!S27+'D5 Gallon Forecast'!S58+'D6 Gallon Forecast'!S99</f>
        <v>1259888728.1170373</v>
      </c>
      <c r="T294" s="43">
        <f>'D3 Gallon Forecast'!T27+'D5 Gallon Forecast'!T58+'D6 Gallon Forecast'!T99</f>
        <v>1260673818.1858246</v>
      </c>
      <c r="U294" s="43">
        <f>'D3 Gallon Forecast'!U27+'D5 Gallon Forecast'!U58+'D6 Gallon Forecast'!U99</f>
        <v>1270782537.3724918</v>
      </c>
      <c r="V294" s="43">
        <f>'D3 Gallon Forecast'!V27+'D5 Gallon Forecast'!V58+'D6 Gallon Forecast'!V99</f>
        <v>1287249629.3308568</v>
      </c>
      <c r="W294" s="43">
        <f>'D3 Gallon Forecast'!W27+'D5 Gallon Forecast'!W58+'D6 Gallon Forecast'!W99</f>
        <v>1298210564.4173896</v>
      </c>
      <c r="X294" s="43">
        <f>'D3 Gallon Forecast'!X27+'D5 Gallon Forecast'!X58+'D6 Gallon Forecast'!X99</f>
        <v>1307157105.9193783</v>
      </c>
      <c r="Y294" s="43">
        <f>'D3 Gallon Forecast'!Y27+'D5 Gallon Forecast'!Y58+'D6 Gallon Forecast'!Y99</f>
        <v>1318878214.2280521</v>
      </c>
      <c r="Z294" s="43">
        <f>'D3 Gallon Forecast'!Z27+'D5 Gallon Forecast'!Z58+'D6 Gallon Forecast'!Z99</f>
        <v>1331286291.4716694</v>
      </c>
      <c r="AA294" s="43">
        <f>'D3 Gallon Forecast'!AA27+'D5 Gallon Forecast'!AA58+'D6 Gallon Forecast'!AA99</f>
        <v>1344245970.4763832</v>
      </c>
      <c r="AB294" s="43">
        <f>'D3 Gallon Forecast'!AB27+'D5 Gallon Forecast'!AB58+'D6 Gallon Forecast'!AB99</f>
        <v>1356842750.4762499</v>
      </c>
      <c r="AC294" s="43">
        <f>'D3 Gallon Forecast'!AC27+'D5 Gallon Forecast'!AC58+'D6 Gallon Forecast'!AC99</f>
        <v>1369349054.2099531</v>
      </c>
      <c r="AD294" s="43">
        <f>'D3 Gallon Forecast'!AD27+'D5 Gallon Forecast'!AD58+'D6 Gallon Forecast'!AD99</f>
        <v>1382078120.9218998</v>
      </c>
      <c r="AE294" s="43">
        <f>'D3 Gallon Forecast'!AE27+'D5 Gallon Forecast'!AE58+'D6 Gallon Forecast'!AE99</f>
        <v>1395171188.435564</v>
      </c>
      <c r="AF294" s="43">
        <f>'D3 Gallon Forecast'!AF27+'D5 Gallon Forecast'!AF58+'D6 Gallon Forecast'!AF99</f>
        <v>1408571295.9431014</v>
      </c>
      <c r="AG294" s="43">
        <f>'D3 Gallon Forecast'!AG27+'D5 Gallon Forecast'!AG58+'D6 Gallon Forecast'!AG99</f>
        <v>1422174363.4886558</v>
      </c>
      <c r="AH294" s="43">
        <f>'D3 Gallon Forecast'!AH27+'D5 Gallon Forecast'!AH58+'D6 Gallon Forecast'!AH99</f>
        <v>1448431855.6922514</v>
      </c>
      <c r="AI294" s="43">
        <f>'D3 Gallon Forecast'!AI27+'D5 Gallon Forecast'!AI58+'D6 Gallon Forecast'!AI99</f>
        <v>1472803701.0481927</v>
      </c>
      <c r="AJ294" s="43">
        <f>'D3 Gallon Forecast'!AJ27+'D5 Gallon Forecast'!AJ58+'D6 Gallon Forecast'!AJ99</f>
        <v>1495183630.1564615</v>
      </c>
      <c r="AK294" s="43">
        <f>'D3 Gallon Forecast'!AK27+'D5 Gallon Forecast'!AK58+'D6 Gallon Forecast'!AK99</f>
        <v>1516124541.0400531</v>
      </c>
      <c r="AL294" s="43">
        <f>'D3 Gallon Forecast'!AL27+'D5 Gallon Forecast'!AL58+'D6 Gallon Forecast'!AL99</f>
        <v>1536370662.3121552</v>
      </c>
      <c r="AM294" s="43">
        <f>'D3 Gallon Forecast'!AM27+'D5 Gallon Forecast'!AM58+'D6 Gallon Forecast'!AM99</f>
        <v>1556592440.6940029</v>
      </c>
      <c r="AN294" s="43">
        <f>'D3 Gallon Forecast'!AN27+'D5 Gallon Forecast'!AN58+'D6 Gallon Forecast'!AN99</f>
        <v>1576929137.8641584</v>
      </c>
      <c r="AO294" s="43">
        <f>'D3 Gallon Forecast'!AO27+'D5 Gallon Forecast'!AO58+'D6 Gallon Forecast'!AO99</f>
        <v>1596092938.6449313</v>
      </c>
      <c r="AP294" s="43">
        <f>'D3 Gallon Forecast'!AP27+'D5 Gallon Forecast'!AP58+'D6 Gallon Forecast'!AP99</f>
        <v>1614950626.7453871</v>
      </c>
      <c r="AQ294" s="43">
        <f>'D3 Gallon Forecast'!AQ27+'D5 Gallon Forecast'!AQ58+'D6 Gallon Forecast'!AQ99</f>
        <v>1615234384.9877119</v>
      </c>
      <c r="AR294" s="43"/>
    </row>
    <row r="295" spans="1:44">
      <c r="A295" s="40" t="s">
        <v>71</v>
      </c>
      <c r="B295" s="42">
        <f>'D3 RIN Forecast'!B28+'D5 Gallon Forecast'!B59+'D6 Gallon Forecast'!B100</f>
        <v>0</v>
      </c>
      <c r="C295" s="42">
        <f>'D3 RIN Forecast'!C28+'D5 Gallon Forecast'!C59+'D6 Gallon Forecast'!C100</f>
        <v>1071259498</v>
      </c>
      <c r="D295" s="42">
        <f>'D3 RIN Forecast'!D28+'D5 Gallon Forecast'!D59+'D6 Gallon Forecast'!D100</f>
        <v>1112212274</v>
      </c>
      <c r="E295" s="42">
        <f>'D3 RIN Forecast'!E28+'D5 Gallon Forecast'!E59+'D6 Gallon Forecast'!E100</f>
        <v>1112326804</v>
      </c>
      <c r="F295" s="42">
        <f>'D3 RIN Forecast'!F28+'D5 Gallon Forecast'!F59+'D6 Gallon Forecast'!F100</f>
        <v>1194189904</v>
      </c>
      <c r="G295" s="42">
        <f>'D3 RIN Forecast'!G28+'D5 Gallon Forecast'!G59+'D6 Gallon Forecast'!G100</f>
        <v>1176654378</v>
      </c>
      <c r="H295" s="42">
        <f>'D3 RIN Forecast'!H28+'D5 Gallon Forecast'!H59+'D6 Gallon Forecast'!H100</f>
        <v>1175518260</v>
      </c>
      <c r="I295" s="42">
        <f>'D3 RIN Forecast'!I28+'D5 Gallon Forecast'!I59+'D6 Gallon Forecast'!I100</f>
        <v>1181652022</v>
      </c>
      <c r="J295" s="42">
        <f>'D3 RIN Forecast'!J28+'D5 Gallon Forecast'!J59+'D6 Gallon Forecast'!J100</f>
        <v>1244911974</v>
      </c>
      <c r="K295" s="42">
        <f>'D3 RIN Forecast'!K28+'D5 Gallon Forecast'!K59+'D6 Gallon Forecast'!K100</f>
        <v>1286955190</v>
      </c>
      <c r="L295" s="42">
        <f>'D3 RIN Forecast'!L28+'D5 Gallon Forecast'!L59+'D6 Gallon Forecast'!L100</f>
        <v>671335167</v>
      </c>
      <c r="M295" s="42">
        <f>'D3 Gallon Forecast'!M28+'D5 Gallon Forecast'!M59+'D6 Gallon Forecast'!M100</f>
        <v>1168296005</v>
      </c>
      <c r="N295" s="42">
        <f>'D3 Gallon Forecast'!N28+'D5 Gallon Forecast'!N59+'D6 Gallon Forecast'!N100</f>
        <v>1180970884</v>
      </c>
      <c r="O295" s="42">
        <f>'D3 Gallon Forecast'!O28+'D5 Gallon Forecast'!O59+'D6 Gallon Forecast'!O100</f>
        <v>1205747364</v>
      </c>
      <c r="P295" s="42">
        <f>'D3 Gallon Forecast'!P28+'D5 Gallon Forecast'!P59+'D6 Gallon Forecast'!P100</f>
        <v>1263301212</v>
      </c>
      <c r="Q295" s="43">
        <f>'D3 Gallon Forecast'!Q28+'D5 Gallon Forecast'!Q59+'D6 Gallon Forecast'!Q100</f>
        <v>1117197069.9311473</v>
      </c>
      <c r="R295" s="43">
        <f>'D3 Gallon Forecast'!R28+'D5 Gallon Forecast'!R59+'D6 Gallon Forecast'!R100</f>
        <v>1183578107.5657997</v>
      </c>
      <c r="S295" s="43">
        <f>'D3 Gallon Forecast'!S28+'D5 Gallon Forecast'!S59+'D6 Gallon Forecast'!S100</f>
        <v>1179344511.548003</v>
      </c>
      <c r="T295" s="43">
        <f>'D3 Gallon Forecast'!T28+'D5 Gallon Forecast'!T59+'D6 Gallon Forecast'!T100</f>
        <v>1189300847.8408406</v>
      </c>
      <c r="U295" s="43">
        <f>'D3 Gallon Forecast'!U28+'D5 Gallon Forecast'!U59+'D6 Gallon Forecast'!U100</f>
        <v>1197120314.1916392</v>
      </c>
      <c r="V295" s="43">
        <f>'D3 Gallon Forecast'!V28+'D5 Gallon Forecast'!V59+'D6 Gallon Forecast'!V100</f>
        <v>1196972741.2678728</v>
      </c>
      <c r="W295" s="43">
        <f>'D3 Gallon Forecast'!W28+'D5 Gallon Forecast'!W59+'D6 Gallon Forecast'!W100</f>
        <v>1217896351.5080211</v>
      </c>
      <c r="X295" s="43">
        <f>'D3 Gallon Forecast'!X28+'D5 Gallon Forecast'!X59+'D6 Gallon Forecast'!X100</f>
        <v>1226001168.4391065</v>
      </c>
      <c r="Y295" s="43">
        <f>'D3 Gallon Forecast'!Y28+'D5 Gallon Forecast'!Y59+'D6 Gallon Forecast'!Y100</f>
        <v>1237954694.8955381</v>
      </c>
      <c r="Z295" s="43">
        <f>'D3 Gallon Forecast'!Z28+'D5 Gallon Forecast'!Z59+'D6 Gallon Forecast'!Z100</f>
        <v>1248625750.6327713</v>
      </c>
      <c r="AA295" s="43">
        <f>'D3 Gallon Forecast'!AA28+'D5 Gallon Forecast'!AA59+'D6 Gallon Forecast'!AA100</f>
        <v>1259869851.2287672</v>
      </c>
      <c r="AB295" s="43">
        <f>'D3 Gallon Forecast'!AB28+'D5 Gallon Forecast'!AB59+'D6 Gallon Forecast'!AB100</f>
        <v>1273899644.0978892</v>
      </c>
      <c r="AC295" s="43">
        <f>'D3 Gallon Forecast'!AC28+'D5 Gallon Forecast'!AC59+'D6 Gallon Forecast'!AC100</f>
        <v>1285995557.797298</v>
      </c>
      <c r="AD295" s="43">
        <f>'D3 Gallon Forecast'!AD28+'D5 Gallon Forecast'!AD59+'D6 Gallon Forecast'!AD100</f>
        <v>1298347296.0957222</v>
      </c>
      <c r="AE295" s="43">
        <f>'D3 Gallon Forecast'!AE28+'D5 Gallon Forecast'!AE59+'D6 Gallon Forecast'!AE100</f>
        <v>1310976435.663466</v>
      </c>
      <c r="AF295" s="43">
        <f>'D3 Gallon Forecast'!AF28+'D5 Gallon Forecast'!AF59+'D6 Gallon Forecast'!AF100</f>
        <v>1324138997.5075169</v>
      </c>
      <c r="AG295" s="43">
        <f>'D3 Gallon Forecast'!AG28+'D5 Gallon Forecast'!AG59+'D6 Gallon Forecast'!AG100</f>
        <v>1337782435.2088332</v>
      </c>
      <c r="AH295" s="43">
        <f>'D3 Gallon Forecast'!AH28+'D5 Gallon Forecast'!AH59+'D6 Gallon Forecast'!AH100</f>
        <v>1366287787.5663548</v>
      </c>
      <c r="AI295" s="43">
        <f>'D3 Gallon Forecast'!AI28+'D5 Gallon Forecast'!AI59+'D6 Gallon Forecast'!AI100</f>
        <v>1392857414.1425941</v>
      </c>
      <c r="AJ295" s="43">
        <f>'D3 Gallon Forecast'!AJ28+'D5 Gallon Forecast'!AJ59+'D6 Gallon Forecast'!AJ100</f>
        <v>1417224261.5062635</v>
      </c>
      <c r="AK295" s="43">
        <f>'D3 Gallon Forecast'!AK28+'D5 Gallon Forecast'!AK59+'D6 Gallon Forecast'!AK100</f>
        <v>1440034796.4651275</v>
      </c>
      <c r="AL295" s="43">
        <f>'D3 Gallon Forecast'!AL28+'D5 Gallon Forecast'!AL59+'D6 Gallon Forecast'!AL100</f>
        <v>1462049909.2041266</v>
      </c>
      <c r="AM295" s="43">
        <f>'D3 Gallon Forecast'!AM28+'D5 Gallon Forecast'!AM59+'D6 Gallon Forecast'!AM100</f>
        <v>1484001842.7948129</v>
      </c>
      <c r="AN295" s="43">
        <f>'D3 Gallon Forecast'!AN28+'D5 Gallon Forecast'!AN59+'D6 Gallon Forecast'!AN100</f>
        <v>1505950191.5035579</v>
      </c>
      <c r="AO295" s="43">
        <f>'D3 Gallon Forecast'!AO28+'D5 Gallon Forecast'!AO59+'D6 Gallon Forecast'!AO100</f>
        <v>1526687293.245887</v>
      </c>
      <c r="AP295" s="43">
        <f>'D3 Gallon Forecast'!AP28+'D5 Gallon Forecast'!AP59+'D6 Gallon Forecast'!AP100</f>
        <v>1547095721.2511017</v>
      </c>
      <c r="AQ295" s="43">
        <f>'D3 Gallon Forecast'!AQ28+'D5 Gallon Forecast'!AQ59+'D6 Gallon Forecast'!AQ100</f>
        <v>1549120695.4348662</v>
      </c>
      <c r="AR295" s="43"/>
    </row>
    <row r="296" spans="1:44">
      <c r="A296" s="40" t="s">
        <v>47</v>
      </c>
      <c r="B296" s="42">
        <f>'D3 RIN Forecast'!B29+'D5 Gallon Forecast'!B60+'D6 Gallon Forecast'!B101</f>
        <v>0</v>
      </c>
      <c r="C296" s="42">
        <f>'D3 RIN Forecast'!C29+'D5 Gallon Forecast'!C60+'D6 Gallon Forecast'!C101</f>
        <v>1141675414</v>
      </c>
      <c r="D296" s="42">
        <f>'D3 RIN Forecast'!D29+'D5 Gallon Forecast'!D60+'D6 Gallon Forecast'!D101</f>
        <v>1148584610</v>
      </c>
      <c r="E296" s="42">
        <f>'D3 RIN Forecast'!E29+'D5 Gallon Forecast'!E60+'D6 Gallon Forecast'!E101</f>
        <v>1171556785</v>
      </c>
      <c r="F296" s="42">
        <f>'D3 RIN Forecast'!F29+'D5 Gallon Forecast'!F60+'D6 Gallon Forecast'!F101</f>
        <v>1222489190</v>
      </c>
      <c r="G296" s="42">
        <f>'D3 RIN Forecast'!G29+'D5 Gallon Forecast'!G60+'D6 Gallon Forecast'!G101</f>
        <v>1211383680</v>
      </c>
      <c r="H296" s="42">
        <f>'D3 RIN Forecast'!H29+'D5 Gallon Forecast'!H60+'D6 Gallon Forecast'!H101</f>
        <v>1256298961</v>
      </c>
      <c r="I296" s="42">
        <f>'D3 RIN Forecast'!I29+'D5 Gallon Forecast'!I60+'D6 Gallon Forecast'!I101</f>
        <v>1288335269</v>
      </c>
      <c r="J296" s="42">
        <f>'D3 RIN Forecast'!J29+'D5 Gallon Forecast'!J60+'D6 Gallon Forecast'!J101</f>
        <v>1309430420</v>
      </c>
      <c r="K296" s="42">
        <f>'D3 RIN Forecast'!K29+'D5 Gallon Forecast'!K60+'D6 Gallon Forecast'!K101</f>
        <v>1311063762</v>
      </c>
      <c r="L296" s="42">
        <f>'D3 RIN Forecast'!L29+'D5 Gallon Forecast'!L60+'D6 Gallon Forecast'!L101</f>
        <v>876338662</v>
      </c>
      <c r="M296" s="42">
        <f>'D3 Gallon Forecast'!M29+'D5 Gallon Forecast'!M60+'D6 Gallon Forecast'!M101</f>
        <v>1297078723</v>
      </c>
      <c r="N296" s="42">
        <f>'D3 Gallon Forecast'!N29+'D5 Gallon Forecast'!N60+'D6 Gallon Forecast'!N101</f>
        <v>1293680217</v>
      </c>
      <c r="O296" s="42">
        <f>'D3 Gallon Forecast'!O29+'D5 Gallon Forecast'!O60+'D6 Gallon Forecast'!O101</f>
        <v>1319501475</v>
      </c>
      <c r="P296" s="42">
        <f>'D3 Gallon Forecast'!P29+'D5 Gallon Forecast'!P60+'D6 Gallon Forecast'!P101</f>
        <v>1343730189</v>
      </c>
      <c r="Q296" s="43">
        <f>'D3 Gallon Forecast'!Q29+'D5 Gallon Forecast'!Q60+'D6 Gallon Forecast'!Q101</f>
        <v>1252746059.4855692</v>
      </c>
      <c r="R296" s="43">
        <f>'D3 Gallon Forecast'!R29+'D5 Gallon Forecast'!R60+'D6 Gallon Forecast'!R101</f>
        <v>1311270082.0984011</v>
      </c>
      <c r="S296" s="43">
        <f>'D3 Gallon Forecast'!S29+'D5 Gallon Forecast'!S60+'D6 Gallon Forecast'!S101</f>
        <v>1304855831.7051196</v>
      </c>
      <c r="T296" s="43">
        <f>'D3 Gallon Forecast'!T29+'D5 Gallon Forecast'!T60+'D6 Gallon Forecast'!T101</f>
        <v>1319445939.749984</v>
      </c>
      <c r="U296" s="43">
        <f>'D3 Gallon Forecast'!U29+'D5 Gallon Forecast'!U60+'D6 Gallon Forecast'!U101</f>
        <v>1330649753.6452711</v>
      </c>
      <c r="V296" s="43">
        <f>'D3 Gallon Forecast'!V29+'D5 Gallon Forecast'!V60+'D6 Gallon Forecast'!V101</f>
        <v>1343747693.8917298</v>
      </c>
      <c r="W296" s="43">
        <f>'D3 Gallon Forecast'!W29+'D5 Gallon Forecast'!W60+'D6 Gallon Forecast'!W101</f>
        <v>1367122888.7168543</v>
      </c>
      <c r="X296" s="43">
        <f>'D3 Gallon Forecast'!X29+'D5 Gallon Forecast'!X60+'D6 Gallon Forecast'!X101</f>
        <v>1381526374.6700165</v>
      </c>
      <c r="Y296" s="43">
        <f>'D3 Gallon Forecast'!Y29+'D5 Gallon Forecast'!Y60+'D6 Gallon Forecast'!Y101</f>
        <v>1403556077.2970026</v>
      </c>
      <c r="Z296" s="43">
        <f>'D3 Gallon Forecast'!Z29+'D5 Gallon Forecast'!Z60+'D6 Gallon Forecast'!Z101</f>
        <v>1424529509.47088</v>
      </c>
      <c r="AA296" s="43">
        <f>'D3 Gallon Forecast'!AA29+'D5 Gallon Forecast'!AA60+'D6 Gallon Forecast'!AA101</f>
        <v>1447549515.7806833</v>
      </c>
      <c r="AB296" s="43">
        <f>'D3 Gallon Forecast'!AB29+'D5 Gallon Forecast'!AB60+'D6 Gallon Forecast'!AB101</f>
        <v>1474307799.6998153</v>
      </c>
      <c r="AC296" s="43">
        <f>'D3 Gallon Forecast'!AC29+'D5 Gallon Forecast'!AC60+'D6 Gallon Forecast'!AC101</f>
        <v>1500754901.8774633</v>
      </c>
      <c r="AD296" s="43">
        <f>'D3 Gallon Forecast'!AD29+'D5 Gallon Forecast'!AD60+'D6 Gallon Forecast'!AD101</f>
        <v>1528567016.7624745</v>
      </c>
      <c r="AE296" s="43">
        <f>'D3 Gallon Forecast'!AE29+'D5 Gallon Forecast'!AE60+'D6 Gallon Forecast'!AE101</f>
        <v>1558321105.6010442</v>
      </c>
      <c r="AF296" s="43">
        <f>'D3 Gallon Forecast'!AF29+'D5 Gallon Forecast'!AF60+'D6 Gallon Forecast'!AF101</f>
        <v>1589848118.606118</v>
      </c>
      <c r="AG296" s="43">
        <f>'D3 Gallon Forecast'!AG29+'D5 Gallon Forecast'!AG60+'D6 Gallon Forecast'!AG101</f>
        <v>1622802530.5242453</v>
      </c>
      <c r="AH296" s="43">
        <f>'D3 Gallon Forecast'!AH29+'D5 Gallon Forecast'!AH60+'D6 Gallon Forecast'!AH101</f>
        <v>1717898203.9513779</v>
      </c>
      <c r="AI296" s="43">
        <f>'D3 Gallon Forecast'!AI29+'D5 Gallon Forecast'!AI60+'D6 Gallon Forecast'!AI101</f>
        <v>1815852251.0473535</v>
      </c>
      <c r="AJ296" s="43">
        <f>'D3 Gallon Forecast'!AJ29+'D5 Gallon Forecast'!AJ60+'D6 Gallon Forecast'!AJ101</f>
        <v>1912424831.1728678</v>
      </c>
      <c r="AK296" s="43">
        <f>'D3 Gallon Forecast'!AK29+'D5 Gallon Forecast'!AK60+'D6 Gallon Forecast'!AK101</f>
        <v>2007459943.2866511</v>
      </c>
      <c r="AL296" s="43">
        <f>'D3 Gallon Forecast'!AL29+'D5 Gallon Forecast'!AL60+'D6 Gallon Forecast'!AL101</f>
        <v>2101757751.9051363</v>
      </c>
      <c r="AM296" s="43">
        <f>'D3 Gallon Forecast'!AM29+'D5 Gallon Forecast'!AM60+'D6 Gallon Forecast'!AM101</f>
        <v>2197447335.4757919</v>
      </c>
      <c r="AN296" s="43">
        <f>'D3 Gallon Forecast'!AN29+'D5 Gallon Forecast'!AN60+'D6 Gallon Forecast'!AN101</f>
        <v>2292670216.8831348</v>
      </c>
      <c r="AO296" s="43">
        <f>'D3 Gallon Forecast'!AO29+'D5 Gallon Forecast'!AO60+'D6 Gallon Forecast'!AO101</f>
        <v>2386585501.7138023</v>
      </c>
      <c r="AP296" s="43">
        <f>'D3 Gallon Forecast'!AP29+'D5 Gallon Forecast'!AP60+'D6 Gallon Forecast'!AP101</f>
        <v>2480164397.2154756</v>
      </c>
      <c r="AQ296" s="43">
        <f>'D3 Gallon Forecast'!AQ29+'D5 Gallon Forecast'!AQ60+'D6 Gallon Forecast'!AQ101</f>
        <v>2552955985.7762356</v>
      </c>
      <c r="AR296" s="43"/>
    </row>
    <row r="297" spans="1:44">
      <c r="A297" s="40" t="s">
        <v>72</v>
      </c>
      <c r="B297" s="42">
        <f>'D3 RIN Forecast'!B30+'D5 Gallon Forecast'!B61+'D6 Gallon Forecast'!B102</f>
        <v>90996</v>
      </c>
      <c r="C297" s="42">
        <f>'D3 RIN Forecast'!C30+'D5 Gallon Forecast'!C61+'D6 Gallon Forecast'!C102</f>
        <v>1169622510</v>
      </c>
      <c r="D297" s="42">
        <f>'D3 RIN Forecast'!D30+'D5 Gallon Forecast'!D61+'D6 Gallon Forecast'!D102</f>
        <v>1125180743</v>
      </c>
      <c r="E297" s="42">
        <f>'D3 RIN Forecast'!E30+'D5 Gallon Forecast'!E61+'D6 Gallon Forecast'!E102</f>
        <v>1138837984</v>
      </c>
      <c r="F297" s="42">
        <f>'D3 RIN Forecast'!F30+'D5 Gallon Forecast'!F61+'D6 Gallon Forecast'!F102</f>
        <v>1203536310</v>
      </c>
      <c r="G297" s="42">
        <f>'D3 RIN Forecast'!G30+'D5 Gallon Forecast'!G61+'D6 Gallon Forecast'!G102</f>
        <v>1253292390</v>
      </c>
      <c r="H297" s="42">
        <f>'D3 RIN Forecast'!H30+'D5 Gallon Forecast'!H61+'D6 Gallon Forecast'!H102</f>
        <v>1297473837</v>
      </c>
      <c r="I297" s="42">
        <f>'D3 RIN Forecast'!I30+'D5 Gallon Forecast'!I61+'D6 Gallon Forecast'!I102</f>
        <v>1277478069</v>
      </c>
      <c r="J297" s="42">
        <f>'D3 RIN Forecast'!J30+'D5 Gallon Forecast'!J61+'D6 Gallon Forecast'!J102</f>
        <v>1275832358</v>
      </c>
      <c r="K297" s="42">
        <f>'D3 RIN Forecast'!K30+'D5 Gallon Forecast'!K61+'D6 Gallon Forecast'!K102</f>
        <v>1298091635</v>
      </c>
      <c r="L297" s="42">
        <f>'D3 RIN Forecast'!L30+'D5 Gallon Forecast'!L61+'D6 Gallon Forecast'!L102</f>
        <v>1110436245</v>
      </c>
      <c r="M297" s="42">
        <f>'D3 Gallon Forecast'!M30+'D5 Gallon Forecast'!M61+'D6 Gallon Forecast'!M102</f>
        <v>1319857386</v>
      </c>
      <c r="N297" s="42">
        <f>'D3 Gallon Forecast'!N30+'D5 Gallon Forecast'!N61+'D6 Gallon Forecast'!N102</f>
        <v>1343269923</v>
      </c>
      <c r="O297" s="42">
        <f>'D3 Gallon Forecast'!O30+'D5 Gallon Forecast'!O61+'D6 Gallon Forecast'!O102</f>
        <v>1347488978</v>
      </c>
      <c r="P297" s="42">
        <f>'D3 Gallon Forecast'!P30+'D5 Gallon Forecast'!P61+'D6 Gallon Forecast'!P102</f>
        <v>1290870210</v>
      </c>
      <c r="Q297" s="43">
        <f>'D3 Gallon Forecast'!Q30+'D5 Gallon Forecast'!Q61+'D6 Gallon Forecast'!Q102</f>
        <v>1305841093.0560875</v>
      </c>
      <c r="R297" s="43">
        <f>'D3 Gallon Forecast'!R30+'D5 Gallon Forecast'!R61+'D6 Gallon Forecast'!R102</f>
        <v>1333488494.6437361</v>
      </c>
      <c r="S297" s="43">
        <f>'D3 Gallon Forecast'!S30+'D5 Gallon Forecast'!S61+'D6 Gallon Forecast'!S102</f>
        <v>1329820141.8875871</v>
      </c>
      <c r="T297" s="43">
        <f>'D3 Gallon Forecast'!T30+'D5 Gallon Forecast'!T61+'D6 Gallon Forecast'!T102</f>
        <v>1338470464.6963637</v>
      </c>
      <c r="U297" s="43">
        <f>'D3 Gallon Forecast'!U30+'D5 Gallon Forecast'!U61+'D6 Gallon Forecast'!U102</f>
        <v>1350404976.8481448</v>
      </c>
      <c r="V297" s="43">
        <f>'D3 Gallon Forecast'!V30+'D5 Gallon Forecast'!V61+'D6 Gallon Forecast'!V102</f>
        <v>1382146266.0767925</v>
      </c>
      <c r="W297" s="43">
        <f>'D3 Gallon Forecast'!W30+'D5 Gallon Forecast'!W61+'D6 Gallon Forecast'!W102</f>
        <v>1403472698.3688166</v>
      </c>
      <c r="X297" s="43">
        <f>'D3 Gallon Forecast'!X30+'D5 Gallon Forecast'!X61+'D6 Gallon Forecast'!X102</f>
        <v>1422780234.9699049</v>
      </c>
      <c r="Y297" s="43">
        <f>'D3 Gallon Forecast'!Y30+'D5 Gallon Forecast'!Y61+'D6 Gallon Forecast'!Y102</f>
        <v>1451585541.4285257</v>
      </c>
      <c r="Z297" s="43">
        <f>'D3 Gallon Forecast'!Z30+'D5 Gallon Forecast'!Z61+'D6 Gallon Forecast'!Z102</f>
        <v>1481156764.8568587</v>
      </c>
      <c r="AA297" s="43">
        <f>'D3 Gallon Forecast'!AA30+'D5 Gallon Forecast'!AA61+'D6 Gallon Forecast'!AA102</f>
        <v>1515889540.6270175</v>
      </c>
      <c r="AB297" s="43">
        <f>'D3 Gallon Forecast'!AB30+'D5 Gallon Forecast'!AB61+'D6 Gallon Forecast'!AB102</f>
        <v>1554281852.5819769</v>
      </c>
      <c r="AC297" s="43">
        <f>'D3 Gallon Forecast'!AC30+'D5 Gallon Forecast'!AC61+'D6 Gallon Forecast'!AC102</f>
        <v>1595510788.8061759</v>
      </c>
      <c r="AD297" s="43">
        <f>'D3 Gallon Forecast'!AD30+'D5 Gallon Forecast'!AD61+'D6 Gallon Forecast'!AD102</f>
        <v>1640274633.6336052</v>
      </c>
      <c r="AE297" s="43">
        <f>'D3 Gallon Forecast'!AE30+'D5 Gallon Forecast'!AE61+'D6 Gallon Forecast'!AE102</f>
        <v>1690117044.6418664</v>
      </c>
      <c r="AF297" s="43">
        <f>'D3 Gallon Forecast'!AF30+'D5 Gallon Forecast'!AF61+'D6 Gallon Forecast'!AF102</f>
        <v>1744836989.5002265</v>
      </c>
      <c r="AG297" s="43">
        <f>'D3 Gallon Forecast'!AG30+'D5 Gallon Forecast'!AG61+'D6 Gallon Forecast'!AG102</f>
        <v>1803612709.3777368</v>
      </c>
      <c r="AH297" s="43">
        <f>'D3 Gallon Forecast'!AH30+'D5 Gallon Forecast'!AH61+'D6 Gallon Forecast'!AH102</f>
        <v>1977351429.6863585</v>
      </c>
      <c r="AI297" s="43">
        <f>'D3 Gallon Forecast'!AI30+'D5 Gallon Forecast'!AI61+'D6 Gallon Forecast'!AI102</f>
        <v>2168528878.5119424</v>
      </c>
      <c r="AJ297" s="43">
        <f>'D3 Gallon Forecast'!AJ30+'D5 Gallon Forecast'!AJ61+'D6 Gallon Forecast'!AJ102</f>
        <v>2369617030.4481058</v>
      </c>
      <c r="AK297" s="43">
        <f>'D3 Gallon Forecast'!AK30+'D5 Gallon Forecast'!AK61+'D6 Gallon Forecast'!AK102</f>
        <v>2579074944.8284779</v>
      </c>
      <c r="AL297" s="43">
        <f>'D3 Gallon Forecast'!AL30+'D5 Gallon Forecast'!AL61+'D6 Gallon Forecast'!AL102</f>
        <v>2797267725.2606802</v>
      </c>
      <c r="AM297" s="43">
        <f>'D3 Gallon Forecast'!AM30+'D5 Gallon Forecast'!AM61+'D6 Gallon Forecast'!AM102</f>
        <v>3027508364.6614132</v>
      </c>
      <c r="AN297" s="43">
        <f>'D3 Gallon Forecast'!AN30+'D5 Gallon Forecast'!AN61+'D6 Gallon Forecast'!AN102</f>
        <v>3267674384.7906156</v>
      </c>
      <c r="AO297" s="43">
        <f>'D3 Gallon Forecast'!AO30+'D5 Gallon Forecast'!AO61+'D6 Gallon Forecast'!AO102</f>
        <v>3518068611.4320021</v>
      </c>
      <c r="AP297" s="43">
        <f>'D3 Gallon Forecast'!AP30+'D5 Gallon Forecast'!AP61+'D6 Gallon Forecast'!AP102</f>
        <v>3779851752.1001906</v>
      </c>
      <c r="AQ297" s="43">
        <f>'D3 Gallon Forecast'!AQ30+'D5 Gallon Forecast'!AQ61+'D6 Gallon Forecast'!AQ102</f>
        <v>4033578710.3468924</v>
      </c>
      <c r="AR297" s="43"/>
    </row>
    <row r="298" spans="1:44">
      <c r="A298" s="40" t="s">
        <v>73</v>
      </c>
      <c r="B298" s="42">
        <f>'D3 RIN Forecast'!B31+'D5 Gallon Forecast'!B62+'D6 Gallon Forecast'!B103</f>
        <v>1113361005</v>
      </c>
      <c r="C298" s="42">
        <f>'D3 RIN Forecast'!C31+'D5 Gallon Forecast'!C62+'D6 Gallon Forecast'!C103</f>
        <v>1141451602</v>
      </c>
      <c r="D298" s="42">
        <f>'D3 RIN Forecast'!D31+'D5 Gallon Forecast'!D62+'D6 Gallon Forecast'!D103</f>
        <v>1108156507</v>
      </c>
      <c r="E298" s="42">
        <f>'D3 RIN Forecast'!E31+'D5 Gallon Forecast'!E62+'D6 Gallon Forecast'!E103</f>
        <v>1175304998</v>
      </c>
      <c r="F298" s="42">
        <f>'D3 RIN Forecast'!F31+'D5 Gallon Forecast'!F62+'D6 Gallon Forecast'!F103</f>
        <v>1245628716</v>
      </c>
      <c r="G298" s="42">
        <f>'D3 RIN Forecast'!G31+'D5 Gallon Forecast'!G62+'D6 Gallon Forecast'!G103</f>
        <v>1242432201</v>
      </c>
      <c r="H298" s="42">
        <f>'D3 RIN Forecast'!H31+'D5 Gallon Forecast'!H62+'D6 Gallon Forecast'!H103</f>
        <v>1258354003</v>
      </c>
      <c r="I298" s="42">
        <f>'D3 RIN Forecast'!I31+'D5 Gallon Forecast'!I62+'D6 Gallon Forecast'!I103</f>
        <v>1275739890</v>
      </c>
      <c r="J298" s="42">
        <f>'D3 RIN Forecast'!J31+'D5 Gallon Forecast'!J62+'D6 Gallon Forecast'!J103</f>
        <v>1377670010</v>
      </c>
      <c r="K298" s="42">
        <f>'D3 RIN Forecast'!K31+'D5 Gallon Forecast'!K62+'D6 Gallon Forecast'!K103</f>
        <v>1378050367</v>
      </c>
      <c r="L298" s="42">
        <f>'D3 RIN Forecast'!L31+'D5 Gallon Forecast'!L62+'D6 Gallon Forecast'!L103</f>
        <v>1234937149</v>
      </c>
      <c r="M298" s="42">
        <f>'D3 Gallon Forecast'!M31+'D5 Gallon Forecast'!M62+'D6 Gallon Forecast'!M103</f>
        <v>1332595037</v>
      </c>
      <c r="N298" s="42">
        <f>'D3 Gallon Forecast'!N31+'D5 Gallon Forecast'!N62+'D6 Gallon Forecast'!N103</f>
        <v>1265552944</v>
      </c>
      <c r="O298" s="42">
        <f>'D3 Gallon Forecast'!O31+'D5 Gallon Forecast'!O62+'D6 Gallon Forecast'!O103</f>
        <v>1337482658</v>
      </c>
      <c r="P298" s="42">
        <f>'D3 Gallon Forecast'!P31+'D5 Gallon Forecast'!P62+'D6 Gallon Forecast'!P103</f>
        <v>1412668651</v>
      </c>
      <c r="Q298" s="43">
        <f>'D3 Gallon Forecast'!Q31+'D5 Gallon Forecast'!Q62+'D6 Gallon Forecast'!Q103</f>
        <v>1347129214.3176138</v>
      </c>
      <c r="R298" s="43">
        <f>'D3 Gallon Forecast'!R31+'D5 Gallon Forecast'!R62+'D6 Gallon Forecast'!R103</f>
        <v>1359965733.4819691</v>
      </c>
      <c r="S298" s="43">
        <f>'D3 Gallon Forecast'!S31+'D5 Gallon Forecast'!S62+'D6 Gallon Forecast'!S103</f>
        <v>1357325939.922606</v>
      </c>
      <c r="T298" s="43">
        <f>'D3 Gallon Forecast'!T31+'D5 Gallon Forecast'!T62+'D6 Gallon Forecast'!T103</f>
        <v>1385818648.8151972</v>
      </c>
      <c r="U298" s="43">
        <f>'D3 Gallon Forecast'!U31+'D5 Gallon Forecast'!U62+'D6 Gallon Forecast'!U103</f>
        <v>1406550415.3695016</v>
      </c>
      <c r="V298" s="43">
        <f>'D3 Gallon Forecast'!V31+'D5 Gallon Forecast'!V62+'D6 Gallon Forecast'!V103</f>
        <v>1422927226.9568419</v>
      </c>
      <c r="W298" s="43">
        <f>'D3 Gallon Forecast'!W31+'D5 Gallon Forecast'!W62+'D6 Gallon Forecast'!W103</f>
        <v>1444007995.3978193</v>
      </c>
      <c r="X298" s="43">
        <f>'D3 Gallon Forecast'!X31+'D5 Gallon Forecast'!X62+'D6 Gallon Forecast'!X103</f>
        <v>1466865363.6561205</v>
      </c>
      <c r="Y298" s="43">
        <f>'D3 Gallon Forecast'!Y31+'D5 Gallon Forecast'!Y62+'D6 Gallon Forecast'!Y103</f>
        <v>1500452146.8669882</v>
      </c>
      <c r="Z298" s="43">
        <f>'D3 Gallon Forecast'!Z31+'D5 Gallon Forecast'!Z62+'D6 Gallon Forecast'!Z103</f>
        <v>1532253472.566417</v>
      </c>
      <c r="AA298" s="43">
        <f>'D3 Gallon Forecast'!AA31+'D5 Gallon Forecast'!AA62+'D6 Gallon Forecast'!AA103</f>
        <v>1566467019.5112586</v>
      </c>
      <c r="AB298" s="43">
        <f>'D3 Gallon Forecast'!AB31+'D5 Gallon Forecast'!AB62+'D6 Gallon Forecast'!AB103</f>
        <v>1607839026.0668838</v>
      </c>
      <c r="AC298" s="43">
        <f>'D3 Gallon Forecast'!AC31+'D5 Gallon Forecast'!AC62+'D6 Gallon Forecast'!AC103</f>
        <v>1652366887.1828406</v>
      </c>
      <c r="AD298" s="43">
        <f>'D3 Gallon Forecast'!AD31+'D5 Gallon Forecast'!AD62+'D6 Gallon Forecast'!AD103</f>
        <v>1700334675.8815036</v>
      </c>
      <c r="AE298" s="43">
        <f>'D3 Gallon Forecast'!AE31+'D5 Gallon Forecast'!AE62+'D6 Gallon Forecast'!AE103</f>
        <v>1753305042.053328</v>
      </c>
      <c r="AF298" s="43">
        <f>'D3 Gallon Forecast'!AF31+'D5 Gallon Forecast'!AF62+'D6 Gallon Forecast'!AF103</f>
        <v>1811048317.6103711</v>
      </c>
      <c r="AG298" s="43">
        <f>'D3 Gallon Forecast'!AG31+'D5 Gallon Forecast'!AG62+'D6 Gallon Forecast'!AG103</f>
        <v>1873530864.1662276</v>
      </c>
      <c r="AH298" s="43">
        <f>'D3 Gallon Forecast'!AH31+'D5 Gallon Forecast'!AH62+'D6 Gallon Forecast'!AH103</f>
        <v>2060683622.8204668</v>
      </c>
      <c r="AI298" s="43">
        <f>'D3 Gallon Forecast'!AI31+'D5 Gallon Forecast'!AI62+'D6 Gallon Forecast'!AI103</f>
        <v>2266005229.6298113</v>
      </c>
      <c r="AJ298" s="43">
        <f>'D3 Gallon Forecast'!AJ31+'D5 Gallon Forecast'!AJ62+'D6 Gallon Forecast'!AJ103</f>
        <v>2480977721.4868627</v>
      </c>
      <c r="AK298" s="43">
        <f>'D3 Gallon Forecast'!AK31+'D5 Gallon Forecast'!AK62+'D6 Gallon Forecast'!AK103</f>
        <v>2704292698.6147404</v>
      </c>
      <c r="AL298" s="43">
        <f>'D3 Gallon Forecast'!AL31+'D5 Gallon Forecast'!AL62+'D6 Gallon Forecast'!AL103</f>
        <v>2936222033.9186306</v>
      </c>
      <c r="AM298" s="43">
        <f>'D3 Gallon Forecast'!AM31+'D5 Gallon Forecast'!AM62+'D6 Gallon Forecast'!AM103</f>
        <v>3180376046.6833458</v>
      </c>
      <c r="AN298" s="43">
        <f>'D3 Gallon Forecast'!AN31+'D5 Gallon Forecast'!AN62+'D6 Gallon Forecast'!AN103</f>
        <v>3434210916.5241604</v>
      </c>
      <c r="AO298" s="43">
        <f>'D3 Gallon Forecast'!AO31+'D5 Gallon Forecast'!AO62+'D6 Gallon Forecast'!AO103</f>
        <v>3698317671.7093496</v>
      </c>
      <c r="AP298" s="43">
        <f>'D3 Gallon Forecast'!AP31+'D5 Gallon Forecast'!AP62+'D6 Gallon Forecast'!AP103</f>
        <v>3973789115.5445919</v>
      </c>
      <c r="AQ298" s="43">
        <f>'D3 Gallon Forecast'!AQ31+'D5 Gallon Forecast'!AQ62+'D6 Gallon Forecast'!AQ103</f>
        <v>4242743784.156486</v>
      </c>
      <c r="AR298" s="43"/>
    </row>
    <row r="299" spans="1:44">
      <c r="A299" s="40" t="s">
        <v>74</v>
      </c>
      <c r="B299" s="42">
        <f>'D3 RIN Forecast'!B32+'D5 Gallon Forecast'!B63+'D6 Gallon Forecast'!B104</f>
        <v>1111950852</v>
      </c>
      <c r="C299" s="42">
        <f>'D3 RIN Forecast'!C32+'D5 Gallon Forecast'!C63+'D6 Gallon Forecast'!C104</f>
        <v>1190403443</v>
      </c>
      <c r="D299" s="42">
        <f>'D3 RIN Forecast'!D32+'D5 Gallon Forecast'!D63+'D6 Gallon Forecast'!D104</f>
        <v>1180695850</v>
      </c>
      <c r="E299" s="42">
        <f>'D3 RIN Forecast'!E32+'D5 Gallon Forecast'!E63+'D6 Gallon Forecast'!E104</f>
        <v>1185292685</v>
      </c>
      <c r="F299" s="42">
        <f>'D3 RIN Forecast'!F32+'D5 Gallon Forecast'!F63+'D6 Gallon Forecast'!F104</f>
        <v>1185733609</v>
      </c>
      <c r="G299" s="42">
        <f>'D3 RIN Forecast'!G32+'D5 Gallon Forecast'!G63+'D6 Gallon Forecast'!G104</f>
        <v>1239858491</v>
      </c>
      <c r="H299" s="42">
        <f>'D3 RIN Forecast'!H32+'D5 Gallon Forecast'!H63+'D6 Gallon Forecast'!H104</f>
        <v>1332528846</v>
      </c>
      <c r="I299" s="42">
        <f>'D3 RIN Forecast'!I32+'D5 Gallon Forecast'!I63+'D6 Gallon Forecast'!I104</f>
        <v>1342522917</v>
      </c>
      <c r="J299" s="42">
        <f>'D3 RIN Forecast'!J32+'D5 Gallon Forecast'!J63+'D6 Gallon Forecast'!J104</f>
        <v>1394649277</v>
      </c>
      <c r="K299" s="42">
        <f>'D3 RIN Forecast'!K32+'D5 Gallon Forecast'!K63+'D6 Gallon Forecast'!K104</f>
        <v>1298388853</v>
      </c>
      <c r="L299" s="42">
        <f>'D3 RIN Forecast'!L32+'D5 Gallon Forecast'!L63+'D6 Gallon Forecast'!L104</f>
        <v>1198008922</v>
      </c>
      <c r="M299" s="42">
        <f>'D3 Gallon Forecast'!M32+'D5 Gallon Forecast'!M63+'D6 Gallon Forecast'!M104</f>
        <v>1277012733</v>
      </c>
      <c r="N299" s="42">
        <f>'D3 Gallon Forecast'!N32+'D5 Gallon Forecast'!N63+'D6 Gallon Forecast'!N104</f>
        <v>1339359539</v>
      </c>
      <c r="O299" s="42">
        <f>'D3 Gallon Forecast'!O32+'D5 Gallon Forecast'!O63+'D6 Gallon Forecast'!O104</f>
        <v>1330643432</v>
      </c>
      <c r="P299" s="42">
        <f>'D3 Gallon Forecast'!P32+'D5 Gallon Forecast'!P63+'D6 Gallon Forecast'!P104</f>
        <v>1408962873</v>
      </c>
      <c r="Q299" s="43">
        <f>'D3 Gallon Forecast'!Q32+'D5 Gallon Forecast'!Q63+'D6 Gallon Forecast'!Q104</f>
        <v>1333737639.4996266</v>
      </c>
      <c r="R299" s="43">
        <f>'D3 Gallon Forecast'!R32+'D5 Gallon Forecast'!R63+'D6 Gallon Forecast'!R104</f>
        <v>1355011768.0294716</v>
      </c>
      <c r="S299" s="43">
        <f>'D3 Gallon Forecast'!S32+'D5 Gallon Forecast'!S63+'D6 Gallon Forecast'!S104</f>
        <v>1363487822.5947781</v>
      </c>
      <c r="T299" s="43">
        <f>'D3 Gallon Forecast'!T32+'D5 Gallon Forecast'!T63+'D6 Gallon Forecast'!T104</f>
        <v>1380836262.3444381</v>
      </c>
      <c r="U299" s="43">
        <f>'D3 Gallon Forecast'!U32+'D5 Gallon Forecast'!U63+'D6 Gallon Forecast'!U104</f>
        <v>1403978432.6275833</v>
      </c>
      <c r="V299" s="43">
        <f>'D3 Gallon Forecast'!V32+'D5 Gallon Forecast'!V63+'D6 Gallon Forecast'!V104</f>
        <v>1423018955.3170722</v>
      </c>
      <c r="W299" s="43">
        <f>'D3 Gallon Forecast'!W32+'D5 Gallon Forecast'!W63+'D6 Gallon Forecast'!W104</f>
        <v>1447174623.0999596</v>
      </c>
      <c r="X299" s="43">
        <f>'D3 Gallon Forecast'!X32+'D5 Gallon Forecast'!X63+'D6 Gallon Forecast'!X104</f>
        <v>1472442827.76683</v>
      </c>
      <c r="Y299" s="43">
        <f>'D3 Gallon Forecast'!Y32+'D5 Gallon Forecast'!Y63+'D6 Gallon Forecast'!Y104</f>
        <v>1507096479.6979666</v>
      </c>
      <c r="Z299" s="43">
        <f>'D3 Gallon Forecast'!Z32+'D5 Gallon Forecast'!Z63+'D6 Gallon Forecast'!Z104</f>
        <v>1542067134.4057488</v>
      </c>
      <c r="AA299" s="43">
        <f>'D3 Gallon Forecast'!AA32+'D5 Gallon Forecast'!AA63+'D6 Gallon Forecast'!AA104</f>
        <v>1580606208.8606594</v>
      </c>
      <c r="AB299" s="43">
        <f>'D3 Gallon Forecast'!AB32+'D5 Gallon Forecast'!AB63+'D6 Gallon Forecast'!AB104</f>
        <v>1627173865.6631618</v>
      </c>
      <c r="AC299" s="43">
        <f>'D3 Gallon Forecast'!AC32+'D5 Gallon Forecast'!AC63+'D6 Gallon Forecast'!AC104</f>
        <v>1677664038.7527351</v>
      </c>
      <c r="AD299" s="43">
        <f>'D3 Gallon Forecast'!AD32+'D5 Gallon Forecast'!AD63+'D6 Gallon Forecast'!AD104</f>
        <v>1732478688.293556</v>
      </c>
      <c r="AE299" s="43">
        <f>'D3 Gallon Forecast'!AE32+'D5 Gallon Forecast'!AE63+'D6 Gallon Forecast'!AE104</f>
        <v>1794001028.3787761</v>
      </c>
      <c r="AF299" s="43">
        <f>'D3 Gallon Forecast'!AF32+'D5 Gallon Forecast'!AF63+'D6 Gallon Forecast'!AF104</f>
        <v>1861942966.6712554</v>
      </c>
      <c r="AG299" s="43">
        <f>'D3 Gallon Forecast'!AG32+'D5 Gallon Forecast'!AG63+'D6 Gallon Forecast'!AG104</f>
        <v>1936125352.3165965</v>
      </c>
      <c r="AH299" s="43">
        <f>'D3 Gallon Forecast'!AH32+'D5 Gallon Forecast'!AH63+'D6 Gallon Forecast'!AH104</f>
        <v>2157326531.0359402</v>
      </c>
      <c r="AI299" s="43">
        <f>'D3 Gallon Forecast'!AI32+'D5 Gallon Forecast'!AI63+'D6 Gallon Forecast'!AI104</f>
        <v>2404442781.3861508</v>
      </c>
      <c r="AJ299" s="43">
        <f>'D3 Gallon Forecast'!AJ32+'D5 Gallon Forecast'!AJ63+'D6 Gallon Forecast'!AJ104</f>
        <v>2668078695.8620815</v>
      </c>
      <c r="AK299" s="43">
        <f>'D3 Gallon Forecast'!AK32+'D5 Gallon Forecast'!AK63+'D6 Gallon Forecast'!AK104</f>
        <v>2946402226.7358065</v>
      </c>
      <c r="AL299" s="43">
        <f>'D3 Gallon Forecast'!AL32+'D5 Gallon Forecast'!AL63+'D6 Gallon Forecast'!AL104</f>
        <v>3239649881.4333048</v>
      </c>
      <c r="AM299" s="43">
        <f>'D3 Gallon Forecast'!AM32+'D5 Gallon Forecast'!AM63+'D6 Gallon Forecast'!AM104</f>
        <v>3552012724.0817795</v>
      </c>
      <c r="AN299" s="43">
        <f>'D3 Gallon Forecast'!AN32+'D5 Gallon Forecast'!AN63+'D6 Gallon Forecast'!AN104</f>
        <v>3881470648.5321341</v>
      </c>
      <c r="AO299" s="43">
        <f>'D3 Gallon Forecast'!AO32+'D5 Gallon Forecast'!AO63+'D6 Gallon Forecast'!AO104</f>
        <v>4229393246.5165644</v>
      </c>
      <c r="AP299" s="43">
        <f>'D3 Gallon Forecast'!AP32+'D5 Gallon Forecast'!AP63+'D6 Gallon Forecast'!AP104</f>
        <v>4597286996.3778276</v>
      </c>
      <c r="AQ299" s="43">
        <f>'D3 Gallon Forecast'!AQ32+'D5 Gallon Forecast'!AQ63+'D6 Gallon Forecast'!AQ104</f>
        <v>4967314929.9348297</v>
      </c>
      <c r="AR299" s="43"/>
    </row>
    <row r="300" spans="1:44">
      <c r="A300" s="40" t="s">
        <v>75</v>
      </c>
      <c r="B300" s="42">
        <f>'D3 RIN Forecast'!B33+'D5 Gallon Forecast'!B64+'D6 Gallon Forecast'!B105</f>
        <v>1102538684</v>
      </c>
      <c r="C300" s="42">
        <f>'D3 RIN Forecast'!C33+'D5 Gallon Forecast'!C64+'D6 Gallon Forecast'!C105</f>
        <v>1117009567</v>
      </c>
      <c r="D300" s="42">
        <f>'D3 RIN Forecast'!D33+'D5 Gallon Forecast'!D64+'D6 Gallon Forecast'!D105</f>
        <v>1062472303</v>
      </c>
      <c r="E300" s="42">
        <f>'D3 RIN Forecast'!E33+'D5 Gallon Forecast'!E64+'D6 Gallon Forecast'!E105</f>
        <v>1120289963</v>
      </c>
      <c r="F300" s="42">
        <f>'D3 RIN Forecast'!F33+'D5 Gallon Forecast'!F64+'D6 Gallon Forecast'!F105</f>
        <v>1168242781</v>
      </c>
      <c r="G300" s="42">
        <f>'D3 RIN Forecast'!G33+'D5 Gallon Forecast'!G64+'D6 Gallon Forecast'!G105</f>
        <v>1214871928</v>
      </c>
      <c r="H300" s="42">
        <f>'D3 RIN Forecast'!H33+'D5 Gallon Forecast'!H64+'D6 Gallon Forecast'!H105</f>
        <v>1230887726</v>
      </c>
      <c r="I300" s="42">
        <f>'D3 RIN Forecast'!I33+'D5 Gallon Forecast'!I64+'D6 Gallon Forecast'!I105</f>
        <v>1244692470</v>
      </c>
      <c r="J300" s="42">
        <f>'D3 RIN Forecast'!J33+'D5 Gallon Forecast'!J64+'D6 Gallon Forecast'!J105</f>
        <v>1242103763</v>
      </c>
      <c r="K300" s="42">
        <f>'D3 RIN Forecast'!K33+'D5 Gallon Forecast'!K64+'D6 Gallon Forecast'!K105</f>
        <v>1253121413</v>
      </c>
      <c r="L300" s="42">
        <f>'D3 RIN Forecast'!L33+'D5 Gallon Forecast'!L64+'D6 Gallon Forecast'!L105</f>
        <v>1192347232</v>
      </c>
      <c r="M300" s="42">
        <f>'D3 Gallon Forecast'!M33+'D5 Gallon Forecast'!M64+'D6 Gallon Forecast'!M105</f>
        <v>1213068647</v>
      </c>
      <c r="N300" s="42">
        <f>'D3 Gallon Forecast'!N33+'D5 Gallon Forecast'!N64+'D6 Gallon Forecast'!N105</f>
        <v>1187482598</v>
      </c>
      <c r="O300" s="42">
        <f>'D3 Gallon Forecast'!O33+'D5 Gallon Forecast'!O64+'D6 Gallon Forecast'!O105</f>
        <v>1260476825</v>
      </c>
      <c r="P300" s="42">
        <f>'D3 Gallon Forecast'!P33+'D5 Gallon Forecast'!P64+'D6 Gallon Forecast'!P105</f>
        <v>1310825343</v>
      </c>
      <c r="Q300" s="43">
        <f>'D3 Gallon Forecast'!Q33+'D5 Gallon Forecast'!Q64+'D6 Gallon Forecast'!Q105</f>
        <v>1253285683.6560071</v>
      </c>
      <c r="R300" s="43">
        <f>'D3 Gallon Forecast'!R33+'D5 Gallon Forecast'!R64+'D6 Gallon Forecast'!R105</f>
        <v>1260900140.7735472</v>
      </c>
      <c r="S300" s="43">
        <f>'D3 Gallon Forecast'!S33+'D5 Gallon Forecast'!S64+'D6 Gallon Forecast'!S105</f>
        <v>1262715926.5115473</v>
      </c>
      <c r="T300" s="43">
        <f>'D3 Gallon Forecast'!T33+'D5 Gallon Forecast'!T64+'D6 Gallon Forecast'!T105</f>
        <v>1289293163.1136742</v>
      </c>
      <c r="U300" s="43">
        <f>'D3 Gallon Forecast'!U33+'D5 Gallon Forecast'!U64+'D6 Gallon Forecast'!U105</f>
        <v>1310775439.7982719</v>
      </c>
      <c r="V300" s="43">
        <f>'D3 Gallon Forecast'!V33+'D5 Gallon Forecast'!V64+'D6 Gallon Forecast'!V105</f>
        <v>1329744052.7432308</v>
      </c>
      <c r="W300" s="43">
        <f>'D3 Gallon Forecast'!W33+'D5 Gallon Forecast'!W64+'D6 Gallon Forecast'!W105</f>
        <v>1350673478.8238118</v>
      </c>
      <c r="X300" s="43">
        <f>'D3 Gallon Forecast'!X33+'D5 Gallon Forecast'!X64+'D6 Gallon Forecast'!X105</f>
        <v>1375782802.1974769</v>
      </c>
      <c r="Y300" s="43">
        <f>'D3 Gallon Forecast'!Y33+'D5 Gallon Forecast'!Y64+'D6 Gallon Forecast'!Y105</f>
        <v>1411990086.6479654</v>
      </c>
      <c r="Z300" s="43">
        <f>'D3 Gallon Forecast'!Z33+'D5 Gallon Forecast'!Z64+'D6 Gallon Forecast'!Z105</f>
        <v>1447002669.8719535</v>
      </c>
      <c r="AA300" s="43">
        <f>'D3 Gallon Forecast'!AA33+'D5 Gallon Forecast'!AA64+'D6 Gallon Forecast'!AA105</f>
        <v>1485455858.5153356</v>
      </c>
      <c r="AB300" s="43">
        <f>'D3 Gallon Forecast'!AB33+'D5 Gallon Forecast'!AB64+'D6 Gallon Forecast'!AB105</f>
        <v>1532189283.8831465</v>
      </c>
      <c r="AC300" s="43">
        <f>'D3 Gallon Forecast'!AC33+'D5 Gallon Forecast'!AC64+'D6 Gallon Forecast'!AC105</f>
        <v>1583430373.7124884</v>
      </c>
      <c r="AD300" s="43">
        <f>'D3 Gallon Forecast'!AD33+'D5 Gallon Forecast'!AD64+'D6 Gallon Forecast'!AD105</f>
        <v>1639145966.0616803</v>
      </c>
      <c r="AE300" s="43">
        <f>'D3 Gallon Forecast'!AE33+'D5 Gallon Forecast'!AE64+'D6 Gallon Forecast'!AE105</f>
        <v>1701541954.6937587</v>
      </c>
      <c r="AF300" s="43">
        <f>'D3 Gallon Forecast'!AF33+'D5 Gallon Forecast'!AF64+'D6 Gallon Forecast'!AF105</f>
        <v>1770454429.6043162</v>
      </c>
      <c r="AG300" s="43">
        <f>'D3 Gallon Forecast'!AG33+'D5 Gallon Forecast'!AG64+'D6 Gallon Forecast'!AG105</f>
        <v>1845829303.5172524</v>
      </c>
      <c r="AH300" s="43">
        <f>'D3 Gallon Forecast'!AH33+'D5 Gallon Forecast'!AH64+'D6 Gallon Forecast'!AH105</f>
        <v>2073905982.3739433</v>
      </c>
      <c r="AI300" s="43">
        <f>'D3 Gallon Forecast'!AI33+'D5 Gallon Forecast'!AI64+'D6 Gallon Forecast'!AI105</f>
        <v>2328498341.8864565</v>
      </c>
      <c r="AJ300" s="43">
        <f>'D3 Gallon Forecast'!AJ33+'D5 Gallon Forecast'!AJ64+'D6 Gallon Forecast'!AJ105</f>
        <v>2599712431.5151815</v>
      </c>
      <c r="AK300" s="43">
        <f>'D3 Gallon Forecast'!AK33+'D5 Gallon Forecast'!AK64+'D6 Gallon Forecast'!AK105</f>
        <v>2885784945.3446927</v>
      </c>
      <c r="AL300" s="43">
        <f>'D3 Gallon Forecast'!AL33+'D5 Gallon Forecast'!AL64+'D6 Gallon Forecast'!AL105</f>
        <v>3186931432.435358</v>
      </c>
      <c r="AM300" s="43">
        <f>'D3 Gallon Forecast'!AM33+'D5 Gallon Forecast'!AM64+'D6 Gallon Forecast'!AM105</f>
        <v>3507521186.2712126</v>
      </c>
      <c r="AN300" s="43">
        <f>'D3 Gallon Forecast'!AN33+'D5 Gallon Forecast'!AN64+'D6 Gallon Forecast'!AN105</f>
        <v>3845369207.7845154</v>
      </c>
      <c r="AO300" s="43">
        <f>'D3 Gallon Forecast'!AO33+'D5 Gallon Forecast'!AO64+'D6 Gallon Forecast'!AO105</f>
        <v>4201891847.7970028</v>
      </c>
      <c r="AP300" s="43">
        <f>'D3 Gallon Forecast'!AP33+'D5 Gallon Forecast'!AP64+'D6 Gallon Forecast'!AP105</f>
        <v>4578623629.8695717</v>
      </c>
      <c r="AQ300" s="43">
        <f>'D3 Gallon Forecast'!AQ33+'D5 Gallon Forecast'!AQ64+'D6 Gallon Forecast'!AQ105</f>
        <v>4957253928.3917189</v>
      </c>
      <c r="AR300" s="43"/>
    </row>
    <row r="301" spans="1:44">
      <c r="A301" s="40" t="s">
        <v>76</v>
      </c>
      <c r="B301" s="42">
        <f>'D3 RIN Forecast'!B34+'D5 Gallon Forecast'!B65+'D6 Gallon Forecast'!B106</f>
        <v>1111735014</v>
      </c>
      <c r="C301" s="42">
        <f>'D3 RIN Forecast'!C34+'D5 Gallon Forecast'!C65+'D6 Gallon Forecast'!C106</f>
        <v>1123104279</v>
      </c>
      <c r="D301" s="42">
        <f>'D3 RIN Forecast'!D34+'D5 Gallon Forecast'!D65+'D6 Gallon Forecast'!D106</f>
        <v>1133996587</v>
      </c>
      <c r="E301" s="42">
        <f>'D3 RIN Forecast'!E34+'D5 Gallon Forecast'!E65+'D6 Gallon Forecast'!E106</f>
        <v>1169486249</v>
      </c>
      <c r="F301" s="42">
        <f>'D3 RIN Forecast'!F34+'D5 Gallon Forecast'!F65+'D6 Gallon Forecast'!F106</f>
        <v>1170999535</v>
      </c>
      <c r="G301" s="42">
        <f>'D3 RIN Forecast'!G34+'D5 Gallon Forecast'!G65+'D6 Gallon Forecast'!G106</f>
        <v>1241389098</v>
      </c>
      <c r="H301" s="42">
        <f>'D3 RIN Forecast'!H34+'D5 Gallon Forecast'!H65+'D6 Gallon Forecast'!H106</f>
        <v>1255575468</v>
      </c>
      <c r="I301" s="42">
        <f>'D3 RIN Forecast'!I34+'D5 Gallon Forecast'!I65+'D6 Gallon Forecast'!I106</f>
        <v>1300078609</v>
      </c>
      <c r="J301" s="42">
        <f>'D3 RIN Forecast'!J34+'D5 Gallon Forecast'!J65+'D6 Gallon Forecast'!J106</f>
        <v>1320261294</v>
      </c>
      <c r="K301" s="42">
        <f>'D3 RIN Forecast'!K34+'D5 Gallon Forecast'!K65+'D6 Gallon Forecast'!K106</f>
        <v>1328772654</v>
      </c>
      <c r="L301" s="42">
        <f>'D3 RIN Forecast'!L34+'D5 Gallon Forecast'!L65+'D6 Gallon Forecast'!L106</f>
        <v>1202656314</v>
      </c>
      <c r="M301" s="42">
        <f>'D3 Gallon Forecast'!M34+'D5 Gallon Forecast'!M65+'D6 Gallon Forecast'!M106</f>
        <v>1247179570</v>
      </c>
      <c r="N301" s="42">
        <f>'D3 Gallon Forecast'!N34+'D5 Gallon Forecast'!N65+'D6 Gallon Forecast'!N106</f>
        <v>1295527917</v>
      </c>
      <c r="O301" s="42">
        <f>'D3 Gallon Forecast'!O34+'D5 Gallon Forecast'!O65+'D6 Gallon Forecast'!O106</f>
        <v>1359964368</v>
      </c>
      <c r="P301" s="42">
        <f>'D3 Gallon Forecast'!P34+'D5 Gallon Forecast'!P65+'D6 Gallon Forecast'!P106</f>
        <v>1362971052</v>
      </c>
      <c r="Q301" s="43">
        <f>'D3 Gallon Forecast'!Q34+'D5 Gallon Forecast'!Q65+'D6 Gallon Forecast'!Q106</f>
        <v>1319962983.8696272</v>
      </c>
      <c r="R301" s="43">
        <f>'D3 Gallon Forecast'!R34+'D5 Gallon Forecast'!R65+'D6 Gallon Forecast'!R106</f>
        <v>1336901614.1030934</v>
      </c>
      <c r="S301" s="43">
        <f>'D3 Gallon Forecast'!S34+'D5 Gallon Forecast'!S65+'D6 Gallon Forecast'!S106</f>
        <v>1346794455.8852177</v>
      </c>
      <c r="T301" s="43">
        <f>'D3 Gallon Forecast'!T34+'D5 Gallon Forecast'!T65+'D6 Gallon Forecast'!T106</f>
        <v>1370679659.8567958</v>
      </c>
      <c r="U301" s="43">
        <f>'D3 Gallon Forecast'!U34+'D5 Gallon Forecast'!U65+'D6 Gallon Forecast'!U106</f>
        <v>1385573142.991889</v>
      </c>
      <c r="V301" s="43">
        <f>'D3 Gallon Forecast'!V34+'D5 Gallon Forecast'!V65+'D6 Gallon Forecast'!V106</f>
        <v>1410162383.4650881</v>
      </c>
      <c r="W301" s="43">
        <f>'D3 Gallon Forecast'!W34+'D5 Gallon Forecast'!W65+'D6 Gallon Forecast'!W106</f>
        <v>1434733848.0501633</v>
      </c>
      <c r="X301" s="43">
        <f>'D3 Gallon Forecast'!X34+'D5 Gallon Forecast'!X65+'D6 Gallon Forecast'!X106</f>
        <v>1462119395.3935108</v>
      </c>
      <c r="Y301" s="43">
        <f>'D3 Gallon Forecast'!Y34+'D5 Gallon Forecast'!Y65+'D6 Gallon Forecast'!Y106</f>
        <v>1499833828.7131314</v>
      </c>
      <c r="Z301" s="43">
        <f>'D3 Gallon Forecast'!Z34+'D5 Gallon Forecast'!Z65+'D6 Gallon Forecast'!Z106</f>
        <v>1537301032.5813184</v>
      </c>
      <c r="AA301" s="43">
        <f>'D3 Gallon Forecast'!AA34+'D5 Gallon Forecast'!AA65+'D6 Gallon Forecast'!AA106</f>
        <v>1580444717.4878161</v>
      </c>
      <c r="AB301" s="43">
        <f>'D3 Gallon Forecast'!AB34+'D5 Gallon Forecast'!AB65+'D6 Gallon Forecast'!AB106</f>
        <v>1632176286.1662774</v>
      </c>
      <c r="AC301" s="43">
        <f>'D3 Gallon Forecast'!AC34+'D5 Gallon Forecast'!AC65+'D6 Gallon Forecast'!AC106</f>
        <v>1688943517.3590658</v>
      </c>
      <c r="AD301" s="43">
        <f>'D3 Gallon Forecast'!AD34+'D5 Gallon Forecast'!AD65+'D6 Gallon Forecast'!AD106</f>
        <v>1751131855.8697979</v>
      </c>
      <c r="AE301" s="43">
        <f>'D3 Gallon Forecast'!AE34+'D5 Gallon Forecast'!AE65+'D6 Gallon Forecast'!AE106</f>
        <v>1821613502.3078556</v>
      </c>
      <c r="AF301" s="43">
        <f>'D3 Gallon Forecast'!AF34+'D5 Gallon Forecast'!AF65+'D6 Gallon Forecast'!AF106</f>
        <v>1900244978.3826854</v>
      </c>
      <c r="AG301" s="43">
        <f>'D3 Gallon Forecast'!AG34+'D5 Gallon Forecast'!AG65+'D6 Gallon Forecast'!AG106</f>
        <v>1986773923.9076147</v>
      </c>
      <c r="AH301" s="43">
        <f>'D3 Gallon Forecast'!AH34+'D5 Gallon Forecast'!AH65+'D6 Gallon Forecast'!AH106</f>
        <v>2244886700.005477</v>
      </c>
      <c r="AI301" s="43">
        <f>'D3 Gallon Forecast'!AI34+'D5 Gallon Forecast'!AI65+'D6 Gallon Forecast'!AI106</f>
        <v>2537310187.2541943</v>
      </c>
      <c r="AJ301" s="43">
        <f>'D3 Gallon Forecast'!AJ34+'D5 Gallon Forecast'!AJ65+'D6 Gallon Forecast'!AJ106</f>
        <v>2853544122.2585697</v>
      </c>
      <c r="AK301" s="43">
        <f>'D3 Gallon Forecast'!AK34+'D5 Gallon Forecast'!AK65+'D6 Gallon Forecast'!AK106</f>
        <v>3191640276.1305275</v>
      </c>
      <c r="AL301" s="43">
        <f>'D3 Gallon Forecast'!AL34+'D5 Gallon Forecast'!AL65+'D6 Gallon Forecast'!AL106</f>
        <v>3551794852.4344349</v>
      </c>
      <c r="AM301" s="43">
        <f>'D3 Gallon Forecast'!AM34+'D5 Gallon Forecast'!AM65+'D6 Gallon Forecast'!AM106</f>
        <v>3938970875.860477</v>
      </c>
      <c r="AN301" s="43">
        <f>'D3 Gallon Forecast'!AN34+'D5 Gallon Forecast'!AN65+'D6 Gallon Forecast'!AN106</f>
        <v>4352032441.5454216</v>
      </c>
      <c r="AO301" s="43">
        <f>'D3 Gallon Forecast'!AO34+'D5 Gallon Forecast'!AO65+'D6 Gallon Forecast'!AO106</f>
        <v>4793269157.1560011</v>
      </c>
      <c r="AP301" s="43">
        <f>'D3 Gallon Forecast'!AP34+'D5 Gallon Forecast'!AP65+'D6 Gallon Forecast'!AP106</f>
        <v>5264860043.2270613</v>
      </c>
      <c r="AQ301" s="43">
        <f>'D3 Gallon Forecast'!AQ34+'D5 Gallon Forecast'!AQ65+'D6 Gallon Forecast'!AQ106</f>
        <v>5748364803.005825</v>
      </c>
      <c r="AR301" s="43"/>
    </row>
    <row r="302" spans="1:44">
      <c r="A302" s="40" t="s">
        <v>77</v>
      </c>
      <c r="B302" s="42">
        <f>'D3 RIN Forecast'!B35+'D5 Gallon Forecast'!B66+'D6 Gallon Forecast'!B107</f>
        <v>1139352288</v>
      </c>
      <c r="C302" s="42">
        <f>'D3 RIN Forecast'!C35+'D5 Gallon Forecast'!C66+'D6 Gallon Forecast'!C107</f>
        <v>1166704710</v>
      </c>
      <c r="D302" s="42">
        <f>'D3 RIN Forecast'!D35+'D5 Gallon Forecast'!D66+'D6 Gallon Forecast'!D107</f>
        <v>1154072989</v>
      </c>
      <c r="E302" s="42">
        <f>'D3 RIN Forecast'!E35+'D5 Gallon Forecast'!E66+'D6 Gallon Forecast'!E107</f>
        <v>1139626714</v>
      </c>
      <c r="F302" s="42">
        <f>'D3 RIN Forecast'!F35+'D5 Gallon Forecast'!F66+'D6 Gallon Forecast'!F107</f>
        <v>1135125517</v>
      </c>
      <c r="G302" s="42">
        <f>'D3 RIN Forecast'!G35+'D5 Gallon Forecast'!G66+'D6 Gallon Forecast'!G107</f>
        <v>1235952773</v>
      </c>
      <c r="H302" s="42">
        <f>'D3 RIN Forecast'!H35+'D5 Gallon Forecast'!H66+'D6 Gallon Forecast'!H107</f>
        <v>1225624007</v>
      </c>
      <c r="I302" s="42">
        <f>'D3 RIN Forecast'!I35+'D5 Gallon Forecast'!I66+'D6 Gallon Forecast'!I107</f>
        <v>1319729610</v>
      </c>
      <c r="J302" s="42">
        <f>'D3 RIN Forecast'!J35+'D5 Gallon Forecast'!J66+'D6 Gallon Forecast'!J107</f>
        <v>1273227023</v>
      </c>
      <c r="K302" s="42">
        <f>'D3 RIN Forecast'!K35+'D5 Gallon Forecast'!K66+'D6 Gallon Forecast'!K107</f>
        <v>1239605787</v>
      </c>
      <c r="L302" s="42">
        <f>'D3 RIN Forecast'!L35+'D5 Gallon Forecast'!L66+'D6 Gallon Forecast'!L107</f>
        <v>1207140495</v>
      </c>
      <c r="M302" s="42">
        <f>'D3 Gallon Forecast'!M35+'D5 Gallon Forecast'!M66+'D6 Gallon Forecast'!M107</f>
        <v>1296116494</v>
      </c>
      <c r="N302" s="42">
        <f>'D3 Gallon Forecast'!N35+'D5 Gallon Forecast'!N66+'D6 Gallon Forecast'!N107</f>
        <v>1323076936</v>
      </c>
      <c r="O302" s="42">
        <f>'D3 Gallon Forecast'!O35+'D5 Gallon Forecast'!O66+'D6 Gallon Forecast'!O107</f>
        <v>1301740118</v>
      </c>
      <c r="P302" s="42">
        <f>'D3 Gallon Forecast'!P35+'D5 Gallon Forecast'!P66+'D6 Gallon Forecast'!P107</f>
        <v>1290221277</v>
      </c>
      <c r="Q302" s="43">
        <f>'D3 Gallon Forecast'!Q35+'D5 Gallon Forecast'!Q66+'D6 Gallon Forecast'!Q107</f>
        <v>1313184276.5344338</v>
      </c>
      <c r="R302" s="43">
        <f>'D3 Gallon Forecast'!R35+'D5 Gallon Forecast'!R66+'D6 Gallon Forecast'!R107</f>
        <v>1327425826.9182258</v>
      </c>
      <c r="S302" s="43">
        <f>'D3 Gallon Forecast'!S35+'D5 Gallon Forecast'!S66+'D6 Gallon Forecast'!S107</f>
        <v>1323317521.7349415</v>
      </c>
      <c r="T302" s="43">
        <f>'D3 Gallon Forecast'!T35+'D5 Gallon Forecast'!T66+'D6 Gallon Forecast'!T107</f>
        <v>1334486135.9449</v>
      </c>
      <c r="U302" s="43">
        <f>'D3 Gallon Forecast'!U35+'D5 Gallon Forecast'!U66+'D6 Gallon Forecast'!U107</f>
        <v>1352393940.7423742</v>
      </c>
      <c r="V302" s="43">
        <f>'D3 Gallon Forecast'!V35+'D5 Gallon Forecast'!V66+'D6 Gallon Forecast'!V107</f>
        <v>1383645127.8750079</v>
      </c>
      <c r="W302" s="43">
        <f>'D3 Gallon Forecast'!W35+'D5 Gallon Forecast'!W66+'D6 Gallon Forecast'!W107</f>
        <v>1403298985.633327</v>
      </c>
      <c r="X302" s="43">
        <f>'D3 Gallon Forecast'!X35+'D5 Gallon Forecast'!X66+'D6 Gallon Forecast'!X107</f>
        <v>1425110872.6975932</v>
      </c>
      <c r="Y302" s="43">
        <f>'D3 Gallon Forecast'!Y35+'D5 Gallon Forecast'!Y66+'D6 Gallon Forecast'!Y107</f>
        <v>1458337550.4637775</v>
      </c>
      <c r="Z302" s="43">
        <f>'D3 Gallon Forecast'!Z35+'D5 Gallon Forecast'!Z66+'D6 Gallon Forecast'!Z107</f>
        <v>1492915151.5528686</v>
      </c>
      <c r="AA302" s="43">
        <f>'D3 Gallon Forecast'!AA35+'D5 Gallon Forecast'!AA66+'D6 Gallon Forecast'!AA107</f>
        <v>1531119275.8040326</v>
      </c>
      <c r="AB302" s="43">
        <f>'D3 Gallon Forecast'!AB35+'D5 Gallon Forecast'!AB66+'D6 Gallon Forecast'!AB107</f>
        <v>1574653254.8183758</v>
      </c>
      <c r="AC302" s="43">
        <f>'D3 Gallon Forecast'!AC35+'D5 Gallon Forecast'!AC66+'D6 Gallon Forecast'!AC107</f>
        <v>1621966764.4741902</v>
      </c>
      <c r="AD302" s="43">
        <f>'D3 Gallon Forecast'!AD35+'D5 Gallon Forecast'!AD66+'D6 Gallon Forecast'!AD107</f>
        <v>1673405412.7575812</v>
      </c>
      <c r="AE302" s="43">
        <f>'D3 Gallon Forecast'!AE35+'D5 Gallon Forecast'!AE66+'D6 Gallon Forecast'!AE107</f>
        <v>1730862974.5138698</v>
      </c>
      <c r="AF302" s="43">
        <f>'D3 Gallon Forecast'!AF35+'D5 Gallon Forecast'!AF66+'D6 Gallon Forecast'!AF107</f>
        <v>1793484851.7302666</v>
      </c>
      <c r="AG302" s="43">
        <f>'D3 Gallon Forecast'!AG35+'D5 Gallon Forecast'!AG66+'D6 Gallon Forecast'!AG107</f>
        <v>1861007443.5985115</v>
      </c>
      <c r="AH302" s="43">
        <f>'D3 Gallon Forecast'!AH35+'D5 Gallon Forecast'!AH66+'D6 Gallon Forecast'!AH107</f>
        <v>2067365469.8095541</v>
      </c>
      <c r="AI302" s="43">
        <f>'D3 Gallon Forecast'!AI35+'D5 Gallon Forecast'!AI66+'D6 Gallon Forecast'!AI107</f>
        <v>2294109757.4234095</v>
      </c>
      <c r="AJ302" s="43">
        <f>'D3 Gallon Forecast'!AJ35+'D5 Gallon Forecast'!AJ66+'D6 Gallon Forecast'!AJ107</f>
        <v>2531699727.848011</v>
      </c>
      <c r="AK302" s="43">
        <f>'D3 Gallon Forecast'!AK35+'D5 Gallon Forecast'!AK66+'D6 Gallon Forecast'!AK107</f>
        <v>2778581726.2748632</v>
      </c>
      <c r="AL302" s="43">
        <f>'D3 Gallon Forecast'!AL35+'D5 Gallon Forecast'!AL66+'D6 Gallon Forecast'!AL107</f>
        <v>3035074893.5393457</v>
      </c>
      <c r="AM302" s="43">
        <f>'D3 Gallon Forecast'!AM35+'D5 Gallon Forecast'!AM66+'D6 Gallon Forecast'!AM107</f>
        <v>3305248692.8763285</v>
      </c>
      <c r="AN302" s="43">
        <f>'D3 Gallon Forecast'!AN35+'D5 Gallon Forecast'!AN66+'D6 Gallon Forecast'!AN107</f>
        <v>3586227015.0629454</v>
      </c>
      <c r="AO302" s="43">
        <f>'D3 Gallon Forecast'!AO35+'D5 Gallon Forecast'!AO66+'D6 Gallon Forecast'!AO107</f>
        <v>3878751572.4732685</v>
      </c>
      <c r="AP302" s="43">
        <f>'D3 Gallon Forecast'!AP35+'D5 Gallon Forecast'!AP66+'D6 Gallon Forecast'!AP107</f>
        <v>4184001861.3051624</v>
      </c>
      <c r="AQ302" s="43">
        <f>'D3 Gallon Forecast'!AQ35+'D5 Gallon Forecast'!AQ66+'D6 Gallon Forecast'!AQ107</f>
        <v>4483158553.1757212</v>
      </c>
      <c r="AR302" s="43"/>
    </row>
    <row r="303" spans="1:44">
      <c r="A303" s="40" t="s">
        <v>78</v>
      </c>
      <c r="B303" s="42">
        <f>'D3 RIN Forecast'!B36+'D5 Gallon Forecast'!B67+'D6 Gallon Forecast'!B108</f>
        <v>1199636608</v>
      </c>
      <c r="C303" s="42">
        <f>'D3 RIN Forecast'!C36+'D5 Gallon Forecast'!C67+'D6 Gallon Forecast'!C108</f>
        <v>1236397201</v>
      </c>
      <c r="D303" s="42">
        <f>'D3 RIN Forecast'!D36+'D5 Gallon Forecast'!D67+'D6 Gallon Forecast'!D108</f>
        <v>1141037894</v>
      </c>
      <c r="E303" s="42">
        <f>'D3 RIN Forecast'!E36+'D5 Gallon Forecast'!E67+'D6 Gallon Forecast'!E108</f>
        <v>1212161498</v>
      </c>
      <c r="F303" s="42">
        <f>'D3 RIN Forecast'!F36+'D5 Gallon Forecast'!F67+'D6 Gallon Forecast'!F108</f>
        <v>1290142885</v>
      </c>
      <c r="G303" s="42">
        <f>'D3 RIN Forecast'!G36+'D5 Gallon Forecast'!G67+'D6 Gallon Forecast'!G108</f>
        <v>1335349246</v>
      </c>
      <c r="H303" s="42">
        <f>'D3 RIN Forecast'!H36+'D5 Gallon Forecast'!H67+'D6 Gallon Forecast'!H108</f>
        <v>1305241897</v>
      </c>
      <c r="I303" s="42">
        <f>'D3 RIN Forecast'!I36+'D5 Gallon Forecast'!I67+'D6 Gallon Forecast'!I108</f>
        <v>1310456539</v>
      </c>
      <c r="J303" s="42">
        <f>'D3 RIN Forecast'!J36+'D5 Gallon Forecast'!J67+'D6 Gallon Forecast'!J108</f>
        <v>1317981514</v>
      </c>
      <c r="K303" s="42">
        <f>'D3 RIN Forecast'!K36+'D5 Gallon Forecast'!K67+'D6 Gallon Forecast'!K108</f>
        <v>1383145242</v>
      </c>
      <c r="L303" s="42">
        <f>'D3 RIN Forecast'!L36+'D5 Gallon Forecast'!L67+'D6 Gallon Forecast'!L108</f>
        <v>1260955720</v>
      </c>
      <c r="M303" s="42">
        <f>'D3 Gallon Forecast'!M36+'D5 Gallon Forecast'!M67+'D6 Gallon Forecast'!M108</f>
        <v>1395554442</v>
      </c>
      <c r="N303" s="42">
        <f>'D3 Gallon Forecast'!N36+'D5 Gallon Forecast'!N67+'D6 Gallon Forecast'!N108</f>
        <v>1324883789</v>
      </c>
      <c r="O303" s="42">
        <f>'D3 Gallon Forecast'!O36+'D5 Gallon Forecast'!O67+'D6 Gallon Forecast'!O108</f>
        <v>1387717884</v>
      </c>
      <c r="P303" s="42">
        <f>'D3 Gallon Forecast'!P36+'D5 Gallon Forecast'!P67+'D6 Gallon Forecast'!P108</f>
        <v>1385034350</v>
      </c>
      <c r="Q303" s="43">
        <f>'D3 Gallon Forecast'!Q36+'D5 Gallon Forecast'!Q67+'D6 Gallon Forecast'!Q108</f>
        <v>1384530180.3910296</v>
      </c>
      <c r="R303" s="43">
        <f>'D3 Gallon Forecast'!R36+'D5 Gallon Forecast'!R67+'D6 Gallon Forecast'!R108</f>
        <v>1407685922.9533539</v>
      </c>
      <c r="S303" s="43">
        <f>'D3 Gallon Forecast'!S36+'D5 Gallon Forecast'!S67+'D6 Gallon Forecast'!S108</f>
        <v>1395389836.7569165</v>
      </c>
      <c r="T303" s="43">
        <f>'D3 Gallon Forecast'!T36+'D5 Gallon Forecast'!T67+'D6 Gallon Forecast'!T108</f>
        <v>1422876345.1623664</v>
      </c>
      <c r="U303" s="43">
        <f>'D3 Gallon Forecast'!U36+'D5 Gallon Forecast'!U67+'D6 Gallon Forecast'!U108</f>
        <v>1443053627.8924229</v>
      </c>
      <c r="V303" s="43">
        <f>'D3 Gallon Forecast'!V36+'D5 Gallon Forecast'!V67+'D6 Gallon Forecast'!V108</f>
        <v>1480437006.4563007</v>
      </c>
      <c r="W303" s="43">
        <f>'D3 Gallon Forecast'!W36+'D5 Gallon Forecast'!W67+'D6 Gallon Forecast'!W108</f>
        <v>1500637844.4896367</v>
      </c>
      <c r="X303" s="43">
        <f>'D3 Gallon Forecast'!X36+'D5 Gallon Forecast'!X67+'D6 Gallon Forecast'!X108</f>
        <v>1523912028.7573588</v>
      </c>
      <c r="Y303" s="43">
        <f>'D3 Gallon Forecast'!Y36+'D5 Gallon Forecast'!Y67+'D6 Gallon Forecast'!Y108</f>
        <v>1561516963.4982104</v>
      </c>
      <c r="Z303" s="43">
        <f>'D3 Gallon Forecast'!Z36+'D5 Gallon Forecast'!Z67+'D6 Gallon Forecast'!Z108</f>
        <v>1593605493.166487</v>
      </c>
      <c r="AA303" s="43">
        <f>'D3 Gallon Forecast'!AA36+'D5 Gallon Forecast'!AA67+'D6 Gallon Forecast'!AA108</f>
        <v>1627418544.6041763</v>
      </c>
      <c r="AB303" s="43">
        <f>'D3 Gallon Forecast'!AB36+'D5 Gallon Forecast'!AB67+'D6 Gallon Forecast'!AB108</f>
        <v>1661822386.2293961</v>
      </c>
      <c r="AC303" s="43">
        <f>'D3 Gallon Forecast'!AC36+'D5 Gallon Forecast'!AC67+'D6 Gallon Forecast'!AC108</f>
        <v>1694249320.6619656</v>
      </c>
      <c r="AD303" s="43">
        <f>'D3 Gallon Forecast'!AD36+'D5 Gallon Forecast'!AD67+'D6 Gallon Forecast'!AD108</f>
        <v>1723344453.1027908</v>
      </c>
      <c r="AE303" s="43">
        <f>'D3 Gallon Forecast'!AE36+'D5 Gallon Forecast'!AE67+'D6 Gallon Forecast'!AE108</f>
        <v>1748953703.2439871</v>
      </c>
      <c r="AF303" s="43">
        <f>'D3 Gallon Forecast'!AF36+'D5 Gallon Forecast'!AF67+'D6 Gallon Forecast'!AF108</f>
        <v>1769221267.350455</v>
      </c>
      <c r="AG303" s="43">
        <f>'D3 Gallon Forecast'!AG36+'D5 Gallon Forecast'!AG67+'D6 Gallon Forecast'!AG108</f>
        <v>1781865850.2751245</v>
      </c>
      <c r="AH303" s="43">
        <f>'D3 Gallon Forecast'!AH36+'D5 Gallon Forecast'!AH67+'D6 Gallon Forecast'!AH108</f>
        <v>1871665966.7515025</v>
      </c>
      <c r="AI303" s="43">
        <f>'D3 Gallon Forecast'!AI36+'D5 Gallon Forecast'!AI67+'D6 Gallon Forecast'!AI108</f>
        <v>1919682152.5128059</v>
      </c>
      <c r="AJ303" s="43">
        <f>'D3 Gallon Forecast'!AJ36+'D5 Gallon Forecast'!AJ67+'D6 Gallon Forecast'!AJ108</f>
        <v>1914316479.7902927</v>
      </c>
      <c r="AK303" s="43">
        <f>'D3 Gallon Forecast'!AK36+'D5 Gallon Forecast'!AK67+'D6 Gallon Forecast'!AK108</f>
        <v>1855083339.2017937</v>
      </c>
      <c r="AL303" s="43">
        <f>'D3 Gallon Forecast'!AL36+'D5 Gallon Forecast'!AL67+'D6 Gallon Forecast'!AL108</f>
        <v>1744222429.8681314</v>
      </c>
      <c r="AM303" s="43">
        <f>'D3 Gallon Forecast'!AM36+'D5 Gallon Forecast'!AM67+'D6 Gallon Forecast'!AM108</f>
        <v>1584957536.1234591</v>
      </c>
      <c r="AN303" s="43">
        <f>'D3 Gallon Forecast'!AN36+'D5 Gallon Forecast'!AN67+'D6 Gallon Forecast'!AN108</f>
        <v>1362469331.4456973</v>
      </c>
      <c r="AO303" s="43">
        <f>'D3 Gallon Forecast'!AO36+'D5 Gallon Forecast'!AO67+'D6 Gallon Forecast'!AO108</f>
        <v>1071623073.3418684</v>
      </c>
      <c r="AP303" s="43">
        <f>'D3 Gallon Forecast'!AP36+'D5 Gallon Forecast'!AP67+'D6 Gallon Forecast'!AP108</f>
        <v>710499424.98466265</v>
      </c>
      <c r="AQ303" s="43">
        <f>'D3 Gallon Forecast'!AQ36+'D5 Gallon Forecast'!AQ67+'D6 Gallon Forecast'!AQ108</f>
        <v>250692749.32821751</v>
      </c>
      <c r="AR303" s="43"/>
    </row>
    <row r="304" spans="1:44" ht="12" thickBot="1">
      <c r="A304" s="48" t="s">
        <v>29</v>
      </c>
      <c r="B304" s="49">
        <f t="shared" ref="B304:N304" si="119">SUM(B292:B303)</f>
        <v>6781351388</v>
      </c>
      <c r="C304" s="49">
        <f t="shared" si="119"/>
        <v>13802805925</v>
      </c>
      <c r="D304" s="49">
        <f t="shared" si="119"/>
        <v>13590204834</v>
      </c>
      <c r="E304" s="49">
        <f t="shared" si="119"/>
        <v>13557221593</v>
      </c>
      <c r="F304" s="49">
        <f t="shared" si="119"/>
        <v>14145535990</v>
      </c>
      <c r="G304" s="49">
        <f t="shared" si="119"/>
        <v>14649144465</v>
      </c>
      <c r="H304" s="49">
        <f t="shared" si="119"/>
        <v>14978434370</v>
      </c>
      <c r="I304" s="49">
        <f t="shared" si="119"/>
        <v>15214237066</v>
      </c>
      <c r="J304" s="49">
        <f t="shared" si="119"/>
        <v>15381973558</v>
      </c>
      <c r="K304" s="49">
        <f t="shared" si="119"/>
        <v>15364011726</v>
      </c>
      <c r="L304" s="49">
        <f t="shared" si="119"/>
        <v>13571703077</v>
      </c>
      <c r="M304" s="49">
        <f t="shared" si="119"/>
        <v>14777604054</v>
      </c>
      <c r="N304" s="49">
        <f t="shared" si="119"/>
        <v>15201590957</v>
      </c>
      <c r="O304" s="49">
        <f>SUM(O292:O303)</f>
        <v>15504637870</v>
      </c>
      <c r="P304" s="49">
        <f>SUM(P292:P303)</f>
        <v>15817376377</v>
      </c>
      <c r="Q304" s="50">
        <f>SUM(Q292:Q303)</f>
        <v>15271969238.086517</v>
      </c>
      <c r="R304" s="50">
        <f t="shared" ref="R304:AQ304" si="120">SUM(R292:R303)</f>
        <v>15472584728.187359</v>
      </c>
      <c r="S304" s="50">
        <f t="shared" si="120"/>
        <v>15512208781.764322</v>
      </c>
      <c r="T304" s="50">
        <f t="shared" si="120"/>
        <v>15709455898.511023</v>
      </c>
      <c r="U304" s="50">
        <f t="shared" si="120"/>
        <v>15889678696.4568</v>
      </c>
      <c r="V304" s="50">
        <f t="shared" si="120"/>
        <v>16104346060.78886</v>
      </c>
      <c r="W304" s="50">
        <f t="shared" si="120"/>
        <v>16333540334.970703</v>
      </c>
      <c r="X304" s="50">
        <f t="shared" si="120"/>
        <v>16557649718.321497</v>
      </c>
      <c r="Y304" s="50">
        <f t="shared" si="120"/>
        <v>16869813590.861364</v>
      </c>
      <c r="Z304" s="50">
        <f t="shared" si="120"/>
        <v>17172224354.279154</v>
      </c>
      <c r="AA304" s="50">
        <f t="shared" si="120"/>
        <v>17502826271.697525</v>
      </c>
      <c r="AB304" s="50">
        <f t="shared" si="120"/>
        <v>17885276259.448456</v>
      </c>
      <c r="AC304" s="50">
        <f t="shared" si="120"/>
        <v>18287026168.178127</v>
      </c>
      <c r="AD304" s="50">
        <f t="shared" si="120"/>
        <v>18711898984.238121</v>
      </c>
      <c r="AE304" s="50">
        <f t="shared" si="120"/>
        <v>19174365222.654015</v>
      </c>
      <c r="AF304" s="50">
        <f t="shared" si="120"/>
        <v>19671046729.124706</v>
      </c>
      <c r="AG304" s="50">
        <f t="shared" si="120"/>
        <v>20198011567.295834</v>
      </c>
      <c r="AH304" s="50">
        <f t="shared" si="120"/>
        <v>21763553199.332935</v>
      </c>
      <c r="AI304" s="50">
        <f t="shared" si="120"/>
        <v>23428412292.204037</v>
      </c>
      <c r="AJ304" s="50">
        <f t="shared" si="120"/>
        <v>25120500049.87957</v>
      </c>
      <c r="AK304" s="50">
        <f t="shared" si="120"/>
        <v>26831044610.604313</v>
      </c>
      <c r="AL304" s="50">
        <f t="shared" si="120"/>
        <v>28566843759.246059</v>
      </c>
      <c r="AM304" s="50">
        <f t="shared" si="120"/>
        <v>30359993763.029022</v>
      </c>
      <c r="AN304" s="50">
        <f t="shared" si="120"/>
        <v>32181916428.537502</v>
      </c>
      <c r="AO304" s="50">
        <f t="shared" si="120"/>
        <v>34028126691.344471</v>
      </c>
      <c r="AP304" s="50">
        <f t="shared" si="120"/>
        <v>35909479182.108345</v>
      </c>
      <c r="AQ304" s="50">
        <f t="shared" si="120"/>
        <v>37594865824.249504</v>
      </c>
      <c r="AR304" s="43"/>
    </row>
    <row r="305" spans="1:44">
      <c r="A305" s="51"/>
      <c r="B305" s="51"/>
      <c r="C305" s="51"/>
      <c r="D305" s="51"/>
      <c r="E305" s="51"/>
      <c r="F305" s="51"/>
      <c r="G305" s="51"/>
      <c r="H305" s="51"/>
      <c r="I305" s="51"/>
      <c r="J305" s="51"/>
      <c r="K305" s="51"/>
      <c r="L305" s="51"/>
      <c r="M305" s="52"/>
      <c r="N305" s="53"/>
      <c r="O305" s="54"/>
      <c r="P305" s="54"/>
      <c r="Q305" s="53"/>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row>
    <row r="307" spans="1:44" ht="12" thickBot="1">
      <c r="A307" s="39" t="s">
        <v>158</v>
      </c>
    </row>
    <row r="308" spans="1:44" ht="12" thickBot="1">
      <c r="A308" s="41"/>
      <c r="B308" s="41">
        <f>B291</f>
        <v>2010</v>
      </c>
      <c r="C308" s="41">
        <f t="shared" ref="C308:K308" si="121">C2</f>
        <v>2011</v>
      </c>
      <c r="D308" s="41">
        <f t="shared" si="121"/>
        <v>2012</v>
      </c>
      <c r="E308" s="41">
        <f t="shared" si="121"/>
        <v>2013</v>
      </c>
      <c r="F308" s="41">
        <f t="shared" si="121"/>
        <v>2014</v>
      </c>
      <c r="G308" s="41">
        <f t="shared" si="121"/>
        <v>2015</v>
      </c>
      <c r="H308" s="41">
        <f t="shared" si="121"/>
        <v>2016</v>
      </c>
      <c r="I308" s="41">
        <f t="shared" si="121"/>
        <v>2017</v>
      </c>
      <c r="J308" s="41">
        <f t="shared" si="121"/>
        <v>2018</v>
      </c>
      <c r="K308" s="41">
        <f t="shared" si="121"/>
        <v>2019</v>
      </c>
      <c r="L308" s="41">
        <f>L2</f>
        <v>2020</v>
      </c>
      <c r="M308" s="41">
        <f t="shared" ref="M308:AQ308" si="122">M2</f>
        <v>2021</v>
      </c>
      <c r="N308" s="41">
        <f t="shared" si="122"/>
        <v>2022</v>
      </c>
      <c r="O308" s="41">
        <f t="shared" si="122"/>
        <v>2023</v>
      </c>
      <c r="P308" s="41">
        <f t="shared" si="122"/>
        <v>2024</v>
      </c>
      <c r="Q308" s="41">
        <f t="shared" si="122"/>
        <v>2025</v>
      </c>
      <c r="R308" s="41">
        <f t="shared" si="122"/>
        <v>2026</v>
      </c>
      <c r="S308" s="41">
        <f t="shared" si="122"/>
        <v>2027</v>
      </c>
      <c r="T308" s="41">
        <f t="shared" si="122"/>
        <v>2028</v>
      </c>
      <c r="U308" s="41">
        <f t="shared" si="122"/>
        <v>2029</v>
      </c>
      <c r="V308" s="41">
        <f t="shared" si="122"/>
        <v>2030</v>
      </c>
      <c r="W308" s="41">
        <f t="shared" si="122"/>
        <v>2031</v>
      </c>
      <c r="X308" s="41">
        <f t="shared" si="122"/>
        <v>2032</v>
      </c>
      <c r="Y308" s="41">
        <f t="shared" si="122"/>
        <v>2033</v>
      </c>
      <c r="Z308" s="41">
        <f t="shared" si="122"/>
        <v>2034</v>
      </c>
      <c r="AA308" s="41">
        <f t="shared" si="122"/>
        <v>2035</v>
      </c>
      <c r="AB308" s="41">
        <f t="shared" si="122"/>
        <v>2036</v>
      </c>
      <c r="AC308" s="41">
        <f t="shared" si="122"/>
        <v>2037</v>
      </c>
      <c r="AD308" s="41">
        <f t="shared" si="122"/>
        <v>2038</v>
      </c>
      <c r="AE308" s="41">
        <f t="shared" si="122"/>
        <v>2039</v>
      </c>
      <c r="AF308" s="41">
        <f t="shared" si="122"/>
        <v>2040</v>
      </c>
      <c r="AG308" s="41">
        <f t="shared" si="122"/>
        <v>2041</v>
      </c>
      <c r="AH308" s="41">
        <f t="shared" si="122"/>
        <v>2042</v>
      </c>
      <c r="AI308" s="41">
        <f t="shared" si="122"/>
        <v>2043</v>
      </c>
      <c r="AJ308" s="41">
        <f t="shared" si="122"/>
        <v>2044</v>
      </c>
      <c r="AK308" s="41">
        <f t="shared" si="122"/>
        <v>2045</v>
      </c>
      <c r="AL308" s="41">
        <f t="shared" si="122"/>
        <v>2046</v>
      </c>
      <c r="AM308" s="41">
        <f t="shared" si="122"/>
        <v>2047</v>
      </c>
      <c r="AN308" s="41">
        <f t="shared" si="122"/>
        <v>2048</v>
      </c>
      <c r="AO308" s="41">
        <f t="shared" si="122"/>
        <v>2049</v>
      </c>
      <c r="AP308" s="41">
        <f t="shared" si="122"/>
        <v>2050</v>
      </c>
      <c r="AQ308" s="41">
        <f t="shared" si="122"/>
        <v>2051</v>
      </c>
    </row>
    <row r="309" spans="1:44">
      <c r="A309" s="40" t="s">
        <v>68</v>
      </c>
      <c r="B309" s="42">
        <f>B292</f>
        <v>145876</v>
      </c>
      <c r="C309" s="42">
        <f t="shared" ref="C309:AQ309" si="123">C292</f>
        <v>1162104984</v>
      </c>
      <c r="D309" s="42">
        <f t="shared" si="123"/>
        <v>1184612816</v>
      </c>
      <c r="E309" s="42">
        <f t="shared" si="123"/>
        <v>1079871669</v>
      </c>
      <c r="F309" s="42">
        <f t="shared" si="123"/>
        <v>1155218628</v>
      </c>
      <c r="G309" s="42">
        <f t="shared" si="123"/>
        <v>1199457055</v>
      </c>
      <c r="H309" s="42">
        <f t="shared" si="123"/>
        <v>1220479376</v>
      </c>
      <c r="I309" s="42">
        <f t="shared" si="123"/>
        <v>1241898945</v>
      </c>
      <c r="J309" s="42">
        <f t="shared" si="123"/>
        <v>1259666618</v>
      </c>
      <c r="K309" s="42">
        <f t="shared" si="123"/>
        <v>1193659890</v>
      </c>
      <c r="L309" s="42">
        <f t="shared" si="123"/>
        <v>1249439514</v>
      </c>
      <c r="M309" s="42">
        <f t="shared" si="123"/>
        <v>1081284017</v>
      </c>
      <c r="N309" s="42">
        <f t="shared" si="123"/>
        <v>1210627464</v>
      </c>
      <c r="O309" s="42">
        <f t="shared" si="123"/>
        <v>1206027501</v>
      </c>
      <c r="P309" s="42">
        <f t="shared" si="123"/>
        <v>1214363395</v>
      </c>
      <c r="Q309" s="42">
        <f t="shared" si="123"/>
        <v>1256023563</v>
      </c>
      <c r="R309" s="43">
        <f t="shared" si="123"/>
        <v>1207928735.3809433</v>
      </c>
      <c r="S309" s="43">
        <f t="shared" si="123"/>
        <v>1226838355.4127917</v>
      </c>
      <c r="T309" s="43">
        <f t="shared" si="123"/>
        <v>1236798700.347842</v>
      </c>
      <c r="U309" s="43">
        <f t="shared" si="123"/>
        <v>1248397446.8146749</v>
      </c>
      <c r="V309" s="43">
        <f t="shared" si="123"/>
        <v>1261684004.5827022</v>
      </c>
      <c r="W309" s="43">
        <f t="shared" si="123"/>
        <v>1268387905.6149945</v>
      </c>
      <c r="X309" s="43">
        <f t="shared" si="123"/>
        <v>1281037773.5144351</v>
      </c>
      <c r="Y309" s="43">
        <f t="shared" si="123"/>
        <v>1293149156.7314653</v>
      </c>
      <c r="Z309" s="43">
        <f t="shared" si="123"/>
        <v>1305764528.2982016</v>
      </c>
      <c r="AA309" s="43">
        <f t="shared" si="123"/>
        <v>1317948977.003329</v>
      </c>
      <c r="AB309" s="43">
        <f t="shared" si="123"/>
        <v>1330117478.3504953</v>
      </c>
      <c r="AC309" s="43">
        <f t="shared" si="123"/>
        <v>1343372123.5877151</v>
      </c>
      <c r="AD309" s="43">
        <f t="shared" si="123"/>
        <v>1356648194.806725</v>
      </c>
      <c r="AE309" s="43">
        <f t="shared" si="123"/>
        <v>1370357068.2074871</v>
      </c>
      <c r="AF309" s="43">
        <f t="shared" si="123"/>
        <v>1384455962.4353464</v>
      </c>
      <c r="AG309" s="43">
        <f t="shared" si="123"/>
        <v>1399209316.1441209</v>
      </c>
      <c r="AH309" s="43">
        <f t="shared" si="123"/>
        <v>1421540156.6091743</v>
      </c>
      <c r="AI309" s="43">
        <f t="shared" si="123"/>
        <v>1444302107.4161601</v>
      </c>
      <c r="AJ309" s="43">
        <f t="shared" si="123"/>
        <v>1467281540.3791354</v>
      </c>
      <c r="AK309" s="43">
        <f t="shared" si="123"/>
        <v>1490584234.9602289</v>
      </c>
      <c r="AL309" s="43">
        <f t="shared" si="123"/>
        <v>1514351026.0420079</v>
      </c>
      <c r="AM309" s="43">
        <f t="shared" si="123"/>
        <v>1538815830.6278467</v>
      </c>
      <c r="AN309" s="43">
        <f t="shared" si="123"/>
        <v>1564628590.0164335</v>
      </c>
      <c r="AO309" s="43">
        <f t="shared" si="123"/>
        <v>1590208887.7768128</v>
      </c>
      <c r="AP309" s="43">
        <f t="shared" si="123"/>
        <v>1616202263.0854599</v>
      </c>
      <c r="AQ309" s="43">
        <f t="shared" si="123"/>
        <v>1624195253.8140109</v>
      </c>
      <c r="AR309" s="43"/>
    </row>
    <row r="310" spans="1:44">
      <c r="A310" s="40" t="s">
        <v>69</v>
      </c>
      <c r="B310" s="42">
        <f>B309+B293</f>
        <v>1959867</v>
      </c>
      <c r="C310" s="42">
        <f t="shared" ref="C310:AQ316" si="124">C309+C293</f>
        <v>2217692710</v>
      </c>
      <c r="D310" s="42">
        <f t="shared" si="124"/>
        <v>2266304669</v>
      </c>
      <c r="E310" s="42">
        <f t="shared" si="124"/>
        <v>2050135792</v>
      </c>
      <c r="F310" s="42">
        <f t="shared" si="124"/>
        <v>2177497986</v>
      </c>
      <c r="G310" s="42">
        <f t="shared" si="124"/>
        <v>2286903655</v>
      </c>
      <c r="H310" s="42">
        <f t="shared" si="124"/>
        <v>2400327490</v>
      </c>
      <c r="I310" s="42">
        <f t="shared" si="124"/>
        <v>2391231702</v>
      </c>
      <c r="J310" s="42">
        <f t="shared" si="124"/>
        <v>2381435726</v>
      </c>
      <c r="K310" s="42">
        <f t="shared" si="124"/>
        <v>2360975518</v>
      </c>
      <c r="L310" s="42">
        <f t="shared" si="124"/>
        <v>2443388094</v>
      </c>
      <c r="M310" s="42">
        <f t="shared" si="124"/>
        <v>2014738001</v>
      </c>
      <c r="N310" s="42">
        <f t="shared" si="124"/>
        <v>2339493893</v>
      </c>
      <c r="O310" s="42">
        <f t="shared" si="124"/>
        <v>2388476185</v>
      </c>
      <c r="P310" s="42">
        <f t="shared" si="124"/>
        <v>2493814004</v>
      </c>
      <c r="Q310" s="42">
        <f t="shared" si="124"/>
        <v>2385741711</v>
      </c>
      <c r="R310" s="43">
        <f t="shared" si="124"/>
        <v>2337561986.9924164</v>
      </c>
      <c r="S310" s="43">
        <f t="shared" si="124"/>
        <v>2389268065.1005697</v>
      </c>
      <c r="T310" s="43">
        <f t="shared" si="124"/>
        <v>2417574612.8006363</v>
      </c>
      <c r="U310" s="43">
        <f t="shared" si="124"/>
        <v>2438396114.9772115</v>
      </c>
      <c r="V310" s="43">
        <f t="shared" si="124"/>
        <v>2444294977.4080677</v>
      </c>
      <c r="W310" s="43">
        <f t="shared" si="124"/>
        <v>2466311056.4649019</v>
      </c>
      <c r="X310" s="43">
        <f t="shared" si="124"/>
        <v>2493951543.8541989</v>
      </c>
      <c r="Y310" s="43">
        <f t="shared" si="124"/>
        <v>2518612007.1242046</v>
      </c>
      <c r="Z310" s="43">
        <f t="shared" si="124"/>
        <v>2541481083.7021818</v>
      </c>
      <c r="AA310" s="43">
        <f t="shared" si="124"/>
        <v>2563759768.8013964</v>
      </c>
      <c r="AB310" s="43">
        <f t="shared" si="124"/>
        <v>2590090109.7652836</v>
      </c>
      <c r="AC310" s="43">
        <f t="shared" si="124"/>
        <v>2616794963.3439512</v>
      </c>
      <c r="AD310" s="43">
        <f t="shared" si="124"/>
        <v>2642790864.8575068</v>
      </c>
      <c r="AE310" s="43">
        <f t="shared" si="124"/>
        <v>2669501243.1204977</v>
      </c>
      <c r="AF310" s="43">
        <f t="shared" si="124"/>
        <v>2697254516.2183938</v>
      </c>
      <c r="AG310" s="43">
        <f t="shared" si="124"/>
        <v>2726506790.9150391</v>
      </c>
      <c r="AH310" s="43">
        <f t="shared" si="124"/>
        <v>2777749649.6397071</v>
      </c>
      <c r="AI310" s="43">
        <f t="shared" si="124"/>
        <v>2828321597.361124</v>
      </c>
      <c r="AJ310" s="43">
        <f t="shared" si="124"/>
        <v>2877721117.8348732</v>
      </c>
      <c r="AK310" s="43">
        <f t="shared" si="124"/>
        <v>2926565172.6815777</v>
      </c>
      <c r="AL310" s="43">
        <f t="shared" si="124"/>
        <v>2975502186.9347572</v>
      </c>
      <c r="AM310" s="43">
        <f t="shared" si="124"/>
        <v>3025356717.5063992</v>
      </c>
      <c r="AN310" s="43">
        <f t="shared" si="124"/>
        <v>3076912936.6011605</v>
      </c>
      <c r="AO310" s="43">
        <f t="shared" si="124"/>
        <v>3127445777.3137884</v>
      </c>
      <c r="AP310" s="43">
        <f t="shared" si="124"/>
        <v>3178355613.4873095</v>
      </c>
      <c r="AQ310" s="43">
        <f t="shared" si="124"/>
        <v>3194447299.7109985</v>
      </c>
      <c r="AR310" s="43"/>
    </row>
    <row r="311" spans="1:44">
      <c r="A311" s="40" t="s">
        <v>70</v>
      </c>
      <c r="B311" s="42">
        <f t="shared" ref="B311:B320" si="125">B310+B294</f>
        <v>2685941</v>
      </c>
      <c r="C311" s="42">
        <f t="shared" si="124"/>
        <v>3445177701</v>
      </c>
      <c r="D311" s="42">
        <f t="shared" si="124"/>
        <v>3423795077</v>
      </c>
      <c r="E311" s="42">
        <f t="shared" si="124"/>
        <v>3132337913</v>
      </c>
      <c r="F311" s="42">
        <f t="shared" si="124"/>
        <v>3329447543</v>
      </c>
      <c r="G311" s="42">
        <f t="shared" si="124"/>
        <v>3497960280</v>
      </c>
      <c r="H311" s="42">
        <f t="shared" si="124"/>
        <v>3640931365</v>
      </c>
      <c r="I311" s="42">
        <f t="shared" si="124"/>
        <v>3673551671</v>
      </c>
      <c r="J311" s="42">
        <f t="shared" si="124"/>
        <v>3625905925</v>
      </c>
      <c r="K311" s="42">
        <f t="shared" si="124"/>
        <v>3586816823</v>
      </c>
      <c r="L311" s="42">
        <f t="shared" si="124"/>
        <v>3617547171</v>
      </c>
      <c r="M311" s="42">
        <f t="shared" si="124"/>
        <v>3230845017</v>
      </c>
      <c r="N311" s="42">
        <f t="shared" si="124"/>
        <v>3647786210</v>
      </c>
      <c r="O311" s="42">
        <f t="shared" si="124"/>
        <v>3653874768</v>
      </c>
      <c r="P311" s="42">
        <f t="shared" si="124"/>
        <v>3748791220</v>
      </c>
      <c r="Q311" s="42">
        <f t="shared" si="124"/>
        <v>3644355037.345376</v>
      </c>
      <c r="R311" s="43">
        <f t="shared" si="124"/>
        <v>3596357037.6197577</v>
      </c>
      <c r="S311" s="43">
        <f t="shared" si="124"/>
        <v>3649156793.217607</v>
      </c>
      <c r="T311" s="43">
        <f t="shared" si="124"/>
        <v>3678248430.9864607</v>
      </c>
      <c r="U311" s="43">
        <f t="shared" si="124"/>
        <v>3709178652.3497033</v>
      </c>
      <c r="V311" s="43">
        <f t="shared" si="124"/>
        <v>3731544606.7389245</v>
      </c>
      <c r="W311" s="43">
        <f t="shared" si="124"/>
        <v>3764521620.8822918</v>
      </c>
      <c r="X311" s="43">
        <f t="shared" si="124"/>
        <v>3801108649.7735772</v>
      </c>
      <c r="Y311" s="43">
        <f t="shared" si="124"/>
        <v>3837490221.3522568</v>
      </c>
      <c r="Z311" s="43">
        <f t="shared" si="124"/>
        <v>3872767375.173851</v>
      </c>
      <c r="AA311" s="43">
        <f t="shared" si="124"/>
        <v>3908005739.2777796</v>
      </c>
      <c r="AB311" s="43">
        <f t="shared" si="124"/>
        <v>3946932860.2415333</v>
      </c>
      <c r="AC311" s="43">
        <f t="shared" si="124"/>
        <v>3986144017.5539045</v>
      </c>
      <c r="AD311" s="43">
        <f t="shared" si="124"/>
        <v>4024868985.7794065</v>
      </c>
      <c r="AE311" s="43">
        <f t="shared" si="124"/>
        <v>4064672431.5560617</v>
      </c>
      <c r="AF311" s="43">
        <f t="shared" si="124"/>
        <v>4105825812.1614952</v>
      </c>
      <c r="AG311" s="43">
        <f t="shared" si="124"/>
        <v>4148681154.4036951</v>
      </c>
      <c r="AH311" s="43">
        <f t="shared" si="124"/>
        <v>4226181505.3319588</v>
      </c>
      <c r="AI311" s="43">
        <f t="shared" si="124"/>
        <v>4301125298.409317</v>
      </c>
      <c r="AJ311" s="43">
        <f t="shared" si="124"/>
        <v>4372904747.9913349</v>
      </c>
      <c r="AK311" s="43">
        <f t="shared" si="124"/>
        <v>4442689713.7216311</v>
      </c>
      <c r="AL311" s="43">
        <f t="shared" si="124"/>
        <v>4511872849.246912</v>
      </c>
      <c r="AM311" s="43">
        <f t="shared" si="124"/>
        <v>4581949158.2004023</v>
      </c>
      <c r="AN311" s="43">
        <f t="shared" si="124"/>
        <v>4653842074.4653187</v>
      </c>
      <c r="AO311" s="43">
        <f t="shared" si="124"/>
        <v>4723538715.9587193</v>
      </c>
      <c r="AP311" s="43">
        <f t="shared" si="124"/>
        <v>4793306240.2326965</v>
      </c>
      <c r="AQ311" s="43">
        <f t="shared" si="124"/>
        <v>4809681684.6987104</v>
      </c>
      <c r="AR311" s="43"/>
    </row>
    <row r="312" spans="1:44">
      <c r="A312" s="40" t="s">
        <v>71</v>
      </c>
      <c r="B312" s="42">
        <f t="shared" si="125"/>
        <v>2685941</v>
      </c>
      <c r="C312" s="42">
        <f t="shared" si="124"/>
        <v>4516437199</v>
      </c>
      <c r="D312" s="42">
        <f t="shared" si="124"/>
        <v>4536007351</v>
      </c>
      <c r="E312" s="42">
        <f t="shared" si="124"/>
        <v>4244664717</v>
      </c>
      <c r="F312" s="42">
        <f t="shared" si="124"/>
        <v>4523637447</v>
      </c>
      <c r="G312" s="42">
        <f t="shared" si="124"/>
        <v>4674614658</v>
      </c>
      <c r="H312" s="42">
        <f t="shared" si="124"/>
        <v>4816449625</v>
      </c>
      <c r="I312" s="42">
        <f t="shared" si="124"/>
        <v>4855203693</v>
      </c>
      <c r="J312" s="42">
        <f t="shared" si="124"/>
        <v>4870817899</v>
      </c>
      <c r="K312" s="42">
        <f t="shared" si="124"/>
        <v>4873772013</v>
      </c>
      <c r="L312" s="42">
        <f t="shared" si="124"/>
        <v>4288882338</v>
      </c>
      <c r="M312" s="42">
        <f t="shared" si="124"/>
        <v>4399141022</v>
      </c>
      <c r="N312" s="42">
        <f t="shared" si="124"/>
        <v>4828757094</v>
      </c>
      <c r="O312" s="42">
        <f t="shared" si="124"/>
        <v>4859622132</v>
      </c>
      <c r="P312" s="42">
        <f t="shared" si="124"/>
        <v>5012092432</v>
      </c>
      <c r="Q312" s="43">
        <f t="shared" si="124"/>
        <v>4761552107.2765236</v>
      </c>
      <c r="R312" s="43">
        <f t="shared" si="124"/>
        <v>4779935145.1855574</v>
      </c>
      <c r="S312" s="43">
        <f t="shared" si="124"/>
        <v>4828501304.7656097</v>
      </c>
      <c r="T312" s="43">
        <f t="shared" si="124"/>
        <v>4867549278.827301</v>
      </c>
      <c r="U312" s="43">
        <f t="shared" si="124"/>
        <v>4906298966.5413427</v>
      </c>
      <c r="V312" s="43">
        <f t="shared" si="124"/>
        <v>4928517348.0067978</v>
      </c>
      <c r="W312" s="43">
        <f t="shared" si="124"/>
        <v>4982417972.3903131</v>
      </c>
      <c r="X312" s="43">
        <f t="shared" si="124"/>
        <v>5027109818.2126837</v>
      </c>
      <c r="Y312" s="43">
        <f t="shared" si="124"/>
        <v>5075444916.2477951</v>
      </c>
      <c r="Z312" s="43">
        <f t="shared" si="124"/>
        <v>5121393125.8066225</v>
      </c>
      <c r="AA312" s="43">
        <f t="shared" si="124"/>
        <v>5167875590.506547</v>
      </c>
      <c r="AB312" s="43">
        <f t="shared" si="124"/>
        <v>5220832504.3394222</v>
      </c>
      <c r="AC312" s="43">
        <f t="shared" si="124"/>
        <v>5272139575.351202</v>
      </c>
      <c r="AD312" s="43">
        <f t="shared" si="124"/>
        <v>5323216281.8751287</v>
      </c>
      <c r="AE312" s="43">
        <f t="shared" si="124"/>
        <v>5375648867.2195282</v>
      </c>
      <c r="AF312" s="43">
        <f t="shared" si="124"/>
        <v>5429964809.6690121</v>
      </c>
      <c r="AG312" s="43">
        <f t="shared" si="124"/>
        <v>5486463589.6125278</v>
      </c>
      <c r="AH312" s="43">
        <f t="shared" si="124"/>
        <v>5592469292.8983135</v>
      </c>
      <c r="AI312" s="43">
        <f t="shared" si="124"/>
        <v>5693982712.5519114</v>
      </c>
      <c r="AJ312" s="43">
        <f t="shared" si="124"/>
        <v>5790129009.4975986</v>
      </c>
      <c r="AK312" s="43">
        <f t="shared" si="124"/>
        <v>5882724510.186758</v>
      </c>
      <c r="AL312" s="43">
        <f t="shared" si="124"/>
        <v>5973922758.4510384</v>
      </c>
      <c r="AM312" s="43">
        <f t="shared" si="124"/>
        <v>6065951000.9952154</v>
      </c>
      <c r="AN312" s="43">
        <f t="shared" si="124"/>
        <v>6159792265.9688768</v>
      </c>
      <c r="AO312" s="43">
        <f t="shared" si="124"/>
        <v>6250226009.2046061</v>
      </c>
      <c r="AP312" s="43">
        <f t="shared" si="124"/>
        <v>6340401961.483798</v>
      </c>
      <c r="AQ312" s="43">
        <f t="shared" si="124"/>
        <v>6358802380.1335764</v>
      </c>
      <c r="AR312" s="43"/>
    </row>
    <row r="313" spans="1:44">
      <c r="A313" s="40" t="s">
        <v>47</v>
      </c>
      <c r="B313" s="42">
        <f t="shared" si="125"/>
        <v>2685941</v>
      </c>
      <c r="C313" s="42">
        <f t="shared" si="124"/>
        <v>5658112613</v>
      </c>
      <c r="D313" s="42">
        <f t="shared" si="124"/>
        <v>5684591961</v>
      </c>
      <c r="E313" s="42">
        <f t="shared" si="124"/>
        <v>5416221502</v>
      </c>
      <c r="F313" s="42">
        <f t="shared" si="124"/>
        <v>5746126637</v>
      </c>
      <c r="G313" s="42">
        <f t="shared" si="124"/>
        <v>5885998338</v>
      </c>
      <c r="H313" s="42">
        <f t="shared" si="124"/>
        <v>6072748586</v>
      </c>
      <c r="I313" s="42">
        <f t="shared" si="124"/>
        <v>6143538962</v>
      </c>
      <c r="J313" s="42">
        <f t="shared" si="124"/>
        <v>6180248319</v>
      </c>
      <c r="K313" s="42">
        <f t="shared" si="124"/>
        <v>6184835775</v>
      </c>
      <c r="L313" s="42">
        <f t="shared" si="124"/>
        <v>5165221000</v>
      </c>
      <c r="M313" s="42">
        <f t="shared" si="124"/>
        <v>5696219745</v>
      </c>
      <c r="N313" s="42">
        <f t="shared" si="124"/>
        <v>6122437311</v>
      </c>
      <c r="O313" s="42">
        <f t="shared" si="124"/>
        <v>6179123607</v>
      </c>
      <c r="P313" s="42">
        <f t="shared" si="124"/>
        <v>6355822621</v>
      </c>
      <c r="Q313" s="43">
        <f t="shared" si="124"/>
        <v>6014298166.7620926</v>
      </c>
      <c r="R313" s="43">
        <f t="shared" si="124"/>
        <v>6091205227.2839584</v>
      </c>
      <c r="S313" s="43">
        <f t="shared" si="124"/>
        <v>6133357136.4707298</v>
      </c>
      <c r="T313" s="43">
        <f t="shared" si="124"/>
        <v>6186995218.5772848</v>
      </c>
      <c r="U313" s="43">
        <f t="shared" si="124"/>
        <v>6236948720.186614</v>
      </c>
      <c r="V313" s="43">
        <f t="shared" si="124"/>
        <v>6272265041.8985271</v>
      </c>
      <c r="W313" s="43">
        <f t="shared" si="124"/>
        <v>6349540861.1071672</v>
      </c>
      <c r="X313" s="43">
        <f t="shared" si="124"/>
        <v>6408636192.8827</v>
      </c>
      <c r="Y313" s="43">
        <f t="shared" si="124"/>
        <v>6479000993.5447979</v>
      </c>
      <c r="Z313" s="43">
        <f t="shared" si="124"/>
        <v>6545922635.2775021</v>
      </c>
      <c r="AA313" s="43">
        <f t="shared" si="124"/>
        <v>6615425106.2872305</v>
      </c>
      <c r="AB313" s="43">
        <f t="shared" si="124"/>
        <v>6695140304.039238</v>
      </c>
      <c r="AC313" s="43">
        <f t="shared" si="124"/>
        <v>6772894477.2286654</v>
      </c>
      <c r="AD313" s="43">
        <f t="shared" si="124"/>
        <v>6851783298.6376038</v>
      </c>
      <c r="AE313" s="43">
        <f t="shared" si="124"/>
        <v>6933969972.8205719</v>
      </c>
      <c r="AF313" s="43">
        <f t="shared" si="124"/>
        <v>7019812928.2751303</v>
      </c>
      <c r="AG313" s="43">
        <f t="shared" si="124"/>
        <v>7109266120.1367731</v>
      </c>
      <c r="AH313" s="43">
        <f t="shared" si="124"/>
        <v>7310367496.8496914</v>
      </c>
      <c r="AI313" s="43">
        <f t="shared" si="124"/>
        <v>7509834963.5992651</v>
      </c>
      <c r="AJ313" s="43">
        <f t="shared" si="124"/>
        <v>7702553840.6704664</v>
      </c>
      <c r="AK313" s="43">
        <f t="shared" si="124"/>
        <v>7890184453.4734097</v>
      </c>
      <c r="AL313" s="43">
        <f t="shared" si="124"/>
        <v>8075680510.3561745</v>
      </c>
      <c r="AM313" s="43">
        <f t="shared" si="124"/>
        <v>8263398336.4710073</v>
      </c>
      <c r="AN313" s="43">
        <f t="shared" si="124"/>
        <v>8452462482.8520117</v>
      </c>
      <c r="AO313" s="43">
        <f t="shared" si="124"/>
        <v>8636811510.9184074</v>
      </c>
      <c r="AP313" s="43">
        <f t="shared" si="124"/>
        <v>8820566358.6992741</v>
      </c>
      <c r="AQ313" s="43">
        <f t="shared" si="124"/>
        <v>8911758365.9098129</v>
      </c>
      <c r="AR313" s="43"/>
    </row>
    <row r="314" spans="1:44">
      <c r="A314" s="40" t="s">
        <v>72</v>
      </c>
      <c r="B314" s="42">
        <f t="shared" si="125"/>
        <v>2776937</v>
      </c>
      <c r="C314" s="42">
        <f t="shared" si="124"/>
        <v>6827735123</v>
      </c>
      <c r="D314" s="42">
        <f t="shared" si="124"/>
        <v>6809772704</v>
      </c>
      <c r="E314" s="42">
        <f t="shared" si="124"/>
        <v>6555059486</v>
      </c>
      <c r="F314" s="42">
        <f t="shared" si="124"/>
        <v>6949662947</v>
      </c>
      <c r="G314" s="42">
        <f t="shared" si="124"/>
        <v>7139290728</v>
      </c>
      <c r="H314" s="42">
        <f t="shared" si="124"/>
        <v>7370222423</v>
      </c>
      <c r="I314" s="42">
        <f t="shared" si="124"/>
        <v>7421017031</v>
      </c>
      <c r="J314" s="42">
        <f t="shared" si="124"/>
        <v>7456080677</v>
      </c>
      <c r="K314" s="42">
        <f t="shared" si="124"/>
        <v>7482927410</v>
      </c>
      <c r="L314" s="42">
        <f t="shared" si="124"/>
        <v>6275657245</v>
      </c>
      <c r="M314" s="42">
        <f t="shared" si="124"/>
        <v>7016077131</v>
      </c>
      <c r="N314" s="42">
        <f t="shared" si="124"/>
        <v>7465707234</v>
      </c>
      <c r="O314" s="42">
        <f t="shared" si="124"/>
        <v>7526612585</v>
      </c>
      <c r="P314" s="42">
        <f t="shared" si="124"/>
        <v>7646692831</v>
      </c>
      <c r="Q314" s="43">
        <f t="shared" si="124"/>
        <v>7320139259.8181801</v>
      </c>
      <c r="R314" s="43">
        <f t="shared" si="124"/>
        <v>7424693721.9276943</v>
      </c>
      <c r="S314" s="43">
        <f t="shared" si="124"/>
        <v>7463177278.3583164</v>
      </c>
      <c r="T314" s="43">
        <f t="shared" si="124"/>
        <v>7525465683.2736483</v>
      </c>
      <c r="U314" s="43">
        <f t="shared" si="124"/>
        <v>7587353697.0347586</v>
      </c>
      <c r="V314" s="43">
        <f t="shared" si="124"/>
        <v>7654411307.9753199</v>
      </c>
      <c r="W314" s="43">
        <f t="shared" si="124"/>
        <v>7753013559.4759836</v>
      </c>
      <c r="X314" s="43">
        <f t="shared" si="124"/>
        <v>7831416427.8526049</v>
      </c>
      <c r="Y314" s="43">
        <f t="shared" si="124"/>
        <v>7930586534.9733238</v>
      </c>
      <c r="Z314" s="43">
        <f t="shared" si="124"/>
        <v>8027079400.1343613</v>
      </c>
      <c r="AA314" s="43">
        <f t="shared" si="124"/>
        <v>8131314646.9142475</v>
      </c>
      <c r="AB314" s="43">
        <f t="shared" si="124"/>
        <v>8249422156.6212149</v>
      </c>
      <c r="AC314" s="43">
        <f t="shared" si="124"/>
        <v>8368405266.0348415</v>
      </c>
      <c r="AD314" s="43">
        <f t="shared" si="124"/>
        <v>8492057932.2712088</v>
      </c>
      <c r="AE314" s="43">
        <f t="shared" si="124"/>
        <v>8624087017.4624386</v>
      </c>
      <c r="AF314" s="43">
        <f t="shared" si="124"/>
        <v>8764649917.7753563</v>
      </c>
      <c r="AG314" s="43">
        <f t="shared" si="124"/>
        <v>8912878829.5145092</v>
      </c>
      <c r="AH314" s="43">
        <f t="shared" si="124"/>
        <v>9287718926.5360489</v>
      </c>
      <c r="AI314" s="43">
        <f t="shared" si="124"/>
        <v>9678363842.111208</v>
      </c>
      <c r="AJ314" s="43">
        <f t="shared" si="124"/>
        <v>10072170871.118572</v>
      </c>
      <c r="AK314" s="43">
        <f t="shared" si="124"/>
        <v>10469259398.301888</v>
      </c>
      <c r="AL314" s="43">
        <f t="shared" si="124"/>
        <v>10872948235.616856</v>
      </c>
      <c r="AM314" s="43">
        <f t="shared" si="124"/>
        <v>11290906701.13242</v>
      </c>
      <c r="AN314" s="43">
        <f t="shared" si="124"/>
        <v>11720136867.642628</v>
      </c>
      <c r="AO314" s="43">
        <f t="shared" si="124"/>
        <v>12154880122.35041</v>
      </c>
      <c r="AP314" s="43">
        <f t="shared" si="124"/>
        <v>12600418110.799465</v>
      </c>
      <c r="AQ314" s="43">
        <f t="shared" si="124"/>
        <v>12945337076.256706</v>
      </c>
      <c r="AR314" s="43"/>
    </row>
    <row r="315" spans="1:44">
      <c r="A315" s="40" t="s">
        <v>73</v>
      </c>
      <c r="B315" s="42">
        <f t="shared" si="125"/>
        <v>1116137942</v>
      </c>
      <c r="C315" s="42">
        <f t="shared" si="124"/>
        <v>7969186725</v>
      </c>
      <c r="D315" s="42">
        <f t="shared" si="124"/>
        <v>7917929211</v>
      </c>
      <c r="E315" s="42">
        <f t="shared" si="124"/>
        <v>7730364484</v>
      </c>
      <c r="F315" s="42">
        <f t="shared" si="124"/>
        <v>8195291663</v>
      </c>
      <c r="G315" s="42">
        <f t="shared" si="124"/>
        <v>8381722929</v>
      </c>
      <c r="H315" s="42">
        <f t="shared" si="124"/>
        <v>8628576426</v>
      </c>
      <c r="I315" s="42">
        <f t="shared" si="124"/>
        <v>8696756921</v>
      </c>
      <c r="J315" s="42">
        <f t="shared" si="124"/>
        <v>8833750687</v>
      </c>
      <c r="K315" s="42">
        <f t="shared" si="124"/>
        <v>8860977777</v>
      </c>
      <c r="L315" s="42">
        <f t="shared" si="124"/>
        <v>7510594394</v>
      </c>
      <c r="M315" s="42">
        <f t="shared" si="124"/>
        <v>8348672168</v>
      </c>
      <c r="N315" s="42">
        <f t="shared" si="124"/>
        <v>8731260178</v>
      </c>
      <c r="O315" s="42">
        <f t="shared" si="124"/>
        <v>8864095243</v>
      </c>
      <c r="P315" s="42">
        <f t="shared" si="124"/>
        <v>9059361482</v>
      </c>
      <c r="Q315" s="43">
        <f t="shared" si="124"/>
        <v>8667268474.1357937</v>
      </c>
      <c r="R315" s="43">
        <f t="shared" si="124"/>
        <v>8784659455.4096642</v>
      </c>
      <c r="S315" s="43">
        <f t="shared" si="124"/>
        <v>8820503218.2809219</v>
      </c>
      <c r="T315" s="43">
        <f t="shared" si="124"/>
        <v>8911284332.0888462</v>
      </c>
      <c r="U315" s="43">
        <f t="shared" si="124"/>
        <v>8993904112.4042606</v>
      </c>
      <c r="V315" s="43">
        <f t="shared" si="124"/>
        <v>9077338534.9321613</v>
      </c>
      <c r="W315" s="43">
        <f t="shared" si="124"/>
        <v>9197021554.8738022</v>
      </c>
      <c r="X315" s="43">
        <f t="shared" si="124"/>
        <v>9298281791.5087261</v>
      </c>
      <c r="Y315" s="43">
        <f t="shared" si="124"/>
        <v>9431038681.840313</v>
      </c>
      <c r="Z315" s="43">
        <f t="shared" si="124"/>
        <v>9559332872.700779</v>
      </c>
      <c r="AA315" s="43">
        <f t="shared" si="124"/>
        <v>9697781666.4255066</v>
      </c>
      <c r="AB315" s="43">
        <f t="shared" si="124"/>
        <v>9857261182.6880989</v>
      </c>
      <c r="AC315" s="43">
        <f t="shared" si="124"/>
        <v>10020772153.217682</v>
      </c>
      <c r="AD315" s="43">
        <f t="shared" si="124"/>
        <v>10192392608.152712</v>
      </c>
      <c r="AE315" s="43">
        <f t="shared" si="124"/>
        <v>10377392059.515766</v>
      </c>
      <c r="AF315" s="43">
        <f t="shared" si="124"/>
        <v>10575698235.385727</v>
      </c>
      <c r="AG315" s="43">
        <f t="shared" si="124"/>
        <v>10786409693.680737</v>
      </c>
      <c r="AH315" s="43">
        <f t="shared" si="124"/>
        <v>11348402549.356516</v>
      </c>
      <c r="AI315" s="43">
        <f t="shared" si="124"/>
        <v>11944369071.74102</v>
      </c>
      <c r="AJ315" s="43">
        <f t="shared" si="124"/>
        <v>12553148592.605434</v>
      </c>
      <c r="AK315" s="43">
        <f t="shared" si="124"/>
        <v>13173552096.916628</v>
      </c>
      <c r="AL315" s="43">
        <f t="shared" si="124"/>
        <v>13809170269.535486</v>
      </c>
      <c r="AM315" s="43">
        <f t="shared" si="124"/>
        <v>14471282747.815765</v>
      </c>
      <c r="AN315" s="43">
        <f t="shared" si="124"/>
        <v>15154347784.166788</v>
      </c>
      <c r="AO315" s="43">
        <f t="shared" si="124"/>
        <v>15853197794.059761</v>
      </c>
      <c r="AP315" s="43">
        <f t="shared" si="124"/>
        <v>16574207226.344057</v>
      </c>
      <c r="AQ315" s="43">
        <f t="shared" si="124"/>
        <v>17188080860.413193</v>
      </c>
      <c r="AR315" s="43"/>
    </row>
    <row r="316" spans="1:44">
      <c r="A316" s="40" t="s">
        <v>74</v>
      </c>
      <c r="B316" s="42">
        <f t="shared" si="125"/>
        <v>2228088794</v>
      </c>
      <c r="C316" s="42">
        <f t="shared" si="124"/>
        <v>9159590168</v>
      </c>
      <c r="D316" s="42">
        <f t="shared" si="124"/>
        <v>9098625061</v>
      </c>
      <c r="E316" s="42">
        <f t="shared" si="124"/>
        <v>8915657169</v>
      </c>
      <c r="F316" s="42">
        <f t="shared" si="124"/>
        <v>9381025272</v>
      </c>
      <c r="G316" s="42">
        <f t="shared" si="124"/>
        <v>9621581420</v>
      </c>
      <c r="H316" s="42">
        <f t="shared" si="124"/>
        <v>9961105272</v>
      </c>
      <c r="I316" s="42">
        <f t="shared" si="124"/>
        <v>10039279838</v>
      </c>
      <c r="J316" s="42">
        <f t="shared" si="124"/>
        <v>10228399964</v>
      </c>
      <c r="K316" s="42">
        <f t="shared" si="124"/>
        <v>10159366630</v>
      </c>
      <c r="L316" s="42">
        <f t="shared" ref="C316:AQ320" si="126">L315+L299</f>
        <v>8708603316</v>
      </c>
      <c r="M316" s="42">
        <f t="shared" si="126"/>
        <v>9625684901</v>
      </c>
      <c r="N316" s="42">
        <f t="shared" si="126"/>
        <v>10070619717</v>
      </c>
      <c r="O316" s="42">
        <f t="shared" si="126"/>
        <v>10194738675</v>
      </c>
      <c r="P316" s="42">
        <f t="shared" si="126"/>
        <v>10468324355</v>
      </c>
      <c r="Q316" s="43">
        <f t="shared" si="126"/>
        <v>10001006113.63542</v>
      </c>
      <c r="R316" s="43">
        <f t="shared" si="126"/>
        <v>10139671223.439137</v>
      </c>
      <c r="S316" s="43">
        <f t="shared" si="126"/>
        <v>10183991040.8757</v>
      </c>
      <c r="T316" s="43">
        <f t="shared" si="126"/>
        <v>10292120594.433285</v>
      </c>
      <c r="U316" s="43">
        <f t="shared" si="126"/>
        <v>10397882545.031843</v>
      </c>
      <c r="V316" s="43">
        <f t="shared" si="126"/>
        <v>10500357490.249233</v>
      </c>
      <c r="W316" s="43">
        <f t="shared" si="126"/>
        <v>10644196177.973763</v>
      </c>
      <c r="X316" s="43">
        <f t="shared" si="126"/>
        <v>10770724619.275557</v>
      </c>
      <c r="Y316" s="43">
        <f t="shared" si="126"/>
        <v>10938135161.53828</v>
      </c>
      <c r="Z316" s="43">
        <f t="shared" si="126"/>
        <v>11101400007.106527</v>
      </c>
      <c r="AA316" s="43">
        <f t="shared" si="126"/>
        <v>11278387875.286165</v>
      </c>
      <c r="AB316" s="43">
        <f t="shared" si="126"/>
        <v>11484435048.351261</v>
      </c>
      <c r="AC316" s="43">
        <f t="shared" si="126"/>
        <v>11698436191.970417</v>
      </c>
      <c r="AD316" s="43">
        <f t="shared" si="126"/>
        <v>11924871296.446268</v>
      </c>
      <c r="AE316" s="43">
        <f t="shared" si="126"/>
        <v>12171393087.894543</v>
      </c>
      <c r="AF316" s="43">
        <f t="shared" si="126"/>
        <v>12437641202.056982</v>
      </c>
      <c r="AG316" s="43">
        <f t="shared" si="126"/>
        <v>12722535045.997334</v>
      </c>
      <c r="AH316" s="43">
        <f t="shared" si="126"/>
        <v>13505729080.392456</v>
      </c>
      <c r="AI316" s="43">
        <f t="shared" si="126"/>
        <v>14348811853.127171</v>
      </c>
      <c r="AJ316" s="43">
        <f t="shared" si="126"/>
        <v>15221227288.467516</v>
      </c>
      <c r="AK316" s="43">
        <f t="shared" si="126"/>
        <v>16119954323.652435</v>
      </c>
      <c r="AL316" s="43">
        <f t="shared" si="126"/>
        <v>17048820150.968792</v>
      </c>
      <c r="AM316" s="43">
        <f t="shared" si="126"/>
        <v>18023295471.897545</v>
      </c>
      <c r="AN316" s="43">
        <f t="shared" si="126"/>
        <v>19035818432.698921</v>
      </c>
      <c r="AO316" s="43">
        <f t="shared" si="126"/>
        <v>20082591040.576324</v>
      </c>
      <c r="AP316" s="43">
        <f t="shared" si="126"/>
        <v>21171494222.721886</v>
      </c>
      <c r="AQ316" s="43">
        <f t="shared" si="126"/>
        <v>22155395790.348022</v>
      </c>
      <c r="AR316" s="43"/>
    </row>
    <row r="317" spans="1:44">
      <c r="A317" s="40" t="s">
        <v>75</v>
      </c>
      <c r="B317" s="42">
        <f t="shared" si="125"/>
        <v>3330627478</v>
      </c>
      <c r="C317" s="42">
        <f t="shared" si="126"/>
        <v>10276599735</v>
      </c>
      <c r="D317" s="42">
        <f t="shared" si="126"/>
        <v>10161097364</v>
      </c>
      <c r="E317" s="42">
        <f t="shared" si="126"/>
        <v>10035947132</v>
      </c>
      <c r="F317" s="42">
        <f t="shared" si="126"/>
        <v>10549268053</v>
      </c>
      <c r="G317" s="42">
        <f t="shared" si="126"/>
        <v>10836453348</v>
      </c>
      <c r="H317" s="42">
        <f t="shared" si="126"/>
        <v>11191992998</v>
      </c>
      <c r="I317" s="42">
        <f t="shared" si="126"/>
        <v>11283972308</v>
      </c>
      <c r="J317" s="42">
        <f t="shared" si="126"/>
        <v>11470503727</v>
      </c>
      <c r="K317" s="42">
        <f t="shared" si="126"/>
        <v>11412488043</v>
      </c>
      <c r="L317" s="42">
        <f t="shared" si="126"/>
        <v>9900950548</v>
      </c>
      <c r="M317" s="42">
        <f t="shared" si="126"/>
        <v>10838753548</v>
      </c>
      <c r="N317" s="42">
        <f t="shared" si="126"/>
        <v>11258102315</v>
      </c>
      <c r="O317" s="42">
        <f t="shared" si="126"/>
        <v>11455215500</v>
      </c>
      <c r="P317" s="42">
        <f t="shared" si="126"/>
        <v>11779149698</v>
      </c>
      <c r="Q317" s="43">
        <f t="shared" si="126"/>
        <v>11254291797.291428</v>
      </c>
      <c r="R317" s="43">
        <f t="shared" si="126"/>
        <v>11400571364.212685</v>
      </c>
      <c r="S317" s="43">
        <f t="shared" si="126"/>
        <v>11446706967.387247</v>
      </c>
      <c r="T317" s="43">
        <f t="shared" si="126"/>
        <v>11581413757.546959</v>
      </c>
      <c r="U317" s="43">
        <f t="shared" si="126"/>
        <v>11708657984.830114</v>
      </c>
      <c r="V317" s="43">
        <f t="shared" si="126"/>
        <v>11830101542.992464</v>
      </c>
      <c r="W317" s="43">
        <f t="shared" si="126"/>
        <v>11994869656.797575</v>
      </c>
      <c r="X317" s="43">
        <f t="shared" si="126"/>
        <v>12146507421.473034</v>
      </c>
      <c r="Y317" s="43">
        <f t="shared" si="126"/>
        <v>12350125248.186245</v>
      </c>
      <c r="Z317" s="43">
        <f t="shared" si="126"/>
        <v>12548402676.978481</v>
      </c>
      <c r="AA317" s="43">
        <f t="shared" si="126"/>
        <v>12763843733.8015</v>
      </c>
      <c r="AB317" s="43">
        <f t="shared" si="126"/>
        <v>13016624332.234407</v>
      </c>
      <c r="AC317" s="43">
        <f t="shared" si="126"/>
        <v>13281866565.682905</v>
      </c>
      <c r="AD317" s="43">
        <f t="shared" si="126"/>
        <v>13564017262.507948</v>
      </c>
      <c r="AE317" s="43">
        <f t="shared" si="126"/>
        <v>13872935042.588301</v>
      </c>
      <c r="AF317" s="43">
        <f t="shared" si="126"/>
        <v>14208095631.661299</v>
      </c>
      <c r="AG317" s="43">
        <f t="shared" si="126"/>
        <v>14568364349.514585</v>
      </c>
      <c r="AH317" s="43">
        <f t="shared" si="126"/>
        <v>15579635062.766399</v>
      </c>
      <c r="AI317" s="43">
        <f t="shared" si="126"/>
        <v>16677310195.013626</v>
      </c>
      <c r="AJ317" s="43">
        <f t="shared" si="126"/>
        <v>17820939719.982697</v>
      </c>
      <c r="AK317" s="43">
        <f t="shared" si="126"/>
        <v>19005739268.997128</v>
      </c>
      <c r="AL317" s="43">
        <f t="shared" si="126"/>
        <v>20235751583.404152</v>
      </c>
      <c r="AM317" s="43">
        <f t="shared" si="126"/>
        <v>21530816658.168758</v>
      </c>
      <c r="AN317" s="43">
        <f t="shared" si="126"/>
        <v>22881187640.483437</v>
      </c>
      <c r="AO317" s="43">
        <f t="shared" si="126"/>
        <v>24284482888.373329</v>
      </c>
      <c r="AP317" s="43">
        <f t="shared" si="126"/>
        <v>25750117852.591457</v>
      </c>
      <c r="AQ317" s="43">
        <f t="shared" si="126"/>
        <v>27112649718.739742</v>
      </c>
      <c r="AR317" s="43"/>
    </row>
    <row r="318" spans="1:44">
      <c r="A318" s="40" t="s">
        <v>76</v>
      </c>
      <c r="B318" s="42">
        <f t="shared" si="125"/>
        <v>4442362492</v>
      </c>
      <c r="C318" s="42">
        <f t="shared" si="126"/>
        <v>11399704014</v>
      </c>
      <c r="D318" s="42">
        <f t="shared" si="126"/>
        <v>11295093951</v>
      </c>
      <c r="E318" s="42">
        <f t="shared" si="126"/>
        <v>11205433381</v>
      </c>
      <c r="F318" s="42">
        <f t="shared" si="126"/>
        <v>11720267588</v>
      </c>
      <c r="G318" s="42">
        <f t="shared" si="126"/>
        <v>12077842446</v>
      </c>
      <c r="H318" s="42">
        <f t="shared" si="126"/>
        <v>12447568466</v>
      </c>
      <c r="I318" s="42">
        <f t="shared" si="126"/>
        <v>12584050917</v>
      </c>
      <c r="J318" s="42">
        <f t="shared" si="126"/>
        <v>12790765021</v>
      </c>
      <c r="K318" s="42">
        <f t="shared" si="126"/>
        <v>12741260697</v>
      </c>
      <c r="L318" s="42">
        <f t="shared" si="126"/>
        <v>11103606862</v>
      </c>
      <c r="M318" s="42">
        <f t="shared" si="126"/>
        <v>12085933118</v>
      </c>
      <c r="N318" s="42">
        <f t="shared" si="126"/>
        <v>12553630232</v>
      </c>
      <c r="O318" s="42">
        <f t="shared" si="126"/>
        <v>12815179868</v>
      </c>
      <c r="P318" s="42">
        <f t="shared" si="126"/>
        <v>13142120750</v>
      </c>
      <c r="Q318" s="43">
        <f t="shared" si="126"/>
        <v>12574254781.161055</v>
      </c>
      <c r="R318" s="43">
        <f t="shared" si="126"/>
        <v>12737472978.315779</v>
      </c>
      <c r="S318" s="43">
        <f t="shared" si="126"/>
        <v>12793501423.272465</v>
      </c>
      <c r="T318" s="43">
        <f t="shared" si="126"/>
        <v>12952093417.403755</v>
      </c>
      <c r="U318" s="43">
        <f t="shared" si="126"/>
        <v>13094231127.822002</v>
      </c>
      <c r="V318" s="43">
        <f t="shared" si="126"/>
        <v>13240263926.457552</v>
      </c>
      <c r="W318" s="43">
        <f t="shared" si="126"/>
        <v>13429603504.847738</v>
      </c>
      <c r="X318" s="43">
        <f t="shared" si="126"/>
        <v>13608626816.866545</v>
      </c>
      <c r="Y318" s="43">
        <f t="shared" si="126"/>
        <v>13849959076.899376</v>
      </c>
      <c r="Z318" s="43">
        <f t="shared" si="126"/>
        <v>14085703709.559799</v>
      </c>
      <c r="AA318" s="43">
        <f t="shared" si="126"/>
        <v>14344288451.289316</v>
      </c>
      <c r="AB318" s="43">
        <f t="shared" si="126"/>
        <v>14648800618.400684</v>
      </c>
      <c r="AC318" s="43">
        <f t="shared" si="126"/>
        <v>14970810083.041971</v>
      </c>
      <c r="AD318" s="43">
        <f t="shared" si="126"/>
        <v>15315149118.377747</v>
      </c>
      <c r="AE318" s="43">
        <f t="shared" si="126"/>
        <v>15694548544.896156</v>
      </c>
      <c r="AF318" s="43">
        <f t="shared" si="126"/>
        <v>16108340610.043983</v>
      </c>
      <c r="AG318" s="43">
        <f t="shared" si="126"/>
        <v>16555138273.422199</v>
      </c>
      <c r="AH318" s="43">
        <f t="shared" si="126"/>
        <v>17824521762.771877</v>
      </c>
      <c r="AI318" s="43">
        <f t="shared" si="126"/>
        <v>19214620382.267822</v>
      </c>
      <c r="AJ318" s="43">
        <f t="shared" si="126"/>
        <v>20674483842.241264</v>
      </c>
      <c r="AK318" s="43">
        <f t="shared" si="126"/>
        <v>22197379545.127655</v>
      </c>
      <c r="AL318" s="43">
        <f t="shared" si="126"/>
        <v>23787546435.838585</v>
      </c>
      <c r="AM318" s="43">
        <f t="shared" si="126"/>
        <v>25469787534.029236</v>
      </c>
      <c r="AN318" s="43">
        <f t="shared" si="126"/>
        <v>27233220082.028858</v>
      </c>
      <c r="AO318" s="43">
        <f t="shared" si="126"/>
        <v>29077752045.529331</v>
      </c>
      <c r="AP318" s="43">
        <f t="shared" si="126"/>
        <v>31014977895.81852</v>
      </c>
      <c r="AQ318" s="43">
        <f t="shared" si="126"/>
        <v>32861014521.745567</v>
      </c>
      <c r="AR318" s="43"/>
    </row>
    <row r="319" spans="1:44">
      <c r="A319" s="40" t="s">
        <v>77</v>
      </c>
      <c r="B319" s="42">
        <f t="shared" si="125"/>
        <v>5581714780</v>
      </c>
      <c r="C319" s="42">
        <f t="shared" si="126"/>
        <v>12566408724</v>
      </c>
      <c r="D319" s="42">
        <f t="shared" si="126"/>
        <v>12449166940</v>
      </c>
      <c r="E319" s="42">
        <f t="shared" si="126"/>
        <v>12345060095</v>
      </c>
      <c r="F319" s="42">
        <f t="shared" si="126"/>
        <v>12855393105</v>
      </c>
      <c r="G319" s="42">
        <f t="shared" si="126"/>
        <v>13313795219</v>
      </c>
      <c r="H319" s="42">
        <f t="shared" si="126"/>
        <v>13673192473</v>
      </c>
      <c r="I319" s="42">
        <f t="shared" si="126"/>
        <v>13903780527</v>
      </c>
      <c r="J319" s="42">
        <f t="shared" si="126"/>
        <v>14063992044</v>
      </c>
      <c r="K319" s="42">
        <f t="shared" si="126"/>
        <v>13980866484</v>
      </c>
      <c r="L319" s="42">
        <f t="shared" si="126"/>
        <v>12310747357</v>
      </c>
      <c r="M319" s="42">
        <f t="shared" si="126"/>
        <v>13382049612</v>
      </c>
      <c r="N319" s="42">
        <f t="shared" si="126"/>
        <v>13876707168</v>
      </c>
      <c r="O319" s="42">
        <f t="shared" si="126"/>
        <v>14116919986</v>
      </c>
      <c r="P319" s="42">
        <f t="shared" si="126"/>
        <v>14432342027</v>
      </c>
      <c r="Q319" s="43">
        <f t="shared" si="126"/>
        <v>13887439057.695488</v>
      </c>
      <c r="R319" s="43">
        <f t="shared" si="126"/>
        <v>14064898805.234005</v>
      </c>
      <c r="S319" s="43">
        <f t="shared" si="126"/>
        <v>14116818945.007406</v>
      </c>
      <c r="T319" s="43">
        <f t="shared" si="126"/>
        <v>14286579553.348656</v>
      </c>
      <c r="U319" s="43">
        <f t="shared" si="126"/>
        <v>14446625068.564377</v>
      </c>
      <c r="V319" s="43">
        <f t="shared" si="126"/>
        <v>14623909054.33256</v>
      </c>
      <c r="W319" s="43">
        <f t="shared" si="126"/>
        <v>14832902490.481066</v>
      </c>
      <c r="X319" s="43">
        <f t="shared" si="126"/>
        <v>15033737689.564138</v>
      </c>
      <c r="Y319" s="43">
        <f t="shared" si="126"/>
        <v>15308296627.363153</v>
      </c>
      <c r="Z319" s="43">
        <f t="shared" si="126"/>
        <v>15578618861.112667</v>
      </c>
      <c r="AA319" s="43">
        <f t="shared" si="126"/>
        <v>15875407727.093349</v>
      </c>
      <c r="AB319" s="43">
        <f t="shared" si="126"/>
        <v>16223453873.219061</v>
      </c>
      <c r="AC319" s="43">
        <f t="shared" si="126"/>
        <v>16592776847.516161</v>
      </c>
      <c r="AD319" s="43">
        <f t="shared" si="126"/>
        <v>16988554531.135328</v>
      </c>
      <c r="AE319" s="43">
        <f t="shared" si="126"/>
        <v>17425411519.410027</v>
      </c>
      <c r="AF319" s="43">
        <f t="shared" si="126"/>
        <v>17901825461.77425</v>
      </c>
      <c r="AG319" s="43">
        <f t="shared" si="126"/>
        <v>18416145717.02071</v>
      </c>
      <c r="AH319" s="43">
        <f t="shared" si="126"/>
        <v>19891887232.581432</v>
      </c>
      <c r="AI319" s="43">
        <f t="shared" si="126"/>
        <v>21508730139.691231</v>
      </c>
      <c r="AJ319" s="43">
        <f t="shared" si="126"/>
        <v>23206183570.089275</v>
      </c>
      <c r="AK319" s="43">
        <f t="shared" si="126"/>
        <v>24975961271.402519</v>
      </c>
      <c r="AL319" s="43">
        <f t="shared" si="126"/>
        <v>26822621329.37793</v>
      </c>
      <c r="AM319" s="43">
        <f t="shared" si="126"/>
        <v>28775036226.905563</v>
      </c>
      <c r="AN319" s="43">
        <f t="shared" si="126"/>
        <v>30819447097.091805</v>
      </c>
      <c r="AO319" s="43">
        <f t="shared" si="126"/>
        <v>32956503618.002602</v>
      </c>
      <c r="AP319" s="43">
        <f t="shared" si="126"/>
        <v>35198979757.12368</v>
      </c>
      <c r="AQ319" s="43">
        <f t="shared" si="126"/>
        <v>37344173074.921288</v>
      </c>
      <c r="AR319" s="43"/>
    </row>
    <row r="320" spans="1:44">
      <c r="A320" s="40" t="s">
        <v>78</v>
      </c>
      <c r="B320" s="42">
        <f t="shared" si="125"/>
        <v>6781351388</v>
      </c>
      <c r="C320" s="42">
        <f t="shared" si="126"/>
        <v>13802805925</v>
      </c>
      <c r="D320" s="42">
        <f t="shared" si="126"/>
        <v>13590204834</v>
      </c>
      <c r="E320" s="42">
        <f t="shared" si="126"/>
        <v>13557221593</v>
      </c>
      <c r="F320" s="42">
        <f t="shared" si="126"/>
        <v>14145535990</v>
      </c>
      <c r="G320" s="42">
        <f t="shared" si="126"/>
        <v>14649144465</v>
      </c>
      <c r="H320" s="42">
        <f t="shared" si="126"/>
        <v>14978434370</v>
      </c>
      <c r="I320" s="42">
        <f t="shared" si="126"/>
        <v>15214237066</v>
      </c>
      <c r="J320" s="42">
        <f t="shared" si="126"/>
        <v>15381973558</v>
      </c>
      <c r="K320" s="42">
        <f t="shared" si="126"/>
        <v>15364011726</v>
      </c>
      <c r="L320" s="42">
        <f t="shared" si="126"/>
        <v>13571703077</v>
      </c>
      <c r="M320" s="42">
        <f t="shared" si="126"/>
        <v>14777604054</v>
      </c>
      <c r="N320" s="42">
        <f t="shared" si="126"/>
        <v>15201590957</v>
      </c>
      <c r="O320" s="42">
        <f t="shared" si="126"/>
        <v>15504637870</v>
      </c>
      <c r="P320" s="42">
        <f t="shared" si="126"/>
        <v>15817376377</v>
      </c>
      <c r="Q320" s="43">
        <f t="shared" si="126"/>
        <v>15271969238.086517</v>
      </c>
      <c r="R320" s="43">
        <f t="shared" si="126"/>
        <v>15472584728.187359</v>
      </c>
      <c r="S320" s="43">
        <f t="shared" si="126"/>
        <v>15512208781.764322</v>
      </c>
      <c r="T320" s="43">
        <f t="shared" si="126"/>
        <v>15709455898.511023</v>
      </c>
      <c r="U320" s="43">
        <f t="shared" si="126"/>
        <v>15889678696.4568</v>
      </c>
      <c r="V320" s="43">
        <f t="shared" si="126"/>
        <v>16104346060.78886</v>
      </c>
      <c r="W320" s="43">
        <f t="shared" si="126"/>
        <v>16333540334.970703</v>
      </c>
      <c r="X320" s="43">
        <f t="shared" si="126"/>
        <v>16557649718.321497</v>
      </c>
      <c r="Y320" s="43">
        <f t="shared" si="126"/>
        <v>16869813590.861364</v>
      </c>
      <c r="Z320" s="43">
        <f t="shared" si="126"/>
        <v>17172224354.279154</v>
      </c>
      <c r="AA320" s="43">
        <f t="shared" si="126"/>
        <v>17502826271.697525</v>
      </c>
      <c r="AB320" s="43">
        <f t="shared" si="126"/>
        <v>17885276259.448456</v>
      </c>
      <c r="AC320" s="43">
        <f t="shared" si="126"/>
        <v>18287026168.178127</v>
      </c>
      <c r="AD320" s="43">
        <f t="shared" si="126"/>
        <v>18711898984.238121</v>
      </c>
      <c r="AE320" s="43">
        <f t="shared" si="126"/>
        <v>19174365222.654015</v>
      </c>
      <c r="AF320" s="43">
        <f t="shared" si="126"/>
        <v>19671046729.124706</v>
      </c>
      <c r="AG320" s="43">
        <f t="shared" si="126"/>
        <v>20198011567.295834</v>
      </c>
      <c r="AH320" s="43">
        <f t="shared" si="126"/>
        <v>21763553199.332935</v>
      </c>
      <c r="AI320" s="43">
        <f t="shared" si="126"/>
        <v>23428412292.204037</v>
      </c>
      <c r="AJ320" s="43">
        <f t="shared" si="126"/>
        <v>25120500049.87957</v>
      </c>
      <c r="AK320" s="43">
        <f t="shared" si="126"/>
        <v>26831044610.604313</v>
      </c>
      <c r="AL320" s="43">
        <f t="shared" si="126"/>
        <v>28566843759.246059</v>
      </c>
      <c r="AM320" s="43">
        <f t="shared" si="126"/>
        <v>30359993763.029022</v>
      </c>
      <c r="AN320" s="43">
        <f t="shared" si="126"/>
        <v>32181916428.537502</v>
      </c>
      <c r="AO320" s="43">
        <f t="shared" si="126"/>
        <v>34028126691.344471</v>
      </c>
      <c r="AP320" s="43">
        <f t="shared" si="126"/>
        <v>35909479182.108345</v>
      </c>
      <c r="AQ320" s="43">
        <f t="shared" si="126"/>
        <v>37594865824.249504</v>
      </c>
      <c r="AR320" s="43"/>
    </row>
    <row r="321" spans="1:44" ht="12" thickBot="1">
      <c r="A321" s="48"/>
      <c r="B321" s="49"/>
      <c r="C321" s="49"/>
      <c r="D321" s="49"/>
      <c r="E321" s="49"/>
      <c r="F321" s="49"/>
      <c r="G321" s="49"/>
      <c r="H321" s="49"/>
      <c r="I321" s="49"/>
      <c r="J321" s="49"/>
      <c r="K321" s="49"/>
      <c r="L321" s="49"/>
      <c r="M321" s="49"/>
      <c r="N321" s="49"/>
      <c r="O321" s="49"/>
      <c r="P321" s="49"/>
      <c r="Q321" s="50"/>
      <c r="R321" s="50"/>
      <c r="S321" s="50"/>
      <c r="T321" s="50"/>
      <c r="U321" s="50"/>
      <c r="V321" s="50"/>
      <c r="W321" s="50"/>
      <c r="X321" s="50"/>
      <c r="Y321" s="50"/>
      <c r="Z321" s="50"/>
      <c r="AA321" s="50"/>
      <c r="AB321" s="50"/>
      <c r="AC321" s="50"/>
      <c r="AD321" s="50"/>
      <c r="AE321" s="50"/>
      <c r="AF321" s="50"/>
      <c r="AG321" s="50"/>
      <c r="AH321" s="50"/>
      <c r="AI321" s="50"/>
      <c r="AJ321" s="50"/>
      <c r="AK321" s="50"/>
      <c r="AL321" s="50"/>
      <c r="AM321" s="50"/>
      <c r="AN321" s="50"/>
      <c r="AO321" s="50"/>
      <c r="AP321" s="50"/>
      <c r="AQ321" s="50"/>
    </row>
    <row r="322" spans="1:44">
      <c r="A322" s="51"/>
      <c r="B322" s="51"/>
      <c r="C322" s="51"/>
      <c r="D322" s="51"/>
      <c r="E322" s="51"/>
      <c r="F322" s="51"/>
      <c r="G322" s="51"/>
      <c r="H322" s="51"/>
      <c r="I322" s="51"/>
      <c r="J322" s="51"/>
      <c r="K322" s="51"/>
      <c r="L322" s="51"/>
      <c r="M322" s="52"/>
      <c r="N322" s="53"/>
      <c r="O322" s="54"/>
      <c r="P322" s="54"/>
      <c r="Q322" s="53"/>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row>
    <row r="323" spans="1:44" ht="12" thickBot="1">
      <c r="A323" s="39" t="s">
        <v>159</v>
      </c>
    </row>
    <row r="324" spans="1:44" ht="12" thickBot="1">
      <c r="A324" s="41"/>
      <c r="B324" s="41">
        <f>B2</f>
        <v>2010</v>
      </c>
      <c r="C324" s="41">
        <f>C2</f>
        <v>2011</v>
      </c>
      <c r="D324" s="41">
        <f>D2</f>
        <v>2012</v>
      </c>
      <c r="E324" s="41">
        <f>E2</f>
        <v>2013</v>
      </c>
      <c r="F324" s="41">
        <f>F2</f>
        <v>2014</v>
      </c>
      <c r="G324" s="41">
        <f t="shared" ref="G324:AQ324" si="127">G2</f>
        <v>2015</v>
      </c>
      <c r="H324" s="41">
        <f t="shared" si="127"/>
        <v>2016</v>
      </c>
      <c r="I324" s="41">
        <f t="shared" si="127"/>
        <v>2017</v>
      </c>
      <c r="J324" s="41">
        <f t="shared" si="127"/>
        <v>2018</v>
      </c>
      <c r="K324" s="41">
        <f t="shared" si="127"/>
        <v>2019</v>
      </c>
      <c r="L324" s="41">
        <f t="shared" si="127"/>
        <v>2020</v>
      </c>
      <c r="M324" s="41">
        <f t="shared" si="127"/>
        <v>2021</v>
      </c>
      <c r="N324" s="41">
        <f t="shared" si="127"/>
        <v>2022</v>
      </c>
      <c r="O324" s="41">
        <f t="shared" si="127"/>
        <v>2023</v>
      </c>
      <c r="P324" s="41">
        <f t="shared" si="127"/>
        <v>2024</v>
      </c>
      <c r="Q324" s="41">
        <f t="shared" si="127"/>
        <v>2025</v>
      </c>
      <c r="R324" s="41">
        <f t="shared" si="127"/>
        <v>2026</v>
      </c>
      <c r="S324" s="41">
        <f t="shared" si="127"/>
        <v>2027</v>
      </c>
      <c r="T324" s="41">
        <f t="shared" si="127"/>
        <v>2028</v>
      </c>
      <c r="U324" s="41">
        <f t="shared" si="127"/>
        <v>2029</v>
      </c>
      <c r="V324" s="41">
        <f t="shared" si="127"/>
        <v>2030</v>
      </c>
      <c r="W324" s="41">
        <f t="shared" si="127"/>
        <v>2031</v>
      </c>
      <c r="X324" s="41">
        <f t="shared" si="127"/>
        <v>2032</v>
      </c>
      <c r="Y324" s="41">
        <f t="shared" si="127"/>
        <v>2033</v>
      </c>
      <c r="Z324" s="41">
        <f t="shared" si="127"/>
        <v>2034</v>
      </c>
      <c r="AA324" s="41">
        <f t="shared" si="127"/>
        <v>2035</v>
      </c>
      <c r="AB324" s="41">
        <f t="shared" si="127"/>
        <v>2036</v>
      </c>
      <c r="AC324" s="41">
        <f t="shared" si="127"/>
        <v>2037</v>
      </c>
      <c r="AD324" s="41">
        <f t="shared" si="127"/>
        <v>2038</v>
      </c>
      <c r="AE324" s="41">
        <f t="shared" si="127"/>
        <v>2039</v>
      </c>
      <c r="AF324" s="41">
        <f t="shared" si="127"/>
        <v>2040</v>
      </c>
      <c r="AG324" s="41">
        <f t="shared" si="127"/>
        <v>2041</v>
      </c>
      <c r="AH324" s="41">
        <f t="shared" si="127"/>
        <v>2042</v>
      </c>
      <c r="AI324" s="41">
        <f t="shared" si="127"/>
        <v>2043</v>
      </c>
      <c r="AJ324" s="41">
        <f t="shared" si="127"/>
        <v>2044</v>
      </c>
      <c r="AK324" s="41">
        <f t="shared" si="127"/>
        <v>2045</v>
      </c>
      <c r="AL324" s="41">
        <f t="shared" si="127"/>
        <v>2046</v>
      </c>
      <c r="AM324" s="41">
        <f t="shared" si="127"/>
        <v>2047</v>
      </c>
      <c r="AN324" s="41">
        <f t="shared" si="127"/>
        <v>2048</v>
      </c>
      <c r="AO324" s="41">
        <f t="shared" si="127"/>
        <v>2049</v>
      </c>
      <c r="AP324" s="41">
        <f t="shared" si="127"/>
        <v>2050</v>
      </c>
      <c r="AQ324" s="41">
        <f t="shared" si="127"/>
        <v>2051</v>
      </c>
    </row>
    <row r="325" spans="1:44">
      <c r="A325" s="40" t="s">
        <v>68</v>
      </c>
      <c r="C325" s="72"/>
      <c r="D325" s="72">
        <f t="shared" ref="D325:AQ331" si="128">D309/C309-1</f>
        <v>1.9368157188800028E-2</v>
      </c>
      <c r="E325" s="72">
        <f t="shared" si="128"/>
        <v>-8.8418043081512687E-2</v>
      </c>
      <c r="F325" s="72">
        <f t="shared" si="128"/>
        <v>6.9773993672575862E-2</v>
      </c>
      <c r="G325" s="72">
        <f t="shared" si="128"/>
        <v>3.8294419712213923E-2</v>
      </c>
      <c r="H325" s="72">
        <f t="shared" si="128"/>
        <v>1.7526530785214378E-2</v>
      </c>
      <c r="I325" s="72">
        <f t="shared" si="128"/>
        <v>1.7550127778644287E-2</v>
      </c>
      <c r="J325" s="72">
        <f t="shared" si="128"/>
        <v>1.4306858920795751E-2</v>
      </c>
      <c r="K325" s="72">
        <f t="shared" si="128"/>
        <v>-5.2400156562694589E-2</v>
      </c>
      <c r="L325" s="72">
        <f t="shared" si="128"/>
        <v>4.6729913995853467E-2</v>
      </c>
      <c r="M325" s="72">
        <f t="shared" si="128"/>
        <v>-0.13458474389181196</v>
      </c>
      <c r="N325" s="72">
        <f t="shared" si="128"/>
        <v>0.11962023387607323</v>
      </c>
      <c r="O325" s="72">
        <f t="shared" si="128"/>
        <v>-3.7996519464389422E-3</v>
      </c>
      <c r="P325" s="72">
        <f t="shared" si="128"/>
        <v>6.9118606276292738E-3</v>
      </c>
      <c r="Q325" s="72">
        <f t="shared" si="128"/>
        <v>3.4306179000067827E-2</v>
      </c>
      <c r="R325" s="73">
        <f t="shared" si="128"/>
        <v>-3.8291341847268123E-2</v>
      </c>
      <c r="S325" s="73">
        <f t="shared" si="128"/>
        <v>1.5654582491478664E-2</v>
      </c>
      <c r="T325" s="73">
        <f t="shared" si="128"/>
        <v>8.1187100901316533E-3</v>
      </c>
      <c r="U325" s="73">
        <f t="shared" si="128"/>
        <v>9.3780390160265181E-3</v>
      </c>
      <c r="V325" s="73">
        <f t="shared" si="128"/>
        <v>1.0642890853332254E-2</v>
      </c>
      <c r="W325" s="73">
        <f t="shared" si="128"/>
        <v>5.3134548808912996E-3</v>
      </c>
      <c r="X325" s="73">
        <f t="shared" si="128"/>
        <v>9.9731855242715106E-3</v>
      </c>
      <c r="Y325" s="73">
        <f t="shared" si="128"/>
        <v>9.4543529218529265E-3</v>
      </c>
      <c r="Z325" s="73">
        <f t="shared" si="128"/>
        <v>9.7555425072715085E-3</v>
      </c>
      <c r="AA325" s="73">
        <f t="shared" si="128"/>
        <v>9.3312756175170097E-3</v>
      </c>
      <c r="AB325" s="73">
        <f t="shared" si="128"/>
        <v>9.232907767669607E-3</v>
      </c>
      <c r="AC325" s="73">
        <f t="shared" si="128"/>
        <v>9.9650184686372878E-3</v>
      </c>
      <c r="AD325" s="73">
        <f t="shared" si="128"/>
        <v>9.8826460560710316E-3</v>
      </c>
      <c r="AE325" s="73">
        <f t="shared" si="128"/>
        <v>1.0104958273810416E-2</v>
      </c>
      <c r="AF325" s="73">
        <f t="shared" si="128"/>
        <v>1.0288482144512612E-2</v>
      </c>
      <c r="AG325" s="73">
        <f t="shared" si="128"/>
        <v>1.0656426863027368E-2</v>
      </c>
      <c r="AH325" s="73">
        <f t="shared" si="128"/>
        <v>1.595961391008438E-2</v>
      </c>
      <c r="AI325" s="73">
        <f t="shared" si="128"/>
        <v>1.6012175738517653E-2</v>
      </c>
      <c r="AJ325" s="73">
        <f t="shared" si="128"/>
        <v>1.5910406032769053E-2</v>
      </c>
      <c r="AK325" s="73">
        <f t="shared" si="128"/>
        <v>1.5881542798577231E-2</v>
      </c>
      <c r="AL325" s="73">
        <f t="shared" si="128"/>
        <v>1.5944614550692071E-2</v>
      </c>
      <c r="AM325" s="73">
        <f t="shared" si="128"/>
        <v>1.6155306243481382E-2</v>
      </c>
      <c r="AN325" s="73">
        <f t="shared" si="128"/>
        <v>1.6774430620495329E-2</v>
      </c>
      <c r="AO325" s="73">
        <f t="shared" si="128"/>
        <v>1.6349118201982149E-2</v>
      </c>
      <c r="AP325" s="73">
        <f t="shared" si="128"/>
        <v>1.6345887328668596E-2</v>
      </c>
      <c r="AQ325" s="73">
        <f t="shared" si="128"/>
        <v>4.9455386315890859E-3</v>
      </c>
      <c r="AR325" s="75"/>
    </row>
    <row r="326" spans="1:44">
      <c r="A326" s="40" t="s">
        <v>69</v>
      </c>
      <c r="C326" s="72"/>
      <c r="D326" s="72">
        <f t="shared" si="128"/>
        <v>2.1920060782451678E-2</v>
      </c>
      <c r="E326" s="72">
        <f t="shared" si="128"/>
        <v>-9.5383855470493217E-2</v>
      </c>
      <c r="F326" s="72">
        <f t="shared" si="128"/>
        <v>6.2123784432714269E-2</v>
      </c>
      <c r="G326" s="72">
        <f t="shared" si="128"/>
        <v>5.0243752096861938E-2</v>
      </c>
      <c r="H326" s="72">
        <f t="shared" si="128"/>
        <v>4.9597119997606631E-2</v>
      </c>
      <c r="I326" s="72">
        <f t="shared" si="128"/>
        <v>-3.7893945879859947E-3</v>
      </c>
      <c r="J326" s="72">
        <f t="shared" si="128"/>
        <v>-4.0966235065412748E-3</v>
      </c>
      <c r="K326" s="72">
        <f t="shared" si="128"/>
        <v>-8.5915432344529918E-3</v>
      </c>
      <c r="L326" s="72">
        <f t="shared" si="128"/>
        <v>3.4906154414431345E-2</v>
      </c>
      <c r="M326" s="72">
        <f t="shared" si="128"/>
        <v>-0.17543266829063953</v>
      </c>
      <c r="N326" s="72">
        <f t="shared" si="128"/>
        <v>0.16119013580863117</v>
      </c>
      <c r="O326" s="72">
        <f t="shared" si="128"/>
        <v>2.0937131807251097E-2</v>
      </c>
      <c r="P326" s="72">
        <f t="shared" si="128"/>
        <v>4.4102520117863309E-2</v>
      </c>
      <c r="Q326" s="72">
        <f t="shared" si="128"/>
        <v>-4.3336148095509675E-2</v>
      </c>
      <c r="R326" s="73">
        <f t="shared" si="128"/>
        <v>-2.0194861742761194E-2</v>
      </c>
      <c r="S326" s="73">
        <f t="shared" si="128"/>
        <v>2.2119660738785463E-2</v>
      </c>
      <c r="T326" s="73">
        <f t="shared" si="128"/>
        <v>1.1847372052359084E-2</v>
      </c>
      <c r="U326" s="73">
        <f t="shared" si="128"/>
        <v>8.6125582500449216E-3</v>
      </c>
      <c r="V326" s="73">
        <f t="shared" si="128"/>
        <v>2.4191567541564929E-3</v>
      </c>
      <c r="W326" s="73">
        <f t="shared" si="128"/>
        <v>9.0071285423087843E-3</v>
      </c>
      <c r="X326" s="73">
        <f t="shared" si="128"/>
        <v>1.1207218698891852E-2</v>
      </c>
      <c r="Y326" s="73">
        <f t="shared" si="128"/>
        <v>9.8881084240693973E-3</v>
      </c>
      <c r="Z326" s="73">
        <f t="shared" si="128"/>
        <v>9.0800315861629954E-3</v>
      </c>
      <c r="AA326" s="73">
        <f t="shared" si="128"/>
        <v>8.7660243635421242E-3</v>
      </c>
      <c r="AB326" s="73">
        <f t="shared" si="128"/>
        <v>1.0270206001476101E-2</v>
      </c>
      <c r="AC326" s="73">
        <f t="shared" si="128"/>
        <v>1.0310395564225194E-2</v>
      </c>
      <c r="AD326" s="73">
        <f t="shared" si="128"/>
        <v>9.9342523498042734E-3</v>
      </c>
      <c r="AE326" s="73">
        <f t="shared" si="128"/>
        <v>1.0106883075075013E-2</v>
      </c>
      <c r="AF326" s="73">
        <f t="shared" si="128"/>
        <v>1.0396426362197175E-2</v>
      </c>
      <c r="AG326" s="73">
        <f t="shared" si="128"/>
        <v>1.0845203713907514E-2</v>
      </c>
      <c r="AH326" s="73">
        <f t="shared" si="128"/>
        <v>1.8794326460294775E-2</v>
      </c>
      <c r="AI326" s="73">
        <f t="shared" si="128"/>
        <v>1.8206085536893735E-2</v>
      </c>
      <c r="AJ326" s="73">
        <f t="shared" si="128"/>
        <v>1.746601960676597E-2</v>
      </c>
      <c r="AK326" s="73">
        <f t="shared" si="128"/>
        <v>1.6973171772618922E-2</v>
      </c>
      <c r="AL326" s="73">
        <f t="shared" si="128"/>
        <v>1.6721655376066291E-2</v>
      </c>
      <c r="AM326" s="73">
        <f t="shared" si="128"/>
        <v>1.6754997119662773E-2</v>
      </c>
      <c r="AN326" s="73">
        <f t="shared" si="128"/>
        <v>1.7041368641399712E-2</v>
      </c>
      <c r="AO326" s="73">
        <f t="shared" si="128"/>
        <v>1.6423227356068049E-2</v>
      </c>
      <c r="AP326" s="73">
        <f t="shared" si="128"/>
        <v>1.6278407300557074E-2</v>
      </c>
      <c r="AQ326" s="73">
        <f t="shared" si="128"/>
        <v>5.0628967241437284E-3</v>
      </c>
      <c r="AR326" s="75"/>
    </row>
    <row r="327" spans="1:44">
      <c r="A327" s="40" t="s">
        <v>70</v>
      </c>
      <c r="C327" s="72"/>
      <c r="D327" s="72">
        <f t="shared" si="128"/>
        <v>-6.2065373271728008E-3</v>
      </c>
      <c r="E327" s="72">
        <f t="shared" si="128"/>
        <v>-8.512693004260663E-2</v>
      </c>
      <c r="F327" s="72">
        <f t="shared" si="128"/>
        <v>6.2927319936314952E-2</v>
      </c>
      <c r="G327" s="72">
        <f t="shared" si="128"/>
        <v>5.0612822344743069E-2</v>
      </c>
      <c r="H327" s="72">
        <f t="shared" si="128"/>
        <v>4.0872701104541997E-2</v>
      </c>
      <c r="I327" s="72">
        <f t="shared" si="128"/>
        <v>8.9593301081081211E-3</v>
      </c>
      <c r="J327" s="72">
        <f t="shared" si="128"/>
        <v>-1.2969940337610675E-2</v>
      </c>
      <c r="K327" s="72">
        <f t="shared" si="128"/>
        <v>-1.0780506391654399E-2</v>
      </c>
      <c r="L327" s="72">
        <f t="shared" si="128"/>
        <v>8.5675822090900411E-3</v>
      </c>
      <c r="M327" s="72">
        <f t="shared" si="128"/>
        <v>-0.10689622988194614</v>
      </c>
      <c r="N327" s="72">
        <f t="shared" si="128"/>
        <v>0.12905019919127869</v>
      </c>
      <c r="O327" s="72">
        <f t="shared" si="128"/>
        <v>1.6691104273898194E-3</v>
      </c>
      <c r="P327" s="72">
        <f t="shared" si="128"/>
        <v>2.5976930799944675E-2</v>
      </c>
      <c r="Q327" s="72">
        <f t="shared" si="128"/>
        <v>-2.7858628695418219E-2</v>
      </c>
      <c r="R327" s="73">
        <f t="shared" si="128"/>
        <v>-1.3170505956132339E-2</v>
      </c>
      <c r="S327" s="73">
        <f t="shared" si="128"/>
        <v>1.4681455441030167E-2</v>
      </c>
      <c r="T327" s="73">
        <f t="shared" si="128"/>
        <v>7.9721534089529644E-3</v>
      </c>
      <c r="U327" s="73">
        <f t="shared" si="128"/>
        <v>8.4089538658342899E-3</v>
      </c>
      <c r="V327" s="73">
        <f t="shared" si="128"/>
        <v>6.0298940777772092E-3</v>
      </c>
      <c r="W327" s="73">
        <f t="shared" si="128"/>
        <v>8.8373629739848525E-3</v>
      </c>
      <c r="X327" s="73">
        <f t="shared" si="128"/>
        <v>9.7189052357495864E-3</v>
      </c>
      <c r="Y327" s="73">
        <f t="shared" si="128"/>
        <v>9.5713053560957384E-3</v>
      </c>
      <c r="Z327" s="73">
        <f t="shared" si="128"/>
        <v>9.1927670917069104E-3</v>
      </c>
      <c r="AA327" s="73">
        <f t="shared" si="128"/>
        <v>9.0990138808288989E-3</v>
      </c>
      <c r="AB327" s="73">
        <f t="shared" si="128"/>
        <v>9.9608658637608816E-3</v>
      </c>
      <c r="AC327" s="73">
        <f t="shared" si="128"/>
        <v>9.934589388979731E-3</v>
      </c>
      <c r="AD327" s="73">
        <f t="shared" si="128"/>
        <v>9.7148944079712418E-3</v>
      </c>
      <c r="AE327" s="73">
        <f t="shared" si="128"/>
        <v>9.8893767517123088E-3</v>
      </c>
      <c r="AF327" s="73">
        <f t="shared" si="128"/>
        <v>1.0124648738220499E-2</v>
      </c>
      <c r="AG327" s="73">
        <f t="shared" si="128"/>
        <v>1.0437691271573568E-2</v>
      </c>
      <c r="AH327" s="73">
        <f t="shared" si="128"/>
        <v>1.8680719979167204E-2</v>
      </c>
      <c r="AI327" s="73">
        <f t="shared" si="128"/>
        <v>1.7733216849017408E-2</v>
      </c>
      <c r="AJ327" s="73">
        <f t="shared" si="128"/>
        <v>1.6688527908862438E-2</v>
      </c>
      <c r="AK327" s="73">
        <f t="shared" si="128"/>
        <v>1.5958492066938224E-2</v>
      </c>
      <c r="AL327" s="73">
        <f t="shared" si="128"/>
        <v>1.5572353682860918E-2</v>
      </c>
      <c r="AM327" s="73">
        <f t="shared" si="128"/>
        <v>1.5531534530098146E-2</v>
      </c>
      <c r="AN327" s="73">
        <f t="shared" si="128"/>
        <v>1.569046573470767E-2</v>
      </c>
      <c r="AO327" s="73">
        <f t="shared" si="128"/>
        <v>1.4976150969069568E-2</v>
      </c>
      <c r="AP327" s="73">
        <f t="shared" si="128"/>
        <v>1.477018152476739E-2</v>
      </c>
      <c r="AQ327" s="73">
        <f t="shared" si="128"/>
        <v>3.4163150955317523E-3</v>
      </c>
      <c r="AR327" s="75"/>
    </row>
    <row r="328" spans="1:44">
      <c r="A328" s="40" t="s">
        <v>71</v>
      </c>
      <c r="C328" s="72"/>
      <c r="D328" s="72">
        <f t="shared" si="128"/>
        <v>4.3330951229285652E-3</v>
      </c>
      <c r="E328" s="72">
        <f t="shared" si="128"/>
        <v>-6.4228871660838682E-2</v>
      </c>
      <c r="F328" s="72">
        <f t="shared" si="128"/>
        <v>6.5723148611174453E-2</v>
      </c>
      <c r="G328" s="72">
        <f t="shared" si="128"/>
        <v>3.3375179326125215E-2</v>
      </c>
      <c r="H328" s="72">
        <f t="shared" si="128"/>
        <v>3.0341531308311742E-2</v>
      </c>
      <c r="I328" s="72">
        <f t="shared" si="128"/>
        <v>8.0461898322043979E-3</v>
      </c>
      <c r="J328" s="72">
        <f t="shared" si="128"/>
        <v>3.215973414773865E-3</v>
      </c>
      <c r="K328" s="72">
        <f t="shared" si="128"/>
        <v>6.064923922954879E-4</v>
      </c>
      <c r="L328" s="72">
        <f t="shared" si="128"/>
        <v>-0.12000759851710363</v>
      </c>
      <c r="M328" s="72">
        <f t="shared" si="128"/>
        <v>2.5708022582735524E-2</v>
      </c>
      <c r="N328" s="72">
        <f t="shared" si="128"/>
        <v>9.7659081591497054E-2</v>
      </c>
      <c r="O328" s="72">
        <f t="shared" si="128"/>
        <v>6.3919218546635292E-3</v>
      </c>
      <c r="P328" s="72">
        <f t="shared" si="128"/>
        <v>3.1374929132041318E-2</v>
      </c>
      <c r="Q328" s="73">
        <f t="shared" si="128"/>
        <v>-4.9987171649885531E-2</v>
      </c>
      <c r="R328" s="73">
        <f t="shared" si="128"/>
        <v>3.8607238763472829E-3</v>
      </c>
      <c r="S328" s="73">
        <f t="shared" si="128"/>
        <v>1.0160422287103454E-2</v>
      </c>
      <c r="T328" s="73">
        <f t="shared" si="128"/>
        <v>8.0869759780641814E-3</v>
      </c>
      <c r="U328" s="73">
        <f t="shared" si="128"/>
        <v>7.9608208349515319E-3</v>
      </c>
      <c r="V328" s="73">
        <f t="shared" si="128"/>
        <v>4.5285421082110755E-3</v>
      </c>
      <c r="W328" s="73">
        <f t="shared" si="128"/>
        <v>1.0936478575106268E-2</v>
      </c>
      <c r="X328" s="73">
        <f t="shared" si="128"/>
        <v>8.9699110090777356E-3</v>
      </c>
      <c r="Y328" s="73">
        <f t="shared" si="128"/>
        <v>9.6148880336766052E-3</v>
      </c>
      <c r="Z328" s="73">
        <f t="shared" si="128"/>
        <v>9.0530407318056838E-3</v>
      </c>
      <c r="AA328" s="73">
        <f t="shared" si="128"/>
        <v>9.0761368163088108E-3</v>
      </c>
      <c r="AB328" s="73">
        <f t="shared" si="128"/>
        <v>1.0247327534385287E-2</v>
      </c>
      <c r="AC328" s="73">
        <f t="shared" si="128"/>
        <v>9.827373502048653E-3</v>
      </c>
      <c r="AD328" s="73">
        <f t="shared" si="128"/>
        <v>9.6880414097391121E-3</v>
      </c>
      <c r="AE328" s="73">
        <f t="shared" si="128"/>
        <v>9.849794291268088E-3</v>
      </c>
      <c r="AF328" s="73">
        <f t="shared" si="128"/>
        <v>1.0104071860180364E-2</v>
      </c>
      <c r="AG328" s="73">
        <f t="shared" si="128"/>
        <v>1.0404999281562466E-2</v>
      </c>
      <c r="AH328" s="73">
        <f t="shared" si="128"/>
        <v>1.9321317193553567E-2</v>
      </c>
      <c r="AI328" s="73">
        <f t="shared" si="128"/>
        <v>1.8151806355469091E-2</v>
      </c>
      <c r="AJ328" s="73">
        <f t="shared" si="128"/>
        <v>1.6885596918610357E-2</v>
      </c>
      <c r="AK328" s="73">
        <f t="shared" si="128"/>
        <v>1.5991958130341155E-2</v>
      </c>
      <c r="AL328" s="73">
        <f t="shared" si="128"/>
        <v>1.550272294858579E-2</v>
      </c>
      <c r="AM328" s="73">
        <f t="shared" si="128"/>
        <v>1.540499371438786E-2</v>
      </c>
      <c r="AN328" s="73">
        <f t="shared" si="128"/>
        <v>1.5470165347241549E-2</v>
      </c>
      <c r="AO328" s="73">
        <f t="shared" si="128"/>
        <v>1.4681297571567553E-2</v>
      </c>
      <c r="AP328" s="73">
        <f t="shared" si="128"/>
        <v>1.4427630640298617E-2</v>
      </c>
      <c r="AQ328" s="73">
        <f t="shared" si="128"/>
        <v>2.902090239949473E-3</v>
      </c>
      <c r="AR328" s="75"/>
    </row>
    <row r="329" spans="1:44">
      <c r="A329" s="40" t="s">
        <v>47</v>
      </c>
      <c r="C329" s="72"/>
      <c r="D329" s="72">
        <f t="shared" si="128"/>
        <v>4.6798905944644975E-3</v>
      </c>
      <c r="E329" s="72">
        <f t="shared" si="128"/>
        <v>-4.7210153488798534E-2</v>
      </c>
      <c r="F329" s="72">
        <f t="shared" si="128"/>
        <v>6.091056927383387E-2</v>
      </c>
      <c r="G329" s="72">
        <f t="shared" si="128"/>
        <v>2.4341910618424167E-2</v>
      </c>
      <c r="H329" s="72">
        <f t="shared" si="128"/>
        <v>3.1727879838895134E-2</v>
      </c>
      <c r="I329" s="72">
        <f t="shared" si="128"/>
        <v>1.1657056931880794E-2</v>
      </c>
      <c r="J329" s="72">
        <f t="shared" si="128"/>
        <v>5.9752786182460937E-3</v>
      </c>
      <c r="K329" s="72">
        <f t="shared" si="128"/>
        <v>7.42276970635114E-4</v>
      </c>
      <c r="L329" s="72">
        <f t="shared" si="128"/>
        <v>-0.16485721078018434</v>
      </c>
      <c r="M329" s="72">
        <f t="shared" si="128"/>
        <v>0.10280271550820386</v>
      </c>
      <c r="N329" s="72">
        <f t="shared" si="128"/>
        <v>7.4824635474100676E-2</v>
      </c>
      <c r="O329" s="72">
        <f t="shared" si="128"/>
        <v>9.258779326029698E-3</v>
      </c>
      <c r="P329" s="72">
        <f t="shared" si="128"/>
        <v>2.859612871311179E-2</v>
      </c>
      <c r="Q329" s="73">
        <f t="shared" si="128"/>
        <v>-5.3734107227834116E-2</v>
      </c>
      <c r="R329" s="73">
        <f t="shared" si="128"/>
        <v>1.2787370760380945E-2</v>
      </c>
      <c r="S329" s="73">
        <f t="shared" si="128"/>
        <v>6.9201262498861382E-3</v>
      </c>
      <c r="T329" s="73">
        <f t="shared" si="128"/>
        <v>8.7453055338335695E-3</v>
      </c>
      <c r="U329" s="73">
        <f t="shared" si="128"/>
        <v>8.0739518691297363E-3</v>
      </c>
      <c r="V329" s="73">
        <f t="shared" si="128"/>
        <v>5.6624357993528829E-3</v>
      </c>
      <c r="W329" s="73">
        <f t="shared" si="128"/>
        <v>1.2320241362959061E-2</v>
      </c>
      <c r="X329" s="73">
        <f t="shared" si="128"/>
        <v>9.3070244082542608E-3</v>
      </c>
      <c r="Y329" s="73">
        <f t="shared" si="128"/>
        <v>1.0979684061367623E-2</v>
      </c>
      <c r="Z329" s="73">
        <f t="shared" si="128"/>
        <v>1.0329006246392103E-2</v>
      </c>
      <c r="AA329" s="73">
        <f t="shared" si="128"/>
        <v>1.0617673761550872E-2</v>
      </c>
      <c r="AB329" s="73">
        <f t="shared" si="128"/>
        <v>1.2049897999184767E-2</v>
      </c>
      <c r="AC329" s="73">
        <f t="shared" si="128"/>
        <v>1.1613524087391802E-2</v>
      </c>
      <c r="AD329" s="73">
        <f t="shared" si="128"/>
        <v>1.1647726341252218E-2</v>
      </c>
      <c r="AE329" s="73">
        <f t="shared" si="128"/>
        <v>1.1994931917842511E-2</v>
      </c>
      <c r="AF329" s="73">
        <f t="shared" si="128"/>
        <v>1.2380058724084764E-2</v>
      </c>
      <c r="AG329" s="73">
        <f t="shared" si="128"/>
        <v>1.2742959502714646E-2</v>
      </c>
      <c r="AH329" s="73">
        <f t="shared" si="128"/>
        <v>2.8287220272048108E-2</v>
      </c>
      <c r="AI329" s="73">
        <f t="shared" si="128"/>
        <v>2.7285559424410799E-2</v>
      </c>
      <c r="AJ329" s="73">
        <f t="shared" si="128"/>
        <v>2.5662198704142547E-2</v>
      </c>
      <c r="AK329" s="73">
        <f t="shared" si="128"/>
        <v>2.4359532784078652E-2</v>
      </c>
      <c r="AL329" s="73">
        <f t="shared" si="128"/>
        <v>2.3509723755710921E-2</v>
      </c>
      <c r="AM329" s="73">
        <f t="shared" si="128"/>
        <v>2.324483068319827E-2</v>
      </c>
      <c r="AN329" s="73">
        <f t="shared" si="128"/>
        <v>2.287970864802169E-2</v>
      </c>
      <c r="AO329" s="73">
        <f t="shared" si="128"/>
        <v>2.1810097168771136E-2</v>
      </c>
      <c r="AP329" s="73">
        <f t="shared" si="128"/>
        <v>2.1275773767734707E-2</v>
      </c>
      <c r="AQ329" s="73">
        <f t="shared" si="128"/>
        <v>1.0338565972081826E-2</v>
      </c>
      <c r="AR329" s="75"/>
    </row>
    <row r="330" spans="1:44">
      <c r="A330" s="40" t="s">
        <v>72</v>
      </c>
      <c r="C330" s="72"/>
      <c r="D330" s="72">
        <f t="shared" si="128"/>
        <v>-2.6308019682093065E-3</v>
      </c>
      <c r="E330" s="72">
        <f t="shared" si="128"/>
        <v>-3.7404070454566507E-2</v>
      </c>
      <c r="F330" s="72">
        <f t="shared" si="128"/>
        <v>6.0198303591718183E-2</v>
      </c>
      <c r="G330" s="72">
        <f t="shared" si="128"/>
        <v>2.728589608534282E-2</v>
      </c>
      <c r="H330" s="72">
        <f t="shared" si="128"/>
        <v>3.2346587889227729E-2</v>
      </c>
      <c r="I330" s="72">
        <f t="shared" si="128"/>
        <v>6.8918690759571799E-3</v>
      </c>
      <c r="J330" s="72">
        <f t="shared" si="128"/>
        <v>4.7249111346232553E-3</v>
      </c>
      <c r="K330" s="72">
        <f t="shared" si="128"/>
        <v>3.6006494783265008E-3</v>
      </c>
      <c r="L330" s="72">
        <f t="shared" si="128"/>
        <v>-0.16133661317984105</v>
      </c>
      <c r="M330" s="72">
        <f t="shared" si="128"/>
        <v>0.11798284340495391</v>
      </c>
      <c r="N330" s="72">
        <f t="shared" si="128"/>
        <v>6.4085684151524491E-2</v>
      </c>
      <c r="O330" s="72">
        <f t="shared" si="128"/>
        <v>8.1580149195548124E-3</v>
      </c>
      <c r="P330" s="72">
        <f t="shared" si="128"/>
        <v>1.5954088860546722E-2</v>
      </c>
      <c r="Q330" s="73">
        <f t="shared" si="128"/>
        <v>-4.2705203203397768E-2</v>
      </c>
      <c r="R330" s="73">
        <f t="shared" si="128"/>
        <v>1.4283124732808794E-2</v>
      </c>
      <c r="S330" s="73">
        <f t="shared" si="128"/>
        <v>5.1831843671836797E-3</v>
      </c>
      <c r="T330" s="73">
        <f t="shared" si="128"/>
        <v>8.3460974585121139E-3</v>
      </c>
      <c r="U330" s="73">
        <f t="shared" si="128"/>
        <v>8.2238118364774682E-3</v>
      </c>
      <c r="V330" s="73">
        <f t="shared" si="128"/>
        <v>8.8380763067323898E-3</v>
      </c>
      <c r="W330" s="73">
        <f t="shared" si="128"/>
        <v>1.2881755047305488E-2</v>
      </c>
      <c r="X330" s="73">
        <f t="shared" si="128"/>
        <v>1.0112566910294385E-2</v>
      </c>
      <c r="Y330" s="73">
        <f t="shared" si="128"/>
        <v>1.2663112482183658E-2</v>
      </c>
      <c r="Z330" s="73">
        <f t="shared" si="128"/>
        <v>1.2167178901019593E-2</v>
      </c>
      <c r="AA330" s="73">
        <f t="shared" si="128"/>
        <v>1.2985451069306819E-2</v>
      </c>
      <c r="AB330" s="73">
        <f t="shared" si="128"/>
        <v>1.4525020225578E-2</v>
      </c>
      <c r="AC330" s="73">
        <f t="shared" si="128"/>
        <v>1.442320530512875E-2</v>
      </c>
      <c r="AD330" s="73">
        <f t="shared" si="128"/>
        <v>1.4776132644799267E-2</v>
      </c>
      <c r="AE330" s="73">
        <f t="shared" si="128"/>
        <v>1.5547360397707433E-2</v>
      </c>
      <c r="AF330" s="73">
        <f t="shared" si="128"/>
        <v>1.6298873147766235E-2</v>
      </c>
      <c r="AG330" s="73">
        <f t="shared" si="128"/>
        <v>1.6912131474702052E-2</v>
      </c>
      <c r="AH330" s="73">
        <f t="shared" si="128"/>
        <v>4.2056007289168695E-2</v>
      </c>
      <c r="AI330" s="73">
        <f t="shared" si="128"/>
        <v>4.2060372268484914E-2</v>
      </c>
      <c r="AJ330" s="73">
        <f t="shared" si="128"/>
        <v>4.0689421831186401E-2</v>
      </c>
      <c r="AK330" s="73">
        <f t="shared" si="128"/>
        <v>3.9424323938143768E-2</v>
      </c>
      <c r="AL330" s="73">
        <f t="shared" si="128"/>
        <v>3.8559445511537005E-2</v>
      </c>
      <c r="AM330" s="73">
        <f t="shared" si="128"/>
        <v>3.8440214784288607E-2</v>
      </c>
      <c r="AN330" s="73">
        <f t="shared" si="128"/>
        <v>3.8015562245958368E-2</v>
      </c>
      <c r="AO330" s="73">
        <f t="shared" si="128"/>
        <v>3.7093701175797467E-2</v>
      </c>
      <c r="AP330" s="73">
        <f t="shared" si="128"/>
        <v>3.6655070553085922E-2</v>
      </c>
      <c r="AQ330" s="73">
        <f t="shared" si="128"/>
        <v>2.7373612718582851E-2</v>
      </c>
      <c r="AR330" s="75"/>
    </row>
    <row r="331" spans="1:44">
      <c r="A331" s="40" t="s">
        <v>73</v>
      </c>
      <c r="C331" s="72"/>
      <c r="D331" s="72">
        <f t="shared" si="128"/>
        <v>-6.431962980513517E-3</v>
      </c>
      <c r="E331" s="72">
        <f t="shared" si="128"/>
        <v>-2.3688608726057492E-2</v>
      </c>
      <c r="F331" s="72">
        <f t="shared" si="128"/>
        <v>6.0142982903624853E-2</v>
      </c>
      <c r="G331" s="72">
        <f t="shared" si="128"/>
        <v>2.2748582194053846E-2</v>
      </c>
      <c r="H331" s="72">
        <f t="shared" si="128"/>
        <v>2.945140266399271E-2</v>
      </c>
      <c r="I331" s="72">
        <f t="shared" si="128"/>
        <v>7.901708420239073E-3</v>
      </c>
      <c r="J331" s="72">
        <f t="shared" si="128"/>
        <v>1.5752281826941994E-2</v>
      </c>
      <c r="K331" s="72">
        <f t="shared" si="128"/>
        <v>3.0821664505507052E-3</v>
      </c>
      <c r="L331" s="72">
        <f t="shared" si="128"/>
        <v>-0.15239665610099185</v>
      </c>
      <c r="M331" s="72">
        <f t="shared" si="128"/>
        <v>0.11158607828290079</v>
      </c>
      <c r="N331" s="72">
        <f t="shared" si="128"/>
        <v>4.5826210719644545E-2</v>
      </c>
      <c r="O331" s="72">
        <f t="shared" si="128"/>
        <v>1.5213733446484801E-2</v>
      </c>
      <c r="P331" s="72">
        <f t="shared" si="128"/>
        <v>2.2028896762385619E-2</v>
      </c>
      <c r="Q331" s="73">
        <f t="shared" si="128"/>
        <v>-4.3280424193609446E-2</v>
      </c>
      <c r="R331" s="73">
        <f t="shared" si="128"/>
        <v>1.3544172725718617E-2</v>
      </c>
      <c r="S331" s="73">
        <f t="shared" ref="S331:AQ336" si="129">S315/R315-1</f>
        <v>4.0802677728373205E-3</v>
      </c>
      <c r="T331" s="73">
        <f t="shared" si="129"/>
        <v>1.0292056083577528E-2</v>
      </c>
      <c r="U331" s="73">
        <f t="shared" si="129"/>
        <v>9.2713661955445836E-3</v>
      </c>
      <c r="V331" s="73">
        <f t="shared" si="129"/>
        <v>9.2767747448885274E-3</v>
      </c>
      <c r="W331" s="73">
        <f t="shared" si="129"/>
        <v>1.3184813971745868E-2</v>
      </c>
      <c r="X331" s="73">
        <f t="shared" si="129"/>
        <v>1.1010111918381194E-2</v>
      </c>
      <c r="Y331" s="73">
        <f t="shared" si="129"/>
        <v>1.4277572277151318E-2</v>
      </c>
      <c r="Z331" s="73">
        <f t="shared" si="129"/>
        <v>1.3603399921102932E-2</v>
      </c>
      <c r="AA331" s="73">
        <f t="shared" si="129"/>
        <v>1.4483102070867782E-2</v>
      </c>
      <c r="AB331" s="73">
        <f t="shared" si="129"/>
        <v>1.644494810753705E-2</v>
      </c>
      <c r="AC331" s="73">
        <f t="shared" si="129"/>
        <v>1.6587870352542833E-2</v>
      </c>
      <c r="AD331" s="73">
        <f t="shared" si="129"/>
        <v>1.7126470127346582E-2</v>
      </c>
      <c r="AE331" s="73">
        <f t="shared" si="129"/>
        <v>1.8150738347252782E-2</v>
      </c>
      <c r="AF331" s="73">
        <f t="shared" si="129"/>
        <v>1.9109442404473764E-2</v>
      </c>
      <c r="AG331" s="73">
        <f t="shared" si="129"/>
        <v>1.9924117879042802E-2</v>
      </c>
      <c r="AH331" s="73">
        <f t="shared" si="129"/>
        <v>5.2101938609380394E-2</v>
      </c>
      <c r="AI331" s="73">
        <f t="shared" si="129"/>
        <v>5.2515454910285753E-2</v>
      </c>
      <c r="AJ331" s="73">
        <f t="shared" si="129"/>
        <v>5.0967909414714629E-2</v>
      </c>
      <c r="AK331" s="73">
        <f t="shared" si="129"/>
        <v>4.9422142957556314E-2</v>
      </c>
      <c r="AL331" s="73">
        <f t="shared" si="129"/>
        <v>4.8249566095968088E-2</v>
      </c>
      <c r="AM331" s="73">
        <f t="shared" si="129"/>
        <v>4.7947303520543105E-2</v>
      </c>
      <c r="AN331" s="73">
        <f t="shared" si="129"/>
        <v>4.7201415952854653E-2</v>
      </c>
      <c r="AO331" s="73">
        <f t="shared" si="129"/>
        <v>4.6115479190937503E-2</v>
      </c>
      <c r="AP331" s="73">
        <f t="shared" si="129"/>
        <v>4.5480378258729637E-2</v>
      </c>
      <c r="AQ331" s="73">
        <f t="shared" si="129"/>
        <v>3.7037888188908852E-2</v>
      </c>
      <c r="AR331" s="75"/>
    </row>
    <row r="332" spans="1:44">
      <c r="A332" s="40" t="s">
        <v>74</v>
      </c>
      <c r="C332" s="72"/>
      <c r="D332" s="72">
        <f t="shared" ref="D332:AA336" si="130">D316/C316-1</f>
        <v>-6.6558771606385347E-3</v>
      </c>
      <c r="E332" s="72">
        <f t="shared" si="130"/>
        <v>-2.0109400131704147E-2</v>
      </c>
      <c r="F332" s="72">
        <f t="shared" si="130"/>
        <v>5.2196724725811494E-2</v>
      </c>
      <c r="G332" s="72">
        <f t="shared" si="130"/>
        <v>2.5642841909615077E-2</v>
      </c>
      <c r="H332" s="72">
        <f t="shared" si="130"/>
        <v>3.5287738800842572E-2</v>
      </c>
      <c r="I332" s="72">
        <f t="shared" si="130"/>
        <v>7.8479811090585994E-3</v>
      </c>
      <c r="J332" s="72">
        <f t="shared" si="130"/>
        <v>1.883801717371747E-2</v>
      </c>
      <c r="K332" s="72">
        <f t="shared" si="130"/>
        <v>-6.7491821050184031E-3</v>
      </c>
      <c r="L332" s="72">
        <f t="shared" si="130"/>
        <v>-0.14280056688927667</v>
      </c>
      <c r="M332" s="72">
        <f t="shared" si="130"/>
        <v>0.10530753919116731</v>
      </c>
      <c r="N332" s="72">
        <f t="shared" si="130"/>
        <v>4.6223704658540754E-2</v>
      </c>
      <c r="O332" s="72">
        <f t="shared" si="130"/>
        <v>1.2324858001586225E-2</v>
      </c>
      <c r="P332" s="72">
        <f t="shared" si="130"/>
        <v>2.6835967916558623E-2</v>
      </c>
      <c r="Q332" s="73">
        <f t="shared" si="130"/>
        <v>-4.4641169447656059E-2</v>
      </c>
      <c r="R332" s="73">
        <f t="shared" si="130"/>
        <v>1.3865115992146126E-2</v>
      </c>
      <c r="S332" s="73">
        <f t="shared" si="130"/>
        <v>4.3709323961227398E-3</v>
      </c>
      <c r="T332" s="73">
        <f t="shared" si="130"/>
        <v>1.0617601009622168E-2</v>
      </c>
      <c r="U332" s="73">
        <f t="shared" si="130"/>
        <v>1.0276011598208568E-2</v>
      </c>
      <c r="V332" s="73">
        <f t="shared" si="130"/>
        <v>9.8553666838978593E-3</v>
      </c>
      <c r="W332" s="73">
        <f t="shared" si="130"/>
        <v>1.3698456253332214E-2</v>
      </c>
      <c r="X332" s="73">
        <f t="shared" si="130"/>
        <v>1.188708279950923E-2</v>
      </c>
      <c r="Y332" s="73">
        <f t="shared" si="130"/>
        <v>1.5543108581861143E-2</v>
      </c>
      <c r="Z332" s="73">
        <f t="shared" si="130"/>
        <v>1.4926204801558374E-2</v>
      </c>
      <c r="AA332" s="73">
        <f t="shared" si="130"/>
        <v>1.5942842170027172E-2</v>
      </c>
      <c r="AB332" s="73">
        <f t="shared" si="129"/>
        <v>1.8269204370652936E-2</v>
      </c>
      <c r="AC332" s="73">
        <f t="shared" si="129"/>
        <v>1.8634015754207978E-2</v>
      </c>
      <c r="AD332" s="73">
        <f t="shared" si="129"/>
        <v>1.9356014834809532E-2</v>
      </c>
      <c r="AE332" s="73">
        <f t="shared" si="129"/>
        <v>2.0672910031468428E-2</v>
      </c>
      <c r="AF332" s="73">
        <f t="shared" si="129"/>
        <v>2.1874908832518525E-2</v>
      </c>
      <c r="AG332" s="73">
        <f t="shared" si="129"/>
        <v>2.2905777656074822E-2</v>
      </c>
      <c r="AH332" s="73">
        <f t="shared" si="129"/>
        <v>6.1559589465743025E-2</v>
      </c>
      <c r="AI332" s="73">
        <f t="shared" si="129"/>
        <v>6.2424084454551831E-2</v>
      </c>
      <c r="AJ332" s="73">
        <f t="shared" si="129"/>
        <v>6.0800534864509537E-2</v>
      </c>
      <c r="AK332" s="73">
        <f t="shared" si="129"/>
        <v>5.9044321338388217E-2</v>
      </c>
      <c r="AL332" s="73">
        <f t="shared" si="129"/>
        <v>5.7622112858809693E-2</v>
      </c>
      <c r="AM332" s="73">
        <f t="shared" si="129"/>
        <v>5.715793305927841E-2</v>
      </c>
      <c r="AN332" s="73">
        <f t="shared" si="129"/>
        <v>5.6178569694989022E-2</v>
      </c>
      <c r="AO332" s="73">
        <f t="shared" si="129"/>
        <v>5.4989629764449877E-2</v>
      </c>
      <c r="AP332" s="73">
        <f t="shared" si="129"/>
        <v>5.4221249635839408E-2</v>
      </c>
      <c r="AQ332" s="73">
        <f t="shared" si="129"/>
        <v>4.6472939381396294E-2</v>
      </c>
      <c r="AR332" s="75"/>
    </row>
    <row r="333" spans="1:44">
      <c r="A333" s="40" t="s">
        <v>75</v>
      </c>
      <c r="C333" s="72"/>
      <c r="D333" s="72">
        <f t="shared" si="130"/>
        <v>-1.1239356789057631E-2</v>
      </c>
      <c r="E333" s="72">
        <f t="shared" si="130"/>
        <v>-1.231660592520234E-2</v>
      </c>
      <c r="F333" s="72">
        <f t="shared" si="130"/>
        <v>5.1148228886465308E-2</v>
      </c>
      <c r="G333" s="72">
        <f t="shared" si="130"/>
        <v>2.7223243693985877E-2</v>
      </c>
      <c r="H333" s="72">
        <f t="shared" si="130"/>
        <v>3.2809595407488068E-2</v>
      </c>
      <c r="I333" s="72">
        <f t="shared" si="130"/>
        <v>8.2183137548814678E-3</v>
      </c>
      <c r="J333" s="72">
        <f t="shared" si="130"/>
        <v>1.6530651964446585E-2</v>
      </c>
      <c r="K333" s="72">
        <f t="shared" si="130"/>
        <v>-5.057814842380326E-3</v>
      </c>
      <c r="L333" s="72">
        <f t="shared" si="130"/>
        <v>-0.13244592145944212</v>
      </c>
      <c r="M333" s="72">
        <f t="shared" si="130"/>
        <v>9.4718481367370932E-2</v>
      </c>
      <c r="N333" s="72">
        <f t="shared" si="130"/>
        <v>3.8689759402950941E-2</v>
      </c>
      <c r="O333" s="72">
        <f t="shared" si="130"/>
        <v>1.7508562232319669E-2</v>
      </c>
      <c r="P333" s="72">
        <f t="shared" si="130"/>
        <v>2.8278315497425544E-2</v>
      </c>
      <c r="Q333" s="73">
        <f t="shared" si="130"/>
        <v>-4.4558216353909552E-2</v>
      </c>
      <c r="R333" s="73">
        <f t="shared" si="130"/>
        <v>1.2997669649587484E-2</v>
      </c>
      <c r="S333" s="73">
        <f t="shared" si="130"/>
        <v>4.0467799113459435E-3</v>
      </c>
      <c r="T333" s="73">
        <f t="shared" si="130"/>
        <v>1.1768169705357545E-2</v>
      </c>
      <c r="U333" s="73">
        <f t="shared" si="130"/>
        <v>1.0986933887949357E-2</v>
      </c>
      <c r="V333" s="73">
        <f t="shared" si="130"/>
        <v>1.0372115943577231E-2</v>
      </c>
      <c r="W333" s="73">
        <f t="shared" si="130"/>
        <v>1.3927869782547342E-2</v>
      </c>
      <c r="X333" s="73">
        <f t="shared" si="130"/>
        <v>1.2641885157086641E-2</v>
      </c>
      <c r="Y333" s="73">
        <f t="shared" si="130"/>
        <v>1.676348761399904E-2</v>
      </c>
      <c r="Z333" s="73">
        <f t="shared" si="130"/>
        <v>1.6054689714289028E-2</v>
      </c>
      <c r="AA333" s="73">
        <f t="shared" si="130"/>
        <v>1.7168803262766819E-2</v>
      </c>
      <c r="AB333" s="73">
        <f t="shared" si="129"/>
        <v>1.980442597894605E-2</v>
      </c>
      <c r="AC333" s="73">
        <f t="shared" si="129"/>
        <v>2.037719048184039E-2</v>
      </c>
      <c r="AD333" s="73">
        <f t="shared" si="129"/>
        <v>2.1243301566818307E-2</v>
      </c>
      <c r="AE333" s="73">
        <f t="shared" si="129"/>
        <v>2.2774799980108229E-2</v>
      </c>
      <c r="AF333" s="73">
        <f t="shared" si="129"/>
        <v>2.4159313659589232E-2</v>
      </c>
      <c r="AG333" s="73">
        <f t="shared" si="129"/>
        <v>2.5356580304151777E-2</v>
      </c>
      <c r="AH333" s="73">
        <f t="shared" si="129"/>
        <v>6.9415528675016214E-2</v>
      </c>
      <c r="AI333" s="73">
        <f t="shared" si="129"/>
        <v>7.0455766635416861E-2</v>
      </c>
      <c r="AJ333" s="73">
        <f t="shared" si="129"/>
        <v>6.8573979352558156E-2</v>
      </c>
      <c r="AK333" s="73">
        <f t="shared" si="129"/>
        <v>6.6483561901391264E-2</v>
      </c>
      <c r="AL333" s="73">
        <f t="shared" si="129"/>
        <v>6.4717941091271713E-2</v>
      </c>
      <c r="AM333" s="73">
        <f t="shared" si="129"/>
        <v>6.3998862084604813E-2</v>
      </c>
      <c r="AN333" s="73">
        <f t="shared" si="129"/>
        <v>6.2718056809161871E-2</v>
      </c>
      <c r="AO333" s="73">
        <f t="shared" si="129"/>
        <v>6.1329650800426849E-2</v>
      </c>
      <c r="AP333" s="73">
        <f t="shared" si="129"/>
        <v>6.0352735158294424E-2</v>
      </c>
      <c r="AQ333" s="73">
        <f t="shared" si="129"/>
        <v>5.291361670452166E-2</v>
      </c>
      <c r="AR333" s="75"/>
    </row>
    <row r="334" spans="1:44">
      <c r="A334" s="40" t="s">
        <v>76</v>
      </c>
      <c r="C334" s="72"/>
      <c r="D334" s="72">
        <f t="shared" si="130"/>
        <v>-9.1765595730843863E-3</v>
      </c>
      <c r="E334" s="72">
        <f t="shared" si="130"/>
        <v>-7.938010112086058E-3</v>
      </c>
      <c r="F334" s="72">
        <f t="shared" si="130"/>
        <v>4.5945050895841E-2</v>
      </c>
      <c r="G334" s="72">
        <f t="shared" si="130"/>
        <v>3.0509103594708709E-2</v>
      </c>
      <c r="H334" s="72">
        <f t="shared" si="130"/>
        <v>3.0611926066517636E-2</v>
      </c>
      <c r="I334" s="72">
        <f t="shared" si="130"/>
        <v>1.0964587290505534E-2</v>
      </c>
      <c r="J334" s="72">
        <f t="shared" si="130"/>
        <v>1.6426674157901555E-2</v>
      </c>
      <c r="K334" s="72">
        <f t="shared" si="130"/>
        <v>-3.8703176798825512E-3</v>
      </c>
      <c r="L334" s="72">
        <f t="shared" si="130"/>
        <v>-0.1285315381220945</v>
      </c>
      <c r="M334" s="72">
        <f t="shared" si="130"/>
        <v>8.8469113523987009E-2</v>
      </c>
      <c r="N334" s="72">
        <f t="shared" si="130"/>
        <v>3.8697642079736694E-2</v>
      </c>
      <c r="O334" s="72">
        <f t="shared" si="130"/>
        <v>2.0834581803540253E-2</v>
      </c>
      <c r="P334" s="72">
        <f t="shared" si="130"/>
        <v>2.5512001030620235E-2</v>
      </c>
      <c r="Q334" s="73">
        <f t="shared" si="130"/>
        <v>-4.3209614311217281E-2</v>
      </c>
      <c r="R334" s="73">
        <f t="shared" si="130"/>
        <v>1.2980347543081416E-2</v>
      </c>
      <c r="S334" s="73">
        <f t="shared" si="130"/>
        <v>4.3987096225497346E-3</v>
      </c>
      <c r="T334" s="73">
        <f t="shared" si="130"/>
        <v>1.23962931557422E-2</v>
      </c>
      <c r="U334" s="73">
        <f t="shared" si="130"/>
        <v>1.0974110967054695E-2</v>
      </c>
      <c r="V334" s="73">
        <f t="shared" si="130"/>
        <v>1.1152453107786231E-2</v>
      </c>
      <c r="W334" s="73">
        <f t="shared" si="130"/>
        <v>1.4300287323716798E-2</v>
      </c>
      <c r="X334" s="73">
        <f t="shared" si="130"/>
        <v>1.3330498696717541E-2</v>
      </c>
      <c r="Y334" s="73">
        <f t="shared" si="130"/>
        <v>1.7733770150396344E-2</v>
      </c>
      <c r="Z334" s="73">
        <f t="shared" si="130"/>
        <v>1.7021323409801781E-2</v>
      </c>
      <c r="AA334" s="73">
        <f t="shared" si="130"/>
        <v>1.8357956908749973E-2</v>
      </c>
      <c r="AB334" s="73">
        <f t="shared" si="129"/>
        <v>2.1228809511565361E-2</v>
      </c>
      <c r="AC334" s="73">
        <f t="shared" si="129"/>
        <v>2.1981967877752639E-2</v>
      </c>
      <c r="AD334" s="73">
        <f t="shared" si="129"/>
        <v>2.300069491401957E-2</v>
      </c>
      <c r="AE334" s="73">
        <f t="shared" si="129"/>
        <v>2.4772819617090214E-2</v>
      </c>
      <c r="AF334" s="73">
        <f t="shared" si="129"/>
        <v>2.6365337235672914E-2</v>
      </c>
      <c r="AG334" s="73">
        <f t="shared" si="129"/>
        <v>2.7737038481767895E-2</v>
      </c>
      <c r="AH334" s="73">
        <f t="shared" si="129"/>
        <v>7.6676103115826066E-2</v>
      </c>
      <c r="AI334" s="73">
        <f t="shared" si="129"/>
        <v>7.7987989691779003E-2</v>
      </c>
      <c r="AJ334" s="73">
        <f t="shared" si="129"/>
        <v>7.5976700602457647E-2</v>
      </c>
      <c r="AK334" s="73">
        <f t="shared" si="129"/>
        <v>7.3660639583894794E-2</v>
      </c>
      <c r="AL334" s="73">
        <f t="shared" si="129"/>
        <v>7.1637595216052175E-2</v>
      </c>
      <c r="AM334" s="73">
        <f t="shared" si="129"/>
        <v>7.0719403647959478E-2</v>
      </c>
      <c r="AN334" s="73">
        <f t="shared" si="129"/>
        <v>6.9236248855376825E-2</v>
      </c>
      <c r="AO334" s="73">
        <f t="shared" si="129"/>
        <v>6.7730953517233017E-2</v>
      </c>
      <c r="AP334" s="73">
        <f t="shared" si="129"/>
        <v>6.662227008662569E-2</v>
      </c>
      <c r="AQ334" s="73">
        <f t="shared" si="129"/>
        <v>5.9520810626659593E-2</v>
      </c>
      <c r="AR334" s="75"/>
    </row>
    <row r="335" spans="1:44">
      <c r="A335" s="40" t="s">
        <v>77</v>
      </c>
      <c r="C335" s="72"/>
      <c r="D335" s="72">
        <f t="shared" si="130"/>
        <v>-9.329776436133641E-3</v>
      </c>
      <c r="E335" s="72">
        <f t="shared" si="130"/>
        <v>-8.3625551413804011E-3</v>
      </c>
      <c r="F335" s="72">
        <f t="shared" si="130"/>
        <v>4.1339046231674059E-2</v>
      </c>
      <c r="G335" s="72">
        <f t="shared" si="130"/>
        <v>3.5658350565857644E-2</v>
      </c>
      <c r="H335" s="72">
        <f t="shared" si="130"/>
        <v>2.6994350452912652E-2</v>
      </c>
      <c r="I335" s="72">
        <f t="shared" si="130"/>
        <v>1.6864243990957872E-2</v>
      </c>
      <c r="J335" s="72">
        <f t="shared" si="130"/>
        <v>1.152287442173594E-2</v>
      </c>
      <c r="K335" s="72">
        <f t="shared" si="130"/>
        <v>-5.9105238213970068E-3</v>
      </c>
      <c r="L335" s="72">
        <f t="shared" si="130"/>
        <v>-0.11945748347652985</v>
      </c>
      <c r="M335" s="72">
        <f t="shared" si="130"/>
        <v>8.7021707450672947E-2</v>
      </c>
      <c r="N335" s="72">
        <f t="shared" si="130"/>
        <v>3.6964259612102257E-2</v>
      </c>
      <c r="O335" s="72">
        <f t="shared" si="130"/>
        <v>1.7310505661886078E-2</v>
      </c>
      <c r="P335" s="72">
        <f t="shared" si="130"/>
        <v>2.2343545285572919E-2</v>
      </c>
      <c r="Q335" s="73">
        <f t="shared" si="130"/>
        <v>-3.7755685687403284E-2</v>
      </c>
      <c r="R335" s="73">
        <f t="shared" si="130"/>
        <v>1.2778435736154004E-2</v>
      </c>
      <c r="S335" s="73">
        <f t="shared" si="130"/>
        <v>3.6914691312304182E-3</v>
      </c>
      <c r="T335" s="73">
        <f t="shared" si="130"/>
        <v>1.2025415145052065E-2</v>
      </c>
      <c r="U335" s="73">
        <f t="shared" si="130"/>
        <v>1.1202507543396356E-2</v>
      </c>
      <c r="V335" s="73">
        <f t="shared" si="130"/>
        <v>1.2271654100994844E-2</v>
      </c>
      <c r="W335" s="73">
        <f t="shared" si="130"/>
        <v>1.4291215527396206E-2</v>
      </c>
      <c r="X335" s="73">
        <f t="shared" si="130"/>
        <v>1.3539844896301112E-2</v>
      </c>
      <c r="Y335" s="73">
        <f t="shared" si="130"/>
        <v>1.826285275614481E-2</v>
      </c>
      <c r="Z335" s="73">
        <f t="shared" si="130"/>
        <v>1.7658544273718935E-2</v>
      </c>
      <c r="AA335" s="73">
        <f t="shared" si="130"/>
        <v>1.9051038389643615E-2</v>
      </c>
      <c r="AB335" s="73">
        <f t="shared" si="129"/>
        <v>2.1923603608096753E-2</v>
      </c>
      <c r="AC335" s="73">
        <f t="shared" si="129"/>
        <v>2.2764756332605662E-2</v>
      </c>
      <c r="AD335" s="73">
        <f t="shared" si="129"/>
        <v>2.3852408024062077E-2</v>
      </c>
      <c r="AE335" s="73">
        <f t="shared" si="129"/>
        <v>2.5714782707031425E-2</v>
      </c>
      <c r="AF335" s="73">
        <f t="shared" si="129"/>
        <v>2.7340183147672059E-2</v>
      </c>
      <c r="AG335" s="73">
        <f t="shared" si="129"/>
        <v>2.8730045231682544E-2</v>
      </c>
      <c r="AH335" s="73">
        <f t="shared" si="129"/>
        <v>8.0133027737546714E-2</v>
      </c>
      <c r="AI335" s="73">
        <f t="shared" si="129"/>
        <v>8.1281523879822126E-2</v>
      </c>
      <c r="AJ335" s="73">
        <f t="shared" si="129"/>
        <v>7.8919276934236171E-2</v>
      </c>
      <c r="AK335" s="73">
        <f t="shared" si="129"/>
        <v>7.6263194935436651E-2</v>
      </c>
      <c r="AL335" s="73">
        <f t="shared" si="129"/>
        <v>7.3937496855820184E-2</v>
      </c>
      <c r="AM335" s="73">
        <f t="shared" si="129"/>
        <v>7.2789861719787075E-2</v>
      </c>
      <c r="AN335" s="73">
        <f t="shared" si="129"/>
        <v>7.1048072852629485E-2</v>
      </c>
      <c r="AO335" s="73">
        <f t="shared" si="129"/>
        <v>6.9341170014450171E-2</v>
      </c>
      <c r="AP335" s="73">
        <f t="shared" si="129"/>
        <v>6.8043508653512497E-2</v>
      </c>
      <c r="AQ335" s="73">
        <f t="shared" si="129"/>
        <v>6.0944758416284994E-2</v>
      </c>
      <c r="AR335" s="75"/>
    </row>
    <row r="336" spans="1:44" ht="12" thickBot="1">
      <c r="A336" s="40" t="s">
        <v>78</v>
      </c>
      <c r="C336" s="72"/>
      <c r="D336" s="72">
        <f t="shared" si="130"/>
        <v>-1.5402744351779352E-2</v>
      </c>
      <c r="E336" s="72">
        <f t="shared" si="130"/>
        <v>-2.4269863039505513E-3</v>
      </c>
      <c r="F336" s="72">
        <f t="shared" si="130"/>
        <v>4.3394908976317481E-2</v>
      </c>
      <c r="G336" s="72">
        <f t="shared" si="130"/>
        <v>3.5601936565430981E-2</v>
      </c>
      <c r="H336" s="72">
        <f t="shared" si="130"/>
        <v>2.2478439323657895E-2</v>
      </c>
      <c r="I336" s="72">
        <f t="shared" si="130"/>
        <v>1.5742813312470405E-2</v>
      </c>
      <c r="J336" s="72">
        <f t="shared" si="130"/>
        <v>1.1024968999257201E-2</v>
      </c>
      <c r="K336" s="72">
        <f t="shared" si="130"/>
        <v>-1.1677195993265999E-3</v>
      </c>
      <c r="L336" s="72">
        <f t="shared" si="130"/>
        <v>-0.11665629270296218</v>
      </c>
      <c r="M336" s="72">
        <f t="shared" si="130"/>
        <v>8.8854064236318475E-2</v>
      </c>
      <c r="N336" s="72">
        <f t="shared" si="130"/>
        <v>2.869118034633189E-2</v>
      </c>
      <c r="O336" s="72">
        <f t="shared" si="130"/>
        <v>1.9935210324841357E-2</v>
      </c>
      <c r="P336" s="72">
        <f t="shared" si="130"/>
        <v>2.0170642463383182E-2</v>
      </c>
      <c r="Q336" s="73">
        <f t="shared" si="130"/>
        <v>-3.448151740933203E-2</v>
      </c>
      <c r="R336" s="73">
        <f t="shared" si="130"/>
        <v>1.3136190033733897E-2</v>
      </c>
      <c r="S336" s="73">
        <f t="shared" si="130"/>
        <v>2.5609201224652267E-3</v>
      </c>
      <c r="T336" s="73">
        <f t="shared" si="130"/>
        <v>1.2715604819513393E-2</v>
      </c>
      <c r="U336" s="73">
        <f t="shared" si="130"/>
        <v>1.147224952347714E-2</v>
      </c>
      <c r="V336" s="73">
        <f t="shared" si="130"/>
        <v>1.3509861869008599E-2</v>
      </c>
      <c r="W336" s="73">
        <f t="shared" si="130"/>
        <v>1.4231827440661426E-2</v>
      </c>
      <c r="X336" s="73">
        <f t="shared" si="130"/>
        <v>1.3720808762504921E-2</v>
      </c>
      <c r="Y336" s="73">
        <f t="shared" si="130"/>
        <v>1.8853151132582013E-2</v>
      </c>
      <c r="Z336" s="73">
        <f t="shared" si="130"/>
        <v>1.7926147303821471E-2</v>
      </c>
      <c r="AA336" s="73">
        <f t="shared" si="130"/>
        <v>1.9252131267198935E-2</v>
      </c>
      <c r="AB336" s="73">
        <f t="shared" si="129"/>
        <v>2.1850756090138423E-2</v>
      </c>
      <c r="AC336" s="73">
        <f t="shared" si="129"/>
        <v>2.2462605715549699E-2</v>
      </c>
      <c r="AD336" s="73">
        <f t="shared" si="129"/>
        <v>2.3233565269312528E-2</v>
      </c>
      <c r="AE336" s="73">
        <f t="shared" si="129"/>
        <v>2.4715088447487377E-2</v>
      </c>
      <c r="AF336" s="73">
        <f t="shared" si="129"/>
        <v>2.5903413265742747E-2</v>
      </c>
      <c r="AG336" s="73">
        <f t="shared" si="129"/>
        <v>2.6788855998746142E-2</v>
      </c>
      <c r="AH336" s="73">
        <f t="shared" si="129"/>
        <v>7.7509690833724942E-2</v>
      </c>
      <c r="AI336" s="73">
        <f t="shared" si="129"/>
        <v>7.6497577285409957E-2</v>
      </c>
      <c r="AJ336" s="73">
        <f t="shared" si="129"/>
        <v>7.2223748522582953E-2</v>
      </c>
      <c r="AK336" s="73">
        <f t="shared" si="129"/>
        <v>6.809357127956317E-2</v>
      </c>
      <c r="AL336" s="73">
        <f t="shared" si="129"/>
        <v>6.4693685014250768E-2</v>
      </c>
      <c r="AM336" s="73">
        <f t="shared" si="129"/>
        <v>6.2770322787325306E-2</v>
      </c>
      <c r="AN336" s="73">
        <f t="shared" si="129"/>
        <v>6.0010640309390739E-2</v>
      </c>
      <c r="AO336" s="73">
        <f t="shared" si="129"/>
        <v>5.7367940374421833E-2</v>
      </c>
      <c r="AP336" s="73">
        <f t="shared" si="129"/>
        <v>5.5288159346204013E-2</v>
      </c>
      <c r="AQ336" s="73">
        <f t="shared" si="129"/>
        <v>4.6934310397375389E-2</v>
      </c>
      <c r="AR336" s="75"/>
    </row>
    <row r="337" spans="1:44">
      <c r="A337" s="51"/>
      <c r="B337" s="67"/>
      <c r="C337" s="67"/>
      <c r="D337" s="67"/>
      <c r="E337" s="67"/>
      <c r="F337" s="67"/>
      <c r="G337" s="67"/>
      <c r="H337" s="67"/>
      <c r="I337" s="67"/>
      <c r="J337" s="67"/>
      <c r="K337" s="67"/>
      <c r="L337" s="67"/>
      <c r="M337" s="67"/>
      <c r="N337" s="67"/>
      <c r="O337" s="67"/>
      <c r="P337" s="67"/>
      <c r="Q337" s="68"/>
      <c r="R337" s="68"/>
      <c r="S337" s="68"/>
      <c r="T337" s="68"/>
      <c r="U337" s="68"/>
      <c r="V337" s="68"/>
      <c r="W337" s="68"/>
      <c r="X337" s="68"/>
      <c r="Y337" s="68"/>
      <c r="Z337" s="68"/>
      <c r="AA337" s="68"/>
      <c r="AB337" s="68"/>
      <c r="AC337" s="68"/>
      <c r="AD337" s="68"/>
      <c r="AE337" s="68"/>
      <c r="AF337" s="68"/>
      <c r="AG337" s="68"/>
      <c r="AH337" s="68"/>
      <c r="AI337" s="68"/>
      <c r="AJ337" s="68"/>
      <c r="AK337" s="68"/>
      <c r="AL337" s="68"/>
      <c r="AM337" s="68"/>
      <c r="AN337" s="68"/>
      <c r="AO337" s="68"/>
      <c r="AP337" s="68"/>
      <c r="AQ337" s="68"/>
    </row>
    <row r="339" spans="1:44" ht="12" thickBot="1">
      <c r="A339" s="39" t="s">
        <v>160</v>
      </c>
    </row>
    <row r="340" spans="1:44" ht="12" thickBot="1">
      <c r="A340" s="41"/>
      <c r="B340" s="41">
        <f>B2</f>
        <v>2010</v>
      </c>
      <c r="C340" s="41">
        <f>C2</f>
        <v>2011</v>
      </c>
      <c r="D340" s="41">
        <f t="shared" ref="D340:AQ340" si="131">D2</f>
        <v>2012</v>
      </c>
      <c r="E340" s="41">
        <f t="shared" si="131"/>
        <v>2013</v>
      </c>
      <c r="F340" s="41">
        <f t="shared" si="131"/>
        <v>2014</v>
      </c>
      <c r="G340" s="41">
        <f t="shared" si="131"/>
        <v>2015</v>
      </c>
      <c r="H340" s="41">
        <f t="shared" si="131"/>
        <v>2016</v>
      </c>
      <c r="I340" s="41">
        <f t="shared" si="131"/>
        <v>2017</v>
      </c>
      <c r="J340" s="41">
        <f t="shared" si="131"/>
        <v>2018</v>
      </c>
      <c r="K340" s="41">
        <f t="shared" si="131"/>
        <v>2019</v>
      </c>
      <c r="L340" s="41">
        <f t="shared" si="131"/>
        <v>2020</v>
      </c>
      <c r="M340" s="41">
        <f t="shared" si="131"/>
        <v>2021</v>
      </c>
      <c r="N340" s="41">
        <f t="shared" si="131"/>
        <v>2022</v>
      </c>
      <c r="O340" s="41">
        <f t="shared" si="131"/>
        <v>2023</v>
      </c>
      <c r="P340" s="41">
        <f t="shared" si="131"/>
        <v>2024</v>
      </c>
      <c r="Q340" s="41">
        <f t="shared" si="131"/>
        <v>2025</v>
      </c>
      <c r="R340" s="41">
        <f t="shared" si="131"/>
        <v>2026</v>
      </c>
      <c r="S340" s="41">
        <f t="shared" si="131"/>
        <v>2027</v>
      </c>
      <c r="T340" s="41">
        <f t="shared" si="131"/>
        <v>2028</v>
      </c>
      <c r="U340" s="41">
        <f t="shared" si="131"/>
        <v>2029</v>
      </c>
      <c r="V340" s="41">
        <f t="shared" si="131"/>
        <v>2030</v>
      </c>
      <c r="W340" s="41">
        <f t="shared" si="131"/>
        <v>2031</v>
      </c>
      <c r="X340" s="41">
        <f t="shared" si="131"/>
        <v>2032</v>
      </c>
      <c r="Y340" s="41">
        <f t="shared" si="131"/>
        <v>2033</v>
      </c>
      <c r="Z340" s="41">
        <f t="shared" si="131"/>
        <v>2034</v>
      </c>
      <c r="AA340" s="41">
        <f t="shared" si="131"/>
        <v>2035</v>
      </c>
      <c r="AB340" s="41">
        <f t="shared" si="131"/>
        <v>2036</v>
      </c>
      <c r="AC340" s="41">
        <f t="shared" si="131"/>
        <v>2037</v>
      </c>
      <c r="AD340" s="41">
        <f t="shared" si="131"/>
        <v>2038</v>
      </c>
      <c r="AE340" s="41">
        <f t="shared" si="131"/>
        <v>2039</v>
      </c>
      <c r="AF340" s="41">
        <f t="shared" si="131"/>
        <v>2040</v>
      </c>
      <c r="AG340" s="41">
        <f t="shared" si="131"/>
        <v>2041</v>
      </c>
      <c r="AH340" s="41">
        <f t="shared" si="131"/>
        <v>2042</v>
      </c>
      <c r="AI340" s="41">
        <f t="shared" si="131"/>
        <v>2043</v>
      </c>
      <c r="AJ340" s="41">
        <f t="shared" si="131"/>
        <v>2044</v>
      </c>
      <c r="AK340" s="41">
        <f t="shared" si="131"/>
        <v>2045</v>
      </c>
      <c r="AL340" s="41">
        <f t="shared" si="131"/>
        <v>2046</v>
      </c>
      <c r="AM340" s="41">
        <f t="shared" si="131"/>
        <v>2047</v>
      </c>
      <c r="AN340" s="41">
        <f t="shared" si="131"/>
        <v>2048</v>
      </c>
      <c r="AO340" s="41">
        <f t="shared" si="131"/>
        <v>2049</v>
      </c>
      <c r="AP340" s="41">
        <f t="shared" si="131"/>
        <v>2050</v>
      </c>
      <c r="AQ340" s="41">
        <f t="shared" si="131"/>
        <v>2051</v>
      </c>
    </row>
    <row r="341" spans="1:44">
      <c r="A341" s="40" t="s">
        <v>68</v>
      </c>
      <c r="B341" s="42">
        <f>B3+B67+B180+B292</f>
        <v>631590</v>
      </c>
      <c r="C341" s="42">
        <f>C3+C67+C180+C292</f>
        <v>1202172691</v>
      </c>
      <c r="D341" s="42">
        <f t="shared" ref="D341:AQ347" si="132">D3+D67+D180+D292</f>
        <v>1249986291</v>
      </c>
      <c r="E341" s="42">
        <f t="shared" si="132"/>
        <v>1160300059</v>
      </c>
      <c r="F341" s="42">
        <f t="shared" si="132"/>
        <v>1257625609</v>
      </c>
      <c r="G341" s="42">
        <f t="shared" si="132"/>
        <v>1311651364</v>
      </c>
      <c r="H341" s="42">
        <f t="shared" si="132"/>
        <v>1364726718</v>
      </c>
      <c r="I341" s="42">
        <f t="shared" si="132"/>
        <v>1378272770</v>
      </c>
      <c r="J341" s="42">
        <f t="shared" si="132"/>
        <v>1426482928</v>
      </c>
      <c r="K341" s="42">
        <f t="shared" si="132"/>
        <v>1377328982</v>
      </c>
      <c r="L341" s="42">
        <f t="shared" si="132"/>
        <v>1453258284</v>
      </c>
      <c r="M341" s="42">
        <f t="shared" si="132"/>
        <v>1283763379</v>
      </c>
      <c r="N341" s="42">
        <f t="shared" si="132"/>
        <v>1436069890</v>
      </c>
      <c r="O341" s="42">
        <f t="shared" si="132"/>
        <v>1540686307</v>
      </c>
      <c r="P341" s="42">
        <f t="shared" si="132"/>
        <v>1640587208</v>
      </c>
      <c r="Q341" s="42">
        <f t="shared" si="132"/>
        <v>1558534553</v>
      </c>
      <c r="R341" s="43">
        <f t="shared" si="132"/>
        <v>1535722409.1446331</v>
      </c>
      <c r="S341" s="43">
        <f t="shared" si="132"/>
        <v>1608913416.6145663</v>
      </c>
      <c r="T341" s="43">
        <f t="shared" si="132"/>
        <v>1626444944.899498</v>
      </c>
      <c r="U341" s="43">
        <f t="shared" si="132"/>
        <v>1678422572.3533301</v>
      </c>
      <c r="V341" s="43">
        <f t="shared" si="132"/>
        <v>1737028369.4221606</v>
      </c>
      <c r="W341" s="43">
        <f t="shared" si="132"/>
        <v>1793241924.2724757</v>
      </c>
      <c r="X341" s="43">
        <f t="shared" si="132"/>
        <v>1896367927.6695471</v>
      </c>
      <c r="Y341" s="43">
        <f t="shared" si="132"/>
        <v>1931330514.4407768</v>
      </c>
      <c r="Z341" s="43">
        <f t="shared" si="132"/>
        <v>1946717738.2810867</v>
      </c>
      <c r="AA341" s="43">
        <f t="shared" si="132"/>
        <v>1982894693.8328309</v>
      </c>
      <c r="AB341" s="43">
        <f t="shared" si="132"/>
        <v>1927923301.7821195</v>
      </c>
      <c r="AC341" s="43">
        <f t="shared" si="132"/>
        <v>1986155806.6083565</v>
      </c>
      <c r="AD341" s="43">
        <f t="shared" si="132"/>
        <v>2062805743.8012576</v>
      </c>
      <c r="AE341" s="43">
        <f t="shared" si="132"/>
        <v>2065147741.8086624</v>
      </c>
      <c r="AF341" s="43">
        <f t="shared" si="132"/>
        <v>2013689584.5551124</v>
      </c>
      <c r="AG341" s="43">
        <f t="shared" si="132"/>
        <v>2061684675.7756314</v>
      </c>
      <c r="AH341" s="43">
        <f t="shared" si="132"/>
        <v>2112359475.0958421</v>
      </c>
      <c r="AI341" s="43">
        <f t="shared" si="132"/>
        <v>2167784123.2712016</v>
      </c>
      <c r="AJ341" s="43">
        <f t="shared" si="132"/>
        <v>2202172201.6768618</v>
      </c>
      <c r="AK341" s="43">
        <f t="shared" si="132"/>
        <v>2232213773.4650459</v>
      </c>
      <c r="AL341" s="43">
        <f t="shared" si="132"/>
        <v>2254129170.8354855</v>
      </c>
      <c r="AM341" s="43">
        <f t="shared" si="132"/>
        <v>2305856842.9586902</v>
      </c>
      <c r="AN341" s="43">
        <f t="shared" si="132"/>
        <v>2346735546.9542623</v>
      </c>
      <c r="AO341" s="43">
        <f t="shared" si="132"/>
        <v>2387063518.1481862</v>
      </c>
      <c r="AP341" s="43">
        <f t="shared" si="132"/>
        <v>2439887651.2687225</v>
      </c>
      <c r="AQ341" s="43">
        <f t="shared" si="132"/>
        <v>2506982396.5251317</v>
      </c>
      <c r="AR341" s="43"/>
    </row>
    <row r="342" spans="1:44">
      <c r="A342" s="40" t="s">
        <v>69</v>
      </c>
      <c r="B342" s="42">
        <f t="shared" ref="B342:Q352" si="133">B4+B68+B181+B293</f>
        <v>2352623</v>
      </c>
      <c r="C342" s="42">
        <f t="shared" si="133"/>
        <v>1099648081</v>
      </c>
      <c r="D342" s="42">
        <f t="shared" si="132"/>
        <v>1161918347</v>
      </c>
      <c r="E342" s="42">
        <f t="shared" si="132"/>
        <v>1051553978</v>
      </c>
      <c r="F342" s="42">
        <f t="shared" si="132"/>
        <v>1144280609</v>
      </c>
      <c r="G342" s="42">
        <f t="shared" si="132"/>
        <v>1194403631</v>
      </c>
      <c r="H342" s="42">
        <f t="shared" si="132"/>
        <v>1325810493</v>
      </c>
      <c r="I342" s="42">
        <f t="shared" si="132"/>
        <v>1303059554</v>
      </c>
      <c r="J342" s="42">
        <f t="shared" si="132"/>
        <v>1299028899</v>
      </c>
      <c r="K342" s="42">
        <f t="shared" si="132"/>
        <v>1369362279</v>
      </c>
      <c r="L342" s="42">
        <f t="shared" si="132"/>
        <v>1411415669</v>
      </c>
      <c r="M342" s="42">
        <f t="shared" si="132"/>
        <v>1137605204</v>
      </c>
      <c r="N342" s="42">
        <f t="shared" si="132"/>
        <v>1383522851</v>
      </c>
      <c r="O342" s="42">
        <f t="shared" si="132"/>
        <v>1515505025</v>
      </c>
      <c r="P342" s="42">
        <f t="shared" si="132"/>
        <v>1746923859</v>
      </c>
      <c r="Q342" s="42">
        <f t="shared" si="132"/>
        <v>1411782674</v>
      </c>
      <c r="R342" s="43">
        <f t="shared" si="132"/>
        <v>1508942273.7221961</v>
      </c>
      <c r="S342" s="43">
        <f t="shared" si="132"/>
        <v>1640934814.4523196</v>
      </c>
      <c r="T342" s="43">
        <f t="shared" si="132"/>
        <v>1686333251.3298893</v>
      </c>
      <c r="U342" s="43">
        <f t="shared" si="132"/>
        <v>1757657697.4811921</v>
      </c>
      <c r="V342" s="43">
        <f t="shared" si="132"/>
        <v>1831725872.9789579</v>
      </c>
      <c r="W342" s="43">
        <f t="shared" si="132"/>
        <v>1924425508.6087937</v>
      </c>
      <c r="X342" s="43">
        <f t="shared" si="132"/>
        <v>2077375406.8631706</v>
      </c>
      <c r="Y342" s="43">
        <f t="shared" si="132"/>
        <v>2100884999.5056839</v>
      </c>
      <c r="Z342" s="43">
        <f t="shared" si="132"/>
        <v>2140393988.242774</v>
      </c>
      <c r="AA342" s="43">
        <f t="shared" si="132"/>
        <v>2185397934.3937087</v>
      </c>
      <c r="AB342" s="43">
        <f t="shared" si="132"/>
        <v>2079037822.622169</v>
      </c>
      <c r="AC342" s="43">
        <f t="shared" si="132"/>
        <v>2157329787.1098409</v>
      </c>
      <c r="AD342" s="43">
        <f t="shared" si="132"/>
        <v>2261113881.9458141</v>
      </c>
      <c r="AE342" s="43">
        <f t="shared" si="132"/>
        <v>2263824315.6273651</v>
      </c>
      <c r="AF342" s="43">
        <f t="shared" si="132"/>
        <v>2207267221.5232697</v>
      </c>
      <c r="AG342" s="43">
        <f t="shared" si="132"/>
        <v>2267146405.91606</v>
      </c>
      <c r="AH342" s="43">
        <f t="shared" si="132"/>
        <v>2333959663.8666</v>
      </c>
      <c r="AI342" s="43">
        <f t="shared" si="132"/>
        <v>2403407282.1605349</v>
      </c>
      <c r="AJ342" s="43">
        <f t="shared" si="132"/>
        <v>2444995490.8086262</v>
      </c>
      <c r="AK342" s="43">
        <f t="shared" si="132"/>
        <v>2484847725.3244162</v>
      </c>
      <c r="AL342" s="43">
        <f t="shared" si="132"/>
        <v>2521107592.5711489</v>
      </c>
      <c r="AM342" s="43">
        <f t="shared" si="132"/>
        <v>2585705390.1512346</v>
      </c>
      <c r="AN342" s="43">
        <f t="shared" si="132"/>
        <v>2628102429.7741537</v>
      </c>
      <c r="AO342" s="43">
        <f t="shared" si="132"/>
        <v>2668631236.5426383</v>
      </c>
      <c r="AP342" s="43">
        <f t="shared" si="132"/>
        <v>2729107344.8932829</v>
      </c>
      <c r="AQ342" s="43">
        <f t="shared" si="132"/>
        <v>2840402157.5409608</v>
      </c>
      <c r="AR342" s="43"/>
    </row>
    <row r="343" spans="1:44">
      <c r="A343" s="40" t="s">
        <v>70</v>
      </c>
      <c r="B343" s="42">
        <f t="shared" si="133"/>
        <v>1534859</v>
      </c>
      <c r="C343" s="42">
        <f t="shared" si="133"/>
        <v>1298785054</v>
      </c>
      <c r="D343" s="42">
        <f t="shared" si="132"/>
        <v>1266553792</v>
      </c>
      <c r="E343" s="42">
        <f t="shared" si="132"/>
        <v>1212422645</v>
      </c>
      <c r="F343" s="42">
        <f t="shared" si="132"/>
        <v>1306572034</v>
      </c>
      <c r="G343" s="42">
        <f t="shared" si="132"/>
        <v>1359042811</v>
      </c>
      <c r="H343" s="42">
        <f t="shared" si="132"/>
        <v>1421039872</v>
      </c>
      <c r="I343" s="42">
        <f t="shared" si="132"/>
        <v>1481284389</v>
      </c>
      <c r="J343" s="42">
        <f t="shared" si="132"/>
        <v>1458925847</v>
      </c>
      <c r="K343" s="42">
        <f t="shared" si="132"/>
        <v>1454428672</v>
      </c>
      <c r="L343" s="42">
        <f t="shared" si="132"/>
        <v>1432030257</v>
      </c>
      <c r="M343" s="42">
        <f t="shared" si="132"/>
        <v>1487671914</v>
      </c>
      <c r="N343" s="42">
        <f t="shared" si="132"/>
        <v>1622830680</v>
      </c>
      <c r="O343" s="42">
        <f t="shared" si="132"/>
        <v>1668489127</v>
      </c>
      <c r="P343" s="42">
        <f t="shared" si="132"/>
        <v>1668884151</v>
      </c>
      <c r="Q343" s="42">
        <f t="shared" si="132"/>
        <v>1616685514.3453763</v>
      </c>
      <c r="R343" s="43">
        <f t="shared" si="132"/>
        <v>1631766548.2452829</v>
      </c>
      <c r="S343" s="43">
        <f t="shared" si="132"/>
        <v>1684547628.7682676</v>
      </c>
      <c r="T343" s="43">
        <f t="shared" si="132"/>
        <v>1679588575.9850888</v>
      </c>
      <c r="U343" s="43">
        <f t="shared" si="132"/>
        <v>1722498350.4697909</v>
      </c>
      <c r="V343" s="43">
        <f t="shared" si="132"/>
        <v>1778711038.6199439</v>
      </c>
      <c r="W343" s="43">
        <f t="shared" si="132"/>
        <v>1835210040.2420392</v>
      </c>
      <c r="X343" s="43">
        <f t="shared" si="132"/>
        <v>1930693515.4881992</v>
      </c>
      <c r="Y343" s="43">
        <f t="shared" si="132"/>
        <v>1940286006.4691916</v>
      </c>
      <c r="Z343" s="43">
        <f t="shared" si="132"/>
        <v>1957483993.4283001</v>
      </c>
      <c r="AA343" s="43">
        <f t="shared" si="132"/>
        <v>1992792703.346921</v>
      </c>
      <c r="AB343" s="43">
        <f t="shared" si="132"/>
        <v>1958234673.0794549</v>
      </c>
      <c r="AC343" s="43">
        <f t="shared" si="132"/>
        <v>2014560250.6794972</v>
      </c>
      <c r="AD343" s="43">
        <f t="shared" si="132"/>
        <v>2087268189.8085074</v>
      </c>
      <c r="AE343" s="43">
        <f t="shared" si="132"/>
        <v>2090009744.2188261</v>
      </c>
      <c r="AF343" s="43">
        <f t="shared" si="132"/>
        <v>2029845193.5734687</v>
      </c>
      <c r="AG343" s="43">
        <f t="shared" si="132"/>
        <v>2077272367.7507474</v>
      </c>
      <c r="AH343" s="43">
        <f t="shared" si="132"/>
        <v>2132636742.8352289</v>
      </c>
      <c r="AI343" s="43">
        <f t="shared" si="132"/>
        <v>2192823498.9817886</v>
      </c>
      <c r="AJ343" s="43">
        <f t="shared" si="132"/>
        <v>2227271589.4209719</v>
      </c>
      <c r="AK343" s="43">
        <f t="shared" si="132"/>
        <v>2252420559.2576513</v>
      </c>
      <c r="AL343" s="43">
        <f t="shared" si="132"/>
        <v>2263656322.4763174</v>
      </c>
      <c r="AM343" s="43">
        <f t="shared" si="132"/>
        <v>2310700224.8911128</v>
      </c>
      <c r="AN343" s="43">
        <f t="shared" si="132"/>
        <v>2348431956.8856525</v>
      </c>
      <c r="AO343" s="43">
        <f t="shared" si="132"/>
        <v>2385019890.8952332</v>
      </c>
      <c r="AP343" s="43">
        <f t="shared" si="132"/>
        <v>2431790423.7645817</v>
      </c>
      <c r="AQ343" s="43">
        <f t="shared" si="132"/>
        <v>2481286357.7361007</v>
      </c>
      <c r="AR343" s="43"/>
    </row>
    <row r="344" spans="1:44">
      <c r="A344" s="40" t="s">
        <v>71</v>
      </c>
      <c r="B344" s="42">
        <f t="shared" si="133"/>
        <v>522149</v>
      </c>
      <c r="C344" s="42">
        <f t="shared" si="133"/>
        <v>1145738757</v>
      </c>
      <c r="D344" s="42">
        <f t="shared" si="132"/>
        <v>1211652844</v>
      </c>
      <c r="E344" s="42">
        <f t="shared" si="132"/>
        <v>1238423562</v>
      </c>
      <c r="F344" s="42">
        <f t="shared" si="132"/>
        <v>1355510041</v>
      </c>
      <c r="G344" s="42">
        <f t="shared" si="132"/>
        <v>1346164879</v>
      </c>
      <c r="H344" s="42">
        <f t="shared" si="132"/>
        <v>1391493131</v>
      </c>
      <c r="I344" s="42">
        <f t="shared" si="132"/>
        <v>1376123653</v>
      </c>
      <c r="J344" s="42">
        <f t="shared" si="132"/>
        <v>1463174906</v>
      </c>
      <c r="K344" s="42">
        <f t="shared" si="132"/>
        <v>1543879601</v>
      </c>
      <c r="L344" s="42">
        <f t="shared" si="132"/>
        <v>913391135</v>
      </c>
      <c r="M344" s="42">
        <f t="shared" si="132"/>
        <v>1424042828</v>
      </c>
      <c r="N344" s="42">
        <f t="shared" si="132"/>
        <v>1505311711</v>
      </c>
      <c r="O344" s="42">
        <f t="shared" si="132"/>
        <v>1594978011</v>
      </c>
      <c r="P344" s="42">
        <f t="shared" si="132"/>
        <v>1769310586</v>
      </c>
      <c r="Q344" s="43">
        <f t="shared" si="132"/>
        <v>1515325484.8252048</v>
      </c>
      <c r="R344" s="43">
        <f t="shared" si="132"/>
        <v>1575091106.9373279</v>
      </c>
      <c r="S344" s="43">
        <f t="shared" si="132"/>
        <v>1646421806.0920024</v>
      </c>
      <c r="T344" s="43">
        <f t="shared" si="132"/>
        <v>1659575114.1163816</v>
      </c>
      <c r="U344" s="43">
        <f t="shared" si="132"/>
        <v>1720158193.1200986</v>
      </c>
      <c r="V344" s="43">
        <f t="shared" si="132"/>
        <v>1782598757.0491047</v>
      </c>
      <c r="W344" s="43">
        <f t="shared" si="132"/>
        <v>1851864996.7674327</v>
      </c>
      <c r="X344" s="43">
        <f t="shared" si="132"/>
        <v>1967869199.305985</v>
      </c>
      <c r="Y344" s="43">
        <f t="shared" si="132"/>
        <v>1982088437.5971842</v>
      </c>
      <c r="Z344" s="43">
        <f t="shared" si="132"/>
        <v>2007692486.8022559</v>
      </c>
      <c r="AA344" s="43">
        <f t="shared" si="132"/>
        <v>2044818890.8310094</v>
      </c>
      <c r="AB344" s="43">
        <f t="shared" si="132"/>
        <v>1976435218.0437591</v>
      </c>
      <c r="AC344" s="43">
        <f t="shared" si="132"/>
        <v>2037015545.1103556</v>
      </c>
      <c r="AD344" s="43">
        <f t="shared" si="132"/>
        <v>2120428761.4824803</v>
      </c>
      <c r="AE344" s="43">
        <f t="shared" si="132"/>
        <v>2120092316.7233169</v>
      </c>
      <c r="AF344" s="43">
        <f t="shared" si="132"/>
        <v>2057932481.9393995</v>
      </c>
      <c r="AG344" s="43">
        <f t="shared" si="132"/>
        <v>2110313082.0017979</v>
      </c>
      <c r="AH344" s="43">
        <f t="shared" si="132"/>
        <v>2171089743.7476249</v>
      </c>
      <c r="AI344" s="43">
        <f t="shared" si="132"/>
        <v>2234282414.9546423</v>
      </c>
      <c r="AJ344" s="43">
        <f t="shared" si="132"/>
        <v>2271855105.9281492</v>
      </c>
      <c r="AK344" s="43">
        <f t="shared" si="132"/>
        <v>2302996319.7422132</v>
      </c>
      <c r="AL344" s="43">
        <f t="shared" si="132"/>
        <v>2324300634.8488388</v>
      </c>
      <c r="AM344" s="43">
        <f t="shared" si="132"/>
        <v>2378002377.7453108</v>
      </c>
      <c r="AN344" s="43">
        <f t="shared" si="132"/>
        <v>2416851952.6912241</v>
      </c>
      <c r="AO344" s="43">
        <f t="shared" si="132"/>
        <v>2454068496.7232628</v>
      </c>
      <c r="AP344" s="43">
        <f t="shared" si="132"/>
        <v>2505370406.9474316</v>
      </c>
      <c r="AQ344" s="43">
        <f t="shared" si="132"/>
        <v>2582516495.0445094</v>
      </c>
      <c r="AR344" s="43"/>
    </row>
    <row r="345" spans="1:44">
      <c r="A345" s="40" t="s">
        <v>47</v>
      </c>
      <c r="B345" s="42">
        <f t="shared" si="133"/>
        <v>485714</v>
      </c>
      <c r="C345" s="42">
        <f t="shared" si="133"/>
        <v>1229328734</v>
      </c>
      <c r="D345" s="42">
        <f t="shared" si="132"/>
        <v>1270339774</v>
      </c>
      <c r="E345" s="42">
        <f t="shared" si="132"/>
        <v>1326811731</v>
      </c>
      <c r="F345" s="42">
        <f t="shared" si="132"/>
        <v>1386136922</v>
      </c>
      <c r="G345" s="42">
        <f t="shared" si="132"/>
        <v>1397526985</v>
      </c>
      <c r="H345" s="42">
        <f t="shared" si="132"/>
        <v>1492122701</v>
      </c>
      <c r="I345" s="42">
        <f t="shared" si="132"/>
        <v>1529800466</v>
      </c>
      <c r="J345" s="42">
        <f t="shared" si="132"/>
        <v>1545009163</v>
      </c>
      <c r="K345" s="42">
        <f t="shared" si="132"/>
        <v>1568022740</v>
      </c>
      <c r="L345" s="42">
        <f t="shared" si="132"/>
        <v>1120377168</v>
      </c>
      <c r="M345" s="42">
        <f t="shared" si="132"/>
        <v>1559519504</v>
      </c>
      <c r="N345" s="42">
        <f t="shared" si="132"/>
        <v>1626546392</v>
      </c>
      <c r="O345" s="42">
        <f t="shared" si="132"/>
        <v>1809165410</v>
      </c>
      <c r="P345" s="42">
        <f t="shared" si="132"/>
        <v>1790805515</v>
      </c>
      <c r="Q345" s="43">
        <f t="shared" si="132"/>
        <v>1651388632.8933434</v>
      </c>
      <c r="R345" s="43">
        <f t="shared" si="132"/>
        <v>1740644212.4040766</v>
      </c>
      <c r="S345" s="43">
        <f t="shared" si="132"/>
        <v>1831511390.7375786</v>
      </c>
      <c r="T345" s="43">
        <f t="shared" si="132"/>
        <v>1859620367.4956536</v>
      </c>
      <c r="U345" s="43">
        <f t="shared" si="132"/>
        <v>1931338597.9744983</v>
      </c>
      <c r="V345" s="43">
        <f t="shared" si="132"/>
        <v>2024585243.1641202</v>
      </c>
      <c r="W345" s="43">
        <f t="shared" si="132"/>
        <v>2109825003.7455218</v>
      </c>
      <c r="X345" s="43">
        <f t="shared" si="132"/>
        <v>2257222813.9771938</v>
      </c>
      <c r="Y345" s="43">
        <f t="shared" si="132"/>
        <v>2285097945.2737856</v>
      </c>
      <c r="Z345" s="43">
        <f t="shared" si="132"/>
        <v>2327764144.1510067</v>
      </c>
      <c r="AA345" s="43">
        <f t="shared" si="132"/>
        <v>2383473681.7902398</v>
      </c>
      <c r="AB345" s="43">
        <f t="shared" si="132"/>
        <v>2304565186.9189625</v>
      </c>
      <c r="AC345" s="43">
        <f t="shared" si="132"/>
        <v>2391392438.3646588</v>
      </c>
      <c r="AD345" s="43">
        <f t="shared" si="132"/>
        <v>2506413628.2253389</v>
      </c>
      <c r="AE345" s="43">
        <f t="shared" si="132"/>
        <v>2522391726.9103036</v>
      </c>
      <c r="AF345" s="43">
        <f t="shared" si="132"/>
        <v>2470456390.0231552</v>
      </c>
      <c r="AG345" s="43">
        <f t="shared" si="132"/>
        <v>2549315900.9549036</v>
      </c>
      <c r="AH345" s="43">
        <f t="shared" si="132"/>
        <v>2682682715.0823655</v>
      </c>
      <c r="AI345" s="43">
        <f t="shared" si="132"/>
        <v>2823441360.6280384</v>
      </c>
      <c r="AJ345" s="43">
        <f t="shared" si="132"/>
        <v>2935558691.8294759</v>
      </c>
      <c r="AK345" s="43">
        <f t="shared" si="132"/>
        <v>3042061823.3000178</v>
      </c>
      <c r="AL345" s="43">
        <f t="shared" si="132"/>
        <v>3139674164.7258339</v>
      </c>
      <c r="AM345" s="43">
        <f t="shared" si="132"/>
        <v>3273686249.0360422</v>
      </c>
      <c r="AN345" s="43">
        <f t="shared" si="132"/>
        <v>3387843270.3099728</v>
      </c>
      <c r="AO345" s="43">
        <f t="shared" si="132"/>
        <v>3499990707.135066</v>
      </c>
      <c r="AP345" s="43">
        <f t="shared" si="132"/>
        <v>3629968544.3758769</v>
      </c>
      <c r="AQ345" s="43">
        <f t="shared" si="132"/>
        <v>3797105998.4172249</v>
      </c>
      <c r="AR345" s="43"/>
    </row>
    <row r="346" spans="1:44">
      <c r="A346" s="40" t="s">
        <v>72</v>
      </c>
      <c r="B346" s="42">
        <f t="shared" si="133"/>
        <v>728834</v>
      </c>
      <c r="C346" s="42">
        <f t="shared" si="133"/>
        <v>1255901614</v>
      </c>
      <c r="D346" s="42">
        <f t="shared" si="132"/>
        <v>1243954750</v>
      </c>
      <c r="E346" s="42">
        <f t="shared" si="132"/>
        <v>1306744232</v>
      </c>
      <c r="F346" s="42">
        <f t="shared" si="132"/>
        <v>1375021740</v>
      </c>
      <c r="G346" s="42">
        <f t="shared" si="132"/>
        <v>1451913776</v>
      </c>
      <c r="H346" s="42">
        <f t="shared" si="132"/>
        <v>1565943863</v>
      </c>
      <c r="I346" s="42">
        <f t="shared" si="132"/>
        <v>1551855028</v>
      </c>
      <c r="J346" s="42">
        <f t="shared" si="132"/>
        <v>1489950357</v>
      </c>
      <c r="K346" s="42">
        <f t="shared" si="132"/>
        <v>1537312870</v>
      </c>
      <c r="L346" s="42">
        <f t="shared" si="132"/>
        <v>1368248433</v>
      </c>
      <c r="M346" s="42">
        <f t="shared" si="132"/>
        <v>1605801084</v>
      </c>
      <c r="N346" s="42">
        <f t="shared" si="132"/>
        <v>1658678526</v>
      </c>
      <c r="O346" s="42">
        <f t="shared" si="132"/>
        <v>1785006441</v>
      </c>
      <c r="P346" s="42">
        <f t="shared" si="132"/>
        <v>1811242639</v>
      </c>
      <c r="Q346" s="43">
        <f t="shared" si="132"/>
        <v>1706473848.4642529</v>
      </c>
      <c r="R346" s="43">
        <f t="shared" si="132"/>
        <v>1763174035.8478761</v>
      </c>
      <c r="S346" s="43">
        <f t="shared" si="132"/>
        <v>1851241633.7362275</v>
      </c>
      <c r="T346" s="43">
        <f t="shared" si="132"/>
        <v>1873607279.8910623</v>
      </c>
      <c r="U346" s="43">
        <f t="shared" si="132"/>
        <v>1944182756.6877933</v>
      </c>
      <c r="V346" s="43">
        <f t="shared" si="132"/>
        <v>2052419054.6483719</v>
      </c>
      <c r="W346" s="43">
        <f t="shared" si="132"/>
        <v>2132871428.6868942</v>
      </c>
      <c r="X346" s="43">
        <f t="shared" si="132"/>
        <v>2280905666.6917753</v>
      </c>
      <c r="Y346" s="43">
        <f t="shared" si="132"/>
        <v>2315097453.4349918</v>
      </c>
      <c r="Z346" s="43">
        <f t="shared" si="132"/>
        <v>2364815371.6037369</v>
      </c>
      <c r="AA346" s="43">
        <f t="shared" si="132"/>
        <v>2431287653.2830076</v>
      </c>
      <c r="AB346" s="43">
        <f t="shared" si="132"/>
        <v>2367374136.2756691</v>
      </c>
      <c r="AC346" s="43">
        <f t="shared" si="132"/>
        <v>2467289987.0989685</v>
      </c>
      <c r="AD346" s="43">
        <f t="shared" si="132"/>
        <v>2597051674.5097823</v>
      </c>
      <c r="AE346" s="43">
        <f t="shared" si="132"/>
        <v>2633881718.099452</v>
      </c>
      <c r="AF346" s="43">
        <f t="shared" si="132"/>
        <v>2606251289.787571</v>
      </c>
      <c r="AG346" s="43">
        <f t="shared" si="132"/>
        <v>2709804614.4936953</v>
      </c>
      <c r="AH346" s="43">
        <f t="shared" si="132"/>
        <v>2921175668.6816807</v>
      </c>
      <c r="AI346" s="43">
        <f t="shared" si="132"/>
        <v>3154877446.9216094</v>
      </c>
      <c r="AJ346" s="43">
        <f t="shared" si="132"/>
        <v>3371285450.9953551</v>
      </c>
      <c r="AK346" s="43">
        <f t="shared" si="132"/>
        <v>3591513205.2622089</v>
      </c>
      <c r="AL346" s="43">
        <f t="shared" si="132"/>
        <v>3811888758.5093017</v>
      </c>
      <c r="AM346" s="43">
        <f t="shared" si="132"/>
        <v>4079289079.5262852</v>
      </c>
      <c r="AN346" s="43">
        <f t="shared" si="132"/>
        <v>4338412007.2182541</v>
      </c>
      <c r="AO346" s="43">
        <f t="shared" si="132"/>
        <v>4607109908.0430088</v>
      </c>
      <c r="AP346" s="43">
        <f t="shared" si="132"/>
        <v>4904511375.7654247</v>
      </c>
      <c r="AQ346" s="43">
        <f t="shared" si="132"/>
        <v>5243356513.7699347</v>
      </c>
      <c r="AR346" s="43"/>
    </row>
    <row r="347" spans="1:44">
      <c r="A347" s="40" t="s">
        <v>73</v>
      </c>
      <c r="B347" s="42">
        <f t="shared" si="133"/>
        <v>1151605235</v>
      </c>
      <c r="C347" s="42">
        <f t="shared" si="133"/>
        <v>1237473661</v>
      </c>
      <c r="D347" s="42">
        <f t="shared" si="132"/>
        <v>1217513378</v>
      </c>
      <c r="E347" s="42">
        <f t="shared" si="132"/>
        <v>1366483798</v>
      </c>
      <c r="F347" s="42">
        <f t="shared" si="132"/>
        <v>1451121748</v>
      </c>
      <c r="G347" s="42">
        <f t="shared" si="132"/>
        <v>1467843056</v>
      </c>
      <c r="H347" s="42">
        <f t="shared" si="132"/>
        <v>1487723742</v>
      </c>
      <c r="I347" s="42">
        <f t="shared" si="132"/>
        <v>1531231532</v>
      </c>
      <c r="J347" s="42">
        <f t="shared" si="132"/>
        <v>1593071333</v>
      </c>
      <c r="K347" s="42">
        <f t="shared" si="132"/>
        <v>1647152002</v>
      </c>
      <c r="L347" s="42">
        <f t="shared" si="132"/>
        <v>1487817117</v>
      </c>
      <c r="M347" s="42">
        <f t="shared" si="132"/>
        <v>1567269907</v>
      </c>
      <c r="N347" s="42">
        <f t="shared" si="132"/>
        <v>1537173752</v>
      </c>
      <c r="O347" s="42">
        <f t="shared" si="132"/>
        <v>1742112586</v>
      </c>
      <c r="P347" s="42">
        <f t="shared" si="132"/>
        <v>1930590914</v>
      </c>
      <c r="Q347" s="43">
        <f t="shared" si="132"/>
        <v>1733484138.5738406</v>
      </c>
      <c r="R347" s="43">
        <f t="shared" si="132"/>
        <v>1767079704.7106056</v>
      </c>
      <c r="S347" s="43">
        <f t="shared" ref="S347:AQ352" si="134">S9+S73+S186+S298</f>
        <v>1864646772.0394709</v>
      </c>
      <c r="T347" s="43">
        <f t="shared" si="134"/>
        <v>1911859244.3523443</v>
      </c>
      <c r="U347" s="43">
        <f t="shared" si="134"/>
        <v>1995212885.2479298</v>
      </c>
      <c r="V347" s="43">
        <f t="shared" si="134"/>
        <v>2095365450.7548921</v>
      </c>
      <c r="W347" s="43">
        <f t="shared" si="134"/>
        <v>2177812741.5745249</v>
      </c>
      <c r="X347" s="43">
        <f t="shared" si="134"/>
        <v>2336363898.3457756</v>
      </c>
      <c r="Y347" s="43">
        <f t="shared" si="134"/>
        <v>2377665487.8579454</v>
      </c>
      <c r="Z347" s="43">
        <f t="shared" si="134"/>
        <v>2433245523.9515915</v>
      </c>
      <c r="AA347" s="43">
        <f t="shared" si="134"/>
        <v>2500763329.4680042</v>
      </c>
      <c r="AB347" s="43">
        <f t="shared" si="134"/>
        <v>2435382536.8722544</v>
      </c>
      <c r="AC347" s="43">
        <f t="shared" si="134"/>
        <v>2541735237.2148857</v>
      </c>
      <c r="AD347" s="43">
        <f t="shared" si="134"/>
        <v>2678132632.8735008</v>
      </c>
      <c r="AE347" s="43">
        <f t="shared" si="134"/>
        <v>2717997713.9516602</v>
      </c>
      <c r="AF347" s="43">
        <f t="shared" si="134"/>
        <v>2694449029.8777046</v>
      </c>
      <c r="AG347" s="43">
        <f t="shared" si="134"/>
        <v>2802736310.3581614</v>
      </c>
      <c r="AH347" s="43">
        <f t="shared" si="134"/>
        <v>3028155825.2811284</v>
      </c>
      <c r="AI347" s="43">
        <f t="shared" si="134"/>
        <v>3275935791.9096708</v>
      </c>
      <c r="AJ347" s="43">
        <f t="shared" si="134"/>
        <v>3506409068.4064722</v>
      </c>
      <c r="AK347" s="43">
        <f t="shared" si="134"/>
        <v>3741791214.6717253</v>
      </c>
      <c r="AL347" s="43">
        <f t="shared" si="134"/>
        <v>3978706047.8749161</v>
      </c>
      <c r="AM347" s="43">
        <f t="shared" si="134"/>
        <v>4261283390.3392525</v>
      </c>
      <c r="AN347" s="43">
        <f t="shared" si="134"/>
        <v>4533641507.7925301</v>
      </c>
      <c r="AO347" s="43">
        <f t="shared" si="134"/>
        <v>4815478844.0810461</v>
      </c>
      <c r="AP347" s="43">
        <f t="shared" si="134"/>
        <v>5127164135.1642122</v>
      </c>
      <c r="AQ347" s="43">
        <f t="shared" si="134"/>
        <v>5489708263.9917698</v>
      </c>
      <c r="AR347" s="43"/>
    </row>
    <row r="348" spans="1:44">
      <c r="A348" s="40" t="s">
        <v>74</v>
      </c>
      <c r="B348" s="42">
        <f t="shared" si="133"/>
        <v>1147359462</v>
      </c>
      <c r="C348" s="42">
        <f t="shared" si="133"/>
        <v>1302386092</v>
      </c>
      <c r="D348" s="42">
        <f t="shared" si="133"/>
        <v>1286960628</v>
      </c>
      <c r="E348" s="42">
        <f t="shared" si="133"/>
        <v>1387336367</v>
      </c>
      <c r="F348" s="42">
        <f t="shared" si="133"/>
        <v>1357524710</v>
      </c>
      <c r="G348" s="42">
        <f t="shared" si="133"/>
        <v>1458202187</v>
      </c>
      <c r="H348" s="42">
        <f t="shared" si="133"/>
        <v>1614679788</v>
      </c>
      <c r="I348" s="42">
        <f t="shared" si="133"/>
        <v>1608414856</v>
      </c>
      <c r="J348" s="42">
        <f t="shared" si="133"/>
        <v>1634191902</v>
      </c>
      <c r="K348" s="42">
        <f t="shared" si="133"/>
        <v>1521102712</v>
      </c>
      <c r="L348" s="42">
        <f t="shared" si="133"/>
        <v>1454071015</v>
      </c>
      <c r="M348" s="42">
        <f t="shared" si="133"/>
        <v>1553647737</v>
      </c>
      <c r="N348" s="42">
        <f t="shared" si="133"/>
        <v>1644151752</v>
      </c>
      <c r="O348" s="42">
        <f t="shared" si="133"/>
        <v>1777315447</v>
      </c>
      <c r="P348" s="42">
        <f t="shared" si="133"/>
        <v>1866546699</v>
      </c>
      <c r="Q348" s="43">
        <f t="shared" si="133"/>
        <v>1731520265.5602722</v>
      </c>
      <c r="R348" s="43">
        <f t="shared" ref="P348:Z352" si="135">R10+R74+R187+R299</f>
        <v>1777291182.1259284</v>
      </c>
      <c r="S348" s="43">
        <f t="shared" si="135"/>
        <v>1891098252.4068749</v>
      </c>
      <c r="T348" s="43">
        <f t="shared" si="135"/>
        <v>1927559118.6000941</v>
      </c>
      <c r="U348" s="43">
        <f t="shared" si="135"/>
        <v>2019264340.7124627</v>
      </c>
      <c r="V348" s="43">
        <f t="shared" si="135"/>
        <v>2130278106.0556114</v>
      </c>
      <c r="W348" s="43">
        <f t="shared" si="135"/>
        <v>2220228135.1025281</v>
      </c>
      <c r="X348" s="43">
        <f t="shared" si="135"/>
        <v>2389499702.5358648</v>
      </c>
      <c r="Y348" s="43">
        <f t="shared" si="135"/>
        <v>2432972834.0618525</v>
      </c>
      <c r="Z348" s="43">
        <f t="shared" si="135"/>
        <v>2495145421.2178192</v>
      </c>
      <c r="AA348" s="43">
        <f t="shared" si="134"/>
        <v>2569158987.7019701</v>
      </c>
      <c r="AB348" s="43">
        <f t="shared" si="134"/>
        <v>2500253612.5877724</v>
      </c>
      <c r="AC348" s="43">
        <f t="shared" si="134"/>
        <v>2615982347.1798463</v>
      </c>
      <c r="AD348" s="43">
        <f t="shared" si="134"/>
        <v>2764438318.5697718</v>
      </c>
      <c r="AE348" s="43">
        <f t="shared" si="134"/>
        <v>2812924282.7523847</v>
      </c>
      <c r="AF348" s="43">
        <f t="shared" si="134"/>
        <v>2797755565.5803843</v>
      </c>
      <c r="AG348" s="43">
        <f t="shared" si="134"/>
        <v>2919888679.920507</v>
      </c>
      <c r="AH348" s="43">
        <f t="shared" si="134"/>
        <v>3181302198.7286081</v>
      </c>
      <c r="AI348" s="43">
        <f t="shared" si="134"/>
        <v>3472719531.552206</v>
      </c>
      <c r="AJ348" s="43">
        <f t="shared" si="134"/>
        <v>3752695149.9605222</v>
      </c>
      <c r="AK348" s="43">
        <f t="shared" si="134"/>
        <v>4044309876.5340424</v>
      </c>
      <c r="AL348" s="43">
        <f t="shared" si="134"/>
        <v>4344607353.3047218</v>
      </c>
      <c r="AM348" s="43">
        <f t="shared" si="134"/>
        <v>4697228514.261158</v>
      </c>
      <c r="AN348" s="43">
        <f t="shared" si="134"/>
        <v>5045831639.8196697</v>
      </c>
      <c r="AO348" s="43">
        <f t="shared" si="134"/>
        <v>5411971847.5447197</v>
      </c>
      <c r="AP348" s="43">
        <f t="shared" si="134"/>
        <v>5817630503.2644844</v>
      </c>
      <c r="AQ348" s="43">
        <f t="shared" si="134"/>
        <v>6279624287.2233219</v>
      </c>
      <c r="AR348" s="43"/>
    </row>
    <row r="349" spans="1:44">
      <c r="A349" s="40" t="s">
        <v>75</v>
      </c>
      <c r="B349" s="42">
        <f t="shared" si="133"/>
        <v>1146239365</v>
      </c>
      <c r="C349" s="42">
        <f t="shared" si="133"/>
        <v>1241781123</v>
      </c>
      <c r="D349" s="42">
        <f t="shared" si="133"/>
        <v>1160367927</v>
      </c>
      <c r="E349" s="42">
        <f t="shared" si="133"/>
        <v>1322532592</v>
      </c>
      <c r="F349" s="42">
        <f t="shared" si="133"/>
        <v>1320427620</v>
      </c>
      <c r="G349" s="42">
        <f t="shared" si="133"/>
        <v>1399347934</v>
      </c>
      <c r="H349" s="42">
        <f t="shared" si="133"/>
        <v>1517029990</v>
      </c>
      <c r="I349" s="42">
        <f t="shared" si="133"/>
        <v>1472508385</v>
      </c>
      <c r="J349" s="42">
        <f t="shared" si="133"/>
        <v>1465721929</v>
      </c>
      <c r="K349" s="42">
        <f t="shared" si="133"/>
        <v>1480506283</v>
      </c>
      <c r="L349" s="42">
        <f t="shared" si="133"/>
        <v>1477870688</v>
      </c>
      <c r="M349" s="42">
        <f t="shared" si="133"/>
        <v>1468506431</v>
      </c>
      <c r="N349" s="42">
        <f t="shared" si="133"/>
        <v>1518543730</v>
      </c>
      <c r="O349" s="42">
        <f t="shared" si="133"/>
        <v>1691683431</v>
      </c>
      <c r="P349" s="42">
        <f t="shared" si="135"/>
        <v>1791369558</v>
      </c>
      <c r="Q349" s="43">
        <f t="shared" si="133"/>
        <v>1652598072.8117568</v>
      </c>
      <c r="R349" s="43">
        <f t="shared" si="135"/>
        <v>1694188333.4573352</v>
      </c>
      <c r="S349" s="43">
        <f t="shared" si="135"/>
        <v>1819035353.0317819</v>
      </c>
      <c r="T349" s="43">
        <f t="shared" si="135"/>
        <v>1871515538.1113529</v>
      </c>
      <c r="U349" s="43">
        <f t="shared" si="135"/>
        <v>1974785987.7145653</v>
      </c>
      <c r="V349" s="43">
        <f t="shared" si="135"/>
        <v>2100871622.8334322</v>
      </c>
      <c r="W349" s="43">
        <f t="shared" si="135"/>
        <v>2198673984.0813007</v>
      </c>
      <c r="X349" s="43">
        <f t="shared" si="135"/>
        <v>2386662176.4470854</v>
      </c>
      <c r="Y349" s="43">
        <f t="shared" si="135"/>
        <v>2435940123.8309922</v>
      </c>
      <c r="Z349" s="43">
        <f t="shared" si="135"/>
        <v>2506840481.956213</v>
      </c>
      <c r="AA349" s="43">
        <f t="shared" si="134"/>
        <v>2585747809.4622688</v>
      </c>
      <c r="AB349" s="43">
        <f t="shared" si="134"/>
        <v>2492210139.1777878</v>
      </c>
      <c r="AC349" s="43">
        <f t="shared" si="134"/>
        <v>2617847139.3831921</v>
      </c>
      <c r="AD349" s="43">
        <f t="shared" si="134"/>
        <v>2779329652.380125</v>
      </c>
      <c r="AE349" s="43">
        <f t="shared" si="134"/>
        <v>2828910433.7386322</v>
      </c>
      <c r="AF349" s="43">
        <f t="shared" si="134"/>
        <v>2814441175.4547119</v>
      </c>
      <c r="AG349" s="43">
        <f t="shared" si="134"/>
        <v>2942459238.1266484</v>
      </c>
      <c r="AH349" s="43">
        <f t="shared" si="134"/>
        <v>3214623831.0805922</v>
      </c>
      <c r="AI349" s="43">
        <f t="shared" si="134"/>
        <v>3517003572.7256527</v>
      </c>
      <c r="AJ349" s="43">
        <f t="shared" si="134"/>
        <v>3805971021.7601948</v>
      </c>
      <c r="AK349" s="43">
        <f t="shared" si="134"/>
        <v>4108751863.691287</v>
      </c>
      <c r="AL349" s="43">
        <f t="shared" si="134"/>
        <v>4423121885.4266863</v>
      </c>
      <c r="AM349" s="43">
        <f t="shared" si="134"/>
        <v>4788946856.4088449</v>
      </c>
      <c r="AN349" s="43">
        <f t="shared" si="134"/>
        <v>5146267353.6231174</v>
      </c>
      <c r="AO349" s="43">
        <f t="shared" si="134"/>
        <v>5520991003.9516001</v>
      </c>
      <c r="AP349" s="43">
        <f t="shared" si="134"/>
        <v>5938919550.6374149</v>
      </c>
      <c r="AQ349" s="43">
        <f t="shared" si="134"/>
        <v>6429326486.8381472</v>
      </c>
      <c r="AR349" s="43"/>
    </row>
    <row r="350" spans="1:44">
      <c r="A350" s="40" t="s">
        <v>76</v>
      </c>
      <c r="B350" s="42">
        <f t="shared" si="133"/>
        <v>1153721955</v>
      </c>
      <c r="C350" s="42">
        <f t="shared" si="133"/>
        <v>1248253221</v>
      </c>
      <c r="D350" s="42">
        <f t="shared" si="133"/>
        <v>1233795722</v>
      </c>
      <c r="E350" s="42">
        <f t="shared" si="133"/>
        <v>1376491367</v>
      </c>
      <c r="F350" s="42">
        <f t="shared" si="133"/>
        <v>1329754867</v>
      </c>
      <c r="G350" s="42">
        <f t="shared" si="133"/>
        <v>1438392578</v>
      </c>
      <c r="H350" s="42">
        <f t="shared" si="133"/>
        <v>1515406154</v>
      </c>
      <c r="I350" s="42">
        <f t="shared" si="133"/>
        <v>1543934364</v>
      </c>
      <c r="J350" s="42">
        <f t="shared" si="133"/>
        <v>1551094067</v>
      </c>
      <c r="K350" s="42">
        <f t="shared" si="133"/>
        <v>1581761825</v>
      </c>
      <c r="L350" s="42">
        <f t="shared" si="133"/>
        <v>1431089914</v>
      </c>
      <c r="M350" s="42">
        <f t="shared" si="133"/>
        <v>1529681348</v>
      </c>
      <c r="N350" s="42">
        <f t="shared" si="133"/>
        <v>1611392322</v>
      </c>
      <c r="O350" s="42">
        <f t="shared" si="133"/>
        <v>1824348622</v>
      </c>
      <c r="P350" s="42">
        <f t="shared" si="133"/>
        <v>1851506321</v>
      </c>
      <c r="Q350" s="43">
        <f t="shared" si="133"/>
        <v>1738188704.4971304</v>
      </c>
      <c r="R350" s="43">
        <f t="shared" si="135"/>
        <v>1798570319.2416849</v>
      </c>
      <c r="S350" s="43">
        <f t="shared" si="135"/>
        <v>1930899551.9372029</v>
      </c>
      <c r="T350" s="43">
        <f t="shared" si="135"/>
        <v>1982689119.9112759</v>
      </c>
      <c r="U350" s="43">
        <f t="shared" si="135"/>
        <v>2069393658.5784478</v>
      </c>
      <c r="V350" s="43">
        <f t="shared" si="135"/>
        <v>2202399359.9104757</v>
      </c>
      <c r="W350" s="43">
        <f t="shared" si="135"/>
        <v>2305236377.3434649</v>
      </c>
      <c r="X350" s="43">
        <f t="shared" si="135"/>
        <v>2497079413.3462806</v>
      </c>
      <c r="Y350" s="43">
        <f t="shared" si="135"/>
        <v>2546525068.079215</v>
      </c>
      <c r="Z350" s="43">
        <f t="shared" si="135"/>
        <v>2616503391.088419</v>
      </c>
      <c r="AA350" s="43">
        <f t="shared" si="134"/>
        <v>2701431771.1525612</v>
      </c>
      <c r="AB350" s="43">
        <f t="shared" si="134"/>
        <v>2616575623.4419646</v>
      </c>
      <c r="AC350" s="43">
        <f t="shared" si="134"/>
        <v>2750347474.3423896</v>
      </c>
      <c r="AD350" s="43">
        <f t="shared" si="134"/>
        <v>2920291154.16294</v>
      </c>
      <c r="AE350" s="43">
        <f t="shared" si="134"/>
        <v>2977291680.3483014</v>
      </c>
      <c r="AF350" s="43">
        <f t="shared" si="134"/>
        <v>2966742036.8913555</v>
      </c>
      <c r="AG350" s="43">
        <f t="shared" si="134"/>
        <v>3107682436.6542835</v>
      </c>
      <c r="AH350" s="43">
        <f t="shared" si="134"/>
        <v>3411513779.910172</v>
      </c>
      <c r="AI350" s="43">
        <f t="shared" si="134"/>
        <v>3754653850.0068383</v>
      </c>
      <c r="AJ350" s="43">
        <f t="shared" si="134"/>
        <v>4089278553.9979849</v>
      </c>
      <c r="AK350" s="43">
        <f t="shared" si="134"/>
        <v>4443340322.827589</v>
      </c>
      <c r="AL350" s="43">
        <f t="shared" si="134"/>
        <v>4813468292.9836445</v>
      </c>
      <c r="AM350" s="43">
        <f t="shared" si="134"/>
        <v>5247268053.8832626</v>
      </c>
      <c r="AN350" s="43">
        <f t="shared" si="134"/>
        <v>5681321185.641922</v>
      </c>
      <c r="AO350" s="43">
        <f t="shared" si="134"/>
        <v>6142415244.7828407</v>
      </c>
      <c r="AP350" s="43">
        <f t="shared" si="134"/>
        <v>6657015281.1917648</v>
      </c>
      <c r="AQ350" s="43">
        <f t="shared" si="134"/>
        <v>7258647006.3805485</v>
      </c>
      <c r="AR350" s="43"/>
    </row>
    <row r="351" spans="1:44">
      <c r="A351" s="40" t="s">
        <v>77</v>
      </c>
      <c r="B351" s="42">
        <f t="shared" si="133"/>
        <v>1174725165</v>
      </c>
      <c r="C351" s="42">
        <f t="shared" si="133"/>
        <v>1280916831</v>
      </c>
      <c r="D351" s="42">
        <f t="shared" si="133"/>
        <v>1238796933</v>
      </c>
      <c r="E351" s="42">
        <f t="shared" si="133"/>
        <v>1333154643</v>
      </c>
      <c r="F351" s="42">
        <f t="shared" si="133"/>
        <v>1309544334</v>
      </c>
      <c r="G351" s="42">
        <f t="shared" si="133"/>
        <v>1401867176</v>
      </c>
      <c r="H351" s="42">
        <f t="shared" si="133"/>
        <v>1507357312</v>
      </c>
      <c r="I351" s="42">
        <f t="shared" si="133"/>
        <v>1531195059</v>
      </c>
      <c r="J351" s="42">
        <f t="shared" si="133"/>
        <v>1488777207</v>
      </c>
      <c r="K351" s="42">
        <f t="shared" si="133"/>
        <v>1453840798</v>
      </c>
      <c r="L351" s="42">
        <f t="shared" si="133"/>
        <v>1465615630</v>
      </c>
      <c r="M351" s="42">
        <f t="shared" si="133"/>
        <v>1598875772</v>
      </c>
      <c r="N351" s="42">
        <f t="shared" si="133"/>
        <v>1703010892</v>
      </c>
      <c r="O351" s="42">
        <f t="shared" si="133"/>
        <v>1729576724</v>
      </c>
      <c r="P351" s="42">
        <f t="shared" si="133"/>
        <v>1748338712</v>
      </c>
      <c r="Q351" s="43">
        <f t="shared" si="133"/>
        <v>1742852598.085834</v>
      </c>
      <c r="R351" s="43">
        <f t="shared" si="135"/>
        <v>1820949623.7800171</v>
      </c>
      <c r="S351" s="43">
        <f t="shared" si="135"/>
        <v>1931628348.1965542</v>
      </c>
      <c r="T351" s="43">
        <f t="shared" si="135"/>
        <v>1963099516.4070263</v>
      </c>
      <c r="U351" s="43">
        <f t="shared" si="135"/>
        <v>2045542057.6497493</v>
      </c>
      <c r="V351" s="43">
        <f t="shared" si="135"/>
        <v>2178385940.9863849</v>
      </c>
      <c r="W351" s="43">
        <f t="shared" si="135"/>
        <v>2272069878.5029125</v>
      </c>
      <c r="X351" s="43">
        <f t="shared" si="135"/>
        <v>2456438947.0654306</v>
      </c>
      <c r="Y351" s="43">
        <f t="shared" si="135"/>
        <v>2498143335.0046678</v>
      </c>
      <c r="Z351" s="43">
        <f t="shared" si="135"/>
        <v>2557264580.3770485</v>
      </c>
      <c r="AA351" s="43">
        <f t="shared" si="134"/>
        <v>2638520652.4659071</v>
      </c>
      <c r="AB351" s="43">
        <f t="shared" si="134"/>
        <v>2572856004.8371344</v>
      </c>
      <c r="AC351" s="43">
        <f t="shared" si="134"/>
        <v>2704519359.6354079</v>
      </c>
      <c r="AD351" s="43">
        <f t="shared" si="134"/>
        <v>2865195347.923665</v>
      </c>
      <c r="AE351" s="43">
        <f t="shared" si="134"/>
        <v>2910219864.5102181</v>
      </c>
      <c r="AF351" s="43">
        <f t="shared" si="134"/>
        <v>2872148535.2793703</v>
      </c>
      <c r="AG351" s="43">
        <f t="shared" si="134"/>
        <v>2996074861.1857853</v>
      </c>
      <c r="AH351" s="43">
        <f t="shared" si="134"/>
        <v>3251188262.3749781</v>
      </c>
      <c r="AI351" s="43">
        <f t="shared" si="134"/>
        <v>3536086484.4087543</v>
      </c>
      <c r="AJ351" s="43">
        <f t="shared" si="134"/>
        <v>3793303807.5691943</v>
      </c>
      <c r="AK351" s="43">
        <f t="shared" si="134"/>
        <v>4052892705.4645853</v>
      </c>
      <c r="AL351" s="43">
        <f t="shared" si="134"/>
        <v>4308907249.2347527</v>
      </c>
      <c r="AM351" s="43">
        <f t="shared" si="134"/>
        <v>4627004995.3037872</v>
      </c>
      <c r="AN351" s="43">
        <f t="shared" si="134"/>
        <v>4932908845.1404324</v>
      </c>
      <c r="AO351" s="43">
        <f t="shared" si="134"/>
        <v>5249683794.6066189</v>
      </c>
      <c r="AP351" s="43">
        <f t="shared" si="134"/>
        <v>5601030406.9434052</v>
      </c>
      <c r="AQ351" s="43">
        <f t="shared" si="134"/>
        <v>6015550810.99823</v>
      </c>
      <c r="AR351" s="43"/>
    </row>
    <row r="352" spans="1:44">
      <c r="A352" s="40" t="s">
        <v>78</v>
      </c>
      <c r="B352" s="42">
        <f t="shared" si="133"/>
        <v>1237184033</v>
      </c>
      <c r="C352" s="42">
        <f t="shared" si="133"/>
        <v>1404011258</v>
      </c>
      <c r="D352" s="42">
        <f t="shared" si="133"/>
        <v>1208214921</v>
      </c>
      <c r="E352" s="42">
        <f t="shared" si="133"/>
        <v>1462832838</v>
      </c>
      <c r="F352" s="42">
        <f t="shared" si="133"/>
        <v>1528631650</v>
      </c>
      <c r="G352" s="42">
        <f t="shared" si="133"/>
        <v>1525870242</v>
      </c>
      <c r="H352" s="42">
        <f t="shared" si="133"/>
        <v>1674333160</v>
      </c>
      <c r="I352" s="42">
        <f t="shared" si="133"/>
        <v>1561156231</v>
      </c>
      <c r="J352" s="42">
        <f t="shared" si="133"/>
        <v>1614298353</v>
      </c>
      <c r="K352" s="42">
        <f t="shared" si="133"/>
        <v>1640391475</v>
      </c>
      <c r="L352" s="42">
        <f t="shared" si="133"/>
        <v>1562285979</v>
      </c>
      <c r="M352" s="42">
        <f t="shared" si="133"/>
        <v>1777522495</v>
      </c>
      <c r="N352" s="42">
        <f t="shared" si="133"/>
        <v>1711829549</v>
      </c>
      <c r="O352" s="42">
        <f t="shared" si="133"/>
        <v>1915652752</v>
      </c>
      <c r="P352" s="42">
        <f t="shared" si="133"/>
        <v>1948110360</v>
      </c>
      <c r="Q352" s="43">
        <f t="shared" si="133"/>
        <v>2113028937.0905244</v>
      </c>
      <c r="R352" s="43">
        <f t="shared" si="135"/>
        <v>1981314945.2374535</v>
      </c>
      <c r="S352" s="43">
        <f t="shared" si="135"/>
        <v>2093664294.1596031</v>
      </c>
      <c r="T352" s="43">
        <f t="shared" si="135"/>
        <v>2139302519.8009202</v>
      </c>
      <c r="U352" s="43">
        <f t="shared" si="135"/>
        <v>2238247150.9989944</v>
      </c>
      <c r="V352" s="43">
        <f t="shared" si="135"/>
        <v>2383776681.4036894</v>
      </c>
      <c r="W352" s="43">
        <f t="shared" si="135"/>
        <v>2449398448.7687063</v>
      </c>
      <c r="X352" s="43">
        <f t="shared" si="135"/>
        <v>2639441082.7359447</v>
      </c>
      <c r="Y352" s="43">
        <f t="shared" si="135"/>
        <v>2662181161.4744153</v>
      </c>
      <c r="Z352" s="43">
        <f t="shared" si="135"/>
        <v>2721969508.0050225</v>
      </c>
      <c r="AA352" s="43">
        <f t="shared" si="134"/>
        <v>2795194501.7612972</v>
      </c>
      <c r="AB352" s="43">
        <f t="shared" si="134"/>
        <v>2725495980.0076561</v>
      </c>
      <c r="AC352" s="43">
        <f t="shared" si="134"/>
        <v>2838966442.9927988</v>
      </c>
      <c r="AD352" s="43">
        <f t="shared" si="134"/>
        <v>2975682627.4558592</v>
      </c>
      <c r="AE352" s="43">
        <f t="shared" si="134"/>
        <v>2985427165.4245601</v>
      </c>
      <c r="AF352" s="43">
        <f t="shared" si="134"/>
        <v>2888664725.3411379</v>
      </c>
      <c r="AG352" s="43">
        <f t="shared" si="134"/>
        <v>2960691410.4180241</v>
      </c>
      <c r="AH352" s="43">
        <f t="shared" si="134"/>
        <v>3101635631.8492327</v>
      </c>
      <c r="AI352" s="43">
        <f t="shared" si="134"/>
        <v>3211645558.1300068</v>
      </c>
      <c r="AJ352" s="43">
        <f t="shared" si="134"/>
        <v>3227200810.1983128</v>
      </c>
      <c r="AK352" s="43">
        <f t="shared" si="134"/>
        <v>3178487855.0100107</v>
      </c>
      <c r="AL352" s="43">
        <f t="shared" si="134"/>
        <v>3059689331.1531572</v>
      </c>
      <c r="AM352" s="43">
        <f t="shared" si="134"/>
        <v>2949717064.6799383</v>
      </c>
      <c r="AN352" s="43">
        <f t="shared" si="134"/>
        <v>2755378098.5882592</v>
      </c>
      <c r="AO352" s="43">
        <f t="shared" si="134"/>
        <v>2492324930.7018909</v>
      </c>
      <c r="AP352" s="43">
        <f t="shared" si="134"/>
        <v>2180125819.5623202</v>
      </c>
      <c r="AQ352" s="43">
        <f t="shared" si="134"/>
        <v>1834998155.0509105</v>
      </c>
      <c r="AR352" s="43"/>
    </row>
    <row r="353" spans="1:44" ht="12" thickBot="1">
      <c r="A353" s="48" t="s">
        <v>29</v>
      </c>
      <c r="B353" s="49">
        <f>SUM(B341:B352)</f>
        <v>7017090984</v>
      </c>
      <c r="C353" s="49">
        <f>SUM(C341:C352)</f>
        <v>14946397117</v>
      </c>
      <c r="D353" s="49">
        <f t="shared" ref="D353:AQ353" si="136">SUM(D341:D352)</f>
        <v>14750055307</v>
      </c>
      <c r="E353" s="49">
        <f t="shared" si="136"/>
        <v>15545087812</v>
      </c>
      <c r="F353" s="49">
        <f t="shared" si="136"/>
        <v>16122151884</v>
      </c>
      <c r="G353" s="49">
        <f t="shared" si="136"/>
        <v>16752226619</v>
      </c>
      <c r="H353" s="49">
        <f t="shared" si="136"/>
        <v>17877666924</v>
      </c>
      <c r="I353" s="49">
        <f t="shared" si="136"/>
        <v>17868836287</v>
      </c>
      <c r="J353" s="49">
        <f t="shared" si="136"/>
        <v>18029726891</v>
      </c>
      <c r="K353" s="49">
        <f t="shared" si="136"/>
        <v>18175090239</v>
      </c>
      <c r="L353" s="49">
        <f t="shared" si="136"/>
        <v>16577471289</v>
      </c>
      <c r="M353" s="49">
        <f t="shared" si="136"/>
        <v>17993907603</v>
      </c>
      <c r="N353" s="49">
        <f t="shared" si="136"/>
        <v>18959062047</v>
      </c>
      <c r="O353" s="49">
        <f t="shared" si="136"/>
        <v>20594519883</v>
      </c>
      <c r="P353" s="49">
        <f t="shared" si="136"/>
        <v>21564216522</v>
      </c>
      <c r="Q353" s="50">
        <f t="shared" si="136"/>
        <v>20171863424.147533</v>
      </c>
      <c r="R353" s="50">
        <f t="shared" si="136"/>
        <v>20594734694.85442</v>
      </c>
      <c r="S353" s="50">
        <f t="shared" si="136"/>
        <v>21794543262.172451</v>
      </c>
      <c r="T353" s="50">
        <f t="shared" si="136"/>
        <v>22181194590.900589</v>
      </c>
      <c r="U353" s="50">
        <f t="shared" si="136"/>
        <v>23096704248.988853</v>
      </c>
      <c r="V353" s="50">
        <f t="shared" si="136"/>
        <v>24298145497.827148</v>
      </c>
      <c r="W353" s="50">
        <f t="shared" si="136"/>
        <v>25270858467.696594</v>
      </c>
      <c r="X353" s="50">
        <f t="shared" si="136"/>
        <v>27115919750.472252</v>
      </c>
      <c r="Y353" s="50">
        <f t="shared" si="136"/>
        <v>27508213367.030704</v>
      </c>
      <c r="Z353" s="50">
        <f t="shared" si="136"/>
        <v>28075836629.10527</v>
      </c>
      <c r="AA353" s="50">
        <f t="shared" si="136"/>
        <v>28811482609.489731</v>
      </c>
      <c r="AB353" s="50">
        <f t="shared" si="136"/>
        <v>27956344235.646702</v>
      </c>
      <c r="AC353" s="50">
        <f t="shared" si="136"/>
        <v>29123141815.720196</v>
      </c>
      <c r="AD353" s="50">
        <f t="shared" si="136"/>
        <v>30618151613.139046</v>
      </c>
      <c r="AE353" s="50">
        <f t="shared" si="136"/>
        <v>30928118704.113686</v>
      </c>
      <c r="AF353" s="50">
        <f t="shared" si="136"/>
        <v>30419643229.826637</v>
      </c>
      <c r="AG353" s="50">
        <f t="shared" si="136"/>
        <v>31505069983.556236</v>
      </c>
      <c r="AH353" s="50">
        <f t="shared" si="136"/>
        <v>33542323538.53405</v>
      </c>
      <c r="AI353" s="50">
        <f t="shared" si="136"/>
        <v>35744660915.650948</v>
      </c>
      <c r="AJ353" s="50">
        <f t="shared" si="136"/>
        <v>37627996942.552116</v>
      </c>
      <c r="AK353" s="50">
        <f t="shared" si="136"/>
        <v>39475627244.550789</v>
      </c>
      <c r="AL353" s="50">
        <f t="shared" si="136"/>
        <v>41243256803.944801</v>
      </c>
      <c r="AM353" s="50">
        <f t="shared" si="136"/>
        <v>43504689039.184914</v>
      </c>
      <c r="AN353" s="50">
        <f t="shared" si="136"/>
        <v>45561725794.439445</v>
      </c>
      <c r="AO353" s="50">
        <f t="shared" si="136"/>
        <v>47634749423.156113</v>
      </c>
      <c r="AP353" s="50">
        <f t="shared" si="136"/>
        <v>49962521443.778915</v>
      </c>
      <c r="AQ353" s="50">
        <f t="shared" si="136"/>
        <v>52759504929.516792</v>
      </c>
      <c r="AR353" s="43"/>
    </row>
    <row r="354" spans="1:44">
      <c r="A354" s="51"/>
      <c r="B354" s="51"/>
      <c r="C354" s="51"/>
      <c r="D354" s="51"/>
      <c r="E354" s="51"/>
      <c r="F354" s="51"/>
      <c r="G354" s="51"/>
      <c r="H354" s="51"/>
      <c r="I354" s="51"/>
      <c r="J354" s="51"/>
      <c r="K354" s="51"/>
      <c r="L354" s="51"/>
      <c r="M354" s="52"/>
      <c r="N354" s="53"/>
      <c r="O354" s="54"/>
      <c r="P354" s="54"/>
      <c r="Q354" s="53"/>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row>
    <row r="356" spans="1:44" ht="12" thickBot="1">
      <c r="A356" s="39" t="s">
        <v>161</v>
      </c>
    </row>
    <row r="357" spans="1:44" ht="12" thickBot="1">
      <c r="A357" s="41"/>
      <c r="B357" s="41">
        <f>B2</f>
        <v>2010</v>
      </c>
      <c r="C357" s="41">
        <f t="shared" ref="C357:AQ357" si="137">C2</f>
        <v>2011</v>
      </c>
      <c r="D357" s="41">
        <f t="shared" si="137"/>
        <v>2012</v>
      </c>
      <c r="E357" s="41">
        <f t="shared" si="137"/>
        <v>2013</v>
      </c>
      <c r="F357" s="41">
        <f t="shared" si="137"/>
        <v>2014</v>
      </c>
      <c r="G357" s="41">
        <f t="shared" si="137"/>
        <v>2015</v>
      </c>
      <c r="H357" s="41">
        <f t="shared" si="137"/>
        <v>2016</v>
      </c>
      <c r="I357" s="41">
        <f t="shared" si="137"/>
        <v>2017</v>
      </c>
      <c r="J357" s="41">
        <f t="shared" si="137"/>
        <v>2018</v>
      </c>
      <c r="K357" s="41">
        <f t="shared" si="137"/>
        <v>2019</v>
      </c>
      <c r="L357" s="41">
        <f t="shared" si="137"/>
        <v>2020</v>
      </c>
      <c r="M357" s="41">
        <f t="shared" si="137"/>
        <v>2021</v>
      </c>
      <c r="N357" s="41">
        <f t="shared" si="137"/>
        <v>2022</v>
      </c>
      <c r="O357" s="41">
        <f t="shared" si="137"/>
        <v>2023</v>
      </c>
      <c r="P357" s="41">
        <f t="shared" si="137"/>
        <v>2024</v>
      </c>
      <c r="Q357" s="41">
        <f t="shared" si="137"/>
        <v>2025</v>
      </c>
      <c r="R357" s="41">
        <f t="shared" si="137"/>
        <v>2026</v>
      </c>
      <c r="S357" s="41">
        <f t="shared" si="137"/>
        <v>2027</v>
      </c>
      <c r="T357" s="41">
        <f t="shared" si="137"/>
        <v>2028</v>
      </c>
      <c r="U357" s="41">
        <f t="shared" si="137"/>
        <v>2029</v>
      </c>
      <c r="V357" s="41">
        <f t="shared" si="137"/>
        <v>2030</v>
      </c>
      <c r="W357" s="41">
        <f t="shared" si="137"/>
        <v>2031</v>
      </c>
      <c r="X357" s="41">
        <f t="shared" si="137"/>
        <v>2032</v>
      </c>
      <c r="Y357" s="41">
        <f t="shared" si="137"/>
        <v>2033</v>
      </c>
      <c r="Z357" s="41">
        <f t="shared" si="137"/>
        <v>2034</v>
      </c>
      <c r="AA357" s="41">
        <f t="shared" si="137"/>
        <v>2035</v>
      </c>
      <c r="AB357" s="41">
        <f t="shared" si="137"/>
        <v>2036</v>
      </c>
      <c r="AC357" s="41">
        <f t="shared" si="137"/>
        <v>2037</v>
      </c>
      <c r="AD357" s="41">
        <f t="shared" si="137"/>
        <v>2038</v>
      </c>
      <c r="AE357" s="41">
        <f t="shared" si="137"/>
        <v>2039</v>
      </c>
      <c r="AF357" s="41">
        <f t="shared" si="137"/>
        <v>2040</v>
      </c>
      <c r="AG357" s="41">
        <f t="shared" si="137"/>
        <v>2041</v>
      </c>
      <c r="AH357" s="41">
        <f t="shared" si="137"/>
        <v>2042</v>
      </c>
      <c r="AI357" s="41">
        <f t="shared" si="137"/>
        <v>2043</v>
      </c>
      <c r="AJ357" s="41">
        <f t="shared" si="137"/>
        <v>2044</v>
      </c>
      <c r="AK357" s="41">
        <f t="shared" si="137"/>
        <v>2045</v>
      </c>
      <c r="AL357" s="41">
        <f t="shared" si="137"/>
        <v>2046</v>
      </c>
      <c r="AM357" s="41">
        <f t="shared" si="137"/>
        <v>2047</v>
      </c>
      <c r="AN357" s="41">
        <f t="shared" si="137"/>
        <v>2048</v>
      </c>
      <c r="AO357" s="41">
        <f t="shared" si="137"/>
        <v>2049</v>
      </c>
      <c r="AP357" s="41">
        <f t="shared" si="137"/>
        <v>2050</v>
      </c>
      <c r="AQ357" s="41">
        <f t="shared" si="137"/>
        <v>2051</v>
      </c>
    </row>
    <row r="358" spans="1:44">
      <c r="A358" s="40" t="s">
        <v>68</v>
      </c>
      <c r="B358" s="42">
        <f>B341</f>
        <v>631590</v>
      </c>
      <c r="C358" s="42">
        <f t="shared" ref="C358:AQ358" si="138">C341</f>
        <v>1202172691</v>
      </c>
      <c r="D358" s="42">
        <f t="shared" si="138"/>
        <v>1249986291</v>
      </c>
      <c r="E358" s="42">
        <f t="shared" si="138"/>
        <v>1160300059</v>
      </c>
      <c r="F358" s="42">
        <f t="shared" si="138"/>
        <v>1257625609</v>
      </c>
      <c r="G358" s="42">
        <f t="shared" si="138"/>
        <v>1311651364</v>
      </c>
      <c r="H358" s="42">
        <f t="shared" si="138"/>
        <v>1364726718</v>
      </c>
      <c r="I358" s="42">
        <f t="shared" si="138"/>
        <v>1378272770</v>
      </c>
      <c r="J358" s="42">
        <f t="shared" si="138"/>
        <v>1426482928</v>
      </c>
      <c r="K358" s="42">
        <f t="shared" si="138"/>
        <v>1377328982</v>
      </c>
      <c r="L358" s="42">
        <f t="shared" si="138"/>
        <v>1453258284</v>
      </c>
      <c r="M358" s="42">
        <f t="shared" si="138"/>
        <v>1283763379</v>
      </c>
      <c r="N358" s="42">
        <f t="shared" si="138"/>
        <v>1436069890</v>
      </c>
      <c r="O358" s="42">
        <f t="shared" si="138"/>
        <v>1540686307</v>
      </c>
      <c r="P358" s="42">
        <f t="shared" si="138"/>
        <v>1640587208</v>
      </c>
      <c r="Q358" s="42">
        <f t="shared" si="138"/>
        <v>1558534553</v>
      </c>
      <c r="R358" s="43">
        <f t="shared" si="138"/>
        <v>1535722409.1446331</v>
      </c>
      <c r="S358" s="43">
        <f t="shared" si="138"/>
        <v>1608913416.6145663</v>
      </c>
      <c r="T358" s="43">
        <f t="shared" si="138"/>
        <v>1626444944.899498</v>
      </c>
      <c r="U358" s="43">
        <f t="shared" si="138"/>
        <v>1678422572.3533301</v>
      </c>
      <c r="V358" s="43">
        <f t="shared" si="138"/>
        <v>1737028369.4221606</v>
      </c>
      <c r="W358" s="43">
        <f t="shared" si="138"/>
        <v>1793241924.2724757</v>
      </c>
      <c r="X358" s="43">
        <f t="shared" si="138"/>
        <v>1896367927.6695471</v>
      </c>
      <c r="Y358" s="43">
        <f t="shared" si="138"/>
        <v>1931330514.4407768</v>
      </c>
      <c r="Z358" s="43">
        <f t="shared" si="138"/>
        <v>1946717738.2810867</v>
      </c>
      <c r="AA358" s="43">
        <f t="shared" si="138"/>
        <v>1982894693.8328309</v>
      </c>
      <c r="AB358" s="43">
        <f t="shared" si="138"/>
        <v>1927923301.7821195</v>
      </c>
      <c r="AC358" s="43">
        <f t="shared" si="138"/>
        <v>1986155806.6083565</v>
      </c>
      <c r="AD358" s="43">
        <f t="shared" si="138"/>
        <v>2062805743.8012576</v>
      </c>
      <c r="AE358" s="43">
        <f t="shared" si="138"/>
        <v>2065147741.8086624</v>
      </c>
      <c r="AF358" s="43">
        <f t="shared" si="138"/>
        <v>2013689584.5551124</v>
      </c>
      <c r="AG358" s="43">
        <f t="shared" si="138"/>
        <v>2061684675.7756314</v>
      </c>
      <c r="AH358" s="43">
        <f t="shared" si="138"/>
        <v>2112359475.0958421</v>
      </c>
      <c r="AI358" s="43">
        <f t="shared" si="138"/>
        <v>2167784123.2712016</v>
      </c>
      <c r="AJ358" s="43">
        <f t="shared" si="138"/>
        <v>2202172201.6768618</v>
      </c>
      <c r="AK358" s="43">
        <f t="shared" si="138"/>
        <v>2232213773.4650459</v>
      </c>
      <c r="AL358" s="43">
        <f t="shared" si="138"/>
        <v>2254129170.8354855</v>
      </c>
      <c r="AM358" s="43">
        <f t="shared" si="138"/>
        <v>2305856842.9586902</v>
      </c>
      <c r="AN358" s="43">
        <f t="shared" si="138"/>
        <v>2346735546.9542623</v>
      </c>
      <c r="AO358" s="43">
        <f t="shared" si="138"/>
        <v>2387063518.1481862</v>
      </c>
      <c r="AP358" s="43">
        <f t="shared" si="138"/>
        <v>2439887651.2687225</v>
      </c>
      <c r="AQ358" s="43">
        <f t="shared" si="138"/>
        <v>2506982396.5251317</v>
      </c>
      <c r="AR358" s="43"/>
    </row>
    <row r="359" spans="1:44">
      <c r="A359" s="40" t="s">
        <v>69</v>
      </c>
      <c r="B359" s="42">
        <f>B358+B342</f>
        <v>2984213</v>
      </c>
      <c r="C359" s="42">
        <f t="shared" ref="C359:AQ365" si="139">C358+C342</f>
        <v>2301820772</v>
      </c>
      <c r="D359" s="42">
        <f t="shared" si="139"/>
        <v>2411904638</v>
      </c>
      <c r="E359" s="42">
        <f t="shared" si="139"/>
        <v>2211854037</v>
      </c>
      <c r="F359" s="42">
        <f t="shared" si="139"/>
        <v>2401906218</v>
      </c>
      <c r="G359" s="42">
        <f t="shared" si="139"/>
        <v>2506054995</v>
      </c>
      <c r="H359" s="42">
        <f t="shared" si="139"/>
        <v>2690537211</v>
      </c>
      <c r="I359" s="42">
        <f t="shared" si="139"/>
        <v>2681332324</v>
      </c>
      <c r="J359" s="42">
        <f t="shared" si="139"/>
        <v>2725511827</v>
      </c>
      <c r="K359" s="42">
        <f t="shared" si="139"/>
        <v>2746691261</v>
      </c>
      <c r="L359" s="42">
        <f t="shared" si="139"/>
        <v>2864673953</v>
      </c>
      <c r="M359" s="42">
        <f t="shared" si="139"/>
        <v>2421368583</v>
      </c>
      <c r="N359" s="42">
        <f t="shared" si="139"/>
        <v>2819592741</v>
      </c>
      <c r="O359" s="42">
        <f t="shared" si="139"/>
        <v>3056191332</v>
      </c>
      <c r="P359" s="42">
        <f t="shared" si="139"/>
        <v>3387511067</v>
      </c>
      <c r="Q359" s="42">
        <f t="shared" si="139"/>
        <v>2970317227</v>
      </c>
      <c r="R359" s="43">
        <f t="shared" si="139"/>
        <v>3044664682.8668289</v>
      </c>
      <c r="S359" s="43">
        <f t="shared" si="139"/>
        <v>3249848231.0668859</v>
      </c>
      <c r="T359" s="43">
        <f t="shared" si="139"/>
        <v>3312778196.2293873</v>
      </c>
      <c r="U359" s="43">
        <f t="shared" si="139"/>
        <v>3436080269.8345222</v>
      </c>
      <c r="V359" s="43">
        <f t="shared" si="139"/>
        <v>3568754242.4011183</v>
      </c>
      <c r="W359" s="43">
        <f t="shared" si="139"/>
        <v>3717667432.8812695</v>
      </c>
      <c r="X359" s="43">
        <f t="shared" si="139"/>
        <v>3973743334.5327177</v>
      </c>
      <c r="Y359" s="43">
        <f t="shared" si="139"/>
        <v>4032215513.9464607</v>
      </c>
      <c r="Z359" s="43">
        <f t="shared" si="139"/>
        <v>4087111726.5238609</v>
      </c>
      <c r="AA359" s="43">
        <f t="shared" si="139"/>
        <v>4168292628.2265396</v>
      </c>
      <c r="AB359" s="43">
        <f t="shared" si="139"/>
        <v>4006961124.4042883</v>
      </c>
      <c r="AC359" s="43">
        <f t="shared" si="139"/>
        <v>4143485593.7181973</v>
      </c>
      <c r="AD359" s="43">
        <f t="shared" si="139"/>
        <v>4323919625.7470722</v>
      </c>
      <c r="AE359" s="43">
        <f t="shared" si="139"/>
        <v>4328972057.4360275</v>
      </c>
      <c r="AF359" s="43">
        <f t="shared" si="139"/>
        <v>4220956806.078382</v>
      </c>
      <c r="AG359" s="43">
        <f t="shared" si="139"/>
        <v>4328831081.6916914</v>
      </c>
      <c r="AH359" s="43">
        <f t="shared" si="139"/>
        <v>4446319138.9624424</v>
      </c>
      <c r="AI359" s="43">
        <f t="shared" si="139"/>
        <v>4571191405.431736</v>
      </c>
      <c r="AJ359" s="43">
        <f t="shared" si="139"/>
        <v>4647167692.4854879</v>
      </c>
      <c r="AK359" s="43">
        <f t="shared" si="139"/>
        <v>4717061498.7894621</v>
      </c>
      <c r="AL359" s="43">
        <f t="shared" si="139"/>
        <v>4775236763.4066343</v>
      </c>
      <c r="AM359" s="43">
        <f t="shared" si="139"/>
        <v>4891562233.1099243</v>
      </c>
      <c r="AN359" s="43">
        <f t="shared" si="139"/>
        <v>4974837976.7284164</v>
      </c>
      <c r="AO359" s="43">
        <f t="shared" si="139"/>
        <v>5055694754.6908245</v>
      </c>
      <c r="AP359" s="43">
        <f t="shared" si="139"/>
        <v>5168994996.1620054</v>
      </c>
      <c r="AQ359" s="43">
        <f t="shared" si="139"/>
        <v>5347384554.0660925</v>
      </c>
      <c r="AR359" s="43"/>
    </row>
    <row r="360" spans="1:44">
      <c r="A360" s="40" t="s">
        <v>70</v>
      </c>
      <c r="B360" s="42">
        <f t="shared" ref="B360:B369" si="140">B359+B343</f>
        <v>4519072</v>
      </c>
      <c r="C360" s="42">
        <f t="shared" si="139"/>
        <v>3600605826</v>
      </c>
      <c r="D360" s="42">
        <f t="shared" si="139"/>
        <v>3678458430</v>
      </c>
      <c r="E360" s="42">
        <f t="shared" si="139"/>
        <v>3424276682</v>
      </c>
      <c r="F360" s="42">
        <f t="shared" si="139"/>
        <v>3708478252</v>
      </c>
      <c r="G360" s="42">
        <f t="shared" si="139"/>
        <v>3865097806</v>
      </c>
      <c r="H360" s="42">
        <f t="shared" si="139"/>
        <v>4111577083</v>
      </c>
      <c r="I360" s="42">
        <f t="shared" si="139"/>
        <v>4162616713</v>
      </c>
      <c r="J360" s="42">
        <f t="shared" si="139"/>
        <v>4184437674</v>
      </c>
      <c r="K360" s="42">
        <f t="shared" si="139"/>
        <v>4201119933</v>
      </c>
      <c r="L360" s="42">
        <f t="shared" si="139"/>
        <v>4296704210</v>
      </c>
      <c r="M360" s="42">
        <f t="shared" si="139"/>
        <v>3909040497</v>
      </c>
      <c r="N360" s="42">
        <f t="shared" si="139"/>
        <v>4442423421</v>
      </c>
      <c r="O360" s="42">
        <f t="shared" si="139"/>
        <v>4724680459</v>
      </c>
      <c r="P360" s="42">
        <f t="shared" si="139"/>
        <v>5056395218</v>
      </c>
      <c r="Q360" s="42">
        <f t="shared" si="139"/>
        <v>4587002741.345376</v>
      </c>
      <c r="R360" s="43">
        <f t="shared" si="139"/>
        <v>4676431231.112112</v>
      </c>
      <c r="S360" s="43">
        <f t="shared" si="139"/>
        <v>4934395859.8351536</v>
      </c>
      <c r="T360" s="43">
        <f t="shared" si="139"/>
        <v>4992366772.2144756</v>
      </c>
      <c r="U360" s="43">
        <f t="shared" si="139"/>
        <v>5158578620.3043137</v>
      </c>
      <c r="V360" s="43">
        <f t="shared" si="139"/>
        <v>5347465281.0210619</v>
      </c>
      <c r="W360" s="43">
        <f t="shared" si="139"/>
        <v>5552877473.1233082</v>
      </c>
      <c r="X360" s="43">
        <f t="shared" si="139"/>
        <v>5904436850.0209169</v>
      </c>
      <c r="Y360" s="43">
        <f t="shared" si="139"/>
        <v>5972501520.4156523</v>
      </c>
      <c r="Z360" s="43">
        <f t="shared" si="139"/>
        <v>6044595719.9521608</v>
      </c>
      <c r="AA360" s="43">
        <f t="shared" si="139"/>
        <v>6161085331.5734606</v>
      </c>
      <c r="AB360" s="43">
        <f t="shared" si="139"/>
        <v>5965195797.4837437</v>
      </c>
      <c r="AC360" s="43">
        <f t="shared" si="139"/>
        <v>6158045844.3976946</v>
      </c>
      <c r="AD360" s="43">
        <f t="shared" si="139"/>
        <v>6411187815.5555801</v>
      </c>
      <c r="AE360" s="43">
        <f t="shared" si="139"/>
        <v>6418981801.6548538</v>
      </c>
      <c r="AF360" s="43">
        <f t="shared" si="139"/>
        <v>6250801999.6518507</v>
      </c>
      <c r="AG360" s="43">
        <f t="shared" si="139"/>
        <v>6406103449.4424391</v>
      </c>
      <c r="AH360" s="43">
        <f t="shared" si="139"/>
        <v>6578955881.7976713</v>
      </c>
      <c r="AI360" s="43">
        <f t="shared" si="139"/>
        <v>6764014904.4135246</v>
      </c>
      <c r="AJ360" s="43">
        <f t="shared" si="139"/>
        <v>6874439281.9064598</v>
      </c>
      <c r="AK360" s="43">
        <f t="shared" si="139"/>
        <v>6969482058.0471134</v>
      </c>
      <c r="AL360" s="43">
        <f t="shared" si="139"/>
        <v>7038893085.8829517</v>
      </c>
      <c r="AM360" s="43">
        <f t="shared" si="139"/>
        <v>7202262458.0010376</v>
      </c>
      <c r="AN360" s="43">
        <f t="shared" si="139"/>
        <v>7323269933.614069</v>
      </c>
      <c r="AO360" s="43">
        <f t="shared" si="139"/>
        <v>7440714645.5860577</v>
      </c>
      <c r="AP360" s="43">
        <f t="shared" si="139"/>
        <v>7600785419.9265871</v>
      </c>
      <c r="AQ360" s="43">
        <f t="shared" si="139"/>
        <v>7828670911.8021927</v>
      </c>
      <c r="AR360" s="43"/>
    </row>
    <row r="361" spans="1:44">
      <c r="A361" s="40" t="s">
        <v>71</v>
      </c>
      <c r="B361" s="42">
        <f t="shared" si="140"/>
        <v>5041221</v>
      </c>
      <c r="C361" s="42">
        <f t="shared" si="139"/>
        <v>4746344583</v>
      </c>
      <c r="D361" s="42">
        <f t="shared" si="139"/>
        <v>4890111274</v>
      </c>
      <c r="E361" s="42">
        <f t="shared" si="139"/>
        <v>4662700244</v>
      </c>
      <c r="F361" s="42">
        <f t="shared" si="139"/>
        <v>5063988293</v>
      </c>
      <c r="G361" s="42">
        <f t="shared" si="139"/>
        <v>5211262685</v>
      </c>
      <c r="H361" s="42">
        <f t="shared" si="139"/>
        <v>5503070214</v>
      </c>
      <c r="I361" s="42">
        <f t="shared" si="139"/>
        <v>5538740366</v>
      </c>
      <c r="J361" s="42">
        <f t="shared" si="139"/>
        <v>5647612580</v>
      </c>
      <c r="K361" s="42">
        <f t="shared" si="139"/>
        <v>5744999534</v>
      </c>
      <c r="L361" s="42">
        <f t="shared" si="139"/>
        <v>5210095345</v>
      </c>
      <c r="M361" s="42">
        <f t="shared" si="139"/>
        <v>5333083325</v>
      </c>
      <c r="N361" s="42">
        <f t="shared" si="139"/>
        <v>5947735132</v>
      </c>
      <c r="O361" s="42">
        <f t="shared" si="139"/>
        <v>6319658470</v>
      </c>
      <c r="P361" s="42">
        <f t="shared" si="139"/>
        <v>6825705804</v>
      </c>
      <c r="Q361" s="43">
        <f t="shared" si="139"/>
        <v>6102328226.1705809</v>
      </c>
      <c r="R361" s="43">
        <f t="shared" si="139"/>
        <v>6251522338.0494404</v>
      </c>
      <c r="S361" s="43">
        <f t="shared" si="139"/>
        <v>6580817665.9271564</v>
      </c>
      <c r="T361" s="43">
        <f t="shared" si="139"/>
        <v>6651941886.3308573</v>
      </c>
      <c r="U361" s="43">
        <f t="shared" si="139"/>
        <v>6878736813.4244118</v>
      </c>
      <c r="V361" s="43">
        <f t="shared" si="139"/>
        <v>7130064038.0701666</v>
      </c>
      <c r="W361" s="43">
        <f t="shared" si="139"/>
        <v>7404742469.8907413</v>
      </c>
      <c r="X361" s="43">
        <f t="shared" si="139"/>
        <v>7872306049.3269024</v>
      </c>
      <c r="Y361" s="43">
        <f t="shared" si="139"/>
        <v>7954589958.0128365</v>
      </c>
      <c r="Z361" s="43">
        <f t="shared" si="139"/>
        <v>8052288206.7544165</v>
      </c>
      <c r="AA361" s="43">
        <f t="shared" si="139"/>
        <v>8205904222.4044704</v>
      </c>
      <c r="AB361" s="43">
        <f t="shared" si="139"/>
        <v>7941631015.527503</v>
      </c>
      <c r="AC361" s="43">
        <f t="shared" si="139"/>
        <v>8195061389.50805</v>
      </c>
      <c r="AD361" s="43">
        <f t="shared" si="139"/>
        <v>8531616577.0380602</v>
      </c>
      <c r="AE361" s="43">
        <f t="shared" si="139"/>
        <v>8539074118.378171</v>
      </c>
      <c r="AF361" s="43">
        <f t="shared" si="139"/>
        <v>8308734481.5912504</v>
      </c>
      <c r="AG361" s="43">
        <f t="shared" si="139"/>
        <v>8516416531.4442368</v>
      </c>
      <c r="AH361" s="43">
        <f t="shared" si="139"/>
        <v>8750045625.5452957</v>
      </c>
      <c r="AI361" s="43">
        <f t="shared" si="139"/>
        <v>8998297319.3681679</v>
      </c>
      <c r="AJ361" s="43">
        <f t="shared" si="139"/>
        <v>9146294387.83461</v>
      </c>
      <c r="AK361" s="43">
        <f t="shared" si="139"/>
        <v>9272478377.7893257</v>
      </c>
      <c r="AL361" s="43">
        <f t="shared" si="139"/>
        <v>9363193720.7317905</v>
      </c>
      <c r="AM361" s="43">
        <f t="shared" si="139"/>
        <v>9580264835.7463493</v>
      </c>
      <c r="AN361" s="43">
        <f t="shared" si="139"/>
        <v>9740121886.305294</v>
      </c>
      <c r="AO361" s="43">
        <f t="shared" si="139"/>
        <v>9894783142.3093204</v>
      </c>
      <c r="AP361" s="43">
        <f t="shared" si="139"/>
        <v>10106155826.87402</v>
      </c>
      <c r="AQ361" s="43">
        <f t="shared" si="139"/>
        <v>10411187406.846703</v>
      </c>
      <c r="AR361" s="43"/>
    </row>
    <row r="362" spans="1:44">
      <c r="A362" s="40" t="s">
        <v>47</v>
      </c>
      <c r="B362" s="42">
        <f t="shared" si="140"/>
        <v>5526935</v>
      </c>
      <c r="C362" s="42">
        <f t="shared" si="139"/>
        <v>5975673317</v>
      </c>
      <c r="D362" s="42">
        <f t="shared" si="139"/>
        <v>6160451048</v>
      </c>
      <c r="E362" s="42">
        <f t="shared" si="139"/>
        <v>5989511975</v>
      </c>
      <c r="F362" s="42">
        <f t="shared" si="139"/>
        <v>6450125215</v>
      </c>
      <c r="G362" s="42">
        <f t="shared" si="139"/>
        <v>6608789670</v>
      </c>
      <c r="H362" s="42">
        <f t="shared" si="139"/>
        <v>6995192915</v>
      </c>
      <c r="I362" s="42">
        <f t="shared" si="139"/>
        <v>7068540832</v>
      </c>
      <c r="J362" s="42">
        <f t="shared" si="139"/>
        <v>7192621743</v>
      </c>
      <c r="K362" s="42">
        <f t="shared" si="139"/>
        <v>7313022274</v>
      </c>
      <c r="L362" s="42">
        <f t="shared" si="139"/>
        <v>6330472513</v>
      </c>
      <c r="M362" s="42">
        <f t="shared" si="139"/>
        <v>6892602829</v>
      </c>
      <c r="N362" s="42">
        <f t="shared" si="139"/>
        <v>7574281524</v>
      </c>
      <c r="O362" s="42">
        <f t="shared" si="139"/>
        <v>8128823880</v>
      </c>
      <c r="P362" s="42">
        <f t="shared" si="139"/>
        <v>8616511319</v>
      </c>
      <c r="Q362" s="43">
        <f t="shared" si="139"/>
        <v>7753716859.0639248</v>
      </c>
      <c r="R362" s="43">
        <f t="shared" si="139"/>
        <v>7992166550.453517</v>
      </c>
      <c r="S362" s="43">
        <f t="shared" si="139"/>
        <v>8412329056.6647348</v>
      </c>
      <c r="T362" s="43">
        <f t="shared" si="139"/>
        <v>8511562253.8265114</v>
      </c>
      <c r="U362" s="43">
        <f t="shared" si="139"/>
        <v>8810075411.3989105</v>
      </c>
      <c r="V362" s="43">
        <f t="shared" si="139"/>
        <v>9154649281.2342873</v>
      </c>
      <c r="W362" s="43">
        <f t="shared" si="139"/>
        <v>9514567473.6362629</v>
      </c>
      <c r="X362" s="43">
        <f t="shared" si="139"/>
        <v>10129528863.304096</v>
      </c>
      <c r="Y362" s="43">
        <f t="shared" si="139"/>
        <v>10239687903.286621</v>
      </c>
      <c r="Z362" s="43">
        <f t="shared" si="139"/>
        <v>10380052350.905422</v>
      </c>
      <c r="AA362" s="43">
        <f t="shared" si="139"/>
        <v>10589377904.19471</v>
      </c>
      <c r="AB362" s="43">
        <f t="shared" si="139"/>
        <v>10246196202.446465</v>
      </c>
      <c r="AC362" s="43">
        <f t="shared" si="139"/>
        <v>10586453827.872709</v>
      </c>
      <c r="AD362" s="43">
        <f t="shared" si="139"/>
        <v>11038030205.263399</v>
      </c>
      <c r="AE362" s="43">
        <f t="shared" si="139"/>
        <v>11061465845.288475</v>
      </c>
      <c r="AF362" s="43">
        <f t="shared" si="139"/>
        <v>10779190871.614407</v>
      </c>
      <c r="AG362" s="43">
        <f t="shared" si="139"/>
        <v>11065732432.399139</v>
      </c>
      <c r="AH362" s="43">
        <f t="shared" si="139"/>
        <v>11432728340.627661</v>
      </c>
      <c r="AI362" s="43">
        <f t="shared" si="139"/>
        <v>11821738679.996206</v>
      </c>
      <c r="AJ362" s="43">
        <f t="shared" si="139"/>
        <v>12081853079.664085</v>
      </c>
      <c r="AK362" s="43">
        <f t="shared" si="139"/>
        <v>12314540201.089344</v>
      </c>
      <c r="AL362" s="43">
        <f t="shared" si="139"/>
        <v>12502867885.457624</v>
      </c>
      <c r="AM362" s="43">
        <f t="shared" si="139"/>
        <v>12853951084.782391</v>
      </c>
      <c r="AN362" s="43">
        <f t="shared" si="139"/>
        <v>13127965156.615267</v>
      </c>
      <c r="AO362" s="43">
        <f t="shared" si="139"/>
        <v>13394773849.444386</v>
      </c>
      <c r="AP362" s="43">
        <f t="shared" si="139"/>
        <v>13736124371.249897</v>
      </c>
      <c r="AQ362" s="43">
        <f t="shared" si="139"/>
        <v>14208293405.263927</v>
      </c>
      <c r="AR362" s="43"/>
    </row>
    <row r="363" spans="1:44">
      <c r="A363" s="40" t="s">
        <v>72</v>
      </c>
      <c r="B363" s="42">
        <f t="shared" si="140"/>
        <v>6255769</v>
      </c>
      <c r="C363" s="42">
        <f t="shared" si="139"/>
        <v>7231574931</v>
      </c>
      <c r="D363" s="42">
        <f t="shared" si="139"/>
        <v>7404405798</v>
      </c>
      <c r="E363" s="42">
        <f t="shared" si="139"/>
        <v>7296256207</v>
      </c>
      <c r="F363" s="42">
        <f t="shared" si="139"/>
        <v>7825146955</v>
      </c>
      <c r="G363" s="42">
        <f t="shared" si="139"/>
        <v>8060703446</v>
      </c>
      <c r="H363" s="42">
        <f t="shared" si="139"/>
        <v>8561136778</v>
      </c>
      <c r="I363" s="42">
        <f t="shared" si="139"/>
        <v>8620395860</v>
      </c>
      <c r="J363" s="42">
        <f t="shared" si="139"/>
        <v>8682572100</v>
      </c>
      <c r="K363" s="42">
        <f t="shared" si="139"/>
        <v>8850335144</v>
      </c>
      <c r="L363" s="42">
        <f t="shared" si="139"/>
        <v>7698720946</v>
      </c>
      <c r="M363" s="42">
        <f t="shared" si="139"/>
        <v>8498403913</v>
      </c>
      <c r="N363" s="42">
        <f t="shared" si="139"/>
        <v>9232960050</v>
      </c>
      <c r="O363" s="42">
        <f t="shared" si="139"/>
        <v>9913830321</v>
      </c>
      <c r="P363" s="42">
        <f t="shared" si="139"/>
        <v>10427753958</v>
      </c>
      <c r="Q363" s="43">
        <f t="shared" si="139"/>
        <v>9460190707.5281773</v>
      </c>
      <c r="R363" s="43">
        <f t="shared" si="139"/>
        <v>9755340586.3013935</v>
      </c>
      <c r="S363" s="43">
        <f t="shared" si="139"/>
        <v>10263570690.400963</v>
      </c>
      <c r="T363" s="43">
        <f t="shared" si="139"/>
        <v>10385169533.717573</v>
      </c>
      <c r="U363" s="43">
        <f t="shared" si="139"/>
        <v>10754258168.086704</v>
      </c>
      <c r="V363" s="43">
        <f t="shared" si="139"/>
        <v>11207068335.88266</v>
      </c>
      <c r="W363" s="43">
        <f t="shared" si="139"/>
        <v>11647438902.323156</v>
      </c>
      <c r="X363" s="43">
        <f t="shared" si="139"/>
        <v>12410434529.995872</v>
      </c>
      <c r="Y363" s="43">
        <f t="shared" si="139"/>
        <v>12554785356.721613</v>
      </c>
      <c r="Z363" s="43">
        <f t="shared" si="139"/>
        <v>12744867722.509159</v>
      </c>
      <c r="AA363" s="43">
        <f t="shared" si="139"/>
        <v>13020665557.477718</v>
      </c>
      <c r="AB363" s="43">
        <f t="shared" si="139"/>
        <v>12613570338.722134</v>
      </c>
      <c r="AC363" s="43">
        <f t="shared" si="139"/>
        <v>13053743814.971678</v>
      </c>
      <c r="AD363" s="43">
        <f t="shared" si="139"/>
        <v>13635081879.773182</v>
      </c>
      <c r="AE363" s="43">
        <f t="shared" si="139"/>
        <v>13695347563.387928</v>
      </c>
      <c r="AF363" s="43">
        <f t="shared" si="139"/>
        <v>13385442161.401978</v>
      </c>
      <c r="AG363" s="43">
        <f t="shared" si="139"/>
        <v>13775537046.892834</v>
      </c>
      <c r="AH363" s="43">
        <f t="shared" si="139"/>
        <v>14353904009.309341</v>
      </c>
      <c r="AI363" s="43">
        <f t="shared" si="139"/>
        <v>14976616126.917816</v>
      </c>
      <c r="AJ363" s="43">
        <f t="shared" si="139"/>
        <v>15453138530.659441</v>
      </c>
      <c r="AK363" s="43">
        <f t="shared" si="139"/>
        <v>15906053406.351553</v>
      </c>
      <c r="AL363" s="43">
        <f t="shared" si="139"/>
        <v>16314756643.966927</v>
      </c>
      <c r="AM363" s="43">
        <f t="shared" si="139"/>
        <v>16933240164.308676</v>
      </c>
      <c r="AN363" s="43">
        <f t="shared" si="139"/>
        <v>17466377163.833519</v>
      </c>
      <c r="AO363" s="43">
        <f t="shared" si="139"/>
        <v>18001883757.487396</v>
      </c>
      <c r="AP363" s="43">
        <f t="shared" si="139"/>
        <v>18640635747.01532</v>
      </c>
      <c r="AQ363" s="43">
        <f t="shared" si="139"/>
        <v>19451649919.033863</v>
      </c>
      <c r="AR363" s="43"/>
    </row>
    <row r="364" spans="1:44">
      <c r="A364" s="40" t="s">
        <v>73</v>
      </c>
      <c r="B364" s="42">
        <f t="shared" si="140"/>
        <v>1157861004</v>
      </c>
      <c r="C364" s="42">
        <f t="shared" si="139"/>
        <v>8469048592</v>
      </c>
      <c r="D364" s="42">
        <f t="shared" si="139"/>
        <v>8621919176</v>
      </c>
      <c r="E364" s="42">
        <f t="shared" si="139"/>
        <v>8662740005</v>
      </c>
      <c r="F364" s="42">
        <f t="shared" si="139"/>
        <v>9276268703</v>
      </c>
      <c r="G364" s="42">
        <f t="shared" si="139"/>
        <v>9528546502</v>
      </c>
      <c r="H364" s="42">
        <f t="shared" si="139"/>
        <v>10048860520</v>
      </c>
      <c r="I364" s="42">
        <f t="shared" si="139"/>
        <v>10151627392</v>
      </c>
      <c r="J364" s="42">
        <f t="shared" si="139"/>
        <v>10275643433</v>
      </c>
      <c r="K364" s="42">
        <f t="shared" si="139"/>
        <v>10497487146</v>
      </c>
      <c r="L364" s="42">
        <f t="shared" si="139"/>
        <v>9186538063</v>
      </c>
      <c r="M364" s="42">
        <f t="shared" si="139"/>
        <v>10065673820</v>
      </c>
      <c r="N364" s="42">
        <f t="shared" si="139"/>
        <v>10770133802</v>
      </c>
      <c r="O364" s="42">
        <f t="shared" si="139"/>
        <v>11655942907</v>
      </c>
      <c r="P364" s="42">
        <f t="shared" si="139"/>
        <v>12358344872</v>
      </c>
      <c r="Q364" s="43">
        <f t="shared" si="139"/>
        <v>11193674846.102018</v>
      </c>
      <c r="R364" s="43">
        <f t="shared" si="139"/>
        <v>11522420291.011999</v>
      </c>
      <c r="S364" s="43">
        <f t="shared" si="139"/>
        <v>12128217462.440434</v>
      </c>
      <c r="T364" s="43">
        <f t="shared" si="139"/>
        <v>12297028778.069918</v>
      </c>
      <c r="U364" s="43">
        <f t="shared" si="139"/>
        <v>12749471053.334635</v>
      </c>
      <c r="V364" s="43">
        <f t="shared" si="139"/>
        <v>13302433786.637552</v>
      </c>
      <c r="W364" s="43">
        <f t="shared" si="139"/>
        <v>13825251643.897682</v>
      </c>
      <c r="X364" s="43">
        <f t="shared" si="139"/>
        <v>14746798428.341648</v>
      </c>
      <c r="Y364" s="43">
        <f t="shared" si="139"/>
        <v>14932450844.579559</v>
      </c>
      <c r="Z364" s="43">
        <f t="shared" si="139"/>
        <v>15178113246.460751</v>
      </c>
      <c r="AA364" s="43">
        <f t="shared" si="139"/>
        <v>15521428886.945723</v>
      </c>
      <c r="AB364" s="43">
        <f t="shared" si="139"/>
        <v>15048952875.594387</v>
      </c>
      <c r="AC364" s="43">
        <f t="shared" si="139"/>
        <v>15595479052.186563</v>
      </c>
      <c r="AD364" s="43">
        <f t="shared" si="139"/>
        <v>16313214512.646683</v>
      </c>
      <c r="AE364" s="43">
        <f t="shared" si="139"/>
        <v>16413345277.339588</v>
      </c>
      <c r="AF364" s="43">
        <f t="shared" si="139"/>
        <v>16079891191.279682</v>
      </c>
      <c r="AG364" s="43">
        <f t="shared" si="139"/>
        <v>16578273357.250996</v>
      </c>
      <c r="AH364" s="43">
        <f t="shared" si="139"/>
        <v>17382059834.590469</v>
      </c>
      <c r="AI364" s="43">
        <f t="shared" si="139"/>
        <v>18252551918.827488</v>
      </c>
      <c r="AJ364" s="43">
        <f t="shared" si="139"/>
        <v>18959547599.065914</v>
      </c>
      <c r="AK364" s="43">
        <f t="shared" si="139"/>
        <v>19647844621.023277</v>
      </c>
      <c r="AL364" s="43">
        <f t="shared" si="139"/>
        <v>20293462691.841843</v>
      </c>
      <c r="AM364" s="43">
        <f t="shared" si="139"/>
        <v>21194523554.647926</v>
      </c>
      <c r="AN364" s="43">
        <f t="shared" si="139"/>
        <v>22000018671.626049</v>
      </c>
      <c r="AO364" s="43">
        <f t="shared" si="139"/>
        <v>22817362601.568443</v>
      </c>
      <c r="AP364" s="43">
        <f t="shared" si="139"/>
        <v>23767799882.179531</v>
      </c>
      <c r="AQ364" s="43">
        <f t="shared" si="139"/>
        <v>24941358183.025635</v>
      </c>
      <c r="AR364" s="43"/>
    </row>
    <row r="365" spans="1:44">
      <c r="A365" s="40" t="s">
        <v>74</v>
      </c>
      <c r="B365" s="42">
        <f t="shared" si="140"/>
        <v>2305220466</v>
      </c>
      <c r="C365" s="42">
        <f t="shared" si="139"/>
        <v>9771434684</v>
      </c>
      <c r="D365" s="42">
        <f t="shared" si="139"/>
        <v>9908879804</v>
      </c>
      <c r="E365" s="42">
        <f t="shared" si="139"/>
        <v>10050076372</v>
      </c>
      <c r="F365" s="42">
        <f t="shared" si="139"/>
        <v>10633793413</v>
      </c>
      <c r="G365" s="42">
        <f t="shared" si="139"/>
        <v>10986748689</v>
      </c>
      <c r="H365" s="42">
        <f t="shared" si="139"/>
        <v>11663540308</v>
      </c>
      <c r="I365" s="42">
        <f t="shared" si="139"/>
        <v>11760042248</v>
      </c>
      <c r="J365" s="42">
        <f t="shared" si="139"/>
        <v>11909835335</v>
      </c>
      <c r="K365" s="42">
        <f t="shared" si="139"/>
        <v>12018589858</v>
      </c>
      <c r="L365" s="42">
        <f t="shared" ref="C365:AQ369" si="141">L364+L348</f>
        <v>10640609078</v>
      </c>
      <c r="M365" s="42">
        <f t="shared" si="141"/>
        <v>11619321557</v>
      </c>
      <c r="N365" s="42">
        <f t="shared" si="141"/>
        <v>12414285554</v>
      </c>
      <c r="O365" s="42">
        <f t="shared" si="141"/>
        <v>13433258354</v>
      </c>
      <c r="P365" s="42">
        <f t="shared" si="141"/>
        <v>14224891571</v>
      </c>
      <c r="Q365" s="43">
        <f t="shared" si="141"/>
        <v>12925195111.662291</v>
      </c>
      <c r="R365" s="43">
        <f t="shared" si="141"/>
        <v>13299711473.137928</v>
      </c>
      <c r="S365" s="43">
        <f t="shared" si="141"/>
        <v>14019315714.847309</v>
      </c>
      <c r="T365" s="43">
        <f t="shared" si="141"/>
        <v>14224587896.670012</v>
      </c>
      <c r="U365" s="43">
        <f t="shared" si="141"/>
        <v>14768735394.047098</v>
      </c>
      <c r="V365" s="43">
        <f t="shared" si="141"/>
        <v>15432711892.693163</v>
      </c>
      <c r="W365" s="43">
        <f t="shared" si="141"/>
        <v>16045479779.00021</v>
      </c>
      <c r="X365" s="43">
        <f t="shared" si="141"/>
        <v>17136298130.877514</v>
      </c>
      <c r="Y365" s="43">
        <f t="shared" si="141"/>
        <v>17365423678.641411</v>
      </c>
      <c r="Z365" s="43">
        <f t="shared" si="141"/>
        <v>17673258667.67857</v>
      </c>
      <c r="AA365" s="43">
        <f t="shared" si="141"/>
        <v>18090587874.647694</v>
      </c>
      <c r="AB365" s="43">
        <f t="shared" si="141"/>
        <v>17549206488.182159</v>
      </c>
      <c r="AC365" s="43">
        <f t="shared" si="141"/>
        <v>18211461399.366409</v>
      </c>
      <c r="AD365" s="43">
        <f t="shared" si="141"/>
        <v>19077652831.216454</v>
      </c>
      <c r="AE365" s="43">
        <f t="shared" si="141"/>
        <v>19226269560.091972</v>
      </c>
      <c r="AF365" s="43">
        <f t="shared" si="141"/>
        <v>18877646756.860065</v>
      </c>
      <c r="AG365" s="43">
        <f t="shared" si="141"/>
        <v>19498162037.171501</v>
      </c>
      <c r="AH365" s="43">
        <f t="shared" si="141"/>
        <v>20563362033.319077</v>
      </c>
      <c r="AI365" s="43">
        <f t="shared" si="141"/>
        <v>21725271450.379692</v>
      </c>
      <c r="AJ365" s="43">
        <f t="shared" si="141"/>
        <v>22712242749.026436</v>
      </c>
      <c r="AK365" s="43">
        <f t="shared" si="141"/>
        <v>23692154497.55732</v>
      </c>
      <c r="AL365" s="43">
        <f t="shared" si="141"/>
        <v>24638070045.146564</v>
      </c>
      <c r="AM365" s="43">
        <f t="shared" si="141"/>
        <v>25891752068.909084</v>
      </c>
      <c r="AN365" s="43">
        <f t="shared" si="141"/>
        <v>27045850311.445717</v>
      </c>
      <c r="AO365" s="43">
        <f t="shared" si="141"/>
        <v>28229334449.113163</v>
      </c>
      <c r="AP365" s="43">
        <f t="shared" si="141"/>
        <v>29585430385.444016</v>
      </c>
      <c r="AQ365" s="43">
        <f t="shared" si="141"/>
        <v>31220982470.248955</v>
      </c>
      <c r="AR365" s="43"/>
    </row>
    <row r="366" spans="1:44">
      <c r="A366" s="40" t="s">
        <v>75</v>
      </c>
      <c r="B366" s="42">
        <f t="shared" si="140"/>
        <v>3451459831</v>
      </c>
      <c r="C366" s="42">
        <f t="shared" si="141"/>
        <v>11013215807</v>
      </c>
      <c r="D366" s="42">
        <f t="shared" si="141"/>
        <v>11069247731</v>
      </c>
      <c r="E366" s="42">
        <f t="shared" si="141"/>
        <v>11372608964</v>
      </c>
      <c r="F366" s="42">
        <f t="shared" si="141"/>
        <v>11954221033</v>
      </c>
      <c r="G366" s="42">
        <f t="shared" si="141"/>
        <v>12386096623</v>
      </c>
      <c r="H366" s="42">
        <f t="shared" si="141"/>
        <v>13180570298</v>
      </c>
      <c r="I366" s="42">
        <f t="shared" si="141"/>
        <v>13232550633</v>
      </c>
      <c r="J366" s="42">
        <f t="shared" si="141"/>
        <v>13375557264</v>
      </c>
      <c r="K366" s="42">
        <f t="shared" si="141"/>
        <v>13499096141</v>
      </c>
      <c r="L366" s="42">
        <f t="shared" si="141"/>
        <v>12118479766</v>
      </c>
      <c r="M366" s="42">
        <f t="shared" si="141"/>
        <v>13087827988</v>
      </c>
      <c r="N366" s="42">
        <f t="shared" si="141"/>
        <v>13932829284</v>
      </c>
      <c r="O366" s="42">
        <f t="shared" si="141"/>
        <v>15124941785</v>
      </c>
      <c r="P366" s="42">
        <f t="shared" si="141"/>
        <v>16016261129</v>
      </c>
      <c r="Q366" s="43">
        <f t="shared" si="141"/>
        <v>14577793184.474047</v>
      </c>
      <c r="R366" s="43">
        <f t="shared" si="141"/>
        <v>14993899806.595263</v>
      </c>
      <c r="S366" s="43">
        <f t="shared" si="141"/>
        <v>15838351067.879091</v>
      </c>
      <c r="T366" s="43">
        <f t="shared" si="141"/>
        <v>16096103434.781364</v>
      </c>
      <c r="U366" s="43">
        <f t="shared" si="141"/>
        <v>16743521381.761663</v>
      </c>
      <c r="V366" s="43">
        <f t="shared" si="141"/>
        <v>17533583515.526596</v>
      </c>
      <c r="W366" s="43">
        <f t="shared" si="141"/>
        <v>18244153763.081512</v>
      </c>
      <c r="X366" s="43">
        <f t="shared" si="141"/>
        <v>19522960307.3246</v>
      </c>
      <c r="Y366" s="43">
        <f t="shared" si="141"/>
        <v>19801363802.472404</v>
      </c>
      <c r="Z366" s="43">
        <f t="shared" si="141"/>
        <v>20180099149.634781</v>
      </c>
      <c r="AA366" s="43">
        <f t="shared" si="141"/>
        <v>20676335684.109962</v>
      </c>
      <c r="AB366" s="43">
        <f t="shared" si="141"/>
        <v>20041416627.359947</v>
      </c>
      <c r="AC366" s="43">
        <f t="shared" si="141"/>
        <v>20829308538.749603</v>
      </c>
      <c r="AD366" s="43">
        <f t="shared" si="141"/>
        <v>21856982483.596581</v>
      </c>
      <c r="AE366" s="43">
        <f t="shared" si="141"/>
        <v>22055179993.830605</v>
      </c>
      <c r="AF366" s="43">
        <f t="shared" si="141"/>
        <v>21692087932.314777</v>
      </c>
      <c r="AG366" s="43">
        <f t="shared" si="141"/>
        <v>22440621275.298149</v>
      </c>
      <c r="AH366" s="43">
        <f t="shared" si="141"/>
        <v>23777985864.39967</v>
      </c>
      <c r="AI366" s="43">
        <f t="shared" si="141"/>
        <v>25242275023.105347</v>
      </c>
      <c r="AJ366" s="43">
        <f t="shared" si="141"/>
        <v>26518213770.786629</v>
      </c>
      <c r="AK366" s="43">
        <f t="shared" si="141"/>
        <v>27800906361.248608</v>
      </c>
      <c r="AL366" s="43">
        <f t="shared" si="141"/>
        <v>29061191930.57325</v>
      </c>
      <c r="AM366" s="43">
        <f t="shared" si="141"/>
        <v>30680698925.317928</v>
      </c>
      <c r="AN366" s="43">
        <f t="shared" si="141"/>
        <v>32192117665.068832</v>
      </c>
      <c r="AO366" s="43">
        <f t="shared" si="141"/>
        <v>33750325453.064762</v>
      </c>
      <c r="AP366" s="43">
        <f t="shared" si="141"/>
        <v>35524349936.081429</v>
      </c>
      <c r="AQ366" s="43">
        <f t="shared" si="141"/>
        <v>37650308957.087105</v>
      </c>
      <c r="AR366" s="43"/>
    </row>
    <row r="367" spans="1:44">
      <c r="A367" s="40" t="s">
        <v>76</v>
      </c>
      <c r="B367" s="42">
        <f t="shared" si="140"/>
        <v>4605181786</v>
      </c>
      <c r="C367" s="42">
        <f t="shared" si="141"/>
        <v>12261469028</v>
      </c>
      <c r="D367" s="42">
        <f t="shared" si="141"/>
        <v>12303043453</v>
      </c>
      <c r="E367" s="42">
        <f t="shared" si="141"/>
        <v>12749100331</v>
      </c>
      <c r="F367" s="42">
        <f t="shared" si="141"/>
        <v>13283975900</v>
      </c>
      <c r="G367" s="42">
        <f t="shared" si="141"/>
        <v>13824489201</v>
      </c>
      <c r="H367" s="42">
        <f t="shared" si="141"/>
        <v>14695976452</v>
      </c>
      <c r="I367" s="42">
        <f t="shared" si="141"/>
        <v>14776484997</v>
      </c>
      <c r="J367" s="42">
        <f t="shared" si="141"/>
        <v>14926651331</v>
      </c>
      <c r="K367" s="42">
        <f t="shared" si="141"/>
        <v>15080857966</v>
      </c>
      <c r="L367" s="42">
        <f t="shared" si="141"/>
        <v>13549569680</v>
      </c>
      <c r="M367" s="42">
        <f t="shared" si="141"/>
        <v>14617509336</v>
      </c>
      <c r="N367" s="42">
        <f t="shared" si="141"/>
        <v>15544221606</v>
      </c>
      <c r="O367" s="42">
        <f t="shared" si="141"/>
        <v>16949290407</v>
      </c>
      <c r="P367" s="42">
        <f t="shared" si="141"/>
        <v>17867767450</v>
      </c>
      <c r="Q367" s="43">
        <f t="shared" si="141"/>
        <v>16315981888.971176</v>
      </c>
      <c r="R367" s="43">
        <f t="shared" si="141"/>
        <v>16792470125.836948</v>
      </c>
      <c r="S367" s="43">
        <f t="shared" si="141"/>
        <v>17769250619.816296</v>
      </c>
      <c r="T367" s="43">
        <f t="shared" si="141"/>
        <v>18078792554.692642</v>
      </c>
      <c r="U367" s="43">
        <f t="shared" si="141"/>
        <v>18812915040.340111</v>
      </c>
      <c r="V367" s="43">
        <f t="shared" si="141"/>
        <v>19735982875.437073</v>
      </c>
      <c r="W367" s="43">
        <f t="shared" si="141"/>
        <v>20549390140.424976</v>
      </c>
      <c r="X367" s="43">
        <f t="shared" si="141"/>
        <v>22020039720.670879</v>
      </c>
      <c r="Y367" s="43">
        <f t="shared" si="141"/>
        <v>22347888870.55162</v>
      </c>
      <c r="Z367" s="43">
        <f t="shared" si="141"/>
        <v>22796602540.723198</v>
      </c>
      <c r="AA367" s="43">
        <f t="shared" si="141"/>
        <v>23377767455.262524</v>
      </c>
      <c r="AB367" s="43">
        <f t="shared" si="141"/>
        <v>22657992250.80191</v>
      </c>
      <c r="AC367" s="43">
        <f t="shared" si="141"/>
        <v>23579656013.091991</v>
      </c>
      <c r="AD367" s="43">
        <f t="shared" si="141"/>
        <v>24777273637.759521</v>
      </c>
      <c r="AE367" s="43">
        <f t="shared" si="141"/>
        <v>25032471674.178905</v>
      </c>
      <c r="AF367" s="43">
        <f t="shared" si="141"/>
        <v>24658829969.206131</v>
      </c>
      <c r="AG367" s="43">
        <f t="shared" si="141"/>
        <v>25548303711.952431</v>
      </c>
      <c r="AH367" s="43">
        <f t="shared" si="141"/>
        <v>27189499644.309841</v>
      </c>
      <c r="AI367" s="43">
        <f t="shared" si="141"/>
        <v>28996928873.112186</v>
      </c>
      <c r="AJ367" s="43">
        <f t="shared" si="141"/>
        <v>30607492324.784615</v>
      </c>
      <c r="AK367" s="43">
        <f t="shared" si="141"/>
        <v>32244246684.076195</v>
      </c>
      <c r="AL367" s="43">
        <f t="shared" si="141"/>
        <v>33874660223.556892</v>
      </c>
      <c r="AM367" s="43">
        <f t="shared" si="141"/>
        <v>35927966979.201187</v>
      </c>
      <c r="AN367" s="43">
        <f t="shared" si="141"/>
        <v>37873438850.710754</v>
      </c>
      <c r="AO367" s="43">
        <f t="shared" si="141"/>
        <v>39892740697.847603</v>
      </c>
      <c r="AP367" s="43">
        <f t="shared" si="141"/>
        <v>42181365217.273193</v>
      </c>
      <c r="AQ367" s="43">
        <f t="shared" si="141"/>
        <v>44908955963.467651</v>
      </c>
      <c r="AR367" s="43"/>
    </row>
    <row r="368" spans="1:44">
      <c r="A368" s="40" t="s">
        <v>77</v>
      </c>
      <c r="B368" s="42">
        <f t="shared" si="140"/>
        <v>5779906951</v>
      </c>
      <c r="C368" s="42">
        <f t="shared" si="141"/>
        <v>13542385859</v>
      </c>
      <c r="D368" s="42">
        <f t="shared" si="141"/>
        <v>13541840386</v>
      </c>
      <c r="E368" s="42">
        <f t="shared" si="141"/>
        <v>14082254974</v>
      </c>
      <c r="F368" s="42">
        <f t="shared" si="141"/>
        <v>14593520234</v>
      </c>
      <c r="G368" s="42">
        <f t="shared" si="141"/>
        <v>15226356377</v>
      </c>
      <c r="H368" s="42">
        <f t="shared" si="141"/>
        <v>16203333764</v>
      </c>
      <c r="I368" s="42">
        <f t="shared" si="141"/>
        <v>16307680056</v>
      </c>
      <c r="J368" s="42">
        <f t="shared" si="141"/>
        <v>16415428538</v>
      </c>
      <c r="K368" s="42">
        <f t="shared" si="141"/>
        <v>16534698764</v>
      </c>
      <c r="L368" s="42">
        <f t="shared" si="141"/>
        <v>15015185310</v>
      </c>
      <c r="M368" s="42">
        <f t="shared" si="141"/>
        <v>16216385108</v>
      </c>
      <c r="N368" s="42">
        <f t="shared" si="141"/>
        <v>17247232498</v>
      </c>
      <c r="O368" s="42">
        <f t="shared" si="141"/>
        <v>18678867131</v>
      </c>
      <c r="P368" s="42">
        <f t="shared" si="141"/>
        <v>19616106162</v>
      </c>
      <c r="Q368" s="43">
        <f t="shared" si="141"/>
        <v>18058834487.057011</v>
      </c>
      <c r="R368" s="43">
        <f t="shared" si="141"/>
        <v>18613419749.616966</v>
      </c>
      <c r="S368" s="43">
        <f t="shared" si="141"/>
        <v>19700878968.012848</v>
      </c>
      <c r="T368" s="43">
        <f t="shared" si="141"/>
        <v>20041892071.09967</v>
      </c>
      <c r="U368" s="43">
        <f t="shared" si="141"/>
        <v>20858457097.989861</v>
      </c>
      <c r="V368" s="43">
        <f t="shared" si="141"/>
        <v>21914368816.423458</v>
      </c>
      <c r="W368" s="43">
        <f t="shared" si="141"/>
        <v>22821460018.927887</v>
      </c>
      <c r="X368" s="43">
        <f t="shared" si="141"/>
        <v>24476478667.736309</v>
      </c>
      <c r="Y368" s="43">
        <f t="shared" si="141"/>
        <v>24846032205.55629</v>
      </c>
      <c r="Z368" s="43">
        <f t="shared" si="141"/>
        <v>25353867121.100246</v>
      </c>
      <c r="AA368" s="43">
        <f t="shared" si="141"/>
        <v>26016288107.728432</v>
      </c>
      <c r="AB368" s="43">
        <f t="shared" si="141"/>
        <v>25230848255.639046</v>
      </c>
      <c r="AC368" s="43">
        <f t="shared" si="141"/>
        <v>26284175372.727398</v>
      </c>
      <c r="AD368" s="43">
        <f t="shared" si="141"/>
        <v>27642468985.683186</v>
      </c>
      <c r="AE368" s="43">
        <f t="shared" si="141"/>
        <v>27942691538.689125</v>
      </c>
      <c r="AF368" s="43">
        <f t="shared" si="141"/>
        <v>27530978504.4855</v>
      </c>
      <c r="AG368" s="43">
        <f t="shared" si="141"/>
        <v>28544378573.138214</v>
      </c>
      <c r="AH368" s="43">
        <f t="shared" si="141"/>
        <v>30440687906.684818</v>
      </c>
      <c r="AI368" s="43">
        <f t="shared" si="141"/>
        <v>32533015357.520943</v>
      </c>
      <c r="AJ368" s="43">
        <f t="shared" si="141"/>
        <v>34400796132.353806</v>
      </c>
      <c r="AK368" s="43">
        <f t="shared" si="141"/>
        <v>36297139389.540779</v>
      </c>
      <c r="AL368" s="43">
        <f t="shared" si="141"/>
        <v>38183567472.791641</v>
      </c>
      <c r="AM368" s="43">
        <f t="shared" si="141"/>
        <v>40554971974.504974</v>
      </c>
      <c r="AN368" s="43">
        <f t="shared" si="141"/>
        <v>42806347695.851189</v>
      </c>
      <c r="AO368" s="43">
        <f t="shared" si="141"/>
        <v>45142424492.454224</v>
      </c>
      <c r="AP368" s="43">
        <f t="shared" si="141"/>
        <v>47782395624.216599</v>
      </c>
      <c r="AQ368" s="43">
        <f t="shared" si="141"/>
        <v>50924506774.465881</v>
      </c>
      <c r="AR368" s="43"/>
    </row>
    <row r="369" spans="1:44" ht="12" thickBot="1">
      <c r="A369" s="40" t="s">
        <v>78</v>
      </c>
      <c r="B369" s="42">
        <f t="shared" si="140"/>
        <v>7017090984</v>
      </c>
      <c r="C369" s="42">
        <f t="shared" si="141"/>
        <v>14946397117</v>
      </c>
      <c r="D369" s="42">
        <f t="shared" si="141"/>
        <v>14750055307</v>
      </c>
      <c r="E369" s="42">
        <f t="shared" si="141"/>
        <v>15545087812</v>
      </c>
      <c r="F369" s="42">
        <f t="shared" si="141"/>
        <v>16122151884</v>
      </c>
      <c r="G369" s="42">
        <f t="shared" si="141"/>
        <v>16752226619</v>
      </c>
      <c r="H369" s="42">
        <f t="shared" si="141"/>
        <v>17877666924</v>
      </c>
      <c r="I369" s="42">
        <f t="shared" si="141"/>
        <v>17868836287</v>
      </c>
      <c r="J369" s="42">
        <f t="shared" si="141"/>
        <v>18029726891</v>
      </c>
      <c r="K369" s="42">
        <f t="shared" si="141"/>
        <v>18175090239</v>
      </c>
      <c r="L369" s="42">
        <f t="shared" si="141"/>
        <v>16577471289</v>
      </c>
      <c r="M369" s="42">
        <f t="shared" si="141"/>
        <v>17993907603</v>
      </c>
      <c r="N369" s="42">
        <f t="shared" si="141"/>
        <v>18959062047</v>
      </c>
      <c r="O369" s="42">
        <f t="shared" si="141"/>
        <v>20594519883</v>
      </c>
      <c r="P369" s="42">
        <f t="shared" si="141"/>
        <v>21564216522</v>
      </c>
      <c r="Q369" s="43">
        <f t="shared" si="141"/>
        <v>20171863424.147533</v>
      </c>
      <c r="R369" s="43">
        <f t="shared" si="141"/>
        <v>20594734694.85442</v>
      </c>
      <c r="S369" s="43">
        <f t="shared" si="141"/>
        <v>21794543262.172451</v>
      </c>
      <c r="T369" s="43">
        <f t="shared" si="141"/>
        <v>22181194590.900589</v>
      </c>
      <c r="U369" s="43">
        <f t="shared" si="141"/>
        <v>23096704248.988853</v>
      </c>
      <c r="V369" s="43">
        <f t="shared" si="141"/>
        <v>24298145497.827148</v>
      </c>
      <c r="W369" s="43">
        <f t="shared" si="141"/>
        <v>25270858467.696594</v>
      </c>
      <c r="X369" s="43">
        <f t="shared" si="141"/>
        <v>27115919750.472252</v>
      </c>
      <c r="Y369" s="43">
        <f t="shared" si="141"/>
        <v>27508213367.030704</v>
      </c>
      <c r="Z369" s="43">
        <f t="shared" si="141"/>
        <v>28075836629.10527</v>
      </c>
      <c r="AA369" s="43">
        <f t="shared" si="141"/>
        <v>28811482609.489731</v>
      </c>
      <c r="AB369" s="43">
        <f t="shared" si="141"/>
        <v>27956344235.646702</v>
      </c>
      <c r="AC369" s="43">
        <f t="shared" si="141"/>
        <v>29123141815.720196</v>
      </c>
      <c r="AD369" s="43">
        <f t="shared" si="141"/>
        <v>30618151613.139046</v>
      </c>
      <c r="AE369" s="43">
        <f t="shared" si="141"/>
        <v>30928118704.113686</v>
      </c>
      <c r="AF369" s="43">
        <f t="shared" si="141"/>
        <v>30419643229.826637</v>
      </c>
      <c r="AG369" s="43">
        <f t="shared" si="141"/>
        <v>31505069983.556236</v>
      </c>
      <c r="AH369" s="43">
        <f t="shared" si="141"/>
        <v>33542323538.53405</v>
      </c>
      <c r="AI369" s="43">
        <f t="shared" si="141"/>
        <v>35744660915.650948</v>
      </c>
      <c r="AJ369" s="43">
        <f t="shared" si="141"/>
        <v>37627996942.552116</v>
      </c>
      <c r="AK369" s="43">
        <f t="shared" si="141"/>
        <v>39475627244.550789</v>
      </c>
      <c r="AL369" s="43">
        <f t="shared" si="141"/>
        <v>41243256803.944801</v>
      </c>
      <c r="AM369" s="43">
        <f t="shared" si="141"/>
        <v>43504689039.184914</v>
      </c>
      <c r="AN369" s="43">
        <f t="shared" si="141"/>
        <v>45561725794.439445</v>
      </c>
      <c r="AO369" s="43">
        <f t="shared" si="141"/>
        <v>47634749423.156113</v>
      </c>
      <c r="AP369" s="43">
        <f t="shared" si="141"/>
        <v>49962521443.778915</v>
      </c>
      <c r="AQ369" s="43">
        <f t="shared" si="141"/>
        <v>52759504929.516792</v>
      </c>
      <c r="AR369" s="43"/>
    </row>
    <row r="370" spans="1:44">
      <c r="A370" s="51"/>
      <c r="B370" s="51"/>
      <c r="C370" s="51"/>
      <c r="D370" s="51"/>
      <c r="E370" s="51"/>
      <c r="F370" s="51"/>
      <c r="G370" s="51"/>
      <c r="H370" s="51"/>
      <c r="I370" s="51"/>
      <c r="J370" s="51"/>
      <c r="K370" s="51"/>
      <c r="L370" s="51"/>
      <c r="M370" s="52"/>
      <c r="N370" s="53"/>
      <c r="O370" s="54"/>
      <c r="P370" s="54"/>
      <c r="Q370" s="53"/>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row>
    <row r="371" spans="1:44" ht="12" thickBot="1">
      <c r="A371" s="39" t="s">
        <v>162</v>
      </c>
    </row>
    <row r="372" spans="1:44" ht="12" thickBot="1">
      <c r="A372" s="41"/>
      <c r="B372" s="41">
        <f>B2</f>
        <v>2010</v>
      </c>
      <c r="C372" s="41">
        <f>C2</f>
        <v>2011</v>
      </c>
      <c r="D372" s="41">
        <f t="shared" ref="D372:AQ372" si="142">D2</f>
        <v>2012</v>
      </c>
      <c r="E372" s="41">
        <f t="shared" si="142"/>
        <v>2013</v>
      </c>
      <c r="F372" s="41">
        <f t="shared" si="142"/>
        <v>2014</v>
      </c>
      <c r="G372" s="41">
        <f t="shared" si="142"/>
        <v>2015</v>
      </c>
      <c r="H372" s="41">
        <f t="shared" si="142"/>
        <v>2016</v>
      </c>
      <c r="I372" s="41">
        <f t="shared" si="142"/>
        <v>2017</v>
      </c>
      <c r="J372" s="41">
        <f t="shared" si="142"/>
        <v>2018</v>
      </c>
      <c r="K372" s="41">
        <f t="shared" si="142"/>
        <v>2019</v>
      </c>
      <c r="L372" s="41">
        <f t="shared" si="142"/>
        <v>2020</v>
      </c>
      <c r="M372" s="41">
        <f t="shared" si="142"/>
        <v>2021</v>
      </c>
      <c r="N372" s="41">
        <f t="shared" si="142"/>
        <v>2022</v>
      </c>
      <c r="O372" s="41">
        <f t="shared" si="142"/>
        <v>2023</v>
      </c>
      <c r="P372" s="41">
        <f t="shared" si="142"/>
        <v>2024</v>
      </c>
      <c r="Q372" s="41">
        <f t="shared" si="142"/>
        <v>2025</v>
      </c>
      <c r="R372" s="41">
        <f t="shared" si="142"/>
        <v>2026</v>
      </c>
      <c r="S372" s="41">
        <f t="shared" si="142"/>
        <v>2027</v>
      </c>
      <c r="T372" s="41">
        <f t="shared" si="142"/>
        <v>2028</v>
      </c>
      <c r="U372" s="41">
        <f t="shared" si="142"/>
        <v>2029</v>
      </c>
      <c r="V372" s="41">
        <f t="shared" si="142"/>
        <v>2030</v>
      </c>
      <c r="W372" s="41">
        <f t="shared" si="142"/>
        <v>2031</v>
      </c>
      <c r="X372" s="41">
        <f t="shared" si="142"/>
        <v>2032</v>
      </c>
      <c r="Y372" s="41">
        <f t="shared" si="142"/>
        <v>2033</v>
      </c>
      <c r="Z372" s="41">
        <f t="shared" si="142"/>
        <v>2034</v>
      </c>
      <c r="AA372" s="41">
        <f t="shared" si="142"/>
        <v>2035</v>
      </c>
      <c r="AB372" s="41">
        <f t="shared" si="142"/>
        <v>2036</v>
      </c>
      <c r="AC372" s="41">
        <f t="shared" si="142"/>
        <v>2037</v>
      </c>
      <c r="AD372" s="41">
        <f t="shared" si="142"/>
        <v>2038</v>
      </c>
      <c r="AE372" s="41">
        <f t="shared" si="142"/>
        <v>2039</v>
      </c>
      <c r="AF372" s="41">
        <f t="shared" si="142"/>
        <v>2040</v>
      </c>
      <c r="AG372" s="41">
        <f t="shared" si="142"/>
        <v>2041</v>
      </c>
      <c r="AH372" s="41">
        <f t="shared" si="142"/>
        <v>2042</v>
      </c>
      <c r="AI372" s="41">
        <f t="shared" si="142"/>
        <v>2043</v>
      </c>
      <c r="AJ372" s="41">
        <f t="shared" si="142"/>
        <v>2044</v>
      </c>
      <c r="AK372" s="41">
        <f t="shared" si="142"/>
        <v>2045</v>
      </c>
      <c r="AL372" s="41">
        <f t="shared" si="142"/>
        <v>2046</v>
      </c>
      <c r="AM372" s="41">
        <f t="shared" si="142"/>
        <v>2047</v>
      </c>
      <c r="AN372" s="41">
        <f t="shared" si="142"/>
        <v>2048</v>
      </c>
      <c r="AO372" s="41">
        <f t="shared" si="142"/>
        <v>2049</v>
      </c>
      <c r="AP372" s="41">
        <f t="shared" si="142"/>
        <v>2050</v>
      </c>
      <c r="AQ372" s="41">
        <f t="shared" si="142"/>
        <v>2051</v>
      </c>
    </row>
    <row r="373" spans="1:44">
      <c r="A373" s="40" t="s">
        <v>68</v>
      </c>
      <c r="C373" s="72">
        <f>C341/B352-1</f>
        <v>-2.8299219086349137E-2</v>
      </c>
      <c r="D373" s="72">
        <f t="shared" ref="D373:AQ373" si="143">D341/C352-1</f>
        <v>-0.10970351279049362</v>
      </c>
      <c r="E373" s="72">
        <f t="shared" si="143"/>
        <v>-3.9657565195720723E-2</v>
      </c>
      <c r="F373" s="72">
        <f t="shared" si="143"/>
        <v>-0.14028070991389652</v>
      </c>
      <c r="G373" s="72">
        <f t="shared" si="143"/>
        <v>-0.14194412761243036</v>
      </c>
      <c r="H373" s="72">
        <f t="shared" si="143"/>
        <v>-0.10560761955012943</v>
      </c>
      <c r="I373" s="72">
        <f t="shared" si="143"/>
        <v>-0.17682286720045615</v>
      </c>
      <c r="J373" s="72">
        <f t="shared" si="143"/>
        <v>-8.6265102957527096E-2</v>
      </c>
      <c r="K373" s="72">
        <f t="shared" si="143"/>
        <v>-0.14679403628184218</v>
      </c>
      <c r="L373" s="72">
        <f t="shared" si="143"/>
        <v>-0.11407837327367232</v>
      </c>
      <c r="M373" s="72">
        <f t="shared" si="143"/>
        <v>-0.17827888347194853</v>
      </c>
      <c r="N373" s="72">
        <f t="shared" si="143"/>
        <v>-0.19209467444742523</v>
      </c>
      <c r="O373" s="72">
        <f t="shared" si="143"/>
        <v>-9.9976800902856766E-2</v>
      </c>
      <c r="P373" s="72">
        <f t="shared" si="143"/>
        <v>-0.14358841586128968</v>
      </c>
      <c r="Q373" s="72">
        <f t="shared" si="143"/>
        <v>-0.19997625134543195</v>
      </c>
      <c r="R373" s="73">
        <f t="shared" si="143"/>
        <v>-0.27321278843478469</v>
      </c>
      <c r="S373" s="73">
        <f t="shared" si="143"/>
        <v>-0.18795675544569024</v>
      </c>
      <c r="T373" s="73">
        <f t="shared" si="143"/>
        <v>-0.22315867475193629</v>
      </c>
      <c r="U373" s="73">
        <f t="shared" si="143"/>
        <v>-0.21543467704159891</v>
      </c>
      <c r="V373" s="73">
        <f t="shared" si="143"/>
        <v>-0.2239336175869252</v>
      </c>
      <c r="W373" s="73">
        <f t="shared" si="143"/>
        <v>-0.24773073826004399</v>
      </c>
      <c r="X373" s="73">
        <f t="shared" si="143"/>
        <v>-0.22578217985610438</v>
      </c>
      <c r="Y373" s="73">
        <f t="shared" si="143"/>
        <v>-0.26828049806710108</v>
      </c>
      <c r="Z373" s="73">
        <f t="shared" si="143"/>
        <v>-0.268750839930472</v>
      </c>
      <c r="AA373" s="73">
        <f t="shared" si="143"/>
        <v>-0.27152207693681041</v>
      </c>
      <c r="AB373" s="73">
        <f t="shared" si="143"/>
        <v>-0.31027221877858446</v>
      </c>
      <c r="AC373" s="73">
        <f t="shared" si="143"/>
        <v>-0.27126812104020159</v>
      </c>
      <c r="AD373" s="73">
        <f t="shared" si="143"/>
        <v>-0.27339551726906763</v>
      </c>
      <c r="AE373" s="73">
        <f t="shared" si="143"/>
        <v>-0.3059919351767979</v>
      </c>
      <c r="AF373" s="73">
        <f t="shared" si="143"/>
        <v>-0.32549364865555386</v>
      </c>
      <c r="AG373" s="73">
        <f t="shared" si="143"/>
        <v>-0.2862845391196599</v>
      </c>
      <c r="AH373" s="73">
        <f t="shared" si="143"/>
        <v>-0.28653169740591267</v>
      </c>
      <c r="AI373" s="73">
        <f t="shared" si="143"/>
        <v>-0.30108356345560083</v>
      </c>
      <c r="AJ373" s="73">
        <f t="shared" si="143"/>
        <v>-0.31431655149421744</v>
      </c>
      <c r="AK373" s="73">
        <f t="shared" si="143"/>
        <v>-0.30831271285908124</v>
      </c>
      <c r="AL373" s="73">
        <f t="shared" si="143"/>
        <v>-0.29081712007095717</v>
      </c>
      <c r="AM373" s="73">
        <f t="shared" si="143"/>
        <v>-0.24637549979963402</v>
      </c>
      <c r="AN373" s="73">
        <f t="shared" si="143"/>
        <v>-0.20442012047386082</v>
      </c>
      <c r="AO373" s="73">
        <f t="shared" si="143"/>
        <v>-0.13367115773649429</v>
      </c>
      <c r="AP373" s="73">
        <f t="shared" si="143"/>
        <v>-2.1039503632618639E-2</v>
      </c>
      <c r="AQ373" s="73">
        <f t="shared" si="143"/>
        <v>0.14992555660316476</v>
      </c>
    </row>
    <row r="374" spans="1:44">
      <c r="A374" s="40" t="s">
        <v>69</v>
      </c>
      <c r="C374" s="72">
        <f t="shared" ref="C374:AQ380" si="144">C342/C341-1</f>
        <v>-8.5282764088341789E-2</v>
      </c>
      <c r="D374" s="72">
        <f t="shared" si="144"/>
        <v>-7.0455127895478697E-2</v>
      </c>
      <c r="E374" s="72">
        <f t="shared" si="144"/>
        <v>-9.3722378238713877E-2</v>
      </c>
      <c r="F374" s="72">
        <f t="shared" si="144"/>
        <v>-9.0126186353764015E-2</v>
      </c>
      <c r="G374" s="72">
        <f t="shared" si="144"/>
        <v>-8.9389403478712826E-2</v>
      </c>
      <c r="H374" s="72">
        <f t="shared" si="144"/>
        <v>-2.8515763989021559E-2</v>
      </c>
      <c r="I374" s="72">
        <f t="shared" si="144"/>
        <v>-5.4570631907644773E-2</v>
      </c>
      <c r="J374" s="72">
        <f t="shared" si="144"/>
        <v>-8.9348443292410762E-2</v>
      </c>
      <c r="K374" s="72">
        <f t="shared" si="144"/>
        <v>-5.7841685640214191E-3</v>
      </c>
      <c r="L374" s="72">
        <f t="shared" si="144"/>
        <v>-2.8792276954947682E-2</v>
      </c>
      <c r="M374" s="72">
        <f t="shared" si="144"/>
        <v>-0.1138513353713605</v>
      </c>
      <c r="N374" s="72">
        <f t="shared" si="144"/>
        <v>-3.6590864668849754E-2</v>
      </c>
      <c r="O374" s="72">
        <f t="shared" si="144"/>
        <v>-1.6344197962681051E-2</v>
      </c>
      <c r="P374" s="72">
        <f t="shared" si="144"/>
        <v>6.4816213659030231E-2</v>
      </c>
      <c r="Q374" s="72">
        <f t="shared" si="144"/>
        <v>-9.4160170345610528E-2</v>
      </c>
      <c r="R374" s="73">
        <f t="shared" si="144"/>
        <v>-1.7438135474856398E-2</v>
      </c>
      <c r="S374" s="73">
        <f t="shared" si="144"/>
        <v>1.9902499107212313E-2</v>
      </c>
      <c r="T374" s="73">
        <f t="shared" si="144"/>
        <v>3.6821600766874907E-2</v>
      </c>
      <c r="U374" s="73">
        <f t="shared" si="144"/>
        <v>4.720809075914989E-2</v>
      </c>
      <c r="V374" s="73">
        <f t="shared" si="144"/>
        <v>5.4516958515939073E-2</v>
      </c>
      <c r="W374" s="73">
        <f t="shared" si="144"/>
        <v>7.3154426383121418E-2</v>
      </c>
      <c r="X374" s="73">
        <f t="shared" si="144"/>
        <v>9.54495573103602E-2</v>
      </c>
      <c r="Y374" s="73">
        <f t="shared" si="144"/>
        <v>8.7791542564635616E-2</v>
      </c>
      <c r="Z374" s="73">
        <f t="shared" si="144"/>
        <v>9.948861416997179E-2</v>
      </c>
      <c r="AA374" s="73">
        <f t="shared" si="144"/>
        <v>0.10212506049398407</v>
      </c>
      <c r="AB374" s="73">
        <f t="shared" si="144"/>
        <v>7.8382018984034962E-2</v>
      </c>
      <c r="AC374" s="73">
        <f t="shared" si="144"/>
        <v>8.6183561194923763E-2</v>
      </c>
      <c r="AD374" s="73">
        <f t="shared" si="144"/>
        <v>9.6135149293855582E-2</v>
      </c>
      <c r="AE374" s="73">
        <f t="shared" si="144"/>
        <v>9.6204532875067361E-2</v>
      </c>
      <c r="AF374" s="73">
        <f t="shared" si="144"/>
        <v>9.613082296938269E-2</v>
      </c>
      <c r="AG374" s="73">
        <f t="shared" si="144"/>
        <v>9.9657203914139458E-2</v>
      </c>
      <c r="AH374" s="73">
        <f t="shared" si="144"/>
        <v>0.10490647609148218</v>
      </c>
      <c r="AI374" s="73">
        <f t="shared" si="144"/>
        <v>0.10869309188120457</v>
      </c>
      <c r="AJ374" s="73">
        <f t="shared" si="144"/>
        <v>0.11026535025138573</v>
      </c>
      <c r="AK374" s="73">
        <f t="shared" si="144"/>
        <v>0.11317641476031604</v>
      </c>
      <c r="AL374" s="73">
        <f t="shared" si="144"/>
        <v>0.11843971729300184</v>
      </c>
      <c r="AM374" s="73">
        <f t="shared" si="144"/>
        <v>0.12136423301694022</v>
      </c>
      <c r="AN374" s="73">
        <f t="shared" si="144"/>
        <v>0.11989714102429083</v>
      </c>
      <c r="AO374" s="73">
        <f t="shared" si="144"/>
        <v>0.11795568750214236</v>
      </c>
      <c r="AP374" s="73">
        <f t="shared" si="144"/>
        <v>0.11853811935732717</v>
      </c>
      <c r="AQ374" s="73">
        <f t="shared" si="144"/>
        <v>0.13299645082389655</v>
      </c>
      <c r="AR374" s="75"/>
    </row>
    <row r="375" spans="1:44">
      <c r="A375" s="40" t="s">
        <v>70</v>
      </c>
      <c r="C375" s="72">
        <f t="shared" si="144"/>
        <v>0.18109154777854797</v>
      </c>
      <c r="D375" s="72">
        <f t="shared" si="144"/>
        <v>9.0054043186564847E-2</v>
      </c>
      <c r="E375" s="72">
        <f t="shared" si="144"/>
        <v>0.15298184436139328</v>
      </c>
      <c r="F375" s="72">
        <f t="shared" si="144"/>
        <v>0.1418283450086848</v>
      </c>
      <c r="G375" s="72">
        <f t="shared" si="144"/>
        <v>0.13784216300661933</v>
      </c>
      <c r="H375" s="72">
        <f t="shared" si="144"/>
        <v>7.1827293193703845E-2</v>
      </c>
      <c r="I375" s="72">
        <f t="shared" si="144"/>
        <v>0.13677412859059546</v>
      </c>
      <c r="J375" s="72">
        <f t="shared" si="144"/>
        <v>0.12308960033382599</v>
      </c>
      <c r="K375" s="72">
        <f t="shared" si="144"/>
        <v>6.2121174436118753E-2</v>
      </c>
      <c r="L375" s="72">
        <f t="shared" si="144"/>
        <v>1.4605610843618777E-2</v>
      </c>
      <c r="M375" s="72">
        <f t="shared" si="144"/>
        <v>0.30772249350575231</v>
      </c>
      <c r="N375" s="72">
        <f t="shared" si="144"/>
        <v>0.17296991432200071</v>
      </c>
      <c r="O375" s="72">
        <f t="shared" si="144"/>
        <v>0.10094595496309888</v>
      </c>
      <c r="P375" s="72">
        <f t="shared" si="144"/>
        <v>-4.4672644201374956E-2</v>
      </c>
      <c r="Q375" s="72">
        <f t="shared" si="144"/>
        <v>0.14513766468377565</v>
      </c>
      <c r="R375" s="73">
        <f t="shared" si="144"/>
        <v>8.139759662250623E-2</v>
      </c>
      <c r="S375" s="73">
        <f t="shared" si="144"/>
        <v>2.6578029749770637E-2</v>
      </c>
      <c r="T375" s="73">
        <f t="shared" si="144"/>
        <v>-3.9996100056032269E-3</v>
      </c>
      <c r="U375" s="73">
        <f t="shared" si="144"/>
        <v>-2.0003523474329654E-2</v>
      </c>
      <c r="V375" s="73">
        <f t="shared" si="144"/>
        <v>-2.8942559113823818E-2</v>
      </c>
      <c r="W375" s="73">
        <f t="shared" si="144"/>
        <v>-4.6359533256888796E-2</v>
      </c>
      <c r="X375" s="73">
        <f t="shared" si="144"/>
        <v>-7.0609236486755433E-2</v>
      </c>
      <c r="Y375" s="73">
        <f t="shared" si="144"/>
        <v>-7.6443495514642468E-2</v>
      </c>
      <c r="Z375" s="73">
        <f t="shared" si="144"/>
        <v>-8.5456227133509977E-2</v>
      </c>
      <c r="AA375" s="73">
        <f t="shared" si="144"/>
        <v>-8.8132796327650031E-2</v>
      </c>
      <c r="AB375" s="73">
        <f t="shared" si="144"/>
        <v>-5.8105315943868807E-2</v>
      </c>
      <c r="AC375" s="73">
        <f t="shared" si="144"/>
        <v>-6.6178818502112713E-2</v>
      </c>
      <c r="AD375" s="73">
        <f t="shared" si="144"/>
        <v>-7.6884978472514076E-2</v>
      </c>
      <c r="AE375" s="73">
        <f t="shared" si="144"/>
        <v>-7.6779178582314311E-2</v>
      </c>
      <c r="AF375" s="73">
        <f t="shared" si="144"/>
        <v>-8.0380855666111528E-2</v>
      </c>
      <c r="AG375" s="73">
        <f t="shared" si="144"/>
        <v>-8.3750232305174976E-2</v>
      </c>
      <c r="AH375" s="73">
        <f t="shared" si="144"/>
        <v>-8.6258097836123482E-2</v>
      </c>
      <c r="AI375" s="73">
        <f t="shared" si="144"/>
        <v>-8.7618850430311812E-2</v>
      </c>
      <c r="AJ375" s="73">
        <f t="shared" si="144"/>
        <v>-8.9048794652642482E-2</v>
      </c>
      <c r="AK375" s="73">
        <f t="shared" si="144"/>
        <v>-9.3537790544657939E-2</v>
      </c>
      <c r="AL375" s="73">
        <f t="shared" si="144"/>
        <v>-0.10211831928690918</v>
      </c>
      <c r="AM375" s="73">
        <f t="shared" si="144"/>
        <v>-0.10635595466815229</v>
      </c>
      <c r="AN375" s="73">
        <f t="shared" si="144"/>
        <v>-0.10641536255211126</v>
      </c>
      <c r="AO375" s="73">
        <f t="shared" si="144"/>
        <v>-0.10627595966194248</v>
      </c>
      <c r="AP375" s="73">
        <f t="shared" si="144"/>
        <v>-0.10894291926077659</v>
      </c>
      <c r="AQ375" s="73">
        <f t="shared" si="144"/>
        <v>-0.12643132200538798</v>
      </c>
      <c r="AR375" s="75"/>
    </row>
    <row r="376" spans="1:44">
      <c r="A376" s="40" t="s">
        <v>71</v>
      </c>
      <c r="C376" s="72">
        <f t="shared" si="144"/>
        <v>-0.11783804912802764</v>
      </c>
      <c r="D376" s="72">
        <f t="shared" si="144"/>
        <v>-4.3346716378549255E-2</v>
      </c>
      <c r="E376" s="72">
        <f t="shared" si="144"/>
        <v>2.1445423431529553E-2</v>
      </c>
      <c r="F376" s="72">
        <f t="shared" si="144"/>
        <v>3.7455268998968894E-2</v>
      </c>
      <c r="G376" s="72">
        <f t="shared" si="144"/>
        <v>-9.4757368169471334E-3</v>
      </c>
      <c r="H376" s="72">
        <f t="shared" si="144"/>
        <v>-2.0792337767704838E-2</v>
      </c>
      <c r="I376" s="72">
        <f t="shared" si="144"/>
        <v>-7.0992941518132735E-2</v>
      </c>
      <c r="J376" s="72">
        <f t="shared" si="144"/>
        <v>2.912457140119562E-3</v>
      </c>
      <c r="K376" s="72">
        <f t="shared" si="144"/>
        <v>6.1502451596333829E-2</v>
      </c>
      <c r="L376" s="72">
        <f t="shared" si="144"/>
        <v>-0.36217050545182716</v>
      </c>
      <c r="M376" s="72">
        <f t="shared" si="144"/>
        <v>-4.2770912995807264E-2</v>
      </c>
      <c r="N376" s="72">
        <f t="shared" si="144"/>
        <v>-7.2416038498853141E-2</v>
      </c>
      <c r="O376" s="72">
        <f t="shared" si="144"/>
        <v>-4.4058492686839035E-2</v>
      </c>
      <c r="P376" s="72">
        <f t="shared" si="144"/>
        <v>6.0175797666856656E-2</v>
      </c>
      <c r="Q376" s="73">
        <f t="shared" si="144"/>
        <v>-6.2696194541715711E-2</v>
      </c>
      <c r="R376" s="73">
        <f t="shared" si="144"/>
        <v>-3.4732567209997622E-2</v>
      </c>
      <c r="S376" s="73">
        <f t="shared" si="144"/>
        <v>-2.2632677180011052E-2</v>
      </c>
      <c r="T376" s="73">
        <f t="shared" si="144"/>
        <v>-1.1915693018434093E-2</v>
      </c>
      <c r="U376" s="73">
        <f t="shared" si="144"/>
        <v>-1.3585832166713718E-3</v>
      </c>
      <c r="V376" s="73">
        <f t="shared" si="144"/>
        <v>2.1856942160640713E-3</v>
      </c>
      <c r="W376" s="73">
        <f t="shared" si="144"/>
        <v>9.0752318046369851E-3</v>
      </c>
      <c r="X376" s="73">
        <f t="shared" si="144"/>
        <v>1.9255093322456007E-2</v>
      </c>
      <c r="Y376" s="73">
        <f t="shared" si="144"/>
        <v>2.1544468696170327E-2</v>
      </c>
      <c r="Z376" s="73">
        <f t="shared" si="144"/>
        <v>2.564950392571097E-2</v>
      </c>
      <c r="AA376" s="73">
        <f t="shared" si="144"/>
        <v>2.6107174818891021E-2</v>
      </c>
      <c r="AB376" s="73">
        <f t="shared" si="144"/>
        <v>9.2943635482067855E-3</v>
      </c>
      <c r="AC376" s="73">
        <f t="shared" si="144"/>
        <v>1.1146499303400947E-2</v>
      </c>
      <c r="AD376" s="73">
        <f t="shared" si="144"/>
        <v>1.5887068003951565E-2</v>
      </c>
      <c r="AE376" s="73">
        <f t="shared" si="144"/>
        <v>1.4393508254065379E-2</v>
      </c>
      <c r="AF376" s="73">
        <f t="shared" si="144"/>
        <v>1.3837157855611792E-2</v>
      </c>
      <c r="AG376" s="73">
        <f t="shared" si="144"/>
        <v>1.5905817053170956E-2</v>
      </c>
      <c r="AH376" s="73">
        <f t="shared" si="144"/>
        <v>1.8030731694735236E-2</v>
      </c>
      <c r="AI376" s="73">
        <f t="shared" si="144"/>
        <v>1.8906636121012399E-2</v>
      </c>
      <c r="AJ376" s="73">
        <f t="shared" si="144"/>
        <v>2.0017099270218663E-2</v>
      </c>
      <c r="AK376" s="73">
        <f t="shared" si="144"/>
        <v>2.2453959708674809E-2</v>
      </c>
      <c r="AL376" s="73">
        <f t="shared" si="144"/>
        <v>2.6790423868840563E-2</v>
      </c>
      <c r="AM376" s="73">
        <f t="shared" si="144"/>
        <v>2.9126302117951974E-2</v>
      </c>
      <c r="AN376" s="73">
        <f t="shared" si="144"/>
        <v>2.9134331784645751E-2</v>
      </c>
      <c r="AO376" s="73">
        <f t="shared" si="144"/>
        <v>2.8950955961256852E-2</v>
      </c>
      <c r="AP376" s="73">
        <f t="shared" si="144"/>
        <v>3.0257534721656931E-2</v>
      </c>
      <c r="AQ376" s="73">
        <f t="shared" si="144"/>
        <v>4.0797442420458907E-2</v>
      </c>
      <c r="AR376" s="75"/>
    </row>
    <row r="377" spans="1:44">
      <c r="A377" s="40" t="s">
        <v>47</v>
      </c>
      <c r="C377" s="72">
        <f t="shared" si="144"/>
        <v>7.295727450022893E-2</v>
      </c>
      <c r="D377" s="72">
        <f t="shared" si="144"/>
        <v>4.8435432880476137E-2</v>
      </c>
      <c r="E377" s="72">
        <f t="shared" si="144"/>
        <v>7.1371517558384445E-2</v>
      </c>
      <c r="F377" s="72">
        <f t="shared" si="144"/>
        <v>2.2594359372952733E-2</v>
      </c>
      <c r="G377" s="72">
        <f t="shared" si="144"/>
        <v>3.8154394607408326E-2</v>
      </c>
      <c r="H377" s="72">
        <f t="shared" si="144"/>
        <v>7.231769080145023E-2</v>
      </c>
      <c r="I377" s="72">
        <f t="shared" si="144"/>
        <v>0.11167369492194901</v>
      </c>
      <c r="J377" s="72">
        <f t="shared" si="144"/>
        <v>5.5929237621848538E-2</v>
      </c>
      <c r="K377" s="72">
        <f t="shared" si="144"/>
        <v>1.5637967484227522E-2</v>
      </c>
      <c r="L377" s="72">
        <f t="shared" si="144"/>
        <v>0.22661270190672478</v>
      </c>
      <c r="M377" s="72">
        <f t="shared" si="144"/>
        <v>9.5135253895608285E-2</v>
      </c>
      <c r="N377" s="72">
        <f t="shared" si="144"/>
        <v>8.0537924546844941E-2</v>
      </c>
      <c r="O377" s="72">
        <f t="shared" si="144"/>
        <v>0.13428862186364032</v>
      </c>
      <c r="P377" s="72">
        <f t="shared" si="144"/>
        <v>1.2148759618623606E-2</v>
      </c>
      <c r="Q377" s="73">
        <f t="shared" si="144"/>
        <v>8.9791367881491002E-2</v>
      </c>
      <c r="R377" s="73">
        <f t="shared" si="144"/>
        <v>0.10510700285055696</v>
      </c>
      <c r="S377" s="73">
        <f t="shared" si="144"/>
        <v>0.11241929860301747</v>
      </c>
      <c r="T377" s="73">
        <f t="shared" si="144"/>
        <v>0.12054004165143395</v>
      </c>
      <c r="U377" s="73">
        <f t="shared" si="144"/>
        <v>0.12276801383676883</v>
      </c>
      <c r="V377" s="73">
        <f t="shared" si="144"/>
        <v>0.1357492734459198</v>
      </c>
      <c r="W377" s="73">
        <f t="shared" si="144"/>
        <v>0.13929741499967729</v>
      </c>
      <c r="X377" s="73">
        <f t="shared" si="144"/>
        <v>0.14703904851666771</v>
      </c>
      <c r="Y377" s="73">
        <f t="shared" si="144"/>
        <v>0.15287385866794567</v>
      </c>
      <c r="Z377" s="73">
        <f t="shared" si="144"/>
        <v>0.15942265035744785</v>
      </c>
      <c r="AA377" s="73">
        <f t="shared" si="144"/>
        <v>0.16561603204947017</v>
      </c>
      <c r="AB377" s="73">
        <f t="shared" si="144"/>
        <v>0.16602111006703302</v>
      </c>
      <c r="AC377" s="73">
        <f t="shared" si="144"/>
        <v>0.17396867397745108</v>
      </c>
      <c r="AD377" s="73">
        <f t="shared" si="144"/>
        <v>0.18203151822605945</v>
      </c>
      <c r="AE377" s="73">
        <f t="shared" si="144"/>
        <v>0.18975560970323957</v>
      </c>
      <c r="AF377" s="73">
        <f t="shared" si="144"/>
        <v>0.20045551139510298</v>
      </c>
      <c r="AG377" s="73">
        <f t="shared" si="144"/>
        <v>0.20802734091790631</v>
      </c>
      <c r="AH377" s="73">
        <f t="shared" si="144"/>
        <v>0.23563879512951624</v>
      </c>
      <c r="AI377" s="73">
        <f t="shared" si="144"/>
        <v>0.26369045458622398</v>
      </c>
      <c r="AJ377" s="73">
        <f t="shared" si="144"/>
        <v>0.29214168816024721</v>
      </c>
      <c r="AK377" s="73">
        <f t="shared" si="144"/>
        <v>0.32091475666818781</v>
      </c>
      <c r="AL377" s="73">
        <f t="shared" si="144"/>
        <v>0.35080381498498503</v>
      </c>
      <c r="AM377" s="73">
        <f t="shared" si="144"/>
        <v>0.37665390063233195</v>
      </c>
      <c r="AN377" s="73">
        <f t="shared" si="144"/>
        <v>0.40175870786687029</v>
      </c>
      <c r="AO377" s="73">
        <f t="shared" si="144"/>
        <v>0.42619927349556308</v>
      </c>
      <c r="AP377" s="73">
        <f t="shared" si="144"/>
        <v>0.44887499840738809</v>
      </c>
      <c r="AQ377" s="73">
        <f t="shared" si="144"/>
        <v>0.47031238937034647</v>
      </c>
      <c r="AR377" s="75"/>
    </row>
    <row r="378" spans="1:44">
      <c r="A378" s="40" t="s">
        <v>72</v>
      </c>
      <c r="C378" s="72">
        <f t="shared" si="144"/>
        <v>2.1615764168740226E-2</v>
      </c>
      <c r="D378" s="72">
        <f t="shared" si="144"/>
        <v>-2.077005265836851E-2</v>
      </c>
      <c r="E378" s="72">
        <f t="shared" si="144"/>
        <v>-1.5124601728442211E-2</v>
      </c>
      <c r="F378" s="72">
        <f t="shared" si="144"/>
        <v>-8.0188196588562022E-3</v>
      </c>
      <c r="G378" s="72">
        <f t="shared" si="144"/>
        <v>3.8916451405766495E-2</v>
      </c>
      <c r="H378" s="72">
        <f t="shared" si="144"/>
        <v>4.9473921917095653E-2</v>
      </c>
      <c r="I378" s="72">
        <f t="shared" si="144"/>
        <v>1.4416626540627586E-2</v>
      </c>
      <c r="J378" s="72">
        <f t="shared" si="144"/>
        <v>-3.5636556286236076E-2</v>
      </c>
      <c r="K378" s="72">
        <f t="shared" si="144"/>
        <v>-1.9585092241710678E-2</v>
      </c>
      <c r="L378" s="72">
        <f t="shared" si="144"/>
        <v>0.2212391256084576</v>
      </c>
      <c r="M378" s="72">
        <f t="shared" si="144"/>
        <v>2.9676820252194869E-2</v>
      </c>
      <c r="N378" s="72">
        <f t="shared" si="144"/>
        <v>1.9754821724138116E-2</v>
      </c>
      <c r="O378" s="72">
        <f t="shared" si="144"/>
        <v>-1.3353654047586483E-2</v>
      </c>
      <c r="P378" s="72">
        <f t="shared" si="144"/>
        <v>1.1412252100418518E-2</v>
      </c>
      <c r="Q378" s="73">
        <f t="shared" si="144"/>
        <v>3.3356906105376671E-2</v>
      </c>
      <c r="R378" s="73">
        <f t="shared" si="144"/>
        <v>1.2943382273786108E-2</v>
      </c>
      <c r="S378" s="73">
        <f t="shared" si="144"/>
        <v>1.077265645107639E-2</v>
      </c>
      <c r="T378" s="73">
        <f t="shared" si="144"/>
        <v>7.5213805139404677E-3</v>
      </c>
      <c r="U378" s="73">
        <f t="shared" si="144"/>
        <v>6.6503919751643714E-3</v>
      </c>
      <c r="V378" s="73">
        <f t="shared" si="144"/>
        <v>1.3747907912611046E-2</v>
      </c>
      <c r="W378" s="73">
        <f t="shared" si="144"/>
        <v>1.0923382223861466E-2</v>
      </c>
      <c r="X378" s="73">
        <f t="shared" si="144"/>
        <v>1.0492031432578264E-2</v>
      </c>
      <c r="Y378" s="73">
        <f t="shared" si="144"/>
        <v>1.3128324859445817E-2</v>
      </c>
      <c r="Z378" s="73">
        <f t="shared" si="144"/>
        <v>1.5917088312331407E-2</v>
      </c>
      <c r="AA378" s="73">
        <f t="shared" si="144"/>
        <v>2.0060624901406365E-2</v>
      </c>
      <c r="AB378" s="73">
        <f t="shared" si="144"/>
        <v>2.7254143086608673E-2</v>
      </c>
      <c r="AC378" s="73">
        <f t="shared" si="144"/>
        <v>3.1737805772360739E-2</v>
      </c>
      <c r="AD378" s="73">
        <f t="shared" si="144"/>
        <v>3.6162445521260356E-2</v>
      </c>
      <c r="AE378" s="73">
        <f t="shared" si="144"/>
        <v>4.4200109760791806E-2</v>
      </c>
      <c r="AF378" s="73">
        <f t="shared" si="144"/>
        <v>5.4967535679973256E-2</v>
      </c>
      <c r="AG378" s="73">
        <f t="shared" si="144"/>
        <v>6.2953639240502568E-2</v>
      </c>
      <c r="AH378" s="73">
        <f t="shared" si="144"/>
        <v>8.8900917077699537E-2</v>
      </c>
      <c r="AI378" s="73">
        <f t="shared" si="144"/>
        <v>0.1173872745916873</v>
      </c>
      <c r="AJ378" s="73">
        <f t="shared" si="144"/>
        <v>0.1484306072226167</v>
      </c>
      <c r="AK378" s="73">
        <f t="shared" si="144"/>
        <v>0.18061808532416612</v>
      </c>
      <c r="AL378" s="73">
        <f t="shared" si="144"/>
        <v>0.21410329814978346</v>
      </c>
      <c r="AM378" s="73">
        <f t="shared" si="144"/>
        <v>0.24608431266968789</v>
      </c>
      <c r="AN378" s="73">
        <f t="shared" si="144"/>
        <v>0.28058226460438007</v>
      </c>
      <c r="AO378" s="73">
        <f t="shared" si="144"/>
        <v>0.31632061155218905</v>
      </c>
      <c r="AP378" s="73">
        <f t="shared" si="144"/>
        <v>0.35111677024426879</v>
      </c>
      <c r="AQ378" s="73">
        <f t="shared" si="144"/>
        <v>0.38088231299193676</v>
      </c>
      <c r="AR378" s="75"/>
    </row>
    <row r="379" spans="1:44">
      <c r="A379" s="40" t="s">
        <v>73</v>
      </c>
      <c r="C379" s="72">
        <f t="shared" si="144"/>
        <v>-1.4673086485897269E-2</v>
      </c>
      <c r="D379" s="72">
        <f t="shared" si="144"/>
        <v>-2.1255895361145583E-2</v>
      </c>
      <c r="E379" s="72">
        <f t="shared" si="144"/>
        <v>4.5716341834214358E-2</v>
      </c>
      <c r="F379" s="72">
        <f t="shared" si="144"/>
        <v>5.5344585315429295E-2</v>
      </c>
      <c r="G379" s="72">
        <f t="shared" si="144"/>
        <v>1.0971230016072253E-2</v>
      </c>
      <c r="H379" s="72">
        <f t="shared" si="144"/>
        <v>-4.9950782303362806E-2</v>
      </c>
      <c r="I379" s="72">
        <f t="shared" si="144"/>
        <v>-1.3289576428140437E-2</v>
      </c>
      <c r="J379" s="72">
        <f t="shared" si="144"/>
        <v>6.921101465932944E-2</v>
      </c>
      <c r="K379" s="72">
        <f t="shared" si="144"/>
        <v>7.1448781925568694E-2</v>
      </c>
      <c r="L379" s="72">
        <f t="shared" si="144"/>
        <v>8.738813881762364E-2</v>
      </c>
      <c r="M379" s="72">
        <f t="shared" si="144"/>
        <v>-2.3994987538568657E-2</v>
      </c>
      <c r="N379" s="72">
        <f t="shared" si="144"/>
        <v>-7.3253962172534881E-2</v>
      </c>
      <c r="O379" s="72">
        <f t="shared" si="144"/>
        <v>-2.403008415811092E-2</v>
      </c>
      <c r="P379" s="72">
        <f t="shared" si="144"/>
        <v>6.5893035218016482E-2</v>
      </c>
      <c r="Q379" s="73">
        <f t="shared" si="144"/>
        <v>1.5828130113974881E-2</v>
      </c>
      <c r="R379" s="73">
        <f t="shared" si="144"/>
        <v>2.2151351955743692E-3</v>
      </c>
      <c r="S379" s="73">
        <f t="shared" si="144"/>
        <v>7.2411607749922613E-3</v>
      </c>
      <c r="T379" s="73">
        <f t="shared" si="144"/>
        <v>2.0416212549892565E-2</v>
      </c>
      <c r="U379" s="73">
        <f t="shared" si="144"/>
        <v>2.6247598578167608E-2</v>
      </c>
      <c r="V379" s="73">
        <f t="shared" si="144"/>
        <v>2.0924769729288029E-2</v>
      </c>
      <c r="W379" s="73">
        <f t="shared" si="144"/>
        <v>2.1070802619967965E-2</v>
      </c>
      <c r="X379" s="73">
        <f t="shared" si="144"/>
        <v>2.4314127701053456E-2</v>
      </c>
      <c r="Y379" s="73">
        <f t="shared" si="144"/>
        <v>2.7026090988143681E-2</v>
      </c>
      <c r="Z379" s="73">
        <f t="shared" si="144"/>
        <v>2.8936784312868946E-2</v>
      </c>
      <c r="AA379" s="73">
        <f t="shared" si="144"/>
        <v>2.857567104048031E-2</v>
      </c>
      <c r="AB379" s="73">
        <f t="shared" si="144"/>
        <v>2.8727356421818229E-2</v>
      </c>
      <c r="AC379" s="73">
        <f t="shared" si="144"/>
        <v>3.0172882192680328E-2</v>
      </c>
      <c r="AD379" s="73">
        <f t="shared" si="144"/>
        <v>3.1220387010213457E-2</v>
      </c>
      <c r="AE379" s="73">
        <f t="shared" si="144"/>
        <v>3.1936132619085233E-2</v>
      </c>
      <c r="AF379" s="73">
        <f t="shared" si="144"/>
        <v>3.3840842759764067E-2</v>
      </c>
      <c r="AG379" s="73">
        <f t="shared" si="144"/>
        <v>3.429461126732547E-2</v>
      </c>
      <c r="AH379" s="73">
        <f t="shared" si="144"/>
        <v>3.6622294833685176E-2</v>
      </c>
      <c r="AI379" s="73">
        <f t="shared" si="144"/>
        <v>3.8371805886211252E-2</v>
      </c>
      <c r="AJ379" s="73">
        <f t="shared" si="144"/>
        <v>4.0080740529171877E-2</v>
      </c>
      <c r="AK379" s="73">
        <f t="shared" si="144"/>
        <v>4.1842532888179962E-2</v>
      </c>
      <c r="AL379" s="73">
        <f t="shared" si="144"/>
        <v>4.3762370817675977E-2</v>
      </c>
      <c r="AM379" s="73">
        <f t="shared" si="144"/>
        <v>4.4614222543429394E-2</v>
      </c>
      <c r="AN379" s="73">
        <f t="shared" si="144"/>
        <v>4.5000221336621182E-2</v>
      </c>
      <c r="AO379" s="73">
        <f t="shared" si="144"/>
        <v>4.522768941853772E-2</v>
      </c>
      <c r="AP379" s="73">
        <f t="shared" si="144"/>
        <v>4.5397541638699801E-2</v>
      </c>
      <c r="AQ379" s="73">
        <f t="shared" si="144"/>
        <v>4.6983597162404189E-2</v>
      </c>
      <c r="AR379" s="75"/>
    </row>
    <row r="380" spans="1:44">
      <c r="A380" s="40" t="s">
        <v>74</v>
      </c>
      <c r="C380" s="72">
        <f t="shared" si="144"/>
        <v>5.2455606164210744E-2</v>
      </c>
      <c r="D380" s="72">
        <f t="shared" si="144"/>
        <v>5.7040235659735039E-2</v>
      </c>
      <c r="E380" s="72">
        <f t="shared" si="144"/>
        <v>1.5260019204413666E-2</v>
      </c>
      <c r="F380" s="72">
        <f t="shared" si="144"/>
        <v>-6.449978310158988E-2</v>
      </c>
      <c r="G380" s="72">
        <f t="shared" si="144"/>
        <v>-6.5680516459792893E-3</v>
      </c>
      <c r="H380" s="72">
        <f t="shared" si="144"/>
        <v>8.5335766591537077E-2</v>
      </c>
      <c r="I380" s="72">
        <f t="shared" si="144"/>
        <v>5.0406044015556484E-2</v>
      </c>
      <c r="J380" s="72">
        <f t="shared" si="144"/>
        <v>2.5812132920980835E-2</v>
      </c>
      <c r="K380" s="72">
        <f t="shared" si="144"/>
        <v>-7.6525596816170438E-2</v>
      </c>
      <c r="L380" s="72">
        <f t="shared" ref="D380:AQ384" si="145">L348/L347-1</f>
        <v>-2.2681619679201459E-2</v>
      </c>
      <c r="M380" s="72">
        <f t="shared" si="145"/>
        <v>-8.6916554316256445E-3</v>
      </c>
      <c r="N380" s="72">
        <f t="shared" si="145"/>
        <v>6.9593954398981861E-2</v>
      </c>
      <c r="O380" s="72">
        <f t="shared" si="145"/>
        <v>2.020699539335058E-2</v>
      </c>
      <c r="P380" s="72">
        <f t="shared" si="145"/>
        <v>-3.3173374294664271E-2</v>
      </c>
      <c r="Q380" s="73">
        <f t="shared" si="145"/>
        <v>-1.1329050955055653E-3</v>
      </c>
      <c r="R380" s="73">
        <f t="shared" si="145"/>
        <v>5.77873051685307E-3</v>
      </c>
      <c r="S380" s="73">
        <f t="shared" si="145"/>
        <v>1.4185786157489E-2</v>
      </c>
      <c r="T380" s="73">
        <f t="shared" si="145"/>
        <v>8.2118358316007889E-3</v>
      </c>
      <c r="U380" s="73">
        <f t="shared" si="145"/>
        <v>1.2054581063686509E-2</v>
      </c>
      <c r="V380" s="73">
        <f t="shared" si="145"/>
        <v>1.6661845449509327E-2</v>
      </c>
      <c r="W380" s="73">
        <f t="shared" si="145"/>
        <v>1.9476143526159007E-2</v>
      </c>
      <c r="X380" s="73">
        <f t="shared" si="145"/>
        <v>2.2742948659543627E-2</v>
      </c>
      <c r="Y380" s="73">
        <f t="shared" si="145"/>
        <v>2.3261197374628839E-2</v>
      </c>
      <c r="Z380" s="73">
        <f t="shared" si="145"/>
        <v>2.5439231946352114E-2</v>
      </c>
      <c r="AA380" s="73">
        <f t="shared" si="145"/>
        <v>2.7349912495924222E-2</v>
      </c>
      <c r="AB380" s="73">
        <f t="shared" si="145"/>
        <v>2.6636914215058649E-2</v>
      </c>
      <c r="AC380" s="73">
        <f t="shared" si="145"/>
        <v>2.921118961482283E-2</v>
      </c>
      <c r="AD380" s="73">
        <f t="shared" si="145"/>
        <v>3.2226068506423955E-2</v>
      </c>
      <c r="AE380" s="73">
        <f t="shared" si="145"/>
        <v>3.4925183458933917E-2</v>
      </c>
      <c r="AF380" s="73">
        <f t="shared" si="145"/>
        <v>3.8340504703244793E-2</v>
      </c>
      <c r="AG380" s="73">
        <f t="shared" si="145"/>
        <v>4.1799283482139238E-2</v>
      </c>
      <c r="AH380" s="73">
        <f t="shared" si="145"/>
        <v>5.0574138942556468E-2</v>
      </c>
      <c r="AI380" s="73">
        <f t="shared" si="145"/>
        <v>6.0069473928187733E-2</v>
      </c>
      <c r="AJ380" s="73">
        <f t="shared" si="145"/>
        <v>7.0238833162149517E-2</v>
      </c>
      <c r="AK380" s="73">
        <f t="shared" si="145"/>
        <v>8.084862155753858E-2</v>
      </c>
      <c r="AL380" s="73">
        <f t="shared" si="145"/>
        <v>9.1964900404049477E-2</v>
      </c>
      <c r="AM380" s="73">
        <f t="shared" si="145"/>
        <v>0.10230371556846829</v>
      </c>
      <c r="AN380" s="73">
        <f t="shared" si="145"/>
        <v>0.11297543732709681</v>
      </c>
      <c r="AO380" s="73">
        <f t="shared" si="145"/>
        <v>0.12386992504324956</v>
      </c>
      <c r="AP380" s="73">
        <f t="shared" si="145"/>
        <v>0.13466827858401653</v>
      </c>
      <c r="AQ380" s="73">
        <f t="shared" si="145"/>
        <v>0.14389034630725073</v>
      </c>
      <c r="AR380" s="75"/>
    </row>
    <row r="381" spans="1:44">
      <c r="A381" s="40" t="s">
        <v>75</v>
      </c>
      <c r="C381" s="72">
        <f t="shared" ref="C381:C384" si="146">C349/C348-1</f>
        <v>-4.6533796216245205E-2</v>
      </c>
      <c r="D381" s="72">
        <f t="shared" si="145"/>
        <v>-9.836563624850847E-2</v>
      </c>
      <c r="E381" s="72">
        <f t="shared" si="145"/>
        <v>-4.67109322161956E-2</v>
      </c>
      <c r="F381" s="72">
        <f t="shared" si="145"/>
        <v>-2.7327009023651594E-2</v>
      </c>
      <c r="G381" s="72">
        <f t="shared" si="145"/>
        <v>-4.0360831662913932E-2</v>
      </c>
      <c r="H381" s="72">
        <f t="shared" si="145"/>
        <v>-6.0476262058716035E-2</v>
      </c>
      <c r="I381" s="72">
        <f t="shared" si="145"/>
        <v>-8.4497149782605585E-2</v>
      </c>
      <c r="J381" s="72">
        <f t="shared" si="145"/>
        <v>-0.10309069136483828</v>
      </c>
      <c r="K381" s="72">
        <f t="shared" si="145"/>
        <v>-2.668881508114751E-2</v>
      </c>
      <c r="L381" s="72">
        <f t="shared" si="145"/>
        <v>1.6367613929777702E-2</v>
      </c>
      <c r="M381" s="72">
        <f t="shared" si="145"/>
        <v>-5.4800907549611422E-2</v>
      </c>
      <c r="N381" s="72">
        <f t="shared" si="145"/>
        <v>-7.6396854394496283E-2</v>
      </c>
      <c r="O381" s="72">
        <f t="shared" si="145"/>
        <v>-4.8180538882133472E-2</v>
      </c>
      <c r="P381" s="72">
        <f t="shared" si="145"/>
        <v>-4.0276056870302779E-2</v>
      </c>
      <c r="Q381" s="73">
        <f t="shared" si="145"/>
        <v>-4.5579710684459318E-2</v>
      </c>
      <c r="R381" s="73">
        <f t="shared" si="145"/>
        <v>-4.6758150552003941E-2</v>
      </c>
      <c r="S381" s="73">
        <f t="shared" si="145"/>
        <v>-3.810637510947712E-2</v>
      </c>
      <c r="T381" s="73">
        <f t="shared" si="145"/>
        <v>-2.9074895782933652E-2</v>
      </c>
      <c r="U381" s="73">
        <f t="shared" si="145"/>
        <v>-2.2027008599678433E-2</v>
      </c>
      <c r="V381" s="73">
        <f t="shared" si="145"/>
        <v>-1.3804058323928281E-2</v>
      </c>
      <c r="W381" s="73">
        <f t="shared" si="145"/>
        <v>-9.7080793997919024E-3</v>
      </c>
      <c r="X381" s="73">
        <f t="shared" si="145"/>
        <v>-1.187497987870878E-3</v>
      </c>
      <c r="Y381" s="73">
        <f t="shared" si="145"/>
        <v>1.2196148381098393E-3</v>
      </c>
      <c r="Z381" s="73">
        <f t="shared" si="145"/>
        <v>4.6871259041429969E-3</v>
      </c>
      <c r="AA381" s="73">
        <f t="shared" si="145"/>
        <v>6.4569074314613228E-3</v>
      </c>
      <c r="AB381" s="73">
        <f t="shared" si="145"/>
        <v>-3.2170630089239927E-3</v>
      </c>
      <c r="AC381" s="73">
        <f t="shared" si="145"/>
        <v>7.1284586662301308E-4</v>
      </c>
      <c r="AD381" s="73">
        <f t="shared" si="145"/>
        <v>5.3867484437335467E-3</v>
      </c>
      <c r="AE381" s="73">
        <f t="shared" si="145"/>
        <v>5.6831074637406775E-3</v>
      </c>
      <c r="AF381" s="73">
        <f t="shared" si="145"/>
        <v>5.963926970462996E-3</v>
      </c>
      <c r="AG381" s="73">
        <f t="shared" si="145"/>
        <v>7.7299379121384959E-3</v>
      </c>
      <c r="AH381" s="73">
        <f t="shared" si="145"/>
        <v>1.0474211587098159E-2</v>
      </c>
      <c r="AI381" s="73">
        <f t="shared" si="145"/>
        <v>1.2751977454871888E-2</v>
      </c>
      <c r="AJ381" s="73">
        <f t="shared" si="145"/>
        <v>1.4196695886750321E-2</v>
      </c>
      <c r="AK381" s="73">
        <f t="shared" si="145"/>
        <v>1.5933988523270992E-2</v>
      </c>
      <c r="AL381" s="73">
        <f t="shared" si="145"/>
        <v>1.8071721041083899E-2</v>
      </c>
      <c r="AM381" s="73">
        <f t="shared" si="145"/>
        <v>1.9526054963947992E-2</v>
      </c>
      <c r="AN381" s="73">
        <f t="shared" si="145"/>
        <v>1.9904689845544832E-2</v>
      </c>
      <c r="AO381" s="73">
        <f t="shared" si="145"/>
        <v>2.0144073080561098E-2</v>
      </c>
      <c r="AP381" s="73">
        <f t="shared" si="145"/>
        <v>2.0848530566675016E-2</v>
      </c>
      <c r="AQ381" s="73">
        <f t="shared" si="145"/>
        <v>2.3839356109156551E-2</v>
      </c>
      <c r="AR381" s="75"/>
    </row>
    <row r="382" spans="1:44">
      <c r="A382" s="40" t="s">
        <v>76</v>
      </c>
      <c r="C382" s="72">
        <f t="shared" si="146"/>
        <v>5.211947484242696E-3</v>
      </c>
      <c r="D382" s="72">
        <f t="shared" si="145"/>
        <v>6.3279752302219494E-2</v>
      </c>
      <c r="E382" s="72">
        <f t="shared" si="145"/>
        <v>4.0799580536915903E-2</v>
      </c>
      <c r="F382" s="72">
        <f t="shared" si="145"/>
        <v>7.0638078594569276E-3</v>
      </c>
      <c r="G382" s="72">
        <f t="shared" si="145"/>
        <v>2.7902027116581296E-2</v>
      </c>
      <c r="H382" s="72">
        <f t="shared" si="145"/>
        <v>-1.0704046793432731E-3</v>
      </c>
      <c r="I382" s="72">
        <f t="shared" si="145"/>
        <v>4.85063309164111E-2</v>
      </c>
      <c r="J382" s="72">
        <f t="shared" si="145"/>
        <v>5.8245794315328059E-2</v>
      </c>
      <c r="K382" s="72">
        <f t="shared" si="145"/>
        <v>6.8392510834079268E-2</v>
      </c>
      <c r="L382" s="72">
        <f t="shared" si="145"/>
        <v>-3.1654172709324357E-2</v>
      </c>
      <c r="M382" s="72">
        <f t="shared" si="145"/>
        <v>4.1657915626792441E-2</v>
      </c>
      <c r="N382" s="72">
        <f t="shared" si="145"/>
        <v>6.1143179590883445E-2</v>
      </c>
      <c r="O382" s="72">
        <f t="shared" si="145"/>
        <v>7.8421995846810422E-2</v>
      </c>
      <c r="P382" s="72">
        <f t="shared" si="145"/>
        <v>3.357027182439154E-2</v>
      </c>
      <c r="Q382" s="73">
        <f t="shared" si="145"/>
        <v>5.1791559662022424E-2</v>
      </c>
      <c r="R382" s="73">
        <f t="shared" si="145"/>
        <v>6.1611795880648579E-2</v>
      </c>
      <c r="S382" s="73">
        <f t="shared" si="145"/>
        <v>6.1496440252784002E-2</v>
      </c>
      <c r="T382" s="73">
        <f t="shared" si="145"/>
        <v>5.9402970232410812E-2</v>
      </c>
      <c r="U382" s="73">
        <f t="shared" si="145"/>
        <v>4.790780948034401E-2</v>
      </c>
      <c r="V382" s="73">
        <f t="shared" si="145"/>
        <v>4.8326483148034338E-2</v>
      </c>
      <c r="W382" s="73">
        <f t="shared" si="145"/>
        <v>4.84666640137148E-2</v>
      </c>
      <c r="X382" s="73">
        <f t="shared" si="145"/>
        <v>4.6264292445262756E-2</v>
      </c>
      <c r="Y382" s="73">
        <f t="shared" si="145"/>
        <v>4.5397234179264778E-2</v>
      </c>
      <c r="Z382" s="73">
        <f t="shared" si="145"/>
        <v>4.3745467620113887E-2</v>
      </c>
      <c r="AA382" s="73">
        <f t="shared" si="145"/>
        <v>4.4739073650941208E-2</v>
      </c>
      <c r="AB382" s="73">
        <f t="shared" si="145"/>
        <v>4.9901684576729499E-2</v>
      </c>
      <c r="AC382" s="73">
        <f t="shared" si="145"/>
        <v>5.0614236777177357E-2</v>
      </c>
      <c r="AD382" s="73">
        <f t="shared" si="145"/>
        <v>5.0717805878874422E-2</v>
      </c>
      <c r="AE382" s="73">
        <f t="shared" si="145"/>
        <v>5.2451730121964912E-2</v>
      </c>
      <c r="AF382" s="73">
        <f t="shared" si="145"/>
        <v>5.411406810164987E-2</v>
      </c>
      <c r="AG382" s="73">
        <f t="shared" si="145"/>
        <v>5.6151397574780493E-2</v>
      </c>
      <c r="AH382" s="73">
        <f t="shared" si="145"/>
        <v>6.1248207932122378E-2</v>
      </c>
      <c r="AI382" s="73">
        <f t="shared" si="145"/>
        <v>6.7571804340536445E-2</v>
      </c>
      <c r="AJ382" s="73">
        <f t="shared" si="145"/>
        <v>7.4437648268474099E-2</v>
      </c>
      <c r="AK382" s="73">
        <f t="shared" si="145"/>
        <v>8.1433114054181077E-2</v>
      </c>
      <c r="AL382" s="73">
        <f t="shared" si="145"/>
        <v>8.8251334163562678E-2</v>
      </c>
      <c r="AM382" s="73">
        <f t="shared" si="145"/>
        <v>9.5703963985540152E-2</v>
      </c>
      <c r="AN382" s="73">
        <f t="shared" si="145"/>
        <v>0.10396930342962296</v>
      </c>
      <c r="AO382" s="73">
        <f t="shared" si="145"/>
        <v>0.11255664796165421</v>
      </c>
      <c r="AP382" s="73">
        <f t="shared" si="145"/>
        <v>0.12091353055578558</v>
      </c>
      <c r="AQ382" s="73">
        <f t="shared" si="145"/>
        <v>0.12899026379203993</v>
      </c>
      <c r="AR382" s="75"/>
    </row>
    <row r="383" spans="1:44">
      <c r="A383" s="40" t="s">
        <v>77</v>
      </c>
      <c r="C383" s="72">
        <f t="shared" si="146"/>
        <v>2.6167455008714091E-2</v>
      </c>
      <c r="D383" s="72">
        <f t="shared" si="145"/>
        <v>4.0535162432666638E-3</v>
      </c>
      <c r="E383" s="72">
        <f t="shared" si="145"/>
        <v>-3.1483469521825236E-2</v>
      </c>
      <c r="F383" s="72">
        <f t="shared" si="145"/>
        <v>-1.5198690752376121E-2</v>
      </c>
      <c r="G383" s="72">
        <f t="shared" si="145"/>
        <v>-2.5393208056444849E-2</v>
      </c>
      <c r="H383" s="72">
        <f t="shared" si="145"/>
        <v>-5.3113430869702327E-3</v>
      </c>
      <c r="I383" s="72">
        <f t="shared" si="145"/>
        <v>-8.2511959685871439E-3</v>
      </c>
      <c r="J383" s="72">
        <f t="shared" si="145"/>
        <v>-4.0176067542136984E-2</v>
      </c>
      <c r="K383" s="72">
        <f t="shared" si="145"/>
        <v>-8.0872496085180212E-2</v>
      </c>
      <c r="L383" s="72">
        <f t="shared" si="145"/>
        <v>2.4125469449713499E-2</v>
      </c>
      <c r="M383" s="72">
        <f t="shared" si="145"/>
        <v>4.5234534689508443E-2</v>
      </c>
      <c r="N383" s="72">
        <f t="shared" si="145"/>
        <v>5.6856774572617175E-2</v>
      </c>
      <c r="O383" s="72">
        <f t="shared" si="145"/>
        <v>-5.1948348499369246E-2</v>
      </c>
      <c r="P383" s="72">
        <f t="shared" si="145"/>
        <v>-5.5720905637675067E-2</v>
      </c>
      <c r="Q383" s="73">
        <f t="shared" si="145"/>
        <v>2.6831917481899836E-3</v>
      </c>
      <c r="R383" s="73">
        <f t="shared" si="145"/>
        <v>1.2442829896007535E-2</v>
      </c>
      <c r="S383" s="73">
        <f t="shared" si="145"/>
        <v>3.7743872208162443E-4</v>
      </c>
      <c r="T383" s="73">
        <f t="shared" si="145"/>
        <v>-9.8803202718569239E-3</v>
      </c>
      <c r="U383" s="73">
        <f t="shared" si="145"/>
        <v>-1.1525888672667128E-2</v>
      </c>
      <c r="V383" s="73">
        <f t="shared" si="145"/>
        <v>-1.0903299084261908E-2</v>
      </c>
      <c r="W383" s="73">
        <f t="shared" si="145"/>
        <v>-1.4387461158657078E-2</v>
      </c>
      <c r="X383" s="73">
        <f t="shared" si="145"/>
        <v>-1.627519976482783E-2</v>
      </c>
      <c r="Y383" s="73">
        <f t="shared" si="145"/>
        <v>-1.899911910588048E-2</v>
      </c>
      <c r="Z383" s="73">
        <f t="shared" si="145"/>
        <v>-2.2640448666389146E-2</v>
      </c>
      <c r="AA383" s="73">
        <f t="shared" si="145"/>
        <v>-2.3288065002586844E-2</v>
      </c>
      <c r="AB383" s="73">
        <f t="shared" si="145"/>
        <v>-1.6708715854854339E-2</v>
      </c>
      <c r="AC383" s="73">
        <f t="shared" si="145"/>
        <v>-1.6662663585058191E-2</v>
      </c>
      <c r="AD383" s="73">
        <f t="shared" si="145"/>
        <v>-1.8866545604788287E-2</v>
      </c>
      <c r="AE383" s="73">
        <f t="shared" si="145"/>
        <v>-2.2527794733983475E-2</v>
      </c>
      <c r="AF383" s="73">
        <f t="shared" si="145"/>
        <v>-3.1884639930171765E-2</v>
      </c>
      <c r="AG383" s="73">
        <f t="shared" si="145"/>
        <v>-3.5913442812597784E-2</v>
      </c>
      <c r="AH383" s="73">
        <f t="shared" si="145"/>
        <v>-4.699541842079713E-2</v>
      </c>
      <c r="AI383" s="73">
        <f t="shared" si="145"/>
        <v>-5.8212387700582791E-2</v>
      </c>
      <c r="AJ383" s="73">
        <f t="shared" si="145"/>
        <v>-7.2378230663553977E-2</v>
      </c>
      <c r="AK383" s="73">
        <f t="shared" si="145"/>
        <v>-8.7872543851094553E-2</v>
      </c>
      <c r="AL383" s="73">
        <f t="shared" si="145"/>
        <v>-0.10482276251499689</v>
      </c>
      <c r="AM383" s="73">
        <f t="shared" si="145"/>
        <v>-0.11820685587435298</v>
      </c>
      <c r="AN383" s="73">
        <f t="shared" si="145"/>
        <v>-0.13173209470939773</v>
      </c>
      <c r="AO383" s="73">
        <f t="shared" si="145"/>
        <v>-0.14533883083441446</v>
      </c>
      <c r="AP383" s="73">
        <f t="shared" si="145"/>
        <v>-0.15862737723193465</v>
      </c>
      <c r="AQ383" s="73">
        <f t="shared" si="145"/>
        <v>-0.17125728724507516</v>
      </c>
      <c r="AR383" s="75"/>
    </row>
    <row r="384" spans="1:44" ht="12" thickBot="1">
      <c r="A384" s="40" t="s">
        <v>78</v>
      </c>
      <c r="C384" s="72">
        <f t="shared" si="146"/>
        <v>9.6098688081021955E-2</v>
      </c>
      <c r="D384" s="72">
        <f t="shared" si="145"/>
        <v>-2.468686447740831E-2</v>
      </c>
      <c r="E384" s="72">
        <f t="shared" si="145"/>
        <v>9.7271682382011448E-2</v>
      </c>
      <c r="F384" s="72">
        <f t="shared" si="145"/>
        <v>0.16730041917007754</v>
      </c>
      <c r="G384" s="72">
        <f t="shared" si="145"/>
        <v>8.8455645529716076E-2</v>
      </c>
      <c r="H384" s="72">
        <f t="shared" si="145"/>
        <v>0.11077389990462994</v>
      </c>
      <c r="I384" s="72">
        <f t="shared" si="145"/>
        <v>1.9567181740755668E-2</v>
      </c>
      <c r="J384" s="72">
        <f t="shared" si="145"/>
        <v>8.4311571543290054E-2</v>
      </c>
      <c r="K384" s="72">
        <f t="shared" si="145"/>
        <v>0.12831575318056254</v>
      </c>
      <c r="L384" s="72">
        <f t="shared" si="145"/>
        <v>6.5958868765612078E-2</v>
      </c>
      <c r="M384" s="72">
        <f t="shared" si="145"/>
        <v>0.11173271002570417</v>
      </c>
      <c r="N384" s="72">
        <f t="shared" si="145"/>
        <v>5.1782739860479765E-3</v>
      </c>
      <c r="O384" s="72">
        <f t="shared" si="145"/>
        <v>0.10758472024858268</v>
      </c>
      <c r="P384" s="72">
        <f t="shared" si="145"/>
        <v>0.11426369880666454</v>
      </c>
      <c r="Q384" s="73">
        <f t="shared" si="145"/>
        <v>0.21239681394241439</v>
      </c>
      <c r="R384" s="73">
        <f t="shared" si="145"/>
        <v>8.8066863225212177E-2</v>
      </c>
      <c r="S384" s="73">
        <f t="shared" si="145"/>
        <v>8.3885674029547275E-2</v>
      </c>
      <c r="T384" s="73">
        <f t="shared" si="145"/>
        <v>8.9757550201219782E-2</v>
      </c>
      <c r="U384" s="73">
        <f t="shared" si="145"/>
        <v>9.420734842805234E-2</v>
      </c>
      <c r="V384" s="73">
        <f t="shared" si="145"/>
        <v>9.4285744574858166E-2</v>
      </c>
      <c r="W384" s="73">
        <f t="shared" si="145"/>
        <v>7.8047146323966698E-2</v>
      </c>
      <c r="X384" s="73">
        <f t="shared" si="145"/>
        <v>7.4498955444887605E-2</v>
      </c>
      <c r="Y384" s="73">
        <f t="shared" si="145"/>
        <v>6.5663896931454913E-2</v>
      </c>
      <c r="Z384" s="73">
        <f t="shared" si="145"/>
        <v>6.4406682394861692E-2</v>
      </c>
      <c r="AA384" s="73">
        <f t="shared" si="145"/>
        <v>5.9379428828410408E-2</v>
      </c>
      <c r="AB384" s="73">
        <f t="shared" si="145"/>
        <v>5.9327057123892191E-2</v>
      </c>
      <c r="AC384" s="73">
        <f t="shared" si="145"/>
        <v>4.9712006267729425E-2</v>
      </c>
      <c r="AD384" s="73">
        <f t="shared" si="145"/>
        <v>3.8561866161154201E-2</v>
      </c>
      <c r="AE384" s="73">
        <f t="shared" si="145"/>
        <v>2.584248078005591E-2</v>
      </c>
      <c r="AF384" s="73">
        <f t="shared" si="145"/>
        <v>5.750465151399764E-3</v>
      </c>
      <c r="AG384" s="73">
        <f t="shared" si="145"/>
        <v>-1.1809935467953281E-2</v>
      </c>
      <c r="AH384" s="73">
        <f t="shared" si="145"/>
        <v>-4.5999375753312366E-2</v>
      </c>
      <c r="AI384" s="73">
        <f t="shared" si="145"/>
        <v>-9.1751411541902694E-2</v>
      </c>
      <c r="AJ384" s="73">
        <f t="shared" si="145"/>
        <v>-0.14923745265045063</v>
      </c>
      <c r="AK384" s="73">
        <f t="shared" si="145"/>
        <v>-0.21574833433799012</v>
      </c>
      <c r="AL384" s="73">
        <f t="shared" si="145"/>
        <v>-0.2899152490004171</v>
      </c>
      <c r="AM384" s="73">
        <f t="shared" si="145"/>
        <v>-0.36249970171335988</v>
      </c>
      <c r="AN384" s="73">
        <f t="shared" si="145"/>
        <v>-0.44142935029041308</v>
      </c>
      <c r="AO384" s="73">
        <f t="shared" si="145"/>
        <v>-0.52524284733826498</v>
      </c>
      <c r="AP384" s="73">
        <f t="shared" si="145"/>
        <v>-0.61076343794532995</v>
      </c>
      <c r="AQ384" s="73">
        <f t="shared" si="145"/>
        <v>-0.69495758365202676</v>
      </c>
      <c r="AR384" s="75"/>
    </row>
    <row r="385" spans="1:44">
      <c r="A385" s="51"/>
      <c r="B385" s="67"/>
      <c r="C385" s="67"/>
      <c r="D385" s="67"/>
      <c r="E385" s="67"/>
      <c r="F385" s="67"/>
      <c r="G385" s="67"/>
      <c r="H385" s="67"/>
      <c r="I385" s="67"/>
      <c r="J385" s="67"/>
      <c r="K385" s="67"/>
      <c r="L385" s="67"/>
      <c r="M385" s="67"/>
      <c r="N385" s="67"/>
      <c r="O385" s="67"/>
      <c r="P385" s="67"/>
      <c r="Q385" s="68"/>
      <c r="R385" s="68"/>
      <c r="S385" s="68"/>
      <c r="T385" s="68"/>
      <c r="U385" s="68"/>
      <c r="V385" s="68"/>
      <c r="W385" s="68"/>
      <c r="X385" s="68"/>
      <c r="Y385" s="68"/>
      <c r="Z385" s="68"/>
      <c r="AA385" s="68"/>
      <c r="AB385" s="68"/>
      <c r="AC385" s="68"/>
      <c r="AD385" s="68"/>
      <c r="AE385" s="68"/>
      <c r="AF385" s="68"/>
      <c r="AG385" s="68"/>
      <c r="AH385" s="68"/>
      <c r="AI385" s="68"/>
      <c r="AJ385" s="68"/>
      <c r="AK385" s="68"/>
      <c r="AL385" s="68"/>
      <c r="AM385" s="68"/>
      <c r="AN385" s="68"/>
      <c r="AO385" s="68"/>
      <c r="AP385" s="68"/>
      <c r="AQ385" s="68"/>
      <c r="AR385" s="75"/>
    </row>
    <row r="387" spans="1:44" ht="12" thickBot="1">
      <c r="A387" s="39" t="s">
        <v>163</v>
      </c>
    </row>
    <row r="388" spans="1:44" ht="12" thickBot="1">
      <c r="A388" s="41"/>
      <c r="B388" s="41">
        <f>B2</f>
        <v>2010</v>
      </c>
      <c r="C388" s="41">
        <f t="shared" ref="C388:AQ388" si="147">C2</f>
        <v>2011</v>
      </c>
      <c r="D388" s="41">
        <f t="shared" si="147"/>
        <v>2012</v>
      </c>
      <c r="E388" s="41">
        <f t="shared" si="147"/>
        <v>2013</v>
      </c>
      <c r="F388" s="41">
        <f t="shared" si="147"/>
        <v>2014</v>
      </c>
      <c r="G388" s="41">
        <f t="shared" si="147"/>
        <v>2015</v>
      </c>
      <c r="H388" s="41">
        <f t="shared" si="147"/>
        <v>2016</v>
      </c>
      <c r="I388" s="41">
        <f t="shared" si="147"/>
        <v>2017</v>
      </c>
      <c r="J388" s="41">
        <f t="shared" si="147"/>
        <v>2018</v>
      </c>
      <c r="K388" s="41">
        <f t="shared" si="147"/>
        <v>2019</v>
      </c>
      <c r="L388" s="41">
        <f t="shared" si="147"/>
        <v>2020</v>
      </c>
      <c r="M388" s="41">
        <f t="shared" si="147"/>
        <v>2021</v>
      </c>
      <c r="N388" s="41">
        <f t="shared" si="147"/>
        <v>2022</v>
      </c>
      <c r="O388" s="41">
        <f t="shared" si="147"/>
        <v>2023</v>
      </c>
      <c r="P388" s="41">
        <f t="shared" si="147"/>
        <v>2024</v>
      </c>
      <c r="Q388" s="41">
        <f t="shared" si="147"/>
        <v>2025</v>
      </c>
      <c r="R388" s="41">
        <f t="shared" si="147"/>
        <v>2026</v>
      </c>
      <c r="S388" s="41">
        <f t="shared" si="147"/>
        <v>2027</v>
      </c>
      <c r="T388" s="41">
        <f t="shared" si="147"/>
        <v>2028</v>
      </c>
      <c r="U388" s="41">
        <f t="shared" si="147"/>
        <v>2029</v>
      </c>
      <c r="V388" s="41">
        <f t="shared" si="147"/>
        <v>2030</v>
      </c>
      <c r="W388" s="41">
        <f t="shared" si="147"/>
        <v>2031</v>
      </c>
      <c r="X388" s="41">
        <f t="shared" si="147"/>
        <v>2032</v>
      </c>
      <c r="Y388" s="41">
        <f t="shared" si="147"/>
        <v>2033</v>
      </c>
      <c r="Z388" s="41">
        <f t="shared" si="147"/>
        <v>2034</v>
      </c>
      <c r="AA388" s="41">
        <f t="shared" si="147"/>
        <v>2035</v>
      </c>
      <c r="AB388" s="41">
        <f t="shared" si="147"/>
        <v>2036</v>
      </c>
      <c r="AC388" s="41">
        <f t="shared" si="147"/>
        <v>2037</v>
      </c>
      <c r="AD388" s="41">
        <f t="shared" si="147"/>
        <v>2038</v>
      </c>
      <c r="AE388" s="41">
        <f t="shared" si="147"/>
        <v>2039</v>
      </c>
      <c r="AF388" s="41">
        <f t="shared" si="147"/>
        <v>2040</v>
      </c>
      <c r="AG388" s="41">
        <f t="shared" si="147"/>
        <v>2041</v>
      </c>
      <c r="AH388" s="41">
        <f t="shared" si="147"/>
        <v>2042</v>
      </c>
      <c r="AI388" s="41">
        <f t="shared" si="147"/>
        <v>2043</v>
      </c>
      <c r="AJ388" s="41">
        <f t="shared" si="147"/>
        <v>2044</v>
      </c>
      <c r="AK388" s="41">
        <f t="shared" si="147"/>
        <v>2045</v>
      </c>
      <c r="AL388" s="41">
        <f t="shared" si="147"/>
        <v>2046</v>
      </c>
      <c r="AM388" s="41">
        <f t="shared" si="147"/>
        <v>2047</v>
      </c>
      <c r="AN388" s="41">
        <f t="shared" si="147"/>
        <v>2048</v>
      </c>
      <c r="AO388" s="41">
        <f t="shared" si="147"/>
        <v>2049</v>
      </c>
      <c r="AP388" s="41">
        <f t="shared" si="147"/>
        <v>2050</v>
      </c>
      <c r="AQ388" s="41">
        <f t="shared" si="147"/>
        <v>2051</v>
      </c>
    </row>
    <row r="389" spans="1:44">
      <c r="A389" s="40" t="s">
        <v>68</v>
      </c>
      <c r="C389" s="72">
        <f>C358/B358-1</f>
        <v>1902.4067844646052</v>
      </c>
      <c r="D389" s="72">
        <f t="shared" ref="D389:AQ396" si="148">D358/C358-1</f>
        <v>3.9772655258228706E-2</v>
      </c>
      <c r="E389" s="72">
        <f t="shared" si="148"/>
        <v>-7.1749772494104858E-2</v>
      </c>
      <c r="F389" s="72">
        <f t="shared" si="148"/>
        <v>8.3879638930536293E-2</v>
      </c>
      <c r="G389" s="72">
        <f t="shared" si="148"/>
        <v>4.2958536000995196E-2</v>
      </c>
      <c r="H389" s="72">
        <f t="shared" si="148"/>
        <v>4.0464528499510655E-2</v>
      </c>
      <c r="I389" s="72">
        <f t="shared" si="148"/>
        <v>9.9258348366269011E-3</v>
      </c>
      <c r="J389" s="72">
        <f t="shared" si="148"/>
        <v>3.4978676971177514E-2</v>
      </c>
      <c r="K389" s="72">
        <f t="shared" si="148"/>
        <v>-3.4458138289054974E-2</v>
      </c>
      <c r="L389" s="72">
        <f t="shared" si="148"/>
        <v>5.5127934569229931E-2</v>
      </c>
      <c r="M389" s="72">
        <f t="shared" si="148"/>
        <v>-0.11663095739146667</v>
      </c>
      <c r="N389" s="72">
        <f t="shared" si="148"/>
        <v>0.11864064164117272</v>
      </c>
      <c r="O389" s="72">
        <f t="shared" si="148"/>
        <v>7.2849112517775927E-2</v>
      </c>
      <c r="P389" s="72">
        <f t="shared" si="148"/>
        <v>6.4841817926275525E-2</v>
      </c>
      <c r="Q389" s="72">
        <f t="shared" si="148"/>
        <v>-5.0014198940407706E-2</v>
      </c>
      <c r="R389" s="73">
        <f t="shared" si="148"/>
        <v>-1.4636918900165719E-2</v>
      </c>
      <c r="S389" s="73">
        <f t="shared" si="148"/>
        <v>4.7659008577402462E-2</v>
      </c>
      <c r="T389" s="73">
        <f t="shared" si="148"/>
        <v>1.0896502014273057E-2</v>
      </c>
      <c r="U389" s="73">
        <f t="shared" si="148"/>
        <v>3.1957815490055719E-2</v>
      </c>
      <c r="V389" s="73">
        <f t="shared" si="148"/>
        <v>3.4917188337534544E-2</v>
      </c>
      <c r="W389" s="73">
        <f t="shared" si="148"/>
        <v>3.2361909477054196E-2</v>
      </c>
      <c r="X389" s="73">
        <f t="shared" si="148"/>
        <v>5.750813763676077E-2</v>
      </c>
      <c r="Y389" s="73">
        <f t="shared" si="148"/>
        <v>1.8436605186734623E-2</v>
      </c>
      <c r="Z389" s="73">
        <f t="shared" si="148"/>
        <v>7.9671623915522627E-3</v>
      </c>
      <c r="AA389" s="73">
        <f t="shared" si="148"/>
        <v>1.8583564961856203E-2</v>
      </c>
      <c r="AB389" s="73">
        <f t="shared" si="148"/>
        <v>-2.7722799512088336E-2</v>
      </c>
      <c r="AC389" s="73">
        <f t="shared" si="148"/>
        <v>3.0204782924926787E-2</v>
      </c>
      <c r="AD389" s="73">
        <f t="shared" si="148"/>
        <v>3.8592106892052946E-2</v>
      </c>
      <c r="AE389" s="73">
        <f t="shared" si="148"/>
        <v>1.1353458823946116E-3</v>
      </c>
      <c r="AF389" s="73">
        <f t="shared" si="148"/>
        <v>-2.491742174750311E-2</v>
      </c>
      <c r="AG389" s="73">
        <f t="shared" si="148"/>
        <v>2.3834404065372627E-2</v>
      </c>
      <c r="AH389" s="73">
        <f t="shared" si="148"/>
        <v>2.4579316088259917E-2</v>
      </c>
      <c r="AI389" s="73">
        <f t="shared" si="148"/>
        <v>2.6238265233167635E-2</v>
      </c>
      <c r="AJ389" s="73">
        <f t="shared" si="148"/>
        <v>1.5863239349575231E-2</v>
      </c>
      <c r="AK389" s="73">
        <f t="shared" si="148"/>
        <v>1.3641790485461991E-2</v>
      </c>
      <c r="AL389" s="73">
        <f t="shared" si="148"/>
        <v>9.8177861058623694E-3</v>
      </c>
      <c r="AM389" s="73">
        <f t="shared" si="148"/>
        <v>2.2947962695514912E-2</v>
      </c>
      <c r="AN389" s="73">
        <f t="shared" si="148"/>
        <v>1.7728205513018569E-2</v>
      </c>
      <c r="AO389" s="73">
        <f t="shared" si="148"/>
        <v>1.7184710584992935E-2</v>
      </c>
      <c r="AP389" s="73">
        <f t="shared" si="148"/>
        <v>2.2129337036458807E-2</v>
      </c>
      <c r="AQ389" s="73">
        <f t="shared" si="148"/>
        <v>2.7499112601156117E-2</v>
      </c>
    </row>
    <row r="390" spans="1:44">
      <c r="A390" s="40" t="s">
        <v>69</v>
      </c>
      <c r="C390" s="72">
        <f t="shared" ref="C390:R400" si="149">C359/B359-1</f>
        <v>770.33259991830346</v>
      </c>
      <c r="D390" s="72">
        <f t="shared" si="149"/>
        <v>4.7824690496797828E-2</v>
      </c>
      <c r="E390" s="72">
        <f t="shared" si="149"/>
        <v>-8.294299776540337E-2</v>
      </c>
      <c r="F390" s="72">
        <f t="shared" si="149"/>
        <v>8.592437738693337E-2</v>
      </c>
      <c r="G390" s="72">
        <f t="shared" si="149"/>
        <v>4.3360884042642489E-2</v>
      </c>
      <c r="H390" s="72">
        <f t="shared" si="149"/>
        <v>7.361459200539211E-2</v>
      </c>
      <c r="I390" s="72">
        <f t="shared" si="149"/>
        <v>-3.4212078399684653E-3</v>
      </c>
      <c r="J390" s="72">
        <f t="shared" si="148"/>
        <v>1.6476698022307446E-2</v>
      </c>
      <c r="K390" s="72">
        <f t="shared" si="148"/>
        <v>7.770809794398259E-3</v>
      </c>
      <c r="L390" s="72">
        <f t="shared" si="148"/>
        <v>4.2954478967194065E-2</v>
      </c>
      <c r="M390" s="72">
        <f t="shared" si="148"/>
        <v>-0.15474897921131758</v>
      </c>
      <c r="N390" s="72">
        <f t="shared" si="148"/>
        <v>0.16446242872558159</v>
      </c>
      <c r="O390" s="72">
        <f t="shared" si="148"/>
        <v>8.391232803219939E-2</v>
      </c>
      <c r="P390" s="72">
        <f t="shared" si="148"/>
        <v>0.10840935628960802</v>
      </c>
      <c r="Q390" s="72">
        <f>Q359/P359-1</f>
        <v>-0.12315645078304327</v>
      </c>
      <c r="R390" s="73">
        <f t="shared" si="148"/>
        <v>2.5030139942971541E-2</v>
      </c>
      <c r="S390" s="73">
        <f t="shared" si="148"/>
        <v>6.7391180826802177E-2</v>
      </c>
      <c r="T390" s="73">
        <f t="shared" si="148"/>
        <v>1.936397046511984E-2</v>
      </c>
      <c r="U390" s="73">
        <f t="shared" si="148"/>
        <v>3.7220141615722291E-2</v>
      </c>
      <c r="V390" s="73">
        <f t="shared" si="148"/>
        <v>3.8612011986840278E-2</v>
      </c>
      <c r="W390" s="73">
        <f t="shared" si="148"/>
        <v>4.172693897239621E-2</v>
      </c>
      <c r="X390" s="73">
        <f t="shared" si="148"/>
        <v>6.8880798585306602E-2</v>
      </c>
      <c r="Y390" s="73">
        <f t="shared" si="148"/>
        <v>1.4714634160089446E-2</v>
      </c>
      <c r="Z390" s="73">
        <f t="shared" si="148"/>
        <v>1.361440438575956E-2</v>
      </c>
      <c r="AA390" s="73">
        <f t="shared" si="148"/>
        <v>1.9862657821621221E-2</v>
      </c>
      <c r="AB390" s="73">
        <f t="shared" si="148"/>
        <v>-3.870445724701721E-2</v>
      </c>
      <c r="AC390" s="73">
        <f t="shared" si="148"/>
        <v>3.407182277921561E-2</v>
      </c>
      <c r="AD390" s="73">
        <f t="shared" si="148"/>
        <v>4.3546436435648594E-2</v>
      </c>
      <c r="AE390" s="73">
        <f t="shared" si="148"/>
        <v>1.1684841824695091E-3</v>
      </c>
      <c r="AF390" s="73">
        <f t="shared" si="148"/>
        <v>-2.495170907192712E-2</v>
      </c>
      <c r="AG390" s="73">
        <f t="shared" si="148"/>
        <v>2.5556830019668908E-2</v>
      </c>
      <c r="AH390" s="73">
        <f t="shared" si="148"/>
        <v>2.7140827408963508E-2</v>
      </c>
      <c r="AI390" s="73">
        <f t="shared" si="148"/>
        <v>2.8084413773868944E-2</v>
      </c>
      <c r="AJ390" s="73">
        <f t="shared" si="148"/>
        <v>1.6620675074658475E-2</v>
      </c>
      <c r="AK390" s="73">
        <f t="shared" si="148"/>
        <v>1.5040086979644096E-2</v>
      </c>
      <c r="AL390" s="73">
        <f t="shared" si="148"/>
        <v>1.2332945973272169E-2</v>
      </c>
      <c r="AM390" s="73">
        <f t="shared" si="148"/>
        <v>2.4360147039139468E-2</v>
      </c>
      <c r="AN390" s="73">
        <f t="shared" si="148"/>
        <v>1.7024365560519117E-2</v>
      </c>
      <c r="AO390" s="73">
        <f t="shared" si="148"/>
        <v>1.62531480101753E-2</v>
      </c>
      <c r="AP390" s="73">
        <f t="shared" si="148"/>
        <v>2.2410419728378095E-2</v>
      </c>
      <c r="AQ390" s="73">
        <f t="shared" si="148"/>
        <v>3.4511458810956741E-2</v>
      </c>
      <c r="AR390" s="75"/>
    </row>
    <row r="391" spans="1:44">
      <c r="A391" s="40" t="s">
        <v>70</v>
      </c>
      <c r="C391" s="72">
        <f t="shared" si="149"/>
        <v>795.75779142266379</v>
      </c>
      <c r="D391" s="72">
        <f t="shared" si="149"/>
        <v>2.1622084660816165E-2</v>
      </c>
      <c r="E391" s="72">
        <f t="shared" si="149"/>
        <v>-6.9100073532705419E-2</v>
      </c>
      <c r="F391" s="72">
        <f t="shared" si="149"/>
        <v>8.2996088340036689E-2</v>
      </c>
      <c r="G391" s="72">
        <f t="shared" si="149"/>
        <v>4.2232836046843358E-2</v>
      </c>
      <c r="H391" s="72">
        <f t="shared" si="149"/>
        <v>6.3770514841144932E-2</v>
      </c>
      <c r="I391" s="72">
        <f t="shared" si="149"/>
        <v>1.2413638117361847E-2</v>
      </c>
      <c r="J391" s="72">
        <f t="shared" si="148"/>
        <v>5.2421259281096866E-3</v>
      </c>
      <c r="K391" s="72">
        <f t="shared" si="148"/>
        <v>3.9867385535827804E-3</v>
      </c>
      <c r="L391" s="72">
        <f t="shared" si="148"/>
        <v>2.2752094328271966E-2</v>
      </c>
      <c r="M391" s="72">
        <f t="shared" si="148"/>
        <v>-9.0223504819755829E-2</v>
      </c>
      <c r="N391" s="72">
        <f t="shared" si="148"/>
        <v>0.13644855416804846</v>
      </c>
      <c r="O391" s="72">
        <f t="shared" si="148"/>
        <v>6.3536725622715062E-2</v>
      </c>
      <c r="P391" s="72">
        <f t="shared" si="148"/>
        <v>7.0208929869134185E-2</v>
      </c>
      <c r="Q391" s="72">
        <f>Q360/P360-1</f>
        <v>-9.2831445410686664E-2</v>
      </c>
      <c r="R391" s="73">
        <f t="shared" si="148"/>
        <v>1.9496061984150215E-2</v>
      </c>
      <c r="S391" s="73">
        <f t="shared" si="148"/>
        <v>5.5162711900222705E-2</v>
      </c>
      <c r="T391" s="73">
        <f t="shared" si="148"/>
        <v>1.1748330297370657E-2</v>
      </c>
      <c r="U391" s="73">
        <f t="shared" si="148"/>
        <v>3.3293196528529689E-2</v>
      </c>
      <c r="V391" s="73">
        <f t="shared" si="148"/>
        <v>3.6616028293779301E-2</v>
      </c>
      <c r="W391" s="73">
        <f t="shared" si="148"/>
        <v>3.8413001545102965E-2</v>
      </c>
      <c r="X391" s="73">
        <f t="shared" si="148"/>
        <v>6.3311207315343232E-2</v>
      </c>
      <c r="Y391" s="73">
        <f t="shared" si="148"/>
        <v>1.1527715872597488E-2</v>
      </c>
      <c r="Z391" s="73">
        <f t="shared" si="148"/>
        <v>1.2071022383179031E-2</v>
      </c>
      <c r="AA391" s="73">
        <f t="shared" si="148"/>
        <v>1.9271696076676781E-2</v>
      </c>
      <c r="AB391" s="73">
        <f t="shared" si="148"/>
        <v>-3.1794647135602871E-2</v>
      </c>
      <c r="AC391" s="73">
        <f t="shared" si="148"/>
        <v>3.2329206527520693E-2</v>
      </c>
      <c r="AD391" s="73">
        <f t="shared" si="148"/>
        <v>4.1107516500251906E-2</v>
      </c>
      <c r="AE391" s="73">
        <f t="shared" si="148"/>
        <v>1.2156851933682322E-3</v>
      </c>
      <c r="AF391" s="73">
        <f t="shared" si="148"/>
        <v>-2.620038616710918E-2</v>
      </c>
      <c r="AG391" s="73">
        <f t="shared" si="148"/>
        <v>2.4845043851851045E-2</v>
      </c>
      <c r="AH391" s="73">
        <f t="shared" si="148"/>
        <v>2.6982460355097215E-2</v>
      </c>
      <c r="AI391" s="73">
        <f t="shared" si="148"/>
        <v>2.8128935037832647E-2</v>
      </c>
      <c r="AJ391" s="73">
        <f t="shared" si="148"/>
        <v>1.6325271167111577E-2</v>
      </c>
      <c r="AK391" s="73">
        <f t="shared" si="148"/>
        <v>1.3825531398728996E-2</v>
      </c>
      <c r="AL391" s="73">
        <f t="shared" si="148"/>
        <v>9.959280654965541E-3</v>
      </c>
      <c r="AM391" s="73">
        <f t="shared" si="148"/>
        <v>2.3209526004271286E-2</v>
      </c>
      <c r="AN391" s="73">
        <f t="shared" si="148"/>
        <v>1.6801314353464436E-2</v>
      </c>
      <c r="AO391" s="73">
        <f t="shared" si="148"/>
        <v>1.6037195547430771E-2</v>
      </c>
      <c r="AP391" s="73">
        <f t="shared" si="148"/>
        <v>2.1512822620537664E-2</v>
      </c>
      <c r="AQ391" s="73">
        <f t="shared" si="148"/>
        <v>2.9981834677001995E-2</v>
      </c>
      <c r="AR391" s="75"/>
    </row>
    <row r="392" spans="1:44">
      <c r="A392" s="40" t="s">
        <v>71</v>
      </c>
      <c r="C392" s="72">
        <f t="shared" si="149"/>
        <v>940.50694504367095</v>
      </c>
      <c r="D392" s="72">
        <f t="shared" si="149"/>
        <v>3.0289981792499754E-2</v>
      </c>
      <c r="E392" s="72">
        <f t="shared" si="149"/>
        <v>-4.650426488434134E-2</v>
      </c>
      <c r="F392" s="72">
        <f t="shared" si="149"/>
        <v>8.6063445643193681E-2</v>
      </c>
      <c r="G392" s="72">
        <f t="shared" si="149"/>
        <v>2.9082688086696118E-2</v>
      </c>
      <c r="H392" s="72">
        <f t="shared" si="149"/>
        <v>5.5995551680772637E-2</v>
      </c>
      <c r="I392" s="72">
        <f t="shared" si="149"/>
        <v>6.4818638710539833E-3</v>
      </c>
      <c r="J392" s="72">
        <f t="shared" si="148"/>
        <v>1.9656493499554673E-2</v>
      </c>
      <c r="K392" s="72">
        <f t="shared" si="148"/>
        <v>1.7243915481185423E-2</v>
      </c>
      <c r="L392" s="72">
        <f t="shared" si="148"/>
        <v>-9.3107786316488861E-2</v>
      </c>
      <c r="M392" s="72">
        <f t="shared" si="148"/>
        <v>2.3605706202292076E-2</v>
      </c>
      <c r="N392" s="72">
        <f t="shared" si="148"/>
        <v>0.11525261645897866</v>
      </c>
      <c r="O392" s="72">
        <f t="shared" si="148"/>
        <v>6.2531926816810968E-2</v>
      </c>
      <c r="P392" s="72">
        <f t="shared" si="148"/>
        <v>8.0075107919558297E-2</v>
      </c>
      <c r="Q392" s="73">
        <f>Q361/P361-1</f>
        <v>-0.10597842898612853</v>
      </c>
      <c r="R392" s="73">
        <f t="shared" si="148"/>
        <v>2.4448719627866433E-2</v>
      </c>
      <c r="S392" s="73">
        <f t="shared" si="148"/>
        <v>5.2674422336057791E-2</v>
      </c>
      <c r="T392" s="73">
        <f t="shared" si="148"/>
        <v>1.0807809000992874E-2</v>
      </c>
      <c r="U392" s="73">
        <f t="shared" si="148"/>
        <v>3.4094544265276472E-2</v>
      </c>
      <c r="V392" s="73">
        <f t="shared" si="148"/>
        <v>3.6536828121591869E-2</v>
      </c>
      <c r="W392" s="73">
        <f t="shared" si="148"/>
        <v>3.8523978235533329E-2</v>
      </c>
      <c r="X392" s="73">
        <f t="shared" si="148"/>
        <v>6.3143800251983739E-2</v>
      </c>
      <c r="Y392" s="73">
        <f t="shared" si="148"/>
        <v>1.0452325934783735E-2</v>
      </c>
      <c r="Z392" s="73">
        <f t="shared" si="148"/>
        <v>1.2281996841731146E-2</v>
      </c>
      <c r="AA392" s="73">
        <f t="shared" si="148"/>
        <v>1.9077312150997949E-2</v>
      </c>
      <c r="AB392" s="73">
        <f t="shared" si="148"/>
        <v>-3.220525120868778E-2</v>
      </c>
      <c r="AC392" s="73">
        <f t="shared" si="148"/>
        <v>3.1911627911828111E-2</v>
      </c>
      <c r="AD392" s="73">
        <f t="shared" si="148"/>
        <v>4.1068049589096933E-2</v>
      </c>
      <c r="AE392" s="73">
        <f t="shared" si="148"/>
        <v>8.7410648061503338E-4</v>
      </c>
      <c r="AF392" s="73">
        <f t="shared" si="148"/>
        <v>-2.6974778950702993E-2</v>
      </c>
      <c r="AG392" s="73">
        <f t="shared" si="148"/>
        <v>2.4995629636874961E-2</v>
      </c>
      <c r="AH392" s="73">
        <f t="shared" si="148"/>
        <v>2.7432793269147382E-2</v>
      </c>
      <c r="AI392" s="73">
        <f t="shared" si="148"/>
        <v>2.837147421244457E-2</v>
      </c>
      <c r="AJ392" s="73">
        <f t="shared" si="148"/>
        <v>1.6447230316327666E-2</v>
      </c>
      <c r="AK392" s="73">
        <f t="shared" si="148"/>
        <v>1.3796187243060087E-2</v>
      </c>
      <c r="AL392" s="73">
        <f t="shared" si="148"/>
        <v>9.7832897793279638E-3</v>
      </c>
      <c r="AM392" s="73">
        <f t="shared" si="148"/>
        <v>2.3183448029482134E-2</v>
      </c>
      <c r="AN392" s="73">
        <f t="shared" si="148"/>
        <v>1.6686078443518326E-2</v>
      </c>
      <c r="AO392" s="73">
        <f t="shared" si="148"/>
        <v>1.5878780348886679E-2</v>
      </c>
      <c r="AP392" s="73">
        <f t="shared" si="148"/>
        <v>2.1362033055670082E-2</v>
      </c>
      <c r="AQ392" s="73">
        <f t="shared" si="148"/>
        <v>3.0182750513459533E-2</v>
      </c>
      <c r="AR392" s="75"/>
    </row>
    <row r="393" spans="1:44">
      <c r="A393" s="40" t="s">
        <v>47</v>
      </c>
      <c r="C393" s="72">
        <f t="shared" si="149"/>
        <v>1080.1911696084719</v>
      </c>
      <c r="D393" s="72">
        <f t="shared" si="149"/>
        <v>3.0921658731632995E-2</v>
      </c>
      <c r="E393" s="72">
        <f t="shared" si="149"/>
        <v>-2.7747817760112814E-2</v>
      </c>
      <c r="F393" s="72">
        <f t="shared" si="149"/>
        <v>7.6903300623253124E-2</v>
      </c>
      <c r="G393" s="72">
        <f t="shared" si="149"/>
        <v>2.4598662771851298E-2</v>
      </c>
      <c r="H393" s="72">
        <f t="shared" si="149"/>
        <v>5.8468080283148094E-2</v>
      </c>
      <c r="I393" s="72">
        <f t="shared" si="149"/>
        <v>1.0485474509604797E-2</v>
      </c>
      <c r="J393" s="72">
        <f t="shared" si="148"/>
        <v>1.7553963957918084E-2</v>
      </c>
      <c r="K393" s="72">
        <f t="shared" si="148"/>
        <v>1.6739449855982746E-2</v>
      </c>
      <c r="L393" s="72">
        <f t="shared" si="148"/>
        <v>-0.13435618328324539</v>
      </c>
      <c r="M393" s="72">
        <f t="shared" si="148"/>
        <v>8.879752891204129E-2</v>
      </c>
      <c r="N393" s="72">
        <f t="shared" si="148"/>
        <v>9.8900039928588201E-2</v>
      </c>
      <c r="O393" s="72">
        <f t="shared" si="148"/>
        <v>7.3213855894168622E-2</v>
      </c>
      <c r="P393" s="72">
        <f t="shared" si="148"/>
        <v>5.9994833963606498E-2</v>
      </c>
      <c r="Q393" s="73">
        <f>Q362/P362-1</f>
        <v>-0.10013269036547934</v>
      </c>
      <c r="R393" s="73">
        <f t="shared" si="148"/>
        <v>3.075295316088944E-2</v>
      </c>
      <c r="S393" s="73">
        <f t="shared" si="148"/>
        <v>5.25717905850418E-2</v>
      </c>
      <c r="T393" s="73">
        <f t="shared" si="148"/>
        <v>1.1796162096531226E-2</v>
      </c>
      <c r="U393" s="73">
        <f t="shared" si="148"/>
        <v>3.5071488484760494E-2</v>
      </c>
      <c r="V393" s="73">
        <f t="shared" si="148"/>
        <v>3.9111341701973501E-2</v>
      </c>
      <c r="W393" s="73">
        <f t="shared" si="148"/>
        <v>3.9315344733058977E-2</v>
      </c>
      <c r="X393" s="73">
        <f t="shared" si="148"/>
        <v>6.4633667412819173E-2</v>
      </c>
      <c r="Y393" s="73">
        <f t="shared" si="148"/>
        <v>1.0875040830536031E-2</v>
      </c>
      <c r="Z393" s="73">
        <f t="shared" si="148"/>
        <v>1.3707883379311614E-2</v>
      </c>
      <c r="AA393" s="73">
        <f t="shared" si="148"/>
        <v>2.0166136567801418E-2</v>
      </c>
      <c r="AB393" s="73">
        <f t="shared" si="148"/>
        <v>-3.2408107903326711E-2</v>
      </c>
      <c r="AC393" s="73">
        <f t="shared" si="148"/>
        <v>3.320818952744653E-2</v>
      </c>
      <c r="AD393" s="73">
        <f t="shared" si="148"/>
        <v>4.2656056950983068E-2</v>
      </c>
      <c r="AE393" s="73">
        <f t="shared" si="148"/>
        <v>2.1231723042305362E-3</v>
      </c>
      <c r="AF393" s="73">
        <f t="shared" si="148"/>
        <v>-2.551876736972436E-2</v>
      </c>
      <c r="AG393" s="73">
        <f t="shared" si="148"/>
        <v>2.6582845057443238E-2</v>
      </c>
      <c r="AH393" s="73">
        <f t="shared" si="148"/>
        <v>3.3165080618974718E-2</v>
      </c>
      <c r="AI393" s="73">
        <f t="shared" si="148"/>
        <v>3.4026028414070542E-2</v>
      </c>
      <c r="AJ393" s="73">
        <f t="shared" si="148"/>
        <v>2.2003057816531113E-2</v>
      </c>
      <c r="AK393" s="73">
        <f t="shared" si="148"/>
        <v>1.9259224548667353E-2</v>
      </c>
      <c r="AL393" s="73">
        <f t="shared" si="148"/>
        <v>1.5293115397976509E-2</v>
      </c>
      <c r="AM393" s="73">
        <f t="shared" si="148"/>
        <v>2.8080213479110494E-2</v>
      </c>
      <c r="AN393" s="73">
        <f t="shared" si="148"/>
        <v>2.1317497633648097E-2</v>
      </c>
      <c r="AO393" s="73">
        <f t="shared" si="148"/>
        <v>2.0323689897567387E-2</v>
      </c>
      <c r="AP393" s="73">
        <f t="shared" si="148"/>
        <v>2.5483858528874803E-2</v>
      </c>
      <c r="AQ393" s="73">
        <f t="shared" si="148"/>
        <v>3.4374254429604179E-2</v>
      </c>
      <c r="AR393" s="75"/>
    </row>
    <row r="394" spans="1:44">
      <c r="A394" s="40" t="s">
        <v>72</v>
      </c>
      <c r="C394" s="72">
        <f t="shared" si="149"/>
        <v>1154.9849685945885</v>
      </c>
      <c r="D394" s="72">
        <f t="shared" si="149"/>
        <v>2.389947814259874E-2</v>
      </c>
      <c r="E394" s="72">
        <f t="shared" si="149"/>
        <v>-1.4606113434411205E-2</v>
      </c>
      <c r="F394" s="72">
        <f t="shared" si="149"/>
        <v>7.2487962729787858E-2</v>
      </c>
      <c r="G394" s="72">
        <f t="shared" si="149"/>
        <v>3.0102500611760119E-2</v>
      </c>
      <c r="H394" s="72">
        <f t="shared" si="149"/>
        <v>6.2083084355166518E-2</v>
      </c>
      <c r="I394" s="72">
        <f t="shared" si="149"/>
        <v>6.9218707207530095E-3</v>
      </c>
      <c r="J394" s="72">
        <f t="shared" si="148"/>
        <v>7.2126896501942817E-3</v>
      </c>
      <c r="K394" s="72">
        <f t="shared" si="148"/>
        <v>1.9321814097000178E-2</v>
      </c>
      <c r="L394" s="72">
        <f t="shared" si="148"/>
        <v>-0.13012097047881011</v>
      </c>
      <c r="M394" s="72">
        <f t="shared" si="148"/>
        <v>0.10387218508231411</v>
      </c>
      <c r="N394" s="72">
        <f t="shared" si="148"/>
        <v>8.6434599310624805E-2</v>
      </c>
      <c r="O394" s="72">
        <f t="shared" si="148"/>
        <v>7.3743443848216295E-2</v>
      </c>
      <c r="P394" s="72">
        <f t="shared" si="148"/>
        <v>5.1839059209171534E-2</v>
      </c>
      <c r="Q394" s="73">
        <f>Q363/P363-1</f>
        <v>-9.2787311090086089E-2</v>
      </c>
      <c r="R394" s="73">
        <f t="shared" si="148"/>
        <v>3.1199146814063994E-2</v>
      </c>
      <c r="S394" s="73">
        <f t="shared" si="148"/>
        <v>5.2097627920160372E-2</v>
      </c>
      <c r="T394" s="73">
        <f t="shared" si="148"/>
        <v>1.1847615901387609E-2</v>
      </c>
      <c r="U394" s="73">
        <f t="shared" si="148"/>
        <v>3.5539971992831543E-2</v>
      </c>
      <c r="V394" s="73">
        <f t="shared" si="148"/>
        <v>4.2105197840579311E-2</v>
      </c>
      <c r="W394" s="73">
        <f t="shared" si="148"/>
        <v>3.9294002074612422E-2</v>
      </c>
      <c r="X394" s="73">
        <f t="shared" si="148"/>
        <v>6.5507587897330133E-2</v>
      </c>
      <c r="Y394" s="73">
        <f t="shared" si="148"/>
        <v>1.1631407939572735E-2</v>
      </c>
      <c r="Z394" s="73">
        <f t="shared" si="148"/>
        <v>1.5140232221156902E-2</v>
      </c>
      <c r="AA394" s="73">
        <f t="shared" si="148"/>
        <v>2.1639913490939078E-2</v>
      </c>
      <c r="AB394" s="73">
        <f t="shared" si="148"/>
        <v>-3.1265315659827486E-2</v>
      </c>
      <c r="AC394" s="73">
        <f t="shared" si="148"/>
        <v>3.4896818619091885E-2</v>
      </c>
      <c r="AD394" s="73">
        <f t="shared" si="148"/>
        <v>4.4534202068126527E-2</v>
      </c>
      <c r="AE394" s="73">
        <f t="shared" si="148"/>
        <v>4.4198989156161161E-3</v>
      </c>
      <c r="AF394" s="73">
        <f t="shared" si="148"/>
        <v>-2.2628516768309459E-2</v>
      </c>
      <c r="AG394" s="73">
        <f t="shared" si="148"/>
        <v>2.9143219983851276E-2</v>
      </c>
      <c r="AH394" s="73">
        <f t="shared" si="148"/>
        <v>4.1985075460049925E-2</v>
      </c>
      <c r="AI394" s="73">
        <f t="shared" si="148"/>
        <v>4.3382770095481415E-2</v>
      </c>
      <c r="AJ394" s="73">
        <f t="shared" si="148"/>
        <v>3.1817761749609152E-2</v>
      </c>
      <c r="AK394" s="73">
        <f t="shared" si="148"/>
        <v>2.9308924837081918E-2</v>
      </c>
      <c r="AL394" s="73">
        <f t="shared" si="148"/>
        <v>2.5694823673367839E-2</v>
      </c>
      <c r="AM394" s="73">
        <f t="shared" si="148"/>
        <v>3.7909454234517082E-2</v>
      </c>
      <c r="AN394" s="73">
        <f t="shared" si="148"/>
        <v>3.148464170776788E-2</v>
      </c>
      <c r="AO394" s="73">
        <f t="shared" si="148"/>
        <v>3.0659282610862038E-2</v>
      </c>
      <c r="AP394" s="73">
        <f t="shared" si="148"/>
        <v>3.5482508282626446E-2</v>
      </c>
      <c r="AQ394" s="73">
        <f t="shared" si="148"/>
        <v>4.3507860087250494E-2</v>
      </c>
      <c r="AR394" s="75"/>
    </row>
    <row r="395" spans="1:44">
      <c r="A395" s="40" t="s">
        <v>73</v>
      </c>
      <c r="C395" s="72">
        <f t="shared" si="149"/>
        <v>6.3143914189548092</v>
      </c>
      <c r="D395" s="72">
        <f t="shared" si="149"/>
        <v>1.8050502643756738E-2</v>
      </c>
      <c r="E395" s="72">
        <f t="shared" si="149"/>
        <v>4.7345409028687335E-3</v>
      </c>
      <c r="F395" s="72">
        <f t="shared" si="149"/>
        <v>7.0823861462525839E-2</v>
      </c>
      <c r="G395" s="72">
        <f t="shared" si="149"/>
        <v>2.7196042619853422E-2</v>
      </c>
      <c r="H395" s="72">
        <f t="shared" si="149"/>
        <v>5.4605811903293722E-2</v>
      </c>
      <c r="I395" s="72">
        <f t="shared" si="149"/>
        <v>1.02267189195695E-2</v>
      </c>
      <c r="J395" s="72">
        <f t="shared" si="148"/>
        <v>1.2216370460733428E-2</v>
      </c>
      <c r="K395" s="72">
        <f t="shared" si="148"/>
        <v>2.1589277055639622E-2</v>
      </c>
      <c r="L395" s="72">
        <f t="shared" si="148"/>
        <v>-0.124882180351088</v>
      </c>
      <c r="M395" s="72">
        <f t="shared" si="148"/>
        <v>9.5698265328136634E-2</v>
      </c>
      <c r="N395" s="72">
        <f t="shared" si="148"/>
        <v>6.9986370967065614E-2</v>
      </c>
      <c r="O395" s="72">
        <f t="shared" si="148"/>
        <v>8.2246805962197689E-2</v>
      </c>
      <c r="P395" s="72">
        <f t="shared" si="148"/>
        <v>6.0261273635629387E-2</v>
      </c>
      <c r="Q395" s="73">
        <f t="shared" si="148"/>
        <v>-9.4241586390483856E-2</v>
      </c>
      <c r="R395" s="73">
        <f t="shared" si="148"/>
        <v>2.9368857808520277E-2</v>
      </c>
      <c r="S395" s="73">
        <f t="shared" si="148"/>
        <v>5.2575514182639393E-2</v>
      </c>
      <c r="T395" s="73">
        <f t="shared" si="148"/>
        <v>1.3918889247514832E-2</v>
      </c>
      <c r="U395" s="73">
        <f t="shared" si="148"/>
        <v>3.6792812591573965E-2</v>
      </c>
      <c r="V395" s="73">
        <f t="shared" si="148"/>
        <v>4.3371425448923917E-2</v>
      </c>
      <c r="W395" s="73">
        <f t="shared" si="148"/>
        <v>3.9302421319721725E-2</v>
      </c>
      <c r="X395" s="73">
        <f t="shared" si="148"/>
        <v>6.6656781965392042E-2</v>
      </c>
      <c r="Y395" s="73">
        <f t="shared" si="148"/>
        <v>1.2589337078149132E-2</v>
      </c>
      <c r="Z395" s="73">
        <f t="shared" si="148"/>
        <v>1.645157947868725E-2</v>
      </c>
      <c r="AA395" s="73">
        <f t="shared" si="148"/>
        <v>2.2619124980176819E-2</v>
      </c>
      <c r="AB395" s="73">
        <f t="shared" si="148"/>
        <v>-3.0440239413054959E-2</v>
      </c>
      <c r="AC395" s="73">
        <f t="shared" si="148"/>
        <v>3.6316558441651159E-2</v>
      </c>
      <c r="AD395" s="73">
        <f t="shared" si="148"/>
        <v>4.6022020744498349E-2</v>
      </c>
      <c r="AE395" s="73">
        <f t="shared" si="148"/>
        <v>6.1380155710746287E-3</v>
      </c>
      <c r="AF395" s="73">
        <f t="shared" si="148"/>
        <v>-2.0316034326059995E-2</v>
      </c>
      <c r="AG395" s="73">
        <f t="shared" si="148"/>
        <v>3.0994125522540328E-2</v>
      </c>
      <c r="AH395" s="73">
        <f t="shared" si="148"/>
        <v>4.848433006371633E-2</v>
      </c>
      <c r="AI395" s="73">
        <f t="shared" si="148"/>
        <v>5.0079915298918198E-2</v>
      </c>
      <c r="AJ395" s="73">
        <f t="shared" si="148"/>
        <v>3.8734073097425936E-2</v>
      </c>
      <c r="AK395" s="73">
        <f t="shared" si="148"/>
        <v>3.6303451775994589E-2</v>
      </c>
      <c r="AL395" s="73">
        <f t="shared" si="148"/>
        <v>3.2859485774218378E-2</v>
      </c>
      <c r="AM395" s="73">
        <f t="shared" si="148"/>
        <v>4.4401533463696019E-2</v>
      </c>
      <c r="AN395" s="73">
        <f t="shared" si="148"/>
        <v>3.800487021570631E-2</v>
      </c>
      <c r="AO395" s="73">
        <f t="shared" si="148"/>
        <v>3.7151965284308641E-2</v>
      </c>
      <c r="AP395" s="73">
        <f t="shared" si="148"/>
        <v>4.1654125290788713E-2</v>
      </c>
      <c r="AQ395" s="73">
        <f t="shared" si="148"/>
        <v>4.9375975339055467E-2</v>
      </c>
      <c r="AR395" s="75"/>
    </row>
    <row r="396" spans="1:44">
      <c r="A396" s="40" t="s">
        <v>74</v>
      </c>
      <c r="C396" s="72">
        <f t="shared" si="149"/>
        <v>3.2388287055924483</v>
      </c>
      <c r="D396" s="72">
        <f t="shared" si="149"/>
        <v>1.4066012253559412E-2</v>
      </c>
      <c r="E396" s="72">
        <f t="shared" si="149"/>
        <v>1.4249498509710579E-2</v>
      </c>
      <c r="F396" s="72">
        <f t="shared" si="149"/>
        <v>5.8080856243666323E-2</v>
      </c>
      <c r="G396" s="72">
        <f t="shared" si="149"/>
        <v>3.3191850009847368E-2</v>
      </c>
      <c r="H396" s="72">
        <f t="shared" si="149"/>
        <v>6.1600719025966866E-2</v>
      </c>
      <c r="I396" s="72">
        <f t="shared" si="149"/>
        <v>8.2738120203356136E-3</v>
      </c>
      <c r="J396" s="72">
        <f t="shared" si="148"/>
        <v>1.2737461638411718E-2</v>
      </c>
      <c r="K396" s="72">
        <f t="shared" si="148"/>
        <v>9.1314883825805993E-3</v>
      </c>
      <c r="L396" s="72">
        <f t="shared" si="148"/>
        <v>-0.11465411469073195</v>
      </c>
      <c r="M396" s="72">
        <f t="shared" si="148"/>
        <v>9.1978990283886786E-2</v>
      </c>
      <c r="N396" s="72">
        <f t="shared" si="148"/>
        <v>6.8417419476705765E-2</v>
      </c>
      <c r="O396" s="72">
        <f t="shared" si="148"/>
        <v>8.2080663890615746E-2</v>
      </c>
      <c r="P396" s="72">
        <f t="shared" si="148"/>
        <v>5.8930841359444042E-2</v>
      </c>
      <c r="Q396" s="73">
        <f t="shared" si="148"/>
        <v>-9.1367758611768601E-2</v>
      </c>
      <c r="R396" s="73">
        <f t="shared" si="148"/>
        <v>2.8975683402853614E-2</v>
      </c>
      <c r="S396" s="73">
        <f t="shared" si="148"/>
        <v>5.4106755861794475E-2</v>
      </c>
      <c r="T396" s="73">
        <f t="shared" si="148"/>
        <v>1.4642097089325512E-2</v>
      </c>
      <c r="U396" s="73">
        <f t="shared" si="148"/>
        <v>3.8254007872134732E-2</v>
      </c>
      <c r="V396" s="73">
        <f t="shared" si="148"/>
        <v>4.4958250041753578E-2</v>
      </c>
      <c r="W396" s="73">
        <f t="shared" si="148"/>
        <v>3.9705781496327308E-2</v>
      </c>
      <c r="X396" s="73">
        <f t="shared" si="148"/>
        <v>6.7982906519562736E-2</v>
      </c>
      <c r="Y396" s="73">
        <f t="shared" si="148"/>
        <v>1.3370772731307712E-2</v>
      </c>
      <c r="Z396" s="73">
        <f t="shared" ref="Z396:AQ400" si="150">Z365/Y365-1</f>
        <v>1.7726891939629397E-2</v>
      </c>
      <c r="AA396" s="73">
        <f t="shared" si="150"/>
        <v>2.3613596949856763E-2</v>
      </c>
      <c r="AB396" s="73">
        <f t="shared" si="150"/>
        <v>-2.9926135635660045E-2</v>
      </c>
      <c r="AC396" s="73">
        <f t="shared" si="150"/>
        <v>3.7737028829777586E-2</v>
      </c>
      <c r="AD396" s="73">
        <f t="shared" si="150"/>
        <v>4.7562983159615158E-2</v>
      </c>
      <c r="AE396" s="73">
        <f t="shared" si="150"/>
        <v>7.7900950494464993E-3</v>
      </c>
      <c r="AF396" s="73">
        <f t="shared" si="150"/>
        <v>-1.8132628492609104E-2</v>
      </c>
      <c r="AG396" s="73">
        <f t="shared" si="150"/>
        <v>3.2870372472985521E-2</v>
      </c>
      <c r="AH396" s="73">
        <f t="shared" si="150"/>
        <v>5.4630790026099163E-2</v>
      </c>
      <c r="AI396" s="73">
        <f t="shared" si="150"/>
        <v>5.6503864260034842E-2</v>
      </c>
      <c r="AJ396" s="73">
        <f t="shared" si="150"/>
        <v>4.5429641737778859E-2</v>
      </c>
      <c r="AK396" s="73">
        <f t="shared" si="150"/>
        <v>4.3144649313546557E-2</v>
      </c>
      <c r="AL396" s="73">
        <f t="shared" si="150"/>
        <v>3.9925265036017343E-2</v>
      </c>
      <c r="AM396" s="73">
        <f t="shared" si="150"/>
        <v>5.0883937802972623E-2</v>
      </c>
      <c r="AN396" s="73">
        <f t="shared" si="150"/>
        <v>4.4573972416585894E-2</v>
      </c>
      <c r="AO396" s="73">
        <f t="shared" si="150"/>
        <v>4.3758437025978703E-2</v>
      </c>
      <c r="AP396" s="73">
        <f t="shared" si="150"/>
        <v>4.8038537315691299E-2</v>
      </c>
      <c r="AQ396" s="73">
        <f t="shared" si="150"/>
        <v>5.5282348895949518E-2</v>
      </c>
      <c r="AR396" s="75"/>
    </row>
    <row r="397" spans="1:44">
      <c r="A397" s="40" t="s">
        <v>75</v>
      </c>
      <c r="C397" s="72">
        <f t="shared" si="149"/>
        <v>2.1908862760280523</v>
      </c>
      <c r="D397" s="72">
        <f t="shared" si="149"/>
        <v>5.0876987232362225E-3</v>
      </c>
      <c r="E397" s="72">
        <f t="shared" si="149"/>
        <v>2.7405767796705893E-2</v>
      </c>
      <c r="F397" s="72">
        <f t="shared" si="149"/>
        <v>5.1141481329490368E-2</v>
      </c>
      <c r="G397" s="72">
        <f t="shared" si="149"/>
        <v>3.6127455633269134E-2</v>
      </c>
      <c r="H397" s="72">
        <f t="shared" si="149"/>
        <v>6.4142376664874767E-2</v>
      </c>
      <c r="I397" s="72">
        <f t="shared" si="149"/>
        <v>3.9437090979201894E-3</v>
      </c>
      <c r="J397" s="72">
        <f t="shared" si="149"/>
        <v>1.0807185626281468E-2</v>
      </c>
      <c r="K397" s="72">
        <f t="shared" si="149"/>
        <v>9.236166730226758E-3</v>
      </c>
      <c r="L397" s="72">
        <f t="shared" si="149"/>
        <v>-0.10227472718019515</v>
      </c>
      <c r="M397" s="72">
        <f t="shared" si="149"/>
        <v>7.9989259438270066E-2</v>
      </c>
      <c r="N397" s="72">
        <f t="shared" si="149"/>
        <v>6.4563906002949256E-2</v>
      </c>
      <c r="O397" s="72">
        <f t="shared" si="149"/>
        <v>8.5561408720408405E-2</v>
      </c>
      <c r="P397" s="72">
        <f t="shared" si="149"/>
        <v>5.8930431380830539E-2</v>
      </c>
      <c r="Q397" s="73">
        <f t="shared" si="149"/>
        <v>-8.9812967766951357E-2</v>
      </c>
      <c r="R397" s="73">
        <f t="shared" si="149"/>
        <v>2.8543869216390405E-2</v>
      </c>
      <c r="S397" s="73">
        <f t="shared" ref="S397:AA400" si="151">S366/R366-1</f>
        <v>5.6319654804708463E-2</v>
      </c>
      <c r="T397" s="73">
        <f t="shared" si="151"/>
        <v>1.6273939490140998E-2</v>
      </c>
      <c r="U397" s="73">
        <f t="shared" si="151"/>
        <v>4.0222029487044786E-2</v>
      </c>
      <c r="V397" s="73">
        <f t="shared" si="151"/>
        <v>4.7186139387950243E-2</v>
      </c>
      <c r="W397" s="73">
        <f t="shared" si="151"/>
        <v>4.0526241935978646E-2</v>
      </c>
      <c r="X397" s="73">
        <f t="shared" si="151"/>
        <v>7.0094045514506265E-2</v>
      </c>
      <c r="Y397" s="73">
        <f t="shared" si="151"/>
        <v>1.4260311487871657E-2</v>
      </c>
      <c r="Z397" s="73">
        <f t="shared" si="151"/>
        <v>1.9126730408088655E-2</v>
      </c>
      <c r="AA397" s="73">
        <f t="shared" si="151"/>
        <v>2.459039129568219E-2</v>
      </c>
      <c r="AB397" s="73">
        <f t="shared" si="150"/>
        <v>-3.0707523153532423E-2</v>
      </c>
      <c r="AC397" s="73">
        <f t="shared" si="150"/>
        <v>3.9313184593650297E-2</v>
      </c>
      <c r="AD397" s="73">
        <f t="shared" si="150"/>
        <v>4.9337880944782864E-2</v>
      </c>
      <c r="AE397" s="73">
        <f t="shared" si="150"/>
        <v>9.0679264799140569E-3</v>
      </c>
      <c r="AF397" s="73">
        <f t="shared" si="150"/>
        <v>-1.646289269085055E-2</v>
      </c>
      <c r="AG397" s="73">
        <f t="shared" si="150"/>
        <v>3.4507205821726394E-2</v>
      </c>
      <c r="AH397" s="73">
        <f t="shared" si="150"/>
        <v>5.9595702485012891E-2</v>
      </c>
      <c r="AI397" s="73">
        <f t="shared" si="150"/>
        <v>6.158171541762103E-2</v>
      </c>
      <c r="AJ397" s="73">
        <f t="shared" si="150"/>
        <v>5.0547692175660019E-2</v>
      </c>
      <c r="AK397" s="73">
        <f t="shared" si="150"/>
        <v>4.8370248522358494E-2</v>
      </c>
      <c r="AL397" s="73">
        <f t="shared" si="150"/>
        <v>4.5332535311918498E-2</v>
      </c>
      <c r="AM397" s="73">
        <f t="shared" si="150"/>
        <v>5.5727480091444903E-2</v>
      </c>
      <c r="AN397" s="73">
        <f t="shared" si="150"/>
        <v>4.9262852304308824E-2</v>
      </c>
      <c r="AO397" s="73">
        <f t="shared" si="150"/>
        <v>4.8403395023829621E-2</v>
      </c>
      <c r="AP397" s="73">
        <f t="shared" si="150"/>
        <v>5.2563181516093183E-2</v>
      </c>
      <c r="AQ397" s="73">
        <f t="shared" si="150"/>
        <v>5.9845121017862102E-2</v>
      </c>
      <c r="AR397" s="75"/>
    </row>
    <row r="398" spans="1:44">
      <c r="A398" s="40" t="s">
        <v>76</v>
      </c>
      <c r="C398" s="72">
        <f t="shared" si="149"/>
        <v>1.6625374627502274</v>
      </c>
      <c r="D398" s="72">
        <f t="shared" si="149"/>
        <v>3.3906561200016672E-3</v>
      </c>
      <c r="E398" s="72">
        <f t="shared" si="149"/>
        <v>3.6255815864100871E-2</v>
      </c>
      <c r="F398" s="72">
        <f t="shared" si="149"/>
        <v>4.1953985388241577E-2</v>
      </c>
      <c r="G398" s="72">
        <f t="shared" si="149"/>
        <v>4.0689120867796857E-2</v>
      </c>
      <c r="H398" s="72">
        <f t="shared" si="149"/>
        <v>6.303938166026124E-2</v>
      </c>
      <c r="I398" s="72">
        <f t="shared" si="149"/>
        <v>5.4782712304253245E-3</v>
      </c>
      <c r="J398" s="72">
        <f t="shared" si="149"/>
        <v>1.0162520655655705E-2</v>
      </c>
      <c r="K398" s="72">
        <f t="shared" si="149"/>
        <v>1.0330959810104234E-2</v>
      </c>
      <c r="L398" s="72">
        <f t="shared" si="149"/>
        <v>-0.1015385390839374</v>
      </c>
      <c r="M398" s="72">
        <f t="shared" si="149"/>
        <v>7.881723783275163E-2</v>
      </c>
      <c r="N398" s="72">
        <f t="shared" si="149"/>
        <v>6.3397412561775779E-2</v>
      </c>
      <c r="O398" s="72">
        <f t="shared" si="149"/>
        <v>9.0391711892324755E-2</v>
      </c>
      <c r="P398" s="72">
        <f t="shared" si="149"/>
        <v>5.4189704757237056E-2</v>
      </c>
      <c r="Q398" s="73">
        <f t="shared" si="149"/>
        <v>-8.6848318648160117E-2</v>
      </c>
      <c r="R398" s="73">
        <f t="shared" si="149"/>
        <v>2.9203773337592054E-2</v>
      </c>
      <c r="S398" s="73">
        <f t="shared" si="151"/>
        <v>5.8167767258759051E-2</v>
      </c>
      <c r="T398" s="73">
        <f t="shared" si="151"/>
        <v>1.7420089428596741E-2</v>
      </c>
      <c r="U398" s="73">
        <f t="shared" si="151"/>
        <v>4.0606831646890829E-2</v>
      </c>
      <c r="V398" s="73">
        <f t="shared" si="151"/>
        <v>4.9065646292328902E-2</v>
      </c>
      <c r="W398" s="73">
        <f t="shared" si="151"/>
        <v>4.1214429001164676E-2</v>
      </c>
      <c r="X398" s="73">
        <f t="shared" si="151"/>
        <v>7.156658033139518E-2</v>
      </c>
      <c r="Y398" s="73">
        <f t="shared" si="151"/>
        <v>1.4888672047806528E-2</v>
      </c>
      <c r="Z398" s="73">
        <f t="shared" si="151"/>
        <v>2.007857085609821E-2</v>
      </c>
      <c r="AA398" s="73">
        <f t="shared" si="151"/>
        <v>2.5493488053807578E-2</v>
      </c>
      <c r="AB398" s="73">
        <f t="shared" si="150"/>
        <v>-3.0788876903580675E-2</v>
      </c>
      <c r="AC398" s="73">
        <f t="shared" si="150"/>
        <v>4.0677203526603867E-2</v>
      </c>
      <c r="AD398" s="73">
        <f t="shared" si="150"/>
        <v>5.0790292445427765E-2</v>
      </c>
      <c r="AE398" s="73">
        <f t="shared" si="150"/>
        <v>1.0299681883904732E-2</v>
      </c>
      <c r="AF398" s="73">
        <f t="shared" si="150"/>
        <v>-1.4926280945648185E-2</v>
      </c>
      <c r="AG398" s="73">
        <f t="shared" si="150"/>
        <v>3.6071206292312752E-2</v>
      </c>
      <c r="AH398" s="73">
        <f t="shared" si="150"/>
        <v>6.4238939338645773E-2</v>
      </c>
      <c r="AI398" s="73">
        <f t="shared" si="150"/>
        <v>6.6475266277310929E-2</v>
      </c>
      <c r="AJ398" s="73">
        <f t="shared" si="150"/>
        <v>5.5542552755158958E-2</v>
      </c>
      <c r="AK398" s="73">
        <f t="shared" si="150"/>
        <v>5.3475611197530526E-2</v>
      </c>
      <c r="AL398" s="73">
        <f t="shared" si="150"/>
        <v>5.0564479159808551E-2</v>
      </c>
      <c r="AM398" s="73">
        <f t="shared" si="150"/>
        <v>6.061482955381492E-2</v>
      </c>
      <c r="AN398" s="73">
        <f t="shared" si="150"/>
        <v>5.4149233454701351E-2</v>
      </c>
      <c r="AO398" s="73">
        <f t="shared" si="150"/>
        <v>5.3317097903269772E-2</v>
      </c>
      <c r="AP398" s="73">
        <f t="shared" si="150"/>
        <v>5.7369448160002445E-2</v>
      </c>
      <c r="AQ398" s="73">
        <f t="shared" si="150"/>
        <v>6.4663406035931681E-2</v>
      </c>
      <c r="AR398" s="75"/>
    </row>
    <row r="399" spans="1:44">
      <c r="A399" s="40" t="s">
        <v>77</v>
      </c>
      <c r="C399" s="72">
        <f t="shared" si="149"/>
        <v>1.3430110508365516</v>
      </c>
      <c r="D399" s="72">
        <f t="shared" si="149"/>
        <v>-4.0278943878813145E-5</v>
      </c>
      <c r="E399" s="72">
        <f t="shared" si="149"/>
        <v>3.9907026858675643E-2</v>
      </c>
      <c r="F399" s="72">
        <f t="shared" si="149"/>
        <v>3.6305638617106784E-2</v>
      </c>
      <c r="G399" s="72">
        <f t="shared" si="149"/>
        <v>4.3364187177101998E-2</v>
      </c>
      <c r="H399" s="72">
        <f t="shared" si="149"/>
        <v>6.4163570246901669E-2</v>
      </c>
      <c r="I399" s="72">
        <f t="shared" si="149"/>
        <v>6.4398039020729936E-3</v>
      </c>
      <c r="J399" s="72">
        <f t="shared" si="149"/>
        <v>6.6072231997436059E-3</v>
      </c>
      <c r="K399" s="72">
        <f t="shared" si="149"/>
        <v>7.2657394063091463E-3</v>
      </c>
      <c r="L399" s="72">
        <f t="shared" si="149"/>
        <v>-9.1898466109847976E-2</v>
      </c>
      <c r="M399" s="72">
        <f t="shared" si="149"/>
        <v>7.9998999226470469E-2</v>
      </c>
      <c r="N399" s="72">
        <f t="shared" si="149"/>
        <v>6.3568260320325809E-2</v>
      </c>
      <c r="O399" s="72">
        <f t="shared" si="149"/>
        <v>8.3006629218108641E-2</v>
      </c>
      <c r="P399" s="72">
        <f t="shared" si="149"/>
        <v>5.0176438668731116E-2</v>
      </c>
      <c r="Q399" s="73">
        <f t="shared" si="149"/>
        <v>-7.9387400439324241E-2</v>
      </c>
      <c r="R399" s="73">
        <f t="shared" si="149"/>
        <v>3.070991447191318E-2</v>
      </c>
      <c r="S399" s="73">
        <f t="shared" si="151"/>
        <v>5.8423397367281638E-2</v>
      </c>
      <c r="T399" s="73">
        <f t="shared" si="151"/>
        <v>1.7309537490205695E-2</v>
      </c>
      <c r="U399" s="73">
        <f t="shared" si="151"/>
        <v>4.0742911098083034E-2</v>
      </c>
      <c r="V399" s="73">
        <f t="shared" si="151"/>
        <v>5.0622714492883469E-2</v>
      </c>
      <c r="W399" s="73">
        <f t="shared" si="151"/>
        <v>4.1392531544172106E-2</v>
      </c>
      <c r="X399" s="73">
        <f t="shared" si="151"/>
        <v>7.2520279045940272E-2</v>
      </c>
      <c r="Y399" s="73">
        <f t="shared" si="151"/>
        <v>1.5098313071769898E-2</v>
      </c>
      <c r="Z399" s="73">
        <f t="shared" si="151"/>
        <v>2.0439276233023218E-2</v>
      </c>
      <c r="AA399" s="73">
        <f t="shared" si="151"/>
        <v>2.6127019734867085E-2</v>
      </c>
      <c r="AB399" s="73">
        <f t="shared" si="150"/>
        <v>-3.0190311886039711E-2</v>
      </c>
      <c r="AC399" s="73">
        <f t="shared" si="150"/>
        <v>4.1747590347182895E-2</v>
      </c>
      <c r="AD399" s="73">
        <f t="shared" si="150"/>
        <v>5.167723901146859E-2</v>
      </c>
      <c r="AE399" s="73">
        <f t="shared" si="150"/>
        <v>1.0860916698918421E-2</v>
      </c>
      <c r="AF399" s="73">
        <f t="shared" si="150"/>
        <v>-1.4734193863664591E-2</v>
      </c>
      <c r="AG399" s="73">
        <f t="shared" si="150"/>
        <v>3.6809446074995256E-2</v>
      </c>
      <c r="AH399" s="73">
        <f t="shared" si="150"/>
        <v>6.6433722797214267E-2</v>
      </c>
      <c r="AI399" s="73">
        <f t="shared" si="150"/>
        <v>6.873456530450639E-2</v>
      </c>
      <c r="AJ399" s="73">
        <f t="shared" si="150"/>
        <v>5.7411855443060711E-2</v>
      </c>
      <c r="AK399" s="73">
        <f t="shared" si="150"/>
        <v>5.5124981697835418E-2</v>
      </c>
      <c r="AL399" s="73">
        <f t="shared" si="150"/>
        <v>5.1971811414825986E-2</v>
      </c>
      <c r="AM399" s="73">
        <f t="shared" si="150"/>
        <v>6.210536779736775E-2</v>
      </c>
      <c r="AN399" s="73">
        <f t="shared" si="150"/>
        <v>5.5514172781614857E-2</v>
      </c>
      <c r="AO399" s="73">
        <f t="shared" si="150"/>
        <v>5.4573139787617242E-2</v>
      </c>
      <c r="AP399" s="73">
        <f t="shared" si="150"/>
        <v>5.8480933654851963E-2</v>
      </c>
      <c r="AQ399" s="73">
        <f t="shared" si="150"/>
        <v>6.5758761342991967E-2</v>
      </c>
      <c r="AR399" s="75"/>
    </row>
    <row r="400" spans="1:44" ht="12" thickBot="1">
      <c r="A400" s="40" t="s">
        <v>78</v>
      </c>
      <c r="C400" s="72">
        <f t="shared" si="149"/>
        <v>1.1299990481924751</v>
      </c>
      <c r="D400" s="72">
        <f t="shared" si="149"/>
        <v>-1.3136397250992471E-2</v>
      </c>
      <c r="E400" s="72">
        <f t="shared" si="149"/>
        <v>5.3900306707507672E-2</v>
      </c>
      <c r="F400" s="72">
        <f t="shared" si="149"/>
        <v>3.7121956400563816E-2</v>
      </c>
      <c r="G400" s="72">
        <f t="shared" si="149"/>
        <v>3.9081304997833577E-2</v>
      </c>
      <c r="H400" s="72">
        <f t="shared" si="149"/>
        <v>6.7181535362203837E-2</v>
      </c>
      <c r="I400" s="72">
        <f t="shared" si="149"/>
        <v>-4.939479540333469E-4</v>
      </c>
      <c r="J400" s="72">
        <f t="shared" si="149"/>
        <v>9.0039777306063495E-3</v>
      </c>
      <c r="K400" s="72">
        <f t="shared" si="149"/>
        <v>8.0624265070017298E-3</v>
      </c>
      <c r="L400" s="72">
        <f t="shared" si="149"/>
        <v>-8.7901569070168328E-2</v>
      </c>
      <c r="M400" s="72">
        <f t="shared" si="149"/>
        <v>8.5443448479375572E-2</v>
      </c>
      <c r="N400" s="72">
        <f t="shared" si="149"/>
        <v>5.3637845947318574E-2</v>
      </c>
      <c r="O400" s="72">
        <f t="shared" si="149"/>
        <v>8.6262592102165137E-2</v>
      </c>
      <c r="P400" s="72">
        <f t="shared" si="149"/>
        <v>4.7085178217747492E-2</v>
      </c>
      <c r="Q400" s="73">
        <f t="shared" si="149"/>
        <v>-6.4567757258047198E-2</v>
      </c>
      <c r="R400" s="73">
        <f t="shared" si="149"/>
        <v>2.0963421267301996E-2</v>
      </c>
      <c r="S400" s="73">
        <f t="shared" si="151"/>
        <v>5.8258024931867824E-2</v>
      </c>
      <c r="T400" s="73">
        <f t="shared" si="151"/>
        <v>1.7740740151193091E-2</v>
      </c>
      <c r="U400" s="73">
        <f t="shared" si="151"/>
        <v>4.1274136716867194E-2</v>
      </c>
      <c r="V400" s="73">
        <f t="shared" si="151"/>
        <v>5.2017865228147997E-2</v>
      </c>
      <c r="W400" s="73">
        <f t="shared" si="151"/>
        <v>4.0032395474643545E-2</v>
      </c>
      <c r="X400" s="73">
        <f t="shared" si="151"/>
        <v>7.3011420848016595E-2</v>
      </c>
      <c r="Y400" s="73">
        <f t="shared" si="151"/>
        <v>1.4467280482035605E-2</v>
      </c>
      <c r="Z400" s="73">
        <f t="shared" si="151"/>
        <v>2.0634682976353513E-2</v>
      </c>
      <c r="AA400" s="73">
        <f t="shared" si="151"/>
        <v>2.6202103613248706E-2</v>
      </c>
      <c r="AB400" s="73">
        <f t="shared" si="150"/>
        <v>-2.9680470992539898E-2</v>
      </c>
      <c r="AC400" s="73">
        <f t="shared" si="150"/>
        <v>4.1736414827290957E-2</v>
      </c>
      <c r="AD400" s="73">
        <f t="shared" si="150"/>
        <v>5.1334083625959259E-2</v>
      </c>
      <c r="AE400" s="73">
        <f t="shared" si="150"/>
        <v>1.0123638255211453E-2</v>
      </c>
      <c r="AF400" s="73">
        <f t="shared" si="150"/>
        <v>-1.6440556218487945E-2</v>
      </c>
      <c r="AG400" s="73">
        <f t="shared" si="150"/>
        <v>3.5681771332062517E-2</v>
      </c>
      <c r="AH400" s="73">
        <f t="shared" si="150"/>
        <v>6.4664308190432118E-2</v>
      </c>
      <c r="AI400" s="73">
        <f t="shared" si="150"/>
        <v>6.5658462049798416E-2</v>
      </c>
      <c r="AJ400" s="73">
        <f t="shared" si="150"/>
        <v>5.2688596804580268E-2</v>
      </c>
      <c r="AK400" s="73">
        <f t="shared" si="150"/>
        <v>4.9102542046538078E-2</v>
      </c>
      <c r="AL400" s="73">
        <f t="shared" si="150"/>
        <v>4.4777744719382895E-2</v>
      </c>
      <c r="AM400" s="73">
        <f t="shared" si="150"/>
        <v>5.4831563035628417E-2</v>
      </c>
      <c r="AN400" s="73">
        <f t="shared" si="150"/>
        <v>4.7283104435058565E-2</v>
      </c>
      <c r="AO400" s="73">
        <f t="shared" si="150"/>
        <v>4.5499234117458931E-2</v>
      </c>
      <c r="AP400" s="73">
        <f t="shared" si="150"/>
        <v>4.8867099099113354E-2</v>
      </c>
      <c r="AQ400" s="73">
        <f t="shared" si="150"/>
        <v>5.5981631929549858E-2</v>
      </c>
      <c r="AR400" s="75"/>
    </row>
    <row r="401" spans="1:44">
      <c r="A401" s="51"/>
      <c r="B401" s="67"/>
      <c r="C401" s="67"/>
      <c r="D401" s="67"/>
      <c r="E401" s="67"/>
      <c r="F401" s="67"/>
      <c r="G401" s="67"/>
      <c r="H401" s="67"/>
      <c r="I401" s="67"/>
      <c r="J401" s="67"/>
      <c r="K401" s="67"/>
      <c r="L401" s="67"/>
      <c r="M401" s="67"/>
      <c r="N401" s="67"/>
      <c r="O401" s="67"/>
      <c r="P401" s="67"/>
      <c r="Q401" s="68"/>
      <c r="R401" s="68"/>
      <c r="S401" s="68"/>
      <c r="T401" s="68"/>
      <c r="U401" s="68"/>
      <c r="V401" s="68"/>
      <c r="W401" s="68"/>
      <c r="X401" s="68"/>
      <c r="Y401" s="68"/>
      <c r="Z401" s="68"/>
      <c r="AA401" s="68"/>
      <c r="AB401" s="68"/>
      <c r="AC401" s="68"/>
      <c r="AD401" s="68"/>
      <c r="AE401" s="68"/>
      <c r="AF401" s="68"/>
      <c r="AG401" s="68"/>
      <c r="AH401" s="68"/>
      <c r="AI401" s="68"/>
      <c r="AJ401" s="68"/>
      <c r="AK401" s="68"/>
      <c r="AL401" s="68"/>
      <c r="AM401" s="68"/>
      <c r="AN401" s="68"/>
      <c r="AO401" s="68"/>
      <c r="AP401" s="68"/>
      <c r="AQ401" s="68"/>
      <c r="AR401" s="7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CC320-935B-441D-947C-E7A86A0A5ECC}">
  <dimension ref="A1:AD209"/>
  <sheetViews>
    <sheetView zoomScaleNormal="100" workbookViewId="0">
      <pane xSplit="1" ySplit="2" topLeftCell="E50" activePane="bottomRight" state="frozen"/>
      <selection activeCell="A9" sqref="A9"/>
      <selection pane="topRight" activeCell="A9" sqref="A9"/>
      <selection pane="bottomLeft" activeCell="A9" sqref="A9"/>
      <selection pane="bottomRight" activeCell="A9" sqref="A9"/>
    </sheetView>
  </sheetViews>
  <sheetFormatPr defaultRowHeight="15"/>
  <cols>
    <col min="1" max="1" width="23.28515625" style="14" customWidth="1"/>
    <col min="2" max="27" width="13.5703125" customWidth="1"/>
  </cols>
  <sheetData>
    <row r="1" spans="1:30" ht="15.75">
      <c r="A1" s="76" t="s">
        <v>97</v>
      </c>
      <c r="B1" s="14"/>
      <c r="C1" s="14"/>
      <c r="D1" s="14"/>
      <c r="E1" s="14"/>
      <c r="F1" s="14"/>
      <c r="G1" s="14"/>
      <c r="H1" s="14"/>
      <c r="I1" s="14"/>
      <c r="J1" s="14"/>
      <c r="K1" s="14"/>
      <c r="L1" s="14"/>
      <c r="M1" s="14"/>
      <c r="N1" s="14"/>
      <c r="O1" s="14"/>
      <c r="P1" s="14"/>
      <c r="Q1" s="14"/>
      <c r="R1" s="14"/>
      <c r="S1" s="14"/>
      <c r="T1" s="14"/>
      <c r="U1" s="14" t="s">
        <v>164</v>
      </c>
      <c r="V1" s="14" t="s">
        <v>165</v>
      </c>
      <c r="W1" s="14"/>
      <c r="X1" s="14"/>
      <c r="Y1" s="14"/>
      <c r="Z1" s="14"/>
      <c r="AA1" s="14"/>
      <c r="AB1" s="14"/>
      <c r="AC1" s="476">
        <v>2024</v>
      </c>
      <c r="AD1" s="476"/>
    </row>
    <row r="2" spans="1:30">
      <c r="B2" s="14">
        <f>'Monthly Gallon Summary'!B2</f>
        <v>2010</v>
      </c>
      <c r="C2" s="14">
        <f>'Monthly Gallon Summary'!C2</f>
        <v>2011</v>
      </c>
      <c r="D2" s="14">
        <f>'Monthly Gallon Summary'!D2</f>
        <v>2012</v>
      </c>
      <c r="E2" s="14">
        <f>'Monthly Gallon Summary'!E2</f>
        <v>2013</v>
      </c>
      <c r="F2" s="14">
        <f>'Monthly Gallon Summary'!F2</f>
        <v>2014</v>
      </c>
      <c r="G2" s="14">
        <f>'Monthly Gallon Summary'!G2</f>
        <v>2015</v>
      </c>
      <c r="H2" s="14">
        <f>'Monthly Gallon Summary'!H2</f>
        <v>2016</v>
      </c>
      <c r="I2" s="14">
        <f>'Monthly Gallon Summary'!I2</f>
        <v>2017</v>
      </c>
      <c r="J2" s="14">
        <f>'Monthly Gallon Summary'!J2</f>
        <v>2018</v>
      </c>
      <c r="K2" s="14">
        <f>'Monthly Gallon Summary'!K2</f>
        <v>2019</v>
      </c>
      <c r="L2" s="14">
        <f>'Monthly Gallon Summary'!L2</f>
        <v>2020</v>
      </c>
      <c r="M2" s="14">
        <f>'Monthly Gallon Summary'!M2</f>
        <v>2021</v>
      </c>
      <c r="N2" s="14">
        <f>'Monthly Gallon Summary'!N2</f>
        <v>2022</v>
      </c>
      <c r="O2" s="14">
        <f>'Monthly Gallon Summary'!O2</f>
        <v>2023</v>
      </c>
      <c r="P2" s="14">
        <f>'Monthly Gallon Summary'!P2</f>
        <v>2024</v>
      </c>
      <c r="Q2" s="14">
        <f>'Monthly Gallon Summary'!Q2</f>
        <v>2025</v>
      </c>
      <c r="R2" s="14">
        <f>'Monthly Gallon Summary'!R2</f>
        <v>2026</v>
      </c>
      <c r="S2" s="14">
        <f>'Monthly Gallon Summary'!S2</f>
        <v>2027</v>
      </c>
      <c r="T2" s="14">
        <f>'Monthly Gallon Summary'!T2</f>
        <v>2028</v>
      </c>
      <c r="U2" s="14">
        <f>'Monthly Gallon Summary'!U2</f>
        <v>2029</v>
      </c>
      <c r="V2" s="14">
        <f>'Monthly Gallon Summary'!V2</f>
        <v>2030</v>
      </c>
      <c r="W2" s="14">
        <f>'Monthly Gallon Summary'!W2</f>
        <v>2031</v>
      </c>
      <c r="X2" s="14">
        <f>'Monthly Gallon Summary'!X2</f>
        <v>2032</v>
      </c>
      <c r="Y2" s="14">
        <f>'Monthly Gallon Summary'!Y2</f>
        <v>2033</v>
      </c>
      <c r="Z2" s="14">
        <f>'Monthly Gallon Summary'!Z2</f>
        <v>2034</v>
      </c>
      <c r="AA2" s="14">
        <f>'Monthly Gallon Summary'!AA2</f>
        <v>2035</v>
      </c>
      <c r="AB2" s="14"/>
      <c r="AC2" s="14" t="s">
        <v>166</v>
      </c>
      <c r="AD2" s="14" t="s">
        <v>167</v>
      </c>
    </row>
    <row r="3" spans="1:30">
      <c r="A3" s="14" t="s">
        <v>168</v>
      </c>
      <c r="B3" s="18">
        <f>SUM('Monthly Gallon Summary'!B3:B5)</f>
        <v>1833131</v>
      </c>
      <c r="C3" s="18">
        <f>SUM('Monthly Gallon Summary'!C3:C5)</f>
        <v>146886681</v>
      </c>
      <c r="D3" s="18">
        <f>SUM('Monthly Gallon Summary'!D3:D5)</f>
        <v>238783807</v>
      </c>
      <c r="E3" s="18">
        <f>SUM('Monthly Gallon Summary'!E3:E5)</f>
        <v>260130939</v>
      </c>
      <c r="F3" s="18">
        <f>SUM('Monthly Gallon Summary'!F3:F5)</f>
        <v>236331657</v>
      </c>
      <c r="G3" s="18">
        <f>SUM('Monthly Gallon Summary'!G3:G5)</f>
        <v>238190265</v>
      </c>
      <c r="H3" s="18">
        <f>SUM('Monthly Gallon Summary'!H3:H5)</f>
        <v>357039556</v>
      </c>
      <c r="I3" s="18">
        <f>SUM('Monthly Gallon Summary'!I3:I5)</f>
        <v>347419271</v>
      </c>
      <c r="J3" s="18">
        <f>SUM('Monthly Gallon Summary'!J3:J5)</f>
        <v>409151355</v>
      </c>
      <c r="K3" s="18">
        <f>SUM('Monthly Gallon Summary'!K3:K5)</f>
        <v>407502845</v>
      </c>
      <c r="L3" s="18">
        <f>SUM('Monthly Gallon Summary'!L3:L5)</f>
        <v>440309522</v>
      </c>
      <c r="M3" s="18">
        <f>SUM('Monthly Gallon Summary'!M3:M5)</f>
        <v>398865351</v>
      </c>
      <c r="N3" s="18">
        <f>SUM('Monthly Gallon Summary'!N3:N5)</f>
        <v>379150629</v>
      </c>
      <c r="O3" s="18">
        <f>SUM('Monthly Gallon Summary'!O3:O5)</f>
        <v>475345389</v>
      </c>
      <c r="P3" s="18">
        <f>SUM('Monthly Gallon Summary'!P3:P5)</f>
        <v>506304235</v>
      </c>
      <c r="Q3" s="18">
        <f>SUM('Monthly Gallon Summary'!Q3:Q5)</f>
        <v>248739748</v>
      </c>
      <c r="R3" s="19">
        <f>SUM('Monthly Gallon Summary'!R3:R5)</f>
        <v>353465696.36075741</v>
      </c>
      <c r="S3" s="19">
        <f>SUM('Monthly Gallon Summary'!S3:S5)</f>
        <v>339879739.73539877</v>
      </c>
      <c r="T3" s="19">
        <f>SUM('Monthly Gallon Summary'!T3:T5)</f>
        <v>282501931.13848627</v>
      </c>
      <c r="U3" s="19">
        <f>SUM('Monthly Gallon Summary'!U3:U5)</f>
        <v>312648927.43895608</v>
      </c>
      <c r="V3" s="19">
        <f>SUM('Monthly Gallon Summary'!V3:V5)</f>
        <v>299422158.97039366</v>
      </c>
      <c r="W3" s="19">
        <f>SUM('Monthly Gallon Summary'!W3:W5)</f>
        <v>316384788.95362401</v>
      </c>
      <c r="X3" s="19">
        <f>SUM('Monthly Gallon Summary'!X3:X5)</f>
        <v>324673889.5687747</v>
      </c>
      <c r="Y3" s="19">
        <f>SUM('Monthly Gallon Summary'!Y3:Y5)</f>
        <v>323840404.37244034</v>
      </c>
      <c r="Z3" s="19">
        <f>SUM('Monthly Gallon Summary'!Z3:Z5)</f>
        <v>306208286.28366685</v>
      </c>
      <c r="AA3" s="19">
        <f>SUM('Monthly Gallon Summary'!AA3:AA5)</f>
        <v>293480164.33703637</v>
      </c>
      <c r="AB3" s="31"/>
      <c r="AC3" s="26">
        <f>P3/O6-1</f>
        <v>-0.13466448669343711</v>
      </c>
      <c r="AD3" s="26">
        <f>P3/O3-1</f>
        <v>6.5129160219959514E-2</v>
      </c>
    </row>
    <row r="4" spans="1:30">
      <c r="A4" s="14" t="s">
        <v>169</v>
      </c>
      <c r="B4" s="18">
        <f>SUM('Monthly Gallon Summary'!B6:B8)</f>
        <v>1645701</v>
      </c>
      <c r="C4" s="18">
        <f>SUM('Monthly Gallon Summary'!C6:C8)</f>
        <v>234355406</v>
      </c>
      <c r="D4" s="18">
        <f>SUM('Monthly Gallon Summary'!D6:D8)</f>
        <v>322281802</v>
      </c>
      <c r="E4" s="18">
        <f>SUM('Monthly Gallon Summary'!E6:E8)</f>
        <v>377135041</v>
      </c>
      <c r="F4" s="18">
        <f>SUM('Monthly Gallon Summary'!F6:F8)</f>
        <v>351066862</v>
      </c>
      <c r="G4" s="18">
        <f>SUM('Monthly Gallon Summary'!G6:G8)</f>
        <v>423131358</v>
      </c>
      <c r="H4" s="18">
        <f>SUM('Monthly Gallon Summary'!H6:H8)</f>
        <v>559393332</v>
      </c>
      <c r="I4" s="18">
        <f>SUM('Monthly Gallon Summary'!I6:I8)</f>
        <v>560057933</v>
      </c>
      <c r="J4" s="18">
        <f>SUM('Monthly Gallon Summary'!J6:J8)</f>
        <v>515648652</v>
      </c>
      <c r="K4" s="18">
        <f>SUM('Monthly Gallon Summary'!K6:K8)</f>
        <v>525598442</v>
      </c>
      <c r="L4" s="18">
        <f>SUM('Monthly Gallon Summary'!L6:L8)</f>
        <v>512128686</v>
      </c>
      <c r="M4" s="18">
        <f>SUM('Monthly Gallon Summary'!M6:M8)</f>
        <v>497607042</v>
      </c>
      <c r="N4" s="18">
        <f>SUM('Monthly Gallon Summary'!N6:N8)</f>
        <v>487981562</v>
      </c>
      <c r="O4" s="18">
        <f>SUM('Monthly Gallon Summary'!O6:O8)</f>
        <v>565999517</v>
      </c>
      <c r="P4" s="18">
        <f>SUM('Monthly Gallon Summary'!P6:P8)</f>
        <v>540729800</v>
      </c>
      <c r="Q4" s="19">
        <f>SUM('Monthly Gallon Summary'!Q6:Q8)</f>
        <v>497671222.91964406</v>
      </c>
      <c r="R4" s="19">
        <f>SUM('Monthly Gallon Summary'!R6:R8)</f>
        <v>429734996.65715694</v>
      </c>
      <c r="S4" s="19">
        <f>SUM('Monthly Gallon Summary'!S6:S8)</f>
        <v>434508836.62474453</v>
      </c>
      <c r="T4" s="19">
        <f>SUM('Monthly Gallon Summary'!T6:T8)</f>
        <v>361470924.28395021</v>
      </c>
      <c r="U4" s="19">
        <f>SUM('Monthly Gallon Summary'!U6:U8)</f>
        <v>407226774.39474082</v>
      </c>
      <c r="V4" s="19">
        <f>SUM('Monthly Gallon Summary'!V6:V8)</f>
        <v>414825431.21210057</v>
      </c>
      <c r="W4" s="19">
        <f>SUM('Monthly Gallon Summary'!W6:W8)</f>
        <v>407956033.71408123</v>
      </c>
      <c r="X4" s="19">
        <f>SUM('Monthly Gallon Summary'!X6:X8)</f>
        <v>423043803.77557063</v>
      </c>
      <c r="Y4" s="19">
        <f>SUM('Monthly Gallon Summary'!Y6:Y8)</f>
        <v>397520194.211968</v>
      </c>
      <c r="Z4" s="19">
        <f>SUM('Monthly Gallon Summary'!Z6:Z8)</f>
        <v>388200779.0272603</v>
      </c>
      <c r="AA4" s="19">
        <f>SUM('Monthly Gallon Summary'!AA6:AA8)</f>
        <v>370937121.69691741</v>
      </c>
      <c r="AB4" s="31"/>
      <c r="AC4" s="77">
        <f>P4/P3-1</f>
        <v>6.7993831811420602E-2</v>
      </c>
      <c r="AD4" s="26">
        <f t="shared" ref="AD4:AD7" si="0">P4/O4-1</f>
        <v>-4.4646181208667035E-2</v>
      </c>
    </row>
    <row r="5" spans="1:30">
      <c r="A5" s="14" t="s">
        <v>170</v>
      </c>
      <c r="B5" s="18">
        <f>SUM('Monthly Gallon Summary'!B9:B11)</f>
        <v>115334295</v>
      </c>
      <c r="C5" s="18">
        <f>SUM('Monthly Gallon Summary'!C9:C11)</f>
        <v>311965473</v>
      </c>
      <c r="D5" s="18">
        <f>SUM('Monthly Gallon Summary'!D9:D11)</f>
        <v>285088513</v>
      </c>
      <c r="E5" s="18">
        <f>SUM('Monthly Gallon Summary'!E9:E11)</f>
        <v>431713628</v>
      </c>
      <c r="F5" s="18">
        <f>SUM('Monthly Gallon Summary'!F9:F11)</f>
        <v>440447722</v>
      </c>
      <c r="G5" s="18">
        <f>SUM('Monthly Gallon Summary'!G9:G11)</f>
        <v>495668080</v>
      </c>
      <c r="H5" s="18">
        <f>SUM('Monthly Gallon Summary'!H9:H11)</f>
        <v>642128370</v>
      </c>
      <c r="I5" s="18">
        <f>SUM('Monthly Gallon Summary'!I9:I11)</f>
        <v>590729486</v>
      </c>
      <c r="J5" s="18">
        <f>SUM('Monthly Gallon Summary'!J9:J11)</f>
        <v>537564528</v>
      </c>
      <c r="K5" s="18">
        <f>SUM('Monthly Gallon Summary'!K9:K11)</f>
        <v>506718750</v>
      </c>
      <c r="L5" s="18">
        <f>SUM('Monthly Gallon Summary'!L9:L11)</f>
        <v>552497912</v>
      </c>
      <c r="M5" s="18">
        <f>SUM('Monthly Gallon Summary'!M9:M11)</f>
        <v>479630133</v>
      </c>
      <c r="N5" s="18">
        <f>SUM('Monthly Gallon Summary'!N9:N11)</f>
        <v>474317020</v>
      </c>
      <c r="O5" s="18">
        <f>SUM('Monthly Gallon Summary'!O9:O11)</f>
        <v>557053208</v>
      </c>
      <c r="P5" s="18">
        <f>SUM('Monthly Gallon Summary'!P9:P11)</f>
        <v>490231574</v>
      </c>
      <c r="Q5" s="19">
        <f>SUM('Monthly Gallon Summary'!Q9:Q11)</f>
        <v>492176800.88165498</v>
      </c>
      <c r="R5" s="19">
        <f>SUM('Monthly Gallon Summary'!R9:R11)</f>
        <v>419246499.13959694</v>
      </c>
      <c r="S5" s="19">
        <f>SUM('Monthly Gallon Summary'!S9:S11)</f>
        <v>424726669.37206292</v>
      </c>
      <c r="T5" s="19">
        <f>SUM('Monthly Gallon Summary'!T9:T11)</f>
        <v>350694333.66755766</v>
      </c>
      <c r="U5" s="19">
        <f>SUM('Monthly Gallon Summary'!U9:U11)</f>
        <v>394629604.65931141</v>
      </c>
      <c r="V5" s="19">
        <f>SUM('Monthly Gallon Summary'!V9:V11)</f>
        <v>405150306.76923287</v>
      </c>
      <c r="W5" s="19">
        <f>SUM('Monthly Gallon Summary'!W9:W11)</f>
        <v>397401833.93516231</v>
      </c>
      <c r="X5" s="19">
        <f>SUM('Monthly Gallon Summary'!X9:X11)</f>
        <v>413866368.92661232</v>
      </c>
      <c r="Y5" s="19">
        <f>SUM('Monthly Gallon Summary'!Y9:Y11)</f>
        <v>388847448.49147099</v>
      </c>
      <c r="Z5" s="19">
        <f>SUM('Monthly Gallon Summary'!Z9:Z11)</f>
        <v>379754610.79133189</v>
      </c>
      <c r="AA5" s="19">
        <f>SUM('Monthly Gallon Summary'!AA9:AA11)</f>
        <v>363530596.33711141</v>
      </c>
      <c r="AB5" s="31"/>
      <c r="AC5" s="77">
        <f t="shared" ref="AC5:AC6" si="1">P5/P4-1</f>
        <v>-9.3389019802496587E-2</v>
      </c>
      <c r="AD5" s="26">
        <f t="shared" si="0"/>
        <v>-0.119955568050512</v>
      </c>
    </row>
    <row r="6" spans="1:30">
      <c r="A6" s="14" t="s">
        <v>171</v>
      </c>
      <c r="B6" s="18">
        <f>SUM('Monthly Gallon Summary'!B12:B14)</f>
        <v>108149876</v>
      </c>
      <c r="C6" s="18">
        <f>SUM('Monthly Gallon Summary'!C12:C14)</f>
        <v>388342342</v>
      </c>
      <c r="D6" s="18">
        <f>SUM('Monthly Gallon Summary'!D12:D14)</f>
        <v>211022327</v>
      </c>
      <c r="E6" s="18">
        <f>SUM('Monthly Gallon Summary'!E12:E14)</f>
        <v>502201211</v>
      </c>
      <c r="F6" s="18">
        <f>SUM('Monthly Gallon Summary'!F12:F14)</f>
        <v>460876957</v>
      </c>
      <c r="G6" s="18">
        <f>SUM('Monthly Gallon Summary'!G12:G14)</f>
        <v>432947877</v>
      </c>
      <c r="H6" s="18">
        <f>SUM('Monthly Gallon Summary'!H12:H14)</f>
        <v>748714179</v>
      </c>
      <c r="I6" s="18">
        <f>SUM('Monthly Gallon Summary'!I12:I14)</f>
        <v>551957694</v>
      </c>
      <c r="J6" s="18">
        <f>SUM('Monthly Gallon Summary'!J12:J14)</f>
        <v>568229536</v>
      </c>
      <c r="K6" s="18">
        <f>SUM('Monthly Gallon Summary'!K12:K14)</f>
        <v>458695093</v>
      </c>
      <c r="L6" s="18">
        <f>SUM('Monthly Gallon Summary'!L12:L14)</f>
        <v>529431192</v>
      </c>
      <c r="M6" s="18">
        <f>SUM('Monthly Gallon Summary'!M12:M14)</f>
        <v>536975535</v>
      </c>
      <c r="N6" s="18">
        <f>SUM('Monthly Gallon Summary'!N12:N14)</f>
        <v>519084443</v>
      </c>
      <c r="O6" s="18">
        <f>SUM('Monthly Gallon Summary'!O12:O14)</f>
        <v>585095870</v>
      </c>
      <c r="P6" s="18">
        <f>SUM('Monthly Gallon Summary'!P12:P14)</f>
        <v>536724455</v>
      </c>
      <c r="Q6" s="19">
        <f>SUM('Monthly Gallon Summary'!Q12:Q14)</f>
        <v>687366665.06292772</v>
      </c>
      <c r="R6" s="19">
        <f>SUM('Monthly Gallon Summary'!R12:R14)</f>
        <v>449935791.81888205</v>
      </c>
      <c r="S6" s="19">
        <f>SUM('Monthly Gallon Summary'!S12:S14)</f>
        <v>473032122.87043875</v>
      </c>
      <c r="T6" s="19">
        <f>SUM('Monthly Gallon Summary'!T12:T14)</f>
        <v>399237035.73707604</v>
      </c>
      <c r="U6" s="19">
        <f>SUM('Monthly Gallon Summary'!U12:U14)</f>
        <v>458662456.29331386</v>
      </c>
      <c r="V6" s="19">
        <f>SUM('Monthly Gallon Summary'!V12:V14)</f>
        <v>480490072.16283953</v>
      </c>
      <c r="W6" s="19">
        <f>SUM('Monthly Gallon Summary'!W12:W14)</f>
        <v>450380481.84333098</v>
      </c>
      <c r="X6" s="19">
        <f>SUM('Monthly Gallon Summary'!X12:X14)</f>
        <v>469939092.86211717</v>
      </c>
      <c r="Y6" s="19">
        <f>SUM('Monthly Gallon Summary'!Y12:Y14)</f>
        <v>423653971.55574131</v>
      </c>
      <c r="Z6" s="19">
        <f>SUM('Monthly Gallon Summary'!Z12:Z14)</f>
        <v>423779000.61547446</v>
      </c>
      <c r="AA6" s="19">
        <f>SUM('Monthly Gallon Summary'!AA12:AA14)</f>
        <v>402894974.51828158</v>
      </c>
      <c r="AB6" s="31"/>
      <c r="AC6" s="77">
        <f t="shared" si="1"/>
        <v>9.4838609885213199E-2</v>
      </c>
      <c r="AD6" s="26">
        <f t="shared" si="0"/>
        <v>-8.2672631068135938E-2</v>
      </c>
    </row>
    <row r="7" spans="1:30">
      <c r="A7" s="14" t="s">
        <v>29</v>
      </c>
      <c r="B7" s="18">
        <f>SUM(B3:B6)</f>
        <v>226963003</v>
      </c>
      <c r="C7" s="18">
        <f t="shared" ref="C7:AA7" si="2">SUM(C3:C6)</f>
        <v>1081549902</v>
      </c>
      <c r="D7" s="18">
        <f t="shared" si="2"/>
        <v>1057176449</v>
      </c>
      <c r="E7" s="18">
        <f t="shared" si="2"/>
        <v>1571180819</v>
      </c>
      <c r="F7" s="18">
        <f t="shared" si="2"/>
        <v>1488723198</v>
      </c>
      <c r="G7" s="18">
        <f t="shared" si="2"/>
        <v>1589937580</v>
      </c>
      <c r="H7" s="18">
        <f t="shared" si="2"/>
        <v>2307275437</v>
      </c>
      <c r="I7" s="18">
        <f t="shared" si="2"/>
        <v>2050164384</v>
      </c>
      <c r="J7" s="18">
        <f t="shared" si="2"/>
        <v>2030594071</v>
      </c>
      <c r="K7" s="18">
        <f t="shared" si="2"/>
        <v>1898515130</v>
      </c>
      <c r="L7" s="18">
        <f t="shared" si="2"/>
        <v>2034367312</v>
      </c>
      <c r="M7" s="18">
        <f t="shared" si="2"/>
        <v>1913078061</v>
      </c>
      <c r="N7" s="18">
        <f t="shared" si="2"/>
        <v>1860533654</v>
      </c>
      <c r="O7" s="18">
        <f t="shared" si="2"/>
        <v>2183493984</v>
      </c>
      <c r="P7" s="18">
        <f t="shared" si="2"/>
        <v>2073990064</v>
      </c>
      <c r="Q7" s="19">
        <f t="shared" si="2"/>
        <v>1925954436.8642268</v>
      </c>
      <c r="R7" s="19">
        <f t="shared" si="2"/>
        <v>1652382983.9763932</v>
      </c>
      <c r="S7" s="19">
        <f t="shared" si="2"/>
        <v>1672147368.6026452</v>
      </c>
      <c r="T7" s="19">
        <f t="shared" si="2"/>
        <v>1393904224.8270702</v>
      </c>
      <c r="U7" s="19">
        <f t="shared" si="2"/>
        <v>1573167762.7863221</v>
      </c>
      <c r="V7" s="19">
        <f t="shared" si="2"/>
        <v>1599887969.1145663</v>
      </c>
      <c r="W7" s="19">
        <f t="shared" si="2"/>
        <v>1572123138.4461985</v>
      </c>
      <c r="X7" s="19">
        <f t="shared" si="2"/>
        <v>1631523155.1330748</v>
      </c>
      <c r="Y7" s="19">
        <f t="shared" si="2"/>
        <v>1533862018.6316206</v>
      </c>
      <c r="Z7" s="19">
        <f t="shared" si="2"/>
        <v>1497942676.7177336</v>
      </c>
      <c r="AA7" s="19">
        <f t="shared" si="2"/>
        <v>1430842856.8893466</v>
      </c>
      <c r="AB7" s="31"/>
      <c r="AC7" s="77">
        <f>P7/AVERAGE(K7:O7)-1</f>
        <v>4.8530106624725455E-2</v>
      </c>
      <c r="AD7" s="26">
        <f t="shared" si="0"/>
        <v>-5.0150777058426743E-2</v>
      </c>
    </row>
    <row r="8" spans="1:30">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row>
    <row r="9" spans="1:30" ht="15.75">
      <c r="A9" s="76" t="s">
        <v>98</v>
      </c>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476">
        <v>2024</v>
      </c>
      <c r="AD9" s="476"/>
    </row>
    <row r="10" spans="1:30">
      <c r="B10" s="14">
        <f t="shared" ref="B10:T10" si="3">B2</f>
        <v>2010</v>
      </c>
      <c r="C10" s="14">
        <f t="shared" si="3"/>
        <v>2011</v>
      </c>
      <c r="D10" s="14">
        <f t="shared" si="3"/>
        <v>2012</v>
      </c>
      <c r="E10" s="14">
        <f t="shared" si="3"/>
        <v>2013</v>
      </c>
      <c r="F10" s="14">
        <f t="shared" si="3"/>
        <v>2014</v>
      </c>
      <c r="G10" s="14">
        <f t="shared" si="3"/>
        <v>2015</v>
      </c>
      <c r="H10" s="14">
        <f t="shared" si="3"/>
        <v>2016</v>
      </c>
      <c r="I10" s="14">
        <f t="shared" si="3"/>
        <v>2017</v>
      </c>
      <c r="J10" s="14">
        <f t="shared" si="3"/>
        <v>2018</v>
      </c>
      <c r="K10" s="14">
        <f t="shared" si="3"/>
        <v>2019</v>
      </c>
      <c r="L10" s="14">
        <f t="shared" si="3"/>
        <v>2020</v>
      </c>
      <c r="M10" s="14">
        <f t="shared" si="3"/>
        <v>2021</v>
      </c>
      <c r="N10" s="14">
        <f t="shared" si="3"/>
        <v>2022</v>
      </c>
      <c r="O10" s="14">
        <f t="shared" si="3"/>
        <v>2023</v>
      </c>
      <c r="P10" s="14">
        <f t="shared" si="3"/>
        <v>2024</v>
      </c>
      <c r="Q10" s="14">
        <f t="shared" si="3"/>
        <v>2025</v>
      </c>
      <c r="R10" s="14">
        <f t="shared" si="3"/>
        <v>2026</v>
      </c>
      <c r="S10" s="14">
        <f t="shared" si="3"/>
        <v>2027</v>
      </c>
      <c r="T10" s="14">
        <f t="shared" si="3"/>
        <v>2028</v>
      </c>
      <c r="U10" s="14">
        <f>U2</f>
        <v>2029</v>
      </c>
      <c r="V10" s="14"/>
      <c r="W10" s="14"/>
      <c r="X10" s="14"/>
      <c r="Y10" s="14"/>
      <c r="Z10" s="14"/>
      <c r="AA10" s="14"/>
      <c r="AB10" s="14"/>
      <c r="AC10" s="14" t="s">
        <v>166</v>
      </c>
      <c r="AD10" s="14" t="s">
        <v>167</v>
      </c>
    </row>
    <row r="11" spans="1:30">
      <c r="A11" s="14" t="s">
        <v>168</v>
      </c>
      <c r="B11" s="18">
        <f>SUM('Monthly Gallon Summary'!B19:B21)</f>
        <v>1833131</v>
      </c>
      <c r="C11" s="18">
        <f>SUM('Monthly Gallon Summary'!C19:C21)</f>
        <v>138286567</v>
      </c>
      <c r="D11" s="18">
        <f>SUM('Monthly Gallon Summary'!D19:D21)</f>
        <v>228197351</v>
      </c>
      <c r="E11" s="18">
        <f>SUM('Monthly Gallon Summary'!E19:E21)</f>
        <v>246711922</v>
      </c>
      <c r="F11" s="18">
        <f>SUM('Monthly Gallon Summary'!F19:F21)</f>
        <v>217366175</v>
      </c>
      <c r="G11" s="18">
        <f>SUM('Monthly Gallon Summary'!G19:G21)</f>
        <v>211098192</v>
      </c>
      <c r="H11" s="18">
        <f>SUM('Monthly Gallon Summary'!H19:H21)</f>
        <v>312730007</v>
      </c>
      <c r="I11" s="18">
        <f>SUM('Monthly Gallon Summary'!I19:I21)</f>
        <v>255907141</v>
      </c>
      <c r="J11" s="18">
        <f>SUM('Monthly Gallon Summary'!J19:J21)</f>
        <v>371227062</v>
      </c>
      <c r="K11" s="18">
        <f>SUM('Monthly Gallon Summary'!K19:K21)</f>
        <v>372669404</v>
      </c>
      <c r="L11" s="18">
        <f>SUM('Monthly Gallon Summary'!L19:L21)</f>
        <v>396527478</v>
      </c>
      <c r="M11" s="18">
        <f>SUM('Monthly Gallon Summary'!M19:M21)</f>
        <v>367520545</v>
      </c>
      <c r="N11" s="18">
        <f>SUM('Monthly Gallon Summary'!N19:N21)</f>
        <v>337025081</v>
      </c>
      <c r="O11" s="18">
        <f>SUM('Monthly Gallon Summary'!O19:O21)</f>
        <v>365178201</v>
      </c>
      <c r="P11" s="18">
        <f>SUM('Monthly Gallon Summary'!P19:P21)</f>
        <v>382613845</v>
      </c>
      <c r="Q11" s="18">
        <f>SUM('Monthly Gallon Summary'!Q19:Q21)</f>
        <v>235293705</v>
      </c>
      <c r="R11" s="19">
        <f>SUM('Monthly Gallon Summary'!R19:R21)</f>
        <v>317611630.23256433</v>
      </c>
      <c r="S11" s="19">
        <f>SUM('Monthly Gallon Summary'!S19:S21)</f>
        <v>301183502.80259109</v>
      </c>
      <c r="T11" s="19">
        <f>SUM('Monthly Gallon Summary'!T19:T21)</f>
        <v>239346963.98680663</v>
      </c>
      <c r="U11" s="19">
        <f>SUM('Monthly Gallon Summary'!U19:U21)</f>
        <v>271308696.91311073</v>
      </c>
      <c r="V11" s="19">
        <f>SUM('Monthly Gallon Summary'!V19:V21)</f>
        <v>265513564.90213645</v>
      </c>
      <c r="W11" s="19">
        <f>SUM('Monthly Gallon Summary'!W19:W21)</f>
        <v>278158034.32209158</v>
      </c>
      <c r="X11" s="19">
        <f>SUM('Monthly Gallon Summary'!X19:X21)</f>
        <v>290310844.35680872</v>
      </c>
      <c r="Y11" s="19">
        <f>SUM('Monthly Gallon Summary'!Y19:Y21)</f>
        <v>291710641.30134642</v>
      </c>
      <c r="Z11" s="19">
        <f>SUM('Monthly Gallon Summary'!Z19:Z21)</f>
        <v>275631133.0661701</v>
      </c>
      <c r="AA11" s="19">
        <f>SUM('Monthly Gallon Summary'!AA19:AA21)</f>
        <v>265995037.80703095</v>
      </c>
      <c r="AB11" s="31"/>
      <c r="AC11" s="26">
        <f>P11/O14-1</f>
        <v>-0.15056878484589975</v>
      </c>
      <c r="AD11" s="26">
        <f>P11/O11-1</f>
        <v>4.7745577233948788E-2</v>
      </c>
    </row>
    <row r="12" spans="1:30">
      <c r="A12" s="14" t="s">
        <v>169</v>
      </c>
      <c r="B12" s="18">
        <f>SUM('Monthly Gallon Summary'!B20:B22)</f>
        <v>1869566</v>
      </c>
      <c r="C12" s="18">
        <f>SUM('Monthly Gallon Summary'!C20:C22)</f>
        <v>175583736</v>
      </c>
      <c r="D12" s="18">
        <f>SUM('Monthly Gallon Summary'!D20:D22)</f>
        <v>260661220</v>
      </c>
      <c r="E12" s="18">
        <f>SUM('Monthly Gallon Summary'!E20:E22)</f>
        <v>286591692</v>
      </c>
      <c r="F12" s="18">
        <f>SUM('Monthly Gallon Summary'!F20:F22)</f>
        <v>264060321</v>
      </c>
      <c r="G12" s="18">
        <f>SUM('Monthly Gallon Summary'!G20:G22)</f>
        <v>261722430</v>
      </c>
      <c r="H12" s="18">
        <f>SUM('Monthly Gallon Summary'!H20:H22)</f>
        <v>353425084</v>
      </c>
      <c r="I12" s="18">
        <f>SUM('Monthly Gallon Summary'!I20:I22)</f>
        <v>314295130</v>
      </c>
      <c r="J12" s="18">
        <f>SUM('Monthly Gallon Summary'!J20:J22)</f>
        <v>405368679</v>
      </c>
      <c r="K12" s="18">
        <f>SUM('Monthly Gallon Summary'!K20:K22)</f>
        <v>425877805</v>
      </c>
      <c r="L12" s="18">
        <f>SUM('Monthly Gallon Summary'!L20:L22)</f>
        <v>427479787</v>
      </c>
      <c r="M12" s="18">
        <f>SUM('Monthly Gallon Summary'!M20:M22)</f>
        <v>404614454</v>
      </c>
      <c r="N12" s="18">
        <f>SUM('Monthly Gallon Summary'!N20:N22)</f>
        <v>390596448</v>
      </c>
      <c r="O12" s="18">
        <f>SUM('Monthly Gallon Summary'!O20:O22)</f>
        <v>379465412</v>
      </c>
      <c r="P12" s="18">
        <f>SUM('Monthly Gallon Summary'!P20:P22)</f>
        <v>396842398</v>
      </c>
      <c r="Q12" s="19">
        <f>SUM('Monthly Gallon Summary'!Q20:Q22)</f>
        <v>301882562.72068667</v>
      </c>
      <c r="R12" s="19">
        <f>SUM('Monthly Gallon Summary'!R20:R22)</f>
        <v>341623944.9904272</v>
      </c>
      <c r="S12" s="19">
        <f>SUM('Monthly Gallon Summary'!S20:S22)</f>
        <v>332927330.60975778</v>
      </c>
      <c r="T12" s="19">
        <f>SUM('Monthly Gallon Summary'!T20:T22)</f>
        <v>261885377.08356398</v>
      </c>
      <c r="U12" s="19">
        <f>SUM('Monthly Gallon Summary'!U20:U22)</f>
        <v>300540418.1998713</v>
      </c>
      <c r="V12" s="19">
        <f>SUM('Monthly Gallon Summary'!V20:V22)</f>
        <v>299289924.76141387</v>
      </c>
      <c r="W12" s="19">
        <f>SUM('Monthly Gallon Summary'!W20:W22)</f>
        <v>306334518.84791875</v>
      </c>
      <c r="X12" s="19">
        <f>SUM('Monthly Gallon Summary'!X20:X22)</f>
        <v>321464080.14712787</v>
      </c>
      <c r="Y12" s="19">
        <f>SUM('Monthly Gallon Summary'!Y20:Y22)</f>
        <v>300983915.67701501</v>
      </c>
      <c r="Z12" s="19">
        <f>SUM('Monthly Gallon Summary'!Z20:Z22)</f>
        <v>293942695.31446075</v>
      </c>
      <c r="AA12" s="19">
        <f>SUM('Monthly Gallon Summary'!AA20:AA22)</f>
        <v>282396644.86165315</v>
      </c>
      <c r="AB12" s="31"/>
      <c r="AC12" s="77">
        <f>P12/P11-1</f>
        <v>3.7187763030373411E-2</v>
      </c>
      <c r="AD12" s="26">
        <f t="shared" ref="AD12:AD15" si="4">P12/O12-1</f>
        <v>4.5793333069312769E-2</v>
      </c>
    </row>
    <row r="13" spans="1:30">
      <c r="A13" s="14" t="s">
        <v>170</v>
      </c>
      <c r="B13" s="18">
        <f>SUM('Monthly Gallon Summary'!B21:B23)</f>
        <v>1816648</v>
      </c>
      <c r="C13" s="18">
        <f>SUM('Monthly Gallon Summary'!C21:C23)</f>
        <v>211699387</v>
      </c>
      <c r="D13" s="18">
        <f>SUM('Monthly Gallon Summary'!D21:D23)</f>
        <v>295287782</v>
      </c>
      <c r="E13" s="18">
        <f>SUM('Monthly Gallon Summary'!E21:E23)</f>
        <v>331055908</v>
      </c>
      <c r="F13" s="18">
        <f>SUM('Monthly Gallon Summary'!F21:F23)</f>
        <v>304575784</v>
      </c>
      <c r="G13" s="18">
        <f>SUM('Monthly Gallon Summary'!G21:G23)</f>
        <v>320405446</v>
      </c>
      <c r="H13" s="18">
        <f>SUM('Monthly Gallon Summary'!H21:H23)</f>
        <v>388309520</v>
      </c>
      <c r="I13" s="18">
        <f>SUM('Monthly Gallon Summary'!I21:I23)</f>
        <v>382892931</v>
      </c>
      <c r="J13" s="18">
        <f>SUM('Monthly Gallon Summary'!J21:J23)</f>
        <v>456067853</v>
      </c>
      <c r="K13" s="18">
        <f>SUM('Monthly Gallon Summary'!K21:K23)</f>
        <v>472589789</v>
      </c>
      <c r="L13" s="18">
        <f>SUM('Monthly Gallon Summary'!L21:L23)</f>
        <v>442621007</v>
      </c>
      <c r="M13" s="18">
        <f>SUM('Monthly Gallon Summary'!M21:M23)</f>
        <v>445235354</v>
      </c>
      <c r="N13" s="18">
        <f>SUM('Monthly Gallon Summary'!N21:N23)</f>
        <v>420029041</v>
      </c>
      <c r="O13" s="18">
        <f>SUM('Monthly Gallon Summary'!O21:O23)</f>
        <v>428316338</v>
      </c>
      <c r="P13" s="18">
        <f>SUM('Monthly Gallon Summary'!P21:P23)</f>
        <v>413881338</v>
      </c>
      <c r="Q13" s="19">
        <f>SUM('Monthly Gallon Summary'!Q21:Q23)</f>
        <v>366325157.04895014</v>
      </c>
      <c r="R13" s="19">
        <f>SUM('Monthly Gallon Summary'!R21:R23)</f>
        <v>367538382.58323109</v>
      </c>
      <c r="S13" s="19">
        <f>SUM('Monthly Gallon Summary'!S21:S23)</f>
        <v>366908405.36257464</v>
      </c>
      <c r="T13" s="19">
        <f>SUM('Monthly Gallon Summary'!T21:T23)</f>
        <v>290167207.31111938</v>
      </c>
      <c r="U13" s="19">
        <f>SUM('Monthly Gallon Summary'!U21:U23)</f>
        <v>331564159.60167176</v>
      </c>
      <c r="V13" s="19">
        <f>SUM('Monthly Gallon Summary'!V21:V23)</f>
        <v>334929122.14654309</v>
      </c>
      <c r="W13" s="19">
        <f>SUM('Monthly Gallon Summary'!W21:W23)</f>
        <v>337205634.76308084</v>
      </c>
      <c r="X13" s="19">
        <f>SUM('Monthly Gallon Summary'!X21:X23)</f>
        <v>355681311.84887606</v>
      </c>
      <c r="Y13" s="19">
        <f>SUM('Monthly Gallon Summary'!Y21:Y23)</f>
        <v>333314057.27233976</v>
      </c>
      <c r="Z13" s="19">
        <f>SUM('Monthly Gallon Summary'!Z21:Z23)</f>
        <v>325485430.65934265</v>
      </c>
      <c r="AA13" s="19">
        <f>SUM('Monthly Gallon Summary'!AA21:AA23)</f>
        <v>312925293.86223</v>
      </c>
      <c r="AB13" s="31"/>
      <c r="AC13" s="77">
        <f t="shared" ref="AC13:AC14" si="5">P13/P12-1</f>
        <v>4.2936289282275775E-2</v>
      </c>
      <c r="AD13" s="26">
        <f t="shared" si="4"/>
        <v>-3.3701726316122893E-2</v>
      </c>
    </row>
    <row r="14" spans="1:30">
      <c r="A14" s="14" t="s">
        <v>171</v>
      </c>
      <c r="B14" s="18">
        <f>SUM('Monthly Gallon Summary'!B22:B24)</f>
        <v>1645701</v>
      </c>
      <c r="C14" s="18">
        <f>SUM('Monthly Gallon Summary'!C22:C24)</f>
        <v>226383628</v>
      </c>
      <c r="D14" s="18">
        <f>SUM('Monthly Gallon Summary'!D22:D24)</f>
        <v>306750001</v>
      </c>
      <c r="E14" s="18">
        <f>SUM('Monthly Gallon Summary'!E22:E24)</f>
        <v>347565496</v>
      </c>
      <c r="F14" s="18">
        <f>SUM('Monthly Gallon Summary'!F22:F24)</f>
        <v>327438247</v>
      </c>
      <c r="G14" s="18">
        <f>SUM('Monthly Gallon Summary'!G22:G24)</f>
        <v>358953968</v>
      </c>
      <c r="H14" s="18">
        <f>SUM('Monthly Gallon Summary'!H22:H24)</f>
        <v>404147077</v>
      </c>
      <c r="I14" s="18">
        <f>SUM('Monthly Gallon Summary'!I22:I24)</f>
        <v>416409298</v>
      </c>
      <c r="J14" s="18">
        <f>SUM('Monthly Gallon Summary'!J22:J24)</f>
        <v>471421342</v>
      </c>
      <c r="K14" s="18">
        <f>SUM('Monthly Gallon Summary'!K22:K24)</f>
        <v>469033415</v>
      </c>
      <c r="L14" s="18">
        <f>SUM('Monthly Gallon Summary'!L22:L24)</f>
        <v>458049679</v>
      </c>
      <c r="M14" s="18">
        <f>SUM('Monthly Gallon Summary'!M22:M24)</f>
        <v>449355562</v>
      </c>
      <c r="N14" s="18">
        <f>SUM('Monthly Gallon Summary'!N22:N24)</f>
        <v>427016846</v>
      </c>
      <c r="O14" s="18">
        <f>SUM('Monthly Gallon Summary'!O22:O24)</f>
        <v>450435348</v>
      </c>
      <c r="P14" s="18">
        <f>SUM('Monthly Gallon Summary'!P22:P24)</f>
        <v>414771253</v>
      </c>
      <c r="Q14" s="19">
        <f>SUM('Monthly Gallon Summary'!Q22:Q24)</f>
        <v>410536814.35665071</v>
      </c>
      <c r="R14" s="19">
        <f>SUM('Monthly Gallon Summary'!R22:R24)</f>
        <v>381086090.64469302</v>
      </c>
      <c r="S14" s="19">
        <f>SUM('Monthly Gallon Summary'!S22:S24)</f>
        <v>382687300.78922939</v>
      </c>
      <c r="T14" s="19">
        <f>SUM('Monthly Gallon Summary'!T22:T24)</f>
        <v>304291390.80267286</v>
      </c>
      <c r="U14" s="19">
        <f>SUM('Monthly Gallon Summary'!U22:U24)</f>
        <v>347489630.04346406</v>
      </c>
      <c r="V14" s="19">
        <f>SUM('Monthly Gallon Summary'!V22:V24)</f>
        <v>354962224.80525345</v>
      </c>
      <c r="W14" s="19">
        <f>SUM('Monthly Gallon Summary'!W22:W24)</f>
        <v>353029082.31941152</v>
      </c>
      <c r="X14" s="19">
        <f>SUM('Monthly Gallon Summary'!X22:X24)</f>
        <v>373163812.49851382</v>
      </c>
      <c r="Y14" s="19">
        <f>SUM('Monthly Gallon Summary'!Y22:Y24)</f>
        <v>350150447.62878764</v>
      </c>
      <c r="Z14" s="19">
        <f>SUM('Monthly Gallon Summary'!Z22:Z24)</f>
        <v>342025068.34543467</v>
      </c>
      <c r="AA14" s="19">
        <f>SUM('Monthly Gallon Summary'!AA22:AA24)</f>
        <v>328993469.90506697</v>
      </c>
      <c r="AB14" s="31"/>
      <c r="AC14" s="77">
        <f t="shared" si="5"/>
        <v>2.1501694285137596E-3</v>
      </c>
      <c r="AD14" s="26">
        <f t="shared" si="4"/>
        <v>-7.9176945500289642E-2</v>
      </c>
    </row>
    <row r="15" spans="1:30">
      <c r="A15" s="14" t="s">
        <v>29</v>
      </c>
      <c r="B15" s="18">
        <f>SUM(B11:B14)</f>
        <v>7165046</v>
      </c>
      <c r="C15" s="18">
        <f t="shared" ref="C15:AA15" si="6">SUM(C11:C14)</f>
        <v>751953318</v>
      </c>
      <c r="D15" s="18">
        <f t="shared" si="6"/>
        <v>1090896354</v>
      </c>
      <c r="E15" s="18">
        <f t="shared" si="6"/>
        <v>1211925018</v>
      </c>
      <c r="F15" s="18">
        <f t="shared" si="6"/>
        <v>1113440527</v>
      </c>
      <c r="G15" s="18">
        <f t="shared" si="6"/>
        <v>1152180036</v>
      </c>
      <c r="H15" s="18">
        <f t="shared" si="6"/>
        <v>1458611688</v>
      </c>
      <c r="I15" s="18">
        <f t="shared" si="6"/>
        <v>1369504500</v>
      </c>
      <c r="J15" s="18">
        <f t="shared" si="6"/>
        <v>1704084936</v>
      </c>
      <c r="K15" s="18">
        <f t="shared" si="6"/>
        <v>1740170413</v>
      </c>
      <c r="L15" s="18">
        <f t="shared" si="6"/>
        <v>1724677951</v>
      </c>
      <c r="M15" s="18">
        <f t="shared" si="6"/>
        <v>1666725915</v>
      </c>
      <c r="N15" s="18">
        <f t="shared" si="6"/>
        <v>1574667416</v>
      </c>
      <c r="O15" s="18">
        <f t="shared" si="6"/>
        <v>1623395299</v>
      </c>
      <c r="P15" s="18">
        <f t="shared" si="6"/>
        <v>1608108834</v>
      </c>
      <c r="Q15" s="19">
        <f t="shared" si="6"/>
        <v>1314038239.1262875</v>
      </c>
      <c r="R15" s="19">
        <f t="shared" si="6"/>
        <v>1407860048.4509156</v>
      </c>
      <c r="S15" s="19">
        <f t="shared" si="6"/>
        <v>1383706539.564153</v>
      </c>
      <c r="T15" s="19">
        <f t="shared" si="6"/>
        <v>1095690939.1841629</v>
      </c>
      <c r="U15" s="19">
        <f t="shared" si="6"/>
        <v>1250902904.7581177</v>
      </c>
      <c r="V15" s="19">
        <f t="shared" si="6"/>
        <v>1254694836.6153469</v>
      </c>
      <c r="W15" s="19">
        <f t="shared" si="6"/>
        <v>1274727270.2525027</v>
      </c>
      <c r="X15" s="19">
        <f t="shared" si="6"/>
        <v>1340620048.8513265</v>
      </c>
      <c r="Y15" s="19">
        <f t="shared" si="6"/>
        <v>1276159061.8794889</v>
      </c>
      <c r="Z15" s="19">
        <f t="shared" si="6"/>
        <v>1237084327.3854082</v>
      </c>
      <c r="AA15" s="19">
        <f t="shared" si="6"/>
        <v>1190310446.435981</v>
      </c>
      <c r="AB15" s="31"/>
      <c r="AC15" s="77">
        <f>P15/AVERAGE(K15:O15)-1</f>
        <v>-3.4706533334914691E-2</v>
      </c>
      <c r="AD15" s="26">
        <f t="shared" si="4"/>
        <v>-9.4163541125297234E-3</v>
      </c>
    </row>
    <row r="17" spans="1:30" ht="15.75">
      <c r="A17" s="76" t="s">
        <v>99</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476">
        <v>2024</v>
      </c>
      <c r="AD17" s="476"/>
    </row>
    <row r="18" spans="1:30">
      <c r="B18" s="14">
        <f>B2</f>
        <v>2010</v>
      </c>
      <c r="C18" s="14">
        <f t="shared" ref="C18:AA18" si="7">C2</f>
        <v>2011</v>
      </c>
      <c r="D18" s="14">
        <f t="shared" si="7"/>
        <v>2012</v>
      </c>
      <c r="E18" s="14">
        <f t="shared" si="7"/>
        <v>2013</v>
      </c>
      <c r="F18" s="14">
        <f t="shared" si="7"/>
        <v>2014</v>
      </c>
      <c r="G18" s="14">
        <f t="shared" si="7"/>
        <v>2015</v>
      </c>
      <c r="H18" s="14">
        <f t="shared" si="7"/>
        <v>2016</v>
      </c>
      <c r="I18" s="14">
        <f t="shared" si="7"/>
        <v>2017</v>
      </c>
      <c r="J18" s="14">
        <f t="shared" si="7"/>
        <v>2018</v>
      </c>
      <c r="K18" s="14">
        <f t="shared" si="7"/>
        <v>2019</v>
      </c>
      <c r="L18" s="14">
        <f t="shared" si="7"/>
        <v>2020</v>
      </c>
      <c r="M18" s="14">
        <f t="shared" si="7"/>
        <v>2021</v>
      </c>
      <c r="N18" s="14">
        <f t="shared" si="7"/>
        <v>2022</v>
      </c>
      <c r="O18" s="14">
        <f t="shared" si="7"/>
        <v>2023</v>
      </c>
      <c r="P18" s="14">
        <f t="shared" si="7"/>
        <v>2024</v>
      </c>
      <c r="Q18" s="14">
        <f t="shared" si="7"/>
        <v>2025</v>
      </c>
      <c r="R18" s="14">
        <f t="shared" si="7"/>
        <v>2026</v>
      </c>
      <c r="S18" s="14">
        <f t="shared" si="7"/>
        <v>2027</v>
      </c>
      <c r="T18" s="14">
        <f t="shared" si="7"/>
        <v>2028</v>
      </c>
      <c r="U18" s="14">
        <f t="shared" si="7"/>
        <v>2029</v>
      </c>
      <c r="V18" s="14">
        <f t="shared" si="7"/>
        <v>2030</v>
      </c>
      <c r="W18" s="14">
        <f t="shared" si="7"/>
        <v>2031</v>
      </c>
      <c r="X18" s="14">
        <f t="shared" si="7"/>
        <v>2032</v>
      </c>
      <c r="Y18" s="14">
        <f t="shared" si="7"/>
        <v>2033</v>
      </c>
      <c r="Z18" s="14">
        <f t="shared" si="7"/>
        <v>2034</v>
      </c>
      <c r="AA18" s="14">
        <f t="shared" si="7"/>
        <v>2035</v>
      </c>
      <c r="AB18" s="14"/>
      <c r="AC18" s="14" t="s">
        <v>166</v>
      </c>
      <c r="AD18" s="14" t="s">
        <v>167</v>
      </c>
    </row>
    <row r="19" spans="1:30">
      <c r="A19" s="14" t="s">
        <v>168</v>
      </c>
      <c r="B19" s="18">
        <f>SUM('Monthly Gallon Summary'!B35:B37)</f>
        <v>0</v>
      </c>
      <c r="C19" s="18">
        <f>SUM('Monthly Gallon Summary'!C35:C37)</f>
        <v>8600114</v>
      </c>
      <c r="D19" s="18">
        <f>SUM('Monthly Gallon Summary'!D35:D37)</f>
        <v>9370472</v>
      </c>
      <c r="E19" s="18">
        <f>SUM('Monthly Gallon Summary'!E35:E37)</f>
        <v>13419017</v>
      </c>
      <c r="F19" s="18">
        <f>SUM('Monthly Gallon Summary'!F35:F37)</f>
        <v>18965482</v>
      </c>
      <c r="G19" s="18">
        <f>SUM('Monthly Gallon Summary'!G35:G37)</f>
        <v>27092073</v>
      </c>
      <c r="H19" s="18">
        <f>SUM('Monthly Gallon Summary'!H35:H37)</f>
        <v>44309549</v>
      </c>
      <c r="I19" s="18">
        <f>SUM('Monthly Gallon Summary'!I35:I37)</f>
        <v>91512130</v>
      </c>
      <c r="J19" s="18">
        <f>SUM('Monthly Gallon Summary'!J35:J37)</f>
        <v>37924293</v>
      </c>
      <c r="K19" s="18">
        <f>SUM('Monthly Gallon Summary'!K35:K37)</f>
        <v>34833441</v>
      </c>
      <c r="L19" s="18">
        <f>SUM('Monthly Gallon Summary'!L35:L37)</f>
        <v>43782044</v>
      </c>
      <c r="M19" s="18">
        <f>SUM('Monthly Gallon Summary'!M35:M37)</f>
        <v>31344806</v>
      </c>
      <c r="N19" s="18">
        <f>SUM('Monthly Gallon Summary'!N35:N37)</f>
        <v>42125548</v>
      </c>
      <c r="O19" s="18">
        <f>SUM('Monthly Gallon Summary'!O35:O37)</f>
        <v>110167188</v>
      </c>
      <c r="P19" s="18">
        <f>SUM('Monthly Gallon Summary'!P35:P37)</f>
        <v>123690390</v>
      </c>
      <c r="Q19" s="18">
        <f>SUM('Monthly Gallon Summary'!Q35:Q37)</f>
        <v>13446043</v>
      </c>
      <c r="R19" s="19">
        <f>SUM('Monthly Gallon Summary'!R35:R37)</f>
        <v>35854066.128193073</v>
      </c>
      <c r="S19" s="19">
        <f>SUM('Monthly Gallon Summary'!S35:S37)</f>
        <v>38696236.932807654</v>
      </c>
      <c r="T19" s="19">
        <f>SUM('Monthly Gallon Summary'!T35:T37)</f>
        <v>43154967.151679628</v>
      </c>
      <c r="U19" s="19">
        <f>SUM('Monthly Gallon Summary'!U35:U37)</f>
        <v>41340230.525845364</v>
      </c>
      <c r="V19" s="19">
        <f>SUM('Monthly Gallon Summary'!V35:V37)</f>
        <v>33908594.06825719</v>
      </c>
      <c r="W19" s="19">
        <f>SUM('Monthly Gallon Summary'!W35:W37)</f>
        <v>38226754.631532468</v>
      </c>
      <c r="X19" s="19">
        <f>SUM('Monthly Gallon Summary'!X35:X37)</f>
        <v>34363045.211965963</v>
      </c>
      <c r="Y19" s="19">
        <f>SUM('Monthly Gallon Summary'!Y35:Y37)</f>
        <v>32129763.071093939</v>
      </c>
      <c r="Z19" s="19">
        <f>SUM('Monthly Gallon Summary'!Z35:Z37)</f>
        <v>30577153.217496712</v>
      </c>
      <c r="AA19" s="19">
        <f>SUM('Monthly Gallon Summary'!AA35:AA37)</f>
        <v>27485126.530005489</v>
      </c>
      <c r="AB19" s="31"/>
      <c r="AC19" s="26">
        <f>P19/O22-1</f>
        <v>-0.26567801873774333</v>
      </c>
      <c r="AD19" s="26">
        <f>P19/O19-1</f>
        <v>0.12275163091210062</v>
      </c>
    </row>
    <row r="20" spans="1:30">
      <c r="A20" s="14" t="s">
        <v>169</v>
      </c>
      <c r="B20" s="18">
        <f>SUM('Monthly Gallon Summary'!B38:B40)</f>
        <v>0</v>
      </c>
      <c r="C20" s="18">
        <f>SUM('Monthly Gallon Summary'!C38:C40)</f>
        <v>7971778</v>
      </c>
      <c r="D20" s="18">
        <f>SUM('Monthly Gallon Summary'!D38:D40)</f>
        <v>10667403</v>
      </c>
      <c r="E20" s="18">
        <f>SUM('Monthly Gallon Summary'!E38:E40)</f>
        <v>29569545</v>
      </c>
      <c r="F20" s="18">
        <f>SUM('Monthly Gallon Summary'!F38:F40)</f>
        <v>23628615</v>
      </c>
      <c r="G20" s="18">
        <f>SUM('Monthly Gallon Summary'!G38:G40)</f>
        <v>64177390</v>
      </c>
      <c r="H20" s="18">
        <f>SUM('Monthly Gallon Summary'!H38:H40)</f>
        <v>155246255</v>
      </c>
      <c r="I20" s="18">
        <f>SUM('Monthly Gallon Summary'!I38:I40)</f>
        <v>143648635</v>
      </c>
      <c r="J20" s="18">
        <f>SUM('Monthly Gallon Summary'!J38:J40)</f>
        <v>44227310</v>
      </c>
      <c r="K20" s="18">
        <f>SUM('Monthly Gallon Summary'!K38:K40)</f>
        <v>56565027</v>
      </c>
      <c r="L20" s="18">
        <f>SUM('Monthly Gallon Summary'!L38:L40)</f>
        <v>54079007</v>
      </c>
      <c r="M20" s="18">
        <f>SUM('Monthly Gallon Summary'!M38:M40)</f>
        <v>48251480</v>
      </c>
      <c r="N20" s="18">
        <f>SUM('Monthly Gallon Summary'!N38:N40)</f>
        <v>60964716</v>
      </c>
      <c r="O20" s="18">
        <f>SUM('Monthly Gallon Summary'!O38:O40)</f>
        <v>115564169</v>
      </c>
      <c r="P20" s="18">
        <f>SUM('Monthly Gallon Summary'!P38:P40)</f>
        <v>125958547</v>
      </c>
      <c r="Q20" s="19">
        <f>SUM('Monthly Gallon Summary'!Q38:Q40)</f>
        <v>87134408.562993318</v>
      </c>
      <c r="R20" s="19">
        <f>SUM('Monthly Gallon Summary'!R38:R40)</f>
        <v>48648906.012463935</v>
      </c>
      <c r="S20" s="19">
        <f>SUM('Monthly Gallon Summary'!S38:S40)</f>
        <v>51821535.835515149</v>
      </c>
      <c r="T20" s="19">
        <f>SUM('Monthly Gallon Summary'!T38:T40)</f>
        <v>57179533.481277317</v>
      </c>
      <c r="U20" s="19">
        <f>SUM('Monthly Gallon Summary'!U38:U40)</f>
        <v>59737144.3512768</v>
      </c>
      <c r="V20" s="19">
        <f>SUM('Monthly Gallon Summary'!V38:V40)</f>
        <v>59863206.406847097</v>
      </c>
      <c r="W20" s="19">
        <f>SUM('Monthly Gallon Summary'!W38:W40)</f>
        <v>54926951.394669682</v>
      </c>
      <c r="X20" s="19">
        <f>SUM('Monthly Gallon Summary'!X38:X40)</f>
        <v>49879991.277056806</v>
      </c>
      <c r="Y20" s="19">
        <f>SUM('Monthly Gallon Summary'!Y38:Y40)</f>
        <v>47369746.58318036</v>
      </c>
      <c r="Z20" s="19">
        <f>SUM('Monthly Gallon Summary'!Z38:Z40)</f>
        <v>46175710.681825608</v>
      </c>
      <c r="AA20" s="19">
        <f>SUM('Monthly Gallon Summary'!AA38:AA40)</f>
        <v>41943651.791850485</v>
      </c>
      <c r="AB20" s="31"/>
      <c r="AC20" s="77">
        <f>P20/P19-1</f>
        <v>1.8337374471856682E-2</v>
      </c>
      <c r="AD20" s="26">
        <f t="shared" ref="AD20:AD23" si="8">P20/O20-1</f>
        <v>8.9944643655076151E-2</v>
      </c>
    </row>
    <row r="21" spans="1:30">
      <c r="A21" s="14" t="s">
        <v>170</v>
      </c>
      <c r="B21" s="18">
        <f>SUM('Monthly Gallon Summary'!B41:B43)</f>
        <v>4935312</v>
      </c>
      <c r="C21" s="18">
        <f>SUM('Monthly Gallon Summary'!C41:C43)</f>
        <v>9749943</v>
      </c>
      <c r="D21" s="18">
        <f>SUM('Monthly Gallon Summary'!D41:D43)</f>
        <v>10053565</v>
      </c>
      <c r="E21" s="18">
        <f>SUM('Monthly Gallon Summary'!E41:E43)</f>
        <v>44175747</v>
      </c>
      <c r="F21" s="18">
        <f>SUM('Monthly Gallon Summary'!F41:F43)</f>
        <v>60217696</v>
      </c>
      <c r="G21" s="18">
        <f>SUM('Monthly Gallon Summary'!G41:G43)</f>
        <v>123055216</v>
      </c>
      <c r="H21" s="18">
        <f>SUM('Monthly Gallon Summary'!H41:H43)</f>
        <v>195854638</v>
      </c>
      <c r="I21" s="18">
        <f>SUM('Monthly Gallon Summary'!I41:I43)</f>
        <v>134569211</v>
      </c>
      <c r="J21" s="18">
        <f>SUM('Monthly Gallon Summary'!J41:J43)</f>
        <v>30147005</v>
      </c>
      <c r="K21" s="18">
        <f>SUM('Monthly Gallon Summary'!K41:K43)</f>
        <v>40007611</v>
      </c>
      <c r="L21" s="18">
        <f>SUM('Monthly Gallon Summary'!L41:L43)</f>
        <v>50400929</v>
      </c>
      <c r="M21" s="18">
        <f>SUM('Monthly Gallon Summary'!M41:M43)</f>
        <v>38222776</v>
      </c>
      <c r="N21" s="18">
        <f>SUM('Monthly Gallon Summary'!N41:N43)</f>
        <v>43077091</v>
      </c>
      <c r="O21" s="18">
        <f>SUM('Monthly Gallon Summary'!O41:O43)</f>
        <v>117173666</v>
      </c>
      <c r="P21" s="18">
        <f>SUM('Monthly Gallon Summary'!P41:P43)</f>
        <v>73605079</v>
      </c>
      <c r="Q21" s="19">
        <f>SUM('Monthly Gallon Summary'!Q41:Q43)</f>
        <v>75259311.141904056</v>
      </c>
      <c r="R21" s="19">
        <f>SUM('Monthly Gallon Summary'!R41:R43)</f>
        <v>38767715.470324956</v>
      </c>
      <c r="S21" s="19">
        <f>SUM('Monthly Gallon Summary'!S41:S43)</f>
        <v>41323224.723405801</v>
      </c>
      <c r="T21" s="19">
        <f>SUM('Monthly Gallon Summary'!T41:T43)</f>
        <v>46341731.219591469</v>
      </c>
      <c r="U21" s="19">
        <f>SUM('Monthly Gallon Summary'!U41:U43)</f>
        <v>44928077.094280012</v>
      </c>
      <c r="V21" s="19">
        <f>SUM('Monthly Gallon Summary'!V41:V43)</f>
        <v>48480866.42682603</v>
      </c>
      <c r="W21" s="19">
        <f>SUM('Monthly Gallon Summary'!W41:W43)</f>
        <v>43553527.487009376</v>
      </c>
      <c r="X21" s="19">
        <f>SUM('Monthly Gallon Summary'!X41:X43)</f>
        <v>39517788.07473278</v>
      </c>
      <c r="Y21" s="19">
        <f>SUM('Monthly Gallon Summary'!Y41:Y43)</f>
        <v>37484073.13498985</v>
      </c>
      <c r="Z21" s="19">
        <f>SUM('Monthly Gallon Summary'!Z41:Z43)</f>
        <v>36353163.240894817</v>
      </c>
      <c r="AA21" s="19">
        <f>SUM('Monthly Gallon Summary'!AA41:AA43)</f>
        <v>33362748.160723306</v>
      </c>
      <c r="AB21" s="31"/>
      <c r="AC21" s="77">
        <f t="shared" ref="AC21:AC22" si="9">P21/P20-1</f>
        <v>-0.41564045669723393</v>
      </c>
      <c r="AD21" s="26">
        <f t="shared" si="8"/>
        <v>-0.37182917021645456</v>
      </c>
    </row>
    <row r="22" spans="1:30">
      <c r="A22" s="14" t="s">
        <v>171</v>
      </c>
      <c r="B22" s="18">
        <f>SUM('Monthly Gallon Summary'!B44:B46)</f>
        <v>7552194</v>
      </c>
      <c r="C22" s="18">
        <f>SUM('Monthly Gallon Summary'!C44:C46)</f>
        <v>18137737</v>
      </c>
      <c r="D22" s="18">
        <f>SUM('Monthly Gallon Summary'!D44:D46)</f>
        <v>3355422</v>
      </c>
      <c r="E22" s="18">
        <f>SUM('Monthly Gallon Summary'!E44:E46)</f>
        <v>96632065</v>
      </c>
      <c r="F22" s="18">
        <f>SUM('Monthly Gallon Summary'!F44:F46)</f>
        <v>78698288</v>
      </c>
      <c r="G22" s="18">
        <f>SUM('Monthly Gallon Summary'!G44:G46)</f>
        <v>121340177</v>
      </c>
      <c r="H22" s="18">
        <f>SUM('Monthly Gallon Summary'!H44:H46)</f>
        <v>278757875</v>
      </c>
      <c r="I22" s="18">
        <f>SUM('Monthly Gallon Summary'!I44:I46)</f>
        <v>92184668</v>
      </c>
      <c r="J22" s="18">
        <f>SUM('Monthly Gallon Summary'!J44:J46)</f>
        <v>62842713</v>
      </c>
      <c r="K22" s="18">
        <f>SUM('Monthly Gallon Summary'!K44:K46)</f>
        <v>53335474</v>
      </c>
      <c r="L22" s="18">
        <f>SUM('Monthly Gallon Summary'!L44:L46)</f>
        <v>61231694</v>
      </c>
      <c r="M22" s="18">
        <f>SUM('Monthly Gallon Summary'!M44:M46)</f>
        <v>90631665</v>
      </c>
      <c r="N22" s="18">
        <f>SUM('Monthly Gallon Summary'!N44:N46)</f>
        <v>94157236</v>
      </c>
      <c r="O22" s="18">
        <f>SUM('Monthly Gallon Summary'!O44:O46)</f>
        <v>168441628</v>
      </c>
      <c r="P22" s="18">
        <f>SUM('Monthly Gallon Summary'!P44:P46)</f>
        <v>81029716</v>
      </c>
      <c r="Q22" s="19">
        <f>SUM('Monthly Gallon Summary'!Q44:Q46)</f>
        <v>164160237.29510263</v>
      </c>
      <c r="R22" s="19">
        <f>SUM('Monthly Gallon Summary'!R44:R46)</f>
        <v>66729312.389018014</v>
      </c>
      <c r="S22" s="19">
        <f>SUM('Monthly Gallon Summary'!S44:S46)</f>
        <v>68159002.508271411</v>
      </c>
      <c r="T22" s="19">
        <f>SUM('Monthly Gallon Summary'!T44:T46)</f>
        <v>73323768.147451594</v>
      </c>
      <c r="U22" s="19">
        <f>SUM('Monthly Gallon Summary'!U44:U46)</f>
        <v>73994548.028597817</v>
      </c>
      <c r="V22" s="19">
        <f>SUM('Monthly Gallon Summary'!V44:V46)</f>
        <v>87747333.098069727</v>
      </c>
      <c r="W22" s="19">
        <f>SUM('Monthly Gallon Summary'!W44:W46)</f>
        <v>73292766.486788452</v>
      </c>
      <c r="X22" s="19">
        <f>SUM('Monthly Gallon Summary'!X44:X46)</f>
        <v>66239175.436244465</v>
      </c>
      <c r="Y22" s="19">
        <f>SUM('Monthly Gallon Summary'!Y44:Y46)</f>
        <v>63016417.21073585</v>
      </c>
      <c r="Z22" s="19">
        <f>SUM('Monthly Gallon Summary'!Z44:Z46)</f>
        <v>61893972.859782875</v>
      </c>
      <c r="AA22" s="19">
        <f>SUM('Monthly Gallon Summary'!AA44:AA46)</f>
        <v>57208473.517420709</v>
      </c>
      <c r="AB22" s="31"/>
      <c r="AC22" s="77">
        <f t="shared" si="9"/>
        <v>0.10087125916949291</v>
      </c>
      <c r="AD22" s="26">
        <f t="shared" si="8"/>
        <v>-0.51894482995616742</v>
      </c>
    </row>
    <row r="23" spans="1:30">
      <c r="A23" s="14" t="s">
        <v>29</v>
      </c>
      <c r="B23" s="18">
        <f t="shared" ref="B23:J23" si="10">SUM(B19:B22)</f>
        <v>12487506</v>
      </c>
      <c r="C23" s="18">
        <f t="shared" si="10"/>
        <v>44459572</v>
      </c>
      <c r="D23" s="18">
        <f t="shared" si="10"/>
        <v>33446862</v>
      </c>
      <c r="E23" s="18">
        <f t="shared" si="10"/>
        <v>183796374</v>
      </c>
      <c r="F23" s="18">
        <f t="shared" si="10"/>
        <v>181510081</v>
      </c>
      <c r="G23" s="18">
        <f t="shared" si="10"/>
        <v>335664856</v>
      </c>
      <c r="H23" s="18">
        <f t="shared" si="10"/>
        <v>674168317</v>
      </c>
      <c r="I23" s="18">
        <f t="shared" si="10"/>
        <v>461914644</v>
      </c>
      <c r="J23" s="18">
        <f t="shared" si="10"/>
        <v>175141321</v>
      </c>
      <c r="K23" s="18">
        <f>SUM(K19:K22)</f>
        <v>184741553</v>
      </c>
      <c r="L23" s="18">
        <f t="shared" ref="L23:AA23" si="11">SUM(L19:L22)</f>
        <v>209493674</v>
      </c>
      <c r="M23" s="18">
        <f t="shared" si="11"/>
        <v>208450727</v>
      </c>
      <c r="N23" s="18">
        <f t="shared" si="11"/>
        <v>240324591</v>
      </c>
      <c r="O23" s="18">
        <f t="shared" si="11"/>
        <v>511346651</v>
      </c>
      <c r="P23" s="18">
        <f t="shared" si="11"/>
        <v>404283732</v>
      </c>
      <c r="Q23" s="19">
        <f t="shared" si="11"/>
        <v>340000000</v>
      </c>
      <c r="R23" s="19">
        <f t="shared" si="11"/>
        <v>190000000</v>
      </c>
      <c r="S23" s="19">
        <f t="shared" si="11"/>
        <v>200000000</v>
      </c>
      <c r="T23" s="19">
        <f t="shared" si="11"/>
        <v>220000000</v>
      </c>
      <c r="U23" s="19">
        <f t="shared" si="11"/>
        <v>220000000</v>
      </c>
      <c r="V23" s="19">
        <f t="shared" si="11"/>
        <v>230000000.00000006</v>
      </c>
      <c r="W23" s="19">
        <f t="shared" si="11"/>
        <v>209999999.99999997</v>
      </c>
      <c r="X23" s="19">
        <f t="shared" si="11"/>
        <v>190000000</v>
      </c>
      <c r="Y23" s="19">
        <f t="shared" si="11"/>
        <v>180000000</v>
      </c>
      <c r="Z23" s="19">
        <f t="shared" si="11"/>
        <v>175000000</v>
      </c>
      <c r="AA23" s="19">
        <f t="shared" si="11"/>
        <v>160000000</v>
      </c>
      <c r="AB23" s="31"/>
      <c r="AC23" s="77">
        <f>P23/AVERAGE(K23:O23)-1</f>
        <v>0.49252993668887335</v>
      </c>
      <c r="AD23" s="26">
        <f t="shared" si="8"/>
        <v>-0.20937444058864096</v>
      </c>
    </row>
    <row r="24" spans="1:30">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row>
    <row r="25" spans="1:30" ht="15.75">
      <c r="A25" s="76" t="s">
        <v>100</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476">
        <v>2024</v>
      </c>
      <c r="AD25" s="476"/>
    </row>
    <row r="26" spans="1:30">
      <c r="B26" s="14">
        <f>B2</f>
        <v>2010</v>
      </c>
      <c r="C26" s="14">
        <f t="shared" ref="C26:AA26" si="12">C2</f>
        <v>2011</v>
      </c>
      <c r="D26" s="14">
        <f t="shared" si="12"/>
        <v>2012</v>
      </c>
      <c r="E26" s="14">
        <f t="shared" si="12"/>
        <v>2013</v>
      </c>
      <c r="F26" s="14">
        <f t="shared" si="12"/>
        <v>2014</v>
      </c>
      <c r="G26" s="14">
        <f t="shared" si="12"/>
        <v>2015</v>
      </c>
      <c r="H26" s="14">
        <f t="shared" si="12"/>
        <v>2016</v>
      </c>
      <c r="I26" s="14">
        <f t="shared" si="12"/>
        <v>2017</v>
      </c>
      <c r="J26" s="14">
        <f t="shared" si="12"/>
        <v>2018</v>
      </c>
      <c r="K26" s="14">
        <f t="shared" si="12"/>
        <v>2019</v>
      </c>
      <c r="L26" s="14">
        <f t="shared" si="12"/>
        <v>2020</v>
      </c>
      <c r="M26" s="14">
        <f t="shared" si="12"/>
        <v>2021</v>
      </c>
      <c r="N26" s="14">
        <f t="shared" si="12"/>
        <v>2022</v>
      </c>
      <c r="O26" s="14">
        <f t="shared" si="12"/>
        <v>2023</v>
      </c>
      <c r="P26" s="14">
        <f t="shared" si="12"/>
        <v>2024</v>
      </c>
      <c r="Q26" s="14">
        <f t="shared" si="12"/>
        <v>2025</v>
      </c>
      <c r="R26" s="14">
        <f t="shared" si="12"/>
        <v>2026</v>
      </c>
      <c r="S26" s="14">
        <f t="shared" si="12"/>
        <v>2027</v>
      </c>
      <c r="T26" s="14">
        <f t="shared" si="12"/>
        <v>2028</v>
      </c>
      <c r="U26" s="14">
        <f t="shared" si="12"/>
        <v>2029</v>
      </c>
      <c r="V26" s="14">
        <f t="shared" si="12"/>
        <v>2030</v>
      </c>
      <c r="W26" s="14">
        <f t="shared" si="12"/>
        <v>2031</v>
      </c>
      <c r="X26" s="14">
        <f t="shared" si="12"/>
        <v>2032</v>
      </c>
      <c r="Y26" s="14">
        <f t="shared" si="12"/>
        <v>2033</v>
      </c>
      <c r="Z26" s="14">
        <f t="shared" si="12"/>
        <v>2034</v>
      </c>
      <c r="AA26" s="14">
        <f t="shared" si="12"/>
        <v>2035</v>
      </c>
      <c r="AB26" s="14"/>
      <c r="AC26" s="14" t="s">
        <v>166</v>
      </c>
      <c r="AD26" s="14" t="s">
        <v>167</v>
      </c>
    </row>
    <row r="27" spans="1:30">
      <c r="A27" s="14" t="s">
        <v>168</v>
      </c>
      <c r="B27" s="18">
        <f>SUM('Monthly Gallon Summary'!B51:B53)</f>
        <v>0</v>
      </c>
      <c r="C27" s="18">
        <f>SUM('Monthly Gallon Summary'!C51:C53)</f>
        <v>0</v>
      </c>
      <c r="D27" s="18">
        <f>SUM('Monthly Gallon Summary'!D51:D53)</f>
        <v>1215984</v>
      </c>
      <c r="E27" s="18">
        <f>SUM('Monthly Gallon Summary'!E51:E53)</f>
        <v>0</v>
      </c>
      <c r="F27" s="18">
        <f>SUM('Monthly Gallon Summary'!F51:F53)</f>
        <v>0</v>
      </c>
      <c r="G27" s="18">
        <f>SUM('Monthly Gallon Summary'!G51:G53)</f>
        <v>0</v>
      </c>
      <c r="H27" s="18">
        <f>SUM('Monthly Gallon Summary'!H51:H53)</f>
        <v>0</v>
      </c>
      <c r="I27" s="18">
        <f>SUM('Monthly Gallon Summary'!I51:I53)</f>
        <v>0</v>
      </c>
      <c r="J27" s="18">
        <f>SUM('Monthly Gallon Summary'!J51:J53)</f>
        <v>0</v>
      </c>
      <c r="K27" s="18">
        <f>SUM('Monthly Gallon Summary'!K51:K53)</f>
        <v>0</v>
      </c>
      <c r="L27" s="18">
        <f>SUM('Monthly Gallon Summary'!L51:L53)</f>
        <v>0</v>
      </c>
      <c r="M27" s="18">
        <f>SUM('Monthly Gallon Summary'!M51:M53)</f>
        <v>0</v>
      </c>
      <c r="N27" s="18">
        <f>SUM('Monthly Gallon Summary'!N51:N53)</f>
        <v>0</v>
      </c>
      <c r="O27" s="18">
        <f>SUM('Monthly Gallon Summary'!O51:O53)</f>
        <v>0</v>
      </c>
      <c r="P27" s="18">
        <f>SUM('Monthly Gallon Summary'!P51:P53)</f>
        <v>0</v>
      </c>
      <c r="Q27" s="18">
        <f>SUM('Monthly Gallon Summary'!Q51:Q53)</f>
        <v>0</v>
      </c>
      <c r="R27" s="19">
        <f>SUM('Monthly Gallon Summary'!R51:R53)</f>
        <v>0</v>
      </c>
      <c r="S27" s="19">
        <f>SUM('Monthly Gallon Summary'!S51:S53)</f>
        <v>0</v>
      </c>
      <c r="T27" s="19">
        <f>SUM('Monthly Gallon Summary'!T51:T53)</f>
        <v>0</v>
      </c>
      <c r="U27" s="19">
        <f>SUM('Monthly Gallon Summary'!U51:U53)</f>
        <v>0</v>
      </c>
      <c r="V27" s="19">
        <f>SUM('Monthly Gallon Summary'!V51:V53)</f>
        <v>0</v>
      </c>
      <c r="W27" s="19">
        <f>SUM('Monthly Gallon Summary'!W51:W53)</f>
        <v>0</v>
      </c>
      <c r="X27" s="19">
        <f>SUM('Monthly Gallon Summary'!X51:X53)</f>
        <v>0</v>
      </c>
      <c r="Y27" s="19">
        <f>SUM('Monthly Gallon Summary'!Y51:Y53)</f>
        <v>0</v>
      </c>
      <c r="Z27" s="19">
        <f>SUM('Monthly Gallon Summary'!Z51:Z53)</f>
        <v>0</v>
      </c>
      <c r="AA27" s="19">
        <f>SUM('Monthly Gallon Summary'!AA51:AA53)</f>
        <v>0</v>
      </c>
      <c r="AB27" s="31"/>
      <c r="AC27" s="26" t="e">
        <f>P27/O30-1</f>
        <v>#DIV/0!</v>
      </c>
      <c r="AD27" s="26" t="e">
        <f>P27/O27-1</f>
        <v>#DIV/0!</v>
      </c>
    </row>
    <row r="28" spans="1:30">
      <c r="A28" s="14" t="s">
        <v>169</v>
      </c>
      <c r="B28" s="18">
        <f>SUM('Monthly Gallon Summary'!B54:B56)</f>
        <v>0</v>
      </c>
      <c r="C28" s="18">
        <f>SUM('Monthly Gallon Summary'!C54:C56)</f>
        <v>0</v>
      </c>
      <c r="D28" s="18">
        <f>SUM('Monthly Gallon Summary'!D54:D56)</f>
        <v>4864398</v>
      </c>
      <c r="E28" s="18">
        <f>SUM('Monthly Gallon Summary'!E54:E56)</f>
        <v>0</v>
      </c>
      <c r="F28" s="18">
        <f>SUM('Monthly Gallon Summary'!F54:F56)</f>
        <v>0</v>
      </c>
      <c r="G28" s="18">
        <f>SUM('Monthly Gallon Summary'!G54:G56)</f>
        <v>0</v>
      </c>
      <c r="H28" s="18">
        <f>SUM('Monthly Gallon Summary'!H54:H56)</f>
        <v>0</v>
      </c>
      <c r="I28" s="18">
        <f>SUM('Monthly Gallon Summary'!I54:I56)</f>
        <v>0</v>
      </c>
      <c r="J28" s="18">
        <f>SUM('Monthly Gallon Summary'!J54:J56)</f>
        <v>0</v>
      </c>
      <c r="K28" s="18">
        <f>SUM('Monthly Gallon Summary'!K54:K56)</f>
        <v>0</v>
      </c>
      <c r="L28" s="18">
        <f>SUM('Monthly Gallon Summary'!L54:L56)</f>
        <v>0</v>
      </c>
      <c r="M28" s="18">
        <f>SUM('Monthly Gallon Summary'!M54:M56)</f>
        <v>0</v>
      </c>
      <c r="N28" s="18">
        <f>SUM('Monthly Gallon Summary'!N54:N56)</f>
        <v>0</v>
      </c>
      <c r="O28" s="18">
        <f>SUM('Monthly Gallon Summary'!O54:O56)</f>
        <v>0</v>
      </c>
      <c r="P28" s="18">
        <f>SUM('Monthly Gallon Summary'!P54:P56)</f>
        <v>0</v>
      </c>
      <c r="Q28" s="19">
        <f>SUM('Monthly Gallon Summary'!Q54:Q56)</f>
        <v>0</v>
      </c>
      <c r="R28" s="19">
        <f>SUM('Monthly Gallon Summary'!R54:R56)</f>
        <v>0</v>
      </c>
      <c r="S28" s="19">
        <f>SUM('Monthly Gallon Summary'!S54:S56)</f>
        <v>0</v>
      </c>
      <c r="T28" s="19">
        <f>SUM('Monthly Gallon Summary'!T54:T56)</f>
        <v>0</v>
      </c>
      <c r="U28" s="19">
        <f>SUM('Monthly Gallon Summary'!U54:U56)</f>
        <v>0</v>
      </c>
      <c r="V28" s="19">
        <f>SUM('Monthly Gallon Summary'!V54:V56)</f>
        <v>0</v>
      </c>
      <c r="W28" s="19">
        <f>SUM('Monthly Gallon Summary'!W54:W56)</f>
        <v>0</v>
      </c>
      <c r="X28" s="19">
        <f>SUM('Monthly Gallon Summary'!X54:X56)</f>
        <v>0</v>
      </c>
      <c r="Y28" s="19">
        <f>SUM('Monthly Gallon Summary'!Y54:Y56)</f>
        <v>0</v>
      </c>
      <c r="Z28" s="19">
        <f>SUM('Monthly Gallon Summary'!Z54:Z56)</f>
        <v>0</v>
      </c>
      <c r="AA28" s="19">
        <f>SUM('Monthly Gallon Summary'!AA54:AA56)</f>
        <v>0</v>
      </c>
      <c r="AB28" s="31"/>
      <c r="AC28" s="77" t="e">
        <f>P28/P27-1</f>
        <v>#DIV/0!</v>
      </c>
      <c r="AD28" s="26" t="e">
        <f t="shared" ref="AD28:AD31" si="13">P28/O28-1</f>
        <v>#DIV/0!</v>
      </c>
    </row>
    <row r="29" spans="1:30">
      <c r="A29" s="14" t="s">
        <v>170</v>
      </c>
      <c r="B29" s="18">
        <f>SUM('Monthly Gallon Summary'!B57:B59)</f>
        <v>0</v>
      </c>
      <c r="C29" s="18">
        <f>SUM('Monthly Gallon Summary'!C57:C59)</f>
        <v>0</v>
      </c>
      <c r="D29" s="18">
        <f>SUM('Monthly Gallon Summary'!D57:D59)</f>
        <v>0</v>
      </c>
      <c r="E29" s="18">
        <f>SUM('Monthly Gallon Summary'!E57:E59)</f>
        <v>1511102</v>
      </c>
      <c r="F29" s="18">
        <f>SUM('Monthly Gallon Summary'!F57:F59)</f>
        <v>0</v>
      </c>
      <c r="G29" s="18">
        <f>SUM('Monthly Gallon Summary'!G57:G59)</f>
        <v>0</v>
      </c>
      <c r="H29" s="18">
        <f>SUM('Monthly Gallon Summary'!H57:H59)</f>
        <v>0</v>
      </c>
      <c r="I29" s="18">
        <f>SUM('Monthly Gallon Summary'!I57:I59)</f>
        <v>0</v>
      </c>
      <c r="J29" s="18">
        <f>SUM('Monthly Gallon Summary'!J57:J59)</f>
        <v>0</v>
      </c>
      <c r="K29" s="18">
        <f>SUM('Monthly Gallon Summary'!K57:K59)</f>
        <v>0</v>
      </c>
      <c r="L29" s="18">
        <f>SUM('Monthly Gallon Summary'!L57:L59)</f>
        <v>0</v>
      </c>
      <c r="M29" s="18">
        <f>SUM('Monthly Gallon Summary'!M57:M59)</f>
        <v>0</v>
      </c>
      <c r="N29" s="18">
        <f>SUM('Monthly Gallon Summary'!N57:N59)</f>
        <v>0</v>
      </c>
      <c r="O29" s="18">
        <f>SUM('Monthly Gallon Summary'!O57:O59)</f>
        <v>0</v>
      </c>
      <c r="P29" s="18">
        <f>SUM('Monthly Gallon Summary'!P57:P59)</f>
        <v>0</v>
      </c>
      <c r="Q29" s="19">
        <f>SUM('Monthly Gallon Summary'!Q57:Q59)</f>
        <v>0</v>
      </c>
      <c r="R29" s="19">
        <f>SUM('Monthly Gallon Summary'!R57:R59)</f>
        <v>0</v>
      </c>
      <c r="S29" s="19">
        <f>SUM('Monthly Gallon Summary'!S57:S59)</f>
        <v>0</v>
      </c>
      <c r="T29" s="19">
        <f>SUM('Monthly Gallon Summary'!T57:T59)</f>
        <v>0</v>
      </c>
      <c r="U29" s="19">
        <f>SUM('Monthly Gallon Summary'!U57:U59)</f>
        <v>0</v>
      </c>
      <c r="V29" s="19">
        <f>SUM('Monthly Gallon Summary'!V57:V59)</f>
        <v>0</v>
      </c>
      <c r="W29" s="19">
        <f>SUM('Monthly Gallon Summary'!W57:W59)</f>
        <v>0</v>
      </c>
      <c r="X29" s="19">
        <f>SUM('Monthly Gallon Summary'!X57:X59)</f>
        <v>0</v>
      </c>
      <c r="Y29" s="19">
        <f>SUM('Monthly Gallon Summary'!Y57:Y59)</f>
        <v>0</v>
      </c>
      <c r="Z29" s="19">
        <f>SUM('Monthly Gallon Summary'!Z57:Z59)</f>
        <v>0</v>
      </c>
      <c r="AA29" s="19">
        <f>SUM('Monthly Gallon Summary'!AA57:AA59)</f>
        <v>0</v>
      </c>
      <c r="AB29" s="31"/>
      <c r="AC29" s="77" t="e">
        <f t="shared" ref="AC29:AC30" si="14">P29/P28-1</f>
        <v>#DIV/0!</v>
      </c>
      <c r="AD29" s="26" t="e">
        <f t="shared" si="13"/>
        <v>#DIV/0!</v>
      </c>
    </row>
    <row r="30" spans="1:30">
      <c r="A30" s="14" t="s">
        <v>171</v>
      </c>
      <c r="B30" s="18">
        <f>SUM('Monthly Gallon Summary'!B60:B62)</f>
        <v>0</v>
      </c>
      <c r="C30" s="18">
        <f>SUM('Monthly Gallon Summary'!C60:C62)</f>
        <v>0</v>
      </c>
      <c r="D30" s="18">
        <f>SUM('Monthly Gallon Summary'!D60:D62)</f>
        <v>701526</v>
      </c>
      <c r="E30" s="18">
        <f>SUM('Monthly Gallon Summary'!E60:E62)</f>
        <v>1279661</v>
      </c>
      <c r="F30" s="18">
        <f>SUM('Monthly Gallon Summary'!F60:F62)</f>
        <v>0</v>
      </c>
      <c r="G30" s="18">
        <f>SUM('Monthly Gallon Summary'!G60:G62)</f>
        <v>0</v>
      </c>
      <c r="H30" s="18">
        <f>SUM('Monthly Gallon Summary'!H60:H62)</f>
        <v>0</v>
      </c>
      <c r="I30" s="18">
        <f>SUM('Monthly Gallon Summary'!I60:I62)</f>
        <v>0</v>
      </c>
      <c r="J30" s="18">
        <f>SUM('Monthly Gallon Summary'!J60:J62)</f>
        <v>0</v>
      </c>
      <c r="K30" s="18">
        <f>SUM('Monthly Gallon Summary'!K60:K62)</f>
        <v>0</v>
      </c>
      <c r="L30" s="18">
        <f>SUM('Monthly Gallon Summary'!L60:L62)</f>
        <v>0</v>
      </c>
      <c r="M30" s="18">
        <f>SUM('Monthly Gallon Summary'!M60:M62)</f>
        <v>0</v>
      </c>
      <c r="N30" s="18">
        <f>SUM('Monthly Gallon Summary'!N60:N62)</f>
        <v>0</v>
      </c>
      <c r="O30" s="18">
        <f>SUM('Monthly Gallon Summary'!O60:O62)</f>
        <v>0</v>
      </c>
      <c r="P30" s="18">
        <f>SUM('Monthly Gallon Summary'!P60:P62)</f>
        <v>0</v>
      </c>
      <c r="Q30" s="19">
        <f>SUM('Monthly Gallon Summary'!Q60:Q62)</f>
        <v>0</v>
      </c>
      <c r="R30" s="19">
        <f>SUM('Monthly Gallon Summary'!R60:R62)</f>
        <v>0</v>
      </c>
      <c r="S30" s="19">
        <f>SUM('Monthly Gallon Summary'!S60:S62)</f>
        <v>0</v>
      </c>
      <c r="T30" s="19">
        <f>SUM('Monthly Gallon Summary'!T60:T62)</f>
        <v>0</v>
      </c>
      <c r="U30" s="19">
        <f>SUM('Monthly Gallon Summary'!U60:U62)</f>
        <v>0</v>
      </c>
      <c r="V30" s="19">
        <f>SUM('Monthly Gallon Summary'!V60:V62)</f>
        <v>0</v>
      </c>
      <c r="W30" s="19">
        <f>SUM('Monthly Gallon Summary'!W60:W62)</f>
        <v>0</v>
      </c>
      <c r="X30" s="19">
        <f>SUM('Monthly Gallon Summary'!X60:X62)</f>
        <v>0</v>
      </c>
      <c r="Y30" s="19">
        <f>SUM('Monthly Gallon Summary'!Y60:Y62)</f>
        <v>0</v>
      </c>
      <c r="Z30" s="19">
        <f>SUM('Monthly Gallon Summary'!Z60:Z62)</f>
        <v>0</v>
      </c>
      <c r="AA30" s="19">
        <f>SUM('Monthly Gallon Summary'!AA60:AA62)</f>
        <v>0</v>
      </c>
      <c r="AB30" s="31"/>
      <c r="AC30" s="77" t="e">
        <f t="shared" si="14"/>
        <v>#DIV/0!</v>
      </c>
      <c r="AD30" s="26" t="e">
        <f t="shared" si="13"/>
        <v>#DIV/0!</v>
      </c>
    </row>
    <row r="31" spans="1:30">
      <c r="A31" s="14" t="s">
        <v>29</v>
      </c>
      <c r="B31" s="18">
        <f t="shared" ref="B31:J31" si="15">SUM(B27:B30)</f>
        <v>0</v>
      </c>
      <c r="C31" s="18">
        <f t="shared" si="15"/>
        <v>0</v>
      </c>
      <c r="D31" s="18">
        <f t="shared" si="15"/>
        <v>6781908</v>
      </c>
      <c r="E31" s="18">
        <f t="shared" si="15"/>
        <v>2790763</v>
      </c>
      <c r="F31" s="18">
        <f t="shared" si="15"/>
        <v>0</v>
      </c>
      <c r="G31" s="18">
        <f t="shared" si="15"/>
        <v>0</v>
      </c>
      <c r="H31" s="18">
        <f t="shared" si="15"/>
        <v>0</v>
      </c>
      <c r="I31" s="18">
        <f t="shared" si="15"/>
        <v>0</v>
      </c>
      <c r="J31" s="18">
        <f t="shared" si="15"/>
        <v>0</v>
      </c>
      <c r="K31" s="18">
        <f>SUM(K27:K30)</f>
        <v>0</v>
      </c>
      <c r="L31" s="18">
        <f t="shared" ref="L31:AA31" si="16">SUM(L27:L30)</f>
        <v>0</v>
      </c>
      <c r="M31" s="18">
        <f t="shared" si="16"/>
        <v>0</v>
      </c>
      <c r="N31" s="18">
        <f t="shared" si="16"/>
        <v>0</v>
      </c>
      <c r="O31" s="18">
        <f t="shared" si="16"/>
        <v>0</v>
      </c>
      <c r="P31" s="18">
        <f t="shared" si="16"/>
        <v>0</v>
      </c>
      <c r="Q31" s="19">
        <f t="shared" si="16"/>
        <v>0</v>
      </c>
      <c r="R31" s="19">
        <f t="shared" si="16"/>
        <v>0</v>
      </c>
      <c r="S31" s="19">
        <f t="shared" si="16"/>
        <v>0</v>
      </c>
      <c r="T31" s="19">
        <f t="shared" si="16"/>
        <v>0</v>
      </c>
      <c r="U31" s="19">
        <f t="shared" si="16"/>
        <v>0</v>
      </c>
      <c r="V31" s="19">
        <f t="shared" si="16"/>
        <v>0</v>
      </c>
      <c r="W31" s="19">
        <f t="shared" si="16"/>
        <v>0</v>
      </c>
      <c r="X31" s="19">
        <f t="shared" si="16"/>
        <v>0</v>
      </c>
      <c r="Y31" s="19">
        <f t="shared" si="16"/>
        <v>0</v>
      </c>
      <c r="Z31" s="19">
        <f t="shared" si="16"/>
        <v>0</v>
      </c>
      <c r="AA31" s="19">
        <f t="shared" si="16"/>
        <v>0</v>
      </c>
      <c r="AB31" s="31"/>
      <c r="AC31" s="77" t="e">
        <f>P31/AVERAGE(K31:O31)-1</f>
        <v>#DIV/0!</v>
      </c>
      <c r="AD31" s="26" t="e">
        <f t="shared" si="13"/>
        <v>#DIV/0!</v>
      </c>
    </row>
    <row r="33" spans="1:30" ht="15.75">
      <c r="A33" s="76" t="s">
        <v>101</v>
      </c>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476">
        <v>2024</v>
      </c>
      <c r="AD33" s="476"/>
    </row>
    <row r="34" spans="1:30">
      <c r="B34" s="14">
        <f>B2</f>
        <v>2010</v>
      </c>
      <c r="C34" s="14">
        <f t="shared" ref="C34:AA34" si="17">C2</f>
        <v>2011</v>
      </c>
      <c r="D34" s="14">
        <f t="shared" si="17"/>
        <v>2012</v>
      </c>
      <c r="E34" s="14">
        <f t="shared" si="17"/>
        <v>2013</v>
      </c>
      <c r="F34" s="14">
        <f t="shared" si="17"/>
        <v>2014</v>
      </c>
      <c r="G34" s="14">
        <f t="shared" si="17"/>
        <v>2015</v>
      </c>
      <c r="H34" s="14">
        <f t="shared" si="17"/>
        <v>2016</v>
      </c>
      <c r="I34" s="14">
        <f t="shared" si="17"/>
        <v>2017</v>
      </c>
      <c r="J34" s="14">
        <f t="shared" si="17"/>
        <v>2018</v>
      </c>
      <c r="K34" s="14">
        <f t="shared" si="17"/>
        <v>2019</v>
      </c>
      <c r="L34" s="14">
        <f t="shared" si="17"/>
        <v>2020</v>
      </c>
      <c r="M34" s="14">
        <f t="shared" si="17"/>
        <v>2021</v>
      </c>
      <c r="N34" s="14">
        <f t="shared" si="17"/>
        <v>2022</v>
      </c>
      <c r="O34" s="14">
        <f t="shared" si="17"/>
        <v>2023</v>
      </c>
      <c r="P34" s="14">
        <f t="shared" si="17"/>
        <v>2024</v>
      </c>
      <c r="Q34" s="14">
        <f t="shared" si="17"/>
        <v>2025</v>
      </c>
      <c r="R34" s="14">
        <f t="shared" si="17"/>
        <v>2026</v>
      </c>
      <c r="S34" s="14">
        <f t="shared" si="17"/>
        <v>2027</v>
      </c>
      <c r="T34" s="14">
        <f t="shared" si="17"/>
        <v>2028</v>
      </c>
      <c r="U34" s="14">
        <f t="shared" si="17"/>
        <v>2029</v>
      </c>
      <c r="V34" s="14">
        <f t="shared" si="17"/>
        <v>2030</v>
      </c>
      <c r="W34" s="14">
        <f t="shared" si="17"/>
        <v>2031</v>
      </c>
      <c r="X34" s="14">
        <f t="shared" si="17"/>
        <v>2032</v>
      </c>
      <c r="Y34" s="14">
        <f t="shared" si="17"/>
        <v>2033</v>
      </c>
      <c r="Z34" s="14">
        <f t="shared" si="17"/>
        <v>2034</v>
      </c>
      <c r="AA34" s="14">
        <f t="shared" si="17"/>
        <v>2035</v>
      </c>
      <c r="AB34" s="14"/>
      <c r="AC34" s="14" t="s">
        <v>166</v>
      </c>
      <c r="AD34" s="14" t="s">
        <v>167</v>
      </c>
    </row>
    <row r="35" spans="1:30">
      <c r="A35" s="14" t="s">
        <v>168</v>
      </c>
      <c r="B35" s="18">
        <f>SUM('Monthly Gallon Summary'!B67:B69)</f>
        <v>0</v>
      </c>
      <c r="C35" s="18">
        <f>SUM('Monthly Gallon Summary'!C67:C69)</f>
        <v>8541444</v>
      </c>
      <c r="D35" s="18">
        <f>SUM('Monthly Gallon Summary'!D67:D69)</f>
        <v>15879546</v>
      </c>
      <c r="E35" s="18">
        <f>SUM('Monthly Gallon Summary'!E67:E69)</f>
        <v>31807830</v>
      </c>
      <c r="F35" s="18">
        <f>SUM('Monthly Gallon Summary'!F67:F69)</f>
        <v>142699052</v>
      </c>
      <c r="G35" s="18">
        <f>SUM('Monthly Gallon Summary'!G67:G69)</f>
        <v>128947261</v>
      </c>
      <c r="H35" s="18">
        <f>SUM('Monthly Gallon Summary'!H67:H69)</f>
        <v>113606162</v>
      </c>
      <c r="I35" s="18">
        <f>SUM('Monthly Gallon Summary'!I67:I69)</f>
        <v>141059993</v>
      </c>
      <c r="J35" s="18">
        <f>SUM('Monthly Gallon Summary'!J67:J69)</f>
        <v>148898894</v>
      </c>
      <c r="K35" s="18">
        <f>SUM('Monthly Gallon Summary'!K67:K69)</f>
        <v>206234086</v>
      </c>
      <c r="L35" s="18">
        <f>SUM('Monthly Gallon Summary'!L67:L69)</f>
        <v>238525101</v>
      </c>
      <c r="M35" s="18">
        <f>SUM('Monthly Gallon Summary'!M67:M69)</f>
        <v>278456673</v>
      </c>
      <c r="N35" s="18">
        <f>SUM('Monthly Gallon Summary'!N67:N69)</f>
        <v>409642085</v>
      </c>
      <c r="O35" s="18">
        <f>SUM('Monthly Gallon Summary'!O67:O69)</f>
        <v>590082683</v>
      </c>
      <c r="P35" s="18">
        <f>SUM('Monthly Gallon Summary'!P67:P69)</f>
        <v>782601500</v>
      </c>
      <c r="Q35" s="18">
        <f>SUM('Monthly Gallon Summary'!Q67:Q69)</f>
        <v>652980579</v>
      </c>
      <c r="R35" s="19">
        <f>SUM('Monthly Gallon Summary'!R67:R69)</f>
        <v>630522994.55303681</v>
      </c>
      <c r="S35" s="19">
        <f>SUM('Monthly Gallon Summary'!S67:S69)</f>
        <v>682041615.56697392</v>
      </c>
      <c r="T35" s="19">
        <f>SUM('Monthly Gallon Summary'!T67:T69)</f>
        <v>687603553.58179486</v>
      </c>
      <c r="U35" s="19">
        <f>SUM('Monthly Gallon Summary'!U67:U69)</f>
        <v>687804563.80905187</v>
      </c>
      <c r="V35" s="19">
        <f>SUM('Monthly Gallon Summary'!V67:V69)</f>
        <v>708172445.98368275</v>
      </c>
      <c r="W35" s="19">
        <f>SUM('Monthly Gallon Summary'!W67:W69)</f>
        <v>769627874.28175282</v>
      </c>
      <c r="X35" s="19">
        <f>SUM('Monthly Gallon Summary'!X67:X69)</f>
        <v>898993311.7123394</v>
      </c>
      <c r="Y35" s="19">
        <f>SUM('Monthly Gallon Summary'!Y67:Y69)</f>
        <v>892520667.40257895</v>
      </c>
      <c r="Z35" s="19">
        <f>SUM('Monthly Gallon Summary'!Z67:Z69)</f>
        <v>866901643.95745349</v>
      </c>
      <c r="AA35" s="19">
        <f>SUM('Monthly Gallon Summary'!AA67:AA69)</f>
        <v>916109443.678092</v>
      </c>
      <c r="AB35" s="31"/>
      <c r="AC35" s="26">
        <f>P35/O38-1</f>
        <v>-5.5729495576320787E-2</v>
      </c>
      <c r="AD35" s="26">
        <f>P35/O35-1</f>
        <v>0.32625735773371267</v>
      </c>
    </row>
    <row r="36" spans="1:30">
      <c r="A36" s="14" t="s">
        <v>169</v>
      </c>
      <c r="B36" s="18">
        <f>SUM('Monthly Gallon Summary'!B70:B72)</f>
        <v>0</v>
      </c>
      <c r="C36" s="18">
        <f>SUM('Monthly Gallon Summary'!C70:C72)</f>
        <v>14056277</v>
      </c>
      <c r="D36" s="18">
        <f>SUM('Monthly Gallon Summary'!D70:D72)</f>
        <v>17687939</v>
      </c>
      <c r="E36" s="18">
        <f>SUM('Monthly Gallon Summary'!E70:E72)</f>
        <v>72122911</v>
      </c>
      <c r="F36" s="18">
        <f>SUM('Monthly Gallon Summary'!F70:F72)</f>
        <v>145386437</v>
      </c>
      <c r="G36" s="18">
        <f>SUM('Monthly Gallon Summary'!G70:G72)</f>
        <v>131143834</v>
      </c>
      <c r="H36" s="18">
        <f>SUM('Monthly Gallon Summary'!H70:H72)</f>
        <v>160875305</v>
      </c>
      <c r="I36" s="18">
        <f>SUM('Monthly Gallon Summary'!I70:I72)</f>
        <v>149993898</v>
      </c>
      <c r="J36" s="18">
        <f>SUM('Monthly Gallon Summary'!J70:J72)</f>
        <v>151922005</v>
      </c>
      <c r="K36" s="18">
        <f>SUM('Monthly Gallon Summary'!K70:K72)</f>
        <v>226782640</v>
      </c>
      <c r="L36" s="18">
        <f>SUM('Monthly Gallon Summary'!L70:L72)</f>
        <v>230035021</v>
      </c>
      <c r="M36" s="18">
        <f>SUM('Monthly Gallon Summary'!M70:M72)</f>
        <v>305586158</v>
      </c>
      <c r="N36" s="18">
        <f>SUM('Monthly Gallon Summary'!N70:N72)</f>
        <v>481690472</v>
      </c>
      <c r="O36" s="18">
        <f>SUM('Monthly Gallon Summary'!O70:O72)</f>
        <v>744042378</v>
      </c>
      <c r="P36" s="18">
        <f>SUM('Monthly Gallon Summary'!P70:P72)</f>
        <v>899961203</v>
      </c>
      <c r="Q36" s="19">
        <f>SUM('Monthly Gallon Summary'!Q70:Q72)</f>
        <v>654851574.94845629</v>
      </c>
      <c r="R36" s="19">
        <f>SUM('Monthly Gallon Summary'!R70:R72)</f>
        <v>707150238.38474476</v>
      </c>
      <c r="S36" s="19">
        <f>SUM('Monthly Gallon Summary'!S70:S72)</f>
        <v>767937635.04051626</v>
      </c>
      <c r="T36" s="19">
        <f>SUM('Monthly Gallon Summary'!T70:T72)</f>
        <v>774427174.77139306</v>
      </c>
      <c r="U36" s="19">
        <f>SUM('Monthly Gallon Summary'!U70:U72)</f>
        <v>774309302.78265572</v>
      </c>
      <c r="V36" s="19">
        <f>SUM('Monthly Gallon Summary'!V70:V72)</f>
        <v>799740435.57344007</v>
      </c>
      <c r="W36" s="19">
        <f>SUM('Monthly Gallon Summary'!W70:W72)</f>
        <v>862975528.84325886</v>
      </c>
      <c r="X36" s="19">
        <f>SUM('Monthly Gallon Summary'!X70:X72)</f>
        <v>1006658422.6161262</v>
      </c>
      <c r="Y36" s="19">
        <f>SUM('Monthly Gallon Summary'!Y70:Y72)</f>
        <v>999181183.57076836</v>
      </c>
      <c r="Z36" s="19">
        <f>SUM('Monthly Gallon Summary'!Z70:Z72)</f>
        <v>970175877.95861447</v>
      </c>
      <c r="AA36" s="19">
        <f>SUM('Monthly Gallon Summary'!AA70:AA72)</f>
        <v>1024930876.570779</v>
      </c>
      <c r="AB36" s="31"/>
      <c r="AC36" s="77">
        <f>P36/P35-1</f>
        <v>0.14996099930807705</v>
      </c>
      <c r="AD36" s="26">
        <f t="shared" ref="AD36:AD39" si="18">P36/O36-1</f>
        <v>0.20955637690841322</v>
      </c>
    </row>
    <row r="37" spans="1:30">
      <c r="A37" s="14" t="s">
        <v>170</v>
      </c>
      <c r="B37" s="18">
        <f>SUM('Monthly Gallon Summary'!B73:B75)</f>
        <v>2019226</v>
      </c>
      <c r="C37" s="18">
        <f>SUM('Monthly Gallon Summary'!C73:C75)</f>
        <v>20810791</v>
      </c>
      <c r="D37" s="18">
        <f>SUM('Monthly Gallon Summary'!D73:D75)</f>
        <v>28428760</v>
      </c>
      <c r="E37" s="18">
        <f>SUM('Monthly Gallon Summary'!E73:E75)</f>
        <v>163751483</v>
      </c>
      <c r="F37" s="18">
        <f>SUM('Monthly Gallon Summary'!F73:F75)</f>
        <v>89021250</v>
      </c>
      <c r="G37" s="18">
        <f>SUM('Monthly Gallon Summary'!G73:G75)</f>
        <v>132562477</v>
      </c>
      <c r="H37" s="18">
        <f>SUM('Monthly Gallon Summary'!H73:H75)</f>
        <v>155303785</v>
      </c>
      <c r="I37" s="18">
        <f>SUM('Monthly Gallon Summary'!I73:I75)</f>
        <v>158037222</v>
      </c>
      <c r="J37" s="18">
        <f>SUM('Monthly Gallon Summary'!J73:J75)</f>
        <v>140694037</v>
      </c>
      <c r="K37" s="18">
        <f>SUM('Monthly Gallon Summary'!K73:K75)</f>
        <v>211787715</v>
      </c>
      <c r="L37" s="18">
        <f>SUM('Monthly Gallon Summary'!L73:L75)</f>
        <v>239995856</v>
      </c>
      <c r="M37" s="18">
        <f>SUM('Monthly Gallon Summary'!M73:M75)</f>
        <v>285002186</v>
      </c>
      <c r="N37" s="18">
        <f>SUM('Monthly Gallon Summary'!N73:N75)</f>
        <v>429586027</v>
      </c>
      <c r="O37" s="18">
        <f>SUM('Monthly Gallon Summary'!O73:O75)</f>
        <v>717173349</v>
      </c>
      <c r="P37" s="18">
        <f>SUM('Monthly Gallon Summary'!P73:P75)</f>
        <v>923910549</v>
      </c>
      <c r="Q37" s="19">
        <f>SUM('Monthly Gallon Summary'!Q73:Q75)</f>
        <v>634946256.2784493</v>
      </c>
      <c r="R37" s="19">
        <f>SUM('Monthly Gallon Summary'!R73:R75)</f>
        <v>694899095.79562092</v>
      </c>
      <c r="S37" s="19">
        <f>SUM('Monthly Gallon Summary'!S73:S75)</f>
        <v>757856895.16185915</v>
      </c>
      <c r="T37" s="19">
        <f>SUM('Monthly Gallon Summary'!T73:T75)</f>
        <v>769076611.41065371</v>
      </c>
      <c r="U37" s="19">
        <f>SUM('Monthly Gallon Summary'!U73:U75)</f>
        <v>773965764.33811224</v>
      </c>
      <c r="V37" s="19">
        <f>SUM('Monthly Gallon Summary'!V73:V75)</f>
        <v>803942301.43280184</v>
      </c>
      <c r="W37" s="19">
        <f>SUM('Monthly Gallon Summary'!W73:W75)</f>
        <v>867358424.00866723</v>
      </c>
      <c r="X37" s="19">
        <f>SUM('Monthly Gallon Summary'!X73:X75)</f>
        <v>1018245655.0595958</v>
      </c>
      <c r="Y37" s="19">
        <f>SUM('Monthly Gallon Summary'!Y73:Y75)</f>
        <v>1012330791.1575289</v>
      </c>
      <c r="Z37" s="19">
        <f>SUM('Monthly Gallon Summary'!Z73:Z75)</f>
        <v>984325020.34023631</v>
      </c>
      <c r="AA37" s="19">
        <f>SUM('Monthly Gallon Summary'!AA73:AA75)</f>
        <v>1040875593.6117476</v>
      </c>
      <c r="AB37" s="31"/>
      <c r="AC37" s="77">
        <f t="shared" ref="AC37:AC38" si="19">P37/P36-1</f>
        <v>2.6611531608435435E-2</v>
      </c>
      <c r="AD37" s="26">
        <f t="shared" si="18"/>
        <v>0.28826670746795968</v>
      </c>
    </row>
    <row r="38" spans="1:30">
      <c r="A38" s="14" t="s">
        <v>171</v>
      </c>
      <c r="B38" s="18">
        <f>SUM('Monthly Gallon Summary'!B76:B78)</f>
        <v>6757367</v>
      </c>
      <c r="C38" s="18">
        <f>SUM('Monthly Gallon Summary'!C76:C78)</f>
        <v>18632778</v>
      </c>
      <c r="D38" s="18">
        <f>SUM('Monthly Gallon Summary'!D76:D78)</f>
        <v>40677779</v>
      </c>
      <c r="E38" s="18">
        <f>SUM('Monthly Gallon Summary'!E76:E78)</f>
        <v>149003176</v>
      </c>
      <c r="F38" s="18">
        <f>SUM('Monthly Gallon Summary'!F76:F78)</f>
        <v>110785957</v>
      </c>
      <c r="G38" s="18">
        <f>SUM('Monthly Gallon Summary'!G76:G78)</f>
        <v>120491002</v>
      </c>
      <c r="H38" s="18">
        <f>SUM('Monthly Gallon Summary'!H76:H78)</f>
        <v>161388219</v>
      </c>
      <c r="I38" s="18">
        <f>SUM('Monthly Gallon Summary'!I76:I78)</f>
        <v>153632707</v>
      </c>
      <c r="J38" s="18">
        <f>SUM('Monthly Gallon Summary'!J76:J78)</f>
        <v>173816148</v>
      </c>
      <c r="K38" s="18">
        <f>SUM('Monthly Gallon Summary'!K76:K78)</f>
        <v>265330240</v>
      </c>
      <c r="L38" s="18">
        <f>SUM('Monthly Gallon Summary'!L76:L78)</f>
        <v>258236523</v>
      </c>
      <c r="M38" s="18">
        <f>SUM('Monthly Gallon Summary'!M76:M78)</f>
        <v>429103848</v>
      </c>
      <c r="N38" s="18">
        <f>SUM('Monthly Gallon Summary'!N76:N78)</f>
        <v>560198975</v>
      </c>
      <c r="O38" s="18">
        <f>SUM('Monthly Gallon Summary'!O76:O78)</f>
        <v>828789522</v>
      </c>
      <c r="P38" s="18">
        <f>SUM('Monthly Gallon Summary'!P76:P78)</f>
        <v>954517519</v>
      </c>
      <c r="Q38" s="19">
        <f>SUM('Monthly Gallon Summary'!Q76:Q78)</f>
        <v>831616489.19403124</v>
      </c>
      <c r="R38" s="19">
        <f>SUM('Monthly Gallon Summary'!R76:R78)</f>
        <v>930221206.44025755</v>
      </c>
      <c r="S38" s="19">
        <f>SUM('Monthly Gallon Summary'!S76:S78)</f>
        <v>1011075039.7951747</v>
      </c>
      <c r="T38" s="19">
        <f>SUM('Monthly Gallon Summary'!T76:T78)</f>
        <v>1023793142.2957735</v>
      </c>
      <c r="U38" s="19">
        <f>SUM('Monthly Gallon Summary'!U76:U78)</f>
        <v>1021846467.8617924</v>
      </c>
      <c r="V38" s="19">
        <f>SUM('Monthly Gallon Summary'!V76:V78)</f>
        <v>1070711982.2991335</v>
      </c>
      <c r="W38" s="19">
        <f>SUM('Monthly Gallon Summary'!W76:W78)</f>
        <v>1151235190.186836</v>
      </c>
      <c r="X38" s="19">
        <f>SUM('Monthly Gallon Summary'!X76:X78)</f>
        <v>1350039760.2372229</v>
      </c>
      <c r="Y38" s="19">
        <f>SUM('Monthly Gallon Summary'!Y76:Y78)</f>
        <v>1341072636.5941896</v>
      </c>
      <c r="Z38" s="19">
        <f>SUM('Monthly Gallon Summary'!Z76:Z78)</f>
        <v>1302318677.6544828</v>
      </c>
      <c r="AA38" s="19">
        <f>SUM('Monthly Gallon Summary'!AA76:AA78)</f>
        <v>1377881473.5895081</v>
      </c>
      <c r="AB38" s="31"/>
      <c r="AC38" s="77">
        <f t="shared" si="19"/>
        <v>3.3127633441492499E-2</v>
      </c>
      <c r="AD38" s="26">
        <f t="shared" si="18"/>
        <v>0.15170075593692167</v>
      </c>
    </row>
    <row r="39" spans="1:30">
      <c r="A39" s="14" t="s">
        <v>29</v>
      </c>
      <c r="B39" s="18">
        <f t="shared" ref="B39:J39" si="20">SUM(B35:B38)</f>
        <v>8776593</v>
      </c>
      <c r="C39" s="18">
        <f t="shared" si="20"/>
        <v>62041290</v>
      </c>
      <c r="D39" s="18">
        <f t="shared" si="20"/>
        <v>102674024</v>
      </c>
      <c r="E39" s="18">
        <f t="shared" si="20"/>
        <v>416685400</v>
      </c>
      <c r="F39" s="18">
        <f t="shared" si="20"/>
        <v>487892696</v>
      </c>
      <c r="G39" s="18">
        <f t="shared" si="20"/>
        <v>513144574</v>
      </c>
      <c r="H39" s="18">
        <f t="shared" si="20"/>
        <v>591173471</v>
      </c>
      <c r="I39" s="18">
        <f t="shared" si="20"/>
        <v>602723820</v>
      </c>
      <c r="J39" s="18">
        <f t="shared" si="20"/>
        <v>615331084</v>
      </c>
      <c r="K39" s="18">
        <f>SUM(K35:K38)</f>
        <v>910134681</v>
      </c>
      <c r="L39" s="18">
        <f t="shared" ref="L39:AA39" si="21">SUM(L35:L38)</f>
        <v>966792501</v>
      </c>
      <c r="M39" s="18">
        <f t="shared" si="21"/>
        <v>1298148865</v>
      </c>
      <c r="N39" s="18">
        <f t="shared" si="21"/>
        <v>1881117559</v>
      </c>
      <c r="O39" s="18">
        <f t="shared" si="21"/>
        <v>2880087932</v>
      </c>
      <c r="P39" s="18">
        <f t="shared" si="21"/>
        <v>3560990771</v>
      </c>
      <c r="Q39" s="19">
        <f t="shared" si="21"/>
        <v>2774394899.4209366</v>
      </c>
      <c r="R39" s="19">
        <f t="shared" si="21"/>
        <v>2962793535.1736603</v>
      </c>
      <c r="S39" s="19">
        <f t="shared" si="21"/>
        <v>3218911185.5645237</v>
      </c>
      <c r="T39" s="19">
        <f t="shared" si="21"/>
        <v>3254900482.0596151</v>
      </c>
      <c r="U39" s="19">
        <f t="shared" si="21"/>
        <v>3257926098.7916126</v>
      </c>
      <c r="V39" s="19">
        <f t="shared" si="21"/>
        <v>3382567165.2890577</v>
      </c>
      <c r="W39" s="19">
        <f t="shared" si="21"/>
        <v>3651197017.3205147</v>
      </c>
      <c r="X39" s="19">
        <f t="shared" si="21"/>
        <v>4273937149.6252842</v>
      </c>
      <c r="Y39" s="19">
        <f t="shared" si="21"/>
        <v>4245105278.7250657</v>
      </c>
      <c r="Z39" s="19">
        <f t="shared" si="21"/>
        <v>4123721219.9107871</v>
      </c>
      <c r="AA39" s="19">
        <f t="shared" si="21"/>
        <v>4359797387.4501266</v>
      </c>
      <c r="AB39" s="31"/>
      <c r="AC39" s="77">
        <f>P39/AVERAGE(K39:O39)-1</f>
        <v>1.2434881839495548</v>
      </c>
      <c r="AD39" s="26">
        <f t="shared" si="18"/>
        <v>0.23641737859273104</v>
      </c>
    </row>
    <row r="40" spans="1:30">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row>
    <row r="41" spans="1:30" ht="15.75">
      <c r="A41" s="76" t="s">
        <v>102</v>
      </c>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476">
        <v>2024</v>
      </c>
      <c r="AD41" s="476"/>
    </row>
    <row r="42" spans="1:30">
      <c r="B42" s="14">
        <f>B2</f>
        <v>2010</v>
      </c>
      <c r="C42" s="14">
        <f t="shared" ref="C42:AA42" si="22">C2</f>
        <v>2011</v>
      </c>
      <c r="D42" s="14">
        <f t="shared" si="22"/>
        <v>2012</v>
      </c>
      <c r="E42" s="14">
        <f t="shared" si="22"/>
        <v>2013</v>
      </c>
      <c r="F42" s="14">
        <f t="shared" si="22"/>
        <v>2014</v>
      </c>
      <c r="G42" s="14">
        <f t="shared" si="22"/>
        <v>2015</v>
      </c>
      <c r="H42" s="14">
        <f t="shared" si="22"/>
        <v>2016</v>
      </c>
      <c r="I42" s="14">
        <f t="shared" si="22"/>
        <v>2017</v>
      </c>
      <c r="J42" s="14">
        <f t="shared" si="22"/>
        <v>2018</v>
      </c>
      <c r="K42" s="14">
        <f t="shared" si="22"/>
        <v>2019</v>
      </c>
      <c r="L42" s="14">
        <f t="shared" si="22"/>
        <v>2020</v>
      </c>
      <c r="M42" s="14">
        <f t="shared" si="22"/>
        <v>2021</v>
      </c>
      <c r="N42" s="14">
        <f t="shared" si="22"/>
        <v>2022</v>
      </c>
      <c r="O42" s="14">
        <f t="shared" si="22"/>
        <v>2023</v>
      </c>
      <c r="P42" s="14">
        <f t="shared" si="22"/>
        <v>2024</v>
      </c>
      <c r="Q42" s="14">
        <f t="shared" si="22"/>
        <v>2025</v>
      </c>
      <c r="R42" s="14">
        <f t="shared" si="22"/>
        <v>2026</v>
      </c>
      <c r="S42" s="14">
        <f t="shared" si="22"/>
        <v>2027</v>
      </c>
      <c r="T42" s="14">
        <f t="shared" si="22"/>
        <v>2028</v>
      </c>
      <c r="U42" s="14">
        <f t="shared" si="22"/>
        <v>2029</v>
      </c>
      <c r="V42" s="14">
        <f t="shared" si="22"/>
        <v>2030</v>
      </c>
      <c r="W42" s="14">
        <f t="shared" si="22"/>
        <v>2031</v>
      </c>
      <c r="X42" s="14">
        <f t="shared" si="22"/>
        <v>2032</v>
      </c>
      <c r="Y42" s="14">
        <f t="shared" si="22"/>
        <v>2033</v>
      </c>
      <c r="Z42" s="14">
        <f t="shared" si="22"/>
        <v>2034</v>
      </c>
      <c r="AA42" s="14">
        <f t="shared" si="22"/>
        <v>2035</v>
      </c>
      <c r="AB42" s="14"/>
      <c r="AC42" s="14" t="s">
        <v>166</v>
      </c>
      <c r="AD42" s="14" t="s">
        <v>167</v>
      </c>
    </row>
    <row r="43" spans="1:30">
      <c r="A43" s="14" t="s">
        <v>168</v>
      </c>
      <c r="B43" s="18">
        <f>SUM('Monthly Gallon Summary'!B83:B85)</f>
        <v>0</v>
      </c>
      <c r="C43" s="18">
        <f>SUM('Monthly Gallon Summary'!C83:C85)</f>
        <v>8541444</v>
      </c>
      <c r="D43" s="18">
        <f>SUM('Monthly Gallon Summary'!D83:D85)</f>
        <v>12761118</v>
      </c>
      <c r="E43" s="18">
        <f>SUM('Monthly Gallon Summary'!E83:E85)</f>
        <v>4445936</v>
      </c>
      <c r="F43" s="18">
        <f>SUM('Monthly Gallon Summary'!F83:F85)</f>
        <v>37575272</v>
      </c>
      <c r="G43" s="18">
        <f>SUM('Monthly Gallon Summary'!G83:G85)</f>
        <v>47095684</v>
      </c>
      <c r="H43" s="18">
        <f>SUM('Monthly Gallon Summary'!H83:H85)</f>
        <v>37038175</v>
      </c>
      <c r="I43" s="18">
        <f>SUM('Monthly Gallon Summary'!I83:I85)</f>
        <v>55459740</v>
      </c>
      <c r="J43" s="18">
        <f>SUM('Monthly Gallon Summary'!J83:J85)</f>
        <v>60353443</v>
      </c>
      <c r="K43" s="18">
        <f>SUM('Monthly Gallon Summary'!K83:K85)</f>
        <v>112400987</v>
      </c>
      <c r="L43" s="18">
        <f>SUM('Monthly Gallon Summary'!L83:L85)</f>
        <v>124384943</v>
      </c>
      <c r="M43" s="18">
        <f>SUM('Monthly Gallon Summary'!M83:M85)</f>
        <v>160772373</v>
      </c>
      <c r="N43" s="18">
        <f>SUM('Monthly Gallon Summary'!N83:N85)</f>
        <v>298462694</v>
      </c>
      <c r="O43" s="18">
        <f>SUM('Monthly Gallon Summary'!O83:O85)</f>
        <v>473522513</v>
      </c>
      <c r="P43" s="18">
        <f>SUM('Monthly Gallon Summary'!P83:P85)</f>
        <v>675521203</v>
      </c>
      <c r="Q43" s="18">
        <f>SUM('Monthly Gallon Summary'!Q83:Q85)</f>
        <v>632868559</v>
      </c>
      <c r="R43" s="19">
        <f>SUM('Monthly Gallon Summary'!R83:R85)</f>
        <v>563307443.27520728</v>
      </c>
      <c r="S43" s="19">
        <f>SUM('Monthly Gallon Summary'!S83:S85)</f>
        <v>620744633.32647491</v>
      </c>
      <c r="T43" s="19">
        <f>SUM('Monthly Gallon Summary'!T83:T85)</f>
        <v>633517927.49372292</v>
      </c>
      <c r="U43" s="19">
        <f>SUM('Monthly Gallon Summary'!U83:U85)</f>
        <v>638914060.76201797</v>
      </c>
      <c r="V43" s="19">
        <f>SUM('Monthly Gallon Summary'!V83:V85)</f>
        <v>669774061.59295225</v>
      </c>
      <c r="W43" s="19">
        <f>SUM('Monthly Gallon Summary'!W83:W85)</f>
        <v>725464539.31088948</v>
      </c>
      <c r="X43" s="19">
        <f>SUM('Monthly Gallon Summary'!X83:X85)</f>
        <v>860274122.57709241</v>
      </c>
      <c r="Y43" s="19">
        <f>SUM('Monthly Gallon Summary'!Y83:Y85)</f>
        <v>856257827.27485991</v>
      </c>
      <c r="Z43" s="19">
        <f>SUM('Monthly Gallon Summary'!Z83:Z85)</f>
        <v>832811584.04838288</v>
      </c>
      <c r="AA43" s="19">
        <f>SUM('Monthly Gallon Summary'!AA83:AA85)</f>
        <v>882291712.76039243</v>
      </c>
      <c r="AB43" s="31"/>
      <c r="AC43" s="26">
        <f>P43/O46-1</f>
        <v>0.11442009840794332</v>
      </c>
      <c r="AD43" s="26">
        <f>P43/O43-1</f>
        <v>0.42658729934557504</v>
      </c>
    </row>
    <row r="44" spans="1:30">
      <c r="A44" s="14" t="s">
        <v>169</v>
      </c>
      <c r="B44" s="18">
        <f>SUM('Monthly Gallon Summary'!B84:B86)</f>
        <v>0</v>
      </c>
      <c r="C44" s="18">
        <f>SUM('Monthly Gallon Summary'!C84:C86)</f>
        <v>6080496</v>
      </c>
      <c r="D44" s="18">
        <f>SUM('Monthly Gallon Summary'!D84:D86)</f>
        <v>12096102</v>
      </c>
      <c r="E44" s="18">
        <f>SUM('Monthly Gallon Summary'!E84:E86)</f>
        <v>4841006</v>
      </c>
      <c r="F44" s="18">
        <f>SUM('Monthly Gallon Summary'!F84:F86)</f>
        <v>40922871</v>
      </c>
      <c r="G44" s="18">
        <f>SUM('Monthly Gallon Summary'!G84:G86)</f>
        <v>45323661</v>
      </c>
      <c r="H44" s="18">
        <f>SUM('Monthly Gallon Summary'!H84:H86)</f>
        <v>46533112</v>
      </c>
      <c r="I44" s="18">
        <f>SUM('Monthly Gallon Summary'!I84:I86)</f>
        <v>57302407</v>
      </c>
      <c r="J44" s="18">
        <f>SUM('Monthly Gallon Summary'!J84:J86)</f>
        <v>72423775</v>
      </c>
      <c r="K44" s="18">
        <f>SUM('Monthly Gallon Summary'!K84:K86)</f>
        <v>114471400</v>
      </c>
      <c r="L44" s="18">
        <f>SUM('Monthly Gallon Summary'!L84:L86)</f>
        <v>121166307</v>
      </c>
      <c r="M44" s="18">
        <f>SUM('Monthly Gallon Summary'!M84:M86)</f>
        <v>161032176</v>
      </c>
      <c r="N44" s="18">
        <f>SUM('Monthly Gallon Summary'!N84:N86)</f>
        <v>317933112</v>
      </c>
      <c r="O44" s="18">
        <f>SUM('Monthly Gallon Summary'!O84:O86)</f>
        <v>499651678</v>
      </c>
      <c r="P44" s="18">
        <f>SUM('Monthly Gallon Summary'!P84:P86)</f>
        <v>728500296</v>
      </c>
      <c r="Q44" s="19">
        <f>SUM('Monthly Gallon Summary'!Q84:Q86)</f>
        <v>616832640.48154616</v>
      </c>
      <c r="R44" s="19">
        <f>SUM('Monthly Gallon Summary'!R84:R86)</f>
        <v>583350605.85480452</v>
      </c>
      <c r="S44" s="19">
        <f>SUM('Monthly Gallon Summary'!S84:S86)</f>
        <v>643813765.84950614</v>
      </c>
      <c r="T44" s="19">
        <f>SUM('Monthly Gallon Summary'!T84:T86)</f>
        <v>656576604.30309165</v>
      </c>
      <c r="U44" s="19">
        <f>SUM('Monthly Gallon Summary'!U84:U86)</f>
        <v>661554018.71384358</v>
      </c>
      <c r="V44" s="19">
        <f>SUM('Monthly Gallon Summary'!V84:V86)</f>
        <v>693528708.04741263</v>
      </c>
      <c r="W44" s="19">
        <f>SUM('Monthly Gallon Summary'!W84:W86)</f>
        <v>751508690.90011096</v>
      </c>
      <c r="X44" s="19">
        <f>SUM('Monthly Gallon Summary'!X84:X86)</f>
        <v>891390436.2830646</v>
      </c>
      <c r="Y44" s="19">
        <f>SUM('Monthly Gallon Summary'!Y84:Y86)</f>
        <v>887010796.12172294</v>
      </c>
      <c r="Z44" s="19">
        <f>SUM('Monthly Gallon Summary'!Z84:Z86)</f>
        <v>862455712.94123828</v>
      </c>
      <c r="AA44" s="19">
        <f>SUM('Monthly Gallon Summary'!AA84:AA86)</f>
        <v>913740731.94412088</v>
      </c>
      <c r="AB44" s="31"/>
      <c r="AC44" s="77">
        <f>P44/P43-1</f>
        <v>7.8426987583393393E-2</v>
      </c>
      <c r="AD44" s="26">
        <f t="shared" ref="AD44:AD47" si="23">P44/O44-1</f>
        <v>0.45801631031448276</v>
      </c>
    </row>
    <row r="45" spans="1:30">
      <c r="A45" s="14" t="s">
        <v>170</v>
      </c>
      <c r="B45" s="18">
        <f>SUM('Monthly Gallon Summary'!B85:B87)</f>
        <v>0</v>
      </c>
      <c r="C45" s="18">
        <f>SUM('Monthly Gallon Summary'!C85:C87)</f>
        <v>12643933</v>
      </c>
      <c r="D45" s="18">
        <f>SUM('Monthly Gallon Summary'!D85:D87)</f>
        <v>12672866</v>
      </c>
      <c r="E45" s="18">
        <f>SUM('Monthly Gallon Summary'!E85:E87)</f>
        <v>6340783</v>
      </c>
      <c r="F45" s="18">
        <f>SUM('Monthly Gallon Summary'!F85:F87)</f>
        <v>44848498</v>
      </c>
      <c r="G45" s="18">
        <f>SUM('Monthly Gallon Summary'!G85:G87)</f>
        <v>47583742</v>
      </c>
      <c r="H45" s="18">
        <f>SUM('Monthly Gallon Summary'!H85:H87)</f>
        <v>61111659</v>
      </c>
      <c r="I45" s="18">
        <f>SUM('Monthly Gallon Summary'!I85:I87)</f>
        <v>60652534</v>
      </c>
      <c r="J45" s="18">
        <f>SUM('Monthly Gallon Summary'!J85:J87)</f>
        <v>72327210</v>
      </c>
      <c r="K45" s="18">
        <f>SUM('Monthly Gallon Summary'!K85:K87)</f>
        <v>114680554</v>
      </c>
      <c r="L45" s="18">
        <f>SUM('Monthly Gallon Summary'!L85:L87)</f>
        <v>130286812</v>
      </c>
      <c r="M45" s="18">
        <f>SUM('Monthly Gallon Summary'!M85:M87)</f>
        <v>169907903</v>
      </c>
      <c r="N45" s="18">
        <f>SUM('Monthly Gallon Summary'!N85:N87)</f>
        <v>352612343</v>
      </c>
      <c r="O45" s="18">
        <f>SUM('Monthly Gallon Summary'!O85:O87)</f>
        <v>587846653</v>
      </c>
      <c r="P45" s="18">
        <f>SUM('Monthly Gallon Summary'!P85:P87)</f>
        <v>718829395</v>
      </c>
      <c r="Q45" s="19">
        <f>SUM('Monthly Gallon Summary'!Q85:Q87)</f>
        <v>629066836.69839811</v>
      </c>
      <c r="R45" s="19">
        <f>SUM('Monthly Gallon Summary'!R85:R87)</f>
        <v>610529409.55403066</v>
      </c>
      <c r="S45" s="19">
        <f>SUM('Monthly Gallon Summary'!S85:S87)</f>
        <v>674579492.21032286</v>
      </c>
      <c r="T45" s="19">
        <f>SUM('Monthly Gallon Summary'!T85:T87)</f>
        <v>687338461.27730513</v>
      </c>
      <c r="U45" s="19">
        <f>SUM('Monthly Gallon Summary'!U85:U87)</f>
        <v>691533643.6187191</v>
      </c>
      <c r="V45" s="19">
        <f>SUM('Monthly Gallon Summary'!V85:V87)</f>
        <v>725631409.80629158</v>
      </c>
      <c r="W45" s="19">
        <f>SUM('Monthly Gallon Summary'!W85:W87)</f>
        <v>786503057.61723959</v>
      </c>
      <c r="X45" s="19">
        <f>SUM('Monthly Gallon Summary'!X85:X87)</f>
        <v>932878606.33760083</v>
      </c>
      <c r="Y45" s="19">
        <f>SUM('Monthly Gallon Summary'!Y85:Y87)</f>
        <v>928108429.45161414</v>
      </c>
      <c r="Z45" s="19">
        <f>SUM('Monthly Gallon Summary'!Z85:Z87)</f>
        <v>902337221.29031992</v>
      </c>
      <c r="AA45" s="19">
        <f>SUM('Monthly Gallon Summary'!AA85:AA87)</f>
        <v>956138389.29406226</v>
      </c>
      <c r="AB45" s="31"/>
      <c r="AC45" s="77">
        <f t="shared" ref="AC45:AC46" si="24">P45/P44-1</f>
        <v>-1.3275081771552233E-2</v>
      </c>
      <c r="AD45" s="26">
        <f t="shared" si="23"/>
        <v>0.22281787491949867</v>
      </c>
    </row>
    <row r="46" spans="1:30">
      <c r="A46" s="14" t="s">
        <v>171</v>
      </c>
      <c r="B46" s="18">
        <f>SUM('Monthly Gallon Summary'!B86:B88)</f>
        <v>0</v>
      </c>
      <c r="C46" s="18">
        <f>SUM('Monthly Gallon Summary'!C86:C88)</f>
        <v>14056277</v>
      </c>
      <c r="D46" s="18">
        <f>SUM('Monthly Gallon Summary'!D86:D88)</f>
        <v>10911224</v>
      </c>
      <c r="E46" s="18">
        <f>SUM('Monthly Gallon Summary'!E86:E88)</f>
        <v>11722265</v>
      </c>
      <c r="F46" s="18">
        <f>SUM('Monthly Gallon Summary'!F86:F88)</f>
        <v>45560095</v>
      </c>
      <c r="G46" s="18">
        <f>SUM('Monthly Gallon Summary'!G86:G88)</f>
        <v>45893801</v>
      </c>
      <c r="H46" s="18">
        <f>SUM('Monthly Gallon Summary'!H86:H88)</f>
        <v>65755900</v>
      </c>
      <c r="I46" s="18">
        <f>SUM('Monthly Gallon Summary'!I86:I88)</f>
        <v>62543192</v>
      </c>
      <c r="J46" s="18">
        <f>SUM('Monthly Gallon Summary'!J86:J88)</f>
        <v>59643256</v>
      </c>
      <c r="K46" s="18">
        <f>SUM('Monthly Gallon Summary'!K86:K88)</f>
        <v>118700941</v>
      </c>
      <c r="L46" s="18">
        <f>SUM('Monthly Gallon Summary'!L86:L88)</f>
        <v>138267963</v>
      </c>
      <c r="M46" s="18">
        <f>SUM('Monthly Gallon Summary'!M86:M88)</f>
        <v>179545415</v>
      </c>
      <c r="N46" s="18">
        <f>SUM('Monthly Gallon Summary'!N86:N88)</f>
        <v>358809659</v>
      </c>
      <c r="O46" s="18">
        <f>SUM('Monthly Gallon Summary'!O86:O88)</f>
        <v>606163873</v>
      </c>
      <c r="P46" s="18">
        <f>SUM('Monthly Gallon Summary'!P86:P88)</f>
        <v>786181656</v>
      </c>
      <c r="Q46" s="19">
        <f>SUM('Monthly Gallon Summary'!Q86:Q88)</f>
        <v>595263655.12647414</v>
      </c>
      <c r="R46" s="19">
        <f>SUM('Monthly Gallon Summary'!R86:R88)</f>
        <v>625166812.64163518</v>
      </c>
      <c r="S46" s="19">
        <f>SUM('Monthly Gallon Summary'!S86:S88)</f>
        <v>690616055.53351259</v>
      </c>
      <c r="T46" s="19">
        <f>SUM('Monthly Gallon Summary'!T86:T88)</f>
        <v>703680264.43900096</v>
      </c>
      <c r="U46" s="19">
        <f>SUM('Monthly Gallon Summary'!U86:U88)</f>
        <v>707925901.20799387</v>
      </c>
      <c r="V46" s="19">
        <f>SUM('Monthly Gallon Summary'!V86:V88)</f>
        <v>742522415.34464812</v>
      </c>
      <c r="W46" s="19">
        <f>SUM('Monthly Gallon Summary'!W86:W88)</f>
        <v>805104982.72555661</v>
      </c>
      <c r="X46" s="19">
        <f>SUM('Monthly Gallon Summary'!X86:X88)</f>
        <v>954965801.79094172</v>
      </c>
      <c r="Y46" s="19">
        <f>SUM('Monthly Gallon Summary'!Y86:Y88)</f>
        <v>950038047.54952645</v>
      </c>
      <c r="Z46" s="19">
        <f>SUM('Monthly Gallon Summary'!Z86:Z88)</f>
        <v>923556253.68506873</v>
      </c>
      <c r="AA46" s="19">
        <f>SUM('Monthly Gallon Summary'!AA86:AA88)</f>
        <v>978599591.72375536</v>
      </c>
      <c r="AB46" s="31"/>
      <c r="AC46" s="77">
        <f t="shared" si="24"/>
        <v>9.3697143534315241E-2</v>
      </c>
      <c r="AD46" s="26">
        <f t="shared" si="23"/>
        <v>0.29697873960891763</v>
      </c>
    </row>
    <row r="47" spans="1:30">
      <c r="A47" s="14" t="s">
        <v>29</v>
      </c>
      <c r="B47" s="18">
        <f>SUM(B43:B46)</f>
        <v>0</v>
      </c>
      <c r="C47" s="18">
        <f t="shared" ref="C47:AA47" si="25">SUM(C43:C46)</f>
        <v>41322150</v>
      </c>
      <c r="D47" s="18">
        <f t="shared" si="25"/>
        <v>48441310</v>
      </c>
      <c r="E47" s="18">
        <f t="shared" si="25"/>
        <v>27349990</v>
      </c>
      <c r="F47" s="18">
        <f t="shared" si="25"/>
        <v>168906736</v>
      </c>
      <c r="G47" s="18">
        <f t="shared" si="25"/>
        <v>185896888</v>
      </c>
      <c r="H47" s="18">
        <f t="shared" si="25"/>
        <v>210438846</v>
      </c>
      <c r="I47" s="18">
        <f t="shared" si="25"/>
        <v>235957873</v>
      </c>
      <c r="J47" s="18">
        <f t="shared" si="25"/>
        <v>264747684</v>
      </c>
      <c r="K47" s="18">
        <f t="shared" si="25"/>
        <v>460253882</v>
      </c>
      <c r="L47" s="18">
        <f t="shared" si="25"/>
        <v>514106025</v>
      </c>
      <c r="M47" s="18">
        <f t="shared" si="25"/>
        <v>671257867</v>
      </c>
      <c r="N47" s="18">
        <f t="shared" si="25"/>
        <v>1327817808</v>
      </c>
      <c r="O47" s="18">
        <f t="shared" si="25"/>
        <v>2167184717</v>
      </c>
      <c r="P47" s="18">
        <f t="shared" si="25"/>
        <v>2909032550</v>
      </c>
      <c r="Q47" s="19">
        <f t="shared" si="25"/>
        <v>2474031691.3064184</v>
      </c>
      <c r="R47" s="19">
        <f t="shared" si="25"/>
        <v>2382354271.3256779</v>
      </c>
      <c r="S47" s="19">
        <f t="shared" si="25"/>
        <v>2629753946.9198165</v>
      </c>
      <c r="T47" s="19">
        <f t="shared" si="25"/>
        <v>2681113257.5131207</v>
      </c>
      <c r="U47" s="19">
        <f t="shared" si="25"/>
        <v>2699927624.3025746</v>
      </c>
      <c r="V47" s="19">
        <f t="shared" si="25"/>
        <v>2831456594.7913046</v>
      </c>
      <c r="W47" s="19">
        <f t="shared" si="25"/>
        <v>3068581270.5537968</v>
      </c>
      <c r="X47" s="19">
        <f t="shared" si="25"/>
        <v>3639508966.9886994</v>
      </c>
      <c r="Y47" s="19">
        <f t="shared" si="25"/>
        <v>3621415100.3977232</v>
      </c>
      <c r="Z47" s="19">
        <f t="shared" si="25"/>
        <v>3521160771.9650097</v>
      </c>
      <c r="AA47" s="19">
        <f t="shared" si="25"/>
        <v>3730770425.722331</v>
      </c>
      <c r="AB47" s="30">
        <f>(P47/E47)^(1/12)-1</f>
        <v>0.47536434628211777</v>
      </c>
      <c r="AC47" s="77">
        <f>P47/AVERAGE(K47:O47)-1</f>
        <v>1.8294567394579713</v>
      </c>
      <c r="AD47" s="26">
        <f t="shared" si="23"/>
        <v>0.34230946129360329</v>
      </c>
    </row>
    <row r="48" spans="1:30">
      <c r="B48" s="14"/>
      <c r="C48" s="14"/>
      <c r="D48" s="14"/>
      <c r="E48" s="14"/>
      <c r="F48" s="14"/>
      <c r="G48" s="14"/>
      <c r="H48" s="14"/>
      <c r="I48" s="14"/>
      <c r="J48" s="14"/>
      <c r="K48" s="14"/>
      <c r="L48" s="77">
        <f t="shared" ref="L48:R48" si="26">L47/K47-1</f>
        <v>0.11700529882765887</v>
      </c>
      <c r="M48" s="77">
        <f t="shared" si="26"/>
        <v>0.30567982936982707</v>
      </c>
      <c r="N48" s="77">
        <f t="shared" si="26"/>
        <v>0.97810390503773426</v>
      </c>
      <c r="O48" s="77">
        <f t="shared" si="26"/>
        <v>0.63214012038615475</v>
      </c>
      <c r="P48" s="77">
        <f t="shared" si="26"/>
        <v>0.34230946129360329</v>
      </c>
      <c r="Q48" s="77">
        <f t="shared" si="26"/>
        <v>-0.14953454497907959</v>
      </c>
      <c r="R48" s="77">
        <f t="shared" si="26"/>
        <v>-3.7055879398347535E-2</v>
      </c>
      <c r="S48" s="14"/>
      <c r="T48" s="14"/>
      <c r="U48" s="14"/>
      <c r="V48" s="14"/>
      <c r="W48" s="14"/>
      <c r="X48" s="14"/>
      <c r="Y48" s="14"/>
      <c r="Z48" s="14"/>
      <c r="AA48" s="14"/>
      <c r="AB48" s="14"/>
      <c r="AC48" s="14"/>
      <c r="AD48" s="14"/>
    </row>
    <row r="49" spans="1:30" ht="15.75">
      <c r="A49" s="76" t="s">
        <v>104</v>
      </c>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476">
        <v>2024</v>
      </c>
      <c r="AD49" s="476"/>
    </row>
    <row r="50" spans="1:30">
      <c r="B50" s="14">
        <f>B2</f>
        <v>2010</v>
      </c>
      <c r="C50" s="14"/>
      <c r="D50" s="14"/>
      <c r="E50" s="14"/>
      <c r="F50" s="14"/>
      <c r="G50" s="14"/>
      <c r="H50" s="14"/>
      <c r="I50" s="14"/>
      <c r="J50" s="14"/>
      <c r="K50" s="14">
        <f>K2</f>
        <v>2019</v>
      </c>
      <c r="L50" s="14">
        <f t="shared" ref="L50:AA50" si="27">L2</f>
        <v>2020</v>
      </c>
      <c r="M50" s="14">
        <f t="shared" si="27"/>
        <v>2021</v>
      </c>
      <c r="N50" s="14">
        <f t="shared" si="27"/>
        <v>2022</v>
      </c>
      <c r="O50" s="14">
        <f t="shared" si="27"/>
        <v>2023</v>
      </c>
      <c r="P50" s="14">
        <f t="shared" si="27"/>
        <v>2024</v>
      </c>
      <c r="Q50" s="14">
        <f t="shared" si="27"/>
        <v>2025</v>
      </c>
      <c r="R50" s="14">
        <f t="shared" si="27"/>
        <v>2026</v>
      </c>
      <c r="S50" s="14">
        <f t="shared" si="27"/>
        <v>2027</v>
      </c>
      <c r="T50" s="14">
        <f t="shared" si="27"/>
        <v>2028</v>
      </c>
      <c r="U50" s="14">
        <f t="shared" si="27"/>
        <v>2029</v>
      </c>
      <c r="V50" s="14">
        <f t="shared" si="27"/>
        <v>2030</v>
      </c>
      <c r="W50" s="14">
        <f t="shared" si="27"/>
        <v>2031</v>
      </c>
      <c r="X50" s="14">
        <f t="shared" si="27"/>
        <v>2032</v>
      </c>
      <c r="Y50" s="14">
        <f t="shared" si="27"/>
        <v>2033</v>
      </c>
      <c r="Z50" s="14">
        <f t="shared" si="27"/>
        <v>2034</v>
      </c>
      <c r="AA50" s="14">
        <f t="shared" si="27"/>
        <v>2035</v>
      </c>
      <c r="AB50" s="14"/>
      <c r="AC50" s="14" t="s">
        <v>166</v>
      </c>
      <c r="AD50" s="14" t="s">
        <v>167</v>
      </c>
    </row>
    <row r="51" spans="1:30">
      <c r="A51" s="14" t="s">
        <v>168</v>
      </c>
      <c r="B51" s="18">
        <f>SUM('Monthly Gallon Summary'!B99:B101)</f>
        <v>0</v>
      </c>
      <c r="C51" s="18">
        <f>SUM('Monthly Gallon Summary'!C99:C101)</f>
        <v>0</v>
      </c>
      <c r="D51" s="18">
        <f>SUM('Monthly Gallon Summary'!D99:D101)</f>
        <v>0</v>
      </c>
      <c r="E51" s="18">
        <f>SUM('Monthly Gallon Summary'!E99:E101)</f>
        <v>7344776</v>
      </c>
      <c r="F51" s="18">
        <f>SUM('Monthly Gallon Summary'!F99:F101)</f>
        <v>5612400</v>
      </c>
      <c r="G51" s="18">
        <f>SUM('Monthly Gallon Summary'!G99:G101)</f>
        <v>0</v>
      </c>
      <c r="H51" s="18">
        <f>SUM('Monthly Gallon Summary'!H99:H101)</f>
        <v>0</v>
      </c>
      <c r="I51" s="18">
        <f>SUM('Monthly Gallon Summary'!I99:I101)</f>
        <v>0</v>
      </c>
      <c r="J51" s="18">
        <f>SUM('Monthly Gallon Summary'!J99:J101)</f>
        <v>0</v>
      </c>
      <c r="K51" s="18">
        <f>SUM('Monthly Gallon Summary'!K99:K101)</f>
        <v>0</v>
      </c>
      <c r="L51" s="18">
        <f>SUM('Monthly Gallon Summary'!L99:L101)</f>
        <v>0</v>
      </c>
      <c r="M51" s="18">
        <f>SUM('Monthly Gallon Summary'!M99:M101)</f>
        <v>2859906</v>
      </c>
      <c r="N51" s="18">
        <f>SUM('Monthly Gallon Summary'!N99:N101)</f>
        <v>0</v>
      </c>
      <c r="O51" s="18">
        <f>SUM('Monthly Gallon Summary'!O99:O101)</f>
        <v>0</v>
      </c>
      <c r="P51" s="18">
        <f>SUM('Monthly Gallon Summary'!P99:P101)</f>
        <v>0</v>
      </c>
      <c r="Q51" s="18">
        <f>SUM('Monthly Gallon Summary'!Q99:Q101)</f>
        <v>12677402</v>
      </c>
      <c r="R51" s="19">
        <f>SUM('Monthly Gallon Summary'!R99:R101)</f>
        <v>0</v>
      </c>
      <c r="S51" s="19">
        <f>SUM('Monthly Gallon Summary'!S99:S101)</f>
        <v>0</v>
      </c>
      <c r="T51" s="19">
        <f>SUM('Monthly Gallon Summary'!T99:T101)</f>
        <v>0</v>
      </c>
      <c r="U51" s="19">
        <f>SUM('Monthly Gallon Summary'!U99:U101)</f>
        <v>0</v>
      </c>
      <c r="V51" s="19">
        <f>SUM('Monthly Gallon Summary'!V99:V101)</f>
        <v>0</v>
      </c>
      <c r="W51" s="19">
        <f>SUM('Monthly Gallon Summary'!W99:W101)</f>
        <v>0</v>
      </c>
      <c r="X51" s="19">
        <f>SUM('Monthly Gallon Summary'!X99:X101)</f>
        <v>0</v>
      </c>
      <c r="Y51" s="19">
        <f>SUM('Monthly Gallon Summary'!Y99:Y101)</f>
        <v>0</v>
      </c>
      <c r="Z51" s="19">
        <f>SUM('Monthly Gallon Summary'!Z99:Z101)</f>
        <v>0</v>
      </c>
      <c r="AA51" s="19">
        <f>SUM('Monthly Gallon Summary'!AA99:AA101)</f>
        <v>0</v>
      </c>
      <c r="AB51" s="31"/>
      <c r="AC51" s="26" t="e">
        <f>P51/O54-1</f>
        <v>#DIV/0!</v>
      </c>
      <c r="AD51" s="26" t="e">
        <f>P51/O51-1</f>
        <v>#DIV/0!</v>
      </c>
    </row>
    <row r="52" spans="1:30">
      <c r="A52" s="14" t="s">
        <v>169</v>
      </c>
      <c r="B52" s="18">
        <f>SUM('Monthly Gallon Summary'!B102:B104)</f>
        <v>0</v>
      </c>
      <c r="C52" s="18">
        <f>SUM('Monthly Gallon Summary'!C102:C104)</f>
        <v>0</v>
      </c>
      <c r="D52" s="18">
        <f>SUM('Monthly Gallon Summary'!D102:D104)</f>
        <v>0</v>
      </c>
      <c r="E52" s="18">
        <f>SUM('Monthly Gallon Summary'!E102:E104)</f>
        <v>4744730</v>
      </c>
      <c r="F52" s="18">
        <f>SUM('Monthly Gallon Summary'!F102:F104)</f>
        <v>0</v>
      </c>
      <c r="G52" s="18">
        <f>SUM('Monthly Gallon Summary'!G102:G104)</f>
        <v>0</v>
      </c>
      <c r="H52" s="18">
        <f>SUM('Monthly Gallon Summary'!H102:H104)</f>
        <v>0</v>
      </c>
      <c r="I52" s="18">
        <f>SUM('Monthly Gallon Summary'!I102:I104)</f>
        <v>0</v>
      </c>
      <c r="J52" s="18">
        <f>SUM('Monthly Gallon Summary'!J102:J104)</f>
        <v>0</v>
      </c>
      <c r="K52" s="18">
        <f>SUM('Monthly Gallon Summary'!K102:K104)</f>
        <v>0</v>
      </c>
      <c r="L52" s="18">
        <f>SUM('Monthly Gallon Summary'!L102:L104)</f>
        <v>0</v>
      </c>
      <c r="M52" s="18">
        <f>SUM('Monthly Gallon Summary'!M102:M104)</f>
        <v>0</v>
      </c>
      <c r="N52" s="18">
        <f>SUM('Monthly Gallon Summary'!N102:N104)</f>
        <v>0</v>
      </c>
      <c r="O52" s="18">
        <f>SUM('Monthly Gallon Summary'!O102:O104)</f>
        <v>0</v>
      </c>
      <c r="P52" s="18">
        <f>SUM('Monthly Gallon Summary'!P102:P104)</f>
        <v>0</v>
      </c>
      <c r="Q52" s="19">
        <f>SUM('Monthly Gallon Summary'!Q102:Q104)</f>
        <v>0</v>
      </c>
      <c r="R52" s="19">
        <f>SUM('Monthly Gallon Summary'!R102:R104)</f>
        <v>0</v>
      </c>
      <c r="S52" s="19">
        <f>SUM('Monthly Gallon Summary'!S102:S104)</f>
        <v>0</v>
      </c>
      <c r="T52" s="19">
        <f>SUM('Monthly Gallon Summary'!T102:T104)</f>
        <v>0</v>
      </c>
      <c r="U52" s="19">
        <f>SUM('Monthly Gallon Summary'!U102:U104)</f>
        <v>0</v>
      </c>
      <c r="V52" s="19">
        <f>SUM('Monthly Gallon Summary'!V102:V104)</f>
        <v>0</v>
      </c>
      <c r="W52" s="19">
        <f>SUM('Monthly Gallon Summary'!W102:W104)</f>
        <v>0</v>
      </c>
      <c r="X52" s="19">
        <f>SUM('Monthly Gallon Summary'!X102:X104)</f>
        <v>0</v>
      </c>
      <c r="Y52" s="19">
        <f>SUM('Monthly Gallon Summary'!Y102:Y104)</f>
        <v>0</v>
      </c>
      <c r="Z52" s="19">
        <f>SUM('Monthly Gallon Summary'!Z102:Z104)</f>
        <v>0</v>
      </c>
      <c r="AA52" s="19">
        <f>SUM('Monthly Gallon Summary'!AA102:AA104)</f>
        <v>0</v>
      </c>
      <c r="AB52" s="31"/>
      <c r="AC52" s="77" t="e">
        <f>P52/P51-1</f>
        <v>#DIV/0!</v>
      </c>
      <c r="AD52" s="26" t="e">
        <f t="shared" ref="AD52:AD55" si="28">P52/O52-1</f>
        <v>#DIV/0!</v>
      </c>
    </row>
    <row r="53" spans="1:30">
      <c r="A53" s="14" t="s">
        <v>170</v>
      </c>
      <c r="B53" s="18">
        <f>SUM('Monthly Gallon Summary'!B105:B107)</f>
        <v>0</v>
      </c>
      <c r="C53" s="18">
        <f>SUM('Monthly Gallon Summary'!C105:C107)</f>
        <v>0</v>
      </c>
      <c r="D53" s="18">
        <f>SUM('Monthly Gallon Summary'!D105:D107)</f>
        <v>0</v>
      </c>
      <c r="E53" s="18">
        <f>SUM('Monthly Gallon Summary'!E105:E107)</f>
        <v>9513093</v>
      </c>
      <c r="F53" s="18">
        <f>SUM('Monthly Gallon Summary'!F105:F107)</f>
        <v>0</v>
      </c>
      <c r="G53" s="18">
        <f>SUM('Monthly Gallon Summary'!G105:G107)</f>
        <v>0</v>
      </c>
      <c r="H53" s="18">
        <f>SUM('Monthly Gallon Summary'!H105:H107)</f>
        <v>0</v>
      </c>
      <c r="I53" s="18">
        <f>SUM('Monthly Gallon Summary'!I105:I107)</f>
        <v>757255</v>
      </c>
      <c r="J53" s="18">
        <f>SUM('Monthly Gallon Summary'!J105:J107)</f>
        <v>0</v>
      </c>
      <c r="K53" s="18">
        <f>SUM('Monthly Gallon Summary'!K105:K107)</f>
        <v>0</v>
      </c>
      <c r="L53" s="18">
        <f>SUM('Monthly Gallon Summary'!L105:L107)</f>
        <v>0</v>
      </c>
      <c r="M53" s="18">
        <f>SUM('Monthly Gallon Summary'!M105:M107)</f>
        <v>0</v>
      </c>
      <c r="N53" s="18">
        <f>SUM('Monthly Gallon Summary'!N105:N107)</f>
        <v>0</v>
      </c>
      <c r="O53" s="18">
        <f>SUM('Monthly Gallon Summary'!O105:O107)</f>
        <v>0</v>
      </c>
      <c r="P53" s="18">
        <f>SUM('Monthly Gallon Summary'!P105:P107)</f>
        <v>49733228</v>
      </c>
      <c r="Q53" s="19">
        <f>SUM('Monthly Gallon Summary'!Q105:Q107)</f>
        <v>0</v>
      </c>
      <c r="R53" s="19">
        <f>SUM('Monthly Gallon Summary'!R105:R107)</f>
        <v>0</v>
      </c>
      <c r="S53" s="19">
        <f>SUM('Monthly Gallon Summary'!S105:S107)</f>
        <v>0</v>
      </c>
      <c r="T53" s="19">
        <f>SUM('Monthly Gallon Summary'!T105:T107)</f>
        <v>0</v>
      </c>
      <c r="U53" s="19">
        <f>SUM('Monthly Gallon Summary'!U105:U107)</f>
        <v>0</v>
      </c>
      <c r="V53" s="19">
        <f>SUM('Monthly Gallon Summary'!V105:V107)</f>
        <v>0</v>
      </c>
      <c r="W53" s="19">
        <f>SUM('Monthly Gallon Summary'!W105:W107)</f>
        <v>0</v>
      </c>
      <c r="X53" s="19">
        <f>SUM('Monthly Gallon Summary'!X105:X107)</f>
        <v>0</v>
      </c>
      <c r="Y53" s="19">
        <f>SUM('Monthly Gallon Summary'!Y105:Y107)</f>
        <v>0</v>
      </c>
      <c r="Z53" s="19">
        <f>SUM('Monthly Gallon Summary'!Z105:Z107)</f>
        <v>0</v>
      </c>
      <c r="AA53" s="19">
        <f>SUM('Monthly Gallon Summary'!AA105:AA107)</f>
        <v>0</v>
      </c>
      <c r="AB53" s="31"/>
      <c r="AC53" s="77" t="e">
        <f t="shared" ref="AC53:AC54" si="29">P53/P52-1</f>
        <v>#DIV/0!</v>
      </c>
      <c r="AD53" s="26" t="e">
        <f t="shared" si="28"/>
        <v>#DIV/0!</v>
      </c>
    </row>
    <row r="54" spans="1:30">
      <c r="A54" s="14" t="s">
        <v>171</v>
      </c>
      <c r="B54" s="18">
        <f>SUM('Monthly Gallon Summary'!B108:B110)</f>
        <v>0</v>
      </c>
      <c r="C54" s="18">
        <f>SUM('Monthly Gallon Summary'!C108:C110)</f>
        <v>0</v>
      </c>
      <c r="D54" s="18">
        <f>SUM('Monthly Gallon Summary'!D108:D110)</f>
        <v>0</v>
      </c>
      <c r="E54" s="18">
        <f>SUM('Monthly Gallon Summary'!E108:E110)</f>
        <v>0</v>
      </c>
      <c r="F54" s="18">
        <f>SUM('Monthly Gallon Summary'!F108:F110)</f>
        <v>0</v>
      </c>
      <c r="G54" s="18">
        <f>SUM('Monthly Gallon Summary'!G108:G110)</f>
        <v>0</v>
      </c>
      <c r="H54" s="18">
        <f>SUM('Monthly Gallon Summary'!H108:H110)</f>
        <v>0</v>
      </c>
      <c r="I54" s="18">
        <f>SUM('Monthly Gallon Summary'!I108:I110)</f>
        <v>0</v>
      </c>
      <c r="J54" s="18">
        <f>SUM('Monthly Gallon Summary'!J108:J110)</f>
        <v>0</v>
      </c>
      <c r="K54" s="18">
        <f>SUM('Monthly Gallon Summary'!K108:K110)</f>
        <v>0</v>
      </c>
      <c r="L54" s="18">
        <f>SUM('Monthly Gallon Summary'!L108:L110)</f>
        <v>0</v>
      </c>
      <c r="M54" s="18">
        <f>SUM('Monthly Gallon Summary'!M108:M110)</f>
        <v>0</v>
      </c>
      <c r="N54" s="18">
        <f>SUM('Monthly Gallon Summary'!N108:N110)</f>
        <v>0</v>
      </c>
      <c r="O54" s="18">
        <f>SUM('Monthly Gallon Summary'!O108:O110)</f>
        <v>0</v>
      </c>
      <c r="P54" s="18">
        <f>SUM('Monthly Gallon Summary'!P108:P110)</f>
        <v>62743494</v>
      </c>
      <c r="Q54" s="19">
        <f>SUM('Monthly Gallon Summary'!Q108:Q110)</f>
        <v>0</v>
      </c>
      <c r="R54" s="19">
        <f>SUM('Monthly Gallon Summary'!R108:R110)</f>
        <v>0</v>
      </c>
      <c r="S54" s="19">
        <f>SUM('Monthly Gallon Summary'!S108:S110)</f>
        <v>0</v>
      </c>
      <c r="T54" s="19">
        <f>SUM('Monthly Gallon Summary'!T108:T110)</f>
        <v>0</v>
      </c>
      <c r="U54" s="19">
        <f>SUM('Monthly Gallon Summary'!U108:U110)</f>
        <v>0</v>
      </c>
      <c r="V54" s="19">
        <f>SUM('Monthly Gallon Summary'!V108:V110)</f>
        <v>0</v>
      </c>
      <c r="W54" s="19">
        <f>SUM('Monthly Gallon Summary'!W108:W110)</f>
        <v>0</v>
      </c>
      <c r="X54" s="19">
        <f>SUM('Monthly Gallon Summary'!X108:X110)</f>
        <v>0</v>
      </c>
      <c r="Y54" s="19">
        <f>SUM('Monthly Gallon Summary'!Y108:Y110)</f>
        <v>0</v>
      </c>
      <c r="Z54" s="19">
        <f>SUM('Monthly Gallon Summary'!Z108:Z110)</f>
        <v>0</v>
      </c>
      <c r="AA54" s="19">
        <f>SUM('Monthly Gallon Summary'!AA108:AA110)</f>
        <v>0</v>
      </c>
      <c r="AB54" s="31"/>
      <c r="AC54" s="77">
        <f t="shared" si="29"/>
        <v>0.26160107684946565</v>
      </c>
      <c r="AD54" s="26" t="e">
        <f t="shared" si="28"/>
        <v>#DIV/0!</v>
      </c>
    </row>
    <row r="55" spans="1:30">
      <c r="A55" s="14" t="s">
        <v>29</v>
      </c>
      <c r="B55" s="18">
        <f t="shared" ref="B55:J55" si="30">SUM(B51:B54)</f>
        <v>0</v>
      </c>
      <c r="C55" s="18">
        <f t="shared" si="30"/>
        <v>0</v>
      </c>
      <c r="D55" s="18">
        <f t="shared" si="30"/>
        <v>0</v>
      </c>
      <c r="E55" s="18">
        <f t="shared" si="30"/>
        <v>21602599</v>
      </c>
      <c r="F55" s="18">
        <f t="shared" si="30"/>
        <v>5612400</v>
      </c>
      <c r="G55" s="18">
        <f t="shared" si="30"/>
        <v>0</v>
      </c>
      <c r="H55" s="18">
        <f t="shared" si="30"/>
        <v>0</v>
      </c>
      <c r="I55" s="18">
        <f t="shared" si="30"/>
        <v>757255</v>
      </c>
      <c r="J55" s="18">
        <f t="shared" si="30"/>
        <v>0</v>
      </c>
      <c r="K55" s="18">
        <f>SUM(K51:K54)</f>
        <v>0</v>
      </c>
      <c r="L55" s="18">
        <f t="shared" ref="L55:AA55" si="31">SUM(L51:L54)</f>
        <v>0</v>
      </c>
      <c r="M55" s="18">
        <f t="shared" si="31"/>
        <v>2859906</v>
      </c>
      <c r="N55" s="18">
        <f t="shared" si="31"/>
        <v>0</v>
      </c>
      <c r="O55" s="18">
        <f t="shared" si="31"/>
        <v>0</v>
      </c>
      <c r="P55" s="18">
        <f t="shared" si="31"/>
        <v>112476722</v>
      </c>
      <c r="Q55" s="19">
        <f t="shared" si="31"/>
        <v>12677402</v>
      </c>
      <c r="R55" s="19">
        <f t="shared" si="31"/>
        <v>0</v>
      </c>
      <c r="S55" s="19">
        <f t="shared" si="31"/>
        <v>0</v>
      </c>
      <c r="T55" s="19">
        <f t="shared" si="31"/>
        <v>0</v>
      </c>
      <c r="U55" s="19">
        <f t="shared" si="31"/>
        <v>0</v>
      </c>
      <c r="V55" s="19">
        <f t="shared" si="31"/>
        <v>0</v>
      </c>
      <c r="W55" s="19">
        <f t="shared" si="31"/>
        <v>0</v>
      </c>
      <c r="X55" s="19">
        <f t="shared" si="31"/>
        <v>0</v>
      </c>
      <c r="Y55" s="19">
        <f t="shared" si="31"/>
        <v>0</v>
      </c>
      <c r="Z55" s="19">
        <f t="shared" si="31"/>
        <v>0</v>
      </c>
      <c r="AA55" s="19">
        <f t="shared" si="31"/>
        <v>0</v>
      </c>
      <c r="AB55" s="31"/>
      <c r="AC55" s="77">
        <f>P55/AVERAGE(K55:O55)-1</f>
        <v>195.64408900152665</v>
      </c>
      <c r="AD55" s="26" t="e">
        <f t="shared" si="28"/>
        <v>#DIV/0!</v>
      </c>
    </row>
    <row r="56" spans="1:30">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row>
    <row r="57" spans="1:30" ht="15.75">
      <c r="A57" s="76" t="s">
        <v>105</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476">
        <v>2024</v>
      </c>
      <c r="AD57" s="476"/>
    </row>
    <row r="58" spans="1:30">
      <c r="B58" s="14">
        <f>B2</f>
        <v>2010</v>
      </c>
      <c r="C58" s="14">
        <f t="shared" ref="C58:AA58" si="32">C2</f>
        <v>2011</v>
      </c>
      <c r="D58" s="14">
        <f t="shared" si="32"/>
        <v>2012</v>
      </c>
      <c r="E58" s="14">
        <f t="shared" si="32"/>
        <v>2013</v>
      </c>
      <c r="F58" s="14">
        <f t="shared" si="32"/>
        <v>2014</v>
      </c>
      <c r="G58" s="14">
        <f t="shared" si="32"/>
        <v>2015</v>
      </c>
      <c r="H58" s="14">
        <f t="shared" si="32"/>
        <v>2016</v>
      </c>
      <c r="I58" s="14">
        <f t="shared" si="32"/>
        <v>2017</v>
      </c>
      <c r="J58" s="14">
        <f t="shared" si="32"/>
        <v>2018</v>
      </c>
      <c r="K58" s="14">
        <f t="shared" si="32"/>
        <v>2019</v>
      </c>
      <c r="L58" s="14">
        <f t="shared" si="32"/>
        <v>2020</v>
      </c>
      <c r="M58" s="14">
        <f t="shared" si="32"/>
        <v>2021</v>
      </c>
      <c r="N58" s="14">
        <f t="shared" si="32"/>
        <v>2022</v>
      </c>
      <c r="O58" s="14">
        <f t="shared" si="32"/>
        <v>2023</v>
      </c>
      <c r="P58" s="14">
        <f t="shared" si="32"/>
        <v>2024</v>
      </c>
      <c r="Q58" s="14">
        <f t="shared" si="32"/>
        <v>2025</v>
      </c>
      <c r="R58" s="14">
        <f t="shared" si="32"/>
        <v>2026</v>
      </c>
      <c r="S58" s="14">
        <f t="shared" si="32"/>
        <v>2027</v>
      </c>
      <c r="T58" s="14">
        <f t="shared" si="32"/>
        <v>2028</v>
      </c>
      <c r="U58" s="14">
        <f t="shared" si="32"/>
        <v>2029</v>
      </c>
      <c r="V58" s="14">
        <f t="shared" si="32"/>
        <v>2030</v>
      </c>
      <c r="W58" s="14">
        <f t="shared" si="32"/>
        <v>2031</v>
      </c>
      <c r="X58" s="14">
        <f t="shared" si="32"/>
        <v>2032</v>
      </c>
      <c r="Y58" s="14">
        <f t="shared" si="32"/>
        <v>2033</v>
      </c>
      <c r="Z58" s="14">
        <f t="shared" si="32"/>
        <v>2034</v>
      </c>
      <c r="AA58" s="14">
        <f t="shared" si="32"/>
        <v>2035</v>
      </c>
      <c r="AB58" s="14"/>
      <c r="AC58" s="14" t="s">
        <v>166</v>
      </c>
      <c r="AD58" s="14" t="s">
        <v>167</v>
      </c>
    </row>
    <row r="59" spans="1:30">
      <c r="A59" s="14" t="s">
        <v>168</v>
      </c>
      <c r="B59" s="18">
        <f>SUM('Monthly Gallon Summary'!B115:B117)</f>
        <v>0</v>
      </c>
      <c r="C59" s="18">
        <f>SUM('Monthly Gallon Summary'!C115:C117)</f>
        <v>0</v>
      </c>
      <c r="D59" s="18">
        <f>SUM('Monthly Gallon Summary'!D115:D117)</f>
        <v>3118428</v>
      </c>
      <c r="E59" s="18">
        <f>SUM('Monthly Gallon Summary'!E115:E117)</f>
        <v>20017118</v>
      </c>
      <c r="F59" s="18">
        <f>SUM('Monthly Gallon Summary'!F115:F117)</f>
        <v>99511380</v>
      </c>
      <c r="G59" s="18">
        <f>SUM('Monthly Gallon Summary'!G115:G117)</f>
        <v>81851577</v>
      </c>
      <c r="H59" s="18">
        <f>SUM('Monthly Gallon Summary'!H115:H117)</f>
        <v>76567987</v>
      </c>
      <c r="I59" s="18">
        <f>SUM('Monthly Gallon Summary'!I115:I117)</f>
        <v>85600253</v>
      </c>
      <c r="J59" s="18">
        <f>SUM('Monthly Gallon Summary'!J115:J117)</f>
        <v>88545451</v>
      </c>
      <c r="K59" s="18">
        <f>SUM('Monthly Gallon Summary'!K115:K117)</f>
        <v>93833099</v>
      </c>
      <c r="L59" s="18">
        <f>SUM('Monthly Gallon Summary'!L115:L117)</f>
        <v>114140158</v>
      </c>
      <c r="M59" s="18">
        <f>SUM('Monthly Gallon Summary'!M115:M117)</f>
        <v>114824394</v>
      </c>
      <c r="N59" s="18">
        <f>SUM('Monthly Gallon Summary'!N115:N117)</f>
        <v>111179391</v>
      </c>
      <c r="O59" s="18">
        <f>SUM('Monthly Gallon Summary'!O115:O117)</f>
        <v>116560170</v>
      </c>
      <c r="P59" s="18">
        <f>SUM('Monthly Gallon Summary'!P115:P117)</f>
        <v>107080297</v>
      </c>
      <c r="Q59" s="18">
        <f>SUM('Monthly Gallon Summary'!Q115:Q117)</f>
        <v>7434618</v>
      </c>
      <c r="R59" s="19">
        <f>SUM('Monthly Gallon Summary'!R115:R117)</f>
        <v>67215551.277829468</v>
      </c>
      <c r="S59" s="19">
        <f>SUM('Monthly Gallon Summary'!S115:S117)</f>
        <v>61296982.240499005</v>
      </c>
      <c r="T59" s="19">
        <f>SUM('Monthly Gallon Summary'!T115:T117)</f>
        <v>54085626.088071972</v>
      </c>
      <c r="U59" s="19">
        <f>SUM('Monthly Gallon Summary'!U115:U117)</f>
        <v>48890503.047033966</v>
      </c>
      <c r="V59" s="19">
        <f>SUM('Monthly Gallon Summary'!V115:V117)</f>
        <v>38398384.39073053</v>
      </c>
      <c r="W59" s="19">
        <f>SUM('Monthly Gallon Summary'!W115:W117)</f>
        <v>44163334.97086335</v>
      </c>
      <c r="X59" s="19">
        <f>SUM('Monthly Gallon Summary'!X115:X117)</f>
        <v>38719189.135246873</v>
      </c>
      <c r="Y59" s="19">
        <f>SUM('Monthly Gallon Summary'!Y115:Y117)</f>
        <v>36262840.127719045</v>
      </c>
      <c r="Z59" s="19">
        <f>SUM('Monthly Gallon Summary'!Z115:Z117)</f>
        <v>34090059.909070529</v>
      </c>
      <c r="AA59" s="19">
        <f>SUM('Monthly Gallon Summary'!AA115:AA117)</f>
        <v>33817730.917699471</v>
      </c>
      <c r="AB59" s="31"/>
      <c r="AC59" s="26">
        <f>P59/O62-1</f>
        <v>-0.11483763598091379</v>
      </c>
      <c r="AD59" s="26">
        <f>P59/O59-1</f>
        <v>-8.1330294902624112E-2</v>
      </c>
    </row>
    <row r="60" spans="1:30">
      <c r="A60" s="14" t="s">
        <v>169</v>
      </c>
      <c r="B60" s="18">
        <f>SUM('Monthly Gallon Summary'!B118:B120)</f>
        <v>0</v>
      </c>
      <c r="C60" s="18">
        <f>SUM('Monthly Gallon Summary'!C118:C120)</f>
        <v>0</v>
      </c>
      <c r="D60" s="18">
        <f>SUM('Monthly Gallon Summary'!D118:D120)</f>
        <v>6776715</v>
      </c>
      <c r="E60" s="18">
        <f>SUM('Monthly Gallon Summary'!E118:E120)</f>
        <v>55655916</v>
      </c>
      <c r="F60" s="18">
        <f>SUM('Monthly Gallon Summary'!F118:F120)</f>
        <v>99826342</v>
      </c>
      <c r="G60" s="18">
        <f>SUM('Monthly Gallon Summary'!G118:G120)</f>
        <v>85250033</v>
      </c>
      <c r="H60" s="18">
        <f>SUM('Monthly Gallon Summary'!H118:H120)</f>
        <v>95119405</v>
      </c>
      <c r="I60" s="18">
        <f>SUM('Monthly Gallon Summary'!I118:I120)</f>
        <v>87450706</v>
      </c>
      <c r="J60" s="18">
        <f>SUM('Monthly Gallon Summary'!J118:J120)</f>
        <v>92278749</v>
      </c>
      <c r="K60" s="18">
        <f>SUM('Monthly Gallon Summary'!K118:K120)</f>
        <v>108081699</v>
      </c>
      <c r="L60" s="18">
        <f>SUM('Monthly Gallon Summary'!L118:L120)</f>
        <v>91767058</v>
      </c>
      <c r="M60" s="18">
        <f>SUM('Monthly Gallon Summary'!M118:M120)</f>
        <v>126040743</v>
      </c>
      <c r="N60" s="18">
        <f>SUM('Monthly Gallon Summary'!N118:N120)</f>
        <v>122880813</v>
      </c>
      <c r="O60" s="18">
        <f>SUM('Monthly Gallon Summary'!O118:O120)</f>
        <v>137878505</v>
      </c>
      <c r="P60" s="18">
        <f>SUM('Monthly Gallon Summary'!P118:P120)</f>
        <v>113779547</v>
      </c>
      <c r="Q60" s="19">
        <f>SUM('Monthly Gallon Summary'!Q118:Q120)</f>
        <v>59587919.82198213</v>
      </c>
      <c r="R60" s="19">
        <f>SUM('Monthly Gallon Summary'!R118:R120)</f>
        <v>81983425.743109614</v>
      </c>
      <c r="S60" s="19">
        <f>SUM('Monthly Gallon Summary'!S118:S120)</f>
        <v>77321579.507003561</v>
      </c>
      <c r="T60" s="19">
        <f>SUM('Monthly Gallon Summary'!T118:T120)</f>
        <v>70746910.332391977</v>
      </c>
      <c r="U60" s="19">
        <f>SUM('Monthly Gallon Summary'!U118:U120)</f>
        <v>66383401.574661851</v>
      </c>
      <c r="V60" s="19">
        <f>SUM('Monthly Gallon Summary'!V118:V120)</f>
        <v>57218020.228791833</v>
      </c>
      <c r="W60" s="19">
        <f>SUM('Monthly Gallon Summary'!W118:W120)</f>
        <v>57870546.11770235</v>
      </c>
      <c r="X60" s="19">
        <f>SUM('Monthly Gallon Summary'!X118:X120)</f>
        <v>51692620.825184569</v>
      </c>
      <c r="Y60" s="19">
        <f>SUM('Monthly Gallon Summary'!Y118:Y120)</f>
        <v>49143136.021241859</v>
      </c>
      <c r="Z60" s="19">
        <f>SUM('Monthly Gallon Summary'!Z118:Z120)</f>
        <v>46619624.273545727</v>
      </c>
      <c r="AA60" s="19">
        <f>SUM('Monthly Gallon Summary'!AA118:AA120)</f>
        <v>46331284.847023472</v>
      </c>
      <c r="AB60" s="31"/>
      <c r="AC60" s="77">
        <f>P60/P59-1</f>
        <v>6.2562863455636553E-2</v>
      </c>
      <c r="AD60" s="26">
        <f t="shared" ref="AD60:AD63" si="33">P60/O60-1</f>
        <v>-0.17478401002389754</v>
      </c>
    </row>
    <row r="61" spans="1:30">
      <c r="A61" s="14" t="s">
        <v>170</v>
      </c>
      <c r="B61" s="18">
        <f>SUM('Monthly Gallon Summary'!A121:A123)</f>
        <v>0</v>
      </c>
      <c r="C61" s="18">
        <f>SUM('Monthly Gallon Summary'!B121:B123)</f>
        <v>0</v>
      </c>
      <c r="D61" s="18">
        <f>SUM('Monthly Gallon Summary'!C121:C123)</f>
        <v>0</v>
      </c>
      <c r="E61" s="18">
        <f>SUM('Monthly Gallon Summary'!D121:D123)</f>
        <v>12930031</v>
      </c>
      <c r="F61" s="18">
        <f>SUM('Monthly Gallon Summary'!E121:E123)</f>
        <v>105628703</v>
      </c>
      <c r="G61" s="18">
        <f>SUM('Monthly Gallon Summary'!F121:F123)</f>
        <v>67031147</v>
      </c>
      <c r="H61" s="18">
        <f>SUM('Monthly Gallon Summary'!G121:G123)</f>
        <v>88094565</v>
      </c>
      <c r="I61" s="18">
        <f>SUM('Monthly Gallon Summary'!H121:H123)</f>
        <v>91768402</v>
      </c>
      <c r="J61" s="18">
        <f>SUM('Monthly Gallon Summary'!I121:I123)</f>
        <v>90988728</v>
      </c>
      <c r="K61" s="18">
        <f>SUM('Monthly Gallon Summary'!J121:J123)</f>
        <v>81867466</v>
      </c>
      <c r="L61" s="18">
        <f>SUM('Monthly Gallon Summary'!K121:K123)</f>
        <v>94632434</v>
      </c>
      <c r="M61" s="18">
        <f>SUM('Monthly Gallon Summary'!L121:L123)</f>
        <v>101246032</v>
      </c>
      <c r="N61" s="18">
        <f>SUM('Monthly Gallon Summary'!M121:M123)</f>
        <v>77361587</v>
      </c>
      <c r="O61" s="18">
        <f>SUM('Monthly Gallon Summary'!N121:N123)</f>
        <v>70748157</v>
      </c>
      <c r="P61" s="18">
        <f>SUM('Monthly Gallon Summary'!O121:O123)</f>
        <v>63698995</v>
      </c>
      <c r="Q61" s="19">
        <f>SUM('Monthly Gallon Summary'!P121:P123)</f>
        <v>63272822</v>
      </c>
      <c r="R61" s="19">
        <f>SUM('Monthly Gallon Summary'!Q121:Q123)</f>
        <v>46544758.133956484</v>
      </c>
      <c r="S61" s="19">
        <f>SUM('Monthly Gallon Summary'!R121:R123)</f>
        <v>48909598.093861297</v>
      </c>
      <c r="T61" s="19">
        <f>SUM('Monthly Gallon Summary'!S121:S123)</f>
        <v>44981148.886882648</v>
      </c>
      <c r="U61" s="19">
        <f>SUM('Monthly Gallon Summary'!T121:T123)</f>
        <v>42046377.895584159</v>
      </c>
      <c r="V61" s="19">
        <f>SUM('Monthly Gallon Summary'!U121:U123)</f>
        <v>40439388.842262089</v>
      </c>
      <c r="W61" s="19">
        <f>SUM('Monthly Gallon Summary'!V121:V123)</f>
        <v>35826632.976302139</v>
      </c>
      <c r="X61" s="19">
        <f>SUM('Monthly Gallon Summary'!W121:W123)</f>
        <v>34724151.277346015</v>
      </c>
      <c r="Y61" s="19">
        <f>SUM('Monthly Gallon Summary'!X121:X123)</f>
        <v>31061599.980921902</v>
      </c>
      <c r="Z61" s="19">
        <f>SUM('Monthly Gallon Summary'!Y121:Y123)</f>
        <v>29769062.710433275</v>
      </c>
      <c r="AA61" s="19">
        <f>SUM('Monthly Gallon Summary'!Z121:Z123)</f>
        <v>28374082.974043831</v>
      </c>
      <c r="AB61" s="31"/>
      <c r="AC61" s="77">
        <f t="shared" ref="AC61:AC62" si="34">P61/P60-1</f>
        <v>-0.44015425724976742</v>
      </c>
      <c r="AD61" s="26">
        <f t="shared" si="33"/>
        <v>-9.9637394087877085E-2</v>
      </c>
    </row>
    <row r="62" spans="1:30">
      <c r="A62" s="14" t="s">
        <v>171</v>
      </c>
      <c r="B62" s="18">
        <f>SUM('Monthly Gallon Summary'!A124:A126)</f>
        <v>0</v>
      </c>
      <c r="C62" s="18">
        <f>SUM('Monthly Gallon Summary'!B124:B126)</f>
        <v>0</v>
      </c>
      <c r="D62" s="18">
        <f>SUM('Monthly Gallon Summary'!C124:C126)</f>
        <v>0</v>
      </c>
      <c r="E62" s="18">
        <f>SUM('Monthly Gallon Summary'!D124:D126)</f>
        <v>27447748</v>
      </c>
      <c r="F62" s="18">
        <f>SUM('Monthly Gallon Summary'!E124:E126)</f>
        <v>100495206</v>
      </c>
      <c r="G62" s="18">
        <f>SUM('Monthly Gallon Summary'!F124:F126)</f>
        <v>56770221</v>
      </c>
      <c r="H62" s="18">
        <f>SUM('Monthly Gallon Summary'!G124:G126)</f>
        <v>81100783</v>
      </c>
      <c r="I62" s="18">
        <f>SUM('Monthly Gallon Summary'!H124:H126)</f>
        <v>86230242</v>
      </c>
      <c r="J62" s="18">
        <f>SUM('Monthly Gallon Summary'!I124:I126)</f>
        <v>79584753</v>
      </c>
      <c r="K62" s="18">
        <f>SUM('Monthly Gallon Summary'!J124:J126)</f>
        <v>47154971</v>
      </c>
      <c r="L62" s="18">
        <f>SUM('Monthly Gallon Summary'!K124:K126)</f>
        <v>121450260</v>
      </c>
      <c r="M62" s="18">
        <f>SUM('Monthly Gallon Summary'!L124:L126)</f>
        <v>126130906</v>
      </c>
      <c r="N62" s="18">
        <f>SUM('Monthly Gallon Summary'!M124:M126)</f>
        <v>131627328</v>
      </c>
      <c r="O62" s="18">
        <f>SUM('Monthly Gallon Summary'!N124:N126)</f>
        <v>120972492</v>
      </c>
      <c r="P62" s="18">
        <f>SUM('Monthly Gallon Summary'!O124:O126)</f>
        <v>134153853</v>
      </c>
      <c r="Q62" s="19">
        <f>SUM('Monthly Gallon Summary'!P124:P126)</f>
        <v>26915719</v>
      </c>
      <c r="R62" s="19">
        <f>SUM('Monthly Gallon Summary'!Q124:Q126)</f>
        <v>97011410.294061378</v>
      </c>
      <c r="S62" s="19">
        <f>SUM('Monthly Gallon Summary'!R124:R126)</f>
        <v>75643743.010199621</v>
      </c>
      <c r="T62" s="19">
        <f>SUM('Monthly Gallon Summary'!S124:S126)</f>
        <v>69094736.865614757</v>
      </c>
      <c r="U62" s="19">
        <f>SUM('Monthly Gallon Summary'!T124:T126)</f>
        <v>64757662.558951929</v>
      </c>
      <c r="V62" s="19">
        <f>SUM('Monthly Gallon Summary'!U124:U126)</f>
        <v>54865412.786042094</v>
      </c>
      <c r="W62" s="19">
        <f>SUM('Monthly Gallon Summary'!V124:V126)</f>
        <v>58077798.02917552</v>
      </c>
      <c r="X62" s="19">
        <f>SUM('Monthly Gallon Summary'!W124:W126)</f>
        <v>52762803.259088308</v>
      </c>
      <c r="Y62" s="19">
        <f>SUM('Monthly Gallon Summary'!X124:X126)</f>
        <v>46989555.058646671</v>
      </c>
      <c r="Z62" s="19">
        <f>SUM('Monthly Gallon Summary'!Y124:Y126)</f>
        <v>44864777.890605807</v>
      </c>
      <c r="AA62" s="19">
        <f>SUM('Monthly Gallon Summary'!Z124:Z126)</f>
        <v>42532901.343339942</v>
      </c>
      <c r="AB62" s="31"/>
      <c r="AC62" s="77">
        <f t="shared" si="34"/>
        <v>1.1060591772287771</v>
      </c>
      <c r="AD62" s="26">
        <f t="shared" si="33"/>
        <v>0.10896163898152977</v>
      </c>
    </row>
    <row r="63" spans="1:30">
      <c r="A63" s="14" t="s">
        <v>29</v>
      </c>
      <c r="B63" s="18">
        <f t="shared" ref="B63:J63" si="35">SUM(B59:B62)</f>
        <v>0</v>
      </c>
      <c r="C63" s="18">
        <f t="shared" si="35"/>
        <v>0</v>
      </c>
      <c r="D63" s="18">
        <f t="shared" si="35"/>
        <v>9895143</v>
      </c>
      <c r="E63" s="18">
        <f t="shared" si="35"/>
        <v>116050813</v>
      </c>
      <c r="F63" s="18">
        <f t="shared" si="35"/>
        <v>405461631</v>
      </c>
      <c r="G63" s="18">
        <f t="shared" si="35"/>
        <v>290902978</v>
      </c>
      <c r="H63" s="18">
        <f t="shared" si="35"/>
        <v>340882740</v>
      </c>
      <c r="I63" s="18">
        <f t="shared" si="35"/>
        <v>351049603</v>
      </c>
      <c r="J63" s="18">
        <f t="shared" si="35"/>
        <v>351397681</v>
      </c>
      <c r="K63" s="18">
        <f t="shared" ref="K63:AA63" si="36">SUM(K59:K62)</f>
        <v>330937235</v>
      </c>
      <c r="L63" s="18">
        <f t="shared" si="36"/>
        <v>421989910</v>
      </c>
      <c r="M63" s="18">
        <f t="shared" si="36"/>
        <v>468242075</v>
      </c>
      <c r="N63" s="18">
        <f t="shared" si="36"/>
        <v>443049119</v>
      </c>
      <c r="O63" s="18">
        <f t="shared" si="36"/>
        <v>446159324</v>
      </c>
      <c r="P63" s="18">
        <f t="shared" si="36"/>
        <v>418712692</v>
      </c>
      <c r="Q63" s="19">
        <f t="shared" si="36"/>
        <v>157211078.82198215</v>
      </c>
      <c r="R63" s="19">
        <f t="shared" si="36"/>
        <v>292755145.44895697</v>
      </c>
      <c r="S63" s="19">
        <f t="shared" si="36"/>
        <v>263171902.85156345</v>
      </c>
      <c r="T63" s="19">
        <f t="shared" si="36"/>
        <v>238908422.17296135</v>
      </c>
      <c r="U63" s="19">
        <f t="shared" si="36"/>
        <v>222077945.0762319</v>
      </c>
      <c r="V63" s="19">
        <f t="shared" si="36"/>
        <v>190921206.24782655</v>
      </c>
      <c r="W63" s="19">
        <f t="shared" si="36"/>
        <v>195938312.09404337</v>
      </c>
      <c r="X63" s="19">
        <f t="shared" si="36"/>
        <v>177898764.49686575</v>
      </c>
      <c r="Y63" s="19">
        <f t="shared" si="36"/>
        <v>163457131.18852949</v>
      </c>
      <c r="Z63" s="19">
        <f t="shared" si="36"/>
        <v>155343524.78365535</v>
      </c>
      <c r="AA63" s="19">
        <f t="shared" si="36"/>
        <v>151056000.08210671</v>
      </c>
      <c r="AB63" s="31"/>
      <c r="AC63" s="77">
        <f>P63/AVERAGE(K63:O63)-1</f>
        <v>-7.9673905267259038E-3</v>
      </c>
      <c r="AD63" s="26">
        <f t="shared" si="33"/>
        <v>-6.1517557795116251E-2</v>
      </c>
    </row>
    <row r="66" spans="1:30" ht="15.75">
      <c r="A66" s="76" t="s">
        <v>106</v>
      </c>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476">
        <v>2024</v>
      </c>
      <c r="AD66" s="476"/>
    </row>
    <row r="67" spans="1:30">
      <c r="B67" s="14">
        <f>B2</f>
        <v>2010</v>
      </c>
      <c r="C67" s="14"/>
      <c r="D67" s="14"/>
      <c r="E67" s="14"/>
      <c r="F67" s="14"/>
      <c r="G67" s="14"/>
      <c r="H67" s="14"/>
      <c r="I67" s="14"/>
      <c r="J67" s="14"/>
      <c r="K67" s="14">
        <f t="shared" ref="K67:T67" si="37">K2</f>
        <v>2019</v>
      </c>
      <c r="L67" s="14">
        <f t="shared" si="37"/>
        <v>2020</v>
      </c>
      <c r="M67" s="14">
        <f t="shared" si="37"/>
        <v>2021</v>
      </c>
      <c r="N67" s="14">
        <f t="shared" si="37"/>
        <v>2022</v>
      </c>
      <c r="O67" s="14">
        <f t="shared" si="37"/>
        <v>2023</v>
      </c>
      <c r="P67" s="14">
        <f t="shared" si="37"/>
        <v>2024</v>
      </c>
      <c r="Q67" s="14">
        <f t="shared" si="37"/>
        <v>2025</v>
      </c>
      <c r="R67" s="14">
        <f t="shared" si="37"/>
        <v>2026</v>
      </c>
      <c r="S67" s="14">
        <f t="shared" si="37"/>
        <v>2027</v>
      </c>
      <c r="T67" s="14">
        <f t="shared" si="37"/>
        <v>2028</v>
      </c>
      <c r="U67" s="14">
        <f>U2</f>
        <v>2029</v>
      </c>
      <c r="V67" s="14"/>
      <c r="W67" s="14"/>
      <c r="X67" s="14"/>
      <c r="Y67" s="14"/>
      <c r="Z67" s="14"/>
      <c r="AA67" s="14"/>
      <c r="AB67" s="14"/>
      <c r="AC67" s="14" t="s">
        <v>166</v>
      </c>
      <c r="AD67" s="14" t="s">
        <v>167</v>
      </c>
    </row>
    <row r="68" spans="1:30">
      <c r="A68" s="14" t="s">
        <v>168</v>
      </c>
      <c r="B68" s="18">
        <f>B11+B43</f>
        <v>1833131</v>
      </c>
      <c r="C68" s="18">
        <f t="shared" ref="C68:AA71" si="38">C11+C43</f>
        <v>146828011</v>
      </c>
      <c r="D68" s="18">
        <f t="shared" si="38"/>
        <v>240958469</v>
      </c>
      <c r="E68" s="18">
        <f t="shared" si="38"/>
        <v>251157858</v>
      </c>
      <c r="F68" s="18">
        <f t="shared" si="38"/>
        <v>254941447</v>
      </c>
      <c r="G68" s="18">
        <f t="shared" si="38"/>
        <v>258193876</v>
      </c>
      <c r="H68" s="18">
        <f t="shared" si="38"/>
        <v>349768182</v>
      </c>
      <c r="I68" s="18">
        <f t="shared" si="38"/>
        <v>311366881</v>
      </c>
      <c r="J68" s="18">
        <f t="shared" si="38"/>
        <v>431580505</v>
      </c>
      <c r="K68" s="18">
        <f t="shared" si="38"/>
        <v>485070391</v>
      </c>
      <c r="L68" s="18">
        <f t="shared" si="38"/>
        <v>520912421</v>
      </c>
      <c r="M68" s="18">
        <f t="shared" si="38"/>
        <v>528292918</v>
      </c>
      <c r="N68" s="18">
        <f t="shared" si="38"/>
        <v>635487775</v>
      </c>
      <c r="O68" s="18">
        <f t="shared" si="38"/>
        <v>838700714</v>
      </c>
      <c r="P68" s="18">
        <f t="shared" si="38"/>
        <v>1058135048</v>
      </c>
      <c r="Q68" s="18">
        <f t="shared" si="38"/>
        <v>868162264</v>
      </c>
      <c r="R68" s="19">
        <f t="shared" si="38"/>
        <v>880919073.50777161</v>
      </c>
      <c r="S68" s="19">
        <f t="shared" si="38"/>
        <v>921928136.12906599</v>
      </c>
      <c r="T68" s="19">
        <f t="shared" si="38"/>
        <v>872864891.48052955</v>
      </c>
      <c r="U68" s="19">
        <f t="shared" si="38"/>
        <v>910222757.6751287</v>
      </c>
      <c r="V68" s="19">
        <f t="shared" si="38"/>
        <v>935287626.4950887</v>
      </c>
      <c r="W68" s="19">
        <f t="shared" si="38"/>
        <v>1003622573.6329811</v>
      </c>
      <c r="X68" s="19">
        <f t="shared" si="38"/>
        <v>1150584966.9339011</v>
      </c>
      <c r="Y68" s="19">
        <f t="shared" si="38"/>
        <v>1147968468.5762062</v>
      </c>
      <c r="Z68" s="19">
        <f t="shared" si="38"/>
        <v>1108442717.114553</v>
      </c>
      <c r="AA68" s="19">
        <f t="shared" si="38"/>
        <v>1148286750.5674233</v>
      </c>
      <c r="AB68" s="31"/>
      <c r="AC68" s="26">
        <f>P68/O71-1</f>
        <v>1.453556816506385E-3</v>
      </c>
      <c r="AD68" s="26">
        <f>P68/O68-1</f>
        <v>0.26163604052923217</v>
      </c>
    </row>
    <row r="69" spans="1:30">
      <c r="A69" s="14" t="s">
        <v>169</v>
      </c>
      <c r="B69" s="18">
        <f>B12+B44</f>
        <v>1869566</v>
      </c>
      <c r="C69" s="18">
        <f t="shared" si="38"/>
        <v>181664232</v>
      </c>
      <c r="D69" s="18">
        <f t="shared" si="38"/>
        <v>272757322</v>
      </c>
      <c r="E69" s="18">
        <f t="shared" si="38"/>
        <v>291432698</v>
      </c>
      <c r="F69" s="18">
        <f t="shared" si="38"/>
        <v>304983192</v>
      </c>
      <c r="G69" s="18">
        <f t="shared" si="38"/>
        <v>307046091</v>
      </c>
      <c r="H69" s="18">
        <f t="shared" si="38"/>
        <v>399958196</v>
      </c>
      <c r="I69" s="18">
        <f t="shared" si="38"/>
        <v>371597537</v>
      </c>
      <c r="J69" s="18">
        <f t="shared" si="38"/>
        <v>477792454</v>
      </c>
      <c r="K69" s="18">
        <f t="shared" si="38"/>
        <v>540349205</v>
      </c>
      <c r="L69" s="18">
        <f t="shared" si="38"/>
        <v>548646094</v>
      </c>
      <c r="M69" s="18">
        <f t="shared" si="38"/>
        <v>565646630</v>
      </c>
      <c r="N69" s="18">
        <f t="shared" si="38"/>
        <v>708529560</v>
      </c>
      <c r="O69" s="18">
        <f t="shared" si="38"/>
        <v>879117090</v>
      </c>
      <c r="P69" s="18">
        <f t="shared" si="38"/>
        <v>1125342694</v>
      </c>
      <c r="Q69" s="19">
        <f t="shared" si="38"/>
        <v>918715203.20223284</v>
      </c>
      <c r="R69" s="19">
        <f t="shared" si="38"/>
        <v>924974550.84523177</v>
      </c>
      <c r="S69" s="19">
        <f t="shared" si="38"/>
        <v>976741096.45926392</v>
      </c>
      <c r="T69" s="19">
        <f t="shared" si="38"/>
        <v>918461981.38665557</v>
      </c>
      <c r="U69" s="19">
        <f t="shared" si="38"/>
        <v>962094436.91371489</v>
      </c>
      <c r="V69" s="19">
        <f t="shared" si="38"/>
        <v>992818632.80882645</v>
      </c>
      <c r="W69" s="19">
        <f t="shared" si="38"/>
        <v>1057843209.7480297</v>
      </c>
      <c r="X69" s="19">
        <f t="shared" si="38"/>
        <v>1212854516.4301925</v>
      </c>
      <c r="Y69" s="19">
        <f t="shared" si="38"/>
        <v>1187994711.798738</v>
      </c>
      <c r="Z69" s="19">
        <f t="shared" si="38"/>
        <v>1156398408.2556992</v>
      </c>
      <c r="AA69" s="19">
        <f t="shared" si="38"/>
        <v>1196137376.805774</v>
      </c>
      <c r="AB69" s="31"/>
      <c r="AC69" s="77">
        <f>P69/P68-1</f>
        <v>6.3515187524532335E-2</v>
      </c>
      <c r="AD69" s="26">
        <f t="shared" ref="AD69:AD72" si="39">P69/O69-1</f>
        <v>0.2800828317420152</v>
      </c>
    </row>
    <row r="70" spans="1:30">
      <c r="A70" s="14" t="s">
        <v>170</v>
      </c>
      <c r="B70" s="18">
        <f>B13+B45</f>
        <v>1816648</v>
      </c>
      <c r="C70" s="18">
        <f t="shared" si="38"/>
        <v>224343320</v>
      </c>
      <c r="D70" s="18">
        <f t="shared" si="38"/>
        <v>307960648</v>
      </c>
      <c r="E70" s="18">
        <f t="shared" si="38"/>
        <v>337396691</v>
      </c>
      <c r="F70" s="18">
        <f t="shared" si="38"/>
        <v>349424282</v>
      </c>
      <c r="G70" s="18">
        <f t="shared" si="38"/>
        <v>367989188</v>
      </c>
      <c r="H70" s="18">
        <f t="shared" si="38"/>
        <v>449421179</v>
      </c>
      <c r="I70" s="18">
        <f t="shared" si="38"/>
        <v>443545465</v>
      </c>
      <c r="J70" s="18">
        <f t="shared" si="38"/>
        <v>528395063</v>
      </c>
      <c r="K70" s="18">
        <f t="shared" si="38"/>
        <v>587270343</v>
      </c>
      <c r="L70" s="18">
        <f t="shared" si="38"/>
        <v>572907819</v>
      </c>
      <c r="M70" s="18">
        <f t="shared" si="38"/>
        <v>615143257</v>
      </c>
      <c r="N70" s="18">
        <f t="shared" si="38"/>
        <v>772641384</v>
      </c>
      <c r="O70" s="18">
        <f t="shared" si="38"/>
        <v>1016162991</v>
      </c>
      <c r="P70" s="18">
        <f t="shared" si="38"/>
        <v>1132710733</v>
      </c>
      <c r="Q70" s="19">
        <f t="shared" si="38"/>
        <v>995391993.74734831</v>
      </c>
      <c r="R70" s="19">
        <f t="shared" si="38"/>
        <v>978067792.13726175</v>
      </c>
      <c r="S70" s="19">
        <f t="shared" si="38"/>
        <v>1041487897.5728974</v>
      </c>
      <c r="T70" s="19">
        <f t="shared" si="38"/>
        <v>977505668.58842444</v>
      </c>
      <c r="U70" s="19">
        <f t="shared" si="38"/>
        <v>1023097803.2203908</v>
      </c>
      <c r="V70" s="19">
        <f t="shared" si="38"/>
        <v>1060560531.9528346</v>
      </c>
      <c r="W70" s="19">
        <f t="shared" si="38"/>
        <v>1123708692.3803205</v>
      </c>
      <c r="X70" s="19">
        <f t="shared" si="38"/>
        <v>1288559918.1864769</v>
      </c>
      <c r="Y70" s="19">
        <f t="shared" si="38"/>
        <v>1261422486.723954</v>
      </c>
      <c r="Z70" s="19">
        <f t="shared" si="38"/>
        <v>1227822651.9496627</v>
      </c>
      <c r="AA70" s="19">
        <f t="shared" si="38"/>
        <v>1269063683.1562922</v>
      </c>
      <c r="AB70" s="31"/>
      <c r="AC70" s="77">
        <f t="shared" ref="AC70:AC71" si="40">P70/P69-1</f>
        <v>6.5473735594359095E-3</v>
      </c>
      <c r="AD70" s="26">
        <f t="shared" si="39"/>
        <v>0.11469394480240425</v>
      </c>
    </row>
    <row r="71" spans="1:30">
      <c r="A71" s="14" t="s">
        <v>171</v>
      </c>
      <c r="B71" s="18">
        <f>B14+B46</f>
        <v>1645701</v>
      </c>
      <c r="C71" s="18">
        <f t="shared" si="38"/>
        <v>240439905</v>
      </c>
      <c r="D71" s="18">
        <f t="shared" si="38"/>
        <v>317661225</v>
      </c>
      <c r="E71" s="18">
        <f t="shared" si="38"/>
        <v>359287761</v>
      </c>
      <c r="F71" s="18">
        <f t="shared" si="38"/>
        <v>372998342</v>
      </c>
      <c r="G71" s="18">
        <f t="shared" si="38"/>
        <v>404847769</v>
      </c>
      <c r="H71" s="18">
        <f t="shared" si="38"/>
        <v>469902977</v>
      </c>
      <c r="I71" s="18">
        <f t="shared" si="38"/>
        <v>478952490</v>
      </c>
      <c r="J71" s="18">
        <f t="shared" si="38"/>
        <v>531064598</v>
      </c>
      <c r="K71" s="18">
        <f t="shared" si="38"/>
        <v>587734356</v>
      </c>
      <c r="L71" s="18">
        <f t="shared" si="38"/>
        <v>596317642</v>
      </c>
      <c r="M71" s="18">
        <f t="shared" si="38"/>
        <v>628900977</v>
      </c>
      <c r="N71" s="18">
        <f t="shared" si="38"/>
        <v>785826505</v>
      </c>
      <c r="O71" s="18">
        <f t="shared" si="38"/>
        <v>1056599221</v>
      </c>
      <c r="P71" s="18">
        <f t="shared" si="38"/>
        <v>1200952909</v>
      </c>
      <c r="Q71" s="19">
        <f t="shared" si="38"/>
        <v>1005800469.4831249</v>
      </c>
      <c r="R71" s="19">
        <f t="shared" si="38"/>
        <v>1006252903.2863282</v>
      </c>
      <c r="S71" s="19">
        <f t="shared" si="38"/>
        <v>1073303356.322742</v>
      </c>
      <c r="T71" s="19">
        <f t="shared" si="38"/>
        <v>1007971655.2416738</v>
      </c>
      <c r="U71" s="19">
        <f t="shared" si="38"/>
        <v>1055415531.2514579</v>
      </c>
      <c r="V71" s="19">
        <f t="shared" si="38"/>
        <v>1097484640.1499016</v>
      </c>
      <c r="W71" s="19">
        <f t="shared" si="38"/>
        <v>1158134065.0449681</v>
      </c>
      <c r="X71" s="19">
        <f t="shared" si="38"/>
        <v>1328129614.2894554</v>
      </c>
      <c r="Y71" s="19">
        <f t="shared" si="38"/>
        <v>1300188495.1783142</v>
      </c>
      <c r="Z71" s="19">
        <f t="shared" si="38"/>
        <v>1265581322.0305033</v>
      </c>
      <c r="AA71" s="19">
        <f t="shared" si="38"/>
        <v>1307593061.6288223</v>
      </c>
      <c r="AB71" s="31"/>
      <c r="AC71" s="77">
        <f t="shared" si="40"/>
        <v>6.0246781470199018E-2</v>
      </c>
      <c r="AD71" s="26">
        <f t="shared" si="39"/>
        <v>0.13662104337288739</v>
      </c>
    </row>
    <row r="72" spans="1:30">
      <c r="A72" s="14" t="s">
        <v>29</v>
      </c>
      <c r="B72" s="18">
        <f>SUM(B68:B71)</f>
        <v>7165046</v>
      </c>
      <c r="C72" s="18">
        <f t="shared" ref="C72:AA72" si="41">SUM(C68:C71)</f>
        <v>793275468</v>
      </c>
      <c r="D72" s="18">
        <f t="shared" si="41"/>
        <v>1139337664</v>
      </c>
      <c r="E72" s="18">
        <f t="shared" si="41"/>
        <v>1239275008</v>
      </c>
      <c r="F72" s="18">
        <f t="shared" si="41"/>
        <v>1282347263</v>
      </c>
      <c r="G72" s="18">
        <f t="shared" si="41"/>
        <v>1338076924</v>
      </c>
      <c r="H72" s="18">
        <f t="shared" si="41"/>
        <v>1669050534</v>
      </c>
      <c r="I72" s="18">
        <f t="shared" si="41"/>
        <v>1605462373</v>
      </c>
      <c r="J72" s="18">
        <f t="shared" si="41"/>
        <v>1968832620</v>
      </c>
      <c r="K72" s="18">
        <f t="shared" si="41"/>
        <v>2200424295</v>
      </c>
      <c r="L72" s="18">
        <f t="shared" si="41"/>
        <v>2238783976</v>
      </c>
      <c r="M72" s="18">
        <f t="shared" si="41"/>
        <v>2337983782</v>
      </c>
      <c r="N72" s="18">
        <f t="shared" si="41"/>
        <v>2902485224</v>
      </c>
      <c r="O72" s="18">
        <f t="shared" si="41"/>
        <v>3790580016</v>
      </c>
      <c r="P72" s="18">
        <f t="shared" si="41"/>
        <v>4517141384</v>
      </c>
      <c r="Q72" s="19">
        <f t="shared" si="41"/>
        <v>3788069930.4327059</v>
      </c>
      <c r="R72" s="19">
        <f t="shared" si="41"/>
        <v>3790214319.7765937</v>
      </c>
      <c r="S72" s="19">
        <f t="shared" si="41"/>
        <v>4013460486.4839692</v>
      </c>
      <c r="T72" s="19">
        <f t="shared" si="41"/>
        <v>3776804196.6972833</v>
      </c>
      <c r="U72" s="19">
        <f t="shared" si="41"/>
        <v>3950830529.0606928</v>
      </c>
      <c r="V72" s="19">
        <f t="shared" si="41"/>
        <v>4086151431.4066515</v>
      </c>
      <c r="W72" s="19">
        <f t="shared" si="41"/>
        <v>4343308540.8062992</v>
      </c>
      <c r="X72" s="19">
        <f t="shared" si="41"/>
        <v>4980129015.8400259</v>
      </c>
      <c r="Y72" s="19">
        <f t="shared" si="41"/>
        <v>4897574162.2772121</v>
      </c>
      <c r="Z72" s="19">
        <f t="shared" si="41"/>
        <v>4758245099.3504181</v>
      </c>
      <c r="AA72" s="19">
        <f t="shared" si="41"/>
        <v>4921080872.1583118</v>
      </c>
      <c r="AB72" s="31"/>
      <c r="AC72" s="77">
        <f>P72/AVERAGE(K72:O72)-1</f>
        <v>0.67670939230960103</v>
      </c>
      <c r="AD72" s="26">
        <f t="shared" si="39"/>
        <v>0.19167551270074545</v>
      </c>
    </row>
    <row r="73" spans="1:30">
      <c r="B73" s="14"/>
      <c r="C73" s="14"/>
      <c r="D73" s="14"/>
      <c r="E73" s="14"/>
      <c r="F73" s="14"/>
      <c r="G73" s="14"/>
      <c r="H73" s="14"/>
      <c r="I73" s="14"/>
      <c r="J73" s="14"/>
      <c r="K73" s="14"/>
      <c r="L73" s="14"/>
      <c r="M73" s="14"/>
      <c r="N73" s="14"/>
      <c r="O73" s="14">
        <f>O71/O68-1</f>
        <v>0.25980484261278458</v>
      </c>
      <c r="P73" s="14">
        <f>P71/P68-1</f>
        <v>0.13497129810598629</v>
      </c>
      <c r="Q73" s="14"/>
      <c r="R73" s="14"/>
      <c r="S73" s="14"/>
      <c r="T73" s="14"/>
      <c r="U73" s="14"/>
      <c r="V73" s="14"/>
      <c r="W73" s="14"/>
      <c r="X73" s="14"/>
      <c r="Y73" s="14"/>
      <c r="Z73" s="14"/>
      <c r="AA73" s="14"/>
      <c r="AB73" s="14"/>
      <c r="AC73" s="14"/>
      <c r="AD73" s="14"/>
    </row>
    <row r="74" spans="1:30" ht="15.75">
      <c r="A74" s="76" t="s">
        <v>172</v>
      </c>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476">
        <v>2024</v>
      </c>
      <c r="AD74" s="476"/>
    </row>
    <row r="75" spans="1:30">
      <c r="B75" s="14">
        <f t="shared" ref="B75:J75" si="42">B2</f>
        <v>2010</v>
      </c>
      <c r="C75" s="14">
        <f t="shared" si="42"/>
        <v>2011</v>
      </c>
      <c r="D75" s="14">
        <f t="shared" si="42"/>
        <v>2012</v>
      </c>
      <c r="E75" s="14">
        <f t="shared" si="42"/>
        <v>2013</v>
      </c>
      <c r="F75" s="14">
        <f t="shared" si="42"/>
        <v>2014</v>
      </c>
      <c r="G75" s="14">
        <f t="shared" si="42"/>
        <v>2015</v>
      </c>
      <c r="H75" s="14">
        <f t="shared" si="42"/>
        <v>2016</v>
      </c>
      <c r="I75" s="14">
        <f t="shared" si="42"/>
        <v>2017</v>
      </c>
      <c r="J75" s="14">
        <f t="shared" si="42"/>
        <v>2018</v>
      </c>
      <c r="K75" s="14">
        <f>K2</f>
        <v>2019</v>
      </c>
      <c r="L75" s="14">
        <f t="shared" ref="L75:AA75" si="43">L2</f>
        <v>2020</v>
      </c>
      <c r="M75" s="14">
        <f t="shared" si="43"/>
        <v>2021</v>
      </c>
      <c r="N75" s="14">
        <f t="shared" si="43"/>
        <v>2022</v>
      </c>
      <c r="O75" s="14">
        <f t="shared" si="43"/>
        <v>2023</v>
      </c>
      <c r="P75" s="14">
        <f t="shared" si="43"/>
        <v>2024</v>
      </c>
      <c r="Q75" s="14">
        <f t="shared" si="43"/>
        <v>2025</v>
      </c>
      <c r="R75" s="14">
        <f t="shared" si="43"/>
        <v>2026</v>
      </c>
      <c r="S75" s="14">
        <f t="shared" si="43"/>
        <v>2027</v>
      </c>
      <c r="T75" s="14">
        <f t="shared" si="43"/>
        <v>2028</v>
      </c>
      <c r="U75" s="14">
        <f t="shared" si="43"/>
        <v>2029</v>
      </c>
      <c r="V75" s="14">
        <f t="shared" si="43"/>
        <v>2030</v>
      </c>
      <c r="W75" s="14">
        <f t="shared" si="43"/>
        <v>2031</v>
      </c>
      <c r="X75" s="14">
        <f t="shared" si="43"/>
        <v>2032</v>
      </c>
      <c r="Y75" s="14">
        <f t="shared" si="43"/>
        <v>2033</v>
      </c>
      <c r="Z75" s="14">
        <f t="shared" si="43"/>
        <v>2034</v>
      </c>
      <c r="AA75" s="14">
        <f t="shared" si="43"/>
        <v>2035</v>
      </c>
      <c r="AB75" s="14"/>
      <c r="AC75" s="14" t="s">
        <v>166</v>
      </c>
      <c r="AD75" s="14" t="s">
        <v>167</v>
      </c>
    </row>
    <row r="76" spans="1:30">
      <c r="A76" s="14" t="s">
        <v>168</v>
      </c>
      <c r="B76" s="18">
        <f>SUM('Qtrly Gallon Summary'!B59+'Qtrly Gallon Summary'!B51+'Qtrly Gallon Summary'!B27+'Qtrly Gallon Summary'!B19)</f>
        <v>0</v>
      </c>
      <c r="C76" s="18">
        <f>SUM('Qtrly Gallon Summary'!C59+'Qtrly Gallon Summary'!C51+'Qtrly Gallon Summary'!C27+'Qtrly Gallon Summary'!C19)</f>
        <v>8600114</v>
      </c>
      <c r="D76" s="18">
        <f>SUM('Qtrly Gallon Summary'!D59+'Qtrly Gallon Summary'!D51+'Qtrly Gallon Summary'!D27+'Qtrly Gallon Summary'!D19)</f>
        <v>13704884</v>
      </c>
      <c r="E76" s="18">
        <f>SUM('Qtrly Gallon Summary'!E59+'Qtrly Gallon Summary'!E51+'Qtrly Gallon Summary'!E27+'Qtrly Gallon Summary'!E19)</f>
        <v>40780911</v>
      </c>
      <c r="F76" s="18">
        <f>SUM('Qtrly Gallon Summary'!F59+'Qtrly Gallon Summary'!F51+'Qtrly Gallon Summary'!F27+'Qtrly Gallon Summary'!F19)</f>
        <v>124089262</v>
      </c>
      <c r="G76" s="18">
        <f>SUM('Qtrly Gallon Summary'!G59+'Qtrly Gallon Summary'!G51+'Qtrly Gallon Summary'!G27+'Qtrly Gallon Summary'!G19)</f>
        <v>108943650</v>
      </c>
      <c r="H76" s="18">
        <f>SUM('Qtrly Gallon Summary'!H59+'Qtrly Gallon Summary'!H51+'Qtrly Gallon Summary'!H27+'Qtrly Gallon Summary'!H19)</f>
        <v>120877536</v>
      </c>
      <c r="I76" s="18">
        <f>SUM('Qtrly Gallon Summary'!I59+'Qtrly Gallon Summary'!I51+'Qtrly Gallon Summary'!I27+'Qtrly Gallon Summary'!I19)</f>
        <v>177112383</v>
      </c>
      <c r="J76" s="18">
        <f>SUM('Qtrly Gallon Summary'!J59+'Qtrly Gallon Summary'!J51+'Qtrly Gallon Summary'!J27+'Qtrly Gallon Summary'!J19)</f>
        <v>126469744</v>
      </c>
      <c r="K76" s="18">
        <f>SUM('Qtrly Gallon Summary'!K59+'Qtrly Gallon Summary'!K51+'Qtrly Gallon Summary'!K27+'Qtrly Gallon Summary'!K19)</f>
        <v>128666540</v>
      </c>
      <c r="L76" s="18">
        <f>SUM('Qtrly Gallon Summary'!L59+'Qtrly Gallon Summary'!L51+'Qtrly Gallon Summary'!L27+'Qtrly Gallon Summary'!L19)</f>
        <v>157922202</v>
      </c>
      <c r="M76" s="18">
        <f>SUM('Qtrly Gallon Summary'!M59+'Qtrly Gallon Summary'!M51+'Qtrly Gallon Summary'!M27+'Qtrly Gallon Summary'!M19)</f>
        <v>149029106</v>
      </c>
      <c r="N76" s="18">
        <f>SUM('Qtrly Gallon Summary'!N59+'Qtrly Gallon Summary'!N51+'Qtrly Gallon Summary'!N27+'Qtrly Gallon Summary'!N19)</f>
        <v>153304939</v>
      </c>
      <c r="O76" s="18">
        <f>SUM('Qtrly Gallon Summary'!O59+'Qtrly Gallon Summary'!O51+'Qtrly Gallon Summary'!O27+'Qtrly Gallon Summary'!O19)</f>
        <v>226727358</v>
      </c>
      <c r="P76" s="18">
        <f>SUM('Qtrly Gallon Summary'!P59+'Qtrly Gallon Summary'!P51+'Qtrly Gallon Summary'!P27+'Qtrly Gallon Summary'!P19)</f>
        <v>230770687</v>
      </c>
      <c r="Q76" s="18">
        <f>SUM('Qtrly Gallon Summary'!Q59+'Qtrly Gallon Summary'!Q51+'Qtrly Gallon Summary'!Q27+'Qtrly Gallon Summary'!Q19)</f>
        <v>33558063</v>
      </c>
      <c r="R76" s="19">
        <f>SUM('Qtrly Gallon Summary'!R59+'Qtrly Gallon Summary'!R51+'Qtrly Gallon Summary'!R27+'Qtrly Gallon Summary'!R19)</f>
        <v>103069617.40602255</v>
      </c>
      <c r="S76" s="19">
        <f>SUM('Qtrly Gallon Summary'!S59+'Qtrly Gallon Summary'!S51+'Qtrly Gallon Summary'!S27+'Qtrly Gallon Summary'!S19)</f>
        <v>99993219.173306659</v>
      </c>
      <c r="T76" s="19">
        <f>SUM('Qtrly Gallon Summary'!T59+'Qtrly Gallon Summary'!T51+'Qtrly Gallon Summary'!T27+'Qtrly Gallon Summary'!T19)</f>
        <v>97240593.239751607</v>
      </c>
      <c r="U76" s="19">
        <f>SUM('Qtrly Gallon Summary'!U59+'Qtrly Gallon Summary'!U51+'Qtrly Gallon Summary'!U27+'Qtrly Gallon Summary'!U19)</f>
        <v>90230733.572879329</v>
      </c>
      <c r="V76" s="19">
        <f>SUM('Qtrly Gallon Summary'!V59+'Qtrly Gallon Summary'!V51+'Qtrly Gallon Summary'!V27+'Qtrly Gallon Summary'!V19)</f>
        <v>72306978.458987713</v>
      </c>
      <c r="W76" s="19">
        <f>SUM('Qtrly Gallon Summary'!W59+'Qtrly Gallon Summary'!W51+'Qtrly Gallon Summary'!W27+'Qtrly Gallon Summary'!W19)</f>
        <v>82390089.602395818</v>
      </c>
      <c r="X76" s="19">
        <f>SUM('Qtrly Gallon Summary'!X59+'Qtrly Gallon Summary'!X51+'Qtrly Gallon Summary'!X27+'Qtrly Gallon Summary'!X19)</f>
        <v>73082234.347212836</v>
      </c>
      <c r="Y76" s="19">
        <f>SUM('Qtrly Gallon Summary'!Y59+'Qtrly Gallon Summary'!Y51+'Qtrly Gallon Summary'!Y27+'Qtrly Gallon Summary'!Y19)</f>
        <v>68392603.198812991</v>
      </c>
      <c r="Z76" s="19">
        <f>SUM('Qtrly Gallon Summary'!Z59+'Qtrly Gallon Summary'!Z51+'Qtrly Gallon Summary'!Z27+'Qtrly Gallon Summary'!Z19)</f>
        <v>64667213.126567245</v>
      </c>
      <c r="AA76" s="19">
        <f>SUM('Qtrly Gallon Summary'!AA59+'Qtrly Gallon Summary'!AA51+'Qtrly Gallon Summary'!AA27+'Qtrly Gallon Summary'!AA19)</f>
        <v>61302857.447704956</v>
      </c>
      <c r="AB76" s="31"/>
      <c r="AC76" s="26">
        <f>P76/O79-1</f>
        <v>-0.2026280991404289</v>
      </c>
      <c r="AD76" s="26">
        <f>P76/O76-1</f>
        <v>1.7833441167695252E-2</v>
      </c>
    </row>
    <row r="77" spans="1:30">
      <c r="A77" s="14" t="s">
        <v>169</v>
      </c>
      <c r="B77" s="18">
        <f>SUM('Qtrly Gallon Summary'!B60+'Qtrly Gallon Summary'!B52+'Qtrly Gallon Summary'!B28+'Qtrly Gallon Summary'!B20)</f>
        <v>0</v>
      </c>
      <c r="C77" s="18">
        <f>SUM('Qtrly Gallon Summary'!C60+'Qtrly Gallon Summary'!C52+'Qtrly Gallon Summary'!C28+'Qtrly Gallon Summary'!C20)</f>
        <v>7971778</v>
      </c>
      <c r="D77" s="18">
        <f>SUM('Qtrly Gallon Summary'!D60+'Qtrly Gallon Summary'!D52+'Qtrly Gallon Summary'!D28+'Qtrly Gallon Summary'!D20)</f>
        <v>22308516</v>
      </c>
      <c r="E77" s="18">
        <f>SUM('Qtrly Gallon Summary'!E60+'Qtrly Gallon Summary'!E52+'Qtrly Gallon Summary'!E28+'Qtrly Gallon Summary'!E20)</f>
        <v>89970191</v>
      </c>
      <c r="F77" s="18">
        <f>SUM('Qtrly Gallon Summary'!F60+'Qtrly Gallon Summary'!F52+'Qtrly Gallon Summary'!F28+'Qtrly Gallon Summary'!F20)</f>
        <v>123454957</v>
      </c>
      <c r="G77" s="18">
        <f>SUM('Qtrly Gallon Summary'!G60+'Qtrly Gallon Summary'!G52+'Qtrly Gallon Summary'!G28+'Qtrly Gallon Summary'!G20)</f>
        <v>149427423</v>
      </c>
      <c r="H77" s="18">
        <f>SUM('Qtrly Gallon Summary'!H60+'Qtrly Gallon Summary'!H52+'Qtrly Gallon Summary'!H28+'Qtrly Gallon Summary'!H20)</f>
        <v>250365660</v>
      </c>
      <c r="I77" s="18">
        <f>SUM('Qtrly Gallon Summary'!I60+'Qtrly Gallon Summary'!I52+'Qtrly Gallon Summary'!I28+'Qtrly Gallon Summary'!I20)</f>
        <v>231099341</v>
      </c>
      <c r="J77" s="18">
        <f>SUM('Qtrly Gallon Summary'!J60+'Qtrly Gallon Summary'!J52+'Qtrly Gallon Summary'!J28+'Qtrly Gallon Summary'!J20)</f>
        <v>136506059</v>
      </c>
      <c r="K77" s="18">
        <f>SUM('Qtrly Gallon Summary'!K60+'Qtrly Gallon Summary'!K52+'Qtrly Gallon Summary'!K28+'Qtrly Gallon Summary'!K20)</f>
        <v>164646726</v>
      </c>
      <c r="L77" s="18">
        <f>SUM('Qtrly Gallon Summary'!L60+'Qtrly Gallon Summary'!L52+'Qtrly Gallon Summary'!L28+'Qtrly Gallon Summary'!L20)</f>
        <v>145846065</v>
      </c>
      <c r="M77" s="18">
        <f>SUM('Qtrly Gallon Summary'!M60+'Qtrly Gallon Summary'!M52+'Qtrly Gallon Summary'!M28+'Qtrly Gallon Summary'!M20)</f>
        <v>174292223</v>
      </c>
      <c r="N77" s="18">
        <f>SUM('Qtrly Gallon Summary'!N60+'Qtrly Gallon Summary'!N52+'Qtrly Gallon Summary'!N28+'Qtrly Gallon Summary'!N20)</f>
        <v>183845529</v>
      </c>
      <c r="O77" s="18">
        <f>SUM('Qtrly Gallon Summary'!O60+'Qtrly Gallon Summary'!O52+'Qtrly Gallon Summary'!O28+'Qtrly Gallon Summary'!O20)</f>
        <v>253442674</v>
      </c>
      <c r="P77" s="18">
        <f>SUM('Qtrly Gallon Summary'!P60+'Qtrly Gallon Summary'!P52+'Qtrly Gallon Summary'!P28+'Qtrly Gallon Summary'!P20)</f>
        <v>239738094</v>
      </c>
      <c r="Q77" s="19">
        <f>SUM('Qtrly Gallon Summary'!Q60+'Qtrly Gallon Summary'!Q52+'Qtrly Gallon Summary'!Q28+'Qtrly Gallon Summary'!Q20)</f>
        <v>146722328.38497543</v>
      </c>
      <c r="R77" s="19">
        <f>SUM('Qtrly Gallon Summary'!R60+'Qtrly Gallon Summary'!R52+'Qtrly Gallon Summary'!R28+'Qtrly Gallon Summary'!R20)</f>
        <v>130632331.75557354</v>
      </c>
      <c r="S77" s="19">
        <f>SUM('Qtrly Gallon Summary'!S60+'Qtrly Gallon Summary'!S52+'Qtrly Gallon Summary'!S28+'Qtrly Gallon Summary'!S20)</f>
        <v>129143115.34251872</v>
      </c>
      <c r="T77" s="19">
        <f>SUM('Qtrly Gallon Summary'!T60+'Qtrly Gallon Summary'!T52+'Qtrly Gallon Summary'!T28+'Qtrly Gallon Summary'!T20)</f>
        <v>127926443.81366929</v>
      </c>
      <c r="U77" s="19">
        <f>SUM('Qtrly Gallon Summary'!U60+'Qtrly Gallon Summary'!U52+'Qtrly Gallon Summary'!U28+'Qtrly Gallon Summary'!U20)</f>
        <v>126120545.92593865</v>
      </c>
      <c r="V77" s="19">
        <f>SUM('Qtrly Gallon Summary'!V60+'Qtrly Gallon Summary'!V52+'Qtrly Gallon Summary'!V28+'Qtrly Gallon Summary'!V20)</f>
        <v>117081226.63563892</v>
      </c>
      <c r="W77" s="19">
        <f>SUM('Qtrly Gallon Summary'!W60+'Qtrly Gallon Summary'!W52+'Qtrly Gallon Summary'!W28+'Qtrly Gallon Summary'!W20)</f>
        <v>112797497.51237203</v>
      </c>
      <c r="X77" s="19">
        <f>SUM('Qtrly Gallon Summary'!X60+'Qtrly Gallon Summary'!X52+'Qtrly Gallon Summary'!X28+'Qtrly Gallon Summary'!X20)</f>
        <v>101572612.10224137</v>
      </c>
      <c r="Y77" s="19">
        <f>SUM('Qtrly Gallon Summary'!Y60+'Qtrly Gallon Summary'!Y52+'Qtrly Gallon Summary'!Y28+'Qtrly Gallon Summary'!Y20)</f>
        <v>96512882.604422212</v>
      </c>
      <c r="Z77" s="19">
        <f>SUM('Qtrly Gallon Summary'!Z60+'Qtrly Gallon Summary'!Z52+'Qtrly Gallon Summary'!Z28+'Qtrly Gallon Summary'!Z20)</f>
        <v>92795334.955371335</v>
      </c>
      <c r="AA77" s="19">
        <f>SUM('Qtrly Gallon Summary'!AA60+'Qtrly Gallon Summary'!AA52+'Qtrly Gallon Summary'!AA28+'Qtrly Gallon Summary'!AA20)</f>
        <v>88274936.638873965</v>
      </c>
      <c r="AB77" s="31"/>
      <c r="AC77" s="77">
        <f>P77/P76-1</f>
        <v>3.8858518456462265E-2</v>
      </c>
      <c r="AD77" s="26">
        <f t="shared" ref="AD77:AD80" si="44">P77/O77-1</f>
        <v>-5.4073687685286975E-2</v>
      </c>
    </row>
    <row r="78" spans="1:30">
      <c r="A78" s="14" t="s">
        <v>170</v>
      </c>
      <c r="B78" s="18">
        <f>SUM('Qtrly Gallon Summary'!B61+'Qtrly Gallon Summary'!B53+'Qtrly Gallon Summary'!B29+'Qtrly Gallon Summary'!B21)</f>
        <v>4935312</v>
      </c>
      <c r="C78" s="18">
        <f>SUM('Qtrly Gallon Summary'!C61+'Qtrly Gallon Summary'!C53+'Qtrly Gallon Summary'!C29+'Qtrly Gallon Summary'!C21)</f>
        <v>9749943</v>
      </c>
      <c r="D78" s="18">
        <f>SUM('Qtrly Gallon Summary'!D61+'Qtrly Gallon Summary'!D53+'Qtrly Gallon Summary'!D29+'Qtrly Gallon Summary'!D21)</f>
        <v>10053565</v>
      </c>
      <c r="E78" s="18">
        <f>SUM('Qtrly Gallon Summary'!E61+'Qtrly Gallon Summary'!E53+'Qtrly Gallon Summary'!E29+'Qtrly Gallon Summary'!E21)</f>
        <v>68129973</v>
      </c>
      <c r="F78" s="18">
        <f>SUM('Qtrly Gallon Summary'!F61+'Qtrly Gallon Summary'!F53+'Qtrly Gallon Summary'!F29+'Qtrly Gallon Summary'!F21)</f>
        <v>165846399</v>
      </c>
      <c r="G78" s="18">
        <f>SUM('Qtrly Gallon Summary'!G61+'Qtrly Gallon Summary'!G53+'Qtrly Gallon Summary'!G29+'Qtrly Gallon Summary'!G21)</f>
        <v>190086363</v>
      </c>
      <c r="H78" s="18">
        <f>SUM('Qtrly Gallon Summary'!H61+'Qtrly Gallon Summary'!H53+'Qtrly Gallon Summary'!H29+'Qtrly Gallon Summary'!H21)</f>
        <v>283949203</v>
      </c>
      <c r="I78" s="18">
        <f>SUM('Qtrly Gallon Summary'!I61+'Qtrly Gallon Summary'!I53+'Qtrly Gallon Summary'!I29+'Qtrly Gallon Summary'!I21)</f>
        <v>227094868</v>
      </c>
      <c r="J78" s="18">
        <f>SUM('Qtrly Gallon Summary'!J61+'Qtrly Gallon Summary'!J53+'Qtrly Gallon Summary'!J29+'Qtrly Gallon Summary'!J21)</f>
        <v>121135733</v>
      </c>
      <c r="K78" s="18">
        <f>SUM('Qtrly Gallon Summary'!K61+'Qtrly Gallon Summary'!K53+'Qtrly Gallon Summary'!K29+'Qtrly Gallon Summary'!K21)</f>
        <v>121875077</v>
      </c>
      <c r="L78" s="18">
        <f>SUM('Qtrly Gallon Summary'!L61+'Qtrly Gallon Summary'!L53+'Qtrly Gallon Summary'!L29+'Qtrly Gallon Summary'!L21)</f>
        <v>145033363</v>
      </c>
      <c r="M78" s="18">
        <f>SUM('Qtrly Gallon Summary'!M61+'Qtrly Gallon Summary'!M53+'Qtrly Gallon Summary'!M29+'Qtrly Gallon Summary'!M21)</f>
        <v>139468808</v>
      </c>
      <c r="N78" s="18">
        <f>SUM('Qtrly Gallon Summary'!N61+'Qtrly Gallon Summary'!N53+'Qtrly Gallon Summary'!N29+'Qtrly Gallon Summary'!N21)</f>
        <v>120438678</v>
      </c>
      <c r="O78" s="18">
        <f>SUM('Qtrly Gallon Summary'!O61+'Qtrly Gallon Summary'!O53+'Qtrly Gallon Summary'!O29+'Qtrly Gallon Summary'!O21)</f>
        <v>187921823</v>
      </c>
      <c r="P78" s="18">
        <f>SUM('Qtrly Gallon Summary'!P61+'Qtrly Gallon Summary'!P53+'Qtrly Gallon Summary'!P29+'Qtrly Gallon Summary'!P21)</f>
        <v>187037302</v>
      </c>
      <c r="Q78" s="19">
        <f>SUM('Qtrly Gallon Summary'!Q61+'Qtrly Gallon Summary'!Q53+'Qtrly Gallon Summary'!Q29+'Qtrly Gallon Summary'!Q21)</f>
        <v>138532133.14190406</v>
      </c>
      <c r="R78" s="19">
        <f>SUM('Qtrly Gallon Summary'!R61+'Qtrly Gallon Summary'!R53+'Qtrly Gallon Summary'!R29+'Qtrly Gallon Summary'!R21)</f>
        <v>85312473.60428144</v>
      </c>
      <c r="S78" s="19">
        <f>SUM('Qtrly Gallon Summary'!S61+'Qtrly Gallon Summary'!S53+'Qtrly Gallon Summary'!S29+'Qtrly Gallon Summary'!S21)</f>
        <v>90232822.81726709</v>
      </c>
      <c r="T78" s="19">
        <f>SUM('Qtrly Gallon Summary'!T61+'Qtrly Gallon Summary'!T53+'Qtrly Gallon Summary'!T29+'Qtrly Gallon Summary'!T21)</f>
        <v>91322880.106474116</v>
      </c>
      <c r="U78" s="19">
        <f>SUM('Qtrly Gallon Summary'!U61+'Qtrly Gallon Summary'!U53+'Qtrly Gallon Summary'!U29+'Qtrly Gallon Summary'!U21)</f>
        <v>86974454.989864171</v>
      </c>
      <c r="V78" s="19">
        <f>SUM('Qtrly Gallon Summary'!V61+'Qtrly Gallon Summary'!V53+'Qtrly Gallon Summary'!V29+'Qtrly Gallon Summary'!V21)</f>
        <v>88920255.269088119</v>
      </c>
      <c r="W78" s="19">
        <f>SUM('Qtrly Gallon Summary'!W61+'Qtrly Gallon Summary'!W53+'Qtrly Gallon Summary'!W29+'Qtrly Gallon Summary'!W21)</f>
        <v>79380160.463311523</v>
      </c>
      <c r="X78" s="19">
        <f>SUM('Qtrly Gallon Summary'!X61+'Qtrly Gallon Summary'!X53+'Qtrly Gallon Summary'!X29+'Qtrly Gallon Summary'!X21)</f>
        <v>74241939.352078795</v>
      </c>
      <c r="Y78" s="19">
        <f>SUM('Qtrly Gallon Summary'!Y61+'Qtrly Gallon Summary'!Y53+'Qtrly Gallon Summary'!Y29+'Qtrly Gallon Summary'!Y21)</f>
        <v>68545673.115911752</v>
      </c>
      <c r="Z78" s="19">
        <f>SUM('Qtrly Gallon Summary'!Z61+'Qtrly Gallon Summary'!Z53+'Qtrly Gallon Summary'!Z29+'Qtrly Gallon Summary'!Z21)</f>
        <v>66122225.951328091</v>
      </c>
      <c r="AA78" s="19">
        <f>SUM('Qtrly Gallon Summary'!AA61+'Qtrly Gallon Summary'!AA53+'Qtrly Gallon Summary'!AA29+'Qtrly Gallon Summary'!AA21)</f>
        <v>61736831.134767137</v>
      </c>
      <c r="AB78" s="31"/>
      <c r="AC78" s="77">
        <f t="shared" ref="AC78:AC79" si="45">P78/P77-1</f>
        <v>-0.21982652452388318</v>
      </c>
      <c r="AD78" s="26">
        <f t="shared" si="44"/>
        <v>-4.7068562122239976E-3</v>
      </c>
    </row>
    <row r="79" spans="1:30">
      <c r="A79" s="14" t="s">
        <v>171</v>
      </c>
      <c r="B79" s="18">
        <f>SUM('Qtrly Gallon Summary'!B62+'Qtrly Gallon Summary'!B54+'Qtrly Gallon Summary'!B30+'Qtrly Gallon Summary'!B22)</f>
        <v>7552194</v>
      </c>
      <c r="C79" s="18">
        <f>SUM('Qtrly Gallon Summary'!C62+'Qtrly Gallon Summary'!C54+'Qtrly Gallon Summary'!C30+'Qtrly Gallon Summary'!C22)</f>
        <v>18137737</v>
      </c>
      <c r="D79" s="18">
        <f>SUM('Qtrly Gallon Summary'!D62+'Qtrly Gallon Summary'!D54+'Qtrly Gallon Summary'!D30+'Qtrly Gallon Summary'!D22)</f>
        <v>4056948</v>
      </c>
      <c r="E79" s="18">
        <f>SUM('Qtrly Gallon Summary'!E62+'Qtrly Gallon Summary'!E54+'Qtrly Gallon Summary'!E30+'Qtrly Gallon Summary'!E22)</f>
        <v>125359474</v>
      </c>
      <c r="F79" s="18">
        <f>SUM('Qtrly Gallon Summary'!F62+'Qtrly Gallon Summary'!F54+'Qtrly Gallon Summary'!F30+'Qtrly Gallon Summary'!F22)</f>
        <v>179193494</v>
      </c>
      <c r="G79" s="18">
        <f>SUM('Qtrly Gallon Summary'!G62+'Qtrly Gallon Summary'!G54+'Qtrly Gallon Summary'!G30+'Qtrly Gallon Summary'!G22)</f>
        <v>178110398</v>
      </c>
      <c r="H79" s="18">
        <f>SUM('Qtrly Gallon Summary'!H62+'Qtrly Gallon Summary'!H54+'Qtrly Gallon Summary'!H30+'Qtrly Gallon Summary'!H22)</f>
        <v>359858658</v>
      </c>
      <c r="I79" s="18">
        <f>SUM('Qtrly Gallon Summary'!I62+'Qtrly Gallon Summary'!I54+'Qtrly Gallon Summary'!I30+'Qtrly Gallon Summary'!I22)</f>
        <v>178414910</v>
      </c>
      <c r="J79" s="18">
        <f>SUM('Qtrly Gallon Summary'!J62+'Qtrly Gallon Summary'!J54+'Qtrly Gallon Summary'!J30+'Qtrly Gallon Summary'!J22)</f>
        <v>142427466</v>
      </c>
      <c r="K79" s="18">
        <f>SUM('Qtrly Gallon Summary'!K62+'Qtrly Gallon Summary'!K54+'Qtrly Gallon Summary'!K30+'Qtrly Gallon Summary'!K22)</f>
        <v>100490445</v>
      </c>
      <c r="L79" s="18">
        <f>SUM('Qtrly Gallon Summary'!L62+'Qtrly Gallon Summary'!L54+'Qtrly Gallon Summary'!L30+'Qtrly Gallon Summary'!L22)</f>
        <v>182681954</v>
      </c>
      <c r="M79" s="18">
        <f>SUM('Qtrly Gallon Summary'!M62+'Qtrly Gallon Summary'!M54+'Qtrly Gallon Summary'!M30+'Qtrly Gallon Summary'!M22)</f>
        <v>216762571</v>
      </c>
      <c r="N79" s="18">
        <f>SUM('Qtrly Gallon Summary'!N62+'Qtrly Gallon Summary'!N54+'Qtrly Gallon Summary'!N30+'Qtrly Gallon Summary'!N22)</f>
        <v>225784564</v>
      </c>
      <c r="O79" s="18">
        <f>SUM('Qtrly Gallon Summary'!O62+'Qtrly Gallon Summary'!O54+'Qtrly Gallon Summary'!O30+'Qtrly Gallon Summary'!O22)</f>
        <v>289414120</v>
      </c>
      <c r="P79" s="18">
        <f>SUM('Qtrly Gallon Summary'!P62+'Qtrly Gallon Summary'!P54+'Qtrly Gallon Summary'!P30+'Qtrly Gallon Summary'!P22)</f>
        <v>277927063</v>
      </c>
      <c r="Q79" s="19">
        <f>SUM('Qtrly Gallon Summary'!Q62+'Qtrly Gallon Summary'!Q54+'Qtrly Gallon Summary'!Q30+'Qtrly Gallon Summary'!Q22)</f>
        <v>191075956.29510263</v>
      </c>
      <c r="R79" s="19">
        <f>SUM('Qtrly Gallon Summary'!R62+'Qtrly Gallon Summary'!R54+'Qtrly Gallon Summary'!R30+'Qtrly Gallon Summary'!R22)</f>
        <v>163740722.68307939</v>
      </c>
      <c r="S79" s="19">
        <f>SUM('Qtrly Gallon Summary'!S62+'Qtrly Gallon Summary'!S54+'Qtrly Gallon Summary'!S30+'Qtrly Gallon Summary'!S22)</f>
        <v>143802745.51847103</v>
      </c>
      <c r="T79" s="19">
        <f>SUM('Qtrly Gallon Summary'!T62+'Qtrly Gallon Summary'!T54+'Qtrly Gallon Summary'!T30+'Qtrly Gallon Summary'!T22)</f>
        <v>142418505.01306635</v>
      </c>
      <c r="U79" s="19">
        <f>SUM('Qtrly Gallon Summary'!U62+'Qtrly Gallon Summary'!U54+'Qtrly Gallon Summary'!U30+'Qtrly Gallon Summary'!U22)</f>
        <v>138752210.58754975</v>
      </c>
      <c r="V79" s="19">
        <f>SUM('Qtrly Gallon Summary'!V62+'Qtrly Gallon Summary'!V54+'Qtrly Gallon Summary'!V30+'Qtrly Gallon Summary'!V22)</f>
        <v>142612745.88411182</v>
      </c>
      <c r="W79" s="19">
        <f>SUM('Qtrly Gallon Summary'!W62+'Qtrly Gallon Summary'!W54+'Qtrly Gallon Summary'!W30+'Qtrly Gallon Summary'!W22)</f>
        <v>131370564.51596397</v>
      </c>
      <c r="X79" s="19">
        <f>SUM('Qtrly Gallon Summary'!X62+'Qtrly Gallon Summary'!X54+'Qtrly Gallon Summary'!X30+'Qtrly Gallon Summary'!X22)</f>
        <v>119001978.69533277</v>
      </c>
      <c r="Y79" s="19">
        <f>SUM('Qtrly Gallon Summary'!Y62+'Qtrly Gallon Summary'!Y54+'Qtrly Gallon Summary'!Y30+'Qtrly Gallon Summary'!Y22)</f>
        <v>110005972.26938252</v>
      </c>
      <c r="Z79" s="19">
        <f>SUM('Qtrly Gallon Summary'!Z62+'Qtrly Gallon Summary'!Z54+'Qtrly Gallon Summary'!Z30+'Qtrly Gallon Summary'!Z22)</f>
        <v>106758750.75038868</v>
      </c>
      <c r="AA79" s="19">
        <f>SUM('Qtrly Gallon Summary'!AA62+'Qtrly Gallon Summary'!AA54+'Qtrly Gallon Summary'!AA30+'Qtrly Gallon Summary'!AA22)</f>
        <v>99741374.860760659</v>
      </c>
      <c r="AB79" s="31"/>
      <c r="AC79" s="77">
        <f t="shared" si="45"/>
        <v>0.48594456842624911</v>
      </c>
      <c r="AD79" s="26">
        <f t="shared" si="44"/>
        <v>-3.9690727598225006E-2</v>
      </c>
    </row>
    <row r="80" spans="1:30">
      <c r="A80" s="14" t="s">
        <v>29</v>
      </c>
      <c r="B80" s="18">
        <f t="shared" ref="B80:J80" si="46">SUM(B76:B79)</f>
        <v>12487506</v>
      </c>
      <c r="C80" s="18">
        <f t="shared" si="46"/>
        <v>44459572</v>
      </c>
      <c r="D80" s="18">
        <f t="shared" si="46"/>
        <v>50123913</v>
      </c>
      <c r="E80" s="18">
        <f t="shared" si="46"/>
        <v>324240549</v>
      </c>
      <c r="F80" s="18">
        <f t="shared" si="46"/>
        <v>592584112</v>
      </c>
      <c r="G80" s="18">
        <f t="shared" si="46"/>
        <v>626567834</v>
      </c>
      <c r="H80" s="18">
        <f t="shared" si="46"/>
        <v>1015051057</v>
      </c>
      <c r="I80" s="18">
        <f t="shared" si="46"/>
        <v>813721502</v>
      </c>
      <c r="J80" s="18">
        <f t="shared" si="46"/>
        <v>526539002</v>
      </c>
      <c r="K80" s="18">
        <f>SUM(K76:K79)</f>
        <v>515678788</v>
      </c>
      <c r="L80" s="18">
        <f t="shared" ref="L80:AA80" si="47">SUM(L76:L79)</f>
        <v>631483584</v>
      </c>
      <c r="M80" s="18">
        <f t="shared" si="47"/>
        <v>679552708</v>
      </c>
      <c r="N80" s="18">
        <f t="shared" si="47"/>
        <v>683373710</v>
      </c>
      <c r="O80" s="18">
        <f t="shared" si="47"/>
        <v>957505975</v>
      </c>
      <c r="P80" s="18">
        <f t="shared" si="47"/>
        <v>935473146</v>
      </c>
      <c r="Q80" s="19">
        <f t="shared" si="47"/>
        <v>509888480.82198215</v>
      </c>
      <c r="R80" s="19">
        <f t="shared" si="47"/>
        <v>482755145.44895697</v>
      </c>
      <c r="S80" s="19">
        <f t="shared" si="47"/>
        <v>463171902.85156345</v>
      </c>
      <c r="T80" s="19">
        <f t="shared" si="47"/>
        <v>458908422.17296135</v>
      </c>
      <c r="U80" s="19">
        <f t="shared" si="47"/>
        <v>442077945.0762319</v>
      </c>
      <c r="V80" s="19">
        <f t="shared" si="47"/>
        <v>420921206.24782658</v>
      </c>
      <c r="W80" s="19">
        <f t="shared" si="47"/>
        <v>405938312.09404331</v>
      </c>
      <c r="X80" s="19">
        <f t="shared" si="47"/>
        <v>367898764.49686575</v>
      </c>
      <c r="Y80" s="19">
        <f t="shared" si="47"/>
        <v>343457131.18852949</v>
      </c>
      <c r="Z80" s="19">
        <f t="shared" si="47"/>
        <v>330343524.78365535</v>
      </c>
      <c r="AA80" s="19">
        <f t="shared" si="47"/>
        <v>311056000.08210671</v>
      </c>
      <c r="AB80" s="31"/>
      <c r="AC80" s="77">
        <f>P80/AVERAGE(K80:O80)-1</f>
        <v>0.34887899163153802</v>
      </c>
      <c r="AD80" s="26">
        <f t="shared" si="44"/>
        <v>-2.3010643876138714E-2</v>
      </c>
    </row>
    <row r="81" spans="1:30">
      <c r="B81" s="14"/>
      <c r="C81" s="14"/>
      <c r="D81" s="14"/>
      <c r="E81" s="14"/>
      <c r="F81" s="14"/>
      <c r="G81" s="14"/>
      <c r="H81" s="14"/>
      <c r="I81" s="14"/>
      <c r="J81" s="14"/>
      <c r="K81" s="14"/>
      <c r="L81" s="14"/>
      <c r="M81" s="14"/>
      <c r="N81" s="14"/>
      <c r="O81" s="14">
        <f>O79/O76-1</f>
        <v>0.27648521357532863</v>
      </c>
      <c r="P81" s="14">
        <f>P79/P76-1</f>
        <v>0.20434300652751447</v>
      </c>
      <c r="Q81" s="14"/>
      <c r="R81" s="14"/>
      <c r="S81" s="14"/>
      <c r="T81" s="14"/>
      <c r="U81" s="14"/>
      <c r="V81" s="14"/>
      <c r="W81" s="14"/>
      <c r="X81" s="14"/>
      <c r="Y81" s="14"/>
      <c r="Z81" s="14"/>
      <c r="AA81" s="14"/>
      <c r="AB81" s="14"/>
      <c r="AC81" s="14"/>
      <c r="AD81" s="14"/>
    </row>
    <row r="82" spans="1:30" ht="15.75">
      <c r="A82" s="76" t="s">
        <v>108</v>
      </c>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476">
        <v>2024</v>
      </c>
      <c r="AD82" s="476"/>
    </row>
    <row r="83" spans="1:30">
      <c r="B83" s="14">
        <f>B2</f>
        <v>2010</v>
      </c>
      <c r="C83" s="14">
        <f t="shared" ref="C83:O83" si="48">C2</f>
        <v>2011</v>
      </c>
      <c r="D83" s="14">
        <f t="shared" si="48"/>
        <v>2012</v>
      </c>
      <c r="E83" s="14">
        <f t="shared" si="48"/>
        <v>2013</v>
      </c>
      <c r="F83" s="14">
        <f t="shared" si="48"/>
        <v>2014</v>
      </c>
      <c r="G83" s="14">
        <f t="shared" si="48"/>
        <v>2015</v>
      </c>
      <c r="H83" s="14">
        <f t="shared" si="48"/>
        <v>2016</v>
      </c>
      <c r="I83" s="14">
        <f t="shared" si="48"/>
        <v>2017</v>
      </c>
      <c r="J83" s="14">
        <f t="shared" si="48"/>
        <v>2018</v>
      </c>
      <c r="K83" s="14">
        <f t="shared" si="48"/>
        <v>2019</v>
      </c>
      <c r="L83" s="14">
        <f t="shared" si="48"/>
        <v>2020</v>
      </c>
      <c r="M83" s="14">
        <f t="shared" si="48"/>
        <v>2021</v>
      </c>
      <c r="N83" s="14">
        <f t="shared" si="48"/>
        <v>2022</v>
      </c>
      <c r="O83" s="14">
        <f t="shared" si="48"/>
        <v>2023</v>
      </c>
      <c r="P83" s="14">
        <f t="shared" ref="P83:AA83" si="49">P10</f>
        <v>2024</v>
      </c>
      <c r="Q83" s="14">
        <f t="shared" si="49"/>
        <v>2025</v>
      </c>
      <c r="R83" s="14">
        <f t="shared" si="49"/>
        <v>2026</v>
      </c>
      <c r="S83" s="14">
        <f t="shared" si="49"/>
        <v>2027</v>
      </c>
      <c r="T83" s="14">
        <f t="shared" si="49"/>
        <v>2028</v>
      </c>
      <c r="U83" s="14">
        <f t="shared" si="49"/>
        <v>2029</v>
      </c>
      <c r="V83" s="14">
        <f t="shared" si="49"/>
        <v>0</v>
      </c>
      <c r="W83" s="14">
        <f t="shared" si="49"/>
        <v>0</v>
      </c>
      <c r="X83" s="14">
        <f t="shared" si="49"/>
        <v>0</v>
      </c>
      <c r="Y83" s="14">
        <f t="shared" si="49"/>
        <v>0</v>
      </c>
      <c r="Z83" s="14">
        <f t="shared" si="49"/>
        <v>0</v>
      </c>
      <c r="AA83" s="14">
        <f t="shared" si="49"/>
        <v>0</v>
      </c>
      <c r="AB83" s="14"/>
      <c r="AC83" s="14" t="s">
        <v>166</v>
      </c>
      <c r="AD83" s="14" t="s">
        <v>167</v>
      </c>
    </row>
    <row r="84" spans="1:30">
      <c r="A84" s="14" t="s">
        <v>168</v>
      </c>
      <c r="B84" s="18">
        <f>B76+B68</f>
        <v>1833131</v>
      </c>
      <c r="C84" s="18">
        <f t="shared" ref="C84:O87" si="50">C76+C68</f>
        <v>155428125</v>
      </c>
      <c r="D84" s="18">
        <f t="shared" si="50"/>
        <v>254663353</v>
      </c>
      <c r="E84" s="18">
        <f t="shared" si="50"/>
        <v>291938769</v>
      </c>
      <c r="F84" s="18">
        <f t="shared" si="50"/>
        <v>379030709</v>
      </c>
      <c r="G84" s="18">
        <f t="shared" si="50"/>
        <v>367137526</v>
      </c>
      <c r="H84" s="18">
        <f t="shared" si="50"/>
        <v>470645718</v>
      </c>
      <c r="I84" s="18">
        <f t="shared" si="50"/>
        <v>488479264</v>
      </c>
      <c r="J84" s="18">
        <f t="shared" si="50"/>
        <v>558050249</v>
      </c>
      <c r="K84" s="18">
        <f t="shared" si="50"/>
        <v>613736931</v>
      </c>
      <c r="L84" s="18">
        <f t="shared" si="50"/>
        <v>678834623</v>
      </c>
      <c r="M84" s="18">
        <f t="shared" si="50"/>
        <v>677322024</v>
      </c>
      <c r="N84" s="18">
        <f t="shared" si="50"/>
        <v>788792714</v>
      </c>
      <c r="O84" s="18">
        <f t="shared" si="50"/>
        <v>1065428072</v>
      </c>
      <c r="P84" s="18">
        <f>SUM('Qtrly Gallon Summary'!P68+'Qtrly Gallon Summary'!P59+'Qtrly Gallon Summary'!P35+'Qtrly Gallon Summary'!P27)</f>
        <v>1947816845</v>
      </c>
      <c r="Q84" s="18">
        <f>SUM('Qtrly Gallon Summary'!Q68+'Qtrly Gallon Summary'!Q59+'Qtrly Gallon Summary'!Q35+'Qtrly Gallon Summary'!Q27)</f>
        <v>1528577461</v>
      </c>
      <c r="R84" s="19">
        <f>SUM('Qtrly Gallon Summary'!R68+'Qtrly Gallon Summary'!R59+'Qtrly Gallon Summary'!R35+'Qtrly Gallon Summary'!R27)</f>
        <v>1578657619.3386378</v>
      </c>
      <c r="S84" s="19">
        <f>SUM('Qtrly Gallon Summary'!S68+'Qtrly Gallon Summary'!S59+'Qtrly Gallon Summary'!S35+'Qtrly Gallon Summary'!S27)</f>
        <v>1665266733.9365389</v>
      </c>
      <c r="T84" s="19">
        <f>SUM('Qtrly Gallon Summary'!T68+'Qtrly Gallon Summary'!T59+'Qtrly Gallon Summary'!T35+'Qtrly Gallon Summary'!T27)</f>
        <v>1614554071.1503963</v>
      </c>
      <c r="U84" s="19">
        <f>SUM('Qtrly Gallon Summary'!U68+'Qtrly Gallon Summary'!U59+'Qtrly Gallon Summary'!U35+'Qtrly Gallon Summary'!U27)</f>
        <v>1646917824.5312147</v>
      </c>
      <c r="V84" s="19">
        <f>SUM('Qtrly Gallon Summary'!V68+'Qtrly Gallon Summary'!V59+'Qtrly Gallon Summary'!V35+'Qtrly Gallon Summary'!V27)</f>
        <v>1681858456.8695021</v>
      </c>
      <c r="W84" s="19">
        <f>SUM('Qtrly Gallon Summary'!W68+'Qtrly Gallon Summary'!W59+'Qtrly Gallon Summary'!W35+'Qtrly Gallon Summary'!W27)</f>
        <v>1817413782.8855972</v>
      </c>
      <c r="X84" s="19">
        <f>SUM('Qtrly Gallon Summary'!X68+'Qtrly Gallon Summary'!X59+'Qtrly Gallon Summary'!X35+'Qtrly Gallon Summary'!X27)</f>
        <v>2088297467.7814875</v>
      </c>
      <c r="Y84" s="19">
        <f>SUM('Qtrly Gallon Summary'!Y68+'Qtrly Gallon Summary'!Y59+'Qtrly Gallon Summary'!Y35+'Qtrly Gallon Summary'!Y27)</f>
        <v>2076751976.106504</v>
      </c>
      <c r="Z84" s="19">
        <f>SUM('Qtrly Gallon Summary'!Z68+'Qtrly Gallon Summary'!Z59+'Qtrly Gallon Summary'!Z35+'Qtrly Gallon Summary'!Z27)</f>
        <v>2009434420.981077</v>
      </c>
      <c r="AA84" s="19">
        <f>SUM('Qtrly Gallon Summary'!AA68+'Qtrly Gallon Summary'!AA59+'Qtrly Gallon Summary'!AA35+'Qtrly Gallon Summary'!AA27)</f>
        <v>2098213925.1632149</v>
      </c>
      <c r="AB84" s="14"/>
      <c r="AC84" s="26">
        <f>P84/O87-1</f>
        <v>0.44710069779315798</v>
      </c>
      <c r="AD84" s="26">
        <f>P84/O84-1</f>
        <v>0.82820116738955241</v>
      </c>
    </row>
    <row r="85" spans="1:30">
      <c r="A85" s="14" t="s">
        <v>169</v>
      </c>
      <c r="B85" s="18">
        <f>B77+B69</f>
        <v>1869566</v>
      </c>
      <c r="C85" s="18">
        <f t="shared" si="50"/>
        <v>189636010</v>
      </c>
      <c r="D85" s="18">
        <f t="shared" si="50"/>
        <v>295065838</v>
      </c>
      <c r="E85" s="18">
        <f t="shared" si="50"/>
        <v>381402889</v>
      </c>
      <c r="F85" s="18">
        <f t="shared" si="50"/>
        <v>428438149</v>
      </c>
      <c r="G85" s="18">
        <f t="shared" si="50"/>
        <v>456473514</v>
      </c>
      <c r="H85" s="18">
        <f t="shared" si="50"/>
        <v>650323856</v>
      </c>
      <c r="I85" s="18">
        <f t="shared" si="50"/>
        <v>602696878</v>
      </c>
      <c r="J85" s="18">
        <f t="shared" si="50"/>
        <v>614298513</v>
      </c>
      <c r="K85" s="18">
        <f t="shared" si="50"/>
        <v>704995931</v>
      </c>
      <c r="L85" s="18">
        <f t="shared" si="50"/>
        <v>694492159</v>
      </c>
      <c r="M85" s="18">
        <f t="shared" si="50"/>
        <v>739938853</v>
      </c>
      <c r="N85" s="18">
        <f t="shared" si="50"/>
        <v>892375089</v>
      </c>
      <c r="O85" s="18">
        <f t="shared" si="50"/>
        <v>1132559764</v>
      </c>
      <c r="P85" s="18">
        <f>SUM('Qtrly Gallon Summary'!P69+'Qtrly Gallon Summary'!P60+'Qtrly Gallon Summary'!P36+'Qtrly Gallon Summary'!P28)</f>
        <v>2139083444</v>
      </c>
      <c r="Q85" s="19">
        <f>SUM('Qtrly Gallon Summary'!Q69+'Qtrly Gallon Summary'!Q60+'Qtrly Gallon Summary'!Q36+'Qtrly Gallon Summary'!Q28)</f>
        <v>1633154697.9726713</v>
      </c>
      <c r="R85" s="19">
        <f>SUM('Qtrly Gallon Summary'!R69+'Qtrly Gallon Summary'!R60+'Qtrly Gallon Summary'!R36+'Qtrly Gallon Summary'!R28)</f>
        <v>1714108214.9730861</v>
      </c>
      <c r="S85" s="19">
        <f>SUM('Qtrly Gallon Summary'!S69+'Qtrly Gallon Summary'!S60+'Qtrly Gallon Summary'!S36+'Qtrly Gallon Summary'!S28)</f>
        <v>1822000311.0067837</v>
      </c>
      <c r="T85" s="19">
        <f>SUM('Qtrly Gallon Summary'!T69+'Qtrly Gallon Summary'!T60+'Qtrly Gallon Summary'!T36+'Qtrly Gallon Summary'!T28)</f>
        <v>1763636066.4904406</v>
      </c>
      <c r="U85" s="19">
        <f>SUM('Qtrly Gallon Summary'!U69+'Qtrly Gallon Summary'!U60+'Qtrly Gallon Summary'!U36+'Qtrly Gallon Summary'!U28)</f>
        <v>1802787141.2710323</v>
      </c>
      <c r="V85" s="19">
        <f>SUM('Qtrly Gallon Summary'!V69+'Qtrly Gallon Summary'!V60+'Qtrly Gallon Summary'!V36+'Qtrly Gallon Summary'!V28)</f>
        <v>1849777088.6110582</v>
      </c>
      <c r="W85" s="19">
        <f>SUM('Qtrly Gallon Summary'!W69+'Qtrly Gallon Summary'!W60+'Qtrly Gallon Summary'!W36+'Qtrly Gallon Summary'!W28)</f>
        <v>1978689284.7089908</v>
      </c>
      <c r="X85" s="19">
        <f>SUM('Qtrly Gallon Summary'!X69+'Qtrly Gallon Summary'!X60+'Qtrly Gallon Summary'!X36+'Qtrly Gallon Summary'!X28)</f>
        <v>2271205559.8715034</v>
      </c>
      <c r="Y85" s="19">
        <f>SUM('Qtrly Gallon Summary'!Y69+'Qtrly Gallon Summary'!Y60+'Qtrly Gallon Summary'!Y36+'Qtrly Gallon Summary'!Y28)</f>
        <v>2236319031.390748</v>
      </c>
      <c r="Z85" s="19">
        <f>SUM('Qtrly Gallon Summary'!Z69+'Qtrly Gallon Summary'!Z60+'Qtrly Gallon Summary'!Z36+'Qtrly Gallon Summary'!Z28)</f>
        <v>2173193910.4878592</v>
      </c>
      <c r="AA85" s="19">
        <f>SUM('Qtrly Gallon Summary'!AA69+'Qtrly Gallon Summary'!AA60+'Qtrly Gallon Summary'!AA36+'Qtrly Gallon Summary'!AA28)</f>
        <v>2267399538.2235765</v>
      </c>
      <c r="AB85" s="14"/>
      <c r="AC85" s="77">
        <f>P85/P84-1</f>
        <v>9.8195371649535179E-2</v>
      </c>
      <c r="AD85" s="26">
        <f t="shared" ref="AD85:AD88" si="51">P85/O85-1</f>
        <v>0.8887157322675292</v>
      </c>
    </row>
    <row r="86" spans="1:30">
      <c r="A86" s="14" t="s">
        <v>170</v>
      </c>
      <c r="B86" s="18">
        <f>B78+B70</f>
        <v>6751960</v>
      </c>
      <c r="C86" s="18">
        <f t="shared" si="50"/>
        <v>234093263</v>
      </c>
      <c r="D86" s="18">
        <f t="shared" si="50"/>
        <v>318014213</v>
      </c>
      <c r="E86" s="18">
        <f t="shared" si="50"/>
        <v>405526664</v>
      </c>
      <c r="F86" s="18">
        <f t="shared" si="50"/>
        <v>515270681</v>
      </c>
      <c r="G86" s="18">
        <f t="shared" si="50"/>
        <v>558075551</v>
      </c>
      <c r="H86" s="18">
        <f t="shared" si="50"/>
        <v>733370382</v>
      </c>
      <c r="I86" s="18">
        <f t="shared" si="50"/>
        <v>670640333</v>
      </c>
      <c r="J86" s="18">
        <f t="shared" si="50"/>
        <v>649530796</v>
      </c>
      <c r="K86" s="18">
        <f t="shared" si="50"/>
        <v>709145420</v>
      </c>
      <c r="L86" s="18">
        <f t="shared" si="50"/>
        <v>717941182</v>
      </c>
      <c r="M86" s="18">
        <f t="shared" si="50"/>
        <v>754612065</v>
      </c>
      <c r="N86" s="18">
        <f t="shared" si="50"/>
        <v>893080062</v>
      </c>
      <c r="O86" s="18">
        <f t="shared" si="50"/>
        <v>1204084814</v>
      </c>
      <c r="P86" s="18">
        <f>SUM('Qtrly Gallon Summary'!P70+'Qtrly Gallon Summary'!P61+'Qtrly Gallon Summary'!P37+'Qtrly Gallon Summary'!P29)</f>
        <v>2120320277</v>
      </c>
      <c r="Q86" s="19">
        <f>SUM('Qtrly Gallon Summary'!Q70+'Qtrly Gallon Summary'!Q61+'Qtrly Gallon Summary'!Q37+'Qtrly Gallon Summary'!Q29)</f>
        <v>1693611072.0257976</v>
      </c>
      <c r="R86" s="19">
        <f>SUM('Qtrly Gallon Summary'!R70+'Qtrly Gallon Summary'!R61+'Qtrly Gallon Summary'!R37+'Qtrly Gallon Summary'!R29)</f>
        <v>1719511646.0668392</v>
      </c>
      <c r="S86" s="19">
        <f>SUM('Qtrly Gallon Summary'!S70+'Qtrly Gallon Summary'!S61+'Qtrly Gallon Summary'!S37+'Qtrly Gallon Summary'!S29)</f>
        <v>1848254390.828618</v>
      </c>
      <c r="T86" s="19">
        <f>SUM('Qtrly Gallon Summary'!T70+'Qtrly Gallon Summary'!T61+'Qtrly Gallon Summary'!T37+'Qtrly Gallon Summary'!T29)</f>
        <v>1791563428.8859608</v>
      </c>
      <c r="U86" s="19">
        <f>SUM('Qtrly Gallon Summary'!U70+'Qtrly Gallon Summary'!U61+'Qtrly Gallon Summary'!U37+'Qtrly Gallon Summary'!U29)</f>
        <v>1839109945.4540873</v>
      </c>
      <c r="V86" s="19">
        <f>SUM('Qtrly Gallon Summary'!V70+'Qtrly Gallon Summary'!V61+'Qtrly Gallon Summary'!V37+'Qtrly Gallon Summary'!V29)</f>
        <v>1904942222.2278986</v>
      </c>
      <c r="W86" s="19">
        <f>SUM('Qtrly Gallon Summary'!W70+'Qtrly Gallon Summary'!W61+'Qtrly Gallon Summary'!W37+'Qtrly Gallon Summary'!W29)</f>
        <v>2026893749.3652899</v>
      </c>
      <c r="X86" s="19">
        <f>SUM('Qtrly Gallon Summary'!X70+'Qtrly Gallon Summary'!X61+'Qtrly Gallon Summary'!X37+'Qtrly Gallon Summary'!X29)</f>
        <v>2341529724.5234184</v>
      </c>
      <c r="Y86" s="19">
        <f>SUM('Qtrly Gallon Summary'!Y70+'Qtrly Gallon Summary'!Y61+'Qtrly Gallon Summary'!Y37+'Qtrly Gallon Summary'!Y29)</f>
        <v>2304814877.8624048</v>
      </c>
      <c r="Z86" s="19">
        <f>SUM('Qtrly Gallon Summary'!Z70+'Qtrly Gallon Summary'!Z61+'Qtrly Gallon Summary'!Z37+'Qtrly Gallon Summary'!Z29)</f>
        <v>2241916735.0003324</v>
      </c>
      <c r="AA86" s="19">
        <f>SUM('Qtrly Gallon Summary'!AA70+'Qtrly Gallon Summary'!AA61+'Qtrly Gallon Summary'!AA37+'Qtrly Gallon Summary'!AA29)</f>
        <v>2338313359.7420835</v>
      </c>
      <c r="AB86" s="14"/>
      <c r="AC86" s="77">
        <f t="shared" ref="AC86:AC87" si="52">P86/P85-1</f>
        <v>-8.7715918949443639E-3</v>
      </c>
      <c r="AD86" s="26">
        <f t="shared" si="51"/>
        <v>0.7609393062239882</v>
      </c>
    </row>
    <row r="87" spans="1:30">
      <c r="A87" s="14" t="s">
        <v>171</v>
      </c>
      <c r="B87" s="18">
        <f>B79+B71</f>
        <v>9197895</v>
      </c>
      <c r="C87" s="18">
        <f t="shared" si="50"/>
        <v>258577642</v>
      </c>
      <c r="D87" s="18">
        <f t="shared" si="50"/>
        <v>321718173</v>
      </c>
      <c r="E87" s="18">
        <f t="shared" si="50"/>
        <v>484647235</v>
      </c>
      <c r="F87" s="18">
        <f t="shared" si="50"/>
        <v>552191836</v>
      </c>
      <c r="G87" s="18">
        <f t="shared" si="50"/>
        <v>582958167</v>
      </c>
      <c r="H87" s="18">
        <f t="shared" si="50"/>
        <v>829761635</v>
      </c>
      <c r="I87" s="18">
        <f t="shared" si="50"/>
        <v>657367400</v>
      </c>
      <c r="J87" s="18">
        <f t="shared" si="50"/>
        <v>673492064</v>
      </c>
      <c r="K87" s="18">
        <f t="shared" si="50"/>
        <v>688224801</v>
      </c>
      <c r="L87" s="18">
        <f t="shared" si="50"/>
        <v>778999596</v>
      </c>
      <c r="M87" s="18">
        <f t="shared" si="50"/>
        <v>845663548</v>
      </c>
      <c r="N87" s="18">
        <f t="shared" si="50"/>
        <v>1011611069</v>
      </c>
      <c r="O87" s="18">
        <f t="shared" si="50"/>
        <v>1346013341</v>
      </c>
      <c r="P87" s="18">
        <f>SUM('Qtrly Gallon Summary'!P71+'Qtrly Gallon Summary'!P62+'Qtrly Gallon Summary'!P38+'Qtrly Gallon Summary'!P30)</f>
        <v>2289624281</v>
      </c>
      <c r="Q87" s="19">
        <f>SUM('Qtrly Gallon Summary'!Q71+'Qtrly Gallon Summary'!Q62+'Qtrly Gallon Summary'!Q38+'Qtrly Gallon Summary'!Q30)</f>
        <v>1864332677.677156</v>
      </c>
      <c r="R87" s="19">
        <f>SUM('Qtrly Gallon Summary'!R71+'Qtrly Gallon Summary'!R62+'Qtrly Gallon Summary'!R38+'Qtrly Gallon Summary'!R30)</f>
        <v>2033485520.020647</v>
      </c>
      <c r="S87" s="19">
        <f>SUM('Qtrly Gallon Summary'!S71+'Qtrly Gallon Summary'!S62+'Qtrly Gallon Summary'!S38+'Qtrly Gallon Summary'!S30)</f>
        <v>2160022139.1281161</v>
      </c>
      <c r="T87" s="19">
        <f>SUM('Qtrly Gallon Summary'!T71+'Qtrly Gallon Summary'!T62+'Qtrly Gallon Summary'!T38+'Qtrly Gallon Summary'!T30)</f>
        <v>2100859534.4030621</v>
      </c>
      <c r="U87" s="19">
        <f>SUM('Qtrly Gallon Summary'!U71+'Qtrly Gallon Summary'!U62+'Qtrly Gallon Summary'!U38+'Qtrly Gallon Summary'!U30)</f>
        <v>2142019661.6722021</v>
      </c>
      <c r="V87" s="19">
        <f>SUM('Qtrly Gallon Summary'!V71+'Qtrly Gallon Summary'!V62+'Qtrly Gallon Summary'!V38+'Qtrly Gallon Summary'!V30)</f>
        <v>2223062035.2350769</v>
      </c>
      <c r="W87" s="19">
        <f>SUM('Qtrly Gallon Summary'!W71+'Qtrly Gallon Summary'!W62+'Qtrly Gallon Summary'!W38+'Qtrly Gallon Summary'!W30)</f>
        <v>2367447053.2609797</v>
      </c>
      <c r="X87" s="19">
        <f>SUM('Qtrly Gallon Summary'!X71+'Qtrly Gallon Summary'!X62+'Qtrly Gallon Summary'!X38+'Qtrly Gallon Summary'!X30)</f>
        <v>2730932177.7857666</v>
      </c>
      <c r="Y87" s="19">
        <f>SUM('Qtrly Gallon Summary'!Y71+'Qtrly Gallon Summary'!Y62+'Qtrly Gallon Summary'!Y38+'Qtrly Gallon Summary'!Y30)</f>
        <v>2688250686.8311505</v>
      </c>
      <c r="Z87" s="19">
        <f>SUM('Qtrly Gallon Summary'!Z71+'Qtrly Gallon Summary'!Z62+'Qtrly Gallon Summary'!Z38+'Qtrly Gallon Summary'!Z30)</f>
        <v>2612764777.575592</v>
      </c>
      <c r="AA87" s="19">
        <f>SUM('Qtrly Gallon Summary'!AA71+'Qtrly Gallon Summary'!AA62+'Qtrly Gallon Summary'!AA38+'Qtrly Gallon Summary'!AA30)</f>
        <v>2728007436.5616703</v>
      </c>
      <c r="AB87" s="14"/>
      <c r="AC87" s="77">
        <f t="shared" si="52"/>
        <v>7.9848316236236228E-2</v>
      </c>
      <c r="AD87" s="26">
        <f t="shared" si="51"/>
        <v>0.70104129822291261</v>
      </c>
    </row>
    <row r="88" spans="1:30">
      <c r="A88" s="14" t="s">
        <v>29</v>
      </c>
      <c r="B88" s="18">
        <f>SUM(B84:B87)</f>
        <v>19652552</v>
      </c>
      <c r="C88" s="18">
        <f t="shared" ref="C88:AA88" si="53">SUM(C84:C87)</f>
        <v>837735040</v>
      </c>
      <c r="D88" s="18">
        <f t="shared" si="53"/>
        <v>1189461577</v>
      </c>
      <c r="E88" s="18">
        <f t="shared" si="53"/>
        <v>1563515557</v>
      </c>
      <c r="F88" s="18">
        <f t="shared" si="53"/>
        <v>1874931375</v>
      </c>
      <c r="G88" s="18">
        <f t="shared" si="53"/>
        <v>1964644758</v>
      </c>
      <c r="H88" s="18">
        <f t="shared" si="53"/>
        <v>2684101591</v>
      </c>
      <c r="I88" s="18">
        <f t="shared" si="53"/>
        <v>2419183875</v>
      </c>
      <c r="J88" s="18">
        <f t="shared" si="53"/>
        <v>2495371622</v>
      </c>
      <c r="K88" s="18">
        <f t="shared" si="53"/>
        <v>2716103083</v>
      </c>
      <c r="L88" s="18">
        <f t="shared" si="53"/>
        <v>2870267560</v>
      </c>
      <c r="M88" s="18">
        <f t="shared" si="53"/>
        <v>3017536490</v>
      </c>
      <c r="N88" s="18">
        <f t="shared" si="53"/>
        <v>3585858934</v>
      </c>
      <c r="O88" s="18">
        <f t="shared" si="53"/>
        <v>4748085991</v>
      </c>
      <c r="P88" s="18">
        <f t="shared" si="53"/>
        <v>8496844847</v>
      </c>
      <c r="Q88" s="19">
        <f t="shared" si="53"/>
        <v>6719675908.6756248</v>
      </c>
      <c r="R88" s="19">
        <f t="shared" si="53"/>
        <v>7045763000.39921</v>
      </c>
      <c r="S88" s="19">
        <f t="shared" si="53"/>
        <v>7495543574.9000568</v>
      </c>
      <c r="T88" s="19">
        <f t="shared" si="53"/>
        <v>7270613100.9298592</v>
      </c>
      <c r="U88" s="19">
        <f t="shared" si="53"/>
        <v>7430834572.9285364</v>
      </c>
      <c r="V88" s="19">
        <f t="shared" si="53"/>
        <v>7659639802.9435358</v>
      </c>
      <c r="W88" s="19">
        <f t="shared" si="53"/>
        <v>8190443870.2208576</v>
      </c>
      <c r="X88" s="19">
        <f t="shared" si="53"/>
        <v>9431964929.9621754</v>
      </c>
      <c r="Y88" s="19">
        <f t="shared" si="53"/>
        <v>9306136572.1908073</v>
      </c>
      <c r="Z88" s="19">
        <f t="shared" si="53"/>
        <v>9037309844.0448608</v>
      </c>
      <c r="AA88" s="19">
        <f t="shared" si="53"/>
        <v>9431934259.6905441</v>
      </c>
      <c r="AB88" s="14"/>
      <c r="AC88" s="77">
        <f>P88/AVERAGE(K88:O88)-1</f>
        <v>1.5082415461843679</v>
      </c>
      <c r="AD88" s="26">
        <f t="shared" si="51"/>
        <v>0.78953053148274366</v>
      </c>
    </row>
    <row r="90" spans="1:30" ht="15.75">
      <c r="A90" s="76" t="s">
        <v>109</v>
      </c>
      <c r="AC90" s="476">
        <v>2024</v>
      </c>
      <c r="AD90" s="476"/>
    </row>
    <row r="91" spans="1:30">
      <c r="B91">
        <f>B2</f>
        <v>2010</v>
      </c>
      <c r="C91">
        <f t="shared" ref="C91:AA91" si="54">C2</f>
        <v>2011</v>
      </c>
      <c r="D91">
        <f t="shared" si="54"/>
        <v>2012</v>
      </c>
      <c r="E91">
        <f t="shared" si="54"/>
        <v>2013</v>
      </c>
      <c r="F91">
        <f t="shared" si="54"/>
        <v>2014</v>
      </c>
      <c r="G91">
        <f t="shared" si="54"/>
        <v>2015</v>
      </c>
      <c r="H91">
        <f t="shared" si="54"/>
        <v>2016</v>
      </c>
      <c r="I91">
        <f t="shared" si="54"/>
        <v>2017</v>
      </c>
      <c r="J91">
        <f t="shared" si="54"/>
        <v>2018</v>
      </c>
      <c r="K91">
        <f t="shared" si="54"/>
        <v>2019</v>
      </c>
      <c r="L91">
        <f t="shared" si="54"/>
        <v>2020</v>
      </c>
      <c r="M91">
        <f t="shared" si="54"/>
        <v>2021</v>
      </c>
      <c r="N91">
        <f t="shared" si="54"/>
        <v>2022</v>
      </c>
      <c r="O91">
        <f t="shared" si="54"/>
        <v>2023</v>
      </c>
      <c r="P91">
        <f t="shared" si="54"/>
        <v>2024</v>
      </c>
      <c r="Q91">
        <f t="shared" si="54"/>
        <v>2025</v>
      </c>
      <c r="R91">
        <f t="shared" si="54"/>
        <v>2026</v>
      </c>
      <c r="S91">
        <f t="shared" si="54"/>
        <v>2027</v>
      </c>
      <c r="T91">
        <f t="shared" si="54"/>
        <v>2028</v>
      </c>
      <c r="U91">
        <f t="shared" si="54"/>
        <v>2029</v>
      </c>
      <c r="V91">
        <f t="shared" si="54"/>
        <v>2030</v>
      </c>
      <c r="W91">
        <f t="shared" si="54"/>
        <v>2031</v>
      </c>
      <c r="X91">
        <f t="shared" si="54"/>
        <v>2032</v>
      </c>
      <c r="Y91">
        <f t="shared" si="54"/>
        <v>2033</v>
      </c>
      <c r="Z91">
        <f t="shared" si="54"/>
        <v>2034</v>
      </c>
      <c r="AA91">
        <f t="shared" si="54"/>
        <v>2035</v>
      </c>
      <c r="AC91" s="14" t="s">
        <v>166</v>
      </c>
      <c r="AD91" s="14" t="s">
        <v>167</v>
      </c>
    </row>
    <row r="92" spans="1:30">
      <c r="A92" s="14" t="s">
        <v>168</v>
      </c>
      <c r="B92" s="18">
        <f>SUM('Monthly Gallon Summary'!B180:B182)</f>
        <v>0</v>
      </c>
      <c r="C92" s="18">
        <f>SUM('Monthly Gallon Summary'!C180:C182)</f>
        <v>0</v>
      </c>
      <c r="D92" s="18">
        <f>SUM('Monthly Gallon Summary'!D180:D182)</f>
        <v>0</v>
      </c>
      <c r="E92" s="18">
        <f>SUM('Monthly Gallon Summary'!E180:E182)</f>
        <v>0</v>
      </c>
      <c r="F92" s="18">
        <f>SUM('Monthly Gallon Summary'!F180:F182)</f>
        <v>0</v>
      </c>
      <c r="G92" s="18">
        <f>SUM('Monthly Gallon Summary'!G180:G182)</f>
        <v>0</v>
      </c>
      <c r="H92" s="18">
        <f>SUM('Monthly Gallon Summary'!H180:H182)</f>
        <v>0</v>
      </c>
      <c r="I92" s="18">
        <f>SUM('Monthly Gallon Summary'!I180:I182)</f>
        <v>585778</v>
      </c>
      <c r="J92" s="18">
        <f>SUM('Monthly Gallon Summary'!J180:J182)</f>
        <v>481500</v>
      </c>
      <c r="K92" s="18">
        <f>SUM('Monthly Gallon Summary'!K180:K182)</f>
        <v>566179</v>
      </c>
      <c r="L92" s="18">
        <f>SUM('Monthly Gallon Summary'!L180:L182)</f>
        <v>322416</v>
      </c>
      <c r="M92" s="18">
        <f>SUM('Monthly Gallon Summary'!M180:M182)</f>
        <v>873456</v>
      </c>
      <c r="N92" s="18">
        <f>SUM('Monthly Gallon Summary'!N180:N182)</f>
        <v>5844497</v>
      </c>
      <c r="O92" s="18">
        <f>SUM('Monthly Gallon Summary'!O180:O182)</f>
        <v>5377619</v>
      </c>
      <c r="P92" s="18">
        <f>SUM('Monthly Gallon Summary'!P180:P182)</f>
        <v>18698263</v>
      </c>
      <c r="Q92" s="18">
        <f>SUM('Monthly Gallon Summary'!Q180:Q182)</f>
        <v>40927377</v>
      </c>
      <c r="R92" s="19">
        <f>SUM('Monthly Gallon Summary'!R180:R182)</f>
        <v>96085502.578560352</v>
      </c>
      <c r="S92" s="19">
        <f>SUM('Monthly Gallon Summary'!S180:S182)</f>
        <v>263317711.31517419</v>
      </c>
      <c r="T92" s="19">
        <f>SUM('Monthly Gallon Summary'!T180:T182)</f>
        <v>344012856.50773436</v>
      </c>
      <c r="U92" s="19">
        <f>SUM('Monthly Gallon Summary'!U180:U182)</f>
        <v>448946476.70660162</v>
      </c>
      <c r="V92" s="19">
        <f>SUM('Monthly Gallon Summary'!V180:V182)</f>
        <v>608326069.32806182</v>
      </c>
      <c r="W92" s="19">
        <f>SUM('Monthly Gallon Summary'!W180:W182)</f>
        <v>702343189.00564086</v>
      </c>
      <c r="X92" s="19">
        <f>SUM('Monthly Gallon Summary'!X180:X182)</f>
        <v>879660998.96622562</v>
      </c>
      <c r="Y92" s="19">
        <f>SUM('Monthly Gallon Summary'!Y180:Y182)</f>
        <v>918650227.28837597</v>
      </c>
      <c r="Z92" s="19">
        <f>SUM('Monthly Gallon Summary'!Z180:Z182)</f>
        <v>998718414.53718936</v>
      </c>
      <c r="AA92" s="19">
        <f>SUM('Monthly Gallon Summary'!AA180:AA182)</f>
        <v>1043489984.2805529</v>
      </c>
      <c r="AC92" s="26">
        <f>P92/O95-1</f>
        <v>1.9820193048665971</v>
      </c>
      <c r="AD92" s="26">
        <f>P92/O92-1</f>
        <v>2.4770523906583937</v>
      </c>
    </row>
    <row r="93" spans="1:30">
      <c r="A93" s="14" t="s">
        <v>169</v>
      </c>
      <c r="B93" s="18">
        <f>SUM('Monthly Gallon Summary'!B183:B185)</f>
        <v>0</v>
      </c>
      <c r="C93" s="18">
        <f>SUM('Monthly Gallon Summary'!C183:C185)</f>
        <v>0</v>
      </c>
      <c r="D93" s="18">
        <f>SUM('Monthly Gallon Summary'!D183:D185)</f>
        <v>0</v>
      </c>
      <c r="E93" s="18">
        <f>SUM('Monthly Gallon Summary'!E183:E185)</f>
        <v>0</v>
      </c>
      <c r="F93" s="18">
        <f>SUM('Monthly Gallon Summary'!F183:F185)</f>
        <v>0</v>
      </c>
      <c r="G93" s="18">
        <f>SUM('Monthly Gallon Summary'!G183:G185)</f>
        <v>0</v>
      </c>
      <c r="H93" s="18">
        <f>SUM('Monthly Gallon Summary'!H183:H185)</f>
        <v>0</v>
      </c>
      <c r="I93" s="18">
        <f>SUM('Monthly Gallon Summary'!I183:I185)</f>
        <v>261956</v>
      </c>
      <c r="J93" s="18">
        <f>SUM('Monthly Gallon Summary'!J183:J185)</f>
        <v>389017</v>
      </c>
      <c r="K93" s="18">
        <f>SUM('Monthly Gallon Summary'!K183:K185)</f>
        <v>723542</v>
      </c>
      <c r="L93" s="18">
        <f>SUM('Monthly Gallon Summary'!L183:L185)</f>
        <v>1742955</v>
      </c>
      <c r="M93" s="18">
        <f>SUM('Monthly Gallon Summary'!M183:M185)</f>
        <v>938102</v>
      </c>
      <c r="N93" s="18">
        <f>SUM('Monthly Gallon Summary'!N183:N185)</f>
        <v>2943571</v>
      </c>
      <c r="O93" s="18">
        <f>SUM('Monthly Gallon Summary'!O183:O185)</f>
        <v>6370150</v>
      </c>
      <c r="P93" s="18">
        <f>SUM('Monthly Gallon Summary'!P183:P185)</f>
        <v>32766126</v>
      </c>
      <c r="Q93" s="19">
        <f>SUM('Monthly Gallon Summary'!Q183:Q185)</f>
        <v>44880945.841896884</v>
      </c>
      <c r="R93" s="19">
        <f>SUM('Monthly Gallon Summary'!R183:R185)</f>
        <v>113687435.83944193</v>
      </c>
      <c r="S93" s="19">
        <f>SUM('Monthly Gallon Summary'!S183:S185)</f>
        <v>312707873.75983822</v>
      </c>
      <c r="T93" s="19">
        <f>SUM('Monthly Gallon Summary'!T183:T185)</f>
        <v>409687410.16056627</v>
      </c>
      <c r="U93" s="19">
        <f>SUM('Monthly Gallon Summary'!U183:U185)</f>
        <v>535968425.9199388</v>
      </c>
      <c r="V93" s="19">
        <f>SUM('Monthly Gallon Summary'!V183:V185)</f>
        <v>722170486.839661</v>
      </c>
      <c r="W93" s="19">
        <f>SUM('Monthly Gallon Summary'!W183:W185)</f>
        <v>835137928.04881632</v>
      </c>
      <c r="X93" s="19">
        <f>SUM('Monthly Gallon Summary'!X183:X185)</f>
        <v>1045987675.5042295</v>
      </c>
      <c r="Y93" s="19">
        <f>SUM('Monthly Gallon Summary'!Y183:Y185)</f>
        <v>1092486144.9021587</v>
      </c>
      <c r="Z93" s="19">
        <f>SUM('Monthly Gallon Summary'!Z183:Z185)</f>
        <v>1187583320.610615</v>
      </c>
      <c r="AA93" s="19">
        <f>SUM('Monthly Gallon Summary'!AA183:AA185)</f>
        <v>1240403320.0000925</v>
      </c>
      <c r="AC93" s="77">
        <f>P93/P92-1</f>
        <v>0.7523620242158322</v>
      </c>
      <c r="AD93" s="26">
        <f t="shared" ref="AD93:AD96" si="55">P93/O93-1</f>
        <v>4.1436977151244472</v>
      </c>
    </row>
    <row r="94" spans="1:30">
      <c r="A94" s="14" t="s">
        <v>170</v>
      </c>
      <c r="B94" s="18">
        <f>SUM('Monthly Gallon Summary'!B186:B188)</f>
        <v>0</v>
      </c>
      <c r="C94" s="18">
        <f>SUM('Monthly Gallon Summary'!C186:C188)</f>
        <v>0</v>
      </c>
      <c r="D94" s="18">
        <f>SUM('Monthly Gallon Summary'!D186:D188)</f>
        <v>0</v>
      </c>
      <c r="E94" s="18">
        <f>SUM('Monthly Gallon Summary'!E186:E188)</f>
        <v>0</v>
      </c>
      <c r="F94" s="18">
        <f>SUM('Monthly Gallon Summary'!F186:F188)</f>
        <v>0</v>
      </c>
      <c r="G94" s="18">
        <f>SUM('Monthly Gallon Summary'!G186:G188)</f>
        <v>0</v>
      </c>
      <c r="H94" s="18">
        <f>SUM('Monthly Gallon Summary'!H186:H188)</f>
        <v>230790</v>
      </c>
      <c r="I94" s="18">
        <f>SUM('Monthly Gallon Summary'!I186:I188)</f>
        <v>432788</v>
      </c>
      <c r="J94" s="18">
        <f>SUM('Monthly Gallon Summary'!J186:J188)</f>
        <v>303549</v>
      </c>
      <c r="K94" s="18">
        <f>SUM('Monthly Gallon Summary'!K186:K188)</f>
        <v>693899</v>
      </c>
      <c r="L94" s="18">
        <f>SUM('Monthly Gallon Summary'!L186:L188)</f>
        <v>1971749</v>
      </c>
      <c r="M94" s="18">
        <f>SUM('Monthly Gallon Summary'!M186:M188)</f>
        <v>2115339</v>
      </c>
      <c r="N94" s="18">
        <f>SUM('Monthly Gallon Summary'!N186:N188)</f>
        <v>3571106</v>
      </c>
      <c r="O94" s="18">
        <f>SUM('Monthly Gallon Summary'!O186:O188)</f>
        <v>8281992</v>
      </c>
      <c r="P94" s="18">
        <f>SUM('Monthly Gallon Summary'!P186:P188)</f>
        <v>41908181</v>
      </c>
      <c r="Q94" s="19">
        <f>SUM('Monthly Gallon Summary'!Q186:Q188)</f>
        <v>56326882.312517926</v>
      </c>
      <c r="R94" s="19">
        <f>SUM('Monthly Gallon Summary'!R186:R188)</f>
        <v>148535983.07366362</v>
      </c>
      <c r="S94" s="19">
        <f>SUM('Monthly Gallon Summary'!S186:S188)</f>
        <v>408667123.91527408</v>
      </c>
      <c r="T94" s="19">
        <f>SUM('Monthly Gallon Summary'!T186:T188)</f>
        <v>535214881.71227032</v>
      </c>
      <c r="U94" s="19">
        <f>SUM('Monthly Gallon Summary'!U186:U188)</f>
        <v>699363556.88217711</v>
      </c>
      <c r="V94" s="19">
        <f>SUM('Monthly Gallon Summary'!V186:V188)</f>
        <v>941732336.42475593</v>
      </c>
      <c r="W94" s="19">
        <f>SUM('Monthly Gallon Summary'!W186:W188)</f>
        <v>1090098505.4929338</v>
      </c>
      <c r="X94" s="19">
        <f>SUM('Monthly Gallon Summary'!X186:X188)</f>
        <v>1365322759.72209</v>
      </c>
      <c r="Y94" s="19">
        <f>SUM('Monthly Gallon Summary'!Y186:Y188)</f>
        <v>1425861492.8888698</v>
      </c>
      <c r="Z94" s="19">
        <f>SUM('Monthly Gallon Summary'!Z186:Z188)</f>
        <v>1549828519.1499362</v>
      </c>
      <c r="AA94" s="19">
        <f>SUM('Monthly Gallon Summary'!AA186:AA188)</f>
        <v>1618734849.7961302</v>
      </c>
      <c r="AC94" s="77">
        <f t="shared" ref="AC94:AC95" si="56">P94/P93-1</f>
        <v>0.27900933421302221</v>
      </c>
      <c r="AD94" s="26">
        <f t="shared" si="55"/>
        <v>4.0601571457687955</v>
      </c>
    </row>
    <row r="95" spans="1:30">
      <c r="A95" s="14" t="s">
        <v>171</v>
      </c>
      <c r="B95" s="18">
        <f>SUM('Monthly Gallon Summary'!B189:B191)</f>
        <v>0</v>
      </c>
      <c r="C95" s="18">
        <f>SUM('Monthly Gallon Summary'!C189:C191)</f>
        <v>0</v>
      </c>
      <c r="D95" s="18">
        <f>SUM('Monthly Gallon Summary'!D189:D191)</f>
        <v>0</v>
      </c>
      <c r="E95" s="18">
        <f>SUM('Monthly Gallon Summary'!E189:E191)</f>
        <v>0</v>
      </c>
      <c r="F95" s="18">
        <f>SUM('Monthly Gallon Summary'!F189:F191)</f>
        <v>0</v>
      </c>
      <c r="G95" s="18">
        <f>SUM('Monthly Gallon Summary'!G189:G191)</f>
        <v>0</v>
      </c>
      <c r="H95" s="18">
        <f>SUM('Monthly Gallon Summary'!H189:H191)</f>
        <v>552856</v>
      </c>
      <c r="I95" s="18">
        <f>SUM('Monthly Gallon Summary'!I189:I191)</f>
        <v>430495</v>
      </c>
      <c r="J95" s="18">
        <f>SUM('Monthly Gallon Summary'!J189:J191)</f>
        <v>654112</v>
      </c>
      <c r="K95" s="18">
        <f>SUM('Monthly Gallon Summary'!K189:K191)</f>
        <v>445082</v>
      </c>
      <c r="L95" s="18">
        <f>SUM('Monthly Gallon Summary'!L189:L191)</f>
        <v>571279</v>
      </c>
      <c r="M95" s="18">
        <f>SUM('Monthly Gallon Summary'!M189:M191)</f>
        <v>1149726</v>
      </c>
      <c r="N95" s="18">
        <f>SUM('Monthly Gallon Summary'!N189:N191)</f>
        <v>3460703</v>
      </c>
      <c r="O95" s="18">
        <f>SUM('Monthly Gallon Summary'!O189:O191)</f>
        <v>6270336</v>
      </c>
      <c r="P95" s="18">
        <f>SUM('Monthly Gallon Summary'!P189:P191)</f>
        <v>18486740</v>
      </c>
      <c r="Q95" s="19">
        <f>SUM('Monthly Gallon Summary'!Q189:Q191)</f>
        <v>57409644.621439353</v>
      </c>
      <c r="R95" s="19">
        <f>SUM('Monthly Gallon Summary'!R189:R191)</f>
        <v>148664526.02534255</v>
      </c>
      <c r="S95" s="19">
        <f>SUM('Monthly Gallon Summary'!S189:S191)</f>
        <v>406583217.25067127</v>
      </c>
      <c r="T95" s="19">
        <f>SUM('Monthly Gallon Summary'!T189:T191)</f>
        <v>534018837.12231076</v>
      </c>
      <c r="U95" s="19">
        <f>SUM('Monthly Gallon Summary'!U189:U191)</f>
        <v>691653231.44539905</v>
      </c>
      <c r="V95" s="19">
        <f>SUM('Monthly Gallon Summary'!V189:V191)</f>
        <v>939115410.0421803</v>
      </c>
      <c r="W95" s="19">
        <f>SUM('Monthly Gallon Summary'!W189:W191)</f>
        <v>1086418354.4117899</v>
      </c>
      <c r="X95" s="19">
        <f>SUM('Monthly Gallon Summary'!X189:X191)</f>
        <v>1361838293.1998525</v>
      </c>
      <c r="Y95" s="19">
        <f>SUM('Monthly Gallon Summary'!Y189:Y191)</f>
        <v>1422434613.7332478</v>
      </c>
      <c r="Z95" s="19">
        <f>SUM('Monthly Gallon Summary'!Z189:Z191)</f>
        <v>1545818123.899859</v>
      </c>
      <c r="AA95" s="19">
        <f>SUM('Monthly Gallon Summary'!AA189:AA191)</f>
        <v>1615387939.3759503</v>
      </c>
      <c r="AC95" s="77">
        <f t="shared" si="56"/>
        <v>-0.55887515136960975</v>
      </c>
      <c r="AD95" s="26">
        <f t="shared" si="55"/>
        <v>1.9482853869393919</v>
      </c>
    </row>
    <row r="96" spans="1:30">
      <c r="A96" s="14" t="s">
        <v>29</v>
      </c>
      <c r="B96" s="18">
        <f t="shared" ref="B96:J96" si="57">SUM(B92:B95)</f>
        <v>0</v>
      </c>
      <c r="C96" s="18">
        <f t="shared" si="57"/>
        <v>0</v>
      </c>
      <c r="D96" s="18">
        <f t="shared" si="57"/>
        <v>0</v>
      </c>
      <c r="E96" s="18">
        <f t="shared" si="57"/>
        <v>0</v>
      </c>
      <c r="F96" s="18">
        <f t="shared" si="57"/>
        <v>0</v>
      </c>
      <c r="G96" s="18">
        <f t="shared" si="57"/>
        <v>0</v>
      </c>
      <c r="H96" s="18">
        <f t="shared" si="57"/>
        <v>783646</v>
      </c>
      <c r="I96" s="18">
        <f t="shared" si="57"/>
        <v>1711017</v>
      </c>
      <c r="J96" s="18">
        <f t="shared" si="57"/>
        <v>1828178</v>
      </c>
      <c r="K96" s="18">
        <f>SUM(K92:K95)</f>
        <v>2428702</v>
      </c>
      <c r="L96" s="18">
        <f t="shared" ref="L96:AA96" si="58">SUM(L92:L95)</f>
        <v>4608399</v>
      </c>
      <c r="M96" s="18">
        <f t="shared" si="58"/>
        <v>5076623</v>
      </c>
      <c r="N96" s="18">
        <f t="shared" si="58"/>
        <v>15819877</v>
      </c>
      <c r="O96" s="18">
        <f t="shared" si="58"/>
        <v>26300097</v>
      </c>
      <c r="P96" s="18">
        <f t="shared" si="58"/>
        <v>111859310</v>
      </c>
      <c r="Q96" s="19">
        <f t="shared" si="58"/>
        <v>199544849.77585417</v>
      </c>
      <c r="R96" s="19">
        <f t="shared" si="58"/>
        <v>506973447.51700842</v>
      </c>
      <c r="S96" s="19">
        <f t="shared" si="58"/>
        <v>1391275926.2409577</v>
      </c>
      <c r="T96" s="19">
        <f t="shared" si="58"/>
        <v>1822933985.5028815</v>
      </c>
      <c r="U96" s="19">
        <f t="shared" si="58"/>
        <v>2375931690.9541168</v>
      </c>
      <c r="V96" s="19">
        <f t="shared" si="58"/>
        <v>3211344302.6346588</v>
      </c>
      <c r="W96" s="19">
        <f t="shared" si="58"/>
        <v>3713997976.9591808</v>
      </c>
      <c r="X96" s="19">
        <f t="shared" si="58"/>
        <v>4652809727.3923969</v>
      </c>
      <c r="Y96" s="19">
        <f t="shared" si="58"/>
        <v>4859432478.8126526</v>
      </c>
      <c r="Z96" s="19">
        <f t="shared" si="58"/>
        <v>5281948378.1975994</v>
      </c>
      <c r="AA96" s="19">
        <f t="shared" si="58"/>
        <v>5518016093.4527264</v>
      </c>
      <c r="AB96" s="30">
        <f>(P96/I96)^(1/8)-1</f>
        <v>0.68627043790809994</v>
      </c>
      <c r="AC96" s="77">
        <f>P96/AVERAGE(K96:O96)-1</f>
        <v>9.3127127713105615</v>
      </c>
      <c r="AD96" s="26">
        <f t="shared" si="55"/>
        <v>3.253190016751649</v>
      </c>
    </row>
    <row r="98" spans="1:30" ht="15.75">
      <c r="A98" s="76" t="s">
        <v>110</v>
      </c>
      <c r="AC98" s="476">
        <v>2024</v>
      </c>
      <c r="AD98" s="476"/>
    </row>
    <row r="99" spans="1:30">
      <c r="B99">
        <f t="shared" ref="B99:AA99" si="59">B2</f>
        <v>2010</v>
      </c>
      <c r="C99">
        <f t="shared" si="59"/>
        <v>2011</v>
      </c>
      <c r="D99">
        <f t="shared" si="59"/>
        <v>2012</v>
      </c>
      <c r="E99">
        <f t="shared" si="59"/>
        <v>2013</v>
      </c>
      <c r="F99">
        <f t="shared" si="59"/>
        <v>2014</v>
      </c>
      <c r="G99">
        <f t="shared" si="59"/>
        <v>2015</v>
      </c>
      <c r="H99">
        <f t="shared" si="59"/>
        <v>2016</v>
      </c>
      <c r="I99">
        <f t="shared" si="59"/>
        <v>2017</v>
      </c>
      <c r="J99">
        <f t="shared" si="59"/>
        <v>2018</v>
      </c>
      <c r="K99">
        <f t="shared" si="59"/>
        <v>2019</v>
      </c>
      <c r="L99">
        <f t="shared" si="59"/>
        <v>2020</v>
      </c>
      <c r="M99">
        <f t="shared" si="59"/>
        <v>2021</v>
      </c>
      <c r="N99">
        <f t="shared" si="59"/>
        <v>2022</v>
      </c>
      <c r="O99">
        <f t="shared" si="59"/>
        <v>2023</v>
      </c>
      <c r="P99">
        <f t="shared" si="59"/>
        <v>2024</v>
      </c>
      <c r="Q99">
        <f t="shared" si="59"/>
        <v>2025</v>
      </c>
      <c r="R99">
        <f t="shared" si="59"/>
        <v>2026</v>
      </c>
      <c r="S99">
        <f t="shared" si="59"/>
        <v>2027</v>
      </c>
      <c r="T99">
        <f t="shared" si="59"/>
        <v>2028</v>
      </c>
      <c r="U99">
        <f t="shared" si="59"/>
        <v>2029</v>
      </c>
      <c r="V99">
        <f t="shared" si="59"/>
        <v>2030</v>
      </c>
      <c r="W99">
        <f t="shared" si="59"/>
        <v>2031</v>
      </c>
      <c r="X99">
        <f t="shared" si="59"/>
        <v>2032</v>
      </c>
      <c r="Y99">
        <f t="shared" si="59"/>
        <v>2033</v>
      </c>
      <c r="Z99">
        <f t="shared" si="59"/>
        <v>2034</v>
      </c>
      <c r="AA99">
        <f t="shared" si="59"/>
        <v>2035</v>
      </c>
      <c r="AC99" s="14" t="s">
        <v>166</v>
      </c>
      <c r="AD99" s="14" t="s">
        <v>167</v>
      </c>
    </row>
    <row r="100" spans="1:30">
      <c r="A100" s="14" t="s">
        <v>168</v>
      </c>
      <c r="B100" s="18">
        <f>SUM('Monthly Gallon Summary'!B196:B198)</f>
        <v>0</v>
      </c>
      <c r="C100" s="18">
        <f>SUM('Monthly Gallon Summary'!C196:C198)</f>
        <v>0</v>
      </c>
      <c r="D100" s="18">
        <f>SUM('Monthly Gallon Summary'!D196:D198)</f>
        <v>0</v>
      </c>
      <c r="E100" s="18">
        <f>SUM('Monthly Gallon Summary'!E196:E198)</f>
        <v>0</v>
      </c>
      <c r="F100" s="18">
        <f>SUM('Monthly Gallon Summary'!F196:F198)</f>
        <v>0</v>
      </c>
      <c r="G100" s="18">
        <f>SUM('Monthly Gallon Summary'!G196:G198)</f>
        <v>0</v>
      </c>
      <c r="H100" s="18">
        <f>SUM('Monthly Gallon Summary'!H196:H198)</f>
        <v>0</v>
      </c>
      <c r="I100" s="18">
        <f>SUM('Monthly Gallon Summary'!I196:I198)</f>
        <v>585778</v>
      </c>
      <c r="J100" s="18">
        <f>SUM('Monthly Gallon Summary'!J196:J198)</f>
        <v>481500</v>
      </c>
      <c r="K100" s="18">
        <f>SUM('Monthly Gallon Summary'!K196:K198)</f>
        <v>566179</v>
      </c>
      <c r="L100" s="18">
        <f>SUM('Monthly Gallon Summary'!L196:L198)</f>
        <v>322416</v>
      </c>
      <c r="M100" s="18">
        <f>SUM('Monthly Gallon Summary'!M196:M198)</f>
        <v>873456</v>
      </c>
      <c r="N100" s="18">
        <f>SUM('Monthly Gallon Summary'!N196:N198)</f>
        <v>2537527</v>
      </c>
      <c r="O100" s="18">
        <f>SUM('Monthly Gallon Summary'!O196:O198)</f>
        <v>2476703</v>
      </c>
      <c r="P100" s="18">
        <f>SUM('Monthly Gallon Summary'!P196:P198)</f>
        <v>4208094</v>
      </c>
      <c r="Q100" s="18">
        <f>SUM('Monthly Gallon Summary'!Q196:Q198)</f>
        <v>28048478</v>
      </c>
      <c r="R100" s="19">
        <f>SUM('Monthly Gallon Summary'!R196:R198)</f>
        <v>87441365.98050943</v>
      </c>
      <c r="S100" s="19">
        <f>SUM('Monthly Gallon Summary'!S196:S198)</f>
        <v>250783534.58588019</v>
      </c>
      <c r="T100" s="19">
        <f>SUM('Monthly Gallon Summary'!T196:T198)</f>
        <v>327631291.91212797</v>
      </c>
      <c r="U100" s="19">
        <f>SUM('Monthly Gallon Summary'!U196:U198)</f>
        <v>428955099.03754288</v>
      </c>
      <c r="V100" s="19">
        <f>SUM('Monthly Gallon Summary'!V196:V198)</f>
        <v>581380786.69068313</v>
      </c>
      <c r="W100" s="19">
        <f>SUM('Monthly Gallon Summary'!W196:W198)</f>
        <v>678210491.40964484</v>
      </c>
      <c r="X100" s="19">
        <f>SUM('Monthly Gallon Summary'!X196:X198)</f>
        <v>857809138.74713147</v>
      </c>
      <c r="Y100" s="19">
        <f>SUM('Monthly Gallon Summary'!Y196:Y198)</f>
        <v>895781331.0316714</v>
      </c>
      <c r="Z100" s="19">
        <f>SUM('Monthly Gallon Summary'!Z196:Z198)</f>
        <v>973781940.34533691</v>
      </c>
      <c r="AA100" s="19">
        <f>SUM('Monthly Gallon Summary'!AA196:AA198)</f>
        <v>1017479364.7363244</v>
      </c>
      <c r="AC100" s="26">
        <f>P100/O103-1</f>
        <v>1.0858872654668454</v>
      </c>
      <c r="AD100" s="26">
        <f>P100/O100-1</f>
        <v>0.69907090192081967</v>
      </c>
    </row>
    <row r="101" spans="1:30">
      <c r="A101" s="14" t="s">
        <v>169</v>
      </c>
      <c r="B101" s="18">
        <f>SUM('Monthly Gallon Summary'!B199:B201)</f>
        <v>0</v>
      </c>
      <c r="C101" s="18">
        <f>SUM('Monthly Gallon Summary'!C199:C201)</f>
        <v>0</v>
      </c>
      <c r="D101" s="18">
        <f>SUM('Monthly Gallon Summary'!D199:D201)</f>
        <v>0</v>
      </c>
      <c r="E101" s="18">
        <f>SUM('Monthly Gallon Summary'!E199:E201)</f>
        <v>0</v>
      </c>
      <c r="F101" s="18">
        <f>SUM('Monthly Gallon Summary'!F199:F201)</f>
        <v>0</v>
      </c>
      <c r="G101" s="18">
        <f>SUM('Monthly Gallon Summary'!G199:G201)</f>
        <v>0</v>
      </c>
      <c r="H101" s="18">
        <f>SUM('Monthly Gallon Summary'!H199:H201)</f>
        <v>0</v>
      </c>
      <c r="I101" s="18">
        <f>SUM('Monthly Gallon Summary'!I199:I201)</f>
        <v>261956</v>
      </c>
      <c r="J101" s="18">
        <f>SUM('Monthly Gallon Summary'!J199:J201)</f>
        <v>389017</v>
      </c>
      <c r="K101" s="18">
        <f>SUM('Monthly Gallon Summary'!K199:K201)</f>
        <v>723542</v>
      </c>
      <c r="L101" s="18">
        <f>SUM('Monthly Gallon Summary'!L199:L201)</f>
        <v>1742955</v>
      </c>
      <c r="M101" s="18">
        <f>SUM('Monthly Gallon Summary'!M199:M201)</f>
        <v>938102</v>
      </c>
      <c r="N101" s="18">
        <f>SUM('Monthly Gallon Summary'!N199:N201)</f>
        <v>1414086</v>
      </c>
      <c r="O101" s="18">
        <f>SUM('Monthly Gallon Summary'!O199:O201)</f>
        <v>3662097</v>
      </c>
      <c r="P101" s="18">
        <f>SUM('Monthly Gallon Summary'!P199:P201)</f>
        <v>9046029</v>
      </c>
      <c r="Q101" s="19">
        <f>SUM('Monthly Gallon Summary'!Q199:Q201)</f>
        <v>30183213.708954103</v>
      </c>
      <c r="R101" s="19">
        <f>SUM('Monthly Gallon Summary'!R199:R201)</f>
        <v>103443123.49040174</v>
      </c>
      <c r="S101" s="19">
        <f>SUM('Monthly Gallon Summary'!S199:S201)</f>
        <v>297862260.72365546</v>
      </c>
      <c r="T101" s="19">
        <f>SUM('Monthly Gallon Summary'!T199:T201)</f>
        <v>390178485.86720598</v>
      </c>
      <c r="U101" s="19">
        <f>SUM('Monthly Gallon Summary'!U199:U201)</f>
        <v>510407903.48482072</v>
      </c>
      <c r="V101" s="19">
        <f>SUM('Monthly Gallon Summary'!V199:V201)</f>
        <v>689705718.43242645</v>
      </c>
      <c r="W101" s="19">
        <f>SUM('Monthly Gallon Summary'!W199:W201)</f>
        <v>805827882.91398084</v>
      </c>
      <c r="X101" s="19">
        <f>SUM('Monthly Gallon Summary'!X199:X201)</f>
        <v>1019392211.5588279</v>
      </c>
      <c r="Y101" s="19">
        <f>SUM('Monthly Gallon Summary'!Y199:Y201)</f>
        <v>1064567192.3031646</v>
      </c>
      <c r="Z101" s="19">
        <f>SUM('Monthly Gallon Summary'!Z199:Z201)</f>
        <v>1157034661.8423831</v>
      </c>
      <c r="AA101" s="19">
        <f>SUM('Monthly Gallon Summary'!AA199:AA201)</f>
        <v>1208769263.6782112</v>
      </c>
      <c r="AC101" s="77">
        <f>P101/P100-1</f>
        <v>1.1496737002547945</v>
      </c>
      <c r="AD101" s="26">
        <f t="shared" ref="AD101:AD104" si="60">P101/O101-1</f>
        <v>1.4701773328232433</v>
      </c>
    </row>
    <row r="102" spans="1:30">
      <c r="A102" s="14" t="s">
        <v>170</v>
      </c>
      <c r="B102" s="18">
        <f>SUM('Monthly Gallon Summary'!A202:A204)</f>
        <v>0</v>
      </c>
      <c r="C102" s="18">
        <f>SUM('Monthly Gallon Summary'!B202:B204)</f>
        <v>0</v>
      </c>
      <c r="D102" s="18">
        <f>SUM('Monthly Gallon Summary'!C202:C204)</f>
        <v>0</v>
      </c>
      <c r="E102" s="18">
        <f>SUM('Monthly Gallon Summary'!D202:D204)</f>
        <v>0</v>
      </c>
      <c r="F102" s="18">
        <f>SUM('Monthly Gallon Summary'!E202:E204)</f>
        <v>0</v>
      </c>
      <c r="G102" s="18">
        <f>SUM('Monthly Gallon Summary'!F202:F204)</f>
        <v>0</v>
      </c>
      <c r="H102" s="18">
        <f>SUM('Monthly Gallon Summary'!G202:G204)</f>
        <v>0</v>
      </c>
      <c r="I102" s="18">
        <f>SUM('Monthly Gallon Summary'!H202:H204)</f>
        <v>230790</v>
      </c>
      <c r="J102" s="18">
        <f>SUM('Monthly Gallon Summary'!I202:I204)</f>
        <v>432788</v>
      </c>
      <c r="K102" s="18">
        <f>SUM('Monthly Gallon Summary'!J202:J204)</f>
        <v>303549</v>
      </c>
      <c r="L102" s="18">
        <f>SUM('Monthly Gallon Summary'!K202:K204)</f>
        <v>693899</v>
      </c>
      <c r="M102" s="18">
        <f>SUM('Monthly Gallon Summary'!L202:L204)</f>
        <v>1971749</v>
      </c>
      <c r="N102" s="18">
        <f>SUM('Monthly Gallon Summary'!M202:M204)</f>
        <v>2115339</v>
      </c>
      <c r="O102" s="18">
        <f>SUM('Monthly Gallon Summary'!N202:N204)</f>
        <v>1924112</v>
      </c>
      <c r="P102" s="18">
        <f>SUM('Monthly Gallon Summary'!O202:O204)</f>
        <v>5341906</v>
      </c>
      <c r="Q102" s="19">
        <f>SUM('Monthly Gallon Summary'!P202:P204)</f>
        <v>16522502</v>
      </c>
      <c r="R102" s="19">
        <f>SUM('Monthly Gallon Summary'!Q202:Q204)</f>
        <v>35056882.415089928</v>
      </c>
      <c r="S102" s="19">
        <f>SUM('Monthly Gallon Summary'!R202:R204)</f>
        <v>134919075.52151239</v>
      </c>
      <c r="T102" s="19">
        <f>SUM('Monthly Gallon Summary'!S202:S204)</f>
        <v>389280594.20502293</v>
      </c>
      <c r="U102" s="19">
        <f>SUM('Monthly Gallon Summary'!T202:T204)</f>
        <v>509728458.77359074</v>
      </c>
      <c r="V102" s="19">
        <f>SUM('Monthly Gallon Summary'!U202:U204)</f>
        <v>666989641.78998613</v>
      </c>
      <c r="W102" s="19">
        <f>SUM('Monthly Gallon Summary'!V202:V204)</f>
        <v>898832015.06080866</v>
      </c>
      <c r="X102" s="19">
        <f>SUM('Monthly Gallon Summary'!W202:W204)</f>
        <v>1051894709.6750891</v>
      </c>
      <c r="Y102" s="19">
        <f>SUM('Monthly Gallon Summary'!X202:X204)</f>
        <v>1330714967.0126598</v>
      </c>
      <c r="Z102" s="19">
        <f>SUM('Monthly Gallon Summary'!Y202:Y204)</f>
        <v>1389545805.1076553</v>
      </c>
      <c r="AA102" s="19">
        <f>SUM('Monthly Gallon Summary'!Z202:Z204)</f>
        <v>1510115944.4738884</v>
      </c>
      <c r="AC102" s="77">
        <f t="shared" ref="AC102:AC103" si="61">P102/P101-1</f>
        <v>-0.40947503042495226</v>
      </c>
      <c r="AD102" s="26">
        <f t="shared" si="60"/>
        <v>1.7762968060071347</v>
      </c>
    </row>
    <row r="103" spans="1:30">
      <c r="A103" s="14" t="s">
        <v>171</v>
      </c>
      <c r="B103" s="18">
        <f>SUM('Monthly Gallon Summary'!A205:A207)</f>
        <v>0</v>
      </c>
      <c r="C103" s="18">
        <f>SUM('Monthly Gallon Summary'!B205:B207)</f>
        <v>0</v>
      </c>
      <c r="D103" s="18">
        <f>SUM('Monthly Gallon Summary'!C205:C207)</f>
        <v>0</v>
      </c>
      <c r="E103" s="18">
        <f>SUM('Monthly Gallon Summary'!D205:D207)</f>
        <v>0</v>
      </c>
      <c r="F103" s="18">
        <f>SUM('Monthly Gallon Summary'!E205:E207)</f>
        <v>0</v>
      </c>
      <c r="G103" s="18">
        <f>SUM('Monthly Gallon Summary'!F205:F207)</f>
        <v>0</v>
      </c>
      <c r="H103" s="18">
        <f>SUM('Monthly Gallon Summary'!G205:G207)</f>
        <v>0</v>
      </c>
      <c r="I103" s="18">
        <f>SUM('Monthly Gallon Summary'!H205:H207)</f>
        <v>552856</v>
      </c>
      <c r="J103" s="18">
        <f>SUM('Monthly Gallon Summary'!I205:I207)</f>
        <v>430495</v>
      </c>
      <c r="K103" s="18">
        <f>SUM('Monthly Gallon Summary'!J205:J207)</f>
        <v>654112</v>
      </c>
      <c r="L103" s="18">
        <f>SUM('Monthly Gallon Summary'!K205:K207)</f>
        <v>445082</v>
      </c>
      <c r="M103" s="18">
        <f>SUM('Monthly Gallon Summary'!L205:L207)</f>
        <v>571279</v>
      </c>
      <c r="N103" s="18">
        <f>SUM('Monthly Gallon Summary'!M205:M207)</f>
        <v>1149726</v>
      </c>
      <c r="O103" s="18">
        <f>SUM('Monthly Gallon Summary'!N205:N207)</f>
        <v>2017412</v>
      </c>
      <c r="P103" s="18">
        <f>SUM('Monthly Gallon Summary'!O205:O207)</f>
        <v>2535399</v>
      </c>
      <c r="Q103" s="19">
        <f>SUM('Monthly Gallon Summary'!P205:P207)</f>
        <v>8932268</v>
      </c>
      <c r="R103" s="19">
        <f>SUM('Monthly Gallon Summary'!Q205:Q207)</f>
        <v>46256275.651810132</v>
      </c>
      <c r="S103" s="19">
        <f>SUM('Monthly Gallon Summary'!R205:R207)</f>
        <v>135081387.29576597</v>
      </c>
      <c r="T103" s="19">
        <f>SUM('Monthly Gallon Summary'!S205:S207)</f>
        <v>387098302.14349645</v>
      </c>
      <c r="U103" s="19">
        <f>SUM('Monthly Gallon Summary'!T205:T207)</f>
        <v>508589368.68791503</v>
      </c>
      <c r="V103" s="19">
        <f>SUM('Monthly Gallon Summary'!U205:U207)</f>
        <v>667266198.7059437</v>
      </c>
      <c r="W103" s="19">
        <f>SUM('Monthly Gallon Summary'!V205:V207)</f>
        <v>903138228.74876976</v>
      </c>
      <c r="X103" s="19">
        <f>SUM('Monthly Gallon Summary'!W205:W207)</f>
        <v>1052470758.4739237</v>
      </c>
      <c r="Y103" s="19">
        <f>SUM('Monthly Gallon Summary'!X205:X207)</f>
        <v>1331410245.9910371</v>
      </c>
      <c r="Z103" s="19">
        <f>SUM('Monthly Gallon Summary'!Y205:Y207)</f>
        <v>1391015406.9844863</v>
      </c>
      <c r="AA103" s="19">
        <f>SUM('Monthly Gallon Summary'!Z205:Z207)</f>
        <v>1512187822.3116593</v>
      </c>
      <c r="AC103" s="77">
        <f t="shared" si="61"/>
        <v>-0.52537558691598085</v>
      </c>
      <c r="AD103" s="26">
        <f t="shared" si="60"/>
        <v>0.25675816342918556</v>
      </c>
    </row>
    <row r="104" spans="1:30">
      <c r="A104" s="14" t="s">
        <v>29</v>
      </c>
      <c r="B104" s="18">
        <f t="shared" ref="B104:J104" si="62">SUM(B100:B103)</f>
        <v>0</v>
      </c>
      <c r="C104" s="18">
        <f t="shared" si="62"/>
        <v>0</v>
      </c>
      <c r="D104" s="18">
        <f t="shared" si="62"/>
        <v>0</v>
      </c>
      <c r="E104" s="18">
        <f t="shared" si="62"/>
        <v>0</v>
      </c>
      <c r="F104" s="18">
        <f t="shared" si="62"/>
        <v>0</v>
      </c>
      <c r="G104" s="18">
        <f t="shared" si="62"/>
        <v>0</v>
      </c>
      <c r="H104" s="18">
        <f t="shared" si="62"/>
        <v>0</v>
      </c>
      <c r="I104" s="18">
        <f t="shared" si="62"/>
        <v>1631380</v>
      </c>
      <c r="J104" s="18">
        <f t="shared" si="62"/>
        <v>1733800</v>
      </c>
      <c r="K104" s="18">
        <f t="shared" ref="K104:AA104" si="63">SUM(K100:K103)</f>
        <v>2247382</v>
      </c>
      <c r="L104" s="18">
        <f t="shared" si="63"/>
        <v>3204352</v>
      </c>
      <c r="M104" s="18">
        <f t="shared" si="63"/>
        <v>4354586</v>
      </c>
      <c r="N104" s="18">
        <f t="shared" si="63"/>
        <v>7216678</v>
      </c>
      <c r="O104" s="18">
        <f t="shared" si="63"/>
        <v>10080324</v>
      </c>
      <c r="P104" s="18">
        <f t="shared" si="63"/>
        <v>21131428</v>
      </c>
      <c r="Q104" s="19">
        <f t="shared" si="63"/>
        <v>83686461.708954096</v>
      </c>
      <c r="R104" s="19">
        <f t="shared" si="63"/>
        <v>272197647.53781122</v>
      </c>
      <c r="S104" s="19">
        <f t="shared" si="63"/>
        <v>818646258.12681401</v>
      </c>
      <c r="T104" s="19">
        <f t="shared" si="63"/>
        <v>1494188674.1278534</v>
      </c>
      <c r="U104" s="19">
        <f t="shared" si="63"/>
        <v>1957680829.9838696</v>
      </c>
      <c r="V104" s="19">
        <f t="shared" si="63"/>
        <v>2605342345.6190395</v>
      </c>
      <c r="W104" s="19">
        <f t="shared" si="63"/>
        <v>3286008618.133204</v>
      </c>
      <c r="X104" s="19">
        <f t="shared" si="63"/>
        <v>3981566818.4549723</v>
      </c>
      <c r="Y104" s="19">
        <f t="shared" si="63"/>
        <v>4622473736.3385334</v>
      </c>
      <c r="Z104" s="19">
        <f t="shared" si="63"/>
        <v>4911377814.2798615</v>
      </c>
      <c r="AA104" s="19">
        <f t="shared" si="63"/>
        <v>5248552395.2000828</v>
      </c>
      <c r="AC104" s="77">
        <f>P104/AVERAGE(K104:O104)-1</f>
        <v>2.8983095872897056</v>
      </c>
      <c r="AD104" s="26">
        <f t="shared" si="60"/>
        <v>1.096304444182548</v>
      </c>
    </row>
    <row r="106" spans="1:30" ht="15.75">
      <c r="A106" s="76" t="s">
        <v>135</v>
      </c>
      <c r="AC106" s="476">
        <v>2024</v>
      </c>
      <c r="AD106" s="476"/>
    </row>
    <row r="107" spans="1:30">
      <c r="B107">
        <f>B2</f>
        <v>2010</v>
      </c>
      <c r="C107">
        <f t="shared" ref="C107:AA107" si="64">C2</f>
        <v>2011</v>
      </c>
      <c r="D107">
        <f t="shared" si="64"/>
        <v>2012</v>
      </c>
      <c r="E107">
        <f t="shared" si="64"/>
        <v>2013</v>
      </c>
      <c r="F107">
        <f t="shared" si="64"/>
        <v>2014</v>
      </c>
      <c r="G107">
        <f t="shared" si="64"/>
        <v>2015</v>
      </c>
      <c r="H107">
        <f t="shared" si="64"/>
        <v>2016</v>
      </c>
      <c r="I107">
        <f t="shared" si="64"/>
        <v>2017</v>
      </c>
      <c r="J107">
        <f t="shared" si="64"/>
        <v>2018</v>
      </c>
      <c r="K107">
        <f t="shared" si="64"/>
        <v>2019</v>
      </c>
      <c r="L107">
        <f t="shared" si="64"/>
        <v>2020</v>
      </c>
      <c r="M107">
        <f t="shared" si="64"/>
        <v>2021</v>
      </c>
      <c r="N107">
        <f t="shared" si="64"/>
        <v>2022</v>
      </c>
      <c r="O107">
        <f t="shared" si="64"/>
        <v>2023</v>
      </c>
      <c r="P107">
        <f t="shared" si="64"/>
        <v>2024</v>
      </c>
      <c r="Q107">
        <f t="shared" si="64"/>
        <v>2025</v>
      </c>
      <c r="R107">
        <f t="shared" si="64"/>
        <v>2026</v>
      </c>
      <c r="S107">
        <f t="shared" si="64"/>
        <v>2027</v>
      </c>
      <c r="T107">
        <f t="shared" si="64"/>
        <v>2028</v>
      </c>
      <c r="U107">
        <f t="shared" si="64"/>
        <v>2029</v>
      </c>
      <c r="V107">
        <f t="shared" si="64"/>
        <v>2030</v>
      </c>
      <c r="W107">
        <f t="shared" si="64"/>
        <v>2031</v>
      </c>
      <c r="X107">
        <f t="shared" si="64"/>
        <v>2032</v>
      </c>
      <c r="Y107">
        <f t="shared" si="64"/>
        <v>2033</v>
      </c>
      <c r="Z107">
        <f t="shared" si="64"/>
        <v>2034</v>
      </c>
      <c r="AA107">
        <f t="shared" si="64"/>
        <v>2035</v>
      </c>
      <c r="AC107" s="14" t="s">
        <v>166</v>
      </c>
      <c r="AD107" s="14" t="s">
        <v>167</v>
      </c>
    </row>
    <row r="108" spans="1:30">
      <c r="A108" s="14" t="s">
        <v>168</v>
      </c>
      <c r="B108" s="18">
        <f>SUM('Monthly Gallon Summary'!B212:B214)</f>
        <v>0</v>
      </c>
      <c r="C108" s="18">
        <f>SUM('Monthly Gallon Summary'!C212:C214)</f>
        <v>0</v>
      </c>
      <c r="D108" s="18">
        <f>SUM('Monthly Gallon Summary'!D212:D214)</f>
        <v>0</v>
      </c>
      <c r="E108" s="18">
        <f>SUM('Monthly Gallon Summary'!E212:E214)</f>
        <v>0</v>
      </c>
      <c r="F108" s="18">
        <f>SUM('Monthly Gallon Summary'!F212:F214)</f>
        <v>0</v>
      </c>
      <c r="G108" s="18">
        <f>SUM('Monthly Gallon Summary'!G212:G214)</f>
        <v>0</v>
      </c>
      <c r="H108" s="18">
        <f>SUM('Monthly Gallon Summary'!H212:H214)</f>
        <v>0</v>
      </c>
      <c r="I108" s="18">
        <f>SUM('Monthly Gallon Summary'!I212:I214)</f>
        <v>0</v>
      </c>
      <c r="J108" s="18">
        <f>SUM('Monthly Gallon Summary'!J212:J214)</f>
        <v>0</v>
      </c>
      <c r="K108" s="18">
        <f>SUM('Monthly Gallon Summary'!K212:K214)</f>
        <v>0</v>
      </c>
      <c r="L108" s="18">
        <f>SUM('Monthly Gallon Summary'!L212:L214)</f>
        <v>0</v>
      </c>
      <c r="M108" s="18">
        <f>SUM('Monthly Gallon Summary'!M212:M214)</f>
        <v>0</v>
      </c>
      <c r="N108" s="18">
        <f>SUM('Monthly Gallon Summary'!N212:N214)</f>
        <v>3306970</v>
      </c>
      <c r="O108" s="18">
        <f>SUM('Monthly Gallon Summary'!O212:O214)</f>
        <v>2900916</v>
      </c>
      <c r="P108" s="18">
        <f>SUM('Monthly Gallon Summary'!P212:P214)</f>
        <v>14490169</v>
      </c>
      <c r="Q108" s="18">
        <f>SUM('Monthly Gallon Summary'!Q212:Q214)</f>
        <v>12878899</v>
      </c>
      <c r="R108" s="19">
        <f>SUM('Monthly Gallon Summary'!R212:R214)</f>
        <v>8644136.5980509426</v>
      </c>
      <c r="S108" s="19">
        <f>SUM('Monthly Gallon Summary'!S212:S214)</f>
        <v>12534176.72929401</v>
      </c>
      <c r="T108" s="19">
        <f>SUM('Monthly Gallon Summary'!T212:T214)</f>
        <v>16381564.595606398</v>
      </c>
      <c r="U108" s="19">
        <f>SUM('Monthly Gallon Summary'!U212:U214)</f>
        <v>19991377.669058733</v>
      </c>
      <c r="V108" s="18">
        <f>SUM('Monthly Gallon Summary'!V212:V214)</f>
        <v>26945282.637378678</v>
      </c>
      <c r="W108" s="18">
        <f>SUM('Monthly Gallon Summary'!W212:W214)</f>
        <v>24132697.595995959</v>
      </c>
      <c r="X108" s="18">
        <f>SUM('Monthly Gallon Summary'!X212:X214)</f>
        <v>21851860.219094142</v>
      </c>
      <c r="Y108" s="18">
        <f>SUM('Monthly Gallon Summary'!Y212:Y214)</f>
        <v>22868896.256704587</v>
      </c>
      <c r="Z108" s="18">
        <f>SUM('Monthly Gallon Summary'!Z212:Z214)</f>
        <v>24936474.191852376</v>
      </c>
      <c r="AA108" s="18">
        <f>SUM('Monthly Gallon Summary'!AA212:AA214)</f>
        <v>26010619.544228412</v>
      </c>
      <c r="AC108" s="26">
        <f>P108/O111-1</f>
        <v>2.8796287594676966</v>
      </c>
      <c r="AD108" s="26">
        <f>P108/O108-1</f>
        <v>3.9950322587761935</v>
      </c>
    </row>
    <row r="109" spans="1:30">
      <c r="A109" s="14" t="s">
        <v>169</v>
      </c>
      <c r="B109" s="18">
        <f>SUM('Monthly Gallon Summary'!B215:B217)</f>
        <v>0</v>
      </c>
      <c r="C109" s="18">
        <f>SUM('Monthly Gallon Summary'!C215:C217)</f>
        <v>0</v>
      </c>
      <c r="D109" s="18">
        <f>SUM('Monthly Gallon Summary'!D215:D217)</f>
        <v>0</v>
      </c>
      <c r="E109" s="18">
        <f>SUM('Monthly Gallon Summary'!E215:E217)</f>
        <v>0</v>
      </c>
      <c r="F109" s="18">
        <f>SUM('Monthly Gallon Summary'!F215:F217)</f>
        <v>0</v>
      </c>
      <c r="G109" s="18">
        <f>SUM('Monthly Gallon Summary'!G215:G217)</f>
        <v>0</v>
      </c>
      <c r="H109" s="18">
        <f>SUM('Monthly Gallon Summary'!H215:H217)</f>
        <v>0</v>
      </c>
      <c r="I109" s="18">
        <f>SUM('Monthly Gallon Summary'!I215:I217)</f>
        <v>0</v>
      </c>
      <c r="J109" s="18">
        <f>SUM('Monthly Gallon Summary'!J215:J217)</f>
        <v>0</v>
      </c>
      <c r="K109" s="18">
        <f>SUM('Monthly Gallon Summary'!K215:K217)</f>
        <v>0</v>
      </c>
      <c r="L109" s="18">
        <f>SUM('Monthly Gallon Summary'!L215:L217)</f>
        <v>0</v>
      </c>
      <c r="M109" s="18">
        <f>SUM('Monthly Gallon Summary'!M215:M217)</f>
        <v>0</v>
      </c>
      <c r="N109" s="18">
        <f>SUM('Monthly Gallon Summary'!N215:N217)</f>
        <v>1529485</v>
      </c>
      <c r="O109" s="18">
        <f>SUM('Monthly Gallon Summary'!O215:O217)</f>
        <v>2708053</v>
      </c>
      <c r="P109" s="18">
        <f>SUM('Monthly Gallon Summary'!P215:P217)</f>
        <v>23720097</v>
      </c>
      <c r="Q109" s="19">
        <f>SUM('Monthly Gallon Summary'!Q215:Q217)</f>
        <v>14697732.132942788</v>
      </c>
      <c r="R109" s="19">
        <f>SUM('Monthly Gallon Summary'!R215:R217)</f>
        <v>10244312.349040177</v>
      </c>
      <c r="S109" s="19">
        <f>SUM('Monthly Gallon Summary'!S215:S217)</f>
        <v>14845613.036182772</v>
      </c>
      <c r="T109" s="19">
        <f>SUM('Monthly Gallon Summary'!T215:T217)</f>
        <v>19508924.2933603</v>
      </c>
      <c r="U109" s="19">
        <f>SUM('Monthly Gallon Summary'!U215:U217)</f>
        <v>25560522.435118023</v>
      </c>
      <c r="V109" s="18">
        <f>SUM('Monthly Gallon Summary'!V215:V217)</f>
        <v>32464768.407234497</v>
      </c>
      <c r="W109" s="18">
        <f>SUM('Monthly Gallon Summary'!W215:W217)</f>
        <v>29310045.134835497</v>
      </c>
      <c r="X109" s="18">
        <f>SUM('Monthly Gallon Summary'!X215:X217)</f>
        <v>26595463.945401661</v>
      </c>
      <c r="Y109" s="18">
        <f>SUM('Monthly Gallon Summary'!Y215:Y217)</f>
        <v>27918952.598994263</v>
      </c>
      <c r="Z109" s="18">
        <f>SUM('Monthly Gallon Summary'!Z215:Z217)</f>
        <v>30548658.768231638</v>
      </c>
      <c r="AA109" s="18">
        <f>SUM('Monthly Gallon Summary'!AA215:AA217)</f>
        <v>31634056.321881056</v>
      </c>
      <c r="AC109" s="77">
        <f>P109/P108-1</f>
        <v>0.63697863013191913</v>
      </c>
      <c r="AD109" s="26">
        <f t="shared" ref="AD109:AD112" si="65">P109/O109-1</f>
        <v>7.7590962953826974</v>
      </c>
    </row>
    <row r="110" spans="1:30">
      <c r="A110" s="14" t="s">
        <v>170</v>
      </c>
      <c r="B110" s="18">
        <f>SUM('Monthly Gallon Summary'!B218:B220)</f>
        <v>0</v>
      </c>
      <c r="C110" s="18">
        <f>SUM('Monthly Gallon Summary'!C218:C220)</f>
        <v>0</v>
      </c>
      <c r="D110" s="18">
        <f>SUM('Monthly Gallon Summary'!D218:D220)</f>
        <v>0</v>
      </c>
      <c r="E110" s="18">
        <f>SUM('Monthly Gallon Summary'!E218:E220)</f>
        <v>0</v>
      </c>
      <c r="F110" s="18">
        <f>SUM('Monthly Gallon Summary'!F218:F220)</f>
        <v>0</v>
      </c>
      <c r="G110" s="18">
        <f>SUM('Monthly Gallon Summary'!G218:G220)</f>
        <v>0</v>
      </c>
      <c r="H110" s="18">
        <f>SUM('Monthly Gallon Summary'!H218:H220)</f>
        <v>0</v>
      </c>
      <c r="I110" s="18">
        <f>SUM('Monthly Gallon Summary'!I218:I220)</f>
        <v>0</v>
      </c>
      <c r="J110" s="18">
        <f>SUM('Monthly Gallon Summary'!J218:J220)</f>
        <v>0</v>
      </c>
      <c r="K110" s="18">
        <f>SUM('Monthly Gallon Summary'!K218:K220)</f>
        <v>0</v>
      </c>
      <c r="L110" s="18">
        <f>SUM('Monthly Gallon Summary'!L218:L220)</f>
        <v>0</v>
      </c>
      <c r="M110" s="18">
        <f>SUM('Monthly Gallon Summary'!M218:M220)</f>
        <v>0</v>
      </c>
      <c r="N110" s="18">
        <f>SUM('Monthly Gallon Summary'!N218:N220)</f>
        <v>1646994</v>
      </c>
      <c r="O110" s="18">
        <f>SUM('Monthly Gallon Summary'!O218:O220)</f>
        <v>2940086</v>
      </c>
      <c r="P110" s="18">
        <f>SUM('Monthly Gallon Summary'!P218:P220)</f>
        <v>25385679</v>
      </c>
      <c r="Q110" s="19">
        <f>SUM('Monthly Gallon Summary'!Q218:Q220)</f>
        <v>21269999.897427991</v>
      </c>
      <c r="R110" s="19">
        <f>SUM('Monthly Gallon Summary'!R218:R220)</f>
        <v>13616907.55215124</v>
      </c>
      <c r="S110" s="19">
        <f>SUM('Monthly Gallon Summary'!S218:S220)</f>
        <v>19386529.710251145</v>
      </c>
      <c r="T110" s="19">
        <f>SUM('Monthly Gallon Summary'!T218:T220)</f>
        <v>25486422.938679539</v>
      </c>
      <c r="U110" s="19">
        <f>SUM('Monthly Gallon Summary'!U218:U220)</f>
        <v>32373915.092191078</v>
      </c>
      <c r="V110" s="18">
        <f>SUM('Monthly Gallon Summary'!V218:V220)</f>
        <v>42900321.363947272</v>
      </c>
      <c r="W110" s="18">
        <f>SUM('Monthly Gallon Summary'!W218:W220)</f>
        <v>38203795.817844622</v>
      </c>
      <c r="X110" s="18">
        <f>SUM('Monthly Gallon Summary'!X218:X220)</f>
        <v>34607792.709430359</v>
      </c>
      <c r="Y110" s="18">
        <f>SUM('Monthly Gallon Summary'!Y218:Y220)</f>
        <v>36315687.781214379</v>
      </c>
      <c r="Z110" s="18">
        <f>SUM('Monthly Gallon Summary'!Z218:Z220)</f>
        <v>39712574.676047944</v>
      </c>
      <c r="AA110" s="18">
        <f>SUM('Monthly Gallon Summary'!AA218:AA220)</f>
        <v>41307590.694396563</v>
      </c>
      <c r="AC110" s="77">
        <f t="shared" ref="AC110:AC111" si="66">P110/P109-1</f>
        <v>7.0218178281480137E-2</v>
      </c>
      <c r="AD110" s="26">
        <f t="shared" si="65"/>
        <v>7.6343321249786573</v>
      </c>
    </row>
    <row r="111" spans="1:30">
      <c r="A111" s="14" t="s">
        <v>171</v>
      </c>
      <c r="B111" s="18">
        <f>SUM('Monthly Gallon Summary'!B221:B223)</f>
        <v>0</v>
      </c>
      <c r="C111" s="18">
        <f>SUM('Monthly Gallon Summary'!C221:C223)</f>
        <v>0</v>
      </c>
      <c r="D111" s="18">
        <f>SUM('Monthly Gallon Summary'!D221:D223)</f>
        <v>0</v>
      </c>
      <c r="E111" s="18">
        <f>SUM('Monthly Gallon Summary'!E221:E223)</f>
        <v>0</v>
      </c>
      <c r="F111" s="18">
        <f>SUM('Monthly Gallon Summary'!F221:F223)</f>
        <v>0</v>
      </c>
      <c r="G111" s="18">
        <f>SUM('Monthly Gallon Summary'!G221:G223)</f>
        <v>0</v>
      </c>
      <c r="H111" s="18">
        <f>SUM('Monthly Gallon Summary'!H221:H223)</f>
        <v>0</v>
      </c>
      <c r="I111" s="18">
        <f>SUM('Monthly Gallon Summary'!I221:I223)</f>
        <v>0</v>
      </c>
      <c r="J111" s="18">
        <f>SUM('Monthly Gallon Summary'!J221:J223)</f>
        <v>0</v>
      </c>
      <c r="K111" s="18">
        <f>SUM('Monthly Gallon Summary'!K221:K223)</f>
        <v>0</v>
      </c>
      <c r="L111" s="18">
        <f>SUM('Monthly Gallon Summary'!L221:L223)</f>
        <v>0</v>
      </c>
      <c r="M111" s="18">
        <f>SUM('Monthly Gallon Summary'!M221:M223)</f>
        <v>0</v>
      </c>
      <c r="N111" s="18">
        <f>SUM('Monthly Gallon Summary'!N221:N223)</f>
        <v>1443291</v>
      </c>
      <c r="O111" s="18">
        <f>SUM('Monthly Gallon Summary'!O221:O223)</f>
        <v>3734937</v>
      </c>
      <c r="P111" s="18">
        <f>SUM('Monthly Gallon Summary'!P221:P223)</f>
        <v>9554472</v>
      </c>
      <c r="Q111" s="19">
        <f>SUM('Monthly Gallon Summary'!Q221:Q223)</f>
        <v>11153368.969629217</v>
      </c>
      <c r="R111" s="19">
        <f>SUM('Monthly Gallon Summary'!R221:R223)</f>
        <v>13583138.729576591</v>
      </c>
      <c r="S111" s="19">
        <f>SUM('Monthly Gallon Summary'!S221:S223)</f>
        <v>19484915.107174806</v>
      </c>
      <c r="T111" s="19">
        <f>SUM('Monthly Gallon Summary'!T221:T223)</f>
        <v>25429468.434395757</v>
      </c>
      <c r="U111" s="19">
        <f>SUM('Monthly Gallon Summary'!U221:U223)</f>
        <v>24387032.739455372</v>
      </c>
      <c r="V111" s="18">
        <f>SUM('Monthly Gallon Summary'!V221:V223)</f>
        <v>35977181.293410495</v>
      </c>
      <c r="W111" s="18">
        <f>SUM('Monthly Gallon Summary'!W221:W223)</f>
        <v>33947595.937866271</v>
      </c>
      <c r="X111" s="18">
        <f>SUM('Monthly Gallon Summary'!X221:X223)</f>
        <v>30428047.208815247</v>
      </c>
      <c r="Y111" s="18">
        <f>SUM('Monthly Gallon Summary'!Y221:Y223)</f>
        <v>31419206.748761229</v>
      </c>
      <c r="Z111" s="18">
        <f>SUM('Monthly Gallon Summary'!Z221:Z223)</f>
        <v>33630301.588199779</v>
      </c>
      <c r="AA111" s="18">
        <f>SUM('Monthly Gallon Summary'!AA221:AA223)</f>
        <v>35633491.816389717</v>
      </c>
      <c r="AC111" s="77">
        <f t="shared" si="66"/>
        <v>-0.62362747909953486</v>
      </c>
      <c r="AD111" s="26">
        <f t="shared" si="65"/>
        <v>1.558134715525322</v>
      </c>
    </row>
    <row r="112" spans="1:30">
      <c r="A112" s="14" t="s">
        <v>29</v>
      </c>
      <c r="B112" s="18">
        <f t="shared" ref="B112:J112" si="67">SUM(B108:B111)</f>
        <v>0</v>
      </c>
      <c r="C112" s="18">
        <f t="shared" si="67"/>
        <v>0</v>
      </c>
      <c r="D112" s="18">
        <f t="shared" si="67"/>
        <v>0</v>
      </c>
      <c r="E112" s="18">
        <f t="shared" si="67"/>
        <v>0</v>
      </c>
      <c r="F112" s="18">
        <f t="shared" si="67"/>
        <v>0</v>
      </c>
      <c r="G112" s="18">
        <f t="shared" si="67"/>
        <v>0</v>
      </c>
      <c r="H112" s="18">
        <f t="shared" si="67"/>
        <v>0</v>
      </c>
      <c r="I112" s="18">
        <f t="shared" si="67"/>
        <v>0</v>
      </c>
      <c r="J112" s="18">
        <f t="shared" si="67"/>
        <v>0</v>
      </c>
      <c r="K112" s="18">
        <f>SUM(K108:K111)</f>
        <v>0</v>
      </c>
      <c r="L112" s="18">
        <f t="shared" ref="L112:AA112" si="68">SUM(L108:L111)</f>
        <v>0</v>
      </c>
      <c r="M112" s="18">
        <f t="shared" si="68"/>
        <v>0</v>
      </c>
      <c r="N112" s="18">
        <f t="shared" si="68"/>
        <v>7926740</v>
      </c>
      <c r="O112" s="18">
        <f t="shared" si="68"/>
        <v>12283992</v>
      </c>
      <c r="P112" s="18">
        <f t="shared" si="68"/>
        <v>73150417</v>
      </c>
      <c r="Q112" s="19">
        <f t="shared" si="68"/>
        <v>60000000</v>
      </c>
      <c r="R112" s="19">
        <f t="shared" si="68"/>
        <v>46088495.228818953</v>
      </c>
      <c r="S112" s="19">
        <f t="shared" si="68"/>
        <v>66251234.582902737</v>
      </c>
      <c r="T112" s="19">
        <f t="shared" si="68"/>
        <v>86806380.262041986</v>
      </c>
      <c r="U112" s="19">
        <f t="shared" si="68"/>
        <v>102312847.9358232</v>
      </c>
      <c r="V112" s="18">
        <f t="shared" si="68"/>
        <v>138287553.70197093</v>
      </c>
      <c r="W112" s="18">
        <f t="shared" si="68"/>
        <v>125594134.48654234</v>
      </c>
      <c r="X112" s="18">
        <f t="shared" si="68"/>
        <v>113483164.08274141</v>
      </c>
      <c r="Y112" s="18">
        <f t="shared" si="68"/>
        <v>118522743.38567448</v>
      </c>
      <c r="Z112" s="18">
        <f t="shared" si="68"/>
        <v>128828009.22433174</v>
      </c>
      <c r="AA112" s="18">
        <f t="shared" si="68"/>
        <v>134585758.37689576</v>
      </c>
      <c r="AC112" s="77">
        <f>P112/AVERAGE(K112:O112)-1</f>
        <v>17.096924198490189</v>
      </c>
      <c r="AD112" s="26">
        <f t="shared" si="65"/>
        <v>4.9549385085890645</v>
      </c>
    </row>
    <row r="113" spans="1:30">
      <c r="P113">
        <f>P112/O112</f>
        <v>5.9549385085890645</v>
      </c>
    </row>
    <row r="115" spans="1:30" ht="15.75">
      <c r="A115" s="76" t="s">
        <v>154</v>
      </c>
      <c r="AC115" s="476">
        <v>2024</v>
      </c>
      <c r="AD115" s="476"/>
    </row>
    <row r="116" spans="1:30">
      <c r="B116">
        <f>B2</f>
        <v>2010</v>
      </c>
      <c r="C116">
        <f t="shared" ref="C116:AA116" si="69">C2</f>
        <v>2011</v>
      </c>
      <c r="D116">
        <f t="shared" si="69"/>
        <v>2012</v>
      </c>
      <c r="E116">
        <f t="shared" si="69"/>
        <v>2013</v>
      </c>
      <c r="F116">
        <f t="shared" si="69"/>
        <v>2014</v>
      </c>
      <c r="G116">
        <f t="shared" si="69"/>
        <v>2015</v>
      </c>
      <c r="H116">
        <f t="shared" si="69"/>
        <v>2016</v>
      </c>
      <c r="I116">
        <f t="shared" si="69"/>
        <v>2017</v>
      </c>
      <c r="J116">
        <f t="shared" si="69"/>
        <v>2018</v>
      </c>
      <c r="K116">
        <f t="shared" si="69"/>
        <v>2019</v>
      </c>
      <c r="L116">
        <f t="shared" si="69"/>
        <v>2020</v>
      </c>
      <c r="M116">
        <f t="shared" si="69"/>
        <v>2021</v>
      </c>
      <c r="N116">
        <f t="shared" si="69"/>
        <v>2022</v>
      </c>
      <c r="O116">
        <f t="shared" si="69"/>
        <v>2023</v>
      </c>
      <c r="P116">
        <f t="shared" si="69"/>
        <v>2024</v>
      </c>
      <c r="Q116">
        <f t="shared" si="69"/>
        <v>2025</v>
      </c>
      <c r="R116">
        <f t="shared" si="69"/>
        <v>2026</v>
      </c>
      <c r="S116">
        <f t="shared" si="69"/>
        <v>2027</v>
      </c>
      <c r="T116">
        <f t="shared" si="69"/>
        <v>2028</v>
      </c>
      <c r="U116">
        <f t="shared" si="69"/>
        <v>2029</v>
      </c>
      <c r="V116">
        <f t="shared" si="69"/>
        <v>2030</v>
      </c>
      <c r="W116">
        <f t="shared" si="69"/>
        <v>2031</v>
      </c>
      <c r="X116">
        <f t="shared" si="69"/>
        <v>2032</v>
      </c>
      <c r="Y116">
        <f t="shared" si="69"/>
        <v>2033</v>
      </c>
      <c r="Z116">
        <f t="shared" si="69"/>
        <v>2034</v>
      </c>
      <c r="AA116">
        <f t="shared" si="69"/>
        <v>2035</v>
      </c>
      <c r="AC116" s="14" t="s">
        <v>166</v>
      </c>
      <c r="AD116" s="14" t="s">
        <v>167</v>
      </c>
    </row>
    <row r="117" spans="1:30">
      <c r="A117" s="14" t="s">
        <v>168</v>
      </c>
      <c r="B117" s="18">
        <f>SUM(B92+B84)</f>
        <v>1833131</v>
      </c>
      <c r="C117" s="18">
        <f t="shared" ref="C117:AA120" si="70">SUM(C92+C84)</f>
        <v>155428125</v>
      </c>
      <c r="D117" s="18">
        <f t="shared" si="70"/>
        <v>254663353</v>
      </c>
      <c r="E117" s="18">
        <f t="shared" si="70"/>
        <v>291938769</v>
      </c>
      <c r="F117" s="18">
        <f t="shared" si="70"/>
        <v>379030709</v>
      </c>
      <c r="G117" s="18">
        <f t="shared" si="70"/>
        <v>367137526</v>
      </c>
      <c r="H117" s="18">
        <f t="shared" si="70"/>
        <v>470645718</v>
      </c>
      <c r="I117" s="18">
        <f t="shared" si="70"/>
        <v>489065042</v>
      </c>
      <c r="J117" s="18">
        <f t="shared" si="70"/>
        <v>558531749</v>
      </c>
      <c r="K117" s="18">
        <f t="shared" si="70"/>
        <v>614303110</v>
      </c>
      <c r="L117" s="18">
        <f t="shared" si="70"/>
        <v>679157039</v>
      </c>
      <c r="M117" s="18">
        <f t="shared" si="70"/>
        <v>678195480</v>
      </c>
      <c r="N117" s="18">
        <f t="shared" si="70"/>
        <v>794637211</v>
      </c>
      <c r="O117" s="18">
        <f t="shared" si="70"/>
        <v>1070805691</v>
      </c>
      <c r="P117" s="18">
        <f t="shared" si="70"/>
        <v>1966515108</v>
      </c>
      <c r="Q117" s="18">
        <f t="shared" si="70"/>
        <v>1569504838</v>
      </c>
      <c r="R117" s="19">
        <f t="shared" si="70"/>
        <v>1674743121.9171982</v>
      </c>
      <c r="S117" s="19">
        <f t="shared" si="70"/>
        <v>1928584445.251713</v>
      </c>
      <c r="T117" s="19">
        <f t="shared" si="70"/>
        <v>1958566927.6581306</v>
      </c>
      <c r="U117" s="19">
        <f t="shared" si="70"/>
        <v>2095864301.2378163</v>
      </c>
      <c r="V117" s="18">
        <f t="shared" si="70"/>
        <v>2290184526.1975641</v>
      </c>
      <c r="W117" s="18">
        <f t="shared" si="70"/>
        <v>2519756971.8912382</v>
      </c>
      <c r="X117" s="18">
        <f t="shared" si="70"/>
        <v>2967958466.7477131</v>
      </c>
      <c r="Y117" s="18">
        <f t="shared" si="70"/>
        <v>2995402203.3948798</v>
      </c>
      <c r="Z117" s="18">
        <f t="shared" si="70"/>
        <v>3008152835.5182662</v>
      </c>
      <c r="AA117" s="18">
        <f t="shared" si="70"/>
        <v>3141703909.4437675</v>
      </c>
      <c r="AC117" s="26">
        <f>P117/O120-1</f>
        <v>0.45421788449199774</v>
      </c>
      <c r="AD117" s="26">
        <f>P117/O117-1</f>
        <v>0.836481748769488</v>
      </c>
    </row>
    <row r="118" spans="1:30">
      <c r="A118" s="14" t="s">
        <v>169</v>
      </c>
      <c r="B118" s="18">
        <f>SUM(B93+B85)</f>
        <v>1869566</v>
      </c>
      <c r="C118" s="18">
        <f t="shared" si="70"/>
        <v>189636010</v>
      </c>
      <c r="D118" s="18">
        <f t="shared" si="70"/>
        <v>295065838</v>
      </c>
      <c r="E118" s="18">
        <f t="shared" si="70"/>
        <v>381402889</v>
      </c>
      <c r="F118" s="18">
        <f t="shared" si="70"/>
        <v>428438149</v>
      </c>
      <c r="G118" s="18">
        <f t="shared" si="70"/>
        <v>456473514</v>
      </c>
      <c r="H118" s="18">
        <f t="shared" si="70"/>
        <v>650323856</v>
      </c>
      <c r="I118" s="18">
        <f t="shared" si="70"/>
        <v>602958834</v>
      </c>
      <c r="J118" s="18">
        <f t="shared" si="70"/>
        <v>614687530</v>
      </c>
      <c r="K118" s="18">
        <f t="shared" si="70"/>
        <v>705719473</v>
      </c>
      <c r="L118" s="18">
        <f t="shared" si="70"/>
        <v>696235114</v>
      </c>
      <c r="M118" s="18">
        <f t="shared" si="70"/>
        <v>740876955</v>
      </c>
      <c r="N118" s="18">
        <f t="shared" si="70"/>
        <v>895318660</v>
      </c>
      <c r="O118" s="18">
        <f t="shared" si="70"/>
        <v>1138929914</v>
      </c>
      <c r="P118" s="18">
        <f t="shared" si="70"/>
        <v>2171849570</v>
      </c>
      <c r="Q118" s="19">
        <f t="shared" si="70"/>
        <v>1678035643.814568</v>
      </c>
      <c r="R118" s="19">
        <f t="shared" si="70"/>
        <v>1827795650.8125281</v>
      </c>
      <c r="S118" s="19">
        <f t="shared" si="70"/>
        <v>2134708184.7666221</v>
      </c>
      <c r="T118" s="19">
        <f t="shared" si="70"/>
        <v>2173323476.6510067</v>
      </c>
      <c r="U118" s="19">
        <f t="shared" si="70"/>
        <v>2338755567.1909714</v>
      </c>
      <c r="V118" s="18">
        <f t="shared" si="70"/>
        <v>2571947575.4507194</v>
      </c>
      <c r="W118" s="18">
        <f t="shared" si="70"/>
        <v>2813827212.7578073</v>
      </c>
      <c r="X118" s="18">
        <f t="shared" si="70"/>
        <v>3317193235.3757329</v>
      </c>
      <c r="Y118" s="18">
        <f t="shared" si="70"/>
        <v>3328805176.2929068</v>
      </c>
      <c r="Z118" s="18">
        <f t="shared" si="70"/>
        <v>3360777231.0984745</v>
      </c>
      <c r="AA118" s="18">
        <f t="shared" si="70"/>
        <v>3507802858.2236691</v>
      </c>
      <c r="AC118" s="77">
        <f>P118/P117-1</f>
        <v>0.10441540019940687</v>
      </c>
      <c r="AD118" s="26">
        <f t="shared" ref="AD118:AD121" si="71">P118/O118-1</f>
        <v>0.90692117513387216</v>
      </c>
    </row>
    <row r="119" spans="1:30">
      <c r="A119" s="14" t="s">
        <v>170</v>
      </c>
      <c r="B119" s="18">
        <f>SUM(B94+B86)</f>
        <v>6751960</v>
      </c>
      <c r="C119" s="18">
        <f t="shared" si="70"/>
        <v>234093263</v>
      </c>
      <c r="D119" s="18">
        <f t="shared" si="70"/>
        <v>318014213</v>
      </c>
      <c r="E119" s="18">
        <f t="shared" si="70"/>
        <v>405526664</v>
      </c>
      <c r="F119" s="18">
        <f t="shared" si="70"/>
        <v>515270681</v>
      </c>
      <c r="G119" s="18">
        <f t="shared" si="70"/>
        <v>558075551</v>
      </c>
      <c r="H119" s="18">
        <f t="shared" si="70"/>
        <v>733601172</v>
      </c>
      <c r="I119" s="18">
        <f t="shared" si="70"/>
        <v>671073121</v>
      </c>
      <c r="J119" s="18">
        <f t="shared" si="70"/>
        <v>649834345</v>
      </c>
      <c r="K119" s="18">
        <f t="shared" si="70"/>
        <v>709839319</v>
      </c>
      <c r="L119" s="18">
        <f t="shared" si="70"/>
        <v>719912931</v>
      </c>
      <c r="M119" s="18">
        <f t="shared" si="70"/>
        <v>756727404</v>
      </c>
      <c r="N119" s="18">
        <f t="shared" si="70"/>
        <v>896651168</v>
      </c>
      <c r="O119" s="18">
        <f t="shared" si="70"/>
        <v>1212366806</v>
      </c>
      <c r="P119" s="18">
        <f t="shared" si="70"/>
        <v>2162228458</v>
      </c>
      <c r="Q119" s="19">
        <f t="shared" si="70"/>
        <v>1749937954.3383155</v>
      </c>
      <c r="R119" s="19">
        <f t="shared" si="70"/>
        <v>1868047629.1405029</v>
      </c>
      <c r="S119" s="19">
        <f t="shared" si="70"/>
        <v>2256921514.7438922</v>
      </c>
      <c r="T119" s="19">
        <f t="shared" si="70"/>
        <v>2326778310.5982313</v>
      </c>
      <c r="U119" s="19">
        <f t="shared" si="70"/>
        <v>2538473502.3362646</v>
      </c>
      <c r="V119" s="18">
        <f t="shared" si="70"/>
        <v>2846674558.6526546</v>
      </c>
      <c r="W119" s="18">
        <f t="shared" si="70"/>
        <v>3116992254.8582239</v>
      </c>
      <c r="X119" s="18">
        <f t="shared" si="70"/>
        <v>3706852484.2455082</v>
      </c>
      <c r="Y119" s="18">
        <f t="shared" si="70"/>
        <v>3730676370.7512746</v>
      </c>
      <c r="Z119" s="18">
        <f t="shared" si="70"/>
        <v>3791745254.1502686</v>
      </c>
      <c r="AA119" s="18">
        <f t="shared" si="70"/>
        <v>3957048209.5382137</v>
      </c>
      <c r="AC119" s="77">
        <f t="shared" ref="AC119:AC120" si="72">P119/P118-1</f>
        <v>-4.4299163868886104E-3</v>
      </c>
      <c r="AD119" s="26">
        <f t="shared" si="71"/>
        <v>0.78347711872276382</v>
      </c>
    </row>
    <row r="120" spans="1:30">
      <c r="A120" s="14" t="s">
        <v>171</v>
      </c>
      <c r="B120" s="18">
        <f>SUM(B95+B87)</f>
        <v>9197895</v>
      </c>
      <c r="C120" s="18">
        <f t="shared" si="70"/>
        <v>258577642</v>
      </c>
      <c r="D120" s="18">
        <f t="shared" si="70"/>
        <v>321718173</v>
      </c>
      <c r="E120" s="18">
        <f t="shared" si="70"/>
        <v>484647235</v>
      </c>
      <c r="F120" s="18">
        <f t="shared" si="70"/>
        <v>552191836</v>
      </c>
      <c r="G120" s="18">
        <f t="shared" si="70"/>
        <v>582958167</v>
      </c>
      <c r="H120" s="18">
        <f t="shared" si="70"/>
        <v>830314491</v>
      </c>
      <c r="I120" s="18">
        <f t="shared" si="70"/>
        <v>657797895</v>
      </c>
      <c r="J120" s="18">
        <f t="shared" si="70"/>
        <v>674146176</v>
      </c>
      <c r="K120" s="18">
        <f t="shared" si="70"/>
        <v>688669883</v>
      </c>
      <c r="L120" s="18">
        <f t="shared" si="70"/>
        <v>779570875</v>
      </c>
      <c r="M120" s="18">
        <f t="shared" si="70"/>
        <v>846813274</v>
      </c>
      <c r="N120" s="18">
        <f t="shared" si="70"/>
        <v>1015071772</v>
      </c>
      <c r="O120" s="18">
        <f t="shared" si="70"/>
        <v>1352283677</v>
      </c>
      <c r="P120" s="18">
        <f t="shared" si="70"/>
        <v>2308111021</v>
      </c>
      <c r="Q120" s="19">
        <f t="shared" si="70"/>
        <v>1921742322.2985954</v>
      </c>
      <c r="R120" s="19">
        <f t="shared" si="70"/>
        <v>2182150046.0459895</v>
      </c>
      <c r="S120" s="19">
        <f t="shared" si="70"/>
        <v>2566605356.3787875</v>
      </c>
      <c r="T120" s="19">
        <f t="shared" si="70"/>
        <v>2634878371.525373</v>
      </c>
      <c r="U120" s="19">
        <f t="shared" si="70"/>
        <v>2833672893.1176014</v>
      </c>
      <c r="V120" s="18">
        <f t="shared" si="70"/>
        <v>3162177445.277257</v>
      </c>
      <c r="W120" s="18">
        <f t="shared" si="70"/>
        <v>3453865407.6727695</v>
      </c>
      <c r="X120" s="18">
        <f t="shared" si="70"/>
        <v>4092770470.9856191</v>
      </c>
      <c r="Y120" s="18">
        <f t="shared" si="70"/>
        <v>4110685300.5643983</v>
      </c>
      <c r="Z120" s="18">
        <f t="shared" si="70"/>
        <v>4158582901.475451</v>
      </c>
      <c r="AA120" s="18">
        <f t="shared" si="70"/>
        <v>4343395375.9376202</v>
      </c>
      <c r="AC120" s="77">
        <f t="shared" si="72"/>
        <v>6.7468616676582549E-2</v>
      </c>
      <c r="AD120" s="26">
        <f t="shared" si="71"/>
        <v>0.70682458145207638</v>
      </c>
    </row>
    <row r="121" spans="1:30">
      <c r="A121" s="14" t="s">
        <v>29</v>
      </c>
      <c r="B121" s="18">
        <f>SUM(B117:B120)</f>
        <v>19652552</v>
      </c>
      <c r="C121" s="18">
        <f t="shared" ref="C121:AA121" si="73">SUM(C117:C120)</f>
        <v>837735040</v>
      </c>
      <c r="D121" s="18">
        <f t="shared" si="73"/>
        <v>1189461577</v>
      </c>
      <c r="E121" s="18">
        <f t="shared" si="73"/>
        <v>1563515557</v>
      </c>
      <c r="F121" s="18">
        <f t="shared" si="73"/>
        <v>1874931375</v>
      </c>
      <c r="G121" s="18">
        <f t="shared" si="73"/>
        <v>1964644758</v>
      </c>
      <c r="H121" s="18">
        <f t="shared" si="73"/>
        <v>2684885237</v>
      </c>
      <c r="I121" s="18">
        <f t="shared" si="73"/>
        <v>2420894892</v>
      </c>
      <c r="J121" s="18">
        <f t="shared" si="73"/>
        <v>2497199800</v>
      </c>
      <c r="K121" s="18">
        <f t="shared" si="73"/>
        <v>2718531785</v>
      </c>
      <c r="L121" s="18">
        <f t="shared" si="73"/>
        <v>2874875959</v>
      </c>
      <c r="M121" s="18">
        <f t="shared" si="73"/>
        <v>3022613113</v>
      </c>
      <c r="N121" s="18">
        <f t="shared" si="73"/>
        <v>3601678811</v>
      </c>
      <c r="O121" s="18">
        <f t="shared" si="73"/>
        <v>4774386088</v>
      </c>
      <c r="P121" s="18">
        <f t="shared" si="73"/>
        <v>8608704157</v>
      </c>
      <c r="Q121" s="19">
        <f t="shared" si="73"/>
        <v>6919220758.451479</v>
      </c>
      <c r="R121" s="19">
        <f t="shared" si="73"/>
        <v>7552736447.9162197</v>
      </c>
      <c r="S121" s="19">
        <f t="shared" si="73"/>
        <v>8886819501.141016</v>
      </c>
      <c r="T121" s="19">
        <f t="shared" si="73"/>
        <v>9093547086.4327412</v>
      </c>
      <c r="U121" s="19">
        <f t="shared" si="73"/>
        <v>9806766263.8826523</v>
      </c>
      <c r="V121" s="18">
        <f t="shared" si="73"/>
        <v>10870984105.578194</v>
      </c>
      <c r="W121" s="18">
        <f t="shared" si="73"/>
        <v>11904441847.180038</v>
      </c>
      <c r="X121" s="18">
        <f t="shared" si="73"/>
        <v>14084774657.354572</v>
      </c>
      <c r="Y121" s="18">
        <f t="shared" si="73"/>
        <v>14165569051.003458</v>
      </c>
      <c r="Z121" s="18">
        <f t="shared" si="73"/>
        <v>14319258222.24246</v>
      </c>
      <c r="AA121" s="18">
        <f t="shared" si="73"/>
        <v>14949950353.14327</v>
      </c>
      <c r="AC121" s="77">
        <f>P121/AVERAGE(K121:O121)-1</f>
        <v>1.5331511035836844</v>
      </c>
      <c r="AD121" s="26">
        <f t="shared" si="71"/>
        <v>0.80310180164047096</v>
      </c>
    </row>
    <row r="123" spans="1:30" ht="15.75">
      <c r="A123" s="76" t="s">
        <v>155</v>
      </c>
    </row>
    <row r="125" spans="1:30">
      <c r="A125" s="14" t="s">
        <v>168</v>
      </c>
    </row>
    <row r="126" spans="1:30">
      <c r="A126" s="14" t="s">
        <v>169</v>
      </c>
    </row>
    <row r="127" spans="1:30">
      <c r="A127" s="14" t="s">
        <v>170</v>
      </c>
    </row>
    <row r="128" spans="1:30">
      <c r="A128" s="14" t="s">
        <v>171</v>
      </c>
    </row>
    <row r="129" spans="1:1">
      <c r="A129" s="14" t="s">
        <v>29</v>
      </c>
    </row>
    <row r="132" spans="1:1" ht="15.75">
      <c r="A132" s="76" t="s">
        <v>156</v>
      </c>
    </row>
    <row r="134" spans="1:1">
      <c r="A134" s="14" t="s">
        <v>168</v>
      </c>
    </row>
    <row r="135" spans="1:1">
      <c r="A135" s="14" t="s">
        <v>169</v>
      </c>
    </row>
    <row r="136" spans="1:1">
      <c r="A136" s="14" t="s">
        <v>170</v>
      </c>
    </row>
    <row r="137" spans="1:1">
      <c r="A137" s="14" t="s">
        <v>171</v>
      </c>
    </row>
    <row r="138" spans="1:1">
      <c r="A138" s="14" t="s">
        <v>29</v>
      </c>
    </row>
    <row r="141" spans="1:1" ht="15.75">
      <c r="A141" s="76" t="s">
        <v>157</v>
      </c>
    </row>
    <row r="143" spans="1:1">
      <c r="A143" s="14" t="s">
        <v>168</v>
      </c>
    </row>
    <row r="144" spans="1:1">
      <c r="A144" s="14" t="s">
        <v>169</v>
      </c>
    </row>
    <row r="145" spans="1:1">
      <c r="A145" s="14" t="s">
        <v>170</v>
      </c>
    </row>
    <row r="146" spans="1:1">
      <c r="A146" s="14" t="s">
        <v>171</v>
      </c>
    </row>
    <row r="147" spans="1:1">
      <c r="A147" s="14" t="s">
        <v>29</v>
      </c>
    </row>
    <row r="149" spans="1:1" ht="15.75">
      <c r="A149" s="76" t="s">
        <v>158</v>
      </c>
    </row>
    <row r="151" spans="1:1">
      <c r="A151" s="14" t="s">
        <v>168</v>
      </c>
    </row>
    <row r="152" spans="1:1">
      <c r="A152" s="14" t="s">
        <v>169</v>
      </c>
    </row>
    <row r="153" spans="1:1">
      <c r="A153" s="14" t="s">
        <v>170</v>
      </c>
    </row>
    <row r="154" spans="1:1">
      <c r="A154" s="14" t="s">
        <v>171</v>
      </c>
    </row>
    <row r="155" spans="1:1">
      <c r="A155" s="14" t="s">
        <v>29</v>
      </c>
    </row>
    <row r="158" spans="1:1" ht="15.75">
      <c r="A158" s="76" t="s">
        <v>158</v>
      </c>
    </row>
    <row r="160" spans="1:1">
      <c r="A160" s="14" t="s">
        <v>168</v>
      </c>
    </row>
    <row r="161" spans="1:1">
      <c r="A161" s="14" t="s">
        <v>169</v>
      </c>
    </row>
    <row r="162" spans="1:1">
      <c r="A162" s="14" t="s">
        <v>170</v>
      </c>
    </row>
    <row r="163" spans="1:1">
      <c r="A163" s="14" t="s">
        <v>171</v>
      </c>
    </row>
    <row r="164" spans="1:1">
      <c r="A164" s="14" t="s">
        <v>29</v>
      </c>
    </row>
    <row r="167" spans="1:1" ht="15.75">
      <c r="A167" s="76" t="s">
        <v>159</v>
      </c>
    </row>
    <row r="169" spans="1:1">
      <c r="A169" s="14" t="s">
        <v>168</v>
      </c>
    </row>
    <row r="170" spans="1:1">
      <c r="A170" s="14" t="s">
        <v>169</v>
      </c>
    </row>
    <row r="171" spans="1:1">
      <c r="A171" s="14" t="s">
        <v>170</v>
      </c>
    </row>
    <row r="172" spans="1:1">
      <c r="A172" s="14" t="s">
        <v>171</v>
      </c>
    </row>
    <row r="173" spans="1:1">
      <c r="A173" s="14" t="s">
        <v>29</v>
      </c>
    </row>
    <row r="176" spans="1:1" ht="15.75">
      <c r="A176" s="76" t="s">
        <v>160</v>
      </c>
    </row>
    <row r="178" spans="1:1">
      <c r="A178" s="14" t="s">
        <v>168</v>
      </c>
    </row>
    <row r="179" spans="1:1">
      <c r="A179" s="14" t="s">
        <v>169</v>
      </c>
    </row>
    <row r="180" spans="1:1">
      <c r="A180" s="14" t="s">
        <v>170</v>
      </c>
    </row>
    <row r="181" spans="1:1">
      <c r="A181" s="14" t="s">
        <v>171</v>
      </c>
    </row>
    <row r="182" spans="1:1">
      <c r="A182" s="14" t="s">
        <v>29</v>
      </c>
    </row>
    <row r="185" spans="1:1" ht="15.75">
      <c r="A185" s="76" t="s">
        <v>161</v>
      </c>
    </row>
    <row r="187" spans="1:1">
      <c r="A187" s="14" t="s">
        <v>168</v>
      </c>
    </row>
    <row r="188" spans="1:1">
      <c r="A188" s="14" t="s">
        <v>169</v>
      </c>
    </row>
    <row r="189" spans="1:1">
      <c r="A189" s="14" t="s">
        <v>170</v>
      </c>
    </row>
    <row r="190" spans="1:1">
      <c r="A190" s="14" t="s">
        <v>171</v>
      </c>
    </row>
    <row r="191" spans="1:1">
      <c r="A191" s="14" t="s">
        <v>29</v>
      </c>
    </row>
    <row r="194" spans="1:1" ht="15.75">
      <c r="A194" s="76" t="s">
        <v>162</v>
      </c>
    </row>
    <row r="196" spans="1:1">
      <c r="A196" s="14" t="s">
        <v>168</v>
      </c>
    </row>
    <row r="197" spans="1:1">
      <c r="A197" s="14" t="s">
        <v>169</v>
      </c>
    </row>
    <row r="198" spans="1:1">
      <c r="A198" s="14" t="s">
        <v>170</v>
      </c>
    </row>
    <row r="199" spans="1:1">
      <c r="A199" s="14" t="s">
        <v>171</v>
      </c>
    </row>
    <row r="200" spans="1:1">
      <c r="A200" s="14" t="s">
        <v>29</v>
      </c>
    </row>
    <row r="203" spans="1:1" ht="15.75">
      <c r="A203" s="76" t="s">
        <v>163</v>
      </c>
    </row>
    <row r="205" spans="1:1">
      <c r="A205" s="14" t="s">
        <v>168</v>
      </c>
    </row>
    <row r="206" spans="1:1">
      <c r="A206" s="14" t="s">
        <v>169</v>
      </c>
    </row>
    <row r="207" spans="1:1">
      <c r="A207" s="14" t="s">
        <v>170</v>
      </c>
    </row>
    <row r="208" spans="1:1">
      <c r="A208" s="14" t="s">
        <v>171</v>
      </c>
    </row>
    <row r="209" spans="1:1">
      <c r="A209" s="14" t="s">
        <v>29</v>
      </c>
    </row>
  </sheetData>
  <mergeCells count="15">
    <mergeCell ref="AC41:AD41"/>
    <mergeCell ref="AC1:AD1"/>
    <mergeCell ref="AC9:AD9"/>
    <mergeCell ref="AC17:AD17"/>
    <mergeCell ref="AC25:AD25"/>
    <mergeCell ref="AC33:AD33"/>
    <mergeCell ref="AC98:AD98"/>
    <mergeCell ref="AC106:AD106"/>
    <mergeCell ref="AC115:AD115"/>
    <mergeCell ref="AC49:AD49"/>
    <mergeCell ref="AC57:AD57"/>
    <mergeCell ref="AC66:AD66"/>
    <mergeCell ref="AC74:AD74"/>
    <mergeCell ref="AC82:AD82"/>
    <mergeCell ref="AC90:AD9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F5BF9-78BC-44B0-9A23-C99C96492EDC}">
  <dimension ref="A1:AG74"/>
  <sheetViews>
    <sheetView workbookViewId="0">
      <pane xSplit="1" ySplit="2" topLeftCell="L3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43.85546875" bestFit="1" customWidth="1"/>
    <col min="2" max="7" width="12.140625" hidden="1" customWidth="1"/>
    <col min="8" max="31" width="12.140625" customWidth="1"/>
    <col min="32" max="32" width="11.85546875" bestFit="1" customWidth="1"/>
  </cols>
  <sheetData>
    <row r="1" spans="1:33" ht="18.75" thickBot="1">
      <c r="A1" s="78" t="s">
        <v>173</v>
      </c>
    </row>
    <row r="2" spans="1:33"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row>
    <row r="3" spans="1:33">
      <c r="A3" s="2" t="s">
        <v>174</v>
      </c>
      <c r="B3" s="3">
        <f>'D3 Gallon Forecast'!B15</f>
        <v>0</v>
      </c>
      <c r="C3" s="3">
        <f>'D3 Gallon Forecast'!C15</f>
        <v>0</v>
      </c>
      <c r="D3" s="3">
        <f>'D3 Gallon Forecast'!D15</f>
        <v>20069</v>
      </c>
      <c r="E3" s="3">
        <f>'D3 Gallon Forecast'!E15</f>
        <v>281819</v>
      </c>
      <c r="F3" s="3">
        <f>'D3 Gallon Forecast'!F15</f>
        <v>33345837</v>
      </c>
      <c r="G3" s="3">
        <f>'D3 Gallon Forecast'!G15</f>
        <v>142040241</v>
      </c>
      <c r="H3" s="3">
        <f>'D3 Gallon Forecast'!H15</f>
        <v>192361795</v>
      </c>
      <c r="I3" s="3">
        <f>'D3 Gallon Forecast'!I15</f>
        <v>250624473</v>
      </c>
      <c r="J3" s="3">
        <f>'D3 Gallon Forecast'!J15</f>
        <v>312348198</v>
      </c>
      <c r="K3" s="3">
        <f>'D3 Gallon Forecast'!K15</f>
        <v>414122810</v>
      </c>
      <c r="L3" s="3">
        <f>'D3 Gallon Forecast'!L15</f>
        <v>505872211</v>
      </c>
      <c r="M3" s="3">
        <f>'D3 Gallon Forecast'!M15</f>
        <v>568414154</v>
      </c>
      <c r="N3" s="3">
        <f>'D3 Gallon Forecast'!N15</f>
        <v>668618747</v>
      </c>
      <c r="O3" s="3">
        <f>'D3 Gallon Forecast'!O15</f>
        <v>774731508</v>
      </c>
      <c r="P3" s="4">
        <f>'D3 Gallon Forecast'!P15</f>
        <v>921163090</v>
      </c>
      <c r="Q3" s="4">
        <f>'D3 Gallon Forecast'!Q15</f>
        <v>642893076.81687927</v>
      </c>
      <c r="R3" s="4">
        <f>'D3 Gallon Forecast'!R15</f>
        <v>772558826.29679656</v>
      </c>
      <c r="S3" s="4">
        <f>'D3 Gallon Forecast'!S15</f>
        <v>775384939.27208924</v>
      </c>
      <c r="T3" s="4">
        <f>'D3 Gallon Forecast'!T15</f>
        <v>822873120.59585667</v>
      </c>
      <c r="U3" s="4">
        <f>'D3 Gallon Forecast'!U15</f>
        <v>889247611.70624554</v>
      </c>
      <c r="V3" s="4">
        <f>'D3 Gallon Forecast'!V15</f>
        <v>1002672360.7283525</v>
      </c>
      <c r="W3" s="4">
        <f>'D3 Gallon Forecast'!W15</f>
        <v>1066474459.0683435</v>
      </c>
      <c r="X3" s="4">
        <f>'D3 Gallon Forecast'!X15</f>
        <v>1177139741.306216</v>
      </c>
      <c r="Y3" s="4">
        <f>'D3 Gallon Forecast'!Y15</f>
        <v>1357409485.3158479</v>
      </c>
      <c r="Z3" s="4">
        <f>'D3 Gallon Forecast'!Z15</f>
        <v>1531826069.9641216</v>
      </c>
      <c r="AA3" s="4">
        <f>'D3 Gallon Forecast'!AA15</f>
        <v>1731877156.6922889</v>
      </c>
      <c r="AB3" s="4">
        <f>'D3 Gallon Forecast'!AB15</f>
        <v>1978592899.6411026</v>
      </c>
      <c r="AC3" s="4">
        <f>'D3 Gallon Forecast'!AC15</f>
        <v>2248581266.9977798</v>
      </c>
      <c r="AD3" s="4">
        <f>'D3 Gallon Forecast'!AD15</f>
        <v>2538390493.6344814</v>
      </c>
      <c r="AF3" s="81">
        <f>P8/O8-1</f>
        <v>4.4907429613531447E-2</v>
      </c>
      <c r="AG3" s="82" t="s">
        <v>175</v>
      </c>
    </row>
    <row r="4" spans="1:33">
      <c r="A4" s="2" t="s">
        <v>176</v>
      </c>
      <c r="B4" s="3">
        <f>'D4 Gallon Forecast'!B27</f>
        <v>215402913</v>
      </c>
      <c r="C4" s="3">
        <f>'D4 Gallon Forecast'!C27</f>
        <v>1122699193</v>
      </c>
      <c r="D4" s="3">
        <f>'D4 Gallon Forecast'!D27</f>
        <v>1146899177</v>
      </c>
      <c r="E4" s="3">
        <f>'D4 Gallon Forecast'!E27</f>
        <v>1794304869</v>
      </c>
      <c r="F4" s="3">
        <f>'D4 Gallon Forecast'!F27</f>
        <v>1763434468</v>
      </c>
      <c r="G4" s="3">
        <f>'D4 Gallon Forecast'!G27</f>
        <v>1823117873</v>
      </c>
      <c r="H4" s="3">
        <f>'D4 Gallon Forecast'!H27</f>
        <v>2616026976</v>
      </c>
      <c r="I4" s="3">
        <f>'D4 Gallon Forecast'!I27</f>
        <v>2505344787</v>
      </c>
      <c r="J4" s="3">
        <f>'D4 Gallon Forecast'!J27</f>
        <v>2517304692</v>
      </c>
      <c r="K4" s="3">
        <f>'D4 Gallon Forecast'!K27</f>
        <v>2662800495</v>
      </c>
      <c r="L4" s="3">
        <f>'D4 Gallon Forecast'!L27</f>
        <v>2881104219</v>
      </c>
      <c r="M4" s="3">
        <f>'D4 Gallon Forecast'!M27</f>
        <v>3093329263</v>
      </c>
      <c r="N4" s="3">
        <f>'D4 Gallon Forecast'!N27</f>
        <v>3627527131</v>
      </c>
      <c r="O4" s="3">
        <f>'D4 Gallon Forecast'!O27</f>
        <v>4975757093</v>
      </c>
      <c r="P4" s="4">
        <f>'D4 Gallon Forecast'!P27</f>
        <v>5667378440</v>
      </c>
      <c r="Q4" s="4">
        <f>'D4 Gallon Forecast'!Q27</f>
        <v>4833141884.6898079</v>
      </c>
      <c r="R4" s="4">
        <f>'D4 Gallon Forecast'!R27</f>
        <v>5041411423.7157116</v>
      </c>
      <c r="S4" s="4">
        <f>'D4 Gallon Forecast'!S27</f>
        <v>6184797808.7787647</v>
      </c>
      <c r="T4" s="4">
        <f>'D4 Gallon Forecast'!T27</f>
        <v>6369777287.9926529</v>
      </c>
      <c r="U4" s="4">
        <f>'D4 Gallon Forecast'!U27</f>
        <v>7097710620.1153088</v>
      </c>
      <c r="V4" s="4">
        <f>'D4 Gallon Forecast'!V27</f>
        <v>8076866286.2662449</v>
      </c>
      <c r="W4" s="4">
        <f>'D4 Gallon Forecast'!W27</f>
        <v>8495230649.2937317</v>
      </c>
      <c r="X4" s="4">
        <f>'D4 Gallon Forecast'!X27</f>
        <v>8908934059.8601837</v>
      </c>
      <c r="Y4" s="4">
        <f>'D4 Gallon Forecast'!Y27</f>
        <v>9166521189.9269791</v>
      </c>
      <c r="Z4" s="4">
        <f>'D4 Gallon Forecast'!Z27</f>
        <v>10058858624.274889</v>
      </c>
      <c r="AA4" s="4">
        <f>'D4 Gallon Forecast'!AA27</f>
        <v>10580853756.067358</v>
      </c>
      <c r="AB4" s="4">
        <f>'D4 Gallon Forecast'!AB27</f>
        <v>11397186794.113491</v>
      </c>
      <c r="AC4" s="4">
        <f>'D4 Gallon Forecast'!AC27</f>
        <v>12387382568.746052</v>
      </c>
      <c r="AD4" s="4">
        <f>'D4 Gallon Forecast'!AD27</f>
        <v>13567006817.155287</v>
      </c>
      <c r="AF4" s="3">
        <f>P8-O8</f>
        <v>929986173</v>
      </c>
      <c r="AG4" s="82" t="s">
        <v>177</v>
      </c>
    </row>
    <row r="5" spans="1:33">
      <c r="A5" s="83" t="s">
        <v>178</v>
      </c>
      <c r="B5" s="3">
        <f>'D5 Gallon Forecast'!B28</f>
        <v>19233282</v>
      </c>
      <c r="C5" s="3">
        <f>'D5 Gallon Forecast'!C28</f>
        <v>215755059</v>
      </c>
      <c r="D5" s="3">
        <f>'D5 Gallon Forecast'!D28</f>
        <v>618671889</v>
      </c>
      <c r="E5" s="3">
        <f>'D5 Gallon Forecast'!E28</f>
        <v>527775069</v>
      </c>
      <c r="F5" s="3">
        <f>'D5 Gallon Forecast'!F28</f>
        <v>131427352</v>
      </c>
      <c r="G5" s="3">
        <f>'D5 Gallon Forecast'!G28</f>
        <v>135291787</v>
      </c>
      <c r="H5" s="3">
        <f>'D5 Gallon Forecast'!H28</f>
        <v>85201935</v>
      </c>
      <c r="I5" s="3">
        <f>'D5 Gallon Forecast'!I28</f>
        <v>128800020</v>
      </c>
      <c r="J5" s="3">
        <f>'D5 Gallon Forecast'!J28</f>
        <v>150976112</v>
      </c>
      <c r="K5" s="3">
        <f>'D5 Gallon Forecast'!K28</f>
        <v>284667030</v>
      </c>
      <c r="L5" s="3">
        <f>'D5 Gallon Forecast'!L28</f>
        <v>287574491</v>
      </c>
      <c r="M5" s="3">
        <f>'D5 Gallon Forecast'!M28</f>
        <v>178038588</v>
      </c>
      <c r="N5" s="3">
        <f>'D5 Gallon Forecast'!N28</f>
        <v>256398192</v>
      </c>
      <c r="O5" s="3">
        <f>'D5 Gallon Forecast'!O28</f>
        <v>184397469</v>
      </c>
      <c r="P5" s="4">
        <f>'D5 Gallon Forecast'!P28</f>
        <v>164671255</v>
      </c>
      <c r="Q5" s="4">
        <f>'D5 Gallon Forecast'!Q28</f>
        <v>187865954</v>
      </c>
      <c r="R5" s="4">
        <f>'D5 Gallon Forecast'!R28</f>
        <v>213000000</v>
      </c>
      <c r="S5" s="4">
        <f>'D5 Gallon Forecast'!S28</f>
        <v>234750000</v>
      </c>
      <c r="T5" s="4">
        <f>'D5 Gallon Forecast'!T28</f>
        <v>246750000</v>
      </c>
      <c r="U5" s="4">
        <f>'D5 Gallon Forecast'!U28</f>
        <v>260000000</v>
      </c>
      <c r="V5" s="4">
        <f>'D5 Gallon Forecast'!V28</f>
        <v>280000000</v>
      </c>
      <c r="W5" s="4">
        <f>'D5 Gallon Forecast'!W28</f>
        <v>300000000</v>
      </c>
      <c r="X5" s="4">
        <f>'D5 Gallon Forecast'!X28</f>
        <v>310000000</v>
      </c>
      <c r="Y5" s="4">
        <f>'D5 Gallon Forecast'!Y28</f>
        <v>325000000</v>
      </c>
      <c r="Z5" s="4">
        <f>'D5 Gallon Forecast'!Z28</f>
        <v>340000000</v>
      </c>
      <c r="AA5" s="4">
        <f>'D5 Gallon Forecast'!AA28</f>
        <v>360500000</v>
      </c>
      <c r="AB5" s="4">
        <f>'D5 Gallon Forecast'!AB28</f>
        <v>380000000</v>
      </c>
      <c r="AC5" s="4">
        <f>'D5 Gallon Forecast'!AC28</f>
        <v>400000000</v>
      </c>
      <c r="AD5" s="4">
        <f>'D5 Gallon Forecast'!AD28</f>
        <v>425000000</v>
      </c>
      <c r="AF5" s="84">
        <f>P8/AVERAGE(K8:O8)-1</f>
        <v>0.16814734689198585</v>
      </c>
      <c r="AG5" s="82" t="s">
        <v>179</v>
      </c>
    </row>
    <row r="6" spans="1:33">
      <c r="A6" s="2" t="s">
        <v>180</v>
      </c>
      <c r="B6" s="3">
        <f>'D6 Gallon Forecast'!B23</f>
        <v>6789828018</v>
      </c>
      <c r="C6" s="3">
        <f>'D6 Gallon Forecast'!C23</f>
        <v>13613229503</v>
      </c>
      <c r="D6" s="3">
        <f>'D6 Gallon Forecast'!D23</f>
        <v>12987468760</v>
      </c>
      <c r="E6" s="3">
        <f>'D6 Gallon Forecast'!E23</f>
        <v>13251265535</v>
      </c>
      <c r="F6" s="3">
        <f>'D6 Gallon Forecast'!F23</f>
        <v>14226497803</v>
      </c>
      <c r="G6" s="3">
        <f>'D6 Gallon Forecast'!G23</f>
        <v>14668303446</v>
      </c>
      <c r="H6" s="3">
        <f>'D6 Gallon Forecast'!H23</f>
        <v>15003278197</v>
      </c>
      <c r="I6" s="3">
        <f>'D6 Gallon Forecast'!I23</f>
        <v>15008327443</v>
      </c>
      <c r="J6" s="3">
        <f>'D6 Gallon Forecast'!J23</f>
        <v>15074084106</v>
      </c>
      <c r="K6" s="3">
        <f>'D6 Gallon Forecast'!K23</f>
        <v>14846758241</v>
      </c>
      <c r="L6" s="3">
        <f>'D6 Gallon Forecast'!L23</f>
        <v>12933461982</v>
      </c>
      <c r="M6" s="3">
        <f>'D6 Gallon Forecast'!M23</f>
        <v>14202821885</v>
      </c>
      <c r="N6" s="3">
        <f>'D6 Gallon Forecast'!N23</f>
        <v>14498466195</v>
      </c>
      <c r="O6" s="3">
        <f>'D6 Gallon Forecast'!O23</f>
        <v>14773865497</v>
      </c>
      <c r="P6" s="4">
        <f>'D6 Gallon Forecast'!P23</f>
        <v>14885505634</v>
      </c>
      <c r="Q6" s="4">
        <f>'D6 Gallon Forecast'!Q23</f>
        <v>14602831599.552595</v>
      </c>
      <c r="R6" s="4">
        <f>'D6 Gallon Forecast'!R23</f>
        <v>14699014263.942829</v>
      </c>
      <c r="S6" s="4">
        <f>'D6 Gallon Forecast'!S23</f>
        <v>14832029342.777452</v>
      </c>
      <c r="T6" s="4">
        <f>'D6 Gallon Forecast'!T23</f>
        <v>14978958331.122877</v>
      </c>
      <c r="U6" s="4">
        <f>'D6 Gallon Forecast'!U23</f>
        <v>15091118782.526659</v>
      </c>
      <c r="V6" s="4">
        <f>'D6 Gallon Forecast'!V23</f>
        <v>15190058069.752506</v>
      </c>
      <c r="W6" s="4">
        <f>'D6 Gallon Forecast'!W23</f>
        <v>15350721872.939346</v>
      </c>
      <c r="X6" s="4">
        <f>'D6 Gallon Forecast'!X23</f>
        <v>15464008341.334599</v>
      </c>
      <c r="Y6" s="4">
        <f>'D6 Gallon Forecast'!Y23</f>
        <v>15593145331.103626</v>
      </c>
      <c r="Z6" s="4">
        <f>'D6 Gallon Forecast'!Z23</f>
        <v>15718783583.974474</v>
      </c>
      <c r="AA6" s="4">
        <f>'D6 Gallon Forecast'!AA23</f>
        <v>15847393691.69767</v>
      </c>
      <c r="AB6" s="4">
        <f>'D6 Gallon Forecast'!AB23</f>
        <v>15981234109.402918</v>
      </c>
      <c r="AC6" s="4">
        <f>'D6 Gallon Forecast'!AC23</f>
        <v>16110780255.98089</v>
      </c>
      <c r="AD6" s="4">
        <f>'D6 Gallon Forecast'!AD23</f>
        <v>16244126462.02634</v>
      </c>
    </row>
    <row r="7" spans="1:33">
      <c r="A7" s="2" t="s">
        <v>181</v>
      </c>
      <c r="B7" s="3">
        <f>'D7 Gallon Forecast'!B13</f>
        <v>0</v>
      </c>
      <c r="C7" s="3">
        <f>'D7 Gallon Forecast'!C13</f>
        <v>0</v>
      </c>
      <c r="D7" s="3">
        <f>'D7 Gallon Forecast'!D13</f>
        <v>1024</v>
      </c>
      <c r="E7" s="3">
        <f>'D7 Gallon Forecast'!E13</f>
        <v>232808</v>
      </c>
      <c r="F7" s="3">
        <f>'D7 Gallon Forecast'!F13</f>
        <v>55657</v>
      </c>
      <c r="G7" s="3">
        <f>'D7 Gallon Forecast'!G13</f>
        <v>275315</v>
      </c>
      <c r="H7" s="3">
        <f>'D7 Gallon Forecast'!H13</f>
        <v>534429</v>
      </c>
      <c r="I7" s="3">
        <f>'D7 Gallon Forecast'!I13</f>
        <v>1743705</v>
      </c>
      <c r="J7" s="3">
        <f>'D7 Gallon Forecast'!J13</f>
        <v>2446620</v>
      </c>
      <c r="K7" s="3">
        <f>'D7 Gallon Forecast'!K13</f>
        <v>1315943</v>
      </c>
      <c r="L7" s="3">
        <f>'D7 Gallon Forecast'!L13</f>
        <v>55892</v>
      </c>
      <c r="M7" s="3">
        <f>'D7 Gallon Forecast'!M13</f>
        <v>247518</v>
      </c>
      <c r="N7" s="3">
        <f>'D7 Gallon Forecast'!N13</f>
        <v>236352</v>
      </c>
      <c r="O7" s="3">
        <f>'D7 Gallon Forecast'!O13</f>
        <v>208643</v>
      </c>
      <c r="P7" s="4">
        <f>'D7 Gallon Forecast'!P13</f>
        <v>227964</v>
      </c>
      <c r="Q7" s="4">
        <f>'D7 Gallon Forecast'!Q13</f>
        <v>217771.19999998808</v>
      </c>
      <c r="R7" s="4">
        <f>'D7 Gallon Forecast'!R13</f>
        <v>271325.86666665971</v>
      </c>
      <c r="S7" s="4">
        <f>'D7 Gallon Forecast'!S13</f>
        <v>243190.80444443412</v>
      </c>
      <c r="T7" s="4">
        <f>'D7 Gallon Forecast'!T13</f>
        <v>255412.79407405853</v>
      </c>
      <c r="U7" s="4">
        <f>'D7 Gallon Forecast'!U13</f>
        <v>270693.01590121537</v>
      </c>
      <c r="V7" s="4">
        <f>'D7 Gallon Forecast'!V13</f>
        <v>277569.76013166457</v>
      </c>
      <c r="W7" s="4">
        <f>'D7 Gallon Forecast'!W13</f>
        <v>286925.53066883609</v>
      </c>
      <c r="X7" s="4">
        <f>'D7 Gallon Forecast'!X13</f>
        <v>287161.16953778453</v>
      </c>
      <c r="Y7" s="4">
        <f>'D7 Gallon Forecast'!Y13</f>
        <v>302285.52374114841</v>
      </c>
      <c r="Z7" s="4">
        <f>'D7 Gallon Forecast'!Z13</f>
        <v>309320.35365401767</v>
      </c>
      <c r="AA7" s="4">
        <f>'D7 Gallon Forecast'!AA13</f>
        <v>315744.52078525163</v>
      </c>
      <c r="AB7" s="4">
        <f>'D7 Gallon Forecast'!AB13</f>
        <v>323819.40572913364</v>
      </c>
      <c r="AC7" s="4">
        <f>'D7 Gallon Forecast'!AC13</f>
        <v>331934.84324837103</v>
      </c>
      <c r="AD7" s="4">
        <f>'D7 Gallon Forecast'!AD13</f>
        <v>341200.38761409745</v>
      </c>
    </row>
    <row r="8" spans="1:33" ht="15.75" thickBot="1">
      <c r="A8" s="85" t="s">
        <v>182</v>
      </c>
      <c r="B8" s="86">
        <f>SUM(B3:B7)</f>
        <v>7024464213</v>
      </c>
      <c r="C8" s="86">
        <f t="shared" ref="C8:L8" si="0">SUM(C3:C7)</f>
        <v>14951683755</v>
      </c>
      <c r="D8" s="86">
        <f t="shared" si="0"/>
        <v>14753060919</v>
      </c>
      <c r="E8" s="86">
        <f t="shared" si="0"/>
        <v>15573860100</v>
      </c>
      <c r="F8" s="86">
        <f t="shared" si="0"/>
        <v>16154761117</v>
      </c>
      <c r="G8" s="86">
        <f t="shared" si="0"/>
        <v>16769028662</v>
      </c>
      <c r="H8" s="86">
        <f t="shared" si="0"/>
        <v>17897403332</v>
      </c>
      <c r="I8" s="86">
        <f t="shared" si="0"/>
        <v>17894840428</v>
      </c>
      <c r="J8" s="86">
        <f t="shared" si="0"/>
        <v>18057159728</v>
      </c>
      <c r="K8" s="86">
        <f t="shared" si="0"/>
        <v>18209664519</v>
      </c>
      <c r="L8" s="86">
        <f t="shared" si="0"/>
        <v>16608068795</v>
      </c>
      <c r="M8" s="86">
        <f>SUM(M3:M7)</f>
        <v>18042851408</v>
      </c>
      <c r="N8" s="86">
        <f>SUM(N3:N7)</f>
        <v>19051246617</v>
      </c>
      <c r="O8" s="86">
        <f t="shared" ref="O8:AD8" si="1">SUM(O3:O7)</f>
        <v>20708960210</v>
      </c>
      <c r="P8" s="87">
        <f t="shared" si="1"/>
        <v>21638946383</v>
      </c>
      <c r="Q8" s="87">
        <f t="shared" si="1"/>
        <v>20266950286.259281</v>
      </c>
      <c r="R8" s="87">
        <f t="shared" si="1"/>
        <v>20726255839.822002</v>
      </c>
      <c r="S8" s="87">
        <f t="shared" si="1"/>
        <v>22027205281.632751</v>
      </c>
      <c r="T8" s="87">
        <f t="shared" si="1"/>
        <v>22418614152.505463</v>
      </c>
      <c r="U8" s="87">
        <f t="shared" si="1"/>
        <v>23338347707.364113</v>
      </c>
      <c r="V8" s="87">
        <f t="shared" si="1"/>
        <v>24549874286.507236</v>
      </c>
      <c r="W8" s="87">
        <f t="shared" si="1"/>
        <v>25212713906.832092</v>
      </c>
      <c r="X8" s="87">
        <f t="shared" si="1"/>
        <v>25860369303.670536</v>
      </c>
      <c r="Y8" s="87">
        <f t="shared" si="1"/>
        <v>26442378291.870193</v>
      </c>
      <c r="Z8" s="87">
        <f t="shared" si="1"/>
        <v>27649777598.567139</v>
      </c>
      <c r="AA8" s="87">
        <f t="shared" si="1"/>
        <v>28520940348.978104</v>
      </c>
      <c r="AB8" s="87">
        <f t="shared" si="1"/>
        <v>29737337622.563236</v>
      </c>
      <c r="AC8" s="87">
        <f t="shared" si="1"/>
        <v>31147076026.567974</v>
      </c>
      <c r="AD8" s="87">
        <f t="shared" si="1"/>
        <v>32774864973.203724</v>
      </c>
    </row>
    <row r="9" spans="1:33" ht="15.75" thickTop="1">
      <c r="A9" s="2" t="s">
        <v>183</v>
      </c>
      <c r="B9" s="3"/>
      <c r="C9" s="3">
        <f>'[1]RVO Forecast'!B$8</f>
        <v>13950000000</v>
      </c>
      <c r="D9" s="3">
        <f>'[1]RVO Forecast'!C$8</f>
        <v>15200000000</v>
      </c>
      <c r="E9" s="3">
        <f>'[1]RVO Forecast'!D$8</f>
        <v>16550000000</v>
      </c>
      <c r="F9" s="3">
        <f>'[1]RVO Forecast'!E$8</f>
        <v>16280000000</v>
      </c>
      <c r="G9" s="3">
        <f>'[1]RVO Forecast'!F$8</f>
        <v>16930000000</v>
      </c>
      <c r="H9" s="3">
        <f>'[1]RVO Forecast'!G$8</f>
        <v>18110000000</v>
      </c>
      <c r="I9" s="3">
        <f>'[1]RVO Forecast'!H$8</f>
        <v>19280000000</v>
      </c>
      <c r="J9" s="3">
        <f>'[1]RVO Forecast'!I$8</f>
        <v>19290000000</v>
      </c>
      <c r="K9" s="3">
        <f>'[1]RVO Forecast'!J$8</f>
        <v>19920000000</v>
      </c>
      <c r="L9" s="3">
        <f>'[1]RVO Forecast'!K$8</f>
        <v>17129999999.999998</v>
      </c>
      <c r="M9" s="3">
        <f>'[1]RVO Forecast'!L$8</f>
        <v>18840000000</v>
      </c>
      <c r="N9" s="3">
        <f>'[1]RVO Forecast'!M$8</f>
        <v>20630000000</v>
      </c>
      <c r="O9" s="3">
        <f>'[1]RVO Forecast'!N$8</f>
        <v>20940000000</v>
      </c>
      <c r="P9" s="3">
        <f>'[1]RVO Forecast'!O$8</f>
        <v>21540000000</v>
      </c>
      <c r="Q9" s="3">
        <f>'[1]RVO Forecast'!P$8</f>
        <v>22330000000</v>
      </c>
      <c r="R9" s="3">
        <f>'[1]RVO Forecast'!Q$8</f>
        <v>23250000000</v>
      </c>
      <c r="S9" s="3">
        <f>'[1]RVO Forecast'!R$8</f>
        <v>24250000000</v>
      </c>
      <c r="T9" s="3">
        <f>'[1]RVO Forecast'!S$8</f>
        <v>25250000000</v>
      </c>
      <c r="U9" s="3">
        <f>'[1]RVO Forecast'!T$8</f>
        <v>26500000000</v>
      </c>
      <c r="V9" s="3">
        <f>'[1]RVO Forecast'!U$8</f>
        <v>27600000000</v>
      </c>
      <c r="W9" s="3">
        <f>'[1]RVO Forecast'!V$8</f>
        <v>28700000000</v>
      </c>
      <c r="X9" s="3">
        <f>'[1]RVO Forecast'!W$8</f>
        <v>29800000000</v>
      </c>
      <c r="Y9" s="3">
        <f>'[1]RVO Forecast'!X$8</f>
        <v>30900000000</v>
      </c>
      <c r="Z9" s="3">
        <f>'[1]RVO Forecast'!Y$8</f>
        <v>32000000000</v>
      </c>
      <c r="AA9" s="3">
        <f>'[1]RVO Forecast'!Z$8</f>
        <v>33100000000</v>
      </c>
      <c r="AB9" s="3">
        <f>'[1]RVO Forecast'!AA$8</f>
        <v>34200000000.000004</v>
      </c>
      <c r="AC9" s="3">
        <f>'[1]RVO Forecast'!AB$8</f>
        <v>35300000000</v>
      </c>
      <c r="AD9" s="3">
        <f>'[1]RVO Forecast'!AC$8</f>
        <v>36400000000</v>
      </c>
    </row>
    <row r="11" spans="1:33" ht="18.75" thickBot="1">
      <c r="A11" s="78" t="s">
        <v>184</v>
      </c>
    </row>
    <row r="12" spans="1:33">
      <c r="A12" s="88"/>
      <c r="B12" s="89">
        <v>2010</v>
      </c>
      <c r="C12" s="89">
        <v>2011</v>
      </c>
      <c r="D12" s="89">
        <v>2012</v>
      </c>
      <c r="E12" s="89">
        <v>2013</v>
      </c>
      <c r="F12" s="89">
        <v>2014</v>
      </c>
      <c r="G12" s="89">
        <v>2015</v>
      </c>
      <c r="H12" s="89">
        <v>2016</v>
      </c>
      <c r="I12" s="89">
        <v>2017</v>
      </c>
      <c r="J12" s="89">
        <v>2018</v>
      </c>
      <c r="K12" s="89">
        <v>2019</v>
      </c>
      <c r="L12" s="89">
        <v>2020</v>
      </c>
      <c r="M12" s="89">
        <v>2021</v>
      </c>
      <c r="N12" s="89">
        <v>2022</v>
      </c>
      <c r="O12" s="89">
        <v>2023</v>
      </c>
      <c r="P12" s="89">
        <v>2024</v>
      </c>
      <c r="Q12" s="89">
        <v>2025</v>
      </c>
      <c r="R12" s="89">
        <v>2026</v>
      </c>
      <c r="S12" s="89">
        <v>2027</v>
      </c>
      <c r="T12" s="89">
        <v>2028</v>
      </c>
      <c r="U12" s="89">
        <v>2029</v>
      </c>
      <c r="V12" s="89">
        <v>2030</v>
      </c>
      <c r="W12" s="89">
        <v>2031</v>
      </c>
      <c r="X12" s="89">
        <v>2032</v>
      </c>
      <c r="Y12" s="89">
        <v>2033</v>
      </c>
      <c r="Z12" s="89">
        <v>2034</v>
      </c>
      <c r="AA12" s="89">
        <v>2035</v>
      </c>
      <c r="AB12" s="89">
        <v>2036</v>
      </c>
      <c r="AC12" s="89">
        <v>2037</v>
      </c>
      <c r="AD12" s="89">
        <v>2038</v>
      </c>
    </row>
    <row r="13" spans="1:33">
      <c r="A13" s="2" t="s">
        <v>174</v>
      </c>
      <c r="B13" s="3">
        <f>SUM(B14:B17)</f>
        <v>0</v>
      </c>
      <c r="C13" s="3">
        <f t="shared" ref="C13:L13" si="2">SUM(C14:C17)</f>
        <v>0</v>
      </c>
      <c r="D13" s="3">
        <f t="shared" si="2"/>
        <v>20069</v>
      </c>
      <c r="E13" s="3">
        <f t="shared" si="2"/>
        <v>281819</v>
      </c>
      <c r="F13" s="3">
        <f t="shared" si="2"/>
        <v>33345837</v>
      </c>
      <c r="G13" s="3">
        <f t="shared" si="2"/>
        <v>142040241</v>
      </c>
      <c r="H13" s="3">
        <f t="shared" si="2"/>
        <v>192361795</v>
      </c>
      <c r="I13" s="3">
        <f t="shared" si="2"/>
        <v>250624473</v>
      </c>
      <c r="J13" s="3">
        <f t="shared" si="2"/>
        <v>312348198</v>
      </c>
      <c r="K13" s="3">
        <f t="shared" si="2"/>
        <v>414122810</v>
      </c>
      <c r="L13" s="3">
        <f t="shared" si="2"/>
        <v>505872211</v>
      </c>
      <c r="M13" s="3">
        <f>SUM(M14:M17)</f>
        <v>568414154</v>
      </c>
      <c r="N13" s="3">
        <f>SUM(N14:N17)</f>
        <v>668618747</v>
      </c>
      <c r="O13" s="3">
        <f t="shared" ref="O13:AD13" si="3">SUM(O14:O17)</f>
        <v>774731508</v>
      </c>
      <c r="P13" s="4">
        <f t="shared" si="3"/>
        <v>921163090</v>
      </c>
      <c r="Q13" s="4">
        <f t="shared" si="3"/>
        <v>642893076.81687927</v>
      </c>
      <c r="R13" s="4">
        <f t="shared" si="3"/>
        <v>772558826.29679656</v>
      </c>
      <c r="S13" s="4">
        <f t="shared" si="3"/>
        <v>775384939.27208924</v>
      </c>
      <c r="T13" s="4">
        <f t="shared" si="3"/>
        <v>822873120.59585667</v>
      </c>
      <c r="U13" s="4">
        <f t="shared" si="3"/>
        <v>889247611.70624554</v>
      </c>
      <c r="V13" s="4">
        <f t="shared" si="3"/>
        <v>1002672360.7283525</v>
      </c>
      <c r="W13" s="4">
        <f t="shared" si="3"/>
        <v>1066474459.0683435</v>
      </c>
      <c r="X13" s="4">
        <f t="shared" si="3"/>
        <v>1177139741.306216</v>
      </c>
      <c r="Y13" s="4">
        <f t="shared" si="3"/>
        <v>1357409485.3158479</v>
      </c>
      <c r="Z13" s="4">
        <f t="shared" si="3"/>
        <v>1531826069.9641216</v>
      </c>
      <c r="AA13" s="4">
        <f t="shared" si="3"/>
        <v>1731877156.6922889</v>
      </c>
      <c r="AB13" s="4">
        <f t="shared" si="3"/>
        <v>1978592899.6411026</v>
      </c>
      <c r="AC13" s="4">
        <f t="shared" si="3"/>
        <v>2248581266.9977798</v>
      </c>
      <c r="AD13" s="4">
        <f t="shared" si="3"/>
        <v>2538390493.6344814</v>
      </c>
    </row>
    <row r="14" spans="1:33">
      <c r="A14" s="2" t="s">
        <v>185</v>
      </c>
      <c r="B14" s="3">
        <f>'D3 Gallon Forecast'!B3</f>
        <v>0</v>
      </c>
      <c r="C14" s="3">
        <f>'D3 Gallon Forecast'!C3</f>
        <v>0</v>
      </c>
      <c r="D14" s="3">
        <f>'D3 Gallon Forecast'!D3</f>
        <v>20069</v>
      </c>
      <c r="E14" s="3">
        <f>'D3 Gallon Forecast'!E3</f>
        <v>0</v>
      </c>
      <c r="F14" s="3">
        <f>'D3 Gallon Forecast'!F3</f>
        <v>728509</v>
      </c>
      <c r="G14" s="3">
        <f>'D3 Gallon Forecast'!G3</f>
        <v>2181096</v>
      </c>
      <c r="H14" s="3">
        <f>'D3 Gallon Forecast'!H3</f>
        <v>3805246</v>
      </c>
      <c r="I14" s="3">
        <f>'D3 Gallon Forecast'!I3</f>
        <v>10047034</v>
      </c>
      <c r="J14" s="3">
        <f>'D3 Gallon Forecast'!J3</f>
        <v>8158168</v>
      </c>
      <c r="K14" s="3">
        <f>'D3 Gallon Forecast'!K3</f>
        <v>9815841</v>
      </c>
      <c r="L14" s="3">
        <f>'D3 Gallon Forecast'!L3</f>
        <v>2051172</v>
      </c>
      <c r="M14" s="3">
        <f>'D3 Gallon Forecast'!M3</f>
        <v>585099</v>
      </c>
      <c r="N14" s="3">
        <f>'D3 Gallon Forecast'!N3</f>
        <v>1396503</v>
      </c>
      <c r="O14" s="3">
        <f>'D3 Gallon Forecast'!O3</f>
        <v>1294545</v>
      </c>
      <c r="P14" s="4">
        <f>'D3 Gallon Forecast'!P3</f>
        <v>43263342</v>
      </c>
      <c r="Q14" s="4">
        <f>'D3 Gallon Forecast'!Q3</f>
        <v>108893076.81687927</v>
      </c>
      <c r="R14" s="4">
        <f>'D3 Gallon Forecast'!R3</f>
        <v>119558826.29679656</v>
      </c>
      <c r="S14" s="4">
        <f>'D3 Gallon Forecast'!S3</f>
        <v>131184939.27208924</v>
      </c>
      <c r="T14" s="4">
        <f>'D3 Gallon Forecast'!T3</f>
        <v>136873120.59585667</v>
      </c>
      <c r="U14" s="4">
        <f>'D3 Gallon Forecast'!U3</f>
        <v>137247611.70624554</v>
      </c>
      <c r="V14" s="4">
        <f>'D3 Gallon Forecast'!V3</f>
        <v>140672360.72835255</v>
      </c>
      <c r="W14" s="4">
        <f>'D3 Gallon Forecast'!W3</f>
        <v>145474459.06834352</v>
      </c>
      <c r="X14" s="4">
        <f>'D3 Gallon Forecast'!X3</f>
        <v>159139741.306216</v>
      </c>
      <c r="Y14" s="4">
        <f>'D3 Gallon Forecast'!Y3</f>
        <v>182409485.31584787</v>
      </c>
      <c r="Z14" s="4">
        <f>'D3 Gallon Forecast'!Z3</f>
        <v>212826069.96412158</v>
      </c>
      <c r="AA14" s="4">
        <f>'D3 Gallon Forecast'!AA3</f>
        <v>236877156.69228888</v>
      </c>
      <c r="AB14" s="4">
        <f>'D3 Gallon Forecast'!AB3</f>
        <v>270592899.64110255</v>
      </c>
      <c r="AC14" s="4">
        <f>'D3 Gallon Forecast'!AC3</f>
        <v>306581266.99777985</v>
      </c>
      <c r="AD14" s="4">
        <f>'D3 Gallon Forecast'!AD3</f>
        <v>346390493.63448143</v>
      </c>
    </row>
    <row r="15" spans="1:33">
      <c r="A15" s="2" t="s">
        <v>186</v>
      </c>
      <c r="B15" s="3">
        <f>'D3 Gallon Forecast'!B6</f>
        <v>0</v>
      </c>
      <c r="C15" s="3">
        <f>'D3 Gallon Forecast'!C6</f>
        <v>0</v>
      </c>
      <c r="D15" s="3">
        <f>'D3 Gallon Forecast'!D6</f>
        <v>0</v>
      </c>
      <c r="E15" s="3">
        <f>'D3 Gallon Forecast'!E6</f>
        <v>0</v>
      </c>
      <c r="F15" s="3">
        <f>'D3 Gallon Forecast'!F6</f>
        <v>15208068</v>
      </c>
      <c r="G15" s="3">
        <f>'D3 Gallon Forecast'!G6</f>
        <v>81490266</v>
      </c>
      <c r="H15" s="3">
        <f>'D3 Gallon Forecast'!H6</f>
        <v>116582508</v>
      </c>
      <c r="I15" s="3">
        <f>'D3 Gallon Forecast'!I6</f>
        <v>157100756</v>
      </c>
      <c r="J15" s="3">
        <f>'D3 Gallon Forecast'!J6</f>
        <v>221510255</v>
      </c>
      <c r="K15" s="3">
        <f>'D3 Gallon Forecast'!K6</f>
        <v>328054595</v>
      </c>
      <c r="L15" s="3">
        <f>'D3 Gallon Forecast'!L6</f>
        <v>412276935</v>
      </c>
      <c r="M15" s="3">
        <f>'D3 Gallon Forecast'!M6</f>
        <v>483723044</v>
      </c>
      <c r="N15" s="3">
        <f>'D3 Gallon Forecast'!N6</f>
        <v>576704400</v>
      </c>
      <c r="O15" s="3">
        <f>'D3 Gallon Forecast'!O6</f>
        <v>687948873</v>
      </c>
      <c r="P15" s="4">
        <f>'D3 Gallon Forecast'!P6</f>
        <v>803554679</v>
      </c>
      <c r="Q15" s="4">
        <f>'D3 Gallon Forecast'!Q6</f>
        <v>454000000</v>
      </c>
      <c r="R15" s="4">
        <f>'D3 Gallon Forecast'!R6</f>
        <v>623000000</v>
      </c>
      <c r="S15" s="4">
        <f>'D3 Gallon Forecast'!S6</f>
        <v>620000000</v>
      </c>
      <c r="T15" s="4">
        <f>'D3 Gallon Forecast'!T6</f>
        <v>624000000</v>
      </c>
      <c r="U15" s="4">
        <f>'D3 Gallon Forecast'!U6</f>
        <v>691000000</v>
      </c>
      <c r="V15" s="4">
        <f>'D3 Gallon Forecast'!V6</f>
        <v>796000000</v>
      </c>
      <c r="W15" s="4">
        <f>'D3 Gallon Forecast'!W6</f>
        <v>860000000</v>
      </c>
      <c r="X15" s="4">
        <f>'D3 Gallon Forecast'!X6</f>
        <v>947000000</v>
      </c>
      <c r="Y15" s="4">
        <f>'D3 Gallon Forecast'!Y6</f>
        <v>1087000000</v>
      </c>
      <c r="Z15" s="4">
        <f>'D3 Gallon Forecast'!Z6</f>
        <v>1222000000</v>
      </c>
      <c r="AA15" s="4">
        <f>'D3 Gallon Forecast'!AA6</f>
        <v>1387000000</v>
      </c>
      <c r="AB15" s="4">
        <f>'D3 Gallon Forecast'!AB6</f>
        <v>1586000000</v>
      </c>
      <c r="AC15" s="4">
        <f>'D3 Gallon Forecast'!AC6</f>
        <v>1801000000</v>
      </c>
      <c r="AD15" s="4">
        <f>'D3 Gallon Forecast'!AD6</f>
        <v>2032000000</v>
      </c>
    </row>
    <row r="16" spans="1:33">
      <c r="A16" s="2" t="s">
        <v>187</v>
      </c>
      <c r="B16" s="3">
        <f>'D3 Gallon Forecast'!B9</f>
        <v>0</v>
      </c>
      <c r="C16" s="3">
        <f>'D3 Gallon Forecast'!C9</f>
        <v>0</v>
      </c>
      <c r="D16" s="3">
        <f>'D3 Gallon Forecast'!D9</f>
        <v>0</v>
      </c>
      <c r="E16" s="3">
        <f>'D3 Gallon Forecast'!E9</f>
        <v>0</v>
      </c>
      <c r="F16" s="3">
        <f>'D3 Gallon Forecast'!F9</f>
        <v>17379815</v>
      </c>
      <c r="G16" s="3">
        <f>'D3 Gallon Forecast'!G9</f>
        <v>58368879</v>
      </c>
      <c r="H16" s="3">
        <f>'D3 Gallon Forecast'!H9</f>
        <v>71974041</v>
      </c>
      <c r="I16" s="3">
        <f>'D3 Gallon Forecast'!I9</f>
        <v>83476683</v>
      </c>
      <c r="J16" s="3">
        <f>'D3 Gallon Forecast'!J9</f>
        <v>82679775</v>
      </c>
      <c r="K16" s="3">
        <f>'D3 Gallon Forecast'!K9</f>
        <v>76252374</v>
      </c>
      <c r="L16" s="3">
        <f>'D3 Gallon Forecast'!L9</f>
        <v>91544104</v>
      </c>
      <c r="M16" s="3">
        <f>'D3 Gallon Forecast'!M9</f>
        <v>84106011</v>
      </c>
      <c r="N16" s="3">
        <f>'D3 Gallon Forecast'!N9</f>
        <v>90517844</v>
      </c>
      <c r="O16" s="3">
        <f>'D3 Gallon Forecast'!O9</f>
        <v>85488090</v>
      </c>
      <c r="P16" s="4">
        <f>'D3 Gallon Forecast'!P9</f>
        <v>74345069</v>
      </c>
      <c r="Q16" s="4">
        <f>'D3 Gallon Forecast'!Q9</f>
        <v>80000000</v>
      </c>
      <c r="R16" s="4">
        <f>'D3 Gallon Forecast'!R9</f>
        <v>30000000</v>
      </c>
      <c r="S16" s="4">
        <f>'D3 Gallon Forecast'!S9</f>
        <v>24200000</v>
      </c>
      <c r="T16" s="4">
        <f>'D3 Gallon Forecast'!T9</f>
        <v>62000000</v>
      </c>
      <c r="U16" s="4">
        <f>'D3 Gallon Forecast'!U9</f>
        <v>61000000</v>
      </c>
      <c r="V16" s="4">
        <f>'D3 Gallon Forecast'!V9</f>
        <v>66000000</v>
      </c>
      <c r="W16" s="4">
        <f>'D3 Gallon Forecast'!W9</f>
        <v>61000000</v>
      </c>
      <c r="X16" s="4">
        <f>'D3 Gallon Forecast'!X9</f>
        <v>71000000</v>
      </c>
      <c r="Y16" s="4">
        <f>'D3 Gallon Forecast'!Y9</f>
        <v>88000000</v>
      </c>
      <c r="Z16" s="4">
        <f>'D3 Gallon Forecast'!Z9</f>
        <v>97000000</v>
      </c>
      <c r="AA16" s="4">
        <f>'D3 Gallon Forecast'!AA9</f>
        <v>108000000</v>
      </c>
      <c r="AB16" s="4">
        <f>'D3 Gallon Forecast'!AB9</f>
        <v>122000000</v>
      </c>
      <c r="AC16" s="4">
        <f>'D3 Gallon Forecast'!AC9</f>
        <v>141000000</v>
      </c>
      <c r="AD16" s="4">
        <f>'D3 Gallon Forecast'!AD9</f>
        <v>160000000</v>
      </c>
    </row>
    <row r="17" spans="1:30" ht="15.75" thickBot="1">
      <c r="A17" s="2" t="s">
        <v>188</v>
      </c>
      <c r="B17" s="3">
        <f>'D3 Gallon Forecast'!B12</f>
        <v>0</v>
      </c>
      <c r="C17" s="3">
        <f>'D3 Gallon Forecast'!C12</f>
        <v>0</v>
      </c>
      <c r="D17" s="3">
        <f>'D3 Gallon Forecast'!D12</f>
        <v>0</v>
      </c>
      <c r="E17" s="3">
        <f>'D3 Gallon Forecast'!E12</f>
        <v>281819</v>
      </c>
      <c r="F17" s="3">
        <f>'D3 Gallon Forecast'!F12</f>
        <v>29445</v>
      </c>
      <c r="G17" s="3">
        <f>'D3 Gallon Forecast'!G12</f>
        <v>0</v>
      </c>
      <c r="H17" s="3">
        <f>'D3 Gallon Forecast'!H12</f>
        <v>0</v>
      </c>
      <c r="I17" s="3">
        <f>'D3 Gallon Forecast'!I12</f>
        <v>0</v>
      </c>
      <c r="J17" s="3">
        <f>'D3 Gallon Forecast'!J12</f>
        <v>0</v>
      </c>
      <c r="K17" s="3">
        <f>'D3 Gallon Forecast'!K12</f>
        <v>0</v>
      </c>
      <c r="L17" s="3">
        <f>'D3 Gallon Forecast'!L12</f>
        <v>0</v>
      </c>
      <c r="M17" s="3">
        <f>'D3 Gallon Forecast'!M12</f>
        <v>0</v>
      </c>
      <c r="N17" s="3">
        <f>'D3 Gallon Forecast'!N12</f>
        <v>0</v>
      </c>
      <c r="O17" s="3">
        <f>'D3 Gallon Forecast'!O12</f>
        <v>0</v>
      </c>
      <c r="P17" s="4">
        <f>'D3 Gallon Forecast'!P12</f>
        <v>0</v>
      </c>
      <c r="Q17" s="4">
        <f>'D3 Gallon Forecast'!Q12</f>
        <v>0</v>
      </c>
      <c r="R17" s="4">
        <f>'D3 Gallon Forecast'!R12</f>
        <v>0</v>
      </c>
      <c r="S17" s="4">
        <f>'D3 Gallon Forecast'!S12</f>
        <v>0</v>
      </c>
      <c r="T17" s="4">
        <f>'D3 Gallon Forecast'!T12</f>
        <v>0</v>
      </c>
      <c r="U17" s="4">
        <f>'D3 Gallon Forecast'!U12</f>
        <v>0</v>
      </c>
      <c r="V17" s="4">
        <f>'D3 Gallon Forecast'!V12</f>
        <v>0</v>
      </c>
      <c r="W17" s="4">
        <f>'D3 Gallon Forecast'!W12</f>
        <v>0</v>
      </c>
      <c r="X17" s="4">
        <f>'D3 Gallon Forecast'!X12</f>
        <v>0</v>
      </c>
      <c r="Y17" s="4">
        <f>'D3 Gallon Forecast'!Y12</f>
        <v>0</v>
      </c>
      <c r="Z17" s="4">
        <f>'D3 Gallon Forecast'!Z12</f>
        <v>0</v>
      </c>
      <c r="AA17" s="4">
        <f>'D3 Gallon Forecast'!AA12</f>
        <v>0</v>
      </c>
      <c r="AB17" s="4">
        <f>'D3 Gallon Forecast'!AB12</f>
        <v>0</v>
      </c>
      <c r="AC17" s="4">
        <f>'D3 Gallon Forecast'!AC12</f>
        <v>0</v>
      </c>
      <c r="AD17" s="4">
        <f>'D3 Gallon Forecast'!AD12</f>
        <v>0</v>
      </c>
    </row>
    <row r="18" spans="1:30">
      <c r="A18" s="90" t="s">
        <v>176</v>
      </c>
      <c r="B18" s="91">
        <f>SUM(B19:B21)</f>
        <v>215402913</v>
      </c>
      <c r="C18" s="91">
        <f t="shared" ref="C18:L18" si="4">SUM(C19:C21)</f>
        <v>1122699193</v>
      </c>
      <c r="D18" s="91">
        <f t="shared" si="4"/>
        <v>1146899177</v>
      </c>
      <c r="E18" s="91">
        <f t="shared" si="4"/>
        <v>1794304869</v>
      </c>
      <c r="F18" s="91">
        <f t="shared" si="4"/>
        <v>1763434468</v>
      </c>
      <c r="G18" s="91">
        <f t="shared" si="4"/>
        <v>1823117873</v>
      </c>
      <c r="H18" s="91">
        <f t="shared" si="4"/>
        <v>2616026976</v>
      </c>
      <c r="I18" s="91">
        <f t="shared" si="4"/>
        <v>2505344787</v>
      </c>
      <c r="J18" s="91">
        <f t="shared" si="4"/>
        <v>2517304692</v>
      </c>
      <c r="K18" s="91">
        <f t="shared" si="4"/>
        <v>2662795680</v>
      </c>
      <c r="L18" s="91">
        <f t="shared" si="4"/>
        <v>2881098354</v>
      </c>
      <c r="M18" s="91">
        <f>SUM(M19:M21)</f>
        <v>3092933831</v>
      </c>
      <c r="N18" s="91">
        <f>SUM(N19:N21)</f>
        <v>3627183256</v>
      </c>
      <c r="O18" s="91">
        <f t="shared" ref="O18:AD18" si="5">SUM(O19:O21)</f>
        <v>4975001167</v>
      </c>
      <c r="P18" s="92">
        <f t="shared" si="5"/>
        <v>5667279694</v>
      </c>
      <c r="Q18" s="92">
        <f t="shared" si="5"/>
        <v>4833141884.6898079</v>
      </c>
      <c r="R18" s="92">
        <f t="shared" si="5"/>
        <v>5041411423.7157125</v>
      </c>
      <c r="S18" s="92">
        <f t="shared" si="5"/>
        <v>6184797808.7787647</v>
      </c>
      <c r="T18" s="92">
        <f t="shared" si="5"/>
        <v>6369777287.9926529</v>
      </c>
      <c r="U18" s="92">
        <f t="shared" si="5"/>
        <v>7097710620.1153088</v>
      </c>
      <c r="V18" s="92">
        <f t="shared" si="5"/>
        <v>8076866286.2662449</v>
      </c>
      <c r="W18" s="92">
        <f t="shared" si="5"/>
        <v>8815763983.560976</v>
      </c>
      <c r="X18" s="92">
        <f t="shared" si="5"/>
        <v>10420438138.095863</v>
      </c>
      <c r="Y18" s="92">
        <f t="shared" si="5"/>
        <v>10496966228.820944</v>
      </c>
      <c r="Z18" s="92">
        <f t="shared" si="5"/>
        <v>10755388980.9258</v>
      </c>
      <c r="AA18" s="92">
        <f t="shared" si="5"/>
        <v>11151573561.767036</v>
      </c>
      <c r="AB18" s="92">
        <f t="shared" si="5"/>
        <v>9917450760.5665016</v>
      </c>
      <c r="AC18" s="92">
        <f t="shared" si="5"/>
        <v>10670019273.074345</v>
      </c>
      <c r="AD18" s="92">
        <f t="shared" si="5"/>
        <v>11723102645.766064</v>
      </c>
    </row>
    <row r="19" spans="1:30">
      <c r="A19" s="2" t="s">
        <v>189</v>
      </c>
      <c r="B19" s="3">
        <f>'D4 Gallon Forecast'!B3</f>
        <v>214443356</v>
      </c>
      <c r="C19" s="3">
        <f>'D4 Gallon Forecast'!C3</f>
        <v>1077377519</v>
      </c>
      <c r="D19" s="3">
        <f>'D4 Gallon Forecast'!D3</f>
        <v>1056430771</v>
      </c>
      <c r="E19" s="3">
        <f>'D4 Gallon Forecast'!E3</f>
        <v>1534402079</v>
      </c>
      <c r="F19" s="3">
        <f>'D4 Gallon Forecast'!F3</f>
        <v>1435538716</v>
      </c>
      <c r="G19" s="3">
        <f>'D4 Gallon Forecast'!G3</f>
        <v>1515484489</v>
      </c>
      <c r="H19" s="3">
        <f>'D4 Gallon Forecast'!H3</f>
        <v>2194392940</v>
      </c>
      <c r="I19" s="3">
        <f>'D4 Gallon Forecast'!I3</f>
        <v>2050164384</v>
      </c>
      <c r="J19" s="3">
        <f>'D4 Gallon Forecast'!J3</f>
        <v>2030262144</v>
      </c>
      <c r="K19" s="3">
        <f>'D4 Gallon Forecast'!K3</f>
        <v>1898503952</v>
      </c>
      <c r="L19" s="3">
        <f>'D4 Gallon Forecast'!L3</f>
        <v>2034367312</v>
      </c>
      <c r="M19" s="3">
        <f>'D4 Gallon Forecast'!M3</f>
        <v>1913078061</v>
      </c>
      <c r="N19" s="3">
        <f>'D4 Gallon Forecast'!N3</f>
        <v>1860533654</v>
      </c>
      <c r="O19" s="3">
        <f>'D4 Gallon Forecast'!O3</f>
        <v>2174183180</v>
      </c>
      <c r="P19" s="4">
        <f>'D4 Gallon Forecast'!P3</f>
        <v>2058817810</v>
      </c>
      <c r="Q19" s="4">
        <f>'D4 Gallon Forecast'!Q3</f>
        <v>1920916041.0664113</v>
      </c>
      <c r="R19" s="4">
        <f>'D4 Gallon Forecast'!R3</f>
        <v>1646288920.8928502</v>
      </c>
      <c r="S19" s="4">
        <f>'D4 Gallon Forecast'!S3</f>
        <v>1664785399.8558679</v>
      </c>
      <c r="T19" s="4">
        <f>'D4 Gallon Forecast'!T3</f>
        <v>1386208281.752449</v>
      </c>
      <c r="U19" s="4">
        <f>'D4 Gallon Forecast'!U3</f>
        <v>1564916782.8977911</v>
      </c>
      <c r="V19" s="4">
        <f>'D4 Gallon Forecast'!V3</f>
        <v>1591061973.8548844</v>
      </c>
      <c r="W19" s="4">
        <f>'D4 Gallon Forecast'!W3</f>
        <v>1562948354.928941</v>
      </c>
      <c r="X19" s="4">
        <f>'D4 Gallon Forecast'!X3</f>
        <v>1621119743.991498</v>
      </c>
      <c r="Y19" s="4">
        <f>'D4 Gallon Forecast'!Y3</f>
        <v>1523186758.3635507</v>
      </c>
      <c r="Z19" s="4">
        <f>'D4 Gallon Forecast'!Z3</f>
        <v>1486754933.2873945</v>
      </c>
      <c r="AA19" s="4">
        <f>'D4 Gallon Forecast'!AA3</f>
        <v>1418986408.7613165</v>
      </c>
      <c r="AB19" s="4">
        <f>'D4 Gallon Forecast'!AB3</f>
        <v>1183550782.0520487</v>
      </c>
      <c r="AC19" s="4">
        <f>'D4 Gallon Forecast'!AC3</f>
        <v>962248304.87814152</v>
      </c>
      <c r="AD19" s="4">
        <f>'D4 Gallon Forecast'!AD3</f>
        <v>924935067.03321898</v>
      </c>
    </row>
    <row r="20" spans="1:30">
      <c r="A20" s="2" t="s">
        <v>190</v>
      </c>
      <c r="B20" s="3">
        <f>'D4 Gallon Forecast'!B7</f>
        <v>959557</v>
      </c>
      <c r="C20" s="3">
        <f>'D4 Gallon Forecast'!C7</f>
        <v>45321674</v>
      </c>
      <c r="D20" s="3">
        <f>'D4 Gallon Forecast'!D7</f>
        <v>90468406</v>
      </c>
      <c r="E20" s="3">
        <f>'D4 Gallon Forecast'!E7</f>
        <v>259902790</v>
      </c>
      <c r="F20" s="3">
        <f>'D4 Gallon Forecast'!F7</f>
        <v>327895752</v>
      </c>
      <c r="G20" s="3">
        <f>'D4 Gallon Forecast'!G7</f>
        <v>307633384</v>
      </c>
      <c r="H20" s="3">
        <f>'D4 Gallon Forecast'!H7</f>
        <v>420850390</v>
      </c>
      <c r="I20" s="3">
        <f>'D4 Gallon Forecast'!I7</f>
        <v>453469386</v>
      </c>
      <c r="J20" s="3">
        <f>'D4 Gallon Forecast'!J7</f>
        <v>485214370</v>
      </c>
      <c r="K20" s="3">
        <f>'D4 Gallon Forecast'!K7</f>
        <v>761863026</v>
      </c>
      <c r="L20" s="3">
        <f>'D4 Gallon Forecast'!L7</f>
        <v>842122643</v>
      </c>
      <c r="M20" s="3">
        <f>'D4 Gallon Forecast'!M7</f>
        <v>1174779147</v>
      </c>
      <c r="N20" s="3">
        <f>'D4 Gallon Forecast'!N7</f>
        <v>1750829725</v>
      </c>
      <c r="O20" s="3">
        <f>'D4 Gallon Forecast'!O7</f>
        <v>2776343198</v>
      </c>
      <c r="P20" s="4">
        <f>'D4 Gallon Forecast'!P7</f>
        <v>3496640697</v>
      </c>
      <c r="Q20" s="4">
        <f>'D4 Gallon Forecast'!Q7</f>
        <v>2712680993.8475428</v>
      </c>
      <c r="R20" s="4">
        <f>'D4 Gallon Forecast'!R7</f>
        <v>2888149055.3058534</v>
      </c>
      <c r="S20" s="4">
        <f>'D4 Gallon Forecast'!S7</f>
        <v>3128736482.6819401</v>
      </c>
      <c r="T20" s="4">
        <f>'D4 Gallon Forecast'!T7</f>
        <v>3160635020.7373223</v>
      </c>
      <c r="U20" s="4">
        <f>'D4 Gallon Forecast'!U7</f>
        <v>3156862146.263401</v>
      </c>
      <c r="V20" s="4">
        <f>'D4 Gallon Forecast'!V7</f>
        <v>3274460009.7767019</v>
      </c>
      <c r="W20" s="4">
        <f>'D4 Gallon Forecast'!W7</f>
        <v>3538817651.6728544</v>
      </c>
      <c r="X20" s="4">
        <f>'D4 Gallon Forecast'!X7</f>
        <v>4146508666.7119684</v>
      </c>
      <c r="Y20" s="4">
        <f>'D4 Gallon Forecast'!Y7</f>
        <v>4114346991.6447406</v>
      </c>
      <c r="Z20" s="4">
        <f>'D4 Gallon Forecast'!Z7</f>
        <v>3986685669.4408054</v>
      </c>
      <c r="AA20" s="4">
        <f>'D4 Gallon Forecast'!AA7</f>
        <v>4214571059.5529933</v>
      </c>
      <c r="AB20" s="4">
        <f>'D4 Gallon Forecast'!AB7</f>
        <v>4467762123.0642891</v>
      </c>
      <c r="AC20" s="4">
        <f>'D4 Gallon Forecast'!AC7</f>
        <v>5062061537.5012598</v>
      </c>
      <c r="AD20" s="4">
        <f>'D4 Gallon Forecast'!AD7</f>
        <v>5579742624.1202278</v>
      </c>
    </row>
    <row r="21" spans="1:30" ht="15.75" thickBot="1">
      <c r="A21" s="2" t="s">
        <v>191</v>
      </c>
      <c r="B21" s="3">
        <f>'D4 Gallon Forecast'!B20</f>
        <v>0</v>
      </c>
      <c r="C21" s="3">
        <f>'D4 Gallon Forecast'!C20</f>
        <v>0</v>
      </c>
      <c r="D21" s="3">
        <f>'D4 Gallon Forecast'!D20</f>
        <v>0</v>
      </c>
      <c r="E21" s="3">
        <f>'D4 Gallon Forecast'!E20</f>
        <v>0</v>
      </c>
      <c r="F21" s="3">
        <f>'D4 Gallon Forecast'!F20</f>
        <v>0</v>
      </c>
      <c r="G21" s="3">
        <f>'D4 Gallon Forecast'!G20</f>
        <v>0</v>
      </c>
      <c r="H21" s="3">
        <f>'D4 Gallon Forecast'!H20</f>
        <v>783646</v>
      </c>
      <c r="I21" s="3">
        <f>'D4 Gallon Forecast'!I20</f>
        <v>1711017</v>
      </c>
      <c r="J21" s="3">
        <f>'D4 Gallon Forecast'!J20</f>
        <v>1828178</v>
      </c>
      <c r="K21" s="3">
        <f>'D4 Gallon Forecast'!K20</f>
        <v>2428702</v>
      </c>
      <c r="L21" s="3">
        <f>'D4 Gallon Forecast'!L20</f>
        <v>4608399</v>
      </c>
      <c r="M21" s="3">
        <f>'D4 Gallon Forecast'!M20</f>
        <v>5076623</v>
      </c>
      <c r="N21" s="3">
        <f>'D4 Gallon Forecast'!N20</f>
        <v>15819877</v>
      </c>
      <c r="O21" s="3">
        <f>'D4 Gallon Forecast'!O20</f>
        <v>24474789</v>
      </c>
      <c r="P21" s="4">
        <f>'D4 Gallon Forecast'!P20</f>
        <v>111821187</v>
      </c>
      <c r="Q21" s="4">
        <f>'D4 Gallon Forecast'!Q20</f>
        <v>199544849.77585417</v>
      </c>
      <c r="R21" s="4">
        <f>'D4 Gallon Forecast'!R20</f>
        <v>506973447.51700842</v>
      </c>
      <c r="S21" s="4">
        <f>'D4 Gallon Forecast'!S20</f>
        <v>1391275926.2409575</v>
      </c>
      <c r="T21" s="4">
        <f>'D4 Gallon Forecast'!T20</f>
        <v>1822933985.5028818</v>
      </c>
      <c r="U21" s="4">
        <f>'D4 Gallon Forecast'!U20</f>
        <v>2375931690.9541168</v>
      </c>
      <c r="V21" s="4">
        <f>'D4 Gallon Forecast'!V20</f>
        <v>3211344302.6346588</v>
      </c>
      <c r="W21" s="4">
        <f>'D4 Gallon Forecast'!W20</f>
        <v>3713997976.9591804</v>
      </c>
      <c r="X21" s="4">
        <f>'D4 Gallon Forecast'!X20</f>
        <v>4652809727.3923979</v>
      </c>
      <c r="Y21" s="4">
        <f>'D4 Gallon Forecast'!Y20</f>
        <v>4859432478.8126526</v>
      </c>
      <c r="Z21" s="4">
        <f>'D4 Gallon Forecast'!Z20</f>
        <v>5281948378.1976004</v>
      </c>
      <c r="AA21" s="4">
        <f>'D4 Gallon Forecast'!AA20</f>
        <v>5518016093.4527264</v>
      </c>
      <c r="AB21" s="4">
        <f>'D4 Gallon Forecast'!AB20</f>
        <v>4266137855.4501643</v>
      </c>
      <c r="AC21" s="4">
        <f>'D4 Gallon Forecast'!AC20</f>
        <v>4645709430.6949434</v>
      </c>
      <c r="AD21" s="4">
        <f>'D4 Gallon Forecast'!AD20</f>
        <v>5218424954.6126175</v>
      </c>
    </row>
    <row r="22" spans="1:30">
      <c r="A22" s="90" t="s">
        <v>178</v>
      </c>
      <c r="B22" s="91">
        <f>SUM(B23:B28)</f>
        <v>19233282</v>
      </c>
      <c r="C22" s="91">
        <f t="shared" ref="C22:L22" si="6">SUM(C23:C28)</f>
        <v>215755059</v>
      </c>
      <c r="D22" s="91">
        <f t="shared" si="6"/>
        <v>618671889</v>
      </c>
      <c r="E22" s="91">
        <f t="shared" si="6"/>
        <v>527775069</v>
      </c>
      <c r="F22" s="91">
        <f t="shared" si="6"/>
        <v>131427352</v>
      </c>
      <c r="G22" s="91">
        <f t="shared" si="6"/>
        <v>135291787</v>
      </c>
      <c r="H22" s="91">
        <f t="shared" si="6"/>
        <v>85201935</v>
      </c>
      <c r="I22" s="91">
        <f t="shared" si="6"/>
        <v>128800020</v>
      </c>
      <c r="J22" s="91">
        <f t="shared" si="6"/>
        <v>150316051</v>
      </c>
      <c r="K22" s="91">
        <f t="shared" si="6"/>
        <v>280457650</v>
      </c>
      <c r="L22" s="91">
        <f t="shared" si="6"/>
        <v>283267730</v>
      </c>
      <c r="M22" s="91">
        <f>SUM(M23:M28)</f>
        <v>173448273</v>
      </c>
      <c r="N22" s="91">
        <f>SUM(N23:N28)</f>
        <v>251912944</v>
      </c>
      <c r="O22" s="91">
        <f t="shared" ref="O22:AD22" si="7">SUM(O23:O28)</f>
        <v>179678032</v>
      </c>
      <c r="P22" s="92">
        <f t="shared" si="7"/>
        <v>163741453</v>
      </c>
      <c r="Q22" s="92">
        <f t="shared" si="7"/>
        <v>187806115</v>
      </c>
      <c r="R22" s="92">
        <f t="shared" si="7"/>
        <v>213000000</v>
      </c>
      <c r="S22" s="92">
        <f t="shared" si="7"/>
        <v>234750000</v>
      </c>
      <c r="T22" s="92">
        <f t="shared" si="7"/>
        <v>246750000</v>
      </c>
      <c r="U22" s="92">
        <f t="shared" si="7"/>
        <v>260000000</v>
      </c>
      <c r="V22" s="92">
        <f t="shared" si="7"/>
        <v>280000000</v>
      </c>
      <c r="W22" s="92">
        <f t="shared" si="7"/>
        <v>300000000</v>
      </c>
      <c r="X22" s="92">
        <f t="shared" si="7"/>
        <v>310000000</v>
      </c>
      <c r="Y22" s="92">
        <f t="shared" si="7"/>
        <v>325000000</v>
      </c>
      <c r="Z22" s="92">
        <f t="shared" si="7"/>
        <v>340000000</v>
      </c>
      <c r="AA22" s="92">
        <f t="shared" si="7"/>
        <v>360500000</v>
      </c>
      <c r="AB22" s="92">
        <f t="shared" si="7"/>
        <v>380000000</v>
      </c>
      <c r="AC22" s="92">
        <f t="shared" si="7"/>
        <v>400000000</v>
      </c>
      <c r="AD22" s="92">
        <f t="shared" si="7"/>
        <v>425000000</v>
      </c>
    </row>
    <row r="23" spans="1:30">
      <c r="A23" s="2" t="s">
        <v>192</v>
      </c>
      <c r="B23" s="3">
        <f>'D5 Gallon Forecast'!B3</f>
        <v>4043017</v>
      </c>
      <c r="C23" s="3">
        <f>'D5 Gallon Forecast'!C3</f>
        <v>193748805</v>
      </c>
      <c r="D23" s="3">
        <f>'D5 Gallon Forecast'!D3</f>
        <v>603461683</v>
      </c>
      <c r="E23" s="3">
        <f>'D5 Gallon Forecast'!E3</f>
        <v>458250657</v>
      </c>
      <c r="F23" s="3">
        <f>'D5 Gallon Forecast'!F3</f>
        <v>90298203</v>
      </c>
      <c r="G23" s="3">
        <f>'D5 Gallon Forecast'!G3</f>
        <v>113785284</v>
      </c>
      <c r="H23" s="3">
        <f>'D5 Gallon Forecast'!H3</f>
        <v>61459280</v>
      </c>
      <c r="I23" s="3">
        <f>'D5 Gallon Forecast'!I3</f>
        <v>99392347</v>
      </c>
      <c r="J23" s="3">
        <f>'D5 Gallon Forecast'!J3</f>
        <v>102382010</v>
      </c>
      <c r="K23" s="3">
        <f>'D5 Gallon Forecast'!K3</f>
        <v>219495304</v>
      </c>
      <c r="L23" s="3">
        <f>'D5 Gallon Forecast'!L3</f>
        <v>208638249</v>
      </c>
      <c r="M23" s="3">
        <f>'D5 Gallon Forecast'!M3</f>
        <v>85586001</v>
      </c>
      <c r="N23" s="3">
        <f>'D5 Gallon Forecast'!N3</f>
        <v>109468380</v>
      </c>
      <c r="O23" s="3">
        <f>'D5 Gallon Forecast'!O3</f>
        <v>51164831</v>
      </c>
      <c r="P23" s="4">
        <f>'D5 Gallon Forecast'!P3</f>
        <v>28685489</v>
      </c>
      <c r="Q23" s="4">
        <f>'D5 Gallon Forecast'!Q3</f>
        <v>33387387.181493059</v>
      </c>
      <c r="R23" s="4">
        <f>'D5 Gallon Forecast'!R3</f>
        <v>32232011.270047031</v>
      </c>
      <c r="S23" s="4">
        <f>'D5 Gallon Forecast'!S3</f>
        <v>37309058.288327254</v>
      </c>
      <c r="T23" s="4">
        <f>'D5 Gallon Forecast'!T3</f>
        <v>40479901.902477115</v>
      </c>
      <c r="U23" s="4">
        <f>'D5 Gallon Forecast'!U3</f>
        <v>42734298.267913379</v>
      </c>
      <c r="V23" s="4">
        <f>'D5 Gallon Forecast'!V3</f>
        <v>45624559.934033364</v>
      </c>
      <c r="W23" s="4">
        <f>'D5 Gallon Forecast'!W3</f>
        <v>50708950.100315459</v>
      </c>
      <c r="X23" s="4">
        <f>'D5 Gallon Forecast'!X3</f>
        <v>52120675.923458666</v>
      </c>
      <c r="Y23" s="4">
        <f>'D5 Gallon Forecast'!Y3</f>
        <v>55155298.365251005</v>
      </c>
      <c r="Z23" s="4">
        <f>'D5 Gallon Forecast'!Z3</f>
        <v>58034329.546393514</v>
      </c>
      <c r="AA23" s="4">
        <f>'D5 Gallon Forecast'!AA3</f>
        <v>60657617.298995137</v>
      </c>
      <c r="AB23" s="4">
        <f>'D5 Gallon Forecast'!AB3</f>
        <v>62284445.777485311</v>
      </c>
      <c r="AC23" s="4">
        <f>'D5 Gallon Forecast'!AC3</f>
        <v>65461277.62438558</v>
      </c>
      <c r="AD23" s="4">
        <f>'D5 Gallon Forecast'!AD3</f>
        <v>68492529.305077255</v>
      </c>
    </row>
    <row r="24" spans="1:30">
      <c r="A24" s="2" t="s">
        <v>190</v>
      </c>
      <c r="B24" s="3">
        <f>'D5 Gallon Forecast'!B6</f>
        <v>7817036</v>
      </c>
      <c r="C24" s="3">
        <f>'D5 Gallon Forecast'!C6</f>
        <v>16719616</v>
      </c>
      <c r="D24" s="3">
        <f>'D5 Gallon Forecast'!D6</f>
        <v>12205618</v>
      </c>
      <c r="E24" s="3">
        <f>'D5 Gallon Forecast'!E6</f>
        <v>41278442</v>
      </c>
      <c r="F24" s="3">
        <f>'D5 Gallon Forecast'!F6</f>
        <v>8605018</v>
      </c>
      <c r="G24" s="3">
        <f>'D5 Gallon Forecast'!G6</f>
        <v>4979775</v>
      </c>
      <c r="H24" s="3">
        <f>'D5 Gallon Forecast'!H6</f>
        <v>4666016</v>
      </c>
      <c r="I24" s="3">
        <f>'D5 Gallon Forecast'!I6</f>
        <v>5147237</v>
      </c>
      <c r="J24" s="3">
        <f>'D5 Gallon Forecast'!J6</f>
        <v>23607885</v>
      </c>
      <c r="K24" s="3">
        <f>'D5 Gallon Forecast'!K6</f>
        <v>34293809</v>
      </c>
      <c r="L24" s="3">
        <f>'D5 Gallon Forecast'!L6</f>
        <v>50596671</v>
      </c>
      <c r="M24" s="3">
        <f>'D5 Gallon Forecast'!M6</f>
        <v>62444807</v>
      </c>
      <c r="N24" s="3">
        <f>'D5 Gallon Forecast'!N6</f>
        <v>75967064</v>
      </c>
      <c r="O24" s="3">
        <f>'D5 Gallon Forecast'!O6</f>
        <v>72161104</v>
      </c>
      <c r="P24" s="4">
        <f>'D5 Gallon Forecast'!P6</f>
        <v>67136623</v>
      </c>
      <c r="Q24" s="4">
        <f>'D5 Gallon Forecast'!Q6</f>
        <v>61713905.573394053</v>
      </c>
      <c r="R24" s="4">
        <f>'D5 Gallon Forecast'!R6</f>
        <v>74644479.867806837</v>
      </c>
      <c r="S24" s="4">
        <f>'D5 Gallon Forecast'!S6</f>
        <v>90174702.882584006</v>
      </c>
      <c r="T24" s="4">
        <f>'D5 Gallon Forecast'!T6</f>
        <v>94265461.32229273</v>
      </c>
      <c r="U24" s="4">
        <f>'D5 Gallon Forecast'!U6</f>
        <v>101063952.52821082</v>
      </c>
      <c r="V24" s="4">
        <f>'D5 Gallon Forecast'!V6</f>
        <v>108107155.51235586</v>
      </c>
      <c r="W24" s="4">
        <f>'D5 Gallon Forecast'!W6</f>
        <v>112379365.64766049</v>
      </c>
      <c r="X24" s="4">
        <f>'D5 Gallon Forecast'!X6</f>
        <v>127428482.91331537</v>
      </c>
      <c r="Y24" s="4">
        <f>'D5 Gallon Forecast'!Y6</f>
        <v>130758287.08032538</v>
      </c>
      <c r="Z24" s="4">
        <f>'D5 Gallon Forecast'!Z6</f>
        <v>137035550.46998152</v>
      </c>
      <c r="AA24" s="4">
        <f>'D5 Gallon Forecast'!AA6</f>
        <v>145226327.89713299</v>
      </c>
      <c r="AB24" s="4">
        <f>'D5 Gallon Forecast'!AB6</f>
        <v>142022344.47656283</v>
      </c>
      <c r="AC24" s="4">
        <f>'D5 Gallon Forecast'!AC6</f>
        <v>153559589.09913054</v>
      </c>
      <c r="AD24" s="4">
        <f>'D5 Gallon Forecast'!AD6</f>
        <v>169326008.73336238</v>
      </c>
    </row>
    <row r="25" spans="1:30">
      <c r="A25" s="2" t="s">
        <v>193</v>
      </c>
      <c r="B25" s="3">
        <f>'D5 Gallon Forecast'!B11</f>
        <v>7373229</v>
      </c>
      <c r="C25" s="3">
        <f>'D5 Gallon Forecast'!C11</f>
        <v>3862744</v>
      </c>
      <c r="D25" s="3">
        <f>'D5 Gallon Forecast'!D11</f>
        <v>122579</v>
      </c>
      <c r="E25" s="3">
        <f>'D5 Gallon Forecast'!E11</f>
        <v>0</v>
      </c>
      <c r="F25" s="3">
        <f>'D5 Gallon Forecast'!F11</f>
        <v>71177</v>
      </c>
      <c r="G25" s="3">
        <f>'D5 Gallon Forecast'!G11</f>
        <v>529467</v>
      </c>
      <c r="H25" s="3">
        <f>'D5 Gallon Forecast'!H11</f>
        <v>965452</v>
      </c>
      <c r="I25" s="3">
        <f>'D5 Gallon Forecast'!I11</f>
        <v>1222972</v>
      </c>
      <c r="J25" s="3">
        <f>'D5 Gallon Forecast'!J11</f>
        <v>1764134</v>
      </c>
      <c r="K25" s="3">
        <f>'D5 Gallon Forecast'!K11</f>
        <v>2047511</v>
      </c>
      <c r="L25" s="3">
        <f>'D5 Gallon Forecast'!L11</f>
        <v>1792583</v>
      </c>
      <c r="M25" s="3">
        <f>'D5 Gallon Forecast'!M11</f>
        <v>1350563</v>
      </c>
      <c r="N25" s="3">
        <f>'D5 Gallon Forecast'!N11</f>
        <v>1901608</v>
      </c>
      <c r="O25" s="3">
        <f>'D5 Gallon Forecast'!O11</f>
        <v>2490118</v>
      </c>
      <c r="P25" s="4">
        <f>'D5 Gallon Forecast'!P11</f>
        <v>2773152</v>
      </c>
      <c r="Q25" s="4">
        <f>'D5 Gallon Forecast'!Q11</f>
        <v>2750000</v>
      </c>
      <c r="R25" s="4">
        <f>'D5 Gallon Forecast'!R11</f>
        <v>3100000</v>
      </c>
      <c r="S25" s="4">
        <f>'D5 Gallon Forecast'!S11</f>
        <v>3200000</v>
      </c>
      <c r="T25" s="4">
        <f>'D5 Gallon Forecast'!T11</f>
        <v>3600000</v>
      </c>
      <c r="U25" s="4">
        <f>'D5 Gallon Forecast'!U11</f>
        <v>3800000</v>
      </c>
      <c r="V25" s="4">
        <f>'D5 Gallon Forecast'!V11</f>
        <v>4000000</v>
      </c>
      <c r="W25" s="4">
        <f>'D5 Gallon Forecast'!W11</f>
        <v>4300000</v>
      </c>
      <c r="X25" s="4">
        <f>'D5 Gallon Forecast'!X11</f>
        <v>4400000</v>
      </c>
      <c r="Y25" s="4">
        <f>'D5 Gallon Forecast'!Y11</f>
        <v>4700000</v>
      </c>
      <c r="Z25" s="4">
        <f>'D5 Gallon Forecast'!Z11</f>
        <v>4900000</v>
      </c>
      <c r="AA25" s="4">
        <f>'D5 Gallon Forecast'!AA11</f>
        <v>5200000</v>
      </c>
      <c r="AB25" s="4">
        <f>'D5 Gallon Forecast'!AB11</f>
        <v>5500000</v>
      </c>
      <c r="AC25" s="4">
        <f>'D5 Gallon Forecast'!AC11</f>
        <v>5800000</v>
      </c>
      <c r="AD25" s="4">
        <f>'D5 Gallon Forecast'!AD11</f>
        <v>6100000</v>
      </c>
    </row>
    <row r="26" spans="1:30">
      <c r="A26" s="2" t="s">
        <v>194</v>
      </c>
      <c r="B26" s="3">
        <f>'D5 Gallon Forecast'!B14</f>
        <v>0</v>
      </c>
      <c r="C26" s="3">
        <f>'D5 Gallon Forecast'!C14</f>
        <v>1423894</v>
      </c>
      <c r="D26" s="3">
        <f>'D5 Gallon Forecast'!D14</f>
        <v>2882009</v>
      </c>
      <c r="E26" s="3">
        <f>'D5 Gallon Forecast'!E14</f>
        <v>25934813</v>
      </c>
      <c r="F26" s="3">
        <f>'D5 Gallon Forecast'!F14</f>
        <v>20352691</v>
      </c>
      <c r="G26" s="3">
        <f>'D5 Gallon Forecast'!G14</f>
        <v>0</v>
      </c>
      <c r="H26" s="3">
        <f>'D5 Gallon Forecast'!H14</f>
        <v>0</v>
      </c>
      <c r="I26" s="3">
        <f>'D5 Gallon Forecast'!I14</f>
        <v>0</v>
      </c>
      <c r="J26" s="3">
        <f>'D5 Gallon Forecast'!J14</f>
        <v>0</v>
      </c>
      <c r="K26" s="3">
        <f>'D5 Gallon Forecast'!K14</f>
        <v>0</v>
      </c>
      <c r="L26" s="3">
        <f>'D5 Gallon Forecast'!L14</f>
        <v>0</v>
      </c>
      <c r="M26" s="3">
        <f>'D5 Gallon Forecast'!M14</f>
        <v>0</v>
      </c>
      <c r="N26" s="3">
        <f>'D5 Gallon Forecast'!N14</f>
        <v>0</v>
      </c>
      <c r="O26" s="3">
        <f>'D5 Gallon Forecast'!O14</f>
        <v>0</v>
      </c>
      <c r="P26" s="4">
        <f>'D5 Gallon Forecast'!P14</f>
        <v>0</v>
      </c>
      <c r="Q26" s="4">
        <f>'D5 Gallon Forecast'!Q14</f>
        <v>0</v>
      </c>
      <c r="R26" s="4">
        <f>'D5 Gallon Forecast'!R14</f>
        <v>0</v>
      </c>
      <c r="S26" s="4">
        <f>'D5 Gallon Forecast'!S14</f>
        <v>0</v>
      </c>
      <c r="T26" s="4">
        <f>'D5 Gallon Forecast'!T14</f>
        <v>0</v>
      </c>
      <c r="U26" s="4">
        <f>'D5 Gallon Forecast'!U14</f>
        <v>0</v>
      </c>
      <c r="V26" s="4">
        <f>'D5 Gallon Forecast'!V14</f>
        <v>0</v>
      </c>
      <c r="W26" s="4">
        <f>'D5 Gallon Forecast'!W14</f>
        <v>0</v>
      </c>
      <c r="X26" s="4">
        <f>'D5 Gallon Forecast'!X14</f>
        <v>0</v>
      </c>
      <c r="Y26" s="4">
        <f>'D5 Gallon Forecast'!Y14</f>
        <v>0</v>
      </c>
      <c r="Z26" s="4">
        <f>'D5 Gallon Forecast'!Z14</f>
        <v>0</v>
      </c>
      <c r="AA26" s="4">
        <f>'D5 Gallon Forecast'!AA14</f>
        <v>0</v>
      </c>
      <c r="AB26" s="4">
        <f>'D5 Gallon Forecast'!AB14</f>
        <v>0</v>
      </c>
      <c r="AC26" s="4">
        <f>'D5 Gallon Forecast'!AC14</f>
        <v>0</v>
      </c>
      <c r="AD26" s="4">
        <f>'D5 Gallon Forecast'!AD14</f>
        <v>0</v>
      </c>
    </row>
    <row r="27" spans="1:30">
      <c r="A27" s="2" t="s">
        <v>195</v>
      </c>
      <c r="B27" s="3">
        <f>'D5 Gallon Forecast'!B17</f>
        <v>0</v>
      </c>
      <c r="C27" s="3">
        <f>'D5 Gallon Forecast'!C17</f>
        <v>0</v>
      </c>
      <c r="D27" s="3">
        <f>'D5 Gallon Forecast'!D17</f>
        <v>0</v>
      </c>
      <c r="E27" s="3">
        <f>'D5 Gallon Forecast'!E17</f>
        <v>2311157</v>
      </c>
      <c r="F27" s="3">
        <f>'D5 Gallon Forecast'!F17</f>
        <v>12093919</v>
      </c>
      <c r="G27" s="3">
        <f>'D5 Gallon Forecast'!G17</f>
        <v>15992239</v>
      </c>
      <c r="H27" s="3">
        <f>'D5 Gallon Forecast'!H17</f>
        <v>18111187</v>
      </c>
      <c r="I27" s="3">
        <f>'D5 Gallon Forecast'!I17</f>
        <v>21019366</v>
      </c>
      <c r="J27" s="3">
        <f>'D5 Gallon Forecast'!J17</f>
        <v>21401280</v>
      </c>
      <c r="K27" s="3">
        <f>'D5 Gallon Forecast'!K17</f>
        <v>24537999</v>
      </c>
      <c r="L27" s="3">
        <f>'D5 Gallon Forecast'!L17</f>
        <v>22154856</v>
      </c>
      <c r="M27" s="3">
        <f>'D5 Gallon Forecast'!M17</f>
        <v>22407484</v>
      </c>
      <c r="N27" s="3">
        <f>'D5 Gallon Forecast'!N17</f>
        <v>63522153</v>
      </c>
      <c r="O27" s="3">
        <f>'D5 Gallon Forecast'!O17</f>
        <v>52308409</v>
      </c>
      <c r="P27" s="4">
        <f>'D5 Gallon Forecast'!P17</f>
        <v>64025718</v>
      </c>
      <c r="Q27" s="4">
        <f>'D5 Gallon Forecast'!Q17</f>
        <v>95242314.380266696</v>
      </c>
      <c r="R27" s="4">
        <f>'D5 Gallon Forecast'!R17</f>
        <v>97106009.35282585</v>
      </c>
      <c r="S27" s="4">
        <f>'D5 Gallon Forecast'!S17</f>
        <v>106071489.77297543</v>
      </c>
      <c r="T27" s="4">
        <f>'D5 Gallon Forecast'!T17</f>
        <v>110960840.36940165</v>
      </c>
      <c r="U27" s="4">
        <f>'D5 Gallon Forecast'!U17</f>
        <v>110459695.87920062</v>
      </c>
      <c r="V27" s="4">
        <f>'D5 Gallon Forecast'!V17</f>
        <v>118825108.8821879</v>
      </c>
      <c r="W27" s="4">
        <f>'D5 Gallon Forecast'!W17</f>
        <v>132224836.80097488</v>
      </c>
      <c r="X27" s="4">
        <f>'D5 Gallon Forecast'!X17</f>
        <v>140100376.54600033</v>
      </c>
      <c r="Y27" s="4">
        <f>'D5 Gallon Forecast'!Y17</f>
        <v>150296960.14474714</v>
      </c>
      <c r="Z27" s="4">
        <f>'D5 Gallon Forecast'!Z17</f>
        <v>162760217.76927125</v>
      </c>
      <c r="AA27" s="4">
        <f>'D5 Gallon Forecast'!AA17</f>
        <v>168985707.78079498</v>
      </c>
      <c r="AB27" s="4">
        <f>'D5 Gallon Forecast'!AB17</f>
        <v>162567064.845725</v>
      </c>
      <c r="AC27" s="4">
        <f>'D5 Gallon Forecast'!AC17</f>
        <v>165121744.80850929</v>
      </c>
      <c r="AD27" s="4">
        <f>'D5 Gallon Forecast'!AD17</f>
        <v>165521073.15101236</v>
      </c>
    </row>
    <row r="28" spans="1:30" ht="15.75" thickBot="1">
      <c r="A28" s="2" t="s">
        <v>186</v>
      </c>
      <c r="B28" s="3">
        <f>'D5 Gallon Forecast'!B22</f>
        <v>0</v>
      </c>
      <c r="C28" s="3">
        <f>'D5 Gallon Forecast'!C22</f>
        <v>0</v>
      </c>
      <c r="D28" s="3">
        <f>'D5 Gallon Forecast'!D22</f>
        <v>0</v>
      </c>
      <c r="E28" s="3">
        <f>'D5 Gallon Forecast'!E22</f>
        <v>0</v>
      </c>
      <c r="F28" s="3">
        <f>'D5 Gallon Forecast'!F22</f>
        <v>6344</v>
      </c>
      <c r="G28" s="3">
        <f>'D5 Gallon Forecast'!G22</f>
        <v>5022</v>
      </c>
      <c r="H28" s="3">
        <f>'D5 Gallon Forecast'!H22</f>
        <v>0</v>
      </c>
      <c r="I28" s="3">
        <f>'D5 Gallon Forecast'!I22</f>
        <v>2018098</v>
      </c>
      <c r="J28" s="3">
        <f>'D5 Gallon Forecast'!J22</f>
        <v>1160742</v>
      </c>
      <c r="K28" s="3">
        <f>'D5 Gallon Forecast'!K22</f>
        <v>83027</v>
      </c>
      <c r="L28" s="3">
        <f>'D5 Gallon Forecast'!L22</f>
        <v>85371</v>
      </c>
      <c r="M28" s="3">
        <f>'D5 Gallon Forecast'!M22</f>
        <v>1659418</v>
      </c>
      <c r="N28" s="3">
        <f>'D5 Gallon Forecast'!N22</f>
        <v>1053739</v>
      </c>
      <c r="O28" s="3">
        <f>'D5 Gallon Forecast'!O22</f>
        <v>1553570</v>
      </c>
      <c r="P28" s="4">
        <f>'D5 Gallon Forecast'!P22</f>
        <v>1120471</v>
      </c>
      <c r="Q28" s="4">
        <f>'D5 Gallon Forecast'!Q22</f>
        <v>-5287492.1351538002</v>
      </c>
      <c r="R28" s="4">
        <f>'D5 Gallon Forecast'!R22</f>
        <v>5917499.5093202889</v>
      </c>
      <c r="S28" s="4">
        <f>'D5 Gallon Forecast'!S22</f>
        <v>-2005250.9438866973</v>
      </c>
      <c r="T28" s="4">
        <f>'D5 Gallon Forecast'!T22</f>
        <v>-2556203.5941714644</v>
      </c>
      <c r="U28" s="4">
        <f>'D5 Gallon Forecast'!U22</f>
        <v>1942053.3246752024</v>
      </c>
      <c r="V28" s="4">
        <f>'D5 Gallon Forecast'!V22</f>
        <v>3443175.6714228392</v>
      </c>
      <c r="W28" s="4">
        <f>'D5 Gallon Forecast'!W22</f>
        <v>386847.45104920864</v>
      </c>
      <c r="X28" s="4">
        <f>'D5 Gallon Forecast'!X22</f>
        <v>-14049535.382774353</v>
      </c>
      <c r="Y28" s="4">
        <f>'D5 Gallon Forecast'!Y22</f>
        <v>-15910545.590323508</v>
      </c>
      <c r="Z28" s="4">
        <f>'D5 Gallon Forecast'!Z22</f>
        <v>-22730097.785646319</v>
      </c>
      <c r="AA28" s="4">
        <f>'D5 Gallon Forecast'!AA22</f>
        <v>-19569652.976923108</v>
      </c>
      <c r="AB28" s="4">
        <f>'D5 Gallon Forecast'!AB22</f>
        <v>7626144.9002268314</v>
      </c>
      <c r="AC28" s="4">
        <f>'D5 Gallon Forecast'!AC22</f>
        <v>10057388.467974603</v>
      </c>
      <c r="AD28" s="4">
        <f>'D5 Gallon Forecast'!AD22</f>
        <v>15560388.810548007</v>
      </c>
    </row>
    <row r="29" spans="1:30">
      <c r="A29" s="90" t="s">
        <v>180</v>
      </c>
      <c r="B29" s="91">
        <f>SUM(B30:B33)</f>
        <v>6789828018</v>
      </c>
      <c r="C29" s="91">
        <f t="shared" ref="C29:L29" si="8">SUM(C30:C33)</f>
        <v>13613229503</v>
      </c>
      <c r="D29" s="91">
        <f t="shared" si="8"/>
        <v>12987468760</v>
      </c>
      <c r="E29" s="91">
        <f t="shared" si="8"/>
        <v>13251265535</v>
      </c>
      <c r="F29" s="91">
        <f t="shared" si="8"/>
        <v>14226497803</v>
      </c>
      <c r="G29" s="91">
        <f t="shared" si="8"/>
        <v>14668303446</v>
      </c>
      <c r="H29" s="91">
        <f t="shared" si="8"/>
        <v>15003278197</v>
      </c>
      <c r="I29" s="91">
        <f t="shared" si="8"/>
        <v>15008327443</v>
      </c>
      <c r="J29" s="91">
        <f t="shared" si="8"/>
        <v>15074084106</v>
      </c>
      <c r="K29" s="91">
        <f t="shared" si="8"/>
        <v>14846758241</v>
      </c>
      <c r="L29" s="91">
        <f t="shared" si="8"/>
        <v>12933461982</v>
      </c>
      <c r="M29" s="91">
        <f>SUM(M30:M33)</f>
        <v>14202821885</v>
      </c>
      <c r="N29" s="91">
        <f>SUM(N30:N33)</f>
        <v>14498466195</v>
      </c>
      <c r="O29" s="91">
        <f t="shared" ref="O29:AD29" si="9">SUM(O30:O33)</f>
        <v>14748096368</v>
      </c>
      <c r="P29" s="92">
        <f t="shared" si="9"/>
        <v>14882847223</v>
      </c>
      <c r="Q29" s="92">
        <f t="shared" si="9"/>
        <v>14600810113.847816</v>
      </c>
      <c r="R29" s="92">
        <f t="shared" si="9"/>
        <v>14673988276.45682</v>
      </c>
      <c r="S29" s="92">
        <f t="shared" si="9"/>
        <v>14706997948.442148</v>
      </c>
      <c r="T29" s="92">
        <f t="shared" si="9"/>
        <v>14853925512.589455</v>
      </c>
      <c r="U29" s="92">
        <f t="shared" si="9"/>
        <v>14966083597.09758</v>
      </c>
      <c r="V29" s="92">
        <f t="shared" si="9"/>
        <v>15065020432.231333</v>
      </c>
      <c r="W29" s="92">
        <f t="shared" si="9"/>
        <v>15225682748.047623</v>
      </c>
      <c r="X29" s="92">
        <f t="shared" si="9"/>
        <v>15338963977.090612</v>
      </c>
      <c r="Y29" s="92">
        <f t="shared" si="9"/>
        <v>15468099807.587858</v>
      </c>
      <c r="Z29" s="92">
        <f t="shared" si="9"/>
        <v>15593735875.028587</v>
      </c>
      <c r="AA29" s="92">
        <f t="shared" si="9"/>
        <v>15722343131.131487</v>
      </c>
      <c r="AB29" s="92">
        <f t="shared" si="9"/>
        <v>15856184664.304007</v>
      </c>
      <c r="AC29" s="92">
        <f t="shared" si="9"/>
        <v>15985726794.188665</v>
      </c>
      <c r="AD29" s="92">
        <f t="shared" si="9"/>
        <v>16119067511.152935</v>
      </c>
    </row>
    <row r="30" spans="1:30">
      <c r="A30" s="2" t="s">
        <v>189</v>
      </c>
      <c r="B30" s="3">
        <f>'D6 Gallon Forecast'!B3</f>
        <v>12519647</v>
      </c>
      <c r="C30" s="3">
        <f>'D6 Gallon Forecast'!C3</f>
        <v>4172383</v>
      </c>
      <c r="D30" s="3">
        <f>'D6 Gallon Forecast'!D3</f>
        <v>745678</v>
      </c>
      <c r="E30" s="3">
        <f>'D6 Gallon Forecast'!E3</f>
        <v>36778740</v>
      </c>
      <c r="F30" s="3">
        <f>'D6 Gallon Forecast'!F3</f>
        <v>53184482</v>
      </c>
      <c r="G30" s="3">
        <f>'D6 Gallon Forecast'!G3</f>
        <v>74453091</v>
      </c>
      <c r="H30" s="3">
        <f>'D6 Gallon Forecast'!H3</f>
        <v>112882497</v>
      </c>
      <c r="I30" s="3">
        <f>'D6 Gallon Forecast'!I3</f>
        <v>0</v>
      </c>
      <c r="J30" s="3">
        <f>'D6 Gallon Forecast'!J3</f>
        <v>331927</v>
      </c>
      <c r="K30" s="3">
        <f>'D6 Gallon Forecast'!K3</f>
        <v>11178</v>
      </c>
      <c r="L30" s="3">
        <f>'D6 Gallon Forecast'!L3</f>
        <v>0</v>
      </c>
      <c r="M30" s="3">
        <f>'D6 Gallon Forecast'!M3</f>
        <v>0</v>
      </c>
      <c r="N30" s="3">
        <f>'D6 Gallon Forecast'!N3</f>
        <v>0</v>
      </c>
      <c r="O30" s="3">
        <f>'D6 Gallon Forecast'!O3</f>
        <v>9310804</v>
      </c>
      <c r="P30" s="4">
        <f>'D6 Gallon Forecast'!P3</f>
        <v>15172254</v>
      </c>
      <c r="Q30" s="4">
        <f>'D6 Gallon Forecast'!Q3</f>
        <v>5038395.7978156004</v>
      </c>
      <c r="R30" s="4">
        <f>'D6 Gallon Forecast'!R3</f>
        <v>6094063.0835431591</v>
      </c>
      <c r="S30" s="4">
        <f>'D6 Gallon Forecast'!S3</f>
        <v>7361968.7467771238</v>
      </c>
      <c r="T30" s="4">
        <f>'D6 Gallon Forecast'!T3</f>
        <v>7695943.0746212015</v>
      </c>
      <c r="U30" s="4">
        <f>'D6 Gallon Forecast'!U3</f>
        <v>8250979.8885309529</v>
      </c>
      <c r="V30" s="4">
        <f>'D6 Gallon Forecast'!V3</f>
        <v>8825995.2596822083</v>
      </c>
      <c r="W30" s="4">
        <f>'D6 Gallon Forecast'!W3</f>
        <v>9174783.5172574017</v>
      </c>
      <c r="X30" s="4">
        <f>'D6 Gallon Forecast'!X3</f>
        <v>10403411.141576782</v>
      </c>
      <c r="Y30" s="4">
        <f>'D6 Gallon Forecast'!Y3</f>
        <v>10675260.268070001</v>
      </c>
      <c r="Z30" s="4">
        <f>'D6 Gallon Forecast'!Z3</f>
        <v>11187743.430339031</v>
      </c>
      <c r="AA30" s="4">
        <f>'D6 Gallon Forecast'!AA3</f>
        <v>11856448.12803028</v>
      </c>
      <c r="AB30" s="4">
        <f>'D6 Gallon Forecast'!AB3</f>
        <v>11594871.155182995</v>
      </c>
      <c r="AC30" s="4">
        <f>'D6 Gallon Forecast'!AC3</f>
        <v>12536785.368594509</v>
      </c>
      <c r="AD30" s="4">
        <f>'D6 Gallon Forecast'!AD3</f>
        <v>13823974.401497945</v>
      </c>
    </row>
    <row r="31" spans="1:30">
      <c r="A31" s="2" t="s">
        <v>192</v>
      </c>
      <c r="B31" s="3">
        <f>'D6 Gallon Forecast'!B6</f>
        <v>6777308371</v>
      </c>
      <c r="C31" s="3">
        <f>'D6 Gallon Forecast'!C6</f>
        <v>13609057120</v>
      </c>
      <c r="D31" s="3">
        <f>'D6 Gallon Forecast'!D6</f>
        <v>12986723082</v>
      </c>
      <c r="E31" s="3">
        <f>'D6 Gallon Forecast'!E6</f>
        <v>13098970936</v>
      </c>
      <c r="F31" s="3">
        <f>'D6 Gallon Forecast'!F6</f>
        <v>14021921395</v>
      </c>
      <c r="G31" s="3">
        <f>'D6 Gallon Forecast'!G6</f>
        <v>14393318940</v>
      </c>
      <c r="H31" s="3">
        <f>'D6 Gallon Forecast'!H6</f>
        <v>14724613295</v>
      </c>
      <c r="I31" s="3">
        <f>'D6 Gallon Forecast'!I6</f>
        <v>14864220246</v>
      </c>
      <c r="J31" s="3">
        <f>'D6 Gallon Forecast'!J6</f>
        <v>14967243350</v>
      </c>
      <c r="K31" s="3">
        <f>'D6 Gallon Forecast'!K6</f>
        <v>14730393612</v>
      </c>
      <c r="L31" s="3">
        <f>'D6 Gallon Forecast'!L6</f>
        <v>12857192617</v>
      </c>
      <c r="M31" s="3">
        <f>'D6 Gallon Forecast'!M6</f>
        <v>14123603899</v>
      </c>
      <c r="N31" s="3">
        <f>'D6 Gallon Forecast'!N6</f>
        <v>14423503830</v>
      </c>
      <c r="O31" s="3">
        <f>'D6 Gallon Forecast'!O6</f>
        <v>14678741531</v>
      </c>
      <c r="P31" s="4">
        <f>'D6 Gallon Forecast'!P6</f>
        <v>14867527798</v>
      </c>
      <c r="Q31" s="4">
        <f>'D6 Gallon Forecast'!Q6</f>
        <v>14595688774.088144</v>
      </c>
      <c r="R31" s="4">
        <f>'D6 Gallon Forecast'!R6</f>
        <v>14667793890.620512</v>
      </c>
      <c r="S31" s="4">
        <f>'D6 Gallon Forecast'!S6</f>
        <v>14699514784.203905</v>
      </c>
      <c r="T31" s="4">
        <f>'D6 Gallon Forecast'!T6</f>
        <v>14846102876.012686</v>
      </c>
      <c r="U31" s="4">
        <f>'D6 Gallon Forecast'!U6</f>
        <v>14957696786.482641</v>
      </c>
      <c r="V31" s="4">
        <f>'D6 Gallon Forecast'!V6</f>
        <v>15056049140.126476</v>
      </c>
      <c r="W31" s="4">
        <f>'D6 Gallon Forecast'!W6</f>
        <v>15216356925.802042</v>
      </c>
      <c r="X31" s="4">
        <f>'D6 Gallon Forecast'!X6</f>
        <v>15328389301.091822</v>
      </c>
      <c r="Y31" s="4">
        <f>'D6 Gallon Forecast'!Y6</f>
        <v>15457248807.180265</v>
      </c>
      <c r="Z31" s="4">
        <f>'D6 Gallon Forecast'!Z6</f>
        <v>15582363954.768641</v>
      </c>
      <c r="AA31" s="4">
        <f>'D6 Gallon Forecast'!AA6</f>
        <v>15710291497.706242</v>
      </c>
      <c r="AB31" s="4">
        <f>'D6 Gallon Forecast'!AB6</f>
        <v>15844398914.029869</v>
      </c>
      <c r="AC31" s="4">
        <f>'D6 Gallon Forecast'!AC6</f>
        <v>15972983623.555962</v>
      </c>
      <c r="AD31" s="4">
        <f>'D6 Gallon Forecast'!AD6</f>
        <v>16105015961.298559</v>
      </c>
    </row>
    <row r="32" spans="1:30">
      <c r="A32" s="2" t="s">
        <v>196</v>
      </c>
      <c r="B32" s="3">
        <f>'D6 Gallon Forecast'!B9</f>
        <v>0</v>
      </c>
      <c r="C32" s="3">
        <f>'D6 Gallon Forecast'!C9</f>
        <v>0</v>
      </c>
      <c r="D32" s="3">
        <f>'D6 Gallon Forecast'!D9</f>
        <v>0</v>
      </c>
      <c r="E32" s="3">
        <f>'D6 Gallon Forecast'!E9</f>
        <v>11691</v>
      </c>
      <c r="F32" s="3">
        <f>'D6 Gallon Forecast'!F9</f>
        <v>0</v>
      </c>
      <c r="G32" s="3">
        <f>'D6 Gallon Forecast'!G9</f>
        <v>0</v>
      </c>
      <c r="H32" s="3">
        <f>'D6 Gallon Forecast'!H9</f>
        <v>125340</v>
      </c>
      <c r="I32" s="3">
        <f>'D6 Gallon Forecast'!I9</f>
        <v>0</v>
      </c>
      <c r="J32" s="3">
        <f>'D6 Gallon Forecast'!J9</f>
        <v>0</v>
      </c>
      <c r="K32" s="3">
        <f>'D6 Gallon Forecast'!K9</f>
        <v>0</v>
      </c>
      <c r="L32" s="3">
        <f>'D6 Gallon Forecast'!L9</f>
        <v>440</v>
      </c>
      <c r="M32" s="3">
        <f>'D6 Gallon Forecast'!M9</f>
        <v>0</v>
      </c>
      <c r="N32" s="3">
        <f>'D6 Gallon Forecast'!N9</f>
        <v>0</v>
      </c>
      <c r="O32" s="3">
        <f>'D6 Gallon Forecast'!O9</f>
        <v>0</v>
      </c>
      <c r="P32" s="4">
        <f>'D6 Gallon Forecast'!P9</f>
        <v>0</v>
      </c>
      <c r="Q32" s="4">
        <f>'D6 Gallon Forecast'!Q9</f>
        <v>0</v>
      </c>
      <c r="R32" s="4">
        <f>'D6 Gallon Forecast'!R9</f>
        <v>0</v>
      </c>
      <c r="S32" s="4">
        <f>'D6 Gallon Forecast'!S9</f>
        <v>0</v>
      </c>
      <c r="T32" s="4">
        <f>'D6 Gallon Forecast'!T9</f>
        <v>0</v>
      </c>
      <c r="U32" s="4">
        <f>'D6 Gallon Forecast'!U9</f>
        <v>0</v>
      </c>
      <c r="V32" s="4">
        <f>'D6 Gallon Forecast'!V9</f>
        <v>0</v>
      </c>
      <c r="W32" s="4">
        <f>'D6 Gallon Forecast'!W9</f>
        <v>0</v>
      </c>
      <c r="X32" s="4">
        <f>'D6 Gallon Forecast'!X9</f>
        <v>0</v>
      </c>
      <c r="Y32" s="4">
        <f>'D6 Gallon Forecast'!Y9</f>
        <v>0</v>
      </c>
      <c r="Z32" s="4">
        <f>'D6 Gallon Forecast'!Z9</f>
        <v>0</v>
      </c>
      <c r="AA32" s="4">
        <f>'D6 Gallon Forecast'!AA9</f>
        <v>0</v>
      </c>
      <c r="AB32" s="4">
        <f>'D6 Gallon Forecast'!AB9</f>
        <v>0</v>
      </c>
      <c r="AC32" s="4">
        <f>'D6 Gallon Forecast'!AC9</f>
        <v>0</v>
      </c>
      <c r="AD32" s="4">
        <f>'D6 Gallon Forecast'!AD9</f>
        <v>0</v>
      </c>
    </row>
    <row r="33" spans="1:30" ht="15.75" thickBot="1">
      <c r="A33" s="2" t="s">
        <v>190</v>
      </c>
      <c r="B33" s="3">
        <f>'D6 Gallon Forecast'!B12</f>
        <v>0</v>
      </c>
      <c r="C33" s="3">
        <f>'D6 Gallon Forecast'!C12</f>
        <v>0</v>
      </c>
      <c r="D33" s="3">
        <f>'D6 Gallon Forecast'!D12</f>
        <v>0</v>
      </c>
      <c r="E33" s="3">
        <f>'D6 Gallon Forecast'!E12</f>
        <v>115504168</v>
      </c>
      <c r="F33" s="3">
        <f>'D6 Gallon Forecast'!F12</f>
        <v>151391926</v>
      </c>
      <c r="G33" s="3">
        <f>'D6 Gallon Forecast'!G12</f>
        <v>200531415</v>
      </c>
      <c r="H33" s="3">
        <f>'D6 Gallon Forecast'!H12</f>
        <v>165657065</v>
      </c>
      <c r="I33" s="3">
        <f>'D6 Gallon Forecast'!I12</f>
        <v>144107197</v>
      </c>
      <c r="J33" s="3">
        <f>'D6 Gallon Forecast'!J12</f>
        <v>106508829</v>
      </c>
      <c r="K33" s="3">
        <f>'D6 Gallon Forecast'!K12</f>
        <v>116353451</v>
      </c>
      <c r="L33" s="3">
        <f>'D6 Gallon Forecast'!L12</f>
        <v>76268925</v>
      </c>
      <c r="M33" s="3">
        <f>'D6 Gallon Forecast'!M12</f>
        <v>79217986</v>
      </c>
      <c r="N33" s="3">
        <f>'D6 Gallon Forecast'!N12</f>
        <v>74962365</v>
      </c>
      <c r="O33" s="3">
        <f>'D6 Gallon Forecast'!O12</f>
        <v>60044033</v>
      </c>
      <c r="P33" s="4">
        <f>'D6 Gallon Forecast'!P12</f>
        <v>147171</v>
      </c>
      <c r="Q33" s="4">
        <f>'D6 Gallon Forecast'!Q12</f>
        <v>82943.961856176349</v>
      </c>
      <c r="R33" s="4">
        <f>'D6 Gallon Forecast'!R12</f>
        <v>100322.75276382241</v>
      </c>
      <c r="S33" s="4">
        <f>'D6 Gallon Forecast'!S12</f>
        <v>121195.49146650678</v>
      </c>
      <c r="T33" s="4">
        <f>'D6 Gallon Forecast'!T12</f>
        <v>126693.50214713873</v>
      </c>
      <c r="U33" s="4">
        <f>'D6 Gallon Forecast'!U12</f>
        <v>135830.72640841323</v>
      </c>
      <c r="V33" s="4">
        <f>'D6 Gallon Forecast'!V12</f>
        <v>145296.84517426378</v>
      </c>
      <c r="W33" s="4">
        <f>'D6 Gallon Forecast'!W12</f>
        <v>151038.72832380547</v>
      </c>
      <c r="X33" s="4">
        <f>'D6 Gallon Forecast'!X12</f>
        <v>171264.85721411082</v>
      </c>
      <c r="Y33" s="4">
        <f>'D6 Gallon Forecast'!Y12</f>
        <v>175740.13952286952</v>
      </c>
      <c r="Z33" s="4">
        <f>'D6 Gallon Forecast'!Z12</f>
        <v>184176.82960617027</v>
      </c>
      <c r="AA33" s="4">
        <f>'D6 Gallon Forecast'!AA12</f>
        <v>195185.29721452997</v>
      </c>
      <c r="AB33" s="4">
        <f>'D6 Gallon Forecast'!AB12</f>
        <v>190879.1189528488</v>
      </c>
      <c r="AC33" s="4">
        <f>'D6 Gallon Forecast'!AC12</f>
        <v>206385.26410779406</v>
      </c>
      <c r="AD33" s="4">
        <f>'D6 Gallon Forecast'!AD12</f>
        <v>227575.45287643326</v>
      </c>
    </row>
    <row r="34" spans="1:30">
      <c r="A34" s="90" t="s">
        <v>181</v>
      </c>
      <c r="B34" s="91">
        <f>SUM(B35:B36)</f>
        <v>0</v>
      </c>
      <c r="C34" s="91">
        <f t="shared" ref="C34:L34" si="10">SUM(C35:C36)</f>
        <v>0</v>
      </c>
      <c r="D34" s="91">
        <f t="shared" si="10"/>
        <v>1024</v>
      </c>
      <c r="E34" s="91">
        <f t="shared" si="10"/>
        <v>232808</v>
      </c>
      <c r="F34" s="91">
        <f t="shared" si="10"/>
        <v>55657</v>
      </c>
      <c r="G34" s="91">
        <f t="shared" si="10"/>
        <v>275315</v>
      </c>
      <c r="H34" s="91">
        <f t="shared" si="10"/>
        <v>534429</v>
      </c>
      <c r="I34" s="91">
        <f t="shared" si="10"/>
        <v>1743705</v>
      </c>
      <c r="J34" s="91">
        <f t="shared" si="10"/>
        <v>2446620</v>
      </c>
      <c r="K34" s="91">
        <f t="shared" si="10"/>
        <v>1315943</v>
      </c>
      <c r="L34" s="91">
        <f t="shared" si="10"/>
        <v>55892</v>
      </c>
      <c r="M34" s="91">
        <f>SUM(M35:M36)</f>
        <v>247518</v>
      </c>
      <c r="N34" s="91">
        <f>SUM(N35:N36)</f>
        <v>236352</v>
      </c>
      <c r="O34" s="91">
        <f t="shared" ref="O34:AD34" si="11">SUM(O35:O36)</f>
        <v>208643</v>
      </c>
      <c r="P34" s="92">
        <f t="shared" si="11"/>
        <v>227964</v>
      </c>
      <c r="Q34" s="92">
        <f t="shared" si="11"/>
        <v>217771.19999998808</v>
      </c>
      <c r="R34" s="92">
        <f t="shared" si="11"/>
        <v>271325.86666665971</v>
      </c>
      <c r="S34" s="92">
        <f t="shared" si="11"/>
        <v>243190.80444443412</v>
      </c>
      <c r="T34" s="92">
        <f t="shared" si="11"/>
        <v>255412.79407405853</v>
      </c>
      <c r="U34" s="92">
        <f t="shared" si="11"/>
        <v>270693.01590121537</v>
      </c>
      <c r="V34" s="92">
        <f t="shared" si="11"/>
        <v>277569.76013166457</v>
      </c>
      <c r="W34" s="92">
        <f t="shared" si="11"/>
        <v>286925.53066883609</v>
      </c>
      <c r="X34" s="92">
        <f t="shared" si="11"/>
        <v>287161.16953778453</v>
      </c>
      <c r="Y34" s="92">
        <f t="shared" si="11"/>
        <v>302285.52374114841</v>
      </c>
      <c r="Z34" s="92">
        <f t="shared" si="11"/>
        <v>309320.35365401767</v>
      </c>
      <c r="AA34" s="92">
        <f t="shared" si="11"/>
        <v>315744.52078525163</v>
      </c>
      <c r="AB34" s="92">
        <f t="shared" si="11"/>
        <v>323819.40572913364</v>
      </c>
      <c r="AC34" s="92">
        <f t="shared" si="11"/>
        <v>331934.84324837103</v>
      </c>
      <c r="AD34" s="92">
        <f t="shared" si="11"/>
        <v>341200.38761409745</v>
      </c>
    </row>
    <row r="35" spans="1:30">
      <c r="A35" s="2" t="s">
        <v>197</v>
      </c>
      <c r="B35" s="3">
        <f>'D7 Gallon Forecast'!B3</f>
        <v>0</v>
      </c>
      <c r="C35" s="3">
        <f>'D7 Gallon Forecast'!C3</f>
        <v>0</v>
      </c>
      <c r="D35" s="3">
        <f>'D7 Gallon Forecast'!D3</f>
        <v>1024</v>
      </c>
      <c r="E35" s="3">
        <f>'D7 Gallon Forecast'!E3</f>
        <v>232808</v>
      </c>
      <c r="F35" s="3">
        <f>'D7 Gallon Forecast'!F3</f>
        <v>5211</v>
      </c>
      <c r="G35" s="3">
        <f>'D7 Gallon Forecast'!G3</f>
        <v>0</v>
      </c>
      <c r="H35" s="3">
        <f>'D7 Gallon Forecast'!H3</f>
        <v>0</v>
      </c>
      <c r="I35" s="3">
        <f>'D7 Gallon Forecast'!I3</f>
        <v>270</v>
      </c>
      <c r="J35" s="3">
        <f>'D7 Gallon Forecast'!J3</f>
        <v>6620</v>
      </c>
      <c r="K35" s="3">
        <f>'D7 Gallon Forecast'!K3</f>
        <v>0</v>
      </c>
      <c r="L35" s="3">
        <f>'D7 Gallon Forecast'!L3</f>
        <v>0</v>
      </c>
      <c r="M35" s="3">
        <f>'D7 Gallon Forecast'!M3</f>
        <v>0</v>
      </c>
      <c r="N35" s="3">
        <f>'D7 Gallon Forecast'!N3</f>
        <v>0</v>
      </c>
      <c r="O35" s="3">
        <f>'D7 Gallon Forecast'!O3</f>
        <v>0</v>
      </c>
      <c r="P35" s="4">
        <f>'D7 Gallon Forecast'!P3</f>
        <v>0</v>
      </c>
      <c r="Q35" s="4">
        <f>'D7 Gallon Forecast'!Q3</f>
        <v>9.061861503723776</v>
      </c>
      <c r="R35" s="4">
        <f>'D7 Gallon Forecast'!R3</f>
        <v>42.983481559786014</v>
      </c>
      <c r="S35" s="4">
        <f>'D7 Gallon Forecast'!S3</f>
        <v>12.291554642724805</v>
      </c>
      <c r="T35" s="4">
        <f>'D7 Gallon Forecast'!T3</f>
        <v>25.624257073970512</v>
      </c>
      <c r="U35" s="4">
        <f>'D7 Gallon Forecast'!U3</f>
        <v>42.293118436005898</v>
      </c>
      <c r="V35" s="4">
        <f>'D7 Gallon Forecast'!V3</f>
        <v>49.794809019891545</v>
      </c>
      <c r="W35" s="4">
        <f>'D7 Gallon Forecast'!W3</f>
        <v>60.00081543676788</v>
      </c>
      <c r="X35" s="4">
        <f>'D7 Gallon Forecast'!X3</f>
        <v>60.257868749380577</v>
      </c>
      <c r="Y35" s="4">
        <f>'D7 Gallon Forecast'!Y3</f>
        <v>76.756697513628751</v>
      </c>
      <c r="Z35" s="4">
        <f>'D7 Gallon Forecast'!Z3</f>
        <v>84.430840327113401</v>
      </c>
      <c r="AA35" s="4">
        <f>'D7 Gallon Forecast'!AA3</f>
        <v>91.438824405369814</v>
      </c>
      <c r="AB35" s="4">
        <f>'D7 Gallon Forecast'!AB3</f>
        <v>100.24754061165731</v>
      </c>
      <c r="AC35" s="4">
        <f>'D7 Gallon Forecast'!AC3</f>
        <v>109.10049473959953</v>
      </c>
      <c r="AD35" s="4">
        <f>'D7 Gallon Forecast'!AD3</f>
        <v>119.20807539013913</v>
      </c>
    </row>
    <row r="36" spans="1:30" ht="15.75" thickBot="1">
      <c r="A36" s="2" t="s">
        <v>198</v>
      </c>
      <c r="B36" s="3">
        <f>'D7 Gallon Forecast'!B8</f>
        <v>0</v>
      </c>
      <c r="C36" s="3">
        <f>'D7 Gallon Forecast'!C8</f>
        <v>0</v>
      </c>
      <c r="D36" s="3">
        <f>'D7 Gallon Forecast'!D8</f>
        <v>0</v>
      </c>
      <c r="E36" s="3">
        <f>'D7 Gallon Forecast'!E8</f>
        <v>0</v>
      </c>
      <c r="F36" s="3">
        <f>'D7 Gallon Forecast'!F8</f>
        <v>50446</v>
      </c>
      <c r="G36" s="3">
        <f>'D7 Gallon Forecast'!G8</f>
        <v>275315</v>
      </c>
      <c r="H36" s="3">
        <f>'D7 Gallon Forecast'!H8</f>
        <v>534429</v>
      </c>
      <c r="I36" s="3">
        <f>'D7 Gallon Forecast'!I8</f>
        <v>1743435</v>
      </c>
      <c r="J36" s="3">
        <f>'D7 Gallon Forecast'!J8</f>
        <v>2440000</v>
      </c>
      <c r="K36" s="3">
        <f>'D7 Gallon Forecast'!K8</f>
        <v>1315943</v>
      </c>
      <c r="L36" s="3">
        <f>'D7 Gallon Forecast'!L8</f>
        <v>55892</v>
      </c>
      <c r="M36" s="3">
        <f>'D7 Gallon Forecast'!M8</f>
        <v>247518</v>
      </c>
      <c r="N36" s="3">
        <f>'D7 Gallon Forecast'!N8</f>
        <v>236352</v>
      </c>
      <c r="O36" s="3">
        <f>'D7 Gallon Forecast'!O8</f>
        <v>208643</v>
      </c>
      <c r="P36" s="4">
        <f>'D7 Gallon Forecast'!P8</f>
        <v>227964</v>
      </c>
      <c r="Q36" s="4">
        <f>'D7 Gallon Forecast'!Q8</f>
        <v>217762.13813848436</v>
      </c>
      <c r="R36" s="4">
        <f>'D7 Gallon Forecast'!R8</f>
        <v>271282.88318509993</v>
      </c>
      <c r="S36" s="4">
        <f>'D7 Gallon Forecast'!S8</f>
        <v>243178.5128897914</v>
      </c>
      <c r="T36" s="4">
        <f>'D7 Gallon Forecast'!T8</f>
        <v>255387.16981698456</v>
      </c>
      <c r="U36" s="4">
        <f>'D7 Gallon Forecast'!U8</f>
        <v>270650.72278277937</v>
      </c>
      <c r="V36" s="4">
        <f>'D7 Gallon Forecast'!V8</f>
        <v>277519.96532264468</v>
      </c>
      <c r="W36" s="4">
        <f>'D7 Gallon Forecast'!W8</f>
        <v>286865.52985339932</v>
      </c>
      <c r="X36" s="4">
        <f>'D7 Gallon Forecast'!X8</f>
        <v>287100.91166903515</v>
      </c>
      <c r="Y36" s="4">
        <f>'D7 Gallon Forecast'!Y8</f>
        <v>302208.76704363478</v>
      </c>
      <c r="Z36" s="4">
        <f>'D7 Gallon Forecast'!Z8</f>
        <v>309235.92281369056</v>
      </c>
      <c r="AA36" s="4">
        <f>'D7 Gallon Forecast'!AA8</f>
        <v>315653.08196084626</v>
      </c>
      <c r="AB36" s="4">
        <f>'D7 Gallon Forecast'!AB8</f>
        <v>323719.15818852198</v>
      </c>
      <c r="AC36" s="4">
        <f>'D7 Gallon Forecast'!AC8</f>
        <v>331825.74275363144</v>
      </c>
      <c r="AD36" s="4">
        <f>'D7 Gallon Forecast'!AD8</f>
        <v>341081.17953870731</v>
      </c>
    </row>
    <row r="37" spans="1:30">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row>
    <row r="38" spans="1:30">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c r="A40" s="2" t="s">
        <v>199</v>
      </c>
      <c r="B40" s="3">
        <f>B19+B30</f>
        <v>226963003</v>
      </c>
      <c r="C40" s="3">
        <f t="shared" ref="C40:J40" si="12">C19+C30</f>
        <v>1081549902</v>
      </c>
      <c r="D40" s="3">
        <f t="shared" si="12"/>
        <v>1057176449</v>
      </c>
      <c r="E40" s="3">
        <f t="shared" si="12"/>
        <v>1571180819</v>
      </c>
      <c r="F40" s="3">
        <f t="shared" si="12"/>
        <v>1488723198</v>
      </c>
      <c r="G40" s="3">
        <f t="shared" si="12"/>
        <v>1589937580</v>
      </c>
      <c r="H40" s="3">
        <f t="shared" si="12"/>
        <v>2307275437</v>
      </c>
      <c r="I40" s="3">
        <f t="shared" si="12"/>
        <v>2050164384</v>
      </c>
      <c r="J40" s="3">
        <f t="shared" si="12"/>
        <v>2030594071</v>
      </c>
      <c r="K40" s="3">
        <f>K19+K30</f>
        <v>1898515130</v>
      </c>
      <c r="L40" s="3">
        <f>L19+L30</f>
        <v>2034367312</v>
      </c>
      <c r="M40" s="3">
        <f>M19+M30</f>
        <v>1913078061</v>
      </c>
      <c r="N40" s="3">
        <f>N19+N30</f>
        <v>1860533654</v>
      </c>
      <c r="O40" s="3">
        <f t="shared" ref="O40:AD40" si="13">O19+O30</f>
        <v>2183493984</v>
      </c>
      <c r="P40" s="4">
        <f t="shared" si="13"/>
        <v>2073990064</v>
      </c>
      <c r="Q40" s="4">
        <f t="shared" si="13"/>
        <v>1925954436.8642268</v>
      </c>
      <c r="R40" s="4">
        <f t="shared" si="13"/>
        <v>1652382983.9763932</v>
      </c>
      <c r="S40" s="4">
        <f t="shared" si="13"/>
        <v>1672147368.6026449</v>
      </c>
      <c r="T40" s="4">
        <f t="shared" si="13"/>
        <v>1393904224.8270702</v>
      </c>
      <c r="U40" s="4">
        <f t="shared" si="13"/>
        <v>1573167762.7863221</v>
      </c>
      <c r="V40" s="4">
        <f t="shared" si="13"/>
        <v>1599887969.1145666</v>
      </c>
      <c r="W40" s="4">
        <f t="shared" si="13"/>
        <v>1572123138.4461985</v>
      </c>
      <c r="X40" s="4">
        <f t="shared" si="13"/>
        <v>1631523155.1330748</v>
      </c>
      <c r="Y40" s="4">
        <f t="shared" si="13"/>
        <v>1533862018.6316206</v>
      </c>
      <c r="Z40" s="4">
        <f t="shared" si="13"/>
        <v>1497942676.7177336</v>
      </c>
      <c r="AA40" s="4">
        <f t="shared" si="13"/>
        <v>1430842856.8893468</v>
      </c>
      <c r="AB40" s="4">
        <f t="shared" si="13"/>
        <v>1195145653.2072318</v>
      </c>
      <c r="AC40" s="4">
        <f t="shared" si="13"/>
        <v>974785090.24673605</v>
      </c>
      <c r="AD40" s="4">
        <f t="shared" si="13"/>
        <v>938759041.43471694</v>
      </c>
    </row>
    <row r="41" spans="1:30">
      <c r="A41" s="2" t="s">
        <v>200</v>
      </c>
      <c r="B41" s="3">
        <f>B20+B24+B33</f>
        <v>8776593</v>
      </c>
      <c r="C41" s="3">
        <f t="shared" ref="C41:J41" si="14">C20+C24+C33</f>
        <v>62041290</v>
      </c>
      <c r="D41" s="3">
        <f t="shared" si="14"/>
        <v>102674024</v>
      </c>
      <c r="E41" s="3">
        <f t="shared" si="14"/>
        <v>416685400</v>
      </c>
      <c r="F41" s="3">
        <f t="shared" si="14"/>
        <v>487892696</v>
      </c>
      <c r="G41" s="3">
        <f t="shared" si="14"/>
        <v>513144574</v>
      </c>
      <c r="H41" s="3">
        <f t="shared" si="14"/>
        <v>591173471</v>
      </c>
      <c r="I41" s="3">
        <f t="shared" si="14"/>
        <v>602723820</v>
      </c>
      <c r="J41" s="3">
        <f t="shared" si="14"/>
        <v>615331084</v>
      </c>
      <c r="K41" s="3">
        <f>K20+K24+K33</f>
        <v>912510286</v>
      </c>
      <c r="L41" s="3">
        <f>L20+L24+L33</f>
        <v>968988239</v>
      </c>
      <c r="M41" s="3">
        <f>M20+M24+M33</f>
        <v>1316441940</v>
      </c>
      <c r="N41" s="3">
        <f>N20+N24+N33</f>
        <v>1901759154</v>
      </c>
      <c r="O41" s="3">
        <f t="shared" ref="O41:AD41" si="15">O20+O24+O33</f>
        <v>2908548335</v>
      </c>
      <c r="P41" s="4">
        <f t="shared" si="15"/>
        <v>3563924491</v>
      </c>
      <c r="Q41" s="4">
        <f t="shared" si="15"/>
        <v>2774477843.3827929</v>
      </c>
      <c r="R41" s="4">
        <f t="shared" si="15"/>
        <v>2962893857.926424</v>
      </c>
      <c r="S41" s="4">
        <f t="shared" si="15"/>
        <v>3219032381.0559907</v>
      </c>
      <c r="T41" s="4">
        <f t="shared" si="15"/>
        <v>3255027175.5617623</v>
      </c>
      <c r="U41" s="4">
        <f t="shared" si="15"/>
        <v>3258061929.5180202</v>
      </c>
      <c r="V41" s="4">
        <f t="shared" si="15"/>
        <v>3382712462.134232</v>
      </c>
      <c r="W41" s="4">
        <f t="shared" si="15"/>
        <v>3651348056.0488386</v>
      </c>
      <c r="X41" s="4">
        <f t="shared" si="15"/>
        <v>4274108414.4824977</v>
      </c>
      <c r="Y41" s="4">
        <f t="shared" si="15"/>
        <v>4245281018.8645892</v>
      </c>
      <c r="Z41" s="4">
        <f t="shared" si="15"/>
        <v>4123905396.7403932</v>
      </c>
      <c r="AA41" s="4">
        <f t="shared" si="15"/>
        <v>4359992572.7473412</v>
      </c>
      <c r="AB41" s="4">
        <f t="shared" si="15"/>
        <v>4609975346.6598043</v>
      </c>
      <c r="AC41" s="4">
        <f t="shared" si="15"/>
        <v>5215827511.8644981</v>
      </c>
      <c r="AD41" s="4">
        <f t="shared" si="15"/>
        <v>5749296208.3064661</v>
      </c>
    </row>
    <row r="42" spans="1:30">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c r="A43" s="2" t="s">
        <v>201</v>
      </c>
      <c r="B43" s="3">
        <f>'D4 Gallon Forecast'!B81</f>
        <v>201955850</v>
      </c>
      <c r="C43" s="3">
        <f>'D4 Gallon Forecast'!C81</f>
        <v>1032917947</v>
      </c>
      <c r="D43" s="3">
        <f>'D4 Gallon Forecast'!D81</f>
        <v>1016202001</v>
      </c>
      <c r="E43" s="3">
        <f>'D4 Gallon Forecast'!E81</f>
        <v>1378586362</v>
      </c>
      <c r="F43" s="3">
        <f>'D4 Gallon Forecast'!F81</f>
        <v>1305909690</v>
      </c>
      <c r="G43" s="3">
        <f>'D4 Gallon Forecast'!G81</f>
        <v>1254228294</v>
      </c>
      <c r="H43" s="3">
        <f>'D4 Gallon Forecast'!H81</f>
        <v>1632752622</v>
      </c>
      <c r="I43" s="3">
        <f>'D4 Gallon Forecast'!I81</f>
        <v>1588249740</v>
      </c>
      <c r="J43" s="3">
        <f>'D4 Gallon Forecast'!J81</f>
        <v>1855120823</v>
      </c>
      <c r="K43" s="3">
        <f>'D4 Gallon Forecast'!K81</f>
        <v>1713762399</v>
      </c>
      <c r="L43" s="3">
        <f>'D4 Gallon Forecast'!L81</f>
        <v>1824873638</v>
      </c>
      <c r="M43" s="3">
        <f>'D4 Gallon Forecast'!M81</f>
        <v>1704627334</v>
      </c>
      <c r="N43" s="3">
        <f>'D4 Gallon Forecast'!N81</f>
        <v>1620209063</v>
      </c>
      <c r="O43" s="3">
        <f>'D4 Gallon Forecast'!O81</f>
        <v>1669248877</v>
      </c>
      <c r="P43" s="4">
        <f>'D4 Gallon Forecast'!P81</f>
        <v>1660766492</v>
      </c>
      <c r="Q43" s="4">
        <f>'D4 Gallon Forecast'!Q81</f>
        <v>1580916041.0664113</v>
      </c>
      <c r="R43" s="4">
        <f>'D4 Gallon Forecast'!R81</f>
        <v>1456288920.8928502</v>
      </c>
      <c r="S43" s="4">
        <f>'D4 Gallon Forecast'!S81</f>
        <v>1464785399.8558679</v>
      </c>
      <c r="T43" s="4">
        <f>'D4 Gallon Forecast'!T81</f>
        <v>1166208281.752449</v>
      </c>
      <c r="U43" s="4">
        <f>'D4 Gallon Forecast'!U81</f>
        <v>1344916782.8977911</v>
      </c>
      <c r="V43" s="4">
        <f>'D4 Gallon Forecast'!V81</f>
        <v>1361061973.8548844</v>
      </c>
      <c r="W43" s="4">
        <f>'D4 Gallon Forecast'!W81</f>
        <v>1352948354.928941</v>
      </c>
      <c r="X43" s="4">
        <f>'D4 Gallon Forecast'!X81</f>
        <v>1431119743.991498</v>
      </c>
      <c r="Y43" s="4">
        <f>'D4 Gallon Forecast'!Y81</f>
        <v>1343186758.3635507</v>
      </c>
      <c r="Z43" s="4">
        <f>'D4 Gallon Forecast'!Z81</f>
        <v>1311754933.2873945</v>
      </c>
      <c r="AA43" s="4">
        <f>'D4 Gallon Forecast'!AA81</f>
        <v>1258986408.7613165</v>
      </c>
      <c r="AB43" s="4">
        <f>'D4 Gallon Forecast'!AB81</f>
        <v>1053550782.0520486</v>
      </c>
      <c r="AC43" s="4">
        <f>'D4 Gallon Forecast'!AC81</f>
        <v>852248304.87814152</v>
      </c>
      <c r="AD43" s="4">
        <f>'D4 Gallon Forecast'!AD81</f>
        <v>834935067.03321898</v>
      </c>
    </row>
    <row r="44" spans="1:30">
      <c r="A44" s="2" t="s">
        <v>202</v>
      </c>
      <c r="B44" s="3">
        <f>'D4 Gallon Forecast'!B97</f>
        <v>0</v>
      </c>
      <c r="C44" s="3">
        <f>'D4 Gallon Forecast'!C97</f>
        <v>0</v>
      </c>
      <c r="D44" s="3">
        <f>'D4 Gallon Forecast'!D97</f>
        <v>6781908</v>
      </c>
      <c r="E44" s="3">
        <f>'D4 Gallon Forecast'!E97</f>
        <v>2790763</v>
      </c>
      <c r="F44" s="3">
        <f>'D4 Gallon Forecast'!F97</f>
        <v>0</v>
      </c>
      <c r="G44" s="3">
        <f>'D4 Gallon Forecast'!G97</f>
        <v>0</v>
      </c>
      <c r="H44" s="3">
        <f>'D4 Gallon Forecast'!H97</f>
        <v>0</v>
      </c>
      <c r="I44" s="3">
        <f>'D4 Gallon Forecast'!I97</f>
        <v>0</v>
      </c>
      <c r="J44" s="3">
        <f>'D4 Gallon Forecast'!J97</f>
        <v>0</v>
      </c>
      <c r="K44" s="3">
        <f>'D4 Gallon Forecast'!K97</f>
        <v>0</v>
      </c>
      <c r="L44" s="3">
        <f>'D4 Gallon Forecast'!L97</f>
        <v>0</v>
      </c>
      <c r="M44" s="3">
        <f>'D4 Gallon Forecast'!M97</f>
        <v>0</v>
      </c>
      <c r="N44" s="3">
        <f>'D4 Gallon Forecast'!N97</f>
        <v>0</v>
      </c>
      <c r="O44" s="3">
        <f>'D4 Gallon Forecast'!O97</f>
        <v>0</v>
      </c>
      <c r="P44" s="4">
        <f>'D4 Gallon Forecast'!P97</f>
        <v>0</v>
      </c>
      <c r="Q44" s="4">
        <f>'D4 Gallon Forecast'!Q97</f>
        <v>0</v>
      </c>
      <c r="R44" s="4">
        <f>'D4 Gallon Forecast'!R97</f>
        <v>0</v>
      </c>
      <c r="S44" s="4">
        <f>'D4 Gallon Forecast'!S97</f>
        <v>0</v>
      </c>
      <c r="T44" s="4">
        <f>'D4 Gallon Forecast'!T97</f>
        <v>0</v>
      </c>
      <c r="U44" s="4">
        <f>'D4 Gallon Forecast'!U97</f>
        <v>0</v>
      </c>
      <c r="V44" s="4">
        <f>'D4 Gallon Forecast'!V97</f>
        <v>0</v>
      </c>
      <c r="W44" s="4">
        <f>'D4 Gallon Forecast'!W97</f>
        <v>0</v>
      </c>
      <c r="X44" s="4">
        <f>'D4 Gallon Forecast'!X97</f>
        <v>0</v>
      </c>
      <c r="Y44" s="4">
        <f>'D4 Gallon Forecast'!Y97</f>
        <v>0</v>
      </c>
      <c r="Z44" s="4">
        <f>'D4 Gallon Forecast'!Z97</f>
        <v>0</v>
      </c>
      <c r="AA44" s="4">
        <f>'D4 Gallon Forecast'!AA97</f>
        <v>0</v>
      </c>
      <c r="AB44" s="4">
        <f>'D4 Gallon Forecast'!AB97</f>
        <v>0</v>
      </c>
      <c r="AC44" s="4">
        <f>'D4 Gallon Forecast'!AC97</f>
        <v>0</v>
      </c>
      <c r="AD44" s="4">
        <f>'D4 Gallon Forecast'!AD97</f>
        <v>0</v>
      </c>
    </row>
    <row r="45" spans="1:30">
      <c r="A45" s="2" t="s">
        <v>203</v>
      </c>
      <c r="B45" s="3">
        <f>'D4 Gallon Forecast'!B113</f>
        <v>12487506</v>
      </c>
      <c r="C45" s="3">
        <f>'D4 Gallon Forecast'!C113</f>
        <v>44459572</v>
      </c>
      <c r="D45" s="3">
        <f>'D4 Gallon Forecast'!D113</f>
        <v>33446862</v>
      </c>
      <c r="E45" s="3">
        <f>'D4 Gallon Forecast'!E113</f>
        <v>153024954</v>
      </c>
      <c r="F45" s="3">
        <f>'D4 Gallon Forecast'!F113</f>
        <v>129629026</v>
      </c>
      <c r="G45" s="3">
        <f>'D4 Gallon Forecast'!G113</f>
        <v>261256195</v>
      </c>
      <c r="H45" s="3">
        <f>'D4 Gallon Forecast'!H113</f>
        <v>561640318</v>
      </c>
      <c r="I45" s="3">
        <f>'D4 Gallon Forecast'!I113</f>
        <v>461914644</v>
      </c>
      <c r="J45" s="3">
        <f>'D4 Gallon Forecast'!J113</f>
        <v>175141321</v>
      </c>
      <c r="K45" s="3">
        <f>'D4 Gallon Forecast'!K113</f>
        <v>184741553</v>
      </c>
      <c r="L45" s="3">
        <f>'D4 Gallon Forecast'!L113</f>
        <v>209493674</v>
      </c>
      <c r="M45" s="3">
        <f>'D4 Gallon Forecast'!M113</f>
        <v>208450727</v>
      </c>
      <c r="N45" s="3">
        <f>'D4 Gallon Forecast'!N113</f>
        <v>240324591</v>
      </c>
      <c r="O45" s="3">
        <f>'D4 Gallon Forecast'!O113</f>
        <v>504934303</v>
      </c>
      <c r="P45" s="4">
        <f>'D4 Gallon Forecast'!P113</f>
        <v>398051318</v>
      </c>
      <c r="Q45" s="4">
        <f>'D4 Gallon Forecast'!Q113</f>
        <v>340000000</v>
      </c>
      <c r="R45" s="4">
        <f>'D4 Gallon Forecast'!R113</f>
        <v>190000000</v>
      </c>
      <c r="S45" s="4">
        <f>'D4 Gallon Forecast'!S113</f>
        <v>200000000</v>
      </c>
      <c r="T45" s="4">
        <f>'D4 Gallon Forecast'!T113</f>
        <v>220000000</v>
      </c>
      <c r="U45" s="4">
        <f>'D4 Gallon Forecast'!U113</f>
        <v>220000000</v>
      </c>
      <c r="V45" s="4">
        <f>'D4 Gallon Forecast'!V113</f>
        <v>230000000</v>
      </c>
      <c r="W45" s="4">
        <f>'D4 Gallon Forecast'!W113</f>
        <v>210000000</v>
      </c>
      <c r="X45" s="4">
        <f>'D4 Gallon Forecast'!X113</f>
        <v>190000000</v>
      </c>
      <c r="Y45" s="4">
        <f>'D4 Gallon Forecast'!Y113</f>
        <v>180000000</v>
      </c>
      <c r="Z45" s="4">
        <f>'D4 Gallon Forecast'!Z113</f>
        <v>175000000</v>
      </c>
      <c r="AA45" s="4">
        <f>'D4 Gallon Forecast'!AA113</f>
        <v>160000000</v>
      </c>
      <c r="AB45" s="4">
        <f>'D4 Gallon Forecast'!AB113</f>
        <v>130000000</v>
      </c>
      <c r="AC45" s="4">
        <f>'D4 Gallon Forecast'!AC113</f>
        <v>110000000</v>
      </c>
      <c r="AD45" s="4">
        <f>'D4 Gallon Forecast'!AD113</f>
        <v>90000000</v>
      </c>
    </row>
    <row r="46" spans="1:30">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c r="A47" s="2" t="s">
        <v>204</v>
      </c>
      <c r="B47" s="3">
        <f>'D4 Gallon Forecast'!B145</f>
        <v>959557</v>
      </c>
      <c r="C47" s="3">
        <f>'D4 Gallon Forecast'!C145</f>
        <v>45321674</v>
      </c>
      <c r="D47" s="3">
        <f>'D4 Gallon Forecast'!D145</f>
        <v>40195484</v>
      </c>
      <c r="E47" s="3">
        <f>'D4 Gallon Forecast'!E145</f>
        <v>72007416</v>
      </c>
      <c r="F47" s="3">
        <f>'D4 Gallon Forecast'!F145</f>
        <v>150536188</v>
      </c>
      <c r="G47" s="3">
        <f>'D4 Gallon Forecast'!G145</f>
        <v>171867841</v>
      </c>
      <c r="H47" s="3">
        <f>'D4 Gallon Forecast'!H145</f>
        <v>236821419</v>
      </c>
      <c r="I47" s="3">
        <f>'D4 Gallon Forecast'!I145</f>
        <v>253194888</v>
      </c>
      <c r="J47" s="3">
        <f>'D4 Gallon Forecast'!J145</f>
        <v>281876562</v>
      </c>
      <c r="K47" s="3">
        <f>'D4 Gallon Forecast'!K145</f>
        <v>457843380</v>
      </c>
      <c r="L47" s="3">
        <f>'D4 Gallon Forecast'!L145</f>
        <v>482911676</v>
      </c>
      <c r="M47" s="3">
        <f>'D4 Gallon Forecast'!M145</f>
        <v>782990100</v>
      </c>
      <c r="N47" s="3">
        <f>'D4 Gallon Forecast'!N145</f>
        <v>1379369642</v>
      </c>
      <c r="O47" s="3">
        <f>'D4 Gallon Forecast'!O145</f>
        <v>2355081277</v>
      </c>
      <c r="P47" s="4">
        <f>'D4 Gallon Forecast'!P145</f>
        <v>3070181870</v>
      </c>
      <c r="Q47" s="4">
        <f>'D4 Gallon Forecast'!Q145</f>
        <v>2489424885.5975428</v>
      </c>
      <c r="R47" s="4">
        <f>'D4 Gallon Forecast'!R145</f>
        <v>2614396737.1808534</v>
      </c>
      <c r="S47" s="4">
        <f>'D4 Gallon Forecast'!S145</f>
        <v>2876042035.1819401</v>
      </c>
      <c r="T47" s="4">
        <f>'D4 Gallon Forecast'!T145</f>
        <v>2928998443.8623223</v>
      </c>
      <c r="U47" s="4">
        <f>'D4 Gallon Forecast'!U145</f>
        <v>2946283440.013401</v>
      </c>
      <c r="V47" s="4">
        <f>'D4 Gallon Forecast'!V145</f>
        <v>3084939174.1517019</v>
      </c>
      <c r="W47" s="4">
        <f>'D4 Gallon Forecast'!W145</f>
        <v>3349296816.0478544</v>
      </c>
      <c r="X47" s="4">
        <f>'D4 Gallon Forecast'!X145</f>
        <v>3978045701.7119684</v>
      </c>
      <c r="Y47" s="4">
        <f>'D4 Gallon Forecast'!Y145</f>
        <v>3954307174.8947406</v>
      </c>
      <c r="Z47" s="4">
        <f>'D4 Gallon Forecast'!Z145</f>
        <v>3835069000.9408054</v>
      </c>
      <c r="AA47" s="4">
        <f>'D4 Gallon Forecast'!AA145</f>
        <v>4062954391.0529933</v>
      </c>
      <c r="AB47" s="4">
        <f>'D4 Gallon Forecast'!AB145</f>
        <v>4404588511.1892891</v>
      </c>
      <c r="AC47" s="4">
        <f>'D4 Gallon Forecast'!AC145</f>
        <v>5019945796.2512598</v>
      </c>
      <c r="AD47" s="4">
        <f>'D4 Gallon Forecast'!AD145</f>
        <v>5537626882.8702278</v>
      </c>
    </row>
    <row r="48" spans="1:30">
      <c r="A48" s="2" t="s">
        <v>205</v>
      </c>
      <c r="B48" s="3">
        <f>'D4 Gallon Forecast'!B209</f>
        <v>0</v>
      </c>
      <c r="C48" s="3">
        <f>'D4 Gallon Forecast'!C209</f>
        <v>0</v>
      </c>
      <c r="D48" s="3">
        <f>'D4 Gallon Forecast'!D209</f>
        <v>50272922</v>
      </c>
      <c r="E48" s="3">
        <f>'D4 Gallon Forecast'!E209</f>
        <v>166292775</v>
      </c>
      <c r="F48" s="3">
        <f>'D4 Gallon Forecast'!F209</f>
        <v>171747164</v>
      </c>
      <c r="G48" s="3">
        <f>'D4 Gallon Forecast'!G209</f>
        <v>135765543</v>
      </c>
      <c r="H48" s="3">
        <f>'D4 Gallon Forecast'!H209</f>
        <v>184028971</v>
      </c>
      <c r="I48" s="3">
        <f>'D4 Gallon Forecast'!I209</f>
        <v>199517243</v>
      </c>
      <c r="J48" s="3">
        <f>'D4 Gallon Forecast'!J209</f>
        <v>203337808</v>
      </c>
      <c r="K48" s="3">
        <f>'D4 Gallon Forecast'!K209</f>
        <v>304019646</v>
      </c>
      <c r="L48" s="3">
        <f>'D4 Gallon Forecast'!L209</f>
        <v>359210967</v>
      </c>
      <c r="M48" s="3">
        <f>'D4 Gallon Forecast'!M209</f>
        <v>388929141</v>
      </c>
      <c r="N48" s="3">
        <f>'D4 Gallon Forecast'!N209</f>
        <v>371460083</v>
      </c>
      <c r="O48" s="3">
        <f>'D4 Gallon Forecast'!O209</f>
        <v>421261921</v>
      </c>
      <c r="P48" s="4">
        <f>'D4 Gallon Forecast'!P209</f>
        <v>313982105</v>
      </c>
      <c r="Q48" s="4">
        <f>'D4 Gallon Forecast'!Q209</f>
        <v>210578706.25</v>
      </c>
      <c r="R48" s="4">
        <f>'D4 Gallon Forecast'!R209</f>
        <v>273752318.125</v>
      </c>
      <c r="S48" s="4">
        <f>'D4 Gallon Forecast'!S209</f>
        <v>252694447.49999997</v>
      </c>
      <c r="T48" s="4">
        <f>'D4 Gallon Forecast'!T209</f>
        <v>231636576.87500003</v>
      </c>
      <c r="U48" s="4">
        <f>'D4 Gallon Forecast'!U209</f>
        <v>210578706.25</v>
      </c>
      <c r="V48" s="4">
        <f>'D4 Gallon Forecast'!V209</f>
        <v>189520835.625</v>
      </c>
      <c r="W48" s="4">
        <f>'D4 Gallon Forecast'!W209</f>
        <v>189520835.625</v>
      </c>
      <c r="X48" s="4">
        <f>'D4 Gallon Forecast'!X209</f>
        <v>168462965.00000003</v>
      </c>
      <c r="Y48" s="4">
        <f>'D4 Gallon Forecast'!Y209</f>
        <v>160039816.75</v>
      </c>
      <c r="Z48" s="4">
        <f>'D4 Gallon Forecast'!Z209</f>
        <v>151616668.5</v>
      </c>
      <c r="AA48" s="4">
        <f>'D4 Gallon Forecast'!AA209</f>
        <v>151616668.5</v>
      </c>
      <c r="AB48" s="4">
        <f>'D4 Gallon Forecast'!AB209</f>
        <v>63173611.874999993</v>
      </c>
      <c r="AC48" s="4">
        <f>'D4 Gallon Forecast'!AC209</f>
        <v>42115741.250000007</v>
      </c>
      <c r="AD48" s="4">
        <f>'D4 Gallon Forecast'!AD209</f>
        <v>42115741.250000007</v>
      </c>
    </row>
    <row r="49" spans="1:30">
      <c r="A49" s="2" t="s">
        <v>206</v>
      </c>
      <c r="B49" s="3">
        <f>'D4 Gallon Forecast'!B273</f>
        <v>0</v>
      </c>
      <c r="C49" s="3">
        <f>'D4 Gallon Forecast'!C273</f>
        <v>0</v>
      </c>
      <c r="D49" s="3">
        <f>'D4 Gallon Forecast'!D273</f>
        <v>0</v>
      </c>
      <c r="E49" s="3">
        <f>'D4 Gallon Forecast'!E273</f>
        <v>21602599</v>
      </c>
      <c r="F49" s="3">
        <f>'D4 Gallon Forecast'!F273</f>
        <v>5612400</v>
      </c>
      <c r="G49" s="3">
        <f>'D4 Gallon Forecast'!G273</f>
        <v>0</v>
      </c>
      <c r="H49" s="3">
        <f>'D4 Gallon Forecast'!H273</f>
        <v>0</v>
      </c>
      <c r="I49" s="3">
        <f>'D4 Gallon Forecast'!I273</f>
        <v>757255</v>
      </c>
      <c r="J49" s="3">
        <f>'D4 Gallon Forecast'!J273</f>
        <v>0</v>
      </c>
      <c r="K49" s="3">
        <f>'D4 Gallon Forecast'!K273</f>
        <v>0</v>
      </c>
      <c r="L49" s="3">
        <f>'D4 Gallon Forecast'!L273</f>
        <v>0</v>
      </c>
      <c r="M49" s="3">
        <f>'D4 Gallon Forecast'!M273</f>
        <v>2859906</v>
      </c>
      <c r="N49" s="3">
        <f>'D4 Gallon Forecast'!N273</f>
        <v>0</v>
      </c>
      <c r="O49" s="3">
        <f>'D4 Gallon Forecast'!O273</f>
        <v>0</v>
      </c>
      <c r="P49" s="4">
        <f>'D4 Gallon Forecast'!P273</f>
        <v>112476722</v>
      </c>
      <c r="Q49" s="4">
        <f>'D4 Gallon Forecast'!Q273</f>
        <v>12677402</v>
      </c>
      <c r="R49" s="4">
        <f>'D4 Gallon Forecast'!R273</f>
        <v>0</v>
      </c>
      <c r="S49" s="4">
        <f>'D4 Gallon Forecast'!S273</f>
        <v>0</v>
      </c>
      <c r="T49" s="4">
        <f>'D4 Gallon Forecast'!T273</f>
        <v>0</v>
      </c>
      <c r="U49" s="4">
        <f>'D4 Gallon Forecast'!U273</f>
        <v>0</v>
      </c>
      <c r="V49" s="4">
        <f>'D4 Gallon Forecast'!V273</f>
        <v>0</v>
      </c>
      <c r="W49" s="4">
        <f>'D4 Gallon Forecast'!W273</f>
        <v>0</v>
      </c>
      <c r="X49" s="4">
        <f>'D4 Gallon Forecast'!X273</f>
        <v>0</v>
      </c>
      <c r="Y49" s="4">
        <f>'D4 Gallon Forecast'!Y273</f>
        <v>0</v>
      </c>
      <c r="Z49" s="4">
        <f>'D4 Gallon Forecast'!Z273</f>
        <v>0</v>
      </c>
      <c r="AA49" s="4">
        <f>'D4 Gallon Forecast'!AA273</f>
        <v>0</v>
      </c>
      <c r="AB49" s="4">
        <f>'D4 Gallon Forecast'!AB273</f>
        <v>0</v>
      </c>
      <c r="AC49" s="4">
        <f>'D4 Gallon Forecast'!AC273</f>
        <v>0</v>
      </c>
      <c r="AD49" s="4">
        <f>'D4 Gallon Forecast'!AD273</f>
        <v>0</v>
      </c>
    </row>
    <row r="50" spans="1:3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c r="A51" s="2" t="s">
        <v>207</v>
      </c>
      <c r="B51" s="3">
        <f>'D5 Gallon Forecast'!B132</f>
        <v>7817036</v>
      </c>
      <c r="C51" s="3">
        <f>'D5 Gallon Forecast'!C132</f>
        <v>16719616</v>
      </c>
      <c r="D51" s="3">
        <f>'D5 Gallon Forecast'!D132</f>
        <v>12205618</v>
      </c>
      <c r="E51" s="3">
        <f>'D5 Gallon Forecast'!E132</f>
        <v>41278442</v>
      </c>
      <c r="F51" s="3">
        <f>'D5 Gallon Forecast'!F132</f>
        <v>8605018</v>
      </c>
      <c r="G51" s="3">
        <f>'D5 Gallon Forecast'!G132</f>
        <v>4979775</v>
      </c>
      <c r="H51" s="3">
        <f>'D5 Gallon Forecast'!H132</f>
        <v>4666016</v>
      </c>
      <c r="I51" s="3">
        <f>'D5 Gallon Forecast'!I132</f>
        <v>5147237</v>
      </c>
      <c r="J51" s="3">
        <f>'D5 Gallon Forecast'!J132</f>
        <v>23607885</v>
      </c>
      <c r="K51" s="3">
        <f>'D5 Gallon Forecast'!K132</f>
        <v>34293809</v>
      </c>
      <c r="L51" s="3">
        <f>'D5 Gallon Forecast'!L132</f>
        <v>50596671</v>
      </c>
      <c r="M51" s="3">
        <f>'D5 Gallon Forecast'!M132</f>
        <v>62444807</v>
      </c>
      <c r="N51" s="3">
        <f>'D5 Gallon Forecast'!N132</f>
        <v>75967064</v>
      </c>
      <c r="O51" s="3">
        <f>'D5 Gallon Forecast'!O132</f>
        <v>72161104</v>
      </c>
      <c r="P51" s="3">
        <f>'D5 Gallon Forecast'!P132</f>
        <v>67136623</v>
      </c>
      <c r="Q51" s="3">
        <f>'D5 Gallon Forecast'!Q132</f>
        <v>61713905.573394053</v>
      </c>
      <c r="R51" s="3">
        <f>'D5 Gallon Forecast'!R132</f>
        <v>74644479.867806837</v>
      </c>
      <c r="S51" s="3">
        <f>'D5 Gallon Forecast'!S132</f>
        <v>90174702.882584006</v>
      </c>
      <c r="T51" s="3">
        <f>'D5 Gallon Forecast'!T132</f>
        <v>94265461.32229273</v>
      </c>
      <c r="U51" s="3">
        <f>'D5 Gallon Forecast'!U132</f>
        <v>101063952.52821082</v>
      </c>
      <c r="V51" s="3">
        <f>'D5 Gallon Forecast'!V132</f>
        <v>108107155.51235586</v>
      </c>
      <c r="W51" s="3">
        <f>'D5 Gallon Forecast'!W132</f>
        <v>112379365.64766049</v>
      </c>
      <c r="X51" s="3">
        <f>'D5 Gallon Forecast'!X132</f>
        <v>127428482.91331537</v>
      </c>
      <c r="Y51" s="3">
        <f>'D5 Gallon Forecast'!Y132</f>
        <v>130758287.08032538</v>
      </c>
      <c r="Z51" s="3">
        <f>'D5 Gallon Forecast'!Z132</f>
        <v>137035550.46998152</v>
      </c>
      <c r="AA51" s="3">
        <f>'D5 Gallon Forecast'!AA132</f>
        <v>145226327.89713299</v>
      </c>
      <c r="AB51" s="3">
        <f>'D5 Gallon Forecast'!AB132</f>
        <v>142022344.47656283</v>
      </c>
      <c r="AC51" s="3">
        <f>'D5 Gallon Forecast'!AC132</f>
        <v>153559589.09913054</v>
      </c>
      <c r="AD51" s="3">
        <f>'D5 Gallon Forecast'!AD132</f>
        <v>169326008.73336238</v>
      </c>
    </row>
    <row r="52" spans="1:30">
      <c r="A52" s="2" t="s">
        <v>208</v>
      </c>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c r="A53" s="2" t="s">
        <v>209</v>
      </c>
      <c r="B53" s="3">
        <f>'D5 Gallon Forecast'!B180</f>
        <v>0</v>
      </c>
      <c r="C53" s="3">
        <f>'D5 Gallon Forecast'!C180</f>
        <v>0</v>
      </c>
      <c r="D53" s="3">
        <f>'D5 Gallon Forecast'!D180</f>
        <v>0</v>
      </c>
      <c r="E53" s="3">
        <f>'D5 Gallon Forecast'!E180</f>
        <v>0</v>
      </c>
      <c r="F53" s="3">
        <f>'D5 Gallon Forecast'!F180</f>
        <v>0</v>
      </c>
      <c r="G53" s="3">
        <f>'D5 Gallon Forecast'!G180</f>
        <v>0</v>
      </c>
      <c r="H53" s="3">
        <f>'D5 Gallon Forecast'!H180</f>
        <v>0</v>
      </c>
      <c r="I53" s="3">
        <f>'D5 Gallon Forecast'!I180</f>
        <v>0</v>
      </c>
      <c r="J53" s="3">
        <f>'D5 Gallon Forecast'!J180</f>
        <v>0</v>
      </c>
      <c r="K53" s="3">
        <f>'D5 Gallon Forecast'!K180</f>
        <v>0</v>
      </c>
      <c r="L53" s="3">
        <f>'D5 Gallon Forecast'!L180</f>
        <v>0</v>
      </c>
      <c r="M53" s="3">
        <f>'D5 Gallon Forecast'!M180</f>
        <v>0</v>
      </c>
      <c r="N53" s="3">
        <f>'D5 Gallon Forecast'!N180</f>
        <v>0</v>
      </c>
      <c r="O53" s="3">
        <f>'D5 Gallon Forecast'!O180</f>
        <v>0</v>
      </c>
      <c r="P53" s="3">
        <f>'D5 Gallon Forecast'!P180</f>
        <v>0</v>
      </c>
      <c r="Q53" s="3">
        <f>'D5 Gallon Forecast'!Q180</f>
        <v>0</v>
      </c>
      <c r="R53" s="3">
        <f>'D5 Gallon Forecast'!R180</f>
        <v>0</v>
      </c>
      <c r="S53" s="3">
        <f>'D5 Gallon Forecast'!S180</f>
        <v>0</v>
      </c>
      <c r="T53" s="3">
        <f>'D5 Gallon Forecast'!T180</f>
        <v>0</v>
      </c>
      <c r="U53" s="3">
        <f>'D5 Gallon Forecast'!U180</f>
        <v>0</v>
      </c>
      <c r="V53" s="3">
        <f>'D5 Gallon Forecast'!V180</f>
        <v>0</v>
      </c>
      <c r="W53" s="3">
        <f>'D5 Gallon Forecast'!W180</f>
        <v>0</v>
      </c>
      <c r="X53" s="3">
        <f>'D5 Gallon Forecast'!X180</f>
        <v>0</v>
      </c>
      <c r="Y53" s="3">
        <f>'D5 Gallon Forecast'!Y180</f>
        <v>0</v>
      </c>
      <c r="Z53" s="3">
        <f>'D5 Gallon Forecast'!Z180</f>
        <v>0</v>
      </c>
      <c r="AA53" s="3">
        <f>'D5 Gallon Forecast'!AA180</f>
        <v>0</v>
      </c>
      <c r="AB53" s="3">
        <f>'D5 Gallon Forecast'!AB180</f>
        <v>0</v>
      </c>
      <c r="AC53" s="3">
        <f>'D5 Gallon Forecast'!AC180</f>
        <v>0</v>
      </c>
      <c r="AD53" s="3">
        <f>'D5 Gallon Forecast'!AD180</f>
        <v>0</v>
      </c>
    </row>
    <row r="54" spans="1:30">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c r="A55" s="2" t="s">
        <v>210</v>
      </c>
      <c r="B55" s="3">
        <f>'D6 Gallon Forecast'!B77</f>
        <v>12519647</v>
      </c>
      <c r="C55" s="3">
        <f>'D6 Gallon Forecast'!C77</f>
        <v>4172383</v>
      </c>
      <c r="D55" s="3">
        <f>'D6 Gallon Forecast'!D77</f>
        <v>745678</v>
      </c>
      <c r="E55" s="3">
        <f>'D6 Gallon Forecast'!E77</f>
        <v>6007320</v>
      </c>
      <c r="F55" s="3">
        <f>'D6 Gallon Forecast'!F77</f>
        <v>1303427</v>
      </c>
      <c r="G55" s="3">
        <f>'D6 Gallon Forecast'!G77</f>
        <v>44430</v>
      </c>
      <c r="H55" s="3">
        <f>'D6 Gallon Forecast'!H77</f>
        <v>354498</v>
      </c>
      <c r="I55" s="3">
        <f>'D6 Gallon Forecast'!I77</f>
        <v>0</v>
      </c>
      <c r="J55" s="3">
        <f>'D6 Gallon Forecast'!J77</f>
        <v>331927</v>
      </c>
      <c r="K55" s="3">
        <f>'D6 Gallon Forecast'!K77</f>
        <v>11178</v>
      </c>
      <c r="L55" s="3">
        <f>'D6 Gallon Forecast'!L77</f>
        <v>0</v>
      </c>
      <c r="M55" s="3">
        <f>'D6 Gallon Forecast'!M77</f>
        <v>0</v>
      </c>
      <c r="N55" s="3">
        <f>'D6 Gallon Forecast'!N77</f>
        <v>0</v>
      </c>
      <c r="O55" s="3">
        <f>'D6 Gallon Forecast'!O77</f>
        <v>2898456</v>
      </c>
      <c r="P55" s="4">
        <f>'D6 Gallon Forecast'!P77</f>
        <v>8939840</v>
      </c>
      <c r="Q55" s="4">
        <f>'D6 Gallon Forecast'!Q77</f>
        <v>5038395.7978156004</v>
      </c>
      <c r="R55" s="4">
        <f>'D6 Gallon Forecast'!R77</f>
        <v>6094063.0835431591</v>
      </c>
      <c r="S55" s="4">
        <f>'D6 Gallon Forecast'!S77</f>
        <v>7361968.7467771238</v>
      </c>
      <c r="T55" s="4">
        <f>'D6 Gallon Forecast'!T77</f>
        <v>7695943.0746212015</v>
      </c>
      <c r="U55" s="4">
        <f>'D6 Gallon Forecast'!U77</f>
        <v>8250979.8885309529</v>
      </c>
      <c r="V55" s="4">
        <f>'D6 Gallon Forecast'!V77</f>
        <v>8825995.2596822083</v>
      </c>
      <c r="W55" s="4">
        <f>'D6 Gallon Forecast'!W77</f>
        <v>9174783.5172574017</v>
      </c>
      <c r="X55" s="4">
        <f>'D6 Gallon Forecast'!X77</f>
        <v>10403411.141576782</v>
      </c>
      <c r="Y55" s="4">
        <f>'D6 Gallon Forecast'!Y77</f>
        <v>10675260.268070001</v>
      </c>
      <c r="Z55" s="4">
        <f>'D6 Gallon Forecast'!Z77</f>
        <v>11187743.430339031</v>
      </c>
      <c r="AA55" s="4">
        <f>'D6 Gallon Forecast'!AA77</f>
        <v>11856448.12803028</v>
      </c>
      <c r="AB55" s="4">
        <f>'D6 Gallon Forecast'!AB77</f>
        <v>11594871.155182995</v>
      </c>
      <c r="AC55" s="4">
        <f>'D6 Gallon Forecast'!AC77</f>
        <v>12536785.368594509</v>
      </c>
      <c r="AD55" s="4">
        <f>'D6 Gallon Forecast'!AD77</f>
        <v>13823974.401497945</v>
      </c>
    </row>
    <row r="56" spans="1:30">
      <c r="A56" s="2" t="s">
        <v>211</v>
      </c>
      <c r="B56" s="2"/>
      <c r="C56" s="2"/>
      <c r="D56" s="2"/>
      <c r="E56" s="2"/>
      <c r="F56" s="2"/>
      <c r="G56" s="2"/>
      <c r="H56" s="2"/>
      <c r="I56" s="2"/>
      <c r="J56" s="2"/>
      <c r="K56" s="2"/>
      <c r="L56" s="2"/>
      <c r="M56" s="2"/>
      <c r="N56" s="2"/>
      <c r="O56" s="2"/>
      <c r="P56" s="94"/>
      <c r="Q56" s="94"/>
      <c r="R56" s="94"/>
      <c r="S56" s="94"/>
      <c r="T56" s="94"/>
      <c r="U56" s="94"/>
      <c r="V56" s="94"/>
      <c r="W56" s="94"/>
      <c r="X56" s="94"/>
      <c r="Y56" s="94"/>
      <c r="Z56" s="94"/>
      <c r="AA56" s="94"/>
      <c r="AB56" s="94"/>
      <c r="AC56" s="94"/>
      <c r="AD56" s="94"/>
    </row>
    <row r="57" spans="1:30">
      <c r="A57" s="2" t="s">
        <v>212</v>
      </c>
      <c r="B57" s="3">
        <f>'D6 Gallon Forecast'!B93</f>
        <v>0</v>
      </c>
      <c r="C57" s="3">
        <f>'D6 Gallon Forecast'!C93</f>
        <v>0</v>
      </c>
      <c r="D57" s="3">
        <f>'D6 Gallon Forecast'!D93</f>
        <v>0</v>
      </c>
      <c r="E57" s="3">
        <f>'D6 Gallon Forecast'!E93</f>
        <v>30771420</v>
      </c>
      <c r="F57" s="3">
        <f>'D6 Gallon Forecast'!F93</f>
        <v>51881055</v>
      </c>
      <c r="G57" s="3">
        <f>'D6 Gallon Forecast'!G93</f>
        <v>74408661</v>
      </c>
      <c r="H57" s="3">
        <f>'D6 Gallon Forecast'!H93</f>
        <v>112527999</v>
      </c>
      <c r="I57" s="3">
        <f>'D6 Gallon Forecast'!I93</f>
        <v>0</v>
      </c>
      <c r="J57" s="3">
        <f>'D6 Gallon Forecast'!J93</f>
        <v>0</v>
      </c>
      <c r="K57" s="3">
        <f>'D6 Gallon Forecast'!K93</f>
        <v>0</v>
      </c>
      <c r="L57" s="3">
        <f>'D6 Gallon Forecast'!L93</f>
        <v>0</v>
      </c>
      <c r="M57" s="3">
        <f>'D6 Gallon Forecast'!M93</f>
        <v>0</v>
      </c>
      <c r="N57" s="3">
        <f>'D6 Gallon Forecast'!N93</f>
        <v>0</v>
      </c>
      <c r="O57" s="3">
        <f>'D6 Gallon Forecast'!O93</f>
        <v>6412348</v>
      </c>
      <c r="P57" s="4">
        <f>'D6 Gallon Forecast'!P93</f>
        <v>6232414</v>
      </c>
      <c r="Q57" s="4">
        <f>'D6 Gallon Forecast'!Q93</f>
        <v>0</v>
      </c>
      <c r="R57" s="4">
        <f>'D6 Gallon Forecast'!R93</f>
        <v>0</v>
      </c>
      <c r="S57" s="4">
        <f>'D6 Gallon Forecast'!S93</f>
        <v>0</v>
      </c>
      <c r="T57" s="4">
        <f>'D6 Gallon Forecast'!T93</f>
        <v>0</v>
      </c>
      <c r="U57" s="4">
        <f>'D6 Gallon Forecast'!U93</f>
        <v>0</v>
      </c>
      <c r="V57" s="4">
        <f>'D6 Gallon Forecast'!V93</f>
        <v>0</v>
      </c>
      <c r="W57" s="4">
        <f>'D6 Gallon Forecast'!W93</f>
        <v>0</v>
      </c>
      <c r="X57" s="4">
        <f>'D6 Gallon Forecast'!X93</f>
        <v>0</v>
      </c>
      <c r="Y57" s="4">
        <f>'D6 Gallon Forecast'!Y93</f>
        <v>0</v>
      </c>
      <c r="Z57" s="4">
        <f>'D6 Gallon Forecast'!Z93</f>
        <v>0</v>
      </c>
      <c r="AA57" s="4">
        <f>'D6 Gallon Forecast'!AA93</f>
        <v>0</v>
      </c>
      <c r="AB57" s="4">
        <f>'D6 Gallon Forecast'!AB93</f>
        <v>0</v>
      </c>
      <c r="AC57" s="4">
        <f>'D6 Gallon Forecast'!AC93</f>
        <v>0</v>
      </c>
      <c r="AD57" s="4">
        <f>'D6 Gallon Forecast'!AD93</f>
        <v>0</v>
      </c>
    </row>
    <row r="58" spans="1:30">
      <c r="O58" s="2"/>
    </row>
    <row r="59" spans="1:30">
      <c r="A59" s="2" t="s">
        <v>213</v>
      </c>
      <c r="B59" s="3">
        <f>'D6 Gallon Forecast'!B221</f>
        <v>0</v>
      </c>
      <c r="C59" s="3">
        <f>'D6 Gallon Forecast'!C221</f>
        <v>0</v>
      </c>
      <c r="D59" s="3">
        <f>'D6 Gallon Forecast'!D221</f>
        <v>0</v>
      </c>
      <c r="E59" s="3">
        <f>'D6 Gallon Forecast'!E221</f>
        <v>0</v>
      </c>
      <c r="F59" s="3">
        <f>'D6 Gallon Forecast'!F221</f>
        <v>0</v>
      </c>
      <c r="G59" s="3">
        <f>'D6 Gallon Forecast'!G221</f>
        <v>0</v>
      </c>
      <c r="H59" s="3">
        <f>'D6 Gallon Forecast'!H221</f>
        <v>0</v>
      </c>
      <c r="I59" s="3">
        <f>'D6 Gallon Forecast'!I221</f>
        <v>0</v>
      </c>
      <c r="J59" s="3">
        <f>'D6 Gallon Forecast'!J221</f>
        <v>0</v>
      </c>
      <c r="K59" s="3">
        <f>'D6 Gallon Forecast'!K221</f>
        <v>0</v>
      </c>
      <c r="L59" s="3">
        <f>'D6 Gallon Forecast'!L221</f>
        <v>0</v>
      </c>
      <c r="M59" s="3">
        <f>'D6 Gallon Forecast'!M221</f>
        <v>0</v>
      </c>
      <c r="N59" s="3">
        <f>'D6 Gallon Forecast'!N221</f>
        <v>0</v>
      </c>
      <c r="O59" s="3">
        <f>'D6 Gallon Forecast'!O221</f>
        <v>554028</v>
      </c>
      <c r="P59" s="4">
        <f>'D6 Gallon Forecast'!P221</f>
        <v>147171</v>
      </c>
      <c r="Q59" s="4">
        <f>'D6 Gallon Forecast'!Q221</f>
        <v>0</v>
      </c>
      <c r="R59" s="4">
        <f>'D6 Gallon Forecast'!R221</f>
        <v>0</v>
      </c>
      <c r="S59" s="4">
        <f>'D6 Gallon Forecast'!S221</f>
        <v>0</v>
      </c>
      <c r="T59" s="4">
        <f>'D6 Gallon Forecast'!T221</f>
        <v>0</v>
      </c>
      <c r="U59" s="4">
        <f>'D6 Gallon Forecast'!U221</f>
        <v>0</v>
      </c>
      <c r="V59" s="4">
        <f>'D6 Gallon Forecast'!V221</f>
        <v>0</v>
      </c>
      <c r="W59" s="4">
        <f>'D6 Gallon Forecast'!W221</f>
        <v>0</v>
      </c>
      <c r="X59" s="4">
        <f>'D6 Gallon Forecast'!X221</f>
        <v>0</v>
      </c>
      <c r="Y59" s="4">
        <f>'D6 Gallon Forecast'!Y221</f>
        <v>0</v>
      </c>
      <c r="Z59" s="4">
        <f>'D6 Gallon Forecast'!Z221</f>
        <v>0</v>
      </c>
      <c r="AA59" s="4">
        <f>'D6 Gallon Forecast'!AA221</f>
        <v>0</v>
      </c>
      <c r="AB59" s="4">
        <f>'D6 Gallon Forecast'!AB221</f>
        <v>0</v>
      </c>
      <c r="AC59" s="4">
        <f>'D6 Gallon Forecast'!AC221</f>
        <v>0</v>
      </c>
      <c r="AD59" s="4">
        <f>'D6 Gallon Forecast'!AD221</f>
        <v>0</v>
      </c>
    </row>
    <row r="60" spans="1:30">
      <c r="A60" s="2" t="s">
        <v>214</v>
      </c>
      <c r="B60" s="3">
        <f>'D6 Gallon Forecast'!B237</f>
        <v>0</v>
      </c>
      <c r="C60" s="3">
        <f>'D6 Gallon Forecast'!C237</f>
        <v>0</v>
      </c>
      <c r="D60" s="3">
        <f>'D6 Gallon Forecast'!D237</f>
        <v>0</v>
      </c>
      <c r="E60" s="3">
        <f>'D6 Gallon Forecast'!E237</f>
        <v>115504168</v>
      </c>
      <c r="F60" s="3">
        <f>'D6 Gallon Forecast'!F237</f>
        <v>151391926</v>
      </c>
      <c r="G60" s="3">
        <f>'D6 Gallon Forecast'!G237</f>
        <v>200531415</v>
      </c>
      <c r="H60" s="3">
        <f>'D6 Gallon Forecast'!H237</f>
        <v>165657065</v>
      </c>
      <c r="I60" s="3">
        <f>'D6 Gallon Forecast'!I237</f>
        <v>144107197</v>
      </c>
      <c r="J60" s="3">
        <f>'D6 Gallon Forecast'!J237</f>
        <v>106508829</v>
      </c>
      <c r="K60" s="3">
        <f>'D6 Gallon Forecast'!K237</f>
        <v>116353451</v>
      </c>
      <c r="L60" s="3">
        <f>'D6 Gallon Forecast'!L237</f>
        <v>76268925</v>
      </c>
      <c r="M60" s="3">
        <f>'D6 Gallon Forecast'!M237</f>
        <v>79217986</v>
      </c>
      <c r="N60" s="3">
        <f>'D6 Gallon Forecast'!N237</f>
        <v>74962365</v>
      </c>
      <c r="O60" s="3">
        <f>'D6 Gallon Forecast'!O237</f>
        <v>59490005</v>
      </c>
      <c r="P60" s="4">
        <f>'D6 Gallon Forecast'!P237</f>
        <v>0</v>
      </c>
      <c r="Q60" s="4">
        <f>'D6 Gallon Forecast'!Q237</f>
        <v>0</v>
      </c>
      <c r="R60" s="4">
        <f>'D6 Gallon Forecast'!R237</f>
        <v>0</v>
      </c>
      <c r="S60" s="4">
        <f>'D6 Gallon Forecast'!S237</f>
        <v>0</v>
      </c>
      <c r="T60" s="4">
        <f>'D6 Gallon Forecast'!T237</f>
        <v>0</v>
      </c>
      <c r="U60" s="4">
        <f>'D6 Gallon Forecast'!U237</f>
        <v>0</v>
      </c>
      <c r="V60" s="4">
        <f>'D6 Gallon Forecast'!V237</f>
        <v>0</v>
      </c>
      <c r="W60" s="4">
        <f>'D6 Gallon Forecast'!W237</f>
        <v>0</v>
      </c>
      <c r="X60" s="4">
        <f>'D6 Gallon Forecast'!X237</f>
        <v>0</v>
      </c>
      <c r="Y60" s="4">
        <f>'D6 Gallon Forecast'!Y237</f>
        <v>0</v>
      </c>
      <c r="Z60" s="4">
        <f>'D6 Gallon Forecast'!Z237</f>
        <v>0</v>
      </c>
      <c r="AA60" s="4">
        <f>'D6 Gallon Forecast'!AA237</f>
        <v>0</v>
      </c>
      <c r="AB60" s="4">
        <f>'D6 Gallon Forecast'!AB237</f>
        <v>0</v>
      </c>
      <c r="AC60" s="4">
        <f>'D6 Gallon Forecast'!AC237</f>
        <v>0</v>
      </c>
      <c r="AD60" s="4">
        <f>'D6 Gallon Forecast'!AD237</f>
        <v>0</v>
      </c>
    </row>
    <row r="61" spans="1:30">
      <c r="A61" s="2" t="s">
        <v>215</v>
      </c>
      <c r="B61" s="3">
        <f>'D6 Gallon Forecast'!B253</f>
        <v>0</v>
      </c>
      <c r="C61" s="3">
        <f>'D6 Gallon Forecast'!C253</f>
        <v>0</v>
      </c>
      <c r="D61" s="3">
        <f>'D6 Gallon Forecast'!D253</f>
        <v>0</v>
      </c>
      <c r="E61" s="3">
        <f>'D6 Gallon Forecast'!E253</f>
        <v>0</v>
      </c>
      <c r="F61" s="3">
        <f>'D6 Gallon Forecast'!F253</f>
        <v>0</v>
      </c>
      <c r="G61" s="3">
        <f>'D6 Gallon Forecast'!G253</f>
        <v>0</v>
      </c>
      <c r="H61" s="3">
        <f>'D6 Gallon Forecast'!H253</f>
        <v>0</v>
      </c>
      <c r="I61" s="3">
        <f>'D6 Gallon Forecast'!I253</f>
        <v>0</v>
      </c>
      <c r="J61" s="3">
        <f>'D6 Gallon Forecast'!J253</f>
        <v>0</v>
      </c>
      <c r="K61" s="3">
        <f>'D6 Gallon Forecast'!K253</f>
        <v>0</v>
      </c>
      <c r="L61" s="3">
        <f>'D6 Gallon Forecast'!L253</f>
        <v>0</v>
      </c>
      <c r="M61" s="3">
        <f>'D6 Gallon Forecast'!M253</f>
        <v>0</v>
      </c>
      <c r="N61" s="3">
        <f>'D6 Gallon Forecast'!N253</f>
        <v>0</v>
      </c>
      <c r="O61" s="3">
        <f>'D6 Gallon Forecast'!O253</f>
        <v>0</v>
      </c>
      <c r="P61" s="4">
        <f>'D6 Gallon Forecast'!P253</f>
        <v>0</v>
      </c>
      <c r="Q61" s="4">
        <f>'D6 Gallon Forecast'!Q253</f>
        <v>0</v>
      </c>
      <c r="R61" s="4">
        <f>'D6 Gallon Forecast'!R253</f>
        <v>0</v>
      </c>
      <c r="S61" s="4">
        <f>'D6 Gallon Forecast'!S253</f>
        <v>0</v>
      </c>
      <c r="T61" s="4">
        <f>'D6 Gallon Forecast'!T253</f>
        <v>0</v>
      </c>
      <c r="U61" s="4">
        <f>'D6 Gallon Forecast'!U253</f>
        <v>0</v>
      </c>
      <c r="V61" s="4">
        <f>'D6 Gallon Forecast'!V253</f>
        <v>0</v>
      </c>
      <c r="W61" s="4">
        <f>'D6 Gallon Forecast'!W253</f>
        <v>0</v>
      </c>
      <c r="X61" s="4">
        <f>'D6 Gallon Forecast'!X253</f>
        <v>0</v>
      </c>
      <c r="Y61" s="4">
        <f>'D6 Gallon Forecast'!Y253</f>
        <v>0</v>
      </c>
      <c r="Z61" s="4">
        <f>'D6 Gallon Forecast'!Z253</f>
        <v>0</v>
      </c>
      <c r="AA61" s="4">
        <f>'D6 Gallon Forecast'!AA253</f>
        <v>0</v>
      </c>
      <c r="AB61" s="4">
        <f>'D6 Gallon Forecast'!AB253</f>
        <v>0</v>
      </c>
      <c r="AC61" s="4">
        <f>'D6 Gallon Forecast'!AC253</f>
        <v>0</v>
      </c>
      <c r="AD61" s="4">
        <f>'D6 Gallon Forecast'!AD253</f>
        <v>0</v>
      </c>
    </row>
    <row r="62" spans="1:30">
      <c r="O62" s="2"/>
    </row>
    <row r="63" spans="1:30">
      <c r="O63" s="2"/>
    </row>
    <row r="64" spans="1:30">
      <c r="A64" s="2" t="s">
        <v>216</v>
      </c>
      <c r="B64" s="3">
        <f t="shared" ref="B64:J64" si="16">B55+B43</f>
        <v>214475497</v>
      </c>
      <c r="C64" s="3">
        <f t="shared" si="16"/>
        <v>1037090330</v>
      </c>
      <c r="D64" s="3">
        <f t="shared" si="16"/>
        <v>1016947679</v>
      </c>
      <c r="E64" s="3">
        <f t="shared" si="16"/>
        <v>1384593682</v>
      </c>
      <c r="F64" s="3">
        <f t="shared" si="16"/>
        <v>1307213117</v>
      </c>
      <c r="G64" s="3">
        <f t="shared" si="16"/>
        <v>1254272724</v>
      </c>
      <c r="H64" s="3">
        <f t="shared" si="16"/>
        <v>1633107120</v>
      </c>
      <c r="I64" s="3">
        <f t="shared" si="16"/>
        <v>1588249740</v>
      </c>
      <c r="J64" s="3">
        <f t="shared" si="16"/>
        <v>1855452750</v>
      </c>
      <c r="K64" s="3">
        <f>K55+K43</f>
        <v>1713773577</v>
      </c>
      <c r="L64" s="3">
        <f>L55+L43</f>
        <v>1824873638</v>
      </c>
      <c r="M64" s="3">
        <f>M55+M43</f>
        <v>1704627334</v>
      </c>
      <c r="N64" s="3">
        <f>N55+N43</f>
        <v>1620209063</v>
      </c>
      <c r="O64" s="3">
        <f t="shared" ref="O64:AD64" si="17">O55+O43</f>
        <v>1672147333</v>
      </c>
      <c r="P64" s="4">
        <f t="shared" si="17"/>
        <v>1669706332</v>
      </c>
      <c r="Q64" s="4">
        <f t="shared" si="17"/>
        <v>1585954436.8642268</v>
      </c>
      <c r="R64" s="4">
        <f t="shared" si="17"/>
        <v>1462382983.9763932</v>
      </c>
      <c r="S64" s="4">
        <f t="shared" si="17"/>
        <v>1472147368.6026449</v>
      </c>
      <c r="T64" s="4">
        <f t="shared" si="17"/>
        <v>1173904224.8270702</v>
      </c>
      <c r="U64" s="4">
        <f t="shared" si="17"/>
        <v>1353167762.7863221</v>
      </c>
      <c r="V64" s="4">
        <f t="shared" si="17"/>
        <v>1369887969.1145666</v>
      </c>
      <c r="W64" s="4">
        <f t="shared" si="17"/>
        <v>1362123138.4461985</v>
      </c>
      <c r="X64" s="4">
        <f t="shared" si="17"/>
        <v>1441523155.1330748</v>
      </c>
      <c r="Y64" s="4">
        <f t="shared" si="17"/>
        <v>1353862018.6316206</v>
      </c>
      <c r="Z64" s="4">
        <f t="shared" si="17"/>
        <v>1322942676.7177336</v>
      </c>
      <c r="AA64" s="4">
        <f t="shared" si="17"/>
        <v>1270842856.8893468</v>
      </c>
      <c r="AB64" s="4">
        <f t="shared" si="17"/>
        <v>1065145653.2072315</v>
      </c>
      <c r="AC64" s="4">
        <f t="shared" si="17"/>
        <v>864785090.24673605</v>
      </c>
      <c r="AD64" s="4">
        <f t="shared" si="17"/>
        <v>848759041.43471694</v>
      </c>
    </row>
    <row r="65" spans="1:30">
      <c r="A65" s="2" t="s">
        <v>217</v>
      </c>
      <c r="B65" s="3">
        <f>B47+B51+B59</f>
        <v>8776593</v>
      </c>
      <c r="C65" s="3">
        <f t="shared" ref="C65:J65" si="18">C47+C51+C59</f>
        <v>62041290</v>
      </c>
      <c r="D65" s="3">
        <f t="shared" si="18"/>
        <v>52401102</v>
      </c>
      <c r="E65" s="3">
        <f t="shared" si="18"/>
        <v>113285858</v>
      </c>
      <c r="F65" s="3">
        <f t="shared" si="18"/>
        <v>159141206</v>
      </c>
      <c r="G65" s="3">
        <f t="shared" si="18"/>
        <v>176847616</v>
      </c>
      <c r="H65" s="3">
        <f t="shared" si="18"/>
        <v>241487435</v>
      </c>
      <c r="I65" s="3">
        <f t="shared" si="18"/>
        <v>258342125</v>
      </c>
      <c r="J65" s="3">
        <f t="shared" si="18"/>
        <v>305484447</v>
      </c>
      <c r="K65" s="3">
        <f>K47+K51+K59</f>
        <v>492137189</v>
      </c>
      <c r="L65" s="3">
        <f>L47+L51+L59</f>
        <v>533508347</v>
      </c>
      <c r="M65" s="3">
        <f>M47+M51+M59</f>
        <v>845434907</v>
      </c>
      <c r="N65" s="3">
        <f>N47+N51+N59</f>
        <v>1455336706</v>
      </c>
      <c r="O65" s="3">
        <f t="shared" ref="O65:AD65" si="19">O47+O51+O59</f>
        <v>2427796409</v>
      </c>
      <c r="P65" s="4">
        <f t="shared" si="19"/>
        <v>3137465664</v>
      </c>
      <c r="Q65" s="4">
        <f t="shared" si="19"/>
        <v>2551138791.1709366</v>
      </c>
      <c r="R65" s="4">
        <f t="shared" si="19"/>
        <v>2689041217.0486603</v>
      </c>
      <c r="S65" s="4">
        <f t="shared" si="19"/>
        <v>2966216738.0645242</v>
      </c>
      <c r="T65" s="4">
        <f t="shared" si="19"/>
        <v>3023263905.1846151</v>
      </c>
      <c r="U65" s="4">
        <f t="shared" si="19"/>
        <v>3047347392.5416117</v>
      </c>
      <c r="V65" s="4">
        <f t="shared" si="19"/>
        <v>3193046329.6640577</v>
      </c>
      <c r="W65" s="4">
        <f t="shared" si="19"/>
        <v>3461676181.6955147</v>
      </c>
      <c r="X65" s="4">
        <f t="shared" si="19"/>
        <v>4105474184.6252837</v>
      </c>
      <c r="Y65" s="4">
        <f t="shared" si="19"/>
        <v>4085065461.9750662</v>
      </c>
      <c r="Z65" s="4">
        <f t="shared" si="19"/>
        <v>3972104551.4107871</v>
      </c>
      <c r="AA65" s="4">
        <f t="shared" si="19"/>
        <v>4208180718.9501262</v>
      </c>
      <c r="AB65" s="4">
        <f t="shared" si="19"/>
        <v>4546610855.6658516</v>
      </c>
      <c r="AC65" s="4">
        <f t="shared" si="19"/>
        <v>5173505385.3503904</v>
      </c>
      <c r="AD65" s="4">
        <f t="shared" si="19"/>
        <v>5706952891.60359</v>
      </c>
    </row>
    <row r="66" spans="1:30">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c r="A67" s="2" t="s">
        <v>218</v>
      </c>
      <c r="B67" s="3">
        <f>B44+B56</f>
        <v>0</v>
      </c>
      <c r="C67" s="3">
        <f t="shared" ref="C67:J67" si="20">C44+C56</f>
        <v>0</v>
      </c>
      <c r="D67" s="3">
        <f t="shared" si="20"/>
        <v>6781908</v>
      </c>
      <c r="E67" s="3">
        <f t="shared" si="20"/>
        <v>2790763</v>
      </c>
      <c r="F67" s="3">
        <f t="shared" si="20"/>
        <v>0</v>
      </c>
      <c r="G67" s="3">
        <f t="shared" si="20"/>
        <v>0</v>
      </c>
      <c r="H67" s="3">
        <f t="shared" si="20"/>
        <v>0</v>
      </c>
      <c r="I67" s="3">
        <f t="shared" si="20"/>
        <v>0</v>
      </c>
      <c r="J67" s="3">
        <f t="shared" si="20"/>
        <v>0</v>
      </c>
      <c r="K67" s="3">
        <f>K44+K56</f>
        <v>0</v>
      </c>
      <c r="L67" s="3">
        <f>L44+L56</f>
        <v>0</v>
      </c>
      <c r="M67" s="3">
        <f>M44+M56</f>
        <v>0</v>
      </c>
      <c r="N67" s="3">
        <f>N44+N56</f>
        <v>0</v>
      </c>
      <c r="O67" s="3">
        <f t="shared" ref="O67:AD67" si="21">O44+O56</f>
        <v>0</v>
      </c>
      <c r="P67" s="4">
        <f t="shared" si="21"/>
        <v>0</v>
      </c>
      <c r="Q67" s="4">
        <f t="shared" si="21"/>
        <v>0</v>
      </c>
      <c r="R67" s="4">
        <f t="shared" si="21"/>
        <v>0</v>
      </c>
      <c r="S67" s="4">
        <f t="shared" si="21"/>
        <v>0</v>
      </c>
      <c r="T67" s="4">
        <f t="shared" si="21"/>
        <v>0</v>
      </c>
      <c r="U67" s="4">
        <f t="shared" si="21"/>
        <v>0</v>
      </c>
      <c r="V67" s="4">
        <f t="shared" si="21"/>
        <v>0</v>
      </c>
      <c r="W67" s="4">
        <f t="shared" si="21"/>
        <v>0</v>
      </c>
      <c r="X67" s="4">
        <f t="shared" si="21"/>
        <v>0</v>
      </c>
      <c r="Y67" s="4">
        <f t="shared" si="21"/>
        <v>0</v>
      </c>
      <c r="Z67" s="4">
        <f t="shared" si="21"/>
        <v>0</v>
      </c>
      <c r="AA67" s="4">
        <f t="shared" si="21"/>
        <v>0</v>
      </c>
      <c r="AB67" s="4">
        <f t="shared" si="21"/>
        <v>0</v>
      </c>
      <c r="AC67" s="4">
        <f t="shared" si="21"/>
        <v>0</v>
      </c>
      <c r="AD67" s="4">
        <f t="shared" si="21"/>
        <v>0</v>
      </c>
    </row>
    <row r="68" spans="1:30">
      <c r="A68" s="2" t="s">
        <v>219</v>
      </c>
      <c r="B68" s="3">
        <f>B48+B52+B60</f>
        <v>0</v>
      </c>
      <c r="C68" s="3">
        <f t="shared" ref="C68:J68" si="22">C48+C52+C60</f>
        <v>0</v>
      </c>
      <c r="D68" s="3">
        <f t="shared" si="22"/>
        <v>50272922</v>
      </c>
      <c r="E68" s="3">
        <f t="shared" si="22"/>
        <v>281796943</v>
      </c>
      <c r="F68" s="3">
        <f t="shared" si="22"/>
        <v>323139090</v>
      </c>
      <c r="G68" s="3">
        <f t="shared" si="22"/>
        <v>336296958</v>
      </c>
      <c r="H68" s="3">
        <f t="shared" si="22"/>
        <v>349686036</v>
      </c>
      <c r="I68" s="3">
        <f t="shared" si="22"/>
        <v>343624440</v>
      </c>
      <c r="J68" s="3">
        <f t="shared" si="22"/>
        <v>309846637</v>
      </c>
      <c r="K68" s="3">
        <f>K48+K52+K60</f>
        <v>420373097</v>
      </c>
      <c r="L68" s="3">
        <f>L48+L52+L60</f>
        <v>435479892</v>
      </c>
      <c r="M68" s="3">
        <f>M48+M52+M60</f>
        <v>468147127</v>
      </c>
      <c r="N68" s="3">
        <f>N48+N52+N60</f>
        <v>446422448</v>
      </c>
      <c r="O68" s="3">
        <f t="shared" ref="O68:AD68" si="23">O48+O52+O60</f>
        <v>480751926</v>
      </c>
      <c r="P68" s="4">
        <f t="shared" si="23"/>
        <v>313982105</v>
      </c>
      <c r="Q68" s="4">
        <f t="shared" si="23"/>
        <v>210578706.25</v>
      </c>
      <c r="R68" s="4">
        <f t="shared" si="23"/>
        <v>273752318.125</v>
      </c>
      <c r="S68" s="4">
        <f t="shared" si="23"/>
        <v>252694447.49999997</v>
      </c>
      <c r="T68" s="4">
        <f t="shared" si="23"/>
        <v>231636576.87500003</v>
      </c>
      <c r="U68" s="4">
        <f t="shared" si="23"/>
        <v>210578706.25</v>
      </c>
      <c r="V68" s="4">
        <f t="shared" si="23"/>
        <v>189520835.625</v>
      </c>
      <c r="W68" s="4">
        <f t="shared" si="23"/>
        <v>189520835.625</v>
      </c>
      <c r="X68" s="4">
        <f t="shared" si="23"/>
        <v>168462965.00000003</v>
      </c>
      <c r="Y68" s="4">
        <f t="shared" si="23"/>
        <v>160039816.75</v>
      </c>
      <c r="Z68" s="4">
        <f t="shared" si="23"/>
        <v>151616668.5</v>
      </c>
      <c r="AA68" s="4">
        <f t="shared" si="23"/>
        <v>151616668.5</v>
      </c>
      <c r="AB68" s="4">
        <f t="shared" si="23"/>
        <v>63173611.874999993</v>
      </c>
      <c r="AC68" s="4">
        <f t="shared" si="23"/>
        <v>42115741.250000007</v>
      </c>
      <c r="AD68" s="4">
        <f t="shared" si="23"/>
        <v>42115741.250000007</v>
      </c>
    </row>
    <row r="69" spans="1:30">
      <c r="A69" s="2"/>
      <c r="B69" s="2"/>
      <c r="C69" s="2"/>
      <c r="D69" s="2"/>
      <c r="E69" s="2"/>
      <c r="F69" s="2"/>
      <c r="G69" s="2"/>
      <c r="H69" s="2"/>
      <c r="I69" s="2"/>
      <c r="J69" s="2"/>
      <c r="K69" s="2"/>
      <c r="L69" s="2"/>
      <c r="M69" s="2"/>
      <c r="N69" s="2"/>
      <c r="O69" s="2"/>
      <c r="P69" s="94"/>
      <c r="Q69" s="94"/>
      <c r="R69" s="94"/>
      <c r="S69" s="94"/>
      <c r="T69" s="94"/>
      <c r="U69" s="94"/>
      <c r="V69" s="94"/>
      <c r="W69" s="94"/>
      <c r="X69" s="94"/>
      <c r="Y69" s="94"/>
      <c r="Z69" s="94"/>
      <c r="AA69" s="94"/>
      <c r="AB69" s="94"/>
      <c r="AC69" s="94"/>
      <c r="AD69" s="94"/>
    </row>
    <row r="70" spans="1:30">
      <c r="A70" s="2" t="s">
        <v>220</v>
      </c>
      <c r="B70" s="3">
        <f>B45+B57</f>
        <v>12487506</v>
      </c>
      <c r="C70" s="3">
        <f t="shared" ref="C70:J70" si="24">C45+C57</f>
        <v>44459572</v>
      </c>
      <c r="D70" s="3">
        <f t="shared" si="24"/>
        <v>33446862</v>
      </c>
      <c r="E70" s="3">
        <f t="shared" si="24"/>
        <v>183796374</v>
      </c>
      <c r="F70" s="3">
        <f t="shared" si="24"/>
        <v>181510081</v>
      </c>
      <c r="G70" s="3">
        <f t="shared" si="24"/>
        <v>335664856</v>
      </c>
      <c r="H70" s="3">
        <f t="shared" si="24"/>
        <v>674168317</v>
      </c>
      <c r="I70" s="3">
        <f t="shared" si="24"/>
        <v>461914644</v>
      </c>
      <c r="J70" s="3">
        <f t="shared" si="24"/>
        <v>175141321</v>
      </c>
      <c r="K70" s="3">
        <f>K45+K57</f>
        <v>184741553</v>
      </c>
      <c r="L70" s="3">
        <f>L45+L57</f>
        <v>209493674</v>
      </c>
      <c r="M70" s="3">
        <f>M45+M57</f>
        <v>208450727</v>
      </c>
      <c r="N70" s="3">
        <f>N45+N57</f>
        <v>240324591</v>
      </c>
      <c r="O70" s="3">
        <f t="shared" ref="O70:AD70" si="25">O45+O57</f>
        <v>511346651</v>
      </c>
      <c r="P70" s="4">
        <f t="shared" si="25"/>
        <v>404283732</v>
      </c>
      <c r="Q70" s="4">
        <f t="shared" si="25"/>
        <v>340000000</v>
      </c>
      <c r="R70" s="4">
        <f t="shared" si="25"/>
        <v>190000000</v>
      </c>
      <c r="S70" s="4">
        <f t="shared" si="25"/>
        <v>200000000</v>
      </c>
      <c r="T70" s="4">
        <f t="shared" si="25"/>
        <v>220000000</v>
      </c>
      <c r="U70" s="4">
        <f t="shared" si="25"/>
        <v>220000000</v>
      </c>
      <c r="V70" s="4">
        <f t="shared" si="25"/>
        <v>230000000</v>
      </c>
      <c r="W70" s="4">
        <f t="shared" si="25"/>
        <v>210000000</v>
      </c>
      <c r="X70" s="4">
        <f t="shared" si="25"/>
        <v>190000000</v>
      </c>
      <c r="Y70" s="4">
        <f t="shared" si="25"/>
        <v>180000000</v>
      </c>
      <c r="Z70" s="4">
        <f t="shared" si="25"/>
        <v>175000000</v>
      </c>
      <c r="AA70" s="4">
        <f t="shared" si="25"/>
        <v>160000000</v>
      </c>
      <c r="AB70" s="4">
        <f t="shared" si="25"/>
        <v>130000000</v>
      </c>
      <c r="AC70" s="4">
        <f t="shared" si="25"/>
        <v>110000000</v>
      </c>
      <c r="AD70" s="4">
        <f t="shared" si="25"/>
        <v>90000000</v>
      </c>
    </row>
    <row r="71" spans="1:30">
      <c r="A71" s="2" t="s">
        <v>221</v>
      </c>
      <c r="B71" s="3">
        <f>B49+B53+B61</f>
        <v>0</v>
      </c>
      <c r="C71" s="3">
        <f t="shared" ref="C71:J71" si="26">C49+C53+C61</f>
        <v>0</v>
      </c>
      <c r="D71" s="3">
        <f t="shared" si="26"/>
        <v>0</v>
      </c>
      <c r="E71" s="3">
        <f t="shared" si="26"/>
        <v>21602599</v>
      </c>
      <c r="F71" s="3">
        <f t="shared" si="26"/>
        <v>5612400</v>
      </c>
      <c r="G71" s="3">
        <f t="shared" si="26"/>
        <v>0</v>
      </c>
      <c r="H71" s="3">
        <f t="shared" si="26"/>
        <v>0</v>
      </c>
      <c r="I71" s="3">
        <f t="shared" si="26"/>
        <v>757255</v>
      </c>
      <c r="J71" s="3">
        <f t="shared" si="26"/>
        <v>0</v>
      </c>
      <c r="K71" s="3">
        <f>K49+K53+K61</f>
        <v>0</v>
      </c>
      <c r="L71" s="3">
        <f>L49+L53+L61</f>
        <v>0</v>
      </c>
      <c r="M71" s="3">
        <f>M49+M53+M61</f>
        <v>2859906</v>
      </c>
      <c r="N71" s="3">
        <f>N49+N53+N61</f>
        <v>0</v>
      </c>
      <c r="O71" s="3">
        <f t="shared" ref="O71:AD71" si="27">O49+O53+O61</f>
        <v>0</v>
      </c>
      <c r="P71" s="4">
        <f t="shared" si="27"/>
        <v>112476722</v>
      </c>
      <c r="Q71" s="4">
        <f t="shared" si="27"/>
        <v>12677402</v>
      </c>
      <c r="R71" s="4">
        <f t="shared" si="27"/>
        <v>0</v>
      </c>
      <c r="S71" s="4">
        <f t="shared" si="27"/>
        <v>0</v>
      </c>
      <c r="T71" s="4">
        <f t="shared" si="27"/>
        <v>0</v>
      </c>
      <c r="U71" s="4">
        <f t="shared" si="27"/>
        <v>0</v>
      </c>
      <c r="V71" s="4">
        <f t="shared" si="27"/>
        <v>0</v>
      </c>
      <c r="W71" s="4">
        <f t="shared" si="27"/>
        <v>0</v>
      </c>
      <c r="X71" s="4">
        <f t="shared" si="27"/>
        <v>0</v>
      </c>
      <c r="Y71" s="4">
        <f t="shared" si="27"/>
        <v>0</v>
      </c>
      <c r="Z71" s="4">
        <f t="shared" si="27"/>
        <v>0</v>
      </c>
      <c r="AA71" s="4">
        <f t="shared" si="27"/>
        <v>0</v>
      </c>
      <c r="AB71" s="4">
        <f t="shared" si="27"/>
        <v>0</v>
      </c>
      <c r="AC71" s="4">
        <f t="shared" si="27"/>
        <v>0</v>
      </c>
      <c r="AD71" s="4">
        <f t="shared" si="27"/>
        <v>0</v>
      </c>
    </row>
    <row r="72" spans="1:30">
      <c r="A72" s="2"/>
      <c r="B72" s="2"/>
      <c r="C72" s="2"/>
      <c r="D72" s="2"/>
      <c r="E72" s="2"/>
      <c r="F72" s="2"/>
      <c r="G72" s="2"/>
      <c r="H72" s="2"/>
      <c r="I72" s="2"/>
      <c r="J72" s="2"/>
      <c r="K72" s="2"/>
      <c r="L72" s="2"/>
    </row>
    <row r="73" spans="1:30">
      <c r="A73" s="2"/>
      <c r="B73" s="2"/>
      <c r="C73" s="2"/>
      <c r="D73" s="2"/>
      <c r="E73" s="2"/>
      <c r="F73" s="2"/>
      <c r="G73" s="2"/>
      <c r="H73" s="2"/>
      <c r="I73" s="2"/>
      <c r="J73" s="2"/>
      <c r="K73" s="2"/>
      <c r="L73" s="2"/>
    </row>
    <row r="74" spans="1:30">
      <c r="A74" s="2"/>
      <c r="B74" s="2"/>
      <c r="C74" s="2"/>
      <c r="D74" s="2"/>
      <c r="E74" s="2"/>
      <c r="F74" s="2"/>
      <c r="G74" s="2"/>
      <c r="H74" s="2"/>
      <c r="I74" s="2"/>
      <c r="J74" s="2"/>
      <c r="K74" s="2"/>
      <c r="L74" s="2"/>
      <c r="O74" s="95">
        <f>SUM(O34,O29,O22,O18,O13)</f>
        <v>20677715718</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10CE-EB6A-447B-BAE0-1450A6AF2864}">
  <sheetPr>
    <tabColor theme="1" tint="0.499984740745262"/>
  </sheetPr>
  <dimension ref="A1:CA229"/>
  <sheetViews>
    <sheetView zoomScaleNormal="100" workbookViewId="0">
      <pane xSplit="1" ySplit="2" topLeftCell="AM3"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32.85546875" customWidth="1"/>
    <col min="2" max="12" width="12.85546875" hidden="1" customWidth="1"/>
    <col min="13" max="56" width="12.85546875" customWidth="1"/>
    <col min="57" max="57" width="11.85546875" customWidth="1"/>
    <col min="58" max="58" width="10" customWidth="1"/>
    <col min="59" max="59" width="10.85546875" hidden="1" customWidth="1"/>
    <col min="60" max="60" width="10.7109375" hidden="1" customWidth="1"/>
    <col min="61" max="66" width="11.42578125" hidden="1" customWidth="1"/>
    <col min="67" max="67" width="10" hidden="1" customWidth="1"/>
    <col min="68" max="68" width="11.42578125" hidden="1" customWidth="1"/>
    <col min="69" max="69" width="12.140625" hidden="1" customWidth="1"/>
    <col min="70" max="70" width="11.42578125" hidden="1" customWidth="1"/>
    <col min="71" max="71" width="12.140625" customWidth="1"/>
    <col min="72" max="72" width="11.42578125" customWidth="1"/>
    <col min="73" max="73" width="12.85546875" customWidth="1"/>
    <col min="74" max="79" width="14.5703125" bestFit="1" customWidth="1"/>
  </cols>
  <sheetData>
    <row r="1" spans="1:76" ht="18.75" thickBot="1">
      <c r="A1" s="78" t="s">
        <v>222</v>
      </c>
    </row>
    <row r="2" spans="1:76"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80">
        <v>2042</v>
      </c>
      <c r="AI2" s="80">
        <v>2043</v>
      </c>
      <c r="AJ2" s="80">
        <v>2044</v>
      </c>
      <c r="AK2" s="80">
        <v>2045</v>
      </c>
      <c r="AL2" s="80">
        <v>2046</v>
      </c>
      <c r="AM2" s="80">
        <v>2047</v>
      </c>
      <c r="AN2" s="80">
        <v>2048</v>
      </c>
      <c r="AO2" s="80">
        <v>2049</v>
      </c>
      <c r="AP2" s="80">
        <v>2050</v>
      </c>
      <c r="AQ2" s="80">
        <v>2051</v>
      </c>
      <c r="AR2" s="94"/>
      <c r="AS2" s="94"/>
      <c r="AT2" s="94"/>
      <c r="AU2" s="94"/>
      <c r="AV2" s="94"/>
      <c r="AW2" s="94"/>
      <c r="AX2" s="94"/>
      <c r="AY2" s="94"/>
      <c r="AZ2" s="94"/>
      <c r="BA2" s="94"/>
      <c r="BB2" s="94"/>
      <c r="BC2" s="94"/>
      <c r="BD2" s="94"/>
      <c r="BI2" s="80">
        <v>2020</v>
      </c>
      <c r="BK2" s="80">
        <v>2021</v>
      </c>
      <c r="BM2" s="80">
        <v>2022</v>
      </c>
      <c r="BO2" s="80">
        <v>2023</v>
      </c>
      <c r="BQ2" s="80">
        <v>2024</v>
      </c>
      <c r="BS2" s="80">
        <v>2025</v>
      </c>
      <c r="BU2" s="80">
        <v>2032</v>
      </c>
      <c r="BW2" s="80">
        <v>2033</v>
      </c>
    </row>
    <row r="3" spans="1:76">
      <c r="A3" s="94" t="s">
        <v>223</v>
      </c>
      <c r="B3" s="96">
        <f>B4+B5</f>
        <v>0</v>
      </c>
      <c r="C3" s="96">
        <f t="shared" ref="C3:P3" si="0">C4+C5</f>
        <v>0</v>
      </c>
      <c r="D3" s="96">
        <f t="shared" si="0"/>
        <v>20069</v>
      </c>
      <c r="E3" s="96">
        <f t="shared" si="0"/>
        <v>0</v>
      </c>
      <c r="F3" s="96">
        <f t="shared" si="0"/>
        <v>728509</v>
      </c>
      <c r="G3" s="96">
        <f t="shared" si="0"/>
        <v>2181096</v>
      </c>
      <c r="H3" s="96">
        <f t="shared" si="0"/>
        <v>3805246</v>
      </c>
      <c r="I3" s="96">
        <f t="shared" si="0"/>
        <v>10047034</v>
      </c>
      <c r="J3" s="96">
        <f t="shared" si="0"/>
        <v>8158168</v>
      </c>
      <c r="K3" s="96">
        <f t="shared" si="0"/>
        <v>9815841</v>
      </c>
      <c r="L3" s="96">
        <f t="shared" si="0"/>
        <v>2051172</v>
      </c>
      <c r="M3" s="96">
        <f t="shared" si="0"/>
        <v>585099</v>
      </c>
      <c r="N3" s="96">
        <f t="shared" si="0"/>
        <v>1396503</v>
      </c>
      <c r="O3" s="96">
        <f t="shared" si="0"/>
        <v>1294545</v>
      </c>
      <c r="P3" s="96">
        <f t="shared" si="0"/>
        <v>43263342</v>
      </c>
      <c r="Q3" s="4">
        <f>Q15-Q12-Q9-Q6</f>
        <v>108893076.81687927</v>
      </c>
      <c r="R3" s="4">
        <f t="shared" ref="R3:AQ3" si="1">R15-R12-R9-R6</f>
        <v>119558826.29679656</v>
      </c>
      <c r="S3" s="4">
        <f t="shared" si="1"/>
        <v>131184939.27208924</v>
      </c>
      <c r="T3" s="4">
        <f t="shared" si="1"/>
        <v>136873120.59585667</v>
      </c>
      <c r="U3" s="4">
        <f t="shared" si="1"/>
        <v>137247611.70624554</v>
      </c>
      <c r="V3" s="4">
        <f t="shared" si="1"/>
        <v>140672360.72835255</v>
      </c>
      <c r="W3" s="4">
        <f t="shared" si="1"/>
        <v>145474459.06834352</v>
      </c>
      <c r="X3" s="4">
        <f t="shared" si="1"/>
        <v>159139741.306216</v>
      </c>
      <c r="Y3" s="4">
        <f t="shared" si="1"/>
        <v>182409485.31584787</v>
      </c>
      <c r="Z3" s="4">
        <f t="shared" si="1"/>
        <v>212826069.96412158</v>
      </c>
      <c r="AA3" s="4">
        <f t="shared" si="1"/>
        <v>236877156.69228888</v>
      </c>
      <c r="AB3" s="4">
        <f t="shared" si="1"/>
        <v>270592899.64110255</v>
      </c>
      <c r="AC3" s="4">
        <f t="shared" si="1"/>
        <v>306581266.99777985</v>
      </c>
      <c r="AD3" s="4">
        <f t="shared" si="1"/>
        <v>346390493.63448143</v>
      </c>
      <c r="AE3" s="4">
        <f t="shared" si="1"/>
        <v>392803464.67981815</v>
      </c>
      <c r="AF3" s="4">
        <f t="shared" si="1"/>
        <v>440144119.31962585</v>
      </c>
      <c r="AG3" s="4">
        <f t="shared" si="1"/>
        <v>491899839.96628666</v>
      </c>
      <c r="AH3" s="4">
        <f t="shared" si="1"/>
        <v>685998299.89289474</v>
      </c>
      <c r="AI3" s="4">
        <f t="shared" si="1"/>
        <v>895313932.494627</v>
      </c>
      <c r="AJ3" s="4">
        <f t="shared" si="1"/>
        <v>1106720238.5383472</v>
      </c>
      <c r="AK3" s="4">
        <f t="shared" si="1"/>
        <v>1320950108.1071396</v>
      </c>
      <c r="AL3" s="4">
        <f t="shared" si="1"/>
        <v>1537223226.2780037</v>
      </c>
      <c r="AM3" s="4">
        <f t="shared" si="1"/>
        <v>1760466969.5770206</v>
      </c>
      <c r="AN3" s="4">
        <f t="shared" si="1"/>
        <v>1986177613.5703621</v>
      </c>
      <c r="AO3" s="4">
        <f t="shared" si="1"/>
        <v>2216237114.6743507</v>
      </c>
      <c r="AP3" s="4">
        <f t="shared" si="1"/>
        <v>2450669526.5694122</v>
      </c>
      <c r="AQ3" s="4">
        <f t="shared" si="1"/>
        <v>2687853713.8378754</v>
      </c>
      <c r="AR3" s="4"/>
      <c r="AS3" s="4"/>
      <c r="AT3" s="4"/>
      <c r="AU3" s="4"/>
      <c r="AV3" s="4"/>
      <c r="AW3" s="4"/>
      <c r="AX3" s="4"/>
      <c r="AY3" s="4"/>
      <c r="AZ3" s="4"/>
      <c r="BA3" s="4"/>
      <c r="BB3" s="4"/>
      <c r="BC3" s="4"/>
      <c r="BD3" s="4"/>
      <c r="BE3" s="3"/>
      <c r="BF3" s="2">
        <v>9790700</v>
      </c>
      <c r="BG3" s="3">
        <f t="shared" ref="BG3:BG15" si="2">K3-BF3</f>
        <v>25141</v>
      </c>
      <c r="BI3" s="4">
        <v>2163430</v>
      </c>
      <c r="BJ3" s="3">
        <f>L3-BI3</f>
        <v>-112258</v>
      </c>
      <c r="BK3" s="4">
        <v>369278</v>
      </c>
      <c r="BL3" s="3">
        <f>M3-BK3</f>
        <v>215821</v>
      </c>
      <c r="BM3" s="4">
        <v>1118974</v>
      </c>
      <c r="BN3" s="3">
        <f>N3-BM3</f>
        <v>277529</v>
      </c>
      <c r="BO3" s="4">
        <v>1273226.3899644613</v>
      </c>
      <c r="BP3" s="3">
        <f>O3-BO3</f>
        <v>21318.610035538673</v>
      </c>
      <c r="BQ3" s="4">
        <v>-14862858.296290398</v>
      </c>
      <c r="BR3" s="3">
        <f>P3-BQ3</f>
        <v>58126200.296290398</v>
      </c>
      <c r="BS3" s="4">
        <v>77893076.816879272</v>
      </c>
      <c r="BT3" s="3">
        <f>Q3-BS3</f>
        <v>31000000</v>
      </c>
      <c r="BU3" s="4">
        <v>76038430.417631149</v>
      </c>
      <c r="BV3" s="3">
        <f>X3-BU3</f>
        <v>83101310.888584852</v>
      </c>
      <c r="BW3" s="4">
        <v>82174672.614733696</v>
      </c>
      <c r="BX3" s="3">
        <f>Y3-BW3</f>
        <v>100234812.70111418</v>
      </c>
    </row>
    <row r="4" spans="1:76">
      <c r="A4" s="2" t="s">
        <v>224</v>
      </c>
      <c r="B4" s="3">
        <f>B69</f>
        <v>0</v>
      </c>
      <c r="C4" s="3">
        <f t="shared" ref="C4:P4" si="3">C69</f>
        <v>0</v>
      </c>
      <c r="D4" s="3">
        <f t="shared" si="3"/>
        <v>20069</v>
      </c>
      <c r="E4" s="3">
        <f t="shared" si="3"/>
        <v>0</v>
      </c>
      <c r="F4" s="3">
        <f t="shared" si="3"/>
        <v>728509</v>
      </c>
      <c r="G4" s="3">
        <f t="shared" si="3"/>
        <v>2181096</v>
      </c>
      <c r="H4" s="3">
        <f t="shared" si="3"/>
        <v>3805246</v>
      </c>
      <c r="I4" s="3">
        <f t="shared" si="3"/>
        <v>5743807</v>
      </c>
      <c r="J4" s="3">
        <f t="shared" si="3"/>
        <v>6541574</v>
      </c>
      <c r="K4" s="3">
        <f t="shared" si="3"/>
        <v>5551901</v>
      </c>
      <c r="L4" s="3">
        <f t="shared" si="3"/>
        <v>2051172</v>
      </c>
      <c r="M4" s="3">
        <f t="shared" si="3"/>
        <v>585099</v>
      </c>
      <c r="N4" s="3">
        <f t="shared" si="3"/>
        <v>1396503</v>
      </c>
      <c r="O4" s="3">
        <f t="shared" si="3"/>
        <v>1294545</v>
      </c>
      <c r="P4" s="3">
        <f t="shared" si="3"/>
        <v>43263342</v>
      </c>
      <c r="Q4" s="4">
        <f t="shared" ref="Q4:AQ4" si="4">Q3</f>
        <v>108893076.81687927</v>
      </c>
      <c r="R4" s="4">
        <f t="shared" si="4"/>
        <v>119558826.29679656</v>
      </c>
      <c r="S4" s="4">
        <f t="shared" si="4"/>
        <v>131184939.27208924</v>
      </c>
      <c r="T4" s="4">
        <f t="shared" si="4"/>
        <v>136873120.59585667</v>
      </c>
      <c r="U4" s="4">
        <f t="shared" si="4"/>
        <v>137247611.70624554</v>
      </c>
      <c r="V4" s="4">
        <f t="shared" si="4"/>
        <v>140672360.72835255</v>
      </c>
      <c r="W4" s="4">
        <f t="shared" si="4"/>
        <v>145474459.06834352</v>
      </c>
      <c r="X4" s="4">
        <f t="shared" si="4"/>
        <v>159139741.306216</v>
      </c>
      <c r="Y4" s="4">
        <f t="shared" si="4"/>
        <v>182409485.31584787</v>
      </c>
      <c r="Z4" s="4">
        <f t="shared" si="4"/>
        <v>212826069.96412158</v>
      </c>
      <c r="AA4" s="4">
        <f t="shared" si="4"/>
        <v>236877156.69228888</v>
      </c>
      <c r="AB4" s="4">
        <f t="shared" si="4"/>
        <v>270592899.64110255</v>
      </c>
      <c r="AC4" s="4">
        <f t="shared" si="4"/>
        <v>306581266.99777985</v>
      </c>
      <c r="AD4" s="4">
        <f t="shared" si="4"/>
        <v>346390493.63448143</v>
      </c>
      <c r="AE4" s="4">
        <f t="shared" si="4"/>
        <v>392803464.67981815</v>
      </c>
      <c r="AF4" s="4">
        <f t="shared" si="4"/>
        <v>440144119.31962585</v>
      </c>
      <c r="AG4" s="4">
        <f t="shared" si="4"/>
        <v>491899839.96628666</v>
      </c>
      <c r="AH4" s="4">
        <f t="shared" si="4"/>
        <v>685998299.89289474</v>
      </c>
      <c r="AI4" s="4">
        <f t="shared" si="4"/>
        <v>895313932.494627</v>
      </c>
      <c r="AJ4" s="4">
        <f t="shared" si="4"/>
        <v>1106720238.5383472</v>
      </c>
      <c r="AK4" s="4">
        <f t="shared" si="4"/>
        <v>1320950108.1071396</v>
      </c>
      <c r="AL4" s="4">
        <f t="shared" si="4"/>
        <v>1537223226.2780037</v>
      </c>
      <c r="AM4" s="4">
        <f t="shared" si="4"/>
        <v>1760466969.5770206</v>
      </c>
      <c r="AN4" s="4">
        <f t="shared" si="4"/>
        <v>1986177613.5703621</v>
      </c>
      <c r="AO4" s="4">
        <f t="shared" si="4"/>
        <v>2216237114.6743507</v>
      </c>
      <c r="AP4" s="4">
        <f t="shared" si="4"/>
        <v>2450669526.5694122</v>
      </c>
      <c r="AQ4" s="4">
        <f t="shared" si="4"/>
        <v>2687853713.8378754</v>
      </c>
      <c r="AR4" s="4"/>
      <c r="AS4" s="4"/>
      <c r="AT4" s="4"/>
      <c r="AU4" s="4"/>
      <c r="AV4" s="4"/>
      <c r="AW4" s="4"/>
      <c r="AX4" s="4"/>
      <c r="AY4" s="4"/>
      <c r="AZ4" s="4"/>
      <c r="BA4" s="4"/>
      <c r="BB4" s="4"/>
      <c r="BC4" s="4"/>
      <c r="BD4" s="4"/>
      <c r="BE4" s="3"/>
      <c r="BF4" s="2">
        <v>5526760</v>
      </c>
      <c r="BG4" s="3">
        <f t="shared" si="2"/>
        <v>25141</v>
      </c>
      <c r="BI4" s="4">
        <v>2163430</v>
      </c>
      <c r="BJ4" s="3">
        <f t="shared" ref="BJ4:BJ15" si="5">L4-BI4</f>
        <v>-112258</v>
      </c>
      <c r="BK4" s="4">
        <v>369278</v>
      </c>
      <c r="BL4" s="3">
        <f t="shared" ref="BL4:BL15" si="6">M4-BK4</f>
        <v>215821</v>
      </c>
      <c r="BM4" s="4">
        <v>1118974</v>
      </c>
      <c r="BN4" s="3">
        <f t="shared" ref="BN4:BN15" si="7">N4-BM4</f>
        <v>277529</v>
      </c>
      <c r="BO4" s="4">
        <v>1273226.3899644613</v>
      </c>
      <c r="BP4" s="3">
        <f t="shared" ref="BP4:BP15" si="8">O4-BO4</f>
        <v>21318.610035538673</v>
      </c>
      <c r="BQ4" s="4">
        <v>-14862858.296290398</v>
      </c>
      <c r="BR4" s="3">
        <f t="shared" ref="BR4:BR15" si="9">P4-BQ4</f>
        <v>58126200.296290398</v>
      </c>
      <c r="BS4" s="4">
        <v>77893076.816879272</v>
      </c>
      <c r="BT4" s="3">
        <f t="shared" ref="BT4:BT15" si="10">Q4-BS4</f>
        <v>31000000</v>
      </c>
      <c r="BU4" s="4">
        <v>76038430.417631149</v>
      </c>
      <c r="BV4" s="3">
        <f t="shared" ref="BV4:BV15" si="11">X4-BU4</f>
        <v>83101310.888584852</v>
      </c>
      <c r="BW4" s="4">
        <v>82174672.614733696</v>
      </c>
      <c r="BX4" s="3">
        <f t="shared" ref="BX4:BX15" si="12">Y4-BW4</f>
        <v>100234812.70111418</v>
      </c>
    </row>
    <row r="5" spans="1:76" ht="15.75" thickBot="1">
      <c r="A5" s="2" t="s">
        <v>225</v>
      </c>
      <c r="B5" s="3">
        <f>B85</f>
        <v>0</v>
      </c>
      <c r="C5" s="3">
        <f t="shared" ref="C5:O5" si="13">C85</f>
        <v>0</v>
      </c>
      <c r="D5" s="3">
        <f t="shared" si="13"/>
        <v>0</v>
      </c>
      <c r="E5" s="3">
        <f t="shared" si="13"/>
        <v>0</v>
      </c>
      <c r="F5" s="3">
        <f t="shared" si="13"/>
        <v>0</v>
      </c>
      <c r="G5" s="3">
        <f t="shared" si="13"/>
        <v>0</v>
      </c>
      <c r="H5" s="3">
        <f t="shared" si="13"/>
        <v>0</v>
      </c>
      <c r="I5" s="3">
        <f t="shared" si="13"/>
        <v>4303227</v>
      </c>
      <c r="J5" s="3">
        <f t="shared" si="13"/>
        <v>1616594</v>
      </c>
      <c r="K5" s="3">
        <f t="shared" si="13"/>
        <v>4263940</v>
      </c>
      <c r="L5" s="3">
        <f t="shared" si="13"/>
        <v>0</v>
      </c>
      <c r="M5" s="3">
        <f t="shared" si="13"/>
        <v>0</v>
      </c>
      <c r="N5" s="3">
        <f t="shared" si="13"/>
        <v>0</v>
      </c>
      <c r="O5" s="3">
        <f t="shared" si="13"/>
        <v>0</v>
      </c>
      <c r="P5" s="4">
        <f>P85</f>
        <v>0</v>
      </c>
      <c r="Q5" s="4">
        <f>Q85</f>
        <v>0</v>
      </c>
      <c r="R5" s="4">
        <f t="shared" ref="R5:AQ5" si="14">R85</f>
        <v>0</v>
      </c>
      <c r="S5" s="4">
        <f t="shared" si="14"/>
        <v>0</v>
      </c>
      <c r="T5" s="4">
        <f t="shared" si="14"/>
        <v>0</v>
      </c>
      <c r="U5" s="4">
        <f t="shared" si="14"/>
        <v>0</v>
      </c>
      <c r="V5" s="4">
        <f t="shared" si="14"/>
        <v>0</v>
      </c>
      <c r="W5" s="4">
        <f t="shared" si="14"/>
        <v>0</v>
      </c>
      <c r="X5" s="4">
        <f t="shared" si="14"/>
        <v>0</v>
      </c>
      <c r="Y5" s="4">
        <f t="shared" si="14"/>
        <v>0</v>
      </c>
      <c r="Z5" s="4">
        <f t="shared" si="14"/>
        <v>0</v>
      </c>
      <c r="AA5" s="4">
        <f t="shared" si="14"/>
        <v>0</v>
      </c>
      <c r="AB5" s="4">
        <f t="shared" si="14"/>
        <v>0</v>
      </c>
      <c r="AC5" s="4">
        <f t="shared" si="14"/>
        <v>0</v>
      </c>
      <c r="AD5" s="4">
        <f t="shared" si="14"/>
        <v>0</v>
      </c>
      <c r="AE5" s="4">
        <f t="shared" si="14"/>
        <v>0</v>
      </c>
      <c r="AF5" s="4">
        <f t="shared" si="14"/>
        <v>0</v>
      </c>
      <c r="AG5" s="4">
        <f t="shared" si="14"/>
        <v>0</v>
      </c>
      <c r="AH5" s="4">
        <f t="shared" si="14"/>
        <v>12</v>
      </c>
      <c r="AI5" s="4">
        <f t="shared" si="14"/>
        <v>24</v>
      </c>
      <c r="AJ5" s="4">
        <f t="shared" si="14"/>
        <v>36</v>
      </c>
      <c r="AK5" s="4">
        <f t="shared" si="14"/>
        <v>48</v>
      </c>
      <c r="AL5" s="4">
        <f t="shared" si="14"/>
        <v>60</v>
      </c>
      <c r="AM5" s="4">
        <f t="shared" si="14"/>
        <v>72</v>
      </c>
      <c r="AN5" s="4">
        <f t="shared" si="14"/>
        <v>84</v>
      </c>
      <c r="AO5" s="4">
        <f t="shared" si="14"/>
        <v>96</v>
      </c>
      <c r="AP5" s="4">
        <f t="shared" si="14"/>
        <v>108</v>
      </c>
      <c r="AQ5" s="4">
        <f t="shared" si="14"/>
        <v>120</v>
      </c>
      <c r="AR5" s="4"/>
      <c r="AS5" s="4"/>
      <c r="AT5" s="4"/>
      <c r="AU5" s="4"/>
      <c r="AV5" s="4"/>
      <c r="AW5" s="4"/>
      <c r="AX5" s="4"/>
      <c r="AY5" s="4"/>
      <c r="AZ5" s="4"/>
      <c r="BA5" s="4"/>
      <c r="BB5" s="4"/>
      <c r="BC5" s="4"/>
      <c r="BD5" s="4"/>
      <c r="BE5" s="3"/>
      <c r="BF5" s="2">
        <v>4263940</v>
      </c>
      <c r="BG5" s="3">
        <f t="shared" si="2"/>
        <v>0</v>
      </c>
      <c r="BI5" s="4">
        <v>0</v>
      </c>
      <c r="BJ5" s="3">
        <f t="shared" si="5"/>
        <v>0</v>
      </c>
      <c r="BK5" s="4">
        <v>0</v>
      </c>
      <c r="BL5" s="3">
        <f t="shared" si="6"/>
        <v>0</v>
      </c>
      <c r="BM5" s="4">
        <v>0</v>
      </c>
      <c r="BN5" s="3">
        <f t="shared" si="7"/>
        <v>0</v>
      </c>
      <c r="BO5" s="4">
        <v>0</v>
      </c>
      <c r="BP5" s="3">
        <f t="shared" si="8"/>
        <v>0</v>
      </c>
      <c r="BQ5" s="4">
        <v>0</v>
      </c>
      <c r="BR5" s="3">
        <f t="shared" si="9"/>
        <v>0</v>
      </c>
      <c r="BS5" s="4">
        <v>0</v>
      </c>
      <c r="BT5" s="3">
        <f t="shared" si="10"/>
        <v>0</v>
      </c>
      <c r="BU5" s="4">
        <v>0</v>
      </c>
      <c r="BV5" s="3">
        <f t="shared" si="11"/>
        <v>0</v>
      </c>
      <c r="BW5" s="4">
        <v>0</v>
      </c>
      <c r="BX5" s="3">
        <f t="shared" si="12"/>
        <v>0</v>
      </c>
    </row>
    <row r="6" spans="1:76">
      <c r="A6" s="97" t="s">
        <v>226</v>
      </c>
      <c r="B6" s="98">
        <f t="shared" ref="B6:P6" si="15">B7+B8</f>
        <v>0</v>
      </c>
      <c r="C6" s="98">
        <f t="shared" si="15"/>
        <v>0</v>
      </c>
      <c r="D6" s="98">
        <f t="shared" si="15"/>
        <v>0</v>
      </c>
      <c r="E6" s="98">
        <f t="shared" si="15"/>
        <v>0</v>
      </c>
      <c r="F6" s="98">
        <f t="shared" si="15"/>
        <v>15208068</v>
      </c>
      <c r="G6" s="98">
        <f t="shared" si="15"/>
        <v>81490266</v>
      </c>
      <c r="H6" s="98">
        <f t="shared" si="15"/>
        <v>116582508</v>
      </c>
      <c r="I6" s="98">
        <f t="shared" si="15"/>
        <v>157100756</v>
      </c>
      <c r="J6" s="98">
        <f t="shared" si="15"/>
        <v>221510255</v>
      </c>
      <c r="K6" s="98">
        <f t="shared" si="15"/>
        <v>328054595</v>
      </c>
      <c r="L6" s="98">
        <f t="shared" si="15"/>
        <v>412276935</v>
      </c>
      <c r="M6" s="98">
        <f t="shared" si="15"/>
        <v>483723044</v>
      </c>
      <c r="N6" s="98">
        <f t="shared" si="15"/>
        <v>576704400</v>
      </c>
      <c r="O6" s="98">
        <f t="shared" si="15"/>
        <v>687948873</v>
      </c>
      <c r="P6" s="98">
        <f t="shared" si="15"/>
        <v>803554679</v>
      </c>
      <c r="Q6" s="99">
        <f>MROUND((SUM(L6:P6)/SUM(L$15:P$15))*Q$15,1000000)-100000000</f>
        <v>454000000</v>
      </c>
      <c r="R6" s="100">
        <f>MROUND((SUM(M6:Q6)/SUM(M$15:Q$15))*R$15,1000000)+24000000-50000000</f>
        <v>623000000</v>
      </c>
      <c r="S6" s="100">
        <f>MROUND((SUM(N6:R6)/SUM(N$15:R$15))*S$15,1000000)+50000000-75000000</f>
        <v>620000000</v>
      </c>
      <c r="T6" s="100">
        <f>MROUND((SUM(O6:S6)/SUM(O$15:S$15))*T$15,1000000)+59000000-110000000</f>
        <v>624000000</v>
      </c>
      <c r="U6" s="100">
        <f>MROUND((SUM(P6:T6)/SUM(P$15:T$15))*U$15,1000000)+60000000-75000000</f>
        <v>691000000</v>
      </c>
      <c r="V6" s="100">
        <f>MROUND((SUM(Q6:U6)/SUM(Q$15:U$15))*V$15,1000000)+42000000-20000000</f>
        <v>796000000</v>
      </c>
      <c r="W6" s="100">
        <f>MROUND((SUM(R6:V6)/SUM(R$15:V$15))*W$15,1000000)+26000000-5000000</f>
        <v>860000000</v>
      </c>
      <c r="X6" s="100">
        <f>MROUND((SUM(S6:W6)/SUM(S$15:W$15))*X$15,1000000)+19000000</f>
        <v>947000000</v>
      </c>
      <c r="Y6" s="100">
        <f>MROUND((SUM(T6:X6)/SUM(T$15:X$15))*Y$15,1000000)+14000000</f>
        <v>1087000000</v>
      </c>
      <c r="Z6" s="100">
        <f t="shared" ref="Z6:AD6" si="16">MROUND((SUM(U6:Y6)/SUM(U$15:Y$15))*Z$15,1000000)</f>
        <v>1222000000</v>
      </c>
      <c r="AA6" s="100">
        <f t="shared" si="16"/>
        <v>1387000000</v>
      </c>
      <c r="AB6" s="100">
        <f t="shared" si="16"/>
        <v>1586000000</v>
      </c>
      <c r="AC6" s="100">
        <f t="shared" si="16"/>
        <v>1801000000</v>
      </c>
      <c r="AD6" s="100">
        <f t="shared" si="16"/>
        <v>2032000000</v>
      </c>
      <c r="AE6" s="100">
        <f>MROUND((SUM(Z6:AD6)/SUM(Z$15:AD$15))*AE$15,1000000)</f>
        <v>2293000000</v>
      </c>
      <c r="AF6" s="100">
        <f>MROUND((SUM(AA6:AE6)/SUM(AA$15:AE$15))*AF$15,1000000)</f>
        <v>2579000000</v>
      </c>
      <c r="AG6" s="100">
        <f>MROUND((SUM(AB6:AF6)/SUM(AB$15:AF$15))*AG$15,1000000)</f>
        <v>2883000000</v>
      </c>
      <c r="AH6" s="100">
        <f t="shared" ref="AH6:AO6" si="17">MROUND((SUM(AC6:AG6)/SUM(AC$15:AG$15))*AH$15,1000000)</f>
        <v>4024000000</v>
      </c>
      <c r="AI6" s="100">
        <f t="shared" si="17"/>
        <v>5246000000</v>
      </c>
      <c r="AJ6" s="100">
        <f t="shared" si="17"/>
        <v>6488000000</v>
      </c>
      <c r="AK6" s="100">
        <f t="shared" si="17"/>
        <v>7741000000</v>
      </c>
      <c r="AL6" s="100">
        <f t="shared" si="17"/>
        <v>9011000000</v>
      </c>
      <c r="AM6" s="100">
        <f t="shared" si="17"/>
        <v>10323000000</v>
      </c>
      <c r="AN6" s="100">
        <f t="shared" si="17"/>
        <v>11645000000</v>
      </c>
      <c r="AO6" s="100">
        <f t="shared" si="17"/>
        <v>12990000000</v>
      </c>
      <c r="AP6" s="100">
        <f>MROUND((SUM(AK6:AO6)/SUM(AK$15:AO$15))*AP$15,1000000)</f>
        <v>14361000000</v>
      </c>
      <c r="AQ6" s="100">
        <f>MROUND((SUM(AL6:AP6)/SUM(AL$15:AP$15))*AQ$15,1000000)</f>
        <v>15757000000</v>
      </c>
      <c r="AR6" s="4"/>
      <c r="AS6" s="4"/>
      <c r="AT6" s="4"/>
      <c r="AU6" s="4"/>
      <c r="AV6" s="4"/>
      <c r="AW6" s="4"/>
      <c r="AX6" s="4"/>
      <c r="AY6" s="4"/>
      <c r="AZ6" s="4"/>
      <c r="BA6" s="4"/>
      <c r="BB6" s="4"/>
      <c r="BC6" s="4"/>
      <c r="BD6" s="4"/>
      <c r="BE6" s="3"/>
      <c r="BF6" s="2">
        <v>335770000</v>
      </c>
      <c r="BG6" s="3">
        <f t="shared" si="2"/>
        <v>-7715405</v>
      </c>
      <c r="BI6" s="100">
        <v>416895550</v>
      </c>
      <c r="BJ6" s="101">
        <f t="shared" si="5"/>
        <v>-4618615</v>
      </c>
      <c r="BK6" s="100">
        <v>484401381</v>
      </c>
      <c r="BL6" s="101">
        <f t="shared" si="6"/>
        <v>-678337</v>
      </c>
      <c r="BM6" s="100">
        <v>570500000</v>
      </c>
      <c r="BN6" s="101">
        <f t="shared" si="7"/>
        <v>6204400</v>
      </c>
      <c r="BO6" s="100">
        <v>676450000</v>
      </c>
      <c r="BP6" s="101">
        <f t="shared" si="8"/>
        <v>11498873</v>
      </c>
      <c r="BQ6" s="100">
        <v>859580412</v>
      </c>
      <c r="BR6" s="101">
        <f t="shared" si="9"/>
        <v>-56025733</v>
      </c>
      <c r="BS6" s="100">
        <v>964000000</v>
      </c>
      <c r="BT6" s="101">
        <f t="shared" si="10"/>
        <v>-510000000</v>
      </c>
      <c r="BU6" s="100">
        <v>2290000000</v>
      </c>
      <c r="BV6" s="3">
        <f t="shared" si="11"/>
        <v>-1343000000</v>
      </c>
      <c r="BW6" s="100">
        <v>2398000000</v>
      </c>
      <c r="BX6" s="3">
        <f t="shared" si="12"/>
        <v>-1311000000</v>
      </c>
    </row>
    <row r="7" spans="1:76">
      <c r="A7" s="2" t="s">
        <v>224</v>
      </c>
      <c r="B7" s="3">
        <f>B117</f>
        <v>0</v>
      </c>
      <c r="C7" s="3">
        <f t="shared" ref="C7:P7" si="18">C117</f>
        <v>0</v>
      </c>
      <c r="D7" s="3">
        <f t="shared" si="18"/>
        <v>0</v>
      </c>
      <c r="E7" s="3">
        <f t="shared" si="18"/>
        <v>0</v>
      </c>
      <c r="F7" s="3">
        <f t="shared" si="18"/>
        <v>15208068</v>
      </c>
      <c r="G7" s="3">
        <f t="shared" si="18"/>
        <v>70454732</v>
      </c>
      <c r="H7" s="3">
        <f t="shared" si="18"/>
        <v>116415265</v>
      </c>
      <c r="I7" s="3">
        <f t="shared" si="18"/>
        <v>155484808</v>
      </c>
      <c r="J7" s="3">
        <f t="shared" si="18"/>
        <v>213192231</v>
      </c>
      <c r="K7" s="3">
        <f t="shared" si="18"/>
        <v>316914858</v>
      </c>
      <c r="L7" s="3">
        <f t="shared" si="18"/>
        <v>387989118</v>
      </c>
      <c r="M7" s="3">
        <f t="shared" si="18"/>
        <v>450719483</v>
      </c>
      <c r="N7" s="3">
        <f t="shared" si="18"/>
        <v>546094740</v>
      </c>
      <c r="O7" s="3">
        <f t="shared" si="18"/>
        <v>681812343</v>
      </c>
      <c r="P7" s="3">
        <f t="shared" si="18"/>
        <v>796148191</v>
      </c>
      <c r="Q7" s="102">
        <f>((SUM(L7:P7)/SUM(L6:P6))*Q6)</f>
        <v>438462762.90460408</v>
      </c>
      <c r="R7" s="4">
        <f t="shared" ref="R7:V7" si="19">((SUM(M7:Q7)/SUM(M6:Q6))*R6)</f>
        <v>603788635.63924885</v>
      </c>
      <c r="S7" s="4">
        <f t="shared" si="19"/>
        <v>604446563.14959896</v>
      </c>
      <c r="T7" s="4">
        <f t="shared" si="19"/>
        <v>611505325.15157568</v>
      </c>
      <c r="U7" s="4">
        <f t="shared" si="19"/>
        <v>675474455.72832429</v>
      </c>
      <c r="V7" s="4">
        <f t="shared" si="19"/>
        <v>775301289.20597219</v>
      </c>
      <c r="W7" s="4">
        <f t="shared" ref="W7" si="20">((SUM(R7:V7)/SUM(R6:V6))*W6)</f>
        <v>838593915.09608209</v>
      </c>
      <c r="X7" s="4">
        <f t="shared" ref="X7:AQ7" si="21">((SUM(S7:W7)/SUM(S6:W6))*X6)</f>
        <v>924405320.59871376</v>
      </c>
      <c r="Y7" s="4">
        <f t="shared" si="21"/>
        <v>1061276082.7931564</v>
      </c>
      <c r="Z7" s="4">
        <f t="shared" si="21"/>
        <v>1192447477.6311316</v>
      </c>
      <c r="AA7" s="4">
        <f t="shared" si="21"/>
        <v>1353122436.1453283</v>
      </c>
      <c r="AB7" s="4">
        <f t="shared" si="21"/>
        <v>1547623939.3733158</v>
      </c>
      <c r="AC7" s="4">
        <f t="shared" si="21"/>
        <v>1757594210.4722273</v>
      </c>
      <c r="AD7" s="4">
        <f t="shared" si="21"/>
        <v>1982961223.4244819</v>
      </c>
      <c r="AE7" s="4">
        <f t="shared" si="21"/>
        <v>2237517079.6210251</v>
      </c>
      <c r="AF7" s="4">
        <f t="shared" si="21"/>
        <v>2516592363.4272799</v>
      </c>
      <c r="AG7" s="4">
        <f t="shared" si="21"/>
        <v>2813324133.4608636</v>
      </c>
      <c r="AH7" s="4">
        <f t="shared" si="21"/>
        <v>3926764564.883781</v>
      </c>
      <c r="AI7" s="4">
        <f t="shared" si="21"/>
        <v>5119193253.7710705</v>
      </c>
      <c r="AJ7" s="4">
        <f t="shared" si="21"/>
        <v>6331141460.9000978</v>
      </c>
      <c r="AK7" s="4">
        <f t="shared" si="21"/>
        <v>7553864709.0219593</v>
      </c>
      <c r="AL7" s="4">
        <f t="shared" si="21"/>
        <v>8793183999.2298679</v>
      </c>
      <c r="AM7" s="4">
        <f t="shared" si="21"/>
        <v>10073466000.557655</v>
      </c>
      <c r="AN7" s="4">
        <f t="shared" si="21"/>
        <v>11363499227.922188</v>
      </c>
      <c r="AO7" s="4">
        <f t="shared" si="21"/>
        <v>12675983644.824736</v>
      </c>
      <c r="AP7" s="4">
        <f t="shared" si="21"/>
        <v>14013846940.025751</v>
      </c>
      <c r="AQ7" s="4">
        <f t="shared" si="21"/>
        <v>15376103581.459129</v>
      </c>
      <c r="AR7" s="4"/>
      <c r="AS7" s="4"/>
      <c r="AT7" s="4"/>
      <c r="AU7" s="4"/>
      <c r="AV7" s="4"/>
      <c r="AW7" s="4"/>
      <c r="AX7" s="4"/>
      <c r="AY7" s="4"/>
      <c r="AZ7" s="4"/>
      <c r="BA7" s="4"/>
      <c r="BB7" s="4"/>
      <c r="BC7" s="4"/>
      <c r="BD7" s="4"/>
      <c r="BE7" s="3"/>
      <c r="BF7" s="2">
        <v>324215326.26080567</v>
      </c>
      <c r="BG7" s="3">
        <f t="shared" si="2"/>
        <v>-7300468.2608056664</v>
      </c>
      <c r="BI7" s="4">
        <v>395084233.92281908</v>
      </c>
      <c r="BJ7" s="3">
        <f t="shared" si="5"/>
        <v>-7095115.922819078</v>
      </c>
      <c r="BK7" s="4">
        <v>449592252.19469655</v>
      </c>
      <c r="BL7" s="3">
        <f t="shared" si="6"/>
        <v>1127230.8053034544</v>
      </c>
      <c r="BM7" s="4">
        <v>541632458.18127298</v>
      </c>
      <c r="BN7" s="3">
        <f t="shared" si="7"/>
        <v>4462281.8187270164</v>
      </c>
      <c r="BO7" s="4">
        <v>670819216.33911288</v>
      </c>
      <c r="BP7" s="3">
        <f t="shared" si="8"/>
        <v>10993126.660887122</v>
      </c>
      <c r="BQ7" s="4">
        <v>852094910.5911783</v>
      </c>
      <c r="BR7" s="3">
        <f t="shared" si="9"/>
        <v>-55946719.591178298</v>
      </c>
      <c r="BS7" s="4">
        <v>931009038.41418135</v>
      </c>
      <c r="BT7" s="3">
        <f t="shared" si="10"/>
        <v>-492546275.50957727</v>
      </c>
      <c r="BU7" s="4">
        <v>2201336307.0405555</v>
      </c>
      <c r="BV7" s="3">
        <f t="shared" si="11"/>
        <v>-1276930986.4418416</v>
      </c>
      <c r="BW7" s="4">
        <v>2305033962.5074625</v>
      </c>
      <c r="BX7" s="3">
        <f t="shared" si="12"/>
        <v>-1243757879.7143061</v>
      </c>
    </row>
    <row r="8" spans="1:76" ht="15.75" thickBot="1">
      <c r="A8" s="2" t="s">
        <v>225</v>
      </c>
      <c r="B8" s="3">
        <f>B133</f>
        <v>0</v>
      </c>
      <c r="C8" s="3">
        <f t="shared" ref="C8:P8" si="22">C133</f>
        <v>0</v>
      </c>
      <c r="D8" s="3">
        <f t="shared" si="22"/>
        <v>0</v>
      </c>
      <c r="E8" s="3">
        <f t="shared" si="22"/>
        <v>0</v>
      </c>
      <c r="F8" s="3">
        <f t="shared" si="22"/>
        <v>0</v>
      </c>
      <c r="G8" s="3">
        <f t="shared" si="22"/>
        <v>11035534</v>
      </c>
      <c r="H8" s="3">
        <f t="shared" si="22"/>
        <v>167243</v>
      </c>
      <c r="I8" s="3">
        <f t="shared" si="22"/>
        <v>1615948</v>
      </c>
      <c r="J8" s="3">
        <f t="shared" si="22"/>
        <v>8318024</v>
      </c>
      <c r="K8" s="3">
        <f t="shared" si="22"/>
        <v>11139737</v>
      </c>
      <c r="L8" s="3">
        <f t="shared" si="22"/>
        <v>24287817</v>
      </c>
      <c r="M8" s="3">
        <f t="shared" si="22"/>
        <v>33003561</v>
      </c>
      <c r="N8" s="3">
        <f t="shared" si="22"/>
        <v>30609660</v>
      </c>
      <c r="O8" s="3">
        <f t="shared" si="22"/>
        <v>6136530</v>
      </c>
      <c r="P8" s="3">
        <f t="shared" si="22"/>
        <v>7406488</v>
      </c>
      <c r="Q8" s="4">
        <f t="shared" ref="Q8:AD8" si="23">Q6-Q7</f>
        <v>15537237.095395923</v>
      </c>
      <c r="R8" s="4">
        <f t="shared" si="23"/>
        <v>19211364.360751152</v>
      </c>
      <c r="S8" s="4">
        <f t="shared" si="23"/>
        <v>15553436.850401044</v>
      </c>
      <c r="T8" s="4">
        <f t="shared" si="23"/>
        <v>12494674.848424315</v>
      </c>
      <c r="U8" s="4">
        <f t="shared" si="23"/>
        <v>15525544.271675706</v>
      </c>
      <c r="V8" s="4">
        <f t="shared" si="23"/>
        <v>20698710.794027805</v>
      </c>
      <c r="W8" s="4">
        <f t="shared" si="23"/>
        <v>21406084.903917909</v>
      </c>
      <c r="X8" s="4">
        <f t="shared" si="23"/>
        <v>22594679.401286244</v>
      </c>
      <c r="Y8" s="4">
        <f t="shared" si="23"/>
        <v>25723917.206843615</v>
      </c>
      <c r="Z8" s="4">
        <f t="shared" si="23"/>
        <v>29552522.368868351</v>
      </c>
      <c r="AA8" s="4">
        <f t="shared" si="23"/>
        <v>33877563.854671717</v>
      </c>
      <c r="AB8" s="4">
        <f t="shared" si="23"/>
        <v>38376060.626684189</v>
      </c>
      <c r="AC8" s="4">
        <f t="shared" si="23"/>
        <v>43405789.527772665</v>
      </c>
      <c r="AD8" s="4">
        <f t="shared" si="23"/>
        <v>49038776.575518131</v>
      </c>
      <c r="AE8" s="4">
        <f>AE6-AE7</f>
        <v>55482920.378974915</v>
      </c>
      <c r="AF8" s="4">
        <f>AF6-AF7</f>
        <v>62407636.572720051</v>
      </c>
      <c r="AG8" s="4">
        <f>AG6-AG7</f>
        <v>69675866.53913641</v>
      </c>
      <c r="AH8" s="4">
        <f t="shared" ref="AH8:AO8" si="24">AH6-AH7</f>
        <v>97235435.116219044</v>
      </c>
      <c r="AI8" s="4">
        <f t="shared" si="24"/>
        <v>126806746.22892952</v>
      </c>
      <c r="AJ8" s="4">
        <f t="shared" si="24"/>
        <v>156858539.09990215</v>
      </c>
      <c r="AK8" s="4">
        <f t="shared" si="24"/>
        <v>187135290.9780407</v>
      </c>
      <c r="AL8" s="4">
        <f t="shared" si="24"/>
        <v>217816000.77013206</v>
      </c>
      <c r="AM8" s="4">
        <f t="shared" si="24"/>
        <v>249533999.44234467</v>
      </c>
      <c r="AN8" s="4">
        <f t="shared" si="24"/>
        <v>281500772.07781219</v>
      </c>
      <c r="AO8" s="4">
        <f t="shared" si="24"/>
        <v>314016355.17526436</v>
      </c>
      <c r="AP8" s="4">
        <f>AP6-AP7</f>
        <v>347153059.97424889</v>
      </c>
      <c r="AQ8" s="4">
        <f>AQ6-AQ7</f>
        <v>380896418.54087067</v>
      </c>
      <c r="AR8" s="4"/>
      <c r="AS8" s="4"/>
      <c r="AT8" s="4"/>
      <c r="AU8" s="4"/>
      <c r="AV8" s="4"/>
      <c r="AW8" s="4"/>
      <c r="AX8" s="4"/>
      <c r="AY8" s="4"/>
      <c r="AZ8" s="4"/>
      <c r="BA8" s="4"/>
      <c r="BB8" s="4"/>
      <c r="BC8" s="4"/>
      <c r="BD8" s="4"/>
      <c r="BE8" s="3"/>
      <c r="BF8" s="2">
        <v>11554673.739194334</v>
      </c>
      <c r="BG8" s="3">
        <f t="shared" si="2"/>
        <v>-414936.73919433355</v>
      </c>
      <c r="BI8" s="4">
        <v>21811316.077180922</v>
      </c>
      <c r="BJ8" s="3">
        <f t="shared" si="5"/>
        <v>2476500.922819078</v>
      </c>
      <c r="BK8" s="4">
        <v>34809128.805303454</v>
      </c>
      <c r="BL8" s="3">
        <f t="shared" si="6"/>
        <v>-1805567.8053034544</v>
      </c>
      <c r="BM8" s="4">
        <v>28867541.818727016</v>
      </c>
      <c r="BN8" s="3">
        <f t="shared" si="7"/>
        <v>1742118.1812729836</v>
      </c>
      <c r="BO8" s="4">
        <v>5630783.6608871222</v>
      </c>
      <c r="BP8" s="3">
        <f t="shared" si="8"/>
        <v>505746.33911287785</v>
      </c>
      <c r="BQ8" s="4">
        <v>7485501.408821702</v>
      </c>
      <c r="BR8" s="3">
        <f t="shared" si="9"/>
        <v>-79013.408821702003</v>
      </c>
      <c r="BS8" s="4">
        <v>32990961.585818648</v>
      </c>
      <c r="BT8" s="3">
        <f t="shared" si="10"/>
        <v>-17453724.490422726</v>
      </c>
      <c r="BU8" s="4">
        <v>88663692.959444523</v>
      </c>
      <c r="BV8" s="3">
        <f t="shared" si="11"/>
        <v>-66069013.558158278</v>
      </c>
      <c r="BW8" s="4">
        <v>92966037.492537498</v>
      </c>
      <c r="BX8" s="3">
        <f t="shared" si="12"/>
        <v>-67242120.285693884</v>
      </c>
    </row>
    <row r="9" spans="1:76">
      <c r="A9" s="97" t="s">
        <v>227</v>
      </c>
      <c r="B9" s="98">
        <f>B10+B11</f>
        <v>0</v>
      </c>
      <c r="C9" s="98">
        <f t="shared" ref="C9:P9" si="25">C10+C11</f>
        <v>0</v>
      </c>
      <c r="D9" s="98">
        <f t="shared" si="25"/>
        <v>0</v>
      </c>
      <c r="E9" s="98">
        <f t="shared" si="25"/>
        <v>0</v>
      </c>
      <c r="F9" s="98">
        <f t="shared" si="25"/>
        <v>17379815</v>
      </c>
      <c r="G9" s="98">
        <f t="shared" si="25"/>
        <v>58368879</v>
      </c>
      <c r="H9" s="98">
        <f t="shared" si="25"/>
        <v>71974041</v>
      </c>
      <c r="I9" s="98">
        <f t="shared" si="25"/>
        <v>83476683</v>
      </c>
      <c r="J9" s="98">
        <f t="shared" si="25"/>
        <v>82679775</v>
      </c>
      <c r="K9" s="98">
        <f t="shared" si="25"/>
        <v>76252374</v>
      </c>
      <c r="L9" s="98">
        <f t="shared" si="25"/>
        <v>91544104</v>
      </c>
      <c r="M9" s="98">
        <f t="shared" si="25"/>
        <v>84106011</v>
      </c>
      <c r="N9" s="98">
        <f t="shared" si="25"/>
        <v>90517844</v>
      </c>
      <c r="O9" s="98">
        <f t="shared" si="25"/>
        <v>85488090</v>
      </c>
      <c r="P9" s="98">
        <f t="shared" si="25"/>
        <v>74345069</v>
      </c>
      <c r="Q9" s="100">
        <f>MROUND((SUM(L9:P9)/SUM(L$15:P$15))*Q$15,1000000)</f>
        <v>80000000</v>
      </c>
      <c r="R9" s="100">
        <f>MROUND((SUM(M9:Q9)/SUM(M$15:Q$15))*R$15,1000000)-60000000</f>
        <v>30000000</v>
      </c>
      <c r="S9" s="100">
        <f>MROUND((SUM(N9:R9)/SUM(N$15:R$15))*S$15,1000000)-49800000</f>
        <v>24200000</v>
      </c>
      <c r="T9" s="100">
        <f>MROUND((SUM(O9:S9)/SUM(O$15:S$15))*T$15,1000000)</f>
        <v>62000000</v>
      </c>
      <c r="U9" s="100">
        <f t="shared" ref="U9:AA9" si="26">MROUND((SUM(P9:T9)/SUM(P$15:T$15))*U$15,1000000)</f>
        <v>61000000</v>
      </c>
      <c r="V9" s="100">
        <f t="shared" si="26"/>
        <v>66000000</v>
      </c>
      <c r="W9" s="100">
        <f t="shared" si="26"/>
        <v>61000000</v>
      </c>
      <c r="X9" s="100">
        <f t="shared" si="26"/>
        <v>71000000</v>
      </c>
      <c r="Y9" s="100">
        <f t="shared" si="26"/>
        <v>88000000</v>
      </c>
      <c r="Z9" s="100">
        <f t="shared" si="26"/>
        <v>97000000</v>
      </c>
      <c r="AA9" s="100">
        <f t="shared" si="26"/>
        <v>108000000</v>
      </c>
      <c r="AB9" s="100">
        <f t="shared" ref="AB9:AQ9" si="27">MROUND((SUM(W9:AA9)/SUM(W$15:AA$15))*AB$15,1000000)</f>
        <v>122000000</v>
      </c>
      <c r="AC9" s="100">
        <f t="shared" si="27"/>
        <v>141000000</v>
      </c>
      <c r="AD9" s="100">
        <f t="shared" si="27"/>
        <v>160000000</v>
      </c>
      <c r="AE9" s="100">
        <f t="shared" si="27"/>
        <v>179000000</v>
      </c>
      <c r="AF9" s="100">
        <f t="shared" si="27"/>
        <v>201000000</v>
      </c>
      <c r="AG9" s="100">
        <f t="shared" si="27"/>
        <v>225000000</v>
      </c>
      <c r="AH9" s="100">
        <f t="shared" si="27"/>
        <v>315000000</v>
      </c>
      <c r="AI9" s="100">
        <f t="shared" si="27"/>
        <v>410000000</v>
      </c>
      <c r="AJ9" s="100">
        <f t="shared" si="27"/>
        <v>507000000</v>
      </c>
      <c r="AK9" s="100">
        <f t="shared" si="27"/>
        <v>605000000</v>
      </c>
      <c r="AL9" s="100">
        <f t="shared" si="27"/>
        <v>704000000</v>
      </c>
      <c r="AM9" s="100">
        <f t="shared" si="27"/>
        <v>807000000</v>
      </c>
      <c r="AN9" s="100">
        <f t="shared" si="27"/>
        <v>910000000</v>
      </c>
      <c r="AO9" s="100">
        <f t="shared" si="27"/>
        <v>1015000000</v>
      </c>
      <c r="AP9" s="100">
        <f t="shared" si="27"/>
        <v>1122000000</v>
      </c>
      <c r="AQ9" s="100">
        <f t="shared" si="27"/>
        <v>1231000000</v>
      </c>
      <c r="AR9" s="4"/>
      <c r="AS9" s="4"/>
      <c r="AT9" s="4"/>
      <c r="AU9" s="4"/>
      <c r="AV9" s="4"/>
      <c r="AW9" s="4"/>
      <c r="AX9" s="4"/>
      <c r="AY9" s="4"/>
      <c r="AZ9" s="4"/>
      <c r="BA9" s="4"/>
      <c r="BB9" s="4"/>
      <c r="BC9" s="4"/>
      <c r="BD9" s="4"/>
      <c r="BE9" s="3"/>
      <c r="BF9" s="2">
        <v>84600000</v>
      </c>
      <c r="BG9" s="3">
        <f t="shared" si="2"/>
        <v>-8347626</v>
      </c>
      <c r="BI9" s="100">
        <v>91307418</v>
      </c>
      <c r="BJ9" s="101">
        <f t="shared" si="5"/>
        <v>236686</v>
      </c>
      <c r="BK9" s="100">
        <v>84161895</v>
      </c>
      <c r="BL9" s="101">
        <f t="shared" si="6"/>
        <v>-55884</v>
      </c>
      <c r="BM9" s="100">
        <v>92381026</v>
      </c>
      <c r="BN9" s="101">
        <f t="shared" si="7"/>
        <v>-1863182</v>
      </c>
      <c r="BO9" s="100">
        <v>87500000</v>
      </c>
      <c r="BP9" s="101">
        <f t="shared" si="8"/>
        <v>-2011910</v>
      </c>
      <c r="BQ9" s="100">
        <v>71000000</v>
      </c>
      <c r="BR9" s="101">
        <f t="shared" si="9"/>
        <v>3345069</v>
      </c>
      <c r="BS9" s="100">
        <v>76000000</v>
      </c>
      <c r="BT9" s="101">
        <f t="shared" si="10"/>
        <v>4000000</v>
      </c>
      <c r="BU9" s="100">
        <v>69000000</v>
      </c>
      <c r="BV9" s="3">
        <f t="shared" si="11"/>
        <v>2000000</v>
      </c>
      <c r="BW9" s="100">
        <v>63750000</v>
      </c>
      <c r="BX9" s="3">
        <f t="shared" si="12"/>
        <v>24250000</v>
      </c>
    </row>
    <row r="10" spans="1:76">
      <c r="A10" s="2" t="s">
        <v>224</v>
      </c>
      <c r="B10" s="3">
        <f>B165</f>
        <v>0</v>
      </c>
      <c r="C10" s="3">
        <f t="shared" ref="C10:P10" si="28">C165</f>
        <v>0</v>
      </c>
      <c r="D10" s="3">
        <f t="shared" si="28"/>
        <v>0</v>
      </c>
      <c r="E10" s="3">
        <f t="shared" si="28"/>
        <v>0</v>
      </c>
      <c r="F10" s="3">
        <f t="shared" si="28"/>
        <v>17379815</v>
      </c>
      <c r="G10" s="3">
        <f t="shared" si="28"/>
        <v>44573469</v>
      </c>
      <c r="H10" s="3">
        <f t="shared" si="28"/>
        <v>51224648</v>
      </c>
      <c r="I10" s="3">
        <f t="shared" si="28"/>
        <v>52723880</v>
      </c>
      <c r="J10" s="3">
        <f t="shared" si="28"/>
        <v>55174291</v>
      </c>
      <c r="K10" s="3">
        <f t="shared" si="28"/>
        <v>51808457</v>
      </c>
      <c r="L10" s="3">
        <f t="shared" si="28"/>
        <v>80944361</v>
      </c>
      <c r="M10" s="3">
        <f t="shared" si="28"/>
        <v>80987739</v>
      </c>
      <c r="N10" s="3">
        <f t="shared" si="28"/>
        <v>84073285</v>
      </c>
      <c r="O10" s="3">
        <f t="shared" si="28"/>
        <v>48315450</v>
      </c>
      <c r="P10" s="3">
        <f t="shared" si="28"/>
        <v>39508677</v>
      </c>
      <c r="Q10" s="4">
        <f>((SUM(L10:P10)/SUM(L9:P9))*Q9)*0.65</f>
        <v>40749035.367555067</v>
      </c>
      <c r="R10" s="4">
        <f>((SUM(M10:Q10)/SUM(M9:Q9))*R9)*0.75</f>
        <v>15940782.686983284</v>
      </c>
      <c r="S10" s="4">
        <f t="shared" ref="S10:AD10" si="29">((SUM(N10:R10)/SUM(N9:R9))*S9)</f>
        <v>15351174.053260034</v>
      </c>
      <c r="T10" s="4">
        <f t="shared" si="29"/>
        <v>33709250.406970248</v>
      </c>
      <c r="U10" s="4">
        <f t="shared" si="29"/>
        <v>32751637.733234335</v>
      </c>
      <c r="V10" s="4">
        <f t="shared" si="29"/>
        <v>35540917.948554419</v>
      </c>
      <c r="W10" s="4">
        <f t="shared" si="29"/>
        <v>33433057.28852443</v>
      </c>
      <c r="X10" s="4">
        <f t="shared" si="29"/>
        <v>39043795.250067778</v>
      </c>
      <c r="Y10" s="4">
        <f t="shared" si="29"/>
        <v>47832155.636158586</v>
      </c>
      <c r="Z10" s="4">
        <f t="shared" si="29"/>
        <v>52721474.622721426</v>
      </c>
      <c r="AA10" s="4">
        <f t="shared" si="29"/>
        <v>58813867.573292106</v>
      </c>
      <c r="AB10" s="4">
        <f t="shared" si="29"/>
        <v>66552966.459372349</v>
      </c>
      <c r="AC10" s="4">
        <f t="shared" si="29"/>
        <v>76872346.904047996</v>
      </c>
      <c r="AD10" s="4">
        <f t="shared" si="29"/>
        <v>87134621.926789194</v>
      </c>
      <c r="AE10" s="4">
        <f>((SUM(Z10:AD10)/SUM(Z9:AD9))*AE9)</f>
        <v>97508048.837633654</v>
      </c>
      <c r="AF10" s="4">
        <f>((SUM(AA10:AE10)/SUM(AA9:AE9))*AF9)</f>
        <v>109525707.31257492</v>
      </c>
      <c r="AG10" s="4">
        <f>((SUM(AB10:AF10)/SUM(AB9:AF9))*AG9)</f>
        <v>122613425.37247083</v>
      </c>
      <c r="AH10" s="4">
        <f t="shared" ref="AH10:AO10" si="30">((SUM(AC10:AG10)/SUM(AC9:AG9))*AH9)</f>
        <v>171634721.14940146</v>
      </c>
      <c r="AI10" s="4">
        <f t="shared" si="30"/>
        <v>223380347.30142289</v>
      </c>
      <c r="AJ10" s="4">
        <f t="shared" si="30"/>
        <v>276243429.12523794</v>
      </c>
      <c r="AK10" s="4">
        <f t="shared" si="30"/>
        <v>329647506.82024747</v>
      </c>
      <c r="AL10" s="4">
        <f t="shared" si="30"/>
        <v>383587622.96664476</v>
      </c>
      <c r="AM10" s="4">
        <f t="shared" si="30"/>
        <v>439703407.03734916</v>
      </c>
      <c r="AN10" s="4">
        <f t="shared" si="30"/>
        <v>495823180.03901124</v>
      </c>
      <c r="AO10" s="4">
        <f t="shared" si="30"/>
        <v>553037142.13934839</v>
      </c>
      <c r="AP10" s="4">
        <f>((SUM(AK10:AO10)/SUM(AK9:AO9))*AP9)</f>
        <v>611338361.74237025</v>
      </c>
      <c r="AQ10" s="4">
        <f>((SUM(AL10:AP10)/SUM(AL9:AP9))*AQ9)</f>
        <v>670727476.48998129</v>
      </c>
      <c r="AR10" s="4"/>
      <c r="AS10" s="4"/>
      <c r="AT10" s="4"/>
      <c r="AU10" s="4"/>
      <c r="AV10" s="4"/>
      <c r="AW10" s="4"/>
      <c r="AX10" s="4"/>
      <c r="AY10" s="4"/>
      <c r="AZ10" s="4"/>
      <c r="BA10" s="4"/>
      <c r="BB10" s="4"/>
      <c r="BC10" s="4"/>
      <c r="BD10" s="4"/>
      <c r="BE10" s="3"/>
      <c r="BF10" s="2">
        <v>58928575.430802651</v>
      </c>
      <c r="BG10" s="3">
        <f t="shared" si="2"/>
        <v>-7120118.4308026507</v>
      </c>
      <c r="BI10" s="4">
        <v>80307418.440564841</v>
      </c>
      <c r="BJ10" s="3">
        <f t="shared" si="5"/>
        <v>636942.55943515897</v>
      </c>
      <c r="BK10" s="4">
        <v>82419764.299282387</v>
      </c>
      <c r="BL10" s="3">
        <f t="shared" si="6"/>
        <v>-1432025.2992823869</v>
      </c>
      <c r="BM10" s="4">
        <v>85097869.27638571</v>
      </c>
      <c r="BN10" s="3">
        <f t="shared" si="7"/>
        <v>-1024584.2763857096</v>
      </c>
      <c r="BO10" s="4">
        <v>49670484.174672723</v>
      </c>
      <c r="BP10" s="3">
        <f t="shared" si="8"/>
        <v>-1355034.1746727228</v>
      </c>
      <c r="BQ10" s="4">
        <v>32776612.440420784</v>
      </c>
      <c r="BR10" s="3">
        <f t="shared" si="9"/>
        <v>6732064.5595792159</v>
      </c>
      <c r="BS10" s="4">
        <v>38711583.599177316</v>
      </c>
      <c r="BT10" s="3">
        <f t="shared" si="10"/>
        <v>2037451.7683777511</v>
      </c>
      <c r="BU10" s="4">
        <v>38233979.064718574</v>
      </c>
      <c r="BV10" s="3">
        <f t="shared" si="11"/>
        <v>809816.18534920365</v>
      </c>
      <c r="BW10" s="4">
        <v>34539349.273187838</v>
      </c>
      <c r="BX10" s="3">
        <f t="shared" si="12"/>
        <v>13292806.362970747</v>
      </c>
    </row>
    <row r="11" spans="1:76" ht="15.75" thickBot="1">
      <c r="A11" s="2" t="s">
        <v>225</v>
      </c>
      <c r="B11" s="3">
        <f>B181</f>
        <v>0</v>
      </c>
      <c r="C11" s="3">
        <f t="shared" ref="C11:P11" si="31">C181</f>
        <v>0</v>
      </c>
      <c r="D11" s="3">
        <f t="shared" si="31"/>
        <v>0</v>
      </c>
      <c r="E11" s="3">
        <f t="shared" si="31"/>
        <v>0</v>
      </c>
      <c r="F11" s="3">
        <f t="shared" si="31"/>
        <v>0</v>
      </c>
      <c r="G11" s="3">
        <f t="shared" si="31"/>
        <v>13795410</v>
      </c>
      <c r="H11" s="3">
        <f t="shared" si="31"/>
        <v>20749393</v>
      </c>
      <c r="I11" s="3">
        <f t="shared" si="31"/>
        <v>30752803</v>
      </c>
      <c r="J11" s="3">
        <f t="shared" si="31"/>
        <v>27505484</v>
      </c>
      <c r="K11" s="3">
        <f t="shared" si="31"/>
        <v>24443917</v>
      </c>
      <c r="L11" s="3">
        <f t="shared" si="31"/>
        <v>10599743</v>
      </c>
      <c r="M11" s="3">
        <f t="shared" si="31"/>
        <v>3118272</v>
      </c>
      <c r="N11" s="3">
        <f t="shared" si="31"/>
        <v>6444559</v>
      </c>
      <c r="O11" s="3">
        <f t="shared" si="31"/>
        <v>37172640</v>
      </c>
      <c r="P11" s="3">
        <f t="shared" si="31"/>
        <v>34836392</v>
      </c>
      <c r="Q11" s="4">
        <f t="shared" ref="Q11:AD11" si="32">Q9-Q10</f>
        <v>39250964.632444933</v>
      </c>
      <c r="R11" s="4">
        <f t="shared" si="32"/>
        <v>14059217.313016716</v>
      </c>
      <c r="S11" s="4">
        <f t="shared" si="32"/>
        <v>8848825.946739966</v>
      </c>
      <c r="T11" s="4">
        <f t="shared" si="32"/>
        <v>28290749.593029752</v>
      </c>
      <c r="U11" s="4">
        <f t="shared" si="32"/>
        <v>28248362.266765665</v>
      </c>
      <c r="V11" s="4">
        <f t="shared" si="32"/>
        <v>30459082.051445581</v>
      </c>
      <c r="W11" s="4">
        <f t="shared" si="32"/>
        <v>27566942.71147557</v>
      </c>
      <c r="X11" s="4">
        <f t="shared" si="32"/>
        <v>31956204.749932222</v>
      </c>
      <c r="Y11" s="4">
        <f t="shared" si="32"/>
        <v>40167844.363841414</v>
      </c>
      <c r="Z11" s="4">
        <f t="shared" si="32"/>
        <v>44278525.377278574</v>
      </c>
      <c r="AA11" s="4">
        <f t="shared" si="32"/>
        <v>49186132.426707894</v>
      </c>
      <c r="AB11" s="4">
        <f t="shared" si="32"/>
        <v>55447033.540627651</v>
      </c>
      <c r="AC11" s="4">
        <f t="shared" si="32"/>
        <v>64127653.095952004</v>
      </c>
      <c r="AD11" s="4">
        <f t="shared" si="32"/>
        <v>72865378.073210806</v>
      </c>
      <c r="AE11" s="4">
        <f>AE9-AE10</f>
        <v>81491951.162366346</v>
      </c>
      <c r="AF11" s="4">
        <f>AF9-AF10</f>
        <v>91474292.687425077</v>
      </c>
      <c r="AG11" s="4">
        <f>AG9-AG10</f>
        <v>102386574.62752917</v>
      </c>
      <c r="AH11" s="4">
        <f t="shared" ref="AH11:AO11" si="33">AH9-AH10</f>
        <v>143365278.85059854</v>
      </c>
      <c r="AI11" s="4">
        <f t="shared" si="33"/>
        <v>186619652.69857711</v>
      </c>
      <c r="AJ11" s="4">
        <f t="shared" si="33"/>
        <v>230756570.87476206</v>
      </c>
      <c r="AK11" s="4">
        <f t="shared" si="33"/>
        <v>275352493.17975253</v>
      </c>
      <c r="AL11" s="4">
        <f t="shared" si="33"/>
        <v>320412377.03335524</v>
      </c>
      <c r="AM11" s="4">
        <f t="shared" si="33"/>
        <v>367296592.96265084</v>
      </c>
      <c r="AN11" s="4">
        <f t="shared" si="33"/>
        <v>414176819.96098876</v>
      </c>
      <c r="AO11" s="4">
        <f t="shared" si="33"/>
        <v>461962857.86065161</v>
      </c>
      <c r="AP11" s="4">
        <f>AP9-AP10</f>
        <v>510661638.25762975</v>
      </c>
      <c r="AQ11" s="4">
        <f>AQ9-AQ10</f>
        <v>560272523.51001871</v>
      </c>
      <c r="AR11" s="4"/>
      <c r="AS11" s="4"/>
      <c r="AT11" s="4"/>
      <c r="AU11" s="4"/>
      <c r="AV11" s="4"/>
      <c r="AW11" s="4"/>
      <c r="AX11" s="4"/>
      <c r="AY11" s="4"/>
      <c r="AZ11" s="4"/>
      <c r="BA11" s="4"/>
      <c r="BB11" s="4"/>
      <c r="BC11" s="4"/>
      <c r="BD11" s="4"/>
      <c r="BE11" s="3"/>
      <c r="BF11" s="2">
        <v>25671424.569197349</v>
      </c>
      <c r="BG11" s="3">
        <f t="shared" si="2"/>
        <v>-1227507.5691973493</v>
      </c>
      <c r="BI11" s="4">
        <v>10999999.559435159</v>
      </c>
      <c r="BJ11" s="3">
        <f t="shared" si="5"/>
        <v>-400256.55943515897</v>
      </c>
      <c r="BK11" s="4">
        <v>1742130.7007176131</v>
      </c>
      <c r="BL11" s="3">
        <f t="shared" si="6"/>
        <v>1376141.2992823869</v>
      </c>
      <c r="BM11" s="4">
        <v>7283156.7236142904</v>
      </c>
      <c r="BN11" s="3">
        <f t="shared" si="7"/>
        <v>-838597.72361429036</v>
      </c>
      <c r="BO11" s="4">
        <v>37829515.825327277</v>
      </c>
      <c r="BP11" s="3">
        <f t="shared" si="8"/>
        <v>-656875.82532727718</v>
      </c>
      <c r="BQ11" s="4">
        <v>38223387.559579216</v>
      </c>
      <c r="BR11" s="3">
        <f t="shared" si="9"/>
        <v>-3386995.5595792159</v>
      </c>
      <c r="BS11" s="4">
        <v>37288416.400822684</v>
      </c>
      <c r="BT11" s="3">
        <f t="shared" si="10"/>
        <v>1962548.2316222489</v>
      </c>
      <c r="BU11" s="4">
        <v>30766020.935281426</v>
      </c>
      <c r="BV11" s="3">
        <f t="shared" si="11"/>
        <v>1190183.8146507964</v>
      </c>
      <c r="BW11" s="4">
        <v>29210650.726812162</v>
      </c>
      <c r="BX11" s="3">
        <f t="shared" si="12"/>
        <v>10957193.637029253</v>
      </c>
    </row>
    <row r="12" spans="1:76">
      <c r="A12" s="97" t="s">
        <v>228</v>
      </c>
      <c r="B12" s="98">
        <f>B13+B14</f>
        <v>0</v>
      </c>
      <c r="C12" s="98">
        <f t="shared" ref="C12:P12" si="34">C13+C14</f>
        <v>0</v>
      </c>
      <c r="D12" s="98">
        <f t="shared" si="34"/>
        <v>0</v>
      </c>
      <c r="E12" s="98">
        <f t="shared" si="34"/>
        <v>281819</v>
      </c>
      <c r="F12" s="98">
        <f t="shared" si="34"/>
        <v>29445</v>
      </c>
      <c r="G12" s="98">
        <f t="shared" si="34"/>
        <v>0</v>
      </c>
      <c r="H12" s="98">
        <f t="shared" si="34"/>
        <v>0</v>
      </c>
      <c r="I12" s="98">
        <f t="shared" si="34"/>
        <v>0</v>
      </c>
      <c r="J12" s="98">
        <f t="shared" si="34"/>
        <v>0</v>
      </c>
      <c r="K12" s="98">
        <f t="shared" si="34"/>
        <v>0</v>
      </c>
      <c r="L12" s="98">
        <f t="shared" si="34"/>
        <v>0</v>
      </c>
      <c r="M12" s="98">
        <f t="shared" si="34"/>
        <v>0</v>
      </c>
      <c r="N12" s="98">
        <f t="shared" si="34"/>
        <v>0</v>
      </c>
      <c r="O12" s="98">
        <f t="shared" si="34"/>
        <v>0</v>
      </c>
      <c r="P12" s="98">
        <f t="shared" si="34"/>
        <v>0</v>
      </c>
      <c r="Q12" s="100">
        <f t="shared" ref="Q12:AD12" si="35">(SUM(L12:P12)/SUM(L$15:P$15))*Q$15*0</f>
        <v>0</v>
      </c>
      <c r="R12" s="100">
        <f t="shared" si="35"/>
        <v>0</v>
      </c>
      <c r="S12" s="100">
        <f t="shared" si="35"/>
        <v>0</v>
      </c>
      <c r="T12" s="100">
        <f t="shared" si="35"/>
        <v>0</v>
      </c>
      <c r="U12" s="100">
        <f t="shared" si="35"/>
        <v>0</v>
      </c>
      <c r="V12" s="100">
        <f t="shared" si="35"/>
        <v>0</v>
      </c>
      <c r="W12" s="100">
        <f t="shared" si="35"/>
        <v>0</v>
      </c>
      <c r="X12" s="100">
        <f t="shared" si="35"/>
        <v>0</v>
      </c>
      <c r="Y12" s="100">
        <f t="shared" si="35"/>
        <v>0</v>
      </c>
      <c r="Z12" s="100">
        <f t="shared" si="35"/>
        <v>0</v>
      </c>
      <c r="AA12" s="100">
        <f t="shared" si="35"/>
        <v>0</v>
      </c>
      <c r="AB12" s="100">
        <f t="shared" si="35"/>
        <v>0</v>
      </c>
      <c r="AC12" s="100">
        <f t="shared" si="35"/>
        <v>0</v>
      </c>
      <c r="AD12" s="100">
        <f t="shared" si="35"/>
        <v>0</v>
      </c>
      <c r="AE12" s="100">
        <f>(SUM(Z12:AD12)/SUM(Z$15:AD$15))*AE$15*0</f>
        <v>0</v>
      </c>
      <c r="AF12" s="100">
        <f>(SUM(AA12:AE12)/SUM(AA$15:AE$15))*AF$15*0</f>
        <v>0</v>
      </c>
      <c r="AG12" s="100">
        <f>(SUM(AB12:AF12)/SUM(AB$15:AF$15))*AG$15*0</f>
        <v>0</v>
      </c>
      <c r="AH12" s="100">
        <f t="shared" ref="AH12:AO12" si="36">(SUM(AC12:AG12)/SUM(AC$15:AG$15))*AH$15*0</f>
        <v>0</v>
      </c>
      <c r="AI12" s="100">
        <f t="shared" si="36"/>
        <v>0</v>
      </c>
      <c r="AJ12" s="100">
        <f t="shared" si="36"/>
        <v>0</v>
      </c>
      <c r="AK12" s="100">
        <f t="shared" si="36"/>
        <v>0</v>
      </c>
      <c r="AL12" s="100">
        <f t="shared" si="36"/>
        <v>0</v>
      </c>
      <c r="AM12" s="100">
        <f t="shared" si="36"/>
        <v>0</v>
      </c>
      <c r="AN12" s="100">
        <f t="shared" si="36"/>
        <v>0</v>
      </c>
      <c r="AO12" s="100">
        <f t="shared" si="36"/>
        <v>0</v>
      </c>
      <c r="AP12" s="100">
        <f>(SUM(AK12:AO12)/SUM(AK$15:AO$15))*AP$15*0</f>
        <v>0</v>
      </c>
      <c r="AQ12" s="100">
        <f>(SUM(AL12:AP12)/SUM(AL$15:AP$15))*AQ$15*0</f>
        <v>0</v>
      </c>
      <c r="AR12" s="4"/>
      <c r="AS12" s="4"/>
      <c r="AT12" s="4"/>
      <c r="AU12" s="4"/>
      <c r="AV12" s="4"/>
      <c r="AW12" s="4"/>
      <c r="AX12" s="4"/>
      <c r="AY12" s="4"/>
      <c r="AZ12" s="4"/>
      <c r="BA12" s="4"/>
      <c r="BB12" s="4"/>
      <c r="BC12" s="4"/>
      <c r="BD12" s="4"/>
      <c r="BF12" s="2">
        <v>0</v>
      </c>
      <c r="BG12" s="3">
        <f t="shared" si="2"/>
        <v>0</v>
      </c>
      <c r="BI12" s="100">
        <v>0</v>
      </c>
      <c r="BJ12" s="101">
        <f t="shared" si="5"/>
        <v>0</v>
      </c>
      <c r="BK12" s="100">
        <v>0</v>
      </c>
      <c r="BL12" s="101">
        <f t="shared" si="6"/>
        <v>0</v>
      </c>
      <c r="BM12" s="100">
        <v>0</v>
      </c>
      <c r="BN12" s="101">
        <f t="shared" si="7"/>
        <v>0</v>
      </c>
      <c r="BO12" s="100">
        <v>0</v>
      </c>
      <c r="BP12" s="101">
        <f t="shared" si="8"/>
        <v>0</v>
      </c>
      <c r="BQ12" s="100">
        <v>0</v>
      </c>
      <c r="BR12" s="101">
        <f t="shared" si="9"/>
        <v>0</v>
      </c>
      <c r="BS12" s="100">
        <v>0</v>
      </c>
      <c r="BT12" s="101">
        <f t="shared" si="10"/>
        <v>0</v>
      </c>
      <c r="BU12" s="100">
        <v>0</v>
      </c>
      <c r="BV12" s="3">
        <f t="shared" si="11"/>
        <v>0</v>
      </c>
      <c r="BW12" s="100">
        <v>0</v>
      </c>
      <c r="BX12" s="3">
        <f t="shared" si="12"/>
        <v>0</v>
      </c>
    </row>
    <row r="13" spans="1:76">
      <c r="A13" s="2" t="s">
        <v>224</v>
      </c>
      <c r="B13" s="3">
        <f>B213</f>
        <v>0</v>
      </c>
      <c r="C13" s="3">
        <f t="shared" ref="C13:P13" si="37">C213</f>
        <v>0</v>
      </c>
      <c r="D13" s="3">
        <f t="shared" si="37"/>
        <v>0</v>
      </c>
      <c r="E13" s="3">
        <f t="shared" si="37"/>
        <v>281819</v>
      </c>
      <c r="F13" s="3">
        <f t="shared" si="37"/>
        <v>29445</v>
      </c>
      <c r="G13" s="3">
        <f t="shared" si="37"/>
        <v>0</v>
      </c>
      <c r="H13" s="3">
        <f t="shared" si="37"/>
        <v>0</v>
      </c>
      <c r="I13" s="3">
        <f t="shared" si="37"/>
        <v>0</v>
      </c>
      <c r="J13" s="3">
        <f t="shared" si="37"/>
        <v>0</v>
      </c>
      <c r="K13" s="3">
        <f t="shared" si="37"/>
        <v>0</v>
      </c>
      <c r="L13" s="3">
        <f t="shared" si="37"/>
        <v>0</v>
      </c>
      <c r="M13" s="3">
        <f t="shared" si="37"/>
        <v>0</v>
      </c>
      <c r="N13" s="3">
        <f t="shared" si="37"/>
        <v>0</v>
      </c>
      <c r="O13" s="3">
        <f t="shared" si="37"/>
        <v>0</v>
      </c>
      <c r="P13" s="3">
        <f t="shared" si="37"/>
        <v>0</v>
      </c>
      <c r="Q13" s="4">
        <f t="shared" ref="Q13:AD13" si="38">((SUM($E$13:$I$13)/SUM($E$12:$I$12))*Q12)</f>
        <v>0</v>
      </c>
      <c r="R13" s="4">
        <f t="shared" si="38"/>
        <v>0</v>
      </c>
      <c r="S13" s="4">
        <f t="shared" si="38"/>
        <v>0</v>
      </c>
      <c r="T13" s="4">
        <f t="shared" si="38"/>
        <v>0</v>
      </c>
      <c r="U13" s="4">
        <f t="shared" si="38"/>
        <v>0</v>
      </c>
      <c r="V13" s="4">
        <f t="shared" si="38"/>
        <v>0</v>
      </c>
      <c r="W13" s="4">
        <f t="shared" si="38"/>
        <v>0</v>
      </c>
      <c r="X13" s="4">
        <f t="shared" si="38"/>
        <v>0</v>
      </c>
      <c r="Y13" s="4">
        <f t="shared" si="38"/>
        <v>0</v>
      </c>
      <c r="Z13" s="4">
        <f t="shared" si="38"/>
        <v>0</v>
      </c>
      <c r="AA13" s="4">
        <f t="shared" si="38"/>
        <v>0</v>
      </c>
      <c r="AB13" s="4">
        <f t="shared" si="38"/>
        <v>0</v>
      </c>
      <c r="AC13" s="4">
        <f t="shared" si="38"/>
        <v>0</v>
      </c>
      <c r="AD13" s="4">
        <f t="shared" si="38"/>
        <v>0</v>
      </c>
      <c r="AE13" s="4">
        <f>((SUM($E$13:$I$13)/SUM($E$12:$I$12))*AE12)</f>
        <v>0</v>
      </c>
      <c r="AF13" s="4">
        <f>((SUM($E$13:$I$13)/SUM($E$12:$I$12))*AF12)</f>
        <v>0</v>
      </c>
      <c r="AG13" s="4">
        <f>((SUM($E$13:$I$13)/SUM($E$12:$I$12))*AG12)</f>
        <v>0</v>
      </c>
      <c r="AH13" s="4">
        <f t="shared" ref="AH13:AO13" si="39">((SUM($E$13:$I$13)/SUM($E$12:$I$12))*AH12)</f>
        <v>0</v>
      </c>
      <c r="AI13" s="4">
        <f t="shared" si="39"/>
        <v>0</v>
      </c>
      <c r="AJ13" s="4">
        <f t="shared" si="39"/>
        <v>0</v>
      </c>
      <c r="AK13" s="4">
        <f t="shared" si="39"/>
        <v>0</v>
      </c>
      <c r="AL13" s="4">
        <f t="shared" si="39"/>
        <v>0</v>
      </c>
      <c r="AM13" s="4">
        <f t="shared" si="39"/>
        <v>0</v>
      </c>
      <c r="AN13" s="4">
        <f t="shared" si="39"/>
        <v>0</v>
      </c>
      <c r="AO13" s="4">
        <f t="shared" si="39"/>
        <v>0</v>
      </c>
      <c r="AP13" s="4">
        <f>((SUM($E$13:$I$13)/SUM($E$12:$I$12))*AP12)</f>
        <v>0</v>
      </c>
      <c r="AQ13" s="4">
        <f>((SUM($E$13:$I$13)/SUM($E$12:$I$12))*AQ12)</f>
        <v>0</v>
      </c>
      <c r="AR13" s="4"/>
      <c r="AS13" s="4"/>
      <c r="AT13" s="4"/>
      <c r="AU13" s="4"/>
      <c r="AV13" s="4"/>
      <c r="AW13" s="4"/>
      <c r="AX13" s="4"/>
      <c r="AY13" s="4"/>
      <c r="AZ13" s="4"/>
      <c r="BA13" s="4"/>
      <c r="BB13" s="4"/>
      <c r="BC13" s="4"/>
      <c r="BD13" s="4"/>
      <c r="BF13" s="2">
        <v>0</v>
      </c>
      <c r="BG13" s="3">
        <f t="shared" si="2"/>
        <v>0</v>
      </c>
      <c r="BI13" s="4">
        <v>0</v>
      </c>
      <c r="BJ13" s="3">
        <f t="shared" si="5"/>
        <v>0</v>
      </c>
      <c r="BK13" s="4">
        <v>0</v>
      </c>
      <c r="BL13" s="3">
        <f t="shared" si="6"/>
        <v>0</v>
      </c>
      <c r="BM13" s="4">
        <v>0</v>
      </c>
      <c r="BN13" s="3">
        <f t="shared" si="7"/>
        <v>0</v>
      </c>
      <c r="BO13" s="4">
        <v>0</v>
      </c>
      <c r="BP13" s="3">
        <f t="shared" si="8"/>
        <v>0</v>
      </c>
      <c r="BQ13" s="4">
        <v>0</v>
      </c>
      <c r="BR13" s="3">
        <f t="shared" si="9"/>
        <v>0</v>
      </c>
      <c r="BS13" s="4">
        <v>0</v>
      </c>
      <c r="BT13" s="3">
        <f t="shared" si="10"/>
        <v>0</v>
      </c>
      <c r="BU13" s="4">
        <v>0</v>
      </c>
      <c r="BV13" s="3">
        <f t="shared" si="11"/>
        <v>0</v>
      </c>
      <c r="BW13" s="4">
        <v>0</v>
      </c>
      <c r="BX13" s="3">
        <f t="shared" si="12"/>
        <v>0</v>
      </c>
    </row>
    <row r="14" spans="1:76" ht="15.75" thickBot="1">
      <c r="A14" s="2" t="s">
        <v>225</v>
      </c>
      <c r="B14" s="3">
        <f>B229</f>
        <v>0</v>
      </c>
      <c r="C14" s="3">
        <f t="shared" ref="C14:P14" si="40">C229</f>
        <v>0</v>
      </c>
      <c r="D14" s="3">
        <f t="shared" si="40"/>
        <v>0</v>
      </c>
      <c r="E14" s="3">
        <f t="shared" si="40"/>
        <v>0</v>
      </c>
      <c r="F14" s="3">
        <f t="shared" si="40"/>
        <v>0</v>
      </c>
      <c r="G14" s="3">
        <f t="shared" si="40"/>
        <v>0</v>
      </c>
      <c r="H14" s="3">
        <f t="shared" si="40"/>
        <v>0</v>
      </c>
      <c r="I14" s="3">
        <f t="shared" si="40"/>
        <v>0</v>
      </c>
      <c r="J14" s="3">
        <f t="shared" si="40"/>
        <v>0</v>
      </c>
      <c r="K14" s="3">
        <f t="shared" si="40"/>
        <v>0</v>
      </c>
      <c r="L14" s="3">
        <f t="shared" si="40"/>
        <v>0</v>
      </c>
      <c r="M14" s="3">
        <f t="shared" si="40"/>
        <v>0</v>
      </c>
      <c r="N14" s="3">
        <f t="shared" si="40"/>
        <v>0</v>
      </c>
      <c r="O14" s="3">
        <f t="shared" si="40"/>
        <v>0</v>
      </c>
      <c r="P14" s="3">
        <f t="shared" si="40"/>
        <v>0</v>
      </c>
      <c r="Q14" s="4">
        <f t="shared" ref="Q14:AD14" si="41">Q12-Q13</f>
        <v>0</v>
      </c>
      <c r="R14" s="4">
        <f t="shared" si="41"/>
        <v>0</v>
      </c>
      <c r="S14" s="4">
        <f t="shared" si="41"/>
        <v>0</v>
      </c>
      <c r="T14" s="4">
        <f t="shared" si="41"/>
        <v>0</v>
      </c>
      <c r="U14" s="4">
        <f t="shared" si="41"/>
        <v>0</v>
      </c>
      <c r="V14" s="4">
        <f t="shared" si="41"/>
        <v>0</v>
      </c>
      <c r="W14" s="4">
        <f t="shared" si="41"/>
        <v>0</v>
      </c>
      <c r="X14" s="4">
        <f t="shared" si="41"/>
        <v>0</v>
      </c>
      <c r="Y14" s="4">
        <f t="shared" si="41"/>
        <v>0</v>
      </c>
      <c r="Z14" s="4">
        <f t="shared" si="41"/>
        <v>0</v>
      </c>
      <c r="AA14" s="4">
        <f t="shared" si="41"/>
        <v>0</v>
      </c>
      <c r="AB14" s="4">
        <f t="shared" si="41"/>
        <v>0</v>
      </c>
      <c r="AC14" s="4">
        <f t="shared" si="41"/>
        <v>0</v>
      </c>
      <c r="AD14" s="4">
        <f t="shared" si="41"/>
        <v>0</v>
      </c>
      <c r="AE14" s="4">
        <f>AE12-AE13</f>
        <v>0</v>
      </c>
      <c r="AF14" s="4">
        <f>AF12-AF13</f>
        <v>0</v>
      </c>
      <c r="AG14" s="4">
        <f>AG12-AG13</f>
        <v>0</v>
      </c>
      <c r="AH14" s="4">
        <f t="shared" ref="AH14:AO14" si="42">AH12-AH13</f>
        <v>0</v>
      </c>
      <c r="AI14" s="4">
        <f t="shared" si="42"/>
        <v>0</v>
      </c>
      <c r="AJ14" s="4">
        <f t="shared" si="42"/>
        <v>0</v>
      </c>
      <c r="AK14" s="4">
        <f t="shared" si="42"/>
        <v>0</v>
      </c>
      <c r="AL14" s="4">
        <f t="shared" si="42"/>
        <v>0</v>
      </c>
      <c r="AM14" s="4">
        <f t="shared" si="42"/>
        <v>0</v>
      </c>
      <c r="AN14" s="4">
        <f t="shared" si="42"/>
        <v>0</v>
      </c>
      <c r="AO14" s="4">
        <f t="shared" si="42"/>
        <v>0</v>
      </c>
      <c r="AP14" s="4">
        <f>AP12-AP13</f>
        <v>0</v>
      </c>
      <c r="AQ14" s="4">
        <f>AQ12-AQ13</f>
        <v>0</v>
      </c>
      <c r="AR14" s="4"/>
      <c r="AS14" s="4"/>
      <c r="AT14" s="4"/>
      <c r="AU14" s="4"/>
      <c r="AV14" s="4"/>
      <c r="AW14" s="4"/>
      <c r="AX14" s="4"/>
      <c r="AY14" s="4"/>
      <c r="AZ14" s="4"/>
      <c r="BA14" s="4"/>
      <c r="BB14" s="4"/>
      <c r="BC14" s="4"/>
      <c r="BD14" s="4"/>
      <c r="BF14" s="2">
        <v>0</v>
      </c>
      <c r="BG14" s="3">
        <f t="shared" si="2"/>
        <v>0</v>
      </c>
      <c r="BI14" s="4">
        <v>0</v>
      </c>
      <c r="BJ14" s="3">
        <f t="shared" si="5"/>
        <v>0</v>
      </c>
      <c r="BK14" s="4">
        <v>0</v>
      </c>
      <c r="BL14" s="3">
        <f t="shared" si="6"/>
        <v>0</v>
      </c>
      <c r="BM14" s="4">
        <v>0</v>
      </c>
      <c r="BN14" s="3">
        <f t="shared" si="7"/>
        <v>0</v>
      </c>
      <c r="BO14" s="4">
        <v>0</v>
      </c>
      <c r="BP14" s="3">
        <f t="shared" si="8"/>
        <v>0</v>
      </c>
      <c r="BQ14" s="4">
        <v>0</v>
      </c>
      <c r="BR14" s="3">
        <f t="shared" si="9"/>
        <v>0</v>
      </c>
      <c r="BS14" s="4">
        <v>0</v>
      </c>
      <c r="BT14" s="3">
        <f t="shared" si="10"/>
        <v>0</v>
      </c>
      <c r="BU14" s="4">
        <v>0</v>
      </c>
      <c r="BV14" s="3">
        <f t="shared" si="11"/>
        <v>0</v>
      </c>
      <c r="BW14" s="4">
        <v>0</v>
      </c>
      <c r="BX14" s="3">
        <f t="shared" si="12"/>
        <v>0</v>
      </c>
    </row>
    <row r="15" spans="1:76">
      <c r="A15" s="97" t="s">
        <v>229</v>
      </c>
      <c r="B15" s="98">
        <f>B12+B9+B6+B3</f>
        <v>0</v>
      </c>
      <c r="C15" s="98">
        <f t="shared" ref="C15:P15" si="43">C12+C9+C6+C3</f>
        <v>0</v>
      </c>
      <c r="D15" s="98">
        <f t="shared" si="43"/>
        <v>20069</v>
      </c>
      <c r="E15" s="98">
        <f t="shared" si="43"/>
        <v>281819</v>
      </c>
      <c r="F15" s="98">
        <f t="shared" si="43"/>
        <v>33345837</v>
      </c>
      <c r="G15" s="98">
        <f t="shared" si="43"/>
        <v>142040241</v>
      </c>
      <c r="H15" s="98">
        <f t="shared" si="43"/>
        <v>192361795</v>
      </c>
      <c r="I15" s="98">
        <f t="shared" si="43"/>
        <v>250624473</v>
      </c>
      <c r="J15" s="98">
        <f t="shared" si="43"/>
        <v>312348198</v>
      </c>
      <c r="K15" s="98">
        <f t="shared" si="43"/>
        <v>414122810</v>
      </c>
      <c r="L15" s="98">
        <f t="shared" si="43"/>
        <v>505872211</v>
      </c>
      <c r="M15" s="98">
        <f t="shared" si="43"/>
        <v>568414154</v>
      </c>
      <c r="N15" s="98">
        <f t="shared" si="43"/>
        <v>668618747</v>
      </c>
      <c r="O15" s="98">
        <f t="shared" si="43"/>
        <v>774731508</v>
      </c>
      <c r="P15" s="98">
        <f t="shared" si="43"/>
        <v>921163090</v>
      </c>
      <c r="Q15" s="99">
        <f>FORECAST(Q18,L15:P15,L18:P18)-490000000</f>
        <v>642893076.81687927</v>
      </c>
      <c r="R15" s="100">
        <f>FORECAST(R18,M15:Q15,M18:Q18)-60000000</f>
        <v>772558826.29679656</v>
      </c>
      <c r="S15" s="100">
        <f>FORECAST(S18,N15:R15,N18:R18)</f>
        <v>775384939.27208924</v>
      </c>
      <c r="T15" s="100">
        <f>FORECAST(T18,O15:S15,O18:S18)+100000000</f>
        <v>822873120.59585667</v>
      </c>
      <c r="U15" s="100">
        <f t="shared" ref="U15:AQ15" si="44">FORECAST(U18,P15:T15,P18:T18)+100000000</f>
        <v>889247611.70624554</v>
      </c>
      <c r="V15" s="100">
        <f t="shared" si="44"/>
        <v>1002672360.7283525</v>
      </c>
      <c r="W15" s="100">
        <f t="shared" si="44"/>
        <v>1066474459.0683435</v>
      </c>
      <c r="X15" s="100">
        <f t="shared" si="44"/>
        <v>1177139741.306216</v>
      </c>
      <c r="Y15" s="100">
        <f t="shared" si="44"/>
        <v>1357409485.3158479</v>
      </c>
      <c r="Z15" s="100">
        <f t="shared" si="44"/>
        <v>1531826069.9641216</v>
      </c>
      <c r="AA15" s="100">
        <f t="shared" si="44"/>
        <v>1731877156.6922889</v>
      </c>
      <c r="AB15" s="100">
        <f t="shared" si="44"/>
        <v>1978592899.6411026</v>
      </c>
      <c r="AC15" s="100">
        <f t="shared" si="44"/>
        <v>2248581266.9977798</v>
      </c>
      <c r="AD15" s="100">
        <f t="shared" si="44"/>
        <v>2538390493.6344814</v>
      </c>
      <c r="AE15" s="100">
        <f t="shared" si="44"/>
        <v>2864803464.6798182</v>
      </c>
      <c r="AF15" s="100">
        <f t="shared" si="44"/>
        <v>3220144119.3196259</v>
      </c>
      <c r="AG15" s="100">
        <f t="shared" si="44"/>
        <v>3599899839.9662867</v>
      </c>
      <c r="AH15" s="100">
        <f t="shared" si="44"/>
        <v>5024998299.8928947</v>
      </c>
      <c r="AI15" s="100">
        <f t="shared" si="44"/>
        <v>6551313932.494627</v>
      </c>
      <c r="AJ15" s="100">
        <f t="shared" si="44"/>
        <v>8101720238.5383472</v>
      </c>
      <c r="AK15" s="100">
        <f t="shared" si="44"/>
        <v>9666950108.1071396</v>
      </c>
      <c r="AL15" s="100">
        <f t="shared" si="44"/>
        <v>11252223226.278004</v>
      </c>
      <c r="AM15" s="100">
        <f t="shared" si="44"/>
        <v>12890466969.577021</v>
      </c>
      <c r="AN15" s="100">
        <f t="shared" si="44"/>
        <v>14541177613.570362</v>
      </c>
      <c r="AO15" s="100">
        <f t="shared" si="44"/>
        <v>16221237114.674351</v>
      </c>
      <c r="AP15" s="100">
        <f t="shared" si="44"/>
        <v>17933669526.569412</v>
      </c>
      <c r="AQ15" s="100">
        <f t="shared" si="44"/>
        <v>19675853713.837875</v>
      </c>
      <c r="AR15" s="4"/>
      <c r="AS15" s="4"/>
      <c r="AT15" s="4"/>
      <c r="AU15" s="4"/>
      <c r="AV15" s="4"/>
      <c r="AW15" s="4"/>
      <c r="AX15" s="4"/>
      <c r="AY15" s="4"/>
      <c r="AZ15" s="4"/>
      <c r="BA15" s="4"/>
      <c r="BB15" s="4"/>
      <c r="BC15" s="4"/>
      <c r="BD15" s="4"/>
      <c r="BF15" s="2">
        <v>430160700</v>
      </c>
      <c r="BG15" s="3">
        <f t="shared" si="2"/>
        <v>-16037890</v>
      </c>
      <c r="BI15" s="100">
        <v>510366398</v>
      </c>
      <c r="BJ15" s="101">
        <f t="shared" si="5"/>
        <v>-4494187</v>
      </c>
      <c r="BK15" s="100">
        <v>568932554</v>
      </c>
      <c r="BL15" s="101">
        <f t="shared" si="6"/>
        <v>-518400</v>
      </c>
      <c r="BM15" s="100">
        <v>664000000</v>
      </c>
      <c r="BN15" s="101">
        <f t="shared" si="7"/>
        <v>4618747</v>
      </c>
      <c r="BO15" s="100">
        <v>765223226.38996446</v>
      </c>
      <c r="BP15" s="101">
        <f t="shared" si="8"/>
        <v>9508281.6100355387</v>
      </c>
      <c r="BQ15" s="100">
        <v>915717553.7037096</v>
      </c>
      <c r="BR15" s="101">
        <f t="shared" si="9"/>
        <v>5445536.2962903976</v>
      </c>
      <c r="BS15" s="100">
        <v>1117893076.8168793</v>
      </c>
      <c r="BT15" s="101">
        <f t="shared" si="10"/>
        <v>-475000000</v>
      </c>
      <c r="BU15" s="100">
        <v>2435038430.4176311</v>
      </c>
      <c r="BV15" s="3">
        <f t="shared" si="11"/>
        <v>-1257898689.1114151</v>
      </c>
      <c r="BW15" s="100">
        <v>2543924672.6147337</v>
      </c>
      <c r="BX15" s="3">
        <f t="shared" si="12"/>
        <v>-1186515187.2988858</v>
      </c>
    </row>
    <row r="16" spans="1:76" ht="15.75" thickBot="1"/>
    <row r="17" spans="1:79" ht="15.75" thickBot="1">
      <c r="A17" s="80" t="s">
        <v>230</v>
      </c>
      <c r="B17" s="80">
        <v>2010</v>
      </c>
      <c r="C17" s="80">
        <v>2011</v>
      </c>
      <c r="D17" s="80">
        <v>2012</v>
      </c>
      <c r="E17" s="80">
        <v>2013</v>
      </c>
      <c r="F17" s="80">
        <v>2014</v>
      </c>
      <c r="G17" s="80">
        <v>2015</v>
      </c>
      <c r="H17" s="80">
        <v>2016</v>
      </c>
      <c r="I17" s="80">
        <v>2017</v>
      </c>
      <c r="J17" s="80">
        <v>2018</v>
      </c>
      <c r="K17" s="80">
        <v>2019</v>
      </c>
      <c r="L17" s="80">
        <v>2020</v>
      </c>
      <c r="M17" s="80">
        <v>2021</v>
      </c>
      <c r="N17" s="80">
        <v>2022</v>
      </c>
      <c r="O17" s="80">
        <v>2023</v>
      </c>
      <c r="P17" s="80">
        <v>2024</v>
      </c>
      <c r="Q17" s="80">
        <v>2025</v>
      </c>
      <c r="R17" s="80">
        <v>2026</v>
      </c>
      <c r="S17" s="80">
        <v>2027</v>
      </c>
      <c r="T17" s="80">
        <v>2028</v>
      </c>
      <c r="U17" s="80">
        <v>2029</v>
      </c>
      <c r="V17" s="80">
        <v>2030</v>
      </c>
      <c r="W17" s="80">
        <v>2031</v>
      </c>
      <c r="X17" s="80">
        <v>2032</v>
      </c>
      <c r="Y17" s="80">
        <v>2033</v>
      </c>
      <c r="Z17" s="80">
        <v>2034</v>
      </c>
      <c r="AA17" s="80">
        <v>2035</v>
      </c>
      <c r="AB17" s="80">
        <v>2036</v>
      </c>
      <c r="AC17" s="80">
        <v>2037</v>
      </c>
      <c r="AD17" s="80">
        <v>2038</v>
      </c>
      <c r="AE17" s="80">
        <v>2039</v>
      </c>
      <c r="AF17" s="80">
        <v>2040</v>
      </c>
      <c r="AG17" s="80">
        <v>2041</v>
      </c>
      <c r="AH17" s="80">
        <v>2042</v>
      </c>
      <c r="AI17" s="80">
        <v>2043</v>
      </c>
      <c r="AJ17" s="80">
        <v>2044</v>
      </c>
      <c r="AK17" s="80">
        <v>2045</v>
      </c>
      <c r="AL17" s="80">
        <v>2046</v>
      </c>
      <c r="AM17" s="80">
        <v>2047</v>
      </c>
      <c r="AN17" s="80">
        <v>2048</v>
      </c>
      <c r="AO17" s="80">
        <v>2049</v>
      </c>
      <c r="AP17" s="80">
        <v>2050</v>
      </c>
      <c r="AQ17" s="80">
        <v>2051</v>
      </c>
      <c r="AR17" s="94"/>
      <c r="AS17" s="94"/>
      <c r="AT17" s="94"/>
      <c r="AU17" s="94"/>
      <c r="AV17" s="94"/>
      <c r="AW17" s="94"/>
      <c r="AX17" s="94"/>
      <c r="AY17" s="94"/>
      <c r="AZ17" s="94"/>
      <c r="BA17" s="94"/>
      <c r="BB17" s="94"/>
      <c r="BC17" s="94"/>
      <c r="BD17" s="94"/>
      <c r="BV17" t="s">
        <v>231</v>
      </c>
    </row>
    <row r="18" spans="1:79">
      <c r="A18" s="103" t="s">
        <v>2</v>
      </c>
      <c r="B18" s="104"/>
      <c r="C18" s="104">
        <f>'[1]RVO Forecast'!B$14</f>
        <v>0</v>
      </c>
      <c r="D18" s="104">
        <f>'[1]RVO Forecast'!C$14</f>
        <v>0</v>
      </c>
      <c r="E18" s="104">
        <f>'[1]RVO Forecast'!D$14</f>
        <v>800000</v>
      </c>
      <c r="F18" s="104">
        <f>'[1]RVO Forecast'!E$14</f>
        <v>33000000</v>
      </c>
      <c r="G18" s="104">
        <f>'[1]RVO Forecast'!F$14</f>
        <v>123000000</v>
      </c>
      <c r="H18" s="104">
        <f>'[1]RVO Forecast'!G$14</f>
        <v>230000000</v>
      </c>
      <c r="I18" s="104">
        <f>'[1]RVO Forecast'!H$14</f>
        <v>311000000</v>
      </c>
      <c r="J18" s="104">
        <f>'[1]RVO Forecast'!I$14</f>
        <v>288000000</v>
      </c>
      <c r="K18" s="104">
        <f>'[1]RVO Forecast'!J$14</f>
        <v>418000000</v>
      </c>
      <c r="L18" s="104">
        <f>'[1]RVO Forecast'!K$14</f>
        <v>510000000</v>
      </c>
      <c r="M18" s="104">
        <f>'[1]RVO Forecast'!L$14</f>
        <v>560000000</v>
      </c>
      <c r="N18" s="104">
        <f>'[1]RVO Forecast'!M$14</f>
        <v>630000000</v>
      </c>
      <c r="O18" s="104">
        <f>'[1]RVO Forecast'!N$14</f>
        <v>840000000</v>
      </c>
      <c r="P18" s="104">
        <f>'[1]RVO Forecast'!O$14</f>
        <v>1090000000</v>
      </c>
      <c r="Q18" s="104">
        <f>'[1]RVO Forecast'!P$14</f>
        <v>1380000000</v>
      </c>
      <c r="R18" s="105">
        <f>'[1]RVO Forecast'!Q$14</f>
        <v>1750000000</v>
      </c>
      <c r="S18" s="105">
        <f>'[1]RVO Forecast'!R$14</f>
        <v>2250000000</v>
      </c>
      <c r="T18" s="105">
        <f>'[1]RVO Forecast'!S$14</f>
        <v>3000000000</v>
      </c>
      <c r="U18" s="105">
        <f>'[1]RVO Forecast'!T$14</f>
        <v>3250000000</v>
      </c>
      <c r="V18" s="105">
        <f>'[1]RVO Forecast'!U$14</f>
        <v>3500000000</v>
      </c>
      <c r="W18" s="105">
        <f>'[1]RVO Forecast'!V$14</f>
        <v>3750000000</v>
      </c>
      <c r="X18" s="105">
        <f>'[1]RVO Forecast'!W$14</f>
        <v>4000000000</v>
      </c>
      <c r="Y18" s="105">
        <f>'[1]RVO Forecast'!X$14</f>
        <v>4250000000</v>
      </c>
      <c r="Z18" s="105">
        <f>'[1]RVO Forecast'!Y$14</f>
        <v>4500000000</v>
      </c>
      <c r="AA18" s="105">
        <f>'[1]RVO Forecast'!Z$14</f>
        <v>4750000000</v>
      </c>
      <c r="AB18" s="105">
        <f>'[1]RVO Forecast'!AA$14</f>
        <v>5000000000</v>
      </c>
      <c r="AC18" s="105">
        <f>'[1]RVO Forecast'!AB$14</f>
        <v>5250000000</v>
      </c>
      <c r="AD18" s="105">
        <f>'[1]RVO Forecast'!AC$14</f>
        <v>5500000000</v>
      </c>
      <c r="AE18" s="105">
        <f>'[1]RVO Forecast'!AD$14</f>
        <v>5750000000</v>
      </c>
      <c r="AF18" s="105">
        <f>'[1]RVO Forecast'!AE$14</f>
        <v>6000000000</v>
      </c>
      <c r="AG18" s="105">
        <f>'[1]RVO Forecast'!AF$14</f>
        <v>6250000000</v>
      </c>
      <c r="AH18" s="105">
        <f>'[1]RVO Forecast'!AG$14</f>
        <v>7250000000</v>
      </c>
      <c r="AI18" s="105">
        <f>'[1]RVO Forecast'!AH$14</f>
        <v>8250000000</v>
      </c>
      <c r="AJ18" s="105">
        <f>'[1]RVO Forecast'!AI$14</f>
        <v>9250000000</v>
      </c>
      <c r="AK18" s="105">
        <f>'[1]RVO Forecast'!AJ$14</f>
        <v>10250000000</v>
      </c>
      <c r="AL18" s="105">
        <f>'[1]RVO Forecast'!AK$14</f>
        <v>11250000000</v>
      </c>
      <c r="AM18" s="105">
        <f>'[1]RVO Forecast'!AL$14</f>
        <v>12250000000</v>
      </c>
      <c r="AN18" s="105">
        <f>'[1]RVO Forecast'!AM$14</f>
        <v>13250000000</v>
      </c>
      <c r="AO18" s="105">
        <f>'[1]RVO Forecast'!AN$14</f>
        <v>14250000000</v>
      </c>
      <c r="AP18" s="105">
        <f>'[1]RVO Forecast'!AO$14</f>
        <v>15250000000</v>
      </c>
      <c r="AQ18" s="105">
        <f>'[1]RVO Forecast'!AP$14</f>
        <v>16250000000</v>
      </c>
      <c r="AR18" s="4"/>
      <c r="AS18" s="4"/>
      <c r="AT18" s="4"/>
      <c r="AU18" s="4"/>
      <c r="AV18" s="4"/>
      <c r="AW18" s="4"/>
      <c r="AX18" s="4"/>
      <c r="AY18" s="4"/>
      <c r="AZ18" s="4"/>
      <c r="BA18" s="4"/>
      <c r="BB18" s="4"/>
      <c r="BC18" s="4"/>
      <c r="BD18" s="4"/>
      <c r="BV18" t="s">
        <v>232</v>
      </c>
    </row>
    <row r="19" spans="1:79">
      <c r="A19" s="94" t="s">
        <v>233</v>
      </c>
      <c r="B19" s="3"/>
      <c r="C19" s="3">
        <f>'[1]RVO Forecast'!B$15</f>
        <v>0</v>
      </c>
      <c r="D19" s="3">
        <f>'[1]RVO Forecast'!C$15</f>
        <v>0</v>
      </c>
      <c r="E19" s="3">
        <f>'[1]RVO Forecast'!D$15</f>
        <v>0</v>
      </c>
      <c r="F19" s="3">
        <f>'[1]RVO Forecast'!E$15</f>
        <v>79200</v>
      </c>
      <c r="G19" s="3">
        <f>'[1]RVO Forecast'!F$15</f>
        <v>437000</v>
      </c>
      <c r="H19" s="3">
        <f>'[1]RVO Forecast'!G$15</f>
        <v>2118300</v>
      </c>
      <c r="I19" s="3">
        <f>'[1]RVO Forecast'!H$15</f>
        <v>8921600</v>
      </c>
      <c r="J19" s="3">
        <f>'[1]RVO Forecast'!I$15</f>
        <v>27766500</v>
      </c>
      <c r="K19" s="3">
        <f>'[1]RVO Forecast'!J$15</f>
        <v>5933900</v>
      </c>
      <c r="L19" s="3">
        <f>'[1]RVO Forecast'!K$15</f>
        <v>0</v>
      </c>
      <c r="M19" s="3">
        <f>'[1]RVO Forecast'!L$15</f>
        <v>0</v>
      </c>
      <c r="N19" s="3">
        <f>'[1]RVO Forecast'!M$15</f>
        <v>0</v>
      </c>
      <c r="O19" s="3">
        <f>'[1]RVO Forecast'!N$15</f>
        <v>0</v>
      </c>
      <c r="P19" s="3">
        <f>'[1]RVO Forecast'!O$15</f>
        <v>0</v>
      </c>
      <c r="Q19" s="3">
        <f>'[1]RVO Forecast'!P$15</f>
        <v>24944700.307535954</v>
      </c>
      <c r="R19" s="4">
        <f>'[1]RVO Forecast'!Q$15</f>
        <v>55379652.546105005</v>
      </c>
      <c r="S19" s="4">
        <f>'[1]RVO Forecast'!R$15</f>
        <v>69053434.841231316</v>
      </c>
      <c r="T19" s="4">
        <f>'[1]RVO Forecast'!S$15</f>
        <v>88742098.012532428</v>
      </c>
      <c r="U19" s="4">
        <f>'[1]RVO Forecast'!T$15</f>
        <v>116926252.8692316</v>
      </c>
      <c r="V19" s="4">
        <f>'[1]RVO Forecast'!U$15</f>
        <v>130592597.27754027</v>
      </c>
      <c r="W19" s="4">
        <f>'[1]RVO Forecast'!V$15</f>
        <v>142680332.52778688</v>
      </c>
      <c r="X19" s="4">
        <f>'[1]RVO Forecast'!W$15</f>
        <v>155370821.66144177</v>
      </c>
      <c r="Y19" s="4">
        <f>'[1]RVO Forecast'!X$15</f>
        <v>229338615.01735538</v>
      </c>
      <c r="Z19" s="4">
        <f>'[1]RVO Forecast'!Y$15</f>
        <v>281119028.08297706</v>
      </c>
      <c r="AA19" s="4">
        <f>'[1]RVO Forecast'!Z$15</f>
        <v>274829176.39270705</v>
      </c>
      <c r="AB19" s="4">
        <f>'[1]RVO Forecast'!AA$15</f>
        <v>242520649.58372611</v>
      </c>
      <c r="AC19" s="4">
        <f>'[1]RVO Forecast'!AB$15</f>
        <v>194832996.26504439</v>
      </c>
      <c r="AD19" s="4">
        <f>'[1]RVO Forecast'!AC$15</f>
        <v>80183158.719427079</v>
      </c>
      <c r="AE19" s="4">
        <f>'[1]RVO Forecast'!AD$15</f>
        <v>254822769.85432422</v>
      </c>
      <c r="AF19" s="4">
        <f>'[1]RVO Forecast'!AE$15</f>
        <v>542766017.04307795</v>
      </c>
      <c r="AG19" s="4">
        <f>'[1]RVO Forecast'!AF$15</f>
        <v>572283339.41879499</v>
      </c>
      <c r="AH19" s="4">
        <f>'[1]RVO Forecast'!AG$15</f>
        <v>532809446.0381819</v>
      </c>
      <c r="AI19" s="4">
        <f>'[1]RVO Forecast'!AH$15</f>
        <v>608995866.23643541</v>
      </c>
      <c r="AJ19" s="4">
        <f>'[1]RVO Forecast'!AI$15</f>
        <v>701851178.85125518</v>
      </c>
      <c r="AK19" s="4">
        <f>'[1]RVO Forecast'!AJ$15</f>
        <v>806145439.82217109</v>
      </c>
      <c r="AL19" s="4">
        <f>'[1]RVO Forecast'!AK$15</f>
        <v>921723679.151595</v>
      </c>
      <c r="AM19" s="4">
        <f>'[1]RVO Forecast'!AL$15</f>
        <v>1024356039.7290732</v>
      </c>
      <c r="AN19" s="4">
        <f>'[1]RVO Forecast'!AM$15</f>
        <v>1109787088.9735832</v>
      </c>
      <c r="AO19" s="4">
        <f>'[1]RVO Forecast'!AN$15</f>
        <v>1207532728.2648251</v>
      </c>
      <c r="AP19" s="4">
        <f>'[1]RVO Forecast'!AO$15</f>
        <v>1323496709.1119149</v>
      </c>
      <c r="AQ19" s="4">
        <f>'[1]RVO Forecast'!AP$15</f>
        <v>1438488014.0791042</v>
      </c>
      <c r="AR19" s="4"/>
      <c r="AS19" s="4"/>
      <c r="AT19" s="4"/>
      <c r="AU19" s="4"/>
      <c r="AV19" s="4"/>
      <c r="AW19" s="4"/>
      <c r="AX19" s="4"/>
      <c r="AY19" s="4"/>
      <c r="AZ19" s="4"/>
      <c r="BA19" s="4"/>
      <c r="BB19" s="4"/>
      <c r="BC19" s="4"/>
      <c r="BD19" s="4"/>
      <c r="BV19" t="s">
        <v>234</v>
      </c>
    </row>
    <row r="20" spans="1:79" ht="15.75" thickBot="1">
      <c r="A20" s="94" t="s">
        <v>235</v>
      </c>
      <c r="B20" s="3"/>
      <c r="C20" s="3">
        <f t="shared" ref="C20:J20" si="45">C18-C19</f>
        <v>0</v>
      </c>
      <c r="D20" s="3">
        <f t="shared" si="45"/>
        <v>0</v>
      </c>
      <c r="E20" s="3">
        <f t="shared" si="45"/>
        <v>800000</v>
      </c>
      <c r="F20" s="3">
        <f t="shared" si="45"/>
        <v>32920800</v>
      </c>
      <c r="G20" s="3">
        <f t="shared" si="45"/>
        <v>122563000</v>
      </c>
      <c r="H20" s="3">
        <f t="shared" si="45"/>
        <v>227881700</v>
      </c>
      <c r="I20" s="3">
        <f t="shared" si="45"/>
        <v>302078400</v>
      </c>
      <c r="J20" s="3">
        <f t="shared" si="45"/>
        <v>260233500</v>
      </c>
      <c r="K20" s="3">
        <f>K18-K19</f>
        <v>412066100</v>
      </c>
      <c r="L20" s="3">
        <f>L18-L19</f>
        <v>510000000</v>
      </c>
      <c r="M20" s="3">
        <f t="shared" ref="M20:AD20" si="46">M18-M19</f>
        <v>560000000</v>
      </c>
      <c r="N20" s="3">
        <f t="shared" si="46"/>
        <v>630000000</v>
      </c>
      <c r="O20" s="3">
        <f t="shared" si="46"/>
        <v>840000000</v>
      </c>
      <c r="P20" s="3">
        <f t="shared" si="46"/>
        <v>1090000000</v>
      </c>
      <c r="Q20" s="3">
        <f t="shared" si="46"/>
        <v>1355055299.6924641</v>
      </c>
      <c r="R20" s="4">
        <f t="shared" si="46"/>
        <v>1694620347.4538951</v>
      </c>
      <c r="S20" s="4">
        <f t="shared" si="46"/>
        <v>2180946565.1587687</v>
      </c>
      <c r="T20" s="4">
        <f t="shared" si="46"/>
        <v>2911257901.9874678</v>
      </c>
      <c r="U20" s="4">
        <f t="shared" si="46"/>
        <v>3133073747.1307683</v>
      </c>
      <c r="V20" s="4">
        <f t="shared" si="46"/>
        <v>3369407402.7224598</v>
      </c>
      <c r="W20" s="4">
        <f t="shared" si="46"/>
        <v>3607319667.4722133</v>
      </c>
      <c r="X20" s="4">
        <f t="shared" si="46"/>
        <v>3844629178.3385582</v>
      </c>
      <c r="Y20" s="4">
        <f t="shared" si="46"/>
        <v>4020661384.9826446</v>
      </c>
      <c r="Z20" s="4">
        <f t="shared" si="46"/>
        <v>4218880971.9170227</v>
      </c>
      <c r="AA20" s="4">
        <f t="shared" si="46"/>
        <v>4475170823.6072931</v>
      </c>
      <c r="AB20" s="4">
        <f t="shared" si="46"/>
        <v>4757479350.4162741</v>
      </c>
      <c r="AC20" s="4">
        <f t="shared" si="46"/>
        <v>5055167003.7349558</v>
      </c>
      <c r="AD20" s="4">
        <f t="shared" si="46"/>
        <v>5419816841.2805729</v>
      </c>
      <c r="AE20" s="4">
        <f>AE18-AE19</f>
        <v>5495177230.1456757</v>
      </c>
      <c r="AF20" s="4">
        <f>AF18-AF19</f>
        <v>5457233982.9569225</v>
      </c>
      <c r="AG20" s="4">
        <f>AG18-AG19</f>
        <v>5677716660.5812054</v>
      </c>
      <c r="AH20" s="4">
        <f t="shared" ref="AH20:AO20" si="47">AH18-AH19</f>
        <v>6717190553.9618177</v>
      </c>
      <c r="AI20" s="4">
        <f t="shared" si="47"/>
        <v>7641004133.7635651</v>
      </c>
      <c r="AJ20" s="4">
        <f t="shared" si="47"/>
        <v>8548148821.1487446</v>
      </c>
      <c r="AK20" s="4">
        <f t="shared" si="47"/>
        <v>9443854560.1778297</v>
      </c>
      <c r="AL20" s="4">
        <f t="shared" si="47"/>
        <v>10328276320.848406</v>
      </c>
      <c r="AM20" s="4">
        <f t="shared" si="47"/>
        <v>11225643960.270927</v>
      </c>
      <c r="AN20" s="4">
        <f t="shared" si="47"/>
        <v>12140212911.026417</v>
      </c>
      <c r="AO20" s="4">
        <f t="shared" si="47"/>
        <v>13042467271.735174</v>
      </c>
      <c r="AP20" s="4">
        <f>AP18-AP19</f>
        <v>13926503290.888084</v>
      </c>
      <c r="AQ20" s="4">
        <f>AQ18-AQ19</f>
        <v>14811511985.920897</v>
      </c>
      <c r="AR20" s="4"/>
      <c r="AS20" s="4"/>
      <c r="AT20" s="4"/>
      <c r="AU20" s="4"/>
      <c r="AV20" s="4"/>
      <c r="AW20" s="4"/>
      <c r="AX20" s="4"/>
      <c r="AY20" s="4"/>
      <c r="AZ20" s="4"/>
      <c r="BA20" s="4"/>
      <c r="BB20" s="4"/>
      <c r="BC20" s="4"/>
      <c r="BD20" s="4"/>
      <c r="BG20" s="95">
        <f>M57+M58</f>
        <v>232490</v>
      </c>
      <c r="BV20" s="106" t="s">
        <v>236</v>
      </c>
      <c r="BW20" s="106"/>
      <c r="BX20" s="106"/>
      <c r="BY20" s="477" t="s">
        <v>237</v>
      </c>
      <c r="BZ20" s="477" t="s">
        <v>238</v>
      </c>
      <c r="CA20" s="477" t="s">
        <v>239</v>
      </c>
    </row>
    <row r="21" spans="1:79">
      <c r="A21" s="107"/>
      <c r="B21" s="107"/>
      <c r="C21" s="107"/>
      <c r="D21" s="101">
        <f t="shared" ref="D21:J21" si="48">D15-D20</f>
        <v>20069</v>
      </c>
      <c r="E21" s="101">
        <f t="shared" si="48"/>
        <v>-518181</v>
      </c>
      <c r="F21" s="101">
        <f t="shared" si="48"/>
        <v>425037</v>
      </c>
      <c r="G21" s="101">
        <f t="shared" si="48"/>
        <v>19477241</v>
      </c>
      <c r="H21" s="101">
        <f t="shared" si="48"/>
        <v>-35519905</v>
      </c>
      <c r="I21" s="101">
        <f t="shared" si="48"/>
        <v>-51453927</v>
      </c>
      <c r="J21" s="101">
        <f t="shared" si="48"/>
        <v>52114698</v>
      </c>
      <c r="K21" s="101">
        <f>K15-K20</f>
        <v>2056710</v>
      </c>
      <c r="L21" s="101">
        <f>L15-L20</f>
        <v>-4127789</v>
      </c>
      <c r="M21" s="107"/>
      <c r="N21" s="107"/>
      <c r="O21" s="107">
        <f>O20/12</f>
        <v>70000000</v>
      </c>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c r="AM21" s="107"/>
      <c r="AN21" s="107"/>
      <c r="AO21" s="107"/>
      <c r="AP21" s="107"/>
      <c r="AQ21" s="107"/>
      <c r="BV21" s="106" t="s">
        <v>240</v>
      </c>
      <c r="BW21" s="106"/>
      <c r="BX21" s="106"/>
      <c r="BY21" s="477"/>
      <c r="BZ21" s="477"/>
      <c r="CA21" s="477"/>
    </row>
    <row r="22" spans="1:79" ht="15" customHeight="1" thickBot="1">
      <c r="E22" s="108">
        <f>E15/E18-1</f>
        <v>-0.64772625000000006</v>
      </c>
      <c r="F22" s="108">
        <f>F15/F18-1</f>
        <v>1.0479909090909123E-2</v>
      </c>
      <c r="G22" s="108">
        <f>G15/G18-1</f>
        <v>0.15479870731707313</v>
      </c>
      <c r="H22" s="108">
        <f>H15/H18-1</f>
        <v>-0.16364436956521744</v>
      </c>
      <c r="I22" s="108">
        <f t="shared" ref="I22:P22" si="49">J6/I6-1</f>
        <v>0.40998847262071747</v>
      </c>
      <c r="J22" s="108">
        <f t="shared" si="49"/>
        <v>0.48099055278501668</v>
      </c>
      <c r="K22" s="108">
        <f t="shared" si="49"/>
        <v>0.25673269414196143</v>
      </c>
      <c r="L22" s="108">
        <f t="shared" si="49"/>
        <v>0.17329640087675524</v>
      </c>
      <c r="M22" s="108">
        <f t="shared" si="49"/>
        <v>0.19222023253454923</v>
      </c>
      <c r="N22" s="108">
        <f t="shared" si="49"/>
        <v>0.19289686882916102</v>
      </c>
      <c r="O22" s="108">
        <f t="shared" si="49"/>
        <v>0.1680441825507577</v>
      </c>
      <c r="P22" s="108">
        <f t="shared" si="49"/>
        <v>-0.43501044563017222</v>
      </c>
      <c r="Q22" s="108">
        <f>Q15/Q18-1</f>
        <v>-0.53413545158197162</v>
      </c>
      <c r="BV22" s="106" t="s">
        <v>241</v>
      </c>
      <c r="BW22" s="106"/>
      <c r="BX22" s="106"/>
      <c r="BY22" s="477"/>
      <c r="BZ22" s="477"/>
      <c r="CA22" s="477"/>
    </row>
    <row r="23" spans="1:79" ht="16.5" hidden="1" thickBot="1">
      <c r="A23" s="109" t="s">
        <v>235</v>
      </c>
      <c r="BV23" s="106" t="s">
        <v>242</v>
      </c>
      <c r="BW23" s="106"/>
      <c r="BX23" s="106"/>
      <c r="BY23" s="477"/>
      <c r="BZ23" s="477"/>
      <c r="CA23" s="477"/>
    </row>
    <row r="24" spans="1:79" ht="15.75" hidden="1" thickBot="1">
      <c r="A24" s="110"/>
      <c r="B24" s="111">
        <f t="shared" ref="B24:K24" si="50">B2</f>
        <v>2010</v>
      </c>
      <c r="C24" s="111">
        <f t="shared" si="50"/>
        <v>2011</v>
      </c>
      <c r="D24" s="111">
        <f t="shared" si="50"/>
        <v>2012</v>
      </c>
      <c r="E24" s="111">
        <f t="shared" si="50"/>
        <v>2013</v>
      </c>
      <c r="F24" s="111">
        <f t="shared" si="50"/>
        <v>2014</v>
      </c>
      <c r="G24" s="111">
        <f t="shared" si="50"/>
        <v>2015</v>
      </c>
      <c r="H24" s="111">
        <f t="shared" si="50"/>
        <v>2016</v>
      </c>
      <c r="I24" s="111">
        <f t="shared" si="50"/>
        <v>2017</v>
      </c>
      <c r="J24" s="111">
        <f t="shared" si="50"/>
        <v>2018</v>
      </c>
      <c r="K24" s="111">
        <f t="shared" si="50"/>
        <v>2019</v>
      </c>
      <c r="L24" s="111">
        <f>L2</f>
        <v>2020</v>
      </c>
      <c r="M24" s="111">
        <f>M2</f>
        <v>2021</v>
      </c>
      <c r="N24" s="111">
        <f t="shared" ref="N24:AD24" si="51">N2</f>
        <v>2022</v>
      </c>
      <c r="O24" s="111">
        <f t="shared" si="51"/>
        <v>2023</v>
      </c>
      <c r="P24" s="111">
        <f t="shared" si="51"/>
        <v>2024</v>
      </c>
      <c r="Q24" s="111">
        <f t="shared" si="51"/>
        <v>2025</v>
      </c>
      <c r="R24" s="111">
        <f t="shared" si="51"/>
        <v>2026</v>
      </c>
      <c r="S24" s="111">
        <f t="shared" si="51"/>
        <v>2027</v>
      </c>
      <c r="T24" s="111">
        <f t="shared" si="51"/>
        <v>2028</v>
      </c>
      <c r="U24" s="111">
        <f t="shared" si="51"/>
        <v>2029</v>
      </c>
      <c r="V24" s="111">
        <f t="shared" si="51"/>
        <v>2030</v>
      </c>
      <c r="W24" s="111">
        <f t="shared" si="51"/>
        <v>2031</v>
      </c>
      <c r="X24" s="111">
        <f t="shared" si="51"/>
        <v>2032</v>
      </c>
      <c r="Y24" s="111">
        <f t="shared" si="51"/>
        <v>2033</v>
      </c>
      <c r="Z24" s="111">
        <f t="shared" si="51"/>
        <v>2034</v>
      </c>
      <c r="AA24" s="111">
        <f t="shared" si="51"/>
        <v>2035</v>
      </c>
      <c r="AB24" s="111">
        <f t="shared" si="51"/>
        <v>2036</v>
      </c>
      <c r="AC24" s="111">
        <f t="shared" si="51"/>
        <v>2037</v>
      </c>
      <c r="AD24" s="111">
        <f t="shared" si="51"/>
        <v>2038</v>
      </c>
      <c r="AE24" s="111">
        <f>AE2</f>
        <v>2039</v>
      </c>
      <c r="AF24" s="111">
        <f>AF2</f>
        <v>2040</v>
      </c>
      <c r="AG24" s="111">
        <f>AG2</f>
        <v>2041</v>
      </c>
      <c r="AH24" s="111">
        <f t="shared" ref="AH24:AO24" si="52">AH2</f>
        <v>2042</v>
      </c>
      <c r="AI24" s="111">
        <f t="shared" si="52"/>
        <v>2043</v>
      </c>
      <c r="AJ24" s="111">
        <f t="shared" si="52"/>
        <v>2044</v>
      </c>
      <c r="AK24" s="111">
        <f t="shared" si="52"/>
        <v>2045</v>
      </c>
      <c r="AL24" s="111">
        <f t="shared" si="52"/>
        <v>2046</v>
      </c>
      <c r="AM24" s="111">
        <f t="shared" si="52"/>
        <v>2047</v>
      </c>
      <c r="AN24" s="111">
        <f t="shared" si="52"/>
        <v>2048</v>
      </c>
      <c r="AO24" s="111">
        <f t="shared" si="52"/>
        <v>2049</v>
      </c>
      <c r="AP24" s="111">
        <f>AP2</f>
        <v>2050</v>
      </c>
      <c r="AQ24" s="111">
        <f>AQ2</f>
        <v>2051</v>
      </c>
      <c r="AR24" s="94"/>
      <c r="AS24" s="94"/>
      <c r="AT24" s="94"/>
      <c r="AU24" s="94"/>
      <c r="AV24" s="94"/>
      <c r="AW24" s="94"/>
      <c r="AX24" s="94"/>
      <c r="AY24" s="94"/>
      <c r="AZ24" s="94"/>
      <c r="BA24" s="94"/>
      <c r="BB24" s="94"/>
      <c r="BC24" s="94"/>
      <c r="BD24" s="94"/>
      <c r="BY24" s="477"/>
      <c r="BZ24" s="477"/>
      <c r="CA24" s="477"/>
    </row>
    <row r="25" spans="1:79" ht="15.75" hidden="1" thickBot="1">
      <c r="A25" s="2" t="s">
        <v>43</v>
      </c>
      <c r="B25" s="3">
        <f t="shared" ref="B25:AQ31" si="53">B41+B89+B137</f>
        <v>0</v>
      </c>
      <c r="C25" s="3">
        <f t="shared" si="53"/>
        <v>0</v>
      </c>
      <c r="D25" s="3">
        <f t="shared" si="53"/>
        <v>0</v>
      </c>
      <c r="E25" s="3">
        <f t="shared" si="53"/>
        <v>0</v>
      </c>
      <c r="F25" s="3">
        <f t="shared" si="53"/>
        <v>14247</v>
      </c>
      <c r="G25" s="3">
        <f t="shared" si="53"/>
        <v>4108477</v>
      </c>
      <c r="H25" s="3">
        <f t="shared" si="53"/>
        <v>1735618</v>
      </c>
      <c r="I25" s="3">
        <f t="shared" si="53"/>
        <v>459290</v>
      </c>
      <c r="J25" s="3">
        <f t="shared" si="53"/>
        <v>967265</v>
      </c>
      <c r="K25" s="3">
        <f t="shared" si="53"/>
        <v>736722</v>
      </c>
      <c r="L25" s="3">
        <f t="shared" si="53"/>
        <v>675928</v>
      </c>
      <c r="M25" s="3">
        <f t="shared" si="53"/>
        <v>5266470</v>
      </c>
      <c r="N25" s="3">
        <f t="shared" si="53"/>
        <v>851864</v>
      </c>
      <c r="O25" s="3">
        <f t="shared" si="53"/>
        <v>2568874</v>
      </c>
      <c r="P25" s="3">
        <f t="shared" si="53"/>
        <v>7206461</v>
      </c>
      <c r="Q25" s="3">
        <f t="shared" si="53"/>
        <v>8463939</v>
      </c>
      <c r="R25" s="4">
        <f t="shared" si="53"/>
        <v>8271531.8687139647</v>
      </c>
      <c r="S25" s="4">
        <f t="shared" si="53"/>
        <v>8381358.8245324306</v>
      </c>
      <c r="T25" s="4">
        <f t="shared" si="53"/>
        <v>8968377.6388940271</v>
      </c>
      <c r="U25" s="4">
        <f t="shared" si="53"/>
        <v>9215645.0405494981</v>
      </c>
      <c r="V25" s="4">
        <f t="shared" si="53"/>
        <v>9371226.9319290146</v>
      </c>
      <c r="W25" s="4">
        <f t="shared" si="53"/>
        <v>9414356.7883283757</v>
      </c>
      <c r="X25" s="4">
        <f t="shared" si="53"/>
        <v>10134117.360732203</v>
      </c>
      <c r="Y25" s="4">
        <f t="shared" si="53"/>
        <v>11500589.826201143</v>
      </c>
      <c r="Z25" s="4">
        <f t="shared" si="53"/>
        <v>13108186.354992133</v>
      </c>
      <c r="AA25" s="4">
        <f t="shared" si="53"/>
        <v>14382256.691305269</v>
      </c>
      <c r="AB25" s="4">
        <f t="shared" si="53"/>
        <v>16160226.978466427</v>
      </c>
      <c r="AC25" s="4">
        <f t="shared" si="53"/>
        <v>18092715.754612867</v>
      </c>
      <c r="AD25" s="4">
        <f t="shared" si="53"/>
        <v>20207223.459886957</v>
      </c>
      <c r="AE25" s="4">
        <f t="shared" si="53"/>
        <v>22641660.011428572</v>
      </c>
      <c r="AF25" s="4">
        <f t="shared" si="53"/>
        <v>25119492.118678555</v>
      </c>
      <c r="AG25" s="4">
        <f t="shared" si="53"/>
        <v>27812386.218923349</v>
      </c>
      <c r="AH25" s="4">
        <f t="shared" si="53"/>
        <v>38472975.972630128</v>
      </c>
      <c r="AI25" s="4">
        <f t="shared" si="53"/>
        <v>49788427.788904637</v>
      </c>
      <c r="AJ25" s="4">
        <f t="shared" si="53"/>
        <v>61068265.379129931</v>
      </c>
      <c r="AK25" s="4">
        <f t="shared" si="53"/>
        <v>72385172.915838271</v>
      </c>
      <c r="AL25" s="4">
        <f t="shared" si="53"/>
        <v>83738484.20026435</v>
      </c>
      <c r="AM25" s="4">
        <f t="shared" si="53"/>
        <v>95420460.818530813</v>
      </c>
      <c r="AN25" s="4">
        <f t="shared" si="53"/>
        <v>107151364.07989615</v>
      </c>
      <c r="AO25" s="4">
        <f t="shared" si="53"/>
        <v>119053420.47439742</v>
      </c>
      <c r="AP25" s="4">
        <f t="shared" si="53"/>
        <v>131143309.43809806</v>
      </c>
      <c r="AQ25" s="4">
        <f t="shared" si="53"/>
        <v>143347389.19780666</v>
      </c>
      <c r="AR25" s="4"/>
      <c r="AS25" s="4"/>
      <c r="AT25" s="4"/>
      <c r="AU25" s="4"/>
      <c r="AV25" s="4"/>
      <c r="AW25" s="4"/>
      <c r="AX25" s="4"/>
      <c r="AY25" s="4"/>
      <c r="AZ25" s="4"/>
      <c r="BA25" s="4"/>
      <c r="BB25" s="4"/>
      <c r="BC25" s="4"/>
      <c r="BD25" s="4"/>
      <c r="BI25" s="3">
        <v>3559698.1815149565</v>
      </c>
      <c r="BJ25" s="3">
        <f t="shared" ref="BJ25:BJ37" si="54">L25-BI25</f>
        <v>-2883770.1815149565</v>
      </c>
      <c r="BK25" s="3">
        <v>985535.06764785352</v>
      </c>
      <c r="BL25" s="3">
        <f t="shared" ref="BL25:BL37" si="55">M25-BK25</f>
        <v>4280934.9323521461</v>
      </c>
      <c r="BM25" s="3">
        <v>1811898.1590084471</v>
      </c>
      <c r="BN25" s="3">
        <f t="shared" ref="BN25:BN37" si="56">N25-BM25</f>
        <v>-960034.15900844708</v>
      </c>
      <c r="BO25" s="3">
        <v>1624759.1699903989</v>
      </c>
      <c r="BP25" s="3">
        <f t="shared" ref="BP25:BP37" si="57">O25-BO25</f>
        <v>944114.83000960108</v>
      </c>
      <c r="BQ25" s="3">
        <v>8463939</v>
      </c>
      <c r="BR25" s="18">
        <f>P25-BQ25</f>
        <v>-1257478</v>
      </c>
      <c r="BS25" s="3">
        <v>8463939</v>
      </c>
      <c r="BT25" s="18">
        <f>Q25-BS25</f>
        <v>0</v>
      </c>
      <c r="BV25" s="112">
        <f>N25+'D4 Gallon Forecast'!N37+'D5 Gallon Forecast'!N40+'D6 Gallon Forecast'!N33+'D7 Gallon Forecast'!N21</f>
        <v>1444083832</v>
      </c>
      <c r="BW25" s="112">
        <f>O25+'D4 Gallon Forecast'!O37+'D5 Gallon Forecast'!O40+'D6 Gallon Forecast'!O33+'D7 Gallon Forecast'!O21</f>
        <v>1550436766</v>
      </c>
      <c r="BX25" s="112">
        <f>BO25+'D4 Gallon Forecast'!BM37+'D5 Gallon Forecast'!AX40+'D6 Gallon Forecast'!BK33+'D7 Gallon Forecast'!AQ21</f>
        <v>1208676768.1917741</v>
      </c>
      <c r="BY25" s="112">
        <f>BP25+'D4 Gallon Forecast'!BN37+'D5 Gallon Forecast'!AY40+'D6 Gallon Forecast'!BL33+'D7 Gallon Forecast'!AR21</f>
        <v>15009241.808225973</v>
      </c>
    </row>
    <row r="26" spans="1:79" ht="15.75" hidden="1" thickBot="1">
      <c r="A26" s="2" t="s">
        <v>44</v>
      </c>
      <c r="B26" s="3">
        <f t="shared" si="53"/>
        <v>0</v>
      </c>
      <c r="C26" s="3">
        <f t="shared" si="53"/>
        <v>0</v>
      </c>
      <c r="D26" s="3">
        <f t="shared" si="53"/>
        <v>0</v>
      </c>
      <c r="E26" s="3">
        <f t="shared" si="53"/>
        <v>0</v>
      </c>
      <c r="F26" s="3">
        <f t="shared" si="53"/>
        <v>7072</v>
      </c>
      <c r="G26" s="3">
        <f t="shared" si="53"/>
        <v>7950318</v>
      </c>
      <c r="H26" s="3">
        <f t="shared" si="53"/>
        <v>14469067</v>
      </c>
      <c r="I26" s="3">
        <f t="shared" si="53"/>
        <v>15952451</v>
      </c>
      <c r="J26" s="3">
        <f t="shared" si="53"/>
        <v>20373566</v>
      </c>
      <c r="K26" s="3">
        <f t="shared" si="53"/>
        <v>31797390</v>
      </c>
      <c r="L26" s="3">
        <f t="shared" si="53"/>
        <v>37022182</v>
      </c>
      <c r="M26" s="3">
        <f t="shared" si="53"/>
        <v>41972515</v>
      </c>
      <c r="N26" s="3">
        <f t="shared" si="53"/>
        <v>49301226</v>
      </c>
      <c r="O26" s="3">
        <f t="shared" si="53"/>
        <v>61022115</v>
      </c>
      <c r="P26" s="3">
        <f t="shared" si="53"/>
        <v>69565939</v>
      </c>
      <c r="Q26" s="3">
        <f t="shared" si="53"/>
        <v>7413578</v>
      </c>
      <c r="R26" s="4">
        <f t="shared" si="53"/>
        <v>36971272.8129723</v>
      </c>
      <c r="S26" s="4">
        <f t="shared" si="53"/>
        <v>34848404.711326629</v>
      </c>
      <c r="T26" s="4">
        <f t="shared" si="53"/>
        <v>34287695.212384328</v>
      </c>
      <c r="U26" s="4">
        <f t="shared" si="53"/>
        <v>32435618.936848022</v>
      </c>
      <c r="V26" s="4">
        <f t="shared" si="53"/>
        <v>29569679.670902774</v>
      </c>
      <c r="W26" s="4">
        <f t="shared" si="53"/>
        <v>33344763.585874029</v>
      </c>
      <c r="X26" s="4">
        <f t="shared" si="53"/>
        <v>33799171.099695824</v>
      </c>
      <c r="Y26" s="4">
        <f t="shared" si="53"/>
        <v>35790898.680604458</v>
      </c>
      <c r="Z26" s="4">
        <f t="shared" si="53"/>
        <v>37215096.948005415</v>
      </c>
      <c r="AA26" s="4">
        <f t="shared" si="53"/>
        <v>38965062.906483628</v>
      </c>
      <c r="AB26" s="4">
        <f t="shared" si="53"/>
        <v>42203650.618325122</v>
      </c>
      <c r="AC26" s="4">
        <f t="shared" si="53"/>
        <v>44703376.233996965</v>
      </c>
      <c r="AD26" s="4">
        <f t="shared" si="53"/>
        <v>47241107.964239091</v>
      </c>
      <c r="AE26" s="4">
        <f t="shared" si="53"/>
        <v>50112208.928030536</v>
      </c>
      <c r="AF26" s="4">
        <f t="shared" si="53"/>
        <v>53102083.744676545</v>
      </c>
      <c r="AG26" s="4">
        <f t="shared" si="53"/>
        <v>56191660.238803178</v>
      </c>
      <c r="AH26" s="4">
        <f t="shared" si="53"/>
        <v>74265762.085084289</v>
      </c>
      <c r="AI26" s="4">
        <f t="shared" si="53"/>
        <v>91531362.44539097</v>
      </c>
      <c r="AJ26" s="4">
        <f t="shared" si="53"/>
        <v>107154382.41160287</v>
      </c>
      <c r="AK26" s="4">
        <f t="shared" si="53"/>
        <v>121579682.47446334</v>
      </c>
      <c r="AL26" s="4">
        <f t="shared" si="53"/>
        <v>135217979.37234709</v>
      </c>
      <c r="AM26" s="4">
        <f t="shared" si="53"/>
        <v>148778616.63828123</v>
      </c>
      <c r="AN26" s="4">
        <f t="shared" si="53"/>
        <v>161508794.70730054</v>
      </c>
      <c r="AO26" s="4">
        <f t="shared" si="53"/>
        <v>173806525.32022476</v>
      </c>
      <c r="AP26" s="4">
        <f t="shared" si="53"/>
        <v>185852561.039511</v>
      </c>
      <c r="AQ26" s="4">
        <f t="shared" si="53"/>
        <v>197674844.10814536</v>
      </c>
      <c r="AR26" s="4"/>
      <c r="AS26" s="4"/>
      <c r="AT26" s="4"/>
      <c r="AU26" s="4"/>
      <c r="AV26" s="4"/>
      <c r="AW26" s="4"/>
      <c r="AX26" s="4"/>
      <c r="AY26" s="4"/>
      <c r="AZ26" s="4"/>
      <c r="BA26" s="4"/>
      <c r="BB26" s="4"/>
      <c r="BC26" s="4"/>
      <c r="BD26" s="4"/>
      <c r="BI26" s="3">
        <v>35753214.961654454</v>
      </c>
      <c r="BJ26" s="3">
        <f t="shared" si="54"/>
        <v>1268967.0383455455</v>
      </c>
      <c r="BK26" s="3">
        <v>36821355.85823521</v>
      </c>
      <c r="BL26" s="3">
        <f t="shared" si="55"/>
        <v>5151159.1417647898</v>
      </c>
      <c r="BM26" s="3">
        <v>41248481.603959106</v>
      </c>
      <c r="BN26" s="3">
        <f t="shared" si="56"/>
        <v>8052744.3960408941</v>
      </c>
      <c r="BO26" s="3">
        <v>41855697.020752877</v>
      </c>
      <c r="BP26" s="3">
        <f t="shared" si="57"/>
        <v>19166417.979247123</v>
      </c>
      <c r="BQ26" s="3">
        <v>61055046.395863846</v>
      </c>
      <c r="BR26" s="18">
        <f t="shared" ref="BR26:BR37" si="58">P26-BQ26</f>
        <v>8510892.6041361541</v>
      </c>
      <c r="BS26" s="3">
        <v>61055046.395863846</v>
      </c>
      <c r="BT26" s="18">
        <f t="shared" ref="BT26:BT37" si="59">Q26-BS26</f>
        <v>-53641468.395863846</v>
      </c>
      <c r="BV26" s="112">
        <f>N26+'D4 Gallon Forecast'!N38+'D5 Gallon Forecast'!N41+'D6 Gallon Forecast'!N34+'D7 Gallon Forecast'!N22</f>
        <v>1388772471</v>
      </c>
      <c r="BW26" s="112">
        <f>O26+'D4 Gallon Forecast'!O38+'D5 Gallon Forecast'!O41+'D6 Gallon Forecast'!O34+'D7 Gallon Forecast'!O22</f>
        <v>1522069204</v>
      </c>
      <c r="BX26" s="112">
        <f>BO26+'D4 Gallon Forecast'!BM38+'D5 Gallon Forecast'!AX41+'D6 Gallon Forecast'!BK34+'D7 Gallon Forecast'!AQ22</f>
        <v>1127385774.2224574</v>
      </c>
      <c r="BY26" s="112">
        <f>BP26+'D4 Gallon Forecast'!BN38+'D5 Gallon Forecast'!AY41+'D6 Gallon Forecast'!BL34+'D7 Gallon Forecast'!AR22</f>
        <v>69620270.77754277</v>
      </c>
    </row>
    <row r="27" spans="1:79" ht="15.75" hidden="1" thickBot="1">
      <c r="A27" s="2" t="s">
        <v>45</v>
      </c>
      <c r="B27" s="3">
        <f t="shared" si="53"/>
        <v>0</v>
      </c>
      <c r="C27" s="3">
        <f t="shared" si="53"/>
        <v>0</v>
      </c>
      <c r="D27" s="3">
        <f t="shared" si="53"/>
        <v>0</v>
      </c>
      <c r="E27" s="3">
        <f t="shared" si="53"/>
        <v>0</v>
      </c>
      <c r="F27" s="3">
        <f t="shared" si="53"/>
        <v>6624</v>
      </c>
      <c r="G27" s="3">
        <f t="shared" si="53"/>
        <v>7803420</v>
      </c>
      <c r="H27" s="3">
        <f t="shared" si="53"/>
        <v>15780175</v>
      </c>
      <c r="I27" s="3">
        <f t="shared" si="53"/>
        <v>16236224</v>
      </c>
      <c r="J27" s="3">
        <f t="shared" si="53"/>
        <v>20399726</v>
      </c>
      <c r="K27" s="3">
        <f t="shared" si="53"/>
        <v>32184781</v>
      </c>
      <c r="L27" s="3">
        <f t="shared" si="53"/>
        <v>34706042</v>
      </c>
      <c r="M27" s="3">
        <f t="shared" si="53"/>
        <v>36762589</v>
      </c>
      <c r="N27" s="3">
        <f t="shared" si="53"/>
        <v>44887639</v>
      </c>
      <c r="O27" s="3">
        <f t="shared" si="53"/>
        <v>55327120</v>
      </c>
      <c r="P27" s="3">
        <f t="shared" si="53"/>
        <v>66311733</v>
      </c>
      <c r="Q27" s="4">
        <f t="shared" si="53"/>
        <v>41984003.345376208</v>
      </c>
      <c r="R27" s="4">
        <f t="shared" si="53"/>
        <v>36094173.576265082</v>
      </c>
      <c r="S27" s="4">
        <f t="shared" si="53"/>
        <v>34623036.191204347</v>
      </c>
      <c r="T27" s="4">
        <f t="shared" si="53"/>
        <v>35437124.481354162</v>
      </c>
      <c r="U27" s="4">
        <f t="shared" si="53"/>
        <v>36106959.42503418</v>
      </c>
      <c r="V27" s="4">
        <f t="shared" si="53"/>
        <v>36597823.521633692</v>
      </c>
      <c r="W27" s="4">
        <f t="shared" si="53"/>
        <v>34907224.338098615</v>
      </c>
      <c r="X27" s="4">
        <f t="shared" si="53"/>
        <v>35761147.977561533</v>
      </c>
      <c r="Y27" s="4">
        <f t="shared" si="53"/>
        <v>38032506.573665693</v>
      </c>
      <c r="Z27" s="4">
        <f t="shared" si="53"/>
        <v>39068037.610570036</v>
      </c>
      <c r="AA27" s="4">
        <f t="shared" si="53"/>
        <v>40281424.691169843</v>
      </c>
      <c r="AB27" s="4">
        <f t="shared" si="53"/>
        <v>42066167.364130139</v>
      </c>
      <c r="AC27" s="4">
        <f t="shared" si="53"/>
        <v>43969859.301457442</v>
      </c>
      <c r="AD27" s="4">
        <f t="shared" si="53"/>
        <v>45617886.944133297</v>
      </c>
      <c r="AE27" s="4">
        <f t="shared" si="53"/>
        <v>47267983.46000468</v>
      </c>
      <c r="AF27" s="4">
        <f t="shared" si="53"/>
        <v>48917562.588066675</v>
      </c>
      <c r="AG27" s="4">
        <f t="shared" si="53"/>
        <v>50475132.919808887</v>
      </c>
      <c r="AH27" s="4">
        <f t="shared" si="53"/>
        <v>65168693.650623165</v>
      </c>
      <c r="AI27" s="4">
        <f t="shared" si="53"/>
        <v>78075330.533357546</v>
      </c>
      <c r="AJ27" s="4">
        <f t="shared" si="53"/>
        <v>88716083.619752139</v>
      </c>
      <c r="AK27" s="4">
        <f t="shared" si="53"/>
        <v>97657536.875060752</v>
      </c>
      <c r="AL27" s="4">
        <f t="shared" si="53"/>
        <v>105499408.19144088</v>
      </c>
      <c r="AM27" s="4">
        <f t="shared" si="53"/>
        <v>112945662.94466907</v>
      </c>
      <c r="AN27" s="4">
        <f t="shared" si="53"/>
        <v>119184809.01156181</v>
      </c>
      <c r="AO27" s="4">
        <f t="shared" si="53"/>
        <v>124657645.35811855</v>
      </c>
      <c r="AP27" s="4">
        <f t="shared" si="53"/>
        <v>129605084.54303409</v>
      </c>
      <c r="AQ27" s="4">
        <f t="shared" si="53"/>
        <v>134141215.13993125</v>
      </c>
      <c r="AR27" s="4"/>
      <c r="AS27" s="4"/>
      <c r="AT27" s="4"/>
      <c r="AU27" s="4"/>
      <c r="AV27" s="4"/>
      <c r="AW27" s="4"/>
      <c r="AX27" s="4"/>
      <c r="AY27" s="4"/>
      <c r="AZ27" s="4"/>
      <c r="BA27" s="4"/>
      <c r="BB27" s="4"/>
      <c r="BC27" s="4"/>
      <c r="BD27" s="4"/>
      <c r="BI27" s="3">
        <v>27016658.716278013</v>
      </c>
      <c r="BJ27" s="3">
        <f t="shared" si="54"/>
        <v>7689383.2837219872</v>
      </c>
      <c r="BK27" s="3">
        <v>34485690.946529344</v>
      </c>
      <c r="BL27" s="3">
        <f t="shared" si="55"/>
        <v>2276898.0534706563</v>
      </c>
      <c r="BM27" s="3">
        <v>37575017.042691901</v>
      </c>
      <c r="BN27" s="3">
        <f t="shared" si="56"/>
        <v>7312621.9573080987</v>
      </c>
      <c r="BO27" s="3">
        <v>52073452.955947489</v>
      </c>
      <c r="BP27" s="3">
        <f t="shared" si="57"/>
        <v>3253667.0440525115</v>
      </c>
      <c r="BQ27" s="4">
        <v>81778837.27212362</v>
      </c>
      <c r="BR27" s="18">
        <f t="shared" si="58"/>
        <v>-15467104.27212362</v>
      </c>
      <c r="BS27" s="4">
        <v>81778837.27212362</v>
      </c>
      <c r="BT27" s="18">
        <f t="shared" si="59"/>
        <v>-39794833.926747411</v>
      </c>
      <c r="BV27" s="112">
        <f>N27+'D4 Gallon Forecast'!N39+'D5 Gallon Forecast'!N42+'D6 Gallon Forecast'!N35+'D7 Gallon Forecast'!N23</f>
        <v>1631620583</v>
      </c>
      <c r="BW27" s="112">
        <f>O27+'D4 Gallon Forecast'!O39+'D5 Gallon Forecast'!O42+'D6 Gallon Forecast'!O35+'D7 Gallon Forecast'!O23</f>
        <v>1676565190</v>
      </c>
      <c r="BX27" s="112">
        <f>BO27+'D4 Gallon Forecast'!BM39+'D5 Gallon Forecast'!AX42+'D6 Gallon Forecast'!BK35+'D7 Gallon Forecast'!AQ23</f>
        <v>1350449596.2103355</v>
      </c>
      <c r="BY27" s="112">
        <f>BP27+'D4 Gallon Forecast'!BN39+'D5 Gallon Forecast'!AY42+'D6 Gallon Forecast'!BL35+'D7 Gallon Forecast'!AR23</f>
        <v>14167622.518449465</v>
      </c>
    </row>
    <row r="28" spans="1:79" ht="15.75" hidden="1" thickBot="1">
      <c r="A28" s="2" t="s">
        <v>46</v>
      </c>
      <c r="B28" s="3">
        <f t="shared" si="53"/>
        <v>0</v>
      </c>
      <c r="C28" s="3">
        <f t="shared" si="53"/>
        <v>0</v>
      </c>
      <c r="D28" s="3">
        <f t="shared" si="53"/>
        <v>20069</v>
      </c>
      <c r="E28" s="3">
        <f t="shared" si="53"/>
        <v>0</v>
      </c>
      <c r="F28" s="3">
        <f t="shared" si="53"/>
        <v>643</v>
      </c>
      <c r="G28" s="3">
        <f t="shared" si="53"/>
        <v>7831248</v>
      </c>
      <c r="H28" s="3">
        <f t="shared" si="53"/>
        <v>16698896</v>
      </c>
      <c r="I28" s="3">
        <f t="shared" si="53"/>
        <v>17366722</v>
      </c>
      <c r="J28" s="3">
        <f t="shared" si="53"/>
        <v>20672077</v>
      </c>
      <c r="K28" s="3">
        <f t="shared" si="53"/>
        <v>33471004</v>
      </c>
      <c r="L28" s="3">
        <f t="shared" si="53"/>
        <v>40719352</v>
      </c>
      <c r="M28" s="3">
        <f t="shared" si="53"/>
        <v>43783881</v>
      </c>
      <c r="N28" s="3">
        <f t="shared" si="53"/>
        <v>51044773</v>
      </c>
      <c r="O28" s="3">
        <f t="shared" si="53"/>
        <v>64013973</v>
      </c>
      <c r="P28" s="3">
        <f t="shared" si="53"/>
        <v>74760842</v>
      </c>
      <c r="Q28" s="4">
        <f t="shared" si="53"/>
        <v>43904785.517672643</v>
      </c>
      <c r="R28" s="4">
        <f t="shared" si="53"/>
        <v>41655652.345767148</v>
      </c>
      <c r="S28" s="4">
        <f t="shared" si="53"/>
        <v>39647993.477823168</v>
      </c>
      <c r="T28" s="4">
        <f t="shared" si="53"/>
        <v>40488778.789133884</v>
      </c>
      <c r="U28" s="4">
        <f t="shared" si="53"/>
        <v>40858094.48852393</v>
      </c>
      <c r="V28" s="4">
        <f t="shared" si="53"/>
        <v>41144365.825123467</v>
      </c>
      <c r="W28" s="4">
        <f t="shared" si="53"/>
        <v>39898775.916912459</v>
      </c>
      <c r="X28" s="4">
        <f t="shared" si="53"/>
        <v>40829005.10570351</v>
      </c>
      <c r="Y28" s="4">
        <f t="shared" si="53"/>
        <v>43463784.448751897</v>
      </c>
      <c r="Z28" s="4">
        <f t="shared" si="53"/>
        <v>44793132.062450781</v>
      </c>
      <c r="AA28" s="4">
        <f t="shared" si="53"/>
        <v>46337225.788247168</v>
      </c>
      <c r="AB28" s="4">
        <f t="shared" si="53"/>
        <v>48654261.630368568</v>
      </c>
      <c r="AC28" s="4">
        <f t="shared" si="53"/>
        <v>51012940.639900081</v>
      </c>
      <c r="AD28" s="4">
        <f t="shared" si="53"/>
        <v>53138262.732473604</v>
      </c>
      <c r="AE28" s="4">
        <f t="shared" si="53"/>
        <v>55327981.888287932</v>
      </c>
      <c r="AF28" s="4">
        <f t="shared" si="53"/>
        <v>57537286.645664275</v>
      </c>
      <c r="AG28" s="4">
        <f t="shared" si="53"/>
        <v>59679667.879169807</v>
      </c>
      <c r="AH28" s="4">
        <f t="shared" si="53"/>
        <v>77452180.811696365</v>
      </c>
      <c r="AI28" s="4">
        <f t="shared" si="53"/>
        <v>93377494.269654393</v>
      </c>
      <c r="AJ28" s="4">
        <f t="shared" si="53"/>
        <v>106821626.38979816</v>
      </c>
      <c r="AK28" s="4">
        <f t="shared" si="53"/>
        <v>118413244.15349948</v>
      </c>
      <c r="AL28" s="4">
        <f t="shared" si="53"/>
        <v>128805388.06917554</v>
      </c>
      <c r="AM28" s="4">
        <f t="shared" si="53"/>
        <v>138815164.59694231</v>
      </c>
      <c r="AN28" s="4">
        <f t="shared" si="53"/>
        <v>147512810.4474206</v>
      </c>
      <c r="AO28" s="4">
        <f t="shared" si="53"/>
        <v>155399745.38870841</v>
      </c>
      <c r="AP28" s="4">
        <f t="shared" si="53"/>
        <v>162741504.8567549</v>
      </c>
      <c r="AQ28" s="4">
        <f t="shared" si="53"/>
        <v>169651162.08954057</v>
      </c>
      <c r="AR28" s="4"/>
      <c r="AS28" s="4"/>
      <c r="AT28" s="4"/>
      <c r="AU28" s="4"/>
      <c r="AV28" s="4"/>
      <c r="AW28" s="4"/>
      <c r="AX28" s="4"/>
      <c r="AY28" s="4"/>
      <c r="AZ28" s="4"/>
      <c r="BA28" s="4"/>
      <c r="BB28" s="4"/>
      <c r="BC28" s="4"/>
      <c r="BD28" s="4"/>
      <c r="BI28" s="3">
        <v>32594631.009009138</v>
      </c>
      <c r="BJ28" s="3">
        <f t="shared" si="54"/>
        <v>8124720.9909908623</v>
      </c>
      <c r="BK28" s="3">
        <v>40154048.227115065</v>
      </c>
      <c r="BL28" s="3">
        <f t="shared" si="55"/>
        <v>3629832.7728849351</v>
      </c>
      <c r="BM28" s="3">
        <v>44490103.757540613</v>
      </c>
      <c r="BN28" s="3">
        <f t="shared" si="56"/>
        <v>6554669.2424593866</v>
      </c>
      <c r="BO28" s="3">
        <v>61654144.149003103</v>
      </c>
      <c r="BP28" s="3">
        <f t="shared" si="57"/>
        <v>2359828.8509968966</v>
      </c>
      <c r="BQ28" s="4">
        <v>83857195.164091483</v>
      </c>
      <c r="BR28" s="18">
        <f t="shared" si="58"/>
        <v>-9096353.1640914828</v>
      </c>
      <c r="BS28" s="4">
        <v>83857195.164091483</v>
      </c>
      <c r="BT28" s="18">
        <f t="shared" si="59"/>
        <v>-39952409.64641884</v>
      </c>
      <c r="BV28" s="112">
        <f>N28+'D4 Gallon Forecast'!N40+'D5 Gallon Forecast'!N43+'D6 Gallon Forecast'!N36+'D7 Gallon Forecast'!N24</f>
        <v>1510579639</v>
      </c>
      <c r="BW28" s="112">
        <f>O28+'D4 Gallon Forecast'!O40+'D5 Gallon Forecast'!O43+'D6 Gallon Forecast'!O36+'D7 Gallon Forecast'!O24</f>
        <v>1603057259</v>
      </c>
      <c r="BX28" s="112">
        <f>BO28+'D4 Gallon Forecast'!BM40+'D5 Gallon Forecast'!AX43+'D6 Gallon Forecast'!BK36+'D7 Gallon Forecast'!AQ24</f>
        <v>1250395612.6740839</v>
      </c>
      <c r="BY28" s="112">
        <f>BP28+'D4 Gallon Forecast'!BN40+'D5 Gallon Forecast'!AY43+'D6 Gallon Forecast'!BL36+'D7 Gallon Forecast'!AR24</f>
        <v>77008749.195753232</v>
      </c>
    </row>
    <row r="29" spans="1:79" ht="15.75" hidden="1" thickBot="1">
      <c r="A29" s="2" t="s">
        <v>47</v>
      </c>
      <c r="B29" s="3">
        <f t="shared" si="53"/>
        <v>0</v>
      </c>
      <c r="C29" s="3">
        <f t="shared" si="53"/>
        <v>0</v>
      </c>
      <c r="D29" s="3">
        <f t="shared" si="53"/>
        <v>0</v>
      </c>
      <c r="E29" s="3">
        <f t="shared" si="53"/>
        <v>0</v>
      </c>
      <c r="F29" s="3">
        <f t="shared" si="53"/>
        <v>0</v>
      </c>
      <c r="G29" s="3">
        <f t="shared" si="53"/>
        <v>9341048</v>
      </c>
      <c r="H29" s="3">
        <f t="shared" si="53"/>
        <v>16007687</v>
      </c>
      <c r="I29" s="3">
        <f t="shared" si="53"/>
        <v>22483740</v>
      </c>
      <c r="J29" s="3">
        <f t="shared" si="53"/>
        <v>22068890</v>
      </c>
      <c r="K29" s="3">
        <f t="shared" si="53"/>
        <v>30982464</v>
      </c>
      <c r="L29" s="3">
        <f t="shared" si="53"/>
        <v>37947026</v>
      </c>
      <c r="M29" s="3">
        <f t="shared" si="53"/>
        <v>44837452</v>
      </c>
      <c r="N29" s="3">
        <f t="shared" si="53"/>
        <v>57323125</v>
      </c>
      <c r="O29" s="3">
        <f t="shared" si="53"/>
        <v>61173203</v>
      </c>
      <c r="P29" s="3">
        <f t="shared" si="53"/>
        <v>77175717</v>
      </c>
      <c r="Q29" s="4">
        <f t="shared" si="53"/>
        <v>50661382.362504959</v>
      </c>
      <c r="R29" s="4">
        <f t="shared" si="53"/>
        <v>58978097.520354241</v>
      </c>
      <c r="S29" s="4">
        <f t="shared" si="53"/>
        <v>58804536.201366834</v>
      </c>
      <c r="T29" s="4">
        <f t="shared" si="53"/>
        <v>61472874.347371101</v>
      </c>
      <c r="U29" s="4">
        <f t="shared" si="53"/>
        <v>66182872.732815437</v>
      </c>
      <c r="V29" s="4">
        <f t="shared" si="53"/>
        <v>72964627.335881218</v>
      </c>
      <c r="W29" s="4">
        <f t="shared" si="53"/>
        <v>76476762.108955339</v>
      </c>
      <c r="X29" s="4">
        <f t="shared" si="53"/>
        <v>83264054.005452439</v>
      </c>
      <c r="Y29" s="4">
        <f t="shared" si="53"/>
        <v>94597004.62909992</v>
      </c>
      <c r="Z29" s="4">
        <f t="shared" si="53"/>
        <v>105144262.00252399</v>
      </c>
      <c r="AA29" s="4">
        <f t="shared" si="53"/>
        <v>116962390.41613775</v>
      </c>
      <c r="AB29" s="4">
        <f t="shared" si="53"/>
        <v>131591335.13762163</v>
      </c>
      <c r="AC29" s="4">
        <f t="shared" si="53"/>
        <v>147306221.39402568</v>
      </c>
      <c r="AD29" s="4">
        <f t="shared" si="53"/>
        <v>163788109.89033684</v>
      </c>
      <c r="AE29" s="4">
        <f t="shared" si="53"/>
        <v>182051624.84445205</v>
      </c>
      <c r="AF29" s="4">
        <f t="shared" si="53"/>
        <v>201546084.39323914</v>
      </c>
      <c r="AG29" s="4">
        <f t="shared" si="53"/>
        <v>221972013.03864503</v>
      </c>
      <c r="AH29" s="4">
        <f t="shared" si="53"/>
        <v>305269512.71889085</v>
      </c>
      <c r="AI29" s="4">
        <f t="shared" si="53"/>
        <v>391534618.89267635</v>
      </c>
      <c r="AJ29" s="4">
        <f t="shared" si="53"/>
        <v>476128711.12421417</v>
      </c>
      <c r="AK29" s="4">
        <f t="shared" si="53"/>
        <v>558864483.03424501</v>
      </c>
      <c r="AL29" s="4">
        <f t="shared" si="53"/>
        <v>640416655.8080436</v>
      </c>
      <c r="AM29" s="4">
        <f t="shared" si="53"/>
        <v>722986508.12294459</v>
      </c>
      <c r="AN29" s="4">
        <f t="shared" si="53"/>
        <v>803630511.50755942</v>
      </c>
      <c r="AO29" s="4">
        <f t="shared" si="53"/>
        <v>883421740.9144516</v>
      </c>
      <c r="AP29" s="4">
        <f t="shared" si="53"/>
        <v>962636865.06729627</v>
      </c>
      <c r="AQ29" s="4">
        <f t="shared" si="53"/>
        <v>1041176561.0460348</v>
      </c>
      <c r="AR29" s="4"/>
      <c r="AS29" s="4"/>
      <c r="AT29" s="4"/>
      <c r="AU29" s="4"/>
      <c r="AV29" s="4"/>
      <c r="AW29" s="4"/>
      <c r="AX29" s="4"/>
      <c r="AY29" s="4"/>
      <c r="AZ29" s="4"/>
      <c r="BA29" s="4"/>
      <c r="BB29" s="4"/>
      <c r="BC29" s="4"/>
      <c r="BD29" s="4"/>
      <c r="BI29" s="3">
        <v>34155955.667347908</v>
      </c>
      <c r="BJ29" s="3">
        <f t="shared" si="54"/>
        <v>3791070.332652092</v>
      </c>
      <c r="BK29" s="3">
        <v>37467828.565739572</v>
      </c>
      <c r="BL29" s="3">
        <f t="shared" si="55"/>
        <v>7369623.434260428</v>
      </c>
      <c r="BM29" s="3">
        <v>41210247.920746237</v>
      </c>
      <c r="BN29" s="3">
        <f t="shared" si="56"/>
        <v>16112877.079253763</v>
      </c>
      <c r="BO29" s="3">
        <v>62466040.305039585</v>
      </c>
      <c r="BP29" s="3">
        <f t="shared" si="57"/>
        <v>-1292837.3050395846</v>
      </c>
      <c r="BQ29" s="4">
        <v>89546107.879241735</v>
      </c>
      <c r="BR29" s="18">
        <f t="shared" si="58"/>
        <v>-12370390.879241735</v>
      </c>
      <c r="BS29" s="4">
        <v>89546107.879241735</v>
      </c>
      <c r="BT29" s="18">
        <f t="shared" si="59"/>
        <v>-38884725.516736776</v>
      </c>
      <c r="BV29" s="112">
        <f>N29+'D4 Gallon Forecast'!N41+'D5 Gallon Forecast'!N44+'D6 Gallon Forecast'!N37+'D7 Gallon Forecast'!N25</f>
        <v>1632834355</v>
      </c>
      <c r="BW29" s="112">
        <f>O29+'D4 Gallon Forecast'!O41+'D5 Gallon Forecast'!O44+'D6 Gallon Forecast'!O37+'D7 Gallon Forecast'!O25</f>
        <v>1815291119</v>
      </c>
      <c r="BX29" s="112">
        <f>BO29+'D4 Gallon Forecast'!BM41+'D5 Gallon Forecast'!AX44+'D6 Gallon Forecast'!BK37+'D7 Gallon Forecast'!AQ25</f>
        <v>1382632345.4514122</v>
      </c>
      <c r="BY29" s="112">
        <f>BP29+'D4 Gallon Forecast'!BN41+'D5 Gallon Forecast'!AY44+'D6 Gallon Forecast'!BL37+'D7 Gallon Forecast'!AR25</f>
        <v>57498868.552869111</v>
      </c>
    </row>
    <row r="30" spans="1:79" ht="15.75" hidden="1" thickBot="1">
      <c r="A30" s="2" t="s">
        <v>48</v>
      </c>
      <c r="B30" s="3">
        <f t="shared" si="53"/>
        <v>0</v>
      </c>
      <c r="C30" s="3">
        <f t="shared" si="53"/>
        <v>0</v>
      </c>
      <c r="D30" s="3">
        <f t="shared" si="53"/>
        <v>0</v>
      </c>
      <c r="E30" s="3">
        <f t="shared" si="53"/>
        <v>0</v>
      </c>
      <c r="F30" s="3">
        <f t="shared" si="53"/>
        <v>0</v>
      </c>
      <c r="G30" s="3">
        <f t="shared" si="53"/>
        <v>12506549</v>
      </c>
      <c r="H30" s="3">
        <f t="shared" si="53"/>
        <v>14164575</v>
      </c>
      <c r="I30" s="3">
        <f t="shared" si="53"/>
        <v>22247552</v>
      </c>
      <c r="J30" s="3">
        <f t="shared" si="53"/>
        <v>25270576</v>
      </c>
      <c r="K30" s="3">
        <f t="shared" si="53"/>
        <v>36975016</v>
      </c>
      <c r="L30" s="3">
        <f t="shared" si="53"/>
        <v>42176054</v>
      </c>
      <c r="M30" s="3">
        <f t="shared" si="53"/>
        <v>49569817</v>
      </c>
      <c r="N30" s="3">
        <f t="shared" si="53"/>
        <v>54328565</v>
      </c>
      <c r="O30" s="3">
        <f t="shared" si="53"/>
        <v>70785593</v>
      </c>
      <c r="P30" s="3">
        <f t="shared" si="53"/>
        <v>82291001</v>
      </c>
      <c r="Q30" s="4">
        <f t="shared" si="53"/>
        <v>50541989.762106098</v>
      </c>
      <c r="R30" s="4">
        <f t="shared" si="53"/>
        <v>64636995.89283365</v>
      </c>
      <c r="S30" s="4">
        <f t="shared" si="53"/>
        <v>65040663.526414454</v>
      </c>
      <c r="T30" s="4">
        <f t="shared" si="53"/>
        <v>70652509.640023097</v>
      </c>
      <c r="U30" s="4">
        <f t="shared" si="53"/>
        <v>77772626.03813085</v>
      </c>
      <c r="V30" s="4">
        <f t="shared" si="53"/>
        <v>89646817.368315548</v>
      </c>
      <c r="W30" s="4">
        <f t="shared" si="53"/>
        <v>97485385.585114896</v>
      </c>
      <c r="X30" s="4">
        <f t="shared" si="53"/>
        <v>109421020.5538885</v>
      </c>
      <c r="Y30" s="4">
        <f t="shared" si="53"/>
        <v>128272858.33275534</v>
      </c>
      <c r="Z30" s="4">
        <f t="shared" si="53"/>
        <v>146492748.95283306</v>
      </c>
      <c r="AA30" s="4">
        <f t="shared" si="53"/>
        <v>168563072.61348668</v>
      </c>
      <c r="AB30" s="4">
        <f t="shared" si="53"/>
        <v>195841124.37483251</v>
      </c>
      <c r="AC30" s="4">
        <f t="shared" si="53"/>
        <v>226262855.9754602</v>
      </c>
      <c r="AD30" s="4">
        <f t="shared" si="53"/>
        <v>259553573.88704306</v>
      </c>
      <c r="AE30" s="4">
        <f t="shared" si="53"/>
        <v>297582369.39861339</v>
      </c>
      <c r="AF30" s="4">
        <f t="shared" si="53"/>
        <v>340084479.9682858</v>
      </c>
      <c r="AG30" s="4">
        <f t="shared" si="53"/>
        <v>386422479.09207809</v>
      </c>
      <c r="AH30" s="4">
        <f t="shared" si="53"/>
        <v>548228248.81132221</v>
      </c>
      <c r="AI30" s="4">
        <f t="shared" si="53"/>
        <v>727555074.93842912</v>
      </c>
      <c r="AJ30" s="4">
        <f t="shared" si="53"/>
        <v>916508867.06767404</v>
      </c>
      <c r="AK30" s="4">
        <f t="shared" si="53"/>
        <v>1113555635.6654468</v>
      </c>
      <c r="AL30" s="4">
        <f t="shared" si="53"/>
        <v>1318923404.1842422</v>
      </c>
      <c r="AM30" s="4">
        <f t="shared" si="53"/>
        <v>1535944656.8978226</v>
      </c>
      <c r="AN30" s="4">
        <f t="shared" si="53"/>
        <v>1761491980.1749003</v>
      </c>
      <c r="AO30" s="4">
        <f t="shared" si="53"/>
        <v>1997700933.7612832</v>
      </c>
      <c r="AP30" s="4">
        <f t="shared" si="53"/>
        <v>2245069633.350419</v>
      </c>
      <c r="AQ30" s="4">
        <f t="shared" si="53"/>
        <v>2503596535.8049908</v>
      </c>
      <c r="AR30" s="4"/>
      <c r="AS30" s="4"/>
      <c r="AT30" s="4"/>
      <c r="AU30" s="4"/>
      <c r="AV30" s="4"/>
      <c r="AW30" s="4"/>
      <c r="AX30" s="4"/>
      <c r="AY30" s="4"/>
      <c r="AZ30" s="4"/>
      <c r="BA30" s="4"/>
      <c r="BB30" s="4"/>
      <c r="BC30" s="4"/>
      <c r="BD30" s="4"/>
      <c r="BI30" s="3">
        <v>39316720.209177084</v>
      </c>
      <c r="BJ30" s="3">
        <f t="shared" si="54"/>
        <v>2859333.7908229157</v>
      </c>
      <c r="BK30" s="3">
        <v>42556060.424096011</v>
      </c>
      <c r="BL30" s="3">
        <f t="shared" si="55"/>
        <v>7013756.5759039894</v>
      </c>
      <c r="BM30" s="3">
        <v>51515506.446258686</v>
      </c>
      <c r="BN30" s="3">
        <f t="shared" si="56"/>
        <v>2813058.5537413135</v>
      </c>
      <c r="BO30" s="3">
        <v>73483389.608616441</v>
      </c>
      <c r="BP30" s="3">
        <f t="shared" si="57"/>
        <v>-2697796.6086164415</v>
      </c>
      <c r="BQ30" s="4">
        <v>93855612.438782156</v>
      </c>
      <c r="BR30" s="18">
        <f t="shared" si="58"/>
        <v>-11564611.438782156</v>
      </c>
      <c r="BS30" s="4">
        <v>93855612.438782156</v>
      </c>
      <c r="BT30" s="18">
        <f t="shared" si="59"/>
        <v>-43313622.676676057</v>
      </c>
      <c r="BV30" s="112">
        <f>N30+'D4 Gallon Forecast'!N42+'D5 Gallon Forecast'!N45+'D6 Gallon Forecast'!N38+'D7 Gallon Forecast'!N26</f>
        <v>1664467249</v>
      </c>
      <c r="BW30" s="112">
        <f>O30+'D4 Gallon Forecast'!O42+'D5 Gallon Forecast'!O45+'D6 Gallon Forecast'!O38+'D7 Gallon Forecast'!O26</f>
        <v>1794412714</v>
      </c>
      <c r="BX30" s="112">
        <f>BO30+'D4 Gallon Forecast'!BM42+'D5 Gallon Forecast'!AX45+'D6 Gallon Forecast'!BK38+'D7 Gallon Forecast'!AQ26</f>
        <v>1477948707.8627384</v>
      </c>
      <c r="BY30" s="112">
        <f>BP30+'D4 Gallon Forecast'!BN42+'D5 Gallon Forecast'!AY45+'D6 Gallon Forecast'!BL38+'D7 Gallon Forecast'!AR26</f>
        <v>-15980618.729606371</v>
      </c>
    </row>
    <row r="31" spans="1:79" ht="15.75" hidden="1" thickBot="1">
      <c r="A31" s="2" t="s">
        <v>49</v>
      </c>
      <c r="B31" s="3">
        <f t="shared" si="53"/>
        <v>0</v>
      </c>
      <c r="C31" s="3">
        <f t="shared" si="53"/>
        <v>0</v>
      </c>
      <c r="D31" s="3">
        <f t="shared" si="53"/>
        <v>0</v>
      </c>
      <c r="E31" s="3">
        <f t="shared" ref="B31:AQ36" si="60">E47+E95+E143</f>
        <v>0</v>
      </c>
      <c r="F31" s="3">
        <f t="shared" si="60"/>
        <v>4156</v>
      </c>
      <c r="G31" s="3">
        <f t="shared" si="60"/>
        <v>13021876</v>
      </c>
      <c r="H31" s="3">
        <f t="shared" si="60"/>
        <v>15373679</v>
      </c>
      <c r="I31" s="3">
        <f t="shared" si="60"/>
        <v>20427116</v>
      </c>
      <c r="J31" s="3">
        <f t="shared" si="60"/>
        <v>26350958</v>
      </c>
      <c r="K31" s="3">
        <f t="shared" si="60"/>
        <v>38919477</v>
      </c>
      <c r="L31" s="3">
        <f t="shared" si="60"/>
        <v>40951279</v>
      </c>
      <c r="M31" s="3">
        <f t="shared" si="60"/>
        <v>45903998</v>
      </c>
      <c r="N31" s="3">
        <f t="shared" si="60"/>
        <v>55158670</v>
      </c>
      <c r="O31" s="3">
        <f t="shared" si="60"/>
        <v>64275198</v>
      </c>
      <c r="P31" s="3">
        <f t="shared" si="60"/>
        <v>85072801</v>
      </c>
      <c r="Q31" s="4">
        <f t="shared" si="60"/>
        <v>59620507.535234898</v>
      </c>
      <c r="R31" s="4">
        <f t="shared" si="60"/>
        <v>73837881.917013794</v>
      </c>
      <c r="S31" s="4">
        <f t="shared" si="60"/>
        <v>75722480.292140082</v>
      </c>
      <c r="T31" s="4">
        <f t="shared" si="60"/>
        <v>81346871.839982003</v>
      </c>
      <c r="U31" s="4">
        <f t="shared" si="60"/>
        <v>88907797.16131714</v>
      </c>
      <c r="V31" s="4">
        <f t="shared" si="60"/>
        <v>100289105.9907587</v>
      </c>
      <c r="W31" s="4">
        <f t="shared" si="60"/>
        <v>108190804.07501493</v>
      </c>
      <c r="X31" s="4">
        <f t="shared" si="60"/>
        <v>121084031.61793254</v>
      </c>
      <c r="Y31" s="4">
        <f t="shared" si="60"/>
        <v>141519757.61850271</v>
      </c>
      <c r="Z31" s="4">
        <f t="shared" si="60"/>
        <v>162180460.94248727</v>
      </c>
      <c r="AA31" s="4">
        <f t="shared" si="60"/>
        <v>185697249.29604903</v>
      </c>
      <c r="AB31" s="4">
        <f t="shared" si="60"/>
        <v>215266299.72012752</v>
      </c>
      <c r="AC31" s="4">
        <f t="shared" si="60"/>
        <v>248111362.75824398</v>
      </c>
      <c r="AD31" s="4">
        <f t="shared" si="60"/>
        <v>284078490.63802266</v>
      </c>
      <c r="AE31" s="4">
        <f t="shared" si="60"/>
        <v>325257738.54922628</v>
      </c>
      <c r="AF31" s="4">
        <f t="shared" si="60"/>
        <v>370794760.190413</v>
      </c>
      <c r="AG31" s="4">
        <f t="shared" si="60"/>
        <v>420478085.02929139</v>
      </c>
      <c r="AH31" s="4">
        <f t="shared" si="60"/>
        <v>595334435.38894761</v>
      </c>
      <c r="AI31" s="4">
        <f t="shared" si="60"/>
        <v>788518993.38218522</v>
      </c>
      <c r="AJ31" s="4">
        <f t="shared" si="60"/>
        <v>991138544.53841853</v>
      </c>
      <c r="AK31" s="4">
        <f t="shared" si="60"/>
        <v>1201793201.0982754</v>
      </c>
      <c r="AL31" s="4">
        <f t="shared" si="60"/>
        <v>1420628277.4716957</v>
      </c>
      <c r="AM31" s="4">
        <f t="shared" si="60"/>
        <v>1651340702.6418295</v>
      </c>
      <c r="AN31" s="4">
        <f t="shared" si="60"/>
        <v>1890464946.3905671</v>
      </c>
      <c r="AO31" s="4">
        <f t="shared" si="60"/>
        <v>2140245091.6139069</v>
      </c>
      <c r="AP31" s="4">
        <f t="shared" si="60"/>
        <v>2401159533.0261002</v>
      </c>
      <c r="AQ31" s="4">
        <f t="shared" si="60"/>
        <v>2673042597.5435758</v>
      </c>
      <c r="AR31" s="4"/>
      <c r="AS31" s="4"/>
      <c r="AT31" s="4"/>
      <c r="AU31" s="4"/>
      <c r="AV31" s="4"/>
      <c r="AW31" s="4"/>
      <c r="AX31" s="4"/>
      <c r="AY31" s="4"/>
      <c r="AZ31" s="4"/>
      <c r="BA31" s="4"/>
      <c r="BB31" s="4"/>
      <c r="BC31" s="4"/>
      <c r="BD31" s="4"/>
      <c r="BG31" s="3">
        <v>34397257.347394623</v>
      </c>
      <c r="BH31" s="3">
        <f t="shared" ref="BH31:BH37" si="61">K31-BG31</f>
        <v>4522219.6526053771</v>
      </c>
      <c r="BI31" s="3">
        <v>39577576.963282183</v>
      </c>
      <c r="BJ31" s="3">
        <f t="shared" si="54"/>
        <v>1373702.0367178172</v>
      </c>
      <c r="BK31" s="3">
        <v>42205693.76156354</v>
      </c>
      <c r="BL31" s="3">
        <f t="shared" si="55"/>
        <v>3698304.2384364605</v>
      </c>
      <c r="BM31" s="3">
        <v>50832759.609978184</v>
      </c>
      <c r="BN31" s="3">
        <f t="shared" si="56"/>
        <v>4325910.3900218159</v>
      </c>
      <c r="BO31" s="3">
        <v>72332372.107732475</v>
      </c>
      <c r="BP31" s="3">
        <f t="shared" si="57"/>
        <v>-8057174.1077324748</v>
      </c>
      <c r="BQ31" s="4">
        <v>97762141.213561252</v>
      </c>
      <c r="BR31" s="18">
        <f t="shared" si="58"/>
        <v>-12689340.213561252</v>
      </c>
      <c r="BS31" s="4">
        <v>97762141.213561252</v>
      </c>
      <c r="BT31" s="18">
        <f t="shared" si="59"/>
        <v>-38141633.678326353</v>
      </c>
      <c r="BV31" s="112">
        <f>N31+'D4 Gallon Forecast'!N43+'D5 Gallon Forecast'!N46+'D6 Gallon Forecast'!N39+'D7 Gallon Forecast'!N27</f>
        <v>1544900996</v>
      </c>
      <c r="BW31" s="112">
        <f>O31+'D4 Gallon Forecast'!O43+'D5 Gallon Forecast'!O46+'D6 Gallon Forecast'!O39+'D7 Gallon Forecast'!O27</f>
        <v>1747205983</v>
      </c>
      <c r="BX31" s="112">
        <f>BO31+'D4 Gallon Forecast'!BM43+'D5 Gallon Forecast'!AX46+'D6 Gallon Forecast'!BK39+'D7 Gallon Forecast'!AQ27</f>
        <v>1387113273.9339144</v>
      </c>
      <c r="BY31" s="112">
        <f>BP31+'D4 Gallon Forecast'!BN43+'D5 Gallon Forecast'!AY46+'D6 Gallon Forecast'!BL39+'D7 Gallon Forecast'!AR27</f>
        <v>41597204.548602268</v>
      </c>
    </row>
    <row r="32" spans="1:79" ht="15.75" hidden="1" thickBot="1">
      <c r="A32" s="2" t="s">
        <v>50</v>
      </c>
      <c r="B32" s="3">
        <f t="shared" si="60"/>
        <v>0</v>
      </c>
      <c r="C32" s="3">
        <f t="shared" si="60"/>
        <v>0</v>
      </c>
      <c r="D32" s="3">
        <f t="shared" si="60"/>
        <v>0</v>
      </c>
      <c r="E32" s="3">
        <f t="shared" si="60"/>
        <v>0</v>
      </c>
      <c r="F32" s="3">
        <f t="shared" si="60"/>
        <v>3492106</v>
      </c>
      <c r="G32" s="3">
        <f t="shared" si="60"/>
        <v>13813205</v>
      </c>
      <c r="H32" s="3">
        <f t="shared" si="60"/>
        <v>15706209</v>
      </c>
      <c r="I32" s="3">
        <f t="shared" si="60"/>
        <v>20182150</v>
      </c>
      <c r="J32" s="3">
        <f t="shared" si="60"/>
        <v>31292212</v>
      </c>
      <c r="K32" s="3">
        <f t="shared" si="60"/>
        <v>37455079</v>
      </c>
      <c r="L32" s="3">
        <f t="shared" si="60"/>
        <v>42595314</v>
      </c>
      <c r="M32" s="3">
        <f t="shared" si="60"/>
        <v>47640804</v>
      </c>
      <c r="N32" s="3">
        <f t="shared" si="60"/>
        <v>61558864</v>
      </c>
      <c r="O32" s="3">
        <f t="shared" si="60"/>
        <v>67077480</v>
      </c>
      <c r="P32" s="3">
        <f t="shared" si="60"/>
        <v>89335160</v>
      </c>
      <c r="Q32" s="4">
        <f t="shared" si="60"/>
        <v>58995627.494624957</v>
      </c>
      <c r="R32" s="4">
        <f t="shared" si="60"/>
        <v>75087422.086647972</v>
      </c>
      <c r="S32" s="4">
        <f t="shared" si="60"/>
        <v>76898350.043254942</v>
      </c>
      <c r="T32" s="4">
        <f t="shared" si="60"/>
        <v>82730792.346963733</v>
      </c>
      <c r="U32" s="4">
        <f t="shared" si="60"/>
        <v>92079166.703745544</v>
      </c>
      <c r="V32" s="4">
        <f t="shared" si="60"/>
        <v>105691714.89466779</v>
      </c>
      <c r="W32" s="4">
        <f t="shared" si="60"/>
        <v>115160752.28979151</v>
      </c>
      <c r="X32" s="4">
        <f t="shared" si="60"/>
        <v>129977664.12859599</v>
      </c>
      <c r="Y32" s="4">
        <f t="shared" si="60"/>
        <v>153182479.85946947</v>
      </c>
      <c r="Z32" s="4">
        <f t="shared" si="60"/>
        <v>176736701.47969404</v>
      </c>
      <c r="AA32" s="4">
        <f t="shared" si="60"/>
        <v>204373635.78438151</v>
      </c>
      <c r="AB32" s="4">
        <f t="shared" si="60"/>
        <v>238982362.04271317</v>
      </c>
      <c r="AC32" s="4">
        <f t="shared" si="60"/>
        <v>277907003.43888986</v>
      </c>
      <c r="AD32" s="4">
        <f t="shared" si="60"/>
        <v>320962869.40898079</v>
      </c>
      <c r="AE32" s="4">
        <f t="shared" si="60"/>
        <v>370636014.8415246</v>
      </c>
      <c r="AF32" s="4">
        <f t="shared" si="60"/>
        <v>426352405.25313979</v>
      </c>
      <c r="AG32" s="4">
        <f t="shared" si="60"/>
        <v>487748856.85649908</v>
      </c>
      <c r="AH32" s="4">
        <f t="shared" si="60"/>
        <v>696715980.09504306</v>
      </c>
      <c r="AI32" s="4">
        <f t="shared" si="60"/>
        <v>931752066.69076812</v>
      </c>
      <c r="AJ32" s="4">
        <f t="shared" si="60"/>
        <v>1183050160.0423853</v>
      </c>
      <c r="AK32" s="4">
        <f t="shared" si="60"/>
        <v>1448739572.3181973</v>
      </c>
      <c r="AL32" s="4">
        <f t="shared" si="60"/>
        <v>1728921546.2942722</v>
      </c>
      <c r="AM32" s="4">
        <f t="shared" si="60"/>
        <v>2027868632.6081536</v>
      </c>
      <c r="AN32" s="4">
        <f t="shared" si="60"/>
        <v>2342613120.5903339</v>
      </c>
      <c r="AO32" s="4">
        <f t="shared" si="60"/>
        <v>2676212694.4005885</v>
      </c>
      <c r="AP32" s="4">
        <f t="shared" si="60"/>
        <v>3029554231.1373639</v>
      </c>
      <c r="AQ32" s="4">
        <f t="shared" si="60"/>
        <v>3402876432.7198339</v>
      </c>
      <c r="AR32" s="4"/>
      <c r="AS32" s="4"/>
      <c r="AT32" s="4"/>
      <c r="AU32" s="4"/>
      <c r="AV32" s="4"/>
      <c r="AW32" s="4"/>
      <c r="AX32" s="4"/>
      <c r="AY32" s="4"/>
      <c r="AZ32" s="4"/>
      <c r="BA32" s="4"/>
      <c r="BB32" s="4"/>
      <c r="BC32" s="4"/>
      <c r="BD32" s="4"/>
      <c r="BG32" s="3">
        <v>38604786.407233179</v>
      </c>
      <c r="BH32" s="3">
        <f t="shared" si="61"/>
        <v>-1149707.4072331786</v>
      </c>
      <c r="BI32" s="3">
        <v>41691143.900397137</v>
      </c>
      <c r="BJ32" s="3">
        <f t="shared" si="54"/>
        <v>904170.09960286319</v>
      </c>
      <c r="BK32" s="3">
        <v>45278556.134742118</v>
      </c>
      <c r="BL32" s="3">
        <f t="shared" si="55"/>
        <v>2362247.8652578816</v>
      </c>
      <c r="BM32" s="3">
        <v>54362580.405076236</v>
      </c>
      <c r="BN32" s="3">
        <f t="shared" si="56"/>
        <v>7196283.5949237645</v>
      </c>
      <c r="BO32" s="3">
        <v>71046515.889798671</v>
      </c>
      <c r="BP32" s="3">
        <f t="shared" si="57"/>
        <v>-3969035.889798671</v>
      </c>
      <c r="BQ32" s="4">
        <v>101520938.00609028</v>
      </c>
      <c r="BR32" s="18">
        <f t="shared" si="58"/>
        <v>-12185778.006090283</v>
      </c>
      <c r="BS32" s="4">
        <v>101520938.00609028</v>
      </c>
      <c r="BT32" s="18">
        <f t="shared" si="59"/>
        <v>-42525310.511465326</v>
      </c>
      <c r="BV32" s="112">
        <f>N32+'D4 Gallon Forecast'!N44+'D5 Gallon Forecast'!N47+'D6 Gallon Forecast'!N40+'D7 Gallon Forecast'!N28</f>
        <v>1655376160</v>
      </c>
      <c r="BW32" s="112">
        <f>O32+'D4 Gallon Forecast'!O44+'D5 Gallon Forecast'!O47+'D6 Gallon Forecast'!O40+'D7 Gallon Forecast'!O28</f>
        <v>1795149089</v>
      </c>
      <c r="BX32" s="112">
        <f>BO32+'D4 Gallon Forecast'!BM44+'D5 Gallon Forecast'!AX47+'D6 Gallon Forecast'!BK40+'D7 Gallon Forecast'!AQ28</f>
        <v>1450899277.4109964</v>
      </c>
      <c r="BY32" s="112">
        <f>BP32+'D4 Gallon Forecast'!BN44+'D5 Gallon Forecast'!AY47+'D6 Gallon Forecast'!BL40+'D7 Gallon Forecast'!AR28</f>
        <v>-13099200.496082943</v>
      </c>
      <c r="BZ32" s="112">
        <v>20513375290.74762</v>
      </c>
      <c r="CA32" s="112">
        <v>115005208.48842549</v>
      </c>
    </row>
    <row r="33" spans="1:79" ht="15.75" hidden="1" thickBot="1">
      <c r="A33" s="2" t="s">
        <v>51</v>
      </c>
      <c r="B33" s="3">
        <f t="shared" si="60"/>
        <v>0</v>
      </c>
      <c r="C33" s="3">
        <f t="shared" si="60"/>
        <v>0</v>
      </c>
      <c r="D33" s="3">
        <f t="shared" si="60"/>
        <v>0</v>
      </c>
      <c r="E33" s="3">
        <f t="shared" si="60"/>
        <v>0</v>
      </c>
      <c r="F33" s="3">
        <f t="shared" si="60"/>
        <v>7555432</v>
      </c>
      <c r="G33" s="3">
        <f t="shared" si="60"/>
        <v>12338626</v>
      </c>
      <c r="H33" s="3">
        <f t="shared" si="60"/>
        <v>17414751</v>
      </c>
      <c r="I33" s="3">
        <f t="shared" si="60"/>
        <v>21457654</v>
      </c>
      <c r="J33" s="3">
        <f t="shared" si="60"/>
        <v>28848195</v>
      </c>
      <c r="K33" s="3">
        <f t="shared" si="60"/>
        <v>35136374</v>
      </c>
      <c r="L33" s="3">
        <f t="shared" si="60"/>
        <v>45858154</v>
      </c>
      <c r="M33" s="3">
        <f t="shared" si="60"/>
        <v>49928977</v>
      </c>
      <c r="N33" s="3">
        <f t="shared" si="60"/>
        <v>58688244</v>
      </c>
      <c r="O33" s="3">
        <f t="shared" si="60"/>
        <v>64076793</v>
      </c>
      <c r="P33" s="3">
        <f t="shared" si="60"/>
        <v>95032425</v>
      </c>
      <c r="Q33" s="4">
        <f t="shared" si="60"/>
        <v>63018871.382201396</v>
      </c>
      <c r="R33" s="4">
        <f t="shared" si="60"/>
        <v>79218496.314967737</v>
      </c>
      <c r="S33" s="4">
        <f t="shared" si="60"/>
        <v>81062931.615298763</v>
      </c>
      <c r="T33" s="4">
        <f t="shared" si="60"/>
        <v>87713548.311436683</v>
      </c>
      <c r="U33" s="4">
        <f t="shared" si="60"/>
        <v>97935585.677126527</v>
      </c>
      <c r="V33" s="4">
        <f t="shared" si="60"/>
        <v>111040449.64259934</v>
      </c>
      <c r="W33" s="4">
        <f t="shared" si="60"/>
        <v>120607272.82448298</v>
      </c>
      <c r="X33" s="4">
        <f t="shared" si="60"/>
        <v>136022606.05227751</v>
      </c>
      <c r="Y33" s="4">
        <f t="shared" si="60"/>
        <v>160323365.25987089</v>
      </c>
      <c r="Z33" s="4">
        <f t="shared" si="60"/>
        <v>185092908.33543923</v>
      </c>
      <c r="AA33" s="4">
        <f t="shared" si="60"/>
        <v>213538668.49353027</v>
      </c>
      <c r="AB33" s="4">
        <f t="shared" si="60"/>
        <v>249481819.49266052</v>
      </c>
      <c r="AC33" s="4">
        <f t="shared" si="60"/>
        <v>289879523.70009696</v>
      </c>
      <c r="AD33" s="4">
        <f t="shared" si="60"/>
        <v>334552980.40125453</v>
      </c>
      <c r="AE33" s="4">
        <f t="shared" si="60"/>
        <v>386056462.35273665</v>
      </c>
      <c r="AF33" s="4">
        <f t="shared" si="60"/>
        <v>443648947.72592813</v>
      </c>
      <c r="AG33" s="4">
        <f t="shared" si="60"/>
        <v>507138770.49095267</v>
      </c>
      <c r="AH33" s="4">
        <f t="shared" si="60"/>
        <v>723844091.51234269</v>
      </c>
      <c r="AI33" s="4">
        <f t="shared" si="60"/>
        <v>967254709.77418244</v>
      </c>
      <c r="AJ33" s="4">
        <f t="shared" si="60"/>
        <v>1227062143.760685</v>
      </c>
      <c r="AK33" s="4">
        <f t="shared" si="60"/>
        <v>1501421899.892586</v>
      </c>
      <c r="AL33" s="4">
        <f t="shared" si="60"/>
        <v>1790419244.1426768</v>
      </c>
      <c r="AM33" s="4">
        <f t="shared" si="60"/>
        <v>2098506223.39482</v>
      </c>
      <c r="AN33" s="4">
        <f t="shared" si="60"/>
        <v>2422539718.2720246</v>
      </c>
      <c r="AO33" s="4">
        <f t="shared" si="60"/>
        <v>2765659824.3172483</v>
      </c>
      <c r="AP33" s="4">
        <f t="shared" si="60"/>
        <v>3128761778.1118584</v>
      </c>
      <c r="AQ33" s="4">
        <f t="shared" si="60"/>
        <v>3512030723.3579974</v>
      </c>
      <c r="AR33" s="4"/>
      <c r="AS33" s="4"/>
      <c r="AT33" s="4"/>
      <c r="AU33" s="4"/>
      <c r="AV33" s="4"/>
      <c r="AW33" s="4"/>
      <c r="AX33" s="4"/>
      <c r="AY33" s="4"/>
      <c r="AZ33" s="4"/>
      <c r="BA33" s="4"/>
      <c r="BB33" s="4"/>
      <c r="BC33" s="4"/>
      <c r="BD33" s="4"/>
      <c r="BG33" s="3">
        <v>39186030.426129937</v>
      </c>
      <c r="BH33" s="3">
        <f t="shared" si="61"/>
        <v>-4049656.4261299372</v>
      </c>
      <c r="BI33" s="3">
        <v>41585010.572934821</v>
      </c>
      <c r="BJ33" s="3">
        <f t="shared" si="54"/>
        <v>4273143.4270651788</v>
      </c>
      <c r="BK33" s="3">
        <v>46483749.610658638</v>
      </c>
      <c r="BL33" s="3">
        <f t="shared" si="55"/>
        <v>3445227.3893413618</v>
      </c>
      <c r="BM33" s="3">
        <v>55667525.113064237</v>
      </c>
      <c r="BN33" s="3">
        <f t="shared" si="56"/>
        <v>3020718.8869357631</v>
      </c>
      <c r="BO33" s="3">
        <v>66098245.990348585</v>
      </c>
      <c r="BP33" s="3">
        <f t="shared" si="57"/>
        <v>-2021452.9903485849</v>
      </c>
      <c r="BQ33" s="4">
        <v>105143615.31315057</v>
      </c>
      <c r="BR33" s="18">
        <f t="shared" si="58"/>
        <v>-10111190.31315057</v>
      </c>
      <c r="BS33" s="4">
        <v>105143615.31315057</v>
      </c>
      <c r="BT33" s="18">
        <f t="shared" si="59"/>
        <v>-42124743.930949174</v>
      </c>
      <c r="BV33" s="112">
        <f>N33+'D4 Gallon Forecast'!N45+'D5 Gallon Forecast'!N48+'D6 Gallon Forecast'!N41+'D7 Gallon Forecast'!N29</f>
        <v>1524504634</v>
      </c>
      <c r="BW33" s="112">
        <f>O33+'D4 Gallon Forecast'!O45+'D5 Gallon Forecast'!O48+'D6 Gallon Forecast'!O41+'D7 Gallon Forecast'!O29</f>
        <v>1696774438</v>
      </c>
      <c r="BX33" s="112">
        <f>BO33+'D4 Gallon Forecast'!BM45+'D5 Gallon Forecast'!AX48+'D6 Gallon Forecast'!BK41+'D7 Gallon Forecast'!AQ29</f>
        <v>1299592341.7675707</v>
      </c>
      <c r="BY33" s="112">
        <f>BP33+'D4 Gallon Forecast'!BN45+'D5 Gallon Forecast'!AY48+'D6 Gallon Forecast'!BL41+'D7 Gallon Forecast'!AR29</f>
        <v>58315333.615150765</v>
      </c>
      <c r="BZ33" s="112">
        <v>20511625290.74762</v>
      </c>
      <c r="CA33" s="112">
        <f>$BP$37+'D4 Gallon Forecast'!$BN$49+'D5 Gallon Forecast'!$AY$52+'D6 Gallon Forecast'!$BL$45+'D7 Gallon Forecast'!$AR$33</f>
        <v>65979279.211873055</v>
      </c>
    </row>
    <row r="34" spans="1:79" ht="15.75" hidden="1" thickBot="1">
      <c r="A34" s="2" t="s">
        <v>52</v>
      </c>
      <c r="B34" s="3">
        <f t="shared" si="60"/>
        <v>0</v>
      </c>
      <c r="C34" s="3">
        <f t="shared" si="60"/>
        <v>0</v>
      </c>
      <c r="D34" s="3">
        <f t="shared" si="60"/>
        <v>0</v>
      </c>
      <c r="E34" s="3">
        <f t="shared" si="60"/>
        <v>0</v>
      </c>
      <c r="F34" s="3">
        <f t="shared" si="60"/>
        <v>7047762</v>
      </c>
      <c r="G34" s="3">
        <f t="shared" si="60"/>
        <v>12038000</v>
      </c>
      <c r="H34" s="3">
        <f t="shared" si="60"/>
        <v>17807860</v>
      </c>
      <c r="I34" s="3">
        <f t="shared" si="60"/>
        <v>22085453</v>
      </c>
      <c r="J34" s="3">
        <f t="shared" si="60"/>
        <v>28998515</v>
      </c>
      <c r="K34" s="3">
        <f t="shared" si="60"/>
        <v>33503429</v>
      </c>
      <c r="L34" s="3">
        <f t="shared" si="60"/>
        <v>44645865</v>
      </c>
      <c r="M34" s="3">
        <f t="shared" si="60"/>
        <v>49483460</v>
      </c>
      <c r="N34" s="3">
        <f t="shared" si="60"/>
        <v>59694272</v>
      </c>
      <c r="O34" s="3">
        <f t="shared" si="60"/>
        <v>63558723</v>
      </c>
      <c r="P34" s="3">
        <f t="shared" si="60"/>
        <v>92622929</v>
      </c>
      <c r="Q34" s="4">
        <f t="shared" si="60"/>
        <v>62483809.982142672</v>
      </c>
      <c r="R34" s="4">
        <f t="shared" si="60"/>
        <v>80091697.105403811</v>
      </c>
      <c r="S34" s="4">
        <f t="shared" si="60"/>
        <v>82259924.628423885</v>
      </c>
      <c r="T34" s="4">
        <f t="shared" si="60"/>
        <v>88822827.337498471</v>
      </c>
      <c r="U34" s="4">
        <f t="shared" si="60"/>
        <v>99612534.085445449</v>
      </c>
      <c r="V34" s="4">
        <f t="shared" si="60"/>
        <v>114154730.33924355</v>
      </c>
      <c r="W34" s="4">
        <f t="shared" si="60"/>
        <v>124950201.83111568</v>
      </c>
      <c r="X34" s="4">
        <f t="shared" si="60"/>
        <v>141711081.37239975</v>
      </c>
      <c r="Y34" s="4">
        <f t="shared" si="60"/>
        <v>167977040.04318407</v>
      </c>
      <c r="Z34" s="4">
        <f t="shared" si="60"/>
        <v>195220571.68266124</v>
      </c>
      <c r="AA34" s="4">
        <f t="shared" si="60"/>
        <v>226913550.1757527</v>
      </c>
      <c r="AB34" s="4">
        <f t="shared" si="60"/>
        <v>266976124.72148496</v>
      </c>
      <c r="AC34" s="4">
        <f t="shared" si="60"/>
        <v>312329367.94677454</v>
      </c>
      <c r="AD34" s="4">
        <f t="shared" si="60"/>
        <v>362980066.82599819</v>
      </c>
      <c r="AE34" s="4">
        <f t="shared" si="60"/>
        <v>421877193.00582421</v>
      </c>
      <c r="AF34" s="4">
        <f t="shared" si="60"/>
        <v>488339263.30568445</v>
      </c>
      <c r="AG34" s="4">
        <f t="shared" si="60"/>
        <v>562243965.50053155</v>
      </c>
      <c r="AH34" s="4">
        <f t="shared" si="60"/>
        <v>808303676.31127167</v>
      </c>
      <c r="AI34" s="4">
        <f t="shared" si="60"/>
        <v>1088852556.5073953</v>
      </c>
      <c r="AJ34" s="4">
        <f t="shared" si="60"/>
        <v>1392938844.2620699</v>
      </c>
      <c r="AK34" s="4">
        <f t="shared" si="60"/>
        <v>1718563357.6203759</v>
      </c>
      <c r="AL34" s="4">
        <f t="shared" si="60"/>
        <v>2065814557.5094187</v>
      </c>
      <c r="AM34" s="4">
        <f t="shared" si="60"/>
        <v>2439718776.7607145</v>
      </c>
      <c r="AN34" s="4">
        <f t="shared" si="60"/>
        <v>2838136648.5156941</v>
      </c>
      <c r="AO34" s="4">
        <f t="shared" si="60"/>
        <v>3265150947.7309785</v>
      </c>
      <c r="AP34" s="4">
        <f t="shared" si="60"/>
        <v>3722283066.0496812</v>
      </c>
      <c r="AQ34" s="4">
        <f t="shared" si="60"/>
        <v>4210313071.5294189</v>
      </c>
      <c r="AR34" s="4"/>
      <c r="AS34" s="4"/>
      <c r="AT34" s="4"/>
      <c r="AU34" s="4"/>
      <c r="AV34" s="4"/>
      <c r="AW34" s="4"/>
      <c r="AX34" s="4"/>
      <c r="AY34" s="4"/>
      <c r="AZ34" s="4"/>
      <c r="BA34" s="4"/>
      <c r="BB34" s="4"/>
      <c r="BC34" s="4"/>
      <c r="BD34" s="4"/>
      <c r="BG34" s="3">
        <v>38992236.475935519</v>
      </c>
      <c r="BH34" s="3">
        <f t="shared" si="61"/>
        <v>-5488807.4759355187</v>
      </c>
      <c r="BI34" s="3">
        <v>44969967.221793927</v>
      </c>
      <c r="BJ34" s="3">
        <f t="shared" si="54"/>
        <v>-324102.22179392725</v>
      </c>
      <c r="BK34" s="3">
        <v>49635400.192484349</v>
      </c>
      <c r="BL34" s="3">
        <f t="shared" si="55"/>
        <v>-151940.19248434901</v>
      </c>
      <c r="BM34" s="3">
        <v>57513934.589306176</v>
      </c>
      <c r="BN34" s="3">
        <f t="shared" si="56"/>
        <v>2180337.4106938243</v>
      </c>
      <c r="BO34" s="3">
        <v>65345794.762823172</v>
      </c>
      <c r="BP34" s="3">
        <f t="shared" si="57"/>
        <v>-1787071.7628231719</v>
      </c>
      <c r="BQ34" s="4">
        <v>104092087.54487565</v>
      </c>
      <c r="BR34" s="18">
        <f t="shared" si="58"/>
        <v>-11469158.544875652</v>
      </c>
      <c r="BS34" s="4">
        <v>104092087.54487565</v>
      </c>
      <c r="BT34" s="18">
        <f t="shared" si="59"/>
        <v>-41608277.56273298</v>
      </c>
      <c r="BV34" s="112">
        <f>N34+'D4 Gallon Forecast'!N46+'D5 Gallon Forecast'!N49+'D6 Gallon Forecast'!N42+'D7 Gallon Forecast'!N30</f>
        <v>1620076425</v>
      </c>
      <c r="BW34" s="112">
        <f>O34+'D4 Gallon Forecast'!O46+'D5 Gallon Forecast'!O49+'D6 Gallon Forecast'!O42+'D7 Gallon Forecast'!O30</f>
        <v>1839992531</v>
      </c>
      <c r="BX34" s="112">
        <f>BO34+'D4 Gallon Forecast'!BM46+'D5 Gallon Forecast'!AX49+'D6 Gallon Forecast'!BK42+'D7 Gallon Forecast'!AQ30</f>
        <v>1417779190.2708473</v>
      </c>
      <c r="BY34" s="112">
        <f>BP34+'D4 Gallon Forecast'!BN46+'D5 Gallon Forecast'!AY49+'D6 Gallon Forecast'!BL42+'D7 Gallon Forecast'!AR30</f>
        <v>51190704.879111752</v>
      </c>
      <c r="BZ34" s="112">
        <v>20606905914.102535</v>
      </c>
      <c r="CA34" s="112">
        <f>$BP$37+'D4 Gallon Forecast'!$BN$49+'D5 Gallon Forecast'!$AY$52+'D6 Gallon Forecast'!$BL$45+'D7 Gallon Forecast'!$AR$33</f>
        <v>65979279.211873055</v>
      </c>
    </row>
    <row r="35" spans="1:79" ht="15.75" hidden="1" thickBot="1">
      <c r="A35" s="2" t="s">
        <v>53</v>
      </c>
      <c r="B35" s="3">
        <f t="shared" si="60"/>
        <v>0</v>
      </c>
      <c r="C35" s="3">
        <f t="shared" si="60"/>
        <v>0</v>
      </c>
      <c r="D35" s="3">
        <f t="shared" si="60"/>
        <v>0</v>
      </c>
      <c r="E35" s="3">
        <f t="shared" si="60"/>
        <v>0</v>
      </c>
      <c r="F35" s="3">
        <f t="shared" si="60"/>
        <v>6325080</v>
      </c>
      <c r="G35" s="3">
        <f t="shared" si="60"/>
        <v>12345869</v>
      </c>
      <c r="H35" s="3">
        <f t="shared" si="60"/>
        <v>16603002</v>
      </c>
      <c r="I35" s="3">
        <f t="shared" si="60"/>
        <v>22557464</v>
      </c>
      <c r="J35" s="3">
        <f t="shared" si="60"/>
        <v>27639476</v>
      </c>
      <c r="K35" s="3">
        <f t="shared" si="60"/>
        <v>32969433</v>
      </c>
      <c r="L35" s="3">
        <f t="shared" si="60"/>
        <v>46342110</v>
      </c>
      <c r="M35" s="3">
        <f t="shared" si="60"/>
        <v>52423506</v>
      </c>
      <c r="N35" s="3">
        <f t="shared" si="60"/>
        <v>59243228</v>
      </c>
      <c r="O35" s="3">
        <f t="shared" si="60"/>
        <v>69799232</v>
      </c>
      <c r="P35" s="3">
        <f t="shared" si="60"/>
        <v>96133088</v>
      </c>
      <c r="Q35" s="4">
        <f t="shared" si="60"/>
        <v>65491401.730381735</v>
      </c>
      <c r="R35" s="4">
        <f t="shared" si="60"/>
        <v>81873014.174475208</v>
      </c>
      <c r="S35" s="4">
        <f t="shared" si="60"/>
        <v>83651205.367281288</v>
      </c>
      <c r="T35" s="4">
        <f t="shared" si="60"/>
        <v>89969956.115186155</v>
      </c>
      <c r="U35" s="4">
        <f t="shared" si="60"/>
        <v>98821054.283700198</v>
      </c>
      <c r="V35" s="4">
        <f t="shared" si="60"/>
        <v>111254410.97450528</v>
      </c>
      <c r="W35" s="4">
        <f t="shared" si="60"/>
        <v>120079564.91242005</v>
      </c>
      <c r="X35" s="4">
        <f t="shared" si="60"/>
        <v>134398719.98619822</v>
      </c>
      <c r="Y35" s="4">
        <f t="shared" si="60"/>
        <v>157165066.90852958</v>
      </c>
      <c r="Z35" s="4">
        <f t="shared" si="60"/>
        <v>180152965.23960653</v>
      </c>
      <c r="AA35" s="4">
        <f t="shared" si="60"/>
        <v>206276809.66887265</v>
      </c>
      <c r="AB35" s="4">
        <f t="shared" si="60"/>
        <v>239177788.29739404</v>
      </c>
      <c r="AC35" s="4">
        <f t="shared" si="60"/>
        <v>275726838.4327088</v>
      </c>
      <c r="AD35" s="4">
        <f t="shared" si="60"/>
        <v>315767203.54877663</v>
      </c>
      <c r="AE35" s="4">
        <f t="shared" si="60"/>
        <v>361606634.08758503</v>
      </c>
      <c r="AF35" s="4">
        <f t="shared" si="60"/>
        <v>412307814.22972178</v>
      </c>
      <c r="AG35" s="4">
        <f t="shared" si="60"/>
        <v>467643789.07004225</v>
      </c>
      <c r="AH35" s="4">
        <f t="shared" si="60"/>
        <v>662241063.82218623</v>
      </c>
      <c r="AI35" s="4">
        <f t="shared" si="60"/>
        <v>877320740.8910203</v>
      </c>
      <c r="AJ35" s="4">
        <f t="shared" si="60"/>
        <v>1102993612.7665658</v>
      </c>
      <c r="AK35" s="4">
        <f t="shared" si="60"/>
        <v>1337694811.6274903</v>
      </c>
      <c r="AL35" s="4">
        <f t="shared" si="60"/>
        <v>1581594950.8472323</v>
      </c>
      <c r="AM35" s="4">
        <f t="shared" si="60"/>
        <v>1838790378.0744596</v>
      </c>
      <c r="AN35" s="4">
        <f t="shared" si="60"/>
        <v>2105451744.3609276</v>
      </c>
      <c r="AO35" s="4">
        <f t="shared" si="60"/>
        <v>2384075428.0426364</v>
      </c>
      <c r="AP35" s="4">
        <f t="shared" si="60"/>
        <v>2675201567.4940977</v>
      </c>
      <c r="AQ35" s="4">
        <f t="shared" si="60"/>
        <v>2978655493.9931459</v>
      </c>
      <c r="AR35" s="4"/>
      <c r="AS35" s="4"/>
      <c r="AT35" s="4"/>
      <c r="AU35" s="4"/>
      <c r="AV35" s="4"/>
      <c r="AW35" s="4"/>
      <c r="AX35" s="4"/>
      <c r="AY35" s="4"/>
      <c r="AZ35" s="4"/>
      <c r="BA35" s="4"/>
      <c r="BB35" s="4"/>
      <c r="BC35" s="4"/>
      <c r="BD35" s="4"/>
      <c r="BG35" s="3">
        <v>39185276.86877127</v>
      </c>
      <c r="BH35" s="3">
        <f t="shared" si="61"/>
        <v>-6215843.8687712699</v>
      </c>
      <c r="BI35" s="3">
        <v>45565408.218043201</v>
      </c>
      <c r="BJ35" s="3">
        <f t="shared" si="54"/>
        <v>776701.78195679933</v>
      </c>
      <c r="BK35" s="3">
        <v>50546746.103413783</v>
      </c>
      <c r="BL35" s="3">
        <f t="shared" si="55"/>
        <v>1876759.896586217</v>
      </c>
      <c r="BM35" s="3">
        <v>58435783.67077072</v>
      </c>
      <c r="BN35" s="3">
        <f t="shared" si="56"/>
        <v>807444.32922928035</v>
      </c>
      <c r="BO35" s="3">
        <v>65589331.557405822</v>
      </c>
      <c r="BP35" s="3">
        <f t="shared" si="57"/>
        <v>4209900.442594178</v>
      </c>
      <c r="BQ35" s="4">
        <v>108702389.6008877</v>
      </c>
      <c r="BR35" s="18">
        <f t="shared" si="58"/>
        <v>-12569301.600887701</v>
      </c>
      <c r="BS35" s="4">
        <v>108702389.6008877</v>
      </c>
      <c r="BT35" s="18">
        <f t="shared" si="59"/>
        <v>-43210987.870505966</v>
      </c>
      <c r="BV35" s="112">
        <f>N35+'D4 Gallon Forecast'!N47+'D5 Gallon Forecast'!N50+'D6 Gallon Forecast'!N43+'D7 Gallon Forecast'!N31</f>
        <v>1712754821</v>
      </c>
      <c r="BW35" s="112">
        <f>BW34-BV34</f>
        <v>219916106</v>
      </c>
      <c r="BX35" s="112">
        <f>BW33-BW32</f>
        <v>-98374651</v>
      </c>
      <c r="BY35" s="112">
        <f>BP35+'D4 Gallon Forecast'!BN47+'D5 Gallon Forecast'!AY50+'D6 Gallon Forecast'!BL43+'D7 Gallon Forecast'!AR31</f>
        <v>-46802597.757993117</v>
      </c>
      <c r="BZ35" s="113">
        <f>$O$37+'D4 Gallon Forecast'!$O$49+'D5 Gallon Forecast'!$O$52+'D6 Gallon Forecast'!$O$45+'D7 Gallon Forecast'!$O$33</f>
        <v>20708960210</v>
      </c>
      <c r="CA35" s="112">
        <f>$BP$37+'D4 Gallon Forecast'!$BN$49+'D5 Gallon Forecast'!$AY$52+'D6 Gallon Forecast'!$BL$45+'D7 Gallon Forecast'!$AR$33</f>
        <v>65979279.211873055</v>
      </c>
    </row>
    <row r="36" spans="1:79" ht="15.75" hidden="1" thickBot="1">
      <c r="A36" s="2" t="s">
        <v>54</v>
      </c>
      <c r="B36" s="3">
        <f t="shared" si="60"/>
        <v>0</v>
      </c>
      <c r="C36" s="3">
        <f t="shared" si="60"/>
        <v>0</v>
      </c>
      <c r="D36" s="3">
        <f t="shared" si="60"/>
        <v>0</v>
      </c>
      <c r="E36" s="3">
        <f t="shared" si="60"/>
        <v>0</v>
      </c>
      <c r="F36" s="3">
        <f t="shared" si="60"/>
        <v>8863270</v>
      </c>
      <c r="G36" s="3">
        <f t="shared" si="60"/>
        <v>28941605</v>
      </c>
      <c r="H36" s="3">
        <f t="shared" si="60"/>
        <v>30600276</v>
      </c>
      <c r="I36" s="3">
        <f t="shared" si="60"/>
        <v>49168657</v>
      </c>
      <c r="J36" s="3">
        <f t="shared" si="60"/>
        <v>59466742</v>
      </c>
      <c r="K36" s="3">
        <f t="shared" si="60"/>
        <v>69991641</v>
      </c>
      <c r="L36" s="3">
        <f t="shared" si="60"/>
        <v>92232905</v>
      </c>
      <c r="M36" s="3">
        <f t="shared" si="60"/>
        <v>100840685</v>
      </c>
      <c r="N36" s="3">
        <f t="shared" si="60"/>
        <v>116538277</v>
      </c>
      <c r="O36" s="3">
        <f t="shared" si="60"/>
        <v>131053204</v>
      </c>
      <c r="P36" s="3">
        <f t="shared" si="60"/>
        <v>85654994</v>
      </c>
      <c r="Q36" s="4">
        <f t="shared" si="60"/>
        <v>130313180.70463371</v>
      </c>
      <c r="R36" s="4">
        <f t="shared" si="60"/>
        <v>135842590.68138161</v>
      </c>
      <c r="S36" s="4">
        <f t="shared" si="60"/>
        <v>134444054.39302245</v>
      </c>
      <c r="T36" s="4">
        <f t="shared" si="60"/>
        <v>140981764.53562909</v>
      </c>
      <c r="U36" s="4">
        <f t="shared" si="60"/>
        <v>149319657.13300884</v>
      </c>
      <c r="V36" s="4">
        <f t="shared" si="60"/>
        <v>180947408.23279217</v>
      </c>
      <c r="W36" s="4">
        <f t="shared" si="60"/>
        <v>185958594.81223458</v>
      </c>
      <c r="X36" s="4">
        <f t="shared" si="60"/>
        <v>200737122.04577798</v>
      </c>
      <c r="Y36" s="4">
        <f t="shared" si="60"/>
        <v>225584133.13521266</v>
      </c>
      <c r="Z36" s="4">
        <f t="shared" si="60"/>
        <v>246620998.35285789</v>
      </c>
      <c r="AA36" s="4">
        <f t="shared" si="60"/>
        <v>269585810.16687214</v>
      </c>
      <c r="AB36" s="4">
        <f t="shared" si="60"/>
        <v>292191739.26297796</v>
      </c>
      <c r="AC36" s="4">
        <f t="shared" si="60"/>
        <v>313279201.42161232</v>
      </c>
      <c r="AD36" s="4">
        <f t="shared" si="60"/>
        <v>330502717.93333548</v>
      </c>
      <c r="AE36" s="4">
        <f t="shared" si="60"/>
        <v>344385593.31210434</v>
      </c>
      <c r="AF36" s="4">
        <f t="shared" si="60"/>
        <v>352393939.15612775</v>
      </c>
      <c r="AG36" s="4">
        <f t="shared" si="60"/>
        <v>352093033.63154137</v>
      </c>
      <c r="AH36" s="4">
        <f t="shared" si="60"/>
        <v>429701690.71285653</v>
      </c>
      <c r="AI36" s="4">
        <f t="shared" si="60"/>
        <v>465752580.38066244</v>
      </c>
      <c r="AJ36" s="4">
        <f t="shared" si="60"/>
        <v>448139033.17605138</v>
      </c>
      <c r="AK36" s="4">
        <f t="shared" si="60"/>
        <v>376281558.43166065</v>
      </c>
      <c r="AL36" s="4">
        <f t="shared" si="60"/>
        <v>252243390.18719363</v>
      </c>
      <c r="AM36" s="4">
        <f t="shared" si="60"/>
        <v>79351258.077853739</v>
      </c>
      <c r="AN36" s="4">
        <f t="shared" si="60"/>
        <v>-158508750.48782599</v>
      </c>
      <c r="AO36" s="4">
        <f t="shared" si="60"/>
        <v>-464146786.64819127</v>
      </c>
      <c r="AP36" s="4">
        <f t="shared" si="60"/>
        <v>-840339499.54480207</v>
      </c>
      <c r="AQ36" s="4">
        <f t="shared" si="60"/>
        <v>-1290652192.6925483</v>
      </c>
      <c r="AR36" s="4"/>
      <c r="AS36" s="4"/>
      <c r="AT36" s="4"/>
      <c r="AU36" s="4"/>
      <c r="AV36" s="4"/>
      <c r="AW36" s="4"/>
      <c r="AX36" s="4"/>
      <c r="AY36" s="4"/>
      <c r="AZ36" s="4"/>
      <c r="BA36" s="4"/>
      <c r="BB36" s="4"/>
      <c r="BC36" s="4"/>
      <c r="BD36" s="4"/>
      <c r="BG36" s="3">
        <v>70402013.229163274</v>
      </c>
      <c r="BH36" s="3">
        <f t="shared" si="61"/>
        <v>-410372.22916327417</v>
      </c>
      <c r="BI36" s="3">
        <v>97060977</v>
      </c>
      <c r="BJ36" s="3">
        <f t="shared" si="54"/>
        <v>-4828072</v>
      </c>
      <c r="BK36" s="3">
        <v>102860740</v>
      </c>
      <c r="BL36" s="3">
        <f t="shared" si="55"/>
        <v>-2020055</v>
      </c>
      <c r="BM36" s="3">
        <v>112529244</v>
      </c>
      <c r="BN36" s="3">
        <f t="shared" si="56"/>
        <v>4009033</v>
      </c>
      <c r="BO36" s="3">
        <v>131460328.83255869</v>
      </c>
      <c r="BP36" s="3">
        <f t="shared" si="57"/>
        <v>-407124.8325586915</v>
      </c>
      <c r="BQ36" s="4">
        <v>182115166.98821095</v>
      </c>
      <c r="BR36" s="18">
        <f t="shared" si="58"/>
        <v>-96460172.988210946</v>
      </c>
      <c r="BS36" s="4">
        <v>182115166.98821095</v>
      </c>
      <c r="BT36" s="18">
        <f t="shared" si="59"/>
        <v>-51801986.283577234</v>
      </c>
      <c r="BZ36" s="113">
        <f>$O$37+'D4 Gallon Forecast'!$O$49+'D5 Gallon Forecast'!$O$52+'D6 Gallon Forecast'!$O$45+'D7 Gallon Forecast'!$O$33</f>
        <v>20708960210</v>
      </c>
      <c r="CA36" s="112">
        <f>$BP$37+'D4 Gallon Forecast'!$BN$49+'D5 Gallon Forecast'!$AY$52+'D6 Gallon Forecast'!$BL$45+'D7 Gallon Forecast'!$AR$33</f>
        <v>65979279.211873055</v>
      </c>
    </row>
    <row r="37" spans="1:79" ht="15.75" hidden="1" thickBot="1">
      <c r="A37" s="2" t="s">
        <v>29</v>
      </c>
      <c r="B37" s="3">
        <f>SUM(B25:B36)</f>
        <v>0</v>
      </c>
      <c r="C37" s="3">
        <f t="shared" ref="C37:AD37" si="62">SUM(C25:C36)</f>
        <v>0</v>
      </c>
      <c r="D37" s="3">
        <f t="shared" si="62"/>
        <v>20069</v>
      </c>
      <c r="E37" s="3">
        <f t="shared" si="62"/>
        <v>0</v>
      </c>
      <c r="F37" s="3">
        <f t="shared" si="62"/>
        <v>33316392</v>
      </c>
      <c r="G37" s="3">
        <f t="shared" si="62"/>
        <v>142040241</v>
      </c>
      <c r="H37" s="3">
        <f t="shared" si="62"/>
        <v>192361795</v>
      </c>
      <c r="I37" s="3">
        <f t="shared" si="62"/>
        <v>250624473</v>
      </c>
      <c r="J37" s="3">
        <f t="shared" si="62"/>
        <v>312348198</v>
      </c>
      <c r="K37" s="3">
        <f t="shared" si="62"/>
        <v>414122810</v>
      </c>
      <c r="L37" s="3">
        <f t="shared" si="62"/>
        <v>505872211</v>
      </c>
      <c r="M37" s="3">
        <f t="shared" si="62"/>
        <v>568414154</v>
      </c>
      <c r="N37" s="3">
        <f t="shared" si="62"/>
        <v>668618747</v>
      </c>
      <c r="O37" s="3">
        <f t="shared" si="62"/>
        <v>774731508</v>
      </c>
      <c r="P37" s="3">
        <f t="shared" si="62"/>
        <v>921163090</v>
      </c>
      <c r="Q37" s="4">
        <f t="shared" si="62"/>
        <v>642893076.81687927</v>
      </c>
      <c r="R37" s="4">
        <f t="shared" si="62"/>
        <v>772558826.29679644</v>
      </c>
      <c r="S37" s="4">
        <f t="shared" si="62"/>
        <v>775384939.27208936</v>
      </c>
      <c r="T37" s="4">
        <f t="shared" si="62"/>
        <v>822873120.59585667</v>
      </c>
      <c r="U37" s="4">
        <f t="shared" si="62"/>
        <v>889247611.70624554</v>
      </c>
      <c r="V37" s="4">
        <f t="shared" si="62"/>
        <v>1002672360.7283525</v>
      </c>
      <c r="W37" s="4">
        <f t="shared" si="62"/>
        <v>1066474459.0683436</v>
      </c>
      <c r="X37" s="4">
        <f t="shared" si="62"/>
        <v>1177139741.306216</v>
      </c>
      <c r="Y37" s="4">
        <f t="shared" si="62"/>
        <v>1357409485.3158479</v>
      </c>
      <c r="Z37" s="4">
        <f t="shared" si="62"/>
        <v>1531826069.9641216</v>
      </c>
      <c r="AA37" s="4">
        <f t="shared" si="62"/>
        <v>1731877156.6922884</v>
      </c>
      <c r="AB37" s="4">
        <f t="shared" si="62"/>
        <v>1978592899.6411023</v>
      </c>
      <c r="AC37" s="4">
        <f t="shared" si="62"/>
        <v>2248581266.9977798</v>
      </c>
      <c r="AD37" s="4">
        <f t="shared" si="62"/>
        <v>2538390493.634481</v>
      </c>
      <c r="AE37" s="4">
        <f>SUM(AE25:AE36)</f>
        <v>2864803464.6798182</v>
      </c>
      <c r="AF37" s="4">
        <f>SUM(AF25:AF36)</f>
        <v>3220144119.3196259</v>
      </c>
      <c r="AG37" s="4">
        <f>SUM(AG25:AG36)</f>
        <v>3599899839.9662862</v>
      </c>
      <c r="AH37" s="4">
        <f t="shared" ref="AH37:AO37" si="63">SUM(AH25:AH36)</f>
        <v>5024998311.8928947</v>
      </c>
      <c r="AI37" s="4">
        <f t="shared" si="63"/>
        <v>6551313956.494627</v>
      </c>
      <c r="AJ37" s="4">
        <f t="shared" si="63"/>
        <v>8101720274.5383463</v>
      </c>
      <c r="AK37" s="4">
        <f t="shared" si="63"/>
        <v>9666950156.1071396</v>
      </c>
      <c r="AL37" s="4">
        <f t="shared" si="63"/>
        <v>11252223286.278004</v>
      </c>
      <c r="AM37" s="4">
        <f t="shared" si="63"/>
        <v>12890467041.577023</v>
      </c>
      <c r="AN37" s="4">
        <f t="shared" si="63"/>
        <v>14541177697.57036</v>
      </c>
      <c r="AO37" s="4">
        <f t="shared" si="63"/>
        <v>16221237210.674351</v>
      </c>
      <c r="AP37" s="4">
        <f>SUM(AP25:AP36)</f>
        <v>17933669634.569412</v>
      </c>
      <c r="AQ37" s="4">
        <f>SUM(AQ25:AQ36)</f>
        <v>19675853833.837875</v>
      </c>
      <c r="AR37" s="4"/>
      <c r="AS37" s="4"/>
      <c r="AT37" s="4"/>
      <c r="AU37" s="4"/>
      <c r="AV37" s="4"/>
      <c r="AW37" s="4"/>
      <c r="AX37" s="4"/>
      <c r="AY37" s="4"/>
      <c r="AZ37" s="4"/>
      <c r="BA37" s="4"/>
      <c r="BB37" s="4"/>
      <c r="BC37" s="4"/>
      <c r="BD37" s="4"/>
      <c r="BG37" s="3">
        <v>430160700</v>
      </c>
      <c r="BH37" s="3">
        <f t="shared" si="61"/>
        <v>-16037890</v>
      </c>
      <c r="BI37" s="3">
        <v>510366398</v>
      </c>
      <c r="BJ37" s="3">
        <f t="shared" si="54"/>
        <v>-4494187</v>
      </c>
      <c r="BK37" s="3">
        <v>569932554</v>
      </c>
      <c r="BL37" s="3">
        <f t="shared" si="55"/>
        <v>-1518400</v>
      </c>
      <c r="BM37" s="3">
        <v>664000000</v>
      </c>
      <c r="BN37" s="3">
        <f t="shared" si="56"/>
        <v>4618747</v>
      </c>
      <c r="BO37" s="3">
        <v>765223226.38996458</v>
      </c>
      <c r="BP37" s="3">
        <f t="shared" si="57"/>
        <v>9508281.6100354195</v>
      </c>
      <c r="BQ37" s="19">
        <v>1117893076.816879</v>
      </c>
      <c r="BR37" s="18">
        <f t="shared" si="58"/>
        <v>-196729986.81687903</v>
      </c>
      <c r="BS37" s="19">
        <v>1117893076.816879</v>
      </c>
      <c r="BT37" s="18">
        <f t="shared" si="59"/>
        <v>-474999999.99999976</v>
      </c>
    </row>
    <row r="38" spans="1:79" ht="15.75" hidden="1" thickBot="1">
      <c r="A38" s="114"/>
      <c r="B38" s="114"/>
      <c r="C38" s="114"/>
      <c r="D38" s="114"/>
      <c r="E38" s="114"/>
      <c r="F38" s="114"/>
      <c r="G38" s="114"/>
      <c r="H38" s="114"/>
      <c r="I38" s="114"/>
      <c r="J38" s="114"/>
      <c r="K38" s="115">
        <f>K37/J37-1</f>
        <v>0.32583703908546324</v>
      </c>
      <c r="L38" s="115">
        <f>L37/K37-1</f>
        <v>0.221551189126723</v>
      </c>
      <c r="M38" s="115">
        <f>M37/L37-1</f>
        <v>0.12363190078452435</v>
      </c>
      <c r="N38" s="115">
        <f>N37/M37-1</f>
        <v>0.17628799757157343</v>
      </c>
      <c r="O38" s="115">
        <f>O37/N37-1</f>
        <v>0.15870443578812776</v>
      </c>
      <c r="P38" s="116">
        <f>O37*1.2</f>
        <v>929677809.60000002</v>
      </c>
      <c r="Q38" s="114"/>
      <c r="R38" s="114"/>
      <c r="S38" s="114"/>
      <c r="T38" s="114"/>
      <c r="U38" s="114"/>
      <c r="V38" s="114"/>
      <c r="W38" s="114"/>
      <c r="X38" s="114"/>
      <c r="Y38" s="114"/>
      <c r="Z38" s="114"/>
      <c r="AA38" s="114"/>
      <c r="AB38" s="114"/>
      <c r="AC38" s="114"/>
      <c r="AD38" s="114"/>
      <c r="AE38" s="114"/>
      <c r="AF38" s="114"/>
      <c r="AG38" s="114"/>
      <c r="AH38" s="114"/>
      <c r="AI38" s="114"/>
      <c r="AJ38" s="114"/>
      <c r="AK38" s="114"/>
      <c r="AL38" s="114"/>
      <c r="AM38" s="114"/>
      <c r="AN38" s="114"/>
      <c r="AO38" s="114"/>
      <c r="AP38" s="114"/>
      <c r="AQ38" s="114"/>
      <c r="AR38" s="2"/>
      <c r="AS38" s="2"/>
      <c r="AT38" s="2"/>
      <c r="AU38" s="2"/>
      <c r="AV38" s="2"/>
      <c r="AW38" s="2"/>
      <c r="AX38" s="2"/>
      <c r="AY38" s="2"/>
      <c r="AZ38" s="2"/>
      <c r="BA38" s="2"/>
      <c r="BB38" s="2"/>
      <c r="BC38" s="2"/>
      <c r="BD38" s="2"/>
    </row>
    <row r="39" spans="1:79" ht="16.5" hidden="1" thickBot="1">
      <c r="A39" s="109" t="s">
        <v>243</v>
      </c>
    </row>
    <row r="40" spans="1:79" ht="15.75" hidden="1" thickBot="1">
      <c r="A40" s="110"/>
      <c r="B40" s="111">
        <f t="shared" ref="B40:K40" si="64">B2</f>
        <v>2010</v>
      </c>
      <c r="C40" s="111">
        <f t="shared" si="64"/>
        <v>2011</v>
      </c>
      <c r="D40" s="111">
        <f t="shared" si="64"/>
        <v>2012</v>
      </c>
      <c r="E40" s="111">
        <f t="shared" si="64"/>
        <v>2013</v>
      </c>
      <c r="F40" s="111">
        <f t="shared" si="64"/>
        <v>2014</v>
      </c>
      <c r="G40" s="111">
        <f t="shared" si="64"/>
        <v>2015</v>
      </c>
      <c r="H40" s="111">
        <f t="shared" si="64"/>
        <v>2016</v>
      </c>
      <c r="I40" s="111">
        <f t="shared" si="64"/>
        <v>2017</v>
      </c>
      <c r="J40" s="111">
        <f t="shared" si="64"/>
        <v>2018</v>
      </c>
      <c r="K40" s="111">
        <f t="shared" si="64"/>
        <v>2019</v>
      </c>
      <c r="L40" s="111">
        <f>L2</f>
        <v>2020</v>
      </c>
      <c r="M40" s="111">
        <f>M2</f>
        <v>2021</v>
      </c>
      <c r="N40" s="111">
        <f t="shared" ref="N40:AD40" si="65">N2</f>
        <v>2022</v>
      </c>
      <c r="O40" s="111">
        <f t="shared" si="65"/>
        <v>2023</v>
      </c>
      <c r="P40" s="111">
        <f t="shared" si="65"/>
        <v>2024</v>
      </c>
      <c r="Q40" s="111">
        <f t="shared" si="65"/>
        <v>2025</v>
      </c>
      <c r="R40" s="111">
        <f t="shared" si="65"/>
        <v>2026</v>
      </c>
      <c r="S40" s="111">
        <f t="shared" si="65"/>
        <v>2027</v>
      </c>
      <c r="T40" s="111">
        <f t="shared" si="65"/>
        <v>2028</v>
      </c>
      <c r="U40" s="111">
        <f t="shared" si="65"/>
        <v>2029</v>
      </c>
      <c r="V40" s="111">
        <f t="shared" si="65"/>
        <v>2030</v>
      </c>
      <c r="W40" s="111">
        <f t="shared" si="65"/>
        <v>2031</v>
      </c>
      <c r="X40" s="111">
        <f t="shared" si="65"/>
        <v>2032</v>
      </c>
      <c r="Y40" s="111">
        <f t="shared" si="65"/>
        <v>2033</v>
      </c>
      <c r="Z40" s="111">
        <f t="shared" si="65"/>
        <v>2034</v>
      </c>
      <c r="AA40" s="111">
        <f t="shared" si="65"/>
        <v>2035</v>
      </c>
      <c r="AB40" s="111">
        <f t="shared" si="65"/>
        <v>2036</v>
      </c>
      <c r="AC40" s="111">
        <f t="shared" si="65"/>
        <v>2037</v>
      </c>
      <c r="AD40" s="111">
        <f t="shared" si="65"/>
        <v>2038</v>
      </c>
      <c r="AE40" s="111">
        <f>AE2</f>
        <v>2039</v>
      </c>
      <c r="AF40" s="111">
        <f>AF2</f>
        <v>2040</v>
      </c>
      <c r="AG40" s="111">
        <f>AG2</f>
        <v>2041</v>
      </c>
      <c r="AH40" s="111">
        <f t="shared" ref="AH40:AO40" si="66">AH2</f>
        <v>2042</v>
      </c>
      <c r="AI40" s="111">
        <f t="shared" si="66"/>
        <v>2043</v>
      </c>
      <c r="AJ40" s="111">
        <f t="shared" si="66"/>
        <v>2044</v>
      </c>
      <c r="AK40" s="111">
        <f t="shared" si="66"/>
        <v>2045</v>
      </c>
      <c r="AL40" s="111">
        <f t="shared" si="66"/>
        <v>2046</v>
      </c>
      <c r="AM40" s="111">
        <f t="shared" si="66"/>
        <v>2047</v>
      </c>
      <c r="AN40" s="111">
        <f t="shared" si="66"/>
        <v>2048</v>
      </c>
      <c r="AO40" s="111">
        <f t="shared" si="66"/>
        <v>2049</v>
      </c>
      <c r="AP40" s="111">
        <f>AP2</f>
        <v>2050</v>
      </c>
      <c r="AQ40" s="111">
        <f>AQ2</f>
        <v>2051</v>
      </c>
      <c r="AR40" s="94"/>
      <c r="AS40" s="94"/>
      <c r="AT40" s="94"/>
      <c r="AU40" s="94"/>
      <c r="AV40" s="94"/>
      <c r="AW40" s="94"/>
      <c r="AX40" s="94"/>
      <c r="AY40" s="94"/>
      <c r="AZ40" s="94"/>
      <c r="BA40" s="94"/>
      <c r="BB40" s="94"/>
      <c r="BC40" s="94"/>
      <c r="BD40" s="94"/>
    </row>
    <row r="41" spans="1:79" ht="15.75" hidden="1" thickBot="1">
      <c r="A41" s="2" t="s">
        <v>43</v>
      </c>
      <c r="B41" s="3">
        <f t="shared" ref="B41:AQ47" si="67">B57+B73</f>
        <v>0</v>
      </c>
      <c r="C41" s="3">
        <f t="shared" si="67"/>
        <v>0</v>
      </c>
      <c r="D41" s="3">
        <f t="shared" si="67"/>
        <v>0</v>
      </c>
      <c r="E41" s="3">
        <f t="shared" si="67"/>
        <v>0</v>
      </c>
      <c r="F41" s="3">
        <f t="shared" si="67"/>
        <v>14247</v>
      </c>
      <c r="G41" s="3">
        <f t="shared" si="67"/>
        <v>114261</v>
      </c>
      <c r="H41" s="3">
        <f t="shared" si="67"/>
        <v>285432</v>
      </c>
      <c r="I41" s="3">
        <f t="shared" si="67"/>
        <v>224887</v>
      </c>
      <c r="J41" s="3">
        <f t="shared" si="67"/>
        <v>760163</v>
      </c>
      <c r="K41" s="3">
        <f t="shared" si="67"/>
        <v>528864</v>
      </c>
      <c r="L41" s="3">
        <f t="shared" si="67"/>
        <v>174291</v>
      </c>
      <c r="M41" s="3">
        <f t="shared" si="67"/>
        <v>203252</v>
      </c>
      <c r="N41" s="3">
        <f t="shared" si="67"/>
        <v>0</v>
      </c>
      <c r="O41" s="3">
        <f t="shared" si="67"/>
        <v>0</v>
      </c>
      <c r="P41" s="3">
        <f t="shared" si="67"/>
        <v>220800</v>
      </c>
      <c r="Q41" s="3">
        <f t="shared" si="67"/>
        <v>7329992</v>
      </c>
      <c r="R41" s="4">
        <f t="shared" si="67"/>
        <v>5964415.4673861954</v>
      </c>
      <c r="S41" s="4">
        <f t="shared" si="67"/>
        <v>6461191.7268393831</v>
      </c>
      <c r="T41" s="4">
        <f t="shared" si="67"/>
        <v>6764640.6476830868</v>
      </c>
      <c r="U41" s="4">
        <f t="shared" si="67"/>
        <v>6799417.1237654742</v>
      </c>
      <c r="V41" s="4">
        <f t="shared" si="67"/>
        <v>7395816.6201465186</v>
      </c>
      <c r="W41" s="4">
        <f t="shared" si="67"/>
        <v>7297469.4213851253</v>
      </c>
      <c r="X41" s="4">
        <f t="shared" si="67"/>
        <v>7990568.8869287092</v>
      </c>
      <c r="Y41" s="4">
        <f t="shared" si="67"/>
        <v>9190848.0216668379</v>
      </c>
      <c r="Z41" s="4">
        <f t="shared" si="67"/>
        <v>10760087.879965207</v>
      </c>
      <c r="AA41" s="4">
        <f t="shared" si="67"/>
        <v>12015398.323441956</v>
      </c>
      <c r="AB41" s="4">
        <f t="shared" si="67"/>
        <v>13650400.683476986</v>
      </c>
      <c r="AC41" s="4">
        <f t="shared" si="67"/>
        <v>15477767.146378262</v>
      </c>
      <c r="AD41" s="4">
        <f t="shared" si="67"/>
        <v>17500028.404727966</v>
      </c>
      <c r="AE41" s="4">
        <f t="shared" si="67"/>
        <v>19851921.961220797</v>
      </c>
      <c r="AF41" s="4">
        <f t="shared" si="67"/>
        <v>22243325.247575782</v>
      </c>
      <c r="AG41" s="4">
        <f t="shared" si="67"/>
        <v>24846423.79998013</v>
      </c>
      <c r="AH41" s="4">
        <f t="shared" si="67"/>
        <v>34656649.45404809</v>
      </c>
      <c r="AI41" s="4">
        <f t="shared" si="67"/>
        <v>45235354.058315106</v>
      </c>
      <c r="AJ41" s="4">
        <f t="shared" si="67"/>
        <v>55917025.87108773</v>
      </c>
      <c r="AK41" s="4">
        <f t="shared" si="67"/>
        <v>66738968.735412367</v>
      </c>
      <c r="AL41" s="4">
        <f t="shared" si="67"/>
        <v>77663880.432940647</v>
      </c>
      <c r="AM41" s="4">
        <f t="shared" si="67"/>
        <v>88944366.808643147</v>
      </c>
      <c r="AN41" s="4">
        <f t="shared" si="67"/>
        <v>100348630.38018177</v>
      </c>
      <c r="AO41" s="4">
        <f t="shared" si="67"/>
        <v>111971761.87136792</v>
      </c>
      <c r="AP41" s="4">
        <f t="shared" si="67"/>
        <v>123815578.56134774</v>
      </c>
      <c r="AQ41" s="4">
        <f t="shared" si="67"/>
        <v>135798768.80339205</v>
      </c>
      <c r="AR41" s="4"/>
      <c r="AS41" s="4"/>
      <c r="AT41" s="4"/>
      <c r="AU41" s="4"/>
      <c r="AV41" s="4"/>
      <c r="AW41" s="4"/>
      <c r="AX41" s="4"/>
      <c r="AY41" s="4"/>
      <c r="AZ41" s="4"/>
      <c r="BA41" s="4"/>
      <c r="BB41" s="4"/>
      <c r="BC41" s="4"/>
      <c r="BD41" s="4"/>
      <c r="BI41" s="3">
        <v>995190.52826336189</v>
      </c>
      <c r="BJ41" s="3">
        <f t="shared" ref="BJ41:BJ53" si="68">L41-BI41</f>
        <v>-820899.52826336189</v>
      </c>
      <c r="BK41" s="3">
        <v>234275.52735537296</v>
      </c>
      <c r="BL41" s="3">
        <f t="shared" ref="BL41:BL53" si="69">M41-BK41</f>
        <v>-31023.527355372964</v>
      </c>
      <c r="BM41" s="3">
        <v>0</v>
      </c>
      <c r="BN41" s="3">
        <f t="shared" ref="BN41:BN53" si="70">N41-BM41</f>
        <v>0</v>
      </c>
      <c r="BO41" s="3">
        <v>0</v>
      </c>
      <c r="BP41" s="3">
        <f t="shared" ref="BP41:BP53" si="71">O41-BO41</f>
        <v>0</v>
      </c>
      <c r="BQ41" s="3">
        <v>7329992</v>
      </c>
      <c r="BR41" s="18">
        <f t="shared" ref="BR41:BR53" si="72">P41-BQ41</f>
        <v>-7109192</v>
      </c>
      <c r="BS41" s="3">
        <v>7329992</v>
      </c>
      <c r="BT41" s="18">
        <f>Q41-BS41</f>
        <v>0</v>
      </c>
    </row>
    <row r="42" spans="1:79" ht="15.75" hidden="1" thickBot="1">
      <c r="A42" s="2" t="s">
        <v>44</v>
      </c>
      <c r="B42" s="3">
        <f t="shared" si="67"/>
        <v>0</v>
      </c>
      <c r="C42" s="3">
        <f t="shared" si="67"/>
        <v>0</v>
      </c>
      <c r="D42" s="3">
        <f t="shared" si="67"/>
        <v>0</v>
      </c>
      <c r="E42" s="3">
        <f t="shared" si="67"/>
        <v>0</v>
      </c>
      <c r="F42" s="3">
        <f t="shared" si="67"/>
        <v>7072</v>
      </c>
      <c r="G42" s="3">
        <f t="shared" si="67"/>
        <v>85097</v>
      </c>
      <c r="H42" s="3">
        <f t="shared" si="67"/>
        <v>271521</v>
      </c>
      <c r="I42" s="3">
        <f t="shared" si="67"/>
        <v>131880</v>
      </c>
      <c r="J42" s="3">
        <f t="shared" si="67"/>
        <v>521507</v>
      </c>
      <c r="K42" s="3">
        <f t="shared" si="67"/>
        <v>1031913</v>
      </c>
      <c r="L42" s="3">
        <f t="shared" si="67"/>
        <v>188014</v>
      </c>
      <c r="M42" s="3">
        <f t="shared" si="67"/>
        <v>29238</v>
      </c>
      <c r="N42" s="3">
        <f t="shared" si="67"/>
        <v>87513</v>
      </c>
      <c r="O42" s="3">
        <f t="shared" si="67"/>
        <v>86732</v>
      </c>
      <c r="P42" s="3">
        <f t="shared" si="67"/>
        <v>153198</v>
      </c>
      <c r="Q42" s="3">
        <f t="shared" si="67"/>
        <v>6279631</v>
      </c>
      <c r="R42" s="4">
        <f t="shared" si="67"/>
        <v>5104655.3178187553</v>
      </c>
      <c r="S42" s="4">
        <f t="shared" si="67"/>
        <v>5599006.0646777106</v>
      </c>
      <c r="T42" s="4">
        <f t="shared" si="67"/>
        <v>5832327.8925262485</v>
      </c>
      <c r="U42" s="4">
        <f t="shared" si="67"/>
        <v>5840258.1655440852</v>
      </c>
      <c r="V42" s="4">
        <f t="shared" si="67"/>
        <v>6360618.3657285534</v>
      </c>
      <c r="W42" s="4">
        <f t="shared" si="67"/>
        <v>6281365.1182121569</v>
      </c>
      <c r="X42" s="4">
        <f t="shared" si="67"/>
        <v>6884693.8047099095</v>
      </c>
      <c r="Y42" s="4">
        <f t="shared" si="67"/>
        <v>7910736.5486563193</v>
      </c>
      <c r="Z42" s="4">
        <f t="shared" si="67"/>
        <v>9258663.7913723011</v>
      </c>
      <c r="AA42" s="4">
        <f t="shared" si="67"/>
        <v>10341741.592533404</v>
      </c>
      <c r="AB42" s="4">
        <f t="shared" si="67"/>
        <v>11750448.912792325</v>
      </c>
      <c r="AC42" s="4">
        <f t="shared" si="67"/>
        <v>13323584.622146409</v>
      </c>
      <c r="AD42" s="4">
        <f t="shared" si="67"/>
        <v>15062600.289654382</v>
      </c>
      <c r="AE42" s="4">
        <f t="shared" si="67"/>
        <v>17086918.141858812</v>
      </c>
      <c r="AF42" s="4">
        <f t="shared" si="67"/>
        <v>19146020.90314246</v>
      </c>
      <c r="AG42" s="4">
        <f t="shared" si="67"/>
        <v>21386802.622830257</v>
      </c>
      <c r="AH42" s="4">
        <f t="shared" si="67"/>
        <v>29830796.390091795</v>
      </c>
      <c r="AI42" s="4">
        <f t="shared" si="67"/>
        <v>38936040.505563989</v>
      </c>
      <c r="AJ42" s="4">
        <f t="shared" si="67"/>
        <v>48130387.285626926</v>
      </c>
      <c r="AK42" s="4">
        <f t="shared" si="67"/>
        <v>57445539.922108874</v>
      </c>
      <c r="AL42" s="4">
        <f t="shared" si="67"/>
        <v>66849123.163709454</v>
      </c>
      <c r="AM42" s="4">
        <f t="shared" si="67"/>
        <v>76558709.258012354</v>
      </c>
      <c r="AN42" s="4">
        <f t="shared" si="67"/>
        <v>86374865.629294038</v>
      </c>
      <c r="AO42" s="4">
        <f t="shared" si="67"/>
        <v>96379506.042628109</v>
      </c>
      <c r="AP42" s="4">
        <f t="shared" si="67"/>
        <v>106574078.82078011</v>
      </c>
      <c r="AQ42" s="4">
        <f t="shared" si="67"/>
        <v>116888573.48169327</v>
      </c>
      <c r="AR42" s="4"/>
      <c r="AS42" s="4"/>
      <c r="AT42" s="4"/>
      <c r="AU42" s="4"/>
      <c r="AV42" s="4"/>
      <c r="AW42" s="4"/>
      <c r="AX42" s="4"/>
      <c r="AY42" s="4"/>
      <c r="AZ42" s="4"/>
      <c r="BA42" s="4"/>
      <c r="BB42" s="4"/>
      <c r="BC42" s="4"/>
      <c r="BD42" s="4"/>
      <c r="BI42" s="3">
        <v>1139940.3130271027</v>
      </c>
      <c r="BJ42" s="3">
        <f t="shared" si="68"/>
        <v>-951926.31302710273</v>
      </c>
      <c r="BK42" s="3">
        <v>254597.14765950441</v>
      </c>
      <c r="BL42" s="3">
        <f t="shared" si="69"/>
        <v>-225359.14765950441</v>
      </c>
      <c r="BM42" s="3">
        <v>0</v>
      </c>
      <c r="BN42" s="3">
        <f t="shared" si="70"/>
        <v>87513</v>
      </c>
      <c r="BO42" s="3">
        <v>0</v>
      </c>
      <c r="BP42" s="3">
        <f t="shared" si="71"/>
        <v>86732</v>
      </c>
      <c r="BQ42" s="3">
        <v>873171.27619996888</v>
      </c>
      <c r="BR42" s="18">
        <f t="shared" si="72"/>
        <v>-719973.27619996888</v>
      </c>
      <c r="BS42" s="3">
        <v>873171.27619996888</v>
      </c>
      <c r="BT42" s="18">
        <f t="shared" ref="BT42:BT53" si="73">Q42-BS42</f>
        <v>5406459.7238000315</v>
      </c>
    </row>
    <row r="43" spans="1:79" ht="15.75" hidden="1" thickBot="1">
      <c r="A43" s="2" t="s">
        <v>45</v>
      </c>
      <c r="B43" s="3">
        <f t="shared" si="67"/>
        <v>0</v>
      </c>
      <c r="C43" s="3">
        <f t="shared" si="67"/>
        <v>0</v>
      </c>
      <c r="D43" s="3">
        <f t="shared" si="67"/>
        <v>0</v>
      </c>
      <c r="E43" s="3">
        <f t="shared" si="67"/>
        <v>0</v>
      </c>
      <c r="F43" s="3">
        <f t="shared" si="67"/>
        <v>6624</v>
      </c>
      <c r="G43" s="3">
        <f t="shared" si="67"/>
        <v>86879</v>
      </c>
      <c r="H43" s="3">
        <f t="shared" si="67"/>
        <v>446422</v>
      </c>
      <c r="I43" s="3">
        <f t="shared" si="67"/>
        <v>617908</v>
      </c>
      <c r="J43" s="3">
        <f t="shared" si="67"/>
        <v>2337899</v>
      </c>
      <c r="K43" s="3">
        <f t="shared" si="67"/>
        <v>4660317</v>
      </c>
      <c r="L43" s="3">
        <f t="shared" si="67"/>
        <v>156652</v>
      </c>
      <c r="M43" s="3">
        <f t="shared" si="67"/>
        <v>0</v>
      </c>
      <c r="N43" s="3">
        <f t="shared" si="67"/>
        <v>0</v>
      </c>
      <c r="O43" s="3">
        <f t="shared" si="67"/>
        <v>202916</v>
      </c>
      <c r="P43" s="3">
        <f t="shared" si="67"/>
        <v>187956</v>
      </c>
      <c r="Q43" s="4">
        <f t="shared" si="67"/>
        <v>1227017.1214811218</v>
      </c>
      <c r="R43" s="4">
        <f t="shared" si="67"/>
        <v>1244481.3184807652</v>
      </c>
      <c r="S43" s="4">
        <f t="shared" si="67"/>
        <v>1368408.4576918522</v>
      </c>
      <c r="T43" s="4">
        <f t="shared" si="67"/>
        <v>1432675.5600028855</v>
      </c>
      <c r="U43" s="4">
        <f t="shared" si="67"/>
        <v>1388445.5845199579</v>
      </c>
      <c r="V43" s="4">
        <f t="shared" si="67"/>
        <v>1478518.8800815996</v>
      </c>
      <c r="W43" s="4">
        <f t="shared" si="67"/>
        <v>1510955.4348021855</v>
      </c>
      <c r="X43" s="4">
        <f t="shared" si="67"/>
        <v>1652268.0017224178</v>
      </c>
      <c r="Y43" s="4">
        <f t="shared" si="67"/>
        <v>1892248.0984087121</v>
      </c>
      <c r="Z43" s="4">
        <f t="shared" si="67"/>
        <v>2204215.8274194691</v>
      </c>
      <c r="AA43" s="4">
        <f t="shared" si="67"/>
        <v>2462613.902661161</v>
      </c>
      <c r="AB43" s="4">
        <f t="shared" si="67"/>
        <v>2808487.3572100908</v>
      </c>
      <c r="AC43" s="4">
        <f t="shared" si="67"/>
        <v>3181700.9995050156</v>
      </c>
      <c r="AD43" s="4">
        <f t="shared" si="67"/>
        <v>3594636.2980766967</v>
      </c>
      <c r="AE43" s="4">
        <f t="shared" si="67"/>
        <v>4076480.1049217922</v>
      </c>
      <c r="AF43" s="4">
        <f t="shared" si="67"/>
        <v>4569045.2522179792</v>
      </c>
      <c r="AG43" s="4">
        <f t="shared" si="67"/>
        <v>5105291.0576840639</v>
      </c>
      <c r="AH43" s="4">
        <f t="shared" si="67"/>
        <v>7119758.285200228</v>
      </c>
      <c r="AI43" s="4">
        <f t="shared" si="67"/>
        <v>9292258.4188332167</v>
      </c>
      <c r="AJ43" s="4">
        <f t="shared" si="67"/>
        <v>11486575.82856304</v>
      </c>
      <c r="AK43" s="4">
        <f t="shared" si="67"/>
        <v>13710199.750700235</v>
      </c>
      <c r="AL43" s="4">
        <f t="shared" si="67"/>
        <v>15954644.968083335</v>
      </c>
      <c r="AM43" s="4">
        <f t="shared" si="67"/>
        <v>18271687.053077467</v>
      </c>
      <c r="AN43" s="4">
        <f t="shared" si="67"/>
        <v>20614354.14660101</v>
      </c>
      <c r="AO43" s="4">
        <f t="shared" si="67"/>
        <v>23002155.46944027</v>
      </c>
      <c r="AP43" s="4">
        <f t="shared" si="67"/>
        <v>25435308.321317349</v>
      </c>
      <c r="AQ43" s="4">
        <f t="shared" si="67"/>
        <v>27896980.856450699</v>
      </c>
      <c r="AR43" s="4"/>
      <c r="AS43" s="4"/>
      <c r="AT43" s="4"/>
      <c r="AU43" s="4"/>
      <c r="AV43" s="4"/>
      <c r="AW43" s="4"/>
      <c r="AX43" s="4"/>
      <c r="AY43" s="4"/>
      <c r="AZ43" s="4"/>
      <c r="BA43" s="4"/>
      <c r="BB43" s="4"/>
      <c r="BC43" s="4"/>
      <c r="BD43" s="4"/>
      <c r="BI43" s="3">
        <v>999988.72967437701</v>
      </c>
      <c r="BJ43" s="3">
        <f t="shared" si="68"/>
        <v>-843336.72967437701</v>
      </c>
      <c r="BK43" s="3">
        <v>252929.11195803102</v>
      </c>
      <c r="BL43" s="3">
        <f t="shared" si="69"/>
        <v>-252929.11195803102</v>
      </c>
      <c r="BM43" s="3">
        <v>0</v>
      </c>
      <c r="BN43" s="3">
        <f t="shared" si="70"/>
        <v>0</v>
      </c>
      <c r="BO43" s="3">
        <v>105705.78986033745</v>
      </c>
      <c r="BP43" s="3">
        <f t="shared" si="71"/>
        <v>97210.210139662551</v>
      </c>
      <c r="BQ43" s="3">
        <v>877706.29403631703</v>
      </c>
      <c r="BR43" s="18">
        <f t="shared" si="72"/>
        <v>-689750.29403631703</v>
      </c>
      <c r="BS43" s="4">
        <v>877706.29403631703</v>
      </c>
      <c r="BT43" s="18">
        <f t="shared" si="73"/>
        <v>349310.82744480472</v>
      </c>
    </row>
    <row r="44" spans="1:79" ht="15.75" hidden="1" thickBot="1">
      <c r="A44" s="2" t="s">
        <v>46</v>
      </c>
      <c r="B44" s="3">
        <f t="shared" si="67"/>
        <v>0</v>
      </c>
      <c r="C44" s="3">
        <f t="shared" si="67"/>
        <v>0</v>
      </c>
      <c r="D44" s="3">
        <f t="shared" si="67"/>
        <v>20069</v>
      </c>
      <c r="E44" s="3">
        <f t="shared" si="67"/>
        <v>0</v>
      </c>
      <c r="F44" s="3">
        <f t="shared" si="67"/>
        <v>643</v>
      </c>
      <c r="G44" s="3">
        <f t="shared" si="67"/>
        <v>288685</v>
      </c>
      <c r="H44" s="3">
        <f t="shared" si="67"/>
        <v>377236</v>
      </c>
      <c r="I44" s="3">
        <f t="shared" si="67"/>
        <v>331595</v>
      </c>
      <c r="J44" s="3">
        <f t="shared" si="67"/>
        <v>877687</v>
      </c>
      <c r="K44" s="3">
        <f t="shared" si="67"/>
        <v>401898</v>
      </c>
      <c r="L44" s="3">
        <f t="shared" si="67"/>
        <v>203361</v>
      </c>
      <c r="M44" s="3">
        <f t="shared" si="67"/>
        <v>0</v>
      </c>
      <c r="N44" s="3">
        <f t="shared" si="67"/>
        <v>86794</v>
      </c>
      <c r="O44" s="3">
        <f t="shared" si="67"/>
        <v>0</v>
      </c>
      <c r="P44" s="3">
        <f t="shared" si="67"/>
        <v>694722</v>
      </c>
      <c r="Q44" s="4">
        <f t="shared" si="67"/>
        <v>2207137.8451957591</v>
      </c>
      <c r="R44" s="4">
        <f t="shared" si="67"/>
        <v>2298874.3965018531</v>
      </c>
      <c r="S44" s="4">
        <f t="shared" si="67"/>
        <v>2527799.4298738926</v>
      </c>
      <c r="T44" s="4">
        <f t="shared" si="67"/>
        <v>2617125.965164552</v>
      </c>
      <c r="U44" s="4">
        <f t="shared" si="67"/>
        <v>2630580.400259092</v>
      </c>
      <c r="V44" s="4">
        <f t="shared" si="67"/>
        <v>2726074.1403254182</v>
      </c>
      <c r="W44" s="4">
        <f t="shared" si="67"/>
        <v>2797950.4752206611</v>
      </c>
      <c r="X44" s="4">
        <f t="shared" si="67"/>
        <v>3060924.4387559043</v>
      </c>
      <c r="Y44" s="4">
        <f t="shared" si="67"/>
        <v>3507342.1951577319</v>
      </c>
      <c r="Z44" s="4">
        <f t="shared" si="67"/>
        <v>4096263.664014562</v>
      </c>
      <c r="AA44" s="4">
        <f t="shared" si="67"/>
        <v>4562281.9246721128</v>
      </c>
      <c r="AB44" s="4">
        <f t="shared" si="67"/>
        <v>5206824.6779914647</v>
      </c>
      <c r="AC44" s="4">
        <f t="shared" si="67"/>
        <v>5899701.1882487247</v>
      </c>
      <c r="AD44" s="4">
        <f t="shared" si="67"/>
        <v>6666195.5859283395</v>
      </c>
      <c r="AE44" s="4">
        <f t="shared" si="67"/>
        <v>7560282.570021485</v>
      </c>
      <c r="AF44" s="4">
        <f t="shared" si="67"/>
        <v>8471446.5000341069</v>
      </c>
      <c r="AG44" s="4">
        <f t="shared" si="67"/>
        <v>9466716.7030847669</v>
      </c>
      <c r="AH44" s="4">
        <f t="shared" si="67"/>
        <v>13202458.776395785</v>
      </c>
      <c r="AI44" s="4">
        <f t="shared" si="67"/>
        <v>17231111.734111778</v>
      </c>
      <c r="AJ44" s="4">
        <f t="shared" si="67"/>
        <v>21299965.287992265</v>
      </c>
      <c r="AK44" s="4">
        <f t="shared" si="67"/>
        <v>25422901.051129818</v>
      </c>
      <c r="AL44" s="4">
        <f t="shared" si="67"/>
        <v>29585116.49732551</v>
      </c>
      <c r="AM44" s="4">
        <f t="shared" si="67"/>
        <v>33881718.857050367</v>
      </c>
      <c r="AN44" s="4">
        <f t="shared" si="67"/>
        <v>38225769.097973838</v>
      </c>
      <c r="AO44" s="4">
        <f t="shared" si="67"/>
        <v>42653472.548451357</v>
      </c>
      <c r="AP44" s="4">
        <f t="shared" si="67"/>
        <v>47165295.468519472</v>
      </c>
      <c r="AQ44" s="4">
        <f t="shared" si="67"/>
        <v>51730100.176484384</v>
      </c>
      <c r="AR44" s="4"/>
      <c r="AS44" s="4"/>
      <c r="AT44" s="4"/>
      <c r="AU44" s="4"/>
      <c r="AV44" s="4"/>
      <c r="AW44" s="4"/>
      <c r="AX44" s="4"/>
      <c r="AY44" s="4"/>
      <c r="AZ44" s="4"/>
      <c r="BA44" s="4"/>
      <c r="BB44" s="4"/>
      <c r="BC44" s="4"/>
      <c r="BD44" s="4"/>
      <c r="BI44" s="3">
        <v>119477.39602967206</v>
      </c>
      <c r="BJ44" s="3">
        <f t="shared" si="68"/>
        <v>83883.603970327938</v>
      </c>
      <c r="BK44" s="3">
        <v>237043.11958453091</v>
      </c>
      <c r="BL44" s="3">
        <f t="shared" si="69"/>
        <v>-237043.11958453091</v>
      </c>
      <c r="BM44" s="3">
        <v>0</v>
      </c>
      <c r="BN44" s="3">
        <f t="shared" si="70"/>
        <v>86794</v>
      </c>
      <c r="BO44" s="3">
        <v>145761.28859884807</v>
      </c>
      <c r="BP44" s="3">
        <f t="shared" si="71"/>
        <v>-145761.28859884807</v>
      </c>
      <c r="BQ44" s="3">
        <v>1578803.379854775</v>
      </c>
      <c r="BR44" s="18">
        <f t="shared" si="72"/>
        <v>-884081.37985477503</v>
      </c>
      <c r="BS44" s="4">
        <v>1578803.379854775</v>
      </c>
      <c r="BT44" s="18">
        <f t="shared" si="73"/>
        <v>628334.46534098405</v>
      </c>
    </row>
    <row r="45" spans="1:79" ht="15.75" hidden="1" thickBot="1">
      <c r="A45" s="2" t="s">
        <v>47</v>
      </c>
      <c r="B45" s="3">
        <f t="shared" si="67"/>
        <v>0</v>
      </c>
      <c r="C45" s="3">
        <f t="shared" si="67"/>
        <v>0</v>
      </c>
      <c r="D45" s="3">
        <f t="shared" si="67"/>
        <v>0</v>
      </c>
      <c r="E45" s="3">
        <f t="shared" si="67"/>
        <v>0</v>
      </c>
      <c r="F45" s="3">
        <f t="shared" si="67"/>
        <v>0</v>
      </c>
      <c r="G45" s="3">
        <f t="shared" si="67"/>
        <v>114018</v>
      </c>
      <c r="H45" s="3">
        <f t="shared" si="67"/>
        <v>395852</v>
      </c>
      <c r="I45" s="3">
        <f t="shared" si="67"/>
        <v>1936287</v>
      </c>
      <c r="J45" s="3">
        <f t="shared" si="67"/>
        <v>537342</v>
      </c>
      <c r="K45" s="3">
        <f t="shared" si="67"/>
        <v>440284</v>
      </c>
      <c r="L45" s="3">
        <f t="shared" si="67"/>
        <v>266282</v>
      </c>
      <c r="M45" s="3">
        <f t="shared" si="67"/>
        <v>0</v>
      </c>
      <c r="N45" s="3">
        <f t="shared" si="67"/>
        <v>258819</v>
      </c>
      <c r="O45" s="3">
        <f t="shared" si="67"/>
        <v>228934</v>
      </c>
      <c r="P45" s="3">
        <f t="shared" si="67"/>
        <v>2518681</v>
      </c>
      <c r="Q45" s="4">
        <f t="shared" si="67"/>
        <v>7334251.2213989003</v>
      </c>
      <c r="R45" s="4">
        <f t="shared" si="67"/>
        <v>7954061.5036339043</v>
      </c>
      <c r="S45" s="4">
        <f t="shared" si="67"/>
        <v>8746137.7466567717</v>
      </c>
      <c r="T45" s="4">
        <f t="shared" si="67"/>
        <v>9069254.5216592737</v>
      </c>
      <c r="U45" s="4">
        <f t="shared" si="67"/>
        <v>9057668.0168197788</v>
      </c>
      <c r="V45" s="4">
        <f t="shared" si="67"/>
        <v>9358373.1536623016</v>
      </c>
      <c r="W45" s="4">
        <f t="shared" si="67"/>
        <v>9658159.2625014354</v>
      </c>
      <c r="X45" s="4">
        <f t="shared" si="67"/>
        <v>10561619.203444676</v>
      </c>
      <c r="Y45" s="4">
        <f t="shared" si="67"/>
        <v>12095871.287243245</v>
      </c>
      <c r="Z45" s="4">
        <f t="shared" si="67"/>
        <v>14114799.550576916</v>
      </c>
      <c r="AA45" s="4">
        <f t="shared" si="67"/>
        <v>15722486.513259985</v>
      </c>
      <c r="AB45" s="4">
        <f t="shared" si="67"/>
        <v>17954158.146050628</v>
      </c>
      <c r="AC45" s="4">
        <f t="shared" si="67"/>
        <v>20340366.513599198</v>
      </c>
      <c r="AD45" s="4">
        <f t="shared" si="67"/>
        <v>22980573.812860474</v>
      </c>
      <c r="AE45" s="4">
        <f t="shared" si="67"/>
        <v>26061382.96959044</v>
      </c>
      <c r="AF45" s="4">
        <f t="shared" si="67"/>
        <v>29203886.356343955</v>
      </c>
      <c r="AG45" s="4">
        <f t="shared" si="67"/>
        <v>32636372.707666516</v>
      </c>
      <c r="AH45" s="4">
        <f t="shared" si="67"/>
        <v>45514004.053243674</v>
      </c>
      <c r="AI45" s="4">
        <f t="shared" si="67"/>
        <v>59401649.035314523</v>
      </c>
      <c r="AJ45" s="4">
        <f t="shared" si="67"/>
        <v>73428453.176591173</v>
      </c>
      <c r="AK45" s="4">
        <f t="shared" si="67"/>
        <v>87642229.665090933</v>
      </c>
      <c r="AL45" s="4">
        <f t="shared" si="67"/>
        <v>101991060.42109896</v>
      </c>
      <c r="AM45" s="4">
        <f t="shared" si="67"/>
        <v>116802744.33331951</v>
      </c>
      <c r="AN45" s="4">
        <f t="shared" si="67"/>
        <v>131778201.28343742</v>
      </c>
      <c r="AO45" s="4">
        <f t="shared" si="67"/>
        <v>147042198.31167102</v>
      </c>
      <c r="AP45" s="4">
        <f t="shared" si="67"/>
        <v>162596209.71652478</v>
      </c>
      <c r="AQ45" s="4">
        <f t="shared" si="67"/>
        <v>178332754.66065979</v>
      </c>
      <c r="AR45" s="4"/>
      <c r="AS45" s="4"/>
      <c r="AT45" s="4"/>
      <c r="AU45" s="4"/>
      <c r="AV45" s="4"/>
      <c r="AW45" s="4"/>
      <c r="AX45" s="4"/>
      <c r="AY45" s="4"/>
      <c r="AZ45" s="4"/>
      <c r="BA45" s="4"/>
      <c r="BB45" s="4"/>
      <c r="BC45" s="4"/>
      <c r="BD45" s="4"/>
      <c r="BI45" s="3">
        <v>109791.24078805139</v>
      </c>
      <c r="BJ45" s="3">
        <f t="shared" si="68"/>
        <v>156490.75921194861</v>
      </c>
      <c r="BK45" s="3">
        <v>0</v>
      </c>
      <c r="BL45" s="3">
        <f t="shared" si="69"/>
        <v>0</v>
      </c>
      <c r="BM45" s="3">
        <v>0</v>
      </c>
      <c r="BN45" s="3">
        <f t="shared" si="70"/>
        <v>258819</v>
      </c>
      <c r="BO45" s="3">
        <v>125560.89182622</v>
      </c>
      <c r="BP45" s="3">
        <f t="shared" si="71"/>
        <v>103373.10817378</v>
      </c>
      <c r="BQ45" s="4">
        <v>5246315.1054444369</v>
      </c>
      <c r="BR45" s="18">
        <f t="shared" si="72"/>
        <v>-2727634.1054444369</v>
      </c>
      <c r="BS45" s="4">
        <v>5246315.1054444369</v>
      </c>
      <c r="BT45" s="18">
        <f t="shared" si="73"/>
        <v>2087936.1159544634</v>
      </c>
    </row>
    <row r="46" spans="1:79" ht="15.75" hidden="1" thickBot="1">
      <c r="A46" s="2" t="s">
        <v>48</v>
      </c>
      <c r="B46" s="3">
        <f t="shared" si="67"/>
        <v>0</v>
      </c>
      <c r="C46" s="3">
        <f t="shared" si="67"/>
        <v>0</v>
      </c>
      <c r="D46" s="3">
        <f t="shared" si="67"/>
        <v>0</v>
      </c>
      <c r="E46" s="3">
        <f t="shared" si="67"/>
        <v>0</v>
      </c>
      <c r="F46" s="3">
        <f t="shared" si="67"/>
        <v>0</v>
      </c>
      <c r="G46" s="3">
        <f t="shared" si="67"/>
        <v>282587</v>
      </c>
      <c r="H46" s="3">
        <f t="shared" si="67"/>
        <v>245266</v>
      </c>
      <c r="I46" s="3">
        <f t="shared" si="67"/>
        <v>294164</v>
      </c>
      <c r="J46" s="3">
        <f t="shared" si="67"/>
        <v>549023</v>
      </c>
      <c r="K46" s="3">
        <f t="shared" si="67"/>
        <v>175766</v>
      </c>
      <c r="L46" s="3">
        <f t="shared" si="67"/>
        <v>57226</v>
      </c>
      <c r="M46" s="3">
        <f t="shared" si="67"/>
        <v>11788</v>
      </c>
      <c r="N46" s="3">
        <f t="shared" si="67"/>
        <v>142896</v>
      </c>
      <c r="O46" s="3">
        <f t="shared" si="67"/>
        <v>0</v>
      </c>
      <c r="P46" s="3">
        <f t="shared" si="67"/>
        <v>1476953</v>
      </c>
      <c r="Q46" s="4">
        <f t="shared" si="67"/>
        <v>3784790.8344400828</v>
      </c>
      <c r="R46" s="4">
        <f t="shared" si="67"/>
        <v>4166319.6589696342</v>
      </c>
      <c r="S46" s="4">
        <f t="shared" si="67"/>
        <v>4575571.9581782604</v>
      </c>
      <c r="T46" s="4">
        <f t="shared" si="67"/>
        <v>4742073.917832531</v>
      </c>
      <c r="U46" s="4">
        <f t="shared" si="67"/>
        <v>4766452.5402566055</v>
      </c>
      <c r="V46" s="4">
        <f t="shared" si="67"/>
        <v>4891057.6855722256</v>
      </c>
      <c r="W46" s="4">
        <f t="shared" si="67"/>
        <v>5058312.8865798414</v>
      </c>
      <c r="X46" s="4">
        <f t="shared" si="67"/>
        <v>5531370.6801824532</v>
      </c>
      <c r="Y46" s="4">
        <f t="shared" si="67"/>
        <v>6336159.6459546601</v>
      </c>
      <c r="Z46" s="4">
        <f t="shared" si="67"/>
        <v>7396140.3283748245</v>
      </c>
      <c r="AA46" s="4">
        <f t="shared" si="67"/>
        <v>8232861.4669724815</v>
      </c>
      <c r="AB46" s="4">
        <f t="shared" si="67"/>
        <v>9404138.807146024</v>
      </c>
      <c r="AC46" s="4">
        <f t="shared" si="67"/>
        <v>10654145.083615111</v>
      </c>
      <c r="AD46" s="4">
        <f t="shared" si="67"/>
        <v>12037277.696681095</v>
      </c>
      <c r="AE46" s="4">
        <f t="shared" si="67"/>
        <v>13650922.755503098</v>
      </c>
      <c r="AF46" s="4">
        <f t="shared" si="67"/>
        <v>15296162.10891458</v>
      </c>
      <c r="AG46" s="4">
        <f t="shared" si="67"/>
        <v>17094596.47588142</v>
      </c>
      <c r="AH46" s="4">
        <f t="shared" si="67"/>
        <v>23839790.269044574</v>
      </c>
      <c r="AI46" s="4">
        <f t="shared" si="67"/>
        <v>31113980.372903168</v>
      </c>
      <c r="AJ46" s="4">
        <f t="shared" si="67"/>
        <v>38460968.881405547</v>
      </c>
      <c r="AK46" s="4">
        <f t="shared" si="67"/>
        <v>45905879.636722311</v>
      </c>
      <c r="AL46" s="4">
        <f t="shared" si="67"/>
        <v>53421770.925647669</v>
      </c>
      <c r="AM46" s="4">
        <f t="shared" si="67"/>
        <v>61179954.398473285</v>
      </c>
      <c r="AN46" s="4">
        <f t="shared" si="67"/>
        <v>69023907.881640524</v>
      </c>
      <c r="AO46" s="4">
        <f t="shared" si="67"/>
        <v>77018991.375796542</v>
      </c>
      <c r="AP46" s="4">
        <f t="shared" si="67"/>
        <v>85166001.364769429</v>
      </c>
      <c r="AQ46" s="4">
        <f t="shared" si="67"/>
        <v>93408647.26411286</v>
      </c>
      <c r="AR46" s="4"/>
      <c r="AS46" s="4"/>
      <c r="AT46" s="4"/>
      <c r="AU46" s="4"/>
      <c r="AV46" s="4"/>
      <c r="AW46" s="4"/>
      <c r="AX46" s="4"/>
      <c r="AY46" s="4"/>
      <c r="AZ46" s="4"/>
      <c r="BA46" s="4"/>
      <c r="BB46" s="4"/>
      <c r="BC46" s="4"/>
      <c r="BD46" s="4"/>
      <c r="BI46" s="3">
        <v>97391.592911808882</v>
      </c>
      <c r="BJ46" s="3">
        <f t="shared" si="68"/>
        <v>-40165.592911808882</v>
      </c>
      <c r="BK46" s="3">
        <v>0</v>
      </c>
      <c r="BL46" s="3">
        <f t="shared" si="69"/>
        <v>11788</v>
      </c>
      <c r="BM46" s="3">
        <v>0</v>
      </c>
      <c r="BN46" s="3">
        <f t="shared" si="70"/>
        <v>142896</v>
      </c>
      <c r="BO46" s="3">
        <v>129979.12967206602</v>
      </c>
      <c r="BP46" s="3">
        <f t="shared" si="71"/>
        <v>-129979.12967206602</v>
      </c>
      <c r="BQ46" s="4">
        <v>2707325.495987494</v>
      </c>
      <c r="BR46" s="18">
        <f t="shared" si="72"/>
        <v>-1230372.495987494</v>
      </c>
      <c r="BS46" s="4">
        <v>2707325.495987494</v>
      </c>
      <c r="BT46" s="18">
        <f t="shared" si="73"/>
        <v>1077465.3384525888</v>
      </c>
    </row>
    <row r="47" spans="1:79" ht="15.75" hidden="1" thickBot="1">
      <c r="A47" s="2" t="s">
        <v>49</v>
      </c>
      <c r="B47" s="3">
        <f t="shared" si="67"/>
        <v>0</v>
      </c>
      <c r="C47" s="3">
        <f t="shared" si="67"/>
        <v>0</v>
      </c>
      <c r="D47" s="3">
        <f t="shared" si="67"/>
        <v>0</v>
      </c>
      <c r="E47" s="3">
        <f t="shared" ref="B47:AQ52" si="74">E63+E79</f>
        <v>0</v>
      </c>
      <c r="F47" s="3">
        <f t="shared" si="74"/>
        <v>4156</v>
      </c>
      <c r="G47" s="3">
        <f t="shared" si="74"/>
        <v>347991</v>
      </c>
      <c r="H47" s="3">
        <f t="shared" si="74"/>
        <v>185532</v>
      </c>
      <c r="I47" s="3">
        <f t="shared" si="74"/>
        <v>807529</v>
      </c>
      <c r="J47" s="3">
        <f t="shared" si="74"/>
        <v>267804</v>
      </c>
      <c r="K47" s="3">
        <f t="shared" si="74"/>
        <v>1156038</v>
      </c>
      <c r="L47" s="3">
        <f t="shared" si="74"/>
        <v>256193</v>
      </c>
      <c r="M47" s="3">
        <f t="shared" si="74"/>
        <v>0</v>
      </c>
      <c r="N47" s="3">
        <f t="shared" si="74"/>
        <v>228367</v>
      </c>
      <c r="O47" s="3">
        <f t="shared" si="74"/>
        <v>142475</v>
      </c>
      <c r="P47" s="3">
        <f t="shared" si="74"/>
        <v>5942796</v>
      </c>
      <c r="Q47" s="4">
        <f t="shared" si="74"/>
        <v>14723181.307554442</v>
      </c>
      <c r="R47" s="4">
        <f t="shared" si="74"/>
        <v>16181534.495108135</v>
      </c>
      <c r="S47" s="4">
        <f t="shared" si="74"/>
        <v>17792913.668298408</v>
      </c>
      <c r="T47" s="4">
        <f t="shared" si="74"/>
        <v>18551222.956685916</v>
      </c>
      <c r="U47" s="4">
        <f t="shared" si="74"/>
        <v>18610366.334955648</v>
      </c>
      <c r="V47" s="4">
        <f t="shared" si="74"/>
        <v>19057790.353947125</v>
      </c>
      <c r="W47" s="4">
        <f t="shared" si="74"/>
        <v>19714758.307196639</v>
      </c>
      <c r="X47" s="4">
        <f t="shared" si="74"/>
        <v>21571545.311524522</v>
      </c>
      <c r="Y47" s="4">
        <f t="shared" si="74"/>
        <v>24723076.430641137</v>
      </c>
      <c r="Z47" s="4">
        <f t="shared" si="74"/>
        <v>28845631.247732919</v>
      </c>
      <c r="AA47" s="4">
        <f t="shared" si="74"/>
        <v>32103070.270265095</v>
      </c>
      <c r="AB47" s="4">
        <f t="shared" si="74"/>
        <v>36674461.864360616</v>
      </c>
      <c r="AC47" s="4">
        <f t="shared" si="74"/>
        <v>41552658.101930484</v>
      </c>
      <c r="AD47" s="4">
        <f t="shared" si="74"/>
        <v>46947520.194797508</v>
      </c>
      <c r="AE47" s="4">
        <f t="shared" si="74"/>
        <v>53237896.382171422</v>
      </c>
      <c r="AF47" s="4">
        <f t="shared" si="74"/>
        <v>59653943.558622509</v>
      </c>
      <c r="AG47" s="4">
        <f t="shared" si="74"/>
        <v>66668970.765947796</v>
      </c>
      <c r="AH47" s="4">
        <f t="shared" si="74"/>
        <v>92975832.236749381</v>
      </c>
      <c r="AI47" s="4">
        <f t="shared" si="74"/>
        <v>121344914.08436503</v>
      </c>
      <c r="AJ47" s="4">
        <f t="shared" si="74"/>
        <v>149997504.5056698</v>
      </c>
      <c r="AK47" s="4">
        <f t="shared" si="74"/>
        <v>179032824.08465171</v>
      </c>
      <c r="AL47" s="4">
        <f t="shared" si="74"/>
        <v>208345142.69562158</v>
      </c>
      <c r="AM47" s="4">
        <f t="shared" si="74"/>
        <v>238602103.05506819</v>
      </c>
      <c r="AN47" s="4">
        <f t="shared" si="74"/>
        <v>269193395.93209815</v>
      </c>
      <c r="AO47" s="4">
        <f t="shared" si="74"/>
        <v>300374147.79077655</v>
      </c>
      <c r="AP47" s="4">
        <f t="shared" si="74"/>
        <v>332147583.1725204</v>
      </c>
      <c r="AQ47" s="4">
        <f t="shared" si="74"/>
        <v>364293974.34681845</v>
      </c>
      <c r="AR47" s="4"/>
      <c r="AS47" s="4"/>
      <c r="AT47" s="4"/>
      <c r="AU47" s="4"/>
      <c r="AV47" s="4"/>
      <c r="AW47" s="4"/>
      <c r="AX47" s="4"/>
      <c r="AY47" s="4"/>
      <c r="AZ47" s="4"/>
      <c r="BA47" s="4"/>
      <c r="BB47" s="4"/>
      <c r="BC47" s="4"/>
      <c r="BD47" s="4"/>
      <c r="BG47" s="3">
        <v>555579.06936715299</v>
      </c>
      <c r="BH47" s="3">
        <f t="shared" ref="BH47:BH53" si="75">K47-BG47</f>
        <v>600458.93063284701</v>
      </c>
      <c r="BI47" s="3">
        <v>243099.85906073736</v>
      </c>
      <c r="BJ47" s="3">
        <f t="shared" si="68"/>
        <v>13093.140939262637</v>
      </c>
      <c r="BK47" s="3">
        <v>0</v>
      </c>
      <c r="BL47" s="3">
        <f t="shared" si="69"/>
        <v>0</v>
      </c>
      <c r="BM47" s="3">
        <v>0</v>
      </c>
      <c r="BN47" s="3">
        <f t="shared" si="70"/>
        <v>228367</v>
      </c>
      <c r="BO47" s="3">
        <v>264815.51813808933</v>
      </c>
      <c r="BP47" s="3">
        <f t="shared" si="71"/>
        <v>-122340.51813808933</v>
      </c>
      <c r="BQ47" s="4">
        <v>10531742.936300347</v>
      </c>
      <c r="BR47" s="18">
        <f t="shared" si="72"/>
        <v>-4588946.9363003466</v>
      </c>
      <c r="BS47" s="4">
        <v>10531742.936300347</v>
      </c>
      <c r="BT47" s="18">
        <f t="shared" si="73"/>
        <v>4191438.3712540958</v>
      </c>
    </row>
    <row r="48" spans="1:79" ht="15.75" hidden="1" thickBot="1">
      <c r="A48" s="2" t="s">
        <v>50</v>
      </c>
      <c r="B48" s="3">
        <f t="shared" si="74"/>
        <v>0</v>
      </c>
      <c r="C48" s="3">
        <f t="shared" si="74"/>
        <v>0</v>
      </c>
      <c r="D48" s="3">
        <f t="shared" si="74"/>
        <v>0</v>
      </c>
      <c r="E48" s="3">
        <f t="shared" si="74"/>
        <v>0</v>
      </c>
      <c r="F48" s="3">
        <f t="shared" si="74"/>
        <v>0</v>
      </c>
      <c r="G48" s="3">
        <f t="shared" si="74"/>
        <v>327294</v>
      </c>
      <c r="H48" s="3">
        <f t="shared" si="74"/>
        <v>312767</v>
      </c>
      <c r="I48" s="3">
        <f t="shared" si="74"/>
        <v>439901</v>
      </c>
      <c r="J48" s="3">
        <f t="shared" si="74"/>
        <v>445350</v>
      </c>
      <c r="K48" s="3">
        <f t="shared" si="74"/>
        <v>273241</v>
      </c>
      <c r="L48" s="3">
        <f t="shared" si="74"/>
        <v>229403</v>
      </c>
      <c r="M48" s="3">
        <f t="shared" si="74"/>
        <v>0</v>
      </c>
      <c r="N48" s="3">
        <f t="shared" si="74"/>
        <v>142473</v>
      </c>
      <c r="O48" s="3">
        <f t="shared" si="74"/>
        <v>139648</v>
      </c>
      <c r="P48" s="3">
        <f t="shared" si="74"/>
        <v>4109184</v>
      </c>
      <c r="Q48" s="4">
        <f t="shared" si="74"/>
        <v>10355140.284927769</v>
      </c>
      <c r="R48" s="4">
        <f t="shared" si="74"/>
        <v>11342974.884639218</v>
      </c>
      <c r="S48" s="4">
        <f t="shared" si="74"/>
        <v>12472523.722955732</v>
      </c>
      <c r="T48" s="4">
        <f t="shared" si="74"/>
        <v>13010048.104022766</v>
      </c>
      <c r="U48" s="4">
        <f t="shared" si="74"/>
        <v>13041423.56435537</v>
      </c>
      <c r="V48" s="4">
        <f t="shared" si="74"/>
        <v>13367235.042229082</v>
      </c>
      <c r="W48" s="4">
        <f t="shared" si="74"/>
        <v>13821866.804855496</v>
      </c>
      <c r="X48" s="4">
        <f t="shared" si="74"/>
        <v>15124054.689887298</v>
      </c>
      <c r="Y48" s="4">
        <f t="shared" si="74"/>
        <v>17334209.367997874</v>
      </c>
      <c r="Z48" s="4">
        <f t="shared" si="74"/>
        <v>20223802.40542867</v>
      </c>
      <c r="AA48" s="4">
        <f t="shared" si="74"/>
        <v>22509408.000443369</v>
      </c>
      <c r="AB48" s="4">
        <f t="shared" si="74"/>
        <v>25713340.572517987</v>
      </c>
      <c r="AC48" s="4">
        <f t="shared" si="74"/>
        <v>29133739.630671911</v>
      </c>
      <c r="AD48" s="4">
        <f t="shared" si="74"/>
        <v>32916333.64824855</v>
      </c>
      <c r="AE48" s="4">
        <f t="shared" si="74"/>
        <v>37326676.48108577</v>
      </c>
      <c r="AF48" s="4">
        <f t="shared" si="74"/>
        <v>41825365.235914446</v>
      </c>
      <c r="AG48" s="4">
        <f t="shared" si="74"/>
        <v>46743588.693858713</v>
      </c>
      <c r="AH48" s="4">
        <f t="shared" si="74"/>
        <v>65188181.096234925</v>
      </c>
      <c r="AI48" s="4">
        <f t="shared" si="74"/>
        <v>85078641.321249694</v>
      </c>
      <c r="AJ48" s="4">
        <f t="shared" si="74"/>
        <v>105167856.28060032</v>
      </c>
      <c r="AK48" s="4">
        <f t="shared" si="74"/>
        <v>125525427.71508251</v>
      </c>
      <c r="AL48" s="4">
        <f t="shared" si="74"/>
        <v>146077146.65912253</v>
      </c>
      <c r="AM48" s="4">
        <f t="shared" si="74"/>
        <v>167291246.52246335</v>
      </c>
      <c r="AN48" s="4">
        <f t="shared" si="74"/>
        <v>188739746.64316532</v>
      </c>
      <c r="AO48" s="4">
        <f t="shared" si="74"/>
        <v>210601528.07062194</v>
      </c>
      <c r="AP48" s="4">
        <f t="shared" si="74"/>
        <v>232878856.6994141</v>
      </c>
      <c r="AQ48" s="4">
        <f t="shared" si="74"/>
        <v>255417670.81822744</v>
      </c>
      <c r="AR48" s="4"/>
      <c r="AS48" s="4"/>
      <c r="AT48" s="4"/>
      <c r="AU48" s="4"/>
      <c r="AV48" s="4"/>
      <c r="AW48" s="4"/>
      <c r="AX48" s="4"/>
      <c r="AY48" s="4"/>
      <c r="AZ48" s="4"/>
      <c r="BA48" s="4"/>
      <c r="BB48" s="4"/>
      <c r="BC48" s="4"/>
      <c r="BD48" s="4"/>
      <c r="BG48" s="3">
        <v>525372.05021075532</v>
      </c>
      <c r="BH48" s="3">
        <f t="shared" si="75"/>
        <v>-252131.05021075532</v>
      </c>
      <c r="BI48" s="3">
        <v>141552.5635175404</v>
      </c>
      <c r="BJ48" s="3">
        <f t="shared" si="68"/>
        <v>87850.436482459598</v>
      </c>
      <c r="BK48" s="3">
        <v>0</v>
      </c>
      <c r="BL48" s="3">
        <f t="shared" si="69"/>
        <v>0</v>
      </c>
      <c r="BM48" s="3">
        <v>0</v>
      </c>
      <c r="BN48" s="3">
        <f t="shared" si="70"/>
        <v>142473</v>
      </c>
      <c r="BO48" s="3">
        <v>140192.85959093005</v>
      </c>
      <c r="BP48" s="3">
        <f t="shared" si="71"/>
        <v>-544.85959093004931</v>
      </c>
      <c r="BQ48" s="4">
        <v>7407208.6237388002</v>
      </c>
      <c r="BR48" s="18">
        <f t="shared" si="72"/>
        <v>-3298024.6237388002</v>
      </c>
      <c r="BS48" s="4">
        <v>7407208.6237388002</v>
      </c>
      <c r="BT48" s="18">
        <f t="shared" si="73"/>
        <v>2947931.6611889685</v>
      </c>
    </row>
    <row r="49" spans="1:72" ht="15.75" hidden="1" thickBot="1">
      <c r="A49" s="2" t="s">
        <v>51</v>
      </c>
      <c r="B49" s="3">
        <f t="shared" si="74"/>
        <v>0</v>
      </c>
      <c r="C49" s="3">
        <f t="shared" si="74"/>
        <v>0</v>
      </c>
      <c r="D49" s="3">
        <f t="shared" si="74"/>
        <v>0</v>
      </c>
      <c r="E49" s="3">
        <f t="shared" si="74"/>
        <v>0</v>
      </c>
      <c r="F49" s="3">
        <f t="shared" si="74"/>
        <v>2731</v>
      </c>
      <c r="G49" s="3">
        <f t="shared" si="74"/>
        <v>0</v>
      </c>
      <c r="H49" s="3">
        <f t="shared" si="74"/>
        <v>342140</v>
      </c>
      <c r="I49" s="3">
        <f t="shared" si="74"/>
        <v>527873</v>
      </c>
      <c r="J49" s="3">
        <f t="shared" si="74"/>
        <v>888689</v>
      </c>
      <c r="K49" s="3">
        <f t="shared" si="74"/>
        <v>399988</v>
      </c>
      <c r="L49" s="3">
        <f t="shared" si="74"/>
        <v>114746</v>
      </c>
      <c r="M49" s="3">
        <f t="shared" si="74"/>
        <v>0</v>
      </c>
      <c r="N49" s="3">
        <f t="shared" si="74"/>
        <v>143328</v>
      </c>
      <c r="O49" s="3">
        <f t="shared" si="74"/>
        <v>146298</v>
      </c>
      <c r="P49" s="3">
        <f t="shared" si="74"/>
        <v>5794701</v>
      </c>
      <c r="Q49" s="4">
        <f t="shared" si="74"/>
        <v>13892301.905142682</v>
      </c>
      <c r="R49" s="4">
        <f t="shared" si="74"/>
        <v>15366035.378193257</v>
      </c>
      <c r="S49" s="4">
        <f t="shared" si="74"/>
        <v>16896206.042193692</v>
      </c>
      <c r="T49" s="4">
        <f t="shared" si="74"/>
        <v>17641198.483870912</v>
      </c>
      <c r="U49" s="4">
        <f t="shared" si="74"/>
        <v>17694691.428831387</v>
      </c>
      <c r="V49" s="4">
        <f t="shared" si="74"/>
        <v>18088070.388814162</v>
      </c>
      <c r="W49" s="4">
        <f t="shared" si="74"/>
        <v>18729471.83022812</v>
      </c>
      <c r="X49" s="4">
        <f t="shared" si="74"/>
        <v>20495025.412832484</v>
      </c>
      <c r="Y49" s="4">
        <f t="shared" si="74"/>
        <v>23491501.421989467</v>
      </c>
      <c r="Z49" s="4">
        <f t="shared" si="74"/>
        <v>27404768.792061396</v>
      </c>
      <c r="AA49" s="4">
        <f t="shared" si="74"/>
        <v>30495570.953237846</v>
      </c>
      <c r="AB49" s="4">
        <f t="shared" si="74"/>
        <v>34842518.480418026</v>
      </c>
      <c r="AC49" s="4">
        <f t="shared" si="74"/>
        <v>39477187.513634406</v>
      </c>
      <c r="AD49" s="4">
        <f t="shared" si="74"/>
        <v>44602319.465958424</v>
      </c>
      <c r="AE49" s="4">
        <f t="shared" si="74"/>
        <v>50577486.262210809</v>
      </c>
      <c r="AF49" s="4">
        <f t="shared" si="74"/>
        <v>56672735.834222242</v>
      </c>
      <c r="AG49" s="4">
        <f t="shared" si="74"/>
        <v>63338068.231849469</v>
      </c>
      <c r="AH49" s="4">
        <f t="shared" si="74"/>
        <v>88330459.795797542</v>
      </c>
      <c r="AI49" s="4">
        <f t="shared" si="74"/>
        <v>115281889.95746492</v>
      </c>
      <c r="AJ49" s="4">
        <f t="shared" si="74"/>
        <v>142502641.29336897</v>
      </c>
      <c r="AK49" s="4">
        <f t="shared" si="74"/>
        <v>170087272.42928278</v>
      </c>
      <c r="AL49" s="4">
        <f t="shared" si="74"/>
        <v>197935156.41234803</v>
      </c>
      <c r="AM49" s="4">
        <f t="shared" si="74"/>
        <v>226680255.01660433</v>
      </c>
      <c r="AN49" s="4">
        <f t="shared" si="74"/>
        <v>255742981.40175316</v>
      </c>
      <c r="AO49" s="4">
        <f t="shared" si="74"/>
        <v>285365753.45744133</v>
      </c>
      <c r="AP49" s="4">
        <f t="shared" si="74"/>
        <v>315551646.31519157</v>
      </c>
      <c r="AQ49" s="4">
        <f t="shared" si="74"/>
        <v>346091846.42917192</v>
      </c>
      <c r="AR49" s="4"/>
      <c r="AS49" s="4"/>
      <c r="AT49" s="4"/>
      <c r="AU49" s="4"/>
      <c r="AV49" s="4"/>
      <c r="AW49" s="4"/>
      <c r="AX49" s="4"/>
      <c r="AY49" s="4"/>
      <c r="AZ49" s="4"/>
      <c r="BA49" s="4"/>
      <c r="BB49" s="4"/>
      <c r="BC49" s="4"/>
      <c r="BD49" s="4"/>
      <c r="BG49" s="3">
        <v>605068.95110964961</v>
      </c>
      <c r="BH49" s="3">
        <f t="shared" si="75"/>
        <v>-205080.95110964961</v>
      </c>
      <c r="BI49" s="3">
        <v>181222.26553995311</v>
      </c>
      <c r="BJ49" s="3">
        <f t="shared" si="68"/>
        <v>-66476.265539953107</v>
      </c>
      <c r="BK49" s="3">
        <v>0</v>
      </c>
      <c r="BL49" s="3">
        <f t="shared" si="69"/>
        <v>0</v>
      </c>
      <c r="BM49" s="3">
        <v>0</v>
      </c>
      <c r="BN49" s="3">
        <f t="shared" si="70"/>
        <v>143328</v>
      </c>
      <c r="BO49" s="3">
        <v>122121.65345480654</v>
      </c>
      <c r="BP49" s="3">
        <f t="shared" si="71"/>
        <v>24176.346545193461</v>
      </c>
      <c r="BQ49" s="4">
        <v>9937400.7153852507</v>
      </c>
      <c r="BR49" s="18">
        <f t="shared" si="72"/>
        <v>-4142699.7153852507</v>
      </c>
      <c r="BS49" s="4">
        <v>9937400.7153852507</v>
      </c>
      <c r="BT49" s="18">
        <f t="shared" si="73"/>
        <v>3954901.1897574309</v>
      </c>
    </row>
    <row r="50" spans="1:72" ht="15.75" hidden="1" thickBot="1">
      <c r="A50" s="2" t="s">
        <v>52</v>
      </c>
      <c r="B50" s="3">
        <f t="shared" si="74"/>
        <v>0</v>
      </c>
      <c r="C50" s="3">
        <f t="shared" si="74"/>
        <v>0</v>
      </c>
      <c r="D50" s="3">
        <f t="shared" si="74"/>
        <v>0</v>
      </c>
      <c r="E50" s="3">
        <f t="shared" si="74"/>
        <v>0</v>
      </c>
      <c r="F50" s="3">
        <f t="shared" si="74"/>
        <v>430634</v>
      </c>
      <c r="G50" s="3">
        <f t="shared" si="74"/>
        <v>229173</v>
      </c>
      <c r="H50" s="3">
        <f t="shared" si="74"/>
        <v>186071</v>
      </c>
      <c r="I50" s="3">
        <f t="shared" si="74"/>
        <v>3257835</v>
      </c>
      <c r="J50" s="3">
        <f t="shared" si="74"/>
        <v>439426</v>
      </c>
      <c r="K50" s="3">
        <f t="shared" si="74"/>
        <v>348381</v>
      </c>
      <c r="L50" s="3">
        <f t="shared" si="74"/>
        <v>173213</v>
      </c>
      <c r="M50" s="3">
        <f t="shared" si="74"/>
        <v>0</v>
      </c>
      <c r="N50" s="3">
        <f t="shared" si="74"/>
        <v>28784</v>
      </c>
      <c r="O50" s="3">
        <f t="shared" si="74"/>
        <v>0</v>
      </c>
      <c r="P50" s="3">
        <f t="shared" si="74"/>
        <v>6029880</v>
      </c>
      <c r="Q50" s="4">
        <f t="shared" si="74"/>
        <v>13965816.618019318</v>
      </c>
      <c r="R50" s="4">
        <f t="shared" si="74"/>
        <v>15402842.945499087</v>
      </c>
      <c r="S50" s="4">
        <f t="shared" si="74"/>
        <v>16936678.957022049</v>
      </c>
      <c r="T50" s="4">
        <f t="shared" si="74"/>
        <v>17722360.42478371</v>
      </c>
      <c r="U50" s="4">
        <f t="shared" si="74"/>
        <v>17813469.661110558</v>
      </c>
      <c r="V50" s="4">
        <f t="shared" si="74"/>
        <v>18165921.564415995</v>
      </c>
      <c r="W50" s="4">
        <f t="shared" si="74"/>
        <v>18807084.184626281</v>
      </c>
      <c r="X50" s="4">
        <f t="shared" si="74"/>
        <v>20586137.533140317</v>
      </c>
      <c r="Y50" s="4">
        <f t="shared" si="74"/>
        <v>23604717.846533172</v>
      </c>
      <c r="Z50" s="4">
        <f t="shared" si="74"/>
        <v>27537918.778450992</v>
      </c>
      <c r="AA50" s="4">
        <f t="shared" si="74"/>
        <v>30634492.59682687</v>
      </c>
      <c r="AB50" s="4">
        <f t="shared" si="74"/>
        <v>35002556.432509959</v>
      </c>
      <c r="AC50" s="4">
        <f t="shared" si="74"/>
        <v>39660943.092336111</v>
      </c>
      <c r="AD50" s="4">
        <f t="shared" si="74"/>
        <v>44811159.018180691</v>
      </c>
      <c r="AE50" s="4">
        <f t="shared" si="74"/>
        <v>50813381.146002404</v>
      </c>
      <c r="AF50" s="4">
        <f t="shared" si="74"/>
        <v>56935547.829729386</v>
      </c>
      <c r="AG50" s="4">
        <f t="shared" si="74"/>
        <v>63632489.156553492</v>
      </c>
      <c r="AH50" s="4">
        <f t="shared" si="74"/>
        <v>88741722.829262897</v>
      </c>
      <c r="AI50" s="4">
        <f t="shared" si="74"/>
        <v>115818656.21293178</v>
      </c>
      <c r="AJ50" s="4">
        <f t="shared" si="74"/>
        <v>143165706.65146556</v>
      </c>
      <c r="AK50" s="4">
        <f t="shared" si="74"/>
        <v>170878485.70601177</v>
      </c>
      <c r="AL50" s="4">
        <f t="shared" si="74"/>
        <v>198856192.29707372</v>
      </c>
      <c r="AM50" s="4">
        <f t="shared" si="74"/>
        <v>227735145.00964803</v>
      </c>
      <c r="AN50" s="4">
        <f t="shared" si="74"/>
        <v>256933057.81511116</v>
      </c>
      <c r="AO50" s="4">
        <f t="shared" si="74"/>
        <v>286693586.875507</v>
      </c>
      <c r="AP50" s="4">
        <f t="shared" si="74"/>
        <v>317019941.03151929</v>
      </c>
      <c r="AQ50" s="4">
        <f t="shared" si="74"/>
        <v>347702307.45268995</v>
      </c>
      <c r="AR50" s="4"/>
      <c r="AS50" s="4"/>
      <c r="AT50" s="4"/>
      <c r="AU50" s="4"/>
      <c r="AV50" s="4"/>
      <c r="AW50" s="4"/>
      <c r="AX50" s="4"/>
      <c r="AY50" s="4"/>
      <c r="AZ50" s="4"/>
      <c r="BA50" s="4"/>
      <c r="BB50" s="4"/>
      <c r="BC50" s="4"/>
      <c r="BD50" s="4"/>
      <c r="BG50" s="3">
        <v>539722.45385003719</v>
      </c>
      <c r="BH50" s="3">
        <f t="shared" si="75"/>
        <v>-191341.45385003719</v>
      </c>
      <c r="BI50" s="3">
        <v>132809.49625800003</v>
      </c>
      <c r="BJ50" s="3">
        <f t="shared" si="68"/>
        <v>40403.503741999972</v>
      </c>
      <c r="BK50" s="3">
        <v>0</v>
      </c>
      <c r="BL50" s="3">
        <f t="shared" si="69"/>
        <v>0</v>
      </c>
      <c r="BM50" s="3">
        <v>0</v>
      </c>
      <c r="BN50" s="3">
        <f t="shared" si="70"/>
        <v>28784</v>
      </c>
      <c r="BO50" s="3">
        <v>78148.649056106209</v>
      </c>
      <c r="BP50" s="3">
        <f t="shared" si="71"/>
        <v>-78148.649056106209</v>
      </c>
      <c r="BQ50" s="4">
        <v>9989987.0445134137</v>
      </c>
      <c r="BR50" s="18">
        <f t="shared" si="72"/>
        <v>-3960107.0445134137</v>
      </c>
      <c r="BS50" s="4">
        <v>9989987.0445134137</v>
      </c>
      <c r="BT50" s="18">
        <f t="shared" si="73"/>
        <v>3975829.5735059045</v>
      </c>
    </row>
    <row r="51" spans="1:72" ht="15.75" hidden="1" thickBot="1">
      <c r="A51" s="2" t="s">
        <v>53</v>
      </c>
      <c r="B51" s="3">
        <f t="shared" si="74"/>
        <v>0</v>
      </c>
      <c r="C51" s="3">
        <f t="shared" si="74"/>
        <v>0</v>
      </c>
      <c r="D51" s="3">
        <f t="shared" si="74"/>
        <v>0</v>
      </c>
      <c r="E51" s="3">
        <f t="shared" si="74"/>
        <v>0</v>
      </c>
      <c r="F51" s="3">
        <f t="shared" si="74"/>
        <v>173075</v>
      </c>
      <c r="G51" s="3">
        <f t="shared" si="74"/>
        <v>144675</v>
      </c>
      <c r="H51" s="3">
        <f t="shared" si="74"/>
        <v>255250</v>
      </c>
      <c r="I51" s="3">
        <f t="shared" si="74"/>
        <v>380910</v>
      </c>
      <c r="J51" s="3">
        <f t="shared" si="74"/>
        <v>389828</v>
      </c>
      <c r="K51" s="3">
        <f t="shared" si="74"/>
        <v>202030</v>
      </c>
      <c r="L51" s="3">
        <f t="shared" si="74"/>
        <v>173959</v>
      </c>
      <c r="M51" s="3">
        <f t="shared" si="74"/>
        <v>125000</v>
      </c>
      <c r="N51" s="3">
        <f t="shared" si="74"/>
        <v>0</v>
      </c>
      <c r="O51" s="3">
        <f t="shared" si="74"/>
        <v>0</v>
      </c>
      <c r="P51" s="3">
        <f t="shared" si="74"/>
        <v>6758732</v>
      </c>
      <c r="Q51" s="4">
        <f t="shared" si="74"/>
        <v>15816489.67921629</v>
      </c>
      <c r="R51" s="4">
        <f t="shared" si="74"/>
        <v>17461024.633934636</v>
      </c>
      <c r="S51" s="4">
        <f t="shared" si="74"/>
        <v>19140058.639607616</v>
      </c>
      <c r="T51" s="4">
        <f t="shared" si="74"/>
        <v>20038968.683547024</v>
      </c>
      <c r="U51" s="4">
        <f t="shared" si="74"/>
        <v>20141987.417495262</v>
      </c>
      <c r="V51" s="4">
        <f t="shared" si="74"/>
        <v>20553685.197982185</v>
      </c>
      <c r="W51" s="4">
        <f t="shared" si="74"/>
        <v>21275849.259528071</v>
      </c>
      <c r="X51" s="4">
        <f t="shared" si="74"/>
        <v>23280084.218747277</v>
      </c>
      <c r="Y51" s="4">
        <f t="shared" si="74"/>
        <v>26696976.427405216</v>
      </c>
      <c r="Z51" s="4">
        <f t="shared" si="74"/>
        <v>31146838.859259732</v>
      </c>
      <c r="AA51" s="4">
        <f t="shared" si="74"/>
        <v>34650914.324570827</v>
      </c>
      <c r="AB51" s="4">
        <f t="shared" si="74"/>
        <v>39589912.315229982</v>
      </c>
      <c r="AC51" s="4">
        <f t="shared" si="74"/>
        <v>44857675.797513328</v>
      </c>
      <c r="AD51" s="4">
        <f t="shared" si="74"/>
        <v>50683702.821311437</v>
      </c>
      <c r="AE51" s="4">
        <f t="shared" si="74"/>
        <v>57472853.938763566</v>
      </c>
      <c r="AF51" s="4">
        <f t="shared" si="74"/>
        <v>64397412.999317296</v>
      </c>
      <c r="AG51" s="4">
        <f t="shared" si="74"/>
        <v>71971616.252938256</v>
      </c>
      <c r="AH51" s="4">
        <f t="shared" si="74"/>
        <v>100371373.24926022</v>
      </c>
      <c r="AI51" s="4">
        <f t="shared" si="74"/>
        <v>130997078.03127518</v>
      </c>
      <c r="AJ51" s="4">
        <f t="shared" si="74"/>
        <v>161928091.99758774</v>
      </c>
      <c r="AK51" s="4">
        <f t="shared" si="74"/>
        <v>193272660.21516216</v>
      </c>
      <c r="AL51" s="4">
        <f t="shared" si="74"/>
        <v>224916839.95675364</v>
      </c>
      <c r="AM51" s="4">
        <f t="shared" si="74"/>
        <v>257580485.25151262</v>
      </c>
      <c r="AN51" s="4">
        <f t="shared" si="74"/>
        <v>290604929.45561785</v>
      </c>
      <c r="AO51" s="4">
        <f t="shared" si="74"/>
        <v>324265659.60209471</v>
      </c>
      <c r="AP51" s="4">
        <f t="shared" si="74"/>
        <v>358566352.88591659</v>
      </c>
      <c r="AQ51" s="4">
        <f t="shared" si="74"/>
        <v>393269725.07529366</v>
      </c>
      <c r="AR51" s="4"/>
      <c r="AS51" s="4"/>
      <c r="AT51" s="4"/>
      <c r="AU51" s="4"/>
      <c r="AV51" s="4"/>
      <c r="AW51" s="4"/>
      <c r="AX51" s="4"/>
      <c r="AY51" s="4"/>
      <c r="AZ51" s="4"/>
      <c r="BA51" s="4"/>
      <c r="BB51" s="4"/>
      <c r="BC51" s="4"/>
      <c r="BD51" s="4"/>
      <c r="BG51" s="3">
        <v>461586.75477646798</v>
      </c>
      <c r="BH51" s="3">
        <f t="shared" si="75"/>
        <v>-259556.75477646798</v>
      </c>
      <c r="BI51" s="3">
        <v>174725.63763993254</v>
      </c>
      <c r="BJ51" s="3">
        <f t="shared" si="68"/>
        <v>-766.63763993253815</v>
      </c>
      <c r="BK51" s="3">
        <v>0</v>
      </c>
      <c r="BL51" s="3">
        <f t="shared" si="69"/>
        <v>125000</v>
      </c>
      <c r="BM51" s="3">
        <v>0</v>
      </c>
      <c r="BN51" s="3">
        <f t="shared" si="70"/>
        <v>0</v>
      </c>
      <c r="BO51" s="3">
        <v>70333.263056335767</v>
      </c>
      <c r="BP51" s="3">
        <f t="shared" si="71"/>
        <v>-70333.263056335767</v>
      </c>
      <c r="BQ51" s="4">
        <v>11313805.078980044</v>
      </c>
      <c r="BR51" s="18">
        <f t="shared" si="72"/>
        <v>-4555073.0789800435</v>
      </c>
      <c r="BS51" s="4">
        <v>11313805.078980044</v>
      </c>
      <c r="BT51" s="18">
        <f t="shared" si="73"/>
        <v>4502684.6002362464</v>
      </c>
    </row>
    <row r="52" spans="1:72" ht="15.75" hidden="1" thickBot="1">
      <c r="A52" s="2" t="s">
        <v>54</v>
      </c>
      <c r="B52" s="3">
        <f t="shared" si="74"/>
        <v>0</v>
      </c>
      <c r="C52" s="3">
        <f t="shared" si="74"/>
        <v>0</v>
      </c>
      <c r="D52" s="3">
        <f t="shared" si="74"/>
        <v>0</v>
      </c>
      <c r="E52" s="3">
        <f t="shared" si="74"/>
        <v>0</v>
      </c>
      <c r="F52" s="3">
        <f t="shared" si="74"/>
        <v>89327</v>
      </c>
      <c r="G52" s="3">
        <f t="shared" si="74"/>
        <v>160436</v>
      </c>
      <c r="H52" s="3">
        <f t="shared" si="74"/>
        <v>501757</v>
      </c>
      <c r="I52" s="3">
        <f t="shared" si="74"/>
        <v>1096265</v>
      </c>
      <c r="J52" s="3">
        <f t="shared" si="74"/>
        <v>143450</v>
      </c>
      <c r="K52" s="3">
        <f t="shared" si="74"/>
        <v>197121</v>
      </c>
      <c r="L52" s="3">
        <f t="shared" si="74"/>
        <v>57832</v>
      </c>
      <c r="M52" s="3">
        <f t="shared" si="74"/>
        <v>215821</v>
      </c>
      <c r="N52" s="3">
        <f t="shared" si="74"/>
        <v>277529</v>
      </c>
      <c r="O52" s="3">
        <f t="shared" si="74"/>
        <v>347542</v>
      </c>
      <c r="P52" s="3">
        <f t="shared" si="74"/>
        <v>9375739</v>
      </c>
      <c r="Q52" s="4">
        <f t="shared" si="74"/>
        <v>11977326.999502897</v>
      </c>
      <c r="R52" s="4">
        <f t="shared" si="74"/>
        <v>17071606.296631113</v>
      </c>
      <c r="S52" s="4">
        <f t="shared" si="74"/>
        <v>18668442.858093888</v>
      </c>
      <c r="T52" s="4">
        <f t="shared" si="74"/>
        <v>19451223.438077778</v>
      </c>
      <c r="U52" s="4">
        <f t="shared" si="74"/>
        <v>19462851.468332335</v>
      </c>
      <c r="V52" s="4">
        <f t="shared" si="74"/>
        <v>19229199.335447371</v>
      </c>
      <c r="W52" s="4">
        <f t="shared" si="74"/>
        <v>20521216.083207518</v>
      </c>
      <c r="X52" s="4">
        <f t="shared" si="74"/>
        <v>22401449.124340028</v>
      </c>
      <c r="Y52" s="4">
        <f t="shared" si="74"/>
        <v>25625798.024193496</v>
      </c>
      <c r="Z52" s="4">
        <f t="shared" si="74"/>
        <v>29836938.839464605</v>
      </c>
      <c r="AA52" s="4">
        <f t="shared" si="74"/>
        <v>33146316.823403746</v>
      </c>
      <c r="AB52" s="4">
        <f t="shared" si="74"/>
        <v>37995651.39139846</v>
      </c>
      <c r="AC52" s="4">
        <f t="shared" si="74"/>
        <v>43021797.308200866</v>
      </c>
      <c r="AD52" s="4">
        <f t="shared" si="74"/>
        <v>48588146.398055851</v>
      </c>
      <c r="AE52" s="4">
        <f t="shared" si="74"/>
        <v>55087261.966467738</v>
      </c>
      <c r="AF52" s="4">
        <f t="shared" si="74"/>
        <v>61729227.49359113</v>
      </c>
      <c r="AG52" s="4">
        <f t="shared" si="74"/>
        <v>69008903.498011768</v>
      </c>
      <c r="AH52" s="4">
        <f t="shared" si="74"/>
        <v>96227285.457565665</v>
      </c>
      <c r="AI52" s="4">
        <f t="shared" si="74"/>
        <v>125582382.7622987</v>
      </c>
      <c r="AJ52" s="4">
        <f t="shared" si="74"/>
        <v>155235097.47838831</v>
      </c>
      <c r="AK52" s="4">
        <f t="shared" si="74"/>
        <v>185287767.19578409</v>
      </c>
      <c r="AL52" s="4">
        <f t="shared" si="74"/>
        <v>215627211.84827852</v>
      </c>
      <c r="AM52" s="4">
        <f t="shared" si="74"/>
        <v>246938626.01314831</v>
      </c>
      <c r="AN52" s="4">
        <f t="shared" si="74"/>
        <v>278597857.90348768</v>
      </c>
      <c r="AO52" s="4">
        <f t="shared" si="74"/>
        <v>310868449.25855398</v>
      </c>
      <c r="AP52" s="4">
        <f t="shared" si="74"/>
        <v>343752782.21159124</v>
      </c>
      <c r="AQ52" s="4">
        <f t="shared" si="74"/>
        <v>377022484.47288084</v>
      </c>
      <c r="AR52" s="4"/>
      <c r="AS52" s="4"/>
      <c r="AT52" s="4"/>
      <c r="AU52" s="4"/>
      <c r="AV52" s="4"/>
      <c r="AW52" s="4"/>
      <c r="AX52" s="4"/>
      <c r="AY52" s="4"/>
      <c r="AZ52" s="4"/>
      <c r="BA52" s="4"/>
      <c r="BB52" s="4"/>
      <c r="BC52" s="4"/>
      <c r="BD52" s="4"/>
      <c r="BG52" s="3">
        <v>516000.8402638454</v>
      </c>
      <c r="BH52" s="3">
        <f t="shared" si="75"/>
        <v>-318879.8402638454</v>
      </c>
      <c r="BI52" s="3">
        <v>170090</v>
      </c>
      <c r="BJ52" s="3">
        <f t="shared" si="68"/>
        <v>-112258</v>
      </c>
      <c r="BK52" s="3">
        <v>0</v>
      </c>
      <c r="BL52" s="3">
        <f t="shared" si="69"/>
        <v>215821</v>
      </c>
      <c r="BM52" s="3">
        <v>0</v>
      </c>
      <c r="BN52" s="3">
        <f t="shared" si="70"/>
        <v>277529</v>
      </c>
      <c r="BO52" s="3">
        <v>255890.12690812559</v>
      </c>
      <c r="BP52" s="3">
        <f t="shared" si="71"/>
        <v>91651.873091874411</v>
      </c>
      <c r="BQ52" s="4">
        <v>10099618.866438419</v>
      </c>
      <c r="BR52" s="18">
        <f t="shared" si="72"/>
        <v>-723879.86643841863</v>
      </c>
      <c r="BS52" s="4">
        <v>10099618.866438419</v>
      </c>
      <c r="BT52" s="18">
        <f t="shared" si="73"/>
        <v>1877708.1330644786</v>
      </c>
    </row>
    <row r="53" spans="1:72" ht="15.75" hidden="1" thickBot="1">
      <c r="A53" s="2" t="s">
        <v>29</v>
      </c>
      <c r="B53" s="3">
        <f>SUM(B41:B52)</f>
        <v>0</v>
      </c>
      <c r="C53" s="3">
        <f t="shared" ref="C53:AQ53" si="76">SUM(C41:C52)</f>
        <v>0</v>
      </c>
      <c r="D53" s="3">
        <f t="shared" si="76"/>
        <v>20069</v>
      </c>
      <c r="E53" s="3">
        <f t="shared" si="76"/>
        <v>0</v>
      </c>
      <c r="F53" s="3">
        <f t="shared" si="76"/>
        <v>728509</v>
      </c>
      <c r="G53" s="3">
        <f t="shared" si="76"/>
        <v>2181096</v>
      </c>
      <c r="H53" s="3">
        <f t="shared" si="76"/>
        <v>3805246</v>
      </c>
      <c r="I53" s="3">
        <f t="shared" si="76"/>
        <v>10047034</v>
      </c>
      <c r="J53" s="3">
        <f t="shared" si="76"/>
        <v>8158168</v>
      </c>
      <c r="K53" s="3">
        <f t="shared" si="76"/>
        <v>9815841</v>
      </c>
      <c r="L53" s="3">
        <f t="shared" si="76"/>
        <v>2051172</v>
      </c>
      <c r="M53" s="3">
        <f t="shared" si="76"/>
        <v>585099</v>
      </c>
      <c r="N53" s="3">
        <f t="shared" si="76"/>
        <v>1396503</v>
      </c>
      <c r="O53" s="3">
        <f t="shared" si="76"/>
        <v>1294545</v>
      </c>
      <c r="P53" s="3">
        <f t="shared" si="76"/>
        <v>43263342</v>
      </c>
      <c r="Q53" s="4">
        <f t="shared" si="76"/>
        <v>108893076.81687927</v>
      </c>
      <c r="R53" s="4">
        <f t="shared" si="76"/>
        <v>119558826.29679656</v>
      </c>
      <c r="S53" s="4">
        <f t="shared" si="76"/>
        <v>131184939.27208924</v>
      </c>
      <c r="T53" s="4">
        <f t="shared" si="76"/>
        <v>136873120.59585667</v>
      </c>
      <c r="U53" s="4">
        <f t="shared" si="76"/>
        <v>137247611.70624554</v>
      </c>
      <c r="V53" s="4">
        <f t="shared" si="76"/>
        <v>140672360.72835255</v>
      </c>
      <c r="W53" s="4">
        <f t="shared" si="76"/>
        <v>145474459.06834352</v>
      </c>
      <c r="X53" s="4">
        <f t="shared" si="76"/>
        <v>159139741.306216</v>
      </c>
      <c r="Y53" s="4">
        <f t="shared" si="76"/>
        <v>182409485.31584787</v>
      </c>
      <c r="Z53" s="4">
        <f t="shared" si="76"/>
        <v>212826069.96412158</v>
      </c>
      <c r="AA53" s="4">
        <f t="shared" si="76"/>
        <v>236877156.69228888</v>
      </c>
      <c r="AB53" s="4">
        <f t="shared" si="76"/>
        <v>270592899.64110255</v>
      </c>
      <c r="AC53" s="4">
        <f t="shared" si="76"/>
        <v>306581266.99777985</v>
      </c>
      <c r="AD53" s="4">
        <f t="shared" si="76"/>
        <v>346390493.63448143</v>
      </c>
      <c r="AE53" s="4">
        <f t="shared" si="76"/>
        <v>392803464.67981815</v>
      </c>
      <c r="AF53" s="4">
        <f t="shared" si="76"/>
        <v>440144119.31962585</v>
      </c>
      <c r="AG53" s="4">
        <f t="shared" si="76"/>
        <v>491899839.96628666</v>
      </c>
      <c r="AH53" s="4">
        <f t="shared" si="76"/>
        <v>685998311.89289474</v>
      </c>
      <c r="AI53" s="4">
        <f t="shared" si="76"/>
        <v>895313956.494627</v>
      </c>
      <c r="AJ53" s="4">
        <f t="shared" si="76"/>
        <v>1106720274.5383472</v>
      </c>
      <c r="AK53" s="4">
        <f t="shared" si="76"/>
        <v>1320950156.1071396</v>
      </c>
      <c r="AL53" s="4">
        <f t="shared" si="76"/>
        <v>1537223286.2780037</v>
      </c>
      <c r="AM53" s="4">
        <f t="shared" si="76"/>
        <v>1760467041.5770206</v>
      </c>
      <c r="AN53" s="4">
        <f t="shared" si="76"/>
        <v>1986177697.5703621</v>
      </c>
      <c r="AO53" s="4">
        <f t="shared" si="76"/>
        <v>2216237210.6743507</v>
      </c>
      <c r="AP53" s="4">
        <f t="shared" si="76"/>
        <v>2450669634.5694122</v>
      </c>
      <c r="AQ53" s="4">
        <f t="shared" si="76"/>
        <v>2687853833.8378754</v>
      </c>
      <c r="AR53" s="4"/>
      <c r="AS53" s="4"/>
      <c r="AT53" s="4"/>
      <c r="AU53" s="4"/>
      <c r="AV53" s="4"/>
      <c r="AW53" s="4"/>
      <c r="AX53" s="4"/>
      <c r="AY53" s="4"/>
      <c r="AZ53" s="4"/>
      <c r="BA53" s="4"/>
      <c r="BB53" s="4"/>
      <c r="BC53" s="4"/>
      <c r="BD53" s="4"/>
      <c r="BG53" s="3">
        <v>10790700</v>
      </c>
      <c r="BH53" s="3">
        <f t="shared" si="75"/>
        <v>-974859</v>
      </c>
      <c r="BI53" s="3">
        <v>2163430</v>
      </c>
      <c r="BJ53" s="3">
        <f t="shared" si="68"/>
        <v>-112258</v>
      </c>
      <c r="BK53" s="3">
        <v>369278</v>
      </c>
      <c r="BL53" s="3">
        <f t="shared" si="69"/>
        <v>215821</v>
      </c>
      <c r="BM53" s="3">
        <v>1118974</v>
      </c>
      <c r="BN53" s="3">
        <f t="shared" si="70"/>
        <v>277529</v>
      </c>
      <c r="BO53" s="3">
        <v>1273226.3899644613</v>
      </c>
      <c r="BP53" s="3">
        <f t="shared" si="71"/>
        <v>21318.610035538673</v>
      </c>
      <c r="BQ53" s="4">
        <v>77893076.816879272</v>
      </c>
      <c r="BR53" s="18">
        <f t="shared" si="72"/>
        <v>-34629734.816879272</v>
      </c>
      <c r="BS53" s="19">
        <v>77893076.816879272</v>
      </c>
      <c r="BT53" s="18">
        <f t="shared" si="73"/>
        <v>31000000</v>
      </c>
    </row>
    <row r="54" spans="1:72">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c r="AH54" s="114"/>
      <c r="AI54" s="114"/>
      <c r="AJ54" s="114"/>
      <c r="AK54" s="114"/>
      <c r="AL54" s="114"/>
      <c r="AM54" s="114"/>
      <c r="AN54" s="114"/>
      <c r="AO54" s="114"/>
      <c r="AP54" s="114"/>
      <c r="AQ54" s="114"/>
      <c r="AR54" s="2"/>
      <c r="AS54" s="2"/>
      <c r="AT54" s="2"/>
      <c r="AU54" s="2"/>
      <c r="AV54" s="2"/>
      <c r="AW54" s="2"/>
      <c r="AX54" s="2"/>
      <c r="AY54" s="2"/>
      <c r="AZ54" s="2"/>
      <c r="BA54" s="2"/>
      <c r="BB54" s="2"/>
      <c r="BC54" s="2"/>
      <c r="BD54" s="2"/>
      <c r="BR54" s="117"/>
    </row>
    <row r="55" spans="1:72" ht="16.5" thickBot="1">
      <c r="A55" s="109" t="s">
        <v>244</v>
      </c>
      <c r="BR55" s="117"/>
    </row>
    <row r="56" spans="1:72" ht="15.75" thickBot="1">
      <c r="A56" s="110"/>
      <c r="B56" s="111">
        <f t="shared" ref="B56:K56" si="77">B2</f>
        <v>2010</v>
      </c>
      <c r="C56" s="111">
        <f t="shared" si="77"/>
        <v>2011</v>
      </c>
      <c r="D56" s="111">
        <f t="shared" si="77"/>
        <v>2012</v>
      </c>
      <c r="E56" s="111">
        <f t="shared" si="77"/>
        <v>2013</v>
      </c>
      <c r="F56" s="111">
        <f t="shared" si="77"/>
        <v>2014</v>
      </c>
      <c r="G56" s="111">
        <f t="shared" si="77"/>
        <v>2015</v>
      </c>
      <c r="H56" s="111">
        <f t="shared" si="77"/>
        <v>2016</v>
      </c>
      <c r="I56" s="111">
        <f t="shared" si="77"/>
        <v>2017</v>
      </c>
      <c r="J56" s="111">
        <f t="shared" si="77"/>
        <v>2018</v>
      </c>
      <c r="K56" s="111">
        <f t="shared" si="77"/>
        <v>2019</v>
      </c>
      <c r="L56" s="111">
        <f>L2</f>
        <v>2020</v>
      </c>
      <c r="M56" s="111">
        <f>M2</f>
        <v>2021</v>
      </c>
      <c r="N56" s="111">
        <f t="shared" ref="N56:AD56" si="78">N2</f>
        <v>2022</v>
      </c>
      <c r="O56" s="111">
        <f t="shared" si="78"/>
        <v>2023</v>
      </c>
      <c r="P56" s="111">
        <f t="shared" si="78"/>
        <v>2024</v>
      </c>
      <c r="Q56" s="111">
        <f t="shared" si="78"/>
        <v>2025</v>
      </c>
      <c r="R56" s="111">
        <f t="shared" si="78"/>
        <v>2026</v>
      </c>
      <c r="S56" s="111">
        <f t="shared" si="78"/>
        <v>2027</v>
      </c>
      <c r="T56" s="111">
        <f t="shared" si="78"/>
        <v>2028</v>
      </c>
      <c r="U56" s="111">
        <f t="shared" si="78"/>
        <v>2029</v>
      </c>
      <c r="V56" s="111">
        <f t="shared" si="78"/>
        <v>2030</v>
      </c>
      <c r="W56" s="111">
        <f t="shared" si="78"/>
        <v>2031</v>
      </c>
      <c r="X56" s="111">
        <f t="shared" si="78"/>
        <v>2032</v>
      </c>
      <c r="Y56" s="111">
        <f t="shared" si="78"/>
        <v>2033</v>
      </c>
      <c r="Z56" s="111">
        <f t="shared" si="78"/>
        <v>2034</v>
      </c>
      <c r="AA56" s="111">
        <f t="shared" si="78"/>
        <v>2035</v>
      </c>
      <c r="AB56" s="111">
        <f t="shared" si="78"/>
        <v>2036</v>
      </c>
      <c r="AC56" s="111">
        <f t="shared" si="78"/>
        <v>2037</v>
      </c>
      <c r="AD56" s="111">
        <f t="shared" si="78"/>
        <v>2038</v>
      </c>
      <c r="AE56" s="111">
        <f>AE2</f>
        <v>2039</v>
      </c>
      <c r="AF56" s="111">
        <f>AF2</f>
        <v>2040</v>
      </c>
      <c r="AG56" s="111">
        <f>AG2</f>
        <v>2041</v>
      </c>
      <c r="AH56" s="111">
        <f t="shared" ref="AH56:AO56" si="79">AH2</f>
        <v>2042</v>
      </c>
      <c r="AI56" s="111">
        <f t="shared" si="79"/>
        <v>2043</v>
      </c>
      <c r="AJ56" s="111">
        <f t="shared" si="79"/>
        <v>2044</v>
      </c>
      <c r="AK56" s="111">
        <f t="shared" si="79"/>
        <v>2045</v>
      </c>
      <c r="AL56" s="111">
        <f t="shared" si="79"/>
        <v>2046</v>
      </c>
      <c r="AM56" s="111">
        <f t="shared" si="79"/>
        <v>2047</v>
      </c>
      <c r="AN56" s="111">
        <f t="shared" si="79"/>
        <v>2048</v>
      </c>
      <c r="AO56" s="111">
        <f t="shared" si="79"/>
        <v>2049</v>
      </c>
      <c r="AP56" s="111">
        <f>AP2</f>
        <v>2050</v>
      </c>
      <c r="AQ56" s="111">
        <f>AQ2</f>
        <v>2051</v>
      </c>
      <c r="AR56" s="94"/>
      <c r="AS56" s="94"/>
      <c r="AT56" s="94"/>
      <c r="AU56" s="94"/>
      <c r="AV56" s="94"/>
      <c r="AW56" s="94"/>
      <c r="AX56" s="94"/>
      <c r="AY56" s="94"/>
      <c r="AZ56" s="94"/>
      <c r="BA56" s="94"/>
      <c r="BB56" s="94"/>
      <c r="BC56" s="94"/>
      <c r="BD56" s="94"/>
      <c r="BR56" s="117"/>
    </row>
    <row r="57" spans="1:72">
      <c r="A57" s="2" t="s">
        <v>43</v>
      </c>
      <c r="B57" s="3">
        <f>'Monthly D3 Gallon Data'!$B4</f>
        <v>0</v>
      </c>
      <c r="C57" s="3">
        <f>'Monthly D3 Gallon Data'!$B16</f>
        <v>0</v>
      </c>
      <c r="D57" s="3">
        <f>'Monthly D3 Gallon Data'!$B28</f>
        <v>0</v>
      </c>
      <c r="E57" s="3">
        <f>'Monthly D3 Gallon Data'!$B40</f>
        <v>0</v>
      </c>
      <c r="F57" s="3">
        <f>'Monthly D3 Gallon Data'!$B52</f>
        <v>14247</v>
      </c>
      <c r="G57" s="3">
        <f>'Monthly D3 Gallon Data'!$B64</f>
        <v>114261</v>
      </c>
      <c r="H57" s="3">
        <f>'Monthly D3 Gallon Data'!$B76</f>
        <v>285432</v>
      </c>
      <c r="I57" s="3">
        <f>'Monthly D3 Gallon Data'!$B88</f>
        <v>224887</v>
      </c>
      <c r="J57" s="3">
        <f>'Monthly D3 Gallon Data'!$B100</f>
        <v>760163</v>
      </c>
      <c r="K57" s="3">
        <f>'Monthly D3 Gallon Data'!$B112</f>
        <v>528864</v>
      </c>
      <c r="L57" s="3">
        <f>'Monthly D3 Gallon Data'!$B124</f>
        <v>174291</v>
      </c>
      <c r="M57" s="3">
        <f>'Monthly D3 Gallon Data'!$B136</f>
        <v>203252</v>
      </c>
      <c r="N57" s="3">
        <f>'Monthly D3 Gallon Data'!$B148</f>
        <v>0</v>
      </c>
      <c r="O57" s="3">
        <f>'Monthly D3 Gallon Data'!$B160</f>
        <v>0</v>
      </c>
      <c r="P57" s="3">
        <f>'Monthly D3 Gallon Data'!$B172</f>
        <v>220800</v>
      </c>
      <c r="Q57" s="3">
        <f>'Monthly D3 Gallon Data'!$B184</f>
        <v>7329992</v>
      </c>
      <c r="R57" s="4">
        <f t="shared" ref="R57:R67" si="80">R$69*(SUM(M57:Q57)/SUM(M$69:Q$69))</f>
        <v>5964415.4673861954</v>
      </c>
      <c r="S57" s="4">
        <f t="shared" ref="S57:S67" si="81">S$69*(SUM(N57:R57)/SUM(N$69:R$69))</f>
        <v>6461191.7268393831</v>
      </c>
      <c r="T57" s="4">
        <f t="shared" ref="T57:AI67" si="82">T$69*(SUM(O57:S57)/SUM(O$69:S$69))</f>
        <v>6764640.6476830868</v>
      </c>
      <c r="U57" s="4">
        <f t="shared" si="82"/>
        <v>6799417.1237654742</v>
      </c>
      <c r="V57" s="4">
        <f t="shared" si="82"/>
        <v>7395816.6201465186</v>
      </c>
      <c r="W57" s="4">
        <f t="shared" si="82"/>
        <v>7297469.4213851253</v>
      </c>
      <c r="X57" s="4">
        <f t="shared" si="82"/>
        <v>7990568.8869287092</v>
      </c>
      <c r="Y57" s="4">
        <f t="shared" si="82"/>
        <v>9190848.0216668379</v>
      </c>
      <c r="Z57" s="4">
        <f t="shared" si="82"/>
        <v>10760087.879965207</v>
      </c>
      <c r="AA57" s="4">
        <f t="shared" si="82"/>
        <v>12015398.323441956</v>
      </c>
      <c r="AB57" s="4">
        <f t="shared" si="82"/>
        <v>13650400.683476986</v>
      </c>
      <c r="AC57" s="4">
        <f t="shared" si="82"/>
        <v>15477767.146378262</v>
      </c>
      <c r="AD57" s="4">
        <f t="shared" si="82"/>
        <v>17500028.404727966</v>
      </c>
      <c r="AE57" s="4">
        <f t="shared" si="82"/>
        <v>19851921.961220797</v>
      </c>
      <c r="AF57" s="4">
        <f t="shared" si="82"/>
        <v>22243325.247575782</v>
      </c>
      <c r="AG57" s="4">
        <f t="shared" si="82"/>
        <v>24846423.79998013</v>
      </c>
      <c r="AH57" s="4">
        <f t="shared" si="82"/>
        <v>34656648.45404809</v>
      </c>
      <c r="AI57" s="4">
        <f t="shared" si="82"/>
        <v>45235352.058315106</v>
      </c>
      <c r="AJ57" s="4">
        <f t="shared" ref="AJ57:AQ67" si="83">AJ$69*(SUM(AE57:AI57)/SUM(AE$69:AI$69))</f>
        <v>55917022.87108773</v>
      </c>
      <c r="AK57" s="4">
        <f t="shared" si="83"/>
        <v>66738964.735412367</v>
      </c>
      <c r="AL57" s="4">
        <f t="shared" si="83"/>
        <v>77663875.432940647</v>
      </c>
      <c r="AM57" s="4">
        <f t="shared" si="83"/>
        <v>88944360.808643147</v>
      </c>
      <c r="AN57" s="4">
        <f t="shared" si="83"/>
        <v>100348623.38018177</v>
      </c>
      <c r="AO57" s="4">
        <f t="shared" si="83"/>
        <v>111971753.87136792</v>
      </c>
      <c r="AP57" s="4">
        <f t="shared" si="83"/>
        <v>123815569.56134774</v>
      </c>
      <c r="AQ57" s="4">
        <f t="shared" si="83"/>
        <v>135798758.80339205</v>
      </c>
      <c r="AR57" s="4"/>
      <c r="AS57" s="4"/>
      <c r="AT57" s="4"/>
      <c r="AU57" s="4"/>
      <c r="AV57" s="4"/>
      <c r="AW57" s="4"/>
      <c r="AX57" s="4"/>
      <c r="AY57" s="4"/>
      <c r="AZ57" s="4"/>
      <c r="BA57" s="4"/>
      <c r="BB57" s="4"/>
      <c r="BC57" s="4"/>
      <c r="BD57" s="4"/>
      <c r="BI57" s="3">
        <v>995190.52826336189</v>
      </c>
      <c r="BJ57" s="3">
        <f t="shared" ref="BJ57:BJ69" si="84">L57-BI57</f>
        <v>-820899.52826336189</v>
      </c>
      <c r="BK57" s="3">
        <v>234275.52735537296</v>
      </c>
      <c r="BL57" s="3">
        <f t="shared" ref="BL57:BL69" si="85">M57-BK57</f>
        <v>-31023.527355372964</v>
      </c>
      <c r="BM57" s="3">
        <v>0</v>
      </c>
      <c r="BN57" s="3">
        <f t="shared" ref="BN57:BN69" si="86">N57-BM57</f>
        <v>0</v>
      </c>
      <c r="BO57" s="3">
        <v>0</v>
      </c>
      <c r="BP57" s="3">
        <f t="shared" ref="BP57:BP69" si="87">O57-BO57</f>
        <v>0</v>
      </c>
      <c r="BQ57" s="3">
        <v>94478.280258269835</v>
      </c>
      <c r="BR57" s="18">
        <f t="shared" ref="BR57:BR69" si="88">P57-BQ57</f>
        <v>126321.71974173016</v>
      </c>
      <c r="BS57" s="3">
        <v>7329992</v>
      </c>
      <c r="BT57" s="18">
        <f>Q57-BS57</f>
        <v>0</v>
      </c>
    </row>
    <row r="58" spans="1:72">
      <c r="A58" s="2" t="s">
        <v>44</v>
      </c>
      <c r="B58" s="3">
        <f>'Monthly D3 Gallon Data'!$B5</f>
        <v>0</v>
      </c>
      <c r="C58" s="3">
        <f>'Monthly D3 Gallon Data'!$B17</f>
        <v>0</v>
      </c>
      <c r="D58" s="3">
        <f>'Monthly D3 Gallon Data'!$B29</f>
        <v>0</v>
      </c>
      <c r="E58" s="3">
        <f>'Monthly D3 Gallon Data'!$B41</f>
        <v>0</v>
      </c>
      <c r="F58" s="3">
        <f>'Monthly D3 Gallon Data'!$B53</f>
        <v>7072</v>
      </c>
      <c r="G58" s="3">
        <f>'Monthly D3 Gallon Data'!$B65</f>
        <v>85097</v>
      </c>
      <c r="H58" s="3">
        <f>'Monthly D3 Gallon Data'!$B77</f>
        <v>271521</v>
      </c>
      <c r="I58" s="3">
        <f>'Monthly D3 Gallon Data'!$B89</f>
        <v>131880</v>
      </c>
      <c r="J58" s="3">
        <f>'Monthly D3 Gallon Data'!$B101</f>
        <v>521507</v>
      </c>
      <c r="K58" s="3">
        <f>'Monthly D3 Gallon Data'!$B113</f>
        <v>1031913</v>
      </c>
      <c r="L58" s="3">
        <f>'Monthly D3 Gallon Data'!$B125</f>
        <v>188014</v>
      </c>
      <c r="M58" s="3">
        <f>'Monthly D3 Gallon Data'!$B137</f>
        <v>29238</v>
      </c>
      <c r="N58" s="3">
        <f>'Monthly D3 Gallon Data'!$B149</f>
        <v>87513</v>
      </c>
      <c r="O58" s="3">
        <f>'Monthly D3 Gallon Data'!$B161</f>
        <v>86732</v>
      </c>
      <c r="P58" s="3">
        <f>'Monthly D3 Gallon Data'!$B173</f>
        <v>153198</v>
      </c>
      <c r="Q58" s="3">
        <f>'Monthly D3 Gallon Data'!$B185</f>
        <v>6279631</v>
      </c>
      <c r="R58" s="4">
        <f t="shared" si="80"/>
        <v>5104655.3178187553</v>
      </c>
      <c r="S58" s="4">
        <f t="shared" si="81"/>
        <v>5599006.0646777106</v>
      </c>
      <c r="T58" s="4">
        <f t="shared" si="82"/>
        <v>5832327.8925262485</v>
      </c>
      <c r="U58" s="4">
        <f t="shared" si="82"/>
        <v>5840258.1655440852</v>
      </c>
      <c r="V58" s="4">
        <f t="shared" si="82"/>
        <v>6360618.3657285534</v>
      </c>
      <c r="W58" s="4">
        <f t="shared" si="82"/>
        <v>6281365.1182121569</v>
      </c>
      <c r="X58" s="4">
        <f t="shared" si="82"/>
        <v>6884693.8047099095</v>
      </c>
      <c r="Y58" s="4">
        <f t="shared" si="82"/>
        <v>7910736.5486563193</v>
      </c>
      <c r="Z58" s="4">
        <f t="shared" si="82"/>
        <v>9258663.7913723011</v>
      </c>
      <c r="AA58" s="4">
        <f t="shared" si="82"/>
        <v>10341741.592533404</v>
      </c>
      <c r="AB58" s="4">
        <f t="shared" si="82"/>
        <v>11750448.912792325</v>
      </c>
      <c r="AC58" s="4">
        <f t="shared" si="82"/>
        <v>13323584.622146409</v>
      </c>
      <c r="AD58" s="4">
        <f t="shared" si="82"/>
        <v>15062600.289654382</v>
      </c>
      <c r="AE58" s="4">
        <f t="shared" si="82"/>
        <v>17086918.141858812</v>
      </c>
      <c r="AF58" s="4">
        <f t="shared" si="82"/>
        <v>19146020.90314246</v>
      </c>
      <c r="AG58" s="4">
        <f t="shared" si="82"/>
        <v>21386802.622830257</v>
      </c>
      <c r="AH58" s="4">
        <f t="shared" si="82"/>
        <v>29830795.390091795</v>
      </c>
      <c r="AI58" s="4">
        <f t="shared" si="82"/>
        <v>38936038.505563989</v>
      </c>
      <c r="AJ58" s="4">
        <f t="shared" si="83"/>
        <v>48130384.285626926</v>
      </c>
      <c r="AK58" s="4">
        <f t="shared" si="83"/>
        <v>57445535.922108874</v>
      </c>
      <c r="AL58" s="4">
        <f t="shared" si="83"/>
        <v>66849118.163709454</v>
      </c>
      <c r="AM58" s="4">
        <f t="shared" si="83"/>
        <v>76558703.258012354</v>
      </c>
      <c r="AN58" s="4">
        <f t="shared" si="83"/>
        <v>86374858.629294038</v>
      </c>
      <c r="AO58" s="4">
        <f t="shared" si="83"/>
        <v>96379498.042628109</v>
      </c>
      <c r="AP58" s="4">
        <f t="shared" si="83"/>
        <v>106574069.82078011</v>
      </c>
      <c r="AQ58" s="4">
        <f t="shared" si="83"/>
        <v>116888563.48169327</v>
      </c>
      <c r="AR58" s="4"/>
      <c r="AS58" s="4"/>
      <c r="AT58" s="4"/>
      <c r="AU58" s="4"/>
      <c r="AV58" s="4"/>
      <c r="AW58" s="4"/>
      <c r="AX58" s="4"/>
      <c r="AY58" s="4"/>
      <c r="AZ58" s="4"/>
      <c r="BA58" s="4"/>
      <c r="BB58" s="4"/>
      <c r="BC58" s="4"/>
      <c r="BD58" s="4"/>
      <c r="BI58" s="3">
        <v>1139940.3130271027</v>
      </c>
      <c r="BJ58" s="3">
        <f t="shared" si="84"/>
        <v>-951926.31302710273</v>
      </c>
      <c r="BK58" s="3">
        <v>254597.14765950441</v>
      </c>
      <c r="BL58" s="3">
        <f t="shared" si="85"/>
        <v>-225359.14765950441</v>
      </c>
      <c r="BM58" s="3">
        <v>0</v>
      </c>
      <c r="BN58" s="3">
        <f t="shared" si="86"/>
        <v>87513</v>
      </c>
      <c r="BO58" s="3">
        <v>0</v>
      </c>
      <c r="BP58" s="3">
        <f t="shared" si="87"/>
        <v>86732</v>
      </c>
      <c r="BQ58" s="3">
        <v>148367.48712490511</v>
      </c>
      <c r="BR58" s="18">
        <f t="shared" si="88"/>
        <v>4830.5128750948934</v>
      </c>
      <c r="BS58" s="3">
        <v>873171.27619996888</v>
      </c>
      <c r="BT58" s="18">
        <f t="shared" ref="BT58:BT69" si="89">Q58-BS58</f>
        <v>5406459.7238000315</v>
      </c>
    </row>
    <row r="59" spans="1:72">
      <c r="A59" s="2" t="s">
        <v>45</v>
      </c>
      <c r="B59" s="3">
        <f>'Monthly D3 Gallon Data'!$B6</f>
        <v>0</v>
      </c>
      <c r="C59" s="3">
        <f>'Monthly D3 Gallon Data'!$B18</f>
        <v>0</v>
      </c>
      <c r="D59" s="3">
        <f>'Monthly D3 Gallon Data'!$B30</f>
        <v>0</v>
      </c>
      <c r="E59" s="3">
        <f>'Monthly D3 Gallon Data'!$B42</f>
        <v>0</v>
      </c>
      <c r="F59" s="3">
        <f>'Monthly D3 Gallon Data'!$B54</f>
        <v>6624</v>
      </c>
      <c r="G59" s="3">
        <f>'Monthly D3 Gallon Data'!$B66</f>
        <v>86879</v>
      </c>
      <c r="H59" s="3">
        <f>'Monthly D3 Gallon Data'!$B78</f>
        <v>446422</v>
      </c>
      <c r="I59" s="3">
        <f>'Monthly D3 Gallon Data'!$B90</f>
        <v>617908</v>
      </c>
      <c r="J59" s="3">
        <f>'Monthly D3 Gallon Data'!$B102</f>
        <v>721305</v>
      </c>
      <c r="K59" s="3">
        <f>'Monthly D3 Gallon Data'!$B114</f>
        <v>396377</v>
      </c>
      <c r="L59" s="3">
        <f>'Monthly D3 Gallon Data'!$B126</f>
        <v>156652</v>
      </c>
      <c r="M59" s="3">
        <f>'Monthly D3 Gallon Data'!$B138</f>
        <v>0</v>
      </c>
      <c r="N59" s="3">
        <f>'Monthly D3 Gallon Data'!$B150</f>
        <v>0</v>
      </c>
      <c r="O59" s="3">
        <f>'Monthly D3 Gallon Data'!$B162</f>
        <v>202916</v>
      </c>
      <c r="P59" s="3">
        <f>'Monthly D3 Gallon Data'!$B174</f>
        <v>187956</v>
      </c>
      <c r="Q59" s="4">
        <f t="shared" ref="Q59:Q67" si="90">Q$69*(SUM(L59:P59)/SUM(L$69:P$69))</f>
        <v>1227017.1214811218</v>
      </c>
      <c r="R59" s="4">
        <f t="shared" si="80"/>
        <v>1244481.3184807652</v>
      </c>
      <c r="S59" s="4">
        <f t="shared" si="81"/>
        <v>1368408.4576918522</v>
      </c>
      <c r="T59" s="4">
        <f t="shared" si="82"/>
        <v>1432675.5600028855</v>
      </c>
      <c r="U59" s="4">
        <f t="shared" si="82"/>
        <v>1388445.5845199579</v>
      </c>
      <c r="V59" s="4">
        <f t="shared" si="82"/>
        <v>1478518.8800815996</v>
      </c>
      <c r="W59" s="4">
        <f t="shared" si="82"/>
        <v>1510955.4348021855</v>
      </c>
      <c r="X59" s="4">
        <f t="shared" si="82"/>
        <v>1652268.0017224178</v>
      </c>
      <c r="Y59" s="4">
        <f t="shared" si="82"/>
        <v>1892248.0984087121</v>
      </c>
      <c r="Z59" s="4">
        <f t="shared" si="82"/>
        <v>2204215.8274194691</v>
      </c>
      <c r="AA59" s="4">
        <f t="shared" si="82"/>
        <v>2462613.902661161</v>
      </c>
      <c r="AB59" s="4">
        <f t="shared" si="82"/>
        <v>2808487.3572100908</v>
      </c>
      <c r="AC59" s="4">
        <f t="shared" si="82"/>
        <v>3181700.9995050156</v>
      </c>
      <c r="AD59" s="4">
        <f t="shared" si="82"/>
        <v>3594636.2980766967</v>
      </c>
      <c r="AE59" s="4">
        <f t="shared" si="82"/>
        <v>4076480.1049217922</v>
      </c>
      <c r="AF59" s="4">
        <f t="shared" si="82"/>
        <v>4569045.2522179792</v>
      </c>
      <c r="AG59" s="4">
        <f t="shared" si="82"/>
        <v>5105291.0576840639</v>
      </c>
      <c r="AH59" s="4">
        <f t="shared" si="82"/>
        <v>7119757.285200228</v>
      </c>
      <c r="AI59" s="4">
        <f t="shared" si="82"/>
        <v>9292256.4188332167</v>
      </c>
      <c r="AJ59" s="4">
        <f t="shared" si="83"/>
        <v>11486572.82856304</v>
      </c>
      <c r="AK59" s="4">
        <f t="shared" si="83"/>
        <v>13710195.750700235</v>
      </c>
      <c r="AL59" s="4">
        <f t="shared" si="83"/>
        <v>15954639.968083335</v>
      </c>
      <c r="AM59" s="4">
        <f t="shared" si="83"/>
        <v>18271681.053077467</v>
      </c>
      <c r="AN59" s="4">
        <f t="shared" si="83"/>
        <v>20614347.14660101</v>
      </c>
      <c r="AO59" s="4">
        <f t="shared" si="83"/>
        <v>23002147.46944027</v>
      </c>
      <c r="AP59" s="4">
        <f t="shared" si="83"/>
        <v>25435299.321317349</v>
      </c>
      <c r="AQ59" s="4">
        <f t="shared" si="83"/>
        <v>27896970.856450699</v>
      </c>
      <c r="AR59" s="4"/>
      <c r="AS59" s="4"/>
      <c r="AT59" s="4"/>
      <c r="AU59" s="4"/>
      <c r="AV59" s="4"/>
      <c r="AW59" s="4"/>
      <c r="AX59" s="4"/>
      <c r="AY59" s="4"/>
      <c r="AZ59" s="4"/>
      <c r="BA59" s="4"/>
      <c r="BB59" s="4"/>
      <c r="BC59" s="4"/>
      <c r="BD59" s="4"/>
      <c r="BI59" s="3">
        <v>999988.72967437701</v>
      </c>
      <c r="BJ59" s="3">
        <f t="shared" si="84"/>
        <v>-843336.72967437701</v>
      </c>
      <c r="BK59" s="3">
        <v>252929.11195803102</v>
      </c>
      <c r="BL59" s="3">
        <f t="shared" si="85"/>
        <v>-252929.11195803102</v>
      </c>
      <c r="BM59" s="3">
        <v>0</v>
      </c>
      <c r="BN59" s="3">
        <f t="shared" si="86"/>
        <v>0</v>
      </c>
      <c r="BO59" s="3">
        <v>105705.78986033745</v>
      </c>
      <c r="BP59" s="3">
        <f t="shared" si="87"/>
        <v>97210.210139662551</v>
      </c>
      <c r="BQ59" s="3">
        <v>78795.048548651743</v>
      </c>
      <c r="BR59" s="18">
        <f t="shared" si="88"/>
        <v>109160.95145134826</v>
      </c>
      <c r="BS59" s="4">
        <v>877706.29403631703</v>
      </c>
      <c r="BT59" s="18">
        <f t="shared" si="89"/>
        <v>349310.82744480472</v>
      </c>
    </row>
    <row r="60" spans="1:72">
      <c r="A60" s="2" t="s">
        <v>46</v>
      </c>
      <c r="B60" s="3">
        <f>'Monthly D3 Gallon Data'!$B7</f>
        <v>0</v>
      </c>
      <c r="C60" s="3">
        <f>'Monthly D3 Gallon Data'!$B19</f>
        <v>0</v>
      </c>
      <c r="D60" s="3">
        <f>'Monthly D3 Gallon Data'!$B31</f>
        <v>20069</v>
      </c>
      <c r="E60" s="3">
        <f>'Monthly D3 Gallon Data'!$B43</f>
        <v>0</v>
      </c>
      <c r="F60" s="3">
        <f>'Monthly D3 Gallon Data'!$B55</f>
        <v>643</v>
      </c>
      <c r="G60" s="3">
        <f>'Monthly D3 Gallon Data'!$B67</f>
        <v>288685</v>
      </c>
      <c r="H60" s="3">
        <f>'Monthly D3 Gallon Data'!$B79</f>
        <v>377236</v>
      </c>
      <c r="I60" s="3">
        <f>'Monthly D3 Gallon Data'!$B91</f>
        <v>331595</v>
      </c>
      <c r="J60" s="3">
        <f>'Monthly D3 Gallon Data'!$B103</f>
        <v>877687</v>
      </c>
      <c r="K60" s="3">
        <f>'Monthly D3 Gallon Data'!$B115</f>
        <v>401898</v>
      </c>
      <c r="L60" s="3">
        <f>'Monthly D3 Gallon Data'!$B127</f>
        <v>203361</v>
      </c>
      <c r="M60" s="3">
        <f>'Monthly D3 Gallon Data'!$B139</f>
        <v>0</v>
      </c>
      <c r="N60" s="3">
        <f>'Monthly D3 Gallon Data'!$B151</f>
        <v>86794</v>
      </c>
      <c r="O60" s="3">
        <f>'Monthly D3 Gallon Data'!$B163</f>
        <v>0</v>
      </c>
      <c r="P60" s="3">
        <f>'Monthly D3 Gallon Data'!$B175</f>
        <v>694722</v>
      </c>
      <c r="Q60" s="4">
        <f t="shared" si="90"/>
        <v>2207137.8451957591</v>
      </c>
      <c r="R60" s="4">
        <f t="shared" si="80"/>
        <v>2298874.3965018531</v>
      </c>
      <c r="S60" s="4">
        <f t="shared" si="81"/>
        <v>2527799.4298738926</v>
      </c>
      <c r="T60" s="4">
        <f t="shared" si="82"/>
        <v>2617125.965164552</v>
      </c>
      <c r="U60" s="4">
        <f t="shared" si="82"/>
        <v>2630580.400259092</v>
      </c>
      <c r="V60" s="4">
        <f t="shared" si="82"/>
        <v>2726074.1403254182</v>
      </c>
      <c r="W60" s="4">
        <f t="shared" si="82"/>
        <v>2797950.4752206611</v>
      </c>
      <c r="X60" s="4">
        <f t="shared" si="82"/>
        <v>3060924.4387559043</v>
      </c>
      <c r="Y60" s="4">
        <f t="shared" si="82"/>
        <v>3507342.1951577319</v>
      </c>
      <c r="Z60" s="4">
        <f t="shared" si="82"/>
        <v>4096263.664014562</v>
      </c>
      <c r="AA60" s="4">
        <f t="shared" si="82"/>
        <v>4562281.9246721128</v>
      </c>
      <c r="AB60" s="4">
        <f t="shared" si="82"/>
        <v>5206824.6779914647</v>
      </c>
      <c r="AC60" s="4">
        <f t="shared" si="82"/>
        <v>5899701.1882487247</v>
      </c>
      <c r="AD60" s="4">
        <f t="shared" si="82"/>
        <v>6666195.5859283395</v>
      </c>
      <c r="AE60" s="4">
        <f t="shared" si="82"/>
        <v>7560282.570021485</v>
      </c>
      <c r="AF60" s="4">
        <f t="shared" si="82"/>
        <v>8471446.5000341069</v>
      </c>
      <c r="AG60" s="4">
        <f t="shared" si="82"/>
        <v>9466716.7030847669</v>
      </c>
      <c r="AH60" s="4">
        <f t="shared" si="82"/>
        <v>13202457.776395785</v>
      </c>
      <c r="AI60" s="4">
        <f t="shared" si="82"/>
        <v>17231109.734111778</v>
      </c>
      <c r="AJ60" s="4">
        <f t="shared" si="83"/>
        <v>21299962.287992265</v>
      </c>
      <c r="AK60" s="4">
        <f t="shared" si="83"/>
        <v>25422897.051129818</v>
      </c>
      <c r="AL60" s="4">
        <f t="shared" si="83"/>
        <v>29585111.49732551</v>
      </c>
      <c r="AM60" s="4">
        <f t="shared" si="83"/>
        <v>33881712.857050367</v>
      </c>
      <c r="AN60" s="4">
        <f t="shared" si="83"/>
        <v>38225762.097973838</v>
      </c>
      <c r="AO60" s="4">
        <f t="shared" si="83"/>
        <v>42653464.548451357</v>
      </c>
      <c r="AP60" s="4">
        <f t="shared" si="83"/>
        <v>47165286.468519472</v>
      </c>
      <c r="AQ60" s="4">
        <f t="shared" si="83"/>
        <v>51730090.176484384</v>
      </c>
      <c r="AR60" s="4"/>
      <c r="AS60" s="4"/>
      <c r="AT60" s="4"/>
      <c r="AU60" s="4"/>
      <c r="AV60" s="4"/>
      <c r="AW60" s="4"/>
      <c r="AX60" s="4"/>
      <c r="AY60" s="4"/>
      <c r="AZ60" s="4"/>
      <c r="BA60" s="4"/>
      <c r="BB60" s="4"/>
      <c r="BC60" s="4"/>
      <c r="BD60" s="4"/>
      <c r="BI60" s="3">
        <v>119477.39602967206</v>
      </c>
      <c r="BJ60" s="3">
        <f t="shared" si="84"/>
        <v>83883.603970327938</v>
      </c>
      <c r="BK60" s="3">
        <v>237043.11958453091</v>
      </c>
      <c r="BL60" s="3">
        <f t="shared" si="85"/>
        <v>-237043.11958453091</v>
      </c>
      <c r="BM60" s="3">
        <v>0</v>
      </c>
      <c r="BN60" s="3">
        <f t="shared" si="86"/>
        <v>86794</v>
      </c>
      <c r="BO60" s="3">
        <v>145761.28859884807</v>
      </c>
      <c r="BP60" s="3">
        <f t="shared" si="87"/>
        <v>-145761.28859884807</v>
      </c>
      <c r="BQ60" s="3">
        <v>0</v>
      </c>
      <c r="BR60" s="18">
        <f t="shared" si="88"/>
        <v>694722</v>
      </c>
      <c r="BS60" s="4">
        <v>1578803.379854775</v>
      </c>
      <c r="BT60" s="18">
        <f t="shared" si="89"/>
        <v>628334.46534098405</v>
      </c>
    </row>
    <row r="61" spans="1:72">
      <c r="A61" s="2" t="s">
        <v>47</v>
      </c>
      <c r="B61" s="3">
        <f>'Monthly D3 Gallon Data'!$B8</f>
        <v>0</v>
      </c>
      <c r="C61" s="3">
        <f>'Monthly D3 Gallon Data'!$B20</f>
        <v>0</v>
      </c>
      <c r="D61" s="3">
        <f>'Monthly D3 Gallon Data'!$B32</f>
        <v>0</v>
      </c>
      <c r="E61" s="3">
        <f>'Monthly D3 Gallon Data'!$B44</f>
        <v>0</v>
      </c>
      <c r="F61" s="3">
        <f>'Monthly D3 Gallon Data'!$B56</f>
        <v>0</v>
      </c>
      <c r="G61" s="3">
        <f>'Monthly D3 Gallon Data'!$B68</f>
        <v>114018</v>
      </c>
      <c r="H61" s="3">
        <f>'Monthly D3 Gallon Data'!$B80</f>
        <v>395852</v>
      </c>
      <c r="I61" s="3">
        <f>'Monthly D3 Gallon Data'!$B92</f>
        <v>604998</v>
      </c>
      <c r="J61" s="3">
        <f>'Monthly D3 Gallon Data'!$B104</f>
        <v>537342</v>
      </c>
      <c r="K61" s="3">
        <f>'Monthly D3 Gallon Data'!$B116</f>
        <v>440284</v>
      </c>
      <c r="L61" s="3">
        <f>'Monthly D3 Gallon Data'!$B128</f>
        <v>266282</v>
      </c>
      <c r="M61" s="3">
        <f>'Monthly D3 Gallon Data'!$B140</f>
        <v>0</v>
      </c>
      <c r="N61" s="3">
        <f>'Monthly D3 Gallon Data'!$B152</f>
        <v>258819</v>
      </c>
      <c r="O61" s="3">
        <f>'Monthly D3 Gallon Data'!$B164</f>
        <v>228934</v>
      </c>
      <c r="P61" s="3">
        <f>'Monthly D3 Gallon Data'!$B176</f>
        <v>2518681</v>
      </c>
      <c r="Q61" s="4">
        <f t="shared" si="90"/>
        <v>7334251.2213989003</v>
      </c>
      <c r="R61" s="4">
        <f t="shared" si="80"/>
        <v>7954061.5036339043</v>
      </c>
      <c r="S61" s="4">
        <f t="shared" si="81"/>
        <v>8746137.7466567717</v>
      </c>
      <c r="T61" s="4">
        <f t="shared" si="82"/>
        <v>9069254.5216592737</v>
      </c>
      <c r="U61" s="4">
        <f t="shared" si="82"/>
        <v>9057668.0168197788</v>
      </c>
      <c r="V61" s="4">
        <f t="shared" si="82"/>
        <v>9358373.1536623016</v>
      </c>
      <c r="W61" s="4">
        <f t="shared" si="82"/>
        <v>9658159.2625014354</v>
      </c>
      <c r="X61" s="4">
        <f t="shared" si="82"/>
        <v>10561619.203444676</v>
      </c>
      <c r="Y61" s="4">
        <f t="shared" si="82"/>
        <v>12095871.287243245</v>
      </c>
      <c r="Z61" s="4">
        <f t="shared" si="82"/>
        <v>14114799.550576916</v>
      </c>
      <c r="AA61" s="4">
        <f t="shared" si="82"/>
        <v>15722486.513259985</v>
      </c>
      <c r="AB61" s="4">
        <f t="shared" si="82"/>
        <v>17954158.146050628</v>
      </c>
      <c r="AC61" s="4">
        <f t="shared" si="82"/>
        <v>20340366.513599198</v>
      </c>
      <c r="AD61" s="4">
        <f t="shared" si="82"/>
        <v>22980573.812860474</v>
      </c>
      <c r="AE61" s="4">
        <f t="shared" si="82"/>
        <v>26061382.96959044</v>
      </c>
      <c r="AF61" s="4">
        <f t="shared" si="82"/>
        <v>29203886.356343955</v>
      </c>
      <c r="AG61" s="4">
        <f t="shared" si="82"/>
        <v>32636372.707666516</v>
      </c>
      <c r="AH61" s="4">
        <f t="shared" si="82"/>
        <v>45514003.053243674</v>
      </c>
      <c r="AI61" s="4">
        <f t="shared" si="82"/>
        <v>59401647.035314523</v>
      </c>
      <c r="AJ61" s="4">
        <f t="shared" si="83"/>
        <v>73428450.176591173</v>
      </c>
      <c r="AK61" s="4">
        <f t="shared" si="83"/>
        <v>87642225.665090933</v>
      </c>
      <c r="AL61" s="4">
        <f t="shared" si="83"/>
        <v>101991055.42109896</v>
      </c>
      <c r="AM61" s="4">
        <f t="shared" si="83"/>
        <v>116802738.33331951</v>
      </c>
      <c r="AN61" s="4">
        <f t="shared" si="83"/>
        <v>131778194.28343742</v>
      </c>
      <c r="AO61" s="4">
        <f t="shared" si="83"/>
        <v>147042190.31167102</v>
      </c>
      <c r="AP61" s="4">
        <f t="shared" si="83"/>
        <v>162596200.71652478</v>
      </c>
      <c r="AQ61" s="4">
        <f t="shared" si="83"/>
        <v>178332744.66065979</v>
      </c>
      <c r="AR61" s="4"/>
      <c r="AS61" s="4"/>
      <c r="AT61" s="4"/>
      <c r="AU61" s="4"/>
      <c r="AV61" s="4"/>
      <c r="AW61" s="4"/>
      <c r="AX61" s="4"/>
      <c r="AY61" s="4"/>
      <c r="AZ61" s="4"/>
      <c r="BA61" s="4"/>
      <c r="BB61" s="4"/>
      <c r="BC61" s="4"/>
      <c r="BD61" s="4"/>
      <c r="BI61" s="3">
        <v>109791.24078805139</v>
      </c>
      <c r="BJ61" s="3">
        <f t="shared" si="84"/>
        <v>156490.75921194861</v>
      </c>
      <c r="BK61" s="3">
        <v>0</v>
      </c>
      <c r="BL61" s="3">
        <f t="shared" si="85"/>
        <v>0</v>
      </c>
      <c r="BM61" s="3">
        <v>0</v>
      </c>
      <c r="BN61" s="3">
        <f t="shared" si="86"/>
        <v>258819</v>
      </c>
      <c r="BO61" s="3">
        <v>125560.89182622</v>
      </c>
      <c r="BP61" s="3">
        <f t="shared" si="87"/>
        <v>103373.10817378</v>
      </c>
      <c r="BQ61" s="4">
        <v>234615.06821562102</v>
      </c>
      <c r="BR61" s="18">
        <f t="shared" si="88"/>
        <v>2284065.9317843788</v>
      </c>
      <c r="BS61" s="4">
        <v>5246315.1054444369</v>
      </c>
      <c r="BT61" s="18">
        <f t="shared" si="89"/>
        <v>2087936.1159544634</v>
      </c>
    </row>
    <row r="62" spans="1:72">
      <c r="A62" s="2" t="s">
        <v>48</v>
      </c>
      <c r="B62" s="3">
        <f>'Monthly D3 Gallon Data'!$B9</f>
        <v>0</v>
      </c>
      <c r="C62" s="3">
        <f>'Monthly D3 Gallon Data'!$B21</f>
        <v>0</v>
      </c>
      <c r="D62" s="3">
        <f>'Monthly D3 Gallon Data'!$B33</f>
        <v>0</v>
      </c>
      <c r="E62" s="3">
        <f>'Monthly D3 Gallon Data'!$B45</f>
        <v>0</v>
      </c>
      <c r="F62" s="3">
        <f>'Monthly D3 Gallon Data'!$B57</f>
        <v>0</v>
      </c>
      <c r="G62" s="3">
        <f>'Monthly D3 Gallon Data'!$B69</f>
        <v>282587</v>
      </c>
      <c r="H62" s="3">
        <f>'Monthly D3 Gallon Data'!$B81</f>
        <v>245266</v>
      </c>
      <c r="I62" s="3">
        <f>'Monthly D3 Gallon Data'!$B93</f>
        <v>294164</v>
      </c>
      <c r="J62" s="3">
        <f>'Monthly D3 Gallon Data'!$B105</f>
        <v>549023</v>
      </c>
      <c r="K62" s="3">
        <f>'Monthly D3 Gallon Data'!$B117</f>
        <v>175766</v>
      </c>
      <c r="L62" s="3">
        <f>'Monthly D3 Gallon Data'!$B129</f>
        <v>57226</v>
      </c>
      <c r="M62" s="3">
        <f>'Monthly D3 Gallon Data'!$B141</f>
        <v>11788</v>
      </c>
      <c r="N62" s="3">
        <f>'Monthly D3 Gallon Data'!$B153</f>
        <v>142896</v>
      </c>
      <c r="O62" s="3">
        <f>'Monthly D3 Gallon Data'!$B165</f>
        <v>0</v>
      </c>
      <c r="P62" s="3">
        <f>'Monthly D3 Gallon Data'!$B177</f>
        <v>1476953</v>
      </c>
      <c r="Q62" s="4">
        <f t="shared" si="90"/>
        <v>3784790.8344400828</v>
      </c>
      <c r="R62" s="4">
        <f t="shared" si="80"/>
        <v>4166319.6589696342</v>
      </c>
      <c r="S62" s="4">
        <f t="shared" si="81"/>
        <v>4575571.9581782604</v>
      </c>
      <c r="T62" s="4">
        <f t="shared" si="82"/>
        <v>4742073.917832531</v>
      </c>
      <c r="U62" s="4">
        <f t="shared" si="82"/>
        <v>4766452.5402566055</v>
      </c>
      <c r="V62" s="4">
        <f t="shared" si="82"/>
        <v>4891057.6855722256</v>
      </c>
      <c r="W62" s="4">
        <f t="shared" si="82"/>
        <v>5058312.8865798414</v>
      </c>
      <c r="X62" s="4">
        <f t="shared" si="82"/>
        <v>5531370.6801824532</v>
      </c>
      <c r="Y62" s="4">
        <f t="shared" si="82"/>
        <v>6336159.6459546601</v>
      </c>
      <c r="Z62" s="4">
        <f t="shared" si="82"/>
        <v>7396140.3283748245</v>
      </c>
      <c r="AA62" s="4">
        <f t="shared" si="82"/>
        <v>8232861.4669724815</v>
      </c>
      <c r="AB62" s="4">
        <f t="shared" si="82"/>
        <v>9404138.807146024</v>
      </c>
      <c r="AC62" s="4">
        <f t="shared" si="82"/>
        <v>10654145.083615111</v>
      </c>
      <c r="AD62" s="4">
        <f t="shared" si="82"/>
        <v>12037277.696681095</v>
      </c>
      <c r="AE62" s="4">
        <f t="shared" si="82"/>
        <v>13650922.755503098</v>
      </c>
      <c r="AF62" s="4">
        <f t="shared" si="82"/>
        <v>15296162.10891458</v>
      </c>
      <c r="AG62" s="4">
        <f t="shared" si="82"/>
        <v>17094596.47588142</v>
      </c>
      <c r="AH62" s="4">
        <f t="shared" si="82"/>
        <v>23839789.269044574</v>
      </c>
      <c r="AI62" s="4">
        <f t="shared" si="82"/>
        <v>31113978.372903168</v>
      </c>
      <c r="AJ62" s="4">
        <f t="shared" si="83"/>
        <v>38460965.881405547</v>
      </c>
      <c r="AK62" s="4">
        <f t="shared" si="83"/>
        <v>45905875.636722311</v>
      </c>
      <c r="AL62" s="4">
        <f t="shared" si="83"/>
        <v>53421765.925647669</v>
      </c>
      <c r="AM62" s="4">
        <f t="shared" si="83"/>
        <v>61179948.398473285</v>
      </c>
      <c r="AN62" s="4">
        <f t="shared" si="83"/>
        <v>69023900.881640524</v>
      </c>
      <c r="AO62" s="4">
        <f t="shared" si="83"/>
        <v>77018983.375796542</v>
      </c>
      <c r="AP62" s="4">
        <f t="shared" si="83"/>
        <v>85165992.364769429</v>
      </c>
      <c r="AQ62" s="4">
        <f t="shared" si="83"/>
        <v>93408637.26411286</v>
      </c>
      <c r="AR62" s="4"/>
      <c r="AS62" s="4"/>
      <c r="AT62" s="4"/>
      <c r="AU62" s="4"/>
      <c r="AV62" s="4"/>
      <c r="AW62" s="4"/>
      <c r="AX62" s="4"/>
      <c r="AY62" s="4"/>
      <c r="AZ62" s="4"/>
      <c r="BA62" s="4"/>
      <c r="BB62" s="4"/>
      <c r="BC62" s="4"/>
      <c r="BD62" s="4"/>
      <c r="BI62" s="3">
        <v>97391.592911808882</v>
      </c>
      <c r="BJ62" s="3">
        <f t="shared" si="84"/>
        <v>-40165.592911808882</v>
      </c>
      <c r="BK62" s="3">
        <v>0</v>
      </c>
      <c r="BL62" s="3">
        <f t="shared" si="85"/>
        <v>11788</v>
      </c>
      <c r="BM62" s="3">
        <v>0</v>
      </c>
      <c r="BN62" s="3">
        <f t="shared" si="86"/>
        <v>142896</v>
      </c>
      <c r="BO62" s="3">
        <v>129979.12967206602</v>
      </c>
      <c r="BP62" s="3">
        <f t="shared" si="87"/>
        <v>-129979.12967206602</v>
      </c>
      <c r="BQ62" s="4">
        <v>0</v>
      </c>
      <c r="BR62" s="18">
        <f t="shared" si="88"/>
        <v>1476953</v>
      </c>
      <c r="BS62" s="4">
        <v>2707325.495987494</v>
      </c>
      <c r="BT62" s="18">
        <f t="shared" si="89"/>
        <v>1077465.3384525888</v>
      </c>
    </row>
    <row r="63" spans="1:72">
      <c r="A63" s="2" t="s">
        <v>49</v>
      </c>
      <c r="B63" s="3">
        <f>'Monthly D3 Gallon Data'!$B10</f>
        <v>0</v>
      </c>
      <c r="C63" s="3">
        <f>'Monthly D3 Gallon Data'!$B22</f>
        <v>0</v>
      </c>
      <c r="D63" s="3">
        <f>'Monthly D3 Gallon Data'!$B34</f>
        <v>0</v>
      </c>
      <c r="E63" s="3">
        <f>'Monthly D3 Gallon Data'!$B46</f>
        <v>0</v>
      </c>
      <c r="F63" s="3">
        <f>'Monthly D3 Gallon Data'!$B58</f>
        <v>4156</v>
      </c>
      <c r="G63" s="3">
        <f>'Monthly D3 Gallon Data'!$B70</f>
        <v>347991</v>
      </c>
      <c r="H63" s="3">
        <f>'Monthly D3 Gallon Data'!$B82</f>
        <v>185532</v>
      </c>
      <c r="I63" s="3">
        <f>'Monthly D3 Gallon Data'!$B94</f>
        <v>807529</v>
      </c>
      <c r="J63" s="3">
        <f>'Monthly D3 Gallon Data'!$B106</f>
        <v>267804</v>
      </c>
      <c r="K63" s="3">
        <f>'Monthly D3 Gallon Data'!$B118</f>
        <v>1156038</v>
      </c>
      <c r="L63" s="3">
        <f>'Monthly D3 Gallon Data'!$B130</f>
        <v>256193</v>
      </c>
      <c r="M63" s="3">
        <f>'Monthly D3 Gallon Data'!$B142</f>
        <v>0</v>
      </c>
      <c r="N63" s="3">
        <f>'Monthly D3 Gallon Data'!$B154</f>
        <v>228367</v>
      </c>
      <c r="O63" s="3">
        <f>'Monthly D3 Gallon Data'!$B166</f>
        <v>142475</v>
      </c>
      <c r="P63" s="3">
        <f>'Monthly D3 Gallon Data'!$B178</f>
        <v>5942796</v>
      </c>
      <c r="Q63" s="4">
        <f t="shared" si="90"/>
        <v>14723181.307554442</v>
      </c>
      <c r="R63" s="4">
        <f t="shared" si="80"/>
        <v>16181534.495108135</v>
      </c>
      <c r="S63" s="4">
        <f t="shared" si="81"/>
        <v>17792913.668298408</v>
      </c>
      <c r="T63" s="4">
        <f t="shared" si="82"/>
        <v>18551222.956685916</v>
      </c>
      <c r="U63" s="4">
        <f t="shared" si="82"/>
        <v>18610366.334955648</v>
      </c>
      <c r="V63" s="4">
        <f t="shared" si="82"/>
        <v>19057790.353947125</v>
      </c>
      <c r="W63" s="4">
        <f t="shared" si="82"/>
        <v>19714758.307196639</v>
      </c>
      <c r="X63" s="4">
        <f t="shared" si="82"/>
        <v>21571545.311524522</v>
      </c>
      <c r="Y63" s="4">
        <f t="shared" si="82"/>
        <v>24723076.430641137</v>
      </c>
      <c r="Z63" s="4">
        <f t="shared" si="82"/>
        <v>28845631.247732919</v>
      </c>
      <c r="AA63" s="4">
        <f t="shared" si="82"/>
        <v>32103070.270265095</v>
      </c>
      <c r="AB63" s="4">
        <f t="shared" si="82"/>
        <v>36674461.864360616</v>
      </c>
      <c r="AC63" s="4">
        <f t="shared" si="82"/>
        <v>41552658.101930484</v>
      </c>
      <c r="AD63" s="4">
        <f t="shared" si="82"/>
        <v>46947520.194797508</v>
      </c>
      <c r="AE63" s="4">
        <f t="shared" si="82"/>
        <v>53237896.382171422</v>
      </c>
      <c r="AF63" s="4">
        <f t="shared" si="82"/>
        <v>59653943.558622509</v>
      </c>
      <c r="AG63" s="4">
        <f t="shared" si="82"/>
        <v>66668970.765947796</v>
      </c>
      <c r="AH63" s="4">
        <f t="shared" si="82"/>
        <v>92975831.236749381</v>
      </c>
      <c r="AI63" s="4">
        <f t="shared" si="82"/>
        <v>121344912.08436503</v>
      </c>
      <c r="AJ63" s="4">
        <f t="shared" si="83"/>
        <v>149997501.5056698</v>
      </c>
      <c r="AK63" s="4">
        <f t="shared" si="83"/>
        <v>179032820.08465171</v>
      </c>
      <c r="AL63" s="4">
        <f t="shared" si="83"/>
        <v>208345137.69562158</v>
      </c>
      <c r="AM63" s="4">
        <f t="shared" si="83"/>
        <v>238602097.05506819</v>
      </c>
      <c r="AN63" s="4">
        <f t="shared" si="83"/>
        <v>269193388.93209815</v>
      </c>
      <c r="AO63" s="4">
        <f t="shared" si="83"/>
        <v>300374139.79077655</v>
      </c>
      <c r="AP63" s="4">
        <f t="shared" si="83"/>
        <v>332147574.1725204</v>
      </c>
      <c r="AQ63" s="4">
        <f t="shared" si="83"/>
        <v>364293964.34681845</v>
      </c>
      <c r="AR63" s="4"/>
      <c r="AS63" s="4"/>
      <c r="AT63" s="4"/>
      <c r="AU63" s="4"/>
      <c r="AV63" s="4"/>
      <c r="AW63" s="4"/>
      <c r="AX63" s="4"/>
      <c r="AY63" s="4"/>
      <c r="AZ63" s="4"/>
      <c r="BA63" s="4"/>
      <c r="BB63" s="4"/>
      <c r="BC63" s="4"/>
      <c r="BD63" s="4"/>
      <c r="BG63" s="4">
        <v>555579.06936715299</v>
      </c>
      <c r="BH63" s="3">
        <f t="shared" ref="BH63:BH69" si="91">K63-BG63</f>
        <v>600458.93063284701</v>
      </c>
      <c r="BI63" s="3">
        <v>243099.85906073736</v>
      </c>
      <c r="BJ63" s="3">
        <f t="shared" si="84"/>
        <v>13093.140939262637</v>
      </c>
      <c r="BK63" s="3">
        <v>0</v>
      </c>
      <c r="BL63" s="3">
        <f t="shared" si="85"/>
        <v>0</v>
      </c>
      <c r="BM63" s="3">
        <v>0</v>
      </c>
      <c r="BN63" s="3">
        <f t="shared" si="86"/>
        <v>228367</v>
      </c>
      <c r="BO63" s="3">
        <v>264815.51813808933</v>
      </c>
      <c r="BP63" s="3">
        <f t="shared" si="87"/>
        <v>-122340.51813808933</v>
      </c>
      <c r="BQ63" s="4">
        <v>200271.40448107419</v>
      </c>
      <c r="BR63" s="18">
        <f t="shared" si="88"/>
        <v>5742524.5955189262</v>
      </c>
      <c r="BS63" s="4">
        <v>10531742.936300347</v>
      </c>
      <c r="BT63" s="18">
        <f t="shared" si="89"/>
        <v>4191438.3712540958</v>
      </c>
    </row>
    <row r="64" spans="1:72">
      <c r="A64" s="2" t="s">
        <v>50</v>
      </c>
      <c r="B64" s="3">
        <f>'Monthly D3 Gallon Data'!$B11</f>
        <v>0</v>
      </c>
      <c r="C64" s="3">
        <f>'Monthly D3 Gallon Data'!$B23</f>
        <v>0</v>
      </c>
      <c r="D64" s="3">
        <f>'Monthly D3 Gallon Data'!$B35</f>
        <v>0</v>
      </c>
      <c r="E64" s="3">
        <f>'Monthly D3 Gallon Data'!$B47</f>
        <v>0</v>
      </c>
      <c r="F64" s="3">
        <f>'Monthly D3 Gallon Data'!$B59</f>
        <v>0</v>
      </c>
      <c r="G64" s="3">
        <f>'Monthly D3 Gallon Data'!$B71</f>
        <v>327294</v>
      </c>
      <c r="H64" s="3">
        <f>'Monthly D3 Gallon Data'!$B83</f>
        <v>312767</v>
      </c>
      <c r="I64" s="3">
        <f>'Monthly D3 Gallon Data'!$B95</f>
        <v>439901</v>
      </c>
      <c r="J64" s="3">
        <f>'Monthly D3 Gallon Data'!$B107</f>
        <v>445350</v>
      </c>
      <c r="K64" s="3">
        <f>'Monthly D3 Gallon Data'!$B119</f>
        <v>273241</v>
      </c>
      <c r="L64" s="3">
        <f>'Monthly D3 Gallon Data'!$B131</f>
        <v>229403</v>
      </c>
      <c r="M64" s="3">
        <f>'Monthly D3 Gallon Data'!$B143</f>
        <v>0</v>
      </c>
      <c r="N64" s="3">
        <f>'Monthly D3 Gallon Data'!$B155</f>
        <v>142473</v>
      </c>
      <c r="O64" s="3">
        <f>'Monthly D3 Gallon Data'!$B167</f>
        <v>139648</v>
      </c>
      <c r="P64" s="3">
        <f>'Monthly D3 Gallon Data'!$B179</f>
        <v>4109184</v>
      </c>
      <c r="Q64" s="4">
        <f t="shared" si="90"/>
        <v>10355140.284927769</v>
      </c>
      <c r="R64" s="4">
        <f t="shared" si="80"/>
        <v>11342974.884639218</v>
      </c>
      <c r="S64" s="4">
        <f t="shared" si="81"/>
        <v>12472523.722955732</v>
      </c>
      <c r="T64" s="4">
        <f t="shared" si="82"/>
        <v>13010048.104022766</v>
      </c>
      <c r="U64" s="4">
        <f t="shared" si="82"/>
        <v>13041423.56435537</v>
      </c>
      <c r="V64" s="4">
        <f t="shared" si="82"/>
        <v>13367235.042229082</v>
      </c>
      <c r="W64" s="4">
        <f t="shared" si="82"/>
        <v>13821866.804855496</v>
      </c>
      <c r="X64" s="4">
        <f t="shared" si="82"/>
        <v>15124054.689887298</v>
      </c>
      <c r="Y64" s="4">
        <f t="shared" si="82"/>
        <v>17334209.367997874</v>
      </c>
      <c r="Z64" s="4">
        <f t="shared" si="82"/>
        <v>20223802.40542867</v>
      </c>
      <c r="AA64" s="4">
        <f t="shared" si="82"/>
        <v>22509408.000443369</v>
      </c>
      <c r="AB64" s="4">
        <f t="shared" si="82"/>
        <v>25713340.572517987</v>
      </c>
      <c r="AC64" s="4">
        <f t="shared" si="82"/>
        <v>29133739.630671911</v>
      </c>
      <c r="AD64" s="4">
        <f t="shared" si="82"/>
        <v>32916333.64824855</v>
      </c>
      <c r="AE64" s="4">
        <f t="shared" si="82"/>
        <v>37326676.48108577</v>
      </c>
      <c r="AF64" s="4">
        <f t="shared" si="82"/>
        <v>41825365.235914446</v>
      </c>
      <c r="AG64" s="4">
        <f t="shared" si="82"/>
        <v>46743588.693858713</v>
      </c>
      <c r="AH64" s="4">
        <f t="shared" si="82"/>
        <v>65188180.096234925</v>
      </c>
      <c r="AI64" s="4">
        <f t="shared" si="82"/>
        <v>85078639.321249694</v>
      </c>
      <c r="AJ64" s="4">
        <f t="shared" si="83"/>
        <v>105167853.28060032</v>
      </c>
      <c r="AK64" s="4">
        <f t="shared" si="83"/>
        <v>125525423.71508251</v>
      </c>
      <c r="AL64" s="4">
        <f t="shared" si="83"/>
        <v>146077141.65912253</v>
      </c>
      <c r="AM64" s="4">
        <f t="shared" si="83"/>
        <v>167291240.52246335</v>
      </c>
      <c r="AN64" s="4">
        <f t="shared" si="83"/>
        <v>188739739.64316532</v>
      </c>
      <c r="AO64" s="4">
        <f t="shared" si="83"/>
        <v>210601520.07062194</v>
      </c>
      <c r="AP64" s="4">
        <f t="shared" si="83"/>
        <v>232878847.6994141</v>
      </c>
      <c r="AQ64" s="4">
        <f t="shared" si="83"/>
        <v>255417660.81822744</v>
      </c>
      <c r="AR64" s="4"/>
      <c r="AS64" s="4"/>
      <c r="AT64" s="4"/>
      <c r="AU64" s="4"/>
      <c r="AV64" s="4"/>
      <c r="AW64" s="4"/>
      <c r="AX64" s="4"/>
      <c r="AY64" s="4"/>
      <c r="AZ64" s="4"/>
      <c r="BA64" s="4"/>
      <c r="BB64" s="4"/>
      <c r="BC64" s="4"/>
      <c r="BD64" s="4"/>
      <c r="BE64" s="118">
        <f>2.63*5</f>
        <v>13.149999999999999</v>
      </c>
      <c r="BG64" s="4">
        <v>525372.05021075532</v>
      </c>
      <c r="BH64" s="3">
        <f t="shared" si="91"/>
        <v>-252131.05021075532</v>
      </c>
      <c r="BI64" s="3">
        <v>141552.5635175404</v>
      </c>
      <c r="BJ64" s="3">
        <f t="shared" si="84"/>
        <v>87850.436482459598</v>
      </c>
      <c r="BK64" s="3">
        <v>0</v>
      </c>
      <c r="BL64" s="3">
        <f t="shared" si="85"/>
        <v>0</v>
      </c>
      <c r="BM64" s="3">
        <v>0</v>
      </c>
      <c r="BN64" s="3">
        <f t="shared" si="86"/>
        <v>142473</v>
      </c>
      <c r="BO64" s="3">
        <v>140192.85959093005</v>
      </c>
      <c r="BP64" s="3">
        <f t="shared" si="87"/>
        <v>-544.85959093004931</v>
      </c>
      <c r="BQ64" s="4">
        <v>154161.23666142114</v>
      </c>
      <c r="BR64" s="18">
        <f t="shared" si="88"/>
        <v>3955022.7633385789</v>
      </c>
      <c r="BS64" s="4">
        <v>7407208.6237388002</v>
      </c>
      <c r="BT64" s="18">
        <f t="shared" si="89"/>
        <v>2947931.6611889685</v>
      </c>
    </row>
    <row r="65" spans="1:72">
      <c r="A65" s="2" t="s">
        <v>51</v>
      </c>
      <c r="B65" s="3">
        <f>'Monthly D3 Gallon Data'!$B12</f>
        <v>0</v>
      </c>
      <c r="C65" s="3">
        <f>'Monthly D3 Gallon Data'!$B24</f>
        <v>0</v>
      </c>
      <c r="D65" s="3">
        <f>'Monthly D3 Gallon Data'!$B36</f>
        <v>0</v>
      </c>
      <c r="E65" s="3">
        <f>'Monthly D3 Gallon Data'!$B48</f>
        <v>0</v>
      </c>
      <c r="F65" s="3">
        <f>'Monthly D3 Gallon Data'!$B60</f>
        <v>2731</v>
      </c>
      <c r="G65" s="3">
        <f>'Monthly D3 Gallon Data'!$B72</f>
        <v>0</v>
      </c>
      <c r="H65" s="3">
        <f>'Monthly D3 Gallon Data'!$B84</f>
        <v>342140</v>
      </c>
      <c r="I65" s="3">
        <f>'Monthly D3 Gallon Data'!$B96</f>
        <v>527873</v>
      </c>
      <c r="J65" s="3">
        <f>'Monthly D3 Gallon Data'!$B108</f>
        <v>888689</v>
      </c>
      <c r="K65" s="3">
        <f>'Monthly D3 Gallon Data'!$B120</f>
        <v>399988</v>
      </c>
      <c r="L65" s="3">
        <f>'Monthly D3 Gallon Data'!$B132</f>
        <v>114746</v>
      </c>
      <c r="M65" s="3">
        <f>'Monthly D3 Gallon Data'!$B144</f>
        <v>0</v>
      </c>
      <c r="N65" s="3">
        <f>'Monthly D3 Gallon Data'!$B156</f>
        <v>143328</v>
      </c>
      <c r="O65" s="3">
        <f>'Monthly D3 Gallon Data'!$B168</f>
        <v>146298</v>
      </c>
      <c r="P65" s="3">
        <f>'Monthly D3 Gallon Data'!$B180</f>
        <v>5794701</v>
      </c>
      <c r="Q65" s="4">
        <f t="shared" si="90"/>
        <v>13892301.905142682</v>
      </c>
      <c r="R65" s="4">
        <f t="shared" si="80"/>
        <v>15366035.378193257</v>
      </c>
      <c r="S65" s="4">
        <f t="shared" si="81"/>
        <v>16896206.042193692</v>
      </c>
      <c r="T65" s="4">
        <f t="shared" si="82"/>
        <v>17641198.483870912</v>
      </c>
      <c r="U65" s="4">
        <f t="shared" si="82"/>
        <v>17694691.428831387</v>
      </c>
      <c r="V65" s="4">
        <f t="shared" si="82"/>
        <v>18088070.388814162</v>
      </c>
      <c r="W65" s="4">
        <f t="shared" si="82"/>
        <v>18729471.83022812</v>
      </c>
      <c r="X65" s="4">
        <f t="shared" si="82"/>
        <v>20495025.412832484</v>
      </c>
      <c r="Y65" s="4">
        <f t="shared" si="82"/>
        <v>23491501.421989467</v>
      </c>
      <c r="Z65" s="4">
        <f t="shared" si="82"/>
        <v>27404768.792061396</v>
      </c>
      <c r="AA65" s="4">
        <f t="shared" si="82"/>
        <v>30495570.953237846</v>
      </c>
      <c r="AB65" s="4">
        <f t="shared" si="82"/>
        <v>34842518.480418026</v>
      </c>
      <c r="AC65" s="4">
        <f t="shared" si="82"/>
        <v>39477187.513634406</v>
      </c>
      <c r="AD65" s="4">
        <f t="shared" si="82"/>
        <v>44602319.465958424</v>
      </c>
      <c r="AE65" s="4">
        <f t="shared" si="82"/>
        <v>50577486.262210809</v>
      </c>
      <c r="AF65" s="4">
        <f t="shared" si="82"/>
        <v>56672735.834222242</v>
      </c>
      <c r="AG65" s="4">
        <f t="shared" si="82"/>
        <v>63338068.231849469</v>
      </c>
      <c r="AH65" s="4">
        <f t="shared" si="82"/>
        <v>88330458.795797542</v>
      </c>
      <c r="AI65" s="4">
        <f t="shared" si="82"/>
        <v>115281887.95746492</v>
      </c>
      <c r="AJ65" s="4">
        <f t="shared" si="83"/>
        <v>142502638.29336897</v>
      </c>
      <c r="AK65" s="4">
        <f t="shared" si="83"/>
        <v>170087268.42928278</v>
      </c>
      <c r="AL65" s="4">
        <f t="shared" si="83"/>
        <v>197935151.41234803</v>
      </c>
      <c r="AM65" s="4">
        <f t="shared" si="83"/>
        <v>226680249.01660433</v>
      </c>
      <c r="AN65" s="4">
        <f t="shared" si="83"/>
        <v>255742974.40175316</v>
      </c>
      <c r="AO65" s="4">
        <f t="shared" si="83"/>
        <v>285365745.45744133</v>
      </c>
      <c r="AP65" s="4">
        <f t="shared" si="83"/>
        <v>315551637.31519157</v>
      </c>
      <c r="AQ65" s="4">
        <f t="shared" si="83"/>
        <v>346091836.42917192</v>
      </c>
      <c r="AR65" s="4"/>
      <c r="AS65" s="4"/>
      <c r="AT65" s="4"/>
      <c r="AU65" s="4"/>
      <c r="AV65" s="4"/>
      <c r="AW65" s="4"/>
      <c r="AX65" s="4"/>
      <c r="AY65" s="4"/>
      <c r="AZ65" s="4"/>
      <c r="BA65" s="4"/>
      <c r="BB65" s="4"/>
      <c r="BC65" s="4"/>
      <c r="BD65" s="4"/>
      <c r="BG65" s="4">
        <v>605068.95110964961</v>
      </c>
      <c r="BH65" s="3">
        <f t="shared" si="91"/>
        <v>-205080.95110964961</v>
      </c>
      <c r="BI65" s="3">
        <v>181222.26553995311</v>
      </c>
      <c r="BJ65" s="3">
        <f t="shared" si="84"/>
        <v>-66476.265539953107</v>
      </c>
      <c r="BK65" s="3">
        <v>0</v>
      </c>
      <c r="BL65" s="3">
        <f t="shared" si="85"/>
        <v>0</v>
      </c>
      <c r="BM65" s="3">
        <v>0</v>
      </c>
      <c r="BN65" s="3">
        <f t="shared" si="86"/>
        <v>143328</v>
      </c>
      <c r="BO65" s="3">
        <v>122121.65345480654</v>
      </c>
      <c r="BP65" s="3">
        <f t="shared" si="87"/>
        <v>24176.346545193461</v>
      </c>
      <c r="BQ65" s="4">
        <v>158010.52840147141</v>
      </c>
      <c r="BR65" s="18">
        <f t="shared" si="88"/>
        <v>5636690.4715985283</v>
      </c>
      <c r="BS65" s="4">
        <v>9937400.7153852507</v>
      </c>
      <c r="BT65" s="18">
        <f t="shared" si="89"/>
        <v>3954901.1897574309</v>
      </c>
    </row>
    <row r="66" spans="1:72">
      <c r="A66" s="2" t="s">
        <v>52</v>
      </c>
      <c r="B66" s="3">
        <f>'Monthly D3 Gallon Data'!$B13</f>
        <v>0</v>
      </c>
      <c r="C66" s="3">
        <f>'Monthly D3 Gallon Data'!$B25</f>
        <v>0</v>
      </c>
      <c r="D66" s="3">
        <f>'Monthly D3 Gallon Data'!$B37</f>
        <v>0</v>
      </c>
      <c r="E66" s="3">
        <f>'Monthly D3 Gallon Data'!$B49</f>
        <v>0</v>
      </c>
      <c r="F66" s="3">
        <f>'Monthly D3 Gallon Data'!$B61</f>
        <v>430634</v>
      </c>
      <c r="G66" s="3">
        <f>'Monthly D3 Gallon Data'!$B73</f>
        <v>229173</v>
      </c>
      <c r="H66" s="3">
        <f>'Monthly D3 Gallon Data'!$B85</f>
        <v>186071</v>
      </c>
      <c r="I66" s="3">
        <f>'Monthly D3 Gallon Data'!$B97</f>
        <v>285897</v>
      </c>
      <c r="J66" s="3">
        <f>'Monthly D3 Gallon Data'!$B109</f>
        <v>439426</v>
      </c>
      <c r="K66" s="3">
        <f>'Monthly D3 Gallon Data'!$B121</f>
        <v>348381</v>
      </c>
      <c r="L66" s="3">
        <f>'Monthly D3 Gallon Data'!$B133</f>
        <v>173213</v>
      </c>
      <c r="M66" s="3">
        <f>'Monthly D3 Gallon Data'!$B145</f>
        <v>0</v>
      </c>
      <c r="N66" s="3">
        <f>'Monthly D3 Gallon Data'!$B157</f>
        <v>28784</v>
      </c>
      <c r="O66" s="3">
        <f>'Monthly D3 Gallon Data'!$B169</f>
        <v>0</v>
      </c>
      <c r="P66" s="3">
        <f>'Monthly D3 Gallon Data'!$B181</f>
        <v>6029880</v>
      </c>
      <c r="Q66" s="4">
        <f t="shared" si="90"/>
        <v>13965816.618019318</v>
      </c>
      <c r="R66" s="4">
        <f t="shared" si="80"/>
        <v>15402842.945499087</v>
      </c>
      <c r="S66" s="4">
        <f t="shared" si="81"/>
        <v>16936678.957022049</v>
      </c>
      <c r="T66" s="4">
        <f t="shared" si="82"/>
        <v>17722360.42478371</v>
      </c>
      <c r="U66" s="4">
        <f t="shared" si="82"/>
        <v>17813469.661110558</v>
      </c>
      <c r="V66" s="4">
        <f t="shared" si="82"/>
        <v>18165921.564415995</v>
      </c>
      <c r="W66" s="4">
        <f t="shared" si="82"/>
        <v>18807084.184626281</v>
      </c>
      <c r="X66" s="4">
        <f t="shared" si="82"/>
        <v>20586137.533140317</v>
      </c>
      <c r="Y66" s="4">
        <f t="shared" si="82"/>
        <v>23604717.846533172</v>
      </c>
      <c r="Z66" s="4">
        <f t="shared" si="82"/>
        <v>27537918.778450992</v>
      </c>
      <c r="AA66" s="4">
        <f t="shared" si="82"/>
        <v>30634492.59682687</v>
      </c>
      <c r="AB66" s="4">
        <f t="shared" si="82"/>
        <v>35002556.432509959</v>
      </c>
      <c r="AC66" s="4">
        <f t="shared" si="82"/>
        <v>39660943.092336111</v>
      </c>
      <c r="AD66" s="4">
        <f t="shared" si="82"/>
        <v>44811159.018180691</v>
      </c>
      <c r="AE66" s="4">
        <f t="shared" si="82"/>
        <v>50813381.146002404</v>
      </c>
      <c r="AF66" s="4">
        <f t="shared" si="82"/>
        <v>56935547.829729386</v>
      </c>
      <c r="AG66" s="4">
        <f t="shared" si="82"/>
        <v>63632489.156553492</v>
      </c>
      <c r="AH66" s="4">
        <f t="shared" si="82"/>
        <v>88741721.829262897</v>
      </c>
      <c r="AI66" s="4">
        <f t="shared" si="82"/>
        <v>115818654.21293178</v>
      </c>
      <c r="AJ66" s="4">
        <f t="shared" si="83"/>
        <v>143165703.65146556</v>
      </c>
      <c r="AK66" s="4">
        <f t="shared" si="83"/>
        <v>170878481.70601177</v>
      </c>
      <c r="AL66" s="4">
        <f t="shared" si="83"/>
        <v>198856187.29707372</v>
      </c>
      <c r="AM66" s="4">
        <f t="shared" si="83"/>
        <v>227735139.00964803</v>
      </c>
      <c r="AN66" s="4">
        <f t="shared" si="83"/>
        <v>256933050.81511116</v>
      </c>
      <c r="AO66" s="4">
        <f t="shared" si="83"/>
        <v>286693578.875507</v>
      </c>
      <c r="AP66" s="4">
        <f t="shared" si="83"/>
        <v>317019932.03151929</v>
      </c>
      <c r="AQ66" s="4">
        <f t="shared" si="83"/>
        <v>347702297.45268995</v>
      </c>
      <c r="AR66" s="4"/>
      <c r="AS66" s="4"/>
      <c r="AT66" s="4"/>
      <c r="AU66" s="4"/>
      <c r="AV66" s="4"/>
      <c r="AW66" s="4"/>
      <c r="AX66" s="4"/>
      <c r="AY66" s="4"/>
      <c r="AZ66" s="4"/>
      <c r="BA66" s="4"/>
      <c r="BB66" s="4"/>
      <c r="BC66" s="4"/>
      <c r="BD66" s="4"/>
      <c r="BG66" s="4">
        <v>539722.45385003719</v>
      </c>
      <c r="BH66" s="3">
        <f t="shared" si="91"/>
        <v>-191341.45385003719</v>
      </c>
      <c r="BI66" s="3">
        <v>132809.49625800003</v>
      </c>
      <c r="BJ66" s="3">
        <f t="shared" si="84"/>
        <v>40403.503741999972</v>
      </c>
      <c r="BK66" s="3">
        <v>0</v>
      </c>
      <c r="BL66" s="3">
        <f t="shared" si="85"/>
        <v>0</v>
      </c>
      <c r="BM66" s="3">
        <v>0</v>
      </c>
      <c r="BN66" s="3">
        <f t="shared" si="86"/>
        <v>28784</v>
      </c>
      <c r="BO66" s="3">
        <v>78148.649056106209</v>
      </c>
      <c r="BP66" s="3">
        <f t="shared" si="87"/>
        <v>-78148.649056106209</v>
      </c>
      <c r="BQ66" s="4">
        <v>0</v>
      </c>
      <c r="BR66" s="18">
        <f t="shared" si="88"/>
        <v>6029880</v>
      </c>
      <c r="BS66" s="4">
        <v>9989987.0445134137</v>
      </c>
      <c r="BT66" s="18">
        <f t="shared" si="89"/>
        <v>3975829.5735059045</v>
      </c>
    </row>
    <row r="67" spans="1:72">
      <c r="A67" s="2" t="s">
        <v>53</v>
      </c>
      <c r="B67" s="3">
        <f>'Monthly D3 Gallon Data'!$B14</f>
        <v>0</v>
      </c>
      <c r="C67" s="3">
        <f>'Monthly D3 Gallon Data'!$B26</f>
        <v>0</v>
      </c>
      <c r="D67" s="3">
        <f>'Monthly D3 Gallon Data'!$B38</f>
        <v>0</v>
      </c>
      <c r="E67" s="3">
        <f>'Monthly D3 Gallon Data'!$B50</f>
        <v>0</v>
      </c>
      <c r="F67" s="3">
        <f>'Monthly D3 Gallon Data'!$B62</f>
        <v>173075</v>
      </c>
      <c r="G67" s="3">
        <f>'Monthly D3 Gallon Data'!$B74</f>
        <v>144675</v>
      </c>
      <c r="H67" s="3">
        <f>'Monthly D3 Gallon Data'!$B86</f>
        <v>255250</v>
      </c>
      <c r="I67" s="3">
        <f>'Monthly D3 Gallon Data'!$B98</f>
        <v>380910</v>
      </c>
      <c r="J67" s="3">
        <f>'Monthly D3 Gallon Data'!$B110</f>
        <v>389828</v>
      </c>
      <c r="K67" s="3">
        <f>'Monthly D3 Gallon Data'!$B122</f>
        <v>202030</v>
      </c>
      <c r="L67" s="3">
        <f>'Monthly D3 Gallon Data'!$B134</f>
        <v>173959</v>
      </c>
      <c r="M67" s="3">
        <f>'Monthly D3 Gallon Data'!$B146</f>
        <v>125000</v>
      </c>
      <c r="N67" s="3">
        <f>'Monthly D3 Gallon Data'!$B158</f>
        <v>0</v>
      </c>
      <c r="O67" s="3">
        <f>'Monthly D3 Gallon Data'!$B170</f>
        <v>0</v>
      </c>
      <c r="P67" s="3">
        <f>'Monthly D3 Gallon Data'!$B182</f>
        <v>6758732</v>
      </c>
      <c r="Q67" s="4">
        <f t="shared" si="90"/>
        <v>15816489.67921629</v>
      </c>
      <c r="R67" s="4">
        <f t="shared" si="80"/>
        <v>17461024.633934636</v>
      </c>
      <c r="S67" s="4">
        <f t="shared" si="81"/>
        <v>19140058.639607616</v>
      </c>
      <c r="T67" s="4">
        <f t="shared" si="82"/>
        <v>20038968.683547024</v>
      </c>
      <c r="U67" s="4">
        <f t="shared" si="82"/>
        <v>20141987.417495262</v>
      </c>
      <c r="V67" s="4">
        <f t="shared" si="82"/>
        <v>20553685.197982185</v>
      </c>
      <c r="W67" s="4">
        <f t="shared" si="82"/>
        <v>21275849.259528071</v>
      </c>
      <c r="X67" s="4">
        <f t="shared" si="82"/>
        <v>23280084.218747277</v>
      </c>
      <c r="Y67" s="4">
        <f t="shared" si="82"/>
        <v>26696976.427405216</v>
      </c>
      <c r="Z67" s="4">
        <f t="shared" si="82"/>
        <v>31146838.859259732</v>
      </c>
      <c r="AA67" s="4">
        <f t="shared" si="82"/>
        <v>34650914.324570827</v>
      </c>
      <c r="AB67" s="4">
        <f t="shared" si="82"/>
        <v>39589912.315229982</v>
      </c>
      <c r="AC67" s="4">
        <f t="shared" si="82"/>
        <v>44857675.797513328</v>
      </c>
      <c r="AD67" s="4">
        <f t="shared" si="82"/>
        <v>50683702.821311437</v>
      </c>
      <c r="AE67" s="4">
        <f t="shared" si="82"/>
        <v>57472853.938763566</v>
      </c>
      <c r="AF67" s="4">
        <f t="shared" si="82"/>
        <v>64397412.999317296</v>
      </c>
      <c r="AG67" s="4">
        <f t="shared" si="82"/>
        <v>71971616.252938256</v>
      </c>
      <c r="AH67" s="4">
        <f t="shared" si="82"/>
        <v>100371372.24926022</v>
      </c>
      <c r="AI67" s="4">
        <f t="shared" si="82"/>
        <v>130997076.03127518</v>
      </c>
      <c r="AJ67" s="4">
        <f t="shared" si="83"/>
        <v>161928088.99758774</v>
      </c>
      <c r="AK67" s="4">
        <f t="shared" si="83"/>
        <v>193272656.21516216</v>
      </c>
      <c r="AL67" s="4">
        <f t="shared" si="83"/>
        <v>224916834.95675364</v>
      </c>
      <c r="AM67" s="4">
        <f t="shared" si="83"/>
        <v>257580479.25151262</v>
      </c>
      <c r="AN67" s="4">
        <f t="shared" si="83"/>
        <v>290604922.45561785</v>
      </c>
      <c r="AO67" s="4">
        <f t="shared" si="83"/>
        <v>324265651.60209471</v>
      </c>
      <c r="AP67" s="4">
        <f t="shared" si="83"/>
        <v>358566343.88591659</v>
      </c>
      <c r="AQ67" s="4">
        <f t="shared" si="83"/>
        <v>393269715.07529366</v>
      </c>
      <c r="AR67" s="4"/>
      <c r="AS67" s="4"/>
      <c r="AT67" s="4"/>
      <c r="AU67" s="4"/>
      <c r="AV67" s="4"/>
      <c r="AW67" s="4"/>
      <c r="AX67" s="4"/>
      <c r="AY67" s="4"/>
      <c r="AZ67" s="4"/>
      <c r="BA67" s="4"/>
      <c r="BB67" s="4"/>
      <c r="BC67" s="4"/>
      <c r="BD67" s="4"/>
      <c r="BG67" s="4">
        <v>461586.75477646798</v>
      </c>
      <c r="BH67" s="3">
        <f t="shared" si="91"/>
        <v>-259556.75477646798</v>
      </c>
      <c r="BI67" s="3">
        <v>174725.63763993254</v>
      </c>
      <c r="BJ67" s="3">
        <f t="shared" si="84"/>
        <v>-766.63763993253815</v>
      </c>
      <c r="BK67" s="3">
        <v>0</v>
      </c>
      <c r="BL67" s="3">
        <f t="shared" si="85"/>
        <v>125000</v>
      </c>
      <c r="BM67" s="3">
        <v>0</v>
      </c>
      <c r="BN67" s="3">
        <f t="shared" si="86"/>
        <v>0</v>
      </c>
      <c r="BO67" s="3">
        <v>70333.263056335767</v>
      </c>
      <c r="BP67" s="3">
        <f t="shared" si="87"/>
        <v>-70333.263056335767</v>
      </c>
      <c r="BQ67" s="4">
        <v>0</v>
      </c>
      <c r="BR67" s="18">
        <f t="shared" si="88"/>
        <v>6758732</v>
      </c>
      <c r="BS67" s="4">
        <v>11313805.078980044</v>
      </c>
      <c r="BT67" s="18">
        <f t="shared" si="89"/>
        <v>4502684.6002362464</v>
      </c>
    </row>
    <row r="68" spans="1:72">
      <c r="A68" s="2" t="s">
        <v>54</v>
      </c>
      <c r="B68" s="3">
        <f>'Monthly D3 Gallon Data'!$B15</f>
        <v>0</v>
      </c>
      <c r="C68" s="3">
        <f>'Monthly D3 Gallon Data'!$B27</f>
        <v>0</v>
      </c>
      <c r="D68" s="3">
        <f>'Monthly D3 Gallon Data'!$B39</f>
        <v>0</v>
      </c>
      <c r="E68" s="3">
        <f>'Monthly D3 Gallon Data'!$B51</f>
        <v>0</v>
      </c>
      <c r="F68" s="3">
        <f>'Monthly D3 Gallon Data'!$B63</f>
        <v>89327</v>
      </c>
      <c r="G68" s="3">
        <f>'Monthly D3 Gallon Data'!$B75</f>
        <v>160436</v>
      </c>
      <c r="H68" s="3">
        <f>'Monthly D3 Gallon Data'!$B87</f>
        <v>501757</v>
      </c>
      <c r="I68" s="3">
        <f>'Monthly D3 Gallon Data'!$B99</f>
        <v>1096265</v>
      </c>
      <c r="J68" s="3">
        <f>'Monthly D3 Gallon Data'!$B111</f>
        <v>143450</v>
      </c>
      <c r="K68" s="3">
        <f>'Monthly D3 Gallon Data'!$B123</f>
        <v>197121</v>
      </c>
      <c r="L68" s="3">
        <f>'Monthly D3 Gallon Data'!$B135</f>
        <v>57832</v>
      </c>
      <c r="M68" s="3">
        <f>'Monthly D3 Gallon Data'!$B147</f>
        <v>215821</v>
      </c>
      <c r="N68" s="3">
        <f>'Monthly D3 Gallon Data'!$B159</f>
        <v>277529</v>
      </c>
      <c r="O68" s="3">
        <f>'Monthly D3 Gallon Data'!$B171</f>
        <v>347542</v>
      </c>
      <c r="P68" s="3">
        <f>'Monthly D3 Gallon Data'!$B183</f>
        <v>9375739</v>
      </c>
      <c r="Q68" s="119">
        <f t="shared" ref="Q68:AG68" si="92">Q69-SUM(Q57:Q67)</f>
        <v>11977326.999502897</v>
      </c>
      <c r="R68" s="4">
        <f t="shared" si="92"/>
        <v>17071606.296631113</v>
      </c>
      <c r="S68" s="4">
        <f t="shared" si="92"/>
        <v>18668442.858093888</v>
      </c>
      <c r="T68" s="4">
        <f t="shared" si="92"/>
        <v>19451223.438077778</v>
      </c>
      <c r="U68" s="4">
        <f t="shared" si="92"/>
        <v>19462851.468332335</v>
      </c>
      <c r="V68" s="4">
        <f t="shared" si="92"/>
        <v>19229199.335447371</v>
      </c>
      <c r="W68" s="4">
        <f t="shared" si="92"/>
        <v>20521216.083207518</v>
      </c>
      <c r="X68" s="4">
        <f t="shared" si="92"/>
        <v>22401449.124340028</v>
      </c>
      <c r="Y68" s="4">
        <f t="shared" si="92"/>
        <v>25625798.024193496</v>
      </c>
      <c r="Z68" s="4">
        <f t="shared" si="92"/>
        <v>29836938.839464605</v>
      </c>
      <c r="AA68" s="4">
        <f t="shared" si="92"/>
        <v>33146316.823403746</v>
      </c>
      <c r="AB68" s="4">
        <f t="shared" si="92"/>
        <v>37995651.39139846</v>
      </c>
      <c r="AC68" s="4">
        <f t="shared" si="92"/>
        <v>43021797.308200866</v>
      </c>
      <c r="AD68" s="4">
        <f t="shared" si="92"/>
        <v>48588146.398055851</v>
      </c>
      <c r="AE68" s="4">
        <f t="shared" si="92"/>
        <v>55087261.966467738</v>
      </c>
      <c r="AF68" s="4">
        <f t="shared" si="92"/>
        <v>61729227.49359113</v>
      </c>
      <c r="AG68" s="4">
        <f t="shared" si="92"/>
        <v>69008903.498011768</v>
      </c>
      <c r="AH68" s="4">
        <f t="shared" ref="AH68:AP68" si="93">AH69-SUM(AH57:AH67)</f>
        <v>96227284.457565665</v>
      </c>
      <c r="AI68" s="4">
        <f t="shared" si="93"/>
        <v>125582380.7622987</v>
      </c>
      <c r="AJ68" s="4">
        <f t="shared" si="93"/>
        <v>155235094.47838831</v>
      </c>
      <c r="AK68" s="4">
        <f t="shared" si="93"/>
        <v>185287763.19578409</v>
      </c>
      <c r="AL68" s="4">
        <f t="shared" si="93"/>
        <v>215627206.84827852</v>
      </c>
      <c r="AM68" s="4">
        <f t="shared" si="93"/>
        <v>246938620.01314831</v>
      </c>
      <c r="AN68" s="4">
        <f t="shared" si="93"/>
        <v>278597850.90348768</v>
      </c>
      <c r="AO68" s="4">
        <f t="shared" si="93"/>
        <v>310868441.25855398</v>
      </c>
      <c r="AP68" s="4">
        <f t="shared" si="93"/>
        <v>343752773.21159124</v>
      </c>
      <c r="AQ68" s="4">
        <f t="shared" ref="AQ68" si="94">AQ69-SUM(AQ57:AQ67)</f>
        <v>377022474.47288084</v>
      </c>
      <c r="AR68" s="4"/>
      <c r="AS68" s="4"/>
      <c r="AT68" s="4"/>
      <c r="AU68" s="4"/>
      <c r="AV68" s="4"/>
      <c r="AW68" s="4"/>
      <c r="AX68" s="4"/>
      <c r="AY68" s="4"/>
      <c r="AZ68" s="4"/>
      <c r="BA68" s="4"/>
      <c r="BB68" s="4"/>
      <c r="BC68" s="4"/>
      <c r="BD68" s="4"/>
      <c r="BG68" s="4">
        <v>516000.8402638454</v>
      </c>
      <c r="BH68" s="3">
        <f t="shared" si="91"/>
        <v>-318879.8402638454</v>
      </c>
      <c r="BI68" s="3">
        <v>170090</v>
      </c>
      <c r="BJ68" s="3">
        <f t="shared" si="84"/>
        <v>-112258</v>
      </c>
      <c r="BK68" s="3">
        <v>0</v>
      </c>
      <c r="BL68" s="3">
        <f t="shared" si="85"/>
        <v>215821</v>
      </c>
      <c r="BM68" s="3">
        <v>0</v>
      </c>
      <c r="BN68" s="3">
        <f t="shared" si="86"/>
        <v>277529</v>
      </c>
      <c r="BO68" s="3">
        <v>255890.12690812559</v>
      </c>
      <c r="BP68" s="3">
        <f t="shared" si="87"/>
        <v>91651.873091874411</v>
      </c>
      <c r="BQ68" s="4">
        <v>-2150658.4658343643</v>
      </c>
      <c r="BR68" s="18">
        <f t="shared" si="88"/>
        <v>11526397.465834364</v>
      </c>
      <c r="BS68" s="4">
        <v>10099618.866438419</v>
      </c>
      <c r="BT68" s="18">
        <f t="shared" si="89"/>
        <v>1877708.1330644786</v>
      </c>
    </row>
    <row r="69" spans="1:72" ht="15.75" thickBot="1">
      <c r="A69" s="2" t="s">
        <v>29</v>
      </c>
      <c r="B69" s="3">
        <f t="shared" ref="B69:P69" si="95">SUM(B57:B68)</f>
        <v>0</v>
      </c>
      <c r="C69" s="3">
        <f t="shared" si="95"/>
        <v>0</v>
      </c>
      <c r="D69" s="3">
        <f t="shared" si="95"/>
        <v>20069</v>
      </c>
      <c r="E69" s="3">
        <f t="shared" si="95"/>
        <v>0</v>
      </c>
      <c r="F69" s="3">
        <f t="shared" si="95"/>
        <v>728509</v>
      </c>
      <c r="G69" s="3">
        <f t="shared" si="95"/>
        <v>2181096</v>
      </c>
      <c r="H69" s="3">
        <f t="shared" si="95"/>
        <v>3805246</v>
      </c>
      <c r="I69" s="3">
        <f t="shared" si="95"/>
        <v>5743807</v>
      </c>
      <c r="J69" s="3">
        <f t="shared" si="95"/>
        <v>6541574</v>
      </c>
      <c r="K69" s="3">
        <f t="shared" si="95"/>
        <v>5551901</v>
      </c>
      <c r="L69" s="3">
        <f t="shared" si="95"/>
        <v>2051172</v>
      </c>
      <c r="M69" s="3">
        <f t="shared" si="95"/>
        <v>585099</v>
      </c>
      <c r="N69" s="3">
        <f t="shared" si="95"/>
        <v>1396503</v>
      </c>
      <c r="O69" s="3">
        <f t="shared" si="95"/>
        <v>1294545</v>
      </c>
      <c r="P69" s="3">
        <f t="shared" si="95"/>
        <v>43263342</v>
      </c>
      <c r="Q69" s="4">
        <f>Q4</f>
        <v>108893076.81687927</v>
      </c>
      <c r="R69" s="4">
        <f t="shared" ref="R69:AQ69" si="96">R4</f>
        <v>119558826.29679656</v>
      </c>
      <c r="S69" s="4">
        <f t="shared" si="96"/>
        <v>131184939.27208924</v>
      </c>
      <c r="T69" s="4">
        <f t="shared" si="96"/>
        <v>136873120.59585667</v>
      </c>
      <c r="U69" s="4">
        <f t="shared" si="96"/>
        <v>137247611.70624554</v>
      </c>
      <c r="V69" s="4">
        <f t="shared" si="96"/>
        <v>140672360.72835255</v>
      </c>
      <c r="W69" s="4">
        <f t="shared" si="96"/>
        <v>145474459.06834352</v>
      </c>
      <c r="X69" s="4">
        <f t="shared" si="96"/>
        <v>159139741.306216</v>
      </c>
      <c r="Y69" s="4">
        <f t="shared" si="96"/>
        <v>182409485.31584787</v>
      </c>
      <c r="Z69" s="4">
        <f t="shared" si="96"/>
        <v>212826069.96412158</v>
      </c>
      <c r="AA69" s="4">
        <f t="shared" si="96"/>
        <v>236877156.69228888</v>
      </c>
      <c r="AB69" s="4">
        <f t="shared" si="96"/>
        <v>270592899.64110255</v>
      </c>
      <c r="AC69" s="4">
        <f t="shared" si="96"/>
        <v>306581266.99777985</v>
      </c>
      <c r="AD69" s="4">
        <f t="shared" si="96"/>
        <v>346390493.63448143</v>
      </c>
      <c r="AE69" s="4">
        <f t="shared" si="96"/>
        <v>392803464.67981815</v>
      </c>
      <c r="AF69" s="4">
        <f t="shared" si="96"/>
        <v>440144119.31962585</v>
      </c>
      <c r="AG69" s="4">
        <f t="shared" si="96"/>
        <v>491899839.96628666</v>
      </c>
      <c r="AH69" s="4">
        <f t="shared" si="96"/>
        <v>685998299.89289474</v>
      </c>
      <c r="AI69" s="4">
        <f t="shared" si="96"/>
        <v>895313932.494627</v>
      </c>
      <c r="AJ69" s="4">
        <f t="shared" si="96"/>
        <v>1106720238.5383472</v>
      </c>
      <c r="AK69" s="4">
        <f t="shared" si="96"/>
        <v>1320950108.1071396</v>
      </c>
      <c r="AL69" s="4">
        <f t="shared" si="96"/>
        <v>1537223226.2780037</v>
      </c>
      <c r="AM69" s="4">
        <f t="shared" si="96"/>
        <v>1760466969.5770206</v>
      </c>
      <c r="AN69" s="4">
        <f t="shared" si="96"/>
        <v>1986177613.5703621</v>
      </c>
      <c r="AO69" s="4">
        <f t="shared" si="96"/>
        <v>2216237114.6743507</v>
      </c>
      <c r="AP69" s="4">
        <f t="shared" si="96"/>
        <v>2450669526.5694122</v>
      </c>
      <c r="AQ69" s="4">
        <f t="shared" si="96"/>
        <v>2687853713.8378754</v>
      </c>
      <c r="AR69" s="4"/>
      <c r="AS69" s="4"/>
      <c r="AT69" s="4"/>
      <c r="AU69" s="4"/>
      <c r="AV69" s="4"/>
      <c r="AW69" s="4"/>
      <c r="AX69" s="4"/>
      <c r="AY69" s="4"/>
      <c r="AZ69" s="4"/>
      <c r="BA69" s="4"/>
      <c r="BB69" s="4"/>
      <c r="BC69" s="4"/>
      <c r="BD69" s="4"/>
      <c r="BG69" s="4">
        <v>6526760</v>
      </c>
      <c r="BH69" s="3">
        <f t="shared" si="91"/>
        <v>-974859</v>
      </c>
      <c r="BI69" s="3">
        <v>2163430</v>
      </c>
      <c r="BJ69" s="3">
        <f t="shared" si="84"/>
        <v>-112258</v>
      </c>
      <c r="BK69" s="3">
        <v>369278</v>
      </c>
      <c r="BL69" s="3">
        <f t="shared" si="85"/>
        <v>215821</v>
      </c>
      <c r="BM69" s="3">
        <v>1118974</v>
      </c>
      <c r="BN69" s="3">
        <f t="shared" si="86"/>
        <v>277529</v>
      </c>
      <c r="BO69" s="3">
        <v>1273226.3899644613</v>
      </c>
      <c r="BP69" s="3">
        <f t="shared" si="87"/>
        <v>21318.610035538673</v>
      </c>
      <c r="BQ69" s="4">
        <v>2137141.7037096024</v>
      </c>
      <c r="BR69" s="18">
        <f t="shared" si="88"/>
        <v>41126200.296290398</v>
      </c>
      <c r="BS69" s="19">
        <v>77893076.816879272</v>
      </c>
      <c r="BT69" s="18">
        <f t="shared" si="89"/>
        <v>31000000</v>
      </c>
    </row>
    <row r="70" spans="1:72">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c r="AH70" s="114"/>
      <c r="AI70" s="114"/>
      <c r="AJ70" s="114"/>
      <c r="AK70" s="114"/>
      <c r="AL70" s="114"/>
      <c r="AM70" s="114"/>
      <c r="AN70" s="114"/>
      <c r="AO70" s="114"/>
      <c r="AP70" s="114"/>
      <c r="AQ70" s="114"/>
      <c r="AR70" s="2"/>
      <c r="AS70" s="2"/>
      <c r="AT70" s="2"/>
      <c r="AU70" s="2"/>
      <c r="AV70" s="2"/>
      <c r="AW70" s="2"/>
      <c r="AX70" s="2"/>
      <c r="AY70" s="2"/>
      <c r="AZ70" s="2"/>
      <c r="BA70" s="2"/>
      <c r="BB70" s="2"/>
      <c r="BC70" s="2"/>
      <c r="BD70" s="2"/>
      <c r="BR70" s="117"/>
    </row>
    <row r="71" spans="1:72" ht="16.5" thickBot="1">
      <c r="A71" s="109" t="s">
        <v>245</v>
      </c>
      <c r="BR71" s="117"/>
    </row>
    <row r="72" spans="1:72" ht="15.75" thickBot="1">
      <c r="A72" s="110"/>
      <c r="B72" s="111">
        <f t="shared" ref="B72:K72" si="97">B2</f>
        <v>2010</v>
      </c>
      <c r="C72" s="111">
        <f t="shared" si="97"/>
        <v>2011</v>
      </c>
      <c r="D72" s="111">
        <f t="shared" si="97"/>
        <v>2012</v>
      </c>
      <c r="E72" s="111">
        <f t="shared" si="97"/>
        <v>2013</v>
      </c>
      <c r="F72" s="111">
        <f t="shared" si="97"/>
        <v>2014</v>
      </c>
      <c r="G72" s="111">
        <f t="shared" si="97"/>
        <v>2015</v>
      </c>
      <c r="H72" s="111">
        <f t="shared" si="97"/>
        <v>2016</v>
      </c>
      <c r="I72" s="111">
        <f t="shared" si="97"/>
        <v>2017</v>
      </c>
      <c r="J72" s="111">
        <f t="shared" si="97"/>
        <v>2018</v>
      </c>
      <c r="K72" s="111">
        <f t="shared" si="97"/>
        <v>2019</v>
      </c>
      <c r="L72" s="111">
        <f>L2</f>
        <v>2020</v>
      </c>
      <c r="M72" s="111">
        <f>M2</f>
        <v>2021</v>
      </c>
      <c r="N72" s="111">
        <f t="shared" ref="N72:AD72" si="98">N2</f>
        <v>2022</v>
      </c>
      <c r="O72" s="111">
        <f t="shared" si="98"/>
        <v>2023</v>
      </c>
      <c r="P72" s="111">
        <f t="shared" si="98"/>
        <v>2024</v>
      </c>
      <c r="Q72" s="111">
        <f t="shared" si="98"/>
        <v>2025</v>
      </c>
      <c r="R72" s="111">
        <f t="shared" si="98"/>
        <v>2026</v>
      </c>
      <c r="S72" s="111">
        <f t="shared" si="98"/>
        <v>2027</v>
      </c>
      <c r="T72" s="111">
        <f t="shared" si="98"/>
        <v>2028</v>
      </c>
      <c r="U72" s="111">
        <f t="shared" si="98"/>
        <v>2029</v>
      </c>
      <c r="V72" s="111">
        <f t="shared" si="98"/>
        <v>2030</v>
      </c>
      <c r="W72" s="111">
        <f t="shared" si="98"/>
        <v>2031</v>
      </c>
      <c r="X72" s="111">
        <f t="shared" si="98"/>
        <v>2032</v>
      </c>
      <c r="Y72" s="111">
        <f t="shared" si="98"/>
        <v>2033</v>
      </c>
      <c r="Z72" s="111">
        <f t="shared" si="98"/>
        <v>2034</v>
      </c>
      <c r="AA72" s="111">
        <f t="shared" si="98"/>
        <v>2035</v>
      </c>
      <c r="AB72" s="111">
        <f t="shared" si="98"/>
        <v>2036</v>
      </c>
      <c r="AC72" s="111">
        <f t="shared" si="98"/>
        <v>2037</v>
      </c>
      <c r="AD72" s="111">
        <f t="shared" si="98"/>
        <v>2038</v>
      </c>
      <c r="AE72" s="111">
        <f>AE2</f>
        <v>2039</v>
      </c>
      <c r="AF72" s="111">
        <f>AF2</f>
        <v>2040</v>
      </c>
      <c r="AG72" s="111">
        <f>AG2</f>
        <v>2041</v>
      </c>
      <c r="AH72" s="111">
        <f t="shared" ref="AH72:AO72" si="99">AH2</f>
        <v>2042</v>
      </c>
      <c r="AI72" s="111">
        <f t="shared" si="99"/>
        <v>2043</v>
      </c>
      <c r="AJ72" s="111">
        <f t="shared" si="99"/>
        <v>2044</v>
      </c>
      <c r="AK72" s="111">
        <f t="shared" si="99"/>
        <v>2045</v>
      </c>
      <c r="AL72" s="111">
        <f t="shared" si="99"/>
        <v>2046</v>
      </c>
      <c r="AM72" s="111">
        <f t="shared" si="99"/>
        <v>2047</v>
      </c>
      <c r="AN72" s="111">
        <f t="shared" si="99"/>
        <v>2048</v>
      </c>
      <c r="AO72" s="111">
        <f t="shared" si="99"/>
        <v>2049</v>
      </c>
      <c r="AP72" s="111">
        <f>AP2</f>
        <v>2050</v>
      </c>
      <c r="AQ72" s="111">
        <f>AQ2</f>
        <v>2051</v>
      </c>
      <c r="AR72" s="94"/>
      <c r="AS72" s="94"/>
      <c r="AT72" s="94"/>
      <c r="AU72" s="94"/>
      <c r="AV72" s="94"/>
      <c r="AW72" s="94"/>
      <c r="AX72" s="94"/>
      <c r="AY72" s="94"/>
      <c r="AZ72" s="94"/>
      <c r="BA72" s="94"/>
      <c r="BB72" s="94"/>
      <c r="BC72" s="94"/>
      <c r="BD72" s="94"/>
      <c r="BR72" s="117"/>
    </row>
    <row r="73" spans="1:72">
      <c r="A73" s="2" t="s">
        <v>43</v>
      </c>
      <c r="B73" s="3">
        <f>'Monthly D3 Gallon Data'!$C4</f>
        <v>0</v>
      </c>
      <c r="C73" s="3">
        <f>'Monthly D3 Gallon Data'!$C16</f>
        <v>0</v>
      </c>
      <c r="D73" s="3">
        <f>'Monthly D3 Gallon Data'!$C28</f>
        <v>0</v>
      </c>
      <c r="E73" s="3">
        <f>'Monthly D3 Gallon Data'!$C40</f>
        <v>0</v>
      </c>
      <c r="F73" s="3">
        <f>'Monthly D3 Gallon Data'!$C52</f>
        <v>0</v>
      </c>
      <c r="G73" s="3">
        <f>'Monthly D3 Gallon Data'!$C64</f>
        <v>0</v>
      </c>
      <c r="H73" s="3">
        <f>'Monthly D3 Gallon Data'!$C76</f>
        <v>0</v>
      </c>
      <c r="I73" s="3">
        <f>'Monthly D3 Gallon Data'!$C88</f>
        <v>0</v>
      </c>
      <c r="J73" s="3">
        <f>'Monthly D3 Gallon Data'!$C100</f>
        <v>0</v>
      </c>
      <c r="K73" s="3">
        <f>'Monthly D3 Gallon Data'!$C112</f>
        <v>0</v>
      </c>
      <c r="L73" s="3">
        <f>'Monthly D3 Gallon Data'!$C124</f>
        <v>0</v>
      </c>
      <c r="M73" s="3">
        <f>'Monthly D3 Gallon Data'!$C136</f>
        <v>0</v>
      </c>
      <c r="N73" s="3">
        <f>'Monthly D3 Gallon Data'!$C148</f>
        <v>0</v>
      </c>
      <c r="O73" s="3">
        <f>'Monthly D3 Gallon Data'!$C160</f>
        <v>0</v>
      </c>
      <c r="P73" s="3">
        <f>'Monthly D3 Gallon Data'!$C172</f>
        <v>0</v>
      </c>
      <c r="Q73" s="3">
        <f>'Monthly D3 Gallon Data'!$C184</f>
        <v>0</v>
      </c>
      <c r="R73" s="4">
        <v>0</v>
      </c>
      <c r="S73" s="4">
        <v>0</v>
      </c>
      <c r="T73" s="4">
        <v>0</v>
      </c>
      <c r="U73" s="4">
        <v>0</v>
      </c>
      <c r="V73" s="4">
        <v>0</v>
      </c>
      <c r="W73" s="4">
        <v>0</v>
      </c>
      <c r="X73" s="4">
        <v>0</v>
      </c>
      <c r="Y73" s="4">
        <v>0</v>
      </c>
      <c r="Z73" s="4">
        <v>0</v>
      </c>
      <c r="AA73" s="4">
        <v>0</v>
      </c>
      <c r="AB73" s="4">
        <v>0</v>
      </c>
      <c r="AC73" s="4">
        <v>0</v>
      </c>
      <c r="AD73" s="4">
        <v>0</v>
      </c>
      <c r="AE73" s="4">
        <v>0</v>
      </c>
      <c r="AF73" s="4">
        <v>0</v>
      </c>
      <c r="AG73" s="4">
        <v>0</v>
      </c>
      <c r="AH73" s="4">
        <v>1</v>
      </c>
      <c r="AI73" s="4">
        <v>2</v>
      </c>
      <c r="AJ73" s="4">
        <v>3</v>
      </c>
      <c r="AK73" s="4">
        <v>4</v>
      </c>
      <c r="AL73" s="4">
        <v>5</v>
      </c>
      <c r="AM73" s="4">
        <v>6</v>
      </c>
      <c r="AN73" s="4">
        <v>7</v>
      </c>
      <c r="AO73" s="4">
        <v>8</v>
      </c>
      <c r="AP73" s="4">
        <v>9</v>
      </c>
      <c r="AQ73" s="4">
        <v>10</v>
      </c>
      <c r="AR73" s="4"/>
      <c r="AS73" s="4"/>
      <c r="AT73" s="4"/>
      <c r="AU73" s="4"/>
      <c r="AV73" s="4"/>
      <c r="AW73" s="4"/>
      <c r="AX73" s="4"/>
      <c r="AY73" s="4"/>
      <c r="AZ73" s="4"/>
      <c r="BA73" s="4"/>
      <c r="BB73" s="4"/>
      <c r="BC73" s="4"/>
      <c r="BD73" s="4"/>
      <c r="BI73" s="3">
        <v>0</v>
      </c>
      <c r="BJ73" s="3">
        <f t="shared" ref="BJ73:BJ85" si="100">L73-BI73</f>
        <v>0</v>
      </c>
      <c r="BK73" s="3">
        <v>0</v>
      </c>
      <c r="BL73" s="3">
        <f t="shared" ref="BL73:BL85" si="101">M73-BK73</f>
        <v>0</v>
      </c>
      <c r="BM73" s="3">
        <v>0</v>
      </c>
      <c r="BN73" s="3">
        <f t="shared" ref="BN73:BN85" si="102">N73-BM73</f>
        <v>0</v>
      </c>
      <c r="BO73" s="3">
        <v>0</v>
      </c>
      <c r="BP73" s="3">
        <f t="shared" ref="BP73:BP85" si="103">O73-BO73</f>
        <v>0</v>
      </c>
      <c r="BQ73" s="3">
        <v>0</v>
      </c>
      <c r="BR73" s="18">
        <f t="shared" ref="BR73:BR85" si="104">P73-BQ73</f>
        <v>0</v>
      </c>
      <c r="BS73" s="3">
        <v>0</v>
      </c>
      <c r="BT73" s="18">
        <f>Q73-BS73</f>
        <v>0</v>
      </c>
    </row>
    <row r="74" spans="1:72">
      <c r="A74" s="2" t="s">
        <v>44</v>
      </c>
      <c r="B74" s="3">
        <f>'Monthly D3 Gallon Data'!$C5</f>
        <v>0</v>
      </c>
      <c r="C74" s="3">
        <f>'Monthly D3 Gallon Data'!$C17</f>
        <v>0</v>
      </c>
      <c r="D74" s="3">
        <f>'Monthly D3 Gallon Data'!$C29</f>
        <v>0</v>
      </c>
      <c r="E74" s="3">
        <f>'Monthly D3 Gallon Data'!$C41</f>
        <v>0</v>
      </c>
      <c r="F74" s="3">
        <f>'Monthly D3 Gallon Data'!$C53</f>
        <v>0</v>
      </c>
      <c r="G74" s="3">
        <f>'Monthly D3 Gallon Data'!$C65</f>
        <v>0</v>
      </c>
      <c r="H74" s="3">
        <f>'Monthly D3 Gallon Data'!$C77</f>
        <v>0</v>
      </c>
      <c r="I74" s="3">
        <f>'Monthly D3 Gallon Data'!$C89</f>
        <v>0</v>
      </c>
      <c r="J74" s="3">
        <f>'Monthly D3 Gallon Data'!$C101</f>
        <v>0</v>
      </c>
      <c r="K74" s="3">
        <f>'Monthly D3 Gallon Data'!$C113</f>
        <v>0</v>
      </c>
      <c r="L74" s="3">
        <f>'Monthly D3 Gallon Data'!$C125</f>
        <v>0</v>
      </c>
      <c r="M74" s="3">
        <f>'Monthly D3 Gallon Data'!$C137</f>
        <v>0</v>
      </c>
      <c r="N74" s="3">
        <f>'Monthly D3 Gallon Data'!$C149</f>
        <v>0</v>
      </c>
      <c r="O74" s="3">
        <f>'Monthly D3 Gallon Data'!$C161</f>
        <v>0</v>
      </c>
      <c r="P74" s="3">
        <f>'Monthly D3 Gallon Data'!$C173</f>
        <v>0</v>
      </c>
      <c r="Q74" s="3">
        <f>'Monthly D3 Gallon Data'!$C185</f>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1</v>
      </c>
      <c r="AI74" s="4">
        <v>2</v>
      </c>
      <c r="AJ74" s="4">
        <v>3</v>
      </c>
      <c r="AK74" s="4">
        <v>4</v>
      </c>
      <c r="AL74" s="4">
        <v>5</v>
      </c>
      <c r="AM74" s="4">
        <v>6</v>
      </c>
      <c r="AN74" s="4">
        <v>7</v>
      </c>
      <c r="AO74" s="4">
        <v>8</v>
      </c>
      <c r="AP74" s="4">
        <v>9</v>
      </c>
      <c r="AQ74" s="4">
        <v>10</v>
      </c>
      <c r="AR74" s="4"/>
      <c r="AS74" s="4"/>
      <c r="AT74" s="4"/>
      <c r="AU74" s="4"/>
      <c r="AV74" s="4"/>
      <c r="AW74" s="4"/>
      <c r="AX74" s="4"/>
      <c r="AY74" s="4"/>
      <c r="AZ74" s="4"/>
      <c r="BA74" s="4"/>
      <c r="BB74" s="4"/>
      <c r="BC74" s="4"/>
      <c r="BD74" s="4"/>
      <c r="BI74" s="3">
        <v>0</v>
      </c>
      <c r="BJ74" s="3">
        <f t="shared" si="100"/>
        <v>0</v>
      </c>
      <c r="BK74" s="3">
        <v>0</v>
      </c>
      <c r="BL74" s="3">
        <f t="shared" si="101"/>
        <v>0</v>
      </c>
      <c r="BM74" s="3">
        <v>0</v>
      </c>
      <c r="BN74" s="3">
        <f t="shared" si="102"/>
        <v>0</v>
      </c>
      <c r="BO74" s="3">
        <v>0</v>
      </c>
      <c r="BP74" s="3">
        <f t="shared" si="103"/>
        <v>0</v>
      </c>
      <c r="BQ74" s="3">
        <v>0</v>
      </c>
      <c r="BR74" s="18">
        <f t="shared" si="104"/>
        <v>0</v>
      </c>
      <c r="BS74" s="3">
        <v>0</v>
      </c>
      <c r="BT74" s="18">
        <f t="shared" ref="BT74:BT85" si="105">Q74-BS74</f>
        <v>0</v>
      </c>
    </row>
    <row r="75" spans="1:72">
      <c r="A75" s="2" t="s">
        <v>45</v>
      </c>
      <c r="B75" s="3">
        <f>'Monthly D3 Gallon Data'!$C6</f>
        <v>0</v>
      </c>
      <c r="C75" s="3">
        <f>'Monthly D3 Gallon Data'!$C18</f>
        <v>0</v>
      </c>
      <c r="D75" s="3">
        <f>'Monthly D3 Gallon Data'!$C30</f>
        <v>0</v>
      </c>
      <c r="E75" s="3">
        <f>'Monthly D3 Gallon Data'!$C42</f>
        <v>0</v>
      </c>
      <c r="F75" s="3">
        <f>'Monthly D3 Gallon Data'!$C54</f>
        <v>0</v>
      </c>
      <c r="G75" s="3">
        <f>'Monthly D3 Gallon Data'!$C66</f>
        <v>0</v>
      </c>
      <c r="H75" s="3">
        <f>'Monthly D3 Gallon Data'!$C78</f>
        <v>0</v>
      </c>
      <c r="I75" s="3">
        <f>'Monthly D3 Gallon Data'!$C90</f>
        <v>0</v>
      </c>
      <c r="J75" s="3">
        <f>'Monthly D3 Gallon Data'!$C102</f>
        <v>1616594</v>
      </c>
      <c r="K75" s="3">
        <f>'Monthly D3 Gallon Data'!$C114</f>
        <v>4263940</v>
      </c>
      <c r="L75" s="3">
        <f>'Monthly D3 Gallon Data'!$C126</f>
        <v>0</v>
      </c>
      <c r="M75" s="3">
        <f>'Monthly D3 Gallon Data'!$C138</f>
        <v>0</v>
      </c>
      <c r="N75" s="3">
        <f>'Monthly D3 Gallon Data'!$C150</f>
        <v>0</v>
      </c>
      <c r="O75" s="3">
        <f>'Monthly D3 Gallon Data'!$C162</f>
        <v>0</v>
      </c>
      <c r="P75" s="3">
        <f>'Monthly D3 Gallon Data'!$C174</f>
        <v>0</v>
      </c>
      <c r="Q75" s="4">
        <v>0</v>
      </c>
      <c r="R75" s="4">
        <v>0</v>
      </c>
      <c r="S75" s="4">
        <v>0</v>
      </c>
      <c r="T75" s="4">
        <v>0</v>
      </c>
      <c r="U75" s="4">
        <v>0</v>
      </c>
      <c r="V75" s="4">
        <v>0</v>
      </c>
      <c r="W75" s="4">
        <v>0</v>
      </c>
      <c r="X75" s="4">
        <v>0</v>
      </c>
      <c r="Y75" s="4">
        <v>0</v>
      </c>
      <c r="Z75" s="4">
        <v>0</v>
      </c>
      <c r="AA75" s="4">
        <v>0</v>
      </c>
      <c r="AB75" s="4">
        <v>0</v>
      </c>
      <c r="AC75" s="4">
        <v>0</v>
      </c>
      <c r="AD75" s="4">
        <v>0</v>
      </c>
      <c r="AE75" s="4">
        <v>0</v>
      </c>
      <c r="AF75" s="4">
        <v>0</v>
      </c>
      <c r="AG75" s="4">
        <v>0</v>
      </c>
      <c r="AH75" s="4">
        <v>1</v>
      </c>
      <c r="AI75" s="4">
        <v>2</v>
      </c>
      <c r="AJ75" s="4">
        <v>3</v>
      </c>
      <c r="AK75" s="4">
        <v>4</v>
      </c>
      <c r="AL75" s="4">
        <v>5</v>
      </c>
      <c r="AM75" s="4">
        <v>6</v>
      </c>
      <c r="AN75" s="4">
        <v>7</v>
      </c>
      <c r="AO75" s="4">
        <v>8</v>
      </c>
      <c r="AP75" s="4">
        <v>9</v>
      </c>
      <c r="AQ75" s="4">
        <v>10</v>
      </c>
      <c r="AR75" s="4"/>
      <c r="AS75" s="4"/>
      <c r="AT75" s="4"/>
      <c r="AU75" s="4"/>
      <c r="AV75" s="4"/>
      <c r="AW75" s="4"/>
      <c r="AX75" s="4"/>
      <c r="AY75" s="4"/>
      <c r="AZ75" s="4"/>
      <c r="BA75" s="4"/>
      <c r="BB75" s="4"/>
      <c r="BC75" s="4"/>
      <c r="BD75" s="4"/>
      <c r="BI75" s="3">
        <v>0</v>
      </c>
      <c r="BJ75" s="3">
        <f t="shared" si="100"/>
        <v>0</v>
      </c>
      <c r="BK75" s="3">
        <v>0</v>
      </c>
      <c r="BL75" s="3">
        <f t="shared" si="101"/>
        <v>0</v>
      </c>
      <c r="BM75" s="3">
        <v>0</v>
      </c>
      <c r="BN75" s="3">
        <f t="shared" si="102"/>
        <v>0</v>
      </c>
      <c r="BO75" s="3">
        <v>0</v>
      </c>
      <c r="BP75" s="3">
        <f t="shared" si="103"/>
        <v>0</v>
      </c>
      <c r="BQ75" s="3">
        <v>0</v>
      </c>
      <c r="BR75" s="18">
        <f t="shared" si="104"/>
        <v>0</v>
      </c>
      <c r="BS75" s="4">
        <v>0</v>
      </c>
      <c r="BT75" s="18">
        <f t="shared" si="105"/>
        <v>0</v>
      </c>
    </row>
    <row r="76" spans="1:72">
      <c r="A76" s="2" t="s">
        <v>46</v>
      </c>
      <c r="B76" s="3">
        <f>'Monthly D3 Gallon Data'!$C7</f>
        <v>0</v>
      </c>
      <c r="C76" s="3">
        <f>'Monthly D3 Gallon Data'!$C19</f>
        <v>0</v>
      </c>
      <c r="D76" s="3">
        <f>'Monthly D3 Gallon Data'!$C31</f>
        <v>0</v>
      </c>
      <c r="E76" s="3">
        <f>'Monthly D3 Gallon Data'!$C43</f>
        <v>0</v>
      </c>
      <c r="F76" s="3">
        <f>'Monthly D3 Gallon Data'!$C55</f>
        <v>0</v>
      </c>
      <c r="G76" s="3">
        <f>'Monthly D3 Gallon Data'!$C67</f>
        <v>0</v>
      </c>
      <c r="H76" s="3">
        <f>'Monthly D3 Gallon Data'!$C79</f>
        <v>0</v>
      </c>
      <c r="I76" s="3">
        <f>'Monthly D3 Gallon Data'!$C91</f>
        <v>0</v>
      </c>
      <c r="J76" s="3">
        <f>'Monthly D3 Gallon Data'!$C103</f>
        <v>0</v>
      </c>
      <c r="K76" s="3">
        <f>'Monthly D3 Gallon Data'!$C115</f>
        <v>0</v>
      </c>
      <c r="L76" s="3">
        <f>'Monthly D3 Gallon Data'!$C127</f>
        <v>0</v>
      </c>
      <c r="M76" s="3">
        <f>'Monthly D3 Gallon Data'!$C139</f>
        <v>0</v>
      </c>
      <c r="N76" s="3">
        <f>'Monthly D3 Gallon Data'!$C151</f>
        <v>0</v>
      </c>
      <c r="O76" s="3">
        <f>'Monthly D3 Gallon Data'!$C163</f>
        <v>0</v>
      </c>
      <c r="P76" s="3">
        <f>'Monthly D3 Gallon Data'!$C175</f>
        <v>0</v>
      </c>
      <c r="Q76" s="4">
        <v>0</v>
      </c>
      <c r="R76" s="4">
        <v>0</v>
      </c>
      <c r="S76" s="4">
        <v>0</v>
      </c>
      <c r="T76" s="4">
        <v>0</v>
      </c>
      <c r="U76" s="4">
        <v>0</v>
      </c>
      <c r="V76" s="4">
        <v>0</v>
      </c>
      <c r="W76" s="4">
        <v>0</v>
      </c>
      <c r="X76" s="4">
        <v>0</v>
      </c>
      <c r="Y76" s="4">
        <v>0</v>
      </c>
      <c r="Z76" s="4">
        <v>0</v>
      </c>
      <c r="AA76" s="4">
        <v>0</v>
      </c>
      <c r="AB76" s="4">
        <v>0</v>
      </c>
      <c r="AC76" s="4">
        <v>0</v>
      </c>
      <c r="AD76" s="4">
        <v>0</v>
      </c>
      <c r="AE76" s="4">
        <v>0</v>
      </c>
      <c r="AF76" s="4">
        <v>0</v>
      </c>
      <c r="AG76" s="4">
        <v>0</v>
      </c>
      <c r="AH76" s="4">
        <v>1</v>
      </c>
      <c r="AI76" s="4">
        <v>2</v>
      </c>
      <c r="AJ76" s="4">
        <v>3</v>
      </c>
      <c r="AK76" s="4">
        <v>4</v>
      </c>
      <c r="AL76" s="4">
        <v>5</v>
      </c>
      <c r="AM76" s="4">
        <v>6</v>
      </c>
      <c r="AN76" s="4">
        <v>7</v>
      </c>
      <c r="AO76" s="4">
        <v>8</v>
      </c>
      <c r="AP76" s="4">
        <v>9</v>
      </c>
      <c r="AQ76" s="4">
        <v>10</v>
      </c>
      <c r="AR76" s="4"/>
      <c r="AS76" s="4"/>
      <c r="AT76" s="4"/>
      <c r="AU76" s="4"/>
      <c r="AV76" s="4"/>
      <c r="AW76" s="4"/>
      <c r="AX76" s="4"/>
      <c r="AY76" s="4"/>
      <c r="AZ76" s="4"/>
      <c r="BA76" s="4"/>
      <c r="BB76" s="4"/>
      <c r="BC76" s="4"/>
      <c r="BD76" s="4"/>
      <c r="BI76" s="3">
        <v>0</v>
      </c>
      <c r="BJ76" s="3">
        <f t="shared" si="100"/>
        <v>0</v>
      </c>
      <c r="BK76" s="3">
        <v>0</v>
      </c>
      <c r="BL76" s="3">
        <f t="shared" si="101"/>
        <v>0</v>
      </c>
      <c r="BM76" s="3">
        <v>0</v>
      </c>
      <c r="BN76" s="3">
        <f t="shared" si="102"/>
        <v>0</v>
      </c>
      <c r="BO76" s="3">
        <v>0</v>
      </c>
      <c r="BP76" s="3">
        <f t="shared" si="103"/>
        <v>0</v>
      </c>
      <c r="BQ76" s="3">
        <v>0</v>
      </c>
      <c r="BR76" s="18">
        <f t="shared" si="104"/>
        <v>0</v>
      </c>
      <c r="BS76" s="4">
        <v>0</v>
      </c>
      <c r="BT76" s="18">
        <f t="shared" si="105"/>
        <v>0</v>
      </c>
    </row>
    <row r="77" spans="1:72">
      <c r="A77" s="2" t="s">
        <v>47</v>
      </c>
      <c r="B77" s="3">
        <f>'Monthly D3 Gallon Data'!$C8</f>
        <v>0</v>
      </c>
      <c r="C77" s="3">
        <f>'Monthly D3 Gallon Data'!$C20</f>
        <v>0</v>
      </c>
      <c r="D77" s="3">
        <f>'Monthly D3 Gallon Data'!$C32</f>
        <v>0</v>
      </c>
      <c r="E77" s="3">
        <f>'Monthly D3 Gallon Data'!$C44</f>
        <v>0</v>
      </c>
      <c r="F77" s="3">
        <f>'Monthly D3 Gallon Data'!$C56</f>
        <v>0</v>
      </c>
      <c r="G77" s="3">
        <f>'Monthly D3 Gallon Data'!$C68</f>
        <v>0</v>
      </c>
      <c r="H77" s="3">
        <f>'Monthly D3 Gallon Data'!$C80</f>
        <v>0</v>
      </c>
      <c r="I77" s="3">
        <f>'Monthly D3 Gallon Data'!$C92</f>
        <v>1331289</v>
      </c>
      <c r="J77" s="3">
        <f>'Monthly D3 Gallon Data'!$C104</f>
        <v>0</v>
      </c>
      <c r="K77" s="3">
        <f>'Monthly D3 Gallon Data'!$C116</f>
        <v>0</v>
      </c>
      <c r="L77" s="3">
        <f>'Monthly D3 Gallon Data'!$C128</f>
        <v>0</v>
      </c>
      <c r="M77" s="3">
        <f>'Monthly D3 Gallon Data'!$C140</f>
        <v>0</v>
      </c>
      <c r="N77" s="3">
        <f>'Monthly D3 Gallon Data'!$C152</f>
        <v>0</v>
      </c>
      <c r="O77" s="3">
        <f>'Monthly D3 Gallon Data'!$C164</f>
        <v>0</v>
      </c>
      <c r="P77" s="3">
        <f>'Monthly D3 Gallon Data'!$C176</f>
        <v>0</v>
      </c>
      <c r="Q77" s="4">
        <v>0</v>
      </c>
      <c r="R77" s="4">
        <v>0</v>
      </c>
      <c r="S77" s="4">
        <v>0</v>
      </c>
      <c r="T77" s="4">
        <v>0</v>
      </c>
      <c r="U77" s="4">
        <v>0</v>
      </c>
      <c r="V77" s="4">
        <v>0</v>
      </c>
      <c r="W77" s="4">
        <v>0</v>
      </c>
      <c r="X77" s="4">
        <v>0</v>
      </c>
      <c r="Y77" s="4">
        <v>0</v>
      </c>
      <c r="Z77" s="4">
        <v>0</v>
      </c>
      <c r="AA77" s="4">
        <v>0</v>
      </c>
      <c r="AB77" s="4">
        <v>0</v>
      </c>
      <c r="AC77" s="4">
        <v>0</v>
      </c>
      <c r="AD77" s="4">
        <v>0</v>
      </c>
      <c r="AE77" s="4">
        <v>0</v>
      </c>
      <c r="AF77" s="4">
        <v>0</v>
      </c>
      <c r="AG77" s="4">
        <v>0</v>
      </c>
      <c r="AH77" s="4">
        <v>1</v>
      </c>
      <c r="AI77" s="4">
        <v>2</v>
      </c>
      <c r="AJ77" s="4">
        <v>3</v>
      </c>
      <c r="AK77" s="4">
        <v>4</v>
      </c>
      <c r="AL77" s="4">
        <v>5</v>
      </c>
      <c r="AM77" s="4">
        <v>6</v>
      </c>
      <c r="AN77" s="4">
        <v>7</v>
      </c>
      <c r="AO77" s="4">
        <v>8</v>
      </c>
      <c r="AP77" s="4">
        <v>9</v>
      </c>
      <c r="AQ77" s="4">
        <v>10</v>
      </c>
      <c r="AR77" s="4"/>
      <c r="AS77" s="4"/>
      <c r="AT77" s="4"/>
      <c r="AU77" s="4"/>
      <c r="AV77" s="4"/>
      <c r="AW77" s="4"/>
      <c r="AX77" s="4"/>
      <c r="AY77" s="4"/>
      <c r="AZ77" s="4"/>
      <c r="BA77" s="4"/>
      <c r="BB77" s="4"/>
      <c r="BC77" s="4"/>
      <c r="BD77" s="4"/>
      <c r="BI77" s="3">
        <v>0</v>
      </c>
      <c r="BJ77" s="3">
        <f t="shared" si="100"/>
        <v>0</v>
      </c>
      <c r="BK77" s="3">
        <v>0</v>
      </c>
      <c r="BL77" s="3">
        <f t="shared" si="101"/>
        <v>0</v>
      </c>
      <c r="BM77" s="3">
        <v>0</v>
      </c>
      <c r="BN77" s="3">
        <f t="shared" si="102"/>
        <v>0</v>
      </c>
      <c r="BO77" s="3">
        <v>0</v>
      </c>
      <c r="BP77" s="3">
        <f t="shared" si="103"/>
        <v>0</v>
      </c>
      <c r="BQ77" s="4">
        <v>0</v>
      </c>
      <c r="BR77" s="18">
        <f t="shared" si="104"/>
        <v>0</v>
      </c>
      <c r="BS77" s="4">
        <v>0</v>
      </c>
      <c r="BT77" s="18">
        <f t="shared" si="105"/>
        <v>0</v>
      </c>
    </row>
    <row r="78" spans="1:72">
      <c r="A78" s="2" t="s">
        <v>48</v>
      </c>
      <c r="B78" s="3">
        <f>'Monthly D3 Gallon Data'!$C9</f>
        <v>0</v>
      </c>
      <c r="C78" s="3">
        <f>'Monthly D3 Gallon Data'!$C21</f>
        <v>0</v>
      </c>
      <c r="D78" s="3">
        <f>'Monthly D3 Gallon Data'!$C33</f>
        <v>0</v>
      </c>
      <c r="E78" s="3">
        <f>'Monthly D3 Gallon Data'!$C45</f>
        <v>0</v>
      </c>
      <c r="F78" s="3">
        <f>'Monthly D3 Gallon Data'!$C57</f>
        <v>0</v>
      </c>
      <c r="G78" s="3">
        <f>'Monthly D3 Gallon Data'!$C69</f>
        <v>0</v>
      </c>
      <c r="H78" s="3">
        <f>'Monthly D3 Gallon Data'!$C81</f>
        <v>0</v>
      </c>
      <c r="I78" s="3">
        <f>'Monthly D3 Gallon Data'!$C93</f>
        <v>0</v>
      </c>
      <c r="J78" s="3">
        <f>'Monthly D3 Gallon Data'!$C105</f>
        <v>0</v>
      </c>
      <c r="K78" s="3">
        <f>'Monthly D3 Gallon Data'!$C117</f>
        <v>0</v>
      </c>
      <c r="L78" s="3">
        <f>'Monthly D3 Gallon Data'!$C129</f>
        <v>0</v>
      </c>
      <c r="M78" s="3">
        <f>'Monthly D3 Gallon Data'!$C141</f>
        <v>0</v>
      </c>
      <c r="N78" s="3">
        <f>'Monthly D3 Gallon Data'!$C153</f>
        <v>0</v>
      </c>
      <c r="O78" s="3">
        <f>'Monthly D3 Gallon Data'!$C165</f>
        <v>0</v>
      </c>
      <c r="P78" s="3">
        <f>'Monthly D3 Gallon Data'!$C177</f>
        <v>0</v>
      </c>
      <c r="Q78" s="4">
        <v>0</v>
      </c>
      <c r="R78" s="4">
        <v>0</v>
      </c>
      <c r="S78" s="4">
        <v>0</v>
      </c>
      <c r="T78" s="4">
        <v>0</v>
      </c>
      <c r="U78" s="4">
        <v>0</v>
      </c>
      <c r="V78" s="4">
        <v>0</v>
      </c>
      <c r="W78" s="4">
        <v>0</v>
      </c>
      <c r="X78" s="4">
        <v>0</v>
      </c>
      <c r="Y78" s="4">
        <v>0</v>
      </c>
      <c r="Z78" s="4">
        <v>0</v>
      </c>
      <c r="AA78" s="4">
        <v>0</v>
      </c>
      <c r="AB78" s="4">
        <v>0</v>
      </c>
      <c r="AC78" s="4">
        <v>0</v>
      </c>
      <c r="AD78" s="4">
        <v>0</v>
      </c>
      <c r="AE78" s="4">
        <v>0</v>
      </c>
      <c r="AF78" s="4">
        <v>0</v>
      </c>
      <c r="AG78" s="4">
        <v>0</v>
      </c>
      <c r="AH78" s="4">
        <v>1</v>
      </c>
      <c r="AI78" s="4">
        <v>2</v>
      </c>
      <c r="AJ78" s="4">
        <v>3</v>
      </c>
      <c r="AK78" s="4">
        <v>4</v>
      </c>
      <c r="AL78" s="4">
        <v>5</v>
      </c>
      <c r="AM78" s="4">
        <v>6</v>
      </c>
      <c r="AN78" s="4">
        <v>7</v>
      </c>
      <c r="AO78" s="4">
        <v>8</v>
      </c>
      <c r="AP78" s="4">
        <v>9</v>
      </c>
      <c r="AQ78" s="4">
        <v>10</v>
      </c>
      <c r="AR78" s="4"/>
      <c r="AS78" s="4"/>
      <c r="AT78" s="4"/>
      <c r="AU78" s="4"/>
      <c r="AV78" s="4"/>
      <c r="AW78" s="4"/>
      <c r="AX78" s="4"/>
      <c r="AY78" s="4"/>
      <c r="AZ78" s="4"/>
      <c r="BA78" s="4"/>
      <c r="BB78" s="4"/>
      <c r="BC78" s="4"/>
      <c r="BD78" s="4"/>
      <c r="BI78" s="3">
        <v>0</v>
      </c>
      <c r="BJ78" s="3">
        <f t="shared" si="100"/>
        <v>0</v>
      </c>
      <c r="BK78" s="3">
        <v>0</v>
      </c>
      <c r="BL78" s="3">
        <f t="shared" si="101"/>
        <v>0</v>
      </c>
      <c r="BM78" s="3">
        <v>0</v>
      </c>
      <c r="BN78" s="3">
        <f t="shared" si="102"/>
        <v>0</v>
      </c>
      <c r="BO78" s="3">
        <v>0</v>
      </c>
      <c r="BP78" s="3">
        <f t="shared" si="103"/>
        <v>0</v>
      </c>
      <c r="BQ78" s="4">
        <v>0</v>
      </c>
      <c r="BR78" s="18">
        <f t="shared" si="104"/>
        <v>0</v>
      </c>
      <c r="BS78" s="4">
        <v>0</v>
      </c>
      <c r="BT78" s="18">
        <f t="shared" si="105"/>
        <v>0</v>
      </c>
    </row>
    <row r="79" spans="1:72">
      <c r="A79" s="2" t="s">
        <v>49</v>
      </c>
      <c r="B79" s="3">
        <f>'Monthly D3 Gallon Data'!$C10</f>
        <v>0</v>
      </c>
      <c r="C79" s="3">
        <f>'Monthly D3 Gallon Data'!$C22</f>
        <v>0</v>
      </c>
      <c r="D79" s="3">
        <f>'Monthly D3 Gallon Data'!$C34</f>
        <v>0</v>
      </c>
      <c r="E79" s="3">
        <f>'Monthly D3 Gallon Data'!$C46</f>
        <v>0</v>
      </c>
      <c r="F79" s="3">
        <f>'Monthly D3 Gallon Data'!$C58</f>
        <v>0</v>
      </c>
      <c r="G79" s="3">
        <f>'Monthly D3 Gallon Data'!$C70</f>
        <v>0</v>
      </c>
      <c r="H79" s="3">
        <f>'Monthly D3 Gallon Data'!$C82</f>
        <v>0</v>
      </c>
      <c r="I79" s="3">
        <f>'Monthly D3 Gallon Data'!$C94</f>
        <v>0</v>
      </c>
      <c r="J79" s="3">
        <f>'Monthly D3 Gallon Data'!$C106</f>
        <v>0</v>
      </c>
      <c r="K79" s="3">
        <f>'Monthly D3 Gallon Data'!$C118</f>
        <v>0</v>
      </c>
      <c r="L79" s="3">
        <f>'Monthly D3 Gallon Data'!$C130</f>
        <v>0</v>
      </c>
      <c r="M79" s="3">
        <f>'Monthly D3 Gallon Data'!$C142</f>
        <v>0</v>
      </c>
      <c r="N79" s="3">
        <f>'Monthly D3 Gallon Data'!$C154</f>
        <v>0</v>
      </c>
      <c r="O79" s="3">
        <f>'Monthly D3 Gallon Data'!$C166</f>
        <v>0</v>
      </c>
      <c r="P79" s="3">
        <f>'Monthly D3 Gallon Data'!$C178</f>
        <v>0</v>
      </c>
      <c r="Q79" s="4">
        <v>0</v>
      </c>
      <c r="R79" s="4">
        <v>0</v>
      </c>
      <c r="S79" s="4">
        <v>0</v>
      </c>
      <c r="T79" s="4">
        <v>0</v>
      </c>
      <c r="U79" s="4">
        <v>0</v>
      </c>
      <c r="V79" s="4">
        <v>0</v>
      </c>
      <c r="W79" s="4">
        <v>0</v>
      </c>
      <c r="X79" s="4">
        <v>0</v>
      </c>
      <c r="Y79" s="4">
        <v>0</v>
      </c>
      <c r="Z79" s="4">
        <v>0</v>
      </c>
      <c r="AA79" s="4">
        <v>0</v>
      </c>
      <c r="AB79" s="4">
        <v>0</v>
      </c>
      <c r="AC79" s="4">
        <v>0</v>
      </c>
      <c r="AD79" s="4">
        <v>0</v>
      </c>
      <c r="AE79" s="4">
        <v>0</v>
      </c>
      <c r="AF79" s="4">
        <v>0</v>
      </c>
      <c r="AG79" s="4">
        <v>0</v>
      </c>
      <c r="AH79" s="4">
        <v>1</v>
      </c>
      <c r="AI79" s="4">
        <v>2</v>
      </c>
      <c r="AJ79" s="4">
        <v>3</v>
      </c>
      <c r="AK79" s="4">
        <v>4</v>
      </c>
      <c r="AL79" s="4">
        <v>5</v>
      </c>
      <c r="AM79" s="4">
        <v>6</v>
      </c>
      <c r="AN79" s="4">
        <v>7</v>
      </c>
      <c r="AO79" s="4">
        <v>8</v>
      </c>
      <c r="AP79" s="4">
        <v>9</v>
      </c>
      <c r="AQ79" s="4">
        <v>10</v>
      </c>
      <c r="AR79" s="4"/>
      <c r="AS79" s="4"/>
      <c r="AT79" s="4"/>
      <c r="AU79" s="4"/>
      <c r="AV79" s="4"/>
      <c r="AW79" s="4"/>
      <c r="AX79" s="4"/>
      <c r="AY79" s="4"/>
      <c r="AZ79" s="4"/>
      <c r="BA79" s="4"/>
      <c r="BB79" s="4"/>
      <c r="BC79" s="4"/>
      <c r="BD79" s="4"/>
      <c r="BG79" s="4">
        <v>0</v>
      </c>
      <c r="BH79" s="3">
        <f t="shared" ref="BH79:BH85" si="106">K79-BG79</f>
        <v>0</v>
      </c>
      <c r="BI79" s="3">
        <v>0</v>
      </c>
      <c r="BJ79" s="3">
        <f t="shared" si="100"/>
        <v>0</v>
      </c>
      <c r="BK79" s="3">
        <v>0</v>
      </c>
      <c r="BL79" s="3">
        <f t="shared" si="101"/>
        <v>0</v>
      </c>
      <c r="BM79" s="3">
        <v>0</v>
      </c>
      <c r="BN79" s="3">
        <f t="shared" si="102"/>
        <v>0</v>
      </c>
      <c r="BO79" s="3">
        <v>0</v>
      </c>
      <c r="BP79" s="3">
        <f t="shared" si="103"/>
        <v>0</v>
      </c>
      <c r="BQ79" s="4">
        <v>0</v>
      </c>
      <c r="BR79" s="18">
        <f t="shared" si="104"/>
        <v>0</v>
      </c>
      <c r="BS79" s="4">
        <v>0</v>
      </c>
      <c r="BT79" s="18">
        <f t="shared" si="105"/>
        <v>0</v>
      </c>
    </row>
    <row r="80" spans="1:72">
      <c r="A80" s="2" t="s">
        <v>50</v>
      </c>
      <c r="B80" s="3">
        <f>'Monthly D3 Gallon Data'!$C11</f>
        <v>0</v>
      </c>
      <c r="C80" s="3">
        <f>'Monthly D3 Gallon Data'!$C23</f>
        <v>0</v>
      </c>
      <c r="D80" s="3">
        <f>'Monthly D3 Gallon Data'!$C35</f>
        <v>0</v>
      </c>
      <c r="E80" s="3">
        <f>'Monthly D3 Gallon Data'!$C47</f>
        <v>0</v>
      </c>
      <c r="F80" s="3">
        <f>'Monthly D3 Gallon Data'!$C59</f>
        <v>0</v>
      </c>
      <c r="G80" s="3">
        <f>'Monthly D3 Gallon Data'!$C71</f>
        <v>0</v>
      </c>
      <c r="H80" s="3">
        <f>'Monthly D3 Gallon Data'!$C83</f>
        <v>0</v>
      </c>
      <c r="I80" s="3">
        <f>'Monthly D3 Gallon Data'!$C95</f>
        <v>0</v>
      </c>
      <c r="J80" s="3">
        <f>'Monthly D3 Gallon Data'!$C107</f>
        <v>0</v>
      </c>
      <c r="K80" s="3">
        <f>'Monthly D3 Gallon Data'!$C119</f>
        <v>0</v>
      </c>
      <c r="L80" s="3">
        <f>'Monthly D3 Gallon Data'!$C131</f>
        <v>0</v>
      </c>
      <c r="M80" s="3">
        <f>'Monthly D3 Gallon Data'!$C143</f>
        <v>0</v>
      </c>
      <c r="N80" s="3">
        <f>'Monthly D3 Gallon Data'!$C155</f>
        <v>0</v>
      </c>
      <c r="O80" s="3">
        <f>'Monthly D3 Gallon Data'!$C167</f>
        <v>0</v>
      </c>
      <c r="P80" s="3">
        <f>'Monthly D3 Gallon Data'!$C179</f>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1</v>
      </c>
      <c r="AI80" s="4">
        <v>2</v>
      </c>
      <c r="AJ80" s="4">
        <v>3</v>
      </c>
      <c r="AK80" s="4">
        <v>4</v>
      </c>
      <c r="AL80" s="4">
        <v>5</v>
      </c>
      <c r="AM80" s="4">
        <v>6</v>
      </c>
      <c r="AN80" s="4">
        <v>7</v>
      </c>
      <c r="AO80" s="4">
        <v>8</v>
      </c>
      <c r="AP80" s="4">
        <v>9</v>
      </c>
      <c r="AQ80" s="4">
        <v>10</v>
      </c>
      <c r="AR80" s="4"/>
      <c r="AS80" s="4"/>
      <c r="AT80" s="4"/>
      <c r="AU80" s="4"/>
      <c r="AV80" s="4"/>
      <c r="AW80" s="4"/>
      <c r="AX80" s="4"/>
      <c r="AY80" s="4"/>
      <c r="AZ80" s="4"/>
      <c r="BA80" s="4"/>
      <c r="BB80" s="4"/>
      <c r="BC80" s="4"/>
      <c r="BD80" s="4"/>
      <c r="BG80" s="4">
        <v>0</v>
      </c>
      <c r="BH80" s="3">
        <f t="shared" si="106"/>
        <v>0</v>
      </c>
      <c r="BI80" s="3">
        <v>0</v>
      </c>
      <c r="BJ80" s="3">
        <f t="shared" si="100"/>
        <v>0</v>
      </c>
      <c r="BK80" s="3">
        <v>0</v>
      </c>
      <c r="BL80" s="3">
        <f t="shared" si="101"/>
        <v>0</v>
      </c>
      <c r="BM80" s="3">
        <v>0</v>
      </c>
      <c r="BN80" s="3">
        <f t="shared" si="102"/>
        <v>0</v>
      </c>
      <c r="BO80" s="3">
        <v>0</v>
      </c>
      <c r="BP80" s="3">
        <f t="shared" si="103"/>
        <v>0</v>
      </c>
      <c r="BQ80" s="4">
        <v>0</v>
      </c>
      <c r="BR80" s="18">
        <f t="shared" si="104"/>
        <v>0</v>
      </c>
      <c r="BS80" s="4">
        <v>0</v>
      </c>
      <c r="BT80" s="18">
        <f t="shared" si="105"/>
        <v>0</v>
      </c>
    </row>
    <row r="81" spans="1:72">
      <c r="A81" s="2" t="s">
        <v>51</v>
      </c>
      <c r="B81" s="3">
        <f>'Monthly D3 Gallon Data'!$C12</f>
        <v>0</v>
      </c>
      <c r="C81" s="3">
        <f>'Monthly D3 Gallon Data'!$C24</f>
        <v>0</v>
      </c>
      <c r="D81" s="3">
        <f>'Monthly D3 Gallon Data'!$C36</f>
        <v>0</v>
      </c>
      <c r="E81" s="3">
        <f>'Monthly D3 Gallon Data'!$C48</f>
        <v>0</v>
      </c>
      <c r="F81" s="3">
        <f>'Monthly D3 Gallon Data'!$C60</f>
        <v>0</v>
      </c>
      <c r="G81" s="3">
        <f>'Monthly D3 Gallon Data'!$C72</f>
        <v>0</v>
      </c>
      <c r="H81" s="3">
        <f>'Monthly D3 Gallon Data'!$C84</f>
        <v>0</v>
      </c>
      <c r="I81" s="3">
        <f>'Monthly D3 Gallon Data'!$C96</f>
        <v>0</v>
      </c>
      <c r="J81" s="3">
        <f>'Monthly D3 Gallon Data'!$C108</f>
        <v>0</v>
      </c>
      <c r="K81" s="3">
        <f>'Monthly D3 Gallon Data'!$C120</f>
        <v>0</v>
      </c>
      <c r="L81" s="3">
        <f>'Monthly D3 Gallon Data'!$C132</f>
        <v>0</v>
      </c>
      <c r="M81" s="3">
        <f>'Monthly D3 Gallon Data'!$C144</f>
        <v>0</v>
      </c>
      <c r="N81" s="3">
        <f>'Monthly D3 Gallon Data'!$C156</f>
        <v>0</v>
      </c>
      <c r="O81" s="3">
        <f>'Monthly D3 Gallon Data'!$C168</f>
        <v>0</v>
      </c>
      <c r="P81" s="3">
        <f>'Monthly D3 Gallon Data'!$C180</f>
        <v>0</v>
      </c>
      <c r="Q81" s="4">
        <v>0</v>
      </c>
      <c r="R81" s="4">
        <v>0</v>
      </c>
      <c r="S81" s="4">
        <v>0</v>
      </c>
      <c r="T81" s="4">
        <v>0</v>
      </c>
      <c r="U81" s="4">
        <v>0</v>
      </c>
      <c r="V81" s="4">
        <v>0</v>
      </c>
      <c r="W81" s="4">
        <v>0</v>
      </c>
      <c r="X81" s="4">
        <v>0</v>
      </c>
      <c r="Y81" s="4">
        <v>0</v>
      </c>
      <c r="Z81" s="4">
        <v>0</v>
      </c>
      <c r="AA81" s="4">
        <v>0</v>
      </c>
      <c r="AB81" s="4">
        <v>0</v>
      </c>
      <c r="AC81" s="4">
        <v>0</v>
      </c>
      <c r="AD81" s="4">
        <v>0</v>
      </c>
      <c r="AE81" s="4">
        <v>0</v>
      </c>
      <c r="AF81" s="4">
        <v>0</v>
      </c>
      <c r="AG81" s="4">
        <v>0</v>
      </c>
      <c r="AH81" s="4">
        <v>1</v>
      </c>
      <c r="AI81" s="4">
        <v>2</v>
      </c>
      <c r="AJ81" s="4">
        <v>3</v>
      </c>
      <c r="AK81" s="4">
        <v>4</v>
      </c>
      <c r="AL81" s="4">
        <v>5</v>
      </c>
      <c r="AM81" s="4">
        <v>6</v>
      </c>
      <c r="AN81" s="4">
        <v>7</v>
      </c>
      <c r="AO81" s="4">
        <v>8</v>
      </c>
      <c r="AP81" s="4">
        <v>9</v>
      </c>
      <c r="AQ81" s="4">
        <v>10</v>
      </c>
      <c r="AR81" s="4"/>
      <c r="AS81" s="4"/>
      <c r="AT81" s="4"/>
      <c r="AU81" s="4"/>
      <c r="AV81" s="4"/>
      <c r="AW81" s="4"/>
      <c r="AX81" s="4"/>
      <c r="AY81" s="4"/>
      <c r="AZ81" s="4"/>
      <c r="BA81" s="4"/>
      <c r="BB81" s="4"/>
      <c r="BC81" s="4"/>
      <c r="BD81" s="4"/>
      <c r="BG81" s="4">
        <v>0</v>
      </c>
      <c r="BH81" s="3">
        <f t="shared" si="106"/>
        <v>0</v>
      </c>
      <c r="BI81" s="3">
        <v>0</v>
      </c>
      <c r="BJ81" s="3">
        <f t="shared" si="100"/>
        <v>0</v>
      </c>
      <c r="BK81" s="3">
        <v>0</v>
      </c>
      <c r="BL81" s="3">
        <f t="shared" si="101"/>
        <v>0</v>
      </c>
      <c r="BM81" s="3">
        <v>0</v>
      </c>
      <c r="BN81" s="3">
        <f t="shared" si="102"/>
        <v>0</v>
      </c>
      <c r="BO81" s="3">
        <v>0</v>
      </c>
      <c r="BP81" s="3">
        <f t="shared" si="103"/>
        <v>0</v>
      </c>
      <c r="BQ81" s="4">
        <v>0</v>
      </c>
      <c r="BR81" s="18">
        <f t="shared" si="104"/>
        <v>0</v>
      </c>
      <c r="BS81" s="4">
        <v>0</v>
      </c>
      <c r="BT81" s="18">
        <f t="shared" si="105"/>
        <v>0</v>
      </c>
    </row>
    <row r="82" spans="1:72">
      <c r="A82" s="2" t="s">
        <v>52</v>
      </c>
      <c r="B82" s="3">
        <f>'Monthly D3 Gallon Data'!$C13</f>
        <v>0</v>
      </c>
      <c r="C82" s="3">
        <f>'Monthly D3 Gallon Data'!$C25</f>
        <v>0</v>
      </c>
      <c r="D82" s="3">
        <f>'Monthly D3 Gallon Data'!$C37</f>
        <v>0</v>
      </c>
      <c r="E82" s="3">
        <f>'Monthly D3 Gallon Data'!$C49</f>
        <v>0</v>
      </c>
      <c r="F82" s="3">
        <f>'Monthly D3 Gallon Data'!$C61</f>
        <v>0</v>
      </c>
      <c r="G82" s="3">
        <f>'Monthly D3 Gallon Data'!$C73</f>
        <v>0</v>
      </c>
      <c r="H82" s="3">
        <f>'Monthly D3 Gallon Data'!$C85</f>
        <v>0</v>
      </c>
      <c r="I82" s="3">
        <f>'Monthly D3 Gallon Data'!$C97</f>
        <v>2971938</v>
      </c>
      <c r="J82" s="3">
        <f>'Monthly D3 Gallon Data'!$C109</f>
        <v>0</v>
      </c>
      <c r="K82" s="3">
        <f>'Monthly D3 Gallon Data'!$C121</f>
        <v>0</v>
      </c>
      <c r="L82" s="3">
        <f>'Monthly D3 Gallon Data'!$C133</f>
        <v>0</v>
      </c>
      <c r="M82" s="3">
        <f>'Monthly D3 Gallon Data'!$C145</f>
        <v>0</v>
      </c>
      <c r="N82" s="3">
        <f>'Monthly D3 Gallon Data'!$C157</f>
        <v>0</v>
      </c>
      <c r="O82" s="3">
        <f>'Monthly D3 Gallon Data'!$C169</f>
        <v>0</v>
      </c>
      <c r="P82" s="3">
        <f>'Monthly D3 Gallon Data'!$C181</f>
        <v>0</v>
      </c>
      <c r="Q82" s="4">
        <v>0</v>
      </c>
      <c r="R82" s="4">
        <v>0</v>
      </c>
      <c r="S82" s="4">
        <v>0</v>
      </c>
      <c r="T82" s="4">
        <v>0</v>
      </c>
      <c r="U82" s="4">
        <v>0</v>
      </c>
      <c r="V82" s="4">
        <v>0</v>
      </c>
      <c r="W82" s="4">
        <v>0</v>
      </c>
      <c r="X82" s="4">
        <v>0</v>
      </c>
      <c r="Y82" s="4">
        <v>0</v>
      </c>
      <c r="Z82" s="4">
        <v>0</v>
      </c>
      <c r="AA82" s="4">
        <v>0</v>
      </c>
      <c r="AB82" s="4">
        <v>0</v>
      </c>
      <c r="AC82" s="4">
        <v>0</v>
      </c>
      <c r="AD82" s="4">
        <v>0</v>
      </c>
      <c r="AE82" s="4">
        <v>0</v>
      </c>
      <c r="AF82" s="4">
        <v>0</v>
      </c>
      <c r="AG82" s="4">
        <v>0</v>
      </c>
      <c r="AH82" s="4">
        <v>1</v>
      </c>
      <c r="AI82" s="4">
        <v>2</v>
      </c>
      <c r="AJ82" s="4">
        <v>3</v>
      </c>
      <c r="AK82" s="4">
        <v>4</v>
      </c>
      <c r="AL82" s="4">
        <v>5</v>
      </c>
      <c r="AM82" s="4">
        <v>6</v>
      </c>
      <c r="AN82" s="4">
        <v>7</v>
      </c>
      <c r="AO82" s="4">
        <v>8</v>
      </c>
      <c r="AP82" s="4">
        <v>9</v>
      </c>
      <c r="AQ82" s="4">
        <v>10</v>
      </c>
      <c r="AR82" s="4"/>
      <c r="AS82" s="4"/>
      <c r="AT82" s="4"/>
      <c r="AU82" s="4"/>
      <c r="AV82" s="4"/>
      <c r="AW82" s="4"/>
      <c r="AX82" s="4"/>
      <c r="AY82" s="4"/>
      <c r="AZ82" s="4"/>
      <c r="BA82" s="4"/>
      <c r="BB82" s="4"/>
      <c r="BC82" s="4"/>
      <c r="BD82" s="4"/>
      <c r="BG82" s="4">
        <v>0</v>
      </c>
      <c r="BH82" s="3">
        <f t="shared" si="106"/>
        <v>0</v>
      </c>
      <c r="BI82" s="3">
        <v>0</v>
      </c>
      <c r="BJ82" s="3">
        <f t="shared" si="100"/>
        <v>0</v>
      </c>
      <c r="BK82" s="3">
        <v>0</v>
      </c>
      <c r="BL82" s="3">
        <f t="shared" si="101"/>
        <v>0</v>
      </c>
      <c r="BM82" s="3">
        <v>0</v>
      </c>
      <c r="BN82" s="3">
        <f t="shared" si="102"/>
        <v>0</v>
      </c>
      <c r="BO82" s="3">
        <v>0</v>
      </c>
      <c r="BP82" s="3">
        <f t="shared" si="103"/>
        <v>0</v>
      </c>
      <c r="BQ82" s="4">
        <v>0</v>
      </c>
      <c r="BR82" s="18">
        <f t="shared" si="104"/>
        <v>0</v>
      </c>
      <c r="BS82" s="4">
        <v>0</v>
      </c>
      <c r="BT82" s="18">
        <f t="shared" si="105"/>
        <v>0</v>
      </c>
    </row>
    <row r="83" spans="1:72">
      <c r="A83" s="2" t="s">
        <v>53</v>
      </c>
      <c r="B83" s="3">
        <f>'Monthly D3 Gallon Data'!$C14</f>
        <v>0</v>
      </c>
      <c r="C83" s="3">
        <f>'Monthly D3 Gallon Data'!$C26</f>
        <v>0</v>
      </c>
      <c r="D83" s="3">
        <f>'Monthly D3 Gallon Data'!$C38</f>
        <v>0</v>
      </c>
      <c r="E83" s="3">
        <f>'Monthly D3 Gallon Data'!$C50</f>
        <v>0</v>
      </c>
      <c r="F83" s="3">
        <f>'Monthly D3 Gallon Data'!$C62</f>
        <v>0</v>
      </c>
      <c r="G83" s="3">
        <f>'Monthly D3 Gallon Data'!$C74</f>
        <v>0</v>
      </c>
      <c r="H83" s="3">
        <f>'Monthly D3 Gallon Data'!$C86</f>
        <v>0</v>
      </c>
      <c r="I83" s="3">
        <f>'Monthly D3 Gallon Data'!$C98</f>
        <v>0</v>
      </c>
      <c r="J83" s="3">
        <f>'Monthly D3 Gallon Data'!$C110</f>
        <v>0</v>
      </c>
      <c r="K83" s="3">
        <f>'Monthly D3 Gallon Data'!$C122</f>
        <v>0</v>
      </c>
      <c r="L83" s="3">
        <f>'Monthly D3 Gallon Data'!$C134</f>
        <v>0</v>
      </c>
      <c r="M83" s="3">
        <f>'Monthly D3 Gallon Data'!$C146</f>
        <v>0</v>
      </c>
      <c r="N83" s="3">
        <f>'Monthly D3 Gallon Data'!$C158</f>
        <v>0</v>
      </c>
      <c r="O83" s="3">
        <f>'Monthly D3 Gallon Data'!$C170</f>
        <v>0</v>
      </c>
      <c r="P83" s="3">
        <f>'Monthly D3 Gallon Data'!$C182</f>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1</v>
      </c>
      <c r="AI83" s="4">
        <v>2</v>
      </c>
      <c r="AJ83" s="4">
        <v>3</v>
      </c>
      <c r="AK83" s="4">
        <v>4</v>
      </c>
      <c r="AL83" s="4">
        <v>5</v>
      </c>
      <c r="AM83" s="4">
        <v>6</v>
      </c>
      <c r="AN83" s="4">
        <v>7</v>
      </c>
      <c r="AO83" s="4">
        <v>8</v>
      </c>
      <c r="AP83" s="4">
        <v>9</v>
      </c>
      <c r="AQ83" s="4">
        <v>10</v>
      </c>
      <c r="AR83" s="4"/>
      <c r="AS83" s="4"/>
      <c r="AT83" s="4"/>
      <c r="AU83" s="4"/>
      <c r="AV83" s="4"/>
      <c r="AW83" s="4"/>
      <c r="AX83" s="4"/>
      <c r="AY83" s="4"/>
      <c r="AZ83" s="4"/>
      <c r="BA83" s="4"/>
      <c r="BB83" s="4"/>
      <c r="BC83" s="4"/>
      <c r="BD83" s="4"/>
      <c r="BG83" s="4">
        <v>0</v>
      </c>
      <c r="BH83" s="3">
        <f t="shared" si="106"/>
        <v>0</v>
      </c>
      <c r="BI83" s="3">
        <v>0</v>
      </c>
      <c r="BJ83" s="3">
        <f t="shared" si="100"/>
        <v>0</v>
      </c>
      <c r="BK83" s="3">
        <v>0</v>
      </c>
      <c r="BL83" s="3">
        <f t="shared" si="101"/>
        <v>0</v>
      </c>
      <c r="BM83" s="3">
        <v>0</v>
      </c>
      <c r="BN83" s="3">
        <f t="shared" si="102"/>
        <v>0</v>
      </c>
      <c r="BO83" s="3">
        <v>0</v>
      </c>
      <c r="BP83" s="3">
        <f t="shared" si="103"/>
        <v>0</v>
      </c>
      <c r="BQ83" s="4">
        <v>0</v>
      </c>
      <c r="BR83" s="18">
        <f t="shared" si="104"/>
        <v>0</v>
      </c>
      <c r="BS83" s="4">
        <v>0</v>
      </c>
      <c r="BT83" s="18">
        <f t="shared" si="105"/>
        <v>0</v>
      </c>
    </row>
    <row r="84" spans="1:72">
      <c r="A84" s="2" t="s">
        <v>54</v>
      </c>
      <c r="B84" s="3">
        <f>'Monthly D3 Gallon Data'!$C15</f>
        <v>0</v>
      </c>
      <c r="C84" s="3">
        <f>'Monthly D3 Gallon Data'!$C27</f>
        <v>0</v>
      </c>
      <c r="D84" s="3">
        <f>'Monthly D3 Gallon Data'!$C39</f>
        <v>0</v>
      </c>
      <c r="E84" s="3">
        <f>'Monthly D3 Gallon Data'!$C51</f>
        <v>0</v>
      </c>
      <c r="F84" s="3">
        <f>'Monthly D3 Gallon Data'!$C63</f>
        <v>0</v>
      </c>
      <c r="G84" s="3">
        <f>'Monthly D3 Gallon Data'!$C75</f>
        <v>0</v>
      </c>
      <c r="H84" s="3">
        <f>'Monthly D3 Gallon Data'!$C87</f>
        <v>0</v>
      </c>
      <c r="I84" s="3">
        <f>'Monthly D3 Gallon Data'!$C99</f>
        <v>0</v>
      </c>
      <c r="J84" s="3">
        <f>'Monthly D3 Gallon Data'!$C111</f>
        <v>0</v>
      </c>
      <c r="K84" s="3">
        <f>'Monthly D3 Gallon Data'!$C123</f>
        <v>0</v>
      </c>
      <c r="L84" s="3">
        <f>'Monthly D3 Gallon Data'!$C135</f>
        <v>0</v>
      </c>
      <c r="M84" s="3">
        <f>'Monthly D3 Gallon Data'!$C147</f>
        <v>0</v>
      </c>
      <c r="N84" s="3">
        <f>'Monthly D3 Gallon Data'!$C159</f>
        <v>0</v>
      </c>
      <c r="O84" s="3">
        <f>'Monthly D3 Gallon Data'!$C171</f>
        <v>0</v>
      </c>
      <c r="P84" s="3">
        <f>'Monthly D3 Gallon Data'!$C183</f>
        <v>0</v>
      </c>
      <c r="Q84" s="4">
        <v>0</v>
      </c>
      <c r="R84" s="4">
        <v>0</v>
      </c>
      <c r="S84" s="4">
        <v>0</v>
      </c>
      <c r="T84" s="4">
        <v>0</v>
      </c>
      <c r="U84" s="4">
        <v>0</v>
      </c>
      <c r="V84" s="4">
        <v>0</v>
      </c>
      <c r="W84" s="4">
        <v>0</v>
      </c>
      <c r="X84" s="4">
        <v>0</v>
      </c>
      <c r="Y84" s="4">
        <v>0</v>
      </c>
      <c r="Z84" s="4">
        <v>0</v>
      </c>
      <c r="AA84" s="4">
        <v>0</v>
      </c>
      <c r="AB84" s="4">
        <v>0</v>
      </c>
      <c r="AC84" s="4">
        <v>0</v>
      </c>
      <c r="AD84" s="4">
        <v>0</v>
      </c>
      <c r="AE84" s="4">
        <v>0</v>
      </c>
      <c r="AF84" s="4">
        <v>0</v>
      </c>
      <c r="AG84" s="4">
        <v>0</v>
      </c>
      <c r="AH84" s="4">
        <v>1</v>
      </c>
      <c r="AI84" s="4">
        <v>2</v>
      </c>
      <c r="AJ84" s="4">
        <v>3</v>
      </c>
      <c r="AK84" s="4">
        <v>4</v>
      </c>
      <c r="AL84" s="4">
        <v>5</v>
      </c>
      <c r="AM84" s="4">
        <v>6</v>
      </c>
      <c r="AN84" s="4">
        <v>7</v>
      </c>
      <c r="AO84" s="4">
        <v>8</v>
      </c>
      <c r="AP84" s="4">
        <v>9</v>
      </c>
      <c r="AQ84" s="4">
        <v>10</v>
      </c>
      <c r="AR84" s="4"/>
      <c r="AS84" s="4"/>
      <c r="AT84" s="4"/>
      <c r="AU84" s="4"/>
      <c r="AV84" s="4"/>
      <c r="AW84" s="4"/>
      <c r="AX84" s="4"/>
      <c r="AY84" s="4"/>
      <c r="AZ84" s="4"/>
      <c r="BA84" s="4"/>
      <c r="BB84" s="4"/>
      <c r="BC84" s="4"/>
      <c r="BD84" s="4"/>
      <c r="BG84" s="4">
        <v>0</v>
      </c>
      <c r="BH84" s="3">
        <f t="shared" si="106"/>
        <v>0</v>
      </c>
      <c r="BI84" s="3">
        <v>0</v>
      </c>
      <c r="BJ84" s="3">
        <f t="shared" si="100"/>
        <v>0</v>
      </c>
      <c r="BK84" s="3">
        <v>0</v>
      </c>
      <c r="BL84" s="3">
        <f t="shared" si="101"/>
        <v>0</v>
      </c>
      <c r="BM84" s="3">
        <v>0</v>
      </c>
      <c r="BN84" s="3">
        <f t="shared" si="102"/>
        <v>0</v>
      </c>
      <c r="BO84" s="3">
        <v>0</v>
      </c>
      <c r="BP84" s="3">
        <f t="shared" si="103"/>
        <v>0</v>
      </c>
      <c r="BQ84" s="4">
        <v>0</v>
      </c>
      <c r="BR84" s="18">
        <f t="shared" si="104"/>
        <v>0</v>
      </c>
      <c r="BS84" s="4">
        <v>0</v>
      </c>
      <c r="BT84" s="18">
        <f t="shared" si="105"/>
        <v>0</v>
      </c>
    </row>
    <row r="85" spans="1:72" ht="15.75" thickBot="1">
      <c r="A85" s="2" t="s">
        <v>29</v>
      </c>
      <c r="B85" s="3">
        <f>SUM(B73:B84)</f>
        <v>0</v>
      </c>
      <c r="C85" s="3">
        <f t="shared" ref="C85:AD85" si="107">SUM(C73:C84)</f>
        <v>0</v>
      </c>
      <c r="D85" s="3">
        <f t="shared" si="107"/>
        <v>0</v>
      </c>
      <c r="E85" s="3">
        <f t="shared" si="107"/>
        <v>0</v>
      </c>
      <c r="F85" s="3">
        <f t="shared" si="107"/>
        <v>0</v>
      </c>
      <c r="G85" s="3">
        <f t="shared" si="107"/>
        <v>0</v>
      </c>
      <c r="H85" s="3">
        <f t="shared" si="107"/>
        <v>0</v>
      </c>
      <c r="I85" s="3">
        <f t="shared" si="107"/>
        <v>4303227</v>
      </c>
      <c r="J85" s="3">
        <f t="shared" si="107"/>
        <v>1616594</v>
      </c>
      <c r="K85" s="3">
        <f t="shared" si="107"/>
        <v>4263940</v>
      </c>
      <c r="L85" s="3">
        <f t="shared" si="107"/>
        <v>0</v>
      </c>
      <c r="M85" s="3">
        <f t="shared" si="107"/>
        <v>0</v>
      </c>
      <c r="N85" s="3">
        <f t="shared" si="107"/>
        <v>0</v>
      </c>
      <c r="O85" s="3">
        <f t="shared" si="107"/>
        <v>0</v>
      </c>
      <c r="P85" s="3">
        <f t="shared" si="107"/>
        <v>0</v>
      </c>
      <c r="Q85" s="4">
        <f t="shared" si="107"/>
        <v>0</v>
      </c>
      <c r="R85" s="4">
        <f t="shared" si="107"/>
        <v>0</v>
      </c>
      <c r="S85" s="4">
        <f t="shared" si="107"/>
        <v>0</v>
      </c>
      <c r="T85" s="4">
        <f t="shared" si="107"/>
        <v>0</v>
      </c>
      <c r="U85" s="4">
        <f t="shared" si="107"/>
        <v>0</v>
      </c>
      <c r="V85" s="4">
        <f t="shared" si="107"/>
        <v>0</v>
      </c>
      <c r="W85" s="4">
        <f t="shared" si="107"/>
        <v>0</v>
      </c>
      <c r="X85" s="4">
        <f t="shared" si="107"/>
        <v>0</v>
      </c>
      <c r="Y85" s="4">
        <f t="shared" si="107"/>
        <v>0</v>
      </c>
      <c r="Z85" s="4">
        <f t="shared" si="107"/>
        <v>0</v>
      </c>
      <c r="AA85" s="4">
        <f t="shared" si="107"/>
        <v>0</v>
      </c>
      <c r="AB85" s="4">
        <f t="shared" si="107"/>
        <v>0</v>
      </c>
      <c r="AC85" s="4">
        <f t="shared" si="107"/>
        <v>0</v>
      </c>
      <c r="AD85" s="4">
        <f t="shared" si="107"/>
        <v>0</v>
      </c>
      <c r="AE85" s="4">
        <f>SUM(AE73:AE84)</f>
        <v>0</v>
      </c>
      <c r="AF85" s="4">
        <f>SUM(AF73:AF84)</f>
        <v>0</v>
      </c>
      <c r="AG85" s="4">
        <f>SUM(AG73:AG84)</f>
        <v>0</v>
      </c>
      <c r="AH85" s="4">
        <f t="shared" ref="AH85:AO85" si="108">SUM(AH73:AH84)</f>
        <v>12</v>
      </c>
      <c r="AI85" s="4">
        <f t="shared" si="108"/>
        <v>24</v>
      </c>
      <c r="AJ85" s="4">
        <f t="shared" si="108"/>
        <v>36</v>
      </c>
      <c r="AK85" s="4">
        <f t="shared" si="108"/>
        <v>48</v>
      </c>
      <c r="AL85" s="4">
        <f t="shared" si="108"/>
        <v>60</v>
      </c>
      <c r="AM85" s="4">
        <f t="shared" si="108"/>
        <v>72</v>
      </c>
      <c r="AN85" s="4">
        <f t="shared" si="108"/>
        <v>84</v>
      </c>
      <c r="AO85" s="4">
        <f t="shared" si="108"/>
        <v>96</v>
      </c>
      <c r="AP85" s="4">
        <f>SUM(AP73:AP84)</f>
        <v>108</v>
      </c>
      <c r="AQ85" s="4">
        <f>SUM(AQ73:AQ84)</f>
        <v>120</v>
      </c>
      <c r="AR85" s="4"/>
      <c r="AS85" s="4"/>
      <c r="AT85" s="4"/>
      <c r="AU85" s="4"/>
      <c r="AV85" s="4"/>
      <c r="AW85" s="4"/>
      <c r="AX85" s="4"/>
      <c r="AY85" s="4"/>
      <c r="AZ85" s="4"/>
      <c r="BA85" s="4"/>
      <c r="BB85" s="4"/>
      <c r="BC85" s="4"/>
      <c r="BD85" s="4"/>
      <c r="BG85" s="4">
        <v>4263940</v>
      </c>
      <c r="BH85" s="3">
        <f t="shared" si="106"/>
        <v>0</v>
      </c>
      <c r="BI85" s="3">
        <v>0</v>
      </c>
      <c r="BJ85" s="3">
        <f t="shared" si="100"/>
        <v>0</v>
      </c>
      <c r="BK85" s="3">
        <v>0</v>
      </c>
      <c r="BL85" s="3">
        <f t="shared" si="101"/>
        <v>0</v>
      </c>
      <c r="BM85" s="3">
        <v>0</v>
      </c>
      <c r="BN85" s="3">
        <f t="shared" si="102"/>
        <v>0</v>
      </c>
      <c r="BO85" s="3">
        <v>0</v>
      </c>
      <c r="BP85" s="3">
        <f t="shared" si="103"/>
        <v>0</v>
      </c>
      <c r="BQ85" s="4">
        <v>0</v>
      </c>
      <c r="BR85" s="18">
        <f t="shared" si="104"/>
        <v>0</v>
      </c>
      <c r="BS85" s="19">
        <v>0</v>
      </c>
      <c r="BT85" s="18">
        <f t="shared" si="105"/>
        <v>0</v>
      </c>
    </row>
    <row r="86" spans="1:72">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c r="AH86" s="114"/>
      <c r="AI86" s="114"/>
      <c r="AJ86" s="114"/>
      <c r="AK86" s="114"/>
      <c r="AL86" s="114"/>
      <c r="AM86" s="114"/>
      <c r="AN86" s="114"/>
      <c r="AO86" s="114"/>
      <c r="AP86" s="114"/>
      <c r="AQ86" s="114"/>
      <c r="AR86" s="2"/>
      <c r="AS86" s="2"/>
      <c r="AT86" s="2"/>
      <c r="AU86" s="2"/>
      <c r="AV86" s="2"/>
      <c r="AW86" s="2"/>
      <c r="AX86" s="2"/>
      <c r="AY86" s="2"/>
      <c r="AZ86" s="2"/>
      <c r="BA86" s="2"/>
      <c r="BB86" s="2"/>
      <c r="BC86" s="2"/>
      <c r="BD86" s="2"/>
      <c r="BR86" s="117"/>
    </row>
    <row r="87" spans="1:72" ht="16.5" thickBot="1">
      <c r="A87" s="109" t="s">
        <v>246</v>
      </c>
      <c r="BR87" s="117"/>
    </row>
    <row r="88" spans="1:72" ht="15.75" thickBot="1">
      <c r="A88" s="110"/>
      <c r="B88" s="111">
        <f t="shared" ref="B88:K88" si="109">B2</f>
        <v>2010</v>
      </c>
      <c r="C88" s="111">
        <f t="shared" si="109"/>
        <v>2011</v>
      </c>
      <c r="D88" s="111">
        <f t="shared" si="109"/>
        <v>2012</v>
      </c>
      <c r="E88" s="111">
        <f t="shared" si="109"/>
        <v>2013</v>
      </c>
      <c r="F88" s="111">
        <f t="shared" si="109"/>
        <v>2014</v>
      </c>
      <c r="G88" s="111">
        <f t="shared" si="109"/>
        <v>2015</v>
      </c>
      <c r="H88" s="111">
        <f t="shared" si="109"/>
        <v>2016</v>
      </c>
      <c r="I88" s="111">
        <f t="shared" si="109"/>
        <v>2017</v>
      </c>
      <c r="J88" s="111">
        <f t="shared" si="109"/>
        <v>2018</v>
      </c>
      <c r="K88" s="111">
        <f t="shared" si="109"/>
        <v>2019</v>
      </c>
      <c r="L88" s="111">
        <f>L2</f>
        <v>2020</v>
      </c>
      <c r="M88" s="111">
        <f>M2</f>
        <v>2021</v>
      </c>
      <c r="N88" s="111">
        <f t="shared" ref="N88:AD88" si="110">N2</f>
        <v>2022</v>
      </c>
      <c r="O88" s="111">
        <f t="shared" si="110"/>
        <v>2023</v>
      </c>
      <c r="P88" s="111">
        <f t="shared" si="110"/>
        <v>2024</v>
      </c>
      <c r="Q88" s="111">
        <f t="shared" si="110"/>
        <v>2025</v>
      </c>
      <c r="R88" s="111">
        <f t="shared" si="110"/>
        <v>2026</v>
      </c>
      <c r="S88" s="111">
        <f t="shared" si="110"/>
        <v>2027</v>
      </c>
      <c r="T88" s="111">
        <f t="shared" si="110"/>
        <v>2028</v>
      </c>
      <c r="U88" s="111">
        <f t="shared" si="110"/>
        <v>2029</v>
      </c>
      <c r="V88" s="111">
        <f t="shared" si="110"/>
        <v>2030</v>
      </c>
      <c r="W88" s="111">
        <f t="shared" si="110"/>
        <v>2031</v>
      </c>
      <c r="X88" s="111">
        <f t="shared" si="110"/>
        <v>2032</v>
      </c>
      <c r="Y88" s="111">
        <f t="shared" si="110"/>
        <v>2033</v>
      </c>
      <c r="Z88" s="111">
        <f t="shared" si="110"/>
        <v>2034</v>
      </c>
      <c r="AA88" s="111">
        <f t="shared" si="110"/>
        <v>2035</v>
      </c>
      <c r="AB88" s="111">
        <f t="shared" si="110"/>
        <v>2036</v>
      </c>
      <c r="AC88" s="111">
        <f t="shared" si="110"/>
        <v>2037</v>
      </c>
      <c r="AD88" s="111">
        <f t="shared" si="110"/>
        <v>2038</v>
      </c>
      <c r="AE88" s="111">
        <f>AE2</f>
        <v>2039</v>
      </c>
      <c r="AF88" s="111">
        <f>AF2</f>
        <v>2040</v>
      </c>
      <c r="AG88" s="111">
        <f>AG2</f>
        <v>2041</v>
      </c>
      <c r="AH88" s="111">
        <f t="shared" ref="AH88:AO88" si="111">AH2</f>
        <v>2042</v>
      </c>
      <c r="AI88" s="111">
        <f t="shared" si="111"/>
        <v>2043</v>
      </c>
      <c r="AJ88" s="111">
        <f t="shared" si="111"/>
        <v>2044</v>
      </c>
      <c r="AK88" s="111">
        <f t="shared" si="111"/>
        <v>2045</v>
      </c>
      <c r="AL88" s="111">
        <f t="shared" si="111"/>
        <v>2046</v>
      </c>
      <c r="AM88" s="111">
        <f t="shared" si="111"/>
        <v>2047</v>
      </c>
      <c r="AN88" s="111">
        <f t="shared" si="111"/>
        <v>2048</v>
      </c>
      <c r="AO88" s="111">
        <f t="shared" si="111"/>
        <v>2049</v>
      </c>
      <c r="AP88" s="111">
        <f>AP2</f>
        <v>2050</v>
      </c>
      <c r="AQ88" s="111">
        <f>AQ2</f>
        <v>2051</v>
      </c>
      <c r="AR88" s="94"/>
      <c r="AS88" s="94"/>
      <c r="AT88" s="94"/>
      <c r="AU88" s="94"/>
      <c r="AV88" s="94"/>
      <c r="AW88" s="94"/>
      <c r="AX88" s="94"/>
      <c r="AY88" s="94"/>
      <c r="AZ88" s="94"/>
      <c r="BA88" s="94"/>
      <c r="BB88" s="94"/>
      <c r="BC88" s="94"/>
      <c r="BD88" s="94"/>
      <c r="BR88" s="117"/>
    </row>
    <row r="89" spans="1:72">
      <c r="A89" s="2" t="s">
        <v>43</v>
      </c>
      <c r="B89" s="3">
        <f t="shared" ref="B89:AQ95" si="112">B105+B121</f>
        <v>0</v>
      </c>
      <c r="C89" s="3">
        <f t="shared" si="112"/>
        <v>0</v>
      </c>
      <c r="D89" s="3">
        <f t="shared" si="112"/>
        <v>0</v>
      </c>
      <c r="E89" s="3">
        <f t="shared" si="112"/>
        <v>0</v>
      </c>
      <c r="F89" s="3">
        <f t="shared" si="112"/>
        <v>0</v>
      </c>
      <c r="G89" s="3">
        <f t="shared" si="112"/>
        <v>1429312</v>
      </c>
      <c r="H89" s="3">
        <f t="shared" si="112"/>
        <v>1289142</v>
      </c>
      <c r="I89" s="3">
        <f t="shared" si="112"/>
        <v>95972</v>
      </c>
      <c r="J89" s="3">
        <f t="shared" si="112"/>
        <v>20688</v>
      </c>
      <c r="K89" s="3">
        <f t="shared" si="112"/>
        <v>22550</v>
      </c>
      <c r="L89" s="3">
        <f t="shared" si="112"/>
        <v>450471</v>
      </c>
      <c r="M89" s="3">
        <f t="shared" si="112"/>
        <v>3883503</v>
      </c>
      <c r="N89" s="3">
        <f t="shared" si="112"/>
        <v>752623</v>
      </c>
      <c r="O89" s="3">
        <f t="shared" si="112"/>
        <v>1964428</v>
      </c>
      <c r="P89" s="3">
        <f t="shared" si="112"/>
        <v>6482643</v>
      </c>
      <c r="Q89" s="3">
        <f t="shared" si="112"/>
        <v>1133947</v>
      </c>
      <c r="R89" s="4">
        <f t="shared" si="112"/>
        <v>2209951.1076068627</v>
      </c>
      <c r="S89" s="4">
        <f t="shared" si="112"/>
        <v>1854494.3352086472</v>
      </c>
      <c r="T89" s="4">
        <f t="shared" si="112"/>
        <v>2002844.5278763978</v>
      </c>
      <c r="U89" s="4">
        <f t="shared" si="112"/>
        <v>2269658.0867903833</v>
      </c>
      <c r="V89" s="4">
        <f t="shared" si="112"/>
        <v>1877199.3191623266</v>
      </c>
      <c r="W89" s="4">
        <f t="shared" si="112"/>
        <v>1964259.1108931957</v>
      </c>
      <c r="X89" s="4">
        <f t="shared" si="112"/>
        <v>1971622.2315778218</v>
      </c>
      <c r="Y89" s="4">
        <f t="shared" si="112"/>
        <v>2098589.0163358035</v>
      </c>
      <c r="Z89" s="4">
        <f t="shared" si="112"/>
        <v>2129921.6837256583</v>
      </c>
      <c r="AA89" s="4">
        <f t="shared" si="112"/>
        <v>2126580.9067595731</v>
      </c>
      <c r="AB89" s="4">
        <f t="shared" si="112"/>
        <v>2224443.4532405771</v>
      </c>
      <c r="AC89" s="4">
        <f t="shared" si="112"/>
        <v>2288003.8066594903</v>
      </c>
      <c r="AD89" s="4">
        <f t="shared" si="112"/>
        <v>2338292.9878417281</v>
      </c>
      <c r="AE89" s="4">
        <f t="shared" si="112"/>
        <v>2379382.2709318548</v>
      </c>
      <c r="AF89" s="4">
        <f t="shared" si="112"/>
        <v>2414188.7680672826</v>
      </c>
      <c r="AG89" s="4">
        <f t="shared" si="112"/>
        <v>2446595.28517691</v>
      </c>
      <c r="AH89" s="4">
        <f t="shared" si="112"/>
        <v>3090523.4459930952</v>
      </c>
      <c r="AI89" s="4">
        <f t="shared" si="112"/>
        <v>3609160.2824845258</v>
      </c>
      <c r="AJ89" s="4">
        <f t="shared" si="112"/>
        <v>3984217.9357540528</v>
      </c>
      <c r="AK89" s="4">
        <f t="shared" si="112"/>
        <v>4252995.2452514376</v>
      </c>
      <c r="AL89" s="4">
        <f t="shared" si="112"/>
        <v>4453111.4443393638</v>
      </c>
      <c r="AM89" s="4">
        <f t="shared" si="112"/>
        <v>4617726.6126540164</v>
      </c>
      <c r="AN89" s="4">
        <f t="shared" si="112"/>
        <v>4707302.3297951994</v>
      </c>
      <c r="AO89" s="4">
        <f t="shared" si="112"/>
        <v>4744394.4021906238</v>
      </c>
      <c r="AP89" s="4">
        <f t="shared" si="112"/>
        <v>4743947.7879750468</v>
      </c>
      <c r="AQ89" s="4">
        <f t="shared" si="112"/>
        <v>4713826.0667546894</v>
      </c>
      <c r="AR89" s="4"/>
      <c r="AS89" s="4"/>
      <c r="AT89" s="4"/>
      <c r="AU89" s="4"/>
      <c r="AV89" s="4"/>
      <c r="AW89" s="4"/>
      <c r="AX89" s="4"/>
      <c r="AY89" s="4"/>
      <c r="AZ89" s="4"/>
      <c r="BA89" s="4"/>
      <c r="BB89" s="4"/>
      <c r="BC89" s="4"/>
      <c r="BD89" s="4"/>
      <c r="BI89" s="3">
        <v>1053454.5138786163</v>
      </c>
      <c r="BJ89" s="3">
        <f t="shared" ref="BJ89:BJ101" si="113">L89-BI89</f>
        <v>-602983.51387861627</v>
      </c>
      <c r="BK89" s="3">
        <v>619419.77914562868</v>
      </c>
      <c r="BL89" s="3">
        <f t="shared" ref="BL89:BL101" si="114">M89-BK89</f>
        <v>3264083.2208543713</v>
      </c>
      <c r="BM89" s="3">
        <v>1357114.4608942047</v>
      </c>
      <c r="BN89" s="3">
        <f t="shared" ref="BN89:BN101" si="115">N89-BM89</f>
        <v>-604491.46089420468</v>
      </c>
      <c r="BO89" s="3">
        <v>1276334.9209650126</v>
      </c>
      <c r="BP89" s="3">
        <f t="shared" ref="BP89:BP101" si="116">O89-BO89</f>
        <v>688093.07903498737</v>
      </c>
      <c r="BQ89" s="3">
        <v>6482643</v>
      </c>
      <c r="BR89" s="18">
        <f t="shared" ref="BR89:BR101" si="117">P89-BQ89</f>
        <v>0</v>
      </c>
      <c r="BS89" s="3">
        <v>1133947</v>
      </c>
      <c r="BT89" s="18">
        <f>Q89-BS89</f>
        <v>0</v>
      </c>
    </row>
    <row r="90" spans="1:72">
      <c r="A90" s="2" t="s">
        <v>44</v>
      </c>
      <c r="B90" s="3">
        <f t="shared" si="112"/>
        <v>0</v>
      </c>
      <c r="C90" s="3">
        <f t="shared" si="112"/>
        <v>0</v>
      </c>
      <c r="D90" s="3">
        <f t="shared" si="112"/>
        <v>0</v>
      </c>
      <c r="E90" s="3">
        <f t="shared" si="112"/>
        <v>0</v>
      </c>
      <c r="F90" s="3">
        <f t="shared" si="112"/>
        <v>0</v>
      </c>
      <c r="G90" s="3">
        <f t="shared" si="112"/>
        <v>3687481</v>
      </c>
      <c r="H90" s="3">
        <f t="shared" si="112"/>
        <v>7718902</v>
      </c>
      <c r="I90" s="3">
        <f t="shared" si="112"/>
        <v>9752116</v>
      </c>
      <c r="J90" s="3">
        <f t="shared" si="112"/>
        <v>13667230</v>
      </c>
      <c r="K90" s="3">
        <f t="shared" si="112"/>
        <v>24428775</v>
      </c>
      <c r="L90" s="3">
        <f t="shared" si="112"/>
        <v>29222312</v>
      </c>
      <c r="M90" s="3">
        <f t="shared" si="112"/>
        <v>36142236</v>
      </c>
      <c r="N90" s="3">
        <f t="shared" si="112"/>
        <v>42149953</v>
      </c>
      <c r="O90" s="3">
        <f t="shared" si="112"/>
        <v>53557547</v>
      </c>
      <c r="P90" s="3">
        <f t="shared" si="112"/>
        <v>62936399</v>
      </c>
      <c r="Q90" s="3">
        <f t="shared" si="112"/>
        <v>1133947</v>
      </c>
      <c r="R90" s="4">
        <f t="shared" si="112"/>
        <v>30454344.5728852</v>
      </c>
      <c r="S90" s="4">
        <f t="shared" si="112"/>
        <v>28124680.455593485</v>
      </c>
      <c r="T90" s="4">
        <f t="shared" si="112"/>
        <v>25863178.852537781</v>
      </c>
      <c r="U90" s="4">
        <f t="shared" si="112"/>
        <v>24632831.517760355</v>
      </c>
      <c r="V90" s="4">
        <f t="shared" si="112"/>
        <v>21844210.654737636</v>
      </c>
      <c r="W90" s="4">
        <f t="shared" si="112"/>
        <v>25176778.087214321</v>
      </c>
      <c r="X90" s="4">
        <f t="shared" si="112"/>
        <v>24850181.819287356</v>
      </c>
      <c r="Y90" s="4">
        <f t="shared" si="112"/>
        <v>25461930.641765162</v>
      </c>
      <c r="Z90" s="4">
        <f t="shared" si="112"/>
        <v>25515128.358498283</v>
      </c>
      <c r="AA90" s="4">
        <f t="shared" si="112"/>
        <v>26016463.925356928</v>
      </c>
      <c r="AB90" s="4">
        <f t="shared" si="112"/>
        <v>27456090.192405809</v>
      </c>
      <c r="AC90" s="4">
        <f t="shared" si="112"/>
        <v>28038480.977938075</v>
      </c>
      <c r="AD90" s="4">
        <f t="shared" si="112"/>
        <v>28506544.600063469</v>
      </c>
      <c r="AE90" s="4">
        <f t="shared" si="112"/>
        <v>29033678.958186105</v>
      </c>
      <c r="AF90" s="4">
        <f t="shared" si="112"/>
        <v>29559280.915639471</v>
      </c>
      <c r="AG90" s="4">
        <f t="shared" si="112"/>
        <v>29960551.944586791</v>
      </c>
      <c r="AH90" s="4">
        <f t="shared" si="112"/>
        <v>37789729.535931751</v>
      </c>
      <c r="AI90" s="4">
        <f t="shared" si="112"/>
        <v>44113857.275911711</v>
      </c>
      <c r="AJ90" s="4">
        <f t="shared" si="112"/>
        <v>48719191.890444919</v>
      </c>
      <c r="AK90" s="4">
        <f t="shared" si="112"/>
        <v>52022642.180917501</v>
      </c>
      <c r="AL90" s="4">
        <f t="shared" si="112"/>
        <v>54463054.956539683</v>
      </c>
      <c r="AM90" s="4">
        <f t="shared" si="112"/>
        <v>56467336.114127032</v>
      </c>
      <c r="AN90" s="4">
        <f t="shared" si="112"/>
        <v>57563237.839616857</v>
      </c>
      <c r="AO90" s="4">
        <f t="shared" si="112"/>
        <v>58021290.437504113</v>
      </c>
      <c r="AP90" s="4">
        <f t="shared" si="112"/>
        <v>58016987.832823463</v>
      </c>
      <c r="AQ90" s="4">
        <f t="shared" si="112"/>
        <v>57646613.167901039</v>
      </c>
      <c r="AR90" s="4"/>
      <c r="AS90" s="4"/>
      <c r="AT90" s="4"/>
      <c r="AU90" s="4"/>
      <c r="AV90" s="4"/>
      <c r="AW90" s="4"/>
      <c r="AX90" s="4"/>
      <c r="AY90" s="4"/>
      <c r="AZ90" s="4"/>
      <c r="BA90" s="4"/>
      <c r="BB90" s="4"/>
      <c r="BC90" s="4"/>
      <c r="BD90" s="4"/>
      <c r="BI90" s="3">
        <v>23207629.914406858</v>
      </c>
      <c r="BJ90" s="3">
        <f t="shared" si="113"/>
        <v>6014682.0855931416</v>
      </c>
      <c r="BK90" s="3">
        <v>28075613.894737937</v>
      </c>
      <c r="BL90" s="3">
        <f t="shared" si="114"/>
        <v>8066622.1052620634</v>
      </c>
      <c r="BM90" s="3">
        <v>34347059.972894095</v>
      </c>
      <c r="BN90" s="3">
        <f t="shared" si="115"/>
        <v>7802893.0271059051</v>
      </c>
      <c r="BO90" s="3">
        <v>35915551.523882031</v>
      </c>
      <c r="BP90" s="3">
        <f t="shared" si="116"/>
        <v>17641995.476117969</v>
      </c>
      <c r="BQ90" s="3">
        <v>62936399</v>
      </c>
      <c r="BR90" s="18">
        <f t="shared" si="117"/>
        <v>0</v>
      </c>
      <c r="BS90" s="3">
        <v>55235119.790251985</v>
      </c>
      <c r="BT90" s="18">
        <f t="shared" ref="BT90:BT101" si="118">Q90-BS90</f>
        <v>-54101172.790251985</v>
      </c>
    </row>
    <row r="91" spans="1:72">
      <c r="A91" s="2" t="s">
        <v>45</v>
      </c>
      <c r="B91" s="3">
        <f t="shared" si="112"/>
        <v>0</v>
      </c>
      <c r="C91" s="3">
        <f t="shared" si="112"/>
        <v>0</v>
      </c>
      <c r="D91" s="3">
        <f t="shared" si="112"/>
        <v>0</v>
      </c>
      <c r="E91" s="3">
        <f t="shared" si="112"/>
        <v>0</v>
      </c>
      <c r="F91" s="3">
        <f t="shared" si="112"/>
        <v>0</v>
      </c>
      <c r="G91" s="3">
        <f t="shared" si="112"/>
        <v>4160077</v>
      </c>
      <c r="H91" s="3">
        <f t="shared" si="112"/>
        <v>9268999</v>
      </c>
      <c r="I91" s="3">
        <f t="shared" si="112"/>
        <v>10216614</v>
      </c>
      <c r="J91" s="3">
        <f t="shared" si="112"/>
        <v>12235741</v>
      </c>
      <c r="K91" s="3">
        <f t="shared" si="112"/>
        <v>21605928</v>
      </c>
      <c r="L91" s="3">
        <f t="shared" si="112"/>
        <v>27217620</v>
      </c>
      <c r="M91" s="3">
        <f t="shared" si="112"/>
        <v>30720333</v>
      </c>
      <c r="N91" s="3">
        <f t="shared" si="112"/>
        <v>38303781</v>
      </c>
      <c r="O91" s="3">
        <f t="shared" si="112"/>
        <v>48631963</v>
      </c>
      <c r="P91" s="3">
        <f t="shared" si="112"/>
        <v>60133566</v>
      </c>
      <c r="Q91" s="4">
        <f t="shared" si="112"/>
        <v>35950113.207594678</v>
      </c>
      <c r="R91" s="4">
        <f t="shared" si="112"/>
        <v>33224282.666799653</v>
      </c>
      <c r="S91" s="4">
        <f t="shared" si="112"/>
        <v>31970325.894557368</v>
      </c>
      <c r="T91" s="4">
        <f t="shared" si="112"/>
        <v>30810063.642001987</v>
      </c>
      <c r="U91" s="4">
        <f t="shared" si="112"/>
        <v>31860472.401970323</v>
      </c>
      <c r="V91" s="4">
        <f t="shared" si="112"/>
        <v>32469358.869294699</v>
      </c>
      <c r="W91" s="4">
        <f t="shared" si="112"/>
        <v>30833558.36050462</v>
      </c>
      <c r="X91" s="4">
        <f t="shared" si="112"/>
        <v>31239089.154638164</v>
      </c>
      <c r="Y91" s="4">
        <f t="shared" si="112"/>
        <v>32712487.293200888</v>
      </c>
      <c r="Z91" s="4">
        <f t="shared" si="112"/>
        <v>33286662.043360274</v>
      </c>
      <c r="AA91" s="4">
        <f t="shared" si="112"/>
        <v>33998969.307566956</v>
      </c>
      <c r="AB91" s="4">
        <f t="shared" si="112"/>
        <v>35032378.038606711</v>
      </c>
      <c r="AC91" s="4">
        <f t="shared" si="112"/>
        <v>36055328.795927376</v>
      </c>
      <c r="AD91" s="4">
        <f t="shared" si="112"/>
        <v>36811350.844201781</v>
      </c>
      <c r="AE91" s="4">
        <f t="shared" si="112"/>
        <v>37527886.018779665</v>
      </c>
      <c r="AF91" s="4">
        <f t="shared" si="112"/>
        <v>38142056.515010521</v>
      </c>
      <c r="AG91" s="4">
        <f t="shared" si="112"/>
        <v>38569825.158831447</v>
      </c>
      <c r="AH91" s="4">
        <f t="shared" si="112"/>
        <v>48730346.742340513</v>
      </c>
      <c r="AI91" s="4">
        <f t="shared" si="112"/>
        <v>56914066.696174808</v>
      </c>
      <c r="AJ91" s="4">
        <f t="shared" si="112"/>
        <v>62846192.386731997</v>
      </c>
      <c r="AK91" s="4">
        <f t="shared" si="112"/>
        <v>67086915.259087548</v>
      </c>
      <c r="AL91" s="4">
        <f t="shared" si="112"/>
        <v>70228045.741334185</v>
      </c>
      <c r="AM91" s="4">
        <f t="shared" si="112"/>
        <v>72827534.597232744</v>
      </c>
      <c r="AN91" s="4">
        <f t="shared" si="112"/>
        <v>74242783.470106229</v>
      </c>
      <c r="AO91" s="4">
        <f t="shared" si="112"/>
        <v>74829733.910931587</v>
      </c>
      <c r="AP91" s="4">
        <f t="shared" si="112"/>
        <v>74821409.805458322</v>
      </c>
      <c r="AQ91" s="4">
        <f t="shared" si="112"/>
        <v>74344548.989444807</v>
      </c>
      <c r="AR91" s="4"/>
      <c r="AS91" s="4"/>
      <c r="AT91" s="4"/>
      <c r="AU91" s="4"/>
      <c r="AV91" s="4"/>
      <c r="AW91" s="4"/>
      <c r="AX91" s="4"/>
      <c r="AY91" s="4"/>
      <c r="AZ91" s="4"/>
      <c r="BA91" s="4"/>
      <c r="BB91" s="4"/>
      <c r="BC91" s="4"/>
      <c r="BD91" s="4"/>
      <c r="BI91" s="3">
        <v>17775402.299447052</v>
      </c>
      <c r="BJ91" s="3">
        <f t="shared" si="113"/>
        <v>9442217.7005529478</v>
      </c>
      <c r="BK91" s="3">
        <v>26682271.836011171</v>
      </c>
      <c r="BL91" s="3">
        <f t="shared" si="114"/>
        <v>4038061.1639888287</v>
      </c>
      <c r="BM91" s="3">
        <v>30944159.040199466</v>
      </c>
      <c r="BN91" s="3">
        <f t="shared" si="115"/>
        <v>7359621.959800534</v>
      </c>
      <c r="BO91" s="3">
        <v>44518945.618670523</v>
      </c>
      <c r="BP91" s="3">
        <f t="shared" si="116"/>
        <v>4113017.3813294768</v>
      </c>
      <c r="BQ91" s="3">
        <v>60133566</v>
      </c>
      <c r="BR91" s="18">
        <f t="shared" si="117"/>
        <v>0</v>
      </c>
      <c r="BS91" s="4">
        <v>76334601.612601921</v>
      </c>
      <c r="BT91" s="18">
        <f t="shared" si="118"/>
        <v>-40384488.405007243</v>
      </c>
    </row>
    <row r="92" spans="1:72">
      <c r="A92" s="2" t="s">
        <v>46</v>
      </c>
      <c r="B92" s="3">
        <f t="shared" si="112"/>
        <v>0</v>
      </c>
      <c r="C92" s="3">
        <f t="shared" si="112"/>
        <v>0</v>
      </c>
      <c r="D92" s="3">
        <f t="shared" si="112"/>
        <v>0</v>
      </c>
      <c r="E92" s="3">
        <f t="shared" si="112"/>
        <v>0</v>
      </c>
      <c r="F92" s="3">
        <f t="shared" si="112"/>
        <v>0</v>
      </c>
      <c r="G92" s="3">
        <f t="shared" si="112"/>
        <v>4191579</v>
      </c>
      <c r="H92" s="3">
        <f t="shared" si="112"/>
        <v>8994368</v>
      </c>
      <c r="I92" s="3">
        <f t="shared" si="112"/>
        <v>10678397</v>
      </c>
      <c r="J92" s="3">
        <f t="shared" si="112"/>
        <v>13836808</v>
      </c>
      <c r="K92" s="3">
        <f t="shared" si="112"/>
        <v>26545780</v>
      </c>
      <c r="L92" s="3">
        <f t="shared" si="112"/>
        <v>32125484</v>
      </c>
      <c r="M92" s="3">
        <f t="shared" si="112"/>
        <v>37961101</v>
      </c>
      <c r="N92" s="3">
        <f t="shared" si="112"/>
        <v>43471042</v>
      </c>
      <c r="O92" s="3">
        <f t="shared" si="112"/>
        <v>56194699</v>
      </c>
      <c r="P92" s="3">
        <f t="shared" si="112"/>
        <v>67660455</v>
      </c>
      <c r="Q92" s="4">
        <f t="shared" si="112"/>
        <v>36362294.779245697</v>
      </c>
      <c r="R92" s="4">
        <f t="shared" si="112"/>
        <v>37562662.585769005</v>
      </c>
      <c r="S92" s="4">
        <f t="shared" si="112"/>
        <v>35667525.971819058</v>
      </c>
      <c r="T92" s="4">
        <f t="shared" si="112"/>
        <v>34264818.116670616</v>
      </c>
      <c r="U92" s="4">
        <f t="shared" si="112"/>
        <v>35083104.168019146</v>
      </c>
      <c r="V92" s="4">
        <f t="shared" si="112"/>
        <v>35467271.632154562</v>
      </c>
      <c r="W92" s="4">
        <f t="shared" si="112"/>
        <v>34239496.62969853</v>
      </c>
      <c r="X92" s="4">
        <f t="shared" si="112"/>
        <v>34557631.379049435</v>
      </c>
      <c r="Y92" s="4">
        <f t="shared" si="112"/>
        <v>36124922.268973731</v>
      </c>
      <c r="Z92" s="4">
        <f t="shared" si="112"/>
        <v>36708623.259619065</v>
      </c>
      <c r="AA92" s="4">
        <f t="shared" si="112"/>
        <v>37505321.144659497</v>
      </c>
      <c r="AB92" s="4">
        <f t="shared" si="112"/>
        <v>38721109.517397657</v>
      </c>
      <c r="AC92" s="4">
        <f t="shared" si="112"/>
        <v>39817223.217975825</v>
      </c>
      <c r="AD92" s="4">
        <f t="shared" si="112"/>
        <v>40639397.416171916</v>
      </c>
      <c r="AE92" s="4">
        <f t="shared" si="112"/>
        <v>41428167.95184084</v>
      </c>
      <c r="AF92" s="4">
        <f t="shared" si="112"/>
        <v>42114147.250305802</v>
      </c>
      <c r="AG92" s="4">
        <f t="shared" si="112"/>
        <v>42593666.122439079</v>
      </c>
      <c r="AH92" s="4">
        <f t="shared" si="112"/>
        <v>53805356.637164101</v>
      </c>
      <c r="AI92" s="4">
        <f t="shared" si="112"/>
        <v>62839396.375673957</v>
      </c>
      <c r="AJ92" s="4">
        <f t="shared" si="112"/>
        <v>69390370.237057507</v>
      </c>
      <c r="AK92" s="4">
        <f t="shared" si="112"/>
        <v>74074731.58797808</v>
      </c>
      <c r="AL92" s="4">
        <f t="shared" si="112"/>
        <v>77543251.858465374</v>
      </c>
      <c r="AM92" s="4">
        <f t="shared" si="112"/>
        <v>80412019.849884063</v>
      </c>
      <c r="AN92" s="4">
        <f t="shared" si="112"/>
        <v>81974639.012683734</v>
      </c>
      <c r="AO92" s="4">
        <f t="shared" si="112"/>
        <v>82623117.805036172</v>
      </c>
      <c r="AP92" s="4">
        <f t="shared" si="112"/>
        <v>82614164.518436983</v>
      </c>
      <c r="AQ92" s="4">
        <f t="shared" si="112"/>
        <v>82087512.3538782</v>
      </c>
      <c r="AR92" s="4"/>
      <c r="AS92" s="4"/>
      <c r="AT92" s="4"/>
      <c r="AU92" s="4"/>
      <c r="AV92" s="4"/>
      <c r="AW92" s="4"/>
      <c r="AX92" s="4"/>
      <c r="AY92" s="4"/>
      <c r="AZ92" s="4"/>
      <c r="BA92" s="4"/>
      <c r="BB92" s="4"/>
      <c r="BC92" s="4"/>
      <c r="BD92" s="4"/>
      <c r="BI92" s="3">
        <v>25162965.297629572</v>
      </c>
      <c r="BJ92" s="3">
        <f t="shared" si="113"/>
        <v>6962518.7023704275</v>
      </c>
      <c r="BK92" s="3">
        <v>31580983.284267783</v>
      </c>
      <c r="BL92" s="3">
        <f t="shared" si="114"/>
        <v>6380117.7157322168</v>
      </c>
      <c r="BM92" s="3">
        <v>37350400.437981509</v>
      </c>
      <c r="BN92" s="3">
        <f t="shared" si="115"/>
        <v>6120641.5620184913</v>
      </c>
      <c r="BO92" s="3">
        <v>52712077.764542311</v>
      </c>
      <c r="BP92" s="3">
        <f t="shared" si="116"/>
        <v>3482621.2354576886</v>
      </c>
      <c r="BQ92" s="3">
        <v>67660455</v>
      </c>
      <c r="BR92" s="18">
        <f t="shared" si="117"/>
        <v>0</v>
      </c>
      <c r="BS92" s="4">
        <v>77209806.535667092</v>
      </c>
      <c r="BT92" s="18">
        <f t="shared" si="118"/>
        <v>-40847511.756421395</v>
      </c>
    </row>
    <row r="93" spans="1:72">
      <c r="A93" s="2" t="s">
        <v>47</v>
      </c>
      <c r="B93" s="3">
        <f t="shared" si="112"/>
        <v>0</v>
      </c>
      <c r="C93" s="3">
        <f t="shared" si="112"/>
        <v>0</v>
      </c>
      <c r="D93" s="3">
        <f t="shared" si="112"/>
        <v>0</v>
      </c>
      <c r="E93" s="3">
        <f t="shared" si="112"/>
        <v>0</v>
      </c>
      <c r="F93" s="3">
        <f t="shared" si="112"/>
        <v>0</v>
      </c>
      <c r="G93" s="3">
        <f t="shared" si="112"/>
        <v>5878244</v>
      </c>
      <c r="H93" s="3">
        <f t="shared" si="112"/>
        <v>8584190</v>
      </c>
      <c r="I93" s="3">
        <f t="shared" si="112"/>
        <v>12750848</v>
      </c>
      <c r="J93" s="3">
        <f t="shared" si="112"/>
        <v>15947742</v>
      </c>
      <c r="K93" s="3">
        <f t="shared" si="112"/>
        <v>26089574</v>
      </c>
      <c r="L93" s="3">
        <f t="shared" si="112"/>
        <v>29494455</v>
      </c>
      <c r="M93" s="3">
        <f t="shared" si="112"/>
        <v>38890464</v>
      </c>
      <c r="N93" s="3">
        <f t="shared" si="112"/>
        <v>49193241</v>
      </c>
      <c r="O93" s="3">
        <f t="shared" si="112"/>
        <v>54387993</v>
      </c>
      <c r="P93" s="3">
        <f t="shared" si="112"/>
        <v>68080815</v>
      </c>
      <c r="Q93" s="4">
        <f t="shared" si="112"/>
        <v>36765748.560437277</v>
      </c>
      <c r="R93" s="4">
        <f t="shared" si="112"/>
        <v>48695500.096085638</v>
      </c>
      <c r="S93" s="4">
        <f t="shared" si="112"/>
        <v>48151227.082899094</v>
      </c>
      <c r="T93" s="4">
        <f t="shared" si="112"/>
        <v>47610103.775957577</v>
      </c>
      <c r="U93" s="4">
        <f t="shared" si="112"/>
        <v>52377132.149275765</v>
      </c>
      <c r="V93" s="4">
        <f t="shared" si="112"/>
        <v>58648108.22072123</v>
      </c>
      <c r="W93" s="4">
        <f t="shared" si="112"/>
        <v>62232812.245818548</v>
      </c>
      <c r="X93" s="4">
        <f t="shared" si="112"/>
        <v>67397184.166802809</v>
      </c>
      <c r="Y93" s="4">
        <f t="shared" si="112"/>
        <v>75976825.913173392</v>
      </c>
      <c r="Z93" s="4">
        <f t="shared" si="112"/>
        <v>83902798.809300318</v>
      </c>
      <c r="AA93" s="4">
        <f t="shared" si="112"/>
        <v>93393736.173797101</v>
      </c>
      <c r="AB93" s="4">
        <f t="shared" si="112"/>
        <v>104837450.20121895</v>
      </c>
      <c r="AC93" s="4">
        <f t="shared" si="112"/>
        <v>116876369.3205075</v>
      </c>
      <c r="AD93" s="4">
        <f t="shared" si="112"/>
        <v>129452951.161782</v>
      </c>
      <c r="AE93" s="4">
        <f t="shared" si="112"/>
        <v>143395371.43732572</v>
      </c>
      <c r="AF93" s="4">
        <f t="shared" si="112"/>
        <v>158316441.32495451</v>
      </c>
      <c r="AG93" s="4">
        <f t="shared" si="112"/>
        <v>173757313.01821962</v>
      </c>
      <c r="AH93" s="4">
        <f t="shared" si="112"/>
        <v>238116249.60074136</v>
      </c>
      <c r="AI93" s="4">
        <f t="shared" si="112"/>
        <v>304210419.8097505</v>
      </c>
      <c r="AJ93" s="4">
        <f t="shared" si="112"/>
        <v>368474958.19319797</v>
      </c>
      <c r="AK93" s="4">
        <f t="shared" si="112"/>
        <v>430727776.39340907</v>
      </c>
      <c r="AL93" s="4">
        <f t="shared" si="112"/>
        <v>491681304.5513525</v>
      </c>
      <c r="AM93" s="4">
        <f t="shared" si="112"/>
        <v>552999767.36783695</v>
      </c>
      <c r="AN93" s="4">
        <f t="shared" si="112"/>
        <v>612327795.15504944</v>
      </c>
      <c r="AO93" s="4">
        <f t="shared" si="112"/>
        <v>670476005.80197453</v>
      </c>
      <c r="AP93" s="4">
        <f t="shared" si="112"/>
        <v>727715282.60206902</v>
      </c>
      <c r="AQ93" s="4">
        <f t="shared" si="112"/>
        <v>784051935.66565621</v>
      </c>
      <c r="AR93" s="4"/>
      <c r="AS93" s="4"/>
      <c r="AT93" s="4"/>
      <c r="AU93" s="4"/>
      <c r="AV93" s="4"/>
      <c r="AW93" s="4"/>
      <c r="AX93" s="4"/>
      <c r="AY93" s="4"/>
      <c r="AZ93" s="4"/>
      <c r="BA93" s="4"/>
      <c r="BB93" s="4"/>
      <c r="BC93" s="4"/>
      <c r="BD93" s="4"/>
      <c r="BI93" s="3">
        <v>27129677.438144691</v>
      </c>
      <c r="BJ93" s="3">
        <f t="shared" si="113"/>
        <v>2364777.5618553087</v>
      </c>
      <c r="BK93" s="3">
        <v>31581420.553127486</v>
      </c>
      <c r="BL93" s="3">
        <f t="shared" si="114"/>
        <v>7309043.4468725137</v>
      </c>
      <c r="BM93" s="3">
        <v>34941805.056753062</v>
      </c>
      <c r="BN93" s="3">
        <f t="shared" si="115"/>
        <v>14251435.943246938</v>
      </c>
      <c r="BO93" s="3">
        <v>53875310.008654967</v>
      </c>
      <c r="BP93" s="3">
        <f t="shared" si="116"/>
        <v>512682.99134503305</v>
      </c>
      <c r="BQ93" s="4">
        <v>67809271</v>
      </c>
      <c r="BR93" s="18">
        <f t="shared" si="117"/>
        <v>271544</v>
      </c>
      <c r="BS93" s="4">
        <v>78066479.322161958</v>
      </c>
      <c r="BT93" s="18">
        <f t="shared" si="118"/>
        <v>-41300730.761724681</v>
      </c>
    </row>
    <row r="94" spans="1:72">
      <c r="A94" s="2" t="s">
        <v>48</v>
      </c>
      <c r="B94" s="3">
        <f t="shared" si="112"/>
        <v>0</v>
      </c>
      <c r="C94" s="3">
        <f t="shared" si="112"/>
        <v>0</v>
      </c>
      <c r="D94" s="3">
        <f t="shared" si="112"/>
        <v>0</v>
      </c>
      <c r="E94" s="3">
        <f t="shared" si="112"/>
        <v>0</v>
      </c>
      <c r="F94" s="3">
        <f t="shared" si="112"/>
        <v>0</v>
      </c>
      <c r="G94" s="3">
        <f t="shared" si="112"/>
        <v>7801631</v>
      </c>
      <c r="H94" s="3">
        <f t="shared" si="112"/>
        <v>8223464</v>
      </c>
      <c r="I94" s="3">
        <f t="shared" si="112"/>
        <v>13490491</v>
      </c>
      <c r="J94" s="3">
        <f t="shared" si="112"/>
        <v>18695915</v>
      </c>
      <c r="K94" s="3">
        <f t="shared" si="112"/>
        <v>30963637</v>
      </c>
      <c r="L94" s="3">
        <f t="shared" si="112"/>
        <v>33711799</v>
      </c>
      <c r="M94" s="3">
        <f t="shared" si="112"/>
        <v>42100228</v>
      </c>
      <c r="N94" s="3">
        <f t="shared" si="112"/>
        <v>47296692</v>
      </c>
      <c r="O94" s="3">
        <f t="shared" si="112"/>
        <v>62810385</v>
      </c>
      <c r="P94" s="3">
        <f t="shared" si="112"/>
        <v>74104020</v>
      </c>
      <c r="Q94" s="4">
        <f t="shared" si="112"/>
        <v>39825309.50727693</v>
      </c>
      <c r="R94" s="4">
        <f t="shared" si="112"/>
        <v>57868938.68501959</v>
      </c>
      <c r="S94" s="4">
        <f t="shared" si="112"/>
        <v>58307569.770856708</v>
      </c>
      <c r="T94" s="4">
        <f t="shared" si="112"/>
        <v>60155879.707895063</v>
      </c>
      <c r="U94" s="4">
        <f t="shared" si="112"/>
        <v>67363761.722611696</v>
      </c>
      <c r="V94" s="4">
        <f t="shared" si="112"/>
        <v>78620939.673314944</v>
      </c>
      <c r="W94" s="4">
        <f t="shared" si="112"/>
        <v>86721082.837989122</v>
      </c>
      <c r="X94" s="4">
        <f t="shared" si="112"/>
        <v>97178341.777276129</v>
      </c>
      <c r="Y94" s="4">
        <f t="shared" si="112"/>
        <v>113553117.82083267</v>
      </c>
      <c r="Z94" s="4">
        <f t="shared" si="112"/>
        <v>129793827.87480201</v>
      </c>
      <c r="AA94" s="4">
        <f t="shared" si="112"/>
        <v>149891305.57909194</v>
      </c>
      <c r="AB94" s="4">
        <f t="shared" si="112"/>
        <v>174545739.70417279</v>
      </c>
      <c r="AC94" s="4">
        <f t="shared" si="112"/>
        <v>201753912.01886487</v>
      </c>
      <c r="AD94" s="4">
        <f t="shared" si="112"/>
        <v>231669148.96529594</v>
      </c>
      <c r="AE94" s="4">
        <f t="shared" si="112"/>
        <v>266056431.57181698</v>
      </c>
      <c r="AF94" s="4">
        <f t="shared" si="112"/>
        <v>304549287.50774127</v>
      </c>
      <c r="AG94" s="4">
        <f t="shared" si="112"/>
        <v>346483002.05948126</v>
      </c>
      <c r="AH94" s="4">
        <f t="shared" si="112"/>
        <v>492139136.18189442</v>
      </c>
      <c r="AI94" s="4">
        <f t="shared" si="112"/>
        <v>654073887.49825406</v>
      </c>
      <c r="AJ94" s="4">
        <f t="shared" si="112"/>
        <v>825146635.18045628</v>
      </c>
      <c r="AK94" s="4">
        <f t="shared" si="112"/>
        <v>1003913488.4050351</v>
      </c>
      <c r="AL94" s="4">
        <f t="shared" si="112"/>
        <v>1190644885.1315124</v>
      </c>
      <c r="AM94" s="4">
        <f t="shared" si="112"/>
        <v>1388196570.8788745</v>
      </c>
      <c r="AN94" s="4">
        <f t="shared" si="112"/>
        <v>1593970997.3281367</v>
      </c>
      <c r="AO94" s="4">
        <f t="shared" si="112"/>
        <v>1809822567.1165311</v>
      </c>
      <c r="AP94" s="4">
        <f t="shared" si="112"/>
        <v>2036245784.1470654</v>
      </c>
      <c r="AQ94" s="4">
        <f t="shared" si="112"/>
        <v>2273289031.691752</v>
      </c>
      <c r="AR94" s="4"/>
      <c r="AS94" s="4"/>
      <c r="AT94" s="4"/>
      <c r="AU94" s="4"/>
      <c r="AV94" s="4"/>
      <c r="AW94" s="4"/>
      <c r="AX94" s="4"/>
      <c r="AY94" s="4"/>
      <c r="AZ94" s="4"/>
      <c r="BA94" s="4"/>
      <c r="BB94" s="4"/>
      <c r="BC94" s="4"/>
      <c r="BD94" s="4"/>
      <c r="BI94" s="3">
        <v>31658160.520412553</v>
      </c>
      <c r="BJ94" s="3">
        <f t="shared" si="113"/>
        <v>2053638.4795874469</v>
      </c>
      <c r="BK94" s="3">
        <v>36416279.073154286</v>
      </c>
      <c r="BL94" s="3">
        <f t="shared" si="114"/>
        <v>5683948.9268457144</v>
      </c>
      <c r="BM94" s="3">
        <v>43240289.369433902</v>
      </c>
      <c r="BN94" s="3">
        <f t="shared" si="115"/>
        <v>4056402.6305660978</v>
      </c>
      <c r="BO94" s="3">
        <v>64556172.296316855</v>
      </c>
      <c r="BP94" s="3">
        <f t="shared" si="116"/>
        <v>-1745787.2963168547</v>
      </c>
      <c r="BQ94" s="4">
        <v>74104020</v>
      </c>
      <c r="BR94" s="18">
        <f t="shared" si="117"/>
        <v>0</v>
      </c>
      <c r="BS94" s="4">
        <v>84562991.993425027</v>
      </c>
      <c r="BT94" s="18">
        <f t="shared" si="118"/>
        <v>-44737682.486148097</v>
      </c>
    </row>
    <row r="95" spans="1:72">
      <c r="A95" s="2" t="s">
        <v>49</v>
      </c>
      <c r="B95" s="3">
        <f t="shared" si="112"/>
        <v>0</v>
      </c>
      <c r="C95" s="3">
        <f t="shared" si="112"/>
        <v>0</v>
      </c>
      <c r="D95" s="3">
        <f t="shared" si="112"/>
        <v>0</v>
      </c>
      <c r="E95" s="3">
        <f t="shared" ref="B95:AQ100" si="119">E111+E127</f>
        <v>0</v>
      </c>
      <c r="F95" s="3">
        <f t="shared" si="119"/>
        <v>0</v>
      </c>
      <c r="G95" s="3">
        <f t="shared" si="119"/>
        <v>7782889</v>
      </c>
      <c r="H95" s="3">
        <f t="shared" si="119"/>
        <v>9492589</v>
      </c>
      <c r="I95" s="3">
        <f t="shared" si="119"/>
        <v>12278441</v>
      </c>
      <c r="J95" s="3">
        <f t="shared" si="119"/>
        <v>19278714</v>
      </c>
      <c r="K95" s="3">
        <f t="shared" si="119"/>
        <v>30171996</v>
      </c>
      <c r="L95" s="3">
        <f t="shared" si="119"/>
        <v>33092485</v>
      </c>
      <c r="M95" s="3">
        <f t="shared" si="119"/>
        <v>38602745</v>
      </c>
      <c r="N95" s="3">
        <f t="shared" si="119"/>
        <v>46957418</v>
      </c>
      <c r="O95" s="3">
        <f t="shared" si="119"/>
        <v>56889975</v>
      </c>
      <c r="P95" s="3">
        <f t="shared" si="119"/>
        <v>72511213</v>
      </c>
      <c r="Q95" s="4">
        <f t="shared" si="119"/>
        <v>37992085.63145835</v>
      </c>
      <c r="R95" s="4">
        <f t="shared" si="119"/>
        <v>55005147.54783392</v>
      </c>
      <c r="S95" s="4">
        <f t="shared" si="119"/>
        <v>55716052.897059672</v>
      </c>
      <c r="T95" s="4">
        <f t="shared" si="119"/>
        <v>57120743.787882544</v>
      </c>
      <c r="U95" s="4">
        <f t="shared" si="119"/>
        <v>64600498.81063161</v>
      </c>
      <c r="V95" s="4">
        <f t="shared" si="119"/>
        <v>74995988.507497445</v>
      </c>
      <c r="W95" s="4">
        <f t="shared" si="119"/>
        <v>82722642.615671322</v>
      </c>
      <c r="X95" s="4">
        <f t="shared" si="119"/>
        <v>92752409.266847655</v>
      </c>
      <c r="Y95" s="4">
        <f t="shared" si="119"/>
        <v>108363110.65579355</v>
      </c>
      <c r="Z95" s="4">
        <f t="shared" si="119"/>
        <v>123945538.86493586</v>
      </c>
      <c r="AA95" s="4">
        <f t="shared" si="119"/>
        <v>143058050.61727694</v>
      </c>
      <c r="AB95" s="4">
        <f t="shared" si="119"/>
        <v>166601949.57224849</v>
      </c>
      <c r="AC95" s="4">
        <f t="shared" si="119"/>
        <v>192588773.74126825</v>
      </c>
      <c r="AD95" s="4">
        <f t="shared" si="119"/>
        <v>221149899.40576029</v>
      </c>
      <c r="AE95" s="4">
        <f t="shared" si="119"/>
        <v>253987598.23945647</v>
      </c>
      <c r="AF95" s="4">
        <f t="shared" si="119"/>
        <v>290724580.64614373</v>
      </c>
      <c r="AG95" s="4">
        <f t="shared" si="119"/>
        <v>330765411.15713251</v>
      </c>
      <c r="AH95" s="4">
        <f t="shared" si="119"/>
        <v>469826374.52778292</v>
      </c>
      <c r="AI95" s="4">
        <f t="shared" si="119"/>
        <v>624431745.71585834</v>
      </c>
      <c r="AJ95" s="4">
        <f t="shared" si="119"/>
        <v>787767427.11065173</v>
      </c>
      <c r="AK95" s="4">
        <f t="shared" si="119"/>
        <v>958452198.06051052</v>
      </c>
      <c r="AL95" s="4">
        <f t="shared" si="119"/>
        <v>1136750967.0275593</v>
      </c>
      <c r="AM95" s="4">
        <f t="shared" si="119"/>
        <v>1325384595.084836</v>
      </c>
      <c r="AN95" s="4">
        <f t="shared" si="119"/>
        <v>1521874899.8622053</v>
      </c>
      <c r="AO95" s="4">
        <f t="shared" si="119"/>
        <v>1727993242.329855</v>
      </c>
      <c r="AP95" s="4">
        <f t="shared" si="119"/>
        <v>1944211977.190258</v>
      </c>
      <c r="AQ95" s="4">
        <f t="shared" si="119"/>
        <v>2170578337.097796</v>
      </c>
      <c r="AR95" s="4"/>
      <c r="AS95" s="4"/>
      <c r="AT95" s="4"/>
      <c r="AU95" s="4"/>
      <c r="AV95" s="4"/>
      <c r="AW95" s="4"/>
      <c r="AX95" s="4"/>
      <c r="AY95" s="4"/>
      <c r="AZ95" s="4"/>
      <c r="BA95" s="4"/>
      <c r="BB95" s="4"/>
      <c r="BC95" s="4"/>
      <c r="BD95" s="4"/>
      <c r="BG95" s="3">
        <v>27158212.698789489</v>
      </c>
      <c r="BH95" s="3">
        <f t="shared" ref="BH95:BH101" si="120">K95-BG95</f>
        <v>3013783.3012105115</v>
      </c>
      <c r="BI95" s="3">
        <v>31297773.335470852</v>
      </c>
      <c r="BJ95" s="3">
        <f t="shared" si="113"/>
        <v>1794711.6645291485</v>
      </c>
      <c r="BK95" s="3">
        <v>35972449.385539532</v>
      </c>
      <c r="BL95" s="3">
        <f t="shared" si="114"/>
        <v>2630295.6144604683</v>
      </c>
      <c r="BM95" s="3">
        <v>42961250.009683959</v>
      </c>
      <c r="BN95" s="3">
        <f t="shared" si="115"/>
        <v>3996167.9903160408</v>
      </c>
      <c r="BO95" s="3">
        <v>62841753.865782231</v>
      </c>
      <c r="BP95" s="3">
        <f t="shared" si="116"/>
        <v>-5951778.8657822311</v>
      </c>
      <c r="BQ95" s="4">
        <v>73275886.485582903</v>
      </c>
      <c r="BR95" s="18">
        <f t="shared" si="117"/>
        <v>-764673.48558290303</v>
      </c>
      <c r="BS95" s="4">
        <v>80670419.710849896</v>
      </c>
      <c r="BT95" s="18">
        <f t="shared" si="118"/>
        <v>-42678334.079391547</v>
      </c>
    </row>
    <row r="96" spans="1:72">
      <c r="A96" s="2" t="s">
        <v>50</v>
      </c>
      <c r="B96" s="3">
        <f t="shared" si="119"/>
        <v>0</v>
      </c>
      <c r="C96" s="3">
        <f t="shared" si="119"/>
        <v>0</v>
      </c>
      <c r="D96" s="3">
        <f t="shared" si="119"/>
        <v>0</v>
      </c>
      <c r="E96" s="3">
        <f t="shared" si="119"/>
        <v>0</v>
      </c>
      <c r="F96" s="3">
        <f t="shared" si="119"/>
        <v>1643621</v>
      </c>
      <c r="G96" s="3">
        <f t="shared" si="119"/>
        <v>8143724</v>
      </c>
      <c r="H96" s="3">
        <f t="shared" si="119"/>
        <v>9478696</v>
      </c>
      <c r="I96" s="3">
        <f t="shared" si="119"/>
        <v>12933967</v>
      </c>
      <c r="J96" s="3">
        <f t="shared" si="119"/>
        <v>22678521</v>
      </c>
      <c r="K96" s="3">
        <f t="shared" si="119"/>
        <v>30648124</v>
      </c>
      <c r="L96" s="3">
        <f t="shared" si="119"/>
        <v>34722269</v>
      </c>
      <c r="M96" s="3">
        <f t="shared" si="119"/>
        <v>40751168</v>
      </c>
      <c r="N96" s="3">
        <f t="shared" si="119"/>
        <v>53642634</v>
      </c>
      <c r="O96" s="3">
        <f t="shared" si="119"/>
        <v>58670390</v>
      </c>
      <c r="P96" s="3">
        <f t="shared" si="119"/>
        <v>78782285</v>
      </c>
      <c r="Q96" s="4">
        <f t="shared" si="119"/>
        <v>40827841.19775705</v>
      </c>
      <c r="R96" s="4">
        <f t="shared" si="119"/>
        <v>60717278.604186743</v>
      </c>
      <c r="S96" s="4">
        <f t="shared" si="119"/>
        <v>61987024.148052529</v>
      </c>
      <c r="T96" s="4">
        <f t="shared" si="119"/>
        <v>63299829.076449044</v>
      </c>
      <c r="U96" s="4">
        <f t="shared" si="119"/>
        <v>72628782.858973071</v>
      </c>
      <c r="V96" s="4">
        <f t="shared" si="119"/>
        <v>85037198.406741783</v>
      </c>
      <c r="W96" s="4">
        <f t="shared" si="119"/>
        <v>94689522.808885515</v>
      </c>
      <c r="X96" s="4">
        <f t="shared" si="119"/>
        <v>107016502.86761299</v>
      </c>
      <c r="Y96" s="4">
        <f t="shared" si="119"/>
        <v>126010272.68690324</v>
      </c>
      <c r="Z96" s="4">
        <f t="shared" si="119"/>
        <v>145484593.73969585</v>
      </c>
      <c r="AA96" s="4">
        <f t="shared" si="119"/>
        <v>169383825.93950486</v>
      </c>
      <c r="AB96" s="4">
        <f t="shared" si="119"/>
        <v>199008665.27432138</v>
      </c>
      <c r="AC96" s="4">
        <f t="shared" si="119"/>
        <v>232059945.05891544</v>
      </c>
      <c r="AD96" s="4">
        <f t="shared" si="119"/>
        <v>268805348.54746926</v>
      </c>
      <c r="AE96" s="4">
        <f t="shared" si="119"/>
        <v>311454549.73864257</v>
      </c>
      <c r="AF96" s="4">
        <f t="shared" si="119"/>
        <v>359621255.00667381</v>
      </c>
      <c r="AG96" s="4">
        <f t="shared" si="119"/>
        <v>412718385.30843037</v>
      </c>
      <c r="AH96" s="4">
        <f t="shared" si="119"/>
        <v>591332908.38924909</v>
      </c>
      <c r="AI96" s="4">
        <f t="shared" si="119"/>
        <v>793473420.40461993</v>
      </c>
      <c r="AJ96" s="4">
        <f t="shared" si="119"/>
        <v>1010937018.3875414</v>
      </c>
      <c r="AK96" s="4">
        <f t="shared" si="119"/>
        <v>1241936275.4241734</v>
      </c>
      <c r="AL96" s="4">
        <f t="shared" si="119"/>
        <v>1486673108.8965938</v>
      </c>
      <c r="AM96" s="4">
        <f t="shared" si="119"/>
        <v>1748565113.5356498</v>
      </c>
      <c r="AN96" s="4">
        <f t="shared" si="119"/>
        <v>2025496185.3000724</v>
      </c>
      <c r="AO96" s="4">
        <f t="shared" si="119"/>
        <v>2320057957.8937054</v>
      </c>
      <c r="AP96" s="4">
        <f t="shared" si="119"/>
        <v>2633121002.9905705</v>
      </c>
      <c r="AQ96" s="4">
        <f t="shared" si="119"/>
        <v>2965054929.3994555</v>
      </c>
      <c r="AR96" s="4"/>
      <c r="AS96" s="4"/>
      <c r="AT96" s="4"/>
      <c r="AU96" s="4"/>
      <c r="AV96" s="4"/>
      <c r="AW96" s="4"/>
      <c r="AX96" s="4"/>
      <c r="AY96" s="4"/>
      <c r="AZ96" s="4"/>
      <c r="BA96" s="4"/>
      <c r="BB96" s="4"/>
      <c r="BC96" s="4"/>
      <c r="BD96" s="4"/>
      <c r="BG96" s="3">
        <v>30504523.831350859</v>
      </c>
      <c r="BH96" s="3">
        <f t="shared" si="120"/>
        <v>143600.16864914075</v>
      </c>
      <c r="BI96" s="3">
        <v>33642302.8378914</v>
      </c>
      <c r="BJ96" s="3">
        <f t="shared" si="113"/>
        <v>1079966.1621086001</v>
      </c>
      <c r="BK96" s="3">
        <v>38287085.777991004</v>
      </c>
      <c r="BL96" s="3">
        <f t="shared" si="114"/>
        <v>2464082.2220089957</v>
      </c>
      <c r="BM96" s="3">
        <v>45994279.979292035</v>
      </c>
      <c r="BN96" s="3">
        <f t="shared" si="115"/>
        <v>7648354.0207079649</v>
      </c>
      <c r="BO96" s="3">
        <v>62968941.479875334</v>
      </c>
      <c r="BP96" s="3">
        <f t="shared" si="116"/>
        <v>-4298551.4798753336</v>
      </c>
      <c r="BQ96" s="4">
        <v>79793261.077110097</v>
      </c>
      <c r="BR96" s="18">
        <f t="shared" si="117"/>
        <v>-1010976.0771100968</v>
      </c>
      <c r="BS96" s="4">
        <v>86691715.671008363</v>
      </c>
      <c r="BT96" s="18">
        <f t="shared" si="118"/>
        <v>-45863874.473251313</v>
      </c>
    </row>
    <row r="97" spans="1:72">
      <c r="A97" s="2" t="s">
        <v>51</v>
      </c>
      <c r="B97" s="3">
        <f t="shared" si="119"/>
        <v>0</v>
      </c>
      <c r="C97" s="3">
        <f t="shared" si="119"/>
        <v>0</v>
      </c>
      <c r="D97" s="3">
        <f t="shared" si="119"/>
        <v>0</v>
      </c>
      <c r="E97" s="3">
        <f t="shared" si="119"/>
        <v>0</v>
      </c>
      <c r="F97" s="3">
        <f t="shared" si="119"/>
        <v>3474010</v>
      </c>
      <c r="G97" s="3">
        <f t="shared" si="119"/>
        <v>7690009</v>
      </c>
      <c r="H97" s="3">
        <f t="shared" si="119"/>
        <v>10946526</v>
      </c>
      <c r="I97" s="3">
        <f t="shared" si="119"/>
        <v>14610908</v>
      </c>
      <c r="J97" s="3">
        <f t="shared" si="119"/>
        <v>19779323</v>
      </c>
      <c r="K97" s="3">
        <f t="shared" si="119"/>
        <v>28656886</v>
      </c>
      <c r="L97" s="3">
        <f t="shared" si="119"/>
        <v>38513406</v>
      </c>
      <c r="M97" s="3">
        <f t="shared" si="119"/>
        <v>42500378</v>
      </c>
      <c r="N97" s="3">
        <f t="shared" si="119"/>
        <v>50249384</v>
      </c>
      <c r="O97" s="3">
        <f t="shared" si="119"/>
        <v>56631587</v>
      </c>
      <c r="P97" s="3">
        <f t="shared" si="119"/>
        <v>82183559</v>
      </c>
      <c r="Q97" s="4">
        <f t="shared" si="119"/>
        <v>41365368.897935115</v>
      </c>
      <c r="R97" s="4">
        <f t="shared" si="119"/>
        <v>60773304.210271426</v>
      </c>
      <c r="S97" s="4">
        <f t="shared" si="119"/>
        <v>61681839.353536077</v>
      </c>
      <c r="T97" s="4">
        <f t="shared" si="119"/>
        <v>63646234.44332435</v>
      </c>
      <c r="U97" s="4">
        <f t="shared" si="119"/>
        <v>73586841.199681699</v>
      </c>
      <c r="V97" s="4">
        <f t="shared" si="119"/>
        <v>85488216.526024818</v>
      </c>
      <c r="W97" s="4">
        <f t="shared" si="119"/>
        <v>95103249.470486581</v>
      </c>
      <c r="X97" s="4">
        <f t="shared" si="119"/>
        <v>107543290.00862105</v>
      </c>
      <c r="Y97" s="4">
        <f t="shared" si="119"/>
        <v>126812303.69957216</v>
      </c>
      <c r="Z97" s="4">
        <f t="shared" si="119"/>
        <v>146427231.49362385</v>
      </c>
      <c r="AA97" s="4">
        <f t="shared" si="119"/>
        <v>170333129.08779979</v>
      </c>
      <c r="AB97" s="4">
        <f t="shared" si="119"/>
        <v>200131612.96971086</v>
      </c>
      <c r="AC97" s="4">
        <f t="shared" si="119"/>
        <v>233406443.34125328</v>
      </c>
      <c r="AD97" s="4">
        <f t="shared" si="119"/>
        <v>270393593.85366732</v>
      </c>
      <c r="AE97" s="4">
        <f t="shared" si="119"/>
        <v>313276595.95789105</v>
      </c>
      <c r="AF97" s="4">
        <f t="shared" si="119"/>
        <v>361696586.75115919</v>
      </c>
      <c r="AG97" s="4">
        <f t="shared" si="119"/>
        <v>415107927.68677318</v>
      </c>
      <c r="AH97" s="4">
        <f t="shared" si="119"/>
        <v>594766543.6310817</v>
      </c>
      <c r="AI97" s="4">
        <f t="shared" si="119"/>
        <v>798079428.33979392</v>
      </c>
      <c r="AJ97" s="4">
        <f t="shared" si="119"/>
        <v>1016791371.7780839</v>
      </c>
      <c r="AK97" s="4">
        <f t="shared" si="119"/>
        <v>1249117852.0494518</v>
      </c>
      <c r="AL97" s="4">
        <f t="shared" si="119"/>
        <v>1495267587.9749768</v>
      </c>
      <c r="AM97" s="4">
        <f t="shared" si="119"/>
        <v>1758668043.4233544</v>
      </c>
      <c r="AN97" s="4">
        <f t="shared" si="119"/>
        <v>2037189360.7601805</v>
      </c>
      <c r="AO97" s="4">
        <f t="shared" si="119"/>
        <v>2333439472.272965</v>
      </c>
      <c r="AP97" s="4">
        <f t="shared" si="119"/>
        <v>2648296755.0973167</v>
      </c>
      <c r="AQ97" s="4">
        <f t="shared" si="119"/>
        <v>2982132344.4193573</v>
      </c>
      <c r="AR97" s="4"/>
      <c r="AS97" s="4"/>
      <c r="AT97" s="4"/>
      <c r="AU97" s="4"/>
      <c r="AV97" s="4"/>
      <c r="AW97" s="4"/>
      <c r="AX97" s="4"/>
      <c r="AY97" s="4"/>
      <c r="AZ97" s="4"/>
      <c r="BA97" s="4"/>
      <c r="BB97" s="4"/>
      <c r="BC97" s="4"/>
      <c r="BD97" s="4"/>
      <c r="BG97" s="3">
        <v>30666981.960812729</v>
      </c>
      <c r="BH97" s="3">
        <f t="shared" si="120"/>
        <v>-2010095.9608127289</v>
      </c>
      <c r="BI97" s="3">
        <v>33655709.309789792</v>
      </c>
      <c r="BJ97" s="3">
        <f t="shared" si="113"/>
        <v>4857696.6902102083</v>
      </c>
      <c r="BK97" s="3">
        <v>38530845.853975043</v>
      </c>
      <c r="BL97" s="3">
        <f t="shared" si="114"/>
        <v>3969532.1460249573</v>
      </c>
      <c r="BM97" s="3">
        <v>47692647.574683763</v>
      </c>
      <c r="BN97" s="3">
        <f t="shared" si="115"/>
        <v>2556736.4253162369</v>
      </c>
      <c r="BO97" s="3">
        <v>58225751.974200055</v>
      </c>
      <c r="BP97" s="3">
        <f t="shared" si="116"/>
        <v>-1594164.974200055</v>
      </c>
      <c r="BQ97" s="4">
        <v>78839817.692964122</v>
      </c>
      <c r="BR97" s="18">
        <f t="shared" si="117"/>
        <v>3343741.3070358783</v>
      </c>
      <c r="BS97" s="4">
        <v>87833074.0475979</v>
      </c>
      <c r="BT97" s="18">
        <f t="shared" si="118"/>
        <v>-46467705.149662785</v>
      </c>
    </row>
    <row r="98" spans="1:72">
      <c r="A98" s="2" t="s">
        <v>52</v>
      </c>
      <c r="B98" s="3">
        <f t="shared" si="119"/>
        <v>0</v>
      </c>
      <c r="C98" s="3">
        <f t="shared" si="119"/>
        <v>0</v>
      </c>
      <c r="D98" s="3">
        <f t="shared" si="119"/>
        <v>0</v>
      </c>
      <c r="E98" s="3">
        <f t="shared" si="119"/>
        <v>0</v>
      </c>
      <c r="F98" s="3">
        <f t="shared" si="119"/>
        <v>2748001</v>
      </c>
      <c r="G98" s="3">
        <f t="shared" si="119"/>
        <v>6732707</v>
      </c>
      <c r="H98" s="3">
        <f t="shared" si="119"/>
        <v>11760172</v>
      </c>
      <c r="I98" s="3">
        <f t="shared" si="119"/>
        <v>12912867</v>
      </c>
      <c r="J98" s="3">
        <f t="shared" si="119"/>
        <v>20912038</v>
      </c>
      <c r="K98" s="3">
        <f t="shared" si="119"/>
        <v>26996233</v>
      </c>
      <c r="L98" s="3">
        <f t="shared" si="119"/>
        <v>37119925</v>
      </c>
      <c r="M98" s="3">
        <f t="shared" si="119"/>
        <v>42192342</v>
      </c>
      <c r="N98" s="3">
        <f t="shared" si="119"/>
        <v>51646497</v>
      </c>
      <c r="O98" s="3">
        <f t="shared" si="119"/>
        <v>56757632</v>
      </c>
      <c r="P98" s="3">
        <f t="shared" si="119"/>
        <v>79435177</v>
      </c>
      <c r="Q98" s="4">
        <f t="shared" si="119"/>
        <v>40917107.357270606</v>
      </c>
      <c r="R98" s="4">
        <f t="shared" si="119"/>
        <v>61702988.056180298</v>
      </c>
      <c r="S98" s="4">
        <f t="shared" si="119"/>
        <v>62929078.915515333</v>
      </c>
      <c r="T98" s="4">
        <f t="shared" si="119"/>
        <v>64912676.124647088</v>
      </c>
      <c r="U98" s="4">
        <f t="shared" si="119"/>
        <v>75330346.789396599</v>
      </c>
      <c r="V98" s="4">
        <f t="shared" si="119"/>
        <v>88816155.221984759</v>
      </c>
      <c r="W98" s="4">
        <f t="shared" si="119"/>
        <v>99677613.706377327</v>
      </c>
      <c r="X98" s="4">
        <f t="shared" si="119"/>
        <v>113529582.91967413</v>
      </c>
      <c r="Y98" s="4">
        <f t="shared" si="119"/>
        <v>134869659.39608148</v>
      </c>
      <c r="Z98" s="4">
        <f t="shared" si="119"/>
        <v>157043809.31039566</v>
      </c>
      <c r="AA98" s="4">
        <f t="shared" si="119"/>
        <v>184341862.90838453</v>
      </c>
      <c r="AB98" s="4">
        <f t="shared" si="119"/>
        <v>218418362.35042414</v>
      </c>
      <c r="AC98" s="4">
        <f t="shared" si="119"/>
        <v>256860448.66806015</v>
      </c>
      <c r="AD98" s="4">
        <f t="shared" si="119"/>
        <v>300065975.85435736</v>
      </c>
      <c r="AE98" s="4">
        <f t="shared" si="119"/>
        <v>350618954.31611979</v>
      </c>
      <c r="AF98" s="4">
        <f t="shared" si="119"/>
        <v>408249527.02273458</v>
      </c>
      <c r="AG98" s="4">
        <f t="shared" si="119"/>
        <v>472469283.99455994</v>
      </c>
      <c r="AH98" s="4">
        <f t="shared" si="119"/>
        <v>682632305.90935063</v>
      </c>
      <c r="AI98" s="4">
        <f t="shared" si="119"/>
        <v>924482519.7993257</v>
      </c>
      <c r="AJ98" s="4">
        <f t="shared" si="119"/>
        <v>1189108603.8404725</v>
      </c>
      <c r="AK98" s="4">
        <f t="shared" si="119"/>
        <v>1474551121.0752316</v>
      </c>
      <c r="AL98" s="4">
        <f t="shared" si="119"/>
        <v>1781012355.1426511</v>
      </c>
      <c r="AM98" s="4">
        <f t="shared" si="119"/>
        <v>2112531902.2333202</v>
      </c>
      <c r="AN98" s="4">
        <f t="shared" si="119"/>
        <v>2467980178.7621403</v>
      </c>
      <c r="AO98" s="4">
        <f t="shared" si="119"/>
        <v>2850948702.5337973</v>
      </c>
      <c r="AP98" s="4">
        <f t="shared" si="119"/>
        <v>3262951820.7861266</v>
      </c>
      <c r="AQ98" s="4">
        <f t="shared" si="119"/>
        <v>3704970547.5280719</v>
      </c>
      <c r="AR98" s="4"/>
      <c r="AS98" s="4"/>
      <c r="AT98" s="4"/>
      <c r="AU98" s="4"/>
      <c r="AV98" s="4"/>
      <c r="AW98" s="4"/>
      <c r="AX98" s="4"/>
      <c r="AY98" s="4"/>
      <c r="AZ98" s="4"/>
      <c r="BA98" s="4"/>
      <c r="BB98" s="4"/>
      <c r="BC98" s="4"/>
      <c r="BD98" s="4"/>
      <c r="BG98" s="3">
        <v>30814825.308187526</v>
      </c>
      <c r="BH98" s="3">
        <f t="shared" si="120"/>
        <v>-3818592.3081875257</v>
      </c>
      <c r="BI98" s="3">
        <v>37644249.30532302</v>
      </c>
      <c r="BJ98" s="3">
        <f t="shared" si="113"/>
        <v>-524324.30532301962</v>
      </c>
      <c r="BK98" s="3">
        <v>42356459.292852841</v>
      </c>
      <c r="BL98" s="3">
        <f t="shared" si="114"/>
        <v>-164117.29285284132</v>
      </c>
      <c r="BM98" s="3">
        <v>49253863.708390847</v>
      </c>
      <c r="BN98" s="3">
        <f t="shared" si="115"/>
        <v>2392633.2916091532</v>
      </c>
      <c r="BO98" s="3">
        <v>57622005.220059395</v>
      </c>
      <c r="BP98" s="3">
        <f t="shared" si="116"/>
        <v>-864373.22005939484</v>
      </c>
      <c r="BQ98" s="4">
        <v>78258982.367767289</v>
      </c>
      <c r="BR98" s="18">
        <f t="shared" si="117"/>
        <v>1176194.6322327107</v>
      </c>
      <c r="BS98" s="4">
        <v>86881258.793852136</v>
      </c>
      <c r="BT98" s="18">
        <f t="shared" si="118"/>
        <v>-45964151.43658153</v>
      </c>
    </row>
    <row r="99" spans="1:72">
      <c r="A99" s="2" t="s">
        <v>53</v>
      </c>
      <c r="B99" s="3">
        <f t="shared" si="119"/>
        <v>0</v>
      </c>
      <c r="C99" s="3">
        <f t="shared" si="119"/>
        <v>0</v>
      </c>
      <c r="D99" s="3">
        <f t="shared" si="119"/>
        <v>0</v>
      </c>
      <c r="E99" s="3">
        <f t="shared" si="119"/>
        <v>0</v>
      </c>
      <c r="F99" s="3">
        <f t="shared" si="119"/>
        <v>2873839</v>
      </c>
      <c r="G99" s="3">
        <f t="shared" si="119"/>
        <v>7134743</v>
      </c>
      <c r="H99" s="3">
        <f t="shared" si="119"/>
        <v>11046733</v>
      </c>
      <c r="I99" s="3">
        <f t="shared" si="119"/>
        <v>14588192</v>
      </c>
      <c r="J99" s="3">
        <f t="shared" si="119"/>
        <v>20121511</v>
      </c>
      <c r="K99" s="3">
        <f t="shared" si="119"/>
        <v>26766398</v>
      </c>
      <c r="L99" s="3">
        <f t="shared" si="119"/>
        <v>38670987</v>
      </c>
      <c r="M99" s="3">
        <f t="shared" si="119"/>
        <v>44476815</v>
      </c>
      <c r="N99" s="3">
        <f t="shared" si="119"/>
        <v>52253476</v>
      </c>
      <c r="O99" s="3">
        <f t="shared" si="119"/>
        <v>62500249</v>
      </c>
      <c r="P99" s="3">
        <f t="shared" si="119"/>
        <v>81421891</v>
      </c>
      <c r="Q99" s="4">
        <f t="shared" si="119"/>
        <v>42781354.993952341</v>
      </c>
      <c r="R99" s="4">
        <f t="shared" si="119"/>
        <v>61680794.188112468</v>
      </c>
      <c r="S99" s="4">
        <f t="shared" si="119"/>
        <v>62226469.003129438</v>
      </c>
      <c r="T99" s="4">
        <f t="shared" si="119"/>
        <v>63826859.6675345</v>
      </c>
      <c r="U99" s="4">
        <f t="shared" si="119"/>
        <v>72434692.691482052</v>
      </c>
      <c r="V99" s="4">
        <f t="shared" si="119"/>
        <v>84065654.894040942</v>
      </c>
      <c r="W99" s="4">
        <f t="shared" si="119"/>
        <v>92678511.273465216</v>
      </c>
      <c r="X99" s="4">
        <f t="shared" si="119"/>
        <v>103902012.16098846</v>
      </c>
      <c r="Y99" s="4">
        <f t="shared" si="119"/>
        <v>121449116.49315743</v>
      </c>
      <c r="Z99" s="4">
        <f t="shared" si="119"/>
        <v>138979554.20636895</v>
      </c>
      <c r="AA99" s="4">
        <f t="shared" si="119"/>
        <v>160422303.82368866</v>
      </c>
      <c r="AB99" s="4">
        <f t="shared" si="119"/>
        <v>186845116.03650838</v>
      </c>
      <c r="AC99" s="4">
        <f t="shared" si="119"/>
        <v>216032684.56413582</v>
      </c>
      <c r="AD99" s="4">
        <f t="shared" si="119"/>
        <v>248130412.90473896</v>
      </c>
      <c r="AE99" s="4">
        <f t="shared" si="119"/>
        <v>285034231.28205091</v>
      </c>
      <c r="AF99" s="4">
        <f t="shared" si="119"/>
        <v>326318465.3260237</v>
      </c>
      <c r="AG99" s="4">
        <f t="shared" si="119"/>
        <v>371329883.30093807</v>
      </c>
      <c r="AH99" s="4">
        <f t="shared" si="119"/>
        <v>527546803.24965906</v>
      </c>
      <c r="AI99" s="4">
        <f t="shared" si="119"/>
        <v>701294132.55058181</v>
      </c>
      <c r="AJ99" s="4">
        <f t="shared" si="119"/>
        <v>884921162.90265608</v>
      </c>
      <c r="AK99" s="4">
        <f t="shared" si="119"/>
        <v>1076874867.4090223</v>
      </c>
      <c r="AL99" s="4">
        <f t="shared" si="119"/>
        <v>1277451574.7123883</v>
      </c>
      <c r="AM99" s="4">
        <f t="shared" si="119"/>
        <v>1489704149.7162657</v>
      </c>
      <c r="AN99" s="4">
        <f t="shared" si="119"/>
        <v>1710865366.9349334</v>
      </c>
      <c r="AO99" s="4">
        <f t="shared" si="119"/>
        <v>1942927924.9488983</v>
      </c>
      <c r="AP99" s="4">
        <f t="shared" si="119"/>
        <v>2186425473.4834809</v>
      </c>
      <c r="AQ99" s="4">
        <f t="shared" si="119"/>
        <v>2441414706.4546685</v>
      </c>
      <c r="AR99" s="4"/>
      <c r="AS99" s="4"/>
      <c r="AT99" s="4"/>
      <c r="AU99" s="4"/>
      <c r="AV99" s="4"/>
      <c r="AW99" s="4"/>
      <c r="AX99" s="4"/>
      <c r="AY99" s="4"/>
      <c r="AZ99" s="4"/>
      <c r="BA99" s="4"/>
      <c r="BB99" s="4"/>
      <c r="BC99" s="4"/>
      <c r="BD99" s="4"/>
      <c r="BG99" s="3">
        <v>31074349.788804501</v>
      </c>
      <c r="BH99" s="3">
        <f t="shared" si="120"/>
        <v>-4307951.7888045013</v>
      </c>
      <c r="BI99" s="3">
        <v>38188935.027060799</v>
      </c>
      <c r="BJ99" s="3">
        <f t="shared" si="113"/>
        <v>482051.9729392007</v>
      </c>
      <c r="BK99" s="3">
        <v>43043031.477521807</v>
      </c>
      <c r="BL99" s="3">
        <f t="shared" si="114"/>
        <v>1433783.522478193</v>
      </c>
      <c r="BM99" s="3">
        <v>49645098.57047645</v>
      </c>
      <c r="BN99" s="3">
        <f t="shared" si="115"/>
        <v>2608377.42952355</v>
      </c>
      <c r="BO99" s="3">
        <v>58444145.283058174</v>
      </c>
      <c r="BP99" s="3">
        <f t="shared" si="116"/>
        <v>4056103.716941826</v>
      </c>
      <c r="BQ99" s="4">
        <v>81555231.834659025</v>
      </c>
      <c r="BR99" s="18">
        <f t="shared" si="117"/>
        <v>-133340.83465902507</v>
      </c>
      <c r="BS99" s="4">
        <v>90839705.317555204</v>
      </c>
      <c r="BT99" s="18">
        <f t="shared" si="118"/>
        <v>-48058350.323602863</v>
      </c>
    </row>
    <row r="100" spans="1:72">
      <c r="A100" s="2" t="s">
        <v>54</v>
      </c>
      <c r="B100" s="3">
        <f t="shared" si="119"/>
        <v>0</v>
      </c>
      <c r="C100" s="3">
        <f t="shared" si="119"/>
        <v>0</v>
      </c>
      <c r="D100" s="3">
        <f t="shared" si="119"/>
        <v>0</v>
      </c>
      <c r="E100" s="3">
        <f t="shared" si="119"/>
        <v>0</v>
      </c>
      <c r="F100" s="3">
        <f t="shared" si="119"/>
        <v>4468597</v>
      </c>
      <c r="G100" s="3">
        <f t="shared" si="119"/>
        <v>16857870</v>
      </c>
      <c r="H100" s="3">
        <f t="shared" si="119"/>
        <v>19778727</v>
      </c>
      <c r="I100" s="3">
        <f t="shared" si="119"/>
        <v>32791943</v>
      </c>
      <c r="J100" s="3">
        <f t="shared" si="119"/>
        <v>44336024</v>
      </c>
      <c r="K100" s="3">
        <f t="shared" si="119"/>
        <v>55158714</v>
      </c>
      <c r="L100" s="3">
        <f t="shared" si="119"/>
        <v>77935722</v>
      </c>
      <c r="M100" s="3">
        <f t="shared" si="119"/>
        <v>85501731</v>
      </c>
      <c r="N100" s="3">
        <f t="shared" si="119"/>
        <v>100787659</v>
      </c>
      <c r="O100" s="3">
        <f t="shared" si="119"/>
        <v>118952025</v>
      </c>
      <c r="P100" s="3">
        <f t="shared" si="119"/>
        <v>69822656</v>
      </c>
      <c r="Q100" s="119">
        <f t="shared" si="119"/>
        <v>98944881.867071971</v>
      </c>
      <c r="R100" s="4">
        <f t="shared" si="119"/>
        <v>113104807.67924917</v>
      </c>
      <c r="S100" s="4">
        <f t="shared" si="119"/>
        <v>111383712.17177261</v>
      </c>
      <c r="T100" s="4">
        <f t="shared" si="119"/>
        <v>110486768.27722308</v>
      </c>
      <c r="U100" s="4">
        <f t="shared" si="119"/>
        <v>118831877.60340735</v>
      </c>
      <c r="V100" s="4">
        <f t="shared" si="119"/>
        <v>148669698.07432485</v>
      </c>
      <c r="W100" s="4">
        <f t="shared" si="119"/>
        <v>153960472.85299563</v>
      </c>
      <c r="X100" s="4">
        <f t="shared" si="119"/>
        <v>165062152.24762398</v>
      </c>
      <c r="Y100" s="4">
        <f t="shared" si="119"/>
        <v>183567664.11421046</v>
      </c>
      <c r="Z100" s="4">
        <f t="shared" si="119"/>
        <v>198782310.35567427</v>
      </c>
      <c r="AA100" s="4">
        <f t="shared" si="119"/>
        <v>216528450.58611304</v>
      </c>
      <c r="AB100" s="4">
        <f t="shared" si="119"/>
        <v>232177082.68974432</v>
      </c>
      <c r="AC100" s="4">
        <f t="shared" si="119"/>
        <v>245222386.48849392</v>
      </c>
      <c r="AD100" s="4">
        <f t="shared" si="119"/>
        <v>254037083.45864981</v>
      </c>
      <c r="AE100" s="4">
        <f t="shared" si="119"/>
        <v>258807152.25695813</v>
      </c>
      <c r="AF100" s="4">
        <f t="shared" si="119"/>
        <v>257294182.96554622</v>
      </c>
      <c r="AG100" s="4">
        <f t="shared" si="119"/>
        <v>246798154.96343079</v>
      </c>
      <c r="AH100" s="4">
        <f t="shared" si="119"/>
        <v>284223722.14881128</v>
      </c>
      <c r="AI100" s="4">
        <f t="shared" si="119"/>
        <v>278477965.25157064</v>
      </c>
      <c r="AJ100" s="4">
        <f t="shared" si="119"/>
        <v>219912850.15695137</v>
      </c>
      <c r="AK100" s="4">
        <f t="shared" si="119"/>
        <v>107989136.90993136</v>
      </c>
      <c r="AL100" s="4">
        <f t="shared" si="119"/>
        <v>-55169247.437713325</v>
      </c>
      <c r="AM100" s="4">
        <f t="shared" si="119"/>
        <v>-267374759.41403466</v>
      </c>
      <c r="AN100" s="4">
        <f t="shared" si="119"/>
        <v>-543192746.75492132</v>
      </c>
      <c r="AO100" s="4">
        <f t="shared" si="119"/>
        <v>-885884409.45338845</v>
      </c>
      <c r="AP100" s="4">
        <f t="shared" si="119"/>
        <v>-1298164606.2415817</v>
      </c>
      <c r="AQ100" s="4">
        <f t="shared" si="119"/>
        <v>-1783284332.8347378</v>
      </c>
      <c r="AR100" s="4"/>
      <c r="AS100" s="4"/>
      <c r="AT100" s="4"/>
      <c r="AU100" s="4"/>
      <c r="AV100" s="4"/>
      <c r="AW100" s="4"/>
      <c r="AX100" s="4"/>
      <c r="AY100" s="4"/>
      <c r="AZ100" s="4"/>
      <c r="BA100" s="4"/>
      <c r="BB100" s="4"/>
      <c r="BC100" s="4"/>
      <c r="BD100" s="4"/>
      <c r="BG100" s="3">
        <v>51863335.942195252</v>
      </c>
      <c r="BH100" s="3">
        <f t="shared" si="120"/>
        <v>3295378.0578047484</v>
      </c>
      <c r="BI100" s="3">
        <v>82885193</v>
      </c>
      <c r="BJ100" s="3">
        <f t="shared" si="113"/>
        <v>-4949471</v>
      </c>
      <c r="BK100" s="3">
        <v>86681374</v>
      </c>
      <c r="BL100" s="3">
        <f t="shared" si="114"/>
        <v>-1179643</v>
      </c>
      <c r="BM100" s="3">
        <v>95192973</v>
      </c>
      <c r="BN100" s="3">
        <f t="shared" si="115"/>
        <v>5594686</v>
      </c>
      <c r="BO100" s="3">
        <v>111529687.71694188</v>
      </c>
      <c r="BP100" s="3">
        <f t="shared" si="116"/>
        <v>7422337.2830581218</v>
      </c>
      <c r="BQ100" s="4">
        <v>92730878.541916654</v>
      </c>
      <c r="BR100" s="18">
        <f t="shared" si="117"/>
        <v>-22908222.541916654</v>
      </c>
      <c r="BS100" s="4">
        <v>158540880.2050285</v>
      </c>
      <c r="BT100" s="18">
        <f t="shared" si="118"/>
        <v>-59595998.337956533</v>
      </c>
    </row>
    <row r="101" spans="1:72" ht="15.75" thickBot="1">
      <c r="A101" s="2" t="s">
        <v>29</v>
      </c>
      <c r="B101" s="3">
        <f>SUM(B89:B100)</f>
        <v>0</v>
      </c>
      <c r="C101" s="3">
        <f t="shared" ref="C101:AD101" si="121">SUM(C89:C100)</f>
        <v>0</v>
      </c>
      <c r="D101" s="3">
        <f t="shared" si="121"/>
        <v>0</v>
      </c>
      <c r="E101" s="3">
        <f t="shared" si="121"/>
        <v>0</v>
      </c>
      <c r="F101" s="3">
        <f t="shared" si="121"/>
        <v>15208068</v>
      </c>
      <c r="G101" s="3">
        <f t="shared" si="121"/>
        <v>81490266</v>
      </c>
      <c r="H101" s="3">
        <f t="shared" si="121"/>
        <v>116582508</v>
      </c>
      <c r="I101" s="3">
        <f t="shared" si="121"/>
        <v>157100756</v>
      </c>
      <c r="J101" s="3">
        <f t="shared" si="121"/>
        <v>221510255</v>
      </c>
      <c r="K101" s="3">
        <f t="shared" si="121"/>
        <v>328054595</v>
      </c>
      <c r="L101" s="3">
        <f t="shared" si="121"/>
        <v>412276935</v>
      </c>
      <c r="M101" s="3">
        <f t="shared" si="121"/>
        <v>483723044</v>
      </c>
      <c r="N101" s="3">
        <f t="shared" si="121"/>
        <v>576704400</v>
      </c>
      <c r="O101" s="3">
        <f t="shared" si="121"/>
        <v>687948873</v>
      </c>
      <c r="P101" s="3">
        <f t="shared" si="121"/>
        <v>803554679</v>
      </c>
      <c r="Q101" s="4">
        <f t="shared" si="121"/>
        <v>454000000</v>
      </c>
      <c r="R101" s="4">
        <f t="shared" si="121"/>
        <v>623000000</v>
      </c>
      <c r="S101" s="4">
        <f t="shared" si="121"/>
        <v>620000000</v>
      </c>
      <c r="T101" s="4">
        <f t="shared" si="121"/>
        <v>624000000</v>
      </c>
      <c r="U101" s="4">
        <f t="shared" si="121"/>
        <v>691000000.00000012</v>
      </c>
      <c r="V101" s="4">
        <f t="shared" si="121"/>
        <v>796000000</v>
      </c>
      <c r="W101" s="4">
        <f t="shared" si="121"/>
        <v>860000000</v>
      </c>
      <c r="X101" s="4">
        <f t="shared" si="121"/>
        <v>947000000</v>
      </c>
      <c r="Y101" s="4">
        <f t="shared" si="121"/>
        <v>1086999999.9999998</v>
      </c>
      <c r="Z101" s="4">
        <f t="shared" si="121"/>
        <v>1222000000</v>
      </c>
      <c r="AA101" s="4">
        <f t="shared" si="121"/>
        <v>1386999999.9999998</v>
      </c>
      <c r="AB101" s="4">
        <f t="shared" si="121"/>
        <v>1585999999.9999998</v>
      </c>
      <c r="AC101" s="4">
        <f t="shared" si="121"/>
        <v>1800999999.9999998</v>
      </c>
      <c r="AD101" s="4">
        <f t="shared" si="121"/>
        <v>2031999999.9999998</v>
      </c>
      <c r="AE101" s="4">
        <f>SUM(AE89:AE100)</f>
        <v>2293000000</v>
      </c>
      <c r="AF101" s="4">
        <f>SUM(AF89:AF100)</f>
        <v>2579000000</v>
      </c>
      <c r="AG101" s="4">
        <f>SUM(AG89:AG100)</f>
        <v>2883000000</v>
      </c>
      <c r="AH101" s="4">
        <f t="shared" ref="AH101:AO101" si="122">SUM(AH89:AH100)</f>
        <v>4024000000.0000005</v>
      </c>
      <c r="AI101" s="4">
        <f t="shared" si="122"/>
        <v>5246000000.000001</v>
      </c>
      <c r="AJ101" s="4">
        <f t="shared" si="122"/>
        <v>6487999999.999999</v>
      </c>
      <c r="AK101" s="4">
        <f t="shared" si="122"/>
        <v>7740999999.999999</v>
      </c>
      <c r="AL101" s="4">
        <f t="shared" si="122"/>
        <v>9011000000</v>
      </c>
      <c r="AM101" s="4">
        <f t="shared" si="122"/>
        <v>10323000000.000002</v>
      </c>
      <c r="AN101" s="4">
        <f t="shared" si="122"/>
        <v>11645000000</v>
      </c>
      <c r="AO101" s="4">
        <f t="shared" si="122"/>
        <v>12990000000</v>
      </c>
      <c r="AP101" s="4">
        <f>SUM(AP89:AP100)</f>
        <v>14361000000</v>
      </c>
      <c r="AQ101" s="4">
        <f>SUM(AQ89:AQ100)</f>
        <v>15756999999.999998</v>
      </c>
      <c r="AR101" s="4"/>
      <c r="AS101" s="4"/>
      <c r="AT101" s="4"/>
      <c r="AU101" s="4"/>
      <c r="AV101" s="4"/>
      <c r="AW101" s="4"/>
      <c r="AX101" s="4"/>
      <c r="AY101" s="4"/>
      <c r="AZ101" s="4"/>
      <c r="BA101" s="4"/>
      <c r="BB101" s="4"/>
      <c r="BC101" s="4"/>
      <c r="BD101" s="4"/>
      <c r="BG101" s="3">
        <v>334769999.99999994</v>
      </c>
      <c r="BH101" s="3">
        <f t="shared" si="120"/>
        <v>-6715404.9999999404</v>
      </c>
      <c r="BI101" s="3">
        <v>416895550</v>
      </c>
      <c r="BJ101" s="3">
        <f t="shared" si="113"/>
        <v>-4618615</v>
      </c>
      <c r="BK101" s="3">
        <v>484401381</v>
      </c>
      <c r="BL101" s="3">
        <f t="shared" si="114"/>
        <v>-678337</v>
      </c>
      <c r="BM101" s="3">
        <v>570500000</v>
      </c>
      <c r="BN101" s="3">
        <f t="shared" si="115"/>
        <v>6204400</v>
      </c>
      <c r="BO101" s="3">
        <v>676450000</v>
      </c>
      <c r="BP101" s="3">
        <f t="shared" si="116"/>
        <v>11498873</v>
      </c>
      <c r="BQ101" s="4">
        <v>823580412</v>
      </c>
      <c r="BR101" s="18">
        <f t="shared" si="117"/>
        <v>-20025733</v>
      </c>
      <c r="BS101" s="19">
        <v>963999999.99999988</v>
      </c>
      <c r="BT101" s="18">
        <f t="shared" si="118"/>
        <v>-509999999.99999988</v>
      </c>
    </row>
    <row r="102" spans="1:72">
      <c r="A102" s="114"/>
      <c r="B102" s="114"/>
      <c r="C102" s="114"/>
      <c r="D102" s="114"/>
      <c r="E102" s="114"/>
      <c r="F102" s="120">
        <f t="shared" ref="F102:K102" si="123">F100/F99-1</f>
        <v>0.55492252697524114</v>
      </c>
      <c r="G102" s="120">
        <f t="shared" si="123"/>
        <v>1.3627858775011239</v>
      </c>
      <c r="H102" s="120">
        <f t="shared" si="123"/>
        <v>0.79045940550930305</v>
      </c>
      <c r="I102" s="120">
        <f t="shared" si="123"/>
        <v>1.2478414734327599</v>
      </c>
      <c r="J102" s="120">
        <f t="shared" si="123"/>
        <v>1.2034142465742259</v>
      </c>
      <c r="K102" s="120">
        <f t="shared" si="123"/>
        <v>1.0607447442125011</v>
      </c>
      <c r="L102" s="120">
        <f>L100/L99-1</f>
        <v>1.0153538361976642</v>
      </c>
      <c r="M102" s="120">
        <f>M100/M99-1</f>
        <v>0.92238879964763654</v>
      </c>
      <c r="N102" s="120">
        <f>N100/N99-1</f>
        <v>0.92882209405552274</v>
      </c>
      <c r="O102" s="120">
        <f>O100/O99-1</f>
        <v>0.90322481755232698</v>
      </c>
      <c r="P102" s="120">
        <f>P100/P99-1</f>
        <v>-0.14245843295386007</v>
      </c>
      <c r="Q102" s="114"/>
      <c r="R102" s="114"/>
      <c r="S102" s="114"/>
      <c r="T102" s="114"/>
      <c r="U102" s="114"/>
      <c r="V102" s="114"/>
      <c r="W102" s="114"/>
      <c r="X102" s="114"/>
      <c r="Y102" s="114"/>
      <c r="Z102" s="114"/>
      <c r="AA102" s="114"/>
      <c r="AB102" s="114"/>
      <c r="AC102" s="114"/>
      <c r="AD102" s="114"/>
      <c r="AE102" s="114"/>
      <c r="AF102" s="114"/>
      <c r="AG102" s="114"/>
      <c r="AH102" s="114"/>
      <c r="AI102" s="114"/>
      <c r="AJ102" s="114"/>
      <c r="AK102" s="114"/>
      <c r="AL102" s="114"/>
      <c r="AM102" s="114"/>
      <c r="AN102" s="114"/>
      <c r="AO102" s="114"/>
      <c r="AP102" s="114"/>
      <c r="AQ102" s="114"/>
      <c r="AR102" s="2"/>
      <c r="AS102" s="2"/>
      <c r="AT102" s="2"/>
      <c r="AU102" s="2"/>
      <c r="AV102" s="2"/>
      <c r="AW102" s="2"/>
      <c r="AX102" s="2"/>
      <c r="AY102" s="2"/>
      <c r="AZ102" s="2"/>
      <c r="BA102" s="2"/>
      <c r="BB102" s="2"/>
      <c r="BC102" s="2"/>
      <c r="BD102" s="2"/>
      <c r="BR102" s="117"/>
    </row>
    <row r="103" spans="1:72" ht="16.5" thickBot="1">
      <c r="A103" s="109" t="s">
        <v>247</v>
      </c>
      <c r="BR103" s="117"/>
    </row>
    <row r="104" spans="1:72" ht="15.75" thickBot="1">
      <c r="A104" s="110"/>
      <c r="B104" s="111">
        <f t="shared" ref="B104:K104" si="124">B2</f>
        <v>2010</v>
      </c>
      <c r="C104" s="111">
        <f t="shared" si="124"/>
        <v>2011</v>
      </c>
      <c r="D104" s="111">
        <f t="shared" si="124"/>
        <v>2012</v>
      </c>
      <c r="E104" s="111">
        <f t="shared" si="124"/>
        <v>2013</v>
      </c>
      <c r="F104" s="111">
        <f t="shared" si="124"/>
        <v>2014</v>
      </c>
      <c r="G104" s="111">
        <f t="shared" si="124"/>
        <v>2015</v>
      </c>
      <c r="H104" s="111">
        <f t="shared" si="124"/>
        <v>2016</v>
      </c>
      <c r="I104" s="111">
        <f t="shared" si="124"/>
        <v>2017</v>
      </c>
      <c r="J104" s="111">
        <f t="shared" si="124"/>
        <v>2018</v>
      </c>
      <c r="K104" s="111">
        <f t="shared" si="124"/>
        <v>2019</v>
      </c>
      <c r="L104" s="111">
        <f>L2</f>
        <v>2020</v>
      </c>
      <c r="M104" s="111">
        <f>M2</f>
        <v>2021</v>
      </c>
      <c r="N104" s="111">
        <f t="shared" ref="N104:AD104" si="125">N2</f>
        <v>2022</v>
      </c>
      <c r="O104" s="111">
        <f t="shared" si="125"/>
        <v>2023</v>
      </c>
      <c r="P104" s="111">
        <f t="shared" si="125"/>
        <v>2024</v>
      </c>
      <c r="Q104" s="111">
        <f t="shared" si="125"/>
        <v>2025</v>
      </c>
      <c r="R104" s="111">
        <f t="shared" si="125"/>
        <v>2026</v>
      </c>
      <c r="S104" s="111">
        <f t="shared" si="125"/>
        <v>2027</v>
      </c>
      <c r="T104" s="111">
        <f t="shared" si="125"/>
        <v>2028</v>
      </c>
      <c r="U104" s="111">
        <f t="shared" si="125"/>
        <v>2029</v>
      </c>
      <c r="V104" s="111">
        <f t="shared" si="125"/>
        <v>2030</v>
      </c>
      <c r="W104" s="111">
        <f t="shared" si="125"/>
        <v>2031</v>
      </c>
      <c r="X104" s="111">
        <f t="shared" si="125"/>
        <v>2032</v>
      </c>
      <c r="Y104" s="111">
        <f t="shared" si="125"/>
        <v>2033</v>
      </c>
      <c r="Z104" s="111">
        <f t="shared" si="125"/>
        <v>2034</v>
      </c>
      <c r="AA104" s="111">
        <f t="shared" si="125"/>
        <v>2035</v>
      </c>
      <c r="AB104" s="111">
        <f t="shared" si="125"/>
        <v>2036</v>
      </c>
      <c r="AC104" s="111">
        <f t="shared" si="125"/>
        <v>2037</v>
      </c>
      <c r="AD104" s="111">
        <f t="shared" si="125"/>
        <v>2038</v>
      </c>
      <c r="AE104" s="111">
        <f>AE2</f>
        <v>2039</v>
      </c>
      <c r="AF104" s="111">
        <f>AF2</f>
        <v>2040</v>
      </c>
      <c r="AG104" s="111">
        <f>AG2</f>
        <v>2041</v>
      </c>
      <c r="AH104" s="111">
        <f t="shared" ref="AH104:AO104" si="126">AH2</f>
        <v>2042</v>
      </c>
      <c r="AI104" s="111">
        <f t="shared" si="126"/>
        <v>2043</v>
      </c>
      <c r="AJ104" s="111">
        <f t="shared" si="126"/>
        <v>2044</v>
      </c>
      <c r="AK104" s="111">
        <f t="shared" si="126"/>
        <v>2045</v>
      </c>
      <c r="AL104" s="111">
        <f t="shared" si="126"/>
        <v>2046</v>
      </c>
      <c r="AM104" s="111">
        <f t="shared" si="126"/>
        <v>2047</v>
      </c>
      <c r="AN104" s="111">
        <f t="shared" si="126"/>
        <v>2048</v>
      </c>
      <c r="AO104" s="111">
        <f t="shared" si="126"/>
        <v>2049</v>
      </c>
      <c r="AP104" s="111">
        <f>AP2</f>
        <v>2050</v>
      </c>
      <c r="AQ104" s="111">
        <f>AQ2</f>
        <v>2051</v>
      </c>
      <c r="AR104" s="94"/>
      <c r="AS104" s="94"/>
      <c r="AT104" s="94"/>
      <c r="AU104" s="94"/>
      <c r="AV104" s="94"/>
      <c r="AW104" s="94"/>
      <c r="AX104" s="94"/>
      <c r="AY104" s="94"/>
      <c r="AZ104" s="94"/>
      <c r="BA104" s="94"/>
      <c r="BB104" s="94"/>
      <c r="BC104" s="94"/>
      <c r="BD104" s="94"/>
      <c r="BR104" s="117"/>
    </row>
    <row r="105" spans="1:72">
      <c r="A105" s="2" t="s">
        <v>43</v>
      </c>
      <c r="B105" s="3">
        <f>'Monthly D3 Gallon Data'!$H4</f>
        <v>0</v>
      </c>
      <c r="C105" s="3">
        <f>'Monthly D3 Gallon Data'!$H16</f>
        <v>0</v>
      </c>
      <c r="D105" s="3">
        <f>'Monthly D3 Gallon Data'!$H28</f>
        <v>0</v>
      </c>
      <c r="E105" s="3">
        <f>'Monthly D3 Gallon Data'!$H40</f>
        <v>0</v>
      </c>
      <c r="F105" s="3">
        <f>'Monthly D3 Gallon Data'!$H52</f>
        <v>0</v>
      </c>
      <c r="G105" s="3">
        <f>'Monthly D3 Gallon Data'!$H64</f>
        <v>1429312</v>
      </c>
      <c r="H105" s="3">
        <f>'Monthly D3 Gallon Data'!$H76</f>
        <v>1289142</v>
      </c>
      <c r="I105" s="3">
        <f>'Monthly D3 Gallon Data'!$H88</f>
        <v>95972</v>
      </c>
      <c r="J105" s="3">
        <f>'Monthly D3 Gallon Data'!$H100</f>
        <v>20688</v>
      </c>
      <c r="K105" s="3">
        <f>'Monthly D3 Gallon Data'!$H112</f>
        <v>22550</v>
      </c>
      <c r="L105" s="3">
        <f>'Monthly D3 Gallon Data'!$H124</f>
        <v>450471</v>
      </c>
      <c r="M105" s="3">
        <f>'Monthly D3 Gallon Data'!$H136</f>
        <v>3883503</v>
      </c>
      <c r="N105" s="3">
        <f>'Monthly D3 Gallon Data'!$H148</f>
        <v>752623</v>
      </c>
      <c r="O105" s="3">
        <f>'Monthly D3 Gallon Data'!$H160</f>
        <v>1964428</v>
      </c>
      <c r="P105" s="3">
        <f>'Monthly D3 Gallon Data'!$H172</f>
        <v>6482643</v>
      </c>
      <c r="Q105" s="3">
        <f>'Monthly D3 Gallon Data'!$H184</f>
        <v>1133947</v>
      </c>
      <c r="R105" s="4">
        <f t="shared" ref="R105:W108" si="127">(SUM(M105:Q105)/SUM(M$117:Q$117))*R$117*0.75</f>
        <v>2209951.1076068627</v>
      </c>
      <c r="S105" s="4">
        <f t="shared" si="127"/>
        <v>1854494.3352086472</v>
      </c>
      <c r="T105" s="4">
        <f t="shared" si="127"/>
        <v>2002844.5278763978</v>
      </c>
      <c r="U105" s="4">
        <f t="shared" si="127"/>
        <v>2269658.0867903833</v>
      </c>
      <c r="V105" s="4">
        <f t="shared" si="127"/>
        <v>1877199.3191623266</v>
      </c>
      <c r="W105" s="4">
        <f t="shared" si="127"/>
        <v>1964259.1108931957</v>
      </c>
      <c r="X105" s="4">
        <f t="shared" ref="X105:AE108" si="128">(SUM(S105:W105)/SUM(S$117:W$117))*X$117*0.75</f>
        <v>1971622.2315778218</v>
      </c>
      <c r="Y105" s="4">
        <f t="shared" si="128"/>
        <v>2098589.0163358035</v>
      </c>
      <c r="Z105" s="4">
        <f t="shared" si="128"/>
        <v>2129921.6837256583</v>
      </c>
      <c r="AA105" s="4">
        <f t="shared" si="128"/>
        <v>2126580.9067595731</v>
      </c>
      <c r="AB105" s="4">
        <f t="shared" si="128"/>
        <v>2224443.4532405771</v>
      </c>
      <c r="AC105" s="4">
        <f t="shared" si="128"/>
        <v>2288003.8066594903</v>
      </c>
      <c r="AD105" s="4">
        <f t="shared" si="128"/>
        <v>2338292.9878417281</v>
      </c>
      <c r="AE105" s="4">
        <f t="shared" si="128"/>
        <v>2379382.2709318548</v>
      </c>
      <c r="AF105" s="4">
        <f t="shared" ref="AF105:AQ108" si="129">(SUM(AA105:AE105)/SUM(AA$117:AE$117))*AF$117*0.75</f>
        <v>2414188.7680672826</v>
      </c>
      <c r="AG105" s="4">
        <f t="shared" si="129"/>
        <v>2446595.28517691</v>
      </c>
      <c r="AH105" s="4">
        <f t="shared" si="129"/>
        <v>3090523.4459930952</v>
      </c>
      <c r="AI105" s="4">
        <f t="shared" si="129"/>
        <v>3609160.2824845258</v>
      </c>
      <c r="AJ105" s="4">
        <f t="shared" si="129"/>
        <v>3984217.9357540528</v>
      </c>
      <c r="AK105" s="4">
        <f t="shared" si="129"/>
        <v>4252995.2452514376</v>
      </c>
      <c r="AL105" s="4">
        <f t="shared" si="129"/>
        <v>4453111.4443393638</v>
      </c>
      <c r="AM105" s="4">
        <f t="shared" si="129"/>
        <v>4617726.6126540164</v>
      </c>
      <c r="AN105" s="4">
        <f t="shared" si="129"/>
        <v>4707302.3297951994</v>
      </c>
      <c r="AO105" s="4">
        <f t="shared" si="129"/>
        <v>4744394.4021906238</v>
      </c>
      <c r="AP105" s="4">
        <f t="shared" si="129"/>
        <v>4743947.7879750468</v>
      </c>
      <c r="AQ105" s="4">
        <f t="shared" si="129"/>
        <v>4713826.0667546894</v>
      </c>
      <c r="AR105" s="4"/>
      <c r="AS105" s="4"/>
      <c r="AT105" s="4"/>
      <c r="AU105" s="4"/>
      <c r="AV105" s="4"/>
      <c r="AW105" s="4"/>
      <c r="AX105" s="4"/>
      <c r="AY105" s="4"/>
      <c r="AZ105" s="4"/>
      <c r="BA105" s="4"/>
      <c r="BB105" s="4"/>
      <c r="BC105" s="4"/>
      <c r="BD105" s="4"/>
      <c r="BI105" s="3">
        <v>1053454.5138786163</v>
      </c>
      <c r="BJ105" s="3">
        <f t="shared" ref="BJ105:BJ117" si="130">L105-BI105</f>
        <v>-602983.51387861627</v>
      </c>
      <c r="BK105" s="3">
        <v>619419.77914562868</v>
      </c>
      <c r="BL105" s="3">
        <f t="shared" ref="BL105:BL117" si="131">M105-BK105</f>
        <v>3264083.2208543713</v>
      </c>
      <c r="BM105" s="3">
        <v>1357114.4608942047</v>
      </c>
      <c r="BN105" s="3">
        <f t="shared" ref="BN105:BN117" si="132">N105-BM105</f>
        <v>-604491.46089420468</v>
      </c>
      <c r="BO105" s="3">
        <v>1276334.9209650126</v>
      </c>
      <c r="BP105" s="3">
        <f t="shared" ref="BP105:BP117" si="133">O105-BO105</f>
        <v>688093.07903498737</v>
      </c>
      <c r="BQ105" s="3">
        <v>6482643</v>
      </c>
      <c r="BR105" s="18">
        <f t="shared" ref="BR105:BR117" si="134">P105-BQ105</f>
        <v>0</v>
      </c>
      <c r="BS105" s="3">
        <v>1133947</v>
      </c>
      <c r="BT105" s="18">
        <f>Q105-BS105</f>
        <v>0</v>
      </c>
    </row>
    <row r="106" spans="1:72">
      <c r="A106" s="2" t="s">
        <v>44</v>
      </c>
      <c r="B106" s="3">
        <f>'Monthly D3 Gallon Data'!$H5</f>
        <v>0</v>
      </c>
      <c r="C106" s="3">
        <f>'Monthly D3 Gallon Data'!$H17</f>
        <v>0</v>
      </c>
      <c r="D106" s="3">
        <f>'Monthly D3 Gallon Data'!$H29</f>
        <v>0</v>
      </c>
      <c r="E106" s="3">
        <f>'Monthly D3 Gallon Data'!$H41</f>
        <v>0</v>
      </c>
      <c r="F106" s="3">
        <f>'Monthly D3 Gallon Data'!$H53</f>
        <v>0</v>
      </c>
      <c r="G106" s="3">
        <f>'Monthly D3 Gallon Data'!$H65</f>
        <v>3687481</v>
      </c>
      <c r="H106" s="3">
        <f>'Monthly D3 Gallon Data'!$H77</f>
        <v>7718902</v>
      </c>
      <c r="I106" s="3">
        <f>'Monthly D3 Gallon Data'!$H89</f>
        <v>9752116</v>
      </c>
      <c r="J106" s="3">
        <f>'Monthly D3 Gallon Data'!$H101</f>
        <v>12807199</v>
      </c>
      <c r="K106" s="3">
        <f>'Monthly D3 Gallon Data'!$H113</f>
        <v>23379278</v>
      </c>
      <c r="L106" s="3">
        <f>'Monthly D3 Gallon Data'!$H125</f>
        <v>28402927</v>
      </c>
      <c r="M106" s="3">
        <f>'Monthly D3 Gallon Data'!$H137</f>
        <v>33220960</v>
      </c>
      <c r="N106" s="3">
        <f>'Monthly D3 Gallon Data'!$H149</f>
        <v>39480978</v>
      </c>
      <c r="O106" s="3">
        <f>'Monthly D3 Gallon Data'!$H161</f>
        <v>53280009</v>
      </c>
      <c r="P106" s="3">
        <f>'Monthly D3 Gallon Data'!$H173</f>
        <v>62278042</v>
      </c>
      <c r="Q106" s="3">
        <v>1133947</v>
      </c>
      <c r="R106" s="4">
        <f t="shared" si="127"/>
        <v>29439902.883253016</v>
      </c>
      <c r="S106" s="4">
        <f t="shared" si="127"/>
        <v>27441743.120937094</v>
      </c>
      <c r="T106" s="4">
        <f t="shared" si="127"/>
        <v>25476673.953525189</v>
      </c>
      <c r="U106" s="4">
        <f t="shared" si="127"/>
        <v>24177993.467380751</v>
      </c>
      <c r="V106" s="4">
        <f t="shared" si="127"/>
        <v>21341017.753579795</v>
      </c>
      <c r="W106" s="4">
        <f t="shared" si="127"/>
        <v>24591794.457437664</v>
      </c>
      <c r="X106" s="4">
        <f t="shared" si="128"/>
        <v>24333474.090843543</v>
      </c>
      <c r="Y106" s="4">
        <f t="shared" si="128"/>
        <v>24952924.329373598</v>
      </c>
      <c r="Z106" s="4">
        <f t="shared" si="128"/>
        <v>24977753.37968066</v>
      </c>
      <c r="AA106" s="4">
        <f t="shared" si="128"/>
        <v>25454986.118150365</v>
      </c>
      <c r="AB106" s="4">
        <f t="shared" si="128"/>
        <v>26870407.788595378</v>
      </c>
      <c r="AC106" s="4">
        <f t="shared" si="128"/>
        <v>27450767.195898023</v>
      </c>
      <c r="AD106" s="4">
        <f t="shared" si="128"/>
        <v>27908121.184389077</v>
      </c>
      <c r="AE106" s="4">
        <f t="shared" si="128"/>
        <v>28418726.437198624</v>
      </c>
      <c r="AF106" s="4">
        <f t="shared" si="129"/>
        <v>28932546.941954579</v>
      </c>
      <c r="AG106" s="4">
        <f t="shared" si="129"/>
        <v>29327381.83900886</v>
      </c>
      <c r="AH106" s="4">
        <f t="shared" si="129"/>
        <v>36992518.690034479</v>
      </c>
      <c r="AI106" s="4">
        <f t="shared" si="129"/>
        <v>43182154.553745434</v>
      </c>
      <c r="AJ106" s="4">
        <f t="shared" si="129"/>
        <v>47689180.399166495</v>
      </c>
      <c r="AK106" s="4">
        <f t="shared" si="129"/>
        <v>50923098.482922457</v>
      </c>
      <c r="AL106" s="4">
        <f t="shared" si="129"/>
        <v>53312436.41566731</v>
      </c>
      <c r="AM106" s="4">
        <f t="shared" si="129"/>
        <v>55274422.975567773</v>
      </c>
      <c r="AN106" s="4">
        <f t="shared" si="129"/>
        <v>56346919.947136432</v>
      </c>
      <c r="AO106" s="4">
        <f t="shared" si="129"/>
        <v>56795201.561954431</v>
      </c>
      <c r="AP106" s="4">
        <f t="shared" si="129"/>
        <v>56791092.322899297</v>
      </c>
      <c r="AQ106" s="4">
        <f t="shared" si="129"/>
        <v>56428606.126071833</v>
      </c>
      <c r="AR106" s="4"/>
      <c r="AS106" s="4"/>
      <c r="AT106" s="4"/>
      <c r="AU106" s="4"/>
      <c r="AV106" s="4"/>
      <c r="AW106" s="4"/>
      <c r="AX106" s="4"/>
      <c r="AY106" s="4"/>
      <c r="AZ106" s="4"/>
      <c r="BA106" s="4"/>
      <c r="BB106" s="4"/>
      <c r="BC106" s="4"/>
      <c r="BD106" s="4"/>
      <c r="BE106" s="108">
        <f>O106/N106-1</f>
        <v>0.34951087077934084</v>
      </c>
      <c r="BI106" s="3">
        <v>22459743.827381346</v>
      </c>
      <c r="BJ106" s="3">
        <f t="shared" si="130"/>
        <v>5943183.1726186536</v>
      </c>
      <c r="BK106" s="3">
        <v>27171886.337138765</v>
      </c>
      <c r="BL106" s="3">
        <f t="shared" si="131"/>
        <v>6049073.6628612354</v>
      </c>
      <c r="BM106" s="3">
        <v>32632875.666885138</v>
      </c>
      <c r="BN106" s="3">
        <f t="shared" si="132"/>
        <v>6848102.3331148624</v>
      </c>
      <c r="BO106" s="3">
        <v>34152862.018182889</v>
      </c>
      <c r="BP106" s="3">
        <f t="shared" si="133"/>
        <v>19127146.981817111</v>
      </c>
      <c r="BQ106" s="3">
        <v>62278042</v>
      </c>
      <c r="BR106" s="18">
        <f t="shared" si="134"/>
        <v>0</v>
      </c>
      <c r="BS106" s="3">
        <v>52846255.024745762</v>
      </c>
      <c r="BT106" s="18">
        <f t="shared" ref="BT106:BT117" si="135">Q106-BS106</f>
        <v>-51712308.024745762</v>
      </c>
    </row>
    <row r="107" spans="1:72">
      <c r="A107" s="2" t="s">
        <v>45</v>
      </c>
      <c r="B107" s="3">
        <f>'Monthly D3 Gallon Data'!$H6</f>
        <v>0</v>
      </c>
      <c r="C107" s="3">
        <f>'Monthly D3 Gallon Data'!$H18</f>
        <v>0</v>
      </c>
      <c r="D107" s="3">
        <f>'Monthly D3 Gallon Data'!$H30</f>
        <v>0</v>
      </c>
      <c r="E107" s="3">
        <f>'Monthly D3 Gallon Data'!$H42</f>
        <v>0</v>
      </c>
      <c r="F107" s="3">
        <f>'Monthly D3 Gallon Data'!$H54</f>
        <v>0</v>
      </c>
      <c r="G107" s="3">
        <f>'Monthly D3 Gallon Data'!$H66</f>
        <v>4160077</v>
      </c>
      <c r="H107" s="3">
        <f>'Monthly D3 Gallon Data'!$H78</f>
        <v>9268999</v>
      </c>
      <c r="I107" s="3">
        <f>'Monthly D3 Gallon Data'!$H90</f>
        <v>10216614</v>
      </c>
      <c r="J107" s="3">
        <f>'Monthly D3 Gallon Data'!$H102</f>
        <v>11493874</v>
      </c>
      <c r="K107" s="3">
        <f>'Monthly D3 Gallon Data'!$H114</f>
        <v>20820447</v>
      </c>
      <c r="L107" s="3">
        <f>'Monthly D3 Gallon Data'!$H126</f>
        <v>26435294</v>
      </c>
      <c r="M107" s="3">
        <f>'Monthly D3 Gallon Data'!$H138</f>
        <v>27903102</v>
      </c>
      <c r="N107" s="3">
        <f>'Monthly D3 Gallon Data'!$H150</f>
        <v>35685257</v>
      </c>
      <c r="O107" s="3">
        <f>'Monthly D3 Gallon Data'!$H162</f>
        <v>48547128</v>
      </c>
      <c r="P107" s="3">
        <f>'Monthly D3 Gallon Data'!$H174</f>
        <v>59524862</v>
      </c>
      <c r="Q107" s="4">
        <f>(SUM(L107:P107)/SUM(L$117:P$117))*Q$117*1.15</f>
        <v>34891525.027196206</v>
      </c>
      <c r="R107" s="4">
        <f t="shared" si="127"/>
        <v>32106978.925209977</v>
      </c>
      <c r="S107" s="4">
        <f t="shared" si="127"/>
        <v>31158964.904228646</v>
      </c>
      <c r="T107" s="4">
        <f t="shared" si="127"/>
        <v>30269806.876760568</v>
      </c>
      <c r="U107" s="4">
        <f t="shared" si="127"/>
        <v>31174424.962057821</v>
      </c>
      <c r="V107" s="4">
        <f t="shared" si="127"/>
        <v>31634201.631867722</v>
      </c>
      <c r="W107" s="4">
        <f t="shared" si="127"/>
        <v>30066226.403870143</v>
      </c>
      <c r="X107" s="4">
        <f t="shared" si="128"/>
        <v>30519117.098059583</v>
      </c>
      <c r="Y107" s="4">
        <f t="shared" si="128"/>
        <v>31974066.916009463</v>
      </c>
      <c r="Z107" s="4">
        <f t="shared" si="128"/>
        <v>32502808.929781787</v>
      </c>
      <c r="AA107" s="4">
        <f t="shared" si="128"/>
        <v>33184741.841208711</v>
      </c>
      <c r="AB107" s="4">
        <f t="shared" si="128"/>
        <v>34205844.145780817</v>
      </c>
      <c r="AC107" s="4">
        <f t="shared" si="128"/>
        <v>35213304.140445121</v>
      </c>
      <c r="AD107" s="4">
        <f t="shared" si="128"/>
        <v>35949609.959508158</v>
      </c>
      <c r="AE107" s="4">
        <f t="shared" si="128"/>
        <v>36643508.648668677</v>
      </c>
      <c r="AF107" s="4">
        <f t="shared" si="129"/>
        <v>37243083.212095447</v>
      </c>
      <c r="AG107" s="4">
        <f t="shared" si="129"/>
        <v>37663480.785907663</v>
      </c>
      <c r="AH107" s="4">
        <f t="shared" si="129"/>
        <v>47586105.79921595</v>
      </c>
      <c r="AI107" s="4">
        <f t="shared" si="129"/>
        <v>55576354.679677799</v>
      </c>
      <c r="AJ107" s="4">
        <f t="shared" si="129"/>
        <v>61368057.925932556</v>
      </c>
      <c r="AK107" s="4">
        <f t="shared" si="129"/>
        <v>65509511.836014464</v>
      </c>
      <c r="AL107" s="4">
        <f t="shared" si="129"/>
        <v>68577335.054071814</v>
      </c>
      <c r="AM107" s="4">
        <f t="shared" si="129"/>
        <v>71115665.839881182</v>
      </c>
      <c r="AN107" s="4">
        <f t="shared" si="129"/>
        <v>72497377.13287133</v>
      </c>
      <c r="AO107" s="4">
        <f t="shared" si="129"/>
        <v>73070462.779421896</v>
      </c>
      <c r="AP107" s="4">
        <f t="shared" si="129"/>
        <v>73062459.402854949</v>
      </c>
      <c r="AQ107" s="4">
        <f t="shared" si="129"/>
        <v>72596865.781692207</v>
      </c>
      <c r="AR107" s="4"/>
      <c r="AS107" s="4"/>
      <c r="AT107" s="4"/>
      <c r="AU107" s="4"/>
      <c r="AV107" s="4"/>
      <c r="AW107" s="4"/>
      <c r="AX107" s="4"/>
      <c r="AY107" s="4"/>
      <c r="AZ107" s="4"/>
      <c r="BA107" s="4"/>
      <c r="BB107" s="4"/>
      <c r="BC107" s="4"/>
      <c r="BD107" s="4"/>
      <c r="BE107" s="108">
        <f t="shared" ref="BE107:BE114" si="136">O107/N107-1</f>
        <v>0.36042534316062236</v>
      </c>
      <c r="BI107" s="3">
        <v>17303138.037815973</v>
      </c>
      <c r="BJ107" s="3">
        <f t="shared" si="130"/>
        <v>9132155.9621840268</v>
      </c>
      <c r="BK107" s="3">
        <v>25917382.747215629</v>
      </c>
      <c r="BL107" s="3">
        <f t="shared" si="131"/>
        <v>1985719.2527843714</v>
      </c>
      <c r="BM107" s="3">
        <v>29388731.409477934</v>
      </c>
      <c r="BN107" s="3">
        <f t="shared" si="132"/>
        <v>6296525.5905220658</v>
      </c>
      <c r="BO107" s="3">
        <v>42403904.73295027</v>
      </c>
      <c r="BP107" s="3">
        <f t="shared" si="133"/>
        <v>6143223.2670497298</v>
      </c>
      <c r="BQ107" s="3">
        <v>59524862</v>
      </c>
      <c r="BR107" s="18">
        <f t="shared" si="134"/>
        <v>0</v>
      </c>
      <c r="BS107" s="4">
        <v>74086850.498275653</v>
      </c>
      <c r="BT107" s="18">
        <f t="shared" si="135"/>
        <v>-39195325.471079446</v>
      </c>
    </row>
    <row r="108" spans="1:72">
      <c r="A108" s="2" t="s">
        <v>46</v>
      </c>
      <c r="B108" s="3">
        <f>'Monthly D3 Gallon Data'!$H7</f>
        <v>0</v>
      </c>
      <c r="C108" s="3">
        <f>'Monthly D3 Gallon Data'!$H19</f>
        <v>0</v>
      </c>
      <c r="D108" s="3">
        <f>'Monthly D3 Gallon Data'!$H31</f>
        <v>0</v>
      </c>
      <c r="E108" s="3">
        <f>'Monthly D3 Gallon Data'!$H43</f>
        <v>0</v>
      </c>
      <c r="F108" s="3">
        <f>'Monthly D3 Gallon Data'!$H55</f>
        <v>0</v>
      </c>
      <c r="G108" s="3">
        <f>'Monthly D3 Gallon Data'!$H67</f>
        <v>4191579</v>
      </c>
      <c r="H108" s="3">
        <f>'Monthly D3 Gallon Data'!$H79</f>
        <v>8994368</v>
      </c>
      <c r="I108" s="3">
        <f>'Monthly D3 Gallon Data'!$H91</f>
        <v>10678397</v>
      </c>
      <c r="J108" s="3">
        <f>'Monthly D3 Gallon Data'!$H103</f>
        <v>12875336</v>
      </c>
      <c r="K108" s="3">
        <f>'Monthly D3 Gallon Data'!$H115</f>
        <v>25619818</v>
      </c>
      <c r="L108" s="3">
        <f>'Monthly D3 Gallon Data'!$H127</f>
        <v>31277485</v>
      </c>
      <c r="M108" s="3">
        <f>'Monthly D3 Gallon Data'!$H139</f>
        <v>34802958</v>
      </c>
      <c r="N108" s="3">
        <f>'Monthly D3 Gallon Data'!$H151</f>
        <v>40668142</v>
      </c>
      <c r="O108" s="3">
        <f>'Monthly D3 Gallon Data'!$H163</f>
        <v>55993236</v>
      </c>
      <c r="P108" s="3">
        <f>'Monthly D3 Gallon Data'!$H175</f>
        <v>67016522</v>
      </c>
      <c r="Q108" s="4">
        <f t="shared" ref="Q108:Q115" si="137">(SUM(L108:P108)/SUM(L$117:P$117))*Q$117</f>
        <v>35189936.114505321</v>
      </c>
      <c r="R108" s="4">
        <f t="shared" si="127"/>
        <v>36322416.813723363</v>
      </c>
      <c r="S108" s="4">
        <f t="shared" si="127"/>
        <v>34771458.447471946</v>
      </c>
      <c r="T108" s="4">
        <f t="shared" si="127"/>
        <v>33655095.162280031</v>
      </c>
      <c r="U108" s="4">
        <f t="shared" si="127"/>
        <v>34326379.871238112</v>
      </c>
      <c r="V108" s="4">
        <f t="shared" si="127"/>
        <v>34540629.477524437</v>
      </c>
      <c r="W108" s="4">
        <f t="shared" si="127"/>
        <v>33387688.41773805</v>
      </c>
      <c r="X108" s="4">
        <f t="shared" si="128"/>
        <v>33758384.514058307</v>
      </c>
      <c r="Y108" s="4">
        <f t="shared" si="128"/>
        <v>35304232.174648911</v>
      </c>
      <c r="Z108" s="4">
        <f t="shared" si="128"/>
        <v>35839378.840036049</v>
      </c>
      <c r="AA108" s="4">
        <f t="shared" si="128"/>
        <v>36601533.701002024</v>
      </c>
      <c r="AB108" s="4">
        <f t="shared" si="128"/>
        <v>37803580.481861062</v>
      </c>
      <c r="AC108" s="4">
        <f t="shared" si="128"/>
        <v>38882497.743289813</v>
      </c>
      <c r="AD108" s="4">
        <f t="shared" si="128"/>
        <v>39682787.48578807</v>
      </c>
      <c r="AE108" s="4">
        <f t="shared" si="128"/>
        <v>40446638.78286466</v>
      </c>
      <c r="AF108" s="4">
        <f t="shared" si="129"/>
        <v>41116266.197197802</v>
      </c>
      <c r="AG108" s="4">
        <f t="shared" si="129"/>
        <v>41587598.015413254</v>
      </c>
      <c r="AH108" s="4">
        <f t="shared" si="129"/>
        <v>52535230.312539071</v>
      </c>
      <c r="AI108" s="4">
        <f t="shared" si="129"/>
        <v>61354532.261473998</v>
      </c>
      <c r="AJ108" s="4">
        <f t="shared" si="129"/>
        <v>67749658.282592207</v>
      </c>
      <c r="AK108" s="4">
        <f t="shared" si="129"/>
        <v>72323799.589566574</v>
      </c>
      <c r="AL108" s="4">
        <f t="shared" si="129"/>
        <v>75710951.363354087</v>
      </c>
      <c r="AM108" s="4">
        <f t="shared" si="129"/>
        <v>78511838.101885661</v>
      </c>
      <c r="AN108" s="4">
        <f t="shared" si="129"/>
        <v>80037233.536593378</v>
      </c>
      <c r="AO108" s="4">
        <f t="shared" si="129"/>
        <v>80670322.452107295</v>
      </c>
      <c r="AP108" s="4">
        <f t="shared" si="129"/>
        <v>80661720.803081676</v>
      </c>
      <c r="AQ108" s="4">
        <f t="shared" si="129"/>
        <v>80147576.564528093</v>
      </c>
      <c r="AR108" s="4"/>
      <c r="AS108" s="4"/>
      <c r="AT108" s="4"/>
      <c r="AU108" s="4"/>
      <c r="AV108" s="4"/>
      <c r="AW108" s="4"/>
      <c r="AX108" s="4"/>
      <c r="AY108" s="4"/>
      <c r="AZ108" s="4"/>
      <c r="BA108" s="4"/>
      <c r="BB108" s="4"/>
      <c r="BC108" s="4"/>
      <c r="BD108" s="4"/>
      <c r="BE108" s="108">
        <f t="shared" si="136"/>
        <v>0.37683290276698655</v>
      </c>
      <c r="BI108" s="3">
        <v>24423732.913392961</v>
      </c>
      <c r="BJ108" s="3">
        <f t="shared" si="130"/>
        <v>6853752.086607039</v>
      </c>
      <c r="BK108" s="3">
        <v>29792846.25240669</v>
      </c>
      <c r="BL108" s="3">
        <f t="shared" si="131"/>
        <v>5010111.7475933097</v>
      </c>
      <c r="BM108" s="3">
        <v>34966367.97807122</v>
      </c>
      <c r="BN108" s="3">
        <f t="shared" si="132"/>
        <v>5701774.0219287798</v>
      </c>
      <c r="BO108" s="3">
        <v>50337701.534348443</v>
      </c>
      <c r="BP108" s="3">
        <f t="shared" si="133"/>
        <v>5655534.4656515568</v>
      </c>
      <c r="BQ108" s="3">
        <v>67016522</v>
      </c>
      <c r="BR108" s="18">
        <f t="shared" si="134"/>
        <v>0</v>
      </c>
      <c r="BS108" s="4">
        <v>74720481.088949636</v>
      </c>
      <c r="BT108" s="18">
        <f t="shared" si="135"/>
        <v>-39530544.974444315</v>
      </c>
    </row>
    <row r="109" spans="1:72">
      <c r="A109" s="2" t="s">
        <v>47</v>
      </c>
      <c r="B109" s="3">
        <f>'Monthly D3 Gallon Data'!$H8</f>
        <v>0</v>
      </c>
      <c r="C109" s="3">
        <f>'Monthly D3 Gallon Data'!$H20</f>
        <v>0</v>
      </c>
      <c r="D109" s="3">
        <f>'Monthly D3 Gallon Data'!$H32</f>
        <v>0</v>
      </c>
      <c r="E109" s="3">
        <f>'Monthly D3 Gallon Data'!$H44</f>
        <v>0</v>
      </c>
      <c r="F109" s="3">
        <f>'Monthly D3 Gallon Data'!$H56</f>
        <v>0</v>
      </c>
      <c r="G109" s="3">
        <f>'Monthly D3 Gallon Data'!$H68</f>
        <v>5878244</v>
      </c>
      <c r="H109" s="3">
        <f>'Monthly D3 Gallon Data'!$H80</f>
        <v>8584190</v>
      </c>
      <c r="I109" s="3">
        <f>'Monthly D3 Gallon Data'!$H92</f>
        <v>12750848</v>
      </c>
      <c r="J109" s="3">
        <f>'Monthly D3 Gallon Data'!$H104</f>
        <v>15555160</v>
      </c>
      <c r="K109" s="3">
        <f>'Monthly D3 Gallon Data'!$H116</f>
        <v>25280275</v>
      </c>
      <c r="L109" s="3">
        <f>'Monthly D3 Gallon Data'!$H128</f>
        <v>28516201</v>
      </c>
      <c r="M109" s="3">
        <f>'Monthly D3 Gallon Data'!$H140</f>
        <v>35833762</v>
      </c>
      <c r="N109" s="3">
        <f>'Monthly D3 Gallon Data'!$H152</f>
        <v>46346211</v>
      </c>
      <c r="O109" s="3">
        <f>'Monthly D3 Gallon Data'!$H164</f>
        <v>54037078</v>
      </c>
      <c r="P109" s="3">
        <f>'Monthly D3 Gallon Data'!$H176</f>
        <v>67737546</v>
      </c>
      <c r="Q109" s="4">
        <f t="shared" si="137"/>
        <v>35605377.473096035</v>
      </c>
      <c r="R109" s="4">
        <f t="shared" ref="R109:AD109" si="138">(SUM(M109:Q109)/SUM(M$117:Q$117))*R$117*0.95</f>
        <v>47167939.344107911</v>
      </c>
      <c r="S109" s="4">
        <f t="shared" si="138"/>
        <v>46984701.067655548</v>
      </c>
      <c r="T109" s="4">
        <f t="shared" si="138"/>
        <v>46764429.669779055</v>
      </c>
      <c r="U109" s="4">
        <f t="shared" si="138"/>
        <v>51317544.175690345</v>
      </c>
      <c r="V109" s="4">
        <f t="shared" si="138"/>
        <v>57202059.012773804</v>
      </c>
      <c r="W109" s="4">
        <f t="shared" si="138"/>
        <v>60760215.283719577</v>
      </c>
      <c r="X109" s="4">
        <f t="shared" si="138"/>
        <v>65896406.05860015</v>
      </c>
      <c r="Y109" s="4">
        <f t="shared" si="138"/>
        <v>74309856.191988587</v>
      </c>
      <c r="Z109" s="4">
        <f t="shared" si="138"/>
        <v>82009219.609921619</v>
      </c>
      <c r="AA109" s="4">
        <f t="shared" si="138"/>
        <v>91253098.615691364</v>
      </c>
      <c r="AB109" s="4">
        <f t="shared" si="138"/>
        <v>102462388.982641</v>
      </c>
      <c r="AC109" s="4">
        <f t="shared" si="138"/>
        <v>114245800.64145236</v>
      </c>
      <c r="AD109" s="4">
        <f t="shared" si="138"/>
        <v>126534916.66611435</v>
      </c>
      <c r="AE109" s="4">
        <f>(SUM(Z109:AD109)/SUM(Z$117:AD$117))*AE$117*0.95</f>
        <v>140150671.58620304</v>
      </c>
      <c r="AF109" s="4">
        <f>(SUM(AA109:AE109)/SUM(AA$117:AE$117))*AF$117*0.95</f>
        <v>154732781.59682104</v>
      </c>
      <c r="AG109" s="4">
        <f>(SUM(AB109:AF109)/SUM(AB$117:AF$117))*AG$117*0.95</f>
        <v>169831204.68499279</v>
      </c>
      <c r="AH109" s="4">
        <f t="shared" ref="AH109:AO109" si="139">(SUM(AC109:AG109)/SUM(AC$117:AG$117))*AH$117*0.95</f>
        <v>232737980.68874875</v>
      </c>
      <c r="AI109" s="4">
        <f t="shared" si="139"/>
        <v>297335948.08227259</v>
      </c>
      <c r="AJ109" s="4">
        <f t="shared" si="139"/>
        <v>360145605.43955213</v>
      </c>
      <c r="AK109" s="4">
        <f t="shared" si="139"/>
        <v>420992331.31597507</v>
      </c>
      <c r="AL109" s="4">
        <f t="shared" si="139"/>
        <v>480569901.84187657</v>
      </c>
      <c r="AM109" s="4">
        <f t="shared" si="139"/>
        <v>540502461.56004429</v>
      </c>
      <c r="AN109" s="4">
        <f t="shared" si="139"/>
        <v>598488888.08559787</v>
      </c>
      <c r="AO109" s="4">
        <f t="shared" si="139"/>
        <v>655322693.60540843</v>
      </c>
      <c r="AP109" s="4">
        <f>(SUM(AK109:AO109)/SUM(AK$117:AO$117))*AP$117*0.95</f>
        <v>711268714.85656214</v>
      </c>
      <c r="AQ109" s="4">
        <f>(SUM(AL109:AP109)/SUM(AL$117:AP$117))*AQ$117*0.95</f>
        <v>766332369.10136962</v>
      </c>
      <c r="AR109" s="4"/>
      <c r="AS109" s="4"/>
      <c r="AT109" s="4"/>
      <c r="AU109" s="4"/>
      <c r="AV109" s="4"/>
      <c r="AW109" s="4"/>
      <c r="AX109" s="4"/>
      <c r="AY109" s="4"/>
      <c r="AZ109" s="4"/>
      <c r="BA109" s="4"/>
      <c r="BB109" s="4"/>
      <c r="BC109" s="4"/>
      <c r="BD109" s="4"/>
      <c r="BE109" s="108">
        <f t="shared" si="136"/>
        <v>0.16594381361617683</v>
      </c>
      <c r="BG109" s="3">
        <v>22806497.131885678</v>
      </c>
      <c r="BH109" s="3">
        <f t="shared" ref="BH109:BH117" si="140">K109-BG109</f>
        <v>2473777.8681143224</v>
      </c>
      <c r="BI109" s="3">
        <v>26658948.58927229</v>
      </c>
      <c r="BJ109" s="3">
        <f t="shared" si="130"/>
        <v>1857252.4107277095</v>
      </c>
      <c r="BK109" s="3">
        <v>30151653.337065354</v>
      </c>
      <c r="BL109" s="3">
        <f t="shared" si="131"/>
        <v>5682108.662934646</v>
      </c>
      <c r="BM109" s="3">
        <v>33179763.750867721</v>
      </c>
      <c r="BN109" s="3">
        <f t="shared" si="132"/>
        <v>13166447.249132279</v>
      </c>
      <c r="BO109" s="3">
        <v>52954595.492885187</v>
      </c>
      <c r="BP109" s="3">
        <f t="shared" si="133"/>
        <v>1082482.5071148127</v>
      </c>
      <c r="BQ109" s="4">
        <v>67466002</v>
      </c>
      <c r="BR109" s="18">
        <f t="shared" si="134"/>
        <v>271544</v>
      </c>
      <c r="BS109" s="4">
        <v>75602607.674151048</v>
      </c>
      <c r="BT109" s="18">
        <f t="shared" si="135"/>
        <v>-39997230.201055013</v>
      </c>
    </row>
    <row r="110" spans="1:72">
      <c r="A110" s="2" t="s">
        <v>48</v>
      </c>
      <c r="B110" s="3">
        <f>'Monthly D3 Gallon Data'!$H9</f>
        <v>0</v>
      </c>
      <c r="C110" s="3">
        <f>'Monthly D3 Gallon Data'!$H21</f>
        <v>0</v>
      </c>
      <c r="D110" s="3">
        <f>'Monthly D3 Gallon Data'!$H33</f>
        <v>0</v>
      </c>
      <c r="E110" s="3">
        <f>'Monthly D3 Gallon Data'!$H45</f>
        <v>0</v>
      </c>
      <c r="F110" s="3">
        <f>'Monthly D3 Gallon Data'!$H57</f>
        <v>0</v>
      </c>
      <c r="G110" s="3">
        <f>'Monthly D3 Gallon Data'!$H69</f>
        <v>6077815</v>
      </c>
      <c r="H110" s="3">
        <f>'Monthly D3 Gallon Data'!$H81</f>
        <v>8223464</v>
      </c>
      <c r="I110" s="3">
        <f>'Monthly D3 Gallon Data'!$H93</f>
        <v>13490491</v>
      </c>
      <c r="J110" s="3">
        <f>'Monthly D3 Gallon Data'!$H105</f>
        <v>18467304</v>
      </c>
      <c r="K110" s="3">
        <f>'Monthly D3 Gallon Data'!$H117</f>
        <v>29926723</v>
      </c>
      <c r="L110" s="3">
        <f>'Monthly D3 Gallon Data'!$H129</f>
        <v>31984254</v>
      </c>
      <c r="M110" s="3">
        <f>'Monthly D3 Gallon Data'!$H141</f>
        <v>39397690</v>
      </c>
      <c r="N110" s="3">
        <f>'Monthly D3 Gallon Data'!$H153</f>
        <v>44287180</v>
      </c>
      <c r="O110" s="3">
        <f>'Monthly D3 Gallon Data'!$H165</f>
        <v>61040669</v>
      </c>
      <c r="P110" s="3">
        <f>'Monthly D3 Gallon Data'!$H177</f>
        <v>73839781</v>
      </c>
      <c r="Q110" s="4">
        <f t="shared" si="137"/>
        <v>38374334.474446148</v>
      </c>
      <c r="R110" s="4">
        <f t="shared" ref="R110:AD110" si="141">(SUM(M110:Q110)/SUM(M$117:Q$117))*R$117*1.05</f>
        <v>55915147.486126445</v>
      </c>
      <c r="S110" s="4">
        <f t="shared" si="141"/>
        <v>56600575.416048922</v>
      </c>
      <c r="T110" s="4">
        <f t="shared" si="141"/>
        <v>58722480.116328388</v>
      </c>
      <c r="U110" s="4">
        <f t="shared" si="141"/>
        <v>65820205.056670673</v>
      </c>
      <c r="V110" s="4">
        <f t="shared" si="141"/>
        <v>76429842.703510255</v>
      </c>
      <c r="W110" s="4">
        <f t="shared" si="141"/>
        <v>84400682.901953578</v>
      </c>
      <c r="X110" s="4">
        <f t="shared" si="141"/>
        <v>94692741.381930605</v>
      </c>
      <c r="Y110" s="4">
        <f t="shared" si="141"/>
        <v>110716762.25070576</v>
      </c>
      <c r="Z110" s="4">
        <f t="shared" si="141"/>
        <v>126541083.45665841</v>
      </c>
      <c r="AA110" s="4">
        <f t="shared" si="141"/>
        <v>146103781.24450567</v>
      </c>
      <c r="AB110" s="4">
        <f t="shared" si="141"/>
        <v>170208322.15571526</v>
      </c>
      <c r="AC110" s="4">
        <f t="shared" si="141"/>
        <v>196804809.89728665</v>
      </c>
      <c r="AD110" s="4">
        <f t="shared" si="141"/>
        <v>226034107.83746925</v>
      </c>
      <c r="AE110" s="4">
        <f t="shared" ref="AE110:AG111" si="142">(SUM(Z110:AD110)/SUM(Z$117:AD$117))*AE$117*1.05</f>
        <v>259626755.80718121</v>
      </c>
      <c r="AF110" s="4">
        <f t="shared" si="142"/>
        <v>297245882.08270329</v>
      </c>
      <c r="AG110" s="4">
        <f t="shared" si="142"/>
        <v>338254781.65608817</v>
      </c>
      <c r="AH110" s="4">
        <f t="shared" ref="AH110:AQ111" si="143">(SUM(AC110:AG110)/SUM(AC$117:AG$117))*AH$117*1.05</f>
        <v>480555002.44032913</v>
      </c>
      <c r="AI110" s="4">
        <f t="shared" si="143"/>
        <v>638819430.97735703</v>
      </c>
      <c r="AJ110" s="4">
        <f t="shared" si="143"/>
        <v>806084723.82552886</v>
      </c>
      <c r="AK110" s="4">
        <f t="shared" si="143"/>
        <v>980942953.48410904</v>
      </c>
      <c r="AL110" s="4">
        <f t="shared" si="143"/>
        <v>1163652619.9730983</v>
      </c>
      <c r="AM110" s="4">
        <f t="shared" si="143"/>
        <v>1356995808.4980464</v>
      </c>
      <c r="AN110" s="4">
        <f t="shared" si="143"/>
        <v>1558453903.7807198</v>
      </c>
      <c r="AO110" s="4">
        <f t="shared" si="143"/>
        <v>1769843396.4212997</v>
      </c>
      <c r="AP110" s="4">
        <f t="shared" si="143"/>
        <v>1991650221.0923154</v>
      </c>
      <c r="AQ110" s="4">
        <f t="shared" si="143"/>
        <v>2223923948.2166538</v>
      </c>
      <c r="AR110" s="4"/>
      <c r="AS110" s="4"/>
      <c r="AT110" s="4"/>
      <c r="AU110" s="4"/>
      <c r="AV110" s="4"/>
      <c r="AW110" s="4"/>
      <c r="AX110" s="4"/>
      <c r="AY110" s="4"/>
      <c r="AZ110" s="4"/>
      <c r="BA110" s="4"/>
      <c r="BB110" s="4"/>
      <c r="BC110" s="4"/>
      <c r="BD110" s="4"/>
      <c r="BE110" s="108">
        <f>O110/N110-1</f>
        <v>0.37829207007535826</v>
      </c>
      <c r="BG110" s="3">
        <v>24667895.045245916</v>
      </c>
      <c r="BH110" s="3">
        <f t="shared" si="140"/>
        <v>5258827.9547540843</v>
      </c>
      <c r="BI110" s="3">
        <v>30641777.082269747</v>
      </c>
      <c r="BJ110" s="3">
        <f t="shared" si="130"/>
        <v>1342476.9177302532</v>
      </c>
      <c r="BK110" s="3">
        <v>34000664.750595495</v>
      </c>
      <c r="BL110" s="3">
        <f t="shared" si="131"/>
        <v>5397025.2494045049</v>
      </c>
      <c r="BM110" s="3">
        <v>40366239.185107909</v>
      </c>
      <c r="BN110" s="3">
        <f t="shared" si="132"/>
        <v>3920940.8148920909</v>
      </c>
      <c r="BO110" s="3">
        <v>63532207.34965799</v>
      </c>
      <c r="BP110" s="3">
        <f t="shared" si="133"/>
        <v>-2491538.34965799</v>
      </c>
      <c r="BQ110" s="4">
        <v>73839781</v>
      </c>
      <c r="BR110" s="18">
        <f t="shared" si="134"/>
        <v>0</v>
      </c>
      <c r="BS110" s="4">
        <v>81482067.033846006</v>
      </c>
      <c r="BT110" s="18">
        <f t="shared" si="135"/>
        <v>-43107732.559399858</v>
      </c>
    </row>
    <row r="111" spans="1:72">
      <c r="A111" s="2" t="s">
        <v>49</v>
      </c>
      <c r="B111" s="3">
        <f>'Monthly D3 Gallon Data'!$H10</f>
        <v>0</v>
      </c>
      <c r="C111" s="3">
        <f>'Monthly D3 Gallon Data'!$H22</f>
        <v>0</v>
      </c>
      <c r="D111" s="3">
        <f>'Monthly D3 Gallon Data'!$H34</f>
        <v>0</v>
      </c>
      <c r="E111" s="3">
        <f>'Monthly D3 Gallon Data'!$H46</f>
        <v>0</v>
      </c>
      <c r="F111" s="3">
        <f>'Monthly D3 Gallon Data'!$H58</f>
        <v>0</v>
      </c>
      <c r="G111" s="3">
        <f>'Monthly D3 Gallon Data'!$H70</f>
        <v>6003478</v>
      </c>
      <c r="H111" s="3">
        <f>'Monthly D3 Gallon Data'!$H82</f>
        <v>9492589</v>
      </c>
      <c r="I111" s="3">
        <f>'Monthly D3 Gallon Data'!$H94</f>
        <v>12278441</v>
      </c>
      <c r="J111" s="3">
        <f>'Monthly D3 Gallon Data'!$H106</f>
        <v>19082106</v>
      </c>
      <c r="K111" s="3">
        <f>'Monthly D3 Gallon Data'!$H118</f>
        <v>29654577</v>
      </c>
      <c r="L111" s="3">
        <f>'Monthly D3 Gallon Data'!$H130</f>
        <v>31212896</v>
      </c>
      <c r="M111" s="3">
        <f>'Monthly D3 Gallon Data'!$H142</f>
        <v>35884034</v>
      </c>
      <c r="N111" s="3">
        <f>'Monthly D3 Gallon Data'!$H154</f>
        <v>44093008</v>
      </c>
      <c r="O111" s="3">
        <f>'Monthly D3 Gallon Data'!$H166</f>
        <v>56006395</v>
      </c>
      <c r="P111" s="3">
        <f>'Monthly D3 Gallon Data'!$H178</f>
        <v>72111231</v>
      </c>
      <c r="Q111" s="4">
        <f t="shared" si="137"/>
        <v>36652500.966538973</v>
      </c>
      <c r="R111" s="4">
        <f t="shared" ref="R111:AD111" si="144">(SUM(M111:Q111)/SUM(M$117:Q$117))*R$117*1.05</f>
        <v>53261821.642781809</v>
      </c>
      <c r="S111" s="4">
        <f t="shared" si="144"/>
        <v>54255028.397775024</v>
      </c>
      <c r="T111" s="4">
        <f t="shared" si="144"/>
        <v>55951773.120386101</v>
      </c>
      <c r="U111" s="4">
        <f t="shared" si="144"/>
        <v>63214827.568951145</v>
      </c>
      <c r="V111" s="4">
        <f t="shared" si="144"/>
        <v>73073103.727715403</v>
      </c>
      <c r="W111" s="4">
        <f t="shared" si="144"/>
        <v>80703687.738587201</v>
      </c>
      <c r="X111" s="4">
        <f t="shared" si="144"/>
        <v>90601433.995346144</v>
      </c>
      <c r="Y111" s="4">
        <f t="shared" si="144"/>
        <v>105904003.91205409</v>
      </c>
      <c r="Z111" s="4">
        <f t="shared" si="144"/>
        <v>121104330.92059332</v>
      </c>
      <c r="AA111" s="4">
        <f t="shared" si="144"/>
        <v>139760549.08074069</v>
      </c>
      <c r="AB111" s="4">
        <f t="shared" si="144"/>
        <v>162830209.2684871</v>
      </c>
      <c r="AC111" s="4">
        <f t="shared" si="144"/>
        <v>188285472.29386488</v>
      </c>
      <c r="AD111" s="4">
        <f t="shared" si="144"/>
        <v>216247142.29832548</v>
      </c>
      <c r="AE111" s="4">
        <f t="shared" si="142"/>
        <v>248390935.62573144</v>
      </c>
      <c r="AF111" s="4">
        <f t="shared" si="142"/>
        <v>284370257.37821883</v>
      </c>
      <c r="AG111" s="4">
        <f t="shared" si="142"/>
        <v>323607075.85771626</v>
      </c>
      <c r="AH111" s="4">
        <f t="shared" si="143"/>
        <v>459747878.21619236</v>
      </c>
      <c r="AI111" s="4">
        <f t="shared" si="143"/>
        <v>611158982.46838307</v>
      </c>
      <c r="AJ111" s="4">
        <f t="shared" si="143"/>
        <v>771181738.18037128</v>
      </c>
      <c r="AK111" s="4">
        <f t="shared" si="143"/>
        <v>938466465.57080913</v>
      </c>
      <c r="AL111" s="4">
        <f t="shared" si="143"/>
        <v>1113266063.9259231</v>
      </c>
      <c r="AM111" s="4">
        <f t="shared" si="143"/>
        <v>1298237812.4725161</v>
      </c>
      <c r="AN111" s="4">
        <f t="shared" si="143"/>
        <v>1490972466.1907284</v>
      </c>
      <c r="AO111" s="4">
        <f t="shared" si="143"/>
        <v>1693208563.745558</v>
      </c>
      <c r="AP111" s="4">
        <f t="shared" si="143"/>
        <v>1905410853.694298</v>
      </c>
      <c r="AQ111" s="4">
        <f t="shared" si="143"/>
        <v>2127627364.7405481</v>
      </c>
      <c r="AR111" s="4"/>
      <c r="AS111" s="4"/>
      <c r="AT111" s="4"/>
      <c r="AU111" s="4"/>
      <c r="AV111" s="4"/>
      <c r="AW111" s="4"/>
      <c r="AX111" s="4"/>
      <c r="AY111" s="4"/>
      <c r="AZ111" s="4"/>
      <c r="BA111" s="4"/>
      <c r="BB111" s="4"/>
      <c r="BC111" s="4"/>
      <c r="BD111" s="4"/>
      <c r="BE111" s="108">
        <f t="shared" si="136"/>
        <v>0.27018766784974169</v>
      </c>
      <c r="BG111" s="3">
        <v>26288342.970968023</v>
      </c>
      <c r="BH111" s="3">
        <f t="shared" si="140"/>
        <v>3366234.0290319771</v>
      </c>
      <c r="BI111" s="3">
        <v>30749998.389809277</v>
      </c>
      <c r="BJ111" s="3">
        <f t="shared" si="130"/>
        <v>462897.61019072309</v>
      </c>
      <c r="BK111" s="3">
        <v>33881086.000266999</v>
      </c>
      <c r="BL111" s="3">
        <f t="shared" si="131"/>
        <v>2002947.999733001</v>
      </c>
      <c r="BM111" s="3">
        <v>40246959.47326538</v>
      </c>
      <c r="BN111" s="3">
        <f t="shared" si="132"/>
        <v>3846048.5267346203</v>
      </c>
      <c r="BO111" s="3">
        <v>61879941.499491066</v>
      </c>
      <c r="BP111" s="3">
        <f t="shared" si="133"/>
        <v>-5873546.4994910657</v>
      </c>
      <c r="BQ111" s="4">
        <v>72278917.403845832</v>
      </c>
      <c r="BR111" s="18">
        <f t="shared" si="134"/>
        <v>-167686.40384583175</v>
      </c>
      <c r="BS111" s="4">
        <v>77826015.268157646</v>
      </c>
      <c r="BT111" s="18">
        <f t="shared" si="135"/>
        <v>-41173514.301618673</v>
      </c>
    </row>
    <row r="112" spans="1:72">
      <c r="A112" s="2" t="s">
        <v>50</v>
      </c>
      <c r="B112" s="3">
        <f>'Monthly D3 Gallon Data'!$H11</f>
        <v>0</v>
      </c>
      <c r="C112" s="3">
        <f>'Monthly D3 Gallon Data'!$H23</f>
        <v>0</v>
      </c>
      <c r="D112" s="3">
        <f>'Monthly D3 Gallon Data'!$H35</f>
        <v>0</v>
      </c>
      <c r="E112" s="3">
        <f>'Monthly D3 Gallon Data'!$H47</f>
        <v>0</v>
      </c>
      <c r="F112" s="3">
        <f>'Monthly D3 Gallon Data'!$H59</f>
        <v>1643621</v>
      </c>
      <c r="G112" s="3">
        <f>'Monthly D3 Gallon Data'!$H71</f>
        <v>6218267</v>
      </c>
      <c r="H112" s="3">
        <f>'Monthly D3 Gallon Data'!$H83</f>
        <v>9478696</v>
      </c>
      <c r="I112" s="3">
        <f>'Monthly D3 Gallon Data'!$H95</f>
        <v>12933967</v>
      </c>
      <c r="J112" s="3">
        <f>'Monthly D3 Gallon Data'!$H107</f>
        <v>22250007</v>
      </c>
      <c r="K112" s="3">
        <f>'Monthly D3 Gallon Data'!$H119</f>
        <v>29811852</v>
      </c>
      <c r="L112" s="3">
        <f>'Monthly D3 Gallon Data'!$H131</f>
        <v>32184792</v>
      </c>
      <c r="M112" s="3">
        <f>'Monthly D3 Gallon Data'!$H143</f>
        <v>37893243</v>
      </c>
      <c r="N112" s="3">
        <f>'Monthly D3 Gallon Data'!$H155</f>
        <v>51613593</v>
      </c>
      <c r="O112" s="3">
        <f>'Monthly D3 Gallon Data'!$H167</f>
        <v>58285407</v>
      </c>
      <c r="P112" s="3">
        <f>'Monthly D3 Gallon Data'!$H179</f>
        <v>78552993</v>
      </c>
      <c r="Q112" s="4">
        <f t="shared" si="137"/>
        <v>39596625.960177958</v>
      </c>
      <c r="R112" s="4">
        <f t="shared" ref="R112:AD112" si="145">(SUM(M112:Q112)/SUM(M$117:Q$117))*R$117*1.075</f>
        <v>59252163.053073689</v>
      </c>
      <c r="S112" s="4">
        <f t="shared" si="145"/>
        <v>60881815.808098987</v>
      </c>
      <c r="T112" s="4">
        <f t="shared" si="145"/>
        <v>62392431.179628804</v>
      </c>
      <c r="U112" s="4">
        <f t="shared" si="145"/>
        <v>71482081.188649446</v>
      </c>
      <c r="V112" s="4">
        <f t="shared" si="145"/>
        <v>83412316.99175477</v>
      </c>
      <c r="W112" s="4">
        <f t="shared" si="145"/>
        <v>93007017.65071696</v>
      </c>
      <c r="X112" s="4">
        <f t="shared" si="145"/>
        <v>105225871.38433826</v>
      </c>
      <c r="Y112" s="4">
        <f t="shared" si="145"/>
        <v>123926794.01164384</v>
      </c>
      <c r="Z112" s="4">
        <f t="shared" si="145"/>
        <v>143045444.83085692</v>
      </c>
      <c r="AA112" s="4">
        <f t="shared" si="145"/>
        <v>166531418.10591695</v>
      </c>
      <c r="AB112" s="4">
        <f t="shared" si="145"/>
        <v>195725826.65355662</v>
      </c>
      <c r="AC112" s="4">
        <f t="shared" si="145"/>
        <v>228280727.46911621</v>
      </c>
      <c r="AD112" s="4">
        <f t="shared" si="145"/>
        <v>264456488.0790188</v>
      </c>
      <c r="AE112" s="4">
        <f t="shared" ref="AE112:AQ113" si="146">(SUM(Z112:AD112)/SUM(Z$117:AD$117))*AE$117*1.075</f>
        <v>306445368.10770917</v>
      </c>
      <c r="AF112" s="4">
        <f t="shared" si="146"/>
        <v>353885571.63362318</v>
      </c>
      <c r="AG112" s="4">
        <f t="shared" si="146"/>
        <v>406201149.42059743</v>
      </c>
      <c r="AH112" s="4">
        <f t="shared" si="146"/>
        <v>582075177.62468052</v>
      </c>
      <c r="AI112" s="4">
        <f t="shared" si="146"/>
        <v>781161928.34530246</v>
      </c>
      <c r="AJ112" s="4">
        <f t="shared" si="146"/>
        <v>995399014.88205802</v>
      </c>
      <c r="AK112" s="4">
        <f t="shared" si="146"/>
        <v>1223029502.032804</v>
      </c>
      <c r="AL112" s="4">
        <f t="shared" si="146"/>
        <v>1464247121.0157554</v>
      </c>
      <c r="AM112" s="4">
        <f t="shared" si="146"/>
        <v>1722412459.2258487</v>
      </c>
      <c r="AN112" s="4">
        <f t="shared" si="146"/>
        <v>1995459755.8038261</v>
      </c>
      <c r="AO112" s="4">
        <f t="shared" si="146"/>
        <v>2285947185.3588023</v>
      </c>
      <c r="AP112" s="4">
        <f t="shared" si="146"/>
        <v>2594735877.8190432</v>
      </c>
      <c r="AQ112" s="4">
        <f t="shared" si="146"/>
        <v>2922193480.3686476</v>
      </c>
      <c r="AR112" s="4"/>
      <c r="AS112" s="4"/>
      <c r="AT112" s="4"/>
      <c r="AU112" s="4"/>
      <c r="AV112" s="4"/>
      <c r="AW112" s="4"/>
      <c r="AX112" s="4"/>
      <c r="AY112" s="4"/>
      <c r="AZ112" s="4"/>
      <c r="BA112" s="4"/>
      <c r="BB112" s="4"/>
      <c r="BC112" s="4"/>
      <c r="BD112" s="4"/>
      <c r="BE112" s="108">
        <f t="shared" si="136"/>
        <v>0.12926466870849307</v>
      </c>
      <c r="BG112" s="3">
        <v>29468275.174610402</v>
      </c>
      <c r="BH112" s="3">
        <f t="shared" si="140"/>
        <v>343576.82538959756</v>
      </c>
      <c r="BI112" s="3">
        <v>32603354.093352433</v>
      </c>
      <c r="BJ112" s="3">
        <f t="shared" si="130"/>
        <v>-418562.09335243329</v>
      </c>
      <c r="BK112" s="3">
        <v>35875676.482431643</v>
      </c>
      <c r="BL112" s="3">
        <f t="shared" si="131"/>
        <v>2017566.5175683573</v>
      </c>
      <c r="BM112" s="3">
        <v>43150462.425916061</v>
      </c>
      <c r="BN112" s="3">
        <f t="shared" si="132"/>
        <v>8463130.5740839392</v>
      </c>
      <c r="BO112" s="3">
        <v>62044740.515064746</v>
      </c>
      <c r="BP112" s="3">
        <f t="shared" si="133"/>
        <v>-3759333.5150647461</v>
      </c>
      <c r="BQ112" s="4">
        <v>78820813.35843657</v>
      </c>
      <c r="BR112" s="18">
        <f t="shared" si="134"/>
        <v>-267820.35843656957</v>
      </c>
      <c r="BS112" s="4">
        <v>84077417.23702985</v>
      </c>
      <c r="BT112" s="18">
        <f t="shared" si="135"/>
        <v>-44480791.276851892</v>
      </c>
    </row>
    <row r="113" spans="1:72">
      <c r="A113" s="2" t="s">
        <v>51</v>
      </c>
      <c r="B113" s="3">
        <f>'Monthly D3 Gallon Data'!$H12</f>
        <v>0</v>
      </c>
      <c r="C113" s="3">
        <f>'Monthly D3 Gallon Data'!$H24</f>
        <v>0</v>
      </c>
      <c r="D113" s="3">
        <f>'Monthly D3 Gallon Data'!$H36</f>
        <v>0</v>
      </c>
      <c r="E113" s="3">
        <f>'Monthly D3 Gallon Data'!$H48</f>
        <v>0</v>
      </c>
      <c r="F113" s="3">
        <f>'Monthly D3 Gallon Data'!$H60</f>
        <v>3474010</v>
      </c>
      <c r="G113" s="3">
        <f>'Monthly D3 Gallon Data'!$H72</f>
        <v>5753012</v>
      </c>
      <c r="H113" s="3">
        <f>'Monthly D3 Gallon Data'!$H84</f>
        <v>10946526</v>
      </c>
      <c r="I113" s="3">
        <f>'Monthly D3 Gallon Data'!$H96</f>
        <v>14610908</v>
      </c>
      <c r="J113" s="3">
        <f>'Monthly D3 Gallon Data'!$H108</f>
        <v>19518579</v>
      </c>
      <c r="K113" s="3">
        <f>'Monthly D3 Gallon Data'!$H120</f>
        <v>27493259</v>
      </c>
      <c r="L113" s="3">
        <f>'Monthly D3 Gallon Data'!$H132</f>
        <v>35720286</v>
      </c>
      <c r="M113" s="3">
        <f>'Monthly D3 Gallon Data'!$H144</f>
        <v>39533285</v>
      </c>
      <c r="N113" s="3">
        <f>'Monthly D3 Gallon Data'!$H156</f>
        <v>48251690</v>
      </c>
      <c r="O113" s="3">
        <f>'Monthly D3 Gallon Data'!$H168</f>
        <v>56289585</v>
      </c>
      <c r="P113" s="3">
        <f>'Monthly D3 Gallon Data'!$H180</f>
        <v>81855313</v>
      </c>
      <c r="Q113" s="4">
        <f t="shared" si="137"/>
        <v>40074507.238068648</v>
      </c>
      <c r="R113" s="4">
        <f t="shared" ref="R113:AD113" si="147">(SUM(M113:Q113)/SUM(M$117:Q$117))*R$117*1.075</f>
        <v>59266092.199722782</v>
      </c>
      <c r="S113" s="4">
        <f t="shared" si="147"/>
        <v>60550474.987253867</v>
      </c>
      <c r="T113" s="4">
        <f t="shared" si="147"/>
        <v>62701053.030760542</v>
      </c>
      <c r="U113" s="4">
        <f t="shared" si="147"/>
        <v>72378688.54609473</v>
      </c>
      <c r="V113" s="4">
        <f t="shared" si="147"/>
        <v>83800307.852863982</v>
      </c>
      <c r="W113" s="4">
        <f t="shared" si="147"/>
        <v>93358682.785371304</v>
      </c>
      <c r="X113" s="4">
        <f t="shared" si="147"/>
        <v>105683300.65780191</v>
      </c>
      <c r="Y113" s="4">
        <f t="shared" si="147"/>
        <v>124643272.96140805</v>
      </c>
      <c r="Z113" s="4">
        <f t="shared" si="147"/>
        <v>143888079.36438489</v>
      </c>
      <c r="AA113" s="4">
        <f t="shared" si="147"/>
        <v>167368055.1671904</v>
      </c>
      <c r="AB113" s="4">
        <f t="shared" si="147"/>
        <v>196718757.85509723</v>
      </c>
      <c r="AC113" s="4">
        <f t="shared" si="147"/>
        <v>229476161.63065323</v>
      </c>
      <c r="AD113" s="4">
        <f t="shared" si="147"/>
        <v>265870231.23709536</v>
      </c>
      <c r="AE113" s="4">
        <f t="shared" si="146"/>
        <v>308067001.13602597</v>
      </c>
      <c r="AF113" s="4">
        <f t="shared" si="146"/>
        <v>355732142.15454781</v>
      </c>
      <c r="AG113" s="4">
        <f t="shared" si="146"/>
        <v>408330435.97451568</v>
      </c>
      <c r="AH113" s="4">
        <f t="shared" si="146"/>
        <v>585138726.29032016</v>
      </c>
      <c r="AI113" s="4">
        <f t="shared" si="146"/>
        <v>785275767.23731029</v>
      </c>
      <c r="AJ113" s="4">
        <f t="shared" si="146"/>
        <v>1000632475.1894335</v>
      </c>
      <c r="AK113" s="4">
        <f t="shared" si="146"/>
        <v>1229455665.7538202</v>
      </c>
      <c r="AL113" s="4">
        <f t="shared" si="146"/>
        <v>1471945432.78058</v>
      </c>
      <c r="AM113" s="4">
        <f t="shared" si="146"/>
        <v>1731470240.0216746</v>
      </c>
      <c r="AN113" s="4">
        <f t="shared" si="146"/>
        <v>2005952609.8865156</v>
      </c>
      <c r="AO113" s="4">
        <f t="shared" si="146"/>
        <v>2297965611.4781342</v>
      </c>
      <c r="AP113" s="4">
        <f t="shared" si="146"/>
        <v>2608377731.2951674</v>
      </c>
      <c r="AQ113" s="4">
        <f t="shared" si="146"/>
        <v>2937558086.5521398</v>
      </c>
      <c r="AR113" s="4"/>
      <c r="AS113" s="4"/>
      <c r="AT113" s="4"/>
      <c r="AU113" s="4"/>
      <c r="AV113" s="4"/>
      <c r="AW113" s="4"/>
      <c r="AX113" s="4"/>
      <c r="AY113" s="4"/>
      <c r="AZ113" s="4"/>
      <c r="BA113" s="4"/>
      <c r="BB113" s="4"/>
      <c r="BC113" s="4"/>
      <c r="BD113" s="4"/>
      <c r="BE113" s="108">
        <f t="shared" si="136"/>
        <v>0.16658266270051891</v>
      </c>
      <c r="BG113" s="3">
        <v>29751495.83098292</v>
      </c>
      <c r="BH113" s="3">
        <f t="shared" si="140"/>
        <v>-2258236.8309829198</v>
      </c>
      <c r="BI113" s="3">
        <v>31652942.520003319</v>
      </c>
      <c r="BJ113" s="3">
        <f t="shared" si="130"/>
        <v>4067343.4799966812</v>
      </c>
      <c r="BK113" s="3">
        <v>35692645.977992177</v>
      </c>
      <c r="BL113" s="3">
        <f t="shared" si="131"/>
        <v>3840639.022007823</v>
      </c>
      <c r="BM113" s="3">
        <v>44624919.467659675</v>
      </c>
      <c r="BN113" s="3">
        <f t="shared" si="132"/>
        <v>3626770.5323403254</v>
      </c>
      <c r="BO113" s="3">
        <v>57734584.83688543</v>
      </c>
      <c r="BP113" s="3">
        <f t="shared" si="133"/>
        <v>-1444999.8368854299</v>
      </c>
      <c r="BQ113" s="4">
        <v>77881232.267698735</v>
      </c>
      <c r="BR113" s="18">
        <f t="shared" si="134"/>
        <v>3974080.732301265</v>
      </c>
      <c r="BS113" s="4">
        <v>85092125.501097307</v>
      </c>
      <c r="BT113" s="18">
        <f t="shared" si="135"/>
        <v>-45017618.263028659</v>
      </c>
    </row>
    <row r="114" spans="1:72">
      <c r="A114" s="2" t="s">
        <v>52</v>
      </c>
      <c r="B114" s="3">
        <f>'Monthly D3 Gallon Data'!$H13</f>
        <v>0</v>
      </c>
      <c r="C114" s="3">
        <f>'Monthly D3 Gallon Data'!$H25</f>
        <v>0</v>
      </c>
      <c r="D114" s="3">
        <f>'Monthly D3 Gallon Data'!$H37</f>
        <v>0</v>
      </c>
      <c r="E114" s="3">
        <f>'Monthly D3 Gallon Data'!$H49</f>
        <v>0</v>
      </c>
      <c r="F114" s="3">
        <f>'Monthly D3 Gallon Data'!$H61</f>
        <v>2748001</v>
      </c>
      <c r="G114" s="3">
        <f>'Monthly D3 Gallon Data'!$H73</f>
        <v>5385020</v>
      </c>
      <c r="H114" s="3">
        <f>'Monthly D3 Gallon Data'!$H85</f>
        <v>11760172</v>
      </c>
      <c r="I114" s="3">
        <f>'Monthly D3 Gallon Data'!$H97</f>
        <v>12912867</v>
      </c>
      <c r="J114" s="3">
        <f>'Monthly D3 Gallon Data'!$H109</f>
        <v>19797994</v>
      </c>
      <c r="K114" s="3">
        <f>'Monthly D3 Gallon Data'!$H121</f>
        <v>25986304</v>
      </c>
      <c r="L114" s="3">
        <f>'Monthly D3 Gallon Data'!$H133</f>
        <v>34208723</v>
      </c>
      <c r="M114" s="3">
        <f>'Monthly D3 Gallon Data'!$H145</f>
        <v>39558092</v>
      </c>
      <c r="N114" s="3">
        <f>'Monthly D3 Gallon Data'!$H157</f>
        <v>49626850</v>
      </c>
      <c r="O114" s="3">
        <f>'Monthly D3 Gallon Data'!$H169</f>
        <v>56473586</v>
      </c>
      <c r="P114" s="3">
        <f>'Monthly D3 Gallon Data'!$H181</f>
        <v>79017792</v>
      </c>
      <c r="Q114" s="4">
        <f t="shared" si="137"/>
        <v>39651000.286727183</v>
      </c>
      <c r="R114" s="4">
        <f t="shared" ref="R114:AD114" si="148">(SUM(M114:Q114)/SUM(M$117:Q$117))*R$117*1.1</f>
        <v>60262032.905460007</v>
      </c>
      <c r="S114" s="4">
        <f t="shared" si="148"/>
        <v>61805554.068200983</v>
      </c>
      <c r="T114" s="4">
        <f t="shared" si="148"/>
        <v>63981399.684114411</v>
      </c>
      <c r="U114" s="4">
        <f t="shared" si="148"/>
        <v>74127678.204000622</v>
      </c>
      <c r="V114" s="4">
        <f t="shared" si="148"/>
        <v>87161056.973449335</v>
      </c>
      <c r="W114" s="4">
        <f t="shared" si="148"/>
        <v>97967049.748396903</v>
      </c>
      <c r="X114" s="4">
        <f t="shared" si="148"/>
        <v>111695633.77361226</v>
      </c>
      <c r="Y114" s="4">
        <f t="shared" si="148"/>
        <v>132733325.91660005</v>
      </c>
      <c r="Z114" s="4">
        <f t="shared" si="148"/>
        <v>154543034.4014852</v>
      </c>
      <c r="AA114" s="4">
        <f t="shared" si="148"/>
        <v>181425391.65537941</v>
      </c>
      <c r="AB114" s="4">
        <f t="shared" si="148"/>
        <v>215059893.54268652</v>
      </c>
      <c r="AC114" s="4">
        <f t="shared" si="148"/>
        <v>252990916.03803989</v>
      </c>
      <c r="AD114" s="4">
        <f t="shared" si="148"/>
        <v>295613345.41662127</v>
      </c>
      <c r="AE114" s="4">
        <f>(SUM(Z114:AD114)/SUM(Z$117:AD$117))*AE$117*1.1</f>
        <v>345491188.24028903</v>
      </c>
      <c r="AF114" s="4">
        <f>(SUM(AA114:AE114)/SUM(AA$117:AE$117))*AF$117*1.1</f>
        <v>402379216.04769725</v>
      </c>
      <c r="AG114" s="4">
        <f>(SUM(AB114:AF114)/SUM(AB$117:AF$117))*AG$117*1.1</f>
        <v>465798226.39797682</v>
      </c>
      <c r="AH114" s="4">
        <f t="shared" ref="AH114:AO114" si="149">(SUM(AC114:AG114)/SUM(AC$117:AG$117))*AH$117*1.1</f>
        <v>673155396.07967377</v>
      </c>
      <c r="AI114" s="4">
        <f t="shared" si="149"/>
        <v>911879885.59227729</v>
      </c>
      <c r="AJ114" s="4">
        <f t="shared" si="149"/>
        <v>1173203529.0288377</v>
      </c>
      <c r="AK114" s="4">
        <f t="shared" si="149"/>
        <v>1455197786.8599172</v>
      </c>
      <c r="AL114" s="4">
        <f t="shared" si="149"/>
        <v>1758056383.0854697</v>
      </c>
      <c r="AM114" s="4">
        <f t="shared" si="149"/>
        <v>2085761127.1341593</v>
      </c>
      <c r="AN114" s="4">
        <f t="shared" si="149"/>
        <v>2437233952.1123867</v>
      </c>
      <c r="AO114" s="4">
        <f t="shared" si="149"/>
        <v>2816031913.5550475</v>
      </c>
      <c r="AP114" s="4">
        <f>(SUM(AK114:AO114)/SUM(AK$117:AO$117))*AP$117*1.1</f>
        <v>3223659654.9222655</v>
      </c>
      <c r="AQ114" s="4">
        <f>(SUM(AL114:AP114)/SUM(AL$117:AP$117))*AQ$117*1.1</f>
        <v>3661096223.7289367</v>
      </c>
      <c r="AR114" s="4"/>
      <c r="AS114" s="4"/>
      <c r="AT114" s="4"/>
      <c r="AU114" s="4"/>
      <c r="AV114" s="4"/>
      <c r="AW114" s="4"/>
      <c r="AX114" s="4"/>
      <c r="AY114" s="4"/>
      <c r="AZ114" s="4"/>
      <c r="BA114" s="4"/>
      <c r="BB114" s="4"/>
      <c r="BC114" s="4"/>
      <c r="BD114" s="4"/>
      <c r="BE114" s="108">
        <f t="shared" si="136"/>
        <v>0.13796434792859102</v>
      </c>
      <c r="BG114" s="3">
        <v>29789372.680068441</v>
      </c>
      <c r="BH114" s="3">
        <f t="shared" si="140"/>
        <v>-3803068.6800684407</v>
      </c>
      <c r="BI114" s="3">
        <v>35193293.360227697</v>
      </c>
      <c r="BJ114" s="3">
        <f t="shared" si="130"/>
        <v>-984570.3602276966</v>
      </c>
      <c r="BK114" s="3">
        <v>39515887.333920263</v>
      </c>
      <c r="BL114" s="3">
        <f t="shared" si="131"/>
        <v>42204.666079737246</v>
      </c>
      <c r="BM114" s="3">
        <v>47287398.30704771</v>
      </c>
      <c r="BN114" s="3">
        <f t="shared" si="132"/>
        <v>2339451.6929522902</v>
      </c>
      <c r="BO114" s="3">
        <v>57263830.121092811</v>
      </c>
      <c r="BP114" s="3">
        <f t="shared" si="133"/>
        <v>-790244.12109281123</v>
      </c>
      <c r="BQ114" s="4">
        <v>77342250.439727336</v>
      </c>
      <c r="BR114" s="18">
        <f t="shared" si="134"/>
        <v>1675541.5602726638</v>
      </c>
      <c r="BS114" s="4">
        <v>84192872.855517641</v>
      </c>
      <c r="BT114" s="18">
        <f t="shared" si="135"/>
        <v>-44541872.568790458</v>
      </c>
    </row>
    <row r="115" spans="1:72">
      <c r="A115" s="2" t="s">
        <v>53</v>
      </c>
      <c r="B115" s="3">
        <f>'Monthly D3 Gallon Data'!$H14</f>
        <v>0</v>
      </c>
      <c r="C115" s="3">
        <f>'Monthly D3 Gallon Data'!$H26</f>
        <v>0</v>
      </c>
      <c r="D115" s="3">
        <f>'Monthly D3 Gallon Data'!$H38</f>
        <v>0</v>
      </c>
      <c r="E115" s="3">
        <f>'Monthly D3 Gallon Data'!$H50</f>
        <v>0</v>
      </c>
      <c r="F115" s="3">
        <f>'Monthly D3 Gallon Data'!$H62</f>
        <v>2873839</v>
      </c>
      <c r="G115" s="3">
        <f>'Monthly D3 Gallon Data'!$H74</f>
        <v>5690045</v>
      </c>
      <c r="H115" s="3">
        <f>'Monthly D3 Gallon Data'!$H86</f>
        <v>10879490</v>
      </c>
      <c r="I115" s="3">
        <f>'Monthly D3 Gallon Data'!$H98</f>
        <v>13884556</v>
      </c>
      <c r="J115" s="3">
        <f>'Monthly D3 Gallon Data'!$H110</f>
        <v>19064110</v>
      </c>
      <c r="K115" s="3">
        <f>'Monthly D3 Gallon Data'!$H122</f>
        <v>25595535</v>
      </c>
      <c r="L115" s="3">
        <f>'Monthly D3 Gallon Data'!$H134</f>
        <v>35602358</v>
      </c>
      <c r="M115" s="3">
        <f>'Monthly D3 Gallon Data'!$H146</f>
        <v>42107589</v>
      </c>
      <c r="N115" s="3">
        <f>'Monthly D3 Gallon Data'!$H158</f>
        <v>48964891</v>
      </c>
      <c r="O115" s="3">
        <f>'Monthly D3 Gallon Data'!$H170</f>
        <v>62160920</v>
      </c>
      <c r="P115" s="3">
        <f>'Monthly D3 Gallon Data'!$H182</f>
        <v>79496049</v>
      </c>
      <c r="Q115" s="4">
        <f t="shared" si="137"/>
        <v>41097872.758508585</v>
      </c>
      <c r="R115" s="4">
        <f t="shared" ref="R115:AD115" si="150">(SUM(M115:Q115)/SUM(M$117:Q$117))*R$117*1.05</f>
        <v>59590237.688985325</v>
      </c>
      <c r="S115" s="4">
        <f t="shared" si="150"/>
        <v>60295787.641235925</v>
      </c>
      <c r="T115" s="4">
        <f t="shared" si="150"/>
        <v>62189140.730973162</v>
      </c>
      <c r="U115" s="4">
        <f t="shared" si="150"/>
        <v>70282513.582981378</v>
      </c>
      <c r="V115" s="4">
        <f t="shared" si="150"/>
        <v>81430992.92767714</v>
      </c>
      <c r="W115" s="4">
        <f t="shared" si="150"/>
        <v>89866181.077037334</v>
      </c>
      <c r="X115" s="4">
        <f t="shared" si="150"/>
        <v>100809705.06258187</v>
      </c>
      <c r="Y115" s="4">
        <f t="shared" si="150"/>
        <v>117857506.14463775</v>
      </c>
      <c r="Z115" s="4">
        <f t="shared" si="150"/>
        <v>134796346.91708651</v>
      </c>
      <c r="AA115" s="4">
        <f t="shared" si="150"/>
        <v>155585360.79725149</v>
      </c>
      <c r="AB115" s="4">
        <f t="shared" si="150"/>
        <v>181241743.78114846</v>
      </c>
      <c r="AC115" s="4">
        <f t="shared" si="150"/>
        <v>209564000.27355146</v>
      </c>
      <c r="AD115" s="4">
        <f t="shared" si="150"/>
        <v>240694948.77941814</v>
      </c>
      <c r="AE115" s="4">
        <f>(SUM(Z115:AD115)/SUM(Z$117:AD$117))*AE$117*1.05</f>
        <v>276478595.12711644</v>
      </c>
      <c r="AF115" s="4">
        <f>(SUM(AA115:AE115)/SUM(AA$117:AE$117))*AF$117*1.05</f>
        <v>316527078.86641854</v>
      </c>
      <c r="AG115" s="4">
        <f>(SUM(AB115:AF115)/SUM(AB$117:AF$117))*AG$117*1.05</f>
        <v>360194776.82852298</v>
      </c>
      <c r="AH115" s="4">
        <f t="shared" ref="AH115:AO115" si="151">(SUM(AC115:AG115)/SUM(AC$117:AG$117))*AH$117*1.05</f>
        <v>511727360.74835742</v>
      </c>
      <c r="AI115" s="4">
        <f t="shared" si="151"/>
        <v>680260795.80298233</v>
      </c>
      <c r="AJ115" s="4">
        <f t="shared" si="151"/>
        <v>858377848.39180827</v>
      </c>
      <c r="AK115" s="4">
        <f t="shared" si="151"/>
        <v>1044576177.4580312</v>
      </c>
      <c r="AL115" s="4">
        <f t="shared" si="151"/>
        <v>1239138469.2820785</v>
      </c>
      <c r="AM115" s="4">
        <f t="shared" si="151"/>
        <v>1445024616.9084156</v>
      </c>
      <c r="AN115" s="4">
        <f t="shared" si="151"/>
        <v>1659551818.4873917</v>
      </c>
      <c r="AO115" s="4">
        <f t="shared" si="151"/>
        <v>1884654062.9519756</v>
      </c>
      <c r="AP115" s="4">
        <f>(SUM(AK115:AO115)/SUM(AK$117:AO$117))*AP$117*1.05</f>
        <v>2120849032.8763795</v>
      </c>
      <c r="AQ115" s="4">
        <f>(SUM(AL115:AP115)/SUM(AL$117:AP$117))*AQ$117*1.05</f>
        <v>2368190629.7904286</v>
      </c>
      <c r="AR115" s="4"/>
      <c r="AS115" s="4"/>
      <c r="AT115" s="4"/>
      <c r="AU115" s="4"/>
      <c r="AV115" s="4"/>
      <c r="AW115" s="4"/>
      <c r="AX115" s="4"/>
      <c r="AY115" s="4"/>
      <c r="AZ115" s="4"/>
      <c r="BA115" s="4"/>
      <c r="BB115" s="4"/>
      <c r="BC115" s="4"/>
      <c r="BD115" s="4"/>
      <c r="BG115" s="3">
        <v>29669310.373475265</v>
      </c>
      <c r="BH115" s="3">
        <f t="shared" si="140"/>
        <v>-4073775.3734752648</v>
      </c>
      <c r="BI115" s="3">
        <v>35111914.804254457</v>
      </c>
      <c r="BJ115" s="3">
        <f t="shared" si="130"/>
        <v>490443.19574554265</v>
      </c>
      <c r="BK115" s="3">
        <v>40054957.499213807</v>
      </c>
      <c r="BL115" s="3">
        <f t="shared" si="131"/>
        <v>2052631.5007861927</v>
      </c>
      <c r="BM115" s="3">
        <v>47657751.751749001</v>
      </c>
      <c r="BN115" s="3">
        <f t="shared" si="132"/>
        <v>1307139.2482509986</v>
      </c>
      <c r="BO115" s="3">
        <v>58019589.970707342</v>
      </c>
      <c r="BP115" s="3">
        <f t="shared" si="133"/>
        <v>4141330.029292658</v>
      </c>
      <c r="BQ115" s="4">
        <v>80565034.523307368</v>
      </c>
      <c r="BR115" s="18">
        <f t="shared" si="134"/>
        <v>-1068985.5233073682</v>
      </c>
      <c r="BS115" s="4">
        <v>87265086.650225282</v>
      </c>
      <c r="BT115" s="18">
        <f t="shared" si="135"/>
        <v>-46167213.891716696</v>
      </c>
    </row>
    <row r="116" spans="1:72">
      <c r="A116" s="2" t="s">
        <v>54</v>
      </c>
      <c r="B116" s="3">
        <f>'Monthly D3 Gallon Data'!$H15</f>
        <v>0</v>
      </c>
      <c r="C116" s="3">
        <f>'Monthly D3 Gallon Data'!$H27</f>
        <v>0</v>
      </c>
      <c r="D116" s="3">
        <f>'Monthly D3 Gallon Data'!$H39</f>
        <v>0</v>
      </c>
      <c r="E116" s="3">
        <f>'Monthly D3 Gallon Data'!$H51</f>
        <v>0</v>
      </c>
      <c r="F116" s="3">
        <f>'Monthly D3 Gallon Data'!$H63</f>
        <v>4468597</v>
      </c>
      <c r="G116" s="3">
        <f>'Monthly D3 Gallon Data'!$H75</f>
        <v>15980402</v>
      </c>
      <c r="H116" s="3">
        <f>'Monthly D3 Gallon Data'!$H87</f>
        <v>19778727</v>
      </c>
      <c r="I116" s="3">
        <f>'Monthly D3 Gallon Data'!$H99</f>
        <v>31879631</v>
      </c>
      <c r="J116" s="3">
        <f>'Monthly D3 Gallon Data'!$H111</f>
        <v>42259874</v>
      </c>
      <c r="K116" s="3">
        <f>'Monthly D3 Gallon Data'!$H123</f>
        <v>53324240</v>
      </c>
      <c r="L116" s="3">
        <f>'Monthly D3 Gallon Data'!$H135</f>
        <v>71993431</v>
      </c>
      <c r="M116" s="3">
        <f>'Monthly D3 Gallon Data'!$H147</f>
        <v>80701265</v>
      </c>
      <c r="N116" s="3">
        <f>'Monthly D3 Gallon Data'!$H159</f>
        <v>96324317</v>
      </c>
      <c r="O116" s="3">
        <f>'Monthly D3 Gallon Data'!$H171</f>
        <v>117733902</v>
      </c>
      <c r="P116" s="3">
        <f>'Monthly D3 Gallon Data'!$H183</f>
        <v>68235417</v>
      </c>
      <c r="Q116" s="119">
        <f t="shared" ref="Q116:AD116" si="152">Q117-SUM(Q105:Q115)</f>
        <v>95061188.60533905</v>
      </c>
      <c r="R116" s="4">
        <f t="shared" si="152"/>
        <v>108993951.58919764</v>
      </c>
      <c r="S116" s="4">
        <f t="shared" si="152"/>
        <v>107845964.95548338</v>
      </c>
      <c r="T116" s="4">
        <f t="shared" si="152"/>
        <v>107398197.09916306</v>
      </c>
      <c r="U116" s="4">
        <f t="shared" si="152"/>
        <v>114902461.01781893</v>
      </c>
      <c r="V116" s="4">
        <f t="shared" si="152"/>
        <v>143398560.83409321</v>
      </c>
      <c r="W116" s="4">
        <f t="shared" si="152"/>
        <v>148520429.52036011</v>
      </c>
      <c r="X116" s="4">
        <f t="shared" si="152"/>
        <v>159217630.34996331</v>
      </c>
      <c r="Y116" s="4">
        <f t="shared" si="152"/>
        <v>176854748.96775043</v>
      </c>
      <c r="Z116" s="4">
        <f t="shared" si="152"/>
        <v>191070075.29692066</v>
      </c>
      <c r="AA116" s="4">
        <f t="shared" si="152"/>
        <v>207726938.91153145</v>
      </c>
      <c r="AB116" s="4">
        <f t="shared" si="152"/>
        <v>222272521.26450586</v>
      </c>
      <c r="AC116" s="4">
        <f t="shared" si="152"/>
        <v>234111749.34197021</v>
      </c>
      <c r="AD116" s="4">
        <f t="shared" si="152"/>
        <v>241631231.49289203</v>
      </c>
      <c r="AE116" s="4">
        <f>AE117-SUM(AE105:AE115)</f>
        <v>244978307.85110497</v>
      </c>
      <c r="AF116" s="4">
        <f>AF117-SUM(AF105:AF115)</f>
        <v>242013348.54793501</v>
      </c>
      <c r="AG116" s="4">
        <f>AG117-SUM(AG105:AG115)</f>
        <v>230081426.71494675</v>
      </c>
      <c r="AH116" s="4">
        <f t="shared" ref="AH116:AO116" si="153">AH117-SUM(AH105:AH115)</f>
        <v>261422664.54769611</v>
      </c>
      <c r="AI116" s="4">
        <f t="shared" si="153"/>
        <v>249578313.48780346</v>
      </c>
      <c r="AJ116" s="4">
        <f t="shared" si="153"/>
        <v>185325411.41906261</v>
      </c>
      <c r="AK116" s="4">
        <f t="shared" si="153"/>
        <v>68194421.392738342</v>
      </c>
      <c r="AL116" s="4">
        <f t="shared" si="153"/>
        <v>-99745826.952346802</v>
      </c>
      <c r="AM116" s="4">
        <f t="shared" si="153"/>
        <v>-316458178.79303741</v>
      </c>
      <c r="AN116" s="4">
        <f t="shared" si="153"/>
        <v>-596202999.37137604</v>
      </c>
      <c r="AO116" s="4">
        <f t="shared" si="153"/>
        <v>-942270163.48716354</v>
      </c>
      <c r="AP116" s="4">
        <f>AP117-SUM(AP105:AP115)</f>
        <v>-1357364366.8470917</v>
      </c>
      <c r="AQ116" s="4">
        <f>AQ117-SUM(AQ105:AQ115)</f>
        <v>-1844705395.5786438</v>
      </c>
      <c r="AR116" s="4"/>
      <c r="AS116" s="4"/>
      <c r="AT116" s="4"/>
      <c r="AU116" s="4"/>
      <c r="AV116" s="4"/>
      <c r="AW116" s="4"/>
      <c r="AX116" s="4"/>
      <c r="AY116" s="4"/>
      <c r="AZ116" s="4"/>
      <c r="BA116" s="4"/>
      <c r="BB116" s="4"/>
      <c r="BC116" s="4"/>
      <c r="BD116" s="4"/>
      <c r="BE116" s="4">
        <f>O116+(O116*AVERAGE(BE106:BE113))</f>
        <v>150067163.50121567</v>
      </c>
      <c r="BG116" s="3">
        <v>49615484.867803574</v>
      </c>
      <c r="BH116" s="3">
        <f t="shared" si="140"/>
        <v>3708755.1321964264</v>
      </c>
      <c r="BI116" s="3">
        <v>79419402.922819078</v>
      </c>
      <c r="BJ116" s="3">
        <f t="shared" si="130"/>
        <v>-7425971.922819078</v>
      </c>
      <c r="BK116" s="3">
        <v>80081023.120089054</v>
      </c>
      <c r="BL116" s="3">
        <f t="shared" si="131"/>
        <v>620241.87991094589</v>
      </c>
      <c r="BM116" s="3">
        <v>92484674.437260985</v>
      </c>
      <c r="BN116" s="3">
        <f t="shared" si="132"/>
        <v>3839642.5627390146</v>
      </c>
      <c r="BO116" s="3">
        <v>110902537.36840558</v>
      </c>
      <c r="BP116" s="3">
        <f t="shared" si="133"/>
        <v>6831364.6315944195</v>
      </c>
      <c r="BQ116" s="4">
        <v>90620235.856882334</v>
      </c>
      <c r="BR116" s="18">
        <f t="shared" si="134"/>
        <v>-22384818.856882334</v>
      </c>
      <c r="BS116" s="4">
        <v>152683312.58218551</v>
      </c>
      <c r="BT116" s="18">
        <f t="shared" si="135"/>
        <v>-57622123.976846457</v>
      </c>
    </row>
    <row r="117" spans="1:72" ht="15.75" thickBot="1">
      <c r="A117" s="2" t="s">
        <v>29</v>
      </c>
      <c r="B117" s="3">
        <f>SUM(B105:B116)</f>
        <v>0</v>
      </c>
      <c r="C117" s="3">
        <f t="shared" ref="C117:P117" si="154">SUM(C105:C116)</f>
        <v>0</v>
      </c>
      <c r="D117" s="3">
        <f t="shared" si="154"/>
        <v>0</v>
      </c>
      <c r="E117" s="3">
        <f t="shared" si="154"/>
        <v>0</v>
      </c>
      <c r="F117" s="3">
        <f t="shared" si="154"/>
        <v>15208068</v>
      </c>
      <c r="G117" s="3">
        <f t="shared" si="154"/>
        <v>70454732</v>
      </c>
      <c r="H117" s="3">
        <f t="shared" si="154"/>
        <v>116415265</v>
      </c>
      <c r="I117" s="3">
        <f t="shared" si="154"/>
        <v>155484808</v>
      </c>
      <c r="J117" s="3">
        <f t="shared" si="154"/>
        <v>213192231</v>
      </c>
      <c r="K117" s="3">
        <f t="shared" si="154"/>
        <v>316914858</v>
      </c>
      <c r="L117" s="3">
        <f t="shared" si="154"/>
        <v>387989118</v>
      </c>
      <c r="M117" s="3">
        <f t="shared" si="154"/>
        <v>450719483</v>
      </c>
      <c r="N117" s="3">
        <f t="shared" si="154"/>
        <v>546094740</v>
      </c>
      <c r="O117" s="3">
        <f t="shared" si="154"/>
        <v>681812343</v>
      </c>
      <c r="P117" s="3">
        <f t="shared" si="154"/>
        <v>796148191</v>
      </c>
      <c r="Q117" s="4">
        <f t="shared" ref="Q117:AD117" si="155">Q7</f>
        <v>438462762.90460408</v>
      </c>
      <c r="R117" s="4">
        <f t="shared" si="155"/>
        <v>603788635.63924885</v>
      </c>
      <c r="S117" s="4">
        <f t="shared" si="155"/>
        <v>604446563.14959896</v>
      </c>
      <c r="T117" s="4">
        <f t="shared" si="155"/>
        <v>611505325.15157568</v>
      </c>
      <c r="U117" s="4">
        <f t="shared" si="155"/>
        <v>675474455.72832429</v>
      </c>
      <c r="V117" s="4">
        <f t="shared" si="155"/>
        <v>775301289.20597219</v>
      </c>
      <c r="W117" s="4">
        <f t="shared" si="155"/>
        <v>838593915.09608209</v>
      </c>
      <c r="X117" s="4">
        <f t="shared" si="155"/>
        <v>924405320.59871376</v>
      </c>
      <c r="Y117" s="4">
        <f t="shared" si="155"/>
        <v>1061276082.7931564</v>
      </c>
      <c r="Z117" s="4">
        <f t="shared" si="155"/>
        <v>1192447477.6311316</v>
      </c>
      <c r="AA117" s="4">
        <f t="shared" si="155"/>
        <v>1353122436.1453283</v>
      </c>
      <c r="AB117" s="4">
        <f t="shared" si="155"/>
        <v>1547623939.3733158</v>
      </c>
      <c r="AC117" s="4">
        <f t="shared" si="155"/>
        <v>1757594210.4722273</v>
      </c>
      <c r="AD117" s="4">
        <f t="shared" si="155"/>
        <v>1982961223.4244819</v>
      </c>
      <c r="AE117" s="4">
        <f>AE7</f>
        <v>2237517079.6210251</v>
      </c>
      <c r="AF117" s="4">
        <f>AF7</f>
        <v>2516592363.4272799</v>
      </c>
      <c r="AG117" s="4">
        <f>AG7</f>
        <v>2813324133.4608636</v>
      </c>
      <c r="AH117" s="4">
        <f t="shared" ref="AH117:AO117" si="156">AH7</f>
        <v>3926764564.883781</v>
      </c>
      <c r="AI117" s="4">
        <f t="shared" si="156"/>
        <v>5119193253.7710705</v>
      </c>
      <c r="AJ117" s="4">
        <f t="shared" si="156"/>
        <v>6331141460.9000978</v>
      </c>
      <c r="AK117" s="4">
        <f t="shared" si="156"/>
        <v>7553864709.0219593</v>
      </c>
      <c r="AL117" s="4">
        <f t="shared" si="156"/>
        <v>8793183999.2298679</v>
      </c>
      <c r="AM117" s="4">
        <f t="shared" si="156"/>
        <v>10073466000.557655</v>
      </c>
      <c r="AN117" s="4">
        <f t="shared" si="156"/>
        <v>11363499227.922188</v>
      </c>
      <c r="AO117" s="4">
        <f t="shared" si="156"/>
        <v>12675983644.824736</v>
      </c>
      <c r="AP117" s="4">
        <f>AP7</f>
        <v>14013846940.025751</v>
      </c>
      <c r="AQ117" s="4">
        <f>AQ7</f>
        <v>15376103581.459129</v>
      </c>
      <c r="AR117" s="4"/>
      <c r="AS117" s="4"/>
      <c r="AT117" s="4"/>
      <c r="AU117" s="4"/>
      <c r="AV117" s="4"/>
      <c r="AW117" s="4"/>
      <c r="AX117" s="4"/>
      <c r="AY117" s="4"/>
      <c r="AZ117" s="4"/>
      <c r="BA117" s="4"/>
      <c r="BB117" s="4"/>
      <c r="BC117" s="4"/>
      <c r="BD117" s="4"/>
      <c r="BG117" s="3">
        <v>323215326.75233018</v>
      </c>
      <c r="BH117" s="3">
        <f t="shared" si="140"/>
        <v>-6300468.752330184</v>
      </c>
      <c r="BI117" s="3">
        <v>395084233.92281908</v>
      </c>
      <c r="BJ117" s="3">
        <f t="shared" si="130"/>
        <v>-7095115.922819078</v>
      </c>
      <c r="BK117" s="3">
        <v>449597935.12008905</v>
      </c>
      <c r="BL117" s="3">
        <f t="shared" si="131"/>
        <v>1121547.8799109459</v>
      </c>
      <c r="BM117" s="3">
        <v>541645383.43726099</v>
      </c>
      <c r="BN117" s="3">
        <f t="shared" si="132"/>
        <v>4449356.5627390146</v>
      </c>
      <c r="BO117" s="3">
        <v>670819216.33911288</v>
      </c>
      <c r="BP117" s="3">
        <f t="shared" si="133"/>
        <v>10993126.660887122</v>
      </c>
      <c r="BQ117" s="4">
        <v>814116335.8498981</v>
      </c>
      <c r="BR117" s="18">
        <f t="shared" si="134"/>
        <v>-17968144.8498981</v>
      </c>
      <c r="BS117" s="19">
        <v>931009038.41418135</v>
      </c>
      <c r="BT117" s="18">
        <f t="shared" si="135"/>
        <v>-492546275.50957727</v>
      </c>
    </row>
    <row r="118" spans="1:72">
      <c r="A118" s="114"/>
      <c r="B118" s="114"/>
      <c r="C118" s="114"/>
      <c r="D118" s="114"/>
      <c r="E118" s="114"/>
      <c r="F118" s="120">
        <f t="shared" ref="F118:K118" si="157">F116/F115-1</f>
        <v>0.55492252697524114</v>
      </c>
      <c r="G118" s="120">
        <f t="shared" si="157"/>
        <v>1.8084842914247603</v>
      </c>
      <c r="H118" s="120">
        <f t="shared" si="157"/>
        <v>0.81798292015526464</v>
      </c>
      <c r="I118" s="120">
        <f t="shared" si="157"/>
        <v>1.2960497260409336</v>
      </c>
      <c r="J118" s="120">
        <f t="shared" si="157"/>
        <v>1.216724200605221</v>
      </c>
      <c r="K118" s="120">
        <f t="shared" si="157"/>
        <v>1.0833414890526805</v>
      </c>
      <c r="L118" s="120">
        <f>L116/L115-1</f>
        <v>1.0221534483755264</v>
      </c>
      <c r="M118" s="120">
        <f>M116/M115-1</f>
        <v>0.91654917596920593</v>
      </c>
      <c r="N118" s="120">
        <f>N116/N115-1</f>
        <v>0.96721191516590932</v>
      </c>
      <c r="O118" s="120">
        <f>O116/O115-1</f>
        <v>0.89401801002945258</v>
      </c>
      <c r="P118" s="120">
        <f t="shared" ref="P118:Q118" si="158">P116/P115-1</f>
        <v>-0.14165020955947127</v>
      </c>
      <c r="Q118" s="120">
        <f t="shared" si="158"/>
        <v>1.3130440148062972</v>
      </c>
      <c r="R118" s="114"/>
      <c r="S118" s="114"/>
      <c r="T118" s="114"/>
      <c r="U118" s="114"/>
      <c r="V118" s="114"/>
      <c r="W118" s="114"/>
      <c r="X118" s="114"/>
      <c r="Y118" s="114"/>
      <c r="Z118" s="114"/>
      <c r="AA118" s="114"/>
      <c r="AB118" s="114"/>
      <c r="AC118" s="114"/>
      <c r="AD118" s="114"/>
      <c r="AE118" s="114"/>
      <c r="AF118" s="114"/>
      <c r="AG118" s="114"/>
      <c r="AH118" s="114"/>
      <c r="AI118" s="114"/>
      <c r="AJ118" s="114"/>
      <c r="AK118" s="114"/>
      <c r="AL118" s="114"/>
      <c r="AM118" s="114"/>
      <c r="AN118" s="114"/>
      <c r="AO118" s="114"/>
      <c r="AP118" s="114"/>
      <c r="AQ118" s="114"/>
      <c r="AR118" s="2"/>
      <c r="AS118" s="2"/>
      <c r="AT118" s="2"/>
      <c r="AU118" s="2"/>
      <c r="AV118" s="2"/>
      <c r="AW118" s="2"/>
      <c r="AX118" s="2"/>
      <c r="AY118" s="2"/>
      <c r="AZ118" s="2"/>
      <c r="BA118" s="2"/>
      <c r="BB118" s="2"/>
      <c r="BC118" s="2"/>
      <c r="BD118" s="2"/>
      <c r="BR118" s="117"/>
    </row>
    <row r="119" spans="1:72" ht="16.5" thickBot="1">
      <c r="A119" s="109" t="s">
        <v>248</v>
      </c>
      <c r="G119" s="26">
        <f t="shared" ref="G119:N119" si="159">G117/F117-1</f>
        <v>3.6327207374401533</v>
      </c>
      <c r="H119" s="26">
        <f t="shared" si="159"/>
        <v>0.65234132180078408</v>
      </c>
      <c r="I119" s="26">
        <f t="shared" si="159"/>
        <v>0.33560498273143136</v>
      </c>
      <c r="J119" s="26">
        <f t="shared" si="159"/>
        <v>0.37114508962187487</v>
      </c>
      <c r="K119" s="26">
        <f t="shared" si="159"/>
        <v>0.48652160781599973</v>
      </c>
      <c r="L119" s="26">
        <f t="shared" si="159"/>
        <v>0.22426925783328211</v>
      </c>
      <c r="M119" s="26">
        <f t="shared" si="159"/>
        <v>0.16168073301478514</v>
      </c>
      <c r="N119" s="26">
        <f t="shared" si="159"/>
        <v>0.21160668796738036</v>
      </c>
      <c r="O119" s="26">
        <f>O117/N117-1</f>
        <v>0.24852391546565711</v>
      </c>
      <c r="P119" s="26">
        <f>P117/O117-1</f>
        <v>0.16769401313111754</v>
      </c>
      <c r="BR119" s="117"/>
    </row>
    <row r="120" spans="1:72" ht="15.75" thickBot="1">
      <c r="A120" s="110"/>
      <c r="B120" s="111">
        <f t="shared" ref="B120:K120" si="160">B2</f>
        <v>2010</v>
      </c>
      <c r="C120" s="111">
        <f t="shared" si="160"/>
        <v>2011</v>
      </c>
      <c r="D120" s="111">
        <f t="shared" si="160"/>
        <v>2012</v>
      </c>
      <c r="E120" s="111">
        <f t="shared" si="160"/>
        <v>2013</v>
      </c>
      <c r="F120" s="111">
        <f t="shared" si="160"/>
        <v>2014</v>
      </c>
      <c r="G120" s="111">
        <f t="shared" si="160"/>
        <v>2015</v>
      </c>
      <c r="H120" s="111">
        <f t="shared" si="160"/>
        <v>2016</v>
      </c>
      <c r="I120" s="111">
        <f t="shared" si="160"/>
        <v>2017</v>
      </c>
      <c r="J120" s="111">
        <f t="shared" si="160"/>
        <v>2018</v>
      </c>
      <c r="K120" s="111">
        <f t="shared" si="160"/>
        <v>2019</v>
      </c>
      <c r="L120" s="111">
        <f>L2</f>
        <v>2020</v>
      </c>
      <c r="M120" s="111">
        <f>M2</f>
        <v>2021</v>
      </c>
      <c r="N120" s="111">
        <f t="shared" ref="N120:AD120" si="161">N2</f>
        <v>2022</v>
      </c>
      <c r="O120" s="111">
        <f t="shared" si="161"/>
        <v>2023</v>
      </c>
      <c r="P120" s="111">
        <f t="shared" si="161"/>
        <v>2024</v>
      </c>
      <c r="Q120" s="111">
        <f t="shared" si="161"/>
        <v>2025</v>
      </c>
      <c r="R120" s="111">
        <f t="shared" si="161"/>
        <v>2026</v>
      </c>
      <c r="S120" s="111">
        <f t="shared" si="161"/>
        <v>2027</v>
      </c>
      <c r="T120" s="111">
        <f t="shared" si="161"/>
        <v>2028</v>
      </c>
      <c r="U120" s="111">
        <f t="shared" si="161"/>
        <v>2029</v>
      </c>
      <c r="V120" s="111">
        <f t="shared" si="161"/>
        <v>2030</v>
      </c>
      <c r="W120" s="111">
        <f t="shared" si="161"/>
        <v>2031</v>
      </c>
      <c r="X120" s="111">
        <f t="shared" si="161"/>
        <v>2032</v>
      </c>
      <c r="Y120" s="111">
        <f t="shared" si="161"/>
        <v>2033</v>
      </c>
      <c r="Z120" s="111">
        <f t="shared" si="161"/>
        <v>2034</v>
      </c>
      <c r="AA120" s="111">
        <f t="shared" si="161"/>
        <v>2035</v>
      </c>
      <c r="AB120" s="111">
        <f t="shared" si="161"/>
        <v>2036</v>
      </c>
      <c r="AC120" s="111">
        <f t="shared" si="161"/>
        <v>2037</v>
      </c>
      <c r="AD120" s="111">
        <f t="shared" si="161"/>
        <v>2038</v>
      </c>
      <c r="AE120" s="111">
        <f>AE2</f>
        <v>2039</v>
      </c>
      <c r="AF120" s="111">
        <f>AF2</f>
        <v>2040</v>
      </c>
      <c r="AG120" s="111">
        <f>AG2</f>
        <v>2041</v>
      </c>
      <c r="AH120" s="111">
        <f t="shared" ref="AH120:AO120" si="162">AH2</f>
        <v>2042</v>
      </c>
      <c r="AI120" s="111">
        <f t="shared" si="162"/>
        <v>2043</v>
      </c>
      <c r="AJ120" s="111">
        <f t="shared" si="162"/>
        <v>2044</v>
      </c>
      <c r="AK120" s="111">
        <f t="shared" si="162"/>
        <v>2045</v>
      </c>
      <c r="AL120" s="111">
        <f t="shared" si="162"/>
        <v>2046</v>
      </c>
      <c r="AM120" s="111">
        <f t="shared" si="162"/>
        <v>2047</v>
      </c>
      <c r="AN120" s="111">
        <f t="shared" si="162"/>
        <v>2048</v>
      </c>
      <c r="AO120" s="111">
        <f t="shared" si="162"/>
        <v>2049</v>
      </c>
      <c r="AP120" s="111">
        <f>AP2</f>
        <v>2050</v>
      </c>
      <c r="AQ120" s="111">
        <f>AQ2</f>
        <v>2051</v>
      </c>
      <c r="AR120" s="94"/>
      <c r="AS120" s="94"/>
      <c r="AT120" s="94"/>
      <c r="AU120" s="94"/>
      <c r="AV120" s="94"/>
      <c r="AW120" s="94"/>
      <c r="AX120" s="94"/>
      <c r="AY120" s="94"/>
      <c r="AZ120" s="94"/>
      <c r="BA120" s="94"/>
      <c r="BB120" s="94"/>
      <c r="BC120" s="94"/>
      <c r="BD120" s="94"/>
      <c r="BR120" s="117"/>
    </row>
    <row r="121" spans="1:72">
      <c r="A121" s="2" t="s">
        <v>43</v>
      </c>
      <c r="B121" s="3">
        <f>'Monthly D3 Gallon Data'!$I4</f>
        <v>0</v>
      </c>
      <c r="C121" s="3">
        <f>'Monthly D3 Gallon Data'!$I16</f>
        <v>0</v>
      </c>
      <c r="D121" s="3">
        <f>'Monthly D3 Gallon Data'!$I28</f>
        <v>0</v>
      </c>
      <c r="E121" s="3">
        <f>'Monthly D3 Gallon Data'!$I40</f>
        <v>0</v>
      </c>
      <c r="F121" s="3">
        <f>'Monthly D3 Gallon Data'!$I52</f>
        <v>0</v>
      </c>
      <c r="G121" s="3">
        <f>'Monthly D3 Gallon Data'!$I64</f>
        <v>0</v>
      </c>
      <c r="H121" s="3">
        <f>'Monthly D3 Gallon Data'!$I76</f>
        <v>0</v>
      </c>
      <c r="I121" s="3">
        <f>'Monthly D3 Gallon Data'!$I88</f>
        <v>0</v>
      </c>
      <c r="J121" s="3">
        <f>'Monthly D3 Gallon Data'!$I100</f>
        <v>0</v>
      </c>
      <c r="K121" s="3">
        <f>'Monthly D3 Gallon Data'!$I112</f>
        <v>0</v>
      </c>
      <c r="L121" s="3">
        <f>'Monthly D3 Gallon Data'!$I124</f>
        <v>0</v>
      </c>
      <c r="M121" s="3">
        <f>'Monthly D3 Gallon Data'!$I136</f>
        <v>0</v>
      </c>
      <c r="N121" s="3">
        <f>'Monthly D3 Gallon Data'!$I148</f>
        <v>0</v>
      </c>
      <c r="O121" s="3">
        <f>'Monthly D3 Gallon Data'!$I160</f>
        <v>0</v>
      </c>
      <c r="P121" s="3">
        <f>'Monthly D3 Gallon Data'!$I172</f>
        <v>0</v>
      </c>
      <c r="Q121" s="3">
        <f>'Monthly D3 Gallon Data'!$I184</f>
        <v>0</v>
      </c>
      <c r="R121" s="4">
        <f t="shared" ref="R121:W124" si="163">(SUM(M121:Q121)/SUM(M$133:Q$133))*R$133*0.75</f>
        <v>0</v>
      </c>
      <c r="S121" s="4">
        <f t="shared" si="163"/>
        <v>0</v>
      </c>
      <c r="T121" s="4">
        <f t="shared" si="163"/>
        <v>0</v>
      </c>
      <c r="U121" s="4">
        <f t="shared" si="163"/>
        <v>0</v>
      </c>
      <c r="V121" s="4">
        <f t="shared" si="163"/>
        <v>0</v>
      </c>
      <c r="W121" s="4">
        <f t="shared" si="163"/>
        <v>0</v>
      </c>
      <c r="X121" s="4">
        <f t="shared" ref="X121:AE124" si="164">(SUM(S121:W121)/SUM(S$133:W$133))*X$133*0.75</f>
        <v>0</v>
      </c>
      <c r="Y121" s="4">
        <f t="shared" si="164"/>
        <v>0</v>
      </c>
      <c r="Z121" s="4">
        <f t="shared" si="164"/>
        <v>0</v>
      </c>
      <c r="AA121" s="4">
        <f t="shared" si="164"/>
        <v>0</v>
      </c>
      <c r="AB121" s="4">
        <f t="shared" si="164"/>
        <v>0</v>
      </c>
      <c r="AC121" s="4">
        <f t="shared" si="164"/>
        <v>0</v>
      </c>
      <c r="AD121" s="4">
        <f t="shared" si="164"/>
        <v>0</v>
      </c>
      <c r="AE121" s="4">
        <f t="shared" si="164"/>
        <v>0</v>
      </c>
      <c r="AF121" s="4">
        <f t="shared" ref="AF121:AQ124" si="165">(SUM(AA121:AE121)/SUM(AA$133:AE$133))*AF$133*0.75</f>
        <v>0</v>
      </c>
      <c r="AG121" s="4">
        <f t="shared" si="165"/>
        <v>0</v>
      </c>
      <c r="AH121" s="4">
        <f t="shared" si="165"/>
        <v>0</v>
      </c>
      <c r="AI121" s="4">
        <f t="shared" si="165"/>
        <v>0</v>
      </c>
      <c r="AJ121" s="4">
        <f t="shared" si="165"/>
        <v>0</v>
      </c>
      <c r="AK121" s="4">
        <f t="shared" si="165"/>
        <v>0</v>
      </c>
      <c r="AL121" s="4">
        <f t="shared" si="165"/>
        <v>0</v>
      </c>
      <c r="AM121" s="4">
        <f t="shared" si="165"/>
        <v>0</v>
      </c>
      <c r="AN121" s="4">
        <f t="shared" si="165"/>
        <v>0</v>
      </c>
      <c r="AO121" s="4">
        <f t="shared" si="165"/>
        <v>0</v>
      </c>
      <c r="AP121" s="4">
        <f t="shared" si="165"/>
        <v>0</v>
      </c>
      <c r="AQ121" s="4">
        <f t="shared" si="165"/>
        <v>0</v>
      </c>
      <c r="AR121" s="4"/>
      <c r="AS121" s="4"/>
      <c r="AT121" s="4"/>
      <c r="AU121" s="4"/>
      <c r="AV121" s="4"/>
      <c r="AW121" s="4"/>
      <c r="AX121" s="4"/>
      <c r="AY121" s="4"/>
      <c r="AZ121" s="4"/>
      <c r="BA121" s="4"/>
      <c r="BB121" s="4"/>
      <c r="BC121" s="4"/>
      <c r="BD121" s="4"/>
      <c r="BI121" s="3">
        <v>0</v>
      </c>
      <c r="BJ121" s="3">
        <f t="shared" ref="BJ121:BJ133" si="166">L121-BI121</f>
        <v>0</v>
      </c>
      <c r="BK121" s="3">
        <v>0</v>
      </c>
      <c r="BL121" s="3">
        <f t="shared" ref="BL121:BL133" si="167">M121-BK121</f>
        <v>0</v>
      </c>
      <c r="BM121" s="3">
        <v>0</v>
      </c>
      <c r="BN121" s="3">
        <f t="shared" ref="BN121:BN133" si="168">N121-BM121</f>
        <v>0</v>
      </c>
      <c r="BO121" s="3">
        <v>0</v>
      </c>
      <c r="BP121" s="3">
        <f t="shared" ref="BP121:BP133" si="169">O121-BO121</f>
        <v>0</v>
      </c>
      <c r="BQ121" s="3">
        <v>0</v>
      </c>
      <c r="BR121" s="18">
        <f t="shared" ref="BR121:BR133" si="170">P121-BQ121</f>
        <v>0</v>
      </c>
      <c r="BS121" s="3">
        <v>0</v>
      </c>
      <c r="BT121" s="18">
        <f>Q121-BS121</f>
        <v>0</v>
      </c>
    </row>
    <row r="122" spans="1:72">
      <c r="A122" s="2" t="s">
        <v>44</v>
      </c>
      <c r="B122" s="3">
        <f>'Monthly D3 Gallon Data'!$I5</f>
        <v>0</v>
      </c>
      <c r="C122" s="3">
        <f>'Monthly D3 Gallon Data'!$I17</f>
        <v>0</v>
      </c>
      <c r="D122" s="3">
        <f>'Monthly D3 Gallon Data'!$I29</f>
        <v>0</v>
      </c>
      <c r="E122" s="3">
        <f>'Monthly D3 Gallon Data'!$I41</f>
        <v>0</v>
      </c>
      <c r="F122" s="3">
        <f>'Monthly D3 Gallon Data'!$I53</f>
        <v>0</v>
      </c>
      <c r="G122" s="3">
        <f>'Monthly D3 Gallon Data'!$I65</f>
        <v>0</v>
      </c>
      <c r="H122" s="3">
        <f>'Monthly D3 Gallon Data'!$I77</f>
        <v>0</v>
      </c>
      <c r="I122" s="3">
        <f>'Monthly D3 Gallon Data'!$I89</f>
        <v>0</v>
      </c>
      <c r="J122" s="3">
        <f>'Monthly D3 Gallon Data'!$I101</f>
        <v>860031</v>
      </c>
      <c r="K122" s="3">
        <f>'Monthly D3 Gallon Data'!$I113</f>
        <v>1049497</v>
      </c>
      <c r="L122" s="3">
        <f>'Monthly D3 Gallon Data'!$I125</f>
        <v>819385</v>
      </c>
      <c r="M122" s="3">
        <f>'Monthly D3 Gallon Data'!$I137</f>
        <v>2921276</v>
      </c>
      <c r="N122" s="3">
        <f>'Monthly D3 Gallon Data'!$I149</f>
        <v>2668975</v>
      </c>
      <c r="O122" s="3">
        <f>'Monthly D3 Gallon Data'!$I161</f>
        <v>277538</v>
      </c>
      <c r="P122" s="3">
        <f>'Monthly D3 Gallon Data'!$I173</f>
        <v>658357</v>
      </c>
      <c r="Q122" s="3">
        <f>'Monthly D3 Gallon Data'!$I185</f>
        <v>0</v>
      </c>
      <c r="R122" s="4">
        <f t="shared" si="163"/>
        <v>1014441.6896321853</v>
      </c>
      <c r="S122" s="4">
        <f t="shared" si="163"/>
        <v>682937.33465639106</v>
      </c>
      <c r="T122" s="4">
        <f t="shared" si="163"/>
        <v>386504.8990125925</v>
      </c>
      <c r="U122" s="4">
        <f t="shared" si="163"/>
        <v>454838.05037960468</v>
      </c>
      <c r="V122" s="4">
        <f t="shared" si="163"/>
        <v>503192.9011578412</v>
      </c>
      <c r="W122" s="4">
        <f t="shared" si="163"/>
        <v>584983.62977665535</v>
      </c>
      <c r="X122" s="4">
        <f t="shared" si="164"/>
        <v>516707.72844381264</v>
      </c>
      <c r="Y122" s="4">
        <f t="shared" si="164"/>
        <v>509006.31239156297</v>
      </c>
      <c r="Z122" s="4">
        <f t="shared" si="164"/>
        <v>537374.97881762125</v>
      </c>
      <c r="AA122" s="4">
        <f t="shared" si="164"/>
        <v>561477.80720656435</v>
      </c>
      <c r="AB122" s="4">
        <f t="shared" si="164"/>
        <v>585682.40381042915</v>
      </c>
      <c r="AC122" s="4">
        <f t="shared" si="164"/>
        <v>587713.78204005328</v>
      </c>
      <c r="AD122" s="4">
        <f t="shared" si="164"/>
        <v>598423.4156743926</v>
      </c>
      <c r="AE122" s="4">
        <f t="shared" si="164"/>
        <v>614952.52098748181</v>
      </c>
      <c r="AF122" s="4">
        <f t="shared" si="165"/>
        <v>626733.97368489054</v>
      </c>
      <c r="AG122" s="4">
        <f t="shared" si="165"/>
        <v>633170.10557793058</v>
      </c>
      <c r="AH122" s="4">
        <f t="shared" si="165"/>
        <v>797210.84589727316</v>
      </c>
      <c r="AI122" s="4">
        <f t="shared" si="165"/>
        <v>931702.7221662784</v>
      </c>
      <c r="AJ122" s="4">
        <f t="shared" si="165"/>
        <v>1030011.4912784253</v>
      </c>
      <c r="AK122" s="4">
        <f t="shared" si="165"/>
        <v>1099543.6979950443</v>
      </c>
      <c r="AL122" s="4">
        <f t="shared" si="165"/>
        <v>1150618.540872372</v>
      </c>
      <c r="AM122" s="4">
        <f t="shared" si="165"/>
        <v>1192913.1385592611</v>
      </c>
      <c r="AN122" s="4">
        <f t="shared" si="165"/>
        <v>1216317.8924804272</v>
      </c>
      <c r="AO122" s="4">
        <f t="shared" si="165"/>
        <v>1226088.8755496838</v>
      </c>
      <c r="AP122" s="4">
        <f t="shared" si="165"/>
        <v>1225895.5099241647</v>
      </c>
      <c r="AQ122" s="4">
        <f t="shared" si="165"/>
        <v>1218007.0418292028</v>
      </c>
      <c r="AR122" s="4"/>
      <c r="AS122" s="4"/>
      <c r="AT122" s="4"/>
      <c r="AU122" s="4"/>
      <c r="AV122" s="4"/>
      <c r="AW122" s="4"/>
      <c r="AX122" s="4"/>
      <c r="AY122" s="4"/>
      <c r="AZ122" s="4"/>
      <c r="BA122" s="4"/>
      <c r="BB122" s="4"/>
      <c r="BC122" s="4"/>
      <c r="BD122" s="4"/>
      <c r="BF122" s="83">
        <f>O122/N122-1</f>
        <v>-0.89601326351876653</v>
      </c>
      <c r="BI122" s="3">
        <v>747886.08702551085</v>
      </c>
      <c r="BJ122" s="3">
        <f t="shared" si="166"/>
        <v>71498.912974489154</v>
      </c>
      <c r="BK122" s="3">
        <v>903727.5575991706</v>
      </c>
      <c r="BL122" s="3">
        <f t="shared" si="167"/>
        <v>2017548.4424008294</v>
      </c>
      <c r="BM122" s="3">
        <v>1714184.3060089583</v>
      </c>
      <c r="BN122" s="3">
        <f t="shared" si="168"/>
        <v>954790.69399104174</v>
      </c>
      <c r="BO122" s="3">
        <v>1762689.50569914</v>
      </c>
      <c r="BP122" s="3">
        <f t="shared" si="169"/>
        <v>-1485151.50569914</v>
      </c>
      <c r="BQ122" s="3">
        <v>658357</v>
      </c>
      <c r="BR122" s="18">
        <f t="shared" si="170"/>
        <v>0</v>
      </c>
      <c r="BS122" s="3">
        <v>2388864.7655062219</v>
      </c>
      <c r="BT122" s="18">
        <f t="shared" ref="BT122:BT133" si="171">Q122-BS122</f>
        <v>-2388864.7655062219</v>
      </c>
    </row>
    <row r="123" spans="1:72">
      <c r="A123" s="2" t="s">
        <v>45</v>
      </c>
      <c r="B123" s="3">
        <f>'Monthly D3 Gallon Data'!$I6</f>
        <v>0</v>
      </c>
      <c r="C123" s="3">
        <f>'Monthly D3 Gallon Data'!$I18</f>
        <v>0</v>
      </c>
      <c r="D123" s="3">
        <f>'Monthly D3 Gallon Data'!$I30</f>
        <v>0</v>
      </c>
      <c r="E123" s="3">
        <f>'Monthly D3 Gallon Data'!$I42</f>
        <v>0</v>
      </c>
      <c r="F123" s="3">
        <f>'Monthly D3 Gallon Data'!$I54</f>
        <v>0</v>
      </c>
      <c r="G123" s="3">
        <f>'Monthly D3 Gallon Data'!$I66</f>
        <v>0</v>
      </c>
      <c r="H123" s="3">
        <f>'Monthly D3 Gallon Data'!$I78</f>
        <v>0</v>
      </c>
      <c r="I123" s="3">
        <f>'Monthly D3 Gallon Data'!$I90</f>
        <v>0</v>
      </c>
      <c r="J123" s="3">
        <f>'Monthly D3 Gallon Data'!$I102</f>
        <v>741867</v>
      </c>
      <c r="K123" s="3">
        <f>'Monthly D3 Gallon Data'!$I114</f>
        <v>785481</v>
      </c>
      <c r="L123" s="3">
        <f>'Monthly D3 Gallon Data'!$I126</f>
        <v>782326</v>
      </c>
      <c r="M123" s="3">
        <f>'Monthly D3 Gallon Data'!$I138</f>
        <v>2817231</v>
      </c>
      <c r="N123" s="3">
        <f>'Monthly D3 Gallon Data'!$I150</f>
        <v>2618524</v>
      </c>
      <c r="O123" s="3">
        <f>'Monthly D3 Gallon Data'!$I162</f>
        <v>84835</v>
      </c>
      <c r="P123" s="3">
        <f>'Monthly D3 Gallon Data'!$I174</f>
        <v>608704</v>
      </c>
      <c r="Q123" s="4">
        <f t="shared" ref="Q123:Q131" si="172">(SUM(L123:P123)/SUM(L$133:P$133))*Q$133</f>
        <v>1058588.1803984686</v>
      </c>
      <c r="R123" s="4">
        <f t="shared" si="163"/>
        <v>1117303.7415896761</v>
      </c>
      <c r="S123" s="4">
        <f t="shared" si="163"/>
        <v>811360.99032872077</v>
      </c>
      <c r="T123" s="4">
        <f t="shared" si="163"/>
        <v>540256.76524141803</v>
      </c>
      <c r="U123" s="4">
        <f t="shared" si="163"/>
        <v>686047.43991250254</v>
      </c>
      <c r="V123" s="4">
        <f t="shared" si="163"/>
        <v>835157.23742697621</v>
      </c>
      <c r="W123" s="4">
        <f t="shared" si="163"/>
        <v>767331.95663447795</v>
      </c>
      <c r="X123" s="4">
        <f t="shared" si="164"/>
        <v>719972.05657858192</v>
      </c>
      <c r="Y123" s="4">
        <f t="shared" si="164"/>
        <v>738420.377191426</v>
      </c>
      <c r="Z123" s="4">
        <f t="shared" si="164"/>
        <v>783853.11357848649</v>
      </c>
      <c r="AA123" s="4">
        <f t="shared" si="164"/>
        <v>814227.46635824593</v>
      </c>
      <c r="AB123" s="4">
        <f t="shared" si="164"/>
        <v>826533.89282589429</v>
      </c>
      <c r="AC123" s="4">
        <f t="shared" si="164"/>
        <v>842024.65548225387</v>
      </c>
      <c r="AD123" s="4">
        <f t="shared" si="164"/>
        <v>861740.88469362049</v>
      </c>
      <c r="AE123" s="4">
        <f t="shared" si="164"/>
        <v>884377.37011098617</v>
      </c>
      <c r="AF123" s="4">
        <f t="shared" si="165"/>
        <v>898973.30291507603</v>
      </c>
      <c r="AG123" s="4">
        <f t="shared" si="165"/>
        <v>906344.37292378349</v>
      </c>
      <c r="AH123" s="4">
        <f t="shared" si="165"/>
        <v>1144240.9431245606</v>
      </c>
      <c r="AI123" s="4">
        <f t="shared" si="165"/>
        <v>1337712.0164970099</v>
      </c>
      <c r="AJ123" s="4">
        <f t="shared" si="165"/>
        <v>1478134.4607994405</v>
      </c>
      <c r="AK123" s="4">
        <f t="shared" si="165"/>
        <v>1577403.4230730818</v>
      </c>
      <c r="AL123" s="4">
        <f t="shared" si="165"/>
        <v>1650710.6872623772</v>
      </c>
      <c r="AM123" s="4">
        <f t="shared" si="165"/>
        <v>1711868.7573515577</v>
      </c>
      <c r="AN123" s="4">
        <f t="shared" si="165"/>
        <v>1745406.3372349017</v>
      </c>
      <c r="AO123" s="4">
        <f t="shared" si="165"/>
        <v>1759271.1315096985</v>
      </c>
      <c r="AP123" s="4">
        <f t="shared" si="165"/>
        <v>1758950.4026033771</v>
      </c>
      <c r="AQ123" s="4">
        <f t="shared" si="165"/>
        <v>1747683.2077525971</v>
      </c>
      <c r="AR123" s="4"/>
      <c r="AS123" s="4"/>
      <c r="AT123" s="4"/>
      <c r="AU123" s="4"/>
      <c r="AV123" s="4"/>
      <c r="AW123" s="4"/>
      <c r="AX123" s="4"/>
      <c r="AY123" s="4"/>
      <c r="AZ123" s="4"/>
      <c r="BA123" s="4"/>
      <c r="BB123" s="4"/>
      <c r="BC123" s="4"/>
      <c r="BD123" s="4"/>
      <c r="BF123" s="83">
        <f t="shared" ref="BF123:BF132" si="173">O123/N123-1</f>
        <v>-0.96760197729713382</v>
      </c>
      <c r="BI123" s="3">
        <v>472264.26163108042</v>
      </c>
      <c r="BJ123" s="3">
        <f t="shared" si="166"/>
        <v>310061.73836891958</v>
      </c>
      <c r="BK123" s="3">
        <v>764889.0887955412</v>
      </c>
      <c r="BL123" s="3">
        <f t="shared" si="167"/>
        <v>2052341.9112044587</v>
      </c>
      <c r="BM123" s="3">
        <v>1555427.6307215316</v>
      </c>
      <c r="BN123" s="3">
        <f t="shared" si="168"/>
        <v>1063096.3692784684</v>
      </c>
      <c r="BO123" s="3">
        <v>2115040.885720253</v>
      </c>
      <c r="BP123" s="3">
        <f t="shared" si="169"/>
        <v>-2030205.885720253</v>
      </c>
      <c r="BQ123" s="3">
        <v>608704</v>
      </c>
      <c r="BR123" s="18">
        <f t="shared" si="170"/>
        <v>0</v>
      </c>
      <c r="BS123" s="4">
        <v>2247751.1143262633</v>
      </c>
      <c r="BT123" s="18">
        <f t="shared" si="171"/>
        <v>-1189162.9339277947</v>
      </c>
    </row>
    <row r="124" spans="1:72">
      <c r="A124" s="2" t="s">
        <v>46</v>
      </c>
      <c r="B124" s="3">
        <f>'Monthly D3 Gallon Data'!$I7</f>
        <v>0</v>
      </c>
      <c r="C124" s="3">
        <f>'Monthly D3 Gallon Data'!$I19</f>
        <v>0</v>
      </c>
      <c r="D124" s="3">
        <f>'Monthly D3 Gallon Data'!$I31</f>
        <v>0</v>
      </c>
      <c r="E124" s="3">
        <f>'Monthly D3 Gallon Data'!$I43</f>
        <v>0</v>
      </c>
      <c r="F124" s="3">
        <f>'Monthly D3 Gallon Data'!$I55</f>
        <v>0</v>
      </c>
      <c r="G124" s="3">
        <f>'Monthly D3 Gallon Data'!$I67</f>
        <v>0</v>
      </c>
      <c r="H124" s="3">
        <f>'Monthly D3 Gallon Data'!$I79</f>
        <v>0</v>
      </c>
      <c r="I124" s="3">
        <f>'Monthly D3 Gallon Data'!$I91</f>
        <v>0</v>
      </c>
      <c r="J124" s="3">
        <f>'Monthly D3 Gallon Data'!$I103</f>
        <v>961472</v>
      </c>
      <c r="K124" s="3">
        <f>'Monthly D3 Gallon Data'!$I115</f>
        <v>925962</v>
      </c>
      <c r="L124" s="3">
        <f>'Monthly D3 Gallon Data'!$I127</f>
        <v>847999</v>
      </c>
      <c r="M124" s="3">
        <f>'Monthly D3 Gallon Data'!$I139</f>
        <v>3158143</v>
      </c>
      <c r="N124" s="3">
        <f>'Monthly D3 Gallon Data'!$I151</f>
        <v>2802900</v>
      </c>
      <c r="O124" s="3">
        <f>'Monthly D3 Gallon Data'!$I163</f>
        <v>201463</v>
      </c>
      <c r="P124" s="3">
        <f>'Monthly D3 Gallon Data'!$I175</f>
        <v>643933</v>
      </c>
      <c r="Q124" s="4">
        <f t="shared" si="172"/>
        <v>1172358.6647403785</v>
      </c>
      <c r="R124" s="4">
        <f t="shared" si="163"/>
        <v>1240245.7720456396</v>
      </c>
      <c r="S124" s="4">
        <f t="shared" si="163"/>
        <v>896067.52434711461</v>
      </c>
      <c r="T124" s="4">
        <f t="shared" si="163"/>
        <v>609722.95439058193</v>
      </c>
      <c r="U124" s="4">
        <f t="shared" si="163"/>
        <v>756724.29678103444</v>
      </c>
      <c r="V124" s="4">
        <f t="shared" si="163"/>
        <v>926642.15463012201</v>
      </c>
      <c r="W124" s="4">
        <f t="shared" si="163"/>
        <v>851808.21196047741</v>
      </c>
      <c r="X124" s="4">
        <f t="shared" si="164"/>
        <v>799246.86499112926</v>
      </c>
      <c r="Y124" s="4">
        <f t="shared" si="164"/>
        <v>820690.09432482044</v>
      </c>
      <c r="Z124" s="4">
        <f t="shared" si="164"/>
        <v>869244.41958301212</v>
      </c>
      <c r="AA124" s="4">
        <f t="shared" si="164"/>
        <v>903787.44365747622</v>
      </c>
      <c r="AB124" s="4">
        <f t="shared" si="164"/>
        <v>917529.03553659632</v>
      </c>
      <c r="AC124" s="4">
        <f t="shared" si="164"/>
        <v>934725.47468601214</v>
      </c>
      <c r="AD124" s="4">
        <f t="shared" si="164"/>
        <v>956609.93038384384</v>
      </c>
      <c r="AE124" s="4">
        <f t="shared" si="164"/>
        <v>981529.16897618165</v>
      </c>
      <c r="AF124" s="4">
        <f t="shared" si="165"/>
        <v>997881.05310799833</v>
      </c>
      <c r="AG124" s="4">
        <f t="shared" si="165"/>
        <v>1006068.1070258279</v>
      </c>
      <c r="AH124" s="4">
        <f t="shared" si="165"/>
        <v>1270126.3246250269</v>
      </c>
      <c r="AI124" s="4">
        <f t="shared" si="165"/>
        <v>1484864.1141999583</v>
      </c>
      <c r="AJ124" s="4">
        <f t="shared" si="165"/>
        <v>1640711.9544652943</v>
      </c>
      <c r="AK124" s="4">
        <f t="shared" si="165"/>
        <v>1750931.9984115008</v>
      </c>
      <c r="AL124" s="4">
        <f t="shared" si="165"/>
        <v>1832300.4951112792</v>
      </c>
      <c r="AM124" s="4">
        <f t="shared" si="165"/>
        <v>1900181.747998408</v>
      </c>
      <c r="AN124" s="4">
        <f t="shared" si="165"/>
        <v>1937405.4760903604</v>
      </c>
      <c r="AO124" s="4">
        <f t="shared" si="165"/>
        <v>1952795.3529288792</v>
      </c>
      <c r="AP124" s="4">
        <f t="shared" si="165"/>
        <v>1952443.7153553099</v>
      </c>
      <c r="AQ124" s="4">
        <f t="shared" si="165"/>
        <v>1939935.7893501108</v>
      </c>
      <c r="AR124" s="4"/>
      <c r="AS124" s="4"/>
      <c r="AT124" s="4"/>
      <c r="AU124" s="4"/>
      <c r="AV124" s="4"/>
      <c r="AW124" s="4"/>
      <c r="AX124" s="4"/>
      <c r="AY124" s="4"/>
      <c r="AZ124" s="4"/>
      <c r="BA124" s="4"/>
      <c r="BB124" s="4"/>
      <c r="BC124" s="4"/>
      <c r="BD124" s="4"/>
      <c r="BF124" s="83">
        <f t="shared" si="173"/>
        <v>-0.92812337222162755</v>
      </c>
      <c r="BI124" s="3">
        <v>739232.38423661108</v>
      </c>
      <c r="BJ124" s="3">
        <f t="shared" si="166"/>
        <v>108766.61576338892</v>
      </c>
      <c r="BK124" s="3">
        <v>1788137.0318610941</v>
      </c>
      <c r="BL124" s="3">
        <f t="shared" si="167"/>
        <v>1370005.9681389059</v>
      </c>
      <c r="BM124" s="3">
        <v>2384032.4599102917</v>
      </c>
      <c r="BN124" s="3">
        <f t="shared" si="168"/>
        <v>418867.54008970829</v>
      </c>
      <c r="BO124" s="3">
        <v>2374376.2301938701</v>
      </c>
      <c r="BP124" s="3">
        <f t="shared" si="169"/>
        <v>-2172913.2301938701</v>
      </c>
      <c r="BQ124" s="3">
        <v>643933</v>
      </c>
      <c r="BR124" s="18">
        <f t="shared" si="170"/>
        <v>0</v>
      </c>
      <c r="BS124" s="4">
        <v>2489325.4467174551</v>
      </c>
      <c r="BT124" s="18">
        <f t="shared" si="171"/>
        <v>-1316966.7819770765</v>
      </c>
    </row>
    <row r="125" spans="1:72">
      <c r="A125" s="2" t="s">
        <v>47</v>
      </c>
      <c r="B125" s="3">
        <f>'Monthly D3 Gallon Data'!$I8</f>
        <v>0</v>
      </c>
      <c r="C125" s="3">
        <f>'Monthly D3 Gallon Data'!$I20</f>
        <v>0</v>
      </c>
      <c r="D125" s="3">
        <f>'Monthly D3 Gallon Data'!$I32</f>
        <v>0</v>
      </c>
      <c r="E125" s="3">
        <f>'Monthly D3 Gallon Data'!$I44</f>
        <v>0</v>
      </c>
      <c r="F125" s="3">
        <f>'Monthly D3 Gallon Data'!$I56</f>
        <v>0</v>
      </c>
      <c r="G125" s="3">
        <f>'Monthly D3 Gallon Data'!$I68</f>
        <v>0</v>
      </c>
      <c r="H125" s="3">
        <f>'Monthly D3 Gallon Data'!$I80</f>
        <v>0</v>
      </c>
      <c r="I125" s="3">
        <f>'Monthly D3 Gallon Data'!$I92</f>
        <v>0</v>
      </c>
      <c r="J125" s="3">
        <f>'Monthly D3 Gallon Data'!$I104</f>
        <v>392582</v>
      </c>
      <c r="K125" s="3">
        <f>'Monthly D3 Gallon Data'!$I116</f>
        <v>809299</v>
      </c>
      <c r="L125" s="3">
        <f>'Monthly D3 Gallon Data'!$I128</f>
        <v>978254</v>
      </c>
      <c r="M125" s="3">
        <f>'Monthly D3 Gallon Data'!$I140</f>
        <v>3056702</v>
      </c>
      <c r="N125" s="3">
        <f>'Monthly D3 Gallon Data'!$I152</f>
        <v>2847030</v>
      </c>
      <c r="O125" s="3">
        <f>'Monthly D3 Gallon Data'!$I164</f>
        <v>350915</v>
      </c>
      <c r="P125" s="3">
        <f>'Monthly D3 Gallon Data'!$I176</f>
        <v>343269</v>
      </c>
      <c r="Q125" s="4">
        <f t="shared" si="172"/>
        <v>1160371.0873412408</v>
      </c>
      <c r="R125" s="4">
        <f t="shared" ref="R125:AD125" si="174">(SUM(M125:Q125)/SUM(M$133:Q$133))*R$133*0.95</f>
        <v>1527560.751977724</v>
      </c>
      <c r="S125" s="4">
        <f t="shared" si="174"/>
        <v>1166526.0152435449</v>
      </c>
      <c r="T125" s="4">
        <f t="shared" si="174"/>
        <v>845674.10617852537</v>
      </c>
      <c r="U125" s="4">
        <f t="shared" si="174"/>
        <v>1059587.9735854205</v>
      </c>
      <c r="V125" s="4">
        <f t="shared" si="174"/>
        <v>1446049.2079474283</v>
      </c>
      <c r="W125" s="4">
        <f t="shared" si="174"/>
        <v>1472596.962098974</v>
      </c>
      <c r="X125" s="4">
        <f t="shared" si="174"/>
        <v>1500778.1082026516</v>
      </c>
      <c r="Y125" s="4">
        <f t="shared" si="174"/>
        <v>1666969.7211848104</v>
      </c>
      <c r="Z125" s="4">
        <f t="shared" si="174"/>
        <v>1893579.1993787033</v>
      </c>
      <c r="AA125" s="4">
        <f t="shared" si="174"/>
        <v>2140637.5581057398</v>
      </c>
      <c r="AB125" s="4">
        <f t="shared" si="174"/>
        <v>2375061.2185779526</v>
      </c>
      <c r="AC125" s="4">
        <f t="shared" si="174"/>
        <v>2630568.6790551357</v>
      </c>
      <c r="AD125" s="4">
        <f t="shared" si="174"/>
        <v>2918034.4956676518</v>
      </c>
      <c r="AE125" s="4">
        <f>(SUM(Z125:AD125)/SUM(Z$133:AD$133))*AE$133*0.95</f>
        <v>3244699.8511226876</v>
      </c>
      <c r="AF125" s="4">
        <f>(SUM(AA125:AE125)/SUM(AA$133:AE$133))*AF$133*0.95</f>
        <v>3583659.7281334824</v>
      </c>
      <c r="AG125" s="4">
        <f>(SUM(AB125:AF125)/SUM(AB$133:AF$133))*AG$133*0.95</f>
        <v>3926108.3332268386</v>
      </c>
      <c r="AH125" s="4">
        <f t="shared" ref="AH125:AO125" si="175">(SUM(AC125:AG125)/SUM(AC$133:AG$133))*AH$133*0.95</f>
        <v>5378268.9119925993</v>
      </c>
      <c r="AI125" s="4">
        <f t="shared" si="175"/>
        <v>6874471.7274779147</v>
      </c>
      <c r="AJ125" s="4">
        <f t="shared" si="175"/>
        <v>8329352.7536458476</v>
      </c>
      <c r="AK125" s="4">
        <f t="shared" si="175"/>
        <v>9735445.0774339791</v>
      </c>
      <c r="AL125" s="4">
        <f t="shared" si="175"/>
        <v>11111402.709475921</v>
      </c>
      <c r="AM125" s="4">
        <f t="shared" si="175"/>
        <v>12497305.807792664</v>
      </c>
      <c r="AN125" s="4">
        <f t="shared" si="175"/>
        <v>13838907.069451604</v>
      </c>
      <c r="AO125" s="4">
        <f t="shared" si="175"/>
        <v>15153312.196566138</v>
      </c>
      <c r="AP125" s="4">
        <f>(SUM(AK125:AO125)/SUM(AK$133:AO$133))*AP$133*0.95</f>
        <v>16446567.745506905</v>
      </c>
      <c r="AQ125" s="4">
        <f>(SUM(AL125:AP125)/SUM(AL$133:AP$133))*AQ$133*0.95</f>
        <v>17719566.564286578</v>
      </c>
      <c r="AR125" s="4"/>
      <c r="AS125" s="4"/>
      <c r="AT125" s="4"/>
      <c r="AU125" s="4"/>
      <c r="AV125" s="4"/>
      <c r="AW125" s="4"/>
      <c r="AX125" s="4"/>
      <c r="AY125" s="4"/>
      <c r="AZ125" s="4"/>
      <c r="BA125" s="4"/>
      <c r="BB125" s="4"/>
      <c r="BC125" s="4"/>
      <c r="BD125" s="4"/>
      <c r="BF125" s="83">
        <f t="shared" si="173"/>
        <v>-0.87674348356006082</v>
      </c>
      <c r="BG125" s="3">
        <v>170166.68027612008</v>
      </c>
      <c r="BH125" s="3">
        <f t="shared" ref="BH125:BH133" si="176">K125-BG125</f>
        <v>639132.31972387992</v>
      </c>
      <c r="BI125" s="3">
        <v>470728.84887240129</v>
      </c>
      <c r="BJ125" s="3">
        <f t="shared" si="166"/>
        <v>507525.15112759871</v>
      </c>
      <c r="BK125" s="3">
        <v>1429767.216062132</v>
      </c>
      <c r="BL125" s="3">
        <f t="shared" si="167"/>
        <v>1626934.783937868</v>
      </c>
      <c r="BM125" s="3">
        <v>1762041.3058853417</v>
      </c>
      <c r="BN125" s="3">
        <f t="shared" si="168"/>
        <v>1084988.6941146583</v>
      </c>
      <c r="BO125" s="3">
        <v>920714.51576977631</v>
      </c>
      <c r="BP125" s="3">
        <f t="shared" si="169"/>
        <v>-569799.51576977631</v>
      </c>
      <c r="BQ125" s="4">
        <v>343269</v>
      </c>
      <c r="BR125" s="18">
        <f t="shared" si="170"/>
        <v>0</v>
      </c>
      <c r="BS125" s="4">
        <v>2463871.6480109165</v>
      </c>
      <c r="BT125" s="18">
        <f t="shared" si="171"/>
        <v>-1303500.5606696757</v>
      </c>
    </row>
    <row r="126" spans="1:72">
      <c r="A126" s="2" t="s">
        <v>48</v>
      </c>
      <c r="B126" s="3">
        <f>'Monthly D3 Gallon Data'!$I9</f>
        <v>0</v>
      </c>
      <c r="C126" s="3">
        <f>'Monthly D3 Gallon Data'!$I21</f>
        <v>0</v>
      </c>
      <c r="D126" s="3">
        <f>'Monthly D3 Gallon Data'!$I33</f>
        <v>0</v>
      </c>
      <c r="E126" s="3">
        <f>'Monthly D3 Gallon Data'!$I45</f>
        <v>0</v>
      </c>
      <c r="F126" s="3">
        <f>'Monthly D3 Gallon Data'!$I57</f>
        <v>0</v>
      </c>
      <c r="G126" s="3">
        <f>'Monthly D3 Gallon Data'!$I69</f>
        <v>1723816</v>
      </c>
      <c r="H126" s="3">
        <f>'Monthly D3 Gallon Data'!$I81</f>
        <v>0</v>
      </c>
      <c r="I126" s="3">
        <f>'Monthly D3 Gallon Data'!$I93</f>
        <v>0</v>
      </c>
      <c r="J126" s="3">
        <f>'Monthly D3 Gallon Data'!$I105</f>
        <v>228611</v>
      </c>
      <c r="K126" s="3">
        <f>'Monthly D3 Gallon Data'!$I117</f>
        <v>1036914</v>
      </c>
      <c r="L126" s="3">
        <f>'Monthly D3 Gallon Data'!$I129</f>
        <v>1727545</v>
      </c>
      <c r="M126" s="3">
        <f>'Monthly D3 Gallon Data'!$I141</f>
        <v>2702538</v>
      </c>
      <c r="N126" s="3">
        <f>'Monthly D3 Gallon Data'!$I153</f>
        <v>3009512</v>
      </c>
      <c r="O126" s="3">
        <f>'Monthly D3 Gallon Data'!$I165</f>
        <v>1769716</v>
      </c>
      <c r="P126" s="3">
        <f>'Monthly D3 Gallon Data'!$I177</f>
        <v>264239</v>
      </c>
      <c r="Q126" s="4">
        <f t="shared" si="172"/>
        <v>1450975.0328307855</v>
      </c>
      <c r="R126" s="4">
        <f t="shared" ref="R126:AD126" si="177">(SUM(M126:Q126)/SUM(M$133:Q$133))*R$133*1.025</f>
        <v>1953791.198893148</v>
      </c>
      <c r="S126" s="4">
        <f t="shared" si="177"/>
        <v>1706994.3548077871</v>
      </c>
      <c r="T126" s="4">
        <f t="shared" si="177"/>
        <v>1433399.5915666725</v>
      </c>
      <c r="U126" s="4">
        <f t="shared" si="177"/>
        <v>1543556.6659410158</v>
      </c>
      <c r="V126" s="4">
        <f t="shared" si="177"/>
        <v>2191096.9698046935</v>
      </c>
      <c r="W126" s="4">
        <f t="shared" si="177"/>
        <v>2320399.9360355465</v>
      </c>
      <c r="X126" s="4">
        <f t="shared" si="177"/>
        <v>2485600.3953455244</v>
      </c>
      <c r="Y126" s="4">
        <f t="shared" si="177"/>
        <v>2836355.5701269046</v>
      </c>
      <c r="Z126" s="4">
        <f t="shared" si="177"/>
        <v>3252744.4181436021</v>
      </c>
      <c r="AA126" s="4">
        <f t="shared" si="177"/>
        <v>3787524.3345862725</v>
      </c>
      <c r="AB126" s="4">
        <f t="shared" si="177"/>
        <v>4337417.5484575406</v>
      </c>
      <c r="AC126" s="4">
        <f t="shared" si="177"/>
        <v>4949102.121578224</v>
      </c>
      <c r="AD126" s="4">
        <f t="shared" si="177"/>
        <v>5635041.1278266925</v>
      </c>
      <c r="AE126" s="4">
        <f t="shared" ref="AE126:AG127" si="178">(SUM(Z126:AD126)/SUM(Z$133:AD$133))*AE$133*1.025</f>
        <v>6429675.7646357743</v>
      </c>
      <c r="AF126" s="4">
        <f t="shared" si="178"/>
        <v>7303405.4250379605</v>
      </c>
      <c r="AG126" s="4">
        <f t="shared" si="178"/>
        <v>8228220.4033930916</v>
      </c>
      <c r="AH126" s="4">
        <f t="shared" ref="AH126:AQ127" si="179">(SUM(AC126:AG126)/SUM(AC$133:AG$133))*AH$133*1.025</f>
        <v>11584133.741565308</v>
      </c>
      <c r="AI126" s="4">
        <f t="shared" si="179"/>
        <v>15254456.520897064</v>
      </c>
      <c r="AJ126" s="4">
        <f t="shared" si="179"/>
        <v>19061911.354927447</v>
      </c>
      <c r="AK126" s="4">
        <f t="shared" si="179"/>
        <v>22970534.920926128</v>
      </c>
      <c r="AL126" s="4">
        <f t="shared" si="179"/>
        <v>26992265.158414159</v>
      </c>
      <c r="AM126" s="4">
        <f t="shared" si="179"/>
        <v>31200762.380828224</v>
      </c>
      <c r="AN126" s="4">
        <f t="shared" si="179"/>
        <v>35517093.547416933</v>
      </c>
      <c r="AO126" s="4">
        <f t="shared" si="179"/>
        <v>39979170.6952314</v>
      </c>
      <c r="AP126" s="4">
        <f t="shared" si="179"/>
        <v>44595563.05475007</v>
      </c>
      <c r="AQ126" s="4">
        <f t="shared" si="179"/>
        <v>49365083.475098155</v>
      </c>
      <c r="AR126" s="4"/>
      <c r="AS126" s="4"/>
      <c r="AT126" s="4"/>
      <c r="AU126" s="4"/>
      <c r="AV126" s="4"/>
      <c r="AW126" s="4"/>
      <c r="AX126" s="4"/>
      <c r="AY126" s="4"/>
      <c r="AZ126" s="4"/>
      <c r="BA126" s="4"/>
      <c r="BB126" s="4"/>
      <c r="BC126" s="4"/>
      <c r="BD126" s="4"/>
      <c r="BF126" s="83">
        <f t="shared" si="173"/>
        <v>-0.41195914819412582</v>
      </c>
      <c r="BG126" s="3">
        <v>846289.49129472149</v>
      </c>
      <c r="BH126" s="3">
        <f t="shared" si="176"/>
        <v>190624.50870527851</v>
      </c>
      <c r="BI126" s="3">
        <v>1016383.4381428052</v>
      </c>
      <c r="BJ126" s="3">
        <f t="shared" si="166"/>
        <v>711161.56185719476</v>
      </c>
      <c r="BK126" s="3">
        <v>2415614.3225587942</v>
      </c>
      <c r="BL126" s="3">
        <f t="shared" si="167"/>
        <v>286923.67744120583</v>
      </c>
      <c r="BM126" s="3">
        <v>2874050.1843259959</v>
      </c>
      <c r="BN126" s="3">
        <f t="shared" si="168"/>
        <v>135461.81567400414</v>
      </c>
      <c r="BO126" s="3">
        <v>1023964.9466588632</v>
      </c>
      <c r="BP126" s="3">
        <f t="shared" si="169"/>
        <v>745751.05334113678</v>
      </c>
      <c r="BQ126" s="4">
        <v>264239</v>
      </c>
      <c r="BR126" s="18">
        <f t="shared" si="170"/>
        <v>0</v>
      </c>
      <c r="BS126" s="4">
        <v>3080924.959579024</v>
      </c>
      <c r="BT126" s="18">
        <f t="shared" si="171"/>
        <v>-1629949.9267482385</v>
      </c>
    </row>
    <row r="127" spans="1:72">
      <c r="A127" s="2" t="s">
        <v>49</v>
      </c>
      <c r="B127" s="3">
        <f>'Monthly D3 Gallon Data'!$I10</f>
        <v>0</v>
      </c>
      <c r="C127" s="3">
        <f>'Monthly D3 Gallon Data'!$I22</f>
        <v>0</v>
      </c>
      <c r="D127" s="3">
        <f>'Monthly D3 Gallon Data'!$I34</f>
        <v>0</v>
      </c>
      <c r="E127" s="3">
        <f>'Monthly D3 Gallon Data'!$I46</f>
        <v>0</v>
      </c>
      <c r="F127" s="3">
        <f>'Monthly D3 Gallon Data'!$I58</f>
        <v>0</v>
      </c>
      <c r="G127" s="3">
        <f>'Monthly D3 Gallon Data'!$I70</f>
        <v>1779411</v>
      </c>
      <c r="H127" s="3">
        <f>'Monthly D3 Gallon Data'!$I82</f>
        <v>0</v>
      </c>
      <c r="I127" s="3">
        <f>'Monthly D3 Gallon Data'!$I94</f>
        <v>0</v>
      </c>
      <c r="J127" s="3">
        <f>'Monthly D3 Gallon Data'!$I106</f>
        <v>196608</v>
      </c>
      <c r="K127" s="3">
        <f>'Monthly D3 Gallon Data'!$I118</f>
        <v>517419</v>
      </c>
      <c r="L127" s="3">
        <f>'Monthly D3 Gallon Data'!$I130</f>
        <v>1879589</v>
      </c>
      <c r="M127" s="3">
        <f>'Monthly D3 Gallon Data'!$I142</f>
        <v>2718711</v>
      </c>
      <c r="N127" s="3">
        <f>'Monthly D3 Gallon Data'!$I154</f>
        <v>2864410</v>
      </c>
      <c r="O127" s="3">
        <f>'Monthly D3 Gallon Data'!$I166</f>
        <v>883580</v>
      </c>
      <c r="P127" s="3">
        <f>'Monthly D3 Gallon Data'!$I178</f>
        <v>399982</v>
      </c>
      <c r="Q127" s="4">
        <f t="shared" si="172"/>
        <v>1339584.6649193787</v>
      </c>
      <c r="R127" s="4">
        <f t="shared" ref="R127:AD127" si="180">(SUM(M127:Q127)/SUM(M$133:Q$133))*R$133*1.025</f>
        <v>1743325.9050521089</v>
      </c>
      <c r="S127" s="4">
        <f t="shared" si="180"/>
        <v>1461024.4992846439</v>
      </c>
      <c r="T127" s="4">
        <f t="shared" si="180"/>
        <v>1168970.6674964428</v>
      </c>
      <c r="U127" s="4">
        <f t="shared" si="180"/>
        <v>1385671.2416804631</v>
      </c>
      <c r="V127" s="4">
        <f t="shared" si="180"/>
        <v>1922884.7797820379</v>
      </c>
      <c r="W127" s="4">
        <f t="shared" si="180"/>
        <v>2018954.8770841206</v>
      </c>
      <c r="X127" s="4">
        <f t="shared" si="180"/>
        <v>2150975.2715015183</v>
      </c>
      <c r="Y127" s="4">
        <f t="shared" si="180"/>
        <v>2459106.7437394536</v>
      </c>
      <c r="Z127" s="4">
        <f t="shared" si="180"/>
        <v>2841207.9443425401</v>
      </c>
      <c r="AA127" s="4">
        <f t="shared" si="180"/>
        <v>3297501.53653626</v>
      </c>
      <c r="AB127" s="4">
        <f t="shared" si="180"/>
        <v>3771740.3037613994</v>
      </c>
      <c r="AC127" s="4">
        <f t="shared" si="180"/>
        <v>4303301.4474033797</v>
      </c>
      <c r="AD127" s="4">
        <f t="shared" si="180"/>
        <v>4902757.1074348148</v>
      </c>
      <c r="AE127" s="4">
        <f t="shared" si="178"/>
        <v>5596662.6137250392</v>
      </c>
      <c r="AF127" s="4">
        <f t="shared" si="178"/>
        <v>6354323.2679248825</v>
      </c>
      <c r="AG127" s="4">
        <f t="shared" si="178"/>
        <v>7158335.2994162533</v>
      </c>
      <c r="AH127" s="4">
        <f t="shared" si="179"/>
        <v>10078496.311590528</v>
      </c>
      <c r="AI127" s="4">
        <f t="shared" si="179"/>
        <v>13272763.247475283</v>
      </c>
      <c r="AJ127" s="4">
        <f t="shared" si="179"/>
        <v>16585688.93028049</v>
      </c>
      <c r="AK127" s="4">
        <f t="shared" si="179"/>
        <v>19985732.489701383</v>
      </c>
      <c r="AL127" s="4">
        <f t="shared" si="179"/>
        <v>23484903.101636279</v>
      </c>
      <c r="AM127" s="4">
        <f t="shared" si="179"/>
        <v>27146782.612319924</v>
      </c>
      <c r="AN127" s="4">
        <f t="shared" si="179"/>
        <v>30902433.671476893</v>
      </c>
      <c r="AO127" s="4">
        <f t="shared" si="179"/>
        <v>34784678.584297054</v>
      </c>
      <c r="AP127" s="4">
        <f t="shared" si="179"/>
        <v>38801123.495959952</v>
      </c>
      <c r="AQ127" s="4">
        <f t="shared" si="179"/>
        <v>42950972.357247621</v>
      </c>
      <c r="AR127" s="4"/>
      <c r="AS127" s="4"/>
      <c r="AT127" s="4"/>
      <c r="AU127" s="4"/>
      <c r="AV127" s="4"/>
      <c r="AW127" s="4"/>
      <c r="AX127" s="4"/>
      <c r="AY127" s="4"/>
      <c r="AZ127" s="4"/>
      <c r="BA127" s="4"/>
      <c r="BB127" s="4"/>
      <c r="BC127" s="4"/>
      <c r="BD127" s="4"/>
      <c r="BF127" s="83">
        <f t="shared" si="173"/>
        <v>-0.69153158940235504</v>
      </c>
      <c r="BG127" s="3">
        <v>869869.72782146488</v>
      </c>
      <c r="BH127" s="3">
        <f t="shared" si="176"/>
        <v>-352450.72782146488</v>
      </c>
      <c r="BI127" s="3">
        <v>547774.94566157577</v>
      </c>
      <c r="BJ127" s="3">
        <f t="shared" si="166"/>
        <v>1331814.0543384242</v>
      </c>
      <c r="BK127" s="3">
        <v>2091363.3852725292</v>
      </c>
      <c r="BL127" s="3">
        <f t="shared" si="167"/>
        <v>627347.61472747079</v>
      </c>
      <c r="BM127" s="3">
        <v>2714290.5364185814</v>
      </c>
      <c r="BN127" s="3">
        <f t="shared" si="168"/>
        <v>150119.46358141862</v>
      </c>
      <c r="BO127" s="3">
        <v>961812.3662911657</v>
      </c>
      <c r="BP127" s="3">
        <f t="shared" si="169"/>
        <v>-78232.366291165701</v>
      </c>
      <c r="BQ127" s="4">
        <v>996969.08173706732</v>
      </c>
      <c r="BR127" s="18">
        <f t="shared" si="170"/>
        <v>-596987.08173706732</v>
      </c>
      <c r="BS127" s="4">
        <v>2844404.4426922486</v>
      </c>
      <c r="BT127" s="18">
        <f t="shared" si="171"/>
        <v>-1504819.7777728699</v>
      </c>
    </row>
    <row r="128" spans="1:72">
      <c r="A128" s="2" t="s">
        <v>50</v>
      </c>
      <c r="B128" s="3">
        <f>'Monthly D3 Gallon Data'!$I11</f>
        <v>0</v>
      </c>
      <c r="C128" s="3">
        <f>'Monthly D3 Gallon Data'!$I23</f>
        <v>0</v>
      </c>
      <c r="D128" s="3">
        <f>'Monthly D3 Gallon Data'!$I35</f>
        <v>0</v>
      </c>
      <c r="E128" s="3">
        <f>'Monthly D3 Gallon Data'!$I47</f>
        <v>0</v>
      </c>
      <c r="F128" s="3">
        <f>'Monthly D3 Gallon Data'!$I59</f>
        <v>0</v>
      </c>
      <c r="G128" s="3">
        <f>'Monthly D3 Gallon Data'!$I71</f>
        <v>1925457</v>
      </c>
      <c r="H128" s="3">
        <f>'Monthly D3 Gallon Data'!$I83</f>
        <v>0</v>
      </c>
      <c r="I128" s="3">
        <f>'Monthly D3 Gallon Data'!$I95</f>
        <v>0</v>
      </c>
      <c r="J128" s="3">
        <f>'Monthly D3 Gallon Data'!$I107</f>
        <v>428514</v>
      </c>
      <c r="K128" s="3">
        <f>'Monthly D3 Gallon Data'!$I119</f>
        <v>836272</v>
      </c>
      <c r="L128" s="3">
        <f>'Monthly D3 Gallon Data'!$I131</f>
        <v>2537477</v>
      </c>
      <c r="M128" s="3">
        <f>'Monthly D3 Gallon Data'!$I143</f>
        <v>2857925</v>
      </c>
      <c r="N128" s="3">
        <f>'Monthly D3 Gallon Data'!$I155</f>
        <v>2029041</v>
      </c>
      <c r="O128" s="3">
        <f>'Monthly D3 Gallon Data'!$I167</f>
        <v>384983</v>
      </c>
      <c r="P128" s="3">
        <f>'Monthly D3 Gallon Data'!$I179</f>
        <v>229292</v>
      </c>
      <c r="Q128" s="4">
        <f t="shared" si="172"/>
        <v>1231215.237579094</v>
      </c>
      <c r="R128" s="4">
        <f t="shared" ref="R128:AQ131" si="181">(SUM(M128:Q128)/SUM(M$133:Q$133))*R$133*1.05</f>
        <v>1465115.5511130572</v>
      </c>
      <c r="S128" s="4">
        <f t="shared" si="181"/>
        <v>1105208.3399535394</v>
      </c>
      <c r="T128" s="4">
        <f t="shared" si="181"/>
        <v>907397.89682023658</v>
      </c>
      <c r="U128" s="4">
        <f t="shared" si="181"/>
        <v>1146701.6703236273</v>
      </c>
      <c r="V128" s="4">
        <f t="shared" si="181"/>
        <v>1624881.4149870172</v>
      </c>
      <c r="W128" s="4">
        <f t="shared" si="181"/>
        <v>1682505.1581685483</v>
      </c>
      <c r="X128" s="4">
        <f t="shared" si="181"/>
        <v>1790631.4832747213</v>
      </c>
      <c r="Y128" s="4">
        <f t="shared" si="181"/>
        <v>2083478.6752593955</v>
      </c>
      <c r="Z128" s="4">
        <f t="shared" si="181"/>
        <v>2439148.9088389161</v>
      </c>
      <c r="AA128" s="4">
        <f t="shared" si="181"/>
        <v>2852407.8335879166</v>
      </c>
      <c r="AB128" s="4">
        <f t="shared" si="181"/>
        <v>3282838.6207647505</v>
      </c>
      <c r="AC128" s="4">
        <f t="shared" si="181"/>
        <v>3779217.58979923</v>
      </c>
      <c r="AD128" s="4">
        <f t="shared" si="181"/>
        <v>4348860.4684504522</v>
      </c>
      <c r="AE128" s="4">
        <f t="shared" si="181"/>
        <v>5009181.6309333742</v>
      </c>
      <c r="AF128" s="4">
        <f t="shared" si="181"/>
        <v>5735683.3730506143</v>
      </c>
      <c r="AG128" s="4">
        <f t="shared" si="181"/>
        <v>6517235.8878329154</v>
      </c>
      <c r="AH128" s="4">
        <f t="shared" si="181"/>
        <v>9257730.7645686232</v>
      </c>
      <c r="AI128" s="4">
        <f t="shared" si="181"/>
        <v>12311492.059317438</v>
      </c>
      <c r="AJ128" s="4">
        <f t="shared" si="181"/>
        <v>15538003.50548338</v>
      </c>
      <c r="AK128" s="4">
        <f t="shared" si="181"/>
        <v>18906773.391369287</v>
      </c>
      <c r="AL128" s="4">
        <f t="shared" si="181"/>
        <v>22425987.88083845</v>
      </c>
      <c r="AM128" s="4">
        <f t="shared" si="181"/>
        <v>26152654.309801083</v>
      </c>
      <c r="AN128" s="4">
        <f t="shared" si="181"/>
        <v>30036429.496246424</v>
      </c>
      <c r="AO128" s="4">
        <f t="shared" si="181"/>
        <v>34110772.534903228</v>
      </c>
      <c r="AP128" s="4">
        <f t="shared" si="181"/>
        <v>38385125.171527609</v>
      </c>
      <c r="AQ128" s="4">
        <f t="shared" si="181"/>
        <v>42861449.030807823</v>
      </c>
      <c r="AR128" s="4"/>
      <c r="AS128" s="4"/>
      <c r="AT128" s="4"/>
      <c r="AU128" s="4"/>
      <c r="AV128" s="4"/>
      <c r="AW128" s="4"/>
      <c r="AX128" s="4"/>
      <c r="AY128" s="4"/>
      <c r="AZ128" s="4"/>
      <c r="BA128" s="4"/>
      <c r="BB128" s="4"/>
      <c r="BC128" s="4"/>
      <c r="BD128" s="4"/>
      <c r="BF128" s="83">
        <f t="shared" si="173"/>
        <v>-0.81026356786284759</v>
      </c>
      <c r="BG128" s="3">
        <v>1036248.6567404573</v>
      </c>
      <c r="BH128" s="3">
        <f t="shared" si="176"/>
        <v>-199976.65674045729</v>
      </c>
      <c r="BI128" s="3">
        <v>1038948.7445389654</v>
      </c>
      <c r="BJ128" s="3">
        <f t="shared" si="166"/>
        <v>1498528.2554610346</v>
      </c>
      <c r="BK128" s="3">
        <v>2411409.2955593648</v>
      </c>
      <c r="BL128" s="3">
        <f t="shared" si="167"/>
        <v>446515.70444063516</v>
      </c>
      <c r="BM128" s="3">
        <v>2843817.5533759762</v>
      </c>
      <c r="BN128" s="3">
        <f t="shared" si="168"/>
        <v>-814776.55337597616</v>
      </c>
      <c r="BO128" s="3">
        <v>924200.96481058782</v>
      </c>
      <c r="BP128" s="3">
        <f t="shared" si="169"/>
        <v>-539217.96481058782</v>
      </c>
      <c r="BQ128" s="4">
        <v>972447.71867352584</v>
      </c>
      <c r="BR128" s="18">
        <f t="shared" si="170"/>
        <v>-743155.71867352584</v>
      </c>
      <c r="BS128" s="4">
        <v>2614298.4339785161</v>
      </c>
      <c r="BT128" s="18">
        <f t="shared" si="171"/>
        <v>-1383083.1963994221</v>
      </c>
    </row>
    <row r="129" spans="1:72">
      <c r="A129" s="2" t="s">
        <v>51</v>
      </c>
      <c r="B129" s="3">
        <f>'Monthly D3 Gallon Data'!$I12</f>
        <v>0</v>
      </c>
      <c r="C129" s="3">
        <f>'Monthly D3 Gallon Data'!$I24</f>
        <v>0</v>
      </c>
      <c r="D129" s="3">
        <f>'Monthly D3 Gallon Data'!$I36</f>
        <v>0</v>
      </c>
      <c r="E129" s="3">
        <f>'Monthly D3 Gallon Data'!$I48</f>
        <v>0</v>
      </c>
      <c r="F129" s="3">
        <f>'Monthly D3 Gallon Data'!$I60</f>
        <v>0</v>
      </c>
      <c r="G129" s="3">
        <f>'Monthly D3 Gallon Data'!$I72</f>
        <v>1936997</v>
      </c>
      <c r="H129" s="3">
        <f>'Monthly D3 Gallon Data'!$I84</f>
        <v>0</v>
      </c>
      <c r="I129" s="3">
        <f>'Monthly D3 Gallon Data'!$I96</f>
        <v>0</v>
      </c>
      <c r="J129" s="3">
        <f>'Monthly D3 Gallon Data'!$I108</f>
        <v>260744</v>
      </c>
      <c r="K129" s="3">
        <f>'Monthly D3 Gallon Data'!$I120</f>
        <v>1163627</v>
      </c>
      <c r="L129" s="3">
        <f>'Monthly D3 Gallon Data'!$I132</f>
        <v>2793120</v>
      </c>
      <c r="M129" s="3">
        <f>'Monthly D3 Gallon Data'!$I144</f>
        <v>2967093</v>
      </c>
      <c r="N129" s="3">
        <f>'Monthly D3 Gallon Data'!$I156</f>
        <v>1997694</v>
      </c>
      <c r="O129" s="3">
        <f>'Monthly D3 Gallon Data'!$I168</f>
        <v>342002</v>
      </c>
      <c r="P129" s="3">
        <f>'Monthly D3 Gallon Data'!$I180</f>
        <v>328246</v>
      </c>
      <c r="Q129" s="4">
        <f t="shared" si="172"/>
        <v>1290861.659866465</v>
      </c>
      <c r="R129" s="4">
        <f t="shared" si="181"/>
        <v>1507212.0105486428</v>
      </c>
      <c r="S129" s="4">
        <f t="shared" si="181"/>
        <v>1131364.3662822065</v>
      </c>
      <c r="T129" s="4">
        <f t="shared" si="181"/>
        <v>945181.4125638078</v>
      </c>
      <c r="U129" s="4">
        <f t="shared" si="181"/>
        <v>1208152.6535869625</v>
      </c>
      <c r="V129" s="4">
        <f t="shared" si="181"/>
        <v>1687908.6731608286</v>
      </c>
      <c r="W129" s="4">
        <f t="shared" si="181"/>
        <v>1744566.6851152708</v>
      </c>
      <c r="X129" s="4">
        <f t="shared" si="181"/>
        <v>1859989.3508191465</v>
      </c>
      <c r="Y129" s="4">
        <f t="shared" si="181"/>
        <v>2169030.7381641124</v>
      </c>
      <c r="Z129" s="4">
        <f t="shared" si="181"/>
        <v>2539152.1292389706</v>
      </c>
      <c r="AA129" s="4">
        <f t="shared" si="181"/>
        <v>2965073.9206093983</v>
      </c>
      <c r="AB129" s="4">
        <f t="shared" si="181"/>
        <v>3412855.1146136369</v>
      </c>
      <c r="AC129" s="4">
        <f t="shared" si="181"/>
        <v>3930281.710600046</v>
      </c>
      <c r="AD129" s="4">
        <f t="shared" si="181"/>
        <v>4523362.6165719675</v>
      </c>
      <c r="AE129" s="4">
        <f t="shared" si="181"/>
        <v>5209594.8218650594</v>
      </c>
      <c r="AF129" s="4">
        <f t="shared" si="181"/>
        <v>5964444.5966113992</v>
      </c>
      <c r="AG129" s="4">
        <f t="shared" si="181"/>
        <v>6777491.7122575343</v>
      </c>
      <c r="AH129" s="4">
        <f t="shared" si="181"/>
        <v>9627817.3407615051</v>
      </c>
      <c r="AI129" s="4">
        <f t="shared" si="181"/>
        <v>12803661.102483608</v>
      </c>
      <c r="AJ129" s="4">
        <f t="shared" si="181"/>
        <v>16158896.58865051</v>
      </c>
      <c r="AK129" s="4">
        <f t="shared" si="181"/>
        <v>19662186.295631565</v>
      </c>
      <c r="AL129" s="4">
        <f t="shared" si="181"/>
        <v>23322155.194396712</v>
      </c>
      <c r="AM129" s="4">
        <f t="shared" si="181"/>
        <v>27197803.401679765</v>
      </c>
      <c r="AN129" s="4">
        <f t="shared" si="181"/>
        <v>31236750.87366477</v>
      </c>
      <c r="AO129" s="4">
        <f t="shared" si="181"/>
        <v>35473860.794830643</v>
      </c>
      <c r="AP129" s="4">
        <f t="shared" si="181"/>
        <v>39919023.802149124</v>
      </c>
      <c r="AQ129" s="4">
        <f t="shared" si="181"/>
        <v>44574257.867217414</v>
      </c>
      <c r="AR129" s="4"/>
      <c r="AS129" s="4"/>
      <c r="AT129" s="4"/>
      <c r="AU129" s="4"/>
      <c r="AV129" s="4"/>
      <c r="AW129" s="4"/>
      <c r="AX129" s="4"/>
      <c r="AY129" s="4"/>
      <c r="AZ129" s="4"/>
      <c r="BA129" s="4"/>
      <c r="BB129" s="4"/>
      <c r="BC129" s="4"/>
      <c r="BD129" s="4"/>
      <c r="BF129" s="83">
        <f t="shared" si="173"/>
        <v>-0.82880160825431726</v>
      </c>
      <c r="BG129" s="3">
        <v>915486.12982981</v>
      </c>
      <c r="BH129" s="3">
        <f t="shared" si="176"/>
        <v>248140.87017019</v>
      </c>
      <c r="BI129" s="3">
        <v>2002766.7897864699</v>
      </c>
      <c r="BJ129" s="3">
        <f t="shared" si="166"/>
        <v>790353.21021353011</v>
      </c>
      <c r="BK129" s="3">
        <v>2838199.8759828694</v>
      </c>
      <c r="BL129" s="3">
        <f t="shared" si="167"/>
        <v>128893.12401713058</v>
      </c>
      <c r="BM129" s="3">
        <v>3067728.107024089</v>
      </c>
      <c r="BN129" s="3">
        <f t="shared" si="168"/>
        <v>-1070034.107024089</v>
      </c>
      <c r="BO129" s="3">
        <v>491167.13731462375</v>
      </c>
      <c r="BP129" s="3">
        <f t="shared" si="169"/>
        <v>-149165.13731462375</v>
      </c>
      <c r="BQ129" s="4">
        <v>958585.42526538298</v>
      </c>
      <c r="BR129" s="18">
        <f t="shared" si="170"/>
        <v>-630339.42526538298</v>
      </c>
      <c r="BS129" s="4">
        <v>2740948.546500599</v>
      </c>
      <c r="BT129" s="18">
        <f t="shared" si="171"/>
        <v>-1450086.886634134</v>
      </c>
    </row>
    <row r="130" spans="1:72">
      <c r="A130" s="2" t="s">
        <v>52</v>
      </c>
      <c r="B130" s="3">
        <f>'Monthly D3 Gallon Data'!$I13</f>
        <v>0</v>
      </c>
      <c r="C130" s="3">
        <f>'Monthly D3 Gallon Data'!$I25</f>
        <v>0</v>
      </c>
      <c r="D130" s="3">
        <f>'Monthly D3 Gallon Data'!$I37</f>
        <v>0</v>
      </c>
      <c r="E130" s="3">
        <f>'Monthly D3 Gallon Data'!$I49</f>
        <v>0</v>
      </c>
      <c r="F130" s="3">
        <f>'Monthly D3 Gallon Data'!$I61</f>
        <v>0</v>
      </c>
      <c r="G130" s="3">
        <f>'Monthly D3 Gallon Data'!$I73</f>
        <v>1347687</v>
      </c>
      <c r="H130" s="3">
        <f>'Monthly D3 Gallon Data'!$I85</f>
        <v>0</v>
      </c>
      <c r="I130" s="3">
        <f>'Monthly D3 Gallon Data'!$I97</f>
        <v>0</v>
      </c>
      <c r="J130" s="3">
        <f>'Monthly D3 Gallon Data'!$I109</f>
        <v>1114044</v>
      </c>
      <c r="K130" s="3">
        <f>'Monthly D3 Gallon Data'!$I121</f>
        <v>1009929</v>
      </c>
      <c r="L130" s="3">
        <f>'Monthly D3 Gallon Data'!$I133</f>
        <v>2911202</v>
      </c>
      <c r="M130" s="3">
        <f>'Monthly D3 Gallon Data'!$I145</f>
        <v>2634250</v>
      </c>
      <c r="N130" s="3">
        <f>'Monthly D3 Gallon Data'!$I157</f>
        <v>2019647</v>
      </c>
      <c r="O130" s="3">
        <f>'Monthly D3 Gallon Data'!$I169</f>
        <v>284046</v>
      </c>
      <c r="P130" s="3">
        <f>'Monthly D3 Gallon Data'!$I181</f>
        <v>417385</v>
      </c>
      <c r="Q130" s="4">
        <f t="shared" si="172"/>
        <v>1266107.0705434261</v>
      </c>
      <c r="R130" s="4">
        <f t="shared" si="181"/>
        <v>1440955.1507202927</v>
      </c>
      <c r="S130" s="4">
        <f t="shared" si="181"/>
        <v>1123524.8473143508</v>
      </c>
      <c r="T130" s="4">
        <f t="shared" si="181"/>
        <v>931276.44053267455</v>
      </c>
      <c r="U130" s="4">
        <f t="shared" si="181"/>
        <v>1202668.5853959746</v>
      </c>
      <c r="V130" s="4">
        <f t="shared" si="181"/>
        <v>1655098.2485354254</v>
      </c>
      <c r="W130" s="4">
        <f t="shared" si="181"/>
        <v>1710563.9579804207</v>
      </c>
      <c r="X130" s="4">
        <f t="shared" si="181"/>
        <v>1833949.1460618745</v>
      </c>
      <c r="Y130" s="4">
        <f t="shared" si="181"/>
        <v>2136333.4794814186</v>
      </c>
      <c r="Z130" s="4">
        <f t="shared" si="181"/>
        <v>2500774.9089104482</v>
      </c>
      <c r="AA130" s="4">
        <f t="shared" si="181"/>
        <v>2916471.2530051055</v>
      </c>
      <c r="AB130" s="4">
        <f t="shared" si="181"/>
        <v>3358468.8077376131</v>
      </c>
      <c r="AC130" s="4">
        <f t="shared" si="181"/>
        <v>3869532.6300202734</v>
      </c>
      <c r="AD130" s="4">
        <f t="shared" si="181"/>
        <v>4452630.4377360893</v>
      </c>
      <c r="AE130" s="4">
        <f t="shared" si="181"/>
        <v>5127766.0758307315</v>
      </c>
      <c r="AF130" s="4">
        <f t="shared" si="181"/>
        <v>5870310.975037355</v>
      </c>
      <c r="AG130" s="4">
        <f t="shared" si="181"/>
        <v>6671057.5965831084</v>
      </c>
      <c r="AH130" s="4">
        <f t="shared" si="181"/>
        <v>9476909.8296768088</v>
      </c>
      <c r="AI130" s="4">
        <f t="shared" si="181"/>
        <v>12602634.207048368</v>
      </c>
      <c r="AJ130" s="4">
        <f t="shared" si="181"/>
        <v>15905074.811634816</v>
      </c>
      <c r="AK130" s="4">
        <f t="shared" si="181"/>
        <v>19353334.215314455</v>
      </c>
      <c r="AL130" s="4">
        <f t="shared" si="181"/>
        <v>22955972.057181362</v>
      </c>
      <c r="AM130" s="4">
        <f t="shared" si="181"/>
        <v>26770775.099160936</v>
      </c>
      <c r="AN130" s="4">
        <f t="shared" si="181"/>
        <v>30746226.649753496</v>
      </c>
      <c r="AO130" s="4">
        <f t="shared" si="181"/>
        <v>34916788.978749789</v>
      </c>
      <c r="AP130" s="4">
        <f t="shared" si="181"/>
        <v>39292165.863861121</v>
      </c>
      <c r="AQ130" s="4">
        <f t="shared" si="181"/>
        <v>43874323.799135223</v>
      </c>
      <c r="AR130" s="4"/>
      <c r="AS130" s="4"/>
      <c r="AT130" s="4"/>
      <c r="AU130" s="4"/>
      <c r="AV130" s="4"/>
      <c r="AW130" s="4"/>
      <c r="AX130" s="4"/>
      <c r="AY130" s="4"/>
      <c r="AZ130" s="4"/>
      <c r="BA130" s="4"/>
      <c r="BB130" s="4"/>
      <c r="BC130" s="4"/>
      <c r="BD130" s="4"/>
      <c r="BF130" s="83">
        <f t="shared" si="173"/>
        <v>-0.85935859088246613</v>
      </c>
      <c r="BG130" s="3">
        <v>1025452.6281190859</v>
      </c>
      <c r="BH130" s="3">
        <f t="shared" si="176"/>
        <v>-15523.628119085915</v>
      </c>
      <c r="BI130" s="3">
        <v>2450955.9450953216</v>
      </c>
      <c r="BJ130" s="3">
        <f t="shared" si="166"/>
        <v>460246.05490467837</v>
      </c>
      <c r="BK130" s="3">
        <v>2840571.9589325814</v>
      </c>
      <c r="BL130" s="3">
        <f t="shared" si="167"/>
        <v>-206321.95893258136</v>
      </c>
      <c r="BM130" s="3">
        <v>1966465.4013431384</v>
      </c>
      <c r="BN130" s="3">
        <f t="shared" si="168"/>
        <v>53181.598656861577</v>
      </c>
      <c r="BO130" s="3">
        <v>358175.09896658693</v>
      </c>
      <c r="BP130" s="3">
        <f t="shared" si="169"/>
        <v>-74129.098966586927</v>
      </c>
      <c r="BQ130" s="4">
        <v>916731.92803995137</v>
      </c>
      <c r="BR130" s="18">
        <f t="shared" si="170"/>
        <v>-499346.92803995137</v>
      </c>
      <c r="BS130" s="4">
        <v>2688385.938334499</v>
      </c>
      <c r="BT130" s="18">
        <f t="shared" si="171"/>
        <v>-1422278.8677910729</v>
      </c>
    </row>
    <row r="131" spans="1:72">
      <c r="A131" s="2" t="s">
        <v>53</v>
      </c>
      <c r="B131" s="3">
        <f>'Monthly D3 Gallon Data'!$I14</f>
        <v>0</v>
      </c>
      <c r="C131" s="3">
        <f>'Monthly D3 Gallon Data'!$I26</f>
        <v>0</v>
      </c>
      <c r="D131" s="3">
        <f>'Monthly D3 Gallon Data'!$I38</f>
        <v>0</v>
      </c>
      <c r="E131" s="3">
        <f>'Monthly D3 Gallon Data'!$I50</f>
        <v>0</v>
      </c>
      <c r="F131" s="3">
        <f>'Monthly D3 Gallon Data'!$I62</f>
        <v>0</v>
      </c>
      <c r="G131" s="3">
        <f>'Monthly D3 Gallon Data'!$I74</f>
        <v>1444698</v>
      </c>
      <c r="H131" s="3">
        <f>'Monthly D3 Gallon Data'!$I86</f>
        <v>167243</v>
      </c>
      <c r="I131" s="3">
        <f>'Monthly D3 Gallon Data'!$I98</f>
        <v>703636</v>
      </c>
      <c r="J131" s="3">
        <f>'Monthly D3 Gallon Data'!$I110</f>
        <v>1057401</v>
      </c>
      <c r="K131" s="3">
        <f>'Monthly D3 Gallon Data'!$I122</f>
        <v>1170863</v>
      </c>
      <c r="L131" s="3">
        <f>'Monthly D3 Gallon Data'!$I134</f>
        <v>3068629</v>
      </c>
      <c r="M131" s="3">
        <f>'Monthly D3 Gallon Data'!$I146</f>
        <v>2369226</v>
      </c>
      <c r="N131" s="3">
        <f>'Monthly D3 Gallon Data'!$I158</f>
        <v>3288585</v>
      </c>
      <c r="O131" s="3">
        <f>'Monthly D3 Gallon Data'!$I170</f>
        <v>339329</v>
      </c>
      <c r="P131" s="3">
        <f>'Monthly D3 Gallon Data'!$I182</f>
        <v>1925842</v>
      </c>
      <c r="Q131" s="4">
        <f t="shared" si="172"/>
        <v>1683482.235443759</v>
      </c>
      <c r="R131" s="4">
        <f t="shared" si="181"/>
        <v>2090556.4991271445</v>
      </c>
      <c r="S131" s="4">
        <f t="shared" si="181"/>
        <v>1930681.3618935107</v>
      </c>
      <c r="T131" s="4">
        <f t="shared" si="181"/>
        <v>1637718.9365613351</v>
      </c>
      <c r="U131" s="4">
        <f t="shared" si="181"/>
        <v>2152179.1085006758</v>
      </c>
      <c r="V131" s="4">
        <f t="shared" si="181"/>
        <v>2634661.9663637998</v>
      </c>
      <c r="W131" s="4">
        <f t="shared" si="181"/>
        <v>2812330.1964278887</v>
      </c>
      <c r="X131" s="4">
        <f t="shared" si="181"/>
        <v>3092307.0984066031</v>
      </c>
      <c r="Y131" s="4">
        <f t="shared" si="181"/>
        <v>3591610.3485196824</v>
      </c>
      <c r="Z131" s="4">
        <f t="shared" si="181"/>
        <v>4183207.2892824411</v>
      </c>
      <c r="AA131" s="4">
        <f t="shared" si="181"/>
        <v>4836943.0264371522</v>
      </c>
      <c r="AB131" s="4">
        <f t="shared" si="181"/>
        <v>5603372.2553599235</v>
      </c>
      <c r="AC131" s="4">
        <f t="shared" si="181"/>
        <v>6468684.2905843472</v>
      </c>
      <c r="AD131" s="4">
        <f t="shared" si="181"/>
        <v>7435464.1253208332</v>
      </c>
      <c r="AE131" s="4">
        <f t="shared" si="181"/>
        <v>8555636.1549344528</v>
      </c>
      <c r="AF131" s="4">
        <f t="shared" si="181"/>
        <v>9791386.4596051779</v>
      </c>
      <c r="AG131" s="4">
        <f t="shared" si="181"/>
        <v>11135106.472415075</v>
      </c>
      <c r="AH131" s="4">
        <f t="shared" si="181"/>
        <v>15819442.501301639</v>
      </c>
      <c r="AI131" s="4">
        <f t="shared" si="181"/>
        <v>21033336.747599427</v>
      </c>
      <c r="AJ131" s="4">
        <f t="shared" si="181"/>
        <v>26543314.510847766</v>
      </c>
      <c r="AK131" s="4">
        <f t="shared" si="181"/>
        <v>32298689.950991262</v>
      </c>
      <c r="AL131" s="4">
        <f t="shared" si="181"/>
        <v>38313105.430309683</v>
      </c>
      <c r="AM131" s="4">
        <f t="shared" si="181"/>
        <v>44679532.807850078</v>
      </c>
      <c r="AN131" s="4">
        <f t="shared" si="181"/>
        <v>51313548.447541662</v>
      </c>
      <c r="AO131" s="4">
        <f t="shared" si="181"/>
        <v>58273861.996922709</v>
      </c>
      <c r="AP131" s="4">
        <f t="shared" si="181"/>
        <v>65576440.607101329</v>
      </c>
      <c r="AQ131" s="4">
        <f t="shared" si="181"/>
        <v>73224076.664240003</v>
      </c>
      <c r="AR131" s="4"/>
      <c r="AS131" s="4"/>
      <c r="AT131" s="4"/>
      <c r="AU131" s="4"/>
      <c r="AV131" s="4"/>
      <c r="AW131" s="4"/>
      <c r="AX131" s="4"/>
      <c r="AY131" s="4"/>
      <c r="AZ131" s="4"/>
      <c r="BA131" s="4"/>
      <c r="BB131" s="4"/>
      <c r="BC131" s="4"/>
      <c r="BD131" s="4"/>
      <c r="BF131" s="83">
        <f t="shared" si="173"/>
        <v>-0.89681610783969401</v>
      </c>
      <c r="BG131" s="3">
        <v>1405039.4153292375</v>
      </c>
      <c r="BH131" s="3">
        <f t="shared" si="176"/>
        <v>-234176.41532923747</v>
      </c>
      <c r="BI131" s="3">
        <v>3077020.2228063438</v>
      </c>
      <c r="BJ131" s="3">
        <f t="shared" si="166"/>
        <v>-8391.2228063438088</v>
      </c>
      <c r="BK131" s="3">
        <v>2988073.9783079959</v>
      </c>
      <c r="BL131" s="3">
        <f t="shared" si="167"/>
        <v>-618847.97830799595</v>
      </c>
      <c r="BM131" s="3">
        <v>1987346.8187274463</v>
      </c>
      <c r="BN131" s="3">
        <f t="shared" si="168"/>
        <v>1301238.1812725537</v>
      </c>
      <c r="BO131" s="3">
        <v>424555.31235082832</v>
      </c>
      <c r="BP131" s="3">
        <f t="shared" si="169"/>
        <v>-85226.312350828317</v>
      </c>
      <c r="BQ131" s="4">
        <v>990197.31135165191</v>
      </c>
      <c r="BR131" s="18">
        <f t="shared" si="170"/>
        <v>935644.68864834809</v>
      </c>
      <c r="BS131" s="4">
        <v>3574618.6673299195</v>
      </c>
      <c r="BT131" s="18">
        <f t="shared" si="171"/>
        <v>-1891136.4318861605</v>
      </c>
    </row>
    <row r="132" spans="1:72">
      <c r="A132" s="2" t="s">
        <v>54</v>
      </c>
      <c r="B132" s="3">
        <f>'Monthly D3 Gallon Data'!$I15</f>
        <v>0</v>
      </c>
      <c r="C132" s="3">
        <f>'Monthly D3 Gallon Data'!$I27</f>
        <v>0</v>
      </c>
      <c r="D132" s="3">
        <f>'Monthly D3 Gallon Data'!$I39</f>
        <v>0</v>
      </c>
      <c r="E132" s="3">
        <f>'Monthly D3 Gallon Data'!$I51</f>
        <v>0</v>
      </c>
      <c r="F132" s="3">
        <f>'Monthly D3 Gallon Data'!$I63</f>
        <v>0</v>
      </c>
      <c r="G132" s="3">
        <f>'Monthly D3 Gallon Data'!$I75</f>
        <v>877468</v>
      </c>
      <c r="H132" s="3">
        <f>'Monthly D3 Gallon Data'!$I87</f>
        <v>0</v>
      </c>
      <c r="I132" s="3">
        <f>'Monthly D3 Gallon Data'!$I99</f>
        <v>912312</v>
      </c>
      <c r="J132" s="3">
        <f>'Monthly D3 Gallon Data'!$I111</f>
        <v>2076150</v>
      </c>
      <c r="K132" s="3">
        <f>'Monthly D3 Gallon Data'!$I123</f>
        <v>1834474</v>
      </c>
      <c r="L132" s="3">
        <f>'Monthly D3 Gallon Data'!$I135</f>
        <v>5942291</v>
      </c>
      <c r="M132" s="3">
        <f>'Monthly D3 Gallon Data'!$I147</f>
        <v>4800466</v>
      </c>
      <c r="N132" s="3">
        <f>'Monthly D3 Gallon Data'!$I159</f>
        <v>4463342</v>
      </c>
      <c r="O132" s="3">
        <f>'Monthly D3 Gallon Data'!$I171</f>
        <v>1218123</v>
      </c>
      <c r="P132" s="3">
        <f>'Monthly D3 Gallon Data'!$I183</f>
        <v>1587239</v>
      </c>
      <c r="Q132" s="119">
        <f>Q133-SUM(Q121:Q131)</f>
        <v>3883693.2617329247</v>
      </c>
      <c r="R132" s="4">
        <f t="shared" ref="R132:AD132" si="182">R133-SUM(R121:R131)</f>
        <v>4110856.0900515318</v>
      </c>
      <c r="S132" s="4">
        <f t="shared" si="182"/>
        <v>3537747.2162892353</v>
      </c>
      <c r="T132" s="4">
        <f t="shared" si="182"/>
        <v>3088571.1780600287</v>
      </c>
      <c r="U132" s="4">
        <f t="shared" si="182"/>
        <v>3929416.5855884254</v>
      </c>
      <c r="V132" s="4">
        <f t="shared" si="182"/>
        <v>5271137.2402316369</v>
      </c>
      <c r="W132" s="4">
        <f t="shared" si="182"/>
        <v>5440043.3326355275</v>
      </c>
      <c r="X132" s="4">
        <f t="shared" si="182"/>
        <v>5844521.8976606801</v>
      </c>
      <c r="Y132" s="4">
        <f t="shared" si="182"/>
        <v>6712915.1464600265</v>
      </c>
      <c r="Z132" s="4">
        <f t="shared" si="182"/>
        <v>7712235.0587536097</v>
      </c>
      <c r="AA132" s="4">
        <f t="shared" si="182"/>
        <v>8801511.6745815836</v>
      </c>
      <c r="AB132" s="4">
        <f t="shared" si="182"/>
        <v>9904561.4252384529</v>
      </c>
      <c r="AC132" s="4">
        <f t="shared" si="182"/>
        <v>11110637.146523714</v>
      </c>
      <c r="AD132" s="4">
        <f t="shared" si="182"/>
        <v>12405851.965757772</v>
      </c>
      <c r="AE132" s="4">
        <f>AE133-SUM(AE121:AE131)</f>
        <v>13828844.405853145</v>
      </c>
      <c r="AF132" s="4">
        <f>AF133-SUM(AF121:AF131)</f>
        <v>15280834.417611212</v>
      </c>
      <c r="AG132" s="4">
        <f>AG133-SUM(AG121:AG131)</f>
        <v>16716728.248484053</v>
      </c>
      <c r="AH132" s="4">
        <f t="shared" ref="AH132:AO132" si="183">AH133-SUM(AH121:AH131)</f>
        <v>22801057.601115167</v>
      </c>
      <c r="AI132" s="4">
        <f t="shared" si="183"/>
        <v>28899651.763767168</v>
      </c>
      <c r="AJ132" s="4">
        <f t="shared" si="183"/>
        <v>34587438.737888739</v>
      </c>
      <c r="AK132" s="4">
        <f t="shared" si="183"/>
        <v>39794715.517193019</v>
      </c>
      <c r="AL132" s="4">
        <f t="shared" si="183"/>
        <v>44576579.514633477</v>
      </c>
      <c r="AM132" s="4">
        <f t="shared" si="183"/>
        <v>49083419.37900275</v>
      </c>
      <c r="AN132" s="4">
        <f t="shared" si="183"/>
        <v>53010252.61645472</v>
      </c>
      <c r="AO132" s="4">
        <f t="shared" si="183"/>
        <v>56385754.033775151</v>
      </c>
      <c r="AP132" s="4">
        <f>AP133-SUM(AP121:AP131)</f>
        <v>59199760.605509937</v>
      </c>
      <c r="AQ132" s="4">
        <f>AQ133-SUM(AQ121:AQ131)</f>
        <v>61421062.743905962</v>
      </c>
      <c r="AR132" s="4"/>
      <c r="AS132" s="4"/>
      <c r="AT132" s="4"/>
      <c r="AU132" s="4"/>
      <c r="AV132" s="4"/>
      <c r="AW132" s="4"/>
      <c r="AX132" s="4"/>
      <c r="AY132" s="4"/>
      <c r="AZ132" s="4"/>
      <c r="BA132" s="4"/>
      <c r="BB132" s="4"/>
      <c r="BC132" s="4"/>
      <c r="BD132" s="4"/>
      <c r="BF132" s="83">
        <f t="shared" si="173"/>
        <v>-0.72708275547784595</v>
      </c>
      <c r="BG132" s="3">
        <v>2247851.0743916817</v>
      </c>
      <c r="BH132" s="3">
        <f t="shared" si="176"/>
        <v>-413377.0743916817</v>
      </c>
      <c r="BI132" s="3">
        <v>3465790.077180922</v>
      </c>
      <c r="BJ132" s="3">
        <f t="shared" si="166"/>
        <v>2476500.922819078</v>
      </c>
      <c r="BK132" s="3">
        <v>6600350.8799109459</v>
      </c>
      <c r="BL132" s="3">
        <f t="shared" si="167"/>
        <v>-1799884.8799109459</v>
      </c>
      <c r="BM132" s="3">
        <v>2708298.5627390146</v>
      </c>
      <c r="BN132" s="3">
        <f t="shared" si="168"/>
        <v>1755043.4372609854</v>
      </c>
      <c r="BO132" s="3">
        <v>627150.34853629395</v>
      </c>
      <c r="BP132" s="3">
        <f t="shared" si="169"/>
        <v>590972.65146370605</v>
      </c>
      <c r="BQ132" s="4">
        <v>2110642.6850343207</v>
      </c>
      <c r="BR132" s="18">
        <f t="shared" si="170"/>
        <v>-523403.68503432069</v>
      </c>
      <c r="BS132" s="4">
        <v>5857567.6228429899</v>
      </c>
      <c r="BT132" s="18">
        <f t="shared" si="171"/>
        <v>-1973874.3611100651</v>
      </c>
    </row>
    <row r="133" spans="1:72" ht="15.75" thickBot="1">
      <c r="A133" s="2" t="s">
        <v>29</v>
      </c>
      <c r="B133" s="3">
        <f>SUM(B121:B132)</f>
        <v>0</v>
      </c>
      <c r="C133" s="3">
        <f t="shared" ref="C133:P133" si="184">SUM(C121:C132)</f>
        <v>0</v>
      </c>
      <c r="D133" s="3">
        <f t="shared" si="184"/>
        <v>0</v>
      </c>
      <c r="E133" s="3">
        <f t="shared" si="184"/>
        <v>0</v>
      </c>
      <c r="F133" s="3">
        <f t="shared" si="184"/>
        <v>0</v>
      </c>
      <c r="G133" s="3">
        <f t="shared" si="184"/>
        <v>11035534</v>
      </c>
      <c r="H133" s="3">
        <f t="shared" si="184"/>
        <v>167243</v>
      </c>
      <c r="I133" s="3">
        <f t="shared" si="184"/>
        <v>1615948</v>
      </c>
      <c r="J133" s="3">
        <f t="shared" si="184"/>
        <v>8318024</v>
      </c>
      <c r="K133" s="3">
        <f t="shared" si="184"/>
        <v>11139737</v>
      </c>
      <c r="L133" s="3">
        <f t="shared" si="184"/>
        <v>24287817</v>
      </c>
      <c r="M133" s="3">
        <f t="shared" si="184"/>
        <v>33003561</v>
      </c>
      <c r="N133" s="3">
        <f t="shared" si="184"/>
        <v>30609660</v>
      </c>
      <c r="O133" s="3">
        <f t="shared" si="184"/>
        <v>6136530</v>
      </c>
      <c r="P133" s="3">
        <f t="shared" si="184"/>
        <v>7406488</v>
      </c>
      <c r="Q133" s="4">
        <f t="shared" ref="Q133:AD133" si="185">Q8</f>
        <v>15537237.095395923</v>
      </c>
      <c r="R133" s="4">
        <f t="shared" si="185"/>
        <v>19211364.360751152</v>
      </c>
      <c r="S133" s="4">
        <f t="shared" si="185"/>
        <v>15553436.850401044</v>
      </c>
      <c r="T133" s="4">
        <f t="shared" si="185"/>
        <v>12494674.848424315</v>
      </c>
      <c r="U133" s="4">
        <f t="shared" si="185"/>
        <v>15525544.271675706</v>
      </c>
      <c r="V133" s="4">
        <f t="shared" si="185"/>
        <v>20698710.794027805</v>
      </c>
      <c r="W133" s="4">
        <f t="shared" si="185"/>
        <v>21406084.903917909</v>
      </c>
      <c r="X133" s="4">
        <f t="shared" si="185"/>
        <v>22594679.401286244</v>
      </c>
      <c r="Y133" s="4">
        <f t="shared" si="185"/>
        <v>25723917.206843615</v>
      </c>
      <c r="Z133" s="4">
        <f t="shared" si="185"/>
        <v>29552522.368868351</v>
      </c>
      <c r="AA133" s="4">
        <f t="shared" si="185"/>
        <v>33877563.854671717</v>
      </c>
      <c r="AB133" s="4">
        <f t="shared" si="185"/>
        <v>38376060.626684189</v>
      </c>
      <c r="AC133" s="4">
        <f t="shared" si="185"/>
        <v>43405789.527772665</v>
      </c>
      <c r="AD133" s="4">
        <f t="shared" si="185"/>
        <v>49038776.575518131</v>
      </c>
      <c r="AE133" s="4">
        <f>AE8</f>
        <v>55482920.378974915</v>
      </c>
      <c r="AF133" s="4">
        <f>AF8</f>
        <v>62407636.572720051</v>
      </c>
      <c r="AG133" s="4">
        <f>AG8</f>
        <v>69675866.53913641</v>
      </c>
      <c r="AH133" s="4">
        <f t="shared" ref="AH133:AO133" si="186">AH8</f>
        <v>97235435.116219044</v>
      </c>
      <c r="AI133" s="4">
        <f t="shared" si="186"/>
        <v>126806746.22892952</v>
      </c>
      <c r="AJ133" s="4">
        <f t="shared" si="186"/>
        <v>156858539.09990215</v>
      </c>
      <c r="AK133" s="4">
        <f t="shared" si="186"/>
        <v>187135290.9780407</v>
      </c>
      <c r="AL133" s="4">
        <f t="shared" si="186"/>
        <v>217816000.77013206</v>
      </c>
      <c r="AM133" s="4">
        <f t="shared" si="186"/>
        <v>249533999.44234467</v>
      </c>
      <c r="AN133" s="4">
        <f t="shared" si="186"/>
        <v>281500772.07781219</v>
      </c>
      <c r="AO133" s="4">
        <f t="shared" si="186"/>
        <v>314016355.17526436</v>
      </c>
      <c r="AP133" s="4">
        <f>AP8</f>
        <v>347153059.97424889</v>
      </c>
      <c r="AQ133" s="4">
        <f>AQ8</f>
        <v>380896418.54087067</v>
      </c>
      <c r="AR133" s="4"/>
      <c r="AS133" s="4"/>
      <c r="AT133" s="4"/>
      <c r="AU133" s="4"/>
      <c r="AV133" s="4"/>
      <c r="AW133" s="4"/>
      <c r="AX133" s="4"/>
      <c r="AY133" s="4"/>
      <c r="AZ133" s="4"/>
      <c r="BA133" s="4"/>
      <c r="BB133" s="4"/>
      <c r="BC133" s="4"/>
      <c r="BD133" s="4"/>
      <c r="BG133" s="3">
        <v>11554673.247669816</v>
      </c>
      <c r="BH133" s="3">
        <f t="shared" si="176"/>
        <v>-414936.24766981602</v>
      </c>
      <c r="BI133" s="3">
        <v>21811316.077180922</v>
      </c>
      <c r="BJ133" s="3">
        <f t="shared" si="166"/>
        <v>2476500.922819078</v>
      </c>
      <c r="BK133" s="3">
        <v>34803445.879910946</v>
      </c>
      <c r="BL133" s="3">
        <f t="shared" si="167"/>
        <v>-1799884.8799109459</v>
      </c>
      <c r="BM133" s="3">
        <v>28854616.562739015</v>
      </c>
      <c r="BN133" s="3">
        <f t="shared" si="168"/>
        <v>1755043.4372609854</v>
      </c>
      <c r="BO133" s="3">
        <v>5630783.6608871222</v>
      </c>
      <c r="BP133" s="3">
        <f t="shared" si="169"/>
        <v>505746.33911287785</v>
      </c>
      <c r="BQ133" s="4">
        <v>9464076.1501019001</v>
      </c>
      <c r="BR133" s="18">
        <f t="shared" si="170"/>
        <v>-2057588.1501019001</v>
      </c>
      <c r="BS133" s="19">
        <v>32990961.585818648</v>
      </c>
      <c r="BT133" s="18">
        <f t="shared" si="171"/>
        <v>-17453724.490422726</v>
      </c>
    </row>
    <row r="134" spans="1:72">
      <c r="A134" s="114"/>
      <c r="B134" s="114"/>
      <c r="C134" s="114"/>
      <c r="D134" s="114"/>
      <c r="E134" s="114"/>
      <c r="F134" s="120"/>
      <c r="G134" s="120">
        <f t="shared" ref="G134:Q134" si="187">G132/G131-1</f>
        <v>-0.3926287708573003</v>
      </c>
      <c r="H134" s="120">
        <f t="shared" si="187"/>
        <v>-1</v>
      </c>
      <c r="I134" s="120">
        <f t="shared" si="187"/>
        <v>0.2965681119215049</v>
      </c>
      <c r="J134" s="120">
        <f t="shared" si="187"/>
        <v>0.96344622333438301</v>
      </c>
      <c r="K134" s="120">
        <f t="shared" si="187"/>
        <v>0.56677083484575053</v>
      </c>
      <c r="L134" s="120">
        <f t="shared" si="187"/>
        <v>0.93646446018726937</v>
      </c>
      <c r="M134" s="120">
        <f t="shared" si="187"/>
        <v>1.0261747929492584</v>
      </c>
      <c r="N134" s="120">
        <f t="shared" si="187"/>
        <v>0.35722263526714371</v>
      </c>
      <c r="O134" s="120">
        <f t="shared" si="187"/>
        <v>2.5897992803444443</v>
      </c>
      <c r="P134" s="120">
        <f t="shared" si="187"/>
        <v>-0.17582075788148765</v>
      </c>
      <c r="Q134" s="120">
        <f t="shared" si="187"/>
        <v>1.3069404475831603</v>
      </c>
      <c r="R134" s="114"/>
      <c r="S134" s="114"/>
      <c r="T134" s="114"/>
      <c r="U134" s="114"/>
      <c r="V134" s="114"/>
      <c r="W134" s="114"/>
      <c r="X134" s="114"/>
      <c r="Y134" s="114"/>
      <c r="Z134" s="114"/>
      <c r="AA134" s="114"/>
      <c r="AB134" s="114"/>
      <c r="AC134" s="114"/>
      <c r="AD134" s="114"/>
      <c r="AE134" s="114"/>
      <c r="AF134" s="114"/>
      <c r="AG134" s="114"/>
      <c r="AH134" s="114"/>
      <c r="AI134" s="114"/>
      <c r="AJ134" s="114"/>
      <c r="AK134" s="114"/>
      <c r="AL134" s="114"/>
      <c r="AM134" s="114"/>
      <c r="AN134" s="114"/>
      <c r="AO134" s="114"/>
      <c r="AP134" s="114"/>
      <c r="AQ134" s="114"/>
      <c r="AR134" s="2"/>
      <c r="AS134" s="2"/>
      <c r="AT134" s="2"/>
      <c r="AU134" s="2"/>
      <c r="AV134" s="2"/>
      <c r="AW134" s="2"/>
      <c r="AX134" s="2"/>
      <c r="AY134" s="2"/>
      <c r="AZ134" s="2"/>
      <c r="BA134" s="2"/>
      <c r="BB134" s="2"/>
      <c r="BC134" s="2"/>
      <c r="BD134" s="2"/>
      <c r="BR134" s="117"/>
    </row>
    <row r="135" spans="1:72" ht="16.5" thickBot="1">
      <c r="A135" s="109" t="s">
        <v>249</v>
      </c>
      <c r="BR135" s="117"/>
    </row>
    <row r="136" spans="1:72" ht="15.75" thickBot="1">
      <c r="A136" s="110"/>
      <c r="B136" s="111">
        <f t="shared" ref="B136:K136" si="188">B2</f>
        <v>2010</v>
      </c>
      <c r="C136" s="111">
        <f t="shared" si="188"/>
        <v>2011</v>
      </c>
      <c r="D136" s="111">
        <f t="shared" si="188"/>
        <v>2012</v>
      </c>
      <c r="E136" s="111">
        <f t="shared" si="188"/>
        <v>2013</v>
      </c>
      <c r="F136" s="111">
        <f t="shared" si="188"/>
        <v>2014</v>
      </c>
      <c r="G136" s="111">
        <f t="shared" si="188"/>
        <v>2015</v>
      </c>
      <c r="H136" s="111">
        <f t="shared" si="188"/>
        <v>2016</v>
      </c>
      <c r="I136" s="111">
        <f t="shared" si="188"/>
        <v>2017</v>
      </c>
      <c r="J136" s="111">
        <f t="shared" si="188"/>
        <v>2018</v>
      </c>
      <c r="K136" s="111">
        <f t="shared" si="188"/>
        <v>2019</v>
      </c>
      <c r="L136" s="111">
        <f>L2</f>
        <v>2020</v>
      </c>
      <c r="M136" s="111">
        <f>M2</f>
        <v>2021</v>
      </c>
      <c r="N136" s="111">
        <f t="shared" ref="N136:AD136" si="189">N2</f>
        <v>2022</v>
      </c>
      <c r="O136" s="111">
        <f t="shared" si="189"/>
        <v>2023</v>
      </c>
      <c r="P136" s="111">
        <f t="shared" si="189"/>
        <v>2024</v>
      </c>
      <c r="Q136" s="111">
        <f t="shared" si="189"/>
        <v>2025</v>
      </c>
      <c r="R136" s="111">
        <f t="shared" si="189"/>
        <v>2026</v>
      </c>
      <c r="S136" s="111">
        <f t="shared" si="189"/>
        <v>2027</v>
      </c>
      <c r="T136" s="111">
        <f t="shared" si="189"/>
        <v>2028</v>
      </c>
      <c r="U136" s="111">
        <f t="shared" si="189"/>
        <v>2029</v>
      </c>
      <c r="V136" s="111">
        <f t="shared" si="189"/>
        <v>2030</v>
      </c>
      <c r="W136" s="111">
        <f t="shared" si="189"/>
        <v>2031</v>
      </c>
      <c r="X136" s="111">
        <f t="shared" si="189"/>
        <v>2032</v>
      </c>
      <c r="Y136" s="111">
        <f t="shared" si="189"/>
        <v>2033</v>
      </c>
      <c r="Z136" s="111">
        <f t="shared" si="189"/>
        <v>2034</v>
      </c>
      <c r="AA136" s="111">
        <f t="shared" si="189"/>
        <v>2035</v>
      </c>
      <c r="AB136" s="111">
        <f t="shared" si="189"/>
        <v>2036</v>
      </c>
      <c r="AC136" s="111">
        <f t="shared" si="189"/>
        <v>2037</v>
      </c>
      <c r="AD136" s="111">
        <f t="shared" si="189"/>
        <v>2038</v>
      </c>
      <c r="AE136" s="111">
        <f>AE2</f>
        <v>2039</v>
      </c>
      <c r="AF136" s="111">
        <f>AF2</f>
        <v>2040</v>
      </c>
      <c r="AG136" s="111">
        <f>AG2</f>
        <v>2041</v>
      </c>
      <c r="AH136" s="111">
        <f t="shared" ref="AH136:AO136" si="190">AH2</f>
        <v>2042</v>
      </c>
      <c r="AI136" s="111">
        <f t="shared" si="190"/>
        <v>2043</v>
      </c>
      <c r="AJ136" s="111">
        <f t="shared" si="190"/>
        <v>2044</v>
      </c>
      <c r="AK136" s="111">
        <f t="shared" si="190"/>
        <v>2045</v>
      </c>
      <c r="AL136" s="111">
        <f t="shared" si="190"/>
        <v>2046</v>
      </c>
      <c r="AM136" s="111">
        <f t="shared" si="190"/>
        <v>2047</v>
      </c>
      <c r="AN136" s="111">
        <f t="shared" si="190"/>
        <v>2048</v>
      </c>
      <c r="AO136" s="111">
        <f t="shared" si="190"/>
        <v>2049</v>
      </c>
      <c r="AP136" s="111">
        <f>AP2</f>
        <v>2050</v>
      </c>
      <c r="AQ136" s="111">
        <f>AQ2</f>
        <v>2051</v>
      </c>
      <c r="AR136" s="94"/>
      <c r="AS136" s="94"/>
      <c r="AT136" s="94"/>
      <c r="AU136" s="94"/>
      <c r="AV136" s="94"/>
      <c r="AW136" s="94"/>
      <c r="AX136" s="94"/>
      <c r="AY136" s="94"/>
      <c r="AZ136" s="94"/>
      <c r="BA136" s="94"/>
      <c r="BB136" s="94"/>
      <c r="BC136" s="94"/>
      <c r="BD136" s="94"/>
      <c r="BR136" s="117"/>
    </row>
    <row r="137" spans="1:72">
      <c r="A137" s="2" t="s">
        <v>43</v>
      </c>
      <c r="B137" s="3">
        <f t="shared" ref="B137:AQ143" si="191">B153+B169</f>
        <v>0</v>
      </c>
      <c r="C137" s="3">
        <f t="shared" si="191"/>
        <v>0</v>
      </c>
      <c r="D137" s="3">
        <f t="shared" si="191"/>
        <v>0</v>
      </c>
      <c r="E137" s="3">
        <f t="shared" si="191"/>
        <v>0</v>
      </c>
      <c r="F137" s="3">
        <f t="shared" si="191"/>
        <v>0</v>
      </c>
      <c r="G137" s="3">
        <f t="shared" si="191"/>
        <v>2564904</v>
      </c>
      <c r="H137" s="3">
        <f t="shared" si="191"/>
        <v>161044</v>
      </c>
      <c r="I137" s="3">
        <f t="shared" si="191"/>
        <v>138431</v>
      </c>
      <c r="J137" s="3">
        <f t="shared" si="191"/>
        <v>186414</v>
      </c>
      <c r="K137" s="3">
        <f t="shared" si="191"/>
        <v>185308</v>
      </c>
      <c r="L137" s="3">
        <f t="shared" si="191"/>
        <v>51166</v>
      </c>
      <c r="M137" s="3">
        <f t="shared" si="191"/>
        <v>1179715</v>
      </c>
      <c r="N137" s="3">
        <f t="shared" si="191"/>
        <v>99241</v>
      </c>
      <c r="O137" s="3">
        <f t="shared" si="191"/>
        <v>604446</v>
      </c>
      <c r="P137" s="3">
        <f t="shared" si="191"/>
        <v>503018</v>
      </c>
      <c r="Q137" s="3">
        <f t="shared" si="191"/>
        <v>0</v>
      </c>
      <c r="R137" s="4">
        <f t="shared" si="191"/>
        <v>97165.293720906833</v>
      </c>
      <c r="S137" s="4">
        <f t="shared" si="191"/>
        <v>65672.762484400402</v>
      </c>
      <c r="T137" s="4">
        <f t="shared" si="191"/>
        <v>200892.46333454101</v>
      </c>
      <c r="U137" s="4">
        <f t="shared" si="191"/>
        <v>146569.82999364167</v>
      </c>
      <c r="V137" s="4">
        <f t="shared" si="191"/>
        <v>98210.992620170102</v>
      </c>
      <c r="W137" s="4">
        <f t="shared" si="191"/>
        <v>152628.25605005454</v>
      </c>
      <c r="X137" s="4">
        <f t="shared" si="191"/>
        <v>171926.24222567232</v>
      </c>
      <c r="Y137" s="4">
        <f t="shared" si="191"/>
        <v>211152.7881985016</v>
      </c>
      <c r="Z137" s="4">
        <f t="shared" si="191"/>
        <v>218176.79130126772</v>
      </c>
      <c r="AA137" s="4">
        <f t="shared" si="191"/>
        <v>240277.46110373878</v>
      </c>
      <c r="AB137" s="4">
        <f t="shared" si="191"/>
        <v>285382.84174886276</v>
      </c>
      <c r="AC137" s="4">
        <f t="shared" si="191"/>
        <v>326944.80157511128</v>
      </c>
      <c r="AD137" s="4">
        <f t="shared" si="191"/>
        <v>368902.06731726107</v>
      </c>
      <c r="AE137" s="4">
        <f t="shared" si="191"/>
        <v>410355.77927591914</v>
      </c>
      <c r="AF137" s="4">
        <f t="shared" si="191"/>
        <v>461978.10303549218</v>
      </c>
      <c r="AG137" s="4">
        <f t="shared" si="191"/>
        <v>519367.13376630814</v>
      </c>
      <c r="AH137" s="4">
        <f t="shared" si="191"/>
        <v>725803.07258893922</v>
      </c>
      <c r="AI137" s="4">
        <f t="shared" si="191"/>
        <v>943913.44810500648</v>
      </c>
      <c r="AJ137" s="4">
        <f t="shared" si="191"/>
        <v>1167021.5722881462</v>
      </c>
      <c r="AK137" s="4">
        <f t="shared" si="191"/>
        <v>1393208.9351744601</v>
      </c>
      <c r="AL137" s="4">
        <f t="shared" si="191"/>
        <v>1621492.3229843329</v>
      </c>
      <c r="AM137" s="4">
        <f t="shared" si="191"/>
        <v>1858367.3972336459</v>
      </c>
      <c r="AN137" s="4">
        <f t="shared" si="191"/>
        <v>2095431.3699191855</v>
      </c>
      <c r="AO137" s="4">
        <f t="shared" si="191"/>
        <v>2337264.2008388811</v>
      </c>
      <c r="AP137" s="4">
        <f t="shared" si="191"/>
        <v>2583783.0887752702</v>
      </c>
      <c r="AQ137" s="4">
        <f t="shared" si="191"/>
        <v>2834794.3276599101</v>
      </c>
      <c r="AR137" s="4"/>
      <c r="AS137" s="4"/>
      <c r="AT137" s="4"/>
      <c r="AU137" s="4"/>
      <c r="AV137" s="4"/>
      <c r="AW137" s="4"/>
      <c r="AX137" s="4"/>
      <c r="AY137" s="4"/>
      <c r="AZ137" s="4"/>
      <c r="BA137" s="4"/>
      <c r="BB137" s="4"/>
      <c r="BC137" s="4"/>
      <c r="BD137" s="4"/>
      <c r="BI137" s="3">
        <v>1197299.8838114084</v>
      </c>
      <c r="BJ137" s="3">
        <f t="shared" ref="BJ137:BJ149" si="192">L137-BI137</f>
        <v>-1146133.8838114084</v>
      </c>
      <c r="BK137" s="3">
        <v>131839.76114685193</v>
      </c>
      <c r="BL137" s="3">
        <f t="shared" ref="BL137:BL149" si="193">M137-BK137</f>
        <v>1047875.2388531481</v>
      </c>
      <c r="BM137" s="3">
        <v>454783.69811424235</v>
      </c>
      <c r="BN137" s="3">
        <f t="shared" ref="BN137:BN149" si="194">N137-BM137</f>
        <v>-355542.69811424235</v>
      </c>
      <c r="BO137" s="3">
        <v>348424.24902538641</v>
      </c>
      <c r="BP137" s="3">
        <f t="shared" ref="BP137:BP149" si="195">O137-BO137</f>
        <v>256021.75097461359</v>
      </c>
      <c r="BQ137" s="3">
        <v>503018</v>
      </c>
      <c r="BR137" s="18">
        <f t="shared" ref="BR137:BR149" si="196">P137-BQ137</f>
        <v>0</v>
      </c>
      <c r="BS137" s="3">
        <v>0</v>
      </c>
      <c r="BT137" s="18">
        <f>Q137-BS137</f>
        <v>0</v>
      </c>
    </row>
    <row r="138" spans="1:72">
      <c r="A138" s="2" t="s">
        <v>44</v>
      </c>
      <c r="B138" s="3">
        <f t="shared" si="191"/>
        <v>0</v>
      </c>
      <c r="C138" s="3">
        <f t="shared" si="191"/>
        <v>0</v>
      </c>
      <c r="D138" s="3">
        <f t="shared" si="191"/>
        <v>0</v>
      </c>
      <c r="E138" s="3">
        <f t="shared" si="191"/>
        <v>0</v>
      </c>
      <c r="F138" s="3">
        <f t="shared" si="191"/>
        <v>0</v>
      </c>
      <c r="G138" s="3">
        <f t="shared" si="191"/>
        <v>4177740</v>
      </c>
      <c r="H138" s="3">
        <f t="shared" si="191"/>
        <v>6478644</v>
      </c>
      <c r="I138" s="3">
        <f t="shared" si="191"/>
        <v>6068455</v>
      </c>
      <c r="J138" s="3">
        <f t="shared" si="191"/>
        <v>6184829</v>
      </c>
      <c r="K138" s="3">
        <f t="shared" si="191"/>
        <v>6336702</v>
      </c>
      <c r="L138" s="3">
        <f t="shared" si="191"/>
        <v>7611856</v>
      </c>
      <c r="M138" s="3">
        <f t="shared" si="191"/>
        <v>5801041</v>
      </c>
      <c r="N138" s="3">
        <f t="shared" si="191"/>
        <v>7063760</v>
      </c>
      <c r="O138" s="3">
        <f t="shared" si="191"/>
        <v>7377836</v>
      </c>
      <c r="P138" s="3">
        <f t="shared" si="191"/>
        <v>6476342</v>
      </c>
      <c r="Q138" s="3">
        <f t="shared" si="191"/>
        <v>0</v>
      </c>
      <c r="R138" s="4">
        <f t="shared" si="191"/>
        <v>1412272.9222683448</v>
      </c>
      <c r="S138" s="4">
        <f t="shared" si="191"/>
        <v>1124718.1910554317</v>
      </c>
      <c r="T138" s="4">
        <f t="shared" si="191"/>
        <v>2592188.4673202988</v>
      </c>
      <c r="U138" s="4">
        <f t="shared" si="191"/>
        <v>1962529.2535435804</v>
      </c>
      <c r="V138" s="4">
        <f t="shared" si="191"/>
        <v>1364850.650436582</v>
      </c>
      <c r="W138" s="4">
        <f t="shared" si="191"/>
        <v>1886620.3804475521</v>
      </c>
      <c r="X138" s="4">
        <f t="shared" si="191"/>
        <v>2064295.4756985577</v>
      </c>
      <c r="Y138" s="4">
        <f t="shared" si="191"/>
        <v>2418231.4901829748</v>
      </c>
      <c r="Z138" s="4">
        <f t="shared" si="191"/>
        <v>2441304.7981348359</v>
      </c>
      <c r="AA138" s="4">
        <f t="shared" si="191"/>
        <v>2606857.3885932909</v>
      </c>
      <c r="AB138" s="4">
        <f t="shared" si="191"/>
        <v>2997111.5131269945</v>
      </c>
      <c r="AC138" s="4">
        <f t="shared" si="191"/>
        <v>3341310.6339124828</v>
      </c>
      <c r="AD138" s="4">
        <f t="shared" si="191"/>
        <v>3671963.0745212426</v>
      </c>
      <c r="AE138" s="4">
        <f t="shared" si="191"/>
        <v>3991611.8279856117</v>
      </c>
      <c r="AF138" s="4">
        <f t="shared" si="191"/>
        <v>4396781.9258946218</v>
      </c>
      <c r="AG138" s="4">
        <f t="shared" si="191"/>
        <v>4844305.6713861302</v>
      </c>
      <c r="AH138" s="4">
        <f t="shared" si="191"/>
        <v>6645236.1590607492</v>
      </c>
      <c r="AI138" s="4">
        <f t="shared" si="191"/>
        <v>8481464.6639152691</v>
      </c>
      <c r="AJ138" s="4">
        <f t="shared" si="191"/>
        <v>10304803.235531019</v>
      </c>
      <c r="AK138" s="4">
        <f t="shared" si="191"/>
        <v>12111500.371436967</v>
      </c>
      <c r="AL138" s="4">
        <f t="shared" si="191"/>
        <v>13905801.252097942</v>
      </c>
      <c r="AM138" s="4">
        <f t="shared" si="191"/>
        <v>15752571.266141839</v>
      </c>
      <c r="AN138" s="4">
        <f t="shared" si="191"/>
        <v>17570691.238389648</v>
      </c>
      <c r="AO138" s="4">
        <f t="shared" si="191"/>
        <v>19405728.840092525</v>
      </c>
      <c r="AP138" s="4">
        <f t="shared" si="191"/>
        <v>21261494.385907423</v>
      </c>
      <c r="AQ138" s="4">
        <f t="shared" si="191"/>
        <v>23139657.458551042</v>
      </c>
      <c r="AR138" s="4"/>
      <c r="AS138" s="4"/>
      <c r="AT138" s="4"/>
      <c r="AU138" s="4"/>
      <c r="AV138" s="4"/>
      <c r="AW138" s="4"/>
      <c r="AX138" s="4"/>
      <c r="AY138" s="4"/>
      <c r="AZ138" s="4"/>
      <c r="BA138" s="4"/>
      <c r="BB138" s="4"/>
      <c r="BC138" s="4"/>
      <c r="BD138" s="4"/>
      <c r="BI138" s="3">
        <v>11405644.734220494</v>
      </c>
      <c r="BJ138" s="3">
        <f t="shared" si="192"/>
        <v>-3793788.7342204936</v>
      </c>
      <c r="BK138" s="3">
        <v>8491144.815837767</v>
      </c>
      <c r="BL138" s="3">
        <f t="shared" si="193"/>
        <v>-2690103.815837767</v>
      </c>
      <c r="BM138" s="3">
        <v>6901421.631065011</v>
      </c>
      <c r="BN138" s="3">
        <f t="shared" si="194"/>
        <v>162338.36893498898</v>
      </c>
      <c r="BO138" s="3">
        <v>5940145.4968708418</v>
      </c>
      <c r="BP138" s="3">
        <f t="shared" si="195"/>
        <v>1437690.5031291582</v>
      </c>
      <c r="BQ138" s="3">
        <v>6476342</v>
      </c>
      <c r="BR138" s="18">
        <f t="shared" si="196"/>
        <v>0</v>
      </c>
      <c r="BS138" s="3">
        <v>4946755.3294118922</v>
      </c>
      <c r="BT138" s="18">
        <f t="shared" ref="BT138:BT149" si="197">Q138-BS138</f>
        <v>-4946755.3294118922</v>
      </c>
    </row>
    <row r="139" spans="1:72">
      <c r="A139" s="2" t="s">
        <v>45</v>
      </c>
      <c r="B139" s="3">
        <f t="shared" si="191"/>
        <v>0</v>
      </c>
      <c r="C139" s="3">
        <f t="shared" si="191"/>
        <v>0</v>
      </c>
      <c r="D139" s="3">
        <f t="shared" si="191"/>
        <v>0</v>
      </c>
      <c r="E139" s="3">
        <f t="shared" si="191"/>
        <v>0</v>
      </c>
      <c r="F139" s="3">
        <f t="shared" si="191"/>
        <v>0</v>
      </c>
      <c r="G139" s="3">
        <f t="shared" si="191"/>
        <v>3556464</v>
      </c>
      <c r="H139" s="3">
        <f t="shared" si="191"/>
        <v>6064754</v>
      </c>
      <c r="I139" s="3">
        <f t="shared" si="191"/>
        <v>5401702</v>
      </c>
      <c r="J139" s="3">
        <f t="shared" si="191"/>
        <v>5826086</v>
      </c>
      <c r="K139" s="3">
        <f t="shared" si="191"/>
        <v>5918536</v>
      </c>
      <c r="L139" s="3">
        <f t="shared" si="191"/>
        <v>7331770</v>
      </c>
      <c r="M139" s="3">
        <f t="shared" si="191"/>
        <v>6042256</v>
      </c>
      <c r="N139" s="3">
        <f t="shared" si="191"/>
        <v>6583858</v>
      </c>
      <c r="O139" s="3">
        <f t="shared" si="191"/>
        <v>6492241</v>
      </c>
      <c r="P139" s="3">
        <f t="shared" si="191"/>
        <v>5990211</v>
      </c>
      <c r="Q139" s="4">
        <f t="shared" si="191"/>
        <v>4806873.0163004063</v>
      </c>
      <c r="R139" s="4">
        <f t="shared" si="191"/>
        <v>1625409.5909846637</v>
      </c>
      <c r="S139" s="4">
        <f t="shared" si="191"/>
        <v>1284301.8389551258</v>
      </c>
      <c r="T139" s="4">
        <f t="shared" si="191"/>
        <v>3194385.2793492898</v>
      </c>
      <c r="U139" s="4">
        <f t="shared" si="191"/>
        <v>2858041.4385439008</v>
      </c>
      <c r="V139" s="4">
        <f t="shared" si="191"/>
        <v>2649945.7722573974</v>
      </c>
      <c r="W139" s="4">
        <f t="shared" si="191"/>
        <v>2562710.5427918066</v>
      </c>
      <c r="X139" s="4">
        <f t="shared" si="191"/>
        <v>2869790.8212009547</v>
      </c>
      <c r="Y139" s="4">
        <f t="shared" si="191"/>
        <v>3427771.182056088</v>
      </c>
      <c r="Z139" s="4">
        <f t="shared" si="191"/>
        <v>3577159.7397902934</v>
      </c>
      <c r="AA139" s="4">
        <f t="shared" si="191"/>
        <v>3819841.4809417268</v>
      </c>
      <c r="AB139" s="4">
        <f t="shared" si="191"/>
        <v>4225301.9683133326</v>
      </c>
      <c r="AC139" s="4">
        <f t="shared" si="191"/>
        <v>4732829.5060250526</v>
      </c>
      <c r="AD139" s="4">
        <f t="shared" si="191"/>
        <v>5211899.8018548191</v>
      </c>
      <c r="AE139" s="4">
        <f t="shared" si="191"/>
        <v>5663617.3363032211</v>
      </c>
      <c r="AF139" s="4">
        <f t="shared" si="191"/>
        <v>6206460.8208381748</v>
      </c>
      <c r="AG139" s="4">
        <f t="shared" si="191"/>
        <v>6800016.7032933775</v>
      </c>
      <c r="AH139" s="4">
        <f t="shared" si="191"/>
        <v>9318588.6230824199</v>
      </c>
      <c r="AI139" s="4">
        <f t="shared" si="191"/>
        <v>11869005.418349523</v>
      </c>
      <c r="AJ139" s="4">
        <f t="shared" si="191"/>
        <v>14383315.404457105</v>
      </c>
      <c r="AK139" s="4">
        <f t="shared" si="191"/>
        <v>16860421.865272973</v>
      </c>
      <c r="AL139" s="4">
        <f t="shared" si="191"/>
        <v>19316717.482023362</v>
      </c>
      <c r="AM139" s="4">
        <f t="shared" si="191"/>
        <v>21846441.294358842</v>
      </c>
      <c r="AN139" s="4">
        <f t="shared" si="191"/>
        <v>24327671.394854583</v>
      </c>
      <c r="AO139" s="4">
        <f t="shared" si="191"/>
        <v>26825755.977746699</v>
      </c>
      <c r="AP139" s="4">
        <f t="shared" si="191"/>
        <v>29348366.416258425</v>
      </c>
      <c r="AQ139" s="4">
        <f t="shared" si="191"/>
        <v>31899685.294035751</v>
      </c>
      <c r="AR139" s="4"/>
      <c r="AS139" s="4"/>
      <c r="AT139" s="4"/>
      <c r="AU139" s="4"/>
      <c r="AV139" s="4"/>
      <c r="AW139" s="4"/>
      <c r="AX139" s="4"/>
      <c r="AY139" s="4"/>
      <c r="AZ139" s="4"/>
      <c r="BA139" s="4"/>
      <c r="BB139" s="4"/>
      <c r="BC139" s="4"/>
      <c r="BD139" s="4"/>
      <c r="BI139" s="3">
        <v>8241267.687156585</v>
      </c>
      <c r="BJ139" s="3">
        <f t="shared" si="192"/>
        <v>-909497.68715658505</v>
      </c>
      <c r="BK139" s="3">
        <v>7550489.9985601446</v>
      </c>
      <c r="BL139" s="3">
        <f t="shared" si="193"/>
        <v>-1508233.9985601446</v>
      </c>
      <c r="BM139" s="3">
        <v>6630858.0024924334</v>
      </c>
      <c r="BN139" s="3">
        <f t="shared" si="194"/>
        <v>-47000.002492433414</v>
      </c>
      <c r="BO139" s="3">
        <v>7448801.5474166293</v>
      </c>
      <c r="BP139" s="3">
        <f t="shared" si="195"/>
        <v>-956560.54741662927</v>
      </c>
      <c r="BQ139" s="3">
        <v>5990211</v>
      </c>
      <c r="BR139" s="18">
        <f t="shared" si="196"/>
        <v>0</v>
      </c>
      <c r="BS139" s="4">
        <v>4566529.365485386</v>
      </c>
      <c r="BT139" s="18">
        <f t="shared" si="197"/>
        <v>240343.65081502032</v>
      </c>
    </row>
    <row r="140" spans="1:72">
      <c r="A140" s="2" t="s">
        <v>46</v>
      </c>
      <c r="B140" s="3">
        <f t="shared" si="191"/>
        <v>0</v>
      </c>
      <c r="C140" s="3">
        <f t="shared" si="191"/>
        <v>0</v>
      </c>
      <c r="D140" s="3">
        <f t="shared" si="191"/>
        <v>0</v>
      </c>
      <c r="E140" s="3">
        <f t="shared" si="191"/>
        <v>0</v>
      </c>
      <c r="F140" s="3">
        <f t="shared" si="191"/>
        <v>0</v>
      </c>
      <c r="G140" s="3">
        <f t="shared" si="191"/>
        <v>3350984</v>
      </c>
      <c r="H140" s="3">
        <f t="shared" si="191"/>
        <v>7327292</v>
      </c>
      <c r="I140" s="3">
        <f t="shared" si="191"/>
        <v>6356730</v>
      </c>
      <c r="J140" s="3">
        <f t="shared" si="191"/>
        <v>5957582</v>
      </c>
      <c r="K140" s="3">
        <f t="shared" si="191"/>
        <v>6523326</v>
      </c>
      <c r="L140" s="3">
        <f t="shared" si="191"/>
        <v>8390507</v>
      </c>
      <c r="M140" s="3">
        <f t="shared" si="191"/>
        <v>5822780</v>
      </c>
      <c r="N140" s="3">
        <f t="shared" si="191"/>
        <v>7486937</v>
      </c>
      <c r="O140" s="3">
        <f t="shared" si="191"/>
        <v>7819274</v>
      </c>
      <c r="P140" s="3">
        <f t="shared" si="191"/>
        <v>6405665</v>
      </c>
      <c r="Q140" s="4">
        <f t="shared" si="191"/>
        <v>5335352.8932311814</v>
      </c>
      <c r="R140" s="4">
        <f t="shared" si="191"/>
        <v>1794115.3634962903</v>
      </c>
      <c r="S140" s="4">
        <f t="shared" si="191"/>
        <v>1452668.0761302158</v>
      </c>
      <c r="T140" s="4">
        <f t="shared" si="191"/>
        <v>3606834.7072987184</v>
      </c>
      <c r="U140" s="4">
        <f t="shared" si="191"/>
        <v>3144409.9202456931</v>
      </c>
      <c r="V140" s="4">
        <f t="shared" si="191"/>
        <v>2951020.052643483</v>
      </c>
      <c r="W140" s="4">
        <f t="shared" si="191"/>
        <v>2861328.8119932739</v>
      </c>
      <c r="X140" s="4">
        <f t="shared" si="191"/>
        <v>3210449.2878981694</v>
      </c>
      <c r="Y140" s="4">
        <f t="shared" si="191"/>
        <v>3831519.9846204333</v>
      </c>
      <c r="Z140" s="4">
        <f t="shared" si="191"/>
        <v>3988245.138817152</v>
      </c>
      <c r="AA140" s="4">
        <f t="shared" si="191"/>
        <v>4269622.7189155584</v>
      </c>
      <c r="AB140" s="4">
        <f t="shared" si="191"/>
        <v>4726327.4349794481</v>
      </c>
      <c r="AC140" s="4">
        <f t="shared" si="191"/>
        <v>5296016.2336755339</v>
      </c>
      <c r="AD140" s="4">
        <f t="shared" si="191"/>
        <v>5832669.7303733435</v>
      </c>
      <c r="AE140" s="4">
        <f t="shared" si="191"/>
        <v>6339531.3664256036</v>
      </c>
      <c r="AF140" s="4">
        <f t="shared" si="191"/>
        <v>6951692.8953243662</v>
      </c>
      <c r="AG140" s="4">
        <f t="shared" si="191"/>
        <v>7619285.0536459628</v>
      </c>
      <c r="AH140" s="4">
        <f t="shared" si="191"/>
        <v>10444365.398136482</v>
      </c>
      <c r="AI140" s="4">
        <f t="shared" si="191"/>
        <v>13306986.159868654</v>
      </c>
      <c r="AJ140" s="4">
        <f t="shared" si="191"/>
        <v>16131290.864748392</v>
      </c>
      <c r="AK140" s="4">
        <f t="shared" si="191"/>
        <v>18915611.514391594</v>
      </c>
      <c r="AL140" s="4">
        <f t="shared" si="191"/>
        <v>21677019.713384654</v>
      </c>
      <c r="AM140" s="4">
        <f t="shared" si="191"/>
        <v>24521425.890007894</v>
      </c>
      <c r="AN140" s="4">
        <f t="shared" si="191"/>
        <v>27312402.336763021</v>
      </c>
      <c r="AO140" s="4">
        <f t="shared" si="191"/>
        <v>30123155.035220891</v>
      </c>
      <c r="AP140" s="4">
        <f t="shared" si="191"/>
        <v>32962044.869798459</v>
      </c>
      <c r="AQ140" s="4">
        <f t="shared" si="191"/>
        <v>35833549.559177987</v>
      </c>
      <c r="AR140" s="4"/>
      <c r="AS140" s="4"/>
      <c r="AT140" s="4"/>
      <c r="AU140" s="4"/>
      <c r="AV140" s="4"/>
      <c r="AW140" s="4"/>
      <c r="AX140" s="4"/>
      <c r="AY140" s="4"/>
      <c r="AZ140" s="4"/>
      <c r="BA140" s="4"/>
      <c r="BB140" s="4"/>
      <c r="BC140" s="4"/>
      <c r="BD140" s="4"/>
      <c r="BI140" s="3">
        <v>7312188.3153498936</v>
      </c>
      <c r="BJ140" s="3">
        <f t="shared" si="192"/>
        <v>1078318.6846501064</v>
      </c>
      <c r="BK140" s="3">
        <v>6483310.1576295467</v>
      </c>
      <c r="BL140" s="3">
        <f t="shared" si="193"/>
        <v>-660530.15762954671</v>
      </c>
      <c r="BM140" s="3">
        <v>7139703.3195591075</v>
      </c>
      <c r="BN140" s="3">
        <f t="shared" si="194"/>
        <v>347233.68044089247</v>
      </c>
      <c r="BO140" s="3">
        <v>8796305.0958619379</v>
      </c>
      <c r="BP140" s="3">
        <f t="shared" si="195"/>
        <v>-977031.09586193785</v>
      </c>
      <c r="BQ140" s="3">
        <v>6405665</v>
      </c>
      <c r="BR140" s="18">
        <f t="shared" si="196"/>
        <v>0</v>
      </c>
      <c r="BS140" s="4">
        <v>5068585.2485696217</v>
      </c>
      <c r="BT140" s="18">
        <f t="shared" si="197"/>
        <v>266767.64466155972</v>
      </c>
    </row>
    <row r="141" spans="1:72">
      <c r="A141" s="2" t="s">
        <v>47</v>
      </c>
      <c r="B141" s="3">
        <f t="shared" si="191"/>
        <v>0</v>
      </c>
      <c r="C141" s="3">
        <f t="shared" si="191"/>
        <v>0</v>
      </c>
      <c r="D141" s="3">
        <f t="shared" si="191"/>
        <v>0</v>
      </c>
      <c r="E141" s="3">
        <f t="shared" si="191"/>
        <v>0</v>
      </c>
      <c r="F141" s="3">
        <f t="shared" si="191"/>
        <v>0</v>
      </c>
      <c r="G141" s="3">
        <f t="shared" si="191"/>
        <v>3348786</v>
      </c>
      <c r="H141" s="3">
        <f t="shared" si="191"/>
        <v>7027645</v>
      </c>
      <c r="I141" s="3">
        <f t="shared" si="191"/>
        <v>7796605</v>
      </c>
      <c r="J141" s="3">
        <f t="shared" si="191"/>
        <v>5583806</v>
      </c>
      <c r="K141" s="3">
        <f t="shared" si="191"/>
        <v>4452606</v>
      </c>
      <c r="L141" s="3">
        <f t="shared" si="191"/>
        <v>8186289</v>
      </c>
      <c r="M141" s="3">
        <f t="shared" si="191"/>
        <v>5946988</v>
      </c>
      <c r="N141" s="3">
        <f t="shared" si="191"/>
        <v>7871065</v>
      </c>
      <c r="O141" s="3">
        <f t="shared" si="191"/>
        <v>6556276</v>
      </c>
      <c r="P141" s="3">
        <f t="shared" si="191"/>
        <v>6576221</v>
      </c>
      <c r="Q141" s="4">
        <f t="shared" si="191"/>
        <v>6561382.5806687819</v>
      </c>
      <c r="R141" s="4">
        <f t="shared" si="191"/>
        <v>2328535.9206347056</v>
      </c>
      <c r="S141" s="4">
        <f t="shared" si="191"/>
        <v>1907171.371810965</v>
      </c>
      <c r="T141" s="4">
        <f t="shared" si="191"/>
        <v>4793516.0497542433</v>
      </c>
      <c r="U141" s="4">
        <f t="shared" si="191"/>
        <v>4748072.5667198943</v>
      </c>
      <c r="V141" s="4">
        <f t="shared" si="191"/>
        <v>4958145.9614976849</v>
      </c>
      <c r="W141" s="4">
        <f t="shared" si="191"/>
        <v>4585790.6006353553</v>
      </c>
      <c r="X141" s="4">
        <f t="shared" si="191"/>
        <v>5305250.6352049503</v>
      </c>
      <c r="Y141" s="4">
        <f t="shared" si="191"/>
        <v>6524307.4286832772</v>
      </c>
      <c r="Z141" s="4">
        <f t="shared" si="191"/>
        <v>7126663.6426467607</v>
      </c>
      <c r="AA141" s="4">
        <f t="shared" si="191"/>
        <v>7846167.7290806817</v>
      </c>
      <c r="AB141" s="4">
        <f t="shared" si="191"/>
        <v>8799726.7903520428</v>
      </c>
      <c r="AC141" s="4">
        <f t="shared" si="191"/>
        <v>10089485.559919</v>
      </c>
      <c r="AD141" s="4">
        <f t="shared" si="191"/>
        <v>11354584.915694378</v>
      </c>
      <c r="AE141" s="4">
        <f t="shared" si="191"/>
        <v>12594870.437535906</v>
      </c>
      <c r="AF141" s="4">
        <f t="shared" si="191"/>
        <v>14025756.711940691</v>
      </c>
      <c r="AG141" s="4">
        <f t="shared" si="191"/>
        <v>15578327.312758882</v>
      </c>
      <c r="AH141" s="4">
        <f t="shared" si="191"/>
        <v>21639259.064905807</v>
      </c>
      <c r="AI141" s="4">
        <f t="shared" si="191"/>
        <v>27922550.047611382</v>
      </c>
      <c r="AJ141" s="4">
        <f t="shared" si="191"/>
        <v>34225299.754425079</v>
      </c>
      <c r="AK141" s="4">
        <f t="shared" si="191"/>
        <v>40494476.975745074</v>
      </c>
      <c r="AL141" s="4">
        <f t="shared" si="191"/>
        <v>46744290.83559218</v>
      </c>
      <c r="AM141" s="4">
        <f t="shared" si="191"/>
        <v>53183996.421788089</v>
      </c>
      <c r="AN141" s="4">
        <f t="shared" si="191"/>
        <v>59524515.069072641</v>
      </c>
      <c r="AO141" s="4">
        <f t="shared" si="191"/>
        <v>65903536.800806001</v>
      </c>
      <c r="AP141" s="4">
        <f t="shared" si="191"/>
        <v>72325372.748702526</v>
      </c>
      <c r="AQ141" s="4">
        <f t="shared" si="191"/>
        <v>78791870.719718874</v>
      </c>
      <c r="AR141" s="4"/>
      <c r="AS141" s="4"/>
      <c r="AT141" s="4"/>
      <c r="AU141" s="4"/>
      <c r="AV141" s="4"/>
      <c r="AW141" s="4"/>
      <c r="AX141" s="4"/>
      <c r="AY141" s="4"/>
      <c r="AZ141" s="4"/>
      <c r="BA141" s="4"/>
      <c r="BB141" s="4"/>
      <c r="BC141" s="4"/>
      <c r="BD141" s="4"/>
      <c r="BI141" s="3">
        <v>6916486.9884151677</v>
      </c>
      <c r="BJ141" s="3">
        <f t="shared" si="192"/>
        <v>1269802.0115848323</v>
      </c>
      <c r="BK141" s="3">
        <v>5886408.0126120886</v>
      </c>
      <c r="BL141" s="3">
        <f t="shared" si="193"/>
        <v>60579.987387911417</v>
      </c>
      <c r="BM141" s="3">
        <v>6268442.8639931735</v>
      </c>
      <c r="BN141" s="3">
        <f t="shared" si="194"/>
        <v>1602622.1360068265</v>
      </c>
      <c r="BO141" s="3">
        <v>8465169.404558396</v>
      </c>
      <c r="BP141" s="3">
        <f t="shared" si="195"/>
        <v>-1908893.404558396</v>
      </c>
      <c r="BQ141" s="4">
        <v>6576221</v>
      </c>
      <c r="BR141" s="18">
        <f t="shared" si="196"/>
        <v>0</v>
      </c>
      <c r="BS141" s="4">
        <v>6233313.4516353421</v>
      </c>
      <c r="BT141" s="18">
        <f t="shared" si="197"/>
        <v>328069.12903343979</v>
      </c>
    </row>
    <row r="142" spans="1:72">
      <c r="A142" s="2" t="s">
        <v>48</v>
      </c>
      <c r="B142" s="3">
        <f t="shared" si="191"/>
        <v>0</v>
      </c>
      <c r="C142" s="3">
        <f t="shared" si="191"/>
        <v>0</v>
      </c>
      <c r="D142" s="3">
        <f t="shared" si="191"/>
        <v>0</v>
      </c>
      <c r="E142" s="3">
        <f t="shared" si="191"/>
        <v>0</v>
      </c>
      <c r="F142" s="3">
        <f t="shared" si="191"/>
        <v>0</v>
      </c>
      <c r="G142" s="3">
        <f t="shared" si="191"/>
        <v>4422331</v>
      </c>
      <c r="H142" s="3">
        <f t="shared" si="191"/>
        <v>5695845</v>
      </c>
      <c r="I142" s="3">
        <f t="shared" si="191"/>
        <v>8462897</v>
      </c>
      <c r="J142" s="3">
        <f t="shared" si="191"/>
        <v>6025638</v>
      </c>
      <c r="K142" s="3">
        <f t="shared" si="191"/>
        <v>5835613</v>
      </c>
      <c r="L142" s="3">
        <f t="shared" si="191"/>
        <v>8407029</v>
      </c>
      <c r="M142" s="3">
        <f t="shared" si="191"/>
        <v>7457801</v>
      </c>
      <c r="N142" s="3">
        <f t="shared" si="191"/>
        <v>6888977</v>
      </c>
      <c r="O142" s="3">
        <f t="shared" si="191"/>
        <v>7975208</v>
      </c>
      <c r="P142" s="3">
        <f t="shared" si="191"/>
        <v>6710028</v>
      </c>
      <c r="Q142" s="4">
        <f t="shared" si="191"/>
        <v>6931889.4203890888</v>
      </c>
      <c r="R142" s="4">
        <f t="shared" si="191"/>
        <v>2601737.5488444241</v>
      </c>
      <c r="S142" s="4">
        <f t="shared" si="191"/>
        <v>2157521.7973794853</v>
      </c>
      <c r="T142" s="4">
        <f t="shared" si="191"/>
        <v>5754556.0142955054</v>
      </c>
      <c r="U142" s="4">
        <f t="shared" si="191"/>
        <v>5642411.7752625514</v>
      </c>
      <c r="V142" s="4">
        <f t="shared" si="191"/>
        <v>6134820.0094283782</v>
      </c>
      <c r="W142" s="4">
        <f t="shared" si="191"/>
        <v>5705989.8605459258</v>
      </c>
      <c r="X142" s="4">
        <f t="shared" si="191"/>
        <v>6711308.096429918</v>
      </c>
      <c r="Y142" s="4">
        <f t="shared" si="191"/>
        <v>8383580.8659680132</v>
      </c>
      <c r="Z142" s="4">
        <f t="shared" si="191"/>
        <v>9302780.7496562302</v>
      </c>
      <c r="AA142" s="4">
        <f t="shared" si="191"/>
        <v>10438905.567422263</v>
      </c>
      <c r="AB142" s="4">
        <f t="shared" si="191"/>
        <v>11891245.863513712</v>
      </c>
      <c r="AC142" s="4">
        <f t="shared" si="191"/>
        <v>13854798.872980203</v>
      </c>
      <c r="AD142" s="4">
        <f t="shared" si="191"/>
        <v>15847147.225066029</v>
      </c>
      <c r="AE142" s="4">
        <f t="shared" si="191"/>
        <v>17875015.071293272</v>
      </c>
      <c r="AF142" s="4">
        <f t="shared" si="191"/>
        <v>20239030.351629965</v>
      </c>
      <c r="AG142" s="4">
        <f t="shared" si="191"/>
        <v>22844880.556715414</v>
      </c>
      <c r="AH142" s="4">
        <f t="shared" si="191"/>
        <v>32249322.360383257</v>
      </c>
      <c r="AI142" s="4">
        <f t="shared" si="191"/>
        <v>42367207.067271978</v>
      </c>
      <c r="AJ142" s="4">
        <f t="shared" si="191"/>
        <v>52901263.005812146</v>
      </c>
      <c r="AK142" s="4">
        <f t="shared" si="191"/>
        <v>63736267.623689212</v>
      </c>
      <c r="AL142" s="4">
        <f t="shared" si="191"/>
        <v>74856748.12708199</v>
      </c>
      <c r="AM142" s="4">
        <f t="shared" si="191"/>
        <v>86568131.620474711</v>
      </c>
      <c r="AN142" s="4">
        <f t="shared" si="191"/>
        <v>98497074.965123087</v>
      </c>
      <c r="AO142" s="4">
        <f t="shared" si="191"/>
        <v>110859375.26895545</v>
      </c>
      <c r="AP142" s="4">
        <f t="shared" si="191"/>
        <v>123657847.83858407</v>
      </c>
      <c r="AQ142" s="4">
        <f t="shared" si="191"/>
        <v>136898856.84912592</v>
      </c>
      <c r="AR142" s="4"/>
      <c r="AS142" s="4"/>
      <c r="AT142" s="4"/>
      <c r="AU142" s="4"/>
      <c r="AV142" s="4"/>
      <c r="AW142" s="4"/>
      <c r="AX142" s="4"/>
      <c r="AY142" s="4"/>
      <c r="AZ142" s="4"/>
      <c r="BA142" s="4"/>
      <c r="BB142" s="4"/>
      <c r="BC142" s="4"/>
      <c r="BD142" s="4"/>
      <c r="BI142" s="3">
        <v>7561168.0958527233</v>
      </c>
      <c r="BJ142" s="3">
        <f t="shared" si="192"/>
        <v>845860.90414727665</v>
      </c>
      <c r="BK142" s="3">
        <v>6139781.3509417279</v>
      </c>
      <c r="BL142" s="3">
        <f t="shared" si="193"/>
        <v>1318019.6490582721</v>
      </c>
      <c r="BM142" s="3">
        <v>8275217.0768247843</v>
      </c>
      <c r="BN142" s="3">
        <f t="shared" si="194"/>
        <v>-1386240.0768247843</v>
      </c>
      <c r="BO142" s="3">
        <v>8797238.1826275196</v>
      </c>
      <c r="BP142" s="3">
        <f t="shared" si="195"/>
        <v>-822030.18262751959</v>
      </c>
      <c r="BQ142" s="4">
        <v>6710028</v>
      </c>
      <c r="BR142" s="18">
        <f t="shared" si="196"/>
        <v>0</v>
      </c>
      <c r="BS142" s="4">
        <v>6585294.9493696336</v>
      </c>
      <c r="BT142" s="18">
        <f t="shared" si="197"/>
        <v>346594.47101945523</v>
      </c>
    </row>
    <row r="143" spans="1:72">
      <c r="A143" s="2" t="s">
        <v>49</v>
      </c>
      <c r="B143" s="3">
        <f t="shared" si="191"/>
        <v>0</v>
      </c>
      <c r="C143" s="3">
        <f t="shared" si="191"/>
        <v>0</v>
      </c>
      <c r="D143" s="3">
        <f t="shared" si="191"/>
        <v>0</v>
      </c>
      <c r="E143" s="3">
        <f t="shared" ref="B143:AQ148" si="198">E159+E175</f>
        <v>0</v>
      </c>
      <c r="F143" s="3">
        <f t="shared" si="198"/>
        <v>0</v>
      </c>
      <c r="G143" s="3">
        <f t="shared" si="198"/>
        <v>4890996</v>
      </c>
      <c r="H143" s="3">
        <f t="shared" si="198"/>
        <v>5695558</v>
      </c>
      <c r="I143" s="3">
        <f t="shared" si="198"/>
        <v>7341146</v>
      </c>
      <c r="J143" s="3">
        <f t="shared" si="198"/>
        <v>6804440</v>
      </c>
      <c r="K143" s="3">
        <f t="shared" si="198"/>
        <v>7591443</v>
      </c>
      <c r="L143" s="3">
        <f t="shared" si="198"/>
        <v>7602601</v>
      </c>
      <c r="M143" s="3">
        <f t="shared" si="198"/>
        <v>7301253</v>
      </c>
      <c r="N143" s="3">
        <f t="shared" si="198"/>
        <v>7972885</v>
      </c>
      <c r="O143" s="3">
        <f t="shared" si="198"/>
        <v>7242748</v>
      </c>
      <c r="P143" s="3">
        <f t="shared" si="198"/>
        <v>6618792</v>
      </c>
      <c r="Q143" s="4">
        <f t="shared" si="198"/>
        <v>6905240.5962221064</v>
      </c>
      <c r="R143" s="4">
        <f t="shared" si="198"/>
        <v>2651199.8740717419</v>
      </c>
      <c r="S143" s="4">
        <f t="shared" si="198"/>
        <v>2213513.7267820141</v>
      </c>
      <c r="T143" s="4">
        <f t="shared" si="198"/>
        <v>5674905.0954135377</v>
      </c>
      <c r="U143" s="4">
        <f t="shared" si="198"/>
        <v>5696932.0157298679</v>
      </c>
      <c r="V143" s="4">
        <f t="shared" si="198"/>
        <v>6235327.1293141339</v>
      </c>
      <c r="W143" s="4">
        <f t="shared" si="198"/>
        <v>5753403.1521469774</v>
      </c>
      <c r="X143" s="4">
        <f t="shared" si="198"/>
        <v>6760077.0395603627</v>
      </c>
      <c r="Y143" s="4">
        <f t="shared" si="198"/>
        <v>8433570.5320680179</v>
      </c>
      <c r="Z143" s="4">
        <f t="shared" si="198"/>
        <v>9389290.8298184797</v>
      </c>
      <c r="AA143" s="4">
        <f t="shared" si="198"/>
        <v>10536128.408506997</v>
      </c>
      <c r="AB143" s="4">
        <f t="shared" si="198"/>
        <v>11989888.283518426</v>
      </c>
      <c r="AC143" s="4">
        <f t="shared" si="198"/>
        <v>13969930.915045276</v>
      </c>
      <c r="AD143" s="4">
        <f t="shared" si="198"/>
        <v>15981071.037464878</v>
      </c>
      <c r="AE143" s="4">
        <f t="shared" si="198"/>
        <v>18032243.927598357</v>
      </c>
      <c r="AF143" s="4">
        <f t="shared" si="198"/>
        <v>20416235.985646751</v>
      </c>
      <c r="AG143" s="4">
        <f t="shared" si="198"/>
        <v>23043703.106211077</v>
      </c>
      <c r="AH143" s="4">
        <f t="shared" si="198"/>
        <v>32532228.624415226</v>
      </c>
      <c r="AI143" s="4">
        <f t="shared" si="198"/>
        <v>42742333.58196193</v>
      </c>
      <c r="AJ143" s="4">
        <f t="shared" si="198"/>
        <v>53373612.922097027</v>
      </c>
      <c r="AK143" s="4">
        <f t="shared" si="198"/>
        <v>64308178.953113228</v>
      </c>
      <c r="AL143" s="4">
        <f t="shared" si="198"/>
        <v>75532167.748514876</v>
      </c>
      <c r="AM143" s="4">
        <f t="shared" si="198"/>
        <v>87354004.5019252</v>
      </c>
      <c r="AN143" s="4">
        <f t="shared" si="198"/>
        <v>99396650.596263707</v>
      </c>
      <c r="AO143" s="4">
        <f t="shared" si="198"/>
        <v>111877701.49327534</v>
      </c>
      <c r="AP143" s="4">
        <f t="shared" si="198"/>
        <v>124799972.66332158</v>
      </c>
      <c r="AQ143" s="4">
        <f t="shared" si="198"/>
        <v>138170286.09896138</v>
      </c>
      <c r="AR143" s="4"/>
      <c r="AS143" s="4"/>
      <c r="AT143" s="4"/>
      <c r="AU143" s="4"/>
      <c r="AV143" s="4"/>
      <c r="AW143" s="4"/>
      <c r="AX143" s="4"/>
      <c r="AY143" s="4"/>
      <c r="AZ143" s="4"/>
      <c r="BA143" s="4"/>
      <c r="BB143" s="4"/>
      <c r="BC143" s="4"/>
      <c r="BD143" s="4"/>
      <c r="BG143" s="3">
        <v>6683465.5792379836</v>
      </c>
      <c r="BH143" s="3">
        <f t="shared" ref="BH143:BH149" si="199">K143-BG143</f>
        <v>907977.42076201644</v>
      </c>
      <c r="BI143" s="3">
        <v>8036703.7687505968</v>
      </c>
      <c r="BJ143" s="3">
        <f t="shared" si="192"/>
        <v>-434102.76875059679</v>
      </c>
      <c r="BK143" s="3">
        <v>6233244.3760240115</v>
      </c>
      <c r="BL143" s="3">
        <f t="shared" si="193"/>
        <v>1068008.6239759885</v>
      </c>
      <c r="BM143" s="3">
        <v>7871509.6002942286</v>
      </c>
      <c r="BN143" s="3">
        <f t="shared" si="194"/>
        <v>101375.39970577136</v>
      </c>
      <c r="BO143" s="3">
        <v>9225802.7238121536</v>
      </c>
      <c r="BP143" s="3">
        <f t="shared" si="195"/>
        <v>-1983054.7238121536</v>
      </c>
      <c r="BQ143" s="4">
        <v>6901439.2419121582</v>
      </c>
      <c r="BR143" s="18">
        <f t="shared" si="196"/>
        <v>-282647.24191215821</v>
      </c>
      <c r="BS143" s="4">
        <v>6559978.5664110016</v>
      </c>
      <c r="BT143" s="18">
        <f t="shared" si="197"/>
        <v>345262.02981110476</v>
      </c>
    </row>
    <row r="144" spans="1:72">
      <c r="A144" s="2" t="s">
        <v>50</v>
      </c>
      <c r="B144" s="3">
        <f t="shared" si="198"/>
        <v>0</v>
      </c>
      <c r="C144" s="3">
        <f t="shared" si="198"/>
        <v>0</v>
      </c>
      <c r="D144" s="3">
        <f t="shared" si="198"/>
        <v>0</v>
      </c>
      <c r="E144" s="3">
        <f t="shared" si="198"/>
        <v>0</v>
      </c>
      <c r="F144" s="3">
        <f t="shared" si="198"/>
        <v>1848485</v>
      </c>
      <c r="G144" s="3">
        <f t="shared" si="198"/>
        <v>5342187</v>
      </c>
      <c r="H144" s="3">
        <f t="shared" si="198"/>
        <v>5914746</v>
      </c>
      <c r="I144" s="3">
        <f t="shared" si="198"/>
        <v>6808282</v>
      </c>
      <c r="J144" s="3">
        <f t="shared" si="198"/>
        <v>8168341</v>
      </c>
      <c r="K144" s="3">
        <f t="shared" si="198"/>
        <v>6533714</v>
      </c>
      <c r="L144" s="3">
        <f t="shared" si="198"/>
        <v>7643642</v>
      </c>
      <c r="M144" s="3">
        <f t="shared" si="198"/>
        <v>6889636</v>
      </c>
      <c r="N144" s="3">
        <f t="shared" si="198"/>
        <v>7773757</v>
      </c>
      <c r="O144" s="3">
        <f t="shared" si="198"/>
        <v>8267442</v>
      </c>
      <c r="P144" s="3">
        <f t="shared" si="198"/>
        <v>6443691</v>
      </c>
      <c r="Q144" s="4">
        <f t="shared" si="198"/>
        <v>7812646.0119401338</v>
      </c>
      <c r="R144" s="4">
        <f t="shared" si="198"/>
        <v>3027168.5978220105</v>
      </c>
      <c r="S144" s="4">
        <f t="shared" si="198"/>
        <v>2438802.1722466773</v>
      </c>
      <c r="T144" s="4">
        <f t="shared" si="198"/>
        <v>6420915.1664919211</v>
      </c>
      <c r="U144" s="4">
        <f t="shared" si="198"/>
        <v>6408960.2804171015</v>
      </c>
      <c r="V144" s="4">
        <f t="shared" si="198"/>
        <v>7287281.445696922</v>
      </c>
      <c r="W144" s="4">
        <f t="shared" si="198"/>
        <v>6649362.6760504935</v>
      </c>
      <c r="X144" s="4">
        <f t="shared" si="198"/>
        <v>7837106.5710957013</v>
      </c>
      <c r="Y144" s="4">
        <f t="shared" si="198"/>
        <v>9837997.8045683615</v>
      </c>
      <c r="Z144" s="4">
        <f t="shared" si="198"/>
        <v>11028305.334569516</v>
      </c>
      <c r="AA144" s="4">
        <f t="shared" si="198"/>
        <v>12480401.844433267</v>
      </c>
      <c r="AB144" s="4">
        <f t="shared" si="198"/>
        <v>14260356.195873795</v>
      </c>
      <c r="AC144" s="4">
        <f t="shared" si="198"/>
        <v>16713318.749302521</v>
      </c>
      <c r="AD144" s="4">
        <f t="shared" si="198"/>
        <v>19241187.21326296</v>
      </c>
      <c r="AE144" s="4">
        <f t="shared" si="198"/>
        <v>21854788.62179625</v>
      </c>
      <c r="AF144" s="4">
        <f t="shared" si="198"/>
        <v>24905785.010551505</v>
      </c>
      <c r="AG144" s="4">
        <f t="shared" si="198"/>
        <v>28286882.854209989</v>
      </c>
      <c r="AH144" s="4">
        <f t="shared" si="198"/>
        <v>40194890.609559052</v>
      </c>
      <c r="AI144" s="4">
        <f t="shared" si="198"/>
        <v>53200004.964898482</v>
      </c>
      <c r="AJ144" s="4">
        <f t="shared" si="198"/>
        <v>66945285.374243498</v>
      </c>
      <c r="AK144" s="4">
        <f t="shared" si="198"/>
        <v>81277869.178941473</v>
      </c>
      <c r="AL144" s="4">
        <f t="shared" si="198"/>
        <v>96171290.738555998</v>
      </c>
      <c r="AM144" s="4">
        <f t="shared" si="198"/>
        <v>112012272.55004044</v>
      </c>
      <c r="AN144" s="4">
        <f t="shared" si="198"/>
        <v>128377188.6470964</v>
      </c>
      <c r="AO144" s="4">
        <f t="shared" si="198"/>
        <v>145553208.436261</v>
      </c>
      <c r="AP144" s="4">
        <f t="shared" si="198"/>
        <v>163554371.4473792</v>
      </c>
      <c r="AQ144" s="4">
        <f t="shared" si="198"/>
        <v>182403832.50215104</v>
      </c>
      <c r="AR144" s="4"/>
      <c r="AS144" s="4"/>
      <c r="AT144" s="4"/>
      <c r="AU144" s="4"/>
      <c r="AV144" s="4"/>
      <c r="AW144" s="4"/>
      <c r="AX144" s="4"/>
      <c r="AY144" s="4"/>
      <c r="AZ144" s="4"/>
      <c r="BA144" s="4"/>
      <c r="BB144" s="4"/>
      <c r="BC144" s="4"/>
      <c r="BD144" s="4"/>
      <c r="BG144" s="3">
        <v>7574890.5256715678</v>
      </c>
      <c r="BH144" s="3">
        <f t="shared" si="199"/>
        <v>-1041176.5256715678</v>
      </c>
      <c r="BI144" s="3">
        <v>7907288.4989881953</v>
      </c>
      <c r="BJ144" s="3">
        <f t="shared" si="192"/>
        <v>-263646.49898819532</v>
      </c>
      <c r="BK144" s="3">
        <v>6991470.3567511141</v>
      </c>
      <c r="BL144" s="3">
        <f t="shared" si="193"/>
        <v>-101834.35675111413</v>
      </c>
      <c r="BM144" s="3">
        <v>8368300.4257841995</v>
      </c>
      <c r="BN144" s="3">
        <f t="shared" si="194"/>
        <v>-594543.4257841995</v>
      </c>
      <c r="BO144" s="3">
        <v>7937381.5503324028</v>
      </c>
      <c r="BP144" s="3">
        <f t="shared" si="195"/>
        <v>330060.44966759719</v>
      </c>
      <c r="BQ144" s="4">
        <v>7468165.7513690777</v>
      </c>
      <c r="BR144" s="18">
        <f t="shared" si="196"/>
        <v>-1024474.7513690777</v>
      </c>
      <c r="BS144" s="4">
        <v>7422013.7113431264</v>
      </c>
      <c r="BT144" s="18">
        <f t="shared" si="197"/>
        <v>390632.30059700739</v>
      </c>
    </row>
    <row r="145" spans="1:72">
      <c r="A145" s="2" t="s">
        <v>51</v>
      </c>
      <c r="B145" s="3">
        <f t="shared" si="198"/>
        <v>0</v>
      </c>
      <c r="C145" s="3">
        <f t="shared" si="198"/>
        <v>0</v>
      </c>
      <c r="D145" s="3">
        <f t="shared" si="198"/>
        <v>0</v>
      </c>
      <c r="E145" s="3">
        <f t="shared" si="198"/>
        <v>0</v>
      </c>
      <c r="F145" s="3">
        <f t="shared" si="198"/>
        <v>4078691</v>
      </c>
      <c r="G145" s="3">
        <f t="shared" si="198"/>
        <v>4648617</v>
      </c>
      <c r="H145" s="3">
        <f t="shared" si="198"/>
        <v>6126085</v>
      </c>
      <c r="I145" s="3">
        <f t="shared" si="198"/>
        <v>6318873</v>
      </c>
      <c r="J145" s="3">
        <f t="shared" si="198"/>
        <v>8180183</v>
      </c>
      <c r="K145" s="3">
        <f t="shared" si="198"/>
        <v>6079500</v>
      </c>
      <c r="L145" s="3">
        <f t="shared" si="198"/>
        <v>7230002</v>
      </c>
      <c r="M145" s="3">
        <f t="shared" si="198"/>
        <v>7428599</v>
      </c>
      <c r="N145" s="3">
        <f t="shared" si="198"/>
        <v>8295532</v>
      </c>
      <c r="O145" s="3">
        <f t="shared" si="198"/>
        <v>7298908</v>
      </c>
      <c r="P145" s="3">
        <f t="shared" si="198"/>
        <v>7054165</v>
      </c>
      <c r="Q145" s="4">
        <f t="shared" si="198"/>
        <v>7761200.5791236032</v>
      </c>
      <c r="R145" s="4">
        <f t="shared" si="198"/>
        <v>3079156.7265030607</v>
      </c>
      <c r="S145" s="4">
        <f t="shared" si="198"/>
        <v>2484886.2195690023</v>
      </c>
      <c r="T145" s="4">
        <f t="shared" si="198"/>
        <v>6426115.3842414115</v>
      </c>
      <c r="U145" s="4">
        <f t="shared" si="198"/>
        <v>6654053.0486134514</v>
      </c>
      <c r="V145" s="4">
        <f t="shared" si="198"/>
        <v>7464162.7277603569</v>
      </c>
      <c r="W145" s="4">
        <f t="shared" si="198"/>
        <v>6774551.5237682834</v>
      </c>
      <c r="X145" s="4">
        <f t="shared" si="198"/>
        <v>7984290.6308239745</v>
      </c>
      <c r="Y145" s="4">
        <f t="shared" si="198"/>
        <v>10019560.138309285</v>
      </c>
      <c r="Z145" s="4">
        <f t="shared" si="198"/>
        <v>11260908.049753986</v>
      </c>
      <c r="AA145" s="4">
        <f t="shared" si="198"/>
        <v>12709968.452492654</v>
      </c>
      <c r="AB145" s="4">
        <f t="shared" si="198"/>
        <v>14507688.042531654</v>
      </c>
      <c r="AC145" s="4">
        <f t="shared" si="198"/>
        <v>16995892.845209308</v>
      </c>
      <c r="AD145" s="4">
        <f t="shared" si="198"/>
        <v>19557067.081628829</v>
      </c>
      <c r="AE145" s="4">
        <f t="shared" si="198"/>
        <v>22202380.132634819</v>
      </c>
      <c r="AF145" s="4">
        <f t="shared" si="198"/>
        <v>25279625.140546665</v>
      </c>
      <c r="AG145" s="4">
        <f t="shared" si="198"/>
        <v>28692774.572330013</v>
      </c>
      <c r="AH145" s="4">
        <f t="shared" si="198"/>
        <v>40747088.085463375</v>
      </c>
      <c r="AI145" s="4">
        <f t="shared" si="198"/>
        <v>53893391.47692363</v>
      </c>
      <c r="AJ145" s="4">
        <f t="shared" si="198"/>
        <v>67768130.6892322</v>
      </c>
      <c r="AK145" s="4">
        <f t="shared" si="198"/>
        <v>82216775.4138515</v>
      </c>
      <c r="AL145" s="4">
        <f t="shared" si="198"/>
        <v>97216499.75535211</v>
      </c>
      <c r="AM145" s="4">
        <f t="shared" si="198"/>
        <v>113157924.95486127</v>
      </c>
      <c r="AN145" s="4">
        <f t="shared" si="198"/>
        <v>129607376.11009133</v>
      </c>
      <c r="AO145" s="4">
        <f t="shared" si="198"/>
        <v>146854598.58684203</v>
      </c>
      <c r="AP145" s="4">
        <f t="shared" si="198"/>
        <v>164913376.69934979</v>
      </c>
      <c r="AQ145" s="4">
        <f t="shared" si="198"/>
        <v>183806532.50946829</v>
      </c>
      <c r="AR145" s="4"/>
      <c r="AS145" s="4"/>
      <c r="AT145" s="4"/>
      <c r="AU145" s="4"/>
      <c r="AV145" s="4"/>
      <c r="AW145" s="4"/>
      <c r="AX145" s="4"/>
      <c r="AY145" s="4"/>
      <c r="AZ145" s="4"/>
      <c r="BA145" s="4"/>
      <c r="BB145" s="4"/>
      <c r="BC145" s="4"/>
      <c r="BD145" s="4"/>
      <c r="BG145" s="3">
        <v>7913979.5142075568</v>
      </c>
      <c r="BH145" s="3">
        <f t="shared" si="199"/>
        <v>-1834479.5142075568</v>
      </c>
      <c r="BI145" s="3">
        <v>7748078.9976050779</v>
      </c>
      <c r="BJ145" s="3">
        <f t="shared" si="192"/>
        <v>-518076.99760507792</v>
      </c>
      <c r="BK145" s="3">
        <v>7952903.7566835973</v>
      </c>
      <c r="BL145" s="3">
        <f t="shared" si="193"/>
        <v>-524304.75668359734</v>
      </c>
      <c r="BM145" s="3">
        <v>7974877.5383804729</v>
      </c>
      <c r="BN145" s="3">
        <f t="shared" si="194"/>
        <v>320654.46161952708</v>
      </c>
      <c r="BO145" s="3">
        <v>7750372.3626937252</v>
      </c>
      <c r="BP145" s="3">
        <f t="shared" si="195"/>
        <v>-451464.36269372515</v>
      </c>
      <c r="BQ145" s="4">
        <v>7224119.922952354</v>
      </c>
      <c r="BR145" s="18">
        <f t="shared" si="196"/>
        <v>-169954.92295235395</v>
      </c>
      <c r="BS145" s="4">
        <v>7373140.5501674227</v>
      </c>
      <c r="BT145" s="18">
        <f t="shared" si="197"/>
        <v>388060.02895618044</v>
      </c>
    </row>
    <row r="146" spans="1:72">
      <c r="A146" s="2" t="s">
        <v>52</v>
      </c>
      <c r="B146" s="3">
        <f t="shared" si="198"/>
        <v>0</v>
      </c>
      <c r="C146" s="3">
        <f t="shared" si="198"/>
        <v>0</v>
      </c>
      <c r="D146" s="3">
        <f t="shared" si="198"/>
        <v>0</v>
      </c>
      <c r="E146" s="3">
        <f t="shared" si="198"/>
        <v>0</v>
      </c>
      <c r="F146" s="3">
        <f t="shared" si="198"/>
        <v>3869127</v>
      </c>
      <c r="G146" s="3">
        <f t="shared" si="198"/>
        <v>5076120</v>
      </c>
      <c r="H146" s="3">
        <f t="shared" si="198"/>
        <v>5861617</v>
      </c>
      <c r="I146" s="3">
        <f t="shared" si="198"/>
        <v>5914751</v>
      </c>
      <c r="J146" s="3">
        <f t="shared" si="198"/>
        <v>7647051</v>
      </c>
      <c r="K146" s="3">
        <f t="shared" si="198"/>
        <v>6158815</v>
      </c>
      <c r="L146" s="3">
        <f t="shared" si="198"/>
        <v>7352727</v>
      </c>
      <c r="M146" s="3">
        <f t="shared" si="198"/>
        <v>7291118</v>
      </c>
      <c r="N146" s="3">
        <f t="shared" si="198"/>
        <v>8018991</v>
      </c>
      <c r="O146" s="3">
        <f t="shared" si="198"/>
        <v>6801091</v>
      </c>
      <c r="P146" s="3">
        <f t="shared" si="198"/>
        <v>7157872</v>
      </c>
      <c r="Q146" s="4">
        <f t="shared" si="198"/>
        <v>7600886.0068527423</v>
      </c>
      <c r="R146" s="4">
        <f t="shared" si="198"/>
        <v>2985866.1037244136</v>
      </c>
      <c r="S146" s="4">
        <f t="shared" si="198"/>
        <v>2394166.7558865058</v>
      </c>
      <c r="T146" s="4">
        <f t="shared" si="198"/>
        <v>6187790.7880676668</v>
      </c>
      <c r="U146" s="4">
        <f t="shared" si="198"/>
        <v>6468717.6349382801</v>
      </c>
      <c r="V146" s="4">
        <f t="shared" si="198"/>
        <v>7172653.5528427996</v>
      </c>
      <c r="W146" s="4">
        <f t="shared" si="198"/>
        <v>6465503.9401120674</v>
      </c>
      <c r="X146" s="4">
        <f t="shared" si="198"/>
        <v>7595360.9195853118</v>
      </c>
      <c r="Y146" s="4">
        <f t="shared" si="198"/>
        <v>9502662.8005694225</v>
      </c>
      <c r="Z146" s="4">
        <f t="shared" si="198"/>
        <v>10638843.593814593</v>
      </c>
      <c r="AA146" s="4">
        <f t="shared" si="198"/>
        <v>11937194.670541294</v>
      </c>
      <c r="AB146" s="4">
        <f t="shared" si="198"/>
        <v>13555205.938550858</v>
      </c>
      <c r="AC146" s="4">
        <f t="shared" si="198"/>
        <v>15807976.186378319</v>
      </c>
      <c r="AD146" s="4">
        <f t="shared" si="198"/>
        <v>18102931.953460187</v>
      </c>
      <c r="AE146" s="4">
        <f t="shared" si="198"/>
        <v>20444857.543702021</v>
      </c>
      <c r="AF146" s="4">
        <f t="shared" si="198"/>
        <v>23154188.453220516</v>
      </c>
      <c r="AG146" s="4">
        <f t="shared" si="198"/>
        <v>26142192.349418141</v>
      </c>
      <c r="AH146" s="4">
        <f t="shared" si="198"/>
        <v>36929647.572658226</v>
      </c>
      <c r="AI146" s="4">
        <f t="shared" si="198"/>
        <v>48551380.495137751</v>
      </c>
      <c r="AJ146" s="4">
        <f t="shared" si="198"/>
        <v>60664533.770131811</v>
      </c>
      <c r="AK146" s="4">
        <f t="shared" si="198"/>
        <v>73133750.839132547</v>
      </c>
      <c r="AL146" s="4">
        <f t="shared" si="198"/>
        <v>85946010.069693744</v>
      </c>
      <c r="AM146" s="4">
        <f t="shared" si="198"/>
        <v>99451729.517746612</v>
      </c>
      <c r="AN146" s="4">
        <f t="shared" si="198"/>
        <v>113223411.93844256</v>
      </c>
      <c r="AO146" s="4">
        <f t="shared" si="198"/>
        <v>127508658.32167441</v>
      </c>
      <c r="AP146" s="4">
        <f t="shared" si="198"/>
        <v>142311304.23203504</v>
      </c>
      <c r="AQ146" s="4">
        <f t="shared" si="198"/>
        <v>157640216.54865712</v>
      </c>
      <c r="AR146" s="4"/>
      <c r="AS146" s="4"/>
      <c r="AT146" s="4"/>
      <c r="AU146" s="4"/>
      <c r="AV146" s="4"/>
      <c r="AW146" s="4"/>
      <c r="AX146" s="4"/>
      <c r="AY146" s="4"/>
      <c r="AZ146" s="4"/>
      <c r="BA146" s="4"/>
      <c r="BB146" s="4"/>
      <c r="BC146" s="4"/>
      <c r="BD146" s="4"/>
      <c r="BG146" s="3">
        <v>7637688.7138979556</v>
      </c>
      <c r="BH146" s="3">
        <f t="shared" si="199"/>
        <v>-1478873.7138979556</v>
      </c>
      <c r="BI146" s="3">
        <v>7192908.4202129068</v>
      </c>
      <c r="BJ146" s="3">
        <f t="shared" si="192"/>
        <v>159818.57978709321</v>
      </c>
      <c r="BK146" s="3">
        <v>7278940.8996315058</v>
      </c>
      <c r="BL146" s="3">
        <f t="shared" si="193"/>
        <v>12177.100368494168</v>
      </c>
      <c r="BM146" s="3">
        <v>8260070.8809153317</v>
      </c>
      <c r="BN146" s="3">
        <f t="shared" si="194"/>
        <v>-241079.88091533165</v>
      </c>
      <c r="BO146" s="3">
        <v>7169100.0328708943</v>
      </c>
      <c r="BP146" s="3">
        <f t="shared" si="195"/>
        <v>-368009.0328708943</v>
      </c>
      <c r="BQ146" s="4">
        <v>7141620.2464408521</v>
      </c>
      <c r="BR146" s="18">
        <f t="shared" si="196"/>
        <v>16251.753559147939</v>
      </c>
      <c r="BS146" s="4">
        <v>7220841.7065101042</v>
      </c>
      <c r="BT146" s="18">
        <f t="shared" si="197"/>
        <v>380044.30034263805</v>
      </c>
    </row>
    <row r="147" spans="1:72">
      <c r="A147" s="2" t="s">
        <v>53</v>
      </c>
      <c r="B147" s="3">
        <f t="shared" si="198"/>
        <v>0</v>
      </c>
      <c r="C147" s="3">
        <f t="shared" si="198"/>
        <v>0</v>
      </c>
      <c r="D147" s="3">
        <f t="shared" si="198"/>
        <v>0</v>
      </c>
      <c r="E147" s="3">
        <f t="shared" si="198"/>
        <v>0</v>
      </c>
      <c r="F147" s="3">
        <f t="shared" si="198"/>
        <v>3278166</v>
      </c>
      <c r="G147" s="3">
        <f t="shared" si="198"/>
        <v>5066451</v>
      </c>
      <c r="H147" s="3">
        <f t="shared" si="198"/>
        <v>5301019</v>
      </c>
      <c r="I147" s="3">
        <f t="shared" si="198"/>
        <v>7588362</v>
      </c>
      <c r="J147" s="3">
        <f t="shared" si="198"/>
        <v>7128137</v>
      </c>
      <c r="K147" s="3">
        <f t="shared" si="198"/>
        <v>6001005</v>
      </c>
      <c r="L147" s="3">
        <f t="shared" si="198"/>
        <v>7497164</v>
      </c>
      <c r="M147" s="3">
        <f t="shared" si="198"/>
        <v>7821691</v>
      </c>
      <c r="N147" s="3">
        <f t="shared" si="198"/>
        <v>6989752</v>
      </c>
      <c r="O147" s="3">
        <f t="shared" si="198"/>
        <v>7298983</v>
      </c>
      <c r="P147" s="3">
        <f t="shared" si="198"/>
        <v>7952465</v>
      </c>
      <c r="Q147" s="4">
        <f t="shared" si="198"/>
        <v>6893557.0572131071</v>
      </c>
      <c r="R147" s="4">
        <f t="shared" si="198"/>
        <v>2731195.3524281075</v>
      </c>
      <c r="S147" s="4">
        <f t="shared" si="198"/>
        <v>2284677.7245442346</v>
      </c>
      <c r="T147" s="4">
        <f t="shared" si="198"/>
        <v>6104127.7641046327</v>
      </c>
      <c r="U147" s="4">
        <f t="shared" si="198"/>
        <v>6244374.1747228876</v>
      </c>
      <c r="V147" s="4">
        <f t="shared" si="198"/>
        <v>6635070.8824821431</v>
      </c>
      <c r="W147" s="4">
        <f t="shared" si="198"/>
        <v>6125204.379426768</v>
      </c>
      <c r="X147" s="4">
        <f t="shared" si="198"/>
        <v>7216623.6064624665</v>
      </c>
      <c r="Y147" s="4">
        <f t="shared" si="198"/>
        <v>9018973.9879669212</v>
      </c>
      <c r="Z147" s="4">
        <f t="shared" si="198"/>
        <v>10026572.173977852</v>
      </c>
      <c r="AA147" s="4">
        <f t="shared" si="198"/>
        <v>11203591.520613167</v>
      </c>
      <c r="AB147" s="4">
        <f t="shared" si="198"/>
        <v>12742759.945655676</v>
      </c>
      <c r="AC147" s="4">
        <f t="shared" si="198"/>
        <v>14836478.071059626</v>
      </c>
      <c r="AD147" s="4">
        <f t="shared" si="198"/>
        <v>16953087.822726242</v>
      </c>
      <c r="AE147" s="4">
        <f t="shared" si="198"/>
        <v>19099548.866770573</v>
      </c>
      <c r="AF147" s="4">
        <f t="shared" si="198"/>
        <v>21591935.904380813</v>
      </c>
      <c r="AG147" s="4">
        <f t="shared" si="198"/>
        <v>24342289.516165912</v>
      </c>
      <c r="AH147" s="4">
        <f t="shared" si="198"/>
        <v>34322887.323266931</v>
      </c>
      <c r="AI147" s="4">
        <f t="shared" si="198"/>
        <v>45029530.309163302</v>
      </c>
      <c r="AJ147" s="4">
        <f t="shared" si="198"/>
        <v>56144357.866321936</v>
      </c>
      <c r="AK147" s="4">
        <f t="shared" si="198"/>
        <v>67547284.003305763</v>
      </c>
      <c r="AL147" s="4">
        <f t="shared" si="198"/>
        <v>79226536.178090394</v>
      </c>
      <c r="AM147" s="4">
        <f t="shared" si="198"/>
        <v>91505743.106681377</v>
      </c>
      <c r="AN147" s="4">
        <f t="shared" si="198"/>
        <v>103981447.97037622</v>
      </c>
      <c r="AO147" s="4">
        <f t="shared" si="198"/>
        <v>116881843.49164353</v>
      </c>
      <c r="AP147" s="4">
        <f t="shared" si="198"/>
        <v>130209741.12469991</v>
      </c>
      <c r="AQ147" s="4">
        <f t="shared" si="198"/>
        <v>143971062.46318412</v>
      </c>
      <c r="AR147" s="4"/>
      <c r="AS147" s="4"/>
      <c r="AT147" s="4"/>
      <c r="AU147" s="4"/>
      <c r="AV147" s="4"/>
      <c r="AW147" s="4"/>
      <c r="AX147" s="4"/>
      <c r="AY147" s="4"/>
      <c r="AZ147" s="4"/>
      <c r="BA147" s="4"/>
      <c r="BB147" s="4"/>
      <c r="BC147" s="4"/>
      <c r="BD147" s="4"/>
      <c r="BG147" s="3">
        <v>7649340.325190302</v>
      </c>
      <c r="BH147" s="3">
        <f t="shared" si="199"/>
        <v>-1648335.325190302</v>
      </c>
      <c r="BI147" s="3">
        <v>7201747.5533424709</v>
      </c>
      <c r="BJ147" s="3">
        <f t="shared" si="192"/>
        <v>295416.4466575291</v>
      </c>
      <c r="BK147" s="3">
        <v>7503714.6258919779</v>
      </c>
      <c r="BL147" s="3">
        <f t="shared" si="193"/>
        <v>317976.37410802208</v>
      </c>
      <c r="BM147" s="3">
        <v>8790685.1002942715</v>
      </c>
      <c r="BN147" s="3">
        <f t="shared" si="194"/>
        <v>-1800933.1002942715</v>
      </c>
      <c r="BO147" s="3">
        <v>7074853.0112913111</v>
      </c>
      <c r="BP147" s="3">
        <f t="shared" si="195"/>
        <v>224129.98870868888</v>
      </c>
      <c r="BQ147" s="4">
        <v>6728467.2275160328</v>
      </c>
      <c r="BR147" s="18">
        <f t="shared" si="196"/>
        <v>1223997.7724839672</v>
      </c>
      <c r="BS147" s="4">
        <v>6548879.2043524515</v>
      </c>
      <c r="BT147" s="18">
        <f t="shared" si="197"/>
        <v>344677.85286065564</v>
      </c>
    </row>
    <row r="148" spans="1:72">
      <c r="A148" s="2" t="s">
        <v>54</v>
      </c>
      <c r="B148" s="3">
        <f t="shared" si="198"/>
        <v>0</v>
      </c>
      <c r="C148" s="3">
        <f t="shared" si="198"/>
        <v>0</v>
      </c>
      <c r="D148" s="3">
        <f t="shared" si="198"/>
        <v>0</v>
      </c>
      <c r="E148" s="3">
        <f t="shared" si="198"/>
        <v>0</v>
      </c>
      <c r="F148" s="3">
        <f t="shared" si="198"/>
        <v>4305346</v>
      </c>
      <c r="G148" s="3">
        <f t="shared" si="198"/>
        <v>11923299</v>
      </c>
      <c r="H148" s="3">
        <f t="shared" si="198"/>
        <v>10319792</v>
      </c>
      <c r="I148" s="3">
        <f t="shared" si="198"/>
        <v>15280449</v>
      </c>
      <c r="J148" s="3">
        <f t="shared" si="198"/>
        <v>14987268</v>
      </c>
      <c r="K148" s="3">
        <f t="shared" si="198"/>
        <v>14635806</v>
      </c>
      <c r="L148" s="3">
        <f t="shared" si="198"/>
        <v>14239351</v>
      </c>
      <c r="M148" s="3">
        <f t="shared" si="198"/>
        <v>15123133</v>
      </c>
      <c r="N148" s="3">
        <f t="shared" si="198"/>
        <v>15473089</v>
      </c>
      <c r="O148" s="3">
        <f t="shared" si="198"/>
        <v>11753637</v>
      </c>
      <c r="P148" s="3">
        <f t="shared" si="198"/>
        <v>6456599</v>
      </c>
      <c r="Q148" s="4">
        <f t="shared" si="198"/>
        <v>19390971.838058852</v>
      </c>
      <c r="R148" s="4">
        <f t="shared" si="198"/>
        <v>5666176.7055013292</v>
      </c>
      <c r="S148" s="4">
        <f t="shared" si="198"/>
        <v>4391899.3631559405</v>
      </c>
      <c r="T148" s="4">
        <f t="shared" si="198"/>
        <v>11043772.820328236</v>
      </c>
      <c r="U148" s="4">
        <f t="shared" si="198"/>
        <v>11024928.061269149</v>
      </c>
      <c r="V148" s="4">
        <f t="shared" si="198"/>
        <v>13048510.823019948</v>
      </c>
      <c r="W148" s="4">
        <f t="shared" si="198"/>
        <v>11476905.876031443</v>
      </c>
      <c r="X148" s="4">
        <f t="shared" si="198"/>
        <v>13273520.673813965</v>
      </c>
      <c r="Y148" s="4">
        <f t="shared" si="198"/>
        <v>16390670.996808708</v>
      </c>
      <c r="Z148" s="4">
        <f t="shared" si="198"/>
        <v>18001749.157719031</v>
      </c>
      <c r="AA148" s="4">
        <f t="shared" si="198"/>
        <v>19911042.757355362</v>
      </c>
      <c r="AB148" s="4">
        <f t="shared" si="198"/>
        <v>22019005.181835204</v>
      </c>
      <c r="AC148" s="4">
        <f t="shared" si="198"/>
        <v>25035017.624917567</v>
      </c>
      <c r="AD148" s="4">
        <f t="shared" si="198"/>
        <v>27877488.076629825</v>
      </c>
      <c r="AE148" s="4">
        <f t="shared" si="198"/>
        <v>30491179.088678449</v>
      </c>
      <c r="AF148" s="4">
        <f t="shared" si="198"/>
        <v>33370528.696990445</v>
      </c>
      <c r="AG148" s="4">
        <f t="shared" si="198"/>
        <v>36285975.170098796</v>
      </c>
      <c r="AH148" s="4">
        <f t="shared" si="198"/>
        <v>49250683.106479555</v>
      </c>
      <c r="AI148" s="4">
        <f t="shared" si="198"/>
        <v>61692232.366793066</v>
      </c>
      <c r="AJ148" s="4">
        <f t="shared" si="198"/>
        <v>72991085.540711671</v>
      </c>
      <c r="AK148" s="4">
        <f t="shared" si="198"/>
        <v>83004654.325945228</v>
      </c>
      <c r="AL148" s="4">
        <f t="shared" si="198"/>
        <v>91785425.776628435</v>
      </c>
      <c r="AM148" s="4">
        <f t="shared" si="198"/>
        <v>99787391.478740096</v>
      </c>
      <c r="AN148" s="4">
        <f t="shared" si="198"/>
        <v>106086138.36360765</v>
      </c>
      <c r="AO148" s="4">
        <f t="shared" si="198"/>
        <v>110869173.5466432</v>
      </c>
      <c r="AP148" s="4">
        <f t="shared" si="198"/>
        <v>114072324.48518836</v>
      </c>
      <c r="AQ148" s="4">
        <f t="shared" si="198"/>
        <v>115609655.66930866</v>
      </c>
      <c r="AR148" s="4"/>
      <c r="AS148" s="4"/>
      <c r="AT148" s="4"/>
      <c r="AU148" s="4"/>
      <c r="AV148" s="4"/>
      <c r="AW148" s="4"/>
      <c r="AX148" s="4"/>
      <c r="AY148" s="4"/>
      <c r="AZ148" s="4"/>
      <c r="BA148" s="4"/>
      <c r="BB148" s="4"/>
      <c r="BC148" s="4"/>
      <c r="BD148" s="4"/>
      <c r="BG148" s="3">
        <v>18022676.446704183</v>
      </c>
      <c r="BH148" s="3">
        <f t="shared" si="199"/>
        <v>-3386870.4467041828</v>
      </c>
      <c r="BI148" s="3">
        <v>14005694</v>
      </c>
      <c r="BJ148" s="3">
        <f t="shared" si="192"/>
        <v>233657</v>
      </c>
      <c r="BK148" s="3">
        <v>16179366</v>
      </c>
      <c r="BL148" s="3">
        <f t="shared" si="193"/>
        <v>-1056233</v>
      </c>
      <c r="BM148" s="3">
        <v>17336271</v>
      </c>
      <c r="BN148" s="3">
        <f t="shared" si="194"/>
        <v>-1863182</v>
      </c>
      <c r="BO148" s="3">
        <v>13989676.988708686</v>
      </c>
      <c r="BP148" s="3">
        <f t="shared" si="195"/>
        <v>-2236039.9887086861</v>
      </c>
      <c r="BQ148" s="4">
        <v>10874702.609809529</v>
      </c>
      <c r="BR148" s="18">
        <f t="shared" si="196"/>
        <v>-4418103.609809529</v>
      </c>
      <c r="BS148" s="4">
        <v>13474667.91674402</v>
      </c>
      <c r="BT148" s="18">
        <f t="shared" si="197"/>
        <v>5916303.9213148318</v>
      </c>
    </row>
    <row r="149" spans="1:72" ht="15.75" thickBot="1">
      <c r="A149" s="2" t="s">
        <v>29</v>
      </c>
      <c r="B149" s="3">
        <f>SUM(B137:B148)</f>
        <v>0</v>
      </c>
      <c r="C149" s="3">
        <f t="shared" ref="C149:AD149" si="200">SUM(C137:C148)</f>
        <v>0</v>
      </c>
      <c r="D149" s="3">
        <f t="shared" si="200"/>
        <v>0</v>
      </c>
      <c r="E149" s="3">
        <f t="shared" si="200"/>
        <v>0</v>
      </c>
      <c r="F149" s="3">
        <f t="shared" si="200"/>
        <v>17379815</v>
      </c>
      <c r="G149" s="3">
        <f t="shared" si="200"/>
        <v>58368879</v>
      </c>
      <c r="H149" s="3">
        <f t="shared" si="200"/>
        <v>71974041</v>
      </c>
      <c r="I149" s="3">
        <f t="shared" si="200"/>
        <v>83476683</v>
      </c>
      <c r="J149" s="3">
        <f t="shared" si="200"/>
        <v>82679775</v>
      </c>
      <c r="K149" s="3">
        <f t="shared" si="200"/>
        <v>76252374</v>
      </c>
      <c r="L149" s="3">
        <f t="shared" si="200"/>
        <v>91544104</v>
      </c>
      <c r="M149" s="3">
        <f t="shared" si="200"/>
        <v>84106011</v>
      </c>
      <c r="N149" s="3">
        <f t="shared" si="200"/>
        <v>90517844</v>
      </c>
      <c r="O149" s="3">
        <f t="shared" si="200"/>
        <v>85488090</v>
      </c>
      <c r="P149" s="3">
        <f t="shared" si="200"/>
        <v>74345069</v>
      </c>
      <c r="Q149" s="4">
        <f t="shared" si="200"/>
        <v>80000000</v>
      </c>
      <c r="R149" s="4">
        <f t="shared" si="200"/>
        <v>30000000</v>
      </c>
      <c r="S149" s="4">
        <f t="shared" si="200"/>
        <v>24200000</v>
      </c>
      <c r="T149" s="4">
        <f t="shared" si="200"/>
        <v>62000000.000000007</v>
      </c>
      <c r="U149" s="4">
        <f t="shared" si="200"/>
        <v>60999999.999999993</v>
      </c>
      <c r="V149" s="4">
        <f t="shared" si="200"/>
        <v>66000000</v>
      </c>
      <c r="W149" s="4">
        <f t="shared" si="200"/>
        <v>61000000.000000007</v>
      </c>
      <c r="X149" s="4">
        <f t="shared" si="200"/>
        <v>71000000</v>
      </c>
      <c r="Y149" s="4">
        <f t="shared" si="200"/>
        <v>88000000</v>
      </c>
      <c r="Z149" s="4">
        <f t="shared" si="200"/>
        <v>97000000</v>
      </c>
      <c r="AA149" s="4">
        <f t="shared" si="200"/>
        <v>108000000</v>
      </c>
      <c r="AB149" s="4">
        <f t="shared" si="200"/>
        <v>122000000</v>
      </c>
      <c r="AC149" s="4">
        <f t="shared" si="200"/>
        <v>141000000</v>
      </c>
      <c r="AD149" s="4">
        <f t="shared" si="200"/>
        <v>160000000</v>
      </c>
      <c r="AE149" s="4">
        <f>SUM(AE137:AE148)</f>
        <v>179000000</v>
      </c>
      <c r="AF149" s="4">
        <f>SUM(AF137:AF148)</f>
        <v>201000000</v>
      </c>
      <c r="AG149" s="4">
        <f>SUM(AG137:AG148)</f>
        <v>225000000</v>
      </c>
      <c r="AH149" s="4">
        <f t="shared" ref="AH149:AO149" si="201">SUM(AH137:AH148)</f>
        <v>315000000</v>
      </c>
      <c r="AI149" s="4">
        <f t="shared" si="201"/>
        <v>410000000</v>
      </c>
      <c r="AJ149" s="4">
        <f t="shared" si="201"/>
        <v>507000000</v>
      </c>
      <c r="AK149" s="4">
        <f t="shared" si="201"/>
        <v>605000000</v>
      </c>
      <c r="AL149" s="4">
        <f t="shared" si="201"/>
        <v>704000000</v>
      </c>
      <c r="AM149" s="4">
        <f t="shared" si="201"/>
        <v>807000000</v>
      </c>
      <c r="AN149" s="4">
        <f t="shared" si="201"/>
        <v>910000000.00000012</v>
      </c>
      <c r="AO149" s="4">
        <f t="shared" si="201"/>
        <v>1015000000</v>
      </c>
      <c r="AP149" s="4">
        <f>SUM(AP137:AP148)</f>
        <v>1122000000</v>
      </c>
      <c r="AQ149" s="4">
        <f>SUM(AQ137:AQ148)</f>
        <v>1231000000</v>
      </c>
      <c r="AR149" s="4"/>
      <c r="AS149" s="4"/>
      <c r="AT149" s="4"/>
      <c r="AU149" s="4"/>
      <c r="AV149" s="4"/>
      <c r="AW149" s="4"/>
      <c r="AX149" s="4"/>
      <c r="AY149" s="4"/>
      <c r="AZ149" s="4"/>
      <c r="BA149" s="4"/>
      <c r="BB149" s="4"/>
      <c r="BC149" s="4"/>
      <c r="BD149" s="4"/>
      <c r="BG149" s="3">
        <v>84600000</v>
      </c>
      <c r="BH149" s="3">
        <f t="shared" si="199"/>
        <v>-8347626</v>
      </c>
      <c r="BI149" s="3">
        <v>91307418</v>
      </c>
      <c r="BJ149" s="3">
        <f t="shared" si="192"/>
        <v>236686</v>
      </c>
      <c r="BK149" s="3">
        <v>85161895</v>
      </c>
      <c r="BL149" s="3">
        <f t="shared" si="193"/>
        <v>-1055884</v>
      </c>
      <c r="BM149" s="3">
        <v>92381026</v>
      </c>
      <c r="BN149" s="3">
        <f t="shared" si="194"/>
        <v>-1863182</v>
      </c>
      <c r="BO149" s="3">
        <v>87500000</v>
      </c>
      <c r="BP149" s="3">
        <f t="shared" si="195"/>
        <v>-2011910</v>
      </c>
      <c r="BQ149" s="4">
        <v>79000000</v>
      </c>
      <c r="BR149" s="18">
        <f t="shared" si="196"/>
        <v>-4654931</v>
      </c>
      <c r="BS149" s="19">
        <v>76000000</v>
      </c>
      <c r="BT149" s="18">
        <f t="shared" si="197"/>
        <v>4000000</v>
      </c>
    </row>
    <row r="150" spans="1:72">
      <c r="A150" s="114"/>
      <c r="B150" s="114"/>
      <c r="C150" s="114"/>
      <c r="D150" s="114"/>
      <c r="E150" s="114"/>
      <c r="F150" s="114"/>
      <c r="G150" s="114"/>
      <c r="H150" s="120">
        <f t="shared" ref="H150:O150" si="202">H148/H147-1</f>
        <v>0.94675627459550693</v>
      </c>
      <c r="I150" s="120">
        <f t="shared" si="202"/>
        <v>1.0136689578067046</v>
      </c>
      <c r="J150" s="120">
        <f t="shared" si="202"/>
        <v>1.1025504981175307</v>
      </c>
      <c r="K150" s="120">
        <f t="shared" si="202"/>
        <v>1.4388924855086773</v>
      </c>
      <c r="L150" s="120">
        <f t="shared" si="202"/>
        <v>0.89929832133857546</v>
      </c>
      <c r="M150" s="120">
        <f t="shared" si="202"/>
        <v>0.93348637781778909</v>
      </c>
      <c r="N150" s="120">
        <f t="shared" si="202"/>
        <v>1.2136821163325968</v>
      </c>
      <c r="O150" s="120">
        <f t="shared" si="202"/>
        <v>0.61031160094495363</v>
      </c>
      <c r="P150" s="114"/>
      <c r="Q150" s="114"/>
      <c r="R150" s="114"/>
      <c r="S150" s="114"/>
      <c r="T150" s="114"/>
      <c r="U150" s="114"/>
      <c r="V150" s="114"/>
      <c r="W150" s="114"/>
      <c r="X150" s="114"/>
      <c r="Y150" s="114"/>
      <c r="Z150" s="114"/>
      <c r="AA150" s="114"/>
      <c r="AB150" s="114"/>
      <c r="AC150" s="114"/>
      <c r="AD150" s="114"/>
      <c r="AE150" s="114"/>
      <c r="AF150" s="114"/>
      <c r="AG150" s="114"/>
      <c r="AH150" s="114"/>
      <c r="AI150" s="114"/>
      <c r="AJ150" s="114"/>
      <c r="AK150" s="114"/>
      <c r="AL150" s="114"/>
      <c r="AM150" s="114"/>
      <c r="AN150" s="114"/>
      <c r="AO150" s="114"/>
      <c r="AP150" s="114"/>
      <c r="AQ150" s="114"/>
      <c r="AR150" s="2"/>
      <c r="AS150" s="2"/>
      <c r="AT150" s="2"/>
      <c r="AU150" s="2"/>
      <c r="AV150" s="2"/>
      <c r="AW150" s="2"/>
      <c r="AX150" s="2"/>
      <c r="AY150" s="2"/>
      <c r="AZ150" s="2"/>
      <c r="BA150" s="2"/>
      <c r="BB150" s="2"/>
      <c r="BC150" s="2"/>
      <c r="BD150" s="2"/>
      <c r="BR150" s="117"/>
    </row>
    <row r="151" spans="1:72" ht="16.5" thickBot="1">
      <c r="A151" s="109" t="s">
        <v>250</v>
      </c>
      <c r="BR151" s="117"/>
    </row>
    <row r="152" spans="1:72" ht="15.75" thickBot="1">
      <c r="A152" s="110"/>
      <c r="B152" s="111">
        <f t="shared" ref="B152:K152" si="203">B2</f>
        <v>2010</v>
      </c>
      <c r="C152" s="111">
        <f t="shared" si="203"/>
        <v>2011</v>
      </c>
      <c r="D152" s="111">
        <f t="shared" si="203"/>
        <v>2012</v>
      </c>
      <c r="E152" s="111">
        <f t="shared" si="203"/>
        <v>2013</v>
      </c>
      <c r="F152" s="111">
        <f t="shared" si="203"/>
        <v>2014</v>
      </c>
      <c r="G152" s="111">
        <f t="shared" si="203"/>
        <v>2015</v>
      </c>
      <c r="H152" s="111">
        <f t="shared" si="203"/>
        <v>2016</v>
      </c>
      <c r="I152" s="111">
        <f t="shared" si="203"/>
        <v>2017</v>
      </c>
      <c r="J152" s="111">
        <f t="shared" si="203"/>
        <v>2018</v>
      </c>
      <c r="K152" s="111">
        <f t="shared" si="203"/>
        <v>2019</v>
      </c>
      <c r="L152" s="111">
        <f>L2</f>
        <v>2020</v>
      </c>
      <c r="M152" s="111">
        <f>M2</f>
        <v>2021</v>
      </c>
      <c r="N152" s="111">
        <f t="shared" ref="N152:AD152" si="204">N2</f>
        <v>2022</v>
      </c>
      <c r="O152" s="111">
        <f t="shared" si="204"/>
        <v>2023</v>
      </c>
      <c r="P152" s="111">
        <f t="shared" si="204"/>
        <v>2024</v>
      </c>
      <c r="Q152" s="111">
        <f t="shared" si="204"/>
        <v>2025</v>
      </c>
      <c r="R152" s="111">
        <f t="shared" si="204"/>
        <v>2026</v>
      </c>
      <c r="S152" s="111">
        <f t="shared" si="204"/>
        <v>2027</v>
      </c>
      <c r="T152" s="111">
        <f t="shared" si="204"/>
        <v>2028</v>
      </c>
      <c r="U152" s="111">
        <f t="shared" si="204"/>
        <v>2029</v>
      </c>
      <c r="V152" s="111">
        <f t="shared" si="204"/>
        <v>2030</v>
      </c>
      <c r="W152" s="111">
        <f t="shared" si="204"/>
        <v>2031</v>
      </c>
      <c r="X152" s="111">
        <f t="shared" si="204"/>
        <v>2032</v>
      </c>
      <c r="Y152" s="111">
        <f t="shared" si="204"/>
        <v>2033</v>
      </c>
      <c r="Z152" s="111">
        <f t="shared" si="204"/>
        <v>2034</v>
      </c>
      <c r="AA152" s="111">
        <f t="shared" si="204"/>
        <v>2035</v>
      </c>
      <c r="AB152" s="111">
        <f t="shared" si="204"/>
        <v>2036</v>
      </c>
      <c r="AC152" s="111">
        <f t="shared" si="204"/>
        <v>2037</v>
      </c>
      <c r="AD152" s="111">
        <f t="shared" si="204"/>
        <v>2038</v>
      </c>
      <c r="AE152" s="111">
        <f>AE2</f>
        <v>2039</v>
      </c>
      <c r="AF152" s="111">
        <f>AF2</f>
        <v>2040</v>
      </c>
      <c r="AG152" s="111">
        <f>AG2</f>
        <v>2041</v>
      </c>
      <c r="AH152" s="111">
        <f t="shared" ref="AH152:AO152" si="205">AH2</f>
        <v>2042</v>
      </c>
      <c r="AI152" s="111">
        <f t="shared" si="205"/>
        <v>2043</v>
      </c>
      <c r="AJ152" s="111">
        <f t="shared" si="205"/>
        <v>2044</v>
      </c>
      <c r="AK152" s="111">
        <f t="shared" si="205"/>
        <v>2045</v>
      </c>
      <c r="AL152" s="111">
        <f t="shared" si="205"/>
        <v>2046</v>
      </c>
      <c r="AM152" s="111">
        <f t="shared" si="205"/>
        <v>2047</v>
      </c>
      <c r="AN152" s="111">
        <f t="shared" si="205"/>
        <v>2048</v>
      </c>
      <c r="AO152" s="111">
        <f t="shared" si="205"/>
        <v>2049</v>
      </c>
      <c r="AP152" s="111">
        <f>AP2</f>
        <v>2050</v>
      </c>
      <c r="AQ152" s="111">
        <f>AQ2</f>
        <v>2051</v>
      </c>
      <c r="AR152" s="94"/>
      <c r="AS152" s="94"/>
      <c r="AT152" s="94"/>
      <c r="AU152" s="94"/>
      <c r="AV152" s="94"/>
      <c r="AW152" s="94"/>
      <c r="AX152" s="94"/>
      <c r="AY152" s="94"/>
      <c r="AZ152" s="94"/>
      <c r="BA152" s="94"/>
      <c r="BB152" s="94"/>
      <c r="BC152" s="94"/>
      <c r="BD152" s="94"/>
      <c r="BR152" s="117"/>
    </row>
    <row r="153" spans="1:72">
      <c r="A153" s="2" t="s">
        <v>43</v>
      </c>
      <c r="B153" s="3">
        <f>'Monthly D3 Gallon Data'!$K4</f>
        <v>0</v>
      </c>
      <c r="C153" s="3">
        <f>'Monthly D3 Gallon Data'!$K16</f>
        <v>0</v>
      </c>
      <c r="D153" s="3">
        <f>'Monthly D3 Gallon Data'!$K28</f>
        <v>0</v>
      </c>
      <c r="E153" s="3">
        <f>'Monthly D3 Gallon Data'!$K40</f>
        <v>0</v>
      </c>
      <c r="F153" s="3">
        <f>'Monthly D3 Gallon Data'!$K52</f>
        <v>0</v>
      </c>
      <c r="G153" s="3">
        <f>'Monthly D3 Gallon Data'!$K64</f>
        <v>2564904</v>
      </c>
      <c r="H153" s="3">
        <f>'Monthly D3 Gallon Data'!$K76</f>
        <v>161044</v>
      </c>
      <c r="I153" s="3">
        <f>'Monthly D3 Gallon Data'!$K88</f>
        <v>138431</v>
      </c>
      <c r="J153" s="3">
        <f>'Monthly D3 Gallon Data'!$K100</f>
        <v>186414</v>
      </c>
      <c r="K153" s="3">
        <f>'Monthly D3 Gallon Data'!$K112</f>
        <v>185308</v>
      </c>
      <c r="L153" s="3">
        <f>'Monthly D3 Gallon Data'!$K124</f>
        <v>51166</v>
      </c>
      <c r="M153" s="3">
        <f>'Monthly D3 Gallon Data'!$K136</f>
        <v>1179715</v>
      </c>
      <c r="N153" s="3">
        <f>'Monthly D3 Gallon Data'!$K148</f>
        <v>99241</v>
      </c>
      <c r="O153" s="3">
        <f>'Monthly D3 Gallon Data'!$K160</f>
        <v>604446</v>
      </c>
      <c r="P153" s="3">
        <f>'Monthly D3 Gallon Data'!$K172</f>
        <v>503018</v>
      </c>
      <c r="Q153" s="3">
        <f>'Monthly D3 Gallon Data'!$K184</f>
        <v>0</v>
      </c>
      <c r="R153" s="4">
        <f t="shared" ref="Q153:V156" si="206">(SUM(M153:Q153)/SUM(M$165:Q$165))*R$165*0.75</f>
        <v>97165.293720906833</v>
      </c>
      <c r="S153" s="4">
        <f t="shared" si="206"/>
        <v>65672.762484400402</v>
      </c>
      <c r="T153" s="4">
        <f t="shared" si="206"/>
        <v>200892.46333454101</v>
      </c>
      <c r="U153" s="4">
        <f t="shared" si="206"/>
        <v>146569.82999364167</v>
      </c>
      <c r="V153" s="4">
        <f t="shared" si="206"/>
        <v>98210.992620170102</v>
      </c>
      <c r="W153" s="4">
        <f>(SUM(R153:V153)/SUM(R$165:V$165))*W$165</f>
        <v>152628.25605005454</v>
      </c>
      <c r="X153" s="4">
        <f t="shared" ref="X153:AG163" si="207">(SUM(S153:W153)/SUM(S$165:W$165))*X$165</f>
        <v>171926.24222567232</v>
      </c>
      <c r="Y153" s="4">
        <f t="shared" si="207"/>
        <v>211152.7881985016</v>
      </c>
      <c r="Z153" s="4">
        <f t="shared" si="207"/>
        <v>218176.79130126772</v>
      </c>
      <c r="AA153" s="4">
        <f t="shared" si="207"/>
        <v>240277.46110373878</v>
      </c>
      <c r="AB153" s="4">
        <f t="shared" si="207"/>
        <v>285382.84174886276</v>
      </c>
      <c r="AC153" s="4">
        <f t="shared" si="207"/>
        <v>326944.80157511128</v>
      </c>
      <c r="AD153" s="4">
        <f t="shared" si="207"/>
        <v>368902.06731726107</v>
      </c>
      <c r="AE153" s="4">
        <f t="shared" si="207"/>
        <v>410355.77927591914</v>
      </c>
      <c r="AF153" s="4">
        <f t="shared" si="207"/>
        <v>461978.10303549218</v>
      </c>
      <c r="AG153" s="4">
        <f t="shared" si="207"/>
        <v>519367.13376630814</v>
      </c>
      <c r="AH153" s="4">
        <f t="shared" ref="AH153:AH163" si="208">(SUM(AC153:AG153)/SUM(AC$165:AG$165))*AH$165</f>
        <v>725803.07258893922</v>
      </c>
      <c r="AI153" s="4">
        <f t="shared" ref="AI153:AQ163" si="209">(SUM(AD153:AH153)/SUM(AD$165:AH$165))*AI$165</f>
        <v>943913.44810500648</v>
      </c>
      <c r="AJ153" s="4">
        <f t="shared" si="209"/>
        <v>1167021.5722881462</v>
      </c>
      <c r="AK153" s="4">
        <f t="shared" si="209"/>
        <v>1393208.9351744601</v>
      </c>
      <c r="AL153" s="4">
        <f t="shared" si="209"/>
        <v>1621492.3229843329</v>
      </c>
      <c r="AM153" s="4">
        <f t="shared" si="209"/>
        <v>1858367.3972336459</v>
      </c>
      <c r="AN153" s="4">
        <f t="shared" si="209"/>
        <v>2095431.3699191855</v>
      </c>
      <c r="AO153" s="4">
        <f t="shared" si="209"/>
        <v>2337264.2008388811</v>
      </c>
      <c r="AP153" s="4">
        <f t="shared" si="209"/>
        <v>2583783.0887752702</v>
      </c>
      <c r="AQ153" s="4">
        <f t="shared" si="209"/>
        <v>2834794.3276599101</v>
      </c>
      <c r="AR153" s="4"/>
      <c r="AS153" s="4"/>
      <c r="AT153" s="4"/>
      <c r="AU153" s="4"/>
      <c r="AV153" s="4"/>
      <c r="AW153" s="4"/>
      <c r="AX153" s="4"/>
      <c r="AY153" s="4"/>
      <c r="AZ153" s="4"/>
      <c r="BA153" s="4"/>
      <c r="BB153" s="4"/>
      <c r="BC153" s="4"/>
      <c r="BD153" s="4"/>
      <c r="BF153" s="83">
        <f>O153/N153-1</f>
        <v>5.09068832438206</v>
      </c>
      <c r="BI153" s="3">
        <v>1197299.8838114084</v>
      </c>
      <c r="BJ153" s="3">
        <f t="shared" ref="BJ153:BJ165" si="210">L153-BI153</f>
        <v>-1146133.8838114084</v>
      </c>
      <c r="BK153" s="3">
        <v>131839.76114685193</v>
      </c>
      <c r="BL153" s="3">
        <f t="shared" ref="BL153:BL165" si="211">M153-BK153</f>
        <v>1047875.2388531481</v>
      </c>
      <c r="BM153" s="3">
        <v>454783.69811424235</v>
      </c>
      <c r="BN153" s="3">
        <f t="shared" ref="BN153:BN165" si="212">N153-BM153</f>
        <v>-355542.69811424235</v>
      </c>
      <c r="BO153" s="3">
        <v>348424.24902538641</v>
      </c>
      <c r="BP153" s="3">
        <f t="shared" ref="BP153:BP165" si="213">O153-BO153</f>
        <v>256021.75097461359</v>
      </c>
      <c r="BQ153" s="3">
        <v>503018</v>
      </c>
      <c r="BR153" s="18">
        <f t="shared" ref="BR153:BR165" si="214">P153-BQ153</f>
        <v>0</v>
      </c>
      <c r="BS153" s="3">
        <v>0</v>
      </c>
      <c r="BT153" s="18">
        <f>Q153-BS153</f>
        <v>0</v>
      </c>
    </row>
    <row r="154" spans="1:72">
      <c r="A154" s="2" t="s">
        <v>44</v>
      </c>
      <c r="B154" s="3">
        <f>'Monthly D3 Gallon Data'!$K5</f>
        <v>0</v>
      </c>
      <c r="C154" s="3">
        <f>'Monthly D3 Gallon Data'!$K17</f>
        <v>0</v>
      </c>
      <c r="D154" s="3">
        <f>'Monthly D3 Gallon Data'!$K29</f>
        <v>0</v>
      </c>
      <c r="E154" s="3">
        <f>'Monthly D3 Gallon Data'!$K41</f>
        <v>0</v>
      </c>
      <c r="F154" s="3">
        <f>'Monthly D3 Gallon Data'!$K53</f>
        <v>0</v>
      </c>
      <c r="G154" s="3">
        <f>'Monthly D3 Gallon Data'!$K65</f>
        <v>4177740</v>
      </c>
      <c r="H154" s="3">
        <f>'Monthly D3 Gallon Data'!$K77</f>
        <v>4850138</v>
      </c>
      <c r="I154" s="3">
        <f>'Monthly D3 Gallon Data'!$K89</f>
        <v>4315110</v>
      </c>
      <c r="J154" s="3">
        <f>'Monthly D3 Gallon Data'!$K101</f>
        <v>4089552</v>
      </c>
      <c r="K154" s="3">
        <f>'Monthly D3 Gallon Data'!$K113</f>
        <v>4330400</v>
      </c>
      <c r="L154" s="3">
        <f>'Monthly D3 Gallon Data'!$K125</f>
        <v>5519687</v>
      </c>
      <c r="M154" s="3">
        <f>'Monthly D3 Gallon Data'!$K137</f>
        <v>5801041</v>
      </c>
      <c r="N154" s="3">
        <f>'Monthly D3 Gallon Data'!$K149</f>
        <v>6745165</v>
      </c>
      <c r="O154" s="3">
        <f>'Monthly D3 Gallon Data'!$K161</f>
        <v>4078579</v>
      </c>
      <c r="P154" s="3">
        <f>'Monthly D3 Gallon Data'!$K173</f>
        <v>3126529</v>
      </c>
      <c r="Q154" s="3">
        <f>'Monthly D3 Gallon Data'!$K185</f>
        <v>0</v>
      </c>
      <c r="R154" s="4">
        <f t="shared" si="206"/>
        <v>804192.98622365692</v>
      </c>
      <c r="S154" s="4">
        <f t="shared" si="206"/>
        <v>743146.41952019045</v>
      </c>
      <c r="T154" s="4">
        <f t="shared" si="206"/>
        <v>1384159.5476892756</v>
      </c>
      <c r="U154" s="4">
        <f t="shared" si="206"/>
        <v>1024431.0860811342</v>
      </c>
      <c r="V154" s="4">
        <f t="shared" si="206"/>
        <v>761347.34430775943</v>
      </c>
      <c r="W154" s="4">
        <f t="shared" ref="W154:W163" si="215">(SUM(R154:V154)/SUM(R$165:V$165))*W$165</f>
        <v>1183198.685909305</v>
      </c>
      <c r="X154" s="4">
        <f t="shared" si="207"/>
        <v>1319606.4877062151</v>
      </c>
      <c r="Y154" s="4">
        <f t="shared" si="207"/>
        <v>1555144.5400281767</v>
      </c>
      <c r="Z154" s="4">
        <f t="shared" si="207"/>
        <v>1633549.3659111275</v>
      </c>
      <c r="AA154" s="4">
        <f t="shared" si="207"/>
        <v>1819601.6025513292</v>
      </c>
      <c r="AB154" s="4">
        <f t="shared" si="207"/>
        <v>2156127.7252163547</v>
      </c>
      <c r="AC154" s="4">
        <f t="shared" si="207"/>
        <v>2461416.0302865468</v>
      </c>
      <c r="AD154" s="4">
        <f t="shared" si="207"/>
        <v>2770025.687480154</v>
      </c>
      <c r="AE154" s="4">
        <f t="shared" si="207"/>
        <v>3089950.5631349464</v>
      </c>
      <c r="AF154" s="4">
        <f t="shared" si="207"/>
        <v>3481297.8075246974</v>
      </c>
      <c r="AG154" s="4">
        <f t="shared" si="207"/>
        <v>3911250.3213818269</v>
      </c>
      <c r="AH154" s="4">
        <f t="shared" si="208"/>
        <v>5463456.1027478734</v>
      </c>
      <c r="AI154" s="4">
        <f t="shared" si="209"/>
        <v>7105140.7386393454</v>
      </c>
      <c r="AJ154" s="4">
        <f t="shared" si="209"/>
        <v>8787146.9439461268</v>
      </c>
      <c r="AK154" s="4">
        <f t="shared" si="209"/>
        <v>10490178.895123716</v>
      </c>
      <c r="AL154" s="4">
        <f t="shared" si="209"/>
        <v>12208074.584526954</v>
      </c>
      <c r="AM154" s="4">
        <f t="shared" si="209"/>
        <v>13991175.046376269</v>
      </c>
      <c r="AN154" s="4">
        <f t="shared" si="209"/>
        <v>15776248.516266832</v>
      </c>
      <c r="AO154" s="4">
        <f t="shared" si="209"/>
        <v>17597400.607425272</v>
      </c>
      <c r="AP154" s="4">
        <f t="shared" si="209"/>
        <v>19453296.986633193</v>
      </c>
      <c r="AQ154" s="4">
        <f t="shared" si="209"/>
        <v>21342967.739677995</v>
      </c>
      <c r="AR154" s="4"/>
      <c r="AS154" s="4"/>
      <c r="AT154" s="4"/>
      <c r="AU154" s="4"/>
      <c r="AV154" s="4"/>
      <c r="AW154" s="4"/>
      <c r="AX154" s="4"/>
      <c r="AY154" s="4"/>
      <c r="AZ154" s="4"/>
      <c r="BA154" s="4"/>
      <c r="BB154" s="4"/>
      <c r="BC154" s="4"/>
      <c r="BD154" s="4"/>
      <c r="BF154" s="83">
        <f t="shared" ref="BF154:BF164" si="216">O154/N154-1</f>
        <v>-0.39533295330803619</v>
      </c>
      <c r="BI154" s="3">
        <v>8487219.5083409175</v>
      </c>
      <c r="BJ154" s="3">
        <f t="shared" si="210"/>
        <v>-2967532.5083409175</v>
      </c>
      <c r="BK154" s="3">
        <v>6007902.0290684942</v>
      </c>
      <c r="BL154" s="3">
        <f t="shared" si="211"/>
        <v>-206861.02906849422</v>
      </c>
      <c r="BM154" s="3">
        <v>6274741.4630443696</v>
      </c>
      <c r="BN154" s="3">
        <f t="shared" si="212"/>
        <v>470423.53695563041</v>
      </c>
      <c r="BO154" s="3">
        <v>5422536.1748361103</v>
      </c>
      <c r="BP154" s="3">
        <f t="shared" si="213"/>
        <v>-1343957.1748361103</v>
      </c>
      <c r="BQ154" s="3">
        <v>3126529</v>
      </c>
      <c r="BR154" s="18">
        <f t="shared" si="214"/>
        <v>0</v>
      </c>
      <c r="BS154" s="3">
        <v>2197859.4597256435</v>
      </c>
      <c r="BT154" s="18">
        <f t="shared" ref="BT154:BT165" si="217">Q154-BS154</f>
        <v>-2197859.4597256435</v>
      </c>
    </row>
    <row r="155" spans="1:72">
      <c r="A155" s="2" t="s">
        <v>45</v>
      </c>
      <c r="B155" s="3">
        <f>'Monthly D3 Gallon Data'!$K6</f>
        <v>0</v>
      </c>
      <c r="C155" s="3">
        <f>'Monthly D3 Gallon Data'!$K18</f>
        <v>0</v>
      </c>
      <c r="D155" s="3">
        <f>'Monthly D3 Gallon Data'!$K30</f>
        <v>0</v>
      </c>
      <c r="E155" s="3">
        <f>'Monthly D3 Gallon Data'!$K42</f>
        <v>0</v>
      </c>
      <c r="F155" s="3">
        <f>'Monthly D3 Gallon Data'!$K54</f>
        <v>0</v>
      </c>
      <c r="G155" s="3">
        <f>'Monthly D3 Gallon Data'!$K66</f>
        <v>3556464</v>
      </c>
      <c r="H155" s="3">
        <f>'Monthly D3 Gallon Data'!$K78</f>
        <v>4603290</v>
      </c>
      <c r="I155" s="3">
        <f>'Monthly D3 Gallon Data'!$K90</f>
        <v>3820021</v>
      </c>
      <c r="J155" s="3">
        <f>'Monthly D3 Gallon Data'!$K102</f>
        <v>3892294</v>
      </c>
      <c r="K155" s="3">
        <f>'Monthly D3 Gallon Data'!$K114</f>
        <v>4039100</v>
      </c>
      <c r="L155" s="3">
        <f>'Monthly D3 Gallon Data'!$K126</f>
        <v>5444113</v>
      </c>
      <c r="M155" s="3">
        <f>'Monthly D3 Gallon Data'!$K138</f>
        <v>6042256</v>
      </c>
      <c r="N155" s="3">
        <f>'Monthly D3 Gallon Data'!$K150</f>
        <v>6583858</v>
      </c>
      <c r="O155" s="3">
        <f>'Monthly D3 Gallon Data'!$K162</f>
        <v>3434859</v>
      </c>
      <c r="P155" s="3">
        <f>'Monthly D3 Gallon Data'!$K174</f>
        <v>2872469</v>
      </c>
      <c r="Q155" s="4">
        <f t="shared" si="206"/>
        <v>2231742.1359443478</v>
      </c>
      <c r="R155" s="4">
        <f t="shared" si="206"/>
        <v>861760.0142582237</v>
      </c>
      <c r="S155" s="4">
        <f t="shared" si="206"/>
        <v>805109.70556720416</v>
      </c>
      <c r="T155" s="4">
        <f t="shared" si="206"/>
        <v>1614022.7343994714</v>
      </c>
      <c r="U155" s="4">
        <f t="shared" si="206"/>
        <v>1417946.7053980683</v>
      </c>
      <c r="V155" s="4">
        <f t="shared" si="206"/>
        <v>1333840.4903988419</v>
      </c>
      <c r="W155" s="4">
        <f t="shared" si="215"/>
        <v>1513130.997743957</v>
      </c>
      <c r="X155" s="4">
        <f t="shared" si="207"/>
        <v>1730735.2114479777</v>
      </c>
      <c r="Y155" s="4">
        <f t="shared" si="207"/>
        <v>2086141.7453774826</v>
      </c>
      <c r="Z155" s="4">
        <f t="shared" si="207"/>
        <v>2259176.165952547</v>
      </c>
      <c r="AA155" s="4">
        <f t="shared" si="207"/>
        <v>2516153.1539933342</v>
      </c>
      <c r="AB155" s="4">
        <f t="shared" si="207"/>
        <v>2900826.2293902743</v>
      </c>
      <c r="AC155" s="4">
        <f t="shared" si="207"/>
        <v>3334398.3196888645</v>
      </c>
      <c r="AD155" s="4">
        <f t="shared" si="207"/>
        <v>3768833.2703316556</v>
      </c>
      <c r="AE155" s="4">
        <f t="shared" si="207"/>
        <v>4212596.0158357406</v>
      </c>
      <c r="AF155" s="4">
        <f t="shared" si="207"/>
        <v>4737034.0913200183</v>
      </c>
      <c r="AG155" s="4">
        <f t="shared" si="207"/>
        <v>5310809.1948660947</v>
      </c>
      <c r="AH155" s="4">
        <f t="shared" si="208"/>
        <v>7427766.369749832</v>
      </c>
      <c r="AI155" s="4">
        <f t="shared" si="209"/>
        <v>9664246.26505775</v>
      </c>
      <c r="AJ155" s="4">
        <f t="shared" si="209"/>
        <v>11951648.971407913</v>
      </c>
      <c r="AK155" s="4">
        <f t="shared" si="209"/>
        <v>14264391.109712286</v>
      </c>
      <c r="AL155" s="4">
        <f t="shared" si="209"/>
        <v>16599262.262463089</v>
      </c>
      <c r="AM155" s="4">
        <f t="shared" si="209"/>
        <v>19026053.989595212</v>
      </c>
      <c r="AN155" s="4">
        <f t="shared" si="209"/>
        <v>21454038.366104521</v>
      </c>
      <c r="AO155" s="4">
        <f t="shared" si="209"/>
        <v>23930038.386575788</v>
      </c>
      <c r="AP155" s="4">
        <f t="shared" si="209"/>
        <v>26453151.639795572</v>
      </c>
      <c r="AQ155" s="4">
        <f t="shared" si="209"/>
        <v>29022903.127999462</v>
      </c>
      <c r="AR155" s="4"/>
      <c r="AS155" s="4"/>
      <c r="AT155" s="4"/>
      <c r="AU155" s="4"/>
      <c r="AV155" s="4"/>
      <c r="AW155" s="4"/>
      <c r="AX155" s="4"/>
      <c r="AY155" s="4"/>
      <c r="AZ155" s="4"/>
      <c r="BA155" s="4"/>
      <c r="BB155" s="4"/>
      <c r="BC155" s="4"/>
      <c r="BD155" s="4"/>
      <c r="BF155" s="83">
        <f t="shared" si="216"/>
        <v>-0.47829084406133915</v>
      </c>
      <c r="BI155" s="3">
        <v>6130307.8815833703</v>
      </c>
      <c r="BJ155" s="3">
        <f t="shared" si="210"/>
        <v>-686194.88158337027</v>
      </c>
      <c r="BK155" s="3">
        <v>5666253.1558463145</v>
      </c>
      <c r="BL155" s="3">
        <f t="shared" si="211"/>
        <v>376002.8441536855</v>
      </c>
      <c r="BM155" s="3">
        <v>6057723.4810553389</v>
      </c>
      <c r="BN155" s="3">
        <f t="shared" si="212"/>
        <v>526134.51894466113</v>
      </c>
      <c r="BO155" s="3">
        <v>6231278.7670186134</v>
      </c>
      <c r="BP155" s="3">
        <f t="shared" si="213"/>
        <v>-2796419.7670186134</v>
      </c>
      <c r="BQ155" s="3">
        <v>2872469</v>
      </c>
      <c r="BR155" s="18">
        <f t="shared" si="214"/>
        <v>0</v>
      </c>
      <c r="BS155" s="4">
        <v>2120155.0291471304</v>
      </c>
      <c r="BT155" s="18">
        <f t="shared" si="217"/>
        <v>111587.10679721739</v>
      </c>
    </row>
    <row r="156" spans="1:72">
      <c r="A156" s="2" t="s">
        <v>46</v>
      </c>
      <c r="B156" s="3">
        <f>'Monthly D3 Gallon Data'!$K7</f>
        <v>0</v>
      </c>
      <c r="C156" s="3">
        <f>'Monthly D3 Gallon Data'!$K19</f>
        <v>0</v>
      </c>
      <c r="D156" s="3">
        <f>'Monthly D3 Gallon Data'!$K31</f>
        <v>0</v>
      </c>
      <c r="E156" s="3">
        <f>'Monthly D3 Gallon Data'!$K43</f>
        <v>0</v>
      </c>
      <c r="F156" s="3">
        <f>'Monthly D3 Gallon Data'!$K55</f>
        <v>0</v>
      </c>
      <c r="G156" s="3">
        <f>'Monthly D3 Gallon Data'!$K67</f>
        <v>3350984</v>
      </c>
      <c r="H156" s="3">
        <f>'Monthly D3 Gallon Data'!$K79</f>
        <v>5675117</v>
      </c>
      <c r="I156" s="3">
        <f>'Monthly D3 Gallon Data'!$K91</f>
        <v>4478126</v>
      </c>
      <c r="J156" s="3">
        <f>'Monthly D3 Gallon Data'!$K103</f>
        <v>3862235</v>
      </c>
      <c r="K156" s="3">
        <f>'Monthly D3 Gallon Data'!$K115</f>
        <v>4446649</v>
      </c>
      <c r="L156" s="3">
        <f>'Monthly D3 Gallon Data'!$K127</f>
        <v>6329732</v>
      </c>
      <c r="M156" s="3">
        <f>'Monthly D3 Gallon Data'!$K139</f>
        <v>5822780</v>
      </c>
      <c r="N156" s="3">
        <f>'Monthly D3 Gallon Data'!$K151</f>
        <v>7329733</v>
      </c>
      <c r="O156" s="3">
        <f>'Monthly D3 Gallon Data'!$K163</f>
        <v>4355847</v>
      </c>
      <c r="P156" s="3">
        <f>'Monthly D3 Gallon Data'!$K175</f>
        <v>3105000</v>
      </c>
      <c r="Q156" s="4">
        <f t="shared" si="206"/>
        <v>2466614.6251757024</v>
      </c>
      <c r="R156" s="4">
        <f t="shared" si="206"/>
        <v>939722.47698488692</v>
      </c>
      <c r="S156" s="4">
        <f t="shared" si="206"/>
        <v>916534.27534435014</v>
      </c>
      <c r="T156" s="4">
        <f t="shared" si="206"/>
        <v>1863541.1952091418</v>
      </c>
      <c r="U156" s="4">
        <f t="shared" si="206"/>
        <v>1571206.3308818589</v>
      </c>
      <c r="V156" s="4">
        <f t="shared" si="206"/>
        <v>1493009.8589735578</v>
      </c>
      <c r="W156" s="4">
        <f t="shared" si="215"/>
        <v>1701582.4933430164</v>
      </c>
      <c r="X156" s="4">
        <f t="shared" si="207"/>
        <v>1953891.556952541</v>
      </c>
      <c r="Y156" s="4">
        <f t="shared" si="207"/>
        <v>2353035.4090706864</v>
      </c>
      <c r="Z156" s="4">
        <f t="shared" si="207"/>
        <v>2536179.7924337205</v>
      </c>
      <c r="AA156" s="4">
        <f t="shared" si="207"/>
        <v>2830473.9006880955</v>
      </c>
      <c r="AB156" s="4">
        <f t="shared" si="207"/>
        <v>3265340.9520083372</v>
      </c>
      <c r="AC156" s="4">
        <f t="shared" si="207"/>
        <v>3753884.6649642517</v>
      </c>
      <c r="AD156" s="4">
        <f t="shared" si="207"/>
        <v>4241414.3076734077</v>
      </c>
      <c r="AE156" s="4">
        <f t="shared" si="207"/>
        <v>4739308.2127077049</v>
      </c>
      <c r="AF156" s="4">
        <f t="shared" si="207"/>
        <v>5330865.9572484512</v>
      </c>
      <c r="AG156" s="4">
        <f t="shared" si="207"/>
        <v>5976878.1709657339</v>
      </c>
      <c r="AH156" s="4">
        <f t="shared" si="208"/>
        <v>8359095.6553766653</v>
      </c>
      <c r="AI156" s="4">
        <f t="shared" si="209"/>
        <v>10875463.467248615</v>
      </c>
      <c r="AJ156" s="4">
        <f t="shared" si="209"/>
        <v>13449456.400013847</v>
      </c>
      <c r="AK156" s="4">
        <f t="shared" si="209"/>
        <v>16052481.657880731</v>
      </c>
      <c r="AL156" s="4">
        <f t="shared" si="209"/>
        <v>18680027.278101776</v>
      </c>
      <c r="AM156" s="4">
        <f t="shared" si="209"/>
        <v>21410915.087803092</v>
      </c>
      <c r="AN156" s="4">
        <f t="shared" si="209"/>
        <v>24143156.261409078</v>
      </c>
      <c r="AO156" s="4">
        <f t="shared" si="209"/>
        <v>26929543.5141485</v>
      </c>
      <c r="AP156" s="4">
        <f t="shared" si="209"/>
        <v>29768990.57234918</v>
      </c>
      <c r="AQ156" s="4">
        <f t="shared" si="209"/>
        <v>32660831.696073301</v>
      </c>
      <c r="AR156" s="4"/>
      <c r="AS156" s="4"/>
      <c r="AT156" s="4"/>
      <c r="AU156" s="4"/>
      <c r="AV156" s="4"/>
      <c r="AW156" s="4"/>
      <c r="AX156" s="4"/>
      <c r="AY156" s="4"/>
      <c r="AZ156" s="4"/>
      <c r="BA156" s="4"/>
      <c r="BB156" s="4"/>
      <c r="BC156" s="4"/>
      <c r="BD156" s="4"/>
      <c r="BF156" s="83">
        <f t="shared" si="216"/>
        <v>-0.40572910363856363</v>
      </c>
      <c r="BI156" s="3">
        <v>5726789.6861977763</v>
      </c>
      <c r="BJ156" s="3">
        <f t="shared" si="210"/>
        <v>602942.31380222365</v>
      </c>
      <c r="BK156" s="3">
        <v>6483310.1576295467</v>
      </c>
      <c r="BL156" s="3">
        <f t="shared" si="211"/>
        <v>-660530.15762954671</v>
      </c>
      <c r="BM156" s="3">
        <v>6501339.7157704961</v>
      </c>
      <c r="BN156" s="3">
        <f t="shared" si="212"/>
        <v>828393.28422950394</v>
      </c>
      <c r="BO156" s="3">
        <v>5437834.0233868891</v>
      </c>
      <c r="BP156" s="3">
        <f t="shared" si="213"/>
        <v>-1081987.0233868891</v>
      </c>
      <c r="BQ156" s="3">
        <v>3105000</v>
      </c>
      <c r="BR156" s="18">
        <f t="shared" si="214"/>
        <v>0</v>
      </c>
      <c r="BS156" s="4">
        <v>2343283.893916917</v>
      </c>
      <c r="BT156" s="18">
        <f t="shared" si="217"/>
        <v>123330.73125878535</v>
      </c>
    </row>
    <row r="157" spans="1:72">
      <c r="A157" s="2" t="s">
        <v>47</v>
      </c>
      <c r="B157" s="3">
        <f>'Monthly D3 Gallon Data'!$K8</f>
        <v>0</v>
      </c>
      <c r="C157" s="3">
        <f>'Monthly D3 Gallon Data'!$K20</f>
        <v>0</v>
      </c>
      <c r="D157" s="3">
        <f>'Monthly D3 Gallon Data'!$K32</f>
        <v>0</v>
      </c>
      <c r="E157" s="3">
        <f>'Monthly D3 Gallon Data'!$K44</f>
        <v>0</v>
      </c>
      <c r="F157" s="3">
        <f>'Monthly D3 Gallon Data'!$K56</f>
        <v>0</v>
      </c>
      <c r="G157" s="3">
        <f>'Monthly D3 Gallon Data'!$K68</f>
        <v>3348786</v>
      </c>
      <c r="H157" s="3">
        <f>'Monthly D3 Gallon Data'!$K80</f>
        <v>5254371</v>
      </c>
      <c r="I157" s="3">
        <f>'Monthly D3 Gallon Data'!$K92</f>
        <v>5490050</v>
      </c>
      <c r="J157" s="3">
        <f>'Monthly D3 Gallon Data'!$K104</f>
        <v>3040090</v>
      </c>
      <c r="K157" s="3">
        <f>'Monthly D3 Gallon Data'!$K116</f>
        <v>2427400</v>
      </c>
      <c r="L157" s="3">
        <f>'Monthly D3 Gallon Data'!$K128</f>
        <v>6261128</v>
      </c>
      <c r="M157" s="3">
        <f>'Monthly D3 Gallon Data'!$K140</f>
        <v>5946988</v>
      </c>
      <c r="N157" s="3">
        <f>'Monthly D3 Gallon Data'!$K152</f>
        <v>7709416</v>
      </c>
      <c r="O157" s="3">
        <f>'Monthly D3 Gallon Data'!$K164</f>
        <v>3377657</v>
      </c>
      <c r="P157" s="3">
        <f>'Monthly D3 Gallon Data'!$K176</f>
        <v>3224507</v>
      </c>
      <c r="Q157" s="4">
        <f t="shared" ref="Q157:V157" si="218">(SUM(L157:P157)/SUM(L$165:P$165))*Q$165*0.95</f>
        <v>3075280.6202729261</v>
      </c>
      <c r="R157" s="4">
        <f t="shared" si="218"/>
        <v>1203408.3087283298</v>
      </c>
      <c r="S157" s="4">
        <f t="shared" si="218"/>
        <v>1186038.8319156112</v>
      </c>
      <c r="T157" s="4">
        <f t="shared" si="218"/>
        <v>2417210.1103671896</v>
      </c>
      <c r="U157" s="4">
        <f t="shared" si="218"/>
        <v>2378969.5471807364</v>
      </c>
      <c r="V157" s="4">
        <f t="shared" si="218"/>
        <v>2501395.3932260596</v>
      </c>
      <c r="W157" s="4">
        <f t="shared" si="215"/>
        <v>2429721.8489987398</v>
      </c>
      <c r="X157" s="4">
        <f t="shared" si="207"/>
        <v>2825845.5030994597</v>
      </c>
      <c r="Y157" s="4">
        <f t="shared" si="207"/>
        <v>3441359.9110677647</v>
      </c>
      <c r="Z157" s="4">
        <f t="shared" si="207"/>
        <v>3795381.3940822985</v>
      </c>
      <c r="AA157" s="4">
        <f t="shared" si="207"/>
        <v>4227989.6539196521</v>
      </c>
      <c r="AB157" s="4">
        <f t="shared" si="207"/>
        <v>4799709.1622646721</v>
      </c>
      <c r="AC157" s="4">
        <f t="shared" si="207"/>
        <v>5538539.6564715477</v>
      </c>
      <c r="AD157" s="4">
        <f t="shared" si="207"/>
        <v>6274238.7849801248</v>
      </c>
      <c r="AE157" s="4">
        <f t="shared" si="207"/>
        <v>7022004.2972254371</v>
      </c>
      <c r="AF157" s="4">
        <f t="shared" si="207"/>
        <v>7887829.2852495033</v>
      </c>
      <c r="AG157" s="4">
        <f t="shared" si="207"/>
        <v>8832530.8429552168</v>
      </c>
      <c r="AH157" s="4">
        <f t="shared" si="208"/>
        <v>12361887.420604609</v>
      </c>
      <c r="AI157" s="4">
        <f t="shared" si="209"/>
        <v>16088130.702514911</v>
      </c>
      <c r="AJ157" s="4">
        <f t="shared" si="209"/>
        <v>19895893.197078712</v>
      </c>
      <c r="AK157" s="4">
        <f t="shared" si="209"/>
        <v>23742517.627432916</v>
      </c>
      <c r="AL157" s="4">
        <f t="shared" si="209"/>
        <v>27627718.570597872</v>
      </c>
      <c r="AM157" s="4">
        <f t="shared" si="209"/>
        <v>31669000.805671316</v>
      </c>
      <c r="AN157" s="4">
        <f t="shared" si="209"/>
        <v>35710902.545993775</v>
      </c>
      <c r="AO157" s="4">
        <f t="shared" si="209"/>
        <v>39831792.594955064</v>
      </c>
      <c r="AP157" s="4">
        <f t="shared" si="209"/>
        <v>44030915.086933516</v>
      </c>
      <c r="AQ157" s="4">
        <f t="shared" si="209"/>
        <v>48308331.667992659</v>
      </c>
      <c r="AR157" s="4"/>
      <c r="AS157" s="4"/>
      <c r="AT157" s="4"/>
      <c r="AU157" s="4"/>
      <c r="AV157" s="4"/>
      <c r="AW157" s="4"/>
      <c r="AX157" s="4"/>
      <c r="AY157" s="4"/>
      <c r="AZ157" s="4"/>
      <c r="BA157" s="4"/>
      <c r="BB157" s="4"/>
      <c r="BC157" s="4"/>
      <c r="BD157" s="4"/>
      <c r="BF157" s="83">
        <f t="shared" si="216"/>
        <v>-0.56187900614002406</v>
      </c>
      <c r="BG157" s="3">
        <v>4457766.3971119244</v>
      </c>
      <c r="BH157" s="3">
        <f t="shared" ref="BH157:BH165" si="219">K157-BG157</f>
        <v>-2030366.3971119244</v>
      </c>
      <c r="BI157" s="3">
        <v>5136386.0938122766</v>
      </c>
      <c r="BJ157" s="3">
        <f t="shared" si="210"/>
        <v>1124741.9061877234</v>
      </c>
      <c r="BK157" s="3">
        <v>5886407.9909252841</v>
      </c>
      <c r="BL157" s="3">
        <f t="shared" si="211"/>
        <v>60580.009074715897</v>
      </c>
      <c r="BM157" s="3">
        <v>6012835.1201928901</v>
      </c>
      <c r="BN157" s="3">
        <f t="shared" si="212"/>
        <v>1696580.8798071099</v>
      </c>
      <c r="BO157" s="3">
        <v>4967035.9313586969</v>
      </c>
      <c r="BP157" s="3">
        <f t="shared" si="213"/>
        <v>-1589378.9313586969</v>
      </c>
      <c r="BQ157" s="4">
        <v>3224507</v>
      </c>
      <c r="BR157" s="18">
        <f t="shared" si="214"/>
        <v>0</v>
      </c>
      <c r="BS157" s="4">
        <v>2921516.5892592799</v>
      </c>
      <c r="BT157" s="18">
        <f t="shared" si="217"/>
        <v>153764.03101364616</v>
      </c>
    </row>
    <row r="158" spans="1:72">
      <c r="A158" s="2" t="s">
        <v>48</v>
      </c>
      <c r="B158" s="3">
        <f>'Monthly D3 Gallon Data'!$K9</f>
        <v>0</v>
      </c>
      <c r="C158" s="3">
        <f>'Monthly D3 Gallon Data'!$K21</f>
        <v>0</v>
      </c>
      <c r="D158" s="3">
        <f>'Monthly D3 Gallon Data'!$K33</f>
        <v>0</v>
      </c>
      <c r="E158" s="3">
        <f>'Monthly D3 Gallon Data'!$K45</f>
        <v>0</v>
      </c>
      <c r="F158" s="3">
        <f>'Monthly D3 Gallon Data'!$K57</f>
        <v>0</v>
      </c>
      <c r="G158" s="3">
        <f>'Monthly D3 Gallon Data'!$K69</f>
        <v>2808818</v>
      </c>
      <c r="H158" s="3">
        <f>'Monthly D3 Gallon Data'!$K81</f>
        <v>3864970</v>
      </c>
      <c r="I158" s="3">
        <f>'Monthly D3 Gallon Data'!$K93</f>
        <v>5714928</v>
      </c>
      <c r="J158" s="3">
        <f>'Monthly D3 Gallon Data'!$K105</f>
        <v>3270773</v>
      </c>
      <c r="K158" s="3">
        <f>'Monthly D3 Gallon Data'!$K117</f>
        <v>3752615</v>
      </c>
      <c r="L158" s="3">
        <f>'Monthly D3 Gallon Data'!$K129</f>
        <v>7332013</v>
      </c>
      <c r="M158" s="3">
        <f>'Monthly D3 Gallon Data'!$K141</f>
        <v>6974332</v>
      </c>
      <c r="N158" s="3">
        <f>'Monthly D3 Gallon Data'!$K153</f>
        <v>6764621</v>
      </c>
      <c r="O158" s="3">
        <f>'Monthly D3 Gallon Data'!$K165</f>
        <v>6132138</v>
      </c>
      <c r="P158" s="3">
        <f>'Monthly D3 Gallon Data'!$K177</f>
        <v>3256205</v>
      </c>
      <c r="Q158" s="4">
        <f t="shared" ref="Q158:V158" si="220">(SUM(L158:P158)/SUM(L$165:P$165))*Q$165*1.025</f>
        <v>3810978.6596851135</v>
      </c>
      <c r="R158" s="4">
        <f t="shared" si="220"/>
        <v>1498982.8579399739</v>
      </c>
      <c r="S158" s="4">
        <f t="shared" si="220"/>
        <v>1477414.6957617605</v>
      </c>
      <c r="T158" s="4">
        <f t="shared" si="220"/>
        <v>3496091.9357082918</v>
      </c>
      <c r="U158" s="4">
        <f t="shared" si="220"/>
        <v>3129120.2858595569</v>
      </c>
      <c r="V158" s="4">
        <f t="shared" si="220"/>
        <v>3527844.5086496314</v>
      </c>
      <c r="W158" s="4">
        <f t="shared" si="215"/>
        <v>3293160.819568553</v>
      </c>
      <c r="X158" s="4">
        <f t="shared" si="207"/>
        <v>3864251.9673008509</v>
      </c>
      <c r="Y158" s="4">
        <f t="shared" si="207"/>
        <v>4745549.2757122917</v>
      </c>
      <c r="Z158" s="4">
        <f t="shared" si="207"/>
        <v>5188221.628639238</v>
      </c>
      <c r="AA158" s="4">
        <f t="shared" si="207"/>
        <v>5814242.9388668956</v>
      </c>
      <c r="AB158" s="4">
        <f t="shared" si="207"/>
        <v>6575204.8208722714</v>
      </c>
      <c r="AC158" s="4">
        <f t="shared" si="207"/>
        <v>7597599.504169153</v>
      </c>
      <c r="AD158" s="4">
        <f t="shared" si="207"/>
        <v>8610307.3865495957</v>
      </c>
      <c r="AE158" s="4">
        <f t="shared" si="207"/>
        <v>9629965.2133095395</v>
      </c>
      <c r="AF158" s="4">
        <f t="shared" si="207"/>
        <v>10822100.412136981</v>
      </c>
      <c r="AG158" s="4">
        <f t="shared" si="207"/>
        <v>12114464.384599559</v>
      </c>
      <c r="AH158" s="4">
        <f t="shared" si="208"/>
        <v>16957999.584703002</v>
      </c>
      <c r="AI158" s="4">
        <f t="shared" si="209"/>
        <v>22069706.631789312</v>
      </c>
      <c r="AJ158" s="4">
        <f t="shared" si="209"/>
        <v>27291938.170567647</v>
      </c>
      <c r="AK158" s="4">
        <f t="shared" si="209"/>
        <v>32569364.629793048</v>
      </c>
      <c r="AL158" s="4">
        <f t="shared" si="209"/>
        <v>37898373.072076924</v>
      </c>
      <c r="AM158" s="4">
        <f t="shared" si="209"/>
        <v>43442509.777948223</v>
      </c>
      <c r="AN158" s="4">
        <f t="shared" si="209"/>
        <v>48986950.866066396</v>
      </c>
      <c r="AO158" s="4">
        <f t="shared" si="209"/>
        <v>54639675.506424859</v>
      </c>
      <c r="AP158" s="4">
        <f t="shared" si="209"/>
        <v>60399993.185422219</v>
      </c>
      <c r="AQ158" s="4">
        <f t="shared" si="209"/>
        <v>66267528.623118132</v>
      </c>
      <c r="AR158" s="4"/>
      <c r="AS158" s="4"/>
      <c r="AT158" s="4"/>
      <c r="AU158" s="4"/>
      <c r="AV158" s="4"/>
      <c r="AW158" s="4"/>
      <c r="AX158" s="4"/>
      <c r="AY158" s="4"/>
      <c r="AZ158" s="4"/>
      <c r="BA158" s="4"/>
      <c r="BB158" s="4"/>
      <c r="BC158" s="4"/>
      <c r="BD158" s="4"/>
      <c r="BF158" s="83">
        <f t="shared" si="216"/>
        <v>-9.349866016144881E-2</v>
      </c>
      <c r="BG158" s="3">
        <v>4074308.8653715518</v>
      </c>
      <c r="BH158" s="3">
        <f t="shared" si="219"/>
        <v>-321693.86537155183</v>
      </c>
      <c r="BI158" s="3">
        <v>5231142.3783612959</v>
      </c>
      <c r="BJ158" s="3">
        <f t="shared" si="210"/>
        <v>2100870.6216387041</v>
      </c>
      <c r="BK158" s="3">
        <v>6139781.340981965</v>
      </c>
      <c r="BL158" s="3">
        <f t="shared" si="211"/>
        <v>834550.65901803505</v>
      </c>
      <c r="BM158" s="3">
        <v>7987614.8894348163</v>
      </c>
      <c r="BN158" s="3">
        <f t="shared" si="212"/>
        <v>-1222993.8894348163</v>
      </c>
      <c r="BO158" s="3">
        <v>5286090.7218181547</v>
      </c>
      <c r="BP158" s="3">
        <f t="shared" si="213"/>
        <v>846047.27818184532</v>
      </c>
      <c r="BQ158" s="4">
        <v>3256205</v>
      </c>
      <c r="BR158" s="18">
        <f t="shared" si="214"/>
        <v>0</v>
      </c>
      <c r="BS158" s="4">
        <v>3620429.7267008577</v>
      </c>
      <c r="BT158" s="18">
        <f t="shared" si="217"/>
        <v>190548.93298425572</v>
      </c>
    </row>
    <row r="159" spans="1:72">
      <c r="A159" s="2" t="s">
        <v>49</v>
      </c>
      <c r="B159" s="3">
        <f>'Monthly D3 Gallon Data'!$K10</f>
        <v>0</v>
      </c>
      <c r="C159" s="3">
        <f>'Monthly D3 Gallon Data'!$K22</f>
        <v>0</v>
      </c>
      <c r="D159" s="3">
        <f>'Monthly D3 Gallon Data'!$K34</f>
        <v>0</v>
      </c>
      <c r="E159" s="3">
        <f>'Monthly D3 Gallon Data'!$K46</f>
        <v>0</v>
      </c>
      <c r="F159" s="3">
        <f>'Monthly D3 Gallon Data'!$K58</f>
        <v>0</v>
      </c>
      <c r="G159" s="3">
        <f>'Monthly D3 Gallon Data'!$K70</f>
        <v>3208297</v>
      </c>
      <c r="H159" s="3">
        <f>'Monthly D3 Gallon Data'!$K82</f>
        <v>3832496</v>
      </c>
      <c r="I159" s="3">
        <f>'Monthly D3 Gallon Data'!$K94</f>
        <v>4583079</v>
      </c>
      <c r="J159" s="3">
        <f>'Monthly D3 Gallon Data'!$K106</f>
        <v>4067717</v>
      </c>
      <c r="K159" s="3">
        <f>'Monthly D3 Gallon Data'!$K118</f>
        <v>5094847</v>
      </c>
      <c r="L159" s="3">
        <f>'Monthly D3 Gallon Data'!$K130</f>
        <v>6793302</v>
      </c>
      <c r="M159" s="3">
        <f>'Monthly D3 Gallon Data'!$K142</f>
        <v>7060527</v>
      </c>
      <c r="N159" s="3">
        <f>'Monthly D3 Gallon Data'!$K154</f>
        <v>7939544</v>
      </c>
      <c r="O159" s="3">
        <f>'Monthly D3 Gallon Data'!$K166</f>
        <v>4704474</v>
      </c>
      <c r="P159" s="3">
        <f>'Monthly D3 Gallon Data'!$K178</f>
        <v>3354072</v>
      </c>
      <c r="Q159" s="4">
        <f t="shared" ref="Q159:V159" si="221">(SUM(L159:P159)/SUM(L$165:P$165))*Q$165*1.05</f>
        <v>3826080.9855433283</v>
      </c>
      <c r="R159" s="4">
        <f t="shared" si="221"/>
        <v>1532489.4221924329</v>
      </c>
      <c r="S159" s="4">
        <f t="shared" si="221"/>
        <v>1505955.9608345693</v>
      </c>
      <c r="T159" s="4">
        <f t="shared" si="221"/>
        <v>3304021.949422135</v>
      </c>
      <c r="U159" s="4">
        <f t="shared" si="221"/>
        <v>3201403.1324570826</v>
      </c>
      <c r="V159" s="4">
        <f t="shared" si="221"/>
        <v>3602401.3822556525</v>
      </c>
      <c r="W159" s="4">
        <f t="shared" si="215"/>
        <v>3297379.0406121472</v>
      </c>
      <c r="X159" s="4">
        <f t="shared" si="207"/>
        <v>3861022.8448442477</v>
      </c>
      <c r="Y159" s="4">
        <f t="shared" si="207"/>
        <v>4733420.8559627151</v>
      </c>
      <c r="Z159" s="4">
        <f t="shared" si="207"/>
        <v>5226155.169581525</v>
      </c>
      <c r="AA159" s="4">
        <f t="shared" si="207"/>
        <v>5842822.3594560809</v>
      </c>
      <c r="AB159" s="4">
        <f t="shared" si="207"/>
        <v>6591100.3129311046</v>
      </c>
      <c r="AC159" s="4">
        <f t="shared" si="207"/>
        <v>7617052.5463608438</v>
      </c>
      <c r="AD159" s="4">
        <f t="shared" si="207"/>
        <v>8636129.8544725943</v>
      </c>
      <c r="AE159" s="4">
        <f t="shared" si="207"/>
        <v>9666359.2093337346</v>
      </c>
      <c r="AF159" s="4">
        <f t="shared" si="207"/>
        <v>10857811.719427358</v>
      </c>
      <c r="AG159" s="4">
        <f t="shared" si="207"/>
        <v>12151808.305813532</v>
      </c>
      <c r="AH159" s="4">
        <f t="shared" si="208"/>
        <v>17011794.608337242</v>
      </c>
      <c r="AI159" s="4">
        <f t="shared" si="209"/>
        <v>22141481.95919225</v>
      </c>
      <c r="AJ159" s="4">
        <f t="shared" si="209"/>
        <v>27381528.339599088</v>
      </c>
      <c r="AK159" s="4">
        <f t="shared" si="209"/>
        <v>32674533.82634712</v>
      </c>
      <c r="AL159" s="4">
        <f t="shared" si="209"/>
        <v>38020488.610892154</v>
      </c>
      <c r="AM159" s="4">
        <f t="shared" si="209"/>
        <v>43583026.630029455</v>
      </c>
      <c r="AN159" s="4">
        <f t="shared" si="209"/>
        <v>49145718.438217834</v>
      </c>
      <c r="AO159" s="4">
        <f t="shared" si="209"/>
        <v>54816692.692545116</v>
      </c>
      <c r="AP159" s="4">
        <f t="shared" si="209"/>
        <v>60595346.781042196</v>
      </c>
      <c r="AQ159" s="4">
        <f t="shared" si="209"/>
        <v>66481905.934841298</v>
      </c>
      <c r="AR159" s="4"/>
      <c r="AS159" s="4"/>
      <c r="AT159" s="4"/>
      <c r="AU159" s="4"/>
      <c r="AV159" s="4"/>
      <c r="AW159" s="4"/>
      <c r="AX159" s="4"/>
      <c r="AY159" s="4"/>
      <c r="AZ159" s="4"/>
      <c r="BA159" s="4"/>
      <c r="BB159" s="4"/>
      <c r="BC159" s="4"/>
      <c r="BD159" s="4"/>
      <c r="BF159" s="83">
        <f t="shared" si="216"/>
        <v>-0.40746294749421375</v>
      </c>
      <c r="BG159" s="3">
        <v>4182645.5843382268</v>
      </c>
      <c r="BH159" s="3">
        <f t="shared" si="219"/>
        <v>912201.41566177318</v>
      </c>
      <c r="BI159" s="3">
        <v>5599972.8512967089</v>
      </c>
      <c r="BJ159" s="3">
        <f t="shared" si="210"/>
        <v>1193329.1487032911</v>
      </c>
      <c r="BK159" s="3">
        <v>6233244.3760240115</v>
      </c>
      <c r="BL159" s="3">
        <f t="shared" si="211"/>
        <v>827282.62397598848</v>
      </c>
      <c r="BM159" s="3">
        <v>7590388.9079829548</v>
      </c>
      <c r="BN159" s="3">
        <f t="shared" si="212"/>
        <v>349155.09201704524</v>
      </c>
      <c r="BO159" s="3">
        <v>5824511.6211210024</v>
      </c>
      <c r="BP159" s="3">
        <f t="shared" si="213"/>
        <v>-1120037.6211210024</v>
      </c>
      <c r="BQ159" s="4">
        <v>3857258.1925711511</v>
      </c>
      <c r="BR159" s="18">
        <f t="shared" si="214"/>
        <v>-503186.19257115107</v>
      </c>
      <c r="BS159" s="4">
        <v>3634776.9362661629</v>
      </c>
      <c r="BT159" s="18">
        <f t="shared" si="217"/>
        <v>191304.04927716544</v>
      </c>
    </row>
    <row r="160" spans="1:72">
      <c r="A160" s="2" t="s">
        <v>50</v>
      </c>
      <c r="B160" s="3">
        <f>'Monthly D3 Gallon Data'!$K11</f>
        <v>0</v>
      </c>
      <c r="C160" s="3">
        <f>'Monthly D3 Gallon Data'!$K23</f>
        <v>0</v>
      </c>
      <c r="D160" s="3">
        <f>'Monthly D3 Gallon Data'!$K35</f>
        <v>0</v>
      </c>
      <c r="E160" s="3">
        <f>'Monthly D3 Gallon Data'!$K47</f>
        <v>0</v>
      </c>
      <c r="F160" s="3">
        <f>'Monthly D3 Gallon Data'!$K59</f>
        <v>1848485</v>
      </c>
      <c r="G160" s="3">
        <f>'Monthly D3 Gallon Data'!$K71</f>
        <v>3516393</v>
      </c>
      <c r="H160" s="3">
        <f>'Monthly D3 Gallon Data'!$K83</f>
        <v>4114248</v>
      </c>
      <c r="I160" s="3">
        <f>'Monthly D3 Gallon Data'!$K95</f>
        <v>4321654</v>
      </c>
      <c r="J160" s="3">
        <f>'Monthly D3 Gallon Data'!$K107</f>
        <v>5389916</v>
      </c>
      <c r="K160" s="3">
        <f>'Monthly D3 Gallon Data'!$K119</f>
        <v>4489615</v>
      </c>
      <c r="L160" s="3">
        <f>'Monthly D3 Gallon Data'!$K131</f>
        <v>7173179</v>
      </c>
      <c r="M160" s="3">
        <f>'Monthly D3 Gallon Data'!$K143</f>
        <v>6693931</v>
      </c>
      <c r="N160" s="3">
        <f>'Monthly D3 Gallon Data'!$K155</f>
        <v>6610857</v>
      </c>
      <c r="O160" s="3">
        <f>'Monthly D3 Gallon Data'!$K167</f>
        <v>5006216</v>
      </c>
      <c r="P160" s="3">
        <f>'Monthly D3 Gallon Data'!$K179</f>
        <v>2748733</v>
      </c>
      <c r="Q160" s="4">
        <f t="shared" ref="Q160:V160" si="222">(SUM(L160:P160)/SUM(L$165:P$165))*Q$165*1.1</f>
        <v>3790888.6314237327</v>
      </c>
      <c r="R160" s="4">
        <f t="shared" si="222"/>
        <v>1483997.0457774361</v>
      </c>
      <c r="S160" s="4">
        <f t="shared" si="222"/>
        <v>1450905.3897294002</v>
      </c>
      <c r="T160" s="4">
        <f t="shared" si="222"/>
        <v>3358758.8417694918</v>
      </c>
      <c r="U160" s="4">
        <f t="shared" si="222"/>
        <v>3182882.93464988</v>
      </c>
      <c r="V160" s="4">
        <f t="shared" si="222"/>
        <v>3745006.3158133975</v>
      </c>
      <c r="W160" s="4">
        <f t="shared" si="215"/>
        <v>3316260.6175662656</v>
      </c>
      <c r="X160" s="4">
        <f t="shared" si="207"/>
        <v>3897960.6165810311</v>
      </c>
      <c r="Y160" s="4">
        <f t="shared" si="207"/>
        <v>4797746.1081664981</v>
      </c>
      <c r="Z160" s="4">
        <f t="shared" si="207"/>
        <v>5294426.7708915723</v>
      </c>
      <c r="AA160" s="4">
        <f t="shared" si="207"/>
        <v>5936165.134031401</v>
      </c>
      <c r="AB160" s="4">
        <f t="shared" si="207"/>
        <v>6671981.7133244378</v>
      </c>
      <c r="AC160" s="4">
        <f t="shared" si="207"/>
        <v>7716785.0377824828</v>
      </c>
      <c r="AD160" s="4">
        <f t="shared" si="207"/>
        <v>8753123.6731500402</v>
      </c>
      <c r="AE160" s="4">
        <f t="shared" si="207"/>
        <v>9797252.128858611</v>
      </c>
      <c r="AF160" s="4">
        <f t="shared" si="207"/>
        <v>11005544.852276819</v>
      </c>
      <c r="AG160" s="4">
        <f t="shared" si="207"/>
        <v>12313268.57560808</v>
      </c>
      <c r="AH160" s="4">
        <f t="shared" si="208"/>
        <v>17240156.616244979</v>
      </c>
      <c r="AI160" s="4">
        <f t="shared" si="209"/>
        <v>22439659.071219258</v>
      </c>
      <c r="AJ160" s="4">
        <f t="shared" si="209"/>
        <v>27750008.865273178</v>
      </c>
      <c r="AK160" s="4">
        <f t="shared" si="209"/>
        <v>33113948.11717521</v>
      </c>
      <c r="AL160" s="4">
        <f t="shared" si="209"/>
        <v>38531210.978102118</v>
      </c>
      <c r="AM160" s="4">
        <f t="shared" si="209"/>
        <v>44169032.587149888</v>
      </c>
      <c r="AN160" s="4">
        <f t="shared" si="209"/>
        <v>49806631.141845338</v>
      </c>
      <c r="AO160" s="4">
        <f t="shared" si="209"/>
        <v>55553748.702204622</v>
      </c>
      <c r="AP160" s="4">
        <f t="shared" si="209"/>
        <v>61410014.662882291</v>
      </c>
      <c r="AQ160" s="4">
        <f t="shared" si="209"/>
        <v>67375681.322259501</v>
      </c>
      <c r="AR160" s="4"/>
      <c r="AS160" s="4"/>
      <c r="AT160" s="4"/>
      <c r="AU160" s="4"/>
      <c r="AV160" s="4"/>
      <c r="AW160" s="4"/>
      <c r="AX160" s="4"/>
      <c r="AY160" s="4"/>
      <c r="AZ160" s="4"/>
      <c r="BA160" s="4"/>
      <c r="BB160" s="4"/>
      <c r="BC160" s="4"/>
      <c r="BD160" s="4"/>
      <c r="BF160" s="83">
        <f t="shared" si="216"/>
        <v>-0.24272813645795088</v>
      </c>
      <c r="BG160" s="3">
        <v>5115344.2704099165</v>
      </c>
      <c r="BH160" s="3">
        <f t="shared" si="219"/>
        <v>-625729.27040991653</v>
      </c>
      <c r="BI160" s="3">
        <v>5912237.7832083227</v>
      </c>
      <c r="BJ160" s="3">
        <f t="shared" si="210"/>
        <v>1260941.2167916773</v>
      </c>
      <c r="BK160" s="3">
        <v>6558152.3508224729</v>
      </c>
      <c r="BL160" s="3">
        <f t="shared" si="211"/>
        <v>135778.64917752706</v>
      </c>
      <c r="BM160" s="3">
        <v>8119106.422257673</v>
      </c>
      <c r="BN160" s="3">
        <f t="shared" si="212"/>
        <v>-1508249.422257673</v>
      </c>
      <c r="BO160" s="3">
        <v>4955314.47442153</v>
      </c>
      <c r="BP160" s="3">
        <f t="shared" si="213"/>
        <v>50901.525578469969</v>
      </c>
      <c r="BQ160" s="4">
        <v>3833868.4883395024</v>
      </c>
      <c r="BR160" s="18">
        <f t="shared" si="214"/>
        <v>-1085135.4883395024</v>
      </c>
      <c r="BS160" s="4">
        <v>3601344.1998525462</v>
      </c>
      <c r="BT160" s="18">
        <f t="shared" si="217"/>
        <v>189544.43157118652</v>
      </c>
    </row>
    <row r="161" spans="1:72">
      <c r="A161" s="2" t="s">
        <v>51</v>
      </c>
      <c r="B161" s="3">
        <f>'Monthly D3 Gallon Data'!$K12</f>
        <v>0</v>
      </c>
      <c r="C161" s="3">
        <f>'Monthly D3 Gallon Data'!$K24</f>
        <v>0</v>
      </c>
      <c r="D161" s="3">
        <f>'Monthly D3 Gallon Data'!$K36</f>
        <v>0</v>
      </c>
      <c r="E161" s="3">
        <f>'Monthly D3 Gallon Data'!$K48</f>
        <v>0</v>
      </c>
      <c r="F161" s="3">
        <f>'Monthly D3 Gallon Data'!$K60</f>
        <v>4078691</v>
      </c>
      <c r="G161" s="3">
        <f>'Monthly D3 Gallon Data'!$K72</f>
        <v>2922363</v>
      </c>
      <c r="H161" s="3">
        <f>'Monthly D3 Gallon Data'!$K84</f>
        <v>4384714</v>
      </c>
      <c r="I161" s="3">
        <f>'Monthly D3 Gallon Data'!$K96</f>
        <v>3564770</v>
      </c>
      <c r="J161" s="3">
        <f>'Monthly D3 Gallon Data'!$K108</f>
        <v>5465132</v>
      </c>
      <c r="K161" s="3">
        <f>'Monthly D3 Gallon Data'!$K120</f>
        <v>4141744</v>
      </c>
      <c r="L161" s="3">
        <f>'Monthly D3 Gallon Data'!$K132</f>
        <v>7230002</v>
      </c>
      <c r="M161" s="3">
        <f>'Monthly D3 Gallon Data'!$K144</f>
        <v>7402799</v>
      </c>
      <c r="N161" s="3">
        <f>'Monthly D3 Gallon Data'!$K156</f>
        <v>7095726</v>
      </c>
      <c r="O161" s="3">
        <f>'Monthly D3 Gallon Data'!$K168</f>
        <v>3934635</v>
      </c>
      <c r="P161" s="3">
        <f>'Monthly D3 Gallon Data'!$K180</f>
        <v>3412037</v>
      </c>
      <c r="Q161" s="4">
        <f t="shared" ref="Q161:V162" si="223">(SUM(L161:P161)/SUM(L$165:P$165))*Q$165*1.125</f>
        <v>3992710.5109146684</v>
      </c>
      <c r="R161" s="4">
        <f t="shared" si="223"/>
        <v>1578021.3913089365</v>
      </c>
      <c r="S161" s="4">
        <f t="shared" si="223"/>
        <v>1512018.718005449</v>
      </c>
      <c r="T161" s="4">
        <f t="shared" si="223"/>
        <v>3422920.8405742305</v>
      </c>
      <c r="U161" s="4">
        <f t="shared" si="223"/>
        <v>3530290.7077660523</v>
      </c>
      <c r="V161" s="4">
        <f t="shared" si="223"/>
        <v>4051983.6353665371</v>
      </c>
      <c r="W161" s="4">
        <f t="shared" si="215"/>
        <v>3535400.2996475887</v>
      </c>
      <c r="X161" s="4">
        <f t="shared" si="207"/>
        <v>4156585.0047284821</v>
      </c>
      <c r="Y161" s="4">
        <f t="shared" si="207"/>
        <v>5125706.8004713217</v>
      </c>
      <c r="Z161" s="4">
        <f t="shared" si="207"/>
        <v>5702584.2808474293</v>
      </c>
      <c r="AA161" s="4">
        <f t="shared" si="207"/>
        <v>6365023.713510775</v>
      </c>
      <c r="AB161" s="4">
        <f t="shared" si="207"/>
        <v>7143544.9696543133</v>
      </c>
      <c r="AC161" s="4">
        <f t="shared" si="207"/>
        <v>8266616.6923023397</v>
      </c>
      <c r="AD161" s="4">
        <f t="shared" si="207"/>
        <v>9382295.3832478207</v>
      </c>
      <c r="AE161" s="4">
        <f t="shared" si="207"/>
        <v>10506292.423697006</v>
      </c>
      <c r="AF161" s="4">
        <f t="shared" si="207"/>
        <v>11794955.506570229</v>
      </c>
      <c r="AG161" s="4">
        <f t="shared" si="207"/>
        <v>13195620.94580465</v>
      </c>
      <c r="AH161" s="4">
        <f t="shared" si="208"/>
        <v>18477837.748080511</v>
      </c>
      <c r="AI161" s="4">
        <f t="shared" si="209"/>
        <v>24052195.206513047</v>
      </c>
      <c r="AJ161" s="4">
        <f t="shared" si="209"/>
        <v>29744089.645223595</v>
      </c>
      <c r="AK161" s="4">
        <f t="shared" si="209"/>
        <v>35491642.295884304</v>
      </c>
      <c r="AL161" s="4">
        <f t="shared" si="209"/>
        <v>41298164.710194141</v>
      </c>
      <c r="AM161" s="4">
        <f t="shared" si="209"/>
        <v>47341436.911435552</v>
      </c>
      <c r="AN161" s="4">
        <f t="shared" si="209"/>
        <v>53384125.018139824</v>
      </c>
      <c r="AO161" s="4">
        <f t="shared" si="209"/>
        <v>59543829.736651734</v>
      </c>
      <c r="AP161" s="4">
        <f t="shared" si="209"/>
        <v>65820445.659571089</v>
      </c>
      <c r="AQ161" s="4">
        <f t="shared" si="209"/>
        <v>72214706.122489363</v>
      </c>
      <c r="AR161" s="4"/>
      <c r="AS161" s="4"/>
      <c r="AT161" s="4"/>
      <c r="AU161" s="4"/>
      <c r="AV161" s="4"/>
      <c r="AW161" s="4"/>
      <c r="AX161" s="4"/>
      <c r="AY161" s="4"/>
      <c r="AZ161" s="4"/>
      <c r="BA161" s="4"/>
      <c r="BB161" s="4"/>
      <c r="BC161" s="4"/>
      <c r="BD161" s="4"/>
      <c r="BF161" s="83">
        <f t="shared" si="216"/>
        <v>-0.44549225829745964</v>
      </c>
      <c r="BG161" s="3">
        <v>5441865.1913968949</v>
      </c>
      <c r="BH161" s="3">
        <f t="shared" si="219"/>
        <v>-1300121.1913968949</v>
      </c>
      <c r="BI161" s="3">
        <v>5996020.5661206348</v>
      </c>
      <c r="BJ161" s="3">
        <f t="shared" si="210"/>
        <v>1233981.4338793652</v>
      </c>
      <c r="BK161" s="3">
        <v>7096223.9953306997</v>
      </c>
      <c r="BL161" s="3">
        <f t="shared" si="211"/>
        <v>306575.00466930028</v>
      </c>
      <c r="BM161" s="3">
        <v>7745360.7455592845</v>
      </c>
      <c r="BN161" s="3">
        <f t="shared" si="212"/>
        <v>-649634.74555928446</v>
      </c>
      <c r="BO161" s="3">
        <v>5114939.842793758</v>
      </c>
      <c r="BP161" s="3">
        <f t="shared" si="213"/>
        <v>-1180304.842793758</v>
      </c>
      <c r="BQ161" s="4">
        <v>3898908.3717305381</v>
      </c>
      <c r="BR161" s="18">
        <f t="shared" si="214"/>
        <v>-486871.37173053809</v>
      </c>
      <c r="BS161" s="4">
        <v>3793074.9853689359</v>
      </c>
      <c r="BT161" s="18">
        <f t="shared" si="217"/>
        <v>199635.52554573258</v>
      </c>
    </row>
    <row r="162" spans="1:72">
      <c r="A162" s="2" t="s">
        <v>52</v>
      </c>
      <c r="B162" s="3">
        <f>'Monthly D3 Gallon Data'!$K13</f>
        <v>0</v>
      </c>
      <c r="C162" s="3">
        <f>'Monthly D3 Gallon Data'!$K25</f>
        <v>0</v>
      </c>
      <c r="D162" s="3">
        <f>'Monthly D3 Gallon Data'!$K37</f>
        <v>0</v>
      </c>
      <c r="E162" s="3">
        <f>'Monthly D3 Gallon Data'!$K49</f>
        <v>0</v>
      </c>
      <c r="F162" s="3">
        <f>'Monthly D3 Gallon Data'!$K61</f>
        <v>3869127</v>
      </c>
      <c r="G162" s="3">
        <f>'Monthly D3 Gallon Data'!$K73</f>
        <v>3671018</v>
      </c>
      <c r="H162" s="3">
        <f>'Monthly D3 Gallon Data'!$K85</f>
        <v>4112131</v>
      </c>
      <c r="I162" s="3">
        <f>'Monthly D3 Gallon Data'!$K97</f>
        <v>3436415</v>
      </c>
      <c r="J162" s="3">
        <f>'Monthly D3 Gallon Data'!$K109</f>
        <v>5739552</v>
      </c>
      <c r="K162" s="3">
        <f>'Monthly D3 Gallon Data'!$K121</f>
        <v>4270935</v>
      </c>
      <c r="L162" s="3">
        <f>'Monthly D3 Gallon Data'!$K133</f>
        <v>7352727</v>
      </c>
      <c r="M162" s="3">
        <f>'Monthly D3 Gallon Data'!$K145</f>
        <v>6941856</v>
      </c>
      <c r="N162" s="3">
        <f>'Monthly D3 Gallon Data'!$K157</f>
        <v>6787534</v>
      </c>
      <c r="O162" s="3">
        <f>'Monthly D3 Gallon Data'!$K169</f>
        <v>3502971</v>
      </c>
      <c r="P162" s="3">
        <f>'Monthly D3 Gallon Data'!$K181</f>
        <v>3735478</v>
      </c>
      <c r="Q162" s="4">
        <f t="shared" si="223"/>
        <v>3889081.6033022706</v>
      </c>
      <c r="R162" s="4">
        <f t="shared" si="223"/>
        <v>1518108.7097517152</v>
      </c>
      <c r="S162" s="4">
        <f t="shared" si="223"/>
        <v>1468202.2223978513</v>
      </c>
      <c r="T162" s="4">
        <f t="shared" si="223"/>
        <v>3348059.281632809</v>
      </c>
      <c r="U162" s="4">
        <f t="shared" si="223"/>
        <v>3540746.6942132064</v>
      </c>
      <c r="V162" s="4">
        <f t="shared" si="223"/>
        <v>3973529.3136231164</v>
      </c>
      <c r="W162" s="4">
        <f t="shared" si="215"/>
        <v>3473550.2447316633</v>
      </c>
      <c r="X162" s="4">
        <f t="shared" si="207"/>
        <v>4092232.7889077454</v>
      </c>
      <c r="Y162" s="4">
        <f t="shared" si="207"/>
        <v>5051945.2100733696</v>
      </c>
      <c r="Z162" s="4">
        <f t="shared" si="207"/>
        <v>5627678.4219027748</v>
      </c>
      <c r="AA162" s="4">
        <f t="shared" si="207"/>
        <v>6265391.8688192591</v>
      </c>
      <c r="AB162" s="4">
        <f t="shared" si="207"/>
        <v>7036040.9910612879</v>
      </c>
      <c r="AC162" s="4">
        <f t="shared" si="207"/>
        <v>8144719.7296044976</v>
      </c>
      <c r="AD162" s="4">
        <f t="shared" si="207"/>
        <v>9244827.6896291189</v>
      </c>
      <c r="AE162" s="4">
        <f t="shared" si="207"/>
        <v>10351974.37497139</v>
      </c>
      <c r="AF162" s="4">
        <f t="shared" si="207"/>
        <v>11619202.655593233</v>
      </c>
      <c r="AG162" s="4">
        <f t="shared" si="207"/>
        <v>13000339.008958148</v>
      </c>
      <c r="AH162" s="4">
        <f t="shared" si="208"/>
        <v>18205005.507183511</v>
      </c>
      <c r="AI162" s="4">
        <f t="shared" si="209"/>
        <v>23696993.691571772</v>
      </c>
      <c r="AJ162" s="4">
        <f t="shared" si="209"/>
        <v>29304415.207373664</v>
      </c>
      <c r="AK162" s="4">
        <f t="shared" si="209"/>
        <v>34966648.62651483</v>
      </c>
      <c r="AL162" s="4">
        <f t="shared" si="209"/>
        <v>40687718.252806872</v>
      </c>
      <c r="AM162" s="4">
        <f t="shared" si="209"/>
        <v>46641735.732923515</v>
      </c>
      <c r="AN162" s="4">
        <f t="shared" si="209"/>
        <v>52595033.127327234</v>
      </c>
      <c r="AO162" s="4">
        <f t="shared" si="209"/>
        <v>58663595.870690718</v>
      </c>
      <c r="AP162" s="4">
        <f t="shared" si="209"/>
        <v>64847416.200622432</v>
      </c>
      <c r="AQ162" s="4">
        <f t="shared" si="209"/>
        <v>71147235.519078627</v>
      </c>
      <c r="AR162" s="4"/>
      <c r="AS162" s="4"/>
      <c r="AT162" s="4"/>
      <c r="AU162" s="4"/>
      <c r="AV162" s="4"/>
      <c r="AW162" s="4"/>
      <c r="AX162" s="4"/>
      <c r="AY162" s="4"/>
      <c r="AZ162" s="4"/>
      <c r="BA162" s="4"/>
      <c r="BB162" s="4"/>
      <c r="BC162" s="4"/>
      <c r="BD162" s="4"/>
      <c r="BF162" s="83">
        <f t="shared" si="216"/>
        <v>-0.48391109348402528</v>
      </c>
      <c r="BG162" s="3">
        <v>5551837.9058662318</v>
      </c>
      <c r="BH162" s="3">
        <f t="shared" si="219"/>
        <v>-1280902.9058662318</v>
      </c>
      <c r="BI162" s="3">
        <v>7150653.1937996587</v>
      </c>
      <c r="BJ162" s="3">
        <f t="shared" si="210"/>
        <v>202073.80620034132</v>
      </c>
      <c r="BK162" s="3">
        <v>7220917.0193567201</v>
      </c>
      <c r="BL162" s="3">
        <f t="shared" si="211"/>
        <v>-279061.01935672015</v>
      </c>
      <c r="BM162" s="3">
        <v>7009344.5001439303</v>
      </c>
      <c r="BN162" s="3">
        <f t="shared" si="212"/>
        <v>-221810.50014393032</v>
      </c>
      <c r="BO162" s="3">
        <v>3625174.5617249673</v>
      </c>
      <c r="BP162" s="3">
        <f t="shared" si="213"/>
        <v>-122203.56172496732</v>
      </c>
      <c r="BQ162" s="4">
        <v>3774780.8917615423</v>
      </c>
      <c r="BR162" s="18">
        <f t="shared" si="214"/>
        <v>-39302.891761542298</v>
      </c>
      <c r="BS162" s="4">
        <v>3694627.5231371573</v>
      </c>
      <c r="BT162" s="18">
        <f t="shared" si="217"/>
        <v>194454.08016511332</v>
      </c>
    </row>
    <row r="163" spans="1:72">
      <c r="A163" s="2" t="s">
        <v>53</v>
      </c>
      <c r="B163" s="3">
        <f>'Monthly D3 Gallon Data'!$K14</f>
        <v>0</v>
      </c>
      <c r="C163" s="3">
        <f>'Monthly D3 Gallon Data'!$K26</f>
        <v>0</v>
      </c>
      <c r="D163" s="3">
        <f>'Monthly D3 Gallon Data'!$K38</f>
        <v>0</v>
      </c>
      <c r="E163" s="3">
        <f>'Monthly D3 Gallon Data'!$K50</f>
        <v>0</v>
      </c>
      <c r="F163" s="3">
        <f>'Monthly D3 Gallon Data'!$K62</f>
        <v>3278166</v>
      </c>
      <c r="G163" s="3">
        <f>'Monthly D3 Gallon Data'!$K74</f>
        <v>3459432</v>
      </c>
      <c r="H163" s="3">
        <f>'Monthly D3 Gallon Data'!$K86</f>
        <v>3665123</v>
      </c>
      <c r="I163" s="3">
        <f>'Monthly D3 Gallon Data'!$K98</f>
        <v>4070637</v>
      </c>
      <c r="J163" s="3">
        <f>'Monthly D3 Gallon Data'!$K110</f>
        <v>5018307</v>
      </c>
      <c r="K163" s="3">
        <f>'Monthly D3 Gallon Data'!$K122</f>
        <v>4115858</v>
      </c>
      <c r="L163" s="3">
        <f>'Monthly D3 Gallon Data'!$K134</f>
        <v>7497164</v>
      </c>
      <c r="M163" s="3">
        <f>'Monthly D3 Gallon Data'!$K146</f>
        <v>7154022</v>
      </c>
      <c r="N163" s="3">
        <f>'Monthly D3 Gallon Data'!$K158</f>
        <v>6863778</v>
      </c>
      <c r="O163" s="3">
        <f>'Monthly D3 Gallon Data'!$K170</f>
        <v>3864956</v>
      </c>
      <c r="P163" s="3">
        <f>'Monthly D3 Gallon Data'!$K182</f>
        <v>5960448</v>
      </c>
      <c r="Q163" s="4">
        <f t="shared" ref="Q163:V163" si="224">(SUM(L163:P163)/SUM(L$165:P$165))*Q$165*1.075</f>
        <v>4112492.8953824947</v>
      </c>
      <c r="R163" s="4">
        <f t="shared" si="224"/>
        <v>1631480.21583986</v>
      </c>
      <c r="S163" s="4">
        <f t="shared" si="224"/>
        <v>1619527.9751127805</v>
      </c>
      <c r="T163" s="4">
        <f t="shared" si="224"/>
        <v>3896297.0295613375</v>
      </c>
      <c r="U163" s="4">
        <f t="shared" si="224"/>
        <v>4173861.4687148896</v>
      </c>
      <c r="V163" s="4">
        <f t="shared" si="224"/>
        <v>4257457.805319502</v>
      </c>
      <c r="W163" s="4">
        <f t="shared" si="215"/>
        <v>3907467.4924648455</v>
      </c>
      <c r="X163" s="4">
        <f t="shared" si="207"/>
        <v>4623185.3966203798</v>
      </c>
      <c r="Y163" s="4">
        <f t="shared" si="207"/>
        <v>5718154.7942552147</v>
      </c>
      <c r="Z163" s="4">
        <f t="shared" si="207"/>
        <v>6339977.8526379215</v>
      </c>
      <c r="AA163" s="4">
        <f t="shared" si="207"/>
        <v>7006251.3860578826</v>
      </c>
      <c r="AB163" s="4">
        <f t="shared" si="207"/>
        <v>7921398.8340904051</v>
      </c>
      <c r="AC163" s="4">
        <f t="shared" si="207"/>
        <v>9170503.1382228695</v>
      </c>
      <c r="AD163" s="4">
        <f t="shared" si="207"/>
        <v>10404686.62021994</v>
      </c>
      <c r="AE163" s="4">
        <f t="shared" si="207"/>
        <v>11641503.808582792</v>
      </c>
      <c r="AF163" s="4">
        <f t="shared" si="207"/>
        <v>13063398.734115425</v>
      </c>
      <c r="AG163" s="4">
        <f t="shared" si="207"/>
        <v>14626818.811241684</v>
      </c>
      <c r="AH163" s="4">
        <f t="shared" si="208"/>
        <v>20480879.691391338</v>
      </c>
      <c r="AI163" s="4">
        <f t="shared" si="209"/>
        <v>26656562.91007036</v>
      </c>
      <c r="AJ163" s="4">
        <f t="shared" si="209"/>
        <v>32962305.357435048</v>
      </c>
      <c r="AK163" s="4">
        <f t="shared" si="209"/>
        <v>39332285.361926161</v>
      </c>
      <c r="AL163" s="4">
        <f t="shared" si="209"/>
        <v>45769850.582431361</v>
      </c>
      <c r="AM163" s="4">
        <f t="shared" si="209"/>
        <v>52466714.014138594</v>
      </c>
      <c r="AN163" s="4">
        <f t="shared" si="209"/>
        <v>59162816.876248389</v>
      </c>
      <c r="AO163" s="4">
        <f t="shared" si="209"/>
        <v>65989069.282497101</v>
      </c>
      <c r="AP163" s="4">
        <f t="shared" si="209"/>
        <v>72945475.358462021</v>
      </c>
      <c r="AQ163" s="4">
        <f t="shared" si="209"/>
        <v>80032264.819232136</v>
      </c>
      <c r="AR163" s="4"/>
      <c r="AS163" s="4"/>
      <c r="AT163" s="4"/>
      <c r="AU163" s="4"/>
      <c r="AV163" s="4"/>
      <c r="AW163" s="4"/>
      <c r="AX163" s="4"/>
      <c r="AY163" s="4"/>
      <c r="AZ163" s="4"/>
      <c r="BA163" s="4"/>
      <c r="BB163" s="4"/>
      <c r="BC163" s="4"/>
      <c r="BD163" s="4"/>
      <c r="BF163" s="83">
        <f t="shared" si="216"/>
        <v>-0.43690544769950312</v>
      </c>
      <c r="BG163" s="3">
        <v>5195568.5650223168</v>
      </c>
      <c r="BH163" s="3">
        <f t="shared" si="219"/>
        <v>-1079710.5650223168</v>
      </c>
      <c r="BI163" s="3">
        <v>7118601.0826192712</v>
      </c>
      <c r="BJ163" s="3">
        <f t="shared" si="210"/>
        <v>378562.91738072876</v>
      </c>
      <c r="BK163" s="3">
        <v>7413970.0736199589</v>
      </c>
      <c r="BL163" s="3">
        <f t="shared" si="211"/>
        <v>-259948.07361995894</v>
      </c>
      <c r="BM163" s="3">
        <v>7422776.0697172992</v>
      </c>
      <c r="BN163" s="3">
        <f t="shared" si="212"/>
        <v>-558998.06971729919</v>
      </c>
      <c r="BO163" s="3">
        <v>3562771.2652085181</v>
      </c>
      <c r="BP163" s="3">
        <f t="shared" si="213"/>
        <v>302184.73479148187</v>
      </c>
      <c r="BQ163" s="4">
        <v>3686982.4483264848</v>
      </c>
      <c r="BR163" s="18">
        <f t="shared" si="214"/>
        <v>2273465.5516735152</v>
      </c>
      <c r="BS163" s="4">
        <v>3906868.2506133704</v>
      </c>
      <c r="BT163" s="18">
        <f t="shared" si="217"/>
        <v>205624.64476912422</v>
      </c>
    </row>
    <row r="164" spans="1:72">
      <c r="A164" s="2" t="s">
        <v>54</v>
      </c>
      <c r="B164" s="3">
        <f>'Monthly D3 Gallon Data'!$K15</f>
        <v>0</v>
      </c>
      <c r="C164" s="3">
        <f>'Monthly D3 Gallon Data'!$K27</f>
        <v>0</v>
      </c>
      <c r="D164" s="3">
        <f>'Monthly D3 Gallon Data'!$K39</f>
        <v>0</v>
      </c>
      <c r="E164" s="3">
        <f>'Monthly D3 Gallon Data'!$K51</f>
        <v>0</v>
      </c>
      <c r="F164" s="3">
        <f>'Monthly D3 Gallon Data'!$K63</f>
        <v>4305346</v>
      </c>
      <c r="G164" s="3">
        <f>'Monthly D3 Gallon Data'!$K75</f>
        <v>7988270</v>
      </c>
      <c r="H164" s="3">
        <f>'Monthly D3 Gallon Data'!$K87</f>
        <v>6707006</v>
      </c>
      <c r="I164" s="3">
        <f>'Monthly D3 Gallon Data'!$K99</f>
        <v>8790659</v>
      </c>
      <c r="J164" s="3">
        <f>'Monthly D3 Gallon Data'!$K111</f>
        <v>11152309</v>
      </c>
      <c r="K164" s="3">
        <f>'Monthly D3 Gallon Data'!$K123</f>
        <v>10513986</v>
      </c>
      <c r="L164" s="3">
        <f>'Monthly D3 Gallon Data'!$K135</f>
        <v>13960148</v>
      </c>
      <c r="M164" s="3">
        <f>'Monthly D3 Gallon Data'!$K147</f>
        <v>13967492</v>
      </c>
      <c r="N164" s="3">
        <f>'Monthly D3 Gallon Data'!$K159</f>
        <v>13543812</v>
      </c>
      <c r="O164" s="3">
        <f>'Monthly D3 Gallon Data'!$K171</f>
        <v>5318672</v>
      </c>
      <c r="P164" s="3">
        <f>'Monthly D3 Gallon Data'!$K183</f>
        <v>4210181</v>
      </c>
      <c r="Q164" s="119">
        <f t="shared" ref="Q164:W164" si="225">Q165-SUM(Q153:Q163)</f>
        <v>9553164.6999104805</v>
      </c>
      <c r="R164" s="4">
        <f t="shared" si="225"/>
        <v>2791453.9642569236</v>
      </c>
      <c r="S164" s="4">
        <f t="shared" si="225"/>
        <v>2600647.0965864658</v>
      </c>
      <c r="T164" s="4">
        <f t="shared" si="225"/>
        <v>5403274.4773023315</v>
      </c>
      <c r="U164" s="4">
        <f t="shared" si="225"/>
        <v>5454209.0100382268</v>
      </c>
      <c r="V164" s="4">
        <f t="shared" si="225"/>
        <v>6194890.9080001935</v>
      </c>
      <c r="W164" s="4">
        <f t="shared" si="225"/>
        <v>5629576.4918882959</v>
      </c>
      <c r="X164" s="4">
        <f t="shared" ref="X164:AG164" si="226">X165-SUM(X153:X163)</f>
        <v>6546551.6296531782</v>
      </c>
      <c r="Y164" s="4">
        <f t="shared" si="226"/>
        <v>8012798.1977745667</v>
      </c>
      <c r="Z164" s="4">
        <f t="shared" si="226"/>
        <v>8899966.9885400012</v>
      </c>
      <c r="AA164" s="4">
        <f t="shared" si="226"/>
        <v>9949474.4002936631</v>
      </c>
      <c r="AB164" s="4">
        <f t="shared" si="226"/>
        <v>11206307.90681003</v>
      </c>
      <c r="AC164" s="4">
        <f t="shared" si="226"/>
        <v>12943886.782619491</v>
      </c>
      <c r="AD164" s="4">
        <f t="shared" si="226"/>
        <v>14679837.201737478</v>
      </c>
      <c r="AE164" s="4">
        <f t="shared" si="226"/>
        <v>16440486.810700834</v>
      </c>
      <c r="AF164" s="4">
        <f t="shared" si="226"/>
        <v>18463688.18807672</v>
      </c>
      <c r="AG164" s="4">
        <f t="shared" si="226"/>
        <v>20660269.676509991</v>
      </c>
      <c r="AH164" s="4">
        <f t="shared" ref="AH164:AQ164" si="227">AH165-SUM(AH153:AH163)</f>
        <v>28923038.772392958</v>
      </c>
      <c r="AI164" s="4">
        <f t="shared" si="227"/>
        <v>37646853.209501266</v>
      </c>
      <c r="AJ164" s="4">
        <f t="shared" si="227"/>
        <v>46557976.455030978</v>
      </c>
      <c r="AK164" s="4">
        <f t="shared" si="227"/>
        <v>55556305.737282693</v>
      </c>
      <c r="AL164" s="4">
        <f t="shared" si="227"/>
        <v>64645241.741467178</v>
      </c>
      <c r="AM164" s="4">
        <f t="shared" si="227"/>
        <v>74103439.057044387</v>
      </c>
      <c r="AN164" s="4">
        <f t="shared" si="227"/>
        <v>83562127.511472821</v>
      </c>
      <c r="AO164" s="4">
        <f t="shared" si="227"/>
        <v>93204491.044390738</v>
      </c>
      <c r="AP164" s="4">
        <f t="shared" si="227"/>
        <v>103029532.51988125</v>
      </c>
      <c r="AQ164" s="4">
        <f t="shared" si="227"/>
        <v>113038325.58955896</v>
      </c>
      <c r="AR164" s="4"/>
      <c r="AS164" s="4"/>
      <c r="AT164" s="4"/>
      <c r="AU164" s="4"/>
      <c r="AV164" s="4"/>
      <c r="AW164" s="4"/>
      <c r="AX164" s="4"/>
      <c r="AY164" s="4"/>
      <c r="AZ164" s="4"/>
      <c r="BA164" s="4"/>
      <c r="BB164" s="4"/>
      <c r="BC164" s="4"/>
      <c r="BD164" s="4"/>
      <c r="BF164" s="83">
        <f t="shared" si="216"/>
        <v>-0.60729874277640594</v>
      </c>
      <c r="BG164" s="3">
        <v>13974302.768517204</v>
      </c>
      <c r="BH164" s="3">
        <f t="shared" si="219"/>
        <v>-3460316.7685172036</v>
      </c>
      <c r="BI164" s="3">
        <v>13326234.440564841</v>
      </c>
      <c r="BJ164" s="3">
        <f t="shared" si="210"/>
        <v>633913.55943515897</v>
      </c>
      <c r="BK164" s="3">
        <v>15399866.134456694</v>
      </c>
      <c r="BL164" s="3">
        <f t="shared" si="211"/>
        <v>-1432374.1344566941</v>
      </c>
      <c r="BM164" s="3">
        <v>14568396.27638571</v>
      </c>
      <c r="BN164" s="3">
        <f t="shared" si="212"/>
        <v>-1024584.2763857096</v>
      </c>
      <c r="BO164" s="3">
        <v>6975890.9094642028</v>
      </c>
      <c r="BP164" s="3">
        <f t="shared" si="213"/>
        <v>-1657218.9094642028</v>
      </c>
      <c r="BQ164" s="4">
        <v>5108177.0268939063</v>
      </c>
      <c r="BR164" s="18">
        <f t="shared" si="214"/>
        <v>-897996.0268939063</v>
      </c>
      <c r="BS164" s="4">
        <v>6877647.0051893182</v>
      </c>
      <c r="BT164" s="18">
        <f t="shared" si="217"/>
        <v>2675517.6947211623</v>
      </c>
    </row>
    <row r="165" spans="1:72" ht="15.75" thickBot="1">
      <c r="A165" s="2" t="s">
        <v>29</v>
      </c>
      <c r="B165" s="3">
        <f>SUM(B153:B164)</f>
        <v>0</v>
      </c>
      <c r="C165" s="3">
        <f t="shared" ref="C165:P165" si="228">SUM(C153:C164)</f>
        <v>0</v>
      </c>
      <c r="D165" s="3">
        <f t="shared" si="228"/>
        <v>0</v>
      </c>
      <c r="E165" s="3">
        <f t="shared" si="228"/>
        <v>0</v>
      </c>
      <c r="F165" s="3">
        <f t="shared" si="228"/>
        <v>17379815</v>
      </c>
      <c r="G165" s="3">
        <f t="shared" si="228"/>
        <v>44573469</v>
      </c>
      <c r="H165" s="3">
        <f t="shared" si="228"/>
        <v>51224648</v>
      </c>
      <c r="I165" s="3">
        <f t="shared" si="228"/>
        <v>52723880</v>
      </c>
      <c r="J165" s="3">
        <f t="shared" si="228"/>
        <v>55174291</v>
      </c>
      <c r="K165" s="3">
        <f t="shared" si="228"/>
        <v>51808457</v>
      </c>
      <c r="L165" s="3">
        <f t="shared" si="228"/>
        <v>80944361</v>
      </c>
      <c r="M165" s="3">
        <f t="shared" si="228"/>
        <v>80987739</v>
      </c>
      <c r="N165" s="3">
        <f t="shared" si="228"/>
        <v>84073285</v>
      </c>
      <c r="O165" s="3">
        <f t="shared" si="228"/>
        <v>48315450</v>
      </c>
      <c r="P165" s="3">
        <f t="shared" si="228"/>
        <v>39508677</v>
      </c>
      <c r="Q165" s="4">
        <f t="shared" ref="Q165:AQ165" si="229">Q10</f>
        <v>40749035.367555067</v>
      </c>
      <c r="R165" s="4">
        <f t="shared" si="229"/>
        <v>15940782.686983284</v>
      </c>
      <c r="S165" s="4">
        <f t="shared" si="229"/>
        <v>15351174.053260034</v>
      </c>
      <c r="T165" s="4">
        <f t="shared" si="229"/>
        <v>33709250.406970248</v>
      </c>
      <c r="U165" s="4">
        <f t="shared" si="229"/>
        <v>32751637.733234335</v>
      </c>
      <c r="V165" s="4">
        <f t="shared" si="229"/>
        <v>35540917.948554419</v>
      </c>
      <c r="W165" s="4">
        <f t="shared" si="229"/>
        <v>33433057.28852443</v>
      </c>
      <c r="X165" s="4">
        <f t="shared" si="229"/>
        <v>39043795.250067778</v>
      </c>
      <c r="Y165" s="4">
        <f t="shared" si="229"/>
        <v>47832155.636158586</v>
      </c>
      <c r="Z165" s="4">
        <f t="shared" si="229"/>
        <v>52721474.622721426</v>
      </c>
      <c r="AA165" s="4">
        <f t="shared" si="229"/>
        <v>58813867.573292106</v>
      </c>
      <c r="AB165" s="4">
        <f t="shared" si="229"/>
        <v>66552966.459372349</v>
      </c>
      <c r="AC165" s="4">
        <f t="shared" si="229"/>
        <v>76872346.904047996</v>
      </c>
      <c r="AD165" s="4">
        <f t="shared" si="229"/>
        <v>87134621.926789194</v>
      </c>
      <c r="AE165" s="4">
        <f t="shared" si="229"/>
        <v>97508048.837633654</v>
      </c>
      <c r="AF165" s="4">
        <f t="shared" si="229"/>
        <v>109525707.31257492</v>
      </c>
      <c r="AG165" s="4">
        <f t="shared" si="229"/>
        <v>122613425.37247083</v>
      </c>
      <c r="AH165" s="4">
        <f t="shared" si="229"/>
        <v>171634721.14940146</v>
      </c>
      <c r="AI165" s="4">
        <f t="shared" si="229"/>
        <v>223380347.30142289</v>
      </c>
      <c r="AJ165" s="4">
        <f t="shared" si="229"/>
        <v>276243429.12523794</v>
      </c>
      <c r="AK165" s="4">
        <f t="shared" si="229"/>
        <v>329647506.82024747</v>
      </c>
      <c r="AL165" s="4">
        <f t="shared" si="229"/>
        <v>383587622.96664476</v>
      </c>
      <c r="AM165" s="4">
        <f t="shared" si="229"/>
        <v>439703407.03734916</v>
      </c>
      <c r="AN165" s="4">
        <f t="shared" si="229"/>
        <v>495823180.03901124</v>
      </c>
      <c r="AO165" s="4">
        <f t="shared" si="229"/>
        <v>553037142.13934839</v>
      </c>
      <c r="AP165" s="4">
        <f t="shared" si="229"/>
        <v>611338361.74237025</v>
      </c>
      <c r="AQ165" s="4">
        <f t="shared" si="229"/>
        <v>670727476.48998129</v>
      </c>
      <c r="AR165" s="4"/>
      <c r="AS165" s="4"/>
      <c r="AT165" s="4"/>
      <c r="AU165" s="4"/>
      <c r="AV165" s="4"/>
      <c r="AW165" s="4"/>
      <c r="AX165" s="4"/>
      <c r="AY165" s="4"/>
      <c r="AZ165" s="4"/>
      <c r="BA165" s="4"/>
      <c r="BB165" s="4"/>
      <c r="BC165" s="4"/>
      <c r="BD165" s="4"/>
      <c r="BG165" s="3">
        <v>58928575.430802651</v>
      </c>
      <c r="BH165" s="3">
        <f t="shared" si="219"/>
        <v>-7120118.4308026507</v>
      </c>
      <c r="BI165" s="3">
        <v>80307418.440564841</v>
      </c>
      <c r="BJ165" s="3">
        <f t="shared" si="210"/>
        <v>636942.55943515897</v>
      </c>
      <c r="BK165" s="3">
        <v>82419764.134456694</v>
      </c>
      <c r="BL165" s="3">
        <f t="shared" si="211"/>
        <v>-1432025.1344566941</v>
      </c>
      <c r="BM165" s="3">
        <v>85097869.27638571</v>
      </c>
      <c r="BN165" s="3">
        <f t="shared" si="212"/>
        <v>-1024584.2763857096</v>
      </c>
      <c r="BO165" s="3">
        <v>49670484.174672723</v>
      </c>
      <c r="BP165" s="3">
        <f t="shared" si="213"/>
        <v>-1355034.1746727228</v>
      </c>
      <c r="BQ165" s="4">
        <v>40247703.419623122</v>
      </c>
      <c r="BR165" s="18">
        <f t="shared" si="214"/>
        <v>-739026.41962312162</v>
      </c>
      <c r="BS165" s="19">
        <v>38711583.599177316</v>
      </c>
      <c r="BT165" s="18">
        <f t="shared" si="217"/>
        <v>2037451.7683777511</v>
      </c>
    </row>
    <row r="166" spans="1:72">
      <c r="A166" s="114"/>
      <c r="B166" s="114"/>
      <c r="C166" s="114"/>
      <c r="D166" s="114"/>
      <c r="E166" s="114"/>
      <c r="F166" s="114"/>
      <c r="G166" s="114"/>
      <c r="H166" s="120">
        <f t="shared" ref="H166:O166" si="230">H164/H163-1</f>
        <v>0.82995386512267122</v>
      </c>
      <c r="I166" s="120">
        <f t="shared" si="230"/>
        <v>1.1595290859882619</v>
      </c>
      <c r="J166" s="120">
        <f t="shared" si="230"/>
        <v>1.2223249793207152</v>
      </c>
      <c r="K166" s="120">
        <f t="shared" si="230"/>
        <v>1.5545064965798141</v>
      </c>
      <c r="L166" s="120">
        <f t="shared" si="230"/>
        <v>0.86205717255218106</v>
      </c>
      <c r="M166" s="120">
        <f t="shared" si="230"/>
        <v>0.95239712709857471</v>
      </c>
      <c r="N166" s="120">
        <f t="shared" si="230"/>
        <v>0.97322990341470828</v>
      </c>
      <c r="O166" s="120">
        <f t="shared" si="230"/>
        <v>0.37612743844949326</v>
      </c>
      <c r="P166" s="114"/>
      <c r="Q166" s="114"/>
      <c r="R166" s="114"/>
      <c r="S166" s="114"/>
      <c r="T166" s="114"/>
      <c r="U166" s="114"/>
      <c r="V166" s="114"/>
      <c r="W166" s="114"/>
      <c r="X166" s="114"/>
      <c r="Y166" s="114"/>
      <c r="Z166" s="114"/>
      <c r="AA166" s="114"/>
      <c r="AB166" s="114"/>
      <c r="AC166" s="114"/>
      <c r="AD166" s="114"/>
      <c r="AE166" s="114"/>
      <c r="AF166" s="114"/>
      <c r="AG166" s="114"/>
      <c r="AH166" s="114"/>
      <c r="AI166" s="114"/>
      <c r="AJ166" s="114"/>
      <c r="AK166" s="114"/>
      <c r="AL166" s="114"/>
      <c r="AM166" s="114"/>
      <c r="AN166" s="114"/>
      <c r="AO166" s="114"/>
      <c r="AP166" s="114"/>
      <c r="AQ166" s="114"/>
      <c r="AR166" s="2"/>
      <c r="AS166" s="2"/>
      <c r="AT166" s="2"/>
      <c r="AU166" s="2"/>
      <c r="AV166" s="2"/>
      <c r="AW166" s="2"/>
      <c r="AX166" s="2"/>
      <c r="AY166" s="2"/>
      <c r="AZ166" s="2"/>
      <c r="BA166" s="2"/>
      <c r="BB166" s="2"/>
      <c r="BC166" s="2"/>
      <c r="BD166" s="2"/>
      <c r="BR166" s="117"/>
    </row>
    <row r="167" spans="1:72" ht="16.5" thickBot="1">
      <c r="A167" s="109" t="s">
        <v>251</v>
      </c>
      <c r="I167" s="121">
        <f t="shared" ref="I167:O167" si="231">I164/AVERAGE(I162:I163)-1</f>
        <v>1.3419736535726674</v>
      </c>
      <c r="J167" s="121">
        <f t="shared" si="231"/>
        <v>1.073332435385145</v>
      </c>
      <c r="K167" s="121">
        <f t="shared" si="231"/>
        <v>1.5072720883894477</v>
      </c>
      <c r="L167" s="121">
        <f t="shared" si="231"/>
        <v>0.8801684133573775</v>
      </c>
      <c r="M167" s="121">
        <f t="shared" si="231"/>
        <v>0.98178389455413839</v>
      </c>
      <c r="N167" s="121">
        <f t="shared" si="231"/>
        <v>0.98425059803775627</v>
      </c>
      <c r="O167" s="121">
        <f t="shared" si="231"/>
        <v>0.44373634537910056</v>
      </c>
      <c r="P167" s="122">
        <f>(1+AVERAGE(L167:N167))*AVERAGE(O162:O163)</f>
        <v>7179066.039703683</v>
      </c>
      <c r="BR167" s="117"/>
    </row>
    <row r="168" spans="1:72" ht="15.75" thickBot="1">
      <c r="A168" s="110"/>
      <c r="B168" s="111">
        <f t="shared" ref="B168:K168" si="232">B2</f>
        <v>2010</v>
      </c>
      <c r="C168" s="111">
        <f t="shared" si="232"/>
        <v>2011</v>
      </c>
      <c r="D168" s="111">
        <f t="shared" si="232"/>
        <v>2012</v>
      </c>
      <c r="E168" s="111">
        <f t="shared" si="232"/>
        <v>2013</v>
      </c>
      <c r="F168" s="111">
        <f t="shared" si="232"/>
        <v>2014</v>
      </c>
      <c r="G168" s="111">
        <f t="shared" si="232"/>
        <v>2015</v>
      </c>
      <c r="H168" s="111">
        <f t="shared" si="232"/>
        <v>2016</v>
      </c>
      <c r="I168" s="111">
        <f t="shared" si="232"/>
        <v>2017</v>
      </c>
      <c r="J168" s="111">
        <f t="shared" si="232"/>
        <v>2018</v>
      </c>
      <c r="K168" s="111">
        <f t="shared" si="232"/>
        <v>2019</v>
      </c>
      <c r="L168" s="111">
        <f>L2</f>
        <v>2020</v>
      </c>
      <c r="M168" s="111">
        <f>M2</f>
        <v>2021</v>
      </c>
      <c r="N168" s="111">
        <f t="shared" ref="N168:AD168" si="233">N2</f>
        <v>2022</v>
      </c>
      <c r="O168" s="111">
        <f t="shared" si="233"/>
        <v>2023</v>
      </c>
      <c r="P168" s="111">
        <f t="shared" si="233"/>
        <v>2024</v>
      </c>
      <c r="Q168" s="111">
        <f t="shared" si="233"/>
        <v>2025</v>
      </c>
      <c r="R168" s="111">
        <f t="shared" si="233"/>
        <v>2026</v>
      </c>
      <c r="S168" s="111">
        <f t="shared" si="233"/>
        <v>2027</v>
      </c>
      <c r="T168" s="111">
        <f t="shared" si="233"/>
        <v>2028</v>
      </c>
      <c r="U168" s="111">
        <f t="shared" si="233"/>
        <v>2029</v>
      </c>
      <c r="V168" s="111">
        <f t="shared" si="233"/>
        <v>2030</v>
      </c>
      <c r="W168" s="111">
        <f t="shared" si="233"/>
        <v>2031</v>
      </c>
      <c r="X168" s="111">
        <f t="shared" si="233"/>
        <v>2032</v>
      </c>
      <c r="Y168" s="111">
        <f t="shared" si="233"/>
        <v>2033</v>
      </c>
      <c r="Z168" s="111">
        <f t="shared" si="233"/>
        <v>2034</v>
      </c>
      <c r="AA168" s="111">
        <f t="shared" si="233"/>
        <v>2035</v>
      </c>
      <c r="AB168" s="111">
        <f t="shared" si="233"/>
        <v>2036</v>
      </c>
      <c r="AC168" s="111">
        <f t="shared" si="233"/>
        <v>2037</v>
      </c>
      <c r="AD168" s="111">
        <f t="shared" si="233"/>
        <v>2038</v>
      </c>
      <c r="AE168" s="111">
        <f>AE2</f>
        <v>2039</v>
      </c>
      <c r="AF168" s="111">
        <f>AF2</f>
        <v>2040</v>
      </c>
      <c r="AG168" s="111">
        <f>AG2</f>
        <v>2041</v>
      </c>
      <c r="AH168" s="111">
        <f t="shared" ref="AH168:AO168" si="234">AH2</f>
        <v>2042</v>
      </c>
      <c r="AI168" s="111">
        <f t="shared" si="234"/>
        <v>2043</v>
      </c>
      <c r="AJ168" s="111">
        <f t="shared" si="234"/>
        <v>2044</v>
      </c>
      <c r="AK168" s="111">
        <f t="shared" si="234"/>
        <v>2045</v>
      </c>
      <c r="AL168" s="111">
        <f t="shared" si="234"/>
        <v>2046</v>
      </c>
      <c r="AM168" s="111">
        <f t="shared" si="234"/>
        <v>2047</v>
      </c>
      <c r="AN168" s="111">
        <f t="shared" si="234"/>
        <v>2048</v>
      </c>
      <c r="AO168" s="111">
        <f t="shared" si="234"/>
        <v>2049</v>
      </c>
      <c r="AP168" s="111">
        <f>AP2</f>
        <v>2050</v>
      </c>
      <c r="AQ168" s="111">
        <f>AQ2</f>
        <v>2051</v>
      </c>
      <c r="AR168" s="94"/>
      <c r="AS168" s="94"/>
      <c r="AT168" s="94"/>
      <c r="AU168" s="94"/>
      <c r="AV168" s="94"/>
      <c r="AW168" s="94"/>
      <c r="AX168" s="94"/>
      <c r="AY168" s="94"/>
      <c r="AZ168" s="94"/>
      <c r="BA168" s="94"/>
      <c r="BB168" s="94"/>
      <c r="BC168" s="94"/>
      <c r="BD168" s="94"/>
      <c r="BR168" s="117"/>
    </row>
    <row r="169" spans="1:72">
      <c r="A169" s="2" t="s">
        <v>43</v>
      </c>
      <c r="B169" s="3">
        <f>'Monthly D3 Gallon Data'!$L4</f>
        <v>0</v>
      </c>
      <c r="C169" s="3">
        <f>'Monthly D3 Gallon Data'!$L16</f>
        <v>0</v>
      </c>
      <c r="D169" s="3">
        <f>'Monthly D3 Gallon Data'!$L28</f>
        <v>0</v>
      </c>
      <c r="E169" s="3">
        <f>'Monthly D3 Gallon Data'!$L40</f>
        <v>0</v>
      </c>
      <c r="F169" s="3">
        <f>'Monthly D3 Gallon Data'!$L52</f>
        <v>0</v>
      </c>
      <c r="G169" s="3">
        <f>'Monthly D3 Gallon Data'!$L64</f>
        <v>0</v>
      </c>
      <c r="H169" s="3">
        <f>'Monthly D3 Gallon Data'!$L76</f>
        <v>0</v>
      </c>
      <c r="I169" s="3">
        <f>'Monthly D3 Gallon Data'!$L88</f>
        <v>0</v>
      </c>
      <c r="J169" s="3">
        <f>'Monthly D3 Gallon Data'!$L100</f>
        <v>0</v>
      </c>
      <c r="K169" s="3">
        <f>'Monthly D3 Gallon Data'!$L112</f>
        <v>0</v>
      </c>
      <c r="L169" s="3">
        <f>'Monthly D3 Gallon Data'!$L124</f>
        <v>0</v>
      </c>
      <c r="M169" s="3">
        <f>'Monthly D3 Gallon Data'!$L136</f>
        <v>0</v>
      </c>
      <c r="N169" s="3">
        <f>'Monthly D3 Gallon Data'!$L148</f>
        <v>0</v>
      </c>
      <c r="O169" s="3">
        <f>'Monthly D3 Gallon Data'!$L160</f>
        <v>0</v>
      </c>
      <c r="P169" s="3">
        <f>'Monthly D3 Gallon Data'!$L172</f>
        <v>0</v>
      </c>
      <c r="Q169" s="3">
        <f>'Monthly D3 Gallon Data'!$L184</f>
        <v>0</v>
      </c>
      <c r="R169" s="4">
        <f t="shared" ref="Q169:W172" si="235">(SUM(M169:Q169)/SUM(M$181:Q$181))*R$181*0.75</f>
        <v>0</v>
      </c>
      <c r="S169" s="4">
        <f t="shared" si="235"/>
        <v>0</v>
      </c>
      <c r="T169" s="4">
        <f t="shared" si="235"/>
        <v>0</v>
      </c>
      <c r="U169" s="4">
        <f t="shared" si="235"/>
        <v>0</v>
      </c>
      <c r="V169" s="4">
        <f t="shared" si="235"/>
        <v>0</v>
      </c>
      <c r="W169" s="4">
        <f t="shared" si="235"/>
        <v>0</v>
      </c>
      <c r="X169" s="4">
        <f t="shared" ref="X169:AE172" si="236">(SUM(S169:W169)/SUM(S$181:W$181))*X$181*0.75</f>
        <v>0</v>
      </c>
      <c r="Y169" s="4">
        <f t="shared" si="236"/>
        <v>0</v>
      </c>
      <c r="Z169" s="4">
        <f t="shared" si="236"/>
        <v>0</v>
      </c>
      <c r="AA169" s="4">
        <f t="shared" si="236"/>
        <v>0</v>
      </c>
      <c r="AB169" s="4">
        <f t="shared" si="236"/>
        <v>0</v>
      </c>
      <c r="AC169" s="4">
        <f t="shared" si="236"/>
        <v>0</v>
      </c>
      <c r="AD169" s="4">
        <f t="shared" si="236"/>
        <v>0</v>
      </c>
      <c r="AE169" s="4">
        <f t="shared" si="236"/>
        <v>0</v>
      </c>
      <c r="AF169" s="4">
        <f t="shared" ref="AF169:AQ172" si="237">(SUM(AA169:AE169)/SUM(AA$181:AE$181))*AF$181*0.75</f>
        <v>0</v>
      </c>
      <c r="AG169" s="4">
        <f t="shared" si="237"/>
        <v>0</v>
      </c>
      <c r="AH169" s="4">
        <f t="shared" si="237"/>
        <v>0</v>
      </c>
      <c r="AI169" s="4">
        <f t="shared" si="237"/>
        <v>0</v>
      </c>
      <c r="AJ169" s="4">
        <f t="shared" si="237"/>
        <v>0</v>
      </c>
      <c r="AK169" s="4">
        <f t="shared" si="237"/>
        <v>0</v>
      </c>
      <c r="AL169" s="4">
        <f t="shared" si="237"/>
        <v>0</v>
      </c>
      <c r="AM169" s="4">
        <f t="shared" si="237"/>
        <v>0</v>
      </c>
      <c r="AN169" s="4">
        <f t="shared" si="237"/>
        <v>0</v>
      </c>
      <c r="AO169" s="4">
        <f t="shared" si="237"/>
        <v>0</v>
      </c>
      <c r="AP169" s="4">
        <f t="shared" si="237"/>
        <v>0</v>
      </c>
      <c r="AQ169" s="4">
        <f t="shared" si="237"/>
        <v>0</v>
      </c>
      <c r="AR169" s="4"/>
      <c r="AS169" s="4"/>
      <c r="AT169" s="4"/>
      <c r="AU169" s="4"/>
      <c r="AV169" s="4"/>
      <c r="AW169" s="4"/>
      <c r="AX169" s="4"/>
      <c r="AY169" s="4"/>
      <c r="AZ169" s="4"/>
      <c r="BA169" s="4"/>
      <c r="BB169" s="4"/>
      <c r="BC169" s="4"/>
      <c r="BD169" s="4"/>
      <c r="BF169" s="83" t="e">
        <f>O169/N169-1</f>
        <v>#DIV/0!</v>
      </c>
      <c r="BI169" s="3">
        <v>0</v>
      </c>
      <c r="BJ169" s="3">
        <f t="shared" ref="BJ169:BJ181" si="238">L169-BI169</f>
        <v>0</v>
      </c>
      <c r="BK169" s="3">
        <v>0</v>
      </c>
      <c r="BL169" s="3">
        <f t="shared" ref="BL169:BL181" si="239">M169-BK169</f>
        <v>0</v>
      </c>
      <c r="BM169" s="3">
        <v>0</v>
      </c>
      <c r="BN169" s="3">
        <f t="shared" ref="BN169:BN181" si="240">N169-BM169</f>
        <v>0</v>
      </c>
      <c r="BO169" s="3">
        <v>0</v>
      </c>
      <c r="BP169" s="3">
        <f t="shared" ref="BP169:BP181" si="241">O169-BO169</f>
        <v>0</v>
      </c>
      <c r="BQ169" s="3">
        <v>0</v>
      </c>
      <c r="BR169" s="18">
        <f t="shared" ref="BR169:BR181" si="242">P169-BQ169</f>
        <v>0</v>
      </c>
      <c r="BS169" s="3">
        <v>0</v>
      </c>
      <c r="BT169" s="18">
        <f>Q169-BS169</f>
        <v>0</v>
      </c>
    </row>
    <row r="170" spans="1:72">
      <c r="A170" s="2" t="s">
        <v>44</v>
      </c>
      <c r="B170" s="3">
        <f>'Monthly D3 Gallon Data'!$L5</f>
        <v>0</v>
      </c>
      <c r="C170" s="3">
        <f>'Monthly D3 Gallon Data'!$L17</f>
        <v>0</v>
      </c>
      <c r="D170" s="3">
        <f>'Monthly D3 Gallon Data'!$L29</f>
        <v>0</v>
      </c>
      <c r="E170" s="3">
        <f>'Monthly D3 Gallon Data'!$L41</f>
        <v>0</v>
      </c>
      <c r="F170" s="3">
        <f>'Monthly D3 Gallon Data'!$L53</f>
        <v>0</v>
      </c>
      <c r="G170" s="3">
        <f>'Monthly D3 Gallon Data'!$L65</f>
        <v>0</v>
      </c>
      <c r="H170" s="3">
        <f>'Monthly D3 Gallon Data'!$L77</f>
        <v>1628506</v>
      </c>
      <c r="I170" s="3">
        <f>'Monthly D3 Gallon Data'!$L89</f>
        <v>1753345</v>
      </c>
      <c r="J170" s="3">
        <f>'Monthly D3 Gallon Data'!$L101</f>
        <v>2095277</v>
      </c>
      <c r="K170" s="3">
        <f>'Monthly D3 Gallon Data'!$L113</f>
        <v>2006302</v>
      </c>
      <c r="L170" s="3">
        <f>'Monthly D3 Gallon Data'!$L125</f>
        <v>2092169</v>
      </c>
      <c r="M170" s="3">
        <f>'Monthly D3 Gallon Data'!$L137</f>
        <v>0</v>
      </c>
      <c r="N170" s="3">
        <f>'Monthly D3 Gallon Data'!$L149</f>
        <v>318595</v>
      </c>
      <c r="O170" s="3">
        <f>'Monthly D3 Gallon Data'!$L161</f>
        <v>3299257</v>
      </c>
      <c r="P170" s="3">
        <f>'Monthly D3 Gallon Data'!$L173</f>
        <v>3349813</v>
      </c>
      <c r="Q170" s="3">
        <f>'Monthly D3 Gallon Data'!$L185</f>
        <v>0</v>
      </c>
      <c r="R170" s="4">
        <f t="shared" si="235"/>
        <v>608079.93604468787</v>
      </c>
      <c r="S170" s="4">
        <f t="shared" si="235"/>
        <v>381571.77153524128</v>
      </c>
      <c r="T170" s="4">
        <f t="shared" si="235"/>
        <v>1208028.919631023</v>
      </c>
      <c r="U170" s="4">
        <f t="shared" si="235"/>
        <v>938098.16746244626</v>
      </c>
      <c r="V170" s="4">
        <f t="shared" si="235"/>
        <v>603503.30612882273</v>
      </c>
      <c r="W170" s="4">
        <f t="shared" si="235"/>
        <v>703421.69453824696</v>
      </c>
      <c r="X170" s="4">
        <f t="shared" si="236"/>
        <v>744688.98799234256</v>
      </c>
      <c r="Y170" s="4">
        <f t="shared" si="236"/>
        <v>863086.95015479811</v>
      </c>
      <c r="Z170" s="4">
        <f t="shared" si="236"/>
        <v>807755.43222370837</v>
      </c>
      <c r="AA170" s="4">
        <f t="shared" si="236"/>
        <v>787255.78604196198</v>
      </c>
      <c r="AB170" s="4">
        <f t="shared" si="236"/>
        <v>840983.78791063954</v>
      </c>
      <c r="AC170" s="4">
        <f t="shared" si="236"/>
        <v>879894.60362593597</v>
      </c>
      <c r="AD170" s="4">
        <f t="shared" si="236"/>
        <v>901937.38704108866</v>
      </c>
      <c r="AE170" s="4">
        <f t="shared" si="236"/>
        <v>901661.26485066512</v>
      </c>
      <c r="AF170" s="4">
        <f t="shared" si="237"/>
        <v>915484.1183699246</v>
      </c>
      <c r="AG170" s="4">
        <f t="shared" si="237"/>
        <v>933055.35000430304</v>
      </c>
      <c r="AH170" s="4">
        <f t="shared" si="237"/>
        <v>1181780.0563128758</v>
      </c>
      <c r="AI170" s="4">
        <f t="shared" si="237"/>
        <v>1376323.9252759246</v>
      </c>
      <c r="AJ170" s="4">
        <f t="shared" si="237"/>
        <v>1517656.2915848922</v>
      </c>
      <c r="AK170" s="4">
        <f t="shared" si="237"/>
        <v>1621321.4763132501</v>
      </c>
      <c r="AL170" s="4">
        <f t="shared" si="237"/>
        <v>1697726.6675709884</v>
      </c>
      <c r="AM170" s="4">
        <f t="shared" si="237"/>
        <v>1761396.21976557</v>
      </c>
      <c r="AN170" s="4">
        <f t="shared" si="237"/>
        <v>1794442.7221228164</v>
      </c>
      <c r="AO170" s="4">
        <f t="shared" si="237"/>
        <v>1808328.2326672543</v>
      </c>
      <c r="AP170" s="4">
        <f t="shared" si="237"/>
        <v>1808197.3992742288</v>
      </c>
      <c r="AQ170" s="4">
        <f t="shared" si="237"/>
        <v>1796689.7188730459</v>
      </c>
      <c r="AR170" s="4"/>
      <c r="AS170" s="4"/>
      <c r="AT170" s="4"/>
      <c r="AU170" s="4"/>
      <c r="AV170" s="4"/>
      <c r="AW170" s="4"/>
      <c r="AX170" s="4"/>
      <c r="AY170" s="4"/>
      <c r="AZ170" s="4"/>
      <c r="BA170" s="4"/>
      <c r="BB170" s="4"/>
      <c r="BC170" s="4"/>
      <c r="BD170" s="4"/>
      <c r="BF170" s="83">
        <f t="shared" ref="BF170:BF180" si="243">O170/N170-1</f>
        <v>9.3556458827037456</v>
      </c>
      <c r="BI170" s="3">
        <v>2918425.2258795765</v>
      </c>
      <c r="BJ170" s="3">
        <f t="shared" si="238"/>
        <v>-826256.22587957652</v>
      </c>
      <c r="BK170" s="3">
        <v>2483242.7867692718</v>
      </c>
      <c r="BL170" s="3">
        <f t="shared" si="239"/>
        <v>-2483242.7867692718</v>
      </c>
      <c r="BM170" s="3">
        <v>626680.16802064097</v>
      </c>
      <c r="BN170" s="3">
        <f t="shared" si="240"/>
        <v>-308085.16802064097</v>
      </c>
      <c r="BO170" s="3">
        <v>517609.32203473127</v>
      </c>
      <c r="BP170" s="3">
        <f t="shared" si="241"/>
        <v>2781647.6779652685</v>
      </c>
      <c r="BQ170" s="3">
        <v>3349813</v>
      </c>
      <c r="BR170" s="18">
        <f t="shared" si="242"/>
        <v>0</v>
      </c>
      <c r="BS170" s="3">
        <v>2748895.8696862487</v>
      </c>
      <c r="BT170" s="18">
        <f t="shared" ref="BT170:BT181" si="244">Q170-BS170</f>
        <v>-2748895.8696862487</v>
      </c>
    </row>
    <row r="171" spans="1:72">
      <c r="A171" s="2" t="s">
        <v>45</v>
      </c>
      <c r="B171" s="3">
        <f>'Monthly D3 Gallon Data'!$L6</f>
        <v>0</v>
      </c>
      <c r="C171" s="3">
        <f>'Monthly D3 Gallon Data'!$L18</f>
        <v>0</v>
      </c>
      <c r="D171" s="3">
        <f>'Monthly D3 Gallon Data'!$L30</f>
        <v>0</v>
      </c>
      <c r="E171" s="3">
        <f>'Monthly D3 Gallon Data'!$L42</f>
        <v>0</v>
      </c>
      <c r="F171" s="3">
        <f>'Monthly D3 Gallon Data'!$L54</f>
        <v>0</v>
      </c>
      <c r="G171" s="3">
        <f>'Monthly D3 Gallon Data'!$L66</f>
        <v>0</v>
      </c>
      <c r="H171" s="3">
        <f>'Monthly D3 Gallon Data'!$L78</f>
        <v>1461464</v>
      </c>
      <c r="I171" s="3">
        <f>'Monthly D3 Gallon Data'!$L90</f>
        <v>1581681</v>
      </c>
      <c r="J171" s="3">
        <f>'Monthly D3 Gallon Data'!$L102</f>
        <v>1933792</v>
      </c>
      <c r="K171" s="3">
        <f>'Monthly D3 Gallon Data'!$L114</f>
        <v>1879436</v>
      </c>
      <c r="L171" s="3">
        <f>'Monthly D3 Gallon Data'!$L126</f>
        <v>1887657</v>
      </c>
      <c r="M171" s="3">
        <f>'Monthly D3 Gallon Data'!$L138</f>
        <v>0</v>
      </c>
      <c r="N171" s="3">
        <f>'Monthly D3 Gallon Data'!$L150</f>
        <v>0</v>
      </c>
      <c r="O171" s="3">
        <f>'Monthly D3 Gallon Data'!$L162</f>
        <v>3057382</v>
      </c>
      <c r="P171" s="3">
        <f>'Monthly D3 Gallon Data'!$L174</f>
        <v>3117742</v>
      </c>
      <c r="Q171" s="4">
        <f t="shared" si="235"/>
        <v>2575130.8803560585</v>
      </c>
      <c r="R171" s="4">
        <f t="shared" si="235"/>
        <v>763649.57672643999</v>
      </c>
      <c r="S171" s="4">
        <f t="shared" si="235"/>
        <v>479192.13338792161</v>
      </c>
      <c r="T171" s="4">
        <f t="shared" si="235"/>
        <v>1580362.5449498186</v>
      </c>
      <c r="U171" s="4">
        <f t="shared" si="235"/>
        <v>1440094.7331458325</v>
      </c>
      <c r="V171" s="4">
        <f t="shared" si="235"/>
        <v>1316105.2818585555</v>
      </c>
      <c r="W171" s="4">
        <f t="shared" si="235"/>
        <v>1049579.5450478496</v>
      </c>
      <c r="X171" s="4">
        <f t="shared" si="236"/>
        <v>1139055.6097529773</v>
      </c>
      <c r="Y171" s="4">
        <f t="shared" si="236"/>
        <v>1341629.4366786052</v>
      </c>
      <c r="Z171" s="4">
        <f t="shared" si="236"/>
        <v>1317983.5738377464</v>
      </c>
      <c r="AA171" s="4">
        <f t="shared" si="236"/>
        <v>1303688.3269483929</v>
      </c>
      <c r="AB171" s="4">
        <f t="shared" si="236"/>
        <v>1324475.7389230581</v>
      </c>
      <c r="AC171" s="4">
        <f t="shared" si="236"/>
        <v>1398431.1863361881</v>
      </c>
      <c r="AD171" s="4">
        <f t="shared" si="236"/>
        <v>1443066.5315231634</v>
      </c>
      <c r="AE171" s="4">
        <f t="shared" si="236"/>
        <v>1451021.3204674802</v>
      </c>
      <c r="AF171" s="4">
        <f t="shared" si="237"/>
        <v>1469426.7295181565</v>
      </c>
      <c r="AG171" s="4">
        <f t="shared" si="237"/>
        <v>1489207.5084272826</v>
      </c>
      <c r="AH171" s="4">
        <f t="shared" si="237"/>
        <v>1890822.2533325872</v>
      </c>
      <c r="AI171" s="4">
        <f t="shared" si="237"/>
        <v>2204759.153291774</v>
      </c>
      <c r="AJ171" s="4">
        <f t="shared" si="237"/>
        <v>2431666.4330491922</v>
      </c>
      <c r="AK171" s="4">
        <f t="shared" si="237"/>
        <v>2596030.7555606868</v>
      </c>
      <c r="AL171" s="4">
        <f t="shared" si="237"/>
        <v>2717455.219560273</v>
      </c>
      <c r="AM171" s="4">
        <f t="shared" si="237"/>
        <v>2820387.3047636286</v>
      </c>
      <c r="AN171" s="4">
        <f t="shared" si="237"/>
        <v>2873633.028750062</v>
      </c>
      <c r="AO171" s="4">
        <f t="shared" si="237"/>
        <v>2895717.5911709103</v>
      </c>
      <c r="AP171" s="4">
        <f t="shared" si="237"/>
        <v>2895214.7764628511</v>
      </c>
      <c r="AQ171" s="4">
        <f t="shared" si="237"/>
        <v>2876782.1660362892</v>
      </c>
      <c r="AR171" s="4"/>
      <c r="AS171" s="4"/>
      <c r="AT171" s="4"/>
      <c r="AU171" s="4"/>
      <c r="AV171" s="4"/>
      <c r="AW171" s="4"/>
      <c r="AX171" s="4"/>
      <c r="AY171" s="4"/>
      <c r="AZ171" s="4"/>
      <c r="BA171" s="4"/>
      <c r="BB171" s="4"/>
      <c r="BC171" s="4"/>
      <c r="BD171" s="4"/>
      <c r="BF171" s="83" t="e">
        <f t="shared" si="243"/>
        <v>#DIV/0!</v>
      </c>
      <c r="BI171" s="3">
        <v>2110959.8055732148</v>
      </c>
      <c r="BJ171" s="3">
        <f t="shared" si="238"/>
        <v>-223302.80557321478</v>
      </c>
      <c r="BK171" s="3">
        <v>1884236.8427138301</v>
      </c>
      <c r="BL171" s="3">
        <f t="shared" si="239"/>
        <v>-1884236.8427138301</v>
      </c>
      <c r="BM171" s="3">
        <v>573134.52143709455</v>
      </c>
      <c r="BN171" s="3">
        <f t="shared" si="240"/>
        <v>-573134.52143709455</v>
      </c>
      <c r="BO171" s="3">
        <v>1217522.7803980154</v>
      </c>
      <c r="BP171" s="3">
        <f t="shared" si="241"/>
        <v>1839859.2196019846</v>
      </c>
      <c r="BQ171" s="3">
        <v>3117742</v>
      </c>
      <c r="BR171" s="18">
        <f t="shared" si="242"/>
        <v>0</v>
      </c>
      <c r="BS171" s="4">
        <v>2446374.3363382556</v>
      </c>
      <c r="BT171" s="18">
        <f t="shared" si="244"/>
        <v>128756.54401780292</v>
      </c>
    </row>
    <row r="172" spans="1:72">
      <c r="A172" s="2" t="s">
        <v>46</v>
      </c>
      <c r="B172" s="3">
        <f>'Monthly D3 Gallon Data'!$L7</f>
        <v>0</v>
      </c>
      <c r="C172" s="3">
        <f>'Monthly D3 Gallon Data'!$L19</f>
        <v>0</v>
      </c>
      <c r="D172" s="3">
        <f>'Monthly D3 Gallon Data'!$L31</f>
        <v>0</v>
      </c>
      <c r="E172" s="3">
        <f>'Monthly D3 Gallon Data'!$L43</f>
        <v>0</v>
      </c>
      <c r="F172" s="3">
        <f>'Monthly D3 Gallon Data'!$L55</f>
        <v>0</v>
      </c>
      <c r="G172" s="3">
        <f>'Monthly D3 Gallon Data'!$L67</f>
        <v>0</v>
      </c>
      <c r="H172" s="3">
        <f>'Monthly D3 Gallon Data'!$L79</f>
        <v>1652175</v>
      </c>
      <c r="I172" s="3">
        <f>'Monthly D3 Gallon Data'!$L91</f>
        <v>1878604</v>
      </c>
      <c r="J172" s="3">
        <f>'Monthly D3 Gallon Data'!$L103</f>
        <v>2095347</v>
      </c>
      <c r="K172" s="3">
        <f>'Monthly D3 Gallon Data'!$L115</f>
        <v>2076677</v>
      </c>
      <c r="L172" s="3">
        <f>'Monthly D3 Gallon Data'!$L127</f>
        <v>2060775</v>
      </c>
      <c r="M172" s="3">
        <f>'Monthly D3 Gallon Data'!$L139</f>
        <v>0</v>
      </c>
      <c r="N172" s="3">
        <f>'Monthly D3 Gallon Data'!$L151</f>
        <v>157204</v>
      </c>
      <c r="O172" s="3">
        <f>'Monthly D3 Gallon Data'!$L163</f>
        <v>3463427</v>
      </c>
      <c r="P172" s="3">
        <f>'Monthly D3 Gallon Data'!$L175</f>
        <v>3300665</v>
      </c>
      <c r="Q172" s="4">
        <f t="shared" si="235"/>
        <v>2868738.2680554786</v>
      </c>
      <c r="R172" s="4">
        <f t="shared" si="235"/>
        <v>854392.88651140337</v>
      </c>
      <c r="S172" s="4">
        <f t="shared" si="235"/>
        <v>536133.80078586563</v>
      </c>
      <c r="T172" s="4">
        <f t="shared" si="235"/>
        <v>1743293.5120895766</v>
      </c>
      <c r="U172" s="4">
        <f t="shared" si="235"/>
        <v>1573203.5893638344</v>
      </c>
      <c r="V172" s="4">
        <f t="shared" si="235"/>
        <v>1458010.1936699252</v>
      </c>
      <c r="W172" s="4">
        <f t="shared" si="235"/>
        <v>1159746.3186502578</v>
      </c>
      <c r="X172" s="4">
        <f t="shared" si="236"/>
        <v>1256557.7309456284</v>
      </c>
      <c r="Y172" s="4">
        <f t="shared" si="236"/>
        <v>1478484.5755497466</v>
      </c>
      <c r="Z172" s="4">
        <f t="shared" si="236"/>
        <v>1452065.3463834317</v>
      </c>
      <c r="AA172" s="4">
        <f t="shared" si="236"/>
        <v>1439148.8182274629</v>
      </c>
      <c r="AB172" s="4">
        <f t="shared" si="236"/>
        <v>1460986.4829711111</v>
      </c>
      <c r="AC172" s="4">
        <f t="shared" si="236"/>
        <v>1542131.5687112822</v>
      </c>
      <c r="AD172" s="4">
        <f t="shared" si="236"/>
        <v>1591255.4226999355</v>
      </c>
      <c r="AE172" s="4">
        <f t="shared" si="236"/>
        <v>1600223.1537178988</v>
      </c>
      <c r="AF172" s="4">
        <f t="shared" si="237"/>
        <v>1620826.9380759145</v>
      </c>
      <c r="AG172" s="4">
        <f t="shared" si="237"/>
        <v>1642406.8826802294</v>
      </c>
      <c r="AH172" s="4">
        <f t="shared" si="237"/>
        <v>2085269.7427598157</v>
      </c>
      <c r="AI172" s="4">
        <f t="shared" si="237"/>
        <v>2431522.692620039</v>
      </c>
      <c r="AJ172" s="4">
        <f t="shared" si="237"/>
        <v>2681834.464734545</v>
      </c>
      <c r="AK172" s="4">
        <f t="shared" si="237"/>
        <v>2863129.8565108618</v>
      </c>
      <c r="AL172" s="4">
        <f t="shared" si="237"/>
        <v>2996992.43528288</v>
      </c>
      <c r="AM172" s="4">
        <f t="shared" si="237"/>
        <v>3110510.8022048031</v>
      </c>
      <c r="AN172" s="4">
        <f t="shared" si="237"/>
        <v>3169246.0753539428</v>
      </c>
      <c r="AO172" s="4">
        <f t="shared" si="237"/>
        <v>3193611.5210723896</v>
      </c>
      <c r="AP172" s="4">
        <f t="shared" si="237"/>
        <v>3193054.2974492786</v>
      </c>
      <c r="AQ172" s="4">
        <f t="shared" si="237"/>
        <v>3172717.8631046866</v>
      </c>
      <c r="AR172" s="4"/>
      <c r="AS172" s="4"/>
      <c r="AT172" s="4"/>
      <c r="AU172" s="4"/>
      <c r="AV172" s="4"/>
      <c r="AW172" s="4"/>
      <c r="AX172" s="4"/>
      <c r="AY172" s="4"/>
      <c r="AZ172" s="4"/>
      <c r="BA172" s="4"/>
      <c r="BB172" s="4"/>
      <c r="BC172" s="4"/>
      <c r="BD172" s="4"/>
      <c r="BF172" s="83">
        <f t="shared" si="243"/>
        <v>21.031417775629119</v>
      </c>
      <c r="BI172" s="3">
        <v>1585398.6291521168</v>
      </c>
      <c r="BJ172" s="3">
        <f t="shared" si="238"/>
        <v>475376.37084788317</v>
      </c>
      <c r="BK172" s="3">
        <v>2119263.7751089842</v>
      </c>
      <c r="BL172" s="3">
        <f t="shared" si="239"/>
        <v>-2119263.7751089842</v>
      </c>
      <c r="BM172" s="3">
        <v>638363.60378861136</v>
      </c>
      <c r="BN172" s="3">
        <f t="shared" si="240"/>
        <v>-481159.60378861136</v>
      </c>
      <c r="BO172" s="3">
        <v>3358471.0724750478</v>
      </c>
      <c r="BP172" s="3">
        <f t="shared" si="241"/>
        <v>104955.92752495222</v>
      </c>
      <c r="BQ172" s="3">
        <v>3300665</v>
      </c>
      <c r="BR172" s="18">
        <f t="shared" si="242"/>
        <v>0</v>
      </c>
      <c r="BS172" s="4">
        <v>2725301.3546527047</v>
      </c>
      <c r="BT172" s="18">
        <f t="shared" si="244"/>
        <v>143436.91340277391</v>
      </c>
    </row>
    <row r="173" spans="1:72">
      <c r="A173" s="2" t="s">
        <v>47</v>
      </c>
      <c r="B173" s="3">
        <f>'Monthly D3 Gallon Data'!$L8</f>
        <v>0</v>
      </c>
      <c r="C173" s="3">
        <f>'Monthly D3 Gallon Data'!$L20</f>
        <v>0</v>
      </c>
      <c r="D173" s="3">
        <f>'Monthly D3 Gallon Data'!$L32</f>
        <v>0</v>
      </c>
      <c r="E173" s="3">
        <f>'Monthly D3 Gallon Data'!$L44</f>
        <v>0</v>
      </c>
      <c r="F173" s="3">
        <f>'Monthly D3 Gallon Data'!$L56</f>
        <v>0</v>
      </c>
      <c r="G173" s="3">
        <f>'Monthly D3 Gallon Data'!$L68</f>
        <v>0</v>
      </c>
      <c r="H173" s="3">
        <f>'Monthly D3 Gallon Data'!$L80</f>
        <v>1773274</v>
      </c>
      <c r="I173" s="3">
        <f>'Monthly D3 Gallon Data'!$L92</f>
        <v>2306555</v>
      </c>
      <c r="J173" s="3">
        <f>'Monthly D3 Gallon Data'!$L104</f>
        <v>2543716</v>
      </c>
      <c r="K173" s="3">
        <f>'Monthly D3 Gallon Data'!$L116</f>
        <v>2025206</v>
      </c>
      <c r="L173" s="3">
        <f>'Monthly D3 Gallon Data'!$L128</f>
        <v>1925161</v>
      </c>
      <c r="M173" s="3">
        <f>'Monthly D3 Gallon Data'!$L140</f>
        <v>0</v>
      </c>
      <c r="N173" s="3">
        <f>'Monthly D3 Gallon Data'!$L152</f>
        <v>161649</v>
      </c>
      <c r="O173" s="3">
        <f>'Monthly D3 Gallon Data'!$L164</f>
        <v>3178619</v>
      </c>
      <c r="P173" s="3">
        <f>'Monthly D3 Gallon Data'!$L176</f>
        <v>3351714</v>
      </c>
      <c r="Q173" s="4">
        <f t="shared" ref="Q173:AD173" si="245">(SUM(L173:P173)/SUM(L$181:P$181))*Q$181*0.95</f>
        <v>3486101.9603958558</v>
      </c>
      <c r="R173" s="4">
        <f t="shared" si="245"/>
        <v>1125127.6119063755</v>
      </c>
      <c r="S173" s="4">
        <f t="shared" si="245"/>
        <v>721132.53989535384</v>
      </c>
      <c r="T173" s="4">
        <f t="shared" si="245"/>
        <v>2376305.9393870537</v>
      </c>
      <c r="U173" s="4">
        <f t="shared" si="245"/>
        <v>2369103.0195391579</v>
      </c>
      <c r="V173" s="4">
        <f t="shared" si="245"/>
        <v>2456750.5682716253</v>
      </c>
      <c r="W173" s="4">
        <f t="shared" si="245"/>
        <v>2156068.751636615</v>
      </c>
      <c r="X173" s="4">
        <f t="shared" si="245"/>
        <v>2479405.1321054911</v>
      </c>
      <c r="Y173" s="4">
        <f t="shared" si="245"/>
        <v>3082947.517615512</v>
      </c>
      <c r="Z173" s="4">
        <f t="shared" si="245"/>
        <v>3331282.2485644622</v>
      </c>
      <c r="AA173" s="4">
        <f t="shared" si="245"/>
        <v>3618178.0751610296</v>
      </c>
      <c r="AB173" s="4">
        <f t="shared" si="245"/>
        <v>4000017.6280873697</v>
      </c>
      <c r="AC173" s="4">
        <f t="shared" si="245"/>
        <v>4550945.9034474511</v>
      </c>
      <c r="AD173" s="4">
        <f t="shared" si="245"/>
        <v>5080346.1307142545</v>
      </c>
      <c r="AE173" s="4">
        <f>(SUM(Z173:AD173)/SUM(Z$181:AD$181))*AE$181*0.95</f>
        <v>5572866.1403104691</v>
      </c>
      <c r="AF173" s="4">
        <f>(SUM(AA173:AE173)/SUM(AA$181:AE$181))*AF$181*0.95</f>
        <v>6137927.4266911875</v>
      </c>
      <c r="AG173" s="4">
        <f>(SUM(AB173:AF173)/SUM(AB$181:AF$181))*AG$181*0.95</f>
        <v>6745796.4698036658</v>
      </c>
      <c r="AH173" s="4">
        <f t="shared" ref="AH173:AO173" si="246">(SUM(AC173:AG173)/SUM(AC$181:AG$181))*AH$181*0.95</f>
        <v>9277371.6443011966</v>
      </c>
      <c r="AI173" s="4">
        <f t="shared" si="246"/>
        <v>11834419.345096471</v>
      </c>
      <c r="AJ173" s="4">
        <f t="shared" si="246"/>
        <v>14329406.557346366</v>
      </c>
      <c r="AK173" s="4">
        <f t="shared" si="246"/>
        <v>16751959.348312156</v>
      </c>
      <c r="AL173" s="4">
        <f t="shared" si="246"/>
        <v>19116572.264994308</v>
      </c>
      <c r="AM173" s="4">
        <f t="shared" si="246"/>
        <v>21514995.616116773</v>
      </c>
      <c r="AN173" s="4">
        <f t="shared" si="246"/>
        <v>23813612.523078866</v>
      </c>
      <c r="AO173" s="4">
        <f t="shared" si="246"/>
        <v>26071744.20585094</v>
      </c>
      <c r="AP173" s="4">
        <f>(SUM(AK173:AO173)/SUM(AK$181:AO$181))*AP$181*0.95</f>
        <v>28294457.661769003</v>
      </c>
      <c r="AQ173" s="4">
        <f>(SUM(AL173:AP173)/SUM(AL$181:AP$181))*AQ$181*0.95</f>
        <v>30483539.051726215</v>
      </c>
      <c r="AR173" s="4"/>
      <c r="AS173" s="4"/>
      <c r="AT173" s="4"/>
      <c r="AU173" s="4"/>
      <c r="AV173" s="4"/>
      <c r="AW173" s="4"/>
      <c r="AX173" s="4"/>
      <c r="AY173" s="4"/>
      <c r="AZ173" s="4"/>
      <c r="BA173" s="4"/>
      <c r="BB173" s="4"/>
      <c r="BC173" s="4"/>
      <c r="BD173" s="4"/>
      <c r="BF173" s="83">
        <f t="shared" si="243"/>
        <v>18.663709642497015</v>
      </c>
      <c r="BG173" s="3">
        <v>1932761.3442972025</v>
      </c>
      <c r="BH173" s="3">
        <f t="shared" ref="BH173:BH181" si="247">K173-BG173</f>
        <v>92444.655702797463</v>
      </c>
      <c r="BI173" s="3">
        <v>1780100.8946028911</v>
      </c>
      <c r="BJ173" s="3">
        <f t="shared" si="238"/>
        <v>145060.10539710894</v>
      </c>
      <c r="BK173" s="3">
        <v>2.1686804251519781E-2</v>
      </c>
      <c r="BL173" s="3">
        <f t="shared" si="239"/>
        <v>-2.1686804251519781E-2</v>
      </c>
      <c r="BM173" s="3">
        <v>255607.74380028297</v>
      </c>
      <c r="BN173" s="3">
        <f t="shared" si="240"/>
        <v>-93958.743800282973</v>
      </c>
      <c r="BO173" s="3">
        <v>3498133.4731996986</v>
      </c>
      <c r="BP173" s="3">
        <f t="shared" si="241"/>
        <v>-319514.47319969861</v>
      </c>
      <c r="BQ173" s="4">
        <v>3351714</v>
      </c>
      <c r="BR173" s="18">
        <f t="shared" si="242"/>
        <v>0</v>
      </c>
      <c r="BS173" s="4">
        <v>3311796.8623760627</v>
      </c>
      <c r="BT173" s="18">
        <f t="shared" si="244"/>
        <v>174305.09801979316</v>
      </c>
    </row>
    <row r="174" spans="1:72">
      <c r="A174" s="2" t="s">
        <v>48</v>
      </c>
      <c r="B174" s="3">
        <f>'Monthly D3 Gallon Data'!$L9</f>
        <v>0</v>
      </c>
      <c r="C174" s="3">
        <f>'Monthly D3 Gallon Data'!$L21</f>
        <v>0</v>
      </c>
      <c r="D174" s="3">
        <f>'Monthly D3 Gallon Data'!$L33</f>
        <v>0</v>
      </c>
      <c r="E174" s="3">
        <f>'Monthly D3 Gallon Data'!$L45</f>
        <v>0</v>
      </c>
      <c r="F174" s="3">
        <f>'Monthly D3 Gallon Data'!$L57</f>
        <v>0</v>
      </c>
      <c r="G174" s="3">
        <f>'Monthly D3 Gallon Data'!$L69</f>
        <v>1613513</v>
      </c>
      <c r="H174" s="3">
        <f>'Monthly D3 Gallon Data'!$L81</f>
        <v>1830875</v>
      </c>
      <c r="I174" s="3">
        <f>'Monthly D3 Gallon Data'!$L93</f>
        <v>2747969</v>
      </c>
      <c r="J174" s="3">
        <f>'Monthly D3 Gallon Data'!$L105</f>
        <v>2754865</v>
      </c>
      <c r="K174" s="3">
        <f>'Monthly D3 Gallon Data'!$L117</f>
        <v>2082998</v>
      </c>
      <c r="L174" s="3">
        <f>'Monthly D3 Gallon Data'!$L129</f>
        <v>1075016</v>
      </c>
      <c r="M174" s="3">
        <f>'Monthly D3 Gallon Data'!$L141</f>
        <v>483469</v>
      </c>
      <c r="N174" s="3">
        <f>'Monthly D3 Gallon Data'!$L153</f>
        <v>124356</v>
      </c>
      <c r="O174" s="3">
        <f>'Monthly D3 Gallon Data'!$L165</f>
        <v>1843070</v>
      </c>
      <c r="P174" s="3">
        <f>'Monthly D3 Gallon Data'!$L177</f>
        <v>3453823</v>
      </c>
      <c r="Q174" s="4">
        <f t="shared" ref="Q174:AD174" si="248">(SUM(L174:P174)/SUM(L$181:P$181))*Q$181*1.05</f>
        <v>3120910.7607039753</v>
      </c>
      <c r="R174" s="4">
        <f t="shared" si="248"/>
        <v>1102754.6909044504</v>
      </c>
      <c r="S174" s="4">
        <f t="shared" si="248"/>
        <v>680107.10161772475</v>
      </c>
      <c r="T174" s="4">
        <f t="shared" si="248"/>
        <v>2258464.0785872135</v>
      </c>
      <c r="U174" s="4">
        <f t="shared" si="248"/>
        <v>2513291.489402995</v>
      </c>
      <c r="V174" s="4">
        <f t="shared" si="248"/>
        <v>2606975.5007787463</v>
      </c>
      <c r="W174" s="4">
        <f t="shared" si="248"/>
        <v>2412829.0409773723</v>
      </c>
      <c r="X174" s="4">
        <f t="shared" si="248"/>
        <v>2847056.1291290666</v>
      </c>
      <c r="Y174" s="4">
        <f t="shared" si="248"/>
        <v>3638031.590255721</v>
      </c>
      <c r="Z174" s="4">
        <f t="shared" si="248"/>
        <v>4114559.1210169932</v>
      </c>
      <c r="AA174" s="4">
        <f t="shared" si="248"/>
        <v>4624662.6285553677</v>
      </c>
      <c r="AB174" s="4">
        <f t="shared" si="248"/>
        <v>5316041.0426414404</v>
      </c>
      <c r="AC174" s="4">
        <f t="shared" si="248"/>
        <v>6257199.3688110514</v>
      </c>
      <c r="AD174" s="4">
        <f t="shared" si="248"/>
        <v>7236839.8385164328</v>
      </c>
      <c r="AE174" s="4">
        <f t="shared" ref="AE174:AG175" si="249">(SUM(Z174:AD174)/SUM(Z$181:AD$181))*AE$181*1.05</f>
        <v>8245049.8579837345</v>
      </c>
      <c r="AF174" s="4">
        <f t="shared" si="249"/>
        <v>9416929.9394929837</v>
      </c>
      <c r="AG174" s="4">
        <f t="shared" si="249"/>
        <v>10730416.172115857</v>
      </c>
      <c r="AH174" s="4">
        <f t="shared" ref="AH174:AQ175" si="250">(SUM(AC174:AG174)/SUM(AC$181:AG$181))*AH$181*1.05</f>
        <v>15291322.775680253</v>
      </c>
      <c r="AI174" s="4">
        <f t="shared" si="250"/>
        <v>20297500.435482666</v>
      </c>
      <c r="AJ174" s="4">
        <f t="shared" si="250"/>
        <v>25609324.835244499</v>
      </c>
      <c r="AK174" s="4">
        <f t="shared" si="250"/>
        <v>31166902.993896164</v>
      </c>
      <c r="AL174" s="4">
        <f t="shared" si="250"/>
        <v>36958375.055005059</v>
      </c>
      <c r="AM174" s="4">
        <f t="shared" si="250"/>
        <v>43125621.842526488</v>
      </c>
      <c r="AN174" s="4">
        <f t="shared" si="250"/>
        <v>49510124.099056698</v>
      </c>
      <c r="AO174" s="4">
        <f t="shared" si="250"/>
        <v>56219699.762530595</v>
      </c>
      <c r="AP174" s="4">
        <f t="shared" si="250"/>
        <v>63257854.653161846</v>
      </c>
      <c r="AQ174" s="4">
        <f t="shared" si="250"/>
        <v>70631328.226007774</v>
      </c>
      <c r="AR174" s="4"/>
      <c r="AS174" s="4"/>
      <c r="AT174" s="4"/>
      <c r="AU174" s="4"/>
      <c r="AV174" s="4"/>
      <c r="AW174" s="4"/>
      <c r="AX174" s="4"/>
      <c r="AY174" s="4"/>
      <c r="AZ174" s="4"/>
      <c r="BA174" s="4"/>
      <c r="BB174" s="4"/>
      <c r="BC174" s="4"/>
      <c r="BD174" s="4"/>
      <c r="BF174" s="83">
        <f t="shared" si="243"/>
        <v>13.820917366271029</v>
      </c>
      <c r="BG174" s="3">
        <v>2610814.1215082714</v>
      </c>
      <c r="BH174" s="3">
        <f t="shared" si="247"/>
        <v>-527816.12150827143</v>
      </c>
      <c r="BI174" s="3">
        <v>2330025.7174914274</v>
      </c>
      <c r="BJ174" s="3">
        <f t="shared" si="238"/>
        <v>-1255009.7174914274</v>
      </c>
      <c r="BK174" s="3">
        <v>2.1518236860886292E-2</v>
      </c>
      <c r="BL174" s="3">
        <f t="shared" si="239"/>
        <v>483468.97848176316</v>
      </c>
      <c r="BM174" s="3">
        <v>287602.18738996837</v>
      </c>
      <c r="BN174" s="3">
        <f t="shared" si="240"/>
        <v>-163246.18738996837</v>
      </c>
      <c r="BO174" s="3">
        <v>3511147.4608093644</v>
      </c>
      <c r="BP174" s="3">
        <f t="shared" si="241"/>
        <v>-1668077.4608093644</v>
      </c>
      <c r="BQ174" s="4">
        <v>3453823</v>
      </c>
      <c r="BR174" s="18">
        <f t="shared" si="242"/>
        <v>0</v>
      </c>
      <c r="BS174" s="4">
        <v>2964865.2226687763</v>
      </c>
      <c r="BT174" s="18">
        <f t="shared" si="244"/>
        <v>156045.53803519905</v>
      </c>
    </row>
    <row r="175" spans="1:72">
      <c r="A175" s="2" t="s">
        <v>49</v>
      </c>
      <c r="B175" s="3">
        <f>'Monthly D3 Gallon Data'!$L10</f>
        <v>0</v>
      </c>
      <c r="C175" s="3">
        <f>'Monthly D3 Gallon Data'!$L22</f>
        <v>0</v>
      </c>
      <c r="D175" s="3">
        <f>'Monthly D3 Gallon Data'!$L34</f>
        <v>0</v>
      </c>
      <c r="E175" s="3">
        <f>'Monthly D3 Gallon Data'!$L46</f>
        <v>0</v>
      </c>
      <c r="F175" s="3">
        <f>'Monthly D3 Gallon Data'!$L58</f>
        <v>0</v>
      </c>
      <c r="G175" s="3">
        <f>'Monthly D3 Gallon Data'!$L70</f>
        <v>1682699</v>
      </c>
      <c r="H175" s="3">
        <f>'Monthly D3 Gallon Data'!$L82</f>
        <v>1863062</v>
      </c>
      <c r="I175" s="3">
        <f>'Monthly D3 Gallon Data'!$L94</f>
        <v>2758067</v>
      </c>
      <c r="J175" s="3">
        <f>'Monthly D3 Gallon Data'!$L106</f>
        <v>2736723</v>
      </c>
      <c r="K175" s="3">
        <f>'Monthly D3 Gallon Data'!$L118</f>
        <v>2496596</v>
      </c>
      <c r="L175" s="3">
        <f>'Monthly D3 Gallon Data'!$L130</f>
        <v>809299</v>
      </c>
      <c r="M175" s="3">
        <f>'Monthly D3 Gallon Data'!$L142</f>
        <v>240726</v>
      </c>
      <c r="N175" s="3">
        <f>'Monthly D3 Gallon Data'!$L154</f>
        <v>33341</v>
      </c>
      <c r="O175" s="3">
        <f>'Monthly D3 Gallon Data'!$L166</f>
        <v>2538274</v>
      </c>
      <c r="P175" s="3">
        <f>'Monthly D3 Gallon Data'!$L178</f>
        <v>3264720</v>
      </c>
      <c r="Q175" s="4">
        <f t="shared" ref="Q175:AD175" si="251">(SUM(L175:P175)/SUM(L$181:P$181))*Q$181*1.05</f>
        <v>3079159.6106787776</v>
      </c>
      <c r="R175" s="4">
        <f t="shared" si="251"/>
        <v>1118710.451879309</v>
      </c>
      <c r="S175" s="4">
        <f t="shared" si="251"/>
        <v>707557.76594744483</v>
      </c>
      <c r="T175" s="4">
        <f t="shared" si="251"/>
        <v>2370883.1459914027</v>
      </c>
      <c r="U175" s="4">
        <f t="shared" si="251"/>
        <v>2495528.8832727852</v>
      </c>
      <c r="V175" s="4">
        <f t="shared" si="251"/>
        <v>2632925.7470584819</v>
      </c>
      <c r="W175" s="4">
        <f t="shared" si="251"/>
        <v>2456024.1115348302</v>
      </c>
      <c r="X175" s="4">
        <f t="shared" si="251"/>
        <v>2899054.1947161155</v>
      </c>
      <c r="Y175" s="4">
        <f t="shared" si="251"/>
        <v>3700149.6761053028</v>
      </c>
      <c r="Z175" s="4">
        <f t="shared" si="251"/>
        <v>4163135.6602369552</v>
      </c>
      <c r="AA175" s="4">
        <f t="shared" si="251"/>
        <v>4693306.0490509169</v>
      </c>
      <c r="AB175" s="4">
        <f t="shared" si="251"/>
        <v>5398787.9705873225</v>
      </c>
      <c r="AC175" s="4">
        <f t="shared" si="251"/>
        <v>6352878.3686844315</v>
      </c>
      <c r="AD175" s="4">
        <f t="shared" si="251"/>
        <v>7344941.1829922833</v>
      </c>
      <c r="AE175" s="4">
        <f t="shared" si="249"/>
        <v>8365884.7182646208</v>
      </c>
      <c r="AF175" s="4">
        <f t="shared" si="249"/>
        <v>9558424.2662193924</v>
      </c>
      <c r="AG175" s="4">
        <f t="shared" si="249"/>
        <v>10891894.800397545</v>
      </c>
      <c r="AH175" s="4">
        <f t="shared" si="250"/>
        <v>15520434.016077982</v>
      </c>
      <c r="AI175" s="4">
        <f t="shared" si="250"/>
        <v>20600851.622769684</v>
      </c>
      <c r="AJ175" s="4">
        <f t="shared" si="250"/>
        <v>25992084.582497936</v>
      </c>
      <c r="AK175" s="4">
        <f t="shared" si="250"/>
        <v>31633645.126766112</v>
      </c>
      <c r="AL175" s="4">
        <f t="shared" si="250"/>
        <v>37511679.137622721</v>
      </c>
      <c r="AM175" s="4">
        <f t="shared" si="250"/>
        <v>43770977.871895745</v>
      </c>
      <c r="AN175" s="4">
        <f t="shared" si="250"/>
        <v>50250932.158045866</v>
      </c>
      <c r="AO175" s="4">
        <f t="shared" si="250"/>
        <v>57061008.800730221</v>
      </c>
      <c r="AP175" s="4">
        <f t="shared" si="250"/>
        <v>64204625.882279389</v>
      </c>
      <c r="AQ175" s="4">
        <f t="shared" si="250"/>
        <v>71688380.164120093</v>
      </c>
      <c r="AR175" s="4"/>
      <c r="AS175" s="4"/>
      <c r="AT175" s="4"/>
      <c r="AU175" s="4"/>
      <c r="AV175" s="4"/>
      <c r="AW175" s="4"/>
      <c r="AX175" s="4"/>
      <c r="AY175" s="4"/>
      <c r="AZ175" s="4"/>
      <c r="BA175" s="4"/>
      <c r="BB175" s="4"/>
      <c r="BC175" s="4"/>
      <c r="BD175" s="4"/>
      <c r="BF175" s="83">
        <f t="shared" si="243"/>
        <v>75.130709936714553</v>
      </c>
      <c r="BG175" s="3">
        <v>2500819.9948997567</v>
      </c>
      <c r="BH175" s="3">
        <f t="shared" si="247"/>
        <v>-4223.9948997567408</v>
      </c>
      <c r="BI175" s="3">
        <v>2436730.9174538874</v>
      </c>
      <c r="BJ175" s="3">
        <f t="shared" si="238"/>
        <v>-1627431.9174538874</v>
      </c>
      <c r="BK175" s="3">
        <v>0</v>
      </c>
      <c r="BL175" s="3">
        <f t="shared" si="239"/>
        <v>240726</v>
      </c>
      <c r="BM175" s="3">
        <v>281120.69231127424</v>
      </c>
      <c r="BN175" s="3">
        <f t="shared" si="240"/>
        <v>-247779.69231127424</v>
      </c>
      <c r="BO175" s="3">
        <v>3401291.1026911517</v>
      </c>
      <c r="BP175" s="3">
        <f t="shared" si="241"/>
        <v>-863017.10269115167</v>
      </c>
      <c r="BQ175" s="4">
        <v>3044181.0493410067</v>
      </c>
      <c r="BR175" s="18">
        <f t="shared" si="242"/>
        <v>220538.95065899333</v>
      </c>
      <c r="BS175" s="4">
        <v>2925201.6301448387</v>
      </c>
      <c r="BT175" s="18">
        <f t="shared" si="244"/>
        <v>153957.98053393885</v>
      </c>
    </row>
    <row r="176" spans="1:72">
      <c r="A176" s="2" t="s">
        <v>50</v>
      </c>
      <c r="B176" s="3">
        <f>'Monthly D3 Gallon Data'!$L11</f>
        <v>0</v>
      </c>
      <c r="C176" s="3">
        <f>'Monthly D3 Gallon Data'!$L23</f>
        <v>0</v>
      </c>
      <c r="D176" s="3">
        <f>'Monthly D3 Gallon Data'!$L35</f>
        <v>0</v>
      </c>
      <c r="E176" s="3">
        <f>'Monthly D3 Gallon Data'!$L47</f>
        <v>0</v>
      </c>
      <c r="F176" s="3">
        <f>'Monthly D3 Gallon Data'!$L59</f>
        <v>0</v>
      </c>
      <c r="G176" s="3">
        <f>'Monthly D3 Gallon Data'!$L71</f>
        <v>1825794</v>
      </c>
      <c r="H176" s="3">
        <f>'Monthly D3 Gallon Data'!$L83</f>
        <v>1800498</v>
      </c>
      <c r="I176" s="3">
        <f>'Monthly D3 Gallon Data'!$L95</f>
        <v>2486628</v>
      </c>
      <c r="J176" s="3">
        <f>'Monthly D3 Gallon Data'!$L107</f>
        <v>2778425</v>
      </c>
      <c r="K176" s="3">
        <f>'Monthly D3 Gallon Data'!$L119</f>
        <v>2044099</v>
      </c>
      <c r="L176" s="3">
        <f>'Monthly D3 Gallon Data'!$L131</f>
        <v>470463</v>
      </c>
      <c r="M176" s="3">
        <f>'Monthly D3 Gallon Data'!$L143</f>
        <v>195705</v>
      </c>
      <c r="N176" s="3">
        <f>'Monthly D3 Gallon Data'!$L155</f>
        <v>1162900</v>
      </c>
      <c r="O176" s="3">
        <f>'Monthly D3 Gallon Data'!$L167</f>
        <v>3261226</v>
      </c>
      <c r="P176" s="3">
        <f>'Monthly D3 Gallon Data'!$L179</f>
        <v>3694958</v>
      </c>
      <c r="Q176" s="4">
        <f t="shared" ref="Q176:AQ177" si="252">(SUM(L176:P176)/SUM(L$181:P$181))*Q$181*1.075</f>
        <v>4021757.380516401</v>
      </c>
      <c r="R176" s="4">
        <f t="shared" si="252"/>
        <v>1543171.5520445742</v>
      </c>
      <c r="S176" s="4">
        <f t="shared" si="252"/>
        <v>987896.78251727717</v>
      </c>
      <c r="T176" s="4">
        <f t="shared" si="252"/>
        <v>3062156.3247224293</v>
      </c>
      <c r="U176" s="4">
        <f t="shared" si="252"/>
        <v>3226077.3457672209</v>
      </c>
      <c r="V176" s="4">
        <f t="shared" si="252"/>
        <v>3542275.1298835245</v>
      </c>
      <c r="W176" s="4">
        <f t="shared" si="252"/>
        <v>3333102.0584842279</v>
      </c>
      <c r="X176" s="4">
        <f t="shared" si="252"/>
        <v>3939145.9545146702</v>
      </c>
      <c r="Y176" s="4">
        <f t="shared" si="252"/>
        <v>5040251.6964018634</v>
      </c>
      <c r="Z176" s="4">
        <f t="shared" si="252"/>
        <v>5733878.5636779433</v>
      </c>
      <c r="AA176" s="4">
        <f t="shared" si="252"/>
        <v>6544236.7104018666</v>
      </c>
      <c r="AB176" s="4">
        <f t="shared" si="252"/>
        <v>7588374.4825493572</v>
      </c>
      <c r="AC176" s="4">
        <f t="shared" si="252"/>
        <v>8996533.7115200385</v>
      </c>
      <c r="AD176" s="4">
        <f t="shared" si="252"/>
        <v>10488063.54011292</v>
      </c>
      <c r="AE176" s="4">
        <f t="shared" si="252"/>
        <v>12057536.492937641</v>
      </c>
      <c r="AF176" s="4">
        <f t="shared" si="252"/>
        <v>13900240.158274684</v>
      </c>
      <c r="AG176" s="4">
        <f t="shared" si="252"/>
        <v>15973614.278601907</v>
      </c>
      <c r="AH176" s="4">
        <f t="shared" si="252"/>
        <v>22954733.993314072</v>
      </c>
      <c r="AI176" s="4">
        <f t="shared" si="252"/>
        <v>30760345.893679228</v>
      </c>
      <c r="AJ176" s="4">
        <f t="shared" si="252"/>
        <v>39195276.50897032</v>
      </c>
      <c r="AK176" s="4">
        <f t="shared" si="252"/>
        <v>48163921.061766259</v>
      </c>
      <c r="AL176" s="4">
        <f t="shared" si="252"/>
        <v>57640079.760453872</v>
      </c>
      <c r="AM176" s="4">
        <f t="shared" si="252"/>
        <v>67843239.96289055</v>
      </c>
      <c r="AN176" s="4">
        <f t="shared" si="252"/>
        <v>78570557.50525105</v>
      </c>
      <c r="AO176" s="4">
        <f t="shared" si="252"/>
        <v>89999459.734056383</v>
      </c>
      <c r="AP176" s="4">
        <f t="shared" si="252"/>
        <v>102144356.7844969</v>
      </c>
      <c r="AQ176" s="4">
        <f t="shared" si="252"/>
        <v>115028151.17989154</v>
      </c>
      <c r="AR176" s="4"/>
      <c r="AS176" s="4"/>
      <c r="AT176" s="4"/>
      <c r="AU176" s="4"/>
      <c r="AV176" s="4"/>
      <c r="AW176" s="4"/>
      <c r="AX176" s="4"/>
      <c r="AY176" s="4"/>
      <c r="AZ176" s="4"/>
      <c r="BA176" s="4"/>
      <c r="BB176" s="4"/>
      <c r="BC176" s="4"/>
      <c r="BD176" s="4"/>
      <c r="BF176" s="83">
        <f t="shared" si="243"/>
        <v>1.8043907472697565</v>
      </c>
      <c r="BG176" s="3">
        <v>2459546.2552616512</v>
      </c>
      <c r="BH176" s="3">
        <f t="shared" si="247"/>
        <v>-415447.25526165124</v>
      </c>
      <c r="BI176" s="3">
        <v>1995050.7157798726</v>
      </c>
      <c r="BJ176" s="3">
        <f t="shared" si="238"/>
        <v>-1524587.7157798726</v>
      </c>
      <c r="BK176" s="3">
        <v>433318.00592864153</v>
      </c>
      <c r="BL176" s="3">
        <f t="shared" si="239"/>
        <v>-237613.00592864153</v>
      </c>
      <c r="BM176" s="3">
        <v>249194.00352652677</v>
      </c>
      <c r="BN176" s="3">
        <f t="shared" si="240"/>
        <v>913705.99647347326</v>
      </c>
      <c r="BO176" s="3">
        <v>2982067.0759108732</v>
      </c>
      <c r="BP176" s="3">
        <f t="shared" si="241"/>
        <v>279158.92408912675</v>
      </c>
      <c r="BQ176" s="4">
        <v>3634297.2630295749</v>
      </c>
      <c r="BR176" s="18">
        <f t="shared" si="242"/>
        <v>60660.736970425118</v>
      </c>
      <c r="BS176" s="4">
        <v>3820669.5114905806</v>
      </c>
      <c r="BT176" s="18">
        <f t="shared" si="244"/>
        <v>201087.8690258204</v>
      </c>
    </row>
    <row r="177" spans="1:72">
      <c r="A177" s="2" t="s">
        <v>51</v>
      </c>
      <c r="B177" s="3">
        <f>'Monthly D3 Gallon Data'!$L12</f>
        <v>0</v>
      </c>
      <c r="C177" s="3">
        <f>'Monthly D3 Gallon Data'!$L24</f>
        <v>0</v>
      </c>
      <c r="D177" s="3">
        <f>'Monthly D3 Gallon Data'!$L36</f>
        <v>0</v>
      </c>
      <c r="E177" s="3">
        <f>'Monthly D3 Gallon Data'!$L48</f>
        <v>0</v>
      </c>
      <c r="F177" s="3">
        <f>'Monthly D3 Gallon Data'!$L60</f>
        <v>0</v>
      </c>
      <c r="G177" s="3">
        <f>'Monthly D3 Gallon Data'!$L72</f>
        <v>1726254</v>
      </c>
      <c r="H177" s="3">
        <f>'Monthly D3 Gallon Data'!$L84</f>
        <v>1741371</v>
      </c>
      <c r="I177" s="3">
        <f>'Monthly D3 Gallon Data'!$L96</f>
        <v>2754103</v>
      </c>
      <c r="J177" s="3">
        <f>'Monthly D3 Gallon Data'!$L108</f>
        <v>2715051</v>
      </c>
      <c r="K177" s="3">
        <f>'Monthly D3 Gallon Data'!$L120</f>
        <v>1937756</v>
      </c>
      <c r="L177" s="3">
        <f>'Monthly D3 Gallon Data'!$L132</f>
        <v>0</v>
      </c>
      <c r="M177" s="3">
        <f>'Monthly D3 Gallon Data'!$L144</f>
        <v>25800</v>
      </c>
      <c r="N177" s="3">
        <f>'Monthly D3 Gallon Data'!$L156</f>
        <v>1199806</v>
      </c>
      <c r="O177" s="3">
        <f>'Monthly D3 Gallon Data'!$L168</f>
        <v>3364273</v>
      </c>
      <c r="P177" s="3">
        <f>'Monthly D3 Gallon Data'!$L180</f>
        <v>3642128</v>
      </c>
      <c r="Q177" s="4">
        <f t="shared" si="252"/>
        <v>3768490.0682089343</v>
      </c>
      <c r="R177" s="4">
        <f t="shared" si="252"/>
        <v>1501135.3351941241</v>
      </c>
      <c r="S177" s="4">
        <f t="shared" si="252"/>
        <v>972867.50156355335</v>
      </c>
      <c r="T177" s="4">
        <f t="shared" si="252"/>
        <v>3003194.5436671814</v>
      </c>
      <c r="U177" s="4">
        <f t="shared" si="252"/>
        <v>3123762.3408473986</v>
      </c>
      <c r="V177" s="4">
        <f t="shared" si="252"/>
        <v>3412179.0923938197</v>
      </c>
      <c r="W177" s="4">
        <f t="shared" si="252"/>
        <v>3239151.2241206951</v>
      </c>
      <c r="X177" s="4">
        <f t="shared" si="252"/>
        <v>3827705.6260954924</v>
      </c>
      <c r="Y177" s="4">
        <f t="shared" si="252"/>
        <v>4893853.3378379624</v>
      </c>
      <c r="Z177" s="4">
        <f t="shared" si="252"/>
        <v>5558323.7689065561</v>
      </c>
      <c r="AA177" s="4">
        <f t="shared" si="252"/>
        <v>6344944.7389818802</v>
      </c>
      <c r="AB177" s="4">
        <f t="shared" si="252"/>
        <v>7364143.072877341</v>
      </c>
      <c r="AC177" s="4">
        <f t="shared" si="252"/>
        <v>8729276.1529069673</v>
      </c>
      <c r="AD177" s="4">
        <f t="shared" si="252"/>
        <v>10174771.69838101</v>
      </c>
      <c r="AE177" s="4">
        <f t="shared" si="252"/>
        <v>11696087.708937811</v>
      </c>
      <c r="AF177" s="4">
        <f t="shared" si="252"/>
        <v>13484669.633976433</v>
      </c>
      <c r="AG177" s="4">
        <f t="shared" si="252"/>
        <v>15497153.626525365</v>
      </c>
      <c r="AH177" s="4">
        <f t="shared" si="252"/>
        <v>22269250.337382864</v>
      </c>
      <c r="AI177" s="4">
        <f t="shared" si="252"/>
        <v>29841196.270410586</v>
      </c>
      <c r="AJ177" s="4">
        <f t="shared" si="252"/>
        <v>38024041.044008598</v>
      </c>
      <c r="AK177" s="4">
        <f t="shared" si="252"/>
        <v>46725133.117967203</v>
      </c>
      <c r="AL177" s="4">
        <f t="shared" si="252"/>
        <v>55918335.045157962</v>
      </c>
      <c r="AM177" s="4">
        <f t="shared" si="252"/>
        <v>65816488.043425716</v>
      </c>
      <c r="AN177" s="4">
        <f t="shared" si="252"/>
        <v>76223251.091951504</v>
      </c>
      <c r="AO177" s="4">
        <f t="shared" si="252"/>
        <v>87310768.850190297</v>
      </c>
      <c r="AP177" s="4">
        <f t="shared" si="252"/>
        <v>99092931.039778709</v>
      </c>
      <c r="AQ177" s="4">
        <f t="shared" si="252"/>
        <v>111591826.38697892</v>
      </c>
      <c r="AR177" s="4"/>
      <c r="AS177" s="4"/>
      <c r="AT177" s="4"/>
      <c r="AU177" s="4"/>
      <c r="AV177" s="4"/>
      <c r="AW177" s="4"/>
      <c r="AX177" s="4"/>
      <c r="AY177" s="4"/>
      <c r="AZ177" s="4"/>
      <c r="BA177" s="4"/>
      <c r="BB177" s="4"/>
      <c r="BC177" s="4"/>
      <c r="BD177" s="4"/>
      <c r="BF177" s="83">
        <f t="shared" si="243"/>
        <v>1.8040141489540811</v>
      </c>
      <c r="BG177" s="3">
        <v>2472114.322810662</v>
      </c>
      <c r="BH177" s="3">
        <f t="shared" si="247"/>
        <v>-534358.32281066198</v>
      </c>
      <c r="BI177" s="3">
        <v>1752058.4314844427</v>
      </c>
      <c r="BJ177" s="3">
        <f t="shared" si="238"/>
        <v>-1752058.4314844427</v>
      </c>
      <c r="BK177" s="3">
        <v>856679.76135289762</v>
      </c>
      <c r="BL177" s="3">
        <f t="shared" si="239"/>
        <v>-830879.76135289762</v>
      </c>
      <c r="BM177" s="3">
        <v>229516.79282118846</v>
      </c>
      <c r="BN177" s="3">
        <f t="shared" si="240"/>
        <v>970289.20717881154</v>
      </c>
      <c r="BO177" s="3">
        <v>2635432.5198999671</v>
      </c>
      <c r="BP177" s="3">
        <f t="shared" si="241"/>
        <v>728840.48010003287</v>
      </c>
      <c r="BQ177" s="4">
        <v>3325211.5512218154</v>
      </c>
      <c r="BR177" s="18">
        <f t="shared" si="242"/>
        <v>316916.4487781846</v>
      </c>
      <c r="BS177" s="4">
        <v>3580065.5647984874</v>
      </c>
      <c r="BT177" s="18">
        <f t="shared" si="244"/>
        <v>188424.50341044692</v>
      </c>
    </row>
    <row r="178" spans="1:72">
      <c r="A178" s="2" t="s">
        <v>52</v>
      </c>
      <c r="B178" s="3">
        <f>'Monthly D3 Gallon Data'!$L13</f>
        <v>0</v>
      </c>
      <c r="C178" s="3">
        <f>'Monthly D3 Gallon Data'!$L25</f>
        <v>0</v>
      </c>
      <c r="D178" s="3">
        <f>'Monthly D3 Gallon Data'!$L37</f>
        <v>0</v>
      </c>
      <c r="E178" s="3">
        <f>'Monthly D3 Gallon Data'!$L49</f>
        <v>0</v>
      </c>
      <c r="F178" s="3">
        <f>'Monthly D3 Gallon Data'!$L61</f>
        <v>0</v>
      </c>
      <c r="G178" s="3">
        <f>'Monthly D3 Gallon Data'!$L73</f>
        <v>1405102</v>
      </c>
      <c r="H178" s="3">
        <f>'Monthly D3 Gallon Data'!$L85</f>
        <v>1749486</v>
      </c>
      <c r="I178" s="3">
        <f>'Monthly D3 Gallon Data'!$L97</f>
        <v>2478336</v>
      </c>
      <c r="J178" s="3">
        <f>'Monthly D3 Gallon Data'!$L109</f>
        <v>1907499</v>
      </c>
      <c r="K178" s="3">
        <f>'Monthly D3 Gallon Data'!$L121</f>
        <v>1887880</v>
      </c>
      <c r="L178" s="3">
        <f>'Monthly D3 Gallon Data'!$L133</f>
        <v>0</v>
      </c>
      <c r="M178" s="3">
        <f>'Monthly D3 Gallon Data'!$L145</f>
        <v>349262</v>
      </c>
      <c r="N178" s="3">
        <f>'Monthly D3 Gallon Data'!$L157</f>
        <v>1231457</v>
      </c>
      <c r="O178" s="3">
        <f>'Monthly D3 Gallon Data'!$L169</f>
        <v>3298120</v>
      </c>
      <c r="P178" s="3">
        <f>'Monthly D3 Gallon Data'!$L181</f>
        <v>3422394</v>
      </c>
      <c r="Q178" s="4">
        <f t="shared" ref="Q178:AQ179" si="253">(SUM(L178:P178)/SUM(L$181:P$181))*Q$181*1.05</f>
        <v>3711804.4035504712</v>
      </c>
      <c r="R178" s="4">
        <f t="shared" si="253"/>
        <v>1467757.3939726986</v>
      </c>
      <c r="S178" s="4">
        <f t="shared" si="253"/>
        <v>925964.53348865453</v>
      </c>
      <c r="T178" s="4">
        <f t="shared" si="253"/>
        <v>2839731.5064348578</v>
      </c>
      <c r="U178" s="4">
        <f t="shared" si="253"/>
        <v>2927970.9407250737</v>
      </c>
      <c r="V178" s="4">
        <f t="shared" si="253"/>
        <v>3199124.2392196837</v>
      </c>
      <c r="W178" s="4">
        <f t="shared" si="253"/>
        <v>2991953.6953804037</v>
      </c>
      <c r="X178" s="4">
        <f t="shared" si="253"/>
        <v>3503128.1306775669</v>
      </c>
      <c r="Y178" s="4">
        <f t="shared" si="253"/>
        <v>4450717.5904960539</v>
      </c>
      <c r="Z178" s="4">
        <f t="shared" si="253"/>
        <v>5011165.171911818</v>
      </c>
      <c r="AA178" s="4">
        <f t="shared" si="253"/>
        <v>5671802.8017220339</v>
      </c>
      <c r="AB178" s="4">
        <f t="shared" si="253"/>
        <v>6519164.9474895699</v>
      </c>
      <c r="AC178" s="4">
        <f t="shared" si="253"/>
        <v>7663256.4567738213</v>
      </c>
      <c r="AD178" s="4">
        <f t="shared" si="253"/>
        <v>8858104.2638310697</v>
      </c>
      <c r="AE178" s="4">
        <f t="shared" si="253"/>
        <v>10092883.168730631</v>
      </c>
      <c r="AF178" s="4">
        <f t="shared" si="253"/>
        <v>11534985.797627283</v>
      </c>
      <c r="AG178" s="4">
        <f t="shared" si="253"/>
        <v>13141853.340459995</v>
      </c>
      <c r="AH178" s="4">
        <f t="shared" si="253"/>
        <v>18724642.065474719</v>
      </c>
      <c r="AI178" s="4">
        <f t="shared" si="253"/>
        <v>24854386.803565979</v>
      </c>
      <c r="AJ178" s="4">
        <f t="shared" si="253"/>
        <v>31360118.562758144</v>
      </c>
      <c r="AK178" s="4">
        <f t="shared" si="253"/>
        <v>38167102.212617718</v>
      </c>
      <c r="AL178" s="4">
        <f t="shared" si="253"/>
        <v>45258291.81688688</v>
      </c>
      <c r="AM178" s="4">
        <f t="shared" si="253"/>
        <v>52809993.784823097</v>
      </c>
      <c r="AN178" s="4">
        <f t="shared" si="253"/>
        <v>60628378.811115332</v>
      </c>
      <c r="AO178" s="4">
        <f t="shared" si="253"/>
        <v>68845062.450983688</v>
      </c>
      <c r="AP178" s="4">
        <f t="shared" si="253"/>
        <v>77463888.031412616</v>
      </c>
      <c r="AQ178" s="4">
        <f t="shared" si="253"/>
        <v>86492981.029578492</v>
      </c>
      <c r="AR178" s="4"/>
      <c r="AS178" s="4"/>
      <c r="AT178" s="4"/>
      <c r="AU178" s="4"/>
      <c r="AV178" s="4"/>
      <c r="AW178" s="4"/>
      <c r="AX178" s="4"/>
      <c r="AY178" s="4"/>
      <c r="AZ178" s="4"/>
      <c r="BA178" s="4"/>
      <c r="BB178" s="4"/>
      <c r="BC178" s="4"/>
      <c r="BD178" s="4"/>
      <c r="BF178" s="83">
        <f t="shared" si="243"/>
        <v>1.6782258739038389</v>
      </c>
      <c r="BG178" s="3">
        <v>2085850.8080317238</v>
      </c>
      <c r="BH178" s="3">
        <f t="shared" si="247"/>
        <v>-197970.80803172383</v>
      </c>
      <c r="BI178" s="3">
        <v>42255.226413247874</v>
      </c>
      <c r="BJ178" s="3">
        <f t="shared" si="238"/>
        <v>-42255.226413247874</v>
      </c>
      <c r="BK178" s="3">
        <v>58023.880274786148</v>
      </c>
      <c r="BL178" s="3">
        <f t="shared" si="239"/>
        <v>291238.11972521385</v>
      </c>
      <c r="BM178" s="3">
        <v>1250726.3807714011</v>
      </c>
      <c r="BN178" s="3">
        <f t="shared" si="240"/>
        <v>-19269.380771401105</v>
      </c>
      <c r="BO178" s="3">
        <v>3543925.4711459274</v>
      </c>
      <c r="BP178" s="3">
        <f t="shared" si="241"/>
        <v>-245805.47114592744</v>
      </c>
      <c r="BQ178" s="4">
        <v>3366839.3546793102</v>
      </c>
      <c r="BR178" s="18">
        <f t="shared" si="242"/>
        <v>55554.645320689771</v>
      </c>
      <c r="BS178" s="4">
        <v>3526214.1833729469</v>
      </c>
      <c r="BT178" s="18">
        <f t="shared" si="244"/>
        <v>185590.22017752426</v>
      </c>
    </row>
    <row r="179" spans="1:72">
      <c r="A179" s="2" t="s">
        <v>53</v>
      </c>
      <c r="B179" s="3">
        <f>'Monthly D3 Gallon Data'!$L14</f>
        <v>0</v>
      </c>
      <c r="C179" s="3">
        <f>'Monthly D3 Gallon Data'!$L26</f>
        <v>0</v>
      </c>
      <c r="D179" s="3">
        <f>'Monthly D3 Gallon Data'!$L38</f>
        <v>0</v>
      </c>
      <c r="E179" s="3">
        <f>'Monthly D3 Gallon Data'!$L50</f>
        <v>0</v>
      </c>
      <c r="F179" s="3">
        <f>'Monthly D3 Gallon Data'!$L62</f>
        <v>0</v>
      </c>
      <c r="G179" s="3">
        <f>'Monthly D3 Gallon Data'!$L74</f>
        <v>1607019</v>
      </c>
      <c r="H179" s="3">
        <f>'Monthly D3 Gallon Data'!$L86</f>
        <v>1635896</v>
      </c>
      <c r="I179" s="3">
        <f>'Monthly D3 Gallon Data'!$L98</f>
        <v>3517725</v>
      </c>
      <c r="J179" s="3">
        <f>'Monthly D3 Gallon Data'!$L110</f>
        <v>2109830</v>
      </c>
      <c r="K179" s="3">
        <f>'Monthly D3 Gallon Data'!$L122</f>
        <v>1885147</v>
      </c>
      <c r="L179" s="3">
        <f>'Monthly D3 Gallon Data'!$L134</f>
        <v>0</v>
      </c>
      <c r="M179" s="3">
        <f>'Monthly D3 Gallon Data'!$L146</f>
        <v>667669</v>
      </c>
      <c r="N179" s="3">
        <f>'Monthly D3 Gallon Data'!$L158</f>
        <v>125974</v>
      </c>
      <c r="O179" s="3">
        <f>'Monthly D3 Gallon Data'!$L170</f>
        <v>3434027</v>
      </c>
      <c r="P179" s="3">
        <f>'Monthly D3 Gallon Data'!$L182</f>
        <v>1992017</v>
      </c>
      <c r="Q179" s="4">
        <f t="shared" si="253"/>
        <v>2781064.161830612</v>
      </c>
      <c r="R179" s="4">
        <f t="shared" si="253"/>
        <v>1099715.1365882477</v>
      </c>
      <c r="S179" s="4">
        <f t="shared" si="253"/>
        <v>665149.74943145411</v>
      </c>
      <c r="T179" s="4">
        <f t="shared" si="253"/>
        <v>2207830.7345432951</v>
      </c>
      <c r="U179" s="4">
        <f t="shared" si="253"/>
        <v>2070512.706007998</v>
      </c>
      <c r="V179" s="4">
        <f t="shared" si="253"/>
        <v>2377613.0771626416</v>
      </c>
      <c r="W179" s="4">
        <f t="shared" si="253"/>
        <v>2217736.8869619225</v>
      </c>
      <c r="X179" s="4">
        <f t="shared" si="253"/>
        <v>2593438.2098420868</v>
      </c>
      <c r="Y179" s="4">
        <f t="shared" si="253"/>
        <v>3300819.1937117069</v>
      </c>
      <c r="Z179" s="4">
        <f t="shared" si="253"/>
        <v>3686594.3213399295</v>
      </c>
      <c r="AA179" s="4">
        <f t="shared" si="253"/>
        <v>4197340.1345552839</v>
      </c>
      <c r="AB179" s="4">
        <f t="shared" si="253"/>
        <v>4821361.1115652705</v>
      </c>
      <c r="AC179" s="4">
        <f t="shared" si="253"/>
        <v>5665974.9328367561</v>
      </c>
      <c r="AD179" s="4">
        <f t="shared" si="253"/>
        <v>6548401.202506301</v>
      </c>
      <c r="AE179" s="4">
        <f t="shared" si="253"/>
        <v>7458045.05818778</v>
      </c>
      <c r="AF179" s="4">
        <f t="shared" si="253"/>
        <v>8528537.1702653877</v>
      </c>
      <c r="AG179" s="4">
        <f t="shared" si="253"/>
        <v>9715470.7049242258</v>
      </c>
      <c r="AH179" s="4">
        <f t="shared" si="253"/>
        <v>13842007.631875593</v>
      </c>
      <c r="AI179" s="4">
        <f t="shared" si="253"/>
        <v>18372967.399092939</v>
      </c>
      <c r="AJ179" s="4">
        <f t="shared" si="253"/>
        <v>23182052.508886885</v>
      </c>
      <c r="AK179" s="4">
        <f t="shared" si="253"/>
        <v>28214998.641379595</v>
      </c>
      <c r="AL179" s="4">
        <f t="shared" si="253"/>
        <v>33456685.595659025</v>
      </c>
      <c r="AM179" s="4">
        <f t="shared" si="253"/>
        <v>39039029.092542775</v>
      </c>
      <c r="AN179" s="4">
        <f t="shared" si="253"/>
        <v>44818631.094127834</v>
      </c>
      <c r="AO179" s="4">
        <f t="shared" si="253"/>
        <v>50892774.209146433</v>
      </c>
      <c r="AP179" s="4">
        <f t="shared" si="253"/>
        <v>57264265.766237885</v>
      </c>
      <c r="AQ179" s="4">
        <f t="shared" si="253"/>
        <v>63938797.64395199</v>
      </c>
      <c r="AR179" s="4"/>
      <c r="AS179" s="4"/>
      <c r="AT179" s="4"/>
      <c r="AU179" s="4"/>
      <c r="AV179" s="4"/>
      <c r="AW179" s="4"/>
      <c r="AX179" s="4"/>
      <c r="AY179" s="4"/>
      <c r="AZ179" s="4"/>
      <c r="BA179" s="4"/>
      <c r="BB179" s="4"/>
      <c r="BC179" s="4"/>
      <c r="BD179" s="4"/>
      <c r="BF179" s="83">
        <f t="shared" si="243"/>
        <v>26.259807579341768</v>
      </c>
      <c r="BG179" s="3">
        <v>2453771.7601679857</v>
      </c>
      <c r="BH179" s="3">
        <f t="shared" si="247"/>
        <v>-568624.76016798569</v>
      </c>
      <c r="BI179" s="3">
        <v>83146.470723199658</v>
      </c>
      <c r="BJ179" s="3">
        <f t="shared" si="238"/>
        <v>-83146.470723199658</v>
      </c>
      <c r="BK179" s="3">
        <v>89744.552272018511</v>
      </c>
      <c r="BL179" s="3">
        <f t="shared" si="239"/>
        <v>577924.44772798149</v>
      </c>
      <c r="BM179" s="3">
        <v>1367909.0305769723</v>
      </c>
      <c r="BN179" s="3">
        <f t="shared" si="240"/>
        <v>-1241935.0305769723</v>
      </c>
      <c r="BO179" s="3">
        <v>3512081.746082793</v>
      </c>
      <c r="BP179" s="3">
        <f t="shared" si="241"/>
        <v>-78054.74608279299</v>
      </c>
      <c r="BQ179" s="4">
        <v>3041484.779189548</v>
      </c>
      <c r="BR179" s="18">
        <f t="shared" si="242"/>
        <v>-1049467.779189548</v>
      </c>
      <c r="BS179" s="4">
        <v>2642010.9537390815</v>
      </c>
      <c r="BT179" s="18">
        <f t="shared" si="244"/>
        <v>139053.20809153048</v>
      </c>
    </row>
    <row r="180" spans="1:72">
      <c r="A180" s="2" t="s">
        <v>54</v>
      </c>
      <c r="B180" s="3">
        <f>'Monthly D3 Gallon Data'!$L15</f>
        <v>0</v>
      </c>
      <c r="C180" s="3">
        <f>'Monthly D3 Gallon Data'!$L27</f>
        <v>0</v>
      </c>
      <c r="D180" s="3">
        <f>'Monthly D3 Gallon Data'!$L39</f>
        <v>0</v>
      </c>
      <c r="E180" s="3">
        <f>'Monthly D3 Gallon Data'!$L51</f>
        <v>0</v>
      </c>
      <c r="F180" s="3">
        <f>'Monthly D3 Gallon Data'!$L63</f>
        <v>0</v>
      </c>
      <c r="G180" s="3">
        <f>'Monthly D3 Gallon Data'!$L75</f>
        <v>3935029</v>
      </c>
      <c r="H180" s="3">
        <f>'Monthly D3 Gallon Data'!$L87</f>
        <v>3612786</v>
      </c>
      <c r="I180" s="3">
        <f>'Monthly D3 Gallon Data'!$L99</f>
        <v>6489790</v>
      </c>
      <c r="J180" s="3">
        <f>'Monthly D3 Gallon Data'!$L111</f>
        <v>3834959</v>
      </c>
      <c r="K180" s="3">
        <f>'Monthly D3 Gallon Data'!$L123</f>
        <v>4121820</v>
      </c>
      <c r="L180" s="3">
        <f>'Monthly D3 Gallon Data'!$L135</f>
        <v>279203</v>
      </c>
      <c r="M180" s="3">
        <f>'Monthly D3 Gallon Data'!$L147</f>
        <v>1155641</v>
      </c>
      <c r="N180" s="3">
        <f>'Monthly D3 Gallon Data'!$L159</f>
        <v>1929277</v>
      </c>
      <c r="O180" s="3">
        <f>'Monthly D3 Gallon Data'!$L171</f>
        <v>6434965</v>
      </c>
      <c r="P180" s="3">
        <f>'Monthly D3 Gallon Data'!$L183</f>
        <v>2246418</v>
      </c>
      <c r="Q180" s="119">
        <f t="shared" ref="Q180:AD180" si="254">Q181-SUM(Q169:Q179)</f>
        <v>9837807.1381483711</v>
      </c>
      <c r="R180" s="4">
        <f t="shared" si="254"/>
        <v>2874722.7412444055</v>
      </c>
      <c r="S180" s="4">
        <f t="shared" si="254"/>
        <v>1791252.2665694747</v>
      </c>
      <c r="T180" s="4">
        <f t="shared" si="254"/>
        <v>5640498.3430259041</v>
      </c>
      <c r="U180" s="4">
        <f t="shared" si="254"/>
        <v>5570719.0512309223</v>
      </c>
      <c r="V180" s="4">
        <f t="shared" si="254"/>
        <v>6853619.9150197543</v>
      </c>
      <c r="W180" s="4">
        <f t="shared" si="254"/>
        <v>5847329.3841431476</v>
      </c>
      <c r="X180" s="4">
        <f t="shared" si="254"/>
        <v>6726969.044160787</v>
      </c>
      <c r="Y180" s="4">
        <f t="shared" si="254"/>
        <v>8377872.799034141</v>
      </c>
      <c r="Z180" s="4">
        <f t="shared" si="254"/>
        <v>9101782.1691790298</v>
      </c>
      <c r="AA180" s="4">
        <f t="shared" si="254"/>
        <v>9961568.357061699</v>
      </c>
      <c r="AB180" s="4">
        <f t="shared" si="254"/>
        <v>10812697.275025174</v>
      </c>
      <c r="AC180" s="4">
        <f t="shared" si="254"/>
        <v>12091130.842298076</v>
      </c>
      <c r="AD180" s="4">
        <f t="shared" si="254"/>
        <v>13197650.874892347</v>
      </c>
      <c r="AE180" s="4">
        <f>AE181-SUM(AE169:AE179)</f>
        <v>14050692.277977616</v>
      </c>
      <c r="AF180" s="4">
        <f>AF181-SUM(AF169:AF179)</f>
        <v>14906840.508913726</v>
      </c>
      <c r="AG180" s="4">
        <f>AG181-SUM(AG169:AG179)</f>
        <v>15625705.493588805</v>
      </c>
      <c r="AH180" s="4">
        <f t="shared" ref="AH180:AO180" si="255">AH181-SUM(AH169:AH179)</f>
        <v>20327644.334086597</v>
      </c>
      <c r="AI180" s="4">
        <f t="shared" si="255"/>
        <v>24045379.1572918</v>
      </c>
      <c r="AJ180" s="4">
        <f t="shared" si="255"/>
        <v>26433109.085680693</v>
      </c>
      <c r="AK180" s="4">
        <f t="shared" si="255"/>
        <v>27448348.588662535</v>
      </c>
      <c r="AL180" s="4">
        <f t="shared" si="255"/>
        <v>27140184.035161257</v>
      </c>
      <c r="AM180" s="4">
        <f t="shared" si="255"/>
        <v>25683952.421695709</v>
      </c>
      <c r="AN180" s="4">
        <f t="shared" si="255"/>
        <v>22524010.852134824</v>
      </c>
      <c r="AO180" s="4">
        <f t="shared" si="255"/>
        <v>17664682.50225246</v>
      </c>
      <c r="AP180" s="4">
        <f>AP181-SUM(AP169:AP179)</f>
        <v>11042791.965307117</v>
      </c>
      <c r="AQ180" s="4">
        <f>AQ181-SUM(AQ169:AQ179)</f>
        <v>2571330.0797497034</v>
      </c>
      <c r="AR180" s="4"/>
      <c r="AS180" s="4"/>
      <c r="AT180" s="4"/>
      <c r="AU180" s="4"/>
      <c r="AV180" s="4"/>
      <c r="AW180" s="4"/>
      <c r="AX180" s="4"/>
      <c r="AY180" s="4"/>
      <c r="AZ180" s="4"/>
      <c r="BA180" s="4"/>
      <c r="BB180" s="4"/>
      <c r="BC180" s="4"/>
      <c r="BD180" s="4"/>
      <c r="BF180" s="83">
        <f t="shared" si="243"/>
        <v>2.3354282459180302</v>
      </c>
      <c r="BG180" s="3">
        <v>4048373.6781869791</v>
      </c>
      <c r="BH180" s="3">
        <f t="shared" si="247"/>
        <v>73446.321813020855</v>
      </c>
      <c r="BI180" s="3">
        <v>679459.55943515897</v>
      </c>
      <c r="BJ180" s="3">
        <f t="shared" si="238"/>
        <v>-400256.55943515897</v>
      </c>
      <c r="BK180" s="3">
        <v>779499.86554330587</v>
      </c>
      <c r="BL180" s="3">
        <f t="shared" si="239"/>
        <v>376141.13445669413</v>
      </c>
      <c r="BM180" s="3">
        <v>2767874.7236142904</v>
      </c>
      <c r="BN180" s="3">
        <f t="shared" si="240"/>
        <v>-838597.72361429036</v>
      </c>
      <c r="BO180" s="3">
        <v>7013786.0792444833</v>
      </c>
      <c r="BP180" s="3">
        <f t="shared" si="241"/>
        <v>-578821.07924448326</v>
      </c>
      <c r="BQ180" s="4">
        <v>5766525.5829156227</v>
      </c>
      <c r="BR180" s="18">
        <f t="shared" si="242"/>
        <v>-3520107.5829156227</v>
      </c>
      <c r="BS180" s="4">
        <v>6597020.9115547016</v>
      </c>
      <c r="BT180" s="18">
        <f t="shared" si="244"/>
        <v>3240786.2265936695</v>
      </c>
    </row>
    <row r="181" spans="1:72" ht="15.75" thickBot="1">
      <c r="A181" s="2" t="s">
        <v>29</v>
      </c>
      <c r="B181" s="3">
        <f>SUM(B169:B180)</f>
        <v>0</v>
      </c>
      <c r="C181" s="3">
        <f t="shared" ref="C181:P181" si="256">SUM(C169:C180)</f>
        <v>0</v>
      </c>
      <c r="D181" s="3">
        <f t="shared" si="256"/>
        <v>0</v>
      </c>
      <c r="E181" s="3">
        <f t="shared" si="256"/>
        <v>0</v>
      </c>
      <c r="F181" s="3">
        <f t="shared" si="256"/>
        <v>0</v>
      </c>
      <c r="G181" s="3">
        <f t="shared" si="256"/>
        <v>13795410</v>
      </c>
      <c r="H181" s="3">
        <f t="shared" si="256"/>
        <v>20749393</v>
      </c>
      <c r="I181" s="3">
        <f t="shared" si="256"/>
        <v>30752803</v>
      </c>
      <c r="J181" s="3">
        <f t="shared" si="256"/>
        <v>27505484</v>
      </c>
      <c r="K181" s="3">
        <f t="shared" si="256"/>
        <v>24443917</v>
      </c>
      <c r="L181" s="3">
        <f t="shared" si="256"/>
        <v>10599743</v>
      </c>
      <c r="M181" s="3">
        <f t="shared" si="256"/>
        <v>3118272</v>
      </c>
      <c r="N181" s="3">
        <f t="shared" si="256"/>
        <v>6444559</v>
      </c>
      <c r="O181" s="3">
        <f t="shared" si="256"/>
        <v>37172640</v>
      </c>
      <c r="P181" s="3">
        <f t="shared" si="256"/>
        <v>34836392</v>
      </c>
      <c r="Q181" s="4">
        <f t="shared" ref="Q181:AD181" si="257">Q11</f>
        <v>39250964.632444933</v>
      </c>
      <c r="R181" s="4">
        <f t="shared" si="257"/>
        <v>14059217.313016716</v>
      </c>
      <c r="S181" s="4">
        <f t="shared" si="257"/>
        <v>8848825.946739966</v>
      </c>
      <c r="T181" s="4">
        <f t="shared" si="257"/>
        <v>28290749.593029752</v>
      </c>
      <c r="U181" s="4">
        <f t="shared" si="257"/>
        <v>28248362.266765665</v>
      </c>
      <c r="V181" s="4">
        <f t="shared" si="257"/>
        <v>30459082.051445581</v>
      </c>
      <c r="W181" s="4">
        <f t="shared" si="257"/>
        <v>27566942.71147557</v>
      </c>
      <c r="X181" s="4">
        <f t="shared" si="257"/>
        <v>31956204.749932222</v>
      </c>
      <c r="Y181" s="4">
        <f t="shared" si="257"/>
        <v>40167844.363841414</v>
      </c>
      <c r="Z181" s="4">
        <f t="shared" si="257"/>
        <v>44278525.377278574</v>
      </c>
      <c r="AA181" s="4">
        <f t="shared" si="257"/>
        <v>49186132.426707894</v>
      </c>
      <c r="AB181" s="4">
        <f t="shared" si="257"/>
        <v>55447033.540627651</v>
      </c>
      <c r="AC181" s="4">
        <f t="shared" si="257"/>
        <v>64127653.095952004</v>
      </c>
      <c r="AD181" s="4">
        <f t="shared" si="257"/>
        <v>72865378.073210806</v>
      </c>
      <c r="AE181" s="4">
        <f>AE11</f>
        <v>81491951.162366346</v>
      </c>
      <c r="AF181" s="4">
        <f>AF11</f>
        <v>91474292.687425077</v>
      </c>
      <c r="AG181" s="4">
        <f>AG11</f>
        <v>102386574.62752917</v>
      </c>
      <c r="AH181" s="4">
        <f t="shared" ref="AH181:AO181" si="258">AH11</f>
        <v>143365278.85059854</v>
      </c>
      <c r="AI181" s="4">
        <f t="shared" si="258"/>
        <v>186619652.69857711</v>
      </c>
      <c r="AJ181" s="4">
        <f t="shared" si="258"/>
        <v>230756570.87476206</v>
      </c>
      <c r="AK181" s="4">
        <f t="shared" si="258"/>
        <v>275352493.17975253</v>
      </c>
      <c r="AL181" s="4">
        <f t="shared" si="258"/>
        <v>320412377.03335524</v>
      </c>
      <c r="AM181" s="4">
        <f t="shared" si="258"/>
        <v>367296592.96265084</v>
      </c>
      <c r="AN181" s="4">
        <f t="shared" si="258"/>
        <v>414176819.96098876</v>
      </c>
      <c r="AO181" s="4">
        <f t="shared" si="258"/>
        <v>461962857.86065161</v>
      </c>
      <c r="AP181" s="4">
        <f>AP11</f>
        <v>510661638.25762975</v>
      </c>
      <c r="AQ181" s="4">
        <f>AQ11</f>
        <v>560272523.51001871</v>
      </c>
      <c r="AR181" s="4"/>
      <c r="AS181" s="4"/>
      <c r="AT181" s="4"/>
      <c r="AU181" s="4"/>
      <c r="AV181" s="4"/>
      <c r="AW181" s="4"/>
      <c r="AX181" s="4"/>
      <c r="AY181" s="4"/>
      <c r="AZ181" s="4"/>
      <c r="BA181" s="4"/>
      <c r="BB181" s="4"/>
      <c r="BC181" s="4"/>
      <c r="BD181" s="4"/>
      <c r="BG181" s="3">
        <v>25671424.569197349</v>
      </c>
      <c r="BH181" s="3">
        <f t="shared" si="247"/>
        <v>-1227507.5691973493</v>
      </c>
      <c r="BI181" s="3">
        <v>10999999.559435159</v>
      </c>
      <c r="BJ181" s="3">
        <f t="shared" si="238"/>
        <v>-400256.55943515897</v>
      </c>
      <c r="BK181" s="3">
        <v>2742130.8655433059</v>
      </c>
      <c r="BL181" s="3">
        <f t="shared" si="239"/>
        <v>376141.13445669413</v>
      </c>
      <c r="BM181" s="3">
        <v>7283156.7236142904</v>
      </c>
      <c r="BN181" s="3">
        <f t="shared" si="240"/>
        <v>-838597.72361429036</v>
      </c>
      <c r="BO181" s="3">
        <v>37829515.825327277</v>
      </c>
      <c r="BP181" s="3">
        <f t="shared" si="241"/>
        <v>-656875.82532727718</v>
      </c>
      <c r="BQ181" s="4">
        <v>38752296.580376878</v>
      </c>
      <c r="BR181" s="18">
        <f t="shared" si="242"/>
        <v>-3915904.5803768784</v>
      </c>
      <c r="BS181" s="19">
        <v>37288416.400822684</v>
      </c>
      <c r="BT181" s="18">
        <f t="shared" si="244"/>
        <v>1962548.2316222489</v>
      </c>
    </row>
    <row r="182" spans="1:72">
      <c r="A182" s="114"/>
      <c r="B182" s="114"/>
      <c r="C182" s="114"/>
      <c r="D182" s="114"/>
      <c r="E182" s="114"/>
      <c r="F182" s="114"/>
      <c r="G182" s="120">
        <f t="shared" ref="G182:O182" si="259">G180/AVERAGE(G176:G179)-1</f>
        <v>1.3978840276659543</v>
      </c>
      <c r="H182" s="120">
        <f t="shared" si="259"/>
        <v>1.0861296927164901</v>
      </c>
      <c r="I182" s="120">
        <f t="shared" si="259"/>
        <v>1.3101931583320221</v>
      </c>
      <c r="J182" s="120">
        <f t="shared" si="259"/>
        <v>0.61288513432879754</v>
      </c>
      <c r="K182" s="120">
        <f t="shared" si="259"/>
        <v>1.1260516923403863</v>
      </c>
      <c r="L182" s="120">
        <f t="shared" si="259"/>
        <v>1.3738572427587292</v>
      </c>
      <c r="M182" s="120">
        <f t="shared" si="259"/>
        <v>2.7325820631829179</v>
      </c>
      <c r="N182" s="120">
        <f t="shared" si="259"/>
        <v>1.0744150013830134</v>
      </c>
      <c r="O182" s="120">
        <f t="shared" si="259"/>
        <v>0.92697575605761684</v>
      </c>
      <c r="P182" s="114"/>
      <c r="Q182" s="114"/>
      <c r="R182" s="114"/>
      <c r="S182" s="114"/>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2"/>
      <c r="AS182" s="2"/>
      <c r="AT182" s="2"/>
      <c r="AU182" s="2"/>
      <c r="AV182" s="2"/>
      <c r="AW182" s="2"/>
      <c r="AX182" s="2"/>
      <c r="AY182" s="2"/>
      <c r="AZ182" s="2"/>
      <c r="BA182" s="2"/>
      <c r="BB182" s="2"/>
      <c r="BC182" s="2"/>
      <c r="BD182" s="2"/>
      <c r="BR182" s="117"/>
    </row>
    <row r="183" spans="1:72" ht="16.5" thickBot="1">
      <c r="A183" s="109" t="s">
        <v>252</v>
      </c>
      <c r="P183" s="122">
        <f>(1+AVERAGE(K182:N182))*AVERAGE(O178:O179)</f>
        <v>8673450.7881158795</v>
      </c>
      <c r="BR183" s="117"/>
    </row>
    <row r="184" spans="1:72" ht="15.75" thickBot="1">
      <c r="A184" s="110"/>
      <c r="B184" s="111">
        <f t="shared" ref="B184:K184" si="260">B2</f>
        <v>2010</v>
      </c>
      <c r="C184" s="111">
        <f t="shared" si="260"/>
        <v>2011</v>
      </c>
      <c r="D184" s="111">
        <f t="shared" si="260"/>
        <v>2012</v>
      </c>
      <c r="E184" s="111">
        <f t="shared" si="260"/>
        <v>2013</v>
      </c>
      <c r="F184" s="111">
        <f t="shared" si="260"/>
        <v>2014</v>
      </c>
      <c r="G184" s="111">
        <f t="shared" si="260"/>
        <v>2015</v>
      </c>
      <c r="H184" s="111">
        <f t="shared" si="260"/>
        <v>2016</v>
      </c>
      <c r="I184" s="111">
        <f t="shared" si="260"/>
        <v>2017</v>
      </c>
      <c r="J184" s="111">
        <f t="shared" si="260"/>
        <v>2018</v>
      </c>
      <c r="K184" s="111">
        <f t="shared" si="260"/>
        <v>2019</v>
      </c>
      <c r="L184" s="111">
        <f>L2</f>
        <v>2020</v>
      </c>
      <c r="M184" s="111">
        <f>M2</f>
        <v>2021</v>
      </c>
      <c r="N184" s="111">
        <f t="shared" ref="N184:AD184" si="261">N2</f>
        <v>2022</v>
      </c>
      <c r="O184" s="111">
        <f t="shared" si="261"/>
        <v>2023</v>
      </c>
      <c r="P184" s="111">
        <f t="shared" si="261"/>
        <v>2024</v>
      </c>
      <c r="Q184" s="111">
        <f t="shared" si="261"/>
        <v>2025</v>
      </c>
      <c r="R184" s="111">
        <f t="shared" si="261"/>
        <v>2026</v>
      </c>
      <c r="S184" s="111">
        <f t="shared" si="261"/>
        <v>2027</v>
      </c>
      <c r="T184" s="111">
        <f t="shared" si="261"/>
        <v>2028</v>
      </c>
      <c r="U184" s="111">
        <f t="shared" si="261"/>
        <v>2029</v>
      </c>
      <c r="V184" s="111">
        <f t="shared" si="261"/>
        <v>2030</v>
      </c>
      <c r="W184" s="111">
        <f t="shared" si="261"/>
        <v>2031</v>
      </c>
      <c r="X184" s="111">
        <f t="shared" si="261"/>
        <v>2032</v>
      </c>
      <c r="Y184" s="111">
        <f t="shared" si="261"/>
        <v>2033</v>
      </c>
      <c r="Z184" s="111">
        <f t="shared" si="261"/>
        <v>2034</v>
      </c>
      <c r="AA184" s="111">
        <f t="shared" si="261"/>
        <v>2035</v>
      </c>
      <c r="AB184" s="111">
        <f t="shared" si="261"/>
        <v>2036</v>
      </c>
      <c r="AC184" s="111">
        <f t="shared" si="261"/>
        <v>2037</v>
      </c>
      <c r="AD184" s="111">
        <f t="shared" si="261"/>
        <v>2038</v>
      </c>
      <c r="AE184" s="111">
        <f>AE2</f>
        <v>2039</v>
      </c>
      <c r="AF184" s="111">
        <f>AF2</f>
        <v>2040</v>
      </c>
      <c r="AG184" s="111">
        <f>AG2</f>
        <v>2041</v>
      </c>
      <c r="AH184" s="111">
        <f t="shared" ref="AH184:AO184" si="262">AH2</f>
        <v>2042</v>
      </c>
      <c r="AI184" s="111">
        <f t="shared" si="262"/>
        <v>2043</v>
      </c>
      <c r="AJ184" s="111">
        <f t="shared" si="262"/>
        <v>2044</v>
      </c>
      <c r="AK184" s="111">
        <f t="shared" si="262"/>
        <v>2045</v>
      </c>
      <c r="AL184" s="111">
        <f t="shared" si="262"/>
        <v>2046</v>
      </c>
      <c r="AM184" s="111">
        <f t="shared" si="262"/>
        <v>2047</v>
      </c>
      <c r="AN184" s="111">
        <f t="shared" si="262"/>
        <v>2048</v>
      </c>
      <c r="AO184" s="111">
        <f t="shared" si="262"/>
        <v>2049</v>
      </c>
      <c r="AP184" s="111">
        <f>AP2</f>
        <v>2050</v>
      </c>
      <c r="AQ184" s="111">
        <f>AQ2</f>
        <v>2051</v>
      </c>
      <c r="AR184" s="94"/>
      <c r="AS184" s="94"/>
      <c r="AT184" s="94"/>
      <c r="AU184" s="94"/>
      <c r="AV184" s="94"/>
      <c r="AW184" s="94"/>
      <c r="AX184" s="94"/>
      <c r="AY184" s="94"/>
      <c r="AZ184" s="94"/>
      <c r="BA184" s="94"/>
      <c r="BB184" s="94"/>
      <c r="BC184" s="94"/>
      <c r="BD184" s="94"/>
      <c r="BR184" s="117"/>
    </row>
    <row r="185" spans="1:72">
      <c r="A185" s="2" t="s">
        <v>43</v>
      </c>
      <c r="B185" s="3">
        <f t="shared" ref="B185:AQ191" si="263">B201+B217</f>
        <v>0</v>
      </c>
      <c r="C185" s="3">
        <f t="shared" si="263"/>
        <v>0</v>
      </c>
      <c r="D185" s="3">
        <f t="shared" si="263"/>
        <v>0</v>
      </c>
      <c r="E185" s="3">
        <f t="shared" si="263"/>
        <v>0</v>
      </c>
      <c r="F185" s="3">
        <f t="shared" si="263"/>
        <v>29445</v>
      </c>
      <c r="G185" s="3">
        <f t="shared" si="263"/>
        <v>0</v>
      </c>
      <c r="H185" s="3">
        <f t="shared" si="263"/>
        <v>0</v>
      </c>
      <c r="I185" s="3">
        <f t="shared" si="263"/>
        <v>0</v>
      </c>
      <c r="J185" s="3">
        <f t="shared" si="263"/>
        <v>0</v>
      </c>
      <c r="K185" s="3">
        <f t="shared" si="263"/>
        <v>0</v>
      </c>
      <c r="L185" s="3">
        <f t="shared" si="263"/>
        <v>0</v>
      </c>
      <c r="M185" s="3">
        <f t="shared" si="263"/>
        <v>0</v>
      </c>
      <c r="N185" s="3">
        <f t="shared" si="263"/>
        <v>0</v>
      </c>
      <c r="O185" s="3">
        <f t="shared" si="263"/>
        <v>0</v>
      </c>
      <c r="P185" s="3">
        <f t="shared" si="263"/>
        <v>0</v>
      </c>
      <c r="Q185" s="3">
        <f t="shared" si="263"/>
        <v>0</v>
      </c>
      <c r="R185" s="4">
        <f t="shared" si="263"/>
        <v>0</v>
      </c>
      <c r="S185" s="4">
        <f t="shared" si="263"/>
        <v>0</v>
      </c>
      <c r="T185" s="4">
        <f t="shared" si="263"/>
        <v>0</v>
      </c>
      <c r="U185" s="4">
        <f t="shared" si="263"/>
        <v>0</v>
      </c>
      <c r="V185" s="4">
        <f t="shared" si="263"/>
        <v>0</v>
      </c>
      <c r="W185" s="4">
        <f t="shared" si="263"/>
        <v>0</v>
      </c>
      <c r="X185" s="4">
        <f t="shared" si="263"/>
        <v>0</v>
      </c>
      <c r="Y185" s="4">
        <f t="shared" si="263"/>
        <v>0</v>
      </c>
      <c r="Z185" s="4">
        <f t="shared" si="263"/>
        <v>0</v>
      </c>
      <c r="AA185" s="4">
        <f t="shared" si="263"/>
        <v>0</v>
      </c>
      <c r="AB185" s="4">
        <f t="shared" si="263"/>
        <v>0</v>
      </c>
      <c r="AC185" s="4">
        <f t="shared" si="263"/>
        <v>0</v>
      </c>
      <c r="AD185" s="4">
        <f t="shared" si="263"/>
        <v>0</v>
      </c>
      <c r="AE185" s="4">
        <f t="shared" si="263"/>
        <v>0</v>
      </c>
      <c r="AF185" s="4">
        <f t="shared" si="263"/>
        <v>0</v>
      </c>
      <c r="AG185" s="4">
        <f t="shared" si="263"/>
        <v>0</v>
      </c>
      <c r="AH185" s="4">
        <f t="shared" si="263"/>
        <v>2</v>
      </c>
      <c r="AI185" s="4">
        <f t="shared" si="263"/>
        <v>4</v>
      </c>
      <c r="AJ185" s="4">
        <f t="shared" si="263"/>
        <v>6</v>
      </c>
      <c r="AK185" s="4">
        <f t="shared" si="263"/>
        <v>8</v>
      </c>
      <c r="AL185" s="4">
        <f t="shared" si="263"/>
        <v>10</v>
      </c>
      <c r="AM185" s="4">
        <f t="shared" si="263"/>
        <v>12</v>
      </c>
      <c r="AN185" s="4">
        <f t="shared" si="263"/>
        <v>14</v>
      </c>
      <c r="AO185" s="4">
        <f t="shared" si="263"/>
        <v>16</v>
      </c>
      <c r="AP185" s="4">
        <f t="shared" si="263"/>
        <v>18</v>
      </c>
      <c r="AQ185" s="4">
        <f t="shared" si="263"/>
        <v>20</v>
      </c>
      <c r="AR185" s="4"/>
      <c r="AS185" s="4"/>
      <c r="AT185" s="4"/>
      <c r="AU185" s="4"/>
      <c r="AV185" s="4"/>
      <c r="AW185" s="4"/>
      <c r="AX185" s="4"/>
      <c r="AY185" s="4"/>
      <c r="AZ185" s="4"/>
      <c r="BA185" s="4"/>
      <c r="BB185" s="4"/>
      <c r="BC185" s="4"/>
      <c r="BD185" s="4"/>
      <c r="BI185" s="3">
        <v>0</v>
      </c>
      <c r="BJ185" s="3">
        <f t="shared" ref="BJ185:BJ197" si="264">L185-BI185</f>
        <v>0</v>
      </c>
      <c r="BK185" s="3">
        <v>0</v>
      </c>
      <c r="BL185" s="3">
        <f t="shared" ref="BL185:BL197" si="265">M185-BK185</f>
        <v>0</v>
      </c>
      <c r="BM185" s="3">
        <v>0</v>
      </c>
      <c r="BN185" s="3">
        <f t="shared" ref="BN185:BN197" si="266">N185-BM185</f>
        <v>0</v>
      </c>
      <c r="BO185" s="3">
        <v>0</v>
      </c>
      <c r="BP185" s="3">
        <f t="shared" ref="BP185:BP197" si="267">O185-BO185</f>
        <v>0</v>
      </c>
      <c r="BQ185" s="3">
        <v>0</v>
      </c>
      <c r="BR185" s="18">
        <f t="shared" ref="BR185:BR197" si="268">P185-BQ185</f>
        <v>0</v>
      </c>
      <c r="BS185" s="3">
        <v>0</v>
      </c>
      <c r="BT185" s="18">
        <f>Q185-BS185</f>
        <v>0</v>
      </c>
    </row>
    <row r="186" spans="1:72">
      <c r="A186" s="2" t="s">
        <v>44</v>
      </c>
      <c r="B186" s="3">
        <f t="shared" si="263"/>
        <v>0</v>
      </c>
      <c r="C186" s="3">
        <f t="shared" si="263"/>
        <v>0</v>
      </c>
      <c r="D186" s="3">
        <f t="shared" si="263"/>
        <v>0</v>
      </c>
      <c r="E186" s="3">
        <f t="shared" si="263"/>
        <v>0</v>
      </c>
      <c r="F186" s="3">
        <f t="shared" si="263"/>
        <v>0</v>
      </c>
      <c r="G186" s="3">
        <f t="shared" si="263"/>
        <v>0</v>
      </c>
      <c r="H186" s="3">
        <f t="shared" si="263"/>
        <v>0</v>
      </c>
      <c r="I186" s="3">
        <f t="shared" si="263"/>
        <v>0</v>
      </c>
      <c r="J186" s="3">
        <f t="shared" si="263"/>
        <v>0</v>
      </c>
      <c r="K186" s="3">
        <f t="shared" si="263"/>
        <v>0</v>
      </c>
      <c r="L186" s="3">
        <f t="shared" si="263"/>
        <v>0</v>
      </c>
      <c r="M186" s="3">
        <f t="shared" si="263"/>
        <v>0</v>
      </c>
      <c r="N186" s="3">
        <f t="shared" si="263"/>
        <v>0</v>
      </c>
      <c r="O186" s="3">
        <f t="shared" si="263"/>
        <v>0</v>
      </c>
      <c r="P186" s="3">
        <f t="shared" si="263"/>
        <v>0</v>
      </c>
      <c r="Q186" s="3">
        <f>'Monthly D3 Gallon Data'!$L201</f>
        <v>0</v>
      </c>
      <c r="R186" s="4">
        <f t="shared" si="263"/>
        <v>0</v>
      </c>
      <c r="S186" s="4">
        <f t="shared" si="263"/>
        <v>0</v>
      </c>
      <c r="T186" s="4">
        <f t="shared" si="263"/>
        <v>0</v>
      </c>
      <c r="U186" s="4">
        <f t="shared" si="263"/>
        <v>0</v>
      </c>
      <c r="V186" s="4">
        <f t="shared" si="263"/>
        <v>0</v>
      </c>
      <c r="W186" s="4">
        <f t="shared" si="263"/>
        <v>0</v>
      </c>
      <c r="X186" s="4">
        <f t="shared" si="263"/>
        <v>0</v>
      </c>
      <c r="Y186" s="4">
        <f t="shared" si="263"/>
        <v>0</v>
      </c>
      <c r="Z186" s="4">
        <f t="shared" si="263"/>
        <v>0</v>
      </c>
      <c r="AA186" s="4">
        <f t="shared" si="263"/>
        <v>0</v>
      </c>
      <c r="AB186" s="4">
        <f t="shared" si="263"/>
        <v>0</v>
      </c>
      <c r="AC186" s="4">
        <f t="shared" si="263"/>
        <v>0</v>
      </c>
      <c r="AD186" s="4">
        <f t="shared" si="263"/>
        <v>0</v>
      </c>
      <c r="AE186" s="4">
        <f t="shared" si="263"/>
        <v>0</v>
      </c>
      <c r="AF186" s="4">
        <f t="shared" si="263"/>
        <v>0</v>
      </c>
      <c r="AG186" s="4">
        <f t="shared" si="263"/>
        <v>0</v>
      </c>
      <c r="AH186" s="4">
        <f t="shared" si="263"/>
        <v>2</v>
      </c>
      <c r="AI186" s="4">
        <f t="shared" si="263"/>
        <v>4</v>
      </c>
      <c r="AJ186" s="4">
        <f t="shared" si="263"/>
        <v>6</v>
      </c>
      <c r="AK186" s="4">
        <f t="shared" si="263"/>
        <v>8</v>
      </c>
      <c r="AL186" s="4">
        <f t="shared" si="263"/>
        <v>10</v>
      </c>
      <c r="AM186" s="4">
        <f t="shared" si="263"/>
        <v>12</v>
      </c>
      <c r="AN186" s="4">
        <f t="shared" si="263"/>
        <v>14</v>
      </c>
      <c r="AO186" s="4">
        <f t="shared" si="263"/>
        <v>16</v>
      </c>
      <c r="AP186" s="4">
        <f t="shared" si="263"/>
        <v>18</v>
      </c>
      <c r="AQ186" s="4">
        <f t="shared" si="263"/>
        <v>20</v>
      </c>
      <c r="AR186" s="4"/>
      <c r="AS186" s="4"/>
      <c r="AT186" s="4"/>
      <c r="AU186" s="4"/>
      <c r="AV186" s="4"/>
      <c r="AW186" s="4"/>
      <c r="AX186" s="4"/>
      <c r="AY186" s="4"/>
      <c r="AZ186" s="4"/>
      <c r="BA186" s="4"/>
      <c r="BB186" s="4"/>
      <c r="BC186" s="4"/>
      <c r="BD186" s="4"/>
      <c r="BI186" s="3">
        <v>0</v>
      </c>
      <c r="BJ186" s="3">
        <f t="shared" si="264"/>
        <v>0</v>
      </c>
      <c r="BK186" s="3">
        <v>0</v>
      </c>
      <c r="BL186" s="3">
        <f t="shared" si="265"/>
        <v>0</v>
      </c>
      <c r="BM186" s="3">
        <v>0</v>
      </c>
      <c r="BN186" s="3">
        <f t="shared" si="266"/>
        <v>0</v>
      </c>
      <c r="BO186" s="3">
        <v>0</v>
      </c>
      <c r="BP186" s="3">
        <f t="shared" si="267"/>
        <v>0</v>
      </c>
      <c r="BQ186" s="3">
        <v>0</v>
      </c>
      <c r="BR186" s="18">
        <f t="shared" si="268"/>
        <v>0</v>
      </c>
      <c r="BS186" s="3">
        <v>0</v>
      </c>
      <c r="BT186" s="18">
        <f t="shared" ref="BT186:BT197" si="269">Q186-BS186</f>
        <v>0</v>
      </c>
    </row>
    <row r="187" spans="1:72">
      <c r="A187" s="2" t="s">
        <v>45</v>
      </c>
      <c r="B187" s="3">
        <f t="shared" si="263"/>
        <v>0</v>
      </c>
      <c r="C187" s="3">
        <f t="shared" si="263"/>
        <v>0</v>
      </c>
      <c r="D187" s="3">
        <f t="shared" si="263"/>
        <v>0</v>
      </c>
      <c r="E187" s="3">
        <f t="shared" si="263"/>
        <v>0</v>
      </c>
      <c r="F187" s="3">
        <f t="shared" si="263"/>
        <v>0</v>
      </c>
      <c r="G187" s="3">
        <f t="shared" si="263"/>
        <v>0</v>
      </c>
      <c r="H187" s="3">
        <f t="shared" si="263"/>
        <v>0</v>
      </c>
      <c r="I187" s="3">
        <f t="shared" si="263"/>
        <v>0</v>
      </c>
      <c r="J187" s="3">
        <f t="shared" si="263"/>
        <v>0</v>
      </c>
      <c r="K187" s="3">
        <f t="shared" si="263"/>
        <v>0</v>
      </c>
      <c r="L187" s="3">
        <f t="shared" si="263"/>
        <v>0</v>
      </c>
      <c r="M187" s="3">
        <f t="shared" si="263"/>
        <v>0</v>
      </c>
      <c r="N187" s="3">
        <f t="shared" si="263"/>
        <v>0</v>
      </c>
      <c r="O187" s="3">
        <f t="shared" si="263"/>
        <v>0</v>
      </c>
      <c r="P187" s="3">
        <f t="shared" si="263"/>
        <v>0</v>
      </c>
      <c r="Q187" s="4">
        <f t="shared" si="263"/>
        <v>0</v>
      </c>
      <c r="R187" s="4">
        <f t="shared" si="263"/>
        <v>0</v>
      </c>
      <c r="S187" s="4">
        <f t="shared" si="263"/>
        <v>0</v>
      </c>
      <c r="T187" s="4">
        <f t="shared" si="263"/>
        <v>0</v>
      </c>
      <c r="U187" s="4">
        <f t="shared" si="263"/>
        <v>0</v>
      </c>
      <c r="V187" s="4">
        <f t="shared" si="263"/>
        <v>0</v>
      </c>
      <c r="W187" s="4">
        <f t="shared" si="263"/>
        <v>0</v>
      </c>
      <c r="X187" s="4">
        <f t="shared" si="263"/>
        <v>0</v>
      </c>
      <c r="Y187" s="4">
        <f t="shared" si="263"/>
        <v>0</v>
      </c>
      <c r="Z187" s="4">
        <f t="shared" si="263"/>
        <v>0</v>
      </c>
      <c r="AA187" s="4">
        <f t="shared" si="263"/>
        <v>0</v>
      </c>
      <c r="AB187" s="4">
        <f t="shared" si="263"/>
        <v>0</v>
      </c>
      <c r="AC187" s="4">
        <f t="shared" si="263"/>
        <v>0</v>
      </c>
      <c r="AD187" s="4">
        <f t="shared" si="263"/>
        <v>0</v>
      </c>
      <c r="AE187" s="4">
        <f t="shared" si="263"/>
        <v>0</v>
      </c>
      <c r="AF187" s="4">
        <f t="shared" si="263"/>
        <v>0</v>
      </c>
      <c r="AG187" s="4">
        <f t="shared" si="263"/>
        <v>0</v>
      </c>
      <c r="AH187" s="4">
        <f t="shared" si="263"/>
        <v>2</v>
      </c>
      <c r="AI187" s="4">
        <f t="shared" si="263"/>
        <v>4</v>
      </c>
      <c r="AJ187" s="4">
        <f t="shared" si="263"/>
        <v>6</v>
      </c>
      <c r="AK187" s="4">
        <f t="shared" si="263"/>
        <v>8</v>
      </c>
      <c r="AL187" s="4">
        <f t="shared" si="263"/>
        <v>10</v>
      </c>
      <c r="AM187" s="4">
        <f t="shared" si="263"/>
        <v>12</v>
      </c>
      <c r="AN187" s="4">
        <f t="shared" si="263"/>
        <v>14</v>
      </c>
      <c r="AO187" s="4">
        <f t="shared" si="263"/>
        <v>16</v>
      </c>
      <c r="AP187" s="4">
        <f t="shared" si="263"/>
        <v>18</v>
      </c>
      <c r="AQ187" s="4">
        <f t="shared" si="263"/>
        <v>20</v>
      </c>
      <c r="AR187" s="4"/>
      <c r="AS187" s="4"/>
      <c r="AT187" s="4"/>
      <c r="AU187" s="4"/>
      <c r="AV187" s="4"/>
      <c r="AW187" s="4"/>
      <c r="AX187" s="4"/>
      <c r="AY187" s="4"/>
      <c r="AZ187" s="4"/>
      <c r="BA187" s="4"/>
      <c r="BB187" s="4"/>
      <c r="BC187" s="4"/>
      <c r="BD187" s="4"/>
      <c r="BI187" s="3">
        <v>0</v>
      </c>
      <c r="BJ187" s="3">
        <f t="shared" si="264"/>
        <v>0</v>
      </c>
      <c r="BK187" s="3">
        <v>0</v>
      </c>
      <c r="BL187" s="3">
        <f t="shared" si="265"/>
        <v>0</v>
      </c>
      <c r="BM187" s="3">
        <v>0</v>
      </c>
      <c r="BN187" s="3">
        <f t="shared" si="266"/>
        <v>0</v>
      </c>
      <c r="BO187" s="3">
        <v>0</v>
      </c>
      <c r="BP187" s="3">
        <f t="shared" si="267"/>
        <v>0</v>
      </c>
      <c r="BQ187" s="4">
        <v>0</v>
      </c>
      <c r="BR187" s="18">
        <f t="shared" si="268"/>
        <v>0</v>
      </c>
      <c r="BS187" s="4">
        <v>0</v>
      </c>
      <c r="BT187" s="18">
        <f t="shared" si="269"/>
        <v>0</v>
      </c>
    </row>
    <row r="188" spans="1:72">
      <c r="A188" s="2" t="s">
        <v>46</v>
      </c>
      <c r="B188" s="3">
        <f t="shared" si="263"/>
        <v>0</v>
      </c>
      <c r="C188" s="3">
        <f t="shared" si="263"/>
        <v>0</v>
      </c>
      <c r="D188" s="3">
        <f t="shared" si="263"/>
        <v>0</v>
      </c>
      <c r="E188" s="3">
        <f t="shared" si="263"/>
        <v>0</v>
      </c>
      <c r="F188" s="3">
        <f t="shared" si="263"/>
        <v>0</v>
      </c>
      <c r="G188" s="3">
        <f t="shared" si="263"/>
        <v>0</v>
      </c>
      <c r="H188" s="3">
        <f t="shared" si="263"/>
        <v>0</v>
      </c>
      <c r="I188" s="3">
        <f t="shared" si="263"/>
        <v>0</v>
      </c>
      <c r="J188" s="3">
        <f t="shared" si="263"/>
        <v>0</v>
      </c>
      <c r="K188" s="3">
        <f t="shared" si="263"/>
        <v>0</v>
      </c>
      <c r="L188" s="3">
        <f t="shared" si="263"/>
        <v>0</v>
      </c>
      <c r="M188" s="3">
        <f t="shared" si="263"/>
        <v>0</v>
      </c>
      <c r="N188" s="3">
        <f t="shared" si="263"/>
        <v>0</v>
      </c>
      <c r="O188" s="3">
        <f t="shared" si="263"/>
        <v>0</v>
      </c>
      <c r="P188" s="3">
        <f t="shared" si="263"/>
        <v>0</v>
      </c>
      <c r="Q188" s="4">
        <f t="shared" si="263"/>
        <v>0</v>
      </c>
      <c r="R188" s="4">
        <f t="shared" si="263"/>
        <v>0</v>
      </c>
      <c r="S188" s="4">
        <f t="shared" si="263"/>
        <v>0</v>
      </c>
      <c r="T188" s="4">
        <f t="shared" si="263"/>
        <v>0</v>
      </c>
      <c r="U188" s="4">
        <f t="shared" si="263"/>
        <v>0</v>
      </c>
      <c r="V188" s="4">
        <f t="shared" si="263"/>
        <v>0</v>
      </c>
      <c r="W188" s="4">
        <f t="shared" si="263"/>
        <v>0</v>
      </c>
      <c r="X188" s="4">
        <f t="shared" si="263"/>
        <v>0</v>
      </c>
      <c r="Y188" s="4">
        <f t="shared" si="263"/>
        <v>0</v>
      </c>
      <c r="Z188" s="4">
        <f t="shared" si="263"/>
        <v>0</v>
      </c>
      <c r="AA188" s="4">
        <f t="shared" si="263"/>
        <v>0</v>
      </c>
      <c r="AB188" s="4">
        <f t="shared" si="263"/>
        <v>0</v>
      </c>
      <c r="AC188" s="4">
        <f t="shared" si="263"/>
        <v>0</v>
      </c>
      <c r="AD188" s="4">
        <f t="shared" si="263"/>
        <v>0</v>
      </c>
      <c r="AE188" s="4">
        <f t="shared" si="263"/>
        <v>0</v>
      </c>
      <c r="AF188" s="4">
        <f t="shared" si="263"/>
        <v>0</v>
      </c>
      <c r="AG188" s="4">
        <f t="shared" si="263"/>
        <v>0</v>
      </c>
      <c r="AH188" s="4">
        <f t="shared" si="263"/>
        <v>2</v>
      </c>
      <c r="AI188" s="4">
        <f t="shared" si="263"/>
        <v>4</v>
      </c>
      <c r="AJ188" s="4">
        <f t="shared" si="263"/>
        <v>6</v>
      </c>
      <c r="AK188" s="4">
        <f t="shared" si="263"/>
        <v>8</v>
      </c>
      <c r="AL188" s="4">
        <f t="shared" si="263"/>
        <v>10</v>
      </c>
      <c r="AM188" s="4">
        <f t="shared" si="263"/>
        <v>12</v>
      </c>
      <c r="AN188" s="4">
        <f t="shared" si="263"/>
        <v>14</v>
      </c>
      <c r="AO188" s="4">
        <f t="shared" si="263"/>
        <v>16</v>
      </c>
      <c r="AP188" s="4">
        <f t="shared" si="263"/>
        <v>18</v>
      </c>
      <c r="AQ188" s="4">
        <f t="shared" si="263"/>
        <v>20</v>
      </c>
      <c r="AR188" s="4"/>
      <c r="AS188" s="4"/>
      <c r="AT188" s="4"/>
      <c r="AU188" s="4"/>
      <c r="AV188" s="4"/>
      <c r="AW188" s="4"/>
      <c r="AX188" s="4"/>
      <c r="AY188" s="4"/>
      <c r="AZ188" s="4"/>
      <c r="BA188" s="4"/>
      <c r="BB188" s="4"/>
      <c r="BC188" s="4"/>
      <c r="BD188" s="4"/>
      <c r="BI188" s="3">
        <v>0</v>
      </c>
      <c r="BJ188" s="3">
        <f t="shared" si="264"/>
        <v>0</v>
      </c>
      <c r="BK188" s="3">
        <v>0</v>
      </c>
      <c r="BL188" s="3">
        <f t="shared" si="265"/>
        <v>0</v>
      </c>
      <c r="BM188" s="3">
        <v>0</v>
      </c>
      <c r="BN188" s="3">
        <f t="shared" si="266"/>
        <v>0</v>
      </c>
      <c r="BO188" s="3">
        <v>0</v>
      </c>
      <c r="BP188" s="3">
        <f t="shared" si="267"/>
        <v>0</v>
      </c>
      <c r="BQ188" s="4">
        <v>0</v>
      </c>
      <c r="BR188" s="18">
        <f t="shared" si="268"/>
        <v>0</v>
      </c>
      <c r="BS188" s="4">
        <v>0</v>
      </c>
      <c r="BT188" s="18">
        <f t="shared" si="269"/>
        <v>0</v>
      </c>
    </row>
    <row r="189" spans="1:72">
      <c r="A189" s="2" t="s">
        <v>47</v>
      </c>
      <c r="B189" s="3">
        <f t="shared" si="263"/>
        <v>0</v>
      </c>
      <c r="C189" s="3">
        <f t="shared" si="263"/>
        <v>0</v>
      </c>
      <c r="D189" s="3">
        <f t="shared" si="263"/>
        <v>0</v>
      </c>
      <c r="E189" s="3">
        <f t="shared" si="263"/>
        <v>0</v>
      </c>
      <c r="F189" s="3">
        <f t="shared" si="263"/>
        <v>0</v>
      </c>
      <c r="G189" s="3">
        <f t="shared" si="263"/>
        <v>0</v>
      </c>
      <c r="H189" s="3">
        <f t="shared" si="263"/>
        <v>0</v>
      </c>
      <c r="I189" s="3">
        <f t="shared" si="263"/>
        <v>0</v>
      </c>
      <c r="J189" s="3">
        <f t="shared" si="263"/>
        <v>0</v>
      </c>
      <c r="K189" s="3">
        <f t="shared" si="263"/>
        <v>0</v>
      </c>
      <c r="L189" s="3">
        <f t="shared" si="263"/>
        <v>0</v>
      </c>
      <c r="M189" s="3">
        <f t="shared" si="263"/>
        <v>0</v>
      </c>
      <c r="N189" s="3">
        <f t="shared" si="263"/>
        <v>0</v>
      </c>
      <c r="O189" s="3">
        <f t="shared" si="263"/>
        <v>0</v>
      </c>
      <c r="P189" s="3">
        <f t="shared" si="263"/>
        <v>0</v>
      </c>
      <c r="Q189" s="4">
        <f t="shared" si="263"/>
        <v>0</v>
      </c>
      <c r="R189" s="4">
        <f t="shared" si="263"/>
        <v>0</v>
      </c>
      <c r="S189" s="4">
        <f t="shared" si="263"/>
        <v>0</v>
      </c>
      <c r="T189" s="4">
        <f t="shared" si="263"/>
        <v>0</v>
      </c>
      <c r="U189" s="4">
        <f t="shared" si="263"/>
        <v>0</v>
      </c>
      <c r="V189" s="4">
        <f t="shared" si="263"/>
        <v>0</v>
      </c>
      <c r="W189" s="4">
        <f t="shared" si="263"/>
        <v>0</v>
      </c>
      <c r="X189" s="4">
        <f t="shared" si="263"/>
        <v>0</v>
      </c>
      <c r="Y189" s="4">
        <f t="shared" si="263"/>
        <v>0</v>
      </c>
      <c r="Z189" s="4">
        <f t="shared" si="263"/>
        <v>0</v>
      </c>
      <c r="AA189" s="4">
        <f t="shared" si="263"/>
        <v>0</v>
      </c>
      <c r="AB189" s="4">
        <f t="shared" si="263"/>
        <v>0</v>
      </c>
      <c r="AC189" s="4">
        <f t="shared" si="263"/>
        <v>0</v>
      </c>
      <c r="AD189" s="4">
        <f t="shared" si="263"/>
        <v>0</v>
      </c>
      <c r="AE189" s="4">
        <f t="shared" si="263"/>
        <v>0</v>
      </c>
      <c r="AF189" s="4">
        <f t="shared" si="263"/>
        <v>0</v>
      </c>
      <c r="AG189" s="4">
        <f t="shared" si="263"/>
        <v>0</v>
      </c>
      <c r="AH189" s="4">
        <f t="shared" si="263"/>
        <v>2</v>
      </c>
      <c r="AI189" s="4">
        <f t="shared" si="263"/>
        <v>4</v>
      </c>
      <c r="AJ189" s="4">
        <f t="shared" si="263"/>
        <v>6</v>
      </c>
      <c r="AK189" s="4">
        <f t="shared" si="263"/>
        <v>8</v>
      </c>
      <c r="AL189" s="4">
        <f t="shared" si="263"/>
        <v>10</v>
      </c>
      <c r="AM189" s="4">
        <f t="shared" si="263"/>
        <v>12</v>
      </c>
      <c r="AN189" s="4">
        <f t="shared" si="263"/>
        <v>14</v>
      </c>
      <c r="AO189" s="4">
        <f t="shared" si="263"/>
        <v>16</v>
      </c>
      <c r="AP189" s="4">
        <f t="shared" si="263"/>
        <v>18</v>
      </c>
      <c r="AQ189" s="4">
        <f t="shared" si="263"/>
        <v>20</v>
      </c>
      <c r="AR189" s="4"/>
      <c r="AS189" s="4"/>
      <c r="AT189" s="4"/>
      <c r="AU189" s="4"/>
      <c r="AV189" s="4"/>
      <c r="AW189" s="4"/>
      <c r="AX189" s="4"/>
      <c r="AY189" s="4"/>
      <c r="AZ189" s="4"/>
      <c r="BA189" s="4"/>
      <c r="BB189" s="4"/>
      <c r="BC189" s="4"/>
      <c r="BD189" s="4"/>
      <c r="BI189" s="3">
        <v>0</v>
      </c>
      <c r="BJ189" s="3">
        <f t="shared" si="264"/>
        <v>0</v>
      </c>
      <c r="BK189" s="3">
        <v>0</v>
      </c>
      <c r="BL189" s="3">
        <f t="shared" si="265"/>
        <v>0</v>
      </c>
      <c r="BM189" s="3">
        <v>0</v>
      </c>
      <c r="BN189" s="3">
        <f t="shared" si="266"/>
        <v>0</v>
      </c>
      <c r="BO189" s="3">
        <v>0</v>
      </c>
      <c r="BP189" s="3">
        <f t="shared" si="267"/>
        <v>0</v>
      </c>
      <c r="BQ189" s="4">
        <v>0</v>
      </c>
      <c r="BR189" s="18">
        <f t="shared" si="268"/>
        <v>0</v>
      </c>
      <c r="BS189" s="4">
        <v>0</v>
      </c>
      <c r="BT189" s="18">
        <f t="shared" si="269"/>
        <v>0</v>
      </c>
    </row>
    <row r="190" spans="1:72">
      <c r="A190" s="2" t="s">
        <v>48</v>
      </c>
      <c r="B190" s="3">
        <f t="shared" si="263"/>
        <v>0</v>
      </c>
      <c r="C190" s="3">
        <f t="shared" si="263"/>
        <v>0</v>
      </c>
      <c r="D190" s="3">
        <f t="shared" si="263"/>
        <v>0</v>
      </c>
      <c r="E190" s="3">
        <f t="shared" si="263"/>
        <v>56385</v>
      </c>
      <c r="F190" s="3">
        <f t="shared" si="263"/>
        <v>0</v>
      </c>
      <c r="G190" s="3">
        <f t="shared" si="263"/>
        <v>0</v>
      </c>
      <c r="H190" s="3">
        <f t="shared" si="263"/>
        <v>0</v>
      </c>
      <c r="I190" s="3">
        <f t="shared" si="263"/>
        <v>0</v>
      </c>
      <c r="J190" s="3">
        <f t="shared" si="263"/>
        <v>0</v>
      </c>
      <c r="K190" s="3">
        <f t="shared" si="263"/>
        <v>0</v>
      </c>
      <c r="L190" s="3">
        <f t="shared" si="263"/>
        <v>0</v>
      </c>
      <c r="M190" s="3">
        <f t="shared" si="263"/>
        <v>0</v>
      </c>
      <c r="N190" s="3">
        <f t="shared" si="263"/>
        <v>0</v>
      </c>
      <c r="O190" s="3">
        <f t="shared" si="263"/>
        <v>0</v>
      </c>
      <c r="P190" s="3">
        <f t="shared" si="263"/>
        <v>0</v>
      </c>
      <c r="Q190" s="4">
        <f t="shared" si="263"/>
        <v>0</v>
      </c>
      <c r="R190" s="4">
        <f t="shared" si="263"/>
        <v>0</v>
      </c>
      <c r="S190" s="4">
        <f t="shared" si="263"/>
        <v>0</v>
      </c>
      <c r="T190" s="4">
        <f t="shared" si="263"/>
        <v>0</v>
      </c>
      <c r="U190" s="4">
        <f t="shared" si="263"/>
        <v>0</v>
      </c>
      <c r="V190" s="4">
        <f t="shared" si="263"/>
        <v>0</v>
      </c>
      <c r="W190" s="4">
        <f t="shared" si="263"/>
        <v>0</v>
      </c>
      <c r="X190" s="4">
        <f t="shared" si="263"/>
        <v>0</v>
      </c>
      <c r="Y190" s="4">
        <f t="shared" si="263"/>
        <v>0</v>
      </c>
      <c r="Z190" s="4">
        <f t="shared" si="263"/>
        <v>0</v>
      </c>
      <c r="AA190" s="4">
        <f t="shared" si="263"/>
        <v>0</v>
      </c>
      <c r="AB190" s="4">
        <f t="shared" si="263"/>
        <v>0</v>
      </c>
      <c r="AC190" s="4">
        <f t="shared" si="263"/>
        <v>0</v>
      </c>
      <c r="AD190" s="4">
        <f t="shared" si="263"/>
        <v>0</v>
      </c>
      <c r="AE190" s="4">
        <f t="shared" si="263"/>
        <v>0</v>
      </c>
      <c r="AF190" s="4">
        <f t="shared" si="263"/>
        <v>0</v>
      </c>
      <c r="AG190" s="4">
        <f t="shared" si="263"/>
        <v>0</v>
      </c>
      <c r="AH190" s="4">
        <f t="shared" si="263"/>
        <v>2</v>
      </c>
      <c r="AI190" s="4">
        <f t="shared" si="263"/>
        <v>4</v>
      </c>
      <c r="AJ190" s="4">
        <f t="shared" si="263"/>
        <v>6</v>
      </c>
      <c r="AK190" s="4">
        <f t="shared" si="263"/>
        <v>8</v>
      </c>
      <c r="AL190" s="4">
        <f t="shared" si="263"/>
        <v>10</v>
      </c>
      <c r="AM190" s="4">
        <f t="shared" si="263"/>
        <v>12</v>
      </c>
      <c r="AN190" s="4">
        <f t="shared" si="263"/>
        <v>14</v>
      </c>
      <c r="AO190" s="4">
        <f t="shared" si="263"/>
        <v>16</v>
      </c>
      <c r="AP190" s="4">
        <f t="shared" si="263"/>
        <v>18</v>
      </c>
      <c r="AQ190" s="4">
        <f t="shared" si="263"/>
        <v>20</v>
      </c>
      <c r="AR190" s="4"/>
      <c r="AS190" s="4"/>
      <c r="AT190" s="4"/>
      <c r="AU190" s="4"/>
      <c r="AV190" s="4"/>
      <c r="AW190" s="4"/>
      <c r="AX190" s="4"/>
      <c r="AY190" s="4"/>
      <c r="AZ190" s="4"/>
      <c r="BA190" s="4"/>
      <c r="BB190" s="4"/>
      <c r="BC190" s="4"/>
      <c r="BD190" s="4"/>
      <c r="BI190" s="3">
        <v>0</v>
      </c>
      <c r="BJ190" s="3">
        <f t="shared" si="264"/>
        <v>0</v>
      </c>
      <c r="BK190" s="3">
        <v>0</v>
      </c>
      <c r="BL190" s="3">
        <f t="shared" si="265"/>
        <v>0</v>
      </c>
      <c r="BM190" s="3">
        <v>0</v>
      </c>
      <c r="BN190" s="3">
        <f t="shared" si="266"/>
        <v>0</v>
      </c>
      <c r="BO190" s="3">
        <v>0</v>
      </c>
      <c r="BP190" s="3">
        <f t="shared" si="267"/>
        <v>0</v>
      </c>
      <c r="BQ190" s="4">
        <v>0</v>
      </c>
      <c r="BR190" s="18">
        <f t="shared" si="268"/>
        <v>0</v>
      </c>
      <c r="BS190" s="4">
        <v>0</v>
      </c>
      <c r="BT190" s="18">
        <f t="shared" si="269"/>
        <v>0</v>
      </c>
    </row>
    <row r="191" spans="1:72">
      <c r="A191" s="2" t="s">
        <v>49</v>
      </c>
      <c r="B191" s="3">
        <f t="shared" si="263"/>
        <v>0</v>
      </c>
      <c r="C191" s="3">
        <f t="shared" si="263"/>
        <v>0</v>
      </c>
      <c r="D191" s="3">
        <f t="shared" si="263"/>
        <v>0</v>
      </c>
      <c r="E191" s="3">
        <f t="shared" si="263"/>
        <v>37639</v>
      </c>
      <c r="F191" s="3">
        <f t="shared" ref="B191:AQ196" si="270">F207+F223</f>
        <v>0</v>
      </c>
      <c r="G191" s="3">
        <f t="shared" si="270"/>
        <v>0</v>
      </c>
      <c r="H191" s="3">
        <f t="shared" si="270"/>
        <v>0</v>
      </c>
      <c r="I191" s="3">
        <f t="shared" si="270"/>
        <v>0</v>
      </c>
      <c r="J191" s="3">
        <f t="shared" si="270"/>
        <v>0</v>
      </c>
      <c r="K191" s="3">
        <f t="shared" si="270"/>
        <v>0</v>
      </c>
      <c r="L191" s="3">
        <f t="shared" si="270"/>
        <v>0</v>
      </c>
      <c r="M191" s="3">
        <f t="shared" si="270"/>
        <v>0</v>
      </c>
      <c r="N191" s="3">
        <f t="shared" si="270"/>
        <v>0</v>
      </c>
      <c r="O191" s="3">
        <f t="shared" si="270"/>
        <v>0</v>
      </c>
      <c r="P191" s="3">
        <f t="shared" si="270"/>
        <v>0</v>
      </c>
      <c r="Q191" s="4">
        <f t="shared" si="270"/>
        <v>0</v>
      </c>
      <c r="R191" s="4">
        <f t="shared" si="270"/>
        <v>0</v>
      </c>
      <c r="S191" s="4">
        <f t="shared" si="270"/>
        <v>0</v>
      </c>
      <c r="T191" s="4">
        <f t="shared" si="270"/>
        <v>0</v>
      </c>
      <c r="U191" s="4">
        <f t="shared" si="270"/>
        <v>0</v>
      </c>
      <c r="V191" s="4">
        <f t="shared" si="270"/>
        <v>0</v>
      </c>
      <c r="W191" s="4">
        <f t="shared" si="270"/>
        <v>0</v>
      </c>
      <c r="X191" s="4">
        <f t="shared" si="270"/>
        <v>0</v>
      </c>
      <c r="Y191" s="4">
        <f t="shared" si="270"/>
        <v>0</v>
      </c>
      <c r="Z191" s="4">
        <f t="shared" si="270"/>
        <v>0</v>
      </c>
      <c r="AA191" s="4">
        <f t="shared" si="270"/>
        <v>0</v>
      </c>
      <c r="AB191" s="4">
        <f t="shared" si="270"/>
        <v>0</v>
      </c>
      <c r="AC191" s="4">
        <f t="shared" si="270"/>
        <v>0</v>
      </c>
      <c r="AD191" s="4">
        <f t="shared" si="270"/>
        <v>0</v>
      </c>
      <c r="AE191" s="4">
        <f t="shared" si="270"/>
        <v>0</v>
      </c>
      <c r="AF191" s="4">
        <f t="shared" si="270"/>
        <v>0</v>
      </c>
      <c r="AG191" s="4">
        <f t="shared" si="270"/>
        <v>0</v>
      </c>
      <c r="AH191" s="4">
        <f t="shared" si="270"/>
        <v>2</v>
      </c>
      <c r="AI191" s="4">
        <f t="shared" si="270"/>
        <v>4</v>
      </c>
      <c r="AJ191" s="4">
        <f t="shared" si="270"/>
        <v>6</v>
      </c>
      <c r="AK191" s="4">
        <f t="shared" si="270"/>
        <v>8</v>
      </c>
      <c r="AL191" s="4">
        <f t="shared" si="270"/>
        <v>10</v>
      </c>
      <c r="AM191" s="4">
        <f t="shared" si="270"/>
        <v>12</v>
      </c>
      <c r="AN191" s="4">
        <f t="shared" si="270"/>
        <v>14</v>
      </c>
      <c r="AO191" s="4">
        <f t="shared" si="270"/>
        <v>16</v>
      </c>
      <c r="AP191" s="4">
        <f t="shared" si="270"/>
        <v>18</v>
      </c>
      <c r="AQ191" s="4">
        <f t="shared" si="270"/>
        <v>20</v>
      </c>
      <c r="AR191" s="4"/>
      <c r="AS191" s="4"/>
      <c r="AT191" s="4"/>
      <c r="AU191" s="4"/>
      <c r="AV191" s="4"/>
      <c r="AW191" s="4"/>
      <c r="AX191" s="4"/>
      <c r="AY191" s="4"/>
      <c r="AZ191" s="4"/>
      <c r="BA191" s="4"/>
      <c r="BB191" s="4"/>
      <c r="BC191" s="4"/>
      <c r="BD191" s="4"/>
      <c r="BG191" s="3">
        <v>0</v>
      </c>
      <c r="BH191" s="3">
        <f t="shared" ref="BH191:BH197" si="271">K191-BG191</f>
        <v>0</v>
      </c>
      <c r="BI191" s="3">
        <v>0</v>
      </c>
      <c r="BJ191" s="3">
        <f t="shared" si="264"/>
        <v>0</v>
      </c>
      <c r="BK191" s="3">
        <v>0</v>
      </c>
      <c r="BL191" s="3">
        <f t="shared" si="265"/>
        <v>0</v>
      </c>
      <c r="BM191" s="3">
        <v>0</v>
      </c>
      <c r="BN191" s="3">
        <f t="shared" si="266"/>
        <v>0</v>
      </c>
      <c r="BO191" s="3">
        <v>0</v>
      </c>
      <c r="BP191" s="3">
        <f t="shared" si="267"/>
        <v>0</v>
      </c>
      <c r="BQ191" s="4">
        <v>0</v>
      </c>
      <c r="BR191" s="18">
        <f t="shared" si="268"/>
        <v>0</v>
      </c>
      <c r="BS191" s="4">
        <v>0</v>
      </c>
      <c r="BT191" s="18">
        <f t="shared" si="269"/>
        <v>0</v>
      </c>
    </row>
    <row r="192" spans="1:72">
      <c r="A192" s="2" t="s">
        <v>50</v>
      </c>
      <c r="B192" s="3">
        <f t="shared" si="270"/>
        <v>0</v>
      </c>
      <c r="C192" s="3">
        <f t="shared" si="270"/>
        <v>0</v>
      </c>
      <c r="D192" s="3">
        <f t="shared" si="270"/>
        <v>0</v>
      </c>
      <c r="E192" s="3">
        <f t="shared" si="270"/>
        <v>0</v>
      </c>
      <c r="F192" s="3">
        <f t="shared" si="270"/>
        <v>0</v>
      </c>
      <c r="G192" s="3">
        <f t="shared" si="270"/>
        <v>0</v>
      </c>
      <c r="H192" s="3">
        <f t="shared" si="270"/>
        <v>0</v>
      </c>
      <c r="I192" s="3">
        <f t="shared" si="270"/>
        <v>0</v>
      </c>
      <c r="J192" s="3">
        <f t="shared" si="270"/>
        <v>0</v>
      </c>
      <c r="K192" s="3">
        <f t="shared" si="270"/>
        <v>0</v>
      </c>
      <c r="L192" s="3">
        <f t="shared" si="270"/>
        <v>0</v>
      </c>
      <c r="M192" s="3">
        <f t="shared" si="270"/>
        <v>0</v>
      </c>
      <c r="N192" s="3">
        <f t="shared" si="270"/>
        <v>0</v>
      </c>
      <c r="O192" s="3">
        <f t="shared" si="270"/>
        <v>0</v>
      </c>
      <c r="P192" s="3">
        <f t="shared" si="270"/>
        <v>0</v>
      </c>
      <c r="Q192" s="4">
        <f t="shared" si="270"/>
        <v>0</v>
      </c>
      <c r="R192" s="4">
        <f t="shared" si="270"/>
        <v>0</v>
      </c>
      <c r="S192" s="4">
        <f t="shared" si="270"/>
        <v>0</v>
      </c>
      <c r="T192" s="4">
        <f t="shared" si="270"/>
        <v>0</v>
      </c>
      <c r="U192" s="4">
        <f t="shared" si="270"/>
        <v>0</v>
      </c>
      <c r="V192" s="4">
        <f t="shared" si="270"/>
        <v>0</v>
      </c>
      <c r="W192" s="4">
        <f t="shared" si="270"/>
        <v>0</v>
      </c>
      <c r="X192" s="4">
        <f t="shared" si="270"/>
        <v>0</v>
      </c>
      <c r="Y192" s="4">
        <f t="shared" si="270"/>
        <v>0</v>
      </c>
      <c r="Z192" s="4">
        <f t="shared" si="270"/>
        <v>0</v>
      </c>
      <c r="AA192" s="4">
        <f t="shared" si="270"/>
        <v>0</v>
      </c>
      <c r="AB192" s="4">
        <f t="shared" si="270"/>
        <v>0</v>
      </c>
      <c r="AC192" s="4">
        <f t="shared" si="270"/>
        <v>0</v>
      </c>
      <c r="AD192" s="4">
        <f t="shared" si="270"/>
        <v>0</v>
      </c>
      <c r="AE192" s="4">
        <f t="shared" si="270"/>
        <v>0</v>
      </c>
      <c r="AF192" s="4">
        <f t="shared" si="270"/>
        <v>0</v>
      </c>
      <c r="AG192" s="4">
        <f t="shared" si="270"/>
        <v>0</v>
      </c>
      <c r="AH192" s="4">
        <f t="shared" si="270"/>
        <v>2</v>
      </c>
      <c r="AI192" s="4">
        <f t="shared" si="270"/>
        <v>4</v>
      </c>
      <c r="AJ192" s="4">
        <f t="shared" si="270"/>
        <v>6</v>
      </c>
      <c r="AK192" s="4">
        <f t="shared" si="270"/>
        <v>8</v>
      </c>
      <c r="AL192" s="4">
        <f t="shared" si="270"/>
        <v>10</v>
      </c>
      <c r="AM192" s="4">
        <f t="shared" si="270"/>
        <v>12</v>
      </c>
      <c r="AN192" s="4">
        <f t="shared" si="270"/>
        <v>14</v>
      </c>
      <c r="AO192" s="4">
        <f t="shared" si="270"/>
        <v>16</v>
      </c>
      <c r="AP192" s="4">
        <f t="shared" si="270"/>
        <v>18</v>
      </c>
      <c r="AQ192" s="4">
        <f t="shared" si="270"/>
        <v>20</v>
      </c>
      <c r="AR192" s="4"/>
      <c r="AS192" s="4"/>
      <c r="AT192" s="4"/>
      <c r="AU192" s="4"/>
      <c r="AV192" s="4"/>
      <c r="AW192" s="4"/>
      <c r="AX192" s="4"/>
      <c r="AY192" s="4"/>
      <c r="AZ192" s="4"/>
      <c r="BA192" s="4"/>
      <c r="BB192" s="4"/>
      <c r="BC192" s="4"/>
      <c r="BD192" s="4"/>
      <c r="BG192" s="3">
        <v>0</v>
      </c>
      <c r="BH192" s="3">
        <f t="shared" si="271"/>
        <v>0</v>
      </c>
      <c r="BI192" s="3">
        <v>0</v>
      </c>
      <c r="BJ192" s="3">
        <f t="shared" si="264"/>
        <v>0</v>
      </c>
      <c r="BK192" s="3">
        <v>0</v>
      </c>
      <c r="BL192" s="3">
        <f t="shared" si="265"/>
        <v>0</v>
      </c>
      <c r="BM192" s="3">
        <v>0</v>
      </c>
      <c r="BN192" s="3">
        <f t="shared" si="266"/>
        <v>0</v>
      </c>
      <c r="BO192" s="3">
        <v>0</v>
      </c>
      <c r="BP192" s="3">
        <f t="shared" si="267"/>
        <v>0</v>
      </c>
      <c r="BQ192" s="4">
        <v>0</v>
      </c>
      <c r="BR192" s="18">
        <f t="shared" si="268"/>
        <v>0</v>
      </c>
      <c r="BS192" s="4">
        <v>0</v>
      </c>
      <c r="BT192" s="18">
        <f t="shared" si="269"/>
        <v>0</v>
      </c>
    </row>
    <row r="193" spans="1:72">
      <c r="A193" s="2" t="s">
        <v>51</v>
      </c>
      <c r="B193" s="3">
        <f t="shared" si="270"/>
        <v>0</v>
      </c>
      <c r="C193" s="3">
        <f t="shared" si="270"/>
        <v>0</v>
      </c>
      <c r="D193" s="3">
        <f t="shared" si="270"/>
        <v>0</v>
      </c>
      <c r="E193" s="3">
        <f t="shared" si="270"/>
        <v>72759</v>
      </c>
      <c r="F193" s="3">
        <f t="shared" si="270"/>
        <v>0</v>
      </c>
      <c r="G193" s="3">
        <f t="shared" si="270"/>
        <v>0</v>
      </c>
      <c r="H193" s="3">
        <f t="shared" si="270"/>
        <v>0</v>
      </c>
      <c r="I193" s="3">
        <f t="shared" si="270"/>
        <v>0</v>
      </c>
      <c r="J193" s="3">
        <f t="shared" si="270"/>
        <v>0</v>
      </c>
      <c r="K193" s="3">
        <f t="shared" si="270"/>
        <v>0</v>
      </c>
      <c r="L193" s="3">
        <f t="shared" si="270"/>
        <v>0</v>
      </c>
      <c r="M193" s="3">
        <f t="shared" si="270"/>
        <v>0</v>
      </c>
      <c r="N193" s="3">
        <f t="shared" si="270"/>
        <v>0</v>
      </c>
      <c r="O193" s="3">
        <f t="shared" si="270"/>
        <v>0</v>
      </c>
      <c r="P193" s="3">
        <f t="shared" si="270"/>
        <v>0</v>
      </c>
      <c r="Q193" s="4">
        <f t="shared" si="270"/>
        <v>0</v>
      </c>
      <c r="R193" s="4">
        <f t="shared" si="270"/>
        <v>0</v>
      </c>
      <c r="S193" s="4">
        <f t="shared" si="270"/>
        <v>0</v>
      </c>
      <c r="T193" s="4">
        <f t="shared" si="270"/>
        <v>0</v>
      </c>
      <c r="U193" s="4">
        <f t="shared" si="270"/>
        <v>0</v>
      </c>
      <c r="V193" s="4">
        <f t="shared" si="270"/>
        <v>0</v>
      </c>
      <c r="W193" s="4">
        <f t="shared" si="270"/>
        <v>0</v>
      </c>
      <c r="X193" s="4">
        <f t="shared" si="270"/>
        <v>0</v>
      </c>
      <c r="Y193" s="4">
        <f t="shared" si="270"/>
        <v>0</v>
      </c>
      <c r="Z193" s="4">
        <f t="shared" si="270"/>
        <v>0</v>
      </c>
      <c r="AA193" s="4">
        <f t="shared" si="270"/>
        <v>0</v>
      </c>
      <c r="AB193" s="4">
        <f t="shared" si="270"/>
        <v>0</v>
      </c>
      <c r="AC193" s="4">
        <f t="shared" si="270"/>
        <v>0</v>
      </c>
      <c r="AD193" s="4">
        <f t="shared" si="270"/>
        <v>0</v>
      </c>
      <c r="AE193" s="4">
        <f t="shared" si="270"/>
        <v>0</v>
      </c>
      <c r="AF193" s="4">
        <f t="shared" si="270"/>
        <v>0</v>
      </c>
      <c r="AG193" s="4">
        <f t="shared" si="270"/>
        <v>0</v>
      </c>
      <c r="AH193" s="4">
        <f t="shared" si="270"/>
        <v>2</v>
      </c>
      <c r="AI193" s="4">
        <f t="shared" si="270"/>
        <v>4</v>
      </c>
      <c r="AJ193" s="4">
        <f t="shared" si="270"/>
        <v>6</v>
      </c>
      <c r="AK193" s="4">
        <f t="shared" si="270"/>
        <v>8</v>
      </c>
      <c r="AL193" s="4">
        <f t="shared" si="270"/>
        <v>10</v>
      </c>
      <c r="AM193" s="4">
        <f t="shared" si="270"/>
        <v>12</v>
      </c>
      <c r="AN193" s="4">
        <f t="shared" si="270"/>
        <v>14</v>
      </c>
      <c r="AO193" s="4">
        <f t="shared" si="270"/>
        <v>16</v>
      </c>
      <c r="AP193" s="4">
        <f t="shared" si="270"/>
        <v>18</v>
      </c>
      <c r="AQ193" s="4">
        <f t="shared" si="270"/>
        <v>20</v>
      </c>
      <c r="AR193" s="4"/>
      <c r="AS193" s="4"/>
      <c r="AT193" s="4"/>
      <c r="AU193" s="4"/>
      <c r="AV193" s="4"/>
      <c r="AW193" s="4"/>
      <c r="AX193" s="4"/>
      <c r="AY193" s="4"/>
      <c r="AZ193" s="4"/>
      <c r="BA193" s="4"/>
      <c r="BB193" s="4"/>
      <c r="BC193" s="4"/>
      <c r="BD193" s="4"/>
      <c r="BG193" s="3">
        <v>0</v>
      </c>
      <c r="BH193" s="3">
        <f t="shared" si="271"/>
        <v>0</v>
      </c>
      <c r="BI193" s="3">
        <v>0</v>
      </c>
      <c r="BJ193" s="3">
        <f t="shared" si="264"/>
        <v>0</v>
      </c>
      <c r="BK193" s="3">
        <v>0</v>
      </c>
      <c r="BL193" s="3">
        <f t="shared" si="265"/>
        <v>0</v>
      </c>
      <c r="BM193" s="3">
        <v>0</v>
      </c>
      <c r="BN193" s="3">
        <f t="shared" si="266"/>
        <v>0</v>
      </c>
      <c r="BO193" s="3">
        <v>0</v>
      </c>
      <c r="BP193" s="3">
        <f t="shared" si="267"/>
        <v>0</v>
      </c>
      <c r="BQ193" s="4">
        <v>0</v>
      </c>
      <c r="BR193" s="18">
        <f t="shared" si="268"/>
        <v>0</v>
      </c>
      <c r="BS193" s="4">
        <v>0</v>
      </c>
      <c r="BT193" s="18">
        <f t="shared" si="269"/>
        <v>0</v>
      </c>
    </row>
    <row r="194" spans="1:72">
      <c r="A194" s="2" t="s">
        <v>52</v>
      </c>
      <c r="B194" s="3">
        <f t="shared" si="270"/>
        <v>0</v>
      </c>
      <c r="C194" s="3">
        <f t="shared" si="270"/>
        <v>0</v>
      </c>
      <c r="D194" s="3">
        <f t="shared" si="270"/>
        <v>0</v>
      </c>
      <c r="E194" s="3">
        <f t="shared" si="270"/>
        <v>29580</v>
      </c>
      <c r="F194" s="3">
        <f t="shared" si="270"/>
        <v>0</v>
      </c>
      <c r="G194" s="3">
        <f t="shared" si="270"/>
        <v>0</v>
      </c>
      <c r="H194" s="3">
        <f t="shared" si="270"/>
        <v>0</v>
      </c>
      <c r="I194" s="3">
        <f t="shared" si="270"/>
        <v>0</v>
      </c>
      <c r="J194" s="3">
        <f t="shared" si="270"/>
        <v>0</v>
      </c>
      <c r="K194" s="3">
        <f t="shared" si="270"/>
        <v>0</v>
      </c>
      <c r="L194" s="3">
        <f t="shared" si="270"/>
        <v>0</v>
      </c>
      <c r="M194" s="3">
        <f t="shared" si="270"/>
        <v>0</v>
      </c>
      <c r="N194" s="3">
        <f t="shared" si="270"/>
        <v>0</v>
      </c>
      <c r="O194" s="3">
        <f t="shared" si="270"/>
        <v>0</v>
      </c>
      <c r="P194" s="3">
        <f t="shared" si="270"/>
        <v>0</v>
      </c>
      <c r="Q194" s="4">
        <f t="shared" si="270"/>
        <v>0</v>
      </c>
      <c r="R194" s="4">
        <f t="shared" si="270"/>
        <v>0</v>
      </c>
      <c r="S194" s="4">
        <f t="shared" si="270"/>
        <v>0</v>
      </c>
      <c r="T194" s="4">
        <f t="shared" si="270"/>
        <v>0</v>
      </c>
      <c r="U194" s="4">
        <f t="shared" si="270"/>
        <v>0</v>
      </c>
      <c r="V194" s="4">
        <f t="shared" si="270"/>
        <v>0</v>
      </c>
      <c r="W194" s="4">
        <f t="shared" si="270"/>
        <v>0</v>
      </c>
      <c r="X194" s="4">
        <f t="shared" si="270"/>
        <v>0</v>
      </c>
      <c r="Y194" s="4">
        <f t="shared" si="270"/>
        <v>0</v>
      </c>
      <c r="Z194" s="4">
        <f t="shared" si="270"/>
        <v>0</v>
      </c>
      <c r="AA194" s="4">
        <f t="shared" si="270"/>
        <v>0</v>
      </c>
      <c r="AB194" s="4">
        <f t="shared" si="270"/>
        <v>0</v>
      </c>
      <c r="AC194" s="4">
        <f t="shared" si="270"/>
        <v>0</v>
      </c>
      <c r="AD194" s="4">
        <f t="shared" si="270"/>
        <v>0</v>
      </c>
      <c r="AE194" s="4">
        <f t="shared" si="270"/>
        <v>0</v>
      </c>
      <c r="AF194" s="4">
        <f t="shared" si="270"/>
        <v>0</v>
      </c>
      <c r="AG194" s="4">
        <f t="shared" si="270"/>
        <v>0</v>
      </c>
      <c r="AH194" s="4">
        <f t="shared" si="270"/>
        <v>2</v>
      </c>
      <c r="AI194" s="4">
        <f t="shared" si="270"/>
        <v>4</v>
      </c>
      <c r="AJ194" s="4">
        <f t="shared" si="270"/>
        <v>6</v>
      </c>
      <c r="AK194" s="4">
        <f t="shared" si="270"/>
        <v>8</v>
      </c>
      <c r="AL194" s="4">
        <f t="shared" si="270"/>
        <v>10</v>
      </c>
      <c r="AM194" s="4">
        <f t="shared" si="270"/>
        <v>12</v>
      </c>
      <c r="AN194" s="4">
        <f t="shared" si="270"/>
        <v>14</v>
      </c>
      <c r="AO194" s="4">
        <f t="shared" si="270"/>
        <v>16</v>
      </c>
      <c r="AP194" s="4">
        <f t="shared" si="270"/>
        <v>18</v>
      </c>
      <c r="AQ194" s="4">
        <f t="shared" si="270"/>
        <v>20</v>
      </c>
      <c r="AR194" s="4"/>
      <c r="AS194" s="4"/>
      <c r="AT194" s="4"/>
      <c r="AU194" s="4"/>
      <c r="AV194" s="4"/>
      <c r="AW194" s="4"/>
      <c r="AX194" s="4"/>
      <c r="AY194" s="4"/>
      <c r="AZ194" s="4"/>
      <c r="BA194" s="4"/>
      <c r="BB194" s="4"/>
      <c r="BC194" s="4"/>
      <c r="BD194" s="4"/>
      <c r="BG194" s="3">
        <v>0</v>
      </c>
      <c r="BH194" s="3">
        <f t="shared" si="271"/>
        <v>0</v>
      </c>
      <c r="BI194" s="3">
        <v>0</v>
      </c>
      <c r="BJ194" s="3">
        <f t="shared" si="264"/>
        <v>0</v>
      </c>
      <c r="BK194" s="3">
        <v>0</v>
      </c>
      <c r="BL194" s="3">
        <f t="shared" si="265"/>
        <v>0</v>
      </c>
      <c r="BM194" s="3">
        <v>0</v>
      </c>
      <c r="BN194" s="3">
        <f t="shared" si="266"/>
        <v>0</v>
      </c>
      <c r="BO194" s="3">
        <v>0</v>
      </c>
      <c r="BP194" s="3">
        <f t="shared" si="267"/>
        <v>0</v>
      </c>
      <c r="BQ194" s="4">
        <v>0</v>
      </c>
      <c r="BR194" s="18">
        <f t="shared" si="268"/>
        <v>0</v>
      </c>
      <c r="BS194" s="4">
        <v>0</v>
      </c>
      <c r="BT194" s="18">
        <f t="shared" si="269"/>
        <v>0</v>
      </c>
    </row>
    <row r="195" spans="1:72">
      <c r="A195" s="2" t="s">
        <v>53</v>
      </c>
      <c r="B195" s="3">
        <f t="shared" si="270"/>
        <v>0</v>
      </c>
      <c r="C195" s="3">
        <f t="shared" si="270"/>
        <v>0</v>
      </c>
      <c r="D195" s="3">
        <f t="shared" si="270"/>
        <v>0</v>
      </c>
      <c r="E195" s="3">
        <f t="shared" si="270"/>
        <v>39412</v>
      </c>
      <c r="F195" s="3">
        <f t="shared" si="270"/>
        <v>0</v>
      </c>
      <c r="G195" s="3">
        <f t="shared" si="270"/>
        <v>0</v>
      </c>
      <c r="H195" s="3">
        <f t="shared" si="270"/>
        <v>0</v>
      </c>
      <c r="I195" s="3">
        <f t="shared" si="270"/>
        <v>0</v>
      </c>
      <c r="J195" s="3">
        <f t="shared" si="270"/>
        <v>0</v>
      </c>
      <c r="K195" s="3">
        <f t="shared" si="270"/>
        <v>0</v>
      </c>
      <c r="L195" s="3">
        <f t="shared" si="270"/>
        <v>0</v>
      </c>
      <c r="M195" s="3">
        <f t="shared" si="270"/>
        <v>0</v>
      </c>
      <c r="N195" s="3">
        <f t="shared" si="270"/>
        <v>0</v>
      </c>
      <c r="O195" s="3">
        <f t="shared" si="270"/>
        <v>0</v>
      </c>
      <c r="P195" s="3">
        <f t="shared" si="270"/>
        <v>0</v>
      </c>
      <c r="Q195" s="4">
        <f t="shared" si="270"/>
        <v>0</v>
      </c>
      <c r="R195" s="4">
        <f t="shared" si="270"/>
        <v>0</v>
      </c>
      <c r="S195" s="4">
        <f t="shared" si="270"/>
        <v>0</v>
      </c>
      <c r="T195" s="4">
        <f t="shared" si="270"/>
        <v>0</v>
      </c>
      <c r="U195" s="4">
        <f t="shared" si="270"/>
        <v>0</v>
      </c>
      <c r="V195" s="4">
        <f t="shared" si="270"/>
        <v>0</v>
      </c>
      <c r="W195" s="4">
        <f t="shared" si="270"/>
        <v>0</v>
      </c>
      <c r="X195" s="4">
        <f t="shared" si="270"/>
        <v>0</v>
      </c>
      <c r="Y195" s="4">
        <f t="shared" si="270"/>
        <v>0</v>
      </c>
      <c r="Z195" s="4">
        <f t="shared" si="270"/>
        <v>0</v>
      </c>
      <c r="AA195" s="4">
        <f t="shared" si="270"/>
        <v>0</v>
      </c>
      <c r="AB195" s="4">
        <f t="shared" si="270"/>
        <v>0</v>
      </c>
      <c r="AC195" s="4">
        <f t="shared" si="270"/>
        <v>0</v>
      </c>
      <c r="AD195" s="4">
        <f t="shared" si="270"/>
        <v>0</v>
      </c>
      <c r="AE195" s="4">
        <f t="shared" si="270"/>
        <v>0</v>
      </c>
      <c r="AF195" s="4">
        <f t="shared" si="270"/>
        <v>0</v>
      </c>
      <c r="AG195" s="4">
        <f t="shared" si="270"/>
        <v>0</v>
      </c>
      <c r="AH195" s="4">
        <f t="shared" si="270"/>
        <v>2</v>
      </c>
      <c r="AI195" s="4">
        <f t="shared" si="270"/>
        <v>4</v>
      </c>
      <c r="AJ195" s="4">
        <f t="shared" si="270"/>
        <v>6</v>
      </c>
      <c r="AK195" s="4">
        <f t="shared" si="270"/>
        <v>8</v>
      </c>
      <c r="AL195" s="4">
        <f t="shared" si="270"/>
        <v>10</v>
      </c>
      <c r="AM195" s="4">
        <f t="shared" si="270"/>
        <v>12</v>
      </c>
      <c r="AN195" s="4">
        <f t="shared" si="270"/>
        <v>14</v>
      </c>
      <c r="AO195" s="4">
        <f t="shared" si="270"/>
        <v>16</v>
      </c>
      <c r="AP195" s="4">
        <f t="shared" si="270"/>
        <v>18</v>
      </c>
      <c r="AQ195" s="4">
        <f t="shared" si="270"/>
        <v>20</v>
      </c>
      <c r="AR195" s="4"/>
      <c r="AS195" s="4"/>
      <c r="AT195" s="4"/>
      <c r="AU195" s="4"/>
      <c r="AV195" s="4"/>
      <c r="AW195" s="4"/>
      <c r="AX195" s="4"/>
      <c r="AY195" s="4"/>
      <c r="AZ195" s="4"/>
      <c r="BA195" s="4"/>
      <c r="BB195" s="4"/>
      <c r="BC195" s="4"/>
      <c r="BD195" s="4"/>
      <c r="BG195" s="3">
        <v>0</v>
      </c>
      <c r="BH195" s="3">
        <f t="shared" si="271"/>
        <v>0</v>
      </c>
      <c r="BI195" s="3">
        <v>0</v>
      </c>
      <c r="BJ195" s="3">
        <f t="shared" si="264"/>
        <v>0</v>
      </c>
      <c r="BK195" s="3">
        <v>0</v>
      </c>
      <c r="BL195" s="3">
        <f t="shared" si="265"/>
        <v>0</v>
      </c>
      <c r="BM195" s="3">
        <v>0</v>
      </c>
      <c r="BN195" s="3">
        <f t="shared" si="266"/>
        <v>0</v>
      </c>
      <c r="BO195" s="3">
        <v>0</v>
      </c>
      <c r="BP195" s="3">
        <f t="shared" si="267"/>
        <v>0</v>
      </c>
      <c r="BQ195" s="4">
        <v>0</v>
      </c>
      <c r="BR195" s="18">
        <f t="shared" si="268"/>
        <v>0</v>
      </c>
      <c r="BS195" s="4">
        <v>0</v>
      </c>
      <c r="BT195" s="18">
        <f t="shared" si="269"/>
        <v>0</v>
      </c>
    </row>
    <row r="196" spans="1:72">
      <c r="A196" s="2" t="s">
        <v>54</v>
      </c>
      <c r="B196" s="3">
        <f t="shared" si="270"/>
        <v>0</v>
      </c>
      <c r="C196" s="3">
        <f t="shared" si="270"/>
        <v>0</v>
      </c>
      <c r="D196" s="3">
        <f t="shared" si="270"/>
        <v>0</v>
      </c>
      <c r="E196" s="3">
        <f t="shared" si="270"/>
        <v>46044</v>
      </c>
      <c r="F196" s="3">
        <f t="shared" si="270"/>
        <v>0</v>
      </c>
      <c r="G196" s="3">
        <f t="shared" si="270"/>
        <v>0</v>
      </c>
      <c r="H196" s="3">
        <f t="shared" si="270"/>
        <v>0</v>
      </c>
      <c r="I196" s="3">
        <f t="shared" si="270"/>
        <v>0</v>
      </c>
      <c r="J196" s="3">
        <f t="shared" si="270"/>
        <v>0</v>
      </c>
      <c r="K196" s="3">
        <f t="shared" si="270"/>
        <v>0</v>
      </c>
      <c r="L196" s="3">
        <f t="shared" si="270"/>
        <v>0</v>
      </c>
      <c r="M196" s="3">
        <f t="shared" si="270"/>
        <v>0</v>
      </c>
      <c r="N196" s="3">
        <f t="shared" si="270"/>
        <v>0</v>
      </c>
      <c r="O196" s="3">
        <f t="shared" si="270"/>
        <v>0</v>
      </c>
      <c r="P196" s="3">
        <f t="shared" si="270"/>
        <v>0</v>
      </c>
      <c r="Q196" s="4">
        <f t="shared" si="270"/>
        <v>0</v>
      </c>
      <c r="R196" s="4">
        <f t="shared" si="270"/>
        <v>0</v>
      </c>
      <c r="S196" s="4">
        <f t="shared" si="270"/>
        <v>0</v>
      </c>
      <c r="T196" s="4">
        <f t="shared" si="270"/>
        <v>0</v>
      </c>
      <c r="U196" s="4">
        <f t="shared" si="270"/>
        <v>0</v>
      </c>
      <c r="V196" s="4">
        <f t="shared" si="270"/>
        <v>0</v>
      </c>
      <c r="W196" s="4">
        <f t="shared" si="270"/>
        <v>0</v>
      </c>
      <c r="X196" s="4">
        <f t="shared" si="270"/>
        <v>0</v>
      </c>
      <c r="Y196" s="4">
        <f t="shared" si="270"/>
        <v>0</v>
      </c>
      <c r="Z196" s="4">
        <f t="shared" si="270"/>
        <v>0</v>
      </c>
      <c r="AA196" s="4">
        <f t="shared" si="270"/>
        <v>0</v>
      </c>
      <c r="AB196" s="4">
        <f t="shared" si="270"/>
        <v>0</v>
      </c>
      <c r="AC196" s="4">
        <f t="shared" si="270"/>
        <v>0</v>
      </c>
      <c r="AD196" s="4">
        <f t="shared" si="270"/>
        <v>0</v>
      </c>
      <c r="AE196" s="4">
        <f t="shared" si="270"/>
        <v>0</v>
      </c>
      <c r="AF196" s="4">
        <f t="shared" si="270"/>
        <v>0</v>
      </c>
      <c r="AG196" s="4">
        <f t="shared" si="270"/>
        <v>0</v>
      </c>
      <c r="AH196" s="4">
        <f t="shared" si="270"/>
        <v>2</v>
      </c>
      <c r="AI196" s="4">
        <f t="shared" si="270"/>
        <v>4</v>
      </c>
      <c r="AJ196" s="4">
        <f t="shared" si="270"/>
        <v>6</v>
      </c>
      <c r="AK196" s="4">
        <f t="shared" si="270"/>
        <v>8</v>
      </c>
      <c r="AL196" s="4">
        <f t="shared" si="270"/>
        <v>10</v>
      </c>
      <c r="AM196" s="4">
        <f t="shared" si="270"/>
        <v>12</v>
      </c>
      <c r="AN196" s="4">
        <f t="shared" si="270"/>
        <v>14</v>
      </c>
      <c r="AO196" s="4">
        <f t="shared" si="270"/>
        <v>16</v>
      </c>
      <c r="AP196" s="4">
        <f t="shared" si="270"/>
        <v>18</v>
      </c>
      <c r="AQ196" s="4">
        <f t="shared" si="270"/>
        <v>20</v>
      </c>
      <c r="AR196" s="4"/>
      <c r="AS196" s="4"/>
      <c r="AT196" s="4"/>
      <c r="AU196" s="4"/>
      <c r="AV196" s="4"/>
      <c r="AW196" s="4"/>
      <c r="AX196" s="4"/>
      <c r="AY196" s="4"/>
      <c r="AZ196" s="4"/>
      <c r="BA196" s="4"/>
      <c r="BB196" s="4"/>
      <c r="BC196" s="4"/>
      <c r="BD196" s="4"/>
      <c r="BG196" s="3">
        <v>0</v>
      </c>
      <c r="BH196" s="3">
        <f t="shared" si="271"/>
        <v>0</v>
      </c>
      <c r="BI196" s="3">
        <v>0</v>
      </c>
      <c r="BJ196" s="3">
        <f t="shared" si="264"/>
        <v>0</v>
      </c>
      <c r="BK196" s="3">
        <v>0</v>
      </c>
      <c r="BL196" s="3">
        <f t="shared" si="265"/>
        <v>0</v>
      </c>
      <c r="BM196" s="3">
        <v>0</v>
      </c>
      <c r="BN196" s="3">
        <f t="shared" si="266"/>
        <v>0</v>
      </c>
      <c r="BO196" s="3">
        <v>0</v>
      </c>
      <c r="BP196" s="3">
        <f t="shared" si="267"/>
        <v>0</v>
      </c>
      <c r="BQ196" s="4">
        <v>0</v>
      </c>
      <c r="BR196" s="18">
        <f t="shared" si="268"/>
        <v>0</v>
      </c>
      <c r="BS196" s="4">
        <v>0</v>
      </c>
      <c r="BT196" s="18">
        <f t="shared" si="269"/>
        <v>0</v>
      </c>
    </row>
    <row r="197" spans="1:72" ht="15.75" thickBot="1">
      <c r="A197" s="2" t="s">
        <v>29</v>
      </c>
      <c r="B197" s="3">
        <f>SUM(B185:B196)</f>
        <v>0</v>
      </c>
      <c r="C197" s="3">
        <f t="shared" ref="C197:AD197" si="272">SUM(C185:C196)</f>
        <v>0</v>
      </c>
      <c r="D197" s="3">
        <f t="shared" si="272"/>
        <v>0</v>
      </c>
      <c r="E197" s="3">
        <f t="shared" si="272"/>
        <v>281819</v>
      </c>
      <c r="F197" s="3">
        <f t="shared" si="272"/>
        <v>29445</v>
      </c>
      <c r="G197" s="3">
        <f t="shared" si="272"/>
        <v>0</v>
      </c>
      <c r="H197" s="3">
        <f t="shared" si="272"/>
        <v>0</v>
      </c>
      <c r="I197" s="3">
        <f t="shared" si="272"/>
        <v>0</v>
      </c>
      <c r="J197" s="3">
        <f t="shared" si="272"/>
        <v>0</v>
      </c>
      <c r="K197" s="3">
        <f t="shared" si="272"/>
        <v>0</v>
      </c>
      <c r="L197" s="3">
        <f t="shared" si="272"/>
        <v>0</v>
      </c>
      <c r="M197" s="3">
        <f t="shared" si="272"/>
        <v>0</v>
      </c>
      <c r="N197" s="3">
        <f t="shared" si="272"/>
        <v>0</v>
      </c>
      <c r="O197" s="3">
        <f t="shared" si="272"/>
        <v>0</v>
      </c>
      <c r="P197" s="3">
        <f t="shared" si="272"/>
        <v>0</v>
      </c>
      <c r="Q197" s="4">
        <f t="shared" si="272"/>
        <v>0</v>
      </c>
      <c r="R197" s="4">
        <f t="shared" si="272"/>
        <v>0</v>
      </c>
      <c r="S197" s="4">
        <f t="shared" si="272"/>
        <v>0</v>
      </c>
      <c r="T197" s="4">
        <f t="shared" si="272"/>
        <v>0</v>
      </c>
      <c r="U197" s="4">
        <f t="shared" si="272"/>
        <v>0</v>
      </c>
      <c r="V197" s="4">
        <f t="shared" si="272"/>
        <v>0</v>
      </c>
      <c r="W197" s="4">
        <f t="shared" si="272"/>
        <v>0</v>
      </c>
      <c r="X197" s="4">
        <f t="shared" si="272"/>
        <v>0</v>
      </c>
      <c r="Y197" s="4">
        <f t="shared" si="272"/>
        <v>0</v>
      </c>
      <c r="Z197" s="4">
        <f t="shared" si="272"/>
        <v>0</v>
      </c>
      <c r="AA197" s="4">
        <f t="shared" si="272"/>
        <v>0</v>
      </c>
      <c r="AB197" s="4">
        <f t="shared" si="272"/>
        <v>0</v>
      </c>
      <c r="AC197" s="4">
        <f t="shared" si="272"/>
        <v>0</v>
      </c>
      <c r="AD197" s="4">
        <f t="shared" si="272"/>
        <v>0</v>
      </c>
      <c r="AE197" s="4">
        <f>SUM(AE185:AE196)</f>
        <v>0</v>
      </c>
      <c r="AF197" s="4">
        <f>SUM(AF185:AF196)</f>
        <v>0</v>
      </c>
      <c r="AG197" s="4">
        <f>SUM(AG185:AG196)</f>
        <v>0</v>
      </c>
      <c r="AH197" s="4">
        <f t="shared" ref="AH197:AO197" si="273">SUM(AH185:AH196)</f>
        <v>24</v>
      </c>
      <c r="AI197" s="4">
        <f t="shared" si="273"/>
        <v>48</v>
      </c>
      <c r="AJ197" s="4">
        <f t="shared" si="273"/>
        <v>72</v>
      </c>
      <c r="AK197" s="4">
        <f t="shared" si="273"/>
        <v>96</v>
      </c>
      <c r="AL197" s="4">
        <f t="shared" si="273"/>
        <v>120</v>
      </c>
      <c r="AM197" s="4">
        <f t="shared" si="273"/>
        <v>144</v>
      </c>
      <c r="AN197" s="4">
        <f t="shared" si="273"/>
        <v>168</v>
      </c>
      <c r="AO197" s="4">
        <f t="shared" si="273"/>
        <v>192</v>
      </c>
      <c r="AP197" s="4">
        <f>SUM(AP185:AP196)</f>
        <v>216</v>
      </c>
      <c r="AQ197" s="4">
        <f>SUM(AQ185:AQ196)</f>
        <v>240</v>
      </c>
      <c r="AR197" s="4"/>
      <c r="AS197" s="4"/>
      <c r="AT197" s="4"/>
      <c r="AU197" s="4"/>
      <c r="AV197" s="4"/>
      <c r="AW197" s="4"/>
      <c r="AX197" s="4"/>
      <c r="AY197" s="4"/>
      <c r="AZ197" s="4"/>
      <c r="BA197" s="4"/>
      <c r="BB197" s="4"/>
      <c r="BC197" s="4"/>
      <c r="BD197" s="4"/>
      <c r="BG197" s="3">
        <v>0</v>
      </c>
      <c r="BH197" s="3">
        <f t="shared" si="271"/>
        <v>0</v>
      </c>
      <c r="BI197" s="3">
        <v>0</v>
      </c>
      <c r="BJ197" s="3">
        <f t="shared" si="264"/>
        <v>0</v>
      </c>
      <c r="BK197" s="3">
        <v>0</v>
      </c>
      <c r="BL197" s="3">
        <f t="shared" si="265"/>
        <v>0</v>
      </c>
      <c r="BM197" s="3">
        <v>0</v>
      </c>
      <c r="BN197" s="3">
        <f t="shared" si="266"/>
        <v>0</v>
      </c>
      <c r="BO197" s="3">
        <v>0</v>
      </c>
      <c r="BP197" s="3">
        <f t="shared" si="267"/>
        <v>0</v>
      </c>
      <c r="BQ197" s="4">
        <v>0</v>
      </c>
      <c r="BR197" s="18">
        <f t="shared" si="268"/>
        <v>0</v>
      </c>
      <c r="BS197" s="19">
        <v>0</v>
      </c>
      <c r="BT197" s="18">
        <f t="shared" si="269"/>
        <v>0</v>
      </c>
    </row>
    <row r="198" spans="1:72">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c r="AH198" s="114"/>
      <c r="AI198" s="114"/>
      <c r="AJ198" s="114"/>
      <c r="AK198" s="114"/>
      <c r="AL198" s="114"/>
      <c r="AM198" s="114"/>
      <c r="AN198" s="114"/>
      <c r="AO198" s="114"/>
      <c r="AP198" s="114"/>
      <c r="AQ198" s="114"/>
      <c r="AR198" s="2"/>
      <c r="AS198" s="2"/>
      <c r="AT198" s="2"/>
      <c r="AU198" s="2"/>
      <c r="AV198" s="2"/>
      <c r="AW198" s="2"/>
      <c r="AX198" s="2"/>
      <c r="AY198" s="2"/>
      <c r="AZ198" s="2"/>
      <c r="BA198" s="2"/>
      <c r="BB198" s="2"/>
      <c r="BC198" s="2"/>
      <c r="BD198" s="2"/>
      <c r="BR198" s="117"/>
    </row>
    <row r="199" spans="1:72" ht="16.5" thickBot="1">
      <c r="A199" s="109" t="s">
        <v>253</v>
      </c>
      <c r="BR199" s="117"/>
    </row>
    <row r="200" spans="1:72" ht="15.75" thickBot="1">
      <c r="A200" s="110"/>
      <c r="B200" s="111">
        <f t="shared" ref="B200:K200" si="274">B2</f>
        <v>2010</v>
      </c>
      <c r="C200" s="111">
        <f t="shared" si="274"/>
        <v>2011</v>
      </c>
      <c r="D200" s="111">
        <f t="shared" si="274"/>
        <v>2012</v>
      </c>
      <c r="E200" s="111">
        <f t="shared" si="274"/>
        <v>2013</v>
      </c>
      <c r="F200" s="111">
        <f t="shared" si="274"/>
        <v>2014</v>
      </c>
      <c r="G200" s="111">
        <f t="shared" si="274"/>
        <v>2015</v>
      </c>
      <c r="H200" s="111">
        <f t="shared" si="274"/>
        <v>2016</v>
      </c>
      <c r="I200" s="111">
        <f t="shared" si="274"/>
        <v>2017</v>
      </c>
      <c r="J200" s="111">
        <f t="shared" si="274"/>
        <v>2018</v>
      </c>
      <c r="K200" s="111">
        <f t="shared" si="274"/>
        <v>2019</v>
      </c>
      <c r="L200" s="111">
        <f>L2</f>
        <v>2020</v>
      </c>
      <c r="M200" s="111">
        <f>M2</f>
        <v>2021</v>
      </c>
      <c r="N200" s="111">
        <f t="shared" ref="N200:AD200" si="275">N2</f>
        <v>2022</v>
      </c>
      <c r="O200" s="111">
        <f t="shared" si="275"/>
        <v>2023</v>
      </c>
      <c r="P200" s="111">
        <f t="shared" si="275"/>
        <v>2024</v>
      </c>
      <c r="Q200" s="111">
        <f t="shared" si="275"/>
        <v>2025</v>
      </c>
      <c r="R200" s="111">
        <f t="shared" si="275"/>
        <v>2026</v>
      </c>
      <c r="S200" s="111">
        <f t="shared" si="275"/>
        <v>2027</v>
      </c>
      <c r="T200" s="111">
        <f t="shared" si="275"/>
        <v>2028</v>
      </c>
      <c r="U200" s="111">
        <f t="shared" si="275"/>
        <v>2029</v>
      </c>
      <c r="V200" s="111">
        <f t="shared" si="275"/>
        <v>2030</v>
      </c>
      <c r="W200" s="111">
        <f t="shared" si="275"/>
        <v>2031</v>
      </c>
      <c r="X200" s="111">
        <f t="shared" si="275"/>
        <v>2032</v>
      </c>
      <c r="Y200" s="111">
        <f t="shared" si="275"/>
        <v>2033</v>
      </c>
      <c r="Z200" s="111">
        <f t="shared" si="275"/>
        <v>2034</v>
      </c>
      <c r="AA200" s="111">
        <f t="shared" si="275"/>
        <v>2035</v>
      </c>
      <c r="AB200" s="111">
        <f t="shared" si="275"/>
        <v>2036</v>
      </c>
      <c r="AC200" s="111">
        <f t="shared" si="275"/>
        <v>2037</v>
      </c>
      <c r="AD200" s="111">
        <f t="shared" si="275"/>
        <v>2038</v>
      </c>
      <c r="AE200" s="111">
        <f>AE2</f>
        <v>2039</v>
      </c>
      <c r="AF200" s="111">
        <f>AF2</f>
        <v>2040</v>
      </c>
      <c r="AG200" s="111">
        <f>AG2</f>
        <v>2041</v>
      </c>
      <c r="AH200" s="111">
        <f t="shared" ref="AH200:AO200" si="276">AH2</f>
        <v>2042</v>
      </c>
      <c r="AI200" s="111">
        <f t="shared" si="276"/>
        <v>2043</v>
      </c>
      <c r="AJ200" s="111">
        <f t="shared" si="276"/>
        <v>2044</v>
      </c>
      <c r="AK200" s="111">
        <f t="shared" si="276"/>
        <v>2045</v>
      </c>
      <c r="AL200" s="111">
        <f t="shared" si="276"/>
        <v>2046</v>
      </c>
      <c r="AM200" s="111">
        <f t="shared" si="276"/>
        <v>2047</v>
      </c>
      <c r="AN200" s="111">
        <f t="shared" si="276"/>
        <v>2048</v>
      </c>
      <c r="AO200" s="111">
        <f t="shared" si="276"/>
        <v>2049</v>
      </c>
      <c r="AP200" s="111">
        <f>AP2</f>
        <v>2050</v>
      </c>
      <c r="AQ200" s="111">
        <f>AQ2</f>
        <v>2051</v>
      </c>
      <c r="AR200" s="94"/>
      <c r="AS200" s="94"/>
      <c r="AT200" s="94"/>
      <c r="AU200" s="94"/>
      <c r="AV200" s="94"/>
      <c r="AW200" s="94"/>
      <c r="AX200" s="94"/>
      <c r="AY200" s="94"/>
      <c r="AZ200" s="94"/>
      <c r="BA200" s="94"/>
      <c r="BB200" s="94"/>
      <c r="BC200" s="94"/>
      <c r="BD200" s="94"/>
      <c r="BR200" s="117"/>
    </row>
    <row r="201" spans="1:72">
      <c r="A201" s="2" t="s">
        <v>43</v>
      </c>
      <c r="B201" s="3">
        <f>'Monthly D3 Gallon Data'!$E4</f>
        <v>0</v>
      </c>
      <c r="C201" s="3">
        <f>'Monthly D3 Gallon Data'!$E16</f>
        <v>0</v>
      </c>
      <c r="D201" s="3">
        <f>'Monthly D3 Gallon Data'!$E28</f>
        <v>0</v>
      </c>
      <c r="E201" s="3">
        <f>'Monthly D3 Gallon Data'!$E40</f>
        <v>0</v>
      </c>
      <c r="F201" s="3">
        <f>'Monthly D3 Gallon Data'!$E52</f>
        <v>29445</v>
      </c>
      <c r="G201" s="3">
        <f>'Monthly D3 Gallon Data'!$E64</f>
        <v>0</v>
      </c>
      <c r="H201" s="3">
        <f>'Monthly D3 Gallon Data'!$E76</f>
        <v>0</v>
      </c>
      <c r="I201" s="3">
        <f>'Monthly D3 Gallon Data'!$E88</f>
        <v>0</v>
      </c>
      <c r="J201" s="3">
        <f>'Monthly D3 Gallon Data'!$E100</f>
        <v>0</v>
      </c>
      <c r="K201" s="3">
        <f>'Monthly D3 Gallon Data'!$E112</f>
        <v>0</v>
      </c>
      <c r="L201" s="3">
        <f>'Monthly D3 Gallon Data'!$E124</f>
        <v>0</v>
      </c>
      <c r="M201" s="3">
        <f>'Monthly D3 Gallon Data'!$E136</f>
        <v>0</v>
      </c>
      <c r="N201" s="3">
        <f>'Monthly D3 Gallon Data'!$E148</f>
        <v>0</v>
      </c>
      <c r="O201" s="3">
        <f>'Monthly D3 Gallon Data'!$E160</f>
        <v>0</v>
      </c>
      <c r="P201" s="3">
        <f>'Monthly D3 Gallon Data'!$E172</f>
        <v>0</v>
      </c>
      <c r="Q201" s="3">
        <f>'Monthly D3 Gallon Data'!$E184</f>
        <v>0</v>
      </c>
      <c r="R201" s="4">
        <v>0</v>
      </c>
      <c r="S201" s="4">
        <v>0</v>
      </c>
      <c r="T201" s="4">
        <v>0</v>
      </c>
      <c r="U201" s="4">
        <v>0</v>
      </c>
      <c r="V201" s="4">
        <v>0</v>
      </c>
      <c r="W201" s="4">
        <v>0</v>
      </c>
      <c r="X201" s="4">
        <v>0</v>
      </c>
      <c r="Y201" s="4">
        <v>0</v>
      </c>
      <c r="Z201" s="4">
        <v>0</v>
      </c>
      <c r="AA201" s="4">
        <v>0</v>
      </c>
      <c r="AB201" s="4">
        <v>0</v>
      </c>
      <c r="AC201" s="4">
        <v>0</v>
      </c>
      <c r="AD201" s="4">
        <v>0</v>
      </c>
      <c r="AE201" s="4">
        <v>0</v>
      </c>
      <c r="AF201" s="4">
        <v>0</v>
      </c>
      <c r="AG201" s="4">
        <v>0</v>
      </c>
      <c r="AH201" s="4">
        <v>1</v>
      </c>
      <c r="AI201" s="4">
        <v>2</v>
      </c>
      <c r="AJ201" s="4">
        <v>3</v>
      </c>
      <c r="AK201" s="4">
        <v>4</v>
      </c>
      <c r="AL201" s="4">
        <v>5</v>
      </c>
      <c r="AM201" s="4">
        <v>6</v>
      </c>
      <c r="AN201" s="4">
        <v>7</v>
      </c>
      <c r="AO201" s="4">
        <v>8</v>
      </c>
      <c r="AP201" s="4">
        <v>9</v>
      </c>
      <c r="AQ201" s="4">
        <v>10</v>
      </c>
      <c r="AR201" s="4"/>
      <c r="AS201" s="4"/>
      <c r="AT201" s="4"/>
      <c r="AU201" s="4"/>
      <c r="AV201" s="4"/>
      <c r="AW201" s="4"/>
      <c r="AX201" s="4"/>
      <c r="AY201" s="4"/>
      <c r="AZ201" s="4"/>
      <c r="BA201" s="4"/>
      <c r="BB201" s="4"/>
      <c r="BC201" s="4"/>
      <c r="BD201" s="4"/>
      <c r="BI201" s="3">
        <v>0</v>
      </c>
      <c r="BJ201" s="3">
        <f t="shared" ref="BJ201:BJ213" si="277">L201-BI201</f>
        <v>0</v>
      </c>
      <c r="BK201" s="3">
        <v>0</v>
      </c>
      <c r="BL201" s="3">
        <f t="shared" ref="BL201:BL213" si="278">M201-BK201</f>
        <v>0</v>
      </c>
      <c r="BM201" s="3">
        <v>0</v>
      </c>
      <c r="BN201" s="3">
        <f t="shared" ref="BN201:BN213" si="279">N201-BM201</f>
        <v>0</v>
      </c>
      <c r="BO201" s="3">
        <v>0</v>
      </c>
      <c r="BP201" s="3">
        <f t="shared" ref="BP201:BP213" si="280">O201-BO201</f>
        <v>0</v>
      </c>
      <c r="BQ201" s="3">
        <v>0</v>
      </c>
      <c r="BR201" s="18">
        <f t="shared" ref="BR201:BR213" si="281">P201-BQ201</f>
        <v>0</v>
      </c>
      <c r="BS201" s="3">
        <v>0</v>
      </c>
      <c r="BT201" s="18">
        <f>Q201-BS201</f>
        <v>0</v>
      </c>
    </row>
    <row r="202" spans="1:72">
      <c r="A202" s="2" t="s">
        <v>44</v>
      </c>
      <c r="B202" s="3">
        <f>'Monthly D3 Gallon Data'!$E5</f>
        <v>0</v>
      </c>
      <c r="C202" s="3">
        <f>'Monthly D3 Gallon Data'!$E17</f>
        <v>0</v>
      </c>
      <c r="D202" s="3">
        <f>'Monthly D3 Gallon Data'!$E29</f>
        <v>0</v>
      </c>
      <c r="E202" s="3">
        <f>'Monthly D3 Gallon Data'!$E41</f>
        <v>0</v>
      </c>
      <c r="F202" s="3">
        <f>'Monthly D3 Gallon Data'!$E53</f>
        <v>0</v>
      </c>
      <c r="G202" s="3">
        <f>'Monthly D3 Gallon Data'!$E65</f>
        <v>0</v>
      </c>
      <c r="H202" s="3">
        <f>'Monthly D3 Gallon Data'!$E77</f>
        <v>0</v>
      </c>
      <c r="I202" s="3">
        <f>'Monthly D3 Gallon Data'!$E89</f>
        <v>0</v>
      </c>
      <c r="J202" s="3">
        <f>'Monthly D3 Gallon Data'!$E101</f>
        <v>0</v>
      </c>
      <c r="K202" s="3">
        <f>'Monthly D3 Gallon Data'!$E113</f>
        <v>0</v>
      </c>
      <c r="L202" s="3">
        <f>'Monthly D3 Gallon Data'!$E125</f>
        <v>0</v>
      </c>
      <c r="M202" s="3">
        <f>'Monthly D3 Gallon Data'!$E137</f>
        <v>0</v>
      </c>
      <c r="N202" s="3">
        <f>'Monthly D3 Gallon Data'!$E149</f>
        <v>0</v>
      </c>
      <c r="O202" s="3">
        <f>'Monthly D3 Gallon Data'!$E161</f>
        <v>0</v>
      </c>
      <c r="P202" s="3">
        <f>'Monthly D3 Gallon Data'!$E173</f>
        <v>0</v>
      </c>
      <c r="Q202" s="3">
        <f>'Monthly D3 Gallon Data'!$E185</f>
        <v>0</v>
      </c>
      <c r="R202" s="4">
        <v>0</v>
      </c>
      <c r="S202" s="4">
        <v>0</v>
      </c>
      <c r="T202" s="4">
        <v>0</v>
      </c>
      <c r="U202" s="4">
        <v>0</v>
      </c>
      <c r="V202" s="4">
        <v>0</v>
      </c>
      <c r="W202" s="4">
        <v>0</v>
      </c>
      <c r="X202" s="4">
        <v>0</v>
      </c>
      <c r="Y202" s="4">
        <v>0</v>
      </c>
      <c r="Z202" s="4">
        <v>0</v>
      </c>
      <c r="AA202" s="4">
        <v>0</v>
      </c>
      <c r="AB202" s="4">
        <v>0</v>
      </c>
      <c r="AC202" s="4">
        <v>0</v>
      </c>
      <c r="AD202" s="4">
        <v>0</v>
      </c>
      <c r="AE202" s="4">
        <v>0</v>
      </c>
      <c r="AF202" s="4">
        <v>0</v>
      </c>
      <c r="AG202" s="4">
        <v>0</v>
      </c>
      <c r="AH202" s="4">
        <v>1</v>
      </c>
      <c r="AI202" s="4">
        <v>2</v>
      </c>
      <c r="AJ202" s="4">
        <v>3</v>
      </c>
      <c r="AK202" s="4">
        <v>4</v>
      </c>
      <c r="AL202" s="4">
        <v>5</v>
      </c>
      <c r="AM202" s="4">
        <v>6</v>
      </c>
      <c r="AN202" s="4">
        <v>7</v>
      </c>
      <c r="AO202" s="4">
        <v>8</v>
      </c>
      <c r="AP202" s="4">
        <v>9</v>
      </c>
      <c r="AQ202" s="4">
        <v>10</v>
      </c>
      <c r="AR202" s="4"/>
      <c r="AS202" s="4"/>
      <c r="AT202" s="4"/>
      <c r="AU202" s="4"/>
      <c r="AV202" s="4"/>
      <c r="AW202" s="4"/>
      <c r="AX202" s="4"/>
      <c r="AY202" s="4"/>
      <c r="AZ202" s="4"/>
      <c r="BA202" s="4"/>
      <c r="BB202" s="4"/>
      <c r="BC202" s="4"/>
      <c r="BD202" s="4"/>
      <c r="BI202" s="3">
        <v>0</v>
      </c>
      <c r="BJ202" s="3">
        <f t="shared" si="277"/>
        <v>0</v>
      </c>
      <c r="BK202" s="3">
        <v>0</v>
      </c>
      <c r="BL202" s="3">
        <f t="shared" si="278"/>
        <v>0</v>
      </c>
      <c r="BM202" s="3">
        <v>0</v>
      </c>
      <c r="BN202" s="3">
        <f t="shared" si="279"/>
        <v>0</v>
      </c>
      <c r="BO202" s="3">
        <v>0</v>
      </c>
      <c r="BP202" s="3">
        <f t="shared" si="280"/>
        <v>0</v>
      </c>
      <c r="BQ202" s="3">
        <v>0</v>
      </c>
      <c r="BR202" s="18">
        <f t="shared" si="281"/>
        <v>0</v>
      </c>
      <c r="BS202" s="3">
        <v>0</v>
      </c>
      <c r="BT202" s="18">
        <f t="shared" ref="BT202:BT213" si="282">Q202-BS202</f>
        <v>0</v>
      </c>
    </row>
    <row r="203" spans="1:72">
      <c r="A203" s="2" t="s">
        <v>45</v>
      </c>
      <c r="B203" s="3">
        <f>'Monthly D3 Gallon Data'!$E6</f>
        <v>0</v>
      </c>
      <c r="C203" s="3">
        <f>'Monthly D3 Gallon Data'!$E18</f>
        <v>0</v>
      </c>
      <c r="D203" s="3">
        <f>'Monthly D3 Gallon Data'!$E30</f>
        <v>0</v>
      </c>
      <c r="E203" s="3">
        <f>'Monthly D3 Gallon Data'!$E42</f>
        <v>0</v>
      </c>
      <c r="F203" s="3">
        <f>'Monthly D3 Gallon Data'!$E54</f>
        <v>0</v>
      </c>
      <c r="G203" s="3">
        <f>'Monthly D3 Gallon Data'!$E66</f>
        <v>0</v>
      </c>
      <c r="H203" s="3">
        <f>'Monthly D3 Gallon Data'!$E78</f>
        <v>0</v>
      </c>
      <c r="I203" s="3">
        <f>'Monthly D3 Gallon Data'!$E90</f>
        <v>0</v>
      </c>
      <c r="J203" s="3">
        <f>'Monthly D3 Gallon Data'!$E102</f>
        <v>0</v>
      </c>
      <c r="K203" s="3">
        <f>'Monthly D3 Gallon Data'!$E114</f>
        <v>0</v>
      </c>
      <c r="L203" s="3">
        <f>'Monthly D3 Gallon Data'!$E126</f>
        <v>0</v>
      </c>
      <c r="M203" s="3">
        <f>'Monthly D3 Gallon Data'!$E138</f>
        <v>0</v>
      </c>
      <c r="N203" s="3">
        <f>'Monthly D3 Gallon Data'!$E150</f>
        <v>0</v>
      </c>
      <c r="O203" s="3">
        <f>'Monthly D3 Gallon Data'!$E162</f>
        <v>0</v>
      </c>
      <c r="P203" s="3">
        <f>'Monthly D3 Gallon Data'!$E174</f>
        <v>0</v>
      </c>
      <c r="Q203" s="4">
        <v>0</v>
      </c>
      <c r="R203" s="4">
        <v>0</v>
      </c>
      <c r="S203" s="4">
        <v>0</v>
      </c>
      <c r="T203" s="4">
        <v>0</v>
      </c>
      <c r="U203" s="4">
        <v>0</v>
      </c>
      <c r="V203" s="4">
        <v>0</v>
      </c>
      <c r="W203" s="4">
        <v>0</v>
      </c>
      <c r="X203" s="4">
        <v>0</v>
      </c>
      <c r="Y203" s="4">
        <v>0</v>
      </c>
      <c r="Z203" s="4">
        <v>0</v>
      </c>
      <c r="AA203" s="4">
        <v>0</v>
      </c>
      <c r="AB203" s="4">
        <v>0</v>
      </c>
      <c r="AC203" s="4">
        <v>0</v>
      </c>
      <c r="AD203" s="4">
        <v>0</v>
      </c>
      <c r="AE203" s="4">
        <v>0</v>
      </c>
      <c r="AF203" s="4">
        <v>0</v>
      </c>
      <c r="AG203" s="4">
        <v>0</v>
      </c>
      <c r="AH203" s="4">
        <v>1</v>
      </c>
      <c r="AI203" s="4">
        <v>2</v>
      </c>
      <c r="AJ203" s="4">
        <v>3</v>
      </c>
      <c r="AK203" s="4">
        <v>4</v>
      </c>
      <c r="AL203" s="4">
        <v>5</v>
      </c>
      <c r="AM203" s="4">
        <v>6</v>
      </c>
      <c r="AN203" s="4">
        <v>7</v>
      </c>
      <c r="AO203" s="4">
        <v>8</v>
      </c>
      <c r="AP203" s="4">
        <v>9</v>
      </c>
      <c r="AQ203" s="4">
        <v>10</v>
      </c>
      <c r="AR203" s="4"/>
      <c r="AS203" s="4"/>
      <c r="AT203" s="4"/>
      <c r="AU203" s="4"/>
      <c r="AV203" s="4"/>
      <c r="AW203" s="4"/>
      <c r="AX203" s="4"/>
      <c r="AY203" s="4"/>
      <c r="AZ203" s="4"/>
      <c r="BA203" s="4"/>
      <c r="BB203" s="4"/>
      <c r="BC203" s="4"/>
      <c r="BD203" s="4"/>
      <c r="BI203" s="3">
        <v>0</v>
      </c>
      <c r="BJ203" s="3">
        <f t="shared" si="277"/>
        <v>0</v>
      </c>
      <c r="BK203" s="3">
        <v>0</v>
      </c>
      <c r="BL203" s="3">
        <f t="shared" si="278"/>
        <v>0</v>
      </c>
      <c r="BM203" s="3">
        <v>0</v>
      </c>
      <c r="BN203" s="3">
        <f t="shared" si="279"/>
        <v>0</v>
      </c>
      <c r="BO203" s="3">
        <v>0</v>
      </c>
      <c r="BP203" s="3">
        <f t="shared" si="280"/>
        <v>0</v>
      </c>
      <c r="BQ203" s="4">
        <v>0</v>
      </c>
      <c r="BR203" s="18">
        <f t="shared" si="281"/>
        <v>0</v>
      </c>
      <c r="BS203" s="4">
        <v>0</v>
      </c>
      <c r="BT203" s="18">
        <f t="shared" si="282"/>
        <v>0</v>
      </c>
    </row>
    <row r="204" spans="1:72">
      <c r="A204" s="2" t="s">
        <v>46</v>
      </c>
      <c r="B204" s="3">
        <f>'Monthly D3 Gallon Data'!$E7</f>
        <v>0</v>
      </c>
      <c r="C204" s="3">
        <f>'Monthly D3 Gallon Data'!$E19</f>
        <v>0</v>
      </c>
      <c r="D204" s="3">
        <f>'Monthly D3 Gallon Data'!$E31</f>
        <v>0</v>
      </c>
      <c r="E204" s="3">
        <f>'Monthly D3 Gallon Data'!$E43</f>
        <v>0</v>
      </c>
      <c r="F204" s="3">
        <f>'Monthly D3 Gallon Data'!$E55</f>
        <v>0</v>
      </c>
      <c r="G204" s="3">
        <f>'Monthly D3 Gallon Data'!$E67</f>
        <v>0</v>
      </c>
      <c r="H204" s="3">
        <f>'Monthly D3 Gallon Data'!$E79</f>
        <v>0</v>
      </c>
      <c r="I204" s="3">
        <f>'Monthly D3 Gallon Data'!$E91</f>
        <v>0</v>
      </c>
      <c r="J204" s="3">
        <f>'Monthly D3 Gallon Data'!$E103</f>
        <v>0</v>
      </c>
      <c r="K204" s="3">
        <f>'Monthly D3 Gallon Data'!$E115</f>
        <v>0</v>
      </c>
      <c r="L204" s="3">
        <f>'Monthly D3 Gallon Data'!$E127</f>
        <v>0</v>
      </c>
      <c r="M204" s="3">
        <f>'Monthly D3 Gallon Data'!$E139</f>
        <v>0</v>
      </c>
      <c r="N204" s="3">
        <f>'Monthly D3 Gallon Data'!$E151</f>
        <v>0</v>
      </c>
      <c r="O204" s="3">
        <f>'Monthly D3 Gallon Data'!$E163</f>
        <v>0</v>
      </c>
      <c r="P204" s="3">
        <f>'Monthly D3 Gallon Data'!$E175</f>
        <v>0</v>
      </c>
      <c r="Q204" s="4">
        <v>0</v>
      </c>
      <c r="R204" s="4">
        <v>0</v>
      </c>
      <c r="S204" s="4">
        <v>0</v>
      </c>
      <c r="T204" s="4">
        <v>0</v>
      </c>
      <c r="U204" s="4">
        <v>0</v>
      </c>
      <c r="V204" s="4">
        <v>0</v>
      </c>
      <c r="W204" s="4">
        <v>0</v>
      </c>
      <c r="X204" s="4">
        <v>0</v>
      </c>
      <c r="Y204" s="4">
        <v>0</v>
      </c>
      <c r="Z204" s="4">
        <v>0</v>
      </c>
      <c r="AA204" s="4">
        <v>0</v>
      </c>
      <c r="AB204" s="4">
        <v>0</v>
      </c>
      <c r="AC204" s="4">
        <v>0</v>
      </c>
      <c r="AD204" s="4">
        <v>0</v>
      </c>
      <c r="AE204" s="4">
        <v>0</v>
      </c>
      <c r="AF204" s="4">
        <v>0</v>
      </c>
      <c r="AG204" s="4">
        <v>0</v>
      </c>
      <c r="AH204" s="4">
        <v>1</v>
      </c>
      <c r="AI204" s="4">
        <v>2</v>
      </c>
      <c r="AJ204" s="4">
        <v>3</v>
      </c>
      <c r="AK204" s="4">
        <v>4</v>
      </c>
      <c r="AL204" s="4">
        <v>5</v>
      </c>
      <c r="AM204" s="4">
        <v>6</v>
      </c>
      <c r="AN204" s="4">
        <v>7</v>
      </c>
      <c r="AO204" s="4">
        <v>8</v>
      </c>
      <c r="AP204" s="4">
        <v>9</v>
      </c>
      <c r="AQ204" s="4">
        <v>10</v>
      </c>
      <c r="AR204" s="4"/>
      <c r="AS204" s="4"/>
      <c r="AT204" s="4"/>
      <c r="AU204" s="4"/>
      <c r="AV204" s="4"/>
      <c r="AW204" s="4"/>
      <c r="AX204" s="4"/>
      <c r="AY204" s="4"/>
      <c r="AZ204" s="4"/>
      <c r="BA204" s="4"/>
      <c r="BB204" s="4"/>
      <c r="BC204" s="4"/>
      <c r="BD204" s="4"/>
      <c r="BI204" s="3">
        <v>0</v>
      </c>
      <c r="BJ204" s="3">
        <f t="shared" si="277"/>
        <v>0</v>
      </c>
      <c r="BK204" s="3">
        <v>0</v>
      </c>
      <c r="BL204" s="3">
        <f t="shared" si="278"/>
        <v>0</v>
      </c>
      <c r="BM204" s="3">
        <v>0</v>
      </c>
      <c r="BN204" s="3">
        <f t="shared" si="279"/>
        <v>0</v>
      </c>
      <c r="BO204" s="3">
        <v>0</v>
      </c>
      <c r="BP204" s="3">
        <f t="shared" si="280"/>
        <v>0</v>
      </c>
      <c r="BQ204" s="4">
        <v>0</v>
      </c>
      <c r="BR204" s="18">
        <f t="shared" si="281"/>
        <v>0</v>
      </c>
      <c r="BS204" s="4">
        <v>0</v>
      </c>
      <c r="BT204" s="18">
        <f t="shared" si="282"/>
        <v>0</v>
      </c>
    </row>
    <row r="205" spans="1:72">
      <c r="A205" s="2" t="s">
        <v>47</v>
      </c>
      <c r="B205" s="3">
        <f>'Monthly D3 Gallon Data'!$E8</f>
        <v>0</v>
      </c>
      <c r="C205" s="3">
        <f>'Monthly D3 Gallon Data'!$E20</f>
        <v>0</v>
      </c>
      <c r="D205" s="3">
        <f>'Monthly D3 Gallon Data'!$E32</f>
        <v>0</v>
      </c>
      <c r="E205" s="3">
        <f>'Monthly D3 Gallon Data'!$E44</f>
        <v>0</v>
      </c>
      <c r="F205" s="3">
        <f>'Monthly D3 Gallon Data'!$E56</f>
        <v>0</v>
      </c>
      <c r="G205" s="3">
        <f>'Monthly D3 Gallon Data'!$E68</f>
        <v>0</v>
      </c>
      <c r="H205" s="3">
        <f>'Monthly D3 Gallon Data'!$E80</f>
        <v>0</v>
      </c>
      <c r="I205" s="3">
        <f>'Monthly D3 Gallon Data'!$E92</f>
        <v>0</v>
      </c>
      <c r="J205" s="3">
        <f>'Monthly D3 Gallon Data'!$E104</f>
        <v>0</v>
      </c>
      <c r="K205" s="3">
        <f>'Monthly D3 Gallon Data'!$E116</f>
        <v>0</v>
      </c>
      <c r="L205" s="3">
        <f>'Monthly D3 Gallon Data'!$E128</f>
        <v>0</v>
      </c>
      <c r="M205" s="3">
        <f>'Monthly D3 Gallon Data'!$E140</f>
        <v>0</v>
      </c>
      <c r="N205" s="3">
        <f>'Monthly D3 Gallon Data'!$E152</f>
        <v>0</v>
      </c>
      <c r="O205" s="3">
        <f>'Monthly D3 Gallon Data'!$E164</f>
        <v>0</v>
      </c>
      <c r="P205" s="3">
        <f>'Monthly D3 Gallon Data'!$E176</f>
        <v>0</v>
      </c>
      <c r="Q205" s="4">
        <v>0</v>
      </c>
      <c r="R205" s="4">
        <v>0</v>
      </c>
      <c r="S205" s="4">
        <v>0</v>
      </c>
      <c r="T205" s="4">
        <v>0</v>
      </c>
      <c r="U205" s="4">
        <v>0</v>
      </c>
      <c r="V205" s="4">
        <v>0</v>
      </c>
      <c r="W205" s="4">
        <v>0</v>
      </c>
      <c r="X205" s="4">
        <v>0</v>
      </c>
      <c r="Y205" s="4">
        <v>0</v>
      </c>
      <c r="Z205" s="4">
        <v>0</v>
      </c>
      <c r="AA205" s="4">
        <v>0</v>
      </c>
      <c r="AB205" s="4">
        <v>0</v>
      </c>
      <c r="AC205" s="4">
        <v>0</v>
      </c>
      <c r="AD205" s="4">
        <v>0</v>
      </c>
      <c r="AE205" s="4">
        <v>0</v>
      </c>
      <c r="AF205" s="4">
        <v>0</v>
      </c>
      <c r="AG205" s="4">
        <v>0</v>
      </c>
      <c r="AH205" s="4">
        <v>1</v>
      </c>
      <c r="AI205" s="4">
        <v>2</v>
      </c>
      <c r="AJ205" s="4">
        <v>3</v>
      </c>
      <c r="AK205" s="4">
        <v>4</v>
      </c>
      <c r="AL205" s="4">
        <v>5</v>
      </c>
      <c r="AM205" s="4">
        <v>6</v>
      </c>
      <c r="AN205" s="4">
        <v>7</v>
      </c>
      <c r="AO205" s="4">
        <v>8</v>
      </c>
      <c r="AP205" s="4">
        <v>9</v>
      </c>
      <c r="AQ205" s="4">
        <v>10</v>
      </c>
      <c r="AR205" s="4"/>
      <c r="AS205" s="4"/>
      <c r="AT205" s="4"/>
      <c r="AU205" s="4"/>
      <c r="AV205" s="4"/>
      <c r="AW205" s="4"/>
      <c r="AX205" s="4"/>
      <c r="AY205" s="4"/>
      <c r="AZ205" s="4"/>
      <c r="BA205" s="4"/>
      <c r="BB205" s="4"/>
      <c r="BC205" s="4"/>
      <c r="BD205" s="4"/>
      <c r="BI205" s="3">
        <v>0</v>
      </c>
      <c r="BJ205" s="3">
        <f t="shared" si="277"/>
        <v>0</v>
      </c>
      <c r="BK205" s="3">
        <v>0</v>
      </c>
      <c r="BL205" s="3">
        <f t="shared" si="278"/>
        <v>0</v>
      </c>
      <c r="BM205" s="3">
        <v>0</v>
      </c>
      <c r="BN205" s="3">
        <f t="shared" si="279"/>
        <v>0</v>
      </c>
      <c r="BO205" s="3">
        <v>0</v>
      </c>
      <c r="BP205" s="3">
        <f t="shared" si="280"/>
        <v>0</v>
      </c>
      <c r="BQ205" s="4">
        <v>0</v>
      </c>
      <c r="BR205" s="18">
        <f t="shared" si="281"/>
        <v>0</v>
      </c>
      <c r="BS205" s="4">
        <v>0</v>
      </c>
      <c r="BT205" s="18">
        <f t="shared" si="282"/>
        <v>0</v>
      </c>
    </row>
    <row r="206" spans="1:72">
      <c r="A206" s="2" t="s">
        <v>48</v>
      </c>
      <c r="B206" s="3">
        <f>'Monthly D3 Gallon Data'!$E9</f>
        <v>0</v>
      </c>
      <c r="C206" s="3">
        <f>'Monthly D3 Gallon Data'!$E21</f>
        <v>0</v>
      </c>
      <c r="D206" s="3">
        <f>'Monthly D3 Gallon Data'!$E33</f>
        <v>0</v>
      </c>
      <c r="E206" s="3">
        <f>'Monthly D3 Gallon Data'!$E45</f>
        <v>56385</v>
      </c>
      <c r="F206" s="3">
        <f>'Monthly D3 Gallon Data'!$E57</f>
        <v>0</v>
      </c>
      <c r="G206" s="3">
        <f>'Monthly D3 Gallon Data'!$E69</f>
        <v>0</v>
      </c>
      <c r="H206" s="3">
        <f>'Monthly D3 Gallon Data'!$E81</f>
        <v>0</v>
      </c>
      <c r="I206" s="3">
        <f>'Monthly D3 Gallon Data'!$E93</f>
        <v>0</v>
      </c>
      <c r="J206" s="3">
        <f>'Monthly D3 Gallon Data'!$E105</f>
        <v>0</v>
      </c>
      <c r="K206" s="3">
        <f>'Monthly D3 Gallon Data'!$E117</f>
        <v>0</v>
      </c>
      <c r="L206" s="3">
        <f>'Monthly D3 Gallon Data'!$E129</f>
        <v>0</v>
      </c>
      <c r="M206" s="3">
        <f>'Monthly D3 Gallon Data'!$E141</f>
        <v>0</v>
      </c>
      <c r="N206" s="3">
        <f>'Monthly D3 Gallon Data'!$E153</f>
        <v>0</v>
      </c>
      <c r="O206" s="3">
        <f>'Monthly D3 Gallon Data'!$E165</f>
        <v>0</v>
      </c>
      <c r="P206" s="3">
        <f>'Monthly D3 Gallon Data'!$E177</f>
        <v>0</v>
      </c>
      <c r="Q206" s="4">
        <v>0</v>
      </c>
      <c r="R206" s="4">
        <v>0</v>
      </c>
      <c r="S206" s="4">
        <v>0</v>
      </c>
      <c r="T206" s="4">
        <v>0</v>
      </c>
      <c r="U206" s="4">
        <v>0</v>
      </c>
      <c r="V206" s="4">
        <v>0</v>
      </c>
      <c r="W206" s="4">
        <v>0</v>
      </c>
      <c r="X206" s="4">
        <v>0</v>
      </c>
      <c r="Y206" s="4">
        <v>0</v>
      </c>
      <c r="Z206" s="4">
        <v>0</v>
      </c>
      <c r="AA206" s="4">
        <v>0</v>
      </c>
      <c r="AB206" s="4">
        <v>0</v>
      </c>
      <c r="AC206" s="4">
        <v>0</v>
      </c>
      <c r="AD206" s="4">
        <v>0</v>
      </c>
      <c r="AE206" s="4">
        <v>0</v>
      </c>
      <c r="AF206" s="4">
        <v>0</v>
      </c>
      <c r="AG206" s="4">
        <v>0</v>
      </c>
      <c r="AH206" s="4">
        <v>1</v>
      </c>
      <c r="AI206" s="4">
        <v>2</v>
      </c>
      <c r="AJ206" s="4">
        <v>3</v>
      </c>
      <c r="AK206" s="4">
        <v>4</v>
      </c>
      <c r="AL206" s="4">
        <v>5</v>
      </c>
      <c r="AM206" s="4">
        <v>6</v>
      </c>
      <c r="AN206" s="4">
        <v>7</v>
      </c>
      <c r="AO206" s="4">
        <v>8</v>
      </c>
      <c r="AP206" s="4">
        <v>9</v>
      </c>
      <c r="AQ206" s="4">
        <v>10</v>
      </c>
      <c r="AR206" s="4"/>
      <c r="AS206" s="4"/>
      <c r="AT206" s="4"/>
      <c r="AU206" s="4"/>
      <c r="AV206" s="4"/>
      <c r="AW206" s="4"/>
      <c r="AX206" s="4"/>
      <c r="AY206" s="4"/>
      <c r="AZ206" s="4"/>
      <c r="BA206" s="4"/>
      <c r="BB206" s="4"/>
      <c r="BC206" s="4"/>
      <c r="BD206" s="4"/>
      <c r="BI206" s="3">
        <v>0</v>
      </c>
      <c r="BJ206" s="3">
        <f t="shared" si="277"/>
        <v>0</v>
      </c>
      <c r="BK206" s="3">
        <v>0</v>
      </c>
      <c r="BL206" s="3">
        <f t="shared" si="278"/>
        <v>0</v>
      </c>
      <c r="BM206" s="3">
        <v>0</v>
      </c>
      <c r="BN206" s="3">
        <f t="shared" si="279"/>
        <v>0</v>
      </c>
      <c r="BO206" s="3">
        <v>0</v>
      </c>
      <c r="BP206" s="3">
        <f t="shared" si="280"/>
        <v>0</v>
      </c>
      <c r="BQ206" s="4">
        <v>0</v>
      </c>
      <c r="BR206" s="18">
        <f t="shared" si="281"/>
        <v>0</v>
      </c>
      <c r="BS206" s="4">
        <v>0</v>
      </c>
      <c r="BT206" s="18">
        <f t="shared" si="282"/>
        <v>0</v>
      </c>
    </row>
    <row r="207" spans="1:72">
      <c r="A207" s="2" t="s">
        <v>49</v>
      </c>
      <c r="B207" s="3">
        <f>'Monthly D3 Gallon Data'!$E10</f>
        <v>0</v>
      </c>
      <c r="C207" s="3">
        <f>'Monthly D3 Gallon Data'!$E22</f>
        <v>0</v>
      </c>
      <c r="D207" s="3">
        <f>'Monthly D3 Gallon Data'!$E34</f>
        <v>0</v>
      </c>
      <c r="E207" s="3">
        <f>'Monthly D3 Gallon Data'!$E46</f>
        <v>37639</v>
      </c>
      <c r="F207" s="3">
        <f>'Monthly D3 Gallon Data'!$E58</f>
        <v>0</v>
      </c>
      <c r="G207" s="3">
        <f>'Monthly D3 Gallon Data'!$E70</f>
        <v>0</v>
      </c>
      <c r="H207" s="3">
        <f>'Monthly D3 Gallon Data'!$E82</f>
        <v>0</v>
      </c>
      <c r="I207" s="3">
        <f>'Monthly D3 Gallon Data'!$E94</f>
        <v>0</v>
      </c>
      <c r="J207" s="3">
        <f>'Monthly D3 Gallon Data'!$E106</f>
        <v>0</v>
      </c>
      <c r="K207" s="3">
        <f>'Monthly D3 Gallon Data'!$E118</f>
        <v>0</v>
      </c>
      <c r="L207" s="3">
        <f>'Monthly D3 Gallon Data'!$E130</f>
        <v>0</v>
      </c>
      <c r="M207" s="3">
        <f>'Monthly D3 Gallon Data'!$E142</f>
        <v>0</v>
      </c>
      <c r="N207" s="3">
        <f>'Monthly D3 Gallon Data'!$E154</f>
        <v>0</v>
      </c>
      <c r="O207" s="3">
        <f>'Monthly D3 Gallon Data'!$E166</f>
        <v>0</v>
      </c>
      <c r="P207" s="3">
        <f>'Monthly D3 Gallon Data'!$E178</f>
        <v>0</v>
      </c>
      <c r="Q207" s="4">
        <v>0</v>
      </c>
      <c r="R207" s="4">
        <v>0</v>
      </c>
      <c r="S207" s="4">
        <v>0</v>
      </c>
      <c r="T207" s="4">
        <v>0</v>
      </c>
      <c r="U207" s="4">
        <v>0</v>
      </c>
      <c r="V207" s="4">
        <v>0</v>
      </c>
      <c r="W207" s="4">
        <v>0</v>
      </c>
      <c r="X207" s="4">
        <v>0</v>
      </c>
      <c r="Y207" s="4">
        <v>0</v>
      </c>
      <c r="Z207" s="4">
        <v>0</v>
      </c>
      <c r="AA207" s="4">
        <v>0</v>
      </c>
      <c r="AB207" s="4">
        <v>0</v>
      </c>
      <c r="AC207" s="4">
        <v>0</v>
      </c>
      <c r="AD207" s="4">
        <v>0</v>
      </c>
      <c r="AE207" s="4">
        <v>0</v>
      </c>
      <c r="AF207" s="4">
        <v>0</v>
      </c>
      <c r="AG207" s="4">
        <v>0</v>
      </c>
      <c r="AH207" s="4">
        <v>1</v>
      </c>
      <c r="AI207" s="4">
        <v>2</v>
      </c>
      <c r="AJ207" s="4">
        <v>3</v>
      </c>
      <c r="AK207" s="4">
        <v>4</v>
      </c>
      <c r="AL207" s="4">
        <v>5</v>
      </c>
      <c r="AM207" s="4">
        <v>6</v>
      </c>
      <c r="AN207" s="4">
        <v>7</v>
      </c>
      <c r="AO207" s="4">
        <v>8</v>
      </c>
      <c r="AP207" s="4">
        <v>9</v>
      </c>
      <c r="AQ207" s="4">
        <v>10</v>
      </c>
      <c r="AR207" s="4"/>
      <c r="AS207" s="4"/>
      <c r="AT207" s="4"/>
      <c r="AU207" s="4"/>
      <c r="AV207" s="4"/>
      <c r="AW207" s="4"/>
      <c r="AX207" s="4"/>
      <c r="AY207" s="4"/>
      <c r="AZ207" s="4"/>
      <c r="BA207" s="4"/>
      <c r="BB207" s="4"/>
      <c r="BC207" s="4"/>
      <c r="BD207" s="4"/>
      <c r="BG207" s="3">
        <v>0</v>
      </c>
      <c r="BH207" s="3">
        <f t="shared" ref="BH207:BH213" si="283">K207-BG207</f>
        <v>0</v>
      </c>
      <c r="BI207" s="3">
        <v>0</v>
      </c>
      <c r="BJ207" s="3">
        <f t="shared" si="277"/>
        <v>0</v>
      </c>
      <c r="BK207" s="3">
        <v>0</v>
      </c>
      <c r="BL207" s="3">
        <f t="shared" si="278"/>
        <v>0</v>
      </c>
      <c r="BM207" s="3">
        <v>0</v>
      </c>
      <c r="BN207" s="3">
        <f t="shared" si="279"/>
        <v>0</v>
      </c>
      <c r="BO207" s="3">
        <v>0</v>
      </c>
      <c r="BP207" s="3">
        <f t="shared" si="280"/>
        <v>0</v>
      </c>
      <c r="BQ207" s="4">
        <v>0</v>
      </c>
      <c r="BR207" s="18">
        <f t="shared" si="281"/>
        <v>0</v>
      </c>
      <c r="BS207" s="4">
        <v>0</v>
      </c>
      <c r="BT207" s="18">
        <f t="shared" si="282"/>
        <v>0</v>
      </c>
    </row>
    <row r="208" spans="1:72">
      <c r="A208" s="2" t="s">
        <v>50</v>
      </c>
      <c r="B208" s="3">
        <f>'Monthly D3 Gallon Data'!$E11</f>
        <v>0</v>
      </c>
      <c r="C208" s="3">
        <f>'Monthly D3 Gallon Data'!$E23</f>
        <v>0</v>
      </c>
      <c r="D208" s="3">
        <f>'Monthly D3 Gallon Data'!$E35</f>
        <v>0</v>
      </c>
      <c r="E208" s="3">
        <f>'Monthly D3 Gallon Data'!$E47</f>
        <v>0</v>
      </c>
      <c r="F208" s="3">
        <f>'Monthly D3 Gallon Data'!$E59</f>
        <v>0</v>
      </c>
      <c r="G208" s="3">
        <f>'Monthly D3 Gallon Data'!$E71</f>
        <v>0</v>
      </c>
      <c r="H208" s="3">
        <f>'Monthly D3 Gallon Data'!$E83</f>
        <v>0</v>
      </c>
      <c r="I208" s="3">
        <f>'Monthly D3 Gallon Data'!$E95</f>
        <v>0</v>
      </c>
      <c r="J208" s="3">
        <f>'Monthly D3 Gallon Data'!$E107</f>
        <v>0</v>
      </c>
      <c r="K208" s="3">
        <f>'Monthly D3 Gallon Data'!$E119</f>
        <v>0</v>
      </c>
      <c r="L208" s="3">
        <f>'Monthly D3 Gallon Data'!$E131</f>
        <v>0</v>
      </c>
      <c r="M208" s="3">
        <f>'Monthly D3 Gallon Data'!$E143</f>
        <v>0</v>
      </c>
      <c r="N208" s="3">
        <f>'Monthly D3 Gallon Data'!$E155</f>
        <v>0</v>
      </c>
      <c r="O208" s="3">
        <f>'Monthly D3 Gallon Data'!$E167</f>
        <v>0</v>
      </c>
      <c r="P208" s="3">
        <f>'Monthly D3 Gallon Data'!$E179</f>
        <v>0</v>
      </c>
      <c r="Q208" s="4">
        <v>0</v>
      </c>
      <c r="R208" s="4">
        <v>0</v>
      </c>
      <c r="S208" s="4">
        <v>0</v>
      </c>
      <c r="T208" s="4">
        <v>0</v>
      </c>
      <c r="U208" s="4">
        <v>0</v>
      </c>
      <c r="V208" s="4">
        <v>0</v>
      </c>
      <c r="W208" s="4">
        <v>0</v>
      </c>
      <c r="X208" s="4">
        <v>0</v>
      </c>
      <c r="Y208" s="4">
        <v>0</v>
      </c>
      <c r="Z208" s="4">
        <v>0</v>
      </c>
      <c r="AA208" s="4">
        <v>0</v>
      </c>
      <c r="AB208" s="4">
        <v>0</v>
      </c>
      <c r="AC208" s="4">
        <v>0</v>
      </c>
      <c r="AD208" s="4">
        <v>0</v>
      </c>
      <c r="AE208" s="4">
        <v>0</v>
      </c>
      <c r="AF208" s="4">
        <v>0</v>
      </c>
      <c r="AG208" s="4">
        <v>0</v>
      </c>
      <c r="AH208" s="4">
        <v>1</v>
      </c>
      <c r="AI208" s="4">
        <v>2</v>
      </c>
      <c r="AJ208" s="4">
        <v>3</v>
      </c>
      <c r="AK208" s="4">
        <v>4</v>
      </c>
      <c r="AL208" s="4">
        <v>5</v>
      </c>
      <c r="AM208" s="4">
        <v>6</v>
      </c>
      <c r="AN208" s="4">
        <v>7</v>
      </c>
      <c r="AO208" s="4">
        <v>8</v>
      </c>
      <c r="AP208" s="4">
        <v>9</v>
      </c>
      <c r="AQ208" s="4">
        <v>10</v>
      </c>
      <c r="AR208" s="4"/>
      <c r="AS208" s="4"/>
      <c r="AT208" s="4"/>
      <c r="AU208" s="4"/>
      <c r="AV208" s="4"/>
      <c r="AW208" s="4"/>
      <c r="AX208" s="4"/>
      <c r="AY208" s="4"/>
      <c r="AZ208" s="4"/>
      <c r="BA208" s="4"/>
      <c r="BB208" s="4"/>
      <c r="BC208" s="4"/>
      <c r="BD208" s="4"/>
      <c r="BG208" s="3">
        <v>0</v>
      </c>
      <c r="BH208" s="3">
        <f t="shared" si="283"/>
        <v>0</v>
      </c>
      <c r="BI208" s="3">
        <v>0</v>
      </c>
      <c r="BJ208" s="3">
        <f t="shared" si="277"/>
        <v>0</v>
      </c>
      <c r="BK208" s="3">
        <v>0</v>
      </c>
      <c r="BL208" s="3">
        <f t="shared" si="278"/>
        <v>0</v>
      </c>
      <c r="BM208" s="3">
        <v>0</v>
      </c>
      <c r="BN208" s="3">
        <f t="shared" si="279"/>
        <v>0</v>
      </c>
      <c r="BO208" s="3">
        <v>0</v>
      </c>
      <c r="BP208" s="3">
        <f t="shared" si="280"/>
        <v>0</v>
      </c>
      <c r="BQ208" s="4">
        <v>0</v>
      </c>
      <c r="BR208" s="18">
        <f t="shared" si="281"/>
        <v>0</v>
      </c>
      <c r="BS208" s="4">
        <v>0</v>
      </c>
      <c r="BT208" s="18">
        <f t="shared" si="282"/>
        <v>0</v>
      </c>
    </row>
    <row r="209" spans="1:72">
      <c r="A209" s="2" t="s">
        <v>51</v>
      </c>
      <c r="B209" s="3">
        <f>'Monthly D3 Gallon Data'!$E12</f>
        <v>0</v>
      </c>
      <c r="C209" s="3">
        <f>'Monthly D3 Gallon Data'!$E24</f>
        <v>0</v>
      </c>
      <c r="D209" s="3">
        <f>'Monthly D3 Gallon Data'!$E36</f>
        <v>0</v>
      </c>
      <c r="E209" s="3">
        <f>'Monthly D3 Gallon Data'!$E48</f>
        <v>72759</v>
      </c>
      <c r="F209" s="3">
        <f>'Monthly D3 Gallon Data'!$E60</f>
        <v>0</v>
      </c>
      <c r="G209" s="3">
        <f>'Monthly D3 Gallon Data'!$E72</f>
        <v>0</v>
      </c>
      <c r="H209" s="3">
        <f>'Monthly D3 Gallon Data'!$E84</f>
        <v>0</v>
      </c>
      <c r="I209" s="3">
        <f>'Monthly D3 Gallon Data'!$E96</f>
        <v>0</v>
      </c>
      <c r="J209" s="3">
        <f>'Monthly D3 Gallon Data'!$E108</f>
        <v>0</v>
      </c>
      <c r="K209" s="3">
        <f>'Monthly D3 Gallon Data'!$E120</f>
        <v>0</v>
      </c>
      <c r="L209" s="3">
        <f>'Monthly D3 Gallon Data'!$E132</f>
        <v>0</v>
      </c>
      <c r="M209" s="3">
        <f>'Monthly D3 Gallon Data'!$E144</f>
        <v>0</v>
      </c>
      <c r="N209" s="3">
        <f>'Monthly D3 Gallon Data'!$E156</f>
        <v>0</v>
      </c>
      <c r="O209" s="3">
        <f>'Monthly D3 Gallon Data'!$E168</f>
        <v>0</v>
      </c>
      <c r="P209" s="3">
        <f>'Monthly D3 Gallon Data'!$E180</f>
        <v>0</v>
      </c>
      <c r="Q209" s="4">
        <v>0</v>
      </c>
      <c r="R209" s="4">
        <v>0</v>
      </c>
      <c r="S209" s="4">
        <v>0</v>
      </c>
      <c r="T209" s="4">
        <v>0</v>
      </c>
      <c r="U209" s="4">
        <v>0</v>
      </c>
      <c r="V209" s="4">
        <v>0</v>
      </c>
      <c r="W209" s="4">
        <v>0</v>
      </c>
      <c r="X209" s="4">
        <v>0</v>
      </c>
      <c r="Y209" s="4">
        <v>0</v>
      </c>
      <c r="Z209" s="4">
        <v>0</v>
      </c>
      <c r="AA209" s="4">
        <v>0</v>
      </c>
      <c r="AB209" s="4">
        <v>0</v>
      </c>
      <c r="AC209" s="4">
        <v>0</v>
      </c>
      <c r="AD209" s="4">
        <v>0</v>
      </c>
      <c r="AE209" s="4">
        <v>0</v>
      </c>
      <c r="AF209" s="4">
        <v>0</v>
      </c>
      <c r="AG209" s="4">
        <v>0</v>
      </c>
      <c r="AH209" s="4">
        <v>1</v>
      </c>
      <c r="AI209" s="4">
        <v>2</v>
      </c>
      <c r="AJ209" s="4">
        <v>3</v>
      </c>
      <c r="AK209" s="4">
        <v>4</v>
      </c>
      <c r="AL209" s="4">
        <v>5</v>
      </c>
      <c r="AM209" s="4">
        <v>6</v>
      </c>
      <c r="AN209" s="4">
        <v>7</v>
      </c>
      <c r="AO209" s="4">
        <v>8</v>
      </c>
      <c r="AP209" s="4">
        <v>9</v>
      </c>
      <c r="AQ209" s="4">
        <v>10</v>
      </c>
      <c r="AR209" s="4"/>
      <c r="AS209" s="4"/>
      <c r="AT209" s="4"/>
      <c r="AU209" s="4"/>
      <c r="AV209" s="4"/>
      <c r="AW209" s="4"/>
      <c r="AX209" s="4"/>
      <c r="AY209" s="4"/>
      <c r="AZ209" s="4"/>
      <c r="BA209" s="4"/>
      <c r="BB209" s="4"/>
      <c r="BC209" s="4"/>
      <c r="BD209" s="4"/>
      <c r="BG209" s="3">
        <v>0</v>
      </c>
      <c r="BH209" s="3">
        <f t="shared" si="283"/>
        <v>0</v>
      </c>
      <c r="BI209" s="3">
        <v>0</v>
      </c>
      <c r="BJ209" s="3">
        <f t="shared" si="277"/>
        <v>0</v>
      </c>
      <c r="BK209" s="3">
        <v>0</v>
      </c>
      <c r="BL209" s="3">
        <f t="shared" si="278"/>
        <v>0</v>
      </c>
      <c r="BM209" s="3">
        <v>0</v>
      </c>
      <c r="BN209" s="3">
        <f t="shared" si="279"/>
        <v>0</v>
      </c>
      <c r="BO209" s="3">
        <v>0</v>
      </c>
      <c r="BP209" s="3">
        <f t="shared" si="280"/>
        <v>0</v>
      </c>
      <c r="BQ209" s="4">
        <v>0</v>
      </c>
      <c r="BR209" s="18">
        <f t="shared" si="281"/>
        <v>0</v>
      </c>
      <c r="BS209" s="4">
        <v>0</v>
      </c>
      <c r="BT209" s="18">
        <f t="shared" si="282"/>
        <v>0</v>
      </c>
    </row>
    <row r="210" spans="1:72">
      <c r="A210" s="2" t="s">
        <v>52</v>
      </c>
      <c r="B210" s="3">
        <f>'Monthly D3 Gallon Data'!$E13</f>
        <v>0</v>
      </c>
      <c r="C210" s="3">
        <f>'Monthly D3 Gallon Data'!$E25</f>
        <v>0</v>
      </c>
      <c r="D210" s="3">
        <f>'Monthly D3 Gallon Data'!$E37</f>
        <v>0</v>
      </c>
      <c r="E210" s="3">
        <f>'Monthly D3 Gallon Data'!$E49</f>
        <v>29580</v>
      </c>
      <c r="F210" s="3">
        <f>'Monthly D3 Gallon Data'!$E61</f>
        <v>0</v>
      </c>
      <c r="G210" s="3">
        <f>'Monthly D3 Gallon Data'!$E73</f>
        <v>0</v>
      </c>
      <c r="H210" s="3">
        <f>'Monthly D3 Gallon Data'!$E85</f>
        <v>0</v>
      </c>
      <c r="I210" s="3">
        <f>'Monthly D3 Gallon Data'!$E97</f>
        <v>0</v>
      </c>
      <c r="J210" s="3">
        <f>'Monthly D3 Gallon Data'!$E109</f>
        <v>0</v>
      </c>
      <c r="K210" s="3">
        <f>'Monthly D3 Gallon Data'!$E121</f>
        <v>0</v>
      </c>
      <c r="L210" s="3">
        <f>'Monthly D3 Gallon Data'!$E133</f>
        <v>0</v>
      </c>
      <c r="M210" s="3">
        <f>'Monthly D3 Gallon Data'!$E145</f>
        <v>0</v>
      </c>
      <c r="N210" s="3">
        <f>'Monthly D3 Gallon Data'!$E157</f>
        <v>0</v>
      </c>
      <c r="O210" s="3">
        <f>'Monthly D3 Gallon Data'!$E169</f>
        <v>0</v>
      </c>
      <c r="P210" s="3">
        <f>'Monthly D3 Gallon Data'!$E181</f>
        <v>0</v>
      </c>
      <c r="Q210" s="4">
        <v>0</v>
      </c>
      <c r="R210" s="4">
        <v>0</v>
      </c>
      <c r="S210" s="4">
        <v>0</v>
      </c>
      <c r="T210" s="4">
        <v>0</v>
      </c>
      <c r="U210" s="4">
        <v>0</v>
      </c>
      <c r="V210" s="4">
        <v>0</v>
      </c>
      <c r="W210" s="4">
        <v>0</v>
      </c>
      <c r="X210" s="4">
        <v>0</v>
      </c>
      <c r="Y210" s="4">
        <v>0</v>
      </c>
      <c r="Z210" s="4">
        <v>0</v>
      </c>
      <c r="AA210" s="4">
        <v>0</v>
      </c>
      <c r="AB210" s="4">
        <v>0</v>
      </c>
      <c r="AC210" s="4">
        <v>0</v>
      </c>
      <c r="AD210" s="4">
        <v>0</v>
      </c>
      <c r="AE210" s="4">
        <v>0</v>
      </c>
      <c r="AF210" s="4">
        <v>0</v>
      </c>
      <c r="AG210" s="4">
        <v>0</v>
      </c>
      <c r="AH210" s="4">
        <v>1</v>
      </c>
      <c r="AI210" s="4">
        <v>2</v>
      </c>
      <c r="AJ210" s="4">
        <v>3</v>
      </c>
      <c r="AK210" s="4">
        <v>4</v>
      </c>
      <c r="AL210" s="4">
        <v>5</v>
      </c>
      <c r="AM210" s="4">
        <v>6</v>
      </c>
      <c r="AN210" s="4">
        <v>7</v>
      </c>
      <c r="AO210" s="4">
        <v>8</v>
      </c>
      <c r="AP210" s="4">
        <v>9</v>
      </c>
      <c r="AQ210" s="4">
        <v>10</v>
      </c>
      <c r="AR210" s="4"/>
      <c r="AS210" s="4"/>
      <c r="AT210" s="4"/>
      <c r="AU210" s="4"/>
      <c r="AV210" s="4"/>
      <c r="AW210" s="4"/>
      <c r="AX210" s="4"/>
      <c r="AY210" s="4"/>
      <c r="AZ210" s="4"/>
      <c r="BA210" s="4"/>
      <c r="BB210" s="4"/>
      <c r="BC210" s="4"/>
      <c r="BD210" s="4"/>
      <c r="BG210" s="3">
        <v>0</v>
      </c>
      <c r="BH210" s="3">
        <f t="shared" si="283"/>
        <v>0</v>
      </c>
      <c r="BI210" s="3">
        <v>0</v>
      </c>
      <c r="BJ210" s="3">
        <f t="shared" si="277"/>
        <v>0</v>
      </c>
      <c r="BK210" s="3">
        <v>0</v>
      </c>
      <c r="BL210" s="3">
        <f t="shared" si="278"/>
        <v>0</v>
      </c>
      <c r="BM210" s="3">
        <v>0</v>
      </c>
      <c r="BN210" s="3">
        <f t="shared" si="279"/>
        <v>0</v>
      </c>
      <c r="BO210" s="3">
        <v>0</v>
      </c>
      <c r="BP210" s="3">
        <f t="shared" si="280"/>
        <v>0</v>
      </c>
      <c r="BQ210" s="4">
        <v>0</v>
      </c>
      <c r="BR210" s="18">
        <f t="shared" si="281"/>
        <v>0</v>
      </c>
      <c r="BS210" s="4">
        <v>0</v>
      </c>
      <c r="BT210" s="18">
        <f t="shared" si="282"/>
        <v>0</v>
      </c>
    </row>
    <row r="211" spans="1:72">
      <c r="A211" s="2" t="s">
        <v>53</v>
      </c>
      <c r="B211" s="3">
        <f>'Monthly D3 Gallon Data'!$E14</f>
        <v>0</v>
      </c>
      <c r="C211" s="3">
        <f>'Monthly D3 Gallon Data'!$E26</f>
        <v>0</v>
      </c>
      <c r="D211" s="3">
        <f>'Monthly D3 Gallon Data'!$E38</f>
        <v>0</v>
      </c>
      <c r="E211" s="3">
        <f>'Monthly D3 Gallon Data'!$E50</f>
        <v>39412</v>
      </c>
      <c r="F211" s="3">
        <f>'Monthly D3 Gallon Data'!$E62</f>
        <v>0</v>
      </c>
      <c r="G211" s="3">
        <f>'Monthly D3 Gallon Data'!$E74</f>
        <v>0</v>
      </c>
      <c r="H211" s="3">
        <f>'Monthly D3 Gallon Data'!$E86</f>
        <v>0</v>
      </c>
      <c r="I211" s="3">
        <f>'Monthly D3 Gallon Data'!$E98</f>
        <v>0</v>
      </c>
      <c r="J211" s="3">
        <f>'Monthly D3 Gallon Data'!$E110</f>
        <v>0</v>
      </c>
      <c r="K211" s="3">
        <f>'Monthly D3 Gallon Data'!$E122</f>
        <v>0</v>
      </c>
      <c r="L211" s="3">
        <f>'Monthly D3 Gallon Data'!$E134</f>
        <v>0</v>
      </c>
      <c r="M211" s="3">
        <f>'Monthly D3 Gallon Data'!$E146</f>
        <v>0</v>
      </c>
      <c r="N211" s="3">
        <f>'Monthly D3 Gallon Data'!$E158</f>
        <v>0</v>
      </c>
      <c r="O211" s="3">
        <f>'Monthly D3 Gallon Data'!$E170</f>
        <v>0</v>
      </c>
      <c r="P211" s="3">
        <f>'Monthly D3 Gallon Data'!$E182</f>
        <v>0</v>
      </c>
      <c r="Q211" s="4">
        <v>0</v>
      </c>
      <c r="R211" s="4">
        <v>0</v>
      </c>
      <c r="S211" s="4">
        <v>0</v>
      </c>
      <c r="T211" s="4">
        <v>0</v>
      </c>
      <c r="U211" s="4">
        <v>0</v>
      </c>
      <c r="V211" s="4">
        <v>0</v>
      </c>
      <c r="W211" s="4">
        <v>0</v>
      </c>
      <c r="X211" s="4">
        <v>0</v>
      </c>
      <c r="Y211" s="4">
        <v>0</v>
      </c>
      <c r="Z211" s="4">
        <v>0</v>
      </c>
      <c r="AA211" s="4">
        <v>0</v>
      </c>
      <c r="AB211" s="4">
        <v>0</v>
      </c>
      <c r="AC211" s="4">
        <v>0</v>
      </c>
      <c r="AD211" s="4">
        <v>0</v>
      </c>
      <c r="AE211" s="4">
        <v>0</v>
      </c>
      <c r="AF211" s="4">
        <v>0</v>
      </c>
      <c r="AG211" s="4">
        <v>0</v>
      </c>
      <c r="AH211" s="4">
        <v>1</v>
      </c>
      <c r="AI211" s="4">
        <v>2</v>
      </c>
      <c r="AJ211" s="4">
        <v>3</v>
      </c>
      <c r="AK211" s="4">
        <v>4</v>
      </c>
      <c r="AL211" s="4">
        <v>5</v>
      </c>
      <c r="AM211" s="4">
        <v>6</v>
      </c>
      <c r="AN211" s="4">
        <v>7</v>
      </c>
      <c r="AO211" s="4">
        <v>8</v>
      </c>
      <c r="AP211" s="4">
        <v>9</v>
      </c>
      <c r="AQ211" s="4">
        <v>10</v>
      </c>
      <c r="AR211" s="4"/>
      <c r="AS211" s="4"/>
      <c r="AT211" s="4"/>
      <c r="AU211" s="4"/>
      <c r="AV211" s="4"/>
      <c r="AW211" s="4"/>
      <c r="AX211" s="4"/>
      <c r="AY211" s="4"/>
      <c r="AZ211" s="4"/>
      <c r="BA211" s="4"/>
      <c r="BB211" s="4"/>
      <c r="BC211" s="4"/>
      <c r="BD211" s="4"/>
      <c r="BG211" s="3">
        <v>0</v>
      </c>
      <c r="BH211" s="3">
        <f t="shared" si="283"/>
        <v>0</v>
      </c>
      <c r="BI211" s="3">
        <v>0</v>
      </c>
      <c r="BJ211" s="3">
        <f t="shared" si="277"/>
        <v>0</v>
      </c>
      <c r="BK211" s="3">
        <v>0</v>
      </c>
      <c r="BL211" s="3">
        <f t="shared" si="278"/>
        <v>0</v>
      </c>
      <c r="BM211" s="3">
        <v>0</v>
      </c>
      <c r="BN211" s="3">
        <f t="shared" si="279"/>
        <v>0</v>
      </c>
      <c r="BO211" s="3">
        <v>0</v>
      </c>
      <c r="BP211" s="3">
        <f t="shared" si="280"/>
        <v>0</v>
      </c>
      <c r="BQ211" s="4">
        <v>0</v>
      </c>
      <c r="BR211" s="18">
        <f t="shared" si="281"/>
        <v>0</v>
      </c>
      <c r="BS211" s="4">
        <v>0</v>
      </c>
      <c r="BT211" s="18">
        <f t="shared" si="282"/>
        <v>0</v>
      </c>
    </row>
    <row r="212" spans="1:72">
      <c r="A212" s="2" t="s">
        <v>54</v>
      </c>
      <c r="B212" s="3">
        <f>'Monthly D3 Gallon Data'!$E15</f>
        <v>0</v>
      </c>
      <c r="C212" s="3">
        <f>'Monthly D3 Gallon Data'!$E27</f>
        <v>0</v>
      </c>
      <c r="D212" s="3">
        <f>'Monthly D3 Gallon Data'!$E39</f>
        <v>0</v>
      </c>
      <c r="E212" s="3">
        <f>'Monthly D3 Gallon Data'!$E51</f>
        <v>46044</v>
      </c>
      <c r="F212" s="3">
        <f>'Monthly D3 Gallon Data'!$E63</f>
        <v>0</v>
      </c>
      <c r="G212" s="3">
        <f>'Monthly D3 Gallon Data'!$E75</f>
        <v>0</v>
      </c>
      <c r="H212" s="3">
        <f>'Monthly D3 Gallon Data'!$E87</f>
        <v>0</v>
      </c>
      <c r="I212" s="3">
        <f>'Monthly D3 Gallon Data'!$E99</f>
        <v>0</v>
      </c>
      <c r="J212" s="3">
        <f>'Monthly D3 Gallon Data'!$E111</f>
        <v>0</v>
      </c>
      <c r="K212" s="3">
        <f>'Monthly D3 Gallon Data'!$E123</f>
        <v>0</v>
      </c>
      <c r="L212" s="3">
        <f>'Monthly D3 Gallon Data'!$E135</f>
        <v>0</v>
      </c>
      <c r="M212" s="3">
        <f>'Monthly D3 Gallon Data'!$E147</f>
        <v>0</v>
      </c>
      <c r="N212" s="3">
        <f>'Monthly D3 Gallon Data'!$E159</f>
        <v>0</v>
      </c>
      <c r="O212" s="3">
        <f>'Monthly D3 Gallon Data'!$E171</f>
        <v>0</v>
      </c>
      <c r="P212" s="3">
        <f>'Monthly D3 Gallon Data'!$E183</f>
        <v>0</v>
      </c>
      <c r="Q212" s="4">
        <v>0</v>
      </c>
      <c r="R212" s="4">
        <v>0</v>
      </c>
      <c r="S212" s="4">
        <v>0</v>
      </c>
      <c r="T212" s="4">
        <v>0</v>
      </c>
      <c r="U212" s="4">
        <v>0</v>
      </c>
      <c r="V212" s="4">
        <v>0</v>
      </c>
      <c r="W212" s="4">
        <v>0</v>
      </c>
      <c r="X212" s="4">
        <v>0</v>
      </c>
      <c r="Y212" s="4">
        <v>0</v>
      </c>
      <c r="Z212" s="4">
        <v>0</v>
      </c>
      <c r="AA212" s="4">
        <v>0</v>
      </c>
      <c r="AB212" s="4">
        <v>0</v>
      </c>
      <c r="AC212" s="4">
        <v>0</v>
      </c>
      <c r="AD212" s="4">
        <v>0</v>
      </c>
      <c r="AE212" s="4">
        <v>0</v>
      </c>
      <c r="AF212" s="4">
        <v>0</v>
      </c>
      <c r="AG212" s="4">
        <v>0</v>
      </c>
      <c r="AH212" s="4">
        <v>1</v>
      </c>
      <c r="AI212" s="4">
        <v>2</v>
      </c>
      <c r="AJ212" s="4">
        <v>3</v>
      </c>
      <c r="AK212" s="4">
        <v>4</v>
      </c>
      <c r="AL212" s="4">
        <v>5</v>
      </c>
      <c r="AM212" s="4">
        <v>6</v>
      </c>
      <c r="AN212" s="4">
        <v>7</v>
      </c>
      <c r="AO212" s="4">
        <v>8</v>
      </c>
      <c r="AP212" s="4">
        <v>9</v>
      </c>
      <c r="AQ212" s="4">
        <v>10</v>
      </c>
      <c r="AR212" s="4"/>
      <c r="AS212" s="4"/>
      <c r="AT212" s="4"/>
      <c r="AU212" s="4"/>
      <c r="AV212" s="4"/>
      <c r="AW212" s="4"/>
      <c r="AX212" s="4"/>
      <c r="AY212" s="4"/>
      <c r="AZ212" s="4"/>
      <c r="BA212" s="4"/>
      <c r="BB212" s="4"/>
      <c r="BC212" s="4"/>
      <c r="BD212" s="4"/>
      <c r="BG212" s="3">
        <v>0</v>
      </c>
      <c r="BH212" s="3">
        <f t="shared" si="283"/>
        <v>0</v>
      </c>
      <c r="BI212" s="3">
        <v>0</v>
      </c>
      <c r="BJ212" s="3">
        <f t="shared" si="277"/>
        <v>0</v>
      </c>
      <c r="BK212" s="3">
        <v>0</v>
      </c>
      <c r="BL212" s="3">
        <f t="shared" si="278"/>
        <v>0</v>
      </c>
      <c r="BM212" s="3">
        <v>0</v>
      </c>
      <c r="BN212" s="3">
        <f t="shared" si="279"/>
        <v>0</v>
      </c>
      <c r="BO212" s="3">
        <v>0</v>
      </c>
      <c r="BP212" s="3">
        <f t="shared" si="280"/>
        <v>0</v>
      </c>
      <c r="BQ212" s="4">
        <v>0</v>
      </c>
      <c r="BR212" s="18">
        <f t="shared" si="281"/>
        <v>0</v>
      </c>
      <c r="BS212" s="4">
        <v>0</v>
      </c>
      <c r="BT212" s="18">
        <f t="shared" si="282"/>
        <v>0</v>
      </c>
    </row>
    <row r="213" spans="1:72" ht="15.75" thickBot="1">
      <c r="A213" s="2" t="s">
        <v>29</v>
      </c>
      <c r="B213" s="3">
        <f>SUM(B201:B212)</f>
        <v>0</v>
      </c>
      <c r="C213" s="3">
        <f t="shared" ref="C213:P213" si="284">SUM(C201:C212)</f>
        <v>0</v>
      </c>
      <c r="D213" s="3">
        <f t="shared" si="284"/>
        <v>0</v>
      </c>
      <c r="E213" s="3">
        <f t="shared" si="284"/>
        <v>281819</v>
      </c>
      <c r="F213" s="3">
        <f t="shared" si="284"/>
        <v>29445</v>
      </c>
      <c r="G213" s="3">
        <f t="shared" si="284"/>
        <v>0</v>
      </c>
      <c r="H213" s="3">
        <f t="shared" si="284"/>
        <v>0</v>
      </c>
      <c r="I213" s="3">
        <f t="shared" si="284"/>
        <v>0</v>
      </c>
      <c r="J213" s="3">
        <f t="shared" si="284"/>
        <v>0</v>
      </c>
      <c r="K213" s="3">
        <f t="shared" si="284"/>
        <v>0</v>
      </c>
      <c r="L213" s="3">
        <f t="shared" si="284"/>
        <v>0</v>
      </c>
      <c r="M213" s="3">
        <f t="shared" si="284"/>
        <v>0</v>
      </c>
      <c r="N213" s="3">
        <f t="shared" si="284"/>
        <v>0</v>
      </c>
      <c r="O213" s="3">
        <f t="shared" si="284"/>
        <v>0</v>
      </c>
      <c r="P213" s="3">
        <f t="shared" si="284"/>
        <v>0</v>
      </c>
      <c r="Q213" s="4">
        <f t="shared" ref="Q213:AD213" si="285">Q13</f>
        <v>0</v>
      </c>
      <c r="R213" s="4">
        <f t="shared" si="285"/>
        <v>0</v>
      </c>
      <c r="S213" s="4">
        <f t="shared" si="285"/>
        <v>0</v>
      </c>
      <c r="T213" s="4">
        <f t="shared" si="285"/>
        <v>0</v>
      </c>
      <c r="U213" s="4">
        <f t="shared" si="285"/>
        <v>0</v>
      </c>
      <c r="V213" s="4">
        <f t="shared" si="285"/>
        <v>0</v>
      </c>
      <c r="W213" s="4">
        <f t="shared" si="285"/>
        <v>0</v>
      </c>
      <c r="X213" s="4">
        <f t="shared" si="285"/>
        <v>0</v>
      </c>
      <c r="Y213" s="4">
        <f t="shared" si="285"/>
        <v>0</v>
      </c>
      <c r="Z213" s="4">
        <f t="shared" si="285"/>
        <v>0</v>
      </c>
      <c r="AA213" s="4">
        <f t="shared" si="285"/>
        <v>0</v>
      </c>
      <c r="AB213" s="4">
        <f t="shared" si="285"/>
        <v>0</v>
      </c>
      <c r="AC213" s="4">
        <f t="shared" si="285"/>
        <v>0</v>
      </c>
      <c r="AD213" s="4">
        <f t="shared" si="285"/>
        <v>0</v>
      </c>
      <c r="AE213" s="4">
        <f>AE13</f>
        <v>0</v>
      </c>
      <c r="AF213" s="4">
        <f>AF13</f>
        <v>0</v>
      </c>
      <c r="AG213" s="4">
        <f>AG13</f>
        <v>0</v>
      </c>
      <c r="AH213" s="4">
        <f t="shared" ref="AH213:AO213" si="286">AH13</f>
        <v>0</v>
      </c>
      <c r="AI213" s="4">
        <f t="shared" si="286"/>
        <v>0</v>
      </c>
      <c r="AJ213" s="4">
        <f t="shared" si="286"/>
        <v>0</v>
      </c>
      <c r="AK213" s="4">
        <f t="shared" si="286"/>
        <v>0</v>
      </c>
      <c r="AL213" s="4">
        <f t="shared" si="286"/>
        <v>0</v>
      </c>
      <c r="AM213" s="4">
        <f t="shared" si="286"/>
        <v>0</v>
      </c>
      <c r="AN213" s="4">
        <f t="shared" si="286"/>
        <v>0</v>
      </c>
      <c r="AO213" s="4">
        <f t="shared" si="286"/>
        <v>0</v>
      </c>
      <c r="AP213" s="4">
        <f>AP13</f>
        <v>0</v>
      </c>
      <c r="AQ213" s="4">
        <f>AQ13</f>
        <v>0</v>
      </c>
      <c r="AR213" s="4"/>
      <c r="AS213" s="4"/>
      <c r="AT213" s="4"/>
      <c r="AU213" s="4"/>
      <c r="AV213" s="4"/>
      <c r="AW213" s="4"/>
      <c r="AX213" s="4"/>
      <c r="AY213" s="4"/>
      <c r="AZ213" s="4"/>
      <c r="BA213" s="4"/>
      <c r="BB213" s="4"/>
      <c r="BC213" s="4"/>
      <c r="BD213" s="4"/>
      <c r="BG213" s="3">
        <v>0</v>
      </c>
      <c r="BH213" s="3">
        <f t="shared" si="283"/>
        <v>0</v>
      </c>
      <c r="BI213" s="3">
        <v>0</v>
      </c>
      <c r="BJ213" s="3">
        <f t="shared" si="277"/>
        <v>0</v>
      </c>
      <c r="BK213" s="3">
        <v>0</v>
      </c>
      <c r="BL213" s="3">
        <f t="shared" si="278"/>
        <v>0</v>
      </c>
      <c r="BM213" s="3">
        <v>0</v>
      </c>
      <c r="BN213" s="3">
        <f t="shared" si="279"/>
        <v>0</v>
      </c>
      <c r="BO213" s="3">
        <v>0</v>
      </c>
      <c r="BP213" s="3">
        <f t="shared" si="280"/>
        <v>0</v>
      </c>
      <c r="BQ213" s="4">
        <v>0</v>
      </c>
      <c r="BR213" s="18">
        <f t="shared" si="281"/>
        <v>0</v>
      </c>
      <c r="BS213" s="19">
        <v>0</v>
      </c>
      <c r="BT213" s="18">
        <f t="shared" si="282"/>
        <v>0</v>
      </c>
    </row>
    <row r="214" spans="1:72">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c r="AH214" s="114"/>
      <c r="AI214" s="114"/>
      <c r="AJ214" s="114"/>
      <c r="AK214" s="114"/>
      <c r="AL214" s="114"/>
      <c r="AM214" s="114"/>
      <c r="AN214" s="114"/>
      <c r="AO214" s="114"/>
      <c r="AP214" s="114"/>
      <c r="AQ214" s="114"/>
      <c r="AR214" s="2"/>
      <c r="AS214" s="2"/>
      <c r="AT214" s="2"/>
      <c r="AU214" s="2"/>
      <c r="AV214" s="2"/>
      <c r="AW214" s="2"/>
      <c r="AX214" s="2"/>
      <c r="AY214" s="2"/>
      <c r="AZ214" s="2"/>
      <c r="BA214" s="2"/>
      <c r="BB214" s="2"/>
      <c r="BC214" s="2"/>
      <c r="BD214" s="2"/>
      <c r="BR214" s="117"/>
    </row>
    <row r="215" spans="1:72" ht="16.5" thickBot="1">
      <c r="A215" s="109" t="s">
        <v>254</v>
      </c>
      <c r="BR215" s="117"/>
    </row>
    <row r="216" spans="1:72" ht="15.75" thickBot="1">
      <c r="A216" s="110"/>
      <c r="B216" s="111">
        <f t="shared" ref="B216:K216" si="287">B2</f>
        <v>2010</v>
      </c>
      <c r="C216" s="111">
        <f t="shared" si="287"/>
        <v>2011</v>
      </c>
      <c r="D216" s="111">
        <f t="shared" si="287"/>
        <v>2012</v>
      </c>
      <c r="E216" s="111">
        <f t="shared" si="287"/>
        <v>2013</v>
      </c>
      <c r="F216" s="111">
        <f t="shared" si="287"/>
        <v>2014</v>
      </c>
      <c r="G216" s="111">
        <f t="shared" si="287"/>
        <v>2015</v>
      </c>
      <c r="H216" s="111">
        <f t="shared" si="287"/>
        <v>2016</v>
      </c>
      <c r="I216" s="111">
        <f t="shared" si="287"/>
        <v>2017</v>
      </c>
      <c r="J216" s="111">
        <f t="shared" si="287"/>
        <v>2018</v>
      </c>
      <c r="K216" s="111">
        <f t="shared" si="287"/>
        <v>2019</v>
      </c>
      <c r="L216" s="111">
        <f>L2</f>
        <v>2020</v>
      </c>
      <c r="M216" s="111">
        <f>M2</f>
        <v>2021</v>
      </c>
      <c r="N216" s="111">
        <f t="shared" ref="N216:AD216" si="288">N2</f>
        <v>2022</v>
      </c>
      <c r="O216" s="111">
        <f t="shared" si="288"/>
        <v>2023</v>
      </c>
      <c r="P216" s="111">
        <f t="shared" si="288"/>
        <v>2024</v>
      </c>
      <c r="Q216" s="111">
        <f t="shared" si="288"/>
        <v>2025</v>
      </c>
      <c r="R216" s="111">
        <f t="shared" si="288"/>
        <v>2026</v>
      </c>
      <c r="S216" s="111">
        <f t="shared" si="288"/>
        <v>2027</v>
      </c>
      <c r="T216" s="111">
        <f t="shared" si="288"/>
        <v>2028</v>
      </c>
      <c r="U216" s="111">
        <f t="shared" si="288"/>
        <v>2029</v>
      </c>
      <c r="V216" s="111">
        <f t="shared" si="288"/>
        <v>2030</v>
      </c>
      <c r="W216" s="111">
        <f t="shared" si="288"/>
        <v>2031</v>
      </c>
      <c r="X216" s="111">
        <f t="shared" si="288"/>
        <v>2032</v>
      </c>
      <c r="Y216" s="111">
        <f t="shared" si="288"/>
        <v>2033</v>
      </c>
      <c r="Z216" s="111">
        <f t="shared" si="288"/>
        <v>2034</v>
      </c>
      <c r="AA216" s="111">
        <f t="shared" si="288"/>
        <v>2035</v>
      </c>
      <c r="AB216" s="111">
        <f t="shared" si="288"/>
        <v>2036</v>
      </c>
      <c r="AC216" s="111">
        <f t="shared" si="288"/>
        <v>2037</v>
      </c>
      <c r="AD216" s="111">
        <f t="shared" si="288"/>
        <v>2038</v>
      </c>
      <c r="AE216" s="111">
        <f>AE2</f>
        <v>2039</v>
      </c>
      <c r="AF216" s="111">
        <f>AF2</f>
        <v>2040</v>
      </c>
      <c r="AG216" s="111">
        <f>AG2</f>
        <v>2041</v>
      </c>
      <c r="AH216" s="111">
        <f t="shared" ref="AH216:AO216" si="289">AH2</f>
        <v>2042</v>
      </c>
      <c r="AI216" s="111">
        <f t="shared" si="289"/>
        <v>2043</v>
      </c>
      <c r="AJ216" s="111">
        <f t="shared" si="289"/>
        <v>2044</v>
      </c>
      <c r="AK216" s="111">
        <f t="shared" si="289"/>
        <v>2045</v>
      </c>
      <c r="AL216" s="111">
        <f t="shared" si="289"/>
        <v>2046</v>
      </c>
      <c r="AM216" s="111">
        <f t="shared" si="289"/>
        <v>2047</v>
      </c>
      <c r="AN216" s="111">
        <f t="shared" si="289"/>
        <v>2048</v>
      </c>
      <c r="AO216" s="111">
        <f t="shared" si="289"/>
        <v>2049</v>
      </c>
      <c r="AP216" s="111">
        <f>AP2</f>
        <v>2050</v>
      </c>
      <c r="AQ216" s="111">
        <f>AQ2</f>
        <v>2051</v>
      </c>
      <c r="AR216" s="94"/>
      <c r="AS216" s="94"/>
      <c r="AT216" s="94"/>
      <c r="AU216" s="94"/>
      <c r="AV216" s="94"/>
      <c r="AW216" s="94"/>
      <c r="AX216" s="94"/>
      <c r="AY216" s="94"/>
      <c r="AZ216" s="94"/>
      <c r="BA216" s="94"/>
      <c r="BB216" s="94"/>
      <c r="BC216" s="94"/>
      <c r="BD216" s="94"/>
      <c r="BR216" s="117"/>
    </row>
    <row r="217" spans="1:72">
      <c r="A217" s="2" t="s">
        <v>43</v>
      </c>
      <c r="B217" s="3">
        <f>'Monthly D3 Gallon Data'!$F4</f>
        <v>0</v>
      </c>
      <c r="C217" s="3">
        <f>'Monthly D3 Gallon Data'!$F16</f>
        <v>0</v>
      </c>
      <c r="D217" s="3">
        <f>'Monthly D3 Gallon Data'!$F28</f>
        <v>0</v>
      </c>
      <c r="E217" s="3">
        <f>'Monthly D3 Gallon Data'!$F40</f>
        <v>0</v>
      </c>
      <c r="F217" s="3">
        <f>'Monthly D3 Gallon Data'!$F52</f>
        <v>0</v>
      </c>
      <c r="G217" s="3">
        <f>'Monthly D3 Gallon Data'!$F64</f>
        <v>0</v>
      </c>
      <c r="H217" s="3">
        <f>'Monthly D3 Gallon Data'!$F76</f>
        <v>0</v>
      </c>
      <c r="I217" s="3">
        <f>'Monthly D3 Gallon Data'!$F88</f>
        <v>0</v>
      </c>
      <c r="J217" s="3">
        <f>'Monthly D3 Gallon Data'!$F100</f>
        <v>0</v>
      </c>
      <c r="K217" s="3">
        <f>'Monthly D3 Gallon Data'!$F112</f>
        <v>0</v>
      </c>
      <c r="L217" s="3">
        <f>'Monthly D3 Gallon Data'!$F124</f>
        <v>0</v>
      </c>
      <c r="M217" s="3">
        <f>'Monthly D3 Gallon Data'!$F136</f>
        <v>0</v>
      </c>
      <c r="N217" s="3">
        <f>'Monthly D3 Gallon Data'!$F148</f>
        <v>0</v>
      </c>
      <c r="O217" s="3">
        <f>'Monthly D3 Gallon Data'!$F160</f>
        <v>0</v>
      </c>
      <c r="P217" s="3">
        <f>'Monthly D3 Gallon Data'!$F172</f>
        <v>0</v>
      </c>
      <c r="Q217" s="3">
        <f>'Monthly D3 Gallon Data'!$F184</f>
        <v>0</v>
      </c>
      <c r="R217" s="4">
        <v>0</v>
      </c>
      <c r="S217" s="4">
        <v>0</v>
      </c>
      <c r="T217" s="4">
        <v>0</v>
      </c>
      <c r="U217" s="4">
        <v>0</v>
      </c>
      <c r="V217" s="4">
        <v>0</v>
      </c>
      <c r="W217" s="4">
        <v>0</v>
      </c>
      <c r="X217" s="4">
        <v>0</v>
      </c>
      <c r="Y217" s="4">
        <v>0</v>
      </c>
      <c r="Z217" s="4">
        <v>0</v>
      </c>
      <c r="AA217" s="4">
        <v>0</v>
      </c>
      <c r="AB217" s="4">
        <v>0</v>
      </c>
      <c r="AC217" s="4">
        <v>0</v>
      </c>
      <c r="AD217" s="4">
        <v>0</v>
      </c>
      <c r="AE217" s="4">
        <v>0</v>
      </c>
      <c r="AF217" s="4">
        <v>0</v>
      </c>
      <c r="AG217" s="4">
        <v>0</v>
      </c>
      <c r="AH217" s="4">
        <v>1</v>
      </c>
      <c r="AI217" s="4">
        <v>2</v>
      </c>
      <c r="AJ217" s="4">
        <v>3</v>
      </c>
      <c r="AK217" s="4">
        <v>4</v>
      </c>
      <c r="AL217" s="4">
        <v>5</v>
      </c>
      <c r="AM217" s="4">
        <v>6</v>
      </c>
      <c r="AN217" s="4">
        <v>7</v>
      </c>
      <c r="AO217" s="4">
        <v>8</v>
      </c>
      <c r="AP217" s="4">
        <v>9</v>
      </c>
      <c r="AQ217" s="4">
        <v>10</v>
      </c>
      <c r="AR217" s="4"/>
      <c r="AS217" s="4"/>
      <c r="AT217" s="4"/>
      <c r="AU217" s="4"/>
      <c r="AV217" s="4"/>
      <c r="AW217" s="4"/>
      <c r="AX217" s="4"/>
      <c r="AY217" s="4"/>
      <c r="AZ217" s="4"/>
      <c r="BA217" s="4"/>
      <c r="BB217" s="4"/>
      <c r="BC217" s="4"/>
      <c r="BD217" s="4"/>
      <c r="BI217" s="3">
        <v>0</v>
      </c>
      <c r="BJ217" s="3">
        <f t="shared" ref="BJ217:BJ229" si="290">L217-BI217</f>
        <v>0</v>
      </c>
      <c r="BK217" s="3">
        <v>0</v>
      </c>
      <c r="BL217" s="3">
        <f t="shared" ref="BL217:BL229" si="291">M217-BK217</f>
        <v>0</v>
      </c>
      <c r="BM217" s="3">
        <v>0</v>
      </c>
      <c r="BN217" s="3">
        <f t="shared" ref="BN217:BN229" si="292">N217-BM217</f>
        <v>0</v>
      </c>
      <c r="BO217" s="3">
        <v>0</v>
      </c>
      <c r="BP217" s="3">
        <f t="shared" ref="BP217:BP229" si="293">O217-BO217</f>
        <v>0</v>
      </c>
      <c r="BQ217" s="3">
        <v>0</v>
      </c>
      <c r="BR217" s="18">
        <f t="shared" ref="BR217:BR229" si="294">P217-BQ217</f>
        <v>0</v>
      </c>
      <c r="BS217" s="3">
        <v>0</v>
      </c>
      <c r="BT217" s="18">
        <f>Q217-BS217</f>
        <v>0</v>
      </c>
    </row>
    <row r="218" spans="1:72">
      <c r="A218" s="2" t="s">
        <v>44</v>
      </c>
      <c r="B218" s="3">
        <f>'Monthly D3 Gallon Data'!$F5</f>
        <v>0</v>
      </c>
      <c r="C218" s="3">
        <f>'Monthly D3 Gallon Data'!$F17</f>
        <v>0</v>
      </c>
      <c r="D218" s="3">
        <f>'Monthly D3 Gallon Data'!$F29</f>
        <v>0</v>
      </c>
      <c r="E218" s="3">
        <f>'Monthly D3 Gallon Data'!$F41</f>
        <v>0</v>
      </c>
      <c r="F218" s="3">
        <f>'Monthly D3 Gallon Data'!$F53</f>
        <v>0</v>
      </c>
      <c r="G218" s="3">
        <f>'Monthly D3 Gallon Data'!$F65</f>
        <v>0</v>
      </c>
      <c r="H218" s="3">
        <f>'Monthly D3 Gallon Data'!$F77</f>
        <v>0</v>
      </c>
      <c r="I218" s="3">
        <f>'Monthly D3 Gallon Data'!$F89</f>
        <v>0</v>
      </c>
      <c r="J218" s="3">
        <f>'Monthly D3 Gallon Data'!$F101</f>
        <v>0</v>
      </c>
      <c r="K218" s="3">
        <f>'Monthly D3 Gallon Data'!$F113</f>
        <v>0</v>
      </c>
      <c r="L218" s="3">
        <f>'Monthly D3 Gallon Data'!$F125</f>
        <v>0</v>
      </c>
      <c r="M218" s="3">
        <f>'Monthly D3 Gallon Data'!$F137</f>
        <v>0</v>
      </c>
      <c r="N218" s="3">
        <f>'Monthly D3 Gallon Data'!$F149</f>
        <v>0</v>
      </c>
      <c r="O218" s="3">
        <f>'Monthly D3 Gallon Data'!$F161</f>
        <v>0</v>
      </c>
      <c r="P218" s="3">
        <f>'Monthly D3 Gallon Data'!$F173</f>
        <v>0</v>
      </c>
      <c r="Q218" s="3">
        <f>'Monthly D3 Gallon Data'!$F185</f>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1</v>
      </c>
      <c r="AI218" s="4">
        <v>2</v>
      </c>
      <c r="AJ218" s="4">
        <v>3</v>
      </c>
      <c r="AK218" s="4">
        <v>4</v>
      </c>
      <c r="AL218" s="4">
        <v>5</v>
      </c>
      <c r="AM218" s="4">
        <v>6</v>
      </c>
      <c r="AN218" s="4">
        <v>7</v>
      </c>
      <c r="AO218" s="4">
        <v>8</v>
      </c>
      <c r="AP218" s="4">
        <v>9</v>
      </c>
      <c r="AQ218" s="4">
        <v>10</v>
      </c>
      <c r="AR218" s="4"/>
      <c r="AS218" s="4"/>
      <c r="AT218" s="4"/>
      <c r="AU218" s="4"/>
      <c r="AV218" s="4"/>
      <c r="AW218" s="4"/>
      <c r="AX218" s="4"/>
      <c r="AY218" s="4"/>
      <c r="AZ218" s="4"/>
      <c r="BA218" s="4"/>
      <c r="BB218" s="4"/>
      <c r="BC218" s="4"/>
      <c r="BD218" s="4"/>
      <c r="BI218" s="3">
        <v>0</v>
      </c>
      <c r="BJ218" s="3">
        <f t="shared" si="290"/>
        <v>0</v>
      </c>
      <c r="BK218" s="3">
        <v>0</v>
      </c>
      <c r="BL218" s="3">
        <f t="shared" si="291"/>
        <v>0</v>
      </c>
      <c r="BM218" s="3">
        <v>0</v>
      </c>
      <c r="BN218" s="3">
        <f t="shared" si="292"/>
        <v>0</v>
      </c>
      <c r="BO218" s="3">
        <v>0</v>
      </c>
      <c r="BP218" s="3">
        <f t="shared" si="293"/>
        <v>0</v>
      </c>
      <c r="BQ218" s="3">
        <v>0</v>
      </c>
      <c r="BR218" s="18">
        <f t="shared" si="294"/>
        <v>0</v>
      </c>
      <c r="BS218" s="3">
        <v>0</v>
      </c>
      <c r="BT218" s="18">
        <f t="shared" ref="BT218:BT229" si="295">Q218-BS218</f>
        <v>0</v>
      </c>
    </row>
    <row r="219" spans="1:72">
      <c r="A219" s="2" t="s">
        <v>45</v>
      </c>
      <c r="B219" s="3">
        <f>'Monthly D3 Gallon Data'!$F6</f>
        <v>0</v>
      </c>
      <c r="C219" s="3">
        <f>'Monthly D3 Gallon Data'!$F18</f>
        <v>0</v>
      </c>
      <c r="D219" s="3">
        <f>'Monthly D3 Gallon Data'!$F30</f>
        <v>0</v>
      </c>
      <c r="E219" s="3">
        <f>'Monthly D3 Gallon Data'!$F42</f>
        <v>0</v>
      </c>
      <c r="F219" s="3">
        <f>'Monthly D3 Gallon Data'!$F54</f>
        <v>0</v>
      </c>
      <c r="G219" s="3">
        <f>'Monthly D3 Gallon Data'!$F66</f>
        <v>0</v>
      </c>
      <c r="H219" s="3">
        <f>'Monthly D3 Gallon Data'!$F78</f>
        <v>0</v>
      </c>
      <c r="I219" s="3">
        <f>'Monthly D3 Gallon Data'!$F90</f>
        <v>0</v>
      </c>
      <c r="J219" s="3">
        <f>'Monthly D3 Gallon Data'!$F102</f>
        <v>0</v>
      </c>
      <c r="K219" s="3">
        <f>'Monthly D3 Gallon Data'!$F114</f>
        <v>0</v>
      </c>
      <c r="L219" s="3">
        <f>'Monthly D3 Gallon Data'!$F126</f>
        <v>0</v>
      </c>
      <c r="M219" s="3">
        <f>'Monthly D3 Gallon Data'!$F138</f>
        <v>0</v>
      </c>
      <c r="N219" s="3">
        <f>'Monthly D3 Gallon Data'!$F150</f>
        <v>0</v>
      </c>
      <c r="O219" s="3">
        <f>'Monthly D3 Gallon Data'!$F162</f>
        <v>0</v>
      </c>
      <c r="P219" s="3">
        <f>'Monthly D3 Gallon Data'!$F174</f>
        <v>0</v>
      </c>
      <c r="Q219" s="4">
        <v>0</v>
      </c>
      <c r="R219" s="4">
        <v>0</v>
      </c>
      <c r="S219" s="4">
        <v>0</v>
      </c>
      <c r="T219" s="4">
        <v>0</v>
      </c>
      <c r="U219" s="4">
        <v>0</v>
      </c>
      <c r="V219" s="4">
        <v>0</v>
      </c>
      <c r="W219" s="4">
        <v>0</v>
      </c>
      <c r="X219" s="4">
        <v>0</v>
      </c>
      <c r="Y219" s="4">
        <v>0</v>
      </c>
      <c r="Z219" s="4">
        <v>0</v>
      </c>
      <c r="AA219" s="4">
        <v>0</v>
      </c>
      <c r="AB219" s="4">
        <v>0</v>
      </c>
      <c r="AC219" s="4">
        <v>0</v>
      </c>
      <c r="AD219" s="4">
        <v>0</v>
      </c>
      <c r="AE219" s="4">
        <v>0</v>
      </c>
      <c r="AF219" s="4">
        <v>0</v>
      </c>
      <c r="AG219" s="4">
        <v>0</v>
      </c>
      <c r="AH219" s="4">
        <v>1</v>
      </c>
      <c r="AI219" s="4">
        <v>2</v>
      </c>
      <c r="AJ219" s="4">
        <v>3</v>
      </c>
      <c r="AK219" s="4">
        <v>4</v>
      </c>
      <c r="AL219" s="4">
        <v>5</v>
      </c>
      <c r="AM219" s="4">
        <v>6</v>
      </c>
      <c r="AN219" s="4">
        <v>7</v>
      </c>
      <c r="AO219" s="4">
        <v>8</v>
      </c>
      <c r="AP219" s="4">
        <v>9</v>
      </c>
      <c r="AQ219" s="4">
        <v>10</v>
      </c>
      <c r="AR219" s="4"/>
      <c r="AS219" s="4"/>
      <c r="AT219" s="4"/>
      <c r="AU219" s="4"/>
      <c r="AV219" s="4"/>
      <c r="AW219" s="4"/>
      <c r="AX219" s="4"/>
      <c r="AY219" s="4"/>
      <c r="AZ219" s="4"/>
      <c r="BA219" s="4"/>
      <c r="BB219" s="4"/>
      <c r="BC219" s="4"/>
      <c r="BD219" s="4"/>
      <c r="BI219" s="3">
        <v>0</v>
      </c>
      <c r="BJ219" s="3">
        <f t="shared" si="290"/>
        <v>0</v>
      </c>
      <c r="BK219" s="3">
        <v>0</v>
      </c>
      <c r="BL219" s="3">
        <f t="shared" si="291"/>
        <v>0</v>
      </c>
      <c r="BM219" s="3">
        <v>0</v>
      </c>
      <c r="BN219" s="3">
        <f t="shared" si="292"/>
        <v>0</v>
      </c>
      <c r="BO219" s="3">
        <v>0</v>
      </c>
      <c r="BP219" s="3">
        <f t="shared" si="293"/>
        <v>0</v>
      </c>
      <c r="BQ219" s="4">
        <v>0</v>
      </c>
      <c r="BR219" s="18">
        <f t="shared" si="294"/>
        <v>0</v>
      </c>
      <c r="BS219" s="4">
        <v>0</v>
      </c>
      <c r="BT219" s="18">
        <f t="shared" si="295"/>
        <v>0</v>
      </c>
    </row>
    <row r="220" spans="1:72">
      <c r="A220" s="2" t="s">
        <v>46</v>
      </c>
      <c r="B220" s="3">
        <f>'Monthly D3 Gallon Data'!$F7</f>
        <v>0</v>
      </c>
      <c r="C220" s="3">
        <f>'Monthly D3 Gallon Data'!$F19</f>
        <v>0</v>
      </c>
      <c r="D220" s="3">
        <f>'Monthly D3 Gallon Data'!$F31</f>
        <v>0</v>
      </c>
      <c r="E220" s="3">
        <f>'Monthly D3 Gallon Data'!$F43</f>
        <v>0</v>
      </c>
      <c r="F220" s="3">
        <f>'Monthly D3 Gallon Data'!$F55</f>
        <v>0</v>
      </c>
      <c r="G220" s="3">
        <f>'Monthly D3 Gallon Data'!$F67</f>
        <v>0</v>
      </c>
      <c r="H220" s="3">
        <f>'Monthly D3 Gallon Data'!$F79</f>
        <v>0</v>
      </c>
      <c r="I220" s="3">
        <f>'Monthly D3 Gallon Data'!$F91</f>
        <v>0</v>
      </c>
      <c r="J220" s="3">
        <f>'Monthly D3 Gallon Data'!$F103</f>
        <v>0</v>
      </c>
      <c r="K220" s="3">
        <f>'Monthly D3 Gallon Data'!$F115</f>
        <v>0</v>
      </c>
      <c r="L220" s="3">
        <f>'Monthly D3 Gallon Data'!$F127</f>
        <v>0</v>
      </c>
      <c r="M220" s="3">
        <f>'Monthly D3 Gallon Data'!$F139</f>
        <v>0</v>
      </c>
      <c r="N220" s="3">
        <f>'Monthly D3 Gallon Data'!$F151</f>
        <v>0</v>
      </c>
      <c r="O220" s="3">
        <f>'Monthly D3 Gallon Data'!$F163</f>
        <v>0</v>
      </c>
      <c r="P220" s="3">
        <f>'Monthly D3 Gallon Data'!$F175</f>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4">
        <v>0</v>
      </c>
      <c r="AH220" s="4">
        <v>1</v>
      </c>
      <c r="AI220" s="4">
        <v>2</v>
      </c>
      <c r="AJ220" s="4">
        <v>3</v>
      </c>
      <c r="AK220" s="4">
        <v>4</v>
      </c>
      <c r="AL220" s="4">
        <v>5</v>
      </c>
      <c r="AM220" s="4">
        <v>6</v>
      </c>
      <c r="AN220" s="4">
        <v>7</v>
      </c>
      <c r="AO220" s="4">
        <v>8</v>
      </c>
      <c r="AP220" s="4">
        <v>9</v>
      </c>
      <c r="AQ220" s="4">
        <v>10</v>
      </c>
      <c r="AR220" s="4"/>
      <c r="AS220" s="4"/>
      <c r="AT220" s="4"/>
      <c r="AU220" s="4"/>
      <c r="AV220" s="4"/>
      <c r="AW220" s="4"/>
      <c r="AX220" s="4"/>
      <c r="AY220" s="4"/>
      <c r="AZ220" s="4"/>
      <c r="BA220" s="4"/>
      <c r="BB220" s="4"/>
      <c r="BC220" s="4"/>
      <c r="BD220" s="4"/>
      <c r="BI220" s="3">
        <v>0</v>
      </c>
      <c r="BJ220" s="3">
        <f t="shared" si="290"/>
        <v>0</v>
      </c>
      <c r="BK220" s="3">
        <v>0</v>
      </c>
      <c r="BL220" s="3">
        <f t="shared" si="291"/>
        <v>0</v>
      </c>
      <c r="BM220" s="3">
        <v>0</v>
      </c>
      <c r="BN220" s="3">
        <f t="shared" si="292"/>
        <v>0</v>
      </c>
      <c r="BO220" s="3">
        <v>0</v>
      </c>
      <c r="BP220" s="3">
        <f t="shared" si="293"/>
        <v>0</v>
      </c>
      <c r="BQ220" s="4">
        <v>0</v>
      </c>
      <c r="BR220" s="18">
        <f t="shared" si="294"/>
        <v>0</v>
      </c>
      <c r="BS220" s="4">
        <v>0</v>
      </c>
      <c r="BT220" s="18">
        <f t="shared" si="295"/>
        <v>0</v>
      </c>
    </row>
    <row r="221" spans="1:72">
      <c r="A221" s="2" t="s">
        <v>47</v>
      </c>
      <c r="B221" s="3">
        <f>'Monthly D3 Gallon Data'!$F8</f>
        <v>0</v>
      </c>
      <c r="C221" s="3">
        <f>'Monthly D3 Gallon Data'!$F20</f>
        <v>0</v>
      </c>
      <c r="D221" s="3">
        <f>'Monthly D3 Gallon Data'!$F32</f>
        <v>0</v>
      </c>
      <c r="E221" s="3">
        <f>'Monthly D3 Gallon Data'!$F44</f>
        <v>0</v>
      </c>
      <c r="F221" s="3">
        <f>'Monthly D3 Gallon Data'!$F56</f>
        <v>0</v>
      </c>
      <c r="G221" s="3">
        <f>'Monthly D3 Gallon Data'!$F68</f>
        <v>0</v>
      </c>
      <c r="H221" s="3">
        <f>'Monthly D3 Gallon Data'!$F80</f>
        <v>0</v>
      </c>
      <c r="I221" s="3">
        <f>'Monthly D3 Gallon Data'!$F92</f>
        <v>0</v>
      </c>
      <c r="J221" s="3">
        <f>'Monthly D3 Gallon Data'!$F104</f>
        <v>0</v>
      </c>
      <c r="K221" s="3">
        <f>'Monthly D3 Gallon Data'!$F116</f>
        <v>0</v>
      </c>
      <c r="L221" s="3">
        <f>'Monthly D3 Gallon Data'!$F128</f>
        <v>0</v>
      </c>
      <c r="M221" s="3">
        <f>'Monthly D3 Gallon Data'!$F140</f>
        <v>0</v>
      </c>
      <c r="N221" s="3">
        <f>'Monthly D3 Gallon Data'!$F152</f>
        <v>0</v>
      </c>
      <c r="O221" s="3">
        <f>'Monthly D3 Gallon Data'!$F164</f>
        <v>0</v>
      </c>
      <c r="P221" s="3">
        <f>'Monthly D3 Gallon Data'!$F176</f>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1</v>
      </c>
      <c r="AI221" s="4">
        <v>2</v>
      </c>
      <c r="AJ221" s="4">
        <v>3</v>
      </c>
      <c r="AK221" s="4">
        <v>4</v>
      </c>
      <c r="AL221" s="4">
        <v>5</v>
      </c>
      <c r="AM221" s="4">
        <v>6</v>
      </c>
      <c r="AN221" s="4">
        <v>7</v>
      </c>
      <c r="AO221" s="4">
        <v>8</v>
      </c>
      <c r="AP221" s="4">
        <v>9</v>
      </c>
      <c r="AQ221" s="4">
        <v>10</v>
      </c>
      <c r="AR221" s="4"/>
      <c r="AS221" s="4"/>
      <c r="AT221" s="4"/>
      <c r="AU221" s="4"/>
      <c r="AV221" s="4"/>
      <c r="AW221" s="4"/>
      <c r="AX221" s="4"/>
      <c r="AY221" s="4"/>
      <c r="AZ221" s="4"/>
      <c r="BA221" s="4"/>
      <c r="BB221" s="4"/>
      <c r="BC221" s="4"/>
      <c r="BD221" s="4"/>
      <c r="BI221" s="3">
        <v>0</v>
      </c>
      <c r="BJ221" s="3">
        <f t="shared" si="290"/>
        <v>0</v>
      </c>
      <c r="BK221" s="3">
        <v>0</v>
      </c>
      <c r="BL221" s="3">
        <f t="shared" si="291"/>
        <v>0</v>
      </c>
      <c r="BM221" s="3">
        <v>0</v>
      </c>
      <c r="BN221" s="3">
        <f t="shared" si="292"/>
        <v>0</v>
      </c>
      <c r="BO221" s="3">
        <v>0</v>
      </c>
      <c r="BP221" s="3">
        <f t="shared" si="293"/>
        <v>0</v>
      </c>
      <c r="BQ221" s="4">
        <v>0</v>
      </c>
      <c r="BR221" s="18">
        <f t="shared" si="294"/>
        <v>0</v>
      </c>
      <c r="BS221" s="4">
        <v>0</v>
      </c>
      <c r="BT221" s="18">
        <f t="shared" si="295"/>
        <v>0</v>
      </c>
    </row>
    <row r="222" spans="1:72">
      <c r="A222" s="2" t="s">
        <v>48</v>
      </c>
      <c r="B222" s="3">
        <f>'Monthly D3 Gallon Data'!$F9</f>
        <v>0</v>
      </c>
      <c r="C222" s="3">
        <f>'Monthly D3 Gallon Data'!$F21</f>
        <v>0</v>
      </c>
      <c r="D222" s="3">
        <f>'Monthly D3 Gallon Data'!$F33</f>
        <v>0</v>
      </c>
      <c r="E222" s="3">
        <f>'Monthly D3 Gallon Data'!$F45</f>
        <v>0</v>
      </c>
      <c r="F222" s="3">
        <f>'Monthly D3 Gallon Data'!$F57</f>
        <v>0</v>
      </c>
      <c r="G222" s="3">
        <f>'Monthly D3 Gallon Data'!$F69</f>
        <v>0</v>
      </c>
      <c r="H222" s="3">
        <f>'Monthly D3 Gallon Data'!$F81</f>
        <v>0</v>
      </c>
      <c r="I222" s="3">
        <f>'Monthly D3 Gallon Data'!$F93</f>
        <v>0</v>
      </c>
      <c r="J222" s="3">
        <f>'Monthly D3 Gallon Data'!$F105</f>
        <v>0</v>
      </c>
      <c r="K222" s="3">
        <f>'Monthly D3 Gallon Data'!$F117</f>
        <v>0</v>
      </c>
      <c r="L222" s="3">
        <f>'Monthly D3 Gallon Data'!$F129</f>
        <v>0</v>
      </c>
      <c r="M222" s="3">
        <f>'Monthly D3 Gallon Data'!$F141</f>
        <v>0</v>
      </c>
      <c r="N222" s="3">
        <f>'Monthly D3 Gallon Data'!$F153</f>
        <v>0</v>
      </c>
      <c r="O222" s="3">
        <f>'Monthly D3 Gallon Data'!$F165</f>
        <v>0</v>
      </c>
      <c r="P222" s="3">
        <f>'Monthly D3 Gallon Data'!$F177</f>
        <v>0</v>
      </c>
      <c r="Q222" s="4">
        <v>0</v>
      </c>
      <c r="R222" s="4">
        <v>0</v>
      </c>
      <c r="S222" s="4">
        <v>0</v>
      </c>
      <c r="T222" s="4">
        <v>0</v>
      </c>
      <c r="U222" s="4">
        <v>0</v>
      </c>
      <c r="V222" s="4">
        <v>0</v>
      </c>
      <c r="W222" s="4">
        <v>0</v>
      </c>
      <c r="X222" s="4">
        <v>0</v>
      </c>
      <c r="Y222" s="4">
        <v>0</v>
      </c>
      <c r="Z222" s="4">
        <v>0</v>
      </c>
      <c r="AA222" s="4">
        <v>0</v>
      </c>
      <c r="AB222" s="4">
        <v>0</v>
      </c>
      <c r="AC222" s="4">
        <v>0</v>
      </c>
      <c r="AD222" s="4">
        <v>0</v>
      </c>
      <c r="AE222" s="4">
        <v>0</v>
      </c>
      <c r="AF222" s="4">
        <v>0</v>
      </c>
      <c r="AG222" s="4">
        <v>0</v>
      </c>
      <c r="AH222" s="4">
        <v>1</v>
      </c>
      <c r="AI222" s="4">
        <v>2</v>
      </c>
      <c r="AJ222" s="4">
        <v>3</v>
      </c>
      <c r="AK222" s="4">
        <v>4</v>
      </c>
      <c r="AL222" s="4">
        <v>5</v>
      </c>
      <c r="AM222" s="4">
        <v>6</v>
      </c>
      <c r="AN222" s="4">
        <v>7</v>
      </c>
      <c r="AO222" s="4">
        <v>8</v>
      </c>
      <c r="AP222" s="4">
        <v>9</v>
      </c>
      <c r="AQ222" s="4">
        <v>10</v>
      </c>
      <c r="AR222" s="4"/>
      <c r="AS222" s="4"/>
      <c r="AT222" s="4"/>
      <c r="AU222" s="4"/>
      <c r="AV222" s="4"/>
      <c r="AW222" s="4"/>
      <c r="AX222" s="4"/>
      <c r="AY222" s="4"/>
      <c r="AZ222" s="4"/>
      <c r="BA222" s="4"/>
      <c r="BB222" s="4"/>
      <c r="BC222" s="4"/>
      <c r="BD222" s="4"/>
      <c r="BI222" s="3">
        <v>0</v>
      </c>
      <c r="BJ222" s="3">
        <f t="shared" si="290"/>
        <v>0</v>
      </c>
      <c r="BK222" s="3">
        <v>0</v>
      </c>
      <c r="BL222" s="3">
        <f t="shared" si="291"/>
        <v>0</v>
      </c>
      <c r="BM222" s="3">
        <v>0</v>
      </c>
      <c r="BN222" s="3">
        <f t="shared" si="292"/>
        <v>0</v>
      </c>
      <c r="BO222" s="3">
        <v>0</v>
      </c>
      <c r="BP222" s="3">
        <f t="shared" si="293"/>
        <v>0</v>
      </c>
      <c r="BQ222" s="4">
        <v>0</v>
      </c>
      <c r="BR222" s="18">
        <f t="shared" si="294"/>
        <v>0</v>
      </c>
      <c r="BS222" s="4">
        <v>0</v>
      </c>
      <c r="BT222" s="18">
        <f t="shared" si="295"/>
        <v>0</v>
      </c>
    </row>
    <row r="223" spans="1:72">
      <c r="A223" s="2" t="s">
        <v>49</v>
      </c>
      <c r="B223" s="3">
        <f>'Monthly D3 Gallon Data'!$F10</f>
        <v>0</v>
      </c>
      <c r="C223" s="3">
        <f>'Monthly D3 Gallon Data'!$F22</f>
        <v>0</v>
      </c>
      <c r="D223" s="3">
        <f>'Monthly D3 Gallon Data'!$F34</f>
        <v>0</v>
      </c>
      <c r="E223" s="3">
        <f>'Monthly D3 Gallon Data'!$F46</f>
        <v>0</v>
      </c>
      <c r="F223" s="3">
        <f>'Monthly D3 Gallon Data'!$F58</f>
        <v>0</v>
      </c>
      <c r="G223" s="3">
        <f>'Monthly D3 Gallon Data'!$F70</f>
        <v>0</v>
      </c>
      <c r="H223" s="3">
        <f>'Monthly D3 Gallon Data'!$F82</f>
        <v>0</v>
      </c>
      <c r="I223" s="3">
        <f>'Monthly D3 Gallon Data'!$F94</f>
        <v>0</v>
      </c>
      <c r="J223" s="3">
        <f>'Monthly D3 Gallon Data'!$F106</f>
        <v>0</v>
      </c>
      <c r="K223" s="3">
        <f>'Monthly D3 Gallon Data'!$F118</f>
        <v>0</v>
      </c>
      <c r="L223" s="3">
        <f>'Monthly D3 Gallon Data'!$F130</f>
        <v>0</v>
      </c>
      <c r="M223" s="3">
        <f>'Monthly D3 Gallon Data'!$F142</f>
        <v>0</v>
      </c>
      <c r="N223" s="3">
        <f>'Monthly D3 Gallon Data'!$F154</f>
        <v>0</v>
      </c>
      <c r="O223" s="3">
        <f>'Monthly D3 Gallon Data'!$F166</f>
        <v>0</v>
      </c>
      <c r="P223" s="3">
        <f>'Monthly D3 Gallon Data'!$F178</f>
        <v>0</v>
      </c>
      <c r="Q223" s="4">
        <v>0</v>
      </c>
      <c r="R223" s="4">
        <v>0</v>
      </c>
      <c r="S223" s="4">
        <v>0</v>
      </c>
      <c r="T223" s="4">
        <v>0</v>
      </c>
      <c r="U223" s="4">
        <v>0</v>
      </c>
      <c r="V223" s="4">
        <v>0</v>
      </c>
      <c r="W223" s="4">
        <v>0</v>
      </c>
      <c r="X223" s="4">
        <v>0</v>
      </c>
      <c r="Y223" s="4">
        <v>0</v>
      </c>
      <c r="Z223" s="4">
        <v>0</v>
      </c>
      <c r="AA223" s="4">
        <v>0</v>
      </c>
      <c r="AB223" s="4">
        <v>0</v>
      </c>
      <c r="AC223" s="4">
        <v>0</v>
      </c>
      <c r="AD223" s="4">
        <v>0</v>
      </c>
      <c r="AE223" s="4">
        <v>0</v>
      </c>
      <c r="AF223" s="4">
        <v>0</v>
      </c>
      <c r="AG223" s="4">
        <v>0</v>
      </c>
      <c r="AH223" s="4">
        <v>1</v>
      </c>
      <c r="AI223" s="4">
        <v>2</v>
      </c>
      <c r="AJ223" s="4">
        <v>3</v>
      </c>
      <c r="AK223" s="4">
        <v>4</v>
      </c>
      <c r="AL223" s="4">
        <v>5</v>
      </c>
      <c r="AM223" s="4">
        <v>6</v>
      </c>
      <c r="AN223" s="4">
        <v>7</v>
      </c>
      <c r="AO223" s="4">
        <v>8</v>
      </c>
      <c r="AP223" s="4">
        <v>9</v>
      </c>
      <c r="AQ223" s="4">
        <v>10</v>
      </c>
      <c r="AR223" s="4"/>
      <c r="AS223" s="4"/>
      <c r="AT223" s="4"/>
      <c r="AU223" s="4"/>
      <c r="AV223" s="4"/>
      <c r="AW223" s="4"/>
      <c r="AX223" s="4"/>
      <c r="AY223" s="4"/>
      <c r="AZ223" s="4"/>
      <c r="BA223" s="4"/>
      <c r="BB223" s="4"/>
      <c r="BC223" s="4"/>
      <c r="BD223" s="4"/>
      <c r="BG223" s="3">
        <v>0</v>
      </c>
      <c r="BH223" s="3">
        <f t="shared" ref="BH223:BH229" si="296">K223-BG223</f>
        <v>0</v>
      </c>
      <c r="BI223" s="3">
        <v>0</v>
      </c>
      <c r="BJ223" s="3">
        <f t="shared" si="290"/>
        <v>0</v>
      </c>
      <c r="BK223" s="3">
        <v>0</v>
      </c>
      <c r="BL223" s="3">
        <f t="shared" si="291"/>
        <v>0</v>
      </c>
      <c r="BM223" s="3">
        <v>0</v>
      </c>
      <c r="BN223" s="3">
        <f t="shared" si="292"/>
        <v>0</v>
      </c>
      <c r="BO223" s="3">
        <v>0</v>
      </c>
      <c r="BP223" s="3">
        <f t="shared" si="293"/>
        <v>0</v>
      </c>
      <c r="BQ223" s="4">
        <v>0</v>
      </c>
      <c r="BR223" s="18">
        <f t="shared" si="294"/>
        <v>0</v>
      </c>
      <c r="BS223" s="4">
        <v>0</v>
      </c>
      <c r="BT223" s="18">
        <f t="shared" si="295"/>
        <v>0</v>
      </c>
    </row>
    <row r="224" spans="1:72">
      <c r="A224" s="2" t="s">
        <v>50</v>
      </c>
      <c r="B224" s="3">
        <f>'Monthly D3 Gallon Data'!$F11</f>
        <v>0</v>
      </c>
      <c r="C224" s="3">
        <f>'Monthly D3 Gallon Data'!$F23</f>
        <v>0</v>
      </c>
      <c r="D224" s="3">
        <f>'Monthly D3 Gallon Data'!$F35</f>
        <v>0</v>
      </c>
      <c r="E224" s="3">
        <f>'Monthly D3 Gallon Data'!$F47</f>
        <v>0</v>
      </c>
      <c r="F224" s="3">
        <f>'Monthly D3 Gallon Data'!$F59</f>
        <v>0</v>
      </c>
      <c r="G224" s="3">
        <f>'Monthly D3 Gallon Data'!$F71</f>
        <v>0</v>
      </c>
      <c r="H224" s="3">
        <f>'Monthly D3 Gallon Data'!$F83</f>
        <v>0</v>
      </c>
      <c r="I224" s="3">
        <f>'Monthly D3 Gallon Data'!$F95</f>
        <v>0</v>
      </c>
      <c r="J224" s="3">
        <f>'Monthly D3 Gallon Data'!$F107</f>
        <v>0</v>
      </c>
      <c r="K224" s="3">
        <f>'Monthly D3 Gallon Data'!$F119</f>
        <v>0</v>
      </c>
      <c r="L224" s="3">
        <f>'Monthly D3 Gallon Data'!$F131</f>
        <v>0</v>
      </c>
      <c r="M224" s="3">
        <f>'Monthly D3 Gallon Data'!$F143</f>
        <v>0</v>
      </c>
      <c r="N224" s="3">
        <f>'Monthly D3 Gallon Data'!$F155</f>
        <v>0</v>
      </c>
      <c r="O224" s="3">
        <f>'Monthly D3 Gallon Data'!$F167</f>
        <v>0</v>
      </c>
      <c r="P224" s="3">
        <f>'Monthly D3 Gallon Data'!$F179</f>
        <v>0</v>
      </c>
      <c r="Q224" s="4">
        <v>0</v>
      </c>
      <c r="R224" s="4">
        <v>0</v>
      </c>
      <c r="S224" s="4">
        <v>0</v>
      </c>
      <c r="T224" s="4">
        <v>0</v>
      </c>
      <c r="U224" s="4">
        <v>0</v>
      </c>
      <c r="V224" s="4">
        <v>0</v>
      </c>
      <c r="W224" s="4">
        <v>0</v>
      </c>
      <c r="X224" s="4">
        <v>0</v>
      </c>
      <c r="Y224" s="4">
        <v>0</v>
      </c>
      <c r="Z224" s="4">
        <v>0</v>
      </c>
      <c r="AA224" s="4">
        <v>0</v>
      </c>
      <c r="AB224" s="4">
        <v>0</v>
      </c>
      <c r="AC224" s="4">
        <v>0</v>
      </c>
      <c r="AD224" s="4">
        <v>0</v>
      </c>
      <c r="AE224" s="4">
        <v>0</v>
      </c>
      <c r="AF224" s="4">
        <v>0</v>
      </c>
      <c r="AG224" s="4">
        <v>0</v>
      </c>
      <c r="AH224" s="4">
        <v>1</v>
      </c>
      <c r="AI224" s="4">
        <v>2</v>
      </c>
      <c r="AJ224" s="4">
        <v>3</v>
      </c>
      <c r="AK224" s="4">
        <v>4</v>
      </c>
      <c r="AL224" s="4">
        <v>5</v>
      </c>
      <c r="AM224" s="4">
        <v>6</v>
      </c>
      <c r="AN224" s="4">
        <v>7</v>
      </c>
      <c r="AO224" s="4">
        <v>8</v>
      </c>
      <c r="AP224" s="4">
        <v>9</v>
      </c>
      <c r="AQ224" s="4">
        <v>10</v>
      </c>
      <c r="AR224" s="4"/>
      <c r="AS224" s="4"/>
      <c r="AT224" s="4"/>
      <c r="AU224" s="4"/>
      <c r="AV224" s="4"/>
      <c r="AW224" s="4"/>
      <c r="AX224" s="4"/>
      <c r="AY224" s="4"/>
      <c r="AZ224" s="4"/>
      <c r="BA224" s="4"/>
      <c r="BB224" s="4"/>
      <c r="BC224" s="4"/>
      <c r="BD224" s="4"/>
      <c r="BG224" s="3">
        <v>0</v>
      </c>
      <c r="BH224" s="3">
        <f t="shared" si="296"/>
        <v>0</v>
      </c>
      <c r="BI224" s="3">
        <v>0</v>
      </c>
      <c r="BJ224" s="3">
        <f t="shared" si="290"/>
        <v>0</v>
      </c>
      <c r="BK224" s="3">
        <v>0</v>
      </c>
      <c r="BL224" s="3">
        <f t="shared" si="291"/>
        <v>0</v>
      </c>
      <c r="BM224" s="3">
        <v>0</v>
      </c>
      <c r="BN224" s="3">
        <f t="shared" si="292"/>
        <v>0</v>
      </c>
      <c r="BO224" s="3">
        <v>0</v>
      </c>
      <c r="BP224" s="3">
        <f t="shared" si="293"/>
        <v>0</v>
      </c>
      <c r="BQ224" s="4">
        <v>0</v>
      </c>
      <c r="BR224" s="18">
        <f t="shared" si="294"/>
        <v>0</v>
      </c>
      <c r="BS224" s="4">
        <v>0</v>
      </c>
      <c r="BT224" s="18">
        <f t="shared" si="295"/>
        <v>0</v>
      </c>
    </row>
    <row r="225" spans="1:72">
      <c r="A225" s="2" t="s">
        <v>51</v>
      </c>
      <c r="B225" s="3">
        <f>'Monthly D3 Gallon Data'!$F12</f>
        <v>0</v>
      </c>
      <c r="C225" s="3">
        <f>'Monthly D3 Gallon Data'!$F24</f>
        <v>0</v>
      </c>
      <c r="D225" s="3">
        <f>'Monthly D3 Gallon Data'!$F36</f>
        <v>0</v>
      </c>
      <c r="E225" s="3">
        <f>'Monthly D3 Gallon Data'!$F48</f>
        <v>0</v>
      </c>
      <c r="F225" s="3">
        <f>'Monthly D3 Gallon Data'!$F60</f>
        <v>0</v>
      </c>
      <c r="G225" s="3">
        <f>'Monthly D3 Gallon Data'!$F72</f>
        <v>0</v>
      </c>
      <c r="H225" s="3">
        <f>'Monthly D3 Gallon Data'!$F84</f>
        <v>0</v>
      </c>
      <c r="I225" s="3">
        <f>'Monthly D3 Gallon Data'!$F96</f>
        <v>0</v>
      </c>
      <c r="J225" s="3">
        <f>'Monthly D3 Gallon Data'!$F108</f>
        <v>0</v>
      </c>
      <c r="K225" s="3">
        <f>'Monthly D3 Gallon Data'!$F120</f>
        <v>0</v>
      </c>
      <c r="L225" s="3">
        <f>'Monthly D3 Gallon Data'!$F132</f>
        <v>0</v>
      </c>
      <c r="M225" s="3">
        <f>'Monthly D3 Gallon Data'!$F144</f>
        <v>0</v>
      </c>
      <c r="N225" s="3">
        <f>'Monthly D3 Gallon Data'!$F156</f>
        <v>0</v>
      </c>
      <c r="O225" s="3">
        <f>'Monthly D3 Gallon Data'!$F168</f>
        <v>0</v>
      </c>
      <c r="P225" s="3">
        <f>'Monthly D3 Gallon Data'!$F180</f>
        <v>0</v>
      </c>
      <c r="Q225" s="4">
        <v>0</v>
      </c>
      <c r="R225" s="4">
        <v>0</v>
      </c>
      <c r="S225" s="4">
        <v>0</v>
      </c>
      <c r="T225" s="4">
        <v>0</v>
      </c>
      <c r="U225" s="4">
        <v>0</v>
      </c>
      <c r="V225" s="4">
        <v>0</v>
      </c>
      <c r="W225" s="4">
        <v>0</v>
      </c>
      <c r="X225" s="4">
        <v>0</v>
      </c>
      <c r="Y225" s="4">
        <v>0</v>
      </c>
      <c r="Z225" s="4">
        <v>0</v>
      </c>
      <c r="AA225" s="4">
        <v>0</v>
      </c>
      <c r="AB225" s="4">
        <v>0</v>
      </c>
      <c r="AC225" s="4">
        <v>0</v>
      </c>
      <c r="AD225" s="4">
        <v>0</v>
      </c>
      <c r="AE225" s="4">
        <v>0</v>
      </c>
      <c r="AF225" s="4">
        <v>0</v>
      </c>
      <c r="AG225" s="4">
        <v>0</v>
      </c>
      <c r="AH225" s="4">
        <v>1</v>
      </c>
      <c r="AI225" s="4">
        <v>2</v>
      </c>
      <c r="AJ225" s="4">
        <v>3</v>
      </c>
      <c r="AK225" s="4">
        <v>4</v>
      </c>
      <c r="AL225" s="4">
        <v>5</v>
      </c>
      <c r="AM225" s="4">
        <v>6</v>
      </c>
      <c r="AN225" s="4">
        <v>7</v>
      </c>
      <c r="AO225" s="4">
        <v>8</v>
      </c>
      <c r="AP225" s="4">
        <v>9</v>
      </c>
      <c r="AQ225" s="4">
        <v>10</v>
      </c>
      <c r="AR225" s="4"/>
      <c r="AS225" s="4"/>
      <c r="AT225" s="4"/>
      <c r="AU225" s="4"/>
      <c r="AV225" s="4"/>
      <c r="AW225" s="4"/>
      <c r="AX225" s="4"/>
      <c r="AY225" s="4"/>
      <c r="AZ225" s="4"/>
      <c r="BA225" s="4"/>
      <c r="BB225" s="4"/>
      <c r="BC225" s="4"/>
      <c r="BD225" s="4"/>
      <c r="BG225" s="3">
        <v>0</v>
      </c>
      <c r="BH225" s="3">
        <f t="shared" si="296"/>
        <v>0</v>
      </c>
      <c r="BI225" s="3">
        <v>0</v>
      </c>
      <c r="BJ225" s="3">
        <f t="shared" si="290"/>
        <v>0</v>
      </c>
      <c r="BK225" s="3">
        <v>0</v>
      </c>
      <c r="BL225" s="3">
        <f t="shared" si="291"/>
        <v>0</v>
      </c>
      <c r="BM225" s="3">
        <v>0</v>
      </c>
      <c r="BN225" s="3">
        <f t="shared" si="292"/>
        <v>0</v>
      </c>
      <c r="BO225" s="3">
        <v>0</v>
      </c>
      <c r="BP225" s="3">
        <f t="shared" si="293"/>
        <v>0</v>
      </c>
      <c r="BQ225" s="4">
        <v>0</v>
      </c>
      <c r="BR225" s="18">
        <f t="shared" si="294"/>
        <v>0</v>
      </c>
      <c r="BS225" s="4">
        <v>0</v>
      </c>
      <c r="BT225" s="18">
        <f t="shared" si="295"/>
        <v>0</v>
      </c>
    </row>
    <row r="226" spans="1:72">
      <c r="A226" s="2" t="s">
        <v>52</v>
      </c>
      <c r="B226" s="3">
        <f>'Monthly D3 Gallon Data'!$F13</f>
        <v>0</v>
      </c>
      <c r="C226" s="3">
        <f>'Monthly D3 Gallon Data'!$F25</f>
        <v>0</v>
      </c>
      <c r="D226" s="3">
        <f>'Monthly D3 Gallon Data'!$F37</f>
        <v>0</v>
      </c>
      <c r="E226" s="3">
        <f>'Monthly D3 Gallon Data'!$F49</f>
        <v>0</v>
      </c>
      <c r="F226" s="3">
        <f>'Monthly D3 Gallon Data'!$F61</f>
        <v>0</v>
      </c>
      <c r="G226" s="3">
        <f>'Monthly D3 Gallon Data'!$F73</f>
        <v>0</v>
      </c>
      <c r="H226" s="3">
        <f>'Monthly D3 Gallon Data'!$F85</f>
        <v>0</v>
      </c>
      <c r="I226" s="3">
        <f>'Monthly D3 Gallon Data'!$F97</f>
        <v>0</v>
      </c>
      <c r="J226" s="3">
        <f>'Monthly D3 Gallon Data'!$F109</f>
        <v>0</v>
      </c>
      <c r="K226" s="3">
        <f>'Monthly D3 Gallon Data'!$F121</f>
        <v>0</v>
      </c>
      <c r="L226" s="3">
        <f>'Monthly D3 Gallon Data'!$F133</f>
        <v>0</v>
      </c>
      <c r="M226" s="3">
        <f>'Monthly D3 Gallon Data'!$F145</f>
        <v>0</v>
      </c>
      <c r="N226" s="3">
        <f>'Monthly D3 Gallon Data'!$F157</f>
        <v>0</v>
      </c>
      <c r="O226" s="3">
        <f>'Monthly D3 Gallon Data'!$F169</f>
        <v>0</v>
      </c>
      <c r="P226" s="3">
        <f>'Monthly D3 Gallon Data'!$F181</f>
        <v>0</v>
      </c>
      <c r="Q226" s="4">
        <v>0</v>
      </c>
      <c r="R226" s="4">
        <v>0</v>
      </c>
      <c r="S226" s="4">
        <v>0</v>
      </c>
      <c r="T226" s="4">
        <v>0</v>
      </c>
      <c r="U226" s="4">
        <v>0</v>
      </c>
      <c r="V226" s="4">
        <v>0</v>
      </c>
      <c r="W226" s="4">
        <v>0</v>
      </c>
      <c r="X226" s="4">
        <v>0</v>
      </c>
      <c r="Y226" s="4">
        <v>0</v>
      </c>
      <c r="Z226" s="4">
        <v>0</v>
      </c>
      <c r="AA226" s="4">
        <v>0</v>
      </c>
      <c r="AB226" s="4">
        <v>0</v>
      </c>
      <c r="AC226" s="4">
        <v>0</v>
      </c>
      <c r="AD226" s="4">
        <v>0</v>
      </c>
      <c r="AE226" s="4">
        <v>0</v>
      </c>
      <c r="AF226" s="4">
        <v>0</v>
      </c>
      <c r="AG226" s="4">
        <v>0</v>
      </c>
      <c r="AH226" s="4">
        <v>1</v>
      </c>
      <c r="AI226" s="4">
        <v>2</v>
      </c>
      <c r="AJ226" s="4">
        <v>3</v>
      </c>
      <c r="AK226" s="4">
        <v>4</v>
      </c>
      <c r="AL226" s="4">
        <v>5</v>
      </c>
      <c r="AM226" s="4">
        <v>6</v>
      </c>
      <c r="AN226" s="4">
        <v>7</v>
      </c>
      <c r="AO226" s="4">
        <v>8</v>
      </c>
      <c r="AP226" s="4">
        <v>9</v>
      </c>
      <c r="AQ226" s="4">
        <v>10</v>
      </c>
      <c r="AR226" s="4"/>
      <c r="AS226" s="4"/>
      <c r="AT226" s="4"/>
      <c r="AU226" s="4"/>
      <c r="AV226" s="4"/>
      <c r="AW226" s="4"/>
      <c r="AX226" s="4"/>
      <c r="AY226" s="4"/>
      <c r="AZ226" s="4"/>
      <c r="BA226" s="4"/>
      <c r="BB226" s="4"/>
      <c r="BC226" s="4"/>
      <c r="BD226" s="4"/>
      <c r="BG226" s="3">
        <v>0</v>
      </c>
      <c r="BH226" s="3">
        <f t="shared" si="296"/>
        <v>0</v>
      </c>
      <c r="BI226" s="3">
        <v>0</v>
      </c>
      <c r="BJ226" s="3">
        <f t="shared" si="290"/>
        <v>0</v>
      </c>
      <c r="BK226" s="3">
        <v>0</v>
      </c>
      <c r="BL226" s="3">
        <f t="shared" si="291"/>
        <v>0</v>
      </c>
      <c r="BM226" s="3">
        <v>0</v>
      </c>
      <c r="BN226" s="3">
        <f t="shared" si="292"/>
        <v>0</v>
      </c>
      <c r="BO226" s="3">
        <v>0</v>
      </c>
      <c r="BP226" s="3">
        <f t="shared" si="293"/>
        <v>0</v>
      </c>
      <c r="BQ226" s="4">
        <v>0</v>
      </c>
      <c r="BR226" s="18">
        <f t="shared" si="294"/>
        <v>0</v>
      </c>
      <c r="BS226" s="4">
        <v>0</v>
      </c>
      <c r="BT226" s="18">
        <f t="shared" si="295"/>
        <v>0</v>
      </c>
    </row>
    <row r="227" spans="1:72">
      <c r="A227" s="2" t="s">
        <v>53</v>
      </c>
      <c r="B227" s="3">
        <f>'Monthly D3 Gallon Data'!$F14</f>
        <v>0</v>
      </c>
      <c r="C227" s="3">
        <f>'Monthly D3 Gallon Data'!$F26</f>
        <v>0</v>
      </c>
      <c r="D227" s="3">
        <f>'Monthly D3 Gallon Data'!$F38</f>
        <v>0</v>
      </c>
      <c r="E227" s="3">
        <f>'Monthly D3 Gallon Data'!$F50</f>
        <v>0</v>
      </c>
      <c r="F227" s="3">
        <f>'Monthly D3 Gallon Data'!$F62</f>
        <v>0</v>
      </c>
      <c r="G227" s="3">
        <f>'Monthly D3 Gallon Data'!$F74</f>
        <v>0</v>
      </c>
      <c r="H227" s="3">
        <f>'Monthly D3 Gallon Data'!$F86</f>
        <v>0</v>
      </c>
      <c r="I227" s="3">
        <f>'Monthly D3 Gallon Data'!$F98</f>
        <v>0</v>
      </c>
      <c r="J227" s="3">
        <f>'Monthly D3 Gallon Data'!$F110</f>
        <v>0</v>
      </c>
      <c r="K227" s="3">
        <f>'Monthly D3 Gallon Data'!$F122</f>
        <v>0</v>
      </c>
      <c r="L227" s="3">
        <f>'Monthly D3 Gallon Data'!$F134</f>
        <v>0</v>
      </c>
      <c r="M227" s="3">
        <f>'Monthly D3 Gallon Data'!$F146</f>
        <v>0</v>
      </c>
      <c r="N227" s="3">
        <f>'Monthly D3 Gallon Data'!$F158</f>
        <v>0</v>
      </c>
      <c r="O227" s="3">
        <f>'Monthly D3 Gallon Data'!$F170</f>
        <v>0</v>
      </c>
      <c r="P227" s="3">
        <f>'Monthly D3 Gallon Data'!$F182</f>
        <v>0</v>
      </c>
      <c r="Q227" s="4">
        <v>0</v>
      </c>
      <c r="R227" s="4">
        <v>0</v>
      </c>
      <c r="S227" s="4">
        <v>0</v>
      </c>
      <c r="T227" s="4">
        <v>0</v>
      </c>
      <c r="U227" s="4">
        <v>0</v>
      </c>
      <c r="V227" s="4">
        <v>0</v>
      </c>
      <c r="W227" s="4">
        <v>0</v>
      </c>
      <c r="X227" s="4">
        <v>0</v>
      </c>
      <c r="Y227" s="4">
        <v>0</v>
      </c>
      <c r="Z227" s="4">
        <v>0</v>
      </c>
      <c r="AA227" s="4">
        <v>0</v>
      </c>
      <c r="AB227" s="4">
        <v>0</v>
      </c>
      <c r="AC227" s="4">
        <v>0</v>
      </c>
      <c r="AD227" s="4">
        <v>0</v>
      </c>
      <c r="AE227" s="4">
        <v>0</v>
      </c>
      <c r="AF227" s="4">
        <v>0</v>
      </c>
      <c r="AG227" s="4">
        <v>0</v>
      </c>
      <c r="AH227" s="4">
        <v>1</v>
      </c>
      <c r="AI227" s="4">
        <v>2</v>
      </c>
      <c r="AJ227" s="4">
        <v>3</v>
      </c>
      <c r="AK227" s="4">
        <v>4</v>
      </c>
      <c r="AL227" s="4">
        <v>5</v>
      </c>
      <c r="AM227" s="4">
        <v>6</v>
      </c>
      <c r="AN227" s="4">
        <v>7</v>
      </c>
      <c r="AO227" s="4">
        <v>8</v>
      </c>
      <c r="AP227" s="4">
        <v>9</v>
      </c>
      <c r="AQ227" s="4">
        <v>10</v>
      </c>
      <c r="AR227" s="4"/>
      <c r="AS227" s="4"/>
      <c r="AT227" s="4"/>
      <c r="AU227" s="4"/>
      <c r="AV227" s="4"/>
      <c r="AW227" s="4"/>
      <c r="AX227" s="4"/>
      <c r="AY227" s="4"/>
      <c r="AZ227" s="4"/>
      <c r="BA227" s="4"/>
      <c r="BB227" s="4"/>
      <c r="BC227" s="4"/>
      <c r="BD227" s="4"/>
      <c r="BG227" s="3">
        <v>0</v>
      </c>
      <c r="BH227" s="3">
        <f t="shared" si="296"/>
        <v>0</v>
      </c>
      <c r="BI227" s="3">
        <v>0</v>
      </c>
      <c r="BJ227" s="3">
        <f t="shared" si="290"/>
        <v>0</v>
      </c>
      <c r="BK227" s="3">
        <v>0</v>
      </c>
      <c r="BL227" s="3">
        <f t="shared" si="291"/>
        <v>0</v>
      </c>
      <c r="BM227" s="3">
        <v>0</v>
      </c>
      <c r="BN227" s="3">
        <f t="shared" si="292"/>
        <v>0</v>
      </c>
      <c r="BO227" s="3">
        <v>0</v>
      </c>
      <c r="BP227" s="3">
        <f t="shared" si="293"/>
        <v>0</v>
      </c>
      <c r="BQ227" s="4">
        <v>0</v>
      </c>
      <c r="BR227" s="18">
        <f t="shared" si="294"/>
        <v>0</v>
      </c>
      <c r="BS227" s="4">
        <v>0</v>
      </c>
      <c r="BT227" s="18">
        <f t="shared" si="295"/>
        <v>0</v>
      </c>
    </row>
    <row r="228" spans="1:72">
      <c r="A228" s="2" t="s">
        <v>54</v>
      </c>
      <c r="B228" s="3">
        <f>'Monthly D3 Gallon Data'!$F15</f>
        <v>0</v>
      </c>
      <c r="C228" s="3">
        <f>'Monthly D3 Gallon Data'!$F27</f>
        <v>0</v>
      </c>
      <c r="D228" s="3">
        <f>'Monthly D3 Gallon Data'!$F39</f>
        <v>0</v>
      </c>
      <c r="E228" s="3">
        <f>'Monthly D3 Gallon Data'!$F51</f>
        <v>0</v>
      </c>
      <c r="F228" s="3">
        <f>'Monthly D3 Gallon Data'!$F63</f>
        <v>0</v>
      </c>
      <c r="G228" s="3">
        <f>'Monthly D3 Gallon Data'!$F75</f>
        <v>0</v>
      </c>
      <c r="H228" s="3">
        <f>'Monthly D3 Gallon Data'!$F87</f>
        <v>0</v>
      </c>
      <c r="I228" s="3">
        <f>'Monthly D3 Gallon Data'!$F99</f>
        <v>0</v>
      </c>
      <c r="J228" s="3">
        <f>'Monthly D3 Gallon Data'!$F111</f>
        <v>0</v>
      </c>
      <c r="K228" s="3">
        <f>'Monthly D3 Gallon Data'!$F123</f>
        <v>0</v>
      </c>
      <c r="L228" s="3">
        <f>'Monthly D3 Gallon Data'!$F135</f>
        <v>0</v>
      </c>
      <c r="M228" s="3">
        <f>'Monthly D3 Gallon Data'!$F147</f>
        <v>0</v>
      </c>
      <c r="N228" s="3">
        <f>'Monthly D3 Gallon Data'!$F159</f>
        <v>0</v>
      </c>
      <c r="O228" s="3">
        <f>'Monthly D3 Gallon Data'!$F171</f>
        <v>0</v>
      </c>
      <c r="P228" s="3">
        <f>'Monthly D3 Gallon Data'!$F183</f>
        <v>0</v>
      </c>
      <c r="Q228" s="4">
        <v>0</v>
      </c>
      <c r="R228" s="4">
        <v>0</v>
      </c>
      <c r="S228" s="4">
        <v>0</v>
      </c>
      <c r="T228" s="4">
        <v>0</v>
      </c>
      <c r="U228" s="4">
        <v>0</v>
      </c>
      <c r="V228" s="4">
        <v>0</v>
      </c>
      <c r="W228" s="4">
        <v>0</v>
      </c>
      <c r="X228" s="4">
        <v>0</v>
      </c>
      <c r="Y228" s="4">
        <v>0</v>
      </c>
      <c r="Z228" s="4">
        <v>0</v>
      </c>
      <c r="AA228" s="4">
        <v>0</v>
      </c>
      <c r="AB228" s="4">
        <v>0</v>
      </c>
      <c r="AC228" s="4">
        <v>0</v>
      </c>
      <c r="AD228" s="4">
        <v>0</v>
      </c>
      <c r="AE228" s="4">
        <v>0</v>
      </c>
      <c r="AF228" s="4">
        <v>0</v>
      </c>
      <c r="AG228" s="4">
        <v>0</v>
      </c>
      <c r="AH228" s="4">
        <v>1</v>
      </c>
      <c r="AI228" s="4">
        <v>2</v>
      </c>
      <c r="AJ228" s="4">
        <v>3</v>
      </c>
      <c r="AK228" s="4">
        <v>4</v>
      </c>
      <c r="AL228" s="4">
        <v>5</v>
      </c>
      <c r="AM228" s="4">
        <v>6</v>
      </c>
      <c r="AN228" s="4">
        <v>7</v>
      </c>
      <c r="AO228" s="4">
        <v>8</v>
      </c>
      <c r="AP228" s="4">
        <v>9</v>
      </c>
      <c r="AQ228" s="4">
        <v>10</v>
      </c>
      <c r="AR228" s="4"/>
      <c r="AS228" s="4"/>
      <c r="AT228" s="4"/>
      <c r="AU228" s="4"/>
      <c r="AV228" s="4"/>
      <c r="AW228" s="4"/>
      <c r="AX228" s="4"/>
      <c r="AY228" s="4"/>
      <c r="AZ228" s="4"/>
      <c r="BA228" s="4"/>
      <c r="BB228" s="4"/>
      <c r="BC228" s="4"/>
      <c r="BD228" s="4"/>
      <c r="BG228" s="3">
        <v>0</v>
      </c>
      <c r="BH228" s="3">
        <f t="shared" si="296"/>
        <v>0</v>
      </c>
      <c r="BI228" s="3">
        <v>0</v>
      </c>
      <c r="BJ228" s="3">
        <f t="shared" si="290"/>
        <v>0</v>
      </c>
      <c r="BK228" s="3">
        <v>0</v>
      </c>
      <c r="BL228" s="3">
        <f t="shared" si="291"/>
        <v>0</v>
      </c>
      <c r="BM228" s="3">
        <v>0</v>
      </c>
      <c r="BN228" s="3">
        <f t="shared" si="292"/>
        <v>0</v>
      </c>
      <c r="BO228" s="3">
        <v>0</v>
      </c>
      <c r="BP228" s="3">
        <f t="shared" si="293"/>
        <v>0</v>
      </c>
      <c r="BQ228" s="4">
        <v>0</v>
      </c>
      <c r="BR228" s="18">
        <f t="shared" si="294"/>
        <v>0</v>
      </c>
      <c r="BS228" s="4">
        <v>0</v>
      </c>
      <c r="BT228" s="18">
        <f t="shared" si="295"/>
        <v>0</v>
      </c>
    </row>
    <row r="229" spans="1:72">
      <c r="A229" s="2" t="s">
        <v>29</v>
      </c>
      <c r="B229" s="3">
        <f>SUM(B217:B228)</f>
        <v>0</v>
      </c>
      <c r="C229" s="3">
        <f t="shared" ref="C229:P229" si="297">SUM(C217:C228)</f>
        <v>0</v>
      </c>
      <c r="D229" s="3">
        <f t="shared" si="297"/>
        <v>0</v>
      </c>
      <c r="E229" s="3">
        <f t="shared" si="297"/>
        <v>0</v>
      </c>
      <c r="F229" s="3">
        <f t="shared" si="297"/>
        <v>0</v>
      </c>
      <c r="G229" s="3">
        <f t="shared" si="297"/>
        <v>0</v>
      </c>
      <c r="H229" s="3">
        <f t="shared" si="297"/>
        <v>0</v>
      </c>
      <c r="I229" s="3">
        <f t="shared" si="297"/>
        <v>0</v>
      </c>
      <c r="J229" s="3">
        <f t="shared" si="297"/>
        <v>0</v>
      </c>
      <c r="K229" s="3">
        <f t="shared" si="297"/>
        <v>0</v>
      </c>
      <c r="L229" s="3">
        <f t="shared" si="297"/>
        <v>0</v>
      </c>
      <c r="M229" s="3">
        <f t="shared" si="297"/>
        <v>0</v>
      </c>
      <c r="N229" s="3">
        <f t="shared" si="297"/>
        <v>0</v>
      </c>
      <c r="O229" s="3">
        <f t="shared" si="297"/>
        <v>0</v>
      </c>
      <c r="P229" s="3">
        <f t="shared" si="297"/>
        <v>0</v>
      </c>
      <c r="Q229" s="4">
        <f t="shared" ref="Q229:AD229" si="298">Q14</f>
        <v>0</v>
      </c>
      <c r="R229" s="4">
        <f t="shared" si="298"/>
        <v>0</v>
      </c>
      <c r="S229" s="4">
        <f t="shared" si="298"/>
        <v>0</v>
      </c>
      <c r="T229" s="4">
        <f t="shared" si="298"/>
        <v>0</v>
      </c>
      <c r="U229" s="4">
        <f t="shared" si="298"/>
        <v>0</v>
      </c>
      <c r="V229" s="4">
        <f t="shared" si="298"/>
        <v>0</v>
      </c>
      <c r="W229" s="4">
        <f t="shared" si="298"/>
        <v>0</v>
      </c>
      <c r="X229" s="4">
        <f t="shared" si="298"/>
        <v>0</v>
      </c>
      <c r="Y229" s="4">
        <f t="shared" si="298"/>
        <v>0</v>
      </c>
      <c r="Z229" s="4">
        <f t="shared" si="298"/>
        <v>0</v>
      </c>
      <c r="AA229" s="4">
        <f t="shared" si="298"/>
        <v>0</v>
      </c>
      <c r="AB229" s="4">
        <f t="shared" si="298"/>
        <v>0</v>
      </c>
      <c r="AC229" s="4">
        <f t="shared" si="298"/>
        <v>0</v>
      </c>
      <c r="AD229" s="4">
        <f t="shared" si="298"/>
        <v>0</v>
      </c>
      <c r="AE229" s="4">
        <f>AE14</f>
        <v>0</v>
      </c>
      <c r="AF229" s="4">
        <f>AF14</f>
        <v>0</v>
      </c>
      <c r="AG229" s="4">
        <f>AG14</f>
        <v>0</v>
      </c>
      <c r="AH229" s="4">
        <f t="shared" ref="AH229:AO229" si="299">AH14</f>
        <v>0</v>
      </c>
      <c r="AI229" s="4">
        <f t="shared" si="299"/>
        <v>0</v>
      </c>
      <c r="AJ229" s="4">
        <f t="shared" si="299"/>
        <v>0</v>
      </c>
      <c r="AK229" s="4">
        <f t="shared" si="299"/>
        <v>0</v>
      </c>
      <c r="AL229" s="4">
        <f t="shared" si="299"/>
        <v>0</v>
      </c>
      <c r="AM229" s="4">
        <f t="shared" si="299"/>
        <v>0</v>
      </c>
      <c r="AN229" s="4">
        <f t="shared" si="299"/>
        <v>0</v>
      </c>
      <c r="AO229" s="4">
        <f t="shared" si="299"/>
        <v>0</v>
      </c>
      <c r="AP229" s="4">
        <f>AP14</f>
        <v>0</v>
      </c>
      <c r="AQ229" s="4">
        <f>AQ14</f>
        <v>0</v>
      </c>
      <c r="AR229" s="4"/>
      <c r="AS229" s="4"/>
      <c r="AT229" s="4"/>
      <c r="AU229" s="4"/>
      <c r="AV229" s="4"/>
      <c r="AW229" s="4"/>
      <c r="AX229" s="4"/>
      <c r="AY229" s="4"/>
      <c r="AZ229" s="4"/>
      <c r="BA229" s="4"/>
      <c r="BB229" s="4"/>
      <c r="BC229" s="4"/>
      <c r="BD229" s="4"/>
      <c r="BG229" s="3">
        <v>0</v>
      </c>
      <c r="BH229" s="3">
        <f t="shared" si="296"/>
        <v>0</v>
      </c>
      <c r="BI229" s="3">
        <v>0</v>
      </c>
      <c r="BJ229" s="3">
        <f t="shared" si="290"/>
        <v>0</v>
      </c>
      <c r="BK229" s="3">
        <v>0</v>
      </c>
      <c r="BL229" s="3">
        <f t="shared" si="291"/>
        <v>0</v>
      </c>
      <c r="BM229" s="3">
        <v>0</v>
      </c>
      <c r="BN229" s="3">
        <f t="shared" si="292"/>
        <v>0</v>
      </c>
      <c r="BO229" s="3">
        <v>0</v>
      </c>
      <c r="BP229" s="3">
        <f t="shared" si="293"/>
        <v>0</v>
      </c>
      <c r="BQ229" s="4">
        <v>0</v>
      </c>
      <c r="BR229" s="18">
        <f t="shared" si="294"/>
        <v>0</v>
      </c>
      <c r="BS229" s="19">
        <v>0</v>
      </c>
      <c r="BT229" s="18">
        <f t="shared" si="295"/>
        <v>0</v>
      </c>
    </row>
  </sheetData>
  <mergeCells count="3">
    <mergeCell ref="BY20:BY24"/>
    <mergeCell ref="BZ20:BZ24"/>
    <mergeCell ref="CA20:CA2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34558-7219-436A-92B2-3CAFC5AAC635}">
  <sheetPr>
    <tabColor theme="2" tint="-0.499984740745262"/>
  </sheetPr>
  <dimension ref="A1:AH192"/>
  <sheetViews>
    <sheetView zoomScaleNormal="100" workbookViewId="0">
      <pane xSplit="1" ySplit="3" topLeftCell="B178" activePane="bottomRight" state="frozen"/>
      <selection activeCell="A9" sqref="A9"/>
      <selection pane="topRight" activeCell="A9" sqref="A9"/>
      <selection pane="bottomLeft" activeCell="A9" sqref="A9"/>
      <selection pane="bottomRight" activeCell="A9" sqref="A9"/>
    </sheetView>
  </sheetViews>
  <sheetFormatPr defaultColWidth="9.140625" defaultRowHeight="13.5"/>
  <cols>
    <col min="1" max="1" width="9.5703125" style="14" bestFit="1" customWidth="1"/>
    <col min="2" max="4" width="14.28515625" style="14" customWidth="1"/>
    <col min="5" max="7" width="19.28515625" style="14" customWidth="1"/>
    <col min="8" max="29" width="14.28515625" style="14" customWidth="1"/>
    <col min="30" max="30" width="10.28515625" style="14" bestFit="1" customWidth="1"/>
    <col min="31" max="32" width="9.140625" style="14"/>
    <col min="33" max="33" width="11.7109375" style="14" bestFit="1" customWidth="1"/>
    <col min="34" max="34" width="12.140625" style="14" customWidth="1"/>
    <col min="35" max="35" width="10.7109375" style="14" bestFit="1" customWidth="1"/>
    <col min="36" max="16384" width="9.140625" style="14"/>
  </cols>
  <sheetData>
    <row r="1" spans="1:30" ht="15.75">
      <c r="A1" s="123"/>
      <c r="B1" s="480" t="s">
        <v>255</v>
      </c>
      <c r="C1" s="481"/>
      <c r="D1" s="481"/>
      <c r="E1" s="481"/>
      <c r="F1" s="481"/>
      <c r="G1" s="481"/>
      <c r="H1" s="481"/>
      <c r="I1" s="481"/>
      <c r="J1" s="481"/>
      <c r="K1" s="481"/>
      <c r="L1" s="481"/>
      <c r="M1" s="481"/>
      <c r="N1" s="481"/>
      <c r="O1" s="481"/>
      <c r="P1" s="482"/>
      <c r="Q1" s="483" t="s">
        <v>256</v>
      </c>
      <c r="R1" s="484"/>
      <c r="S1" s="484"/>
      <c r="T1" s="484"/>
      <c r="U1" s="484"/>
      <c r="V1" s="484"/>
      <c r="W1" s="484"/>
      <c r="X1" s="484"/>
      <c r="Y1" s="484"/>
      <c r="Z1" s="484"/>
      <c r="AA1" s="484"/>
      <c r="AB1" s="484"/>
      <c r="AC1" s="485"/>
    </row>
    <row r="2" spans="1:30" ht="14.25" customHeight="1">
      <c r="A2" s="123"/>
      <c r="B2" s="486" t="s">
        <v>223</v>
      </c>
      <c r="C2" s="487"/>
      <c r="D2" s="487"/>
      <c r="E2" s="488" t="s">
        <v>257</v>
      </c>
      <c r="F2" s="488"/>
      <c r="G2" s="488"/>
      <c r="H2" s="489" t="s">
        <v>226</v>
      </c>
      <c r="I2" s="489"/>
      <c r="J2" s="489"/>
      <c r="K2" s="490" t="s">
        <v>227</v>
      </c>
      <c r="L2" s="490"/>
      <c r="M2" s="490"/>
      <c r="N2" s="491" t="s">
        <v>258</v>
      </c>
      <c r="O2" s="491"/>
      <c r="P2" s="492"/>
      <c r="Q2" s="493" t="s">
        <v>223</v>
      </c>
      <c r="R2" s="494"/>
      <c r="S2" s="494"/>
      <c r="T2" s="495" t="s">
        <v>259</v>
      </c>
      <c r="U2" s="495"/>
      <c r="V2" s="495"/>
      <c r="W2" s="496" t="s">
        <v>226</v>
      </c>
      <c r="X2" s="496"/>
      <c r="Y2" s="496"/>
      <c r="Z2" s="478" t="s">
        <v>227</v>
      </c>
      <c r="AA2" s="478"/>
      <c r="AB2" s="478"/>
      <c r="AC2" s="479" t="s">
        <v>255</v>
      </c>
    </row>
    <row r="3" spans="1:30" ht="16.5" thickBot="1">
      <c r="A3" s="123"/>
      <c r="B3" s="124" t="s">
        <v>260</v>
      </c>
      <c r="C3" s="125" t="s">
        <v>261</v>
      </c>
      <c r="D3" s="125" t="s">
        <v>262</v>
      </c>
      <c r="E3" s="132" t="s">
        <v>260</v>
      </c>
      <c r="F3" s="132" t="s">
        <v>261</v>
      </c>
      <c r="G3" s="132" t="s">
        <v>262</v>
      </c>
      <c r="H3" s="126" t="s">
        <v>260</v>
      </c>
      <c r="I3" s="126" t="s">
        <v>261</v>
      </c>
      <c r="J3" s="126" t="s">
        <v>262</v>
      </c>
      <c r="K3" s="127" t="s">
        <v>260</v>
      </c>
      <c r="L3" s="127" t="s">
        <v>261</v>
      </c>
      <c r="M3" s="127" t="s">
        <v>262</v>
      </c>
      <c r="N3" s="133" t="s">
        <v>260</v>
      </c>
      <c r="O3" s="133" t="s">
        <v>261</v>
      </c>
      <c r="P3" s="134" t="s">
        <v>262</v>
      </c>
      <c r="Q3" s="135" t="s">
        <v>260</v>
      </c>
      <c r="R3" s="128" t="s">
        <v>261</v>
      </c>
      <c r="S3" s="128" t="s">
        <v>262</v>
      </c>
      <c r="T3" s="136" t="s">
        <v>260</v>
      </c>
      <c r="U3" s="129" t="s">
        <v>261</v>
      </c>
      <c r="V3" s="129" t="s">
        <v>262</v>
      </c>
      <c r="W3" s="137" t="s">
        <v>260</v>
      </c>
      <c r="X3" s="130" t="s">
        <v>261</v>
      </c>
      <c r="Y3" s="130" t="s">
        <v>262</v>
      </c>
      <c r="Z3" s="131" t="s">
        <v>260</v>
      </c>
      <c r="AA3" s="131" t="s">
        <v>261</v>
      </c>
      <c r="AB3" s="131" t="s">
        <v>262</v>
      </c>
      <c r="AC3" s="479"/>
    </row>
    <row r="4" spans="1:30" ht="14.25" hidden="1" thickBot="1">
      <c r="A4" s="138">
        <v>40179</v>
      </c>
      <c r="B4" s="139">
        <v>0</v>
      </c>
      <c r="C4" s="18">
        <v>0</v>
      </c>
      <c r="D4" s="18">
        <f>SUM(B4:C4)</f>
        <v>0</v>
      </c>
      <c r="E4" s="18">
        <v>0</v>
      </c>
      <c r="F4" s="18">
        <v>0</v>
      </c>
      <c r="G4" s="18">
        <f>SUM(E4:F4)</f>
        <v>0</v>
      </c>
      <c r="H4" s="18">
        <v>0</v>
      </c>
      <c r="I4" s="18">
        <v>0</v>
      </c>
      <c r="J4" s="18">
        <f>SUM(H4:I4)</f>
        <v>0</v>
      </c>
      <c r="K4" s="18">
        <v>0</v>
      </c>
      <c r="L4" s="18">
        <v>0</v>
      </c>
      <c r="M4" s="18">
        <f>SUM(K4:L4)</f>
        <v>0</v>
      </c>
      <c r="N4" s="18">
        <f>B4+E4+H4+K4</f>
        <v>0</v>
      </c>
      <c r="O4" s="18">
        <f>C4+F4+I4+L4</f>
        <v>0</v>
      </c>
      <c r="P4" s="18">
        <f>N4+O4</f>
        <v>0</v>
      </c>
      <c r="Q4" s="139">
        <f>B4</f>
        <v>0</v>
      </c>
      <c r="R4" s="18">
        <f>C4</f>
        <v>0</v>
      </c>
      <c r="S4" s="18">
        <f>R4+Q4</f>
        <v>0</v>
      </c>
      <c r="T4" s="18">
        <f>E4</f>
        <v>0</v>
      </c>
      <c r="U4" s="18">
        <f>F4</f>
        <v>0</v>
      </c>
      <c r="V4" s="18">
        <f>U4+T4</f>
        <v>0</v>
      </c>
      <c r="W4" s="18">
        <f>H4</f>
        <v>0</v>
      </c>
      <c r="X4" s="18">
        <f>I4</f>
        <v>0</v>
      </c>
      <c r="Y4" s="18">
        <f>X4+W4</f>
        <v>0</v>
      </c>
      <c r="Z4" s="18">
        <f>K4</f>
        <v>0</v>
      </c>
      <c r="AA4" s="18">
        <f>L4</f>
        <v>0</v>
      </c>
      <c r="AB4" s="18">
        <f>AA4+Z4</f>
        <v>0</v>
      </c>
      <c r="AC4" s="140">
        <f>AB4+Y4+V4+S4</f>
        <v>0</v>
      </c>
    </row>
    <row r="5" spans="1:30" ht="14.25" hidden="1" thickBot="1">
      <c r="A5" s="138">
        <v>40210</v>
      </c>
      <c r="B5" s="139">
        <v>0</v>
      </c>
      <c r="C5" s="18">
        <v>0</v>
      </c>
      <c r="D5" s="18">
        <f t="shared" ref="D5:D51" si="0">SUM(B5:C5)</f>
        <v>0</v>
      </c>
      <c r="E5" s="18">
        <v>0</v>
      </c>
      <c r="F5" s="18">
        <v>0</v>
      </c>
      <c r="G5" s="18">
        <f t="shared" ref="G5:G68" si="1">SUM(E5:F5)</f>
        <v>0</v>
      </c>
      <c r="H5" s="18">
        <v>0</v>
      </c>
      <c r="I5" s="18">
        <v>0</v>
      </c>
      <c r="J5" s="18">
        <f t="shared" ref="J5:J68" si="2">SUM(H5:I5)</f>
        <v>0</v>
      </c>
      <c r="K5" s="18">
        <v>0</v>
      </c>
      <c r="L5" s="18">
        <v>0</v>
      </c>
      <c r="M5" s="18">
        <f t="shared" ref="M5:M68" si="3">SUM(K5:L5)</f>
        <v>0</v>
      </c>
      <c r="N5" s="18">
        <f t="shared" ref="N5:O68" si="4">B5+E5+H5+K5</f>
        <v>0</v>
      </c>
      <c r="O5" s="18">
        <f t="shared" si="4"/>
        <v>0</v>
      </c>
      <c r="P5" s="18">
        <f t="shared" ref="P5:P68" si="5">N5+O5</f>
        <v>0</v>
      </c>
      <c r="Q5" s="139">
        <f t="shared" ref="Q5:R15" si="6">Q4+B5</f>
        <v>0</v>
      </c>
      <c r="R5" s="18">
        <f t="shared" si="6"/>
        <v>0</v>
      </c>
      <c r="S5" s="18">
        <f t="shared" ref="S5:S15" si="7">R5+Q5</f>
        <v>0</v>
      </c>
      <c r="T5" s="18">
        <f>T4+E5</f>
        <v>0</v>
      </c>
      <c r="U5" s="18">
        <f>U4+F5</f>
        <v>0</v>
      </c>
      <c r="V5" s="18">
        <f t="shared" ref="V5:V15" si="8">U5+T5</f>
        <v>0</v>
      </c>
      <c r="W5" s="18">
        <f>W4+H5</f>
        <v>0</v>
      </c>
      <c r="X5" s="18">
        <f>X4+I5</f>
        <v>0</v>
      </c>
      <c r="Y5" s="18">
        <f t="shared" ref="Y5:Y15" si="9">X5+W5</f>
        <v>0</v>
      </c>
      <c r="Z5" s="18">
        <f>Z4+K5</f>
        <v>0</v>
      </c>
      <c r="AA5" s="18">
        <f>AA4+L5</f>
        <v>0</v>
      </c>
      <c r="AB5" s="18">
        <f t="shared" ref="AB5:AB15" si="10">AA5+Z5</f>
        <v>0</v>
      </c>
      <c r="AC5" s="140">
        <f t="shared" ref="AC5:AC15" si="11">AB5+Y5+V5+S5</f>
        <v>0</v>
      </c>
    </row>
    <row r="6" spans="1:30" ht="14.25" hidden="1" thickBot="1">
      <c r="A6" s="138">
        <v>40238</v>
      </c>
      <c r="B6" s="139">
        <v>0</v>
      </c>
      <c r="C6" s="18">
        <v>0</v>
      </c>
      <c r="D6" s="18">
        <f t="shared" si="0"/>
        <v>0</v>
      </c>
      <c r="E6" s="18">
        <v>0</v>
      </c>
      <c r="F6" s="18">
        <v>0</v>
      </c>
      <c r="G6" s="18">
        <f t="shared" si="1"/>
        <v>0</v>
      </c>
      <c r="H6" s="18">
        <v>0</v>
      </c>
      <c r="I6" s="18">
        <v>0</v>
      </c>
      <c r="J6" s="18">
        <f t="shared" si="2"/>
        <v>0</v>
      </c>
      <c r="K6" s="18">
        <v>0</v>
      </c>
      <c r="L6" s="18">
        <v>0</v>
      </c>
      <c r="M6" s="18">
        <f t="shared" si="3"/>
        <v>0</v>
      </c>
      <c r="N6" s="18">
        <f t="shared" si="4"/>
        <v>0</v>
      </c>
      <c r="O6" s="18">
        <f t="shared" si="4"/>
        <v>0</v>
      </c>
      <c r="P6" s="18">
        <f t="shared" si="5"/>
        <v>0</v>
      </c>
      <c r="Q6" s="139">
        <f t="shared" si="6"/>
        <v>0</v>
      </c>
      <c r="R6" s="18">
        <f t="shared" si="6"/>
        <v>0</v>
      </c>
      <c r="S6" s="18">
        <f t="shared" si="7"/>
        <v>0</v>
      </c>
      <c r="T6" s="18">
        <f t="shared" ref="T6:U14" si="12">T5+E6</f>
        <v>0</v>
      </c>
      <c r="U6" s="18">
        <f t="shared" si="12"/>
        <v>0</v>
      </c>
      <c r="V6" s="18">
        <f t="shared" si="8"/>
        <v>0</v>
      </c>
      <c r="W6" s="18">
        <f t="shared" ref="W6:X14" si="13">W5+H6</f>
        <v>0</v>
      </c>
      <c r="X6" s="18">
        <f t="shared" si="13"/>
        <v>0</v>
      </c>
      <c r="Y6" s="18">
        <f t="shared" si="9"/>
        <v>0</v>
      </c>
      <c r="Z6" s="18">
        <f t="shared" ref="Z6:AA14" si="14">Z5+K6</f>
        <v>0</v>
      </c>
      <c r="AA6" s="18">
        <f t="shared" si="14"/>
        <v>0</v>
      </c>
      <c r="AB6" s="18">
        <f t="shared" si="10"/>
        <v>0</v>
      </c>
      <c r="AC6" s="140">
        <f t="shared" si="11"/>
        <v>0</v>
      </c>
    </row>
    <row r="7" spans="1:30" ht="14.25" hidden="1" thickBot="1">
      <c r="A7" s="138">
        <v>40269</v>
      </c>
      <c r="B7" s="139">
        <v>0</v>
      </c>
      <c r="C7" s="18">
        <v>0</v>
      </c>
      <c r="D7" s="18">
        <f t="shared" si="0"/>
        <v>0</v>
      </c>
      <c r="E7" s="18">
        <v>0</v>
      </c>
      <c r="F7" s="18">
        <v>0</v>
      </c>
      <c r="G7" s="18">
        <f t="shared" si="1"/>
        <v>0</v>
      </c>
      <c r="H7" s="18">
        <v>0</v>
      </c>
      <c r="I7" s="18">
        <v>0</v>
      </c>
      <c r="J7" s="18">
        <f t="shared" si="2"/>
        <v>0</v>
      </c>
      <c r="K7" s="18">
        <v>0</v>
      </c>
      <c r="L7" s="18">
        <v>0</v>
      </c>
      <c r="M7" s="18">
        <f t="shared" si="3"/>
        <v>0</v>
      </c>
      <c r="N7" s="18">
        <f t="shared" si="4"/>
        <v>0</v>
      </c>
      <c r="O7" s="18">
        <f t="shared" si="4"/>
        <v>0</v>
      </c>
      <c r="P7" s="18">
        <f t="shared" si="5"/>
        <v>0</v>
      </c>
      <c r="Q7" s="139">
        <f t="shared" si="6"/>
        <v>0</v>
      </c>
      <c r="R7" s="18">
        <f t="shared" si="6"/>
        <v>0</v>
      </c>
      <c r="S7" s="18">
        <f t="shared" si="7"/>
        <v>0</v>
      </c>
      <c r="T7" s="18">
        <f t="shared" si="12"/>
        <v>0</v>
      </c>
      <c r="U7" s="18">
        <f t="shared" si="12"/>
        <v>0</v>
      </c>
      <c r="V7" s="18">
        <f t="shared" si="8"/>
        <v>0</v>
      </c>
      <c r="W7" s="18">
        <f t="shared" si="13"/>
        <v>0</v>
      </c>
      <c r="X7" s="18">
        <f t="shared" si="13"/>
        <v>0</v>
      </c>
      <c r="Y7" s="18">
        <f t="shared" si="9"/>
        <v>0</v>
      </c>
      <c r="Z7" s="18">
        <f t="shared" si="14"/>
        <v>0</v>
      </c>
      <c r="AA7" s="18">
        <f t="shared" si="14"/>
        <v>0</v>
      </c>
      <c r="AB7" s="18">
        <f t="shared" si="10"/>
        <v>0</v>
      </c>
      <c r="AC7" s="140">
        <f t="shared" si="11"/>
        <v>0</v>
      </c>
    </row>
    <row r="8" spans="1:30" ht="14.25" hidden="1" thickBot="1">
      <c r="A8" s="138">
        <v>40299</v>
      </c>
      <c r="B8" s="139">
        <v>0</v>
      </c>
      <c r="C8" s="18">
        <v>0</v>
      </c>
      <c r="D8" s="18">
        <f t="shared" si="0"/>
        <v>0</v>
      </c>
      <c r="E8" s="18">
        <v>0</v>
      </c>
      <c r="F8" s="18">
        <v>0</v>
      </c>
      <c r="G8" s="18">
        <f t="shared" si="1"/>
        <v>0</v>
      </c>
      <c r="H8" s="18">
        <v>0</v>
      </c>
      <c r="I8" s="18">
        <v>0</v>
      </c>
      <c r="J8" s="18">
        <f t="shared" si="2"/>
        <v>0</v>
      </c>
      <c r="K8" s="18">
        <v>0</v>
      </c>
      <c r="L8" s="18">
        <v>0</v>
      </c>
      <c r="M8" s="18">
        <f t="shared" si="3"/>
        <v>0</v>
      </c>
      <c r="N8" s="18">
        <f t="shared" si="4"/>
        <v>0</v>
      </c>
      <c r="O8" s="18">
        <f t="shared" si="4"/>
        <v>0</v>
      </c>
      <c r="P8" s="18">
        <f t="shared" si="5"/>
        <v>0</v>
      </c>
      <c r="Q8" s="139">
        <f t="shared" si="6"/>
        <v>0</v>
      </c>
      <c r="R8" s="18">
        <f t="shared" si="6"/>
        <v>0</v>
      </c>
      <c r="S8" s="18">
        <f t="shared" si="7"/>
        <v>0</v>
      </c>
      <c r="T8" s="18">
        <f t="shared" si="12"/>
        <v>0</v>
      </c>
      <c r="U8" s="18">
        <f t="shared" si="12"/>
        <v>0</v>
      </c>
      <c r="V8" s="18">
        <f t="shared" si="8"/>
        <v>0</v>
      </c>
      <c r="W8" s="18">
        <f t="shared" si="13"/>
        <v>0</v>
      </c>
      <c r="X8" s="18">
        <f t="shared" si="13"/>
        <v>0</v>
      </c>
      <c r="Y8" s="18">
        <f t="shared" si="9"/>
        <v>0</v>
      </c>
      <c r="Z8" s="18">
        <f t="shared" si="14"/>
        <v>0</v>
      </c>
      <c r="AA8" s="18">
        <f t="shared" si="14"/>
        <v>0</v>
      </c>
      <c r="AB8" s="18">
        <f t="shared" si="10"/>
        <v>0</v>
      </c>
      <c r="AC8" s="140">
        <f t="shared" si="11"/>
        <v>0</v>
      </c>
    </row>
    <row r="9" spans="1:30" ht="14.25" hidden="1" thickBot="1">
      <c r="A9" s="138">
        <v>40330</v>
      </c>
      <c r="B9" s="139">
        <v>0</v>
      </c>
      <c r="C9" s="18">
        <v>0</v>
      </c>
      <c r="D9" s="18">
        <f t="shared" si="0"/>
        <v>0</v>
      </c>
      <c r="E9" s="18">
        <v>0</v>
      </c>
      <c r="F9" s="18">
        <v>0</v>
      </c>
      <c r="G9" s="18">
        <f t="shared" si="1"/>
        <v>0</v>
      </c>
      <c r="H9" s="18">
        <v>0</v>
      </c>
      <c r="I9" s="18">
        <v>0</v>
      </c>
      <c r="J9" s="18">
        <f t="shared" si="2"/>
        <v>0</v>
      </c>
      <c r="K9" s="18">
        <v>0</v>
      </c>
      <c r="L9" s="18">
        <v>0</v>
      </c>
      <c r="M9" s="18">
        <f t="shared" si="3"/>
        <v>0</v>
      </c>
      <c r="N9" s="18">
        <f t="shared" si="4"/>
        <v>0</v>
      </c>
      <c r="O9" s="18">
        <f t="shared" si="4"/>
        <v>0</v>
      </c>
      <c r="P9" s="18">
        <f t="shared" si="5"/>
        <v>0</v>
      </c>
      <c r="Q9" s="139">
        <f t="shared" si="6"/>
        <v>0</v>
      </c>
      <c r="R9" s="18">
        <f t="shared" si="6"/>
        <v>0</v>
      </c>
      <c r="S9" s="18">
        <f t="shared" si="7"/>
        <v>0</v>
      </c>
      <c r="T9" s="18">
        <f t="shared" si="12"/>
        <v>0</v>
      </c>
      <c r="U9" s="18">
        <f t="shared" si="12"/>
        <v>0</v>
      </c>
      <c r="V9" s="18">
        <f t="shared" si="8"/>
        <v>0</v>
      </c>
      <c r="W9" s="18">
        <f t="shared" si="13"/>
        <v>0</v>
      </c>
      <c r="X9" s="18">
        <f t="shared" si="13"/>
        <v>0</v>
      </c>
      <c r="Y9" s="18">
        <f t="shared" si="9"/>
        <v>0</v>
      </c>
      <c r="Z9" s="18">
        <f t="shared" si="14"/>
        <v>0</v>
      </c>
      <c r="AA9" s="18">
        <f t="shared" si="14"/>
        <v>0</v>
      </c>
      <c r="AB9" s="18">
        <f t="shared" si="10"/>
        <v>0</v>
      </c>
      <c r="AC9" s="140">
        <f t="shared" si="11"/>
        <v>0</v>
      </c>
    </row>
    <row r="10" spans="1:30" ht="14.25" hidden="1" thickBot="1">
      <c r="A10" s="138">
        <v>40360</v>
      </c>
      <c r="B10" s="139">
        <v>0</v>
      </c>
      <c r="C10" s="18">
        <v>0</v>
      </c>
      <c r="D10" s="18">
        <f t="shared" si="0"/>
        <v>0</v>
      </c>
      <c r="E10" s="18">
        <v>0</v>
      </c>
      <c r="F10" s="18">
        <v>0</v>
      </c>
      <c r="G10" s="18">
        <f t="shared" si="1"/>
        <v>0</v>
      </c>
      <c r="H10" s="18">
        <v>0</v>
      </c>
      <c r="I10" s="18">
        <v>0</v>
      </c>
      <c r="J10" s="18">
        <f t="shared" si="2"/>
        <v>0</v>
      </c>
      <c r="K10" s="18">
        <v>0</v>
      </c>
      <c r="L10" s="18">
        <v>0</v>
      </c>
      <c r="M10" s="18">
        <f t="shared" si="3"/>
        <v>0</v>
      </c>
      <c r="N10" s="18">
        <f t="shared" si="4"/>
        <v>0</v>
      </c>
      <c r="O10" s="18">
        <f t="shared" si="4"/>
        <v>0</v>
      </c>
      <c r="P10" s="18">
        <f t="shared" si="5"/>
        <v>0</v>
      </c>
      <c r="Q10" s="139">
        <f t="shared" si="6"/>
        <v>0</v>
      </c>
      <c r="R10" s="18">
        <f t="shared" si="6"/>
        <v>0</v>
      </c>
      <c r="S10" s="18">
        <f t="shared" si="7"/>
        <v>0</v>
      </c>
      <c r="T10" s="18">
        <f t="shared" si="12"/>
        <v>0</v>
      </c>
      <c r="U10" s="18">
        <f t="shared" si="12"/>
        <v>0</v>
      </c>
      <c r="V10" s="18">
        <f t="shared" si="8"/>
        <v>0</v>
      </c>
      <c r="W10" s="18">
        <f t="shared" si="13"/>
        <v>0</v>
      </c>
      <c r="X10" s="18">
        <f t="shared" si="13"/>
        <v>0</v>
      </c>
      <c r="Y10" s="18">
        <f t="shared" si="9"/>
        <v>0</v>
      </c>
      <c r="Z10" s="18">
        <f t="shared" si="14"/>
        <v>0</v>
      </c>
      <c r="AA10" s="18">
        <f t="shared" si="14"/>
        <v>0</v>
      </c>
      <c r="AB10" s="18">
        <f t="shared" si="10"/>
        <v>0</v>
      </c>
      <c r="AC10" s="140">
        <f t="shared" si="11"/>
        <v>0</v>
      </c>
    </row>
    <row r="11" spans="1:30" ht="14.25" hidden="1" thickBot="1">
      <c r="A11" s="138">
        <v>40391</v>
      </c>
      <c r="B11" s="139">
        <v>0</v>
      </c>
      <c r="C11" s="18">
        <v>0</v>
      </c>
      <c r="D11" s="18">
        <f t="shared" si="0"/>
        <v>0</v>
      </c>
      <c r="E11" s="18">
        <v>0</v>
      </c>
      <c r="F11" s="18">
        <v>0</v>
      </c>
      <c r="G11" s="18">
        <f t="shared" si="1"/>
        <v>0</v>
      </c>
      <c r="H11" s="18">
        <v>0</v>
      </c>
      <c r="I11" s="18">
        <v>0</v>
      </c>
      <c r="J11" s="18">
        <f t="shared" si="2"/>
        <v>0</v>
      </c>
      <c r="K11" s="18">
        <v>0</v>
      </c>
      <c r="L11" s="18">
        <v>0</v>
      </c>
      <c r="M11" s="18">
        <f t="shared" si="3"/>
        <v>0</v>
      </c>
      <c r="N11" s="18">
        <f t="shared" si="4"/>
        <v>0</v>
      </c>
      <c r="O11" s="18">
        <f t="shared" si="4"/>
        <v>0</v>
      </c>
      <c r="P11" s="18">
        <f t="shared" si="5"/>
        <v>0</v>
      </c>
      <c r="Q11" s="139">
        <f t="shared" si="6"/>
        <v>0</v>
      </c>
      <c r="R11" s="18">
        <f t="shared" si="6"/>
        <v>0</v>
      </c>
      <c r="S11" s="18">
        <f t="shared" si="7"/>
        <v>0</v>
      </c>
      <c r="T11" s="18">
        <f t="shared" si="12"/>
        <v>0</v>
      </c>
      <c r="U11" s="18">
        <f t="shared" si="12"/>
        <v>0</v>
      </c>
      <c r="V11" s="18">
        <f t="shared" si="8"/>
        <v>0</v>
      </c>
      <c r="W11" s="18">
        <f t="shared" si="13"/>
        <v>0</v>
      </c>
      <c r="X11" s="18">
        <f t="shared" si="13"/>
        <v>0</v>
      </c>
      <c r="Y11" s="18">
        <f t="shared" si="9"/>
        <v>0</v>
      </c>
      <c r="Z11" s="18">
        <f t="shared" si="14"/>
        <v>0</v>
      </c>
      <c r="AA11" s="18">
        <f t="shared" si="14"/>
        <v>0</v>
      </c>
      <c r="AB11" s="18">
        <f t="shared" si="10"/>
        <v>0</v>
      </c>
      <c r="AC11" s="140">
        <f t="shared" si="11"/>
        <v>0</v>
      </c>
    </row>
    <row r="12" spans="1:30" ht="14.25" hidden="1" thickBot="1">
      <c r="A12" s="138">
        <v>40422</v>
      </c>
      <c r="B12" s="139">
        <v>0</v>
      </c>
      <c r="C12" s="18">
        <v>0</v>
      </c>
      <c r="D12" s="18">
        <f t="shared" si="0"/>
        <v>0</v>
      </c>
      <c r="E12" s="18">
        <v>0</v>
      </c>
      <c r="F12" s="18">
        <v>0</v>
      </c>
      <c r="G12" s="18">
        <f t="shared" si="1"/>
        <v>0</v>
      </c>
      <c r="H12" s="18">
        <v>0</v>
      </c>
      <c r="I12" s="18">
        <v>0</v>
      </c>
      <c r="J12" s="18">
        <f t="shared" si="2"/>
        <v>0</v>
      </c>
      <c r="K12" s="18">
        <v>0</v>
      </c>
      <c r="L12" s="18">
        <v>0</v>
      </c>
      <c r="M12" s="18">
        <f t="shared" si="3"/>
        <v>0</v>
      </c>
      <c r="N12" s="18">
        <f t="shared" si="4"/>
        <v>0</v>
      </c>
      <c r="O12" s="18">
        <f t="shared" si="4"/>
        <v>0</v>
      </c>
      <c r="P12" s="18">
        <f t="shared" si="5"/>
        <v>0</v>
      </c>
      <c r="Q12" s="139">
        <f t="shared" si="6"/>
        <v>0</v>
      </c>
      <c r="R12" s="18">
        <f t="shared" si="6"/>
        <v>0</v>
      </c>
      <c r="S12" s="18">
        <f t="shared" si="7"/>
        <v>0</v>
      </c>
      <c r="T12" s="18">
        <f t="shared" si="12"/>
        <v>0</v>
      </c>
      <c r="U12" s="18">
        <f t="shared" si="12"/>
        <v>0</v>
      </c>
      <c r="V12" s="18">
        <f t="shared" si="8"/>
        <v>0</v>
      </c>
      <c r="W12" s="18">
        <f t="shared" si="13"/>
        <v>0</v>
      </c>
      <c r="X12" s="18">
        <f t="shared" si="13"/>
        <v>0</v>
      </c>
      <c r="Y12" s="18">
        <f t="shared" si="9"/>
        <v>0</v>
      </c>
      <c r="Z12" s="18">
        <f t="shared" si="14"/>
        <v>0</v>
      </c>
      <c r="AA12" s="18">
        <f t="shared" si="14"/>
        <v>0</v>
      </c>
      <c r="AB12" s="18">
        <f t="shared" si="10"/>
        <v>0</v>
      </c>
      <c r="AC12" s="140">
        <f t="shared" si="11"/>
        <v>0</v>
      </c>
    </row>
    <row r="13" spans="1:30" ht="14.25" hidden="1" thickBot="1">
      <c r="A13" s="138">
        <v>40452</v>
      </c>
      <c r="B13" s="139">
        <v>0</v>
      </c>
      <c r="C13" s="18">
        <v>0</v>
      </c>
      <c r="D13" s="18">
        <f t="shared" si="0"/>
        <v>0</v>
      </c>
      <c r="E13" s="18">
        <v>0</v>
      </c>
      <c r="F13" s="18">
        <v>0</v>
      </c>
      <c r="G13" s="18">
        <f t="shared" si="1"/>
        <v>0</v>
      </c>
      <c r="H13" s="18">
        <v>0</v>
      </c>
      <c r="I13" s="18">
        <v>0</v>
      </c>
      <c r="J13" s="18">
        <f t="shared" si="2"/>
        <v>0</v>
      </c>
      <c r="K13" s="18">
        <v>0</v>
      </c>
      <c r="L13" s="18">
        <v>0</v>
      </c>
      <c r="M13" s="18">
        <f t="shared" si="3"/>
        <v>0</v>
      </c>
      <c r="N13" s="18">
        <f t="shared" si="4"/>
        <v>0</v>
      </c>
      <c r="O13" s="18">
        <f t="shared" si="4"/>
        <v>0</v>
      </c>
      <c r="P13" s="18">
        <f t="shared" si="5"/>
        <v>0</v>
      </c>
      <c r="Q13" s="139">
        <f t="shared" si="6"/>
        <v>0</v>
      </c>
      <c r="R13" s="18">
        <f t="shared" si="6"/>
        <v>0</v>
      </c>
      <c r="S13" s="18">
        <f t="shared" si="7"/>
        <v>0</v>
      </c>
      <c r="T13" s="18">
        <f t="shared" si="12"/>
        <v>0</v>
      </c>
      <c r="U13" s="18">
        <f t="shared" si="12"/>
        <v>0</v>
      </c>
      <c r="V13" s="18">
        <f t="shared" si="8"/>
        <v>0</v>
      </c>
      <c r="W13" s="18">
        <f t="shared" si="13"/>
        <v>0</v>
      </c>
      <c r="X13" s="18">
        <f t="shared" si="13"/>
        <v>0</v>
      </c>
      <c r="Y13" s="18">
        <f t="shared" si="9"/>
        <v>0</v>
      </c>
      <c r="Z13" s="18">
        <f t="shared" si="14"/>
        <v>0</v>
      </c>
      <c r="AA13" s="18">
        <f t="shared" si="14"/>
        <v>0</v>
      </c>
      <c r="AB13" s="18">
        <f t="shared" si="10"/>
        <v>0</v>
      </c>
      <c r="AC13" s="140">
        <f t="shared" si="11"/>
        <v>0</v>
      </c>
    </row>
    <row r="14" spans="1:30" ht="14.25" hidden="1" thickBot="1">
      <c r="A14" s="138">
        <v>40483</v>
      </c>
      <c r="B14" s="139">
        <v>0</v>
      </c>
      <c r="C14" s="18">
        <v>0</v>
      </c>
      <c r="D14" s="18">
        <f t="shared" si="0"/>
        <v>0</v>
      </c>
      <c r="E14" s="18">
        <v>0</v>
      </c>
      <c r="F14" s="18">
        <v>0</v>
      </c>
      <c r="G14" s="18">
        <f t="shared" si="1"/>
        <v>0</v>
      </c>
      <c r="H14" s="18">
        <v>0</v>
      </c>
      <c r="I14" s="18">
        <v>0</v>
      </c>
      <c r="J14" s="18">
        <f t="shared" si="2"/>
        <v>0</v>
      </c>
      <c r="K14" s="18">
        <v>0</v>
      </c>
      <c r="L14" s="18">
        <v>0</v>
      </c>
      <c r="M14" s="18">
        <f t="shared" si="3"/>
        <v>0</v>
      </c>
      <c r="N14" s="18">
        <f t="shared" si="4"/>
        <v>0</v>
      </c>
      <c r="O14" s="18">
        <f t="shared" si="4"/>
        <v>0</v>
      </c>
      <c r="P14" s="18">
        <f t="shared" si="5"/>
        <v>0</v>
      </c>
      <c r="Q14" s="139">
        <f t="shared" si="6"/>
        <v>0</v>
      </c>
      <c r="R14" s="18">
        <f t="shared" si="6"/>
        <v>0</v>
      </c>
      <c r="S14" s="18">
        <f t="shared" si="7"/>
        <v>0</v>
      </c>
      <c r="T14" s="18">
        <f t="shared" si="12"/>
        <v>0</v>
      </c>
      <c r="U14" s="18">
        <f t="shared" si="12"/>
        <v>0</v>
      </c>
      <c r="V14" s="18">
        <f t="shared" si="8"/>
        <v>0</v>
      </c>
      <c r="W14" s="18">
        <f t="shared" si="13"/>
        <v>0</v>
      </c>
      <c r="X14" s="18">
        <f t="shared" si="13"/>
        <v>0</v>
      </c>
      <c r="Y14" s="18">
        <f t="shared" si="9"/>
        <v>0</v>
      </c>
      <c r="Z14" s="18">
        <f t="shared" si="14"/>
        <v>0</v>
      </c>
      <c r="AA14" s="18">
        <f t="shared" si="14"/>
        <v>0</v>
      </c>
      <c r="AB14" s="18">
        <f t="shared" si="10"/>
        <v>0</v>
      </c>
      <c r="AC14" s="140">
        <f t="shared" si="11"/>
        <v>0</v>
      </c>
    </row>
    <row r="15" spans="1:30" ht="14.25" hidden="1" thickBot="1">
      <c r="A15" s="138">
        <v>40513</v>
      </c>
      <c r="B15" s="139">
        <v>0</v>
      </c>
      <c r="C15" s="18">
        <v>0</v>
      </c>
      <c r="D15" s="18">
        <f t="shared" si="0"/>
        <v>0</v>
      </c>
      <c r="E15" s="18">
        <v>0</v>
      </c>
      <c r="F15" s="18">
        <v>0</v>
      </c>
      <c r="G15" s="18">
        <f t="shared" si="1"/>
        <v>0</v>
      </c>
      <c r="H15" s="18">
        <v>0</v>
      </c>
      <c r="I15" s="18">
        <v>0</v>
      </c>
      <c r="J15" s="18">
        <f t="shared" si="2"/>
        <v>0</v>
      </c>
      <c r="K15" s="18">
        <v>0</v>
      </c>
      <c r="L15" s="18">
        <v>0</v>
      </c>
      <c r="M15" s="18">
        <f t="shared" si="3"/>
        <v>0</v>
      </c>
      <c r="N15" s="18">
        <f t="shared" si="4"/>
        <v>0</v>
      </c>
      <c r="O15" s="18">
        <f t="shared" si="4"/>
        <v>0</v>
      </c>
      <c r="P15" s="18">
        <f t="shared" si="5"/>
        <v>0</v>
      </c>
      <c r="Q15" s="139">
        <f t="shared" si="6"/>
        <v>0</v>
      </c>
      <c r="R15" s="18">
        <f t="shared" si="6"/>
        <v>0</v>
      </c>
      <c r="S15" s="18">
        <f t="shared" si="7"/>
        <v>0</v>
      </c>
      <c r="T15" s="18">
        <f>T14+E15</f>
        <v>0</v>
      </c>
      <c r="U15" s="18">
        <f>U14+F15</f>
        <v>0</v>
      </c>
      <c r="V15" s="18">
        <f t="shared" si="8"/>
        <v>0</v>
      </c>
      <c r="W15" s="18">
        <f>W14+H15</f>
        <v>0</v>
      </c>
      <c r="X15" s="18">
        <f>X14+I15</f>
        <v>0</v>
      </c>
      <c r="Y15" s="18">
        <f t="shared" si="9"/>
        <v>0</v>
      </c>
      <c r="Z15" s="18">
        <f>Z14+K15</f>
        <v>0</v>
      </c>
      <c r="AA15" s="18">
        <f>AA14+L15</f>
        <v>0</v>
      </c>
      <c r="AB15" s="18">
        <f t="shared" si="10"/>
        <v>0</v>
      </c>
      <c r="AC15" s="140">
        <f t="shared" si="11"/>
        <v>0</v>
      </c>
    </row>
    <row r="16" spans="1:30" ht="14.25" hidden="1" thickBot="1">
      <c r="A16" s="141">
        <v>40544</v>
      </c>
      <c r="B16" s="142">
        <v>0</v>
      </c>
      <c r="C16" s="143">
        <v>0</v>
      </c>
      <c r="D16" s="143">
        <f t="shared" si="0"/>
        <v>0</v>
      </c>
      <c r="E16" s="143">
        <v>0</v>
      </c>
      <c r="F16" s="143">
        <v>0</v>
      </c>
      <c r="G16" s="143">
        <f t="shared" si="1"/>
        <v>0</v>
      </c>
      <c r="H16" s="143">
        <v>0</v>
      </c>
      <c r="I16" s="143">
        <v>0</v>
      </c>
      <c r="J16" s="143">
        <f t="shared" si="2"/>
        <v>0</v>
      </c>
      <c r="K16" s="143">
        <v>0</v>
      </c>
      <c r="L16" s="143">
        <v>0</v>
      </c>
      <c r="M16" s="143">
        <f t="shared" si="3"/>
        <v>0</v>
      </c>
      <c r="N16" s="143">
        <f t="shared" si="4"/>
        <v>0</v>
      </c>
      <c r="O16" s="143">
        <f t="shared" si="4"/>
        <v>0</v>
      </c>
      <c r="P16" s="143">
        <f t="shared" si="5"/>
        <v>0</v>
      </c>
      <c r="Q16" s="142">
        <f>B16</f>
        <v>0</v>
      </c>
      <c r="R16" s="143">
        <f>C16</f>
        <v>0</v>
      </c>
      <c r="S16" s="143">
        <f>R16+Q16</f>
        <v>0</v>
      </c>
      <c r="T16" s="143">
        <f>E16</f>
        <v>0</v>
      </c>
      <c r="U16" s="143">
        <f>F16</f>
        <v>0</v>
      </c>
      <c r="V16" s="143">
        <f>U16+T16</f>
        <v>0</v>
      </c>
      <c r="W16" s="143">
        <f>H16</f>
        <v>0</v>
      </c>
      <c r="X16" s="143">
        <f>I16</f>
        <v>0</v>
      </c>
      <c r="Y16" s="143">
        <f>X16+W16</f>
        <v>0</v>
      </c>
      <c r="Z16" s="143">
        <f>K16</f>
        <v>0</v>
      </c>
      <c r="AA16" s="143">
        <f>L16</f>
        <v>0</v>
      </c>
      <c r="AB16" s="143">
        <f>AA16+Z16</f>
        <v>0</v>
      </c>
      <c r="AC16" s="144">
        <f>AB16+Y16+V16+S16</f>
        <v>0</v>
      </c>
      <c r="AD16" s="26"/>
    </row>
    <row r="17" spans="1:30" ht="14.25" hidden="1" thickBot="1">
      <c r="A17" s="138">
        <v>40575</v>
      </c>
      <c r="B17" s="139">
        <v>0</v>
      </c>
      <c r="C17" s="18">
        <v>0</v>
      </c>
      <c r="D17" s="18">
        <f t="shared" si="0"/>
        <v>0</v>
      </c>
      <c r="E17" s="18">
        <v>0</v>
      </c>
      <c r="F17" s="18">
        <v>0</v>
      </c>
      <c r="G17" s="18">
        <f t="shared" si="1"/>
        <v>0</v>
      </c>
      <c r="H17" s="18">
        <v>0</v>
      </c>
      <c r="I17" s="18">
        <v>0</v>
      </c>
      <c r="J17" s="18">
        <f t="shared" si="2"/>
        <v>0</v>
      </c>
      <c r="K17" s="18">
        <v>0</v>
      </c>
      <c r="L17" s="18">
        <v>0</v>
      </c>
      <c r="M17" s="18">
        <f t="shared" si="3"/>
        <v>0</v>
      </c>
      <c r="N17" s="18">
        <f t="shared" si="4"/>
        <v>0</v>
      </c>
      <c r="O17" s="18">
        <f t="shared" si="4"/>
        <v>0</v>
      </c>
      <c r="P17" s="18">
        <f t="shared" si="5"/>
        <v>0</v>
      </c>
      <c r="Q17" s="139">
        <f>Q16+B17</f>
        <v>0</v>
      </c>
      <c r="R17" s="18">
        <f>R16+C17</f>
        <v>0</v>
      </c>
      <c r="S17" s="18">
        <f t="shared" ref="S17:S27" si="15">R17+Q17</f>
        <v>0</v>
      </c>
      <c r="T17" s="18">
        <f>T16+E17</f>
        <v>0</v>
      </c>
      <c r="U17" s="18">
        <f>U16+F17</f>
        <v>0</v>
      </c>
      <c r="V17" s="18">
        <f t="shared" ref="V17:V27" si="16">U17+T17</f>
        <v>0</v>
      </c>
      <c r="W17" s="18">
        <f>W16+H17</f>
        <v>0</v>
      </c>
      <c r="X17" s="18">
        <f>X16+I17</f>
        <v>0</v>
      </c>
      <c r="Y17" s="18">
        <f t="shared" ref="Y17:Y27" si="17">X17+W17</f>
        <v>0</v>
      </c>
      <c r="Z17" s="18">
        <f>Z16+K17</f>
        <v>0</v>
      </c>
      <c r="AA17" s="18">
        <f>AA16+L17</f>
        <v>0</v>
      </c>
      <c r="AB17" s="18">
        <f t="shared" ref="AB17:AB27" si="18">AA17+Z17</f>
        <v>0</v>
      </c>
      <c r="AC17" s="140">
        <f t="shared" ref="AC17:AC27" si="19">AB17+Y17+V17+S17</f>
        <v>0</v>
      </c>
      <c r="AD17" s="26"/>
    </row>
    <row r="18" spans="1:30" ht="14.25" hidden="1" thickBot="1">
      <c r="A18" s="138">
        <v>40603</v>
      </c>
      <c r="B18" s="139">
        <v>0</v>
      </c>
      <c r="C18" s="18">
        <v>0</v>
      </c>
      <c r="D18" s="18">
        <f t="shared" si="0"/>
        <v>0</v>
      </c>
      <c r="E18" s="18">
        <v>0</v>
      </c>
      <c r="F18" s="18">
        <v>0</v>
      </c>
      <c r="G18" s="18">
        <f t="shared" si="1"/>
        <v>0</v>
      </c>
      <c r="H18" s="18">
        <v>0</v>
      </c>
      <c r="I18" s="18">
        <v>0</v>
      </c>
      <c r="J18" s="18">
        <f t="shared" si="2"/>
        <v>0</v>
      </c>
      <c r="K18" s="18">
        <v>0</v>
      </c>
      <c r="L18" s="18">
        <v>0</v>
      </c>
      <c r="M18" s="18">
        <f t="shared" si="3"/>
        <v>0</v>
      </c>
      <c r="N18" s="18">
        <f t="shared" si="4"/>
        <v>0</v>
      </c>
      <c r="O18" s="18">
        <f t="shared" si="4"/>
        <v>0</v>
      </c>
      <c r="P18" s="18">
        <f t="shared" si="5"/>
        <v>0</v>
      </c>
      <c r="Q18" s="139">
        <f t="shared" ref="Q18:R26" si="20">Q17+B18</f>
        <v>0</v>
      </c>
      <c r="R18" s="18">
        <f t="shared" si="20"/>
        <v>0</v>
      </c>
      <c r="S18" s="18">
        <f t="shared" si="15"/>
        <v>0</v>
      </c>
      <c r="T18" s="18">
        <f t="shared" ref="T18:U26" si="21">T17+E18</f>
        <v>0</v>
      </c>
      <c r="U18" s="18">
        <f t="shared" si="21"/>
        <v>0</v>
      </c>
      <c r="V18" s="18">
        <f t="shared" si="16"/>
        <v>0</v>
      </c>
      <c r="W18" s="18">
        <f t="shared" ref="W18:X26" si="22">W17+H18</f>
        <v>0</v>
      </c>
      <c r="X18" s="18">
        <f t="shared" si="22"/>
        <v>0</v>
      </c>
      <c r="Y18" s="18">
        <f t="shared" si="17"/>
        <v>0</v>
      </c>
      <c r="Z18" s="18">
        <f t="shared" ref="Z18:AA26" si="23">Z17+K18</f>
        <v>0</v>
      </c>
      <c r="AA18" s="18">
        <f t="shared" si="23"/>
        <v>0</v>
      </c>
      <c r="AB18" s="18">
        <f t="shared" si="18"/>
        <v>0</v>
      </c>
      <c r="AC18" s="140">
        <f t="shared" si="19"/>
        <v>0</v>
      </c>
      <c r="AD18" s="26"/>
    </row>
    <row r="19" spans="1:30" ht="14.25" hidden="1" thickBot="1">
      <c r="A19" s="138">
        <v>40634</v>
      </c>
      <c r="B19" s="139">
        <v>0</v>
      </c>
      <c r="C19" s="18">
        <v>0</v>
      </c>
      <c r="D19" s="18">
        <f t="shared" si="0"/>
        <v>0</v>
      </c>
      <c r="E19" s="18">
        <v>0</v>
      </c>
      <c r="F19" s="18">
        <v>0</v>
      </c>
      <c r="G19" s="18">
        <f t="shared" si="1"/>
        <v>0</v>
      </c>
      <c r="H19" s="18">
        <v>0</v>
      </c>
      <c r="I19" s="18">
        <v>0</v>
      </c>
      <c r="J19" s="18">
        <f t="shared" si="2"/>
        <v>0</v>
      </c>
      <c r="K19" s="18">
        <v>0</v>
      </c>
      <c r="L19" s="18">
        <v>0</v>
      </c>
      <c r="M19" s="18">
        <f t="shared" si="3"/>
        <v>0</v>
      </c>
      <c r="N19" s="18">
        <f t="shared" si="4"/>
        <v>0</v>
      </c>
      <c r="O19" s="18">
        <f t="shared" si="4"/>
        <v>0</v>
      </c>
      <c r="P19" s="18">
        <f t="shared" si="5"/>
        <v>0</v>
      </c>
      <c r="Q19" s="139">
        <f t="shared" si="20"/>
        <v>0</v>
      </c>
      <c r="R19" s="18">
        <f t="shared" si="20"/>
        <v>0</v>
      </c>
      <c r="S19" s="18">
        <f t="shared" si="15"/>
        <v>0</v>
      </c>
      <c r="T19" s="18">
        <f t="shared" si="21"/>
        <v>0</v>
      </c>
      <c r="U19" s="18">
        <f t="shared" si="21"/>
        <v>0</v>
      </c>
      <c r="V19" s="18">
        <f t="shared" si="16"/>
        <v>0</v>
      </c>
      <c r="W19" s="18">
        <f t="shared" si="22"/>
        <v>0</v>
      </c>
      <c r="X19" s="18">
        <f t="shared" si="22"/>
        <v>0</v>
      </c>
      <c r="Y19" s="18">
        <f t="shared" si="17"/>
        <v>0</v>
      </c>
      <c r="Z19" s="18">
        <f t="shared" si="23"/>
        <v>0</v>
      </c>
      <c r="AA19" s="18">
        <f t="shared" si="23"/>
        <v>0</v>
      </c>
      <c r="AB19" s="18">
        <f t="shared" si="18"/>
        <v>0</v>
      </c>
      <c r="AC19" s="140">
        <f t="shared" si="19"/>
        <v>0</v>
      </c>
      <c r="AD19" s="26"/>
    </row>
    <row r="20" spans="1:30" ht="14.25" hidden="1" thickBot="1">
      <c r="A20" s="138">
        <v>40664</v>
      </c>
      <c r="B20" s="139">
        <v>0</v>
      </c>
      <c r="C20" s="18">
        <v>0</v>
      </c>
      <c r="D20" s="18">
        <f t="shared" si="0"/>
        <v>0</v>
      </c>
      <c r="E20" s="18">
        <v>0</v>
      </c>
      <c r="F20" s="18">
        <v>0</v>
      </c>
      <c r="G20" s="18">
        <f t="shared" si="1"/>
        <v>0</v>
      </c>
      <c r="H20" s="18">
        <v>0</v>
      </c>
      <c r="I20" s="18">
        <v>0</v>
      </c>
      <c r="J20" s="18">
        <f t="shared" si="2"/>
        <v>0</v>
      </c>
      <c r="K20" s="18">
        <v>0</v>
      </c>
      <c r="L20" s="18">
        <v>0</v>
      </c>
      <c r="M20" s="18">
        <f t="shared" si="3"/>
        <v>0</v>
      </c>
      <c r="N20" s="18">
        <f t="shared" si="4"/>
        <v>0</v>
      </c>
      <c r="O20" s="18">
        <f t="shared" si="4"/>
        <v>0</v>
      </c>
      <c r="P20" s="18">
        <f t="shared" si="5"/>
        <v>0</v>
      </c>
      <c r="Q20" s="139">
        <f t="shared" si="20"/>
        <v>0</v>
      </c>
      <c r="R20" s="18">
        <f t="shared" si="20"/>
        <v>0</v>
      </c>
      <c r="S20" s="18">
        <f t="shared" si="15"/>
        <v>0</v>
      </c>
      <c r="T20" s="18">
        <f t="shared" si="21"/>
        <v>0</v>
      </c>
      <c r="U20" s="18">
        <f t="shared" si="21"/>
        <v>0</v>
      </c>
      <c r="V20" s="18">
        <f t="shared" si="16"/>
        <v>0</v>
      </c>
      <c r="W20" s="18">
        <f t="shared" si="22"/>
        <v>0</v>
      </c>
      <c r="X20" s="18">
        <f t="shared" si="22"/>
        <v>0</v>
      </c>
      <c r="Y20" s="18">
        <f t="shared" si="17"/>
        <v>0</v>
      </c>
      <c r="Z20" s="18">
        <f t="shared" si="23"/>
        <v>0</v>
      </c>
      <c r="AA20" s="18">
        <f t="shared" si="23"/>
        <v>0</v>
      </c>
      <c r="AB20" s="18">
        <f t="shared" si="18"/>
        <v>0</v>
      </c>
      <c r="AC20" s="140">
        <f t="shared" si="19"/>
        <v>0</v>
      </c>
      <c r="AD20" s="26"/>
    </row>
    <row r="21" spans="1:30" ht="14.25" hidden="1" thickBot="1">
      <c r="A21" s="138">
        <v>40695</v>
      </c>
      <c r="B21" s="139">
        <v>0</v>
      </c>
      <c r="C21" s="18">
        <v>0</v>
      </c>
      <c r="D21" s="18">
        <f t="shared" si="0"/>
        <v>0</v>
      </c>
      <c r="E21" s="18">
        <v>0</v>
      </c>
      <c r="F21" s="18">
        <v>0</v>
      </c>
      <c r="G21" s="18">
        <f t="shared" si="1"/>
        <v>0</v>
      </c>
      <c r="H21" s="18">
        <v>0</v>
      </c>
      <c r="I21" s="18">
        <v>0</v>
      </c>
      <c r="J21" s="18">
        <f t="shared" si="2"/>
        <v>0</v>
      </c>
      <c r="K21" s="18">
        <v>0</v>
      </c>
      <c r="L21" s="18">
        <v>0</v>
      </c>
      <c r="M21" s="18">
        <f t="shared" si="3"/>
        <v>0</v>
      </c>
      <c r="N21" s="18">
        <f t="shared" si="4"/>
        <v>0</v>
      </c>
      <c r="O21" s="18">
        <f t="shared" si="4"/>
        <v>0</v>
      </c>
      <c r="P21" s="18">
        <f t="shared" si="5"/>
        <v>0</v>
      </c>
      <c r="Q21" s="139">
        <f t="shared" si="20"/>
        <v>0</v>
      </c>
      <c r="R21" s="18">
        <f t="shared" si="20"/>
        <v>0</v>
      </c>
      <c r="S21" s="18">
        <f t="shared" si="15"/>
        <v>0</v>
      </c>
      <c r="T21" s="18">
        <f t="shared" si="21"/>
        <v>0</v>
      </c>
      <c r="U21" s="18">
        <f t="shared" si="21"/>
        <v>0</v>
      </c>
      <c r="V21" s="18">
        <f t="shared" si="16"/>
        <v>0</v>
      </c>
      <c r="W21" s="18">
        <f t="shared" si="22"/>
        <v>0</v>
      </c>
      <c r="X21" s="18">
        <f t="shared" si="22"/>
        <v>0</v>
      </c>
      <c r="Y21" s="18">
        <f t="shared" si="17"/>
        <v>0</v>
      </c>
      <c r="Z21" s="18">
        <f t="shared" si="23"/>
        <v>0</v>
      </c>
      <c r="AA21" s="18">
        <f t="shared" si="23"/>
        <v>0</v>
      </c>
      <c r="AB21" s="18">
        <f t="shared" si="18"/>
        <v>0</v>
      </c>
      <c r="AC21" s="140">
        <f t="shared" si="19"/>
        <v>0</v>
      </c>
      <c r="AD21" s="26"/>
    </row>
    <row r="22" spans="1:30" ht="14.25" hidden="1" thickBot="1">
      <c r="A22" s="138">
        <v>40725</v>
      </c>
      <c r="B22" s="139">
        <v>0</v>
      </c>
      <c r="C22" s="18">
        <v>0</v>
      </c>
      <c r="D22" s="18">
        <f t="shared" si="0"/>
        <v>0</v>
      </c>
      <c r="E22" s="18">
        <v>0</v>
      </c>
      <c r="F22" s="18">
        <v>0</v>
      </c>
      <c r="G22" s="18">
        <f t="shared" si="1"/>
        <v>0</v>
      </c>
      <c r="H22" s="18">
        <v>0</v>
      </c>
      <c r="I22" s="18">
        <v>0</v>
      </c>
      <c r="J22" s="18">
        <f t="shared" si="2"/>
        <v>0</v>
      </c>
      <c r="K22" s="18">
        <v>0</v>
      </c>
      <c r="L22" s="18">
        <v>0</v>
      </c>
      <c r="M22" s="18">
        <f t="shared" si="3"/>
        <v>0</v>
      </c>
      <c r="N22" s="18">
        <f t="shared" si="4"/>
        <v>0</v>
      </c>
      <c r="O22" s="18">
        <f t="shared" si="4"/>
        <v>0</v>
      </c>
      <c r="P22" s="18">
        <f t="shared" si="5"/>
        <v>0</v>
      </c>
      <c r="Q22" s="139">
        <f t="shared" si="20"/>
        <v>0</v>
      </c>
      <c r="R22" s="18">
        <f t="shared" si="20"/>
        <v>0</v>
      </c>
      <c r="S22" s="18">
        <f t="shared" si="15"/>
        <v>0</v>
      </c>
      <c r="T22" s="18">
        <f t="shared" si="21"/>
        <v>0</v>
      </c>
      <c r="U22" s="18">
        <f t="shared" si="21"/>
        <v>0</v>
      </c>
      <c r="V22" s="18">
        <f t="shared" si="16"/>
        <v>0</v>
      </c>
      <c r="W22" s="18">
        <f t="shared" si="22"/>
        <v>0</v>
      </c>
      <c r="X22" s="18">
        <f t="shared" si="22"/>
        <v>0</v>
      </c>
      <c r="Y22" s="18">
        <f t="shared" si="17"/>
        <v>0</v>
      </c>
      <c r="Z22" s="18">
        <f t="shared" si="23"/>
        <v>0</v>
      </c>
      <c r="AA22" s="18">
        <f t="shared" si="23"/>
        <v>0</v>
      </c>
      <c r="AB22" s="18">
        <f t="shared" si="18"/>
        <v>0</v>
      </c>
      <c r="AC22" s="140">
        <f t="shared" si="19"/>
        <v>0</v>
      </c>
      <c r="AD22" s="26"/>
    </row>
    <row r="23" spans="1:30" ht="14.25" hidden="1" thickBot="1">
      <c r="A23" s="138">
        <v>40756</v>
      </c>
      <c r="B23" s="139">
        <v>0</v>
      </c>
      <c r="C23" s="18">
        <v>0</v>
      </c>
      <c r="D23" s="18">
        <f t="shared" si="0"/>
        <v>0</v>
      </c>
      <c r="E23" s="18">
        <v>0</v>
      </c>
      <c r="F23" s="18">
        <v>0</v>
      </c>
      <c r="G23" s="18">
        <f t="shared" si="1"/>
        <v>0</v>
      </c>
      <c r="H23" s="18">
        <v>0</v>
      </c>
      <c r="I23" s="18">
        <v>0</v>
      </c>
      <c r="J23" s="18">
        <f t="shared" si="2"/>
        <v>0</v>
      </c>
      <c r="K23" s="18">
        <v>0</v>
      </c>
      <c r="L23" s="18">
        <v>0</v>
      </c>
      <c r="M23" s="18">
        <f t="shared" si="3"/>
        <v>0</v>
      </c>
      <c r="N23" s="18">
        <f t="shared" si="4"/>
        <v>0</v>
      </c>
      <c r="O23" s="18">
        <f t="shared" si="4"/>
        <v>0</v>
      </c>
      <c r="P23" s="18">
        <f t="shared" si="5"/>
        <v>0</v>
      </c>
      <c r="Q23" s="139">
        <f t="shared" si="20"/>
        <v>0</v>
      </c>
      <c r="R23" s="18">
        <f t="shared" si="20"/>
        <v>0</v>
      </c>
      <c r="S23" s="18">
        <f t="shared" si="15"/>
        <v>0</v>
      </c>
      <c r="T23" s="18">
        <f t="shared" si="21"/>
        <v>0</v>
      </c>
      <c r="U23" s="18">
        <f t="shared" si="21"/>
        <v>0</v>
      </c>
      <c r="V23" s="18">
        <f t="shared" si="16"/>
        <v>0</v>
      </c>
      <c r="W23" s="18">
        <f t="shared" si="22"/>
        <v>0</v>
      </c>
      <c r="X23" s="18">
        <f t="shared" si="22"/>
        <v>0</v>
      </c>
      <c r="Y23" s="18">
        <f t="shared" si="17"/>
        <v>0</v>
      </c>
      <c r="Z23" s="18">
        <f t="shared" si="23"/>
        <v>0</v>
      </c>
      <c r="AA23" s="18">
        <f t="shared" si="23"/>
        <v>0</v>
      </c>
      <c r="AB23" s="18">
        <f t="shared" si="18"/>
        <v>0</v>
      </c>
      <c r="AC23" s="140">
        <f t="shared" si="19"/>
        <v>0</v>
      </c>
      <c r="AD23" s="26"/>
    </row>
    <row r="24" spans="1:30" ht="14.25" hidden="1" thickBot="1">
      <c r="A24" s="138">
        <v>40787</v>
      </c>
      <c r="B24" s="139">
        <v>0</v>
      </c>
      <c r="C24" s="18">
        <v>0</v>
      </c>
      <c r="D24" s="18">
        <f t="shared" si="0"/>
        <v>0</v>
      </c>
      <c r="E24" s="18">
        <v>0</v>
      </c>
      <c r="F24" s="18">
        <v>0</v>
      </c>
      <c r="G24" s="18">
        <f t="shared" si="1"/>
        <v>0</v>
      </c>
      <c r="H24" s="18">
        <v>0</v>
      </c>
      <c r="I24" s="18">
        <v>0</v>
      </c>
      <c r="J24" s="18">
        <f t="shared" si="2"/>
        <v>0</v>
      </c>
      <c r="K24" s="18">
        <v>0</v>
      </c>
      <c r="L24" s="18">
        <v>0</v>
      </c>
      <c r="M24" s="18">
        <f t="shared" si="3"/>
        <v>0</v>
      </c>
      <c r="N24" s="18">
        <f t="shared" si="4"/>
        <v>0</v>
      </c>
      <c r="O24" s="18">
        <f t="shared" si="4"/>
        <v>0</v>
      </c>
      <c r="P24" s="18">
        <f t="shared" si="5"/>
        <v>0</v>
      </c>
      <c r="Q24" s="139">
        <f t="shared" si="20"/>
        <v>0</v>
      </c>
      <c r="R24" s="18">
        <f t="shared" si="20"/>
        <v>0</v>
      </c>
      <c r="S24" s="18">
        <f t="shared" si="15"/>
        <v>0</v>
      </c>
      <c r="T24" s="18">
        <f t="shared" si="21"/>
        <v>0</v>
      </c>
      <c r="U24" s="18">
        <f t="shared" si="21"/>
        <v>0</v>
      </c>
      <c r="V24" s="18">
        <f t="shared" si="16"/>
        <v>0</v>
      </c>
      <c r="W24" s="18">
        <f t="shared" si="22"/>
        <v>0</v>
      </c>
      <c r="X24" s="18">
        <f t="shared" si="22"/>
        <v>0</v>
      </c>
      <c r="Y24" s="18">
        <f t="shared" si="17"/>
        <v>0</v>
      </c>
      <c r="Z24" s="18">
        <f t="shared" si="23"/>
        <v>0</v>
      </c>
      <c r="AA24" s="18">
        <f t="shared" si="23"/>
        <v>0</v>
      </c>
      <c r="AB24" s="18">
        <f t="shared" si="18"/>
        <v>0</v>
      </c>
      <c r="AC24" s="140">
        <f t="shared" si="19"/>
        <v>0</v>
      </c>
      <c r="AD24" s="26"/>
    </row>
    <row r="25" spans="1:30" ht="14.25" hidden="1" thickBot="1">
      <c r="A25" s="138">
        <v>40817</v>
      </c>
      <c r="B25" s="139">
        <v>0</v>
      </c>
      <c r="C25" s="18">
        <v>0</v>
      </c>
      <c r="D25" s="18">
        <f t="shared" si="0"/>
        <v>0</v>
      </c>
      <c r="E25" s="18">
        <v>0</v>
      </c>
      <c r="F25" s="18">
        <v>0</v>
      </c>
      <c r="G25" s="18">
        <f t="shared" si="1"/>
        <v>0</v>
      </c>
      <c r="H25" s="18">
        <v>0</v>
      </c>
      <c r="I25" s="18">
        <v>0</v>
      </c>
      <c r="J25" s="18">
        <f t="shared" si="2"/>
        <v>0</v>
      </c>
      <c r="K25" s="18">
        <v>0</v>
      </c>
      <c r="L25" s="18">
        <v>0</v>
      </c>
      <c r="M25" s="18">
        <f t="shared" si="3"/>
        <v>0</v>
      </c>
      <c r="N25" s="18">
        <f t="shared" si="4"/>
        <v>0</v>
      </c>
      <c r="O25" s="18">
        <f t="shared" si="4"/>
        <v>0</v>
      </c>
      <c r="P25" s="18">
        <f t="shared" si="5"/>
        <v>0</v>
      </c>
      <c r="Q25" s="139">
        <f t="shared" si="20"/>
        <v>0</v>
      </c>
      <c r="R25" s="18">
        <f t="shared" si="20"/>
        <v>0</v>
      </c>
      <c r="S25" s="18">
        <f t="shared" si="15"/>
        <v>0</v>
      </c>
      <c r="T25" s="18">
        <f t="shared" si="21"/>
        <v>0</v>
      </c>
      <c r="U25" s="18">
        <f t="shared" si="21"/>
        <v>0</v>
      </c>
      <c r="V25" s="18">
        <f t="shared" si="16"/>
        <v>0</v>
      </c>
      <c r="W25" s="18">
        <f t="shared" si="22"/>
        <v>0</v>
      </c>
      <c r="X25" s="18">
        <f t="shared" si="22"/>
        <v>0</v>
      </c>
      <c r="Y25" s="18">
        <f t="shared" si="17"/>
        <v>0</v>
      </c>
      <c r="Z25" s="18">
        <f t="shared" si="23"/>
        <v>0</v>
      </c>
      <c r="AA25" s="18">
        <f t="shared" si="23"/>
        <v>0</v>
      </c>
      <c r="AB25" s="18">
        <f t="shared" si="18"/>
        <v>0</v>
      </c>
      <c r="AC25" s="140">
        <f t="shared" si="19"/>
        <v>0</v>
      </c>
      <c r="AD25" s="26"/>
    </row>
    <row r="26" spans="1:30" ht="14.25" hidden="1" thickBot="1">
      <c r="A26" s="138">
        <v>40848</v>
      </c>
      <c r="B26" s="139">
        <v>0</v>
      </c>
      <c r="C26" s="18">
        <v>0</v>
      </c>
      <c r="D26" s="18">
        <f t="shared" si="0"/>
        <v>0</v>
      </c>
      <c r="E26" s="18">
        <v>0</v>
      </c>
      <c r="F26" s="18">
        <v>0</v>
      </c>
      <c r="G26" s="18">
        <f t="shared" si="1"/>
        <v>0</v>
      </c>
      <c r="H26" s="18">
        <v>0</v>
      </c>
      <c r="I26" s="18">
        <v>0</v>
      </c>
      <c r="J26" s="18">
        <f t="shared" si="2"/>
        <v>0</v>
      </c>
      <c r="K26" s="18">
        <v>0</v>
      </c>
      <c r="L26" s="18">
        <v>0</v>
      </c>
      <c r="M26" s="18">
        <f t="shared" si="3"/>
        <v>0</v>
      </c>
      <c r="N26" s="18">
        <f t="shared" si="4"/>
        <v>0</v>
      </c>
      <c r="O26" s="18">
        <f t="shared" si="4"/>
        <v>0</v>
      </c>
      <c r="P26" s="18">
        <f t="shared" si="5"/>
        <v>0</v>
      </c>
      <c r="Q26" s="139">
        <f t="shared" si="20"/>
        <v>0</v>
      </c>
      <c r="R26" s="18">
        <f t="shared" si="20"/>
        <v>0</v>
      </c>
      <c r="S26" s="18">
        <f t="shared" si="15"/>
        <v>0</v>
      </c>
      <c r="T26" s="18">
        <f t="shared" si="21"/>
        <v>0</v>
      </c>
      <c r="U26" s="18">
        <f t="shared" si="21"/>
        <v>0</v>
      </c>
      <c r="V26" s="18">
        <f t="shared" si="16"/>
        <v>0</v>
      </c>
      <c r="W26" s="18">
        <f t="shared" si="22"/>
        <v>0</v>
      </c>
      <c r="X26" s="18">
        <f t="shared" si="22"/>
        <v>0</v>
      </c>
      <c r="Y26" s="18">
        <f t="shared" si="17"/>
        <v>0</v>
      </c>
      <c r="Z26" s="18">
        <f t="shared" si="23"/>
        <v>0</v>
      </c>
      <c r="AA26" s="18">
        <f t="shared" si="23"/>
        <v>0</v>
      </c>
      <c r="AB26" s="18">
        <f t="shared" si="18"/>
        <v>0</v>
      </c>
      <c r="AC26" s="140">
        <f t="shared" si="19"/>
        <v>0</v>
      </c>
      <c r="AD26" s="26"/>
    </row>
    <row r="27" spans="1:30" ht="14.25" hidden="1" thickBot="1">
      <c r="A27" s="138">
        <v>40878</v>
      </c>
      <c r="B27" s="139">
        <v>0</v>
      </c>
      <c r="C27" s="18">
        <v>0</v>
      </c>
      <c r="D27" s="18">
        <f t="shared" si="0"/>
        <v>0</v>
      </c>
      <c r="E27" s="18">
        <v>0</v>
      </c>
      <c r="F27" s="18">
        <v>0</v>
      </c>
      <c r="G27" s="18">
        <f t="shared" si="1"/>
        <v>0</v>
      </c>
      <c r="H27" s="18">
        <v>0</v>
      </c>
      <c r="I27" s="18">
        <v>0</v>
      </c>
      <c r="J27" s="18">
        <f t="shared" si="2"/>
        <v>0</v>
      </c>
      <c r="K27" s="18">
        <v>0</v>
      </c>
      <c r="L27" s="18">
        <v>0</v>
      </c>
      <c r="M27" s="18">
        <f t="shared" si="3"/>
        <v>0</v>
      </c>
      <c r="N27" s="18">
        <f t="shared" si="4"/>
        <v>0</v>
      </c>
      <c r="O27" s="18">
        <f t="shared" si="4"/>
        <v>0</v>
      </c>
      <c r="P27" s="18">
        <f t="shared" si="5"/>
        <v>0</v>
      </c>
      <c r="Q27" s="139">
        <f>Q26+B27</f>
        <v>0</v>
      </c>
      <c r="R27" s="18">
        <f>R26+C27</f>
        <v>0</v>
      </c>
      <c r="S27" s="18">
        <f t="shared" si="15"/>
        <v>0</v>
      </c>
      <c r="T27" s="18">
        <f>T26+E27</f>
        <v>0</v>
      </c>
      <c r="U27" s="18">
        <f>U26+F27</f>
        <v>0</v>
      </c>
      <c r="V27" s="18">
        <f t="shared" si="16"/>
        <v>0</v>
      </c>
      <c r="W27" s="18">
        <f>W26+H27</f>
        <v>0</v>
      </c>
      <c r="X27" s="18">
        <f>X26+I27</f>
        <v>0</v>
      </c>
      <c r="Y27" s="18">
        <f t="shared" si="17"/>
        <v>0</v>
      </c>
      <c r="Z27" s="18">
        <f>Z26+K27</f>
        <v>0</v>
      </c>
      <c r="AA27" s="18">
        <f>AA26+L27</f>
        <v>0</v>
      </c>
      <c r="AB27" s="18">
        <f t="shared" si="18"/>
        <v>0</v>
      </c>
      <c r="AC27" s="140">
        <f t="shared" si="19"/>
        <v>0</v>
      </c>
      <c r="AD27" s="26"/>
    </row>
    <row r="28" spans="1:30" ht="14.25" hidden="1" thickBot="1">
      <c r="A28" s="141">
        <v>40909</v>
      </c>
      <c r="B28" s="142">
        <v>0</v>
      </c>
      <c r="C28" s="143">
        <v>0</v>
      </c>
      <c r="D28" s="143">
        <f t="shared" si="0"/>
        <v>0</v>
      </c>
      <c r="E28" s="143">
        <v>0</v>
      </c>
      <c r="F28" s="143">
        <v>0</v>
      </c>
      <c r="G28" s="143">
        <f t="shared" si="1"/>
        <v>0</v>
      </c>
      <c r="H28" s="143">
        <v>0</v>
      </c>
      <c r="I28" s="143">
        <v>0</v>
      </c>
      <c r="J28" s="143">
        <f t="shared" si="2"/>
        <v>0</v>
      </c>
      <c r="K28" s="143">
        <v>0</v>
      </c>
      <c r="L28" s="143">
        <v>0</v>
      </c>
      <c r="M28" s="143">
        <f t="shared" si="3"/>
        <v>0</v>
      </c>
      <c r="N28" s="143">
        <f t="shared" si="4"/>
        <v>0</v>
      </c>
      <c r="O28" s="143">
        <f t="shared" si="4"/>
        <v>0</v>
      </c>
      <c r="P28" s="143">
        <f t="shared" si="5"/>
        <v>0</v>
      </c>
      <c r="Q28" s="142">
        <f>B28</f>
        <v>0</v>
      </c>
      <c r="R28" s="143">
        <f>C28</f>
        <v>0</v>
      </c>
      <c r="S28" s="143">
        <f>R28+Q28</f>
        <v>0</v>
      </c>
      <c r="T28" s="143">
        <f>E28</f>
        <v>0</v>
      </c>
      <c r="U28" s="143">
        <f>F28</f>
        <v>0</v>
      </c>
      <c r="V28" s="143">
        <f>U28+T28</f>
        <v>0</v>
      </c>
      <c r="W28" s="143">
        <f>H28</f>
        <v>0</v>
      </c>
      <c r="X28" s="143">
        <f>I28</f>
        <v>0</v>
      </c>
      <c r="Y28" s="143">
        <f>X28+W28</f>
        <v>0</v>
      </c>
      <c r="Z28" s="143">
        <f>K28</f>
        <v>0</v>
      </c>
      <c r="AA28" s="143">
        <f>L28</f>
        <v>0</v>
      </c>
      <c r="AB28" s="143">
        <f>AA28+Z28</f>
        <v>0</v>
      </c>
      <c r="AC28" s="144">
        <f>AB28+Y28+V28+S28</f>
        <v>0</v>
      </c>
      <c r="AD28" s="26"/>
    </row>
    <row r="29" spans="1:30" ht="14.25" hidden="1" thickBot="1">
      <c r="A29" s="138">
        <v>40940</v>
      </c>
      <c r="B29" s="139">
        <v>0</v>
      </c>
      <c r="C29" s="18">
        <v>0</v>
      </c>
      <c r="D29" s="18">
        <f t="shared" si="0"/>
        <v>0</v>
      </c>
      <c r="E29" s="18">
        <v>0</v>
      </c>
      <c r="F29" s="18">
        <v>0</v>
      </c>
      <c r="G29" s="18">
        <f t="shared" si="1"/>
        <v>0</v>
      </c>
      <c r="H29" s="18">
        <v>0</v>
      </c>
      <c r="I29" s="18">
        <v>0</v>
      </c>
      <c r="J29" s="18">
        <f t="shared" si="2"/>
        <v>0</v>
      </c>
      <c r="K29" s="18">
        <v>0</v>
      </c>
      <c r="L29" s="18">
        <v>0</v>
      </c>
      <c r="M29" s="18">
        <f t="shared" si="3"/>
        <v>0</v>
      </c>
      <c r="N29" s="18">
        <f t="shared" si="4"/>
        <v>0</v>
      </c>
      <c r="O29" s="18">
        <f t="shared" si="4"/>
        <v>0</v>
      </c>
      <c r="P29" s="18">
        <f t="shared" si="5"/>
        <v>0</v>
      </c>
      <c r="Q29" s="139">
        <f>Q28+B29</f>
        <v>0</v>
      </c>
      <c r="R29" s="18">
        <f>R28+C29</f>
        <v>0</v>
      </c>
      <c r="S29" s="18">
        <f t="shared" ref="S29:S39" si="24">R29+Q29</f>
        <v>0</v>
      </c>
      <c r="T29" s="18">
        <f>T28+E29</f>
        <v>0</v>
      </c>
      <c r="U29" s="18">
        <f>U28+F29</f>
        <v>0</v>
      </c>
      <c r="V29" s="18">
        <f t="shared" ref="V29:V39" si="25">U29+T29</f>
        <v>0</v>
      </c>
      <c r="W29" s="18">
        <f>W28+H29</f>
        <v>0</v>
      </c>
      <c r="X29" s="18">
        <f>X28+I29</f>
        <v>0</v>
      </c>
      <c r="Y29" s="18">
        <f t="shared" ref="Y29:Y39" si="26">X29+W29</f>
        <v>0</v>
      </c>
      <c r="Z29" s="18">
        <f>Z28+K29</f>
        <v>0</v>
      </c>
      <c r="AA29" s="18">
        <f>AA28+L29</f>
        <v>0</v>
      </c>
      <c r="AB29" s="18">
        <f t="shared" ref="AB29:AB39" si="27">AA29+Z29</f>
        <v>0</v>
      </c>
      <c r="AC29" s="140">
        <f t="shared" ref="AC29:AC39" si="28">AB29+Y29+V29+S29</f>
        <v>0</v>
      </c>
      <c r="AD29" s="26"/>
    </row>
    <row r="30" spans="1:30" ht="14.25" hidden="1" thickBot="1">
      <c r="A30" s="138">
        <v>40969</v>
      </c>
      <c r="B30" s="139">
        <v>0</v>
      </c>
      <c r="C30" s="18">
        <v>0</v>
      </c>
      <c r="D30" s="18">
        <f t="shared" si="0"/>
        <v>0</v>
      </c>
      <c r="E30" s="18">
        <v>0</v>
      </c>
      <c r="F30" s="18">
        <v>0</v>
      </c>
      <c r="G30" s="18">
        <f t="shared" si="1"/>
        <v>0</v>
      </c>
      <c r="H30" s="18">
        <v>0</v>
      </c>
      <c r="I30" s="18">
        <v>0</v>
      </c>
      <c r="J30" s="18">
        <f t="shared" si="2"/>
        <v>0</v>
      </c>
      <c r="K30" s="18">
        <v>0</v>
      </c>
      <c r="L30" s="18">
        <v>0</v>
      </c>
      <c r="M30" s="18">
        <f t="shared" si="3"/>
        <v>0</v>
      </c>
      <c r="N30" s="18">
        <f t="shared" si="4"/>
        <v>0</v>
      </c>
      <c r="O30" s="18">
        <f t="shared" si="4"/>
        <v>0</v>
      </c>
      <c r="P30" s="18">
        <f t="shared" si="5"/>
        <v>0</v>
      </c>
      <c r="Q30" s="139">
        <f t="shared" ref="Q30:R38" si="29">Q29+B30</f>
        <v>0</v>
      </c>
      <c r="R30" s="18">
        <f t="shared" si="29"/>
        <v>0</v>
      </c>
      <c r="S30" s="18">
        <f t="shared" si="24"/>
        <v>0</v>
      </c>
      <c r="T30" s="18">
        <f t="shared" ref="T30:U38" si="30">T29+E30</f>
        <v>0</v>
      </c>
      <c r="U30" s="18">
        <f t="shared" si="30"/>
        <v>0</v>
      </c>
      <c r="V30" s="18">
        <f t="shared" si="25"/>
        <v>0</v>
      </c>
      <c r="W30" s="18">
        <f t="shared" ref="W30:X38" si="31">W29+H30</f>
        <v>0</v>
      </c>
      <c r="X30" s="18">
        <f t="shared" si="31"/>
        <v>0</v>
      </c>
      <c r="Y30" s="18">
        <f t="shared" si="26"/>
        <v>0</v>
      </c>
      <c r="Z30" s="18">
        <f t="shared" ref="Z30:AA38" si="32">Z29+K30</f>
        <v>0</v>
      </c>
      <c r="AA30" s="18">
        <f t="shared" si="32"/>
        <v>0</v>
      </c>
      <c r="AB30" s="18">
        <f t="shared" si="27"/>
        <v>0</v>
      </c>
      <c r="AC30" s="140">
        <f t="shared" si="28"/>
        <v>0</v>
      </c>
      <c r="AD30" s="26"/>
    </row>
    <row r="31" spans="1:30" ht="14.25" hidden="1" thickBot="1">
      <c r="A31" s="138">
        <v>41000</v>
      </c>
      <c r="B31" s="139">
        <v>20069</v>
      </c>
      <c r="C31" s="18">
        <v>0</v>
      </c>
      <c r="D31" s="18">
        <f t="shared" si="0"/>
        <v>20069</v>
      </c>
      <c r="E31" s="18">
        <v>0</v>
      </c>
      <c r="F31" s="18">
        <v>0</v>
      </c>
      <c r="G31" s="18">
        <f t="shared" si="1"/>
        <v>0</v>
      </c>
      <c r="H31" s="18">
        <v>0</v>
      </c>
      <c r="I31" s="18">
        <v>0</v>
      </c>
      <c r="J31" s="18">
        <f t="shared" si="2"/>
        <v>0</v>
      </c>
      <c r="K31" s="18">
        <v>0</v>
      </c>
      <c r="L31" s="18">
        <v>0</v>
      </c>
      <c r="M31" s="18">
        <f t="shared" si="3"/>
        <v>0</v>
      </c>
      <c r="N31" s="18">
        <f t="shared" si="4"/>
        <v>20069</v>
      </c>
      <c r="O31" s="18">
        <f t="shared" si="4"/>
        <v>0</v>
      </c>
      <c r="P31" s="18">
        <f t="shared" si="5"/>
        <v>20069</v>
      </c>
      <c r="Q31" s="139">
        <f t="shared" si="29"/>
        <v>20069</v>
      </c>
      <c r="R31" s="18">
        <f t="shared" si="29"/>
        <v>0</v>
      </c>
      <c r="S31" s="18">
        <f t="shared" si="24"/>
        <v>20069</v>
      </c>
      <c r="T31" s="18">
        <f t="shared" si="30"/>
        <v>0</v>
      </c>
      <c r="U31" s="18">
        <f t="shared" si="30"/>
        <v>0</v>
      </c>
      <c r="V31" s="18">
        <f t="shared" si="25"/>
        <v>0</v>
      </c>
      <c r="W31" s="18">
        <f t="shared" si="31"/>
        <v>0</v>
      </c>
      <c r="X31" s="18">
        <f t="shared" si="31"/>
        <v>0</v>
      </c>
      <c r="Y31" s="18">
        <f t="shared" si="26"/>
        <v>0</v>
      </c>
      <c r="Z31" s="18">
        <f t="shared" si="32"/>
        <v>0</v>
      </c>
      <c r="AA31" s="18">
        <f t="shared" si="32"/>
        <v>0</v>
      </c>
      <c r="AB31" s="18">
        <f t="shared" si="27"/>
        <v>0</v>
      </c>
      <c r="AC31" s="140">
        <f t="shared" si="28"/>
        <v>20069</v>
      </c>
      <c r="AD31" s="26"/>
    </row>
    <row r="32" spans="1:30" ht="14.25" hidden="1" thickBot="1">
      <c r="A32" s="138">
        <v>41030</v>
      </c>
      <c r="B32" s="139">
        <v>0</v>
      </c>
      <c r="C32" s="18">
        <v>0</v>
      </c>
      <c r="D32" s="18">
        <f t="shared" si="0"/>
        <v>0</v>
      </c>
      <c r="E32" s="18">
        <v>0</v>
      </c>
      <c r="F32" s="18">
        <v>0</v>
      </c>
      <c r="G32" s="18">
        <f t="shared" si="1"/>
        <v>0</v>
      </c>
      <c r="H32" s="18">
        <v>0</v>
      </c>
      <c r="I32" s="18">
        <v>0</v>
      </c>
      <c r="J32" s="18">
        <f t="shared" si="2"/>
        <v>0</v>
      </c>
      <c r="K32" s="18">
        <v>0</v>
      </c>
      <c r="L32" s="18">
        <v>0</v>
      </c>
      <c r="M32" s="18">
        <f t="shared" si="3"/>
        <v>0</v>
      </c>
      <c r="N32" s="18">
        <f t="shared" si="4"/>
        <v>0</v>
      </c>
      <c r="O32" s="18">
        <f t="shared" si="4"/>
        <v>0</v>
      </c>
      <c r="P32" s="18">
        <f t="shared" si="5"/>
        <v>0</v>
      </c>
      <c r="Q32" s="139">
        <f t="shared" si="29"/>
        <v>20069</v>
      </c>
      <c r="R32" s="18">
        <f t="shared" si="29"/>
        <v>0</v>
      </c>
      <c r="S32" s="18">
        <f t="shared" si="24"/>
        <v>20069</v>
      </c>
      <c r="T32" s="18">
        <f t="shared" si="30"/>
        <v>0</v>
      </c>
      <c r="U32" s="18">
        <f t="shared" si="30"/>
        <v>0</v>
      </c>
      <c r="V32" s="18">
        <f t="shared" si="25"/>
        <v>0</v>
      </c>
      <c r="W32" s="18">
        <f t="shared" si="31"/>
        <v>0</v>
      </c>
      <c r="X32" s="18">
        <f t="shared" si="31"/>
        <v>0</v>
      </c>
      <c r="Y32" s="18">
        <f t="shared" si="26"/>
        <v>0</v>
      </c>
      <c r="Z32" s="18">
        <f t="shared" si="32"/>
        <v>0</v>
      </c>
      <c r="AA32" s="18">
        <f t="shared" si="32"/>
        <v>0</v>
      </c>
      <c r="AB32" s="18">
        <f t="shared" si="27"/>
        <v>0</v>
      </c>
      <c r="AC32" s="140">
        <f t="shared" si="28"/>
        <v>20069</v>
      </c>
      <c r="AD32" s="26"/>
    </row>
    <row r="33" spans="1:30" ht="14.25" hidden="1" thickBot="1">
      <c r="A33" s="138">
        <v>41061</v>
      </c>
      <c r="B33" s="139">
        <v>0</v>
      </c>
      <c r="C33" s="18">
        <v>0</v>
      </c>
      <c r="D33" s="18">
        <f t="shared" si="0"/>
        <v>0</v>
      </c>
      <c r="E33" s="18">
        <v>0</v>
      </c>
      <c r="F33" s="18">
        <v>0</v>
      </c>
      <c r="G33" s="18">
        <f t="shared" si="1"/>
        <v>0</v>
      </c>
      <c r="H33" s="18">
        <v>0</v>
      </c>
      <c r="I33" s="18">
        <v>0</v>
      </c>
      <c r="J33" s="18">
        <f t="shared" si="2"/>
        <v>0</v>
      </c>
      <c r="K33" s="18">
        <v>0</v>
      </c>
      <c r="L33" s="18">
        <v>0</v>
      </c>
      <c r="M33" s="18">
        <f t="shared" si="3"/>
        <v>0</v>
      </c>
      <c r="N33" s="18">
        <f t="shared" si="4"/>
        <v>0</v>
      </c>
      <c r="O33" s="18">
        <f t="shared" si="4"/>
        <v>0</v>
      </c>
      <c r="P33" s="18">
        <f t="shared" si="5"/>
        <v>0</v>
      </c>
      <c r="Q33" s="139">
        <f t="shared" si="29"/>
        <v>20069</v>
      </c>
      <c r="R33" s="18">
        <f t="shared" si="29"/>
        <v>0</v>
      </c>
      <c r="S33" s="18">
        <f t="shared" si="24"/>
        <v>20069</v>
      </c>
      <c r="T33" s="18">
        <f t="shared" si="30"/>
        <v>0</v>
      </c>
      <c r="U33" s="18">
        <f t="shared" si="30"/>
        <v>0</v>
      </c>
      <c r="V33" s="18">
        <f t="shared" si="25"/>
        <v>0</v>
      </c>
      <c r="W33" s="18">
        <f t="shared" si="31"/>
        <v>0</v>
      </c>
      <c r="X33" s="18">
        <f t="shared" si="31"/>
        <v>0</v>
      </c>
      <c r="Y33" s="18">
        <f t="shared" si="26"/>
        <v>0</v>
      </c>
      <c r="Z33" s="18">
        <f t="shared" si="32"/>
        <v>0</v>
      </c>
      <c r="AA33" s="18">
        <f t="shared" si="32"/>
        <v>0</v>
      </c>
      <c r="AB33" s="18">
        <f t="shared" si="27"/>
        <v>0</v>
      </c>
      <c r="AC33" s="140">
        <f t="shared" si="28"/>
        <v>20069</v>
      </c>
      <c r="AD33" s="26"/>
    </row>
    <row r="34" spans="1:30" ht="14.25" hidden="1" thickBot="1">
      <c r="A34" s="138">
        <v>41091</v>
      </c>
      <c r="B34" s="139">
        <v>0</v>
      </c>
      <c r="C34" s="18">
        <v>0</v>
      </c>
      <c r="D34" s="18">
        <f t="shared" si="0"/>
        <v>0</v>
      </c>
      <c r="E34" s="18">
        <v>0</v>
      </c>
      <c r="F34" s="18">
        <v>0</v>
      </c>
      <c r="G34" s="18">
        <f t="shared" si="1"/>
        <v>0</v>
      </c>
      <c r="H34" s="18">
        <v>0</v>
      </c>
      <c r="I34" s="18">
        <v>0</v>
      </c>
      <c r="J34" s="18">
        <f t="shared" si="2"/>
        <v>0</v>
      </c>
      <c r="K34" s="18">
        <v>0</v>
      </c>
      <c r="L34" s="18">
        <v>0</v>
      </c>
      <c r="M34" s="18">
        <f t="shared" si="3"/>
        <v>0</v>
      </c>
      <c r="N34" s="18">
        <f t="shared" si="4"/>
        <v>0</v>
      </c>
      <c r="O34" s="18">
        <f t="shared" si="4"/>
        <v>0</v>
      </c>
      <c r="P34" s="18">
        <f t="shared" si="5"/>
        <v>0</v>
      </c>
      <c r="Q34" s="139">
        <f t="shared" si="29"/>
        <v>20069</v>
      </c>
      <c r="R34" s="18">
        <f t="shared" si="29"/>
        <v>0</v>
      </c>
      <c r="S34" s="18">
        <f t="shared" si="24"/>
        <v>20069</v>
      </c>
      <c r="T34" s="18">
        <f t="shared" si="30"/>
        <v>0</v>
      </c>
      <c r="U34" s="18">
        <f t="shared" si="30"/>
        <v>0</v>
      </c>
      <c r="V34" s="18">
        <f t="shared" si="25"/>
        <v>0</v>
      </c>
      <c r="W34" s="18">
        <f t="shared" si="31"/>
        <v>0</v>
      </c>
      <c r="X34" s="18">
        <f t="shared" si="31"/>
        <v>0</v>
      </c>
      <c r="Y34" s="18">
        <f t="shared" si="26"/>
        <v>0</v>
      </c>
      <c r="Z34" s="18">
        <f t="shared" si="32"/>
        <v>0</v>
      </c>
      <c r="AA34" s="18">
        <f t="shared" si="32"/>
        <v>0</v>
      </c>
      <c r="AB34" s="18">
        <f t="shared" si="27"/>
        <v>0</v>
      </c>
      <c r="AC34" s="140">
        <f t="shared" si="28"/>
        <v>20069</v>
      </c>
      <c r="AD34" s="26"/>
    </row>
    <row r="35" spans="1:30" ht="14.25" hidden="1" thickBot="1">
      <c r="A35" s="138">
        <v>41122</v>
      </c>
      <c r="B35" s="139">
        <v>0</v>
      </c>
      <c r="C35" s="18">
        <v>0</v>
      </c>
      <c r="D35" s="18">
        <f t="shared" si="0"/>
        <v>0</v>
      </c>
      <c r="E35" s="18">
        <v>0</v>
      </c>
      <c r="F35" s="18">
        <v>0</v>
      </c>
      <c r="G35" s="18">
        <f t="shared" si="1"/>
        <v>0</v>
      </c>
      <c r="H35" s="18">
        <v>0</v>
      </c>
      <c r="I35" s="18">
        <v>0</v>
      </c>
      <c r="J35" s="18">
        <f t="shared" si="2"/>
        <v>0</v>
      </c>
      <c r="K35" s="18">
        <v>0</v>
      </c>
      <c r="L35" s="18">
        <v>0</v>
      </c>
      <c r="M35" s="18">
        <f t="shared" si="3"/>
        <v>0</v>
      </c>
      <c r="N35" s="18">
        <f t="shared" si="4"/>
        <v>0</v>
      </c>
      <c r="O35" s="18">
        <f t="shared" si="4"/>
        <v>0</v>
      </c>
      <c r="P35" s="18">
        <f t="shared" si="5"/>
        <v>0</v>
      </c>
      <c r="Q35" s="139">
        <f t="shared" si="29"/>
        <v>20069</v>
      </c>
      <c r="R35" s="18">
        <f t="shared" si="29"/>
        <v>0</v>
      </c>
      <c r="S35" s="18">
        <f t="shared" si="24"/>
        <v>20069</v>
      </c>
      <c r="T35" s="18">
        <f t="shared" si="30"/>
        <v>0</v>
      </c>
      <c r="U35" s="18">
        <f t="shared" si="30"/>
        <v>0</v>
      </c>
      <c r="V35" s="18">
        <f t="shared" si="25"/>
        <v>0</v>
      </c>
      <c r="W35" s="18">
        <f t="shared" si="31"/>
        <v>0</v>
      </c>
      <c r="X35" s="18">
        <f t="shared" si="31"/>
        <v>0</v>
      </c>
      <c r="Y35" s="18">
        <f t="shared" si="26"/>
        <v>0</v>
      </c>
      <c r="Z35" s="18">
        <f t="shared" si="32"/>
        <v>0</v>
      </c>
      <c r="AA35" s="18">
        <f t="shared" si="32"/>
        <v>0</v>
      </c>
      <c r="AB35" s="18">
        <f t="shared" si="27"/>
        <v>0</v>
      </c>
      <c r="AC35" s="140">
        <f t="shared" si="28"/>
        <v>20069</v>
      </c>
      <c r="AD35" s="26"/>
    </row>
    <row r="36" spans="1:30" ht="14.25" hidden="1" thickBot="1">
      <c r="A36" s="138">
        <v>41153</v>
      </c>
      <c r="B36" s="139">
        <v>0</v>
      </c>
      <c r="C36" s="18">
        <v>0</v>
      </c>
      <c r="D36" s="18">
        <f t="shared" si="0"/>
        <v>0</v>
      </c>
      <c r="E36" s="18">
        <v>0</v>
      </c>
      <c r="F36" s="18">
        <v>0</v>
      </c>
      <c r="G36" s="18">
        <f t="shared" si="1"/>
        <v>0</v>
      </c>
      <c r="H36" s="18">
        <v>0</v>
      </c>
      <c r="I36" s="18">
        <v>0</v>
      </c>
      <c r="J36" s="18">
        <f t="shared" si="2"/>
        <v>0</v>
      </c>
      <c r="K36" s="18">
        <v>0</v>
      </c>
      <c r="L36" s="18">
        <v>0</v>
      </c>
      <c r="M36" s="18">
        <f t="shared" si="3"/>
        <v>0</v>
      </c>
      <c r="N36" s="18">
        <f t="shared" si="4"/>
        <v>0</v>
      </c>
      <c r="O36" s="18">
        <f t="shared" si="4"/>
        <v>0</v>
      </c>
      <c r="P36" s="18">
        <f t="shared" si="5"/>
        <v>0</v>
      </c>
      <c r="Q36" s="139">
        <f t="shared" si="29"/>
        <v>20069</v>
      </c>
      <c r="R36" s="18">
        <f t="shared" si="29"/>
        <v>0</v>
      </c>
      <c r="S36" s="18">
        <f t="shared" si="24"/>
        <v>20069</v>
      </c>
      <c r="T36" s="18">
        <f t="shared" si="30"/>
        <v>0</v>
      </c>
      <c r="U36" s="18">
        <f t="shared" si="30"/>
        <v>0</v>
      </c>
      <c r="V36" s="18">
        <f t="shared" si="25"/>
        <v>0</v>
      </c>
      <c r="W36" s="18">
        <f t="shared" si="31"/>
        <v>0</v>
      </c>
      <c r="X36" s="18">
        <f t="shared" si="31"/>
        <v>0</v>
      </c>
      <c r="Y36" s="18">
        <f t="shared" si="26"/>
        <v>0</v>
      </c>
      <c r="Z36" s="18">
        <f t="shared" si="32"/>
        <v>0</v>
      </c>
      <c r="AA36" s="18">
        <f t="shared" si="32"/>
        <v>0</v>
      </c>
      <c r="AB36" s="18">
        <f t="shared" si="27"/>
        <v>0</v>
      </c>
      <c r="AC36" s="140">
        <f t="shared" si="28"/>
        <v>20069</v>
      </c>
      <c r="AD36" s="26"/>
    </row>
    <row r="37" spans="1:30" ht="14.25" hidden="1" thickBot="1">
      <c r="A37" s="138">
        <v>41183</v>
      </c>
      <c r="B37" s="139">
        <v>0</v>
      </c>
      <c r="C37" s="18">
        <v>0</v>
      </c>
      <c r="D37" s="18">
        <f t="shared" si="0"/>
        <v>0</v>
      </c>
      <c r="E37" s="18">
        <v>0</v>
      </c>
      <c r="F37" s="18">
        <v>0</v>
      </c>
      <c r="G37" s="18">
        <f t="shared" si="1"/>
        <v>0</v>
      </c>
      <c r="H37" s="18">
        <v>0</v>
      </c>
      <c r="I37" s="18">
        <v>0</v>
      </c>
      <c r="J37" s="18">
        <f t="shared" si="2"/>
        <v>0</v>
      </c>
      <c r="K37" s="18">
        <v>0</v>
      </c>
      <c r="L37" s="18">
        <v>0</v>
      </c>
      <c r="M37" s="18">
        <f t="shared" si="3"/>
        <v>0</v>
      </c>
      <c r="N37" s="18">
        <f t="shared" si="4"/>
        <v>0</v>
      </c>
      <c r="O37" s="18">
        <f t="shared" si="4"/>
        <v>0</v>
      </c>
      <c r="P37" s="18">
        <f t="shared" si="5"/>
        <v>0</v>
      </c>
      <c r="Q37" s="139">
        <f t="shared" si="29"/>
        <v>20069</v>
      </c>
      <c r="R37" s="18">
        <f t="shared" si="29"/>
        <v>0</v>
      </c>
      <c r="S37" s="18">
        <f t="shared" si="24"/>
        <v>20069</v>
      </c>
      <c r="T37" s="18">
        <f t="shared" si="30"/>
        <v>0</v>
      </c>
      <c r="U37" s="18">
        <f t="shared" si="30"/>
        <v>0</v>
      </c>
      <c r="V37" s="18">
        <f t="shared" si="25"/>
        <v>0</v>
      </c>
      <c r="W37" s="18">
        <f t="shared" si="31"/>
        <v>0</v>
      </c>
      <c r="X37" s="18">
        <f t="shared" si="31"/>
        <v>0</v>
      </c>
      <c r="Y37" s="18">
        <f t="shared" si="26"/>
        <v>0</v>
      </c>
      <c r="Z37" s="18">
        <f t="shared" si="32"/>
        <v>0</v>
      </c>
      <c r="AA37" s="18">
        <f t="shared" si="32"/>
        <v>0</v>
      </c>
      <c r="AB37" s="18">
        <f t="shared" si="27"/>
        <v>0</v>
      </c>
      <c r="AC37" s="140">
        <f t="shared" si="28"/>
        <v>20069</v>
      </c>
      <c r="AD37" s="26"/>
    </row>
    <row r="38" spans="1:30" ht="14.25" hidden="1" thickBot="1">
      <c r="A38" s="138">
        <v>41214</v>
      </c>
      <c r="B38" s="139">
        <v>0</v>
      </c>
      <c r="C38" s="18">
        <v>0</v>
      </c>
      <c r="D38" s="18">
        <f t="shared" si="0"/>
        <v>0</v>
      </c>
      <c r="E38" s="18">
        <v>0</v>
      </c>
      <c r="F38" s="18">
        <v>0</v>
      </c>
      <c r="G38" s="18">
        <f t="shared" si="1"/>
        <v>0</v>
      </c>
      <c r="H38" s="18">
        <v>0</v>
      </c>
      <c r="I38" s="18">
        <v>0</v>
      </c>
      <c r="J38" s="18">
        <f t="shared" si="2"/>
        <v>0</v>
      </c>
      <c r="K38" s="18">
        <v>0</v>
      </c>
      <c r="L38" s="18">
        <v>0</v>
      </c>
      <c r="M38" s="18">
        <f t="shared" si="3"/>
        <v>0</v>
      </c>
      <c r="N38" s="18">
        <f t="shared" si="4"/>
        <v>0</v>
      </c>
      <c r="O38" s="18">
        <f t="shared" si="4"/>
        <v>0</v>
      </c>
      <c r="P38" s="18">
        <f t="shared" si="5"/>
        <v>0</v>
      </c>
      <c r="Q38" s="139">
        <f t="shared" si="29"/>
        <v>20069</v>
      </c>
      <c r="R38" s="18">
        <f t="shared" si="29"/>
        <v>0</v>
      </c>
      <c r="S38" s="18">
        <f t="shared" si="24"/>
        <v>20069</v>
      </c>
      <c r="T38" s="18">
        <f t="shared" si="30"/>
        <v>0</v>
      </c>
      <c r="U38" s="18">
        <f t="shared" si="30"/>
        <v>0</v>
      </c>
      <c r="V38" s="18">
        <f t="shared" si="25"/>
        <v>0</v>
      </c>
      <c r="W38" s="18">
        <f t="shared" si="31"/>
        <v>0</v>
      </c>
      <c r="X38" s="18">
        <f t="shared" si="31"/>
        <v>0</v>
      </c>
      <c r="Y38" s="18">
        <f t="shared" si="26"/>
        <v>0</v>
      </c>
      <c r="Z38" s="18">
        <f t="shared" si="32"/>
        <v>0</v>
      </c>
      <c r="AA38" s="18">
        <f t="shared" si="32"/>
        <v>0</v>
      </c>
      <c r="AB38" s="18">
        <f t="shared" si="27"/>
        <v>0</v>
      </c>
      <c r="AC38" s="140">
        <f t="shared" si="28"/>
        <v>20069</v>
      </c>
      <c r="AD38" s="26"/>
    </row>
    <row r="39" spans="1:30" ht="14.25" hidden="1" thickBot="1">
      <c r="A39" s="138">
        <v>41244</v>
      </c>
      <c r="B39" s="139">
        <v>0</v>
      </c>
      <c r="C39" s="18">
        <v>0</v>
      </c>
      <c r="D39" s="18">
        <f t="shared" si="0"/>
        <v>0</v>
      </c>
      <c r="E39" s="18">
        <v>0</v>
      </c>
      <c r="F39" s="18">
        <v>0</v>
      </c>
      <c r="G39" s="18">
        <f t="shared" si="1"/>
        <v>0</v>
      </c>
      <c r="H39" s="18">
        <v>0</v>
      </c>
      <c r="I39" s="18">
        <v>0</v>
      </c>
      <c r="J39" s="18">
        <f t="shared" si="2"/>
        <v>0</v>
      </c>
      <c r="K39" s="18">
        <v>0</v>
      </c>
      <c r="L39" s="18">
        <v>0</v>
      </c>
      <c r="M39" s="18">
        <f t="shared" si="3"/>
        <v>0</v>
      </c>
      <c r="N39" s="18">
        <f t="shared" si="4"/>
        <v>0</v>
      </c>
      <c r="O39" s="18">
        <f t="shared" si="4"/>
        <v>0</v>
      </c>
      <c r="P39" s="18">
        <f t="shared" si="5"/>
        <v>0</v>
      </c>
      <c r="Q39" s="139">
        <f>Q38+B39</f>
        <v>20069</v>
      </c>
      <c r="R39" s="18">
        <f>R38+C39</f>
        <v>0</v>
      </c>
      <c r="S39" s="18">
        <f t="shared" si="24"/>
        <v>20069</v>
      </c>
      <c r="T39" s="18">
        <f>T38+E39</f>
        <v>0</v>
      </c>
      <c r="U39" s="18">
        <f>U38+F39</f>
        <v>0</v>
      </c>
      <c r="V39" s="18">
        <f t="shared" si="25"/>
        <v>0</v>
      </c>
      <c r="W39" s="18">
        <f>W38+H39</f>
        <v>0</v>
      </c>
      <c r="X39" s="18">
        <f>X38+I39</f>
        <v>0</v>
      </c>
      <c r="Y39" s="18">
        <f t="shared" si="26"/>
        <v>0</v>
      </c>
      <c r="Z39" s="18">
        <f>Z38+K39</f>
        <v>0</v>
      </c>
      <c r="AA39" s="18">
        <f>AA38+L39</f>
        <v>0</v>
      </c>
      <c r="AB39" s="18">
        <f t="shared" si="27"/>
        <v>0</v>
      </c>
      <c r="AC39" s="140">
        <f t="shared" si="28"/>
        <v>20069</v>
      </c>
      <c r="AD39" s="26"/>
    </row>
    <row r="40" spans="1:30" ht="14.25" hidden="1" thickBot="1">
      <c r="A40" s="141">
        <v>41275</v>
      </c>
      <c r="B40" s="142">
        <v>0</v>
      </c>
      <c r="C40" s="143">
        <v>0</v>
      </c>
      <c r="D40" s="143">
        <f t="shared" si="0"/>
        <v>0</v>
      </c>
      <c r="E40" s="143">
        <v>0</v>
      </c>
      <c r="F40" s="143">
        <v>0</v>
      </c>
      <c r="G40" s="143">
        <f t="shared" si="1"/>
        <v>0</v>
      </c>
      <c r="H40" s="143">
        <v>0</v>
      </c>
      <c r="I40" s="143">
        <v>0</v>
      </c>
      <c r="J40" s="143">
        <f t="shared" si="2"/>
        <v>0</v>
      </c>
      <c r="K40" s="143">
        <v>0</v>
      </c>
      <c r="L40" s="143">
        <v>0</v>
      </c>
      <c r="M40" s="143">
        <f t="shared" si="3"/>
        <v>0</v>
      </c>
      <c r="N40" s="143">
        <f t="shared" si="4"/>
        <v>0</v>
      </c>
      <c r="O40" s="143">
        <f t="shared" si="4"/>
        <v>0</v>
      </c>
      <c r="P40" s="143">
        <f t="shared" si="5"/>
        <v>0</v>
      </c>
      <c r="Q40" s="142">
        <f>B40</f>
        <v>0</v>
      </c>
      <c r="R40" s="143">
        <f>C40</f>
        <v>0</v>
      </c>
      <c r="S40" s="143">
        <f>R40+Q40</f>
        <v>0</v>
      </c>
      <c r="T40" s="143">
        <f>E40</f>
        <v>0</v>
      </c>
      <c r="U40" s="143">
        <f>F40</f>
        <v>0</v>
      </c>
      <c r="V40" s="143">
        <f>U40+T40</f>
        <v>0</v>
      </c>
      <c r="W40" s="143">
        <f>H40</f>
        <v>0</v>
      </c>
      <c r="X40" s="143">
        <f>I40</f>
        <v>0</v>
      </c>
      <c r="Y40" s="143">
        <f>X40+W40</f>
        <v>0</v>
      </c>
      <c r="Z40" s="143">
        <f>K40</f>
        <v>0</v>
      </c>
      <c r="AA40" s="143">
        <f>L40</f>
        <v>0</v>
      </c>
      <c r="AB40" s="143">
        <f>AA40+Z40</f>
        <v>0</v>
      </c>
      <c r="AC40" s="144">
        <f>AB40+Y40+V40+S40</f>
        <v>0</v>
      </c>
      <c r="AD40" s="26"/>
    </row>
    <row r="41" spans="1:30" ht="14.25" hidden="1" thickBot="1">
      <c r="A41" s="138">
        <v>41306</v>
      </c>
      <c r="B41" s="139">
        <v>0</v>
      </c>
      <c r="C41" s="18">
        <v>0</v>
      </c>
      <c r="D41" s="18">
        <f t="shared" si="0"/>
        <v>0</v>
      </c>
      <c r="E41" s="18">
        <v>0</v>
      </c>
      <c r="F41" s="18">
        <v>0</v>
      </c>
      <c r="G41" s="18">
        <f t="shared" si="1"/>
        <v>0</v>
      </c>
      <c r="H41" s="18">
        <v>0</v>
      </c>
      <c r="I41" s="18">
        <v>0</v>
      </c>
      <c r="J41" s="18">
        <f t="shared" si="2"/>
        <v>0</v>
      </c>
      <c r="K41" s="18">
        <v>0</v>
      </c>
      <c r="L41" s="18">
        <v>0</v>
      </c>
      <c r="M41" s="18">
        <f t="shared" si="3"/>
        <v>0</v>
      </c>
      <c r="N41" s="18">
        <f t="shared" si="4"/>
        <v>0</v>
      </c>
      <c r="O41" s="18">
        <f t="shared" si="4"/>
        <v>0</v>
      </c>
      <c r="P41" s="18">
        <f t="shared" si="5"/>
        <v>0</v>
      </c>
      <c r="Q41" s="139">
        <f>Q40+B41</f>
        <v>0</v>
      </c>
      <c r="R41" s="18">
        <f>R40+C41</f>
        <v>0</v>
      </c>
      <c r="S41" s="18">
        <f t="shared" ref="S41:S51" si="33">R41+Q41</f>
        <v>0</v>
      </c>
      <c r="T41" s="18">
        <f>T40+E41</f>
        <v>0</v>
      </c>
      <c r="U41" s="18">
        <f>U40+F41</f>
        <v>0</v>
      </c>
      <c r="V41" s="18">
        <f t="shared" ref="V41:V51" si="34">U41+T41</f>
        <v>0</v>
      </c>
      <c r="W41" s="18">
        <f>W40+H41</f>
        <v>0</v>
      </c>
      <c r="X41" s="18">
        <f>X40+I41</f>
        <v>0</v>
      </c>
      <c r="Y41" s="18">
        <f t="shared" ref="Y41:Y51" si="35">X41+W41</f>
        <v>0</v>
      </c>
      <c r="Z41" s="18">
        <f>Z40+K41</f>
        <v>0</v>
      </c>
      <c r="AA41" s="18">
        <f>AA40+L41</f>
        <v>0</v>
      </c>
      <c r="AB41" s="18">
        <f t="shared" ref="AB41:AB51" si="36">AA41+Z41</f>
        <v>0</v>
      </c>
      <c r="AC41" s="140">
        <f t="shared" ref="AC41:AC51" si="37">AB41+Y41+V41+S41</f>
        <v>0</v>
      </c>
      <c r="AD41" s="26"/>
    </row>
    <row r="42" spans="1:30" ht="14.25" hidden="1" thickBot="1">
      <c r="A42" s="138">
        <v>41334</v>
      </c>
      <c r="B42" s="139">
        <v>0</v>
      </c>
      <c r="C42" s="18">
        <v>0</v>
      </c>
      <c r="D42" s="18">
        <f t="shared" si="0"/>
        <v>0</v>
      </c>
      <c r="E42" s="18">
        <v>0</v>
      </c>
      <c r="F42" s="18">
        <v>0</v>
      </c>
      <c r="G42" s="18">
        <f t="shared" si="1"/>
        <v>0</v>
      </c>
      <c r="H42" s="18">
        <v>0</v>
      </c>
      <c r="I42" s="18">
        <v>0</v>
      </c>
      <c r="J42" s="18">
        <f t="shared" si="2"/>
        <v>0</v>
      </c>
      <c r="K42" s="18">
        <v>0</v>
      </c>
      <c r="L42" s="18">
        <v>0</v>
      </c>
      <c r="M42" s="18">
        <f t="shared" si="3"/>
        <v>0</v>
      </c>
      <c r="N42" s="18">
        <f t="shared" si="4"/>
        <v>0</v>
      </c>
      <c r="O42" s="18">
        <f t="shared" si="4"/>
        <v>0</v>
      </c>
      <c r="P42" s="18">
        <f t="shared" si="5"/>
        <v>0</v>
      </c>
      <c r="Q42" s="139">
        <f t="shared" ref="Q42:R50" si="38">Q41+B42</f>
        <v>0</v>
      </c>
      <c r="R42" s="18">
        <f t="shared" si="38"/>
        <v>0</v>
      </c>
      <c r="S42" s="18">
        <f t="shared" si="33"/>
        <v>0</v>
      </c>
      <c r="T42" s="18">
        <f t="shared" ref="T42:U50" si="39">T41+E42</f>
        <v>0</v>
      </c>
      <c r="U42" s="18">
        <f t="shared" si="39"/>
        <v>0</v>
      </c>
      <c r="V42" s="18">
        <f t="shared" si="34"/>
        <v>0</v>
      </c>
      <c r="W42" s="18">
        <f t="shared" ref="W42:X50" si="40">W41+H42</f>
        <v>0</v>
      </c>
      <c r="X42" s="18">
        <f t="shared" si="40"/>
        <v>0</v>
      </c>
      <c r="Y42" s="18">
        <f t="shared" si="35"/>
        <v>0</v>
      </c>
      <c r="Z42" s="18">
        <f t="shared" ref="Z42:AA50" si="41">Z41+K42</f>
        <v>0</v>
      </c>
      <c r="AA42" s="18">
        <f t="shared" si="41"/>
        <v>0</v>
      </c>
      <c r="AB42" s="18">
        <f t="shared" si="36"/>
        <v>0</v>
      </c>
      <c r="AC42" s="140">
        <f t="shared" si="37"/>
        <v>0</v>
      </c>
      <c r="AD42" s="26"/>
    </row>
    <row r="43" spans="1:30" ht="14.25" hidden="1" thickBot="1">
      <c r="A43" s="138">
        <v>41365</v>
      </c>
      <c r="B43" s="139">
        <v>0</v>
      </c>
      <c r="C43" s="18">
        <v>0</v>
      </c>
      <c r="D43" s="18">
        <f t="shared" si="0"/>
        <v>0</v>
      </c>
      <c r="E43" s="18">
        <v>0</v>
      </c>
      <c r="F43" s="18">
        <v>0</v>
      </c>
      <c r="G43" s="18">
        <f t="shared" si="1"/>
        <v>0</v>
      </c>
      <c r="H43" s="18">
        <v>0</v>
      </c>
      <c r="I43" s="18">
        <v>0</v>
      </c>
      <c r="J43" s="18">
        <f t="shared" si="2"/>
        <v>0</v>
      </c>
      <c r="K43" s="18">
        <v>0</v>
      </c>
      <c r="L43" s="18">
        <v>0</v>
      </c>
      <c r="M43" s="18">
        <f t="shared" si="3"/>
        <v>0</v>
      </c>
      <c r="N43" s="18">
        <f t="shared" si="4"/>
        <v>0</v>
      </c>
      <c r="O43" s="18">
        <f t="shared" si="4"/>
        <v>0</v>
      </c>
      <c r="P43" s="18">
        <f t="shared" si="5"/>
        <v>0</v>
      </c>
      <c r="Q43" s="139">
        <f t="shared" si="38"/>
        <v>0</v>
      </c>
      <c r="R43" s="18">
        <f t="shared" si="38"/>
        <v>0</v>
      </c>
      <c r="S43" s="18">
        <f t="shared" si="33"/>
        <v>0</v>
      </c>
      <c r="T43" s="18">
        <f t="shared" si="39"/>
        <v>0</v>
      </c>
      <c r="U43" s="18">
        <f t="shared" si="39"/>
        <v>0</v>
      </c>
      <c r="V43" s="18">
        <f t="shared" si="34"/>
        <v>0</v>
      </c>
      <c r="W43" s="18">
        <f t="shared" si="40"/>
        <v>0</v>
      </c>
      <c r="X43" s="18">
        <f t="shared" si="40"/>
        <v>0</v>
      </c>
      <c r="Y43" s="18">
        <f t="shared" si="35"/>
        <v>0</v>
      </c>
      <c r="Z43" s="18">
        <f t="shared" si="41"/>
        <v>0</v>
      </c>
      <c r="AA43" s="18">
        <f t="shared" si="41"/>
        <v>0</v>
      </c>
      <c r="AB43" s="18">
        <f t="shared" si="36"/>
        <v>0</v>
      </c>
      <c r="AC43" s="140">
        <f t="shared" si="37"/>
        <v>0</v>
      </c>
      <c r="AD43" s="26">
        <f t="shared" ref="AD43:AD106" si="42">AC43/AC31-1</f>
        <v>-1</v>
      </c>
    </row>
    <row r="44" spans="1:30" ht="14.25" hidden="1" thickBot="1">
      <c r="A44" s="138">
        <v>41395</v>
      </c>
      <c r="B44" s="139">
        <v>0</v>
      </c>
      <c r="C44" s="18">
        <v>0</v>
      </c>
      <c r="D44" s="18">
        <f t="shared" si="0"/>
        <v>0</v>
      </c>
      <c r="E44" s="18">
        <v>0</v>
      </c>
      <c r="F44" s="18">
        <v>0</v>
      </c>
      <c r="G44" s="18">
        <f t="shared" si="1"/>
        <v>0</v>
      </c>
      <c r="H44" s="18">
        <v>0</v>
      </c>
      <c r="I44" s="18">
        <v>0</v>
      </c>
      <c r="J44" s="18">
        <f t="shared" si="2"/>
        <v>0</v>
      </c>
      <c r="K44" s="18">
        <v>0</v>
      </c>
      <c r="L44" s="18">
        <v>0</v>
      </c>
      <c r="M44" s="18">
        <f t="shared" si="3"/>
        <v>0</v>
      </c>
      <c r="N44" s="18">
        <f t="shared" si="4"/>
        <v>0</v>
      </c>
      <c r="O44" s="18">
        <f t="shared" si="4"/>
        <v>0</v>
      </c>
      <c r="P44" s="18">
        <f t="shared" si="5"/>
        <v>0</v>
      </c>
      <c r="Q44" s="139">
        <f t="shared" si="38"/>
        <v>0</v>
      </c>
      <c r="R44" s="18">
        <f t="shared" si="38"/>
        <v>0</v>
      </c>
      <c r="S44" s="18">
        <f t="shared" si="33"/>
        <v>0</v>
      </c>
      <c r="T44" s="18">
        <f t="shared" si="39"/>
        <v>0</v>
      </c>
      <c r="U44" s="18">
        <f t="shared" si="39"/>
        <v>0</v>
      </c>
      <c r="V44" s="18">
        <f t="shared" si="34"/>
        <v>0</v>
      </c>
      <c r="W44" s="18">
        <f t="shared" si="40"/>
        <v>0</v>
      </c>
      <c r="X44" s="18">
        <f t="shared" si="40"/>
        <v>0</v>
      </c>
      <c r="Y44" s="18">
        <f t="shared" si="35"/>
        <v>0</v>
      </c>
      <c r="Z44" s="18">
        <f t="shared" si="41"/>
        <v>0</v>
      </c>
      <c r="AA44" s="18">
        <f t="shared" si="41"/>
        <v>0</v>
      </c>
      <c r="AB44" s="18">
        <f t="shared" si="36"/>
        <v>0</v>
      </c>
      <c r="AC44" s="140">
        <f t="shared" si="37"/>
        <v>0</v>
      </c>
      <c r="AD44" s="26">
        <f t="shared" si="42"/>
        <v>-1</v>
      </c>
    </row>
    <row r="45" spans="1:30" ht="14.25" hidden="1" thickBot="1">
      <c r="A45" s="138">
        <v>41426</v>
      </c>
      <c r="B45" s="139">
        <v>0</v>
      </c>
      <c r="C45" s="18">
        <v>0</v>
      </c>
      <c r="D45" s="18">
        <f t="shared" si="0"/>
        <v>0</v>
      </c>
      <c r="E45" s="18">
        <v>56385</v>
      </c>
      <c r="F45" s="18">
        <v>0</v>
      </c>
      <c r="G45" s="18">
        <f t="shared" si="1"/>
        <v>56385</v>
      </c>
      <c r="H45" s="18">
        <v>0</v>
      </c>
      <c r="I45" s="18">
        <v>0</v>
      </c>
      <c r="J45" s="18">
        <f t="shared" si="2"/>
        <v>0</v>
      </c>
      <c r="K45" s="18">
        <v>0</v>
      </c>
      <c r="L45" s="18">
        <v>0</v>
      </c>
      <c r="M45" s="18">
        <f t="shared" si="3"/>
        <v>0</v>
      </c>
      <c r="N45" s="18">
        <f t="shared" si="4"/>
        <v>56385</v>
      </c>
      <c r="O45" s="18">
        <f t="shared" si="4"/>
        <v>0</v>
      </c>
      <c r="P45" s="18">
        <f t="shared" si="5"/>
        <v>56385</v>
      </c>
      <c r="Q45" s="139">
        <f t="shared" si="38"/>
        <v>0</v>
      </c>
      <c r="R45" s="18">
        <f t="shared" si="38"/>
        <v>0</v>
      </c>
      <c r="S45" s="18">
        <f t="shared" si="33"/>
        <v>0</v>
      </c>
      <c r="T45" s="18">
        <f t="shared" si="39"/>
        <v>56385</v>
      </c>
      <c r="U45" s="18">
        <f t="shared" si="39"/>
        <v>0</v>
      </c>
      <c r="V45" s="18">
        <f t="shared" si="34"/>
        <v>56385</v>
      </c>
      <c r="W45" s="18">
        <f t="shared" si="40"/>
        <v>0</v>
      </c>
      <c r="X45" s="18">
        <f t="shared" si="40"/>
        <v>0</v>
      </c>
      <c r="Y45" s="18">
        <f t="shared" si="35"/>
        <v>0</v>
      </c>
      <c r="Z45" s="18">
        <f t="shared" si="41"/>
        <v>0</v>
      </c>
      <c r="AA45" s="18">
        <f t="shared" si="41"/>
        <v>0</v>
      </c>
      <c r="AB45" s="18">
        <f t="shared" si="36"/>
        <v>0</v>
      </c>
      <c r="AC45" s="140">
        <f t="shared" si="37"/>
        <v>56385</v>
      </c>
      <c r="AD45" s="26">
        <f t="shared" si="42"/>
        <v>1.8095570282525286</v>
      </c>
    </row>
    <row r="46" spans="1:30" ht="14.25" hidden="1" thickBot="1">
      <c r="A46" s="138">
        <v>41456</v>
      </c>
      <c r="B46" s="139">
        <v>0</v>
      </c>
      <c r="C46" s="18">
        <v>0</v>
      </c>
      <c r="D46" s="18">
        <f t="shared" si="0"/>
        <v>0</v>
      </c>
      <c r="E46" s="18">
        <v>37639</v>
      </c>
      <c r="F46" s="18">
        <v>0</v>
      </c>
      <c r="G46" s="18">
        <f t="shared" si="1"/>
        <v>37639</v>
      </c>
      <c r="H46" s="18">
        <v>0</v>
      </c>
      <c r="I46" s="18">
        <v>0</v>
      </c>
      <c r="J46" s="18">
        <f t="shared" si="2"/>
        <v>0</v>
      </c>
      <c r="K46" s="18">
        <v>0</v>
      </c>
      <c r="L46" s="18">
        <v>0</v>
      </c>
      <c r="M46" s="18">
        <f t="shared" si="3"/>
        <v>0</v>
      </c>
      <c r="N46" s="18">
        <f t="shared" si="4"/>
        <v>37639</v>
      </c>
      <c r="O46" s="18">
        <f t="shared" si="4"/>
        <v>0</v>
      </c>
      <c r="P46" s="18">
        <f t="shared" si="5"/>
        <v>37639</v>
      </c>
      <c r="Q46" s="139">
        <f t="shared" si="38"/>
        <v>0</v>
      </c>
      <c r="R46" s="18">
        <f t="shared" si="38"/>
        <v>0</v>
      </c>
      <c r="S46" s="18">
        <f t="shared" si="33"/>
        <v>0</v>
      </c>
      <c r="T46" s="18">
        <f t="shared" si="39"/>
        <v>94024</v>
      </c>
      <c r="U46" s="18">
        <f t="shared" si="39"/>
        <v>0</v>
      </c>
      <c r="V46" s="18">
        <f t="shared" si="34"/>
        <v>94024</v>
      </c>
      <c r="W46" s="18">
        <f t="shared" si="40"/>
        <v>0</v>
      </c>
      <c r="X46" s="18">
        <f t="shared" si="40"/>
        <v>0</v>
      </c>
      <c r="Y46" s="18">
        <f t="shared" si="35"/>
        <v>0</v>
      </c>
      <c r="Z46" s="18">
        <f t="shared" si="41"/>
        <v>0</v>
      </c>
      <c r="AA46" s="18">
        <f t="shared" si="41"/>
        <v>0</v>
      </c>
      <c r="AB46" s="18">
        <f t="shared" si="36"/>
        <v>0</v>
      </c>
      <c r="AC46" s="140">
        <f t="shared" si="37"/>
        <v>94024</v>
      </c>
      <c r="AD46" s="26">
        <f t="shared" si="42"/>
        <v>3.6850366236484131</v>
      </c>
    </row>
    <row r="47" spans="1:30" ht="14.25" hidden="1" thickBot="1">
      <c r="A47" s="138">
        <v>41487</v>
      </c>
      <c r="B47" s="139">
        <v>0</v>
      </c>
      <c r="C47" s="18">
        <v>0</v>
      </c>
      <c r="D47" s="18">
        <f t="shared" si="0"/>
        <v>0</v>
      </c>
      <c r="E47" s="18">
        <v>0</v>
      </c>
      <c r="F47" s="18">
        <v>0</v>
      </c>
      <c r="G47" s="18">
        <f t="shared" si="1"/>
        <v>0</v>
      </c>
      <c r="H47" s="18">
        <v>0</v>
      </c>
      <c r="I47" s="18">
        <v>0</v>
      </c>
      <c r="J47" s="18">
        <f t="shared" si="2"/>
        <v>0</v>
      </c>
      <c r="K47" s="18">
        <v>0</v>
      </c>
      <c r="L47" s="18">
        <v>0</v>
      </c>
      <c r="M47" s="18">
        <f t="shared" si="3"/>
        <v>0</v>
      </c>
      <c r="N47" s="18">
        <f t="shared" si="4"/>
        <v>0</v>
      </c>
      <c r="O47" s="18">
        <f t="shared" si="4"/>
        <v>0</v>
      </c>
      <c r="P47" s="18">
        <f t="shared" si="5"/>
        <v>0</v>
      </c>
      <c r="Q47" s="139">
        <f t="shared" si="38"/>
        <v>0</v>
      </c>
      <c r="R47" s="18">
        <f t="shared" si="38"/>
        <v>0</v>
      </c>
      <c r="S47" s="18">
        <f t="shared" si="33"/>
        <v>0</v>
      </c>
      <c r="T47" s="18">
        <f t="shared" si="39"/>
        <v>94024</v>
      </c>
      <c r="U47" s="18">
        <f t="shared" si="39"/>
        <v>0</v>
      </c>
      <c r="V47" s="18">
        <f t="shared" si="34"/>
        <v>94024</v>
      </c>
      <c r="W47" s="18">
        <f t="shared" si="40"/>
        <v>0</v>
      </c>
      <c r="X47" s="18">
        <f t="shared" si="40"/>
        <v>0</v>
      </c>
      <c r="Y47" s="18">
        <f t="shared" si="35"/>
        <v>0</v>
      </c>
      <c r="Z47" s="18">
        <f t="shared" si="41"/>
        <v>0</v>
      </c>
      <c r="AA47" s="18">
        <f t="shared" si="41"/>
        <v>0</v>
      </c>
      <c r="AB47" s="18">
        <f t="shared" si="36"/>
        <v>0</v>
      </c>
      <c r="AC47" s="140">
        <f t="shared" si="37"/>
        <v>94024</v>
      </c>
      <c r="AD47" s="26">
        <f t="shared" si="42"/>
        <v>3.6850366236484131</v>
      </c>
    </row>
    <row r="48" spans="1:30" ht="14.25" hidden="1" thickBot="1">
      <c r="A48" s="138">
        <v>41518</v>
      </c>
      <c r="B48" s="139">
        <v>0</v>
      </c>
      <c r="C48" s="18">
        <v>0</v>
      </c>
      <c r="D48" s="18">
        <f t="shared" si="0"/>
        <v>0</v>
      </c>
      <c r="E48" s="18">
        <v>72759</v>
      </c>
      <c r="F48" s="18">
        <v>0</v>
      </c>
      <c r="G48" s="18">
        <f t="shared" si="1"/>
        <v>72759</v>
      </c>
      <c r="H48" s="18">
        <v>0</v>
      </c>
      <c r="I48" s="18">
        <v>0</v>
      </c>
      <c r="J48" s="18">
        <f t="shared" si="2"/>
        <v>0</v>
      </c>
      <c r="K48" s="18">
        <v>0</v>
      </c>
      <c r="L48" s="18">
        <v>0</v>
      </c>
      <c r="M48" s="18">
        <f t="shared" si="3"/>
        <v>0</v>
      </c>
      <c r="N48" s="18">
        <f t="shared" si="4"/>
        <v>72759</v>
      </c>
      <c r="O48" s="18">
        <f t="shared" si="4"/>
        <v>0</v>
      </c>
      <c r="P48" s="18">
        <f t="shared" si="5"/>
        <v>72759</v>
      </c>
      <c r="Q48" s="139">
        <f t="shared" si="38"/>
        <v>0</v>
      </c>
      <c r="R48" s="18">
        <f t="shared" si="38"/>
        <v>0</v>
      </c>
      <c r="S48" s="18">
        <f t="shared" si="33"/>
        <v>0</v>
      </c>
      <c r="T48" s="18">
        <f t="shared" si="39"/>
        <v>166783</v>
      </c>
      <c r="U48" s="18">
        <f t="shared" si="39"/>
        <v>0</v>
      </c>
      <c r="V48" s="18">
        <f t="shared" si="34"/>
        <v>166783</v>
      </c>
      <c r="W48" s="18">
        <f t="shared" si="40"/>
        <v>0</v>
      </c>
      <c r="X48" s="18">
        <f t="shared" si="40"/>
        <v>0</v>
      </c>
      <c r="Y48" s="18">
        <f t="shared" si="35"/>
        <v>0</v>
      </c>
      <c r="Z48" s="18">
        <f t="shared" si="41"/>
        <v>0</v>
      </c>
      <c r="AA48" s="18">
        <f t="shared" si="41"/>
        <v>0</v>
      </c>
      <c r="AB48" s="18">
        <f t="shared" si="36"/>
        <v>0</v>
      </c>
      <c r="AC48" s="140">
        <f t="shared" si="37"/>
        <v>166783</v>
      </c>
      <c r="AD48" s="26">
        <f t="shared" si="42"/>
        <v>7.3104788479744887</v>
      </c>
    </row>
    <row r="49" spans="1:30" ht="14.25" hidden="1" thickBot="1">
      <c r="A49" s="138">
        <v>41548</v>
      </c>
      <c r="B49" s="139">
        <v>0</v>
      </c>
      <c r="C49" s="18">
        <v>0</v>
      </c>
      <c r="D49" s="18">
        <f t="shared" si="0"/>
        <v>0</v>
      </c>
      <c r="E49" s="18">
        <v>29580</v>
      </c>
      <c r="F49" s="18">
        <v>0</v>
      </c>
      <c r="G49" s="18">
        <f t="shared" si="1"/>
        <v>29580</v>
      </c>
      <c r="H49" s="18">
        <v>0</v>
      </c>
      <c r="I49" s="18">
        <v>0</v>
      </c>
      <c r="J49" s="18">
        <f>SUM(H49:I49)</f>
        <v>0</v>
      </c>
      <c r="K49" s="18">
        <v>0</v>
      </c>
      <c r="L49" s="18">
        <v>0</v>
      </c>
      <c r="M49" s="18">
        <f t="shared" si="3"/>
        <v>0</v>
      </c>
      <c r="N49" s="18">
        <f t="shared" si="4"/>
        <v>29580</v>
      </c>
      <c r="O49" s="18">
        <f t="shared" si="4"/>
        <v>0</v>
      </c>
      <c r="P49" s="18">
        <f t="shared" si="5"/>
        <v>29580</v>
      </c>
      <c r="Q49" s="139">
        <f t="shared" si="38"/>
        <v>0</v>
      </c>
      <c r="R49" s="18">
        <f t="shared" si="38"/>
        <v>0</v>
      </c>
      <c r="S49" s="18">
        <f t="shared" si="33"/>
        <v>0</v>
      </c>
      <c r="T49" s="18">
        <f t="shared" si="39"/>
        <v>196363</v>
      </c>
      <c r="U49" s="18">
        <f t="shared" si="39"/>
        <v>0</v>
      </c>
      <c r="V49" s="18">
        <f t="shared" si="34"/>
        <v>196363</v>
      </c>
      <c r="W49" s="18">
        <f t="shared" si="40"/>
        <v>0</v>
      </c>
      <c r="X49" s="18">
        <f t="shared" si="40"/>
        <v>0</v>
      </c>
      <c r="Y49" s="18">
        <f t="shared" si="35"/>
        <v>0</v>
      </c>
      <c r="Z49" s="18">
        <f t="shared" si="41"/>
        <v>0</v>
      </c>
      <c r="AA49" s="18">
        <f t="shared" si="41"/>
        <v>0</v>
      </c>
      <c r="AB49" s="18">
        <f t="shared" si="36"/>
        <v>0</v>
      </c>
      <c r="AC49" s="140">
        <f t="shared" si="37"/>
        <v>196363</v>
      </c>
      <c r="AD49" s="26">
        <f t="shared" si="42"/>
        <v>8.7843938412476952</v>
      </c>
    </row>
    <row r="50" spans="1:30" ht="14.25" hidden="1" thickBot="1">
      <c r="A50" s="138">
        <v>41579</v>
      </c>
      <c r="B50" s="139">
        <v>0</v>
      </c>
      <c r="C50" s="18">
        <v>0</v>
      </c>
      <c r="D50" s="18">
        <f t="shared" si="0"/>
        <v>0</v>
      </c>
      <c r="E50" s="18">
        <v>39412</v>
      </c>
      <c r="F50" s="18">
        <v>0</v>
      </c>
      <c r="G50" s="18">
        <f t="shared" si="1"/>
        <v>39412</v>
      </c>
      <c r="H50" s="18">
        <v>0</v>
      </c>
      <c r="I50" s="18">
        <v>0</v>
      </c>
      <c r="J50" s="18">
        <f t="shared" si="2"/>
        <v>0</v>
      </c>
      <c r="K50" s="18">
        <v>0</v>
      </c>
      <c r="L50" s="18">
        <v>0</v>
      </c>
      <c r="M50" s="18">
        <f t="shared" si="3"/>
        <v>0</v>
      </c>
      <c r="N50" s="18">
        <f t="shared" si="4"/>
        <v>39412</v>
      </c>
      <c r="O50" s="18">
        <f t="shared" si="4"/>
        <v>0</v>
      </c>
      <c r="P50" s="18">
        <f t="shared" si="5"/>
        <v>39412</v>
      </c>
      <c r="Q50" s="139">
        <f t="shared" si="38"/>
        <v>0</v>
      </c>
      <c r="R50" s="18">
        <f t="shared" si="38"/>
        <v>0</v>
      </c>
      <c r="S50" s="18">
        <f t="shared" si="33"/>
        <v>0</v>
      </c>
      <c r="T50" s="18">
        <f t="shared" si="39"/>
        <v>235775</v>
      </c>
      <c r="U50" s="18">
        <f t="shared" si="39"/>
        <v>0</v>
      </c>
      <c r="V50" s="18">
        <f t="shared" si="34"/>
        <v>235775</v>
      </c>
      <c r="W50" s="18">
        <f t="shared" si="40"/>
        <v>0</v>
      </c>
      <c r="X50" s="18">
        <f t="shared" si="40"/>
        <v>0</v>
      </c>
      <c r="Y50" s="18">
        <f t="shared" si="35"/>
        <v>0</v>
      </c>
      <c r="Z50" s="18">
        <f t="shared" si="41"/>
        <v>0</v>
      </c>
      <c r="AA50" s="18">
        <f t="shared" si="41"/>
        <v>0</v>
      </c>
      <c r="AB50" s="18">
        <f t="shared" si="36"/>
        <v>0</v>
      </c>
      <c r="AC50" s="140">
        <f t="shared" si="37"/>
        <v>235775</v>
      </c>
      <c r="AD50" s="26">
        <f t="shared" si="42"/>
        <v>10.748218645672431</v>
      </c>
    </row>
    <row r="51" spans="1:30" ht="14.25" hidden="1" thickBot="1">
      <c r="A51" s="138">
        <v>41609</v>
      </c>
      <c r="B51" s="139">
        <v>0</v>
      </c>
      <c r="C51" s="18">
        <v>0</v>
      </c>
      <c r="D51" s="18">
        <f t="shared" si="0"/>
        <v>0</v>
      </c>
      <c r="E51" s="18">
        <v>46044</v>
      </c>
      <c r="F51" s="18">
        <v>0</v>
      </c>
      <c r="G51" s="18">
        <f t="shared" si="1"/>
        <v>46044</v>
      </c>
      <c r="H51" s="18">
        <v>0</v>
      </c>
      <c r="I51" s="18">
        <v>0</v>
      </c>
      <c r="J51" s="18">
        <f t="shared" si="2"/>
        <v>0</v>
      </c>
      <c r="K51" s="18">
        <v>0</v>
      </c>
      <c r="L51" s="18">
        <v>0</v>
      </c>
      <c r="M51" s="18">
        <f t="shared" si="3"/>
        <v>0</v>
      </c>
      <c r="N51" s="18">
        <f t="shared" si="4"/>
        <v>46044</v>
      </c>
      <c r="O51" s="18">
        <f t="shared" si="4"/>
        <v>0</v>
      </c>
      <c r="P51" s="18">
        <f t="shared" si="5"/>
        <v>46044</v>
      </c>
      <c r="Q51" s="139">
        <f>Q50+B51</f>
        <v>0</v>
      </c>
      <c r="R51" s="18">
        <f>R50+C51</f>
        <v>0</v>
      </c>
      <c r="S51" s="18">
        <f t="shared" si="33"/>
        <v>0</v>
      </c>
      <c r="T51" s="18">
        <f>T50+E51</f>
        <v>281819</v>
      </c>
      <c r="U51" s="18">
        <f>U50+F51</f>
        <v>0</v>
      </c>
      <c r="V51" s="18">
        <f t="shared" si="34"/>
        <v>281819</v>
      </c>
      <c r="W51" s="18">
        <f>W50+H51</f>
        <v>0</v>
      </c>
      <c r="X51" s="18">
        <f>X50+I51</f>
        <v>0</v>
      </c>
      <c r="Y51" s="18">
        <f t="shared" si="35"/>
        <v>0</v>
      </c>
      <c r="Z51" s="18">
        <f>Z50+K51</f>
        <v>0</v>
      </c>
      <c r="AA51" s="18">
        <f>AA50+L51</f>
        <v>0</v>
      </c>
      <c r="AB51" s="18">
        <f t="shared" si="36"/>
        <v>0</v>
      </c>
      <c r="AC51" s="140">
        <f t="shared" si="37"/>
        <v>281819</v>
      </c>
      <c r="AD51" s="26">
        <f t="shared" si="42"/>
        <v>13.042503363396284</v>
      </c>
    </row>
    <row r="52" spans="1:30" ht="14.25" hidden="1" thickBot="1">
      <c r="A52" s="141">
        <v>41640</v>
      </c>
      <c r="B52" s="142">
        <v>14247</v>
      </c>
      <c r="C52" s="143">
        <v>0</v>
      </c>
      <c r="D52" s="143">
        <f t="shared" ref="D52:D115" si="43">SUM(B52:C52)</f>
        <v>14247</v>
      </c>
      <c r="E52" s="143">
        <v>29445</v>
      </c>
      <c r="F52" s="143">
        <v>0</v>
      </c>
      <c r="G52" s="143">
        <f t="shared" si="1"/>
        <v>29445</v>
      </c>
      <c r="H52" s="143">
        <v>0</v>
      </c>
      <c r="I52" s="143">
        <v>0</v>
      </c>
      <c r="J52" s="143">
        <f t="shared" si="2"/>
        <v>0</v>
      </c>
      <c r="K52" s="143">
        <v>0</v>
      </c>
      <c r="L52" s="143">
        <v>0</v>
      </c>
      <c r="M52" s="143">
        <f t="shared" si="3"/>
        <v>0</v>
      </c>
      <c r="N52" s="143">
        <f t="shared" si="4"/>
        <v>43692</v>
      </c>
      <c r="O52" s="143">
        <f t="shared" si="4"/>
        <v>0</v>
      </c>
      <c r="P52" s="143">
        <f t="shared" si="5"/>
        <v>43692</v>
      </c>
      <c r="Q52" s="142">
        <f>B52</f>
        <v>14247</v>
      </c>
      <c r="R52" s="143">
        <f>C52</f>
        <v>0</v>
      </c>
      <c r="S52" s="143">
        <f>R52+Q52</f>
        <v>14247</v>
      </c>
      <c r="T52" s="143">
        <f>E52</f>
        <v>29445</v>
      </c>
      <c r="U52" s="143">
        <f>F52</f>
        <v>0</v>
      </c>
      <c r="V52" s="143">
        <f>U52+T52</f>
        <v>29445</v>
      </c>
      <c r="W52" s="143">
        <f>H52</f>
        <v>0</v>
      </c>
      <c r="X52" s="143">
        <f>I52</f>
        <v>0</v>
      </c>
      <c r="Y52" s="143">
        <f>X52+W52</f>
        <v>0</v>
      </c>
      <c r="Z52" s="143">
        <f>K52</f>
        <v>0</v>
      </c>
      <c r="AA52" s="143">
        <f>L52</f>
        <v>0</v>
      </c>
      <c r="AB52" s="143">
        <f>AA52+Z52</f>
        <v>0</v>
      </c>
      <c r="AC52" s="144">
        <f>AB52+Y52+V52+S52</f>
        <v>43692</v>
      </c>
      <c r="AD52" s="26"/>
    </row>
    <row r="53" spans="1:30" ht="14.25" hidden="1" thickBot="1">
      <c r="A53" s="138">
        <v>41671</v>
      </c>
      <c r="B53" s="139">
        <v>7072</v>
      </c>
      <c r="C53" s="18">
        <v>0</v>
      </c>
      <c r="D53" s="18">
        <f t="shared" si="43"/>
        <v>7072</v>
      </c>
      <c r="E53" s="18">
        <v>0</v>
      </c>
      <c r="F53" s="18">
        <v>0</v>
      </c>
      <c r="G53" s="18">
        <f t="shared" si="1"/>
        <v>0</v>
      </c>
      <c r="H53" s="18">
        <v>0</v>
      </c>
      <c r="I53" s="18">
        <v>0</v>
      </c>
      <c r="J53" s="18">
        <f t="shared" si="2"/>
        <v>0</v>
      </c>
      <c r="K53" s="18">
        <v>0</v>
      </c>
      <c r="L53" s="18">
        <v>0</v>
      </c>
      <c r="M53" s="18">
        <f t="shared" si="3"/>
        <v>0</v>
      </c>
      <c r="N53" s="18">
        <f t="shared" si="4"/>
        <v>7072</v>
      </c>
      <c r="O53" s="18">
        <f t="shared" si="4"/>
        <v>0</v>
      </c>
      <c r="P53" s="18">
        <f t="shared" si="5"/>
        <v>7072</v>
      </c>
      <c r="Q53" s="139">
        <f>Q52+B53</f>
        <v>21319</v>
      </c>
      <c r="R53" s="18">
        <f>R52+C53</f>
        <v>0</v>
      </c>
      <c r="S53" s="18">
        <f t="shared" ref="S53:S63" si="44">R53+Q53</f>
        <v>21319</v>
      </c>
      <c r="T53" s="18">
        <f>T52+E53</f>
        <v>29445</v>
      </c>
      <c r="U53" s="18">
        <f>U52+F53</f>
        <v>0</v>
      </c>
      <c r="V53" s="18">
        <f t="shared" ref="V53:V63" si="45">U53+T53</f>
        <v>29445</v>
      </c>
      <c r="W53" s="18">
        <f>W52+H53</f>
        <v>0</v>
      </c>
      <c r="X53" s="18">
        <f>X52+I53</f>
        <v>0</v>
      </c>
      <c r="Y53" s="18">
        <f t="shared" ref="Y53:Y63" si="46">X53+W53</f>
        <v>0</v>
      </c>
      <c r="Z53" s="18">
        <f>Z52+K53</f>
        <v>0</v>
      </c>
      <c r="AA53" s="18">
        <f>AA52+L53</f>
        <v>0</v>
      </c>
      <c r="AB53" s="18">
        <f t="shared" ref="AB53:AB63" si="47">AA53+Z53</f>
        <v>0</v>
      </c>
      <c r="AC53" s="140">
        <f t="shared" ref="AC53:AC63" si="48">AB53+Y53+V53+S53</f>
        <v>50764</v>
      </c>
      <c r="AD53" s="26"/>
    </row>
    <row r="54" spans="1:30" ht="14.25" hidden="1" thickBot="1">
      <c r="A54" s="138">
        <v>41699</v>
      </c>
      <c r="B54" s="139">
        <v>6624</v>
      </c>
      <c r="C54" s="18">
        <v>0</v>
      </c>
      <c r="D54" s="18">
        <f t="shared" si="43"/>
        <v>6624</v>
      </c>
      <c r="E54" s="18">
        <v>0</v>
      </c>
      <c r="F54" s="18">
        <v>0</v>
      </c>
      <c r="G54" s="18">
        <f t="shared" si="1"/>
        <v>0</v>
      </c>
      <c r="H54" s="18">
        <v>0</v>
      </c>
      <c r="I54" s="18">
        <v>0</v>
      </c>
      <c r="J54" s="18">
        <f t="shared" si="2"/>
        <v>0</v>
      </c>
      <c r="K54" s="18">
        <v>0</v>
      </c>
      <c r="L54" s="18">
        <v>0</v>
      </c>
      <c r="M54" s="18">
        <f t="shared" si="3"/>
        <v>0</v>
      </c>
      <c r="N54" s="18">
        <f t="shared" si="4"/>
        <v>6624</v>
      </c>
      <c r="O54" s="18">
        <f t="shared" si="4"/>
        <v>0</v>
      </c>
      <c r="P54" s="18">
        <f t="shared" si="5"/>
        <v>6624</v>
      </c>
      <c r="Q54" s="139">
        <f t="shared" ref="Q54:R62" si="49">Q53+B54</f>
        <v>27943</v>
      </c>
      <c r="R54" s="18">
        <f t="shared" si="49"/>
        <v>0</v>
      </c>
      <c r="S54" s="18">
        <f t="shared" si="44"/>
        <v>27943</v>
      </c>
      <c r="T54" s="18">
        <f t="shared" ref="T54:U62" si="50">T53+E54</f>
        <v>29445</v>
      </c>
      <c r="U54" s="18">
        <f t="shared" si="50"/>
        <v>0</v>
      </c>
      <c r="V54" s="18">
        <f t="shared" si="45"/>
        <v>29445</v>
      </c>
      <c r="W54" s="18">
        <f t="shared" ref="W54:X62" si="51">W53+H54</f>
        <v>0</v>
      </c>
      <c r="X54" s="18">
        <f t="shared" si="51"/>
        <v>0</v>
      </c>
      <c r="Y54" s="18">
        <f t="shared" si="46"/>
        <v>0</v>
      </c>
      <c r="Z54" s="18">
        <f t="shared" ref="Z54:AA62" si="52">Z53+K54</f>
        <v>0</v>
      </c>
      <c r="AA54" s="18">
        <f t="shared" si="52"/>
        <v>0</v>
      </c>
      <c r="AB54" s="18">
        <f t="shared" si="47"/>
        <v>0</v>
      </c>
      <c r="AC54" s="140">
        <f t="shared" si="48"/>
        <v>57388</v>
      </c>
      <c r="AD54" s="26"/>
    </row>
    <row r="55" spans="1:30" ht="14.25" hidden="1" thickBot="1">
      <c r="A55" s="138">
        <v>41730</v>
      </c>
      <c r="B55" s="139">
        <v>643</v>
      </c>
      <c r="C55" s="18">
        <v>0</v>
      </c>
      <c r="D55" s="18">
        <f t="shared" si="43"/>
        <v>643</v>
      </c>
      <c r="E55" s="18">
        <v>0</v>
      </c>
      <c r="F55" s="18">
        <v>0</v>
      </c>
      <c r="G55" s="18">
        <f t="shared" si="1"/>
        <v>0</v>
      </c>
      <c r="H55" s="18">
        <v>0</v>
      </c>
      <c r="I55" s="18">
        <v>0</v>
      </c>
      <c r="J55" s="18">
        <f t="shared" si="2"/>
        <v>0</v>
      </c>
      <c r="K55" s="18">
        <v>0</v>
      </c>
      <c r="L55" s="18">
        <v>0</v>
      </c>
      <c r="M55" s="18">
        <f t="shared" si="3"/>
        <v>0</v>
      </c>
      <c r="N55" s="18">
        <f t="shared" si="4"/>
        <v>643</v>
      </c>
      <c r="O55" s="18">
        <f t="shared" si="4"/>
        <v>0</v>
      </c>
      <c r="P55" s="18">
        <f t="shared" si="5"/>
        <v>643</v>
      </c>
      <c r="Q55" s="139">
        <f t="shared" si="49"/>
        <v>28586</v>
      </c>
      <c r="R55" s="18">
        <f t="shared" si="49"/>
        <v>0</v>
      </c>
      <c r="S55" s="18">
        <f t="shared" si="44"/>
        <v>28586</v>
      </c>
      <c r="T55" s="18">
        <f t="shared" si="50"/>
        <v>29445</v>
      </c>
      <c r="U55" s="18">
        <f t="shared" si="50"/>
        <v>0</v>
      </c>
      <c r="V55" s="18">
        <f t="shared" si="45"/>
        <v>29445</v>
      </c>
      <c r="W55" s="18">
        <f t="shared" si="51"/>
        <v>0</v>
      </c>
      <c r="X55" s="18">
        <f t="shared" si="51"/>
        <v>0</v>
      </c>
      <c r="Y55" s="18">
        <f t="shared" si="46"/>
        <v>0</v>
      </c>
      <c r="Z55" s="18">
        <f t="shared" si="52"/>
        <v>0</v>
      </c>
      <c r="AA55" s="18">
        <f t="shared" si="52"/>
        <v>0</v>
      </c>
      <c r="AB55" s="18">
        <f t="shared" si="47"/>
        <v>0</v>
      </c>
      <c r="AC55" s="140">
        <f t="shared" si="48"/>
        <v>58031</v>
      </c>
      <c r="AD55" s="26"/>
    </row>
    <row r="56" spans="1:30" ht="14.25" hidden="1" thickBot="1">
      <c r="A56" s="138">
        <v>41760</v>
      </c>
      <c r="B56" s="139">
        <v>0</v>
      </c>
      <c r="C56" s="18">
        <v>0</v>
      </c>
      <c r="D56" s="18">
        <f t="shared" si="43"/>
        <v>0</v>
      </c>
      <c r="E56" s="18">
        <v>0</v>
      </c>
      <c r="F56" s="18">
        <v>0</v>
      </c>
      <c r="G56" s="18">
        <f t="shared" si="1"/>
        <v>0</v>
      </c>
      <c r="H56" s="18">
        <v>0</v>
      </c>
      <c r="I56" s="18">
        <v>0</v>
      </c>
      <c r="J56" s="18">
        <f t="shared" si="2"/>
        <v>0</v>
      </c>
      <c r="K56" s="18">
        <v>0</v>
      </c>
      <c r="L56" s="18">
        <v>0</v>
      </c>
      <c r="M56" s="18">
        <f t="shared" si="3"/>
        <v>0</v>
      </c>
      <c r="N56" s="18">
        <f t="shared" si="4"/>
        <v>0</v>
      </c>
      <c r="O56" s="18">
        <f t="shared" si="4"/>
        <v>0</v>
      </c>
      <c r="P56" s="18">
        <f t="shared" si="5"/>
        <v>0</v>
      </c>
      <c r="Q56" s="139">
        <f t="shared" si="49"/>
        <v>28586</v>
      </c>
      <c r="R56" s="18">
        <f t="shared" si="49"/>
        <v>0</v>
      </c>
      <c r="S56" s="18">
        <f t="shared" si="44"/>
        <v>28586</v>
      </c>
      <c r="T56" s="18">
        <f t="shared" si="50"/>
        <v>29445</v>
      </c>
      <c r="U56" s="18">
        <f t="shared" si="50"/>
        <v>0</v>
      </c>
      <c r="V56" s="18">
        <f t="shared" si="45"/>
        <v>29445</v>
      </c>
      <c r="W56" s="18">
        <f t="shared" si="51"/>
        <v>0</v>
      </c>
      <c r="X56" s="18">
        <f t="shared" si="51"/>
        <v>0</v>
      </c>
      <c r="Y56" s="18">
        <f t="shared" si="46"/>
        <v>0</v>
      </c>
      <c r="Z56" s="18">
        <f t="shared" si="52"/>
        <v>0</v>
      </c>
      <c r="AA56" s="18">
        <f t="shared" si="52"/>
        <v>0</v>
      </c>
      <c r="AB56" s="18">
        <f t="shared" si="47"/>
        <v>0</v>
      </c>
      <c r="AC56" s="140">
        <f t="shared" si="48"/>
        <v>58031</v>
      </c>
      <c r="AD56" s="26"/>
    </row>
    <row r="57" spans="1:30" ht="14.25" hidden="1" thickBot="1">
      <c r="A57" s="138">
        <v>41791</v>
      </c>
      <c r="B57" s="139">
        <v>0</v>
      </c>
      <c r="C57" s="18">
        <v>0</v>
      </c>
      <c r="D57" s="18">
        <f t="shared" si="43"/>
        <v>0</v>
      </c>
      <c r="E57" s="18">
        <v>0</v>
      </c>
      <c r="F57" s="18">
        <v>0</v>
      </c>
      <c r="G57" s="18">
        <f t="shared" si="1"/>
        <v>0</v>
      </c>
      <c r="H57" s="18">
        <v>0</v>
      </c>
      <c r="I57" s="18">
        <v>0</v>
      </c>
      <c r="J57" s="18">
        <f t="shared" si="2"/>
        <v>0</v>
      </c>
      <c r="K57" s="18">
        <v>0</v>
      </c>
      <c r="L57" s="18">
        <v>0</v>
      </c>
      <c r="M57" s="18">
        <f t="shared" si="3"/>
        <v>0</v>
      </c>
      <c r="N57" s="18">
        <f t="shared" si="4"/>
        <v>0</v>
      </c>
      <c r="O57" s="18">
        <f t="shared" si="4"/>
        <v>0</v>
      </c>
      <c r="P57" s="18">
        <f t="shared" si="5"/>
        <v>0</v>
      </c>
      <c r="Q57" s="139">
        <f t="shared" si="49"/>
        <v>28586</v>
      </c>
      <c r="R57" s="18">
        <f t="shared" si="49"/>
        <v>0</v>
      </c>
      <c r="S57" s="18">
        <f t="shared" si="44"/>
        <v>28586</v>
      </c>
      <c r="T57" s="18">
        <f t="shared" si="50"/>
        <v>29445</v>
      </c>
      <c r="U57" s="18">
        <f t="shared" si="50"/>
        <v>0</v>
      </c>
      <c r="V57" s="18">
        <f t="shared" si="45"/>
        <v>29445</v>
      </c>
      <c r="W57" s="18">
        <f t="shared" si="51"/>
        <v>0</v>
      </c>
      <c r="X57" s="18">
        <f t="shared" si="51"/>
        <v>0</v>
      </c>
      <c r="Y57" s="18">
        <f t="shared" si="46"/>
        <v>0</v>
      </c>
      <c r="Z57" s="18">
        <f t="shared" si="52"/>
        <v>0</v>
      </c>
      <c r="AA57" s="18">
        <f t="shared" si="52"/>
        <v>0</v>
      </c>
      <c r="AB57" s="18">
        <f t="shared" si="47"/>
        <v>0</v>
      </c>
      <c r="AC57" s="140">
        <f t="shared" si="48"/>
        <v>58031</v>
      </c>
      <c r="AD57" s="26">
        <f t="shared" si="42"/>
        <v>2.9192161035736408E-2</v>
      </c>
    </row>
    <row r="58" spans="1:30" ht="14.25" hidden="1" thickBot="1">
      <c r="A58" s="138">
        <v>41821</v>
      </c>
      <c r="B58" s="139">
        <v>4156</v>
      </c>
      <c r="C58" s="18">
        <v>0</v>
      </c>
      <c r="D58" s="18">
        <f t="shared" si="43"/>
        <v>4156</v>
      </c>
      <c r="E58" s="18">
        <v>0</v>
      </c>
      <c r="F58" s="18">
        <v>0</v>
      </c>
      <c r="G58" s="18">
        <f t="shared" si="1"/>
        <v>0</v>
      </c>
      <c r="H58" s="18">
        <v>0</v>
      </c>
      <c r="I58" s="18">
        <v>0</v>
      </c>
      <c r="J58" s="18">
        <f t="shared" si="2"/>
        <v>0</v>
      </c>
      <c r="K58" s="18">
        <v>0</v>
      </c>
      <c r="L58" s="18">
        <v>0</v>
      </c>
      <c r="M58" s="18">
        <f t="shared" si="3"/>
        <v>0</v>
      </c>
      <c r="N58" s="18">
        <f t="shared" si="4"/>
        <v>4156</v>
      </c>
      <c r="O58" s="18">
        <f t="shared" si="4"/>
        <v>0</v>
      </c>
      <c r="P58" s="18">
        <f t="shared" si="5"/>
        <v>4156</v>
      </c>
      <c r="Q58" s="139">
        <f t="shared" si="49"/>
        <v>32742</v>
      </c>
      <c r="R58" s="18">
        <f t="shared" si="49"/>
        <v>0</v>
      </c>
      <c r="S58" s="18">
        <f t="shared" si="44"/>
        <v>32742</v>
      </c>
      <c r="T58" s="18">
        <f t="shared" si="50"/>
        <v>29445</v>
      </c>
      <c r="U58" s="18">
        <f t="shared" si="50"/>
        <v>0</v>
      </c>
      <c r="V58" s="18">
        <f t="shared" si="45"/>
        <v>29445</v>
      </c>
      <c r="W58" s="18">
        <f t="shared" si="51"/>
        <v>0</v>
      </c>
      <c r="X58" s="18">
        <f t="shared" si="51"/>
        <v>0</v>
      </c>
      <c r="Y58" s="18">
        <f t="shared" si="46"/>
        <v>0</v>
      </c>
      <c r="Z58" s="18">
        <f t="shared" si="52"/>
        <v>0</v>
      </c>
      <c r="AA58" s="18">
        <f t="shared" si="52"/>
        <v>0</v>
      </c>
      <c r="AB58" s="18">
        <f t="shared" si="47"/>
        <v>0</v>
      </c>
      <c r="AC58" s="140">
        <f t="shared" si="48"/>
        <v>62187</v>
      </c>
      <c r="AD58" s="26">
        <f t="shared" si="42"/>
        <v>-0.33860503701182676</v>
      </c>
    </row>
    <row r="59" spans="1:30" ht="14.25" hidden="1" thickBot="1">
      <c r="A59" s="138">
        <v>41852</v>
      </c>
      <c r="B59" s="139">
        <v>0</v>
      </c>
      <c r="C59" s="18">
        <v>0</v>
      </c>
      <c r="D59" s="18">
        <f t="shared" si="43"/>
        <v>0</v>
      </c>
      <c r="E59" s="18">
        <v>0</v>
      </c>
      <c r="F59" s="18">
        <v>0</v>
      </c>
      <c r="G59" s="18">
        <f t="shared" si="1"/>
        <v>0</v>
      </c>
      <c r="H59" s="18">
        <v>1643621</v>
      </c>
      <c r="I59" s="18">
        <v>0</v>
      </c>
      <c r="J59" s="18">
        <f t="shared" si="2"/>
        <v>1643621</v>
      </c>
      <c r="K59" s="18">
        <v>1848485</v>
      </c>
      <c r="L59" s="18">
        <v>0</v>
      </c>
      <c r="M59" s="18">
        <f t="shared" si="3"/>
        <v>1848485</v>
      </c>
      <c r="N59" s="18">
        <f t="shared" si="4"/>
        <v>3492106</v>
      </c>
      <c r="O59" s="18">
        <f t="shared" si="4"/>
        <v>0</v>
      </c>
      <c r="P59" s="18">
        <f t="shared" si="5"/>
        <v>3492106</v>
      </c>
      <c r="Q59" s="139">
        <f t="shared" si="49"/>
        <v>32742</v>
      </c>
      <c r="R59" s="18">
        <f t="shared" si="49"/>
        <v>0</v>
      </c>
      <c r="S59" s="18">
        <f t="shared" si="44"/>
        <v>32742</v>
      </c>
      <c r="T59" s="18">
        <f t="shared" si="50"/>
        <v>29445</v>
      </c>
      <c r="U59" s="18">
        <f t="shared" si="50"/>
        <v>0</v>
      </c>
      <c r="V59" s="18">
        <f t="shared" si="45"/>
        <v>29445</v>
      </c>
      <c r="W59" s="18">
        <f t="shared" si="51"/>
        <v>1643621</v>
      </c>
      <c r="X59" s="18">
        <f t="shared" si="51"/>
        <v>0</v>
      </c>
      <c r="Y59" s="18">
        <f t="shared" si="46"/>
        <v>1643621</v>
      </c>
      <c r="Z59" s="18">
        <f t="shared" si="52"/>
        <v>1848485</v>
      </c>
      <c r="AA59" s="18">
        <f t="shared" si="52"/>
        <v>0</v>
      </c>
      <c r="AB59" s="18">
        <f t="shared" si="47"/>
        <v>1848485</v>
      </c>
      <c r="AC59" s="140">
        <f t="shared" si="48"/>
        <v>3554293</v>
      </c>
      <c r="AD59" s="26">
        <f t="shared" si="42"/>
        <v>36.801976091210754</v>
      </c>
    </row>
    <row r="60" spans="1:30" ht="14.25" hidden="1" thickBot="1">
      <c r="A60" s="138">
        <v>41883</v>
      </c>
      <c r="B60" s="139">
        <v>2731</v>
      </c>
      <c r="C60" s="18">
        <v>0</v>
      </c>
      <c r="D60" s="18">
        <f t="shared" si="43"/>
        <v>2731</v>
      </c>
      <c r="E60" s="18">
        <v>0</v>
      </c>
      <c r="F60" s="18">
        <v>0</v>
      </c>
      <c r="G60" s="18">
        <f t="shared" si="1"/>
        <v>0</v>
      </c>
      <c r="H60" s="18">
        <v>3474010</v>
      </c>
      <c r="I60" s="18">
        <v>0</v>
      </c>
      <c r="J60" s="18">
        <f t="shared" si="2"/>
        <v>3474010</v>
      </c>
      <c r="K60" s="18">
        <v>4078691</v>
      </c>
      <c r="L60" s="18">
        <v>0</v>
      </c>
      <c r="M60" s="18">
        <f t="shared" si="3"/>
        <v>4078691</v>
      </c>
      <c r="N60" s="18">
        <f t="shared" si="4"/>
        <v>7555432</v>
      </c>
      <c r="O60" s="18">
        <f t="shared" si="4"/>
        <v>0</v>
      </c>
      <c r="P60" s="18">
        <f t="shared" si="5"/>
        <v>7555432</v>
      </c>
      <c r="Q60" s="139">
        <f t="shared" si="49"/>
        <v>35473</v>
      </c>
      <c r="R60" s="18">
        <f t="shared" si="49"/>
        <v>0</v>
      </c>
      <c r="S60" s="18">
        <f t="shared" si="44"/>
        <v>35473</v>
      </c>
      <c r="T60" s="18">
        <f t="shared" si="50"/>
        <v>29445</v>
      </c>
      <c r="U60" s="18">
        <f t="shared" si="50"/>
        <v>0</v>
      </c>
      <c r="V60" s="18">
        <f t="shared" si="45"/>
        <v>29445</v>
      </c>
      <c r="W60" s="18">
        <f t="shared" si="51"/>
        <v>5117631</v>
      </c>
      <c r="X60" s="18">
        <f t="shared" si="51"/>
        <v>0</v>
      </c>
      <c r="Y60" s="18">
        <f t="shared" si="46"/>
        <v>5117631</v>
      </c>
      <c r="Z60" s="18">
        <f t="shared" si="52"/>
        <v>5927176</v>
      </c>
      <c r="AA60" s="18">
        <f t="shared" si="52"/>
        <v>0</v>
      </c>
      <c r="AB60" s="18">
        <f t="shared" si="47"/>
        <v>5927176</v>
      </c>
      <c r="AC60" s="140">
        <f t="shared" si="48"/>
        <v>11109725</v>
      </c>
      <c r="AD60" s="26">
        <f t="shared" si="42"/>
        <v>65.611854925262165</v>
      </c>
    </row>
    <row r="61" spans="1:30" ht="14.25" hidden="1" thickBot="1">
      <c r="A61" s="138">
        <v>41913</v>
      </c>
      <c r="B61" s="139">
        <v>430634</v>
      </c>
      <c r="C61" s="18">
        <v>0</v>
      </c>
      <c r="D61" s="18">
        <f t="shared" si="43"/>
        <v>430634</v>
      </c>
      <c r="E61" s="18">
        <v>0</v>
      </c>
      <c r="F61" s="18">
        <v>0</v>
      </c>
      <c r="G61" s="18">
        <f t="shared" si="1"/>
        <v>0</v>
      </c>
      <c r="H61" s="18">
        <v>2748001</v>
      </c>
      <c r="I61" s="18">
        <v>0</v>
      </c>
      <c r="J61" s="18">
        <f t="shared" si="2"/>
        <v>2748001</v>
      </c>
      <c r="K61" s="18">
        <v>3869127</v>
      </c>
      <c r="L61" s="18">
        <v>0</v>
      </c>
      <c r="M61" s="18">
        <f t="shared" si="3"/>
        <v>3869127</v>
      </c>
      <c r="N61" s="18">
        <f t="shared" si="4"/>
        <v>7047762</v>
      </c>
      <c r="O61" s="18">
        <f t="shared" si="4"/>
        <v>0</v>
      </c>
      <c r="P61" s="18">
        <f t="shared" si="5"/>
        <v>7047762</v>
      </c>
      <c r="Q61" s="139">
        <f t="shared" si="49"/>
        <v>466107</v>
      </c>
      <c r="R61" s="18">
        <f t="shared" si="49"/>
        <v>0</v>
      </c>
      <c r="S61" s="18">
        <f t="shared" si="44"/>
        <v>466107</v>
      </c>
      <c r="T61" s="18">
        <f t="shared" si="50"/>
        <v>29445</v>
      </c>
      <c r="U61" s="18">
        <f t="shared" si="50"/>
        <v>0</v>
      </c>
      <c r="V61" s="18">
        <f t="shared" si="45"/>
        <v>29445</v>
      </c>
      <c r="W61" s="18">
        <f t="shared" si="51"/>
        <v>7865632</v>
      </c>
      <c r="X61" s="18">
        <f t="shared" si="51"/>
        <v>0</v>
      </c>
      <c r="Y61" s="18">
        <f t="shared" si="46"/>
        <v>7865632</v>
      </c>
      <c r="Z61" s="18">
        <f t="shared" si="52"/>
        <v>9796303</v>
      </c>
      <c r="AA61" s="18">
        <f t="shared" si="52"/>
        <v>0</v>
      </c>
      <c r="AB61" s="18">
        <f t="shared" si="47"/>
        <v>9796303</v>
      </c>
      <c r="AC61" s="140">
        <f t="shared" si="48"/>
        <v>18157487</v>
      </c>
      <c r="AD61" s="26">
        <f t="shared" si="42"/>
        <v>91.468983464298262</v>
      </c>
    </row>
    <row r="62" spans="1:30" ht="14.25" hidden="1" thickBot="1">
      <c r="A62" s="138">
        <v>41944</v>
      </c>
      <c r="B62" s="139">
        <v>173075</v>
      </c>
      <c r="C62" s="18">
        <v>0</v>
      </c>
      <c r="D62" s="18">
        <f t="shared" si="43"/>
        <v>173075</v>
      </c>
      <c r="E62" s="18">
        <v>0</v>
      </c>
      <c r="F62" s="18">
        <v>0</v>
      </c>
      <c r="G62" s="18">
        <f t="shared" si="1"/>
        <v>0</v>
      </c>
      <c r="H62" s="18">
        <v>2873839</v>
      </c>
      <c r="I62" s="18">
        <v>0</v>
      </c>
      <c r="J62" s="18">
        <f t="shared" si="2"/>
        <v>2873839</v>
      </c>
      <c r="K62" s="18">
        <v>3278166</v>
      </c>
      <c r="L62" s="18">
        <v>0</v>
      </c>
      <c r="M62" s="18">
        <f t="shared" si="3"/>
        <v>3278166</v>
      </c>
      <c r="N62" s="18">
        <f t="shared" si="4"/>
        <v>6325080</v>
      </c>
      <c r="O62" s="18">
        <f t="shared" si="4"/>
        <v>0</v>
      </c>
      <c r="P62" s="18">
        <f t="shared" si="5"/>
        <v>6325080</v>
      </c>
      <c r="Q62" s="139">
        <f t="shared" si="49"/>
        <v>639182</v>
      </c>
      <c r="R62" s="18">
        <f t="shared" si="49"/>
        <v>0</v>
      </c>
      <c r="S62" s="18">
        <f t="shared" si="44"/>
        <v>639182</v>
      </c>
      <c r="T62" s="18">
        <f t="shared" si="50"/>
        <v>29445</v>
      </c>
      <c r="U62" s="18">
        <f t="shared" si="50"/>
        <v>0</v>
      </c>
      <c r="V62" s="18">
        <f t="shared" si="45"/>
        <v>29445</v>
      </c>
      <c r="W62" s="18">
        <f t="shared" si="51"/>
        <v>10739471</v>
      </c>
      <c r="X62" s="18">
        <f t="shared" si="51"/>
        <v>0</v>
      </c>
      <c r="Y62" s="18">
        <f t="shared" si="46"/>
        <v>10739471</v>
      </c>
      <c r="Z62" s="18">
        <f t="shared" si="52"/>
        <v>13074469</v>
      </c>
      <c r="AA62" s="18">
        <f t="shared" si="52"/>
        <v>0</v>
      </c>
      <c r="AB62" s="18">
        <f t="shared" si="47"/>
        <v>13074469</v>
      </c>
      <c r="AC62" s="140">
        <f t="shared" si="48"/>
        <v>24482567</v>
      </c>
      <c r="AD62" s="26">
        <f t="shared" si="42"/>
        <v>102.83868942848055</v>
      </c>
    </row>
    <row r="63" spans="1:30" ht="14.25" hidden="1" thickBot="1">
      <c r="A63" s="138">
        <v>41974</v>
      </c>
      <c r="B63" s="139">
        <v>89327</v>
      </c>
      <c r="C63" s="18">
        <v>0</v>
      </c>
      <c r="D63" s="18">
        <f t="shared" si="43"/>
        <v>89327</v>
      </c>
      <c r="E63" s="18">
        <v>0</v>
      </c>
      <c r="F63" s="18">
        <v>0</v>
      </c>
      <c r="G63" s="18">
        <f t="shared" si="1"/>
        <v>0</v>
      </c>
      <c r="H63" s="18">
        <v>4468597</v>
      </c>
      <c r="I63" s="18">
        <v>0</v>
      </c>
      <c r="J63" s="18">
        <f t="shared" si="2"/>
        <v>4468597</v>
      </c>
      <c r="K63" s="18">
        <v>4305346</v>
      </c>
      <c r="L63" s="18">
        <v>0</v>
      </c>
      <c r="M63" s="18">
        <f t="shared" si="3"/>
        <v>4305346</v>
      </c>
      <c r="N63" s="18">
        <f t="shared" si="4"/>
        <v>8863270</v>
      </c>
      <c r="O63" s="18">
        <f t="shared" si="4"/>
        <v>0</v>
      </c>
      <c r="P63" s="18">
        <f t="shared" si="5"/>
        <v>8863270</v>
      </c>
      <c r="Q63" s="139">
        <f>Q62+B63</f>
        <v>728509</v>
      </c>
      <c r="R63" s="18">
        <f>R62+C63</f>
        <v>0</v>
      </c>
      <c r="S63" s="18">
        <f t="shared" si="44"/>
        <v>728509</v>
      </c>
      <c r="T63" s="18">
        <f>T62+E63</f>
        <v>29445</v>
      </c>
      <c r="U63" s="18">
        <f>U62+F63</f>
        <v>0</v>
      </c>
      <c r="V63" s="18">
        <f t="shared" si="45"/>
        <v>29445</v>
      </c>
      <c r="W63" s="18">
        <f>W62+H63</f>
        <v>15208068</v>
      </c>
      <c r="X63" s="18">
        <f>X62+I63</f>
        <v>0</v>
      </c>
      <c r="Y63" s="18">
        <f t="shared" si="46"/>
        <v>15208068</v>
      </c>
      <c r="Z63" s="18">
        <f>Z62+K63</f>
        <v>17379815</v>
      </c>
      <c r="AA63" s="18">
        <f>AA62+L63</f>
        <v>0</v>
      </c>
      <c r="AB63" s="18">
        <f t="shared" si="47"/>
        <v>17379815</v>
      </c>
      <c r="AC63" s="140">
        <f t="shared" si="48"/>
        <v>33345837</v>
      </c>
      <c r="AD63" s="26">
        <f t="shared" si="42"/>
        <v>117.32359422182323</v>
      </c>
    </row>
    <row r="64" spans="1:30" ht="14.25" hidden="1" thickBot="1">
      <c r="A64" s="141">
        <v>42005</v>
      </c>
      <c r="B64" s="142">
        <v>114261</v>
      </c>
      <c r="C64" s="143">
        <v>0</v>
      </c>
      <c r="D64" s="143">
        <f t="shared" si="43"/>
        <v>114261</v>
      </c>
      <c r="E64" s="143">
        <v>0</v>
      </c>
      <c r="F64" s="143">
        <v>0</v>
      </c>
      <c r="G64" s="143">
        <f t="shared" si="1"/>
        <v>0</v>
      </c>
      <c r="H64" s="143">
        <v>1429312</v>
      </c>
      <c r="I64" s="143">
        <v>0</v>
      </c>
      <c r="J64" s="143">
        <f t="shared" si="2"/>
        <v>1429312</v>
      </c>
      <c r="K64" s="143">
        <v>2564904</v>
      </c>
      <c r="L64" s="143">
        <v>0</v>
      </c>
      <c r="M64" s="143">
        <f t="shared" si="3"/>
        <v>2564904</v>
      </c>
      <c r="N64" s="143">
        <f t="shared" si="4"/>
        <v>4108477</v>
      </c>
      <c r="O64" s="143">
        <f t="shared" si="4"/>
        <v>0</v>
      </c>
      <c r="P64" s="143">
        <f t="shared" si="5"/>
        <v>4108477</v>
      </c>
      <c r="Q64" s="142">
        <f>B64</f>
        <v>114261</v>
      </c>
      <c r="R64" s="143">
        <f>C64</f>
        <v>0</v>
      </c>
      <c r="S64" s="143">
        <f>R64+Q64</f>
        <v>114261</v>
      </c>
      <c r="T64" s="143">
        <f>E64</f>
        <v>0</v>
      </c>
      <c r="U64" s="143">
        <f>F64</f>
        <v>0</v>
      </c>
      <c r="V64" s="143">
        <f>U64+T64</f>
        <v>0</v>
      </c>
      <c r="W64" s="143">
        <f>H64</f>
        <v>1429312</v>
      </c>
      <c r="X64" s="143">
        <f>I64</f>
        <v>0</v>
      </c>
      <c r="Y64" s="143">
        <f>X64+W64</f>
        <v>1429312</v>
      </c>
      <c r="Z64" s="143">
        <f>K64</f>
        <v>2564904</v>
      </c>
      <c r="AA64" s="143">
        <f>L64</f>
        <v>0</v>
      </c>
      <c r="AB64" s="143">
        <f>AA64+Z64</f>
        <v>2564904</v>
      </c>
      <c r="AC64" s="144">
        <f>AB64+Y64+V64+S64</f>
        <v>4108477</v>
      </c>
      <c r="AD64" s="26">
        <f t="shared" si="42"/>
        <v>93.032706216240953</v>
      </c>
    </row>
    <row r="65" spans="1:30" ht="14.25" hidden="1" thickBot="1">
      <c r="A65" s="138">
        <v>42036</v>
      </c>
      <c r="B65" s="139">
        <v>85097</v>
      </c>
      <c r="C65" s="18">
        <v>0</v>
      </c>
      <c r="D65" s="18">
        <f t="shared" si="43"/>
        <v>85097</v>
      </c>
      <c r="E65" s="18">
        <v>0</v>
      </c>
      <c r="F65" s="18">
        <v>0</v>
      </c>
      <c r="G65" s="18">
        <f t="shared" si="1"/>
        <v>0</v>
      </c>
      <c r="H65" s="18">
        <v>3687481</v>
      </c>
      <c r="I65" s="18">
        <v>0</v>
      </c>
      <c r="J65" s="18">
        <f t="shared" si="2"/>
        <v>3687481</v>
      </c>
      <c r="K65" s="18">
        <v>4177740</v>
      </c>
      <c r="L65" s="18">
        <v>0</v>
      </c>
      <c r="M65" s="18">
        <f t="shared" si="3"/>
        <v>4177740</v>
      </c>
      <c r="N65" s="18">
        <f t="shared" si="4"/>
        <v>7950318</v>
      </c>
      <c r="O65" s="18">
        <f t="shared" si="4"/>
        <v>0</v>
      </c>
      <c r="P65" s="18">
        <f t="shared" si="5"/>
        <v>7950318</v>
      </c>
      <c r="Q65" s="139">
        <f>Q64+B65</f>
        <v>199358</v>
      </c>
      <c r="R65" s="18">
        <f>R64+C65</f>
        <v>0</v>
      </c>
      <c r="S65" s="18">
        <f t="shared" ref="S65:S75" si="53">R65+Q65</f>
        <v>199358</v>
      </c>
      <c r="T65" s="18">
        <f>T64+E65</f>
        <v>0</v>
      </c>
      <c r="U65" s="18">
        <f>U64+F65</f>
        <v>0</v>
      </c>
      <c r="V65" s="18">
        <f t="shared" ref="V65:V75" si="54">U65+T65</f>
        <v>0</v>
      </c>
      <c r="W65" s="18">
        <f>W64+H65</f>
        <v>5116793</v>
      </c>
      <c r="X65" s="18">
        <f>X64+I65</f>
        <v>0</v>
      </c>
      <c r="Y65" s="18">
        <f t="shared" ref="Y65:Y75" si="55">X65+W65</f>
        <v>5116793</v>
      </c>
      <c r="Z65" s="18">
        <f>Z64+K65</f>
        <v>6742644</v>
      </c>
      <c r="AA65" s="18">
        <f>AA64+L65</f>
        <v>0</v>
      </c>
      <c r="AB65" s="18">
        <f t="shared" ref="AB65:AB75" si="56">AA65+Z65</f>
        <v>6742644</v>
      </c>
      <c r="AC65" s="140">
        <f t="shared" ref="AC65:AC75" si="57">AB65+Y65+V65+S65</f>
        <v>12058795</v>
      </c>
      <c r="AD65" s="26">
        <f t="shared" si="42"/>
        <v>236.54619415333701</v>
      </c>
    </row>
    <row r="66" spans="1:30" ht="14.25" hidden="1" thickBot="1">
      <c r="A66" s="138">
        <v>42064</v>
      </c>
      <c r="B66" s="139">
        <v>86879</v>
      </c>
      <c r="C66" s="18">
        <v>0</v>
      </c>
      <c r="D66" s="18">
        <f t="shared" si="43"/>
        <v>86879</v>
      </c>
      <c r="E66" s="18">
        <v>0</v>
      </c>
      <c r="F66" s="18">
        <v>0</v>
      </c>
      <c r="G66" s="18">
        <f t="shared" si="1"/>
        <v>0</v>
      </c>
      <c r="H66" s="18">
        <v>4160077</v>
      </c>
      <c r="I66" s="18">
        <v>0</v>
      </c>
      <c r="J66" s="18">
        <f t="shared" si="2"/>
        <v>4160077</v>
      </c>
      <c r="K66" s="18">
        <v>3556464</v>
      </c>
      <c r="L66" s="18">
        <v>0</v>
      </c>
      <c r="M66" s="18">
        <f t="shared" si="3"/>
        <v>3556464</v>
      </c>
      <c r="N66" s="18">
        <f t="shared" si="4"/>
        <v>7803420</v>
      </c>
      <c r="O66" s="18">
        <f t="shared" si="4"/>
        <v>0</v>
      </c>
      <c r="P66" s="18">
        <f t="shared" si="5"/>
        <v>7803420</v>
      </c>
      <c r="Q66" s="139">
        <f t="shared" ref="Q66:R74" si="58">Q65+B66</f>
        <v>286237</v>
      </c>
      <c r="R66" s="18">
        <f t="shared" si="58"/>
        <v>0</v>
      </c>
      <c r="S66" s="18">
        <f t="shared" si="53"/>
        <v>286237</v>
      </c>
      <c r="T66" s="18">
        <f t="shared" ref="T66:U74" si="59">T65+E66</f>
        <v>0</v>
      </c>
      <c r="U66" s="18">
        <f t="shared" si="59"/>
        <v>0</v>
      </c>
      <c r="V66" s="18">
        <f t="shared" si="54"/>
        <v>0</v>
      </c>
      <c r="W66" s="18">
        <f t="shared" ref="W66:X74" si="60">W65+H66</f>
        <v>9276870</v>
      </c>
      <c r="X66" s="18">
        <f t="shared" si="60"/>
        <v>0</v>
      </c>
      <c r="Y66" s="18">
        <f t="shared" si="55"/>
        <v>9276870</v>
      </c>
      <c r="Z66" s="18">
        <f t="shared" ref="Z66:AA74" si="61">Z65+K66</f>
        <v>10299108</v>
      </c>
      <c r="AA66" s="18">
        <f t="shared" si="61"/>
        <v>0</v>
      </c>
      <c r="AB66" s="18">
        <f t="shared" si="56"/>
        <v>10299108</v>
      </c>
      <c r="AC66" s="140">
        <f t="shared" si="57"/>
        <v>19862215</v>
      </c>
      <c r="AD66" s="26">
        <f t="shared" si="42"/>
        <v>345.1039764410678</v>
      </c>
    </row>
    <row r="67" spans="1:30" ht="14.25" hidden="1" thickBot="1">
      <c r="A67" s="138">
        <v>42095</v>
      </c>
      <c r="B67" s="139">
        <v>288685</v>
      </c>
      <c r="C67" s="18">
        <v>0</v>
      </c>
      <c r="D67" s="18">
        <f t="shared" si="43"/>
        <v>288685</v>
      </c>
      <c r="E67" s="18">
        <v>0</v>
      </c>
      <c r="F67" s="18">
        <v>0</v>
      </c>
      <c r="G67" s="18">
        <f t="shared" si="1"/>
        <v>0</v>
      </c>
      <c r="H67" s="18">
        <v>4191579</v>
      </c>
      <c r="I67" s="18">
        <v>0</v>
      </c>
      <c r="J67" s="18">
        <f t="shared" si="2"/>
        <v>4191579</v>
      </c>
      <c r="K67" s="18">
        <v>3350984</v>
      </c>
      <c r="L67" s="18">
        <v>0</v>
      </c>
      <c r="M67" s="18">
        <f t="shared" si="3"/>
        <v>3350984</v>
      </c>
      <c r="N67" s="18">
        <f t="shared" si="4"/>
        <v>7831248</v>
      </c>
      <c r="O67" s="18">
        <f t="shared" si="4"/>
        <v>0</v>
      </c>
      <c r="P67" s="18">
        <f t="shared" si="5"/>
        <v>7831248</v>
      </c>
      <c r="Q67" s="139">
        <f t="shared" si="58"/>
        <v>574922</v>
      </c>
      <c r="R67" s="18">
        <f t="shared" si="58"/>
        <v>0</v>
      </c>
      <c r="S67" s="18">
        <f t="shared" si="53"/>
        <v>574922</v>
      </c>
      <c r="T67" s="18">
        <f t="shared" si="59"/>
        <v>0</v>
      </c>
      <c r="U67" s="18">
        <f t="shared" si="59"/>
        <v>0</v>
      </c>
      <c r="V67" s="18">
        <f t="shared" si="54"/>
        <v>0</v>
      </c>
      <c r="W67" s="18">
        <f t="shared" si="60"/>
        <v>13468449</v>
      </c>
      <c r="X67" s="18">
        <f t="shared" si="60"/>
        <v>0</v>
      </c>
      <c r="Y67" s="18">
        <f t="shared" si="55"/>
        <v>13468449</v>
      </c>
      <c r="Z67" s="18">
        <f t="shared" si="61"/>
        <v>13650092</v>
      </c>
      <c r="AA67" s="18">
        <f t="shared" si="61"/>
        <v>0</v>
      </c>
      <c r="AB67" s="18">
        <f t="shared" si="56"/>
        <v>13650092</v>
      </c>
      <c r="AC67" s="140">
        <f t="shared" si="57"/>
        <v>27693463</v>
      </c>
      <c r="AD67" s="26">
        <f t="shared" si="42"/>
        <v>476.21843497441023</v>
      </c>
    </row>
    <row r="68" spans="1:30" ht="14.25" hidden="1" thickBot="1">
      <c r="A68" s="138">
        <v>42125</v>
      </c>
      <c r="B68" s="139">
        <v>114018</v>
      </c>
      <c r="C68" s="18">
        <v>0</v>
      </c>
      <c r="D68" s="18">
        <f t="shared" si="43"/>
        <v>114018</v>
      </c>
      <c r="E68" s="18">
        <v>0</v>
      </c>
      <c r="F68" s="18">
        <v>0</v>
      </c>
      <c r="G68" s="18">
        <f t="shared" si="1"/>
        <v>0</v>
      </c>
      <c r="H68" s="18">
        <v>5878244</v>
      </c>
      <c r="I68" s="18">
        <v>0</v>
      </c>
      <c r="J68" s="18">
        <f t="shared" si="2"/>
        <v>5878244</v>
      </c>
      <c r="K68" s="18">
        <v>3348786</v>
      </c>
      <c r="L68" s="18">
        <v>0</v>
      </c>
      <c r="M68" s="18">
        <f t="shared" si="3"/>
        <v>3348786</v>
      </c>
      <c r="N68" s="18">
        <f t="shared" si="4"/>
        <v>9341048</v>
      </c>
      <c r="O68" s="18">
        <f t="shared" si="4"/>
        <v>0</v>
      </c>
      <c r="P68" s="18">
        <f t="shared" si="5"/>
        <v>9341048</v>
      </c>
      <c r="Q68" s="139">
        <f t="shared" si="58"/>
        <v>688940</v>
      </c>
      <c r="R68" s="18">
        <f t="shared" si="58"/>
        <v>0</v>
      </c>
      <c r="S68" s="18">
        <f t="shared" si="53"/>
        <v>688940</v>
      </c>
      <c r="T68" s="18">
        <f t="shared" si="59"/>
        <v>0</v>
      </c>
      <c r="U68" s="18">
        <f t="shared" si="59"/>
        <v>0</v>
      </c>
      <c r="V68" s="18">
        <f t="shared" si="54"/>
        <v>0</v>
      </c>
      <c r="W68" s="18">
        <f t="shared" si="60"/>
        <v>19346693</v>
      </c>
      <c r="X68" s="18">
        <f t="shared" si="60"/>
        <v>0</v>
      </c>
      <c r="Y68" s="18">
        <f t="shared" si="55"/>
        <v>19346693</v>
      </c>
      <c r="Z68" s="18">
        <f t="shared" si="61"/>
        <v>16998878</v>
      </c>
      <c r="AA68" s="18">
        <f t="shared" si="61"/>
        <v>0</v>
      </c>
      <c r="AB68" s="18">
        <f t="shared" si="56"/>
        <v>16998878</v>
      </c>
      <c r="AC68" s="140">
        <f t="shared" si="57"/>
        <v>37034511</v>
      </c>
      <c r="AD68" s="26">
        <f t="shared" si="42"/>
        <v>637.1849528700177</v>
      </c>
    </row>
    <row r="69" spans="1:30" ht="14.25" hidden="1" thickBot="1">
      <c r="A69" s="138">
        <v>42156</v>
      </c>
      <c r="B69" s="139">
        <v>282587</v>
      </c>
      <c r="C69" s="18">
        <v>0</v>
      </c>
      <c r="D69" s="18">
        <f t="shared" si="43"/>
        <v>282587</v>
      </c>
      <c r="E69" s="18">
        <v>0</v>
      </c>
      <c r="F69" s="18">
        <v>0</v>
      </c>
      <c r="G69" s="18">
        <f t="shared" ref="G69:G87" si="62">SUM(E69:F69)</f>
        <v>0</v>
      </c>
      <c r="H69" s="18">
        <v>6077815</v>
      </c>
      <c r="I69" s="18">
        <v>1723816</v>
      </c>
      <c r="J69" s="18">
        <f t="shared" ref="J69:J132" si="63">SUM(H69:I69)</f>
        <v>7801631</v>
      </c>
      <c r="K69" s="18">
        <v>2808818</v>
      </c>
      <c r="L69" s="18">
        <v>1613513</v>
      </c>
      <c r="M69" s="18">
        <f t="shared" ref="M69:M132" si="64">SUM(K69:L69)</f>
        <v>4422331</v>
      </c>
      <c r="N69" s="18">
        <f t="shared" ref="N69:O115" si="65">B69+E69+H69+K69</f>
        <v>9169220</v>
      </c>
      <c r="O69" s="18">
        <f t="shared" si="65"/>
        <v>3337329</v>
      </c>
      <c r="P69" s="18">
        <f t="shared" ref="P69:P132" si="66">N69+O69</f>
        <v>12506549</v>
      </c>
      <c r="Q69" s="139">
        <f t="shared" si="58"/>
        <v>971527</v>
      </c>
      <c r="R69" s="18">
        <f t="shared" si="58"/>
        <v>0</v>
      </c>
      <c r="S69" s="18">
        <f t="shared" si="53"/>
        <v>971527</v>
      </c>
      <c r="T69" s="18">
        <f t="shared" si="59"/>
        <v>0</v>
      </c>
      <c r="U69" s="18">
        <f t="shared" si="59"/>
        <v>0</v>
      </c>
      <c r="V69" s="18">
        <f t="shared" si="54"/>
        <v>0</v>
      </c>
      <c r="W69" s="18">
        <f t="shared" si="60"/>
        <v>25424508</v>
      </c>
      <c r="X69" s="18">
        <f t="shared" si="60"/>
        <v>1723816</v>
      </c>
      <c r="Y69" s="18">
        <f t="shared" si="55"/>
        <v>27148324</v>
      </c>
      <c r="Z69" s="18">
        <f t="shared" si="61"/>
        <v>19807696</v>
      </c>
      <c r="AA69" s="18">
        <f t="shared" si="61"/>
        <v>1613513</v>
      </c>
      <c r="AB69" s="18">
        <f t="shared" si="56"/>
        <v>21421209</v>
      </c>
      <c r="AC69" s="140">
        <f t="shared" si="57"/>
        <v>49541060</v>
      </c>
      <c r="AD69" s="26">
        <f t="shared" si="42"/>
        <v>852.69991900880564</v>
      </c>
    </row>
    <row r="70" spans="1:30" ht="14.25" hidden="1" thickBot="1">
      <c r="A70" s="138">
        <v>42186</v>
      </c>
      <c r="B70" s="139">
        <v>347991</v>
      </c>
      <c r="C70" s="18">
        <v>0</v>
      </c>
      <c r="D70" s="18">
        <f t="shared" si="43"/>
        <v>347991</v>
      </c>
      <c r="E70" s="18">
        <v>0</v>
      </c>
      <c r="F70" s="18">
        <v>0</v>
      </c>
      <c r="G70" s="18">
        <f t="shared" si="62"/>
        <v>0</v>
      </c>
      <c r="H70" s="18">
        <v>6003478</v>
      </c>
      <c r="I70" s="18">
        <v>1779411</v>
      </c>
      <c r="J70" s="18">
        <f t="shared" si="63"/>
        <v>7782889</v>
      </c>
      <c r="K70" s="18">
        <v>3208297</v>
      </c>
      <c r="L70" s="18">
        <v>1682699</v>
      </c>
      <c r="M70" s="18">
        <f t="shared" si="64"/>
        <v>4890996</v>
      </c>
      <c r="N70" s="18">
        <f t="shared" si="65"/>
        <v>9559766</v>
      </c>
      <c r="O70" s="18">
        <f t="shared" si="65"/>
        <v>3462110</v>
      </c>
      <c r="P70" s="18">
        <f t="shared" si="66"/>
        <v>13021876</v>
      </c>
      <c r="Q70" s="139">
        <f t="shared" si="58"/>
        <v>1319518</v>
      </c>
      <c r="R70" s="18">
        <f t="shared" si="58"/>
        <v>0</v>
      </c>
      <c r="S70" s="18">
        <f t="shared" si="53"/>
        <v>1319518</v>
      </c>
      <c r="T70" s="18">
        <f t="shared" si="59"/>
        <v>0</v>
      </c>
      <c r="U70" s="18">
        <f t="shared" si="59"/>
        <v>0</v>
      </c>
      <c r="V70" s="18">
        <f t="shared" si="54"/>
        <v>0</v>
      </c>
      <c r="W70" s="18">
        <f t="shared" si="60"/>
        <v>31427986</v>
      </c>
      <c r="X70" s="18">
        <f t="shared" si="60"/>
        <v>3503227</v>
      </c>
      <c r="Y70" s="18">
        <f t="shared" si="55"/>
        <v>34931213</v>
      </c>
      <c r="Z70" s="18">
        <f t="shared" si="61"/>
        <v>23015993</v>
      </c>
      <c r="AA70" s="18">
        <f t="shared" si="61"/>
        <v>3296212</v>
      </c>
      <c r="AB70" s="18">
        <f t="shared" si="56"/>
        <v>26312205</v>
      </c>
      <c r="AC70" s="140">
        <f t="shared" si="57"/>
        <v>62562936</v>
      </c>
      <c r="AD70" s="26">
        <f t="shared" si="42"/>
        <v>1005.0452506150804</v>
      </c>
    </row>
    <row r="71" spans="1:30" ht="14.25" hidden="1" thickBot="1">
      <c r="A71" s="138">
        <v>42217</v>
      </c>
      <c r="B71" s="139">
        <v>327294</v>
      </c>
      <c r="C71" s="18">
        <v>0</v>
      </c>
      <c r="D71" s="18">
        <f t="shared" si="43"/>
        <v>327294</v>
      </c>
      <c r="E71" s="18">
        <v>0</v>
      </c>
      <c r="F71" s="18">
        <v>0</v>
      </c>
      <c r="G71" s="18">
        <f t="shared" si="62"/>
        <v>0</v>
      </c>
      <c r="H71" s="18">
        <v>6218267</v>
      </c>
      <c r="I71" s="18">
        <v>1925457</v>
      </c>
      <c r="J71" s="18">
        <f t="shared" si="63"/>
        <v>8143724</v>
      </c>
      <c r="K71" s="18">
        <v>3516393</v>
      </c>
      <c r="L71" s="18">
        <v>1825794</v>
      </c>
      <c r="M71" s="18">
        <f t="shared" si="64"/>
        <v>5342187</v>
      </c>
      <c r="N71" s="18">
        <f t="shared" si="65"/>
        <v>10061954</v>
      </c>
      <c r="O71" s="18">
        <f t="shared" si="65"/>
        <v>3751251</v>
      </c>
      <c r="P71" s="18">
        <f t="shared" si="66"/>
        <v>13813205</v>
      </c>
      <c r="Q71" s="139">
        <f t="shared" si="58"/>
        <v>1646812</v>
      </c>
      <c r="R71" s="18">
        <f t="shared" si="58"/>
        <v>0</v>
      </c>
      <c r="S71" s="18">
        <f t="shared" si="53"/>
        <v>1646812</v>
      </c>
      <c r="T71" s="18">
        <f t="shared" si="59"/>
        <v>0</v>
      </c>
      <c r="U71" s="18">
        <f t="shared" si="59"/>
        <v>0</v>
      </c>
      <c r="V71" s="18">
        <f t="shared" si="54"/>
        <v>0</v>
      </c>
      <c r="W71" s="18">
        <f t="shared" si="60"/>
        <v>37646253</v>
      </c>
      <c r="X71" s="18">
        <f t="shared" si="60"/>
        <v>5428684</v>
      </c>
      <c r="Y71" s="18">
        <f t="shared" si="55"/>
        <v>43074937</v>
      </c>
      <c r="Z71" s="18">
        <f t="shared" si="61"/>
        <v>26532386</v>
      </c>
      <c r="AA71" s="18">
        <f t="shared" si="61"/>
        <v>5122006</v>
      </c>
      <c r="AB71" s="18">
        <f t="shared" si="56"/>
        <v>31654392</v>
      </c>
      <c r="AC71" s="140">
        <f t="shared" si="57"/>
        <v>76376141</v>
      </c>
      <c r="AD71" s="26">
        <f t="shared" si="42"/>
        <v>20.488420059910649</v>
      </c>
    </row>
    <row r="72" spans="1:30" ht="14.25" hidden="1" thickBot="1">
      <c r="A72" s="138">
        <v>42248</v>
      </c>
      <c r="B72" s="139">
        <v>0</v>
      </c>
      <c r="C72" s="18">
        <v>0</v>
      </c>
      <c r="D72" s="18">
        <f t="shared" si="43"/>
        <v>0</v>
      </c>
      <c r="E72" s="18">
        <v>0</v>
      </c>
      <c r="F72" s="18">
        <v>0</v>
      </c>
      <c r="G72" s="18">
        <f t="shared" si="62"/>
        <v>0</v>
      </c>
      <c r="H72" s="18">
        <v>5753012</v>
      </c>
      <c r="I72" s="18">
        <v>1936997</v>
      </c>
      <c r="J72" s="18">
        <f t="shared" si="63"/>
        <v>7690009</v>
      </c>
      <c r="K72" s="18">
        <v>2922363</v>
      </c>
      <c r="L72" s="18">
        <v>1726254</v>
      </c>
      <c r="M72" s="18">
        <f t="shared" si="64"/>
        <v>4648617</v>
      </c>
      <c r="N72" s="18">
        <f t="shared" si="65"/>
        <v>8675375</v>
      </c>
      <c r="O72" s="18">
        <f t="shared" si="65"/>
        <v>3663251</v>
      </c>
      <c r="P72" s="18">
        <f t="shared" si="66"/>
        <v>12338626</v>
      </c>
      <c r="Q72" s="139">
        <f t="shared" si="58"/>
        <v>1646812</v>
      </c>
      <c r="R72" s="18">
        <f t="shared" si="58"/>
        <v>0</v>
      </c>
      <c r="S72" s="18">
        <f t="shared" si="53"/>
        <v>1646812</v>
      </c>
      <c r="T72" s="18">
        <f t="shared" si="59"/>
        <v>0</v>
      </c>
      <c r="U72" s="18">
        <f t="shared" si="59"/>
        <v>0</v>
      </c>
      <c r="V72" s="18">
        <f t="shared" si="54"/>
        <v>0</v>
      </c>
      <c r="W72" s="18">
        <f t="shared" si="60"/>
        <v>43399265</v>
      </c>
      <c r="X72" s="18">
        <f t="shared" si="60"/>
        <v>7365681</v>
      </c>
      <c r="Y72" s="18">
        <f t="shared" si="55"/>
        <v>50764946</v>
      </c>
      <c r="Z72" s="18">
        <f t="shared" si="61"/>
        <v>29454749</v>
      </c>
      <c r="AA72" s="18">
        <f t="shared" si="61"/>
        <v>6848260</v>
      </c>
      <c r="AB72" s="18">
        <f t="shared" si="56"/>
        <v>36303009</v>
      </c>
      <c r="AC72" s="140">
        <f t="shared" si="57"/>
        <v>88714767</v>
      </c>
      <c r="AD72" s="26">
        <f t="shared" si="42"/>
        <v>6.9853251993186154</v>
      </c>
    </row>
    <row r="73" spans="1:30" ht="14.25" hidden="1" thickBot="1">
      <c r="A73" s="138">
        <v>42278</v>
      </c>
      <c r="B73" s="139">
        <v>229173</v>
      </c>
      <c r="C73" s="18">
        <v>0</v>
      </c>
      <c r="D73" s="18">
        <f t="shared" si="43"/>
        <v>229173</v>
      </c>
      <c r="E73" s="18">
        <v>0</v>
      </c>
      <c r="F73" s="18">
        <v>0</v>
      </c>
      <c r="G73" s="18">
        <f t="shared" si="62"/>
        <v>0</v>
      </c>
      <c r="H73" s="18">
        <v>5385020</v>
      </c>
      <c r="I73" s="18">
        <v>1347687</v>
      </c>
      <c r="J73" s="18">
        <f t="shared" si="63"/>
        <v>6732707</v>
      </c>
      <c r="K73" s="18">
        <v>3671018</v>
      </c>
      <c r="L73" s="18">
        <v>1405102</v>
      </c>
      <c r="M73" s="18">
        <f t="shared" si="64"/>
        <v>5076120</v>
      </c>
      <c r="N73" s="18">
        <f t="shared" si="65"/>
        <v>9285211</v>
      </c>
      <c r="O73" s="18">
        <f t="shared" si="65"/>
        <v>2752789</v>
      </c>
      <c r="P73" s="18">
        <f t="shared" si="66"/>
        <v>12038000</v>
      </c>
      <c r="Q73" s="139">
        <f t="shared" si="58"/>
        <v>1875985</v>
      </c>
      <c r="R73" s="18">
        <f t="shared" si="58"/>
        <v>0</v>
      </c>
      <c r="S73" s="18">
        <f t="shared" si="53"/>
        <v>1875985</v>
      </c>
      <c r="T73" s="18">
        <f t="shared" si="59"/>
        <v>0</v>
      </c>
      <c r="U73" s="18">
        <f t="shared" si="59"/>
        <v>0</v>
      </c>
      <c r="V73" s="18">
        <f t="shared" si="54"/>
        <v>0</v>
      </c>
      <c r="W73" s="18">
        <f t="shared" si="60"/>
        <v>48784285</v>
      </c>
      <c r="X73" s="18">
        <f t="shared" si="60"/>
        <v>8713368</v>
      </c>
      <c r="Y73" s="18">
        <f t="shared" si="55"/>
        <v>57497653</v>
      </c>
      <c r="Z73" s="18">
        <f t="shared" si="61"/>
        <v>33125767</v>
      </c>
      <c r="AA73" s="18">
        <f t="shared" si="61"/>
        <v>8253362</v>
      </c>
      <c r="AB73" s="18">
        <f t="shared" si="56"/>
        <v>41379129</v>
      </c>
      <c r="AC73" s="140">
        <f t="shared" si="57"/>
        <v>100752767</v>
      </c>
      <c r="AD73" s="26">
        <f t="shared" si="42"/>
        <v>4.5488277094732323</v>
      </c>
    </row>
    <row r="74" spans="1:30" ht="14.25" hidden="1" thickBot="1">
      <c r="A74" s="138">
        <v>42309</v>
      </c>
      <c r="B74" s="139">
        <v>144675</v>
      </c>
      <c r="C74" s="18">
        <v>0</v>
      </c>
      <c r="D74" s="18">
        <f t="shared" si="43"/>
        <v>144675</v>
      </c>
      <c r="E74" s="18">
        <v>0</v>
      </c>
      <c r="F74" s="18">
        <v>0</v>
      </c>
      <c r="G74" s="18">
        <f t="shared" si="62"/>
        <v>0</v>
      </c>
      <c r="H74" s="18">
        <v>5690045</v>
      </c>
      <c r="I74" s="18">
        <v>1444698</v>
      </c>
      <c r="J74" s="18">
        <f t="shared" si="63"/>
        <v>7134743</v>
      </c>
      <c r="K74" s="18">
        <v>3459432</v>
      </c>
      <c r="L74" s="18">
        <v>1607019</v>
      </c>
      <c r="M74" s="18">
        <f t="shared" si="64"/>
        <v>5066451</v>
      </c>
      <c r="N74" s="18">
        <f t="shared" si="65"/>
        <v>9294152</v>
      </c>
      <c r="O74" s="18">
        <f t="shared" si="65"/>
        <v>3051717</v>
      </c>
      <c r="P74" s="18">
        <f t="shared" si="66"/>
        <v>12345869</v>
      </c>
      <c r="Q74" s="139">
        <f t="shared" si="58"/>
        <v>2020660</v>
      </c>
      <c r="R74" s="18">
        <f t="shared" si="58"/>
        <v>0</v>
      </c>
      <c r="S74" s="18">
        <f t="shared" si="53"/>
        <v>2020660</v>
      </c>
      <c r="T74" s="18">
        <f t="shared" si="59"/>
        <v>0</v>
      </c>
      <c r="U74" s="18">
        <f t="shared" si="59"/>
        <v>0</v>
      </c>
      <c r="V74" s="18">
        <f t="shared" si="54"/>
        <v>0</v>
      </c>
      <c r="W74" s="18">
        <f t="shared" si="60"/>
        <v>54474330</v>
      </c>
      <c r="X74" s="18">
        <f t="shared" si="60"/>
        <v>10158066</v>
      </c>
      <c r="Y74" s="18">
        <f t="shared" si="55"/>
        <v>64632396</v>
      </c>
      <c r="Z74" s="18">
        <f t="shared" si="61"/>
        <v>36585199</v>
      </c>
      <c r="AA74" s="18">
        <f t="shared" si="61"/>
        <v>9860381</v>
      </c>
      <c r="AB74" s="18">
        <f t="shared" si="56"/>
        <v>46445580</v>
      </c>
      <c r="AC74" s="140">
        <f t="shared" si="57"/>
        <v>113098636</v>
      </c>
      <c r="AD74" s="26">
        <f t="shared" si="42"/>
        <v>3.6195579082863327</v>
      </c>
    </row>
    <row r="75" spans="1:30" ht="14.25" hidden="1" thickBot="1">
      <c r="A75" s="138">
        <v>42339</v>
      </c>
      <c r="B75" s="139">
        <v>160436</v>
      </c>
      <c r="C75" s="18">
        <v>0</v>
      </c>
      <c r="D75" s="18">
        <f t="shared" si="43"/>
        <v>160436</v>
      </c>
      <c r="E75" s="18">
        <v>0</v>
      </c>
      <c r="F75" s="18">
        <v>0</v>
      </c>
      <c r="G75" s="18">
        <f t="shared" si="62"/>
        <v>0</v>
      </c>
      <c r="H75" s="18">
        <v>15980402</v>
      </c>
      <c r="I75" s="18">
        <v>877468</v>
      </c>
      <c r="J75" s="18">
        <f t="shared" si="63"/>
        <v>16857870</v>
      </c>
      <c r="K75" s="18">
        <v>7988270</v>
      </c>
      <c r="L75" s="18">
        <v>3935029</v>
      </c>
      <c r="M75" s="18">
        <f t="shared" si="64"/>
        <v>11923299</v>
      </c>
      <c r="N75" s="18">
        <f t="shared" si="65"/>
        <v>24129108</v>
      </c>
      <c r="O75" s="18">
        <f t="shared" si="65"/>
        <v>4812497</v>
      </c>
      <c r="P75" s="18">
        <f t="shared" si="66"/>
        <v>28941605</v>
      </c>
      <c r="Q75" s="139">
        <f>Q74+B75</f>
        <v>2181096</v>
      </c>
      <c r="R75" s="18">
        <f>R74+C75</f>
        <v>0</v>
      </c>
      <c r="S75" s="18">
        <f t="shared" si="53"/>
        <v>2181096</v>
      </c>
      <c r="T75" s="18">
        <f>T74+E75</f>
        <v>0</v>
      </c>
      <c r="U75" s="18">
        <f>U74+F75</f>
        <v>0</v>
      </c>
      <c r="V75" s="18">
        <f t="shared" si="54"/>
        <v>0</v>
      </c>
      <c r="W75" s="18">
        <f>W74+H75</f>
        <v>70454732</v>
      </c>
      <c r="X75" s="18">
        <f>X74+I75</f>
        <v>11035534</v>
      </c>
      <c r="Y75" s="18">
        <f t="shared" si="55"/>
        <v>81490266</v>
      </c>
      <c r="Z75" s="18">
        <f>Z74+K75</f>
        <v>44573469</v>
      </c>
      <c r="AA75" s="18">
        <f>AA74+L75</f>
        <v>13795410</v>
      </c>
      <c r="AB75" s="18">
        <f t="shared" si="56"/>
        <v>58368879</v>
      </c>
      <c r="AC75" s="140">
        <f t="shared" si="57"/>
        <v>142040241</v>
      </c>
      <c r="AD75" s="26">
        <f t="shared" si="42"/>
        <v>3.2596094079149971</v>
      </c>
    </row>
    <row r="76" spans="1:30">
      <c r="A76" s="141">
        <v>42370</v>
      </c>
      <c r="B76" s="142">
        <v>285432</v>
      </c>
      <c r="C76" s="143">
        <v>0</v>
      </c>
      <c r="D76" s="143">
        <f t="shared" si="43"/>
        <v>285432</v>
      </c>
      <c r="E76" s="143">
        <v>0</v>
      </c>
      <c r="F76" s="143">
        <v>0</v>
      </c>
      <c r="G76" s="143">
        <f t="shared" si="62"/>
        <v>0</v>
      </c>
      <c r="H76" s="143">
        <v>1289142</v>
      </c>
      <c r="I76" s="143">
        <v>0</v>
      </c>
      <c r="J76" s="143">
        <f t="shared" si="63"/>
        <v>1289142</v>
      </c>
      <c r="K76" s="143">
        <v>161044</v>
      </c>
      <c r="L76" s="143">
        <v>0</v>
      </c>
      <c r="M76" s="143">
        <f t="shared" si="64"/>
        <v>161044</v>
      </c>
      <c r="N76" s="143">
        <f t="shared" si="65"/>
        <v>1735618</v>
      </c>
      <c r="O76" s="143">
        <f t="shared" si="65"/>
        <v>0</v>
      </c>
      <c r="P76" s="143">
        <f t="shared" si="66"/>
        <v>1735618</v>
      </c>
      <c r="Q76" s="142">
        <f>B76</f>
        <v>285432</v>
      </c>
      <c r="R76" s="143">
        <f>C76</f>
        <v>0</v>
      </c>
      <c r="S76" s="143">
        <f>R76+Q76</f>
        <v>285432</v>
      </c>
      <c r="T76" s="143">
        <f>E76</f>
        <v>0</v>
      </c>
      <c r="U76" s="143">
        <f>F76</f>
        <v>0</v>
      </c>
      <c r="V76" s="143">
        <f>U76+T76</f>
        <v>0</v>
      </c>
      <c r="W76" s="143">
        <f>H76</f>
        <v>1289142</v>
      </c>
      <c r="X76" s="143">
        <f>I76</f>
        <v>0</v>
      </c>
      <c r="Y76" s="143">
        <f>X76+W76</f>
        <v>1289142</v>
      </c>
      <c r="Z76" s="143">
        <f>K76</f>
        <v>161044</v>
      </c>
      <c r="AA76" s="143">
        <f>L76</f>
        <v>0</v>
      </c>
      <c r="AB76" s="143">
        <f>AA76+Z76</f>
        <v>161044</v>
      </c>
      <c r="AC76" s="144">
        <f>AB76+Y76+V76+S76</f>
        <v>1735618</v>
      </c>
      <c r="AD76" s="26">
        <f t="shared" si="42"/>
        <v>-0.57755197363889343</v>
      </c>
    </row>
    <row r="77" spans="1:30">
      <c r="A77" s="138">
        <v>42401</v>
      </c>
      <c r="B77" s="139">
        <v>271521</v>
      </c>
      <c r="C77" s="18">
        <v>0</v>
      </c>
      <c r="D77" s="18">
        <f t="shared" si="43"/>
        <v>271521</v>
      </c>
      <c r="E77" s="18">
        <v>0</v>
      </c>
      <c r="F77" s="18">
        <v>0</v>
      </c>
      <c r="G77" s="18">
        <f t="shared" si="62"/>
        <v>0</v>
      </c>
      <c r="H77" s="18">
        <v>7718902</v>
      </c>
      <c r="I77" s="18">
        <v>0</v>
      </c>
      <c r="J77" s="18">
        <f t="shared" si="63"/>
        <v>7718902</v>
      </c>
      <c r="K77" s="18">
        <v>4850138</v>
      </c>
      <c r="L77" s="18">
        <v>1628506</v>
      </c>
      <c r="M77" s="18">
        <f t="shared" si="64"/>
        <v>6478644</v>
      </c>
      <c r="N77" s="18">
        <f t="shared" si="65"/>
        <v>12840561</v>
      </c>
      <c r="O77" s="18">
        <f t="shared" si="65"/>
        <v>1628506</v>
      </c>
      <c r="P77" s="18">
        <f t="shared" si="66"/>
        <v>14469067</v>
      </c>
      <c r="Q77" s="139">
        <f>Q76+B77</f>
        <v>556953</v>
      </c>
      <c r="R77" s="18">
        <f>R76+C77</f>
        <v>0</v>
      </c>
      <c r="S77" s="18">
        <f t="shared" ref="S77:S87" si="67">R77+Q77</f>
        <v>556953</v>
      </c>
      <c r="T77" s="18">
        <f>T76+E77</f>
        <v>0</v>
      </c>
      <c r="U77" s="18">
        <f>U76+F77</f>
        <v>0</v>
      </c>
      <c r="V77" s="18">
        <f t="shared" ref="V77:V87" si="68">U77+T77</f>
        <v>0</v>
      </c>
      <c r="W77" s="18">
        <f>W76+H77</f>
        <v>9008044</v>
      </c>
      <c r="X77" s="18">
        <f>X76+I77</f>
        <v>0</v>
      </c>
      <c r="Y77" s="18">
        <f t="shared" ref="Y77:Y87" si="69">X77+W77</f>
        <v>9008044</v>
      </c>
      <c r="Z77" s="18">
        <f>Z76+K77</f>
        <v>5011182</v>
      </c>
      <c r="AA77" s="18">
        <f>AA76+L77</f>
        <v>1628506</v>
      </c>
      <c r="AB77" s="18">
        <f t="shared" ref="AB77:AB87" si="70">AA77+Z77</f>
        <v>6639688</v>
      </c>
      <c r="AC77" s="140">
        <f t="shared" ref="AC77:AC87" si="71">AB77+Y77+V77+S77</f>
        <v>16204685</v>
      </c>
      <c r="AD77" s="26">
        <f t="shared" si="42"/>
        <v>0.34380632559057522</v>
      </c>
    </row>
    <row r="78" spans="1:30">
      <c r="A78" s="138">
        <v>42430</v>
      </c>
      <c r="B78" s="139">
        <v>446422</v>
      </c>
      <c r="C78" s="18">
        <v>0</v>
      </c>
      <c r="D78" s="18">
        <f t="shared" si="43"/>
        <v>446422</v>
      </c>
      <c r="E78" s="18">
        <v>0</v>
      </c>
      <c r="F78" s="18">
        <v>0</v>
      </c>
      <c r="G78" s="18">
        <f t="shared" si="62"/>
        <v>0</v>
      </c>
      <c r="H78" s="18">
        <v>9268999</v>
      </c>
      <c r="I78" s="18">
        <v>0</v>
      </c>
      <c r="J78" s="18">
        <f t="shared" si="63"/>
        <v>9268999</v>
      </c>
      <c r="K78" s="18">
        <v>4603290</v>
      </c>
      <c r="L78" s="18">
        <v>1461464</v>
      </c>
      <c r="M78" s="18">
        <f t="shared" si="64"/>
        <v>6064754</v>
      </c>
      <c r="N78" s="18">
        <f t="shared" si="65"/>
        <v>14318711</v>
      </c>
      <c r="O78" s="18">
        <f t="shared" si="65"/>
        <v>1461464</v>
      </c>
      <c r="P78" s="18">
        <f t="shared" si="66"/>
        <v>15780175</v>
      </c>
      <c r="Q78" s="139">
        <f t="shared" ref="Q78:R86" si="72">Q77+B78</f>
        <v>1003375</v>
      </c>
      <c r="R78" s="18">
        <f t="shared" si="72"/>
        <v>0</v>
      </c>
      <c r="S78" s="18">
        <f t="shared" si="67"/>
        <v>1003375</v>
      </c>
      <c r="T78" s="18">
        <f t="shared" ref="T78:U86" si="73">T77+E78</f>
        <v>0</v>
      </c>
      <c r="U78" s="18">
        <f t="shared" si="73"/>
        <v>0</v>
      </c>
      <c r="V78" s="18">
        <f t="shared" si="68"/>
        <v>0</v>
      </c>
      <c r="W78" s="18">
        <f t="shared" ref="W78:X86" si="74">W77+H78</f>
        <v>18277043</v>
      </c>
      <c r="X78" s="18">
        <f t="shared" si="74"/>
        <v>0</v>
      </c>
      <c r="Y78" s="18">
        <f t="shared" si="69"/>
        <v>18277043</v>
      </c>
      <c r="Z78" s="18">
        <f t="shared" ref="Z78:AA86" si="75">Z77+K78</f>
        <v>9614472</v>
      </c>
      <c r="AA78" s="18">
        <f t="shared" si="75"/>
        <v>3089970</v>
      </c>
      <c r="AB78" s="18">
        <f t="shared" si="70"/>
        <v>12704442</v>
      </c>
      <c r="AC78" s="140">
        <f t="shared" si="71"/>
        <v>31984860</v>
      </c>
      <c r="AD78" s="26">
        <f t="shared" si="42"/>
        <v>0.61033701427559817</v>
      </c>
    </row>
    <row r="79" spans="1:30">
      <c r="A79" s="138">
        <v>42461</v>
      </c>
      <c r="B79" s="139">
        <v>377236</v>
      </c>
      <c r="C79" s="18">
        <v>0</v>
      </c>
      <c r="D79" s="18">
        <f t="shared" si="43"/>
        <v>377236</v>
      </c>
      <c r="E79" s="18">
        <v>0</v>
      </c>
      <c r="F79" s="18">
        <v>0</v>
      </c>
      <c r="G79" s="18">
        <f t="shared" si="62"/>
        <v>0</v>
      </c>
      <c r="H79" s="18">
        <v>8994368</v>
      </c>
      <c r="I79" s="18">
        <v>0</v>
      </c>
      <c r="J79" s="18">
        <f t="shared" si="63"/>
        <v>8994368</v>
      </c>
      <c r="K79" s="18">
        <v>5675117</v>
      </c>
      <c r="L79" s="18">
        <v>1652175</v>
      </c>
      <c r="M79" s="18">
        <f t="shared" si="64"/>
        <v>7327292</v>
      </c>
      <c r="N79" s="18">
        <f t="shared" si="65"/>
        <v>15046721</v>
      </c>
      <c r="O79" s="18">
        <f t="shared" si="65"/>
        <v>1652175</v>
      </c>
      <c r="P79" s="18">
        <f t="shared" si="66"/>
        <v>16698896</v>
      </c>
      <c r="Q79" s="139">
        <f t="shared" si="72"/>
        <v>1380611</v>
      </c>
      <c r="R79" s="18">
        <f t="shared" si="72"/>
        <v>0</v>
      </c>
      <c r="S79" s="18">
        <f t="shared" si="67"/>
        <v>1380611</v>
      </c>
      <c r="T79" s="18">
        <f t="shared" si="73"/>
        <v>0</v>
      </c>
      <c r="U79" s="18">
        <f t="shared" si="73"/>
        <v>0</v>
      </c>
      <c r="V79" s="18">
        <f t="shared" si="68"/>
        <v>0</v>
      </c>
      <c r="W79" s="18">
        <f t="shared" si="74"/>
        <v>27271411</v>
      </c>
      <c r="X79" s="18">
        <f t="shared" si="74"/>
        <v>0</v>
      </c>
      <c r="Y79" s="18">
        <f t="shared" si="69"/>
        <v>27271411</v>
      </c>
      <c r="Z79" s="18">
        <f t="shared" si="75"/>
        <v>15289589</v>
      </c>
      <c r="AA79" s="18">
        <f t="shared" si="75"/>
        <v>4742145</v>
      </c>
      <c r="AB79" s="18">
        <f t="shared" si="70"/>
        <v>20031734</v>
      </c>
      <c r="AC79" s="140">
        <f t="shared" si="71"/>
        <v>48683756</v>
      </c>
      <c r="AD79" s="26">
        <f t="shared" si="42"/>
        <v>0.75795118147557061</v>
      </c>
    </row>
    <row r="80" spans="1:30">
      <c r="A80" s="138">
        <v>42491</v>
      </c>
      <c r="B80" s="139">
        <v>395852</v>
      </c>
      <c r="C80" s="18">
        <v>0</v>
      </c>
      <c r="D80" s="18">
        <f t="shared" si="43"/>
        <v>395852</v>
      </c>
      <c r="E80" s="18">
        <v>0</v>
      </c>
      <c r="F80" s="18">
        <v>0</v>
      </c>
      <c r="G80" s="18">
        <f t="shared" si="62"/>
        <v>0</v>
      </c>
      <c r="H80" s="18">
        <v>8584190</v>
      </c>
      <c r="I80" s="18">
        <v>0</v>
      </c>
      <c r="J80" s="18">
        <f t="shared" si="63"/>
        <v>8584190</v>
      </c>
      <c r="K80" s="18">
        <v>5254371</v>
      </c>
      <c r="L80" s="18">
        <v>1773274</v>
      </c>
      <c r="M80" s="18">
        <f t="shared" si="64"/>
        <v>7027645</v>
      </c>
      <c r="N80" s="18">
        <f t="shared" si="65"/>
        <v>14234413</v>
      </c>
      <c r="O80" s="18">
        <f t="shared" si="65"/>
        <v>1773274</v>
      </c>
      <c r="P80" s="18">
        <f t="shared" si="66"/>
        <v>16007687</v>
      </c>
      <c r="Q80" s="139">
        <f t="shared" si="72"/>
        <v>1776463</v>
      </c>
      <c r="R80" s="18">
        <f t="shared" si="72"/>
        <v>0</v>
      </c>
      <c r="S80" s="18">
        <f t="shared" si="67"/>
        <v>1776463</v>
      </c>
      <c r="T80" s="18">
        <f t="shared" si="73"/>
        <v>0</v>
      </c>
      <c r="U80" s="18">
        <f t="shared" si="73"/>
        <v>0</v>
      </c>
      <c r="V80" s="18">
        <f t="shared" si="68"/>
        <v>0</v>
      </c>
      <c r="W80" s="18">
        <f t="shared" si="74"/>
        <v>35855601</v>
      </c>
      <c r="X80" s="18">
        <f t="shared" si="74"/>
        <v>0</v>
      </c>
      <c r="Y80" s="18">
        <f t="shared" si="69"/>
        <v>35855601</v>
      </c>
      <c r="Z80" s="18">
        <f t="shared" si="75"/>
        <v>20543960</v>
      </c>
      <c r="AA80" s="18">
        <f t="shared" si="75"/>
        <v>6515419</v>
      </c>
      <c r="AB80" s="18">
        <f t="shared" si="70"/>
        <v>27059379</v>
      </c>
      <c r="AC80" s="140">
        <f t="shared" si="71"/>
        <v>64691443</v>
      </c>
      <c r="AD80" s="26">
        <f t="shared" si="42"/>
        <v>0.74678809718859251</v>
      </c>
    </row>
    <row r="81" spans="1:30">
      <c r="A81" s="138">
        <v>42522</v>
      </c>
      <c r="B81" s="139">
        <v>245266</v>
      </c>
      <c r="C81" s="18">
        <v>0</v>
      </c>
      <c r="D81" s="18">
        <f t="shared" si="43"/>
        <v>245266</v>
      </c>
      <c r="E81" s="18">
        <v>0</v>
      </c>
      <c r="F81" s="18">
        <v>0</v>
      </c>
      <c r="G81" s="18">
        <f t="shared" si="62"/>
        <v>0</v>
      </c>
      <c r="H81" s="18">
        <v>8223464</v>
      </c>
      <c r="I81" s="18">
        <v>0</v>
      </c>
      <c r="J81" s="18">
        <f t="shared" si="63"/>
        <v>8223464</v>
      </c>
      <c r="K81" s="18">
        <v>3864970</v>
      </c>
      <c r="L81" s="18">
        <v>1830875</v>
      </c>
      <c r="M81" s="18">
        <f t="shared" si="64"/>
        <v>5695845</v>
      </c>
      <c r="N81" s="18">
        <f t="shared" si="65"/>
        <v>12333700</v>
      </c>
      <c r="O81" s="18">
        <f t="shared" si="65"/>
        <v>1830875</v>
      </c>
      <c r="P81" s="18">
        <f t="shared" si="66"/>
        <v>14164575</v>
      </c>
      <c r="Q81" s="139">
        <f t="shared" si="72"/>
        <v>2021729</v>
      </c>
      <c r="R81" s="18">
        <f t="shared" si="72"/>
        <v>0</v>
      </c>
      <c r="S81" s="18">
        <f t="shared" si="67"/>
        <v>2021729</v>
      </c>
      <c r="T81" s="18">
        <f t="shared" si="73"/>
        <v>0</v>
      </c>
      <c r="U81" s="18">
        <f t="shared" si="73"/>
        <v>0</v>
      </c>
      <c r="V81" s="18">
        <f t="shared" si="68"/>
        <v>0</v>
      </c>
      <c r="W81" s="18">
        <f t="shared" si="74"/>
        <v>44079065</v>
      </c>
      <c r="X81" s="18">
        <f t="shared" si="74"/>
        <v>0</v>
      </c>
      <c r="Y81" s="18">
        <f t="shared" si="69"/>
        <v>44079065</v>
      </c>
      <c r="Z81" s="18">
        <f t="shared" si="75"/>
        <v>24408930</v>
      </c>
      <c r="AA81" s="18">
        <f t="shared" si="75"/>
        <v>8346294</v>
      </c>
      <c r="AB81" s="18">
        <f t="shared" si="70"/>
        <v>32755224</v>
      </c>
      <c r="AC81" s="140">
        <f t="shared" si="71"/>
        <v>78856018</v>
      </c>
      <c r="AD81" s="26">
        <f t="shared" si="42"/>
        <v>0.59173053624609562</v>
      </c>
    </row>
    <row r="82" spans="1:30">
      <c r="A82" s="138">
        <v>42552</v>
      </c>
      <c r="B82" s="139">
        <v>185532</v>
      </c>
      <c r="C82" s="18">
        <v>0</v>
      </c>
      <c r="D82" s="18">
        <f t="shared" si="43"/>
        <v>185532</v>
      </c>
      <c r="E82" s="18">
        <v>0</v>
      </c>
      <c r="F82" s="18">
        <v>0</v>
      </c>
      <c r="G82" s="18">
        <f t="shared" si="62"/>
        <v>0</v>
      </c>
      <c r="H82" s="18">
        <v>9492589</v>
      </c>
      <c r="I82" s="18">
        <v>0</v>
      </c>
      <c r="J82" s="18">
        <f t="shared" si="63"/>
        <v>9492589</v>
      </c>
      <c r="K82" s="18">
        <v>3832496</v>
      </c>
      <c r="L82" s="18">
        <v>1863062</v>
      </c>
      <c r="M82" s="18">
        <f t="shared" si="64"/>
        <v>5695558</v>
      </c>
      <c r="N82" s="18">
        <f t="shared" si="65"/>
        <v>13510617</v>
      </c>
      <c r="O82" s="18">
        <f t="shared" si="65"/>
        <v>1863062</v>
      </c>
      <c r="P82" s="18">
        <f t="shared" si="66"/>
        <v>15373679</v>
      </c>
      <c r="Q82" s="139">
        <f t="shared" si="72"/>
        <v>2207261</v>
      </c>
      <c r="R82" s="18">
        <f t="shared" si="72"/>
        <v>0</v>
      </c>
      <c r="S82" s="18">
        <f t="shared" si="67"/>
        <v>2207261</v>
      </c>
      <c r="T82" s="18">
        <f t="shared" si="73"/>
        <v>0</v>
      </c>
      <c r="U82" s="18">
        <f t="shared" si="73"/>
        <v>0</v>
      </c>
      <c r="V82" s="18">
        <f t="shared" si="68"/>
        <v>0</v>
      </c>
      <c r="W82" s="18">
        <f t="shared" si="74"/>
        <v>53571654</v>
      </c>
      <c r="X82" s="18">
        <f t="shared" si="74"/>
        <v>0</v>
      </c>
      <c r="Y82" s="18">
        <f t="shared" si="69"/>
        <v>53571654</v>
      </c>
      <c r="Z82" s="18">
        <f t="shared" si="75"/>
        <v>28241426</v>
      </c>
      <c r="AA82" s="18">
        <f t="shared" si="75"/>
        <v>10209356</v>
      </c>
      <c r="AB82" s="18">
        <f t="shared" si="70"/>
        <v>38450782</v>
      </c>
      <c r="AC82" s="140">
        <f t="shared" si="71"/>
        <v>94229697</v>
      </c>
      <c r="AD82" s="26">
        <f t="shared" si="42"/>
        <v>0.50615848655184603</v>
      </c>
    </row>
    <row r="83" spans="1:30">
      <c r="A83" s="138">
        <v>42583</v>
      </c>
      <c r="B83" s="139">
        <v>312767</v>
      </c>
      <c r="C83" s="18">
        <v>0</v>
      </c>
      <c r="D83" s="18">
        <f t="shared" si="43"/>
        <v>312767</v>
      </c>
      <c r="E83" s="18">
        <v>0</v>
      </c>
      <c r="F83" s="18">
        <v>0</v>
      </c>
      <c r="G83" s="18">
        <f t="shared" si="62"/>
        <v>0</v>
      </c>
      <c r="H83" s="18">
        <v>9478696</v>
      </c>
      <c r="I83" s="18">
        <v>0</v>
      </c>
      <c r="J83" s="18">
        <f t="shared" si="63"/>
        <v>9478696</v>
      </c>
      <c r="K83" s="18">
        <v>4114248</v>
      </c>
      <c r="L83" s="18">
        <v>1800498</v>
      </c>
      <c r="M83" s="18">
        <f t="shared" si="64"/>
        <v>5914746</v>
      </c>
      <c r="N83" s="18">
        <f t="shared" si="65"/>
        <v>13905711</v>
      </c>
      <c r="O83" s="18">
        <f t="shared" si="65"/>
        <v>1800498</v>
      </c>
      <c r="P83" s="18">
        <f t="shared" si="66"/>
        <v>15706209</v>
      </c>
      <c r="Q83" s="139">
        <f t="shared" si="72"/>
        <v>2520028</v>
      </c>
      <c r="R83" s="18">
        <f t="shared" si="72"/>
        <v>0</v>
      </c>
      <c r="S83" s="18">
        <f t="shared" si="67"/>
        <v>2520028</v>
      </c>
      <c r="T83" s="18">
        <f t="shared" si="73"/>
        <v>0</v>
      </c>
      <c r="U83" s="18">
        <f t="shared" si="73"/>
        <v>0</v>
      </c>
      <c r="V83" s="18">
        <f t="shared" si="68"/>
        <v>0</v>
      </c>
      <c r="W83" s="18">
        <f t="shared" si="74"/>
        <v>63050350</v>
      </c>
      <c r="X83" s="18">
        <f t="shared" si="74"/>
        <v>0</v>
      </c>
      <c r="Y83" s="18">
        <f t="shared" si="69"/>
        <v>63050350</v>
      </c>
      <c r="Z83" s="18">
        <f t="shared" si="75"/>
        <v>32355674</v>
      </c>
      <c r="AA83" s="18">
        <f t="shared" si="75"/>
        <v>12009854</v>
      </c>
      <c r="AB83" s="18">
        <f t="shared" si="70"/>
        <v>44365528</v>
      </c>
      <c r="AC83" s="140">
        <f t="shared" si="71"/>
        <v>109935906</v>
      </c>
      <c r="AD83" s="26">
        <f t="shared" si="42"/>
        <v>0.43940116063208801</v>
      </c>
    </row>
    <row r="84" spans="1:30">
      <c r="A84" s="138">
        <v>42614</v>
      </c>
      <c r="B84" s="139">
        <v>342140</v>
      </c>
      <c r="C84" s="18">
        <v>0</v>
      </c>
      <c r="D84" s="18">
        <f t="shared" si="43"/>
        <v>342140</v>
      </c>
      <c r="E84" s="18">
        <v>0</v>
      </c>
      <c r="F84" s="18">
        <v>0</v>
      </c>
      <c r="G84" s="18">
        <f t="shared" si="62"/>
        <v>0</v>
      </c>
      <c r="H84" s="18">
        <v>10946526</v>
      </c>
      <c r="I84" s="18">
        <v>0</v>
      </c>
      <c r="J84" s="18">
        <f t="shared" si="63"/>
        <v>10946526</v>
      </c>
      <c r="K84" s="18">
        <v>4384714</v>
      </c>
      <c r="L84" s="18">
        <v>1741371</v>
      </c>
      <c r="M84" s="18">
        <f t="shared" si="64"/>
        <v>6126085</v>
      </c>
      <c r="N84" s="18">
        <f t="shared" si="65"/>
        <v>15673380</v>
      </c>
      <c r="O84" s="18">
        <f t="shared" si="65"/>
        <v>1741371</v>
      </c>
      <c r="P84" s="18">
        <f t="shared" si="66"/>
        <v>17414751</v>
      </c>
      <c r="Q84" s="139">
        <f t="shared" si="72"/>
        <v>2862168</v>
      </c>
      <c r="R84" s="18">
        <f t="shared" si="72"/>
        <v>0</v>
      </c>
      <c r="S84" s="18">
        <f t="shared" si="67"/>
        <v>2862168</v>
      </c>
      <c r="T84" s="18">
        <f t="shared" si="73"/>
        <v>0</v>
      </c>
      <c r="U84" s="18">
        <f t="shared" si="73"/>
        <v>0</v>
      </c>
      <c r="V84" s="18">
        <f t="shared" si="68"/>
        <v>0</v>
      </c>
      <c r="W84" s="18">
        <f t="shared" si="74"/>
        <v>73996876</v>
      </c>
      <c r="X84" s="18">
        <f t="shared" si="74"/>
        <v>0</v>
      </c>
      <c r="Y84" s="18">
        <f t="shared" si="69"/>
        <v>73996876</v>
      </c>
      <c r="Z84" s="18">
        <f t="shared" si="75"/>
        <v>36740388</v>
      </c>
      <c r="AA84" s="18">
        <f t="shared" si="75"/>
        <v>13751225</v>
      </c>
      <c r="AB84" s="18">
        <f t="shared" si="70"/>
        <v>50491613</v>
      </c>
      <c r="AC84" s="140">
        <f t="shared" si="71"/>
        <v>127350657</v>
      </c>
      <c r="AD84" s="26">
        <f t="shared" si="42"/>
        <v>0.43550686437580333</v>
      </c>
    </row>
    <row r="85" spans="1:30">
      <c r="A85" s="138">
        <v>42644</v>
      </c>
      <c r="B85" s="139">
        <v>186071</v>
      </c>
      <c r="C85" s="18">
        <v>0</v>
      </c>
      <c r="D85" s="18">
        <f t="shared" si="43"/>
        <v>186071</v>
      </c>
      <c r="E85" s="18">
        <v>0</v>
      </c>
      <c r="F85" s="18">
        <v>0</v>
      </c>
      <c r="G85" s="18">
        <f t="shared" si="62"/>
        <v>0</v>
      </c>
      <c r="H85" s="18">
        <v>11760172</v>
      </c>
      <c r="I85" s="18">
        <v>0</v>
      </c>
      <c r="J85" s="18">
        <f t="shared" si="63"/>
        <v>11760172</v>
      </c>
      <c r="K85" s="18">
        <v>4112131</v>
      </c>
      <c r="L85" s="18">
        <v>1749486</v>
      </c>
      <c r="M85" s="18">
        <f t="shared" si="64"/>
        <v>5861617</v>
      </c>
      <c r="N85" s="18">
        <f t="shared" si="65"/>
        <v>16058374</v>
      </c>
      <c r="O85" s="18">
        <f t="shared" si="65"/>
        <v>1749486</v>
      </c>
      <c r="P85" s="18">
        <f t="shared" si="66"/>
        <v>17807860</v>
      </c>
      <c r="Q85" s="139">
        <f t="shared" si="72"/>
        <v>3048239</v>
      </c>
      <c r="R85" s="18">
        <f t="shared" si="72"/>
        <v>0</v>
      </c>
      <c r="S85" s="18">
        <f t="shared" si="67"/>
        <v>3048239</v>
      </c>
      <c r="T85" s="18">
        <f t="shared" si="73"/>
        <v>0</v>
      </c>
      <c r="U85" s="18">
        <f t="shared" si="73"/>
        <v>0</v>
      </c>
      <c r="V85" s="18">
        <f t="shared" si="68"/>
        <v>0</v>
      </c>
      <c r="W85" s="18">
        <f t="shared" si="74"/>
        <v>85757048</v>
      </c>
      <c r="X85" s="18">
        <f t="shared" si="74"/>
        <v>0</v>
      </c>
      <c r="Y85" s="18">
        <f t="shared" si="69"/>
        <v>85757048</v>
      </c>
      <c r="Z85" s="18">
        <f t="shared" si="75"/>
        <v>40852519</v>
      </c>
      <c r="AA85" s="18">
        <f t="shared" si="75"/>
        <v>15500711</v>
      </c>
      <c r="AB85" s="18">
        <f t="shared" si="70"/>
        <v>56353230</v>
      </c>
      <c r="AC85" s="140">
        <f t="shared" si="71"/>
        <v>145158517</v>
      </c>
      <c r="AD85" s="26">
        <f t="shared" si="42"/>
        <v>0.44073975655676034</v>
      </c>
    </row>
    <row r="86" spans="1:30">
      <c r="A86" s="138">
        <v>42675</v>
      </c>
      <c r="B86" s="139">
        <v>255250</v>
      </c>
      <c r="C86" s="18">
        <v>0</v>
      </c>
      <c r="D86" s="18">
        <f t="shared" si="43"/>
        <v>255250</v>
      </c>
      <c r="E86" s="18">
        <v>0</v>
      </c>
      <c r="F86" s="18">
        <v>0</v>
      </c>
      <c r="G86" s="18">
        <f t="shared" si="62"/>
        <v>0</v>
      </c>
      <c r="H86" s="18">
        <v>10879490</v>
      </c>
      <c r="I86" s="18">
        <v>167243</v>
      </c>
      <c r="J86" s="18">
        <f t="shared" si="63"/>
        <v>11046733</v>
      </c>
      <c r="K86" s="18">
        <v>3665123</v>
      </c>
      <c r="L86" s="18">
        <v>1635896</v>
      </c>
      <c r="M86" s="18">
        <f t="shared" si="64"/>
        <v>5301019</v>
      </c>
      <c r="N86" s="18">
        <f t="shared" si="65"/>
        <v>14799863</v>
      </c>
      <c r="O86" s="18">
        <f t="shared" si="65"/>
        <v>1803139</v>
      </c>
      <c r="P86" s="18">
        <f t="shared" si="66"/>
        <v>16603002</v>
      </c>
      <c r="Q86" s="139">
        <f t="shared" si="72"/>
        <v>3303489</v>
      </c>
      <c r="R86" s="18">
        <f t="shared" si="72"/>
        <v>0</v>
      </c>
      <c r="S86" s="18">
        <f t="shared" si="67"/>
        <v>3303489</v>
      </c>
      <c r="T86" s="18">
        <f t="shared" si="73"/>
        <v>0</v>
      </c>
      <c r="U86" s="18">
        <f t="shared" si="73"/>
        <v>0</v>
      </c>
      <c r="V86" s="18">
        <f t="shared" si="68"/>
        <v>0</v>
      </c>
      <c r="W86" s="18">
        <f t="shared" si="74"/>
        <v>96636538</v>
      </c>
      <c r="X86" s="18">
        <f t="shared" si="74"/>
        <v>167243</v>
      </c>
      <c r="Y86" s="18">
        <f t="shared" si="69"/>
        <v>96803781</v>
      </c>
      <c r="Z86" s="18">
        <f t="shared" si="75"/>
        <v>44517642</v>
      </c>
      <c r="AA86" s="18">
        <f t="shared" si="75"/>
        <v>17136607</v>
      </c>
      <c r="AB86" s="18">
        <f t="shared" si="70"/>
        <v>61654249</v>
      </c>
      <c r="AC86" s="140">
        <f t="shared" si="71"/>
        <v>161761519</v>
      </c>
      <c r="AD86" s="26">
        <f t="shared" si="42"/>
        <v>0.43026940660893565</v>
      </c>
    </row>
    <row r="87" spans="1:30" ht="14.25" thickBot="1">
      <c r="A87" s="138">
        <v>42705</v>
      </c>
      <c r="B87" s="139">
        <v>501757</v>
      </c>
      <c r="C87" s="18">
        <v>0</v>
      </c>
      <c r="D87" s="18">
        <f t="shared" si="43"/>
        <v>501757</v>
      </c>
      <c r="E87" s="18">
        <v>0</v>
      </c>
      <c r="F87" s="18">
        <v>0</v>
      </c>
      <c r="G87" s="18">
        <f t="shared" si="62"/>
        <v>0</v>
      </c>
      <c r="H87" s="18">
        <v>19778727</v>
      </c>
      <c r="I87" s="18">
        <v>0</v>
      </c>
      <c r="J87" s="18">
        <f t="shared" si="63"/>
        <v>19778727</v>
      </c>
      <c r="K87" s="18">
        <v>6707006</v>
      </c>
      <c r="L87" s="18">
        <v>3612786</v>
      </c>
      <c r="M87" s="18">
        <f t="shared" si="64"/>
        <v>10319792</v>
      </c>
      <c r="N87" s="18">
        <f t="shared" si="65"/>
        <v>26987490</v>
      </c>
      <c r="O87" s="18">
        <f t="shared" si="65"/>
        <v>3612786</v>
      </c>
      <c r="P87" s="18">
        <f t="shared" si="66"/>
        <v>30600276</v>
      </c>
      <c r="Q87" s="139">
        <f>Q86+B87</f>
        <v>3805246</v>
      </c>
      <c r="R87" s="18">
        <f>R86+C87</f>
        <v>0</v>
      </c>
      <c r="S87" s="18">
        <f t="shared" si="67"/>
        <v>3805246</v>
      </c>
      <c r="T87" s="18">
        <f>T86+E87</f>
        <v>0</v>
      </c>
      <c r="U87" s="18">
        <f>U86+F87</f>
        <v>0</v>
      </c>
      <c r="V87" s="18">
        <f t="shared" si="68"/>
        <v>0</v>
      </c>
      <c r="W87" s="18">
        <f>W86+H87</f>
        <v>116415265</v>
      </c>
      <c r="X87" s="18">
        <f>X86+I87</f>
        <v>167243</v>
      </c>
      <c r="Y87" s="18">
        <f t="shared" si="69"/>
        <v>116582508</v>
      </c>
      <c r="Z87" s="18">
        <f>Z86+K87</f>
        <v>51224648</v>
      </c>
      <c r="AA87" s="18">
        <f>AA86+L87</f>
        <v>20749393</v>
      </c>
      <c r="AB87" s="18">
        <f t="shared" si="70"/>
        <v>71974041</v>
      </c>
      <c r="AC87" s="140">
        <f t="shared" si="71"/>
        <v>192361795</v>
      </c>
      <c r="AD87" s="26">
        <f t="shared" si="42"/>
        <v>0.35427674330684922</v>
      </c>
    </row>
    <row r="88" spans="1:30">
      <c r="A88" s="141">
        <v>42736</v>
      </c>
      <c r="B88" s="142">
        <v>224887</v>
      </c>
      <c r="C88" s="143">
        <v>0</v>
      </c>
      <c r="D88" s="143">
        <f t="shared" si="43"/>
        <v>224887</v>
      </c>
      <c r="E88" s="143">
        <v>0</v>
      </c>
      <c r="F88" s="143">
        <v>0</v>
      </c>
      <c r="G88" s="143">
        <f t="shared" ref="G88:G99" si="76">SUM(E88:F88)</f>
        <v>0</v>
      </c>
      <c r="H88" s="143">
        <v>95972</v>
      </c>
      <c r="I88" s="143">
        <v>0</v>
      </c>
      <c r="J88" s="143">
        <f t="shared" si="63"/>
        <v>95972</v>
      </c>
      <c r="K88" s="143">
        <v>138431</v>
      </c>
      <c r="L88" s="143">
        <v>0</v>
      </c>
      <c r="M88" s="143">
        <f t="shared" si="64"/>
        <v>138431</v>
      </c>
      <c r="N88" s="143">
        <f t="shared" si="65"/>
        <v>459290</v>
      </c>
      <c r="O88" s="143">
        <f t="shared" si="65"/>
        <v>0</v>
      </c>
      <c r="P88" s="143">
        <f t="shared" si="66"/>
        <v>459290</v>
      </c>
      <c r="Q88" s="142">
        <f>B88</f>
        <v>224887</v>
      </c>
      <c r="R88" s="143">
        <f>C88</f>
        <v>0</v>
      </c>
      <c r="S88" s="143">
        <f>R88+Q88</f>
        <v>224887</v>
      </c>
      <c r="T88" s="143">
        <f>E88</f>
        <v>0</v>
      </c>
      <c r="U88" s="143">
        <f>F88</f>
        <v>0</v>
      </c>
      <c r="V88" s="143">
        <f>U88+T88</f>
        <v>0</v>
      </c>
      <c r="W88" s="143">
        <f>H88</f>
        <v>95972</v>
      </c>
      <c r="X88" s="143">
        <f>I88</f>
        <v>0</v>
      </c>
      <c r="Y88" s="143">
        <f>X88+W88</f>
        <v>95972</v>
      </c>
      <c r="Z88" s="143">
        <f>K88</f>
        <v>138431</v>
      </c>
      <c r="AA88" s="143">
        <f>L88</f>
        <v>0</v>
      </c>
      <c r="AB88" s="143">
        <f>AA88+Z88</f>
        <v>138431</v>
      </c>
      <c r="AC88" s="144">
        <f>AB88+Y88+V88+S88</f>
        <v>459290</v>
      </c>
      <c r="AD88" s="26">
        <f t="shared" si="42"/>
        <v>-0.7353737976905057</v>
      </c>
    </row>
    <row r="89" spans="1:30">
      <c r="A89" s="138">
        <v>42767</v>
      </c>
      <c r="B89" s="139">
        <v>131880</v>
      </c>
      <c r="C89" s="18">
        <v>0</v>
      </c>
      <c r="D89" s="18">
        <f t="shared" si="43"/>
        <v>131880</v>
      </c>
      <c r="E89" s="18">
        <v>0</v>
      </c>
      <c r="F89" s="18">
        <v>0</v>
      </c>
      <c r="G89" s="18">
        <f t="shared" si="76"/>
        <v>0</v>
      </c>
      <c r="H89" s="18">
        <v>9752116</v>
      </c>
      <c r="I89" s="18">
        <v>0</v>
      </c>
      <c r="J89" s="18">
        <f t="shared" si="63"/>
        <v>9752116</v>
      </c>
      <c r="K89" s="18">
        <v>4315110</v>
      </c>
      <c r="L89" s="18">
        <v>1753345</v>
      </c>
      <c r="M89" s="18">
        <f t="shared" si="64"/>
        <v>6068455</v>
      </c>
      <c r="N89" s="18">
        <f t="shared" si="65"/>
        <v>14199106</v>
      </c>
      <c r="O89" s="18">
        <f t="shared" si="65"/>
        <v>1753345</v>
      </c>
      <c r="P89" s="18">
        <f t="shared" si="66"/>
        <v>15952451</v>
      </c>
      <c r="Q89" s="139">
        <f>Q88+B89</f>
        <v>356767</v>
      </c>
      <c r="R89" s="18">
        <f>R88+C89</f>
        <v>0</v>
      </c>
      <c r="S89" s="18">
        <f t="shared" ref="S89:S99" si="77">R89+Q89</f>
        <v>356767</v>
      </c>
      <c r="T89" s="18">
        <f>T88+E89</f>
        <v>0</v>
      </c>
      <c r="U89" s="18">
        <f>U88+F89</f>
        <v>0</v>
      </c>
      <c r="V89" s="18">
        <f t="shared" ref="V89:V99" si="78">U89+T89</f>
        <v>0</v>
      </c>
      <c r="W89" s="18">
        <f>W88+H89</f>
        <v>9848088</v>
      </c>
      <c r="X89" s="18">
        <f>X88+I89</f>
        <v>0</v>
      </c>
      <c r="Y89" s="18">
        <f t="shared" ref="Y89:Y99" si="79">X89+W89</f>
        <v>9848088</v>
      </c>
      <c r="Z89" s="18">
        <f>Z88+K89</f>
        <v>4453541</v>
      </c>
      <c r="AA89" s="18">
        <f>AA88+L89</f>
        <v>1753345</v>
      </c>
      <c r="AB89" s="18">
        <f t="shared" ref="AB89:AB99" si="80">AA89+Z89</f>
        <v>6206886</v>
      </c>
      <c r="AC89" s="140">
        <f t="shared" ref="AC89:AC99" si="81">AB89+Y89+V89+S89</f>
        <v>16411741</v>
      </c>
      <c r="AD89" s="26">
        <f t="shared" si="42"/>
        <v>1.2777539335075083E-2</v>
      </c>
    </row>
    <row r="90" spans="1:30">
      <c r="A90" s="138">
        <v>42795</v>
      </c>
      <c r="B90" s="139">
        <v>617908</v>
      </c>
      <c r="C90" s="18">
        <v>0</v>
      </c>
      <c r="D90" s="18">
        <f t="shared" si="43"/>
        <v>617908</v>
      </c>
      <c r="E90" s="18">
        <v>0</v>
      </c>
      <c r="F90" s="18">
        <v>0</v>
      </c>
      <c r="G90" s="18">
        <f t="shared" si="76"/>
        <v>0</v>
      </c>
      <c r="H90" s="18">
        <v>10216614</v>
      </c>
      <c r="I90" s="18">
        <v>0</v>
      </c>
      <c r="J90" s="18">
        <f t="shared" si="63"/>
        <v>10216614</v>
      </c>
      <c r="K90" s="18">
        <v>3820021</v>
      </c>
      <c r="L90" s="18">
        <v>1581681</v>
      </c>
      <c r="M90" s="18">
        <f t="shared" si="64"/>
        <v>5401702</v>
      </c>
      <c r="N90" s="18">
        <f t="shared" si="65"/>
        <v>14654543</v>
      </c>
      <c r="O90" s="18">
        <f t="shared" si="65"/>
        <v>1581681</v>
      </c>
      <c r="P90" s="18">
        <f t="shared" si="66"/>
        <v>16236224</v>
      </c>
      <c r="Q90" s="139">
        <f t="shared" ref="Q90:R98" si="82">Q89+B90</f>
        <v>974675</v>
      </c>
      <c r="R90" s="18">
        <f t="shared" si="82"/>
        <v>0</v>
      </c>
      <c r="S90" s="18">
        <f t="shared" si="77"/>
        <v>974675</v>
      </c>
      <c r="T90" s="18">
        <f t="shared" ref="T90:U98" si="83">T89+E90</f>
        <v>0</v>
      </c>
      <c r="U90" s="18">
        <f t="shared" si="83"/>
        <v>0</v>
      </c>
      <c r="V90" s="18">
        <f t="shared" si="78"/>
        <v>0</v>
      </c>
      <c r="W90" s="18">
        <f t="shared" ref="W90:X98" si="84">W89+H90</f>
        <v>20064702</v>
      </c>
      <c r="X90" s="18">
        <f t="shared" si="84"/>
        <v>0</v>
      </c>
      <c r="Y90" s="18">
        <f t="shared" si="79"/>
        <v>20064702</v>
      </c>
      <c r="Z90" s="18">
        <f t="shared" ref="Z90:AA98" si="85">Z89+K90</f>
        <v>8273562</v>
      </c>
      <c r="AA90" s="18">
        <f t="shared" si="85"/>
        <v>3335026</v>
      </c>
      <c r="AB90" s="18">
        <f t="shared" si="80"/>
        <v>11608588</v>
      </c>
      <c r="AC90" s="140">
        <f t="shared" si="81"/>
        <v>32647965</v>
      </c>
      <c r="AD90" s="26">
        <f t="shared" si="42"/>
        <v>2.0731840001800839E-2</v>
      </c>
    </row>
    <row r="91" spans="1:30">
      <c r="A91" s="138">
        <v>42826</v>
      </c>
      <c r="B91" s="139">
        <v>331595</v>
      </c>
      <c r="C91" s="18">
        <v>0</v>
      </c>
      <c r="D91" s="18">
        <f t="shared" si="43"/>
        <v>331595</v>
      </c>
      <c r="E91" s="18">
        <v>0</v>
      </c>
      <c r="F91" s="18">
        <v>0</v>
      </c>
      <c r="G91" s="18">
        <f t="shared" si="76"/>
        <v>0</v>
      </c>
      <c r="H91" s="18">
        <v>10678397</v>
      </c>
      <c r="I91" s="18">
        <v>0</v>
      </c>
      <c r="J91" s="18">
        <f t="shared" si="63"/>
        <v>10678397</v>
      </c>
      <c r="K91" s="18">
        <v>4478126</v>
      </c>
      <c r="L91" s="18">
        <v>1878604</v>
      </c>
      <c r="M91" s="18">
        <f t="shared" si="64"/>
        <v>6356730</v>
      </c>
      <c r="N91" s="18">
        <f t="shared" si="65"/>
        <v>15488118</v>
      </c>
      <c r="O91" s="18">
        <f t="shared" si="65"/>
        <v>1878604</v>
      </c>
      <c r="P91" s="18">
        <f t="shared" si="66"/>
        <v>17366722</v>
      </c>
      <c r="Q91" s="139">
        <f t="shared" si="82"/>
        <v>1306270</v>
      </c>
      <c r="R91" s="18">
        <f t="shared" si="82"/>
        <v>0</v>
      </c>
      <c r="S91" s="18">
        <f t="shared" si="77"/>
        <v>1306270</v>
      </c>
      <c r="T91" s="18">
        <f t="shared" si="83"/>
        <v>0</v>
      </c>
      <c r="U91" s="18">
        <f t="shared" si="83"/>
        <v>0</v>
      </c>
      <c r="V91" s="18">
        <f t="shared" si="78"/>
        <v>0</v>
      </c>
      <c r="W91" s="18">
        <f t="shared" si="84"/>
        <v>30743099</v>
      </c>
      <c r="X91" s="18">
        <f t="shared" si="84"/>
        <v>0</v>
      </c>
      <c r="Y91" s="18">
        <f t="shared" si="79"/>
        <v>30743099</v>
      </c>
      <c r="Z91" s="18">
        <f t="shared" si="85"/>
        <v>12751688</v>
      </c>
      <c r="AA91" s="18">
        <f t="shared" si="85"/>
        <v>5213630</v>
      </c>
      <c r="AB91" s="18">
        <f t="shared" si="80"/>
        <v>17965318</v>
      </c>
      <c r="AC91" s="140">
        <f t="shared" si="81"/>
        <v>50014687</v>
      </c>
      <c r="AD91" s="26">
        <f t="shared" si="42"/>
        <v>2.7338297398417755E-2</v>
      </c>
    </row>
    <row r="92" spans="1:30">
      <c r="A92" s="138">
        <v>42856</v>
      </c>
      <c r="B92" s="139">
        <v>604998</v>
      </c>
      <c r="C92" s="18">
        <v>1331289</v>
      </c>
      <c r="D92" s="18">
        <f t="shared" si="43"/>
        <v>1936287</v>
      </c>
      <c r="E92" s="18">
        <v>0</v>
      </c>
      <c r="F92" s="18">
        <v>0</v>
      </c>
      <c r="G92" s="18">
        <f t="shared" si="76"/>
        <v>0</v>
      </c>
      <c r="H92" s="18">
        <v>12750848</v>
      </c>
      <c r="I92" s="18">
        <v>0</v>
      </c>
      <c r="J92" s="18">
        <f t="shared" si="63"/>
        <v>12750848</v>
      </c>
      <c r="K92" s="18">
        <v>5490050</v>
      </c>
      <c r="L92" s="18">
        <v>2306555</v>
      </c>
      <c r="M92" s="18">
        <f t="shared" si="64"/>
        <v>7796605</v>
      </c>
      <c r="N92" s="18">
        <f t="shared" si="65"/>
        <v>18845896</v>
      </c>
      <c r="O92" s="18">
        <f t="shared" si="65"/>
        <v>3637844</v>
      </c>
      <c r="P92" s="18">
        <f t="shared" si="66"/>
        <v>22483740</v>
      </c>
      <c r="Q92" s="139">
        <f t="shared" si="82"/>
        <v>1911268</v>
      </c>
      <c r="R92" s="18">
        <f t="shared" si="82"/>
        <v>1331289</v>
      </c>
      <c r="S92" s="18">
        <f t="shared" si="77"/>
        <v>3242557</v>
      </c>
      <c r="T92" s="18">
        <f t="shared" si="83"/>
        <v>0</v>
      </c>
      <c r="U92" s="18">
        <f t="shared" si="83"/>
        <v>0</v>
      </c>
      <c r="V92" s="18">
        <f t="shared" si="78"/>
        <v>0</v>
      </c>
      <c r="W92" s="18">
        <f t="shared" si="84"/>
        <v>43493947</v>
      </c>
      <c r="X92" s="18">
        <f t="shared" si="84"/>
        <v>0</v>
      </c>
      <c r="Y92" s="18">
        <f t="shared" si="79"/>
        <v>43493947</v>
      </c>
      <c r="Z92" s="18">
        <f t="shared" si="85"/>
        <v>18241738</v>
      </c>
      <c r="AA92" s="18">
        <f t="shared" si="85"/>
        <v>7520185</v>
      </c>
      <c r="AB92" s="18">
        <f t="shared" si="80"/>
        <v>25761923</v>
      </c>
      <c r="AC92" s="140">
        <f t="shared" si="81"/>
        <v>72498427</v>
      </c>
      <c r="AD92" s="26">
        <f t="shared" si="42"/>
        <v>0.12068031934300794</v>
      </c>
    </row>
    <row r="93" spans="1:30">
      <c r="A93" s="138">
        <v>42887</v>
      </c>
      <c r="B93" s="139">
        <v>294164</v>
      </c>
      <c r="C93" s="18">
        <v>0</v>
      </c>
      <c r="D93" s="18">
        <f t="shared" si="43"/>
        <v>294164</v>
      </c>
      <c r="E93" s="18">
        <v>0</v>
      </c>
      <c r="F93" s="18">
        <v>0</v>
      </c>
      <c r="G93" s="18">
        <f t="shared" si="76"/>
        <v>0</v>
      </c>
      <c r="H93" s="18">
        <v>13490491</v>
      </c>
      <c r="I93" s="18">
        <v>0</v>
      </c>
      <c r="J93" s="18">
        <f t="shared" si="63"/>
        <v>13490491</v>
      </c>
      <c r="K93" s="18">
        <v>5714928</v>
      </c>
      <c r="L93" s="18">
        <v>2747969</v>
      </c>
      <c r="M93" s="18">
        <f t="shared" si="64"/>
        <v>8462897</v>
      </c>
      <c r="N93" s="18">
        <f t="shared" si="65"/>
        <v>19499583</v>
      </c>
      <c r="O93" s="18">
        <f t="shared" si="65"/>
        <v>2747969</v>
      </c>
      <c r="P93" s="18">
        <f t="shared" si="66"/>
        <v>22247552</v>
      </c>
      <c r="Q93" s="139">
        <f t="shared" si="82"/>
        <v>2205432</v>
      </c>
      <c r="R93" s="18">
        <f t="shared" si="82"/>
        <v>1331289</v>
      </c>
      <c r="S93" s="18">
        <f t="shared" si="77"/>
        <v>3536721</v>
      </c>
      <c r="T93" s="18">
        <f t="shared" si="83"/>
        <v>0</v>
      </c>
      <c r="U93" s="18">
        <f t="shared" si="83"/>
        <v>0</v>
      </c>
      <c r="V93" s="18">
        <f t="shared" si="78"/>
        <v>0</v>
      </c>
      <c r="W93" s="18">
        <f t="shared" si="84"/>
        <v>56984438</v>
      </c>
      <c r="X93" s="18">
        <f t="shared" si="84"/>
        <v>0</v>
      </c>
      <c r="Y93" s="18">
        <f t="shared" si="79"/>
        <v>56984438</v>
      </c>
      <c r="Z93" s="18">
        <f t="shared" si="85"/>
        <v>23956666</v>
      </c>
      <c r="AA93" s="18">
        <f t="shared" si="85"/>
        <v>10268154</v>
      </c>
      <c r="AB93" s="18">
        <f t="shared" si="80"/>
        <v>34224820</v>
      </c>
      <c r="AC93" s="140">
        <f t="shared" si="81"/>
        <v>94745979</v>
      </c>
      <c r="AD93" s="26">
        <f t="shared" si="42"/>
        <v>0.20150600300410804</v>
      </c>
    </row>
    <row r="94" spans="1:30">
      <c r="A94" s="138">
        <v>42917</v>
      </c>
      <c r="B94" s="139">
        <v>807529</v>
      </c>
      <c r="C94" s="18">
        <v>0</v>
      </c>
      <c r="D94" s="18">
        <f t="shared" si="43"/>
        <v>807529</v>
      </c>
      <c r="E94" s="18">
        <v>0</v>
      </c>
      <c r="F94" s="18">
        <v>0</v>
      </c>
      <c r="G94" s="18">
        <f t="shared" si="76"/>
        <v>0</v>
      </c>
      <c r="H94" s="18">
        <v>12278441</v>
      </c>
      <c r="I94" s="18">
        <v>0</v>
      </c>
      <c r="J94" s="18">
        <f t="shared" si="63"/>
        <v>12278441</v>
      </c>
      <c r="K94" s="18">
        <v>4583079</v>
      </c>
      <c r="L94" s="18">
        <v>2758067</v>
      </c>
      <c r="M94" s="18">
        <f t="shared" si="64"/>
        <v>7341146</v>
      </c>
      <c r="N94" s="18">
        <f t="shared" si="65"/>
        <v>17669049</v>
      </c>
      <c r="O94" s="18">
        <f t="shared" si="65"/>
        <v>2758067</v>
      </c>
      <c r="P94" s="18">
        <f t="shared" si="66"/>
        <v>20427116</v>
      </c>
      <c r="Q94" s="139">
        <f t="shared" si="82"/>
        <v>3012961</v>
      </c>
      <c r="R94" s="18">
        <f t="shared" si="82"/>
        <v>1331289</v>
      </c>
      <c r="S94" s="18">
        <f t="shared" si="77"/>
        <v>4344250</v>
      </c>
      <c r="T94" s="18">
        <f t="shared" si="83"/>
        <v>0</v>
      </c>
      <c r="U94" s="18">
        <f t="shared" si="83"/>
        <v>0</v>
      </c>
      <c r="V94" s="18">
        <f t="shared" si="78"/>
        <v>0</v>
      </c>
      <c r="W94" s="18">
        <f t="shared" si="84"/>
        <v>69262879</v>
      </c>
      <c r="X94" s="18">
        <f t="shared" si="84"/>
        <v>0</v>
      </c>
      <c r="Y94" s="18">
        <f t="shared" si="79"/>
        <v>69262879</v>
      </c>
      <c r="Z94" s="18">
        <f t="shared" si="85"/>
        <v>28539745</v>
      </c>
      <c r="AA94" s="18">
        <f t="shared" si="85"/>
        <v>13026221</v>
      </c>
      <c r="AB94" s="18">
        <f t="shared" si="80"/>
        <v>41565966</v>
      </c>
      <c r="AC94" s="140">
        <f t="shared" si="81"/>
        <v>115173095</v>
      </c>
      <c r="AD94" s="26">
        <f t="shared" si="42"/>
        <v>0.22225899760666756</v>
      </c>
    </row>
    <row r="95" spans="1:30">
      <c r="A95" s="138">
        <v>42948</v>
      </c>
      <c r="B95" s="139">
        <v>439901</v>
      </c>
      <c r="C95" s="18">
        <v>0</v>
      </c>
      <c r="D95" s="18">
        <f t="shared" si="43"/>
        <v>439901</v>
      </c>
      <c r="E95" s="18">
        <v>0</v>
      </c>
      <c r="F95" s="18">
        <v>0</v>
      </c>
      <c r="G95" s="18">
        <f t="shared" si="76"/>
        <v>0</v>
      </c>
      <c r="H95" s="18">
        <v>12933967</v>
      </c>
      <c r="I95" s="18">
        <v>0</v>
      </c>
      <c r="J95" s="18">
        <f t="shared" si="63"/>
        <v>12933967</v>
      </c>
      <c r="K95" s="18">
        <v>4321654</v>
      </c>
      <c r="L95" s="18">
        <v>2486628</v>
      </c>
      <c r="M95" s="18">
        <f t="shared" si="64"/>
        <v>6808282</v>
      </c>
      <c r="N95" s="18">
        <f t="shared" si="65"/>
        <v>17695522</v>
      </c>
      <c r="O95" s="18">
        <f t="shared" si="65"/>
        <v>2486628</v>
      </c>
      <c r="P95" s="18">
        <f t="shared" si="66"/>
        <v>20182150</v>
      </c>
      <c r="Q95" s="139">
        <f t="shared" si="82"/>
        <v>3452862</v>
      </c>
      <c r="R95" s="18">
        <f t="shared" si="82"/>
        <v>1331289</v>
      </c>
      <c r="S95" s="18">
        <f t="shared" si="77"/>
        <v>4784151</v>
      </c>
      <c r="T95" s="18">
        <f t="shared" si="83"/>
        <v>0</v>
      </c>
      <c r="U95" s="18">
        <f t="shared" si="83"/>
        <v>0</v>
      </c>
      <c r="V95" s="18">
        <f t="shared" si="78"/>
        <v>0</v>
      </c>
      <c r="W95" s="18">
        <f t="shared" si="84"/>
        <v>82196846</v>
      </c>
      <c r="X95" s="18">
        <f t="shared" si="84"/>
        <v>0</v>
      </c>
      <c r="Y95" s="18">
        <f t="shared" si="79"/>
        <v>82196846</v>
      </c>
      <c r="Z95" s="18">
        <f t="shared" si="85"/>
        <v>32861399</v>
      </c>
      <c r="AA95" s="18">
        <f t="shared" si="85"/>
        <v>15512849</v>
      </c>
      <c r="AB95" s="18">
        <f t="shared" si="80"/>
        <v>48374248</v>
      </c>
      <c r="AC95" s="140">
        <f t="shared" si="81"/>
        <v>135355245</v>
      </c>
      <c r="AD95" s="26">
        <f t="shared" si="42"/>
        <v>0.23121962536971319</v>
      </c>
    </row>
    <row r="96" spans="1:30">
      <c r="A96" s="138">
        <v>42979</v>
      </c>
      <c r="B96" s="139">
        <v>527873</v>
      </c>
      <c r="C96" s="18">
        <v>0</v>
      </c>
      <c r="D96" s="18">
        <f t="shared" si="43"/>
        <v>527873</v>
      </c>
      <c r="E96" s="18">
        <v>0</v>
      </c>
      <c r="F96" s="18">
        <v>0</v>
      </c>
      <c r="G96" s="18">
        <f t="shared" si="76"/>
        <v>0</v>
      </c>
      <c r="H96" s="18">
        <v>14610908</v>
      </c>
      <c r="I96" s="18">
        <v>0</v>
      </c>
      <c r="J96" s="18">
        <f t="shared" si="63"/>
        <v>14610908</v>
      </c>
      <c r="K96" s="18">
        <v>3564770</v>
      </c>
      <c r="L96" s="18">
        <v>2754103</v>
      </c>
      <c r="M96" s="18">
        <f t="shared" si="64"/>
        <v>6318873</v>
      </c>
      <c r="N96" s="18">
        <f t="shared" si="65"/>
        <v>18703551</v>
      </c>
      <c r="O96" s="18">
        <f t="shared" si="65"/>
        <v>2754103</v>
      </c>
      <c r="P96" s="18">
        <f t="shared" si="66"/>
        <v>21457654</v>
      </c>
      <c r="Q96" s="139">
        <f t="shared" si="82"/>
        <v>3980735</v>
      </c>
      <c r="R96" s="18">
        <f t="shared" si="82"/>
        <v>1331289</v>
      </c>
      <c r="S96" s="18">
        <f t="shared" si="77"/>
        <v>5312024</v>
      </c>
      <c r="T96" s="18">
        <f t="shared" si="83"/>
        <v>0</v>
      </c>
      <c r="U96" s="18">
        <f t="shared" si="83"/>
        <v>0</v>
      </c>
      <c r="V96" s="18">
        <f t="shared" si="78"/>
        <v>0</v>
      </c>
      <c r="W96" s="18">
        <f t="shared" si="84"/>
        <v>96807754</v>
      </c>
      <c r="X96" s="18">
        <f t="shared" si="84"/>
        <v>0</v>
      </c>
      <c r="Y96" s="18">
        <f t="shared" si="79"/>
        <v>96807754</v>
      </c>
      <c r="Z96" s="18">
        <f t="shared" si="85"/>
        <v>36426169</v>
      </c>
      <c r="AA96" s="18">
        <f t="shared" si="85"/>
        <v>18266952</v>
      </c>
      <c r="AB96" s="18">
        <f t="shared" si="80"/>
        <v>54693121</v>
      </c>
      <c r="AC96" s="140">
        <f t="shared" si="81"/>
        <v>156812899</v>
      </c>
      <c r="AD96" s="26">
        <f t="shared" si="42"/>
        <v>0.23134738912261765</v>
      </c>
    </row>
    <row r="97" spans="1:30">
      <c r="A97" s="138">
        <v>43009</v>
      </c>
      <c r="B97" s="139">
        <v>285897</v>
      </c>
      <c r="C97" s="18">
        <v>2971938</v>
      </c>
      <c r="D97" s="18">
        <f t="shared" si="43"/>
        <v>3257835</v>
      </c>
      <c r="E97" s="18">
        <v>0</v>
      </c>
      <c r="F97" s="18">
        <v>0</v>
      </c>
      <c r="G97" s="18">
        <f t="shared" si="76"/>
        <v>0</v>
      </c>
      <c r="H97" s="18">
        <v>12912867</v>
      </c>
      <c r="I97" s="18">
        <v>0</v>
      </c>
      <c r="J97" s="18">
        <f t="shared" si="63"/>
        <v>12912867</v>
      </c>
      <c r="K97" s="18">
        <v>3436415</v>
      </c>
      <c r="L97" s="18">
        <v>2478336</v>
      </c>
      <c r="M97" s="18">
        <f t="shared" si="64"/>
        <v>5914751</v>
      </c>
      <c r="N97" s="18">
        <f t="shared" si="65"/>
        <v>16635179</v>
      </c>
      <c r="O97" s="18">
        <f t="shared" si="65"/>
        <v>5450274</v>
      </c>
      <c r="P97" s="18">
        <f t="shared" si="66"/>
        <v>22085453</v>
      </c>
      <c r="Q97" s="139">
        <f t="shared" si="82"/>
        <v>4266632</v>
      </c>
      <c r="R97" s="18">
        <f t="shared" si="82"/>
        <v>4303227</v>
      </c>
      <c r="S97" s="18">
        <f t="shared" si="77"/>
        <v>8569859</v>
      </c>
      <c r="T97" s="18">
        <f t="shared" si="83"/>
        <v>0</v>
      </c>
      <c r="U97" s="18">
        <f t="shared" si="83"/>
        <v>0</v>
      </c>
      <c r="V97" s="18">
        <f t="shared" si="78"/>
        <v>0</v>
      </c>
      <c r="W97" s="18">
        <f t="shared" si="84"/>
        <v>109720621</v>
      </c>
      <c r="X97" s="18">
        <f t="shared" si="84"/>
        <v>0</v>
      </c>
      <c r="Y97" s="18">
        <f t="shared" si="79"/>
        <v>109720621</v>
      </c>
      <c r="Z97" s="18">
        <f t="shared" si="85"/>
        <v>39862584</v>
      </c>
      <c r="AA97" s="18">
        <f t="shared" si="85"/>
        <v>20745288</v>
      </c>
      <c r="AB97" s="18">
        <f t="shared" si="80"/>
        <v>60607872</v>
      </c>
      <c r="AC97" s="140">
        <f t="shared" si="81"/>
        <v>178898352</v>
      </c>
      <c r="AD97" s="26">
        <f t="shared" si="42"/>
        <v>0.23243441512977148</v>
      </c>
    </row>
    <row r="98" spans="1:30">
      <c r="A98" s="138">
        <v>43040</v>
      </c>
      <c r="B98" s="139">
        <v>380910</v>
      </c>
      <c r="C98" s="18">
        <v>0</v>
      </c>
      <c r="D98" s="18">
        <f t="shared" si="43"/>
        <v>380910</v>
      </c>
      <c r="E98" s="18">
        <v>0</v>
      </c>
      <c r="F98" s="18">
        <v>0</v>
      </c>
      <c r="G98" s="18">
        <f t="shared" si="76"/>
        <v>0</v>
      </c>
      <c r="H98" s="18">
        <v>13884556</v>
      </c>
      <c r="I98" s="18">
        <v>703636</v>
      </c>
      <c r="J98" s="18">
        <f t="shared" si="63"/>
        <v>14588192</v>
      </c>
      <c r="K98" s="18">
        <v>4070637</v>
      </c>
      <c r="L98" s="18">
        <v>3517725</v>
      </c>
      <c r="M98" s="18">
        <f t="shared" si="64"/>
        <v>7588362</v>
      </c>
      <c r="N98" s="18">
        <f t="shared" si="65"/>
        <v>18336103</v>
      </c>
      <c r="O98" s="18">
        <f t="shared" si="65"/>
        <v>4221361</v>
      </c>
      <c r="P98" s="18">
        <f t="shared" si="66"/>
        <v>22557464</v>
      </c>
      <c r="Q98" s="139">
        <f t="shared" si="82"/>
        <v>4647542</v>
      </c>
      <c r="R98" s="18">
        <f t="shared" si="82"/>
        <v>4303227</v>
      </c>
      <c r="S98" s="18">
        <f t="shared" si="77"/>
        <v>8950769</v>
      </c>
      <c r="T98" s="18">
        <f t="shared" si="83"/>
        <v>0</v>
      </c>
      <c r="U98" s="18">
        <f t="shared" si="83"/>
        <v>0</v>
      </c>
      <c r="V98" s="18">
        <f t="shared" si="78"/>
        <v>0</v>
      </c>
      <c r="W98" s="18">
        <f t="shared" si="84"/>
        <v>123605177</v>
      </c>
      <c r="X98" s="18">
        <f t="shared" si="84"/>
        <v>703636</v>
      </c>
      <c r="Y98" s="18">
        <f t="shared" si="79"/>
        <v>124308813</v>
      </c>
      <c r="Z98" s="18">
        <f t="shared" si="85"/>
        <v>43933221</v>
      </c>
      <c r="AA98" s="18">
        <f t="shared" si="85"/>
        <v>24263013</v>
      </c>
      <c r="AB98" s="18">
        <f t="shared" si="80"/>
        <v>68196234</v>
      </c>
      <c r="AC98" s="140">
        <f t="shared" si="81"/>
        <v>201455816</v>
      </c>
      <c r="AD98" s="26">
        <f t="shared" si="42"/>
        <v>0.24538776122645101</v>
      </c>
    </row>
    <row r="99" spans="1:30" ht="14.25" thickBot="1">
      <c r="A99" s="138">
        <v>43070</v>
      </c>
      <c r="B99" s="139">
        <v>1096265</v>
      </c>
      <c r="C99" s="18">
        <v>0</v>
      </c>
      <c r="D99" s="18">
        <f t="shared" si="43"/>
        <v>1096265</v>
      </c>
      <c r="E99" s="18">
        <v>0</v>
      </c>
      <c r="F99" s="18">
        <v>0</v>
      </c>
      <c r="G99" s="18">
        <f t="shared" si="76"/>
        <v>0</v>
      </c>
      <c r="H99" s="18">
        <v>31879631</v>
      </c>
      <c r="I99" s="18">
        <v>912312</v>
      </c>
      <c r="J99" s="18">
        <f t="shared" si="63"/>
        <v>32791943</v>
      </c>
      <c r="K99" s="18">
        <v>8790659</v>
      </c>
      <c r="L99" s="18">
        <v>6489790</v>
      </c>
      <c r="M99" s="18">
        <f t="shared" si="64"/>
        <v>15280449</v>
      </c>
      <c r="N99" s="18">
        <f t="shared" si="65"/>
        <v>41766555</v>
      </c>
      <c r="O99" s="18">
        <f t="shared" si="65"/>
        <v>7402102</v>
      </c>
      <c r="P99" s="18">
        <f t="shared" si="66"/>
        <v>49168657</v>
      </c>
      <c r="Q99" s="139">
        <f>Q98+B99</f>
        <v>5743807</v>
      </c>
      <c r="R99" s="18">
        <f>R98+C99</f>
        <v>4303227</v>
      </c>
      <c r="S99" s="18">
        <f t="shared" si="77"/>
        <v>10047034</v>
      </c>
      <c r="T99" s="18">
        <f>T98+E99</f>
        <v>0</v>
      </c>
      <c r="U99" s="18">
        <f>U98+F99</f>
        <v>0</v>
      </c>
      <c r="V99" s="18">
        <f t="shared" si="78"/>
        <v>0</v>
      </c>
      <c r="W99" s="18">
        <f>W98+H99</f>
        <v>155484808</v>
      </c>
      <c r="X99" s="18">
        <f>X98+I99</f>
        <v>1615948</v>
      </c>
      <c r="Y99" s="18">
        <f t="shared" si="79"/>
        <v>157100756</v>
      </c>
      <c r="Z99" s="18">
        <f>Z98+K99</f>
        <v>52723880</v>
      </c>
      <c r="AA99" s="18">
        <f>AA98+L99</f>
        <v>30752803</v>
      </c>
      <c r="AB99" s="18">
        <f t="shared" si="80"/>
        <v>83476683</v>
      </c>
      <c r="AC99" s="140">
        <f t="shared" si="81"/>
        <v>250624473</v>
      </c>
      <c r="AD99" s="26">
        <f t="shared" si="42"/>
        <v>0.30288071495693836</v>
      </c>
    </row>
    <row r="100" spans="1:30">
      <c r="A100" s="141">
        <v>43101</v>
      </c>
      <c r="B100" s="142">
        <v>760163</v>
      </c>
      <c r="C100" s="143">
        <v>0</v>
      </c>
      <c r="D100" s="143">
        <f t="shared" si="43"/>
        <v>760163</v>
      </c>
      <c r="E100" s="143">
        <v>0</v>
      </c>
      <c r="F100" s="143">
        <v>0</v>
      </c>
      <c r="G100" s="143">
        <f t="shared" ref="G100:G163" si="86">SUM(E100:F100)</f>
        <v>0</v>
      </c>
      <c r="H100" s="143">
        <v>20688</v>
      </c>
      <c r="I100" s="143">
        <v>0</v>
      </c>
      <c r="J100" s="143">
        <f t="shared" si="63"/>
        <v>20688</v>
      </c>
      <c r="K100" s="143">
        <v>186414</v>
      </c>
      <c r="L100" s="143">
        <v>0</v>
      </c>
      <c r="M100" s="143">
        <f t="shared" si="64"/>
        <v>186414</v>
      </c>
      <c r="N100" s="143">
        <f t="shared" si="65"/>
        <v>967265</v>
      </c>
      <c r="O100" s="143">
        <f t="shared" si="65"/>
        <v>0</v>
      </c>
      <c r="P100" s="143">
        <f t="shared" si="66"/>
        <v>967265</v>
      </c>
      <c r="Q100" s="142">
        <f>B100</f>
        <v>760163</v>
      </c>
      <c r="R100" s="143">
        <f>C100</f>
        <v>0</v>
      </c>
      <c r="S100" s="143">
        <f>R100+Q100</f>
        <v>760163</v>
      </c>
      <c r="T100" s="143">
        <f>E100</f>
        <v>0</v>
      </c>
      <c r="U100" s="143">
        <f>F100</f>
        <v>0</v>
      </c>
      <c r="V100" s="143">
        <f>U100+T100</f>
        <v>0</v>
      </c>
      <c r="W100" s="143">
        <f>H100</f>
        <v>20688</v>
      </c>
      <c r="X100" s="143">
        <f>I100</f>
        <v>0</v>
      </c>
      <c r="Y100" s="143">
        <f>X100+W100</f>
        <v>20688</v>
      </c>
      <c r="Z100" s="143">
        <f>K100</f>
        <v>186414</v>
      </c>
      <c r="AA100" s="143">
        <f>L100</f>
        <v>0</v>
      </c>
      <c r="AB100" s="143">
        <f>AA100+Z100</f>
        <v>186414</v>
      </c>
      <c r="AC100" s="144">
        <f>AB100+Y100+V100+S100</f>
        <v>967265</v>
      </c>
      <c r="AD100" s="26">
        <f t="shared" si="42"/>
        <v>1.1060005660911405</v>
      </c>
    </row>
    <row r="101" spans="1:30">
      <c r="A101" s="138">
        <v>43132</v>
      </c>
      <c r="B101" s="139">
        <v>521507</v>
      </c>
      <c r="C101" s="18">
        <v>0</v>
      </c>
      <c r="D101" s="18">
        <f t="shared" si="43"/>
        <v>521507</v>
      </c>
      <c r="E101" s="18">
        <v>0</v>
      </c>
      <c r="F101" s="18">
        <v>0</v>
      </c>
      <c r="G101" s="18">
        <f t="shared" si="86"/>
        <v>0</v>
      </c>
      <c r="H101" s="18">
        <v>12807199</v>
      </c>
      <c r="I101" s="18">
        <v>860031</v>
      </c>
      <c r="J101" s="18">
        <f t="shared" si="63"/>
        <v>13667230</v>
      </c>
      <c r="K101" s="18">
        <v>4089552</v>
      </c>
      <c r="L101" s="18">
        <v>2095277</v>
      </c>
      <c r="M101" s="18">
        <f t="shared" si="64"/>
        <v>6184829</v>
      </c>
      <c r="N101" s="18">
        <f t="shared" si="65"/>
        <v>17418258</v>
      </c>
      <c r="O101" s="18">
        <f t="shared" si="65"/>
        <v>2955308</v>
      </c>
      <c r="P101" s="18">
        <f t="shared" si="66"/>
        <v>20373566</v>
      </c>
      <c r="Q101" s="139">
        <f>Q100+B101</f>
        <v>1281670</v>
      </c>
      <c r="R101" s="18">
        <f>R100+C101</f>
        <v>0</v>
      </c>
      <c r="S101" s="18">
        <f t="shared" ref="S101:S164" si="87">R101+Q101</f>
        <v>1281670</v>
      </c>
      <c r="T101" s="18">
        <f>T100+E101</f>
        <v>0</v>
      </c>
      <c r="U101" s="18">
        <f>U100+F101</f>
        <v>0</v>
      </c>
      <c r="V101" s="18">
        <f t="shared" ref="V101:V164" si="88">U101+T101</f>
        <v>0</v>
      </c>
      <c r="W101" s="18">
        <f>W100+H101</f>
        <v>12827887</v>
      </c>
      <c r="X101" s="18">
        <f>X100+I101</f>
        <v>860031</v>
      </c>
      <c r="Y101" s="18">
        <f t="shared" ref="Y101:Y135" si="89">X101+W101</f>
        <v>13687918</v>
      </c>
      <c r="Z101" s="18">
        <f>Z100+K101</f>
        <v>4275966</v>
      </c>
      <c r="AA101" s="18">
        <f>AA100+L101</f>
        <v>2095277</v>
      </c>
      <c r="AB101" s="18">
        <f t="shared" ref="AB101:AB135" si="90">AA101+Z101</f>
        <v>6371243</v>
      </c>
      <c r="AC101" s="140">
        <f t="shared" ref="AC101:AC135" si="91">AB101+Y101+V101+S101</f>
        <v>21340831</v>
      </c>
      <c r="AD101" s="26">
        <f t="shared" si="42"/>
        <v>0.30033925102766368</v>
      </c>
    </row>
    <row r="102" spans="1:30">
      <c r="A102" s="138">
        <v>43160</v>
      </c>
      <c r="B102" s="139">
        <v>721305</v>
      </c>
      <c r="C102" s="18">
        <v>1616594</v>
      </c>
      <c r="D102" s="18">
        <f t="shared" si="43"/>
        <v>2337899</v>
      </c>
      <c r="E102" s="18">
        <v>0</v>
      </c>
      <c r="F102" s="18">
        <v>0</v>
      </c>
      <c r="G102" s="18">
        <f t="shared" si="86"/>
        <v>0</v>
      </c>
      <c r="H102" s="18">
        <v>11493874</v>
      </c>
      <c r="I102" s="18">
        <v>741867</v>
      </c>
      <c r="J102" s="18">
        <f t="shared" si="63"/>
        <v>12235741</v>
      </c>
      <c r="K102" s="18">
        <v>3892294</v>
      </c>
      <c r="L102" s="18">
        <v>1933792</v>
      </c>
      <c r="M102" s="18">
        <f t="shared" si="64"/>
        <v>5826086</v>
      </c>
      <c r="N102" s="18">
        <f t="shared" si="65"/>
        <v>16107473</v>
      </c>
      <c r="O102" s="18">
        <f t="shared" si="65"/>
        <v>4292253</v>
      </c>
      <c r="P102" s="18">
        <f t="shared" si="66"/>
        <v>20399726</v>
      </c>
      <c r="Q102" s="139">
        <f t="shared" ref="Q102:R110" si="92">Q101+B102</f>
        <v>2002975</v>
      </c>
      <c r="R102" s="18">
        <f t="shared" si="92"/>
        <v>1616594</v>
      </c>
      <c r="S102" s="18">
        <f t="shared" si="87"/>
        <v>3619569</v>
      </c>
      <c r="T102" s="18">
        <f t="shared" ref="T102:U110" si="93">T101+E102</f>
        <v>0</v>
      </c>
      <c r="U102" s="18">
        <f t="shared" si="93"/>
        <v>0</v>
      </c>
      <c r="V102" s="18">
        <f t="shared" si="88"/>
        <v>0</v>
      </c>
      <c r="W102" s="18">
        <f t="shared" ref="W102:X110" si="94">W101+H102</f>
        <v>24321761</v>
      </c>
      <c r="X102" s="18">
        <f t="shared" si="94"/>
        <v>1601898</v>
      </c>
      <c r="Y102" s="18">
        <f t="shared" si="89"/>
        <v>25923659</v>
      </c>
      <c r="Z102" s="18">
        <f t="shared" ref="Z102:AA110" si="95">Z101+K102</f>
        <v>8168260</v>
      </c>
      <c r="AA102" s="18">
        <f t="shared" si="95"/>
        <v>4029069</v>
      </c>
      <c r="AB102" s="18">
        <f t="shared" si="90"/>
        <v>12197329</v>
      </c>
      <c r="AC102" s="140">
        <f t="shared" si="91"/>
        <v>41740557</v>
      </c>
      <c r="AD102" s="26">
        <f t="shared" si="42"/>
        <v>0.2785040966565604</v>
      </c>
    </row>
    <row r="103" spans="1:30">
      <c r="A103" s="138">
        <v>43191</v>
      </c>
      <c r="B103" s="139">
        <v>877687</v>
      </c>
      <c r="C103" s="18">
        <v>0</v>
      </c>
      <c r="D103" s="18">
        <f t="shared" si="43"/>
        <v>877687</v>
      </c>
      <c r="E103" s="18">
        <v>0</v>
      </c>
      <c r="F103" s="18">
        <v>0</v>
      </c>
      <c r="G103" s="18">
        <f t="shared" si="86"/>
        <v>0</v>
      </c>
      <c r="H103" s="18">
        <v>12875336</v>
      </c>
      <c r="I103" s="18">
        <v>961472</v>
      </c>
      <c r="J103" s="18">
        <f t="shared" si="63"/>
        <v>13836808</v>
      </c>
      <c r="K103" s="18">
        <v>3862235</v>
      </c>
      <c r="L103" s="18">
        <v>2095347</v>
      </c>
      <c r="M103" s="18">
        <f t="shared" si="64"/>
        <v>5957582</v>
      </c>
      <c r="N103" s="18">
        <f t="shared" si="65"/>
        <v>17615258</v>
      </c>
      <c r="O103" s="18">
        <f t="shared" si="65"/>
        <v>3056819</v>
      </c>
      <c r="P103" s="18">
        <f t="shared" si="66"/>
        <v>20672077</v>
      </c>
      <c r="Q103" s="139">
        <f t="shared" si="92"/>
        <v>2880662</v>
      </c>
      <c r="R103" s="18">
        <f t="shared" si="92"/>
        <v>1616594</v>
      </c>
      <c r="S103" s="18">
        <f t="shared" si="87"/>
        <v>4497256</v>
      </c>
      <c r="T103" s="18">
        <f t="shared" si="93"/>
        <v>0</v>
      </c>
      <c r="U103" s="18">
        <f t="shared" si="93"/>
        <v>0</v>
      </c>
      <c r="V103" s="18">
        <f t="shared" si="88"/>
        <v>0</v>
      </c>
      <c r="W103" s="18">
        <f t="shared" si="94"/>
        <v>37197097</v>
      </c>
      <c r="X103" s="18">
        <f t="shared" si="94"/>
        <v>2563370</v>
      </c>
      <c r="Y103" s="18">
        <f t="shared" si="89"/>
        <v>39760467</v>
      </c>
      <c r="Z103" s="18">
        <f t="shared" si="95"/>
        <v>12030495</v>
      </c>
      <c r="AA103" s="18">
        <f t="shared" si="95"/>
        <v>6124416</v>
      </c>
      <c r="AB103" s="18">
        <f t="shared" si="90"/>
        <v>18154911</v>
      </c>
      <c r="AC103" s="140">
        <f t="shared" si="91"/>
        <v>62412634</v>
      </c>
      <c r="AD103" s="26">
        <f t="shared" si="42"/>
        <v>0.24788612592936943</v>
      </c>
    </row>
    <row r="104" spans="1:30">
      <c r="A104" s="138">
        <v>43221</v>
      </c>
      <c r="B104" s="139">
        <v>537342</v>
      </c>
      <c r="C104" s="18">
        <v>0</v>
      </c>
      <c r="D104" s="18">
        <f t="shared" si="43"/>
        <v>537342</v>
      </c>
      <c r="E104" s="18">
        <v>0</v>
      </c>
      <c r="F104" s="18">
        <v>0</v>
      </c>
      <c r="G104" s="18">
        <f t="shared" si="86"/>
        <v>0</v>
      </c>
      <c r="H104" s="18">
        <v>15555160</v>
      </c>
      <c r="I104" s="18">
        <v>392582</v>
      </c>
      <c r="J104" s="18">
        <f t="shared" si="63"/>
        <v>15947742</v>
      </c>
      <c r="K104" s="18">
        <v>3040090</v>
      </c>
      <c r="L104" s="18">
        <v>2543716</v>
      </c>
      <c r="M104" s="18">
        <f t="shared" si="64"/>
        <v>5583806</v>
      </c>
      <c r="N104" s="18">
        <f t="shared" si="65"/>
        <v>19132592</v>
      </c>
      <c r="O104" s="18">
        <f t="shared" si="65"/>
        <v>2936298</v>
      </c>
      <c r="P104" s="18">
        <f t="shared" si="66"/>
        <v>22068890</v>
      </c>
      <c r="Q104" s="139">
        <f t="shared" si="92"/>
        <v>3418004</v>
      </c>
      <c r="R104" s="18">
        <f t="shared" si="92"/>
        <v>1616594</v>
      </c>
      <c r="S104" s="18">
        <f t="shared" si="87"/>
        <v>5034598</v>
      </c>
      <c r="T104" s="18">
        <f t="shared" si="93"/>
        <v>0</v>
      </c>
      <c r="U104" s="18">
        <f t="shared" si="93"/>
        <v>0</v>
      </c>
      <c r="V104" s="18">
        <f t="shared" si="88"/>
        <v>0</v>
      </c>
      <c r="W104" s="18">
        <f t="shared" si="94"/>
        <v>52752257</v>
      </c>
      <c r="X104" s="18">
        <f t="shared" si="94"/>
        <v>2955952</v>
      </c>
      <c r="Y104" s="18">
        <f t="shared" si="89"/>
        <v>55708209</v>
      </c>
      <c r="Z104" s="18">
        <f t="shared" si="95"/>
        <v>15070585</v>
      </c>
      <c r="AA104" s="18">
        <f t="shared" si="95"/>
        <v>8668132</v>
      </c>
      <c r="AB104" s="18">
        <f t="shared" si="90"/>
        <v>23738717</v>
      </c>
      <c r="AC104" s="140">
        <f t="shared" si="91"/>
        <v>84481524</v>
      </c>
      <c r="AD104" s="26">
        <f t="shared" si="42"/>
        <v>0.1652876827244818</v>
      </c>
    </row>
    <row r="105" spans="1:30">
      <c r="A105" s="138">
        <v>43252</v>
      </c>
      <c r="B105" s="139">
        <v>549023</v>
      </c>
      <c r="C105" s="18">
        <v>0</v>
      </c>
      <c r="D105" s="18">
        <f t="shared" si="43"/>
        <v>549023</v>
      </c>
      <c r="E105" s="18">
        <v>0</v>
      </c>
      <c r="F105" s="18">
        <v>0</v>
      </c>
      <c r="G105" s="18">
        <f t="shared" si="86"/>
        <v>0</v>
      </c>
      <c r="H105" s="18">
        <v>18467304</v>
      </c>
      <c r="I105" s="18">
        <v>228611</v>
      </c>
      <c r="J105" s="18">
        <f t="shared" si="63"/>
        <v>18695915</v>
      </c>
      <c r="K105" s="18">
        <v>3270773</v>
      </c>
      <c r="L105" s="18">
        <v>2754865</v>
      </c>
      <c r="M105" s="18">
        <f t="shared" si="64"/>
        <v>6025638</v>
      </c>
      <c r="N105" s="18">
        <f t="shared" si="65"/>
        <v>22287100</v>
      </c>
      <c r="O105" s="18">
        <f t="shared" si="65"/>
        <v>2983476</v>
      </c>
      <c r="P105" s="18">
        <f t="shared" si="66"/>
        <v>25270576</v>
      </c>
      <c r="Q105" s="139">
        <f t="shared" si="92"/>
        <v>3967027</v>
      </c>
      <c r="R105" s="18">
        <f t="shared" si="92"/>
        <v>1616594</v>
      </c>
      <c r="S105" s="18">
        <f t="shared" si="87"/>
        <v>5583621</v>
      </c>
      <c r="T105" s="18">
        <f t="shared" si="93"/>
        <v>0</v>
      </c>
      <c r="U105" s="18">
        <f t="shared" si="93"/>
        <v>0</v>
      </c>
      <c r="V105" s="18">
        <f t="shared" si="88"/>
        <v>0</v>
      </c>
      <c r="W105" s="18">
        <f t="shared" si="94"/>
        <v>71219561</v>
      </c>
      <c r="X105" s="18">
        <f t="shared" si="94"/>
        <v>3184563</v>
      </c>
      <c r="Y105" s="18">
        <f t="shared" si="89"/>
        <v>74404124</v>
      </c>
      <c r="Z105" s="18">
        <f t="shared" si="95"/>
        <v>18341358</v>
      </c>
      <c r="AA105" s="18">
        <f t="shared" si="95"/>
        <v>11422997</v>
      </c>
      <c r="AB105" s="18">
        <f t="shared" si="90"/>
        <v>29764355</v>
      </c>
      <c r="AC105" s="140">
        <f t="shared" si="91"/>
        <v>109752100</v>
      </c>
      <c r="AD105" s="26">
        <f t="shared" si="42"/>
        <v>0.1583826686724088</v>
      </c>
    </row>
    <row r="106" spans="1:30">
      <c r="A106" s="138">
        <v>43282</v>
      </c>
      <c r="B106" s="139">
        <v>267804</v>
      </c>
      <c r="C106" s="18">
        <v>0</v>
      </c>
      <c r="D106" s="18">
        <f t="shared" si="43"/>
        <v>267804</v>
      </c>
      <c r="E106" s="18">
        <v>0</v>
      </c>
      <c r="F106" s="18">
        <v>0</v>
      </c>
      <c r="G106" s="18">
        <f t="shared" si="86"/>
        <v>0</v>
      </c>
      <c r="H106" s="18">
        <v>19082106</v>
      </c>
      <c r="I106" s="18">
        <v>196608</v>
      </c>
      <c r="J106" s="18">
        <f t="shared" si="63"/>
        <v>19278714</v>
      </c>
      <c r="K106" s="18">
        <v>4067717</v>
      </c>
      <c r="L106" s="18">
        <v>2736723</v>
      </c>
      <c r="M106" s="18">
        <f t="shared" si="64"/>
        <v>6804440</v>
      </c>
      <c r="N106" s="18">
        <f t="shared" si="65"/>
        <v>23417627</v>
      </c>
      <c r="O106" s="18">
        <f t="shared" si="65"/>
        <v>2933331</v>
      </c>
      <c r="P106" s="18">
        <f t="shared" si="66"/>
        <v>26350958</v>
      </c>
      <c r="Q106" s="139">
        <f t="shared" si="92"/>
        <v>4234831</v>
      </c>
      <c r="R106" s="18">
        <f t="shared" si="92"/>
        <v>1616594</v>
      </c>
      <c r="S106" s="18">
        <f t="shared" si="87"/>
        <v>5851425</v>
      </c>
      <c r="T106" s="18">
        <f t="shared" si="93"/>
        <v>0</v>
      </c>
      <c r="U106" s="18">
        <f t="shared" si="93"/>
        <v>0</v>
      </c>
      <c r="V106" s="18">
        <f t="shared" si="88"/>
        <v>0</v>
      </c>
      <c r="W106" s="18">
        <f t="shared" si="94"/>
        <v>90301667</v>
      </c>
      <c r="X106" s="18">
        <f t="shared" si="94"/>
        <v>3381171</v>
      </c>
      <c r="Y106" s="18">
        <f t="shared" si="89"/>
        <v>93682838</v>
      </c>
      <c r="Z106" s="18">
        <f t="shared" si="95"/>
        <v>22409075</v>
      </c>
      <c r="AA106" s="18">
        <f t="shared" si="95"/>
        <v>14159720</v>
      </c>
      <c r="AB106" s="18">
        <f t="shared" si="90"/>
        <v>36568795</v>
      </c>
      <c r="AC106" s="140">
        <f t="shared" si="91"/>
        <v>136103058</v>
      </c>
      <c r="AD106" s="26">
        <f t="shared" si="42"/>
        <v>0.18172614880237448</v>
      </c>
    </row>
    <row r="107" spans="1:30">
      <c r="A107" s="138">
        <v>43313</v>
      </c>
      <c r="B107" s="139">
        <v>445350</v>
      </c>
      <c r="C107" s="18">
        <v>0</v>
      </c>
      <c r="D107" s="18">
        <f t="shared" si="43"/>
        <v>445350</v>
      </c>
      <c r="E107" s="18">
        <v>0</v>
      </c>
      <c r="F107" s="18">
        <v>0</v>
      </c>
      <c r="G107" s="18">
        <f t="shared" si="86"/>
        <v>0</v>
      </c>
      <c r="H107" s="18">
        <v>22250007</v>
      </c>
      <c r="I107" s="18">
        <v>428514</v>
      </c>
      <c r="J107" s="18">
        <f t="shared" si="63"/>
        <v>22678521</v>
      </c>
      <c r="K107" s="18">
        <v>5389916</v>
      </c>
      <c r="L107" s="18">
        <v>2778425</v>
      </c>
      <c r="M107" s="18">
        <f t="shared" si="64"/>
        <v>8168341</v>
      </c>
      <c r="N107" s="18">
        <f t="shared" si="65"/>
        <v>28085273</v>
      </c>
      <c r="O107" s="18">
        <f t="shared" si="65"/>
        <v>3206939</v>
      </c>
      <c r="P107" s="18">
        <f t="shared" si="66"/>
        <v>31292212</v>
      </c>
      <c r="Q107" s="139">
        <f t="shared" si="92"/>
        <v>4680181</v>
      </c>
      <c r="R107" s="18">
        <f t="shared" si="92"/>
        <v>1616594</v>
      </c>
      <c r="S107" s="18">
        <f t="shared" si="87"/>
        <v>6296775</v>
      </c>
      <c r="T107" s="18">
        <f t="shared" si="93"/>
        <v>0</v>
      </c>
      <c r="U107" s="18">
        <f t="shared" si="93"/>
        <v>0</v>
      </c>
      <c r="V107" s="18">
        <f t="shared" si="88"/>
        <v>0</v>
      </c>
      <c r="W107" s="18">
        <f t="shared" si="94"/>
        <v>112551674</v>
      </c>
      <c r="X107" s="18">
        <f t="shared" si="94"/>
        <v>3809685</v>
      </c>
      <c r="Y107" s="18">
        <f t="shared" si="89"/>
        <v>116361359</v>
      </c>
      <c r="Z107" s="18">
        <f t="shared" si="95"/>
        <v>27798991</v>
      </c>
      <c r="AA107" s="18">
        <f t="shared" si="95"/>
        <v>16938145</v>
      </c>
      <c r="AB107" s="18">
        <f t="shared" si="90"/>
        <v>44737136</v>
      </c>
      <c r="AC107" s="140">
        <f t="shared" si="91"/>
        <v>167395270</v>
      </c>
      <c r="AD107" s="26">
        <f t="shared" ref="AD107:AD143" si="96">AC107/AC95-1</f>
        <v>0.23671062765244155</v>
      </c>
    </row>
    <row r="108" spans="1:30">
      <c r="A108" s="138">
        <v>43344</v>
      </c>
      <c r="B108" s="139">
        <v>888689</v>
      </c>
      <c r="C108" s="18">
        <v>0</v>
      </c>
      <c r="D108" s="18">
        <f t="shared" si="43"/>
        <v>888689</v>
      </c>
      <c r="E108" s="18">
        <v>0</v>
      </c>
      <c r="F108" s="18">
        <v>0</v>
      </c>
      <c r="G108" s="18">
        <f t="shared" si="86"/>
        <v>0</v>
      </c>
      <c r="H108" s="18">
        <v>19518579</v>
      </c>
      <c r="I108" s="18">
        <v>260744</v>
      </c>
      <c r="J108" s="18">
        <f t="shared" si="63"/>
        <v>19779323</v>
      </c>
      <c r="K108" s="18">
        <v>5465132</v>
      </c>
      <c r="L108" s="18">
        <v>2715051</v>
      </c>
      <c r="M108" s="18">
        <f t="shared" si="64"/>
        <v>8180183</v>
      </c>
      <c r="N108" s="18">
        <f t="shared" si="65"/>
        <v>25872400</v>
      </c>
      <c r="O108" s="18">
        <f t="shared" si="65"/>
        <v>2975795</v>
      </c>
      <c r="P108" s="18">
        <f t="shared" si="66"/>
        <v>28848195</v>
      </c>
      <c r="Q108" s="139">
        <f t="shared" si="92"/>
        <v>5568870</v>
      </c>
      <c r="R108" s="18">
        <f t="shared" si="92"/>
        <v>1616594</v>
      </c>
      <c r="S108" s="18">
        <f t="shared" si="87"/>
        <v>7185464</v>
      </c>
      <c r="T108" s="18">
        <f t="shared" si="93"/>
        <v>0</v>
      </c>
      <c r="U108" s="18">
        <f t="shared" si="93"/>
        <v>0</v>
      </c>
      <c r="V108" s="18">
        <f t="shared" si="88"/>
        <v>0</v>
      </c>
      <c r="W108" s="18">
        <f t="shared" si="94"/>
        <v>132070253</v>
      </c>
      <c r="X108" s="18">
        <f t="shared" si="94"/>
        <v>4070429</v>
      </c>
      <c r="Y108" s="18">
        <f t="shared" si="89"/>
        <v>136140682</v>
      </c>
      <c r="Z108" s="18">
        <f t="shared" si="95"/>
        <v>33264123</v>
      </c>
      <c r="AA108" s="18">
        <f t="shared" si="95"/>
        <v>19653196</v>
      </c>
      <c r="AB108" s="18">
        <f t="shared" si="90"/>
        <v>52917319</v>
      </c>
      <c r="AC108" s="140">
        <f t="shared" si="91"/>
        <v>196243465</v>
      </c>
      <c r="AD108" s="26">
        <f t="shared" si="96"/>
        <v>0.25144976115772222</v>
      </c>
    </row>
    <row r="109" spans="1:30">
      <c r="A109" s="138">
        <v>43374</v>
      </c>
      <c r="B109" s="139">
        <v>439426</v>
      </c>
      <c r="C109" s="18">
        <v>0</v>
      </c>
      <c r="D109" s="18">
        <f t="shared" si="43"/>
        <v>439426</v>
      </c>
      <c r="E109" s="18">
        <v>0</v>
      </c>
      <c r="F109" s="18">
        <v>0</v>
      </c>
      <c r="G109" s="18">
        <f t="shared" si="86"/>
        <v>0</v>
      </c>
      <c r="H109" s="18">
        <v>19797994</v>
      </c>
      <c r="I109" s="18">
        <v>1114044</v>
      </c>
      <c r="J109" s="18">
        <f t="shared" si="63"/>
        <v>20912038</v>
      </c>
      <c r="K109" s="18">
        <v>5739552</v>
      </c>
      <c r="L109" s="18">
        <v>1907499</v>
      </c>
      <c r="M109" s="18">
        <f t="shared" si="64"/>
        <v>7647051</v>
      </c>
      <c r="N109" s="18">
        <f t="shared" si="65"/>
        <v>25976972</v>
      </c>
      <c r="O109" s="18">
        <f t="shared" si="65"/>
        <v>3021543</v>
      </c>
      <c r="P109" s="18">
        <f t="shared" si="66"/>
        <v>28998515</v>
      </c>
      <c r="Q109" s="139">
        <f t="shared" si="92"/>
        <v>6008296</v>
      </c>
      <c r="R109" s="18">
        <f t="shared" si="92"/>
        <v>1616594</v>
      </c>
      <c r="S109" s="18">
        <f t="shared" si="87"/>
        <v>7624890</v>
      </c>
      <c r="T109" s="18">
        <f t="shared" si="93"/>
        <v>0</v>
      </c>
      <c r="U109" s="18">
        <f t="shared" si="93"/>
        <v>0</v>
      </c>
      <c r="V109" s="18">
        <f t="shared" si="88"/>
        <v>0</v>
      </c>
      <c r="W109" s="18">
        <f t="shared" si="94"/>
        <v>151868247</v>
      </c>
      <c r="X109" s="18">
        <f t="shared" si="94"/>
        <v>5184473</v>
      </c>
      <c r="Y109" s="18">
        <f t="shared" si="89"/>
        <v>157052720</v>
      </c>
      <c r="Z109" s="18">
        <f t="shared" si="95"/>
        <v>39003675</v>
      </c>
      <c r="AA109" s="18">
        <f t="shared" si="95"/>
        <v>21560695</v>
      </c>
      <c r="AB109" s="18">
        <f t="shared" si="90"/>
        <v>60564370</v>
      </c>
      <c r="AC109" s="140">
        <f t="shared" si="91"/>
        <v>225241980</v>
      </c>
      <c r="AD109" s="26">
        <f t="shared" si="96"/>
        <v>0.25905005541918014</v>
      </c>
    </row>
    <row r="110" spans="1:30">
      <c r="A110" s="138">
        <v>43405</v>
      </c>
      <c r="B110" s="139">
        <v>389828</v>
      </c>
      <c r="C110" s="18">
        <v>0</v>
      </c>
      <c r="D110" s="18">
        <f t="shared" si="43"/>
        <v>389828</v>
      </c>
      <c r="E110" s="18">
        <v>0</v>
      </c>
      <c r="F110" s="18">
        <v>0</v>
      </c>
      <c r="G110" s="18">
        <f t="shared" si="86"/>
        <v>0</v>
      </c>
      <c r="H110" s="18">
        <v>19064110</v>
      </c>
      <c r="I110" s="18">
        <v>1057401</v>
      </c>
      <c r="J110" s="18">
        <f t="shared" si="63"/>
        <v>20121511</v>
      </c>
      <c r="K110" s="18">
        <v>5018307</v>
      </c>
      <c r="L110" s="18">
        <v>2109830</v>
      </c>
      <c r="M110" s="18">
        <f t="shared" si="64"/>
        <v>7128137</v>
      </c>
      <c r="N110" s="18">
        <f t="shared" si="65"/>
        <v>24472245</v>
      </c>
      <c r="O110" s="18">
        <f t="shared" si="65"/>
        <v>3167231</v>
      </c>
      <c r="P110" s="18">
        <f t="shared" si="66"/>
        <v>27639476</v>
      </c>
      <c r="Q110" s="139">
        <f t="shared" si="92"/>
        <v>6398124</v>
      </c>
      <c r="R110" s="18">
        <f t="shared" si="92"/>
        <v>1616594</v>
      </c>
      <c r="S110" s="18">
        <f t="shared" si="87"/>
        <v>8014718</v>
      </c>
      <c r="T110" s="18">
        <f t="shared" si="93"/>
        <v>0</v>
      </c>
      <c r="U110" s="18">
        <f t="shared" si="93"/>
        <v>0</v>
      </c>
      <c r="V110" s="18">
        <f t="shared" si="88"/>
        <v>0</v>
      </c>
      <c r="W110" s="18">
        <f t="shared" si="94"/>
        <v>170932357</v>
      </c>
      <c r="X110" s="18">
        <f t="shared" si="94"/>
        <v>6241874</v>
      </c>
      <c r="Y110" s="18">
        <f t="shared" si="89"/>
        <v>177174231</v>
      </c>
      <c r="Z110" s="18">
        <f t="shared" si="95"/>
        <v>44021982</v>
      </c>
      <c r="AA110" s="18">
        <f t="shared" si="95"/>
        <v>23670525</v>
      </c>
      <c r="AB110" s="18">
        <f t="shared" si="90"/>
        <v>67692507</v>
      </c>
      <c r="AC110" s="140">
        <f t="shared" si="91"/>
        <v>252881456</v>
      </c>
      <c r="AD110" s="26">
        <f t="shared" si="96"/>
        <v>0.25527006874797786</v>
      </c>
    </row>
    <row r="111" spans="1:30" ht="14.25" thickBot="1">
      <c r="A111" s="138">
        <v>43435</v>
      </c>
      <c r="B111" s="139">
        <v>143450</v>
      </c>
      <c r="C111" s="18">
        <v>0</v>
      </c>
      <c r="D111" s="18">
        <f t="shared" si="43"/>
        <v>143450</v>
      </c>
      <c r="E111" s="18">
        <v>0</v>
      </c>
      <c r="F111" s="18">
        <v>0</v>
      </c>
      <c r="G111" s="18">
        <f t="shared" si="86"/>
        <v>0</v>
      </c>
      <c r="H111" s="18">
        <v>42259874</v>
      </c>
      <c r="I111" s="18">
        <v>2076150</v>
      </c>
      <c r="J111" s="18">
        <f t="shared" si="63"/>
        <v>44336024</v>
      </c>
      <c r="K111" s="18">
        <v>11152309</v>
      </c>
      <c r="L111" s="18">
        <v>3834959</v>
      </c>
      <c r="M111" s="18">
        <f t="shared" si="64"/>
        <v>14987268</v>
      </c>
      <c r="N111" s="18">
        <f t="shared" si="65"/>
        <v>53555633</v>
      </c>
      <c r="O111" s="18">
        <f t="shared" si="65"/>
        <v>5911109</v>
      </c>
      <c r="P111" s="18">
        <f t="shared" si="66"/>
        <v>59466742</v>
      </c>
      <c r="Q111" s="139">
        <f>Q110+B111</f>
        <v>6541574</v>
      </c>
      <c r="R111" s="18">
        <f>R110+C111</f>
        <v>1616594</v>
      </c>
      <c r="S111" s="18">
        <f t="shared" si="87"/>
        <v>8158168</v>
      </c>
      <c r="T111" s="18">
        <f>T110+E111</f>
        <v>0</v>
      </c>
      <c r="U111" s="18">
        <f>U110+F111</f>
        <v>0</v>
      </c>
      <c r="V111" s="18">
        <f t="shared" si="88"/>
        <v>0</v>
      </c>
      <c r="W111" s="18">
        <f>W110+H111</f>
        <v>213192231</v>
      </c>
      <c r="X111" s="18">
        <f>X110+I111</f>
        <v>8318024</v>
      </c>
      <c r="Y111" s="18">
        <f t="shared" si="89"/>
        <v>221510255</v>
      </c>
      <c r="Z111" s="18">
        <f>Z110+K111</f>
        <v>55174291</v>
      </c>
      <c r="AA111" s="18">
        <f>AA110+L111</f>
        <v>27505484</v>
      </c>
      <c r="AB111" s="18">
        <f t="shared" si="90"/>
        <v>82679775</v>
      </c>
      <c r="AC111" s="140">
        <f t="shared" si="91"/>
        <v>312348198</v>
      </c>
      <c r="AD111" s="26">
        <f t="shared" si="96"/>
        <v>0.24627971985800445</v>
      </c>
    </row>
    <row r="112" spans="1:30">
      <c r="A112" s="141">
        <v>43466</v>
      </c>
      <c r="B112" s="142">
        <v>528864</v>
      </c>
      <c r="C112" s="143">
        <v>0</v>
      </c>
      <c r="D112" s="143">
        <f t="shared" si="43"/>
        <v>528864</v>
      </c>
      <c r="E112" s="143">
        <v>0</v>
      </c>
      <c r="F112" s="143">
        <v>0</v>
      </c>
      <c r="G112" s="143">
        <f t="shared" si="86"/>
        <v>0</v>
      </c>
      <c r="H112" s="143">
        <v>22550</v>
      </c>
      <c r="I112" s="143">
        <v>0</v>
      </c>
      <c r="J112" s="143">
        <f t="shared" si="63"/>
        <v>22550</v>
      </c>
      <c r="K112" s="143">
        <v>185308</v>
      </c>
      <c r="L112" s="143">
        <v>0</v>
      </c>
      <c r="M112" s="143">
        <f t="shared" si="64"/>
        <v>185308</v>
      </c>
      <c r="N112" s="143">
        <f t="shared" si="65"/>
        <v>736722</v>
      </c>
      <c r="O112" s="143">
        <f t="shared" si="65"/>
        <v>0</v>
      </c>
      <c r="P112" s="143">
        <f t="shared" si="66"/>
        <v>736722</v>
      </c>
      <c r="Q112" s="142">
        <f>B112</f>
        <v>528864</v>
      </c>
      <c r="R112" s="143">
        <f>C112</f>
        <v>0</v>
      </c>
      <c r="S112" s="143">
        <f t="shared" si="87"/>
        <v>528864</v>
      </c>
      <c r="T112" s="143">
        <f>E112</f>
        <v>0</v>
      </c>
      <c r="U112" s="143">
        <f>F112</f>
        <v>0</v>
      </c>
      <c r="V112" s="143">
        <f t="shared" si="88"/>
        <v>0</v>
      </c>
      <c r="W112" s="143">
        <f>H112</f>
        <v>22550</v>
      </c>
      <c r="X112" s="143">
        <f>I112</f>
        <v>0</v>
      </c>
      <c r="Y112" s="143">
        <f t="shared" si="89"/>
        <v>22550</v>
      </c>
      <c r="Z112" s="143">
        <f>K112</f>
        <v>185308</v>
      </c>
      <c r="AA112" s="143">
        <f>L112</f>
        <v>0</v>
      </c>
      <c r="AB112" s="143">
        <f t="shared" si="90"/>
        <v>185308</v>
      </c>
      <c r="AC112" s="144">
        <f t="shared" si="91"/>
        <v>736722</v>
      </c>
      <c r="AD112" s="26">
        <f t="shared" si="96"/>
        <v>-0.23834523114141415</v>
      </c>
    </row>
    <row r="113" spans="1:30">
      <c r="A113" s="138">
        <v>43497</v>
      </c>
      <c r="B113" s="139">
        <v>1031913</v>
      </c>
      <c r="C113" s="18">
        <v>0</v>
      </c>
      <c r="D113" s="18">
        <f t="shared" si="43"/>
        <v>1031913</v>
      </c>
      <c r="E113" s="18">
        <v>0</v>
      </c>
      <c r="F113" s="18">
        <v>0</v>
      </c>
      <c r="G113" s="18">
        <f t="shared" si="86"/>
        <v>0</v>
      </c>
      <c r="H113" s="18">
        <v>23379278</v>
      </c>
      <c r="I113" s="18">
        <v>1049497</v>
      </c>
      <c r="J113" s="18">
        <f t="shared" si="63"/>
        <v>24428775</v>
      </c>
      <c r="K113" s="18">
        <v>4330400</v>
      </c>
      <c r="L113" s="18">
        <v>2006302</v>
      </c>
      <c r="M113" s="18">
        <f t="shared" si="64"/>
        <v>6336702</v>
      </c>
      <c r="N113" s="18">
        <f t="shared" si="65"/>
        <v>28741591</v>
      </c>
      <c r="O113" s="18">
        <f t="shared" si="65"/>
        <v>3055799</v>
      </c>
      <c r="P113" s="18">
        <f t="shared" si="66"/>
        <v>31797390</v>
      </c>
      <c r="Q113" s="139">
        <f t="shared" ref="Q113:R123" si="97">Q112+B113</f>
        <v>1560777</v>
      </c>
      <c r="R113" s="18">
        <f t="shared" si="97"/>
        <v>0</v>
      </c>
      <c r="S113" s="18">
        <f t="shared" si="87"/>
        <v>1560777</v>
      </c>
      <c r="T113" s="18">
        <f t="shared" ref="T113:U123" si="98">T112+E113</f>
        <v>0</v>
      </c>
      <c r="U113" s="18">
        <f t="shared" si="98"/>
        <v>0</v>
      </c>
      <c r="V113" s="18">
        <f t="shared" si="88"/>
        <v>0</v>
      </c>
      <c r="W113" s="18">
        <f t="shared" ref="W113:X123" si="99">W112+H113</f>
        <v>23401828</v>
      </c>
      <c r="X113" s="18">
        <f t="shared" si="99"/>
        <v>1049497</v>
      </c>
      <c r="Y113" s="18">
        <f t="shared" si="89"/>
        <v>24451325</v>
      </c>
      <c r="Z113" s="18">
        <f t="shared" ref="Z113:AA123" si="100">Z112+K113</f>
        <v>4515708</v>
      </c>
      <c r="AA113" s="18">
        <f t="shared" si="100"/>
        <v>2006302</v>
      </c>
      <c r="AB113" s="18">
        <f t="shared" si="90"/>
        <v>6522010</v>
      </c>
      <c r="AC113" s="140">
        <f t="shared" si="91"/>
        <v>32534112</v>
      </c>
      <c r="AD113" s="26">
        <f t="shared" si="96"/>
        <v>0.52450070946159499</v>
      </c>
    </row>
    <row r="114" spans="1:30">
      <c r="A114" s="138">
        <v>43525</v>
      </c>
      <c r="B114" s="139">
        <v>396377</v>
      </c>
      <c r="C114" s="18">
        <v>4263940</v>
      </c>
      <c r="D114" s="18">
        <f t="shared" si="43"/>
        <v>4660317</v>
      </c>
      <c r="E114" s="18">
        <v>0</v>
      </c>
      <c r="F114" s="18">
        <v>0</v>
      </c>
      <c r="G114" s="18">
        <f t="shared" si="86"/>
        <v>0</v>
      </c>
      <c r="H114" s="18">
        <v>20820447</v>
      </c>
      <c r="I114" s="18">
        <v>785481</v>
      </c>
      <c r="J114" s="18">
        <f t="shared" si="63"/>
        <v>21605928</v>
      </c>
      <c r="K114" s="18">
        <v>4039100</v>
      </c>
      <c r="L114" s="18">
        <v>1879436</v>
      </c>
      <c r="M114" s="18">
        <f t="shared" si="64"/>
        <v>5918536</v>
      </c>
      <c r="N114" s="18">
        <f t="shared" si="65"/>
        <v>25255924</v>
      </c>
      <c r="O114" s="18">
        <f t="shared" si="65"/>
        <v>6928857</v>
      </c>
      <c r="P114" s="18">
        <f t="shared" si="66"/>
        <v>32184781</v>
      </c>
      <c r="Q114" s="139">
        <f t="shared" si="97"/>
        <v>1957154</v>
      </c>
      <c r="R114" s="18">
        <f t="shared" si="97"/>
        <v>4263940</v>
      </c>
      <c r="S114" s="18">
        <f t="shared" si="87"/>
        <v>6221094</v>
      </c>
      <c r="T114" s="18">
        <f t="shared" si="98"/>
        <v>0</v>
      </c>
      <c r="U114" s="18">
        <f t="shared" si="98"/>
        <v>0</v>
      </c>
      <c r="V114" s="18">
        <f t="shared" si="88"/>
        <v>0</v>
      </c>
      <c r="W114" s="18">
        <f t="shared" si="99"/>
        <v>44222275</v>
      </c>
      <c r="X114" s="18">
        <f t="shared" si="99"/>
        <v>1834978</v>
      </c>
      <c r="Y114" s="18">
        <f t="shared" si="89"/>
        <v>46057253</v>
      </c>
      <c r="Z114" s="18">
        <f t="shared" si="100"/>
        <v>8554808</v>
      </c>
      <c r="AA114" s="18">
        <f t="shared" si="100"/>
        <v>3885738</v>
      </c>
      <c r="AB114" s="18">
        <f t="shared" si="90"/>
        <v>12440546</v>
      </c>
      <c r="AC114" s="140">
        <f t="shared" si="91"/>
        <v>64718893</v>
      </c>
      <c r="AD114" s="26">
        <f t="shared" si="96"/>
        <v>0.55050381814502369</v>
      </c>
    </row>
    <row r="115" spans="1:30">
      <c r="A115" s="138">
        <v>43556</v>
      </c>
      <c r="B115" s="139">
        <v>401898</v>
      </c>
      <c r="C115" s="18">
        <v>0</v>
      </c>
      <c r="D115" s="18">
        <f t="shared" si="43"/>
        <v>401898</v>
      </c>
      <c r="E115" s="18">
        <v>0</v>
      </c>
      <c r="F115" s="18">
        <v>0</v>
      </c>
      <c r="G115" s="18">
        <f t="shared" si="86"/>
        <v>0</v>
      </c>
      <c r="H115" s="18">
        <v>25619818</v>
      </c>
      <c r="I115" s="18">
        <v>925962</v>
      </c>
      <c r="J115" s="18">
        <f t="shared" si="63"/>
        <v>26545780</v>
      </c>
      <c r="K115" s="18">
        <v>4446649</v>
      </c>
      <c r="L115" s="18">
        <v>2076677</v>
      </c>
      <c r="M115" s="18">
        <f t="shared" si="64"/>
        <v>6523326</v>
      </c>
      <c r="N115" s="18">
        <f t="shared" si="65"/>
        <v>30468365</v>
      </c>
      <c r="O115" s="18">
        <f t="shared" si="65"/>
        <v>3002639</v>
      </c>
      <c r="P115" s="18">
        <f t="shared" si="66"/>
        <v>33471004</v>
      </c>
      <c r="Q115" s="139">
        <f t="shared" si="97"/>
        <v>2359052</v>
      </c>
      <c r="R115" s="18">
        <f t="shared" si="97"/>
        <v>4263940</v>
      </c>
      <c r="S115" s="18">
        <f t="shared" si="87"/>
        <v>6622992</v>
      </c>
      <c r="T115" s="18">
        <f t="shared" si="98"/>
        <v>0</v>
      </c>
      <c r="U115" s="18">
        <f t="shared" si="98"/>
        <v>0</v>
      </c>
      <c r="V115" s="18">
        <f t="shared" si="88"/>
        <v>0</v>
      </c>
      <c r="W115" s="18">
        <f t="shared" si="99"/>
        <v>69842093</v>
      </c>
      <c r="X115" s="18">
        <f t="shared" si="99"/>
        <v>2760940</v>
      </c>
      <c r="Y115" s="18">
        <f t="shared" si="89"/>
        <v>72603033</v>
      </c>
      <c r="Z115" s="18">
        <f t="shared" si="100"/>
        <v>13001457</v>
      </c>
      <c r="AA115" s="18">
        <f t="shared" si="100"/>
        <v>5962415</v>
      </c>
      <c r="AB115" s="18">
        <f t="shared" si="90"/>
        <v>18963872</v>
      </c>
      <c r="AC115" s="140">
        <f t="shared" si="91"/>
        <v>98189897</v>
      </c>
      <c r="AD115" s="26">
        <f t="shared" si="96"/>
        <v>0.57323751149486823</v>
      </c>
    </row>
    <row r="116" spans="1:30">
      <c r="A116" s="138">
        <v>43586</v>
      </c>
      <c r="B116" s="139">
        <v>440284</v>
      </c>
      <c r="C116" s="18">
        <v>0</v>
      </c>
      <c r="D116" s="18">
        <f t="shared" ref="D116:D178" si="101">SUM(B116:C116)</f>
        <v>440284</v>
      </c>
      <c r="E116" s="18">
        <v>0</v>
      </c>
      <c r="F116" s="18">
        <v>0</v>
      </c>
      <c r="G116" s="18">
        <f t="shared" si="86"/>
        <v>0</v>
      </c>
      <c r="H116" s="18">
        <v>25280275</v>
      </c>
      <c r="I116" s="18">
        <v>809299</v>
      </c>
      <c r="J116" s="18">
        <f t="shared" si="63"/>
        <v>26089574</v>
      </c>
      <c r="K116" s="18">
        <v>2427400</v>
      </c>
      <c r="L116" s="18">
        <v>2025206</v>
      </c>
      <c r="M116" s="18">
        <f t="shared" si="64"/>
        <v>4452606</v>
      </c>
      <c r="N116" s="18">
        <f t="shared" ref="N116:O137" si="102">B116+E116+H116+K116</f>
        <v>28147959</v>
      </c>
      <c r="O116" s="18">
        <f t="shared" si="102"/>
        <v>2834505</v>
      </c>
      <c r="P116" s="18">
        <f t="shared" si="66"/>
        <v>30982464</v>
      </c>
      <c r="Q116" s="139">
        <f t="shared" si="97"/>
        <v>2799336</v>
      </c>
      <c r="R116" s="18">
        <f t="shared" si="97"/>
        <v>4263940</v>
      </c>
      <c r="S116" s="18">
        <f t="shared" si="87"/>
        <v>7063276</v>
      </c>
      <c r="T116" s="18">
        <f t="shared" si="98"/>
        <v>0</v>
      </c>
      <c r="U116" s="18">
        <f t="shared" si="98"/>
        <v>0</v>
      </c>
      <c r="V116" s="18">
        <f t="shared" si="88"/>
        <v>0</v>
      </c>
      <c r="W116" s="18">
        <f t="shared" si="99"/>
        <v>95122368</v>
      </c>
      <c r="X116" s="18">
        <f t="shared" si="99"/>
        <v>3570239</v>
      </c>
      <c r="Y116" s="18">
        <f t="shared" si="89"/>
        <v>98692607</v>
      </c>
      <c r="Z116" s="18">
        <f t="shared" si="100"/>
        <v>15428857</v>
      </c>
      <c r="AA116" s="18">
        <f t="shared" si="100"/>
        <v>7987621</v>
      </c>
      <c r="AB116" s="18">
        <f t="shared" si="90"/>
        <v>23416478</v>
      </c>
      <c r="AC116" s="140">
        <f t="shared" si="91"/>
        <v>129172361</v>
      </c>
      <c r="AD116" s="26">
        <f t="shared" si="96"/>
        <v>0.52900131157671826</v>
      </c>
    </row>
    <row r="117" spans="1:30">
      <c r="A117" s="138">
        <v>43617</v>
      </c>
      <c r="B117" s="139">
        <v>175766</v>
      </c>
      <c r="C117" s="18">
        <v>0</v>
      </c>
      <c r="D117" s="18">
        <f t="shared" si="101"/>
        <v>175766</v>
      </c>
      <c r="E117" s="18">
        <v>0</v>
      </c>
      <c r="F117" s="18">
        <v>0</v>
      </c>
      <c r="G117" s="18">
        <f t="shared" si="86"/>
        <v>0</v>
      </c>
      <c r="H117" s="18">
        <v>29926723</v>
      </c>
      <c r="I117" s="18">
        <v>1036914</v>
      </c>
      <c r="J117" s="18">
        <f t="shared" si="63"/>
        <v>30963637</v>
      </c>
      <c r="K117" s="18">
        <v>3752615</v>
      </c>
      <c r="L117" s="18">
        <v>2082998</v>
      </c>
      <c r="M117" s="18">
        <f t="shared" si="64"/>
        <v>5835613</v>
      </c>
      <c r="N117" s="18">
        <f t="shared" si="102"/>
        <v>33855104</v>
      </c>
      <c r="O117" s="18">
        <f t="shared" si="102"/>
        <v>3119912</v>
      </c>
      <c r="P117" s="18">
        <f t="shared" si="66"/>
        <v>36975016</v>
      </c>
      <c r="Q117" s="139">
        <f t="shared" si="97"/>
        <v>2975102</v>
      </c>
      <c r="R117" s="18">
        <f t="shared" si="97"/>
        <v>4263940</v>
      </c>
      <c r="S117" s="18">
        <f t="shared" si="87"/>
        <v>7239042</v>
      </c>
      <c r="T117" s="18">
        <f t="shared" si="98"/>
        <v>0</v>
      </c>
      <c r="U117" s="18">
        <f t="shared" si="98"/>
        <v>0</v>
      </c>
      <c r="V117" s="18">
        <f t="shared" si="88"/>
        <v>0</v>
      </c>
      <c r="W117" s="18">
        <f t="shared" si="99"/>
        <v>125049091</v>
      </c>
      <c r="X117" s="18">
        <f t="shared" si="99"/>
        <v>4607153</v>
      </c>
      <c r="Y117" s="18">
        <f t="shared" si="89"/>
        <v>129656244</v>
      </c>
      <c r="Z117" s="18">
        <f t="shared" si="100"/>
        <v>19181472</v>
      </c>
      <c r="AA117" s="18">
        <f t="shared" si="100"/>
        <v>10070619</v>
      </c>
      <c r="AB117" s="18">
        <f t="shared" si="90"/>
        <v>29252091</v>
      </c>
      <c r="AC117" s="140">
        <f t="shared" si="91"/>
        <v>166147377</v>
      </c>
      <c r="AD117" s="26">
        <f t="shared" si="96"/>
        <v>0.51384235016915403</v>
      </c>
    </row>
    <row r="118" spans="1:30">
      <c r="A118" s="138">
        <v>43647</v>
      </c>
      <c r="B118" s="139">
        <v>1156038</v>
      </c>
      <c r="C118" s="18">
        <v>0</v>
      </c>
      <c r="D118" s="18">
        <f t="shared" si="101"/>
        <v>1156038</v>
      </c>
      <c r="E118" s="18">
        <v>0</v>
      </c>
      <c r="F118" s="18">
        <v>0</v>
      </c>
      <c r="G118" s="18">
        <f t="shared" si="86"/>
        <v>0</v>
      </c>
      <c r="H118" s="18">
        <v>29654577</v>
      </c>
      <c r="I118" s="18">
        <v>517419</v>
      </c>
      <c r="J118" s="18">
        <f t="shared" si="63"/>
        <v>30171996</v>
      </c>
      <c r="K118" s="18">
        <v>5094847</v>
      </c>
      <c r="L118" s="18">
        <v>2496596</v>
      </c>
      <c r="M118" s="18">
        <f t="shared" si="64"/>
        <v>7591443</v>
      </c>
      <c r="N118" s="18">
        <f t="shared" si="102"/>
        <v>35905462</v>
      </c>
      <c r="O118" s="18">
        <f t="shared" si="102"/>
        <v>3014015</v>
      </c>
      <c r="P118" s="18">
        <f t="shared" si="66"/>
        <v>38919477</v>
      </c>
      <c r="Q118" s="139">
        <f t="shared" si="97"/>
        <v>4131140</v>
      </c>
      <c r="R118" s="18">
        <f t="shared" si="97"/>
        <v>4263940</v>
      </c>
      <c r="S118" s="18">
        <f t="shared" si="87"/>
        <v>8395080</v>
      </c>
      <c r="T118" s="18">
        <f t="shared" si="98"/>
        <v>0</v>
      </c>
      <c r="U118" s="18">
        <f t="shared" si="98"/>
        <v>0</v>
      </c>
      <c r="V118" s="18">
        <f t="shared" si="88"/>
        <v>0</v>
      </c>
      <c r="W118" s="18">
        <f t="shared" si="99"/>
        <v>154703668</v>
      </c>
      <c r="X118" s="18">
        <f t="shared" si="99"/>
        <v>5124572</v>
      </c>
      <c r="Y118" s="18">
        <f t="shared" si="89"/>
        <v>159828240</v>
      </c>
      <c r="Z118" s="18">
        <f t="shared" si="100"/>
        <v>24276319</v>
      </c>
      <c r="AA118" s="18">
        <f t="shared" si="100"/>
        <v>12567215</v>
      </c>
      <c r="AB118" s="18">
        <f t="shared" si="90"/>
        <v>36843534</v>
      </c>
      <c r="AC118" s="140">
        <f t="shared" si="91"/>
        <v>205066854</v>
      </c>
      <c r="AD118" s="26">
        <f t="shared" si="96"/>
        <v>0.50670276636987843</v>
      </c>
    </row>
    <row r="119" spans="1:30">
      <c r="A119" s="138">
        <v>43678</v>
      </c>
      <c r="B119" s="139">
        <v>273241</v>
      </c>
      <c r="C119" s="18">
        <v>0</v>
      </c>
      <c r="D119" s="18">
        <f t="shared" si="101"/>
        <v>273241</v>
      </c>
      <c r="E119" s="18">
        <v>0</v>
      </c>
      <c r="F119" s="18">
        <v>0</v>
      </c>
      <c r="G119" s="18">
        <f t="shared" si="86"/>
        <v>0</v>
      </c>
      <c r="H119" s="18">
        <v>29811852</v>
      </c>
      <c r="I119" s="18">
        <v>836272</v>
      </c>
      <c r="J119" s="18">
        <f t="shared" si="63"/>
        <v>30648124</v>
      </c>
      <c r="K119" s="18">
        <v>4489615</v>
      </c>
      <c r="L119" s="18">
        <v>2044099</v>
      </c>
      <c r="M119" s="18">
        <f t="shared" si="64"/>
        <v>6533714</v>
      </c>
      <c r="N119" s="18">
        <f t="shared" si="102"/>
        <v>34574708</v>
      </c>
      <c r="O119" s="18">
        <f t="shared" si="102"/>
        <v>2880371</v>
      </c>
      <c r="P119" s="18">
        <f t="shared" si="66"/>
        <v>37455079</v>
      </c>
      <c r="Q119" s="139">
        <f t="shared" si="97"/>
        <v>4404381</v>
      </c>
      <c r="R119" s="18">
        <f t="shared" si="97"/>
        <v>4263940</v>
      </c>
      <c r="S119" s="18">
        <f t="shared" si="87"/>
        <v>8668321</v>
      </c>
      <c r="T119" s="18">
        <f t="shared" si="98"/>
        <v>0</v>
      </c>
      <c r="U119" s="18">
        <f t="shared" si="98"/>
        <v>0</v>
      </c>
      <c r="V119" s="18">
        <f t="shared" si="88"/>
        <v>0</v>
      </c>
      <c r="W119" s="18">
        <f t="shared" si="99"/>
        <v>184515520</v>
      </c>
      <c r="X119" s="18">
        <f t="shared" si="99"/>
        <v>5960844</v>
      </c>
      <c r="Y119" s="18">
        <f t="shared" si="89"/>
        <v>190476364</v>
      </c>
      <c r="Z119" s="18">
        <f t="shared" si="100"/>
        <v>28765934</v>
      </c>
      <c r="AA119" s="18">
        <f t="shared" si="100"/>
        <v>14611314</v>
      </c>
      <c r="AB119" s="18">
        <f t="shared" si="90"/>
        <v>43377248</v>
      </c>
      <c r="AC119" s="140">
        <f t="shared" si="91"/>
        <v>242521933</v>
      </c>
      <c r="AD119" s="26">
        <f t="shared" si="96"/>
        <v>0.44879800367119094</v>
      </c>
    </row>
    <row r="120" spans="1:30">
      <c r="A120" s="138">
        <v>43709</v>
      </c>
      <c r="B120" s="139">
        <v>399988</v>
      </c>
      <c r="C120" s="18">
        <v>0</v>
      </c>
      <c r="D120" s="18">
        <f t="shared" si="101"/>
        <v>399988</v>
      </c>
      <c r="E120" s="18">
        <v>0</v>
      </c>
      <c r="F120" s="18">
        <v>0</v>
      </c>
      <c r="G120" s="18">
        <f t="shared" si="86"/>
        <v>0</v>
      </c>
      <c r="H120" s="18">
        <v>27493259</v>
      </c>
      <c r="I120" s="18">
        <v>1163627</v>
      </c>
      <c r="J120" s="18">
        <f t="shared" si="63"/>
        <v>28656886</v>
      </c>
      <c r="K120" s="18">
        <v>4141744</v>
      </c>
      <c r="L120" s="18">
        <v>1937756</v>
      </c>
      <c r="M120" s="18">
        <f t="shared" si="64"/>
        <v>6079500</v>
      </c>
      <c r="N120" s="18">
        <f t="shared" si="102"/>
        <v>32034991</v>
      </c>
      <c r="O120" s="18">
        <f t="shared" si="102"/>
        <v>3101383</v>
      </c>
      <c r="P120" s="18">
        <f t="shared" si="66"/>
        <v>35136374</v>
      </c>
      <c r="Q120" s="139">
        <f t="shared" si="97"/>
        <v>4804369</v>
      </c>
      <c r="R120" s="18">
        <f t="shared" si="97"/>
        <v>4263940</v>
      </c>
      <c r="S120" s="18">
        <f t="shared" si="87"/>
        <v>9068309</v>
      </c>
      <c r="T120" s="18">
        <f t="shared" si="98"/>
        <v>0</v>
      </c>
      <c r="U120" s="18">
        <f t="shared" si="98"/>
        <v>0</v>
      </c>
      <c r="V120" s="18">
        <f t="shared" si="88"/>
        <v>0</v>
      </c>
      <c r="W120" s="18">
        <f t="shared" si="99"/>
        <v>212008779</v>
      </c>
      <c r="X120" s="18">
        <f t="shared" si="99"/>
        <v>7124471</v>
      </c>
      <c r="Y120" s="18">
        <f t="shared" si="89"/>
        <v>219133250</v>
      </c>
      <c r="Z120" s="18">
        <f t="shared" si="100"/>
        <v>32907678</v>
      </c>
      <c r="AA120" s="18">
        <f t="shared" si="100"/>
        <v>16549070</v>
      </c>
      <c r="AB120" s="18">
        <f t="shared" si="90"/>
        <v>49456748</v>
      </c>
      <c r="AC120" s="140">
        <f t="shared" si="91"/>
        <v>277658307</v>
      </c>
      <c r="AD120" s="26">
        <f t="shared" si="96"/>
        <v>0.41486651287980458</v>
      </c>
    </row>
    <row r="121" spans="1:30">
      <c r="A121" s="138">
        <v>43739</v>
      </c>
      <c r="B121" s="139">
        <v>348381</v>
      </c>
      <c r="C121" s="18">
        <v>0</v>
      </c>
      <c r="D121" s="18">
        <f t="shared" si="101"/>
        <v>348381</v>
      </c>
      <c r="E121" s="18">
        <v>0</v>
      </c>
      <c r="F121" s="18">
        <v>0</v>
      </c>
      <c r="G121" s="18">
        <f t="shared" si="86"/>
        <v>0</v>
      </c>
      <c r="H121" s="18">
        <v>25986304</v>
      </c>
      <c r="I121" s="18">
        <v>1009929</v>
      </c>
      <c r="J121" s="18">
        <f t="shared" si="63"/>
        <v>26996233</v>
      </c>
      <c r="K121" s="18">
        <v>4270935</v>
      </c>
      <c r="L121" s="18">
        <v>1887880</v>
      </c>
      <c r="M121" s="18">
        <f t="shared" si="64"/>
        <v>6158815</v>
      </c>
      <c r="N121" s="18">
        <f t="shared" si="102"/>
        <v>30605620</v>
      </c>
      <c r="O121" s="18">
        <f t="shared" si="102"/>
        <v>2897809</v>
      </c>
      <c r="P121" s="18">
        <f t="shared" si="66"/>
        <v>33503429</v>
      </c>
      <c r="Q121" s="139">
        <f t="shared" si="97"/>
        <v>5152750</v>
      </c>
      <c r="R121" s="18">
        <f t="shared" si="97"/>
        <v>4263940</v>
      </c>
      <c r="S121" s="18">
        <f t="shared" si="87"/>
        <v>9416690</v>
      </c>
      <c r="T121" s="18">
        <f t="shared" si="98"/>
        <v>0</v>
      </c>
      <c r="U121" s="18">
        <f t="shared" si="98"/>
        <v>0</v>
      </c>
      <c r="V121" s="18">
        <f t="shared" si="88"/>
        <v>0</v>
      </c>
      <c r="W121" s="18">
        <f t="shared" si="99"/>
        <v>237995083</v>
      </c>
      <c r="X121" s="18">
        <f t="shared" si="99"/>
        <v>8134400</v>
      </c>
      <c r="Y121" s="18">
        <f t="shared" si="89"/>
        <v>246129483</v>
      </c>
      <c r="Z121" s="18">
        <f t="shared" si="100"/>
        <v>37178613</v>
      </c>
      <c r="AA121" s="18">
        <f t="shared" si="100"/>
        <v>18436950</v>
      </c>
      <c r="AB121" s="18">
        <f t="shared" si="90"/>
        <v>55615563</v>
      </c>
      <c r="AC121" s="140">
        <f t="shared" si="91"/>
        <v>311161736</v>
      </c>
      <c r="AD121" s="26">
        <f t="shared" si="96"/>
        <v>0.38145533971953194</v>
      </c>
    </row>
    <row r="122" spans="1:30">
      <c r="A122" s="138">
        <v>43770</v>
      </c>
      <c r="B122" s="139">
        <v>202030</v>
      </c>
      <c r="C122" s="18">
        <v>0</v>
      </c>
      <c r="D122" s="18">
        <f t="shared" si="101"/>
        <v>202030</v>
      </c>
      <c r="E122" s="18">
        <v>0</v>
      </c>
      <c r="F122" s="18">
        <v>0</v>
      </c>
      <c r="G122" s="18">
        <f t="shared" si="86"/>
        <v>0</v>
      </c>
      <c r="H122" s="18">
        <v>25595535</v>
      </c>
      <c r="I122" s="18">
        <v>1170863</v>
      </c>
      <c r="J122" s="18">
        <f t="shared" si="63"/>
        <v>26766398</v>
      </c>
      <c r="K122" s="18">
        <v>4115858</v>
      </c>
      <c r="L122" s="18">
        <v>1885147</v>
      </c>
      <c r="M122" s="18">
        <f t="shared" si="64"/>
        <v>6001005</v>
      </c>
      <c r="N122" s="18">
        <f t="shared" si="102"/>
        <v>29913423</v>
      </c>
      <c r="O122" s="18">
        <f t="shared" si="102"/>
        <v>3056010</v>
      </c>
      <c r="P122" s="18">
        <f t="shared" si="66"/>
        <v>32969433</v>
      </c>
      <c r="Q122" s="139">
        <f t="shared" si="97"/>
        <v>5354780</v>
      </c>
      <c r="R122" s="18">
        <f t="shared" si="97"/>
        <v>4263940</v>
      </c>
      <c r="S122" s="18">
        <f t="shared" si="87"/>
        <v>9618720</v>
      </c>
      <c r="T122" s="18">
        <f t="shared" si="98"/>
        <v>0</v>
      </c>
      <c r="U122" s="18">
        <f t="shared" si="98"/>
        <v>0</v>
      </c>
      <c r="V122" s="18">
        <f t="shared" si="88"/>
        <v>0</v>
      </c>
      <c r="W122" s="18">
        <f t="shared" si="99"/>
        <v>263590618</v>
      </c>
      <c r="X122" s="18">
        <f t="shared" si="99"/>
        <v>9305263</v>
      </c>
      <c r="Y122" s="18">
        <f t="shared" si="89"/>
        <v>272895881</v>
      </c>
      <c r="Z122" s="18">
        <f t="shared" si="100"/>
        <v>41294471</v>
      </c>
      <c r="AA122" s="18">
        <f t="shared" si="100"/>
        <v>20322097</v>
      </c>
      <c r="AB122" s="18">
        <f t="shared" si="90"/>
        <v>61616568</v>
      </c>
      <c r="AC122" s="140">
        <f t="shared" si="91"/>
        <v>344131169</v>
      </c>
      <c r="AD122" s="26">
        <f t="shared" si="96"/>
        <v>0.36083987510733095</v>
      </c>
    </row>
    <row r="123" spans="1:30" ht="14.25" thickBot="1">
      <c r="A123" s="138">
        <v>43800</v>
      </c>
      <c r="B123" s="139">
        <v>197121</v>
      </c>
      <c r="C123" s="18">
        <v>0</v>
      </c>
      <c r="D123" s="18">
        <f t="shared" si="101"/>
        <v>197121</v>
      </c>
      <c r="E123" s="18">
        <v>0</v>
      </c>
      <c r="F123" s="18">
        <v>0</v>
      </c>
      <c r="G123" s="18">
        <f t="shared" si="86"/>
        <v>0</v>
      </c>
      <c r="H123" s="18">
        <v>53324240</v>
      </c>
      <c r="I123" s="18">
        <v>1834474</v>
      </c>
      <c r="J123" s="18">
        <f t="shared" si="63"/>
        <v>55158714</v>
      </c>
      <c r="K123" s="18">
        <v>10513986</v>
      </c>
      <c r="L123" s="18">
        <v>4121820</v>
      </c>
      <c r="M123" s="18">
        <f t="shared" si="64"/>
        <v>14635806</v>
      </c>
      <c r="N123" s="18">
        <f t="shared" si="102"/>
        <v>64035347</v>
      </c>
      <c r="O123" s="18">
        <f t="shared" si="102"/>
        <v>5956294</v>
      </c>
      <c r="P123" s="18">
        <f t="shared" si="66"/>
        <v>69991641</v>
      </c>
      <c r="Q123" s="139">
        <f t="shared" si="97"/>
        <v>5551901</v>
      </c>
      <c r="R123" s="18">
        <f t="shared" si="97"/>
        <v>4263940</v>
      </c>
      <c r="S123" s="18">
        <f t="shared" si="87"/>
        <v>9815841</v>
      </c>
      <c r="T123" s="18">
        <f t="shared" si="98"/>
        <v>0</v>
      </c>
      <c r="U123" s="18">
        <f t="shared" si="98"/>
        <v>0</v>
      </c>
      <c r="V123" s="18">
        <f t="shared" si="88"/>
        <v>0</v>
      </c>
      <c r="W123" s="18">
        <f t="shared" si="99"/>
        <v>316914858</v>
      </c>
      <c r="X123" s="18">
        <f t="shared" si="99"/>
        <v>11139737</v>
      </c>
      <c r="Y123" s="18">
        <f t="shared" si="89"/>
        <v>328054595</v>
      </c>
      <c r="Z123" s="18">
        <f t="shared" si="100"/>
        <v>51808457</v>
      </c>
      <c r="AA123" s="18">
        <f t="shared" si="100"/>
        <v>24443917</v>
      </c>
      <c r="AB123" s="18">
        <f t="shared" si="90"/>
        <v>76252374</v>
      </c>
      <c r="AC123" s="140">
        <f t="shared" si="91"/>
        <v>414122810</v>
      </c>
      <c r="AD123" s="26">
        <f t="shared" si="96"/>
        <v>0.32583703908546324</v>
      </c>
    </row>
    <row r="124" spans="1:30">
      <c r="A124" s="145">
        <v>43831</v>
      </c>
      <c r="B124" s="143">
        <v>174291</v>
      </c>
      <c r="C124" s="143">
        <v>0</v>
      </c>
      <c r="D124" s="143">
        <f t="shared" si="101"/>
        <v>174291</v>
      </c>
      <c r="E124" s="143">
        <v>0</v>
      </c>
      <c r="F124" s="143">
        <v>0</v>
      </c>
      <c r="G124" s="143">
        <f t="shared" si="86"/>
        <v>0</v>
      </c>
      <c r="H124" s="143">
        <v>450471</v>
      </c>
      <c r="I124" s="143">
        <v>0</v>
      </c>
      <c r="J124" s="143">
        <f t="shared" si="63"/>
        <v>450471</v>
      </c>
      <c r="K124" s="143">
        <v>51166</v>
      </c>
      <c r="L124" s="143">
        <v>0</v>
      </c>
      <c r="M124" s="143">
        <f t="shared" si="64"/>
        <v>51166</v>
      </c>
      <c r="N124" s="143">
        <f t="shared" si="102"/>
        <v>675928</v>
      </c>
      <c r="O124" s="143">
        <f t="shared" si="102"/>
        <v>0</v>
      </c>
      <c r="P124" s="143">
        <f t="shared" si="66"/>
        <v>675928</v>
      </c>
      <c r="Q124" s="142">
        <f>B124</f>
        <v>174291</v>
      </c>
      <c r="R124" s="143">
        <f>C124</f>
        <v>0</v>
      </c>
      <c r="S124" s="143">
        <f t="shared" si="87"/>
        <v>174291</v>
      </c>
      <c r="T124" s="143">
        <f>E124</f>
        <v>0</v>
      </c>
      <c r="U124" s="143">
        <f>F124</f>
        <v>0</v>
      </c>
      <c r="V124" s="143">
        <f t="shared" si="88"/>
        <v>0</v>
      </c>
      <c r="W124" s="143">
        <f>H124</f>
        <v>450471</v>
      </c>
      <c r="X124" s="143">
        <f>I124</f>
        <v>0</v>
      </c>
      <c r="Y124" s="143">
        <f t="shared" si="89"/>
        <v>450471</v>
      </c>
      <c r="Z124" s="143">
        <f>K124</f>
        <v>51166</v>
      </c>
      <c r="AA124" s="143">
        <f>L124</f>
        <v>0</v>
      </c>
      <c r="AB124" s="143">
        <f t="shared" si="90"/>
        <v>51166</v>
      </c>
      <c r="AC124" s="144">
        <f t="shared" si="91"/>
        <v>675928</v>
      </c>
      <c r="AD124" s="26">
        <f t="shared" si="96"/>
        <v>-8.2519593550891668E-2</v>
      </c>
    </row>
    <row r="125" spans="1:30">
      <c r="A125" s="146">
        <v>43862</v>
      </c>
      <c r="B125" s="18">
        <v>188014</v>
      </c>
      <c r="C125" s="18">
        <v>0</v>
      </c>
      <c r="D125" s="18">
        <f t="shared" si="101"/>
        <v>188014</v>
      </c>
      <c r="E125" s="18">
        <v>0</v>
      </c>
      <c r="F125" s="18">
        <v>0</v>
      </c>
      <c r="G125" s="18">
        <f t="shared" si="86"/>
        <v>0</v>
      </c>
      <c r="H125" s="18">
        <v>28402927</v>
      </c>
      <c r="I125" s="18">
        <v>819385</v>
      </c>
      <c r="J125" s="18">
        <f t="shared" si="63"/>
        <v>29222312</v>
      </c>
      <c r="K125" s="18">
        <v>5519687</v>
      </c>
      <c r="L125" s="18">
        <v>2092169</v>
      </c>
      <c r="M125" s="18">
        <f t="shared" si="64"/>
        <v>7611856</v>
      </c>
      <c r="N125" s="18">
        <f t="shared" si="102"/>
        <v>34110628</v>
      </c>
      <c r="O125" s="18">
        <f t="shared" si="102"/>
        <v>2911554</v>
      </c>
      <c r="P125" s="18">
        <f t="shared" si="66"/>
        <v>37022182</v>
      </c>
      <c r="Q125" s="139">
        <f t="shared" ref="Q125:R135" si="103">Q124+B125</f>
        <v>362305</v>
      </c>
      <c r="R125" s="18">
        <f t="shared" si="103"/>
        <v>0</v>
      </c>
      <c r="S125" s="18">
        <f t="shared" si="87"/>
        <v>362305</v>
      </c>
      <c r="T125" s="18">
        <f t="shared" ref="T125:U135" si="104">T124+E125</f>
        <v>0</v>
      </c>
      <c r="U125" s="18">
        <f t="shared" si="104"/>
        <v>0</v>
      </c>
      <c r="V125" s="18">
        <f t="shared" si="88"/>
        <v>0</v>
      </c>
      <c r="W125" s="18">
        <f t="shared" ref="W125:X135" si="105">W124+H125</f>
        <v>28853398</v>
      </c>
      <c r="X125" s="18">
        <f t="shared" si="105"/>
        <v>819385</v>
      </c>
      <c r="Y125" s="18">
        <f t="shared" si="89"/>
        <v>29672783</v>
      </c>
      <c r="Z125" s="18">
        <f t="shared" ref="Z125:AA135" si="106">Z124+K125</f>
        <v>5570853</v>
      </c>
      <c r="AA125" s="18">
        <f t="shared" si="106"/>
        <v>2092169</v>
      </c>
      <c r="AB125" s="18">
        <f t="shared" si="90"/>
        <v>7663022</v>
      </c>
      <c r="AC125" s="140">
        <f t="shared" si="91"/>
        <v>37698110</v>
      </c>
      <c r="AD125" s="26">
        <f t="shared" si="96"/>
        <v>0.15872564771400555</v>
      </c>
    </row>
    <row r="126" spans="1:30">
      <c r="A126" s="146">
        <v>43891</v>
      </c>
      <c r="B126" s="18">
        <v>156652</v>
      </c>
      <c r="C126" s="18">
        <v>0</v>
      </c>
      <c r="D126" s="18">
        <f t="shared" si="101"/>
        <v>156652</v>
      </c>
      <c r="E126" s="18">
        <v>0</v>
      </c>
      <c r="F126" s="18">
        <v>0</v>
      </c>
      <c r="G126" s="18">
        <f t="shared" si="86"/>
        <v>0</v>
      </c>
      <c r="H126" s="18">
        <v>26435294</v>
      </c>
      <c r="I126" s="18">
        <v>782326</v>
      </c>
      <c r="J126" s="18">
        <f t="shared" si="63"/>
        <v>27217620</v>
      </c>
      <c r="K126" s="18">
        <v>5444113</v>
      </c>
      <c r="L126" s="18">
        <v>1887657</v>
      </c>
      <c r="M126" s="18">
        <f t="shared" si="64"/>
        <v>7331770</v>
      </c>
      <c r="N126" s="18">
        <f t="shared" si="102"/>
        <v>32036059</v>
      </c>
      <c r="O126" s="18">
        <f t="shared" si="102"/>
        <v>2669983</v>
      </c>
      <c r="P126" s="18">
        <f t="shared" si="66"/>
        <v>34706042</v>
      </c>
      <c r="Q126" s="139">
        <f t="shared" si="103"/>
        <v>518957</v>
      </c>
      <c r="R126" s="18">
        <f t="shared" si="103"/>
        <v>0</v>
      </c>
      <c r="S126" s="18">
        <f t="shared" si="87"/>
        <v>518957</v>
      </c>
      <c r="T126" s="18">
        <f t="shared" si="104"/>
        <v>0</v>
      </c>
      <c r="U126" s="18">
        <f t="shared" si="104"/>
        <v>0</v>
      </c>
      <c r="V126" s="18">
        <f t="shared" si="88"/>
        <v>0</v>
      </c>
      <c r="W126" s="18">
        <f t="shared" si="105"/>
        <v>55288692</v>
      </c>
      <c r="X126" s="18">
        <f t="shared" si="105"/>
        <v>1601711</v>
      </c>
      <c r="Y126" s="18">
        <f t="shared" si="89"/>
        <v>56890403</v>
      </c>
      <c r="Z126" s="18">
        <f t="shared" si="106"/>
        <v>11014966</v>
      </c>
      <c r="AA126" s="18">
        <f t="shared" si="106"/>
        <v>3979826</v>
      </c>
      <c r="AB126" s="18">
        <f t="shared" si="90"/>
        <v>14994792</v>
      </c>
      <c r="AC126" s="140">
        <f t="shared" si="91"/>
        <v>72404152</v>
      </c>
      <c r="AD126" s="26">
        <f t="shared" si="96"/>
        <v>0.11874830739147524</v>
      </c>
    </row>
    <row r="127" spans="1:30">
      <c r="A127" s="146">
        <v>43922</v>
      </c>
      <c r="B127" s="18">
        <v>203361</v>
      </c>
      <c r="C127" s="18">
        <v>0</v>
      </c>
      <c r="D127" s="18">
        <f t="shared" si="101"/>
        <v>203361</v>
      </c>
      <c r="E127" s="18">
        <v>0</v>
      </c>
      <c r="F127" s="18">
        <v>0</v>
      </c>
      <c r="G127" s="18">
        <f t="shared" si="86"/>
        <v>0</v>
      </c>
      <c r="H127" s="18">
        <v>31277485</v>
      </c>
      <c r="I127" s="18">
        <v>847999</v>
      </c>
      <c r="J127" s="18">
        <f t="shared" si="63"/>
        <v>32125484</v>
      </c>
      <c r="K127" s="18">
        <v>6329732</v>
      </c>
      <c r="L127" s="18">
        <v>2060775</v>
      </c>
      <c r="M127" s="18">
        <f t="shared" si="64"/>
        <v>8390507</v>
      </c>
      <c r="N127" s="18">
        <f t="shared" si="102"/>
        <v>37810578</v>
      </c>
      <c r="O127" s="18">
        <f t="shared" si="102"/>
        <v>2908774</v>
      </c>
      <c r="P127" s="18">
        <f t="shared" si="66"/>
        <v>40719352</v>
      </c>
      <c r="Q127" s="139">
        <f t="shared" si="103"/>
        <v>722318</v>
      </c>
      <c r="R127" s="18">
        <f t="shared" si="103"/>
        <v>0</v>
      </c>
      <c r="S127" s="18">
        <f t="shared" si="87"/>
        <v>722318</v>
      </c>
      <c r="T127" s="18">
        <f t="shared" si="104"/>
        <v>0</v>
      </c>
      <c r="U127" s="18">
        <f t="shared" si="104"/>
        <v>0</v>
      </c>
      <c r="V127" s="18">
        <f t="shared" si="88"/>
        <v>0</v>
      </c>
      <c r="W127" s="18">
        <f t="shared" si="105"/>
        <v>86566177</v>
      </c>
      <c r="X127" s="18">
        <f t="shared" si="105"/>
        <v>2449710</v>
      </c>
      <c r="Y127" s="18">
        <f t="shared" si="89"/>
        <v>89015887</v>
      </c>
      <c r="Z127" s="18">
        <f t="shared" si="106"/>
        <v>17344698</v>
      </c>
      <c r="AA127" s="18">
        <f t="shared" si="106"/>
        <v>6040601</v>
      </c>
      <c r="AB127" s="18">
        <f t="shared" si="90"/>
        <v>23385299</v>
      </c>
      <c r="AC127" s="140">
        <f t="shared" si="91"/>
        <v>113123504</v>
      </c>
      <c r="AD127" s="26">
        <f t="shared" si="96"/>
        <v>0.15208903824392439</v>
      </c>
    </row>
    <row r="128" spans="1:30">
      <c r="A128" s="146">
        <v>43952</v>
      </c>
      <c r="B128" s="18">
        <v>266282</v>
      </c>
      <c r="C128" s="18">
        <v>0</v>
      </c>
      <c r="D128" s="18">
        <f t="shared" si="101"/>
        <v>266282</v>
      </c>
      <c r="E128" s="18">
        <v>0</v>
      </c>
      <c r="F128" s="18">
        <v>0</v>
      </c>
      <c r="G128" s="18">
        <f t="shared" si="86"/>
        <v>0</v>
      </c>
      <c r="H128" s="18">
        <v>28516201</v>
      </c>
      <c r="I128" s="18">
        <v>978254</v>
      </c>
      <c r="J128" s="18">
        <f t="shared" si="63"/>
        <v>29494455</v>
      </c>
      <c r="K128" s="18">
        <v>6261128</v>
      </c>
      <c r="L128" s="18">
        <v>1925161</v>
      </c>
      <c r="M128" s="18">
        <f t="shared" si="64"/>
        <v>8186289</v>
      </c>
      <c r="N128" s="18">
        <f t="shared" si="102"/>
        <v>35043611</v>
      </c>
      <c r="O128" s="18">
        <f t="shared" si="102"/>
        <v>2903415</v>
      </c>
      <c r="P128" s="18">
        <f t="shared" si="66"/>
        <v>37947026</v>
      </c>
      <c r="Q128" s="139">
        <f t="shared" si="103"/>
        <v>988600</v>
      </c>
      <c r="R128" s="18">
        <f t="shared" si="103"/>
        <v>0</v>
      </c>
      <c r="S128" s="18">
        <f t="shared" si="87"/>
        <v>988600</v>
      </c>
      <c r="T128" s="18">
        <f t="shared" si="104"/>
        <v>0</v>
      </c>
      <c r="U128" s="18">
        <f t="shared" si="104"/>
        <v>0</v>
      </c>
      <c r="V128" s="18">
        <f t="shared" si="88"/>
        <v>0</v>
      </c>
      <c r="W128" s="18">
        <f t="shared" si="105"/>
        <v>115082378</v>
      </c>
      <c r="X128" s="18">
        <f t="shared" si="105"/>
        <v>3427964</v>
      </c>
      <c r="Y128" s="18">
        <f t="shared" si="89"/>
        <v>118510342</v>
      </c>
      <c r="Z128" s="18">
        <f t="shared" si="106"/>
        <v>23605826</v>
      </c>
      <c r="AA128" s="18">
        <f t="shared" si="106"/>
        <v>7965762</v>
      </c>
      <c r="AB128" s="18">
        <f t="shared" si="90"/>
        <v>31571588</v>
      </c>
      <c r="AC128" s="140">
        <f t="shared" si="91"/>
        <v>151070530</v>
      </c>
      <c r="AD128" s="26">
        <f t="shared" si="96"/>
        <v>0.1695267379993155</v>
      </c>
    </row>
    <row r="129" spans="1:30">
      <c r="A129" s="146">
        <v>43983</v>
      </c>
      <c r="B129" s="18">
        <v>57226</v>
      </c>
      <c r="C129" s="18">
        <v>0</v>
      </c>
      <c r="D129" s="18">
        <f t="shared" si="101"/>
        <v>57226</v>
      </c>
      <c r="E129" s="18">
        <v>0</v>
      </c>
      <c r="F129" s="18">
        <v>0</v>
      </c>
      <c r="G129" s="18">
        <f t="shared" si="86"/>
        <v>0</v>
      </c>
      <c r="H129" s="18">
        <v>31984254</v>
      </c>
      <c r="I129" s="18">
        <v>1727545</v>
      </c>
      <c r="J129" s="18">
        <f t="shared" si="63"/>
        <v>33711799</v>
      </c>
      <c r="K129" s="18">
        <v>7332013</v>
      </c>
      <c r="L129" s="18">
        <v>1075016</v>
      </c>
      <c r="M129" s="18">
        <f t="shared" si="64"/>
        <v>8407029</v>
      </c>
      <c r="N129" s="18">
        <f t="shared" si="102"/>
        <v>39373493</v>
      </c>
      <c r="O129" s="18">
        <f t="shared" si="102"/>
        <v>2802561</v>
      </c>
      <c r="P129" s="18">
        <f t="shared" si="66"/>
        <v>42176054</v>
      </c>
      <c r="Q129" s="139">
        <f t="shared" si="103"/>
        <v>1045826</v>
      </c>
      <c r="R129" s="18">
        <f t="shared" si="103"/>
        <v>0</v>
      </c>
      <c r="S129" s="18">
        <f t="shared" si="87"/>
        <v>1045826</v>
      </c>
      <c r="T129" s="18">
        <f t="shared" si="104"/>
        <v>0</v>
      </c>
      <c r="U129" s="18">
        <f t="shared" si="104"/>
        <v>0</v>
      </c>
      <c r="V129" s="18">
        <f t="shared" si="88"/>
        <v>0</v>
      </c>
      <c r="W129" s="18">
        <f t="shared" si="105"/>
        <v>147066632</v>
      </c>
      <c r="X129" s="18">
        <f t="shared" si="105"/>
        <v>5155509</v>
      </c>
      <c r="Y129" s="18">
        <f t="shared" si="89"/>
        <v>152222141</v>
      </c>
      <c r="Z129" s="18">
        <f t="shared" si="106"/>
        <v>30937839</v>
      </c>
      <c r="AA129" s="18">
        <f t="shared" si="106"/>
        <v>9040778</v>
      </c>
      <c r="AB129" s="18">
        <f t="shared" si="90"/>
        <v>39978617</v>
      </c>
      <c r="AC129" s="140">
        <f t="shared" si="91"/>
        <v>193246584</v>
      </c>
      <c r="AD129" s="26">
        <f t="shared" si="96"/>
        <v>0.16310342955338974</v>
      </c>
    </row>
    <row r="130" spans="1:30">
      <c r="A130" s="146">
        <v>44013</v>
      </c>
      <c r="B130" s="18">
        <v>256193</v>
      </c>
      <c r="C130" s="18">
        <v>0</v>
      </c>
      <c r="D130" s="18">
        <f t="shared" si="101"/>
        <v>256193</v>
      </c>
      <c r="E130" s="18">
        <v>0</v>
      </c>
      <c r="F130" s="18">
        <v>0</v>
      </c>
      <c r="G130" s="18">
        <f t="shared" si="86"/>
        <v>0</v>
      </c>
      <c r="H130" s="18">
        <v>31212896</v>
      </c>
      <c r="I130" s="18">
        <v>1879589</v>
      </c>
      <c r="J130" s="18">
        <f t="shared" si="63"/>
        <v>33092485</v>
      </c>
      <c r="K130" s="18">
        <v>6793302</v>
      </c>
      <c r="L130" s="18">
        <v>809299</v>
      </c>
      <c r="M130" s="18">
        <f t="shared" si="64"/>
        <v>7602601</v>
      </c>
      <c r="N130" s="18">
        <f t="shared" si="102"/>
        <v>38262391</v>
      </c>
      <c r="O130" s="18">
        <f t="shared" si="102"/>
        <v>2688888</v>
      </c>
      <c r="P130" s="18">
        <f t="shared" si="66"/>
        <v>40951279</v>
      </c>
      <c r="Q130" s="139">
        <f t="shared" si="103"/>
        <v>1302019</v>
      </c>
      <c r="R130" s="18">
        <f t="shared" si="103"/>
        <v>0</v>
      </c>
      <c r="S130" s="18">
        <f t="shared" si="87"/>
        <v>1302019</v>
      </c>
      <c r="T130" s="18">
        <f t="shared" si="104"/>
        <v>0</v>
      </c>
      <c r="U130" s="18">
        <f t="shared" si="104"/>
        <v>0</v>
      </c>
      <c r="V130" s="18">
        <f t="shared" si="88"/>
        <v>0</v>
      </c>
      <c r="W130" s="18">
        <f t="shared" si="105"/>
        <v>178279528</v>
      </c>
      <c r="X130" s="18">
        <f t="shared" si="105"/>
        <v>7035098</v>
      </c>
      <c r="Y130" s="18">
        <f t="shared" si="89"/>
        <v>185314626</v>
      </c>
      <c r="Z130" s="18">
        <f t="shared" si="106"/>
        <v>37731141</v>
      </c>
      <c r="AA130" s="18">
        <f t="shared" si="106"/>
        <v>9850077</v>
      </c>
      <c r="AB130" s="18">
        <f t="shared" si="90"/>
        <v>47581218</v>
      </c>
      <c r="AC130" s="140">
        <f t="shared" si="91"/>
        <v>234197863</v>
      </c>
      <c r="AD130" s="26">
        <f t="shared" si="96"/>
        <v>0.14205615598901233</v>
      </c>
    </row>
    <row r="131" spans="1:30">
      <c r="A131" s="146">
        <v>44044</v>
      </c>
      <c r="B131" s="18">
        <v>229403</v>
      </c>
      <c r="C131" s="18">
        <v>0</v>
      </c>
      <c r="D131" s="18">
        <f t="shared" si="101"/>
        <v>229403</v>
      </c>
      <c r="E131" s="18">
        <v>0</v>
      </c>
      <c r="F131" s="18">
        <v>0</v>
      </c>
      <c r="G131" s="18">
        <f t="shared" si="86"/>
        <v>0</v>
      </c>
      <c r="H131" s="18">
        <v>32184792</v>
      </c>
      <c r="I131" s="18">
        <v>2537477</v>
      </c>
      <c r="J131" s="18">
        <f t="shared" si="63"/>
        <v>34722269</v>
      </c>
      <c r="K131" s="18">
        <v>7173179</v>
      </c>
      <c r="L131" s="18">
        <v>470463</v>
      </c>
      <c r="M131" s="18">
        <f t="shared" si="64"/>
        <v>7643642</v>
      </c>
      <c r="N131" s="18">
        <f t="shared" si="102"/>
        <v>39587374</v>
      </c>
      <c r="O131" s="18">
        <f t="shared" si="102"/>
        <v>3007940</v>
      </c>
      <c r="P131" s="18">
        <f t="shared" si="66"/>
        <v>42595314</v>
      </c>
      <c r="Q131" s="139">
        <f t="shared" si="103"/>
        <v>1531422</v>
      </c>
      <c r="R131" s="18">
        <f t="shared" si="103"/>
        <v>0</v>
      </c>
      <c r="S131" s="18">
        <f t="shared" si="87"/>
        <v>1531422</v>
      </c>
      <c r="T131" s="18">
        <f t="shared" si="104"/>
        <v>0</v>
      </c>
      <c r="U131" s="18">
        <f t="shared" si="104"/>
        <v>0</v>
      </c>
      <c r="V131" s="18">
        <f t="shared" si="88"/>
        <v>0</v>
      </c>
      <c r="W131" s="18">
        <f t="shared" si="105"/>
        <v>210464320</v>
      </c>
      <c r="X131" s="18">
        <f t="shared" si="105"/>
        <v>9572575</v>
      </c>
      <c r="Y131" s="18">
        <f t="shared" si="89"/>
        <v>220036895</v>
      </c>
      <c r="Z131" s="18">
        <f t="shared" si="106"/>
        <v>44904320</v>
      </c>
      <c r="AA131" s="18">
        <f t="shared" si="106"/>
        <v>10320540</v>
      </c>
      <c r="AB131" s="18">
        <f t="shared" si="90"/>
        <v>55224860</v>
      </c>
      <c r="AC131" s="140">
        <f t="shared" si="91"/>
        <v>276793177</v>
      </c>
      <c r="AD131" s="26">
        <f t="shared" si="96"/>
        <v>0.14131193651668617</v>
      </c>
    </row>
    <row r="132" spans="1:30">
      <c r="A132" s="146">
        <v>44075</v>
      </c>
      <c r="B132" s="18">
        <v>114746</v>
      </c>
      <c r="C132" s="18">
        <v>0</v>
      </c>
      <c r="D132" s="18">
        <f t="shared" si="101"/>
        <v>114746</v>
      </c>
      <c r="E132" s="18">
        <v>0</v>
      </c>
      <c r="F132" s="18">
        <v>0</v>
      </c>
      <c r="G132" s="18">
        <f t="shared" si="86"/>
        <v>0</v>
      </c>
      <c r="H132" s="18">
        <v>35720286</v>
      </c>
      <c r="I132" s="18">
        <v>2793120</v>
      </c>
      <c r="J132" s="18">
        <f t="shared" si="63"/>
        <v>38513406</v>
      </c>
      <c r="K132" s="18">
        <v>7230002</v>
      </c>
      <c r="L132" s="18">
        <v>0</v>
      </c>
      <c r="M132" s="18">
        <f t="shared" si="64"/>
        <v>7230002</v>
      </c>
      <c r="N132" s="18">
        <f t="shared" si="102"/>
        <v>43065034</v>
      </c>
      <c r="O132" s="18">
        <f t="shared" si="102"/>
        <v>2793120</v>
      </c>
      <c r="P132" s="18">
        <f t="shared" si="66"/>
        <v>45858154</v>
      </c>
      <c r="Q132" s="139">
        <f t="shared" si="103"/>
        <v>1646168</v>
      </c>
      <c r="R132" s="18">
        <f t="shared" si="103"/>
        <v>0</v>
      </c>
      <c r="S132" s="18">
        <f t="shared" si="87"/>
        <v>1646168</v>
      </c>
      <c r="T132" s="18">
        <f t="shared" si="104"/>
        <v>0</v>
      </c>
      <c r="U132" s="18">
        <f t="shared" si="104"/>
        <v>0</v>
      </c>
      <c r="V132" s="18">
        <f t="shared" si="88"/>
        <v>0</v>
      </c>
      <c r="W132" s="18">
        <f t="shared" si="105"/>
        <v>246184606</v>
      </c>
      <c r="X132" s="18">
        <f t="shared" si="105"/>
        <v>12365695</v>
      </c>
      <c r="Y132" s="18">
        <f t="shared" si="89"/>
        <v>258550301</v>
      </c>
      <c r="Z132" s="18">
        <f t="shared" si="106"/>
        <v>52134322</v>
      </c>
      <c r="AA132" s="18">
        <f t="shared" si="106"/>
        <v>10320540</v>
      </c>
      <c r="AB132" s="18">
        <f t="shared" si="90"/>
        <v>62454862</v>
      </c>
      <c r="AC132" s="140">
        <f t="shared" si="91"/>
        <v>322651331</v>
      </c>
      <c r="AD132" s="26">
        <f t="shared" si="96"/>
        <v>0.16204458093162688</v>
      </c>
    </row>
    <row r="133" spans="1:30">
      <c r="A133" s="146">
        <v>44105</v>
      </c>
      <c r="B133" s="18">
        <v>173213</v>
      </c>
      <c r="C133" s="18">
        <v>0</v>
      </c>
      <c r="D133" s="18">
        <f t="shared" si="101"/>
        <v>173213</v>
      </c>
      <c r="E133" s="18">
        <v>0</v>
      </c>
      <c r="F133" s="18">
        <v>0</v>
      </c>
      <c r="G133" s="18">
        <f t="shared" si="86"/>
        <v>0</v>
      </c>
      <c r="H133" s="18">
        <v>34208723</v>
      </c>
      <c r="I133" s="18">
        <v>2911202</v>
      </c>
      <c r="J133" s="18">
        <f t="shared" ref="J133:J186" si="107">SUM(H133:I133)</f>
        <v>37119925</v>
      </c>
      <c r="K133" s="18">
        <v>7352727</v>
      </c>
      <c r="L133" s="18">
        <v>0</v>
      </c>
      <c r="M133" s="18">
        <f t="shared" ref="M133:M186" si="108">SUM(K133:L133)</f>
        <v>7352727</v>
      </c>
      <c r="N133" s="18">
        <f t="shared" si="102"/>
        <v>41734663</v>
      </c>
      <c r="O133" s="18">
        <f t="shared" si="102"/>
        <v>2911202</v>
      </c>
      <c r="P133" s="18">
        <f t="shared" ref="P133:P186" si="109">N133+O133</f>
        <v>44645865</v>
      </c>
      <c r="Q133" s="139">
        <f t="shared" si="103"/>
        <v>1819381</v>
      </c>
      <c r="R133" s="18">
        <f t="shared" si="103"/>
        <v>0</v>
      </c>
      <c r="S133" s="18">
        <f t="shared" si="87"/>
        <v>1819381</v>
      </c>
      <c r="T133" s="18">
        <f t="shared" si="104"/>
        <v>0</v>
      </c>
      <c r="U133" s="18">
        <f t="shared" si="104"/>
        <v>0</v>
      </c>
      <c r="V133" s="18">
        <f t="shared" si="88"/>
        <v>0</v>
      </c>
      <c r="W133" s="18">
        <f t="shared" si="105"/>
        <v>280393329</v>
      </c>
      <c r="X133" s="18">
        <f t="shared" si="105"/>
        <v>15276897</v>
      </c>
      <c r="Y133" s="18">
        <f t="shared" si="89"/>
        <v>295670226</v>
      </c>
      <c r="Z133" s="18">
        <f t="shared" si="106"/>
        <v>59487049</v>
      </c>
      <c r="AA133" s="18">
        <f t="shared" si="106"/>
        <v>10320540</v>
      </c>
      <c r="AB133" s="18">
        <f t="shared" si="90"/>
        <v>69807589</v>
      </c>
      <c r="AC133" s="140">
        <f t="shared" si="91"/>
        <v>367297196</v>
      </c>
      <c r="AD133" s="26">
        <f t="shared" si="96"/>
        <v>0.1804060509548</v>
      </c>
    </row>
    <row r="134" spans="1:30">
      <c r="A134" s="146">
        <v>44136</v>
      </c>
      <c r="B134" s="18">
        <v>173959</v>
      </c>
      <c r="C134" s="18">
        <v>0</v>
      </c>
      <c r="D134" s="18">
        <f t="shared" si="101"/>
        <v>173959</v>
      </c>
      <c r="E134" s="18">
        <v>0</v>
      </c>
      <c r="F134" s="18">
        <v>0</v>
      </c>
      <c r="G134" s="18">
        <f t="shared" si="86"/>
        <v>0</v>
      </c>
      <c r="H134" s="18">
        <v>35602358</v>
      </c>
      <c r="I134" s="18">
        <v>3068629</v>
      </c>
      <c r="J134" s="18">
        <f t="shared" si="107"/>
        <v>38670987</v>
      </c>
      <c r="K134" s="18">
        <v>7497164</v>
      </c>
      <c r="L134" s="18">
        <v>0</v>
      </c>
      <c r="M134" s="18">
        <f t="shared" si="108"/>
        <v>7497164</v>
      </c>
      <c r="N134" s="18">
        <f t="shared" si="102"/>
        <v>43273481</v>
      </c>
      <c r="O134" s="18">
        <f t="shared" si="102"/>
        <v>3068629</v>
      </c>
      <c r="P134" s="18">
        <f t="shared" si="109"/>
        <v>46342110</v>
      </c>
      <c r="Q134" s="139">
        <f t="shared" si="103"/>
        <v>1993340</v>
      </c>
      <c r="R134" s="18">
        <f t="shared" si="103"/>
        <v>0</v>
      </c>
      <c r="S134" s="18">
        <f t="shared" si="87"/>
        <v>1993340</v>
      </c>
      <c r="T134" s="18">
        <f t="shared" si="104"/>
        <v>0</v>
      </c>
      <c r="U134" s="18">
        <f t="shared" si="104"/>
        <v>0</v>
      </c>
      <c r="V134" s="18">
        <f t="shared" si="88"/>
        <v>0</v>
      </c>
      <c r="W134" s="18">
        <f t="shared" si="105"/>
        <v>315995687</v>
      </c>
      <c r="X134" s="18">
        <f t="shared" si="105"/>
        <v>18345526</v>
      </c>
      <c r="Y134" s="18">
        <f t="shared" si="89"/>
        <v>334341213</v>
      </c>
      <c r="Z134" s="18">
        <f t="shared" si="106"/>
        <v>66984213</v>
      </c>
      <c r="AA134" s="18">
        <f t="shared" si="106"/>
        <v>10320540</v>
      </c>
      <c r="AB134" s="18">
        <f t="shared" si="90"/>
        <v>77304753</v>
      </c>
      <c r="AC134" s="140">
        <f t="shared" si="91"/>
        <v>413639306</v>
      </c>
      <c r="AD134" s="26">
        <f t="shared" si="96"/>
        <v>0.20198152117979173</v>
      </c>
    </row>
    <row r="135" spans="1:30" ht="14.25" thickBot="1">
      <c r="A135" s="138">
        <v>44166</v>
      </c>
      <c r="B135" s="139">
        <v>57832</v>
      </c>
      <c r="C135" s="18">
        <v>0</v>
      </c>
      <c r="D135" s="18">
        <f t="shared" si="101"/>
        <v>57832</v>
      </c>
      <c r="E135" s="18">
        <v>0</v>
      </c>
      <c r="F135" s="18">
        <v>0</v>
      </c>
      <c r="G135" s="18">
        <f t="shared" si="86"/>
        <v>0</v>
      </c>
      <c r="H135" s="18">
        <v>71993431</v>
      </c>
      <c r="I135" s="18">
        <v>5942291</v>
      </c>
      <c r="J135" s="18">
        <f t="shared" si="107"/>
        <v>77935722</v>
      </c>
      <c r="K135" s="18">
        <v>13960148</v>
      </c>
      <c r="L135" s="18">
        <v>279203</v>
      </c>
      <c r="M135" s="18">
        <f t="shared" si="108"/>
        <v>14239351</v>
      </c>
      <c r="N135" s="18">
        <f t="shared" si="102"/>
        <v>86011411</v>
      </c>
      <c r="O135" s="18">
        <f t="shared" si="102"/>
        <v>6221494</v>
      </c>
      <c r="P135" s="18">
        <f t="shared" si="109"/>
        <v>92232905</v>
      </c>
      <c r="Q135" s="139">
        <f t="shared" si="103"/>
        <v>2051172</v>
      </c>
      <c r="R135" s="18">
        <f t="shared" si="103"/>
        <v>0</v>
      </c>
      <c r="S135" s="18">
        <f t="shared" si="87"/>
        <v>2051172</v>
      </c>
      <c r="T135" s="18">
        <f t="shared" si="104"/>
        <v>0</v>
      </c>
      <c r="U135" s="18">
        <f t="shared" si="104"/>
        <v>0</v>
      </c>
      <c r="V135" s="18">
        <f t="shared" si="88"/>
        <v>0</v>
      </c>
      <c r="W135" s="18">
        <f t="shared" si="105"/>
        <v>387989118</v>
      </c>
      <c r="X135" s="18">
        <f t="shared" si="105"/>
        <v>24287817</v>
      </c>
      <c r="Y135" s="18">
        <f t="shared" si="89"/>
        <v>412276935</v>
      </c>
      <c r="Z135" s="18">
        <f t="shared" si="106"/>
        <v>80944361</v>
      </c>
      <c r="AA135" s="18">
        <f t="shared" si="106"/>
        <v>10599743</v>
      </c>
      <c r="AB135" s="18">
        <f t="shared" si="90"/>
        <v>91544104</v>
      </c>
      <c r="AC135" s="140">
        <f t="shared" si="91"/>
        <v>505872211</v>
      </c>
      <c r="AD135" s="26">
        <f t="shared" si="96"/>
        <v>0.221551189126723</v>
      </c>
    </row>
    <row r="136" spans="1:30">
      <c r="A136" s="145">
        <v>44197</v>
      </c>
      <c r="B136" s="143">
        <v>203252</v>
      </c>
      <c r="C136" s="143">
        <v>0</v>
      </c>
      <c r="D136" s="143">
        <f t="shared" si="101"/>
        <v>203252</v>
      </c>
      <c r="E136" s="143">
        <v>0</v>
      </c>
      <c r="F136" s="143">
        <v>0</v>
      </c>
      <c r="G136" s="143">
        <f t="shared" si="86"/>
        <v>0</v>
      </c>
      <c r="H136" s="143">
        <v>3883503</v>
      </c>
      <c r="I136" s="143">
        <v>0</v>
      </c>
      <c r="J136" s="143">
        <f t="shared" si="107"/>
        <v>3883503</v>
      </c>
      <c r="K136" s="143">
        <v>1179715</v>
      </c>
      <c r="L136" s="143">
        <v>0</v>
      </c>
      <c r="M136" s="143">
        <f t="shared" si="108"/>
        <v>1179715</v>
      </c>
      <c r="N136" s="143">
        <f t="shared" si="102"/>
        <v>5266470</v>
      </c>
      <c r="O136" s="143">
        <f t="shared" si="102"/>
        <v>0</v>
      </c>
      <c r="P136" s="143">
        <f t="shared" si="109"/>
        <v>5266470</v>
      </c>
      <c r="Q136" s="142">
        <f>B136</f>
        <v>203252</v>
      </c>
      <c r="R136" s="143">
        <f>C136</f>
        <v>0</v>
      </c>
      <c r="S136" s="143">
        <f t="shared" si="87"/>
        <v>203252</v>
      </c>
      <c r="T136" s="143">
        <f>E136</f>
        <v>0</v>
      </c>
      <c r="U136" s="143">
        <f>F136</f>
        <v>0</v>
      </c>
      <c r="V136" s="143">
        <f t="shared" si="88"/>
        <v>0</v>
      </c>
      <c r="W136" s="143">
        <f>H136</f>
        <v>3883503</v>
      </c>
      <c r="X136" s="143">
        <f t="shared" ref="X136:AC136" si="110">I136</f>
        <v>0</v>
      </c>
      <c r="Y136" s="143">
        <f t="shared" si="110"/>
        <v>3883503</v>
      </c>
      <c r="Z136" s="143">
        <f t="shared" si="110"/>
        <v>1179715</v>
      </c>
      <c r="AA136" s="143">
        <f t="shared" si="110"/>
        <v>0</v>
      </c>
      <c r="AB136" s="143">
        <f t="shared" si="110"/>
        <v>1179715</v>
      </c>
      <c r="AC136" s="144">
        <f t="shared" si="110"/>
        <v>5266470</v>
      </c>
      <c r="AD136" s="26">
        <f t="shared" si="96"/>
        <v>6.7914659549537824</v>
      </c>
    </row>
    <row r="137" spans="1:30">
      <c r="A137" s="146">
        <v>44228</v>
      </c>
      <c r="B137" s="18">
        <v>29238</v>
      </c>
      <c r="C137" s="18">
        <v>0</v>
      </c>
      <c r="D137" s="18">
        <f t="shared" si="101"/>
        <v>29238</v>
      </c>
      <c r="E137" s="18">
        <v>0</v>
      </c>
      <c r="F137" s="18">
        <v>0</v>
      </c>
      <c r="G137" s="18">
        <f t="shared" si="86"/>
        <v>0</v>
      </c>
      <c r="H137" s="18">
        <v>33220960</v>
      </c>
      <c r="I137" s="18">
        <v>2921276</v>
      </c>
      <c r="J137" s="18">
        <f t="shared" si="107"/>
        <v>36142236</v>
      </c>
      <c r="K137" s="18">
        <v>5801041</v>
      </c>
      <c r="L137" s="18">
        <v>0</v>
      </c>
      <c r="M137" s="18">
        <f t="shared" si="108"/>
        <v>5801041</v>
      </c>
      <c r="N137" s="18">
        <f t="shared" si="102"/>
        <v>39051239</v>
      </c>
      <c r="O137" s="18">
        <f t="shared" si="102"/>
        <v>2921276</v>
      </c>
      <c r="P137" s="18">
        <f t="shared" si="109"/>
        <v>41972515</v>
      </c>
      <c r="Q137" s="139">
        <f t="shared" ref="Q137:R147" si="111">Q136+B137</f>
        <v>232490</v>
      </c>
      <c r="R137" s="18">
        <f t="shared" si="111"/>
        <v>0</v>
      </c>
      <c r="S137" s="18">
        <f t="shared" si="87"/>
        <v>232490</v>
      </c>
      <c r="T137" s="18">
        <f t="shared" ref="T137:U147" si="112">T136+E137</f>
        <v>0</v>
      </c>
      <c r="U137" s="18">
        <f t="shared" si="112"/>
        <v>0</v>
      </c>
      <c r="V137" s="18">
        <f t="shared" si="88"/>
        <v>0</v>
      </c>
      <c r="W137" s="18">
        <f t="shared" ref="W137:X147" si="113">W136+H137</f>
        <v>37104463</v>
      </c>
      <c r="X137" s="18">
        <f t="shared" si="113"/>
        <v>2921276</v>
      </c>
      <c r="Y137" s="18">
        <f t="shared" ref="Y137:Y142" si="114">X137+W137</f>
        <v>40025739</v>
      </c>
      <c r="Z137" s="18">
        <f t="shared" ref="Z137:AA147" si="115">Z136+K137</f>
        <v>6980756</v>
      </c>
      <c r="AA137" s="18">
        <f t="shared" si="115"/>
        <v>0</v>
      </c>
      <c r="AB137" s="18">
        <f t="shared" ref="AB137:AB142" si="116">AA137+Z137</f>
        <v>6980756</v>
      </c>
      <c r="AC137" s="140">
        <f t="shared" ref="AC137:AC142" si="117">AB137+Y137+V137+S137</f>
        <v>47238985</v>
      </c>
      <c r="AD137" s="26">
        <f t="shared" si="96"/>
        <v>0.25308629530764271</v>
      </c>
    </row>
    <row r="138" spans="1:30">
      <c r="A138" s="146">
        <v>44256</v>
      </c>
      <c r="B138" s="18">
        <v>0</v>
      </c>
      <c r="C138" s="18">
        <v>0</v>
      </c>
      <c r="D138" s="18">
        <f t="shared" si="101"/>
        <v>0</v>
      </c>
      <c r="E138" s="18">
        <v>0</v>
      </c>
      <c r="F138" s="18">
        <v>0</v>
      </c>
      <c r="G138" s="18">
        <f t="shared" si="86"/>
        <v>0</v>
      </c>
      <c r="H138" s="18">
        <v>27903102</v>
      </c>
      <c r="I138" s="18">
        <v>2817231</v>
      </c>
      <c r="J138" s="18">
        <f t="shared" si="107"/>
        <v>30720333</v>
      </c>
      <c r="K138" s="18">
        <v>6042256</v>
      </c>
      <c r="L138" s="18">
        <v>0</v>
      </c>
      <c r="M138" s="18">
        <f t="shared" si="108"/>
        <v>6042256</v>
      </c>
      <c r="N138" s="18">
        <f t="shared" ref="N138:O177" si="118">B138+E138+H138+K138</f>
        <v>33945358</v>
      </c>
      <c r="O138" s="18">
        <f t="shared" si="118"/>
        <v>2817231</v>
      </c>
      <c r="P138" s="18">
        <f t="shared" si="109"/>
        <v>36762589</v>
      </c>
      <c r="Q138" s="139">
        <f t="shared" si="111"/>
        <v>232490</v>
      </c>
      <c r="R138" s="18">
        <f t="shared" si="111"/>
        <v>0</v>
      </c>
      <c r="S138" s="18">
        <f t="shared" si="87"/>
        <v>232490</v>
      </c>
      <c r="T138" s="18">
        <f t="shared" si="112"/>
        <v>0</v>
      </c>
      <c r="U138" s="18">
        <f t="shared" si="112"/>
        <v>0</v>
      </c>
      <c r="V138" s="18">
        <f t="shared" si="88"/>
        <v>0</v>
      </c>
      <c r="W138" s="18">
        <f t="shared" si="113"/>
        <v>65007565</v>
      </c>
      <c r="X138" s="18">
        <f t="shared" si="113"/>
        <v>5738507</v>
      </c>
      <c r="Y138" s="18">
        <f t="shared" si="114"/>
        <v>70746072</v>
      </c>
      <c r="Z138" s="18">
        <f t="shared" si="115"/>
        <v>13023012</v>
      </c>
      <c r="AA138" s="18">
        <f t="shared" si="115"/>
        <v>0</v>
      </c>
      <c r="AB138" s="18">
        <f t="shared" si="116"/>
        <v>13023012</v>
      </c>
      <c r="AC138" s="140">
        <f t="shared" si="117"/>
        <v>84001574</v>
      </c>
      <c r="AD138" s="26">
        <f t="shared" si="96"/>
        <v>0.16017620094494034</v>
      </c>
    </row>
    <row r="139" spans="1:30">
      <c r="A139" s="146">
        <v>44287</v>
      </c>
      <c r="B139" s="18">
        <v>0</v>
      </c>
      <c r="C139" s="18">
        <v>0</v>
      </c>
      <c r="D139" s="18">
        <f t="shared" si="101"/>
        <v>0</v>
      </c>
      <c r="E139" s="18">
        <v>0</v>
      </c>
      <c r="F139" s="18">
        <v>0</v>
      </c>
      <c r="G139" s="18">
        <f t="shared" si="86"/>
        <v>0</v>
      </c>
      <c r="H139" s="18">
        <v>34802958</v>
      </c>
      <c r="I139" s="18">
        <v>3158143</v>
      </c>
      <c r="J139" s="18">
        <f t="shared" si="107"/>
        <v>37961101</v>
      </c>
      <c r="K139" s="18">
        <v>5822780</v>
      </c>
      <c r="L139" s="18">
        <v>0</v>
      </c>
      <c r="M139" s="18">
        <f t="shared" si="108"/>
        <v>5822780</v>
      </c>
      <c r="N139" s="18">
        <f t="shared" si="118"/>
        <v>40625738</v>
      </c>
      <c r="O139" s="18">
        <f t="shared" si="118"/>
        <v>3158143</v>
      </c>
      <c r="P139" s="18">
        <f t="shared" si="109"/>
        <v>43783881</v>
      </c>
      <c r="Q139" s="139">
        <f t="shared" si="111"/>
        <v>232490</v>
      </c>
      <c r="R139" s="18">
        <f t="shared" si="111"/>
        <v>0</v>
      </c>
      <c r="S139" s="18">
        <f t="shared" si="87"/>
        <v>232490</v>
      </c>
      <c r="T139" s="18">
        <f t="shared" si="112"/>
        <v>0</v>
      </c>
      <c r="U139" s="18">
        <f t="shared" si="112"/>
        <v>0</v>
      </c>
      <c r="V139" s="18">
        <f t="shared" si="88"/>
        <v>0</v>
      </c>
      <c r="W139" s="18">
        <f t="shared" si="113"/>
        <v>99810523</v>
      </c>
      <c r="X139" s="18">
        <f t="shared" si="113"/>
        <v>8896650</v>
      </c>
      <c r="Y139" s="18">
        <f t="shared" si="114"/>
        <v>108707173</v>
      </c>
      <c r="Z139" s="18">
        <f t="shared" si="115"/>
        <v>18845792</v>
      </c>
      <c r="AA139" s="18">
        <f t="shared" si="115"/>
        <v>0</v>
      </c>
      <c r="AB139" s="18">
        <f t="shared" si="116"/>
        <v>18845792</v>
      </c>
      <c r="AC139" s="140">
        <f t="shared" si="117"/>
        <v>127785455</v>
      </c>
      <c r="AD139" s="26">
        <f t="shared" si="96"/>
        <v>0.12961012063416999</v>
      </c>
    </row>
    <row r="140" spans="1:30">
      <c r="A140" s="146">
        <v>44317</v>
      </c>
      <c r="B140" s="18">
        <v>0</v>
      </c>
      <c r="C140" s="18">
        <v>0</v>
      </c>
      <c r="D140" s="18">
        <f t="shared" si="101"/>
        <v>0</v>
      </c>
      <c r="E140" s="18">
        <v>0</v>
      </c>
      <c r="F140" s="18">
        <v>0</v>
      </c>
      <c r="G140" s="18">
        <f t="shared" si="86"/>
        <v>0</v>
      </c>
      <c r="H140" s="18">
        <v>35833762</v>
      </c>
      <c r="I140" s="18">
        <v>3056702</v>
      </c>
      <c r="J140" s="18">
        <f t="shared" si="107"/>
        <v>38890464</v>
      </c>
      <c r="K140" s="18">
        <v>5946988</v>
      </c>
      <c r="L140" s="18">
        <v>0</v>
      </c>
      <c r="M140" s="18">
        <f t="shared" si="108"/>
        <v>5946988</v>
      </c>
      <c r="N140" s="18">
        <f t="shared" si="118"/>
        <v>41780750</v>
      </c>
      <c r="O140" s="18">
        <f t="shared" si="118"/>
        <v>3056702</v>
      </c>
      <c r="P140" s="18">
        <f t="shared" si="109"/>
        <v>44837452</v>
      </c>
      <c r="Q140" s="139">
        <f t="shared" si="111"/>
        <v>232490</v>
      </c>
      <c r="R140" s="18">
        <f t="shared" si="111"/>
        <v>0</v>
      </c>
      <c r="S140" s="18">
        <f t="shared" si="87"/>
        <v>232490</v>
      </c>
      <c r="T140" s="18">
        <f t="shared" si="112"/>
        <v>0</v>
      </c>
      <c r="U140" s="18">
        <f t="shared" si="112"/>
        <v>0</v>
      </c>
      <c r="V140" s="18">
        <f t="shared" si="88"/>
        <v>0</v>
      </c>
      <c r="W140" s="18">
        <f t="shared" si="113"/>
        <v>135644285</v>
      </c>
      <c r="X140" s="18">
        <f t="shared" si="113"/>
        <v>11953352</v>
      </c>
      <c r="Y140" s="18">
        <f t="shared" si="114"/>
        <v>147597637</v>
      </c>
      <c r="Z140" s="18">
        <f t="shared" si="115"/>
        <v>24792780</v>
      </c>
      <c r="AA140" s="18">
        <f t="shared" si="115"/>
        <v>0</v>
      </c>
      <c r="AB140" s="18">
        <f t="shared" si="116"/>
        <v>24792780</v>
      </c>
      <c r="AC140" s="140">
        <f t="shared" si="117"/>
        <v>172622907</v>
      </c>
      <c r="AD140" s="26">
        <f t="shared" si="96"/>
        <v>0.14266433698220293</v>
      </c>
    </row>
    <row r="141" spans="1:30">
      <c r="A141" s="146">
        <v>44348</v>
      </c>
      <c r="B141" s="18">
        <v>11788</v>
      </c>
      <c r="C141" s="18">
        <v>0</v>
      </c>
      <c r="D141" s="18">
        <f t="shared" si="101"/>
        <v>11788</v>
      </c>
      <c r="E141" s="18">
        <v>0</v>
      </c>
      <c r="F141" s="18">
        <v>0</v>
      </c>
      <c r="G141" s="18">
        <f t="shared" si="86"/>
        <v>0</v>
      </c>
      <c r="H141" s="18">
        <v>39397690</v>
      </c>
      <c r="I141" s="18">
        <v>2702538</v>
      </c>
      <c r="J141" s="18">
        <f t="shared" si="107"/>
        <v>42100228</v>
      </c>
      <c r="K141" s="18">
        <v>6974332</v>
      </c>
      <c r="L141" s="18">
        <v>483469</v>
      </c>
      <c r="M141" s="18">
        <f t="shared" si="108"/>
        <v>7457801</v>
      </c>
      <c r="N141" s="18">
        <f t="shared" si="118"/>
        <v>46383810</v>
      </c>
      <c r="O141" s="18">
        <f t="shared" si="118"/>
        <v>3186007</v>
      </c>
      <c r="P141" s="18">
        <f t="shared" si="109"/>
        <v>49569817</v>
      </c>
      <c r="Q141" s="139">
        <f t="shared" si="111"/>
        <v>244278</v>
      </c>
      <c r="R141" s="18">
        <f t="shared" si="111"/>
        <v>0</v>
      </c>
      <c r="S141" s="18">
        <f t="shared" si="87"/>
        <v>244278</v>
      </c>
      <c r="T141" s="18">
        <f t="shared" si="112"/>
        <v>0</v>
      </c>
      <c r="U141" s="18">
        <f t="shared" si="112"/>
        <v>0</v>
      </c>
      <c r="V141" s="18">
        <f t="shared" si="88"/>
        <v>0</v>
      </c>
      <c r="W141" s="18">
        <f t="shared" si="113"/>
        <v>175041975</v>
      </c>
      <c r="X141" s="18">
        <f t="shared" si="113"/>
        <v>14655890</v>
      </c>
      <c r="Y141" s="18">
        <f t="shared" si="114"/>
        <v>189697865</v>
      </c>
      <c r="Z141" s="18">
        <f t="shared" si="115"/>
        <v>31767112</v>
      </c>
      <c r="AA141" s="18">
        <f t="shared" si="115"/>
        <v>483469</v>
      </c>
      <c r="AB141" s="18">
        <f t="shared" si="116"/>
        <v>32250581</v>
      </c>
      <c r="AC141" s="140">
        <f t="shared" si="117"/>
        <v>222192724</v>
      </c>
      <c r="AD141" s="26">
        <f t="shared" si="96"/>
        <v>0.14978862446541363</v>
      </c>
    </row>
    <row r="142" spans="1:30">
      <c r="A142" s="146">
        <v>44378</v>
      </c>
      <c r="B142" s="18">
        <v>0</v>
      </c>
      <c r="C142" s="18">
        <v>0</v>
      </c>
      <c r="D142" s="18">
        <f t="shared" si="101"/>
        <v>0</v>
      </c>
      <c r="E142" s="18">
        <v>0</v>
      </c>
      <c r="F142" s="18">
        <v>0</v>
      </c>
      <c r="G142" s="18">
        <f t="shared" si="86"/>
        <v>0</v>
      </c>
      <c r="H142" s="18">
        <v>35884034</v>
      </c>
      <c r="I142" s="18">
        <v>2718711</v>
      </c>
      <c r="J142" s="18">
        <f t="shared" si="107"/>
        <v>38602745</v>
      </c>
      <c r="K142" s="18">
        <v>7060527</v>
      </c>
      <c r="L142" s="18">
        <v>240726</v>
      </c>
      <c r="M142" s="18">
        <f t="shared" si="108"/>
        <v>7301253</v>
      </c>
      <c r="N142" s="18">
        <f t="shared" si="118"/>
        <v>42944561</v>
      </c>
      <c r="O142" s="18">
        <f t="shared" si="118"/>
        <v>2959437</v>
      </c>
      <c r="P142" s="18">
        <f t="shared" si="109"/>
        <v>45903998</v>
      </c>
      <c r="Q142" s="139">
        <f t="shared" si="111"/>
        <v>244278</v>
      </c>
      <c r="R142" s="18">
        <f t="shared" si="111"/>
        <v>0</v>
      </c>
      <c r="S142" s="18">
        <f t="shared" si="87"/>
        <v>244278</v>
      </c>
      <c r="T142" s="18">
        <f t="shared" si="112"/>
        <v>0</v>
      </c>
      <c r="U142" s="18">
        <f t="shared" si="112"/>
        <v>0</v>
      </c>
      <c r="V142" s="18">
        <f t="shared" si="88"/>
        <v>0</v>
      </c>
      <c r="W142" s="18">
        <f t="shared" si="113"/>
        <v>210926009</v>
      </c>
      <c r="X142" s="18">
        <f t="shared" si="113"/>
        <v>17374601</v>
      </c>
      <c r="Y142" s="18">
        <f t="shared" si="114"/>
        <v>228300610</v>
      </c>
      <c r="Z142" s="18">
        <f t="shared" si="115"/>
        <v>38827639</v>
      </c>
      <c r="AA142" s="18">
        <f t="shared" si="115"/>
        <v>724195</v>
      </c>
      <c r="AB142" s="18">
        <f t="shared" si="116"/>
        <v>39551834</v>
      </c>
      <c r="AC142" s="140">
        <f t="shared" si="117"/>
        <v>268096722</v>
      </c>
      <c r="AD142" s="26">
        <f t="shared" si="96"/>
        <v>0.14474452740843335</v>
      </c>
    </row>
    <row r="143" spans="1:30">
      <c r="A143" s="146">
        <v>44409</v>
      </c>
      <c r="B143" s="18">
        <v>0</v>
      </c>
      <c r="C143" s="18">
        <v>0</v>
      </c>
      <c r="D143" s="18">
        <f t="shared" si="101"/>
        <v>0</v>
      </c>
      <c r="E143" s="18">
        <v>0</v>
      </c>
      <c r="F143" s="18">
        <v>0</v>
      </c>
      <c r="G143" s="18">
        <f t="shared" si="86"/>
        <v>0</v>
      </c>
      <c r="H143" s="18">
        <v>37893243</v>
      </c>
      <c r="I143" s="18">
        <v>2857925</v>
      </c>
      <c r="J143" s="18">
        <f t="shared" si="107"/>
        <v>40751168</v>
      </c>
      <c r="K143" s="18">
        <v>6693931</v>
      </c>
      <c r="L143" s="18">
        <v>195705</v>
      </c>
      <c r="M143" s="18">
        <f t="shared" si="108"/>
        <v>6889636</v>
      </c>
      <c r="N143" s="18">
        <f t="shared" si="118"/>
        <v>44587174</v>
      </c>
      <c r="O143" s="18">
        <f t="shared" si="118"/>
        <v>3053630</v>
      </c>
      <c r="P143" s="18">
        <f t="shared" si="109"/>
        <v>47640804</v>
      </c>
      <c r="Q143" s="139">
        <f t="shared" si="111"/>
        <v>244278</v>
      </c>
      <c r="R143" s="18">
        <f t="shared" si="111"/>
        <v>0</v>
      </c>
      <c r="S143" s="18">
        <f t="shared" si="87"/>
        <v>244278</v>
      </c>
      <c r="T143" s="18">
        <f t="shared" si="112"/>
        <v>0</v>
      </c>
      <c r="U143" s="18">
        <f t="shared" si="112"/>
        <v>0</v>
      </c>
      <c r="V143" s="18">
        <f t="shared" si="88"/>
        <v>0</v>
      </c>
      <c r="W143" s="18">
        <f t="shared" si="113"/>
        <v>248819252</v>
      </c>
      <c r="X143" s="18">
        <f t="shared" si="113"/>
        <v>20232526</v>
      </c>
      <c r="Y143" s="18">
        <f>X143+W143</f>
        <v>269051778</v>
      </c>
      <c r="Z143" s="18">
        <f t="shared" si="115"/>
        <v>45521570</v>
      </c>
      <c r="AA143" s="18">
        <f t="shared" si="115"/>
        <v>919900</v>
      </c>
      <c r="AB143" s="18">
        <f>AA143+Z143</f>
        <v>46441470</v>
      </c>
      <c r="AC143" s="140">
        <f>AB143+Y143+V143+S143</f>
        <v>315737526</v>
      </c>
      <c r="AD143" s="26">
        <f t="shared" si="96"/>
        <v>0.14069837061048651</v>
      </c>
    </row>
    <row r="144" spans="1:30">
      <c r="A144" s="146">
        <v>44440</v>
      </c>
      <c r="B144" s="18">
        <v>0</v>
      </c>
      <c r="C144" s="18">
        <v>0</v>
      </c>
      <c r="D144" s="18">
        <f t="shared" si="101"/>
        <v>0</v>
      </c>
      <c r="E144" s="18">
        <v>0</v>
      </c>
      <c r="F144" s="18">
        <v>0</v>
      </c>
      <c r="G144" s="18">
        <f t="shared" si="86"/>
        <v>0</v>
      </c>
      <c r="H144" s="18">
        <v>39533285</v>
      </c>
      <c r="I144" s="18">
        <v>2967093</v>
      </c>
      <c r="J144" s="18">
        <f t="shared" si="107"/>
        <v>42500378</v>
      </c>
      <c r="K144" s="18">
        <v>7402799</v>
      </c>
      <c r="L144" s="18">
        <v>25800</v>
      </c>
      <c r="M144" s="18">
        <f t="shared" si="108"/>
        <v>7428599</v>
      </c>
      <c r="N144" s="18">
        <f t="shared" si="118"/>
        <v>46936084</v>
      </c>
      <c r="O144" s="18">
        <f t="shared" si="118"/>
        <v>2992893</v>
      </c>
      <c r="P144" s="18">
        <f t="shared" si="109"/>
        <v>49928977</v>
      </c>
      <c r="Q144" s="139">
        <f t="shared" si="111"/>
        <v>244278</v>
      </c>
      <c r="R144" s="18">
        <f t="shared" si="111"/>
        <v>0</v>
      </c>
      <c r="S144" s="18">
        <f t="shared" si="87"/>
        <v>244278</v>
      </c>
      <c r="T144" s="18">
        <f t="shared" si="112"/>
        <v>0</v>
      </c>
      <c r="U144" s="18">
        <f t="shared" si="112"/>
        <v>0</v>
      </c>
      <c r="V144" s="18">
        <f t="shared" si="88"/>
        <v>0</v>
      </c>
      <c r="W144" s="18">
        <f t="shared" si="113"/>
        <v>288352537</v>
      </c>
      <c r="X144" s="18">
        <f t="shared" si="113"/>
        <v>23199619</v>
      </c>
      <c r="Y144" s="18">
        <f>X144+W144</f>
        <v>311552156</v>
      </c>
      <c r="Z144" s="18">
        <f t="shared" si="115"/>
        <v>52924369</v>
      </c>
      <c r="AA144" s="18">
        <f t="shared" si="115"/>
        <v>945700</v>
      </c>
      <c r="AB144" s="18">
        <f>AA144+Z144</f>
        <v>53870069</v>
      </c>
      <c r="AC144" s="140">
        <f>AB144+Y144+V144+S144</f>
        <v>365666503</v>
      </c>
      <c r="AD144" s="26">
        <f>AC144/AC132-1</f>
        <v>0.13331781978608981</v>
      </c>
    </row>
    <row r="145" spans="1:34">
      <c r="A145" s="146">
        <v>44470</v>
      </c>
      <c r="B145" s="18">
        <v>0</v>
      </c>
      <c r="C145" s="18">
        <v>0</v>
      </c>
      <c r="D145" s="18">
        <f t="shared" si="101"/>
        <v>0</v>
      </c>
      <c r="E145" s="18">
        <v>0</v>
      </c>
      <c r="F145" s="18">
        <v>0</v>
      </c>
      <c r="G145" s="18">
        <f t="shared" si="86"/>
        <v>0</v>
      </c>
      <c r="H145" s="18">
        <v>39558092</v>
      </c>
      <c r="I145" s="18">
        <v>2634250</v>
      </c>
      <c r="J145" s="18">
        <f t="shared" si="107"/>
        <v>42192342</v>
      </c>
      <c r="K145" s="18">
        <v>6941856</v>
      </c>
      <c r="L145" s="18">
        <v>349262</v>
      </c>
      <c r="M145" s="18">
        <f t="shared" si="108"/>
        <v>7291118</v>
      </c>
      <c r="N145" s="18">
        <f t="shared" si="118"/>
        <v>46499948</v>
      </c>
      <c r="O145" s="18">
        <f t="shared" si="118"/>
        <v>2983512</v>
      </c>
      <c r="P145" s="18">
        <f t="shared" si="109"/>
        <v>49483460</v>
      </c>
      <c r="Q145" s="139">
        <f t="shared" si="111"/>
        <v>244278</v>
      </c>
      <c r="R145" s="18">
        <f t="shared" si="111"/>
        <v>0</v>
      </c>
      <c r="S145" s="18">
        <f t="shared" si="87"/>
        <v>244278</v>
      </c>
      <c r="T145" s="18">
        <f t="shared" si="112"/>
        <v>0</v>
      </c>
      <c r="U145" s="18">
        <f t="shared" si="112"/>
        <v>0</v>
      </c>
      <c r="V145" s="18">
        <f t="shared" si="88"/>
        <v>0</v>
      </c>
      <c r="W145" s="18">
        <f t="shared" si="113"/>
        <v>327910629</v>
      </c>
      <c r="X145" s="18">
        <f t="shared" si="113"/>
        <v>25833869</v>
      </c>
      <c r="Y145" s="18">
        <f>X145+W145</f>
        <v>353744498</v>
      </c>
      <c r="Z145" s="18">
        <f t="shared" si="115"/>
        <v>59866225</v>
      </c>
      <c r="AA145" s="18">
        <f t="shared" si="115"/>
        <v>1294962</v>
      </c>
      <c r="AB145" s="18">
        <f>AA145+Z145</f>
        <v>61161187</v>
      </c>
      <c r="AC145" s="140">
        <f>AB145+Y145+V145+S145</f>
        <v>415149963</v>
      </c>
      <c r="AD145" s="26">
        <f>AC145/AC133-1</f>
        <v>0.13028350752778417</v>
      </c>
    </row>
    <row r="146" spans="1:34">
      <c r="A146" s="146">
        <v>44501</v>
      </c>
      <c r="B146" s="18">
        <v>125000</v>
      </c>
      <c r="C146" s="18">
        <v>0</v>
      </c>
      <c r="D146" s="18">
        <f t="shared" si="101"/>
        <v>125000</v>
      </c>
      <c r="E146" s="18">
        <v>0</v>
      </c>
      <c r="F146" s="18">
        <v>0</v>
      </c>
      <c r="G146" s="18">
        <f t="shared" si="86"/>
        <v>0</v>
      </c>
      <c r="H146" s="18">
        <v>42107589</v>
      </c>
      <c r="I146" s="18">
        <v>2369226</v>
      </c>
      <c r="J146" s="18">
        <f t="shared" si="107"/>
        <v>44476815</v>
      </c>
      <c r="K146" s="18">
        <v>7154022</v>
      </c>
      <c r="L146" s="18">
        <v>667669</v>
      </c>
      <c r="M146" s="18">
        <f t="shared" si="108"/>
        <v>7821691</v>
      </c>
      <c r="N146" s="18">
        <f t="shared" si="118"/>
        <v>49386611</v>
      </c>
      <c r="O146" s="18">
        <f t="shared" si="118"/>
        <v>3036895</v>
      </c>
      <c r="P146" s="18">
        <f t="shared" si="109"/>
        <v>52423506</v>
      </c>
      <c r="Q146" s="139">
        <f t="shared" si="111"/>
        <v>369278</v>
      </c>
      <c r="R146" s="18">
        <f t="shared" si="111"/>
        <v>0</v>
      </c>
      <c r="S146" s="18">
        <f t="shared" si="87"/>
        <v>369278</v>
      </c>
      <c r="T146" s="18">
        <f t="shared" si="112"/>
        <v>0</v>
      </c>
      <c r="U146" s="18">
        <f t="shared" si="112"/>
        <v>0</v>
      </c>
      <c r="V146" s="18">
        <f t="shared" si="88"/>
        <v>0</v>
      </c>
      <c r="W146" s="18">
        <f t="shared" si="113"/>
        <v>370018218</v>
      </c>
      <c r="X146" s="18">
        <f t="shared" si="113"/>
        <v>28203095</v>
      </c>
      <c r="Y146" s="18">
        <f>X146+W146</f>
        <v>398221313</v>
      </c>
      <c r="Z146" s="18">
        <f t="shared" si="115"/>
        <v>67020247</v>
      </c>
      <c r="AA146" s="18">
        <f t="shared" si="115"/>
        <v>1962631</v>
      </c>
      <c r="AB146" s="18">
        <f>AA146+Z146</f>
        <v>68982878</v>
      </c>
      <c r="AC146" s="140">
        <f>AB146+Y146+V146+S146</f>
        <v>467573469</v>
      </c>
      <c r="AD146" s="26">
        <f>AC146/AC134-1</f>
        <v>0.13038935666331475</v>
      </c>
    </row>
    <row r="147" spans="1:34" ht="14.25" thickBot="1">
      <c r="A147" s="138">
        <v>44531</v>
      </c>
      <c r="B147" s="139">
        <v>215821</v>
      </c>
      <c r="C147" s="18">
        <v>0</v>
      </c>
      <c r="D147" s="18">
        <f t="shared" si="101"/>
        <v>215821</v>
      </c>
      <c r="E147" s="18">
        <v>0</v>
      </c>
      <c r="F147" s="18">
        <v>0</v>
      </c>
      <c r="G147" s="18">
        <f t="shared" si="86"/>
        <v>0</v>
      </c>
      <c r="H147" s="18">
        <v>80701265</v>
      </c>
      <c r="I147" s="18">
        <v>4800466</v>
      </c>
      <c r="J147" s="18">
        <f t="shared" si="107"/>
        <v>85501731</v>
      </c>
      <c r="K147" s="18">
        <v>13967492</v>
      </c>
      <c r="L147" s="18">
        <v>1155641</v>
      </c>
      <c r="M147" s="18">
        <f t="shared" si="108"/>
        <v>15123133</v>
      </c>
      <c r="N147" s="18">
        <f t="shared" si="118"/>
        <v>94884578</v>
      </c>
      <c r="O147" s="18">
        <f t="shared" si="118"/>
        <v>5956107</v>
      </c>
      <c r="P147" s="18">
        <f t="shared" si="109"/>
        <v>100840685</v>
      </c>
      <c r="Q147" s="139">
        <f t="shared" si="111"/>
        <v>585099</v>
      </c>
      <c r="R147" s="18">
        <f t="shared" si="111"/>
        <v>0</v>
      </c>
      <c r="S147" s="18">
        <f t="shared" si="87"/>
        <v>585099</v>
      </c>
      <c r="T147" s="18">
        <f t="shared" si="112"/>
        <v>0</v>
      </c>
      <c r="U147" s="18">
        <f t="shared" si="112"/>
        <v>0</v>
      </c>
      <c r="V147" s="18">
        <f t="shared" si="88"/>
        <v>0</v>
      </c>
      <c r="W147" s="18">
        <f t="shared" si="113"/>
        <v>450719483</v>
      </c>
      <c r="X147" s="18">
        <f t="shared" si="113"/>
        <v>33003561</v>
      </c>
      <c r="Y147" s="18">
        <f>X147+W147</f>
        <v>483723044</v>
      </c>
      <c r="Z147" s="18">
        <f t="shared" si="115"/>
        <v>80987739</v>
      </c>
      <c r="AA147" s="18">
        <f t="shared" si="115"/>
        <v>3118272</v>
      </c>
      <c r="AB147" s="18">
        <f>AA147+Z147</f>
        <v>84106011</v>
      </c>
      <c r="AC147" s="140">
        <f>AB147+Y147+V147+S147</f>
        <v>568414154</v>
      </c>
      <c r="AD147" s="26">
        <f>AC147/AC135-1</f>
        <v>0.12363190078452435</v>
      </c>
    </row>
    <row r="148" spans="1:34">
      <c r="A148" s="145">
        <v>44562</v>
      </c>
      <c r="B148" s="143">
        <v>0</v>
      </c>
      <c r="C148" s="143">
        <v>0</v>
      </c>
      <c r="D148" s="143">
        <f t="shared" si="101"/>
        <v>0</v>
      </c>
      <c r="E148" s="143">
        <v>0</v>
      </c>
      <c r="F148" s="143">
        <v>0</v>
      </c>
      <c r="G148" s="143">
        <f t="shared" si="86"/>
        <v>0</v>
      </c>
      <c r="H148" s="143">
        <v>752623</v>
      </c>
      <c r="I148" s="143">
        <v>0</v>
      </c>
      <c r="J148" s="143">
        <f t="shared" si="107"/>
        <v>752623</v>
      </c>
      <c r="K148" s="143">
        <v>99241</v>
      </c>
      <c r="L148" s="143">
        <v>0</v>
      </c>
      <c r="M148" s="143">
        <f t="shared" si="108"/>
        <v>99241</v>
      </c>
      <c r="N148" s="143">
        <f t="shared" si="118"/>
        <v>851864</v>
      </c>
      <c r="O148" s="143">
        <f t="shared" si="118"/>
        <v>0</v>
      </c>
      <c r="P148" s="143">
        <f t="shared" si="109"/>
        <v>851864</v>
      </c>
      <c r="Q148" s="142">
        <f>B148</f>
        <v>0</v>
      </c>
      <c r="R148" s="143">
        <f>C148</f>
        <v>0</v>
      </c>
      <c r="S148" s="143">
        <f t="shared" si="87"/>
        <v>0</v>
      </c>
      <c r="T148" s="143">
        <f>E148</f>
        <v>0</v>
      </c>
      <c r="U148" s="143">
        <f>F148</f>
        <v>0</v>
      </c>
      <c r="V148" s="143">
        <f t="shared" si="88"/>
        <v>0</v>
      </c>
      <c r="W148" s="143">
        <f t="shared" ref="W148:AC148" si="119">H148</f>
        <v>752623</v>
      </c>
      <c r="X148" s="143">
        <f t="shared" si="119"/>
        <v>0</v>
      </c>
      <c r="Y148" s="143">
        <f t="shared" si="119"/>
        <v>752623</v>
      </c>
      <c r="Z148" s="143">
        <f t="shared" si="119"/>
        <v>99241</v>
      </c>
      <c r="AA148" s="143">
        <f t="shared" si="119"/>
        <v>0</v>
      </c>
      <c r="AB148" s="143">
        <f t="shared" si="119"/>
        <v>99241</v>
      </c>
      <c r="AC148" s="144">
        <f t="shared" si="119"/>
        <v>851864</v>
      </c>
      <c r="AD148" s="26">
        <f t="shared" ref="AD148:AD183" si="120">AC148/AC136-1</f>
        <v>-0.83824763076595898</v>
      </c>
    </row>
    <row r="149" spans="1:34">
      <c r="A149" s="146">
        <v>44593</v>
      </c>
      <c r="B149" s="18">
        <v>87513</v>
      </c>
      <c r="C149" s="18">
        <v>0</v>
      </c>
      <c r="D149" s="18">
        <f t="shared" si="101"/>
        <v>87513</v>
      </c>
      <c r="E149" s="18">
        <v>0</v>
      </c>
      <c r="F149" s="18">
        <v>0</v>
      </c>
      <c r="G149" s="18">
        <f t="shared" si="86"/>
        <v>0</v>
      </c>
      <c r="H149" s="18">
        <v>39480978</v>
      </c>
      <c r="I149" s="18">
        <v>2668975</v>
      </c>
      <c r="J149" s="18">
        <f t="shared" si="107"/>
        <v>42149953</v>
      </c>
      <c r="K149" s="18">
        <v>6745165</v>
      </c>
      <c r="L149" s="18">
        <v>318595</v>
      </c>
      <c r="M149" s="18">
        <f t="shared" si="108"/>
        <v>7063760</v>
      </c>
      <c r="N149" s="18">
        <f t="shared" si="118"/>
        <v>46313656</v>
      </c>
      <c r="O149" s="18">
        <f t="shared" si="118"/>
        <v>2987570</v>
      </c>
      <c r="P149" s="18">
        <f t="shared" si="109"/>
        <v>49301226</v>
      </c>
      <c r="Q149" s="139">
        <f t="shared" ref="Q149:R159" si="121">Q148+B149</f>
        <v>87513</v>
      </c>
      <c r="R149" s="18">
        <f t="shared" si="121"/>
        <v>0</v>
      </c>
      <c r="S149" s="18">
        <f t="shared" si="87"/>
        <v>87513</v>
      </c>
      <c r="T149" s="18">
        <f t="shared" ref="T149:U159" si="122">T148+E149</f>
        <v>0</v>
      </c>
      <c r="U149" s="18">
        <f t="shared" si="122"/>
        <v>0</v>
      </c>
      <c r="V149" s="18">
        <f t="shared" si="88"/>
        <v>0</v>
      </c>
      <c r="W149" s="18">
        <f t="shared" ref="W149:X159" si="123">W148+H149</f>
        <v>40233601</v>
      </c>
      <c r="X149" s="18">
        <f t="shared" si="123"/>
        <v>2668975</v>
      </c>
      <c r="Y149" s="18">
        <f t="shared" ref="Y149:Y159" si="124">X149+W149</f>
        <v>42902576</v>
      </c>
      <c r="Z149" s="18">
        <f t="shared" ref="Z149:AA159" si="125">Z148+K149</f>
        <v>6844406</v>
      </c>
      <c r="AA149" s="18">
        <f t="shared" si="125"/>
        <v>318595</v>
      </c>
      <c r="AB149" s="18">
        <f t="shared" ref="AB149:AB159" si="126">AA149+Z149</f>
        <v>7163001</v>
      </c>
      <c r="AC149" s="140">
        <f t="shared" ref="AC149:AC159" si="127">AB149+Y149+V149+S149</f>
        <v>50153090</v>
      </c>
      <c r="AD149" s="26">
        <f t="shared" si="120"/>
        <v>6.1688560835928108E-2</v>
      </c>
    </row>
    <row r="150" spans="1:34">
      <c r="A150" s="146">
        <v>44621</v>
      </c>
      <c r="B150" s="18">
        <v>0</v>
      </c>
      <c r="C150" s="18">
        <v>0</v>
      </c>
      <c r="D150" s="18">
        <f t="shared" si="101"/>
        <v>0</v>
      </c>
      <c r="E150" s="18">
        <v>0</v>
      </c>
      <c r="F150" s="18">
        <v>0</v>
      </c>
      <c r="G150" s="18">
        <f t="shared" si="86"/>
        <v>0</v>
      </c>
      <c r="H150" s="18">
        <v>35685257</v>
      </c>
      <c r="I150" s="18">
        <v>2618524</v>
      </c>
      <c r="J150" s="18">
        <f t="shared" si="107"/>
        <v>38303781</v>
      </c>
      <c r="K150" s="18">
        <v>6583858</v>
      </c>
      <c r="L150" s="18">
        <v>0</v>
      </c>
      <c r="M150" s="18">
        <f t="shared" si="108"/>
        <v>6583858</v>
      </c>
      <c r="N150" s="18">
        <f t="shared" si="118"/>
        <v>42269115</v>
      </c>
      <c r="O150" s="18">
        <f t="shared" si="118"/>
        <v>2618524</v>
      </c>
      <c r="P150" s="18">
        <f t="shared" si="109"/>
        <v>44887639</v>
      </c>
      <c r="Q150" s="139">
        <f t="shared" si="121"/>
        <v>87513</v>
      </c>
      <c r="R150" s="18">
        <f t="shared" si="121"/>
        <v>0</v>
      </c>
      <c r="S150" s="18">
        <f t="shared" si="87"/>
        <v>87513</v>
      </c>
      <c r="T150" s="18">
        <f t="shared" si="122"/>
        <v>0</v>
      </c>
      <c r="U150" s="18">
        <f t="shared" si="122"/>
        <v>0</v>
      </c>
      <c r="V150" s="18">
        <f t="shared" si="88"/>
        <v>0</v>
      </c>
      <c r="W150" s="18">
        <f t="shared" si="123"/>
        <v>75918858</v>
      </c>
      <c r="X150" s="18">
        <f t="shared" si="123"/>
        <v>5287499</v>
      </c>
      <c r="Y150" s="18">
        <f t="shared" si="124"/>
        <v>81206357</v>
      </c>
      <c r="Z150" s="18">
        <f t="shared" si="125"/>
        <v>13428264</v>
      </c>
      <c r="AA150" s="18">
        <f t="shared" si="125"/>
        <v>318595</v>
      </c>
      <c r="AB150" s="18">
        <f t="shared" si="126"/>
        <v>13746859</v>
      </c>
      <c r="AC150" s="140">
        <f t="shared" si="127"/>
        <v>95040729</v>
      </c>
      <c r="AD150" s="26">
        <f t="shared" si="120"/>
        <v>0.13141604941831209</v>
      </c>
    </row>
    <row r="151" spans="1:34">
      <c r="A151" s="146">
        <v>44652</v>
      </c>
      <c r="B151" s="18">
        <v>86794</v>
      </c>
      <c r="C151" s="18">
        <v>0</v>
      </c>
      <c r="D151" s="18">
        <f t="shared" si="101"/>
        <v>86794</v>
      </c>
      <c r="E151" s="18">
        <v>0</v>
      </c>
      <c r="F151" s="18">
        <v>0</v>
      </c>
      <c r="G151" s="18">
        <f t="shared" si="86"/>
        <v>0</v>
      </c>
      <c r="H151" s="18">
        <v>40668142</v>
      </c>
      <c r="I151" s="18">
        <v>2802900</v>
      </c>
      <c r="J151" s="18">
        <f t="shared" si="107"/>
        <v>43471042</v>
      </c>
      <c r="K151" s="18">
        <v>7329733</v>
      </c>
      <c r="L151" s="18">
        <v>157204</v>
      </c>
      <c r="M151" s="18">
        <f t="shared" si="108"/>
        <v>7486937</v>
      </c>
      <c r="N151" s="18">
        <f t="shared" si="118"/>
        <v>48084669</v>
      </c>
      <c r="O151" s="18">
        <f t="shared" si="118"/>
        <v>2960104</v>
      </c>
      <c r="P151" s="18">
        <f t="shared" si="109"/>
        <v>51044773</v>
      </c>
      <c r="Q151" s="139">
        <f t="shared" si="121"/>
        <v>174307</v>
      </c>
      <c r="R151" s="18">
        <f t="shared" si="121"/>
        <v>0</v>
      </c>
      <c r="S151" s="18">
        <f t="shared" si="87"/>
        <v>174307</v>
      </c>
      <c r="T151" s="18">
        <f t="shared" si="122"/>
        <v>0</v>
      </c>
      <c r="U151" s="18">
        <f t="shared" si="122"/>
        <v>0</v>
      </c>
      <c r="V151" s="18">
        <f t="shared" si="88"/>
        <v>0</v>
      </c>
      <c r="W151" s="18">
        <f t="shared" si="123"/>
        <v>116587000</v>
      </c>
      <c r="X151" s="18">
        <f t="shared" si="123"/>
        <v>8090399</v>
      </c>
      <c r="Y151" s="18">
        <f t="shared" si="124"/>
        <v>124677399</v>
      </c>
      <c r="Z151" s="18">
        <f t="shared" si="125"/>
        <v>20757997</v>
      </c>
      <c r="AA151" s="18">
        <f t="shared" si="125"/>
        <v>475799</v>
      </c>
      <c r="AB151" s="18">
        <f t="shared" si="126"/>
        <v>21233796</v>
      </c>
      <c r="AC151" s="140">
        <f t="shared" si="127"/>
        <v>146085502</v>
      </c>
      <c r="AD151" s="26">
        <f t="shared" si="120"/>
        <v>0.14320915475082829</v>
      </c>
    </row>
    <row r="152" spans="1:34">
      <c r="A152" s="146">
        <v>44682</v>
      </c>
      <c r="B152" s="18">
        <v>258819</v>
      </c>
      <c r="C152" s="18">
        <v>0</v>
      </c>
      <c r="D152" s="18">
        <f t="shared" si="101"/>
        <v>258819</v>
      </c>
      <c r="E152" s="18">
        <v>0</v>
      </c>
      <c r="F152" s="18">
        <v>0</v>
      </c>
      <c r="G152" s="18">
        <f t="shared" si="86"/>
        <v>0</v>
      </c>
      <c r="H152" s="18">
        <v>46346211</v>
      </c>
      <c r="I152" s="18">
        <v>2847030</v>
      </c>
      <c r="J152" s="18">
        <f t="shared" si="107"/>
        <v>49193241</v>
      </c>
      <c r="K152" s="18">
        <v>7709416</v>
      </c>
      <c r="L152" s="18">
        <v>161649</v>
      </c>
      <c r="M152" s="18">
        <f t="shared" si="108"/>
        <v>7871065</v>
      </c>
      <c r="N152" s="18">
        <f t="shared" si="118"/>
        <v>54314446</v>
      </c>
      <c r="O152" s="18">
        <f t="shared" si="118"/>
        <v>3008679</v>
      </c>
      <c r="P152" s="18">
        <f t="shared" si="109"/>
        <v>57323125</v>
      </c>
      <c r="Q152" s="139">
        <f t="shared" si="121"/>
        <v>433126</v>
      </c>
      <c r="R152" s="18">
        <f t="shared" si="121"/>
        <v>0</v>
      </c>
      <c r="S152" s="18">
        <f t="shared" si="87"/>
        <v>433126</v>
      </c>
      <c r="T152" s="18">
        <f t="shared" si="122"/>
        <v>0</v>
      </c>
      <c r="U152" s="18">
        <f t="shared" si="122"/>
        <v>0</v>
      </c>
      <c r="V152" s="18">
        <f t="shared" si="88"/>
        <v>0</v>
      </c>
      <c r="W152" s="18">
        <f t="shared" si="123"/>
        <v>162933211</v>
      </c>
      <c r="X152" s="18">
        <f t="shared" si="123"/>
        <v>10937429</v>
      </c>
      <c r="Y152" s="18">
        <f t="shared" si="124"/>
        <v>173870640</v>
      </c>
      <c r="Z152" s="18">
        <f t="shared" si="125"/>
        <v>28467413</v>
      </c>
      <c r="AA152" s="18">
        <f t="shared" si="125"/>
        <v>637448</v>
      </c>
      <c r="AB152" s="18">
        <f t="shared" si="126"/>
        <v>29104861</v>
      </c>
      <c r="AC152" s="140">
        <f t="shared" si="127"/>
        <v>203408627</v>
      </c>
      <c r="AD152" s="26">
        <f t="shared" si="120"/>
        <v>0.17834087338130633</v>
      </c>
    </row>
    <row r="153" spans="1:34">
      <c r="A153" s="146">
        <v>44713</v>
      </c>
      <c r="B153" s="18">
        <v>142896</v>
      </c>
      <c r="C153" s="18">
        <v>0</v>
      </c>
      <c r="D153" s="18">
        <f t="shared" si="101"/>
        <v>142896</v>
      </c>
      <c r="E153" s="18">
        <v>0</v>
      </c>
      <c r="F153" s="18">
        <v>0</v>
      </c>
      <c r="G153" s="18">
        <f t="shared" si="86"/>
        <v>0</v>
      </c>
      <c r="H153" s="18">
        <v>44287180</v>
      </c>
      <c r="I153" s="18">
        <v>3009512</v>
      </c>
      <c r="J153" s="18">
        <f t="shared" si="107"/>
        <v>47296692</v>
      </c>
      <c r="K153" s="18">
        <v>6764621</v>
      </c>
      <c r="L153" s="18">
        <v>124356</v>
      </c>
      <c r="M153" s="18">
        <f t="shared" si="108"/>
        <v>6888977</v>
      </c>
      <c r="N153" s="18">
        <f t="shared" si="118"/>
        <v>51194697</v>
      </c>
      <c r="O153" s="18">
        <f t="shared" si="118"/>
        <v>3133868</v>
      </c>
      <c r="P153" s="18">
        <f t="shared" si="109"/>
        <v>54328565</v>
      </c>
      <c r="Q153" s="139">
        <f t="shared" si="121"/>
        <v>576022</v>
      </c>
      <c r="R153" s="18">
        <f t="shared" si="121"/>
        <v>0</v>
      </c>
      <c r="S153" s="18">
        <f t="shared" si="87"/>
        <v>576022</v>
      </c>
      <c r="T153" s="18">
        <f t="shared" si="122"/>
        <v>0</v>
      </c>
      <c r="U153" s="18">
        <f t="shared" si="122"/>
        <v>0</v>
      </c>
      <c r="V153" s="18">
        <f t="shared" si="88"/>
        <v>0</v>
      </c>
      <c r="W153" s="18">
        <f t="shared" si="123"/>
        <v>207220391</v>
      </c>
      <c r="X153" s="18">
        <f t="shared" si="123"/>
        <v>13946941</v>
      </c>
      <c r="Y153" s="18">
        <f t="shared" si="124"/>
        <v>221167332</v>
      </c>
      <c r="Z153" s="18">
        <f t="shared" si="125"/>
        <v>35232034</v>
      </c>
      <c r="AA153" s="18">
        <f t="shared" si="125"/>
        <v>761804</v>
      </c>
      <c r="AB153" s="18">
        <f t="shared" si="126"/>
        <v>35993838</v>
      </c>
      <c r="AC153" s="140">
        <f t="shared" si="127"/>
        <v>257737192</v>
      </c>
      <c r="AD153" s="26">
        <f t="shared" si="120"/>
        <v>0.15997134091573573</v>
      </c>
    </row>
    <row r="154" spans="1:34">
      <c r="A154" s="146">
        <v>44743</v>
      </c>
      <c r="B154" s="18">
        <v>228367</v>
      </c>
      <c r="C154" s="18">
        <v>0</v>
      </c>
      <c r="D154" s="18">
        <f t="shared" si="101"/>
        <v>228367</v>
      </c>
      <c r="E154" s="18">
        <v>0</v>
      </c>
      <c r="F154" s="18">
        <v>0</v>
      </c>
      <c r="G154" s="18">
        <f t="shared" si="86"/>
        <v>0</v>
      </c>
      <c r="H154" s="18">
        <v>44093008</v>
      </c>
      <c r="I154" s="18">
        <v>2864410</v>
      </c>
      <c r="J154" s="18">
        <f t="shared" si="107"/>
        <v>46957418</v>
      </c>
      <c r="K154" s="18">
        <v>7939544</v>
      </c>
      <c r="L154" s="18">
        <v>33341</v>
      </c>
      <c r="M154" s="18">
        <f t="shared" si="108"/>
        <v>7972885</v>
      </c>
      <c r="N154" s="18">
        <f t="shared" si="118"/>
        <v>52260919</v>
      </c>
      <c r="O154" s="18">
        <f t="shared" si="118"/>
        <v>2897751</v>
      </c>
      <c r="P154" s="18">
        <f t="shared" si="109"/>
        <v>55158670</v>
      </c>
      <c r="Q154" s="139">
        <f t="shared" si="121"/>
        <v>804389</v>
      </c>
      <c r="R154" s="18">
        <f t="shared" si="121"/>
        <v>0</v>
      </c>
      <c r="S154" s="18">
        <f t="shared" si="87"/>
        <v>804389</v>
      </c>
      <c r="T154" s="18">
        <f t="shared" si="122"/>
        <v>0</v>
      </c>
      <c r="U154" s="18">
        <f t="shared" si="122"/>
        <v>0</v>
      </c>
      <c r="V154" s="18">
        <f t="shared" si="88"/>
        <v>0</v>
      </c>
      <c r="W154" s="18">
        <f t="shared" si="123"/>
        <v>251313399</v>
      </c>
      <c r="X154" s="18">
        <f t="shared" si="123"/>
        <v>16811351</v>
      </c>
      <c r="Y154" s="18">
        <f t="shared" si="124"/>
        <v>268124750</v>
      </c>
      <c r="Z154" s="18">
        <f t="shared" si="125"/>
        <v>43171578</v>
      </c>
      <c r="AA154" s="18">
        <f t="shared" si="125"/>
        <v>795145</v>
      </c>
      <c r="AB154" s="18">
        <f t="shared" si="126"/>
        <v>43966723</v>
      </c>
      <c r="AC154" s="140">
        <f t="shared" si="127"/>
        <v>312895862</v>
      </c>
      <c r="AD154" s="26">
        <f t="shared" si="120"/>
        <v>0.16710066302116156</v>
      </c>
    </row>
    <row r="155" spans="1:34">
      <c r="A155" s="146">
        <v>44774</v>
      </c>
      <c r="B155" s="18">
        <v>142473</v>
      </c>
      <c r="C155" s="18">
        <v>0</v>
      </c>
      <c r="D155" s="18">
        <f t="shared" si="101"/>
        <v>142473</v>
      </c>
      <c r="E155" s="18">
        <v>0</v>
      </c>
      <c r="F155" s="18">
        <v>0</v>
      </c>
      <c r="G155" s="18">
        <f t="shared" si="86"/>
        <v>0</v>
      </c>
      <c r="H155" s="18">
        <v>51613593</v>
      </c>
      <c r="I155" s="18">
        <v>2029041</v>
      </c>
      <c r="J155" s="18">
        <f t="shared" si="107"/>
        <v>53642634</v>
      </c>
      <c r="K155" s="18">
        <v>6610857</v>
      </c>
      <c r="L155" s="18">
        <v>1162900</v>
      </c>
      <c r="M155" s="18">
        <f t="shared" si="108"/>
        <v>7773757</v>
      </c>
      <c r="N155" s="18">
        <f t="shared" si="118"/>
        <v>58366923</v>
      </c>
      <c r="O155" s="18">
        <f t="shared" si="118"/>
        <v>3191941</v>
      </c>
      <c r="P155" s="18">
        <f t="shared" si="109"/>
        <v>61558864</v>
      </c>
      <c r="Q155" s="139">
        <f t="shared" si="121"/>
        <v>946862</v>
      </c>
      <c r="R155" s="18">
        <f t="shared" si="121"/>
        <v>0</v>
      </c>
      <c r="S155" s="18">
        <f t="shared" si="87"/>
        <v>946862</v>
      </c>
      <c r="T155" s="18">
        <f t="shared" si="122"/>
        <v>0</v>
      </c>
      <c r="U155" s="18">
        <f t="shared" si="122"/>
        <v>0</v>
      </c>
      <c r="V155" s="18">
        <f t="shared" si="88"/>
        <v>0</v>
      </c>
      <c r="W155" s="18">
        <f t="shared" si="123"/>
        <v>302926992</v>
      </c>
      <c r="X155" s="18">
        <f t="shared" si="123"/>
        <v>18840392</v>
      </c>
      <c r="Y155" s="18">
        <f t="shared" si="124"/>
        <v>321767384</v>
      </c>
      <c r="Z155" s="18">
        <f t="shared" si="125"/>
        <v>49782435</v>
      </c>
      <c r="AA155" s="18">
        <f t="shared" si="125"/>
        <v>1958045</v>
      </c>
      <c r="AB155" s="18">
        <f t="shared" si="126"/>
        <v>51740480</v>
      </c>
      <c r="AC155" s="140">
        <f t="shared" si="127"/>
        <v>374454726</v>
      </c>
      <c r="AD155" s="26">
        <f t="shared" si="120"/>
        <v>0.1859683919864501</v>
      </c>
    </row>
    <row r="156" spans="1:34">
      <c r="A156" s="146">
        <v>44805</v>
      </c>
      <c r="B156" s="18">
        <v>143328</v>
      </c>
      <c r="C156" s="18">
        <v>0</v>
      </c>
      <c r="D156" s="18">
        <f t="shared" si="101"/>
        <v>143328</v>
      </c>
      <c r="E156" s="18">
        <v>0</v>
      </c>
      <c r="F156" s="18">
        <v>0</v>
      </c>
      <c r="G156" s="18">
        <f t="shared" si="86"/>
        <v>0</v>
      </c>
      <c r="H156" s="18">
        <v>48251690</v>
      </c>
      <c r="I156" s="18">
        <v>1997694</v>
      </c>
      <c r="J156" s="18">
        <f t="shared" si="107"/>
        <v>50249384</v>
      </c>
      <c r="K156" s="18">
        <v>7095726</v>
      </c>
      <c r="L156" s="18">
        <v>1199806</v>
      </c>
      <c r="M156" s="18">
        <f t="shared" si="108"/>
        <v>8295532</v>
      </c>
      <c r="N156" s="18">
        <f t="shared" si="118"/>
        <v>55490744</v>
      </c>
      <c r="O156" s="18">
        <f t="shared" si="118"/>
        <v>3197500</v>
      </c>
      <c r="P156" s="18">
        <f t="shared" si="109"/>
        <v>58688244</v>
      </c>
      <c r="Q156" s="139">
        <f t="shared" si="121"/>
        <v>1090190</v>
      </c>
      <c r="R156" s="18">
        <f t="shared" si="121"/>
        <v>0</v>
      </c>
      <c r="S156" s="18">
        <f t="shared" si="87"/>
        <v>1090190</v>
      </c>
      <c r="T156" s="18">
        <f t="shared" si="122"/>
        <v>0</v>
      </c>
      <c r="U156" s="18">
        <f t="shared" si="122"/>
        <v>0</v>
      </c>
      <c r="V156" s="18">
        <f t="shared" si="88"/>
        <v>0</v>
      </c>
      <c r="W156" s="18">
        <f t="shared" si="123"/>
        <v>351178682</v>
      </c>
      <c r="X156" s="18">
        <f t="shared" si="123"/>
        <v>20838086</v>
      </c>
      <c r="Y156" s="18">
        <f t="shared" si="124"/>
        <v>372016768</v>
      </c>
      <c r="Z156" s="18">
        <f t="shared" si="125"/>
        <v>56878161</v>
      </c>
      <c r="AA156" s="18">
        <f t="shared" si="125"/>
        <v>3157851</v>
      </c>
      <c r="AB156" s="18">
        <f t="shared" si="126"/>
        <v>60036012</v>
      </c>
      <c r="AC156" s="140">
        <f t="shared" si="127"/>
        <v>433142970</v>
      </c>
      <c r="AD156" s="26">
        <f t="shared" si="120"/>
        <v>0.18453007438857472</v>
      </c>
    </row>
    <row r="157" spans="1:34">
      <c r="A157" s="146">
        <v>44835</v>
      </c>
      <c r="B157" s="18">
        <v>28784</v>
      </c>
      <c r="C157" s="18">
        <v>0</v>
      </c>
      <c r="D157" s="18">
        <f t="shared" si="101"/>
        <v>28784</v>
      </c>
      <c r="E157" s="18">
        <v>0</v>
      </c>
      <c r="F157" s="18">
        <v>0</v>
      </c>
      <c r="G157" s="18">
        <f t="shared" si="86"/>
        <v>0</v>
      </c>
      <c r="H157" s="18">
        <v>49626850</v>
      </c>
      <c r="I157" s="18">
        <v>2019647</v>
      </c>
      <c r="J157" s="18">
        <f t="shared" si="107"/>
        <v>51646497</v>
      </c>
      <c r="K157" s="18">
        <v>6787534</v>
      </c>
      <c r="L157" s="18">
        <v>1231457</v>
      </c>
      <c r="M157" s="18">
        <f t="shared" si="108"/>
        <v>8018991</v>
      </c>
      <c r="N157" s="18">
        <f t="shared" si="118"/>
        <v>56443168</v>
      </c>
      <c r="O157" s="18">
        <f t="shared" si="118"/>
        <v>3251104</v>
      </c>
      <c r="P157" s="18">
        <f t="shared" si="109"/>
        <v>59694272</v>
      </c>
      <c r="Q157" s="139">
        <f t="shared" si="121"/>
        <v>1118974</v>
      </c>
      <c r="R157" s="18">
        <f t="shared" si="121"/>
        <v>0</v>
      </c>
      <c r="S157" s="18">
        <f t="shared" si="87"/>
        <v>1118974</v>
      </c>
      <c r="T157" s="18">
        <f t="shared" si="122"/>
        <v>0</v>
      </c>
      <c r="U157" s="18">
        <f t="shared" si="122"/>
        <v>0</v>
      </c>
      <c r="V157" s="18">
        <f t="shared" si="88"/>
        <v>0</v>
      </c>
      <c r="W157" s="18">
        <f t="shared" si="123"/>
        <v>400805532</v>
      </c>
      <c r="X157" s="18">
        <f t="shared" si="123"/>
        <v>22857733</v>
      </c>
      <c r="Y157" s="18">
        <f t="shared" si="124"/>
        <v>423663265</v>
      </c>
      <c r="Z157" s="18">
        <f t="shared" si="125"/>
        <v>63665695</v>
      </c>
      <c r="AA157" s="18">
        <f t="shared" si="125"/>
        <v>4389308</v>
      </c>
      <c r="AB157" s="18">
        <f t="shared" si="126"/>
        <v>68055003</v>
      </c>
      <c r="AC157" s="140">
        <f t="shared" si="127"/>
        <v>492837242</v>
      </c>
      <c r="AD157" s="26">
        <f t="shared" si="120"/>
        <v>0.18713064175318261</v>
      </c>
    </row>
    <row r="158" spans="1:34">
      <c r="A158" s="146">
        <v>44866</v>
      </c>
      <c r="B158" s="18">
        <v>0</v>
      </c>
      <c r="C158" s="18">
        <v>0</v>
      </c>
      <c r="D158" s="18">
        <f t="shared" si="101"/>
        <v>0</v>
      </c>
      <c r="E158" s="18">
        <v>0</v>
      </c>
      <c r="F158" s="18">
        <v>0</v>
      </c>
      <c r="G158" s="18">
        <f t="shared" si="86"/>
        <v>0</v>
      </c>
      <c r="H158" s="18">
        <v>48964891</v>
      </c>
      <c r="I158" s="18">
        <v>3288585</v>
      </c>
      <c r="J158" s="18">
        <f t="shared" si="107"/>
        <v>52253476</v>
      </c>
      <c r="K158" s="18">
        <v>6863778</v>
      </c>
      <c r="L158" s="18">
        <v>125974</v>
      </c>
      <c r="M158" s="18">
        <f t="shared" si="108"/>
        <v>6989752</v>
      </c>
      <c r="N158" s="18">
        <f t="shared" si="118"/>
        <v>55828669</v>
      </c>
      <c r="O158" s="18">
        <f t="shared" si="118"/>
        <v>3414559</v>
      </c>
      <c r="P158" s="18">
        <f t="shared" si="109"/>
        <v>59243228</v>
      </c>
      <c r="Q158" s="139">
        <f t="shared" si="121"/>
        <v>1118974</v>
      </c>
      <c r="R158" s="18">
        <f t="shared" si="121"/>
        <v>0</v>
      </c>
      <c r="S158" s="18">
        <f t="shared" si="87"/>
        <v>1118974</v>
      </c>
      <c r="T158" s="18">
        <f t="shared" si="122"/>
        <v>0</v>
      </c>
      <c r="U158" s="18">
        <f t="shared" si="122"/>
        <v>0</v>
      </c>
      <c r="V158" s="18">
        <f t="shared" si="88"/>
        <v>0</v>
      </c>
      <c r="W158" s="18">
        <f t="shared" si="123"/>
        <v>449770423</v>
      </c>
      <c r="X158" s="18">
        <f t="shared" si="123"/>
        <v>26146318</v>
      </c>
      <c r="Y158" s="18">
        <f t="shared" si="124"/>
        <v>475916741</v>
      </c>
      <c r="Z158" s="18">
        <f t="shared" si="125"/>
        <v>70529473</v>
      </c>
      <c r="AA158" s="18">
        <f t="shared" si="125"/>
        <v>4515282</v>
      </c>
      <c r="AB158" s="18">
        <f t="shared" si="126"/>
        <v>75044755</v>
      </c>
      <c r="AC158" s="140">
        <f t="shared" si="127"/>
        <v>552080470</v>
      </c>
      <c r="AD158" s="26">
        <f t="shared" si="120"/>
        <v>0.18073523542885184</v>
      </c>
    </row>
    <row r="159" spans="1:34" ht="14.25" thickBot="1">
      <c r="A159" s="146">
        <v>44896</v>
      </c>
      <c r="B159" s="18">
        <v>277529</v>
      </c>
      <c r="C159" s="18">
        <v>0</v>
      </c>
      <c r="D159" s="18">
        <f t="shared" si="101"/>
        <v>277529</v>
      </c>
      <c r="E159" s="18">
        <v>0</v>
      </c>
      <c r="F159" s="18">
        <v>0</v>
      </c>
      <c r="G159" s="18">
        <f t="shared" si="86"/>
        <v>0</v>
      </c>
      <c r="H159" s="18">
        <v>96324317</v>
      </c>
      <c r="I159" s="18">
        <v>4463342</v>
      </c>
      <c r="J159" s="18">
        <f t="shared" si="107"/>
        <v>100787659</v>
      </c>
      <c r="K159" s="18">
        <v>13543812</v>
      </c>
      <c r="L159" s="18">
        <v>1929277</v>
      </c>
      <c r="M159" s="18">
        <f t="shared" si="108"/>
        <v>15473089</v>
      </c>
      <c r="N159" s="18">
        <f t="shared" si="118"/>
        <v>110145658</v>
      </c>
      <c r="O159" s="18">
        <f t="shared" si="118"/>
        <v>6392619</v>
      </c>
      <c r="P159" s="18">
        <f t="shared" si="109"/>
        <v>116538277</v>
      </c>
      <c r="Q159" s="139">
        <f t="shared" si="121"/>
        <v>1396503</v>
      </c>
      <c r="R159" s="18">
        <f t="shared" si="121"/>
        <v>0</v>
      </c>
      <c r="S159" s="18">
        <f t="shared" si="87"/>
        <v>1396503</v>
      </c>
      <c r="T159" s="18">
        <f t="shared" si="122"/>
        <v>0</v>
      </c>
      <c r="U159" s="18">
        <f t="shared" si="122"/>
        <v>0</v>
      </c>
      <c r="V159" s="18">
        <f t="shared" si="88"/>
        <v>0</v>
      </c>
      <c r="W159" s="18">
        <f t="shared" si="123"/>
        <v>546094740</v>
      </c>
      <c r="X159" s="18">
        <f t="shared" si="123"/>
        <v>30609660</v>
      </c>
      <c r="Y159" s="18">
        <f t="shared" si="124"/>
        <v>576704400</v>
      </c>
      <c r="Z159" s="18">
        <f t="shared" si="125"/>
        <v>84073285</v>
      </c>
      <c r="AA159" s="18">
        <f t="shared" si="125"/>
        <v>6444559</v>
      </c>
      <c r="AB159" s="18">
        <f t="shared" si="126"/>
        <v>90517844</v>
      </c>
      <c r="AC159" s="140">
        <f t="shared" si="127"/>
        <v>668618747</v>
      </c>
      <c r="AD159" s="26">
        <f t="shared" si="120"/>
        <v>0.17628799757157343</v>
      </c>
      <c r="AG159" s="14" t="s">
        <v>263</v>
      </c>
    </row>
    <row r="160" spans="1:34">
      <c r="A160" s="145">
        <v>44927</v>
      </c>
      <c r="B160" s="143">
        <v>0</v>
      </c>
      <c r="C160" s="143">
        <v>0</v>
      </c>
      <c r="D160" s="143">
        <f t="shared" si="101"/>
        <v>0</v>
      </c>
      <c r="E160" s="143">
        <v>0</v>
      </c>
      <c r="F160" s="143">
        <v>0</v>
      </c>
      <c r="G160" s="143">
        <f t="shared" si="86"/>
        <v>0</v>
      </c>
      <c r="H160" s="143">
        <v>1964428</v>
      </c>
      <c r="I160" s="143">
        <v>0</v>
      </c>
      <c r="J160" s="143">
        <f t="shared" si="107"/>
        <v>1964428</v>
      </c>
      <c r="K160" s="143">
        <v>604446</v>
      </c>
      <c r="L160" s="143">
        <v>0</v>
      </c>
      <c r="M160" s="143">
        <f t="shared" si="108"/>
        <v>604446</v>
      </c>
      <c r="N160" s="143">
        <f t="shared" si="118"/>
        <v>2568874</v>
      </c>
      <c r="O160" s="143">
        <f t="shared" si="118"/>
        <v>0</v>
      </c>
      <c r="P160" s="143">
        <f t="shared" si="109"/>
        <v>2568874</v>
      </c>
      <c r="Q160" s="142">
        <f>B160</f>
        <v>0</v>
      </c>
      <c r="R160" s="143">
        <f>C160</f>
        <v>0</v>
      </c>
      <c r="S160" s="143">
        <f t="shared" si="87"/>
        <v>0</v>
      </c>
      <c r="T160" s="143">
        <f>E160</f>
        <v>0</v>
      </c>
      <c r="U160" s="143">
        <f>F160</f>
        <v>0</v>
      </c>
      <c r="V160" s="143">
        <f t="shared" si="88"/>
        <v>0</v>
      </c>
      <c r="W160" s="143">
        <f t="shared" ref="W160:AC160" si="128">H160</f>
        <v>1964428</v>
      </c>
      <c r="X160" s="143">
        <f t="shared" si="128"/>
        <v>0</v>
      </c>
      <c r="Y160" s="143">
        <f t="shared" si="128"/>
        <v>1964428</v>
      </c>
      <c r="Z160" s="143">
        <f t="shared" si="128"/>
        <v>604446</v>
      </c>
      <c r="AA160" s="143">
        <f t="shared" si="128"/>
        <v>0</v>
      </c>
      <c r="AB160" s="143">
        <f t="shared" si="128"/>
        <v>604446</v>
      </c>
      <c r="AC160" s="144">
        <f t="shared" si="128"/>
        <v>2568874</v>
      </c>
      <c r="AD160" s="26">
        <f t="shared" si="120"/>
        <v>2.015591690692411</v>
      </c>
      <c r="AG160" s="18">
        <v>2568874</v>
      </c>
      <c r="AH160" s="18">
        <f t="shared" ref="AH160:AH171" si="129">AC160-AG160</f>
        <v>0</v>
      </c>
    </row>
    <row r="161" spans="1:34">
      <c r="A161" s="146">
        <v>44958</v>
      </c>
      <c r="B161" s="18">
        <v>86732</v>
      </c>
      <c r="C161" s="18">
        <v>0</v>
      </c>
      <c r="D161" s="18">
        <f t="shared" si="101"/>
        <v>86732</v>
      </c>
      <c r="E161" s="18">
        <v>0</v>
      </c>
      <c r="F161" s="18">
        <v>0</v>
      </c>
      <c r="G161" s="18">
        <f t="shared" si="86"/>
        <v>0</v>
      </c>
      <c r="H161" s="18">
        <v>53280009</v>
      </c>
      <c r="I161" s="18">
        <v>277538</v>
      </c>
      <c r="J161" s="18">
        <f t="shared" si="107"/>
        <v>53557547</v>
      </c>
      <c r="K161" s="18">
        <v>4078579</v>
      </c>
      <c r="L161" s="18">
        <v>3299257</v>
      </c>
      <c r="M161" s="18">
        <f t="shared" si="108"/>
        <v>7377836</v>
      </c>
      <c r="N161" s="18">
        <f t="shared" si="118"/>
        <v>57445320</v>
      </c>
      <c r="O161" s="18">
        <f t="shared" si="118"/>
        <v>3576795</v>
      </c>
      <c r="P161" s="18">
        <f t="shared" si="109"/>
        <v>61022115</v>
      </c>
      <c r="Q161" s="139">
        <f t="shared" ref="Q161:R171" si="130">Q160+B161</f>
        <v>86732</v>
      </c>
      <c r="R161" s="18">
        <f t="shared" si="130"/>
        <v>0</v>
      </c>
      <c r="S161" s="18">
        <f t="shared" si="87"/>
        <v>86732</v>
      </c>
      <c r="T161" s="18">
        <f t="shared" ref="T161:U171" si="131">T160+E161</f>
        <v>0</v>
      </c>
      <c r="U161" s="18">
        <f t="shared" si="131"/>
        <v>0</v>
      </c>
      <c r="V161" s="18">
        <f t="shared" si="88"/>
        <v>0</v>
      </c>
      <c r="W161" s="18">
        <f t="shared" ref="W161:X171" si="132">W160+H161</f>
        <v>55244437</v>
      </c>
      <c r="X161" s="18">
        <f t="shared" si="132"/>
        <v>277538</v>
      </c>
      <c r="Y161" s="18">
        <f t="shared" ref="Y161:Y171" si="133">X161+W161</f>
        <v>55521975</v>
      </c>
      <c r="Z161" s="18">
        <f t="shared" ref="Z161:AA171" si="134">Z160+K161</f>
        <v>4683025</v>
      </c>
      <c r="AA161" s="18">
        <f t="shared" si="134"/>
        <v>3299257</v>
      </c>
      <c r="AB161" s="18">
        <f t="shared" ref="AB161:AB171" si="135">AA161+Z161</f>
        <v>7982282</v>
      </c>
      <c r="AC161" s="140">
        <f t="shared" ref="AC161:AC171" si="136">AB161+Y161+V161+S161</f>
        <v>63590989</v>
      </c>
      <c r="AD161" s="26">
        <f t="shared" si="120"/>
        <v>0.26793760862989702</v>
      </c>
      <c r="AG161" s="18">
        <v>63590989</v>
      </c>
      <c r="AH161" s="18">
        <f t="shared" si="129"/>
        <v>0</v>
      </c>
    </row>
    <row r="162" spans="1:34">
      <c r="A162" s="146">
        <v>44986</v>
      </c>
      <c r="B162" s="18">
        <v>202916</v>
      </c>
      <c r="C162" s="18">
        <v>0</v>
      </c>
      <c r="D162" s="18">
        <f t="shared" si="101"/>
        <v>202916</v>
      </c>
      <c r="E162" s="18">
        <v>0</v>
      </c>
      <c r="F162" s="18">
        <v>0</v>
      </c>
      <c r="G162" s="18">
        <f t="shared" si="86"/>
        <v>0</v>
      </c>
      <c r="H162" s="18">
        <v>48547128</v>
      </c>
      <c r="I162" s="18">
        <v>84835</v>
      </c>
      <c r="J162" s="18">
        <f t="shared" si="107"/>
        <v>48631963</v>
      </c>
      <c r="K162" s="18">
        <v>3434859</v>
      </c>
      <c r="L162" s="18">
        <v>3057382</v>
      </c>
      <c r="M162" s="18">
        <f t="shared" si="108"/>
        <v>6492241</v>
      </c>
      <c r="N162" s="18">
        <f t="shared" si="118"/>
        <v>52184903</v>
      </c>
      <c r="O162" s="18">
        <f t="shared" si="118"/>
        <v>3142217</v>
      </c>
      <c r="P162" s="18">
        <f t="shared" si="109"/>
        <v>55327120</v>
      </c>
      <c r="Q162" s="139">
        <f t="shared" si="130"/>
        <v>289648</v>
      </c>
      <c r="R162" s="18">
        <f t="shared" si="130"/>
        <v>0</v>
      </c>
      <c r="S162" s="18">
        <f t="shared" si="87"/>
        <v>289648</v>
      </c>
      <c r="T162" s="18">
        <f t="shared" si="131"/>
        <v>0</v>
      </c>
      <c r="U162" s="18">
        <f t="shared" si="131"/>
        <v>0</v>
      </c>
      <c r="V162" s="18">
        <f t="shared" si="88"/>
        <v>0</v>
      </c>
      <c r="W162" s="18">
        <f t="shared" si="132"/>
        <v>103791565</v>
      </c>
      <c r="X162" s="18">
        <f t="shared" si="132"/>
        <v>362373</v>
      </c>
      <c r="Y162" s="18">
        <f t="shared" si="133"/>
        <v>104153938</v>
      </c>
      <c r="Z162" s="18">
        <f t="shared" si="134"/>
        <v>8117884</v>
      </c>
      <c r="AA162" s="18">
        <f t="shared" si="134"/>
        <v>6356639</v>
      </c>
      <c r="AB162" s="18">
        <f t="shared" si="135"/>
        <v>14474523</v>
      </c>
      <c r="AC162" s="140">
        <f t="shared" si="136"/>
        <v>118918109</v>
      </c>
      <c r="AD162" s="26">
        <f t="shared" si="120"/>
        <v>0.25123313185024077</v>
      </c>
      <c r="AG162" s="18">
        <v>118918109</v>
      </c>
      <c r="AH162" s="18">
        <f t="shared" si="129"/>
        <v>0</v>
      </c>
    </row>
    <row r="163" spans="1:34">
      <c r="A163" s="146">
        <v>45017</v>
      </c>
      <c r="B163" s="18">
        <v>0</v>
      </c>
      <c r="C163" s="18">
        <v>0</v>
      </c>
      <c r="D163" s="18">
        <f t="shared" si="101"/>
        <v>0</v>
      </c>
      <c r="E163" s="18">
        <v>0</v>
      </c>
      <c r="F163" s="18">
        <v>0</v>
      </c>
      <c r="G163" s="18">
        <f t="shared" si="86"/>
        <v>0</v>
      </c>
      <c r="H163" s="18">
        <v>55993236</v>
      </c>
      <c r="I163" s="18">
        <v>201463</v>
      </c>
      <c r="J163" s="18">
        <f t="shared" si="107"/>
        <v>56194699</v>
      </c>
      <c r="K163" s="18">
        <v>4355847</v>
      </c>
      <c r="L163" s="18">
        <v>3463427</v>
      </c>
      <c r="M163" s="18">
        <f t="shared" si="108"/>
        <v>7819274</v>
      </c>
      <c r="N163" s="18">
        <f t="shared" si="118"/>
        <v>60349083</v>
      </c>
      <c r="O163" s="18">
        <f t="shared" si="118"/>
        <v>3664890</v>
      </c>
      <c r="P163" s="18">
        <f t="shared" si="109"/>
        <v>64013973</v>
      </c>
      <c r="Q163" s="139">
        <f t="shared" si="130"/>
        <v>289648</v>
      </c>
      <c r="R163" s="18">
        <f t="shared" si="130"/>
        <v>0</v>
      </c>
      <c r="S163" s="18">
        <f t="shared" si="87"/>
        <v>289648</v>
      </c>
      <c r="T163" s="18">
        <f t="shared" si="131"/>
        <v>0</v>
      </c>
      <c r="U163" s="18">
        <f t="shared" si="131"/>
        <v>0</v>
      </c>
      <c r="V163" s="18">
        <f t="shared" si="88"/>
        <v>0</v>
      </c>
      <c r="W163" s="18">
        <f t="shared" si="132"/>
        <v>159784801</v>
      </c>
      <c r="X163" s="18">
        <f t="shared" si="132"/>
        <v>563836</v>
      </c>
      <c r="Y163" s="18">
        <f t="shared" si="133"/>
        <v>160348637</v>
      </c>
      <c r="Z163" s="18">
        <f t="shared" si="134"/>
        <v>12473731</v>
      </c>
      <c r="AA163" s="18">
        <f t="shared" si="134"/>
        <v>9820066</v>
      </c>
      <c r="AB163" s="18">
        <f t="shared" si="135"/>
        <v>22293797</v>
      </c>
      <c r="AC163" s="140">
        <f t="shared" si="136"/>
        <v>182932082</v>
      </c>
      <c r="AD163" s="26">
        <f t="shared" si="120"/>
        <v>0.25222612439665637</v>
      </c>
      <c r="AG163" s="18">
        <v>182932082</v>
      </c>
      <c r="AH163" s="18">
        <f t="shared" si="129"/>
        <v>0</v>
      </c>
    </row>
    <row r="164" spans="1:34">
      <c r="A164" s="146">
        <v>45047</v>
      </c>
      <c r="B164" s="18">
        <v>228934</v>
      </c>
      <c r="C164" s="18">
        <v>0</v>
      </c>
      <c r="D164" s="18">
        <f t="shared" si="101"/>
        <v>228934</v>
      </c>
      <c r="E164" s="18">
        <v>0</v>
      </c>
      <c r="F164" s="18">
        <v>0</v>
      </c>
      <c r="G164" s="18">
        <f t="shared" ref="G164" si="137">SUM(E164:F164)</f>
        <v>0</v>
      </c>
      <c r="H164" s="18">
        <v>54037078</v>
      </c>
      <c r="I164" s="18">
        <v>350915</v>
      </c>
      <c r="J164" s="18">
        <f t="shared" si="107"/>
        <v>54387993</v>
      </c>
      <c r="K164" s="18">
        <v>3377657</v>
      </c>
      <c r="L164" s="18">
        <v>3178619</v>
      </c>
      <c r="M164" s="18">
        <f t="shared" si="108"/>
        <v>6556276</v>
      </c>
      <c r="N164" s="18">
        <f t="shared" si="118"/>
        <v>57643669</v>
      </c>
      <c r="O164" s="18">
        <f t="shared" si="118"/>
        <v>3529534</v>
      </c>
      <c r="P164" s="18">
        <f t="shared" si="109"/>
        <v>61173203</v>
      </c>
      <c r="Q164" s="139">
        <f t="shared" si="130"/>
        <v>518582</v>
      </c>
      <c r="R164" s="18">
        <f t="shared" si="130"/>
        <v>0</v>
      </c>
      <c r="S164" s="18">
        <f t="shared" si="87"/>
        <v>518582</v>
      </c>
      <c r="T164" s="18">
        <f t="shared" si="131"/>
        <v>0</v>
      </c>
      <c r="U164" s="18">
        <f t="shared" si="131"/>
        <v>0</v>
      </c>
      <c r="V164" s="18">
        <f t="shared" si="88"/>
        <v>0</v>
      </c>
      <c r="W164" s="18">
        <f t="shared" si="132"/>
        <v>213821879</v>
      </c>
      <c r="X164" s="18">
        <f t="shared" si="132"/>
        <v>914751</v>
      </c>
      <c r="Y164" s="18">
        <f t="shared" si="133"/>
        <v>214736630</v>
      </c>
      <c r="Z164" s="18">
        <f t="shared" si="134"/>
        <v>15851388</v>
      </c>
      <c r="AA164" s="18">
        <f t="shared" si="134"/>
        <v>12998685</v>
      </c>
      <c r="AB164" s="18">
        <f t="shared" si="135"/>
        <v>28850073</v>
      </c>
      <c r="AC164" s="140">
        <f t="shared" si="136"/>
        <v>244105285</v>
      </c>
      <c r="AD164" s="26">
        <f t="shared" si="120"/>
        <v>0.20007341183223271</v>
      </c>
      <c r="AG164" s="18">
        <v>244105285</v>
      </c>
      <c r="AH164" s="18">
        <f t="shared" si="129"/>
        <v>0</v>
      </c>
    </row>
    <row r="165" spans="1:34">
      <c r="A165" s="146">
        <v>45078</v>
      </c>
      <c r="B165" s="18">
        <v>0</v>
      </c>
      <c r="C165" s="18">
        <v>0</v>
      </c>
      <c r="D165" s="18">
        <f t="shared" si="101"/>
        <v>0</v>
      </c>
      <c r="E165" s="18">
        <v>0</v>
      </c>
      <c r="F165" s="18">
        <v>0</v>
      </c>
      <c r="G165" s="18">
        <f t="shared" ref="G165:G177" si="138">SUM(E165:F165)</f>
        <v>0</v>
      </c>
      <c r="H165" s="18">
        <v>61040669</v>
      </c>
      <c r="I165" s="18">
        <v>1769716</v>
      </c>
      <c r="J165" s="18">
        <f t="shared" si="107"/>
        <v>62810385</v>
      </c>
      <c r="K165" s="18">
        <v>6132138</v>
      </c>
      <c r="L165" s="18">
        <v>1843070</v>
      </c>
      <c r="M165" s="18">
        <f t="shared" si="108"/>
        <v>7975208</v>
      </c>
      <c r="N165" s="18">
        <f t="shared" si="118"/>
        <v>67172807</v>
      </c>
      <c r="O165" s="18">
        <f t="shared" si="118"/>
        <v>3612786</v>
      </c>
      <c r="P165" s="18">
        <f t="shared" si="109"/>
        <v>70785593</v>
      </c>
      <c r="Q165" s="139">
        <f t="shared" si="130"/>
        <v>518582</v>
      </c>
      <c r="R165" s="18">
        <f t="shared" si="130"/>
        <v>0</v>
      </c>
      <c r="S165" s="18">
        <f t="shared" ref="S165:S186" si="139">R165+Q165</f>
        <v>518582</v>
      </c>
      <c r="T165" s="18">
        <f t="shared" si="131"/>
        <v>0</v>
      </c>
      <c r="U165" s="18">
        <f t="shared" si="131"/>
        <v>0</v>
      </c>
      <c r="V165" s="18">
        <f t="shared" ref="V165:V186" si="140">U165+T165</f>
        <v>0</v>
      </c>
      <c r="W165" s="18">
        <f t="shared" si="132"/>
        <v>274862548</v>
      </c>
      <c r="X165" s="18">
        <f t="shared" si="132"/>
        <v>2684467</v>
      </c>
      <c r="Y165" s="18">
        <f t="shared" si="133"/>
        <v>277547015</v>
      </c>
      <c r="Z165" s="18">
        <f t="shared" si="134"/>
        <v>21983526</v>
      </c>
      <c r="AA165" s="18">
        <f t="shared" si="134"/>
        <v>14841755</v>
      </c>
      <c r="AB165" s="18">
        <f t="shared" si="135"/>
        <v>36825281</v>
      </c>
      <c r="AC165" s="140">
        <f t="shared" si="136"/>
        <v>314890878</v>
      </c>
      <c r="AD165" s="26">
        <f t="shared" si="120"/>
        <v>0.2217517990185911</v>
      </c>
      <c r="AG165" s="18">
        <v>314890878</v>
      </c>
      <c r="AH165" s="18">
        <f t="shared" si="129"/>
        <v>0</v>
      </c>
    </row>
    <row r="166" spans="1:34">
      <c r="A166" s="146">
        <v>45108</v>
      </c>
      <c r="B166" s="18">
        <v>142475</v>
      </c>
      <c r="C166" s="18">
        <v>0</v>
      </c>
      <c r="D166" s="18">
        <f t="shared" si="101"/>
        <v>142475</v>
      </c>
      <c r="E166" s="18">
        <v>0</v>
      </c>
      <c r="F166" s="18">
        <v>0</v>
      </c>
      <c r="G166" s="18">
        <f t="shared" si="138"/>
        <v>0</v>
      </c>
      <c r="H166" s="18">
        <v>56006395</v>
      </c>
      <c r="I166" s="18">
        <v>883580</v>
      </c>
      <c r="J166" s="18">
        <f t="shared" si="107"/>
        <v>56889975</v>
      </c>
      <c r="K166" s="18">
        <v>4704474</v>
      </c>
      <c r="L166" s="18">
        <v>2538274</v>
      </c>
      <c r="M166" s="18">
        <f t="shared" si="108"/>
        <v>7242748</v>
      </c>
      <c r="N166" s="18">
        <f t="shared" si="118"/>
        <v>60853344</v>
      </c>
      <c r="O166" s="18">
        <f t="shared" si="118"/>
        <v>3421854</v>
      </c>
      <c r="P166" s="18">
        <f t="shared" si="109"/>
        <v>64275198</v>
      </c>
      <c r="Q166" s="139">
        <f t="shared" si="130"/>
        <v>661057</v>
      </c>
      <c r="R166" s="18">
        <f t="shared" si="130"/>
        <v>0</v>
      </c>
      <c r="S166" s="18">
        <f t="shared" si="139"/>
        <v>661057</v>
      </c>
      <c r="T166" s="18">
        <f t="shared" si="131"/>
        <v>0</v>
      </c>
      <c r="U166" s="18">
        <f t="shared" si="131"/>
        <v>0</v>
      </c>
      <c r="V166" s="18">
        <f t="shared" si="140"/>
        <v>0</v>
      </c>
      <c r="W166" s="18">
        <f t="shared" si="132"/>
        <v>330868943</v>
      </c>
      <c r="X166" s="18">
        <f t="shared" si="132"/>
        <v>3568047</v>
      </c>
      <c r="Y166" s="18">
        <f t="shared" si="133"/>
        <v>334436990</v>
      </c>
      <c r="Z166" s="18">
        <f t="shared" si="134"/>
        <v>26688000</v>
      </c>
      <c r="AA166" s="18">
        <f t="shared" si="134"/>
        <v>17380029</v>
      </c>
      <c r="AB166" s="18">
        <f t="shared" si="135"/>
        <v>44068029</v>
      </c>
      <c r="AC166" s="140">
        <f t="shared" si="136"/>
        <v>379166076</v>
      </c>
      <c r="AD166" s="26">
        <f t="shared" si="120"/>
        <v>0.21179638994394878</v>
      </c>
      <c r="AG166" s="18">
        <v>379165455</v>
      </c>
      <c r="AH166" s="18">
        <f t="shared" si="129"/>
        <v>621</v>
      </c>
    </row>
    <row r="167" spans="1:34">
      <c r="A167" s="146">
        <v>45139</v>
      </c>
      <c r="B167" s="18">
        <v>139648</v>
      </c>
      <c r="C167" s="18">
        <v>0</v>
      </c>
      <c r="D167" s="18">
        <f t="shared" si="101"/>
        <v>139648</v>
      </c>
      <c r="E167" s="18">
        <v>0</v>
      </c>
      <c r="F167" s="18">
        <v>0</v>
      </c>
      <c r="G167" s="18">
        <f t="shared" si="138"/>
        <v>0</v>
      </c>
      <c r="H167" s="18">
        <v>58285407</v>
      </c>
      <c r="I167" s="18">
        <v>384983</v>
      </c>
      <c r="J167" s="18">
        <f t="shared" si="107"/>
        <v>58670390</v>
      </c>
      <c r="K167" s="18">
        <v>5006216</v>
      </c>
      <c r="L167" s="18">
        <v>3261226</v>
      </c>
      <c r="M167" s="18">
        <f t="shared" si="108"/>
        <v>8267442</v>
      </c>
      <c r="N167" s="18">
        <f t="shared" si="118"/>
        <v>63431271</v>
      </c>
      <c r="O167" s="18">
        <f t="shared" si="118"/>
        <v>3646209</v>
      </c>
      <c r="P167" s="18">
        <f t="shared" si="109"/>
        <v>67077480</v>
      </c>
      <c r="Q167" s="139">
        <f t="shared" si="130"/>
        <v>800705</v>
      </c>
      <c r="R167" s="18">
        <f t="shared" si="130"/>
        <v>0</v>
      </c>
      <c r="S167" s="18">
        <f t="shared" si="139"/>
        <v>800705</v>
      </c>
      <c r="T167" s="18">
        <f t="shared" si="131"/>
        <v>0</v>
      </c>
      <c r="U167" s="18">
        <f t="shared" si="131"/>
        <v>0</v>
      </c>
      <c r="V167" s="18">
        <f t="shared" si="140"/>
        <v>0</v>
      </c>
      <c r="W167" s="18">
        <f t="shared" si="132"/>
        <v>389154350</v>
      </c>
      <c r="X167" s="18">
        <f t="shared" si="132"/>
        <v>3953030</v>
      </c>
      <c r="Y167" s="18">
        <f t="shared" si="133"/>
        <v>393107380</v>
      </c>
      <c r="Z167" s="18">
        <f t="shared" si="134"/>
        <v>31694216</v>
      </c>
      <c r="AA167" s="18">
        <f t="shared" si="134"/>
        <v>20641255</v>
      </c>
      <c r="AB167" s="18">
        <f t="shared" si="135"/>
        <v>52335471</v>
      </c>
      <c r="AC167" s="140">
        <f t="shared" si="136"/>
        <v>446243556</v>
      </c>
      <c r="AD167" s="26">
        <f t="shared" si="120"/>
        <v>0.19171564682027809</v>
      </c>
      <c r="AG167" s="18">
        <v>446241341</v>
      </c>
      <c r="AH167" s="18">
        <f t="shared" si="129"/>
        <v>2215</v>
      </c>
    </row>
    <row r="168" spans="1:34">
      <c r="A168" s="146">
        <v>45170</v>
      </c>
      <c r="B168" s="18">
        <v>146298</v>
      </c>
      <c r="C168" s="18">
        <v>0</v>
      </c>
      <c r="D168" s="18">
        <f t="shared" si="101"/>
        <v>146298</v>
      </c>
      <c r="E168" s="18">
        <v>0</v>
      </c>
      <c r="F168" s="18">
        <v>0</v>
      </c>
      <c r="G168" s="18">
        <f t="shared" si="138"/>
        <v>0</v>
      </c>
      <c r="H168" s="18">
        <v>56289585</v>
      </c>
      <c r="I168" s="18">
        <v>342002</v>
      </c>
      <c r="J168" s="18">
        <f t="shared" si="107"/>
        <v>56631587</v>
      </c>
      <c r="K168" s="18">
        <v>3934635</v>
      </c>
      <c r="L168" s="18">
        <v>3364273</v>
      </c>
      <c r="M168" s="18">
        <f t="shared" si="108"/>
        <v>7298908</v>
      </c>
      <c r="N168" s="18">
        <f t="shared" si="118"/>
        <v>60370518</v>
      </c>
      <c r="O168" s="18">
        <f t="shared" si="118"/>
        <v>3706275</v>
      </c>
      <c r="P168" s="18">
        <f t="shared" si="109"/>
        <v>64076793</v>
      </c>
      <c r="Q168" s="139">
        <f t="shared" si="130"/>
        <v>947003</v>
      </c>
      <c r="R168" s="18">
        <f t="shared" si="130"/>
        <v>0</v>
      </c>
      <c r="S168" s="18">
        <f t="shared" si="139"/>
        <v>947003</v>
      </c>
      <c r="T168" s="18">
        <f t="shared" si="131"/>
        <v>0</v>
      </c>
      <c r="U168" s="18">
        <f t="shared" si="131"/>
        <v>0</v>
      </c>
      <c r="V168" s="18">
        <f t="shared" si="140"/>
        <v>0</v>
      </c>
      <c r="W168" s="18">
        <f t="shared" si="132"/>
        <v>445443935</v>
      </c>
      <c r="X168" s="18">
        <f t="shared" si="132"/>
        <v>4295032</v>
      </c>
      <c r="Y168" s="18">
        <f t="shared" si="133"/>
        <v>449738967</v>
      </c>
      <c r="Z168" s="18">
        <f t="shared" si="134"/>
        <v>35628851</v>
      </c>
      <c r="AA168" s="18">
        <f t="shared" si="134"/>
        <v>24005528</v>
      </c>
      <c r="AB168" s="18">
        <f t="shared" si="135"/>
        <v>59634379</v>
      </c>
      <c r="AC168" s="140">
        <f t="shared" si="136"/>
        <v>510320349</v>
      </c>
      <c r="AD168" s="26">
        <f t="shared" si="120"/>
        <v>0.17817991828425606</v>
      </c>
      <c r="AG168" s="18">
        <v>510318134</v>
      </c>
      <c r="AH168" s="18">
        <f t="shared" si="129"/>
        <v>2215</v>
      </c>
    </row>
    <row r="169" spans="1:34">
      <c r="A169" s="146">
        <v>45200</v>
      </c>
      <c r="B169" s="18">
        <v>0</v>
      </c>
      <c r="C169" s="18">
        <v>0</v>
      </c>
      <c r="D169" s="18">
        <f t="shared" si="101"/>
        <v>0</v>
      </c>
      <c r="E169" s="18">
        <v>0</v>
      </c>
      <c r="F169" s="18">
        <v>0</v>
      </c>
      <c r="G169" s="18">
        <f t="shared" si="138"/>
        <v>0</v>
      </c>
      <c r="H169" s="18">
        <v>56473586</v>
      </c>
      <c r="I169" s="18">
        <v>284046</v>
      </c>
      <c r="J169" s="18">
        <f t="shared" si="107"/>
        <v>56757632</v>
      </c>
      <c r="K169" s="18">
        <v>3502971</v>
      </c>
      <c r="L169" s="18">
        <v>3298120</v>
      </c>
      <c r="M169" s="18">
        <f t="shared" si="108"/>
        <v>6801091</v>
      </c>
      <c r="N169" s="18">
        <f t="shared" si="118"/>
        <v>59976557</v>
      </c>
      <c r="O169" s="18">
        <f t="shared" si="118"/>
        <v>3582166</v>
      </c>
      <c r="P169" s="18">
        <f t="shared" si="109"/>
        <v>63558723</v>
      </c>
      <c r="Q169" s="139">
        <f t="shared" si="130"/>
        <v>947003</v>
      </c>
      <c r="R169" s="18">
        <f t="shared" si="130"/>
        <v>0</v>
      </c>
      <c r="S169" s="18">
        <f t="shared" si="139"/>
        <v>947003</v>
      </c>
      <c r="T169" s="18">
        <f t="shared" si="131"/>
        <v>0</v>
      </c>
      <c r="U169" s="18">
        <f t="shared" si="131"/>
        <v>0</v>
      </c>
      <c r="V169" s="18">
        <f t="shared" si="140"/>
        <v>0</v>
      </c>
      <c r="W169" s="18">
        <f t="shared" si="132"/>
        <v>501917521</v>
      </c>
      <c r="X169" s="18">
        <f t="shared" si="132"/>
        <v>4579078</v>
      </c>
      <c r="Y169" s="18">
        <f t="shared" si="133"/>
        <v>506496599</v>
      </c>
      <c r="Z169" s="18">
        <f t="shared" si="134"/>
        <v>39131822</v>
      </c>
      <c r="AA169" s="18">
        <f t="shared" si="134"/>
        <v>27303648</v>
      </c>
      <c r="AB169" s="18">
        <f t="shared" si="135"/>
        <v>66435470</v>
      </c>
      <c r="AC169" s="140">
        <f t="shared" si="136"/>
        <v>573879072</v>
      </c>
      <c r="AD169" s="26">
        <f t="shared" si="120"/>
        <v>0.16443933837289015</v>
      </c>
      <c r="AG169" s="18">
        <v>573876857</v>
      </c>
      <c r="AH169" s="18">
        <f t="shared" si="129"/>
        <v>2215</v>
      </c>
    </row>
    <row r="170" spans="1:34">
      <c r="A170" s="146">
        <v>45231</v>
      </c>
      <c r="B170" s="18">
        <v>0</v>
      </c>
      <c r="C170" s="18">
        <v>0</v>
      </c>
      <c r="D170" s="18">
        <f t="shared" si="101"/>
        <v>0</v>
      </c>
      <c r="E170" s="18">
        <v>0</v>
      </c>
      <c r="F170" s="18">
        <v>0</v>
      </c>
      <c r="G170" s="18">
        <f t="shared" si="138"/>
        <v>0</v>
      </c>
      <c r="H170" s="18">
        <v>62160920</v>
      </c>
      <c r="I170" s="18">
        <v>339329</v>
      </c>
      <c r="J170" s="18">
        <f t="shared" si="107"/>
        <v>62500249</v>
      </c>
      <c r="K170" s="18">
        <v>3864956</v>
      </c>
      <c r="L170" s="18">
        <v>3434027</v>
      </c>
      <c r="M170" s="18">
        <f t="shared" si="108"/>
        <v>7298983</v>
      </c>
      <c r="N170" s="18">
        <f t="shared" si="118"/>
        <v>66025876</v>
      </c>
      <c r="O170" s="18">
        <f t="shared" si="118"/>
        <v>3773356</v>
      </c>
      <c r="P170" s="18">
        <f t="shared" si="109"/>
        <v>69799232</v>
      </c>
      <c r="Q170" s="139">
        <f t="shared" si="130"/>
        <v>947003</v>
      </c>
      <c r="R170" s="18">
        <f t="shared" si="130"/>
        <v>0</v>
      </c>
      <c r="S170" s="18">
        <f t="shared" si="139"/>
        <v>947003</v>
      </c>
      <c r="T170" s="18">
        <f t="shared" si="131"/>
        <v>0</v>
      </c>
      <c r="U170" s="18">
        <f t="shared" si="131"/>
        <v>0</v>
      </c>
      <c r="V170" s="18">
        <f t="shared" si="140"/>
        <v>0</v>
      </c>
      <c r="W170" s="18">
        <f t="shared" si="132"/>
        <v>564078441</v>
      </c>
      <c r="X170" s="18">
        <f t="shared" si="132"/>
        <v>4918407</v>
      </c>
      <c r="Y170" s="18">
        <f t="shared" si="133"/>
        <v>568996848</v>
      </c>
      <c r="Z170" s="18">
        <f t="shared" si="134"/>
        <v>42996778</v>
      </c>
      <c r="AA170" s="18">
        <f t="shared" si="134"/>
        <v>30737675</v>
      </c>
      <c r="AB170" s="18">
        <f t="shared" si="135"/>
        <v>73734453</v>
      </c>
      <c r="AC170" s="140">
        <f t="shared" si="136"/>
        <v>643678304</v>
      </c>
      <c r="AD170" s="26">
        <f t="shared" si="120"/>
        <v>0.16591391830977109</v>
      </c>
      <c r="AG170" s="18">
        <v>643676089</v>
      </c>
      <c r="AH170" s="18">
        <f t="shared" si="129"/>
        <v>2215</v>
      </c>
    </row>
    <row r="171" spans="1:34" ht="14.25" thickBot="1">
      <c r="A171" s="146">
        <v>45261</v>
      </c>
      <c r="B171" s="18">
        <v>347542</v>
      </c>
      <c r="C171" s="18">
        <v>0</v>
      </c>
      <c r="D171" s="18">
        <f t="shared" si="101"/>
        <v>347542</v>
      </c>
      <c r="E171" s="18">
        <v>0</v>
      </c>
      <c r="F171" s="18">
        <v>0</v>
      </c>
      <c r="G171" s="18">
        <f t="shared" si="138"/>
        <v>0</v>
      </c>
      <c r="H171" s="18">
        <v>117733902</v>
      </c>
      <c r="I171" s="18">
        <v>1218123</v>
      </c>
      <c r="J171" s="18">
        <f t="shared" si="107"/>
        <v>118952025</v>
      </c>
      <c r="K171" s="18">
        <v>5318672</v>
      </c>
      <c r="L171" s="18">
        <v>6434965</v>
      </c>
      <c r="M171" s="18">
        <f t="shared" si="108"/>
        <v>11753637</v>
      </c>
      <c r="N171" s="18">
        <f t="shared" si="118"/>
        <v>123400116</v>
      </c>
      <c r="O171" s="18">
        <f t="shared" si="118"/>
        <v>7653088</v>
      </c>
      <c r="P171" s="18">
        <f t="shared" si="109"/>
        <v>131053204</v>
      </c>
      <c r="Q171" s="139">
        <f t="shared" si="130"/>
        <v>1294545</v>
      </c>
      <c r="R171" s="18">
        <f t="shared" si="130"/>
        <v>0</v>
      </c>
      <c r="S171" s="18">
        <f t="shared" si="139"/>
        <v>1294545</v>
      </c>
      <c r="T171" s="18">
        <f t="shared" si="131"/>
        <v>0</v>
      </c>
      <c r="U171" s="18">
        <f t="shared" si="131"/>
        <v>0</v>
      </c>
      <c r="V171" s="18">
        <f t="shared" si="140"/>
        <v>0</v>
      </c>
      <c r="W171" s="18">
        <f t="shared" si="132"/>
        <v>681812343</v>
      </c>
      <c r="X171" s="18">
        <f t="shared" si="132"/>
        <v>6136530</v>
      </c>
      <c r="Y171" s="18">
        <f t="shared" si="133"/>
        <v>687948873</v>
      </c>
      <c r="Z171" s="18">
        <f t="shared" si="134"/>
        <v>48315450</v>
      </c>
      <c r="AA171" s="18">
        <f t="shared" si="134"/>
        <v>37172640</v>
      </c>
      <c r="AB171" s="18">
        <f t="shared" si="135"/>
        <v>85488090</v>
      </c>
      <c r="AC171" s="140">
        <f t="shared" si="136"/>
        <v>774731508</v>
      </c>
      <c r="AD171" s="26">
        <f t="shared" si="120"/>
        <v>0.15870443578812776</v>
      </c>
      <c r="AG171" s="18">
        <v>774729293</v>
      </c>
      <c r="AH171" s="18">
        <f t="shared" si="129"/>
        <v>2215</v>
      </c>
    </row>
    <row r="172" spans="1:34">
      <c r="A172" s="145">
        <v>45292</v>
      </c>
      <c r="B172" s="143">
        <v>220800</v>
      </c>
      <c r="C172" s="143">
        <v>0</v>
      </c>
      <c r="D172" s="143">
        <f t="shared" si="101"/>
        <v>220800</v>
      </c>
      <c r="E172" s="143">
        <v>0</v>
      </c>
      <c r="F172" s="143">
        <v>0</v>
      </c>
      <c r="G172" s="143">
        <f t="shared" si="138"/>
        <v>0</v>
      </c>
      <c r="H172" s="143">
        <v>6482643</v>
      </c>
      <c r="I172" s="143">
        <v>0</v>
      </c>
      <c r="J172" s="143">
        <f t="shared" si="107"/>
        <v>6482643</v>
      </c>
      <c r="K172" s="143">
        <v>503018</v>
      </c>
      <c r="L172" s="143">
        <v>0</v>
      </c>
      <c r="M172" s="143">
        <f t="shared" si="108"/>
        <v>503018</v>
      </c>
      <c r="N172" s="143">
        <f t="shared" si="118"/>
        <v>7206461</v>
      </c>
      <c r="O172" s="143">
        <f t="shared" si="118"/>
        <v>0</v>
      </c>
      <c r="P172" s="143">
        <f t="shared" si="109"/>
        <v>7206461</v>
      </c>
      <c r="Q172" s="142">
        <f>B172</f>
        <v>220800</v>
      </c>
      <c r="R172" s="143">
        <f>C172</f>
        <v>0</v>
      </c>
      <c r="S172" s="143">
        <f t="shared" si="139"/>
        <v>220800</v>
      </c>
      <c r="T172" s="143">
        <f>E172</f>
        <v>0</v>
      </c>
      <c r="U172" s="143">
        <f>F172</f>
        <v>0</v>
      </c>
      <c r="V172" s="143">
        <f t="shared" si="140"/>
        <v>0</v>
      </c>
      <c r="W172" s="143">
        <f t="shared" ref="W172:AC172" si="141">H172</f>
        <v>6482643</v>
      </c>
      <c r="X172" s="143">
        <f t="shared" si="141"/>
        <v>0</v>
      </c>
      <c r="Y172" s="143">
        <f t="shared" si="141"/>
        <v>6482643</v>
      </c>
      <c r="Z172" s="143">
        <f t="shared" si="141"/>
        <v>503018</v>
      </c>
      <c r="AA172" s="143">
        <f t="shared" si="141"/>
        <v>0</v>
      </c>
      <c r="AB172" s="143">
        <f t="shared" si="141"/>
        <v>503018</v>
      </c>
      <c r="AC172" s="144">
        <f t="shared" si="141"/>
        <v>7206461</v>
      </c>
      <c r="AD172" s="26">
        <f t="shared" si="120"/>
        <v>1.8052995203345903</v>
      </c>
      <c r="AG172" s="18">
        <v>7206461</v>
      </c>
      <c r="AH172" s="18">
        <f>AC172-AG172</f>
        <v>0</v>
      </c>
    </row>
    <row r="173" spans="1:34">
      <c r="A173" s="146">
        <v>45323</v>
      </c>
      <c r="B173" s="18">
        <v>153198</v>
      </c>
      <c r="C173" s="18">
        <v>0</v>
      </c>
      <c r="D173" s="18">
        <f t="shared" si="101"/>
        <v>153198</v>
      </c>
      <c r="E173" s="18">
        <v>0</v>
      </c>
      <c r="F173" s="18">
        <v>0</v>
      </c>
      <c r="G173" s="18">
        <f t="shared" si="138"/>
        <v>0</v>
      </c>
      <c r="H173" s="18">
        <v>62278042</v>
      </c>
      <c r="I173" s="18">
        <v>658357</v>
      </c>
      <c r="J173" s="18">
        <f t="shared" si="107"/>
        <v>62936399</v>
      </c>
      <c r="K173" s="18">
        <v>3126529</v>
      </c>
      <c r="L173" s="18">
        <v>3349813</v>
      </c>
      <c r="M173" s="18">
        <f t="shared" si="108"/>
        <v>6476342</v>
      </c>
      <c r="N173" s="18">
        <f t="shared" si="118"/>
        <v>65557769</v>
      </c>
      <c r="O173" s="18">
        <f t="shared" si="118"/>
        <v>4008170</v>
      </c>
      <c r="P173" s="18">
        <f t="shared" si="109"/>
        <v>69565939</v>
      </c>
      <c r="Q173" s="139">
        <f t="shared" ref="Q173:R183" si="142">Q172+B173</f>
        <v>373998</v>
      </c>
      <c r="R173" s="18">
        <f t="shared" si="142"/>
        <v>0</v>
      </c>
      <c r="S173" s="18">
        <f t="shared" si="139"/>
        <v>373998</v>
      </c>
      <c r="T173" s="18">
        <f t="shared" ref="T173:U183" si="143">T172+E173</f>
        <v>0</v>
      </c>
      <c r="U173" s="18">
        <f t="shared" si="143"/>
        <v>0</v>
      </c>
      <c r="V173" s="18">
        <f t="shared" si="140"/>
        <v>0</v>
      </c>
      <c r="W173" s="18">
        <f t="shared" ref="W173:X183" si="144">W172+H173</f>
        <v>68760685</v>
      </c>
      <c r="X173" s="18">
        <f t="shared" si="144"/>
        <v>658357</v>
      </c>
      <c r="Y173" s="18">
        <f t="shared" ref="Y173:Y183" si="145">X173+W173</f>
        <v>69419042</v>
      </c>
      <c r="Z173" s="18">
        <f t="shared" ref="Z173:AA183" si="146">Z172+K173</f>
        <v>3629547</v>
      </c>
      <c r="AA173" s="18">
        <f t="shared" si="146"/>
        <v>3349813</v>
      </c>
      <c r="AB173" s="18">
        <f t="shared" ref="AB173:AB183" si="147">AA173+Z173</f>
        <v>6979360</v>
      </c>
      <c r="AC173" s="140">
        <f t="shared" ref="AC173:AC183" si="148">AB173+Y173+V173+S173</f>
        <v>76772400</v>
      </c>
      <c r="AD173" s="26">
        <f t="shared" si="120"/>
        <v>0.20728425846624265</v>
      </c>
      <c r="AG173" s="18">
        <v>76763688</v>
      </c>
      <c r="AH173" s="18">
        <f>AC173-AG173</f>
        <v>8712</v>
      </c>
    </row>
    <row r="174" spans="1:34">
      <c r="A174" s="146">
        <v>45352</v>
      </c>
      <c r="B174" s="18">
        <v>187956</v>
      </c>
      <c r="C174" s="18">
        <v>0</v>
      </c>
      <c r="D174" s="18">
        <f t="shared" si="101"/>
        <v>187956</v>
      </c>
      <c r="E174" s="18">
        <v>0</v>
      </c>
      <c r="F174" s="18">
        <v>0</v>
      </c>
      <c r="G174" s="18">
        <f t="shared" si="138"/>
        <v>0</v>
      </c>
      <c r="H174" s="18">
        <v>59524862</v>
      </c>
      <c r="I174" s="18">
        <v>608704</v>
      </c>
      <c r="J174" s="18">
        <f t="shared" si="107"/>
        <v>60133566</v>
      </c>
      <c r="K174" s="18">
        <v>2872469</v>
      </c>
      <c r="L174" s="18">
        <v>3117742</v>
      </c>
      <c r="M174" s="18">
        <f t="shared" si="108"/>
        <v>5990211</v>
      </c>
      <c r="N174" s="18">
        <f t="shared" si="118"/>
        <v>62585287</v>
      </c>
      <c r="O174" s="18">
        <f t="shared" si="118"/>
        <v>3726446</v>
      </c>
      <c r="P174" s="18">
        <f t="shared" si="109"/>
        <v>66311733</v>
      </c>
      <c r="Q174" s="139">
        <f t="shared" si="142"/>
        <v>561954</v>
      </c>
      <c r="R174" s="18">
        <f t="shared" si="142"/>
        <v>0</v>
      </c>
      <c r="S174" s="18">
        <f t="shared" si="139"/>
        <v>561954</v>
      </c>
      <c r="T174" s="18">
        <f t="shared" si="143"/>
        <v>0</v>
      </c>
      <c r="U174" s="18">
        <f t="shared" si="143"/>
        <v>0</v>
      </c>
      <c r="V174" s="18">
        <f t="shared" si="140"/>
        <v>0</v>
      </c>
      <c r="W174" s="18">
        <f t="shared" si="144"/>
        <v>128285547</v>
      </c>
      <c r="X174" s="18">
        <f t="shared" si="144"/>
        <v>1267061</v>
      </c>
      <c r="Y174" s="18">
        <f t="shared" si="145"/>
        <v>129552608</v>
      </c>
      <c r="Z174" s="18">
        <f t="shared" si="146"/>
        <v>6502016</v>
      </c>
      <c r="AA174" s="18">
        <f t="shared" si="146"/>
        <v>6467555</v>
      </c>
      <c r="AB174" s="18">
        <f t="shared" si="147"/>
        <v>12969571</v>
      </c>
      <c r="AC174" s="140">
        <f t="shared" si="148"/>
        <v>143084133</v>
      </c>
      <c r="AD174" s="26">
        <f t="shared" si="120"/>
        <v>0.20321567676458763</v>
      </c>
      <c r="AG174" s="18">
        <v>136775004</v>
      </c>
      <c r="AH174" s="18">
        <f>AC174-AG174</f>
        <v>6309129</v>
      </c>
    </row>
    <row r="175" spans="1:34">
      <c r="A175" s="146">
        <v>45383</v>
      </c>
      <c r="B175" s="18">
        <v>694722</v>
      </c>
      <c r="C175" s="18">
        <v>0</v>
      </c>
      <c r="D175" s="18">
        <f t="shared" si="101"/>
        <v>694722</v>
      </c>
      <c r="E175" s="18">
        <v>0</v>
      </c>
      <c r="F175" s="18">
        <v>0</v>
      </c>
      <c r="G175" s="18">
        <f t="shared" si="138"/>
        <v>0</v>
      </c>
      <c r="H175" s="18">
        <v>67016522</v>
      </c>
      <c r="I175" s="18">
        <v>643933</v>
      </c>
      <c r="J175" s="18">
        <f t="shared" si="107"/>
        <v>67660455</v>
      </c>
      <c r="K175" s="18">
        <v>3105000</v>
      </c>
      <c r="L175" s="18">
        <v>3300665</v>
      </c>
      <c r="M175" s="18">
        <f t="shared" si="108"/>
        <v>6405665</v>
      </c>
      <c r="N175" s="18">
        <f t="shared" si="118"/>
        <v>70816244</v>
      </c>
      <c r="O175" s="18">
        <f t="shared" si="118"/>
        <v>3944598</v>
      </c>
      <c r="P175" s="18">
        <f t="shared" si="109"/>
        <v>74760842</v>
      </c>
      <c r="Q175" s="139">
        <f t="shared" si="142"/>
        <v>1256676</v>
      </c>
      <c r="R175" s="18">
        <f t="shared" si="142"/>
        <v>0</v>
      </c>
      <c r="S175" s="18">
        <f t="shared" si="139"/>
        <v>1256676</v>
      </c>
      <c r="T175" s="18">
        <f t="shared" si="143"/>
        <v>0</v>
      </c>
      <c r="U175" s="18">
        <f t="shared" si="143"/>
        <v>0</v>
      </c>
      <c r="V175" s="18">
        <f t="shared" si="140"/>
        <v>0</v>
      </c>
      <c r="W175" s="18">
        <f t="shared" si="144"/>
        <v>195302069</v>
      </c>
      <c r="X175" s="18">
        <f t="shared" si="144"/>
        <v>1910994</v>
      </c>
      <c r="Y175" s="18">
        <f t="shared" si="145"/>
        <v>197213063</v>
      </c>
      <c r="Z175" s="18">
        <f t="shared" si="146"/>
        <v>9607016</v>
      </c>
      <c r="AA175" s="18">
        <f t="shared" si="146"/>
        <v>9768220</v>
      </c>
      <c r="AB175" s="18">
        <f t="shared" si="147"/>
        <v>19375236</v>
      </c>
      <c r="AC175" s="140">
        <f t="shared" si="148"/>
        <v>217844975</v>
      </c>
      <c r="AD175" s="26">
        <f t="shared" si="120"/>
        <v>0.19085166810707377</v>
      </c>
    </row>
    <row r="176" spans="1:34">
      <c r="A176" s="146">
        <v>45413</v>
      </c>
      <c r="B176" s="18">
        <v>2518681</v>
      </c>
      <c r="C176" s="18">
        <v>0</v>
      </c>
      <c r="D176" s="18">
        <f t="shared" si="101"/>
        <v>2518681</v>
      </c>
      <c r="E176" s="18">
        <v>0</v>
      </c>
      <c r="F176" s="18">
        <v>0</v>
      </c>
      <c r="G176" s="18">
        <f t="shared" si="138"/>
        <v>0</v>
      </c>
      <c r="H176" s="18">
        <v>67737546</v>
      </c>
      <c r="I176" s="18">
        <v>343269</v>
      </c>
      <c r="J176" s="18">
        <f t="shared" si="107"/>
        <v>68080815</v>
      </c>
      <c r="K176" s="18">
        <v>3224507</v>
      </c>
      <c r="L176" s="18">
        <v>3351714</v>
      </c>
      <c r="M176" s="18">
        <f t="shared" si="108"/>
        <v>6576221</v>
      </c>
      <c r="N176" s="18">
        <f t="shared" si="118"/>
        <v>73480734</v>
      </c>
      <c r="O176" s="18">
        <f t="shared" si="118"/>
        <v>3694983</v>
      </c>
      <c r="P176" s="18">
        <f t="shared" si="109"/>
        <v>77175717</v>
      </c>
      <c r="Q176" s="139">
        <f t="shared" si="142"/>
        <v>3775357</v>
      </c>
      <c r="R176" s="18">
        <f t="shared" si="142"/>
        <v>0</v>
      </c>
      <c r="S176" s="18">
        <f t="shared" si="139"/>
        <v>3775357</v>
      </c>
      <c r="T176" s="18">
        <f t="shared" si="143"/>
        <v>0</v>
      </c>
      <c r="U176" s="18">
        <f t="shared" si="143"/>
        <v>0</v>
      </c>
      <c r="V176" s="18">
        <f t="shared" si="140"/>
        <v>0</v>
      </c>
      <c r="W176" s="18">
        <f t="shared" si="144"/>
        <v>263039615</v>
      </c>
      <c r="X176" s="18">
        <f t="shared" si="144"/>
        <v>2254263</v>
      </c>
      <c r="Y176" s="18">
        <f t="shared" si="145"/>
        <v>265293878</v>
      </c>
      <c r="Z176" s="18">
        <f t="shared" si="146"/>
        <v>12831523</v>
      </c>
      <c r="AA176" s="18">
        <f t="shared" si="146"/>
        <v>13119934</v>
      </c>
      <c r="AB176" s="18">
        <f t="shared" si="147"/>
        <v>25951457</v>
      </c>
      <c r="AC176" s="140">
        <f t="shared" si="148"/>
        <v>295020692</v>
      </c>
      <c r="AD176" s="26">
        <f t="shared" si="120"/>
        <v>0.208579699534158</v>
      </c>
    </row>
    <row r="177" spans="1:34">
      <c r="A177" s="146">
        <v>45444</v>
      </c>
      <c r="B177" s="18">
        <v>1476953</v>
      </c>
      <c r="C177" s="18">
        <v>0</v>
      </c>
      <c r="D177" s="18">
        <f t="shared" si="101"/>
        <v>1476953</v>
      </c>
      <c r="E177" s="18">
        <v>0</v>
      </c>
      <c r="F177" s="18">
        <v>0</v>
      </c>
      <c r="G177" s="18">
        <f t="shared" si="138"/>
        <v>0</v>
      </c>
      <c r="H177" s="18">
        <v>73839781</v>
      </c>
      <c r="I177" s="18">
        <v>264239</v>
      </c>
      <c r="J177" s="18">
        <f t="shared" si="107"/>
        <v>74104020</v>
      </c>
      <c r="K177" s="18">
        <v>3256205</v>
      </c>
      <c r="L177" s="18">
        <v>3453823</v>
      </c>
      <c r="M177" s="18">
        <f t="shared" si="108"/>
        <v>6710028</v>
      </c>
      <c r="N177" s="18">
        <f t="shared" si="118"/>
        <v>78572939</v>
      </c>
      <c r="O177" s="18">
        <f t="shared" si="118"/>
        <v>3718062</v>
      </c>
      <c r="P177" s="18">
        <f t="shared" si="109"/>
        <v>82291001</v>
      </c>
      <c r="Q177" s="139">
        <f t="shared" si="142"/>
        <v>5252310</v>
      </c>
      <c r="R177" s="18">
        <f t="shared" si="142"/>
        <v>0</v>
      </c>
      <c r="S177" s="18">
        <f t="shared" si="139"/>
        <v>5252310</v>
      </c>
      <c r="T177" s="18">
        <f t="shared" si="143"/>
        <v>0</v>
      </c>
      <c r="U177" s="18">
        <f t="shared" si="143"/>
        <v>0</v>
      </c>
      <c r="V177" s="18">
        <f t="shared" si="140"/>
        <v>0</v>
      </c>
      <c r="W177" s="18">
        <f t="shared" si="144"/>
        <v>336879396</v>
      </c>
      <c r="X177" s="18">
        <f t="shared" si="144"/>
        <v>2518502</v>
      </c>
      <c r="Y177" s="18">
        <f t="shared" si="145"/>
        <v>339397898</v>
      </c>
      <c r="Z177" s="18">
        <f t="shared" si="146"/>
        <v>16087728</v>
      </c>
      <c r="AA177" s="18">
        <f t="shared" si="146"/>
        <v>16573757</v>
      </c>
      <c r="AB177" s="18">
        <f t="shared" si="147"/>
        <v>32661485</v>
      </c>
      <c r="AC177" s="140">
        <f t="shared" si="148"/>
        <v>377311693</v>
      </c>
      <c r="AD177" s="26">
        <f t="shared" si="120"/>
        <v>0.19822998810400594</v>
      </c>
    </row>
    <row r="178" spans="1:34">
      <c r="A178" s="146">
        <v>45474</v>
      </c>
      <c r="B178" s="18">
        <v>5942796</v>
      </c>
      <c r="C178" s="18">
        <v>0</v>
      </c>
      <c r="D178" s="18">
        <f t="shared" si="101"/>
        <v>5942796</v>
      </c>
      <c r="E178" s="18">
        <v>0</v>
      </c>
      <c r="F178" s="18">
        <v>0</v>
      </c>
      <c r="G178" s="18">
        <f t="shared" ref="G178:G183" si="149">SUM(E178:F178)</f>
        <v>0</v>
      </c>
      <c r="H178" s="18">
        <v>72111231</v>
      </c>
      <c r="I178" s="18">
        <v>399982</v>
      </c>
      <c r="J178" s="18">
        <f t="shared" si="107"/>
        <v>72511213</v>
      </c>
      <c r="K178" s="18">
        <v>3354072</v>
      </c>
      <c r="L178" s="18">
        <v>3264720</v>
      </c>
      <c r="M178" s="18">
        <f t="shared" si="108"/>
        <v>6618792</v>
      </c>
      <c r="N178" s="18">
        <f t="shared" ref="N178:O186" si="150">B178+E178+H178+K178</f>
        <v>81408099</v>
      </c>
      <c r="O178" s="18">
        <f t="shared" si="150"/>
        <v>3664702</v>
      </c>
      <c r="P178" s="18">
        <f t="shared" si="109"/>
        <v>85072801</v>
      </c>
      <c r="Q178" s="139">
        <f t="shared" si="142"/>
        <v>11195106</v>
      </c>
      <c r="R178" s="18">
        <f t="shared" si="142"/>
        <v>0</v>
      </c>
      <c r="S178" s="18">
        <f t="shared" si="139"/>
        <v>11195106</v>
      </c>
      <c r="T178" s="18">
        <f t="shared" si="143"/>
        <v>0</v>
      </c>
      <c r="U178" s="18">
        <f t="shared" si="143"/>
        <v>0</v>
      </c>
      <c r="V178" s="18">
        <f t="shared" si="140"/>
        <v>0</v>
      </c>
      <c r="W178" s="18">
        <f t="shared" si="144"/>
        <v>408990627</v>
      </c>
      <c r="X178" s="18">
        <f t="shared" si="144"/>
        <v>2918484</v>
      </c>
      <c r="Y178" s="18">
        <f t="shared" si="145"/>
        <v>411909111</v>
      </c>
      <c r="Z178" s="18">
        <f t="shared" si="146"/>
        <v>19441800</v>
      </c>
      <c r="AA178" s="18">
        <f t="shared" si="146"/>
        <v>19838477</v>
      </c>
      <c r="AB178" s="18">
        <f t="shared" si="147"/>
        <v>39280277</v>
      </c>
      <c r="AC178" s="140">
        <f t="shared" si="148"/>
        <v>462384494</v>
      </c>
      <c r="AD178" s="26">
        <f t="shared" si="120"/>
        <v>0.21947748827613989</v>
      </c>
    </row>
    <row r="179" spans="1:34">
      <c r="A179" s="146">
        <v>45505</v>
      </c>
      <c r="B179" s="18">
        <v>4109184</v>
      </c>
      <c r="C179" s="18">
        <v>0</v>
      </c>
      <c r="D179" s="18">
        <f t="shared" ref="D179:D184" si="151">SUM(B179:C179)</f>
        <v>4109184</v>
      </c>
      <c r="E179" s="18">
        <v>0</v>
      </c>
      <c r="F179" s="18">
        <v>0</v>
      </c>
      <c r="G179" s="18">
        <f t="shared" si="149"/>
        <v>0</v>
      </c>
      <c r="H179" s="18">
        <v>78552993</v>
      </c>
      <c r="I179" s="18">
        <v>229292</v>
      </c>
      <c r="J179" s="18">
        <f t="shared" si="107"/>
        <v>78782285</v>
      </c>
      <c r="K179" s="18">
        <v>2748733</v>
      </c>
      <c r="L179" s="18">
        <v>3694958</v>
      </c>
      <c r="M179" s="18">
        <f t="shared" si="108"/>
        <v>6443691</v>
      </c>
      <c r="N179" s="18">
        <f t="shared" si="150"/>
        <v>85410910</v>
      </c>
      <c r="O179" s="18">
        <f t="shared" si="150"/>
        <v>3924250</v>
      </c>
      <c r="P179" s="18">
        <f t="shared" si="109"/>
        <v>89335160</v>
      </c>
      <c r="Q179" s="139">
        <f t="shared" si="142"/>
        <v>15304290</v>
      </c>
      <c r="R179" s="18">
        <f t="shared" si="142"/>
        <v>0</v>
      </c>
      <c r="S179" s="18">
        <f t="shared" si="139"/>
        <v>15304290</v>
      </c>
      <c r="T179" s="18">
        <f t="shared" si="143"/>
        <v>0</v>
      </c>
      <c r="U179" s="18">
        <f t="shared" si="143"/>
        <v>0</v>
      </c>
      <c r="V179" s="18">
        <f t="shared" si="140"/>
        <v>0</v>
      </c>
      <c r="W179" s="18">
        <f t="shared" si="144"/>
        <v>487543620</v>
      </c>
      <c r="X179" s="18">
        <f t="shared" si="144"/>
        <v>3147776</v>
      </c>
      <c r="Y179" s="18">
        <f t="shared" si="145"/>
        <v>490691396</v>
      </c>
      <c r="Z179" s="18">
        <f t="shared" si="146"/>
        <v>22190533</v>
      </c>
      <c r="AA179" s="18">
        <f t="shared" si="146"/>
        <v>23533435</v>
      </c>
      <c r="AB179" s="18">
        <f t="shared" si="147"/>
        <v>45723968</v>
      </c>
      <c r="AC179" s="140">
        <f t="shared" si="148"/>
        <v>551719654</v>
      </c>
      <c r="AD179" s="26">
        <f t="shared" si="120"/>
        <v>0.23636441710320177</v>
      </c>
    </row>
    <row r="180" spans="1:34">
      <c r="A180" s="146">
        <v>45536</v>
      </c>
      <c r="B180" s="18">
        <v>5794701</v>
      </c>
      <c r="C180" s="18">
        <v>0</v>
      </c>
      <c r="D180" s="18">
        <f t="shared" si="151"/>
        <v>5794701</v>
      </c>
      <c r="E180" s="18">
        <v>0</v>
      </c>
      <c r="F180" s="18">
        <v>0</v>
      </c>
      <c r="G180" s="18">
        <f t="shared" si="149"/>
        <v>0</v>
      </c>
      <c r="H180" s="18">
        <v>81855313</v>
      </c>
      <c r="I180" s="18">
        <v>328246</v>
      </c>
      <c r="J180" s="18">
        <f t="shared" si="107"/>
        <v>82183559</v>
      </c>
      <c r="K180" s="18">
        <v>3412037</v>
      </c>
      <c r="L180" s="18">
        <v>3642128</v>
      </c>
      <c r="M180" s="18">
        <f t="shared" si="108"/>
        <v>7054165</v>
      </c>
      <c r="N180" s="18">
        <f t="shared" si="150"/>
        <v>91062051</v>
      </c>
      <c r="O180" s="18">
        <f t="shared" si="150"/>
        <v>3970374</v>
      </c>
      <c r="P180" s="18">
        <f t="shared" si="109"/>
        <v>95032425</v>
      </c>
      <c r="Q180" s="139">
        <f t="shared" si="142"/>
        <v>21098991</v>
      </c>
      <c r="R180" s="18">
        <f t="shared" si="142"/>
        <v>0</v>
      </c>
      <c r="S180" s="18">
        <f t="shared" si="139"/>
        <v>21098991</v>
      </c>
      <c r="T180" s="18">
        <f t="shared" si="143"/>
        <v>0</v>
      </c>
      <c r="U180" s="18">
        <f t="shared" si="143"/>
        <v>0</v>
      </c>
      <c r="V180" s="18">
        <f t="shared" si="140"/>
        <v>0</v>
      </c>
      <c r="W180" s="18">
        <f t="shared" si="144"/>
        <v>569398933</v>
      </c>
      <c r="X180" s="18">
        <f t="shared" si="144"/>
        <v>3476022</v>
      </c>
      <c r="Y180" s="18">
        <f t="shared" si="145"/>
        <v>572874955</v>
      </c>
      <c r="Z180" s="18">
        <f t="shared" si="146"/>
        <v>25602570</v>
      </c>
      <c r="AA180" s="18">
        <f t="shared" si="146"/>
        <v>27175563</v>
      </c>
      <c r="AB180" s="18">
        <f t="shared" si="147"/>
        <v>52778133</v>
      </c>
      <c r="AC180" s="140">
        <f t="shared" si="148"/>
        <v>646752079</v>
      </c>
      <c r="AD180" s="26">
        <f t="shared" si="120"/>
        <v>0.2673452670804628</v>
      </c>
    </row>
    <row r="181" spans="1:34">
      <c r="A181" s="146">
        <v>45566</v>
      </c>
      <c r="B181" s="18">
        <v>6029880</v>
      </c>
      <c r="C181" s="18">
        <v>0</v>
      </c>
      <c r="D181" s="18">
        <f t="shared" si="151"/>
        <v>6029880</v>
      </c>
      <c r="E181" s="18">
        <v>0</v>
      </c>
      <c r="F181" s="18">
        <v>0</v>
      </c>
      <c r="G181" s="18">
        <f t="shared" si="149"/>
        <v>0</v>
      </c>
      <c r="H181" s="18">
        <v>79017792</v>
      </c>
      <c r="I181" s="18">
        <v>417385</v>
      </c>
      <c r="J181" s="18">
        <f t="shared" si="107"/>
        <v>79435177</v>
      </c>
      <c r="K181" s="18">
        <v>3735478</v>
      </c>
      <c r="L181" s="18">
        <v>3422394</v>
      </c>
      <c r="M181" s="18">
        <f t="shared" si="108"/>
        <v>7157872</v>
      </c>
      <c r="N181" s="18">
        <f t="shared" si="150"/>
        <v>88783150</v>
      </c>
      <c r="O181" s="18">
        <f t="shared" si="150"/>
        <v>3839779</v>
      </c>
      <c r="P181" s="18">
        <f t="shared" si="109"/>
        <v>92622929</v>
      </c>
      <c r="Q181" s="139">
        <f t="shared" si="142"/>
        <v>27128871</v>
      </c>
      <c r="R181" s="18">
        <f t="shared" si="142"/>
        <v>0</v>
      </c>
      <c r="S181" s="18">
        <f t="shared" si="139"/>
        <v>27128871</v>
      </c>
      <c r="T181" s="18">
        <f t="shared" si="143"/>
        <v>0</v>
      </c>
      <c r="U181" s="18">
        <f t="shared" si="143"/>
        <v>0</v>
      </c>
      <c r="V181" s="18">
        <f t="shared" si="140"/>
        <v>0</v>
      </c>
      <c r="W181" s="18">
        <f t="shared" si="144"/>
        <v>648416725</v>
      </c>
      <c r="X181" s="18">
        <f t="shared" si="144"/>
        <v>3893407</v>
      </c>
      <c r="Y181" s="18">
        <f t="shared" si="145"/>
        <v>652310132</v>
      </c>
      <c r="Z181" s="18">
        <f t="shared" si="146"/>
        <v>29338048</v>
      </c>
      <c r="AA181" s="18">
        <f t="shared" si="146"/>
        <v>30597957</v>
      </c>
      <c r="AB181" s="18">
        <f t="shared" si="147"/>
        <v>59936005</v>
      </c>
      <c r="AC181" s="140">
        <f t="shared" si="148"/>
        <v>739375008</v>
      </c>
      <c r="AD181" s="26">
        <f t="shared" si="120"/>
        <v>0.2883812009788711</v>
      </c>
    </row>
    <row r="182" spans="1:34">
      <c r="A182" s="146">
        <v>45597</v>
      </c>
      <c r="B182" s="18">
        <v>6758732</v>
      </c>
      <c r="C182" s="18">
        <v>0</v>
      </c>
      <c r="D182" s="18">
        <f t="shared" si="151"/>
        <v>6758732</v>
      </c>
      <c r="E182" s="18">
        <v>0</v>
      </c>
      <c r="F182" s="18">
        <v>0</v>
      </c>
      <c r="G182" s="18">
        <f t="shared" si="149"/>
        <v>0</v>
      </c>
      <c r="H182" s="18">
        <v>79496049</v>
      </c>
      <c r="I182" s="18">
        <v>1925842</v>
      </c>
      <c r="J182" s="18">
        <f t="shared" si="107"/>
        <v>81421891</v>
      </c>
      <c r="K182" s="18">
        <v>5960448</v>
      </c>
      <c r="L182" s="18">
        <v>1992017</v>
      </c>
      <c r="M182" s="18">
        <f t="shared" si="108"/>
        <v>7952465</v>
      </c>
      <c r="N182" s="18">
        <f t="shared" si="150"/>
        <v>92215229</v>
      </c>
      <c r="O182" s="18">
        <f t="shared" si="150"/>
        <v>3917859</v>
      </c>
      <c r="P182" s="18">
        <f t="shared" si="109"/>
        <v>96133088</v>
      </c>
      <c r="Q182" s="139">
        <f t="shared" si="142"/>
        <v>33887603</v>
      </c>
      <c r="R182" s="18">
        <f t="shared" si="142"/>
        <v>0</v>
      </c>
      <c r="S182" s="18">
        <f t="shared" si="139"/>
        <v>33887603</v>
      </c>
      <c r="T182" s="18">
        <f t="shared" si="143"/>
        <v>0</v>
      </c>
      <c r="U182" s="18">
        <f t="shared" si="143"/>
        <v>0</v>
      </c>
      <c r="V182" s="18">
        <f t="shared" si="140"/>
        <v>0</v>
      </c>
      <c r="W182" s="18">
        <f t="shared" si="144"/>
        <v>727912774</v>
      </c>
      <c r="X182" s="18">
        <f t="shared" si="144"/>
        <v>5819249</v>
      </c>
      <c r="Y182" s="18">
        <f t="shared" si="145"/>
        <v>733732023</v>
      </c>
      <c r="Z182" s="18">
        <f t="shared" si="146"/>
        <v>35298496</v>
      </c>
      <c r="AA182" s="18">
        <f t="shared" si="146"/>
        <v>32589974</v>
      </c>
      <c r="AB182" s="18">
        <f t="shared" si="147"/>
        <v>67888470</v>
      </c>
      <c r="AC182" s="140">
        <f t="shared" si="148"/>
        <v>835508096</v>
      </c>
      <c r="AD182" s="26">
        <f t="shared" si="120"/>
        <v>0.29802121775414081</v>
      </c>
    </row>
    <row r="183" spans="1:34" ht="14.25" thickBot="1">
      <c r="A183" s="146">
        <v>45627</v>
      </c>
      <c r="B183" s="18">
        <v>9375739</v>
      </c>
      <c r="C183" s="18">
        <v>0</v>
      </c>
      <c r="D183" s="18">
        <f t="shared" si="151"/>
        <v>9375739</v>
      </c>
      <c r="E183" s="18">
        <v>0</v>
      </c>
      <c r="F183" s="18">
        <v>0</v>
      </c>
      <c r="G183" s="18">
        <f t="shared" si="149"/>
        <v>0</v>
      </c>
      <c r="H183" s="18">
        <v>68235417</v>
      </c>
      <c r="I183" s="18">
        <v>1587239</v>
      </c>
      <c r="J183" s="18">
        <f t="shared" si="107"/>
        <v>69822656</v>
      </c>
      <c r="K183" s="18">
        <v>4210181</v>
      </c>
      <c r="L183" s="18">
        <v>2246418</v>
      </c>
      <c r="M183" s="18">
        <f t="shared" si="108"/>
        <v>6456599</v>
      </c>
      <c r="N183" s="18">
        <f t="shared" si="150"/>
        <v>81821337</v>
      </c>
      <c r="O183" s="18">
        <f t="shared" si="150"/>
        <v>3833657</v>
      </c>
      <c r="P183" s="18">
        <f t="shared" si="109"/>
        <v>85654994</v>
      </c>
      <c r="Q183" s="139">
        <f t="shared" si="142"/>
        <v>43263342</v>
      </c>
      <c r="R183" s="18">
        <f t="shared" si="142"/>
        <v>0</v>
      </c>
      <c r="S183" s="18">
        <f t="shared" si="139"/>
        <v>43263342</v>
      </c>
      <c r="T183" s="18">
        <f t="shared" si="143"/>
        <v>0</v>
      </c>
      <c r="U183" s="18">
        <f t="shared" si="143"/>
        <v>0</v>
      </c>
      <c r="V183" s="18">
        <f t="shared" si="140"/>
        <v>0</v>
      </c>
      <c r="W183" s="18">
        <f t="shared" si="144"/>
        <v>796148191</v>
      </c>
      <c r="X183" s="18">
        <f t="shared" si="144"/>
        <v>7406488</v>
      </c>
      <c r="Y183" s="18">
        <f t="shared" si="145"/>
        <v>803554679</v>
      </c>
      <c r="Z183" s="18">
        <f t="shared" si="146"/>
        <v>39508677</v>
      </c>
      <c r="AA183" s="18">
        <f t="shared" si="146"/>
        <v>34836392</v>
      </c>
      <c r="AB183" s="18">
        <f t="shared" si="147"/>
        <v>74345069</v>
      </c>
      <c r="AC183" s="140">
        <f t="shared" si="148"/>
        <v>921163090</v>
      </c>
      <c r="AD183" s="26">
        <f t="shared" si="120"/>
        <v>0.18900945745451736</v>
      </c>
    </row>
    <row r="184" spans="1:34" ht="15.75" thickBot="1">
      <c r="A184" s="145">
        <v>45658</v>
      </c>
      <c r="B184" s="18">
        <v>7329992</v>
      </c>
      <c r="C184" s="18">
        <v>0</v>
      </c>
      <c r="D184" s="18">
        <f t="shared" si="151"/>
        <v>7329992</v>
      </c>
      <c r="E184" s="18">
        <v>0</v>
      </c>
      <c r="F184" s="18">
        <v>0</v>
      </c>
      <c r="G184" s="18">
        <f t="shared" ref="G184" si="152">SUM(E184:F184)</f>
        <v>0</v>
      </c>
      <c r="H184" s="147">
        <v>1133947</v>
      </c>
      <c r="I184" s="18">
        <v>0</v>
      </c>
      <c r="J184" s="18">
        <f t="shared" si="107"/>
        <v>1133947</v>
      </c>
      <c r="K184" s="18">
        <v>0</v>
      </c>
      <c r="L184" s="18">
        <v>0</v>
      </c>
      <c r="M184" s="18">
        <f t="shared" si="108"/>
        <v>0</v>
      </c>
      <c r="N184" s="18">
        <f t="shared" si="150"/>
        <v>8463939</v>
      </c>
      <c r="O184" s="18">
        <f t="shared" si="150"/>
        <v>0</v>
      </c>
      <c r="P184" s="18">
        <f t="shared" si="109"/>
        <v>8463939</v>
      </c>
      <c r="Q184" s="142">
        <f t="shared" ref="Q184:R186" si="153">B184</f>
        <v>7329992</v>
      </c>
      <c r="R184" s="143">
        <f t="shared" si="153"/>
        <v>0</v>
      </c>
      <c r="S184" s="143">
        <f t="shared" si="139"/>
        <v>7329992</v>
      </c>
      <c r="T184" s="143">
        <f t="shared" ref="T184:U186" si="154">E184</f>
        <v>0</v>
      </c>
      <c r="U184" s="143">
        <f t="shared" si="154"/>
        <v>0</v>
      </c>
      <c r="V184" s="143">
        <f t="shared" si="140"/>
        <v>0</v>
      </c>
      <c r="W184" s="143">
        <f t="shared" ref="W184:AC186" si="155">H184</f>
        <v>1133947</v>
      </c>
      <c r="X184" s="143">
        <f t="shared" si="155"/>
        <v>0</v>
      </c>
      <c r="Y184" s="143">
        <f t="shared" si="155"/>
        <v>1133947</v>
      </c>
      <c r="Z184" s="143">
        <f t="shared" si="155"/>
        <v>0</v>
      </c>
      <c r="AA184" s="143">
        <f t="shared" si="155"/>
        <v>0</v>
      </c>
      <c r="AB184" s="143">
        <f t="shared" si="155"/>
        <v>0</v>
      </c>
      <c r="AC184" s="144">
        <f t="shared" si="155"/>
        <v>8463939</v>
      </c>
    </row>
    <row r="185" spans="1:34" ht="15.75" thickBot="1">
      <c r="A185" s="146">
        <v>45689</v>
      </c>
      <c r="B185" s="18">
        <v>6279631</v>
      </c>
      <c r="C185" s="18">
        <v>0</v>
      </c>
      <c r="D185" s="18">
        <f t="shared" ref="D185:D186" si="156">SUM(B185:C185)</f>
        <v>6279631</v>
      </c>
      <c r="E185" s="18">
        <v>0</v>
      </c>
      <c r="F185" s="18">
        <v>0</v>
      </c>
      <c r="G185" s="18">
        <f t="shared" ref="G185:G186" si="157">SUM(E185:F185)</f>
        <v>0</v>
      </c>
      <c r="H185" s="147">
        <v>744454</v>
      </c>
      <c r="I185" s="18">
        <v>0</v>
      </c>
      <c r="J185" s="18">
        <f t="shared" si="107"/>
        <v>744454</v>
      </c>
      <c r="K185" s="18">
        <v>0</v>
      </c>
      <c r="L185" s="18">
        <v>0</v>
      </c>
      <c r="M185" s="18">
        <f t="shared" si="108"/>
        <v>0</v>
      </c>
      <c r="N185" s="18">
        <f t="shared" si="150"/>
        <v>7024085</v>
      </c>
      <c r="O185" s="18">
        <f t="shared" si="150"/>
        <v>0</v>
      </c>
      <c r="P185" s="18">
        <f t="shared" si="109"/>
        <v>7024085</v>
      </c>
      <c r="Q185" s="142">
        <f t="shared" si="153"/>
        <v>6279631</v>
      </c>
      <c r="R185" s="143">
        <f t="shared" si="153"/>
        <v>0</v>
      </c>
      <c r="S185" s="143">
        <f t="shared" si="139"/>
        <v>6279631</v>
      </c>
      <c r="T185" s="143">
        <f t="shared" si="154"/>
        <v>0</v>
      </c>
      <c r="U185" s="143">
        <f t="shared" si="154"/>
        <v>0</v>
      </c>
      <c r="V185" s="143">
        <f t="shared" si="140"/>
        <v>0</v>
      </c>
      <c r="W185" s="143">
        <f t="shared" si="155"/>
        <v>744454</v>
      </c>
      <c r="X185" s="143">
        <f t="shared" si="155"/>
        <v>0</v>
      </c>
      <c r="Y185" s="143">
        <f t="shared" si="155"/>
        <v>744454</v>
      </c>
      <c r="Z185" s="143">
        <f t="shared" si="155"/>
        <v>0</v>
      </c>
      <c r="AA185" s="143">
        <f t="shared" si="155"/>
        <v>0</v>
      </c>
      <c r="AB185" s="143">
        <f t="shared" si="155"/>
        <v>0</v>
      </c>
      <c r="AC185" s="144">
        <f t="shared" si="155"/>
        <v>7024085</v>
      </c>
      <c r="AG185" s="18">
        <v>76763688</v>
      </c>
      <c r="AH185" s="18">
        <f>AC185-AG185</f>
        <v>-69739603</v>
      </c>
    </row>
    <row r="186" spans="1:34" ht="15">
      <c r="A186" s="146">
        <v>45717</v>
      </c>
      <c r="B186" s="18">
        <v>6643487</v>
      </c>
      <c r="C186" s="18">
        <v>0</v>
      </c>
      <c r="D186" s="18">
        <f t="shared" si="156"/>
        <v>6643487</v>
      </c>
      <c r="E186" s="18">
        <v>0</v>
      </c>
      <c r="F186" s="18">
        <v>0</v>
      </c>
      <c r="G186" s="18">
        <f t="shared" si="157"/>
        <v>0</v>
      </c>
      <c r="H186" s="147">
        <v>0</v>
      </c>
      <c r="I186" s="18">
        <v>0</v>
      </c>
      <c r="J186" s="18">
        <f t="shared" si="107"/>
        <v>0</v>
      </c>
      <c r="K186" s="18">
        <v>0</v>
      </c>
      <c r="L186" s="18">
        <v>0</v>
      </c>
      <c r="M186" s="18">
        <f t="shared" si="108"/>
        <v>0</v>
      </c>
      <c r="N186" s="18">
        <f t="shared" si="150"/>
        <v>6643487</v>
      </c>
      <c r="O186" s="18">
        <f t="shared" si="150"/>
        <v>0</v>
      </c>
      <c r="P186" s="18">
        <f t="shared" si="109"/>
        <v>6643487</v>
      </c>
      <c r="Q186" s="142">
        <f t="shared" si="153"/>
        <v>6643487</v>
      </c>
      <c r="R186" s="143">
        <f t="shared" si="153"/>
        <v>0</v>
      </c>
      <c r="S186" s="143">
        <f t="shared" si="139"/>
        <v>6643487</v>
      </c>
      <c r="T186" s="143">
        <f t="shared" si="154"/>
        <v>0</v>
      </c>
      <c r="U186" s="143">
        <f t="shared" si="154"/>
        <v>0</v>
      </c>
      <c r="V186" s="143">
        <f t="shared" si="140"/>
        <v>0</v>
      </c>
      <c r="W186" s="143">
        <f t="shared" si="155"/>
        <v>0</v>
      </c>
      <c r="X186" s="143">
        <f t="shared" si="155"/>
        <v>0</v>
      </c>
      <c r="Y186" s="143">
        <f t="shared" si="155"/>
        <v>0</v>
      </c>
      <c r="Z186" s="143">
        <f t="shared" si="155"/>
        <v>0</v>
      </c>
      <c r="AA186" s="143">
        <f t="shared" si="155"/>
        <v>0</v>
      </c>
      <c r="AB186" s="143">
        <f t="shared" si="155"/>
        <v>0</v>
      </c>
      <c r="AC186" s="144">
        <f t="shared" si="155"/>
        <v>6643487</v>
      </c>
      <c r="AG186" s="18">
        <v>76763688</v>
      </c>
      <c r="AH186" s="18">
        <f>AC186-AG186</f>
        <v>-70120201</v>
      </c>
    </row>
    <row r="187" spans="1:34">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row>
    <row r="188" spans="1:34">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row>
    <row r="189" spans="1:34">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row>
    <row r="190" spans="1:34">
      <c r="A190" s="148" t="s">
        <v>264</v>
      </c>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row>
    <row r="191" spans="1:34">
      <c r="A191" s="149" t="s">
        <v>265</v>
      </c>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row>
    <row r="192" spans="1:34" ht="31.5">
      <c r="A192" s="150" t="s">
        <v>266</v>
      </c>
      <c r="B192" s="18"/>
      <c r="C192" s="18"/>
      <c r="D192" s="18"/>
      <c r="E192" s="18"/>
      <c r="F192" s="18"/>
      <c r="G192" s="18"/>
      <c r="H192" s="18"/>
      <c r="I192" s="18"/>
      <c r="J192" s="18"/>
      <c r="L192" s="18"/>
      <c r="M192" s="18"/>
      <c r="N192" s="18"/>
      <c r="O192" s="18"/>
      <c r="P192" s="18"/>
      <c r="Q192" s="18"/>
      <c r="R192" s="18"/>
      <c r="S192" s="18"/>
      <c r="T192" s="18"/>
      <c r="U192" s="18"/>
      <c r="V192" s="18"/>
      <c r="W192" s="18"/>
      <c r="X192" s="18"/>
      <c r="Y192" s="18"/>
      <c r="Z192" s="18"/>
      <c r="AA192" s="18"/>
      <c r="AB192" s="18"/>
      <c r="AC192" s="18"/>
    </row>
  </sheetData>
  <mergeCells count="12">
    <mergeCell ref="Z2:AB2"/>
    <mergeCell ref="AC2:AC3"/>
    <mergeCell ref="B1:P1"/>
    <mergeCell ref="Q1:AC1"/>
    <mergeCell ref="B2:D2"/>
    <mergeCell ref="E2:G2"/>
    <mergeCell ref="H2:J2"/>
    <mergeCell ref="K2:M2"/>
    <mergeCell ref="N2:P2"/>
    <mergeCell ref="Q2:S2"/>
    <mergeCell ref="T2:V2"/>
    <mergeCell ref="W2:Y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1AEF-6756-4910-8938-A1EA99457A4E}">
  <dimension ref="A1:BV229"/>
  <sheetViews>
    <sheetView workbookViewId="0">
      <pane xSplit="1" ySplit="2" topLeftCell="H34"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32.85546875" customWidth="1"/>
    <col min="2" max="13" width="10.7109375" customWidth="1"/>
    <col min="14" max="16" width="11.42578125" customWidth="1"/>
    <col min="17" max="33" width="10.7109375" hidden="1" customWidth="1"/>
    <col min="34" max="61" width="10.7109375" customWidth="1"/>
    <col min="63" max="63" width="11.85546875" bestFit="1" customWidth="1"/>
  </cols>
  <sheetData>
    <row r="1" spans="1:74" ht="18.75" thickBot="1">
      <c r="A1" s="78" t="s">
        <v>267</v>
      </c>
    </row>
    <row r="2" spans="1:74" ht="15.7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row>
    <row r="3" spans="1:74">
      <c r="A3" s="94" t="s">
        <v>223</v>
      </c>
      <c r="B3" s="96">
        <f>B4+B5</f>
        <v>0</v>
      </c>
      <c r="C3" s="96">
        <f t="shared" ref="C3:AG3" si="0">C4+C5</f>
        <v>0</v>
      </c>
      <c r="D3" s="96">
        <f t="shared" si="0"/>
        <v>20069</v>
      </c>
      <c r="E3" s="96">
        <f t="shared" si="0"/>
        <v>0</v>
      </c>
      <c r="F3" s="96">
        <f t="shared" si="0"/>
        <v>728509</v>
      </c>
      <c r="G3" s="96">
        <f t="shared" si="0"/>
        <v>2181096</v>
      </c>
      <c r="H3" s="96">
        <f t="shared" si="0"/>
        <v>3805246</v>
      </c>
      <c r="I3" s="96">
        <f t="shared" si="0"/>
        <v>10047034</v>
      </c>
      <c r="J3" s="96">
        <f t="shared" si="0"/>
        <v>8158168</v>
      </c>
      <c r="K3" s="96">
        <f t="shared" si="0"/>
        <v>9815841</v>
      </c>
      <c r="L3" s="96">
        <f t="shared" si="0"/>
        <v>2051172</v>
      </c>
      <c r="M3" s="96">
        <f t="shared" si="0"/>
        <v>585099</v>
      </c>
      <c r="N3" s="96">
        <f t="shared" si="0"/>
        <v>1396503</v>
      </c>
      <c r="O3" s="96">
        <f t="shared" si="0"/>
        <v>1294545</v>
      </c>
      <c r="P3" s="151">
        <f t="shared" si="0"/>
        <v>43263342</v>
      </c>
      <c r="Q3" s="96">
        <f t="shared" si="0"/>
        <v>108893076.81687927</v>
      </c>
      <c r="R3" s="96">
        <f t="shared" si="0"/>
        <v>119558826.29679656</v>
      </c>
      <c r="S3" s="96">
        <f t="shared" si="0"/>
        <v>131184939.27208924</v>
      </c>
      <c r="T3" s="96">
        <f t="shared" si="0"/>
        <v>136873120.59585667</v>
      </c>
      <c r="U3" s="96">
        <f t="shared" si="0"/>
        <v>137247611.70624554</v>
      </c>
      <c r="V3" s="96">
        <f t="shared" si="0"/>
        <v>140672360.72835255</v>
      </c>
      <c r="W3" s="96">
        <f t="shared" si="0"/>
        <v>145474459.06834352</v>
      </c>
      <c r="X3" s="96">
        <f t="shared" si="0"/>
        <v>159139741.306216</v>
      </c>
      <c r="Y3" s="96">
        <f t="shared" si="0"/>
        <v>182409485.31584787</v>
      </c>
      <c r="Z3" s="96">
        <f t="shared" si="0"/>
        <v>212826069.96412158</v>
      </c>
      <c r="AA3" s="96">
        <f t="shared" si="0"/>
        <v>236877156.69228888</v>
      </c>
      <c r="AB3" s="96">
        <f t="shared" si="0"/>
        <v>270592899.64110255</v>
      </c>
      <c r="AC3" s="96">
        <f t="shared" si="0"/>
        <v>306581266.99777985</v>
      </c>
      <c r="AD3" s="96">
        <f t="shared" si="0"/>
        <v>346390493.63448143</v>
      </c>
      <c r="AE3" s="96">
        <f t="shared" si="0"/>
        <v>392803464.67981815</v>
      </c>
      <c r="AF3" s="96">
        <f t="shared" si="0"/>
        <v>440144119.31962585</v>
      </c>
      <c r="AG3" s="96">
        <f t="shared" si="0"/>
        <v>491899839.96628666</v>
      </c>
      <c r="AH3" s="94"/>
      <c r="AI3" s="4"/>
      <c r="AJ3" s="4">
        <f>J3/'D3 Gallon Forecast'!J3</f>
        <v>1</v>
      </c>
      <c r="AK3" s="4">
        <f>K3/'D3 Gallon Forecast'!K3</f>
        <v>1</v>
      </c>
      <c r="AL3" s="4"/>
      <c r="AM3" s="4"/>
      <c r="AN3" s="4"/>
      <c r="AO3" s="4"/>
      <c r="AP3" s="4"/>
      <c r="AQ3" s="4"/>
      <c r="AR3" s="4"/>
      <c r="AS3" s="4"/>
      <c r="AT3" s="4"/>
      <c r="AU3" s="4"/>
      <c r="AV3" s="4"/>
      <c r="AW3" s="4"/>
      <c r="AX3" s="4"/>
      <c r="AY3" s="4"/>
      <c r="AZ3" s="4"/>
      <c r="BA3" s="4"/>
      <c r="BB3" s="4"/>
      <c r="BC3" s="4"/>
      <c r="BD3" s="4"/>
      <c r="BE3" s="4"/>
      <c r="BF3" s="4"/>
      <c r="BG3" s="4"/>
      <c r="BH3" s="4"/>
      <c r="BI3" s="4"/>
      <c r="BK3" s="152">
        <v>12111300</v>
      </c>
      <c r="BL3" s="152">
        <f t="shared" ref="BL3:BL15" si="1">BK3-K3</f>
        <v>2295459</v>
      </c>
      <c r="BN3" t="e">
        <f>B3/'D3 Gallon Forecast'!B3</f>
        <v>#DIV/0!</v>
      </c>
      <c r="BO3" t="e">
        <f>C3/'D3 Gallon Forecast'!C3</f>
        <v>#DIV/0!</v>
      </c>
      <c r="BP3">
        <f>D3/'D3 Gallon Forecast'!D3</f>
        <v>1</v>
      </c>
      <c r="BQ3" t="e">
        <f>E3/'D3 Gallon Forecast'!E3</f>
        <v>#DIV/0!</v>
      </c>
      <c r="BR3">
        <f>F3/'D3 Gallon Forecast'!F3</f>
        <v>1</v>
      </c>
      <c r="BS3">
        <f>G3/'D3 Gallon Forecast'!G3</f>
        <v>1</v>
      </c>
      <c r="BT3">
        <f>H3/'D3 Gallon Forecast'!H3</f>
        <v>1</v>
      </c>
      <c r="BU3">
        <f>I3/'D3 Gallon Forecast'!I3</f>
        <v>1</v>
      </c>
      <c r="BV3">
        <f>J3/'D3 Gallon Forecast'!J3</f>
        <v>1</v>
      </c>
    </row>
    <row r="4" spans="1:74">
      <c r="A4" s="2" t="s">
        <v>224</v>
      </c>
      <c r="B4" s="3">
        <f>B69</f>
        <v>0</v>
      </c>
      <c r="C4" s="3">
        <f t="shared" ref="C4:AG4" si="2">C69</f>
        <v>0</v>
      </c>
      <c r="D4" s="3">
        <f t="shared" si="2"/>
        <v>20069</v>
      </c>
      <c r="E4" s="3">
        <f t="shared" si="2"/>
        <v>0</v>
      </c>
      <c r="F4" s="3">
        <f t="shared" si="2"/>
        <v>728509</v>
      </c>
      <c r="G4" s="3">
        <f t="shared" si="2"/>
        <v>2181096</v>
      </c>
      <c r="H4" s="3">
        <f t="shared" si="2"/>
        <v>3805246</v>
      </c>
      <c r="I4" s="3">
        <f t="shared" si="2"/>
        <v>5743807</v>
      </c>
      <c r="J4" s="3">
        <f t="shared" si="2"/>
        <v>6541574</v>
      </c>
      <c r="K4" s="3">
        <f t="shared" si="2"/>
        <v>5551901</v>
      </c>
      <c r="L4" s="3">
        <f t="shared" si="2"/>
        <v>2051172</v>
      </c>
      <c r="M4" s="3">
        <f t="shared" si="2"/>
        <v>585099</v>
      </c>
      <c r="N4" s="3">
        <f t="shared" si="2"/>
        <v>1396503</v>
      </c>
      <c r="O4" s="3">
        <f t="shared" si="2"/>
        <v>1294545</v>
      </c>
      <c r="P4" s="153">
        <f t="shared" si="2"/>
        <v>43263342</v>
      </c>
      <c r="Q4" s="3">
        <f t="shared" si="2"/>
        <v>108893076.81687927</v>
      </c>
      <c r="R4" s="3">
        <f t="shared" si="2"/>
        <v>119558826.29679656</v>
      </c>
      <c r="S4" s="3">
        <f t="shared" si="2"/>
        <v>131184939.27208924</v>
      </c>
      <c r="T4" s="3">
        <f t="shared" si="2"/>
        <v>136873120.59585667</v>
      </c>
      <c r="U4" s="3">
        <f t="shared" si="2"/>
        <v>137247611.70624554</v>
      </c>
      <c r="V4" s="3">
        <f t="shared" si="2"/>
        <v>140672360.72835255</v>
      </c>
      <c r="W4" s="3">
        <f t="shared" si="2"/>
        <v>145474459.06834352</v>
      </c>
      <c r="X4" s="3">
        <f t="shared" si="2"/>
        <v>159139741.306216</v>
      </c>
      <c r="Y4" s="3">
        <f t="shared" si="2"/>
        <v>182409485.31584787</v>
      </c>
      <c r="Z4" s="3">
        <f t="shared" si="2"/>
        <v>212826069.96412158</v>
      </c>
      <c r="AA4" s="3">
        <f t="shared" si="2"/>
        <v>236877156.69228888</v>
      </c>
      <c r="AB4" s="3">
        <f t="shared" si="2"/>
        <v>270592899.64110255</v>
      </c>
      <c r="AC4" s="3">
        <f t="shared" si="2"/>
        <v>306581266.99777985</v>
      </c>
      <c r="AD4" s="3">
        <f t="shared" si="2"/>
        <v>346390493.63448143</v>
      </c>
      <c r="AE4" s="3">
        <f t="shared" si="2"/>
        <v>392803464.67981815</v>
      </c>
      <c r="AF4" s="3">
        <f t="shared" si="2"/>
        <v>440144119.31962585</v>
      </c>
      <c r="AG4" s="3">
        <f t="shared" si="2"/>
        <v>491899839.96628666</v>
      </c>
      <c r="AH4" s="94"/>
      <c r="AI4" s="4"/>
      <c r="AJ4" s="4">
        <f>J4/'D3 Gallon Forecast'!J4</f>
        <v>1</v>
      </c>
      <c r="AK4" s="4">
        <f>K4/'D3 Gallon Forecast'!K4</f>
        <v>1</v>
      </c>
      <c r="AL4" s="4"/>
      <c r="AM4" s="4"/>
      <c r="AN4" s="4"/>
      <c r="AO4" s="4"/>
      <c r="AP4" s="4"/>
      <c r="AQ4" s="4"/>
      <c r="AR4" s="4"/>
      <c r="AS4" s="4"/>
      <c r="AT4" s="4"/>
      <c r="AU4" s="4"/>
      <c r="AV4" s="4"/>
      <c r="AW4" s="4"/>
      <c r="AX4" s="4"/>
      <c r="AY4" s="4"/>
      <c r="AZ4" s="4"/>
      <c r="BA4" s="4"/>
      <c r="BB4" s="4"/>
      <c r="BC4" s="4"/>
      <c r="BD4" s="4"/>
      <c r="BE4" s="4"/>
      <c r="BF4" s="4"/>
      <c r="BG4" s="4"/>
      <c r="BH4" s="4"/>
      <c r="BI4" s="4"/>
      <c r="BK4" s="152">
        <v>12111300</v>
      </c>
      <c r="BL4" s="152">
        <f t="shared" si="1"/>
        <v>6559399</v>
      </c>
    </row>
    <row r="5" spans="1:74" ht="15.75" thickBot="1">
      <c r="A5" s="2" t="s">
        <v>225</v>
      </c>
      <c r="B5" s="3">
        <f>B85</f>
        <v>0</v>
      </c>
      <c r="C5" s="3">
        <f t="shared" ref="C5:AG5" si="3">C85</f>
        <v>0</v>
      </c>
      <c r="D5" s="3">
        <f t="shared" si="3"/>
        <v>0</v>
      </c>
      <c r="E5" s="3">
        <f t="shared" si="3"/>
        <v>0</v>
      </c>
      <c r="F5" s="3">
        <f t="shared" si="3"/>
        <v>0</v>
      </c>
      <c r="G5" s="3">
        <f t="shared" si="3"/>
        <v>0</v>
      </c>
      <c r="H5" s="3">
        <f t="shared" si="3"/>
        <v>0</v>
      </c>
      <c r="I5" s="3">
        <f t="shared" si="3"/>
        <v>4303227</v>
      </c>
      <c r="J5" s="3">
        <f t="shared" si="3"/>
        <v>1616594</v>
      </c>
      <c r="K5" s="3">
        <f t="shared" si="3"/>
        <v>4263940</v>
      </c>
      <c r="L5" s="3">
        <f t="shared" si="3"/>
        <v>0</v>
      </c>
      <c r="M5" s="3">
        <f t="shared" si="3"/>
        <v>0</v>
      </c>
      <c r="N5" s="3">
        <f t="shared" si="3"/>
        <v>0</v>
      </c>
      <c r="O5" s="3">
        <f t="shared" si="3"/>
        <v>0</v>
      </c>
      <c r="P5" s="153">
        <f t="shared" si="3"/>
        <v>0</v>
      </c>
      <c r="Q5" s="3">
        <f t="shared" si="3"/>
        <v>0</v>
      </c>
      <c r="R5" s="3">
        <f t="shared" si="3"/>
        <v>0</v>
      </c>
      <c r="S5" s="3">
        <f t="shared" si="3"/>
        <v>0</v>
      </c>
      <c r="T5" s="3">
        <f t="shared" si="3"/>
        <v>0</v>
      </c>
      <c r="U5" s="3">
        <f t="shared" si="3"/>
        <v>0</v>
      </c>
      <c r="V5" s="3">
        <f t="shared" si="3"/>
        <v>0</v>
      </c>
      <c r="W5" s="3">
        <f t="shared" si="3"/>
        <v>0</v>
      </c>
      <c r="X5" s="3">
        <f t="shared" si="3"/>
        <v>0</v>
      </c>
      <c r="Y5" s="3">
        <f t="shared" si="3"/>
        <v>0</v>
      </c>
      <c r="Z5" s="3">
        <f t="shared" si="3"/>
        <v>0</v>
      </c>
      <c r="AA5" s="3">
        <f t="shared" si="3"/>
        <v>0</v>
      </c>
      <c r="AB5" s="3">
        <f t="shared" si="3"/>
        <v>0</v>
      </c>
      <c r="AC5" s="3">
        <f t="shared" si="3"/>
        <v>0</v>
      </c>
      <c r="AD5" s="3">
        <f t="shared" si="3"/>
        <v>0</v>
      </c>
      <c r="AE5" s="3">
        <f t="shared" si="3"/>
        <v>0</v>
      </c>
      <c r="AF5" s="3">
        <f t="shared" si="3"/>
        <v>0</v>
      </c>
      <c r="AG5" s="3">
        <f t="shared" si="3"/>
        <v>0</v>
      </c>
      <c r="AH5" s="94"/>
      <c r="AI5" s="4"/>
      <c r="AJ5" s="4">
        <f>J5/'D3 Gallon Forecast'!J5</f>
        <v>1</v>
      </c>
      <c r="AK5" s="4">
        <f>K5/'D3 Gallon Forecast'!K5</f>
        <v>1</v>
      </c>
      <c r="AL5" s="4"/>
      <c r="AM5" s="4"/>
      <c r="AN5" s="4"/>
      <c r="AO5" s="4"/>
      <c r="AP5" s="4"/>
      <c r="AQ5" s="4"/>
      <c r="AR5" s="4"/>
      <c r="AS5" s="4"/>
      <c r="AT5" s="4"/>
      <c r="AU5" s="4"/>
      <c r="AV5" s="4"/>
      <c r="AW5" s="4"/>
      <c r="AX5" s="4"/>
      <c r="AY5" s="4"/>
      <c r="AZ5" s="4"/>
      <c r="BA5" s="4"/>
      <c r="BB5" s="4"/>
      <c r="BC5" s="4"/>
      <c r="BD5" s="4"/>
      <c r="BE5" s="4"/>
      <c r="BF5" s="4"/>
      <c r="BG5" s="4"/>
      <c r="BH5" s="4"/>
      <c r="BI5" s="4"/>
      <c r="BK5" s="152">
        <v>0</v>
      </c>
      <c r="BL5" s="152">
        <f t="shared" si="1"/>
        <v>-4263940</v>
      </c>
    </row>
    <row r="6" spans="1:74">
      <c r="A6" s="97" t="s">
        <v>226</v>
      </c>
      <c r="B6" s="98">
        <f t="shared" ref="B6:AG6" si="4">B7+B8</f>
        <v>0</v>
      </c>
      <c r="C6" s="98">
        <f t="shared" si="4"/>
        <v>0</v>
      </c>
      <c r="D6" s="98">
        <f t="shared" si="4"/>
        <v>0</v>
      </c>
      <c r="E6" s="98">
        <f t="shared" si="4"/>
        <v>0</v>
      </c>
      <c r="F6" s="98">
        <f t="shared" si="4"/>
        <v>15208068</v>
      </c>
      <c r="G6" s="98">
        <f t="shared" si="4"/>
        <v>81490266</v>
      </c>
      <c r="H6" s="98">
        <f t="shared" si="4"/>
        <v>116582508</v>
      </c>
      <c r="I6" s="98">
        <f t="shared" si="4"/>
        <v>157100756</v>
      </c>
      <c r="J6" s="98">
        <f t="shared" si="4"/>
        <v>221510255</v>
      </c>
      <c r="K6" s="98">
        <f t="shared" si="4"/>
        <v>328054595</v>
      </c>
      <c r="L6" s="98">
        <f t="shared" si="4"/>
        <v>412276935</v>
      </c>
      <c r="M6" s="98">
        <f t="shared" si="4"/>
        <v>483723044</v>
      </c>
      <c r="N6" s="98">
        <f t="shared" si="4"/>
        <v>576704400</v>
      </c>
      <c r="O6" s="98">
        <f t="shared" si="4"/>
        <v>623651997</v>
      </c>
      <c r="P6" s="154">
        <f t="shared" si="4"/>
        <v>803554679</v>
      </c>
      <c r="Q6" s="98">
        <f t="shared" si="4"/>
        <v>454000000</v>
      </c>
      <c r="R6" s="98">
        <f t="shared" si="4"/>
        <v>623000000</v>
      </c>
      <c r="S6" s="98">
        <f t="shared" si="4"/>
        <v>620000000</v>
      </c>
      <c r="T6" s="98">
        <f t="shared" si="4"/>
        <v>624000000</v>
      </c>
      <c r="U6" s="98">
        <f t="shared" si="4"/>
        <v>691000000</v>
      </c>
      <c r="V6" s="98">
        <f t="shared" si="4"/>
        <v>796000000</v>
      </c>
      <c r="W6" s="98">
        <f t="shared" si="4"/>
        <v>860000000</v>
      </c>
      <c r="X6" s="98">
        <f t="shared" si="4"/>
        <v>947000000</v>
      </c>
      <c r="Y6" s="98">
        <f t="shared" si="4"/>
        <v>1087000000</v>
      </c>
      <c r="Z6" s="98">
        <f t="shared" si="4"/>
        <v>1222000000</v>
      </c>
      <c r="AA6" s="98">
        <f t="shared" si="4"/>
        <v>1387000000</v>
      </c>
      <c r="AB6" s="98">
        <f t="shared" si="4"/>
        <v>1586000000</v>
      </c>
      <c r="AC6" s="98">
        <f t="shared" si="4"/>
        <v>1801000000</v>
      </c>
      <c r="AD6" s="98">
        <f t="shared" si="4"/>
        <v>2032000000</v>
      </c>
      <c r="AE6" s="98">
        <f t="shared" si="4"/>
        <v>2293000000</v>
      </c>
      <c r="AF6" s="98">
        <f t="shared" si="4"/>
        <v>2579000000</v>
      </c>
      <c r="AG6" s="98">
        <f t="shared" si="4"/>
        <v>2883000000</v>
      </c>
      <c r="AH6" s="94"/>
      <c r="AI6" s="4"/>
      <c r="AJ6" s="4">
        <f>J6/'D3 Gallon Forecast'!J6</f>
        <v>1</v>
      </c>
      <c r="AK6" s="4">
        <f>K6/'D3 Gallon Forecast'!K6</f>
        <v>1</v>
      </c>
      <c r="AL6" s="4"/>
      <c r="AM6" s="4"/>
      <c r="AN6" s="4"/>
      <c r="AO6" s="4"/>
      <c r="AP6" s="4"/>
      <c r="AQ6" s="4"/>
      <c r="AR6" s="4"/>
      <c r="AS6" s="4"/>
      <c r="AT6" s="4"/>
      <c r="AU6" s="4"/>
      <c r="AV6" s="4"/>
      <c r="AW6" s="4"/>
      <c r="AX6" s="4"/>
      <c r="AY6" s="4"/>
      <c r="AZ6" s="4"/>
      <c r="BA6" s="4"/>
      <c r="BB6" s="4"/>
      <c r="BC6" s="4"/>
      <c r="BD6" s="4"/>
      <c r="BE6" s="4"/>
      <c r="BF6" s="4"/>
      <c r="BG6" s="4"/>
      <c r="BH6" s="4"/>
      <c r="BI6" s="4"/>
      <c r="BK6" s="152">
        <v>291000000</v>
      </c>
      <c r="BL6" s="152">
        <f t="shared" si="1"/>
        <v>-37054595</v>
      </c>
      <c r="BN6" t="e">
        <f>B6/'D3 Gallon Forecast'!B6</f>
        <v>#DIV/0!</v>
      </c>
      <c r="BO6" t="e">
        <f>C6/'D3 Gallon Forecast'!C6</f>
        <v>#DIV/0!</v>
      </c>
      <c r="BP6" t="e">
        <f>D6/'D3 Gallon Forecast'!D6</f>
        <v>#DIV/0!</v>
      </c>
      <c r="BQ6" t="e">
        <f>E6/'D3 Gallon Forecast'!E6</f>
        <v>#DIV/0!</v>
      </c>
      <c r="BR6">
        <f>F6/'D3 Gallon Forecast'!F6</f>
        <v>1</v>
      </c>
      <c r="BS6">
        <f>G6/'D3 Gallon Forecast'!G6</f>
        <v>1</v>
      </c>
      <c r="BT6">
        <f>H6/'D3 Gallon Forecast'!H6</f>
        <v>1</v>
      </c>
      <c r="BU6">
        <f>I6/'D3 Gallon Forecast'!I6</f>
        <v>1</v>
      </c>
      <c r="BV6">
        <f>J6/'D3 Gallon Forecast'!J6</f>
        <v>1</v>
      </c>
    </row>
    <row r="7" spans="1:74">
      <c r="A7" s="2" t="s">
        <v>224</v>
      </c>
      <c r="B7" s="3">
        <f>B117</f>
        <v>0</v>
      </c>
      <c r="C7" s="3">
        <f t="shared" ref="C7:AG7" si="5">C117</f>
        <v>0</v>
      </c>
      <c r="D7" s="3">
        <f t="shared" si="5"/>
        <v>0</v>
      </c>
      <c r="E7" s="3">
        <f t="shared" si="5"/>
        <v>0</v>
      </c>
      <c r="F7" s="3">
        <f t="shared" si="5"/>
        <v>15208068</v>
      </c>
      <c r="G7" s="3">
        <f t="shared" si="5"/>
        <v>70454732</v>
      </c>
      <c r="H7" s="3">
        <f t="shared" si="5"/>
        <v>116415265</v>
      </c>
      <c r="I7" s="3">
        <f t="shared" si="5"/>
        <v>155484808</v>
      </c>
      <c r="J7" s="3">
        <f t="shared" si="5"/>
        <v>213192231</v>
      </c>
      <c r="K7" s="3">
        <f t="shared" si="5"/>
        <v>316914858</v>
      </c>
      <c r="L7" s="3">
        <f t="shared" si="5"/>
        <v>387989118</v>
      </c>
      <c r="M7" s="3">
        <f t="shared" si="5"/>
        <v>450719483</v>
      </c>
      <c r="N7" s="3">
        <f t="shared" si="5"/>
        <v>546094740</v>
      </c>
      <c r="O7" s="3">
        <f t="shared" si="5"/>
        <v>618273987</v>
      </c>
      <c r="P7" s="153">
        <f t="shared" si="5"/>
        <v>796148191</v>
      </c>
      <c r="Q7" s="3">
        <f t="shared" si="5"/>
        <v>438462762.90460408</v>
      </c>
      <c r="R7" s="3">
        <f t="shared" si="5"/>
        <v>603788635.63924885</v>
      </c>
      <c r="S7" s="3">
        <f t="shared" si="5"/>
        <v>604446563.14959896</v>
      </c>
      <c r="T7" s="3">
        <f t="shared" si="5"/>
        <v>611505325.15157568</v>
      </c>
      <c r="U7" s="3">
        <f t="shared" si="5"/>
        <v>675474455.72832429</v>
      </c>
      <c r="V7" s="3">
        <f t="shared" si="5"/>
        <v>775301289.20597219</v>
      </c>
      <c r="W7" s="3">
        <f t="shared" si="5"/>
        <v>838593915.09608209</v>
      </c>
      <c r="X7" s="3">
        <f t="shared" si="5"/>
        <v>924405320.59871376</v>
      </c>
      <c r="Y7" s="3">
        <f t="shared" si="5"/>
        <v>1061276082.7931564</v>
      </c>
      <c r="Z7" s="3">
        <f t="shared" si="5"/>
        <v>1192447477.6311316</v>
      </c>
      <c r="AA7" s="3">
        <f t="shared" si="5"/>
        <v>1353122436.1453283</v>
      </c>
      <c r="AB7" s="3">
        <f t="shared" si="5"/>
        <v>1547623939.3733158</v>
      </c>
      <c r="AC7" s="3">
        <f t="shared" si="5"/>
        <v>1757594210.4722273</v>
      </c>
      <c r="AD7" s="3">
        <f t="shared" si="5"/>
        <v>1982961223.4244819</v>
      </c>
      <c r="AE7" s="3">
        <f t="shared" si="5"/>
        <v>2237517079.6210251</v>
      </c>
      <c r="AF7" s="3">
        <f t="shared" si="5"/>
        <v>2516592363.4272799</v>
      </c>
      <c r="AG7" s="3">
        <f t="shared" si="5"/>
        <v>2813324133.4608636</v>
      </c>
      <c r="AH7" s="94"/>
      <c r="AI7" s="4"/>
      <c r="AJ7" s="4">
        <f>J7/'D3 Gallon Forecast'!J7</f>
        <v>1</v>
      </c>
      <c r="AK7" s="4">
        <f>K7/'D3 Gallon Forecast'!K7</f>
        <v>1</v>
      </c>
      <c r="AL7" s="4"/>
      <c r="AM7" s="4"/>
      <c r="AN7" s="4"/>
      <c r="AO7" s="4"/>
      <c r="AP7" s="4"/>
      <c r="AQ7" s="4"/>
      <c r="AR7" s="4"/>
      <c r="AS7" s="4"/>
      <c r="AT7" s="4"/>
      <c r="AU7" s="4"/>
      <c r="AV7" s="4"/>
      <c r="AW7" s="4"/>
      <c r="AX7" s="4"/>
      <c r="AY7" s="4"/>
      <c r="AZ7" s="4"/>
      <c r="BA7" s="4"/>
      <c r="BB7" s="4"/>
      <c r="BC7" s="4"/>
      <c r="BD7" s="4"/>
      <c r="BE7" s="4"/>
      <c r="BF7" s="4"/>
      <c r="BG7" s="4"/>
      <c r="BH7" s="4"/>
      <c r="BI7" s="4"/>
      <c r="BK7" s="152">
        <v>280607947.52575356</v>
      </c>
      <c r="BL7" s="152">
        <f t="shared" si="1"/>
        <v>-36306910.474246442</v>
      </c>
    </row>
    <row r="8" spans="1:74" ht="15.75" thickBot="1">
      <c r="A8" s="2" t="s">
        <v>225</v>
      </c>
      <c r="B8" s="3">
        <f>B133</f>
        <v>0</v>
      </c>
      <c r="C8" s="3">
        <f t="shared" ref="C8:AG8" si="6">C133</f>
        <v>0</v>
      </c>
      <c r="D8" s="3">
        <f t="shared" si="6"/>
        <v>0</v>
      </c>
      <c r="E8" s="3">
        <f t="shared" si="6"/>
        <v>0</v>
      </c>
      <c r="F8" s="3">
        <f t="shared" si="6"/>
        <v>0</v>
      </c>
      <c r="G8" s="3">
        <f t="shared" si="6"/>
        <v>11035534</v>
      </c>
      <c r="H8" s="3">
        <f t="shared" si="6"/>
        <v>167243</v>
      </c>
      <c r="I8" s="3">
        <f t="shared" si="6"/>
        <v>1615948</v>
      </c>
      <c r="J8" s="3">
        <f t="shared" si="6"/>
        <v>8318024</v>
      </c>
      <c r="K8" s="3">
        <f t="shared" si="6"/>
        <v>11139737</v>
      </c>
      <c r="L8" s="3">
        <f t="shared" si="6"/>
        <v>24287817</v>
      </c>
      <c r="M8" s="3">
        <f t="shared" si="6"/>
        <v>33003561</v>
      </c>
      <c r="N8" s="3">
        <f t="shared" si="6"/>
        <v>30609660</v>
      </c>
      <c r="O8" s="3">
        <f t="shared" si="6"/>
        <v>5378010</v>
      </c>
      <c r="P8" s="153">
        <f t="shared" si="6"/>
        <v>7406488</v>
      </c>
      <c r="Q8" s="3">
        <f t="shared" si="6"/>
        <v>15537237.095395923</v>
      </c>
      <c r="R8" s="3">
        <f t="shared" si="6"/>
        <v>19211364.360751152</v>
      </c>
      <c r="S8" s="3">
        <f t="shared" si="6"/>
        <v>15553436.850401044</v>
      </c>
      <c r="T8" s="3">
        <f t="shared" si="6"/>
        <v>12494674.848424315</v>
      </c>
      <c r="U8" s="3">
        <f t="shared" si="6"/>
        <v>15525544.271675706</v>
      </c>
      <c r="V8" s="3">
        <f t="shared" si="6"/>
        <v>20698710.794027805</v>
      </c>
      <c r="W8" s="3">
        <f t="shared" si="6"/>
        <v>21406084.903917909</v>
      </c>
      <c r="X8" s="3">
        <f t="shared" si="6"/>
        <v>22594679.401286244</v>
      </c>
      <c r="Y8" s="3">
        <f t="shared" si="6"/>
        <v>25723917.206843615</v>
      </c>
      <c r="Z8" s="3">
        <f t="shared" si="6"/>
        <v>29552522.368868351</v>
      </c>
      <c r="AA8" s="3">
        <f t="shared" si="6"/>
        <v>33877563.854671717</v>
      </c>
      <c r="AB8" s="3">
        <f t="shared" si="6"/>
        <v>38376060.626684189</v>
      </c>
      <c r="AC8" s="3">
        <f t="shared" si="6"/>
        <v>43405789.527772665</v>
      </c>
      <c r="AD8" s="3">
        <f t="shared" si="6"/>
        <v>49038776.575518131</v>
      </c>
      <c r="AE8" s="3">
        <f t="shared" si="6"/>
        <v>55482920.378974915</v>
      </c>
      <c r="AF8" s="3">
        <f t="shared" si="6"/>
        <v>62407636.572720051</v>
      </c>
      <c r="AG8" s="3">
        <f t="shared" si="6"/>
        <v>69675866.53913641</v>
      </c>
      <c r="AH8" s="94"/>
      <c r="AI8" s="4"/>
      <c r="AJ8" s="4">
        <f>J8/'D3 Gallon Forecast'!J8</f>
        <v>1</v>
      </c>
      <c r="AK8" s="4">
        <f>K8/'D3 Gallon Forecast'!K8</f>
        <v>1</v>
      </c>
      <c r="AL8" s="4"/>
      <c r="AM8" s="4"/>
      <c r="AN8" s="4"/>
      <c r="AO8" s="4"/>
      <c r="AP8" s="4"/>
      <c r="AQ8" s="4"/>
      <c r="AR8" s="4"/>
      <c r="AS8" s="4"/>
      <c r="AT8" s="4"/>
      <c r="AU8" s="4"/>
      <c r="AV8" s="4"/>
      <c r="AW8" s="4"/>
      <c r="AX8" s="4"/>
      <c r="AY8" s="4"/>
      <c r="AZ8" s="4"/>
      <c r="BA8" s="4"/>
      <c r="BB8" s="4"/>
      <c r="BC8" s="4"/>
      <c r="BD8" s="4"/>
      <c r="BE8" s="4"/>
      <c r="BF8" s="4"/>
      <c r="BG8" s="4"/>
      <c r="BH8" s="4"/>
      <c r="BI8" s="4"/>
      <c r="BK8" s="152">
        <v>10392052.474246442</v>
      </c>
      <c r="BL8" s="152">
        <f t="shared" si="1"/>
        <v>-747684.52575355768</v>
      </c>
    </row>
    <row r="9" spans="1:74">
      <c r="A9" s="97" t="s">
        <v>227</v>
      </c>
      <c r="B9" s="98">
        <f>B10+B11</f>
        <v>0</v>
      </c>
      <c r="C9" s="98">
        <f t="shared" ref="C9:AG9" si="7">C10+C11</f>
        <v>0</v>
      </c>
      <c r="D9" s="98">
        <f t="shared" si="7"/>
        <v>0</v>
      </c>
      <c r="E9" s="98">
        <f t="shared" si="7"/>
        <v>0</v>
      </c>
      <c r="F9" s="98">
        <f t="shared" si="7"/>
        <v>17379815</v>
      </c>
      <c r="G9" s="98">
        <f t="shared" si="7"/>
        <v>58368879</v>
      </c>
      <c r="H9" s="98">
        <f t="shared" si="7"/>
        <v>71974041</v>
      </c>
      <c r="I9" s="98">
        <f t="shared" si="7"/>
        <v>83476683</v>
      </c>
      <c r="J9" s="98">
        <f t="shared" si="7"/>
        <v>82679775</v>
      </c>
      <c r="K9" s="98">
        <f t="shared" si="7"/>
        <v>76252374</v>
      </c>
      <c r="L9" s="98">
        <f t="shared" si="7"/>
        <v>91544104</v>
      </c>
      <c r="M9" s="98">
        <f t="shared" si="7"/>
        <v>84106011</v>
      </c>
      <c r="N9" s="98">
        <f t="shared" si="7"/>
        <v>90517844</v>
      </c>
      <c r="O9" s="98">
        <f t="shared" si="7"/>
        <v>79286317</v>
      </c>
      <c r="P9" s="154">
        <f t="shared" si="7"/>
        <v>74345069</v>
      </c>
      <c r="Q9" s="98">
        <f t="shared" si="7"/>
        <v>80000000</v>
      </c>
      <c r="R9" s="98">
        <f t="shared" si="7"/>
        <v>30000000</v>
      </c>
      <c r="S9" s="98">
        <f t="shared" si="7"/>
        <v>24200000</v>
      </c>
      <c r="T9" s="98">
        <f t="shared" si="7"/>
        <v>62000000</v>
      </c>
      <c r="U9" s="98">
        <f t="shared" si="7"/>
        <v>61000000</v>
      </c>
      <c r="V9" s="98">
        <f t="shared" si="7"/>
        <v>66000000</v>
      </c>
      <c r="W9" s="98">
        <f t="shared" si="7"/>
        <v>61000000</v>
      </c>
      <c r="X9" s="98">
        <f t="shared" si="7"/>
        <v>71000000</v>
      </c>
      <c r="Y9" s="98">
        <f t="shared" si="7"/>
        <v>88000000</v>
      </c>
      <c r="Z9" s="98">
        <f t="shared" si="7"/>
        <v>97000000</v>
      </c>
      <c r="AA9" s="98">
        <f t="shared" si="7"/>
        <v>108000000</v>
      </c>
      <c r="AB9" s="98">
        <f t="shared" si="7"/>
        <v>122000000</v>
      </c>
      <c r="AC9" s="98">
        <f t="shared" si="7"/>
        <v>141000000</v>
      </c>
      <c r="AD9" s="98">
        <f t="shared" si="7"/>
        <v>160000000</v>
      </c>
      <c r="AE9" s="98">
        <f t="shared" si="7"/>
        <v>179000000</v>
      </c>
      <c r="AF9" s="98">
        <f t="shared" si="7"/>
        <v>201000000</v>
      </c>
      <c r="AG9" s="98">
        <f t="shared" si="7"/>
        <v>225000000</v>
      </c>
      <c r="AH9" s="94"/>
      <c r="AI9" s="4"/>
      <c r="AJ9" s="4">
        <f>J9/'D3 Gallon Forecast'!J9</f>
        <v>1</v>
      </c>
      <c r="AK9" s="4">
        <f>K9/'D3 Gallon Forecast'!K9</f>
        <v>1</v>
      </c>
      <c r="AL9" s="4"/>
      <c r="AM9" s="4"/>
      <c r="AN9" s="4"/>
      <c r="AO9" s="4"/>
      <c r="AP9" s="4"/>
      <c r="AQ9" s="4"/>
      <c r="AR9" s="4"/>
      <c r="AS9" s="4"/>
      <c r="AT9" s="4"/>
      <c r="AU9" s="4"/>
      <c r="AV9" s="4"/>
      <c r="AW9" s="4"/>
      <c r="AX9" s="4"/>
      <c r="AY9" s="4"/>
      <c r="AZ9" s="4"/>
      <c r="BA9" s="4"/>
      <c r="BB9" s="4"/>
      <c r="BC9" s="4"/>
      <c r="BD9" s="4"/>
      <c r="BE9" s="4"/>
      <c r="BF9" s="4"/>
      <c r="BG9" s="4"/>
      <c r="BH9" s="4"/>
      <c r="BI9" s="4"/>
      <c r="BK9" s="152">
        <v>154000000</v>
      </c>
      <c r="BL9" s="152">
        <f t="shared" si="1"/>
        <v>77747626</v>
      </c>
      <c r="BN9" t="e">
        <f>B9/'D3 Gallon Forecast'!B9</f>
        <v>#DIV/0!</v>
      </c>
      <c r="BO9" t="e">
        <f>C9/'D3 Gallon Forecast'!C9</f>
        <v>#DIV/0!</v>
      </c>
      <c r="BP9" t="e">
        <f>D9/'D3 Gallon Forecast'!D9</f>
        <v>#DIV/0!</v>
      </c>
      <c r="BQ9" t="e">
        <f>E9/'D3 Gallon Forecast'!E9</f>
        <v>#DIV/0!</v>
      </c>
      <c r="BR9">
        <f>F9/'D3 Gallon Forecast'!F9</f>
        <v>1</v>
      </c>
      <c r="BS9">
        <f>G9/'D3 Gallon Forecast'!G9</f>
        <v>1</v>
      </c>
      <c r="BT9">
        <f>H9/'D3 Gallon Forecast'!H9</f>
        <v>1</v>
      </c>
      <c r="BU9">
        <f>I9/'D3 Gallon Forecast'!I9</f>
        <v>1</v>
      </c>
      <c r="BV9">
        <f>J9/'D3 Gallon Forecast'!J9</f>
        <v>1</v>
      </c>
    </row>
    <row r="10" spans="1:74">
      <c r="A10" s="2" t="s">
        <v>224</v>
      </c>
      <c r="B10" s="3">
        <f>B165</f>
        <v>0</v>
      </c>
      <c r="C10" s="3">
        <f t="shared" ref="C10:AG10" si="8">C165</f>
        <v>0</v>
      </c>
      <c r="D10" s="3">
        <f t="shared" si="8"/>
        <v>0</v>
      </c>
      <c r="E10" s="3">
        <f t="shared" si="8"/>
        <v>0</v>
      </c>
      <c r="F10" s="3">
        <f t="shared" si="8"/>
        <v>17379815</v>
      </c>
      <c r="G10" s="3">
        <f t="shared" si="8"/>
        <v>44573469</v>
      </c>
      <c r="H10" s="3">
        <f t="shared" si="8"/>
        <v>51224648</v>
      </c>
      <c r="I10" s="3">
        <f t="shared" si="8"/>
        <v>52723880</v>
      </c>
      <c r="J10" s="3">
        <f t="shared" si="8"/>
        <v>55174291</v>
      </c>
      <c r="K10" s="3">
        <f t="shared" si="8"/>
        <v>51808457</v>
      </c>
      <c r="L10" s="3">
        <f t="shared" si="8"/>
        <v>80944361</v>
      </c>
      <c r="M10" s="3">
        <f t="shared" si="8"/>
        <v>80987739</v>
      </c>
      <c r="N10" s="3">
        <f t="shared" si="8"/>
        <v>84073285</v>
      </c>
      <c r="O10" s="3">
        <f t="shared" si="8"/>
        <v>45297748</v>
      </c>
      <c r="P10" s="153">
        <f t="shared" si="8"/>
        <v>39508677</v>
      </c>
      <c r="Q10" s="3">
        <f t="shared" si="8"/>
        <v>40749035.367555067</v>
      </c>
      <c r="R10" s="3">
        <f t="shared" si="8"/>
        <v>15940782.686983284</v>
      </c>
      <c r="S10" s="3">
        <f t="shared" si="8"/>
        <v>15351174.053260034</v>
      </c>
      <c r="T10" s="3">
        <f t="shared" si="8"/>
        <v>33709250.406970248</v>
      </c>
      <c r="U10" s="3">
        <f t="shared" si="8"/>
        <v>32751637.733234335</v>
      </c>
      <c r="V10" s="3">
        <f t="shared" si="8"/>
        <v>35540917.948554419</v>
      </c>
      <c r="W10" s="3">
        <f t="shared" si="8"/>
        <v>33433057.28852443</v>
      </c>
      <c r="X10" s="3">
        <f t="shared" si="8"/>
        <v>39043795.250067778</v>
      </c>
      <c r="Y10" s="3">
        <f t="shared" si="8"/>
        <v>47832155.636158586</v>
      </c>
      <c r="Z10" s="3">
        <f t="shared" si="8"/>
        <v>52721474.622721426</v>
      </c>
      <c r="AA10" s="3">
        <f t="shared" si="8"/>
        <v>58813867.573292106</v>
      </c>
      <c r="AB10" s="3">
        <f t="shared" si="8"/>
        <v>66552966.459372349</v>
      </c>
      <c r="AC10" s="3">
        <f t="shared" si="8"/>
        <v>76872346.904047996</v>
      </c>
      <c r="AD10" s="3">
        <f t="shared" si="8"/>
        <v>87134621.926789194</v>
      </c>
      <c r="AE10" s="3">
        <f t="shared" si="8"/>
        <v>97508048.837633654</v>
      </c>
      <c r="AF10" s="3">
        <f t="shared" si="8"/>
        <v>109525707.31257492</v>
      </c>
      <c r="AG10" s="3">
        <f t="shared" si="8"/>
        <v>122613425.37247083</v>
      </c>
      <c r="AH10" s="94"/>
      <c r="AI10" s="4"/>
      <c r="AJ10" s="4">
        <f>J10/'D3 Gallon Forecast'!J10</f>
        <v>1</v>
      </c>
      <c r="AK10" s="4">
        <f>K10/'D3 Gallon Forecast'!K10</f>
        <v>1</v>
      </c>
      <c r="AL10" s="4"/>
      <c r="AM10" s="4"/>
      <c r="AN10" s="4"/>
      <c r="AO10" s="4"/>
      <c r="AP10" s="4"/>
      <c r="AQ10" s="4"/>
      <c r="AR10" s="4"/>
      <c r="AS10" s="4"/>
      <c r="AT10" s="4"/>
      <c r="AU10" s="4"/>
      <c r="AV10" s="4"/>
      <c r="AW10" s="4"/>
      <c r="AX10" s="4"/>
      <c r="AY10" s="4"/>
      <c r="AZ10" s="4"/>
      <c r="BA10" s="4"/>
      <c r="BB10" s="4"/>
      <c r="BC10" s="4"/>
      <c r="BD10" s="4"/>
      <c r="BE10" s="4"/>
      <c r="BF10" s="4"/>
      <c r="BG10" s="4"/>
      <c r="BH10" s="4"/>
      <c r="BI10" s="4"/>
      <c r="BK10" s="152">
        <v>108467590.78420341</v>
      </c>
      <c r="BL10" s="152">
        <f t="shared" si="1"/>
        <v>56659133.78420341</v>
      </c>
    </row>
    <row r="11" spans="1:74" ht="15.75" thickBot="1">
      <c r="A11" s="2" t="s">
        <v>225</v>
      </c>
      <c r="B11" s="3">
        <f>B181</f>
        <v>0</v>
      </c>
      <c r="C11" s="3">
        <f t="shared" ref="C11:AG11" si="9">C181</f>
        <v>0</v>
      </c>
      <c r="D11" s="3">
        <f t="shared" si="9"/>
        <v>0</v>
      </c>
      <c r="E11" s="3">
        <f t="shared" si="9"/>
        <v>0</v>
      </c>
      <c r="F11" s="3">
        <f t="shared" si="9"/>
        <v>0</v>
      </c>
      <c r="G11" s="3">
        <f t="shared" si="9"/>
        <v>13795410</v>
      </c>
      <c r="H11" s="3">
        <f t="shared" si="9"/>
        <v>20749393</v>
      </c>
      <c r="I11" s="3">
        <f t="shared" si="9"/>
        <v>30752803</v>
      </c>
      <c r="J11" s="3">
        <f t="shared" si="9"/>
        <v>27505484</v>
      </c>
      <c r="K11" s="3">
        <f t="shared" si="9"/>
        <v>24443917</v>
      </c>
      <c r="L11" s="3">
        <f t="shared" si="9"/>
        <v>10599743</v>
      </c>
      <c r="M11" s="3">
        <f t="shared" si="9"/>
        <v>3118272</v>
      </c>
      <c r="N11" s="3">
        <f t="shared" si="9"/>
        <v>6444559</v>
      </c>
      <c r="O11" s="3">
        <f t="shared" si="9"/>
        <v>33988569</v>
      </c>
      <c r="P11" s="153">
        <f t="shared" si="9"/>
        <v>34836392</v>
      </c>
      <c r="Q11" s="3">
        <f t="shared" si="9"/>
        <v>39250964.632444933</v>
      </c>
      <c r="R11" s="3">
        <f t="shared" si="9"/>
        <v>14059217.313016716</v>
      </c>
      <c r="S11" s="3">
        <f t="shared" si="9"/>
        <v>8848825.946739966</v>
      </c>
      <c r="T11" s="3">
        <f t="shared" si="9"/>
        <v>28290749.593029752</v>
      </c>
      <c r="U11" s="3">
        <f t="shared" si="9"/>
        <v>28248362.266765665</v>
      </c>
      <c r="V11" s="3">
        <f t="shared" si="9"/>
        <v>30459082.051445581</v>
      </c>
      <c r="W11" s="3">
        <f t="shared" si="9"/>
        <v>27566942.71147557</v>
      </c>
      <c r="X11" s="3">
        <f t="shared" si="9"/>
        <v>31956204.749932222</v>
      </c>
      <c r="Y11" s="3">
        <f t="shared" si="9"/>
        <v>40167844.363841414</v>
      </c>
      <c r="Z11" s="3">
        <f t="shared" si="9"/>
        <v>44278525.377278574</v>
      </c>
      <c r="AA11" s="3">
        <f t="shared" si="9"/>
        <v>49186132.426707894</v>
      </c>
      <c r="AB11" s="3">
        <f t="shared" si="9"/>
        <v>55447033.540627651</v>
      </c>
      <c r="AC11" s="3">
        <f t="shared" si="9"/>
        <v>64127653.095952004</v>
      </c>
      <c r="AD11" s="3">
        <f t="shared" si="9"/>
        <v>72865378.073210806</v>
      </c>
      <c r="AE11" s="3">
        <f t="shared" si="9"/>
        <v>81491951.162366346</v>
      </c>
      <c r="AF11" s="3">
        <f t="shared" si="9"/>
        <v>91474292.687425077</v>
      </c>
      <c r="AG11" s="3">
        <f t="shared" si="9"/>
        <v>102386574.62752917</v>
      </c>
      <c r="AH11" s="94"/>
      <c r="AI11" s="4"/>
      <c r="AJ11" s="4">
        <f>J11/'D3 Gallon Forecast'!J11</f>
        <v>1</v>
      </c>
      <c r="AK11" s="4">
        <f>K11/'D3 Gallon Forecast'!K11</f>
        <v>1</v>
      </c>
      <c r="AL11" s="4"/>
      <c r="AM11" s="4"/>
      <c r="AN11" s="4"/>
      <c r="AO11" s="4"/>
      <c r="AP11" s="4"/>
      <c r="AQ11" s="4"/>
      <c r="AR11" s="4"/>
      <c r="AS11" s="4"/>
      <c r="AT11" s="4"/>
      <c r="AU11" s="4"/>
      <c r="AV11" s="4"/>
      <c r="AW11" s="4"/>
      <c r="AX11" s="4"/>
      <c r="AY11" s="4"/>
      <c r="AZ11" s="4"/>
      <c r="BA11" s="4"/>
      <c r="BB11" s="4"/>
      <c r="BC11" s="4"/>
      <c r="BD11" s="4"/>
      <c r="BE11" s="4"/>
      <c r="BF11" s="4"/>
      <c r="BG11" s="4"/>
      <c r="BH11" s="4"/>
      <c r="BI11" s="4"/>
      <c r="BK11" s="152">
        <v>45532409.21579659</v>
      </c>
      <c r="BL11" s="152">
        <f t="shared" si="1"/>
        <v>21088492.21579659</v>
      </c>
    </row>
    <row r="12" spans="1:74">
      <c r="A12" s="97" t="s">
        <v>228</v>
      </c>
      <c r="B12" s="98">
        <f>B13+B14</f>
        <v>0</v>
      </c>
      <c r="C12" s="98">
        <f t="shared" ref="C12:AG12" si="10">C13+C14</f>
        <v>0</v>
      </c>
      <c r="D12" s="98">
        <f t="shared" si="10"/>
        <v>0</v>
      </c>
      <c r="E12" s="98">
        <f t="shared" si="10"/>
        <v>422740</v>
      </c>
      <c r="F12" s="98">
        <f t="shared" si="10"/>
        <v>44168</v>
      </c>
      <c r="G12" s="98">
        <f t="shared" si="10"/>
        <v>0</v>
      </c>
      <c r="H12" s="98">
        <f t="shared" si="10"/>
        <v>0</v>
      </c>
      <c r="I12" s="98">
        <f t="shared" si="10"/>
        <v>0</v>
      </c>
      <c r="J12" s="98">
        <f t="shared" si="10"/>
        <v>0</v>
      </c>
      <c r="K12" s="98">
        <f t="shared" si="10"/>
        <v>0</v>
      </c>
      <c r="L12" s="98">
        <f t="shared" si="10"/>
        <v>0</v>
      </c>
      <c r="M12" s="98">
        <f t="shared" si="10"/>
        <v>0</v>
      </c>
      <c r="N12" s="98">
        <f t="shared" si="10"/>
        <v>0</v>
      </c>
      <c r="O12" s="98">
        <f t="shared" si="10"/>
        <v>0</v>
      </c>
      <c r="P12" s="154">
        <f t="shared" si="10"/>
        <v>0</v>
      </c>
      <c r="Q12" s="98">
        <f t="shared" si="10"/>
        <v>0</v>
      </c>
      <c r="R12" s="98">
        <f t="shared" si="10"/>
        <v>0</v>
      </c>
      <c r="S12" s="98">
        <f t="shared" si="10"/>
        <v>0</v>
      </c>
      <c r="T12" s="98">
        <f t="shared" si="10"/>
        <v>0</v>
      </c>
      <c r="U12" s="98">
        <f t="shared" si="10"/>
        <v>0</v>
      </c>
      <c r="V12" s="98">
        <f t="shared" si="10"/>
        <v>0</v>
      </c>
      <c r="W12" s="98">
        <f t="shared" si="10"/>
        <v>0</v>
      </c>
      <c r="X12" s="98">
        <f t="shared" si="10"/>
        <v>0</v>
      </c>
      <c r="Y12" s="98">
        <f t="shared" si="10"/>
        <v>0</v>
      </c>
      <c r="Z12" s="98">
        <f t="shared" si="10"/>
        <v>0</v>
      </c>
      <c r="AA12" s="98">
        <f t="shared" si="10"/>
        <v>0</v>
      </c>
      <c r="AB12" s="98">
        <f t="shared" si="10"/>
        <v>0</v>
      </c>
      <c r="AC12" s="98">
        <f t="shared" si="10"/>
        <v>0</v>
      </c>
      <c r="AD12" s="98">
        <f t="shared" si="10"/>
        <v>0</v>
      </c>
      <c r="AE12" s="98">
        <f t="shared" si="10"/>
        <v>0</v>
      </c>
      <c r="AF12" s="98">
        <f t="shared" si="10"/>
        <v>0</v>
      </c>
      <c r="AG12" s="98">
        <f t="shared" si="10"/>
        <v>0</v>
      </c>
      <c r="AH12" s="94"/>
      <c r="AI12" s="4"/>
      <c r="AJ12" s="4" t="e">
        <f>J12/'D3 Gallon Forecast'!J12</f>
        <v>#DIV/0!</v>
      </c>
      <c r="AK12" s="4" t="e">
        <f>K12/'D3 Gallon Forecast'!K12</f>
        <v>#DIV/0!</v>
      </c>
      <c r="AL12" s="4"/>
      <c r="AM12" s="4"/>
      <c r="AN12" s="4"/>
      <c r="AO12" s="4"/>
      <c r="AP12" s="4"/>
      <c r="AQ12" s="4"/>
      <c r="AR12" s="4"/>
      <c r="AS12" s="4"/>
      <c r="AT12" s="4"/>
      <c r="AU12" s="4"/>
      <c r="AV12" s="4"/>
      <c r="AW12" s="4"/>
      <c r="AX12" s="4"/>
      <c r="AY12" s="4"/>
      <c r="AZ12" s="4"/>
      <c r="BA12" s="4"/>
      <c r="BB12" s="4"/>
      <c r="BC12" s="4"/>
      <c r="BD12" s="4"/>
      <c r="BE12" s="4"/>
      <c r="BF12" s="4"/>
      <c r="BG12" s="4"/>
      <c r="BH12" s="4"/>
      <c r="BI12" s="4"/>
      <c r="BK12" s="152">
        <v>0</v>
      </c>
      <c r="BL12" s="152">
        <f t="shared" si="1"/>
        <v>0</v>
      </c>
      <c r="BN12" t="e">
        <f>B12/'D3 Gallon Forecast'!B12</f>
        <v>#DIV/0!</v>
      </c>
      <c r="BO12" t="e">
        <f>C12/'D3 Gallon Forecast'!C12</f>
        <v>#DIV/0!</v>
      </c>
      <c r="BP12" t="e">
        <f>D12/'D3 Gallon Forecast'!D12</f>
        <v>#DIV/0!</v>
      </c>
      <c r="BQ12">
        <f>E12/'D3 Gallon Forecast'!E12</f>
        <v>1.500040806333143</v>
      </c>
      <c r="BR12">
        <f>F12/'D3 Gallon Forecast'!F12</f>
        <v>1.5000169808116828</v>
      </c>
      <c r="BS12" t="e">
        <f>G12/'D3 Gallon Forecast'!G12</f>
        <v>#DIV/0!</v>
      </c>
      <c r="BT12" t="e">
        <f>H12/'D3 Gallon Forecast'!H12</f>
        <v>#DIV/0!</v>
      </c>
      <c r="BU12" t="e">
        <f>I12/'D3 Gallon Forecast'!I12</f>
        <v>#DIV/0!</v>
      </c>
      <c r="BV12" t="e">
        <f>J12/'D3 Gallon Forecast'!J12</f>
        <v>#DIV/0!</v>
      </c>
    </row>
    <row r="13" spans="1:74">
      <c r="A13" s="2" t="s">
        <v>224</v>
      </c>
      <c r="B13" s="3">
        <f>B213</f>
        <v>0</v>
      </c>
      <c r="C13" s="3">
        <f t="shared" ref="C13:AG13" si="11">C213</f>
        <v>0</v>
      </c>
      <c r="D13" s="3">
        <f t="shared" si="11"/>
        <v>0</v>
      </c>
      <c r="E13" s="3">
        <f t="shared" si="11"/>
        <v>422740</v>
      </c>
      <c r="F13" s="3">
        <f t="shared" si="11"/>
        <v>44168</v>
      </c>
      <c r="G13" s="3">
        <f t="shared" si="11"/>
        <v>0</v>
      </c>
      <c r="H13" s="3">
        <f t="shared" si="11"/>
        <v>0</v>
      </c>
      <c r="I13" s="3">
        <f t="shared" si="11"/>
        <v>0</v>
      </c>
      <c r="J13" s="3">
        <f t="shared" si="11"/>
        <v>0</v>
      </c>
      <c r="K13" s="3">
        <f t="shared" si="11"/>
        <v>0</v>
      </c>
      <c r="L13" s="3">
        <f t="shared" si="11"/>
        <v>0</v>
      </c>
      <c r="M13" s="3">
        <f t="shared" si="11"/>
        <v>0</v>
      </c>
      <c r="N13" s="3">
        <f t="shared" si="11"/>
        <v>0</v>
      </c>
      <c r="O13" s="3">
        <f t="shared" si="11"/>
        <v>0</v>
      </c>
      <c r="P13" s="153">
        <f t="shared" si="11"/>
        <v>0</v>
      </c>
      <c r="Q13" s="3">
        <f t="shared" si="11"/>
        <v>0</v>
      </c>
      <c r="R13" s="3">
        <f t="shared" si="11"/>
        <v>0</v>
      </c>
      <c r="S13" s="3">
        <f t="shared" si="11"/>
        <v>0</v>
      </c>
      <c r="T13" s="3">
        <f t="shared" si="11"/>
        <v>0</v>
      </c>
      <c r="U13" s="3">
        <f t="shared" si="11"/>
        <v>0</v>
      </c>
      <c r="V13" s="3">
        <f t="shared" si="11"/>
        <v>0</v>
      </c>
      <c r="W13" s="3">
        <f t="shared" si="11"/>
        <v>0</v>
      </c>
      <c r="X13" s="3">
        <f t="shared" si="11"/>
        <v>0</v>
      </c>
      <c r="Y13" s="3">
        <f t="shared" si="11"/>
        <v>0</v>
      </c>
      <c r="Z13" s="3">
        <f t="shared" si="11"/>
        <v>0</v>
      </c>
      <c r="AA13" s="3">
        <f t="shared" si="11"/>
        <v>0</v>
      </c>
      <c r="AB13" s="3">
        <f t="shared" si="11"/>
        <v>0</v>
      </c>
      <c r="AC13" s="3">
        <f t="shared" si="11"/>
        <v>0</v>
      </c>
      <c r="AD13" s="3">
        <f t="shared" si="11"/>
        <v>0</v>
      </c>
      <c r="AE13" s="3">
        <f t="shared" si="11"/>
        <v>0</v>
      </c>
      <c r="AF13" s="3">
        <f t="shared" si="11"/>
        <v>0</v>
      </c>
      <c r="AG13" s="3">
        <f t="shared" si="11"/>
        <v>0</v>
      </c>
      <c r="AH13" s="94"/>
      <c r="AI13" s="4"/>
      <c r="AJ13" s="4" t="e">
        <f>J13/'D3 Gallon Forecast'!J13</f>
        <v>#DIV/0!</v>
      </c>
      <c r="AK13" s="4" t="e">
        <f>K13/'D3 Gallon Forecast'!K13</f>
        <v>#DIV/0!</v>
      </c>
      <c r="AL13" s="4"/>
      <c r="AM13" s="4"/>
      <c r="AN13" s="4"/>
      <c r="AO13" s="4"/>
      <c r="AP13" s="4"/>
      <c r="AQ13" s="4"/>
      <c r="AR13" s="4"/>
      <c r="AS13" s="4"/>
      <c r="AT13" s="4"/>
      <c r="AU13" s="4"/>
      <c r="AV13" s="4"/>
      <c r="AW13" s="4"/>
      <c r="AX13" s="4"/>
      <c r="AY13" s="4"/>
      <c r="AZ13" s="4"/>
      <c r="BA13" s="4"/>
      <c r="BB13" s="4"/>
      <c r="BC13" s="4"/>
      <c r="BD13" s="4"/>
      <c r="BE13" s="4"/>
      <c r="BF13" s="4"/>
      <c r="BG13" s="4"/>
      <c r="BH13" s="4"/>
      <c r="BI13" s="4"/>
      <c r="BK13" s="152">
        <v>0</v>
      </c>
      <c r="BL13" s="152">
        <f t="shared" si="1"/>
        <v>0</v>
      </c>
    </row>
    <row r="14" spans="1:74" ht="15.75" thickBot="1">
      <c r="A14" s="2" t="s">
        <v>225</v>
      </c>
      <c r="B14" s="3">
        <f>B229</f>
        <v>0</v>
      </c>
      <c r="C14" s="3">
        <f t="shared" ref="C14:AG14" si="12">C229</f>
        <v>0</v>
      </c>
      <c r="D14" s="3">
        <f t="shared" si="12"/>
        <v>0</v>
      </c>
      <c r="E14" s="3">
        <f t="shared" si="12"/>
        <v>0</v>
      </c>
      <c r="F14" s="3">
        <f t="shared" si="12"/>
        <v>0</v>
      </c>
      <c r="G14" s="3">
        <f t="shared" si="12"/>
        <v>0</v>
      </c>
      <c r="H14" s="3">
        <f t="shared" si="12"/>
        <v>0</v>
      </c>
      <c r="I14" s="3">
        <f t="shared" si="12"/>
        <v>0</v>
      </c>
      <c r="J14" s="3">
        <f t="shared" si="12"/>
        <v>0</v>
      </c>
      <c r="K14" s="3">
        <f t="shared" si="12"/>
        <v>0</v>
      </c>
      <c r="L14" s="3">
        <f t="shared" si="12"/>
        <v>0</v>
      </c>
      <c r="M14" s="3">
        <f t="shared" si="12"/>
        <v>0</v>
      </c>
      <c r="N14" s="3">
        <f t="shared" si="12"/>
        <v>0</v>
      </c>
      <c r="O14" s="3">
        <f t="shared" si="12"/>
        <v>0</v>
      </c>
      <c r="P14" s="153">
        <f t="shared" si="12"/>
        <v>0</v>
      </c>
      <c r="Q14" s="3">
        <f t="shared" si="12"/>
        <v>0</v>
      </c>
      <c r="R14" s="3">
        <f t="shared" si="12"/>
        <v>0</v>
      </c>
      <c r="S14" s="3">
        <f t="shared" si="12"/>
        <v>0</v>
      </c>
      <c r="T14" s="3">
        <f t="shared" si="12"/>
        <v>0</v>
      </c>
      <c r="U14" s="3">
        <f t="shared" si="12"/>
        <v>0</v>
      </c>
      <c r="V14" s="3">
        <f t="shared" si="12"/>
        <v>0</v>
      </c>
      <c r="W14" s="3">
        <f t="shared" si="12"/>
        <v>0</v>
      </c>
      <c r="X14" s="3">
        <f t="shared" si="12"/>
        <v>0</v>
      </c>
      <c r="Y14" s="3">
        <f t="shared" si="12"/>
        <v>0</v>
      </c>
      <c r="Z14" s="3">
        <f t="shared" si="12"/>
        <v>0</v>
      </c>
      <c r="AA14" s="3">
        <f t="shared" si="12"/>
        <v>0</v>
      </c>
      <c r="AB14" s="3">
        <f t="shared" si="12"/>
        <v>0</v>
      </c>
      <c r="AC14" s="3">
        <f t="shared" si="12"/>
        <v>0</v>
      </c>
      <c r="AD14" s="3">
        <f t="shared" si="12"/>
        <v>0</v>
      </c>
      <c r="AE14" s="3">
        <f t="shared" si="12"/>
        <v>0</v>
      </c>
      <c r="AF14" s="3">
        <f t="shared" si="12"/>
        <v>0</v>
      </c>
      <c r="AG14" s="3">
        <f t="shared" si="12"/>
        <v>0</v>
      </c>
      <c r="AH14" s="94"/>
      <c r="AI14" s="4"/>
      <c r="AJ14" s="4" t="e">
        <f>J14/'D3 Gallon Forecast'!J14</f>
        <v>#DIV/0!</v>
      </c>
      <c r="AK14" s="4" t="e">
        <f>K14/'D3 Gallon Forecast'!K14</f>
        <v>#DIV/0!</v>
      </c>
      <c r="AL14" s="4"/>
      <c r="AM14" s="4"/>
      <c r="AN14" s="4"/>
      <c r="AO14" s="4"/>
      <c r="AP14" s="4"/>
      <c r="AQ14" s="4"/>
      <c r="AR14" s="4"/>
      <c r="AS14" s="4"/>
      <c r="AT14" s="4"/>
      <c r="AU14" s="4"/>
      <c r="AV14" s="4"/>
      <c r="AW14" s="4"/>
      <c r="AX14" s="4"/>
      <c r="AY14" s="4"/>
      <c r="AZ14" s="4"/>
      <c r="BA14" s="4"/>
      <c r="BB14" s="4"/>
      <c r="BC14" s="4"/>
      <c r="BD14" s="4"/>
      <c r="BE14" s="4"/>
      <c r="BF14" s="4"/>
      <c r="BG14" s="4"/>
      <c r="BH14" s="4"/>
      <c r="BI14" s="4"/>
      <c r="BK14" s="152">
        <v>0</v>
      </c>
      <c r="BL14" s="152">
        <f t="shared" si="1"/>
        <v>0</v>
      </c>
    </row>
    <row r="15" spans="1:74">
      <c r="A15" s="97" t="s">
        <v>268</v>
      </c>
      <c r="B15" s="98">
        <f>B12+B9+B6+B3</f>
        <v>0</v>
      </c>
      <c r="C15" s="98">
        <f t="shared" ref="C15:J15" si="13">C12+C9+C6+C3</f>
        <v>0</v>
      </c>
      <c r="D15" s="98">
        <f t="shared" si="13"/>
        <v>20069</v>
      </c>
      <c r="E15" s="98">
        <f t="shared" si="13"/>
        <v>422740</v>
      </c>
      <c r="F15" s="98">
        <f t="shared" si="13"/>
        <v>33360560</v>
      </c>
      <c r="G15" s="98">
        <f t="shared" si="13"/>
        <v>142040241</v>
      </c>
      <c r="H15" s="98">
        <f t="shared" si="13"/>
        <v>192361795</v>
      </c>
      <c r="I15" s="98">
        <f t="shared" si="13"/>
        <v>250624473</v>
      </c>
      <c r="J15" s="98">
        <f t="shared" si="13"/>
        <v>312348198</v>
      </c>
      <c r="K15" s="98">
        <f>K12+K9+K6+K3</f>
        <v>414122810</v>
      </c>
      <c r="L15" s="98">
        <f>L12+L9+L6+L3</f>
        <v>505872211</v>
      </c>
      <c r="M15" s="98">
        <f>M12+M9+M6+M3</f>
        <v>568414154</v>
      </c>
      <c r="N15" s="98">
        <f>N12+N9+N6+N3</f>
        <v>668618747</v>
      </c>
      <c r="O15" s="98">
        <f>O12+O9+O6+O3</f>
        <v>704232859</v>
      </c>
      <c r="P15" s="154">
        <f t="shared" ref="P15:AG15" si="14">P12+P9+P6+P3</f>
        <v>921163090</v>
      </c>
      <c r="Q15" s="98">
        <f t="shared" si="14"/>
        <v>642893076.81687927</v>
      </c>
      <c r="R15" s="98">
        <f t="shared" si="14"/>
        <v>772558826.29679656</v>
      </c>
      <c r="S15" s="98">
        <f t="shared" si="14"/>
        <v>775384939.27208924</v>
      </c>
      <c r="T15" s="98">
        <f t="shared" si="14"/>
        <v>822873120.59585667</v>
      </c>
      <c r="U15" s="98">
        <f t="shared" si="14"/>
        <v>889247611.70624554</v>
      </c>
      <c r="V15" s="98">
        <f t="shared" si="14"/>
        <v>1002672360.7283525</v>
      </c>
      <c r="W15" s="98">
        <f t="shared" si="14"/>
        <v>1066474459.0683435</v>
      </c>
      <c r="X15" s="98">
        <f t="shared" si="14"/>
        <v>1177139741.306216</v>
      </c>
      <c r="Y15" s="98">
        <f t="shared" si="14"/>
        <v>1357409485.3158479</v>
      </c>
      <c r="Z15" s="98">
        <f t="shared" si="14"/>
        <v>1531826069.9641216</v>
      </c>
      <c r="AA15" s="98">
        <f t="shared" si="14"/>
        <v>1731877156.6922889</v>
      </c>
      <c r="AB15" s="98">
        <f t="shared" si="14"/>
        <v>1978592899.6411026</v>
      </c>
      <c r="AC15" s="98">
        <f t="shared" si="14"/>
        <v>2248581266.9977798</v>
      </c>
      <c r="AD15" s="98">
        <f t="shared" si="14"/>
        <v>2538390493.6344814</v>
      </c>
      <c r="AE15" s="98">
        <f t="shared" si="14"/>
        <v>2864803464.6798182</v>
      </c>
      <c r="AF15" s="98">
        <f t="shared" si="14"/>
        <v>3220144119.3196259</v>
      </c>
      <c r="AG15" s="98">
        <f t="shared" si="14"/>
        <v>3599899839.9662867</v>
      </c>
      <c r="AH15" s="94"/>
      <c r="AI15" s="4"/>
      <c r="AJ15" s="4">
        <f>J15/'D3 Gallon Forecast'!J15</f>
        <v>1</v>
      </c>
      <c r="AK15" s="4">
        <f>K15/'D3 Gallon Forecast'!K15</f>
        <v>1</v>
      </c>
      <c r="AL15" s="4"/>
      <c r="AM15" s="4"/>
      <c r="AN15" s="4"/>
      <c r="AO15" s="4"/>
      <c r="AP15" s="4"/>
      <c r="AQ15" s="4"/>
      <c r="AR15" s="4"/>
      <c r="AS15" s="4"/>
      <c r="AT15" s="4"/>
      <c r="AU15" s="4"/>
      <c r="AV15" s="4"/>
      <c r="AW15" s="4"/>
      <c r="AX15" s="4"/>
      <c r="AY15" s="4"/>
      <c r="AZ15" s="4"/>
      <c r="BA15" s="4"/>
      <c r="BB15" s="4"/>
      <c r="BC15" s="4"/>
      <c r="BD15" s="4"/>
      <c r="BE15" s="4"/>
      <c r="BF15" s="4"/>
      <c r="BG15" s="4"/>
      <c r="BH15" s="4"/>
      <c r="BI15" s="4"/>
      <c r="BK15" s="152">
        <v>457111300</v>
      </c>
      <c r="BL15" s="152">
        <f t="shared" si="1"/>
        <v>42988490</v>
      </c>
    </row>
    <row r="17" spans="1:38" ht="15.75" thickBot="1">
      <c r="A17" s="80" t="s">
        <v>230</v>
      </c>
      <c r="B17" s="80">
        <v>2010</v>
      </c>
      <c r="C17" s="80">
        <v>2011</v>
      </c>
      <c r="D17" s="80">
        <v>2012</v>
      </c>
      <c r="E17" s="80">
        <v>2013</v>
      </c>
      <c r="F17" s="80">
        <v>2014</v>
      </c>
      <c r="G17" s="80">
        <v>2015</v>
      </c>
      <c r="H17" s="80">
        <v>2016</v>
      </c>
      <c r="I17" s="80">
        <v>2017</v>
      </c>
      <c r="J17" s="80">
        <v>2018</v>
      </c>
      <c r="K17" s="80">
        <v>2019</v>
      </c>
      <c r="L17" s="80">
        <v>2020</v>
      </c>
      <c r="M17" s="80">
        <v>2021</v>
      </c>
      <c r="N17" s="80">
        <v>2022</v>
      </c>
      <c r="O17" s="80">
        <v>2023</v>
      </c>
      <c r="P17" s="80">
        <v>2024</v>
      </c>
      <c r="Q17" s="80">
        <v>2025</v>
      </c>
      <c r="R17" s="80">
        <v>2026</v>
      </c>
      <c r="S17" s="80">
        <v>2027</v>
      </c>
      <c r="T17" s="80">
        <v>2028</v>
      </c>
      <c r="U17" s="80">
        <v>2029</v>
      </c>
      <c r="V17" s="80">
        <v>2030</v>
      </c>
      <c r="W17" s="80">
        <v>2031</v>
      </c>
      <c r="X17" s="80">
        <v>2032</v>
      </c>
      <c r="Y17" s="80">
        <v>2033</v>
      </c>
      <c r="Z17" s="80">
        <v>2034</v>
      </c>
      <c r="AA17" s="80">
        <v>2035</v>
      </c>
      <c r="AB17" s="80">
        <v>2036</v>
      </c>
      <c r="AC17" s="80">
        <v>2037</v>
      </c>
      <c r="AD17" s="80">
        <v>2038</v>
      </c>
      <c r="AE17" s="80">
        <v>2039</v>
      </c>
      <c r="AF17" s="80">
        <v>2040</v>
      </c>
      <c r="AG17" s="80">
        <v>2041</v>
      </c>
      <c r="AH17" s="94"/>
      <c r="AI17" s="94"/>
      <c r="AJ17" s="94"/>
      <c r="AK17" s="94"/>
      <c r="AL17" s="94"/>
    </row>
    <row r="18" spans="1:38">
      <c r="A18" s="103" t="s">
        <v>269</v>
      </c>
      <c r="B18" s="104"/>
      <c r="C18" s="104">
        <f>'[1]RVO Forecast'!B$14</f>
        <v>0</v>
      </c>
      <c r="D18" s="104">
        <f>'[1]RVO Forecast'!C$14</f>
        <v>0</v>
      </c>
      <c r="E18" s="104">
        <f>'[1]RVO Forecast'!D$14</f>
        <v>800000</v>
      </c>
      <c r="F18" s="104">
        <f>'[1]RVO Forecast'!E$14</f>
        <v>33000000</v>
      </c>
      <c r="G18" s="104">
        <f>'[1]RVO Forecast'!F$14</f>
        <v>123000000</v>
      </c>
      <c r="H18" s="104">
        <f>'[1]RVO Forecast'!G$14</f>
        <v>230000000</v>
      </c>
      <c r="I18" s="104">
        <f>'[1]RVO Forecast'!H$14</f>
        <v>311000000</v>
      </c>
      <c r="J18" s="104">
        <f>'[1]RVO Forecast'!I$14</f>
        <v>288000000</v>
      </c>
      <c r="K18" s="104">
        <f>'[1]RVO Forecast'!J$14</f>
        <v>418000000</v>
      </c>
      <c r="L18" s="104">
        <f>'[1]RVO Forecast'!K$14</f>
        <v>510000000</v>
      </c>
      <c r="M18" s="104">
        <f>'[1]RVO Forecast'!L$14</f>
        <v>560000000</v>
      </c>
      <c r="N18" s="104">
        <f>'[1]RVO Forecast'!M$14</f>
        <v>630000000</v>
      </c>
      <c r="O18" s="104">
        <f>'[1]RVO Forecast'!N$14</f>
        <v>840000000</v>
      </c>
      <c r="P18" s="104">
        <f>'[1]RVO Forecast'!O$14</f>
        <v>1090000000</v>
      </c>
      <c r="Q18" s="104">
        <f>'[1]RVO Forecast'!P$14</f>
        <v>1380000000</v>
      </c>
      <c r="R18" s="104">
        <f>'[1]RVO Forecast'!Q$14</f>
        <v>1750000000</v>
      </c>
      <c r="S18" s="104">
        <f>'[1]RVO Forecast'!R$14</f>
        <v>2250000000</v>
      </c>
      <c r="T18" s="104">
        <f>'[1]RVO Forecast'!S$14</f>
        <v>3000000000</v>
      </c>
      <c r="U18" s="104">
        <f>'[1]RVO Forecast'!T$14</f>
        <v>3250000000</v>
      </c>
      <c r="V18" s="104">
        <f>'[1]RVO Forecast'!U$14</f>
        <v>3500000000</v>
      </c>
      <c r="W18" s="104">
        <f>'[1]RVO Forecast'!V$14</f>
        <v>3750000000</v>
      </c>
      <c r="X18" s="104">
        <f>'[1]RVO Forecast'!W$14</f>
        <v>4000000000</v>
      </c>
      <c r="Y18" s="104">
        <f>'[1]RVO Forecast'!X$14</f>
        <v>4250000000</v>
      </c>
      <c r="Z18" s="104">
        <f>'[1]RVO Forecast'!Y$14</f>
        <v>4500000000</v>
      </c>
      <c r="AA18" s="104">
        <f>'[1]RVO Forecast'!Z$14</f>
        <v>4750000000</v>
      </c>
      <c r="AB18" s="104">
        <f>'[1]RVO Forecast'!AA$14</f>
        <v>5000000000</v>
      </c>
      <c r="AC18" s="104">
        <f>'[1]RVO Forecast'!AB$14</f>
        <v>5250000000</v>
      </c>
      <c r="AD18" s="104">
        <f>'[1]RVO Forecast'!AC$14</f>
        <v>5500000000</v>
      </c>
      <c r="AE18" s="104">
        <f>'[1]RVO Forecast'!AD$14</f>
        <v>5750000000</v>
      </c>
      <c r="AF18" s="104">
        <f>'[1]RVO Forecast'!AE$14</f>
        <v>6000000000</v>
      </c>
      <c r="AG18" s="104">
        <f>'[1]RVO Forecast'!AF$14</f>
        <v>6250000000</v>
      </c>
      <c r="AH18" s="3"/>
      <c r="AI18" s="3"/>
      <c r="AJ18" s="3"/>
      <c r="AK18" s="3"/>
      <c r="AL18" s="3"/>
    </row>
    <row r="19" spans="1:38">
      <c r="A19" s="94" t="s">
        <v>233</v>
      </c>
      <c r="B19" s="3"/>
      <c r="C19" s="3">
        <f>'[1]RVO Forecast'!B$15</f>
        <v>0</v>
      </c>
      <c r="D19" s="3">
        <f>'[1]RVO Forecast'!C$15</f>
        <v>0</v>
      </c>
      <c r="E19" s="3">
        <f>'[1]RVO Forecast'!D$15</f>
        <v>0</v>
      </c>
      <c r="F19" s="3">
        <f>'[1]RVO Forecast'!E$15</f>
        <v>79200</v>
      </c>
      <c r="G19" s="3">
        <f>'[1]RVO Forecast'!F$15</f>
        <v>437000</v>
      </c>
      <c r="H19" s="3">
        <f>'[1]RVO Forecast'!G$15</f>
        <v>2118300</v>
      </c>
      <c r="I19" s="3">
        <f>'[1]RVO Forecast'!H$15</f>
        <v>8921600</v>
      </c>
      <c r="J19" s="3">
        <f>'[1]RVO Forecast'!I$15</f>
        <v>27766500</v>
      </c>
      <c r="K19" s="3">
        <f>'[1]RVO Forecast'!J$15</f>
        <v>5933900</v>
      </c>
      <c r="L19" s="3">
        <f>'[1]RVO Forecast'!K$15</f>
        <v>0</v>
      </c>
      <c r="M19" s="3">
        <f>'[1]RVO Forecast'!L$15</f>
        <v>0</v>
      </c>
      <c r="N19" s="3">
        <f>'[1]RVO Forecast'!M$15</f>
        <v>0</v>
      </c>
      <c r="O19" s="3">
        <f>'[1]RVO Forecast'!N$15</f>
        <v>0</v>
      </c>
      <c r="P19" s="3">
        <f>'[1]RVO Forecast'!O$15</f>
        <v>0</v>
      </c>
      <c r="Q19" s="3">
        <f>'[1]RVO Forecast'!P$15</f>
        <v>24944700.307535954</v>
      </c>
      <c r="R19" s="3">
        <f>'[1]RVO Forecast'!Q$15</f>
        <v>55379652.546105005</v>
      </c>
      <c r="S19" s="3">
        <f>'[1]RVO Forecast'!R$15</f>
        <v>69053434.841231316</v>
      </c>
      <c r="T19" s="3">
        <f>'[1]RVO Forecast'!S$15</f>
        <v>88742098.012532428</v>
      </c>
      <c r="U19" s="3">
        <f>'[1]RVO Forecast'!T$15</f>
        <v>116926252.8692316</v>
      </c>
      <c r="V19" s="3">
        <f>'[1]RVO Forecast'!U$15</f>
        <v>130592597.27754027</v>
      </c>
      <c r="W19" s="3">
        <f>'[1]RVO Forecast'!V$15</f>
        <v>142680332.52778688</v>
      </c>
      <c r="X19" s="3">
        <f>'[1]RVO Forecast'!W$15</f>
        <v>155370821.66144177</v>
      </c>
      <c r="Y19" s="3">
        <f>'[1]RVO Forecast'!X$15</f>
        <v>229338615.01735538</v>
      </c>
      <c r="Z19" s="3">
        <f>'[1]RVO Forecast'!Y$15</f>
        <v>281119028.08297706</v>
      </c>
      <c r="AA19" s="3">
        <f>'[1]RVO Forecast'!Z$15</f>
        <v>274829176.39270705</v>
      </c>
      <c r="AB19" s="3">
        <f>'[1]RVO Forecast'!AA$15</f>
        <v>242520649.58372611</v>
      </c>
      <c r="AC19" s="3">
        <f>'[1]RVO Forecast'!AB$15</f>
        <v>194832996.26504439</v>
      </c>
      <c r="AD19" s="3">
        <f>'[1]RVO Forecast'!AC$15</f>
        <v>80183158.719427079</v>
      </c>
      <c r="AE19" s="3">
        <f>'[1]RVO Forecast'!AD$15</f>
        <v>254822769.85432422</v>
      </c>
      <c r="AF19" s="3">
        <f>'[1]RVO Forecast'!AE$15</f>
        <v>542766017.04307795</v>
      </c>
      <c r="AG19" s="3">
        <f>'[1]RVO Forecast'!AF$15</f>
        <v>572283339.41879499</v>
      </c>
      <c r="AH19" s="3"/>
      <c r="AI19" s="3"/>
      <c r="AJ19" s="3"/>
      <c r="AK19" s="3"/>
      <c r="AL19" s="3"/>
    </row>
    <row r="20" spans="1:38" ht="15.75" thickBot="1">
      <c r="A20" s="94" t="s">
        <v>270</v>
      </c>
      <c r="B20" s="3"/>
      <c r="C20" s="3">
        <f>C18-C19</f>
        <v>0</v>
      </c>
      <c r="D20" s="3">
        <f t="shared" ref="D20:AG20" si="15">D18-D19</f>
        <v>0</v>
      </c>
      <c r="E20" s="3">
        <f t="shared" si="15"/>
        <v>800000</v>
      </c>
      <c r="F20" s="3">
        <f t="shared" si="15"/>
        <v>32920800</v>
      </c>
      <c r="G20" s="3">
        <f t="shared" si="15"/>
        <v>122563000</v>
      </c>
      <c r="H20" s="3">
        <f t="shared" si="15"/>
        <v>227881700</v>
      </c>
      <c r="I20" s="3">
        <f t="shared" si="15"/>
        <v>302078400</v>
      </c>
      <c r="J20" s="3">
        <f t="shared" si="15"/>
        <v>260233500</v>
      </c>
      <c r="K20" s="3">
        <f t="shared" si="15"/>
        <v>412066100</v>
      </c>
      <c r="L20" s="3">
        <f t="shared" si="15"/>
        <v>510000000</v>
      </c>
      <c r="M20" s="3">
        <f t="shared" si="15"/>
        <v>560000000</v>
      </c>
      <c r="N20" s="3">
        <f t="shared" si="15"/>
        <v>630000000</v>
      </c>
      <c r="O20" s="3">
        <f t="shared" si="15"/>
        <v>840000000</v>
      </c>
      <c r="P20" s="3">
        <f t="shared" si="15"/>
        <v>1090000000</v>
      </c>
      <c r="Q20" s="3">
        <f t="shared" si="15"/>
        <v>1355055299.6924641</v>
      </c>
      <c r="R20" s="3">
        <f t="shared" si="15"/>
        <v>1694620347.4538951</v>
      </c>
      <c r="S20" s="3">
        <f t="shared" si="15"/>
        <v>2180946565.1587687</v>
      </c>
      <c r="T20" s="3">
        <f t="shared" si="15"/>
        <v>2911257901.9874678</v>
      </c>
      <c r="U20" s="3">
        <f t="shared" si="15"/>
        <v>3133073747.1307683</v>
      </c>
      <c r="V20" s="3">
        <f t="shared" si="15"/>
        <v>3369407402.7224598</v>
      </c>
      <c r="W20" s="3">
        <f t="shared" si="15"/>
        <v>3607319667.4722133</v>
      </c>
      <c r="X20" s="3">
        <f t="shared" si="15"/>
        <v>3844629178.3385582</v>
      </c>
      <c r="Y20" s="3">
        <f t="shared" si="15"/>
        <v>4020661384.9826446</v>
      </c>
      <c r="Z20" s="3">
        <f t="shared" si="15"/>
        <v>4218880971.9170227</v>
      </c>
      <c r="AA20" s="3">
        <f t="shared" si="15"/>
        <v>4475170823.6072931</v>
      </c>
      <c r="AB20" s="3">
        <f t="shared" si="15"/>
        <v>4757479350.4162741</v>
      </c>
      <c r="AC20" s="3">
        <f t="shared" si="15"/>
        <v>5055167003.7349558</v>
      </c>
      <c r="AD20" s="3">
        <f t="shared" si="15"/>
        <v>5419816841.2805729</v>
      </c>
      <c r="AE20" s="3">
        <f t="shared" si="15"/>
        <v>5495177230.1456757</v>
      </c>
      <c r="AF20" s="3">
        <f t="shared" si="15"/>
        <v>5457233982.9569225</v>
      </c>
      <c r="AG20" s="3">
        <f t="shared" si="15"/>
        <v>5677716660.5812054</v>
      </c>
      <c r="AH20" s="3"/>
      <c r="AI20" s="3"/>
      <c r="AJ20" s="3"/>
      <c r="AK20" s="3"/>
      <c r="AL20" s="3"/>
    </row>
    <row r="21" spans="1:38">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row>
    <row r="23" spans="1:38" ht="16.5" thickBot="1">
      <c r="A23" s="109" t="s">
        <v>271</v>
      </c>
    </row>
    <row r="24" spans="1:38" ht="15.75" thickBot="1">
      <c r="A24" s="110"/>
      <c r="B24" s="111">
        <v>2010</v>
      </c>
      <c r="C24" s="111">
        <v>2011</v>
      </c>
      <c r="D24" s="111">
        <v>2012</v>
      </c>
      <c r="E24" s="111">
        <v>2013</v>
      </c>
      <c r="F24" s="111">
        <v>2014</v>
      </c>
      <c r="G24" s="111">
        <v>2015</v>
      </c>
      <c r="H24" s="111">
        <v>2016</v>
      </c>
      <c r="I24" s="111">
        <v>2017</v>
      </c>
      <c r="J24" s="111">
        <v>2018</v>
      </c>
      <c r="K24" s="111">
        <v>2019</v>
      </c>
      <c r="L24" s="111">
        <v>2020</v>
      </c>
      <c r="M24" s="111">
        <v>2021</v>
      </c>
      <c r="N24" s="111">
        <v>2022</v>
      </c>
      <c r="O24" s="111">
        <v>2023</v>
      </c>
      <c r="P24" s="111">
        <v>2024</v>
      </c>
      <c r="Q24" s="111">
        <v>2025</v>
      </c>
      <c r="R24" s="111">
        <v>2026</v>
      </c>
      <c r="S24" s="111">
        <v>2027</v>
      </c>
      <c r="T24" s="111">
        <v>2028</v>
      </c>
      <c r="U24" s="111">
        <v>2029</v>
      </c>
      <c r="V24" s="111">
        <v>2030</v>
      </c>
      <c r="W24" s="111">
        <v>2031</v>
      </c>
      <c r="X24" s="111">
        <v>2032</v>
      </c>
      <c r="Y24" s="111">
        <v>2033</v>
      </c>
      <c r="Z24" s="111">
        <v>2034</v>
      </c>
      <c r="AA24" s="111">
        <v>2035</v>
      </c>
      <c r="AB24" s="111">
        <v>2036</v>
      </c>
      <c r="AC24" s="111">
        <v>2037</v>
      </c>
      <c r="AD24" s="111">
        <v>2038</v>
      </c>
      <c r="AE24" s="111">
        <v>2039</v>
      </c>
      <c r="AF24" s="111">
        <v>2040</v>
      </c>
      <c r="AG24" s="111">
        <v>2041</v>
      </c>
      <c r="AH24" s="94"/>
      <c r="AI24" s="94"/>
      <c r="AJ24" s="94">
        <f>N24</f>
        <v>2022</v>
      </c>
      <c r="AK24" s="94">
        <f>O24</f>
        <v>2023</v>
      </c>
      <c r="AL24" s="94">
        <f>P24</f>
        <v>2024</v>
      </c>
    </row>
    <row r="25" spans="1:38">
      <c r="A25" s="2" t="s">
        <v>43</v>
      </c>
      <c r="B25" s="3">
        <f>B41+B89+B137</f>
        <v>0</v>
      </c>
      <c r="C25" s="3">
        <f t="shared" ref="C25:AG36" si="16">C41+C89+C137</f>
        <v>0</v>
      </c>
      <c r="D25" s="3">
        <f t="shared" si="16"/>
        <v>0</v>
      </c>
      <c r="E25" s="3">
        <f t="shared" si="16"/>
        <v>0</v>
      </c>
      <c r="F25" s="3">
        <f t="shared" si="16"/>
        <v>14247</v>
      </c>
      <c r="G25" s="3">
        <f t="shared" si="16"/>
        <v>4108477</v>
      </c>
      <c r="H25" s="3">
        <f t="shared" si="16"/>
        <v>1735618</v>
      </c>
      <c r="I25" s="3">
        <f t="shared" si="16"/>
        <v>459290</v>
      </c>
      <c r="J25" s="3">
        <f t="shared" si="16"/>
        <v>967265</v>
      </c>
      <c r="K25" s="3">
        <f t="shared" si="16"/>
        <v>736722</v>
      </c>
      <c r="L25" s="3">
        <f t="shared" si="16"/>
        <v>675928</v>
      </c>
      <c r="M25" s="3">
        <f t="shared" si="16"/>
        <v>5266470</v>
      </c>
      <c r="N25" s="3">
        <f t="shared" si="16"/>
        <v>851864</v>
      </c>
      <c r="O25" s="3">
        <f t="shared" si="16"/>
        <v>2568874</v>
      </c>
      <c r="P25" s="3">
        <f t="shared" si="16"/>
        <v>7206461</v>
      </c>
      <c r="Q25" s="4">
        <f t="shared" si="16"/>
        <v>8463939</v>
      </c>
      <c r="R25" s="4">
        <f t="shared" si="16"/>
        <v>8271531.8687139647</v>
      </c>
      <c r="S25" s="4">
        <f t="shared" si="16"/>
        <v>8381358.8245324306</v>
      </c>
      <c r="T25" s="4">
        <f t="shared" si="16"/>
        <v>8968377.6388940271</v>
      </c>
      <c r="U25" s="4">
        <f t="shared" si="16"/>
        <v>9215645.0405494981</v>
      </c>
      <c r="V25" s="4">
        <f t="shared" si="16"/>
        <v>9371226.9319290146</v>
      </c>
      <c r="W25" s="4">
        <f t="shared" si="16"/>
        <v>9414356.7883283757</v>
      </c>
      <c r="X25" s="4">
        <f t="shared" si="16"/>
        <v>10134117.360732203</v>
      </c>
      <c r="Y25" s="4">
        <f t="shared" si="16"/>
        <v>11500589.826201143</v>
      </c>
      <c r="Z25" s="4">
        <f t="shared" si="16"/>
        <v>13108186.354992133</v>
      </c>
      <c r="AA25" s="4">
        <f t="shared" si="16"/>
        <v>14382256.691305269</v>
      </c>
      <c r="AB25" s="4">
        <f t="shared" si="16"/>
        <v>16160226.978466427</v>
      </c>
      <c r="AC25" s="4">
        <f t="shared" si="16"/>
        <v>18092715.754612867</v>
      </c>
      <c r="AD25" s="4">
        <f t="shared" si="16"/>
        <v>20207223.459886957</v>
      </c>
      <c r="AE25" s="4">
        <f t="shared" si="16"/>
        <v>22641660.011428572</v>
      </c>
      <c r="AF25" s="4">
        <f t="shared" si="16"/>
        <v>25119492.118678555</v>
      </c>
      <c r="AG25" s="4">
        <f t="shared" si="16"/>
        <v>27812386.218923349</v>
      </c>
      <c r="AH25" s="4"/>
      <c r="AI25" s="4" t="s">
        <v>68</v>
      </c>
      <c r="AJ25" s="112">
        <v>851864</v>
      </c>
      <c r="AK25" s="112">
        <v>2568874</v>
      </c>
      <c r="AL25" s="112">
        <v>7206461</v>
      </c>
    </row>
    <row r="26" spans="1:38">
      <c r="A26" s="2" t="s">
        <v>44</v>
      </c>
      <c r="B26" s="3">
        <f t="shared" ref="B26:K36" si="17">B42+B90+B138</f>
        <v>0</v>
      </c>
      <c r="C26" s="3">
        <f t="shared" si="17"/>
        <v>0</v>
      </c>
      <c r="D26" s="3">
        <f t="shared" si="17"/>
        <v>0</v>
      </c>
      <c r="E26" s="3">
        <f t="shared" si="17"/>
        <v>0</v>
      </c>
      <c r="F26" s="3">
        <f t="shared" si="17"/>
        <v>7072</v>
      </c>
      <c r="G26" s="3">
        <f t="shared" si="17"/>
        <v>7950318</v>
      </c>
      <c r="H26" s="3">
        <f t="shared" si="17"/>
        <v>14469067</v>
      </c>
      <c r="I26" s="3">
        <f t="shared" si="17"/>
        <v>15952451</v>
      </c>
      <c r="J26" s="3">
        <f t="shared" si="17"/>
        <v>20373566</v>
      </c>
      <c r="K26" s="3">
        <f t="shared" si="17"/>
        <v>31797390</v>
      </c>
      <c r="L26" s="3">
        <f t="shared" si="16"/>
        <v>37022182</v>
      </c>
      <c r="M26" s="3">
        <f t="shared" si="16"/>
        <v>41972515</v>
      </c>
      <c r="N26" s="3">
        <f t="shared" si="16"/>
        <v>49301226</v>
      </c>
      <c r="O26" s="3">
        <f>O42+O90+O138</f>
        <v>61022115</v>
      </c>
      <c r="P26" s="3">
        <f>P42+P90+P138</f>
        <v>69565939</v>
      </c>
      <c r="Q26" s="4">
        <f>Q42+Q90+Q138</f>
        <v>7413578</v>
      </c>
      <c r="R26" s="4">
        <f>R42+R90+R138</f>
        <v>36971272.8129723</v>
      </c>
      <c r="S26" s="4">
        <f>S42+S90+S138</f>
        <v>34848404.711326629</v>
      </c>
      <c r="T26" s="4">
        <f t="shared" si="16"/>
        <v>34287695.212384328</v>
      </c>
      <c r="U26" s="4">
        <f t="shared" si="16"/>
        <v>32435618.936848022</v>
      </c>
      <c r="V26" s="4">
        <f t="shared" si="16"/>
        <v>29569679.670902774</v>
      </c>
      <c r="W26" s="4">
        <f t="shared" si="16"/>
        <v>33344763.585874029</v>
      </c>
      <c r="X26" s="4">
        <f t="shared" si="16"/>
        <v>33799171.099695824</v>
      </c>
      <c r="Y26" s="4">
        <f t="shared" si="16"/>
        <v>35790898.680604458</v>
      </c>
      <c r="Z26" s="4">
        <f t="shared" si="16"/>
        <v>37215096.948005415</v>
      </c>
      <c r="AA26" s="4">
        <f t="shared" si="16"/>
        <v>38965062.906483628</v>
      </c>
      <c r="AB26" s="4">
        <f t="shared" si="16"/>
        <v>42203650.618325122</v>
      </c>
      <c r="AC26" s="4">
        <f t="shared" si="16"/>
        <v>44703376.233996965</v>
      </c>
      <c r="AD26" s="4">
        <f t="shared" si="16"/>
        <v>47241107.964239091</v>
      </c>
      <c r="AE26" s="4">
        <f t="shared" si="16"/>
        <v>50112208.928030536</v>
      </c>
      <c r="AF26" s="4">
        <f t="shared" si="16"/>
        <v>53102083.744676545</v>
      </c>
      <c r="AG26" s="4">
        <f t="shared" si="16"/>
        <v>56191660.238803178</v>
      </c>
      <c r="AH26" s="4"/>
      <c r="AI26" s="4" t="s">
        <v>69</v>
      </c>
      <c r="AJ26" s="112">
        <v>49301226</v>
      </c>
      <c r="AK26" s="112">
        <v>61022115</v>
      </c>
      <c r="AL26" s="112">
        <v>69565939</v>
      </c>
    </row>
    <row r="27" spans="1:38">
      <c r="A27" s="2" t="s">
        <v>45</v>
      </c>
      <c r="B27" s="3">
        <f t="shared" si="17"/>
        <v>0</v>
      </c>
      <c r="C27" s="3">
        <f t="shared" si="17"/>
        <v>0</v>
      </c>
      <c r="D27" s="3">
        <f t="shared" si="17"/>
        <v>0</v>
      </c>
      <c r="E27" s="3">
        <f t="shared" si="17"/>
        <v>0</v>
      </c>
      <c r="F27" s="3">
        <f t="shared" si="17"/>
        <v>6624</v>
      </c>
      <c r="G27" s="3">
        <f t="shared" si="17"/>
        <v>7803420</v>
      </c>
      <c r="H27" s="3">
        <f t="shared" si="17"/>
        <v>15780175</v>
      </c>
      <c r="I27" s="3">
        <f t="shared" si="17"/>
        <v>16236224</v>
      </c>
      <c r="J27" s="3">
        <f t="shared" si="17"/>
        <v>20399726</v>
      </c>
      <c r="K27" s="3">
        <f t="shared" si="17"/>
        <v>32184781</v>
      </c>
      <c r="L27" s="3">
        <f t="shared" si="16"/>
        <v>34706042</v>
      </c>
      <c r="M27" s="3">
        <f t="shared" si="16"/>
        <v>36762589</v>
      </c>
      <c r="N27" s="3">
        <f t="shared" si="16"/>
        <v>44887639</v>
      </c>
      <c r="O27" s="3">
        <f t="shared" si="16"/>
        <v>55327120</v>
      </c>
      <c r="P27" s="3">
        <f>P43+P91+P139</f>
        <v>66311733</v>
      </c>
      <c r="Q27" s="4">
        <f>Q43+Q91+Q139</f>
        <v>41984003.345376208</v>
      </c>
      <c r="R27" s="4">
        <f>R43+R91+R139</f>
        <v>36094173.576265082</v>
      </c>
      <c r="S27" s="4">
        <f>S43+S91+S139</f>
        <v>34623036.191204347</v>
      </c>
      <c r="T27" s="4">
        <f t="shared" si="16"/>
        <v>35437124.481354162</v>
      </c>
      <c r="U27" s="4">
        <f t="shared" si="16"/>
        <v>36106959.42503418</v>
      </c>
      <c r="V27" s="4">
        <f t="shared" si="16"/>
        <v>36597823.521633692</v>
      </c>
      <c r="W27" s="4">
        <f t="shared" si="16"/>
        <v>34907224.338098615</v>
      </c>
      <c r="X27" s="4">
        <f t="shared" si="16"/>
        <v>35761147.977561533</v>
      </c>
      <c r="Y27" s="4">
        <f t="shared" si="16"/>
        <v>38032506.573665693</v>
      </c>
      <c r="Z27" s="4">
        <f t="shared" si="16"/>
        <v>39068037.610570036</v>
      </c>
      <c r="AA27" s="4">
        <f t="shared" si="16"/>
        <v>40281424.691169843</v>
      </c>
      <c r="AB27" s="4">
        <f t="shared" si="16"/>
        <v>42066167.364130139</v>
      </c>
      <c r="AC27" s="4">
        <f t="shared" si="16"/>
        <v>43969859.301457442</v>
      </c>
      <c r="AD27" s="4">
        <f t="shared" si="16"/>
        <v>45617886.944133297</v>
      </c>
      <c r="AE27" s="4">
        <f t="shared" si="16"/>
        <v>47267983.46000468</v>
      </c>
      <c r="AF27" s="4">
        <f t="shared" si="16"/>
        <v>48917562.588066675</v>
      </c>
      <c r="AG27" s="4">
        <f t="shared" si="16"/>
        <v>50475132.919808887</v>
      </c>
      <c r="AH27" s="4"/>
      <c r="AI27" s="4" t="s">
        <v>70</v>
      </c>
      <c r="AJ27" s="112">
        <v>44887639</v>
      </c>
      <c r="AK27" s="112">
        <v>55327120</v>
      </c>
      <c r="AL27" s="112">
        <v>66311733</v>
      </c>
    </row>
    <row r="28" spans="1:38">
      <c r="A28" s="2" t="s">
        <v>46</v>
      </c>
      <c r="B28" s="3">
        <f t="shared" si="17"/>
        <v>0</v>
      </c>
      <c r="C28" s="3">
        <f t="shared" si="17"/>
        <v>0</v>
      </c>
      <c r="D28" s="3">
        <f t="shared" si="17"/>
        <v>20069</v>
      </c>
      <c r="E28" s="3">
        <f t="shared" si="17"/>
        <v>0</v>
      </c>
      <c r="F28" s="3">
        <f t="shared" si="17"/>
        <v>643</v>
      </c>
      <c r="G28" s="3">
        <f t="shared" si="17"/>
        <v>7831248</v>
      </c>
      <c r="H28" s="3">
        <f t="shared" si="17"/>
        <v>16698896</v>
      </c>
      <c r="I28" s="3">
        <f t="shared" si="17"/>
        <v>17366722</v>
      </c>
      <c r="J28" s="3">
        <f t="shared" si="17"/>
        <v>20672077</v>
      </c>
      <c r="K28" s="3">
        <f t="shared" si="17"/>
        <v>33471004</v>
      </c>
      <c r="L28" s="3">
        <f t="shared" si="16"/>
        <v>40719352</v>
      </c>
      <c r="M28" s="3">
        <f t="shared" si="16"/>
        <v>43783881</v>
      </c>
      <c r="N28" s="3">
        <f t="shared" si="16"/>
        <v>51044773</v>
      </c>
      <c r="O28" s="3">
        <f t="shared" si="16"/>
        <v>64003320</v>
      </c>
      <c r="P28" s="3">
        <f t="shared" si="16"/>
        <v>74760842</v>
      </c>
      <c r="Q28" s="4">
        <f t="shared" si="16"/>
        <v>43904785.517672643</v>
      </c>
      <c r="R28" s="4">
        <f t="shared" si="16"/>
        <v>41655652.345767148</v>
      </c>
      <c r="S28" s="4">
        <f t="shared" si="16"/>
        <v>39647993.477823168</v>
      </c>
      <c r="T28" s="4">
        <f t="shared" si="16"/>
        <v>40488778.789133884</v>
      </c>
      <c r="U28" s="4">
        <f t="shared" si="16"/>
        <v>40858094.48852393</v>
      </c>
      <c r="V28" s="4">
        <f t="shared" si="16"/>
        <v>41144365.825123467</v>
      </c>
      <c r="W28" s="4">
        <f t="shared" si="16"/>
        <v>39898775.916912459</v>
      </c>
      <c r="X28" s="4">
        <f t="shared" si="16"/>
        <v>40829005.10570351</v>
      </c>
      <c r="Y28" s="4">
        <f t="shared" si="16"/>
        <v>43463784.448751897</v>
      </c>
      <c r="Z28" s="4">
        <f t="shared" si="16"/>
        <v>44793132.062450781</v>
      </c>
      <c r="AA28" s="4">
        <f t="shared" si="16"/>
        <v>46337225.788247168</v>
      </c>
      <c r="AB28" s="4">
        <f t="shared" si="16"/>
        <v>48654261.630368568</v>
      </c>
      <c r="AC28" s="4">
        <f t="shared" si="16"/>
        <v>51012940.639900081</v>
      </c>
      <c r="AD28" s="4">
        <f t="shared" si="16"/>
        <v>53138262.732473604</v>
      </c>
      <c r="AE28" s="4">
        <f t="shared" si="16"/>
        <v>55327981.888287932</v>
      </c>
      <c r="AF28" s="4">
        <f t="shared" si="16"/>
        <v>57537286.645664275</v>
      </c>
      <c r="AG28" s="4">
        <f t="shared" si="16"/>
        <v>59679667.879169807</v>
      </c>
      <c r="AH28" s="4"/>
      <c r="AI28" s="4" t="s">
        <v>71</v>
      </c>
      <c r="AJ28" s="112">
        <v>51044773</v>
      </c>
      <c r="AK28" s="112">
        <v>64003320</v>
      </c>
      <c r="AL28" s="112">
        <v>74760842</v>
      </c>
    </row>
    <row r="29" spans="1:38">
      <c r="A29" s="2" t="s">
        <v>47</v>
      </c>
      <c r="B29" s="3">
        <f t="shared" si="17"/>
        <v>0</v>
      </c>
      <c r="C29" s="3">
        <f t="shared" si="17"/>
        <v>0</v>
      </c>
      <c r="D29" s="3">
        <f t="shared" si="17"/>
        <v>0</v>
      </c>
      <c r="E29" s="3">
        <f t="shared" si="17"/>
        <v>0</v>
      </c>
      <c r="F29" s="3">
        <f t="shared" si="17"/>
        <v>0</v>
      </c>
      <c r="G29" s="3">
        <f t="shared" si="17"/>
        <v>9341048</v>
      </c>
      <c r="H29" s="3">
        <f t="shared" si="17"/>
        <v>16007687</v>
      </c>
      <c r="I29" s="3">
        <f t="shared" si="17"/>
        <v>22483740</v>
      </c>
      <c r="J29" s="3">
        <f t="shared" si="17"/>
        <v>22068890</v>
      </c>
      <c r="K29" s="3">
        <f t="shared" si="17"/>
        <v>30982464</v>
      </c>
      <c r="L29" s="3">
        <f t="shared" si="16"/>
        <v>37947026</v>
      </c>
      <c r="M29" s="3">
        <f t="shared" si="16"/>
        <v>44837452</v>
      </c>
      <c r="N29" s="3">
        <f t="shared" si="16"/>
        <v>57323125</v>
      </c>
      <c r="O29" s="3">
        <f>O45+O93+O141</f>
        <v>61173203</v>
      </c>
      <c r="P29" s="3">
        <f t="shared" si="16"/>
        <v>77175717</v>
      </c>
      <c r="Q29" s="4">
        <f t="shared" si="16"/>
        <v>50661382.362504959</v>
      </c>
      <c r="R29" s="4">
        <f t="shared" si="16"/>
        <v>58978097.520354241</v>
      </c>
      <c r="S29" s="4">
        <f t="shared" si="16"/>
        <v>58804536.201366834</v>
      </c>
      <c r="T29" s="4">
        <f t="shared" si="16"/>
        <v>61472874.347371101</v>
      </c>
      <c r="U29" s="4">
        <f t="shared" si="16"/>
        <v>66182872.732815437</v>
      </c>
      <c r="V29" s="4">
        <f t="shared" si="16"/>
        <v>72964627.335881218</v>
      </c>
      <c r="W29" s="4">
        <f t="shared" si="16"/>
        <v>76476762.108955339</v>
      </c>
      <c r="X29" s="4">
        <f t="shared" si="16"/>
        <v>83264054.005452439</v>
      </c>
      <c r="Y29" s="4">
        <f t="shared" si="16"/>
        <v>94597004.62909992</v>
      </c>
      <c r="Z29" s="4">
        <f t="shared" si="16"/>
        <v>105144262.00252399</v>
      </c>
      <c r="AA29" s="4">
        <f t="shared" si="16"/>
        <v>116962390.41613775</v>
      </c>
      <c r="AB29" s="4">
        <f t="shared" si="16"/>
        <v>131591335.13762163</v>
      </c>
      <c r="AC29" s="4">
        <f t="shared" si="16"/>
        <v>147306221.39402568</v>
      </c>
      <c r="AD29" s="4">
        <f t="shared" si="16"/>
        <v>163788109.89033684</v>
      </c>
      <c r="AE29" s="4">
        <f t="shared" si="16"/>
        <v>182051624.84445205</v>
      </c>
      <c r="AF29" s="4">
        <f t="shared" si="16"/>
        <v>201546084.39323914</v>
      </c>
      <c r="AG29" s="4">
        <f t="shared" si="16"/>
        <v>221972013.03864503</v>
      </c>
      <c r="AH29" s="4"/>
      <c r="AI29" s="4" t="s">
        <v>47</v>
      </c>
      <c r="AJ29" s="112">
        <v>57323125</v>
      </c>
      <c r="AK29" s="112">
        <v>61173203</v>
      </c>
      <c r="AL29" s="112">
        <v>76904173</v>
      </c>
    </row>
    <row r="30" spans="1:38">
      <c r="A30" s="2" t="s">
        <v>48</v>
      </c>
      <c r="B30" s="3">
        <f t="shared" si="17"/>
        <v>0</v>
      </c>
      <c r="C30" s="3">
        <f t="shared" si="17"/>
        <v>0</v>
      </c>
      <c r="D30" s="3">
        <f t="shared" si="17"/>
        <v>0</v>
      </c>
      <c r="E30" s="3">
        <f t="shared" si="17"/>
        <v>0</v>
      </c>
      <c r="F30" s="3">
        <f t="shared" si="17"/>
        <v>0</v>
      </c>
      <c r="G30" s="3">
        <f t="shared" si="17"/>
        <v>12506549</v>
      </c>
      <c r="H30" s="3">
        <f t="shared" si="17"/>
        <v>14164575</v>
      </c>
      <c r="I30" s="3">
        <f t="shared" si="17"/>
        <v>22247552</v>
      </c>
      <c r="J30" s="3">
        <f t="shared" si="17"/>
        <v>25270576</v>
      </c>
      <c r="K30" s="3">
        <f t="shared" si="17"/>
        <v>36975016</v>
      </c>
      <c r="L30" s="3">
        <f t="shared" si="16"/>
        <v>42176054</v>
      </c>
      <c r="M30" s="3">
        <f t="shared" si="16"/>
        <v>49569817</v>
      </c>
      <c r="N30" s="3">
        <f t="shared" si="16"/>
        <v>54328565</v>
      </c>
      <c r="O30" s="3">
        <f>O46+O94+O142</f>
        <v>70785593</v>
      </c>
      <c r="P30" s="3">
        <f t="shared" si="16"/>
        <v>82291001</v>
      </c>
      <c r="Q30" s="4">
        <f t="shared" si="16"/>
        <v>50541989.762106098</v>
      </c>
      <c r="R30" s="4">
        <f t="shared" si="16"/>
        <v>64636995.89283365</v>
      </c>
      <c r="S30" s="4">
        <f t="shared" si="16"/>
        <v>65040663.526414454</v>
      </c>
      <c r="T30" s="4">
        <f t="shared" si="16"/>
        <v>70652509.640023097</v>
      </c>
      <c r="U30" s="4">
        <f t="shared" si="16"/>
        <v>77772626.03813085</v>
      </c>
      <c r="V30" s="4">
        <f t="shared" si="16"/>
        <v>89646817.368315548</v>
      </c>
      <c r="W30" s="4">
        <f t="shared" si="16"/>
        <v>97485385.585114896</v>
      </c>
      <c r="X30" s="4">
        <f t="shared" si="16"/>
        <v>109421020.5538885</v>
      </c>
      <c r="Y30" s="4">
        <f t="shared" si="16"/>
        <v>128272858.33275534</v>
      </c>
      <c r="Z30" s="4">
        <f t="shared" si="16"/>
        <v>146492748.95283306</v>
      </c>
      <c r="AA30" s="4">
        <f t="shared" si="16"/>
        <v>168563072.61348668</v>
      </c>
      <c r="AB30" s="4">
        <f t="shared" si="16"/>
        <v>195841124.37483251</v>
      </c>
      <c r="AC30" s="4">
        <f t="shared" si="16"/>
        <v>226262855.9754602</v>
      </c>
      <c r="AD30" s="4">
        <f t="shared" si="16"/>
        <v>259553573.88704306</v>
      </c>
      <c r="AE30" s="4">
        <f t="shared" si="16"/>
        <v>297582369.39861339</v>
      </c>
      <c r="AF30" s="4">
        <f t="shared" si="16"/>
        <v>340084479.9682858</v>
      </c>
      <c r="AG30" s="4">
        <f t="shared" si="16"/>
        <v>386422479.09207809</v>
      </c>
      <c r="AH30" s="4"/>
      <c r="AI30" s="4" t="s">
        <v>72</v>
      </c>
      <c r="AJ30" s="112">
        <v>54328565</v>
      </c>
      <c r="AK30" s="112">
        <v>70785593</v>
      </c>
      <c r="AL30" s="112">
        <v>82291001</v>
      </c>
    </row>
    <row r="31" spans="1:38">
      <c r="A31" s="2" t="s">
        <v>49</v>
      </c>
      <c r="B31" s="3">
        <f t="shared" si="17"/>
        <v>0</v>
      </c>
      <c r="C31" s="3">
        <f t="shared" si="17"/>
        <v>0</v>
      </c>
      <c r="D31" s="3">
        <f t="shared" si="17"/>
        <v>0</v>
      </c>
      <c r="E31" s="3">
        <f t="shared" si="17"/>
        <v>0</v>
      </c>
      <c r="F31" s="3">
        <f t="shared" si="17"/>
        <v>4156</v>
      </c>
      <c r="G31" s="3">
        <f t="shared" si="17"/>
        <v>13021876</v>
      </c>
      <c r="H31" s="3">
        <f t="shared" si="17"/>
        <v>15373679</v>
      </c>
      <c r="I31" s="3">
        <f t="shared" si="17"/>
        <v>20427116</v>
      </c>
      <c r="J31" s="3">
        <f t="shared" si="17"/>
        <v>26350958</v>
      </c>
      <c r="K31" s="3">
        <f t="shared" si="17"/>
        <v>38919477</v>
      </c>
      <c r="L31" s="3">
        <f t="shared" si="16"/>
        <v>40951279</v>
      </c>
      <c r="M31" s="3">
        <f t="shared" si="16"/>
        <v>45903998</v>
      </c>
      <c r="N31" s="3">
        <f t="shared" si="16"/>
        <v>55158670</v>
      </c>
      <c r="O31" s="3">
        <f>O47+O95+O143</f>
        <v>64267013</v>
      </c>
      <c r="P31" s="3">
        <f t="shared" si="16"/>
        <v>85072801</v>
      </c>
      <c r="Q31" s="4">
        <f t="shared" si="16"/>
        <v>59620507.535234898</v>
      </c>
      <c r="R31" s="4">
        <f t="shared" si="16"/>
        <v>73837881.917013794</v>
      </c>
      <c r="S31" s="4">
        <f t="shared" si="16"/>
        <v>75722480.292140082</v>
      </c>
      <c r="T31" s="4">
        <f t="shared" si="16"/>
        <v>81346871.839982003</v>
      </c>
      <c r="U31" s="4">
        <f t="shared" si="16"/>
        <v>88907797.16131714</v>
      </c>
      <c r="V31" s="4">
        <f t="shared" si="16"/>
        <v>100289105.9907587</v>
      </c>
      <c r="W31" s="4">
        <f t="shared" si="16"/>
        <v>108190804.07501493</v>
      </c>
      <c r="X31" s="4">
        <f t="shared" si="16"/>
        <v>121084031.61793254</v>
      </c>
      <c r="Y31" s="4">
        <f t="shared" si="16"/>
        <v>141519757.61850271</v>
      </c>
      <c r="Z31" s="4">
        <f t="shared" si="16"/>
        <v>162180460.94248727</v>
      </c>
      <c r="AA31" s="4">
        <f t="shared" si="16"/>
        <v>185697249.29604903</v>
      </c>
      <c r="AB31" s="4">
        <f t="shared" si="16"/>
        <v>215266299.72012752</v>
      </c>
      <c r="AC31" s="4">
        <f t="shared" si="16"/>
        <v>248111362.75824398</v>
      </c>
      <c r="AD31" s="4">
        <f t="shared" si="16"/>
        <v>284078490.63802266</v>
      </c>
      <c r="AE31" s="4">
        <f t="shared" si="16"/>
        <v>325257738.54922628</v>
      </c>
      <c r="AF31" s="4">
        <f t="shared" si="16"/>
        <v>370794760.190413</v>
      </c>
      <c r="AG31" s="4">
        <f t="shared" si="16"/>
        <v>420478085.02929139</v>
      </c>
      <c r="AH31" s="4"/>
      <c r="AI31" s="4" t="s">
        <v>73</v>
      </c>
      <c r="AJ31" s="112">
        <v>55158670</v>
      </c>
      <c r="AK31" s="112">
        <v>64267013</v>
      </c>
      <c r="AL31" s="155">
        <v>80177325.727495059</v>
      </c>
    </row>
    <row r="32" spans="1:38">
      <c r="A32" s="2" t="s">
        <v>50</v>
      </c>
      <c r="B32" s="3">
        <f t="shared" si="17"/>
        <v>0</v>
      </c>
      <c r="C32" s="3">
        <f t="shared" si="17"/>
        <v>0</v>
      </c>
      <c r="D32" s="3">
        <f t="shared" si="17"/>
        <v>0</v>
      </c>
      <c r="E32" s="3">
        <f t="shared" si="17"/>
        <v>0</v>
      </c>
      <c r="F32" s="3">
        <f t="shared" si="17"/>
        <v>3492106</v>
      </c>
      <c r="G32" s="3">
        <f t="shared" si="17"/>
        <v>13813205</v>
      </c>
      <c r="H32" s="3">
        <f t="shared" si="17"/>
        <v>15706209</v>
      </c>
      <c r="I32" s="3">
        <f t="shared" si="17"/>
        <v>20182150</v>
      </c>
      <c r="J32" s="3">
        <f t="shared" si="17"/>
        <v>31292212</v>
      </c>
      <c r="K32" s="3">
        <f t="shared" si="17"/>
        <v>37455079</v>
      </c>
      <c r="L32" s="3">
        <f t="shared" si="16"/>
        <v>42595314</v>
      </c>
      <c r="M32" s="3">
        <f t="shared" si="16"/>
        <v>47640804</v>
      </c>
      <c r="N32" s="3">
        <f t="shared" si="16"/>
        <v>61558864</v>
      </c>
      <c r="O32" s="3">
        <f t="shared" si="16"/>
        <v>67075886</v>
      </c>
      <c r="P32" s="3">
        <f t="shared" si="16"/>
        <v>89335160</v>
      </c>
      <c r="Q32" s="4">
        <f t="shared" si="16"/>
        <v>58995627.494624957</v>
      </c>
      <c r="R32" s="4">
        <f t="shared" si="16"/>
        <v>75087422.086647972</v>
      </c>
      <c r="S32" s="4">
        <f t="shared" si="16"/>
        <v>76898350.043254942</v>
      </c>
      <c r="T32" s="4">
        <f t="shared" si="16"/>
        <v>82730792.346963733</v>
      </c>
      <c r="U32" s="4">
        <f t="shared" si="16"/>
        <v>92079166.703745544</v>
      </c>
      <c r="V32" s="4">
        <f t="shared" si="16"/>
        <v>105691714.89466779</v>
      </c>
      <c r="W32" s="4">
        <f t="shared" si="16"/>
        <v>115160752.28979151</v>
      </c>
      <c r="X32" s="4">
        <f t="shared" si="16"/>
        <v>129977664.12859599</v>
      </c>
      <c r="Y32" s="4">
        <f t="shared" si="16"/>
        <v>153182479.85946947</v>
      </c>
      <c r="Z32" s="4">
        <f t="shared" si="16"/>
        <v>176736701.47969404</v>
      </c>
      <c r="AA32" s="4">
        <f t="shared" si="16"/>
        <v>204373635.78438151</v>
      </c>
      <c r="AB32" s="4">
        <f t="shared" si="16"/>
        <v>238982362.04271317</v>
      </c>
      <c r="AC32" s="4">
        <f t="shared" si="16"/>
        <v>277907003.43888986</v>
      </c>
      <c r="AD32" s="4">
        <f t="shared" si="16"/>
        <v>320962869.40898079</v>
      </c>
      <c r="AE32" s="4">
        <f t="shared" si="16"/>
        <v>370636014.8415246</v>
      </c>
      <c r="AF32" s="4">
        <f t="shared" si="16"/>
        <v>426352405.25313979</v>
      </c>
      <c r="AG32" s="4">
        <f t="shared" si="16"/>
        <v>487748856.85649908</v>
      </c>
      <c r="AH32" s="4"/>
      <c r="AI32" s="4" t="s">
        <v>74</v>
      </c>
      <c r="AJ32" s="112">
        <v>61558864</v>
      </c>
      <c r="AK32" s="112">
        <v>67075886</v>
      </c>
      <c r="AL32" s="155">
        <v>88098393.909677237</v>
      </c>
    </row>
    <row r="33" spans="1:38">
      <c r="A33" s="2" t="s">
        <v>51</v>
      </c>
      <c r="B33" s="3">
        <f t="shared" si="17"/>
        <v>0</v>
      </c>
      <c r="C33" s="3">
        <f t="shared" si="17"/>
        <v>0</v>
      </c>
      <c r="D33" s="3">
        <f t="shared" si="17"/>
        <v>0</v>
      </c>
      <c r="E33" s="3">
        <f t="shared" si="17"/>
        <v>0</v>
      </c>
      <c r="F33" s="3">
        <f t="shared" si="17"/>
        <v>7555432</v>
      </c>
      <c r="G33" s="3">
        <f t="shared" si="17"/>
        <v>12338626</v>
      </c>
      <c r="H33" s="3">
        <f t="shared" si="17"/>
        <v>17414751</v>
      </c>
      <c r="I33" s="3">
        <f t="shared" si="17"/>
        <v>21457654</v>
      </c>
      <c r="J33" s="3">
        <f t="shared" si="17"/>
        <v>28848195</v>
      </c>
      <c r="K33" s="3">
        <f t="shared" si="17"/>
        <v>35136374</v>
      </c>
      <c r="L33" s="3">
        <f t="shared" si="16"/>
        <v>45858154</v>
      </c>
      <c r="M33" s="3">
        <f t="shared" si="16"/>
        <v>49928977</v>
      </c>
      <c r="N33" s="3">
        <f t="shared" si="16"/>
        <v>58688244</v>
      </c>
      <c r="O33" s="3">
        <f t="shared" si="16"/>
        <v>64076793</v>
      </c>
      <c r="P33" s="3">
        <f t="shared" si="16"/>
        <v>95032425</v>
      </c>
      <c r="Q33" s="4">
        <f t="shared" si="16"/>
        <v>63018871.382201396</v>
      </c>
      <c r="R33" s="4">
        <f t="shared" si="16"/>
        <v>79218496.314967737</v>
      </c>
      <c r="S33" s="4">
        <f t="shared" si="16"/>
        <v>81062931.615298763</v>
      </c>
      <c r="T33" s="4">
        <f t="shared" si="16"/>
        <v>87713548.311436683</v>
      </c>
      <c r="U33" s="4">
        <f t="shared" si="16"/>
        <v>97935585.677126527</v>
      </c>
      <c r="V33" s="4">
        <f t="shared" si="16"/>
        <v>111040449.64259934</v>
      </c>
      <c r="W33" s="4">
        <f t="shared" si="16"/>
        <v>120607272.82448298</v>
      </c>
      <c r="X33" s="4">
        <f t="shared" si="16"/>
        <v>136022606.05227751</v>
      </c>
      <c r="Y33" s="4">
        <f t="shared" si="16"/>
        <v>160323365.25987089</v>
      </c>
      <c r="Z33" s="4">
        <f t="shared" si="16"/>
        <v>185092908.33543923</v>
      </c>
      <c r="AA33" s="4">
        <f t="shared" si="16"/>
        <v>213538668.49353027</v>
      </c>
      <c r="AB33" s="4">
        <f t="shared" si="16"/>
        <v>249481819.49266052</v>
      </c>
      <c r="AC33" s="4">
        <f t="shared" si="16"/>
        <v>289879523.70009696</v>
      </c>
      <c r="AD33" s="4">
        <f t="shared" si="16"/>
        <v>334552980.40125453</v>
      </c>
      <c r="AE33" s="4">
        <f t="shared" si="16"/>
        <v>386056462.35273665</v>
      </c>
      <c r="AF33" s="4">
        <f t="shared" si="16"/>
        <v>443648947.72592813</v>
      </c>
      <c r="AG33" s="4">
        <f t="shared" si="16"/>
        <v>507138770.49095267</v>
      </c>
      <c r="AH33" s="4"/>
      <c r="AI33" s="4" t="s">
        <v>75</v>
      </c>
      <c r="AJ33" s="112">
        <v>58688244</v>
      </c>
      <c r="AK33" s="112">
        <v>64076793</v>
      </c>
      <c r="AL33" s="155">
        <v>86615560.829786211</v>
      </c>
    </row>
    <row r="34" spans="1:38">
      <c r="A34" s="2" t="s">
        <v>52</v>
      </c>
      <c r="B34" s="3">
        <f t="shared" si="17"/>
        <v>0</v>
      </c>
      <c r="C34" s="3">
        <f t="shared" si="17"/>
        <v>0</v>
      </c>
      <c r="D34" s="3">
        <f t="shared" si="17"/>
        <v>0</v>
      </c>
      <c r="E34" s="3">
        <f t="shared" si="17"/>
        <v>0</v>
      </c>
      <c r="F34" s="3">
        <f t="shared" si="17"/>
        <v>7047762</v>
      </c>
      <c r="G34" s="3">
        <f t="shared" si="17"/>
        <v>12038000</v>
      </c>
      <c r="H34" s="3">
        <f t="shared" si="17"/>
        <v>17807860</v>
      </c>
      <c r="I34" s="3">
        <f t="shared" si="17"/>
        <v>22085453</v>
      </c>
      <c r="J34" s="3">
        <f t="shared" si="17"/>
        <v>28998515</v>
      </c>
      <c r="K34" s="3">
        <f t="shared" si="17"/>
        <v>33503429</v>
      </c>
      <c r="L34" s="3">
        <f t="shared" si="16"/>
        <v>44645865</v>
      </c>
      <c r="M34" s="3">
        <f t="shared" si="16"/>
        <v>49483460</v>
      </c>
      <c r="N34" s="3">
        <f t="shared" si="16"/>
        <v>59694272</v>
      </c>
      <c r="O34" s="3">
        <f>O50+O98+O146</f>
        <v>63558723</v>
      </c>
      <c r="P34" s="3">
        <f t="shared" si="16"/>
        <v>92622929</v>
      </c>
      <c r="Q34" s="4">
        <f t="shared" si="16"/>
        <v>62483809.982142672</v>
      </c>
      <c r="R34" s="4">
        <f t="shared" si="16"/>
        <v>80091697.105403811</v>
      </c>
      <c r="S34" s="4">
        <f t="shared" si="16"/>
        <v>82259924.628423885</v>
      </c>
      <c r="T34" s="4">
        <f t="shared" si="16"/>
        <v>88822827.337498471</v>
      </c>
      <c r="U34" s="4">
        <f t="shared" si="16"/>
        <v>99612534.085445449</v>
      </c>
      <c r="V34" s="4">
        <f t="shared" si="16"/>
        <v>114154730.33924355</v>
      </c>
      <c r="W34" s="4">
        <f t="shared" si="16"/>
        <v>124950201.83111568</v>
      </c>
      <c r="X34" s="4">
        <f t="shared" si="16"/>
        <v>141711081.37239975</v>
      </c>
      <c r="Y34" s="4">
        <f t="shared" si="16"/>
        <v>167977040.04318407</v>
      </c>
      <c r="Z34" s="4">
        <f t="shared" si="16"/>
        <v>195220571.68266124</v>
      </c>
      <c r="AA34" s="4">
        <f t="shared" si="16"/>
        <v>226913550.1757527</v>
      </c>
      <c r="AB34" s="4">
        <f t="shared" si="16"/>
        <v>266976124.72148496</v>
      </c>
      <c r="AC34" s="4">
        <f t="shared" si="16"/>
        <v>312329367.94677454</v>
      </c>
      <c r="AD34" s="4">
        <f t="shared" si="16"/>
        <v>362980066.82599819</v>
      </c>
      <c r="AE34" s="4">
        <f t="shared" si="16"/>
        <v>421877193.00582421</v>
      </c>
      <c r="AF34" s="4">
        <f t="shared" si="16"/>
        <v>488339263.30568445</v>
      </c>
      <c r="AG34" s="4">
        <f t="shared" si="16"/>
        <v>562243965.50053155</v>
      </c>
      <c r="AH34" s="4"/>
      <c r="AI34" s="4" t="s">
        <v>76</v>
      </c>
      <c r="AJ34" s="112">
        <v>59694272</v>
      </c>
      <c r="AK34" s="112">
        <v>63558723</v>
      </c>
      <c r="AL34" s="155">
        <v>85612259.311710745</v>
      </c>
    </row>
    <row r="35" spans="1:38">
      <c r="A35" s="2" t="s">
        <v>53</v>
      </c>
      <c r="B35" s="3">
        <f t="shared" si="17"/>
        <v>0</v>
      </c>
      <c r="C35" s="3">
        <f t="shared" si="17"/>
        <v>0</v>
      </c>
      <c r="D35" s="3">
        <f t="shared" si="17"/>
        <v>0</v>
      </c>
      <c r="E35" s="3">
        <f t="shared" si="17"/>
        <v>0</v>
      </c>
      <c r="F35" s="3">
        <f t="shared" si="17"/>
        <v>6325080</v>
      </c>
      <c r="G35" s="3">
        <f t="shared" si="17"/>
        <v>12345869</v>
      </c>
      <c r="H35" s="3">
        <f t="shared" si="17"/>
        <v>16603002</v>
      </c>
      <c r="I35" s="3">
        <f t="shared" si="17"/>
        <v>22557464</v>
      </c>
      <c r="J35" s="3">
        <f t="shared" si="17"/>
        <v>27639476</v>
      </c>
      <c r="K35" s="3">
        <f t="shared" si="17"/>
        <v>32969433</v>
      </c>
      <c r="L35" s="3">
        <f t="shared" si="16"/>
        <v>46342110</v>
      </c>
      <c r="M35" s="3">
        <f t="shared" si="16"/>
        <v>52423506</v>
      </c>
      <c r="N35" s="3">
        <f t="shared" si="16"/>
        <v>59243228</v>
      </c>
      <c r="O35" s="3">
        <f>O51+O99+O147</f>
        <v>69799232</v>
      </c>
      <c r="P35" s="3">
        <f t="shared" si="16"/>
        <v>96133088</v>
      </c>
      <c r="Q35" s="4">
        <f t="shared" si="16"/>
        <v>65491401.730381735</v>
      </c>
      <c r="R35" s="4">
        <f t="shared" si="16"/>
        <v>81873014.174475208</v>
      </c>
      <c r="S35" s="4">
        <f t="shared" si="16"/>
        <v>83651205.367281288</v>
      </c>
      <c r="T35" s="4">
        <f t="shared" si="16"/>
        <v>89969956.115186155</v>
      </c>
      <c r="U35" s="4">
        <f t="shared" si="16"/>
        <v>98821054.283700198</v>
      </c>
      <c r="V35" s="4">
        <f t="shared" si="16"/>
        <v>111254410.97450528</v>
      </c>
      <c r="W35" s="4">
        <f t="shared" si="16"/>
        <v>120079564.91242005</v>
      </c>
      <c r="X35" s="4">
        <f t="shared" si="16"/>
        <v>134398719.98619822</v>
      </c>
      <c r="Y35" s="4">
        <f t="shared" si="16"/>
        <v>157165066.90852958</v>
      </c>
      <c r="Z35" s="4">
        <f t="shared" si="16"/>
        <v>180152965.23960653</v>
      </c>
      <c r="AA35" s="4">
        <f t="shared" si="16"/>
        <v>206276809.66887265</v>
      </c>
      <c r="AB35" s="4">
        <f t="shared" si="16"/>
        <v>239177788.29739404</v>
      </c>
      <c r="AC35" s="4">
        <f t="shared" si="16"/>
        <v>275726838.4327088</v>
      </c>
      <c r="AD35" s="4">
        <f t="shared" si="16"/>
        <v>315767203.54877663</v>
      </c>
      <c r="AE35" s="4">
        <f t="shared" si="16"/>
        <v>361606634.08758503</v>
      </c>
      <c r="AF35" s="4">
        <f t="shared" si="16"/>
        <v>412307814.22972178</v>
      </c>
      <c r="AG35" s="4">
        <f t="shared" si="16"/>
        <v>467643789.07004225</v>
      </c>
      <c r="AH35" s="4"/>
      <c r="AI35" s="4" t="s">
        <v>77</v>
      </c>
      <c r="AJ35" s="112">
        <v>59243228</v>
      </c>
      <c r="AK35" s="112">
        <v>69799232</v>
      </c>
      <c r="AL35" s="155">
        <v>88408415.124999404</v>
      </c>
    </row>
    <row r="36" spans="1:38">
      <c r="A36" s="2" t="s">
        <v>54</v>
      </c>
      <c r="B36" s="3">
        <f t="shared" si="17"/>
        <v>0</v>
      </c>
      <c r="C36" s="3">
        <f t="shared" si="17"/>
        <v>0</v>
      </c>
      <c r="D36" s="3">
        <f t="shared" si="17"/>
        <v>0</v>
      </c>
      <c r="E36" s="3">
        <f t="shared" si="17"/>
        <v>0</v>
      </c>
      <c r="F36" s="3">
        <f t="shared" si="17"/>
        <v>8863270</v>
      </c>
      <c r="G36" s="3">
        <f t="shared" si="17"/>
        <v>28941605</v>
      </c>
      <c r="H36" s="3">
        <f t="shared" si="17"/>
        <v>30600276</v>
      </c>
      <c r="I36" s="3">
        <f t="shared" si="17"/>
        <v>49168657</v>
      </c>
      <c r="J36" s="3">
        <f t="shared" si="17"/>
        <v>59466742</v>
      </c>
      <c r="K36" s="3">
        <f t="shared" si="17"/>
        <v>69991641</v>
      </c>
      <c r="L36" s="3">
        <f t="shared" si="16"/>
        <v>92232905</v>
      </c>
      <c r="M36" s="3">
        <f t="shared" si="16"/>
        <v>100840685</v>
      </c>
      <c r="N36" s="3">
        <f t="shared" si="16"/>
        <v>116538277</v>
      </c>
      <c r="O36" s="3">
        <f>O52+O100+O148</f>
        <v>60574987</v>
      </c>
      <c r="P36" s="4">
        <f t="shared" si="16"/>
        <v>85654994</v>
      </c>
      <c r="Q36" s="4">
        <f t="shared" si="16"/>
        <v>130313180.70463371</v>
      </c>
      <c r="R36" s="4">
        <f t="shared" si="16"/>
        <v>135842590.68138161</v>
      </c>
      <c r="S36" s="4">
        <f t="shared" si="16"/>
        <v>134444054.39302245</v>
      </c>
      <c r="T36" s="4">
        <f t="shared" si="16"/>
        <v>140981764.53562909</v>
      </c>
      <c r="U36" s="4">
        <f t="shared" si="16"/>
        <v>149319657.13300884</v>
      </c>
      <c r="V36" s="4">
        <f t="shared" si="16"/>
        <v>180947408.23279217</v>
      </c>
      <c r="W36" s="4">
        <f t="shared" si="16"/>
        <v>185958594.81223458</v>
      </c>
      <c r="X36" s="4">
        <f t="shared" si="16"/>
        <v>200737122.04577798</v>
      </c>
      <c r="Y36" s="4">
        <f t="shared" si="16"/>
        <v>225584133.13521266</v>
      </c>
      <c r="Z36" s="4">
        <f t="shared" si="16"/>
        <v>246620998.35285789</v>
      </c>
      <c r="AA36" s="4">
        <f t="shared" si="16"/>
        <v>269585810.16687214</v>
      </c>
      <c r="AB36" s="4">
        <f t="shared" si="16"/>
        <v>292191739.26297796</v>
      </c>
      <c r="AC36" s="4">
        <f t="shared" si="16"/>
        <v>313279201.42161232</v>
      </c>
      <c r="AD36" s="4">
        <f t="shared" si="16"/>
        <v>330502717.93333548</v>
      </c>
      <c r="AE36" s="4">
        <f t="shared" ref="AE36:AG36" si="18">AE52+AE100+AE148</f>
        <v>344385593.31210434</v>
      </c>
      <c r="AF36" s="4">
        <f t="shared" si="18"/>
        <v>352393939.15612775</v>
      </c>
      <c r="AG36" s="4">
        <f t="shared" si="18"/>
        <v>352093033.63154137</v>
      </c>
      <c r="AH36" s="4"/>
      <c r="AI36" s="4" t="s">
        <v>78</v>
      </c>
      <c r="AJ36" s="112">
        <v>116538277</v>
      </c>
      <c r="AK36" s="112">
        <v>60574987</v>
      </c>
      <c r="AL36" s="155">
        <v>98822653.80004105</v>
      </c>
    </row>
    <row r="37" spans="1:38" ht="15.75" thickBot="1">
      <c r="A37" s="2" t="s">
        <v>29</v>
      </c>
      <c r="B37" s="3">
        <f>SUM(B25:B36)</f>
        <v>0</v>
      </c>
      <c r="C37" s="3">
        <f t="shared" ref="C37:AG37" si="19">SUM(C25:C36)</f>
        <v>0</v>
      </c>
      <c r="D37" s="3">
        <f t="shared" si="19"/>
        <v>20069</v>
      </c>
      <c r="E37" s="3">
        <f t="shared" si="19"/>
        <v>0</v>
      </c>
      <c r="F37" s="3">
        <f t="shared" si="19"/>
        <v>33316392</v>
      </c>
      <c r="G37" s="3">
        <f t="shared" si="19"/>
        <v>142040241</v>
      </c>
      <c r="H37" s="3">
        <f t="shared" si="19"/>
        <v>192361795</v>
      </c>
      <c r="I37" s="3">
        <f t="shared" si="19"/>
        <v>250624473</v>
      </c>
      <c r="J37" s="3">
        <f t="shared" si="19"/>
        <v>312348198</v>
      </c>
      <c r="K37" s="3">
        <f t="shared" si="19"/>
        <v>414122810</v>
      </c>
      <c r="L37" s="3">
        <f t="shared" si="19"/>
        <v>505872211</v>
      </c>
      <c r="M37" s="3">
        <f t="shared" si="19"/>
        <v>568414154</v>
      </c>
      <c r="N37" s="3">
        <f t="shared" si="19"/>
        <v>668618747</v>
      </c>
      <c r="O37" s="3">
        <f t="shared" si="19"/>
        <v>704232859</v>
      </c>
      <c r="P37" s="4">
        <f t="shared" si="19"/>
        <v>921163090</v>
      </c>
      <c r="Q37" s="4">
        <f t="shared" si="19"/>
        <v>642893076.81687927</v>
      </c>
      <c r="R37" s="4">
        <f t="shared" si="19"/>
        <v>772558826.29679644</v>
      </c>
      <c r="S37" s="4">
        <f t="shared" si="19"/>
        <v>775384939.27208936</v>
      </c>
      <c r="T37" s="4">
        <f t="shared" si="19"/>
        <v>822873120.59585667</v>
      </c>
      <c r="U37" s="4">
        <f t="shared" si="19"/>
        <v>889247611.70624554</v>
      </c>
      <c r="V37" s="4">
        <f t="shared" si="19"/>
        <v>1002672360.7283525</v>
      </c>
      <c r="W37" s="4">
        <f t="shared" si="19"/>
        <v>1066474459.0683436</v>
      </c>
      <c r="X37" s="4">
        <f t="shared" si="19"/>
        <v>1177139741.306216</v>
      </c>
      <c r="Y37" s="4">
        <f t="shared" si="19"/>
        <v>1357409485.3158479</v>
      </c>
      <c r="Z37" s="4">
        <f t="shared" si="19"/>
        <v>1531826069.9641216</v>
      </c>
      <c r="AA37" s="4">
        <f t="shared" si="19"/>
        <v>1731877156.6922884</v>
      </c>
      <c r="AB37" s="4">
        <f t="shared" si="19"/>
        <v>1978592899.6411023</v>
      </c>
      <c r="AC37" s="4">
        <f t="shared" si="19"/>
        <v>2248581266.9977798</v>
      </c>
      <c r="AD37" s="4">
        <f t="shared" si="19"/>
        <v>2538390493.634481</v>
      </c>
      <c r="AE37" s="4">
        <f t="shared" si="19"/>
        <v>2864803464.6798182</v>
      </c>
      <c r="AF37" s="4">
        <f t="shared" si="19"/>
        <v>3220144119.3196259</v>
      </c>
      <c r="AG37" s="4">
        <f t="shared" si="19"/>
        <v>3599899839.9662862</v>
      </c>
      <c r="AH37" s="4"/>
      <c r="AI37" s="4"/>
      <c r="AJ37" s="112">
        <f>N37+'D4 RIN Forecast'!N47+'D5 RIN Forecast'!N50+'D6 RIN Forecast'!N45+'D7 RIN Forecast'!N35</f>
        <v>21335893318</v>
      </c>
      <c r="AK37" s="112">
        <f>O37+'D4 RIN Forecast'!O47+'D5 RIN Forecast'!O50+'D6 RIN Forecast'!O45+'D7 RIN Forecast'!O35</f>
        <v>23791108058</v>
      </c>
      <c r="AL37" s="155">
        <f>P37+'D4 RIN Forecast'!P47+'D5 RIN Forecast'!P50+'D6 RIN Forecast'!P45+'D7 RIN Forecast'!P35</f>
        <v>25269483862</v>
      </c>
    </row>
    <row r="38" spans="1:38">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114"/>
      <c r="AE38" s="114"/>
      <c r="AF38" s="114"/>
      <c r="AG38" s="114"/>
      <c r="AH38" s="2"/>
      <c r="AI38" s="2"/>
      <c r="AJ38" s="2"/>
      <c r="AK38" s="2"/>
      <c r="AL38" s="2"/>
    </row>
    <row r="39" spans="1:38" ht="16.5" thickBot="1">
      <c r="A39" s="109" t="s">
        <v>272</v>
      </c>
    </row>
    <row r="40" spans="1:38" ht="15.75" thickBot="1">
      <c r="A40" s="110"/>
      <c r="B40" s="111">
        <v>2010</v>
      </c>
      <c r="C40" s="111">
        <v>2011</v>
      </c>
      <c r="D40" s="111">
        <v>2012</v>
      </c>
      <c r="E40" s="111">
        <v>2013</v>
      </c>
      <c r="F40" s="111">
        <v>2014</v>
      </c>
      <c r="G40" s="111">
        <v>2015</v>
      </c>
      <c r="H40" s="111">
        <v>2016</v>
      </c>
      <c r="I40" s="111">
        <v>2017</v>
      </c>
      <c r="J40" s="111">
        <v>2018</v>
      </c>
      <c r="K40" s="111">
        <v>2019</v>
      </c>
      <c r="L40" s="111">
        <v>2020</v>
      </c>
      <c r="M40" s="111">
        <v>2021</v>
      </c>
      <c r="N40" s="111">
        <v>2022</v>
      </c>
      <c r="O40" s="111">
        <v>2023</v>
      </c>
      <c r="P40" s="111">
        <v>2024</v>
      </c>
      <c r="Q40" s="111">
        <v>2025</v>
      </c>
      <c r="R40" s="111">
        <v>2026</v>
      </c>
      <c r="S40" s="111">
        <v>2027</v>
      </c>
      <c r="T40" s="111">
        <v>2028</v>
      </c>
      <c r="U40" s="111">
        <v>2029</v>
      </c>
      <c r="V40" s="111">
        <v>2030</v>
      </c>
      <c r="W40" s="111">
        <v>2031</v>
      </c>
      <c r="X40" s="111">
        <v>2032</v>
      </c>
      <c r="Y40" s="111">
        <v>2033</v>
      </c>
      <c r="Z40" s="111">
        <v>2034</v>
      </c>
      <c r="AA40" s="111">
        <v>2035</v>
      </c>
      <c r="AB40" s="111">
        <v>2036</v>
      </c>
      <c r="AC40" s="111">
        <v>2037</v>
      </c>
      <c r="AD40" s="111">
        <v>2038</v>
      </c>
      <c r="AE40" s="111">
        <v>2039</v>
      </c>
      <c r="AF40" s="111">
        <v>2040</v>
      </c>
      <c r="AG40" s="111">
        <v>2041</v>
      </c>
      <c r="AH40" s="94"/>
      <c r="AI40" s="94"/>
      <c r="AJ40" s="94"/>
      <c r="AK40" s="94"/>
      <c r="AL40" s="94"/>
    </row>
    <row r="41" spans="1:38">
      <c r="A41" s="2" t="s">
        <v>43</v>
      </c>
      <c r="B41" s="3">
        <f>B57+B73</f>
        <v>0</v>
      </c>
      <c r="C41" s="3">
        <f t="shared" ref="C41:AG52" si="20">C57+C73</f>
        <v>0</v>
      </c>
      <c r="D41" s="3">
        <f t="shared" si="20"/>
        <v>0</v>
      </c>
      <c r="E41" s="3">
        <f t="shared" si="20"/>
        <v>0</v>
      </c>
      <c r="F41" s="3">
        <f t="shared" si="20"/>
        <v>14247</v>
      </c>
      <c r="G41" s="3">
        <f t="shared" si="20"/>
        <v>114261</v>
      </c>
      <c r="H41" s="3">
        <f t="shared" si="20"/>
        <v>285432</v>
      </c>
      <c r="I41" s="3">
        <f t="shared" si="20"/>
        <v>224887</v>
      </c>
      <c r="J41" s="3">
        <f t="shared" si="20"/>
        <v>760163</v>
      </c>
      <c r="K41" s="3">
        <f t="shared" si="20"/>
        <v>528864</v>
      </c>
      <c r="L41" s="3">
        <f t="shared" si="20"/>
        <v>174291</v>
      </c>
      <c r="M41" s="3">
        <f t="shared" si="20"/>
        <v>203252</v>
      </c>
      <c r="N41" s="3">
        <f t="shared" si="20"/>
        <v>0</v>
      </c>
      <c r="O41" s="3">
        <f t="shared" si="20"/>
        <v>0</v>
      </c>
      <c r="P41" s="3">
        <f t="shared" si="20"/>
        <v>220800</v>
      </c>
      <c r="Q41" s="4">
        <f t="shared" si="20"/>
        <v>7329992</v>
      </c>
      <c r="R41" s="4">
        <f t="shared" si="20"/>
        <v>5964415.4673861954</v>
      </c>
      <c r="S41" s="4">
        <f t="shared" si="20"/>
        <v>6461191.7268393831</v>
      </c>
      <c r="T41" s="4">
        <f t="shared" si="20"/>
        <v>6764640.6476830868</v>
      </c>
      <c r="U41" s="4">
        <f t="shared" si="20"/>
        <v>6799417.1237654742</v>
      </c>
      <c r="V41" s="4">
        <f t="shared" si="20"/>
        <v>7395816.6201465186</v>
      </c>
      <c r="W41" s="4">
        <f t="shared" si="20"/>
        <v>7297469.4213851253</v>
      </c>
      <c r="X41" s="4">
        <f t="shared" si="20"/>
        <v>7990568.8869287092</v>
      </c>
      <c r="Y41" s="4">
        <f t="shared" si="20"/>
        <v>9190848.0216668379</v>
      </c>
      <c r="Z41" s="4">
        <f t="shared" si="20"/>
        <v>10760087.879965207</v>
      </c>
      <c r="AA41" s="4">
        <f t="shared" si="20"/>
        <v>12015398.323441956</v>
      </c>
      <c r="AB41" s="4">
        <f t="shared" si="20"/>
        <v>13650400.683476986</v>
      </c>
      <c r="AC41" s="4">
        <f t="shared" si="20"/>
        <v>15477767.146378262</v>
      </c>
      <c r="AD41" s="4">
        <f t="shared" si="20"/>
        <v>17500028.404727966</v>
      </c>
      <c r="AE41" s="4">
        <f t="shared" si="20"/>
        <v>19851921.961220797</v>
      </c>
      <c r="AF41" s="4">
        <f t="shared" si="20"/>
        <v>22243325.247575782</v>
      </c>
      <c r="AG41" s="4">
        <f t="shared" si="20"/>
        <v>24846423.79998013</v>
      </c>
      <c r="AH41" s="4"/>
      <c r="AI41" s="4"/>
      <c r="AJ41" s="4"/>
      <c r="AK41" s="4"/>
      <c r="AL41" s="4"/>
    </row>
    <row r="42" spans="1:38">
      <c r="A42" s="2" t="s">
        <v>44</v>
      </c>
      <c r="B42" s="3">
        <f t="shared" ref="B42:K52" si="21">B58+B74</f>
        <v>0</v>
      </c>
      <c r="C42" s="3">
        <f t="shared" si="21"/>
        <v>0</v>
      </c>
      <c r="D42" s="3">
        <f t="shared" si="21"/>
        <v>0</v>
      </c>
      <c r="E42" s="3">
        <f t="shared" si="21"/>
        <v>0</v>
      </c>
      <c r="F42" s="3">
        <f t="shared" si="21"/>
        <v>7072</v>
      </c>
      <c r="G42" s="3">
        <f t="shared" si="21"/>
        <v>85097</v>
      </c>
      <c r="H42" s="3">
        <f t="shared" si="21"/>
        <v>271521</v>
      </c>
      <c r="I42" s="3">
        <f t="shared" si="21"/>
        <v>131880</v>
      </c>
      <c r="J42" s="3">
        <f t="shared" si="21"/>
        <v>521507</v>
      </c>
      <c r="K42" s="3">
        <f t="shared" si="21"/>
        <v>1031913</v>
      </c>
      <c r="L42" s="3">
        <f t="shared" si="20"/>
        <v>188014</v>
      </c>
      <c r="M42" s="3">
        <f t="shared" si="20"/>
        <v>29238</v>
      </c>
      <c r="N42" s="3">
        <f t="shared" si="20"/>
        <v>87513</v>
      </c>
      <c r="O42" s="3">
        <f>O58+O74</f>
        <v>86732</v>
      </c>
      <c r="P42" s="3">
        <f>P58+P74</f>
        <v>153198</v>
      </c>
      <c r="Q42" s="4">
        <f>Q58+Q74</f>
        <v>6279631</v>
      </c>
      <c r="R42" s="4">
        <f>R58+R74</f>
        <v>5104655.3178187553</v>
      </c>
      <c r="S42" s="4">
        <f>S58+S74</f>
        <v>5599006.0646777106</v>
      </c>
      <c r="T42" s="4">
        <f t="shared" si="20"/>
        <v>5832327.8925262485</v>
      </c>
      <c r="U42" s="4">
        <f t="shared" si="20"/>
        <v>5840258.1655440852</v>
      </c>
      <c r="V42" s="4">
        <f t="shared" si="20"/>
        <v>6360618.3657285534</v>
      </c>
      <c r="W42" s="4">
        <f t="shared" si="20"/>
        <v>6281365.1182121569</v>
      </c>
      <c r="X42" s="4">
        <f t="shared" si="20"/>
        <v>6884693.8047099095</v>
      </c>
      <c r="Y42" s="4">
        <f t="shared" si="20"/>
        <v>7910736.5486563193</v>
      </c>
      <c r="Z42" s="4">
        <f t="shared" si="20"/>
        <v>9258663.7913723011</v>
      </c>
      <c r="AA42" s="4">
        <f t="shared" si="20"/>
        <v>10341741.592533404</v>
      </c>
      <c r="AB42" s="4">
        <f t="shared" si="20"/>
        <v>11750448.912792325</v>
      </c>
      <c r="AC42" s="4">
        <f t="shared" si="20"/>
        <v>13323584.622146409</v>
      </c>
      <c r="AD42" s="4">
        <f t="shared" si="20"/>
        <v>15062600.289654382</v>
      </c>
      <c r="AE42" s="4">
        <f t="shared" si="20"/>
        <v>17086918.141858812</v>
      </c>
      <c r="AF42" s="4">
        <f t="shared" si="20"/>
        <v>19146020.90314246</v>
      </c>
      <c r="AG42" s="4">
        <f t="shared" si="20"/>
        <v>21386802.622830257</v>
      </c>
      <c r="AH42" s="4"/>
      <c r="AI42" s="4"/>
      <c r="AJ42" s="4"/>
      <c r="AK42" s="4"/>
      <c r="AL42" s="4"/>
    </row>
    <row r="43" spans="1:38">
      <c r="A43" s="2" t="s">
        <v>45</v>
      </c>
      <c r="B43" s="3">
        <f t="shared" si="21"/>
        <v>0</v>
      </c>
      <c r="C43" s="3">
        <f t="shared" si="21"/>
        <v>0</v>
      </c>
      <c r="D43" s="3">
        <f t="shared" si="21"/>
        <v>0</v>
      </c>
      <c r="E43" s="3">
        <f t="shared" si="21"/>
        <v>0</v>
      </c>
      <c r="F43" s="3">
        <f t="shared" si="21"/>
        <v>6624</v>
      </c>
      <c r="G43" s="3">
        <f t="shared" si="21"/>
        <v>86879</v>
      </c>
      <c r="H43" s="3">
        <f t="shared" si="21"/>
        <v>446422</v>
      </c>
      <c r="I43" s="3">
        <f t="shared" si="21"/>
        <v>617908</v>
      </c>
      <c r="J43" s="3">
        <f t="shared" si="21"/>
        <v>2337899</v>
      </c>
      <c r="K43" s="3">
        <f t="shared" si="21"/>
        <v>4660317</v>
      </c>
      <c r="L43" s="3">
        <f t="shared" si="20"/>
        <v>156652</v>
      </c>
      <c r="M43" s="3">
        <f t="shared" si="20"/>
        <v>0</v>
      </c>
      <c r="N43" s="3">
        <f t="shared" si="20"/>
        <v>0</v>
      </c>
      <c r="O43" s="3">
        <f t="shared" si="20"/>
        <v>202916</v>
      </c>
      <c r="P43" s="3">
        <f>P59+P75</f>
        <v>187956</v>
      </c>
      <c r="Q43" s="4">
        <f>Q59+Q75</f>
        <v>1227017.1214811218</v>
      </c>
      <c r="R43" s="4">
        <f>R59+R75</f>
        <v>1244481.3184807652</v>
      </c>
      <c r="S43" s="4">
        <f>S59+S75</f>
        <v>1368408.4576918522</v>
      </c>
      <c r="T43" s="4">
        <f t="shared" si="20"/>
        <v>1432675.5600028855</v>
      </c>
      <c r="U43" s="4">
        <f t="shared" si="20"/>
        <v>1388445.5845199579</v>
      </c>
      <c r="V43" s="4">
        <f t="shared" si="20"/>
        <v>1478518.8800815996</v>
      </c>
      <c r="W43" s="4">
        <f t="shared" si="20"/>
        <v>1510955.4348021855</v>
      </c>
      <c r="X43" s="4">
        <f t="shared" si="20"/>
        <v>1652268.0017224178</v>
      </c>
      <c r="Y43" s="4">
        <f t="shared" si="20"/>
        <v>1892248.0984087121</v>
      </c>
      <c r="Z43" s="4">
        <f t="shared" si="20"/>
        <v>2204215.8274194691</v>
      </c>
      <c r="AA43" s="4">
        <f t="shared" si="20"/>
        <v>2462613.902661161</v>
      </c>
      <c r="AB43" s="4">
        <f t="shared" si="20"/>
        <v>2808487.3572100908</v>
      </c>
      <c r="AC43" s="4">
        <f t="shared" si="20"/>
        <v>3181700.9995050156</v>
      </c>
      <c r="AD43" s="4">
        <f t="shared" si="20"/>
        <v>3594636.2980766967</v>
      </c>
      <c r="AE43" s="4">
        <f t="shared" si="20"/>
        <v>4076480.1049217922</v>
      </c>
      <c r="AF43" s="4">
        <f t="shared" si="20"/>
        <v>4569045.2522179792</v>
      </c>
      <c r="AG43" s="4">
        <f t="shared" si="20"/>
        <v>5105291.0576840639</v>
      </c>
      <c r="AH43" s="4"/>
      <c r="AI43" s="4"/>
      <c r="AJ43" s="4"/>
      <c r="AK43" s="4"/>
      <c r="AL43" s="4"/>
    </row>
    <row r="44" spans="1:38">
      <c r="A44" s="2" t="s">
        <v>46</v>
      </c>
      <c r="B44" s="3">
        <f t="shared" si="21"/>
        <v>0</v>
      </c>
      <c r="C44" s="3">
        <f t="shared" si="21"/>
        <v>0</v>
      </c>
      <c r="D44" s="3">
        <f t="shared" si="21"/>
        <v>20069</v>
      </c>
      <c r="E44" s="3">
        <f t="shared" si="21"/>
        <v>0</v>
      </c>
      <c r="F44" s="3">
        <f t="shared" si="21"/>
        <v>643</v>
      </c>
      <c r="G44" s="3">
        <f t="shared" si="21"/>
        <v>288685</v>
      </c>
      <c r="H44" s="3">
        <f t="shared" si="21"/>
        <v>377236</v>
      </c>
      <c r="I44" s="3">
        <f t="shared" si="21"/>
        <v>331595</v>
      </c>
      <c r="J44" s="3">
        <f t="shared" si="21"/>
        <v>877687</v>
      </c>
      <c r="K44" s="3">
        <f t="shared" si="21"/>
        <v>401898</v>
      </c>
      <c r="L44" s="3">
        <f t="shared" si="20"/>
        <v>203361</v>
      </c>
      <c r="M44" s="3">
        <f t="shared" si="20"/>
        <v>0</v>
      </c>
      <c r="N44" s="3">
        <f t="shared" si="20"/>
        <v>86794</v>
      </c>
      <c r="O44" s="3">
        <f t="shared" si="20"/>
        <v>0</v>
      </c>
      <c r="P44" s="3">
        <f t="shared" si="20"/>
        <v>694722</v>
      </c>
      <c r="Q44" s="4">
        <f t="shared" si="20"/>
        <v>2207137.8451957591</v>
      </c>
      <c r="R44" s="4">
        <f t="shared" si="20"/>
        <v>2298874.3965018531</v>
      </c>
      <c r="S44" s="4">
        <f t="shared" si="20"/>
        <v>2527799.4298738926</v>
      </c>
      <c r="T44" s="4">
        <f t="shared" si="20"/>
        <v>2617125.965164552</v>
      </c>
      <c r="U44" s="4">
        <f t="shared" si="20"/>
        <v>2630580.400259092</v>
      </c>
      <c r="V44" s="4">
        <f t="shared" si="20"/>
        <v>2726074.1403254182</v>
      </c>
      <c r="W44" s="4">
        <f t="shared" si="20"/>
        <v>2797950.4752206611</v>
      </c>
      <c r="X44" s="4">
        <f t="shared" si="20"/>
        <v>3060924.4387559043</v>
      </c>
      <c r="Y44" s="4">
        <f t="shared" si="20"/>
        <v>3507342.1951577319</v>
      </c>
      <c r="Z44" s="4">
        <f t="shared" si="20"/>
        <v>4096263.664014562</v>
      </c>
      <c r="AA44" s="4">
        <f t="shared" si="20"/>
        <v>4562281.9246721128</v>
      </c>
      <c r="AB44" s="4">
        <f t="shared" si="20"/>
        <v>5206824.6779914647</v>
      </c>
      <c r="AC44" s="4">
        <f t="shared" si="20"/>
        <v>5899701.1882487247</v>
      </c>
      <c r="AD44" s="4">
        <f t="shared" si="20"/>
        <v>6666195.5859283395</v>
      </c>
      <c r="AE44" s="4">
        <f t="shared" si="20"/>
        <v>7560282.570021485</v>
      </c>
      <c r="AF44" s="4">
        <f t="shared" si="20"/>
        <v>8471446.5000341069</v>
      </c>
      <c r="AG44" s="4">
        <f t="shared" si="20"/>
        <v>9466716.7030847669</v>
      </c>
      <c r="AH44" s="4"/>
      <c r="AI44" s="4"/>
      <c r="AJ44" s="4"/>
      <c r="AK44" s="4"/>
      <c r="AL44" s="4"/>
    </row>
    <row r="45" spans="1:38">
      <c r="A45" s="2" t="s">
        <v>47</v>
      </c>
      <c r="B45" s="3">
        <f t="shared" si="21"/>
        <v>0</v>
      </c>
      <c r="C45" s="3">
        <f t="shared" si="21"/>
        <v>0</v>
      </c>
      <c r="D45" s="3">
        <f t="shared" si="21"/>
        <v>0</v>
      </c>
      <c r="E45" s="3">
        <f t="shared" si="21"/>
        <v>0</v>
      </c>
      <c r="F45" s="3">
        <f t="shared" si="21"/>
        <v>0</v>
      </c>
      <c r="G45" s="3">
        <f t="shared" si="21"/>
        <v>114018</v>
      </c>
      <c r="H45" s="3">
        <f t="shared" si="21"/>
        <v>395852</v>
      </c>
      <c r="I45" s="3">
        <f t="shared" si="21"/>
        <v>1936287</v>
      </c>
      <c r="J45" s="3">
        <f t="shared" si="21"/>
        <v>537342</v>
      </c>
      <c r="K45" s="3">
        <f t="shared" si="21"/>
        <v>440284</v>
      </c>
      <c r="L45" s="3">
        <f t="shared" si="20"/>
        <v>266282</v>
      </c>
      <c r="M45" s="3">
        <f t="shared" si="20"/>
        <v>0</v>
      </c>
      <c r="N45" s="3">
        <f t="shared" si="20"/>
        <v>258819</v>
      </c>
      <c r="O45" s="3">
        <f t="shared" si="20"/>
        <v>228934</v>
      </c>
      <c r="P45" s="3">
        <f t="shared" si="20"/>
        <v>2518681</v>
      </c>
      <c r="Q45" s="4">
        <f t="shared" si="20"/>
        <v>7334251.2213989003</v>
      </c>
      <c r="R45" s="4">
        <f t="shared" si="20"/>
        <v>7954061.5036339043</v>
      </c>
      <c r="S45" s="4">
        <f t="shared" si="20"/>
        <v>8746137.7466567717</v>
      </c>
      <c r="T45" s="4">
        <f t="shared" si="20"/>
        <v>9069254.5216592737</v>
      </c>
      <c r="U45" s="4">
        <f t="shared" si="20"/>
        <v>9057668.0168197788</v>
      </c>
      <c r="V45" s="4">
        <f t="shared" si="20"/>
        <v>9358373.1536623016</v>
      </c>
      <c r="W45" s="4">
        <f t="shared" si="20"/>
        <v>9658159.2625014354</v>
      </c>
      <c r="X45" s="4">
        <f t="shared" si="20"/>
        <v>10561619.203444676</v>
      </c>
      <c r="Y45" s="4">
        <f t="shared" si="20"/>
        <v>12095871.287243245</v>
      </c>
      <c r="Z45" s="4">
        <f t="shared" si="20"/>
        <v>14114799.550576916</v>
      </c>
      <c r="AA45" s="4">
        <f t="shared" si="20"/>
        <v>15722486.513259985</v>
      </c>
      <c r="AB45" s="4">
        <f t="shared" si="20"/>
        <v>17954158.146050628</v>
      </c>
      <c r="AC45" s="4">
        <f t="shared" si="20"/>
        <v>20340366.513599198</v>
      </c>
      <c r="AD45" s="4">
        <f t="shared" si="20"/>
        <v>22980573.812860474</v>
      </c>
      <c r="AE45" s="4">
        <f t="shared" si="20"/>
        <v>26061382.96959044</v>
      </c>
      <c r="AF45" s="4">
        <f t="shared" si="20"/>
        <v>29203886.356343955</v>
      </c>
      <c r="AG45" s="4">
        <f t="shared" si="20"/>
        <v>32636372.707666516</v>
      </c>
      <c r="AH45" s="4"/>
      <c r="AI45" s="4"/>
      <c r="AJ45" s="4"/>
      <c r="AK45" s="4"/>
      <c r="AL45" s="4"/>
    </row>
    <row r="46" spans="1:38">
      <c r="A46" s="2" t="s">
        <v>48</v>
      </c>
      <c r="B46" s="3">
        <f t="shared" si="21"/>
        <v>0</v>
      </c>
      <c r="C46" s="3">
        <f t="shared" si="21"/>
        <v>0</v>
      </c>
      <c r="D46" s="3">
        <f t="shared" si="21"/>
        <v>0</v>
      </c>
      <c r="E46" s="3">
        <f t="shared" si="21"/>
        <v>0</v>
      </c>
      <c r="F46" s="3">
        <f t="shared" si="21"/>
        <v>0</v>
      </c>
      <c r="G46" s="3">
        <f t="shared" si="21"/>
        <v>282587</v>
      </c>
      <c r="H46" s="3">
        <f t="shared" si="21"/>
        <v>245266</v>
      </c>
      <c r="I46" s="3">
        <f t="shared" si="21"/>
        <v>294164</v>
      </c>
      <c r="J46" s="3">
        <f t="shared" si="21"/>
        <v>549023</v>
      </c>
      <c r="K46" s="3">
        <f t="shared" si="21"/>
        <v>175766</v>
      </c>
      <c r="L46" s="3">
        <f t="shared" si="20"/>
        <v>57226</v>
      </c>
      <c r="M46" s="3">
        <f t="shared" si="20"/>
        <v>11788</v>
      </c>
      <c r="N46" s="3">
        <f t="shared" si="20"/>
        <v>142896</v>
      </c>
      <c r="O46" s="3">
        <f t="shared" si="20"/>
        <v>0</v>
      </c>
      <c r="P46" s="3">
        <f t="shared" si="20"/>
        <v>1476953</v>
      </c>
      <c r="Q46" s="4">
        <f t="shared" si="20"/>
        <v>3784790.8344400828</v>
      </c>
      <c r="R46" s="4">
        <f t="shared" si="20"/>
        <v>4166319.6589696342</v>
      </c>
      <c r="S46" s="4">
        <f t="shared" si="20"/>
        <v>4575571.9581782604</v>
      </c>
      <c r="T46" s="4">
        <f t="shared" si="20"/>
        <v>4742073.917832531</v>
      </c>
      <c r="U46" s="4">
        <f t="shared" si="20"/>
        <v>4766452.5402566055</v>
      </c>
      <c r="V46" s="4">
        <f t="shared" si="20"/>
        <v>4891057.6855722256</v>
      </c>
      <c r="W46" s="4">
        <f t="shared" si="20"/>
        <v>5058312.8865798414</v>
      </c>
      <c r="X46" s="4">
        <f t="shared" si="20"/>
        <v>5531370.6801824532</v>
      </c>
      <c r="Y46" s="4">
        <f t="shared" si="20"/>
        <v>6336159.6459546601</v>
      </c>
      <c r="Z46" s="4">
        <f t="shared" si="20"/>
        <v>7396140.3283748245</v>
      </c>
      <c r="AA46" s="4">
        <f t="shared" si="20"/>
        <v>8232861.4669724815</v>
      </c>
      <c r="AB46" s="4">
        <f t="shared" si="20"/>
        <v>9404138.807146024</v>
      </c>
      <c r="AC46" s="4">
        <f t="shared" si="20"/>
        <v>10654145.083615111</v>
      </c>
      <c r="AD46" s="4">
        <f t="shared" si="20"/>
        <v>12037277.696681095</v>
      </c>
      <c r="AE46" s="4">
        <f t="shared" si="20"/>
        <v>13650922.755503098</v>
      </c>
      <c r="AF46" s="4">
        <f t="shared" si="20"/>
        <v>15296162.10891458</v>
      </c>
      <c r="AG46" s="4">
        <f t="shared" si="20"/>
        <v>17094596.47588142</v>
      </c>
      <c r="AH46" s="4"/>
      <c r="AI46" s="4"/>
      <c r="AJ46" s="4"/>
      <c r="AK46" s="4"/>
      <c r="AL46" s="4"/>
    </row>
    <row r="47" spans="1:38">
      <c r="A47" s="2" t="s">
        <v>49</v>
      </c>
      <c r="B47" s="3">
        <f t="shared" si="21"/>
        <v>0</v>
      </c>
      <c r="C47" s="3">
        <f t="shared" si="21"/>
        <v>0</v>
      </c>
      <c r="D47" s="3">
        <f t="shared" si="21"/>
        <v>0</v>
      </c>
      <c r="E47" s="3">
        <f t="shared" si="21"/>
        <v>0</v>
      </c>
      <c r="F47" s="3">
        <f t="shared" si="21"/>
        <v>4156</v>
      </c>
      <c r="G47" s="3">
        <f t="shared" si="21"/>
        <v>347991</v>
      </c>
      <c r="H47" s="3">
        <f t="shared" si="21"/>
        <v>185532</v>
      </c>
      <c r="I47" s="3">
        <f t="shared" si="21"/>
        <v>807529</v>
      </c>
      <c r="J47" s="3">
        <f t="shared" si="21"/>
        <v>267804</v>
      </c>
      <c r="K47" s="3">
        <f t="shared" si="21"/>
        <v>1156038</v>
      </c>
      <c r="L47" s="3">
        <f t="shared" si="20"/>
        <v>256193</v>
      </c>
      <c r="M47" s="3">
        <f t="shared" si="20"/>
        <v>0</v>
      </c>
      <c r="N47" s="3">
        <f t="shared" si="20"/>
        <v>228367</v>
      </c>
      <c r="O47" s="3">
        <f t="shared" si="20"/>
        <v>142475</v>
      </c>
      <c r="P47" s="3">
        <f t="shared" si="20"/>
        <v>5942796</v>
      </c>
      <c r="Q47" s="4">
        <f t="shared" si="20"/>
        <v>14723181.307554442</v>
      </c>
      <c r="R47" s="4">
        <f t="shared" si="20"/>
        <v>16181534.495108135</v>
      </c>
      <c r="S47" s="4">
        <f t="shared" si="20"/>
        <v>17792913.668298408</v>
      </c>
      <c r="T47" s="4">
        <f t="shared" si="20"/>
        <v>18551222.956685916</v>
      </c>
      <c r="U47" s="4">
        <f t="shared" si="20"/>
        <v>18610366.334955648</v>
      </c>
      <c r="V47" s="4">
        <f t="shared" si="20"/>
        <v>19057790.353947125</v>
      </c>
      <c r="W47" s="4">
        <f t="shared" si="20"/>
        <v>19714758.307196639</v>
      </c>
      <c r="X47" s="4">
        <f t="shared" si="20"/>
        <v>21571545.311524522</v>
      </c>
      <c r="Y47" s="4">
        <f t="shared" si="20"/>
        <v>24723076.430641137</v>
      </c>
      <c r="Z47" s="4">
        <f t="shared" si="20"/>
        <v>28845631.247732919</v>
      </c>
      <c r="AA47" s="4">
        <f t="shared" si="20"/>
        <v>32103070.270265095</v>
      </c>
      <c r="AB47" s="4">
        <f t="shared" si="20"/>
        <v>36674461.864360616</v>
      </c>
      <c r="AC47" s="4">
        <f t="shared" si="20"/>
        <v>41552658.101930484</v>
      </c>
      <c r="AD47" s="4">
        <f t="shared" si="20"/>
        <v>46947520.194797508</v>
      </c>
      <c r="AE47" s="4">
        <f t="shared" si="20"/>
        <v>53237896.382171422</v>
      </c>
      <c r="AF47" s="4">
        <f t="shared" si="20"/>
        <v>59653943.558622509</v>
      </c>
      <c r="AG47" s="4">
        <f t="shared" si="20"/>
        <v>66668970.765947796</v>
      </c>
      <c r="AH47" s="4"/>
      <c r="AI47" s="4"/>
      <c r="AJ47" s="4"/>
      <c r="AK47" s="4"/>
      <c r="AL47" s="4"/>
    </row>
    <row r="48" spans="1:38">
      <c r="A48" s="2" t="s">
        <v>50</v>
      </c>
      <c r="B48" s="3">
        <f t="shared" si="21"/>
        <v>0</v>
      </c>
      <c r="C48" s="3">
        <f t="shared" si="21"/>
        <v>0</v>
      </c>
      <c r="D48" s="3">
        <f t="shared" si="21"/>
        <v>0</v>
      </c>
      <c r="E48" s="3">
        <f t="shared" si="21"/>
        <v>0</v>
      </c>
      <c r="F48" s="3">
        <f t="shared" si="21"/>
        <v>0</v>
      </c>
      <c r="G48" s="3">
        <f t="shared" si="21"/>
        <v>327294</v>
      </c>
      <c r="H48" s="3">
        <f t="shared" si="21"/>
        <v>312767</v>
      </c>
      <c r="I48" s="3">
        <f t="shared" si="21"/>
        <v>439901</v>
      </c>
      <c r="J48" s="3">
        <f t="shared" si="21"/>
        <v>445350</v>
      </c>
      <c r="K48" s="3">
        <f t="shared" si="21"/>
        <v>273241</v>
      </c>
      <c r="L48" s="3">
        <f t="shared" si="20"/>
        <v>229403</v>
      </c>
      <c r="M48" s="3">
        <f t="shared" si="20"/>
        <v>0</v>
      </c>
      <c r="N48" s="3">
        <f t="shared" si="20"/>
        <v>142473</v>
      </c>
      <c r="O48" s="3">
        <f t="shared" si="20"/>
        <v>139648</v>
      </c>
      <c r="P48" s="3">
        <f t="shared" si="20"/>
        <v>4109184</v>
      </c>
      <c r="Q48" s="4">
        <f t="shared" si="20"/>
        <v>10355140.284927769</v>
      </c>
      <c r="R48" s="4">
        <f t="shared" si="20"/>
        <v>11342974.884639218</v>
      </c>
      <c r="S48" s="4">
        <f t="shared" si="20"/>
        <v>12472523.722955732</v>
      </c>
      <c r="T48" s="4">
        <f t="shared" si="20"/>
        <v>13010048.104022766</v>
      </c>
      <c r="U48" s="4">
        <f t="shared" si="20"/>
        <v>13041423.56435537</v>
      </c>
      <c r="V48" s="4">
        <f t="shared" si="20"/>
        <v>13367235.042229082</v>
      </c>
      <c r="W48" s="4">
        <f t="shared" si="20"/>
        <v>13821866.804855496</v>
      </c>
      <c r="X48" s="4">
        <f t="shared" si="20"/>
        <v>15124054.689887298</v>
      </c>
      <c r="Y48" s="4">
        <f t="shared" si="20"/>
        <v>17334209.367997874</v>
      </c>
      <c r="Z48" s="4">
        <f t="shared" si="20"/>
        <v>20223802.40542867</v>
      </c>
      <c r="AA48" s="4">
        <f t="shared" si="20"/>
        <v>22509408.000443369</v>
      </c>
      <c r="AB48" s="4">
        <f t="shared" si="20"/>
        <v>25713340.572517987</v>
      </c>
      <c r="AC48" s="4">
        <f t="shared" si="20"/>
        <v>29133739.630671911</v>
      </c>
      <c r="AD48" s="4">
        <f t="shared" si="20"/>
        <v>32916333.64824855</v>
      </c>
      <c r="AE48" s="4">
        <f t="shared" si="20"/>
        <v>37326676.48108577</v>
      </c>
      <c r="AF48" s="4">
        <f t="shared" si="20"/>
        <v>41825365.235914446</v>
      </c>
      <c r="AG48" s="4">
        <f t="shared" si="20"/>
        <v>46743588.693858713</v>
      </c>
      <c r="AH48" s="4"/>
      <c r="AI48" s="4"/>
      <c r="AJ48" s="4"/>
      <c r="AK48" s="4"/>
      <c r="AL48" s="4"/>
    </row>
    <row r="49" spans="1:33">
      <c r="A49" s="2" t="s">
        <v>51</v>
      </c>
      <c r="B49" s="3">
        <f t="shared" si="21"/>
        <v>0</v>
      </c>
      <c r="C49" s="3">
        <f t="shared" si="21"/>
        <v>0</v>
      </c>
      <c r="D49" s="3">
        <f t="shared" si="21"/>
        <v>0</v>
      </c>
      <c r="E49" s="3">
        <f t="shared" si="21"/>
        <v>0</v>
      </c>
      <c r="F49" s="3">
        <f t="shared" si="21"/>
        <v>2731</v>
      </c>
      <c r="G49" s="3">
        <f t="shared" si="21"/>
        <v>0</v>
      </c>
      <c r="H49" s="3">
        <f t="shared" si="21"/>
        <v>342140</v>
      </c>
      <c r="I49" s="3">
        <f t="shared" si="21"/>
        <v>527873</v>
      </c>
      <c r="J49" s="3">
        <f t="shared" si="21"/>
        <v>888689</v>
      </c>
      <c r="K49" s="3">
        <f t="shared" si="21"/>
        <v>399988</v>
      </c>
      <c r="L49" s="3">
        <f t="shared" si="20"/>
        <v>114746</v>
      </c>
      <c r="M49" s="3">
        <f t="shared" si="20"/>
        <v>0</v>
      </c>
      <c r="N49" s="3">
        <f t="shared" si="20"/>
        <v>143328</v>
      </c>
      <c r="O49" s="3">
        <f t="shared" si="20"/>
        <v>146298</v>
      </c>
      <c r="P49" s="3">
        <f t="shared" si="20"/>
        <v>5794701</v>
      </c>
      <c r="Q49" s="4">
        <f t="shared" si="20"/>
        <v>13892301.905142682</v>
      </c>
      <c r="R49" s="4">
        <f t="shared" si="20"/>
        <v>15366035.378193257</v>
      </c>
      <c r="S49" s="4">
        <f t="shared" si="20"/>
        <v>16896206.042193692</v>
      </c>
      <c r="T49" s="4">
        <f t="shared" si="20"/>
        <v>17641198.483870912</v>
      </c>
      <c r="U49" s="4">
        <f t="shared" si="20"/>
        <v>17694691.428831387</v>
      </c>
      <c r="V49" s="4">
        <f t="shared" si="20"/>
        <v>18088070.388814162</v>
      </c>
      <c r="W49" s="4">
        <f t="shared" si="20"/>
        <v>18729471.83022812</v>
      </c>
      <c r="X49" s="4">
        <f t="shared" si="20"/>
        <v>20495025.412832484</v>
      </c>
      <c r="Y49" s="4">
        <f t="shared" si="20"/>
        <v>23491501.421989467</v>
      </c>
      <c r="Z49" s="4">
        <f t="shared" si="20"/>
        <v>27404768.792061396</v>
      </c>
      <c r="AA49" s="4">
        <f t="shared" si="20"/>
        <v>30495570.953237846</v>
      </c>
      <c r="AB49" s="4">
        <f t="shared" si="20"/>
        <v>34842518.480418026</v>
      </c>
      <c r="AC49" s="4">
        <f t="shared" si="20"/>
        <v>39477187.513634406</v>
      </c>
      <c r="AD49" s="4">
        <f t="shared" si="20"/>
        <v>44602319.465958424</v>
      </c>
      <c r="AE49" s="4">
        <f t="shared" si="20"/>
        <v>50577486.262210809</v>
      </c>
      <c r="AF49" s="4">
        <f t="shared" si="20"/>
        <v>56672735.834222242</v>
      </c>
      <c r="AG49" s="4">
        <f t="shared" si="20"/>
        <v>63338068.231849469</v>
      </c>
    </row>
    <row r="50" spans="1:33">
      <c r="A50" s="2" t="s">
        <v>52</v>
      </c>
      <c r="B50" s="3">
        <f t="shared" si="21"/>
        <v>0</v>
      </c>
      <c r="C50" s="3">
        <f t="shared" si="21"/>
        <v>0</v>
      </c>
      <c r="D50" s="3">
        <f t="shared" si="21"/>
        <v>0</v>
      </c>
      <c r="E50" s="3">
        <f t="shared" si="21"/>
        <v>0</v>
      </c>
      <c r="F50" s="3">
        <f t="shared" si="21"/>
        <v>430634</v>
      </c>
      <c r="G50" s="3">
        <f t="shared" si="21"/>
        <v>229173</v>
      </c>
      <c r="H50" s="3">
        <f t="shared" si="21"/>
        <v>186071</v>
      </c>
      <c r="I50" s="3">
        <f t="shared" si="21"/>
        <v>3257835</v>
      </c>
      <c r="J50" s="3">
        <f t="shared" si="21"/>
        <v>439426</v>
      </c>
      <c r="K50" s="3">
        <f t="shared" si="21"/>
        <v>348381</v>
      </c>
      <c r="L50" s="3">
        <f t="shared" si="20"/>
        <v>173213</v>
      </c>
      <c r="M50" s="3">
        <f t="shared" si="20"/>
        <v>0</v>
      </c>
      <c r="N50" s="3">
        <f t="shared" si="20"/>
        <v>28784</v>
      </c>
      <c r="O50" s="3">
        <f t="shared" si="20"/>
        <v>0</v>
      </c>
      <c r="P50" s="3">
        <f t="shared" si="20"/>
        <v>6029880</v>
      </c>
      <c r="Q50" s="4">
        <f t="shared" si="20"/>
        <v>13965816.618019318</v>
      </c>
      <c r="R50" s="4">
        <f t="shared" si="20"/>
        <v>15402842.945499087</v>
      </c>
      <c r="S50" s="4">
        <f t="shared" si="20"/>
        <v>16936678.957022049</v>
      </c>
      <c r="T50" s="4">
        <f t="shared" si="20"/>
        <v>17722360.42478371</v>
      </c>
      <c r="U50" s="4">
        <f t="shared" si="20"/>
        <v>17813469.661110558</v>
      </c>
      <c r="V50" s="4">
        <f t="shared" si="20"/>
        <v>18165921.564415995</v>
      </c>
      <c r="W50" s="4">
        <f t="shared" si="20"/>
        <v>18807084.184626281</v>
      </c>
      <c r="X50" s="4">
        <f t="shared" si="20"/>
        <v>20586137.533140317</v>
      </c>
      <c r="Y50" s="4">
        <f t="shared" si="20"/>
        <v>23604717.846533172</v>
      </c>
      <c r="Z50" s="4">
        <f t="shared" si="20"/>
        <v>27537918.778450992</v>
      </c>
      <c r="AA50" s="4">
        <f t="shared" si="20"/>
        <v>30634492.59682687</v>
      </c>
      <c r="AB50" s="4">
        <f t="shared" si="20"/>
        <v>35002556.432509959</v>
      </c>
      <c r="AC50" s="4">
        <f t="shared" si="20"/>
        <v>39660943.092336111</v>
      </c>
      <c r="AD50" s="4">
        <f t="shared" si="20"/>
        <v>44811159.018180691</v>
      </c>
      <c r="AE50" s="4">
        <f t="shared" si="20"/>
        <v>50813381.146002404</v>
      </c>
      <c r="AF50" s="4">
        <f t="shared" si="20"/>
        <v>56935547.829729386</v>
      </c>
      <c r="AG50" s="4">
        <f t="shared" si="20"/>
        <v>63632489.156553492</v>
      </c>
    </row>
    <row r="51" spans="1:33">
      <c r="A51" s="2" t="s">
        <v>53</v>
      </c>
      <c r="B51" s="3">
        <f t="shared" si="21"/>
        <v>0</v>
      </c>
      <c r="C51" s="3">
        <f t="shared" si="21"/>
        <v>0</v>
      </c>
      <c r="D51" s="3">
        <f t="shared" si="21"/>
        <v>0</v>
      </c>
      <c r="E51" s="3">
        <f t="shared" si="21"/>
        <v>0</v>
      </c>
      <c r="F51" s="3">
        <f t="shared" si="21"/>
        <v>173075</v>
      </c>
      <c r="G51" s="3">
        <f t="shared" si="21"/>
        <v>144675</v>
      </c>
      <c r="H51" s="3">
        <f t="shared" si="21"/>
        <v>255250</v>
      </c>
      <c r="I51" s="3">
        <f t="shared" si="21"/>
        <v>380910</v>
      </c>
      <c r="J51" s="3">
        <f t="shared" si="21"/>
        <v>389828</v>
      </c>
      <c r="K51" s="3">
        <f t="shared" si="21"/>
        <v>202030</v>
      </c>
      <c r="L51" s="3">
        <f t="shared" si="20"/>
        <v>173959</v>
      </c>
      <c r="M51" s="3">
        <f t="shared" si="20"/>
        <v>125000</v>
      </c>
      <c r="N51" s="3">
        <f t="shared" si="20"/>
        <v>0</v>
      </c>
      <c r="O51" s="3">
        <f t="shared" si="20"/>
        <v>0</v>
      </c>
      <c r="P51" s="3">
        <f t="shared" si="20"/>
        <v>6758732</v>
      </c>
      <c r="Q51" s="4">
        <f t="shared" si="20"/>
        <v>15816489.67921629</v>
      </c>
      <c r="R51" s="4">
        <f t="shared" si="20"/>
        <v>17461024.633934636</v>
      </c>
      <c r="S51" s="4">
        <f t="shared" si="20"/>
        <v>19140058.639607616</v>
      </c>
      <c r="T51" s="4">
        <f t="shared" si="20"/>
        <v>20038968.683547024</v>
      </c>
      <c r="U51" s="4">
        <f t="shared" si="20"/>
        <v>20141987.417495262</v>
      </c>
      <c r="V51" s="4">
        <f t="shared" si="20"/>
        <v>20553685.197982185</v>
      </c>
      <c r="W51" s="4">
        <f t="shared" si="20"/>
        <v>21275849.259528071</v>
      </c>
      <c r="X51" s="4">
        <f t="shared" si="20"/>
        <v>23280084.218747277</v>
      </c>
      <c r="Y51" s="4">
        <f t="shared" si="20"/>
        <v>26696976.427405216</v>
      </c>
      <c r="Z51" s="4">
        <f t="shared" si="20"/>
        <v>31146838.859259732</v>
      </c>
      <c r="AA51" s="4">
        <f t="shared" si="20"/>
        <v>34650914.324570827</v>
      </c>
      <c r="AB51" s="4">
        <f t="shared" si="20"/>
        <v>39589912.315229982</v>
      </c>
      <c r="AC51" s="4">
        <f t="shared" si="20"/>
        <v>44857675.797513328</v>
      </c>
      <c r="AD51" s="4">
        <f t="shared" si="20"/>
        <v>50683702.821311437</v>
      </c>
      <c r="AE51" s="4">
        <f t="shared" si="20"/>
        <v>57472853.938763566</v>
      </c>
      <c r="AF51" s="4">
        <f t="shared" si="20"/>
        <v>64397412.999317296</v>
      </c>
      <c r="AG51" s="4">
        <f t="shared" si="20"/>
        <v>71971616.252938256</v>
      </c>
    </row>
    <row r="52" spans="1:33">
      <c r="A52" s="2" t="s">
        <v>54</v>
      </c>
      <c r="B52" s="3">
        <f t="shared" si="21"/>
        <v>0</v>
      </c>
      <c r="C52" s="3">
        <f t="shared" si="21"/>
        <v>0</v>
      </c>
      <c r="D52" s="3">
        <f t="shared" si="21"/>
        <v>0</v>
      </c>
      <c r="E52" s="3">
        <f t="shared" si="21"/>
        <v>0</v>
      </c>
      <c r="F52" s="3">
        <f t="shared" si="21"/>
        <v>89327</v>
      </c>
      <c r="G52" s="3">
        <f t="shared" si="21"/>
        <v>160436</v>
      </c>
      <c r="H52" s="3">
        <f t="shared" si="21"/>
        <v>501757</v>
      </c>
      <c r="I52" s="3">
        <f t="shared" si="21"/>
        <v>1096265</v>
      </c>
      <c r="J52" s="3">
        <f t="shared" si="21"/>
        <v>143450</v>
      </c>
      <c r="K52" s="3">
        <f t="shared" si="21"/>
        <v>197121</v>
      </c>
      <c r="L52" s="3">
        <f t="shared" si="20"/>
        <v>57832</v>
      </c>
      <c r="M52" s="3">
        <f t="shared" si="20"/>
        <v>215821</v>
      </c>
      <c r="N52" s="3">
        <f t="shared" si="20"/>
        <v>277529</v>
      </c>
      <c r="O52" s="3">
        <f t="shared" si="20"/>
        <v>347542</v>
      </c>
      <c r="P52" s="4">
        <f t="shared" si="20"/>
        <v>9375739</v>
      </c>
      <c r="Q52" s="4">
        <f t="shared" si="20"/>
        <v>11977326.999502897</v>
      </c>
      <c r="R52" s="4">
        <f t="shared" si="20"/>
        <v>17071606.296631113</v>
      </c>
      <c r="S52" s="4">
        <f t="shared" si="20"/>
        <v>18668442.858093888</v>
      </c>
      <c r="T52" s="4">
        <f t="shared" si="20"/>
        <v>19451223.438077778</v>
      </c>
      <c r="U52" s="4">
        <f t="shared" si="20"/>
        <v>19462851.468332335</v>
      </c>
      <c r="V52" s="4">
        <f t="shared" si="20"/>
        <v>19229199.335447371</v>
      </c>
      <c r="W52" s="4">
        <f t="shared" si="20"/>
        <v>20521216.083207518</v>
      </c>
      <c r="X52" s="4">
        <f t="shared" si="20"/>
        <v>22401449.124340028</v>
      </c>
      <c r="Y52" s="4">
        <f t="shared" ref="Y52:AG52" si="22">Y68+Y84</f>
        <v>25625798.024193496</v>
      </c>
      <c r="Z52" s="4">
        <f t="shared" si="22"/>
        <v>29836938.839464605</v>
      </c>
      <c r="AA52" s="4">
        <f t="shared" si="22"/>
        <v>33146316.823403746</v>
      </c>
      <c r="AB52" s="4">
        <f t="shared" si="22"/>
        <v>37995651.39139846</v>
      </c>
      <c r="AC52" s="4">
        <f t="shared" si="22"/>
        <v>43021797.308200866</v>
      </c>
      <c r="AD52" s="4">
        <f t="shared" si="22"/>
        <v>48588146.398055851</v>
      </c>
      <c r="AE52" s="4">
        <f t="shared" si="22"/>
        <v>55087261.966467738</v>
      </c>
      <c r="AF52" s="4">
        <f t="shared" si="22"/>
        <v>61729227.49359113</v>
      </c>
      <c r="AG52" s="4">
        <f t="shared" si="22"/>
        <v>69008903.498011768</v>
      </c>
    </row>
    <row r="53" spans="1:33" ht="15.75" thickBot="1">
      <c r="A53" s="2" t="s">
        <v>29</v>
      </c>
      <c r="B53" s="3">
        <f>SUM(B41:B52)</f>
        <v>0</v>
      </c>
      <c r="C53" s="3">
        <f t="shared" ref="C53:AG53" si="23">SUM(C41:C52)</f>
        <v>0</v>
      </c>
      <c r="D53" s="3">
        <f t="shared" si="23"/>
        <v>20069</v>
      </c>
      <c r="E53" s="3">
        <f t="shared" si="23"/>
        <v>0</v>
      </c>
      <c r="F53" s="3">
        <f t="shared" si="23"/>
        <v>728509</v>
      </c>
      <c r="G53" s="3">
        <f t="shared" si="23"/>
        <v>2181096</v>
      </c>
      <c r="H53" s="3">
        <f t="shared" si="23"/>
        <v>3805246</v>
      </c>
      <c r="I53" s="3">
        <f t="shared" si="23"/>
        <v>10047034</v>
      </c>
      <c r="J53" s="3">
        <f t="shared" si="23"/>
        <v>8158168</v>
      </c>
      <c r="K53" s="3">
        <f t="shared" si="23"/>
        <v>9815841</v>
      </c>
      <c r="L53" s="3">
        <f t="shared" si="23"/>
        <v>2051172</v>
      </c>
      <c r="M53" s="3">
        <f t="shared" si="23"/>
        <v>585099</v>
      </c>
      <c r="N53" s="3">
        <f t="shared" si="23"/>
        <v>1396503</v>
      </c>
      <c r="O53" s="3">
        <f t="shared" si="23"/>
        <v>1294545</v>
      </c>
      <c r="P53" s="4">
        <f t="shared" si="23"/>
        <v>43263342</v>
      </c>
      <c r="Q53" s="4">
        <f t="shared" si="23"/>
        <v>108893076.81687927</v>
      </c>
      <c r="R53" s="4">
        <f t="shared" si="23"/>
        <v>119558826.29679656</v>
      </c>
      <c r="S53" s="4">
        <f t="shared" si="23"/>
        <v>131184939.27208924</v>
      </c>
      <c r="T53" s="4">
        <f t="shared" si="23"/>
        <v>136873120.59585667</v>
      </c>
      <c r="U53" s="4">
        <f t="shared" si="23"/>
        <v>137247611.70624554</v>
      </c>
      <c r="V53" s="4">
        <f t="shared" si="23"/>
        <v>140672360.72835255</v>
      </c>
      <c r="W53" s="4">
        <f t="shared" si="23"/>
        <v>145474459.06834352</v>
      </c>
      <c r="X53" s="4">
        <f t="shared" si="23"/>
        <v>159139741.306216</v>
      </c>
      <c r="Y53" s="4">
        <f t="shared" si="23"/>
        <v>182409485.31584787</v>
      </c>
      <c r="Z53" s="4">
        <f t="shared" si="23"/>
        <v>212826069.96412158</v>
      </c>
      <c r="AA53" s="4">
        <f t="shared" si="23"/>
        <v>236877156.69228888</v>
      </c>
      <c r="AB53" s="4">
        <f t="shared" si="23"/>
        <v>270592899.64110255</v>
      </c>
      <c r="AC53" s="4">
        <f t="shared" si="23"/>
        <v>306581266.99777985</v>
      </c>
      <c r="AD53" s="4">
        <f t="shared" si="23"/>
        <v>346390493.63448143</v>
      </c>
      <c r="AE53" s="4">
        <f t="shared" si="23"/>
        <v>392803464.67981815</v>
      </c>
      <c r="AF53" s="4">
        <f t="shared" si="23"/>
        <v>440144119.31962585</v>
      </c>
      <c r="AG53" s="4">
        <f t="shared" si="23"/>
        <v>491899839.96628666</v>
      </c>
    </row>
    <row r="54" spans="1:33">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c r="AD54" s="114"/>
      <c r="AE54" s="114"/>
      <c r="AF54" s="114"/>
      <c r="AG54" s="114"/>
    </row>
    <row r="55" spans="1:33" ht="16.5" thickBot="1">
      <c r="A55" s="109" t="s">
        <v>273</v>
      </c>
    </row>
    <row r="56" spans="1:33" ht="15.75" thickBot="1">
      <c r="A56" s="110"/>
      <c r="B56" s="111">
        <v>2010</v>
      </c>
      <c r="C56" s="111">
        <v>2011</v>
      </c>
      <c r="D56" s="111">
        <v>2012</v>
      </c>
      <c r="E56" s="111">
        <v>2013</v>
      </c>
      <c r="F56" s="111">
        <v>2014</v>
      </c>
      <c r="G56" s="111">
        <v>2015</v>
      </c>
      <c r="H56" s="111">
        <v>2016</v>
      </c>
      <c r="I56" s="111">
        <v>2017</v>
      </c>
      <c r="J56" s="111">
        <v>2018</v>
      </c>
      <c r="K56" s="111">
        <v>2019</v>
      </c>
      <c r="L56" s="111">
        <v>2020</v>
      </c>
      <c r="M56" s="111">
        <v>2021</v>
      </c>
      <c r="N56" s="111">
        <v>2022</v>
      </c>
      <c r="O56" s="111">
        <v>2023</v>
      </c>
      <c r="P56" s="111">
        <v>2024</v>
      </c>
      <c r="Q56" s="111">
        <v>2025</v>
      </c>
      <c r="R56" s="111">
        <v>2026</v>
      </c>
      <c r="S56" s="111">
        <v>2027</v>
      </c>
      <c r="T56" s="111">
        <v>2028</v>
      </c>
      <c r="U56" s="111">
        <v>2029</v>
      </c>
      <c r="V56" s="111">
        <v>2030</v>
      </c>
      <c r="W56" s="111">
        <v>2031</v>
      </c>
      <c r="X56" s="111">
        <v>2032</v>
      </c>
      <c r="Y56" s="111">
        <v>2033</v>
      </c>
      <c r="Z56" s="111">
        <v>2034</v>
      </c>
      <c r="AA56" s="111">
        <v>2035</v>
      </c>
      <c r="AB56" s="111">
        <v>2036</v>
      </c>
      <c r="AC56" s="111">
        <v>2037</v>
      </c>
      <c r="AD56" s="111">
        <v>2038</v>
      </c>
      <c r="AE56" s="111">
        <v>2039</v>
      </c>
      <c r="AF56" s="111">
        <v>2040</v>
      </c>
      <c r="AG56" s="111">
        <v>2041</v>
      </c>
    </row>
    <row r="57" spans="1:33">
      <c r="A57" s="2" t="s">
        <v>43</v>
      </c>
      <c r="B57" s="3">
        <f>'Monthly D3 RIN Data'!$B4</f>
        <v>0</v>
      </c>
      <c r="C57" s="3">
        <f>'Monthly D3 RIN Data'!$B16</f>
        <v>0</v>
      </c>
      <c r="D57" s="3">
        <f>'Monthly D3 RIN Data'!$B28</f>
        <v>0</v>
      </c>
      <c r="E57" s="3">
        <f>'Monthly D3 RIN Data'!$B40</f>
        <v>0</v>
      </c>
      <c r="F57" s="3">
        <f>'Monthly D3 RIN Data'!$B52</f>
        <v>14247</v>
      </c>
      <c r="G57" s="3">
        <f>'Monthly D3 RIN Data'!$B64</f>
        <v>114261</v>
      </c>
      <c r="H57" s="3">
        <f>'Monthly D3 RIN Data'!$B76</f>
        <v>285432</v>
      </c>
      <c r="I57" s="3">
        <f>'Monthly D3 RIN Data'!$B88</f>
        <v>224887</v>
      </c>
      <c r="J57" s="3">
        <f>'Monthly D3 RIN Data'!$B100</f>
        <v>760163</v>
      </c>
      <c r="K57" s="3">
        <f>'Monthly D3 RIN Data'!$B112</f>
        <v>528864</v>
      </c>
      <c r="L57" s="3">
        <f>'Monthly D3 RIN Data'!$B124</f>
        <v>174291</v>
      </c>
      <c r="M57" s="3">
        <f>'Monthly D3 RIN Data'!$B136</f>
        <v>203252</v>
      </c>
      <c r="N57" s="3">
        <f>'Monthly D3 RIN Data'!$B148</f>
        <v>0</v>
      </c>
      <c r="O57" s="3">
        <f>'Monthly D3 RIN Data'!$B160</f>
        <v>0</v>
      </c>
      <c r="P57" s="3">
        <f>'Monthly D3 RIN Data'!$B172</f>
        <v>220800</v>
      </c>
      <c r="Q57" s="4">
        <f>'D3 Gallon Forecast'!Q57</f>
        <v>7329992</v>
      </c>
      <c r="R57" s="4">
        <f>'D3 Gallon Forecast'!R57</f>
        <v>5964415.4673861954</v>
      </c>
      <c r="S57" s="4">
        <f>'D3 Gallon Forecast'!S57</f>
        <v>6461191.7268393831</v>
      </c>
      <c r="T57" s="4">
        <f>'D3 Gallon Forecast'!T57</f>
        <v>6764640.6476830868</v>
      </c>
      <c r="U57" s="4">
        <f>'D3 Gallon Forecast'!U57</f>
        <v>6799417.1237654742</v>
      </c>
      <c r="V57" s="4">
        <f>'D3 Gallon Forecast'!V57</f>
        <v>7395816.6201465186</v>
      </c>
      <c r="W57" s="4">
        <f>'D3 Gallon Forecast'!W57</f>
        <v>7297469.4213851253</v>
      </c>
      <c r="X57" s="4">
        <f>'D3 Gallon Forecast'!X57</f>
        <v>7990568.8869287092</v>
      </c>
      <c r="Y57" s="4">
        <f>'D3 Gallon Forecast'!Y57</f>
        <v>9190848.0216668379</v>
      </c>
      <c r="Z57" s="4">
        <f>'D3 Gallon Forecast'!Z57</f>
        <v>10760087.879965207</v>
      </c>
      <c r="AA57" s="4">
        <f>'D3 Gallon Forecast'!AA57</f>
        <v>12015398.323441956</v>
      </c>
      <c r="AB57" s="4">
        <f>'D3 Gallon Forecast'!AB57</f>
        <v>13650400.683476986</v>
      </c>
      <c r="AC57" s="4">
        <f>'D3 Gallon Forecast'!AC57</f>
        <v>15477767.146378262</v>
      </c>
      <c r="AD57" s="4">
        <f>'D3 Gallon Forecast'!AD57</f>
        <v>17500028.404727966</v>
      </c>
      <c r="AE57" s="4">
        <f>'D3 Gallon Forecast'!AE57</f>
        <v>19851921.961220797</v>
      </c>
      <c r="AF57" s="4">
        <f>'D3 Gallon Forecast'!AF57</f>
        <v>22243325.247575782</v>
      </c>
      <c r="AG57" s="4">
        <f>'D3 Gallon Forecast'!AG57</f>
        <v>24846423.79998013</v>
      </c>
    </row>
    <row r="58" spans="1:33">
      <c r="A58" s="2" t="s">
        <v>44</v>
      </c>
      <c r="B58" s="3">
        <f>'Monthly D3 RIN Data'!$B5</f>
        <v>0</v>
      </c>
      <c r="C58" s="3">
        <f>'Monthly D3 RIN Data'!$B17</f>
        <v>0</v>
      </c>
      <c r="D58" s="3">
        <f>'Monthly D3 RIN Data'!$B29</f>
        <v>0</v>
      </c>
      <c r="E58" s="3">
        <f>'Monthly D3 RIN Data'!$B41</f>
        <v>0</v>
      </c>
      <c r="F58" s="3">
        <f>'Monthly D3 RIN Data'!$B53</f>
        <v>7072</v>
      </c>
      <c r="G58" s="3">
        <f>'Monthly D3 RIN Data'!$B65</f>
        <v>85097</v>
      </c>
      <c r="H58" s="3">
        <f>'Monthly D3 RIN Data'!$B77</f>
        <v>271521</v>
      </c>
      <c r="I58" s="3">
        <f>'Monthly D3 RIN Data'!$B89</f>
        <v>131880</v>
      </c>
      <c r="J58" s="3">
        <f>'Monthly D3 RIN Data'!$B101</f>
        <v>521507</v>
      </c>
      <c r="K58" s="3">
        <f>'Monthly D3 RIN Data'!$B113</f>
        <v>1031913</v>
      </c>
      <c r="L58" s="3">
        <f>'Monthly D3 RIN Data'!$B125</f>
        <v>188014</v>
      </c>
      <c r="M58" s="3">
        <f>'Monthly D3 RIN Data'!$B137</f>
        <v>29238</v>
      </c>
      <c r="N58" s="3">
        <f>'Monthly D3 RIN Data'!$B149</f>
        <v>87513</v>
      </c>
      <c r="O58" s="3">
        <f>'Monthly D3 RIN Data'!$B161</f>
        <v>86732</v>
      </c>
      <c r="P58" s="3">
        <f>'Monthly D3 RIN Data'!$B173</f>
        <v>153198</v>
      </c>
      <c r="Q58" s="4">
        <f>'D3 Gallon Forecast'!Q58</f>
        <v>6279631</v>
      </c>
      <c r="R58" s="4">
        <f>'D3 Gallon Forecast'!R58</f>
        <v>5104655.3178187553</v>
      </c>
      <c r="S58" s="4">
        <f>'D3 Gallon Forecast'!S58</f>
        <v>5599006.0646777106</v>
      </c>
      <c r="T58" s="4">
        <f>'D3 Gallon Forecast'!T58</f>
        <v>5832327.8925262485</v>
      </c>
      <c r="U58" s="4">
        <f>'D3 Gallon Forecast'!U58</f>
        <v>5840258.1655440852</v>
      </c>
      <c r="V58" s="4">
        <f>'D3 Gallon Forecast'!V58</f>
        <v>6360618.3657285534</v>
      </c>
      <c r="W58" s="4">
        <f>'D3 Gallon Forecast'!W58</f>
        <v>6281365.1182121569</v>
      </c>
      <c r="X58" s="4">
        <f>'D3 Gallon Forecast'!X58</f>
        <v>6884693.8047099095</v>
      </c>
      <c r="Y58" s="4">
        <f>'D3 Gallon Forecast'!Y58</f>
        <v>7910736.5486563193</v>
      </c>
      <c r="Z58" s="4">
        <f>'D3 Gallon Forecast'!Z58</f>
        <v>9258663.7913723011</v>
      </c>
      <c r="AA58" s="4">
        <f>'D3 Gallon Forecast'!AA58</f>
        <v>10341741.592533404</v>
      </c>
      <c r="AB58" s="4">
        <f>'D3 Gallon Forecast'!AB58</f>
        <v>11750448.912792325</v>
      </c>
      <c r="AC58" s="4">
        <f>'D3 Gallon Forecast'!AC58</f>
        <v>13323584.622146409</v>
      </c>
      <c r="AD58" s="4">
        <f>'D3 Gallon Forecast'!AD58</f>
        <v>15062600.289654382</v>
      </c>
      <c r="AE58" s="4">
        <f>'D3 Gallon Forecast'!AE58</f>
        <v>17086918.141858812</v>
      </c>
      <c r="AF58" s="4">
        <f>'D3 Gallon Forecast'!AF58</f>
        <v>19146020.90314246</v>
      </c>
      <c r="AG58" s="4">
        <f>'D3 Gallon Forecast'!AG58</f>
        <v>21386802.622830257</v>
      </c>
    </row>
    <row r="59" spans="1:33">
      <c r="A59" s="2" t="s">
        <v>45</v>
      </c>
      <c r="B59" s="3">
        <f>'Monthly D3 RIN Data'!$B6</f>
        <v>0</v>
      </c>
      <c r="C59" s="3">
        <f>'Monthly D3 RIN Data'!$B18</f>
        <v>0</v>
      </c>
      <c r="D59" s="3">
        <f>'Monthly D3 RIN Data'!$B30</f>
        <v>0</v>
      </c>
      <c r="E59" s="3">
        <f>'Monthly D3 RIN Data'!$B42</f>
        <v>0</v>
      </c>
      <c r="F59" s="3">
        <f>'Monthly D3 RIN Data'!$B54</f>
        <v>6624</v>
      </c>
      <c r="G59" s="3">
        <f>'Monthly D3 RIN Data'!$B66</f>
        <v>86879</v>
      </c>
      <c r="H59" s="3">
        <f>'Monthly D3 RIN Data'!$B78</f>
        <v>446422</v>
      </c>
      <c r="I59" s="3">
        <f>'Monthly D3 RIN Data'!$B90</f>
        <v>617908</v>
      </c>
      <c r="J59" s="3">
        <f>'Monthly D3 RIN Data'!$B102</f>
        <v>721305</v>
      </c>
      <c r="K59" s="3">
        <f>'Monthly D3 RIN Data'!$B114</f>
        <v>396377</v>
      </c>
      <c r="L59" s="3">
        <f>'Monthly D3 RIN Data'!$B126</f>
        <v>156652</v>
      </c>
      <c r="M59" s="3">
        <f>'Monthly D3 RIN Data'!$B138</f>
        <v>0</v>
      </c>
      <c r="N59" s="3">
        <f>'Monthly D3 RIN Data'!$B150</f>
        <v>0</v>
      </c>
      <c r="O59" s="3">
        <f>'Monthly D3 RIN Data'!$B162</f>
        <v>202916</v>
      </c>
      <c r="P59" s="3">
        <f>'Monthly D3 RIN Data'!$B174</f>
        <v>187956</v>
      </c>
      <c r="Q59" s="4">
        <f>'D3 Gallon Forecast'!Q59</f>
        <v>1227017.1214811218</v>
      </c>
      <c r="R59" s="4">
        <f>'D3 Gallon Forecast'!R59</f>
        <v>1244481.3184807652</v>
      </c>
      <c r="S59" s="4">
        <f>'D3 Gallon Forecast'!S59</f>
        <v>1368408.4576918522</v>
      </c>
      <c r="T59" s="4">
        <f>'D3 Gallon Forecast'!T59</f>
        <v>1432675.5600028855</v>
      </c>
      <c r="U59" s="4">
        <f>'D3 Gallon Forecast'!U59</f>
        <v>1388445.5845199579</v>
      </c>
      <c r="V59" s="4">
        <f>'D3 Gallon Forecast'!V59</f>
        <v>1478518.8800815996</v>
      </c>
      <c r="W59" s="4">
        <f>'D3 Gallon Forecast'!W59</f>
        <v>1510955.4348021855</v>
      </c>
      <c r="X59" s="4">
        <f>'D3 Gallon Forecast'!X59</f>
        <v>1652268.0017224178</v>
      </c>
      <c r="Y59" s="4">
        <f>'D3 Gallon Forecast'!Y59</f>
        <v>1892248.0984087121</v>
      </c>
      <c r="Z59" s="4">
        <f>'D3 Gallon Forecast'!Z59</f>
        <v>2204215.8274194691</v>
      </c>
      <c r="AA59" s="4">
        <f>'D3 Gallon Forecast'!AA59</f>
        <v>2462613.902661161</v>
      </c>
      <c r="AB59" s="4">
        <f>'D3 Gallon Forecast'!AB59</f>
        <v>2808487.3572100908</v>
      </c>
      <c r="AC59" s="4">
        <f>'D3 Gallon Forecast'!AC59</f>
        <v>3181700.9995050156</v>
      </c>
      <c r="AD59" s="4">
        <f>'D3 Gallon Forecast'!AD59</f>
        <v>3594636.2980766967</v>
      </c>
      <c r="AE59" s="4">
        <f>'D3 Gallon Forecast'!AE59</f>
        <v>4076480.1049217922</v>
      </c>
      <c r="AF59" s="4">
        <f>'D3 Gallon Forecast'!AF59</f>
        <v>4569045.2522179792</v>
      </c>
      <c r="AG59" s="4">
        <f>'D3 Gallon Forecast'!AG59</f>
        <v>5105291.0576840639</v>
      </c>
    </row>
    <row r="60" spans="1:33">
      <c r="A60" s="2" t="s">
        <v>46</v>
      </c>
      <c r="B60" s="3">
        <f>'Monthly D3 RIN Data'!$B7</f>
        <v>0</v>
      </c>
      <c r="C60" s="3">
        <f>'Monthly D3 RIN Data'!$B19</f>
        <v>0</v>
      </c>
      <c r="D60" s="3">
        <f>'Monthly D3 RIN Data'!$B31</f>
        <v>20069</v>
      </c>
      <c r="E60" s="3">
        <f>'Monthly D3 RIN Data'!$B43</f>
        <v>0</v>
      </c>
      <c r="F60" s="3">
        <f>'Monthly D3 RIN Data'!$B55</f>
        <v>643</v>
      </c>
      <c r="G60" s="3">
        <f>'Monthly D3 RIN Data'!$B67</f>
        <v>288685</v>
      </c>
      <c r="H60" s="3">
        <f>'Monthly D3 RIN Data'!$B79</f>
        <v>377236</v>
      </c>
      <c r="I60" s="3">
        <f>'Monthly D3 RIN Data'!$B91</f>
        <v>331595</v>
      </c>
      <c r="J60" s="3">
        <f>'Monthly D3 RIN Data'!$B103</f>
        <v>877687</v>
      </c>
      <c r="K60" s="3">
        <f>'Monthly D3 RIN Data'!$B115</f>
        <v>401898</v>
      </c>
      <c r="L60" s="3">
        <f>'Monthly D3 RIN Data'!$B127</f>
        <v>203361</v>
      </c>
      <c r="M60" s="3">
        <f>'Monthly D3 RIN Data'!$B139</f>
        <v>0</v>
      </c>
      <c r="N60" s="3">
        <f>'Monthly D3 RIN Data'!$B151</f>
        <v>86794</v>
      </c>
      <c r="O60" s="3">
        <f>'Monthly D3 RIN Data'!$B163</f>
        <v>0</v>
      </c>
      <c r="P60" s="3">
        <f>'Monthly D3 RIN Data'!$B175</f>
        <v>694722</v>
      </c>
      <c r="Q60" s="4">
        <f>'D3 Gallon Forecast'!Q60</f>
        <v>2207137.8451957591</v>
      </c>
      <c r="R60" s="4">
        <f>'D3 Gallon Forecast'!R60</f>
        <v>2298874.3965018531</v>
      </c>
      <c r="S60" s="4">
        <f>'D3 Gallon Forecast'!S60</f>
        <v>2527799.4298738926</v>
      </c>
      <c r="T60" s="4">
        <f>'D3 Gallon Forecast'!T60</f>
        <v>2617125.965164552</v>
      </c>
      <c r="U60" s="4">
        <f>'D3 Gallon Forecast'!U60</f>
        <v>2630580.400259092</v>
      </c>
      <c r="V60" s="4">
        <f>'D3 Gallon Forecast'!V60</f>
        <v>2726074.1403254182</v>
      </c>
      <c r="W60" s="4">
        <f>'D3 Gallon Forecast'!W60</f>
        <v>2797950.4752206611</v>
      </c>
      <c r="X60" s="4">
        <f>'D3 Gallon Forecast'!X60</f>
        <v>3060924.4387559043</v>
      </c>
      <c r="Y60" s="4">
        <f>'D3 Gallon Forecast'!Y60</f>
        <v>3507342.1951577319</v>
      </c>
      <c r="Z60" s="4">
        <f>'D3 Gallon Forecast'!Z60</f>
        <v>4096263.664014562</v>
      </c>
      <c r="AA60" s="4">
        <f>'D3 Gallon Forecast'!AA60</f>
        <v>4562281.9246721128</v>
      </c>
      <c r="AB60" s="4">
        <f>'D3 Gallon Forecast'!AB60</f>
        <v>5206824.6779914647</v>
      </c>
      <c r="AC60" s="4">
        <f>'D3 Gallon Forecast'!AC60</f>
        <v>5899701.1882487247</v>
      </c>
      <c r="AD60" s="4">
        <f>'D3 Gallon Forecast'!AD60</f>
        <v>6666195.5859283395</v>
      </c>
      <c r="AE60" s="4">
        <f>'D3 Gallon Forecast'!AE60</f>
        <v>7560282.570021485</v>
      </c>
      <c r="AF60" s="4">
        <f>'D3 Gallon Forecast'!AF60</f>
        <v>8471446.5000341069</v>
      </c>
      <c r="AG60" s="4">
        <f>'D3 Gallon Forecast'!AG60</f>
        <v>9466716.7030847669</v>
      </c>
    </row>
    <row r="61" spans="1:33">
      <c r="A61" s="2" t="s">
        <v>47</v>
      </c>
      <c r="B61" s="3">
        <f>'Monthly D3 RIN Data'!$B8</f>
        <v>0</v>
      </c>
      <c r="C61" s="3">
        <f>'Monthly D3 RIN Data'!$B20</f>
        <v>0</v>
      </c>
      <c r="D61" s="3">
        <f>'Monthly D3 RIN Data'!$B32</f>
        <v>0</v>
      </c>
      <c r="E61" s="3">
        <f>'Monthly D3 RIN Data'!$B44</f>
        <v>0</v>
      </c>
      <c r="F61" s="3">
        <f>'Monthly D3 RIN Data'!$B56</f>
        <v>0</v>
      </c>
      <c r="G61" s="3">
        <f>'Monthly D3 RIN Data'!$B68</f>
        <v>114018</v>
      </c>
      <c r="H61" s="3">
        <f>'Monthly D3 RIN Data'!$B80</f>
        <v>395852</v>
      </c>
      <c r="I61" s="3">
        <f>'Monthly D3 RIN Data'!$B92</f>
        <v>604998</v>
      </c>
      <c r="J61" s="3">
        <f>'Monthly D3 RIN Data'!$B104</f>
        <v>537342</v>
      </c>
      <c r="K61" s="3">
        <f>'Monthly D3 RIN Data'!$B116</f>
        <v>440284</v>
      </c>
      <c r="L61" s="3">
        <f>'Monthly D3 RIN Data'!$B128</f>
        <v>266282</v>
      </c>
      <c r="M61" s="3">
        <f>'Monthly D3 RIN Data'!$B140</f>
        <v>0</v>
      </c>
      <c r="N61" s="3">
        <f>'Monthly D3 RIN Data'!$B152</f>
        <v>258819</v>
      </c>
      <c r="O61" s="3">
        <f>'Monthly D3 RIN Data'!$B164</f>
        <v>228934</v>
      </c>
      <c r="P61" s="3">
        <f>'Monthly D3 RIN Data'!$B176</f>
        <v>2518681</v>
      </c>
      <c r="Q61" s="4">
        <f>'D3 Gallon Forecast'!Q61</f>
        <v>7334251.2213989003</v>
      </c>
      <c r="R61" s="4">
        <f>'D3 Gallon Forecast'!R61</f>
        <v>7954061.5036339043</v>
      </c>
      <c r="S61" s="4">
        <f>'D3 Gallon Forecast'!S61</f>
        <v>8746137.7466567717</v>
      </c>
      <c r="T61" s="4">
        <f>'D3 Gallon Forecast'!T61</f>
        <v>9069254.5216592737</v>
      </c>
      <c r="U61" s="4">
        <f>'D3 Gallon Forecast'!U61</f>
        <v>9057668.0168197788</v>
      </c>
      <c r="V61" s="4">
        <f>'D3 Gallon Forecast'!V61</f>
        <v>9358373.1536623016</v>
      </c>
      <c r="W61" s="4">
        <f>'D3 Gallon Forecast'!W61</f>
        <v>9658159.2625014354</v>
      </c>
      <c r="X61" s="4">
        <f>'D3 Gallon Forecast'!X61</f>
        <v>10561619.203444676</v>
      </c>
      <c r="Y61" s="4">
        <f>'D3 Gallon Forecast'!Y61</f>
        <v>12095871.287243245</v>
      </c>
      <c r="Z61" s="4">
        <f>'D3 Gallon Forecast'!Z61</f>
        <v>14114799.550576916</v>
      </c>
      <c r="AA61" s="4">
        <f>'D3 Gallon Forecast'!AA61</f>
        <v>15722486.513259985</v>
      </c>
      <c r="AB61" s="4">
        <f>'D3 Gallon Forecast'!AB61</f>
        <v>17954158.146050628</v>
      </c>
      <c r="AC61" s="4">
        <f>'D3 Gallon Forecast'!AC61</f>
        <v>20340366.513599198</v>
      </c>
      <c r="AD61" s="4">
        <f>'D3 Gallon Forecast'!AD61</f>
        <v>22980573.812860474</v>
      </c>
      <c r="AE61" s="4">
        <f>'D3 Gallon Forecast'!AE61</f>
        <v>26061382.96959044</v>
      </c>
      <c r="AF61" s="4">
        <f>'D3 Gallon Forecast'!AF61</f>
        <v>29203886.356343955</v>
      </c>
      <c r="AG61" s="4">
        <f>'D3 Gallon Forecast'!AG61</f>
        <v>32636372.707666516</v>
      </c>
    </row>
    <row r="62" spans="1:33">
      <c r="A62" s="2" t="s">
        <v>48</v>
      </c>
      <c r="B62" s="3">
        <f>'Monthly D3 RIN Data'!$B9</f>
        <v>0</v>
      </c>
      <c r="C62" s="3">
        <f>'Monthly D3 RIN Data'!$B21</f>
        <v>0</v>
      </c>
      <c r="D62" s="3">
        <f>'Monthly D3 RIN Data'!$B33</f>
        <v>0</v>
      </c>
      <c r="E62" s="3">
        <f>'Monthly D3 RIN Data'!$B45</f>
        <v>0</v>
      </c>
      <c r="F62" s="3">
        <f>'Monthly D3 RIN Data'!$B57</f>
        <v>0</v>
      </c>
      <c r="G62" s="3">
        <f>'Monthly D3 RIN Data'!$B69</f>
        <v>282587</v>
      </c>
      <c r="H62" s="3">
        <f>'Monthly D3 RIN Data'!$B81</f>
        <v>245266</v>
      </c>
      <c r="I62" s="3">
        <f>'Monthly D3 RIN Data'!$B93</f>
        <v>294164</v>
      </c>
      <c r="J62" s="3">
        <f>'Monthly D3 RIN Data'!$B105</f>
        <v>549023</v>
      </c>
      <c r="K62" s="3">
        <f>'Monthly D3 RIN Data'!$B117</f>
        <v>175766</v>
      </c>
      <c r="L62" s="3">
        <f>'Monthly D3 RIN Data'!$B129</f>
        <v>57226</v>
      </c>
      <c r="M62" s="3">
        <f>'Monthly D3 RIN Data'!$B141</f>
        <v>11788</v>
      </c>
      <c r="N62" s="3">
        <f>'Monthly D3 RIN Data'!$B153</f>
        <v>142896</v>
      </c>
      <c r="O62" s="3">
        <f>'Monthly D3 RIN Data'!$B165</f>
        <v>0</v>
      </c>
      <c r="P62" s="3">
        <f>'Monthly D3 RIN Data'!$B177</f>
        <v>1476953</v>
      </c>
      <c r="Q62" s="4">
        <f>'D3 Gallon Forecast'!Q62</f>
        <v>3784790.8344400828</v>
      </c>
      <c r="R62" s="4">
        <f>'D3 Gallon Forecast'!R62</f>
        <v>4166319.6589696342</v>
      </c>
      <c r="S62" s="4">
        <f>'D3 Gallon Forecast'!S62</f>
        <v>4575571.9581782604</v>
      </c>
      <c r="T62" s="4">
        <f>'D3 Gallon Forecast'!T62</f>
        <v>4742073.917832531</v>
      </c>
      <c r="U62" s="4">
        <f>'D3 Gallon Forecast'!U62</f>
        <v>4766452.5402566055</v>
      </c>
      <c r="V62" s="4">
        <f>'D3 Gallon Forecast'!V62</f>
        <v>4891057.6855722256</v>
      </c>
      <c r="W62" s="4">
        <f>'D3 Gallon Forecast'!W62</f>
        <v>5058312.8865798414</v>
      </c>
      <c r="X62" s="4">
        <f>'D3 Gallon Forecast'!X62</f>
        <v>5531370.6801824532</v>
      </c>
      <c r="Y62" s="4">
        <f>'D3 Gallon Forecast'!Y62</f>
        <v>6336159.6459546601</v>
      </c>
      <c r="Z62" s="4">
        <f>'D3 Gallon Forecast'!Z62</f>
        <v>7396140.3283748245</v>
      </c>
      <c r="AA62" s="4">
        <f>'D3 Gallon Forecast'!AA62</f>
        <v>8232861.4669724815</v>
      </c>
      <c r="AB62" s="4">
        <f>'D3 Gallon Forecast'!AB62</f>
        <v>9404138.807146024</v>
      </c>
      <c r="AC62" s="4">
        <f>'D3 Gallon Forecast'!AC62</f>
        <v>10654145.083615111</v>
      </c>
      <c r="AD62" s="4">
        <f>'D3 Gallon Forecast'!AD62</f>
        <v>12037277.696681095</v>
      </c>
      <c r="AE62" s="4">
        <f>'D3 Gallon Forecast'!AE62</f>
        <v>13650922.755503098</v>
      </c>
      <c r="AF62" s="4">
        <f>'D3 Gallon Forecast'!AF62</f>
        <v>15296162.10891458</v>
      </c>
      <c r="AG62" s="4">
        <f>'D3 Gallon Forecast'!AG62</f>
        <v>17094596.47588142</v>
      </c>
    </row>
    <row r="63" spans="1:33">
      <c r="A63" s="2" t="s">
        <v>49</v>
      </c>
      <c r="B63" s="3">
        <f>'Monthly D3 RIN Data'!$B10</f>
        <v>0</v>
      </c>
      <c r="C63" s="3">
        <f>'Monthly D3 RIN Data'!$B22</f>
        <v>0</v>
      </c>
      <c r="D63" s="3">
        <f>'Monthly D3 RIN Data'!$B34</f>
        <v>0</v>
      </c>
      <c r="E63" s="3">
        <f>'Monthly D3 RIN Data'!$B46</f>
        <v>0</v>
      </c>
      <c r="F63" s="3">
        <f>'Monthly D3 RIN Data'!$B58</f>
        <v>4156</v>
      </c>
      <c r="G63" s="3">
        <f>'Monthly D3 RIN Data'!$B70</f>
        <v>347991</v>
      </c>
      <c r="H63" s="3">
        <f>'Monthly D3 RIN Data'!$B82</f>
        <v>185532</v>
      </c>
      <c r="I63" s="3">
        <f>'Monthly D3 RIN Data'!$B94</f>
        <v>807529</v>
      </c>
      <c r="J63" s="3">
        <f>'Monthly D3 RIN Data'!$B106</f>
        <v>267804</v>
      </c>
      <c r="K63" s="3">
        <f>'Monthly D3 RIN Data'!$B118</f>
        <v>1156038</v>
      </c>
      <c r="L63" s="3">
        <f>'Monthly D3 RIN Data'!$B130</f>
        <v>256193</v>
      </c>
      <c r="M63" s="3">
        <f>'Monthly D3 RIN Data'!$B142</f>
        <v>0</v>
      </c>
      <c r="N63" s="3">
        <f>'Monthly D3 RIN Data'!$B154</f>
        <v>228367</v>
      </c>
      <c r="O63" s="3">
        <f>'Monthly D3 RIN Data'!$B166</f>
        <v>142475</v>
      </c>
      <c r="P63" s="3">
        <f>'Monthly D3 RIN Data'!$B178</f>
        <v>5942796</v>
      </c>
      <c r="Q63" s="4">
        <f>'D3 Gallon Forecast'!Q63</f>
        <v>14723181.307554442</v>
      </c>
      <c r="R63" s="4">
        <f>'D3 Gallon Forecast'!R63</f>
        <v>16181534.495108135</v>
      </c>
      <c r="S63" s="4">
        <f>'D3 Gallon Forecast'!S63</f>
        <v>17792913.668298408</v>
      </c>
      <c r="T63" s="4">
        <f>'D3 Gallon Forecast'!T63</f>
        <v>18551222.956685916</v>
      </c>
      <c r="U63" s="4">
        <f>'D3 Gallon Forecast'!U63</f>
        <v>18610366.334955648</v>
      </c>
      <c r="V63" s="4">
        <f>'D3 Gallon Forecast'!V63</f>
        <v>19057790.353947125</v>
      </c>
      <c r="W63" s="4">
        <f>'D3 Gallon Forecast'!W63</f>
        <v>19714758.307196639</v>
      </c>
      <c r="X63" s="4">
        <f>'D3 Gallon Forecast'!X63</f>
        <v>21571545.311524522</v>
      </c>
      <c r="Y63" s="4">
        <f>'D3 Gallon Forecast'!Y63</f>
        <v>24723076.430641137</v>
      </c>
      <c r="Z63" s="4">
        <f>'D3 Gallon Forecast'!Z63</f>
        <v>28845631.247732919</v>
      </c>
      <c r="AA63" s="4">
        <f>'D3 Gallon Forecast'!AA63</f>
        <v>32103070.270265095</v>
      </c>
      <c r="AB63" s="4">
        <f>'D3 Gallon Forecast'!AB63</f>
        <v>36674461.864360616</v>
      </c>
      <c r="AC63" s="4">
        <f>'D3 Gallon Forecast'!AC63</f>
        <v>41552658.101930484</v>
      </c>
      <c r="AD63" s="4">
        <f>'D3 Gallon Forecast'!AD63</f>
        <v>46947520.194797508</v>
      </c>
      <c r="AE63" s="4">
        <f>'D3 Gallon Forecast'!AE63</f>
        <v>53237896.382171422</v>
      </c>
      <c r="AF63" s="4">
        <f>'D3 Gallon Forecast'!AF63</f>
        <v>59653943.558622509</v>
      </c>
      <c r="AG63" s="4">
        <f>'D3 Gallon Forecast'!AG63</f>
        <v>66668970.765947796</v>
      </c>
    </row>
    <row r="64" spans="1:33">
      <c r="A64" s="2" t="s">
        <v>50</v>
      </c>
      <c r="B64" s="3">
        <f>'Monthly D3 RIN Data'!$B11</f>
        <v>0</v>
      </c>
      <c r="C64" s="3">
        <f>'Monthly D3 RIN Data'!$B23</f>
        <v>0</v>
      </c>
      <c r="D64" s="3">
        <f>'Monthly D3 RIN Data'!$B35</f>
        <v>0</v>
      </c>
      <c r="E64" s="3">
        <f>'Monthly D3 RIN Data'!$B47</f>
        <v>0</v>
      </c>
      <c r="F64" s="3">
        <f>'Monthly D3 RIN Data'!$B59</f>
        <v>0</v>
      </c>
      <c r="G64" s="3">
        <f>'Monthly D3 RIN Data'!$B71</f>
        <v>327294</v>
      </c>
      <c r="H64" s="3">
        <f>'Monthly D3 RIN Data'!$B83</f>
        <v>312767</v>
      </c>
      <c r="I64" s="3">
        <f>'Monthly D3 RIN Data'!$B95</f>
        <v>439901</v>
      </c>
      <c r="J64" s="3">
        <f>'Monthly D3 RIN Data'!$B107</f>
        <v>445350</v>
      </c>
      <c r="K64" s="3">
        <f>'Monthly D3 RIN Data'!$B119</f>
        <v>273241</v>
      </c>
      <c r="L64" s="3">
        <f>'Monthly D3 RIN Data'!$B131</f>
        <v>229403</v>
      </c>
      <c r="M64" s="3">
        <f>'Monthly D3 RIN Data'!$B143</f>
        <v>0</v>
      </c>
      <c r="N64" s="3">
        <f>'Monthly D3 RIN Data'!$B155</f>
        <v>142473</v>
      </c>
      <c r="O64" s="3">
        <f>'Monthly D3 RIN Data'!$B167</f>
        <v>139648</v>
      </c>
      <c r="P64" s="3">
        <f>'Monthly D3 RIN Data'!$B179</f>
        <v>4109184</v>
      </c>
      <c r="Q64" s="4">
        <f>'D3 Gallon Forecast'!Q64</f>
        <v>10355140.284927769</v>
      </c>
      <c r="R64" s="4">
        <f>'D3 Gallon Forecast'!R64</f>
        <v>11342974.884639218</v>
      </c>
      <c r="S64" s="4">
        <f>'D3 Gallon Forecast'!S64</f>
        <v>12472523.722955732</v>
      </c>
      <c r="T64" s="4">
        <f>'D3 Gallon Forecast'!T64</f>
        <v>13010048.104022766</v>
      </c>
      <c r="U64" s="4">
        <f>'D3 Gallon Forecast'!U64</f>
        <v>13041423.56435537</v>
      </c>
      <c r="V64" s="4">
        <f>'D3 Gallon Forecast'!V64</f>
        <v>13367235.042229082</v>
      </c>
      <c r="W64" s="4">
        <f>'D3 Gallon Forecast'!W64</f>
        <v>13821866.804855496</v>
      </c>
      <c r="X64" s="4">
        <f>'D3 Gallon Forecast'!X64</f>
        <v>15124054.689887298</v>
      </c>
      <c r="Y64" s="4">
        <f>'D3 Gallon Forecast'!Y64</f>
        <v>17334209.367997874</v>
      </c>
      <c r="Z64" s="4">
        <f>'D3 Gallon Forecast'!Z64</f>
        <v>20223802.40542867</v>
      </c>
      <c r="AA64" s="4">
        <f>'D3 Gallon Forecast'!AA64</f>
        <v>22509408.000443369</v>
      </c>
      <c r="AB64" s="4">
        <f>'D3 Gallon Forecast'!AB64</f>
        <v>25713340.572517987</v>
      </c>
      <c r="AC64" s="4">
        <f>'D3 Gallon Forecast'!AC64</f>
        <v>29133739.630671911</v>
      </c>
      <c r="AD64" s="4">
        <f>'D3 Gallon Forecast'!AD64</f>
        <v>32916333.64824855</v>
      </c>
      <c r="AE64" s="4">
        <f>'D3 Gallon Forecast'!AE64</f>
        <v>37326676.48108577</v>
      </c>
      <c r="AF64" s="4">
        <f>'D3 Gallon Forecast'!AF64</f>
        <v>41825365.235914446</v>
      </c>
      <c r="AG64" s="4">
        <f>'D3 Gallon Forecast'!AG64</f>
        <v>46743588.693858713</v>
      </c>
    </row>
    <row r="65" spans="1:33">
      <c r="A65" s="2" t="s">
        <v>51</v>
      </c>
      <c r="B65" s="3">
        <f>'Monthly D3 RIN Data'!$B12</f>
        <v>0</v>
      </c>
      <c r="C65" s="3">
        <f>'Monthly D3 RIN Data'!$B24</f>
        <v>0</v>
      </c>
      <c r="D65" s="3">
        <f>'Monthly D3 RIN Data'!$B36</f>
        <v>0</v>
      </c>
      <c r="E65" s="3">
        <f>'Monthly D3 RIN Data'!$B48</f>
        <v>0</v>
      </c>
      <c r="F65" s="3">
        <f>'Monthly D3 RIN Data'!$B60</f>
        <v>2731</v>
      </c>
      <c r="G65" s="3">
        <f>'Monthly D3 RIN Data'!$B72</f>
        <v>0</v>
      </c>
      <c r="H65" s="3">
        <f>'Monthly D3 RIN Data'!$B84</f>
        <v>342140</v>
      </c>
      <c r="I65" s="3">
        <f>'Monthly D3 RIN Data'!$B96</f>
        <v>527873</v>
      </c>
      <c r="J65" s="3">
        <f>'Monthly D3 RIN Data'!$B108</f>
        <v>888689</v>
      </c>
      <c r="K65" s="3">
        <f>'Monthly D3 RIN Data'!$B120</f>
        <v>399988</v>
      </c>
      <c r="L65" s="3">
        <f>'Monthly D3 RIN Data'!$B132</f>
        <v>114746</v>
      </c>
      <c r="M65" s="3">
        <f>'Monthly D3 RIN Data'!$B144</f>
        <v>0</v>
      </c>
      <c r="N65" s="3">
        <f>'Monthly D3 RIN Data'!$B156</f>
        <v>143328</v>
      </c>
      <c r="O65" s="3">
        <f>'Monthly D3 RIN Data'!$B168</f>
        <v>146298</v>
      </c>
      <c r="P65" s="3">
        <f>'Monthly D3 RIN Data'!$B180</f>
        <v>5794701</v>
      </c>
      <c r="Q65" s="4">
        <f>'D3 Gallon Forecast'!Q65</f>
        <v>13892301.905142682</v>
      </c>
      <c r="R65" s="4">
        <f>'D3 Gallon Forecast'!R65</f>
        <v>15366035.378193257</v>
      </c>
      <c r="S65" s="4">
        <f>'D3 Gallon Forecast'!S65</f>
        <v>16896206.042193692</v>
      </c>
      <c r="T65" s="4">
        <f>'D3 Gallon Forecast'!T65</f>
        <v>17641198.483870912</v>
      </c>
      <c r="U65" s="4">
        <f>'D3 Gallon Forecast'!U65</f>
        <v>17694691.428831387</v>
      </c>
      <c r="V65" s="4">
        <f>'D3 Gallon Forecast'!V65</f>
        <v>18088070.388814162</v>
      </c>
      <c r="W65" s="4">
        <f>'D3 Gallon Forecast'!W65</f>
        <v>18729471.83022812</v>
      </c>
      <c r="X65" s="4">
        <f>'D3 Gallon Forecast'!X65</f>
        <v>20495025.412832484</v>
      </c>
      <c r="Y65" s="4">
        <f>'D3 Gallon Forecast'!Y65</f>
        <v>23491501.421989467</v>
      </c>
      <c r="Z65" s="4">
        <f>'D3 Gallon Forecast'!Z65</f>
        <v>27404768.792061396</v>
      </c>
      <c r="AA65" s="4">
        <f>'D3 Gallon Forecast'!AA65</f>
        <v>30495570.953237846</v>
      </c>
      <c r="AB65" s="4">
        <f>'D3 Gallon Forecast'!AB65</f>
        <v>34842518.480418026</v>
      </c>
      <c r="AC65" s="4">
        <f>'D3 Gallon Forecast'!AC65</f>
        <v>39477187.513634406</v>
      </c>
      <c r="AD65" s="4">
        <f>'D3 Gallon Forecast'!AD65</f>
        <v>44602319.465958424</v>
      </c>
      <c r="AE65" s="4">
        <f>'D3 Gallon Forecast'!AE65</f>
        <v>50577486.262210809</v>
      </c>
      <c r="AF65" s="4">
        <f>'D3 Gallon Forecast'!AF65</f>
        <v>56672735.834222242</v>
      </c>
      <c r="AG65" s="4">
        <f>'D3 Gallon Forecast'!AG65</f>
        <v>63338068.231849469</v>
      </c>
    </row>
    <row r="66" spans="1:33">
      <c r="A66" s="2" t="s">
        <v>52</v>
      </c>
      <c r="B66" s="3">
        <f>'Monthly D3 RIN Data'!$B13</f>
        <v>0</v>
      </c>
      <c r="C66" s="3">
        <f>'Monthly D3 RIN Data'!$B25</f>
        <v>0</v>
      </c>
      <c r="D66" s="3">
        <f>'Monthly D3 RIN Data'!$B37</f>
        <v>0</v>
      </c>
      <c r="E66" s="3">
        <f>'Monthly D3 RIN Data'!$B49</f>
        <v>0</v>
      </c>
      <c r="F66" s="3">
        <f>'Monthly D3 RIN Data'!$B61</f>
        <v>430634</v>
      </c>
      <c r="G66" s="3">
        <f>'Monthly D3 RIN Data'!$B73</f>
        <v>229173</v>
      </c>
      <c r="H66" s="3">
        <f>'Monthly D3 RIN Data'!$B85</f>
        <v>186071</v>
      </c>
      <c r="I66" s="3">
        <f>'Monthly D3 RIN Data'!$B97</f>
        <v>285897</v>
      </c>
      <c r="J66" s="3">
        <f>'Monthly D3 RIN Data'!$B109</f>
        <v>439426</v>
      </c>
      <c r="K66" s="3">
        <f>'Monthly D3 RIN Data'!$B121</f>
        <v>348381</v>
      </c>
      <c r="L66" s="3">
        <f>'Monthly D3 RIN Data'!$B133</f>
        <v>173213</v>
      </c>
      <c r="M66" s="3">
        <f>'Monthly D3 RIN Data'!$B145</f>
        <v>0</v>
      </c>
      <c r="N66" s="3">
        <f>'Monthly D3 RIN Data'!$B157</f>
        <v>28784</v>
      </c>
      <c r="O66" s="3">
        <f>'Monthly D3 RIN Data'!$B169</f>
        <v>0</v>
      </c>
      <c r="P66" s="3">
        <f>'Monthly D3 RIN Data'!$B181</f>
        <v>6029880</v>
      </c>
      <c r="Q66" s="4">
        <f>'D3 Gallon Forecast'!Q66</f>
        <v>13965816.618019318</v>
      </c>
      <c r="R66" s="4">
        <f>'D3 Gallon Forecast'!R66</f>
        <v>15402842.945499087</v>
      </c>
      <c r="S66" s="4">
        <f>'D3 Gallon Forecast'!S66</f>
        <v>16936678.957022049</v>
      </c>
      <c r="T66" s="4">
        <f>'D3 Gallon Forecast'!T66</f>
        <v>17722360.42478371</v>
      </c>
      <c r="U66" s="4">
        <f>'D3 Gallon Forecast'!U66</f>
        <v>17813469.661110558</v>
      </c>
      <c r="V66" s="4">
        <f>'D3 Gallon Forecast'!V66</f>
        <v>18165921.564415995</v>
      </c>
      <c r="W66" s="4">
        <f>'D3 Gallon Forecast'!W66</f>
        <v>18807084.184626281</v>
      </c>
      <c r="X66" s="4">
        <f>'D3 Gallon Forecast'!X66</f>
        <v>20586137.533140317</v>
      </c>
      <c r="Y66" s="4">
        <f>'D3 Gallon Forecast'!Y66</f>
        <v>23604717.846533172</v>
      </c>
      <c r="Z66" s="4">
        <f>'D3 Gallon Forecast'!Z66</f>
        <v>27537918.778450992</v>
      </c>
      <c r="AA66" s="4">
        <f>'D3 Gallon Forecast'!AA66</f>
        <v>30634492.59682687</v>
      </c>
      <c r="AB66" s="4">
        <f>'D3 Gallon Forecast'!AB66</f>
        <v>35002556.432509959</v>
      </c>
      <c r="AC66" s="4">
        <f>'D3 Gallon Forecast'!AC66</f>
        <v>39660943.092336111</v>
      </c>
      <c r="AD66" s="4">
        <f>'D3 Gallon Forecast'!AD66</f>
        <v>44811159.018180691</v>
      </c>
      <c r="AE66" s="4">
        <f>'D3 Gallon Forecast'!AE66</f>
        <v>50813381.146002404</v>
      </c>
      <c r="AF66" s="4">
        <f>'D3 Gallon Forecast'!AF66</f>
        <v>56935547.829729386</v>
      </c>
      <c r="AG66" s="4">
        <f>'D3 Gallon Forecast'!AG66</f>
        <v>63632489.156553492</v>
      </c>
    </row>
    <row r="67" spans="1:33">
      <c r="A67" s="2" t="s">
        <v>53</v>
      </c>
      <c r="B67" s="3">
        <f>'Monthly D3 RIN Data'!$B14</f>
        <v>0</v>
      </c>
      <c r="C67" s="3">
        <f>'Monthly D3 RIN Data'!$B26</f>
        <v>0</v>
      </c>
      <c r="D67" s="3">
        <f>'Monthly D3 RIN Data'!$B38</f>
        <v>0</v>
      </c>
      <c r="E67" s="3">
        <f>'Monthly D3 RIN Data'!$B50</f>
        <v>0</v>
      </c>
      <c r="F67" s="3">
        <f>'Monthly D3 RIN Data'!$B62</f>
        <v>173075</v>
      </c>
      <c r="G67" s="3">
        <f>'Monthly D3 RIN Data'!$B74</f>
        <v>144675</v>
      </c>
      <c r="H67" s="3">
        <f>'Monthly D3 RIN Data'!$B86</f>
        <v>255250</v>
      </c>
      <c r="I67" s="3">
        <f>'Monthly D3 RIN Data'!$B98</f>
        <v>380910</v>
      </c>
      <c r="J67" s="3">
        <f>'Monthly D3 RIN Data'!$B110</f>
        <v>389828</v>
      </c>
      <c r="K67" s="3">
        <f>'Monthly D3 RIN Data'!$B122</f>
        <v>202030</v>
      </c>
      <c r="L67" s="3">
        <f>'Monthly D3 RIN Data'!$B134</f>
        <v>173959</v>
      </c>
      <c r="M67" s="3">
        <f>'Monthly D3 RIN Data'!$B146</f>
        <v>125000</v>
      </c>
      <c r="N67" s="3">
        <f>'Monthly D3 RIN Data'!$B158</f>
        <v>0</v>
      </c>
      <c r="O67" s="3">
        <f>'Monthly D3 RIN Data'!$B170</f>
        <v>0</v>
      </c>
      <c r="P67" s="3">
        <f>'Monthly D3 RIN Data'!$B182</f>
        <v>6758732</v>
      </c>
      <c r="Q67" s="4">
        <f>'D3 Gallon Forecast'!Q67</f>
        <v>15816489.67921629</v>
      </c>
      <c r="R67" s="4">
        <f>'D3 Gallon Forecast'!R67</f>
        <v>17461024.633934636</v>
      </c>
      <c r="S67" s="4">
        <f>'D3 Gallon Forecast'!S67</f>
        <v>19140058.639607616</v>
      </c>
      <c r="T67" s="4">
        <f>'D3 Gallon Forecast'!T67</f>
        <v>20038968.683547024</v>
      </c>
      <c r="U67" s="4">
        <f>'D3 Gallon Forecast'!U67</f>
        <v>20141987.417495262</v>
      </c>
      <c r="V67" s="4">
        <f>'D3 Gallon Forecast'!V67</f>
        <v>20553685.197982185</v>
      </c>
      <c r="W67" s="4">
        <f>'D3 Gallon Forecast'!W67</f>
        <v>21275849.259528071</v>
      </c>
      <c r="X67" s="4">
        <f>'D3 Gallon Forecast'!X67</f>
        <v>23280084.218747277</v>
      </c>
      <c r="Y67" s="4">
        <f>'D3 Gallon Forecast'!Y67</f>
        <v>26696976.427405216</v>
      </c>
      <c r="Z67" s="4">
        <f>'D3 Gallon Forecast'!Z67</f>
        <v>31146838.859259732</v>
      </c>
      <c r="AA67" s="4">
        <f>'D3 Gallon Forecast'!AA67</f>
        <v>34650914.324570827</v>
      </c>
      <c r="AB67" s="4">
        <f>'D3 Gallon Forecast'!AB67</f>
        <v>39589912.315229982</v>
      </c>
      <c r="AC67" s="4">
        <f>'D3 Gallon Forecast'!AC67</f>
        <v>44857675.797513328</v>
      </c>
      <c r="AD67" s="4">
        <f>'D3 Gallon Forecast'!AD67</f>
        <v>50683702.821311437</v>
      </c>
      <c r="AE67" s="4">
        <f>'D3 Gallon Forecast'!AE67</f>
        <v>57472853.938763566</v>
      </c>
      <c r="AF67" s="4">
        <f>'D3 Gallon Forecast'!AF67</f>
        <v>64397412.999317296</v>
      </c>
      <c r="AG67" s="4">
        <f>'D3 Gallon Forecast'!AG67</f>
        <v>71971616.252938256</v>
      </c>
    </row>
    <row r="68" spans="1:33">
      <c r="A68" s="2" t="s">
        <v>54</v>
      </c>
      <c r="B68" s="3">
        <f>'Monthly D3 RIN Data'!$B15</f>
        <v>0</v>
      </c>
      <c r="C68" s="3">
        <f>'Monthly D3 RIN Data'!$B27</f>
        <v>0</v>
      </c>
      <c r="D68" s="3">
        <f>'Monthly D3 RIN Data'!$B39</f>
        <v>0</v>
      </c>
      <c r="E68" s="3">
        <f>'Monthly D3 RIN Data'!$B51</f>
        <v>0</v>
      </c>
      <c r="F68" s="3">
        <f>'Monthly D3 RIN Data'!$B63</f>
        <v>89327</v>
      </c>
      <c r="G68" s="3">
        <f>'Monthly D3 RIN Data'!$B75</f>
        <v>160436</v>
      </c>
      <c r="H68" s="3">
        <f>'Monthly D3 RIN Data'!$B87</f>
        <v>501757</v>
      </c>
      <c r="I68" s="3">
        <f>'Monthly D3 RIN Data'!$B99</f>
        <v>1096265</v>
      </c>
      <c r="J68" s="3">
        <f>'Monthly D3 RIN Data'!$B111</f>
        <v>143450</v>
      </c>
      <c r="K68" s="3">
        <f>'Monthly D3 RIN Data'!$B123</f>
        <v>197121</v>
      </c>
      <c r="L68" s="3">
        <f>'Monthly D3 RIN Data'!$B135</f>
        <v>57832</v>
      </c>
      <c r="M68" s="3">
        <f>'Monthly D3 RIN Data'!$B147</f>
        <v>215821</v>
      </c>
      <c r="N68" s="3">
        <f>'Monthly D3 RIN Data'!$B159</f>
        <v>277529</v>
      </c>
      <c r="O68" s="3">
        <f>'Monthly D3 RIN Data'!$B171</f>
        <v>347542</v>
      </c>
      <c r="P68" s="4">
        <f>'D3 Gallon Forecast'!P68</f>
        <v>9375739</v>
      </c>
      <c r="Q68" s="4">
        <f>'D3 Gallon Forecast'!Q68</f>
        <v>11977326.999502897</v>
      </c>
      <c r="R68" s="4">
        <f>'D3 Gallon Forecast'!R68</f>
        <v>17071606.296631113</v>
      </c>
      <c r="S68" s="4">
        <f>'D3 Gallon Forecast'!S68</f>
        <v>18668442.858093888</v>
      </c>
      <c r="T68" s="4">
        <f>'D3 Gallon Forecast'!T68</f>
        <v>19451223.438077778</v>
      </c>
      <c r="U68" s="4">
        <f>'D3 Gallon Forecast'!U68</f>
        <v>19462851.468332335</v>
      </c>
      <c r="V68" s="4">
        <f>'D3 Gallon Forecast'!V68</f>
        <v>19229199.335447371</v>
      </c>
      <c r="W68" s="4">
        <f>'D3 Gallon Forecast'!W68</f>
        <v>20521216.083207518</v>
      </c>
      <c r="X68" s="4">
        <f>'D3 Gallon Forecast'!X68</f>
        <v>22401449.124340028</v>
      </c>
      <c r="Y68" s="4">
        <f>'D3 Gallon Forecast'!Y68</f>
        <v>25625798.024193496</v>
      </c>
      <c r="Z68" s="4">
        <f>'D3 Gallon Forecast'!Z68</f>
        <v>29836938.839464605</v>
      </c>
      <c r="AA68" s="4">
        <f>'D3 Gallon Forecast'!AA68</f>
        <v>33146316.823403746</v>
      </c>
      <c r="AB68" s="4">
        <f>'D3 Gallon Forecast'!AB68</f>
        <v>37995651.39139846</v>
      </c>
      <c r="AC68" s="4">
        <f>'D3 Gallon Forecast'!AC68</f>
        <v>43021797.308200866</v>
      </c>
      <c r="AD68" s="4">
        <f>'D3 Gallon Forecast'!AD68</f>
        <v>48588146.398055851</v>
      </c>
      <c r="AE68" s="4">
        <f>'D3 Gallon Forecast'!AE68</f>
        <v>55087261.966467738</v>
      </c>
      <c r="AF68" s="4">
        <f>'D3 Gallon Forecast'!AF68</f>
        <v>61729227.49359113</v>
      </c>
      <c r="AG68" s="4">
        <f>'D3 Gallon Forecast'!AG68</f>
        <v>69008903.498011768</v>
      </c>
    </row>
    <row r="69" spans="1:33" ht="15.75" thickBot="1">
      <c r="A69" s="2" t="s">
        <v>29</v>
      </c>
      <c r="B69" s="3">
        <f t="shared" ref="B69:O69" si="24">SUM(B57:B68)</f>
        <v>0</v>
      </c>
      <c r="C69" s="3">
        <f t="shared" si="24"/>
        <v>0</v>
      </c>
      <c r="D69" s="3">
        <f t="shared" si="24"/>
        <v>20069</v>
      </c>
      <c r="E69" s="3">
        <f t="shared" si="24"/>
        <v>0</v>
      </c>
      <c r="F69" s="3">
        <f t="shared" si="24"/>
        <v>728509</v>
      </c>
      <c r="G69" s="3">
        <f t="shared" si="24"/>
        <v>2181096</v>
      </c>
      <c r="H69" s="3">
        <f t="shared" si="24"/>
        <v>3805246</v>
      </c>
      <c r="I69" s="3">
        <f t="shared" si="24"/>
        <v>5743807</v>
      </c>
      <c r="J69" s="3">
        <f t="shared" si="24"/>
        <v>6541574</v>
      </c>
      <c r="K69" s="3">
        <f t="shared" si="24"/>
        <v>5551901</v>
      </c>
      <c r="L69" s="3">
        <f t="shared" si="24"/>
        <v>2051172</v>
      </c>
      <c r="M69" s="3">
        <f t="shared" si="24"/>
        <v>585099</v>
      </c>
      <c r="N69" s="3">
        <f t="shared" si="24"/>
        <v>1396503</v>
      </c>
      <c r="O69" s="3">
        <f t="shared" si="24"/>
        <v>1294545</v>
      </c>
      <c r="P69" s="4">
        <f>SUM(P57:P68)</f>
        <v>43263342</v>
      </c>
      <c r="Q69" s="4">
        <f t="shared" ref="Q69:AG69" si="25">SUM(Q57:Q68)</f>
        <v>108893076.81687927</v>
      </c>
      <c r="R69" s="4">
        <f t="shared" si="25"/>
        <v>119558826.29679656</v>
      </c>
      <c r="S69" s="4">
        <f t="shared" si="25"/>
        <v>131184939.27208924</v>
      </c>
      <c r="T69" s="4">
        <f t="shared" si="25"/>
        <v>136873120.59585667</v>
      </c>
      <c r="U69" s="4">
        <f t="shared" si="25"/>
        <v>137247611.70624554</v>
      </c>
      <c r="V69" s="4">
        <f t="shared" si="25"/>
        <v>140672360.72835255</v>
      </c>
      <c r="W69" s="4">
        <f t="shared" si="25"/>
        <v>145474459.06834352</v>
      </c>
      <c r="X69" s="4">
        <f t="shared" si="25"/>
        <v>159139741.306216</v>
      </c>
      <c r="Y69" s="4">
        <f t="shared" si="25"/>
        <v>182409485.31584787</v>
      </c>
      <c r="Z69" s="4">
        <f t="shared" si="25"/>
        <v>212826069.96412158</v>
      </c>
      <c r="AA69" s="4">
        <f t="shared" si="25"/>
        <v>236877156.69228888</v>
      </c>
      <c r="AB69" s="4">
        <f t="shared" si="25"/>
        <v>270592899.64110255</v>
      </c>
      <c r="AC69" s="4">
        <f t="shared" si="25"/>
        <v>306581266.99777985</v>
      </c>
      <c r="AD69" s="4">
        <f t="shared" si="25"/>
        <v>346390493.63448143</v>
      </c>
      <c r="AE69" s="4">
        <f t="shared" si="25"/>
        <v>392803464.67981815</v>
      </c>
      <c r="AF69" s="4">
        <f t="shared" si="25"/>
        <v>440144119.31962585</v>
      </c>
      <c r="AG69" s="4">
        <f t="shared" si="25"/>
        <v>491899839.96628666</v>
      </c>
    </row>
    <row r="70" spans="1:33">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c r="AE70" s="114"/>
      <c r="AF70" s="114"/>
      <c r="AG70" s="114"/>
    </row>
    <row r="71" spans="1:33" ht="16.5" thickBot="1">
      <c r="A71" s="109" t="s">
        <v>274</v>
      </c>
    </row>
    <row r="72" spans="1:33" ht="15.75" thickBot="1">
      <c r="A72" s="110"/>
      <c r="B72" s="111">
        <v>2010</v>
      </c>
      <c r="C72" s="111">
        <v>2011</v>
      </c>
      <c r="D72" s="111">
        <v>2012</v>
      </c>
      <c r="E72" s="111">
        <v>2013</v>
      </c>
      <c r="F72" s="111">
        <v>2014</v>
      </c>
      <c r="G72" s="111">
        <v>2015</v>
      </c>
      <c r="H72" s="111">
        <v>2016</v>
      </c>
      <c r="I72" s="111">
        <v>2017</v>
      </c>
      <c r="J72" s="111">
        <v>2018</v>
      </c>
      <c r="K72" s="111">
        <v>2019</v>
      </c>
      <c r="L72" s="111">
        <v>2020</v>
      </c>
      <c r="M72" s="111">
        <v>2021</v>
      </c>
      <c r="N72" s="111">
        <v>2022</v>
      </c>
      <c r="O72" s="111">
        <v>2023</v>
      </c>
      <c r="P72" s="111">
        <v>2024</v>
      </c>
      <c r="Q72" s="111">
        <v>2025</v>
      </c>
      <c r="R72" s="111">
        <v>2026</v>
      </c>
      <c r="S72" s="111">
        <v>2027</v>
      </c>
      <c r="T72" s="111">
        <v>2028</v>
      </c>
      <c r="U72" s="111">
        <v>2029</v>
      </c>
      <c r="V72" s="111">
        <v>2030</v>
      </c>
      <c r="W72" s="111">
        <v>2031</v>
      </c>
      <c r="X72" s="111">
        <v>2032</v>
      </c>
      <c r="Y72" s="111">
        <v>2033</v>
      </c>
      <c r="Z72" s="111">
        <v>2034</v>
      </c>
      <c r="AA72" s="111">
        <v>2035</v>
      </c>
      <c r="AB72" s="111">
        <v>2036</v>
      </c>
      <c r="AC72" s="111">
        <v>2037</v>
      </c>
      <c r="AD72" s="111">
        <v>2038</v>
      </c>
      <c r="AE72" s="111">
        <v>2039</v>
      </c>
      <c r="AF72" s="111">
        <v>2040</v>
      </c>
      <c r="AG72" s="111">
        <v>2041</v>
      </c>
    </row>
    <row r="73" spans="1:33">
      <c r="A73" s="2" t="s">
        <v>43</v>
      </c>
      <c r="B73" s="3">
        <f>'Monthly D3 RIN Data'!$C4</f>
        <v>0</v>
      </c>
      <c r="C73" s="3">
        <f>'Monthly D3 RIN Data'!$C16</f>
        <v>0</v>
      </c>
      <c r="D73" s="3">
        <f>'Monthly D3 RIN Data'!$C28</f>
        <v>0</v>
      </c>
      <c r="E73" s="3">
        <f>'Monthly D3 RIN Data'!$C40</f>
        <v>0</v>
      </c>
      <c r="F73" s="3">
        <f>'Monthly D3 RIN Data'!$C52</f>
        <v>0</v>
      </c>
      <c r="G73" s="3">
        <f>'Monthly D3 RIN Data'!$C64</f>
        <v>0</v>
      </c>
      <c r="H73" s="3">
        <f>'Monthly D3 RIN Data'!$C76</f>
        <v>0</v>
      </c>
      <c r="I73" s="3">
        <f>'Monthly D3 RIN Data'!$C88</f>
        <v>0</v>
      </c>
      <c r="J73" s="3">
        <f>'Monthly D3 RIN Data'!$C100</f>
        <v>0</v>
      </c>
      <c r="K73" s="3">
        <f>'Monthly D3 RIN Data'!$C112</f>
        <v>0</v>
      </c>
      <c r="L73" s="3">
        <f>'Monthly D3 RIN Data'!$C124</f>
        <v>0</v>
      </c>
      <c r="M73" s="3">
        <f>'Monthly D3 RIN Data'!$C136</f>
        <v>0</v>
      </c>
      <c r="N73" s="3">
        <f>'Monthly D3 RIN Data'!$C148</f>
        <v>0</v>
      </c>
      <c r="O73" s="3">
        <f>'Monthly D3 RIN Data'!$C160</f>
        <v>0</v>
      </c>
      <c r="P73" s="3">
        <f>'Monthly D3 RIN Data'!$C172</f>
        <v>0</v>
      </c>
      <c r="Q73" s="3">
        <f>'Monthly D3 RIN Data'!$C160</f>
        <v>0</v>
      </c>
      <c r="R73" s="3">
        <f>'Monthly D3 RIN Data'!$C160</f>
        <v>0</v>
      </c>
      <c r="S73" s="3">
        <f>'Monthly D3 RIN Data'!$C160</f>
        <v>0</v>
      </c>
      <c r="T73" s="3">
        <f>'Monthly D3 RIN Data'!$C160</f>
        <v>0</v>
      </c>
      <c r="U73" s="3">
        <f>'Monthly D3 RIN Data'!$C160</f>
        <v>0</v>
      </c>
      <c r="V73" s="3">
        <f>'Monthly D3 RIN Data'!$C160</f>
        <v>0</v>
      </c>
      <c r="W73" s="3">
        <f>'Monthly D3 RIN Data'!$C160</f>
        <v>0</v>
      </c>
      <c r="X73" s="3">
        <f>'Monthly D3 RIN Data'!$C160</f>
        <v>0</v>
      </c>
      <c r="Y73" s="3">
        <f>'Monthly D3 RIN Data'!$C160</f>
        <v>0</v>
      </c>
      <c r="Z73" s="3">
        <f>'Monthly D3 RIN Data'!$C160</f>
        <v>0</v>
      </c>
      <c r="AA73" s="3">
        <f>'Monthly D3 RIN Data'!$C160</f>
        <v>0</v>
      </c>
      <c r="AB73" s="3">
        <f>'Monthly D3 RIN Data'!$C160</f>
        <v>0</v>
      </c>
      <c r="AC73" s="3">
        <f>'Monthly D3 RIN Data'!$C160</f>
        <v>0</v>
      </c>
      <c r="AD73" s="3">
        <f>'Monthly D3 RIN Data'!$C160</f>
        <v>0</v>
      </c>
      <c r="AE73" s="3">
        <f>'Monthly D3 RIN Data'!$C160</f>
        <v>0</v>
      </c>
      <c r="AF73" s="3">
        <f>'Monthly D3 RIN Data'!$C160</f>
        <v>0</v>
      </c>
      <c r="AG73" s="3">
        <f>'Monthly D3 RIN Data'!$C160</f>
        <v>0</v>
      </c>
    </row>
    <row r="74" spans="1:33">
      <c r="A74" s="2" t="s">
        <v>44</v>
      </c>
      <c r="B74" s="3">
        <f>'Monthly D3 RIN Data'!$C5</f>
        <v>0</v>
      </c>
      <c r="C74" s="3">
        <f>'Monthly D3 RIN Data'!$C17</f>
        <v>0</v>
      </c>
      <c r="D74" s="3">
        <f>'Monthly D3 RIN Data'!$C29</f>
        <v>0</v>
      </c>
      <c r="E74" s="3">
        <f>'Monthly D3 RIN Data'!$C41</f>
        <v>0</v>
      </c>
      <c r="F74" s="3">
        <f>'Monthly D3 RIN Data'!$C53</f>
        <v>0</v>
      </c>
      <c r="G74" s="3">
        <f>'Monthly D3 RIN Data'!$C65</f>
        <v>0</v>
      </c>
      <c r="H74" s="3">
        <f>'Monthly D3 RIN Data'!$C77</f>
        <v>0</v>
      </c>
      <c r="I74" s="3">
        <f>'Monthly D3 RIN Data'!$C89</f>
        <v>0</v>
      </c>
      <c r="J74" s="3">
        <f>'Monthly D3 RIN Data'!$C101</f>
        <v>0</v>
      </c>
      <c r="K74" s="3">
        <f>'Monthly D3 RIN Data'!$C113</f>
        <v>0</v>
      </c>
      <c r="L74" s="3">
        <f>'Monthly D3 RIN Data'!$C125</f>
        <v>0</v>
      </c>
      <c r="M74" s="3">
        <f>'Monthly D3 RIN Data'!$C137</f>
        <v>0</v>
      </c>
      <c r="N74" s="3">
        <f>'Monthly D3 RIN Data'!$C149</f>
        <v>0</v>
      </c>
      <c r="O74" s="3">
        <f>'Monthly D3 RIN Data'!$C161</f>
        <v>0</v>
      </c>
      <c r="P74" s="3">
        <f>'Monthly D3 RIN Data'!$C173</f>
        <v>0</v>
      </c>
      <c r="Q74" s="4">
        <f>'D3 Gallon Forecast'!Q74</f>
        <v>0</v>
      </c>
      <c r="R74" s="4">
        <f>'D3 Gallon Forecast'!R74</f>
        <v>0</v>
      </c>
      <c r="S74" s="4">
        <f>'D3 Gallon Forecast'!S74</f>
        <v>0</v>
      </c>
      <c r="T74" s="4">
        <f>'D3 Gallon Forecast'!T74</f>
        <v>0</v>
      </c>
      <c r="U74" s="4">
        <f>'D3 Gallon Forecast'!U74</f>
        <v>0</v>
      </c>
      <c r="V74" s="4">
        <f>'D3 Gallon Forecast'!V74</f>
        <v>0</v>
      </c>
      <c r="W74" s="4">
        <f>'D3 Gallon Forecast'!W74</f>
        <v>0</v>
      </c>
      <c r="X74" s="4">
        <f>'D3 Gallon Forecast'!X74</f>
        <v>0</v>
      </c>
      <c r="Y74" s="4">
        <f>'D3 Gallon Forecast'!Y74</f>
        <v>0</v>
      </c>
      <c r="Z74" s="4">
        <f>'D3 Gallon Forecast'!Z74</f>
        <v>0</v>
      </c>
      <c r="AA74" s="4">
        <f>'D3 Gallon Forecast'!AA74</f>
        <v>0</v>
      </c>
      <c r="AB74" s="4">
        <f>'D3 Gallon Forecast'!AB74</f>
        <v>0</v>
      </c>
      <c r="AC74" s="4">
        <f>'D3 Gallon Forecast'!AC74</f>
        <v>0</v>
      </c>
      <c r="AD74" s="4">
        <f>'D3 Gallon Forecast'!AD74</f>
        <v>0</v>
      </c>
      <c r="AE74" s="4">
        <f>'D3 Gallon Forecast'!AE74</f>
        <v>0</v>
      </c>
      <c r="AF74" s="4">
        <f>'D3 Gallon Forecast'!AF74</f>
        <v>0</v>
      </c>
      <c r="AG74" s="4">
        <f>'D3 Gallon Forecast'!AG74</f>
        <v>0</v>
      </c>
    </row>
    <row r="75" spans="1:33">
      <c r="A75" s="2" t="s">
        <v>45</v>
      </c>
      <c r="B75" s="3">
        <f>'Monthly D3 RIN Data'!$C6</f>
        <v>0</v>
      </c>
      <c r="C75" s="3">
        <f>'Monthly D3 RIN Data'!$C18</f>
        <v>0</v>
      </c>
      <c r="D75" s="3">
        <f>'Monthly D3 RIN Data'!$C30</f>
        <v>0</v>
      </c>
      <c r="E75" s="3">
        <f>'Monthly D3 RIN Data'!$C42</f>
        <v>0</v>
      </c>
      <c r="F75" s="3">
        <f>'Monthly D3 RIN Data'!$C54</f>
        <v>0</v>
      </c>
      <c r="G75" s="3">
        <f>'Monthly D3 RIN Data'!$C66</f>
        <v>0</v>
      </c>
      <c r="H75" s="3">
        <f>'Monthly D3 RIN Data'!$C78</f>
        <v>0</v>
      </c>
      <c r="I75" s="3">
        <f>'Monthly D3 RIN Data'!$C90</f>
        <v>0</v>
      </c>
      <c r="J75" s="3">
        <f>'Monthly D3 RIN Data'!$C102</f>
        <v>1616594</v>
      </c>
      <c r="K75" s="3">
        <f>'Monthly D3 RIN Data'!$C114</f>
        <v>4263940</v>
      </c>
      <c r="L75" s="3">
        <f>'Monthly D3 RIN Data'!$C126</f>
        <v>0</v>
      </c>
      <c r="M75" s="3">
        <f>'Monthly D3 RIN Data'!$C138</f>
        <v>0</v>
      </c>
      <c r="N75" s="3">
        <f>'Monthly D3 RIN Data'!$C150</f>
        <v>0</v>
      </c>
      <c r="O75" s="3">
        <f>'Monthly D3 RIN Data'!$C162</f>
        <v>0</v>
      </c>
      <c r="P75" s="3">
        <f>'Monthly D3 RIN Data'!$C174</f>
        <v>0</v>
      </c>
      <c r="Q75" s="4">
        <f>'D3 Gallon Forecast'!Q75</f>
        <v>0</v>
      </c>
      <c r="R75" s="4">
        <f>'D3 Gallon Forecast'!R75</f>
        <v>0</v>
      </c>
      <c r="S75" s="4">
        <f>'D3 Gallon Forecast'!S75</f>
        <v>0</v>
      </c>
      <c r="T75" s="4">
        <f>'D3 Gallon Forecast'!T75</f>
        <v>0</v>
      </c>
      <c r="U75" s="4">
        <f>'D3 Gallon Forecast'!U75</f>
        <v>0</v>
      </c>
      <c r="V75" s="4">
        <f>'D3 Gallon Forecast'!V75</f>
        <v>0</v>
      </c>
      <c r="W75" s="4">
        <f>'D3 Gallon Forecast'!W75</f>
        <v>0</v>
      </c>
      <c r="X75" s="4">
        <f>'D3 Gallon Forecast'!X75</f>
        <v>0</v>
      </c>
      <c r="Y75" s="4">
        <f>'D3 Gallon Forecast'!Y75</f>
        <v>0</v>
      </c>
      <c r="Z75" s="4">
        <f>'D3 Gallon Forecast'!Z75</f>
        <v>0</v>
      </c>
      <c r="AA75" s="4">
        <f>'D3 Gallon Forecast'!AA75</f>
        <v>0</v>
      </c>
      <c r="AB75" s="4">
        <f>'D3 Gallon Forecast'!AB75</f>
        <v>0</v>
      </c>
      <c r="AC75" s="4">
        <f>'D3 Gallon Forecast'!AC75</f>
        <v>0</v>
      </c>
      <c r="AD75" s="4">
        <f>'D3 Gallon Forecast'!AD75</f>
        <v>0</v>
      </c>
      <c r="AE75" s="4">
        <f>'D3 Gallon Forecast'!AE75</f>
        <v>0</v>
      </c>
      <c r="AF75" s="4">
        <f>'D3 Gallon Forecast'!AF75</f>
        <v>0</v>
      </c>
      <c r="AG75" s="4">
        <f>'D3 Gallon Forecast'!AG75</f>
        <v>0</v>
      </c>
    </row>
    <row r="76" spans="1:33">
      <c r="A76" s="2" t="s">
        <v>46</v>
      </c>
      <c r="B76" s="3">
        <f>'Monthly D3 RIN Data'!$C7</f>
        <v>0</v>
      </c>
      <c r="C76" s="3">
        <f>'Monthly D3 RIN Data'!$C19</f>
        <v>0</v>
      </c>
      <c r="D76" s="3">
        <f>'Monthly D3 RIN Data'!$C31</f>
        <v>0</v>
      </c>
      <c r="E76" s="3">
        <f>'Monthly D3 RIN Data'!$C43</f>
        <v>0</v>
      </c>
      <c r="F76" s="3">
        <f>'Monthly D3 RIN Data'!$C55</f>
        <v>0</v>
      </c>
      <c r="G76" s="3">
        <f>'Monthly D3 RIN Data'!$C67</f>
        <v>0</v>
      </c>
      <c r="H76" s="3">
        <f>'Monthly D3 RIN Data'!$C79</f>
        <v>0</v>
      </c>
      <c r="I76" s="3">
        <f>'Monthly D3 RIN Data'!$C91</f>
        <v>0</v>
      </c>
      <c r="J76" s="3">
        <f>'Monthly D3 RIN Data'!$C103</f>
        <v>0</v>
      </c>
      <c r="K76" s="3">
        <f>'Monthly D3 RIN Data'!$C115</f>
        <v>0</v>
      </c>
      <c r="L76" s="3">
        <f>'Monthly D3 RIN Data'!$C127</f>
        <v>0</v>
      </c>
      <c r="M76" s="3">
        <f>'Monthly D3 RIN Data'!$C139</f>
        <v>0</v>
      </c>
      <c r="N76" s="3">
        <f>'Monthly D3 RIN Data'!$C151</f>
        <v>0</v>
      </c>
      <c r="O76" s="3">
        <f>'Monthly D3 RIN Data'!$C163</f>
        <v>0</v>
      </c>
      <c r="P76" s="3">
        <f>'Monthly D3 RIN Data'!$C175</f>
        <v>0</v>
      </c>
      <c r="Q76" s="4">
        <f>'D3 Gallon Forecast'!Q76</f>
        <v>0</v>
      </c>
      <c r="R76" s="4">
        <f>'D3 Gallon Forecast'!R76</f>
        <v>0</v>
      </c>
      <c r="S76" s="4">
        <f>'D3 Gallon Forecast'!S76</f>
        <v>0</v>
      </c>
      <c r="T76" s="4">
        <f>'D3 Gallon Forecast'!T76</f>
        <v>0</v>
      </c>
      <c r="U76" s="4">
        <f>'D3 Gallon Forecast'!U76</f>
        <v>0</v>
      </c>
      <c r="V76" s="4">
        <f>'D3 Gallon Forecast'!V76</f>
        <v>0</v>
      </c>
      <c r="W76" s="4">
        <f>'D3 Gallon Forecast'!W76</f>
        <v>0</v>
      </c>
      <c r="X76" s="4">
        <f>'D3 Gallon Forecast'!X76</f>
        <v>0</v>
      </c>
      <c r="Y76" s="4">
        <f>'D3 Gallon Forecast'!Y76</f>
        <v>0</v>
      </c>
      <c r="Z76" s="4">
        <f>'D3 Gallon Forecast'!Z76</f>
        <v>0</v>
      </c>
      <c r="AA76" s="4">
        <f>'D3 Gallon Forecast'!AA76</f>
        <v>0</v>
      </c>
      <c r="AB76" s="4">
        <f>'D3 Gallon Forecast'!AB76</f>
        <v>0</v>
      </c>
      <c r="AC76" s="4">
        <f>'D3 Gallon Forecast'!AC76</f>
        <v>0</v>
      </c>
      <c r="AD76" s="4">
        <f>'D3 Gallon Forecast'!AD76</f>
        <v>0</v>
      </c>
      <c r="AE76" s="4">
        <f>'D3 Gallon Forecast'!AE76</f>
        <v>0</v>
      </c>
      <c r="AF76" s="4">
        <f>'D3 Gallon Forecast'!AF76</f>
        <v>0</v>
      </c>
      <c r="AG76" s="4">
        <f>'D3 Gallon Forecast'!AG76</f>
        <v>0</v>
      </c>
    </row>
    <row r="77" spans="1:33">
      <c r="A77" s="2" t="s">
        <v>47</v>
      </c>
      <c r="B77" s="3">
        <f>'Monthly D3 RIN Data'!$C8</f>
        <v>0</v>
      </c>
      <c r="C77" s="3">
        <f>'Monthly D3 RIN Data'!$C20</f>
        <v>0</v>
      </c>
      <c r="D77" s="3">
        <f>'Monthly D3 RIN Data'!$C32</f>
        <v>0</v>
      </c>
      <c r="E77" s="3">
        <f>'Monthly D3 RIN Data'!$C44</f>
        <v>0</v>
      </c>
      <c r="F77" s="3">
        <f>'Monthly D3 RIN Data'!$C56</f>
        <v>0</v>
      </c>
      <c r="G77" s="3">
        <f>'Monthly D3 RIN Data'!$C68</f>
        <v>0</v>
      </c>
      <c r="H77" s="3">
        <f>'Monthly D3 RIN Data'!$C80</f>
        <v>0</v>
      </c>
      <c r="I77" s="3">
        <f>'Monthly D3 RIN Data'!$C92</f>
        <v>1331289</v>
      </c>
      <c r="J77" s="3">
        <f>'Monthly D3 RIN Data'!$C104</f>
        <v>0</v>
      </c>
      <c r="K77" s="3">
        <f>'Monthly D3 RIN Data'!$C116</f>
        <v>0</v>
      </c>
      <c r="L77" s="3">
        <f>'Monthly D3 RIN Data'!$C128</f>
        <v>0</v>
      </c>
      <c r="M77" s="3">
        <f>'Monthly D3 RIN Data'!$C140</f>
        <v>0</v>
      </c>
      <c r="N77" s="3">
        <f>'Monthly D3 RIN Data'!$C152</f>
        <v>0</v>
      </c>
      <c r="O77" s="3">
        <f>'Monthly D3 RIN Data'!$C164</f>
        <v>0</v>
      </c>
      <c r="P77" s="3">
        <f>'Monthly D3 RIN Data'!$C176</f>
        <v>0</v>
      </c>
      <c r="Q77" s="4">
        <f>'D3 Gallon Forecast'!Q77</f>
        <v>0</v>
      </c>
      <c r="R77" s="4">
        <f>'D3 Gallon Forecast'!R77</f>
        <v>0</v>
      </c>
      <c r="S77" s="4">
        <f>'D3 Gallon Forecast'!S77</f>
        <v>0</v>
      </c>
      <c r="T77" s="4">
        <f>'D3 Gallon Forecast'!T77</f>
        <v>0</v>
      </c>
      <c r="U77" s="4">
        <f>'D3 Gallon Forecast'!U77</f>
        <v>0</v>
      </c>
      <c r="V77" s="4">
        <f>'D3 Gallon Forecast'!V77</f>
        <v>0</v>
      </c>
      <c r="W77" s="4">
        <f>'D3 Gallon Forecast'!W77</f>
        <v>0</v>
      </c>
      <c r="X77" s="4">
        <f>'D3 Gallon Forecast'!X77</f>
        <v>0</v>
      </c>
      <c r="Y77" s="4">
        <f>'D3 Gallon Forecast'!Y77</f>
        <v>0</v>
      </c>
      <c r="Z77" s="4">
        <f>'D3 Gallon Forecast'!Z77</f>
        <v>0</v>
      </c>
      <c r="AA77" s="4">
        <f>'D3 Gallon Forecast'!AA77</f>
        <v>0</v>
      </c>
      <c r="AB77" s="4">
        <f>'D3 Gallon Forecast'!AB77</f>
        <v>0</v>
      </c>
      <c r="AC77" s="4">
        <f>'D3 Gallon Forecast'!AC77</f>
        <v>0</v>
      </c>
      <c r="AD77" s="4">
        <f>'D3 Gallon Forecast'!AD77</f>
        <v>0</v>
      </c>
      <c r="AE77" s="4">
        <f>'D3 Gallon Forecast'!AE77</f>
        <v>0</v>
      </c>
      <c r="AF77" s="4">
        <f>'D3 Gallon Forecast'!AF77</f>
        <v>0</v>
      </c>
      <c r="AG77" s="4">
        <f>'D3 Gallon Forecast'!AG77</f>
        <v>0</v>
      </c>
    </row>
    <row r="78" spans="1:33">
      <c r="A78" s="2" t="s">
        <v>48</v>
      </c>
      <c r="B78" s="3">
        <f>'Monthly D3 RIN Data'!$C9</f>
        <v>0</v>
      </c>
      <c r="C78" s="3">
        <f>'Monthly D3 RIN Data'!$C21</f>
        <v>0</v>
      </c>
      <c r="D78" s="3">
        <f>'Monthly D3 RIN Data'!$C33</f>
        <v>0</v>
      </c>
      <c r="E78" s="3">
        <f>'Monthly D3 RIN Data'!$C45</f>
        <v>0</v>
      </c>
      <c r="F78" s="3">
        <f>'Monthly D3 RIN Data'!$C57</f>
        <v>0</v>
      </c>
      <c r="G78" s="3">
        <f>'Monthly D3 RIN Data'!$C69</f>
        <v>0</v>
      </c>
      <c r="H78" s="3">
        <f>'Monthly D3 RIN Data'!$C81</f>
        <v>0</v>
      </c>
      <c r="I78" s="3">
        <f>'Monthly D3 RIN Data'!$C93</f>
        <v>0</v>
      </c>
      <c r="J78" s="3">
        <f>'Monthly D3 RIN Data'!$C105</f>
        <v>0</v>
      </c>
      <c r="K78" s="3">
        <f>'Monthly D3 RIN Data'!$C117</f>
        <v>0</v>
      </c>
      <c r="L78" s="3">
        <f>'Monthly D3 RIN Data'!$C129</f>
        <v>0</v>
      </c>
      <c r="M78" s="3">
        <f>'Monthly D3 RIN Data'!$C141</f>
        <v>0</v>
      </c>
      <c r="N78" s="3">
        <f>'Monthly D3 RIN Data'!$C153</f>
        <v>0</v>
      </c>
      <c r="O78" s="3">
        <f>'Monthly D3 RIN Data'!$C165</f>
        <v>0</v>
      </c>
      <c r="P78" s="3">
        <f>'Monthly D3 RIN Data'!$C177</f>
        <v>0</v>
      </c>
      <c r="Q78" s="4">
        <f>'D3 Gallon Forecast'!Q78</f>
        <v>0</v>
      </c>
      <c r="R78" s="4">
        <f>'D3 Gallon Forecast'!R78</f>
        <v>0</v>
      </c>
      <c r="S78" s="4">
        <f>'D3 Gallon Forecast'!S78</f>
        <v>0</v>
      </c>
      <c r="T78" s="4">
        <f>'D3 Gallon Forecast'!T78</f>
        <v>0</v>
      </c>
      <c r="U78" s="4">
        <f>'D3 Gallon Forecast'!U78</f>
        <v>0</v>
      </c>
      <c r="V78" s="4">
        <f>'D3 Gallon Forecast'!V78</f>
        <v>0</v>
      </c>
      <c r="W78" s="4">
        <f>'D3 Gallon Forecast'!W78</f>
        <v>0</v>
      </c>
      <c r="X78" s="4">
        <f>'D3 Gallon Forecast'!X78</f>
        <v>0</v>
      </c>
      <c r="Y78" s="4">
        <f>'D3 Gallon Forecast'!Y78</f>
        <v>0</v>
      </c>
      <c r="Z78" s="4">
        <f>'D3 Gallon Forecast'!Z78</f>
        <v>0</v>
      </c>
      <c r="AA78" s="4">
        <f>'D3 Gallon Forecast'!AA78</f>
        <v>0</v>
      </c>
      <c r="AB78" s="4">
        <f>'D3 Gallon Forecast'!AB78</f>
        <v>0</v>
      </c>
      <c r="AC78" s="4">
        <f>'D3 Gallon Forecast'!AC78</f>
        <v>0</v>
      </c>
      <c r="AD78" s="4">
        <f>'D3 Gallon Forecast'!AD78</f>
        <v>0</v>
      </c>
      <c r="AE78" s="4">
        <f>'D3 Gallon Forecast'!AE78</f>
        <v>0</v>
      </c>
      <c r="AF78" s="4">
        <f>'D3 Gallon Forecast'!AF78</f>
        <v>0</v>
      </c>
      <c r="AG78" s="4">
        <f>'D3 Gallon Forecast'!AG78</f>
        <v>0</v>
      </c>
    </row>
    <row r="79" spans="1:33">
      <c r="A79" s="2" t="s">
        <v>49</v>
      </c>
      <c r="B79" s="3">
        <f>'Monthly D3 RIN Data'!$C10</f>
        <v>0</v>
      </c>
      <c r="C79" s="3">
        <f>'Monthly D3 RIN Data'!$C22</f>
        <v>0</v>
      </c>
      <c r="D79" s="3">
        <f>'Monthly D3 RIN Data'!$C34</f>
        <v>0</v>
      </c>
      <c r="E79" s="3">
        <f>'Monthly D3 RIN Data'!$C46</f>
        <v>0</v>
      </c>
      <c r="F79" s="3">
        <f>'Monthly D3 RIN Data'!$C58</f>
        <v>0</v>
      </c>
      <c r="G79" s="3">
        <f>'Monthly D3 RIN Data'!$C70</f>
        <v>0</v>
      </c>
      <c r="H79" s="3">
        <f>'Monthly D3 RIN Data'!$C82</f>
        <v>0</v>
      </c>
      <c r="I79" s="3">
        <f>'Monthly D3 RIN Data'!$C94</f>
        <v>0</v>
      </c>
      <c r="J79" s="3">
        <f>'Monthly D3 RIN Data'!$C106</f>
        <v>0</v>
      </c>
      <c r="K79" s="3">
        <f>'Monthly D3 RIN Data'!$C118</f>
        <v>0</v>
      </c>
      <c r="L79" s="3">
        <f>'Monthly D3 RIN Data'!$C130</f>
        <v>0</v>
      </c>
      <c r="M79" s="3">
        <f>'Monthly D3 RIN Data'!$C142</f>
        <v>0</v>
      </c>
      <c r="N79" s="3">
        <f>'Monthly D3 RIN Data'!$C154</f>
        <v>0</v>
      </c>
      <c r="O79" s="3">
        <f>'Monthly D3 RIN Data'!$C166</f>
        <v>0</v>
      </c>
      <c r="P79" s="3">
        <f>'Monthly D3 RIN Data'!$C178</f>
        <v>0</v>
      </c>
      <c r="Q79" s="4">
        <f>'D3 Gallon Forecast'!Q79</f>
        <v>0</v>
      </c>
      <c r="R79" s="4">
        <f>'D3 Gallon Forecast'!R79</f>
        <v>0</v>
      </c>
      <c r="S79" s="4">
        <f>'D3 Gallon Forecast'!S79</f>
        <v>0</v>
      </c>
      <c r="T79" s="4">
        <f>'D3 Gallon Forecast'!T79</f>
        <v>0</v>
      </c>
      <c r="U79" s="4">
        <f>'D3 Gallon Forecast'!U79</f>
        <v>0</v>
      </c>
      <c r="V79" s="4">
        <f>'D3 Gallon Forecast'!V79</f>
        <v>0</v>
      </c>
      <c r="W79" s="4">
        <f>'D3 Gallon Forecast'!W79</f>
        <v>0</v>
      </c>
      <c r="X79" s="4">
        <f>'D3 Gallon Forecast'!X79</f>
        <v>0</v>
      </c>
      <c r="Y79" s="4">
        <f>'D3 Gallon Forecast'!Y79</f>
        <v>0</v>
      </c>
      <c r="Z79" s="4">
        <f>'D3 Gallon Forecast'!Z79</f>
        <v>0</v>
      </c>
      <c r="AA79" s="4">
        <f>'D3 Gallon Forecast'!AA79</f>
        <v>0</v>
      </c>
      <c r="AB79" s="4">
        <f>'D3 Gallon Forecast'!AB79</f>
        <v>0</v>
      </c>
      <c r="AC79" s="4">
        <f>'D3 Gallon Forecast'!AC79</f>
        <v>0</v>
      </c>
      <c r="AD79" s="4">
        <f>'D3 Gallon Forecast'!AD79</f>
        <v>0</v>
      </c>
      <c r="AE79" s="4">
        <f>'D3 Gallon Forecast'!AE79</f>
        <v>0</v>
      </c>
      <c r="AF79" s="4">
        <f>'D3 Gallon Forecast'!AF79</f>
        <v>0</v>
      </c>
      <c r="AG79" s="4">
        <f>'D3 Gallon Forecast'!AG79</f>
        <v>0</v>
      </c>
    </row>
    <row r="80" spans="1:33">
      <c r="A80" s="2" t="s">
        <v>50</v>
      </c>
      <c r="B80" s="3">
        <f>'Monthly D3 RIN Data'!$C11</f>
        <v>0</v>
      </c>
      <c r="C80" s="3">
        <f>'Monthly D3 RIN Data'!$C23</f>
        <v>0</v>
      </c>
      <c r="D80" s="3">
        <f>'Monthly D3 RIN Data'!$C35</f>
        <v>0</v>
      </c>
      <c r="E80" s="3">
        <f>'Monthly D3 RIN Data'!$C47</f>
        <v>0</v>
      </c>
      <c r="F80" s="3">
        <f>'Monthly D3 RIN Data'!$C59</f>
        <v>0</v>
      </c>
      <c r="G80" s="3">
        <f>'Monthly D3 RIN Data'!$C71</f>
        <v>0</v>
      </c>
      <c r="H80" s="3">
        <f>'Monthly D3 RIN Data'!$C83</f>
        <v>0</v>
      </c>
      <c r="I80" s="3">
        <f>'Monthly D3 RIN Data'!$C95</f>
        <v>0</v>
      </c>
      <c r="J80" s="3">
        <f>'Monthly D3 RIN Data'!$C107</f>
        <v>0</v>
      </c>
      <c r="K80" s="3">
        <f>'Monthly D3 RIN Data'!$C119</f>
        <v>0</v>
      </c>
      <c r="L80" s="3">
        <f>'Monthly D3 RIN Data'!$C131</f>
        <v>0</v>
      </c>
      <c r="M80" s="3">
        <f>'Monthly D3 RIN Data'!$C143</f>
        <v>0</v>
      </c>
      <c r="N80" s="3">
        <f>'Monthly D3 RIN Data'!$C155</f>
        <v>0</v>
      </c>
      <c r="O80" s="3">
        <f>'Monthly D3 RIN Data'!$C167</f>
        <v>0</v>
      </c>
      <c r="P80" s="3">
        <f>'Monthly D3 RIN Data'!$C179</f>
        <v>0</v>
      </c>
      <c r="Q80" s="4">
        <f>'D3 Gallon Forecast'!Q80</f>
        <v>0</v>
      </c>
      <c r="R80" s="4">
        <f>'D3 Gallon Forecast'!R80</f>
        <v>0</v>
      </c>
      <c r="S80" s="4">
        <f>'D3 Gallon Forecast'!S80</f>
        <v>0</v>
      </c>
      <c r="T80" s="4">
        <f>'D3 Gallon Forecast'!T80</f>
        <v>0</v>
      </c>
      <c r="U80" s="4">
        <f>'D3 Gallon Forecast'!U80</f>
        <v>0</v>
      </c>
      <c r="V80" s="4">
        <f>'D3 Gallon Forecast'!V80</f>
        <v>0</v>
      </c>
      <c r="W80" s="4">
        <f>'D3 Gallon Forecast'!W80</f>
        <v>0</v>
      </c>
      <c r="X80" s="4">
        <f>'D3 Gallon Forecast'!X80</f>
        <v>0</v>
      </c>
      <c r="Y80" s="4">
        <f>'D3 Gallon Forecast'!Y80</f>
        <v>0</v>
      </c>
      <c r="Z80" s="4">
        <f>'D3 Gallon Forecast'!Z80</f>
        <v>0</v>
      </c>
      <c r="AA80" s="4">
        <f>'D3 Gallon Forecast'!AA80</f>
        <v>0</v>
      </c>
      <c r="AB80" s="4">
        <f>'D3 Gallon Forecast'!AB80</f>
        <v>0</v>
      </c>
      <c r="AC80" s="4">
        <f>'D3 Gallon Forecast'!AC80</f>
        <v>0</v>
      </c>
      <c r="AD80" s="4">
        <f>'D3 Gallon Forecast'!AD80</f>
        <v>0</v>
      </c>
      <c r="AE80" s="4">
        <f>'D3 Gallon Forecast'!AE80</f>
        <v>0</v>
      </c>
      <c r="AF80" s="4">
        <f>'D3 Gallon Forecast'!AF80</f>
        <v>0</v>
      </c>
      <c r="AG80" s="4">
        <f>'D3 Gallon Forecast'!AG80</f>
        <v>0</v>
      </c>
    </row>
    <row r="81" spans="1:33">
      <c r="A81" s="2" t="s">
        <v>51</v>
      </c>
      <c r="B81" s="3">
        <f>'Monthly D3 RIN Data'!$C12</f>
        <v>0</v>
      </c>
      <c r="C81" s="3">
        <f>'Monthly D3 RIN Data'!$C24</f>
        <v>0</v>
      </c>
      <c r="D81" s="3">
        <f>'Monthly D3 RIN Data'!$C36</f>
        <v>0</v>
      </c>
      <c r="E81" s="3">
        <f>'Monthly D3 RIN Data'!$C48</f>
        <v>0</v>
      </c>
      <c r="F81" s="3">
        <f>'Monthly D3 RIN Data'!$C60</f>
        <v>0</v>
      </c>
      <c r="G81" s="3">
        <f>'Monthly D3 RIN Data'!$C72</f>
        <v>0</v>
      </c>
      <c r="H81" s="3">
        <f>'Monthly D3 RIN Data'!$C84</f>
        <v>0</v>
      </c>
      <c r="I81" s="3">
        <f>'Monthly D3 RIN Data'!$C96</f>
        <v>0</v>
      </c>
      <c r="J81" s="3">
        <f>'Monthly D3 RIN Data'!$C108</f>
        <v>0</v>
      </c>
      <c r="K81" s="3">
        <f>'Monthly D3 RIN Data'!$C120</f>
        <v>0</v>
      </c>
      <c r="L81" s="3">
        <f>'Monthly D3 RIN Data'!$C132</f>
        <v>0</v>
      </c>
      <c r="M81" s="3">
        <f>'Monthly D3 RIN Data'!$C144</f>
        <v>0</v>
      </c>
      <c r="N81" s="3">
        <f>'Monthly D3 RIN Data'!$C156</f>
        <v>0</v>
      </c>
      <c r="O81" s="3">
        <f>'Monthly D3 RIN Data'!$C168</f>
        <v>0</v>
      </c>
      <c r="P81" s="3">
        <f>'Monthly D3 RIN Data'!$C180</f>
        <v>0</v>
      </c>
      <c r="Q81" s="4">
        <f>'D3 Gallon Forecast'!Q81</f>
        <v>0</v>
      </c>
      <c r="R81" s="4">
        <f>'D3 Gallon Forecast'!R81</f>
        <v>0</v>
      </c>
      <c r="S81" s="4">
        <f>'D3 Gallon Forecast'!S81</f>
        <v>0</v>
      </c>
      <c r="T81" s="4">
        <f>'D3 Gallon Forecast'!T81</f>
        <v>0</v>
      </c>
      <c r="U81" s="4">
        <f>'D3 Gallon Forecast'!U81</f>
        <v>0</v>
      </c>
      <c r="V81" s="4">
        <f>'D3 Gallon Forecast'!V81</f>
        <v>0</v>
      </c>
      <c r="W81" s="4">
        <f>'D3 Gallon Forecast'!W81</f>
        <v>0</v>
      </c>
      <c r="X81" s="4">
        <f>'D3 Gallon Forecast'!X81</f>
        <v>0</v>
      </c>
      <c r="Y81" s="4">
        <f>'D3 Gallon Forecast'!Y81</f>
        <v>0</v>
      </c>
      <c r="Z81" s="4">
        <f>'D3 Gallon Forecast'!Z81</f>
        <v>0</v>
      </c>
      <c r="AA81" s="4">
        <f>'D3 Gallon Forecast'!AA81</f>
        <v>0</v>
      </c>
      <c r="AB81" s="4">
        <f>'D3 Gallon Forecast'!AB81</f>
        <v>0</v>
      </c>
      <c r="AC81" s="4">
        <f>'D3 Gallon Forecast'!AC81</f>
        <v>0</v>
      </c>
      <c r="AD81" s="4">
        <f>'D3 Gallon Forecast'!AD81</f>
        <v>0</v>
      </c>
      <c r="AE81" s="4">
        <f>'D3 Gallon Forecast'!AE81</f>
        <v>0</v>
      </c>
      <c r="AF81" s="4">
        <f>'D3 Gallon Forecast'!AF81</f>
        <v>0</v>
      </c>
      <c r="AG81" s="4">
        <f>'D3 Gallon Forecast'!AG81</f>
        <v>0</v>
      </c>
    </row>
    <row r="82" spans="1:33">
      <c r="A82" s="2" t="s">
        <v>52</v>
      </c>
      <c r="B82" s="3">
        <f>'Monthly D3 RIN Data'!$C13</f>
        <v>0</v>
      </c>
      <c r="C82" s="3">
        <f>'Monthly D3 RIN Data'!$C25</f>
        <v>0</v>
      </c>
      <c r="D82" s="3">
        <f>'Monthly D3 RIN Data'!$C37</f>
        <v>0</v>
      </c>
      <c r="E82" s="3">
        <f>'Monthly D3 RIN Data'!$C49</f>
        <v>0</v>
      </c>
      <c r="F82" s="3">
        <f>'Monthly D3 RIN Data'!$C61</f>
        <v>0</v>
      </c>
      <c r="G82" s="3">
        <f>'Monthly D3 RIN Data'!$C73</f>
        <v>0</v>
      </c>
      <c r="H82" s="3">
        <f>'Monthly D3 RIN Data'!$C85</f>
        <v>0</v>
      </c>
      <c r="I82" s="3">
        <f>'Monthly D3 RIN Data'!$C97</f>
        <v>2971938</v>
      </c>
      <c r="J82" s="3">
        <f>'Monthly D3 RIN Data'!$C109</f>
        <v>0</v>
      </c>
      <c r="K82" s="3">
        <f>'Monthly D3 RIN Data'!$C121</f>
        <v>0</v>
      </c>
      <c r="L82" s="3">
        <f>'Monthly D3 RIN Data'!$C133</f>
        <v>0</v>
      </c>
      <c r="M82" s="3">
        <f>'Monthly D3 RIN Data'!$C145</f>
        <v>0</v>
      </c>
      <c r="N82" s="3">
        <f>'Monthly D3 RIN Data'!$C157</f>
        <v>0</v>
      </c>
      <c r="O82" s="3">
        <f>'Monthly D3 RIN Data'!$C169</f>
        <v>0</v>
      </c>
      <c r="P82" s="3">
        <f>'Monthly D3 RIN Data'!$C181</f>
        <v>0</v>
      </c>
      <c r="Q82" s="4">
        <f>'D3 Gallon Forecast'!Q82</f>
        <v>0</v>
      </c>
      <c r="R82" s="4">
        <f>'D3 Gallon Forecast'!R82</f>
        <v>0</v>
      </c>
      <c r="S82" s="4">
        <f>'D3 Gallon Forecast'!S82</f>
        <v>0</v>
      </c>
      <c r="T82" s="4">
        <f>'D3 Gallon Forecast'!T82</f>
        <v>0</v>
      </c>
      <c r="U82" s="4">
        <f>'D3 Gallon Forecast'!U82</f>
        <v>0</v>
      </c>
      <c r="V82" s="4">
        <f>'D3 Gallon Forecast'!V82</f>
        <v>0</v>
      </c>
      <c r="W82" s="4">
        <f>'D3 Gallon Forecast'!W82</f>
        <v>0</v>
      </c>
      <c r="X82" s="4">
        <f>'D3 Gallon Forecast'!X82</f>
        <v>0</v>
      </c>
      <c r="Y82" s="4">
        <f>'D3 Gallon Forecast'!Y82</f>
        <v>0</v>
      </c>
      <c r="Z82" s="4">
        <f>'D3 Gallon Forecast'!Z82</f>
        <v>0</v>
      </c>
      <c r="AA82" s="4">
        <f>'D3 Gallon Forecast'!AA82</f>
        <v>0</v>
      </c>
      <c r="AB82" s="4">
        <f>'D3 Gallon Forecast'!AB82</f>
        <v>0</v>
      </c>
      <c r="AC82" s="4">
        <f>'D3 Gallon Forecast'!AC82</f>
        <v>0</v>
      </c>
      <c r="AD82" s="4">
        <f>'D3 Gallon Forecast'!AD82</f>
        <v>0</v>
      </c>
      <c r="AE82" s="4">
        <f>'D3 Gallon Forecast'!AE82</f>
        <v>0</v>
      </c>
      <c r="AF82" s="4">
        <f>'D3 Gallon Forecast'!AF82</f>
        <v>0</v>
      </c>
      <c r="AG82" s="4">
        <f>'D3 Gallon Forecast'!AG82</f>
        <v>0</v>
      </c>
    </row>
    <row r="83" spans="1:33">
      <c r="A83" s="2" t="s">
        <v>53</v>
      </c>
      <c r="B83" s="3">
        <f>'Monthly D3 RIN Data'!$C14</f>
        <v>0</v>
      </c>
      <c r="C83" s="3">
        <f>'Monthly D3 RIN Data'!$C26</f>
        <v>0</v>
      </c>
      <c r="D83" s="3">
        <f>'Monthly D3 RIN Data'!$C38</f>
        <v>0</v>
      </c>
      <c r="E83" s="3">
        <f>'Monthly D3 RIN Data'!$C50</f>
        <v>0</v>
      </c>
      <c r="F83" s="3">
        <f>'Monthly D3 RIN Data'!$C62</f>
        <v>0</v>
      </c>
      <c r="G83" s="3">
        <f>'Monthly D3 RIN Data'!$C74</f>
        <v>0</v>
      </c>
      <c r="H83" s="3">
        <f>'Monthly D3 RIN Data'!$C86</f>
        <v>0</v>
      </c>
      <c r="I83" s="3">
        <f>'Monthly D3 RIN Data'!$C98</f>
        <v>0</v>
      </c>
      <c r="J83" s="3">
        <f>'Monthly D3 RIN Data'!$C110</f>
        <v>0</v>
      </c>
      <c r="K83" s="3">
        <f>'Monthly D3 RIN Data'!$C122</f>
        <v>0</v>
      </c>
      <c r="L83" s="3">
        <f>'Monthly D3 RIN Data'!$C134</f>
        <v>0</v>
      </c>
      <c r="M83" s="3">
        <f>'Monthly D3 RIN Data'!$C146</f>
        <v>0</v>
      </c>
      <c r="N83" s="3">
        <f>'Monthly D3 RIN Data'!$C158</f>
        <v>0</v>
      </c>
      <c r="O83" s="3">
        <f>'Monthly D3 RIN Data'!$C170</f>
        <v>0</v>
      </c>
      <c r="P83" s="3">
        <f>'Monthly D3 RIN Data'!$C182</f>
        <v>0</v>
      </c>
      <c r="Q83" s="4">
        <f>'D3 Gallon Forecast'!Q83</f>
        <v>0</v>
      </c>
      <c r="R83" s="4">
        <f>'D3 Gallon Forecast'!R83</f>
        <v>0</v>
      </c>
      <c r="S83" s="4">
        <f>'D3 Gallon Forecast'!S83</f>
        <v>0</v>
      </c>
      <c r="T83" s="4">
        <f>'D3 Gallon Forecast'!T83</f>
        <v>0</v>
      </c>
      <c r="U83" s="4">
        <f>'D3 Gallon Forecast'!U83</f>
        <v>0</v>
      </c>
      <c r="V83" s="4">
        <f>'D3 Gallon Forecast'!V83</f>
        <v>0</v>
      </c>
      <c r="W83" s="4">
        <f>'D3 Gallon Forecast'!W83</f>
        <v>0</v>
      </c>
      <c r="X83" s="4">
        <f>'D3 Gallon Forecast'!X83</f>
        <v>0</v>
      </c>
      <c r="Y83" s="4">
        <f>'D3 Gallon Forecast'!Y83</f>
        <v>0</v>
      </c>
      <c r="Z83" s="4">
        <f>'D3 Gallon Forecast'!Z83</f>
        <v>0</v>
      </c>
      <c r="AA83" s="4">
        <f>'D3 Gallon Forecast'!AA83</f>
        <v>0</v>
      </c>
      <c r="AB83" s="4">
        <f>'D3 Gallon Forecast'!AB83</f>
        <v>0</v>
      </c>
      <c r="AC83" s="4">
        <f>'D3 Gallon Forecast'!AC83</f>
        <v>0</v>
      </c>
      <c r="AD83" s="4">
        <f>'D3 Gallon Forecast'!AD83</f>
        <v>0</v>
      </c>
      <c r="AE83" s="4">
        <f>'D3 Gallon Forecast'!AE83</f>
        <v>0</v>
      </c>
      <c r="AF83" s="4">
        <f>'D3 Gallon Forecast'!AF83</f>
        <v>0</v>
      </c>
      <c r="AG83" s="4">
        <f>'D3 Gallon Forecast'!AG83</f>
        <v>0</v>
      </c>
    </row>
    <row r="84" spans="1:33">
      <c r="A84" s="2" t="s">
        <v>54</v>
      </c>
      <c r="B84" s="3">
        <f>'Monthly D3 RIN Data'!$C15</f>
        <v>0</v>
      </c>
      <c r="C84" s="3">
        <f>'Monthly D3 RIN Data'!$C27</f>
        <v>0</v>
      </c>
      <c r="D84" s="3">
        <f>'Monthly D3 RIN Data'!$C39</f>
        <v>0</v>
      </c>
      <c r="E84" s="3">
        <f>'Monthly D3 RIN Data'!$C51</f>
        <v>0</v>
      </c>
      <c r="F84" s="3">
        <f>'Monthly D3 RIN Data'!$C63</f>
        <v>0</v>
      </c>
      <c r="G84" s="3">
        <f>'Monthly D3 RIN Data'!$C75</f>
        <v>0</v>
      </c>
      <c r="H84" s="3">
        <f>'Monthly D3 RIN Data'!$C87</f>
        <v>0</v>
      </c>
      <c r="I84" s="3">
        <f>'Monthly D3 RIN Data'!$C99</f>
        <v>0</v>
      </c>
      <c r="J84" s="3">
        <f>'Monthly D3 RIN Data'!$C111</f>
        <v>0</v>
      </c>
      <c r="K84" s="3">
        <f>'Monthly D3 RIN Data'!$C123</f>
        <v>0</v>
      </c>
      <c r="L84" s="3">
        <f>'Monthly D3 RIN Data'!$C135</f>
        <v>0</v>
      </c>
      <c r="M84" s="3">
        <f>'Monthly D3 RIN Data'!$C147</f>
        <v>0</v>
      </c>
      <c r="N84" s="3">
        <f>'Monthly D3 RIN Data'!$C159</f>
        <v>0</v>
      </c>
      <c r="O84" s="3">
        <f>'Monthly D3 RIN Data'!$C171</f>
        <v>0</v>
      </c>
      <c r="P84" s="4">
        <f>'D3 Gallon Forecast'!P84</f>
        <v>0</v>
      </c>
      <c r="Q84" s="4">
        <f>'D3 Gallon Forecast'!Q84</f>
        <v>0</v>
      </c>
      <c r="R84" s="4">
        <f>'D3 Gallon Forecast'!R84</f>
        <v>0</v>
      </c>
      <c r="S84" s="4">
        <f>'D3 Gallon Forecast'!S84</f>
        <v>0</v>
      </c>
      <c r="T84" s="4">
        <f>'D3 Gallon Forecast'!T84</f>
        <v>0</v>
      </c>
      <c r="U84" s="4">
        <f>'D3 Gallon Forecast'!U84</f>
        <v>0</v>
      </c>
      <c r="V84" s="4">
        <f>'D3 Gallon Forecast'!V84</f>
        <v>0</v>
      </c>
      <c r="W84" s="4">
        <f>'D3 Gallon Forecast'!W84</f>
        <v>0</v>
      </c>
      <c r="X84" s="4">
        <f>'D3 Gallon Forecast'!X84</f>
        <v>0</v>
      </c>
      <c r="Y84" s="4">
        <f>'D3 Gallon Forecast'!Y84</f>
        <v>0</v>
      </c>
      <c r="Z84" s="4">
        <f>'D3 Gallon Forecast'!Z84</f>
        <v>0</v>
      </c>
      <c r="AA84" s="4">
        <f>'D3 Gallon Forecast'!AA84</f>
        <v>0</v>
      </c>
      <c r="AB84" s="4">
        <f>'D3 Gallon Forecast'!AB84</f>
        <v>0</v>
      </c>
      <c r="AC84" s="4">
        <f>'D3 Gallon Forecast'!AC84</f>
        <v>0</v>
      </c>
      <c r="AD84" s="4">
        <f>'D3 Gallon Forecast'!AD84</f>
        <v>0</v>
      </c>
      <c r="AE84" s="4">
        <f>'D3 Gallon Forecast'!AE84</f>
        <v>0</v>
      </c>
      <c r="AF84" s="4">
        <f>'D3 Gallon Forecast'!AF84</f>
        <v>0</v>
      </c>
      <c r="AG84" s="4">
        <f>'D3 Gallon Forecast'!AG84</f>
        <v>0</v>
      </c>
    </row>
    <row r="85" spans="1:33" ht="15.75" thickBot="1">
      <c r="A85" s="2" t="s">
        <v>29</v>
      </c>
      <c r="B85" s="3">
        <f>SUM(B73:B84)</f>
        <v>0</v>
      </c>
      <c r="C85" s="3">
        <f t="shared" ref="C85:O85" si="26">SUM(C73:C84)</f>
        <v>0</v>
      </c>
      <c r="D85" s="3">
        <f t="shared" si="26"/>
        <v>0</v>
      </c>
      <c r="E85" s="3">
        <f t="shared" si="26"/>
        <v>0</v>
      </c>
      <c r="F85" s="3">
        <f t="shared" si="26"/>
        <v>0</v>
      </c>
      <c r="G85" s="3">
        <f t="shared" si="26"/>
        <v>0</v>
      </c>
      <c r="H85" s="3">
        <f t="shared" si="26"/>
        <v>0</v>
      </c>
      <c r="I85" s="3">
        <f t="shared" si="26"/>
        <v>4303227</v>
      </c>
      <c r="J85" s="3">
        <f t="shared" si="26"/>
        <v>1616594</v>
      </c>
      <c r="K85" s="3">
        <f t="shared" si="26"/>
        <v>4263940</v>
      </c>
      <c r="L85" s="3">
        <f t="shared" si="26"/>
        <v>0</v>
      </c>
      <c r="M85" s="3">
        <f t="shared" si="26"/>
        <v>0</v>
      </c>
      <c r="N85" s="3">
        <f t="shared" si="26"/>
        <v>0</v>
      </c>
      <c r="O85" s="3">
        <f t="shared" si="26"/>
        <v>0</v>
      </c>
      <c r="P85" s="4">
        <f>SUM(P73:P84)</f>
        <v>0</v>
      </c>
      <c r="Q85" s="4">
        <f t="shared" ref="Q85:AG85" si="27">SUM(Q73:Q84)</f>
        <v>0</v>
      </c>
      <c r="R85" s="4">
        <f t="shared" si="27"/>
        <v>0</v>
      </c>
      <c r="S85" s="4">
        <f t="shared" si="27"/>
        <v>0</v>
      </c>
      <c r="T85" s="4">
        <f t="shared" si="27"/>
        <v>0</v>
      </c>
      <c r="U85" s="4">
        <f t="shared" si="27"/>
        <v>0</v>
      </c>
      <c r="V85" s="4">
        <f t="shared" si="27"/>
        <v>0</v>
      </c>
      <c r="W85" s="4">
        <f t="shared" si="27"/>
        <v>0</v>
      </c>
      <c r="X85" s="4">
        <f t="shared" si="27"/>
        <v>0</v>
      </c>
      <c r="Y85" s="4">
        <f t="shared" si="27"/>
        <v>0</v>
      </c>
      <c r="Z85" s="4">
        <f t="shared" si="27"/>
        <v>0</v>
      </c>
      <c r="AA85" s="4">
        <f t="shared" si="27"/>
        <v>0</v>
      </c>
      <c r="AB85" s="4">
        <f t="shared" si="27"/>
        <v>0</v>
      </c>
      <c r="AC85" s="4">
        <f t="shared" si="27"/>
        <v>0</v>
      </c>
      <c r="AD85" s="4">
        <f t="shared" si="27"/>
        <v>0</v>
      </c>
      <c r="AE85" s="4">
        <f t="shared" si="27"/>
        <v>0</v>
      </c>
      <c r="AF85" s="4">
        <f t="shared" si="27"/>
        <v>0</v>
      </c>
      <c r="AG85" s="4">
        <f t="shared" si="27"/>
        <v>0</v>
      </c>
    </row>
    <row r="86" spans="1:33">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c r="AE86" s="114"/>
      <c r="AF86" s="114"/>
      <c r="AG86" s="114"/>
    </row>
    <row r="87" spans="1:33" ht="16.5" thickBot="1">
      <c r="A87" s="109" t="s">
        <v>246</v>
      </c>
    </row>
    <row r="88" spans="1:33" ht="15.75" thickBot="1">
      <c r="A88" s="110"/>
      <c r="B88" s="111">
        <v>2010</v>
      </c>
      <c r="C88" s="111">
        <v>2011</v>
      </c>
      <c r="D88" s="111">
        <v>2012</v>
      </c>
      <c r="E88" s="111">
        <v>2013</v>
      </c>
      <c r="F88" s="111">
        <v>2014</v>
      </c>
      <c r="G88" s="111">
        <v>2015</v>
      </c>
      <c r="H88" s="111">
        <v>2016</v>
      </c>
      <c r="I88" s="111">
        <v>2017</v>
      </c>
      <c r="J88" s="111">
        <v>2018</v>
      </c>
      <c r="K88" s="111">
        <v>2019</v>
      </c>
      <c r="L88" s="111">
        <v>2020</v>
      </c>
      <c r="M88" s="111">
        <v>2021</v>
      </c>
      <c r="N88" s="111">
        <v>2022</v>
      </c>
      <c r="O88" s="111">
        <v>2023</v>
      </c>
      <c r="P88" s="111">
        <v>2024</v>
      </c>
      <c r="Q88" s="111">
        <v>2025</v>
      </c>
      <c r="R88" s="111">
        <v>2026</v>
      </c>
      <c r="S88" s="111">
        <v>2027</v>
      </c>
      <c r="T88" s="111">
        <v>2028</v>
      </c>
      <c r="U88" s="111">
        <v>2029</v>
      </c>
      <c r="V88" s="111">
        <v>2030</v>
      </c>
      <c r="W88" s="111">
        <v>2031</v>
      </c>
      <c r="X88" s="111">
        <v>2032</v>
      </c>
      <c r="Y88" s="111">
        <v>2033</v>
      </c>
      <c r="Z88" s="111">
        <v>2034</v>
      </c>
      <c r="AA88" s="111">
        <v>2035</v>
      </c>
      <c r="AB88" s="111">
        <v>2036</v>
      </c>
      <c r="AC88" s="111">
        <v>2037</v>
      </c>
      <c r="AD88" s="111">
        <v>2038</v>
      </c>
      <c r="AE88" s="111">
        <v>2039</v>
      </c>
      <c r="AF88" s="111">
        <v>2040</v>
      </c>
      <c r="AG88" s="111">
        <v>2041</v>
      </c>
    </row>
    <row r="89" spans="1:33">
      <c r="A89" s="2" t="s">
        <v>43</v>
      </c>
      <c r="B89" s="3">
        <f>B105+B121</f>
        <v>0</v>
      </c>
      <c r="C89" s="3">
        <f t="shared" ref="C89:AG100" si="28">C105+C121</f>
        <v>0</v>
      </c>
      <c r="D89" s="3">
        <f t="shared" si="28"/>
        <v>0</v>
      </c>
      <c r="E89" s="3">
        <f t="shared" si="28"/>
        <v>0</v>
      </c>
      <c r="F89" s="3">
        <f t="shared" si="28"/>
        <v>0</v>
      </c>
      <c r="G89" s="3">
        <f t="shared" si="28"/>
        <v>1429312</v>
      </c>
      <c r="H89" s="3">
        <f t="shared" si="28"/>
        <v>1289142</v>
      </c>
      <c r="I89" s="3">
        <f t="shared" si="28"/>
        <v>95972</v>
      </c>
      <c r="J89" s="3">
        <f t="shared" si="28"/>
        <v>20688</v>
      </c>
      <c r="K89" s="3">
        <f t="shared" si="28"/>
        <v>22550</v>
      </c>
      <c r="L89" s="3">
        <f t="shared" si="28"/>
        <v>450471</v>
      </c>
      <c r="M89" s="3">
        <f t="shared" si="28"/>
        <v>3883503</v>
      </c>
      <c r="N89" s="3">
        <f t="shared" si="28"/>
        <v>752623</v>
      </c>
      <c r="O89" s="3">
        <f t="shared" si="28"/>
        <v>1964428</v>
      </c>
      <c r="P89" s="3">
        <f t="shared" si="28"/>
        <v>6482643</v>
      </c>
      <c r="Q89" s="4">
        <f t="shared" si="28"/>
        <v>1133947</v>
      </c>
      <c r="R89" s="4">
        <f t="shared" si="28"/>
        <v>2209951.1076068627</v>
      </c>
      <c r="S89" s="4">
        <f t="shared" si="28"/>
        <v>1854494.3352086472</v>
      </c>
      <c r="T89" s="4">
        <f t="shared" si="28"/>
        <v>2002844.5278763978</v>
      </c>
      <c r="U89" s="4">
        <f t="shared" si="28"/>
        <v>2269658.0867903833</v>
      </c>
      <c r="V89" s="4">
        <f t="shared" si="28"/>
        <v>1877199.3191623266</v>
      </c>
      <c r="W89" s="4">
        <f t="shared" si="28"/>
        <v>1964259.1108931957</v>
      </c>
      <c r="X89" s="4">
        <f t="shared" si="28"/>
        <v>1971622.2315778218</v>
      </c>
      <c r="Y89" s="4">
        <f t="shared" si="28"/>
        <v>2098589.0163358035</v>
      </c>
      <c r="Z89" s="4">
        <f t="shared" si="28"/>
        <v>2129921.6837256583</v>
      </c>
      <c r="AA89" s="4">
        <f t="shared" si="28"/>
        <v>2126580.9067595731</v>
      </c>
      <c r="AB89" s="4">
        <f t="shared" si="28"/>
        <v>2224443.4532405771</v>
      </c>
      <c r="AC89" s="4">
        <f t="shared" si="28"/>
        <v>2288003.8066594903</v>
      </c>
      <c r="AD89" s="4">
        <f t="shared" si="28"/>
        <v>2338292.9878417281</v>
      </c>
      <c r="AE89" s="4">
        <f t="shared" si="28"/>
        <v>2379382.2709318548</v>
      </c>
      <c r="AF89" s="4">
        <f t="shared" si="28"/>
        <v>2414188.7680672826</v>
      </c>
      <c r="AG89" s="4">
        <f t="shared" si="28"/>
        <v>2446595.28517691</v>
      </c>
    </row>
    <row r="90" spans="1:33">
      <c r="A90" s="2" t="s">
        <v>44</v>
      </c>
      <c r="B90" s="3">
        <f t="shared" ref="B90:K100" si="29">B106+B122</f>
        <v>0</v>
      </c>
      <c r="C90" s="3">
        <f t="shared" si="29"/>
        <v>0</v>
      </c>
      <c r="D90" s="3">
        <f t="shared" si="29"/>
        <v>0</v>
      </c>
      <c r="E90" s="3">
        <f t="shared" si="29"/>
        <v>0</v>
      </c>
      <c r="F90" s="3">
        <f t="shared" si="29"/>
        <v>0</v>
      </c>
      <c r="G90" s="3">
        <f t="shared" si="29"/>
        <v>3687481</v>
      </c>
      <c r="H90" s="3">
        <f t="shared" si="29"/>
        <v>7718902</v>
      </c>
      <c r="I90" s="3">
        <f t="shared" si="29"/>
        <v>9752116</v>
      </c>
      <c r="J90" s="3">
        <f t="shared" si="29"/>
        <v>13667230</v>
      </c>
      <c r="K90" s="3">
        <f t="shared" si="29"/>
        <v>24428775</v>
      </c>
      <c r="L90" s="3">
        <f t="shared" si="28"/>
        <v>29222312</v>
      </c>
      <c r="M90" s="3">
        <f t="shared" si="28"/>
        <v>36142236</v>
      </c>
      <c r="N90" s="3">
        <f t="shared" si="28"/>
        <v>42149953</v>
      </c>
      <c r="O90" s="3">
        <f>O106+O122</f>
        <v>53557547</v>
      </c>
      <c r="P90" s="3">
        <f>P106+P122</f>
        <v>62936399</v>
      </c>
      <c r="Q90" s="4">
        <f>Q106+Q122</f>
        <v>1133947</v>
      </c>
      <c r="R90" s="4">
        <f>R106+R122</f>
        <v>30454344.5728852</v>
      </c>
      <c r="S90" s="4">
        <f>S106+S122</f>
        <v>28124680.455593485</v>
      </c>
      <c r="T90" s="4">
        <f t="shared" si="28"/>
        <v>25863178.852537781</v>
      </c>
      <c r="U90" s="4">
        <f t="shared" si="28"/>
        <v>24632831.517760355</v>
      </c>
      <c r="V90" s="4">
        <f t="shared" si="28"/>
        <v>21844210.654737636</v>
      </c>
      <c r="W90" s="4">
        <f t="shared" si="28"/>
        <v>25176778.087214321</v>
      </c>
      <c r="X90" s="4">
        <f t="shared" si="28"/>
        <v>24850181.819287356</v>
      </c>
      <c r="Y90" s="4">
        <f t="shared" si="28"/>
        <v>25461930.641765162</v>
      </c>
      <c r="Z90" s="4">
        <f t="shared" si="28"/>
        <v>25515128.358498283</v>
      </c>
      <c r="AA90" s="4">
        <f t="shared" si="28"/>
        <v>26016463.925356928</v>
      </c>
      <c r="AB90" s="4">
        <f t="shared" si="28"/>
        <v>27456090.192405809</v>
      </c>
      <c r="AC90" s="4">
        <f t="shared" si="28"/>
        <v>28038480.977938075</v>
      </c>
      <c r="AD90" s="4">
        <f t="shared" si="28"/>
        <v>28506544.600063469</v>
      </c>
      <c r="AE90" s="4">
        <f t="shared" si="28"/>
        <v>29033678.958186105</v>
      </c>
      <c r="AF90" s="4">
        <f t="shared" si="28"/>
        <v>29559280.915639471</v>
      </c>
      <c r="AG90" s="4">
        <f t="shared" si="28"/>
        <v>29960551.944586791</v>
      </c>
    </row>
    <row r="91" spans="1:33">
      <c r="A91" s="2" t="s">
        <v>45</v>
      </c>
      <c r="B91" s="3">
        <f t="shared" si="29"/>
        <v>0</v>
      </c>
      <c r="C91" s="3">
        <f t="shared" si="29"/>
        <v>0</v>
      </c>
      <c r="D91" s="3">
        <f t="shared" si="29"/>
        <v>0</v>
      </c>
      <c r="E91" s="3">
        <f t="shared" si="29"/>
        <v>0</v>
      </c>
      <c r="F91" s="3">
        <f t="shared" si="29"/>
        <v>0</v>
      </c>
      <c r="G91" s="3">
        <f t="shared" si="29"/>
        <v>4160077</v>
      </c>
      <c r="H91" s="3">
        <f t="shared" si="29"/>
        <v>9268999</v>
      </c>
      <c r="I91" s="3">
        <f t="shared" si="29"/>
        <v>10216614</v>
      </c>
      <c r="J91" s="3">
        <f t="shared" si="29"/>
        <v>12235741</v>
      </c>
      <c r="K91" s="3">
        <f t="shared" si="29"/>
        <v>21605928</v>
      </c>
      <c r="L91" s="3">
        <f t="shared" si="28"/>
        <v>27217620</v>
      </c>
      <c r="M91" s="3">
        <f t="shared" si="28"/>
        <v>30720333</v>
      </c>
      <c r="N91" s="3">
        <f t="shared" si="28"/>
        <v>38303781</v>
      </c>
      <c r="O91" s="3">
        <f t="shared" si="28"/>
        <v>48631963</v>
      </c>
      <c r="P91" s="3">
        <f>P107+P123</f>
        <v>60133566</v>
      </c>
      <c r="Q91" s="4">
        <f>Q107+Q123</f>
        <v>35950113.207594678</v>
      </c>
      <c r="R91" s="4">
        <f>R107+R123</f>
        <v>33224282.666799653</v>
      </c>
      <c r="S91" s="4">
        <f>S107+S123</f>
        <v>31970325.894557368</v>
      </c>
      <c r="T91" s="4">
        <f t="shared" si="28"/>
        <v>30810063.642001987</v>
      </c>
      <c r="U91" s="4">
        <f t="shared" si="28"/>
        <v>31860472.401970323</v>
      </c>
      <c r="V91" s="4">
        <f t="shared" si="28"/>
        <v>32469358.869294699</v>
      </c>
      <c r="W91" s="4">
        <f t="shared" si="28"/>
        <v>30833558.36050462</v>
      </c>
      <c r="X91" s="4">
        <f t="shared" si="28"/>
        <v>31239089.154638164</v>
      </c>
      <c r="Y91" s="4">
        <f t="shared" si="28"/>
        <v>32712487.293200888</v>
      </c>
      <c r="Z91" s="4">
        <f t="shared" si="28"/>
        <v>33286662.043360274</v>
      </c>
      <c r="AA91" s="4">
        <f t="shared" si="28"/>
        <v>33998969.307566956</v>
      </c>
      <c r="AB91" s="4">
        <f t="shared" si="28"/>
        <v>35032378.038606711</v>
      </c>
      <c r="AC91" s="4">
        <f t="shared" si="28"/>
        <v>36055328.795927376</v>
      </c>
      <c r="AD91" s="4">
        <f t="shared" si="28"/>
        <v>36811350.844201781</v>
      </c>
      <c r="AE91" s="4">
        <f t="shared" si="28"/>
        <v>37527886.018779665</v>
      </c>
      <c r="AF91" s="4">
        <f t="shared" si="28"/>
        <v>38142056.515010521</v>
      </c>
      <c r="AG91" s="4">
        <f t="shared" si="28"/>
        <v>38569825.158831447</v>
      </c>
    </row>
    <row r="92" spans="1:33">
      <c r="A92" s="2" t="s">
        <v>46</v>
      </c>
      <c r="B92" s="3">
        <f t="shared" si="29"/>
        <v>0</v>
      </c>
      <c r="C92" s="3">
        <f t="shared" si="29"/>
        <v>0</v>
      </c>
      <c r="D92" s="3">
        <f t="shared" si="29"/>
        <v>0</v>
      </c>
      <c r="E92" s="3">
        <f t="shared" si="29"/>
        <v>0</v>
      </c>
      <c r="F92" s="3">
        <f t="shared" si="29"/>
        <v>0</v>
      </c>
      <c r="G92" s="3">
        <f t="shared" si="29"/>
        <v>4191579</v>
      </c>
      <c r="H92" s="3">
        <f t="shared" si="29"/>
        <v>8994368</v>
      </c>
      <c r="I92" s="3">
        <f t="shared" si="29"/>
        <v>10678397</v>
      </c>
      <c r="J92" s="3">
        <f t="shared" si="29"/>
        <v>13836808</v>
      </c>
      <c r="K92" s="3">
        <f t="shared" si="29"/>
        <v>26545780</v>
      </c>
      <c r="L92" s="3">
        <f t="shared" si="28"/>
        <v>32125484</v>
      </c>
      <c r="M92" s="3">
        <f t="shared" si="28"/>
        <v>37961101</v>
      </c>
      <c r="N92" s="3">
        <f t="shared" si="28"/>
        <v>43471042</v>
      </c>
      <c r="O92" s="3">
        <f t="shared" si="28"/>
        <v>56184046</v>
      </c>
      <c r="P92" s="3">
        <f t="shared" si="28"/>
        <v>67660455</v>
      </c>
      <c r="Q92" s="4">
        <f t="shared" si="28"/>
        <v>36362294.779245697</v>
      </c>
      <c r="R92" s="4">
        <f t="shared" si="28"/>
        <v>37562662.585769005</v>
      </c>
      <c r="S92" s="4">
        <f t="shared" si="28"/>
        <v>35667525.971819058</v>
      </c>
      <c r="T92" s="4">
        <f t="shared" si="28"/>
        <v>34264818.116670616</v>
      </c>
      <c r="U92" s="4">
        <f t="shared" si="28"/>
        <v>35083104.168019146</v>
      </c>
      <c r="V92" s="4">
        <f t="shared" si="28"/>
        <v>35467271.632154562</v>
      </c>
      <c r="W92" s="4">
        <f t="shared" si="28"/>
        <v>34239496.62969853</v>
      </c>
      <c r="X92" s="4">
        <f t="shared" si="28"/>
        <v>34557631.379049435</v>
      </c>
      <c r="Y92" s="4">
        <f t="shared" si="28"/>
        <v>36124922.268973731</v>
      </c>
      <c r="Z92" s="4">
        <f t="shared" si="28"/>
        <v>36708623.259619065</v>
      </c>
      <c r="AA92" s="4">
        <f t="shared" si="28"/>
        <v>37505321.144659497</v>
      </c>
      <c r="AB92" s="4">
        <f t="shared" si="28"/>
        <v>38721109.517397657</v>
      </c>
      <c r="AC92" s="4">
        <f t="shared" si="28"/>
        <v>39817223.217975825</v>
      </c>
      <c r="AD92" s="4">
        <f t="shared" si="28"/>
        <v>40639397.416171916</v>
      </c>
      <c r="AE92" s="4">
        <f t="shared" si="28"/>
        <v>41428167.95184084</v>
      </c>
      <c r="AF92" s="4">
        <f t="shared" si="28"/>
        <v>42114147.250305802</v>
      </c>
      <c r="AG92" s="4">
        <f t="shared" si="28"/>
        <v>42593666.122439079</v>
      </c>
    </row>
    <row r="93" spans="1:33">
      <c r="A93" s="2" t="s">
        <v>47</v>
      </c>
      <c r="B93" s="3">
        <f t="shared" si="29"/>
        <v>0</v>
      </c>
      <c r="C93" s="3">
        <f t="shared" si="29"/>
        <v>0</v>
      </c>
      <c r="D93" s="3">
        <f t="shared" si="29"/>
        <v>0</v>
      </c>
      <c r="E93" s="3">
        <f t="shared" si="29"/>
        <v>0</v>
      </c>
      <c r="F93" s="3">
        <f t="shared" si="29"/>
        <v>0</v>
      </c>
      <c r="G93" s="3">
        <f t="shared" si="29"/>
        <v>5878244</v>
      </c>
      <c r="H93" s="3">
        <f t="shared" si="29"/>
        <v>8584190</v>
      </c>
      <c r="I93" s="3">
        <f t="shared" si="29"/>
        <v>12750848</v>
      </c>
      <c r="J93" s="3">
        <f t="shared" si="29"/>
        <v>15947742</v>
      </c>
      <c r="K93" s="3">
        <f t="shared" si="29"/>
        <v>26089574</v>
      </c>
      <c r="L93" s="3">
        <f t="shared" si="28"/>
        <v>29494455</v>
      </c>
      <c r="M93" s="3">
        <f t="shared" si="28"/>
        <v>38890464</v>
      </c>
      <c r="N93" s="3">
        <f t="shared" si="28"/>
        <v>49193241</v>
      </c>
      <c r="O93" s="3">
        <f t="shared" si="28"/>
        <v>54387993</v>
      </c>
      <c r="P93" s="3">
        <f t="shared" si="28"/>
        <v>68080815</v>
      </c>
      <c r="Q93" s="4">
        <f t="shared" si="28"/>
        <v>36765748.560437277</v>
      </c>
      <c r="R93" s="4">
        <f t="shared" si="28"/>
        <v>48695500.096085638</v>
      </c>
      <c r="S93" s="4">
        <f t="shared" si="28"/>
        <v>48151227.082899094</v>
      </c>
      <c r="T93" s="4">
        <f t="shared" si="28"/>
        <v>47610103.775957577</v>
      </c>
      <c r="U93" s="4">
        <f t="shared" si="28"/>
        <v>52377132.149275765</v>
      </c>
      <c r="V93" s="4">
        <f t="shared" si="28"/>
        <v>58648108.22072123</v>
      </c>
      <c r="W93" s="4">
        <f t="shared" si="28"/>
        <v>62232812.245818548</v>
      </c>
      <c r="X93" s="4">
        <f t="shared" si="28"/>
        <v>67397184.166802809</v>
      </c>
      <c r="Y93" s="4">
        <f t="shared" si="28"/>
        <v>75976825.913173392</v>
      </c>
      <c r="Z93" s="4">
        <f t="shared" si="28"/>
        <v>83902798.809300318</v>
      </c>
      <c r="AA93" s="4">
        <f t="shared" si="28"/>
        <v>93393736.173797101</v>
      </c>
      <c r="AB93" s="4">
        <f t="shared" si="28"/>
        <v>104837450.20121895</v>
      </c>
      <c r="AC93" s="4">
        <f t="shared" si="28"/>
        <v>116876369.3205075</v>
      </c>
      <c r="AD93" s="4">
        <f t="shared" si="28"/>
        <v>129452951.161782</v>
      </c>
      <c r="AE93" s="4">
        <f t="shared" si="28"/>
        <v>143395371.43732572</v>
      </c>
      <c r="AF93" s="4">
        <f t="shared" si="28"/>
        <v>158316441.32495451</v>
      </c>
      <c r="AG93" s="4">
        <f t="shared" si="28"/>
        <v>173757313.01821962</v>
      </c>
    </row>
    <row r="94" spans="1:33">
      <c r="A94" s="2" t="s">
        <v>48</v>
      </c>
      <c r="B94" s="3">
        <f t="shared" si="29"/>
        <v>0</v>
      </c>
      <c r="C94" s="3">
        <f t="shared" si="29"/>
        <v>0</v>
      </c>
      <c r="D94" s="3">
        <f t="shared" si="29"/>
        <v>0</v>
      </c>
      <c r="E94" s="3">
        <f t="shared" si="29"/>
        <v>0</v>
      </c>
      <c r="F94" s="3">
        <f t="shared" si="29"/>
        <v>0</v>
      </c>
      <c r="G94" s="3">
        <f t="shared" si="29"/>
        <v>7801631</v>
      </c>
      <c r="H94" s="3">
        <f t="shared" si="29"/>
        <v>8223464</v>
      </c>
      <c r="I94" s="3">
        <f t="shared" si="29"/>
        <v>13490491</v>
      </c>
      <c r="J94" s="3">
        <f t="shared" si="29"/>
        <v>18695915</v>
      </c>
      <c r="K94" s="3">
        <f t="shared" si="29"/>
        <v>30963637</v>
      </c>
      <c r="L94" s="3">
        <f t="shared" si="28"/>
        <v>33711799</v>
      </c>
      <c r="M94" s="3">
        <f t="shared" si="28"/>
        <v>42100228</v>
      </c>
      <c r="N94" s="3">
        <f t="shared" si="28"/>
        <v>47296692</v>
      </c>
      <c r="O94" s="3">
        <f t="shared" si="28"/>
        <v>62810385</v>
      </c>
      <c r="P94" s="3">
        <f t="shared" si="28"/>
        <v>74104020</v>
      </c>
      <c r="Q94" s="4">
        <f t="shared" si="28"/>
        <v>39825309.50727693</v>
      </c>
      <c r="R94" s="4">
        <f t="shared" si="28"/>
        <v>57868938.68501959</v>
      </c>
      <c r="S94" s="4">
        <f t="shared" si="28"/>
        <v>58307569.770856708</v>
      </c>
      <c r="T94" s="4">
        <f t="shared" si="28"/>
        <v>60155879.707895063</v>
      </c>
      <c r="U94" s="4">
        <f t="shared" si="28"/>
        <v>67363761.722611696</v>
      </c>
      <c r="V94" s="4">
        <f t="shared" si="28"/>
        <v>78620939.673314944</v>
      </c>
      <c r="W94" s="4">
        <f t="shared" si="28"/>
        <v>86721082.837989122</v>
      </c>
      <c r="X94" s="4">
        <f t="shared" si="28"/>
        <v>97178341.777276129</v>
      </c>
      <c r="Y94" s="4">
        <f t="shared" si="28"/>
        <v>113553117.82083267</v>
      </c>
      <c r="Z94" s="4">
        <f t="shared" si="28"/>
        <v>129793827.87480201</v>
      </c>
      <c r="AA94" s="4">
        <f t="shared" si="28"/>
        <v>149891305.57909194</v>
      </c>
      <c r="AB94" s="4">
        <f t="shared" si="28"/>
        <v>174545739.70417279</v>
      </c>
      <c r="AC94" s="4">
        <f t="shared" si="28"/>
        <v>201753912.01886487</v>
      </c>
      <c r="AD94" s="4">
        <f t="shared" si="28"/>
        <v>231669148.96529594</v>
      </c>
      <c r="AE94" s="4">
        <f t="shared" si="28"/>
        <v>266056431.57181698</v>
      </c>
      <c r="AF94" s="4">
        <f t="shared" si="28"/>
        <v>304549287.50774127</v>
      </c>
      <c r="AG94" s="4">
        <f t="shared" si="28"/>
        <v>346483002.05948126</v>
      </c>
    </row>
    <row r="95" spans="1:33">
      <c r="A95" s="2" t="s">
        <v>49</v>
      </c>
      <c r="B95" s="3">
        <f t="shared" si="29"/>
        <v>0</v>
      </c>
      <c r="C95" s="3">
        <f t="shared" si="29"/>
        <v>0</v>
      </c>
      <c r="D95" s="3">
        <f t="shared" si="29"/>
        <v>0</v>
      </c>
      <c r="E95" s="3">
        <f t="shared" si="29"/>
        <v>0</v>
      </c>
      <c r="F95" s="3">
        <f t="shared" si="29"/>
        <v>0</v>
      </c>
      <c r="G95" s="3">
        <f t="shared" si="29"/>
        <v>7782889</v>
      </c>
      <c r="H95" s="3">
        <f t="shared" si="29"/>
        <v>9492589</v>
      </c>
      <c r="I95" s="3">
        <f t="shared" si="29"/>
        <v>12278441</v>
      </c>
      <c r="J95" s="3">
        <f t="shared" si="29"/>
        <v>19278714</v>
      </c>
      <c r="K95" s="3">
        <f t="shared" si="29"/>
        <v>30171996</v>
      </c>
      <c r="L95" s="3">
        <f t="shared" si="28"/>
        <v>33092485</v>
      </c>
      <c r="M95" s="3">
        <f t="shared" si="28"/>
        <v>38602745</v>
      </c>
      <c r="N95" s="3">
        <f t="shared" si="28"/>
        <v>46957418</v>
      </c>
      <c r="O95" s="3">
        <f t="shared" si="28"/>
        <v>56881790</v>
      </c>
      <c r="P95" s="3">
        <f t="shared" si="28"/>
        <v>72511213</v>
      </c>
      <c r="Q95" s="4">
        <f t="shared" si="28"/>
        <v>37992085.63145835</v>
      </c>
      <c r="R95" s="4">
        <f t="shared" si="28"/>
        <v>55005147.54783392</v>
      </c>
      <c r="S95" s="4">
        <f t="shared" si="28"/>
        <v>55716052.897059672</v>
      </c>
      <c r="T95" s="4">
        <f t="shared" si="28"/>
        <v>57120743.787882544</v>
      </c>
      <c r="U95" s="4">
        <f t="shared" si="28"/>
        <v>64600498.81063161</v>
      </c>
      <c r="V95" s="4">
        <f t="shared" si="28"/>
        <v>74995988.507497445</v>
      </c>
      <c r="W95" s="4">
        <f t="shared" si="28"/>
        <v>82722642.615671322</v>
      </c>
      <c r="X95" s="4">
        <f t="shared" si="28"/>
        <v>92752409.266847655</v>
      </c>
      <c r="Y95" s="4">
        <f t="shared" si="28"/>
        <v>108363110.65579355</v>
      </c>
      <c r="Z95" s="4">
        <f t="shared" si="28"/>
        <v>123945538.86493586</v>
      </c>
      <c r="AA95" s="4">
        <f t="shared" si="28"/>
        <v>143058050.61727694</v>
      </c>
      <c r="AB95" s="4">
        <f t="shared" si="28"/>
        <v>166601949.57224849</v>
      </c>
      <c r="AC95" s="4">
        <f t="shared" si="28"/>
        <v>192588773.74126825</v>
      </c>
      <c r="AD95" s="4">
        <f t="shared" si="28"/>
        <v>221149899.40576029</v>
      </c>
      <c r="AE95" s="4">
        <f t="shared" si="28"/>
        <v>253987598.23945647</v>
      </c>
      <c r="AF95" s="4">
        <f t="shared" si="28"/>
        <v>290724580.64614373</v>
      </c>
      <c r="AG95" s="4">
        <f t="shared" si="28"/>
        <v>330765411.15713251</v>
      </c>
    </row>
    <row r="96" spans="1:33">
      <c r="A96" s="2" t="s">
        <v>50</v>
      </c>
      <c r="B96" s="3">
        <f t="shared" si="29"/>
        <v>0</v>
      </c>
      <c r="C96" s="3">
        <f t="shared" si="29"/>
        <v>0</v>
      </c>
      <c r="D96" s="3">
        <f t="shared" si="29"/>
        <v>0</v>
      </c>
      <c r="E96" s="3">
        <f t="shared" si="29"/>
        <v>0</v>
      </c>
      <c r="F96" s="3">
        <f t="shared" si="29"/>
        <v>1643621</v>
      </c>
      <c r="G96" s="3">
        <f t="shared" si="29"/>
        <v>8143724</v>
      </c>
      <c r="H96" s="3">
        <f t="shared" si="29"/>
        <v>9478696</v>
      </c>
      <c r="I96" s="3">
        <f t="shared" si="29"/>
        <v>12933967</v>
      </c>
      <c r="J96" s="3">
        <f t="shared" si="29"/>
        <v>22678521</v>
      </c>
      <c r="K96" s="3">
        <f t="shared" si="29"/>
        <v>30648124</v>
      </c>
      <c r="L96" s="3">
        <f t="shared" si="28"/>
        <v>34722269</v>
      </c>
      <c r="M96" s="3">
        <f t="shared" si="28"/>
        <v>40751168</v>
      </c>
      <c r="N96" s="3">
        <f t="shared" si="28"/>
        <v>53642634</v>
      </c>
      <c r="O96" s="3">
        <f t="shared" si="28"/>
        <v>58668796</v>
      </c>
      <c r="P96" s="3">
        <f t="shared" si="28"/>
        <v>78782285</v>
      </c>
      <c r="Q96" s="4">
        <f t="shared" si="28"/>
        <v>40827841.19775705</v>
      </c>
      <c r="R96" s="4">
        <f t="shared" si="28"/>
        <v>60717278.604186743</v>
      </c>
      <c r="S96" s="4">
        <f t="shared" si="28"/>
        <v>61987024.148052529</v>
      </c>
      <c r="T96" s="4">
        <f t="shared" si="28"/>
        <v>63299829.076449044</v>
      </c>
      <c r="U96" s="4">
        <f t="shared" si="28"/>
        <v>72628782.858973071</v>
      </c>
      <c r="V96" s="4">
        <f t="shared" si="28"/>
        <v>85037198.406741783</v>
      </c>
      <c r="W96" s="4">
        <f t="shared" si="28"/>
        <v>94689522.808885515</v>
      </c>
      <c r="X96" s="4">
        <f t="shared" si="28"/>
        <v>107016502.86761299</v>
      </c>
      <c r="Y96" s="4">
        <f t="shared" si="28"/>
        <v>126010272.68690324</v>
      </c>
      <c r="Z96" s="4">
        <f t="shared" si="28"/>
        <v>145484593.73969585</v>
      </c>
      <c r="AA96" s="4">
        <f t="shared" si="28"/>
        <v>169383825.93950486</v>
      </c>
      <c r="AB96" s="4">
        <f t="shared" si="28"/>
        <v>199008665.27432138</v>
      </c>
      <c r="AC96" s="4">
        <f t="shared" si="28"/>
        <v>232059945.05891544</v>
      </c>
      <c r="AD96" s="4">
        <f t="shared" si="28"/>
        <v>268805348.54746926</v>
      </c>
      <c r="AE96" s="4">
        <f t="shared" si="28"/>
        <v>311454549.73864257</v>
      </c>
      <c r="AF96" s="4">
        <f t="shared" si="28"/>
        <v>359621255.00667381</v>
      </c>
      <c r="AG96" s="4">
        <f t="shared" si="28"/>
        <v>412718385.30843037</v>
      </c>
    </row>
    <row r="97" spans="1:33">
      <c r="A97" s="2" t="s">
        <v>51</v>
      </c>
      <c r="B97" s="3">
        <f t="shared" si="29"/>
        <v>0</v>
      </c>
      <c r="C97" s="3">
        <f t="shared" si="29"/>
        <v>0</v>
      </c>
      <c r="D97" s="3">
        <f t="shared" si="29"/>
        <v>0</v>
      </c>
      <c r="E97" s="3">
        <f t="shared" si="29"/>
        <v>0</v>
      </c>
      <c r="F97" s="3">
        <f t="shared" si="29"/>
        <v>3474010</v>
      </c>
      <c r="G97" s="3">
        <f t="shared" si="29"/>
        <v>7690009</v>
      </c>
      <c r="H97" s="3">
        <f t="shared" si="29"/>
        <v>10946526</v>
      </c>
      <c r="I97" s="3">
        <f t="shared" si="29"/>
        <v>14610908</v>
      </c>
      <c r="J97" s="3">
        <f t="shared" si="29"/>
        <v>19779323</v>
      </c>
      <c r="K97" s="3">
        <f t="shared" si="29"/>
        <v>28656886</v>
      </c>
      <c r="L97" s="3">
        <f t="shared" si="28"/>
        <v>38513406</v>
      </c>
      <c r="M97" s="3">
        <f t="shared" si="28"/>
        <v>42500378</v>
      </c>
      <c r="N97" s="3">
        <f t="shared" si="28"/>
        <v>50249384</v>
      </c>
      <c r="O97" s="3">
        <f t="shared" si="28"/>
        <v>56631587</v>
      </c>
      <c r="P97" s="3">
        <f t="shared" si="28"/>
        <v>82183559</v>
      </c>
      <c r="Q97" s="4">
        <f t="shared" si="28"/>
        <v>41365368.897935115</v>
      </c>
      <c r="R97" s="4">
        <f t="shared" si="28"/>
        <v>60773304.210271426</v>
      </c>
      <c r="S97" s="4">
        <f t="shared" si="28"/>
        <v>61681839.353536077</v>
      </c>
      <c r="T97" s="4">
        <f t="shared" si="28"/>
        <v>63646234.44332435</v>
      </c>
      <c r="U97" s="4">
        <f t="shared" si="28"/>
        <v>73586841.199681699</v>
      </c>
      <c r="V97" s="4">
        <f t="shared" si="28"/>
        <v>85488216.526024818</v>
      </c>
      <c r="W97" s="4">
        <f t="shared" si="28"/>
        <v>95103249.470486581</v>
      </c>
      <c r="X97" s="4">
        <f t="shared" si="28"/>
        <v>107543290.00862105</v>
      </c>
      <c r="Y97" s="4">
        <f t="shared" si="28"/>
        <v>126812303.69957216</v>
      </c>
      <c r="Z97" s="4">
        <f t="shared" si="28"/>
        <v>146427231.49362385</v>
      </c>
      <c r="AA97" s="4">
        <f t="shared" si="28"/>
        <v>170333129.08779979</v>
      </c>
      <c r="AB97" s="4">
        <f t="shared" si="28"/>
        <v>200131612.96971086</v>
      </c>
      <c r="AC97" s="4">
        <f t="shared" si="28"/>
        <v>233406443.34125328</v>
      </c>
      <c r="AD97" s="4">
        <f t="shared" si="28"/>
        <v>270393593.85366732</v>
      </c>
      <c r="AE97" s="4">
        <f t="shared" si="28"/>
        <v>313276595.95789105</v>
      </c>
      <c r="AF97" s="4">
        <f t="shared" si="28"/>
        <v>361696586.75115919</v>
      </c>
      <c r="AG97" s="4">
        <f t="shared" si="28"/>
        <v>415107927.68677318</v>
      </c>
    </row>
    <row r="98" spans="1:33">
      <c r="A98" s="2" t="s">
        <v>52</v>
      </c>
      <c r="B98" s="3">
        <f t="shared" si="29"/>
        <v>0</v>
      </c>
      <c r="C98" s="3">
        <f t="shared" si="29"/>
        <v>0</v>
      </c>
      <c r="D98" s="3">
        <f t="shared" si="29"/>
        <v>0</v>
      </c>
      <c r="E98" s="3">
        <f t="shared" si="29"/>
        <v>0</v>
      </c>
      <c r="F98" s="3">
        <f t="shared" si="29"/>
        <v>2748001</v>
      </c>
      <c r="G98" s="3">
        <f t="shared" si="29"/>
        <v>6732707</v>
      </c>
      <c r="H98" s="3">
        <f t="shared" si="29"/>
        <v>11760172</v>
      </c>
      <c r="I98" s="3">
        <f t="shared" si="29"/>
        <v>12912867</v>
      </c>
      <c r="J98" s="3">
        <f t="shared" si="29"/>
        <v>20912038</v>
      </c>
      <c r="K98" s="3">
        <f t="shared" si="29"/>
        <v>26996233</v>
      </c>
      <c r="L98" s="3">
        <f t="shared" si="28"/>
        <v>37119925</v>
      </c>
      <c r="M98" s="3">
        <f t="shared" si="28"/>
        <v>42192342</v>
      </c>
      <c r="N98" s="3">
        <f t="shared" si="28"/>
        <v>51646497</v>
      </c>
      <c r="O98" s="3">
        <f t="shared" si="28"/>
        <v>56757632</v>
      </c>
      <c r="P98" s="3">
        <f t="shared" si="28"/>
        <v>79435177</v>
      </c>
      <c r="Q98" s="4">
        <f t="shared" si="28"/>
        <v>40917107.357270606</v>
      </c>
      <c r="R98" s="4">
        <f t="shared" si="28"/>
        <v>61702988.056180298</v>
      </c>
      <c r="S98" s="4">
        <f t="shared" si="28"/>
        <v>62929078.915515333</v>
      </c>
      <c r="T98" s="4">
        <f t="shared" si="28"/>
        <v>64912676.124647088</v>
      </c>
      <c r="U98" s="4">
        <f t="shared" si="28"/>
        <v>75330346.789396599</v>
      </c>
      <c r="V98" s="4">
        <f t="shared" si="28"/>
        <v>88816155.221984759</v>
      </c>
      <c r="W98" s="4">
        <f t="shared" si="28"/>
        <v>99677613.706377327</v>
      </c>
      <c r="X98" s="4">
        <f t="shared" si="28"/>
        <v>113529582.91967413</v>
      </c>
      <c r="Y98" s="4">
        <f t="shared" si="28"/>
        <v>134869659.39608148</v>
      </c>
      <c r="Z98" s="4">
        <f t="shared" si="28"/>
        <v>157043809.31039566</v>
      </c>
      <c r="AA98" s="4">
        <f t="shared" si="28"/>
        <v>184341862.90838453</v>
      </c>
      <c r="AB98" s="4">
        <f t="shared" si="28"/>
        <v>218418362.35042414</v>
      </c>
      <c r="AC98" s="4">
        <f t="shared" si="28"/>
        <v>256860448.66806015</v>
      </c>
      <c r="AD98" s="4">
        <f t="shared" si="28"/>
        <v>300065975.85435736</v>
      </c>
      <c r="AE98" s="4">
        <f t="shared" si="28"/>
        <v>350618954.31611979</v>
      </c>
      <c r="AF98" s="4">
        <f t="shared" si="28"/>
        <v>408249527.02273458</v>
      </c>
      <c r="AG98" s="4">
        <f t="shared" si="28"/>
        <v>472469283.99455994</v>
      </c>
    </row>
    <row r="99" spans="1:33">
      <c r="A99" s="2" t="s">
        <v>53</v>
      </c>
      <c r="B99" s="3">
        <f t="shared" si="29"/>
        <v>0</v>
      </c>
      <c r="C99" s="3">
        <f t="shared" si="29"/>
        <v>0</v>
      </c>
      <c r="D99" s="3">
        <f t="shared" si="29"/>
        <v>0</v>
      </c>
      <c r="E99" s="3">
        <f t="shared" si="29"/>
        <v>0</v>
      </c>
      <c r="F99" s="3">
        <f t="shared" si="29"/>
        <v>2873839</v>
      </c>
      <c r="G99" s="3">
        <f t="shared" si="29"/>
        <v>7134743</v>
      </c>
      <c r="H99" s="3">
        <f t="shared" si="29"/>
        <v>11046733</v>
      </c>
      <c r="I99" s="3">
        <f t="shared" si="29"/>
        <v>14588192</v>
      </c>
      <c r="J99" s="3">
        <f t="shared" si="29"/>
        <v>20121511</v>
      </c>
      <c r="K99" s="3">
        <f t="shared" si="29"/>
        <v>26766398</v>
      </c>
      <c r="L99" s="3">
        <f t="shared" si="28"/>
        <v>38670987</v>
      </c>
      <c r="M99" s="3">
        <f t="shared" si="28"/>
        <v>44476815</v>
      </c>
      <c r="N99" s="3">
        <f t="shared" si="28"/>
        <v>52253476</v>
      </c>
      <c r="O99" s="3">
        <f t="shared" si="28"/>
        <v>62500249</v>
      </c>
      <c r="P99" s="3">
        <f t="shared" si="28"/>
        <v>81421891</v>
      </c>
      <c r="Q99" s="4">
        <f t="shared" si="28"/>
        <v>42781354.993952341</v>
      </c>
      <c r="R99" s="4">
        <f t="shared" si="28"/>
        <v>61680794.188112468</v>
      </c>
      <c r="S99" s="4">
        <f t="shared" si="28"/>
        <v>62226469.003129438</v>
      </c>
      <c r="T99" s="4">
        <f t="shared" si="28"/>
        <v>63826859.6675345</v>
      </c>
      <c r="U99" s="4">
        <f t="shared" si="28"/>
        <v>72434692.691482052</v>
      </c>
      <c r="V99" s="4">
        <f t="shared" si="28"/>
        <v>84065654.894040942</v>
      </c>
      <c r="W99" s="4">
        <f t="shared" si="28"/>
        <v>92678511.273465216</v>
      </c>
      <c r="X99" s="4">
        <f t="shared" si="28"/>
        <v>103902012.16098846</v>
      </c>
      <c r="Y99" s="4">
        <f t="shared" si="28"/>
        <v>121449116.49315743</v>
      </c>
      <c r="Z99" s="4">
        <f t="shared" si="28"/>
        <v>138979554.20636895</v>
      </c>
      <c r="AA99" s="4">
        <f t="shared" si="28"/>
        <v>160422303.82368866</v>
      </c>
      <c r="AB99" s="4">
        <f t="shared" si="28"/>
        <v>186845116.03650838</v>
      </c>
      <c r="AC99" s="4">
        <f t="shared" si="28"/>
        <v>216032684.56413582</v>
      </c>
      <c r="AD99" s="4">
        <f t="shared" si="28"/>
        <v>248130412.90473896</v>
      </c>
      <c r="AE99" s="4">
        <f t="shared" si="28"/>
        <v>285034231.28205091</v>
      </c>
      <c r="AF99" s="4">
        <f t="shared" si="28"/>
        <v>326318465.3260237</v>
      </c>
      <c r="AG99" s="4">
        <f t="shared" si="28"/>
        <v>371329883.30093807</v>
      </c>
    </row>
    <row r="100" spans="1:33">
      <c r="A100" s="2" t="s">
        <v>54</v>
      </c>
      <c r="B100" s="3">
        <f t="shared" si="29"/>
        <v>0</v>
      </c>
      <c r="C100" s="3">
        <f t="shared" si="29"/>
        <v>0</v>
      </c>
      <c r="D100" s="3">
        <f t="shared" si="29"/>
        <v>0</v>
      </c>
      <c r="E100" s="3">
        <f t="shared" si="29"/>
        <v>0</v>
      </c>
      <c r="F100" s="3">
        <f t="shared" si="29"/>
        <v>4468597</v>
      </c>
      <c r="G100" s="3">
        <f t="shared" si="29"/>
        <v>16857870</v>
      </c>
      <c r="H100" s="3">
        <f t="shared" si="29"/>
        <v>19778727</v>
      </c>
      <c r="I100" s="3">
        <f t="shared" si="29"/>
        <v>32791943</v>
      </c>
      <c r="J100" s="3">
        <f t="shared" si="29"/>
        <v>44336024</v>
      </c>
      <c r="K100" s="3">
        <f t="shared" si="29"/>
        <v>55158714</v>
      </c>
      <c r="L100" s="3">
        <f t="shared" si="28"/>
        <v>77935722</v>
      </c>
      <c r="M100" s="3">
        <f t="shared" si="28"/>
        <v>85501731</v>
      </c>
      <c r="N100" s="3">
        <f t="shared" si="28"/>
        <v>100787659</v>
      </c>
      <c r="O100" s="3">
        <f t="shared" si="28"/>
        <v>54675581</v>
      </c>
      <c r="P100" s="4">
        <f t="shared" si="28"/>
        <v>69822656</v>
      </c>
      <c r="Q100" s="4">
        <f t="shared" si="28"/>
        <v>98944881.867071971</v>
      </c>
      <c r="R100" s="4">
        <f t="shared" si="28"/>
        <v>113104807.67924917</v>
      </c>
      <c r="S100" s="4">
        <f t="shared" si="28"/>
        <v>111383712.17177261</v>
      </c>
      <c r="T100" s="4">
        <f t="shared" si="28"/>
        <v>110486768.27722308</v>
      </c>
      <c r="U100" s="4">
        <f t="shared" si="28"/>
        <v>118831877.60340735</v>
      </c>
      <c r="V100" s="4">
        <f t="shared" si="28"/>
        <v>148669698.07432485</v>
      </c>
      <c r="W100" s="4">
        <f t="shared" si="28"/>
        <v>153960472.85299563</v>
      </c>
      <c r="X100" s="4">
        <f t="shared" si="28"/>
        <v>165062152.24762398</v>
      </c>
      <c r="Y100" s="4">
        <f t="shared" ref="Y100:AG100" si="30">Y116+Y132</f>
        <v>183567664.11421046</v>
      </c>
      <c r="Z100" s="4">
        <f t="shared" si="30"/>
        <v>198782310.35567427</v>
      </c>
      <c r="AA100" s="4">
        <f t="shared" si="30"/>
        <v>216528450.58611304</v>
      </c>
      <c r="AB100" s="4">
        <f t="shared" si="30"/>
        <v>232177082.68974432</v>
      </c>
      <c r="AC100" s="4">
        <f t="shared" si="30"/>
        <v>245222386.48849392</v>
      </c>
      <c r="AD100" s="4">
        <f t="shared" si="30"/>
        <v>254037083.45864981</v>
      </c>
      <c r="AE100" s="4">
        <f t="shared" si="30"/>
        <v>258807152.25695813</v>
      </c>
      <c r="AF100" s="4">
        <f t="shared" si="30"/>
        <v>257294182.96554622</v>
      </c>
      <c r="AG100" s="4">
        <f t="shared" si="30"/>
        <v>246798154.96343079</v>
      </c>
    </row>
    <row r="101" spans="1:33" ht="15.75" thickBot="1">
      <c r="A101" s="2" t="s">
        <v>29</v>
      </c>
      <c r="B101" s="3">
        <f>SUM(B89:B100)</f>
        <v>0</v>
      </c>
      <c r="C101" s="3">
        <f t="shared" ref="C101:AG101" si="31">SUM(C89:C100)</f>
        <v>0</v>
      </c>
      <c r="D101" s="3">
        <f t="shared" si="31"/>
        <v>0</v>
      </c>
      <c r="E101" s="3">
        <f t="shared" si="31"/>
        <v>0</v>
      </c>
      <c r="F101" s="3">
        <f t="shared" si="31"/>
        <v>15208068</v>
      </c>
      <c r="G101" s="3">
        <f t="shared" si="31"/>
        <v>81490266</v>
      </c>
      <c r="H101" s="3">
        <f t="shared" si="31"/>
        <v>116582508</v>
      </c>
      <c r="I101" s="3">
        <f t="shared" si="31"/>
        <v>157100756</v>
      </c>
      <c r="J101" s="3">
        <f t="shared" si="31"/>
        <v>221510255</v>
      </c>
      <c r="K101" s="3">
        <f t="shared" si="31"/>
        <v>328054595</v>
      </c>
      <c r="L101" s="3">
        <f t="shared" si="31"/>
        <v>412276935</v>
      </c>
      <c r="M101" s="3">
        <f t="shared" si="31"/>
        <v>483723044</v>
      </c>
      <c r="N101" s="3">
        <f t="shared" si="31"/>
        <v>576704400</v>
      </c>
      <c r="O101" s="3">
        <f t="shared" si="31"/>
        <v>623651997</v>
      </c>
      <c r="P101" s="4">
        <f t="shared" si="31"/>
        <v>803554679</v>
      </c>
      <c r="Q101" s="4">
        <f t="shared" si="31"/>
        <v>454000000</v>
      </c>
      <c r="R101" s="4">
        <f t="shared" si="31"/>
        <v>623000000</v>
      </c>
      <c r="S101" s="4">
        <f t="shared" si="31"/>
        <v>620000000</v>
      </c>
      <c r="T101" s="4">
        <f t="shared" si="31"/>
        <v>624000000</v>
      </c>
      <c r="U101" s="4">
        <f t="shared" si="31"/>
        <v>691000000.00000012</v>
      </c>
      <c r="V101" s="4">
        <f t="shared" si="31"/>
        <v>796000000</v>
      </c>
      <c r="W101" s="4">
        <f t="shared" si="31"/>
        <v>860000000</v>
      </c>
      <c r="X101" s="4">
        <f t="shared" si="31"/>
        <v>947000000</v>
      </c>
      <c r="Y101" s="4">
        <f t="shared" si="31"/>
        <v>1086999999.9999998</v>
      </c>
      <c r="Z101" s="4">
        <f t="shared" si="31"/>
        <v>1222000000</v>
      </c>
      <c r="AA101" s="4">
        <f t="shared" si="31"/>
        <v>1386999999.9999998</v>
      </c>
      <c r="AB101" s="4">
        <f t="shared" si="31"/>
        <v>1585999999.9999998</v>
      </c>
      <c r="AC101" s="4">
        <f t="shared" si="31"/>
        <v>1800999999.9999998</v>
      </c>
      <c r="AD101" s="4">
        <f t="shared" si="31"/>
        <v>2031999999.9999998</v>
      </c>
      <c r="AE101" s="4">
        <f t="shared" si="31"/>
        <v>2293000000</v>
      </c>
      <c r="AF101" s="4">
        <f t="shared" si="31"/>
        <v>2579000000</v>
      </c>
      <c r="AG101" s="4">
        <f t="shared" si="31"/>
        <v>2883000000</v>
      </c>
    </row>
    <row r="102" spans="1:33">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c r="AE102" s="114"/>
      <c r="AF102" s="114"/>
      <c r="AG102" s="114"/>
    </row>
    <row r="103" spans="1:33" ht="16.5" thickBot="1">
      <c r="A103" s="109" t="s">
        <v>247</v>
      </c>
    </row>
    <row r="104" spans="1:33" ht="15.75" thickBot="1">
      <c r="A104" s="110"/>
      <c r="B104" s="111">
        <v>2010</v>
      </c>
      <c r="C104" s="111">
        <v>2011</v>
      </c>
      <c r="D104" s="111">
        <v>2012</v>
      </c>
      <c r="E104" s="111">
        <v>2013</v>
      </c>
      <c r="F104" s="111">
        <v>2014</v>
      </c>
      <c r="G104" s="111">
        <v>2015</v>
      </c>
      <c r="H104" s="111">
        <v>2016</v>
      </c>
      <c r="I104" s="111">
        <v>2017</v>
      </c>
      <c r="J104" s="111">
        <v>2018</v>
      </c>
      <c r="K104" s="111">
        <v>2019</v>
      </c>
      <c r="L104" s="111">
        <v>2020</v>
      </c>
      <c r="M104" s="111">
        <v>2021</v>
      </c>
      <c r="N104" s="111">
        <v>2022</v>
      </c>
      <c r="O104" s="111">
        <v>2023</v>
      </c>
      <c r="P104" s="111">
        <v>2024</v>
      </c>
      <c r="Q104" s="111">
        <v>2025</v>
      </c>
      <c r="R104" s="111">
        <v>2026</v>
      </c>
      <c r="S104" s="111">
        <v>2027</v>
      </c>
      <c r="T104" s="111">
        <v>2028</v>
      </c>
      <c r="U104" s="111">
        <v>2029</v>
      </c>
      <c r="V104" s="111">
        <v>2030</v>
      </c>
      <c r="W104" s="111">
        <v>2031</v>
      </c>
      <c r="X104" s="111">
        <v>2032</v>
      </c>
      <c r="Y104" s="111">
        <v>2033</v>
      </c>
      <c r="Z104" s="111">
        <v>2034</v>
      </c>
      <c r="AA104" s="111">
        <v>2035</v>
      </c>
      <c r="AB104" s="111">
        <v>2036</v>
      </c>
      <c r="AC104" s="111">
        <v>2037</v>
      </c>
      <c r="AD104" s="111">
        <v>2038</v>
      </c>
      <c r="AE104" s="111">
        <v>2039</v>
      </c>
      <c r="AF104" s="111">
        <v>2040</v>
      </c>
      <c r="AG104" s="111">
        <v>2041</v>
      </c>
    </row>
    <row r="105" spans="1:33">
      <c r="A105" s="2" t="s">
        <v>43</v>
      </c>
      <c r="B105" s="3">
        <f>'Monthly D3 RIN Data'!$H4</f>
        <v>0</v>
      </c>
      <c r="C105" s="3">
        <f>'Monthly D3 RIN Data'!$H16</f>
        <v>0</v>
      </c>
      <c r="D105" s="3">
        <f>'Monthly D3 RIN Data'!$H28</f>
        <v>0</v>
      </c>
      <c r="E105" s="3">
        <f>'Monthly D3 RIN Data'!$H40</f>
        <v>0</v>
      </c>
      <c r="F105" s="3">
        <f>'Monthly D3 RIN Data'!$H52</f>
        <v>0</v>
      </c>
      <c r="G105" s="3">
        <f>'Monthly D3 RIN Data'!$H64</f>
        <v>1429312</v>
      </c>
      <c r="H105" s="3">
        <f>'Monthly D3 RIN Data'!$H76</f>
        <v>1289142</v>
      </c>
      <c r="I105" s="3">
        <f>'Monthly D3 RIN Data'!$H88</f>
        <v>95972</v>
      </c>
      <c r="J105" s="3">
        <f>'Monthly D3 RIN Data'!$H100</f>
        <v>20688</v>
      </c>
      <c r="K105" s="3">
        <f>'Monthly D3 RIN Data'!$H112</f>
        <v>22550</v>
      </c>
      <c r="L105" s="3">
        <f>'Monthly D3 RIN Data'!$H124</f>
        <v>450471</v>
      </c>
      <c r="M105" s="3">
        <f>'Monthly D3 RIN Data'!$H136</f>
        <v>3883503</v>
      </c>
      <c r="N105" s="3">
        <f>'Monthly D3 RIN Data'!$H148</f>
        <v>752623</v>
      </c>
      <c r="O105" s="3">
        <f>'Monthly D3 RIN Data'!$H160</f>
        <v>1964428</v>
      </c>
      <c r="P105" s="3">
        <f>'Monthly D3 RIN Data'!$H172</f>
        <v>6482643</v>
      </c>
      <c r="Q105" s="4">
        <f>'D3 Gallon Forecast'!Q105</f>
        <v>1133947</v>
      </c>
      <c r="R105" s="4">
        <f>'D3 Gallon Forecast'!R105</f>
        <v>2209951.1076068627</v>
      </c>
      <c r="S105" s="4">
        <f>'D3 Gallon Forecast'!S105</f>
        <v>1854494.3352086472</v>
      </c>
      <c r="T105" s="4">
        <f>'D3 Gallon Forecast'!T105</f>
        <v>2002844.5278763978</v>
      </c>
      <c r="U105" s="4">
        <f>'D3 Gallon Forecast'!U105</f>
        <v>2269658.0867903833</v>
      </c>
      <c r="V105" s="4">
        <f>'D3 Gallon Forecast'!V105</f>
        <v>1877199.3191623266</v>
      </c>
      <c r="W105" s="4">
        <f>'D3 Gallon Forecast'!W105</f>
        <v>1964259.1108931957</v>
      </c>
      <c r="X105" s="4">
        <f>'D3 Gallon Forecast'!X105</f>
        <v>1971622.2315778218</v>
      </c>
      <c r="Y105" s="4">
        <f>'D3 Gallon Forecast'!Y105</f>
        <v>2098589.0163358035</v>
      </c>
      <c r="Z105" s="4">
        <f>'D3 Gallon Forecast'!Z105</f>
        <v>2129921.6837256583</v>
      </c>
      <c r="AA105" s="4">
        <f>'D3 Gallon Forecast'!AA105</f>
        <v>2126580.9067595731</v>
      </c>
      <c r="AB105" s="4">
        <f>'D3 Gallon Forecast'!AB105</f>
        <v>2224443.4532405771</v>
      </c>
      <c r="AC105" s="4">
        <f>'D3 Gallon Forecast'!AC105</f>
        <v>2288003.8066594903</v>
      </c>
      <c r="AD105" s="4">
        <f>'D3 Gallon Forecast'!AD105</f>
        <v>2338292.9878417281</v>
      </c>
      <c r="AE105" s="4">
        <f>'D3 Gallon Forecast'!AE105</f>
        <v>2379382.2709318548</v>
      </c>
      <c r="AF105" s="4">
        <f>'D3 Gallon Forecast'!AF105</f>
        <v>2414188.7680672826</v>
      </c>
      <c r="AG105" s="4">
        <f>'D3 Gallon Forecast'!AG105</f>
        <v>2446595.28517691</v>
      </c>
    </row>
    <row r="106" spans="1:33">
      <c r="A106" s="2" t="s">
        <v>44</v>
      </c>
      <c r="B106" s="3">
        <f>'Monthly D3 RIN Data'!$H5</f>
        <v>0</v>
      </c>
      <c r="C106" s="3">
        <f>'Monthly D3 RIN Data'!$H17</f>
        <v>0</v>
      </c>
      <c r="D106" s="3">
        <f>'Monthly D3 RIN Data'!$H29</f>
        <v>0</v>
      </c>
      <c r="E106" s="3">
        <f>'Monthly D3 RIN Data'!$H41</f>
        <v>0</v>
      </c>
      <c r="F106" s="3">
        <f>'Monthly D3 RIN Data'!$H53</f>
        <v>0</v>
      </c>
      <c r="G106" s="3">
        <f>'Monthly D3 RIN Data'!$H65</f>
        <v>3687481</v>
      </c>
      <c r="H106" s="3">
        <f>'Monthly D3 RIN Data'!$H77</f>
        <v>7718902</v>
      </c>
      <c r="I106" s="3">
        <f>'Monthly D3 RIN Data'!$H89</f>
        <v>9752116</v>
      </c>
      <c r="J106" s="3">
        <f>'Monthly D3 RIN Data'!$H101</f>
        <v>12807199</v>
      </c>
      <c r="K106" s="3">
        <f>'Monthly D3 RIN Data'!$H113</f>
        <v>23379278</v>
      </c>
      <c r="L106" s="3">
        <f>'Monthly D3 RIN Data'!$H125</f>
        <v>28402927</v>
      </c>
      <c r="M106" s="3">
        <f>'Monthly D3 RIN Data'!$H137</f>
        <v>33220960</v>
      </c>
      <c r="N106" s="3">
        <f>'Monthly D3 RIN Data'!$H149</f>
        <v>39480978</v>
      </c>
      <c r="O106" s="3">
        <f>'Monthly D3 RIN Data'!$H161</f>
        <v>53280009</v>
      </c>
      <c r="P106" s="3">
        <f>'Monthly D3 RIN Data'!$H173</f>
        <v>62278042</v>
      </c>
      <c r="Q106" s="4">
        <f>'D3 Gallon Forecast'!Q106</f>
        <v>1133947</v>
      </c>
      <c r="R106" s="4">
        <f>'D3 Gallon Forecast'!R106</f>
        <v>29439902.883253016</v>
      </c>
      <c r="S106" s="4">
        <f>'D3 Gallon Forecast'!S106</f>
        <v>27441743.120937094</v>
      </c>
      <c r="T106" s="4">
        <f>'D3 Gallon Forecast'!T106</f>
        <v>25476673.953525189</v>
      </c>
      <c r="U106" s="4">
        <f>'D3 Gallon Forecast'!U106</f>
        <v>24177993.467380751</v>
      </c>
      <c r="V106" s="4">
        <f>'D3 Gallon Forecast'!V106</f>
        <v>21341017.753579795</v>
      </c>
      <c r="W106" s="4">
        <f>'D3 Gallon Forecast'!W106</f>
        <v>24591794.457437664</v>
      </c>
      <c r="X106" s="4">
        <f>'D3 Gallon Forecast'!X106</f>
        <v>24333474.090843543</v>
      </c>
      <c r="Y106" s="4">
        <f>'D3 Gallon Forecast'!Y106</f>
        <v>24952924.329373598</v>
      </c>
      <c r="Z106" s="4">
        <f>'D3 Gallon Forecast'!Z106</f>
        <v>24977753.37968066</v>
      </c>
      <c r="AA106" s="4">
        <f>'D3 Gallon Forecast'!AA106</f>
        <v>25454986.118150365</v>
      </c>
      <c r="AB106" s="4">
        <f>'D3 Gallon Forecast'!AB106</f>
        <v>26870407.788595378</v>
      </c>
      <c r="AC106" s="4">
        <f>'D3 Gallon Forecast'!AC106</f>
        <v>27450767.195898023</v>
      </c>
      <c r="AD106" s="4">
        <f>'D3 Gallon Forecast'!AD106</f>
        <v>27908121.184389077</v>
      </c>
      <c r="AE106" s="4">
        <f>'D3 Gallon Forecast'!AE106</f>
        <v>28418726.437198624</v>
      </c>
      <c r="AF106" s="4">
        <f>'D3 Gallon Forecast'!AF106</f>
        <v>28932546.941954579</v>
      </c>
      <c r="AG106" s="4">
        <f>'D3 Gallon Forecast'!AG106</f>
        <v>29327381.83900886</v>
      </c>
    </row>
    <row r="107" spans="1:33">
      <c r="A107" s="2" t="s">
        <v>45</v>
      </c>
      <c r="B107" s="3">
        <f>'Monthly D3 RIN Data'!$H6</f>
        <v>0</v>
      </c>
      <c r="C107" s="3">
        <f>'Monthly D3 RIN Data'!$H18</f>
        <v>0</v>
      </c>
      <c r="D107" s="3">
        <f>'Monthly D3 RIN Data'!$H30</f>
        <v>0</v>
      </c>
      <c r="E107" s="3">
        <f>'Monthly D3 RIN Data'!$H42</f>
        <v>0</v>
      </c>
      <c r="F107" s="3">
        <f>'Monthly D3 RIN Data'!$H54</f>
        <v>0</v>
      </c>
      <c r="G107" s="3">
        <f>'Monthly D3 RIN Data'!$H66</f>
        <v>4160077</v>
      </c>
      <c r="H107" s="3">
        <f>'Monthly D3 RIN Data'!$H78</f>
        <v>9268999</v>
      </c>
      <c r="I107" s="3">
        <f>'Monthly D3 RIN Data'!$H90</f>
        <v>10216614</v>
      </c>
      <c r="J107" s="3">
        <f>'Monthly D3 RIN Data'!$H102</f>
        <v>11493874</v>
      </c>
      <c r="K107" s="3">
        <f>'Monthly D3 RIN Data'!$H114</f>
        <v>20820447</v>
      </c>
      <c r="L107" s="3">
        <f>'Monthly D3 RIN Data'!$H126</f>
        <v>26435294</v>
      </c>
      <c r="M107" s="3">
        <f>'Monthly D3 RIN Data'!$H138</f>
        <v>27903102</v>
      </c>
      <c r="N107" s="3">
        <f>'Monthly D3 RIN Data'!$H150</f>
        <v>35685257</v>
      </c>
      <c r="O107" s="3">
        <f>'Monthly D3 RIN Data'!$H162</f>
        <v>48547128</v>
      </c>
      <c r="P107" s="3">
        <f>'Monthly D3 RIN Data'!$H174</f>
        <v>59524862</v>
      </c>
      <c r="Q107" s="4">
        <f>'D3 Gallon Forecast'!Q107</f>
        <v>34891525.027196206</v>
      </c>
      <c r="R107" s="4">
        <f>'D3 Gallon Forecast'!R107</f>
        <v>32106978.925209977</v>
      </c>
      <c r="S107" s="4">
        <f>'D3 Gallon Forecast'!S107</f>
        <v>31158964.904228646</v>
      </c>
      <c r="T107" s="4">
        <f>'D3 Gallon Forecast'!T107</f>
        <v>30269806.876760568</v>
      </c>
      <c r="U107" s="4">
        <f>'D3 Gallon Forecast'!U107</f>
        <v>31174424.962057821</v>
      </c>
      <c r="V107" s="4">
        <f>'D3 Gallon Forecast'!V107</f>
        <v>31634201.631867722</v>
      </c>
      <c r="W107" s="4">
        <f>'D3 Gallon Forecast'!W107</f>
        <v>30066226.403870143</v>
      </c>
      <c r="X107" s="4">
        <f>'D3 Gallon Forecast'!X107</f>
        <v>30519117.098059583</v>
      </c>
      <c r="Y107" s="4">
        <f>'D3 Gallon Forecast'!Y107</f>
        <v>31974066.916009463</v>
      </c>
      <c r="Z107" s="4">
        <f>'D3 Gallon Forecast'!Z107</f>
        <v>32502808.929781787</v>
      </c>
      <c r="AA107" s="4">
        <f>'D3 Gallon Forecast'!AA107</f>
        <v>33184741.841208711</v>
      </c>
      <c r="AB107" s="4">
        <f>'D3 Gallon Forecast'!AB107</f>
        <v>34205844.145780817</v>
      </c>
      <c r="AC107" s="4">
        <f>'D3 Gallon Forecast'!AC107</f>
        <v>35213304.140445121</v>
      </c>
      <c r="AD107" s="4">
        <f>'D3 Gallon Forecast'!AD107</f>
        <v>35949609.959508158</v>
      </c>
      <c r="AE107" s="4">
        <f>'D3 Gallon Forecast'!AE107</f>
        <v>36643508.648668677</v>
      </c>
      <c r="AF107" s="4">
        <f>'D3 Gallon Forecast'!AF107</f>
        <v>37243083.212095447</v>
      </c>
      <c r="AG107" s="4">
        <f>'D3 Gallon Forecast'!AG107</f>
        <v>37663480.785907663</v>
      </c>
    </row>
    <row r="108" spans="1:33">
      <c r="A108" s="2" t="s">
        <v>46</v>
      </c>
      <c r="B108" s="3">
        <f>'Monthly D3 RIN Data'!$H7</f>
        <v>0</v>
      </c>
      <c r="C108" s="3">
        <f>'Monthly D3 RIN Data'!$H19</f>
        <v>0</v>
      </c>
      <c r="D108" s="3">
        <f>'Monthly D3 RIN Data'!$H31</f>
        <v>0</v>
      </c>
      <c r="E108" s="3">
        <f>'Monthly D3 RIN Data'!$H43</f>
        <v>0</v>
      </c>
      <c r="F108" s="3">
        <f>'Monthly D3 RIN Data'!$H55</f>
        <v>0</v>
      </c>
      <c r="G108" s="3">
        <f>'Monthly D3 RIN Data'!$H67</f>
        <v>4191579</v>
      </c>
      <c r="H108" s="3">
        <f>'Monthly D3 RIN Data'!$H79</f>
        <v>8994368</v>
      </c>
      <c r="I108" s="3">
        <f>'Monthly D3 RIN Data'!$H91</f>
        <v>10678397</v>
      </c>
      <c r="J108" s="3">
        <f>'Monthly D3 RIN Data'!$H103</f>
        <v>12875336</v>
      </c>
      <c r="K108" s="3">
        <f>'Monthly D3 RIN Data'!$H115</f>
        <v>25619818</v>
      </c>
      <c r="L108" s="3">
        <f>'Monthly D3 RIN Data'!$H127</f>
        <v>31277485</v>
      </c>
      <c r="M108" s="3">
        <f>'Monthly D3 RIN Data'!$H139</f>
        <v>34802958</v>
      </c>
      <c r="N108" s="3">
        <f>'Monthly D3 RIN Data'!$H151</f>
        <v>40668142</v>
      </c>
      <c r="O108" s="3">
        <f>'Monthly D3 RIN Data'!$H163</f>
        <v>55982583</v>
      </c>
      <c r="P108" s="3">
        <f>'Monthly D3 RIN Data'!$H175</f>
        <v>67016522</v>
      </c>
      <c r="Q108" s="4">
        <f>'D3 Gallon Forecast'!Q108</f>
        <v>35189936.114505321</v>
      </c>
      <c r="R108" s="4">
        <f>'D3 Gallon Forecast'!R108</f>
        <v>36322416.813723363</v>
      </c>
      <c r="S108" s="4">
        <f>'D3 Gallon Forecast'!S108</f>
        <v>34771458.447471946</v>
      </c>
      <c r="T108" s="4">
        <f>'D3 Gallon Forecast'!T108</f>
        <v>33655095.162280031</v>
      </c>
      <c r="U108" s="4">
        <f>'D3 Gallon Forecast'!U108</f>
        <v>34326379.871238112</v>
      </c>
      <c r="V108" s="4">
        <f>'D3 Gallon Forecast'!V108</f>
        <v>34540629.477524437</v>
      </c>
      <c r="W108" s="4">
        <f>'D3 Gallon Forecast'!W108</f>
        <v>33387688.41773805</v>
      </c>
      <c r="X108" s="4">
        <f>'D3 Gallon Forecast'!X108</f>
        <v>33758384.514058307</v>
      </c>
      <c r="Y108" s="4">
        <f>'D3 Gallon Forecast'!Y108</f>
        <v>35304232.174648911</v>
      </c>
      <c r="Z108" s="4">
        <f>'D3 Gallon Forecast'!Z108</f>
        <v>35839378.840036049</v>
      </c>
      <c r="AA108" s="4">
        <f>'D3 Gallon Forecast'!AA108</f>
        <v>36601533.701002024</v>
      </c>
      <c r="AB108" s="4">
        <f>'D3 Gallon Forecast'!AB108</f>
        <v>37803580.481861062</v>
      </c>
      <c r="AC108" s="4">
        <f>'D3 Gallon Forecast'!AC108</f>
        <v>38882497.743289813</v>
      </c>
      <c r="AD108" s="4">
        <f>'D3 Gallon Forecast'!AD108</f>
        <v>39682787.48578807</v>
      </c>
      <c r="AE108" s="4">
        <f>'D3 Gallon Forecast'!AE108</f>
        <v>40446638.78286466</v>
      </c>
      <c r="AF108" s="4">
        <f>'D3 Gallon Forecast'!AF108</f>
        <v>41116266.197197802</v>
      </c>
      <c r="AG108" s="4">
        <f>'D3 Gallon Forecast'!AG108</f>
        <v>41587598.015413254</v>
      </c>
    </row>
    <row r="109" spans="1:33">
      <c r="A109" s="2" t="s">
        <v>47</v>
      </c>
      <c r="B109" s="3">
        <f>'Monthly D3 RIN Data'!$H8</f>
        <v>0</v>
      </c>
      <c r="C109" s="3">
        <f>'Monthly D3 RIN Data'!$H20</f>
        <v>0</v>
      </c>
      <c r="D109" s="3">
        <f>'Monthly D3 RIN Data'!$H32</f>
        <v>0</v>
      </c>
      <c r="E109" s="3">
        <f>'Monthly D3 RIN Data'!$H44</f>
        <v>0</v>
      </c>
      <c r="F109" s="3">
        <f>'Monthly D3 RIN Data'!$H56</f>
        <v>0</v>
      </c>
      <c r="G109" s="3">
        <f>'Monthly D3 RIN Data'!$H68</f>
        <v>5878244</v>
      </c>
      <c r="H109" s="3">
        <f>'Monthly D3 RIN Data'!$H80</f>
        <v>8584190</v>
      </c>
      <c r="I109" s="3">
        <f>'Monthly D3 RIN Data'!$H92</f>
        <v>12750848</v>
      </c>
      <c r="J109" s="3">
        <f>'Monthly D3 RIN Data'!$H104</f>
        <v>15555160</v>
      </c>
      <c r="K109" s="3">
        <f>'Monthly D3 RIN Data'!$H116</f>
        <v>25280275</v>
      </c>
      <c r="L109" s="3">
        <f>'Monthly D3 RIN Data'!$H128</f>
        <v>28516201</v>
      </c>
      <c r="M109" s="3">
        <f>'Monthly D3 RIN Data'!$H140</f>
        <v>35833762</v>
      </c>
      <c r="N109" s="3">
        <f>'Monthly D3 RIN Data'!$H152</f>
        <v>46346211</v>
      </c>
      <c r="O109" s="3">
        <f>'Monthly D3 RIN Data'!$H164</f>
        <v>54037078</v>
      </c>
      <c r="P109" s="3">
        <f>'Monthly D3 RIN Data'!$H176</f>
        <v>67737546</v>
      </c>
      <c r="Q109" s="4">
        <f>'D3 Gallon Forecast'!Q109</f>
        <v>35605377.473096035</v>
      </c>
      <c r="R109" s="4">
        <f>'D3 Gallon Forecast'!R109</f>
        <v>47167939.344107911</v>
      </c>
      <c r="S109" s="4">
        <f>'D3 Gallon Forecast'!S109</f>
        <v>46984701.067655548</v>
      </c>
      <c r="T109" s="4">
        <f>'D3 Gallon Forecast'!T109</f>
        <v>46764429.669779055</v>
      </c>
      <c r="U109" s="4">
        <f>'D3 Gallon Forecast'!U109</f>
        <v>51317544.175690345</v>
      </c>
      <c r="V109" s="4">
        <f>'D3 Gallon Forecast'!V109</f>
        <v>57202059.012773804</v>
      </c>
      <c r="W109" s="4">
        <f>'D3 Gallon Forecast'!W109</f>
        <v>60760215.283719577</v>
      </c>
      <c r="X109" s="4">
        <f>'D3 Gallon Forecast'!X109</f>
        <v>65896406.05860015</v>
      </c>
      <c r="Y109" s="4">
        <f>'D3 Gallon Forecast'!Y109</f>
        <v>74309856.191988587</v>
      </c>
      <c r="Z109" s="4">
        <f>'D3 Gallon Forecast'!Z109</f>
        <v>82009219.609921619</v>
      </c>
      <c r="AA109" s="4">
        <f>'D3 Gallon Forecast'!AA109</f>
        <v>91253098.615691364</v>
      </c>
      <c r="AB109" s="4">
        <f>'D3 Gallon Forecast'!AB109</f>
        <v>102462388.982641</v>
      </c>
      <c r="AC109" s="4">
        <f>'D3 Gallon Forecast'!AC109</f>
        <v>114245800.64145236</v>
      </c>
      <c r="AD109" s="4">
        <f>'D3 Gallon Forecast'!AD109</f>
        <v>126534916.66611435</v>
      </c>
      <c r="AE109" s="4">
        <f>'D3 Gallon Forecast'!AE109</f>
        <v>140150671.58620304</v>
      </c>
      <c r="AF109" s="4">
        <f>'D3 Gallon Forecast'!AF109</f>
        <v>154732781.59682104</v>
      </c>
      <c r="AG109" s="4">
        <f>'D3 Gallon Forecast'!AG109</f>
        <v>169831204.68499279</v>
      </c>
    </row>
    <row r="110" spans="1:33">
      <c r="A110" s="2" t="s">
        <v>48</v>
      </c>
      <c r="B110" s="3">
        <f>'Monthly D3 RIN Data'!$H9</f>
        <v>0</v>
      </c>
      <c r="C110" s="3">
        <f>'Monthly D3 RIN Data'!$H21</f>
        <v>0</v>
      </c>
      <c r="D110" s="3">
        <f>'Monthly D3 RIN Data'!$H33</f>
        <v>0</v>
      </c>
      <c r="E110" s="3">
        <f>'Monthly D3 RIN Data'!$H45</f>
        <v>0</v>
      </c>
      <c r="F110" s="3">
        <f>'Monthly D3 RIN Data'!$H57</f>
        <v>0</v>
      </c>
      <c r="G110" s="3">
        <f>'Monthly D3 RIN Data'!$H69</f>
        <v>6077815</v>
      </c>
      <c r="H110" s="3">
        <f>'Monthly D3 RIN Data'!$H81</f>
        <v>8223464</v>
      </c>
      <c r="I110" s="3">
        <f>'Monthly D3 RIN Data'!$H93</f>
        <v>13490491</v>
      </c>
      <c r="J110" s="3">
        <f>'Monthly D3 RIN Data'!$H105</f>
        <v>18467304</v>
      </c>
      <c r="K110" s="3">
        <f>'Monthly D3 RIN Data'!$H117</f>
        <v>29926723</v>
      </c>
      <c r="L110" s="3">
        <f>'Monthly D3 RIN Data'!$H129</f>
        <v>31984254</v>
      </c>
      <c r="M110" s="3">
        <f>'Monthly D3 RIN Data'!$H141</f>
        <v>39397690</v>
      </c>
      <c r="N110" s="3">
        <f>'Monthly D3 RIN Data'!$H153</f>
        <v>44287180</v>
      </c>
      <c r="O110" s="3">
        <f>'Monthly D3 RIN Data'!$H165</f>
        <v>61040669</v>
      </c>
      <c r="P110" s="3">
        <f>'Monthly D3 RIN Data'!$H177</f>
        <v>73839781</v>
      </c>
      <c r="Q110" s="4">
        <f>'D3 Gallon Forecast'!Q110</f>
        <v>38374334.474446148</v>
      </c>
      <c r="R110" s="4">
        <f>'D3 Gallon Forecast'!R110</f>
        <v>55915147.486126445</v>
      </c>
      <c r="S110" s="4">
        <f>'D3 Gallon Forecast'!S110</f>
        <v>56600575.416048922</v>
      </c>
      <c r="T110" s="4">
        <f>'D3 Gallon Forecast'!T110</f>
        <v>58722480.116328388</v>
      </c>
      <c r="U110" s="4">
        <f>'D3 Gallon Forecast'!U110</f>
        <v>65820205.056670673</v>
      </c>
      <c r="V110" s="4">
        <f>'D3 Gallon Forecast'!V110</f>
        <v>76429842.703510255</v>
      </c>
      <c r="W110" s="4">
        <f>'D3 Gallon Forecast'!W110</f>
        <v>84400682.901953578</v>
      </c>
      <c r="X110" s="4">
        <f>'D3 Gallon Forecast'!X110</f>
        <v>94692741.381930605</v>
      </c>
      <c r="Y110" s="4">
        <f>'D3 Gallon Forecast'!Y110</f>
        <v>110716762.25070576</v>
      </c>
      <c r="Z110" s="4">
        <f>'D3 Gallon Forecast'!Z110</f>
        <v>126541083.45665841</v>
      </c>
      <c r="AA110" s="4">
        <f>'D3 Gallon Forecast'!AA110</f>
        <v>146103781.24450567</v>
      </c>
      <c r="AB110" s="4">
        <f>'D3 Gallon Forecast'!AB110</f>
        <v>170208322.15571526</v>
      </c>
      <c r="AC110" s="4">
        <f>'D3 Gallon Forecast'!AC110</f>
        <v>196804809.89728665</v>
      </c>
      <c r="AD110" s="4">
        <f>'D3 Gallon Forecast'!AD110</f>
        <v>226034107.83746925</v>
      </c>
      <c r="AE110" s="4">
        <f>'D3 Gallon Forecast'!AE110</f>
        <v>259626755.80718121</v>
      </c>
      <c r="AF110" s="4">
        <f>'D3 Gallon Forecast'!AF110</f>
        <v>297245882.08270329</v>
      </c>
      <c r="AG110" s="4">
        <f>'D3 Gallon Forecast'!AG110</f>
        <v>338254781.65608817</v>
      </c>
    </row>
    <row r="111" spans="1:33">
      <c r="A111" s="2" t="s">
        <v>49</v>
      </c>
      <c r="B111" s="3">
        <f>'Monthly D3 RIN Data'!$H10</f>
        <v>0</v>
      </c>
      <c r="C111" s="3">
        <f>'Monthly D3 RIN Data'!$H22</f>
        <v>0</v>
      </c>
      <c r="D111" s="3">
        <f>'Monthly D3 RIN Data'!$H34</f>
        <v>0</v>
      </c>
      <c r="E111" s="3">
        <f>'Monthly D3 RIN Data'!$H46</f>
        <v>0</v>
      </c>
      <c r="F111" s="3">
        <f>'Monthly D3 RIN Data'!$H58</f>
        <v>0</v>
      </c>
      <c r="G111" s="3">
        <f>'Monthly D3 RIN Data'!$H70</f>
        <v>6003478</v>
      </c>
      <c r="H111" s="3">
        <f>'Monthly D3 RIN Data'!$H82</f>
        <v>9492589</v>
      </c>
      <c r="I111" s="3">
        <f>'Monthly D3 RIN Data'!$H94</f>
        <v>12278441</v>
      </c>
      <c r="J111" s="3">
        <f>'Monthly D3 RIN Data'!$H106</f>
        <v>19082106</v>
      </c>
      <c r="K111" s="3">
        <f>'Monthly D3 RIN Data'!$H118</f>
        <v>29654577</v>
      </c>
      <c r="L111" s="3">
        <f>'Monthly D3 RIN Data'!$H130</f>
        <v>31212896</v>
      </c>
      <c r="M111" s="3">
        <f>'Monthly D3 RIN Data'!$H142</f>
        <v>35884034</v>
      </c>
      <c r="N111" s="3">
        <f>'Monthly D3 RIN Data'!$H154</f>
        <v>44093008</v>
      </c>
      <c r="O111" s="3">
        <f>'Monthly D3 RIN Data'!$H166</f>
        <v>55998210</v>
      </c>
      <c r="P111" s="3">
        <f>'Monthly D3 RIN Data'!$H178</f>
        <v>72111231</v>
      </c>
      <c r="Q111" s="4">
        <f>'D3 Gallon Forecast'!Q111</f>
        <v>36652500.966538973</v>
      </c>
      <c r="R111" s="4">
        <f>'D3 Gallon Forecast'!R111</f>
        <v>53261821.642781809</v>
      </c>
      <c r="S111" s="4">
        <f>'D3 Gallon Forecast'!S111</f>
        <v>54255028.397775024</v>
      </c>
      <c r="T111" s="4">
        <f>'D3 Gallon Forecast'!T111</f>
        <v>55951773.120386101</v>
      </c>
      <c r="U111" s="4">
        <f>'D3 Gallon Forecast'!U111</f>
        <v>63214827.568951145</v>
      </c>
      <c r="V111" s="4">
        <f>'D3 Gallon Forecast'!V111</f>
        <v>73073103.727715403</v>
      </c>
      <c r="W111" s="4">
        <f>'D3 Gallon Forecast'!W111</f>
        <v>80703687.738587201</v>
      </c>
      <c r="X111" s="4">
        <f>'D3 Gallon Forecast'!X111</f>
        <v>90601433.995346144</v>
      </c>
      <c r="Y111" s="4">
        <f>'D3 Gallon Forecast'!Y111</f>
        <v>105904003.91205409</v>
      </c>
      <c r="Z111" s="4">
        <f>'D3 Gallon Forecast'!Z111</f>
        <v>121104330.92059332</v>
      </c>
      <c r="AA111" s="4">
        <f>'D3 Gallon Forecast'!AA111</f>
        <v>139760549.08074069</v>
      </c>
      <c r="AB111" s="4">
        <f>'D3 Gallon Forecast'!AB111</f>
        <v>162830209.2684871</v>
      </c>
      <c r="AC111" s="4">
        <f>'D3 Gallon Forecast'!AC111</f>
        <v>188285472.29386488</v>
      </c>
      <c r="AD111" s="4">
        <f>'D3 Gallon Forecast'!AD111</f>
        <v>216247142.29832548</v>
      </c>
      <c r="AE111" s="4">
        <f>'D3 Gallon Forecast'!AE111</f>
        <v>248390935.62573144</v>
      </c>
      <c r="AF111" s="4">
        <f>'D3 Gallon Forecast'!AF111</f>
        <v>284370257.37821883</v>
      </c>
      <c r="AG111" s="4">
        <f>'D3 Gallon Forecast'!AG111</f>
        <v>323607075.85771626</v>
      </c>
    </row>
    <row r="112" spans="1:33">
      <c r="A112" s="2" t="s">
        <v>50</v>
      </c>
      <c r="B112" s="3">
        <f>'Monthly D3 RIN Data'!$H11</f>
        <v>0</v>
      </c>
      <c r="C112" s="3">
        <f>'Monthly D3 RIN Data'!$H23</f>
        <v>0</v>
      </c>
      <c r="D112" s="3">
        <f>'Monthly D3 RIN Data'!$H35</f>
        <v>0</v>
      </c>
      <c r="E112" s="3">
        <f>'Monthly D3 RIN Data'!$H47</f>
        <v>0</v>
      </c>
      <c r="F112" s="3">
        <f>'Monthly D3 RIN Data'!$H59</f>
        <v>1643621</v>
      </c>
      <c r="G112" s="3">
        <f>'Monthly D3 RIN Data'!$H71</f>
        <v>6218267</v>
      </c>
      <c r="H112" s="3">
        <f>'Monthly D3 RIN Data'!$H83</f>
        <v>9478696</v>
      </c>
      <c r="I112" s="3">
        <f>'Monthly D3 RIN Data'!$H95</f>
        <v>12933967</v>
      </c>
      <c r="J112" s="3">
        <f>'Monthly D3 RIN Data'!$H107</f>
        <v>22250007</v>
      </c>
      <c r="K112" s="3">
        <f>'Monthly D3 RIN Data'!$H119</f>
        <v>29811852</v>
      </c>
      <c r="L112" s="3">
        <f>'Monthly D3 RIN Data'!$H131</f>
        <v>32184792</v>
      </c>
      <c r="M112" s="3">
        <f>'Monthly D3 RIN Data'!$H143</f>
        <v>37893243</v>
      </c>
      <c r="N112" s="3">
        <f>'Monthly D3 RIN Data'!$H155</f>
        <v>51613593</v>
      </c>
      <c r="O112" s="3">
        <f>'Monthly D3 RIN Data'!$H167</f>
        <v>58283813</v>
      </c>
      <c r="P112" s="3">
        <f>'Monthly D3 RIN Data'!$H179</f>
        <v>78552993</v>
      </c>
      <c r="Q112" s="4">
        <f>'D3 Gallon Forecast'!Q112</f>
        <v>39596625.960177958</v>
      </c>
      <c r="R112" s="4">
        <f>'D3 Gallon Forecast'!R112</f>
        <v>59252163.053073689</v>
      </c>
      <c r="S112" s="4">
        <f>'D3 Gallon Forecast'!S112</f>
        <v>60881815.808098987</v>
      </c>
      <c r="T112" s="4">
        <f>'D3 Gallon Forecast'!T112</f>
        <v>62392431.179628804</v>
      </c>
      <c r="U112" s="4">
        <f>'D3 Gallon Forecast'!U112</f>
        <v>71482081.188649446</v>
      </c>
      <c r="V112" s="4">
        <f>'D3 Gallon Forecast'!V112</f>
        <v>83412316.99175477</v>
      </c>
      <c r="W112" s="4">
        <f>'D3 Gallon Forecast'!W112</f>
        <v>93007017.65071696</v>
      </c>
      <c r="X112" s="4">
        <f>'D3 Gallon Forecast'!X112</f>
        <v>105225871.38433826</v>
      </c>
      <c r="Y112" s="4">
        <f>'D3 Gallon Forecast'!Y112</f>
        <v>123926794.01164384</v>
      </c>
      <c r="Z112" s="4">
        <f>'D3 Gallon Forecast'!Z112</f>
        <v>143045444.83085692</v>
      </c>
      <c r="AA112" s="4">
        <f>'D3 Gallon Forecast'!AA112</f>
        <v>166531418.10591695</v>
      </c>
      <c r="AB112" s="4">
        <f>'D3 Gallon Forecast'!AB112</f>
        <v>195725826.65355662</v>
      </c>
      <c r="AC112" s="4">
        <f>'D3 Gallon Forecast'!AC112</f>
        <v>228280727.46911621</v>
      </c>
      <c r="AD112" s="4">
        <f>'D3 Gallon Forecast'!AD112</f>
        <v>264456488.0790188</v>
      </c>
      <c r="AE112" s="4">
        <f>'D3 Gallon Forecast'!AE112</f>
        <v>306445368.10770917</v>
      </c>
      <c r="AF112" s="4">
        <f>'D3 Gallon Forecast'!AF112</f>
        <v>353885571.63362318</v>
      </c>
      <c r="AG112" s="4">
        <f>'D3 Gallon Forecast'!AG112</f>
        <v>406201149.42059743</v>
      </c>
    </row>
    <row r="113" spans="1:33">
      <c r="A113" s="2" t="s">
        <v>51</v>
      </c>
      <c r="B113" s="3">
        <f>'Monthly D3 RIN Data'!$H12</f>
        <v>0</v>
      </c>
      <c r="C113" s="3">
        <f>'Monthly D3 RIN Data'!$H24</f>
        <v>0</v>
      </c>
      <c r="D113" s="3">
        <f>'Monthly D3 RIN Data'!$H36</f>
        <v>0</v>
      </c>
      <c r="E113" s="3">
        <f>'Monthly D3 RIN Data'!$H48</f>
        <v>0</v>
      </c>
      <c r="F113" s="3">
        <f>'Monthly D3 RIN Data'!$H60</f>
        <v>3474010</v>
      </c>
      <c r="G113" s="3">
        <f>'Monthly D3 RIN Data'!$H72</f>
        <v>5753012</v>
      </c>
      <c r="H113" s="3">
        <f>'Monthly D3 RIN Data'!$H84</f>
        <v>10946526</v>
      </c>
      <c r="I113" s="3">
        <f>'Monthly D3 RIN Data'!$H96</f>
        <v>14610908</v>
      </c>
      <c r="J113" s="3">
        <f>'Monthly D3 RIN Data'!$H108</f>
        <v>19518579</v>
      </c>
      <c r="K113" s="3">
        <f>'Monthly D3 RIN Data'!$H120</f>
        <v>27493259</v>
      </c>
      <c r="L113" s="3">
        <f>'Monthly D3 RIN Data'!$H132</f>
        <v>35720286</v>
      </c>
      <c r="M113" s="3">
        <f>'Monthly D3 RIN Data'!$H144</f>
        <v>39533285</v>
      </c>
      <c r="N113" s="3">
        <f>'Monthly D3 RIN Data'!$H156</f>
        <v>48251690</v>
      </c>
      <c r="O113" s="3">
        <f>'Monthly D3 RIN Data'!$H168</f>
        <v>56289585</v>
      </c>
      <c r="P113" s="3">
        <f>'Monthly D3 RIN Data'!$H180</f>
        <v>81855313</v>
      </c>
      <c r="Q113" s="4">
        <f>'D3 Gallon Forecast'!Q113</f>
        <v>40074507.238068648</v>
      </c>
      <c r="R113" s="4">
        <f>'D3 Gallon Forecast'!R113</f>
        <v>59266092.199722782</v>
      </c>
      <c r="S113" s="4">
        <f>'D3 Gallon Forecast'!S113</f>
        <v>60550474.987253867</v>
      </c>
      <c r="T113" s="4">
        <f>'D3 Gallon Forecast'!T113</f>
        <v>62701053.030760542</v>
      </c>
      <c r="U113" s="4">
        <f>'D3 Gallon Forecast'!U113</f>
        <v>72378688.54609473</v>
      </c>
      <c r="V113" s="4">
        <f>'D3 Gallon Forecast'!V113</f>
        <v>83800307.852863982</v>
      </c>
      <c r="W113" s="4">
        <f>'D3 Gallon Forecast'!W113</f>
        <v>93358682.785371304</v>
      </c>
      <c r="X113" s="4">
        <f>'D3 Gallon Forecast'!X113</f>
        <v>105683300.65780191</v>
      </c>
      <c r="Y113" s="4">
        <f>'D3 Gallon Forecast'!Y113</f>
        <v>124643272.96140805</v>
      </c>
      <c r="Z113" s="4">
        <f>'D3 Gallon Forecast'!Z113</f>
        <v>143888079.36438489</v>
      </c>
      <c r="AA113" s="4">
        <f>'D3 Gallon Forecast'!AA113</f>
        <v>167368055.1671904</v>
      </c>
      <c r="AB113" s="4">
        <f>'D3 Gallon Forecast'!AB113</f>
        <v>196718757.85509723</v>
      </c>
      <c r="AC113" s="4">
        <f>'D3 Gallon Forecast'!AC113</f>
        <v>229476161.63065323</v>
      </c>
      <c r="AD113" s="4">
        <f>'D3 Gallon Forecast'!AD113</f>
        <v>265870231.23709536</v>
      </c>
      <c r="AE113" s="4">
        <f>'D3 Gallon Forecast'!AE113</f>
        <v>308067001.13602597</v>
      </c>
      <c r="AF113" s="4">
        <f>'D3 Gallon Forecast'!AF113</f>
        <v>355732142.15454781</v>
      </c>
      <c r="AG113" s="4">
        <f>'D3 Gallon Forecast'!AG113</f>
        <v>408330435.97451568</v>
      </c>
    </row>
    <row r="114" spans="1:33">
      <c r="A114" s="2" t="s">
        <v>52</v>
      </c>
      <c r="B114" s="3">
        <f>'Monthly D3 RIN Data'!$H13</f>
        <v>0</v>
      </c>
      <c r="C114" s="3">
        <f>'Monthly D3 RIN Data'!$H25</f>
        <v>0</v>
      </c>
      <c r="D114" s="3">
        <f>'Monthly D3 RIN Data'!$H37</f>
        <v>0</v>
      </c>
      <c r="E114" s="3">
        <f>'Monthly D3 RIN Data'!$H49</f>
        <v>0</v>
      </c>
      <c r="F114" s="3">
        <f>'Monthly D3 RIN Data'!$H61</f>
        <v>2748001</v>
      </c>
      <c r="G114" s="3">
        <f>'Monthly D3 RIN Data'!$H73</f>
        <v>5385020</v>
      </c>
      <c r="H114" s="3">
        <f>'Monthly D3 RIN Data'!$H85</f>
        <v>11760172</v>
      </c>
      <c r="I114" s="3">
        <f>'Monthly D3 RIN Data'!$H97</f>
        <v>12912867</v>
      </c>
      <c r="J114" s="3">
        <f>'Monthly D3 RIN Data'!$H109</f>
        <v>19797994</v>
      </c>
      <c r="K114" s="3">
        <f>'Monthly D3 RIN Data'!$H121</f>
        <v>25986304</v>
      </c>
      <c r="L114" s="3">
        <f>'Monthly D3 RIN Data'!$H133</f>
        <v>34208723</v>
      </c>
      <c r="M114" s="3">
        <f>'Monthly D3 RIN Data'!$H145</f>
        <v>39558092</v>
      </c>
      <c r="N114" s="3">
        <f>'Monthly D3 RIN Data'!$H157</f>
        <v>49626850</v>
      </c>
      <c r="O114" s="3">
        <f>'Monthly D3 RIN Data'!$H169</f>
        <v>56473586</v>
      </c>
      <c r="P114" s="3">
        <f>'Monthly D3 RIN Data'!$H181</f>
        <v>79017792</v>
      </c>
      <c r="Q114" s="4">
        <f>'D3 Gallon Forecast'!Q114</f>
        <v>39651000.286727183</v>
      </c>
      <c r="R114" s="4">
        <f>'D3 Gallon Forecast'!R114</f>
        <v>60262032.905460007</v>
      </c>
      <c r="S114" s="4">
        <f>'D3 Gallon Forecast'!S114</f>
        <v>61805554.068200983</v>
      </c>
      <c r="T114" s="4">
        <f>'D3 Gallon Forecast'!T114</f>
        <v>63981399.684114411</v>
      </c>
      <c r="U114" s="4">
        <f>'D3 Gallon Forecast'!U114</f>
        <v>74127678.204000622</v>
      </c>
      <c r="V114" s="4">
        <f>'D3 Gallon Forecast'!V114</f>
        <v>87161056.973449335</v>
      </c>
      <c r="W114" s="4">
        <f>'D3 Gallon Forecast'!W114</f>
        <v>97967049.748396903</v>
      </c>
      <c r="X114" s="4">
        <f>'D3 Gallon Forecast'!X114</f>
        <v>111695633.77361226</v>
      </c>
      <c r="Y114" s="4">
        <f>'D3 Gallon Forecast'!Y114</f>
        <v>132733325.91660005</v>
      </c>
      <c r="Z114" s="4">
        <f>'D3 Gallon Forecast'!Z114</f>
        <v>154543034.4014852</v>
      </c>
      <c r="AA114" s="4">
        <f>'D3 Gallon Forecast'!AA114</f>
        <v>181425391.65537941</v>
      </c>
      <c r="AB114" s="4">
        <f>'D3 Gallon Forecast'!AB114</f>
        <v>215059893.54268652</v>
      </c>
      <c r="AC114" s="4">
        <f>'D3 Gallon Forecast'!AC114</f>
        <v>252990916.03803989</v>
      </c>
      <c r="AD114" s="4">
        <f>'D3 Gallon Forecast'!AD114</f>
        <v>295613345.41662127</v>
      </c>
      <c r="AE114" s="4">
        <f>'D3 Gallon Forecast'!AE114</f>
        <v>345491188.24028903</v>
      </c>
      <c r="AF114" s="4">
        <f>'D3 Gallon Forecast'!AF114</f>
        <v>402379216.04769725</v>
      </c>
      <c r="AG114" s="4">
        <f>'D3 Gallon Forecast'!AG114</f>
        <v>465798226.39797682</v>
      </c>
    </row>
    <row r="115" spans="1:33">
      <c r="A115" s="2" t="s">
        <v>53</v>
      </c>
      <c r="B115" s="3">
        <f>'Monthly D3 RIN Data'!$H14</f>
        <v>0</v>
      </c>
      <c r="C115" s="3">
        <f>'Monthly D3 RIN Data'!$H26</f>
        <v>0</v>
      </c>
      <c r="D115" s="3">
        <f>'Monthly D3 RIN Data'!$H38</f>
        <v>0</v>
      </c>
      <c r="E115" s="3">
        <f>'Monthly D3 RIN Data'!$H50</f>
        <v>0</v>
      </c>
      <c r="F115" s="3">
        <f>'Monthly D3 RIN Data'!$H62</f>
        <v>2873839</v>
      </c>
      <c r="G115" s="3">
        <f>'Monthly D3 RIN Data'!$H74</f>
        <v>5690045</v>
      </c>
      <c r="H115" s="3">
        <f>'Monthly D3 RIN Data'!$H86</f>
        <v>10879490</v>
      </c>
      <c r="I115" s="3">
        <f>'Monthly D3 RIN Data'!$H98</f>
        <v>13884556</v>
      </c>
      <c r="J115" s="3">
        <f>'Monthly D3 RIN Data'!$H110</f>
        <v>19064110</v>
      </c>
      <c r="K115" s="3">
        <f>'Monthly D3 RIN Data'!$H122</f>
        <v>25595535</v>
      </c>
      <c r="L115" s="3">
        <f>'Monthly D3 RIN Data'!$H134</f>
        <v>35602358</v>
      </c>
      <c r="M115" s="3">
        <f>'Monthly D3 RIN Data'!$H146</f>
        <v>42107589</v>
      </c>
      <c r="N115" s="3">
        <f>'Monthly D3 RIN Data'!$H158</f>
        <v>48964891</v>
      </c>
      <c r="O115" s="3">
        <f>'Monthly D3 RIN Data'!$H170</f>
        <v>62160920</v>
      </c>
      <c r="P115" s="3">
        <f>'Monthly D3 RIN Data'!$H182</f>
        <v>79496049</v>
      </c>
      <c r="Q115" s="4">
        <f>'D3 Gallon Forecast'!Q115</f>
        <v>41097872.758508585</v>
      </c>
      <c r="R115" s="4">
        <f>'D3 Gallon Forecast'!R115</f>
        <v>59590237.688985325</v>
      </c>
      <c r="S115" s="4">
        <f>'D3 Gallon Forecast'!S115</f>
        <v>60295787.641235925</v>
      </c>
      <c r="T115" s="4">
        <f>'D3 Gallon Forecast'!T115</f>
        <v>62189140.730973162</v>
      </c>
      <c r="U115" s="4">
        <f>'D3 Gallon Forecast'!U115</f>
        <v>70282513.582981378</v>
      </c>
      <c r="V115" s="4">
        <f>'D3 Gallon Forecast'!V115</f>
        <v>81430992.92767714</v>
      </c>
      <c r="W115" s="4">
        <f>'D3 Gallon Forecast'!W115</f>
        <v>89866181.077037334</v>
      </c>
      <c r="X115" s="4">
        <f>'D3 Gallon Forecast'!X115</f>
        <v>100809705.06258187</v>
      </c>
      <c r="Y115" s="4">
        <f>'D3 Gallon Forecast'!Y115</f>
        <v>117857506.14463775</v>
      </c>
      <c r="Z115" s="4">
        <f>'D3 Gallon Forecast'!Z115</f>
        <v>134796346.91708651</v>
      </c>
      <c r="AA115" s="4">
        <f>'D3 Gallon Forecast'!AA115</f>
        <v>155585360.79725149</v>
      </c>
      <c r="AB115" s="4">
        <f>'D3 Gallon Forecast'!AB115</f>
        <v>181241743.78114846</v>
      </c>
      <c r="AC115" s="4">
        <f>'D3 Gallon Forecast'!AC115</f>
        <v>209564000.27355146</v>
      </c>
      <c r="AD115" s="4">
        <f>'D3 Gallon Forecast'!AD115</f>
        <v>240694948.77941814</v>
      </c>
      <c r="AE115" s="4">
        <f>'D3 Gallon Forecast'!AE115</f>
        <v>276478595.12711644</v>
      </c>
      <c r="AF115" s="4">
        <f>'D3 Gallon Forecast'!AF115</f>
        <v>316527078.86641854</v>
      </c>
      <c r="AG115" s="4">
        <f>'D3 Gallon Forecast'!AG115</f>
        <v>360194776.82852298</v>
      </c>
    </row>
    <row r="116" spans="1:33">
      <c r="A116" s="2" t="s">
        <v>54</v>
      </c>
      <c r="B116" s="3">
        <f>'Monthly D3 RIN Data'!$H15</f>
        <v>0</v>
      </c>
      <c r="C116" s="3">
        <f>'Monthly D3 RIN Data'!$H27</f>
        <v>0</v>
      </c>
      <c r="D116" s="3">
        <f>'Monthly D3 RIN Data'!$H39</f>
        <v>0</v>
      </c>
      <c r="E116" s="3">
        <f>'Monthly D3 RIN Data'!$H51</f>
        <v>0</v>
      </c>
      <c r="F116" s="3">
        <f>'Monthly D3 RIN Data'!$H63</f>
        <v>4468597</v>
      </c>
      <c r="G116" s="3">
        <f>'Monthly D3 RIN Data'!$H75</f>
        <v>15980402</v>
      </c>
      <c r="H116" s="3">
        <f>'Monthly D3 RIN Data'!$H87</f>
        <v>19778727</v>
      </c>
      <c r="I116" s="3">
        <f>'Monthly D3 RIN Data'!$H99</f>
        <v>31879631</v>
      </c>
      <c r="J116" s="3">
        <f>'Monthly D3 RIN Data'!$H111</f>
        <v>42259874</v>
      </c>
      <c r="K116" s="3">
        <f>'Monthly D3 RIN Data'!$H123</f>
        <v>53324240</v>
      </c>
      <c r="L116" s="3">
        <f>'Monthly D3 RIN Data'!$H135</f>
        <v>71993431</v>
      </c>
      <c r="M116" s="3">
        <f>'Monthly D3 RIN Data'!$H147</f>
        <v>80701265</v>
      </c>
      <c r="N116" s="3">
        <f>'Monthly D3 RIN Data'!$H159</f>
        <v>96324317</v>
      </c>
      <c r="O116" s="3">
        <f>'Monthly D3 RIN Data'!$H171</f>
        <v>54215978</v>
      </c>
      <c r="P116" s="4">
        <f>'D3 Gallon Forecast'!P116</f>
        <v>68235417</v>
      </c>
      <c r="Q116" s="4">
        <f>'D3 Gallon Forecast'!Q116</f>
        <v>95061188.60533905</v>
      </c>
      <c r="R116" s="4">
        <f>'D3 Gallon Forecast'!R116</f>
        <v>108993951.58919764</v>
      </c>
      <c r="S116" s="4">
        <f>'D3 Gallon Forecast'!S116</f>
        <v>107845964.95548338</v>
      </c>
      <c r="T116" s="4">
        <f>'D3 Gallon Forecast'!T116</f>
        <v>107398197.09916306</v>
      </c>
      <c r="U116" s="4">
        <f>'D3 Gallon Forecast'!U116</f>
        <v>114902461.01781893</v>
      </c>
      <c r="V116" s="4">
        <f>'D3 Gallon Forecast'!V116</f>
        <v>143398560.83409321</v>
      </c>
      <c r="W116" s="4">
        <f>'D3 Gallon Forecast'!W116</f>
        <v>148520429.52036011</v>
      </c>
      <c r="X116" s="4">
        <f>'D3 Gallon Forecast'!X116</f>
        <v>159217630.34996331</v>
      </c>
      <c r="Y116" s="4">
        <f>'D3 Gallon Forecast'!Y116</f>
        <v>176854748.96775043</v>
      </c>
      <c r="Z116" s="4">
        <f>'D3 Gallon Forecast'!Z116</f>
        <v>191070075.29692066</v>
      </c>
      <c r="AA116" s="4">
        <f>'D3 Gallon Forecast'!AA116</f>
        <v>207726938.91153145</v>
      </c>
      <c r="AB116" s="4">
        <f>'D3 Gallon Forecast'!AB116</f>
        <v>222272521.26450586</v>
      </c>
      <c r="AC116" s="4">
        <f>'D3 Gallon Forecast'!AC116</f>
        <v>234111749.34197021</v>
      </c>
      <c r="AD116" s="4">
        <f>'D3 Gallon Forecast'!AD116</f>
        <v>241631231.49289203</v>
      </c>
      <c r="AE116" s="4">
        <f>'D3 Gallon Forecast'!AE116</f>
        <v>244978307.85110497</v>
      </c>
      <c r="AF116" s="4">
        <f>'D3 Gallon Forecast'!AF116</f>
        <v>242013348.54793501</v>
      </c>
      <c r="AG116" s="4">
        <f>'D3 Gallon Forecast'!AG116</f>
        <v>230081426.71494675</v>
      </c>
    </row>
    <row r="117" spans="1:33" ht="15.75" thickBot="1">
      <c r="A117" s="2" t="s">
        <v>29</v>
      </c>
      <c r="B117" s="3">
        <f>SUM(B105:B116)</f>
        <v>0</v>
      </c>
      <c r="C117" s="3">
        <f t="shared" ref="C117:O117" si="32">SUM(C105:C116)</f>
        <v>0</v>
      </c>
      <c r="D117" s="3">
        <f t="shared" si="32"/>
        <v>0</v>
      </c>
      <c r="E117" s="3">
        <f t="shared" si="32"/>
        <v>0</v>
      </c>
      <c r="F117" s="3">
        <f t="shared" si="32"/>
        <v>15208068</v>
      </c>
      <c r="G117" s="3">
        <f t="shared" si="32"/>
        <v>70454732</v>
      </c>
      <c r="H117" s="3">
        <f t="shared" si="32"/>
        <v>116415265</v>
      </c>
      <c r="I117" s="3">
        <f t="shared" si="32"/>
        <v>155484808</v>
      </c>
      <c r="J117" s="3">
        <f t="shared" si="32"/>
        <v>213192231</v>
      </c>
      <c r="K117" s="3">
        <f t="shared" si="32"/>
        <v>316914858</v>
      </c>
      <c r="L117" s="3">
        <f t="shared" si="32"/>
        <v>387989118</v>
      </c>
      <c r="M117" s="3">
        <f t="shared" si="32"/>
        <v>450719483</v>
      </c>
      <c r="N117" s="3">
        <f t="shared" si="32"/>
        <v>546094740</v>
      </c>
      <c r="O117" s="3">
        <f t="shared" si="32"/>
        <v>618273987</v>
      </c>
      <c r="P117" s="4">
        <f>SUM(P105:P116)</f>
        <v>796148191</v>
      </c>
      <c r="Q117" s="4">
        <f t="shared" ref="Q117:AG117" si="33">SUM(Q105:Q116)</f>
        <v>438462762.90460408</v>
      </c>
      <c r="R117" s="4">
        <f t="shared" si="33"/>
        <v>603788635.63924885</v>
      </c>
      <c r="S117" s="4">
        <f t="shared" si="33"/>
        <v>604446563.14959896</v>
      </c>
      <c r="T117" s="4">
        <f t="shared" si="33"/>
        <v>611505325.15157568</v>
      </c>
      <c r="U117" s="4">
        <f t="shared" si="33"/>
        <v>675474455.72832429</v>
      </c>
      <c r="V117" s="4">
        <f t="shared" si="33"/>
        <v>775301289.20597219</v>
      </c>
      <c r="W117" s="4">
        <f t="shared" si="33"/>
        <v>838593915.09608209</v>
      </c>
      <c r="X117" s="4">
        <f t="shared" si="33"/>
        <v>924405320.59871376</v>
      </c>
      <c r="Y117" s="4">
        <f t="shared" si="33"/>
        <v>1061276082.7931564</v>
      </c>
      <c r="Z117" s="4">
        <f t="shared" si="33"/>
        <v>1192447477.6311316</v>
      </c>
      <c r="AA117" s="4">
        <f t="shared" si="33"/>
        <v>1353122436.1453283</v>
      </c>
      <c r="AB117" s="4">
        <f t="shared" si="33"/>
        <v>1547623939.3733158</v>
      </c>
      <c r="AC117" s="4">
        <f t="shared" si="33"/>
        <v>1757594210.4722273</v>
      </c>
      <c r="AD117" s="4">
        <f t="shared" si="33"/>
        <v>1982961223.4244819</v>
      </c>
      <c r="AE117" s="4">
        <f t="shared" si="33"/>
        <v>2237517079.6210251</v>
      </c>
      <c r="AF117" s="4">
        <f t="shared" si="33"/>
        <v>2516592363.4272799</v>
      </c>
      <c r="AG117" s="4">
        <f t="shared" si="33"/>
        <v>2813324133.4608636</v>
      </c>
    </row>
    <row r="118" spans="1:33">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c r="AD118" s="114"/>
      <c r="AE118" s="114"/>
      <c r="AF118" s="114"/>
      <c r="AG118" s="114"/>
    </row>
    <row r="119" spans="1:33" ht="16.5" thickBot="1">
      <c r="A119" s="109" t="s">
        <v>248</v>
      </c>
    </row>
    <row r="120" spans="1:33" ht="15.75" thickBot="1">
      <c r="A120" s="110"/>
      <c r="B120" s="111">
        <v>2010</v>
      </c>
      <c r="C120" s="111">
        <v>2011</v>
      </c>
      <c r="D120" s="111">
        <v>2012</v>
      </c>
      <c r="E120" s="111">
        <v>2013</v>
      </c>
      <c r="F120" s="111">
        <v>2014</v>
      </c>
      <c r="G120" s="111">
        <v>2015</v>
      </c>
      <c r="H120" s="111">
        <v>2016</v>
      </c>
      <c r="I120" s="111">
        <v>2017</v>
      </c>
      <c r="J120" s="111">
        <v>2018</v>
      </c>
      <c r="K120" s="111">
        <v>2019</v>
      </c>
      <c r="L120" s="111">
        <v>2020</v>
      </c>
      <c r="M120" s="111">
        <v>2021</v>
      </c>
      <c r="N120" s="111">
        <v>2022</v>
      </c>
      <c r="O120" s="111">
        <v>2023</v>
      </c>
      <c r="P120" s="111">
        <v>2024</v>
      </c>
      <c r="Q120" s="111">
        <v>2025</v>
      </c>
      <c r="R120" s="111">
        <v>2026</v>
      </c>
      <c r="S120" s="111">
        <v>2027</v>
      </c>
      <c r="T120" s="111">
        <v>2028</v>
      </c>
      <c r="U120" s="111">
        <v>2029</v>
      </c>
      <c r="V120" s="111">
        <v>2030</v>
      </c>
      <c r="W120" s="111">
        <v>2031</v>
      </c>
      <c r="X120" s="111">
        <v>2032</v>
      </c>
      <c r="Y120" s="111">
        <v>2033</v>
      </c>
      <c r="Z120" s="111">
        <v>2034</v>
      </c>
      <c r="AA120" s="111">
        <v>2035</v>
      </c>
      <c r="AB120" s="111">
        <v>2036</v>
      </c>
      <c r="AC120" s="111">
        <v>2037</v>
      </c>
      <c r="AD120" s="111">
        <v>2038</v>
      </c>
      <c r="AE120" s="111">
        <v>2039</v>
      </c>
      <c r="AF120" s="111">
        <v>2040</v>
      </c>
      <c r="AG120" s="111">
        <v>2041</v>
      </c>
    </row>
    <row r="121" spans="1:33">
      <c r="A121" s="2" t="s">
        <v>43</v>
      </c>
      <c r="B121" s="3">
        <f>'Monthly D3 RIN Data'!$I4</f>
        <v>0</v>
      </c>
      <c r="C121" s="3">
        <f>'Monthly D3 RIN Data'!$I16</f>
        <v>0</v>
      </c>
      <c r="D121" s="3">
        <f>'Monthly D3 RIN Data'!$I28</f>
        <v>0</v>
      </c>
      <c r="E121" s="3">
        <f>'Monthly D3 RIN Data'!$I40</f>
        <v>0</v>
      </c>
      <c r="F121" s="3">
        <f>'Monthly D3 RIN Data'!$I52</f>
        <v>0</v>
      </c>
      <c r="G121" s="3">
        <f>'Monthly D3 RIN Data'!$I64</f>
        <v>0</v>
      </c>
      <c r="H121" s="3">
        <f>'Monthly D3 RIN Data'!$I76</f>
        <v>0</v>
      </c>
      <c r="I121" s="3">
        <f>'Monthly D3 RIN Data'!$I88</f>
        <v>0</v>
      </c>
      <c r="J121" s="3">
        <f>'Monthly D3 RIN Data'!$I100</f>
        <v>0</v>
      </c>
      <c r="K121" s="3">
        <f>'Monthly D3 RIN Data'!$I112</f>
        <v>0</v>
      </c>
      <c r="L121" s="3">
        <f>'Monthly D3 RIN Data'!$I124</f>
        <v>0</v>
      </c>
      <c r="M121" s="3">
        <f>'Monthly D3 RIN Data'!$I136</f>
        <v>0</v>
      </c>
      <c r="N121" s="3">
        <f>'Monthly D3 RIN Data'!$I148</f>
        <v>0</v>
      </c>
      <c r="O121" s="3">
        <f>'Monthly D3 RIN Data'!$I160</f>
        <v>0</v>
      </c>
      <c r="P121" s="3">
        <f>'Monthly D3 RIN Data'!$I172</f>
        <v>0</v>
      </c>
      <c r="Q121" s="4">
        <f>'D3 Gallon Forecast'!Q121</f>
        <v>0</v>
      </c>
      <c r="R121" s="4">
        <f>'D3 Gallon Forecast'!R121</f>
        <v>0</v>
      </c>
      <c r="S121" s="4">
        <f>'D3 Gallon Forecast'!S121</f>
        <v>0</v>
      </c>
      <c r="T121" s="4">
        <f>'D3 Gallon Forecast'!T121</f>
        <v>0</v>
      </c>
      <c r="U121" s="4">
        <f>'D3 Gallon Forecast'!U121</f>
        <v>0</v>
      </c>
      <c r="V121" s="4">
        <f>'D3 Gallon Forecast'!V121</f>
        <v>0</v>
      </c>
      <c r="W121" s="4">
        <f>'D3 Gallon Forecast'!W121</f>
        <v>0</v>
      </c>
      <c r="X121" s="4">
        <f>'D3 Gallon Forecast'!X121</f>
        <v>0</v>
      </c>
      <c r="Y121" s="4">
        <f>'D3 Gallon Forecast'!Y121</f>
        <v>0</v>
      </c>
      <c r="Z121" s="4">
        <f>'D3 Gallon Forecast'!Z121</f>
        <v>0</v>
      </c>
      <c r="AA121" s="4">
        <f>'D3 Gallon Forecast'!AA121</f>
        <v>0</v>
      </c>
      <c r="AB121" s="4">
        <f>'D3 Gallon Forecast'!AB121</f>
        <v>0</v>
      </c>
      <c r="AC121" s="4">
        <f>'D3 Gallon Forecast'!AC121</f>
        <v>0</v>
      </c>
      <c r="AD121" s="4">
        <f>'D3 Gallon Forecast'!AD121</f>
        <v>0</v>
      </c>
      <c r="AE121" s="4">
        <f>'D3 Gallon Forecast'!AE121</f>
        <v>0</v>
      </c>
      <c r="AF121" s="4">
        <f>'D3 Gallon Forecast'!AF121</f>
        <v>0</v>
      </c>
      <c r="AG121" s="4">
        <f>'D3 Gallon Forecast'!AG121</f>
        <v>0</v>
      </c>
    </row>
    <row r="122" spans="1:33">
      <c r="A122" s="2" t="s">
        <v>44</v>
      </c>
      <c r="B122" s="3">
        <f>'Monthly D3 RIN Data'!$I5</f>
        <v>0</v>
      </c>
      <c r="C122" s="3">
        <f>'Monthly D3 RIN Data'!$I17</f>
        <v>0</v>
      </c>
      <c r="D122" s="3">
        <f>'Monthly D3 RIN Data'!$I29</f>
        <v>0</v>
      </c>
      <c r="E122" s="3">
        <f>'Monthly D3 RIN Data'!$I41</f>
        <v>0</v>
      </c>
      <c r="F122" s="3">
        <f>'Monthly D3 RIN Data'!$I53</f>
        <v>0</v>
      </c>
      <c r="G122" s="3">
        <f>'Monthly D3 RIN Data'!$I65</f>
        <v>0</v>
      </c>
      <c r="H122" s="3">
        <f>'Monthly D3 RIN Data'!$I77</f>
        <v>0</v>
      </c>
      <c r="I122" s="3">
        <f>'Monthly D3 RIN Data'!$I89</f>
        <v>0</v>
      </c>
      <c r="J122" s="3">
        <f>'Monthly D3 RIN Data'!$I101</f>
        <v>860031</v>
      </c>
      <c r="K122" s="3">
        <f>'Monthly D3 RIN Data'!$I113</f>
        <v>1049497</v>
      </c>
      <c r="L122" s="3">
        <f>'Monthly D3 RIN Data'!$I125</f>
        <v>819385</v>
      </c>
      <c r="M122" s="3">
        <f>'Monthly D3 RIN Data'!$I137</f>
        <v>2921276</v>
      </c>
      <c r="N122" s="3">
        <f>'Monthly D3 RIN Data'!$I149</f>
        <v>2668975</v>
      </c>
      <c r="O122" s="3">
        <f>'Monthly D3 RIN Data'!$I161</f>
        <v>277538</v>
      </c>
      <c r="P122" s="3">
        <f>'Monthly D3 RIN Data'!$I173</f>
        <v>658357</v>
      </c>
      <c r="Q122" s="4">
        <f>'D3 Gallon Forecast'!Q122</f>
        <v>0</v>
      </c>
      <c r="R122" s="4">
        <f>'D3 Gallon Forecast'!R122</f>
        <v>1014441.6896321853</v>
      </c>
      <c r="S122" s="4">
        <f>'D3 Gallon Forecast'!S122</f>
        <v>682937.33465639106</v>
      </c>
      <c r="T122" s="4">
        <f>'D3 Gallon Forecast'!T122</f>
        <v>386504.8990125925</v>
      </c>
      <c r="U122" s="4">
        <f>'D3 Gallon Forecast'!U122</f>
        <v>454838.05037960468</v>
      </c>
      <c r="V122" s="4">
        <f>'D3 Gallon Forecast'!V122</f>
        <v>503192.9011578412</v>
      </c>
      <c r="W122" s="4">
        <f>'D3 Gallon Forecast'!W122</f>
        <v>584983.62977665535</v>
      </c>
      <c r="X122" s="4">
        <f>'D3 Gallon Forecast'!X122</f>
        <v>516707.72844381264</v>
      </c>
      <c r="Y122" s="4">
        <f>'D3 Gallon Forecast'!Y122</f>
        <v>509006.31239156297</v>
      </c>
      <c r="Z122" s="4">
        <f>'D3 Gallon Forecast'!Z122</f>
        <v>537374.97881762125</v>
      </c>
      <c r="AA122" s="4">
        <f>'D3 Gallon Forecast'!AA122</f>
        <v>561477.80720656435</v>
      </c>
      <c r="AB122" s="4">
        <f>'D3 Gallon Forecast'!AB122</f>
        <v>585682.40381042915</v>
      </c>
      <c r="AC122" s="4">
        <f>'D3 Gallon Forecast'!AC122</f>
        <v>587713.78204005328</v>
      </c>
      <c r="AD122" s="4">
        <f>'D3 Gallon Forecast'!AD122</f>
        <v>598423.4156743926</v>
      </c>
      <c r="AE122" s="4">
        <f>'D3 Gallon Forecast'!AE122</f>
        <v>614952.52098748181</v>
      </c>
      <c r="AF122" s="4">
        <f>'D3 Gallon Forecast'!AF122</f>
        <v>626733.97368489054</v>
      </c>
      <c r="AG122" s="4">
        <f>'D3 Gallon Forecast'!AG122</f>
        <v>633170.10557793058</v>
      </c>
    </row>
    <row r="123" spans="1:33">
      <c r="A123" s="2" t="s">
        <v>45</v>
      </c>
      <c r="B123" s="3">
        <f>'Monthly D3 RIN Data'!$I6</f>
        <v>0</v>
      </c>
      <c r="C123" s="3">
        <f>'Monthly D3 RIN Data'!$I18</f>
        <v>0</v>
      </c>
      <c r="D123" s="3">
        <f>'Monthly D3 RIN Data'!$I30</f>
        <v>0</v>
      </c>
      <c r="E123" s="3">
        <f>'Monthly D3 RIN Data'!$I42</f>
        <v>0</v>
      </c>
      <c r="F123" s="3">
        <f>'Monthly D3 RIN Data'!$I54</f>
        <v>0</v>
      </c>
      <c r="G123" s="3">
        <f>'Monthly D3 RIN Data'!$I66</f>
        <v>0</v>
      </c>
      <c r="H123" s="3">
        <f>'Monthly D3 RIN Data'!$I78</f>
        <v>0</v>
      </c>
      <c r="I123" s="3">
        <f>'Monthly D3 RIN Data'!$I90</f>
        <v>0</v>
      </c>
      <c r="J123" s="3">
        <f>'Monthly D3 RIN Data'!$I102</f>
        <v>741867</v>
      </c>
      <c r="K123" s="3">
        <f>'Monthly D3 RIN Data'!$I114</f>
        <v>785481</v>
      </c>
      <c r="L123" s="3">
        <f>'Monthly D3 RIN Data'!$I126</f>
        <v>782326</v>
      </c>
      <c r="M123" s="3">
        <f>'Monthly D3 RIN Data'!$I138</f>
        <v>2817231</v>
      </c>
      <c r="N123" s="3">
        <f>'Monthly D3 RIN Data'!$I150</f>
        <v>2618524</v>
      </c>
      <c r="O123" s="3">
        <f>'Monthly D3 RIN Data'!$I162</f>
        <v>84835</v>
      </c>
      <c r="P123" s="3">
        <f>'Monthly D3 RIN Data'!$I174</f>
        <v>608704</v>
      </c>
      <c r="Q123" s="4">
        <f>'D3 Gallon Forecast'!Q123</f>
        <v>1058588.1803984686</v>
      </c>
      <c r="R123" s="4">
        <f>'D3 Gallon Forecast'!R123</f>
        <v>1117303.7415896761</v>
      </c>
      <c r="S123" s="4">
        <f>'D3 Gallon Forecast'!S123</f>
        <v>811360.99032872077</v>
      </c>
      <c r="T123" s="4">
        <f>'D3 Gallon Forecast'!T123</f>
        <v>540256.76524141803</v>
      </c>
      <c r="U123" s="4">
        <f>'D3 Gallon Forecast'!U123</f>
        <v>686047.43991250254</v>
      </c>
      <c r="V123" s="4">
        <f>'D3 Gallon Forecast'!V123</f>
        <v>835157.23742697621</v>
      </c>
      <c r="W123" s="4">
        <f>'D3 Gallon Forecast'!W123</f>
        <v>767331.95663447795</v>
      </c>
      <c r="X123" s="4">
        <f>'D3 Gallon Forecast'!X123</f>
        <v>719972.05657858192</v>
      </c>
      <c r="Y123" s="4">
        <f>'D3 Gallon Forecast'!Y123</f>
        <v>738420.377191426</v>
      </c>
      <c r="Z123" s="4">
        <f>'D3 Gallon Forecast'!Z123</f>
        <v>783853.11357848649</v>
      </c>
      <c r="AA123" s="4">
        <f>'D3 Gallon Forecast'!AA123</f>
        <v>814227.46635824593</v>
      </c>
      <c r="AB123" s="4">
        <f>'D3 Gallon Forecast'!AB123</f>
        <v>826533.89282589429</v>
      </c>
      <c r="AC123" s="4">
        <f>'D3 Gallon Forecast'!AC123</f>
        <v>842024.65548225387</v>
      </c>
      <c r="AD123" s="4">
        <f>'D3 Gallon Forecast'!AD123</f>
        <v>861740.88469362049</v>
      </c>
      <c r="AE123" s="4">
        <f>'D3 Gallon Forecast'!AE123</f>
        <v>884377.37011098617</v>
      </c>
      <c r="AF123" s="4">
        <f>'D3 Gallon Forecast'!AF123</f>
        <v>898973.30291507603</v>
      </c>
      <c r="AG123" s="4">
        <f>'D3 Gallon Forecast'!AG123</f>
        <v>906344.37292378349</v>
      </c>
    </row>
    <row r="124" spans="1:33">
      <c r="A124" s="2" t="s">
        <v>46</v>
      </c>
      <c r="B124" s="3">
        <f>'Monthly D3 RIN Data'!$I7</f>
        <v>0</v>
      </c>
      <c r="C124" s="3">
        <f>'Monthly D3 RIN Data'!$I19</f>
        <v>0</v>
      </c>
      <c r="D124" s="3">
        <f>'Monthly D3 RIN Data'!$I31</f>
        <v>0</v>
      </c>
      <c r="E124" s="3">
        <f>'Monthly D3 RIN Data'!$I43</f>
        <v>0</v>
      </c>
      <c r="F124" s="3">
        <f>'Monthly D3 RIN Data'!$I55</f>
        <v>0</v>
      </c>
      <c r="G124" s="3">
        <f>'Monthly D3 RIN Data'!$I67</f>
        <v>0</v>
      </c>
      <c r="H124" s="3">
        <f>'Monthly D3 RIN Data'!$I79</f>
        <v>0</v>
      </c>
      <c r="I124" s="3">
        <f>'Monthly D3 RIN Data'!$I91</f>
        <v>0</v>
      </c>
      <c r="J124" s="3">
        <f>'Monthly D3 RIN Data'!$I103</f>
        <v>961472</v>
      </c>
      <c r="K124" s="3">
        <f>'Monthly D3 RIN Data'!$I115</f>
        <v>925962</v>
      </c>
      <c r="L124" s="3">
        <f>'Monthly D3 RIN Data'!$I127</f>
        <v>847999</v>
      </c>
      <c r="M124" s="3">
        <f>'Monthly D3 RIN Data'!$I139</f>
        <v>3158143</v>
      </c>
      <c r="N124" s="3">
        <f>'Monthly D3 RIN Data'!$I151</f>
        <v>2802900</v>
      </c>
      <c r="O124" s="3">
        <f>'Monthly D3 RIN Data'!$I163</f>
        <v>201463</v>
      </c>
      <c r="P124" s="3">
        <f>'Monthly D3 RIN Data'!$I175</f>
        <v>643933</v>
      </c>
      <c r="Q124" s="4">
        <f>'D3 Gallon Forecast'!Q124</f>
        <v>1172358.6647403785</v>
      </c>
      <c r="R124" s="4">
        <f>'D3 Gallon Forecast'!R124</f>
        <v>1240245.7720456396</v>
      </c>
      <c r="S124" s="4">
        <f>'D3 Gallon Forecast'!S124</f>
        <v>896067.52434711461</v>
      </c>
      <c r="T124" s="4">
        <f>'D3 Gallon Forecast'!T124</f>
        <v>609722.95439058193</v>
      </c>
      <c r="U124" s="4">
        <f>'D3 Gallon Forecast'!U124</f>
        <v>756724.29678103444</v>
      </c>
      <c r="V124" s="4">
        <f>'D3 Gallon Forecast'!V124</f>
        <v>926642.15463012201</v>
      </c>
      <c r="W124" s="4">
        <f>'D3 Gallon Forecast'!W124</f>
        <v>851808.21196047741</v>
      </c>
      <c r="X124" s="4">
        <f>'D3 Gallon Forecast'!X124</f>
        <v>799246.86499112926</v>
      </c>
      <c r="Y124" s="4">
        <f>'D3 Gallon Forecast'!Y124</f>
        <v>820690.09432482044</v>
      </c>
      <c r="Z124" s="4">
        <f>'D3 Gallon Forecast'!Z124</f>
        <v>869244.41958301212</v>
      </c>
      <c r="AA124" s="4">
        <f>'D3 Gallon Forecast'!AA124</f>
        <v>903787.44365747622</v>
      </c>
      <c r="AB124" s="4">
        <f>'D3 Gallon Forecast'!AB124</f>
        <v>917529.03553659632</v>
      </c>
      <c r="AC124" s="4">
        <f>'D3 Gallon Forecast'!AC124</f>
        <v>934725.47468601214</v>
      </c>
      <c r="AD124" s="4">
        <f>'D3 Gallon Forecast'!AD124</f>
        <v>956609.93038384384</v>
      </c>
      <c r="AE124" s="4">
        <f>'D3 Gallon Forecast'!AE124</f>
        <v>981529.16897618165</v>
      </c>
      <c r="AF124" s="4">
        <f>'D3 Gallon Forecast'!AF124</f>
        <v>997881.05310799833</v>
      </c>
      <c r="AG124" s="4">
        <f>'D3 Gallon Forecast'!AG124</f>
        <v>1006068.1070258279</v>
      </c>
    </row>
    <row r="125" spans="1:33">
      <c r="A125" s="2" t="s">
        <v>47</v>
      </c>
      <c r="B125" s="3">
        <f>'Monthly D3 RIN Data'!$I8</f>
        <v>0</v>
      </c>
      <c r="C125" s="3">
        <f>'Monthly D3 RIN Data'!$I20</f>
        <v>0</v>
      </c>
      <c r="D125" s="3">
        <f>'Monthly D3 RIN Data'!$I32</f>
        <v>0</v>
      </c>
      <c r="E125" s="3">
        <f>'Monthly D3 RIN Data'!$I44</f>
        <v>0</v>
      </c>
      <c r="F125" s="3">
        <f>'Monthly D3 RIN Data'!$I56</f>
        <v>0</v>
      </c>
      <c r="G125" s="3">
        <f>'Monthly D3 RIN Data'!$I68</f>
        <v>0</v>
      </c>
      <c r="H125" s="3">
        <f>'Monthly D3 RIN Data'!$I80</f>
        <v>0</v>
      </c>
      <c r="I125" s="3">
        <f>'Monthly D3 RIN Data'!$I92</f>
        <v>0</v>
      </c>
      <c r="J125" s="3">
        <f>'Monthly D3 RIN Data'!$I104</f>
        <v>392582</v>
      </c>
      <c r="K125" s="3">
        <f>'Monthly D3 RIN Data'!$I116</f>
        <v>809299</v>
      </c>
      <c r="L125" s="3">
        <f>'Monthly D3 RIN Data'!$I128</f>
        <v>978254</v>
      </c>
      <c r="M125" s="3">
        <f>'Monthly D3 RIN Data'!$I140</f>
        <v>3056702</v>
      </c>
      <c r="N125" s="3">
        <f>'Monthly D3 RIN Data'!$I152</f>
        <v>2847030</v>
      </c>
      <c r="O125" s="3">
        <f>'Monthly D3 RIN Data'!$I164</f>
        <v>350915</v>
      </c>
      <c r="P125" s="3">
        <f>'Monthly D3 RIN Data'!$I176</f>
        <v>343269</v>
      </c>
      <c r="Q125" s="4">
        <f>'D3 Gallon Forecast'!Q125</f>
        <v>1160371.0873412408</v>
      </c>
      <c r="R125" s="4">
        <f>'D3 Gallon Forecast'!R125</f>
        <v>1527560.751977724</v>
      </c>
      <c r="S125" s="4">
        <f>'D3 Gallon Forecast'!S125</f>
        <v>1166526.0152435449</v>
      </c>
      <c r="T125" s="4">
        <f>'D3 Gallon Forecast'!T125</f>
        <v>845674.10617852537</v>
      </c>
      <c r="U125" s="4">
        <f>'D3 Gallon Forecast'!U125</f>
        <v>1059587.9735854205</v>
      </c>
      <c r="V125" s="4">
        <f>'D3 Gallon Forecast'!V125</f>
        <v>1446049.2079474283</v>
      </c>
      <c r="W125" s="4">
        <f>'D3 Gallon Forecast'!W125</f>
        <v>1472596.962098974</v>
      </c>
      <c r="X125" s="4">
        <f>'D3 Gallon Forecast'!X125</f>
        <v>1500778.1082026516</v>
      </c>
      <c r="Y125" s="4">
        <f>'D3 Gallon Forecast'!Y125</f>
        <v>1666969.7211848104</v>
      </c>
      <c r="Z125" s="4">
        <f>'D3 Gallon Forecast'!Z125</f>
        <v>1893579.1993787033</v>
      </c>
      <c r="AA125" s="4">
        <f>'D3 Gallon Forecast'!AA125</f>
        <v>2140637.5581057398</v>
      </c>
      <c r="AB125" s="4">
        <f>'D3 Gallon Forecast'!AB125</f>
        <v>2375061.2185779526</v>
      </c>
      <c r="AC125" s="4">
        <f>'D3 Gallon Forecast'!AC125</f>
        <v>2630568.6790551357</v>
      </c>
      <c r="AD125" s="4">
        <f>'D3 Gallon Forecast'!AD125</f>
        <v>2918034.4956676518</v>
      </c>
      <c r="AE125" s="4">
        <f>'D3 Gallon Forecast'!AE125</f>
        <v>3244699.8511226876</v>
      </c>
      <c r="AF125" s="4">
        <f>'D3 Gallon Forecast'!AF125</f>
        <v>3583659.7281334824</v>
      </c>
      <c r="AG125" s="4">
        <f>'D3 Gallon Forecast'!AG125</f>
        <v>3926108.3332268386</v>
      </c>
    </row>
    <row r="126" spans="1:33">
      <c r="A126" s="2" t="s">
        <v>48</v>
      </c>
      <c r="B126" s="3">
        <f>'Monthly D3 RIN Data'!$I9</f>
        <v>0</v>
      </c>
      <c r="C126" s="3">
        <f>'Monthly D3 RIN Data'!$I21</f>
        <v>0</v>
      </c>
      <c r="D126" s="3">
        <f>'Monthly D3 RIN Data'!$I33</f>
        <v>0</v>
      </c>
      <c r="E126" s="3">
        <f>'Monthly D3 RIN Data'!$I45</f>
        <v>0</v>
      </c>
      <c r="F126" s="3">
        <f>'Monthly D3 RIN Data'!$I57</f>
        <v>0</v>
      </c>
      <c r="G126" s="3">
        <f>'Monthly D3 RIN Data'!$I69</f>
        <v>1723816</v>
      </c>
      <c r="H126" s="3">
        <f>'Monthly D3 RIN Data'!$I81</f>
        <v>0</v>
      </c>
      <c r="I126" s="3">
        <f>'Monthly D3 RIN Data'!$I93</f>
        <v>0</v>
      </c>
      <c r="J126" s="3">
        <f>'Monthly D3 RIN Data'!$I105</f>
        <v>228611</v>
      </c>
      <c r="K126" s="3">
        <f>'Monthly D3 RIN Data'!$I117</f>
        <v>1036914</v>
      </c>
      <c r="L126" s="3">
        <f>'Monthly D3 RIN Data'!$I129</f>
        <v>1727545</v>
      </c>
      <c r="M126" s="3">
        <f>'Monthly D3 RIN Data'!$I141</f>
        <v>2702538</v>
      </c>
      <c r="N126" s="3">
        <f>'Monthly D3 RIN Data'!$I153</f>
        <v>3009512</v>
      </c>
      <c r="O126" s="3">
        <f>'Monthly D3 RIN Data'!$I165</f>
        <v>1769716</v>
      </c>
      <c r="P126" s="3">
        <f>'Monthly D3 RIN Data'!$I177</f>
        <v>264239</v>
      </c>
      <c r="Q126" s="4">
        <f>'D3 Gallon Forecast'!Q126</f>
        <v>1450975.0328307855</v>
      </c>
      <c r="R126" s="4">
        <f>'D3 Gallon Forecast'!R126</f>
        <v>1953791.198893148</v>
      </c>
      <c r="S126" s="4">
        <f>'D3 Gallon Forecast'!S126</f>
        <v>1706994.3548077871</v>
      </c>
      <c r="T126" s="4">
        <f>'D3 Gallon Forecast'!T126</f>
        <v>1433399.5915666725</v>
      </c>
      <c r="U126" s="4">
        <f>'D3 Gallon Forecast'!U126</f>
        <v>1543556.6659410158</v>
      </c>
      <c r="V126" s="4">
        <f>'D3 Gallon Forecast'!V126</f>
        <v>2191096.9698046935</v>
      </c>
      <c r="W126" s="4">
        <f>'D3 Gallon Forecast'!W126</f>
        <v>2320399.9360355465</v>
      </c>
      <c r="X126" s="4">
        <f>'D3 Gallon Forecast'!X126</f>
        <v>2485600.3953455244</v>
      </c>
      <c r="Y126" s="4">
        <f>'D3 Gallon Forecast'!Y126</f>
        <v>2836355.5701269046</v>
      </c>
      <c r="Z126" s="4">
        <f>'D3 Gallon Forecast'!Z126</f>
        <v>3252744.4181436021</v>
      </c>
      <c r="AA126" s="4">
        <f>'D3 Gallon Forecast'!AA126</f>
        <v>3787524.3345862725</v>
      </c>
      <c r="AB126" s="4">
        <f>'D3 Gallon Forecast'!AB126</f>
        <v>4337417.5484575406</v>
      </c>
      <c r="AC126" s="4">
        <f>'D3 Gallon Forecast'!AC126</f>
        <v>4949102.121578224</v>
      </c>
      <c r="AD126" s="4">
        <f>'D3 Gallon Forecast'!AD126</f>
        <v>5635041.1278266925</v>
      </c>
      <c r="AE126" s="4">
        <f>'D3 Gallon Forecast'!AE126</f>
        <v>6429675.7646357743</v>
      </c>
      <c r="AF126" s="4">
        <f>'D3 Gallon Forecast'!AF126</f>
        <v>7303405.4250379605</v>
      </c>
      <c r="AG126" s="4">
        <f>'D3 Gallon Forecast'!AG126</f>
        <v>8228220.4033930916</v>
      </c>
    </row>
    <row r="127" spans="1:33">
      <c r="A127" s="2" t="s">
        <v>49</v>
      </c>
      <c r="B127" s="3">
        <f>'Monthly D3 RIN Data'!$I10</f>
        <v>0</v>
      </c>
      <c r="C127" s="3">
        <f>'Monthly D3 RIN Data'!$I22</f>
        <v>0</v>
      </c>
      <c r="D127" s="3">
        <f>'Monthly D3 RIN Data'!$I34</f>
        <v>0</v>
      </c>
      <c r="E127" s="3">
        <f>'Monthly D3 RIN Data'!$I46</f>
        <v>0</v>
      </c>
      <c r="F127" s="3">
        <f>'Monthly D3 RIN Data'!$I58</f>
        <v>0</v>
      </c>
      <c r="G127" s="3">
        <f>'Monthly D3 RIN Data'!$I70</f>
        <v>1779411</v>
      </c>
      <c r="H127" s="3">
        <f>'Monthly D3 RIN Data'!$I82</f>
        <v>0</v>
      </c>
      <c r="I127" s="3">
        <f>'Monthly D3 RIN Data'!$I94</f>
        <v>0</v>
      </c>
      <c r="J127" s="3">
        <f>'Monthly D3 RIN Data'!$I106</f>
        <v>196608</v>
      </c>
      <c r="K127" s="3">
        <f>'Monthly D3 RIN Data'!$I118</f>
        <v>517419</v>
      </c>
      <c r="L127" s="3">
        <f>'Monthly D3 RIN Data'!$I130</f>
        <v>1879589</v>
      </c>
      <c r="M127" s="3">
        <f>'Monthly D3 RIN Data'!$I142</f>
        <v>2718711</v>
      </c>
      <c r="N127" s="3">
        <f>'Monthly D3 RIN Data'!$I154</f>
        <v>2864410</v>
      </c>
      <c r="O127" s="3">
        <f>'Monthly D3 RIN Data'!$I166</f>
        <v>883580</v>
      </c>
      <c r="P127" s="3">
        <f>'Monthly D3 RIN Data'!$I178</f>
        <v>399982</v>
      </c>
      <c r="Q127" s="4">
        <f>'D3 Gallon Forecast'!Q127</f>
        <v>1339584.6649193787</v>
      </c>
      <c r="R127" s="4">
        <f>'D3 Gallon Forecast'!R127</f>
        <v>1743325.9050521089</v>
      </c>
      <c r="S127" s="4">
        <f>'D3 Gallon Forecast'!S127</f>
        <v>1461024.4992846439</v>
      </c>
      <c r="T127" s="4">
        <f>'D3 Gallon Forecast'!T127</f>
        <v>1168970.6674964428</v>
      </c>
      <c r="U127" s="4">
        <f>'D3 Gallon Forecast'!U127</f>
        <v>1385671.2416804631</v>
      </c>
      <c r="V127" s="4">
        <f>'D3 Gallon Forecast'!V127</f>
        <v>1922884.7797820379</v>
      </c>
      <c r="W127" s="4">
        <f>'D3 Gallon Forecast'!W127</f>
        <v>2018954.8770841206</v>
      </c>
      <c r="X127" s="4">
        <f>'D3 Gallon Forecast'!X127</f>
        <v>2150975.2715015183</v>
      </c>
      <c r="Y127" s="4">
        <f>'D3 Gallon Forecast'!Y127</f>
        <v>2459106.7437394536</v>
      </c>
      <c r="Z127" s="4">
        <f>'D3 Gallon Forecast'!Z127</f>
        <v>2841207.9443425401</v>
      </c>
      <c r="AA127" s="4">
        <f>'D3 Gallon Forecast'!AA127</f>
        <v>3297501.53653626</v>
      </c>
      <c r="AB127" s="4">
        <f>'D3 Gallon Forecast'!AB127</f>
        <v>3771740.3037613994</v>
      </c>
      <c r="AC127" s="4">
        <f>'D3 Gallon Forecast'!AC127</f>
        <v>4303301.4474033797</v>
      </c>
      <c r="AD127" s="4">
        <f>'D3 Gallon Forecast'!AD127</f>
        <v>4902757.1074348148</v>
      </c>
      <c r="AE127" s="4">
        <f>'D3 Gallon Forecast'!AE127</f>
        <v>5596662.6137250392</v>
      </c>
      <c r="AF127" s="4">
        <f>'D3 Gallon Forecast'!AF127</f>
        <v>6354323.2679248825</v>
      </c>
      <c r="AG127" s="4">
        <f>'D3 Gallon Forecast'!AG127</f>
        <v>7158335.2994162533</v>
      </c>
    </row>
    <row r="128" spans="1:33">
      <c r="A128" s="2" t="s">
        <v>50</v>
      </c>
      <c r="B128" s="3">
        <f>'Monthly D3 RIN Data'!$I11</f>
        <v>0</v>
      </c>
      <c r="C128" s="3">
        <f>'Monthly D3 RIN Data'!$I23</f>
        <v>0</v>
      </c>
      <c r="D128" s="3">
        <f>'Monthly D3 RIN Data'!$I35</f>
        <v>0</v>
      </c>
      <c r="E128" s="3">
        <f>'Monthly D3 RIN Data'!$I47</f>
        <v>0</v>
      </c>
      <c r="F128" s="3">
        <f>'Monthly D3 RIN Data'!$I59</f>
        <v>0</v>
      </c>
      <c r="G128" s="3">
        <f>'Monthly D3 RIN Data'!$I71</f>
        <v>1925457</v>
      </c>
      <c r="H128" s="3">
        <f>'Monthly D3 RIN Data'!$I83</f>
        <v>0</v>
      </c>
      <c r="I128" s="3">
        <f>'Monthly D3 RIN Data'!$I95</f>
        <v>0</v>
      </c>
      <c r="J128" s="3">
        <f>'Monthly D3 RIN Data'!$I107</f>
        <v>428514</v>
      </c>
      <c r="K128" s="3">
        <f>'Monthly D3 RIN Data'!$I119</f>
        <v>836272</v>
      </c>
      <c r="L128" s="3">
        <f>'Monthly D3 RIN Data'!$I131</f>
        <v>2537477</v>
      </c>
      <c r="M128" s="3">
        <f>'Monthly D3 RIN Data'!$I143</f>
        <v>2857925</v>
      </c>
      <c r="N128" s="3">
        <f>'Monthly D3 RIN Data'!$I155</f>
        <v>2029041</v>
      </c>
      <c r="O128" s="3">
        <f>'Monthly D3 RIN Data'!$I167</f>
        <v>384983</v>
      </c>
      <c r="P128" s="3">
        <f>'Monthly D3 RIN Data'!$I179</f>
        <v>229292</v>
      </c>
      <c r="Q128" s="4">
        <f>'D3 Gallon Forecast'!Q128</f>
        <v>1231215.237579094</v>
      </c>
      <c r="R128" s="4">
        <f>'D3 Gallon Forecast'!R128</f>
        <v>1465115.5511130572</v>
      </c>
      <c r="S128" s="4">
        <f>'D3 Gallon Forecast'!S128</f>
        <v>1105208.3399535394</v>
      </c>
      <c r="T128" s="4">
        <f>'D3 Gallon Forecast'!T128</f>
        <v>907397.89682023658</v>
      </c>
      <c r="U128" s="4">
        <f>'D3 Gallon Forecast'!U128</f>
        <v>1146701.6703236273</v>
      </c>
      <c r="V128" s="4">
        <f>'D3 Gallon Forecast'!V128</f>
        <v>1624881.4149870172</v>
      </c>
      <c r="W128" s="4">
        <f>'D3 Gallon Forecast'!W128</f>
        <v>1682505.1581685483</v>
      </c>
      <c r="X128" s="4">
        <f>'D3 Gallon Forecast'!X128</f>
        <v>1790631.4832747213</v>
      </c>
      <c r="Y128" s="4">
        <f>'D3 Gallon Forecast'!Y128</f>
        <v>2083478.6752593955</v>
      </c>
      <c r="Z128" s="4">
        <f>'D3 Gallon Forecast'!Z128</f>
        <v>2439148.9088389161</v>
      </c>
      <c r="AA128" s="4">
        <f>'D3 Gallon Forecast'!AA128</f>
        <v>2852407.8335879166</v>
      </c>
      <c r="AB128" s="4">
        <f>'D3 Gallon Forecast'!AB128</f>
        <v>3282838.6207647505</v>
      </c>
      <c r="AC128" s="4">
        <f>'D3 Gallon Forecast'!AC128</f>
        <v>3779217.58979923</v>
      </c>
      <c r="AD128" s="4">
        <f>'D3 Gallon Forecast'!AD128</f>
        <v>4348860.4684504522</v>
      </c>
      <c r="AE128" s="4">
        <f>'D3 Gallon Forecast'!AE128</f>
        <v>5009181.6309333742</v>
      </c>
      <c r="AF128" s="4">
        <f>'D3 Gallon Forecast'!AF128</f>
        <v>5735683.3730506143</v>
      </c>
      <c r="AG128" s="4">
        <f>'D3 Gallon Forecast'!AG128</f>
        <v>6517235.8878329154</v>
      </c>
    </row>
    <row r="129" spans="1:33">
      <c r="A129" s="2" t="s">
        <v>51</v>
      </c>
      <c r="B129" s="3">
        <f>'Monthly D3 RIN Data'!$I12</f>
        <v>0</v>
      </c>
      <c r="C129" s="3">
        <f>'Monthly D3 RIN Data'!$I24</f>
        <v>0</v>
      </c>
      <c r="D129" s="3">
        <f>'Monthly D3 RIN Data'!$I36</f>
        <v>0</v>
      </c>
      <c r="E129" s="3">
        <f>'Monthly D3 RIN Data'!$I48</f>
        <v>0</v>
      </c>
      <c r="F129" s="3">
        <f>'Monthly D3 RIN Data'!$I60</f>
        <v>0</v>
      </c>
      <c r="G129" s="3">
        <f>'Monthly D3 RIN Data'!$I72</f>
        <v>1936997</v>
      </c>
      <c r="H129" s="3">
        <f>'Monthly D3 RIN Data'!$I84</f>
        <v>0</v>
      </c>
      <c r="I129" s="3">
        <f>'Monthly D3 RIN Data'!$I96</f>
        <v>0</v>
      </c>
      <c r="J129" s="3">
        <f>'Monthly D3 RIN Data'!$I108</f>
        <v>260744</v>
      </c>
      <c r="K129" s="3">
        <f>'Monthly D3 RIN Data'!$I120</f>
        <v>1163627</v>
      </c>
      <c r="L129" s="3">
        <f>'Monthly D3 RIN Data'!$I132</f>
        <v>2793120</v>
      </c>
      <c r="M129" s="3">
        <f>'Monthly D3 RIN Data'!$I144</f>
        <v>2967093</v>
      </c>
      <c r="N129" s="3">
        <f>'Monthly D3 RIN Data'!$I156</f>
        <v>1997694</v>
      </c>
      <c r="O129" s="3">
        <f>'Monthly D3 RIN Data'!$I168</f>
        <v>342002</v>
      </c>
      <c r="P129" s="3">
        <f>'Monthly D3 RIN Data'!$I180</f>
        <v>328246</v>
      </c>
      <c r="Q129" s="4">
        <f>'D3 Gallon Forecast'!Q129</f>
        <v>1290861.659866465</v>
      </c>
      <c r="R129" s="4">
        <f>'D3 Gallon Forecast'!R129</f>
        <v>1507212.0105486428</v>
      </c>
      <c r="S129" s="4">
        <f>'D3 Gallon Forecast'!S129</f>
        <v>1131364.3662822065</v>
      </c>
      <c r="T129" s="4">
        <f>'D3 Gallon Forecast'!T129</f>
        <v>945181.4125638078</v>
      </c>
      <c r="U129" s="4">
        <f>'D3 Gallon Forecast'!U129</f>
        <v>1208152.6535869625</v>
      </c>
      <c r="V129" s="4">
        <f>'D3 Gallon Forecast'!V129</f>
        <v>1687908.6731608286</v>
      </c>
      <c r="W129" s="4">
        <f>'D3 Gallon Forecast'!W129</f>
        <v>1744566.6851152708</v>
      </c>
      <c r="X129" s="4">
        <f>'D3 Gallon Forecast'!X129</f>
        <v>1859989.3508191465</v>
      </c>
      <c r="Y129" s="4">
        <f>'D3 Gallon Forecast'!Y129</f>
        <v>2169030.7381641124</v>
      </c>
      <c r="Z129" s="4">
        <f>'D3 Gallon Forecast'!Z129</f>
        <v>2539152.1292389706</v>
      </c>
      <c r="AA129" s="4">
        <f>'D3 Gallon Forecast'!AA129</f>
        <v>2965073.9206093983</v>
      </c>
      <c r="AB129" s="4">
        <f>'D3 Gallon Forecast'!AB129</f>
        <v>3412855.1146136369</v>
      </c>
      <c r="AC129" s="4">
        <f>'D3 Gallon Forecast'!AC129</f>
        <v>3930281.710600046</v>
      </c>
      <c r="AD129" s="4">
        <f>'D3 Gallon Forecast'!AD129</f>
        <v>4523362.6165719675</v>
      </c>
      <c r="AE129" s="4">
        <f>'D3 Gallon Forecast'!AE129</f>
        <v>5209594.8218650594</v>
      </c>
      <c r="AF129" s="4">
        <f>'D3 Gallon Forecast'!AF129</f>
        <v>5964444.5966113992</v>
      </c>
      <c r="AG129" s="4">
        <f>'D3 Gallon Forecast'!AG129</f>
        <v>6777491.7122575343</v>
      </c>
    </row>
    <row r="130" spans="1:33">
      <c r="A130" s="2" t="s">
        <v>52</v>
      </c>
      <c r="B130" s="3">
        <f>'Monthly D3 RIN Data'!$I13</f>
        <v>0</v>
      </c>
      <c r="C130" s="3">
        <f>'Monthly D3 RIN Data'!$I25</f>
        <v>0</v>
      </c>
      <c r="D130" s="3">
        <f>'Monthly D3 RIN Data'!$I37</f>
        <v>0</v>
      </c>
      <c r="E130" s="3">
        <f>'Monthly D3 RIN Data'!$I49</f>
        <v>0</v>
      </c>
      <c r="F130" s="3">
        <f>'Monthly D3 RIN Data'!$I61</f>
        <v>0</v>
      </c>
      <c r="G130" s="3">
        <f>'Monthly D3 RIN Data'!$I73</f>
        <v>1347687</v>
      </c>
      <c r="H130" s="3">
        <f>'Monthly D3 RIN Data'!$I85</f>
        <v>0</v>
      </c>
      <c r="I130" s="3">
        <f>'Monthly D3 RIN Data'!$I97</f>
        <v>0</v>
      </c>
      <c r="J130" s="3">
        <f>'Monthly D3 RIN Data'!$I109</f>
        <v>1114044</v>
      </c>
      <c r="K130" s="3">
        <f>'Monthly D3 RIN Data'!$I121</f>
        <v>1009929</v>
      </c>
      <c r="L130" s="3">
        <f>'Monthly D3 RIN Data'!$I133</f>
        <v>2911202</v>
      </c>
      <c r="M130" s="3">
        <f>'Monthly D3 RIN Data'!$I145</f>
        <v>2634250</v>
      </c>
      <c r="N130" s="3">
        <f>'Monthly D3 RIN Data'!$I157</f>
        <v>2019647</v>
      </c>
      <c r="O130" s="3">
        <f>'Monthly D3 RIN Data'!$I169</f>
        <v>284046</v>
      </c>
      <c r="P130" s="3">
        <f>'Monthly D3 RIN Data'!$I181</f>
        <v>417385</v>
      </c>
      <c r="Q130" s="4">
        <f>'D3 Gallon Forecast'!Q130</f>
        <v>1266107.0705434261</v>
      </c>
      <c r="R130" s="4">
        <f>'D3 Gallon Forecast'!R130</f>
        <v>1440955.1507202927</v>
      </c>
      <c r="S130" s="4">
        <f>'D3 Gallon Forecast'!S130</f>
        <v>1123524.8473143508</v>
      </c>
      <c r="T130" s="4">
        <f>'D3 Gallon Forecast'!T130</f>
        <v>931276.44053267455</v>
      </c>
      <c r="U130" s="4">
        <f>'D3 Gallon Forecast'!U130</f>
        <v>1202668.5853959746</v>
      </c>
      <c r="V130" s="4">
        <f>'D3 Gallon Forecast'!V130</f>
        <v>1655098.2485354254</v>
      </c>
      <c r="W130" s="4">
        <f>'D3 Gallon Forecast'!W130</f>
        <v>1710563.9579804207</v>
      </c>
      <c r="X130" s="4">
        <f>'D3 Gallon Forecast'!X130</f>
        <v>1833949.1460618745</v>
      </c>
      <c r="Y130" s="4">
        <f>'D3 Gallon Forecast'!Y130</f>
        <v>2136333.4794814186</v>
      </c>
      <c r="Z130" s="4">
        <f>'D3 Gallon Forecast'!Z130</f>
        <v>2500774.9089104482</v>
      </c>
      <c r="AA130" s="4">
        <f>'D3 Gallon Forecast'!AA130</f>
        <v>2916471.2530051055</v>
      </c>
      <c r="AB130" s="4">
        <f>'D3 Gallon Forecast'!AB130</f>
        <v>3358468.8077376131</v>
      </c>
      <c r="AC130" s="4">
        <f>'D3 Gallon Forecast'!AC130</f>
        <v>3869532.6300202734</v>
      </c>
      <c r="AD130" s="4">
        <f>'D3 Gallon Forecast'!AD130</f>
        <v>4452630.4377360893</v>
      </c>
      <c r="AE130" s="4">
        <f>'D3 Gallon Forecast'!AE130</f>
        <v>5127766.0758307315</v>
      </c>
      <c r="AF130" s="4">
        <f>'D3 Gallon Forecast'!AF130</f>
        <v>5870310.975037355</v>
      </c>
      <c r="AG130" s="4">
        <f>'D3 Gallon Forecast'!AG130</f>
        <v>6671057.5965831084</v>
      </c>
    </row>
    <row r="131" spans="1:33">
      <c r="A131" s="2" t="s">
        <v>53</v>
      </c>
      <c r="B131" s="3">
        <f>'Monthly D3 RIN Data'!$I14</f>
        <v>0</v>
      </c>
      <c r="C131" s="3">
        <f>'Monthly D3 RIN Data'!$I26</f>
        <v>0</v>
      </c>
      <c r="D131" s="3">
        <f>'Monthly D3 RIN Data'!$I38</f>
        <v>0</v>
      </c>
      <c r="E131" s="3">
        <f>'Monthly D3 RIN Data'!$I50</f>
        <v>0</v>
      </c>
      <c r="F131" s="3">
        <f>'Monthly D3 RIN Data'!$I62</f>
        <v>0</v>
      </c>
      <c r="G131" s="3">
        <f>'Monthly D3 RIN Data'!$I74</f>
        <v>1444698</v>
      </c>
      <c r="H131" s="3">
        <f>'Monthly D3 RIN Data'!$I86</f>
        <v>167243</v>
      </c>
      <c r="I131" s="3">
        <f>'Monthly D3 RIN Data'!$I98</f>
        <v>703636</v>
      </c>
      <c r="J131" s="3">
        <f>'Monthly D3 RIN Data'!$I110</f>
        <v>1057401</v>
      </c>
      <c r="K131" s="3">
        <f>'Monthly D3 RIN Data'!$I122</f>
        <v>1170863</v>
      </c>
      <c r="L131" s="3">
        <f>'Monthly D3 RIN Data'!$I134</f>
        <v>3068629</v>
      </c>
      <c r="M131" s="3">
        <f>'Monthly D3 RIN Data'!$I146</f>
        <v>2369226</v>
      </c>
      <c r="N131" s="3">
        <f>'Monthly D3 RIN Data'!$I158</f>
        <v>3288585</v>
      </c>
      <c r="O131" s="3">
        <f>'Monthly D3 RIN Data'!$I170</f>
        <v>339329</v>
      </c>
      <c r="P131" s="3">
        <f>'Monthly D3 RIN Data'!$I182</f>
        <v>1925842</v>
      </c>
      <c r="Q131" s="4">
        <f>'D3 Gallon Forecast'!Q131</f>
        <v>1683482.235443759</v>
      </c>
      <c r="R131" s="4">
        <f>'D3 Gallon Forecast'!R131</f>
        <v>2090556.4991271445</v>
      </c>
      <c r="S131" s="4">
        <f>'D3 Gallon Forecast'!S131</f>
        <v>1930681.3618935107</v>
      </c>
      <c r="T131" s="4">
        <f>'D3 Gallon Forecast'!T131</f>
        <v>1637718.9365613351</v>
      </c>
      <c r="U131" s="4">
        <f>'D3 Gallon Forecast'!U131</f>
        <v>2152179.1085006758</v>
      </c>
      <c r="V131" s="4">
        <f>'D3 Gallon Forecast'!V131</f>
        <v>2634661.9663637998</v>
      </c>
      <c r="W131" s="4">
        <f>'D3 Gallon Forecast'!W131</f>
        <v>2812330.1964278887</v>
      </c>
      <c r="X131" s="4">
        <f>'D3 Gallon Forecast'!X131</f>
        <v>3092307.0984066031</v>
      </c>
      <c r="Y131" s="4">
        <f>'D3 Gallon Forecast'!Y131</f>
        <v>3591610.3485196824</v>
      </c>
      <c r="Z131" s="4">
        <f>'D3 Gallon Forecast'!Z131</f>
        <v>4183207.2892824411</v>
      </c>
      <c r="AA131" s="4">
        <f>'D3 Gallon Forecast'!AA131</f>
        <v>4836943.0264371522</v>
      </c>
      <c r="AB131" s="4">
        <f>'D3 Gallon Forecast'!AB131</f>
        <v>5603372.2553599235</v>
      </c>
      <c r="AC131" s="4">
        <f>'D3 Gallon Forecast'!AC131</f>
        <v>6468684.2905843472</v>
      </c>
      <c r="AD131" s="4">
        <f>'D3 Gallon Forecast'!AD131</f>
        <v>7435464.1253208332</v>
      </c>
      <c r="AE131" s="4">
        <f>'D3 Gallon Forecast'!AE131</f>
        <v>8555636.1549344528</v>
      </c>
      <c r="AF131" s="4">
        <f>'D3 Gallon Forecast'!AF131</f>
        <v>9791386.4596051779</v>
      </c>
      <c r="AG131" s="4">
        <f>'D3 Gallon Forecast'!AG131</f>
        <v>11135106.472415075</v>
      </c>
    </row>
    <row r="132" spans="1:33">
      <c r="A132" s="2" t="s">
        <v>54</v>
      </c>
      <c r="B132" s="3">
        <f>'Monthly D3 RIN Data'!$I15</f>
        <v>0</v>
      </c>
      <c r="C132" s="3">
        <f>'Monthly D3 RIN Data'!$I27</f>
        <v>0</v>
      </c>
      <c r="D132" s="3">
        <f>'Monthly D3 RIN Data'!$I39</f>
        <v>0</v>
      </c>
      <c r="E132" s="3">
        <f>'Monthly D3 RIN Data'!$I51</f>
        <v>0</v>
      </c>
      <c r="F132" s="3">
        <f>'Monthly D3 RIN Data'!$I63</f>
        <v>0</v>
      </c>
      <c r="G132" s="3">
        <f>'Monthly D3 RIN Data'!$I75</f>
        <v>877468</v>
      </c>
      <c r="H132" s="3">
        <f>'Monthly D3 RIN Data'!$I87</f>
        <v>0</v>
      </c>
      <c r="I132" s="3">
        <f>'Monthly D3 RIN Data'!$I99</f>
        <v>912312</v>
      </c>
      <c r="J132" s="3">
        <f>'Monthly D3 RIN Data'!$I111</f>
        <v>2076150</v>
      </c>
      <c r="K132" s="3">
        <f>'Monthly D3 RIN Data'!$I123</f>
        <v>1834474</v>
      </c>
      <c r="L132" s="3">
        <f>'Monthly D3 RIN Data'!$I135</f>
        <v>5942291</v>
      </c>
      <c r="M132" s="3">
        <f>'Monthly D3 RIN Data'!$I147</f>
        <v>4800466</v>
      </c>
      <c r="N132" s="3">
        <f>'Monthly D3 RIN Data'!$I159</f>
        <v>4463342</v>
      </c>
      <c r="O132" s="3">
        <f>'Monthly D3 RIN Data'!$I171</f>
        <v>459603</v>
      </c>
      <c r="P132" s="4">
        <f>'D3 Gallon Forecast'!P132</f>
        <v>1587239</v>
      </c>
      <c r="Q132" s="4">
        <f>'D3 Gallon Forecast'!Q132</f>
        <v>3883693.2617329247</v>
      </c>
      <c r="R132" s="4">
        <f>'D3 Gallon Forecast'!R132</f>
        <v>4110856.0900515318</v>
      </c>
      <c r="S132" s="4">
        <f>'D3 Gallon Forecast'!S132</f>
        <v>3537747.2162892353</v>
      </c>
      <c r="T132" s="4">
        <f>'D3 Gallon Forecast'!T132</f>
        <v>3088571.1780600287</v>
      </c>
      <c r="U132" s="4">
        <f>'D3 Gallon Forecast'!U132</f>
        <v>3929416.5855884254</v>
      </c>
      <c r="V132" s="4">
        <f>'D3 Gallon Forecast'!V132</f>
        <v>5271137.2402316369</v>
      </c>
      <c r="W132" s="4">
        <f>'D3 Gallon Forecast'!W132</f>
        <v>5440043.3326355275</v>
      </c>
      <c r="X132" s="4">
        <f>'D3 Gallon Forecast'!X132</f>
        <v>5844521.8976606801</v>
      </c>
      <c r="Y132" s="4">
        <f>'D3 Gallon Forecast'!Y132</f>
        <v>6712915.1464600265</v>
      </c>
      <c r="Z132" s="4">
        <f>'D3 Gallon Forecast'!Z132</f>
        <v>7712235.0587536097</v>
      </c>
      <c r="AA132" s="4">
        <f>'D3 Gallon Forecast'!AA132</f>
        <v>8801511.6745815836</v>
      </c>
      <c r="AB132" s="4">
        <f>'D3 Gallon Forecast'!AB132</f>
        <v>9904561.4252384529</v>
      </c>
      <c r="AC132" s="4">
        <f>'D3 Gallon Forecast'!AC132</f>
        <v>11110637.146523714</v>
      </c>
      <c r="AD132" s="4">
        <f>'D3 Gallon Forecast'!AD132</f>
        <v>12405851.965757772</v>
      </c>
      <c r="AE132" s="4">
        <f>'D3 Gallon Forecast'!AE132</f>
        <v>13828844.405853145</v>
      </c>
      <c r="AF132" s="4">
        <f>'D3 Gallon Forecast'!AF132</f>
        <v>15280834.417611212</v>
      </c>
      <c r="AG132" s="4">
        <f>'D3 Gallon Forecast'!AG132</f>
        <v>16716728.248484053</v>
      </c>
    </row>
    <row r="133" spans="1:33" ht="15.75" thickBot="1">
      <c r="A133" s="2" t="s">
        <v>29</v>
      </c>
      <c r="B133" s="3">
        <f>SUM(B121:B132)</f>
        <v>0</v>
      </c>
      <c r="C133" s="3">
        <f t="shared" ref="C133:O133" si="34">SUM(C121:C132)</f>
        <v>0</v>
      </c>
      <c r="D133" s="3">
        <f t="shared" si="34"/>
        <v>0</v>
      </c>
      <c r="E133" s="3">
        <f t="shared" si="34"/>
        <v>0</v>
      </c>
      <c r="F133" s="3">
        <f t="shared" si="34"/>
        <v>0</v>
      </c>
      <c r="G133" s="3">
        <f t="shared" si="34"/>
        <v>11035534</v>
      </c>
      <c r="H133" s="3">
        <f t="shared" si="34"/>
        <v>167243</v>
      </c>
      <c r="I133" s="3">
        <f t="shared" si="34"/>
        <v>1615948</v>
      </c>
      <c r="J133" s="3">
        <f t="shared" si="34"/>
        <v>8318024</v>
      </c>
      <c r="K133" s="3">
        <f t="shared" si="34"/>
        <v>11139737</v>
      </c>
      <c r="L133" s="3">
        <f t="shared" si="34"/>
        <v>24287817</v>
      </c>
      <c r="M133" s="3">
        <f t="shared" si="34"/>
        <v>33003561</v>
      </c>
      <c r="N133" s="3">
        <f t="shared" si="34"/>
        <v>30609660</v>
      </c>
      <c r="O133" s="3">
        <f t="shared" si="34"/>
        <v>5378010</v>
      </c>
      <c r="P133" s="4">
        <f>SUM(P121:P132)</f>
        <v>7406488</v>
      </c>
      <c r="Q133" s="4">
        <f t="shared" ref="Q133:AG133" si="35">SUM(Q121:Q132)</f>
        <v>15537237.095395923</v>
      </c>
      <c r="R133" s="4">
        <f t="shared" si="35"/>
        <v>19211364.360751152</v>
      </c>
      <c r="S133" s="4">
        <f t="shared" si="35"/>
        <v>15553436.850401044</v>
      </c>
      <c r="T133" s="4">
        <f t="shared" si="35"/>
        <v>12494674.848424315</v>
      </c>
      <c r="U133" s="4">
        <f t="shared" si="35"/>
        <v>15525544.271675706</v>
      </c>
      <c r="V133" s="4">
        <f t="shared" si="35"/>
        <v>20698710.794027805</v>
      </c>
      <c r="W133" s="4">
        <f t="shared" si="35"/>
        <v>21406084.903917909</v>
      </c>
      <c r="X133" s="4">
        <f t="shared" si="35"/>
        <v>22594679.401286244</v>
      </c>
      <c r="Y133" s="4">
        <f t="shared" si="35"/>
        <v>25723917.206843615</v>
      </c>
      <c r="Z133" s="4">
        <f t="shared" si="35"/>
        <v>29552522.368868351</v>
      </c>
      <c r="AA133" s="4">
        <f t="shared" si="35"/>
        <v>33877563.854671717</v>
      </c>
      <c r="AB133" s="4">
        <f t="shared" si="35"/>
        <v>38376060.626684189</v>
      </c>
      <c r="AC133" s="4">
        <f t="shared" si="35"/>
        <v>43405789.527772665</v>
      </c>
      <c r="AD133" s="4">
        <f t="shared" si="35"/>
        <v>49038776.575518131</v>
      </c>
      <c r="AE133" s="4">
        <f t="shared" si="35"/>
        <v>55482920.378974915</v>
      </c>
      <c r="AF133" s="4">
        <f t="shared" si="35"/>
        <v>62407636.572720051</v>
      </c>
      <c r="AG133" s="4">
        <f t="shared" si="35"/>
        <v>69675866.53913641</v>
      </c>
    </row>
    <row r="134" spans="1:33">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c r="AD134" s="114"/>
      <c r="AE134" s="114"/>
      <c r="AF134" s="114"/>
      <c r="AG134" s="114"/>
    </row>
    <row r="135" spans="1:33" ht="16.5" thickBot="1">
      <c r="A135" s="109" t="s">
        <v>249</v>
      </c>
    </row>
    <row r="136" spans="1:33" ht="15.75" thickBot="1">
      <c r="A136" s="110"/>
      <c r="B136" s="111">
        <v>2010</v>
      </c>
      <c r="C136" s="111">
        <v>2011</v>
      </c>
      <c r="D136" s="111">
        <v>2012</v>
      </c>
      <c r="E136" s="111">
        <v>2013</v>
      </c>
      <c r="F136" s="111">
        <v>2014</v>
      </c>
      <c r="G136" s="111">
        <v>2015</v>
      </c>
      <c r="H136" s="111">
        <v>2016</v>
      </c>
      <c r="I136" s="111">
        <v>2017</v>
      </c>
      <c r="J136" s="111">
        <v>2018</v>
      </c>
      <c r="K136" s="111">
        <v>2019</v>
      </c>
      <c r="L136" s="111">
        <v>2020</v>
      </c>
      <c r="M136" s="111">
        <v>2021</v>
      </c>
      <c r="N136" s="111">
        <v>2022</v>
      </c>
      <c r="O136" s="111">
        <v>2023</v>
      </c>
      <c r="P136" s="111">
        <v>2024</v>
      </c>
      <c r="Q136" s="111">
        <v>2025</v>
      </c>
      <c r="R136" s="111">
        <v>2026</v>
      </c>
      <c r="S136" s="111">
        <v>2027</v>
      </c>
      <c r="T136" s="111">
        <v>2028</v>
      </c>
      <c r="U136" s="111">
        <v>2029</v>
      </c>
      <c r="V136" s="111">
        <v>2030</v>
      </c>
      <c r="W136" s="111">
        <v>2031</v>
      </c>
      <c r="X136" s="111">
        <v>2032</v>
      </c>
      <c r="Y136" s="111">
        <v>2033</v>
      </c>
      <c r="Z136" s="111">
        <v>2034</v>
      </c>
      <c r="AA136" s="111">
        <v>2035</v>
      </c>
      <c r="AB136" s="111">
        <v>2036</v>
      </c>
      <c r="AC136" s="111">
        <v>2037</v>
      </c>
      <c r="AD136" s="111">
        <v>2038</v>
      </c>
      <c r="AE136" s="111">
        <v>2039</v>
      </c>
      <c r="AF136" s="111">
        <v>2040</v>
      </c>
      <c r="AG136" s="111">
        <v>2041</v>
      </c>
    </row>
    <row r="137" spans="1:33">
      <c r="A137" s="2" t="s">
        <v>43</v>
      </c>
      <c r="B137" s="3">
        <f>B153+B169</f>
        <v>0</v>
      </c>
      <c r="C137" s="3">
        <f t="shared" ref="C137:AG148" si="36">C153+C169</f>
        <v>0</v>
      </c>
      <c r="D137" s="3">
        <f t="shared" si="36"/>
        <v>0</v>
      </c>
      <c r="E137" s="3">
        <f t="shared" si="36"/>
        <v>0</v>
      </c>
      <c r="F137" s="3">
        <f t="shared" si="36"/>
        <v>0</v>
      </c>
      <c r="G137" s="3">
        <f t="shared" si="36"/>
        <v>2564904</v>
      </c>
      <c r="H137" s="3">
        <f t="shared" si="36"/>
        <v>161044</v>
      </c>
      <c r="I137" s="3">
        <f t="shared" si="36"/>
        <v>138431</v>
      </c>
      <c r="J137" s="3">
        <f t="shared" si="36"/>
        <v>186414</v>
      </c>
      <c r="K137" s="3">
        <f t="shared" si="36"/>
        <v>185308</v>
      </c>
      <c r="L137" s="3">
        <f t="shared" si="36"/>
        <v>51166</v>
      </c>
      <c r="M137" s="3">
        <f t="shared" si="36"/>
        <v>1179715</v>
      </c>
      <c r="N137" s="3">
        <f t="shared" si="36"/>
        <v>99241</v>
      </c>
      <c r="O137" s="3">
        <f t="shared" si="36"/>
        <v>604446</v>
      </c>
      <c r="P137" s="3">
        <f t="shared" si="36"/>
        <v>503018</v>
      </c>
      <c r="Q137" s="4">
        <f t="shared" si="36"/>
        <v>0</v>
      </c>
      <c r="R137" s="4">
        <f t="shared" si="36"/>
        <v>97165.293720906833</v>
      </c>
      <c r="S137" s="4">
        <f t="shared" si="36"/>
        <v>65672.762484400402</v>
      </c>
      <c r="T137" s="4">
        <f t="shared" si="36"/>
        <v>200892.46333454101</v>
      </c>
      <c r="U137" s="4">
        <f t="shared" si="36"/>
        <v>146569.82999364167</v>
      </c>
      <c r="V137" s="4">
        <f t="shared" si="36"/>
        <v>98210.992620170102</v>
      </c>
      <c r="W137" s="4">
        <f t="shared" si="36"/>
        <v>152628.25605005454</v>
      </c>
      <c r="X137" s="4">
        <f t="shared" si="36"/>
        <v>171926.24222567232</v>
      </c>
      <c r="Y137" s="4">
        <f t="shared" si="36"/>
        <v>211152.7881985016</v>
      </c>
      <c r="Z137" s="4">
        <f t="shared" si="36"/>
        <v>218176.79130126772</v>
      </c>
      <c r="AA137" s="4">
        <f t="shared" si="36"/>
        <v>240277.46110373878</v>
      </c>
      <c r="AB137" s="4">
        <f t="shared" si="36"/>
        <v>285382.84174886276</v>
      </c>
      <c r="AC137" s="4">
        <f t="shared" si="36"/>
        <v>326944.80157511128</v>
      </c>
      <c r="AD137" s="4">
        <f t="shared" si="36"/>
        <v>368902.06731726107</v>
      </c>
      <c r="AE137" s="4">
        <f t="shared" si="36"/>
        <v>410355.77927591914</v>
      </c>
      <c r="AF137" s="4">
        <f t="shared" si="36"/>
        <v>461978.10303549218</v>
      </c>
      <c r="AG137" s="4">
        <f t="shared" si="36"/>
        <v>519367.13376630814</v>
      </c>
    </row>
    <row r="138" spans="1:33">
      <c r="A138" s="2" t="s">
        <v>44</v>
      </c>
      <c r="B138" s="3">
        <f t="shared" ref="B138:K148" si="37">B154+B170</f>
        <v>0</v>
      </c>
      <c r="C138" s="3">
        <f t="shared" si="37"/>
        <v>0</v>
      </c>
      <c r="D138" s="3">
        <f t="shared" si="37"/>
        <v>0</v>
      </c>
      <c r="E138" s="3">
        <f t="shared" si="37"/>
        <v>0</v>
      </c>
      <c r="F138" s="3">
        <f t="shared" si="37"/>
        <v>0</v>
      </c>
      <c r="G138" s="3">
        <f t="shared" si="37"/>
        <v>4177740</v>
      </c>
      <c r="H138" s="3">
        <f t="shared" si="37"/>
        <v>6478644</v>
      </c>
      <c r="I138" s="3">
        <f t="shared" si="37"/>
        <v>6068455</v>
      </c>
      <c r="J138" s="3">
        <f t="shared" si="37"/>
        <v>6184829</v>
      </c>
      <c r="K138" s="3">
        <f t="shared" si="37"/>
        <v>6336702</v>
      </c>
      <c r="L138" s="3">
        <f t="shared" si="36"/>
        <v>7611856</v>
      </c>
      <c r="M138" s="3">
        <f t="shared" si="36"/>
        <v>5801041</v>
      </c>
      <c r="N138" s="3">
        <f t="shared" si="36"/>
        <v>7063760</v>
      </c>
      <c r="O138" s="3">
        <f>O154+O170</f>
        <v>7377836</v>
      </c>
      <c r="P138" s="3">
        <f>P154+P170</f>
        <v>6476342</v>
      </c>
      <c r="Q138" s="4">
        <f>Q154+Q170</f>
        <v>0</v>
      </c>
      <c r="R138" s="4">
        <f>R154+R170</f>
        <v>1412272.9222683448</v>
      </c>
      <c r="S138" s="4">
        <f>S154+S170</f>
        <v>1124718.1910554317</v>
      </c>
      <c r="T138" s="4">
        <f t="shared" si="36"/>
        <v>2592188.4673202988</v>
      </c>
      <c r="U138" s="4">
        <f t="shared" si="36"/>
        <v>1962529.2535435804</v>
      </c>
      <c r="V138" s="4">
        <f t="shared" si="36"/>
        <v>1364850.650436582</v>
      </c>
      <c r="W138" s="4">
        <f t="shared" si="36"/>
        <v>1886620.3804475521</v>
      </c>
      <c r="X138" s="4">
        <f t="shared" si="36"/>
        <v>2064295.4756985577</v>
      </c>
      <c r="Y138" s="4">
        <f t="shared" si="36"/>
        <v>2418231.4901829748</v>
      </c>
      <c r="Z138" s="4">
        <f t="shared" si="36"/>
        <v>2441304.7981348359</v>
      </c>
      <c r="AA138" s="4">
        <f t="shared" si="36"/>
        <v>2606857.3885932909</v>
      </c>
      <c r="AB138" s="4">
        <f t="shared" si="36"/>
        <v>2997111.5131269945</v>
      </c>
      <c r="AC138" s="4">
        <f t="shared" si="36"/>
        <v>3341310.6339124828</v>
      </c>
      <c r="AD138" s="4">
        <f t="shared" si="36"/>
        <v>3671963.0745212426</v>
      </c>
      <c r="AE138" s="4">
        <f t="shared" si="36"/>
        <v>3991611.8279856117</v>
      </c>
      <c r="AF138" s="4">
        <f t="shared" si="36"/>
        <v>4396781.9258946218</v>
      </c>
      <c r="AG138" s="4">
        <f t="shared" si="36"/>
        <v>4844305.6713861302</v>
      </c>
    </row>
    <row r="139" spans="1:33">
      <c r="A139" s="2" t="s">
        <v>45</v>
      </c>
      <c r="B139" s="3">
        <f t="shared" si="37"/>
        <v>0</v>
      </c>
      <c r="C139" s="3">
        <f t="shared" si="37"/>
        <v>0</v>
      </c>
      <c r="D139" s="3">
        <f t="shared" si="37"/>
        <v>0</v>
      </c>
      <c r="E139" s="3">
        <f t="shared" si="37"/>
        <v>0</v>
      </c>
      <c r="F139" s="3">
        <f t="shared" si="37"/>
        <v>0</v>
      </c>
      <c r="G139" s="3">
        <f t="shared" si="37"/>
        <v>3556464</v>
      </c>
      <c r="H139" s="3">
        <f t="shared" si="37"/>
        <v>6064754</v>
      </c>
      <c r="I139" s="3">
        <f t="shared" si="37"/>
        <v>5401702</v>
      </c>
      <c r="J139" s="3">
        <f t="shared" si="37"/>
        <v>5826086</v>
      </c>
      <c r="K139" s="3">
        <f t="shared" si="37"/>
        <v>5918536</v>
      </c>
      <c r="L139" s="3">
        <f t="shared" si="36"/>
        <v>7331770</v>
      </c>
      <c r="M139" s="3">
        <f t="shared" si="36"/>
        <v>6042256</v>
      </c>
      <c r="N139" s="3">
        <f t="shared" si="36"/>
        <v>6583858</v>
      </c>
      <c r="O139" s="3">
        <f t="shared" si="36"/>
        <v>6492241</v>
      </c>
      <c r="P139" s="3">
        <f>P155+P171</f>
        <v>5990211</v>
      </c>
      <c r="Q139" s="4">
        <f>Q155+Q171</f>
        <v>4806873.0163004063</v>
      </c>
      <c r="R139" s="4">
        <f>R155+R171</f>
        <v>1625409.5909846637</v>
      </c>
      <c r="S139" s="4">
        <f>S155+S171</f>
        <v>1284301.8389551258</v>
      </c>
      <c r="T139" s="4">
        <f t="shared" si="36"/>
        <v>3194385.2793492898</v>
      </c>
      <c r="U139" s="4">
        <f t="shared" si="36"/>
        <v>2858041.4385439008</v>
      </c>
      <c r="V139" s="4">
        <f t="shared" si="36"/>
        <v>2649945.7722573974</v>
      </c>
      <c r="W139" s="4">
        <f t="shared" si="36"/>
        <v>2562710.5427918066</v>
      </c>
      <c r="X139" s="4">
        <f t="shared" si="36"/>
        <v>2869790.8212009547</v>
      </c>
      <c r="Y139" s="4">
        <f t="shared" si="36"/>
        <v>3427771.182056088</v>
      </c>
      <c r="Z139" s="4">
        <f t="shared" si="36"/>
        <v>3577159.7397902934</v>
      </c>
      <c r="AA139" s="4">
        <f t="shared" si="36"/>
        <v>3819841.4809417268</v>
      </c>
      <c r="AB139" s="4">
        <f t="shared" si="36"/>
        <v>4225301.9683133326</v>
      </c>
      <c r="AC139" s="4">
        <f t="shared" si="36"/>
        <v>4732829.5060250526</v>
      </c>
      <c r="AD139" s="4">
        <f t="shared" si="36"/>
        <v>5211899.8018548191</v>
      </c>
      <c r="AE139" s="4">
        <f t="shared" si="36"/>
        <v>5663617.3363032211</v>
      </c>
      <c r="AF139" s="4">
        <f t="shared" si="36"/>
        <v>6206460.8208381748</v>
      </c>
      <c r="AG139" s="4">
        <f t="shared" si="36"/>
        <v>6800016.7032933775</v>
      </c>
    </row>
    <row r="140" spans="1:33">
      <c r="A140" s="2" t="s">
        <v>46</v>
      </c>
      <c r="B140" s="3">
        <f t="shared" si="37"/>
        <v>0</v>
      </c>
      <c r="C140" s="3">
        <f t="shared" si="37"/>
        <v>0</v>
      </c>
      <c r="D140" s="3">
        <f t="shared" si="37"/>
        <v>0</v>
      </c>
      <c r="E140" s="3">
        <f t="shared" si="37"/>
        <v>0</v>
      </c>
      <c r="F140" s="3">
        <f t="shared" si="37"/>
        <v>0</v>
      </c>
      <c r="G140" s="3">
        <f t="shared" si="37"/>
        <v>3350984</v>
      </c>
      <c r="H140" s="3">
        <f t="shared" si="37"/>
        <v>7327292</v>
      </c>
      <c r="I140" s="3">
        <f t="shared" si="37"/>
        <v>6356730</v>
      </c>
      <c r="J140" s="3">
        <f t="shared" si="37"/>
        <v>5957582</v>
      </c>
      <c r="K140" s="3">
        <f t="shared" si="37"/>
        <v>6523326</v>
      </c>
      <c r="L140" s="3">
        <f t="shared" si="36"/>
        <v>8390507</v>
      </c>
      <c r="M140" s="3">
        <f t="shared" si="36"/>
        <v>5822780</v>
      </c>
      <c r="N140" s="3">
        <f t="shared" si="36"/>
        <v>7486937</v>
      </c>
      <c r="O140" s="3">
        <f t="shared" si="36"/>
        <v>7819274</v>
      </c>
      <c r="P140" s="3">
        <f t="shared" si="36"/>
        <v>6405665</v>
      </c>
      <c r="Q140" s="4">
        <f t="shared" si="36"/>
        <v>5335352.8932311814</v>
      </c>
      <c r="R140" s="4">
        <f t="shared" si="36"/>
        <v>1794115.3634962903</v>
      </c>
      <c r="S140" s="4">
        <f t="shared" si="36"/>
        <v>1452668.0761302158</v>
      </c>
      <c r="T140" s="4">
        <f t="shared" si="36"/>
        <v>3606834.7072987184</v>
      </c>
      <c r="U140" s="4">
        <f t="shared" si="36"/>
        <v>3144409.9202456931</v>
      </c>
      <c r="V140" s="4">
        <f t="shared" si="36"/>
        <v>2951020.052643483</v>
      </c>
      <c r="W140" s="4">
        <f t="shared" si="36"/>
        <v>2861328.8119932739</v>
      </c>
      <c r="X140" s="4">
        <f t="shared" si="36"/>
        <v>3210449.2878981694</v>
      </c>
      <c r="Y140" s="4">
        <f t="shared" si="36"/>
        <v>3831519.9846204333</v>
      </c>
      <c r="Z140" s="4">
        <f t="shared" si="36"/>
        <v>3988245.138817152</v>
      </c>
      <c r="AA140" s="4">
        <f t="shared" si="36"/>
        <v>4269622.7189155584</v>
      </c>
      <c r="AB140" s="4">
        <f t="shared" si="36"/>
        <v>4726327.4349794481</v>
      </c>
      <c r="AC140" s="4">
        <f t="shared" si="36"/>
        <v>5296016.2336755339</v>
      </c>
      <c r="AD140" s="4">
        <f t="shared" si="36"/>
        <v>5832669.7303733435</v>
      </c>
      <c r="AE140" s="4">
        <f t="shared" si="36"/>
        <v>6339531.3664256036</v>
      </c>
      <c r="AF140" s="4">
        <f t="shared" si="36"/>
        <v>6951692.8953243662</v>
      </c>
      <c r="AG140" s="4">
        <f t="shared" si="36"/>
        <v>7619285.0536459628</v>
      </c>
    </row>
    <row r="141" spans="1:33">
      <c r="A141" s="2" t="s">
        <v>47</v>
      </c>
      <c r="B141" s="3">
        <f t="shared" si="37"/>
        <v>0</v>
      </c>
      <c r="C141" s="3">
        <f t="shared" si="37"/>
        <v>0</v>
      </c>
      <c r="D141" s="3">
        <f t="shared" si="37"/>
        <v>0</v>
      </c>
      <c r="E141" s="3">
        <f t="shared" si="37"/>
        <v>0</v>
      </c>
      <c r="F141" s="3">
        <f t="shared" si="37"/>
        <v>0</v>
      </c>
      <c r="G141" s="3">
        <f t="shared" si="37"/>
        <v>3348786</v>
      </c>
      <c r="H141" s="3">
        <f t="shared" si="37"/>
        <v>7027645</v>
      </c>
      <c r="I141" s="3">
        <f t="shared" si="37"/>
        <v>7796605</v>
      </c>
      <c r="J141" s="3">
        <f t="shared" si="37"/>
        <v>5583806</v>
      </c>
      <c r="K141" s="3">
        <f t="shared" si="37"/>
        <v>4452606</v>
      </c>
      <c r="L141" s="3">
        <f t="shared" si="36"/>
        <v>8186289</v>
      </c>
      <c r="M141" s="3">
        <f t="shared" si="36"/>
        <v>5946988</v>
      </c>
      <c r="N141" s="3">
        <f t="shared" si="36"/>
        <v>7871065</v>
      </c>
      <c r="O141" s="3">
        <f t="shared" si="36"/>
        <v>6556276</v>
      </c>
      <c r="P141" s="3">
        <f t="shared" si="36"/>
        <v>6576221</v>
      </c>
      <c r="Q141" s="4">
        <f t="shared" si="36"/>
        <v>6561382.5806687819</v>
      </c>
      <c r="R141" s="4">
        <f t="shared" si="36"/>
        <v>2328535.9206347056</v>
      </c>
      <c r="S141" s="4">
        <f t="shared" si="36"/>
        <v>1907171.371810965</v>
      </c>
      <c r="T141" s="4">
        <f t="shared" si="36"/>
        <v>4793516.0497542433</v>
      </c>
      <c r="U141" s="4">
        <f t="shared" si="36"/>
        <v>4748072.5667198943</v>
      </c>
      <c r="V141" s="4">
        <f t="shared" si="36"/>
        <v>4958145.9614976849</v>
      </c>
      <c r="W141" s="4">
        <f t="shared" si="36"/>
        <v>4585790.6006353553</v>
      </c>
      <c r="X141" s="4">
        <f t="shared" si="36"/>
        <v>5305250.6352049503</v>
      </c>
      <c r="Y141" s="4">
        <f t="shared" si="36"/>
        <v>6524307.4286832772</v>
      </c>
      <c r="Z141" s="4">
        <f t="shared" si="36"/>
        <v>7126663.6426467607</v>
      </c>
      <c r="AA141" s="4">
        <f t="shared" si="36"/>
        <v>7846167.7290806817</v>
      </c>
      <c r="AB141" s="4">
        <f t="shared" si="36"/>
        <v>8799726.7903520428</v>
      </c>
      <c r="AC141" s="4">
        <f t="shared" si="36"/>
        <v>10089485.559919</v>
      </c>
      <c r="AD141" s="4">
        <f t="shared" si="36"/>
        <v>11354584.915694378</v>
      </c>
      <c r="AE141" s="4">
        <f t="shared" si="36"/>
        <v>12594870.437535906</v>
      </c>
      <c r="AF141" s="4">
        <f t="shared" si="36"/>
        <v>14025756.711940691</v>
      </c>
      <c r="AG141" s="4">
        <f t="shared" si="36"/>
        <v>15578327.312758882</v>
      </c>
    </row>
    <row r="142" spans="1:33">
      <c r="A142" s="2" t="s">
        <v>48</v>
      </c>
      <c r="B142" s="3">
        <f t="shared" si="37"/>
        <v>0</v>
      </c>
      <c r="C142" s="3">
        <f t="shared" si="37"/>
        <v>0</v>
      </c>
      <c r="D142" s="3">
        <f t="shared" si="37"/>
        <v>0</v>
      </c>
      <c r="E142" s="3">
        <f t="shared" si="37"/>
        <v>0</v>
      </c>
      <c r="F142" s="3">
        <f t="shared" si="37"/>
        <v>0</v>
      </c>
      <c r="G142" s="3">
        <f t="shared" si="37"/>
        <v>4422331</v>
      </c>
      <c r="H142" s="3">
        <f t="shared" si="37"/>
        <v>5695845</v>
      </c>
      <c r="I142" s="3">
        <f t="shared" si="37"/>
        <v>8462897</v>
      </c>
      <c r="J142" s="3">
        <f t="shared" si="37"/>
        <v>6025638</v>
      </c>
      <c r="K142" s="3">
        <f t="shared" si="37"/>
        <v>5835613</v>
      </c>
      <c r="L142" s="3">
        <f t="shared" si="36"/>
        <v>8407029</v>
      </c>
      <c r="M142" s="3">
        <f t="shared" si="36"/>
        <v>7457801</v>
      </c>
      <c r="N142" s="3">
        <f t="shared" si="36"/>
        <v>6888977</v>
      </c>
      <c r="O142" s="3">
        <f t="shared" si="36"/>
        <v>7975208</v>
      </c>
      <c r="P142" s="3">
        <f t="shared" si="36"/>
        <v>6710028</v>
      </c>
      <c r="Q142" s="4">
        <f t="shared" si="36"/>
        <v>6931889.4203890888</v>
      </c>
      <c r="R142" s="4">
        <f t="shared" si="36"/>
        <v>2601737.5488444241</v>
      </c>
      <c r="S142" s="4">
        <f t="shared" si="36"/>
        <v>2157521.7973794853</v>
      </c>
      <c r="T142" s="4">
        <f t="shared" si="36"/>
        <v>5754556.0142955054</v>
      </c>
      <c r="U142" s="4">
        <f t="shared" si="36"/>
        <v>5642411.7752625514</v>
      </c>
      <c r="V142" s="4">
        <f t="shared" si="36"/>
        <v>6134820.0094283782</v>
      </c>
      <c r="W142" s="4">
        <f t="shared" si="36"/>
        <v>5705989.8605459258</v>
      </c>
      <c r="X142" s="4">
        <f t="shared" si="36"/>
        <v>6711308.096429918</v>
      </c>
      <c r="Y142" s="4">
        <f t="shared" si="36"/>
        <v>8383580.8659680132</v>
      </c>
      <c r="Z142" s="4">
        <f t="shared" si="36"/>
        <v>9302780.7496562302</v>
      </c>
      <c r="AA142" s="4">
        <f t="shared" si="36"/>
        <v>10438905.567422263</v>
      </c>
      <c r="AB142" s="4">
        <f t="shared" si="36"/>
        <v>11891245.863513712</v>
      </c>
      <c r="AC142" s="4">
        <f t="shared" si="36"/>
        <v>13854798.872980203</v>
      </c>
      <c r="AD142" s="4">
        <f t="shared" si="36"/>
        <v>15847147.225066029</v>
      </c>
      <c r="AE142" s="4">
        <f t="shared" si="36"/>
        <v>17875015.071293272</v>
      </c>
      <c r="AF142" s="4">
        <f t="shared" si="36"/>
        <v>20239030.351629965</v>
      </c>
      <c r="AG142" s="4">
        <f t="shared" si="36"/>
        <v>22844880.556715414</v>
      </c>
    </row>
    <row r="143" spans="1:33">
      <c r="A143" s="2" t="s">
        <v>49</v>
      </c>
      <c r="B143" s="3">
        <f t="shared" si="37"/>
        <v>0</v>
      </c>
      <c r="C143" s="3">
        <f t="shared" si="37"/>
        <v>0</v>
      </c>
      <c r="D143" s="3">
        <f t="shared" si="37"/>
        <v>0</v>
      </c>
      <c r="E143" s="3">
        <f t="shared" si="37"/>
        <v>0</v>
      </c>
      <c r="F143" s="3">
        <f t="shared" si="37"/>
        <v>0</v>
      </c>
      <c r="G143" s="3">
        <f t="shared" si="37"/>
        <v>4890996</v>
      </c>
      <c r="H143" s="3">
        <f t="shared" si="37"/>
        <v>5695558</v>
      </c>
      <c r="I143" s="3">
        <f t="shared" si="37"/>
        <v>7341146</v>
      </c>
      <c r="J143" s="3">
        <f t="shared" si="37"/>
        <v>6804440</v>
      </c>
      <c r="K143" s="3">
        <f t="shared" si="37"/>
        <v>7591443</v>
      </c>
      <c r="L143" s="3">
        <f t="shared" si="36"/>
        <v>7602601</v>
      </c>
      <c r="M143" s="3">
        <f t="shared" si="36"/>
        <v>7301253</v>
      </c>
      <c r="N143" s="3">
        <f t="shared" si="36"/>
        <v>7972885</v>
      </c>
      <c r="O143" s="3">
        <f t="shared" si="36"/>
        <v>7242748</v>
      </c>
      <c r="P143" s="3">
        <f t="shared" si="36"/>
        <v>6618792</v>
      </c>
      <c r="Q143" s="4">
        <f t="shared" si="36"/>
        <v>6905240.5962221064</v>
      </c>
      <c r="R143" s="4">
        <f t="shared" si="36"/>
        <v>2651199.8740717419</v>
      </c>
      <c r="S143" s="4">
        <f t="shared" si="36"/>
        <v>2213513.7267820141</v>
      </c>
      <c r="T143" s="4">
        <f t="shared" si="36"/>
        <v>5674905.0954135377</v>
      </c>
      <c r="U143" s="4">
        <f t="shared" si="36"/>
        <v>5696932.0157298679</v>
      </c>
      <c r="V143" s="4">
        <f t="shared" si="36"/>
        <v>6235327.1293141339</v>
      </c>
      <c r="W143" s="4">
        <f t="shared" si="36"/>
        <v>5753403.1521469774</v>
      </c>
      <c r="X143" s="4">
        <f t="shared" si="36"/>
        <v>6760077.0395603627</v>
      </c>
      <c r="Y143" s="4">
        <f t="shared" si="36"/>
        <v>8433570.5320680179</v>
      </c>
      <c r="Z143" s="4">
        <f t="shared" si="36"/>
        <v>9389290.8298184797</v>
      </c>
      <c r="AA143" s="4">
        <f t="shared" si="36"/>
        <v>10536128.408506997</v>
      </c>
      <c r="AB143" s="4">
        <f t="shared" si="36"/>
        <v>11989888.283518426</v>
      </c>
      <c r="AC143" s="4">
        <f t="shared" si="36"/>
        <v>13969930.915045276</v>
      </c>
      <c r="AD143" s="4">
        <f t="shared" si="36"/>
        <v>15981071.037464878</v>
      </c>
      <c r="AE143" s="4">
        <f t="shared" si="36"/>
        <v>18032243.927598357</v>
      </c>
      <c r="AF143" s="4">
        <f t="shared" si="36"/>
        <v>20416235.985646751</v>
      </c>
      <c r="AG143" s="4">
        <f t="shared" si="36"/>
        <v>23043703.106211077</v>
      </c>
    </row>
    <row r="144" spans="1:33">
      <c r="A144" s="2" t="s">
        <v>50</v>
      </c>
      <c r="B144" s="3">
        <f t="shared" si="37"/>
        <v>0</v>
      </c>
      <c r="C144" s="3">
        <f t="shared" si="37"/>
        <v>0</v>
      </c>
      <c r="D144" s="3">
        <f t="shared" si="37"/>
        <v>0</v>
      </c>
      <c r="E144" s="3">
        <f t="shared" si="37"/>
        <v>0</v>
      </c>
      <c r="F144" s="3">
        <f t="shared" si="37"/>
        <v>1848485</v>
      </c>
      <c r="G144" s="3">
        <f t="shared" si="37"/>
        <v>5342187</v>
      </c>
      <c r="H144" s="3">
        <f t="shared" si="37"/>
        <v>5914746</v>
      </c>
      <c r="I144" s="3">
        <f t="shared" si="37"/>
        <v>6808282</v>
      </c>
      <c r="J144" s="3">
        <f t="shared" si="37"/>
        <v>8168341</v>
      </c>
      <c r="K144" s="3">
        <f t="shared" si="37"/>
        <v>6533714</v>
      </c>
      <c r="L144" s="3">
        <f t="shared" si="36"/>
        <v>7643642</v>
      </c>
      <c r="M144" s="3">
        <f t="shared" si="36"/>
        <v>6889636</v>
      </c>
      <c r="N144" s="3">
        <f t="shared" si="36"/>
        <v>7773757</v>
      </c>
      <c r="O144" s="3">
        <f t="shared" si="36"/>
        <v>8267442</v>
      </c>
      <c r="P144" s="3">
        <f t="shared" si="36"/>
        <v>6443691</v>
      </c>
      <c r="Q144" s="4">
        <f t="shared" si="36"/>
        <v>7812646.0119401338</v>
      </c>
      <c r="R144" s="4">
        <f t="shared" si="36"/>
        <v>3027168.5978220105</v>
      </c>
      <c r="S144" s="4">
        <f t="shared" si="36"/>
        <v>2438802.1722466773</v>
      </c>
      <c r="T144" s="4">
        <f t="shared" si="36"/>
        <v>6420915.1664919211</v>
      </c>
      <c r="U144" s="4">
        <f t="shared" si="36"/>
        <v>6408960.2804171015</v>
      </c>
      <c r="V144" s="4">
        <f t="shared" si="36"/>
        <v>7287281.445696922</v>
      </c>
      <c r="W144" s="4">
        <f t="shared" si="36"/>
        <v>6649362.6760504935</v>
      </c>
      <c r="X144" s="4">
        <f t="shared" si="36"/>
        <v>7837106.5710957013</v>
      </c>
      <c r="Y144" s="4">
        <f t="shared" si="36"/>
        <v>9837997.8045683615</v>
      </c>
      <c r="Z144" s="4">
        <f t="shared" si="36"/>
        <v>11028305.334569516</v>
      </c>
      <c r="AA144" s="4">
        <f t="shared" si="36"/>
        <v>12480401.844433267</v>
      </c>
      <c r="AB144" s="4">
        <f t="shared" si="36"/>
        <v>14260356.195873795</v>
      </c>
      <c r="AC144" s="4">
        <f t="shared" si="36"/>
        <v>16713318.749302521</v>
      </c>
      <c r="AD144" s="4">
        <f t="shared" si="36"/>
        <v>19241187.21326296</v>
      </c>
      <c r="AE144" s="4">
        <f t="shared" si="36"/>
        <v>21854788.62179625</v>
      </c>
      <c r="AF144" s="4">
        <f t="shared" si="36"/>
        <v>24905785.010551505</v>
      </c>
      <c r="AG144" s="4">
        <f t="shared" si="36"/>
        <v>28286882.854209989</v>
      </c>
    </row>
    <row r="145" spans="1:33">
      <c r="A145" s="2" t="s">
        <v>51</v>
      </c>
      <c r="B145" s="3">
        <f t="shared" si="37"/>
        <v>0</v>
      </c>
      <c r="C145" s="3">
        <f t="shared" si="37"/>
        <v>0</v>
      </c>
      <c r="D145" s="3">
        <f t="shared" si="37"/>
        <v>0</v>
      </c>
      <c r="E145" s="3">
        <f t="shared" si="37"/>
        <v>0</v>
      </c>
      <c r="F145" s="3">
        <f t="shared" si="37"/>
        <v>4078691</v>
      </c>
      <c r="G145" s="3">
        <f t="shared" si="37"/>
        <v>4648617</v>
      </c>
      <c r="H145" s="3">
        <f t="shared" si="37"/>
        <v>6126085</v>
      </c>
      <c r="I145" s="3">
        <f t="shared" si="37"/>
        <v>6318873</v>
      </c>
      <c r="J145" s="3">
        <f t="shared" si="37"/>
        <v>8180183</v>
      </c>
      <c r="K145" s="3">
        <f t="shared" si="37"/>
        <v>6079500</v>
      </c>
      <c r="L145" s="3">
        <f t="shared" si="36"/>
        <v>7230002</v>
      </c>
      <c r="M145" s="3">
        <f t="shared" si="36"/>
        <v>7428599</v>
      </c>
      <c r="N145" s="3">
        <f t="shared" si="36"/>
        <v>8295532</v>
      </c>
      <c r="O145" s="3">
        <f t="shared" si="36"/>
        <v>7298908</v>
      </c>
      <c r="P145" s="3">
        <f t="shared" si="36"/>
        <v>7054165</v>
      </c>
      <c r="Q145" s="4">
        <f t="shared" si="36"/>
        <v>7761200.5791236032</v>
      </c>
      <c r="R145" s="4">
        <f t="shared" si="36"/>
        <v>3079156.7265030607</v>
      </c>
      <c r="S145" s="4">
        <f t="shared" si="36"/>
        <v>2484886.2195690023</v>
      </c>
      <c r="T145" s="4">
        <f t="shared" si="36"/>
        <v>6426115.3842414115</v>
      </c>
      <c r="U145" s="4">
        <f t="shared" si="36"/>
        <v>6654053.0486134514</v>
      </c>
      <c r="V145" s="4">
        <f t="shared" si="36"/>
        <v>7464162.7277603569</v>
      </c>
      <c r="W145" s="4">
        <f t="shared" si="36"/>
        <v>6774551.5237682834</v>
      </c>
      <c r="X145" s="4">
        <f t="shared" si="36"/>
        <v>7984290.6308239745</v>
      </c>
      <c r="Y145" s="4">
        <f t="shared" si="36"/>
        <v>10019560.138309285</v>
      </c>
      <c r="Z145" s="4">
        <f t="shared" si="36"/>
        <v>11260908.049753986</v>
      </c>
      <c r="AA145" s="4">
        <f t="shared" si="36"/>
        <v>12709968.452492654</v>
      </c>
      <c r="AB145" s="4">
        <f t="shared" si="36"/>
        <v>14507688.042531654</v>
      </c>
      <c r="AC145" s="4">
        <f t="shared" si="36"/>
        <v>16995892.845209308</v>
      </c>
      <c r="AD145" s="4">
        <f t="shared" si="36"/>
        <v>19557067.081628829</v>
      </c>
      <c r="AE145" s="4">
        <f t="shared" si="36"/>
        <v>22202380.132634819</v>
      </c>
      <c r="AF145" s="4">
        <f t="shared" si="36"/>
        <v>25279625.140546665</v>
      </c>
      <c r="AG145" s="4">
        <f t="shared" si="36"/>
        <v>28692774.572330013</v>
      </c>
    </row>
    <row r="146" spans="1:33">
      <c r="A146" s="2" t="s">
        <v>52</v>
      </c>
      <c r="B146" s="3">
        <f t="shared" si="37"/>
        <v>0</v>
      </c>
      <c r="C146" s="3">
        <f t="shared" si="37"/>
        <v>0</v>
      </c>
      <c r="D146" s="3">
        <f t="shared" si="37"/>
        <v>0</v>
      </c>
      <c r="E146" s="3">
        <f t="shared" si="37"/>
        <v>0</v>
      </c>
      <c r="F146" s="3">
        <f t="shared" si="37"/>
        <v>3869127</v>
      </c>
      <c r="G146" s="3">
        <f t="shared" si="37"/>
        <v>5076120</v>
      </c>
      <c r="H146" s="3">
        <f t="shared" si="37"/>
        <v>5861617</v>
      </c>
      <c r="I146" s="3">
        <f t="shared" si="37"/>
        <v>5914751</v>
      </c>
      <c r="J146" s="3">
        <f t="shared" si="37"/>
        <v>7647051</v>
      </c>
      <c r="K146" s="3">
        <f t="shared" si="37"/>
        <v>6158815</v>
      </c>
      <c r="L146" s="3">
        <f t="shared" si="36"/>
        <v>7352727</v>
      </c>
      <c r="M146" s="3">
        <f t="shared" si="36"/>
        <v>7291118</v>
      </c>
      <c r="N146" s="3">
        <f t="shared" si="36"/>
        <v>8018991</v>
      </c>
      <c r="O146" s="3">
        <f t="shared" si="36"/>
        <v>6801091</v>
      </c>
      <c r="P146" s="3">
        <f t="shared" si="36"/>
        <v>7157872</v>
      </c>
      <c r="Q146" s="4">
        <f t="shared" si="36"/>
        <v>7600886.0068527423</v>
      </c>
      <c r="R146" s="4">
        <f t="shared" si="36"/>
        <v>2985866.1037244136</v>
      </c>
      <c r="S146" s="4">
        <f t="shared" si="36"/>
        <v>2394166.7558865058</v>
      </c>
      <c r="T146" s="4">
        <f t="shared" si="36"/>
        <v>6187790.7880676668</v>
      </c>
      <c r="U146" s="4">
        <f t="shared" si="36"/>
        <v>6468717.6349382801</v>
      </c>
      <c r="V146" s="4">
        <f t="shared" si="36"/>
        <v>7172653.5528427996</v>
      </c>
      <c r="W146" s="4">
        <f t="shared" si="36"/>
        <v>6465503.9401120674</v>
      </c>
      <c r="X146" s="4">
        <f t="shared" si="36"/>
        <v>7595360.9195853118</v>
      </c>
      <c r="Y146" s="4">
        <f t="shared" si="36"/>
        <v>9502662.8005694225</v>
      </c>
      <c r="Z146" s="4">
        <f t="shared" si="36"/>
        <v>10638843.593814593</v>
      </c>
      <c r="AA146" s="4">
        <f t="shared" si="36"/>
        <v>11937194.670541294</v>
      </c>
      <c r="AB146" s="4">
        <f t="shared" si="36"/>
        <v>13555205.938550858</v>
      </c>
      <c r="AC146" s="4">
        <f t="shared" si="36"/>
        <v>15807976.186378319</v>
      </c>
      <c r="AD146" s="4">
        <f t="shared" si="36"/>
        <v>18102931.953460187</v>
      </c>
      <c r="AE146" s="4">
        <f t="shared" si="36"/>
        <v>20444857.543702021</v>
      </c>
      <c r="AF146" s="4">
        <f t="shared" si="36"/>
        <v>23154188.453220516</v>
      </c>
      <c r="AG146" s="4">
        <f t="shared" si="36"/>
        <v>26142192.349418141</v>
      </c>
    </row>
    <row r="147" spans="1:33">
      <c r="A147" s="2" t="s">
        <v>53</v>
      </c>
      <c r="B147" s="3">
        <f t="shared" si="37"/>
        <v>0</v>
      </c>
      <c r="C147" s="3">
        <f t="shared" si="37"/>
        <v>0</v>
      </c>
      <c r="D147" s="3">
        <f t="shared" si="37"/>
        <v>0</v>
      </c>
      <c r="E147" s="3">
        <f t="shared" si="37"/>
        <v>0</v>
      </c>
      <c r="F147" s="3">
        <f t="shared" si="37"/>
        <v>3278166</v>
      </c>
      <c r="G147" s="3">
        <f t="shared" si="37"/>
        <v>5066451</v>
      </c>
      <c r="H147" s="3">
        <f t="shared" si="37"/>
        <v>5301019</v>
      </c>
      <c r="I147" s="3">
        <f t="shared" si="37"/>
        <v>7588362</v>
      </c>
      <c r="J147" s="3">
        <f t="shared" si="37"/>
        <v>7128137</v>
      </c>
      <c r="K147" s="3">
        <f t="shared" si="37"/>
        <v>6001005</v>
      </c>
      <c r="L147" s="3">
        <f t="shared" si="36"/>
        <v>7497164</v>
      </c>
      <c r="M147" s="3">
        <f t="shared" si="36"/>
        <v>7821691</v>
      </c>
      <c r="N147" s="3">
        <f t="shared" si="36"/>
        <v>6989752</v>
      </c>
      <c r="O147" s="3">
        <f t="shared" si="36"/>
        <v>7298983</v>
      </c>
      <c r="P147" s="3">
        <f t="shared" si="36"/>
        <v>7952465</v>
      </c>
      <c r="Q147" s="4">
        <f t="shared" si="36"/>
        <v>6893557.0572131071</v>
      </c>
      <c r="R147" s="4">
        <f t="shared" si="36"/>
        <v>2731195.3524281075</v>
      </c>
      <c r="S147" s="4">
        <f t="shared" si="36"/>
        <v>2284677.7245442346</v>
      </c>
      <c r="T147" s="4">
        <f t="shared" si="36"/>
        <v>6104127.7641046327</v>
      </c>
      <c r="U147" s="4">
        <f t="shared" si="36"/>
        <v>6244374.1747228876</v>
      </c>
      <c r="V147" s="4">
        <f t="shared" si="36"/>
        <v>6635070.8824821431</v>
      </c>
      <c r="W147" s="4">
        <f t="shared" si="36"/>
        <v>6125204.379426768</v>
      </c>
      <c r="X147" s="4">
        <f t="shared" si="36"/>
        <v>7216623.6064624665</v>
      </c>
      <c r="Y147" s="4">
        <f t="shared" si="36"/>
        <v>9018973.9879669212</v>
      </c>
      <c r="Z147" s="4">
        <f t="shared" si="36"/>
        <v>10026572.173977852</v>
      </c>
      <c r="AA147" s="4">
        <f t="shared" si="36"/>
        <v>11203591.520613167</v>
      </c>
      <c r="AB147" s="4">
        <f t="shared" si="36"/>
        <v>12742759.945655676</v>
      </c>
      <c r="AC147" s="4">
        <f t="shared" si="36"/>
        <v>14836478.071059626</v>
      </c>
      <c r="AD147" s="4">
        <f t="shared" si="36"/>
        <v>16953087.822726242</v>
      </c>
      <c r="AE147" s="4">
        <f t="shared" si="36"/>
        <v>19099548.866770573</v>
      </c>
      <c r="AF147" s="4">
        <f t="shared" si="36"/>
        <v>21591935.904380813</v>
      </c>
      <c r="AG147" s="4">
        <f t="shared" si="36"/>
        <v>24342289.516165912</v>
      </c>
    </row>
    <row r="148" spans="1:33">
      <c r="A148" s="2" t="s">
        <v>54</v>
      </c>
      <c r="B148" s="3">
        <f t="shared" si="37"/>
        <v>0</v>
      </c>
      <c r="C148" s="3">
        <f t="shared" si="37"/>
        <v>0</v>
      </c>
      <c r="D148" s="3">
        <f t="shared" si="37"/>
        <v>0</v>
      </c>
      <c r="E148" s="3">
        <f t="shared" si="37"/>
        <v>0</v>
      </c>
      <c r="F148" s="3">
        <f t="shared" si="37"/>
        <v>4305346</v>
      </c>
      <c r="G148" s="3">
        <f t="shared" si="37"/>
        <v>11923299</v>
      </c>
      <c r="H148" s="3">
        <f t="shared" si="37"/>
        <v>10319792</v>
      </c>
      <c r="I148" s="3">
        <f t="shared" si="37"/>
        <v>15280449</v>
      </c>
      <c r="J148" s="3">
        <f t="shared" si="37"/>
        <v>14987268</v>
      </c>
      <c r="K148" s="3">
        <f t="shared" si="37"/>
        <v>14635806</v>
      </c>
      <c r="L148" s="3">
        <f t="shared" si="36"/>
        <v>14239351</v>
      </c>
      <c r="M148" s="3">
        <f t="shared" si="36"/>
        <v>15123133</v>
      </c>
      <c r="N148" s="3">
        <f t="shared" si="36"/>
        <v>15473089</v>
      </c>
      <c r="O148" s="3">
        <f t="shared" si="36"/>
        <v>5551864</v>
      </c>
      <c r="P148" s="4">
        <f t="shared" si="36"/>
        <v>6456599</v>
      </c>
      <c r="Q148" s="4">
        <f t="shared" si="36"/>
        <v>19390971.838058852</v>
      </c>
      <c r="R148" s="4">
        <f t="shared" si="36"/>
        <v>5666176.7055013292</v>
      </c>
      <c r="S148" s="4">
        <f t="shared" si="36"/>
        <v>4391899.3631559405</v>
      </c>
      <c r="T148" s="4">
        <f t="shared" si="36"/>
        <v>11043772.820328236</v>
      </c>
      <c r="U148" s="4">
        <f t="shared" si="36"/>
        <v>11024928.061269149</v>
      </c>
      <c r="V148" s="4">
        <f t="shared" si="36"/>
        <v>13048510.823019948</v>
      </c>
      <c r="W148" s="4">
        <f t="shared" si="36"/>
        <v>11476905.876031443</v>
      </c>
      <c r="X148" s="4">
        <f t="shared" si="36"/>
        <v>13273520.673813965</v>
      </c>
      <c r="Y148" s="4">
        <f t="shared" ref="Y148:AG148" si="38">Y164+Y180</f>
        <v>16390670.996808708</v>
      </c>
      <c r="Z148" s="4">
        <f t="shared" si="38"/>
        <v>18001749.157719031</v>
      </c>
      <c r="AA148" s="4">
        <f t="shared" si="38"/>
        <v>19911042.757355362</v>
      </c>
      <c r="AB148" s="4">
        <f t="shared" si="38"/>
        <v>22019005.181835204</v>
      </c>
      <c r="AC148" s="4">
        <f t="shared" si="38"/>
        <v>25035017.624917567</v>
      </c>
      <c r="AD148" s="4">
        <f t="shared" si="38"/>
        <v>27877488.076629825</v>
      </c>
      <c r="AE148" s="4">
        <f t="shared" si="38"/>
        <v>30491179.088678449</v>
      </c>
      <c r="AF148" s="4">
        <f t="shared" si="38"/>
        <v>33370528.696990445</v>
      </c>
      <c r="AG148" s="4">
        <f t="shared" si="38"/>
        <v>36285975.170098796</v>
      </c>
    </row>
    <row r="149" spans="1:33" ht="15.75" thickBot="1">
      <c r="A149" s="2" t="s">
        <v>29</v>
      </c>
      <c r="B149" s="3">
        <f>SUM(B137:B148)</f>
        <v>0</v>
      </c>
      <c r="C149" s="3">
        <f t="shared" ref="C149:AG149" si="39">SUM(C137:C148)</f>
        <v>0</v>
      </c>
      <c r="D149" s="3">
        <f t="shared" si="39"/>
        <v>0</v>
      </c>
      <c r="E149" s="3">
        <f t="shared" si="39"/>
        <v>0</v>
      </c>
      <c r="F149" s="3">
        <f t="shared" si="39"/>
        <v>17379815</v>
      </c>
      <c r="G149" s="3">
        <f t="shared" si="39"/>
        <v>58368879</v>
      </c>
      <c r="H149" s="3">
        <f t="shared" si="39"/>
        <v>71974041</v>
      </c>
      <c r="I149" s="3">
        <f t="shared" si="39"/>
        <v>83476683</v>
      </c>
      <c r="J149" s="3">
        <f t="shared" si="39"/>
        <v>82679775</v>
      </c>
      <c r="K149" s="3">
        <f t="shared" si="39"/>
        <v>76252374</v>
      </c>
      <c r="L149" s="3">
        <f t="shared" si="39"/>
        <v>91544104</v>
      </c>
      <c r="M149" s="3">
        <f t="shared" si="39"/>
        <v>84106011</v>
      </c>
      <c r="N149" s="3">
        <f t="shared" si="39"/>
        <v>90517844</v>
      </c>
      <c r="O149" s="3">
        <f t="shared" si="39"/>
        <v>79286317</v>
      </c>
      <c r="P149" s="4">
        <f t="shared" si="39"/>
        <v>74345069</v>
      </c>
      <c r="Q149" s="4">
        <f t="shared" si="39"/>
        <v>80000000</v>
      </c>
      <c r="R149" s="4">
        <f t="shared" si="39"/>
        <v>30000000</v>
      </c>
      <c r="S149" s="4">
        <f t="shared" si="39"/>
        <v>24200000</v>
      </c>
      <c r="T149" s="4">
        <f t="shared" si="39"/>
        <v>62000000.000000007</v>
      </c>
      <c r="U149" s="4">
        <f t="shared" si="39"/>
        <v>60999999.999999993</v>
      </c>
      <c r="V149" s="4">
        <f t="shared" si="39"/>
        <v>66000000</v>
      </c>
      <c r="W149" s="4">
        <f t="shared" si="39"/>
        <v>61000000.000000007</v>
      </c>
      <c r="X149" s="4">
        <f t="shared" si="39"/>
        <v>71000000</v>
      </c>
      <c r="Y149" s="4">
        <f t="shared" si="39"/>
        <v>88000000</v>
      </c>
      <c r="Z149" s="4">
        <f t="shared" si="39"/>
        <v>97000000</v>
      </c>
      <c r="AA149" s="4">
        <f t="shared" si="39"/>
        <v>108000000</v>
      </c>
      <c r="AB149" s="4">
        <f t="shared" si="39"/>
        <v>122000000</v>
      </c>
      <c r="AC149" s="4">
        <f t="shared" si="39"/>
        <v>141000000</v>
      </c>
      <c r="AD149" s="4">
        <f t="shared" si="39"/>
        <v>160000000</v>
      </c>
      <c r="AE149" s="4">
        <f t="shared" si="39"/>
        <v>179000000</v>
      </c>
      <c r="AF149" s="4">
        <f t="shared" si="39"/>
        <v>201000000</v>
      </c>
      <c r="AG149" s="4">
        <f t="shared" si="39"/>
        <v>225000000</v>
      </c>
    </row>
    <row r="150" spans="1:33">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c r="AD150" s="114"/>
      <c r="AE150" s="114"/>
      <c r="AF150" s="114"/>
      <c r="AG150" s="114"/>
    </row>
    <row r="151" spans="1:33" ht="16.5" thickBot="1">
      <c r="A151" s="109" t="s">
        <v>250</v>
      </c>
    </row>
    <row r="152" spans="1:33" ht="15.75" thickBot="1">
      <c r="A152" s="110"/>
      <c r="B152" s="111">
        <v>2010</v>
      </c>
      <c r="C152" s="111">
        <v>2011</v>
      </c>
      <c r="D152" s="111">
        <v>2012</v>
      </c>
      <c r="E152" s="111">
        <v>2013</v>
      </c>
      <c r="F152" s="111">
        <v>2014</v>
      </c>
      <c r="G152" s="111">
        <v>2015</v>
      </c>
      <c r="H152" s="111">
        <v>2016</v>
      </c>
      <c r="I152" s="111">
        <v>2017</v>
      </c>
      <c r="J152" s="111">
        <v>2018</v>
      </c>
      <c r="K152" s="111">
        <v>2019</v>
      </c>
      <c r="L152" s="111">
        <v>2020</v>
      </c>
      <c r="M152" s="111">
        <v>2021</v>
      </c>
      <c r="N152" s="111">
        <v>2022</v>
      </c>
      <c r="O152" s="111">
        <v>2023</v>
      </c>
      <c r="P152" s="111">
        <v>2024</v>
      </c>
      <c r="Q152" s="111">
        <v>2025</v>
      </c>
      <c r="R152" s="111">
        <v>2026</v>
      </c>
      <c r="S152" s="111">
        <v>2027</v>
      </c>
      <c r="T152" s="111">
        <v>2028</v>
      </c>
      <c r="U152" s="111">
        <v>2029</v>
      </c>
      <c r="V152" s="111">
        <v>2030</v>
      </c>
      <c r="W152" s="111">
        <v>2031</v>
      </c>
      <c r="X152" s="111">
        <v>2032</v>
      </c>
      <c r="Y152" s="111">
        <v>2033</v>
      </c>
      <c r="Z152" s="111">
        <v>2034</v>
      </c>
      <c r="AA152" s="111">
        <v>2035</v>
      </c>
      <c r="AB152" s="111">
        <v>2036</v>
      </c>
      <c r="AC152" s="111">
        <v>2037</v>
      </c>
      <c r="AD152" s="111">
        <v>2038</v>
      </c>
      <c r="AE152" s="111">
        <v>2039</v>
      </c>
      <c r="AF152" s="111">
        <v>2040</v>
      </c>
      <c r="AG152" s="111">
        <v>2041</v>
      </c>
    </row>
    <row r="153" spans="1:33">
      <c r="A153" s="2" t="s">
        <v>43</v>
      </c>
      <c r="B153" s="3">
        <f>'Monthly D3 RIN Data'!$K4</f>
        <v>0</v>
      </c>
      <c r="C153" s="3">
        <f>'Monthly D3 RIN Data'!$K16</f>
        <v>0</v>
      </c>
      <c r="D153" s="3">
        <f>'Monthly D3 RIN Data'!$K28</f>
        <v>0</v>
      </c>
      <c r="E153" s="3">
        <f>'Monthly D3 RIN Data'!$K40</f>
        <v>0</v>
      </c>
      <c r="F153" s="3">
        <f>'Monthly D3 RIN Data'!$K52</f>
        <v>0</v>
      </c>
      <c r="G153" s="3">
        <f>'Monthly D3 RIN Data'!$K64</f>
        <v>2564904</v>
      </c>
      <c r="H153" s="3">
        <f>'Monthly D3 RIN Data'!$K76</f>
        <v>161044</v>
      </c>
      <c r="I153" s="3">
        <f>'Monthly D3 RIN Data'!$K88</f>
        <v>138431</v>
      </c>
      <c r="J153" s="3">
        <f>'Monthly D3 RIN Data'!$K100</f>
        <v>186414</v>
      </c>
      <c r="K153" s="3">
        <f>'Monthly D3 RIN Data'!$K112</f>
        <v>185308</v>
      </c>
      <c r="L153" s="3">
        <f>'Monthly D3 RIN Data'!$K124</f>
        <v>51166</v>
      </c>
      <c r="M153" s="3">
        <f>'Monthly D3 RIN Data'!$K136</f>
        <v>1179715</v>
      </c>
      <c r="N153" s="3">
        <f>'Monthly D3 RIN Data'!$K148</f>
        <v>99241</v>
      </c>
      <c r="O153" s="3">
        <f>'Monthly D3 RIN Data'!$K160</f>
        <v>604446</v>
      </c>
      <c r="P153" s="3">
        <f>'Monthly D3 RIN Data'!$K172</f>
        <v>503018</v>
      </c>
      <c r="Q153" s="4">
        <f>'D3 Gallon Forecast'!Q153</f>
        <v>0</v>
      </c>
      <c r="R153" s="4">
        <f>'D3 Gallon Forecast'!R153</f>
        <v>97165.293720906833</v>
      </c>
      <c r="S153" s="4">
        <f>'D3 Gallon Forecast'!S153</f>
        <v>65672.762484400402</v>
      </c>
      <c r="T153" s="4">
        <f>'D3 Gallon Forecast'!T153</f>
        <v>200892.46333454101</v>
      </c>
      <c r="U153" s="4">
        <f>'D3 Gallon Forecast'!U153</f>
        <v>146569.82999364167</v>
      </c>
      <c r="V153" s="4">
        <f>'D3 Gallon Forecast'!V153</f>
        <v>98210.992620170102</v>
      </c>
      <c r="W153" s="4">
        <f>'D3 Gallon Forecast'!W153</f>
        <v>152628.25605005454</v>
      </c>
      <c r="X153" s="4">
        <f>'D3 Gallon Forecast'!X153</f>
        <v>171926.24222567232</v>
      </c>
      <c r="Y153" s="4">
        <f>'D3 Gallon Forecast'!Y153</f>
        <v>211152.7881985016</v>
      </c>
      <c r="Z153" s="4">
        <f>'D3 Gallon Forecast'!Z153</f>
        <v>218176.79130126772</v>
      </c>
      <c r="AA153" s="4">
        <f>'D3 Gallon Forecast'!AA153</f>
        <v>240277.46110373878</v>
      </c>
      <c r="AB153" s="4">
        <f>'D3 Gallon Forecast'!AB153</f>
        <v>285382.84174886276</v>
      </c>
      <c r="AC153" s="4">
        <f>'D3 Gallon Forecast'!AC153</f>
        <v>326944.80157511128</v>
      </c>
      <c r="AD153" s="4">
        <f>'D3 Gallon Forecast'!AD153</f>
        <v>368902.06731726107</v>
      </c>
      <c r="AE153" s="4">
        <f>'D3 Gallon Forecast'!AE153</f>
        <v>410355.77927591914</v>
      </c>
      <c r="AF153" s="4">
        <f>'D3 Gallon Forecast'!AF153</f>
        <v>461978.10303549218</v>
      </c>
      <c r="AG153" s="4">
        <f>'D3 Gallon Forecast'!AG153</f>
        <v>519367.13376630814</v>
      </c>
    </row>
    <row r="154" spans="1:33">
      <c r="A154" s="2" t="s">
        <v>44</v>
      </c>
      <c r="B154" s="3">
        <f>'Monthly D3 RIN Data'!$K5</f>
        <v>0</v>
      </c>
      <c r="C154" s="3">
        <f>'Monthly D3 RIN Data'!$K17</f>
        <v>0</v>
      </c>
      <c r="D154" s="3">
        <f>'Monthly D3 RIN Data'!$K29</f>
        <v>0</v>
      </c>
      <c r="E154" s="3">
        <f>'Monthly D3 RIN Data'!$K41</f>
        <v>0</v>
      </c>
      <c r="F154" s="3">
        <f>'Monthly D3 RIN Data'!$K53</f>
        <v>0</v>
      </c>
      <c r="G154" s="3">
        <f>'Monthly D3 RIN Data'!$K65</f>
        <v>4177740</v>
      </c>
      <c r="H154" s="3">
        <f>'Monthly D3 RIN Data'!$K77</f>
        <v>4850138</v>
      </c>
      <c r="I154" s="3">
        <f>'Monthly D3 RIN Data'!$K89</f>
        <v>4315110</v>
      </c>
      <c r="J154" s="3">
        <f>'Monthly D3 RIN Data'!$K101</f>
        <v>4089552</v>
      </c>
      <c r="K154" s="3">
        <f>'Monthly D3 RIN Data'!$K113</f>
        <v>4330400</v>
      </c>
      <c r="L154" s="3">
        <f>'Monthly D3 RIN Data'!$K125</f>
        <v>5519687</v>
      </c>
      <c r="M154" s="3">
        <f>'Monthly D3 RIN Data'!$K137</f>
        <v>5801041</v>
      </c>
      <c r="N154" s="3">
        <f>'Monthly D3 RIN Data'!$K149</f>
        <v>6745165</v>
      </c>
      <c r="O154" s="3">
        <f>'Monthly D3 RIN Data'!$K161</f>
        <v>4078579</v>
      </c>
      <c r="P154" s="3">
        <f>'Monthly D3 RIN Data'!$K173</f>
        <v>3126529</v>
      </c>
      <c r="Q154" s="4">
        <f>'D3 Gallon Forecast'!Q154</f>
        <v>0</v>
      </c>
      <c r="R154" s="4">
        <f>'D3 Gallon Forecast'!R154</f>
        <v>804192.98622365692</v>
      </c>
      <c r="S154" s="4">
        <f>'D3 Gallon Forecast'!S154</f>
        <v>743146.41952019045</v>
      </c>
      <c r="T154" s="4">
        <f>'D3 Gallon Forecast'!T154</f>
        <v>1384159.5476892756</v>
      </c>
      <c r="U154" s="4">
        <f>'D3 Gallon Forecast'!U154</f>
        <v>1024431.0860811342</v>
      </c>
      <c r="V154" s="4">
        <f>'D3 Gallon Forecast'!V154</f>
        <v>761347.34430775943</v>
      </c>
      <c r="W154" s="4">
        <f>'D3 Gallon Forecast'!W154</f>
        <v>1183198.685909305</v>
      </c>
      <c r="X154" s="4">
        <f>'D3 Gallon Forecast'!X154</f>
        <v>1319606.4877062151</v>
      </c>
      <c r="Y154" s="4">
        <f>'D3 Gallon Forecast'!Y154</f>
        <v>1555144.5400281767</v>
      </c>
      <c r="Z154" s="4">
        <f>'D3 Gallon Forecast'!Z154</f>
        <v>1633549.3659111275</v>
      </c>
      <c r="AA154" s="4">
        <f>'D3 Gallon Forecast'!AA154</f>
        <v>1819601.6025513292</v>
      </c>
      <c r="AB154" s="4">
        <f>'D3 Gallon Forecast'!AB154</f>
        <v>2156127.7252163547</v>
      </c>
      <c r="AC154" s="4">
        <f>'D3 Gallon Forecast'!AC154</f>
        <v>2461416.0302865468</v>
      </c>
      <c r="AD154" s="4">
        <f>'D3 Gallon Forecast'!AD154</f>
        <v>2770025.687480154</v>
      </c>
      <c r="AE154" s="4">
        <f>'D3 Gallon Forecast'!AE154</f>
        <v>3089950.5631349464</v>
      </c>
      <c r="AF154" s="4">
        <f>'D3 Gallon Forecast'!AF154</f>
        <v>3481297.8075246974</v>
      </c>
      <c r="AG154" s="4">
        <f>'D3 Gallon Forecast'!AG154</f>
        <v>3911250.3213818269</v>
      </c>
    </row>
    <row r="155" spans="1:33">
      <c r="A155" s="2" t="s">
        <v>45</v>
      </c>
      <c r="B155" s="3">
        <f>'Monthly D3 RIN Data'!$K6</f>
        <v>0</v>
      </c>
      <c r="C155" s="3">
        <f>'Monthly D3 RIN Data'!$K18</f>
        <v>0</v>
      </c>
      <c r="D155" s="3">
        <f>'Monthly D3 RIN Data'!$K30</f>
        <v>0</v>
      </c>
      <c r="E155" s="3">
        <f>'Monthly D3 RIN Data'!$K42</f>
        <v>0</v>
      </c>
      <c r="F155" s="3">
        <f>'Monthly D3 RIN Data'!$K54</f>
        <v>0</v>
      </c>
      <c r="G155" s="3">
        <f>'Monthly D3 RIN Data'!$K66</f>
        <v>3556464</v>
      </c>
      <c r="H155" s="3">
        <f>'Monthly D3 RIN Data'!$K78</f>
        <v>4603290</v>
      </c>
      <c r="I155" s="3">
        <f>'Monthly D3 RIN Data'!$K90</f>
        <v>3820021</v>
      </c>
      <c r="J155" s="3">
        <f>'Monthly D3 RIN Data'!$K102</f>
        <v>3892294</v>
      </c>
      <c r="K155" s="3">
        <f>'Monthly D3 RIN Data'!$K114</f>
        <v>4039100</v>
      </c>
      <c r="L155" s="3">
        <f>'Monthly D3 RIN Data'!$K126</f>
        <v>5444113</v>
      </c>
      <c r="M155" s="3">
        <f>'Monthly D3 RIN Data'!$K138</f>
        <v>6042256</v>
      </c>
      <c r="N155" s="3">
        <f>'Monthly D3 RIN Data'!$K150</f>
        <v>6583858</v>
      </c>
      <c r="O155" s="3">
        <f>'Monthly D3 RIN Data'!$K162</f>
        <v>3434859</v>
      </c>
      <c r="P155" s="3">
        <f>'Monthly D3 RIN Data'!$K174</f>
        <v>2872469</v>
      </c>
      <c r="Q155" s="4">
        <f>'D3 Gallon Forecast'!Q155</f>
        <v>2231742.1359443478</v>
      </c>
      <c r="R155" s="4">
        <f>'D3 Gallon Forecast'!R155</f>
        <v>861760.0142582237</v>
      </c>
      <c r="S155" s="4">
        <f>'D3 Gallon Forecast'!S155</f>
        <v>805109.70556720416</v>
      </c>
      <c r="T155" s="4">
        <f>'D3 Gallon Forecast'!T155</f>
        <v>1614022.7343994714</v>
      </c>
      <c r="U155" s="4">
        <f>'D3 Gallon Forecast'!U155</f>
        <v>1417946.7053980683</v>
      </c>
      <c r="V155" s="4">
        <f>'D3 Gallon Forecast'!V155</f>
        <v>1333840.4903988419</v>
      </c>
      <c r="W155" s="4">
        <f>'D3 Gallon Forecast'!W155</f>
        <v>1513130.997743957</v>
      </c>
      <c r="X155" s="4">
        <f>'D3 Gallon Forecast'!X155</f>
        <v>1730735.2114479777</v>
      </c>
      <c r="Y155" s="4">
        <f>'D3 Gallon Forecast'!Y155</f>
        <v>2086141.7453774826</v>
      </c>
      <c r="Z155" s="4">
        <f>'D3 Gallon Forecast'!Z155</f>
        <v>2259176.165952547</v>
      </c>
      <c r="AA155" s="4">
        <f>'D3 Gallon Forecast'!AA155</f>
        <v>2516153.1539933342</v>
      </c>
      <c r="AB155" s="4">
        <f>'D3 Gallon Forecast'!AB155</f>
        <v>2900826.2293902743</v>
      </c>
      <c r="AC155" s="4">
        <f>'D3 Gallon Forecast'!AC155</f>
        <v>3334398.3196888645</v>
      </c>
      <c r="AD155" s="4">
        <f>'D3 Gallon Forecast'!AD155</f>
        <v>3768833.2703316556</v>
      </c>
      <c r="AE155" s="4">
        <f>'D3 Gallon Forecast'!AE155</f>
        <v>4212596.0158357406</v>
      </c>
      <c r="AF155" s="4">
        <f>'D3 Gallon Forecast'!AF155</f>
        <v>4737034.0913200183</v>
      </c>
      <c r="AG155" s="4">
        <f>'D3 Gallon Forecast'!AG155</f>
        <v>5310809.1948660947</v>
      </c>
    </row>
    <row r="156" spans="1:33">
      <c r="A156" s="2" t="s">
        <v>46</v>
      </c>
      <c r="B156" s="3">
        <f>'Monthly D3 RIN Data'!$K7</f>
        <v>0</v>
      </c>
      <c r="C156" s="3">
        <f>'Monthly D3 RIN Data'!$K19</f>
        <v>0</v>
      </c>
      <c r="D156" s="3">
        <f>'Monthly D3 RIN Data'!$K31</f>
        <v>0</v>
      </c>
      <c r="E156" s="3">
        <f>'Monthly D3 RIN Data'!$K43</f>
        <v>0</v>
      </c>
      <c r="F156" s="3">
        <f>'Monthly D3 RIN Data'!$K55</f>
        <v>0</v>
      </c>
      <c r="G156" s="3">
        <f>'Monthly D3 RIN Data'!$K67</f>
        <v>3350984</v>
      </c>
      <c r="H156" s="3">
        <f>'Monthly D3 RIN Data'!$K79</f>
        <v>5675117</v>
      </c>
      <c r="I156" s="3">
        <f>'Monthly D3 RIN Data'!$K91</f>
        <v>4478126</v>
      </c>
      <c r="J156" s="3">
        <f>'Monthly D3 RIN Data'!$K103</f>
        <v>3862235</v>
      </c>
      <c r="K156" s="3">
        <f>'Monthly D3 RIN Data'!$K115</f>
        <v>4446649</v>
      </c>
      <c r="L156" s="3">
        <f>'Monthly D3 RIN Data'!$K127</f>
        <v>6329732</v>
      </c>
      <c r="M156" s="3">
        <f>'Monthly D3 RIN Data'!$K139</f>
        <v>5822780</v>
      </c>
      <c r="N156" s="3">
        <f>'Monthly D3 RIN Data'!$K151</f>
        <v>7329733</v>
      </c>
      <c r="O156" s="3">
        <f>'Monthly D3 RIN Data'!$K163</f>
        <v>4355847</v>
      </c>
      <c r="P156" s="3">
        <f>'Monthly D3 RIN Data'!$K175</f>
        <v>3105000</v>
      </c>
      <c r="Q156" s="4">
        <f>'D3 Gallon Forecast'!Q156</f>
        <v>2466614.6251757024</v>
      </c>
      <c r="R156" s="4">
        <f>'D3 Gallon Forecast'!R156</f>
        <v>939722.47698488692</v>
      </c>
      <c r="S156" s="4">
        <f>'D3 Gallon Forecast'!S156</f>
        <v>916534.27534435014</v>
      </c>
      <c r="T156" s="4">
        <f>'D3 Gallon Forecast'!T156</f>
        <v>1863541.1952091418</v>
      </c>
      <c r="U156" s="4">
        <f>'D3 Gallon Forecast'!U156</f>
        <v>1571206.3308818589</v>
      </c>
      <c r="V156" s="4">
        <f>'D3 Gallon Forecast'!V156</f>
        <v>1493009.8589735578</v>
      </c>
      <c r="W156" s="4">
        <f>'D3 Gallon Forecast'!W156</f>
        <v>1701582.4933430164</v>
      </c>
      <c r="X156" s="4">
        <f>'D3 Gallon Forecast'!X156</f>
        <v>1953891.556952541</v>
      </c>
      <c r="Y156" s="4">
        <f>'D3 Gallon Forecast'!Y156</f>
        <v>2353035.4090706864</v>
      </c>
      <c r="Z156" s="4">
        <f>'D3 Gallon Forecast'!Z156</f>
        <v>2536179.7924337205</v>
      </c>
      <c r="AA156" s="4">
        <f>'D3 Gallon Forecast'!AA156</f>
        <v>2830473.9006880955</v>
      </c>
      <c r="AB156" s="4">
        <f>'D3 Gallon Forecast'!AB156</f>
        <v>3265340.9520083372</v>
      </c>
      <c r="AC156" s="4">
        <f>'D3 Gallon Forecast'!AC156</f>
        <v>3753884.6649642517</v>
      </c>
      <c r="AD156" s="4">
        <f>'D3 Gallon Forecast'!AD156</f>
        <v>4241414.3076734077</v>
      </c>
      <c r="AE156" s="4">
        <f>'D3 Gallon Forecast'!AE156</f>
        <v>4739308.2127077049</v>
      </c>
      <c r="AF156" s="4">
        <f>'D3 Gallon Forecast'!AF156</f>
        <v>5330865.9572484512</v>
      </c>
      <c r="AG156" s="4">
        <f>'D3 Gallon Forecast'!AG156</f>
        <v>5976878.1709657339</v>
      </c>
    </row>
    <row r="157" spans="1:33">
      <c r="A157" s="2" t="s">
        <v>47</v>
      </c>
      <c r="B157" s="3">
        <f>'Monthly D3 RIN Data'!$K8</f>
        <v>0</v>
      </c>
      <c r="C157" s="3">
        <f>'Monthly D3 RIN Data'!$K20</f>
        <v>0</v>
      </c>
      <c r="D157" s="3">
        <f>'Monthly D3 RIN Data'!$K32</f>
        <v>0</v>
      </c>
      <c r="E157" s="3">
        <f>'Monthly D3 RIN Data'!$K44</f>
        <v>0</v>
      </c>
      <c r="F157" s="3">
        <f>'Monthly D3 RIN Data'!$K56</f>
        <v>0</v>
      </c>
      <c r="G157" s="3">
        <f>'Monthly D3 RIN Data'!$K68</f>
        <v>3348786</v>
      </c>
      <c r="H157" s="3">
        <f>'Monthly D3 RIN Data'!$K80</f>
        <v>5254371</v>
      </c>
      <c r="I157" s="3">
        <f>'Monthly D3 RIN Data'!$K92</f>
        <v>5490050</v>
      </c>
      <c r="J157" s="3">
        <f>'Monthly D3 RIN Data'!$K104</f>
        <v>3040090</v>
      </c>
      <c r="K157" s="3">
        <f>'Monthly D3 RIN Data'!$K116</f>
        <v>2427400</v>
      </c>
      <c r="L157" s="3">
        <f>'Monthly D3 RIN Data'!$K128</f>
        <v>6261128</v>
      </c>
      <c r="M157" s="3">
        <f>'Monthly D3 RIN Data'!$K140</f>
        <v>5946988</v>
      </c>
      <c r="N157" s="3">
        <f>'Monthly D3 RIN Data'!$K152</f>
        <v>7709416</v>
      </c>
      <c r="O157" s="3">
        <f>'Monthly D3 RIN Data'!$K164</f>
        <v>3377657</v>
      </c>
      <c r="P157" s="3">
        <f>'Monthly D3 RIN Data'!$K176</f>
        <v>3224507</v>
      </c>
      <c r="Q157" s="4">
        <f>'D3 Gallon Forecast'!Q157</f>
        <v>3075280.6202729261</v>
      </c>
      <c r="R157" s="4">
        <f>'D3 Gallon Forecast'!R157</f>
        <v>1203408.3087283298</v>
      </c>
      <c r="S157" s="4">
        <f>'D3 Gallon Forecast'!S157</f>
        <v>1186038.8319156112</v>
      </c>
      <c r="T157" s="4">
        <f>'D3 Gallon Forecast'!T157</f>
        <v>2417210.1103671896</v>
      </c>
      <c r="U157" s="4">
        <f>'D3 Gallon Forecast'!U157</f>
        <v>2378969.5471807364</v>
      </c>
      <c r="V157" s="4">
        <f>'D3 Gallon Forecast'!V157</f>
        <v>2501395.3932260596</v>
      </c>
      <c r="W157" s="4">
        <f>'D3 Gallon Forecast'!W157</f>
        <v>2429721.8489987398</v>
      </c>
      <c r="X157" s="4">
        <f>'D3 Gallon Forecast'!X157</f>
        <v>2825845.5030994597</v>
      </c>
      <c r="Y157" s="4">
        <f>'D3 Gallon Forecast'!Y157</f>
        <v>3441359.9110677647</v>
      </c>
      <c r="Z157" s="4">
        <f>'D3 Gallon Forecast'!Z157</f>
        <v>3795381.3940822985</v>
      </c>
      <c r="AA157" s="4">
        <f>'D3 Gallon Forecast'!AA157</f>
        <v>4227989.6539196521</v>
      </c>
      <c r="AB157" s="4">
        <f>'D3 Gallon Forecast'!AB157</f>
        <v>4799709.1622646721</v>
      </c>
      <c r="AC157" s="4">
        <f>'D3 Gallon Forecast'!AC157</f>
        <v>5538539.6564715477</v>
      </c>
      <c r="AD157" s="4">
        <f>'D3 Gallon Forecast'!AD157</f>
        <v>6274238.7849801248</v>
      </c>
      <c r="AE157" s="4">
        <f>'D3 Gallon Forecast'!AE157</f>
        <v>7022004.2972254371</v>
      </c>
      <c r="AF157" s="4">
        <f>'D3 Gallon Forecast'!AF157</f>
        <v>7887829.2852495033</v>
      </c>
      <c r="AG157" s="4">
        <f>'D3 Gallon Forecast'!AG157</f>
        <v>8832530.8429552168</v>
      </c>
    </row>
    <row r="158" spans="1:33">
      <c r="A158" s="2" t="s">
        <v>48</v>
      </c>
      <c r="B158" s="3">
        <f>'Monthly D3 RIN Data'!$K9</f>
        <v>0</v>
      </c>
      <c r="C158" s="3">
        <f>'Monthly D3 RIN Data'!$K21</f>
        <v>0</v>
      </c>
      <c r="D158" s="3">
        <f>'Monthly D3 RIN Data'!$K33</f>
        <v>0</v>
      </c>
      <c r="E158" s="3">
        <f>'Monthly D3 RIN Data'!$K45</f>
        <v>0</v>
      </c>
      <c r="F158" s="3">
        <f>'Monthly D3 RIN Data'!$K57</f>
        <v>0</v>
      </c>
      <c r="G158" s="3">
        <f>'Monthly D3 RIN Data'!$K69</f>
        <v>2808818</v>
      </c>
      <c r="H158" s="3">
        <f>'Monthly D3 RIN Data'!$K81</f>
        <v>3864970</v>
      </c>
      <c r="I158" s="3">
        <f>'Monthly D3 RIN Data'!$K93</f>
        <v>5714928</v>
      </c>
      <c r="J158" s="3">
        <f>'Monthly D3 RIN Data'!$K105</f>
        <v>3270773</v>
      </c>
      <c r="K158" s="3">
        <f>'Monthly D3 RIN Data'!$K117</f>
        <v>3752615</v>
      </c>
      <c r="L158" s="3">
        <f>'Monthly D3 RIN Data'!$K129</f>
        <v>7332013</v>
      </c>
      <c r="M158" s="3">
        <f>'Monthly D3 RIN Data'!$K141</f>
        <v>6974332</v>
      </c>
      <c r="N158" s="3">
        <f>'Monthly D3 RIN Data'!$K153</f>
        <v>6764621</v>
      </c>
      <c r="O158" s="3">
        <f>'Monthly D3 RIN Data'!$K165</f>
        <v>6132138</v>
      </c>
      <c r="P158" s="3">
        <f>'Monthly D3 RIN Data'!$K177</f>
        <v>3256205</v>
      </c>
      <c r="Q158" s="4">
        <f>'D3 Gallon Forecast'!Q158</f>
        <v>3810978.6596851135</v>
      </c>
      <c r="R158" s="4">
        <f>'D3 Gallon Forecast'!R158</f>
        <v>1498982.8579399739</v>
      </c>
      <c r="S158" s="4">
        <f>'D3 Gallon Forecast'!S158</f>
        <v>1477414.6957617605</v>
      </c>
      <c r="T158" s="4">
        <f>'D3 Gallon Forecast'!T158</f>
        <v>3496091.9357082918</v>
      </c>
      <c r="U158" s="4">
        <f>'D3 Gallon Forecast'!U158</f>
        <v>3129120.2858595569</v>
      </c>
      <c r="V158" s="4">
        <f>'D3 Gallon Forecast'!V158</f>
        <v>3527844.5086496314</v>
      </c>
      <c r="W158" s="4">
        <f>'D3 Gallon Forecast'!W158</f>
        <v>3293160.819568553</v>
      </c>
      <c r="X158" s="4">
        <f>'D3 Gallon Forecast'!X158</f>
        <v>3864251.9673008509</v>
      </c>
      <c r="Y158" s="4">
        <f>'D3 Gallon Forecast'!Y158</f>
        <v>4745549.2757122917</v>
      </c>
      <c r="Z158" s="4">
        <f>'D3 Gallon Forecast'!Z158</f>
        <v>5188221.628639238</v>
      </c>
      <c r="AA158" s="4">
        <f>'D3 Gallon Forecast'!AA158</f>
        <v>5814242.9388668956</v>
      </c>
      <c r="AB158" s="4">
        <f>'D3 Gallon Forecast'!AB158</f>
        <v>6575204.8208722714</v>
      </c>
      <c r="AC158" s="4">
        <f>'D3 Gallon Forecast'!AC158</f>
        <v>7597599.504169153</v>
      </c>
      <c r="AD158" s="4">
        <f>'D3 Gallon Forecast'!AD158</f>
        <v>8610307.3865495957</v>
      </c>
      <c r="AE158" s="4">
        <f>'D3 Gallon Forecast'!AE158</f>
        <v>9629965.2133095395</v>
      </c>
      <c r="AF158" s="4">
        <f>'D3 Gallon Forecast'!AF158</f>
        <v>10822100.412136981</v>
      </c>
      <c r="AG158" s="4">
        <f>'D3 Gallon Forecast'!AG158</f>
        <v>12114464.384599559</v>
      </c>
    </row>
    <row r="159" spans="1:33">
      <c r="A159" s="2" t="s">
        <v>49</v>
      </c>
      <c r="B159" s="3">
        <f>'Monthly D3 RIN Data'!$K10</f>
        <v>0</v>
      </c>
      <c r="C159" s="3">
        <f>'Monthly D3 RIN Data'!$K22</f>
        <v>0</v>
      </c>
      <c r="D159" s="3">
        <f>'Monthly D3 RIN Data'!$K34</f>
        <v>0</v>
      </c>
      <c r="E159" s="3">
        <f>'Monthly D3 RIN Data'!$K46</f>
        <v>0</v>
      </c>
      <c r="F159" s="3">
        <f>'Monthly D3 RIN Data'!$K58</f>
        <v>0</v>
      </c>
      <c r="G159" s="3">
        <f>'Monthly D3 RIN Data'!$K70</f>
        <v>3208297</v>
      </c>
      <c r="H159" s="3">
        <f>'Monthly D3 RIN Data'!$K82</f>
        <v>3832496</v>
      </c>
      <c r="I159" s="3">
        <f>'Monthly D3 RIN Data'!$K94</f>
        <v>4583079</v>
      </c>
      <c r="J159" s="3">
        <f>'Monthly D3 RIN Data'!$K106</f>
        <v>4067717</v>
      </c>
      <c r="K159" s="3">
        <f>'Monthly D3 RIN Data'!$K118</f>
        <v>5094847</v>
      </c>
      <c r="L159" s="3">
        <f>'Monthly D3 RIN Data'!$K130</f>
        <v>6793302</v>
      </c>
      <c r="M159" s="3">
        <f>'Monthly D3 RIN Data'!$K142</f>
        <v>7060527</v>
      </c>
      <c r="N159" s="3">
        <f>'Monthly D3 RIN Data'!$K154</f>
        <v>7939544</v>
      </c>
      <c r="O159" s="3">
        <f>'Monthly D3 RIN Data'!$K166</f>
        <v>4704474</v>
      </c>
      <c r="P159" s="3">
        <f>'Monthly D3 RIN Data'!$K178</f>
        <v>3354072</v>
      </c>
      <c r="Q159" s="4">
        <f>'D3 Gallon Forecast'!Q159</f>
        <v>3826080.9855433283</v>
      </c>
      <c r="R159" s="4">
        <f>'D3 Gallon Forecast'!R159</f>
        <v>1532489.4221924329</v>
      </c>
      <c r="S159" s="4">
        <f>'D3 Gallon Forecast'!S159</f>
        <v>1505955.9608345693</v>
      </c>
      <c r="T159" s="4">
        <f>'D3 Gallon Forecast'!T159</f>
        <v>3304021.949422135</v>
      </c>
      <c r="U159" s="4">
        <f>'D3 Gallon Forecast'!U159</f>
        <v>3201403.1324570826</v>
      </c>
      <c r="V159" s="4">
        <f>'D3 Gallon Forecast'!V159</f>
        <v>3602401.3822556525</v>
      </c>
      <c r="W159" s="4">
        <f>'D3 Gallon Forecast'!W159</f>
        <v>3297379.0406121472</v>
      </c>
      <c r="X159" s="4">
        <f>'D3 Gallon Forecast'!X159</f>
        <v>3861022.8448442477</v>
      </c>
      <c r="Y159" s="4">
        <f>'D3 Gallon Forecast'!Y159</f>
        <v>4733420.8559627151</v>
      </c>
      <c r="Z159" s="4">
        <f>'D3 Gallon Forecast'!Z159</f>
        <v>5226155.169581525</v>
      </c>
      <c r="AA159" s="4">
        <f>'D3 Gallon Forecast'!AA159</f>
        <v>5842822.3594560809</v>
      </c>
      <c r="AB159" s="4">
        <f>'D3 Gallon Forecast'!AB159</f>
        <v>6591100.3129311046</v>
      </c>
      <c r="AC159" s="4">
        <f>'D3 Gallon Forecast'!AC159</f>
        <v>7617052.5463608438</v>
      </c>
      <c r="AD159" s="4">
        <f>'D3 Gallon Forecast'!AD159</f>
        <v>8636129.8544725943</v>
      </c>
      <c r="AE159" s="4">
        <f>'D3 Gallon Forecast'!AE159</f>
        <v>9666359.2093337346</v>
      </c>
      <c r="AF159" s="4">
        <f>'D3 Gallon Forecast'!AF159</f>
        <v>10857811.719427358</v>
      </c>
      <c r="AG159" s="4">
        <f>'D3 Gallon Forecast'!AG159</f>
        <v>12151808.305813532</v>
      </c>
    </row>
    <row r="160" spans="1:33">
      <c r="A160" s="2" t="s">
        <v>50</v>
      </c>
      <c r="B160" s="3">
        <f>'Monthly D3 RIN Data'!$K11</f>
        <v>0</v>
      </c>
      <c r="C160" s="3">
        <f>'Monthly D3 RIN Data'!$K23</f>
        <v>0</v>
      </c>
      <c r="D160" s="3">
        <f>'Monthly D3 RIN Data'!$K35</f>
        <v>0</v>
      </c>
      <c r="E160" s="3">
        <f>'Monthly D3 RIN Data'!$K47</f>
        <v>0</v>
      </c>
      <c r="F160" s="3">
        <f>'Monthly D3 RIN Data'!$K59</f>
        <v>1848485</v>
      </c>
      <c r="G160" s="3">
        <f>'Monthly D3 RIN Data'!$K71</f>
        <v>3516393</v>
      </c>
      <c r="H160" s="3">
        <f>'Monthly D3 RIN Data'!$K83</f>
        <v>4114248</v>
      </c>
      <c r="I160" s="3">
        <f>'Monthly D3 RIN Data'!$K95</f>
        <v>4321654</v>
      </c>
      <c r="J160" s="3">
        <f>'Monthly D3 RIN Data'!$K107</f>
        <v>5389916</v>
      </c>
      <c r="K160" s="3">
        <f>'Monthly D3 RIN Data'!$K119</f>
        <v>4489615</v>
      </c>
      <c r="L160" s="3">
        <f>'Monthly D3 RIN Data'!$K131</f>
        <v>7173179</v>
      </c>
      <c r="M160" s="3">
        <f>'Monthly D3 RIN Data'!$K143</f>
        <v>6693931</v>
      </c>
      <c r="N160" s="3">
        <f>'Monthly D3 RIN Data'!$K155</f>
        <v>6610857</v>
      </c>
      <c r="O160" s="3">
        <f>'Monthly D3 RIN Data'!$K167</f>
        <v>5006216</v>
      </c>
      <c r="P160" s="3">
        <f>'Monthly D3 RIN Data'!$K179</f>
        <v>2748733</v>
      </c>
      <c r="Q160" s="4">
        <f>'D3 Gallon Forecast'!Q160</f>
        <v>3790888.6314237327</v>
      </c>
      <c r="R160" s="4">
        <f>'D3 Gallon Forecast'!R160</f>
        <v>1483997.0457774361</v>
      </c>
      <c r="S160" s="4">
        <f>'D3 Gallon Forecast'!S160</f>
        <v>1450905.3897294002</v>
      </c>
      <c r="T160" s="4">
        <f>'D3 Gallon Forecast'!T160</f>
        <v>3358758.8417694918</v>
      </c>
      <c r="U160" s="4">
        <f>'D3 Gallon Forecast'!U160</f>
        <v>3182882.93464988</v>
      </c>
      <c r="V160" s="4">
        <f>'D3 Gallon Forecast'!V160</f>
        <v>3745006.3158133975</v>
      </c>
      <c r="W160" s="4">
        <f>'D3 Gallon Forecast'!W160</f>
        <v>3316260.6175662656</v>
      </c>
      <c r="X160" s="4">
        <f>'D3 Gallon Forecast'!X160</f>
        <v>3897960.6165810311</v>
      </c>
      <c r="Y160" s="4">
        <f>'D3 Gallon Forecast'!Y160</f>
        <v>4797746.1081664981</v>
      </c>
      <c r="Z160" s="4">
        <f>'D3 Gallon Forecast'!Z160</f>
        <v>5294426.7708915723</v>
      </c>
      <c r="AA160" s="4">
        <f>'D3 Gallon Forecast'!AA160</f>
        <v>5936165.134031401</v>
      </c>
      <c r="AB160" s="4">
        <f>'D3 Gallon Forecast'!AB160</f>
        <v>6671981.7133244378</v>
      </c>
      <c r="AC160" s="4">
        <f>'D3 Gallon Forecast'!AC160</f>
        <v>7716785.0377824828</v>
      </c>
      <c r="AD160" s="4">
        <f>'D3 Gallon Forecast'!AD160</f>
        <v>8753123.6731500402</v>
      </c>
      <c r="AE160" s="4">
        <f>'D3 Gallon Forecast'!AE160</f>
        <v>9797252.128858611</v>
      </c>
      <c r="AF160" s="4">
        <f>'D3 Gallon Forecast'!AF160</f>
        <v>11005544.852276819</v>
      </c>
      <c r="AG160" s="4">
        <f>'D3 Gallon Forecast'!AG160</f>
        <v>12313268.57560808</v>
      </c>
    </row>
    <row r="161" spans="1:33">
      <c r="A161" s="2" t="s">
        <v>51</v>
      </c>
      <c r="B161" s="3">
        <f>'Monthly D3 RIN Data'!$K12</f>
        <v>0</v>
      </c>
      <c r="C161" s="3">
        <f>'Monthly D3 RIN Data'!$K24</f>
        <v>0</v>
      </c>
      <c r="D161" s="3">
        <f>'Monthly D3 RIN Data'!$K36</f>
        <v>0</v>
      </c>
      <c r="E161" s="3">
        <f>'Monthly D3 RIN Data'!$K48</f>
        <v>0</v>
      </c>
      <c r="F161" s="3">
        <f>'Monthly D3 RIN Data'!$K60</f>
        <v>4078691</v>
      </c>
      <c r="G161" s="3">
        <f>'Monthly D3 RIN Data'!$K72</f>
        <v>2922363</v>
      </c>
      <c r="H161" s="3">
        <f>'Monthly D3 RIN Data'!$K84</f>
        <v>4384714</v>
      </c>
      <c r="I161" s="3">
        <f>'Monthly D3 RIN Data'!$K96</f>
        <v>3564770</v>
      </c>
      <c r="J161" s="3">
        <f>'Monthly D3 RIN Data'!$K108</f>
        <v>5465132</v>
      </c>
      <c r="K161" s="3">
        <f>'Monthly D3 RIN Data'!$K120</f>
        <v>4141744</v>
      </c>
      <c r="L161" s="3">
        <f>'Monthly D3 RIN Data'!$K132</f>
        <v>7230002</v>
      </c>
      <c r="M161" s="3">
        <f>'Monthly D3 RIN Data'!$K144</f>
        <v>7402799</v>
      </c>
      <c r="N161" s="3">
        <f>'Monthly D3 RIN Data'!$K156</f>
        <v>7095726</v>
      </c>
      <c r="O161" s="3">
        <f>'Monthly D3 RIN Data'!$K168</f>
        <v>3934635</v>
      </c>
      <c r="P161" s="3">
        <f>'Monthly D3 RIN Data'!$K180</f>
        <v>3412037</v>
      </c>
      <c r="Q161" s="4">
        <f>'D3 Gallon Forecast'!Q161</f>
        <v>3992710.5109146684</v>
      </c>
      <c r="R161" s="4">
        <f>'D3 Gallon Forecast'!R161</f>
        <v>1578021.3913089365</v>
      </c>
      <c r="S161" s="4">
        <f>'D3 Gallon Forecast'!S161</f>
        <v>1512018.718005449</v>
      </c>
      <c r="T161" s="4">
        <f>'D3 Gallon Forecast'!T161</f>
        <v>3422920.8405742305</v>
      </c>
      <c r="U161" s="4">
        <f>'D3 Gallon Forecast'!U161</f>
        <v>3530290.7077660523</v>
      </c>
      <c r="V161" s="4">
        <f>'D3 Gallon Forecast'!V161</f>
        <v>4051983.6353665371</v>
      </c>
      <c r="W161" s="4">
        <f>'D3 Gallon Forecast'!W161</f>
        <v>3535400.2996475887</v>
      </c>
      <c r="X161" s="4">
        <f>'D3 Gallon Forecast'!X161</f>
        <v>4156585.0047284821</v>
      </c>
      <c r="Y161" s="4">
        <f>'D3 Gallon Forecast'!Y161</f>
        <v>5125706.8004713217</v>
      </c>
      <c r="Z161" s="4">
        <f>'D3 Gallon Forecast'!Z161</f>
        <v>5702584.2808474293</v>
      </c>
      <c r="AA161" s="4">
        <f>'D3 Gallon Forecast'!AA161</f>
        <v>6365023.713510775</v>
      </c>
      <c r="AB161" s="4">
        <f>'D3 Gallon Forecast'!AB161</f>
        <v>7143544.9696543133</v>
      </c>
      <c r="AC161" s="4">
        <f>'D3 Gallon Forecast'!AC161</f>
        <v>8266616.6923023397</v>
      </c>
      <c r="AD161" s="4">
        <f>'D3 Gallon Forecast'!AD161</f>
        <v>9382295.3832478207</v>
      </c>
      <c r="AE161" s="4">
        <f>'D3 Gallon Forecast'!AE161</f>
        <v>10506292.423697006</v>
      </c>
      <c r="AF161" s="4">
        <f>'D3 Gallon Forecast'!AF161</f>
        <v>11794955.506570229</v>
      </c>
      <c r="AG161" s="4">
        <f>'D3 Gallon Forecast'!AG161</f>
        <v>13195620.94580465</v>
      </c>
    </row>
    <row r="162" spans="1:33">
      <c r="A162" s="2" t="s">
        <v>52</v>
      </c>
      <c r="B162" s="3">
        <f>'Monthly D3 RIN Data'!$K13</f>
        <v>0</v>
      </c>
      <c r="C162" s="3">
        <f>'Monthly D3 RIN Data'!$K25</f>
        <v>0</v>
      </c>
      <c r="D162" s="3">
        <f>'Monthly D3 RIN Data'!$K37</f>
        <v>0</v>
      </c>
      <c r="E162" s="3">
        <f>'Monthly D3 RIN Data'!$K49</f>
        <v>0</v>
      </c>
      <c r="F162" s="3">
        <f>'Monthly D3 RIN Data'!$K61</f>
        <v>3869127</v>
      </c>
      <c r="G162" s="3">
        <f>'Monthly D3 RIN Data'!$K73</f>
        <v>3671018</v>
      </c>
      <c r="H162" s="3">
        <f>'Monthly D3 RIN Data'!$K85</f>
        <v>4112131</v>
      </c>
      <c r="I162" s="3">
        <f>'Monthly D3 RIN Data'!$K97</f>
        <v>3436415</v>
      </c>
      <c r="J162" s="3">
        <f>'Monthly D3 RIN Data'!$K109</f>
        <v>5739552</v>
      </c>
      <c r="K162" s="3">
        <f>'Monthly D3 RIN Data'!$K121</f>
        <v>4270935</v>
      </c>
      <c r="L162" s="3">
        <f>'Monthly D3 RIN Data'!$K133</f>
        <v>7352727</v>
      </c>
      <c r="M162" s="3">
        <f>'Monthly D3 RIN Data'!$K145</f>
        <v>6941856</v>
      </c>
      <c r="N162" s="3">
        <f>'Monthly D3 RIN Data'!$K157</f>
        <v>6787534</v>
      </c>
      <c r="O162" s="3">
        <f>'Monthly D3 RIN Data'!$K169</f>
        <v>3502971</v>
      </c>
      <c r="P162" s="3">
        <f>'Monthly D3 RIN Data'!$K181</f>
        <v>3735478</v>
      </c>
      <c r="Q162" s="4">
        <f>'D3 Gallon Forecast'!Q162</f>
        <v>3889081.6033022706</v>
      </c>
      <c r="R162" s="4">
        <f>'D3 Gallon Forecast'!R162</f>
        <v>1518108.7097517152</v>
      </c>
      <c r="S162" s="4">
        <f>'D3 Gallon Forecast'!S162</f>
        <v>1468202.2223978513</v>
      </c>
      <c r="T162" s="4">
        <f>'D3 Gallon Forecast'!T162</f>
        <v>3348059.281632809</v>
      </c>
      <c r="U162" s="4">
        <f>'D3 Gallon Forecast'!U162</f>
        <v>3540746.6942132064</v>
      </c>
      <c r="V162" s="4">
        <f>'D3 Gallon Forecast'!V162</f>
        <v>3973529.3136231164</v>
      </c>
      <c r="W162" s="4">
        <f>'D3 Gallon Forecast'!W162</f>
        <v>3473550.2447316633</v>
      </c>
      <c r="X162" s="4">
        <f>'D3 Gallon Forecast'!X162</f>
        <v>4092232.7889077454</v>
      </c>
      <c r="Y162" s="4">
        <f>'D3 Gallon Forecast'!Y162</f>
        <v>5051945.2100733696</v>
      </c>
      <c r="Z162" s="4">
        <f>'D3 Gallon Forecast'!Z162</f>
        <v>5627678.4219027748</v>
      </c>
      <c r="AA162" s="4">
        <f>'D3 Gallon Forecast'!AA162</f>
        <v>6265391.8688192591</v>
      </c>
      <c r="AB162" s="4">
        <f>'D3 Gallon Forecast'!AB162</f>
        <v>7036040.9910612879</v>
      </c>
      <c r="AC162" s="4">
        <f>'D3 Gallon Forecast'!AC162</f>
        <v>8144719.7296044976</v>
      </c>
      <c r="AD162" s="4">
        <f>'D3 Gallon Forecast'!AD162</f>
        <v>9244827.6896291189</v>
      </c>
      <c r="AE162" s="4">
        <f>'D3 Gallon Forecast'!AE162</f>
        <v>10351974.37497139</v>
      </c>
      <c r="AF162" s="4">
        <f>'D3 Gallon Forecast'!AF162</f>
        <v>11619202.655593233</v>
      </c>
      <c r="AG162" s="4">
        <f>'D3 Gallon Forecast'!AG162</f>
        <v>13000339.008958148</v>
      </c>
    </row>
    <row r="163" spans="1:33">
      <c r="A163" s="2" t="s">
        <v>53</v>
      </c>
      <c r="B163" s="3">
        <f>'Monthly D3 RIN Data'!$K14</f>
        <v>0</v>
      </c>
      <c r="C163" s="3">
        <f>'Monthly D3 RIN Data'!$K26</f>
        <v>0</v>
      </c>
      <c r="D163" s="3">
        <f>'Monthly D3 RIN Data'!$K38</f>
        <v>0</v>
      </c>
      <c r="E163" s="3">
        <f>'Monthly D3 RIN Data'!$K50</f>
        <v>0</v>
      </c>
      <c r="F163" s="3">
        <f>'Monthly D3 RIN Data'!$K62</f>
        <v>3278166</v>
      </c>
      <c r="G163" s="3">
        <f>'Monthly D3 RIN Data'!$K74</f>
        <v>3459432</v>
      </c>
      <c r="H163" s="3">
        <f>'Monthly D3 RIN Data'!$K86</f>
        <v>3665123</v>
      </c>
      <c r="I163" s="3">
        <f>'Monthly D3 RIN Data'!$K98</f>
        <v>4070637</v>
      </c>
      <c r="J163" s="3">
        <f>'Monthly D3 RIN Data'!$K110</f>
        <v>5018307</v>
      </c>
      <c r="K163" s="3">
        <f>'Monthly D3 RIN Data'!$K122</f>
        <v>4115858</v>
      </c>
      <c r="L163" s="3">
        <f>'Monthly D3 RIN Data'!$K134</f>
        <v>7497164</v>
      </c>
      <c r="M163" s="3">
        <f>'Monthly D3 RIN Data'!$K146</f>
        <v>7154022</v>
      </c>
      <c r="N163" s="3">
        <f>'Monthly D3 RIN Data'!$K158</f>
        <v>6863778</v>
      </c>
      <c r="O163" s="3">
        <f>'Monthly D3 RIN Data'!$K170</f>
        <v>3864956</v>
      </c>
      <c r="P163" s="3">
        <f>'Monthly D3 RIN Data'!$K182</f>
        <v>5960448</v>
      </c>
      <c r="Q163" s="4">
        <f>'D3 Gallon Forecast'!Q163</f>
        <v>4112492.8953824947</v>
      </c>
      <c r="R163" s="4">
        <f>'D3 Gallon Forecast'!R163</f>
        <v>1631480.21583986</v>
      </c>
      <c r="S163" s="4">
        <f>'D3 Gallon Forecast'!S163</f>
        <v>1619527.9751127805</v>
      </c>
      <c r="T163" s="4">
        <f>'D3 Gallon Forecast'!T163</f>
        <v>3896297.0295613375</v>
      </c>
      <c r="U163" s="4">
        <f>'D3 Gallon Forecast'!U163</f>
        <v>4173861.4687148896</v>
      </c>
      <c r="V163" s="4">
        <f>'D3 Gallon Forecast'!V163</f>
        <v>4257457.805319502</v>
      </c>
      <c r="W163" s="4">
        <f>'D3 Gallon Forecast'!W163</f>
        <v>3907467.4924648455</v>
      </c>
      <c r="X163" s="4">
        <f>'D3 Gallon Forecast'!X163</f>
        <v>4623185.3966203798</v>
      </c>
      <c r="Y163" s="4">
        <f>'D3 Gallon Forecast'!Y163</f>
        <v>5718154.7942552147</v>
      </c>
      <c r="Z163" s="4">
        <f>'D3 Gallon Forecast'!Z163</f>
        <v>6339977.8526379215</v>
      </c>
      <c r="AA163" s="4">
        <f>'D3 Gallon Forecast'!AA163</f>
        <v>7006251.3860578826</v>
      </c>
      <c r="AB163" s="4">
        <f>'D3 Gallon Forecast'!AB163</f>
        <v>7921398.8340904051</v>
      </c>
      <c r="AC163" s="4">
        <f>'D3 Gallon Forecast'!AC163</f>
        <v>9170503.1382228695</v>
      </c>
      <c r="AD163" s="4">
        <f>'D3 Gallon Forecast'!AD163</f>
        <v>10404686.62021994</v>
      </c>
      <c r="AE163" s="4">
        <f>'D3 Gallon Forecast'!AE163</f>
        <v>11641503.808582792</v>
      </c>
      <c r="AF163" s="4">
        <f>'D3 Gallon Forecast'!AF163</f>
        <v>13063398.734115425</v>
      </c>
      <c r="AG163" s="4">
        <f>'D3 Gallon Forecast'!AG163</f>
        <v>14626818.811241684</v>
      </c>
    </row>
    <row r="164" spans="1:33">
      <c r="A164" s="2" t="s">
        <v>54</v>
      </c>
      <c r="B164" s="3">
        <f>'Monthly D3 RIN Data'!$K15</f>
        <v>0</v>
      </c>
      <c r="C164" s="3">
        <f>'Monthly D3 RIN Data'!$K27</f>
        <v>0</v>
      </c>
      <c r="D164" s="3">
        <f>'Monthly D3 RIN Data'!$K39</f>
        <v>0</v>
      </c>
      <c r="E164" s="3">
        <f>'Monthly D3 RIN Data'!$K51</f>
        <v>0</v>
      </c>
      <c r="F164" s="3">
        <f>'Monthly D3 RIN Data'!$K63</f>
        <v>4305346</v>
      </c>
      <c r="G164" s="3">
        <f>'Monthly D3 RIN Data'!$K75</f>
        <v>7988270</v>
      </c>
      <c r="H164" s="3">
        <f>'Monthly D3 RIN Data'!$K87</f>
        <v>6707006</v>
      </c>
      <c r="I164" s="3">
        <f>'Monthly D3 RIN Data'!$K99</f>
        <v>8790659</v>
      </c>
      <c r="J164" s="3">
        <f>'Monthly D3 RIN Data'!$K111</f>
        <v>11152309</v>
      </c>
      <c r="K164" s="3">
        <f>'Monthly D3 RIN Data'!$K123</f>
        <v>10513986</v>
      </c>
      <c r="L164" s="3">
        <f>'Monthly D3 RIN Data'!$K135</f>
        <v>13960148</v>
      </c>
      <c r="M164" s="3">
        <f>'Monthly D3 RIN Data'!$K147</f>
        <v>13967492</v>
      </c>
      <c r="N164" s="3">
        <f>'Monthly D3 RIN Data'!$K159</f>
        <v>13543812</v>
      </c>
      <c r="O164" s="3">
        <f>'Monthly D3 RIN Data'!$K171</f>
        <v>2300970</v>
      </c>
      <c r="P164" s="4">
        <f>'D3 Gallon Forecast'!P164</f>
        <v>4210181</v>
      </c>
      <c r="Q164" s="4">
        <f>'D3 Gallon Forecast'!Q164</f>
        <v>9553164.6999104805</v>
      </c>
      <c r="R164" s="4">
        <f>'D3 Gallon Forecast'!R164</f>
        <v>2791453.9642569236</v>
      </c>
      <c r="S164" s="4">
        <f>'D3 Gallon Forecast'!S164</f>
        <v>2600647.0965864658</v>
      </c>
      <c r="T164" s="4">
        <f>'D3 Gallon Forecast'!T164</f>
        <v>5403274.4773023315</v>
      </c>
      <c r="U164" s="4">
        <f>'D3 Gallon Forecast'!U164</f>
        <v>5454209.0100382268</v>
      </c>
      <c r="V164" s="4">
        <f>'D3 Gallon Forecast'!V164</f>
        <v>6194890.9080001935</v>
      </c>
      <c r="W164" s="4">
        <f>'D3 Gallon Forecast'!W164</f>
        <v>5629576.4918882959</v>
      </c>
      <c r="X164" s="4">
        <f>'D3 Gallon Forecast'!X164</f>
        <v>6546551.6296531782</v>
      </c>
      <c r="Y164" s="4">
        <f>'D3 Gallon Forecast'!Y164</f>
        <v>8012798.1977745667</v>
      </c>
      <c r="Z164" s="4">
        <f>'D3 Gallon Forecast'!Z164</f>
        <v>8899966.9885400012</v>
      </c>
      <c r="AA164" s="4">
        <f>'D3 Gallon Forecast'!AA164</f>
        <v>9949474.4002936631</v>
      </c>
      <c r="AB164" s="4">
        <f>'D3 Gallon Forecast'!AB164</f>
        <v>11206307.90681003</v>
      </c>
      <c r="AC164" s="4">
        <f>'D3 Gallon Forecast'!AC164</f>
        <v>12943886.782619491</v>
      </c>
      <c r="AD164" s="4">
        <f>'D3 Gallon Forecast'!AD164</f>
        <v>14679837.201737478</v>
      </c>
      <c r="AE164" s="4">
        <f>'D3 Gallon Forecast'!AE164</f>
        <v>16440486.810700834</v>
      </c>
      <c r="AF164" s="4">
        <f>'D3 Gallon Forecast'!AF164</f>
        <v>18463688.18807672</v>
      </c>
      <c r="AG164" s="4">
        <f>'D3 Gallon Forecast'!AG164</f>
        <v>20660269.676509991</v>
      </c>
    </row>
    <row r="165" spans="1:33" ht="15.75" thickBot="1">
      <c r="A165" s="2" t="s">
        <v>29</v>
      </c>
      <c r="B165" s="3">
        <f>SUM(B153:B164)</f>
        <v>0</v>
      </c>
      <c r="C165" s="3">
        <f t="shared" ref="C165:AG165" si="40">SUM(C153:C164)</f>
        <v>0</v>
      </c>
      <c r="D165" s="3">
        <f t="shared" si="40"/>
        <v>0</v>
      </c>
      <c r="E165" s="3">
        <f t="shared" si="40"/>
        <v>0</v>
      </c>
      <c r="F165" s="3">
        <f t="shared" si="40"/>
        <v>17379815</v>
      </c>
      <c r="G165" s="3">
        <f t="shared" si="40"/>
        <v>44573469</v>
      </c>
      <c r="H165" s="3">
        <f t="shared" si="40"/>
        <v>51224648</v>
      </c>
      <c r="I165" s="3">
        <f t="shared" si="40"/>
        <v>52723880</v>
      </c>
      <c r="J165" s="3">
        <f t="shared" si="40"/>
        <v>55174291</v>
      </c>
      <c r="K165" s="3">
        <f t="shared" si="40"/>
        <v>51808457</v>
      </c>
      <c r="L165" s="3">
        <f t="shared" si="40"/>
        <v>80944361</v>
      </c>
      <c r="M165" s="3">
        <f t="shared" si="40"/>
        <v>80987739</v>
      </c>
      <c r="N165" s="3">
        <f t="shared" si="40"/>
        <v>84073285</v>
      </c>
      <c r="O165" s="3">
        <f t="shared" si="40"/>
        <v>45297748</v>
      </c>
      <c r="P165" s="4">
        <f t="shared" si="40"/>
        <v>39508677</v>
      </c>
      <c r="Q165" s="4">
        <f t="shared" si="40"/>
        <v>40749035.367555067</v>
      </c>
      <c r="R165" s="4">
        <f t="shared" si="40"/>
        <v>15940782.686983284</v>
      </c>
      <c r="S165" s="4">
        <f t="shared" si="40"/>
        <v>15351174.053260034</v>
      </c>
      <c r="T165" s="4">
        <f t="shared" si="40"/>
        <v>33709250.406970248</v>
      </c>
      <c r="U165" s="4">
        <f t="shared" si="40"/>
        <v>32751637.733234335</v>
      </c>
      <c r="V165" s="4">
        <f t="shared" si="40"/>
        <v>35540917.948554419</v>
      </c>
      <c r="W165" s="4">
        <f t="shared" si="40"/>
        <v>33433057.28852443</v>
      </c>
      <c r="X165" s="4">
        <f t="shared" si="40"/>
        <v>39043795.250067778</v>
      </c>
      <c r="Y165" s="4">
        <f t="shared" si="40"/>
        <v>47832155.636158586</v>
      </c>
      <c r="Z165" s="4">
        <f t="shared" si="40"/>
        <v>52721474.622721426</v>
      </c>
      <c r="AA165" s="4">
        <f t="shared" si="40"/>
        <v>58813867.573292106</v>
      </c>
      <c r="AB165" s="4">
        <f t="shared" si="40"/>
        <v>66552966.459372349</v>
      </c>
      <c r="AC165" s="4">
        <f t="shared" si="40"/>
        <v>76872346.904047996</v>
      </c>
      <c r="AD165" s="4">
        <f t="shared" si="40"/>
        <v>87134621.926789194</v>
      </c>
      <c r="AE165" s="4">
        <f t="shared" si="40"/>
        <v>97508048.837633654</v>
      </c>
      <c r="AF165" s="4">
        <f t="shared" si="40"/>
        <v>109525707.31257492</v>
      </c>
      <c r="AG165" s="4">
        <f t="shared" si="40"/>
        <v>122613425.37247083</v>
      </c>
    </row>
    <row r="166" spans="1:33">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c r="AD166" s="114"/>
      <c r="AE166" s="114"/>
      <c r="AF166" s="114"/>
      <c r="AG166" s="114"/>
    </row>
    <row r="167" spans="1:33" ht="16.5" thickBot="1">
      <c r="A167" s="109" t="s">
        <v>251</v>
      </c>
    </row>
    <row r="168" spans="1:33" ht="15.75" thickBot="1">
      <c r="A168" s="110"/>
      <c r="B168" s="111">
        <v>2010</v>
      </c>
      <c r="C168" s="111">
        <v>2011</v>
      </c>
      <c r="D168" s="111">
        <v>2012</v>
      </c>
      <c r="E168" s="111">
        <v>2013</v>
      </c>
      <c r="F168" s="111">
        <v>2014</v>
      </c>
      <c r="G168" s="111">
        <v>2015</v>
      </c>
      <c r="H168" s="111">
        <v>2016</v>
      </c>
      <c r="I168" s="111">
        <v>2017</v>
      </c>
      <c r="J168" s="111">
        <v>2018</v>
      </c>
      <c r="K168" s="111">
        <v>2019</v>
      </c>
      <c r="L168" s="111">
        <v>2020</v>
      </c>
      <c r="M168" s="111">
        <v>2021</v>
      </c>
      <c r="N168" s="111">
        <v>2022</v>
      </c>
      <c r="O168" s="111">
        <v>2023</v>
      </c>
      <c r="P168" s="111">
        <v>2024</v>
      </c>
      <c r="Q168" s="111">
        <v>2025</v>
      </c>
      <c r="R168" s="111">
        <v>2026</v>
      </c>
      <c r="S168" s="111">
        <v>2027</v>
      </c>
      <c r="T168" s="111">
        <v>2028</v>
      </c>
      <c r="U168" s="111">
        <v>2029</v>
      </c>
      <c r="V168" s="111">
        <v>2030</v>
      </c>
      <c r="W168" s="111">
        <v>2031</v>
      </c>
      <c r="X168" s="111">
        <v>2032</v>
      </c>
      <c r="Y168" s="111">
        <v>2033</v>
      </c>
      <c r="Z168" s="111">
        <v>2034</v>
      </c>
      <c r="AA168" s="111">
        <v>2035</v>
      </c>
      <c r="AB168" s="111">
        <v>2036</v>
      </c>
      <c r="AC168" s="111">
        <v>2037</v>
      </c>
      <c r="AD168" s="111">
        <v>2038</v>
      </c>
      <c r="AE168" s="111">
        <v>2039</v>
      </c>
      <c r="AF168" s="111">
        <v>2040</v>
      </c>
      <c r="AG168" s="111">
        <v>2041</v>
      </c>
    </row>
    <row r="169" spans="1:33">
      <c r="A169" s="2" t="s">
        <v>43</v>
      </c>
      <c r="B169" s="3">
        <f>'Monthly D3 RIN Data'!$L4</f>
        <v>0</v>
      </c>
      <c r="C169" s="3">
        <f>'Monthly D3 RIN Data'!$L16</f>
        <v>0</v>
      </c>
      <c r="D169" s="3">
        <f>'Monthly D3 RIN Data'!$L28</f>
        <v>0</v>
      </c>
      <c r="E169" s="3">
        <f>'Monthly D3 RIN Data'!$L40</f>
        <v>0</v>
      </c>
      <c r="F169" s="3">
        <f>'Monthly D3 RIN Data'!$L52</f>
        <v>0</v>
      </c>
      <c r="G169" s="3">
        <f>'Monthly D3 RIN Data'!$L64</f>
        <v>0</v>
      </c>
      <c r="H169" s="3">
        <f>'Monthly D3 RIN Data'!$L76</f>
        <v>0</v>
      </c>
      <c r="I169" s="3">
        <f>'Monthly D3 RIN Data'!$L88</f>
        <v>0</v>
      </c>
      <c r="J169" s="3">
        <f>'Monthly D3 RIN Data'!$L100</f>
        <v>0</v>
      </c>
      <c r="K169" s="3">
        <f>'Monthly D3 RIN Data'!$L112</f>
        <v>0</v>
      </c>
      <c r="L169" s="3">
        <f>'Monthly D3 RIN Data'!$L124</f>
        <v>0</v>
      </c>
      <c r="M169" s="3">
        <f>'Monthly D3 RIN Data'!$L136</f>
        <v>0</v>
      </c>
      <c r="N169" s="3">
        <f>'Monthly D3 RIN Data'!$L148</f>
        <v>0</v>
      </c>
      <c r="O169" s="3">
        <f>'Monthly D3 RIN Data'!$L160</f>
        <v>0</v>
      </c>
      <c r="P169" s="3">
        <f>'Monthly D3 RIN Data'!$L172</f>
        <v>0</v>
      </c>
      <c r="Q169" s="4">
        <f>'D3 Gallon Forecast'!Q169</f>
        <v>0</v>
      </c>
      <c r="R169" s="4">
        <f>'D3 Gallon Forecast'!R169</f>
        <v>0</v>
      </c>
      <c r="S169" s="4">
        <f>'D3 Gallon Forecast'!S169</f>
        <v>0</v>
      </c>
      <c r="T169" s="4">
        <f>'D3 Gallon Forecast'!T169</f>
        <v>0</v>
      </c>
      <c r="U169" s="4">
        <f>'D3 Gallon Forecast'!U169</f>
        <v>0</v>
      </c>
      <c r="V169" s="4">
        <f>'D3 Gallon Forecast'!V169</f>
        <v>0</v>
      </c>
      <c r="W169" s="4">
        <f>'D3 Gallon Forecast'!W169</f>
        <v>0</v>
      </c>
      <c r="X169" s="4">
        <f>'D3 Gallon Forecast'!X169</f>
        <v>0</v>
      </c>
      <c r="Y169" s="4">
        <f>'D3 Gallon Forecast'!Y169</f>
        <v>0</v>
      </c>
      <c r="Z169" s="4">
        <f>'D3 Gallon Forecast'!Z169</f>
        <v>0</v>
      </c>
      <c r="AA169" s="4">
        <f>'D3 Gallon Forecast'!AA169</f>
        <v>0</v>
      </c>
      <c r="AB169" s="4">
        <f>'D3 Gallon Forecast'!AB169</f>
        <v>0</v>
      </c>
      <c r="AC169" s="4">
        <f>'D3 Gallon Forecast'!AC169</f>
        <v>0</v>
      </c>
      <c r="AD169" s="4">
        <f>'D3 Gallon Forecast'!AD169</f>
        <v>0</v>
      </c>
      <c r="AE169" s="4">
        <f>'D3 Gallon Forecast'!AE169</f>
        <v>0</v>
      </c>
      <c r="AF169" s="4">
        <f>'D3 Gallon Forecast'!AF169</f>
        <v>0</v>
      </c>
      <c r="AG169" s="4">
        <f>'D3 Gallon Forecast'!AG169</f>
        <v>0</v>
      </c>
    </row>
    <row r="170" spans="1:33">
      <c r="A170" s="2" t="s">
        <v>44</v>
      </c>
      <c r="B170" s="3">
        <f>'Monthly D3 RIN Data'!$L5</f>
        <v>0</v>
      </c>
      <c r="C170" s="3">
        <f>'Monthly D3 RIN Data'!$L17</f>
        <v>0</v>
      </c>
      <c r="D170" s="3">
        <f>'Monthly D3 RIN Data'!$L29</f>
        <v>0</v>
      </c>
      <c r="E170" s="3">
        <f>'Monthly D3 RIN Data'!$L41</f>
        <v>0</v>
      </c>
      <c r="F170" s="3">
        <f>'Monthly D3 RIN Data'!$L53</f>
        <v>0</v>
      </c>
      <c r="G170" s="3">
        <f>'Monthly D3 RIN Data'!$L65</f>
        <v>0</v>
      </c>
      <c r="H170" s="3">
        <f>'Monthly D3 RIN Data'!$L77</f>
        <v>1628506</v>
      </c>
      <c r="I170" s="3">
        <f>'Monthly D3 RIN Data'!$L89</f>
        <v>1753345</v>
      </c>
      <c r="J170" s="3">
        <f>'Monthly D3 RIN Data'!$L101</f>
        <v>2095277</v>
      </c>
      <c r="K170" s="3">
        <f>'Monthly D3 RIN Data'!$L113</f>
        <v>2006302</v>
      </c>
      <c r="L170" s="3">
        <f>'Monthly D3 RIN Data'!$L125</f>
        <v>2092169</v>
      </c>
      <c r="M170" s="3">
        <f>'Monthly D3 RIN Data'!$L137</f>
        <v>0</v>
      </c>
      <c r="N170" s="3">
        <f>'Monthly D3 RIN Data'!$L149</f>
        <v>318595</v>
      </c>
      <c r="O170" s="3">
        <f>'Monthly D3 RIN Data'!$L161</f>
        <v>3299257</v>
      </c>
      <c r="P170" s="3">
        <f>'Monthly D3 RIN Data'!$L173</f>
        <v>3349813</v>
      </c>
      <c r="Q170" s="4">
        <f>'D3 Gallon Forecast'!Q170</f>
        <v>0</v>
      </c>
      <c r="R170" s="4">
        <f>'D3 Gallon Forecast'!R170</f>
        <v>608079.93604468787</v>
      </c>
      <c r="S170" s="4">
        <f>'D3 Gallon Forecast'!S170</f>
        <v>381571.77153524128</v>
      </c>
      <c r="T170" s="4">
        <f>'D3 Gallon Forecast'!T170</f>
        <v>1208028.919631023</v>
      </c>
      <c r="U170" s="4">
        <f>'D3 Gallon Forecast'!U170</f>
        <v>938098.16746244626</v>
      </c>
      <c r="V170" s="4">
        <f>'D3 Gallon Forecast'!V170</f>
        <v>603503.30612882273</v>
      </c>
      <c r="W170" s="4">
        <f>'D3 Gallon Forecast'!W170</f>
        <v>703421.69453824696</v>
      </c>
      <c r="X170" s="4">
        <f>'D3 Gallon Forecast'!X170</f>
        <v>744688.98799234256</v>
      </c>
      <c r="Y170" s="4">
        <f>'D3 Gallon Forecast'!Y170</f>
        <v>863086.95015479811</v>
      </c>
      <c r="Z170" s="4">
        <f>'D3 Gallon Forecast'!Z170</f>
        <v>807755.43222370837</v>
      </c>
      <c r="AA170" s="4">
        <f>'D3 Gallon Forecast'!AA170</f>
        <v>787255.78604196198</v>
      </c>
      <c r="AB170" s="4">
        <f>'D3 Gallon Forecast'!AB170</f>
        <v>840983.78791063954</v>
      </c>
      <c r="AC170" s="4">
        <f>'D3 Gallon Forecast'!AC170</f>
        <v>879894.60362593597</v>
      </c>
      <c r="AD170" s="4">
        <f>'D3 Gallon Forecast'!AD170</f>
        <v>901937.38704108866</v>
      </c>
      <c r="AE170" s="4">
        <f>'D3 Gallon Forecast'!AE170</f>
        <v>901661.26485066512</v>
      </c>
      <c r="AF170" s="4">
        <f>'D3 Gallon Forecast'!AF170</f>
        <v>915484.1183699246</v>
      </c>
      <c r="AG170" s="4">
        <f>'D3 Gallon Forecast'!AG170</f>
        <v>933055.35000430304</v>
      </c>
    </row>
    <row r="171" spans="1:33">
      <c r="A171" s="2" t="s">
        <v>45</v>
      </c>
      <c r="B171" s="3">
        <f>'Monthly D3 RIN Data'!$L6</f>
        <v>0</v>
      </c>
      <c r="C171" s="3">
        <f>'Monthly D3 RIN Data'!$L18</f>
        <v>0</v>
      </c>
      <c r="D171" s="3">
        <f>'Monthly D3 RIN Data'!$L30</f>
        <v>0</v>
      </c>
      <c r="E171" s="3">
        <f>'Monthly D3 RIN Data'!$L42</f>
        <v>0</v>
      </c>
      <c r="F171" s="3">
        <f>'Monthly D3 RIN Data'!$L54</f>
        <v>0</v>
      </c>
      <c r="G171" s="3">
        <f>'Monthly D3 RIN Data'!$L66</f>
        <v>0</v>
      </c>
      <c r="H171" s="3">
        <f>'Monthly D3 RIN Data'!$L78</f>
        <v>1461464</v>
      </c>
      <c r="I171" s="3">
        <f>'Monthly D3 RIN Data'!$L90</f>
        <v>1581681</v>
      </c>
      <c r="J171" s="3">
        <f>'Monthly D3 RIN Data'!$L102</f>
        <v>1933792</v>
      </c>
      <c r="K171" s="3">
        <f>'Monthly D3 RIN Data'!$L114</f>
        <v>1879436</v>
      </c>
      <c r="L171" s="3">
        <f>'Monthly D3 RIN Data'!$L126</f>
        <v>1887657</v>
      </c>
      <c r="M171" s="3">
        <f>'Monthly D3 RIN Data'!$L138</f>
        <v>0</v>
      </c>
      <c r="N171" s="3">
        <f>'Monthly D3 RIN Data'!$L150</f>
        <v>0</v>
      </c>
      <c r="O171" s="3">
        <f>'Monthly D3 RIN Data'!$L162</f>
        <v>3057382</v>
      </c>
      <c r="P171" s="3">
        <f>'Monthly D3 RIN Data'!$L174</f>
        <v>3117742</v>
      </c>
      <c r="Q171" s="4">
        <f>'D3 Gallon Forecast'!Q171</f>
        <v>2575130.8803560585</v>
      </c>
      <c r="R171" s="4">
        <f>'D3 Gallon Forecast'!R171</f>
        <v>763649.57672643999</v>
      </c>
      <c r="S171" s="4">
        <f>'D3 Gallon Forecast'!S171</f>
        <v>479192.13338792161</v>
      </c>
      <c r="T171" s="4">
        <f>'D3 Gallon Forecast'!T171</f>
        <v>1580362.5449498186</v>
      </c>
      <c r="U171" s="4">
        <f>'D3 Gallon Forecast'!U171</f>
        <v>1440094.7331458325</v>
      </c>
      <c r="V171" s="4">
        <f>'D3 Gallon Forecast'!V171</f>
        <v>1316105.2818585555</v>
      </c>
      <c r="W171" s="4">
        <f>'D3 Gallon Forecast'!W171</f>
        <v>1049579.5450478496</v>
      </c>
      <c r="X171" s="4">
        <f>'D3 Gallon Forecast'!X171</f>
        <v>1139055.6097529773</v>
      </c>
      <c r="Y171" s="4">
        <f>'D3 Gallon Forecast'!Y171</f>
        <v>1341629.4366786052</v>
      </c>
      <c r="Z171" s="4">
        <f>'D3 Gallon Forecast'!Z171</f>
        <v>1317983.5738377464</v>
      </c>
      <c r="AA171" s="4">
        <f>'D3 Gallon Forecast'!AA171</f>
        <v>1303688.3269483929</v>
      </c>
      <c r="AB171" s="4">
        <f>'D3 Gallon Forecast'!AB171</f>
        <v>1324475.7389230581</v>
      </c>
      <c r="AC171" s="4">
        <f>'D3 Gallon Forecast'!AC171</f>
        <v>1398431.1863361881</v>
      </c>
      <c r="AD171" s="4">
        <f>'D3 Gallon Forecast'!AD171</f>
        <v>1443066.5315231634</v>
      </c>
      <c r="AE171" s="4">
        <f>'D3 Gallon Forecast'!AE171</f>
        <v>1451021.3204674802</v>
      </c>
      <c r="AF171" s="4">
        <f>'D3 Gallon Forecast'!AF171</f>
        <v>1469426.7295181565</v>
      </c>
      <c r="AG171" s="4">
        <f>'D3 Gallon Forecast'!AG171</f>
        <v>1489207.5084272826</v>
      </c>
    </row>
    <row r="172" spans="1:33">
      <c r="A172" s="2" t="s">
        <v>46</v>
      </c>
      <c r="B172" s="3">
        <f>'Monthly D3 RIN Data'!$L7</f>
        <v>0</v>
      </c>
      <c r="C172" s="3">
        <f>'Monthly D3 RIN Data'!$L19</f>
        <v>0</v>
      </c>
      <c r="D172" s="3">
        <f>'Monthly D3 RIN Data'!$L31</f>
        <v>0</v>
      </c>
      <c r="E172" s="3">
        <f>'Monthly D3 RIN Data'!$L43</f>
        <v>0</v>
      </c>
      <c r="F172" s="3">
        <f>'Monthly D3 RIN Data'!$L55</f>
        <v>0</v>
      </c>
      <c r="G172" s="3">
        <f>'Monthly D3 RIN Data'!$L67</f>
        <v>0</v>
      </c>
      <c r="H172" s="3">
        <f>'Monthly D3 RIN Data'!$L79</f>
        <v>1652175</v>
      </c>
      <c r="I172" s="3">
        <f>'Monthly D3 RIN Data'!$L91</f>
        <v>1878604</v>
      </c>
      <c r="J172" s="3">
        <f>'Monthly D3 RIN Data'!$L103</f>
        <v>2095347</v>
      </c>
      <c r="K172" s="3">
        <f>'Monthly D3 RIN Data'!$L115</f>
        <v>2076677</v>
      </c>
      <c r="L172" s="3">
        <f>'Monthly D3 RIN Data'!$L127</f>
        <v>2060775</v>
      </c>
      <c r="M172" s="3">
        <f>'Monthly D3 RIN Data'!$L139</f>
        <v>0</v>
      </c>
      <c r="N172" s="3">
        <f>'Monthly D3 RIN Data'!$L151</f>
        <v>157204</v>
      </c>
      <c r="O172" s="3">
        <f>'Monthly D3 RIN Data'!$L163</f>
        <v>3463427</v>
      </c>
      <c r="P172" s="3">
        <f>'Monthly D3 RIN Data'!$L175</f>
        <v>3300665</v>
      </c>
      <c r="Q172" s="4">
        <f>'D3 Gallon Forecast'!Q172</f>
        <v>2868738.2680554786</v>
      </c>
      <c r="R172" s="4">
        <f>'D3 Gallon Forecast'!R172</f>
        <v>854392.88651140337</v>
      </c>
      <c r="S172" s="4">
        <f>'D3 Gallon Forecast'!S172</f>
        <v>536133.80078586563</v>
      </c>
      <c r="T172" s="4">
        <f>'D3 Gallon Forecast'!T172</f>
        <v>1743293.5120895766</v>
      </c>
      <c r="U172" s="4">
        <f>'D3 Gallon Forecast'!U172</f>
        <v>1573203.5893638344</v>
      </c>
      <c r="V172" s="4">
        <f>'D3 Gallon Forecast'!V172</f>
        <v>1458010.1936699252</v>
      </c>
      <c r="W172" s="4">
        <f>'D3 Gallon Forecast'!W172</f>
        <v>1159746.3186502578</v>
      </c>
      <c r="X172" s="4">
        <f>'D3 Gallon Forecast'!X172</f>
        <v>1256557.7309456284</v>
      </c>
      <c r="Y172" s="4">
        <f>'D3 Gallon Forecast'!Y172</f>
        <v>1478484.5755497466</v>
      </c>
      <c r="Z172" s="4">
        <f>'D3 Gallon Forecast'!Z172</f>
        <v>1452065.3463834317</v>
      </c>
      <c r="AA172" s="4">
        <f>'D3 Gallon Forecast'!AA172</f>
        <v>1439148.8182274629</v>
      </c>
      <c r="AB172" s="4">
        <f>'D3 Gallon Forecast'!AB172</f>
        <v>1460986.4829711111</v>
      </c>
      <c r="AC172" s="4">
        <f>'D3 Gallon Forecast'!AC172</f>
        <v>1542131.5687112822</v>
      </c>
      <c r="AD172" s="4">
        <f>'D3 Gallon Forecast'!AD172</f>
        <v>1591255.4226999355</v>
      </c>
      <c r="AE172" s="4">
        <f>'D3 Gallon Forecast'!AE172</f>
        <v>1600223.1537178988</v>
      </c>
      <c r="AF172" s="4">
        <f>'D3 Gallon Forecast'!AF172</f>
        <v>1620826.9380759145</v>
      </c>
      <c r="AG172" s="4">
        <f>'D3 Gallon Forecast'!AG172</f>
        <v>1642406.8826802294</v>
      </c>
    </row>
    <row r="173" spans="1:33">
      <c r="A173" s="2" t="s">
        <v>47</v>
      </c>
      <c r="B173" s="3">
        <f>'Monthly D3 RIN Data'!$L8</f>
        <v>0</v>
      </c>
      <c r="C173" s="3">
        <f>'Monthly D3 RIN Data'!$L20</f>
        <v>0</v>
      </c>
      <c r="D173" s="3">
        <f>'Monthly D3 RIN Data'!$L32</f>
        <v>0</v>
      </c>
      <c r="E173" s="3">
        <f>'Monthly D3 RIN Data'!$L44</f>
        <v>0</v>
      </c>
      <c r="F173" s="3">
        <f>'Monthly D3 RIN Data'!$L56</f>
        <v>0</v>
      </c>
      <c r="G173" s="3">
        <f>'Monthly D3 RIN Data'!$L68</f>
        <v>0</v>
      </c>
      <c r="H173" s="3">
        <f>'Monthly D3 RIN Data'!$L80</f>
        <v>1773274</v>
      </c>
      <c r="I173" s="3">
        <f>'Monthly D3 RIN Data'!$L92</f>
        <v>2306555</v>
      </c>
      <c r="J173" s="3">
        <f>'Monthly D3 RIN Data'!$L104</f>
        <v>2543716</v>
      </c>
      <c r="K173" s="3">
        <f>'Monthly D3 RIN Data'!$L116</f>
        <v>2025206</v>
      </c>
      <c r="L173" s="3">
        <f>'Monthly D3 RIN Data'!$L128</f>
        <v>1925161</v>
      </c>
      <c r="M173" s="3">
        <f>'Monthly D3 RIN Data'!$L140</f>
        <v>0</v>
      </c>
      <c r="N173" s="3">
        <f>'Monthly D3 RIN Data'!$L152</f>
        <v>161649</v>
      </c>
      <c r="O173" s="3">
        <f>'Monthly D3 RIN Data'!$L164</f>
        <v>3178619</v>
      </c>
      <c r="P173" s="3">
        <f>'Monthly D3 RIN Data'!$L176</f>
        <v>3351714</v>
      </c>
      <c r="Q173" s="4">
        <f>'D3 Gallon Forecast'!Q173</f>
        <v>3486101.9603958558</v>
      </c>
      <c r="R173" s="4">
        <f>'D3 Gallon Forecast'!R173</f>
        <v>1125127.6119063755</v>
      </c>
      <c r="S173" s="4">
        <f>'D3 Gallon Forecast'!S173</f>
        <v>721132.53989535384</v>
      </c>
      <c r="T173" s="4">
        <f>'D3 Gallon Forecast'!T173</f>
        <v>2376305.9393870537</v>
      </c>
      <c r="U173" s="4">
        <f>'D3 Gallon Forecast'!U173</f>
        <v>2369103.0195391579</v>
      </c>
      <c r="V173" s="4">
        <f>'D3 Gallon Forecast'!V173</f>
        <v>2456750.5682716253</v>
      </c>
      <c r="W173" s="4">
        <f>'D3 Gallon Forecast'!W173</f>
        <v>2156068.751636615</v>
      </c>
      <c r="X173" s="4">
        <f>'D3 Gallon Forecast'!X173</f>
        <v>2479405.1321054911</v>
      </c>
      <c r="Y173" s="4">
        <f>'D3 Gallon Forecast'!Y173</f>
        <v>3082947.517615512</v>
      </c>
      <c r="Z173" s="4">
        <f>'D3 Gallon Forecast'!Z173</f>
        <v>3331282.2485644622</v>
      </c>
      <c r="AA173" s="4">
        <f>'D3 Gallon Forecast'!AA173</f>
        <v>3618178.0751610296</v>
      </c>
      <c r="AB173" s="4">
        <f>'D3 Gallon Forecast'!AB173</f>
        <v>4000017.6280873697</v>
      </c>
      <c r="AC173" s="4">
        <f>'D3 Gallon Forecast'!AC173</f>
        <v>4550945.9034474511</v>
      </c>
      <c r="AD173" s="4">
        <f>'D3 Gallon Forecast'!AD173</f>
        <v>5080346.1307142545</v>
      </c>
      <c r="AE173" s="4">
        <f>'D3 Gallon Forecast'!AE173</f>
        <v>5572866.1403104691</v>
      </c>
      <c r="AF173" s="4">
        <f>'D3 Gallon Forecast'!AF173</f>
        <v>6137927.4266911875</v>
      </c>
      <c r="AG173" s="4">
        <f>'D3 Gallon Forecast'!AG173</f>
        <v>6745796.4698036658</v>
      </c>
    </row>
    <row r="174" spans="1:33">
      <c r="A174" s="2" t="s">
        <v>48</v>
      </c>
      <c r="B174" s="3">
        <f>'Monthly D3 RIN Data'!$L9</f>
        <v>0</v>
      </c>
      <c r="C174" s="3">
        <f>'Monthly D3 RIN Data'!$L21</f>
        <v>0</v>
      </c>
      <c r="D174" s="3">
        <f>'Monthly D3 RIN Data'!$L33</f>
        <v>0</v>
      </c>
      <c r="E174" s="3">
        <f>'Monthly D3 RIN Data'!$L45</f>
        <v>0</v>
      </c>
      <c r="F174" s="3">
        <f>'Monthly D3 RIN Data'!$L57</f>
        <v>0</v>
      </c>
      <c r="G174" s="3">
        <f>'Monthly D3 RIN Data'!$L69</f>
        <v>1613513</v>
      </c>
      <c r="H174" s="3">
        <f>'Monthly D3 RIN Data'!$L81</f>
        <v>1830875</v>
      </c>
      <c r="I174" s="3">
        <f>'Monthly D3 RIN Data'!$L93</f>
        <v>2747969</v>
      </c>
      <c r="J174" s="3">
        <f>'Monthly D3 RIN Data'!$L105</f>
        <v>2754865</v>
      </c>
      <c r="K174" s="3">
        <f>'Monthly D3 RIN Data'!$L117</f>
        <v>2082998</v>
      </c>
      <c r="L174" s="3">
        <f>'Monthly D3 RIN Data'!$L129</f>
        <v>1075016</v>
      </c>
      <c r="M174" s="3">
        <f>'Monthly D3 RIN Data'!$L141</f>
        <v>483469</v>
      </c>
      <c r="N174" s="3">
        <f>'Monthly D3 RIN Data'!$L153</f>
        <v>124356</v>
      </c>
      <c r="O174" s="3">
        <f>'Monthly D3 RIN Data'!$L165</f>
        <v>1843070</v>
      </c>
      <c r="P174" s="3">
        <f>'Monthly D3 RIN Data'!$L177</f>
        <v>3453823</v>
      </c>
      <c r="Q174" s="4">
        <f>'D3 Gallon Forecast'!Q174</f>
        <v>3120910.7607039753</v>
      </c>
      <c r="R174" s="4">
        <f>'D3 Gallon Forecast'!R174</f>
        <v>1102754.6909044504</v>
      </c>
      <c r="S174" s="4">
        <f>'D3 Gallon Forecast'!S174</f>
        <v>680107.10161772475</v>
      </c>
      <c r="T174" s="4">
        <f>'D3 Gallon Forecast'!T174</f>
        <v>2258464.0785872135</v>
      </c>
      <c r="U174" s="4">
        <f>'D3 Gallon Forecast'!U174</f>
        <v>2513291.489402995</v>
      </c>
      <c r="V174" s="4">
        <f>'D3 Gallon Forecast'!V174</f>
        <v>2606975.5007787463</v>
      </c>
      <c r="W174" s="4">
        <f>'D3 Gallon Forecast'!W174</f>
        <v>2412829.0409773723</v>
      </c>
      <c r="X174" s="4">
        <f>'D3 Gallon Forecast'!X174</f>
        <v>2847056.1291290666</v>
      </c>
      <c r="Y174" s="4">
        <f>'D3 Gallon Forecast'!Y174</f>
        <v>3638031.590255721</v>
      </c>
      <c r="Z174" s="4">
        <f>'D3 Gallon Forecast'!Z174</f>
        <v>4114559.1210169932</v>
      </c>
      <c r="AA174" s="4">
        <f>'D3 Gallon Forecast'!AA174</f>
        <v>4624662.6285553677</v>
      </c>
      <c r="AB174" s="4">
        <f>'D3 Gallon Forecast'!AB174</f>
        <v>5316041.0426414404</v>
      </c>
      <c r="AC174" s="4">
        <f>'D3 Gallon Forecast'!AC174</f>
        <v>6257199.3688110514</v>
      </c>
      <c r="AD174" s="4">
        <f>'D3 Gallon Forecast'!AD174</f>
        <v>7236839.8385164328</v>
      </c>
      <c r="AE174" s="4">
        <f>'D3 Gallon Forecast'!AE174</f>
        <v>8245049.8579837345</v>
      </c>
      <c r="AF174" s="4">
        <f>'D3 Gallon Forecast'!AF174</f>
        <v>9416929.9394929837</v>
      </c>
      <c r="AG174" s="4">
        <f>'D3 Gallon Forecast'!AG174</f>
        <v>10730416.172115857</v>
      </c>
    </row>
    <row r="175" spans="1:33">
      <c r="A175" s="2" t="s">
        <v>49</v>
      </c>
      <c r="B175" s="3">
        <f>'Monthly D3 RIN Data'!$L10</f>
        <v>0</v>
      </c>
      <c r="C175" s="3">
        <f>'Monthly D3 RIN Data'!$L22</f>
        <v>0</v>
      </c>
      <c r="D175" s="3">
        <f>'Monthly D3 RIN Data'!$L34</f>
        <v>0</v>
      </c>
      <c r="E175" s="3">
        <f>'Monthly D3 RIN Data'!$L46</f>
        <v>0</v>
      </c>
      <c r="F175" s="3">
        <f>'Monthly D3 RIN Data'!$L58</f>
        <v>0</v>
      </c>
      <c r="G175" s="3">
        <f>'Monthly D3 RIN Data'!$L70</f>
        <v>1682699</v>
      </c>
      <c r="H175" s="3">
        <f>'Monthly D3 RIN Data'!$L82</f>
        <v>1863062</v>
      </c>
      <c r="I175" s="3">
        <f>'Monthly D3 RIN Data'!$L94</f>
        <v>2758067</v>
      </c>
      <c r="J175" s="3">
        <f>'Monthly D3 RIN Data'!$L106</f>
        <v>2736723</v>
      </c>
      <c r="K175" s="3">
        <f>'Monthly D3 RIN Data'!$L118</f>
        <v>2496596</v>
      </c>
      <c r="L175" s="3">
        <f>'Monthly D3 RIN Data'!$L130</f>
        <v>809299</v>
      </c>
      <c r="M175" s="3">
        <f>'Monthly D3 RIN Data'!$L142</f>
        <v>240726</v>
      </c>
      <c r="N175" s="3">
        <f>'Monthly D3 RIN Data'!$L154</f>
        <v>33341</v>
      </c>
      <c r="O175" s="3">
        <f>'Monthly D3 RIN Data'!$L166</f>
        <v>2538274</v>
      </c>
      <c r="P175" s="3">
        <f>'Monthly D3 RIN Data'!$L178</f>
        <v>3264720</v>
      </c>
      <c r="Q175" s="4">
        <f>'D3 Gallon Forecast'!Q175</f>
        <v>3079159.6106787776</v>
      </c>
      <c r="R175" s="4">
        <f>'D3 Gallon Forecast'!R175</f>
        <v>1118710.451879309</v>
      </c>
      <c r="S175" s="4">
        <f>'D3 Gallon Forecast'!S175</f>
        <v>707557.76594744483</v>
      </c>
      <c r="T175" s="4">
        <f>'D3 Gallon Forecast'!T175</f>
        <v>2370883.1459914027</v>
      </c>
      <c r="U175" s="4">
        <f>'D3 Gallon Forecast'!U175</f>
        <v>2495528.8832727852</v>
      </c>
      <c r="V175" s="4">
        <f>'D3 Gallon Forecast'!V175</f>
        <v>2632925.7470584819</v>
      </c>
      <c r="W175" s="4">
        <f>'D3 Gallon Forecast'!W175</f>
        <v>2456024.1115348302</v>
      </c>
      <c r="X175" s="4">
        <f>'D3 Gallon Forecast'!X175</f>
        <v>2899054.1947161155</v>
      </c>
      <c r="Y175" s="4">
        <f>'D3 Gallon Forecast'!Y175</f>
        <v>3700149.6761053028</v>
      </c>
      <c r="Z175" s="4">
        <f>'D3 Gallon Forecast'!Z175</f>
        <v>4163135.6602369552</v>
      </c>
      <c r="AA175" s="4">
        <f>'D3 Gallon Forecast'!AA175</f>
        <v>4693306.0490509169</v>
      </c>
      <c r="AB175" s="4">
        <f>'D3 Gallon Forecast'!AB175</f>
        <v>5398787.9705873225</v>
      </c>
      <c r="AC175" s="4">
        <f>'D3 Gallon Forecast'!AC175</f>
        <v>6352878.3686844315</v>
      </c>
      <c r="AD175" s="4">
        <f>'D3 Gallon Forecast'!AD175</f>
        <v>7344941.1829922833</v>
      </c>
      <c r="AE175" s="4">
        <f>'D3 Gallon Forecast'!AE175</f>
        <v>8365884.7182646208</v>
      </c>
      <c r="AF175" s="4">
        <f>'D3 Gallon Forecast'!AF175</f>
        <v>9558424.2662193924</v>
      </c>
      <c r="AG175" s="4">
        <f>'D3 Gallon Forecast'!AG175</f>
        <v>10891894.800397545</v>
      </c>
    </row>
    <row r="176" spans="1:33">
      <c r="A176" s="2" t="s">
        <v>50</v>
      </c>
      <c r="B176" s="3">
        <f>'Monthly D3 RIN Data'!$L11</f>
        <v>0</v>
      </c>
      <c r="C176" s="3">
        <f>'Monthly D3 RIN Data'!$L23</f>
        <v>0</v>
      </c>
      <c r="D176" s="3">
        <f>'Monthly D3 RIN Data'!$L35</f>
        <v>0</v>
      </c>
      <c r="E176" s="3">
        <f>'Monthly D3 RIN Data'!$L47</f>
        <v>0</v>
      </c>
      <c r="F176" s="3">
        <f>'Monthly D3 RIN Data'!$L59</f>
        <v>0</v>
      </c>
      <c r="G176" s="3">
        <f>'Monthly D3 RIN Data'!$L71</f>
        <v>1825794</v>
      </c>
      <c r="H176" s="3">
        <f>'Monthly D3 RIN Data'!$L83</f>
        <v>1800498</v>
      </c>
      <c r="I176" s="3">
        <f>'Monthly D3 RIN Data'!$L95</f>
        <v>2486628</v>
      </c>
      <c r="J176" s="3">
        <f>'Monthly D3 RIN Data'!$L107</f>
        <v>2778425</v>
      </c>
      <c r="K176" s="3">
        <f>'Monthly D3 RIN Data'!$L119</f>
        <v>2044099</v>
      </c>
      <c r="L176" s="3">
        <f>'Monthly D3 RIN Data'!$L131</f>
        <v>470463</v>
      </c>
      <c r="M176" s="3">
        <f>'Monthly D3 RIN Data'!$L143</f>
        <v>195705</v>
      </c>
      <c r="N176" s="3">
        <f>'Monthly D3 RIN Data'!$L155</f>
        <v>1162900</v>
      </c>
      <c r="O176" s="3">
        <f>'Monthly D3 RIN Data'!$L167</f>
        <v>3261226</v>
      </c>
      <c r="P176" s="3">
        <f>'Monthly D3 RIN Data'!$L179</f>
        <v>3694958</v>
      </c>
      <c r="Q176" s="4">
        <f>'D3 Gallon Forecast'!Q176</f>
        <v>4021757.380516401</v>
      </c>
      <c r="R176" s="4">
        <f>'D3 Gallon Forecast'!R176</f>
        <v>1543171.5520445742</v>
      </c>
      <c r="S176" s="4">
        <f>'D3 Gallon Forecast'!S176</f>
        <v>987896.78251727717</v>
      </c>
      <c r="T176" s="4">
        <f>'D3 Gallon Forecast'!T176</f>
        <v>3062156.3247224293</v>
      </c>
      <c r="U176" s="4">
        <f>'D3 Gallon Forecast'!U176</f>
        <v>3226077.3457672209</v>
      </c>
      <c r="V176" s="4">
        <f>'D3 Gallon Forecast'!V176</f>
        <v>3542275.1298835245</v>
      </c>
      <c r="W176" s="4">
        <f>'D3 Gallon Forecast'!W176</f>
        <v>3333102.0584842279</v>
      </c>
      <c r="X176" s="4">
        <f>'D3 Gallon Forecast'!X176</f>
        <v>3939145.9545146702</v>
      </c>
      <c r="Y176" s="4">
        <f>'D3 Gallon Forecast'!Y176</f>
        <v>5040251.6964018634</v>
      </c>
      <c r="Z176" s="4">
        <f>'D3 Gallon Forecast'!Z176</f>
        <v>5733878.5636779433</v>
      </c>
      <c r="AA176" s="4">
        <f>'D3 Gallon Forecast'!AA176</f>
        <v>6544236.7104018666</v>
      </c>
      <c r="AB176" s="4">
        <f>'D3 Gallon Forecast'!AB176</f>
        <v>7588374.4825493572</v>
      </c>
      <c r="AC176" s="4">
        <f>'D3 Gallon Forecast'!AC176</f>
        <v>8996533.7115200385</v>
      </c>
      <c r="AD176" s="4">
        <f>'D3 Gallon Forecast'!AD176</f>
        <v>10488063.54011292</v>
      </c>
      <c r="AE176" s="4">
        <f>'D3 Gallon Forecast'!AE176</f>
        <v>12057536.492937641</v>
      </c>
      <c r="AF176" s="4">
        <f>'D3 Gallon Forecast'!AF176</f>
        <v>13900240.158274684</v>
      </c>
      <c r="AG176" s="4">
        <f>'D3 Gallon Forecast'!AG176</f>
        <v>15973614.278601907</v>
      </c>
    </row>
    <row r="177" spans="1:33">
      <c r="A177" s="2" t="s">
        <v>51</v>
      </c>
      <c r="B177" s="3">
        <f>'Monthly D3 RIN Data'!$L12</f>
        <v>0</v>
      </c>
      <c r="C177" s="3">
        <f>'Monthly D3 RIN Data'!$L24</f>
        <v>0</v>
      </c>
      <c r="D177" s="3">
        <f>'Monthly D3 RIN Data'!$L36</f>
        <v>0</v>
      </c>
      <c r="E177" s="3">
        <f>'Monthly D3 RIN Data'!$L48</f>
        <v>0</v>
      </c>
      <c r="F177" s="3">
        <f>'Monthly D3 RIN Data'!$L60</f>
        <v>0</v>
      </c>
      <c r="G177" s="3">
        <f>'Monthly D3 RIN Data'!$L72</f>
        <v>1726254</v>
      </c>
      <c r="H177" s="3">
        <f>'Monthly D3 RIN Data'!$L84</f>
        <v>1741371</v>
      </c>
      <c r="I177" s="3">
        <f>'Monthly D3 RIN Data'!$L96</f>
        <v>2754103</v>
      </c>
      <c r="J177" s="3">
        <f>'Monthly D3 RIN Data'!$L108</f>
        <v>2715051</v>
      </c>
      <c r="K177" s="3">
        <f>'Monthly D3 RIN Data'!$L120</f>
        <v>1937756</v>
      </c>
      <c r="L177" s="3">
        <f>'Monthly D3 RIN Data'!$L132</f>
        <v>0</v>
      </c>
      <c r="M177" s="3">
        <f>'Monthly D3 RIN Data'!$L144</f>
        <v>25800</v>
      </c>
      <c r="N177" s="3">
        <f>'Monthly D3 RIN Data'!$L156</f>
        <v>1199806</v>
      </c>
      <c r="O177" s="3">
        <f>'Monthly D3 RIN Data'!$L168</f>
        <v>3364273</v>
      </c>
      <c r="P177" s="3">
        <f>'Monthly D3 RIN Data'!$L180</f>
        <v>3642128</v>
      </c>
      <c r="Q177" s="4">
        <f>'D3 Gallon Forecast'!Q177</f>
        <v>3768490.0682089343</v>
      </c>
      <c r="R177" s="4">
        <f>'D3 Gallon Forecast'!R177</f>
        <v>1501135.3351941241</v>
      </c>
      <c r="S177" s="4">
        <f>'D3 Gallon Forecast'!S177</f>
        <v>972867.50156355335</v>
      </c>
      <c r="T177" s="4">
        <f>'D3 Gallon Forecast'!T177</f>
        <v>3003194.5436671814</v>
      </c>
      <c r="U177" s="4">
        <f>'D3 Gallon Forecast'!U177</f>
        <v>3123762.3408473986</v>
      </c>
      <c r="V177" s="4">
        <f>'D3 Gallon Forecast'!V177</f>
        <v>3412179.0923938197</v>
      </c>
      <c r="W177" s="4">
        <f>'D3 Gallon Forecast'!W177</f>
        <v>3239151.2241206951</v>
      </c>
      <c r="X177" s="4">
        <f>'D3 Gallon Forecast'!X177</f>
        <v>3827705.6260954924</v>
      </c>
      <c r="Y177" s="4">
        <f>'D3 Gallon Forecast'!Y177</f>
        <v>4893853.3378379624</v>
      </c>
      <c r="Z177" s="4">
        <f>'D3 Gallon Forecast'!Z177</f>
        <v>5558323.7689065561</v>
      </c>
      <c r="AA177" s="4">
        <f>'D3 Gallon Forecast'!AA177</f>
        <v>6344944.7389818802</v>
      </c>
      <c r="AB177" s="4">
        <f>'D3 Gallon Forecast'!AB177</f>
        <v>7364143.072877341</v>
      </c>
      <c r="AC177" s="4">
        <f>'D3 Gallon Forecast'!AC177</f>
        <v>8729276.1529069673</v>
      </c>
      <c r="AD177" s="4">
        <f>'D3 Gallon Forecast'!AD177</f>
        <v>10174771.69838101</v>
      </c>
      <c r="AE177" s="4">
        <f>'D3 Gallon Forecast'!AE177</f>
        <v>11696087.708937811</v>
      </c>
      <c r="AF177" s="4">
        <f>'D3 Gallon Forecast'!AF177</f>
        <v>13484669.633976433</v>
      </c>
      <c r="AG177" s="4">
        <f>'D3 Gallon Forecast'!AG177</f>
        <v>15497153.626525365</v>
      </c>
    </row>
    <row r="178" spans="1:33">
      <c r="A178" s="2" t="s">
        <v>52</v>
      </c>
      <c r="B178" s="3">
        <f>'Monthly D3 RIN Data'!$L13</f>
        <v>0</v>
      </c>
      <c r="C178" s="3">
        <f>'Monthly D3 RIN Data'!$L25</f>
        <v>0</v>
      </c>
      <c r="D178" s="3">
        <f>'Monthly D3 RIN Data'!$L37</f>
        <v>0</v>
      </c>
      <c r="E178" s="3">
        <f>'Monthly D3 RIN Data'!$L49</f>
        <v>0</v>
      </c>
      <c r="F178" s="3">
        <f>'Monthly D3 RIN Data'!$L61</f>
        <v>0</v>
      </c>
      <c r="G178" s="3">
        <f>'Monthly D3 RIN Data'!$L73</f>
        <v>1405102</v>
      </c>
      <c r="H178" s="3">
        <f>'Monthly D3 RIN Data'!$L85</f>
        <v>1749486</v>
      </c>
      <c r="I178" s="3">
        <f>'Monthly D3 RIN Data'!$L97</f>
        <v>2478336</v>
      </c>
      <c r="J178" s="3">
        <f>'Monthly D3 RIN Data'!$L109</f>
        <v>1907499</v>
      </c>
      <c r="K178" s="3">
        <f>'Monthly D3 RIN Data'!$L121</f>
        <v>1887880</v>
      </c>
      <c r="L178" s="3">
        <f>'Monthly D3 RIN Data'!$L133</f>
        <v>0</v>
      </c>
      <c r="M178" s="3">
        <f>'Monthly D3 RIN Data'!$L145</f>
        <v>349262</v>
      </c>
      <c r="N178" s="3">
        <f>'Monthly D3 RIN Data'!$L157</f>
        <v>1231457</v>
      </c>
      <c r="O178" s="3">
        <f>'Monthly D3 RIN Data'!$L169</f>
        <v>3298120</v>
      </c>
      <c r="P178" s="3">
        <f>'Monthly D3 RIN Data'!$L181</f>
        <v>3422394</v>
      </c>
      <c r="Q178" s="4">
        <f>'D3 Gallon Forecast'!Q178</f>
        <v>3711804.4035504712</v>
      </c>
      <c r="R178" s="4">
        <f>'D3 Gallon Forecast'!R178</f>
        <v>1467757.3939726986</v>
      </c>
      <c r="S178" s="4">
        <f>'D3 Gallon Forecast'!S178</f>
        <v>925964.53348865453</v>
      </c>
      <c r="T178" s="4">
        <f>'D3 Gallon Forecast'!T178</f>
        <v>2839731.5064348578</v>
      </c>
      <c r="U178" s="4">
        <f>'D3 Gallon Forecast'!U178</f>
        <v>2927970.9407250737</v>
      </c>
      <c r="V178" s="4">
        <f>'D3 Gallon Forecast'!V178</f>
        <v>3199124.2392196837</v>
      </c>
      <c r="W178" s="4">
        <f>'D3 Gallon Forecast'!W178</f>
        <v>2991953.6953804037</v>
      </c>
      <c r="X178" s="4">
        <f>'D3 Gallon Forecast'!X178</f>
        <v>3503128.1306775669</v>
      </c>
      <c r="Y178" s="4">
        <f>'D3 Gallon Forecast'!Y178</f>
        <v>4450717.5904960539</v>
      </c>
      <c r="Z178" s="4">
        <f>'D3 Gallon Forecast'!Z178</f>
        <v>5011165.171911818</v>
      </c>
      <c r="AA178" s="4">
        <f>'D3 Gallon Forecast'!AA178</f>
        <v>5671802.8017220339</v>
      </c>
      <c r="AB178" s="4">
        <f>'D3 Gallon Forecast'!AB178</f>
        <v>6519164.9474895699</v>
      </c>
      <c r="AC178" s="4">
        <f>'D3 Gallon Forecast'!AC178</f>
        <v>7663256.4567738213</v>
      </c>
      <c r="AD178" s="4">
        <f>'D3 Gallon Forecast'!AD178</f>
        <v>8858104.2638310697</v>
      </c>
      <c r="AE178" s="4">
        <f>'D3 Gallon Forecast'!AE178</f>
        <v>10092883.168730631</v>
      </c>
      <c r="AF178" s="4">
        <f>'D3 Gallon Forecast'!AF178</f>
        <v>11534985.797627283</v>
      </c>
      <c r="AG178" s="4">
        <f>'D3 Gallon Forecast'!AG178</f>
        <v>13141853.340459995</v>
      </c>
    </row>
    <row r="179" spans="1:33">
      <c r="A179" s="2" t="s">
        <v>53</v>
      </c>
      <c r="B179" s="3">
        <f>'Monthly D3 RIN Data'!$L14</f>
        <v>0</v>
      </c>
      <c r="C179" s="3">
        <f>'Monthly D3 RIN Data'!$L26</f>
        <v>0</v>
      </c>
      <c r="D179" s="3">
        <f>'Monthly D3 RIN Data'!$L38</f>
        <v>0</v>
      </c>
      <c r="E179" s="3">
        <f>'Monthly D3 RIN Data'!$L50</f>
        <v>0</v>
      </c>
      <c r="F179" s="3">
        <f>'Monthly D3 RIN Data'!$L62</f>
        <v>0</v>
      </c>
      <c r="G179" s="3">
        <f>'Monthly D3 RIN Data'!$L74</f>
        <v>1607019</v>
      </c>
      <c r="H179" s="3">
        <f>'Monthly D3 RIN Data'!$L86</f>
        <v>1635896</v>
      </c>
      <c r="I179" s="3">
        <f>'Monthly D3 RIN Data'!$L98</f>
        <v>3517725</v>
      </c>
      <c r="J179" s="3">
        <f>'Monthly D3 RIN Data'!$L110</f>
        <v>2109830</v>
      </c>
      <c r="K179" s="3">
        <f>'Monthly D3 RIN Data'!$L122</f>
        <v>1885147</v>
      </c>
      <c r="L179" s="3">
        <f>'Monthly D3 RIN Data'!$L134</f>
        <v>0</v>
      </c>
      <c r="M179" s="3">
        <f>'Monthly D3 RIN Data'!$L146</f>
        <v>667669</v>
      </c>
      <c r="N179" s="3">
        <f>'Monthly D3 RIN Data'!$L158</f>
        <v>125974</v>
      </c>
      <c r="O179" s="3">
        <f>'Monthly D3 RIN Data'!$L170</f>
        <v>3434027</v>
      </c>
      <c r="P179" s="3">
        <f>'Monthly D3 RIN Data'!$L182</f>
        <v>1992017</v>
      </c>
      <c r="Q179" s="4">
        <f>'D3 Gallon Forecast'!Q179</f>
        <v>2781064.161830612</v>
      </c>
      <c r="R179" s="4">
        <f>'D3 Gallon Forecast'!R179</f>
        <v>1099715.1365882477</v>
      </c>
      <c r="S179" s="4">
        <f>'D3 Gallon Forecast'!S179</f>
        <v>665149.74943145411</v>
      </c>
      <c r="T179" s="4">
        <f>'D3 Gallon Forecast'!T179</f>
        <v>2207830.7345432951</v>
      </c>
      <c r="U179" s="4">
        <f>'D3 Gallon Forecast'!U179</f>
        <v>2070512.706007998</v>
      </c>
      <c r="V179" s="4">
        <f>'D3 Gallon Forecast'!V179</f>
        <v>2377613.0771626416</v>
      </c>
      <c r="W179" s="4">
        <f>'D3 Gallon Forecast'!W179</f>
        <v>2217736.8869619225</v>
      </c>
      <c r="X179" s="4">
        <f>'D3 Gallon Forecast'!X179</f>
        <v>2593438.2098420868</v>
      </c>
      <c r="Y179" s="4">
        <f>'D3 Gallon Forecast'!Y179</f>
        <v>3300819.1937117069</v>
      </c>
      <c r="Z179" s="4">
        <f>'D3 Gallon Forecast'!Z179</f>
        <v>3686594.3213399295</v>
      </c>
      <c r="AA179" s="4">
        <f>'D3 Gallon Forecast'!AA179</f>
        <v>4197340.1345552839</v>
      </c>
      <c r="AB179" s="4">
        <f>'D3 Gallon Forecast'!AB179</f>
        <v>4821361.1115652705</v>
      </c>
      <c r="AC179" s="4">
        <f>'D3 Gallon Forecast'!AC179</f>
        <v>5665974.9328367561</v>
      </c>
      <c r="AD179" s="4">
        <f>'D3 Gallon Forecast'!AD179</f>
        <v>6548401.202506301</v>
      </c>
      <c r="AE179" s="4">
        <f>'D3 Gallon Forecast'!AE179</f>
        <v>7458045.05818778</v>
      </c>
      <c r="AF179" s="4">
        <f>'D3 Gallon Forecast'!AF179</f>
        <v>8528537.1702653877</v>
      </c>
      <c r="AG179" s="4">
        <f>'D3 Gallon Forecast'!AG179</f>
        <v>9715470.7049242258</v>
      </c>
    </row>
    <row r="180" spans="1:33">
      <c r="A180" s="2" t="s">
        <v>54</v>
      </c>
      <c r="B180" s="3">
        <f>'Monthly D3 RIN Data'!$L15</f>
        <v>0</v>
      </c>
      <c r="C180" s="3">
        <f>'Monthly D3 RIN Data'!$L27</f>
        <v>0</v>
      </c>
      <c r="D180" s="3">
        <f>'Monthly D3 RIN Data'!$L39</f>
        <v>0</v>
      </c>
      <c r="E180" s="3">
        <f>'Monthly D3 RIN Data'!$L51</f>
        <v>0</v>
      </c>
      <c r="F180" s="3">
        <f>'Monthly D3 RIN Data'!$L63</f>
        <v>0</v>
      </c>
      <c r="G180" s="3">
        <f>'Monthly D3 RIN Data'!$L75</f>
        <v>3935029</v>
      </c>
      <c r="H180" s="3">
        <f>'Monthly D3 RIN Data'!$L87</f>
        <v>3612786</v>
      </c>
      <c r="I180" s="3">
        <f>'Monthly D3 RIN Data'!$L99</f>
        <v>6489790</v>
      </c>
      <c r="J180" s="3">
        <f>'Monthly D3 RIN Data'!$L111</f>
        <v>3834959</v>
      </c>
      <c r="K180" s="3">
        <f>'Monthly D3 RIN Data'!$L123</f>
        <v>4121820</v>
      </c>
      <c r="L180" s="3">
        <f>'Monthly D3 RIN Data'!$L135</f>
        <v>279203</v>
      </c>
      <c r="M180" s="3">
        <f>'Monthly D3 RIN Data'!$L147</f>
        <v>1155641</v>
      </c>
      <c r="N180" s="3">
        <f>'Monthly D3 RIN Data'!$L159</f>
        <v>1929277</v>
      </c>
      <c r="O180" s="3">
        <f>'Monthly D3 RIN Data'!$L171</f>
        <v>3250894</v>
      </c>
      <c r="P180" s="4">
        <f>'D3 Gallon Forecast'!P180</f>
        <v>2246418</v>
      </c>
      <c r="Q180" s="4">
        <f>'D3 Gallon Forecast'!Q180</f>
        <v>9837807.1381483711</v>
      </c>
      <c r="R180" s="4">
        <f>'D3 Gallon Forecast'!R180</f>
        <v>2874722.7412444055</v>
      </c>
      <c r="S180" s="4">
        <f>'D3 Gallon Forecast'!S180</f>
        <v>1791252.2665694747</v>
      </c>
      <c r="T180" s="4">
        <f>'D3 Gallon Forecast'!T180</f>
        <v>5640498.3430259041</v>
      </c>
      <c r="U180" s="4">
        <f>'D3 Gallon Forecast'!U180</f>
        <v>5570719.0512309223</v>
      </c>
      <c r="V180" s="4">
        <f>'D3 Gallon Forecast'!V180</f>
        <v>6853619.9150197543</v>
      </c>
      <c r="W180" s="4">
        <f>'D3 Gallon Forecast'!W180</f>
        <v>5847329.3841431476</v>
      </c>
      <c r="X180" s="4">
        <f>'D3 Gallon Forecast'!X180</f>
        <v>6726969.044160787</v>
      </c>
      <c r="Y180" s="4">
        <f>'D3 Gallon Forecast'!Y180</f>
        <v>8377872.799034141</v>
      </c>
      <c r="Z180" s="4">
        <f>'D3 Gallon Forecast'!Z180</f>
        <v>9101782.1691790298</v>
      </c>
      <c r="AA180" s="4">
        <f>'D3 Gallon Forecast'!AA180</f>
        <v>9961568.357061699</v>
      </c>
      <c r="AB180" s="4">
        <f>'D3 Gallon Forecast'!AB180</f>
        <v>10812697.275025174</v>
      </c>
      <c r="AC180" s="4">
        <f>'D3 Gallon Forecast'!AC180</f>
        <v>12091130.842298076</v>
      </c>
      <c r="AD180" s="4">
        <f>'D3 Gallon Forecast'!AD180</f>
        <v>13197650.874892347</v>
      </c>
      <c r="AE180" s="4">
        <f>'D3 Gallon Forecast'!AE180</f>
        <v>14050692.277977616</v>
      </c>
      <c r="AF180" s="4">
        <f>'D3 Gallon Forecast'!AF180</f>
        <v>14906840.508913726</v>
      </c>
      <c r="AG180" s="4">
        <f>'D3 Gallon Forecast'!AG180</f>
        <v>15625705.493588805</v>
      </c>
    </row>
    <row r="181" spans="1:33" ht="15.75" thickBot="1">
      <c r="A181" s="2" t="s">
        <v>29</v>
      </c>
      <c r="B181" s="3">
        <f>SUM(B169:B180)</f>
        <v>0</v>
      </c>
      <c r="C181" s="3">
        <f t="shared" ref="C181:O181" si="41">SUM(C169:C180)</f>
        <v>0</v>
      </c>
      <c r="D181" s="3">
        <f t="shared" si="41"/>
        <v>0</v>
      </c>
      <c r="E181" s="3">
        <f t="shared" si="41"/>
        <v>0</v>
      </c>
      <c r="F181" s="3">
        <f t="shared" si="41"/>
        <v>0</v>
      </c>
      <c r="G181" s="3">
        <f t="shared" si="41"/>
        <v>13795410</v>
      </c>
      <c r="H181" s="3">
        <f t="shared" si="41"/>
        <v>20749393</v>
      </c>
      <c r="I181" s="3">
        <f t="shared" si="41"/>
        <v>30752803</v>
      </c>
      <c r="J181" s="3">
        <f t="shared" si="41"/>
        <v>27505484</v>
      </c>
      <c r="K181" s="3">
        <f t="shared" si="41"/>
        <v>24443917</v>
      </c>
      <c r="L181" s="3">
        <f t="shared" si="41"/>
        <v>10599743</v>
      </c>
      <c r="M181" s="3">
        <f t="shared" si="41"/>
        <v>3118272</v>
      </c>
      <c r="N181" s="3">
        <f t="shared" si="41"/>
        <v>6444559</v>
      </c>
      <c r="O181" s="3">
        <f t="shared" si="41"/>
        <v>33988569</v>
      </c>
      <c r="P181" s="4">
        <f>SUM(P169:P180)</f>
        <v>34836392</v>
      </c>
      <c r="Q181" s="4">
        <f t="shared" ref="Q181:AG181" si="42">SUM(Q169:Q180)</f>
        <v>39250964.632444933</v>
      </c>
      <c r="R181" s="4">
        <f t="shared" si="42"/>
        <v>14059217.313016716</v>
      </c>
      <c r="S181" s="4">
        <f t="shared" si="42"/>
        <v>8848825.946739966</v>
      </c>
      <c r="T181" s="4">
        <f t="shared" si="42"/>
        <v>28290749.593029752</v>
      </c>
      <c r="U181" s="4">
        <f t="shared" si="42"/>
        <v>28248362.266765665</v>
      </c>
      <c r="V181" s="4">
        <f t="shared" si="42"/>
        <v>30459082.051445581</v>
      </c>
      <c r="W181" s="4">
        <f t="shared" si="42"/>
        <v>27566942.71147557</v>
      </c>
      <c r="X181" s="4">
        <f t="shared" si="42"/>
        <v>31956204.749932222</v>
      </c>
      <c r="Y181" s="4">
        <f t="shared" si="42"/>
        <v>40167844.363841414</v>
      </c>
      <c r="Z181" s="4">
        <f t="shared" si="42"/>
        <v>44278525.377278574</v>
      </c>
      <c r="AA181" s="4">
        <f t="shared" si="42"/>
        <v>49186132.426707894</v>
      </c>
      <c r="AB181" s="4">
        <f t="shared" si="42"/>
        <v>55447033.540627651</v>
      </c>
      <c r="AC181" s="4">
        <f t="shared" si="42"/>
        <v>64127653.095952004</v>
      </c>
      <c r="AD181" s="4">
        <f t="shared" si="42"/>
        <v>72865378.073210806</v>
      </c>
      <c r="AE181" s="4">
        <f t="shared" si="42"/>
        <v>81491951.162366346</v>
      </c>
      <c r="AF181" s="4">
        <f t="shared" si="42"/>
        <v>91474292.687425077</v>
      </c>
      <c r="AG181" s="4">
        <f t="shared" si="42"/>
        <v>102386574.62752917</v>
      </c>
    </row>
    <row r="182" spans="1:33">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c r="AD182" s="114"/>
      <c r="AE182" s="114"/>
      <c r="AF182" s="114"/>
      <c r="AG182" s="114"/>
    </row>
    <row r="183" spans="1:33" ht="16.5" thickBot="1">
      <c r="A183" s="109" t="s">
        <v>252</v>
      </c>
    </row>
    <row r="184" spans="1:33" ht="15.75" thickBot="1">
      <c r="A184" s="110"/>
      <c r="B184" s="111">
        <v>2010</v>
      </c>
      <c r="C184" s="111">
        <v>2011</v>
      </c>
      <c r="D184" s="111">
        <v>2012</v>
      </c>
      <c r="E184" s="111">
        <v>2013</v>
      </c>
      <c r="F184" s="111">
        <v>2014</v>
      </c>
      <c r="G184" s="111">
        <v>2015</v>
      </c>
      <c r="H184" s="111">
        <v>2016</v>
      </c>
      <c r="I184" s="111">
        <v>2017</v>
      </c>
      <c r="J184" s="111">
        <v>2018</v>
      </c>
      <c r="K184" s="111">
        <v>2019</v>
      </c>
      <c r="L184" s="111">
        <v>2020</v>
      </c>
      <c r="M184" s="111">
        <v>2021</v>
      </c>
      <c r="N184" s="111">
        <v>2022</v>
      </c>
      <c r="O184" s="111">
        <v>2023</v>
      </c>
      <c r="P184" s="111">
        <v>2024</v>
      </c>
      <c r="Q184" s="111">
        <v>2025</v>
      </c>
      <c r="R184" s="111">
        <v>2026</v>
      </c>
      <c r="S184" s="111">
        <v>2027</v>
      </c>
      <c r="T184" s="111">
        <v>2028</v>
      </c>
      <c r="U184" s="111">
        <v>2029</v>
      </c>
      <c r="V184" s="111">
        <v>2030</v>
      </c>
      <c r="W184" s="111">
        <v>2031</v>
      </c>
      <c r="X184" s="111">
        <v>2032</v>
      </c>
      <c r="Y184" s="111">
        <v>2033</v>
      </c>
      <c r="Z184" s="111">
        <v>2034</v>
      </c>
      <c r="AA184" s="111">
        <v>2035</v>
      </c>
      <c r="AB184" s="111">
        <v>2036</v>
      </c>
      <c r="AC184" s="111">
        <v>2037</v>
      </c>
      <c r="AD184" s="111">
        <v>2038</v>
      </c>
      <c r="AE184" s="111">
        <v>2039</v>
      </c>
      <c r="AF184" s="111">
        <v>2040</v>
      </c>
      <c r="AG184" s="111">
        <v>2041</v>
      </c>
    </row>
    <row r="185" spans="1:33">
      <c r="A185" s="2" t="s">
        <v>43</v>
      </c>
      <c r="B185" s="3">
        <f>B201+B217</f>
        <v>0</v>
      </c>
      <c r="C185" s="3">
        <f t="shared" ref="C185:AG196" si="43">C201+C217</f>
        <v>0</v>
      </c>
      <c r="D185" s="3">
        <f t="shared" si="43"/>
        <v>0</v>
      </c>
      <c r="E185" s="3">
        <f t="shared" si="43"/>
        <v>0</v>
      </c>
      <c r="F185" s="3">
        <f t="shared" si="43"/>
        <v>44168</v>
      </c>
      <c r="G185" s="3">
        <f t="shared" si="43"/>
        <v>0</v>
      </c>
      <c r="H185" s="3">
        <f t="shared" si="43"/>
        <v>0</v>
      </c>
      <c r="I185" s="3">
        <f t="shared" si="43"/>
        <v>0</v>
      </c>
      <c r="J185" s="3">
        <f t="shared" si="43"/>
        <v>0</v>
      </c>
      <c r="K185" s="3">
        <f t="shared" si="43"/>
        <v>0</v>
      </c>
      <c r="L185" s="3">
        <f t="shared" si="43"/>
        <v>0</v>
      </c>
      <c r="M185" s="3">
        <f t="shared" si="43"/>
        <v>0</v>
      </c>
      <c r="N185" s="3">
        <f t="shared" si="43"/>
        <v>0</v>
      </c>
      <c r="O185" s="3">
        <f t="shared" si="43"/>
        <v>0</v>
      </c>
      <c r="P185" s="3">
        <f t="shared" si="43"/>
        <v>0</v>
      </c>
      <c r="Q185" s="4">
        <f t="shared" si="43"/>
        <v>0</v>
      </c>
      <c r="R185" s="4">
        <f t="shared" si="43"/>
        <v>0</v>
      </c>
      <c r="S185" s="4">
        <f t="shared" si="43"/>
        <v>0</v>
      </c>
      <c r="T185" s="4">
        <f t="shared" si="43"/>
        <v>0</v>
      </c>
      <c r="U185" s="4">
        <f t="shared" si="43"/>
        <v>0</v>
      </c>
      <c r="V185" s="4">
        <f t="shared" si="43"/>
        <v>0</v>
      </c>
      <c r="W185" s="4">
        <f t="shared" si="43"/>
        <v>0</v>
      </c>
      <c r="X185" s="4">
        <f t="shared" si="43"/>
        <v>0</v>
      </c>
      <c r="Y185" s="4">
        <f t="shared" si="43"/>
        <v>0</v>
      </c>
      <c r="Z185" s="4">
        <f t="shared" si="43"/>
        <v>0</v>
      </c>
      <c r="AA185" s="4">
        <f t="shared" si="43"/>
        <v>0</v>
      </c>
      <c r="AB185" s="4">
        <f t="shared" si="43"/>
        <v>0</v>
      </c>
      <c r="AC185" s="4">
        <f t="shared" si="43"/>
        <v>0</v>
      </c>
      <c r="AD185" s="4">
        <f t="shared" si="43"/>
        <v>0</v>
      </c>
      <c r="AE185" s="4">
        <f t="shared" si="43"/>
        <v>0</v>
      </c>
      <c r="AF185" s="4">
        <f t="shared" si="43"/>
        <v>0</v>
      </c>
      <c r="AG185" s="4">
        <f t="shared" si="43"/>
        <v>0</v>
      </c>
    </row>
    <row r="186" spans="1:33">
      <c r="A186" s="2" t="s">
        <v>44</v>
      </c>
      <c r="B186" s="3">
        <f t="shared" ref="B186:J196" si="44">B202+B218</f>
        <v>0</v>
      </c>
      <c r="C186" s="3">
        <f t="shared" si="44"/>
        <v>0</v>
      </c>
      <c r="D186" s="3">
        <f t="shared" si="44"/>
        <v>0</v>
      </c>
      <c r="E186" s="3">
        <f t="shared" si="44"/>
        <v>0</v>
      </c>
      <c r="F186" s="3">
        <f t="shared" si="44"/>
        <v>0</v>
      </c>
      <c r="G186" s="3">
        <f t="shared" si="44"/>
        <v>0</v>
      </c>
      <c r="H186" s="3">
        <f t="shared" si="44"/>
        <v>0</v>
      </c>
      <c r="I186" s="3">
        <f t="shared" si="44"/>
        <v>0</v>
      </c>
      <c r="J186" s="3">
        <f t="shared" si="44"/>
        <v>0</v>
      </c>
      <c r="K186" s="3">
        <f t="shared" si="43"/>
        <v>0</v>
      </c>
      <c r="L186" s="3">
        <f t="shared" si="43"/>
        <v>0</v>
      </c>
      <c r="M186" s="3">
        <f t="shared" si="43"/>
        <v>0</v>
      </c>
      <c r="N186" s="3">
        <f t="shared" si="43"/>
        <v>0</v>
      </c>
      <c r="O186" s="3">
        <f>O202+O218</f>
        <v>0</v>
      </c>
      <c r="P186" s="3">
        <f>P202+P218</f>
        <v>0</v>
      </c>
      <c r="Q186" s="4">
        <f>Q202+Q218</f>
        <v>0</v>
      </c>
      <c r="R186" s="4">
        <f>R202+R218</f>
        <v>0</v>
      </c>
      <c r="S186" s="4">
        <f>S202+S218</f>
        <v>0</v>
      </c>
      <c r="T186" s="4">
        <f t="shared" si="43"/>
        <v>0</v>
      </c>
      <c r="U186" s="4">
        <f t="shared" si="43"/>
        <v>0</v>
      </c>
      <c r="V186" s="4">
        <f t="shared" si="43"/>
        <v>0</v>
      </c>
      <c r="W186" s="4">
        <f t="shared" si="43"/>
        <v>0</v>
      </c>
      <c r="X186" s="4">
        <f t="shared" si="43"/>
        <v>0</v>
      </c>
      <c r="Y186" s="4">
        <f t="shared" si="43"/>
        <v>0</v>
      </c>
      <c r="Z186" s="4">
        <f t="shared" si="43"/>
        <v>0</v>
      </c>
      <c r="AA186" s="4">
        <f t="shared" si="43"/>
        <v>0</v>
      </c>
      <c r="AB186" s="4">
        <f t="shared" si="43"/>
        <v>0</v>
      </c>
      <c r="AC186" s="4">
        <f t="shared" si="43"/>
        <v>0</v>
      </c>
      <c r="AD186" s="4">
        <f t="shared" si="43"/>
        <v>0</v>
      </c>
      <c r="AE186" s="4">
        <f t="shared" si="43"/>
        <v>0</v>
      </c>
      <c r="AF186" s="4">
        <f t="shared" si="43"/>
        <v>0</v>
      </c>
      <c r="AG186" s="4">
        <f t="shared" si="43"/>
        <v>0</v>
      </c>
    </row>
    <row r="187" spans="1:33">
      <c r="A187" s="2" t="s">
        <v>45</v>
      </c>
      <c r="B187" s="3">
        <f t="shared" si="44"/>
        <v>0</v>
      </c>
      <c r="C187" s="3">
        <f t="shared" si="44"/>
        <v>0</v>
      </c>
      <c r="D187" s="3">
        <f t="shared" si="44"/>
        <v>0</v>
      </c>
      <c r="E187" s="3">
        <f t="shared" si="44"/>
        <v>0</v>
      </c>
      <c r="F187" s="3">
        <f t="shared" si="44"/>
        <v>0</v>
      </c>
      <c r="G187" s="3">
        <f t="shared" si="44"/>
        <v>0</v>
      </c>
      <c r="H187" s="3">
        <f t="shared" si="44"/>
        <v>0</v>
      </c>
      <c r="I187" s="3">
        <f t="shared" si="44"/>
        <v>0</v>
      </c>
      <c r="J187" s="3">
        <f t="shared" si="44"/>
        <v>0</v>
      </c>
      <c r="K187" s="3">
        <f t="shared" si="43"/>
        <v>0</v>
      </c>
      <c r="L187" s="3">
        <f t="shared" si="43"/>
        <v>0</v>
      </c>
      <c r="M187" s="3">
        <f t="shared" si="43"/>
        <v>0</v>
      </c>
      <c r="N187" s="3">
        <f t="shared" si="43"/>
        <v>0</v>
      </c>
      <c r="O187" s="3">
        <f t="shared" si="43"/>
        <v>0</v>
      </c>
      <c r="P187" s="3">
        <f>P203+P219</f>
        <v>0</v>
      </c>
      <c r="Q187" s="4">
        <f>Q203+Q219</f>
        <v>0</v>
      </c>
      <c r="R187" s="4">
        <f>R203+R219</f>
        <v>0</v>
      </c>
      <c r="S187" s="4">
        <f>S203+S219</f>
        <v>0</v>
      </c>
      <c r="T187" s="4">
        <f t="shared" si="43"/>
        <v>0</v>
      </c>
      <c r="U187" s="4">
        <f t="shared" si="43"/>
        <v>0</v>
      </c>
      <c r="V187" s="4">
        <f t="shared" si="43"/>
        <v>0</v>
      </c>
      <c r="W187" s="4">
        <f t="shared" si="43"/>
        <v>0</v>
      </c>
      <c r="X187" s="4">
        <f t="shared" si="43"/>
        <v>0</v>
      </c>
      <c r="Y187" s="4">
        <f t="shared" si="43"/>
        <v>0</v>
      </c>
      <c r="Z187" s="4">
        <f t="shared" si="43"/>
        <v>0</v>
      </c>
      <c r="AA187" s="4">
        <f t="shared" si="43"/>
        <v>0</v>
      </c>
      <c r="AB187" s="4">
        <f t="shared" si="43"/>
        <v>0</v>
      </c>
      <c r="AC187" s="4">
        <f t="shared" si="43"/>
        <v>0</v>
      </c>
      <c r="AD187" s="4">
        <f t="shared" si="43"/>
        <v>0</v>
      </c>
      <c r="AE187" s="4">
        <f t="shared" si="43"/>
        <v>0</v>
      </c>
      <c r="AF187" s="4">
        <f t="shared" si="43"/>
        <v>0</v>
      </c>
      <c r="AG187" s="4">
        <f t="shared" si="43"/>
        <v>0</v>
      </c>
    </row>
    <row r="188" spans="1:33">
      <c r="A188" s="2" t="s">
        <v>46</v>
      </c>
      <c r="B188" s="3">
        <f t="shared" si="44"/>
        <v>0</v>
      </c>
      <c r="C188" s="3">
        <f t="shared" si="44"/>
        <v>0</v>
      </c>
      <c r="D188" s="3">
        <f t="shared" si="44"/>
        <v>0</v>
      </c>
      <c r="E188" s="3">
        <f t="shared" si="44"/>
        <v>0</v>
      </c>
      <c r="F188" s="3">
        <f t="shared" si="44"/>
        <v>0</v>
      </c>
      <c r="G188" s="3">
        <f t="shared" si="44"/>
        <v>0</v>
      </c>
      <c r="H188" s="3">
        <f t="shared" si="44"/>
        <v>0</v>
      </c>
      <c r="I188" s="3">
        <f t="shared" si="44"/>
        <v>0</v>
      </c>
      <c r="J188" s="3">
        <f t="shared" si="44"/>
        <v>0</v>
      </c>
      <c r="K188" s="3">
        <f t="shared" si="43"/>
        <v>0</v>
      </c>
      <c r="L188" s="3">
        <f t="shared" si="43"/>
        <v>0</v>
      </c>
      <c r="M188" s="3">
        <f t="shared" si="43"/>
        <v>0</v>
      </c>
      <c r="N188" s="3">
        <f t="shared" si="43"/>
        <v>0</v>
      </c>
      <c r="O188" s="3">
        <f t="shared" si="43"/>
        <v>0</v>
      </c>
      <c r="P188" s="3">
        <f t="shared" si="43"/>
        <v>0</v>
      </c>
      <c r="Q188" s="4">
        <f t="shared" si="43"/>
        <v>0</v>
      </c>
      <c r="R188" s="4">
        <f t="shared" si="43"/>
        <v>0</v>
      </c>
      <c r="S188" s="4">
        <f t="shared" si="43"/>
        <v>0</v>
      </c>
      <c r="T188" s="4">
        <f t="shared" si="43"/>
        <v>0</v>
      </c>
      <c r="U188" s="4">
        <f t="shared" si="43"/>
        <v>0</v>
      </c>
      <c r="V188" s="4">
        <f t="shared" si="43"/>
        <v>0</v>
      </c>
      <c r="W188" s="4">
        <f t="shared" si="43"/>
        <v>0</v>
      </c>
      <c r="X188" s="4">
        <f t="shared" si="43"/>
        <v>0</v>
      </c>
      <c r="Y188" s="4">
        <f t="shared" si="43"/>
        <v>0</v>
      </c>
      <c r="Z188" s="4">
        <f t="shared" si="43"/>
        <v>0</v>
      </c>
      <c r="AA188" s="4">
        <f t="shared" si="43"/>
        <v>0</v>
      </c>
      <c r="AB188" s="4">
        <f t="shared" si="43"/>
        <v>0</v>
      </c>
      <c r="AC188" s="4">
        <f t="shared" si="43"/>
        <v>0</v>
      </c>
      <c r="AD188" s="4">
        <f t="shared" si="43"/>
        <v>0</v>
      </c>
      <c r="AE188" s="4">
        <f t="shared" si="43"/>
        <v>0</v>
      </c>
      <c r="AF188" s="4">
        <f t="shared" si="43"/>
        <v>0</v>
      </c>
      <c r="AG188" s="4">
        <f t="shared" si="43"/>
        <v>0</v>
      </c>
    </row>
    <row r="189" spans="1:33">
      <c r="A189" s="2" t="s">
        <v>47</v>
      </c>
      <c r="B189" s="3">
        <f t="shared" si="44"/>
        <v>0</v>
      </c>
      <c r="C189" s="3">
        <f t="shared" si="44"/>
        <v>0</v>
      </c>
      <c r="D189" s="3">
        <f t="shared" si="44"/>
        <v>0</v>
      </c>
      <c r="E189" s="3">
        <f t="shared" si="44"/>
        <v>0</v>
      </c>
      <c r="F189" s="3">
        <f t="shared" si="44"/>
        <v>0</v>
      </c>
      <c r="G189" s="3">
        <f t="shared" si="44"/>
        <v>0</v>
      </c>
      <c r="H189" s="3">
        <f t="shared" si="44"/>
        <v>0</v>
      </c>
      <c r="I189" s="3">
        <f t="shared" si="44"/>
        <v>0</v>
      </c>
      <c r="J189" s="3">
        <f t="shared" si="44"/>
        <v>0</v>
      </c>
      <c r="K189" s="3">
        <f t="shared" si="43"/>
        <v>0</v>
      </c>
      <c r="L189" s="3">
        <f t="shared" si="43"/>
        <v>0</v>
      </c>
      <c r="M189" s="3">
        <f t="shared" si="43"/>
        <v>0</v>
      </c>
      <c r="N189" s="3">
        <f t="shared" si="43"/>
        <v>0</v>
      </c>
      <c r="O189" s="3">
        <f t="shared" si="43"/>
        <v>0</v>
      </c>
      <c r="P189" s="3">
        <f t="shared" si="43"/>
        <v>0</v>
      </c>
      <c r="Q189" s="4">
        <f t="shared" si="43"/>
        <v>0</v>
      </c>
      <c r="R189" s="4">
        <f t="shared" si="43"/>
        <v>0</v>
      </c>
      <c r="S189" s="4">
        <f t="shared" si="43"/>
        <v>0</v>
      </c>
      <c r="T189" s="4">
        <f t="shared" si="43"/>
        <v>0</v>
      </c>
      <c r="U189" s="4">
        <f t="shared" si="43"/>
        <v>0</v>
      </c>
      <c r="V189" s="4">
        <f t="shared" si="43"/>
        <v>0</v>
      </c>
      <c r="W189" s="4">
        <f t="shared" si="43"/>
        <v>0</v>
      </c>
      <c r="X189" s="4">
        <f t="shared" si="43"/>
        <v>0</v>
      </c>
      <c r="Y189" s="4">
        <f t="shared" si="43"/>
        <v>0</v>
      </c>
      <c r="Z189" s="4">
        <f t="shared" si="43"/>
        <v>0</v>
      </c>
      <c r="AA189" s="4">
        <f t="shared" si="43"/>
        <v>0</v>
      </c>
      <c r="AB189" s="4">
        <f t="shared" si="43"/>
        <v>0</v>
      </c>
      <c r="AC189" s="4">
        <f t="shared" si="43"/>
        <v>0</v>
      </c>
      <c r="AD189" s="4">
        <f t="shared" si="43"/>
        <v>0</v>
      </c>
      <c r="AE189" s="4">
        <f t="shared" si="43"/>
        <v>0</v>
      </c>
      <c r="AF189" s="4">
        <f t="shared" si="43"/>
        <v>0</v>
      </c>
      <c r="AG189" s="4">
        <f t="shared" si="43"/>
        <v>0</v>
      </c>
    </row>
    <row r="190" spans="1:33">
      <c r="A190" s="2" t="s">
        <v>48</v>
      </c>
      <c r="B190" s="3">
        <f t="shared" si="44"/>
        <v>0</v>
      </c>
      <c r="C190" s="3">
        <f t="shared" si="44"/>
        <v>0</v>
      </c>
      <c r="D190" s="3">
        <f t="shared" si="44"/>
        <v>0</v>
      </c>
      <c r="E190" s="3">
        <f t="shared" si="44"/>
        <v>84580</v>
      </c>
      <c r="F190" s="3">
        <f t="shared" si="44"/>
        <v>0</v>
      </c>
      <c r="G190" s="3">
        <f t="shared" si="44"/>
        <v>0</v>
      </c>
      <c r="H190" s="3">
        <f t="shared" si="44"/>
        <v>0</v>
      </c>
      <c r="I190" s="3">
        <f t="shared" si="44"/>
        <v>0</v>
      </c>
      <c r="J190" s="3">
        <f t="shared" si="44"/>
        <v>0</v>
      </c>
      <c r="K190" s="3">
        <f t="shared" si="43"/>
        <v>0</v>
      </c>
      <c r="L190" s="3">
        <f t="shared" si="43"/>
        <v>0</v>
      </c>
      <c r="M190" s="3">
        <f t="shared" si="43"/>
        <v>0</v>
      </c>
      <c r="N190" s="3">
        <f t="shared" si="43"/>
        <v>0</v>
      </c>
      <c r="O190" s="3">
        <f t="shared" si="43"/>
        <v>0</v>
      </c>
      <c r="P190" s="3">
        <f t="shared" si="43"/>
        <v>0</v>
      </c>
      <c r="Q190" s="4">
        <f t="shared" si="43"/>
        <v>0</v>
      </c>
      <c r="R190" s="4">
        <f t="shared" si="43"/>
        <v>0</v>
      </c>
      <c r="S190" s="4">
        <f t="shared" si="43"/>
        <v>0</v>
      </c>
      <c r="T190" s="4">
        <f t="shared" si="43"/>
        <v>0</v>
      </c>
      <c r="U190" s="4">
        <f t="shared" si="43"/>
        <v>0</v>
      </c>
      <c r="V190" s="4">
        <f t="shared" si="43"/>
        <v>0</v>
      </c>
      <c r="W190" s="4">
        <f t="shared" si="43"/>
        <v>0</v>
      </c>
      <c r="X190" s="4">
        <f t="shared" si="43"/>
        <v>0</v>
      </c>
      <c r="Y190" s="4">
        <f t="shared" si="43"/>
        <v>0</v>
      </c>
      <c r="Z190" s="4">
        <f t="shared" si="43"/>
        <v>0</v>
      </c>
      <c r="AA190" s="4">
        <f t="shared" si="43"/>
        <v>0</v>
      </c>
      <c r="AB190" s="4">
        <f t="shared" si="43"/>
        <v>0</v>
      </c>
      <c r="AC190" s="4">
        <f t="shared" si="43"/>
        <v>0</v>
      </c>
      <c r="AD190" s="4">
        <f t="shared" si="43"/>
        <v>0</v>
      </c>
      <c r="AE190" s="4">
        <f t="shared" si="43"/>
        <v>0</v>
      </c>
      <c r="AF190" s="4">
        <f t="shared" si="43"/>
        <v>0</v>
      </c>
      <c r="AG190" s="4">
        <f t="shared" si="43"/>
        <v>0</v>
      </c>
    </row>
    <row r="191" spans="1:33">
      <c r="A191" s="2" t="s">
        <v>49</v>
      </c>
      <c r="B191" s="3">
        <f t="shared" si="44"/>
        <v>0</v>
      </c>
      <c r="C191" s="3">
        <f t="shared" si="44"/>
        <v>0</v>
      </c>
      <c r="D191" s="3">
        <f t="shared" si="44"/>
        <v>0</v>
      </c>
      <c r="E191" s="3">
        <f t="shared" si="44"/>
        <v>56460</v>
      </c>
      <c r="F191" s="3">
        <f t="shared" si="44"/>
        <v>0</v>
      </c>
      <c r="G191" s="3">
        <f t="shared" si="44"/>
        <v>0</v>
      </c>
      <c r="H191" s="3">
        <f t="shared" si="44"/>
        <v>0</v>
      </c>
      <c r="I191" s="3">
        <f t="shared" si="44"/>
        <v>0</v>
      </c>
      <c r="J191" s="3">
        <f t="shared" si="44"/>
        <v>0</v>
      </c>
      <c r="K191" s="3">
        <f t="shared" si="43"/>
        <v>0</v>
      </c>
      <c r="L191" s="3">
        <f t="shared" si="43"/>
        <v>0</v>
      </c>
      <c r="M191" s="3">
        <f t="shared" si="43"/>
        <v>0</v>
      </c>
      <c r="N191" s="3">
        <f t="shared" si="43"/>
        <v>0</v>
      </c>
      <c r="O191" s="3">
        <f t="shared" si="43"/>
        <v>0</v>
      </c>
      <c r="P191" s="3">
        <f t="shared" si="43"/>
        <v>0</v>
      </c>
      <c r="Q191" s="4">
        <f t="shared" si="43"/>
        <v>0</v>
      </c>
      <c r="R191" s="4">
        <f t="shared" si="43"/>
        <v>0</v>
      </c>
      <c r="S191" s="4">
        <f t="shared" si="43"/>
        <v>0</v>
      </c>
      <c r="T191" s="4">
        <f t="shared" si="43"/>
        <v>0</v>
      </c>
      <c r="U191" s="4">
        <f t="shared" si="43"/>
        <v>0</v>
      </c>
      <c r="V191" s="4">
        <f t="shared" si="43"/>
        <v>0</v>
      </c>
      <c r="W191" s="4">
        <f t="shared" si="43"/>
        <v>0</v>
      </c>
      <c r="X191" s="4">
        <f t="shared" si="43"/>
        <v>0</v>
      </c>
      <c r="Y191" s="4">
        <f t="shared" si="43"/>
        <v>0</v>
      </c>
      <c r="Z191" s="4">
        <f t="shared" si="43"/>
        <v>0</v>
      </c>
      <c r="AA191" s="4">
        <f t="shared" si="43"/>
        <v>0</v>
      </c>
      <c r="AB191" s="4">
        <f t="shared" si="43"/>
        <v>0</v>
      </c>
      <c r="AC191" s="4">
        <f t="shared" si="43"/>
        <v>0</v>
      </c>
      <c r="AD191" s="4">
        <f t="shared" si="43"/>
        <v>0</v>
      </c>
      <c r="AE191" s="4">
        <f t="shared" si="43"/>
        <v>0</v>
      </c>
      <c r="AF191" s="4">
        <f t="shared" si="43"/>
        <v>0</v>
      </c>
      <c r="AG191" s="4">
        <f t="shared" si="43"/>
        <v>0</v>
      </c>
    </row>
    <row r="192" spans="1:33">
      <c r="A192" s="2" t="s">
        <v>50</v>
      </c>
      <c r="B192" s="3">
        <f t="shared" si="44"/>
        <v>0</v>
      </c>
      <c r="C192" s="3">
        <f t="shared" si="44"/>
        <v>0</v>
      </c>
      <c r="D192" s="3">
        <f t="shared" si="44"/>
        <v>0</v>
      </c>
      <c r="E192" s="3">
        <f t="shared" si="44"/>
        <v>0</v>
      </c>
      <c r="F192" s="3">
        <f t="shared" si="44"/>
        <v>0</v>
      </c>
      <c r="G192" s="3">
        <f t="shared" si="44"/>
        <v>0</v>
      </c>
      <c r="H192" s="3">
        <f t="shared" si="44"/>
        <v>0</v>
      </c>
      <c r="I192" s="3">
        <f t="shared" si="44"/>
        <v>0</v>
      </c>
      <c r="J192" s="3">
        <f t="shared" si="44"/>
        <v>0</v>
      </c>
      <c r="K192" s="3">
        <f t="shared" si="43"/>
        <v>0</v>
      </c>
      <c r="L192" s="3">
        <f t="shared" si="43"/>
        <v>0</v>
      </c>
      <c r="M192" s="3">
        <f t="shared" si="43"/>
        <v>0</v>
      </c>
      <c r="N192" s="3">
        <f t="shared" si="43"/>
        <v>0</v>
      </c>
      <c r="O192" s="3">
        <f t="shared" si="43"/>
        <v>0</v>
      </c>
      <c r="P192" s="3">
        <f t="shared" si="43"/>
        <v>0</v>
      </c>
      <c r="Q192" s="4">
        <f t="shared" si="43"/>
        <v>0</v>
      </c>
      <c r="R192" s="4">
        <f t="shared" si="43"/>
        <v>0</v>
      </c>
      <c r="S192" s="4">
        <f t="shared" si="43"/>
        <v>0</v>
      </c>
      <c r="T192" s="4">
        <f t="shared" si="43"/>
        <v>0</v>
      </c>
      <c r="U192" s="4">
        <f t="shared" si="43"/>
        <v>0</v>
      </c>
      <c r="V192" s="4">
        <f t="shared" si="43"/>
        <v>0</v>
      </c>
      <c r="W192" s="4">
        <f t="shared" si="43"/>
        <v>0</v>
      </c>
      <c r="X192" s="4">
        <f t="shared" si="43"/>
        <v>0</v>
      </c>
      <c r="Y192" s="4">
        <f t="shared" si="43"/>
        <v>0</v>
      </c>
      <c r="Z192" s="4">
        <f t="shared" si="43"/>
        <v>0</v>
      </c>
      <c r="AA192" s="4">
        <f t="shared" si="43"/>
        <v>0</v>
      </c>
      <c r="AB192" s="4">
        <f t="shared" si="43"/>
        <v>0</v>
      </c>
      <c r="AC192" s="4">
        <f t="shared" si="43"/>
        <v>0</v>
      </c>
      <c r="AD192" s="4">
        <f t="shared" si="43"/>
        <v>0</v>
      </c>
      <c r="AE192" s="4">
        <f t="shared" si="43"/>
        <v>0</v>
      </c>
      <c r="AF192" s="4">
        <f t="shared" si="43"/>
        <v>0</v>
      </c>
      <c r="AG192" s="4">
        <f t="shared" si="43"/>
        <v>0</v>
      </c>
    </row>
    <row r="193" spans="1:33">
      <c r="A193" s="2" t="s">
        <v>51</v>
      </c>
      <c r="B193" s="3">
        <f t="shared" si="44"/>
        <v>0</v>
      </c>
      <c r="C193" s="3">
        <f t="shared" si="44"/>
        <v>0</v>
      </c>
      <c r="D193" s="3">
        <f t="shared" si="44"/>
        <v>0</v>
      </c>
      <c r="E193" s="3">
        <f t="shared" si="44"/>
        <v>109142</v>
      </c>
      <c r="F193" s="3">
        <f t="shared" si="44"/>
        <v>0</v>
      </c>
      <c r="G193" s="3">
        <f t="shared" si="44"/>
        <v>0</v>
      </c>
      <c r="H193" s="3">
        <f t="shared" si="44"/>
        <v>0</v>
      </c>
      <c r="I193" s="3">
        <f t="shared" si="44"/>
        <v>0</v>
      </c>
      <c r="J193" s="3">
        <f t="shared" si="44"/>
        <v>0</v>
      </c>
      <c r="K193" s="3">
        <f t="shared" si="43"/>
        <v>0</v>
      </c>
      <c r="L193" s="3">
        <f t="shared" si="43"/>
        <v>0</v>
      </c>
      <c r="M193" s="3">
        <f t="shared" si="43"/>
        <v>0</v>
      </c>
      <c r="N193" s="3">
        <f t="shared" si="43"/>
        <v>0</v>
      </c>
      <c r="O193" s="3">
        <f t="shared" si="43"/>
        <v>0</v>
      </c>
      <c r="P193" s="3">
        <f t="shared" si="43"/>
        <v>0</v>
      </c>
      <c r="Q193" s="4">
        <f t="shared" si="43"/>
        <v>0</v>
      </c>
      <c r="R193" s="4">
        <f t="shared" si="43"/>
        <v>0</v>
      </c>
      <c r="S193" s="4">
        <f t="shared" si="43"/>
        <v>0</v>
      </c>
      <c r="T193" s="4">
        <f t="shared" si="43"/>
        <v>0</v>
      </c>
      <c r="U193" s="4">
        <f t="shared" si="43"/>
        <v>0</v>
      </c>
      <c r="V193" s="4">
        <f t="shared" si="43"/>
        <v>0</v>
      </c>
      <c r="W193" s="4">
        <f t="shared" si="43"/>
        <v>0</v>
      </c>
      <c r="X193" s="4">
        <f t="shared" si="43"/>
        <v>0</v>
      </c>
      <c r="Y193" s="4">
        <f t="shared" si="43"/>
        <v>0</v>
      </c>
      <c r="Z193" s="4">
        <f t="shared" si="43"/>
        <v>0</v>
      </c>
      <c r="AA193" s="4">
        <f t="shared" si="43"/>
        <v>0</v>
      </c>
      <c r="AB193" s="4">
        <f t="shared" si="43"/>
        <v>0</v>
      </c>
      <c r="AC193" s="4">
        <f t="shared" si="43"/>
        <v>0</v>
      </c>
      <c r="AD193" s="4">
        <f t="shared" si="43"/>
        <v>0</v>
      </c>
      <c r="AE193" s="4">
        <f t="shared" si="43"/>
        <v>0</v>
      </c>
      <c r="AF193" s="4">
        <f t="shared" si="43"/>
        <v>0</v>
      </c>
      <c r="AG193" s="4">
        <f t="shared" si="43"/>
        <v>0</v>
      </c>
    </row>
    <row r="194" spans="1:33">
      <c r="A194" s="2" t="s">
        <v>52</v>
      </c>
      <c r="B194" s="3">
        <f t="shared" si="44"/>
        <v>0</v>
      </c>
      <c r="C194" s="3">
        <f t="shared" si="44"/>
        <v>0</v>
      </c>
      <c r="D194" s="3">
        <f t="shared" si="44"/>
        <v>0</v>
      </c>
      <c r="E194" s="3">
        <f t="shared" si="44"/>
        <v>44372</v>
      </c>
      <c r="F194" s="3">
        <f t="shared" si="44"/>
        <v>0</v>
      </c>
      <c r="G194" s="3">
        <f t="shared" si="44"/>
        <v>0</v>
      </c>
      <c r="H194" s="3">
        <f t="shared" si="44"/>
        <v>0</v>
      </c>
      <c r="I194" s="3">
        <f t="shared" si="44"/>
        <v>0</v>
      </c>
      <c r="J194" s="3">
        <f t="shared" si="44"/>
        <v>0</v>
      </c>
      <c r="K194" s="3">
        <f t="shared" si="43"/>
        <v>0</v>
      </c>
      <c r="L194" s="3">
        <f t="shared" si="43"/>
        <v>0</v>
      </c>
      <c r="M194" s="3">
        <f t="shared" si="43"/>
        <v>0</v>
      </c>
      <c r="N194" s="3">
        <f t="shared" si="43"/>
        <v>0</v>
      </c>
      <c r="O194" s="3">
        <f t="shared" si="43"/>
        <v>0</v>
      </c>
      <c r="P194" s="3">
        <f t="shared" si="43"/>
        <v>0</v>
      </c>
      <c r="Q194" s="4">
        <f t="shared" si="43"/>
        <v>0</v>
      </c>
      <c r="R194" s="4">
        <f t="shared" si="43"/>
        <v>0</v>
      </c>
      <c r="S194" s="4">
        <f t="shared" si="43"/>
        <v>0</v>
      </c>
      <c r="T194" s="4">
        <f t="shared" si="43"/>
        <v>0</v>
      </c>
      <c r="U194" s="4">
        <f t="shared" si="43"/>
        <v>0</v>
      </c>
      <c r="V194" s="4">
        <f t="shared" si="43"/>
        <v>0</v>
      </c>
      <c r="W194" s="4">
        <f t="shared" si="43"/>
        <v>0</v>
      </c>
      <c r="X194" s="4">
        <f t="shared" si="43"/>
        <v>0</v>
      </c>
      <c r="Y194" s="4">
        <f t="shared" si="43"/>
        <v>0</v>
      </c>
      <c r="Z194" s="4">
        <f t="shared" si="43"/>
        <v>0</v>
      </c>
      <c r="AA194" s="4">
        <f t="shared" si="43"/>
        <v>0</v>
      </c>
      <c r="AB194" s="4">
        <f t="shared" si="43"/>
        <v>0</v>
      </c>
      <c r="AC194" s="4">
        <f t="shared" si="43"/>
        <v>0</v>
      </c>
      <c r="AD194" s="4">
        <f t="shared" si="43"/>
        <v>0</v>
      </c>
      <c r="AE194" s="4">
        <f t="shared" si="43"/>
        <v>0</v>
      </c>
      <c r="AF194" s="4">
        <f t="shared" si="43"/>
        <v>0</v>
      </c>
      <c r="AG194" s="4">
        <f t="shared" si="43"/>
        <v>0</v>
      </c>
    </row>
    <row r="195" spans="1:33">
      <c r="A195" s="2" t="s">
        <v>53</v>
      </c>
      <c r="B195" s="3">
        <f t="shared" si="44"/>
        <v>0</v>
      </c>
      <c r="C195" s="3">
        <f t="shared" si="44"/>
        <v>0</v>
      </c>
      <c r="D195" s="3">
        <f t="shared" si="44"/>
        <v>0</v>
      </c>
      <c r="E195" s="3">
        <f t="shared" si="44"/>
        <v>59119</v>
      </c>
      <c r="F195" s="3">
        <f t="shared" si="44"/>
        <v>0</v>
      </c>
      <c r="G195" s="3">
        <f t="shared" si="44"/>
        <v>0</v>
      </c>
      <c r="H195" s="3">
        <f t="shared" si="44"/>
        <v>0</v>
      </c>
      <c r="I195" s="3">
        <f t="shared" si="44"/>
        <v>0</v>
      </c>
      <c r="J195" s="3">
        <f t="shared" si="44"/>
        <v>0</v>
      </c>
      <c r="K195" s="3">
        <f t="shared" si="43"/>
        <v>0</v>
      </c>
      <c r="L195" s="3">
        <f t="shared" si="43"/>
        <v>0</v>
      </c>
      <c r="M195" s="3">
        <f t="shared" si="43"/>
        <v>0</v>
      </c>
      <c r="N195" s="3">
        <f t="shared" si="43"/>
        <v>0</v>
      </c>
      <c r="O195" s="3">
        <f t="shared" si="43"/>
        <v>0</v>
      </c>
      <c r="P195" s="3">
        <f t="shared" si="43"/>
        <v>0</v>
      </c>
      <c r="Q195" s="4">
        <f t="shared" si="43"/>
        <v>0</v>
      </c>
      <c r="R195" s="4">
        <f t="shared" si="43"/>
        <v>0</v>
      </c>
      <c r="S195" s="4">
        <f t="shared" si="43"/>
        <v>0</v>
      </c>
      <c r="T195" s="4">
        <f t="shared" si="43"/>
        <v>0</v>
      </c>
      <c r="U195" s="4">
        <f t="shared" si="43"/>
        <v>0</v>
      </c>
      <c r="V195" s="4">
        <f t="shared" si="43"/>
        <v>0</v>
      </c>
      <c r="W195" s="4">
        <f t="shared" si="43"/>
        <v>0</v>
      </c>
      <c r="X195" s="4">
        <f t="shared" si="43"/>
        <v>0</v>
      </c>
      <c r="Y195" s="4">
        <f t="shared" si="43"/>
        <v>0</v>
      </c>
      <c r="Z195" s="4">
        <f t="shared" si="43"/>
        <v>0</v>
      </c>
      <c r="AA195" s="4">
        <f t="shared" si="43"/>
        <v>0</v>
      </c>
      <c r="AB195" s="4">
        <f t="shared" si="43"/>
        <v>0</v>
      </c>
      <c r="AC195" s="4">
        <f t="shared" si="43"/>
        <v>0</v>
      </c>
      <c r="AD195" s="4">
        <f t="shared" si="43"/>
        <v>0</v>
      </c>
      <c r="AE195" s="4">
        <f t="shared" si="43"/>
        <v>0</v>
      </c>
      <c r="AF195" s="4">
        <f t="shared" si="43"/>
        <v>0</v>
      </c>
      <c r="AG195" s="4">
        <f t="shared" si="43"/>
        <v>0</v>
      </c>
    </row>
    <row r="196" spans="1:33">
      <c r="A196" s="2" t="s">
        <v>54</v>
      </c>
      <c r="B196" s="3">
        <f t="shared" si="44"/>
        <v>0</v>
      </c>
      <c r="C196" s="3">
        <f t="shared" si="44"/>
        <v>0</v>
      </c>
      <c r="D196" s="3">
        <f t="shared" si="44"/>
        <v>0</v>
      </c>
      <c r="E196" s="3">
        <f t="shared" si="44"/>
        <v>69067</v>
      </c>
      <c r="F196" s="3">
        <f t="shared" si="44"/>
        <v>0</v>
      </c>
      <c r="G196" s="3">
        <f t="shared" si="44"/>
        <v>0</v>
      </c>
      <c r="H196" s="3">
        <f t="shared" si="44"/>
        <v>0</v>
      </c>
      <c r="I196" s="3">
        <f t="shared" si="44"/>
        <v>0</v>
      </c>
      <c r="J196" s="3">
        <f t="shared" si="44"/>
        <v>0</v>
      </c>
      <c r="K196" s="3">
        <f t="shared" si="43"/>
        <v>0</v>
      </c>
      <c r="L196" s="3">
        <f t="shared" si="43"/>
        <v>0</v>
      </c>
      <c r="M196" s="3">
        <f t="shared" si="43"/>
        <v>0</v>
      </c>
      <c r="N196" s="3">
        <f t="shared" ref="N196:AG196" si="45">N212+N228</f>
        <v>0</v>
      </c>
      <c r="O196" s="3">
        <f t="shared" si="45"/>
        <v>0</v>
      </c>
      <c r="P196" s="4">
        <f t="shared" si="45"/>
        <v>0</v>
      </c>
      <c r="Q196" s="4">
        <f t="shared" si="45"/>
        <v>0</v>
      </c>
      <c r="R196" s="4">
        <f t="shared" si="45"/>
        <v>0</v>
      </c>
      <c r="S196" s="4">
        <f t="shared" si="45"/>
        <v>0</v>
      </c>
      <c r="T196" s="4">
        <f t="shared" si="45"/>
        <v>0</v>
      </c>
      <c r="U196" s="4">
        <f t="shared" si="45"/>
        <v>0</v>
      </c>
      <c r="V196" s="4">
        <f t="shared" si="45"/>
        <v>0</v>
      </c>
      <c r="W196" s="4">
        <f t="shared" si="45"/>
        <v>0</v>
      </c>
      <c r="X196" s="4">
        <f t="shared" si="45"/>
        <v>0</v>
      </c>
      <c r="Y196" s="4">
        <f t="shared" si="45"/>
        <v>0</v>
      </c>
      <c r="Z196" s="4">
        <f t="shared" si="45"/>
        <v>0</v>
      </c>
      <c r="AA196" s="4">
        <f t="shared" si="45"/>
        <v>0</v>
      </c>
      <c r="AB196" s="4">
        <f t="shared" si="45"/>
        <v>0</v>
      </c>
      <c r="AC196" s="4">
        <f t="shared" si="45"/>
        <v>0</v>
      </c>
      <c r="AD196" s="4">
        <f t="shared" si="45"/>
        <v>0</v>
      </c>
      <c r="AE196" s="4">
        <f t="shared" si="45"/>
        <v>0</v>
      </c>
      <c r="AF196" s="4">
        <f t="shared" si="45"/>
        <v>0</v>
      </c>
      <c r="AG196" s="4">
        <f t="shared" si="45"/>
        <v>0</v>
      </c>
    </row>
    <row r="197" spans="1:33" ht="15.75" thickBot="1">
      <c r="A197" s="2" t="s">
        <v>29</v>
      </c>
      <c r="B197" s="3">
        <f>SUM(B185:B196)</f>
        <v>0</v>
      </c>
      <c r="C197" s="3">
        <f t="shared" ref="C197:AG197" si="46">SUM(C185:C196)</f>
        <v>0</v>
      </c>
      <c r="D197" s="3">
        <f t="shared" si="46"/>
        <v>0</v>
      </c>
      <c r="E197" s="3">
        <f t="shared" si="46"/>
        <v>422740</v>
      </c>
      <c r="F197" s="3">
        <f t="shared" si="46"/>
        <v>44168</v>
      </c>
      <c r="G197" s="3">
        <f t="shared" si="46"/>
        <v>0</v>
      </c>
      <c r="H197" s="3">
        <f t="shared" si="46"/>
        <v>0</v>
      </c>
      <c r="I197" s="3">
        <f t="shared" si="46"/>
        <v>0</v>
      </c>
      <c r="J197" s="3">
        <f t="shared" si="46"/>
        <v>0</v>
      </c>
      <c r="K197" s="3">
        <f t="shared" si="46"/>
        <v>0</v>
      </c>
      <c r="L197" s="3">
        <f t="shared" si="46"/>
        <v>0</v>
      </c>
      <c r="M197" s="3">
        <f t="shared" si="46"/>
        <v>0</v>
      </c>
      <c r="N197" s="3">
        <f t="shared" si="46"/>
        <v>0</v>
      </c>
      <c r="O197" s="3">
        <f t="shared" si="46"/>
        <v>0</v>
      </c>
      <c r="P197" s="4">
        <f t="shared" si="46"/>
        <v>0</v>
      </c>
      <c r="Q197" s="4">
        <f t="shared" si="46"/>
        <v>0</v>
      </c>
      <c r="R197" s="4">
        <f t="shared" si="46"/>
        <v>0</v>
      </c>
      <c r="S197" s="4">
        <f t="shared" si="46"/>
        <v>0</v>
      </c>
      <c r="T197" s="4">
        <f t="shared" si="46"/>
        <v>0</v>
      </c>
      <c r="U197" s="4">
        <f t="shared" si="46"/>
        <v>0</v>
      </c>
      <c r="V197" s="4">
        <f t="shared" si="46"/>
        <v>0</v>
      </c>
      <c r="W197" s="4">
        <f t="shared" si="46"/>
        <v>0</v>
      </c>
      <c r="X197" s="4">
        <f t="shared" si="46"/>
        <v>0</v>
      </c>
      <c r="Y197" s="4">
        <f t="shared" si="46"/>
        <v>0</v>
      </c>
      <c r="Z197" s="4">
        <f t="shared" si="46"/>
        <v>0</v>
      </c>
      <c r="AA197" s="4">
        <f t="shared" si="46"/>
        <v>0</v>
      </c>
      <c r="AB197" s="4">
        <f t="shared" si="46"/>
        <v>0</v>
      </c>
      <c r="AC197" s="4">
        <f t="shared" si="46"/>
        <v>0</v>
      </c>
      <c r="AD197" s="4">
        <f t="shared" si="46"/>
        <v>0</v>
      </c>
      <c r="AE197" s="4">
        <f t="shared" si="46"/>
        <v>0</v>
      </c>
      <c r="AF197" s="4">
        <f t="shared" si="46"/>
        <v>0</v>
      </c>
      <c r="AG197" s="4">
        <f t="shared" si="46"/>
        <v>0</v>
      </c>
    </row>
    <row r="198" spans="1:33">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c r="AD198" s="114"/>
      <c r="AE198" s="114"/>
      <c r="AF198" s="114"/>
      <c r="AG198" s="114"/>
    </row>
    <row r="199" spans="1:33" ht="16.5" thickBot="1">
      <c r="A199" s="109" t="s">
        <v>253</v>
      </c>
    </row>
    <row r="200" spans="1:33" ht="15.75" thickBot="1">
      <c r="A200" s="110"/>
      <c r="B200" s="111">
        <v>2010</v>
      </c>
      <c r="C200" s="111">
        <v>2011</v>
      </c>
      <c r="D200" s="111">
        <v>2012</v>
      </c>
      <c r="E200" s="111">
        <v>2013</v>
      </c>
      <c r="F200" s="111">
        <v>2014</v>
      </c>
      <c r="G200" s="111">
        <v>2015</v>
      </c>
      <c r="H200" s="111">
        <v>2016</v>
      </c>
      <c r="I200" s="111">
        <v>2017</v>
      </c>
      <c r="J200" s="111">
        <v>2018</v>
      </c>
      <c r="K200" s="111">
        <v>2019</v>
      </c>
      <c r="L200" s="111">
        <v>2020</v>
      </c>
      <c r="M200" s="111">
        <v>2021</v>
      </c>
      <c r="N200" s="111">
        <v>2022</v>
      </c>
      <c r="O200" s="111">
        <v>2023</v>
      </c>
      <c r="P200" s="111">
        <v>2024</v>
      </c>
      <c r="Q200" s="111">
        <v>2025</v>
      </c>
      <c r="R200" s="111">
        <v>2026</v>
      </c>
      <c r="S200" s="111">
        <v>2027</v>
      </c>
      <c r="T200" s="111">
        <v>2028</v>
      </c>
      <c r="U200" s="111">
        <v>2029</v>
      </c>
      <c r="V200" s="111">
        <v>2030</v>
      </c>
      <c r="W200" s="111">
        <v>2031</v>
      </c>
      <c r="X200" s="111">
        <v>2032</v>
      </c>
      <c r="Y200" s="111">
        <v>2033</v>
      </c>
      <c r="Z200" s="111">
        <v>2034</v>
      </c>
      <c r="AA200" s="111">
        <v>2035</v>
      </c>
      <c r="AB200" s="111">
        <v>2036</v>
      </c>
      <c r="AC200" s="111">
        <v>2037</v>
      </c>
      <c r="AD200" s="111">
        <v>2038</v>
      </c>
      <c r="AE200" s="111">
        <v>2039</v>
      </c>
      <c r="AF200" s="111">
        <v>2040</v>
      </c>
      <c r="AG200" s="111">
        <v>2041</v>
      </c>
    </row>
    <row r="201" spans="1:33">
      <c r="A201" s="2" t="s">
        <v>43</v>
      </c>
      <c r="B201" s="3">
        <f>'Monthly D3 RIN Data'!$E4</f>
        <v>0</v>
      </c>
      <c r="C201" s="3">
        <f>'Monthly D3 RIN Data'!$E16</f>
        <v>0</v>
      </c>
      <c r="D201" s="3">
        <f>'Monthly D3 RIN Data'!$E28</f>
        <v>0</v>
      </c>
      <c r="E201" s="3">
        <f>'Monthly D3 RIN Data'!$E40</f>
        <v>0</v>
      </c>
      <c r="F201" s="3">
        <f>'Monthly D3 RIN Data'!$E52</f>
        <v>44168</v>
      </c>
      <c r="G201" s="3">
        <f>'Monthly D3 RIN Data'!$E64</f>
        <v>0</v>
      </c>
      <c r="H201" s="3">
        <f>'Monthly D3 RIN Data'!$E76</f>
        <v>0</v>
      </c>
      <c r="I201" s="3">
        <f>'Monthly D3 RIN Data'!$E88</f>
        <v>0</v>
      </c>
      <c r="J201" s="3">
        <f>'Monthly D3 RIN Data'!$E100</f>
        <v>0</v>
      </c>
      <c r="K201" s="3">
        <f>'Monthly D3 RIN Data'!$E112</f>
        <v>0</v>
      </c>
      <c r="L201" s="3">
        <f>'Monthly D3 RIN Data'!$E124</f>
        <v>0</v>
      </c>
      <c r="M201" s="3">
        <f>'Monthly D3 RIN Data'!$E136</f>
        <v>0</v>
      </c>
      <c r="N201" s="3">
        <f>'Monthly D3 RIN Data'!$E148</f>
        <v>0</v>
      </c>
      <c r="O201" s="3">
        <f>'Monthly D3 RIN Data'!$E160</f>
        <v>0</v>
      </c>
      <c r="P201" s="3">
        <f>'Monthly D3 RIN Data'!$E172</f>
        <v>0</v>
      </c>
      <c r="Q201" s="4">
        <f>'D3 Gallon Forecast'!Q201</f>
        <v>0</v>
      </c>
      <c r="R201" s="4">
        <f>'D3 Gallon Forecast'!R201</f>
        <v>0</v>
      </c>
      <c r="S201" s="4">
        <f>'D3 Gallon Forecast'!S201</f>
        <v>0</v>
      </c>
      <c r="T201" s="4">
        <f>'D3 Gallon Forecast'!T201</f>
        <v>0</v>
      </c>
      <c r="U201" s="4">
        <f>'D3 Gallon Forecast'!U201</f>
        <v>0</v>
      </c>
      <c r="V201" s="4">
        <f>'D3 Gallon Forecast'!V201</f>
        <v>0</v>
      </c>
      <c r="W201" s="4">
        <f>'D3 Gallon Forecast'!W201</f>
        <v>0</v>
      </c>
      <c r="X201" s="4">
        <f>'D3 Gallon Forecast'!X201</f>
        <v>0</v>
      </c>
      <c r="Y201" s="4">
        <f>'D3 Gallon Forecast'!Y201</f>
        <v>0</v>
      </c>
      <c r="Z201" s="4">
        <f>'D3 Gallon Forecast'!Z201</f>
        <v>0</v>
      </c>
      <c r="AA201" s="4">
        <f>'D3 Gallon Forecast'!AA201</f>
        <v>0</v>
      </c>
      <c r="AB201" s="4">
        <f>'D3 Gallon Forecast'!AB201</f>
        <v>0</v>
      </c>
      <c r="AC201" s="4">
        <f>'D3 Gallon Forecast'!AC201</f>
        <v>0</v>
      </c>
      <c r="AD201" s="4">
        <f>'D3 Gallon Forecast'!AD201</f>
        <v>0</v>
      </c>
      <c r="AE201" s="4">
        <f>'D3 Gallon Forecast'!AE201</f>
        <v>0</v>
      </c>
      <c r="AF201" s="4">
        <f>'D3 Gallon Forecast'!AF201</f>
        <v>0</v>
      </c>
      <c r="AG201" s="4">
        <f>'D3 Gallon Forecast'!AG201</f>
        <v>0</v>
      </c>
    </row>
    <row r="202" spans="1:33">
      <c r="A202" s="2" t="s">
        <v>44</v>
      </c>
      <c r="B202" s="3">
        <f>'Monthly D3 RIN Data'!$E5</f>
        <v>0</v>
      </c>
      <c r="C202" s="3">
        <f>'Monthly D3 RIN Data'!$E17</f>
        <v>0</v>
      </c>
      <c r="D202" s="3">
        <f>'Monthly D3 RIN Data'!$E29</f>
        <v>0</v>
      </c>
      <c r="E202" s="3">
        <f>'Monthly D3 RIN Data'!$E41</f>
        <v>0</v>
      </c>
      <c r="F202" s="3">
        <f>'Monthly D3 RIN Data'!$E53</f>
        <v>0</v>
      </c>
      <c r="G202" s="3">
        <f>'Monthly D3 RIN Data'!$E65</f>
        <v>0</v>
      </c>
      <c r="H202" s="3">
        <f>'Monthly D3 RIN Data'!$E77</f>
        <v>0</v>
      </c>
      <c r="I202" s="3">
        <f>'Monthly D3 RIN Data'!$E89</f>
        <v>0</v>
      </c>
      <c r="J202" s="3">
        <f>'Monthly D3 RIN Data'!$E101</f>
        <v>0</v>
      </c>
      <c r="K202" s="3">
        <f>'Monthly D3 RIN Data'!$E113</f>
        <v>0</v>
      </c>
      <c r="L202" s="3">
        <f>'Monthly D3 RIN Data'!$E125</f>
        <v>0</v>
      </c>
      <c r="M202" s="3">
        <f>'Monthly D3 RIN Data'!$E137</f>
        <v>0</v>
      </c>
      <c r="N202" s="3">
        <f>'Monthly D3 RIN Data'!$E149</f>
        <v>0</v>
      </c>
      <c r="O202" s="3">
        <f>'Monthly D3 RIN Data'!$E161</f>
        <v>0</v>
      </c>
      <c r="P202" s="3">
        <f>'Monthly D3 RIN Data'!$E173</f>
        <v>0</v>
      </c>
      <c r="Q202" s="4">
        <f>'D3 Gallon Forecast'!Q202</f>
        <v>0</v>
      </c>
      <c r="R202" s="4">
        <f>'D3 Gallon Forecast'!R202</f>
        <v>0</v>
      </c>
      <c r="S202" s="4">
        <f>'D3 Gallon Forecast'!S202</f>
        <v>0</v>
      </c>
      <c r="T202" s="4">
        <f>'D3 Gallon Forecast'!T202</f>
        <v>0</v>
      </c>
      <c r="U202" s="4">
        <f>'D3 Gallon Forecast'!U202</f>
        <v>0</v>
      </c>
      <c r="V202" s="4">
        <f>'D3 Gallon Forecast'!V202</f>
        <v>0</v>
      </c>
      <c r="W202" s="4">
        <f>'D3 Gallon Forecast'!W202</f>
        <v>0</v>
      </c>
      <c r="X202" s="4">
        <f>'D3 Gallon Forecast'!X202</f>
        <v>0</v>
      </c>
      <c r="Y202" s="4">
        <f>'D3 Gallon Forecast'!Y202</f>
        <v>0</v>
      </c>
      <c r="Z202" s="4">
        <f>'D3 Gallon Forecast'!Z202</f>
        <v>0</v>
      </c>
      <c r="AA202" s="4">
        <f>'D3 Gallon Forecast'!AA202</f>
        <v>0</v>
      </c>
      <c r="AB202" s="4">
        <f>'D3 Gallon Forecast'!AB202</f>
        <v>0</v>
      </c>
      <c r="AC202" s="4">
        <f>'D3 Gallon Forecast'!AC202</f>
        <v>0</v>
      </c>
      <c r="AD202" s="4">
        <f>'D3 Gallon Forecast'!AD202</f>
        <v>0</v>
      </c>
      <c r="AE202" s="4">
        <f>'D3 Gallon Forecast'!AE202</f>
        <v>0</v>
      </c>
      <c r="AF202" s="4">
        <f>'D3 Gallon Forecast'!AF202</f>
        <v>0</v>
      </c>
      <c r="AG202" s="4">
        <f>'D3 Gallon Forecast'!AG202</f>
        <v>0</v>
      </c>
    </row>
    <row r="203" spans="1:33">
      <c r="A203" s="2" t="s">
        <v>45</v>
      </c>
      <c r="B203" s="3">
        <f>'Monthly D3 RIN Data'!$E6</f>
        <v>0</v>
      </c>
      <c r="C203" s="3">
        <f>'Monthly D3 RIN Data'!$E18</f>
        <v>0</v>
      </c>
      <c r="D203" s="3">
        <f>'Monthly D3 RIN Data'!$E30</f>
        <v>0</v>
      </c>
      <c r="E203" s="3">
        <f>'Monthly D3 RIN Data'!$E42</f>
        <v>0</v>
      </c>
      <c r="F203" s="3">
        <f>'Monthly D3 RIN Data'!$E54</f>
        <v>0</v>
      </c>
      <c r="G203" s="3">
        <f>'Monthly D3 RIN Data'!$E66</f>
        <v>0</v>
      </c>
      <c r="H203" s="3">
        <f>'Monthly D3 RIN Data'!$E78</f>
        <v>0</v>
      </c>
      <c r="I203" s="3">
        <f>'Monthly D3 RIN Data'!$E90</f>
        <v>0</v>
      </c>
      <c r="J203" s="3">
        <f>'Monthly D3 RIN Data'!$E102</f>
        <v>0</v>
      </c>
      <c r="K203" s="3">
        <f>'Monthly D3 RIN Data'!$E114</f>
        <v>0</v>
      </c>
      <c r="L203" s="3">
        <f>'Monthly D3 RIN Data'!$E126</f>
        <v>0</v>
      </c>
      <c r="M203" s="3">
        <f>'Monthly D3 RIN Data'!$E138</f>
        <v>0</v>
      </c>
      <c r="N203" s="3">
        <f>'Monthly D3 RIN Data'!$E150</f>
        <v>0</v>
      </c>
      <c r="O203" s="3">
        <f>'Monthly D3 RIN Data'!$E162</f>
        <v>0</v>
      </c>
      <c r="P203" s="3">
        <f>'Monthly D3 RIN Data'!$E174</f>
        <v>0</v>
      </c>
      <c r="Q203" s="4">
        <f>'D3 Gallon Forecast'!Q203</f>
        <v>0</v>
      </c>
      <c r="R203" s="4">
        <f>'D3 Gallon Forecast'!R203</f>
        <v>0</v>
      </c>
      <c r="S203" s="4">
        <f>'D3 Gallon Forecast'!S203</f>
        <v>0</v>
      </c>
      <c r="T203" s="4">
        <f>'D3 Gallon Forecast'!T203</f>
        <v>0</v>
      </c>
      <c r="U203" s="4">
        <f>'D3 Gallon Forecast'!U203</f>
        <v>0</v>
      </c>
      <c r="V203" s="4">
        <f>'D3 Gallon Forecast'!V203</f>
        <v>0</v>
      </c>
      <c r="W203" s="4">
        <f>'D3 Gallon Forecast'!W203</f>
        <v>0</v>
      </c>
      <c r="X203" s="4">
        <f>'D3 Gallon Forecast'!X203</f>
        <v>0</v>
      </c>
      <c r="Y203" s="4">
        <f>'D3 Gallon Forecast'!Y203</f>
        <v>0</v>
      </c>
      <c r="Z203" s="4">
        <f>'D3 Gallon Forecast'!Z203</f>
        <v>0</v>
      </c>
      <c r="AA203" s="4">
        <f>'D3 Gallon Forecast'!AA203</f>
        <v>0</v>
      </c>
      <c r="AB203" s="4">
        <f>'D3 Gallon Forecast'!AB203</f>
        <v>0</v>
      </c>
      <c r="AC203" s="4">
        <f>'D3 Gallon Forecast'!AC203</f>
        <v>0</v>
      </c>
      <c r="AD203" s="4">
        <f>'D3 Gallon Forecast'!AD203</f>
        <v>0</v>
      </c>
      <c r="AE203" s="4">
        <f>'D3 Gallon Forecast'!AE203</f>
        <v>0</v>
      </c>
      <c r="AF203" s="4">
        <f>'D3 Gallon Forecast'!AF203</f>
        <v>0</v>
      </c>
      <c r="AG203" s="4">
        <f>'D3 Gallon Forecast'!AG203</f>
        <v>0</v>
      </c>
    </row>
    <row r="204" spans="1:33">
      <c r="A204" s="2" t="s">
        <v>46</v>
      </c>
      <c r="B204" s="3">
        <f>'Monthly D3 RIN Data'!$E7</f>
        <v>0</v>
      </c>
      <c r="C204" s="3">
        <f>'Monthly D3 RIN Data'!$E19</f>
        <v>0</v>
      </c>
      <c r="D204" s="3">
        <f>'Monthly D3 RIN Data'!$E31</f>
        <v>0</v>
      </c>
      <c r="E204" s="3">
        <f>'Monthly D3 RIN Data'!$E43</f>
        <v>0</v>
      </c>
      <c r="F204" s="3">
        <f>'Monthly D3 RIN Data'!$E55</f>
        <v>0</v>
      </c>
      <c r="G204" s="3">
        <f>'Monthly D3 RIN Data'!$E67</f>
        <v>0</v>
      </c>
      <c r="H204" s="3">
        <f>'Monthly D3 RIN Data'!$E79</f>
        <v>0</v>
      </c>
      <c r="I204" s="3">
        <f>'Monthly D3 RIN Data'!$E91</f>
        <v>0</v>
      </c>
      <c r="J204" s="3">
        <f>'Monthly D3 RIN Data'!$E103</f>
        <v>0</v>
      </c>
      <c r="K204" s="3">
        <f>'Monthly D3 RIN Data'!$E115</f>
        <v>0</v>
      </c>
      <c r="L204" s="3">
        <f>'Monthly D3 RIN Data'!$E127</f>
        <v>0</v>
      </c>
      <c r="M204" s="3">
        <f>'Monthly D3 RIN Data'!$E139</f>
        <v>0</v>
      </c>
      <c r="N204" s="3">
        <f>'Monthly D3 RIN Data'!$E151</f>
        <v>0</v>
      </c>
      <c r="O204" s="3">
        <f>'Monthly D3 RIN Data'!$E163</f>
        <v>0</v>
      </c>
      <c r="P204" s="3">
        <f>'Monthly D3 RIN Data'!$E175</f>
        <v>0</v>
      </c>
      <c r="Q204" s="4">
        <f>'D3 Gallon Forecast'!Q204</f>
        <v>0</v>
      </c>
      <c r="R204" s="4">
        <f>'D3 Gallon Forecast'!R204</f>
        <v>0</v>
      </c>
      <c r="S204" s="4">
        <f>'D3 Gallon Forecast'!S204</f>
        <v>0</v>
      </c>
      <c r="T204" s="4">
        <f>'D3 Gallon Forecast'!T204</f>
        <v>0</v>
      </c>
      <c r="U204" s="4">
        <f>'D3 Gallon Forecast'!U204</f>
        <v>0</v>
      </c>
      <c r="V204" s="4">
        <f>'D3 Gallon Forecast'!V204</f>
        <v>0</v>
      </c>
      <c r="W204" s="4">
        <f>'D3 Gallon Forecast'!W204</f>
        <v>0</v>
      </c>
      <c r="X204" s="4">
        <f>'D3 Gallon Forecast'!X204</f>
        <v>0</v>
      </c>
      <c r="Y204" s="4">
        <f>'D3 Gallon Forecast'!Y204</f>
        <v>0</v>
      </c>
      <c r="Z204" s="4">
        <f>'D3 Gallon Forecast'!Z204</f>
        <v>0</v>
      </c>
      <c r="AA204" s="4">
        <f>'D3 Gallon Forecast'!AA204</f>
        <v>0</v>
      </c>
      <c r="AB204" s="4">
        <f>'D3 Gallon Forecast'!AB204</f>
        <v>0</v>
      </c>
      <c r="AC204" s="4">
        <f>'D3 Gallon Forecast'!AC204</f>
        <v>0</v>
      </c>
      <c r="AD204" s="4">
        <f>'D3 Gallon Forecast'!AD204</f>
        <v>0</v>
      </c>
      <c r="AE204" s="4">
        <f>'D3 Gallon Forecast'!AE204</f>
        <v>0</v>
      </c>
      <c r="AF204" s="4">
        <f>'D3 Gallon Forecast'!AF204</f>
        <v>0</v>
      </c>
      <c r="AG204" s="4">
        <f>'D3 Gallon Forecast'!AG204</f>
        <v>0</v>
      </c>
    </row>
    <row r="205" spans="1:33">
      <c r="A205" s="2" t="s">
        <v>47</v>
      </c>
      <c r="B205" s="3">
        <f>'Monthly D3 RIN Data'!$E8</f>
        <v>0</v>
      </c>
      <c r="C205" s="3">
        <f>'Monthly D3 RIN Data'!$E20</f>
        <v>0</v>
      </c>
      <c r="D205" s="3">
        <f>'Monthly D3 RIN Data'!$E32</f>
        <v>0</v>
      </c>
      <c r="E205" s="3">
        <f>'Monthly D3 RIN Data'!$E44</f>
        <v>0</v>
      </c>
      <c r="F205" s="3">
        <f>'Monthly D3 RIN Data'!$E56</f>
        <v>0</v>
      </c>
      <c r="G205" s="3">
        <f>'Monthly D3 RIN Data'!$E68</f>
        <v>0</v>
      </c>
      <c r="H205" s="3">
        <f>'Monthly D3 RIN Data'!$E80</f>
        <v>0</v>
      </c>
      <c r="I205" s="3">
        <f>'Monthly D3 RIN Data'!$E92</f>
        <v>0</v>
      </c>
      <c r="J205" s="3">
        <f>'Monthly D3 RIN Data'!$E104</f>
        <v>0</v>
      </c>
      <c r="K205" s="3">
        <f>'Monthly D3 RIN Data'!$E116</f>
        <v>0</v>
      </c>
      <c r="L205" s="3">
        <f>'Monthly D3 RIN Data'!$E128</f>
        <v>0</v>
      </c>
      <c r="M205" s="3">
        <f>'Monthly D3 RIN Data'!$E140</f>
        <v>0</v>
      </c>
      <c r="N205" s="3">
        <f>'Monthly D3 RIN Data'!$E152</f>
        <v>0</v>
      </c>
      <c r="O205" s="3">
        <f>'Monthly D3 RIN Data'!$E164</f>
        <v>0</v>
      </c>
      <c r="P205" s="3">
        <f>'Monthly D3 RIN Data'!$E176</f>
        <v>0</v>
      </c>
      <c r="Q205" s="4">
        <f>'D3 Gallon Forecast'!Q205</f>
        <v>0</v>
      </c>
      <c r="R205" s="4">
        <f>'D3 Gallon Forecast'!R205</f>
        <v>0</v>
      </c>
      <c r="S205" s="4">
        <f>'D3 Gallon Forecast'!S205</f>
        <v>0</v>
      </c>
      <c r="T205" s="4">
        <f>'D3 Gallon Forecast'!T205</f>
        <v>0</v>
      </c>
      <c r="U205" s="4">
        <f>'D3 Gallon Forecast'!U205</f>
        <v>0</v>
      </c>
      <c r="V205" s="4">
        <f>'D3 Gallon Forecast'!V205</f>
        <v>0</v>
      </c>
      <c r="W205" s="4">
        <f>'D3 Gallon Forecast'!W205</f>
        <v>0</v>
      </c>
      <c r="X205" s="4">
        <f>'D3 Gallon Forecast'!X205</f>
        <v>0</v>
      </c>
      <c r="Y205" s="4">
        <f>'D3 Gallon Forecast'!Y205</f>
        <v>0</v>
      </c>
      <c r="Z205" s="4">
        <f>'D3 Gallon Forecast'!Z205</f>
        <v>0</v>
      </c>
      <c r="AA205" s="4">
        <f>'D3 Gallon Forecast'!AA205</f>
        <v>0</v>
      </c>
      <c r="AB205" s="4">
        <f>'D3 Gallon Forecast'!AB205</f>
        <v>0</v>
      </c>
      <c r="AC205" s="4">
        <f>'D3 Gallon Forecast'!AC205</f>
        <v>0</v>
      </c>
      <c r="AD205" s="4">
        <f>'D3 Gallon Forecast'!AD205</f>
        <v>0</v>
      </c>
      <c r="AE205" s="4">
        <f>'D3 Gallon Forecast'!AE205</f>
        <v>0</v>
      </c>
      <c r="AF205" s="4">
        <f>'D3 Gallon Forecast'!AF205</f>
        <v>0</v>
      </c>
      <c r="AG205" s="4">
        <f>'D3 Gallon Forecast'!AG205</f>
        <v>0</v>
      </c>
    </row>
    <row r="206" spans="1:33">
      <c r="A206" s="2" t="s">
        <v>48</v>
      </c>
      <c r="B206" s="3">
        <f>'Monthly D3 RIN Data'!$E9</f>
        <v>0</v>
      </c>
      <c r="C206" s="3">
        <f>'Monthly D3 RIN Data'!$E21</f>
        <v>0</v>
      </c>
      <c r="D206" s="3">
        <f>'Monthly D3 RIN Data'!$E33</f>
        <v>0</v>
      </c>
      <c r="E206" s="3">
        <f>'Monthly D3 RIN Data'!$E45</f>
        <v>84580</v>
      </c>
      <c r="F206" s="3">
        <f>'Monthly D3 RIN Data'!$E57</f>
        <v>0</v>
      </c>
      <c r="G206" s="3">
        <f>'Monthly D3 RIN Data'!$E69</f>
        <v>0</v>
      </c>
      <c r="H206" s="3">
        <f>'Monthly D3 RIN Data'!$E81</f>
        <v>0</v>
      </c>
      <c r="I206" s="3">
        <f>'Monthly D3 RIN Data'!$E93</f>
        <v>0</v>
      </c>
      <c r="J206" s="3">
        <f>'Monthly D3 RIN Data'!$E105</f>
        <v>0</v>
      </c>
      <c r="K206" s="3">
        <f>'Monthly D3 RIN Data'!$E117</f>
        <v>0</v>
      </c>
      <c r="L206" s="3">
        <f>'Monthly D3 RIN Data'!$E129</f>
        <v>0</v>
      </c>
      <c r="M206" s="3">
        <f>'Monthly D3 RIN Data'!$E141</f>
        <v>0</v>
      </c>
      <c r="N206" s="3">
        <f>'Monthly D3 RIN Data'!$E153</f>
        <v>0</v>
      </c>
      <c r="O206" s="3">
        <f>'Monthly D3 RIN Data'!$E165</f>
        <v>0</v>
      </c>
      <c r="P206" s="3">
        <f>'Monthly D3 RIN Data'!$E177</f>
        <v>0</v>
      </c>
      <c r="Q206" s="4">
        <f>'D3 Gallon Forecast'!Q206</f>
        <v>0</v>
      </c>
      <c r="R206" s="4">
        <f>'D3 Gallon Forecast'!R206</f>
        <v>0</v>
      </c>
      <c r="S206" s="4">
        <f>'D3 Gallon Forecast'!S206</f>
        <v>0</v>
      </c>
      <c r="T206" s="4">
        <f>'D3 Gallon Forecast'!T206</f>
        <v>0</v>
      </c>
      <c r="U206" s="4">
        <f>'D3 Gallon Forecast'!U206</f>
        <v>0</v>
      </c>
      <c r="V206" s="4">
        <f>'D3 Gallon Forecast'!V206</f>
        <v>0</v>
      </c>
      <c r="W206" s="4">
        <f>'D3 Gallon Forecast'!W206</f>
        <v>0</v>
      </c>
      <c r="X206" s="4">
        <f>'D3 Gallon Forecast'!X206</f>
        <v>0</v>
      </c>
      <c r="Y206" s="4">
        <f>'D3 Gallon Forecast'!Y206</f>
        <v>0</v>
      </c>
      <c r="Z206" s="4">
        <f>'D3 Gallon Forecast'!Z206</f>
        <v>0</v>
      </c>
      <c r="AA206" s="4">
        <f>'D3 Gallon Forecast'!AA206</f>
        <v>0</v>
      </c>
      <c r="AB206" s="4">
        <f>'D3 Gallon Forecast'!AB206</f>
        <v>0</v>
      </c>
      <c r="AC206" s="4">
        <f>'D3 Gallon Forecast'!AC206</f>
        <v>0</v>
      </c>
      <c r="AD206" s="4">
        <f>'D3 Gallon Forecast'!AD206</f>
        <v>0</v>
      </c>
      <c r="AE206" s="4">
        <f>'D3 Gallon Forecast'!AE206</f>
        <v>0</v>
      </c>
      <c r="AF206" s="4">
        <f>'D3 Gallon Forecast'!AF206</f>
        <v>0</v>
      </c>
      <c r="AG206" s="4">
        <f>'D3 Gallon Forecast'!AG206</f>
        <v>0</v>
      </c>
    </row>
    <row r="207" spans="1:33">
      <c r="A207" s="2" t="s">
        <v>49</v>
      </c>
      <c r="B207" s="3">
        <f>'Monthly D3 RIN Data'!$E10</f>
        <v>0</v>
      </c>
      <c r="C207" s="3">
        <f>'Monthly D3 RIN Data'!$E22</f>
        <v>0</v>
      </c>
      <c r="D207" s="3">
        <f>'Monthly D3 RIN Data'!$E34</f>
        <v>0</v>
      </c>
      <c r="E207" s="3">
        <f>'Monthly D3 RIN Data'!$E46</f>
        <v>56460</v>
      </c>
      <c r="F207" s="3">
        <f>'Monthly D3 RIN Data'!$E58</f>
        <v>0</v>
      </c>
      <c r="G207" s="3">
        <f>'Monthly D3 RIN Data'!$E70</f>
        <v>0</v>
      </c>
      <c r="H207" s="3">
        <f>'Monthly D3 RIN Data'!$E82</f>
        <v>0</v>
      </c>
      <c r="I207" s="3">
        <f>'Monthly D3 RIN Data'!$E94</f>
        <v>0</v>
      </c>
      <c r="J207" s="3">
        <f>'Monthly D3 RIN Data'!$E106</f>
        <v>0</v>
      </c>
      <c r="K207" s="3">
        <f>'Monthly D3 RIN Data'!$E118</f>
        <v>0</v>
      </c>
      <c r="L207" s="3">
        <f>'Monthly D3 RIN Data'!$E130</f>
        <v>0</v>
      </c>
      <c r="M207" s="3">
        <f>'Monthly D3 RIN Data'!$E142</f>
        <v>0</v>
      </c>
      <c r="N207" s="3">
        <f>'Monthly D3 RIN Data'!$E154</f>
        <v>0</v>
      </c>
      <c r="O207" s="3">
        <f>'Monthly D3 RIN Data'!$E166</f>
        <v>0</v>
      </c>
      <c r="P207" s="3">
        <f>'Monthly D3 RIN Data'!$E178</f>
        <v>0</v>
      </c>
      <c r="Q207" s="4">
        <f>'D3 Gallon Forecast'!Q207</f>
        <v>0</v>
      </c>
      <c r="R207" s="4">
        <f>'D3 Gallon Forecast'!R207</f>
        <v>0</v>
      </c>
      <c r="S207" s="4">
        <f>'D3 Gallon Forecast'!S207</f>
        <v>0</v>
      </c>
      <c r="T207" s="4">
        <f>'D3 Gallon Forecast'!T207</f>
        <v>0</v>
      </c>
      <c r="U207" s="4">
        <f>'D3 Gallon Forecast'!U207</f>
        <v>0</v>
      </c>
      <c r="V207" s="4">
        <f>'D3 Gallon Forecast'!V207</f>
        <v>0</v>
      </c>
      <c r="W207" s="4">
        <f>'D3 Gallon Forecast'!W207</f>
        <v>0</v>
      </c>
      <c r="X207" s="4">
        <f>'D3 Gallon Forecast'!X207</f>
        <v>0</v>
      </c>
      <c r="Y207" s="4">
        <f>'D3 Gallon Forecast'!Y207</f>
        <v>0</v>
      </c>
      <c r="Z207" s="4">
        <f>'D3 Gallon Forecast'!Z207</f>
        <v>0</v>
      </c>
      <c r="AA207" s="4">
        <f>'D3 Gallon Forecast'!AA207</f>
        <v>0</v>
      </c>
      <c r="AB207" s="4">
        <f>'D3 Gallon Forecast'!AB207</f>
        <v>0</v>
      </c>
      <c r="AC207" s="4">
        <f>'D3 Gallon Forecast'!AC207</f>
        <v>0</v>
      </c>
      <c r="AD207" s="4">
        <f>'D3 Gallon Forecast'!AD207</f>
        <v>0</v>
      </c>
      <c r="AE207" s="4">
        <f>'D3 Gallon Forecast'!AE207</f>
        <v>0</v>
      </c>
      <c r="AF207" s="4">
        <f>'D3 Gallon Forecast'!AF207</f>
        <v>0</v>
      </c>
      <c r="AG207" s="4">
        <f>'D3 Gallon Forecast'!AG207</f>
        <v>0</v>
      </c>
    </row>
    <row r="208" spans="1:33">
      <c r="A208" s="2" t="s">
        <v>50</v>
      </c>
      <c r="B208" s="3">
        <f>'Monthly D3 RIN Data'!$E11</f>
        <v>0</v>
      </c>
      <c r="C208" s="3">
        <f>'Monthly D3 RIN Data'!$E23</f>
        <v>0</v>
      </c>
      <c r="D208" s="3">
        <f>'Monthly D3 RIN Data'!$E35</f>
        <v>0</v>
      </c>
      <c r="E208" s="3">
        <f>'Monthly D3 RIN Data'!$E47</f>
        <v>0</v>
      </c>
      <c r="F208" s="3">
        <f>'Monthly D3 RIN Data'!$E59</f>
        <v>0</v>
      </c>
      <c r="G208" s="3">
        <f>'Monthly D3 RIN Data'!$E71</f>
        <v>0</v>
      </c>
      <c r="H208" s="3">
        <f>'Monthly D3 RIN Data'!$E83</f>
        <v>0</v>
      </c>
      <c r="I208" s="3">
        <f>'Monthly D3 RIN Data'!$E95</f>
        <v>0</v>
      </c>
      <c r="J208" s="3">
        <f>'Monthly D3 RIN Data'!$E107</f>
        <v>0</v>
      </c>
      <c r="K208" s="3">
        <f>'Monthly D3 RIN Data'!$E119</f>
        <v>0</v>
      </c>
      <c r="L208" s="3">
        <f>'Monthly D3 RIN Data'!$E131</f>
        <v>0</v>
      </c>
      <c r="M208" s="3">
        <f>'Monthly D3 RIN Data'!$E143</f>
        <v>0</v>
      </c>
      <c r="N208" s="3">
        <f>'Monthly D3 RIN Data'!$E155</f>
        <v>0</v>
      </c>
      <c r="O208" s="3">
        <f>'Monthly D3 RIN Data'!$E167</f>
        <v>0</v>
      </c>
      <c r="P208" s="3">
        <f>'Monthly D3 RIN Data'!$E179</f>
        <v>0</v>
      </c>
      <c r="Q208" s="4">
        <f>'D3 Gallon Forecast'!Q208</f>
        <v>0</v>
      </c>
      <c r="R208" s="4">
        <f>'D3 Gallon Forecast'!R208</f>
        <v>0</v>
      </c>
      <c r="S208" s="4">
        <f>'D3 Gallon Forecast'!S208</f>
        <v>0</v>
      </c>
      <c r="T208" s="4">
        <f>'D3 Gallon Forecast'!T208</f>
        <v>0</v>
      </c>
      <c r="U208" s="4">
        <f>'D3 Gallon Forecast'!U208</f>
        <v>0</v>
      </c>
      <c r="V208" s="4">
        <f>'D3 Gallon Forecast'!V208</f>
        <v>0</v>
      </c>
      <c r="W208" s="4">
        <f>'D3 Gallon Forecast'!W208</f>
        <v>0</v>
      </c>
      <c r="X208" s="4">
        <f>'D3 Gallon Forecast'!X208</f>
        <v>0</v>
      </c>
      <c r="Y208" s="4">
        <f>'D3 Gallon Forecast'!Y208</f>
        <v>0</v>
      </c>
      <c r="Z208" s="4">
        <f>'D3 Gallon Forecast'!Z208</f>
        <v>0</v>
      </c>
      <c r="AA208" s="4">
        <f>'D3 Gallon Forecast'!AA208</f>
        <v>0</v>
      </c>
      <c r="AB208" s="4">
        <f>'D3 Gallon Forecast'!AB208</f>
        <v>0</v>
      </c>
      <c r="AC208" s="4">
        <f>'D3 Gallon Forecast'!AC208</f>
        <v>0</v>
      </c>
      <c r="AD208" s="4">
        <f>'D3 Gallon Forecast'!AD208</f>
        <v>0</v>
      </c>
      <c r="AE208" s="4">
        <f>'D3 Gallon Forecast'!AE208</f>
        <v>0</v>
      </c>
      <c r="AF208" s="4">
        <f>'D3 Gallon Forecast'!AF208</f>
        <v>0</v>
      </c>
      <c r="AG208" s="4">
        <f>'D3 Gallon Forecast'!AG208</f>
        <v>0</v>
      </c>
    </row>
    <row r="209" spans="1:33">
      <c r="A209" s="2" t="s">
        <v>51</v>
      </c>
      <c r="B209" s="3">
        <f>'Monthly D3 RIN Data'!$E12</f>
        <v>0</v>
      </c>
      <c r="C209" s="3">
        <f>'Monthly D3 RIN Data'!$E24</f>
        <v>0</v>
      </c>
      <c r="D209" s="3">
        <f>'Monthly D3 RIN Data'!$E36</f>
        <v>0</v>
      </c>
      <c r="E209" s="3">
        <f>'Monthly D3 RIN Data'!$E48</f>
        <v>109142</v>
      </c>
      <c r="F209" s="3">
        <f>'Monthly D3 RIN Data'!$E60</f>
        <v>0</v>
      </c>
      <c r="G209" s="3">
        <f>'Monthly D3 RIN Data'!$E72</f>
        <v>0</v>
      </c>
      <c r="H209" s="3">
        <f>'Monthly D3 RIN Data'!$E84</f>
        <v>0</v>
      </c>
      <c r="I209" s="3">
        <f>'Monthly D3 RIN Data'!$E96</f>
        <v>0</v>
      </c>
      <c r="J209" s="3">
        <f>'Monthly D3 RIN Data'!$E108</f>
        <v>0</v>
      </c>
      <c r="K209" s="3">
        <f>'Monthly D3 RIN Data'!$E120</f>
        <v>0</v>
      </c>
      <c r="L209" s="3">
        <f>'Monthly D3 RIN Data'!$E132</f>
        <v>0</v>
      </c>
      <c r="M209" s="3">
        <f>'Monthly D3 RIN Data'!$E144</f>
        <v>0</v>
      </c>
      <c r="N209" s="3">
        <f>'Monthly D3 RIN Data'!$E156</f>
        <v>0</v>
      </c>
      <c r="O209" s="3">
        <f>'Monthly D3 RIN Data'!$E168</f>
        <v>0</v>
      </c>
      <c r="P209" s="3">
        <f>'Monthly D3 RIN Data'!$E180</f>
        <v>0</v>
      </c>
      <c r="Q209" s="4">
        <f>'D3 Gallon Forecast'!Q209</f>
        <v>0</v>
      </c>
      <c r="R209" s="4">
        <f>'D3 Gallon Forecast'!R209</f>
        <v>0</v>
      </c>
      <c r="S209" s="4">
        <f>'D3 Gallon Forecast'!S209</f>
        <v>0</v>
      </c>
      <c r="T209" s="4">
        <f>'D3 Gallon Forecast'!T209</f>
        <v>0</v>
      </c>
      <c r="U209" s="4">
        <f>'D3 Gallon Forecast'!U209</f>
        <v>0</v>
      </c>
      <c r="V209" s="4">
        <f>'D3 Gallon Forecast'!V209</f>
        <v>0</v>
      </c>
      <c r="W209" s="4">
        <f>'D3 Gallon Forecast'!W209</f>
        <v>0</v>
      </c>
      <c r="X209" s="4">
        <f>'D3 Gallon Forecast'!X209</f>
        <v>0</v>
      </c>
      <c r="Y209" s="4">
        <f>'D3 Gallon Forecast'!Y209</f>
        <v>0</v>
      </c>
      <c r="Z209" s="4">
        <f>'D3 Gallon Forecast'!Z209</f>
        <v>0</v>
      </c>
      <c r="AA209" s="4">
        <f>'D3 Gallon Forecast'!AA209</f>
        <v>0</v>
      </c>
      <c r="AB209" s="4">
        <f>'D3 Gallon Forecast'!AB209</f>
        <v>0</v>
      </c>
      <c r="AC209" s="4">
        <f>'D3 Gallon Forecast'!AC209</f>
        <v>0</v>
      </c>
      <c r="AD209" s="4">
        <f>'D3 Gallon Forecast'!AD209</f>
        <v>0</v>
      </c>
      <c r="AE209" s="4">
        <f>'D3 Gallon Forecast'!AE209</f>
        <v>0</v>
      </c>
      <c r="AF209" s="4">
        <f>'D3 Gallon Forecast'!AF209</f>
        <v>0</v>
      </c>
      <c r="AG209" s="4">
        <f>'D3 Gallon Forecast'!AG209</f>
        <v>0</v>
      </c>
    </row>
    <row r="210" spans="1:33">
      <c r="A210" s="2" t="s">
        <v>52</v>
      </c>
      <c r="B210" s="3">
        <f>'Monthly D3 RIN Data'!$E13</f>
        <v>0</v>
      </c>
      <c r="C210" s="3">
        <f>'Monthly D3 RIN Data'!$E25</f>
        <v>0</v>
      </c>
      <c r="D210" s="3">
        <f>'Monthly D3 RIN Data'!$E37</f>
        <v>0</v>
      </c>
      <c r="E210" s="3">
        <f>'Monthly D3 RIN Data'!$E49</f>
        <v>44372</v>
      </c>
      <c r="F210" s="3">
        <f>'Monthly D3 RIN Data'!$E61</f>
        <v>0</v>
      </c>
      <c r="G210" s="3">
        <f>'Monthly D3 RIN Data'!$E73</f>
        <v>0</v>
      </c>
      <c r="H210" s="3">
        <f>'Monthly D3 RIN Data'!$E85</f>
        <v>0</v>
      </c>
      <c r="I210" s="3">
        <f>'Monthly D3 RIN Data'!$E97</f>
        <v>0</v>
      </c>
      <c r="J210" s="3">
        <f>'Monthly D3 RIN Data'!$E109</f>
        <v>0</v>
      </c>
      <c r="K210" s="3">
        <f>'Monthly D3 RIN Data'!$E121</f>
        <v>0</v>
      </c>
      <c r="L210" s="3">
        <f>'Monthly D3 RIN Data'!$E133</f>
        <v>0</v>
      </c>
      <c r="M210" s="3">
        <f>'Monthly D3 RIN Data'!$E145</f>
        <v>0</v>
      </c>
      <c r="N210" s="3">
        <f>'Monthly D3 RIN Data'!$E157</f>
        <v>0</v>
      </c>
      <c r="O210" s="3">
        <f>'Monthly D3 RIN Data'!$E169</f>
        <v>0</v>
      </c>
      <c r="P210" s="3">
        <f>'Monthly D3 RIN Data'!$E181</f>
        <v>0</v>
      </c>
      <c r="Q210" s="4">
        <f>'D3 Gallon Forecast'!Q210</f>
        <v>0</v>
      </c>
      <c r="R210" s="4">
        <f>'D3 Gallon Forecast'!R210</f>
        <v>0</v>
      </c>
      <c r="S210" s="4">
        <f>'D3 Gallon Forecast'!S210</f>
        <v>0</v>
      </c>
      <c r="T210" s="4">
        <f>'D3 Gallon Forecast'!T210</f>
        <v>0</v>
      </c>
      <c r="U210" s="4">
        <f>'D3 Gallon Forecast'!U210</f>
        <v>0</v>
      </c>
      <c r="V210" s="4">
        <f>'D3 Gallon Forecast'!V210</f>
        <v>0</v>
      </c>
      <c r="W210" s="4">
        <f>'D3 Gallon Forecast'!W210</f>
        <v>0</v>
      </c>
      <c r="X210" s="4">
        <f>'D3 Gallon Forecast'!X210</f>
        <v>0</v>
      </c>
      <c r="Y210" s="4">
        <f>'D3 Gallon Forecast'!Y210</f>
        <v>0</v>
      </c>
      <c r="Z210" s="4">
        <f>'D3 Gallon Forecast'!Z210</f>
        <v>0</v>
      </c>
      <c r="AA210" s="4">
        <f>'D3 Gallon Forecast'!AA210</f>
        <v>0</v>
      </c>
      <c r="AB210" s="4">
        <f>'D3 Gallon Forecast'!AB210</f>
        <v>0</v>
      </c>
      <c r="AC210" s="4">
        <f>'D3 Gallon Forecast'!AC210</f>
        <v>0</v>
      </c>
      <c r="AD210" s="4">
        <f>'D3 Gallon Forecast'!AD210</f>
        <v>0</v>
      </c>
      <c r="AE210" s="4">
        <f>'D3 Gallon Forecast'!AE210</f>
        <v>0</v>
      </c>
      <c r="AF210" s="4">
        <f>'D3 Gallon Forecast'!AF210</f>
        <v>0</v>
      </c>
      <c r="AG210" s="4">
        <f>'D3 Gallon Forecast'!AG210</f>
        <v>0</v>
      </c>
    </row>
    <row r="211" spans="1:33">
      <c r="A211" s="2" t="s">
        <v>53</v>
      </c>
      <c r="B211" s="3">
        <f>'Monthly D3 RIN Data'!$E14</f>
        <v>0</v>
      </c>
      <c r="C211" s="3">
        <f>'Monthly D3 RIN Data'!$E26</f>
        <v>0</v>
      </c>
      <c r="D211" s="3">
        <f>'Monthly D3 RIN Data'!$E38</f>
        <v>0</v>
      </c>
      <c r="E211" s="3">
        <f>'Monthly D3 RIN Data'!$E50</f>
        <v>59119</v>
      </c>
      <c r="F211" s="3">
        <f>'Monthly D3 RIN Data'!$E62</f>
        <v>0</v>
      </c>
      <c r="G211" s="3">
        <f>'Monthly D3 RIN Data'!$E74</f>
        <v>0</v>
      </c>
      <c r="H211" s="3">
        <f>'Monthly D3 RIN Data'!$E86</f>
        <v>0</v>
      </c>
      <c r="I211" s="3">
        <f>'Monthly D3 RIN Data'!$E98</f>
        <v>0</v>
      </c>
      <c r="J211" s="3">
        <f>'Monthly D3 RIN Data'!$E110</f>
        <v>0</v>
      </c>
      <c r="K211" s="3">
        <f>'Monthly D3 RIN Data'!$E122</f>
        <v>0</v>
      </c>
      <c r="L211" s="3">
        <f>'Monthly D3 RIN Data'!$E134</f>
        <v>0</v>
      </c>
      <c r="M211" s="3">
        <f>'Monthly D3 RIN Data'!$E146</f>
        <v>0</v>
      </c>
      <c r="N211" s="3">
        <f>'Monthly D3 RIN Data'!$E158</f>
        <v>0</v>
      </c>
      <c r="O211" s="3">
        <f>'Monthly D3 RIN Data'!$E170</f>
        <v>0</v>
      </c>
      <c r="P211" s="3">
        <f>'Monthly D3 RIN Data'!$E182</f>
        <v>0</v>
      </c>
      <c r="Q211" s="4">
        <f>'D3 Gallon Forecast'!Q211</f>
        <v>0</v>
      </c>
      <c r="R211" s="4">
        <f>'D3 Gallon Forecast'!R211</f>
        <v>0</v>
      </c>
      <c r="S211" s="4">
        <f>'D3 Gallon Forecast'!S211</f>
        <v>0</v>
      </c>
      <c r="T211" s="4">
        <f>'D3 Gallon Forecast'!T211</f>
        <v>0</v>
      </c>
      <c r="U211" s="4">
        <f>'D3 Gallon Forecast'!U211</f>
        <v>0</v>
      </c>
      <c r="V211" s="4">
        <f>'D3 Gallon Forecast'!V211</f>
        <v>0</v>
      </c>
      <c r="W211" s="4">
        <f>'D3 Gallon Forecast'!W211</f>
        <v>0</v>
      </c>
      <c r="X211" s="4">
        <f>'D3 Gallon Forecast'!X211</f>
        <v>0</v>
      </c>
      <c r="Y211" s="4">
        <f>'D3 Gallon Forecast'!Y211</f>
        <v>0</v>
      </c>
      <c r="Z211" s="4">
        <f>'D3 Gallon Forecast'!Z211</f>
        <v>0</v>
      </c>
      <c r="AA211" s="4">
        <f>'D3 Gallon Forecast'!AA211</f>
        <v>0</v>
      </c>
      <c r="AB211" s="4">
        <f>'D3 Gallon Forecast'!AB211</f>
        <v>0</v>
      </c>
      <c r="AC211" s="4">
        <f>'D3 Gallon Forecast'!AC211</f>
        <v>0</v>
      </c>
      <c r="AD211" s="4">
        <f>'D3 Gallon Forecast'!AD211</f>
        <v>0</v>
      </c>
      <c r="AE211" s="4">
        <f>'D3 Gallon Forecast'!AE211</f>
        <v>0</v>
      </c>
      <c r="AF211" s="4">
        <f>'D3 Gallon Forecast'!AF211</f>
        <v>0</v>
      </c>
      <c r="AG211" s="4">
        <f>'D3 Gallon Forecast'!AG211</f>
        <v>0</v>
      </c>
    </row>
    <row r="212" spans="1:33">
      <c r="A212" s="2" t="s">
        <v>54</v>
      </c>
      <c r="B212" s="3">
        <f>'Monthly D3 RIN Data'!$E15</f>
        <v>0</v>
      </c>
      <c r="C212" s="3">
        <f>'Monthly D3 RIN Data'!$E27</f>
        <v>0</v>
      </c>
      <c r="D212" s="3">
        <f>'Monthly D3 RIN Data'!$E39</f>
        <v>0</v>
      </c>
      <c r="E212" s="3">
        <f>'Monthly D3 RIN Data'!$E51</f>
        <v>69067</v>
      </c>
      <c r="F212" s="3">
        <f>'Monthly D3 RIN Data'!$E63</f>
        <v>0</v>
      </c>
      <c r="G212" s="3">
        <f>'Monthly D3 RIN Data'!$E75</f>
        <v>0</v>
      </c>
      <c r="H212" s="3">
        <f>'Monthly D3 RIN Data'!$E87</f>
        <v>0</v>
      </c>
      <c r="I212" s="3">
        <f>'Monthly D3 RIN Data'!$E99</f>
        <v>0</v>
      </c>
      <c r="J212" s="3">
        <f>'Monthly D3 RIN Data'!$E111</f>
        <v>0</v>
      </c>
      <c r="K212" s="3">
        <f>'Monthly D3 RIN Data'!$E123</f>
        <v>0</v>
      </c>
      <c r="L212" s="3">
        <f>'Monthly D3 RIN Data'!$E135</f>
        <v>0</v>
      </c>
      <c r="M212" s="3">
        <f>'Monthly D3 RIN Data'!$E147</f>
        <v>0</v>
      </c>
      <c r="N212" s="3">
        <f>'Monthly D3 RIN Data'!$E159</f>
        <v>0</v>
      </c>
      <c r="O212" s="3">
        <f>'Monthly D3 RIN Data'!$E171</f>
        <v>0</v>
      </c>
      <c r="P212" s="4">
        <f>'D3 Gallon Forecast'!P212</f>
        <v>0</v>
      </c>
      <c r="Q212" s="4">
        <f>'D3 Gallon Forecast'!Q212</f>
        <v>0</v>
      </c>
      <c r="R212" s="4">
        <f>'D3 Gallon Forecast'!R212</f>
        <v>0</v>
      </c>
      <c r="S212" s="4">
        <f>'D3 Gallon Forecast'!S212</f>
        <v>0</v>
      </c>
      <c r="T212" s="4">
        <f>'D3 Gallon Forecast'!T212</f>
        <v>0</v>
      </c>
      <c r="U212" s="4">
        <f>'D3 Gallon Forecast'!U212</f>
        <v>0</v>
      </c>
      <c r="V212" s="4">
        <f>'D3 Gallon Forecast'!V212</f>
        <v>0</v>
      </c>
      <c r="W212" s="4">
        <f>'D3 Gallon Forecast'!W212</f>
        <v>0</v>
      </c>
      <c r="X212" s="4">
        <f>'D3 Gallon Forecast'!X212</f>
        <v>0</v>
      </c>
      <c r="Y212" s="4">
        <f>'D3 Gallon Forecast'!Y212</f>
        <v>0</v>
      </c>
      <c r="Z212" s="4">
        <f>'D3 Gallon Forecast'!Z212</f>
        <v>0</v>
      </c>
      <c r="AA212" s="4">
        <f>'D3 Gallon Forecast'!AA212</f>
        <v>0</v>
      </c>
      <c r="AB212" s="4">
        <f>'D3 Gallon Forecast'!AB212</f>
        <v>0</v>
      </c>
      <c r="AC212" s="4">
        <f>'D3 Gallon Forecast'!AC212</f>
        <v>0</v>
      </c>
      <c r="AD212" s="4">
        <f>'D3 Gallon Forecast'!AD212</f>
        <v>0</v>
      </c>
      <c r="AE212" s="4">
        <f>'D3 Gallon Forecast'!AE212</f>
        <v>0</v>
      </c>
      <c r="AF212" s="4">
        <f>'D3 Gallon Forecast'!AF212</f>
        <v>0</v>
      </c>
      <c r="AG212" s="4">
        <f>'D3 Gallon Forecast'!AG212</f>
        <v>0</v>
      </c>
    </row>
    <row r="213" spans="1:33" ht="15.75" thickBot="1">
      <c r="A213" s="2" t="s">
        <v>29</v>
      </c>
      <c r="B213" s="3">
        <f>SUM(B201:B212)</f>
        <v>0</v>
      </c>
      <c r="C213" s="3">
        <f t="shared" ref="C213:O213" si="47">SUM(C201:C212)</f>
        <v>0</v>
      </c>
      <c r="D213" s="3">
        <f t="shared" si="47"/>
        <v>0</v>
      </c>
      <c r="E213" s="3">
        <f t="shared" si="47"/>
        <v>422740</v>
      </c>
      <c r="F213" s="3">
        <f t="shared" si="47"/>
        <v>44168</v>
      </c>
      <c r="G213" s="3">
        <f t="shared" si="47"/>
        <v>0</v>
      </c>
      <c r="H213" s="3">
        <f t="shared" si="47"/>
        <v>0</v>
      </c>
      <c r="I213" s="3">
        <f t="shared" si="47"/>
        <v>0</v>
      </c>
      <c r="J213" s="3">
        <f t="shared" si="47"/>
        <v>0</v>
      </c>
      <c r="K213" s="3">
        <f t="shared" si="47"/>
        <v>0</v>
      </c>
      <c r="L213" s="3">
        <f t="shared" si="47"/>
        <v>0</v>
      </c>
      <c r="M213" s="3">
        <f t="shared" si="47"/>
        <v>0</v>
      </c>
      <c r="N213" s="3">
        <f t="shared" si="47"/>
        <v>0</v>
      </c>
      <c r="O213" s="3">
        <f t="shared" si="47"/>
        <v>0</v>
      </c>
      <c r="P213" s="4">
        <f>SUM(P201:P212)</f>
        <v>0</v>
      </c>
      <c r="Q213" s="4">
        <f t="shared" ref="Q213:AG213" si="48">SUM(Q201:Q212)</f>
        <v>0</v>
      </c>
      <c r="R213" s="4">
        <f t="shared" si="48"/>
        <v>0</v>
      </c>
      <c r="S213" s="4">
        <f t="shared" si="48"/>
        <v>0</v>
      </c>
      <c r="T213" s="4">
        <f t="shared" si="48"/>
        <v>0</v>
      </c>
      <c r="U213" s="4">
        <f t="shared" si="48"/>
        <v>0</v>
      </c>
      <c r="V213" s="4">
        <f t="shared" si="48"/>
        <v>0</v>
      </c>
      <c r="W213" s="4">
        <f t="shared" si="48"/>
        <v>0</v>
      </c>
      <c r="X213" s="4">
        <f t="shared" si="48"/>
        <v>0</v>
      </c>
      <c r="Y213" s="4">
        <f t="shared" si="48"/>
        <v>0</v>
      </c>
      <c r="Z213" s="4">
        <f t="shared" si="48"/>
        <v>0</v>
      </c>
      <c r="AA213" s="4">
        <f t="shared" si="48"/>
        <v>0</v>
      </c>
      <c r="AB213" s="4">
        <f t="shared" si="48"/>
        <v>0</v>
      </c>
      <c r="AC213" s="4">
        <f t="shared" si="48"/>
        <v>0</v>
      </c>
      <c r="AD213" s="4">
        <f t="shared" si="48"/>
        <v>0</v>
      </c>
      <c r="AE213" s="4">
        <f t="shared" si="48"/>
        <v>0</v>
      </c>
      <c r="AF213" s="4">
        <f t="shared" si="48"/>
        <v>0</v>
      </c>
      <c r="AG213" s="4">
        <f t="shared" si="48"/>
        <v>0</v>
      </c>
    </row>
    <row r="214" spans="1:33">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c r="AD214" s="114"/>
      <c r="AE214" s="114"/>
      <c r="AF214" s="114"/>
      <c r="AG214" s="114"/>
    </row>
    <row r="215" spans="1:33" ht="16.5" thickBot="1">
      <c r="A215" s="109" t="s">
        <v>254</v>
      </c>
    </row>
    <row r="216" spans="1:33" ht="15.75" thickBot="1">
      <c r="A216" s="110"/>
      <c r="B216" s="111">
        <v>2010</v>
      </c>
      <c r="C216" s="111">
        <v>2011</v>
      </c>
      <c r="D216" s="111">
        <v>2012</v>
      </c>
      <c r="E216" s="111">
        <v>2013</v>
      </c>
      <c r="F216" s="111">
        <v>2014</v>
      </c>
      <c r="G216" s="111">
        <v>2015</v>
      </c>
      <c r="H216" s="111">
        <v>2016</v>
      </c>
      <c r="I216" s="111">
        <v>2017</v>
      </c>
      <c r="J216" s="111">
        <v>2018</v>
      </c>
      <c r="K216" s="111">
        <v>2019</v>
      </c>
      <c r="L216" s="111">
        <v>2020</v>
      </c>
      <c r="M216" s="111">
        <v>2021</v>
      </c>
      <c r="N216" s="111">
        <v>2022</v>
      </c>
      <c r="O216" s="111">
        <v>2023</v>
      </c>
      <c r="P216" s="111">
        <v>2024</v>
      </c>
      <c r="Q216" s="111">
        <v>2025</v>
      </c>
      <c r="R216" s="111">
        <v>2026</v>
      </c>
      <c r="S216" s="111">
        <v>2027</v>
      </c>
      <c r="T216" s="111">
        <v>2028</v>
      </c>
      <c r="U216" s="111">
        <v>2029</v>
      </c>
      <c r="V216" s="111">
        <v>2030</v>
      </c>
      <c r="W216" s="111">
        <v>2031</v>
      </c>
      <c r="X216" s="111">
        <v>2032</v>
      </c>
      <c r="Y216" s="111">
        <v>2033</v>
      </c>
      <c r="Z216" s="111">
        <v>2034</v>
      </c>
      <c r="AA216" s="111">
        <v>2035</v>
      </c>
      <c r="AB216" s="111">
        <v>2036</v>
      </c>
      <c r="AC216" s="111">
        <v>2037</v>
      </c>
      <c r="AD216" s="111">
        <v>2038</v>
      </c>
      <c r="AE216" s="111">
        <v>2039</v>
      </c>
      <c r="AF216" s="111">
        <v>2040</v>
      </c>
      <c r="AG216" s="111">
        <v>2041</v>
      </c>
    </row>
    <row r="217" spans="1:33">
      <c r="A217" s="2" t="s">
        <v>43</v>
      </c>
      <c r="B217" s="3">
        <f>'Monthly D3 RIN Data'!$F4</f>
        <v>0</v>
      </c>
      <c r="C217" s="3">
        <f>'Monthly D3 RIN Data'!$F16</f>
        <v>0</v>
      </c>
      <c r="D217" s="3">
        <f>'Monthly D3 RIN Data'!$F28</f>
        <v>0</v>
      </c>
      <c r="E217" s="3">
        <f>'Monthly D3 RIN Data'!$F40</f>
        <v>0</v>
      </c>
      <c r="F217" s="3">
        <f>'Monthly D3 RIN Data'!$F52</f>
        <v>0</v>
      </c>
      <c r="G217" s="3">
        <f>'Monthly D3 RIN Data'!$F64</f>
        <v>0</v>
      </c>
      <c r="H217" s="3">
        <f>'Monthly D3 RIN Data'!$F76</f>
        <v>0</v>
      </c>
      <c r="I217" s="3">
        <f>'Monthly D3 RIN Data'!$F88</f>
        <v>0</v>
      </c>
      <c r="J217" s="3">
        <f>'Monthly D3 RIN Data'!$F100</f>
        <v>0</v>
      </c>
      <c r="K217" s="3">
        <f>'Monthly D3 RIN Data'!$F112</f>
        <v>0</v>
      </c>
      <c r="L217" s="3">
        <f>'Monthly D3 RIN Data'!$F124</f>
        <v>0</v>
      </c>
      <c r="M217" s="3">
        <f>'Monthly D3 RIN Data'!$F136</f>
        <v>0</v>
      </c>
      <c r="N217" s="3">
        <f>'Monthly D3 RIN Data'!$F148</f>
        <v>0</v>
      </c>
      <c r="O217" s="3">
        <f>'Monthly D3 RIN Data'!$F160</f>
        <v>0</v>
      </c>
      <c r="P217" s="3">
        <f>'Monthly D3 RIN Data'!$F172</f>
        <v>0</v>
      </c>
      <c r="Q217" s="4">
        <f>'D3 Gallon Forecast'!Q217</f>
        <v>0</v>
      </c>
      <c r="R217" s="4">
        <f>'D3 Gallon Forecast'!R217</f>
        <v>0</v>
      </c>
      <c r="S217" s="4">
        <f>'D3 Gallon Forecast'!S217</f>
        <v>0</v>
      </c>
      <c r="T217" s="4">
        <f>'D3 Gallon Forecast'!T217</f>
        <v>0</v>
      </c>
      <c r="U217" s="4">
        <f>'D3 Gallon Forecast'!U217</f>
        <v>0</v>
      </c>
      <c r="V217" s="4">
        <f>'D3 Gallon Forecast'!V217</f>
        <v>0</v>
      </c>
      <c r="W217" s="4">
        <f>'D3 Gallon Forecast'!W217</f>
        <v>0</v>
      </c>
      <c r="X217" s="4">
        <f>'D3 Gallon Forecast'!X217</f>
        <v>0</v>
      </c>
      <c r="Y217" s="4">
        <f>'D3 Gallon Forecast'!Y217</f>
        <v>0</v>
      </c>
      <c r="Z217" s="4">
        <f>'D3 Gallon Forecast'!Z217</f>
        <v>0</v>
      </c>
      <c r="AA217" s="4">
        <f>'D3 Gallon Forecast'!AA217</f>
        <v>0</v>
      </c>
      <c r="AB217" s="4">
        <f>'D3 Gallon Forecast'!AB217</f>
        <v>0</v>
      </c>
      <c r="AC217" s="4">
        <f>'D3 Gallon Forecast'!AC217</f>
        <v>0</v>
      </c>
      <c r="AD217" s="4">
        <f>'D3 Gallon Forecast'!AD217</f>
        <v>0</v>
      </c>
      <c r="AE217" s="4">
        <f>'D3 Gallon Forecast'!AE217</f>
        <v>0</v>
      </c>
      <c r="AF217" s="4">
        <f>'D3 Gallon Forecast'!AF217</f>
        <v>0</v>
      </c>
      <c r="AG217" s="4">
        <f>'D3 Gallon Forecast'!AG217</f>
        <v>0</v>
      </c>
    </row>
    <row r="218" spans="1:33">
      <c r="A218" s="2" t="s">
        <v>44</v>
      </c>
      <c r="B218" s="3">
        <f>'Monthly D3 RIN Data'!$F5</f>
        <v>0</v>
      </c>
      <c r="C218" s="3">
        <f>'Monthly D3 RIN Data'!$F17</f>
        <v>0</v>
      </c>
      <c r="D218" s="3">
        <f>'Monthly D3 RIN Data'!$F29</f>
        <v>0</v>
      </c>
      <c r="E218" s="3">
        <f>'Monthly D3 RIN Data'!$F41</f>
        <v>0</v>
      </c>
      <c r="F218" s="3">
        <f>'Monthly D3 RIN Data'!$F53</f>
        <v>0</v>
      </c>
      <c r="G218" s="3">
        <f>'Monthly D3 RIN Data'!$F65</f>
        <v>0</v>
      </c>
      <c r="H218" s="3">
        <f>'Monthly D3 RIN Data'!$F77</f>
        <v>0</v>
      </c>
      <c r="I218" s="3">
        <f>'Monthly D3 RIN Data'!$F89</f>
        <v>0</v>
      </c>
      <c r="J218" s="3">
        <f>'Monthly D3 RIN Data'!$F101</f>
        <v>0</v>
      </c>
      <c r="K218" s="3">
        <f>'Monthly D3 RIN Data'!$F113</f>
        <v>0</v>
      </c>
      <c r="L218" s="3">
        <f>'Monthly D3 RIN Data'!$F125</f>
        <v>0</v>
      </c>
      <c r="M218" s="3">
        <f>'Monthly D3 RIN Data'!$F137</f>
        <v>0</v>
      </c>
      <c r="N218" s="3">
        <f>'Monthly D3 RIN Data'!$F149</f>
        <v>0</v>
      </c>
      <c r="O218" s="3">
        <f>'Monthly D3 RIN Data'!$F161</f>
        <v>0</v>
      </c>
      <c r="P218" s="3">
        <f>'Monthly D3 RIN Data'!$F173</f>
        <v>0</v>
      </c>
      <c r="Q218" s="4">
        <f>'D3 Gallon Forecast'!Q218</f>
        <v>0</v>
      </c>
      <c r="R218" s="4">
        <f>'D3 Gallon Forecast'!R218</f>
        <v>0</v>
      </c>
      <c r="S218" s="4">
        <f>'D3 Gallon Forecast'!S218</f>
        <v>0</v>
      </c>
      <c r="T218" s="4">
        <f>'D3 Gallon Forecast'!T218</f>
        <v>0</v>
      </c>
      <c r="U218" s="4">
        <f>'D3 Gallon Forecast'!U218</f>
        <v>0</v>
      </c>
      <c r="V218" s="4">
        <f>'D3 Gallon Forecast'!V218</f>
        <v>0</v>
      </c>
      <c r="W218" s="4">
        <f>'D3 Gallon Forecast'!W218</f>
        <v>0</v>
      </c>
      <c r="X218" s="4">
        <f>'D3 Gallon Forecast'!X218</f>
        <v>0</v>
      </c>
      <c r="Y218" s="4">
        <f>'D3 Gallon Forecast'!Y218</f>
        <v>0</v>
      </c>
      <c r="Z218" s="4">
        <f>'D3 Gallon Forecast'!Z218</f>
        <v>0</v>
      </c>
      <c r="AA218" s="4">
        <f>'D3 Gallon Forecast'!AA218</f>
        <v>0</v>
      </c>
      <c r="AB218" s="4">
        <f>'D3 Gallon Forecast'!AB218</f>
        <v>0</v>
      </c>
      <c r="AC218" s="4">
        <f>'D3 Gallon Forecast'!AC218</f>
        <v>0</v>
      </c>
      <c r="AD218" s="4">
        <f>'D3 Gallon Forecast'!AD218</f>
        <v>0</v>
      </c>
      <c r="AE218" s="4">
        <f>'D3 Gallon Forecast'!AE218</f>
        <v>0</v>
      </c>
      <c r="AF218" s="4">
        <f>'D3 Gallon Forecast'!AF218</f>
        <v>0</v>
      </c>
      <c r="AG218" s="4">
        <f>'D3 Gallon Forecast'!AG218</f>
        <v>0</v>
      </c>
    </row>
    <row r="219" spans="1:33">
      <c r="A219" s="2" t="s">
        <v>45</v>
      </c>
      <c r="B219" s="3">
        <f>'Monthly D3 RIN Data'!$F6</f>
        <v>0</v>
      </c>
      <c r="C219" s="3">
        <f>'Monthly D3 RIN Data'!$F18</f>
        <v>0</v>
      </c>
      <c r="D219" s="3">
        <f>'Monthly D3 RIN Data'!$F30</f>
        <v>0</v>
      </c>
      <c r="E219" s="3">
        <f>'Monthly D3 RIN Data'!$F42</f>
        <v>0</v>
      </c>
      <c r="F219" s="3">
        <f>'Monthly D3 RIN Data'!$F54</f>
        <v>0</v>
      </c>
      <c r="G219" s="3">
        <f>'Monthly D3 RIN Data'!$F66</f>
        <v>0</v>
      </c>
      <c r="H219" s="3">
        <f>'Monthly D3 RIN Data'!$F78</f>
        <v>0</v>
      </c>
      <c r="I219" s="3">
        <f>'Monthly D3 RIN Data'!$F90</f>
        <v>0</v>
      </c>
      <c r="J219" s="3">
        <f>'Monthly D3 RIN Data'!$F102</f>
        <v>0</v>
      </c>
      <c r="K219" s="3">
        <f>'Monthly D3 RIN Data'!$F114</f>
        <v>0</v>
      </c>
      <c r="L219" s="3">
        <f>'Monthly D3 RIN Data'!$F126</f>
        <v>0</v>
      </c>
      <c r="M219" s="3">
        <f>'Monthly D3 RIN Data'!$F138</f>
        <v>0</v>
      </c>
      <c r="N219" s="3">
        <f>'Monthly D3 RIN Data'!$F150</f>
        <v>0</v>
      </c>
      <c r="O219" s="3">
        <f>'Monthly D3 RIN Data'!$F162</f>
        <v>0</v>
      </c>
      <c r="P219" s="3">
        <f>'Monthly D3 RIN Data'!$F174</f>
        <v>0</v>
      </c>
      <c r="Q219" s="4">
        <f>'D3 Gallon Forecast'!Q219</f>
        <v>0</v>
      </c>
      <c r="R219" s="4">
        <f>'D3 Gallon Forecast'!R219</f>
        <v>0</v>
      </c>
      <c r="S219" s="4">
        <f>'D3 Gallon Forecast'!S219</f>
        <v>0</v>
      </c>
      <c r="T219" s="4">
        <f>'D3 Gallon Forecast'!T219</f>
        <v>0</v>
      </c>
      <c r="U219" s="4">
        <f>'D3 Gallon Forecast'!U219</f>
        <v>0</v>
      </c>
      <c r="V219" s="4">
        <f>'D3 Gallon Forecast'!V219</f>
        <v>0</v>
      </c>
      <c r="W219" s="4">
        <f>'D3 Gallon Forecast'!W219</f>
        <v>0</v>
      </c>
      <c r="X219" s="4">
        <f>'D3 Gallon Forecast'!X219</f>
        <v>0</v>
      </c>
      <c r="Y219" s="4">
        <f>'D3 Gallon Forecast'!Y219</f>
        <v>0</v>
      </c>
      <c r="Z219" s="4">
        <f>'D3 Gallon Forecast'!Z219</f>
        <v>0</v>
      </c>
      <c r="AA219" s="4">
        <f>'D3 Gallon Forecast'!AA219</f>
        <v>0</v>
      </c>
      <c r="AB219" s="4">
        <f>'D3 Gallon Forecast'!AB219</f>
        <v>0</v>
      </c>
      <c r="AC219" s="4">
        <f>'D3 Gallon Forecast'!AC219</f>
        <v>0</v>
      </c>
      <c r="AD219" s="4">
        <f>'D3 Gallon Forecast'!AD219</f>
        <v>0</v>
      </c>
      <c r="AE219" s="4">
        <f>'D3 Gallon Forecast'!AE219</f>
        <v>0</v>
      </c>
      <c r="AF219" s="4">
        <f>'D3 Gallon Forecast'!AF219</f>
        <v>0</v>
      </c>
      <c r="AG219" s="4">
        <f>'D3 Gallon Forecast'!AG219</f>
        <v>0</v>
      </c>
    </row>
    <row r="220" spans="1:33">
      <c r="A220" s="2" t="s">
        <v>46</v>
      </c>
      <c r="B220" s="3">
        <f>'Monthly D3 RIN Data'!$F7</f>
        <v>0</v>
      </c>
      <c r="C220" s="3">
        <f>'Monthly D3 RIN Data'!$F19</f>
        <v>0</v>
      </c>
      <c r="D220" s="3">
        <f>'Monthly D3 RIN Data'!$F31</f>
        <v>0</v>
      </c>
      <c r="E220" s="3">
        <f>'Monthly D3 RIN Data'!$F43</f>
        <v>0</v>
      </c>
      <c r="F220" s="3">
        <f>'Monthly D3 RIN Data'!$F55</f>
        <v>0</v>
      </c>
      <c r="G220" s="3">
        <f>'Monthly D3 RIN Data'!$F67</f>
        <v>0</v>
      </c>
      <c r="H220" s="3">
        <f>'Monthly D3 RIN Data'!$F79</f>
        <v>0</v>
      </c>
      <c r="I220" s="3">
        <f>'Monthly D3 RIN Data'!$F91</f>
        <v>0</v>
      </c>
      <c r="J220" s="3">
        <f>'Monthly D3 RIN Data'!$F103</f>
        <v>0</v>
      </c>
      <c r="K220" s="3">
        <f>'Monthly D3 RIN Data'!$F115</f>
        <v>0</v>
      </c>
      <c r="L220" s="3">
        <f>'Monthly D3 RIN Data'!$F127</f>
        <v>0</v>
      </c>
      <c r="M220" s="3">
        <f>'Monthly D3 RIN Data'!$F139</f>
        <v>0</v>
      </c>
      <c r="N220" s="3">
        <f>'Monthly D3 RIN Data'!$F151</f>
        <v>0</v>
      </c>
      <c r="O220" s="3">
        <f>'Monthly D3 RIN Data'!$F163</f>
        <v>0</v>
      </c>
      <c r="P220" s="3">
        <f>'Monthly D3 RIN Data'!$F175</f>
        <v>0</v>
      </c>
      <c r="Q220" s="4">
        <f>'D3 Gallon Forecast'!Q220</f>
        <v>0</v>
      </c>
      <c r="R220" s="4">
        <f>'D3 Gallon Forecast'!R220</f>
        <v>0</v>
      </c>
      <c r="S220" s="4">
        <f>'D3 Gallon Forecast'!S220</f>
        <v>0</v>
      </c>
      <c r="T220" s="4">
        <f>'D3 Gallon Forecast'!T220</f>
        <v>0</v>
      </c>
      <c r="U220" s="4">
        <f>'D3 Gallon Forecast'!U220</f>
        <v>0</v>
      </c>
      <c r="V220" s="4">
        <f>'D3 Gallon Forecast'!V220</f>
        <v>0</v>
      </c>
      <c r="W220" s="4">
        <f>'D3 Gallon Forecast'!W220</f>
        <v>0</v>
      </c>
      <c r="X220" s="4">
        <f>'D3 Gallon Forecast'!X220</f>
        <v>0</v>
      </c>
      <c r="Y220" s="4">
        <f>'D3 Gallon Forecast'!Y220</f>
        <v>0</v>
      </c>
      <c r="Z220" s="4">
        <f>'D3 Gallon Forecast'!Z220</f>
        <v>0</v>
      </c>
      <c r="AA220" s="4">
        <f>'D3 Gallon Forecast'!AA220</f>
        <v>0</v>
      </c>
      <c r="AB220" s="4">
        <f>'D3 Gallon Forecast'!AB220</f>
        <v>0</v>
      </c>
      <c r="AC220" s="4">
        <f>'D3 Gallon Forecast'!AC220</f>
        <v>0</v>
      </c>
      <c r="AD220" s="4">
        <f>'D3 Gallon Forecast'!AD220</f>
        <v>0</v>
      </c>
      <c r="AE220" s="4">
        <f>'D3 Gallon Forecast'!AE220</f>
        <v>0</v>
      </c>
      <c r="AF220" s="4">
        <f>'D3 Gallon Forecast'!AF220</f>
        <v>0</v>
      </c>
      <c r="AG220" s="4">
        <f>'D3 Gallon Forecast'!AG220</f>
        <v>0</v>
      </c>
    </row>
    <row r="221" spans="1:33">
      <c r="A221" s="2" t="s">
        <v>47</v>
      </c>
      <c r="B221" s="3">
        <f>'Monthly D3 RIN Data'!$F8</f>
        <v>0</v>
      </c>
      <c r="C221" s="3">
        <f>'Monthly D3 RIN Data'!$F20</f>
        <v>0</v>
      </c>
      <c r="D221" s="3">
        <f>'Monthly D3 RIN Data'!$F32</f>
        <v>0</v>
      </c>
      <c r="E221" s="3">
        <f>'Monthly D3 RIN Data'!$F44</f>
        <v>0</v>
      </c>
      <c r="F221" s="3">
        <f>'Monthly D3 RIN Data'!$F56</f>
        <v>0</v>
      </c>
      <c r="G221" s="3">
        <f>'Monthly D3 RIN Data'!$F68</f>
        <v>0</v>
      </c>
      <c r="H221" s="3">
        <f>'Monthly D3 RIN Data'!$F80</f>
        <v>0</v>
      </c>
      <c r="I221" s="3">
        <f>'Monthly D3 RIN Data'!$F92</f>
        <v>0</v>
      </c>
      <c r="J221" s="3">
        <f>'Monthly D3 RIN Data'!$F104</f>
        <v>0</v>
      </c>
      <c r="K221" s="3">
        <f>'Monthly D3 RIN Data'!$F116</f>
        <v>0</v>
      </c>
      <c r="L221" s="3">
        <f>'Monthly D3 RIN Data'!$F128</f>
        <v>0</v>
      </c>
      <c r="M221" s="3">
        <f>'Monthly D3 RIN Data'!$F140</f>
        <v>0</v>
      </c>
      <c r="N221" s="3">
        <f>'Monthly D3 RIN Data'!$F152</f>
        <v>0</v>
      </c>
      <c r="O221" s="3">
        <f>'Monthly D3 RIN Data'!$F164</f>
        <v>0</v>
      </c>
      <c r="P221" s="3">
        <f>'Monthly D3 RIN Data'!$F176</f>
        <v>0</v>
      </c>
      <c r="Q221" s="4">
        <f>'D3 Gallon Forecast'!Q221</f>
        <v>0</v>
      </c>
      <c r="R221" s="4">
        <f>'D3 Gallon Forecast'!R221</f>
        <v>0</v>
      </c>
      <c r="S221" s="4">
        <f>'D3 Gallon Forecast'!S221</f>
        <v>0</v>
      </c>
      <c r="T221" s="4">
        <f>'D3 Gallon Forecast'!T221</f>
        <v>0</v>
      </c>
      <c r="U221" s="4">
        <f>'D3 Gallon Forecast'!U221</f>
        <v>0</v>
      </c>
      <c r="V221" s="4">
        <f>'D3 Gallon Forecast'!V221</f>
        <v>0</v>
      </c>
      <c r="W221" s="4">
        <f>'D3 Gallon Forecast'!W221</f>
        <v>0</v>
      </c>
      <c r="X221" s="4">
        <f>'D3 Gallon Forecast'!X221</f>
        <v>0</v>
      </c>
      <c r="Y221" s="4">
        <f>'D3 Gallon Forecast'!Y221</f>
        <v>0</v>
      </c>
      <c r="Z221" s="4">
        <f>'D3 Gallon Forecast'!Z221</f>
        <v>0</v>
      </c>
      <c r="AA221" s="4">
        <f>'D3 Gallon Forecast'!AA221</f>
        <v>0</v>
      </c>
      <c r="AB221" s="4">
        <f>'D3 Gallon Forecast'!AB221</f>
        <v>0</v>
      </c>
      <c r="AC221" s="4">
        <f>'D3 Gallon Forecast'!AC221</f>
        <v>0</v>
      </c>
      <c r="AD221" s="4">
        <f>'D3 Gallon Forecast'!AD221</f>
        <v>0</v>
      </c>
      <c r="AE221" s="4">
        <f>'D3 Gallon Forecast'!AE221</f>
        <v>0</v>
      </c>
      <c r="AF221" s="4">
        <f>'D3 Gallon Forecast'!AF221</f>
        <v>0</v>
      </c>
      <c r="AG221" s="4">
        <f>'D3 Gallon Forecast'!AG221</f>
        <v>0</v>
      </c>
    </row>
    <row r="222" spans="1:33">
      <c r="A222" s="2" t="s">
        <v>48</v>
      </c>
      <c r="B222" s="3">
        <f>'Monthly D3 RIN Data'!$F9</f>
        <v>0</v>
      </c>
      <c r="C222" s="3">
        <f>'Monthly D3 RIN Data'!$F21</f>
        <v>0</v>
      </c>
      <c r="D222" s="3">
        <f>'Monthly D3 RIN Data'!$F33</f>
        <v>0</v>
      </c>
      <c r="E222" s="3">
        <f>'Monthly D3 RIN Data'!$F45</f>
        <v>0</v>
      </c>
      <c r="F222" s="3">
        <f>'Monthly D3 RIN Data'!$F57</f>
        <v>0</v>
      </c>
      <c r="G222" s="3">
        <f>'Monthly D3 RIN Data'!$F69</f>
        <v>0</v>
      </c>
      <c r="H222" s="3">
        <f>'Monthly D3 RIN Data'!$F81</f>
        <v>0</v>
      </c>
      <c r="I222" s="3">
        <f>'Monthly D3 RIN Data'!$F93</f>
        <v>0</v>
      </c>
      <c r="J222" s="3">
        <f>'Monthly D3 RIN Data'!$F105</f>
        <v>0</v>
      </c>
      <c r="K222" s="3">
        <f>'Monthly D3 RIN Data'!$F117</f>
        <v>0</v>
      </c>
      <c r="L222" s="3">
        <f>'Monthly D3 RIN Data'!$F129</f>
        <v>0</v>
      </c>
      <c r="M222" s="3">
        <f>'Monthly D3 RIN Data'!$F141</f>
        <v>0</v>
      </c>
      <c r="N222" s="3">
        <f>'Monthly D3 RIN Data'!$F153</f>
        <v>0</v>
      </c>
      <c r="O222" s="3">
        <f>'Monthly D3 RIN Data'!$F165</f>
        <v>0</v>
      </c>
      <c r="P222" s="3">
        <f>'Monthly D3 RIN Data'!$F177</f>
        <v>0</v>
      </c>
      <c r="Q222" s="4">
        <f>'D3 Gallon Forecast'!Q222</f>
        <v>0</v>
      </c>
      <c r="R222" s="4">
        <f>'D3 Gallon Forecast'!R222</f>
        <v>0</v>
      </c>
      <c r="S222" s="4">
        <f>'D3 Gallon Forecast'!S222</f>
        <v>0</v>
      </c>
      <c r="T222" s="4">
        <f>'D3 Gallon Forecast'!T222</f>
        <v>0</v>
      </c>
      <c r="U222" s="4">
        <f>'D3 Gallon Forecast'!U222</f>
        <v>0</v>
      </c>
      <c r="V222" s="4">
        <f>'D3 Gallon Forecast'!V222</f>
        <v>0</v>
      </c>
      <c r="W222" s="4">
        <f>'D3 Gallon Forecast'!W222</f>
        <v>0</v>
      </c>
      <c r="X222" s="4">
        <f>'D3 Gallon Forecast'!X222</f>
        <v>0</v>
      </c>
      <c r="Y222" s="4">
        <f>'D3 Gallon Forecast'!Y222</f>
        <v>0</v>
      </c>
      <c r="Z222" s="4">
        <f>'D3 Gallon Forecast'!Z222</f>
        <v>0</v>
      </c>
      <c r="AA222" s="4">
        <f>'D3 Gallon Forecast'!AA222</f>
        <v>0</v>
      </c>
      <c r="AB222" s="4">
        <f>'D3 Gallon Forecast'!AB222</f>
        <v>0</v>
      </c>
      <c r="AC222" s="4">
        <f>'D3 Gallon Forecast'!AC222</f>
        <v>0</v>
      </c>
      <c r="AD222" s="4">
        <f>'D3 Gallon Forecast'!AD222</f>
        <v>0</v>
      </c>
      <c r="AE222" s="4">
        <f>'D3 Gallon Forecast'!AE222</f>
        <v>0</v>
      </c>
      <c r="AF222" s="4">
        <f>'D3 Gallon Forecast'!AF222</f>
        <v>0</v>
      </c>
      <c r="AG222" s="4">
        <f>'D3 Gallon Forecast'!AG222</f>
        <v>0</v>
      </c>
    </row>
    <row r="223" spans="1:33">
      <c r="A223" s="2" t="s">
        <v>49</v>
      </c>
      <c r="B223" s="3">
        <f>'Monthly D3 RIN Data'!$F10</f>
        <v>0</v>
      </c>
      <c r="C223" s="3">
        <f>'Monthly D3 RIN Data'!$F22</f>
        <v>0</v>
      </c>
      <c r="D223" s="3">
        <f>'Monthly D3 RIN Data'!$F34</f>
        <v>0</v>
      </c>
      <c r="E223" s="3">
        <f>'Monthly D3 RIN Data'!$F46</f>
        <v>0</v>
      </c>
      <c r="F223" s="3">
        <f>'Monthly D3 RIN Data'!$F58</f>
        <v>0</v>
      </c>
      <c r="G223" s="3">
        <f>'Monthly D3 RIN Data'!$F70</f>
        <v>0</v>
      </c>
      <c r="H223" s="3">
        <f>'Monthly D3 RIN Data'!$F82</f>
        <v>0</v>
      </c>
      <c r="I223" s="3">
        <f>'Monthly D3 RIN Data'!$F94</f>
        <v>0</v>
      </c>
      <c r="J223" s="3">
        <f>'Monthly D3 RIN Data'!$F106</f>
        <v>0</v>
      </c>
      <c r="K223" s="3">
        <f>'Monthly D3 RIN Data'!$F118</f>
        <v>0</v>
      </c>
      <c r="L223" s="3">
        <f>'Monthly D3 RIN Data'!$F130</f>
        <v>0</v>
      </c>
      <c r="M223" s="3">
        <f>'Monthly D3 RIN Data'!$F142</f>
        <v>0</v>
      </c>
      <c r="N223" s="3">
        <f>'Monthly D3 RIN Data'!$F154</f>
        <v>0</v>
      </c>
      <c r="O223" s="3">
        <f>'Monthly D3 RIN Data'!$F166</f>
        <v>0</v>
      </c>
      <c r="P223" s="3">
        <f>'Monthly D3 RIN Data'!$F178</f>
        <v>0</v>
      </c>
      <c r="Q223" s="4">
        <f>'D3 Gallon Forecast'!Q223</f>
        <v>0</v>
      </c>
      <c r="R223" s="4">
        <f>'D3 Gallon Forecast'!R223</f>
        <v>0</v>
      </c>
      <c r="S223" s="4">
        <f>'D3 Gallon Forecast'!S223</f>
        <v>0</v>
      </c>
      <c r="T223" s="4">
        <f>'D3 Gallon Forecast'!T223</f>
        <v>0</v>
      </c>
      <c r="U223" s="4">
        <f>'D3 Gallon Forecast'!U223</f>
        <v>0</v>
      </c>
      <c r="V223" s="4">
        <f>'D3 Gallon Forecast'!V223</f>
        <v>0</v>
      </c>
      <c r="W223" s="4">
        <f>'D3 Gallon Forecast'!W223</f>
        <v>0</v>
      </c>
      <c r="X223" s="4">
        <f>'D3 Gallon Forecast'!X223</f>
        <v>0</v>
      </c>
      <c r="Y223" s="4">
        <f>'D3 Gallon Forecast'!Y223</f>
        <v>0</v>
      </c>
      <c r="Z223" s="4">
        <f>'D3 Gallon Forecast'!Z223</f>
        <v>0</v>
      </c>
      <c r="AA223" s="4">
        <f>'D3 Gallon Forecast'!AA223</f>
        <v>0</v>
      </c>
      <c r="AB223" s="4">
        <f>'D3 Gallon Forecast'!AB223</f>
        <v>0</v>
      </c>
      <c r="AC223" s="4">
        <f>'D3 Gallon Forecast'!AC223</f>
        <v>0</v>
      </c>
      <c r="AD223" s="4">
        <f>'D3 Gallon Forecast'!AD223</f>
        <v>0</v>
      </c>
      <c r="AE223" s="4">
        <f>'D3 Gallon Forecast'!AE223</f>
        <v>0</v>
      </c>
      <c r="AF223" s="4">
        <f>'D3 Gallon Forecast'!AF223</f>
        <v>0</v>
      </c>
      <c r="AG223" s="4">
        <f>'D3 Gallon Forecast'!AG223</f>
        <v>0</v>
      </c>
    </row>
    <row r="224" spans="1:33">
      <c r="A224" s="2" t="s">
        <v>50</v>
      </c>
      <c r="B224" s="3">
        <f>'Monthly D3 RIN Data'!$F11</f>
        <v>0</v>
      </c>
      <c r="C224" s="3">
        <f>'Monthly D3 RIN Data'!$F23</f>
        <v>0</v>
      </c>
      <c r="D224" s="3">
        <f>'Monthly D3 RIN Data'!$F35</f>
        <v>0</v>
      </c>
      <c r="E224" s="3">
        <f>'Monthly D3 RIN Data'!$F47</f>
        <v>0</v>
      </c>
      <c r="F224" s="3">
        <f>'Monthly D3 RIN Data'!$F59</f>
        <v>0</v>
      </c>
      <c r="G224" s="3">
        <f>'Monthly D3 RIN Data'!$F71</f>
        <v>0</v>
      </c>
      <c r="H224" s="3">
        <f>'Monthly D3 RIN Data'!$F83</f>
        <v>0</v>
      </c>
      <c r="I224" s="3">
        <f>'Monthly D3 RIN Data'!$F95</f>
        <v>0</v>
      </c>
      <c r="J224" s="3">
        <f>'Monthly D3 RIN Data'!$F107</f>
        <v>0</v>
      </c>
      <c r="K224" s="3">
        <f>'Monthly D3 RIN Data'!$F119</f>
        <v>0</v>
      </c>
      <c r="L224" s="3">
        <f>'Monthly D3 RIN Data'!$F131</f>
        <v>0</v>
      </c>
      <c r="M224" s="3">
        <f>'Monthly D3 RIN Data'!$F143</f>
        <v>0</v>
      </c>
      <c r="N224" s="3">
        <f>'Monthly D3 RIN Data'!$F155</f>
        <v>0</v>
      </c>
      <c r="O224" s="3">
        <f>'Monthly D3 RIN Data'!$F167</f>
        <v>0</v>
      </c>
      <c r="P224" s="3">
        <f>'Monthly D3 RIN Data'!$F179</f>
        <v>0</v>
      </c>
      <c r="Q224" s="4">
        <f>'D3 Gallon Forecast'!Q224</f>
        <v>0</v>
      </c>
      <c r="R224" s="4">
        <f>'D3 Gallon Forecast'!R224</f>
        <v>0</v>
      </c>
      <c r="S224" s="4">
        <f>'D3 Gallon Forecast'!S224</f>
        <v>0</v>
      </c>
      <c r="T224" s="4">
        <f>'D3 Gallon Forecast'!T224</f>
        <v>0</v>
      </c>
      <c r="U224" s="4">
        <f>'D3 Gallon Forecast'!U224</f>
        <v>0</v>
      </c>
      <c r="V224" s="4">
        <f>'D3 Gallon Forecast'!V224</f>
        <v>0</v>
      </c>
      <c r="W224" s="4">
        <f>'D3 Gallon Forecast'!W224</f>
        <v>0</v>
      </c>
      <c r="X224" s="4">
        <f>'D3 Gallon Forecast'!X224</f>
        <v>0</v>
      </c>
      <c r="Y224" s="4">
        <f>'D3 Gallon Forecast'!Y224</f>
        <v>0</v>
      </c>
      <c r="Z224" s="4">
        <f>'D3 Gallon Forecast'!Z224</f>
        <v>0</v>
      </c>
      <c r="AA224" s="4">
        <f>'D3 Gallon Forecast'!AA224</f>
        <v>0</v>
      </c>
      <c r="AB224" s="4">
        <f>'D3 Gallon Forecast'!AB224</f>
        <v>0</v>
      </c>
      <c r="AC224" s="4">
        <f>'D3 Gallon Forecast'!AC224</f>
        <v>0</v>
      </c>
      <c r="AD224" s="4">
        <f>'D3 Gallon Forecast'!AD224</f>
        <v>0</v>
      </c>
      <c r="AE224" s="4">
        <f>'D3 Gallon Forecast'!AE224</f>
        <v>0</v>
      </c>
      <c r="AF224" s="4">
        <f>'D3 Gallon Forecast'!AF224</f>
        <v>0</v>
      </c>
      <c r="AG224" s="4">
        <f>'D3 Gallon Forecast'!AG224</f>
        <v>0</v>
      </c>
    </row>
    <row r="225" spans="1:33">
      <c r="A225" s="2" t="s">
        <v>51</v>
      </c>
      <c r="B225" s="3">
        <f>'Monthly D3 RIN Data'!$F12</f>
        <v>0</v>
      </c>
      <c r="C225" s="3">
        <f>'Monthly D3 RIN Data'!$F24</f>
        <v>0</v>
      </c>
      <c r="D225" s="3">
        <f>'Monthly D3 RIN Data'!$F36</f>
        <v>0</v>
      </c>
      <c r="E225" s="3">
        <f>'Monthly D3 RIN Data'!$F48</f>
        <v>0</v>
      </c>
      <c r="F225" s="3">
        <f>'Monthly D3 RIN Data'!$F60</f>
        <v>0</v>
      </c>
      <c r="G225" s="3">
        <f>'Monthly D3 RIN Data'!$F72</f>
        <v>0</v>
      </c>
      <c r="H225" s="3">
        <f>'Monthly D3 RIN Data'!$F84</f>
        <v>0</v>
      </c>
      <c r="I225" s="3">
        <f>'Monthly D3 RIN Data'!$F96</f>
        <v>0</v>
      </c>
      <c r="J225" s="3">
        <f>'Monthly D3 RIN Data'!$F108</f>
        <v>0</v>
      </c>
      <c r="K225" s="3">
        <f>'Monthly D3 RIN Data'!$F120</f>
        <v>0</v>
      </c>
      <c r="L225" s="3">
        <f>'Monthly D3 RIN Data'!$F132</f>
        <v>0</v>
      </c>
      <c r="M225" s="3">
        <f>'Monthly D3 RIN Data'!$F144</f>
        <v>0</v>
      </c>
      <c r="N225" s="3">
        <f>'Monthly D3 RIN Data'!$F156</f>
        <v>0</v>
      </c>
      <c r="O225" s="3">
        <f>'Monthly D3 RIN Data'!$F168</f>
        <v>0</v>
      </c>
      <c r="P225" s="3">
        <f>'Monthly D3 RIN Data'!$F180</f>
        <v>0</v>
      </c>
      <c r="Q225" s="4">
        <f>'D3 Gallon Forecast'!Q225</f>
        <v>0</v>
      </c>
      <c r="R225" s="4">
        <f>'D3 Gallon Forecast'!R225</f>
        <v>0</v>
      </c>
      <c r="S225" s="4">
        <f>'D3 Gallon Forecast'!S225</f>
        <v>0</v>
      </c>
      <c r="T225" s="4">
        <f>'D3 Gallon Forecast'!T225</f>
        <v>0</v>
      </c>
      <c r="U225" s="4">
        <f>'D3 Gallon Forecast'!U225</f>
        <v>0</v>
      </c>
      <c r="V225" s="4">
        <f>'D3 Gallon Forecast'!V225</f>
        <v>0</v>
      </c>
      <c r="W225" s="4">
        <f>'D3 Gallon Forecast'!W225</f>
        <v>0</v>
      </c>
      <c r="X225" s="4">
        <f>'D3 Gallon Forecast'!X225</f>
        <v>0</v>
      </c>
      <c r="Y225" s="4">
        <f>'D3 Gallon Forecast'!Y225</f>
        <v>0</v>
      </c>
      <c r="Z225" s="4">
        <f>'D3 Gallon Forecast'!Z225</f>
        <v>0</v>
      </c>
      <c r="AA225" s="4">
        <f>'D3 Gallon Forecast'!AA225</f>
        <v>0</v>
      </c>
      <c r="AB225" s="4">
        <f>'D3 Gallon Forecast'!AB225</f>
        <v>0</v>
      </c>
      <c r="AC225" s="4">
        <f>'D3 Gallon Forecast'!AC225</f>
        <v>0</v>
      </c>
      <c r="AD225" s="4">
        <f>'D3 Gallon Forecast'!AD225</f>
        <v>0</v>
      </c>
      <c r="AE225" s="4">
        <f>'D3 Gallon Forecast'!AE225</f>
        <v>0</v>
      </c>
      <c r="AF225" s="4">
        <f>'D3 Gallon Forecast'!AF225</f>
        <v>0</v>
      </c>
      <c r="AG225" s="4">
        <f>'D3 Gallon Forecast'!AG225</f>
        <v>0</v>
      </c>
    </row>
    <row r="226" spans="1:33">
      <c r="A226" s="2" t="s">
        <v>52</v>
      </c>
      <c r="B226" s="3">
        <f>'Monthly D3 RIN Data'!$F13</f>
        <v>0</v>
      </c>
      <c r="C226" s="3">
        <f>'Monthly D3 RIN Data'!$F25</f>
        <v>0</v>
      </c>
      <c r="D226" s="3">
        <f>'Monthly D3 RIN Data'!$F37</f>
        <v>0</v>
      </c>
      <c r="E226" s="3">
        <f>'Monthly D3 RIN Data'!$F49</f>
        <v>0</v>
      </c>
      <c r="F226" s="3">
        <f>'Monthly D3 RIN Data'!$F61</f>
        <v>0</v>
      </c>
      <c r="G226" s="3">
        <f>'Monthly D3 RIN Data'!$F73</f>
        <v>0</v>
      </c>
      <c r="H226" s="3">
        <f>'Monthly D3 RIN Data'!$F85</f>
        <v>0</v>
      </c>
      <c r="I226" s="3">
        <f>'Monthly D3 RIN Data'!$F97</f>
        <v>0</v>
      </c>
      <c r="J226" s="3">
        <f>'Monthly D3 RIN Data'!$F109</f>
        <v>0</v>
      </c>
      <c r="K226" s="3">
        <f>'Monthly D3 RIN Data'!$F121</f>
        <v>0</v>
      </c>
      <c r="L226" s="3">
        <f>'Monthly D3 RIN Data'!$F133</f>
        <v>0</v>
      </c>
      <c r="M226" s="3">
        <f>'Monthly D3 RIN Data'!$F145</f>
        <v>0</v>
      </c>
      <c r="N226" s="3">
        <f>'Monthly D3 RIN Data'!$F157</f>
        <v>0</v>
      </c>
      <c r="O226" s="3">
        <f>'Monthly D3 RIN Data'!$F169</f>
        <v>0</v>
      </c>
      <c r="P226" s="3">
        <f>'Monthly D3 RIN Data'!$F181</f>
        <v>0</v>
      </c>
      <c r="Q226" s="4">
        <f>'D3 Gallon Forecast'!Q226</f>
        <v>0</v>
      </c>
      <c r="R226" s="4">
        <f>'D3 Gallon Forecast'!R226</f>
        <v>0</v>
      </c>
      <c r="S226" s="4">
        <f>'D3 Gallon Forecast'!S226</f>
        <v>0</v>
      </c>
      <c r="T226" s="4">
        <f>'D3 Gallon Forecast'!T226</f>
        <v>0</v>
      </c>
      <c r="U226" s="4">
        <f>'D3 Gallon Forecast'!U226</f>
        <v>0</v>
      </c>
      <c r="V226" s="4">
        <f>'D3 Gallon Forecast'!V226</f>
        <v>0</v>
      </c>
      <c r="W226" s="4">
        <f>'D3 Gallon Forecast'!W226</f>
        <v>0</v>
      </c>
      <c r="X226" s="4">
        <f>'D3 Gallon Forecast'!X226</f>
        <v>0</v>
      </c>
      <c r="Y226" s="4">
        <f>'D3 Gallon Forecast'!Y226</f>
        <v>0</v>
      </c>
      <c r="Z226" s="4">
        <f>'D3 Gallon Forecast'!Z226</f>
        <v>0</v>
      </c>
      <c r="AA226" s="4">
        <f>'D3 Gallon Forecast'!AA226</f>
        <v>0</v>
      </c>
      <c r="AB226" s="4">
        <f>'D3 Gallon Forecast'!AB226</f>
        <v>0</v>
      </c>
      <c r="AC226" s="4">
        <f>'D3 Gallon Forecast'!AC226</f>
        <v>0</v>
      </c>
      <c r="AD226" s="4">
        <f>'D3 Gallon Forecast'!AD226</f>
        <v>0</v>
      </c>
      <c r="AE226" s="4">
        <f>'D3 Gallon Forecast'!AE226</f>
        <v>0</v>
      </c>
      <c r="AF226" s="4">
        <f>'D3 Gallon Forecast'!AF226</f>
        <v>0</v>
      </c>
      <c r="AG226" s="4">
        <f>'D3 Gallon Forecast'!AG226</f>
        <v>0</v>
      </c>
    </row>
    <row r="227" spans="1:33">
      <c r="A227" s="2" t="s">
        <v>53</v>
      </c>
      <c r="B227" s="3">
        <f>'Monthly D3 RIN Data'!$F14</f>
        <v>0</v>
      </c>
      <c r="C227" s="3">
        <f>'Monthly D3 RIN Data'!$F26</f>
        <v>0</v>
      </c>
      <c r="D227" s="3">
        <f>'Monthly D3 RIN Data'!$F38</f>
        <v>0</v>
      </c>
      <c r="E227" s="3">
        <f>'Monthly D3 RIN Data'!$F50</f>
        <v>0</v>
      </c>
      <c r="F227" s="3">
        <f>'Monthly D3 RIN Data'!$F62</f>
        <v>0</v>
      </c>
      <c r="G227" s="3">
        <f>'Monthly D3 RIN Data'!$F74</f>
        <v>0</v>
      </c>
      <c r="H227" s="3">
        <f>'Monthly D3 RIN Data'!$F86</f>
        <v>0</v>
      </c>
      <c r="I227" s="3">
        <f>'Monthly D3 RIN Data'!$F98</f>
        <v>0</v>
      </c>
      <c r="J227" s="3">
        <f>'Monthly D3 RIN Data'!$F110</f>
        <v>0</v>
      </c>
      <c r="K227" s="3">
        <f>'Monthly D3 RIN Data'!$F122</f>
        <v>0</v>
      </c>
      <c r="L227" s="3">
        <f>'Monthly D3 RIN Data'!$F134</f>
        <v>0</v>
      </c>
      <c r="M227" s="3">
        <f>'Monthly D3 RIN Data'!$F146</f>
        <v>0</v>
      </c>
      <c r="N227" s="3">
        <f>'Monthly D3 RIN Data'!$F158</f>
        <v>0</v>
      </c>
      <c r="O227" s="3">
        <f>'Monthly D3 RIN Data'!$F170</f>
        <v>0</v>
      </c>
      <c r="P227" s="3">
        <f>'Monthly D3 RIN Data'!$F182</f>
        <v>0</v>
      </c>
      <c r="Q227" s="4">
        <f>'D3 Gallon Forecast'!Q227</f>
        <v>0</v>
      </c>
      <c r="R227" s="4">
        <f>'D3 Gallon Forecast'!R227</f>
        <v>0</v>
      </c>
      <c r="S227" s="4">
        <f>'D3 Gallon Forecast'!S227</f>
        <v>0</v>
      </c>
      <c r="T227" s="4">
        <f>'D3 Gallon Forecast'!T227</f>
        <v>0</v>
      </c>
      <c r="U227" s="4">
        <f>'D3 Gallon Forecast'!U227</f>
        <v>0</v>
      </c>
      <c r="V227" s="4">
        <f>'D3 Gallon Forecast'!V227</f>
        <v>0</v>
      </c>
      <c r="W227" s="4">
        <f>'D3 Gallon Forecast'!W227</f>
        <v>0</v>
      </c>
      <c r="X227" s="4">
        <f>'D3 Gallon Forecast'!X227</f>
        <v>0</v>
      </c>
      <c r="Y227" s="4">
        <f>'D3 Gallon Forecast'!Y227</f>
        <v>0</v>
      </c>
      <c r="Z227" s="4">
        <f>'D3 Gallon Forecast'!Z227</f>
        <v>0</v>
      </c>
      <c r="AA227" s="4">
        <f>'D3 Gallon Forecast'!AA227</f>
        <v>0</v>
      </c>
      <c r="AB227" s="4">
        <f>'D3 Gallon Forecast'!AB227</f>
        <v>0</v>
      </c>
      <c r="AC227" s="4">
        <f>'D3 Gallon Forecast'!AC227</f>
        <v>0</v>
      </c>
      <c r="AD227" s="4">
        <f>'D3 Gallon Forecast'!AD227</f>
        <v>0</v>
      </c>
      <c r="AE227" s="4">
        <f>'D3 Gallon Forecast'!AE227</f>
        <v>0</v>
      </c>
      <c r="AF227" s="4">
        <f>'D3 Gallon Forecast'!AF227</f>
        <v>0</v>
      </c>
      <c r="AG227" s="4">
        <f>'D3 Gallon Forecast'!AG227</f>
        <v>0</v>
      </c>
    </row>
    <row r="228" spans="1:33">
      <c r="A228" s="2" t="s">
        <v>54</v>
      </c>
      <c r="B228" s="3">
        <f>'Monthly D3 RIN Data'!$F15</f>
        <v>0</v>
      </c>
      <c r="C228" s="3">
        <f>'Monthly D3 RIN Data'!$F27</f>
        <v>0</v>
      </c>
      <c r="D228" s="3">
        <f>'Monthly D3 RIN Data'!$F39</f>
        <v>0</v>
      </c>
      <c r="E228" s="3">
        <f>'Monthly D3 RIN Data'!$F51</f>
        <v>0</v>
      </c>
      <c r="F228" s="3">
        <f>'Monthly D3 RIN Data'!$F63</f>
        <v>0</v>
      </c>
      <c r="G228" s="3">
        <f>'Monthly D3 RIN Data'!$F75</f>
        <v>0</v>
      </c>
      <c r="H228" s="3">
        <f>'Monthly D3 RIN Data'!$F87</f>
        <v>0</v>
      </c>
      <c r="I228" s="3">
        <f>'Monthly D3 RIN Data'!$F99</f>
        <v>0</v>
      </c>
      <c r="J228" s="3">
        <f>'Monthly D3 RIN Data'!$F111</f>
        <v>0</v>
      </c>
      <c r="K228" s="3">
        <f>'Monthly D3 RIN Data'!$F123</f>
        <v>0</v>
      </c>
      <c r="L228" s="3">
        <f>'Monthly D3 RIN Data'!$F135</f>
        <v>0</v>
      </c>
      <c r="M228" s="3">
        <f>'Monthly D3 RIN Data'!$F147</f>
        <v>0</v>
      </c>
      <c r="N228" s="3">
        <f>'Monthly D3 RIN Data'!$F159</f>
        <v>0</v>
      </c>
      <c r="O228" s="3">
        <f>'Monthly D3 RIN Data'!$F171</f>
        <v>0</v>
      </c>
      <c r="P228" s="4">
        <f>'D3 Gallon Forecast'!P228</f>
        <v>0</v>
      </c>
      <c r="Q228" s="4">
        <f>'D3 Gallon Forecast'!Q228</f>
        <v>0</v>
      </c>
      <c r="R228" s="4">
        <f>'D3 Gallon Forecast'!R228</f>
        <v>0</v>
      </c>
      <c r="S228" s="4">
        <f>'D3 Gallon Forecast'!S228</f>
        <v>0</v>
      </c>
      <c r="T228" s="4">
        <f>'D3 Gallon Forecast'!T228</f>
        <v>0</v>
      </c>
      <c r="U228" s="4">
        <f>'D3 Gallon Forecast'!U228</f>
        <v>0</v>
      </c>
      <c r="V228" s="4">
        <f>'D3 Gallon Forecast'!V228</f>
        <v>0</v>
      </c>
      <c r="W228" s="4">
        <f>'D3 Gallon Forecast'!W228</f>
        <v>0</v>
      </c>
      <c r="X228" s="4">
        <f>'D3 Gallon Forecast'!X228</f>
        <v>0</v>
      </c>
      <c r="Y228" s="4">
        <f>'D3 Gallon Forecast'!Y228</f>
        <v>0</v>
      </c>
      <c r="Z228" s="4">
        <f>'D3 Gallon Forecast'!Z228</f>
        <v>0</v>
      </c>
      <c r="AA228" s="4">
        <f>'D3 Gallon Forecast'!AA228</f>
        <v>0</v>
      </c>
      <c r="AB228" s="4">
        <f>'D3 Gallon Forecast'!AB228</f>
        <v>0</v>
      </c>
      <c r="AC228" s="4">
        <f>'D3 Gallon Forecast'!AC228</f>
        <v>0</v>
      </c>
      <c r="AD228" s="4">
        <f>'D3 Gallon Forecast'!AD228</f>
        <v>0</v>
      </c>
      <c r="AE228" s="4">
        <f>'D3 Gallon Forecast'!AE228</f>
        <v>0</v>
      </c>
      <c r="AF228" s="4">
        <f>'D3 Gallon Forecast'!AF228</f>
        <v>0</v>
      </c>
      <c r="AG228" s="4">
        <f>'D3 Gallon Forecast'!AG228</f>
        <v>0</v>
      </c>
    </row>
    <row r="229" spans="1:33">
      <c r="A229" s="2" t="s">
        <v>29</v>
      </c>
      <c r="B229" s="3">
        <f>SUM(B217:B228)</f>
        <v>0</v>
      </c>
      <c r="C229" s="3">
        <f t="shared" ref="C229:O229" si="49">SUM(C217:C228)</f>
        <v>0</v>
      </c>
      <c r="D229" s="3">
        <f t="shared" si="49"/>
        <v>0</v>
      </c>
      <c r="E229" s="3">
        <f t="shared" si="49"/>
        <v>0</v>
      </c>
      <c r="F229" s="3">
        <f t="shared" si="49"/>
        <v>0</v>
      </c>
      <c r="G229" s="3">
        <f t="shared" si="49"/>
        <v>0</v>
      </c>
      <c r="H229" s="3">
        <f t="shared" si="49"/>
        <v>0</v>
      </c>
      <c r="I229" s="3">
        <f t="shared" si="49"/>
        <v>0</v>
      </c>
      <c r="J229" s="3">
        <f t="shared" si="49"/>
        <v>0</v>
      </c>
      <c r="K229" s="3">
        <f t="shared" si="49"/>
        <v>0</v>
      </c>
      <c r="L229" s="3">
        <f t="shared" si="49"/>
        <v>0</v>
      </c>
      <c r="M229" s="3">
        <f t="shared" si="49"/>
        <v>0</v>
      </c>
      <c r="N229" s="3">
        <f t="shared" si="49"/>
        <v>0</v>
      </c>
      <c r="O229" s="3">
        <f t="shared" si="49"/>
        <v>0</v>
      </c>
      <c r="P229" s="4">
        <f>SUM(P217:P228)</f>
        <v>0</v>
      </c>
      <c r="Q229" s="4">
        <f t="shared" ref="Q229:AG229" si="50">SUM(Q217:Q228)</f>
        <v>0</v>
      </c>
      <c r="R229" s="4">
        <f t="shared" si="50"/>
        <v>0</v>
      </c>
      <c r="S229" s="4">
        <f t="shared" si="50"/>
        <v>0</v>
      </c>
      <c r="T229" s="4">
        <f t="shared" si="50"/>
        <v>0</v>
      </c>
      <c r="U229" s="4">
        <f t="shared" si="50"/>
        <v>0</v>
      </c>
      <c r="V229" s="4">
        <f t="shared" si="50"/>
        <v>0</v>
      </c>
      <c r="W229" s="4">
        <f t="shared" si="50"/>
        <v>0</v>
      </c>
      <c r="X229" s="4">
        <f t="shared" si="50"/>
        <v>0</v>
      </c>
      <c r="Y229" s="4">
        <f t="shared" si="50"/>
        <v>0</v>
      </c>
      <c r="Z229" s="4">
        <f t="shared" si="50"/>
        <v>0</v>
      </c>
      <c r="AA229" s="4">
        <f t="shared" si="50"/>
        <v>0</v>
      </c>
      <c r="AB229" s="4">
        <f t="shared" si="50"/>
        <v>0</v>
      </c>
      <c r="AC229" s="4">
        <f t="shared" si="50"/>
        <v>0</v>
      </c>
      <c r="AD229" s="4">
        <f t="shared" si="50"/>
        <v>0</v>
      </c>
      <c r="AE229" s="4">
        <f t="shared" si="50"/>
        <v>0</v>
      </c>
      <c r="AF229" s="4">
        <f t="shared" si="50"/>
        <v>0</v>
      </c>
      <c r="AG229" s="4">
        <f t="shared" si="50"/>
        <v>0</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2D27-CC38-476D-B929-D0621A589813}">
  <sheetPr>
    <tabColor theme="0" tint="-0.34998626667073579"/>
  </sheetPr>
  <dimension ref="A1:AD186"/>
  <sheetViews>
    <sheetView zoomScaleNormal="100" workbookViewId="0">
      <pane xSplit="1" ySplit="3" topLeftCell="B169"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9.140625" style="2"/>
    <col min="2" max="4" width="10.7109375" style="2" customWidth="1"/>
    <col min="5" max="7" width="17.85546875" style="2" customWidth="1"/>
    <col min="8" max="19" width="10.7109375" style="2" customWidth="1"/>
    <col min="20" max="22" width="17.85546875" style="2" customWidth="1"/>
    <col min="23" max="29" width="10.7109375" style="2" customWidth="1"/>
    <col min="30" max="16384" width="9.140625" style="2"/>
  </cols>
  <sheetData>
    <row r="1" spans="1:29" ht="18">
      <c r="B1" s="499" t="s">
        <v>267</v>
      </c>
      <c r="C1" s="499"/>
      <c r="D1" s="499"/>
      <c r="E1" s="499"/>
      <c r="F1" s="499"/>
      <c r="G1" s="499"/>
      <c r="H1" s="499"/>
      <c r="I1" s="499"/>
      <c r="J1" s="499"/>
      <c r="K1" s="499"/>
      <c r="L1" s="499"/>
      <c r="M1" s="499"/>
      <c r="N1" s="156"/>
      <c r="O1" s="156"/>
      <c r="P1" s="156"/>
      <c r="Q1" s="499" t="s">
        <v>275</v>
      </c>
      <c r="R1" s="499"/>
      <c r="S1" s="499"/>
      <c r="T1" s="499"/>
      <c r="U1" s="499"/>
      <c r="V1" s="499"/>
      <c r="W1" s="499"/>
      <c r="X1" s="499"/>
      <c r="Y1" s="499"/>
      <c r="Z1" s="499"/>
      <c r="AA1" s="499"/>
      <c r="AB1" s="499"/>
      <c r="AC1" s="499"/>
    </row>
    <row r="2" spans="1:29">
      <c r="B2" s="500" t="s">
        <v>223</v>
      </c>
      <c r="C2" s="500"/>
      <c r="D2" s="500"/>
      <c r="E2" s="501" t="s">
        <v>259</v>
      </c>
      <c r="F2" s="501"/>
      <c r="G2" s="501"/>
      <c r="H2" s="502" t="s">
        <v>226</v>
      </c>
      <c r="I2" s="502"/>
      <c r="J2" s="502"/>
      <c r="K2" s="503" t="s">
        <v>227</v>
      </c>
      <c r="L2" s="503"/>
      <c r="M2" s="503"/>
      <c r="N2" s="504" t="s">
        <v>258</v>
      </c>
      <c r="O2" s="504"/>
      <c r="P2" s="505"/>
      <c r="Q2" s="506" t="s">
        <v>223</v>
      </c>
      <c r="R2" s="506"/>
      <c r="S2" s="506"/>
      <c r="T2" s="507" t="s">
        <v>259</v>
      </c>
      <c r="U2" s="507"/>
      <c r="V2" s="507"/>
      <c r="W2" s="508" t="s">
        <v>226</v>
      </c>
      <c r="X2" s="508"/>
      <c r="Y2" s="508"/>
      <c r="Z2" s="497" t="s">
        <v>227</v>
      </c>
      <c r="AA2" s="497"/>
      <c r="AB2" s="497"/>
      <c r="AC2" s="498" t="s">
        <v>271</v>
      </c>
    </row>
    <row r="3" spans="1:29" ht="13.5" thickBot="1">
      <c r="B3" s="157" t="s">
        <v>260</v>
      </c>
      <c r="C3" s="157" t="s">
        <v>261</v>
      </c>
      <c r="D3" s="157" t="s">
        <v>262</v>
      </c>
      <c r="E3" s="158" t="s">
        <v>260</v>
      </c>
      <c r="F3" s="158" t="s">
        <v>261</v>
      </c>
      <c r="G3" s="158" t="s">
        <v>262</v>
      </c>
      <c r="H3" s="159" t="s">
        <v>260</v>
      </c>
      <c r="I3" s="159" t="s">
        <v>261</v>
      </c>
      <c r="J3" s="159" t="s">
        <v>262</v>
      </c>
      <c r="K3" s="160" t="s">
        <v>260</v>
      </c>
      <c r="L3" s="160" t="s">
        <v>261</v>
      </c>
      <c r="M3" s="160" t="s">
        <v>262</v>
      </c>
      <c r="N3" s="165" t="s">
        <v>260</v>
      </c>
      <c r="O3" s="165" t="s">
        <v>261</v>
      </c>
      <c r="P3" s="166" t="s">
        <v>262</v>
      </c>
      <c r="Q3" s="167" t="s">
        <v>260</v>
      </c>
      <c r="R3" s="161" t="s">
        <v>261</v>
      </c>
      <c r="S3" s="161" t="s">
        <v>262</v>
      </c>
      <c r="T3" s="168" t="s">
        <v>260</v>
      </c>
      <c r="U3" s="162" t="s">
        <v>261</v>
      </c>
      <c r="V3" s="162" t="s">
        <v>262</v>
      </c>
      <c r="W3" s="169" t="s">
        <v>260</v>
      </c>
      <c r="X3" s="163" t="s">
        <v>261</v>
      </c>
      <c r="Y3" s="163" t="s">
        <v>262</v>
      </c>
      <c r="Z3" s="164" t="s">
        <v>260</v>
      </c>
      <c r="AA3" s="164" t="s">
        <v>261</v>
      </c>
      <c r="AB3" s="164" t="s">
        <v>262</v>
      </c>
      <c r="AC3" s="498"/>
    </row>
    <row r="4" spans="1:29" ht="13.5" hidden="1" thickBot="1">
      <c r="A4" s="170">
        <v>40179</v>
      </c>
      <c r="B4" s="3">
        <v>0</v>
      </c>
      <c r="C4" s="3">
        <v>0</v>
      </c>
      <c r="D4" s="3">
        <f>SUM(B4:C4)</f>
        <v>0</v>
      </c>
      <c r="E4" s="3">
        <v>0</v>
      </c>
      <c r="F4" s="3">
        <v>0</v>
      </c>
      <c r="G4" s="3">
        <f>SUM(E4:F4)</f>
        <v>0</v>
      </c>
      <c r="H4" s="3">
        <v>0</v>
      </c>
      <c r="I4" s="3">
        <v>0</v>
      </c>
      <c r="J4" s="3">
        <f>SUM(H4:I4)</f>
        <v>0</v>
      </c>
      <c r="K4" s="3">
        <v>0</v>
      </c>
      <c r="L4" s="3">
        <v>0</v>
      </c>
      <c r="M4" s="3">
        <f>SUM(K4:L4)</f>
        <v>0</v>
      </c>
      <c r="N4" s="3">
        <f>B4+E4+H4+K4</f>
        <v>0</v>
      </c>
      <c r="O4" s="3">
        <f>C4+F4+I4+L4</f>
        <v>0</v>
      </c>
      <c r="P4" s="3">
        <f>O4+N4</f>
        <v>0</v>
      </c>
      <c r="Q4" s="3">
        <f>B4</f>
        <v>0</v>
      </c>
      <c r="R4" s="3">
        <f>C4</f>
        <v>0</v>
      </c>
      <c r="S4" s="3">
        <f>R4+Q4</f>
        <v>0</v>
      </c>
      <c r="T4" s="3">
        <f>E4</f>
        <v>0</v>
      </c>
      <c r="U4" s="3">
        <f>F4</f>
        <v>0</v>
      </c>
      <c r="V4" s="3">
        <f>U4+T4</f>
        <v>0</v>
      </c>
      <c r="W4" s="3">
        <f>H4</f>
        <v>0</v>
      </c>
      <c r="X4" s="3">
        <f>I4</f>
        <v>0</v>
      </c>
      <c r="Y4" s="3">
        <f>X4+W4</f>
        <v>0</v>
      </c>
      <c r="Z4" s="3">
        <f>K4</f>
        <v>0</v>
      </c>
      <c r="AA4" s="3">
        <f>L4</f>
        <v>0</v>
      </c>
      <c r="AB4" s="3">
        <f>AA4+Z4</f>
        <v>0</v>
      </c>
      <c r="AC4" s="3">
        <f>AB4+Y4+V4+S4</f>
        <v>0</v>
      </c>
    </row>
    <row r="5" spans="1:29" ht="13.5" hidden="1" thickBot="1">
      <c r="A5" s="170">
        <v>40210</v>
      </c>
      <c r="B5" s="3">
        <v>0</v>
      </c>
      <c r="C5" s="3">
        <v>0</v>
      </c>
      <c r="D5" s="3">
        <f t="shared" ref="D5:D68" si="0">SUM(B5:C5)</f>
        <v>0</v>
      </c>
      <c r="E5" s="3">
        <v>0</v>
      </c>
      <c r="F5" s="3">
        <v>0</v>
      </c>
      <c r="G5" s="3">
        <f t="shared" ref="G5:G68" si="1">SUM(E5:F5)</f>
        <v>0</v>
      </c>
      <c r="H5" s="3">
        <v>0</v>
      </c>
      <c r="I5" s="3">
        <v>0</v>
      </c>
      <c r="J5" s="3">
        <f t="shared" ref="J5:J68" si="2">SUM(H5:I5)</f>
        <v>0</v>
      </c>
      <c r="K5" s="3">
        <v>0</v>
      </c>
      <c r="L5" s="3">
        <v>0</v>
      </c>
      <c r="M5" s="3">
        <f t="shared" ref="M5:M68" si="3">SUM(K5:L5)</f>
        <v>0</v>
      </c>
      <c r="N5" s="3">
        <f t="shared" ref="N5:O68" si="4">B5+E5+H5+K5</f>
        <v>0</v>
      </c>
      <c r="O5" s="3">
        <f t="shared" si="4"/>
        <v>0</v>
      </c>
      <c r="P5" s="3">
        <f t="shared" ref="P5:P68" si="5">O5+N5</f>
        <v>0</v>
      </c>
      <c r="Q5" s="3">
        <f t="shared" ref="Q5:R15" si="6">Q4+B5</f>
        <v>0</v>
      </c>
      <c r="R5" s="3">
        <f t="shared" si="6"/>
        <v>0</v>
      </c>
      <c r="S5" s="3">
        <f t="shared" ref="S5:S15" si="7">R5+Q5</f>
        <v>0</v>
      </c>
      <c r="T5" s="3">
        <f t="shared" ref="T5:U15" si="8">T4+E5</f>
        <v>0</v>
      </c>
      <c r="U5" s="3">
        <f t="shared" si="8"/>
        <v>0</v>
      </c>
      <c r="V5" s="3">
        <f t="shared" ref="V5:V15" si="9">U5+T5</f>
        <v>0</v>
      </c>
      <c r="W5" s="3">
        <f t="shared" ref="W5:X15" si="10">W4+H5</f>
        <v>0</v>
      </c>
      <c r="X5" s="3">
        <f t="shared" si="10"/>
        <v>0</v>
      </c>
      <c r="Y5" s="3">
        <f t="shared" ref="Y5:Y15" si="11">X5+W5</f>
        <v>0</v>
      </c>
      <c r="Z5" s="3">
        <f t="shared" ref="Z5:AA15" si="12">Z4+K5</f>
        <v>0</v>
      </c>
      <c r="AA5" s="3">
        <f t="shared" si="12"/>
        <v>0</v>
      </c>
      <c r="AB5" s="3">
        <f t="shared" ref="AB5:AB15" si="13">AA5+Z5</f>
        <v>0</v>
      </c>
      <c r="AC5" s="3">
        <f t="shared" ref="AC5:AC15" si="14">AB5+Y5+V5+S5</f>
        <v>0</v>
      </c>
    </row>
    <row r="6" spans="1:29" ht="13.5" hidden="1" thickBot="1">
      <c r="A6" s="170">
        <v>40238</v>
      </c>
      <c r="B6" s="3">
        <v>0</v>
      </c>
      <c r="C6" s="3">
        <v>0</v>
      </c>
      <c r="D6" s="3">
        <f t="shared" si="0"/>
        <v>0</v>
      </c>
      <c r="E6" s="3">
        <v>0</v>
      </c>
      <c r="F6" s="3">
        <v>0</v>
      </c>
      <c r="G6" s="3">
        <f t="shared" si="1"/>
        <v>0</v>
      </c>
      <c r="H6" s="3">
        <v>0</v>
      </c>
      <c r="I6" s="3">
        <v>0</v>
      </c>
      <c r="J6" s="3">
        <f t="shared" si="2"/>
        <v>0</v>
      </c>
      <c r="K6" s="3">
        <v>0</v>
      </c>
      <c r="L6" s="3">
        <v>0</v>
      </c>
      <c r="M6" s="3">
        <f t="shared" si="3"/>
        <v>0</v>
      </c>
      <c r="N6" s="3">
        <f t="shared" si="4"/>
        <v>0</v>
      </c>
      <c r="O6" s="3">
        <f t="shared" si="4"/>
        <v>0</v>
      </c>
      <c r="P6" s="3">
        <f t="shared" si="5"/>
        <v>0</v>
      </c>
      <c r="Q6" s="3">
        <f t="shared" si="6"/>
        <v>0</v>
      </c>
      <c r="R6" s="3">
        <f t="shared" si="6"/>
        <v>0</v>
      </c>
      <c r="S6" s="3">
        <f t="shared" si="7"/>
        <v>0</v>
      </c>
      <c r="T6" s="3">
        <f t="shared" si="8"/>
        <v>0</v>
      </c>
      <c r="U6" s="3">
        <f t="shared" si="8"/>
        <v>0</v>
      </c>
      <c r="V6" s="3">
        <f t="shared" si="9"/>
        <v>0</v>
      </c>
      <c r="W6" s="3">
        <f t="shared" si="10"/>
        <v>0</v>
      </c>
      <c r="X6" s="3">
        <f t="shared" si="10"/>
        <v>0</v>
      </c>
      <c r="Y6" s="3">
        <f t="shared" si="11"/>
        <v>0</v>
      </c>
      <c r="Z6" s="3">
        <f t="shared" si="12"/>
        <v>0</v>
      </c>
      <c r="AA6" s="3">
        <f t="shared" si="12"/>
        <v>0</v>
      </c>
      <c r="AB6" s="3">
        <f t="shared" si="13"/>
        <v>0</v>
      </c>
      <c r="AC6" s="3">
        <f t="shared" si="14"/>
        <v>0</v>
      </c>
    </row>
    <row r="7" spans="1:29" ht="13.5" hidden="1" thickBot="1">
      <c r="A7" s="170">
        <v>40269</v>
      </c>
      <c r="B7" s="3">
        <v>0</v>
      </c>
      <c r="C7" s="3">
        <v>0</v>
      </c>
      <c r="D7" s="3">
        <f t="shared" si="0"/>
        <v>0</v>
      </c>
      <c r="E7" s="3">
        <v>0</v>
      </c>
      <c r="F7" s="3">
        <v>0</v>
      </c>
      <c r="G7" s="3">
        <f t="shared" si="1"/>
        <v>0</v>
      </c>
      <c r="H7" s="3">
        <v>0</v>
      </c>
      <c r="I7" s="3">
        <v>0</v>
      </c>
      <c r="J7" s="3">
        <f t="shared" si="2"/>
        <v>0</v>
      </c>
      <c r="K7" s="3">
        <v>0</v>
      </c>
      <c r="L7" s="3">
        <v>0</v>
      </c>
      <c r="M7" s="3">
        <f t="shared" si="3"/>
        <v>0</v>
      </c>
      <c r="N7" s="3">
        <f t="shared" si="4"/>
        <v>0</v>
      </c>
      <c r="O7" s="3">
        <f t="shared" si="4"/>
        <v>0</v>
      </c>
      <c r="P7" s="3">
        <f t="shared" si="5"/>
        <v>0</v>
      </c>
      <c r="Q7" s="3">
        <f t="shared" si="6"/>
        <v>0</v>
      </c>
      <c r="R7" s="3">
        <f t="shared" si="6"/>
        <v>0</v>
      </c>
      <c r="S7" s="3">
        <f t="shared" si="7"/>
        <v>0</v>
      </c>
      <c r="T7" s="3">
        <f t="shared" si="8"/>
        <v>0</v>
      </c>
      <c r="U7" s="3">
        <f t="shared" si="8"/>
        <v>0</v>
      </c>
      <c r="V7" s="3">
        <f t="shared" si="9"/>
        <v>0</v>
      </c>
      <c r="W7" s="3">
        <f t="shared" si="10"/>
        <v>0</v>
      </c>
      <c r="X7" s="3">
        <f t="shared" si="10"/>
        <v>0</v>
      </c>
      <c r="Y7" s="3">
        <f t="shared" si="11"/>
        <v>0</v>
      </c>
      <c r="Z7" s="3">
        <f t="shared" si="12"/>
        <v>0</v>
      </c>
      <c r="AA7" s="3">
        <f t="shared" si="12"/>
        <v>0</v>
      </c>
      <c r="AB7" s="3">
        <f t="shared" si="13"/>
        <v>0</v>
      </c>
      <c r="AC7" s="3">
        <f t="shared" si="14"/>
        <v>0</v>
      </c>
    </row>
    <row r="8" spans="1:29" ht="13.5" hidden="1" thickBot="1">
      <c r="A8" s="170">
        <v>40299</v>
      </c>
      <c r="B8" s="3">
        <v>0</v>
      </c>
      <c r="C8" s="3">
        <v>0</v>
      </c>
      <c r="D8" s="3">
        <f t="shared" si="0"/>
        <v>0</v>
      </c>
      <c r="E8" s="3">
        <v>0</v>
      </c>
      <c r="F8" s="3">
        <v>0</v>
      </c>
      <c r="G8" s="3">
        <f t="shared" si="1"/>
        <v>0</v>
      </c>
      <c r="H8" s="3">
        <v>0</v>
      </c>
      <c r="I8" s="3">
        <v>0</v>
      </c>
      <c r="J8" s="3">
        <f t="shared" si="2"/>
        <v>0</v>
      </c>
      <c r="K8" s="3">
        <v>0</v>
      </c>
      <c r="L8" s="3">
        <v>0</v>
      </c>
      <c r="M8" s="3">
        <f t="shared" si="3"/>
        <v>0</v>
      </c>
      <c r="N8" s="3">
        <f t="shared" si="4"/>
        <v>0</v>
      </c>
      <c r="O8" s="3">
        <f t="shared" si="4"/>
        <v>0</v>
      </c>
      <c r="P8" s="3">
        <f t="shared" si="5"/>
        <v>0</v>
      </c>
      <c r="Q8" s="3">
        <f t="shared" si="6"/>
        <v>0</v>
      </c>
      <c r="R8" s="3">
        <f t="shared" si="6"/>
        <v>0</v>
      </c>
      <c r="S8" s="3">
        <f t="shared" si="7"/>
        <v>0</v>
      </c>
      <c r="T8" s="3">
        <f t="shared" si="8"/>
        <v>0</v>
      </c>
      <c r="U8" s="3">
        <f t="shared" si="8"/>
        <v>0</v>
      </c>
      <c r="V8" s="3">
        <f t="shared" si="9"/>
        <v>0</v>
      </c>
      <c r="W8" s="3">
        <f t="shared" si="10"/>
        <v>0</v>
      </c>
      <c r="X8" s="3">
        <f t="shared" si="10"/>
        <v>0</v>
      </c>
      <c r="Y8" s="3">
        <f t="shared" si="11"/>
        <v>0</v>
      </c>
      <c r="Z8" s="3">
        <f t="shared" si="12"/>
        <v>0</v>
      </c>
      <c r="AA8" s="3">
        <f t="shared" si="12"/>
        <v>0</v>
      </c>
      <c r="AB8" s="3">
        <f t="shared" si="13"/>
        <v>0</v>
      </c>
      <c r="AC8" s="3">
        <f t="shared" si="14"/>
        <v>0</v>
      </c>
    </row>
    <row r="9" spans="1:29" ht="13.5" hidden="1" thickBot="1">
      <c r="A9" s="170">
        <v>40330</v>
      </c>
      <c r="B9" s="3">
        <v>0</v>
      </c>
      <c r="C9" s="3">
        <v>0</v>
      </c>
      <c r="D9" s="3">
        <f t="shared" si="0"/>
        <v>0</v>
      </c>
      <c r="E9" s="3">
        <v>0</v>
      </c>
      <c r="F9" s="3">
        <v>0</v>
      </c>
      <c r="G9" s="3">
        <f t="shared" si="1"/>
        <v>0</v>
      </c>
      <c r="H9" s="3">
        <v>0</v>
      </c>
      <c r="I9" s="3">
        <v>0</v>
      </c>
      <c r="J9" s="3">
        <f t="shared" si="2"/>
        <v>0</v>
      </c>
      <c r="K9" s="3">
        <v>0</v>
      </c>
      <c r="L9" s="3">
        <v>0</v>
      </c>
      <c r="M9" s="3">
        <f t="shared" si="3"/>
        <v>0</v>
      </c>
      <c r="N9" s="3">
        <f t="shared" si="4"/>
        <v>0</v>
      </c>
      <c r="O9" s="3">
        <f t="shared" si="4"/>
        <v>0</v>
      </c>
      <c r="P9" s="3">
        <f t="shared" si="5"/>
        <v>0</v>
      </c>
      <c r="Q9" s="3">
        <f t="shared" si="6"/>
        <v>0</v>
      </c>
      <c r="R9" s="3">
        <f t="shared" si="6"/>
        <v>0</v>
      </c>
      <c r="S9" s="3">
        <f t="shared" si="7"/>
        <v>0</v>
      </c>
      <c r="T9" s="3">
        <f t="shared" si="8"/>
        <v>0</v>
      </c>
      <c r="U9" s="3">
        <f t="shared" si="8"/>
        <v>0</v>
      </c>
      <c r="V9" s="3">
        <f t="shared" si="9"/>
        <v>0</v>
      </c>
      <c r="W9" s="3">
        <f t="shared" si="10"/>
        <v>0</v>
      </c>
      <c r="X9" s="3">
        <f t="shared" si="10"/>
        <v>0</v>
      </c>
      <c r="Y9" s="3">
        <f t="shared" si="11"/>
        <v>0</v>
      </c>
      <c r="Z9" s="3">
        <f t="shared" si="12"/>
        <v>0</v>
      </c>
      <c r="AA9" s="3">
        <f t="shared" si="12"/>
        <v>0</v>
      </c>
      <c r="AB9" s="3">
        <f t="shared" si="13"/>
        <v>0</v>
      </c>
      <c r="AC9" s="3">
        <f t="shared" si="14"/>
        <v>0</v>
      </c>
    </row>
    <row r="10" spans="1:29" ht="13.5" hidden="1" thickBot="1">
      <c r="A10" s="170">
        <v>40360</v>
      </c>
      <c r="B10" s="3">
        <v>0</v>
      </c>
      <c r="C10" s="3">
        <v>0</v>
      </c>
      <c r="D10" s="3">
        <f t="shared" si="0"/>
        <v>0</v>
      </c>
      <c r="E10" s="3">
        <v>0</v>
      </c>
      <c r="F10" s="3">
        <v>0</v>
      </c>
      <c r="G10" s="3">
        <f t="shared" si="1"/>
        <v>0</v>
      </c>
      <c r="H10" s="3">
        <v>0</v>
      </c>
      <c r="I10" s="3">
        <v>0</v>
      </c>
      <c r="J10" s="3">
        <f t="shared" si="2"/>
        <v>0</v>
      </c>
      <c r="K10" s="3">
        <v>0</v>
      </c>
      <c r="L10" s="3">
        <v>0</v>
      </c>
      <c r="M10" s="3">
        <f t="shared" si="3"/>
        <v>0</v>
      </c>
      <c r="N10" s="3">
        <f t="shared" si="4"/>
        <v>0</v>
      </c>
      <c r="O10" s="3">
        <f t="shared" si="4"/>
        <v>0</v>
      </c>
      <c r="P10" s="3">
        <f t="shared" si="5"/>
        <v>0</v>
      </c>
      <c r="Q10" s="3">
        <f t="shared" si="6"/>
        <v>0</v>
      </c>
      <c r="R10" s="3">
        <f t="shared" si="6"/>
        <v>0</v>
      </c>
      <c r="S10" s="3">
        <f t="shared" si="7"/>
        <v>0</v>
      </c>
      <c r="T10" s="3">
        <f t="shared" si="8"/>
        <v>0</v>
      </c>
      <c r="U10" s="3">
        <f t="shared" si="8"/>
        <v>0</v>
      </c>
      <c r="V10" s="3">
        <f t="shared" si="9"/>
        <v>0</v>
      </c>
      <c r="W10" s="3">
        <f t="shared" si="10"/>
        <v>0</v>
      </c>
      <c r="X10" s="3">
        <f t="shared" si="10"/>
        <v>0</v>
      </c>
      <c r="Y10" s="3">
        <f t="shared" si="11"/>
        <v>0</v>
      </c>
      <c r="Z10" s="3">
        <f t="shared" si="12"/>
        <v>0</v>
      </c>
      <c r="AA10" s="3">
        <f t="shared" si="12"/>
        <v>0</v>
      </c>
      <c r="AB10" s="3">
        <f t="shared" si="13"/>
        <v>0</v>
      </c>
      <c r="AC10" s="3">
        <f t="shared" si="14"/>
        <v>0</v>
      </c>
    </row>
    <row r="11" spans="1:29" ht="13.5" hidden="1" thickBot="1">
      <c r="A11" s="170">
        <v>40391</v>
      </c>
      <c r="B11" s="3">
        <v>0</v>
      </c>
      <c r="C11" s="3">
        <v>0</v>
      </c>
      <c r="D11" s="3">
        <f t="shared" si="0"/>
        <v>0</v>
      </c>
      <c r="E11" s="3">
        <v>0</v>
      </c>
      <c r="F11" s="3">
        <v>0</v>
      </c>
      <c r="G11" s="3">
        <f t="shared" si="1"/>
        <v>0</v>
      </c>
      <c r="H11" s="3">
        <v>0</v>
      </c>
      <c r="I11" s="3">
        <v>0</v>
      </c>
      <c r="J11" s="3">
        <f t="shared" si="2"/>
        <v>0</v>
      </c>
      <c r="K11" s="3">
        <v>0</v>
      </c>
      <c r="L11" s="3">
        <v>0</v>
      </c>
      <c r="M11" s="3">
        <f t="shared" si="3"/>
        <v>0</v>
      </c>
      <c r="N11" s="3">
        <f t="shared" si="4"/>
        <v>0</v>
      </c>
      <c r="O11" s="3">
        <f t="shared" si="4"/>
        <v>0</v>
      </c>
      <c r="P11" s="3">
        <f t="shared" si="5"/>
        <v>0</v>
      </c>
      <c r="Q11" s="3">
        <f t="shared" si="6"/>
        <v>0</v>
      </c>
      <c r="R11" s="3">
        <f t="shared" si="6"/>
        <v>0</v>
      </c>
      <c r="S11" s="3">
        <f t="shared" si="7"/>
        <v>0</v>
      </c>
      <c r="T11" s="3">
        <f t="shared" si="8"/>
        <v>0</v>
      </c>
      <c r="U11" s="3">
        <f t="shared" si="8"/>
        <v>0</v>
      </c>
      <c r="V11" s="3">
        <f t="shared" si="9"/>
        <v>0</v>
      </c>
      <c r="W11" s="3">
        <f t="shared" si="10"/>
        <v>0</v>
      </c>
      <c r="X11" s="3">
        <f t="shared" si="10"/>
        <v>0</v>
      </c>
      <c r="Y11" s="3">
        <f t="shared" si="11"/>
        <v>0</v>
      </c>
      <c r="Z11" s="3">
        <f t="shared" si="12"/>
        <v>0</v>
      </c>
      <c r="AA11" s="3">
        <f t="shared" si="12"/>
        <v>0</v>
      </c>
      <c r="AB11" s="3">
        <f t="shared" si="13"/>
        <v>0</v>
      </c>
      <c r="AC11" s="3">
        <f t="shared" si="14"/>
        <v>0</v>
      </c>
    </row>
    <row r="12" spans="1:29" ht="13.5" hidden="1" thickBot="1">
      <c r="A12" s="170">
        <v>40422</v>
      </c>
      <c r="B12" s="3">
        <v>0</v>
      </c>
      <c r="C12" s="3">
        <v>0</v>
      </c>
      <c r="D12" s="3">
        <f t="shared" si="0"/>
        <v>0</v>
      </c>
      <c r="E12" s="3">
        <v>0</v>
      </c>
      <c r="F12" s="3">
        <v>0</v>
      </c>
      <c r="G12" s="3">
        <f t="shared" si="1"/>
        <v>0</v>
      </c>
      <c r="H12" s="3">
        <v>0</v>
      </c>
      <c r="I12" s="3">
        <v>0</v>
      </c>
      <c r="J12" s="3">
        <f t="shared" si="2"/>
        <v>0</v>
      </c>
      <c r="K12" s="3">
        <v>0</v>
      </c>
      <c r="L12" s="3">
        <v>0</v>
      </c>
      <c r="M12" s="3">
        <f t="shared" si="3"/>
        <v>0</v>
      </c>
      <c r="N12" s="3">
        <f t="shared" si="4"/>
        <v>0</v>
      </c>
      <c r="O12" s="3">
        <f t="shared" si="4"/>
        <v>0</v>
      </c>
      <c r="P12" s="3">
        <f t="shared" si="5"/>
        <v>0</v>
      </c>
      <c r="Q12" s="3">
        <f t="shared" si="6"/>
        <v>0</v>
      </c>
      <c r="R12" s="3">
        <f t="shared" si="6"/>
        <v>0</v>
      </c>
      <c r="S12" s="3">
        <f t="shared" si="7"/>
        <v>0</v>
      </c>
      <c r="T12" s="3">
        <f t="shared" si="8"/>
        <v>0</v>
      </c>
      <c r="U12" s="3">
        <f t="shared" si="8"/>
        <v>0</v>
      </c>
      <c r="V12" s="3">
        <f t="shared" si="9"/>
        <v>0</v>
      </c>
      <c r="W12" s="3">
        <f t="shared" si="10"/>
        <v>0</v>
      </c>
      <c r="X12" s="3">
        <f t="shared" si="10"/>
        <v>0</v>
      </c>
      <c r="Y12" s="3">
        <f t="shared" si="11"/>
        <v>0</v>
      </c>
      <c r="Z12" s="3">
        <f t="shared" si="12"/>
        <v>0</v>
      </c>
      <c r="AA12" s="3">
        <f t="shared" si="12"/>
        <v>0</v>
      </c>
      <c r="AB12" s="3">
        <f t="shared" si="13"/>
        <v>0</v>
      </c>
      <c r="AC12" s="3">
        <f t="shared" si="14"/>
        <v>0</v>
      </c>
    </row>
    <row r="13" spans="1:29" ht="13.5" hidden="1" thickBot="1">
      <c r="A13" s="170">
        <v>40452</v>
      </c>
      <c r="B13" s="3">
        <v>0</v>
      </c>
      <c r="C13" s="3">
        <v>0</v>
      </c>
      <c r="D13" s="3">
        <f t="shared" si="0"/>
        <v>0</v>
      </c>
      <c r="E13" s="3">
        <v>0</v>
      </c>
      <c r="F13" s="3">
        <v>0</v>
      </c>
      <c r="G13" s="3">
        <f t="shared" si="1"/>
        <v>0</v>
      </c>
      <c r="H13" s="3">
        <v>0</v>
      </c>
      <c r="I13" s="3">
        <v>0</v>
      </c>
      <c r="J13" s="3">
        <f t="shared" si="2"/>
        <v>0</v>
      </c>
      <c r="K13" s="3">
        <v>0</v>
      </c>
      <c r="L13" s="3">
        <v>0</v>
      </c>
      <c r="M13" s="3">
        <f t="shared" si="3"/>
        <v>0</v>
      </c>
      <c r="N13" s="3">
        <f t="shared" si="4"/>
        <v>0</v>
      </c>
      <c r="O13" s="3">
        <f t="shared" si="4"/>
        <v>0</v>
      </c>
      <c r="P13" s="3">
        <f t="shared" si="5"/>
        <v>0</v>
      </c>
      <c r="Q13" s="3">
        <f t="shared" si="6"/>
        <v>0</v>
      </c>
      <c r="R13" s="3">
        <f t="shared" si="6"/>
        <v>0</v>
      </c>
      <c r="S13" s="3">
        <f t="shared" si="7"/>
        <v>0</v>
      </c>
      <c r="T13" s="3">
        <f t="shared" si="8"/>
        <v>0</v>
      </c>
      <c r="U13" s="3">
        <f t="shared" si="8"/>
        <v>0</v>
      </c>
      <c r="V13" s="3">
        <f t="shared" si="9"/>
        <v>0</v>
      </c>
      <c r="W13" s="3">
        <f t="shared" si="10"/>
        <v>0</v>
      </c>
      <c r="X13" s="3">
        <f t="shared" si="10"/>
        <v>0</v>
      </c>
      <c r="Y13" s="3">
        <f t="shared" si="11"/>
        <v>0</v>
      </c>
      <c r="Z13" s="3">
        <f t="shared" si="12"/>
        <v>0</v>
      </c>
      <c r="AA13" s="3">
        <f t="shared" si="12"/>
        <v>0</v>
      </c>
      <c r="AB13" s="3">
        <f t="shared" si="13"/>
        <v>0</v>
      </c>
      <c r="AC13" s="3">
        <f t="shared" si="14"/>
        <v>0</v>
      </c>
    </row>
    <row r="14" spans="1:29" ht="13.5" hidden="1" thickBot="1">
      <c r="A14" s="170">
        <v>40483</v>
      </c>
      <c r="B14" s="3">
        <v>0</v>
      </c>
      <c r="C14" s="3">
        <v>0</v>
      </c>
      <c r="D14" s="3">
        <f t="shared" si="0"/>
        <v>0</v>
      </c>
      <c r="E14" s="3">
        <v>0</v>
      </c>
      <c r="F14" s="3">
        <v>0</v>
      </c>
      <c r="G14" s="3">
        <f t="shared" si="1"/>
        <v>0</v>
      </c>
      <c r="H14" s="3">
        <v>0</v>
      </c>
      <c r="I14" s="3">
        <v>0</v>
      </c>
      <c r="J14" s="3">
        <f t="shared" si="2"/>
        <v>0</v>
      </c>
      <c r="K14" s="3">
        <v>0</v>
      </c>
      <c r="L14" s="3">
        <v>0</v>
      </c>
      <c r="M14" s="3">
        <f t="shared" si="3"/>
        <v>0</v>
      </c>
      <c r="N14" s="3">
        <f t="shared" si="4"/>
        <v>0</v>
      </c>
      <c r="O14" s="3">
        <f t="shared" si="4"/>
        <v>0</v>
      </c>
      <c r="P14" s="3">
        <f t="shared" si="5"/>
        <v>0</v>
      </c>
      <c r="Q14" s="3">
        <f t="shared" si="6"/>
        <v>0</v>
      </c>
      <c r="R14" s="3">
        <f t="shared" si="6"/>
        <v>0</v>
      </c>
      <c r="S14" s="3">
        <f t="shared" si="7"/>
        <v>0</v>
      </c>
      <c r="T14" s="3">
        <f t="shared" si="8"/>
        <v>0</v>
      </c>
      <c r="U14" s="3">
        <f t="shared" si="8"/>
        <v>0</v>
      </c>
      <c r="V14" s="3">
        <f t="shared" si="9"/>
        <v>0</v>
      </c>
      <c r="W14" s="3">
        <f t="shared" si="10"/>
        <v>0</v>
      </c>
      <c r="X14" s="3">
        <f t="shared" si="10"/>
        <v>0</v>
      </c>
      <c r="Y14" s="3">
        <f t="shared" si="11"/>
        <v>0</v>
      </c>
      <c r="Z14" s="3">
        <f t="shared" si="12"/>
        <v>0</v>
      </c>
      <c r="AA14" s="3">
        <f t="shared" si="12"/>
        <v>0</v>
      </c>
      <c r="AB14" s="3">
        <f t="shared" si="13"/>
        <v>0</v>
      </c>
      <c r="AC14" s="3">
        <f t="shared" si="14"/>
        <v>0</v>
      </c>
    </row>
    <row r="15" spans="1:29" ht="13.5" hidden="1" thickBot="1">
      <c r="A15" s="170">
        <v>40513</v>
      </c>
      <c r="B15" s="3">
        <v>0</v>
      </c>
      <c r="C15" s="3">
        <v>0</v>
      </c>
      <c r="D15" s="3">
        <f t="shared" si="0"/>
        <v>0</v>
      </c>
      <c r="E15" s="3">
        <v>0</v>
      </c>
      <c r="F15" s="3">
        <v>0</v>
      </c>
      <c r="G15" s="3">
        <f t="shared" si="1"/>
        <v>0</v>
      </c>
      <c r="H15" s="3">
        <v>0</v>
      </c>
      <c r="I15" s="3">
        <v>0</v>
      </c>
      <c r="J15" s="3">
        <f t="shared" si="2"/>
        <v>0</v>
      </c>
      <c r="K15" s="3">
        <v>0</v>
      </c>
      <c r="L15" s="3">
        <v>0</v>
      </c>
      <c r="M15" s="3">
        <f t="shared" si="3"/>
        <v>0</v>
      </c>
      <c r="N15" s="3">
        <f t="shared" si="4"/>
        <v>0</v>
      </c>
      <c r="O15" s="3">
        <f t="shared" si="4"/>
        <v>0</v>
      </c>
      <c r="P15" s="3">
        <f t="shared" si="5"/>
        <v>0</v>
      </c>
      <c r="Q15" s="3">
        <f t="shared" si="6"/>
        <v>0</v>
      </c>
      <c r="R15" s="3">
        <f t="shared" si="6"/>
        <v>0</v>
      </c>
      <c r="S15" s="3">
        <f t="shared" si="7"/>
        <v>0</v>
      </c>
      <c r="T15" s="3">
        <f t="shared" si="8"/>
        <v>0</v>
      </c>
      <c r="U15" s="3">
        <f t="shared" si="8"/>
        <v>0</v>
      </c>
      <c r="V15" s="3">
        <f t="shared" si="9"/>
        <v>0</v>
      </c>
      <c r="W15" s="3">
        <f t="shared" si="10"/>
        <v>0</v>
      </c>
      <c r="X15" s="3">
        <f t="shared" si="10"/>
        <v>0</v>
      </c>
      <c r="Y15" s="3">
        <f t="shared" si="11"/>
        <v>0</v>
      </c>
      <c r="Z15" s="3">
        <f t="shared" si="12"/>
        <v>0</v>
      </c>
      <c r="AA15" s="3">
        <f t="shared" si="12"/>
        <v>0</v>
      </c>
      <c r="AB15" s="3">
        <f t="shared" si="13"/>
        <v>0</v>
      </c>
      <c r="AC15" s="3">
        <f t="shared" si="14"/>
        <v>0</v>
      </c>
    </row>
    <row r="16" spans="1:29" ht="13.5" hidden="1" thickBot="1">
      <c r="A16" s="171">
        <v>40544</v>
      </c>
      <c r="B16" s="104">
        <v>0</v>
      </c>
      <c r="C16" s="104">
        <v>0</v>
      </c>
      <c r="D16" s="104">
        <f t="shared" si="0"/>
        <v>0</v>
      </c>
      <c r="E16" s="104">
        <v>0</v>
      </c>
      <c r="F16" s="104">
        <v>0</v>
      </c>
      <c r="G16" s="104">
        <f t="shared" si="1"/>
        <v>0</v>
      </c>
      <c r="H16" s="104">
        <v>0</v>
      </c>
      <c r="I16" s="104">
        <v>0</v>
      </c>
      <c r="J16" s="104">
        <f t="shared" si="2"/>
        <v>0</v>
      </c>
      <c r="K16" s="104">
        <v>0</v>
      </c>
      <c r="L16" s="104">
        <v>0</v>
      </c>
      <c r="M16" s="104">
        <f t="shared" si="3"/>
        <v>0</v>
      </c>
      <c r="N16" s="104">
        <f t="shared" si="4"/>
        <v>0</v>
      </c>
      <c r="O16" s="104">
        <f t="shared" si="4"/>
        <v>0</v>
      </c>
      <c r="P16" s="104">
        <f t="shared" si="5"/>
        <v>0</v>
      </c>
      <c r="Q16" s="104">
        <f>B16</f>
        <v>0</v>
      </c>
      <c r="R16" s="104">
        <f>C16</f>
        <v>0</v>
      </c>
      <c r="S16" s="104">
        <f>R16+Q16</f>
        <v>0</v>
      </c>
      <c r="T16" s="104">
        <f>E16</f>
        <v>0</v>
      </c>
      <c r="U16" s="104">
        <f>F16</f>
        <v>0</v>
      </c>
      <c r="V16" s="104">
        <f>U16+T16</f>
        <v>0</v>
      </c>
      <c r="W16" s="104">
        <f>H16</f>
        <v>0</v>
      </c>
      <c r="X16" s="104">
        <f>I16</f>
        <v>0</v>
      </c>
      <c r="Y16" s="104">
        <f>X16+W16</f>
        <v>0</v>
      </c>
      <c r="Z16" s="104">
        <f>K16</f>
        <v>0</v>
      </c>
      <c r="AA16" s="104">
        <f>L16</f>
        <v>0</v>
      </c>
      <c r="AB16" s="104">
        <f>AA16+Z16</f>
        <v>0</v>
      </c>
      <c r="AC16" s="104">
        <f>AB16+Y16+V16+S16</f>
        <v>0</v>
      </c>
    </row>
    <row r="17" spans="1:29" ht="13.5" hidden="1" thickBot="1">
      <c r="A17" s="170">
        <v>40575</v>
      </c>
      <c r="B17" s="3">
        <v>0</v>
      </c>
      <c r="C17" s="3">
        <v>0</v>
      </c>
      <c r="D17" s="3">
        <f t="shared" si="0"/>
        <v>0</v>
      </c>
      <c r="E17" s="3">
        <v>0</v>
      </c>
      <c r="F17" s="3">
        <v>0</v>
      </c>
      <c r="G17" s="3">
        <f t="shared" si="1"/>
        <v>0</v>
      </c>
      <c r="H17" s="3">
        <v>0</v>
      </c>
      <c r="I17" s="3">
        <v>0</v>
      </c>
      <c r="J17" s="3">
        <f t="shared" si="2"/>
        <v>0</v>
      </c>
      <c r="K17" s="3">
        <v>0</v>
      </c>
      <c r="L17" s="3">
        <v>0</v>
      </c>
      <c r="M17" s="3">
        <f t="shared" si="3"/>
        <v>0</v>
      </c>
      <c r="N17" s="3">
        <f t="shared" si="4"/>
        <v>0</v>
      </c>
      <c r="O17" s="3">
        <f t="shared" si="4"/>
        <v>0</v>
      </c>
      <c r="P17" s="3">
        <f t="shared" si="5"/>
        <v>0</v>
      </c>
      <c r="Q17" s="3">
        <f t="shared" ref="Q17:R27" si="15">Q16+B17</f>
        <v>0</v>
      </c>
      <c r="R17" s="3">
        <f t="shared" si="15"/>
        <v>0</v>
      </c>
      <c r="S17" s="3">
        <f t="shared" ref="S17:S27" si="16">R17+Q17</f>
        <v>0</v>
      </c>
      <c r="T17" s="3">
        <f t="shared" ref="T17:U27" si="17">T16+E17</f>
        <v>0</v>
      </c>
      <c r="U17" s="3">
        <f t="shared" si="17"/>
        <v>0</v>
      </c>
      <c r="V17" s="3">
        <f t="shared" ref="V17:V27" si="18">U17+T17</f>
        <v>0</v>
      </c>
      <c r="W17" s="3">
        <f t="shared" ref="W17:X27" si="19">W16+H17</f>
        <v>0</v>
      </c>
      <c r="X17" s="3">
        <f t="shared" si="19"/>
        <v>0</v>
      </c>
      <c r="Y17" s="3">
        <f t="shared" ref="Y17:Y27" si="20">X17+W17</f>
        <v>0</v>
      </c>
      <c r="Z17" s="3">
        <f t="shared" ref="Z17:AA27" si="21">Z16+K17</f>
        <v>0</v>
      </c>
      <c r="AA17" s="3">
        <f t="shared" si="21"/>
        <v>0</v>
      </c>
      <c r="AB17" s="3">
        <f t="shared" ref="AB17:AB27" si="22">AA17+Z17</f>
        <v>0</v>
      </c>
      <c r="AC17" s="3">
        <f t="shared" ref="AC17:AC27" si="23">AB17+Y17+V17+S17</f>
        <v>0</v>
      </c>
    </row>
    <row r="18" spans="1:29" ht="13.5" hidden="1" thickBot="1">
      <c r="A18" s="170">
        <v>40603</v>
      </c>
      <c r="B18" s="3">
        <v>0</v>
      </c>
      <c r="C18" s="3">
        <v>0</v>
      </c>
      <c r="D18" s="3">
        <f t="shared" si="0"/>
        <v>0</v>
      </c>
      <c r="E18" s="3">
        <v>0</v>
      </c>
      <c r="F18" s="3">
        <v>0</v>
      </c>
      <c r="G18" s="3">
        <f t="shared" si="1"/>
        <v>0</v>
      </c>
      <c r="H18" s="3">
        <v>0</v>
      </c>
      <c r="I18" s="3">
        <v>0</v>
      </c>
      <c r="J18" s="3">
        <f t="shared" si="2"/>
        <v>0</v>
      </c>
      <c r="K18" s="3">
        <v>0</v>
      </c>
      <c r="L18" s="3">
        <v>0</v>
      </c>
      <c r="M18" s="3">
        <f t="shared" si="3"/>
        <v>0</v>
      </c>
      <c r="N18" s="3">
        <f t="shared" si="4"/>
        <v>0</v>
      </c>
      <c r="O18" s="3">
        <f t="shared" si="4"/>
        <v>0</v>
      </c>
      <c r="P18" s="3">
        <f t="shared" si="5"/>
        <v>0</v>
      </c>
      <c r="Q18" s="3">
        <f t="shared" si="15"/>
        <v>0</v>
      </c>
      <c r="R18" s="3">
        <f t="shared" si="15"/>
        <v>0</v>
      </c>
      <c r="S18" s="3">
        <f t="shared" si="16"/>
        <v>0</v>
      </c>
      <c r="T18" s="3">
        <f t="shared" si="17"/>
        <v>0</v>
      </c>
      <c r="U18" s="3">
        <f t="shared" si="17"/>
        <v>0</v>
      </c>
      <c r="V18" s="3">
        <f t="shared" si="18"/>
        <v>0</v>
      </c>
      <c r="W18" s="3">
        <f t="shared" si="19"/>
        <v>0</v>
      </c>
      <c r="X18" s="3">
        <f t="shared" si="19"/>
        <v>0</v>
      </c>
      <c r="Y18" s="3">
        <f t="shared" si="20"/>
        <v>0</v>
      </c>
      <c r="Z18" s="3">
        <f t="shared" si="21"/>
        <v>0</v>
      </c>
      <c r="AA18" s="3">
        <f t="shared" si="21"/>
        <v>0</v>
      </c>
      <c r="AB18" s="3">
        <f t="shared" si="22"/>
        <v>0</v>
      </c>
      <c r="AC18" s="3">
        <f t="shared" si="23"/>
        <v>0</v>
      </c>
    </row>
    <row r="19" spans="1:29" ht="13.5" hidden="1" thickBot="1">
      <c r="A19" s="170">
        <v>40634</v>
      </c>
      <c r="B19" s="3">
        <v>0</v>
      </c>
      <c r="C19" s="3">
        <v>0</v>
      </c>
      <c r="D19" s="3">
        <f t="shared" si="0"/>
        <v>0</v>
      </c>
      <c r="E19" s="3">
        <v>0</v>
      </c>
      <c r="F19" s="3">
        <v>0</v>
      </c>
      <c r="G19" s="3">
        <f t="shared" si="1"/>
        <v>0</v>
      </c>
      <c r="H19" s="3">
        <v>0</v>
      </c>
      <c r="I19" s="3">
        <v>0</v>
      </c>
      <c r="J19" s="3">
        <f t="shared" si="2"/>
        <v>0</v>
      </c>
      <c r="K19" s="3">
        <v>0</v>
      </c>
      <c r="L19" s="3">
        <v>0</v>
      </c>
      <c r="M19" s="3">
        <f t="shared" si="3"/>
        <v>0</v>
      </c>
      <c r="N19" s="3">
        <f t="shared" si="4"/>
        <v>0</v>
      </c>
      <c r="O19" s="3">
        <f t="shared" si="4"/>
        <v>0</v>
      </c>
      <c r="P19" s="3">
        <f t="shared" si="5"/>
        <v>0</v>
      </c>
      <c r="Q19" s="3">
        <f t="shared" si="15"/>
        <v>0</v>
      </c>
      <c r="R19" s="3">
        <f t="shared" si="15"/>
        <v>0</v>
      </c>
      <c r="S19" s="3">
        <f t="shared" si="16"/>
        <v>0</v>
      </c>
      <c r="T19" s="3">
        <f t="shared" si="17"/>
        <v>0</v>
      </c>
      <c r="U19" s="3">
        <f t="shared" si="17"/>
        <v>0</v>
      </c>
      <c r="V19" s="3">
        <f t="shared" si="18"/>
        <v>0</v>
      </c>
      <c r="W19" s="3">
        <f t="shared" si="19"/>
        <v>0</v>
      </c>
      <c r="X19" s="3">
        <f t="shared" si="19"/>
        <v>0</v>
      </c>
      <c r="Y19" s="3">
        <f t="shared" si="20"/>
        <v>0</v>
      </c>
      <c r="Z19" s="3">
        <f t="shared" si="21"/>
        <v>0</v>
      </c>
      <c r="AA19" s="3">
        <f t="shared" si="21"/>
        <v>0</v>
      </c>
      <c r="AB19" s="3">
        <f t="shared" si="22"/>
        <v>0</v>
      </c>
      <c r="AC19" s="3">
        <f t="shared" si="23"/>
        <v>0</v>
      </c>
    </row>
    <row r="20" spans="1:29" ht="13.5" hidden="1" thickBot="1">
      <c r="A20" s="170">
        <v>40664</v>
      </c>
      <c r="B20" s="3">
        <v>0</v>
      </c>
      <c r="C20" s="3">
        <v>0</v>
      </c>
      <c r="D20" s="3">
        <f t="shared" si="0"/>
        <v>0</v>
      </c>
      <c r="E20" s="3">
        <v>0</v>
      </c>
      <c r="F20" s="3">
        <v>0</v>
      </c>
      <c r="G20" s="3">
        <f t="shared" si="1"/>
        <v>0</v>
      </c>
      <c r="H20" s="3">
        <v>0</v>
      </c>
      <c r="I20" s="3">
        <v>0</v>
      </c>
      <c r="J20" s="3">
        <f t="shared" si="2"/>
        <v>0</v>
      </c>
      <c r="K20" s="3">
        <v>0</v>
      </c>
      <c r="L20" s="3">
        <v>0</v>
      </c>
      <c r="M20" s="3">
        <f t="shared" si="3"/>
        <v>0</v>
      </c>
      <c r="N20" s="3">
        <f t="shared" si="4"/>
        <v>0</v>
      </c>
      <c r="O20" s="3">
        <f t="shared" si="4"/>
        <v>0</v>
      </c>
      <c r="P20" s="3">
        <f t="shared" si="5"/>
        <v>0</v>
      </c>
      <c r="Q20" s="3">
        <f t="shared" si="15"/>
        <v>0</v>
      </c>
      <c r="R20" s="3">
        <f t="shared" si="15"/>
        <v>0</v>
      </c>
      <c r="S20" s="3">
        <f t="shared" si="16"/>
        <v>0</v>
      </c>
      <c r="T20" s="3">
        <f t="shared" si="17"/>
        <v>0</v>
      </c>
      <c r="U20" s="3">
        <f t="shared" si="17"/>
        <v>0</v>
      </c>
      <c r="V20" s="3">
        <f t="shared" si="18"/>
        <v>0</v>
      </c>
      <c r="W20" s="3">
        <f t="shared" si="19"/>
        <v>0</v>
      </c>
      <c r="X20" s="3">
        <f t="shared" si="19"/>
        <v>0</v>
      </c>
      <c r="Y20" s="3">
        <f t="shared" si="20"/>
        <v>0</v>
      </c>
      <c r="Z20" s="3">
        <f t="shared" si="21"/>
        <v>0</v>
      </c>
      <c r="AA20" s="3">
        <f t="shared" si="21"/>
        <v>0</v>
      </c>
      <c r="AB20" s="3">
        <f t="shared" si="22"/>
        <v>0</v>
      </c>
      <c r="AC20" s="3">
        <f t="shared" si="23"/>
        <v>0</v>
      </c>
    </row>
    <row r="21" spans="1:29" ht="13.5" hidden="1" thickBot="1">
      <c r="A21" s="170">
        <v>40695</v>
      </c>
      <c r="B21" s="3">
        <v>0</v>
      </c>
      <c r="C21" s="3">
        <v>0</v>
      </c>
      <c r="D21" s="3">
        <f t="shared" si="0"/>
        <v>0</v>
      </c>
      <c r="E21" s="3">
        <v>0</v>
      </c>
      <c r="F21" s="3">
        <v>0</v>
      </c>
      <c r="G21" s="3">
        <f t="shared" si="1"/>
        <v>0</v>
      </c>
      <c r="H21" s="3">
        <v>0</v>
      </c>
      <c r="I21" s="3">
        <v>0</v>
      </c>
      <c r="J21" s="3">
        <f t="shared" si="2"/>
        <v>0</v>
      </c>
      <c r="K21" s="3">
        <v>0</v>
      </c>
      <c r="L21" s="3">
        <v>0</v>
      </c>
      <c r="M21" s="3">
        <f t="shared" si="3"/>
        <v>0</v>
      </c>
      <c r="N21" s="3">
        <f t="shared" si="4"/>
        <v>0</v>
      </c>
      <c r="O21" s="3">
        <f t="shared" si="4"/>
        <v>0</v>
      </c>
      <c r="P21" s="3">
        <f t="shared" si="5"/>
        <v>0</v>
      </c>
      <c r="Q21" s="3">
        <f t="shared" si="15"/>
        <v>0</v>
      </c>
      <c r="R21" s="3">
        <f t="shared" si="15"/>
        <v>0</v>
      </c>
      <c r="S21" s="3">
        <f t="shared" si="16"/>
        <v>0</v>
      </c>
      <c r="T21" s="3">
        <f t="shared" si="17"/>
        <v>0</v>
      </c>
      <c r="U21" s="3">
        <f t="shared" si="17"/>
        <v>0</v>
      </c>
      <c r="V21" s="3">
        <f t="shared" si="18"/>
        <v>0</v>
      </c>
      <c r="W21" s="3">
        <f t="shared" si="19"/>
        <v>0</v>
      </c>
      <c r="X21" s="3">
        <f t="shared" si="19"/>
        <v>0</v>
      </c>
      <c r="Y21" s="3">
        <f t="shared" si="20"/>
        <v>0</v>
      </c>
      <c r="Z21" s="3">
        <f t="shared" si="21"/>
        <v>0</v>
      </c>
      <c r="AA21" s="3">
        <f t="shared" si="21"/>
        <v>0</v>
      </c>
      <c r="AB21" s="3">
        <f t="shared" si="22"/>
        <v>0</v>
      </c>
      <c r="AC21" s="3">
        <f t="shared" si="23"/>
        <v>0</v>
      </c>
    </row>
    <row r="22" spans="1:29" ht="13.5" hidden="1" thickBot="1">
      <c r="A22" s="170">
        <v>40725</v>
      </c>
      <c r="B22" s="3">
        <v>0</v>
      </c>
      <c r="C22" s="3">
        <v>0</v>
      </c>
      <c r="D22" s="3">
        <f t="shared" si="0"/>
        <v>0</v>
      </c>
      <c r="E22" s="3">
        <v>0</v>
      </c>
      <c r="F22" s="3">
        <v>0</v>
      </c>
      <c r="G22" s="3">
        <f t="shared" si="1"/>
        <v>0</v>
      </c>
      <c r="H22" s="3">
        <v>0</v>
      </c>
      <c r="I22" s="3">
        <v>0</v>
      </c>
      <c r="J22" s="3">
        <f t="shared" si="2"/>
        <v>0</v>
      </c>
      <c r="K22" s="3">
        <v>0</v>
      </c>
      <c r="L22" s="3">
        <v>0</v>
      </c>
      <c r="M22" s="3">
        <f t="shared" si="3"/>
        <v>0</v>
      </c>
      <c r="N22" s="3">
        <f t="shared" si="4"/>
        <v>0</v>
      </c>
      <c r="O22" s="3">
        <f t="shared" si="4"/>
        <v>0</v>
      </c>
      <c r="P22" s="3">
        <f t="shared" si="5"/>
        <v>0</v>
      </c>
      <c r="Q22" s="3">
        <f t="shared" si="15"/>
        <v>0</v>
      </c>
      <c r="R22" s="3">
        <f t="shared" si="15"/>
        <v>0</v>
      </c>
      <c r="S22" s="3">
        <f t="shared" si="16"/>
        <v>0</v>
      </c>
      <c r="T22" s="3">
        <f t="shared" si="17"/>
        <v>0</v>
      </c>
      <c r="U22" s="3">
        <f t="shared" si="17"/>
        <v>0</v>
      </c>
      <c r="V22" s="3">
        <f t="shared" si="18"/>
        <v>0</v>
      </c>
      <c r="W22" s="3">
        <f t="shared" si="19"/>
        <v>0</v>
      </c>
      <c r="X22" s="3">
        <f t="shared" si="19"/>
        <v>0</v>
      </c>
      <c r="Y22" s="3">
        <f t="shared" si="20"/>
        <v>0</v>
      </c>
      <c r="Z22" s="3">
        <f t="shared" si="21"/>
        <v>0</v>
      </c>
      <c r="AA22" s="3">
        <f t="shared" si="21"/>
        <v>0</v>
      </c>
      <c r="AB22" s="3">
        <f t="shared" si="22"/>
        <v>0</v>
      </c>
      <c r="AC22" s="3">
        <f t="shared" si="23"/>
        <v>0</v>
      </c>
    </row>
    <row r="23" spans="1:29" ht="13.5" hidden="1" thickBot="1">
      <c r="A23" s="170">
        <v>40756</v>
      </c>
      <c r="B23" s="3">
        <v>0</v>
      </c>
      <c r="C23" s="3">
        <v>0</v>
      </c>
      <c r="D23" s="3">
        <f t="shared" si="0"/>
        <v>0</v>
      </c>
      <c r="E23" s="3">
        <v>0</v>
      </c>
      <c r="F23" s="3">
        <v>0</v>
      </c>
      <c r="G23" s="3">
        <f t="shared" si="1"/>
        <v>0</v>
      </c>
      <c r="H23" s="3">
        <v>0</v>
      </c>
      <c r="I23" s="3">
        <v>0</v>
      </c>
      <c r="J23" s="3">
        <f t="shared" si="2"/>
        <v>0</v>
      </c>
      <c r="K23" s="3">
        <v>0</v>
      </c>
      <c r="L23" s="3">
        <v>0</v>
      </c>
      <c r="M23" s="3">
        <f t="shared" si="3"/>
        <v>0</v>
      </c>
      <c r="N23" s="3">
        <f t="shared" si="4"/>
        <v>0</v>
      </c>
      <c r="O23" s="3">
        <f t="shared" si="4"/>
        <v>0</v>
      </c>
      <c r="P23" s="3">
        <f t="shared" si="5"/>
        <v>0</v>
      </c>
      <c r="Q23" s="3">
        <f t="shared" si="15"/>
        <v>0</v>
      </c>
      <c r="R23" s="3">
        <f t="shared" si="15"/>
        <v>0</v>
      </c>
      <c r="S23" s="3">
        <f t="shared" si="16"/>
        <v>0</v>
      </c>
      <c r="T23" s="3">
        <f t="shared" si="17"/>
        <v>0</v>
      </c>
      <c r="U23" s="3">
        <f t="shared" si="17"/>
        <v>0</v>
      </c>
      <c r="V23" s="3">
        <f t="shared" si="18"/>
        <v>0</v>
      </c>
      <c r="W23" s="3">
        <f t="shared" si="19"/>
        <v>0</v>
      </c>
      <c r="X23" s="3">
        <f t="shared" si="19"/>
        <v>0</v>
      </c>
      <c r="Y23" s="3">
        <f t="shared" si="20"/>
        <v>0</v>
      </c>
      <c r="Z23" s="3">
        <f t="shared" si="21"/>
        <v>0</v>
      </c>
      <c r="AA23" s="3">
        <f t="shared" si="21"/>
        <v>0</v>
      </c>
      <c r="AB23" s="3">
        <f t="shared" si="22"/>
        <v>0</v>
      </c>
      <c r="AC23" s="3">
        <f t="shared" si="23"/>
        <v>0</v>
      </c>
    </row>
    <row r="24" spans="1:29" ht="13.5" hidden="1" thickBot="1">
      <c r="A24" s="170">
        <v>40787</v>
      </c>
      <c r="B24" s="3">
        <v>0</v>
      </c>
      <c r="C24" s="3">
        <v>0</v>
      </c>
      <c r="D24" s="3">
        <f t="shared" si="0"/>
        <v>0</v>
      </c>
      <c r="E24" s="3">
        <v>0</v>
      </c>
      <c r="F24" s="3">
        <v>0</v>
      </c>
      <c r="G24" s="3">
        <f t="shared" si="1"/>
        <v>0</v>
      </c>
      <c r="H24" s="3">
        <v>0</v>
      </c>
      <c r="I24" s="3">
        <v>0</v>
      </c>
      <c r="J24" s="3">
        <f t="shared" si="2"/>
        <v>0</v>
      </c>
      <c r="K24" s="3">
        <v>0</v>
      </c>
      <c r="L24" s="3">
        <v>0</v>
      </c>
      <c r="M24" s="3">
        <f t="shared" si="3"/>
        <v>0</v>
      </c>
      <c r="N24" s="3">
        <f t="shared" si="4"/>
        <v>0</v>
      </c>
      <c r="O24" s="3">
        <f t="shared" si="4"/>
        <v>0</v>
      </c>
      <c r="P24" s="3">
        <f t="shared" si="5"/>
        <v>0</v>
      </c>
      <c r="Q24" s="3">
        <f t="shared" si="15"/>
        <v>0</v>
      </c>
      <c r="R24" s="3">
        <f t="shared" si="15"/>
        <v>0</v>
      </c>
      <c r="S24" s="3">
        <f t="shared" si="16"/>
        <v>0</v>
      </c>
      <c r="T24" s="3">
        <f t="shared" si="17"/>
        <v>0</v>
      </c>
      <c r="U24" s="3">
        <f t="shared" si="17"/>
        <v>0</v>
      </c>
      <c r="V24" s="3">
        <f t="shared" si="18"/>
        <v>0</v>
      </c>
      <c r="W24" s="3">
        <f t="shared" si="19"/>
        <v>0</v>
      </c>
      <c r="X24" s="3">
        <f t="shared" si="19"/>
        <v>0</v>
      </c>
      <c r="Y24" s="3">
        <f t="shared" si="20"/>
        <v>0</v>
      </c>
      <c r="Z24" s="3">
        <f t="shared" si="21"/>
        <v>0</v>
      </c>
      <c r="AA24" s="3">
        <f t="shared" si="21"/>
        <v>0</v>
      </c>
      <c r="AB24" s="3">
        <f t="shared" si="22"/>
        <v>0</v>
      </c>
      <c r="AC24" s="3">
        <f t="shared" si="23"/>
        <v>0</v>
      </c>
    </row>
    <row r="25" spans="1:29" ht="13.5" hidden="1" thickBot="1">
      <c r="A25" s="170">
        <v>40817</v>
      </c>
      <c r="B25" s="3">
        <v>0</v>
      </c>
      <c r="C25" s="3">
        <v>0</v>
      </c>
      <c r="D25" s="3">
        <f t="shared" si="0"/>
        <v>0</v>
      </c>
      <c r="E25" s="3">
        <v>0</v>
      </c>
      <c r="F25" s="3">
        <v>0</v>
      </c>
      <c r="G25" s="3">
        <f t="shared" si="1"/>
        <v>0</v>
      </c>
      <c r="H25" s="3">
        <v>0</v>
      </c>
      <c r="I25" s="3">
        <v>0</v>
      </c>
      <c r="J25" s="3">
        <f t="shared" si="2"/>
        <v>0</v>
      </c>
      <c r="K25" s="3">
        <v>0</v>
      </c>
      <c r="L25" s="3">
        <v>0</v>
      </c>
      <c r="M25" s="3">
        <f t="shared" si="3"/>
        <v>0</v>
      </c>
      <c r="N25" s="3">
        <f t="shared" si="4"/>
        <v>0</v>
      </c>
      <c r="O25" s="3">
        <f t="shared" si="4"/>
        <v>0</v>
      </c>
      <c r="P25" s="3">
        <f t="shared" si="5"/>
        <v>0</v>
      </c>
      <c r="Q25" s="3">
        <f t="shared" si="15"/>
        <v>0</v>
      </c>
      <c r="R25" s="3">
        <f t="shared" si="15"/>
        <v>0</v>
      </c>
      <c r="S25" s="3">
        <f t="shared" si="16"/>
        <v>0</v>
      </c>
      <c r="T25" s="3">
        <f t="shared" si="17"/>
        <v>0</v>
      </c>
      <c r="U25" s="3">
        <f t="shared" si="17"/>
        <v>0</v>
      </c>
      <c r="V25" s="3">
        <f t="shared" si="18"/>
        <v>0</v>
      </c>
      <c r="W25" s="3">
        <f t="shared" si="19"/>
        <v>0</v>
      </c>
      <c r="X25" s="3">
        <f t="shared" si="19"/>
        <v>0</v>
      </c>
      <c r="Y25" s="3">
        <f t="shared" si="20"/>
        <v>0</v>
      </c>
      <c r="Z25" s="3">
        <f t="shared" si="21"/>
        <v>0</v>
      </c>
      <c r="AA25" s="3">
        <f t="shared" si="21"/>
        <v>0</v>
      </c>
      <c r="AB25" s="3">
        <f t="shared" si="22"/>
        <v>0</v>
      </c>
      <c r="AC25" s="3">
        <f t="shared" si="23"/>
        <v>0</v>
      </c>
    </row>
    <row r="26" spans="1:29" ht="13.5" hidden="1" thickBot="1">
      <c r="A26" s="170">
        <v>40848</v>
      </c>
      <c r="B26" s="3">
        <v>0</v>
      </c>
      <c r="C26" s="3">
        <v>0</v>
      </c>
      <c r="D26" s="3">
        <f t="shared" si="0"/>
        <v>0</v>
      </c>
      <c r="E26" s="3">
        <v>0</v>
      </c>
      <c r="F26" s="3">
        <v>0</v>
      </c>
      <c r="G26" s="3">
        <f t="shared" si="1"/>
        <v>0</v>
      </c>
      <c r="H26" s="3">
        <v>0</v>
      </c>
      <c r="I26" s="3">
        <v>0</v>
      </c>
      <c r="J26" s="3">
        <f t="shared" si="2"/>
        <v>0</v>
      </c>
      <c r="K26" s="3">
        <v>0</v>
      </c>
      <c r="L26" s="3">
        <v>0</v>
      </c>
      <c r="M26" s="3">
        <f t="shared" si="3"/>
        <v>0</v>
      </c>
      <c r="N26" s="3">
        <f t="shared" si="4"/>
        <v>0</v>
      </c>
      <c r="O26" s="3">
        <f t="shared" si="4"/>
        <v>0</v>
      </c>
      <c r="P26" s="3">
        <f t="shared" si="5"/>
        <v>0</v>
      </c>
      <c r="Q26" s="3">
        <f t="shared" si="15"/>
        <v>0</v>
      </c>
      <c r="R26" s="3">
        <f t="shared" si="15"/>
        <v>0</v>
      </c>
      <c r="S26" s="3">
        <f t="shared" si="16"/>
        <v>0</v>
      </c>
      <c r="T26" s="3">
        <f t="shared" si="17"/>
        <v>0</v>
      </c>
      <c r="U26" s="3">
        <f t="shared" si="17"/>
        <v>0</v>
      </c>
      <c r="V26" s="3">
        <f t="shared" si="18"/>
        <v>0</v>
      </c>
      <c r="W26" s="3">
        <f t="shared" si="19"/>
        <v>0</v>
      </c>
      <c r="X26" s="3">
        <f t="shared" si="19"/>
        <v>0</v>
      </c>
      <c r="Y26" s="3">
        <f t="shared" si="20"/>
        <v>0</v>
      </c>
      <c r="Z26" s="3">
        <f t="shared" si="21"/>
        <v>0</v>
      </c>
      <c r="AA26" s="3">
        <f t="shared" si="21"/>
        <v>0</v>
      </c>
      <c r="AB26" s="3">
        <f t="shared" si="22"/>
        <v>0</v>
      </c>
      <c r="AC26" s="3">
        <f t="shared" si="23"/>
        <v>0</v>
      </c>
    </row>
    <row r="27" spans="1:29" ht="13.5" hidden="1" thickBot="1">
      <c r="A27" s="170">
        <v>40878</v>
      </c>
      <c r="B27" s="3">
        <v>0</v>
      </c>
      <c r="C27" s="3">
        <v>0</v>
      </c>
      <c r="D27" s="3">
        <f t="shared" si="0"/>
        <v>0</v>
      </c>
      <c r="E27" s="3">
        <v>0</v>
      </c>
      <c r="F27" s="3">
        <v>0</v>
      </c>
      <c r="G27" s="3">
        <f t="shared" si="1"/>
        <v>0</v>
      </c>
      <c r="H27" s="3">
        <v>0</v>
      </c>
      <c r="I27" s="3">
        <v>0</v>
      </c>
      <c r="J27" s="3">
        <f t="shared" si="2"/>
        <v>0</v>
      </c>
      <c r="K27" s="3">
        <v>0</v>
      </c>
      <c r="L27" s="3">
        <v>0</v>
      </c>
      <c r="M27" s="3">
        <f t="shared" si="3"/>
        <v>0</v>
      </c>
      <c r="N27" s="3">
        <f t="shared" si="4"/>
        <v>0</v>
      </c>
      <c r="O27" s="3">
        <f t="shared" si="4"/>
        <v>0</v>
      </c>
      <c r="P27" s="3">
        <f t="shared" si="5"/>
        <v>0</v>
      </c>
      <c r="Q27" s="3">
        <f t="shared" si="15"/>
        <v>0</v>
      </c>
      <c r="R27" s="3">
        <f t="shared" si="15"/>
        <v>0</v>
      </c>
      <c r="S27" s="3">
        <f t="shared" si="16"/>
        <v>0</v>
      </c>
      <c r="T27" s="3">
        <f t="shared" si="17"/>
        <v>0</v>
      </c>
      <c r="U27" s="3">
        <f t="shared" si="17"/>
        <v>0</v>
      </c>
      <c r="V27" s="3">
        <f t="shared" si="18"/>
        <v>0</v>
      </c>
      <c r="W27" s="3">
        <f t="shared" si="19"/>
        <v>0</v>
      </c>
      <c r="X27" s="3">
        <f t="shared" si="19"/>
        <v>0</v>
      </c>
      <c r="Y27" s="3">
        <f t="shared" si="20"/>
        <v>0</v>
      </c>
      <c r="Z27" s="3">
        <f t="shared" si="21"/>
        <v>0</v>
      </c>
      <c r="AA27" s="3">
        <f t="shared" si="21"/>
        <v>0</v>
      </c>
      <c r="AB27" s="3">
        <f t="shared" si="22"/>
        <v>0</v>
      </c>
      <c r="AC27" s="3">
        <f t="shared" si="23"/>
        <v>0</v>
      </c>
    </row>
    <row r="28" spans="1:29" ht="13.5" hidden="1" thickBot="1">
      <c r="A28" s="171">
        <v>40909</v>
      </c>
      <c r="B28" s="104">
        <v>0</v>
      </c>
      <c r="C28" s="104">
        <v>0</v>
      </c>
      <c r="D28" s="104">
        <f t="shared" si="0"/>
        <v>0</v>
      </c>
      <c r="E28" s="104">
        <v>0</v>
      </c>
      <c r="F28" s="104">
        <v>0</v>
      </c>
      <c r="G28" s="104">
        <f t="shared" si="1"/>
        <v>0</v>
      </c>
      <c r="H28" s="104">
        <v>0</v>
      </c>
      <c r="I28" s="104">
        <v>0</v>
      </c>
      <c r="J28" s="104">
        <f t="shared" si="2"/>
        <v>0</v>
      </c>
      <c r="K28" s="104">
        <v>0</v>
      </c>
      <c r="L28" s="104">
        <v>0</v>
      </c>
      <c r="M28" s="104">
        <f t="shared" si="3"/>
        <v>0</v>
      </c>
      <c r="N28" s="104">
        <f t="shared" si="4"/>
        <v>0</v>
      </c>
      <c r="O28" s="104">
        <f t="shared" si="4"/>
        <v>0</v>
      </c>
      <c r="P28" s="104">
        <f t="shared" si="5"/>
        <v>0</v>
      </c>
      <c r="Q28" s="104">
        <f>B28</f>
        <v>0</v>
      </c>
      <c r="R28" s="104">
        <f>C28</f>
        <v>0</v>
      </c>
      <c r="S28" s="104">
        <f>R28+Q28</f>
        <v>0</v>
      </c>
      <c r="T28" s="104">
        <f>E28</f>
        <v>0</v>
      </c>
      <c r="U28" s="104">
        <f>F28</f>
        <v>0</v>
      </c>
      <c r="V28" s="104">
        <f>U28+T28</f>
        <v>0</v>
      </c>
      <c r="W28" s="104">
        <f>H28</f>
        <v>0</v>
      </c>
      <c r="X28" s="104">
        <f>I28</f>
        <v>0</v>
      </c>
      <c r="Y28" s="104">
        <f>X28+W28</f>
        <v>0</v>
      </c>
      <c r="Z28" s="104">
        <f>K28</f>
        <v>0</v>
      </c>
      <c r="AA28" s="104">
        <f>L28</f>
        <v>0</v>
      </c>
      <c r="AB28" s="104">
        <f>AA28+Z28</f>
        <v>0</v>
      </c>
      <c r="AC28" s="104">
        <f>AB28+Y28+V28+S28</f>
        <v>0</v>
      </c>
    </row>
    <row r="29" spans="1:29" ht="13.5" hidden="1" thickBot="1">
      <c r="A29" s="170">
        <v>40940</v>
      </c>
      <c r="B29" s="3">
        <v>0</v>
      </c>
      <c r="C29" s="3">
        <v>0</v>
      </c>
      <c r="D29" s="3">
        <f t="shared" si="0"/>
        <v>0</v>
      </c>
      <c r="E29" s="3">
        <v>0</v>
      </c>
      <c r="F29" s="3">
        <v>0</v>
      </c>
      <c r="G29" s="3">
        <f t="shared" si="1"/>
        <v>0</v>
      </c>
      <c r="H29" s="3">
        <v>0</v>
      </c>
      <c r="I29" s="3">
        <v>0</v>
      </c>
      <c r="J29" s="3">
        <f t="shared" si="2"/>
        <v>0</v>
      </c>
      <c r="K29" s="3">
        <v>0</v>
      </c>
      <c r="L29" s="3">
        <v>0</v>
      </c>
      <c r="M29" s="3">
        <f t="shared" si="3"/>
        <v>0</v>
      </c>
      <c r="N29" s="3">
        <f t="shared" si="4"/>
        <v>0</v>
      </c>
      <c r="O29" s="3">
        <f t="shared" si="4"/>
        <v>0</v>
      </c>
      <c r="P29" s="3">
        <f t="shared" si="5"/>
        <v>0</v>
      </c>
      <c r="Q29" s="3">
        <f t="shared" ref="Q29:R39" si="24">Q28+B29</f>
        <v>0</v>
      </c>
      <c r="R29" s="3">
        <f t="shared" si="24"/>
        <v>0</v>
      </c>
      <c r="S29" s="3">
        <f t="shared" ref="S29:S39" si="25">R29+Q29</f>
        <v>0</v>
      </c>
      <c r="T29" s="3">
        <f t="shared" ref="T29:U39" si="26">T28+E29</f>
        <v>0</v>
      </c>
      <c r="U29" s="3">
        <f t="shared" si="26"/>
        <v>0</v>
      </c>
      <c r="V29" s="3">
        <f t="shared" ref="V29:V39" si="27">U29+T29</f>
        <v>0</v>
      </c>
      <c r="W29" s="3">
        <f t="shared" ref="W29:X39" si="28">W28+H29</f>
        <v>0</v>
      </c>
      <c r="X29" s="3">
        <f t="shared" si="28"/>
        <v>0</v>
      </c>
      <c r="Y29" s="3">
        <f t="shared" ref="Y29:Y39" si="29">X29+W29</f>
        <v>0</v>
      </c>
      <c r="Z29" s="3">
        <f t="shared" ref="Z29:AA39" si="30">Z28+K29</f>
        <v>0</v>
      </c>
      <c r="AA29" s="3">
        <f t="shared" si="30"/>
        <v>0</v>
      </c>
      <c r="AB29" s="3">
        <f t="shared" ref="AB29:AB39" si="31">AA29+Z29</f>
        <v>0</v>
      </c>
      <c r="AC29" s="3">
        <f t="shared" ref="AC29:AC39" si="32">AB29+Y29+V29+S29</f>
        <v>0</v>
      </c>
    </row>
    <row r="30" spans="1:29" ht="13.5" hidden="1" thickBot="1">
      <c r="A30" s="170">
        <v>40969</v>
      </c>
      <c r="B30" s="3">
        <v>0</v>
      </c>
      <c r="C30" s="3">
        <v>0</v>
      </c>
      <c r="D30" s="3">
        <f t="shared" si="0"/>
        <v>0</v>
      </c>
      <c r="E30" s="3">
        <v>0</v>
      </c>
      <c r="F30" s="3">
        <v>0</v>
      </c>
      <c r="G30" s="3">
        <f t="shared" si="1"/>
        <v>0</v>
      </c>
      <c r="H30" s="3">
        <v>0</v>
      </c>
      <c r="I30" s="3">
        <v>0</v>
      </c>
      <c r="J30" s="3">
        <f t="shared" si="2"/>
        <v>0</v>
      </c>
      <c r="K30" s="3">
        <v>0</v>
      </c>
      <c r="L30" s="3">
        <v>0</v>
      </c>
      <c r="M30" s="3">
        <f t="shared" si="3"/>
        <v>0</v>
      </c>
      <c r="N30" s="3">
        <f t="shared" si="4"/>
        <v>0</v>
      </c>
      <c r="O30" s="3">
        <f t="shared" si="4"/>
        <v>0</v>
      </c>
      <c r="P30" s="3">
        <f t="shared" si="5"/>
        <v>0</v>
      </c>
      <c r="Q30" s="3">
        <f t="shared" si="24"/>
        <v>0</v>
      </c>
      <c r="R30" s="3">
        <f t="shared" si="24"/>
        <v>0</v>
      </c>
      <c r="S30" s="3">
        <f t="shared" si="25"/>
        <v>0</v>
      </c>
      <c r="T30" s="3">
        <f t="shared" si="26"/>
        <v>0</v>
      </c>
      <c r="U30" s="3">
        <f t="shared" si="26"/>
        <v>0</v>
      </c>
      <c r="V30" s="3">
        <f t="shared" si="27"/>
        <v>0</v>
      </c>
      <c r="W30" s="3">
        <f t="shared" si="28"/>
        <v>0</v>
      </c>
      <c r="X30" s="3">
        <f t="shared" si="28"/>
        <v>0</v>
      </c>
      <c r="Y30" s="3">
        <f t="shared" si="29"/>
        <v>0</v>
      </c>
      <c r="Z30" s="3">
        <f t="shared" si="30"/>
        <v>0</v>
      </c>
      <c r="AA30" s="3">
        <f t="shared" si="30"/>
        <v>0</v>
      </c>
      <c r="AB30" s="3">
        <f t="shared" si="31"/>
        <v>0</v>
      </c>
      <c r="AC30" s="3">
        <f t="shared" si="32"/>
        <v>0</v>
      </c>
    </row>
    <row r="31" spans="1:29" ht="13.5" hidden="1" thickBot="1">
      <c r="A31" s="170">
        <v>41000</v>
      </c>
      <c r="B31" s="3">
        <v>20069</v>
      </c>
      <c r="C31" s="3">
        <v>0</v>
      </c>
      <c r="D31" s="3">
        <f t="shared" si="0"/>
        <v>20069</v>
      </c>
      <c r="E31" s="3">
        <v>0</v>
      </c>
      <c r="F31" s="3">
        <v>0</v>
      </c>
      <c r="G31" s="3">
        <f t="shared" si="1"/>
        <v>0</v>
      </c>
      <c r="H31" s="3">
        <v>0</v>
      </c>
      <c r="I31" s="3">
        <v>0</v>
      </c>
      <c r="J31" s="3">
        <f t="shared" si="2"/>
        <v>0</v>
      </c>
      <c r="K31" s="3">
        <v>0</v>
      </c>
      <c r="L31" s="3">
        <v>0</v>
      </c>
      <c r="M31" s="3">
        <f t="shared" si="3"/>
        <v>0</v>
      </c>
      <c r="N31" s="3">
        <f t="shared" si="4"/>
        <v>20069</v>
      </c>
      <c r="O31" s="3">
        <f t="shared" si="4"/>
        <v>0</v>
      </c>
      <c r="P31" s="3">
        <f t="shared" si="5"/>
        <v>20069</v>
      </c>
      <c r="Q31" s="3">
        <f t="shared" si="24"/>
        <v>20069</v>
      </c>
      <c r="R31" s="3">
        <f t="shared" si="24"/>
        <v>0</v>
      </c>
      <c r="S31" s="3">
        <f t="shared" si="25"/>
        <v>20069</v>
      </c>
      <c r="T31" s="3">
        <f t="shared" si="26"/>
        <v>0</v>
      </c>
      <c r="U31" s="3">
        <f t="shared" si="26"/>
        <v>0</v>
      </c>
      <c r="V31" s="3">
        <f t="shared" si="27"/>
        <v>0</v>
      </c>
      <c r="W31" s="3">
        <f t="shared" si="28"/>
        <v>0</v>
      </c>
      <c r="X31" s="3">
        <f t="shared" si="28"/>
        <v>0</v>
      </c>
      <c r="Y31" s="3">
        <f t="shared" si="29"/>
        <v>0</v>
      </c>
      <c r="Z31" s="3">
        <f t="shared" si="30"/>
        <v>0</v>
      </c>
      <c r="AA31" s="3">
        <f t="shared" si="30"/>
        <v>0</v>
      </c>
      <c r="AB31" s="3">
        <f t="shared" si="31"/>
        <v>0</v>
      </c>
      <c r="AC31" s="3">
        <f t="shared" si="32"/>
        <v>20069</v>
      </c>
    </row>
    <row r="32" spans="1:29" ht="13.5" hidden="1" thickBot="1">
      <c r="A32" s="170">
        <v>41030</v>
      </c>
      <c r="B32" s="3">
        <v>0</v>
      </c>
      <c r="C32" s="3">
        <v>0</v>
      </c>
      <c r="D32" s="3">
        <f t="shared" si="0"/>
        <v>0</v>
      </c>
      <c r="E32" s="3">
        <v>0</v>
      </c>
      <c r="F32" s="3">
        <v>0</v>
      </c>
      <c r="G32" s="3">
        <f t="shared" si="1"/>
        <v>0</v>
      </c>
      <c r="H32" s="3">
        <v>0</v>
      </c>
      <c r="I32" s="3">
        <v>0</v>
      </c>
      <c r="J32" s="3">
        <f t="shared" si="2"/>
        <v>0</v>
      </c>
      <c r="K32" s="3">
        <v>0</v>
      </c>
      <c r="L32" s="3">
        <v>0</v>
      </c>
      <c r="M32" s="3">
        <f t="shared" si="3"/>
        <v>0</v>
      </c>
      <c r="N32" s="3">
        <f t="shared" si="4"/>
        <v>0</v>
      </c>
      <c r="O32" s="3">
        <f t="shared" si="4"/>
        <v>0</v>
      </c>
      <c r="P32" s="3">
        <f t="shared" si="5"/>
        <v>0</v>
      </c>
      <c r="Q32" s="3">
        <f t="shared" si="24"/>
        <v>20069</v>
      </c>
      <c r="R32" s="3">
        <f t="shared" si="24"/>
        <v>0</v>
      </c>
      <c r="S32" s="3">
        <f t="shared" si="25"/>
        <v>20069</v>
      </c>
      <c r="T32" s="3">
        <f t="shared" si="26"/>
        <v>0</v>
      </c>
      <c r="U32" s="3">
        <f t="shared" si="26"/>
        <v>0</v>
      </c>
      <c r="V32" s="3">
        <f t="shared" si="27"/>
        <v>0</v>
      </c>
      <c r="W32" s="3">
        <f t="shared" si="28"/>
        <v>0</v>
      </c>
      <c r="X32" s="3">
        <f t="shared" si="28"/>
        <v>0</v>
      </c>
      <c r="Y32" s="3">
        <f t="shared" si="29"/>
        <v>0</v>
      </c>
      <c r="Z32" s="3">
        <f t="shared" si="30"/>
        <v>0</v>
      </c>
      <c r="AA32" s="3">
        <f t="shared" si="30"/>
        <v>0</v>
      </c>
      <c r="AB32" s="3">
        <f t="shared" si="31"/>
        <v>0</v>
      </c>
      <c r="AC32" s="3">
        <f t="shared" si="32"/>
        <v>20069</v>
      </c>
    </row>
    <row r="33" spans="1:29" ht="13.5" hidden="1" thickBot="1">
      <c r="A33" s="170">
        <v>41061</v>
      </c>
      <c r="B33" s="3">
        <v>0</v>
      </c>
      <c r="C33" s="3">
        <v>0</v>
      </c>
      <c r="D33" s="3">
        <f t="shared" si="0"/>
        <v>0</v>
      </c>
      <c r="E33" s="3">
        <v>0</v>
      </c>
      <c r="F33" s="3">
        <v>0</v>
      </c>
      <c r="G33" s="3">
        <f t="shared" si="1"/>
        <v>0</v>
      </c>
      <c r="H33" s="3">
        <v>0</v>
      </c>
      <c r="I33" s="3">
        <v>0</v>
      </c>
      <c r="J33" s="3">
        <f t="shared" si="2"/>
        <v>0</v>
      </c>
      <c r="K33" s="3">
        <v>0</v>
      </c>
      <c r="L33" s="3">
        <v>0</v>
      </c>
      <c r="M33" s="3">
        <f t="shared" si="3"/>
        <v>0</v>
      </c>
      <c r="N33" s="3">
        <f t="shared" si="4"/>
        <v>0</v>
      </c>
      <c r="O33" s="3">
        <f t="shared" si="4"/>
        <v>0</v>
      </c>
      <c r="P33" s="3">
        <f t="shared" si="5"/>
        <v>0</v>
      </c>
      <c r="Q33" s="3">
        <f t="shared" si="24"/>
        <v>20069</v>
      </c>
      <c r="R33" s="3">
        <f t="shared" si="24"/>
        <v>0</v>
      </c>
      <c r="S33" s="3">
        <f t="shared" si="25"/>
        <v>20069</v>
      </c>
      <c r="T33" s="3">
        <f t="shared" si="26"/>
        <v>0</v>
      </c>
      <c r="U33" s="3">
        <f t="shared" si="26"/>
        <v>0</v>
      </c>
      <c r="V33" s="3">
        <f t="shared" si="27"/>
        <v>0</v>
      </c>
      <c r="W33" s="3">
        <f t="shared" si="28"/>
        <v>0</v>
      </c>
      <c r="X33" s="3">
        <f t="shared" si="28"/>
        <v>0</v>
      </c>
      <c r="Y33" s="3">
        <f t="shared" si="29"/>
        <v>0</v>
      </c>
      <c r="Z33" s="3">
        <f t="shared" si="30"/>
        <v>0</v>
      </c>
      <c r="AA33" s="3">
        <f t="shared" si="30"/>
        <v>0</v>
      </c>
      <c r="AB33" s="3">
        <f t="shared" si="31"/>
        <v>0</v>
      </c>
      <c r="AC33" s="3">
        <f t="shared" si="32"/>
        <v>20069</v>
      </c>
    </row>
    <row r="34" spans="1:29" ht="13.5" hidden="1" thickBot="1">
      <c r="A34" s="170">
        <v>41091</v>
      </c>
      <c r="B34" s="3">
        <v>0</v>
      </c>
      <c r="C34" s="3">
        <v>0</v>
      </c>
      <c r="D34" s="3">
        <f t="shared" si="0"/>
        <v>0</v>
      </c>
      <c r="E34" s="3">
        <v>0</v>
      </c>
      <c r="F34" s="3">
        <v>0</v>
      </c>
      <c r="G34" s="3">
        <f t="shared" si="1"/>
        <v>0</v>
      </c>
      <c r="H34" s="3">
        <v>0</v>
      </c>
      <c r="I34" s="3">
        <v>0</v>
      </c>
      <c r="J34" s="3">
        <f t="shared" si="2"/>
        <v>0</v>
      </c>
      <c r="K34" s="3">
        <v>0</v>
      </c>
      <c r="L34" s="3">
        <v>0</v>
      </c>
      <c r="M34" s="3">
        <f t="shared" si="3"/>
        <v>0</v>
      </c>
      <c r="N34" s="3">
        <f t="shared" si="4"/>
        <v>0</v>
      </c>
      <c r="O34" s="3">
        <f t="shared" si="4"/>
        <v>0</v>
      </c>
      <c r="P34" s="3">
        <f t="shared" si="5"/>
        <v>0</v>
      </c>
      <c r="Q34" s="3">
        <f t="shared" si="24"/>
        <v>20069</v>
      </c>
      <c r="R34" s="3">
        <f t="shared" si="24"/>
        <v>0</v>
      </c>
      <c r="S34" s="3">
        <f t="shared" si="25"/>
        <v>20069</v>
      </c>
      <c r="T34" s="3">
        <f t="shared" si="26"/>
        <v>0</v>
      </c>
      <c r="U34" s="3">
        <f t="shared" si="26"/>
        <v>0</v>
      </c>
      <c r="V34" s="3">
        <f t="shared" si="27"/>
        <v>0</v>
      </c>
      <c r="W34" s="3">
        <f t="shared" si="28"/>
        <v>0</v>
      </c>
      <c r="X34" s="3">
        <f t="shared" si="28"/>
        <v>0</v>
      </c>
      <c r="Y34" s="3">
        <f t="shared" si="29"/>
        <v>0</v>
      </c>
      <c r="Z34" s="3">
        <f t="shared" si="30"/>
        <v>0</v>
      </c>
      <c r="AA34" s="3">
        <f t="shared" si="30"/>
        <v>0</v>
      </c>
      <c r="AB34" s="3">
        <f t="shared" si="31"/>
        <v>0</v>
      </c>
      <c r="AC34" s="3">
        <f t="shared" si="32"/>
        <v>20069</v>
      </c>
    </row>
    <row r="35" spans="1:29" ht="13.5" hidden="1" thickBot="1">
      <c r="A35" s="170">
        <v>41122</v>
      </c>
      <c r="B35" s="3">
        <v>0</v>
      </c>
      <c r="C35" s="3">
        <v>0</v>
      </c>
      <c r="D35" s="3">
        <f t="shared" si="0"/>
        <v>0</v>
      </c>
      <c r="E35" s="3">
        <v>0</v>
      </c>
      <c r="F35" s="3">
        <v>0</v>
      </c>
      <c r="G35" s="3">
        <f t="shared" si="1"/>
        <v>0</v>
      </c>
      <c r="H35" s="3">
        <v>0</v>
      </c>
      <c r="I35" s="3">
        <v>0</v>
      </c>
      <c r="J35" s="3">
        <f t="shared" si="2"/>
        <v>0</v>
      </c>
      <c r="K35" s="3">
        <v>0</v>
      </c>
      <c r="L35" s="3">
        <v>0</v>
      </c>
      <c r="M35" s="3">
        <f t="shared" si="3"/>
        <v>0</v>
      </c>
      <c r="N35" s="3">
        <f t="shared" si="4"/>
        <v>0</v>
      </c>
      <c r="O35" s="3">
        <f t="shared" si="4"/>
        <v>0</v>
      </c>
      <c r="P35" s="3">
        <f t="shared" si="5"/>
        <v>0</v>
      </c>
      <c r="Q35" s="3">
        <f t="shared" si="24"/>
        <v>20069</v>
      </c>
      <c r="R35" s="3">
        <f t="shared" si="24"/>
        <v>0</v>
      </c>
      <c r="S35" s="3">
        <f t="shared" si="25"/>
        <v>20069</v>
      </c>
      <c r="T35" s="3">
        <f t="shared" si="26"/>
        <v>0</v>
      </c>
      <c r="U35" s="3">
        <f t="shared" si="26"/>
        <v>0</v>
      </c>
      <c r="V35" s="3">
        <f t="shared" si="27"/>
        <v>0</v>
      </c>
      <c r="W35" s="3">
        <f t="shared" si="28"/>
        <v>0</v>
      </c>
      <c r="X35" s="3">
        <f t="shared" si="28"/>
        <v>0</v>
      </c>
      <c r="Y35" s="3">
        <f t="shared" si="29"/>
        <v>0</v>
      </c>
      <c r="Z35" s="3">
        <f t="shared" si="30"/>
        <v>0</v>
      </c>
      <c r="AA35" s="3">
        <f t="shared" si="30"/>
        <v>0</v>
      </c>
      <c r="AB35" s="3">
        <f t="shared" si="31"/>
        <v>0</v>
      </c>
      <c r="AC35" s="3">
        <f t="shared" si="32"/>
        <v>20069</v>
      </c>
    </row>
    <row r="36" spans="1:29" ht="13.5" hidden="1" thickBot="1">
      <c r="A36" s="170">
        <v>41153</v>
      </c>
      <c r="B36" s="3">
        <v>0</v>
      </c>
      <c r="C36" s="3">
        <v>0</v>
      </c>
      <c r="D36" s="3">
        <f t="shared" si="0"/>
        <v>0</v>
      </c>
      <c r="E36" s="3">
        <v>0</v>
      </c>
      <c r="F36" s="3">
        <v>0</v>
      </c>
      <c r="G36" s="3">
        <f t="shared" si="1"/>
        <v>0</v>
      </c>
      <c r="H36" s="3">
        <v>0</v>
      </c>
      <c r="I36" s="3">
        <v>0</v>
      </c>
      <c r="J36" s="3">
        <f t="shared" si="2"/>
        <v>0</v>
      </c>
      <c r="K36" s="3">
        <v>0</v>
      </c>
      <c r="L36" s="3">
        <v>0</v>
      </c>
      <c r="M36" s="3">
        <f t="shared" si="3"/>
        <v>0</v>
      </c>
      <c r="N36" s="3">
        <f t="shared" si="4"/>
        <v>0</v>
      </c>
      <c r="O36" s="3">
        <f t="shared" si="4"/>
        <v>0</v>
      </c>
      <c r="P36" s="3">
        <f t="shared" si="5"/>
        <v>0</v>
      </c>
      <c r="Q36" s="3">
        <f t="shared" si="24"/>
        <v>20069</v>
      </c>
      <c r="R36" s="3">
        <f t="shared" si="24"/>
        <v>0</v>
      </c>
      <c r="S36" s="3">
        <f t="shared" si="25"/>
        <v>20069</v>
      </c>
      <c r="T36" s="3">
        <f t="shared" si="26"/>
        <v>0</v>
      </c>
      <c r="U36" s="3">
        <f t="shared" si="26"/>
        <v>0</v>
      </c>
      <c r="V36" s="3">
        <f t="shared" si="27"/>
        <v>0</v>
      </c>
      <c r="W36" s="3">
        <f t="shared" si="28"/>
        <v>0</v>
      </c>
      <c r="X36" s="3">
        <f t="shared" si="28"/>
        <v>0</v>
      </c>
      <c r="Y36" s="3">
        <f t="shared" si="29"/>
        <v>0</v>
      </c>
      <c r="Z36" s="3">
        <f t="shared" si="30"/>
        <v>0</v>
      </c>
      <c r="AA36" s="3">
        <f t="shared" si="30"/>
        <v>0</v>
      </c>
      <c r="AB36" s="3">
        <f t="shared" si="31"/>
        <v>0</v>
      </c>
      <c r="AC36" s="3">
        <f t="shared" si="32"/>
        <v>20069</v>
      </c>
    </row>
    <row r="37" spans="1:29" ht="13.5" hidden="1" thickBot="1">
      <c r="A37" s="170">
        <v>41183</v>
      </c>
      <c r="B37" s="3">
        <v>0</v>
      </c>
      <c r="C37" s="3">
        <v>0</v>
      </c>
      <c r="D37" s="3">
        <f t="shared" si="0"/>
        <v>0</v>
      </c>
      <c r="E37" s="3">
        <v>0</v>
      </c>
      <c r="F37" s="3">
        <v>0</v>
      </c>
      <c r="G37" s="3">
        <f t="shared" si="1"/>
        <v>0</v>
      </c>
      <c r="H37" s="3">
        <v>0</v>
      </c>
      <c r="I37" s="3">
        <v>0</v>
      </c>
      <c r="J37" s="3">
        <f t="shared" si="2"/>
        <v>0</v>
      </c>
      <c r="K37" s="3">
        <v>0</v>
      </c>
      <c r="L37" s="3">
        <v>0</v>
      </c>
      <c r="M37" s="3">
        <f t="shared" si="3"/>
        <v>0</v>
      </c>
      <c r="N37" s="3">
        <f t="shared" si="4"/>
        <v>0</v>
      </c>
      <c r="O37" s="3">
        <f t="shared" si="4"/>
        <v>0</v>
      </c>
      <c r="P37" s="3">
        <f t="shared" si="5"/>
        <v>0</v>
      </c>
      <c r="Q37" s="3">
        <f t="shared" si="24"/>
        <v>20069</v>
      </c>
      <c r="R37" s="3">
        <f t="shared" si="24"/>
        <v>0</v>
      </c>
      <c r="S37" s="3">
        <f t="shared" si="25"/>
        <v>20069</v>
      </c>
      <c r="T37" s="3">
        <f t="shared" si="26"/>
        <v>0</v>
      </c>
      <c r="U37" s="3">
        <f t="shared" si="26"/>
        <v>0</v>
      </c>
      <c r="V37" s="3">
        <f t="shared" si="27"/>
        <v>0</v>
      </c>
      <c r="W37" s="3">
        <f t="shared" si="28"/>
        <v>0</v>
      </c>
      <c r="X37" s="3">
        <f t="shared" si="28"/>
        <v>0</v>
      </c>
      <c r="Y37" s="3">
        <f t="shared" si="29"/>
        <v>0</v>
      </c>
      <c r="Z37" s="3">
        <f t="shared" si="30"/>
        <v>0</v>
      </c>
      <c r="AA37" s="3">
        <f t="shared" si="30"/>
        <v>0</v>
      </c>
      <c r="AB37" s="3">
        <f t="shared" si="31"/>
        <v>0</v>
      </c>
      <c r="AC37" s="3">
        <f t="shared" si="32"/>
        <v>20069</v>
      </c>
    </row>
    <row r="38" spans="1:29" ht="13.5" hidden="1" thickBot="1">
      <c r="A38" s="170">
        <v>41214</v>
      </c>
      <c r="B38" s="3">
        <v>0</v>
      </c>
      <c r="C38" s="3">
        <v>0</v>
      </c>
      <c r="D38" s="3">
        <f t="shared" si="0"/>
        <v>0</v>
      </c>
      <c r="E38" s="3">
        <v>0</v>
      </c>
      <c r="F38" s="3">
        <v>0</v>
      </c>
      <c r="G38" s="3">
        <f t="shared" si="1"/>
        <v>0</v>
      </c>
      <c r="H38" s="3">
        <v>0</v>
      </c>
      <c r="I38" s="3">
        <v>0</v>
      </c>
      <c r="J38" s="3">
        <f t="shared" si="2"/>
        <v>0</v>
      </c>
      <c r="K38" s="3">
        <v>0</v>
      </c>
      <c r="L38" s="3">
        <v>0</v>
      </c>
      <c r="M38" s="3">
        <f t="shared" si="3"/>
        <v>0</v>
      </c>
      <c r="N38" s="3">
        <f t="shared" si="4"/>
        <v>0</v>
      </c>
      <c r="O38" s="3">
        <f t="shared" si="4"/>
        <v>0</v>
      </c>
      <c r="P38" s="3">
        <f t="shared" si="5"/>
        <v>0</v>
      </c>
      <c r="Q38" s="3">
        <f t="shared" si="24"/>
        <v>20069</v>
      </c>
      <c r="R38" s="3">
        <f t="shared" si="24"/>
        <v>0</v>
      </c>
      <c r="S38" s="3">
        <f t="shared" si="25"/>
        <v>20069</v>
      </c>
      <c r="T38" s="3">
        <f t="shared" si="26"/>
        <v>0</v>
      </c>
      <c r="U38" s="3">
        <f t="shared" si="26"/>
        <v>0</v>
      </c>
      <c r="V38" s="3">
        <f t="shared" si="27"/>
        <v>0</v>
      </c>
      <c r="W38" s="3">
        <f t="shared" si="28"/>
        <v>0</v>
      </c>
      <c r="X38" s="3">
        <f t="shared" si="28"/>
        <v>0</v>
      </c>
      <c r="Y38" s="3">
        <f t="shared" si="29"/>
        <v>0</v>
      </c>
      <c r="Z38" s="3">
        <f t="shared" si="30"/>
        <v>0</v>
      </c>
      <c r="AA38" s="3">
        <f t="shared" si="30"/>
        <v>0</v>
      </c>
      <c r="AB38" s="3">
        <f t="shared" si="31"/>
        <v>0</v>
      </c>
      <c r="AC38" s="3">
        <f t="shared" si="32"/>
        <v>20069</v>
      </c>
    </row>
    <row r="39" spans="1:29" ht="13.5" hidden="1" thickBot="1">
      <c r="A39" s="170">
        <v>41244</v>
      </c>
      <c r="B39" s="3">
        <v>0</v>
      </c>
      <c r="C39" s="3">
        <v>0</v>
      </c>
      <c r="D39" s="3">
        <f t="shared" si="0"/>
        <v>0</v>
      </c>
      <c r="E39" s="3">
        <v>0</v>
      </c>
      <c r="F39" s="3">
        <v>0</v>
      </c>
      <c r="G39" s="3">
        <f t="shared" si="1"/>
        <v>0</v>
      </c>
      <c r="H39" s="3">
        <v>0</v>
      </c>
      <c r="I39" s="3">
        <v>0</v>
      </c>
      <c r="J39" s="3">
        <f t="shared" si="2"/>
        <v>0</v>
      </c>
      <c r="K39" s="3">
        <v>0</v>
      </c>
      <c r="L39" s="3">
        <v>0</v>
      </c>
      <c r="M39" s="3">
        <f t="shared" si="3"/>
        <v>0</v>
      </c>
      <c r="N39" s="3">
        <f t="shared" si="4"/>
        <v>0</v>
      </c>
      <c r="O39" s="3">
        <f t="shared" si="4"/>
        <v>0</v>
      </c>
      <c r="P39" s="3">
        <f t="shared" si="5"/>
        <v>0</v>
      </c>
      <c r="Q39" s="3">
        <f t="shared" si="24"/>
        <v>20069</v>
      </c>
      <c r="R39" s="3">
        <f t="shared" si="24"/>
        <v>0</v>
      </c>
      <c r="S39" s="3">
        <f t="shared" si="25"/>
        <v>20069</v>
      </c>
      <c r="T39" s="3">
        <f t="shared" si="26"/>
        <v>0</v>
      </c>
      <c r="U39" s="3">
        <f t="shared" si="26"/>
        <v>0</v>
      </c>
      <c r="V39" s="3">
        <f t="shared" si="27"/>
        <v>0</v>
      </c>
      <c r="W39" s="3">
        <f t="shared" si="28"/>
        <v>0</v>
      </c>
      <c r="X39" s="3">
        <f t="shared" si="28"/>
        <v>0</v>
      </c>
      <c r="Y39" s="3">
        <f t="shared" si="29"/>
        <v>0</v>
      </c>
      <c r="Z39" s="3">
        <f t="shared" si="30"/>
        <v>0</v>
      </c>
      <c r="AA39" s="3">
        <f t="shared" si="30"/>
        <v>0</v>
      </c>
      <c r="AB39" s="3">
        <f t="shared" si="31"/>
        <v>0</v>
      </c>
      <c r="AC39" s="3">
        <f t="shared" si="32"/>
        <v>20069</v>
      </c>
    </row>
    <row r="40" spans="1:29" ht="13.5" hidden="1" thickBot="1">
      <c r="A40" s="171">
        <v>41275</v>
      </c>
      <c r="B40" s="104">
        <v>0</v>
      </c>
      <c r="C40" s="104">
        <v>0</v>
      </c>
      <c r="D40" s="104">
        <f t="shared" si="0"/>
        <v>0</v>
      </c>
      <c r="E40" s="104">
        <v>0</v>
      </c>
      <c r="F40" s="104">
        <v>0</v>
      </c>
      <c r="G40" s="104">
        <f t="shared" si="1"/>
        <v>0</v>
      </c>
      <c r="H40" s="104">
        <v>0</v>
      </c>
      <c r="I40" s="104">
        <v>0</v>
      </c>
      <c r="J40" s="104">
        <f t="shared" si="2"/>
        <v>0</v>
      </c>
      <c r="K40" s="104">
        <v>0</v>
      </c>
      <c r="L40" s="104">
        <v>0</v>
      </c>
      <c r="M40" s="104">
        <f t="shared" si="3"/>
        <v>0</v>
      </c>
      <c r="N40" s="104">
        <f t="shared" si="4"/>
        <v>0</v>
      </c>
      <c r="O40" s="104">
        <f t="shared" si="4"/>
        <v>0</v>
      </c>
      <c r="P40" s="104">
        <f t="shared" si="5"/>
        <v>0</v>
      </c>
      <c r="Q40" s="104">
        <f>B40</f>
        <v>0</v>
      </c>
      <c r="R40" s="104">
        <f>C40</f>
        <v>0</v>
      </c>
      <c r="S40" s="104">
        <f>R40+Q40</f>
        <v>0</v>
      </c>
      <c r="T40" s="104">
        <f>E40</f>
        <v>0</v>
      </c>
      <c r="U40" s="104">
        <f>F40</f>
        <v>0</v>
      </c>
      <c r="V40" s="104">
        <f>U40+T40</f>
        <v>0</v>
      </c>
      <c r="W40" s="104">
        <f>H40</f>
        <v>0</v>
      </c>
      <c r="X40" s="104">
        <f>I40</f>
        <v>0</v>
      </c>
      <c r="Y40" s="104">
        <f>X40+W40</f>
        <v>0</v>
      </c>
      <c r="Z40" s="104">
        <f>K40</f>
        <v>0</v>
      </c>
      <c r="AA40" s="104">
        <f>L40</f>
        <v>0</v>
      </c>
      <c r="AB40" s="104">
        <f>AA40+Z40</f>
        <v>0</v>
      </c>
      <c r="AC40" s="104">
        <f>AB40+Y40+V40+S40</f>
        <v>0</v>
      </c>
    </row>
    <row r="41" spans="1:29" ht="13.5" hidden="1" thickBot="1">
      <c r="A41" s="170">
        <v>41306</v>
      </c>
      <c r="B41" s="3">
        <v>0</v>
      </c>
      <c r="C41" s="3">
        <v>0</v>
      </c>
      <c r="D41" s="3">
        <f t="shared" si="0"/>
        <v>0</v>
      </c>
      <c r="E41" s="3">
        <v>0</v>
      </c>
      <c r="F41" s="3">
        <v>0</v>
      </c>
      <c r="G41" s="3">
        <f t="shared" si="1"/>
        <v>0</v>
      </c>
      <c r="H41" s="3">
        <v>0</v>
      </c>
      <c r="I41" s="3">
        <v>0</v>
      </c>
      <c r="J41" s="3">
        <f t="shared" si="2"/>
        <v>0</v>
      </c>
      <c r="K41" s="3">
        <v>0</v>
      </c>
      <c r="L41" s="3">
        <v>0</v>
      </c>
      <c r="M41" s="3">
        <f t="shared" si="3"/>
        <v>0</v>
      </c>
      <c r="N41" s="3">
        <f t="shared" si="4"/>
        <v>0</v>
      </c>
      <c r="O41" s="3">
        <f t="shared" si="4"/>
        <v>0</v>
      </c>
      <c r="P41" s="3">
        <f t="shared" si="5"/>
        <v>0</v>
      </c>
      <c r="Q41" s="3">
        <f t="shared" ref="Q41:R51" si="33">Q40+B41</f>
        <v>0</v>
      </c>
      <c r="R41" s="3">
        <f t="shared" si="33"/>
        <v>0</v>
      </c>
      <c r="S41" s="3">
        <f t="shared" ref="S41:S51" si="34">R41+Q41</f>
        <v>0</v>
      </c>
      <c r="T41" s="3">
        <f t="shared" ref="T41:U51" si="35">T40+E41</f>
        <v>0</v>
      </c>
      <c r="U41" s="3">
        <f t="shared" si="35"/>
        <v>0</v>
      </c>
      <c r="V41" s="3">
        <f t="shared" ref="V41:V51" si="36">U41+T41</f>
        <v>0</v>
      </c>
      <c r="W41" s="3">
        <f t="shared" ref="W41:X51" si="37">W40+H41</f>
        <v>0</v>
      </c>
      <c r="X41" s="3">
        <f t="shared" si="37"/>
        <v>0</v>
      </c>
      <c r="Y41" s="3">
        <f t="shared" ref="Y41:Y51" si="38">X41+W41</f>
        <v>0</v>
      </c>
      <c r="Z41" s="3">
        <f t="shared" ref="Z41:AA51" si="39">Z40+K41</f>
        <v>0</v>
      </c>
      <c r="AA41" s="3">
        <f t="shared" si="39"/>
        <v>0</v>
      </c>
      <c r="AB41" s="3">
        <f t="shared" ref="AB41:AB51" si="40">AA41+Z41</f>
        <v>0</v>
      </c>
      <c r="AC41" s="3">
        <f t="shared" ref="AC41:AC51" si="41">AB41+Y41+V41+S41</f>
        <v>0</v>
      </c>
    </row>
    <row r="42" spans="1:29" ht="13.5" hidden="1" thickBot="1">
      <c r="A42" s="170">
        <v>41334</v>
      </c>
      <c r="B42" s="3">
        <v>0</v>
      </c>
      <c r="C42" s="3">
        <v>0</v>
      </c>
      <c r="D42" s="3">
        <f t="shared" si="0"/>
        <v>0</v>
      </c>
      <c r="E42" s="3">
        <v>0</v>
      </c>
      <c r="F42" s="3">
        <v>0</v>
      </c>
      <c r="G42" s="3">
        <f t="shared" si="1"/>
        <v>0</v>
      </c>
      <c r="H42" s="3">
        <v>0</v>
      </c>
      <c r="I42" s="3">
        <v>0</v>
      </c>
      <c r="J42" s="3">
        <f t="shared" si="2"/>
        <v>0</v>
      </c>
      <c r="K42" s="3">
        <v>0</v>
      </c>
      <c r="L42" s="3">
        <v>0</v>
      </c>
      <c r="M42" s="3">
        <f t="shared" si="3"/>
        <v>0</v>
      </c>
      <c r="N42" s="3">
        <f t="shared" si="4"/>
        <v>0</v>
      </c>
      <c r="O42" s="3">
        <f t="shared" si="4"/>
        <v>0</v>
      </c>
      <c r="P42" s="3">
        <f t="shared" si="5"/>
        <v>0</v>
      </c>
      <c r="Q42" s="3">
        <f t="shared" si="33"/>
        <v>0</v>
      </c>
      <c r="R42" s="3">
        <f t="shared" si="33"/>
        <v>0</v>
      </c>
      <c r="S42" s="3">
        <f t="shared" si="34"/>
        <v>0</v>
      </c>
      <c r="T42" s="3">
        <f t="shared" si="35"/>
        <v>0</v>
      </c>
      <c r="U42" s="3">
        <f t="shared" si="35"/>
        <v>0</v>
      </c>
      <c r="V42" s="3">
        <f t="shared" si="36"/>
        <v>0</v>
      </c>
      <c r="W42" s="3">
        <f t="shared" si="37"/>
        <v>0</v>
      </c>
      <c r="X42" s="3">
        <f t="shared" si="37"/>
        <v>0</v>
      </c>
      <c r="Y42" s="3">
        <f t="shared" si="38"/>
        <v>0</v>
      </c>
      <c r="Z42" s="3">
        <f t="shared" si="39"/>
        <v>0</v>
      </c>
      <c r="AA42" s="3">
        <f t="shared" si="39"/>
        <v>0</v>
      </c>
      <c r="AB42" s="3">
        <f t="shared" si="40"/>
        <v>0</v>
      </c>
      <c r="AC42" s="3">
        <f t="shared" si="41"/>
        <v>0</v>
      </c>
    </row>
    <row r="43" spans="1:29" ht="13.5" hidden="1" thickBot="1">
      <c r="A43" s="170">
        <v>41365</v>
      </c>
      <c r="B43" s="3">
        <v>0</v>
      </c>
      <c r="C43" s="3">
        <v>0</v>
      </c>
      <c r="D43" s="3">
        <f t="shared" si="0"/>
        <v>0</v>
      </c>
      <c r="E43" s="3">
        <v>0</v>
      </c>
      <c r="F43" s="3">
        <v>0</v>
      </c>
      <c r="G43" s="3">
        <f t="shared" si="1"/>
        <v>0</v>
      </c>
      <c r="H43" s="3">
        <v>0</v>
      </c>
      <c r="I43" s="3">
        <v>0</v>
      </c>
      <c r="J43" s="3">
        <f t="shared" si="2"/>
        <v>0</v>
      </c>
      <c r="K43" s="3">
        <v>0</v>
      </c>
      <c r="L43" s="3">
        <v>0</v>
      </c>
      <c r="M43" s="3">
        <f t="shared" si="3"/>
        <v>0</v>
      </c>
      <c r="N43" s="3">
        <f t="shared" si="4"/>
        <v>0</v>
      </c>
      <c r="O43" s="3">
        <f t="shared" si="4"/>
        <v>0</v>
      </c>
      <c r="P43" s="3">
        <f t="shared" si="5"/>
        <v>0</v>
      </c>
      <c r="Q43" s="3">
        <f t="shared" si="33"/>
        <v>0</v>
      </c>
      <c r="R43" s="3">
        <f t="shared" si="33"/>
        <v>0</v>
      </c>
      <c r="S43" s="3">
        <f t="shared" si="34"/>
        <v>0</v>
      </c>
      <c r="T43" s="3">
        <f t="shared" si="35"/>
        <v>0</v>
      </c>
      <c r="U43" s="3">
        <f t="shared" si="35"/>
        <v>0</v>
      </c>
      <c r="V43" s="3">
        <f t="shared" si="36"/>
        <v>0</v>
      </c>
      <c r="W43" s="3">
        <f t="shared" si="37"/>
        <v>0</v>
      </c>
      <c r="X43" s="3">
        <f t="shared" si="37"/>
        <v>0</v>
      </c>
      <c r="Y43" s="3">
        <f t="shared" si="38"/>
        <v>0</v>
      </c>
      <c r="Z43" s="3">
        <f t="shared" si="39"/>
        <v>0</v>
      </c>
      <c r="AA43" s="3">
        <f t="shared" si="39"/>
        <v>0</v>
      </c>
      <c r="AB43" s="3">
        <f t="shared" si="40"/>
        <v>0</v>
      </c>
      <c r="AC43" s="3">
        <f t="shared" si="41"/>
        <v>0</v>
      </c>
    </row>
    <row r="44" spans="1:29" ht="13.5" hidden="1" thickBot="1">
      <c r="A44" s="170">
        <v>41395</v>
      </c>
      <c r="B44" s="3">
        <v>0</v>
      </c>
      <c r="C44" s="3">
        <v>0</v>
      </c>
      <c r="D44" s="3">
        <f t="shared" si="0"/>
        <v>0</v>
      </c>
      <c r="E44" s="3">
        <v>0</v>
      </c>
      <c r="F44" s="3">
        <v>0</v>
      </c>
      <c r="G44" s="3">
        <f t="shared" si="1"/>
        <v>0</v>
      </c>
      <c r="H44" s="3">
        <v>0</v>
      </c>
      <c r="I44" s="3">
        <v>0</v>
      </c>
      <c r="J44" s="3">
        <f t="shared" si="2"/>
        <v>0</v>
      </c>
      <c r="K44" s="3">
        <v>0</v>
      </c>
      <c r="L44" s="3">
        <v>0</v>
      </c>
      <c r="M44" s="3">
        <f t="shared" si="3"/>
        <v>0</v>
      </c>
      <c r="N44" s="3">
        <f t="shared" si="4"/>
        <v>0</v>
      </c>
      <c r="O44" s="3">
        <f t="shared" si="4"/>
        <v>0</v>
      </c>
      <c r="P44" s="3">
        <f t="shared" si="5"/>
        <v>0</v>
      </c>
      <c r="Q44" s="3">
        <f t="shared" si="33"/>
        <v>0</v>
      </c>
      <c r="R44" s="3">
        <f t="shared" si="33"/>
        <v>0</v>
      </c>
      <c r="S44" s="3">
        <f t="shared" si="34"/>
        <v>0</v>
      </c>
      <c r="T44" s="3">
        <f t="shared" si="35"/>
        <v>0</v>
      </c>
      <c r="U44" s="3">
        <f t="shared" si="35"/>
        <v>0</v>
      </c>
      <c r="V44" s="3">
        <f t="shared" si="36"/>
        <v>0</v>
      </c>
      <c r="W44" s="3">
        <f t="shared" si="37"/>
        <v>0</v>
      </c>
      <c r="X44" s="3">
        <f t="shared" si="37"/>
        <v>0</v>
      </c>
      <c r="Y44" s="3">
        <f t="shared" si="38"/>
        <v>0</v>
      </c>
      <c r="Z44" s="3">
        <f t="shared" si="39"/>
        <v>0</v>
      </c>
      <c r="AA44" s="3">
        <f t="shared" si="39"/>
        <v>0</v>
      </c>
      <c r="AB44" s="3">
        <f t="shared" si="40"/>
        <v>0</v>
      </c>
      <c r="AC44" s="3">
        <f t="shared" si="41"/>
        <v>0</v>
      </c>
    </row>
    <row r="45" spans="1:29" ht="13.5" hidden="1" thickBot="1">
      <c r="A45" s="170">
        <v>41426</v>
      </c>
      <c r="B45" s="3">
        <v>0</v>
      </c>
      <c r="C45" s="3">
        <v>0</v>
      </c>
      <c r="D45" s="3">
        <f t="shared" si="0"/>
        <v>0</v>
      </c>
      <c r="E45" s="3">
        <v>84580</v>
      </c>
      <c r="F45" s="3">
        <v>0</v>
      </c>
      <c r="G45" s="3">
        <f t="shared" si="1"/>
        <v>84580</v>
      </c>
      <c r="H45" s="3">
        <v>0</v>
      </c>
      <c r="I45" s="3">
        <v>0</v>
      </c>
      <c r="J45" s="3">
        <f t="shared" si="2"/>
        <v>0</v>
      </c>
      <c r="K45" s="3">
        <v>0</v>
      </c>
      <c r="L45" s="3">
        <v>0</v>
      </c>
      <c r="M45" s="3">
        <f t="shared" si="3"/>
        <v>0</v>
      </c>
      <c r="N45" s="3">
        <f t="shared" si="4"/>
        <v>84580</v>
      </c>
      <c r="O45" s="3">
        <f t="shared" si="4"/>
        <v>0</v>
      </c>
      <c r="P45" s="3">
        <f t="shared" si="5"/>
        <v>84580</v>
      </c>
      <c r="Q45" s="3">
        <f t="shared" si="33"/>
        <v>0</v>
      </c>
      <c r="R45" s="3">
        <f t="shared" si="33"/>
        <v>0</v>
      </c>
      <c r="S45" s="3">
        <f t="shared" si="34"/>
        <v>0</v>
      </c>
      <c r="T45" s="3">
        <f t="shared" si="35"/>
        <v>84580</v>
      </c>
      <c r="U45" s="3">
        <f t="shared" si="35"/>
        <v>0</v>
      </c>
      <c r="V45" s="3">
        <f t="shared" si="36"/>
        <v>84580</v>
      </c>
      <c r="W45" s="3">
        <f t="shared" si="37"/>
        <v>0</v>
      </c>
      <c r="X45" s="3">
        <f t="shared" si="37"/>
        <v>0</v>
      </c>
      <c r="Y45" s="3">
        <f t="shared" si="38"/>
        <v>0</v>
      </c>
      <c r="Z45" s="3">
        <f t="shared" si="39"/>
        <v>0</v>
      </c>
      <c r="AA45" s="3">
        <f t="shared" si="39"/>
        <v>0</v>
      </c>
      <c r="AB45" s="3">
        <f t="shared" si="40"/>
        <v>0</v>
      </c>
      <c r="AC45" s="3">
        <f t="shared" si="41"/>
        <v>84580</v>
      </c>
    </row>
    <row r="46" spans="1:29" ht="13.5" hidden="1" thickBot="1">
      <c r="A46" s="170">
        <v>41456</v>
      </c>
      <c r="B46" s="3">
        <v>0</v>
      </c>
      <c r="C46" s="3">
        <v>0</v>
      </c>
      <c r="D46" s="3">
        <f t="shared" si="0"/>
        <v>0</v>
      </c>
      <c r="E46" s="3">
        <v>56460</v>
      </c>
      <c r="F46" s="3">
        <v>0</v>
      </c>
      <c r="G46" s="3">
        <f t="shared" si="1"/>
        <v>56460</v>
      </c>
      <c r="H46" s="3">
        <v>0</v>
      </c>
      <c r="I46" s="3">
        <v>0</v>
      </c>
      <c r="J46" s="3">
        <f t="shared" si="2"/>
        <v>0</v>
      </c>
      <c r="K46" s="3">
        <v>0</v>
      </c>
      <c r="L46" s="3">
        <v>0</v>
      </c>
      <c r="M46" s="3">
        <f t="shared" si="3"/>
        <v>0</v>
      </c>
      <c r="N46" s="3">
        <f t="shared" si="4"/>
        <v>56460</v>
      </c>
      <c r="O46" s="3">
        <f t="shared" si="4"/>
        <v>0</v>
      </c>
      <c r="P46" s="3">
        <f t="shared" si="5"/>
        <v>56460</v>
      </c>
      <c r="Q46" s="3">
        <f t="shared" si="33"/>
        <v>0</v>
      </c>
      <c r="R46" s="3">
        <f t="shared" si="33"/>
        <v>0</v>
      </c>
      <c r="S46" s="3">
        <f t="shared" si="34"/>
        <v>0</v>
      </c>
      <c r="T46" s="3">
        <f t="shared" si="35"/>
        <v>141040</v>
      </c>
      <c r="U46" s="3">
        <f t="shared" si="35"/>
        <v>0</v>
      </c>
      <c r="V46" s="3">
        <f t="shared" si="36"/>
        <v>141040</v>
      </c>
      <c r="W46" s="3">
        <f t="shared" si="37"/>
        <v>0</v>
      </c>
      <c r="X46" s="3">
        <f t="shared" si="37"/>
        <v>0</v>
      </c>
      <c r="Y46" s="3">
        <f t="shared" si="38"/>
        <v>0</v>
      </c>
      <c r="Z46" s="3">
        <f t="shared" si="39"/>
        <v>0</v>
      </c>
      <c r="AA46" s="3">
        <f t="shared" si="39"/>
        <v>0</v>
      </c>
      <c r="AB46" s="3">
        <f t="shared" si="40"/>
        <v>0</v>
      </c>
      <c r="AC46" s="3">
        <f t="shared" si="41"/>
        <v>141040</v>
      </c>
    </row>
    <row r="47" spans="1:29" ht="13.5" hidden="1" thickBot="1">
      <c r="A47" s="170">
        <v>41487</v>
      </c>
      <c r="B47" s="3">
        <v>0</v>
      </c>
      <c r="C47" s="3">
        <v>0</v>
      </c>
      <c r="D47" s="3">
        <f t="shared" si="0"/>
        <v>0</v>
      </c>
      <c r="E47" s="3">
        <v>0</v>
      </c>
      <c r="F47" s="3">
        <v>0</v>
      </c>
      <c r="G47" s="3">
        <f t="shared" si="1"/>
        <v>0</v>
      </c>
      <c r="H47" s="3">
        <v>0</v>
      </c>
      <c r="I47" s="3">
        <v>0</v>
      </c>
      <c r="J47" s="3">
        <f t="shared" si="2"/>
        <v>0</v>
      </c>
      <c r="K47" s="3">
        <v>0</v>
      </c>
      <c r="L47" s="3">
        <v>0</v>
      </c>
      <c r="M47" s="3">
        <f t="shared" si="3"/>
        <v>0</v>
      </c>
      <c r="N47" s="3">
        <f t="shared" si="4"/>
        <v>0</v>
      </c>
      <c r="O47" s="3">
        <f t="shared" si="4"/>
        <v>0</v>
      </c>
      <c r="P47" s="3">
        <f t="shared" si="5"/>
        <v>0</v>
      </c>
      <c r="Q47" s="3">
        <f t="shared" si="33"/>
        <v>0</v>
      </c>
      <c r="R47" s="3">
        <f t="shared" si="33"/>
        <v>0</v>
      </c>
      <c r="S47" s="3">
        <f t="shared" si="34"/>
        <v>0</v>
      </c>
      <c r="T47" s="3">
        <f t="shared" si="35"/>
        <v>141040</v>
      </c>
      <c r="U47" s="3">
        <f t="shared" si="35"/>
        <v>0</v>
      </c>
      <c r="V47" s="3">
        <f t="shared" si="36"/>
        <v>141040</v>
      </c>
      <c r="W47" s="3">
        <f t="shared" si="37"/>
        <v>0</v>
      </c>
      <c r="X47" s="3">
        <f t="shared" si="37"/>
        <v>0</v>
      </c>
      <c r="Y47" s="3">
        <f t="shared" si="38"/>
        <v>0</v>
      </c>
      <c r="Z47" s="3">
        <f t="shared" si="39"/>
        <v>0</v>
      </c>
      <c r="AA47" s="3">
        <f t="shared" si="39"/>
        <v>0</v>
      </c>
      <c r="AB47" s="3">
        <f t="shared" si="40"/>
        <v>0</v>
      </c>
      <c r="AC47" s="3">
        <f t="shared" si="41"/>
        <v>141040</v>
      </c>
    </row>
    <row r="48" spans="1:29" ht="13.5" hidden="1" thickBot="1">
      <c r="A48" s="170">
        <v>41518</v>
      </c>
      <c r="B48" s="3">
        <v>0</v>
      </c>
      <c r="C48" s="3">
        <v>0</v>
      </c>
      <c r="D48" s="3">
        <f t="shared" si="0"/>
        <v>0</v>
      </c>
      <c r="E48" s="3">
        <v>109142</v>
      </c>
      <c r="F48" s="3">
        <v>0</v>
      </c>
      <c r="G48" s="3">
        <f t="shared" si="1"/>
        <v>109142</v>
      </c>
      <c r="H48" s="3">
        <v>0</v>
      </c>
      <c r="I48" s="3">
        <v>0</v>
      </c>
      <c r="J48" s="3">
        <f t="shared" si="2"/>
        <v>0</v>
      </c>
      <c r="K48" s="3">
        <v>0</v>
      </c>
      <c r="L48" s="3">
        <v>0</v>
      </c>
      <c r="M48" s="3">
        <f t="shared" si="3"/>
        <v>0</v>
      </c>
      <c r="N48" s="3">
        <f t="shared" si="4"/>
        <v>109142</v>
      </c>
      <c r="O48" s="3">
        <f t="shared" si="4"/>
        <v>0</v>
      </c>
      <c r="P48" s="3">
        <f t="shared" si="5"/>
        <v>109142</v>
      </c>
      <c r="Q48" s="3">
        <f t="shared" si="33"/>
        <v>0</v>
      </c>
      <c r="R48" s="3">
        <f t="shared" si="33"/>
        <v>0</v>
      </c>
      <c r="S48" s="3">
        <f t="shared" si="34"/>
        <v>0</v>
      </c>
      <c r="T48" s="3">
        <f t="shared" si="35"/>
        <v>250182</v>
      </c>
      <c r="U48" s="3">
        <f t="shared" si="35"/>
        <v>0</v>
      </c>
      <c r="V48" s="3">
        <f t="shared" si="36"/>
        <v>250182</v>
      </c>
      <c r="W48" s="3">
        <f t="shared" si="37"/>
        <v>0</v>
      </c>
      <c r="X48" s="3">
        <f t="shared" si="37"/>
        <v>0</v>
      </c>
      <c r="Y48" s="3">
        <f t="shared" si="38"/>
        <v>0</v>
      </c>
      <c r="Z48" s="3">
        <f t="shared" si="39"/>
        <v>0</v>
      </c>
      <c r="AA48" s="3">
        <f t="shared" si="39"/>
        <v>0</v>
      </c>
      <c r="AB48" s="3">
        <f t="shared" si="40"/>
        <v>0</v>
      </c>
      <c r="AC48" s="3">
        <f t="shared" si="41"/>
        <v>250182</v>
      </c>
    </row>
    <row r="49" spans="1:29" ht="13.5" hidden="1" thickBot="1">
      <c r="A49" s="170">
        <v>41548</v>
      </c>
      <c r="B49" s="3">
        <v>0</v>
      </c>
      <c r="C49" s="3">
        <v>0</v>
      </c>
      <c r="D49" s="3">
        <f t="shared" si="0"/>
        <v>0</v>
      </c>
      <c r="E49" s="3">
        <v>44372</v>
      </c>
      <c r="F49" s="3">
        <v>0</v>
      </c>
      <c r="G49" s="3">
        <f t="shared" si="1"/>
        <v>44372</v>
      </c>
      <c r="H49" s="3">
        <v>0</v>
      </c>
      <c r="I49" s="3">
        <v>0</v>
      </c>
      <c r="J49" s="3">
        <f>SUM(H49:I49)</f>
        <v>0</v>
      </c>
      <c r="K49" s="3">
        <v>0</v>
      </c>
      <c r="L49" s="3">
        <v>0</v>
      </c>
      <c r="M49" s="3">
        <f t="shared" si="3"/>
        <v>0</v>
      </c>
      <c r="N49" s="3">
        <f t="shared" si="4"/>
        <v>44372</v>
      </c>
      <c r="O49" s="3">
        <f t="shared" si="4"/>
        <v>0</v>
      </c>
      <c r="P49" s="3">
        <f t="shared" si="5"/>
        <v>44372</v>
      </c>
      <c r="Q49" s="3">
        <f t="shared" si="33"/>
        <v>0</v>
      </c>
      <c r="R49" s="3">
        <f t="shared" si="33"/>
        <v>0</v>
      </c>
      <c r="S49" s="3">
        <f t="shared" si="34"/>
        <v>0</v>
      </c>
      <c r="T49" s="3">
        <f t="shared" si="35"/>
        <v>294554</v>
      </c>
      <c r="U49" s="3">
        <f t="shared" si="35"/>
        <v>0</v>
      </c>
      <c r="V49" s="3">
        <f t="shared" si="36"/>
        <v>294554</v>
      </c>
      <c r="W49" s="3">
        <f t="shared" si="37"/>
        <v>0</v>
      </c>
      <c r="X49" s="3">
        <f t="shared" si="37"/>
        <v>0</v>
      </c>
      <c r="Y49" s="3">
        <f t="shared" si="38"/>
        <v>0</v>
      </c>
      <c r="Z49" s="3">
        <f t="shared" si="39"/>
        <v>0</v>
      </c>
      <c r="AA49" s="3">
        <f t="shared" si="39"/>
        <v>0</v>
      </c>
      <c r="AB49" s="3">
        <f t="shared" si="40"/>
        <v>0</v>
      </c>
      <c r="AC49" s="3">
        <f t="shared" si="41"/>
        <v>294554</v>
      </c>
    </row>
    <row r="50" spans="1:29" ht="13.5" hidden="1" thickBot="1">
      <c r="A50" s="170">
        <v>41579</v>
      </c>
      <c r="B50" s="3">
        <v>0</v>
      </c>
      <c r="C50" s="3">
        <v>0</v>
      </c>
      <c r="D50" s="3">
        <f t="shared" si="0"/>
        <v>0</v>
      </c>
      <c r="E50" s="3">
        <v>59119</v>
      </c>
      <c r="F50" s="3">
        <v>0</v>
      </c>
      <c r="G50" s="3">
        <f t="shared" si="1"/>
        <v>59119</v>
      </c>
      <c r="H50" s="3">
        <v>0</v>
      </c>
      <c r="I50" s="3">
        <v>0</v>
      </c>
      <c r="J50" s="3">
        <f t="shared" si="2"/>
        <v>0</v>
      </c>
      <c r="K50" s="3">
        <v>0</v>
      </c>
      <c r="L50" s="3">
        <v>0</v>
      </c>
      <c r="M50" s="3">
        <f t="shared" si="3"/>
        <v>0</v>
      </c>
      <c r="N50" s="3">
        <f t="shared" si="4"/>
        <v>59119</v>
      </c>
      <c r="O50" s="3">
        <f t="shared" si="4"/>
        <v>0</v>
      </c>
      <c r="P50" s="3">
        <f t="shared" si="5"/>
        <v>59119</v>
      </c>
      <c r="Q50" s="3">
        <f t="shared" si="33"/>
        <v>0</v>
      </c>
      <c r="R50" s="3">
        <f t="shared" si="33"/>
        <v>0</v>
      </c>
      <c r="S50" s="3">
        <f t="shared" si="34"/>
        <v>0</v>
      </c>
      <c r="T50" s="3">
        <f t="shared" si="35"/>
        <v>353673</v>
      </c>
      <c r="U50" s="3">
        <f t="shared" si="35"/>
        <v>0</v>
      </c>
      <c r="V50" s="3">
        <f t="shared" si="36"/>
        <v>353673</v>
      </c>
      <c r="W50" s="3">
        <f t="shared" si="37"/>
        <v>0</v>
      </c>
      <c r="X50" s="3">
        <f t="shared" si="37"/>
        <v>0</v>
      </c>
      <c r="Y50" s="3">
        <f t="shared" si="38"/>
        <v>0</v>
      </c>
      <c r="Z50" s="3">
        <f t="shared" si="39"/>
        <v>0</v>
      </c>
      <c r="AA50" s="3">
        <f t="shared" si="39"/>
        <v>0</v>
      </c>
      <c r="AB50" s="3">
        <f t="shared" si="40"/>
        <v>0</v>
      </c>
      <c r="AC50" s="3">
        <f t="shared" si="41"/>
        <v>353673</v>
      </c>
    </row>
    <row r="51" spans="1:29" ht="13.5" hidden="1" thickBot="1">
      <c r="A51" s="170">
        <v>41609</v>
      </c>
      <c r="B51" s="3">
        <v>0</v>
      </c>
      <c r="C51" s="3">
        <v>0</v>
      </c>
      <c r="D51" s="3">
        <f t="shared" si="0"/>
        <v>0</v>
      </c>
      <c r="E51" s="3">
        <v>69067</v>
      </c>
      <c r="F51" s="3">
        <v>0</v>
      </c>
      <c r="G51" s="3">
        <f t="shared" si="1"/>
        <v>69067</v>
      </c>
      <c r="H51" s="3">
        <v>0</v>
      </c>
      <c r="I51" s="3">
        <v>0</v>
      </c>
      <c r="J51" s="3">
        <f t="shared" si="2"/>
        <v>0</v>
      </c>
      <c r="K51" s="3">
        <v>0</v>
      </c>
      <c r="L51" s="3">
        <v>0</v>
      </c>
      <c r="M51" s="3">
        <f t="shared" si="3"/>
        <v>0</v>
      </c>
      <c r="N51" s="3">
        <f t="shared" si="4"/>
        <v>69067</v>
      </c>
      <c r="O51" s="3">
        <f t="shared" si="4"/>
        <v>0</v>
      </c>
      <c r="P51" s="3">
        <f t="shared" si="5"/>
        <v>69067</v>
      </c>
      <c r="Q51" s="3">
        <f t="shared" si="33"/>
        <v>0</v>
      </c>
      <c r="R51" s="3">
        <f t="shared" si="33"/>
        <v>0</v>
      </c>
      <c r="S51" s="3">
        <f t="shared" si="34"/>
        <v>0</v>
      </c>
      <c r="T51" s="3">
        <f t="shared" si="35"/>
        <v>422740</v>
      </c>
      <c r="U51" s="3">
        <f t="shared" si="35"/>
        <v>0</v>
      </c>
      <c r="V51" s="3">
        <f t="shared" si="36"/>
        <v>422740</v>
      </c>
      <c r="W51" s="3">
        <f t="shared" si="37"/>
        <v>0</v>
      </c>
      <c r="X51" s="3">
        <f t="shared" si="37"/>
        <v>0</v>
      </c>
      <c r="Y51" s="3">
        <f t="shared" si="38"/>
        <v>0</v>
      </c>
      <c r="Z51" s="3">
        <f t="shared" si="39"/>
        <v>0</v>
      </c>
      <c r="AA51" s="3">
        <f t="shared" si="39"/>
        <v>0</v>
      </c>
      <c r="AB51" s="3">
        <f t="shared" si="40"/>
        <v>0</v>
      </c>
      <c r="AC51" s="3">
        <f t="shared" si="41"/>
        <v>422740</v>
      </c>
    </row>
    <row r="52" spans="1:29" ht="13.5" hidden="1" thickBot="1">
      <c r="A52" s="171">
        <v>41640</v>
      </c>
      <c r="B52" s="104">
        <v>14247</v>
      </c>
      <c r="C52" s="104">
        <v>0</v>
      </c>
      <c r="D52" s="104">
        <f t="shared" si="0"/>
        <v>14247</v>
      </c>
      <c r="E52" s="104">
        <v>44168</v>
      </c>
      <c r="F52" s="104">
        <v>0</v>
      </c>
      <c r="G52" s="104">
        <f t="shared" si="1"/>
        <v>44168</v>
      </c>
      <c r="H52" s="104">
        <v>0</v>
      </c>
      <c r="I52" s="104">
        <v>0</v>
      </c>
      <c r="J52" s="104">
        <f t="shared" si="2"/>
        <v>0</v>
      </c>
      <c r="K52" s="104">
        <v>0</v>
      </c>
      <c r="L52" s="104">
        <v>0</v>
      </c>
      <c r="M52" s="104">
        <f t="shared" si="3"/>
        <v>0</v>
      </c>
      <c r="N52" s="104">
        <f t="shared" si="4"/>
        <v>58415</v>
      </c>
      <c r="O52" s="104">
        <f t="shared" si="4"/>
        <v>0</v>
      </c>
      <c r="P52" s="104">
        <f t="shared" si="5"/>
        <v>58415</v>
      </c>
      <c r="Q52" s="104">
        <f>B52</f>
        <v>14247</v>
      </c>
      <c r="R52" s="104">
        <f>C52</f>
        <v>0</v>
      </c>
      <c r="S52" s="104">
        <f>R52+Q52</f>
        <v>14247</v>
      </c>
      <c r="T52" s="104">
        <f>E52</f>
        <v>44168</v>
      </c>
      <c r="U52" s="104">
        <f>F52</f>
        <v>0</v>
      </c>
      <c r="V52" s="104">
        <f>U52+T52</f>
        <v>44168</v>
      </c>
      <c r="W52" s="104">
        <f>H52</f>
        <v>0</v>
      </c>
      <c r="X52" s="104">
        <f>I52</f>
        <v>0</v>
      </c>
      <c r="Y52" s="104">
        <f>X52+W52</f>
        <v>0</v>
      </c>
      <c r="Z52" s="104">
        <f>K52</f>
        <v>0</v>
      </c>
      <c r="AA52" s="104">
        <f>L52</f>
        <v>0</v>
      </c>
      <c r="AB52" s="104">
        <f>AA52+Z52</f>
        <v>0</v>
      </c>
      <c r="AC52" s="104">
        <f>AB52+Y52+V52+S52</f>
        <v>58415</v>
      </c>
    </row>
    <row r="53" spans="1:29" ht="13.5" hidden="1" thickBot="1">
      <c r="A53" s="170">
        <v>41671</v>
      </c>
      <c r="B53" s="3">
        <v>7072</v>
      </c>
      <c r="C53" s="3">
        <v>0</v>
      </c>
      <c r="D53" s="3">
        <f t="shared" si="0"/>
        <v>7072</v>
      </c>
      <c r="E53" s="3">
        <v>0</v>
      </c>
      <c r="F53" s="3">
        <v>0</v>
      </c>
      <c r="G53" s="3">
        <f t="shared" si="1"/>
        <v>0</v>
      </c>
      <c r="H53" s="3">
        <v>0</v>
      </c>
      <c r="I53" s="3">
        <v>0</v>
      </c>
      <c r="J53" s="3">
        <f t="shared" si="2"/>
        <v>0</v>
      </c>
      <c r="K53" s="3">
        <v>0</v>
      </c>
      <c r="L53" s="3">
        <v>0</v>
      </c>
      <c r="M53" s="3">
        <f t="shared" si="3"/>
        <v>0</v>
      </c>
      <c r="N53" s="3">
        <f t="shared" si="4"/>
        <v>7072</v>
      </c>
      <c r="O53" s="3">
        <f t="shared" si="4"/>
        <v>0</v>
      </c>
      <c r="P53" s="3">
        <f t="shared" si="5"/>
        <v>7072</v>
      </c>
      <c r="Q53" s="3">
        <f t="shared" ref="Q53:R63" si="42">Q52+B53</f>
        <v>21319</v>
      </c>
      <c r="R53" s="3">
        <f t="shared" si="42"/>
        <v>0</v>
      </c>
      <c r="S53" s="3">
        <f t="shared" ref="S53:S63" si="43">R53+Q53</f>
        <v>21319</v>
      </c>
      <c r="T53" s="3">
        <f t="shared" ref="T53:U63" si="44">T52+E53</f>
        <v>44168</v>
      </c>
      <c r="U53" s="3">
        <f t="shared" si="44"/>
        <v>0</v>
      </c>
      <c r="V53" s="3">
        <f t="shared" ref="V53:V63" si="45">U53+T53</f>
        <v>44168</v>
      </c>
      <c r="W53" s="3">
        <f t="shared" ref="W53:X63" si="46">W52+H53</f>
        <v>0</v>
      </c>
      <c r="X53" s="3">
        <f t="shared" si="46"/>
        <v>0</v>
      </c>
      <c r="Y53" s="3">
        <f t="shared" ref="Y53:Y63" si="47">X53+W53</f>
        <v>0</v>
      </c>
      <c r="Z53" s="3">
        <f t="shared" ref="Z53:AA63" si="48">Z52+K53</f>
        <v>0</v>
      </c>
      <c r="AA53" s="3">
        <f t="shared" si="48"/>
        <v>0</v>
      </c>
      <c r="AB53" s="3">
        <f t="shared" ref="AB53:AB63" si="49">AA53+Z53</f>
        <v>0</v>
      </c>
      <c r="AC53" s="3">
        <f t="shared" ref="AC53:AC63" si="50">AB53+Y53+V53+S53</f>
        <v>65487</v>
      </c>
    </row>
    <row r="54" spans="1:29" ht="13.5" hidden="1" thickBot="1">
      <c r="A54" s="170">
        <v>41699</v>
      </c>
      <c r="B54" s="3">
        <v>6624</v>
      </c>
      <c r="C54" s="3">
        <v>0</v>
      </c>
      <c r="D54" s="3">
        <f t="shared" si="0"/>
        <v>6624</v>
      </c>
      <c r="E54" s="3">
        <v>0</v>
      </c>
      <c r="F54" s="3">
        <v>0</v>
      </c>
      <c r="G54" s="3">
        <f t="shared" si="1"/>
        <v>0</v>
      </c>
      <c r="H54" s="3">
        <v>0</v>
      </c>
      <c r="I54" s="3">
        <v>0</v>
      </c>
      <c r="J54" s="3">
        <f t="shared" si="2"/>
        <v>0</v>
      </c>
      <c r="K54" s="3">
        <v>0</v>
      </c>
      <c r="L54" s="3">
        <v>0</v>
      </c>
      <c r="M54" s="3">
        <f t="shared" si="3"/>
        <v>0</v>
      </c>
      <c r="N54" s="3">
        <f t="shared" si="4"/>
        <v>6624</v>
      </c>
      <c r="O54" s="3">
        <f t="shared" si="4"/>
        <v>0</v>
      </c>
      <c r="P54" s="3">
        <f t="shared" si="5"/>
        <v>6624</v>
      </c>
      <c r="Q54" s="3">
        <f t="shared" si="42"/>
        <v>27943</v>
      </c>
      <c r="R54" s="3">
        <f t="shared" si="42"/>
        <v>0</v>
      </c>
      <c r="S54" s="3">
        <f t="shared" si="43"/>
        <v>27943</v>
      </c>
      <c r="T54" s="3">
        <f t="shared" si="44"/>
        <v>44168</v>
      </c>
      <c r="U54" s="3">
        <f t="shared" si="44"/>
        <v>0</v>
      </c>
      <c r="V54" s="3">
        <f t="shared" si="45"/>
        <v>44168</v>
      </c>
      <c r="W54" s="3">
        <f t="shared" si="46"/>
        <v>0</v>
      </c>
      <c r="X54" s="3">
        <f t="shared" si="46"/>
        <v>0</v>
      </c>
      <c r="Y54" s="3">
        <f t="shared" si="47"/>
        <v>0</v>
      </c>
      <c r="Z54" s="3">
        <f t="shared" si="48"/>
        <v>0</v>
      </c>
      <c r="AA54" s="3">
        <f t="shared" si="48"/>
        <v>0</v>
      </c>
      <c r="AB54" s="3">
        <f t="shared" si="49"/>
        <v>0</v>
      </c>
      <c r="AC54" s="3">
        <f t="shared" si="50"/>
        <v>72111</v>
      </c>
    </row>
    <row r="55" spans="1:29" ht="13.5" hidden="1" thickBot="1">
      <c r="A55" s="170">
        <v>41730</v>
      </c>
      <c r="B55" s="3">
        <v>643</v>
      </c>
      <c r="C55" s="3">
        <v>0</v>
      </c>
      <c r="D55" s="3">
        <f t="shared" si="0"/>
        <v>643</v>
      </c>
      <c r="E55" s="3">
        <v>0</v>
      </c>
      <c r="F55" s="3">
        <v>0</v>
      </c>
      <c r="G55" s="3">
        <f t="shared" si="1"/>
        <v>0</v>
      </c>
      <c r="H55" s="3">
        <v>0</v>
      </c>
      <c r="I55" s="3">
        <v>0</v>
      </c>
      <c r="J55" s="3">
        <f t="shared" si="2"/>
        <v>0</v>
      </c>
      <c r="K55" s="3">
        <v>0</v>
      </c>
      <c r="L55" s="3">
        <v>0</v>
      </c>
      <c r="M55" s="3">
        <f t="shared" si="3"/>
        <v>0</v>
      </c>
      <c r="N55" s="3">
        <f t="shared" si="4"/>
        <v>643</v>
      </c>
      <c r="O55" s="3">
        <f t="shared" si="4"/>
        <v>0</v>
      </c>
      <c r="P55" s="3">
        <f t="shared" si="5"/>
        <v>643</v>
      </c>
      <c r="Q55" s="3">
        <f t="shared" si="42"/>
        <v>28586</v>
      </c>
      <c r="R55" s="3">
        <f t="shared" si="42"/>
        <v>0</v>
      </c>
      <c r="S55" s="3">
        <f t="shared" si="43"/>
        <v>28586</v>
      </c>
      <c r="T55" s="3">
        <f t="shared" si="44"/>
        <v>44168</v>
      </c>
      <c r="U55" s="3">
        <f t="shared" si="44"/>
        <v>0</v>
      </c>
      <c r="V55" s="3">
        <f t="shared" si="45"/>
        <v>44168</v>
      </c>
      <c r="W55" s="3">
        <f t="shared" si="46"/>
        <v>0</v>
      </c>
      <c r="X55" s="3">
        <f t="shared" si="46"/>
        <v>0</v>
      </c>
      <c r="Y55" s="3">
        <f t="shared" si="47"/>
        <v>0</v>
      </c>
      <c r="Z55" s="3">
        <f t="shared" si="48"/>
        <v>0</v>
      </c>
      <c r="AA55" s="3">
        <f t="shared" si="48"/>
        <v>0</v>
      </c>
      <c r="AB55" s="3">
        <f t="shared" si="49"/>
        <v>0</v>
      </c>
      <c r="AC55" s="3">
        <f t="shared" si="50"/>
        <v>72754</v>
      </c>
    </row>
    <row r="56" spans="1:29" ht="13.5" hidden="1" thickBot="1">
      <c r="A56" s="170">
        <v>41760</v>
      </c>
      <c r="B56" s="3">
        <v>0</v>
      </c>
      <c r="C56" s="3">
        <v>0</v>
      </c>
      <c r="D56" s="3">
        <f t="shared" si="0"/>
        <v>0</v>
      </c>
      <c r="E56" s="3">
        <v>0</v>
      </c>
      <c r="F56" s="3">
        <v>0</v>
      </c>
      <c r="G56" s="3">
        <f t="shared" si="1"/>
        <v>0</v>
      </c>
      <c r="H56" s="3">
        <v>0</v>
      </c>
      <c r="I56" s="3">
        <v>0</v>
      </c>
      <c r="J56" s="3">
        <f t="shared" si="2"/>
        <v>0</v>
      </c>
      <c r="K56" s="3">
        <v>0</v>
      </c>
      <c r="L56" s="3">
        <v>0</v>
      </c>
      <c r="M56" s="3">
        <f t="shared" si="3"/>
        <v>0</v>
      </c>
      <c r="N56" s="3">
        <f t="shared" si="4"/>
        <v>0</v>
      </c>
      <c r="O56" s="3">
        <f t="shared" si="4"/>
        <v>0</v>
      </c>
      <c r="P56" s="3">
        <f t="shared" si="5"/>
        <v>0</v>
      </c>
      <c r="Q56" s="3">
        <f t="shared" si="42"/>
        <v>28586</v>
      </c>
      <c r="R56" s="3">
        <f t="shared" si="42"/>
        <v>0</v>
      </c>
      <c r="S56" s="3">
        <f t="shared" si="43"/>
        <v>28586</v>
      </c>
      <c r="T56" s="3">
        <f t="shared" si="44"/>
        <v>44168</v>
      </c>
      <c r="U56" s="3">
        <f t="shared" si="44"/>
        <v>0</v>
      </c>
      <c r="V56" s="3">
        <f t="shared" si="45"/>
        <v>44168</v>
      </c>
      <c r="W56" s="3">
        <f t="shared" si="46"/>
        <v>0</v>
      </c>
      <c r="X56" s="3">
        <f t="shared" si="46"/>
        <v>0</v>
      </c>
      <c r="Y56" s="3">
        <f t="shared" si="47"/>
        <v>0</v>
      </c>
      <c r="Z56" s="3">
        <f t="shared" si="48"/>
        <v>0</v>
      </c>
      <c r="AA56" s="3">
        <f t="shared" si="48"/>
        <v>0</v>
      </c>
      <c r="AB56" s="3">
        <f t="shared" si="49"/>
        <v>0</v>
      </c>
      <c r="AC56" s="3">
        <f t="shared" si="50"/>
        <v>72754</v>
      </c>
    </row>
    <row r="57" spans="1:29" ht="13.5" hidden="1" thickBot="1">
      <c r="A57" s="170">
        <v>41791</v>
      </c>
      <c r="B57" s="3">
        <v>0</v>
      </c>
      <c r="C57" s="3">
        <v>0</v>
      </c>
      <c r="D57" s="3">
        <f t="shared" si="0"/>
        <v>0</v>
      </c>
      <c r="E57" s="3">
        <v>0</v>
      </c>
      <c r="F57" s="3">
        <v>0</v>
      </c>
      <c r="G57" s="3">
        <f t="shared" si="1"/>
        <v>0</v>
      </c>
      <c r="H57" s="3">
        <v>0</v>
      </c>
      <c r="I57" s="3">
        <v>0</v>
      </c>
      <c r="J57" s="3">
        <f t="shared" si="2"/>
        <v>0</v>
      </c>
      <c r="K57" s="3">
        <v>0</v>
      </c>
      <c r="L57" s="3">
        <v>0</v>
      </c>
      <c r="M57" s="3">
        <f t="shared" si="3"/>
        <v>0</v>
      </c>
      <c r="N57" s="3">
        <f t="shared" si="4"/>
        <v>0</v>
      </c>
      <c r="O57" s="3">
        <f t="shared" si="4"/>
        <v>0</v>
      </c>
      <c r="P57" s="3">
        <f t="shared" si="5"/>
        <v>0</v>
      </c>
      <c r="Q57" s="3">
        <f t="shared" si="42"/>
        <v>28586</v>
      </c>
      <c r="R57" s="3">
        <f t="shared" si="42"/>
        <v>0</v>
      </c>
      <c r="S57" s="3">
        <f t="shared" si="43"/>
        <v>28586</v>
      </c>
      <c r="T57" s="3">
        <f t="shared" si="44"/>
        <v>44168</v>
      </c>
      <c r="U57" s="3">
        <f t="shared" si="44"/>
        <v>0</v>
      </c>
      <c r="V57" s="3">
        <f t="shared" si="45"/>
        <v>44168</v>
      </c>
      <c r="W57" s="3">
        <f t="shared" si="46"/>
        <v>0</v>
      </c>
      <c r="X57" s="3">
        <f t="shared" si="46"/>
        <v>0</v>
      </c>
      <c r="Y57" s="3">
        <f t="shared" si="47"/>
        <v>0</v>
      </c>
      <c r="Z57" s="3">
        <f t="shared" si="48"/>
        <v>0</v>
      </c>
      <c r="AA57" s="3">
        <f t="shared" si="48"/>
        <v>0</v>
      </c>
      <c r="AB57" s="3">
        <f t="shared" si="49"/>
        <v>0</v>
      </c>
      <c r="AC57" s="3">
        <f t="shared" si="50"/>
        <v>72754</v>
      </c>
    </row>
    <row r="58" spans="1:29" ht="13.5" hidden="1" thickBot="1">
      <c r="A58" s="170">
        <v>41821</v>
      </c>
      <c r="B58" s="3">
        <v>4156</v>
      </c>
      <c r="C58" s="3">
        <v>0</v>
      </c>
      <c r="D58" s="3">
        <f t="shared" si="0"/>
        <v>4156</v>
      </c>
      <c r="E58" s="3">
        <v>0</v>
      </c>
      <c r="F58" s="3">
        <v>0</v>
      </c>
      <c r="G58" s="3">
        <f t="shared" si="1"/>
        <v>0</v>
      </c>
      <c r="H58" s="3">
        <v>0</v>
      </c>
      <c r="I58" s="3">
        <v>0</v>
      </c>
      <c r="J58" s="3">
        <f t="shared" si="2"/>
        <v>0</v>
      </c>
      <c r="K58" s="3">
        <v>0</v>
      </c>
      <c r="L58" s="3">
        <v>0</v>
      </c>
      <c r="M58" s="3">
        <f t="shared" si="3"/>
        <v>0</v>
      </c>
      <c r="N58" s="3">
        <f t="shared" si="4"/>
        <v>4156</v>
      </c>
      <c r="O58" s="3">
        <f t="shared" si="4"/>
        <v>0</v>
      </c>
      <c r="P58" s="3">
        <f t="shared" si="5"/>
        <v>4156</v>
      </c>
      <c r="Q58" s="3">
        <f t="shared" si="42"/>
        <v>32742</v>
      </c>
      <c r="R58" s="3">
        <f t="shared" si="42"/>
        <v>0</v>
      </c>
      <c r="S58" s="3">
        <f t="shared" si="43"/>
        <v>32742</v>
      </c>
      <c r="T58" s="3">
        <f t="shared" si="44"/>
        <v>44168</v>
      </c>
      <c r="U58" s="3">
        <f t="shared" si="44"/>
        <v>0</v>
      </c>
      <c r="V58" s="3">
        <f t="shared" si="45"/>
        <v>44168</v>
      </c>
      <c r="W58" s="3">
        <f t="shared" si="46"/>
        <v>0</v>
      </c>
      <c r="X58" s="3">
        <f t="shared" si="46"/>
        <v>0</v>
      </c>
      <c r="Y58" s="3">
        <f t="shared" si="47"/>
        <v>0</v>
      </c>
      <c r="Z58" s="3">
        <f t="shared" si="48"/>
        <v>0</v>
      </c>
      <c r="AA58" s="3">
        <f t="shared" si="48"/>
        <v>0</v>
      </c>
      <c r="AB58" s="3">
        <f t="shared" si="49"/>
        <v>0</v>
      </c>
      <c r="AC58" s="3">
        <f t="shared" si="50"/>
        <v>76910</v>
      </c>
    </row>
    <row r="59" spans="1:29" ht="13.5" hidden="1" thickBot="1">
      <c r="A59" s="170">
        <v>41852</v>
      </c>
      <c r="B59" s="3">
        <v>0</v>
      </c>
      <c r="C59" s="3">
        <v>0</v>
      </c>
      <c r="D59" s="3">
        <f t="shared" si="0"/>
        <v>0</v>
      </c>
      <c r="E59" s="3">
        <v>0</v>
      </c>
      <c r="F59" s="3">
        <v>0</v>
      </c>
      <c r="G59" s="3">
        <f t="shared" si="1"/>
        <v>0</v>
      </c>
      <c r="H59" s="3">
        <v>1643621</v>
      </c>
      <c r="I59" s="3">
        <v>0</v>
      </c>
      <c r="J59" s="3">
        <f t="shared" si="2"/>
        <v>1643621</v>
      </c>
      <c r="K59" s="3">
        <v>1848485</v>
      </c>
      <c r="L59" s="3">
        <v>0</v>
      </c>
      <c r="M59" s="3">
        <f t="shared" si="3"/>
        <v>1848485</v>
      </c>
      <c r="N59" s="3">
        <f t="shared" si="4"/>
        <v>3492106</v>
      </c>
      <c r="O59" s="3">
        <f t="shared" si="4"/>
        <v>0</v>
      </c>
      <c r="P59" s="3">
        <f t="shared" si="5"/>
        <v>3492106</v>
      </c>
      <c r="Q59" s="3">
        <f t="shared" si="42"/>
        <v>32742</v>
      </c>
      <c r="R59" s="3">
        <f t="shared" si="42"/>
        <v>0</v>
      </c>
      <c r="S59" s="3">
        <f t="shared" si="43"/>
        <v>32742</v>
      </c>
      <c r="T59" s="3">
        <f t="shared" si="44"/>
        <v>44168</v>
      </c>
      <c r="U59" s="3">
        <f t="shared" si="44"/>
        <v>0</v>
      </c>
      <c r="V59" s="3">
        <f t="shared" si="45"/>
        <v>44168</v>
      </c>
      <c r="W59" s="3">
        <f t="shared" si="46"/>
        <v>1643621</v>
      </c>
      <c r="X59" s="3">
        <f t="shared" si="46"/>
        <v>0</v>
      </c>
      <c r="Y59" s="3">
        <f t="shared" si="47"/>
        <v>1643621</v>
      </c>
      <c r="Z59" s="3">
        <f t="shared" si="48"/>
        <v>1848485</v>
      </c>
      <c r="AA59" s="3">
        <f t="shared" si="48"/>
        <v>0</v>
      </c>
      <c r="AB59" s="3">
        <f t="shared" si="49"/>
        <v>1848485</v>
      </c>
      <c r="AC59" s="3">
        <f t="shared" si="50"/>
        <v>3569016</v>
      </c>
    </row>
    <row r="60" spans="1:29" ht="13.5" hidden="1" thickBot="1">
      <c r="A60" s="170">
        <v>41883</v>
      </c>
      <c r="B60" s="3">
        <v>2731</v>
      </c>
      <c r="C60" s="3">
        <v>0</v>
      </c>
      <c r="D60" s="3">
        <f t="shared" si="0"/>
        <v>2731</v>
      </c>
      <c r="E60" s="3">
        <v>0</v>
      </c>
      <c r="F60" s="3">
        <v>0</v>
      </c>
      <c r="G60" s="3">
        <f t="shared" si="1"/>
        <v>0</v>
      </c>
      <c r="H60" s="3">
        <v>3474010</v>
      </c>
      <c r="I60" s="3">
        <v>0</v>
      </c>
      <c r="J60" s="3">
        <f t="shared" si="2"/>
        <v>3474010</v>
      </c>
      <c r="K60" s="3">
        <v>4078691</v>
      </c>
      <c r="L60" s="3">
        <v>0</v>
      </c>
      <c r="M60" s="3">
        <f t="shared" si="3"/>
        <v>4078691</v>
      </c>
      <c r="N60" s="3">
        <f t="shared" si="4"/>
        <v>7555432</v>
      </c>
      <c r="O60" s="3">
        <f t="shared" si="4"/>
        <v>0</v>
      </c>
      <c r="P60" s="3">
        <f t="shared" si="5"/>
        <v>7555432</v>
      </c>
      <c r="Q60" s="3">
        <f t="shared" si="42"/>
        <v>35473</v>
      </c>
      <c r="R60" s="3">
        <f t="shared" si="42"/>
        <v>0</v>
      </c>
      <c r="S60" s="3">
        <f t="shared" si="43"/>
        <v>35473</v>
      </c>
      <c r="T60" s="3">
        <f t="shared" si="44"/>
        <v>44168</v>
      </c>
      <c r="U60" s="3">
        <f t="shared" si="44"/>
        <v>0</v>
      </c>
      <c r="V60" s="3">
        <f t="shared" si="45"/>
        <v>44168</v>
      </c>
      <c r="W60" s="3">
        <f t="shared" si="46"/>
        <v>5117631</v>
      </c>
      <c r="X60" s="3">
        <f t="shared" si="46"/>
        <v>0</v>
      </c>
      <c r="Y60" s="3">
        <f t="shared" si="47"/>
        <v>5117631</v>
      </c>
      <c r="Z60" s="3">
        <f t="shared" si="48"/>
        <v>5927176</v>
      </c>
      <c r="AA60" s="3">
        <f t="shared" si="48"/>
        <v>0</v>
      </c>
      <c r="AB60" s="3">
        <f t="shared" si="49"/>
        <v>5927176</v>
      </c>
      <c r="AC60" s="3">
        <f t="shared" si="50"/>
        <v>11124448</v>
      </c>
    </row>
    <row r="61" spans="1:29" ht="13.5" hidden="1" thickBot="1">
      <c r="A61" s="170">
        <v>41913</v>
      </c>
      <c r="B61" s="3">
        <v>430634</v>
      </c>
      <c r="C61" s="3">
        <v>0</v>
      </c>
      <c r="D61" s="3">
        <f t="shared" si="0"/>
        <v>430634</v>
      </c>
      <c r="E61" s="3">
        <v>0</v>
      </c>
      <c r="F61" s="3">
        <v>0</v>
      </c>
      <c r="G61" s="3">
        <f t="shared" si="1"/>
        <v>0</v>
      </c>
      <c r="H61" s="3">
        <v>2748001</v>
      </c>
      <c r="I61" s="3">
        <v>0</v>
      </c>
      <c r="J61" s="3">
        <f t="shared" si="2"/>
        <v>2748001</v>
      </c>
      <c r="K61" s="3">
        <v>3869127</v>
      </c>
      <c r="L61" s="3">
        <v>0</v>
      </c>
      <c r="M61" s="3">
        <f t="shared" si="3"/>
        <v>3869127</v>
      </c>
      <c r="N61" s="3">
        <f t="shared" si="4"/>
        <v>7047762</v>
      </c>
      <c r="O61" s="3">
        <f t="shared" si="4"/>
        <v>0</v>
      </c>
      <c r="P61" s="3">
        <f t="shared" si="5"/>
        <v>7047762</v>
      </c>
      <c r="Q61" s="3">
        <f t="shared" si="42"/>
        <v>466107</v>
      </c>
      <c r="R61" s="3">
        <f t="shared" si="42"/>
        <v>0</v>
      </c>
      <c r="S61" s="3">
        <f t="shared" si="43"/>
        <v>466107</v>
      </c>
      <c r="T61" s="3">
        <f t="shared" si="44"/>
        <v>44168</v>
      </c>
      <c r="U61" s="3">
        <f t="shared" si="44"/>
        <v>0</v>
      </c>
      <c r="V61" s="3">
        <f t="shared" si="45"/>
        <v>44168</v>
      </c>
      <c r="W61" s="3">
        <f t="shared" si="46"/>
        <v>7865632</v>
      </c>
      <c r="X61" s="3">
        <f t="shared" si="46"/>
        <v>0</v>
      </c>
      <c r="Y61" s="3">
        <f t="shared" si="47"/>
        <v>7865632</v>
      </c>
      <c r="Z61" s="3">
        <f t="shared" si="48"/>
        <v>9796303</v>
      </c>
      <c r="AA61" s="3">
        <f t="shared" si="48"/>
        <v>0</v>
      </c>
      <c r="AB61" s="3">
        <f t="shared" si="49"/>
        <v>9796303</v>
      </c>
      <c r="AC61" s="3">
        <f t="shared" si="50"/>
        <v>18172210</v>
      </c>
    </row>
    <row r="62" spans="1:29" ht="13.5" hidden="1" thickBot="1">
      <c r="A62" s="170">
        <v>41944</v>
      </c>
      <c r="B62" s="3">
        <v>173075</v>
      </c>
      <c r="C62" s="3">
        <v>0</v>
      </c>
      <c r="D62" s="3">
        <f t="shared" si="0"/>
        <v>173075</v>
      </c>
      <c r="E62" s="3">
        <v>0</v>
      </c>
      <c r="F62" s="3">
        <v>0</v>
      </c>
      <c r="G62" s="3">
        <f t="shared" si="1"/>
        <v>0</v>
      </c>
      <c r="H62" s="3">
        <v>2873839</v>
      </c>
      <c r="I62" s="3">
        <v>0</v>
      </c>
      <c r="J62" s="3">
        <f t="shared" si="2"/>
        <v>2873839</v>
      </c>
      <c r="K62" s="3">
        <v>3278166</v>
      </c>
      <c r="L62" s="3">
        <v>0</v>
      </c>
      <c r="M62" s="3">
        <f t="shared" si="3"/>
        <v>3278166</v>
      </c>
      <c r="N62" s="3">
        <f t="shared" si="4"/>
        <v>6325080</v>
      </c>
      <c r="O62" s="3">
        <f t="shared" si="4"/>
        <v>0</v>
      </c>
      <c r="P62" s="3">
        <f t="shared" si="5"/>
        <v>6325080</v>
      </c>
      <c r="Q62" s="3">
        <f t="shared" si="42"/>
        <v>639182</v>
      </c>
      <c r="R62" s="3">
        <f t="shared" si="42"/>
        <v>0</v>
      </c>
      <c r="S62" s="3">
        <f t="shared" si="43"/>
        <v>639182</v>
      </c>
      <c r="T62" s="3">
        <f t="shared" si="44"/>
        <v>44168</v>
      </c>
      <c r="U62" s="3">
        <f t="shared" si="44"/>
        <v>0</v>
      </c>
      <c r="V62" s="3">
        <f t="shared" si="45"/>
        <v>44168</v>
      </c>
      <c r="W62" s="3">
        <f t="shared" si="46"/>
        <v>10739471</v>
      </c>
      <c r="X62" s="3">
        <f t="shared" si="46"/>
        <v>0</v>
      </c>
      <c r="Y62" s="3">
        <f t="shared" si="47"/>
        <v>10739471</v>
      </c>
      <c r="Z62" s="3">
        <f t="shared" si="48"/>
        <v>13074469</v>
      </c>
      <c r="AA62" s="3">
        <f t="shared" si="48"/>
        <v>0</v>
      </c>
      <c r="AB62" s="3">
        <f t="shared" si="49"/>
        <v>13074469</v>
      </c>
      <c r="AC62" s="3">
        <f t="shared" si="50"/>
        <v>24497290</v>
      </c>
    </row>
    <row r="63" spans="1:29" ht="13.5" hidden="1" thickBot="1">
      <c r="A63" s="170">
        <v>41974</v>
      </c>
      <c r="B63" s="3">
        <v>89327</v>
      </c>
      <c r="C63" s="3">
        <v>0</v>
      </c>
      <c r="D63" s="3">
        <f t="shared" si="0"/>
        <v>89327</v>
      </c>
      <c r="E63" s="3">
        <v>0</v>
      </c>
      <c r="F63" s="3">
        <v>0</v>
      </c>
      <c r="G63" s="3">
        <f t="shared" si="1"/>
        <v>0</v>
      </c>
      <c r="H63" s="3">
        <v>4468597</v>
      </c>
      <c r="I63" s="3">
        <v>0</v>
      </c>
      <c r="J63" s="3">
        <f t="shared" si="2"/>
        <v>4468597</v>
      </c>
      <c r="K63" s="3">
        <v>4305346</v>
      </c>
      <c r="L63" s="3">
        <v>0</v>
      </c>
      <c r="M63" s="3">
        <f t="shared" si="3"/>
        <v>4305346</v>
      </c>
      <c r="N63" s="3">
        <f t="shared" si="4"/>
        <v>8863270</v>
      </c>
      <c r="O63" s="3">
        <f t="shared" si="4"/>
        <v>0</v>
      </c>
      <c r="P63" s="3">
        <f t="shared" si="5"/>
        <v>8863270</v>
      </c>
      <c r="Q63" s="3">
        <f t="shared" si="42"/>
        <v>728509</v>
      </c>
      <c r="R63" s="3">
        <f t="shared" si="42"/>
        <v>0</v>
      </c>
      <c r="S63" s="3">
        <f t="shared" si="43"/>
        <v>728509</v>
      </c>
      <c r="T63" s="3">
        <f t="shared" si="44"/>
        <v>44168</v>
      </c>
      <c r="U63" s="3">
        <f t="shared" si="44"/>
        <v>0</v>
      </c>
      <c r="V63" s="3">
        <f t="shared" si="45"/>
        <v>44168</v>
      </c>
      <c r="W63" s="3">
        <f t="shared" si="46"/>
        <v>15208068</v>
      </c>
      <c r="X63" s="3">
        <f t="shared" si="46"/>
        <v>0</v>
      </c>
      <c r="Y63" s="3">
        <f t="shared" si="47"/>
        <v>15208068</v>
      </c>
      <c r="Z63" s="3">
        <f t="shared" si="48"/>
        <v>17379815</v>
      </c>
      <c r="AA63" s="3">
        <f t="shared" si="48"/>
        <v>0</v>
      </c>
      <c r="AB63" s="3">
        <f t="shared" si="49"/>
        <v>17379815</v>
      </c>
      <c r="AC63" s="3">
        <f t="shared" si="50"/>
        <v>33360560</v>
      </c>
    </row>
    <row r="64" spans="1:29" ht="13.5" hidden="1" thickBot="1">
      <c r="A64" s="171">
        <v>42005</v>
      </c>
      <c r="B64" s="104">
        <v>114261</v>
      </c>
      <c r="C64" s="104">
        <v>0</v>
      </c>
      <c r="D64" s="104">
        <f t="shared" si="0"/>
        <v>114261</v>
      </c>
      <c r="E64" s="104">
        <v>0</v>
      </c>
      <c r="F64" s="104">
        <v>0</v>
      </c>
      <c r="G64" s="104">
        <f t="shared" si="1"/>
        <v>0</v>
      </c>
      <c r="H64" s="104">
        <v>1429312</v>
      </c>
      <c r="I64" s="104">
        <v>0</v>
      </c>
      <c r="J64" s="104">
        <f t="shared" si="2"/>
        <v>1429312</v>
      </c>
      <c r="K64" s="104">
        <v>2564904</v>
      </c>
      <c r="L64" s="104">
        <v>0</v>
      </c>
      <c r="M64" s="104">
        <f t="shared" si="3"/>
        <v>2564904</v>
      </c>
      <c r="N64" s="104">
        <f t="shared" si="4"/>
        <v>4108477</v>
      </c>
      <c r="O64" s="104">
        <f t="shared" si="4"/>
        <v>0</v>
      </c>
      <c r="P64" s="104">
        <f t="shared" si="5"/>
        <v>4108477</v>
      </c>
      <c r="Q64" s="104">
        <f>B64</f>
        <v>114261</v>
      </c>
      <c r="R64" s="104">
        <f>C64</f>
        <v>0</v>
      </c>
      <c r="S64" s="104">
        <f>R64+Q64</f>
        <v>114261</v>
      </c>
      <c r="T64" s="104">
        <f>E64</f>
        <v>0</v>
      </c>
      <c r="U64" s="104">
        <f>F64</f>
        <v>0</v>
      </c>
      <c r="V64" s="104">
        <f>U64+T64</f>
        <v>0</v>
      </c>
      <c r="W64" s="104">
        <f>H64</f>
        <v>1429312</v>
      </c>
      <c r="X64" s="104">
        <f>I64</f>
        <v>0</v>
      </c>
      <c r="Y64" s="104">
        <f>X64+W64</f>
        <v>1429312</v>
      </c>
      <c r="Z64" s="104">
        <f>K64</f>
        <v>2564904</v>
      </c>
      <c r="AA64" s="104">
        <f>L64</f>
        <v>0</v>
      </c>
      <c r="AB64" s="104">
        <f>AA64+Z64</f>
        <v>2564904</v>
      </c>
      <c r="AC64" s="104">
        <f>AB64+Y64+V64+S64</f>
        <v>4108477</v>
      </c>
    </row>
    <row r="65" spans="1:29" ht="13.5" hidden="1" thickBot="1">
      <c r="A65" s="170">
        <v>42036</v>
      </c>
      <c r="B65" s="3">
        <v>85097</v>
      </c>
      <c r="C65" s="3">
        <v>0</v>
      </c>
      <c r="D65" s="3">
        <f t="shared" si="0"/>
        <v>85097</v>
      </c>
      <c r="E65" s="3">
        <v>0</v>
      </c>
      <c r="F65" s="3">
        <v>0</v>
      </c>
      <c r="G65" s="3">
        <f t="shared" si="1"/>
        <v>0</v>
      </c>
      <c r="H65" s="3">
        <v>3687481</v>
      </c>
      <c r="I65" s="3">
        <v>0</v>
      </c>
      <c r="J65" s="3">
        <f t="shared" si="2"/>
        <v>3687481</v>
      </c>
      <c r="K65" s="3">
        <v>4177740</v>
      </c>
      <c r="L65" s="3">
        <v>0</v>
      </c>
      <c r="M65" s="3">
        <f t="shared" si="3"/>
        <v>4177740</v>
      </c>
      <c r="N65" s="3">
        <f t="shared" si="4"/>
        <v>7950318</v>
      </c>
      <c r="O65" s="3">
        <f t="shared" si="4"/>
        <v>0</v>
      </c>
      <c r="P65" s="3">
        <f t="shared" si="5"/>
        <v>7950318</v>
      </c>
      <c r="Q65" s="3">
        <f t="shared" ref="Q65:R75" si="51">Q64+B65</f>
        <v>199358</v>
      </c>
      <c r="R65" s="3">
        <f t="shared" si="51"/>
        <v>0</v>
      </c>
      <c r="S65" s="3">
        <f t="shared" ref="S65:S75" si="52">R65+Q65</f>
        <v>199358</v>
      </c>
      <c r="T65" s="3">
        <f t="shared" ref="T65:U75" si="53">T64+E65</f>
        <v>0</v>
      </c>
      <c r="U65" s="3">
        <f t="shared" si="53"/>
        <v>0</v>
      </c>
      <c r="V65" s="3">
        <f t="shared" ref="V65:V75" si="54">U65+T65</f>
        <v>0</v>
      </c>
      <c r="W65" s="3">
        <f t="shared" ref="W65:X75" si="55">W64+H65</f>
        <v>5116793</v>
      </c>
      <c r="X65" s="3">
        <f t="shared" si="55"/>
        <v>0</v>
      </c>
      <c r="Y65" s="3">
        <f t="shared" ref="Y65:Y75" si="56">X65+W65</f>
        <v>5116793</v>
      </c>
      <c r="Z65" s="3">
        <f t="shared" ref="Z65:AA75" si="57">Z64+K65</f>
        <v>6742644</v>
      </c>
      <c r="AA65" s="3">
        <f t="shared" si="57"/>
        <v>0</v>
      </c>
      <c r="AB65" s="3">
        <f t="shared" ref="AB65:AB75" si="58">AA65+Z65</f>
        <v>6742644</v>
      </c>
      <c r="AC65" s="3">
        <f t="shared" ref="AC65:AC75" si="59">AB65+Y65+V65+S65</f>
        <v>12058795</v>
      </c>
    </row>
    <row r="66" spans="1:29" ht="13.5" hidden="1" thickBot="1">
      <c r="A66" s="170">
        <v>42064</v>
      </c>
      <c r="B66" s="3">
        <v>86879</v>
      </c>
      <c r="C66" s="3">
        <v>0</v>
      </c>
      <c r="D66" s="3">
        <f t="shared" si="0"/>
        <v>86879</v>
      </c>
      <c r="E66" s="3">
        <v>0</v>
      </c>
      <c r="F66" s="3">
        <v>0</v>
      </c>
      <c r="G66" s="3">
        <f t="shared" si="1"/>
        <v>0</v>
      </c>
      <c r="H66" s="3">
        <v>4160077</v>
      </c>
      <c r="I66" s="3">
        <v>0</v>
      </c>
      <c r="J66" s="3">
        <f t="shared" si="2"/>
        <v>4160077</v>
      </c>
      <c r="K66" s="3">
        <v>3556464</v>
      </c>
      <c r="L66" s="3">
        <v>0</v>
      </c>
      <c r="M66" s="3">
        <f t="shared" si="3"/>
        <v>3556464</v>
      </c>
      <c r="N66" s="3">
        <f t="shared" si="4"/>
        <v>7803420</v>
      </c>
      <c r="O66" s="3">
        <f t="shared" si="4"/>
        <v>0</v>
      </c>
      <c r="P66" s="3">
        <f t="shared" si="5"/>
        <v>7803420</v>
      </c>
      <c r="Q66" s="3">
        <f t="shared" si="51"/>
        <v>286237</v>
      </c>
      <c r="R66" s="3">
        <f t="shared" si="51"/>
        <v>0</v>
      </c>
      <c r="S66" s="3">
        <f t="shared" si="52"/>
        <v>286237</v>
      </c>
      <c r="T66" s="3">
        <f t="shared" si="53"/>
        <v>0</v>
      </c>
      <c r="U66" s="3">
        <f t="shared" si="53"/>
        <v>0</v>
      </c>
      <c r="V66" s="3">
        <f t="shared" si="54"/>
        <v>0</v>
      </c>
      <c r="W66" s="3">
        <f t="shared" si="55"/>
        <v>9276870</v>
      </c>
      <c r="X66" s="3">
        <f t="shared" si="55"/>
        <v>0</v>
      </c>
      <c r="Y66" s="3">
        <f t="shared" si="56"/>
        <v>9276870</v>
      </c>
      <c r="Z66" s="3">
        <f t="shared" si="57"/>
        <v>10299108</v>
      </c>
      <c r="AA66" s="3">
        <f t="shared" si="57"/>
        <v>0</v>
      </c>
      <c r="AB66" s="3">
        <f t="shared" si="58"/>
        <v>10299108</v>
      </c>
      <c r="AC66" s="3">
        <f t="shared" si="59"/>
        <v>19862215</v>
      </c>
    </row>
    <row r="67" spans="1:29" ht="13.5" hidden="1" thickBot="1">
      <c r="A67" s="170">
        <v>42095</v>
      </c>
      <c r="B67" s="3">
        <v>288685</v>
      </c>
      <c r="C67" s="3">
        <v>0</v>
      </c>
      <c r="D67" s="3">
        <f t="shared" si="0"/>
        <v>288685</v>
      </c>
      <c r="E67" s="3">
        <v>0</v>
      </c>
      <c r="F67" s="3">
        <v>0</v>
      </c>
      <c r="G67" s="3">
        <f t="shared" si="1"/>
        <v>0</v>
      </c>
      <c r="H67" s="3">
        <v>4191579</v>
      </c>
      <c r="I67" s="3">
        <v>0</v>
      </c>
      <c r="J67" s="3">
        <f t="shared" si="2"/>
        <v>4191579</v>
      </c>
      <c r="K67" s="3">
        <v>3350984</v>
      </c>
      <c r="L67" s="3">
        <v>0</v>
      </c>
      <c r="M67" s="3">
        <f t="shared" si="3"/>
        <v>3350984</v>
      </c>
      <c r="N67" s="3">
        <f t="shared" si="4"/>
        <v>7831248</v>
      </c>
      <c r="O67" s="3">
        <f t="shared" si="4"/>
        <v>0</v>
      </c>
      <c r="P67" s="3">
        <f t="shared" si="5"/>
        <v>7831248</v>
      </c>
      <c r="Q67" s="3">
        <f t="shared" si="51"/>
        <v>574922</v>
      </c>
      <c r="R67" s="3">
        <f t="shared" si="51"/>
        <v>0</v>
      </c>
      <c r="S67" s="3">
        <f t="shared" si="52"/>
        <v>574922</v>
      </c>
      <c r="T67" s="3">
        <f t="shared" si="53"/>
        <v>0</v>
      </c>
      <c r="U67" s="3">
        <f t="shared" si="53"/>
        <v>0</v>
      </c>
      <c r="V67" s="3">
        <f t="shared" si="54"/>
        <v>0</v>
      </c>
      <c r="W67" s="3">
        <f t="shared" si="55"/>
        <v>13468449</v>
      </c>
      <c r="X67" s="3">
        <f t="shared" si="55"/>
        <v>0</v>
      </c>
      <c r="Y67" s="3">
        <f t="shared" si="56"/>
        <v>13468449</v>
      </c>
      <c r="Z67" s="3">
        <f t="shared" si="57"/>
        <v>13650092</v>
      </c>
      <c r="AA67" s="3">
        <f t="shared" si="57"/>
        <v>0</v>
      </c>
      <c r="AB67" s="3">
        <f t="shared" si="58"/>
        <v>13650092</v>
      </c>
      <c r="AC67" s="3">
        <f t="shared" si="59"/>
        <v>27693463</v>
      </c>
    </row>
    <row r="68" spans="1:29" ht="13.5" hidden="1" thickBot="1">
      <c r="A68" s="170">
        <v>42125</v>
      </c>
      <c r="B68" s="3">
        <v>114018</v>
      </c>
      <c r="C68" s="3">
        <v>0</v>
      </c>
      <c r="D68" s="3">
        <f t="shared" si="0"/>
        <v>114018</v>
      </c>
      <c r="E68" s="3">
        <v>0</v>
      </c>
      <c r="F68" s="3">
        <v>0</v>
      </c>
      <c r="G68" s="3">
        <f t="shared" si="1"/>
        <v>0</v>
      </c>
      <c r="H68" s="3">
        <v>5878244</v>
      </c>
      <c r="I68" s="3">
        <v>0</v>
      </c>
      <c r="J68" s="3">
        <f t="shared" si="2"/>
        <v>5878244</v>
      </c>
      <c r="K68" s="3">
        <v>3348786</v>
      </c>
      <c r="L68" s="3">
        <v>0</v>
      </c>
      <c r="M68" s="3">
        <f t="shared" si="3"/>
        <v>3348786</v>
      </c>
      <c r="N68" s="3">
        <f t="shared" si="4"/>
        <v>9341048</v>
      </c>
      <c r="O68" s="3">
        <f t="shared" si="4"/>
        <v>0</v>
      </c>
      <c r="P68" s="3">
        <f t="shared" si="5"/>
        <v>9341048</v>
      </c>
      <c r="Q68" s="3">
        <f t="shared" si="51"/>
        <v>688940</v>
      </c>
      <c r="R68" s="3">
        <f t="shared" si="51"/>
        <v>0</v>
      </c>
      <c r="S68" s="3">
        <f t="shared" si="52"/>
        <v>688940</v>
      </c>
      <c r="T68" s="3">
        <f t="shared" si="53"/>
        <v>0</v>
      </c>
      <c r="U68" s="3">
        <f t="shared" si="53"/>
        <v>0</v>
      </c>
      <c r="V68" s="3">
        <f t="shared" si="54"/>
        <v>0</v>
      </c>
      <c r="W68" s="3">
        <f t="shared" si="55"/>
        <v>19346693</v>
      </c>
      <c r="X68" s="3">
        <f t="shared" si="55"/>
        <v>0</v>
      </c>
      <c r="Y68" s="3">
        <f t="shared" si="56"/>
        <v>19346693</v>
      </c>
      <c r="Z68" s="3">
        <f t="shared" si="57"/>
        <v>16998878</v>
      </c>
      <c r="AA68" s="3">
        <f t="shared" si="57"/>
        <v>0</v>
      </c>
      <c r="AB68" s="3">
        <f t="shared" si="58"/>
        <v>16998878</v>
      </c>
      <c r="AC68" s="3">
        <f t="shared" si="59"/>
        <v>37034511</v>
      </c>
    </row>
    <row r="69" spans="1:29" ht="13.5" hidden="1" thickBot="1">
      <c r="A69" s="170">
        <v>42156</v>
      </c>
      <c r="B69" s="3">
        <v>282587</v>
      </c>
      <c r="C69" s="3">
        <v>0</v>
      </c>
      <c r="D69" s="3">
        <f t="shared" ref="D69:D115" si="60">SUM(B69:C69)</f>
        <v>282587</v>
      </c>
      <c r="E69" s="3">
        <v>0</v>
      </c>
      <c r="F69" s="3">
        <v>0</v>
      </c>
      <c r="G69" s="3">
        <f t="shared" ref="G69:G115" si="61">SUM(E69:F69)</f>
        <v>0</v>
      </c>
      <c r="H69" s="3">
        <v>6077815</v>
      </c>
      <c r="I69" s="3">
        <v>1723816</v>
      </c>
      <c r="J69" s="3">
        <f t="shared" ref="J69:J115" si="62">SUM(H69:I69)</f>
        <v>7801631</v>
      </c>
      <c r="K69" s="3">
        <v>2808818</v>
      </c>
      <c r="L69" s="3">
        <v>1613513</v>
      </c>
      <c r="M69" s="3">
        <f t="shared" ref="M69:M132" si="63">SUM(K69:L69)</f>
        <v>4422331</v>
      </c>
      <c r="N69" s="3">
        <f t="shared" ref="N69:O132" si="64">B69+E69+H69+K69</f>
        <v>9169220</v>
      </c>
      <c r="O69" s="3">
        <f t="shared" si="64"/>
        <v>3337329</v>
      </c>
      <c r="P69" s="3">
        <f t="shared" ref="P69:P132" si="65">O69+N69</f>
        <v>12506549</v>
      </c>
      <c r="Q69" s="3">
        <f t="shared" si="51"/>
        <v>971527</v>
      </c>
      <c r="R69" s="3">
        <f t="shared" si="51"/>
        <v>0</v>
      </c>
      <c r="S69" s="3">
        <f t="shared" si="52"/>
        <v>971527</v>
      </c>
      <c r="T69" s="3">
        <f t="shared" si="53"/>
        <v>0</v>
      </c>
      <c r="U69" s="3">
        <f t="shared" si="53"/>
        <v>0</v>
      </c>
      <c r="V69" s="3">
        <f t="shared" si="54"/>
        <v>0</v>
      </c>
      <c r="W69" s="3">
        <f t="shared" si="55"/>
        <v>25424508</v>
      </c>
      <c r="X69" s="3">
        <f t="shared" si="55"/>
        <v>1723816</v>
      </c>
      <c r="Y69" s="3">
        <f t="shared" si="56"/>
        <v>27148324</v>
      </c>
      <c r="Z69" s="3">
        <f t="shared" si="57"/>
        <v>19807696</v>
      </c>
      <c r="AA69" s="3">
        <f t="shared" si="57"/>
        <v>1613513</v>
      </c>
      <c r="AB69" s="3">
        <f t="shared" si="58"/>
        <v>21421209</v>
      </c>
      <c r="AC69" s="3">
        <f t="shared" si="59"/>
        <v>49541060</v>
      </c>
    </row>
    <row r="70" spans="1:29" ht="13.5" hidden="1" thickBot="1">
      <c r="A70" s="170">
        <v>42186</v>
      </c>
      <c r="B70" s="3">
        <v>347991</v>
      </c>
      <c r="C70" s="3">
        <v>0</v>
      </c>
      <c r="D70" s="3">
        <f t="shared" si="60"/>
        <v>347991</v>
      </c>
      <c r="E70" s="3">
        <v>0</v>
      </c>
      <c r="F70" s="3">
        <v>0</v>
      </c>
      <c r="G70" s="3">
        <f t="shared" si="61"/>
        <v>0</v>
      </c>
      <c r="H70" s="3">
        <v>6003478</v>
      </c>
      <c r="I70" s="3">
        <v>1779411</v>
      </c>
      <c r="J70" s="3">
        <f t="shared" si="62"/>
        <v>7782889</v>
      </c>
      <c r="K70" s="3">
        <v>3208297</v>
      </c>
      <c r="L70" s="3">
        <v>1682699</v>
      </c>
      <c r="M70" s="3">
        <f t="shared" si="63"/>
        <v>4890996</v>
      </c>
      <c r="N70" s="3">
        <f t="shared" si="64"/>
        <v>9559766</v>
      </c>
      <c r="O70" s="3">
        <f t="shared" si="64"/>
        <v>3462110</v>
      </c>
      <c r="P70" s="3">
        <f t="shared" si="65"/>
        <v>13021876</v>
      </c>
      <c r="Q70" s="3">
        <f t="shared" si="51"/>
        <v>1319518</v>
      </c>
      <c r="R70" s="3">
        <f t="shared" si="51"/>
        <v>0</v>
      </c>
      <c r="S70" s="3">
        <f t="shared" si="52"/>
        <v>1319518</v>
      </c>
      <c r="T70" s="3">
        <f t="shared" si="53"/>
        <v>0</v>
      </c>
      <c r="U70" s="3">
        <f t="shared" si="53"/>
        <v>0</v>
      </c>
      <c r="V70" s="3">
        <f t="shared" si="54"/>
        <v>0</v>
      </c>
      <c r="W70" s="3">
        <f t="shared" si="55"/>
        <v>31427986</v>
      </c>
      <c r="X70" s="3">
        <f t="shared" si="55"/>
        <v>3503227</v>
      </c>
      <c r="Y70" s="3">
        <f t="shared" si="56"/>
        <v>34931213</v>
      </c>
      <c r="Z70" s="3">
        <f t="shared" si="57"/>
        <v>23015993</v>
      </c>
      <c r="AA70" s="3">
        <f t="shared" si="57"/>
        <v>3296212</v>
      </c>
      <c r="AB70" s="3">
        <f t="shared" si="58"/>
        <v>26312205</v>
      </c>
      <c r="AC70" s="3">
        <f t="shared" si="59"/>
        <v>62562936</v>
      </c>
    </row>
    <row r="71" spans="1:29" ht="13.5" hidden="1" thickBot="1">
      <c r="A71" s="170">
        <v>42217</v>
      </c>
      <c r="B71" s="3">
        <v>327294</v>
      </c>
      <c r="C71" s="3">
        <v>0</v>
      </c>
      <c r="D71" s="3">
        <f t="shared" si="60"/>
        <v>327294</v>
      </c>
      <c r="E71" s="3">
        <v>0</v>
      </c>
      <c r="F71" s="3">
        <v>0</v>
      </c>
      <c r="G71" s="3">
        <f t="shared" si="61"/>
        <v>0</v>
      </c>
      <c r="H71" s="3">
        <v>6218267</v>
      </c>
      <c r="I71" s="3">
        <v>1925457</v>
      </c>
      <c r="J71" s="3">
        <f t="shared" si="62"/>
        <v>8143724</v>
      </c>
      <c r="K71" s="3">
        <v>3516393</v>
      </c>
      <c r="L71" s="3">
        <v>1825794</v>
      </c>
      <c r="M71" s="3">
        <f t="shared" si="63"/>
        <v>5342187</v>
      </c>
      <c r="N71" s="3">
        <f t="shared" si="64"/>
        <v>10061954</v>
      </c>
      <c r="O71" s="3">
        <f t="shared" si="64"/>
        <v>3751251</v>
      </c>
      <c r="P71" s="3">
        <f t="shared" si="65"/>
        <v>13813205</v>
      </c>
      <c r="Q71" s="3">
        <f t="shared" si="51"/>
        <v>1646812</v>
      </c>
      <c r="R71" s="3">
        <f t="shared" si="51"/>
        <v>0</v>
      </c>
      <c r="S71" s="3">
        <f t="shared" si="52"/>
        <v>1646812</v>
      </c>
      <c r="T71" s="3">
        <f t="shared" si="53"/>
        <v>0</v>
      </c>
      <c r="U71" s="3">
        <f t="shared" si="53"/>
        <v>0</v>
      </c>
      <c r="V71" s="3">
        <f t="shared" si="54"/>
        <v>0</v>
      </c>
      <c r="W71" s="3">
        <f t="shared" si="55"/>
        <v>37646253</v>
      </c>
      <c r="X71" s="3">
        <f t="shared" si="55"/>
        <v>5428684</v>
      </c>
      <c r="Y71" s="3">
        <f t="shared" si="56"/>
        <v>43074937</v>
      </c>
      <c r="Z71" s="3">
        <f t="shared" si="57"/>
        <v>26532386</v>
      </c>
      <c r="AA71" s="3">
        <f t="shared" si="57"/>
        <v>5122006</v>
      </c>
      <c r="AB71" s="3">
        <f t="shared" si="58"/>
        <v>31654392</v>
      </c>
      <c r="AC71" s="3">
        <f t="shared" si="59"/>
        <v>76376141</v>
      </c>
    </row>
    <row r="72" spans="1:29" ht="13.5" hidden="1" thickBot="1">
      <c r="A72" s="170">
        <v>42248</v>
      </c>
      <c r="B72" s="3">
        <v>0</v>
      </c>
      <c r="C72" s="3">
        <v>0</v>
      </c>
      <c r="D72" s="3">
        <f t="shared" si="60"/>
        <v>0</v>
      </c>
      <c r="E72" s="3">
        <v>0</v>
      </c>
      <c r="F72" s="3">
        <v>0</v>
      </c>
      <c r="G72" s="3">
        <f t="shared" si="61"/>
        <v>0</v>
      </c>
      <c r="H72" s="3">
        <v>5753012</v>
      </c>
      <c r="I72" s="3">
        <v>1936997</v>
      </c>
      <c r="J72" s="3">
        <f t="shared" si="62"/>
        <v>7690009</v>
      </c>
      <c r="K72" s="3">
        <v>2922363</v>
      </c>
      <c r="L72" s="3">
        <v>1726254</v>
      </c>
      <c r="M72" s="3">
        <f t="shared" si="63"/>
        <v>4648617</v>
      </c>
      <c r="N72" s="3">
        <f t="shared" si="64"/>
        <v>8675375</v>
      </c>
      <c r="O72" s="3">
        <f t="shared" si="64"/>
        <v>3663251</v>
      </c>
      <c r="P72" s="3">
        <f t="shared" si="65"/>
        <v>12338626</v>
      </c>
      <c r="Q72" s="3">
        <f t="shared" si="51"/>
        <v>1646812</v>
      </c>
      <c r="R72" s="3">
        <f t="shared" si="51"/>
        <v>0</v>
      </c>
      <c r="S72" s="3">
        <f t="shared" si="52"/>
        <v>1646812</v>
      </c>
      <c r="T72" s="3">
        <f t="shared" si="53"/>
        <v>0</v>
      </c>
      <c r="U72" s="3">
        <f t="shared" si="53"/>
        <v>0</v>
      </c>
      <c r="V72" s="3">
        <f t="shared" si="54"/>
        <v>0</v>
      </c>
      <c r="W72" s="3">
        <f t="shared" si="55"/>
        <v>43399265</v>
      </c>
      <c r="X72" s="3">
        <f t="shared" si="55"/>
        <v>7365681</v>
      </c>
      <c r="Y72" s="3">
        <f t="shared" si="56"/>
        <v>50764946</v>
      </c>
      <c r="Z72" s="3">
        <f t="shared" si="57"/>
        <v>29454749</v>
      </c>
      <c r="AA72" s="3">
        <f t="shared" si="57"/>
        <v>6848260</v>
      </c>
      <c r="AB72" s="3">
        <f t="shared" si="58"/>
        <v>36303009</v>
      </c>
      <c r="AC72" s="3">
        <f t="shared" si="59"/>
        <v>88714767</v>
      </c>
    </row>
    <row r="73" spans="1:29" ht="13.5" hidden="1" thickBot="1">
      <c r="A73" s="170">
        <v>42278</v>
      </c>
      <c r="B73" s="3">
        <v>229173</v>
      </c>
      <c r="C73" s="3">
        <v>0</v>
      </c>
      <c r="D73" s="3">
        <f t="shared" si="60"/>
        <v>229173</v>
      </c>
      <c r="E73" s="3">
        <v>0</v>
      </c>
      <c r="F73" s="3">
        <v>0</v>
      </c>
      <c r="G73" s="3">
        <f t="shared" si="61"/>
        <v>0</v>
      </c>
      <c r="H73" s="3">
        <v>5385020</v>
      </c>
      <c r="I73" s="3">
        <v>1347687</v>
      </c>
      <c r="J73" s="3">
        <f t="shared" si="62"/>
        <v>6732707</v>
      </c>
      <c r="K73" s="3">
        <v>3671018</v>
      </c>
      <c r="L73" s="3">
        <v>1405102</v>
      </c>
      <c r="M73" s="3">
        <f t="shared" si="63"/>
        <v>5076120</v>
      </c>
      <c r="N73" s="3">
        <f t="shared" si="64"/>
        <v>9285211</v>
      </c>
      <c r="O73" s="3">
        <f t="shared" si="64"/>
        <v>2752789</v>
      </c>
      <c r="P73" s="3">
        <f t="shared" si="65"/>
        <v>12038000</v>
      </c>
      <c r="Q73" s="3">
        <f t="shared" si="51"/>
        <v>1875985</v>
      </c>
      <c r="R73" s="3">
        <f t="shared" si="51"/>
        <v>0</v>
      </c>
      <c r="S73" s="3">
        <f t="shared" si="52"/>
        <v>1875985</v>
      </c>
      <c r="T73" s="3">
        <f t="shared" si="53"/>
        <v>0</v>
      </c>
      <c r="U73" s="3">
        <f t="shared" si="53"/>
        <v>0</v>
      </c>
      <c r="V73" s="3">
        <f t="shared" si="54"/>
        <v>0</v>
      </c>
      <c r="W73" s="3">
        <f t="shared" si="55"/>
        <v>48784285</v>
      </c>
      <c r="X73" s="3">
        <f t="shared" si="55"/>
        <v>8713368</v>
      </c>
      <c r="Y73" s="3">
        <f t="shared" si="56"/>
        <v>57497653</v>
      </c>
      <c r="Z73" s="3">
        <f t="shared" si="57"/>
        <v>33125767</v>
      </c>
      <c r="AA73" s="3">
        <f t="shared" si="57"/>
        <v>8253362</v>
      </c>
      <c r="AB73" s="3">
        <f t="shared" si="58"/>
        <v>41379129</v>
      </c>
      <c r="AC73" s="3">
        <f t="shared" si="59"/>
        <v>100752767</v>
      </c>
    </row>
    <row r="74" spans="1:29" ht="13.5" hidden="1" thickBot="1">
      <c r="A74" s="170">
        <v>42309</v>
      </c>
      <c r="B74" s="3">
        <v>144675</v>
      </c>
      <c r="C74" s="3">
        <v>0</v>
      </c>
      <c r="D74" s="3">
        <f t="shared" si="60"/>
        <v>144675</v>
      </c>
      <c r="E74" s="3">
        <v>0</v>
      </c>
      <c r="F74" s="3">
        <v>0</v>
      </c>
      <c r="G74" s="3">
        <f t="shared" si="61"/>
        <v>0</v>
      </c>
      <c r="H74" s="3">
        <v>5690045</v>
      </c>
      <c r="I74" s="3">
        <v>1444698</v>
      </c>
      <c r="J74" s="3">
        <f t="shared" si="62"/>
        <v>7134743</v>
      </c>
      <c r="K74" s="3">
        <v>3459432</v>
      </c>
      <c r="L74" s="3">
        <v>1607019</v>
      </c>
      <c r="M74" s="3">
        <f t="shared" si="63"/>
        <v>5066451</v>
      </c>
      <c r="N74" s="3">
        <f t="shared" si="64"/>
        <v>9294152</v>
      </c>
      <c r="O74" s="3">
        <f t="shared" si="64"/>
        <v>3051717</v>
      </c>
      <c r="P74" s="3">
        <f t="shared" si="65"/>
        <v>12345869</v>
      </c>
      <c r="Q74" s="3">
        <f t="shared" si="51"/>
        <v>2020660</v>
      </c>
      <c r="R74" s="3">
        <f t="shared" si="51"/>
        <v>0</v>
      </c>
      <c r="S74" s="3">
        <f t="shared" si="52"/>
        <v>2020660</v>
      </c>
      <c r="T74" s="3">
        <f t="shared" si="53"/>
        <v>0</v>
      </c>
      <c r="U74" s="3">
        <f t="shared" si="53"/>
        <v>0</v>
      </c>
      <c r="V74" s="3">
        <f t="shared" si="54"/>
        <v>0</v>
      </c>
      <c r="W74" s="3">
        <f t="shared" si="55"/>
        <v>54474330</v>
      </c>
      <c r="X74" s="3">
        <f t="shared" si="55"/>
        <v>10158066</v>
      </c>
      <c r="Y74" s="3">
        <f t="shared" si="56"/>
        <v>64632396</v>
      </c>
      <c r="Z74" s="3">
        <f t="shared" si="57"/>
        <v>36585199</v>
      </c>
      <c r="AA74" s="3">
        <f t="shared" si="57"/>
        <v>9860381</v>
      </c>
      <c r="AB74" s="3">
        <f t="shared" si="58"/>
        <v>46445580</v>
      </c>
      <c r="AC74" s="3">
        <f t="shared" si="59"/>
        <v>113098636</v>
      </c>
    </row>
    <row r="75" spans="1:29" ht="13.5" hidden="1" thickBot="1">
      <c r="A75" s="170">
        <v>42339</v>
      </c>
      <c r="B75" s="3">
        <v>160436</v>
      </c>
      <c r="C75" s="3">
        <v>0</v>
      </c>
      <c r="D75" s="3">
        <f t="shared" si="60"/>
        <v>160436</v>
      </c>
      <c r="E75" s="3">
        <v>0</v>
      </c>
      <c r="F75" s="3">
        <v>0</v>
      </c>
      <c r="G75" s="3">
        <f t="shared" si="61"/>
        <v>0</v>
      </c>
      <c r="H75" s="3">
        <v>15980402</v>
      </c>
      <c r="I75" s="3">
        <v>877468</v>
      </c>
      <c r="J75" s="3">
        <f t="shared" si="62"/>
        <v>16857870</v>
      </c>
      <c r="K75" s="3">
        <v>7988270</v>
      </c>
      <c r="L75" s="3">
        <v>3935029</v>
      </c>
      <c r="M75" s="3">
        <f t="shared" si="63"/>
        <v>11923299</v>
      </c>
      <c r="N75" s="3">
        <f t="shared" si="64"/>
        <v>24129108</v>
      </c>
      <c r="O75" s="3">
        <f t="shared" si="64"/>
        <v>4812497</v>
      </c>
      <c r="P75" s="3">
        <f t="shared" si="65"/>
        <v>28941605</v>
      </c>
      <c r="Q75" s="3">
        <f t="shared" si="51"/>
        <v>2181096</v>
      </c>
      <c r="R75" s="3">
        <f t="shared" si="51"/>
        <v>0</v>
      </c>
      <c r="S75" s="3">
        <f t="shared" si="52"/>
        <v>2181096</v>
      </c>
      <c r="T75" s="3">
        <f t="shared" si="53"/>
        <v>0</v>
      </c>
      <c r="U75" s="3">
        <f t="shared" si="53"/>
        <v>0</v>
      </c>
      <c r="V75" s="3">
        <f t="shared" si="54"/>
        <v>0</v>
      </c>
      <c r="W75" s="3">
        <f t="shared" si="55"/>
        <v>70454732</v>
      </c>
      <c r="X75" s="3">
        <f t="shared" si="55"/>
        <v>11035534</v>
      </c>
      <c r="Y75" s="3">
        <f t="shared" si="56"/>
        <v>81490266</v>
      </c>
      <c r="Z75" s="3">
        <f t="shared" si="57"/>
        <v>44573469</v>
      </c>
      <c r="AA75" s="3">
        <f t="shared" si="57"/>
        <v>13795410</v>
      </c>
      <c r="AB75" s="3">
        <f t="shared" si="58"/>
        <v>58368879</v>
      </c>
      <c r="AC75" s="3">
        <f t="shared" si="59"/>
        <v>142040241</v>
      </c>
    </row>
    <row r="76" spans="1:29">
      <c r="A76" s="171">
        <v>42370</v>
      </c>
      <c r="B76" s="104">
        <v>285432</v>
      </c>
      <c r="C76" s="104">
        <v>0</v>
      </c>
      <c r="D76" s="104">
        <f t="shared" si="60"/>
        <v>285432</v>
      </c>
      <c r="E76" s="104">
        <v>0</v>
      </c>
      <c r="F76" s="104">
        <v>0</v>
      </c>
      <c r="G76" s="104">
        <f t="shared" si="61"/>
        <v>0</v>
      </c>
      <c r="H76" s="104">
        <v>1289142</v>
      </c>
      <c r="I76" s="104">
        <v>0</v>
      </c>
      <c r="J76" s="104">
        <f t="shared" si="62"/>
        <v>1289142</v>
      </c>
      <c r="K76" s="104">
        <v>161044</v>
      </c>
      <c r="L76" s="104">
        <v>0</v>
      </c>
      <c r="M76" s="104">
        <f t="shared" si="63"/>
        <v>161044</v>
      </c>
      <c r="N76" s="104">
        <f t="shared" si="64"/>
        <v>1735618</v>
      </c>
      <c r="O76" s="104">
        <f t="shared" si="64"/>
        <v>0</v>
      </c>
      <c r="P76" s="104">
        <f t="shared" si="65"/>
        <v>1735618</v>
      </c>
      <c r="Q76" s="104">
        <f>B76</f>
        <v>285432</v>
      </c>
      <c r="R76" s="104">
        <f>C76</f>
        <v>0</v>
      </c>
      <c r="S76" s="104">
        <f>R76+Q76</f>
        <v>285432</v>
      </c>
      <c r="T76" s="104">
        <f>E76</f>
        <v>0</v>
      </c>
      <c r="U76" s="104">
        <f>F76</f>
        <v>0</v>
      </c>
      <c r="V76" s="104">
        <f>U76+T76</f>
        <v>0</v>
      </c>
      <c r="W76" s="104">
        <f>H76</f>
        <v>1289142</v>
      </c>
      <c r="X76" s="104">
        <f>I76</f>
        <v>0</v>
      </c>
      <c r="Y76" s="104">
        <f>X76+W76</f>
        <v>1289142</v>
      </c>
      <c r="Z76" s="104">
        <f>K76</f>
        <v>161044</v>
      </c>
      <c r="AA76" s="104">
        <f>L76</f>
        <v>0</v>
      </c>
      <c r="AB76" s="104">
        <f>AA76+Z76</f>
        <v>161044</v>
      </c>
      <c r="AC76" s="104">
        <f>AB76+Y76+V76+S76</f>
        <v>1735618</v>
      </c>
    </row>
    <row r="77" spans="1:29">
      <c r="A77" s="170">
        <v>42401</v>
      </c>
      <c r="B77" s="3">
        <v>271521</v>
      </c>
      <c r="C77" s="3">
        <v>0</v>
      </c>
      <c r="D77" s="3">
        <f t="shared" si="60"/>
        <v>271521</v>
      </c>
      <c r="E77" s="3">
        <v>0</v>
      </c>
      <c r="F77" s="3">
        <v>0</v>
      </c>
      <c r="G77" s="3">
        <f t="shared" si="61"/>
        <v>0</v>
      </c>
      <c r="H77" s="3">
        <v>7718902</v>
      </c>
      <c r="I77" s="3">
        <v>0</v>
      </c>
      <c r="J77" s="3">
        <f t="shared" si="62"/>
        <v>7718902</v>
      </c>
      <c r="K77" s="3">
        <v>4850138</v>
      </c>
      <c r="L77" s="3">
        <v>1628506</v>
      </c>
      <c r="M77" s="3">
        <f t="shared" si="63"/>
        <v>6478644</v>
      </c>
      <c r="N77" s="3">
        <f t="shared" si="64"/>
        <v>12840561</v>
      </c>
      <c r="O77" s="3">
        <f t="shared" si="64"/>
        <v>1628506</v>
      </c>
      <c r="P77" s="3">
        <f t="shared" si="65"/>
        <v>14469067</v>
      </c>
      <c r="Q77" s="3">
        <f t="shared" ref="Q77:R87" si="66">Q76+B77</f>
        <v>556953</v>
      </c>
      <c r="R77" s="3">
        <f t="shared" si="66"/>
        <v>0</v>
      </c>
      <c r="S77" s="3">
        <f t="shared" ref="S77:S87" si="67">R77+Q77</f>
        <v>556953</v>
      </c>
      <c r="T77" s="3">
        <f t="shared" ref="T77:U87" si="68">T76+E77</f>
        <v>0</v>
      </c>
      <c r="U77" s="3">
        <f t="shared" si="68"/>
        <v>0</v>
      </c>
      <c r="V77" s="3">
        <f t="shared" ref="V77:V87" si="69">U77+T77</f>
        <v>0</v>
      </c>
      <c r="W77" s="3">
        <f t="shared" ref="W77:X87" si="70">W76+H77</f>
        <v>9008044</v>
      </c>
      <c r="X77" s="3">
        <f t="shared" si="70"/>
        <v>0</v>
      </c>
      <c r="Y77" s="3">
        <f t="shared" ref="Y77:Y87" si="71">X77+W77</f>
        <v>9008044</v>
      </c>
      <c r="Z77" s="3">
        <f t="shared" ref="Z77:AA87" si="72">Z76+K77</f>
        <v>5011182</v>
      </c>
      <c r="AA77" s="3">
        <f t="shared" si="72"/>
        <v>1628506</v>
      </c>
      <c r="AB77" s="3">
        <f t="shared" ref="AB77:AB87" si="73">AA77+Z77</f>
        <v>6639688</v>
      </c>
      <c r="AC77" s="3">
        <f t="shared" ref="AC77:AC87" si="74">AB77+Y77+V77+S77</f>
        <v>16204685</v>
      </c>
    </row>
    <row r="78" spans="1:29">
      <c r="A78" s="170">
        <v>42430</v>
      </c>
      <c r="B78" s="3">
        <v>446422</v>
      </c>
      <c r="C78" s="3">
        <v>0</v>
      </c>
      <c r="D78" s="3">
        <f t="shared" si="60"/>
        <v>446422</v>
      </c>
      <c r="E78" s="3">
        <v>0</v>
      </c>
      <c r="F78" s="3">
        <v>0</v>
      </c>
      <c r="G78" s="3">
        <f t="shared" si="61"/>
        <v>0</v>
      </c>
      <c r="H78" s="3">
        <v>9268999</v>
      </c>
      <c r="I78" s="3">
        <v>0</v>
      </c>
      <c r="J78" s="3">
        <f t="shared" si="62"/>
        <v>9268999</v>
      </c>
      <c r="K78" s="3">
        <v>4603290</v>
      </c>
      <c r="L78" s="3">
        <v>1461464</v>
      </c>
      <c r="M78" s="3">
        <f t="shared" si="63"/>
        <v>6064754</v>
      </c>
      <c r="N78" s="3">
        <f t="shared" si="64"/>
        <v>14318711</v>
      </c>
      <c r="O78" s="3">
        <f t="shared" si="64"/>
        <v>1461464</v>
      </c>
      <c r="P78" s="3">
        <f t="shared" si="65"/>
        <v>15780175</v>
      </c>
      <c r="Q78" s="3">
        <f t="shared" si="66"/>
        <v>1003375</v>
      </c>
      <c r="R78" s="3">
        <f t="shared" si="66"/>
        <v>0</v>
      </c>
      <c r="S78" s="3">
        <f t="shared" si="67"/>
        <v>1003375</v>
      </c>
      <c r="T78" s="3">
        <f t="shared" si="68"/>
        <v>0</v>
      </c>
      <c r="U78" s="3">
        <f t="shared" si="68"/>
        <v>0</v>
      </c>
      <c r="V78" s="3">
        <f t="shared" si="69"/>
        <v>0</v>
      </c>
      <c r="W78" s="3">
        <f t="shared" si="70"/>
        <v>18277043</v>
      </c>
      <c r="X78" s="3">
        <f t="shared" si="70"/>
        <v>0</v>
      </c>
      <c r="Y78" s="3">
        <f t="shared" si="71"/>
        <v>18277043</v>
      </c>
      <c r="Z78" s="3">
        <f t="shared" si="72"/>
        <v>9614472</v>
      </c>
      <c r="AA78" s="3">
        <f t="shared" si="72"/>
        <v>3089970</v>
      </c>
      <c r="AB78" s="3">
        <f t="shared" si="73"/>
        <v>12704442</v>
      </c>
      <c r="AC78" s="3">
        <f t="shared" si="74"/>
        <v>31984860</v>
      </c>
    </row>
    <row r="79" spans="1:29">
      <c r="A79" s="170">
        <v>42461</v>
      </c>
      <c r="B79" s="3">
        <v>377236</v>
      </c>
      <c r="C79" s="3">
        <v>0</v>
      </c>
      <c r="D79" s="3">
        <f t="shared" si="60"/>
        <v>377236</v>
      </c>
      <c r="E79" s="3">
        <v>0</v>
      </c>
      <c r="F79" s="3">
        <v>0</v>
      </c>
      <c r="G79" s="3">
        <f t="shared" si="61"/>
        <v>0</v>
      </c>
      <c r="H79" s="3">
        <v>8994368</v>
      </c>
      <c r="I79" s="3">
        <v>0</v>
      </c>
      <c r="J79" s="3">
        <f t="shared" si="62"/>
        <v>8994368</v>
      </c>
      <c r="K79" s="3">
        <v>5675117</v>
      </c>
      <c r="L79" s="3">
        <v>1652175</v>
      </c>
      <c r="M79" s="3">
        <f t="shared" si="63"/>
        <v>7327292</v>
      </c>
      <c r="N79" s="3">
        <f t="shared" si="64"/>
        <v>15046721</v>
      </c>
      <c r="O79" s="3">
        <f t="shared" si="64"/>
        <v>1652175</v>
      </c>
      <c r="P79" s="3">
        <f t="shared" si="65"/>
        <v>16698896</v>
      </c>
      <c r="Q79" s="3">
        <f t="shared" si="66"/>
        <v>1380611</v>
      </c>
      <c r="R79" s="3">
        <f t="shared" si="66"/>
        <v>0</v>
      </c>
      <c r="S79" s="3">
        <f t="shared" si="67"/>
        <v>1380611</v>
      </c>
      <c r="T79" s="3">
        <f t="shared" si="68"/>
        <v>0</v>
      </c>
      <c r="U79" s="3">
        <f t="shared" si="68"/>
        <v>0</v>
      </c>
      <c r="V79" s="3">
        <f t="shared" si="69"/>
        <v>0</v>
      </c>
      <c r="W79" s="3">
        <f t="shared" si="70"/>
        <v>27271411</v>
      </c>
      <c r="X79" s="3">
        <f t="shared" si="70"/>
        <v>0</v>
      </c>
      <c r="Y79" s="3">
        <f t="shared" si="71"/>
        <v>27271411</v>
      </c>
      <c r="Z79" s="3">
        <f t="shared" si="72"/>
        <v>15289589</v>
      </c>
      <c r="AA79" s="3">
        <f t="shared" si="72"/>
        <v>4742145</v>
      </c>
      <c r="AB79" s="3">
        <f t="shared" si="73"/>
        <v>20031734</v>
      </c>
      <c r="AC79" s="3">
        <f t="shared" si="74"/>
        <v>48683756</v>
      </c>
    </row>
    <row r="80" spans="1:29">
      <c r="A80" s="170">
        <v>42491</v>
      </c>
      <c r="B80" s="3">
        <v>395852</v>
      </c>
      <c r="C80" s="3">
        <v>0</v>
      </c>
      <c r="D80" s="3">
        <f t="shared" si="60"/>
        <v>395852</v>
      </c>
      <c r="E80" s="3">
        <v>0</v>
      </c>
      <c r="F80" s="3">
        <v>0</v>
      </c>
      <c r="G80" s="3">
        <f t="shared" si="61"/>
        <v>0</v>
      </c>
      <c r="H80" s="3">
        <v>8584190</v>
      </c>
      <c r="I80" s="3">
        <v>0</v>
      </c>
      <c r="J80" s="3">
        <f t="shared" si="62"/>
        <v>8584190</v>
      </c>
      <c r="K80" s="3">
        <v>5254371</v>
      </c>
      <c r="L80" s="3">
        <v>1773274</v>
      </c>
      <c r="M80" s="3">
        <f t="shared" si="63"/>
        <v>7027645</v>
      </c>
      <c r="N80" s="3">
        <f t="shared" si="64"/>
        <v>14234413</v>
      </c>
      <c r="O80" s="3">
        <f t="shared" si="64"/>
        <v>1773274</v>
      </c>
      <c r="P80" s="3">
        <f t="shared" si="65"/>
        <v>16007687</v>
      </c>
      <c r="Q80" s="3">
        <f t="shared" si="66"/>
        <v>1776463</v>
      </c>
      <c r="R80" s="3">
        <f t="shared" si="66"/>
        <v>0</v>
      </c>
      <c r="S80" s="3">
        <f t="shared" si="67"/>
        <v>1776463</v>
      </c>
      <c r="T80" s="3">
        <f t="shared" si="68"/>
        <v>0</v>
      </c>
      <c r="U80" s="3">
        <f t="shared" si="68"/>
        <v>0</v>
      </c>
      <c r="V80" s="3">
        <f t="shared" si="69"/>
        <v>0</v>
      </c>
      <c r="W80" s="3">
        <f t="shared" si="70"/>
        <v>35855601</v>
      </c>
      <c r="X80" s="3">
        <f t="shared" si="70"/>
        <v>0</v>
      </c>
      <c r="Y80" s="3">
        <f t="shared" si="71"/>
        <v>35855601</v>
      </c>
      <c r="Z80" s="3">
        <f t="shared" si="72"/>
        <v>20543960</v>
      </c>
      <c r="AA80" s="3">
        <f t="shared" si="72"/>
        <v>6515419</v>
      </c>
      <c r="AB80" s="3">
        <f t="shared" si="73"/>
        <v>27059379</v>
      </c>
      <c r="AC80" s="3">
        <f t="shared" si="74"/>
        <v>64691443</v>
      </c>
    </row>
    <row r="81" spans="1:29">
      <c r="A81" s="170">
        <v>42522</v>
      </c>
      <c r="B81" s="3">
        <v>245266</v>
      </c>
      <c r="C81" s="3">
        <v>0</v>
      </c>
      <c r="D81" s="3">
        <f t="shared" si="60"/>
        <v>245266</v>
      </c>
      <c r="E81" s="3">
        <v>0</v>
      </c>
      <c r="F81" s="3">
        <v>0</v>
      </c>
      <c r="G81" s="3">
        <f t="shared" si="61"/>
        <v>0</v>
      </c>
      <c r="H81" s="3">
        <v>8223464</v>
      </c>
      <c r="I81" s="3">
        <v>0</v>
      </c>
      <c r="J81" s="3">
        <f t="shared" si="62"/>
        <v>8223464</v>
      </c>
      <c r="K81" s="3">
        <v>3864970</v>
      </c>
      <c r="L81" s="3">
        <v>1830875</v>
      </c>
      <c r="M81" s="3">
        <f t="shared" si="63"/>
        <v>5695845</v>
      </c>
      <c r="N81" s="3">
        <f t="shared" si="64"/>
        <v>12333700</v>
      </c>
      <c r="O81" s="3">
        <f t="shared" si="64"/>
        <v>1830875</v>
      </c>
      <c r="P81" s="3">
        <f t="shared" si="65"/>
        <v>14164575</v>
      </c>
      <c r="Q81" s="3">
        <f t="shared" si="66"/>
        <v>2021729</v>
      </c>
      <c r="R81" s="3">
        <f t="shared" si="66"/>
        <v>0</v>
      </c>
      <c r="S81" s="3">
        <f t="shared" si="67"/>
        <v>2021729</v>
      </c>
      <c r="T81" s="3">
        <f t="shared" si="68"/>
        <v>0</v>
      </c>
      <c r="U81" s="3">
        <f t="shared" si="68"/>
        <v>0</v>
      </c>
      <c r="V81" s="3">
        <f t="shared" si="69"/>
        <v>0</v>
      </c>
      <c r="W81" s="3">
        <f t="shared" si="70"/>
        <v>44079065</v>
      </c>
      <c r="X81" s="3">
        <f t="shared" si="70"/>
        <v>0</v>
      </c>
      <c r="Y81" s="3">
        <f t="shared" si="71"/>
        <v>44079065</v>
      </c>
      <c r="Z81" s="3">
        <f t="shared" si="72"/>
        <v>24408930</v>
      </c>
      <c r="AA81" s="3">
        <f t="shared" si="72"/>
        <v>8346294</v>
      </c>
      <c r="AB81" s="3">
        <f t="shared" si="73"/>
        <v>32755224</v>
      </c>
      <c r="AC81" s="3">
        <f t="shared" si="74"/>
        <v>78856018</v>
      </c>
    </row>
    <row r="82" spans="1:29">
      <c r="A82" s="170">
        <v>42552</v>
      </c>
      <c r="B82" s="3">
        <v>185532</v>
      </c>
      <c r="C82" s="3">
        <v>0</v>
      </c>
      <c r="D82" s="3">
        <f t="shared" si="60"/>
        <v>185532</v>
      </c>
      <c r="E82" s="3">
        <v>0</v>
      </c>
      <c r="F82" s="3">
        <v>0</v>
      </c>
      <c r="G82" s="3">
        <f t="shared" si="61"/>
        <v>0</v>
      </c>
      <c r="H82" s="3">
        <v>9492589</v>
      </c>
      <c r="I82" s="3">
        <v>0</v>
      </c>
      <c r="J82" s="3">
        <f t="shared" si="62"/>
        <v>9492589</v>
      </c>
      <c r="K82" s="3">
        <v>3832496</v>
      </c>
      <c r="L82" s="3">
        <v>1863062</v>
      </c>
      <c r="M82" s="3">
        <f t="shared" si="63"/>
        <v>5695558</v>
      </c>
      <c r="N82" s="3">
        <f t="shared" si="64"/>
        <v>13510617</v>
      </c>
      <c r="O82" s="3">
        <f t="shared" si="64"/>
        <v>1863062</v>
      </c>
      <c r="P82" s="3">
        <f t="shared" si="65"/>
        <v>15373679</v>
      </c>
      <c r="Q82" s="3">
        <f t="shared" si="66"/>
        <v>2207261</v>
      </c>
      <c r="R82" s="3">
        <f t="shared" si="66"/>
        <v>0</v>
      </c>
      <c r="S82" s="3">
        <f t="shared" si="67"/>
        <v>2207261</v>
      </c>
      <c r="T82" s="3">
        <f t="shared" si="68"/>
        <v>0</v>
      </c>
      <c r="U82" s="3">
        <f t="shared" si="68"/>
        <v>0</v>
      </c>
      <c r="V82" s="3">
        <f t="shared" si="69"/>
        <v>0</v>
      </c>
      <c r="W82" s="3">
        <f t="shared" si="70"/>
        <v>53571654</v>
      </c>
      <c r="X82" s="3">
        <f t="shared" si="70"/>
        <v>0</v>
      </c>
      <c r="Y82" s="3">
        <f t="shared" si="71"/>
        <v>53571654</v>
      </c>
      <c r="Z82" s="3">
        <f t="shared" si="72"/>
        <v>28241426</v>
      </c>
      <c r="AA82" s="3">
        <f t="shared" si="72"/>
        <v>10209356</v>
      </c>
      <c r="AB82" s="3">
        <f t="shared" si="73"/>
        <v>38450782</v>
      </c>
      <c r="AC82" s="3">
        <f t="shared" si="74"/>
        <v>94229697</v>
      </c>
    </row>
    <row r="83" spans="1:29">
      <c r="A83" s="170">
        <v>42583</v>
      </c>
      <c r="B83" s="3">
        <v>312767</v>
      </c>
      <c r="C83" s="3">
        <v>0</v>
      </c>
      <c r="D83" s="3">
        <f t="shared" si="60"/>
        <v>312767</v>
      </c>
      <c r="E83" s="3">
        <v>0</v>
      </c>
      <c r="F83" s="3">
        <v>0</v>
      </c>
      <c r="G83" s="3">
        <f t="shared" si="61"/>
        <v>0</v>
      </c>
      <c r="H83" s="3">
        <v>9478696</v>
      </c>
      <c r="I83" s="3">
        <v>0</v>
      </c>
      <c r="J83" s="3">
        <f t="shared" si="62"/>
        <v>9478696</v>
      </c>
      <c r="K83" s="3">
        <v>4114248</v>
      </c>
      <c r="L83" s="3">
        <v>1800498</v>
      </c>
      <c r="M83" s="3">
        <f t="shared" si="63"/>
        <v>5914746</v>
      </c>
      <c r="N83" s="3">
        <f t="shared" si="64"/>
        <v>13905711</v>
      </c>
      <c r="O83" s="3">
        <f t="shared" si="64"/>
        <v>1800498</v>
      </c>
      <c r="P83" s="3">
        <f t="shared" si="65"/>
        <v>15706209</v>
      </c>
      <c r="Q83" s="3">
        <f t="shared" si="66"/>
        <v>2520028</v>
      </c>
      <c r="R83" s="3">
        <f t="shared" si="66"/>
        <v>0</v>
      </c>
      <c r="S83" s="3">
        <f t="shared" si="67"/>
        <v>2520028</v>
      </c>
      <c r="T83" s="3">
        <f t="shared" si="68"/>
        <v>0</v>
      </c>
      <c r="U83" s="3">
        <f t="shared" si="68"/>
        <v>0</v>
      </c>
      <c r="V83" s="3">
        <f t="shared" si="69"/>
        <v>0</v>
      </c>
      <c r="W83" s="3">
        <f t="shared" si="70"/>
        <v>63050350</v>
      </c>
      <c r="X83" s="3">
        <f t="shared" si="70"/>
        <v>0</v>
      </c>
      <c r="Y83" s="3">
        <f t="shared" si="71"/>
        <v>63050350</v>
      </c>
      <c r="Z83" s="3">
        <f t="shared" si="72"/>
        <v>32355674</v>
      </c>
      <c r="AA83" s="3">
        <f t="shared" si="72"/>
        <v>12009854</v>
      </c>
      <c r="AB83" s="3">
        <f t="shared" si="73"/>
        <v>44365528</v>
      </c>
      <c r="AC83" s="3">
        <f t="shared" si="74"/>
        <v>109935906</v>
      </c>
    </row>
    <row r="84" spans="1:29">
      <c r="A84" s="170">
        <v>42614</v>
      </c>
      <c r="B84" s="3">
        <v>342140</v>
      </c>
      <c r="C84" s="3">
        <v>0</v>
      </c>
      <c r="D84" s="3">
        <f t="shared" si="60"/>
        <v>342140</v>
      </c>
      <c r="E84" s="3">
        <v>0</v>
      </c>
      <c r="F84" s="3">
        <v>0</v>
      </c>
      <c r="G84" s="3">
        <f t="shared" si="61"/>
        <v>0</v>
      </c>
      <c r="H84" s="3">
        <v>10946526</v>
      </c>
      <c r="I84" s="3">
        <v>0</v>
      </c>
      <c r="J84" s="3">
        <f t="shared" si="62"/>
        <v>10946526</v>
      </c>
      <c r="K84" s="3">
        <v>4384714</v>
      </c>
      <c r="L84" s="3">
        <v>1741371</v>
      </c>
      <c r="M84" s="3">
        <f t="shared" si="63"/>
        <v>6126085</v>
      </c>
      <c r="N84" s="3">
        <f t="shared" si="64"/>
        <v>15673380</v>
      </c>
      <c r="O84" s="3">
        <f t="shared" si="64"/>
        <v>1741371</v>
      </c>
      <c r="P84" s="3">
        <f t="shared" si="65"/>
        <v>17414751</v>
      </c>
      <c r="Q84" s="3">
        <f t="shared" si="66"/>
        <v>2862168</v>
      </c>
      <c r="R84" s="3">
        <f t="shared" si="66"/>
        <v>0</v>
      </c>
      <c r="S84" s="3">
        <f t="shared" si="67"/>
        <v>2862168</v>
      </c>
      <c r="T84" s="3">
        <f t="shared" si="68"/>
        <v>0</v>
      </c>
      <c r="U84" s="3">
        <f t="shared" si="68"/>
        <v>0</v>
      </c>
      <c r="V84" s="3">
        <f t="shared" si="69"/>
        <v>0</v>
      </c>
      <c r="W84" s="3">
        <f t="shared" si="70"/>
        <v>73996876</v>
      </c>
      <c r="X84" s="3">
        <f t="shared" si="70"/>
        <v>0</v>
      </c>
      <c r="Y84" s="3">
        <f t="shared" si="71"/>
        <v>73996876</v>
      </c>
      <c r="Z84" s="3">
        <f t="shared" si="72"/>
        <v>36740388</v>
      </c>
      <c r="AA84" s="3">
        <f t="shared" si="72"/>
        <v>13751225</v>
      </c>
      <c r="AB84" s="3">
        <f t="shared" si="73"/>
        <v>50491613</v>
      </c>
      <c r="AC84" s="3">
        <f t="shared" si="74"/>
        <v>127350657</v>
      </c>
    </row>
    <row r="85" spans="1:29">
      <c r="A85" s="170">
        <v>42644</v>
      </c>
      <c r="B85" s="3">
        <v>186071</v>
      </c>
      <c r="C85" s="3">
        <v>0</v>
      </c>
      <c r="D85" s="3">
        <f t="shared" si="60"/>
        <v>186071</v>
      </c>
      <c r="E85" s="3">
        <v>0</v>
      </c>
      <c r="F85" s="3">
        <v>0</v>
      </c>
      <c r="G85" s="3">
        <f t="shared" si="61"/>
        <v>0</v>
      </c>
      <c r="H85" s="3">
        <v>11760172</v>
      </c>
      <c r="I85" s="3">
        <v>0</v>
      </c>
      <c r="J85" s="3">
        <f t="shared" si="62"/>
        <v>11760172</v>
      </c>
      <c r="K85" s="3">
        <v>4112131</v>
      </c>
      <c r="L85" s="3">
        <v>1749486</v>
      </c>
      <c r="M85" s="3">
        <f t="shared" si="63"/>
        <v>5861617</v>
      </c>
      <c r="N85" s="3">
        <f t="shared" si="64"/>
        <v>16058374</v>
      </c>
      <c r="O85" s="3">
        <f t="shared" si="64"/>
        <v>1749486</v>
      </c>
      <c r="P85" s="3">
        <f t="shared" si="65"/>
        <v>17807860</v>
      </c>
      <c r="Q85" s="3">
        <f t="shared" si="66"/>
        <v>3048239</v>
      </c>
      <c r="R85" s="3">
        <f t="shared" si="66"/>
        <v>0</v>
      </c>
      <c r="S85" s="3">
        <f t="shared" si="67"/>
        <v>3048239</v>
      </c>
      <c r="T85" s="3">
        <f t="shared" si="68"/>
        <v>0</v>
      </c>
      <c r="U85" s="3">
        <f t="shared" si="68"/>
        <v>0</v>
      </c>
      <c r="V85" s="3">
        <f t="shared" si="69"/>
        <v>0</v>
      </c>
      <c r="W85" s="3">
        <f t="shared" si="70"/>
        <v>85757048</v>
      </c>
      <c r="X85" s="3">
        <f t="shared" si="70"/>
        <v>0</v>
      </c>
      <c r="Y85" s="3">
        <f t="shared" si="71"/>
        <v>85757048</v>
      </c>
      <c r="Z85" s="3">
        <f t="shared" si="72"/>
        <v>40852519</v>
      </c>
      <c r="AA85" s="3">
        <f t="shared" si="72"/>
        <v>15500711</v>
      </c>
      <c r="AB85" s="3">
        <f t="shared" si="73"/>
        <v>56353230</v>
      </c>
      <c r="AC85" s="3">
        <f t="shared" si="74"/>
        <v>145158517</v>
      </c>
    </row>
    <row r="86" spans="1:29">
      <c r="A86" s="170">
        <v>42675</v>
      </c>
      <c r="B86" s="3">
        <v>255250</v>
      </c>
      <c r="C86" s="3">
        <v>0</v>
      </c>
      <c r="D86" s="3">
        <f t="shared" si="60"/>
        <v>255250</v>
      </c>
      <c r="E86" s="3">
        <v>0</v>
      </c>
      <c r="F86" s="3">
        <v>0</v>
      </c>
      <c r="G86" s="3">
        <f t="shared" si="61"/>
        <v>0</v>
      </c>
      <c r="H86" s="3">
        <v>10879490</v>
      </c>
      <c r="I86" s="3">
        <v>167243</v>
      </c>
      <c r="J86" s="3">
        <f t="shared" si="62"/>
        <v>11046733</v>
      </c>
      <c r="K86" s="3">
        <v>3665123</v>
      </c>
      <c r="L86" s="3">
        <v>1635896</v>
      </c>
      <c r="M86" s="3">
        <f t="shared" si="63"/>
        <v>5301019</v>
      </c>
      <c r="N86" s="3">
        <f t="shared" si="64"/>
        <v>14799863</v>
      </c>
      <c r="O86" s="3">
        <f t="shared" si="64"/>
        <v>1803139</v>
      </c>
      <c r="P86" s="3">
        <f t="shared" si="65"/>
        <v>16603002</v>
      </c>
      <c r="Q86" s="3">
        <f t="shared" si="66"/>
        <v>3303489</v>
      </c>
      <c r="R86" s="3">
        <f t="shared" si="66"/>
        <v>0</v>
      </c>
      <c r="S86" s="3">
        <f t="shared" si="67"/>
        <v>3303489</v>
      </c>
      <c r="T86" s="3">
        <f t="shared" si="68"/>
        <v>0</v>
      </c>
      <c r="U86" s="3">
        <f t="shared" si="68"/>
        <v>0</v>
      </c>
      <c r="V86" s="3">
        <f t="shared" si="69"/>
        <v>0</v>
      </c>
      <c r="W86" s="3">
        <f t="shared" si="70"/>
        <v>96636538</v>
      </c>
      <c r="X86" s="3">
        <f t="shared" si="70"/>
        <v>167243</v>
      </c>
      <c r="Y86" s="3">
        <f t="shared" si="71"/>
        <v>96803781</v>
      </c>
      <c r="Z86" s="3">
        <f t="shared" si="72"/>
        <v>44517642</v>
      </c>
      <c r="AA86" s="3">
        <f t="shared" si="72"/>
        <v>17136607</v>
      </c>
      <c r="AB86" s="3">
        <f t="shared" si="73"/>
        <v>61654249</v>
      </c>
      <c r="AC86" s="3">
        <f t="shared" si="74"/>
        <v>161761519</v>
      </c>
    </row>
    <row r="87" spans="1:29" ht="13.5" thickBot="1">
      <c r="A87" s="170">
        <v>42705</v>
      </c>
      <c r="B87" s="3">
        <v>501757</v>
      </c>
      <c r="C87" s="3">
        <v>0</v>
      </c>
      <c r="D87" s="3">
        <f t="shared" si="60"/>
        <v>501757</v>
      </c>
      <c r="E87" s="3">
        <v>0</v>
      </c>
      <c r="F87" s="3">
        <v>0</v>
      </c>
      <c r="G87" s="3">
        <f t="shared" si="61"/>
        <v>0</v>
      </c>
      <c r="H87" s="3">
        <v>19778727</v>
      </c>
      <c r="I87" s="3">
        <v>0</v>
      </c>
      <c r="J87" s="3">
        <f t="shared" si="62"/>
        <v>19778727</v>
      </c>
      <c r="K87" s="3">
        <v>6707006</v>
      </c>
      <c r="L87" s="3">
        <v>3612786</v>
      </c>
      <c r="M87" s="3">
        <f t="shared" si="63"/>
        <v>10319792</v>
      </c>
      <c r="N87" s="3">
        <f t="shared" si="64"/>
        <v>26987490</v>
      </c>
      <c r="O87" s="3">
        <f t="shared" si="64"/>
        <v>3612786</v>
      </c>
      <c r="P87" s="3">
        <f t="shared" si="65"/>
        <v>30600276</v>
      </c>
      <c r="Q87" s="3">
        <f t="shared" si="66"/>
        <v>3805246</v>
      </c>
      <c r="R87" s="3">
        <f t="shared" si="66"/>
        <v>0</v>
      </c>
      <c r="S87" s="3">
        <f t="shared" si="67"/>
        <v>3805246</v>
      </c>
      <c r="T87" s="3">
        <f t="shared" si="68"/>
        <v>0</v>
      </c>
      <c r="U87" s="3">
        <f t="shared" si="68"/>
        <v>0</v>
      </c>
      <c r="V87" s="3">
        <f t="shared" si="69"/>
        <v>0</v>
      </c>
      <c r="W87" s="3">
        <f t="shared" si="70"/>
        <v>116415265</v>
      </c>
      <c r="X87" s="3">
        <f t="shared" si="70"/>
        <v>167243</v>
      </c>
      <c r="Y87" s="3">
        <f t="shared" si="71"/>
        <v>116582508</v>
      </c>
      <c r="Z87" s="3">
        <f t="shared" si="72"/>
        <v>51224648</v>
      </c>
      <c r="AA87" s="3">
        <f t="shared" si="72"/>
        <v>20749393</v>
      </c>
      <c r="AB87" s="3">
        <f t="shared" si="73"/>
        <v>71974041</v>
      </c>
      <c r="AC87" s="3">
        <f t="shared" si="74"/>
        <v>192361795</v>
      </c>
    </row>
    <row r="88" spans="1:29">
      <c r="A88" s="171">
        <v>42736</v>
      </c>
      <c r="B88" s="104">
        <v>224887</v>
      </c>
      <c r="C88" s="104">
        <v>0</v>
      </c>
      <c r="D88" s="104">
        <f t="shared" si="60"/>
        <v>224887</v>
      </c>
      <c r="E88" s="104">
        <v>0</v>
      </c>
      <c r="F88" s="104">
        <v>0</v>
      </c>
      <c r="G88" s="104">
        <f t="shared" si="61"/>
        <v>0</v>
      </c>
      <c r="H88" s="104">
        <v>95972</v>
      </c>
      <c r="I88" s="104">
        <v>0</v>
      </c>
      <c r="J88" s="104">
        <f t="shared" si="62"/>
        <v>95972</v>
      </c>
      <c r="K88" s="104">
        <v>138431</v>
      </c>
      <c r="L88" s="104">
        <v>0</v>
      </c>
      <c r="M88" s="104">
        <f t="shared" si="63"/>
        <v>138431</v>
      </c>
      <c r="N88" s="104">
        <f t="shared" si="64"/>
        <v>459290</v>
      </c>
      <c r="O88" s="104">
        <f t="shared" si="64"/>
        <v>0</v>
      </c>
      <c r="P88" s="104">
        <f t="shared" si="65"/>
        <v>459290</v>
      </c>
      <c r="Q88" s="104">
        <f>B88</f>
        <v>224887</v>
      </c>
      <c r="R88" s="104">
        <f>C88</f>
        <v>0</v>
      </c>
      <c r="S88" s="104">
        <f>R88+Q88</f>
        <v>224887</v>
      </c>
      <c r="T88" s="104">
        <f>E88</f>
        <v>0</v>
      </c>
      <c r="U88" s="104">
        <f>F88</f>
        <v>0</v>
      </c>
      <c r="V88" s="104">
        <f>U88+T88</f>
        <v>0</v>
      </c>
      <c r="W88" s="104">
        <f>H88</f>
        <v>95972</v>
      </c>
      <c r="X88" s="104">
        <f>I88</f>
        <v>0</v>
      </c>
      <c r="Y88" s="104">
        <f>X88+W88</f>
        <v>95972</v>
      </c>
      <c r="Z88" s="104">
        <f>K88</f>
        <v>138431</v>
      </c>
      <c r="AA88" s="104">
        <f>L88</f>
        <v>0</v>
      </c>
      <c r="AB88" s="104">
        <f>AA88+Z88</f>
        <v>138431</v>
      </c>
      <c r="AC88" s="104">
        <f>AB88+Y88+V88+S88</f>
        <v>459290</v>
      </c>
    </row>
    <row r="89" spans="1:29">
      <c r="A89" s="170">
        <v>42767</v>
      </c>
      <c r="B89" s="3">
        <v>131880</v>
      </c>
      <c r="C89" s="3">
        <v>0</v>
      </c>
      <c r="D89" s="3">
        <f t="shared" si="60"/>
        <v>131880</v>
      </c>
      <c r="E89" s="3">
        <v>0</v>
      </c>
      <c r="F89" s="3">
        <v>0</v>
      </c>
      <c r="G89" s="3">
        <f t="shared" si="61"/>
        <v>0</v>
      </c>
      <c r="H89" s="3">
        <v>9752116</v>
      </c>
      <c r="I89" s="3">
        <v>0</v>
      </c>
      <c r="J89" s="3">
        <f t="shared" si="62"/>
        <v>9752116</v>
      </c>
      <c r="K89" s="3">
        <v>4315110</v>
      </c>
      <c r="L89" s="3">
        <v>1753345</v>
      </c>
      <c r="M89" s="3">
        <f t="shared" si="63"/>
        <v>6068455</v>
      </c>
      <c r="N89" s="3">
        <f t="shared" si="64"/>
        <v>14199106</v>
      </c>
      <c r="O89" s="3">
        <f t="shared" si="64"/>
        <v>1753345</v>
      </c>
      <c r="P89" s="3">
        <f t="shared" si="65"/>
        <v>15952451</v>
      </c>
      <c r="Q89" s="3">
        <f t="shared" ref="Q89:R99" si="75">Q88+B89</f>
        <v>356767</v>
      </c>
      <c r="R89" s="3">
        <f t="shared" si="75"/>
        <v>0</v>
      </c>
      <c r="S89" s="3">
        <f t="shared" ref="S89:S99" si="76">R89+Q89</f>
        <v>356767</v>
      </c>
      <c r="T89" s="3">
        <f t="shared" ref="T89:U99" si="77">T88+E89</f>
        <v>0</v>
      </c>
      <c r="U89" s="3">
        <f t="shared" si="77"/>
        <v>0</v>
      </c>
      <c r="V89" s="3">
        <f t="shared" ref="V89:V99" si="78">U89+T89</f>
        <v>0</v>
      </c>
      <c r="W89" s="3">
        <f t="shared" ref="W89:X99" si="79">W88+H89</f>
        <v>9848088</v>
      </c>
      <c r="X89" s="3">
        <f t="shared" si="79"/>
        <v>0</v>
      </c>
      <c r="Y89" s="3">
        <f t="shared" ref="Y89:Y99" si="80">X89+W89</f>
        <v>9848088</v>
      </c>
      <c r="Z89" s="3">
        <f t="shared" ref="Z89:AA99" si="81">Z88+K89</f>
        <v>4453541</v>
      </c>
      <c r="AA89" s="3">
        <f t="shared" si="81"/>
        <v>1753345</v>
      </c>
      <c r="AB89" s="3">
        <f t="shared" ref="AB89:AB99" si="82">AA89+Z89</f>
        <v>6206886</v>
      </c>
      <c r="AC89" s="3">
        <f t="shared" ref="AC89:AC99" si="83">AB89+Y89+V89+S89</f>
        <v>16411741</v>
      </c>
    </row>
    <row r="90" spans="1:29">
      <c r="A90" s="170">
        <v>42795</v>
      </c>
      <c r="B90" s="3">
        <v>617908</v>
      </c>
      <c r="C90" s="3">
        <v>0</v>
      </c>
      <c r="D90" s="3">
        <f t="shared" si="60"/>
        <v>617908</v>
      </c>
      <c r="E90" s="3">
        <v>0</v>
      </c>
      <c r="F90" s="3">
        <v>0</v>
      </c>
      <c r="G90" s="3">
        <f t="shared" si="61"/>
        <v>0</v>
      </c>
      <c r="H90" s="3">
        <v>10216614</v>
      </c>
      <c r="I90" s="3">
        <v>0</v>
      </c>
      <c r="J90" s="3">
        <f t="shared" si="62"/>
        <v>10216614</v>
      </c>
      <c r="K90" s="3">
        <v>3820021</v>
      </c>
      <c r="L90" s="3">
        <v>1581681</v>
      </c>
      <c r="M90" s="3">
        <f t="shared" si="63"/>
        <v>5401702</v>
      </c>
      <c r="N90" s="3">
        <f t="shared" si="64"/>
        <v>14654543</v>
      </c>
      <c r="O90" s="3">
        <f t="shared" si="64"/>
        <v>1581681</v>
      </c>
      <c r="P90" s="3">
        <f t="shared" si="65"/>
        <v>16236224</v>
      </c>
      <c r="Q90" s="3">
        <f t="shared" si="75"/>
        <v>974675</v>
      </c>
      <c r="R90" s="3">
        <f t="shared" si="75"/>
        <v>0</v>
      </c>
      <c r="S90" s="3">
        <f t="shared" si="76"/>
        <v>974675</v>
      </c>
      <c r="T90" s="3">
        <f t="shared" si="77"/>
        <v>0</v>
      </c>
      <c r="U90" s="3">
        <f t="shared" si="77"/>
        <v>0</v>
      </c>
      <c r="V90" s="3">
        <f t="shared" si="78"/>
        <v>0</v>
      </c>
      <c r="W90" s="3">
        <f t="shared" si="79"/>
        <v>20064702</v>
      </c>
      <c r="X90" s="3">
        <f t="shared" si="79"/>
        <v>0</v>
      </c>
      <c r="Y90" s="3">
        <f t="shared" si="80"/>
        <v>20064702</v>
      </c>
      <c r="Z90" s="3">
        <f t="shared" si="81"/>
        <v>8273562</v>
      </c>
      <c r="AA90" s="3">
        <f t="shared" si="81"/>
        <v>3335026</v>
      </c>
      <c r="AB90" s="3">
        <f t="shared" si="82"/>
        <v>11608588</v>
      </c>
      <c r="AC90" s="3">
        <f t="shared" si="83"/>
        <v>32647965</v>
      </c>
    </row>
    <row r="91" spans="1:29">
      <c r="A91" s="170">
        <v>42826</v>
      </c>
      <c r="B91" s="3">
        <v>331595</v>
      </c>
      <c r="C91" s="3">
        <v>0</v>
      </c>
      <c r="D91" s="3">
        <f t="shared" si="60"/>
        <v>331595</v>
      </c>
      <c r="E91" s="3">
        <v>0</v>
      </c>
      <c r="F91" s="3">
        <v>0</v>
      </c>
      <c r="G91" s="3">
        <f t="shared" si="61"/>
        <v>0</v>
      </c>
      <c r="H91" s="3">
        <v>10678397</v>
      </c>
      <c r="I91" s="3">
        <v>0</v>
      </c>
      <c r="J91" s="3">
        <f t="shared" si="62"/>
        <v>10678397</v>
      </c>
      <c r="K91" s="3">
        <v>4478126</v>
      </c>
      <c r="L91" s="3">
        <v>1878604</v>
      </c>
      <c r="M91" s="3">
        <f t="shared" si="63"/>
        <v>6356730</v>
      </c>
      <c r="N91" s="3">
        <f t="shared" si="64"/>
        <v>15488118</v>
      </c>
      <c r="O91" s="3">
        <f t="shared" si="64"/>
        <v>1878604</v>
      </c>
      <c r="P91" s="3">
        <f t="shared" si="65"/>
        <v>17366722</v>
      </c>
      <c r="Q91" s="3">
        <f t="shared" si="75"/>
        <v>1306270</v>
      </c>
      <c r="R91" s="3">
        <f t="shared" si="75"/>
        <v>0</v>
      </c>
      <c r="S91" s="3">
        <f t="shared" si="76"/>
        <v>1306270</v>
      </c>
      <c r="T91" s="3">
        <f t="shared" si="77"/>
        <v>0</v>
      </c>
      <c r="U91" s="3">
        <f t="shared" si="77"/>
        <v>0</v>
      </c>
      <c r="V91" s="3">
        <f t="shared" si="78"/>
        <v>0</v>
      </c>
      <c r="W91" s="3">
        <f t="shared" si="79"/>
        <v>30743099</v>
      </c>
      <c r="X91" s="3">
        <f t="shared" si="79"/>
        <v>0</v>
      </c>
      <c r="Y91" s="3">
        <f t="shared" si="80"/>
        <v>30743099</v>
      </c>
      <c r="Z91" s="3">
        <f t="shared" si="81"/>
        <v>12751688</v>
      </c>
      <c r="AA91" s="3">
        <f t="shared" si="81"/>
        <v>5213630</v>
      </c>
      <c r="AB91" s="3">
        <f t="shared" si="82"/>
        <v>17965318</v>
      </c>
      <c r="AC91" s="3">
        <f t="shared" si="83"/>
        <v>50014687</v>
      </c>
    </row>
    <row r="92" spans="1:29">
      <c r="A92" s="170">
        <v>42856</v>
      </c>
      <c r="B92" s="3">
        <v>604998</v>
      </c>
      <c r="C92" s="3">
        <v>1331289</v>
      </c>
      <c r="D92" s="3">
        <f t="shared" si="60"/>
        <v>1936287</v>
      </c>
      <c r="E92" s="3">
        <v>0</v>
      </c>
      <c r="F92" s="3">
        <v>0</v>
      </c>
      <c r="G92" s="3">
        <f t="shared" si="61"/>
        <v>0</v>
      </c>
      <c r="H92" s="3">
        <v>12750848</v>
      </c>
      <c r="I92" s="3">
        <v>0</v>
      </c>
      <c r="J92" s="3">
        <f t="shared" si="62"/>
        <v>12750848</v>
      </c>
      <c r="K92" s="3">
        <v>5490050</v>
      </c>
      <c r="L92" s="3">
        <v>2306555</v>
      </c>
      <c r="M92" s="3">
        <f t="shared" si="63"/>
        <v>7796605</v>
      </c>
      <c r="N92" s="3">
        <f t="shared" si="64"/>
        <v>18845896</v>
      </c>
      <c r="O92" s="3">
        <f t="shared" si="64"/>
        <v>3637844</v>
      </c>
      <c r="P92" s="3">
        <f t="shared" si="65"/>
        <v>22483740</v>
      </c>
      <c r="Q92" s="3">
        <f t="shared" si="75"/>
        <v>1911268</v>
      </c>
      <c r="R92" s="3">
        <f t="shared" si="75"/>
        <v>1331289</v>
      </c>
      <c r="S92" s="3">
        <f t="shared" si="76"/>
        <v>3242557</v>
      </c>
      <c r="T92" s="3">
        <f t="shared" si="77"/>
        <v>0</v>
      </c>
      <c r="U92" s="3">
        <f t="shared" si="77"/>
        <v>0</v>
      </c>
      <c r="V92" s="3">
        <f t="shared" si="78"/>
        <v>0</v>
      </c>
      <c r="W92" s="3">
        <f t="shared" si="79"/>
        <v>43493947</v>
      </c>
      <c r="X92" s="3">
        <f t="shared" si="79"/>
        <v>0</v>
      </c>
      <c r="Y92" s="3">
        <f t="shared" si="80"/>
        <v>43493947</v>
      </c>
      <c r="Z92" s="3">
        <f t="shared" si="81"/>
        <v>18241738</v>
      </c>
      <c r="AA92" s="3">
        <f t="shared" si="81"/>
        <v>7520185</v>
      </c>
      <c r="AB92" s="3">
        <f t="shared" si="82"/>
        <v>25761923</v>
      </c>
      <c r="AC92" s="3">
        <f t="shared" si="83"/>
        <v>72498427</v>
      </c>
    </row>
    <row r="93" spans="1:29">
      <c r="A93" s="170">
        <v>42887</v>
      </c>
      <c r="B93" s="3">
        <v>294164</v>
      </c>
      <c r="C93" s="3">
        <v>0</v>
      </c>
      <c r="D93" s="3">
        <f t="shared" si="60"/>
        <v>294164</v>
      </c>
      <c r="E93" s="3">
        <v>0</v>
      </c>
      <c r="F93" s="3">
        <v>0</v>
      </c>
      <c r="G93" s="3">
        <f t="shared" si="61"/>
        <v>0</v>
      </c>
      <c r="H93" s="3">
        <v>13490491</v>
      </c>
      <c r="I93" s="3">
        <v>0</v>
      </c>
      <c r="J93" s="3">
        <f t="shared" si="62"/>
        <v>13490491</v>
      </c>
      <c r="K93" s="3">
        <v>5714928</v>
      </c>
      <c r="L93" s="3">
        <v>2747969</v>
      </c>
      <c r="M93" s="3">
        <f t="shared" si="63"/>
        <v>8462897</v>
      </c>
      <c r="N93" s="3">
        <f t="shared" si="64"/>
        <v>19499583</v>
      </c>
      <c r="O93" s="3">
        <f t="shared" si="64"/>
        <v>2747969</v>
      </c>
      <c r="P93" s="3">
        <f t="shared" si="65"/>
        <v>22247552</v>
      </c>
      <c r="Q93" s="3">
        <f t="shared" si="75"/>
        <v>2205432</v>
      </c>
      <c r="R93" s="3">
        <f t="shared" si="75"/>
        <v>1331289</v>
      </c>
      <c r="S93" s="3">
        <f t="shared" si="76"/>
        <v>3536721</v>
      </c>
      <c r="T93" s="3">
        <f t="shared" si="77"/>
        <v>0</v>
      </c>
      <c r="U93" s="3">
        <f t="shared" si="77"/>
        <v>0</v>
      </c>
      <c r="V93" s="3">
        <f t="shared" si="78"/>
        <v>0</v>
      </c>
      <c r="W93" s="3">
        <f t="shared" si="79"/>
        <v>56984438</v>
      </c>
      <c r="X93" s="3">
        <f t="shared" si="79"/>
        <v>0</v>
      </c>
      <c r="Y93" s="3">
        <f t="shared" si="80"/>
        <v>56984438</v>
      </c>
      <c r="Z93" s="3">
        <f t="shared" si="81"/>
        <v>23956666</v>
      </c>
      <c r="AA93" s="3">
        <f t="shared" si="81"/>
        <v>10268154</v>
      </c>
      <c r="AB93" s="3">
        <f t="shared" si="82"/>
        <v>34224820</v>
      </c>
      <c r="AC93" s="3">
        <f t="shared" si="83"/>
        <v>94745979</v>
      </c>
    </row>
    <row r="94" spans="1:29">
      <c r="A94" s="170">
        <v>42917</v>
      </c>
      <c r="B94" s="3">
        <v>807529</v>
      </c>
      <c r="C94" s="3">
        <v>0</v>
      </c>
      <c r="D94" s="3">
        <f t="shared" si="60"/>
        <v>807529</v>
      </c>
      <c r="E94" s="3">
        <v>0</v>
      </c>
      <c r="F94" s="3">
        <v>0</v>
      </c>
      <c r="G94" s="3">
        <f t="shared" si="61"/>
        <v>0</v>
      </c>
      <c r="H94" s="3">
        <v>12278441</v>
      </c>
      <c r="I94" s="3">
        <v>0</v>
      </c>
      <c r="J94" s="3">
        <f t="shared" si="62"/>
        <v>12278441</v>
      </c>
      <c r="K94" s="3">
        <v>4583079</v>
      </c>
      <c r="L94" s="3">
        <v>2758067</v>
      </c>
      <c r="M94" s="3">
        <f t="shared" si="63"/>
        <v>7341146</v>
      </c>
      <c r="N94" s="3">
        <f t="shared" si="64"/>
        <v>17669049</v>
      </c>
      <c r="O94" s="3">
        <f t="shared" si="64"/>
        <v>2758067</v>
      </c>
      <c r="P94" s="3">
        <f t="shared" si="65"/>
        <v>20427116</v>
      </c>
      <c r="Q94" s="3">
        <f t="shared" si="75"/>
        <v>3012961</v>
      </c>
      <c r="R94" s="3">
        <f t="shared" si="75"/>
        <v>1331289</v>
      </c>
      <c r="S94" s="3">
        <f t="shared" si="76"/>
        <v>4344250</v>
      </c>
      <c r="T94" s="3">
        <f t="shared" si="77"/>
        <v>0</v>
      </c>
      <c r="U94" s="3">
        <f t="shared" si="77"/>
        <v>0</v>
      </c>
      <c r="V94" s="3">
        <f t="shared" si="78"/>
        <v>0</v>
      </c>
      <c r="W94" s="3">
        <f t="shared" si="79"/>
        <v>69262879</v>
      </c>
      <c r="X94" s="3">
        <f t="shared" si="79"/>
        <v>0</v>
      </c>
      <c r="Y94" s="3">
        <f t="shared" si="80"/>
        <v>69262879</v>
      </c>
      <c r="Z94" s="3">
        <f t="shared" si="81"/>
        <v>28539745</v>
      </c>
      <c r="AA94" s="3">
        <f t="shared" si="81"/>
        <v>13026221</v>
      </c>
      <c r="AB94" s="3">
        <f t="shared" si="82"/>
        <v>41565966</v>
      </c>
      <c r="AC94" s="3">
        <f t="shared" si="83"/>
        <v>115173095</v>
      </c>
    </row>
    <row r="95" spans="1:29">
      <c r="A95" s="170">
        <v>42948</v>
      </c>
      <c r="B95" s="3">
        <v>439901</v>
      </c>
      <c r="C95" s="3">
        <v>0</v>
      </c>
      <c r="D95" s="3">
        <f t="shared" si="60"/>
        <v>439901</v>
      </c>
      <c r="E95" s="3">
        <v>0</v>
      </c>
      <c r="F95" s="3">
        <v>0</v>
      </c>
      <c r="G95" s="3">
        <f t="shared" si="61"/>
        <v>0</v>
      </c>
      <c r="H95" s="3">
        <v>12933967</v>
      </c>
      <c r="I95" s="3">
        <v>0</v>
      </c>
      <c r="J95" s="3">
        <f t="shared" si="62"/>
        <v>12933967</v>
      </c>
      <c r="K95" s="3">
        <v>4321654</v>
      </c>
      <c r="L95" s="3">
        <v>2486628</v>
      </c>
      <c r="M95" s="3">
        <f t="shared" si="63"/>
        <v>6808282</v>
      </c>
      <c r="N95" s="3">
        <f t="shared" si="64"/>
        <v>17695522</v>
      </c>
      <c r="O95" s="3">
        <f t="shared" si="64"/>
        <v>2486628</v>
      </c>
      <c r="P95" s="3">
        <f t="shared" si="65"/>
        <v>20182150</v>
      </c>
      <c r="Q95" s="3">
        <f t="shared" si="75"/>
        <v>3452862</v>
      </c>
      <c r="R95" s="3">
        <f t="shared" si="75"/>
        <v>1331289</v>
      </c>
      <c r="S95" s="3">
        <f t="shared" si="76"/>
        <v>4784151</v>
      </c>
      <c r="T95" s="3">
        <f t="shared" si="77"/>
        <v>0</v>
      </c>
      <c r="U95" s="3">
        <f t="shared" si="77"/>
        <v>0</v>
      </c>
      <c r="V95" s="3">
        <f t="shared" si="78"/>
        <v>0</v>
      </c>
      <c r="W95" s="3">
        <f t="shared" si="79"/>
        <v>82196846</v>
      </c>
      <c r="X95" s="3">
        <f t="shared" si="79"/>
        <v>0</v>
      </c>
      <c r="Y95" s="3">
        <f t="shared" si="80"/>
        <v>82196846</v>
      </c>
      <c r="Z95" s="3">
        <f t="shared" si="81"/>
        <v>32861399</v>
      </c>
      <c r="AA95" s="3">
        <f t="shared" si="81"/>
        <v>15512849</v>
      </c>
      <c r="AB95" s="3">
        <f t="shared" si="82"/>
        <v>48374248</v>
      </c>
      <c r="AC95" s="3">
        <f t="shared" si="83"/>
        <v>135355245</v>
      </c>
    </row>
    <row r="96" spans="1:29">
      <c r="A96" s="170">
        <v>42979</v>
      </c>
      <c r="B96" s="3">
        <v>527873</v>
      </c>
      <c r="C96" s="3">
        <v>0</v>
      </c>
      <c r="D96" s="3">
        <f t="shared" si="60"/>
        <v>527873</v>
      </c>
      <c r="E96" s="3">
        <v>0</v>
      </c>
      <c r="F96" s="3">
        <v>0</v>
      </c>
      <c r="G96" s="3">
        <f t="shared" si="61"/>
        <v>0</v>
      </c>
      <c r="H96" s="3">
        <v>14610908</v>
      </c>
      <c r="I96" s="3">
        <v>0</v>
      </c>
      <c r="J96" s="3">
        <f t="shared" si="62"/>
        <v>14610908</v>
      </c>
      <c r="K96" s="3">
        <v>3564770</v>
      </c>
      <c r="L96" s="3">
        <v>2754103</v>
      </c>
      <c r="M96" s="3">
        <f t="shared" si="63"/>
        <v>6318873</v>
      </c>
      <c r="N96" s="3">
        <f t="shared" si="64"/>
        <v>18703551</v>
      </c>
      <c r="O96" s="3">
        <f t="shared" si="64"/>
        <v>2754103</v>
      </c>
      <c r="P96" s="3">
        <f t="shared" si="65"/>
        <v>21457654</v>
      </c>
      <c r="Q96" s="3">
        <f t="shared" si="75"/>
        <v>3980735</v>
      </c>
      <c r="R96" s="3">
        <f t="shared" si="75"/>
        <v>1331289</v>
      </c>
      <c r="S96" s="3">
        <f t="shared" si="76"/>
        <v>5312024</v>
      </c>
      <c r="T96" s="3">
        <f t="shared" si="77"/>
        <v>0</v>
      </c>
      <c r="U96" s="3">
        <f t="shared" si="77"/>
        <v>0</v>
      </c>
      <c r="V96" s="3">
        <f t="shared" si="78"/>
        <v>0</v>
      </c>
      <c r="W96" s="3">
        <f t="shared" si="79"/>
        <v>96807754</v>
      </c>
      <c r="X96" s="3">
        <f t="shared" si="79"/>
        <v>0</v>
      </c>
      <c r="Y96" s="3">
        <f t="shared" si="80"/>
        <v>96807754</v>
      </c>
      <c r="Z96" s="3">
        <f t="shared" si="81"/>
        <v>36426169</v>
      </c>
      <c r="AA96" s="3">
        <f t="shared" si="81"/>
        <v>18266952</v>
      </c>
      <c r="AB96" s="3">
        <f t="shared" si="82"/>
        <v>54693121</v>
      </c>
      <c r="AC96" s="3">
        <f t="shared" si="83"/>
        <v>156812899</v>
      </c>
    </row>
    <row r="97" spans="1:29">
      <c r="A97" s="170">
        <v>43009</v>
      </c>
      <c r="B97" s="3">
        <v>285897</v>
      </c>
      <c r="C97" s="3">
        <v>2971938</v>
      </c>
      <c r="D97" s="3">
        <f t="shared" si="60"/>
        <v>3257835</v>
      </c>
      <c r="E97" s="3">
        <v>0</v>
      </c>
      <c r="F97" s="3">
        <v>0</v>
      </c>
      <c r="G97" s="3">
        <f t="shared" si="61"/>
        <v>0</v>
      </c>
      <c r="H97" s="3">
        <v>12912867</v>
      </c>
      <c r="I97" s="3">
        <v>0</v>
      </c>
      <c r="J97" s="3">
        <f t="shared" si="62"/>
        <v>12912867</v>
      </c>
      <c r="K97" s="3">
        <v>3436415</v>
      </c>
      <c r="L97" s="3">
        <v>2478336</v>
      </c>
      <c r="M97" s="3">
        <f t="shared" si="63"/>
        <v>5914751</v>
      </c>
      <c r="N97" s="3">
        <f t="shared" si="64"/>
        <v>16635179</v>
      </c>
      <c r="O97" s="3">
        <f t="shared" si="64"/>
        <v>5450274</v>
      </c>
      <c r="P97" s="3">
        <f t="shared" si="65"/>
        <v>22085453</v>
      </c>
      <c r="Q97" s="3">
        <f t="shared" si="75"/>
        <v>4266632</v>
      </c>
      <c r="R97" s="3">
        <f t="shared" si="75"/>
        <v>4303227</v>
      </c>
      <c r="S97" s="3">
        <f t="shared" si="76"/>
        <v>8569859</v>
      </c>
      <c r="T97" s="3">
        <f t="shared" si="77"/>
        <v>0</v>
      </c>
      <c r="U97" s="3">
        <f t="shared" si="77"/>
        <v>0</v>
      </c>
      <c r="V97" s="3">
        <f t="shared" si="78"/>
        <v>0</v>
      </c>
      <c r="W97" s="3">
        <f t="shared" si="79"/>
        <v>109720621</v>
      </c>
      <c r="X97" s="3">
        <f t="shared" si="79"/>
        <v>0</v>
      </c>
      <c r="Y97" s="3">
        <f t="shared" si="80"/>
        <v>109720621</v>
      </c>
      <c r="Z97" s="3">
        <f t="shared" si="81"/>
        <v>39862584</v>
      </c>
      <c r="AA97" s="3">
        <f t="shared" si="81"/>
        <v>20745288</v>
      </c>
      <c r="AB97" s="3">
        <f t="shared" si="82"/>
        <v>60607872</v>
      </c>
      <c r="AC97" s="3">
        <f t="shared" si="83"/>
        <v>178898352</v>
      </c>
    </row>
    <row r="98" spans="1:29">
      <c r="A98" s="170">
        <v>43040</v>
      </c>
      <c r="B98" s="3">
        <v>380910</v>
      </c>
      <c r="C98" s="3">
        <v>0</v>
      </c>
      <c r="D98" s="3">
        <f t="shared" si="60"/>
        <v>380910</v>
      </c>
      <c r="E98" s="3">
        <v>0</v>
      </c>
      <c r="F98" s="3">
        <v>0</v>
      </c>
      <c r="G98" s="3">
        <f t="shared" si="61"/>
        <v>0</v>
      </c>
      <c r="H98" s="3">
        <v>13884556</v>
      </c>
      <c r="I98" s="3">
        <v>703636</v>
      </c>
      <c r="J98" s="3">
        <f t="shared" si="62"/>
        <v>14588192</v>
      </c>
      <c r="K98" s="3">
        <v>4070637</v>
      </c>
      <c r="L98" s="3">
        <v>3517725</v>
      </c>
      <c r="M98" s="3">
        <f t="shared" si="63"/>
        <v>7588362</v>
      </c>
      <c r="N98" s="3">
        <f t="shared" si="64"/>
        <v>18336103</v>
      </c>
      <c r="O98" s="3">
        <f t="shared" si="64"/>
        <v>4221361</v>
      </c>
      <c r="P98" s="3">
        <f t="shared" si="65"/>
        <v>22557464</v>
      </c>
      <c r="Q98" s="3">
        <f t="shared" si="75"/>
        <v>4647542</v>
      </c>
      <c r="R98" s="3">
        <f t="shared" si="75"/>
        <v>4303227</v>
      </c>
      <c r="S98" s="3">
        <f t="shared" si="76"/>
        <v>8950769</v>
      </c>
      <c r="T98" s="3">
        <f t="shared" si="77"/>
        <v>0</v>
      </c>
      <c r="U98" s="3">
        <f t="shared" si="77"/>
        <v>0</v>
      </c>
      <c r="V98" s="3">
        <f t="shared" si="78"/>
        <v>0</v>
      </c>
      <c r="W98" s="3">
        <f t="shared" si="79"/>
        <v>123605177</v>
      </c>
      <c r="X98" s="3">
        <f t="shared" si="79"/>
        <v>703636</v>
      </c>
      <c r="Y98" s="3">
        <f t="shared" si="80"/>
        <v>124308813</v>
      </c>
      <c r="Z98" s="3">
        <f t="shared" si="81"/>
        <v>43933221</v>
      </c>
      <c r="AA98" s="3">
        <f t="shared" si="81"/>
        <v>24263013</v>
      </c>
      <c r="AB98" s="3">
        <f t="shared" si="82"/>
        <v>68196234</v>
      </c>
      <c r="AC98" s="3">
        <f t="shared" si="83"/>
        <v>201455816</v>
      </c>
    </row>
    <row r="99" spans="1:29" ht="13.5" thickBot="1">
      <c r="A99" s="170">
        <v>43070</v>
      </c>
      <c r="B99" s="3">
        <v>1096265</v>
      </c>
      <c r="C99" s="3">
        <v>0</v>
      </c>
      <c r="D99" s="3">
        <f t="shared" si="60"/>
        <v>1096265</v>
      </c>
      <c r="E99" s="3">
        <v>0</v>
      </c>
      <c r="F99" s="3">
        <v>0</v>
      </c>
      <c r="G99" s="3">
        <f t="shared" si="61"/>
        <v>0</v>
      </c>
      <c r="H99" s="3">
        <v>31879631</v>
      </c>
      <c r="I99" s="3">
        <v>912312</v>
      </c>
      <c r="J99" s="3">
        <f t="shared" si="62"/>
        <v>32791943</v>
      </c>
      <c r="K99" s="3">
        <v>8790659</v>
      </c>
      <c r="L99" s="3">
        <v>6489790</v>
      </c>
      <c r="M99" s="3">
        <f t="shared" si="63"/>
        <v>15280449</v>
      </c>
      <c r="N99" s="3">
        <f t="shared" si="64"/>
        <v>41766555</v>
      </c>
      <c r="O99" s="3">
        <f t="shared" si="64"/>
        <v>7402102</v>
      </c>
      <c r="P99" s="3">
        <f t="shared" si="65"/>
        <v>49168657</v>
      </c>
      <c r="Q99" s="3">
        <f t="shared" si="75"/>
        <v>5743807</v>
      </c>
      <c r="R99" s="3">
        <f t="shared" si="75"/>
        <v>4303227</v>
      </c>
      <c r="S99" s="3">
        <f t="shared" si="76"/>
        <v>10047034</v>
      </c>
      <c r="T99" s="3">
        <f t="shared" si="77"/>
        <v>0</v>
      </c>
      <c r="U99" s="3">
        <f t="shared" si="77"/>
        <v>0</v>
      </c>
      <c r="V99" s="3">
        <f t="shared" si="78"/>
        <v>0</v>
      </c>
      <c r="W99" s="3">
        <f t="shared" si="79"/>
        <v>155484808</v>
      </c>
      <c r="X99" s="3">
        <f t="shared" si="79"/>
        <v>1615948</v>
      </c>
      <c r="Y99" s="3">
        <f t="shared" si="80"/>
        <v>157100756</v>
      </c>
      <c r="Z99" s="3">
        <f t="shared" si="81"/>
        <v>52723880</v>
      </c>
      <c r="AA99" s="3">
        <f t="shared" si="81"/>
        <v>30752803</v>
      </c>
      <c r="AB99" s="3">
        <f t="shared" si="82"/>
        <v>83476683</v>
      </c>
      <c r="AC99" s="3">
        <f t="shared" si="83"/>
        <v>250624473</v>
      </c>
    </row>
    <row r="100" spans="1:29">
      <c r="A100" s="171">
        <v>43101</v>
      </c>
      <c r="B100" s="104">
        <v>760163</v>
      </c>
      <c r="C100" s="104">
        <v>0</v>
      </c>
      <c r="D100" s="104">
        <f t="shared" si="60"/>
        <v>760163</v>
      </c>
      <c r="E100" s="104">
        <v>0</v>
      </c>
      <c r="F100" s="104">
        <v>0</v>
      </c>
      <c r="G100" s="104">
        <f t="shared" si="61"/>
        <v>0</v>
      </c>
      <c r="H100" s="104">
        <v>20688</v>
      </c>
      <c r="I100" s="104">
        <v>0</v>
      </c>
      <c r="J100" s="104">
        <f t="shared" si="62"/>
        <v>20688</v>
      </c>
      <c r="K100" s="104">
        <v>186414</v>
      </c>
      <c r="L100" s="104">
        <v>0</v>
      </c>
      <c r="M100" s="104">
        <f t="shared" si="63"/>
        <v>186414</v>
      </c>
      <c r="N100" s="104">
        <f t="shared" si="64"/>
        <v>967265</v>
      </c>
      <c r="O100" s="104">
        <f t="shared" si="64"/>
        <v>0</v>
      </c>
      <c r="P100" s="104">
        <f t="shared" si="65"/>
        <v>967265</v>
      </c>
      <c r="Q100" s="104">
        <f>B100</f>
        <v>760163</v>
      </c>
      <c r="R100" s="104">
        <f>C100</f>
        <v>0</v>
      </c>
      <c r="S100" s="104">
        <f>R100+Q100</f>
        <v>760163</v>
      </c>
      <c r="T100" s="104">
        <f>E100</f>
        <v>0</v>
      </c>
      <c r="U100" s="104">
        <f>F100</f>
        <v>0</v>
      </c>
      <c r="V100" s="104">
        <f>U100+T100</f>
        <v>0</v>
      </c>
      <c r="W100" s="104">
        <f>H100</f>
        <v>20688</v>
      </c>
      <c r="X100" s="104">
        <f>I100</f>
        <v>0</v>
      </c>
      <c r="Y100" s="104">
        <f>X100+W100</f>
        <v>20688</v>
      </c>
      <c r="Z100" s="104">
        <f>K100</f>
        <v>186414</v>
      </c>
      <c r="AA100" s="104">
        <f>L100</f>
        <v>0</v>
      </c>
      <c r="AB100" s="104">
        <f>AA100+Z100</f>
        <v>186414</v>
      </c>
      <c r="AC100" s="104">
        <f>AB100+Y100+V100+S100</f>
        <v>967265</v>
      </c>
    </row>
    <row r="101" spans="1:29">
      <c r="A101" s="170">
        <v>43132</v>
      </c>
      <c r="B101" s="3">
        <v>521507</v>
      </c>
      <c r="C101" s="3">
        <v>0</v>
      </c>
      <c r="D101" s="3">
        <f t="shared" si="60"/>
        <v>521507</v>
      </c>
      <c r="E101" s="3">
        <v>0</v>
      </c>
      <c r="F101" s="3">
        <v>0</v>
      </c>
      <c r="G101" s="3">
        <f t="shared" si="61"/>
        <v>0</v>
      </c>
      <c r="H101" s="3">
        <v>12807199</v>
      </c>
      <c r="I101" s="3">
        <v>860031</v>
      </c>
      <c r="J101" s="3">
        <f t="shared" si="62"/>
        <v>13667230</v>
      </c>
      <c r="K101" s="3">
        <v>4089552</v>
      </c>
      <c r="L101" s="3">
        <v>2095277</v>
      </c>
      <c r="M101" s="3">
        <f t="shared" si="63"/>
        <v>6184829</v>
      </c>
      <c r="N101" s="3">
        <f t="shared" si="64"/>
        <v>17418258</v>
      </c>
      <c r="O101" s="3">
        <f t="shared" si="64"/>
        <v>2955308</v>
      </c>
      <c r="P101" s="3">
        <f t="shared" si="65"/>
        <v>20373566</v>
      </c>
      <c r="Q101" s="3">
        <f>Q100+B101</f>
        <v>1281670</v>
      </c>
      <c r="R101" s="3">
        <f>R100+C101</f>
        <v>0</v>
      </c>
      <c r="S101" s="3">
        <f t="shared" ref="S101:S150" si="84">R101+Q101</f>
        <v>1281670</v>
      </c>
      <c r="T101" s="3">
        <f>T100+E101</f>
        <v>0</v>
      </c>
      <c r="U101" s="3">
        <f>U100+F101</f>
        <v>0</v>
      </c>
      <c r="V101" s="3">
        <f t="shared" ref="V101:V150" si="85">U101+T101</f>
        <v>0</v>
      </c>
      <c r="W101" s="3">
        <f>W100+H101</f>
        <v>12827887</v>
      </c>
      <c r="X101" s="3">
        <f>X100+I101</f>
        <v>860031</v>
      </c>
      <c r="Y101" s="3">
        <f t="shared" ref="Y101:Y111" si="86">X101+W101</f>
        <v>13687918</v>
      </c>
      <c r="Z101" s="3">
        <f>Z100+K101</f>
        <v>4275966</v>
      </c>
      <c r="AA101" s="3">
        <f>AA100+L101</f>
        <v>2095277</v>
      </c>
      <c r="AB101" s="3">
        <f t="shared" ref="AB101:AB111" si="87">AA101+Z101</f>
        <v>6371243</v>
      </c>
      <c r="AC101" s="3">
        <f t="shared" ref="AC101:AC111" si="88">AB101+Y101+V101+S101</f>
        <v>21340831</v>
      </c>
    </row>
    <row r="102" spans="1:29">
      <c r="A102" s="170">
        <v>43160</v>
      </c>
      <c r="B102" s="3">
        <v>721305</v>
      </c>
      <c r="C102" s="3">
        <v>1616594</v>
      </c>
      <c r="D102" s="3">
        <f t="shared" si="60"/>
        <v>2337899</v>
      </c>
      <c r="E102" s="3">
        <v>0</v>
      </c>
      <c r="F102" s="3">
        <v>0</v>
      </c>
      <c r="G102" s="3">
        <f t="shared" si="61"/>
        <v>0</v>
      </c>
      <c r="H102" s="3">
        <v>11493874</v>
      </c>
      <c r="I102" s="3">
        <v>741867</v>
      </c>
      <c r="J102" s="3">
        <f t="shared" si="62"/>
        <v>12235741</v>
      </c>
      <c r="K102" s="3">
        <v>3892294</v>
      </c>
      <c r="L102" s="3">
        <v>1933792</v>
      </c>
      <c r="M102" s="3">
        <f t="shared" si="63"/>
        <v>5826086</v>
      </c>
      <c r="N102" s="3">
        <f t="shared" si="64"/>
        <v>16107473</v>
      </c>
      <c r="O102" s="3">
        <f t="shared" si="64"/>
        <v>4292253</v>
      </c>
      <c r="P102" s="3">
        <f t="shared" si="65"/>
        <v>20399726</v>
      </c>
      <c r="Q102" s="3">
        <f t="shared" ref="Q102:R110" si="89">Q101+B102</f>
        <v>2002975</v>
      </c>
      <c r="R102" s="3">
        <f t="shared" si="89"/>
        <v>1616594</v>
      </c>
      <c r="S102" s="3">
        <f t="shared" si="84"/>
        <v>3619569</v>
      </c>
      <c r="T102" s="3">
        <f t="shared" ref="T102:U110" si="90">T101+E102</f>
        <v>0</v>
      </c>
      <c r="U102" s="3">
        <f t="shared" si="90"/>
        <v>0</v>
      </c>
      <c r="V102" s="3">
        <f t="shared" si="85"/>
        <v>0</v>
      </c>
      <c r="W102" s="3">
        <f t="shared" ref="W102:X110" si="91">W101+H102</f>
        <v>24321761</v>
      </c>
      <c r="X102" s="3">
        <f t="shared" si="91"/>
        <v>1601898</v>
      </c>
      <c r="Y102" s="3">
        <f t="shared" si="86"/>
        <v>25923659</v>
      </c>
      <c r="Z102" s="3">
        <f t="shared" ref="Z102:AA110" si="92">Z101+K102</f>
        <v>8168260</v>
      </c>
      <c r="AA102" s="3">
        <f t="shared" si="92"/>
        <v>4029069</v>
      </c>
      <c r="AB102" s="3">
        <f t="shared" si="87"/>
        <v>12197329</v>
      </c>
      <c r="AC102" s="3">
        <f t="shared" si="88"/>
        <v>41740557</v>
      </c>
    </row>
    <row r="103" spans="1:29">
      <c r="A103" s="170">
        <v>43191</v>
      </c>
      <c r="B103" s="3">
        <v>877687</v>
      </c>
      <c r="C103" s="3">
        <v>0</v>
      </c>
      <c r="D103" s="3">
        <f t="shared" si="60"/>
        <v>877687</v>
      </c>
      <c r="E103" s="3">
        <v>0</v>
      </c>
      <c r="F103" s="3">
        <v>0</v>
      </c>
      <c r="G103" s="3">
        <f t="shared" si="61"/>
        <v>0</v>
      </c>
      <c r="H103" s="3">
        <v>12875336</v>
      </c>
      <c r="I103" s="3">
        <v>961472</v>
      </c>
      <c r="J103" s="3">
        <f t="shared" si="62"/>
        <v>13836808</v>
      </c>
      <c r="K103" s="3">
        <v>3862235</v>
      </c>
      <c r="L103" s="3">
        <v>2095347</v>
      </c>
      <c r="M103" s="3">
        <f t="shared" si="63"/>
        <v>5957582</v>
      </c>
      <c r="N103" s="3">
        <f t="shared" si="64"/>
        <v>17615258</v>
      </c>
      <c r="O103" s="3">
        <f t="shared" si="64"/>
        <v>3056819</v>
      </c>
      <c r="P103" s="3">
        <f t="shared" si="65"/>
        <v>20672077</v>
      </c>
      <c r="Q103" s="3">
        <f t="shared" si="89"/>
        <v>2880662</v>
      </c>
      <c r="R103" s="3">
        <f t="shared" si="89"/>
        <v>1616594</v>
      </c>
      <c r="S103" s="3">
        <f t="shared" si="84"/>
        <v>4497256</v>
      </c>
      <c r="T103" s="3">
        <f t="shared" si="90"/>
        <v>0</v>
      </c>
      <c r="U103" s="3">
        <f t="shared" si="90"/>
        <v>0</v>
      </c>
      <c r="V103" s="3">
        <f t="shared" si="85"/>
        <v>0</v>
      </c>
      <c r="W103" s="3">
        <f t="shared" si="91"/>
        <v>37197097</v>
      </c>
      <c r="X103" s="3">
        <f t="shared" si="91"/>
        <v>2563370</v>
      </c>
      <c r="Y103" s="3">
        <f t="shared" si="86"/>
        <v>39760467</v>
      </c>
      <c r="Z103" s="3">
        <f t="shared" si="92"/>
        <v>12030495</v>
      </c>
      <c r="AA103" s="3">
        <f t="shared" si="92"/>
        <v>6124416</v>
      </c>
      <c r="AB103" s="3">
        <f t="shared" si="87"/>
        <v>18154911</v>
      </c>
      <c r="AC103" s="3">
        <f t="shared" si="88"/>
        <v>62412634</v>
      </c>
    </row>
    <row r="104" spans="1:29">
      <c r="A104" s="170">
        <v>43221</v>
      </c>
      <c r="B104" s="3">
        <v>537342</v>
      </c>
      <c r="C104" s="3">
        <v>0</v>
      </c>
      <c r="D104" s="3">
        <f t="shared" si="60"/>
        <v>537342</v>
      </c>
      <c r="E104" s="3">
        <v>0</v>
      </c>
      <c r="F104" s="3">
        <v>0</v>
      </c>
      <c r="G104" s="3">
        <f t="shared" si="61"/>
        <v>0</v>
      </c>
      <c r="H104" s="3">
        <v>15555160</v>
      </c>
      <c r="I104" s="3">
        <v>392582</v>
      </c>
      <c r="J104" s="3">
        <f t="shared" si="62"/>
        <v>15947742</v>
      </c>
      <c r="K104" s="3">
        <v>3040090</v>
      </c>
      <c r="L104" s="3">
        <v>2543716</v>
      </c>
      <c r="M104" s="3">
        <f t="shared" si="63"/>
        <v>5583806</v>
      </c>
      <c r="N104" s="3">
        <f t="shared" si="64"/>
        <v>19132592</v>
      </c>
      <c r="O104" s="3">
        <f t="shared" si="64"/>
        <v>2936298</v>
      </c>
      <c r="P104" s="3">
        <f t="shared" si="65"/>
        <v>22068890</v>
      </c>
      <c r="Q104" s="3">
        <f t="shared" si="89"/>
        <v>3418004</v>
      </c>
      <c r="R104" s="3">
        <f t="shared" si="89"/>
        <v>1616594</v>
      </c>
      <c r="S104" s="3">
        <f t="shared" si="84"/>
        <v>5034598</v>
      </c>
      <c r="T104" s="3">
        <f t="shared" si="90"/>
        <v>0</v>
      </c>
      <c r="U104" s="3">
        <f t="shared" si="90"/>
        <v>0</v>
      </c>
      <c r="V104" s="3">
        <f t="shared" si="85"/>
        <v>0</v>
      </c>
      <c r="W104" s="3">
        <f t="shared" si="91"/>
        <v>52752257</v>
      </c>
      <c r="X104" s="3">
        <f t="shared" si="91"/>
        <v>2955952</v>
      </c>
      <c r="Y104" s="3">
        <f t="shared" si="86"/>
        <v>55708209</v>
      </c>
      <c r="Z104" s="3">
        <f t="shared" si="92"/>
        <v>15070585</v>
      </c>
      <c r="AA104" s="3">
        <f t="shared" si="92"/>
        <v>8668132</v>
      </c>
      <c r="AB104" s="3">
        <f t="shared" si="87"/>
        <v>23738717</v>
      </c>
      <c r="AC104" s="3">
        <f t="shared" si="88"/>
        <v>84481524</v>
      </c>
    </row>
    <row r="105" spans="1:29">
      <c r="A105" s="170">
        <v>43252</v>
      </c>
      <c r="B105" s="3">
        <v>549023</v>
      </c>
      <c r="C105" s="3">
        <v>0</v>
      </c>
      <c r="D105" s="3">
        <f t="shared" si="60"/>
        <v>549023</v>
      </c>
      <c r="E105" s="3">
        <v>0</v>
      </c>
      <c r="F105" s="3">
        <v>0</v>
      </c>
      <c r="G105" s="3">
        <f t="shared" si="61"/>
        <v>0</v>
      </c>
      <c r="H105" s="3">
        <v>18467304</v>
      </c>
      <c r="I105" s="3">
        <v>228611</v>
      </c>
      <c r="J105" s="3">
        <f t="shared" si="62"/>
        <v>18695915</v>
      </c>
      <c r="K105" s="3">
        <v>3270773</v>
      </c>
      <c r="L105" s="3">
        <v>2754865</v>
      </c>
      <c r="M105" s="3">
        <f t="shared" si="63"/>
        <v>6025638</v>
      </c>
      <c r="N105" s="3">
        <f t="shared" si="64"/>
        <v>22287100</v>
      </c>
      <c r="O105" s="3">
        <f t="shared" si="64"/>
        <v>2983476</v>
      </c>
      <c r="P105" s="3">
        <f t="shared" si="65"/>
        <v>25270576</v>
      </c>
      <c r="Q105" s="3">
        <f t="shared" si="89"/>
        <v>3967027</v>
      </c>
      <c r="R105" s="3">
        <f t="shared" si="89"/>
        <v>1616594</v>
      </c>
      <c r="S105" s="3">
        <f t="shared" si="84"/>
        <v>5583621</v>
      </c>
      <c r="T105" s="3">
        <f t="shared" si="90"/>
        <v>0</v>
      </c>
      <c r="U105" s="3">
        <f t="shared" si="90"/>
        <v>0</v>
      </c>
      <c r="V105" s="3">
        <f t="shared" si="85"/>
        <v>0</v>
      </c>
      <c r="W105" s="3">
        <f t="shared" si="91"/>
        <v>71219561</v>
      </c>
      <c r="X105" s="3">
        <f t="shared" si="91"/>
        <v>3184563</v>
      </c>
      <c r="Y105" s="3">
        <f t="shared" si="86"/>
        <v>74404124</v>
      </c>
      <c r="Z105" s="3">
        <f t="shared" si="92"/>
        <v>18341358</v>
      </c>
      <c r="AA105" s="3">
        <f t="shared" si="92"/>
        <v>11422997</v>
      </c>
      <c r="AB105" s="3">
        <f t="shared" si="87"/>
        <v>29764355</v>
      </c>
      <c r="AC105" s="3">
        <f t="shared" si="88"/>
        <v>109752100</v>
      </c>
    </row>
    <row r="106" spans="1:29">
      <c r="A106" s="170">
        <v>43282</v>
      </c>
      <c r="B106" s="3">
        <v>267804</v>
      </c>
      <c r="C106" s="3">
        <v>0</v>
      </c>
      <c r="D106" s="3">
        <f t="shared" si="60"/>
        <v>267804</v>
      </c>
      <c r="E106" s="3">
        <v>0</v>
      </c>
      <c r="F106" s="3">
        <v>0</v>
      </c>
      <c r="G106" s="3">
        <f t="shared" si="61"/>
        <v>0</v>
      </c>
      <c r="H106" s="3">
        <v>19082106</v>
      </c>
      <c r="I106" s="3">
        <v>196608</v>
      </c>
      <c r="J106" s="3">
        <f t="shared" si="62"/>
        <v>19278714</v>
      </c>
      <c r="K106" s="3">
        <v>4067717</v>
      </c>
      <c r="L106" s="3">
        <v>2736723</v>
      </c>
      <c r="M106" s="3">
        <f t="shared" si="63"/>
        <v>6804440</v>
      </c>
      <c r="N106" s="3">
        <f t="shared" si="64"/>
        <v>23417627</v>
      </c>
      <c r="O106" s="3">
        <f t="shared" si="64"/>
        <v>2933331</v>
      </c>
      <c r="P106" s="3">
        <f t="shared" si="65"/>
        <v>26350958</v>
      </c>
      <c r="Q106" s="3">
        <f t="shared" si="89"/>
        <v>4234831</v>
      </c>
      <c r="R106" s="3">
        <f t="shared" si="89"/>
        <v>1616594</v>
      </c>
      <c r="S106" s="3">
        <f t="shared" si="84"/>
        <v>5851425</v>
      </c>
      <c r="T106" s="3">
        <f t="shared" si="90"/>
        <v>0</v>
      </c>
      <c r="U106" s="3">
        <f t="shared" si="90"/>
        <v>0</v>
      </c>
      <c r="V106" s="3">
        <f t="shared" si="85"/>
        <v>0</v>
      </c>
      <c r="W106" s="3">
        <f t="shared" si="91"/>
        <v>90301667</v>
      </c>
      <c r="X106" s="3">
        <f t="shared" si="91"/>
        <v>3381171</v>
      </c>
      <c r="Y106" s="3">
        <f t="shared" si="86"/>
        <v>93682838</v>
      </c>
      <c r="Z106" s="3">
        <f t="shared" si="92"/>
        <v>22409075</v>
      </c>
      <c r="AA106" s="3">
        <f t="shared" si="92"/>
        <v>14159720</v>
      </c>
      <c r="AB106" s="3">
        <f t="shared" si="87"/>
        <v>36568795</v>
      </c>
      <c r="AC106" s="3">
        <f t="shared" si="88"/>
        <v>136103058</v>
      </c>
    </row>
    <row r="107" spans="1:29">
      <c r="A107" s="170">
        <v>43313</v>
      </c>
      <c r="B107" s="3">
        <v>445350</v>
      </c>
      <c r="C107" s="3">
        <v>0</v>
      </c>
      <c r="D107" s="3">
        <f t="shared" si="60"/>
        <v>445350</v>
      </c>
      <c r="E107" s="3">
        <v>0</v>
      </c>
      <c r="F107" s="3">
        <v>0</v>
      </c>
      <c r="G107" s="3">
        <f t="shared" si="61"/>
        <v>0</v>
      </c>
      <c r="H107" s="3">
        <v>22250007</v>
      </c>
      <c r="I107" s="3">
        <v>428514</v>
      </c>
      <c r="J107" s="3">
        <f t="shared" si="62"/>
        <v>22678521</v>
      </c>
      <c r="K107" s="3">
        <v>5389916</v>
      </c>
      <c r="L107" s="3">
        <v>2778425</v>
      </c>
      <c r="M107" s="3">
        <f t="shared" si="63"/>
        <v>8168341</v>
      </c>
      <c r="N107" s="3">
        <f t="shared" si="64"/>
        <v>28085273</v>
      </c>
      <c r="O107" s="3">
        <f t="shared" si="64"/>
        <v>3206939</v>
      </c>
      <c r="P107" s="3">
        <f t="shared" si="65"/>
        <v>31292212</v>
      </c>
      <c r="Q107" s="3">
        <f t="shared" si="89"/>
        <v>4680181</v>
      </c>
      <c r="R107" s="3">
        <f t="shared" si="89"/>
        <v>1616594</v>
      </c>
      <c r="S107" s="3">
        <f t="shared" si="84"/>
        <v>6296775</v>
      </c>
      <c r="T107" s="3">
        <f t="shared" si="90"/>
        <v>0</v>
      </c>
      <c r="U107" s="3">
        <f t="shared" si="90"/>
        <v>0</v>
      </c>
      <c r="V107" s="3">
        <f t="shared" si="85"/>
        <v>0</v>
      </c>
      <c r="W107" s="3">
        <f t="shared" si="91"/>
        <v>112551674</v>
      </c>
      <c r="X107" s="3">
        <f t="shared" si="91"/>
        <v>3809685</v>
      </c>
      <c r="Y107" s="3">
        <f t="shared" si="86"/>
        <v>116361359</v>
      </c>
      <c r="Z107" s="3">
        <f t="shared" si="92"/>
        <v>27798991</v>
      </c>
      <c r="AA107" s="3">
        <f t="shared" si="92"/>
        <v>16938145</v>
      </c>
      <c r="AB107" s="3">
        <f t="shared" si="87"/>
        <v>44737136</v>
      </c>
      <c r="AC107" s="3">
        <f t="shared" si="88"/>
        <v>167395270</v>
      </c>
    </row>
    <row r="108" spans="1:29">
      <c r="A108" s="170">
        <v>43344</v>
      </c>
      <c r="B108" s="3">
        <v>888689</v>
      </c>
      <c r="C108" s="3">
        <v>0</v>
      </c>
      <c r="D108" s="3">
        <f t="shared" si="60"/>
        <v>888689</v>
      </c>
      <c r="E108" s="3">
        <v>0</v>
      </c>
      <c r="F108" s="3">
        <v>0</v>
      </c>
      <c r="G108" s="3">
        <f t="shared" si="61"/>
        <v>0</v>
      </c>
      <c r="H108" s="3">
        <v>19518579</v>
      </c>
      <c r="I108" s="3">
        <v>260744</v>
      </c>
      <c r="J108" s="3">
        <f t="shared" si="62"/>
        <v>19779323</v>
      </c>
      <c r="K108" s="3">
        <v>5465132</v>
      </c>
      <c r="L108" s="3">
        <v>2715051</v>
      </c>
      <c r="M108" s="3">
        <f t="shared" si="63"/>
        <v>8180183</v>
      </c>
      <c r="N108" s="3">
        <f t="shared" si="64"/>
        <v>25872400</v>
      </c>
      <c r="O108" s="3">
        <f t="shared" si="64"/>
        <v>2975795</v>
      </c>
      <c r="P108" s="3">
        <f t="shared" si="65"/>
        <v>28848195</v>
      </c>
      <c r="Q108" s="3">
        <f t="shared" si="89"/>
        <v>5568870</v>
      </c>
      <c r="R108" s="3">
        <f t="shared" si="89"/>
        <v>1616594</v>
      </c>
      <c r="S108" s="3">
        <f t="shared" si="84"/>
        <v>7185464</v>
      </c>
      <c r="T108" s="3">
        <f t="shared" si="90"/>
        <v>0</v>
      </c>
      <c r="U108" s="3">
        <f t="shared" si="90"/>
        <v>0</v>
      </c>
      <c r="V108" s="3">
        <f t="shared" si="85"/>
        <v>0</v>
      </c>
      <c r="W108" s="3">
        <f t="shared" si="91"/>
        <v>132070253</v>
      </c>
      <c r="X108" s="3">
        <f t="shared" si="91"/>
        <v>4070429</v>
      </c>
      <c r="Y108" s="3">
        <f t="shared" si="86"/>
        <v>136140682</v>
      </c>
      <c r="Z108" s="3">
        <f t="shared" si="92"/>
        <v>33264123</v>
      </c>
      <c r="AA108" s="3">
        <f t="shared" si="92"/>
        <v>19653196</v>
      </c>
      <c r="AB108" s="3">
        <f t="shared" si="87"/>
        <v>52917319</v>
      </c>
      <c r="AC108" s="3">
        <f t="shared" si="88"/>
        <v>196243465</v>
      </c>
    </row>
    <row r="109" spans="1:29">
      <c r="A109" s="170">
        <v>43374</v>
      </c>
      <c r="B109" s="3">
        <v>439426</v>
      </c>
      <c r="C109" s="3">
        <v>0</v>
      </c>
      <c r="D109" s="3">
        <f t="shared" si="60"/>
        <v>439426</v>
      </c>
      <c r="E109" s="3">
        <v>0</v>
      </c>
      <c r="F109" s="3">
        <v>0</v>
      </c>
      <c r="G109" s="3">
        <f t="shared" si="61"/>
        <v>0</v>
      </c>
      <c r="H109" s="3">
        <v>19797994</v>
      </c>
      <c r="I109" s="3">
        <v>1114044</v>
      </c>
      <c r="J109" s="3">
        <f t="shared" si="62"/>
        <v>20912038</v>
      </c>
      <c r="K109" s="3">
        <v>5739552</v>
      </c>
      <c r="L109" s="3">
        <v>1907499</v>
      </c>
      <c r="M109" s="3">
        <f t="shared" si="63"/>
        <v>7647051</v>
      </c>
      <c r="N109" s="3">
        <f t="shared" si="64"/>
        <v>25976972</v>
      </c>
      <c r="O109" s="3">
        <f t="shared" si="64"/>
        <v>3021543</v>
      </c>
      <c r="P109" s="3">
        <f t="shared" si="65"/>
        <v>28998515</v>
      </c>
      <c r="Q109" s="3">
        <f t="shared" si="89"/>
        <v>6008296</v>
      </c>
      <c r="R109" s="3">
        <f t="shared" si="89"/>
        <v>1616594</v>
      </c>
      <c r="S109" s="3">
        <f t="shared" si="84"/>
        <v>7624890</v>
      </c>
      <c r="T109" s="3">
        <f t="shared" si="90"/>
        <v>0</v>
      </c>
      <c r="U109" s="3">
        <f t="shared" si="90"/>
        <v>0</v>
      </c>
      <c r="V109" s="3">
        <f t="shared" si="85"/>
        <v>0</v>
      </c>
      <c r="W109" s="3">
        <f t="shared" si="91"/>
        <v>151868247</v>
      </c>
      <c r="X109" s="3">
        <f t="shared" si="91"/>
        <v>5184473</v>
      </c>
      <c r="Y109" s="3">
        <f t="shared" si="86"/>
        <v>157052720</v>
      </c>
      <c r="Z109" s="3">
        <f t="shared" si="92"/>
        <v>39003675</v>
      </c>
      <c r="AA109" s="3">
        <f t="shared" si="92"/>
        <v>21560695</v>
      </c>
      <c r="AB109" s="3">
        <f t="shared" si="87"/>
        <v>60564370</v>
      </c>
      <c r="AC109" s="3">
        <f t="shared" si="88"/>
        <v>225241980</v>
      </c>
    </row>
    <row r="110" spans="1:29">
      <c r="A110" s="170">
        <v>43405</v>
      </c>
      <c r="B110" s="3">
        <v>389828</v>
      </c>
      <c r="C110" s="3">
        <v>0</v>
      </c>
      <c r="D110" s="3">
        <f t="shared" si="60"/>
        <v>389828</v>
      </c>
      <c r="E110" s="3">
        <v>0</v>
      </c>
      <c r="F110" s="3">
        <v>0</v>
      </c>
      <c r="G110" s="3">
        <f t="shared" si="61"/>
        <v>0</v>
      </c>
      <c r="H110" s="3">
        <v>19064110</v>
      </c>
      <c r="I110" s="3">
        <v>1057401</v>
      </c>
      <c r="J110" s="3">
        <f t="shared" si="62"/>
        <v>20121511</v>
      </c>
      <c r="K110" s="3">
        <v>5018307</v>
      </c>
      <c r="L110" s="3">
        <v>2109830</v>
      </c>
      <c r="M110" s="3">
        <f t="shared" si="63"/>
        <v>7128137</v>
      </c>
      <c r="N110" s="3">
        <f t="shared" si="64"/>
        <v>24472245</v>
      </c>
      <c r="O110" s="3">
        <f t="shared" si="64"/>
        <v>3167231</v>
      </c>
      <c r="P110" s="3">
        <f t="shared" si="65"/>
        <v>27639476</v>
      </c>
      <c r="Q110" s="3">
        <f t="shared" si="89"/>
        <v>6398124</v>
      </c>
      <c r="R110" s="3">
        <f t="shared" si="89"/>
        <v>1616594</v>
      </c>
      <c r="S110" s="3">
        <f t="shared" si="84"/>
        <v>8014718</v>
      </c>
      <c r="T110" s="3">
        <f t="shared" si="90"/>
        <v>0</v>
      </c>
      <c r="U110" s="3">
        <f t="shared" si="90"/>
        <v>0</v>
      </c>
      <c r="V110" s="3">
        <f t="shared" si="85"/>
        <v>0</v>
      </c>
      <c r="W110" s="3">
        <f t="shared" si="91"/>
        <v>170932357</v>
      </c>
      <c r="X110" s="3">
        <f t="shared" si="91"/>
        <v>6241874</v>
      </c>
      <c r="Y110" s="3">
        <f t="shared" si="86"/>
        <v>177174231</v>
      </c>
      <c r="Z110" s="3">
        <f t="shared" si="92"/>
        <v>44021982</v>
      </c>
      <c r="AA110" s="3">
        <f t="shared" si="92"/>
        <v>23670525</v>
      </c>
      <c r="AB110" s="3">
        <f t="shared" si="87"/>
        <v>67692507</v>
      </c>
      <c r="AC110" s="3">
        <f t="shared" si="88"/>
        <v>252881456</v>
      </c>
    </row>
    <row r="111" spans="1:29" ht="13.5" thickBot="1">
      <c r="A111" s="170">
        <v>43435</v>
      </c>
      <c r="B111" s="3">
        <v>143450</v>
      </c>
      <c r="C111" s="3">
        <v>0</v>
      </c>
      <c r="D111" s="3">
        <f t="shared" si="60"/>
        <v>143450</v>
      </c>
      <c r="E111" s="3">
        <v>0</v>
      </c>
      <c r="F111" s="3">
        <v>0</v>
      </c>
      <c r="G111" s="3">
        <f t="shared" si="61"/>
        <v>0</v>
      </c>
      <c r="H111" s="3">
        <v>42259874</v>
      </c>
      <c r="I111" s="3">
        <v>2076150</v>
      </c>
      <c r="J111" s="3">
        <f t="shared" si="62"/>
        <v>44336024</v>
      </c>
      <c r="K111" s="3">
        <v>11152309</v>
      </c>
      <c r="L111" s="3">
        <v>3834959</v>
      </c>
      <c r="M111" s="3">
        <f t="shared" si="63"/>
        <v>14987268</v>
      </c>
      <c r="N111" s="3">
        <f t="shared" si="64"/>
        <v>53555633</v>
      </c>
      <c r="O111" s="3">
        <f t="shared" si="64"/>
        <v>5911109</v>
      </c>
      <c r="P111" s="3">
        <f t="shared" si="65"/>
        <v>59466742</v>
      </c>
      <c r="Q111" s="3">
        <f>Q110+B111</f>
        <v>6541574</v>
      </c>
      <c r="R111" s="3">
        <f>R110+C111</f>
        <v>1616594</v>
      </c>
      <c r="S111" s="3">
        <f t="shared" si="84"/>
        <v>8158168</v>
      </c>
      <c r="T111" s="3">
        <f>T110+E111</f>
        <v>0</v>
      </c>
      <c r="U111" s="3">
        <f>U110+F111</f>
        <v>0</v>
      </c>
      <c r="V111" s="3">
        <f t="shared" si="85"/>
        <v>0</v>
      </c>
      <c r="W111" s="3">
        <f>W110+H111</f>
        <v>213192231</v>
      </c>
      <c r="X111" s="3">
        <f>X110+I111</f>
        <v>8318024</v>
      </c>
      <c r="Y111" s="3">
        <f t="shared" si="86"/>
        <v>221510255</v>
      </c>
      <c r="Z111" s="3">
        <f>Z110+K111</f>
        <v>55174291</v>
      </c>
      <c r="AA111" s="3">
        <f>AA110+L111</f>
        <v>27505484</v>
      </c>
      <c r="AB111" s="3">
        <f t="shared" si="87"/>
        <v>82679775</v>
      </c>
      <c r="AC111" s="3">
        <f t="shared" si="88"/>
        <v>312348198</v>
      </c>
    </row>
    <row r="112" spans="1:29">
      <c r="A112" s="171">
        <v>43466</v>
      </c>
      <c r="B112" s="104">
        <v>528864</v>
      </c>
      <c r="C112" s="104">
        <v>0</v>
      </c>
      <c r="D112" s="104">
        <f t="shared" si="60"/>
        <v>528864</v>
      </c>
      <c r="E112" s="104">
        <v>0</v>
      </c>
      <c r="F112" s="104">
        <v>0</v>
      </c>
      <c r="G112" s="104">
        <f t="shared" si="61"/>
        <v>0</v>
      </c>
      <c r="H112" s="104">
        <v>22550</v>
      </c>
      <c r="I112" s="104">
        <v>0</v>
      </c>
      <c r="J112" s="104">
        <f t="shared" si="62"/>
        <v>22550</v>
      </c>
      <c r="K112" s="104">
        <v>185308</v>
      </c>
      <c r="L112" s="104">
        <v>0</v>
      </c>
      <c r="M112" s="104">
        <f t="shared" si="63"/>
        <v>185308</v>
      </c>
      <c r="N112" s="104">
        <f t="shared" si="64"/>
        <v>736722</v>
      </c>
      <c r="O112" s="104">
        <f t="shared" si="64"/>
        <v>0</v>
      </c>
      <c r="P112" s="104">
        <f t="shared" si="65"/>
        <v>736722</v>
      </c>
      <c r="Q112" s="104">
        <f>B112</f>
        <v>528864</v>
      </c>
      <c r="R112" s="104">
        <f>C112</f>
        <v>0</v>
      </c>
      <c r="S112" s="104">
        <f t="shared" si="84"/>
        <v>528864</v>
      </c>
      <c r="T112" s="104">
        <f>E112</f>
        <v>0</v>
      </c>
      <c r="U112" s="104">
        <f>F112</f>
        <v>0</v>
      </c>
      <c r="V112" s="104">
        <f t="shared" si="85"/>
        <v>0</v>
      </c>
      <c r="W112" s="104">
        <f>H112</f>
        <v>22550</v>
      </c>
      <c r="X112" s="104">
        <f>I112</f>
        <v>0</v>
      </c>
      <c r="Y112" s="104">
        <f>X112+W112</f>
        <v>22550</v>
      </c>
      <c r="Z112" s="104">
        <f>K112</f>
        <v>185308</v>
      </c>
      <c r="AA112" s="104">
        <f>L112</f>
        <v>0</v>
      </c>
      <c r="AB112" s="104">
        <f>AA112+Z112</f>
        <v>185308</v>
      </c>
      <c r="AC112" s="104">
        <f>AB112+Y112+V112+S112</f>
        <v>736722</v>
      </c>
    </row>
    <row r="113" spans="1:29">
      <c r="A113" s="170">
        <v>43497</v>
      </c>
      <c r="B113" s="3">
        <v>1031913</v>
      </c>
      <c r="C113" s="3">
        <v>0</v>
      </c>
      <c r="D113" s="3">
        <f t="shared" si="60"/>
        <v>1031913</v>
      </c>
      <c r="E113" s="3">
        <v>0</v>
      </c>
      <c r="F113" s="3">
        <v>0</v>
      </c>
      <c r="G113" s="3">
        <f t="shared" si="61"/>
        <v>0</v>
      </c>
      <c r="H113" s="3">
        <v>23379278</v>
      </c>
      <c r="I113" s="3">
        <v>1049497</v>
      </c>
      <c r="J113" s="3">
        <f t="shared" si="62"/>
        <v>24428775</v>
      </c>
      <c r="K113" s="3">
        <v>4330400</v>
      </c>
      <c r="L113" s="3">
        <v>2006302</v>
      </c>
      <c r="M113" s="3">
        <f t="shared" si="63"/>
        <v>6336702</v>
      </c>
      <c r="N113" s="3">
        <f t="shared" si="64"/>
        <v>28741591</v>
      </c>
      <c r="O113" s="3">
        <f t="shared" si="64"/>
        <v>3055799</v>
      </c>
      <c r="P113" s="3">
        <f t="shared" si="65"/>
        <v>31797390</v>
      </c>
      <c r="Q113" s="3">
        <f t="shared" ref="Q113:R123" si="93">Q112+B113</f>
        <v>1560777</v>
      </c>
      <c r="R113" s="3">
        <f t="shared" si="93"/>
        <v>0</v>
      </c>
      <c r="S113" s="3">
        <f t="shared" si="84"/>
        <v>1560777</v>
      </c>
      <c r="T113" s="3">
        <f t="shared" ref="T113:U123" si="94">T112+E113</f>
        <v>0</v>
      </c>
      <c r="U113" s="3">
        <f t="shared" si="94"/>
        <v>0</v>
      </c>
      <c r="V113" s="3">
        <f t="shared" si="85"/>
        <v>0</v>
      </c>
      <c r="W113" s="3">
        <f>W112+H113</f>
        <v>23401828</v>
      </c>
      <c r="X113" s="3">
        <f>X112+I113</f>
        <v>1049497</v>
      </c>
      <c r="Y113" s="3">
        <f t="shared" ref="Y113:Y123" si="95">X113+W113</f>
        <v>24451325</v>
      </c>
      <c r="Z113" s="3">
        <f>Z112+K113</f>
        <v>4515708</v>
      </c>
      <c r="AA113" s="3">
        <f>AA112+L113</f>
        <v>2006302</v>
      </c>
      <c r="AB113" s="3">
        <f t="shared" ref="AB113:AB123" si="96">AA113+Z113</f>
        <v>6522010</v>
      </c>
      <c r="AC113" s="3">
        <f t="shared" ref="AC113:AC123" si="97">AB113+Y113+V113+S113</f>
        <v>32534112</v>
      </c>
    </row>
    <row r="114" spans="1:29">
      <c r="A114" s="170">
        <v>43525</v>
      </c>
      <c r="B114" s="3">
        <v>396377</v>
      </c>
      <c r="C114" s="3">
        <v>4263940</v>
      </c>
      <c r="D114" s="3">
        <f t="shared" si="60"/>
        <v>4660317</v>
      </c>
      <c r="E114" s="3">
        <v>0</v>
      </c>
      <c r="F114" s="3">
        <v>0</v>
      </c>
      <c r="G114" s="3">
        <f t="shared" si="61"/>
        <v>0</v>
      </c>
      <c r="H114" s="3">
        <v>20820447</v>
      </c>
      <c r="I114" s="3">
        <v>785481</v>
      </c>
      <c r="J114" s="3">
        <f t="shared" si="62"/>
        <v>21605928</v>
      </c>
      <c r="K114" s="3">
        <v>4039100</v>
      </c>
      <c r="L114" s="3">
        <v>1879436</v>
      </c>
      <c r="M114" s="3">
        <f t="shared" si="63"/>
        <v>5918536</v>
      </c>
      <c r="N114" s="3">
        <f t="shared" si="64"/>
        <v>25255924</v>
      </c>
      <c r="O114" s="3">
        <f t="shared" si="64"/>
        <v>6928857</v>
      </c>
      <c r="P114" s="3">
        <f t="shared" si="65"/>
        <v>32184781</v>
      </c>
      <c r="Q114" s="3">
        <f t="shared" si="93"/>
        <v>1957154</v>
      </c>
      <c r="R114" s="3">
        <f t="shared" si="93"/>
        <v>4263940</v>
      </c>
      <c r="S114" s="3">
        <f t="shared" si="84"/>
        <v>6221094</v>
      </c>
      <c r="T114" s="3">
        <f t="shared" si="94"/>
        <v>0</v>
      </c>
      <c r="U114" s="3">
        <f t="shared" si="94"/>
        <v>0</v>
      </c>
      <c r="V114" s="3">
        <f t="shared" si="85"/>
        <v>0</v>
      </c>
      <c r="W114" s="3">
        <f t="shared" ref="W114:X122" si="98">W113+H114</f>
        <v>44222275</v>
      </c>
      <c r="X114" s="3">
        <f t="shared" si="98"/>
        <v>1834978</v>
      </c>
      <c r="Y114" s="3">
        <f t="shared" si="95"/>
        <v>46057253</v>
      </c>
      <c r="Z114" s="3">
        <f t="shared" ref="Z114:AA122" si="99">Z113+K114</f>
        <v>8554808</v>
      </c>
      <c r="AA114" s="3">
        <f t="shared" si="99"/>
        <v>3885738</v>
      </c>
      <c r="AB114" s="3">
        <f t="shared" si="96"/>
        <v>12440546</v>
      </c>
      <c r="AC114" s="3">
        <f t="shared" si="97"/>
        <v>64718893</v>
      </c>
    </row>
    <row r="115" spans="1:29">
      <c r="A115" s="170">
        <v>43556</v>
      </c>
      <c r="B115" s="3">
        <v>401898</v>
      </c>
      <c r="C115" s="3">
        <v>0</v>
      </c>
      <c r="D115" s="3">
        <f t="shared" si="60"/>
        <v>401898</v>
      </c>
      <c r="E115" s="3">
        <v>0</v>
      </c>
      <c r="F115" s="3">
        <v>0</v>
      </c>
      <c r="G115" s="3">
        <f t="shared" si="61"/>
        <v>0</v>
      </c>
      <c r="H115" s="3">
        <v>25619818</v>
      </c>
      <c r="I115" s="3">
        <v>925962</v>
      </c>
      <c r="J115" s="3">
        <f t="shared" si="62"/>
        <v>26545780</v>
      </c>
      <c r="K115" s="3">
        <v>4446649</v>
      </c>
      <c r="L115" s="3">
        <v>2076677</v>
      </c>
      <c r="M115" s="3">
        <f t="shared" si="63"/>
        <v>6523326</v>
      </c>
      <c r="N115" s="3">
        <f t="shared" si="64"/>
        <v>30468365</v>
      </c>
      <c r="O115" s="3">
        <f t="shared" si="64"/>
        <v>3002639</v>
      </c>
      <c r="P115" s="3">
        <f t="shared" si="65"/>
        <v>33471004</v>
      </c>
      <c r="Q115" s="3">
        <f t="shared" si="93"/>
        <v>2359052</v>
      </c>
      <c r="R115" s="3">
        <f t="shared" si="93"/>
        <v>4263940</v>
      </c>
      <c r="S115" s="3">
        <f t="shared" si="84"/>
        <v>6622992</v>
      </c>
      <c r="T115" s="3">
        <f t="shared" si="94"/>
        <v>0</v>
      </c>
      <c r="U115" s="3">
        <f t="shared" si="94"/>
        <v>0</v>
      </c>
      <c r="V115" s="3">
        <f t="shared" si="85"/>
        <v>0</v>
      </c>
      <c r="W115" s="3">
        <f t="shared" si="98"/>
        <v>69842093</v>
      </c>
      <c r="X115" s="3">
        <f t="shared" si="98"/>
        <v>2760940</v>
      </c>
      <c r="Y115" s="3">
        <f t="shared" si="95"/>
        <v>72603033</v>
      </c>
      <c r="Z115" s="3">
        <f t="shared" si="99"/>
        <v>13001457</v>
      </c>
      <c r="AA115" s="3">
        <f t="shared" si="99"/>
        <v>5962415</v>
      </c>
      <c r="AB115" s="3">
        <f t="shared" si="96"/>
        <v>18963872</v>
      </c>
      <c r="AC115" s="3">
        <f t="shared" si="97"/>
        <v>98189897</v>
      </c>
    </row>
    <row r="116" spans="1:29">
      <c r="A116" s="170">
        <v>43586</v>
      </c>
      <c r="B116" s="3">
        <v>440284</v>
      </c>
      <c r="C116" s="3">
        <v>0</v>
      </c>
      <c r="D116" s="3">
        <f>SUM(B116:C116)</f>
        <v>440284</v>
      </c>
      <c r="E116" s="3">
        <v>0</v>
      </c>
      <c r="F116" s="3">
        <v>0</v>
      </c>
      <c r="G116" s="3">
        <f>SUM(E116:F116)</f>
        <v>0</v>
      </c>
      <c r="H116" s="3">
        <v>25280275</v>
      </c>
      <c r="I116" s="3">
        <v>809299</v>
      </c>
      <c r="J116" s="3">
        <f>SUM(H116:I116)</f>
        <v>26089574</v>
      </c>
      <c r="K116" s="3">
        <v>2427400</v>
      </c>
      <c r="L116" s="3">
        <v>2025206</v>
      </c>
      <c r="M116" s="3">
        <f t="shared" si="63"/>
        <v>4452606</v>
      </c>
      <c r="N116" s="3">
        <f t="shared" si="64"/>
        <v>28147959</v>
      </c>
      <c r="O116" s="3">
        <f t="shared" si="64"/>
        <v>2834505</v>
      </c>
      <c r="P116" s="3">
        <f t="shared" si="65"/>
        <v>30982464</v>
      </c>
      <c r="Q116" s="3">
        <f t="shared" si="93"/>
        <v>2799336</v>
      </c>
      <c r="R116" s="3">
        <f t="shared" si="93"/>
        <v>4263940</v>
      </c>
      <c r="S116" s="3">
        <f t="shared" si="84"/>
        <v>7063276</v>
      </c>
      <c r="T116" s="3">
        <f t="shared" si="94"/>
        <v>0</v>
      </c>
      <c r="U116" s="3">
        <f t="shared" si="94"/>
        <v>0</v>
      </c>
      <c r="V116" s="3">
        <f t="shared" si="85"/>
        <v>0</v>
      </c>
      <c r="W116" s="3">
        <f t="shared" si="98"/>
        <v>95122368</v>
      </c>
      <c r="X116" s="3">
        <f t="shared" si="98"/>
        <v>3570239</v>
      </c>
      <c r="Y116" s="3">
        <f t="shared" si="95"/>
        <v>98692607</v>
      </c>
      <c r="Z116" s="3">
        <f t="shared" si="99"/>
        <v>15428857</v>
      </c>
      <c r="AA116" s="3">
        <f t="shared" si="99"/>
        <v>7987621</v>
      </c>
      <c r="AB116" s="3">
        <f t="shared" si="96"/>
        <v>23416478</v>
      </c>
      <c r="AC116" s="3">
        <f t="shared" si="97"/>
        <v>129172361</v>
      </c>
    </row>
    <row r="117" spans="1:29">
      <c r="A117" s="170">
        <v>43617</v>
      </c>
      <c r="B117" s="3">
        <v>175766</v>
      </c>
      <c r="C117" s="3">
        <v>0</v>
      </c>
      <c r="D117" s="3">
        <f>SUM(B117:C117)</f>
        <v>175766</v>
      </c>
      <c r="E117" s="3">
        <v>0</v>
      </c>
      <c r="F117" s="3">
        <v>0</v>
      </c>
      <c r="G117" s="3">
        <f>SUM(E117:F117)</f>
        <v>0</v>
      </c>
      <c r="H117" s="3">
        <v>29926723</v>
      </c>
      <c r="I117" s="3">
        <v>1036914</v>
      </c>
      <c r="J117" s="3">
        <f>SUM(H117:I117)</f>
        <v>30963637</v>
      </c>
      <c r="K117" s="3">
        <v>3752615</v>
      </c>
      <c r="L117" s="3">
        <v>2082998</v>
      </c>
      <c r="M117" s="3">
        <f t="shared" si="63"/>
        <v>5835613</v>
      </c>
      <c r="N117" s="3">
        <f t="shared" si="64"/>
        <v>33855104</v>
      </c>
      <c r="O117" s="3">
        <f t="shared" si="64"/>
        <v>3119912</v>
      </c>
      <c r="P117" s="3">
        <f t="shared" si="65"/>
        <v>36975016</v>
      </c>
      <c r="Q117" s="3">
        <f t="shared" si="93"/>
        <v>2975102</v>
      </c>
      <c r="R117" s="3">
        <f t="shared" si="93"/>
        <v>4263940</v>
      </c>
      <c r="S117" s="3">
        <f t="shared" si="84"/>
        <v>7239042</v>
      </c>
      <c r="T117" s="3">
        <f t="shared" si="94"/>
        <v>0</v>
      </c>
      <c r="U117" s="3">
        <f t="shared" si="94"/>
        <v>0</v>
      </c>
      <c r="V117" s="3">
        <f t="shared" si="85"/>
        <v>0</v>
      </c>
      <c r="W117" s="3">
        <f t="shared" si="98"/>
        <v>125049091</v>
      </c>
      <c r="X117" s="3">
        <f t="shared" si="98"/>
        <v>4607153</v>
      </c>
      <c r="Y117" s="3">
        <f t="shared" si="95"/>
        <v>129656244</v>
      </c>
      <c r="Z117" s="3">
        <f t="shared" si="99"/>
        <v>19181472</v>
      </c>
      <c r="AA117" s="3">
        <f t="shared" si="99"/>
        <v>10070619</v>
      </c>
      <c r="AB117" s="3">
        <f t="shared" si="96"/>
        <v>29252091</v>
      </c>
      <c r="AC117" s="3">
        <f t="shared" si="97"/>
        <v>166147377</v>
      </c>
    </row>
    <row r="118" spans="1:29">
      <c r="A118" s="170">
        <v>43647</v>
      </c>
      <c r="B118" s="3">
        <v>1156038</v>
      </c>
      <c r="C118" s="3">
        <v>0</v>
      </c>
      <c r="D118" s="3">
        <f>SUM(B118:C118)</f>
        <v>1156038</v>
      </c>
      <c r="E118" s="3">
        <v>0</v>
      </c>
      <c r="F118" s="3">
        <v>0</v>
      </c>
      <c r="G118" s="3">
        <f>SUM(E118:F118)</f>
        <v>0</v>
      </c>
      <c r="H118" s="3">
        <v>29654577</v>
      </c>
      <c r="I118" s="3">
        <v>517419</v>
      </c>
      <c r="J118" s="3">
        <f>SUM(H118:I118)</f>
        <v>30171996</v>
      </c>
      <c r="K118" s="3">
        <v>5094847</v>
      </c>
      <c r="L118" s="3">
        <v>2496596</v>
      </c>
      <c r="M118" s="3">
        <f t="shared" si="63"/>
        <v>7591443</v>
      </c>
      <c r="N118" s="3">
        <f t="shared" si="64"/>
        <v>35905462</v>
      </c>
      <c r="O118" s="3">
        <f t="shared" si="64"/>
        <v>3014015</v>
      </c>
      <c r="P118" s="3">
        <f t="shared" si="65"/>
        <v>38919477</v>
      </c>
      <c r="Q118" s="3">
        <f t="shared" si="93"/>
        <v>4131140</v>
      </c>
      <c r="R118" s="3">
        <f t="shared" si="93"/>
        <v>4263940</v>
      </c>
      <c r="S118" s="3">
        <f t="shared" si="84"/>
        <v>8395080</v>
      </c>
      <c r="T118" s="3">
        <f t="shared" si="94"/>
        <v>0</v>
      </c>
      <c r="U118" s="3">
        <f t="shared" si="94"/>
        <v>0</v>
      </c>
      <c r="V118" s="3">
        <f t="shared" si="85"/>
        <v>0</v>
      </c>
      <c r="W118" s="3">
        <f t="shared" si="98"/>
        <v>154703668</v>
      </c>
      <c r="X118" s="3">
        <f t="shared" si="98"/>
        <v>5124572</v>
      </c>
      <c r="Y118" s="3">
        <f t="shared" si="95"/>
        <v>159828240</v>
      </c>
      <c r="Z118" s="3">
        <f t="shared" si="99"/>
        <v>24276319</v>
      </c>
      <c r="AA118" s="3">
        <f t="shared" si="99"/>
        <v>12567215</v>
      </c>
      <c r="AB118" s="3">
        <f t="shared" si="96"/>
        <v>36843534</v>
      </c>
      <c r="AC118" s="3">
        <f t="shared" si="97"/>
        <v>205066854</v>
      </c>
    </row>
    <row r="119" spans="1:29">
      <c r="A119" s="170">
        <v>43678</v>
      </c>
      <c r="B119" s="3">
        <v>273241</v>
      </c>
      <c r="C119" s="3">
        <v>0</v>
      </c>
      <c r="D119" s="3">
        <f>SUM(B119:C119)</f>
        <v>273241</v>
      </c>
      <c r="E119" s="3">
        <v>0</v>
      </c>
      <c r="F119" s="3">
        <v>0</v>
      </c>
      <c r="G119" s="3">
        <f>SUM(E119:F119)</f>
        <v>0</v>
      </c>
      <c r="H119" s="3">
        <v>29811852</v>
      </c>
      <c r="I119" s="3">
        <v>836272</v>
      </c>
      <c r="J119" s="3">
        <f>SUM(H119:I119)</f>
        <v>30648124</v>
      </c>
      <c r="K119" s="3">
        <v>4489615</v>
      </c>
      <c r="L119" s="3">
        <v>2044099</v>
      </c>
      <c r="M119" s="3">
        <f t="shared" si="63"/>
        <v>6533714</v>
      </c>
      <c r="N119" s="3">
        <f t="shared" si="64"/>
        <v>34574708</v>
      </c>
      <c r="O119" s="3">
        <f t="shared" si="64"/>
        <v>2880371</v>
      </c>
      <c r="P119" s="3">
        <f t="shared" si="65"/>
        <v>37455079</v>
      </c>
      <c r="Q119" s="3">
        <f t="shared" si="93"/>
        <v>4404381</v>
      </c>
      <c r="R119" s="3">
        <f t="shared" si="93"/>
        <v>4263940</v>
      </c>
      <c r="S119" s="3">
        <f t="shared" si="84"/>
        <v>8668321</v>
      </c>
      <c r="T119" s="3">
        <f t="shared" si="94"/>
        <v>0</v>
      </c>
      <c r="U119" s="3">
        <f t="shared" si="94"/>
        <v>0</v>
      </c>
      <c r="V119" s="3">
        <f t="shared" si="85"/>
        <v>0</v>
      </c>
      <c r="W119" s="3">
        <f t="shared" si="98"/>
        <v>184515520</v>
      </c>
      <c r="X119" s="3">
        <f t="shared" si="98"/>
        <v>5960844</v>
      </c>
      <c r="Y119" s="3">
        <f t="shared" si="95"/>
        <v>190476364</v>
      </c>
      <c r="Z119" s="3">
        <f t="shared" si="99"/>
        <v>28765934</v>
      </c>
      <c r="AA119" s="3">
        <f t="shared" si="99"/>
        <v>14611314</v>
      </c>
      <c r="AB119" s="3">
        <f t="shared" si="96"/>
        <v>43377248</v>
      </c>
      <c r="AC119" s="3">
        <f t="shared" si="97"/>
        <v>242521933</v>
      </c>
    </row>
    <row r="120" spans="1:29">
      <c r="A120" s="170">
        <v>43709</v>
      </c>
      <c r="B120" s="3">
        <v>399988</v>
      </c>
      <c r="C120" s="3">
        <v>0</v>
      </c>
      <c r="D120" s="3">
        <f t="shared" ref="D120:D178" si="100">SUM(B120:C120)</f>
        <v>399988</v>
      </c>
      <c r="E120" s="3">
        <v>0</v>
      </c>
      <c r="F120" s="3">
        <v>0</v>
      </c>
      <c r="G120" s="3">
        <f t="shared" ref="G120:G164" si="101">SUM(E120:F120)</f>
        <v>0</v>
      </c>
      <c r="H120" s="3">
        <v>27493259</v>
      </c>
      <c r="I120" s="3">
        <v>1163627</v>
      </c>
      <c r="J120" s="3">
        <f t="shared" ref="J120:J183" si="102">SUM(H120:I120)</f>
        <v>28656886</v>
      </c>
      <c r="K120" s="3">
        <v>4141744</v>
      </c>
      <c r="L120" s="3">
        <v>1937756</v>
      </c>
      <c r="M120" s="3">
        <f t="shared" si="63"/>
        <v>6079500</v>
      </c>
      <c r="N120" s="3">
        <f t="shared" si="64"/>
        <v>32034991</v>
      </c>
      <c r="O120" s="3">
        <f t="shared" si="64"/>
        <v>3101383</v>
      </c>
      <c r="P120" s="3">
        <f t="shared" si="65"/>
        <v>35136374</v>
      </c>
      <c r="Q120" s="3">
        <f t="shared" si="93"/>
        <v>4804369</v>
      </c>
      <c r="R120" s="3">
        <f t="shared" si="93"/>
        <v>4263940</v>
      </c>
      <c r="S120" s="3">
        <f t="shared" si="84"/>
        <v>9068309</v>
      </c>
      <c r="T120" s="3">
        <f t="shared" si="94"/>
        <v>0</v>
      </c>
      <c r="U120" s="3">
        <f t="shared" si="94"/>
        <v>0</v>
      </c>
      <c r="V120" s="3">
        <f t="shared" si="85"/>
        <v>0</v>
      </c>
      <c r="W120" s="3">
        <f t="shared" si="98"/>
        <v>212008779</v>
      </c>
      <c r="X120" s="3">
        <f t="shared" si="98"/>
        <v>7124471</v>
      </c>
      <c r="Y120" s="3">
        <f t="shared" si="95"/>
        <v>219133250</v>
      </c>
      <c r="Z120" s="3">
        <f t="shared" si="99"/>
        <v>32907678</v>
      </c>
      <c r="AA120" s="3">
        <f t="shared" si="99"/>
        <v>16549070</v>
      </c>
      <c r="AB120" s="3">
        <f t="shared" si="96"/>
        <v>49456748</v>
      </c>
      <c r="AC120" s="3">
        <f t="shared" si="97"/>
        <v>277658307</v>
      </c>
    </row>
    <row r="121" spans="1:29">
      <c r="A121" s="170">
        <v>43739</v>
      </c>
      <c r="B121" s="3">
        <v>348381</v>
      </c>
      <c r="C121" s="3">
        <v>0</v>
      </c>
      <c r="D121" s="3">
        <f t="shared" si="100"/>
        <v>348381</v>
      </c>
      <c r="E121" s="3">
        <v>0</v>
      </c>
      <c r="F121" s="3">
        <v>0</v>
      </c>
      <c r="G121" s="3">
        <f t="shared" si="101"/>
        <v>0</v>
      </c>
      <c r="H121" s="3">
        <v>25986304</v>
      </c>
      <c r="I121" s="3">
        <v>1009929</v>
      </c>
      <c r="J121" s="3">
        <f t="shared" si="102"/>
        <v>26996233</v>
      </c>
      <c r="K121" s="3">
        <v>4270935</v>
      </c>
      <c r="L121" s="3">
        <v>1887880</v>
      </c>
      <c r="M121" s="3">
        <f t="shared" si="63"/>
        <v>6158815</v>
      </c>
      <c r="N121" s="3">
        <f t="shared" si="64"/>
        <v>30605620</v>
      </c>
      <c r="O121" s="3">
        <f t="shared" si="64"/>
        <v>2897809</v>
      </c>
      <c r="P121" s="3">
        <f t="shared" si="65"/>
        <v>33503429</v>
      </c>
      <c r="Q121" s="3">
        <f t="shared" si="93"/>
        <v>5152750</v>
      </c>
      <c r="R121" s="3">
        <f t="shared" si="93"/>
        <v>4263940</v>
      </c>
      <c r="S121" s="3">
        <f t="shared" si="84"/>
        <v>9416690</v>
      </c>
      <c r="T121" s="3">
        <f t="shared" si="94"/>
        <v>0</v>
      </c>
      <c r="U121" s="3">
        <f t="shared" si="94"/>
        <v>0</v>
      </c>
      <c r="V121" s="3">
        <f t="shared" si="85"/>
        <v>0</v>
      </c>
      <c r="W121" s="3">
        <f t="shared" si="98"/>
        <v>237995083</v>
      </c>
      <c r="X121" s="3">
        <f t="shared" si="98"/>
        <v>8134400</v>
      </c>
      <c r="Y121" s="3">
        <f t="shared" si="95"/>
        <v>246129483</v>
      </c>
      <c r="Z121" s="3">
        <f t="shared" si="99"/>
        <v>37178613</v>
      </c>
      <c r="AA121" s="3">
        <f t="shared" si="99"/>
        <v>18436950</v>
      </c>
      <c r="AB121" s="3">
        <f t="shared" si="96"/>
        <v>55615563</v>
      </c>
      <c r="AC121" s="3">
        <f t="shared" si="97"/>
        <v>311161736</v>
      </c>
    </row>
    <row r="122" spans="1:29">
      <c r="A122" s="170">
        <v>43770</v>
      </c>
      <c r="B122" s="3">
        <v>202030</v>
      </c>
      <c r="C122" s="3">
        <v>0</v>
      </c>
      <c r="D122" s="3">
        <f t="shared" si="100"/>
        <v>202030</v>
      </c>
      <c r="E122" s="3">
        <v>0</v>
      </c>
      <c r="F122" s="3">
        <v>0</v>
      </c>
      <c r="G122" s="3">
        <f t="shared" si="101"/>
        <v>0</v>
      </c>
      <c r="H122" s="3">
        <v>25595535</v>
      </c>
      <c r="I122" s="3">
        <v>1170863</v>
      </c>
      <c r="J122" s="3">
        <f t="shared" si="102"/>
        <v>26766398</v>
      </c>
      <c r="K122" s="3">
        <v>4115858</v>
      </c>
      <c r="L122" s="3">
        <v>1885147</v>
      </c>
      <c r="M122" s="3">
        <f t="shared" si="63"/>
        <v>6001005</v>
      </c>
      <c r="N122" s="3">
        <f t="shared" si="64"/>
        <v>29913423</v>
      </c>
      <c r="O122" s="3">
        <f t="shared" si="64"/>
        <v>3056010</v>
      </c>
      <c r="P122" s="3">
        <f t="shared" si="65"/>
        <v>32969433</v>
      </c>
      <c r="Q122" s="3">
        <f t="shared" si="93"/>
        <v>5354780</v>
      </c>
      <c r="R122" s="3">
        <f t="shared" si="93"/>
        <v>4263940</v>
      </c>
      <c r="S122" s="3">
        <f t="shared" si="84"/>
        <v>9618720</v>
      </c>
      <c r="T122" s="3">
        <f t="shared" si="94"/>
        <v>0</v>
      </c>
      <c r="U122" s="3">
        <f t="shared" si="94"/>
        <v>0</v>
      </c>
      <c r="V122" s="3">
        <f t="shared" si="85"/>
        <v>0</v>
      </c>
      <c r="W122" s="3">
        <f t="shared" si="98"/>
        <v>263590618</v>
      </c>
      <c r="X122" s="3">
        <f t="shared" si="98"/>
        <v>9305263</v>
      </c>
      <c r="Y122" s="3">
        <f t="shared" si="95"/>
        <v>272895881</v>
      </c>
      <c r="Z122" s="3">
        <f t="shared" si="99"/>
        <v>41294471</v>
      </c>
      <c r="AA122" s="3">
        <f t="shared" si="99"/>
        <v>20322097</v>
      </c>
      <c r="AB122" s="3">
        <f t="shared" si="96"/>
        <v>61616568</v>
      </c>
      <c r="AC122" s="3">
        <f t="shared" si="97"/>
        <v>344131169</v>
      </c>
    </row>
    <row r="123" spans="1:29" ht="13.5" thickBot="1">
      <c r="A123" s="170">
        <v>43800</v>
      </c>
      <c r="B123" s="3">
        <v>197121</v>
      </c>
      <c r="C123" s="3">
        <v>0</v>
      </c>
      <c r="D123" s="3">
        <f t="shared" si="100"/>
        <v>197121</v>
      </c>
      <c r="E123" s="3">
        <v>0</v>
      </c>
      <c r="F123" s="3">
        <v>0</v>
      </c>
      <c r="G123" s="3">
        <f t="shared" si="101"/>
        <v>0</v>
      </c>
      <c r="H123" s="3">
        <v>53324240</v>
      </c>
      <c r="I123" s="3">
        <v>1834474</v>
      </c>
      <c r="J123" s="3">
        <f t="shared" si="102"/>
        <v>55158714</v>
      </c>
      <c r="K123" s="3">
        <v>10513986</v>
      </c>
      <c r="L123" s="3">
        <v>4121820</v>
      </c>
      <c r="M123" s="3">
        <f t="shared" si="63"/>
        <v>14635806</v>
      </c>
      <c r="N123" s="3">
        <f t="shared" si="64"/>
        <v>64035347</v>
      </c>
      <c r="O123" s="3">
        <f t="shared" si="64"/>
        <v>5956294</v>
      </c>
      <c r="P123" s="3">
        <f t="shared" si="65"/>
        <v>69991641</v>
      </c>
      <c r="Q123" s="3">
        <f t="shared" si="93"/>
        <v>5551901</v>
      </c>
      <c r="R123" s="3">
        <f t="shared" si="93"/>
        <v>4263940</v>
      </c>
      <c r="S123" s="3">
        <f t="shared" si="84"/>
        <v>9815841</v>
      </c>
      <c r="T123" s="3">
        <f t="shared" si="94"/>
        <v>0</v>
      </c>
      <c r="U123" s="3">
        <f t="shared" si="94"/>
        <v>0</v>
      </c>
      <c r="V123" s="3">
        <f t="shared" si="85"/>
        <v>0</v>
      </c>
      <c r="W123" s="3">
        <f>W122+H123</f>
        <v>316914858</v>
      </c>
      <c r="X123" s="3">
        <f>X122+I123</f>
        <v>11139737</v>
      </c>
      <c r="Y123" s="3">
        <f t="shared" si="95"/>
        <v>328054595</v>
      </c>
      <c r="Z123" s="3">
        <f>Z122+K123</f>
        <v>51808457</v>
      </c>
      <c r="AA123" s="3">
        <f>AA122+L123</f>
        <v>24443917</v>
      </c>
      <c r="AB123" s="3">
        <f t="shared" si="96"/>
        <v>76252374</v>
      </c>
      <c r="AC123" s="3">
        <f t="shared" si="97"/>
        <v>414122810</v>
      </c>
    </row>
    <row r="124" spans="1:29">
      <c r="A124" s="171">
        <v>43831</v>
      </c>
      <c r="B124" s="104">
        <v>174291</v>
      </c>
      <c r="C124" s="104">
        <v>0</v>
      </c>
      <c r="D124" s="104">
        <f t="shared" si="100"/>
        <v>174291</v>
      </c>
      <c r="E124" s="104">
        <v>0</v>
      </c>
      <c r="F124" s="104">
        <v>0</v>
      </c>
      <c r="G124" s="104">
        <f t="shared" si="101"/>
        <v>0</v>
      </c>
      <c r="H124" s="104">
        <v>450471</v>
      </c>
      <c r="I124" s="104">
        <v>0</v>
      </c>
      <c r="J124" s="104">
        <f t="shared" si="102"/>
        <v>450471</v>
      </c>
      <c r="K124" s="104">
        <v>51166</v>
      </c>
      <c r="L124" s="104">
        <v>0</v>
      </c>
      <c r="M124" s="104">
        <f t="shared" si="63"/>
        <v>51166</v>
      </c>
      <c r="N124" s="104">
        <f t="shared" si="64"/>
        <v>675928</v>
      </c>
      <c r="O124" s="104">
        <f t="shared" si="64"/>
        <v>0</v>
      </c>
      <c r="P124" s="104">
        <f t="shared" si="65"/>
        <v>675928</v>
      </c>
      <c r="Q124" s="104">
        <f>B124</f>
        <v>174291</v>
      </c>
      <c r="R124" s="104">
        <f>C124</f>
        <v>0</v>
      </c>
      <c r="S124" s="104">
        <f t="shared" si="84"/>
        <v>174291</v>
      </c>
      <c r="T124" s="104">
        <f>E124</f>
        <v>0</v>
      </c>
      <c r="U124" s="104">
        <f>F124</f>
        <v>0</v>
      </c>
      <c r="V124" s="104">
        <f t="shared" si="85"/>
        <v>0</v>
      </c>
      <c r="W124" s="104">
        <f>H124</f>
        <v>450471</v>
      </c>
      <c r="X124" s="104">
        <f>I124</f>
        <v>0</v>
      </c>
      <c r="Y124" s="104">
        <f>X124+W124</f>
        <v>450471</v>
      </c>
      <c r="Z124" s="104">
        <f>K124</f>
        <v>51166</v>
      </c>
      <c r="AA124" s="104">
        <f>L124</f>
        <v>0</v>
      </c>
      <c r="AB124" s="104">
        <f>AA124+Z124</f>
        <v>51166</v>
      </c>
      <c r="AC124" s="104">
        <f>AB124+Y124+V124+S124</f>
        <v>675928</v>
      </c>
    </row>
    <row r="125" spans="1:29">
      <c r="A125" s="170">
        <v>43862</v>
      </c>
      <c r="B125" s="3">
        <v>188014</v>
      </c>
      <c r="C125" s="3">
        <v>0</v>
      </c>
      <c r="D125" s="3">
        <f t="shared" si="100"/>
        <v>188014</v>
      </c>
      <c r="E125" s="3">
        <v>0</v>
      </c>
      <c r="F125" s="3">
        <v>0</v>
      </c>
      <c r="G125" s="3">
        <f t="shared" si="101"/>
        <v>0</v>
      </c>
      <c r="H125" s="3">
        <v>28402927</v>
      </c>
      <c r="I125" s="3">
        <v>819385</v>
      </c>
      <c r="J125" s="3">
        <f t="shared" si="102"/>
        <v>29222312</v>
      </c>
      <c r="K125" s="3">
        <v>5519687</v>
      </c>
      <c r="L125" s="3">
        <v>2092169</v>
      </c>
      <c r="M125" s="3">
        <f t="shared" si="63"/>
        <v>7611856</v>
      </c>
      <c r="N125" s="3">
        <f t="shared" si="64"/>
        <v>34110628</v>
      </c>
      <c r="O125" s="3">
        <f t="shared" si="64"/>
        <v>2911554</v>
      </c>
      <c r="P125" s="3">
        <f t="shared" si="65"/>
        <v>37022182</v>
      </c>
      <c r="Q125" s="3">
        <f t="shared" ref="Q125:R135" si="103">Q124+B125</f>
        <v>362305</v>
      </c>
      <c r="R125" s="3">
        <f t="shared" si="103"/>
        <v>0</v>
      </c>
      <c r="S125" s="3">
        <f t="shared" si="84"/>
        <v>362305</v>
      </c>
      <c r="T125" s="3">
        <f t="shared" ref="T125:U135" si="104">T124+E125</f>
        <v>0</v>
      </c>
      <c r="U125" s="3">
        <f t="shared" si="104"/>
        <v>0</v>
      </c>
      <c r="V125" s="3">
        <f t="shared" si="85"/>
        <v>0</v>
      </c>
      <c r="W125" s="3">
        <f>W124+H125</f>
        <v>28853398</v>
      </c>
      <c r="X125" s="3">
        <f>X124+I125</f>
        <v>819385</v>
      </c>
      <c r="Y125" s="3">
        <f t="shared" ref="Y125:Y135" si="105">X125+W125</f>
        <v>29672783</v>
      </c>
      <c r="Z125" s="3">
        <f>Z124+K125</f>
        <v>5570853</v>
      </c>
      <c r="AA125" s="3">
        <f>AA124+L125</f>
        <v>2092169</v>
      </c>
      <c r="AB125" s="3">
        <f t="shared" ref="AB125:AB135" si="106">AA125+Z125</f>
        <v>7663022</v>
      </c>
      <c r="AC125" s="3">
        <f t="shared" ref="AC125:AC135" si="107">AB125+Y125+V125+S125</f>
        <v>37698110</v>
      </c>
    </row>
    <row r="126" spans="1:29">
      <c r="A126" s="170">
        <v>43891</v>
      </c>
      <c r="B126" s="3">
        <v>156652</v>
      </c>
      <c r="C126" s="3">
        <v>0</v>
      </c>
      <c r="D126" s="3">
        <f t="shared" si="100"/>
        <v>156652</v>
      </c>
      <c r="E126" s="3">
        <v>0</v>
      </c>
      <c r="F126" s="3">
        <v>0</v>
      </c>
      <c r="G126" s="3">
        <f t="shared" si="101"/>
        <v>0</v>
      </c>
      <c r="H126" s="3">
        <v>26435294</v>
      </c>
      <c r="I126" s="3">
        <v>782326</v>
      </c>
      <c r="J126" s="3">
        <f t="shared" si="102"/>
        <v>27217620</v>
      </c>
      <c r="K126" s="3">
        <v>5444113</v>
      </c>
      <c r="L126" s="3">
        <v>1887657</v>
      </c>
      <c r="M126" s="3">
        <f t="shared" si="63"/>
        <v>7331770</v>
      </c>
      <c r="N126" s="3">
        <f t="shared" si="64"/>
        <v>32036059</v>
      </c>
      <c r="O126" s="3">
        <f t="shared" si="64"/>
        <v>2669983</v>
      </c>
      <c r="P126" s="3">
        <f t="shared" si="65"/>
        <v>34706042</v>
      </c>
      <c r="Q126" s="3">
        <f t="shared" si="103"/>
        <v>518957</v>
      </c>
      <c r="R126" s="3">
        <f t="shared" si="103"/>
        <v>0</v>
      </c>
      <c r="S126" s="3">
        <f t="shared" si="84"/>
        <v>518957</v>
      </c>
      <c r="T126" s="3">
        <f t="shared" si="104"/>
        <v>0</v>
      </c>
      <c r="U126" s="3">
        <f t="shared" si="104"/>
        <v>0</v>
      </c>
      <c r="V126" s="3">
        <f t="shared" si="85"/>
        <v>0</v>
      </c>
      <c r="W126" s="3">
        <f t="shared" ref="W126:X134" si="108">W125+H126</f>
        <v>55288692</v>
      </c>
      <c r="X126" s="3">
        <f t="shared" si="108"/>
        <v>1601711</v>
      </c>
      <c r="Y126" s="3">
        <f t="shared" si="105"/>
        <v>56890403</v>
      </c>
      <c r="Z126" s="3">
        <f t="shared" ref="Z126:AA134" si="109">Z125+K126</f>
        <v>11014966</v>
      </c>
      <c r="AA126" s="3">
        <f t="shared" si="109"/>
        <v>3979826</v>
      </c>
      <c r="AB126" s="3">
        <f t="shared" si="106"/>
        <v>14994792</v>
      </c>
      <c r="AC126" s="3">
        <f t="shared" si="107"/>
        <v>72404152</v>
      </c>
    </row>
    <row r="127" spans="1:29">
      <c r="A127" s="170">
        <v>43922</v>
      </c>
      <c r="B127" s="3">
        <v>203361</v>
      </c>
      <c r="C127" s="3">
        <v>0</v>
      </c>
      <c r="D127" s="3">
        <f t="shared" si="100"/>
        <v>203361</v>
      </c>
      <c r="E127" s="3">
        <v>0</v>
      </c>
      <c r="F127" s="3">
        <v>0</v>
      </c>
      <c r="G127" s="3">
        <f t="shared" si="101"/>
        <v>0</v>
      </c>
      <c r="H127" s="3">
        <v>31277485</v>
      </c>
      <c r="I127" s="3">
        <v>847999</v>
      </c>
      <c r="J127" s="3">
        <f t="shared" si="102"/>
        <v>32125484</v>
      </c>
      <c r="K127" s="3">
        <v>6329732</v>
      </c>
      <c r="L127" s="3">
        <v>2060775</v>
      </c>
      <c r="M127" s="3">
        <f t="shared" si="63"/>
        <v>8390507</v>
      </c>
      <c r="N127" s="3">
        <f t="shared" si="64"/>
        <v>37810578</v>
      </c>
      <c r="O127" s="3">
        <f t="shared" si="64"/>
        <v>2908774</v>
      </c>
      <c r="P127" s="3">
        <f t="shared" si="65"/>
        <v>40719352</v>
      </c>
      <c r="Q127" s="3">
        <f t="shared" si="103"/>
        <v>722318</v>
      </c>
      <c r="R127" s="3">
        <f t="shared" si="103"/>
        <v>0</v>
      </c>
      <c r="S127" s="3">
        <f t="shared" si="84"/>
        <v>722318</v>
      </c>
      <c r="T127" s="3">
        <f t="shared" si="104"/>
        <v>0</v>
      </c>
      <c r="U127" s="3">
        <f t="shared" si="104"/>
        <v>0</v>
      </c>
      <c r="V127" s="3">
        <f t="shared" si="85"/>
        <v>0</v>
      </c>
      <c r="W127" s="3">
        <f t="shared" si="108"/>
        <v>86566177</v>
      </c>
      <c r="X127" s="3">
        <f t="shared" si="108"/>
        <v>2449710</v>
      </c>
      <c r="Y127" s="3">
        <f t="shared" si="105"/>
        <v>89015887</v>
      </c>
      <c r="Z127" s="3">
        <f t="shared" si="109"/>
        <v>17344698</v>
      </c>
      <c r="AA127" s="3">
        <f t="shared" si="109"/>
        <v>6040601</v>
      </c>
      <c r="AB127" s="3">
        <f t="shared" si="106"/>
        <v>23385299</v>
      </c>
      <c r="AC127" s="3">
        <f t="shared" si="107"/>
        <v>113123504</v>
      </c>
    </row>
    <row r="128" spans="1:29">
      <c r="A128" s="170">
        <v>43952</v>
      </c>
      <c r="B128" s="3">
        <v>266282</v>
      </c>
      <c r="C128" s="3">
        <v>0</v>
      </c>
      <c r="D128" s="3">
        <f t="shared" si="100"/>
        <v>266282</v>
      </c>
      <c r="E128" s="3">
        <v>0</v>
      </c>
      <c r="F128" s="3">
        <v>0</v>
      </c>
      <c r="G128" s="3">
        <f t="shared" si="101"/>
        <v>0</v>
      </c>
      <c r="H128" s="3">
        <v>28516201</v>
      </c>
      <c r="I128" s="3">
        <v>978254</v>
      </c>
      <c r="J128" s="3">
        <f t="shared" si="102"/>
        <v>29494455</v>
      </c>
      <c r="K128" s="3">
        <v>6261128</v>
      </c>
      <c r="L128" s="3">
        <v>1925161</v>
      </c>
      <c r="M128" s="3">
        <f t="shared" si="63"/>
        <v>8186289</v>
      </c>
      <c r="N128" s="3">
        <f t="shared" si="64"/>
        <v>35043611</v>
      </c>
      <c r="O128" s="3">
        <f t="shared" si="64"/>
        <v>2903415</v>
      </c>
      <c r="P128" s="3">
        <f t="shared" si="65"/>
        <v>37947026</v>
      </c>
      <c r="Q128" s="3">
        <f t="shared" si="103"/>
        <v>988600</v>
      </c>
      <c r="R128" s="3">
        <f t="shared" si="103"/>
        <v>0</v>
      </c>
      <c r="S128" s="3">
        <f t="shared" si="84"/>
        <v>988600</v>
      </c>
      <c r="T128" s="3">
        <f t="shared" si="104"/>
        <v>0</v>
      </c>
      <c r="U128" s="3">
        <f t="shared" si="104"/>
        <v>0</v>
      </c>
      <c r="V128" s="3">
        <f t="shared" si="85"/>
        <v>0</v>
      </c>
      <c r="W128" s="3">
        <f t="shared" si="108"/>
        <v>115082378</v>
      </c>
      <c r="X128" s="3">
        <f t="shared" si="108"/>
        <v>3427964</v>
      </c>
      <c r="Y128" s="3">
        <f t="shared" si="105"/>
        <v>118510342</v>
      </c>
      <c r="Z128" s="3">
        <f t="shared" si="109"/>
        <v>23605826</v>
      </c>
      <c r="AA128" s="3">
        <f t="shared" si="109"/>
        <v>7965762</v>
      </c>
      <c r="AB128" s="3">
        <f t="shared" si="106"/>
        <v>31571588</v>
      </c>
      <c r="AC128" s="3">
        <f t="shared" si="107"/>
        <v>151070530</v>
      </c>
    </row>
    <row r="129" spans="1:29">
      <c r="A129" s="170">
        <v>43983</v>
      </c>
      <c r="B129" s="3">
        <v>57226</v>
      </c>
      <c r="C129" s="3">
        <v>0</v>
      </c>
      <c r="D129" s="3">
        <f t="shared" si="100"/>
        <v>57226</v>
      </c>
      <c r="E129" s="3">
        <v>0</v>
      </c>
      <c r="F129" s="3">
        <v>0</v>
      </c>
      <c r="G129" s="3">
        <f t="shared" si="101"/>
        <v>0</v>
      </c>
      <c r="H129" s="3">
        <v>31984254</v>
      </c>
      <c r="I129" s="3">
        <v>1727545</v>
      </c>
      <c r="J129" s="3">
        <f t="shared" si="102"/>
        <v>33711799</v>
      </c>
      <c r="K129" s="3">
        <v>7332013</v>
      </c>
      <c r="L129" s="3">
        <v>1075016</v>
      </c>
      <c r="M129" s="3">
        <f t="shared" si="63"/>
        <v>8407029</v>
      </c>
      <c r="N129" s="3">
        <f t="shared" si="64"/>
        <v>39373493</v>
      </c>
      <c r="O129" s="3">
        <f t="shared" si="64"/>
        <v>2802561</v>
      </c>
      <c r="P129" s="3">
        <f t="shared" si="65"/>
        <v>42176054</v>
      </c>
      <c r="Q129" s="3">
        <f t="shared" si="103"/>
        <v>1045826</v>
      </c>
      <c r="R129" s="3">
        <f t="shared" si="103"/>
        <v>0</v>
      </c>
      <c r="S129" s="3">
        <f t="shared" si="84"/>
        <v>1045826</v>
      </c>
      <c r="T129" s="3">
        <f t="shared" si="104"/>
        <v>0</v>
      </c>
      <c r="U129" s="3">
        <f t="shared" si="104"/>
        <v>0</v>
      </c>
      <c r="V129" s="3">
        <f t="shared" si="85"/>
        <v>0</v>
      </c>
      <c r="W129" s="3">
        <f t="shared" si="108"/>
        <v>147066632</v>
      </c>
      <c r="X129" s="3">
        <f t="shared" si="108"/>
        <v>5155509</v>
      </c>
      <c r="Y129" s="3">
        <f t="shared" si="105"/>
        <v>152222141</v>
      </c>
      <c r="Z129" s="3">
        <f t="shared" si="109"/>
        <v>30937839</v>
      </c>
      <c r="AA129" s="3">
        <f t="shared" si="109"/>
        <v>9040778</v>
      </c>
      <c r="AB129" s="3">
        <f t="shared" si="106"/>
        <v>39978617</v>
      </c>
      <c r="AC129" s="3">
        <f t="shared" si="107"/>
        <v>193246584</v>
      </c>
    </row>
    <row r="130" spans="1:29">
      <c r="A130" s="170">
        <v>44013</v>
      </c>
      <c r="B130" s="3">
        <v>256193</v>
      </c>
      <c r="C130" s="3">
        <v>0</v>
      </c>
      <c r="D130" s="3">
        <f t="shared" si="100"/>
        <v>256193</v>
      </c>
      <c r="E130" s="3">
        <v>0</v>
      </c>
      <c r="F130" s="3">
        <v>0</v>
      </c>
      <c r="G130" s="3">
        <f t="shared" si="101"/>
        <v>0</v>
      </c>
      <c r="H130" s="3">
        <v>31212896</v>
      </c>
      <c r="I130" s="3">
        <v>1879589</v>
      </c>
      <c r="J130" s="3">
        <f t="shared" si="102"/>
        <v>33092485</v>
      </c>
      <c r="K130" s="3">
        <v>6793302</v>
      </c>
      <c r="L130" s="3">
        <v>809299</v>
      </c>
      <c r="M130" s="3">
        <f t="shared" si="63"/>
        <v>7602601</v>
      </c>
      <c r="N130" s="3">
        <f t="shared" si="64"/>
        <v>38262391</v>
      </c>
      <c r="O130" s="3">
        <f t="shared" si="64"/>
        <v>2688888</v>
      </c>
      <c r="P130" s="3">
        <f t="shared" si="65"/>
        <v>40951279</v>
      </c>
      <c r="Q130" s="3">
        <f t="shared" si="103"/>
        <v>1302019</v>
      </c>
      <c r="R130" s="3">
        <f t="shared" si="103"/>
        <v>0</v>
      </c>
      <c r="S130" s="3">
        <f t="shared" si="84"/>
        <v>1302019</v>
      </c>
      <c r="T130" s="3">
        <f t="shared" si="104"/>
        <v>0</v>
      </c>
      <c r="U130" s="3">
        <f t="shared" si="104"/>
        <v>0</v>
      </c>
      <c r="V130" s="3">
        <f t="shared" si="85"/>
        <v>0</v>
      </c>
      <c r="W130" s="3">
        <f t="shared" si="108"/>
        <v>178279528</v>
      </c>
      <c r="X130" s="3">
        <f t="shared" si="108"/>
        <v>7035098</v>
      </c>
      <c r="Y130" s="3">
        <f t="shared" si="105"/>
        <v>185314626</v>
      </c>
      <c r="Z130" s="3">
        <f t="shared" si="109"/>
        <v>37731141</v>
      </c>
      <c r="AA130" s="3">
        <f t="shared" si="109"/>
        <v>9850077</v>
      </c>
      <c r="AB130" s="3">
        <f t="shared" si="106"/>
        <v>47581218</v>
      </c>
      <c r="AC130" s="3">
        <f t="shared" si="107"/>
        <v>234197863</v>
      </c>
    </row>
    <row r="131" spans="1:29">
      <c r="A131" s="170">
        <v>44044</v>
      </c>
      <c r="B131" s="3">
        <v>229403</v>
      </c>
      <c r="C131" s="3">
        <v>0</v>
      </c>
      <c r="D131" s="3">
        <f t="shared" si="100"/>
        <v>229403</v>
      </c>
      <c r="E131" s="3">
        <v>0</v>
      </c>
      <c r="F131" s="3">
        <v>0</v>
      </c>
      <c r="G131" s="3">
        <f t="shared" si="101"/>
        <v>0</v>
      </c>
      <c r="H131" s="3">
        <v>32184792</v>
      </c>
      <c r="I131" s="3">
        <v>2537477</v>
      </c>
      <c r="J131" s="3">
        <f t="shared" si="102"/>
        <v>34722269</v>
      </c>
      <c r="K131" s="3">
        <v>7173179</v>
      </c>
      <c r="L131" s="3">
        <v>470463</v>
      </c>
      <c r="M131" s="3">
        <f t="shared" si="63"/>
        <v>7643642</v>
      </c>
      <c r="N131" s="3">
        <f t="shared" si="64"/>
        <v>39587374</v>
      </c>
      <c r="O131" s="3">
        <f t="shared" si="64"/>
        <v>3007940</v>
      </c>
      <c r="P131" s="3">
        <f t="shared" si="65"/>
        <v>42595314</v>
      </c>
      <c r="Q131" s="3">
        <f t="shared" si="103"/>
        <v>1531422</v>
      </c>
      <c r="R131" s="3">
        <f t="shared" si="103"/>
        <v>0</v>
      </c>
      <c r="S131" s="3">
        <f t="shared" si="84"/>
        <v>1531422</v>
      </c>
      <c r="T131" s="3">
        <f t="shared" si="104"/>
        <v>0</v>
      </c>
      <c r="U131" s="3">
        <f t="shared" si="104"/>
        <v>0</v>
      </c>
      <c r="V131" s="3">
        <f t="shared" si="85"/>
        <v>0</v>
      </c>
      <c r="W131" s="3">
        <f t="shared" si="108"/>
        <v>210464320</v>
      </c>
      <c r="X131" s="3">
        <f t="shared" si="108"/>
        <v>9572575</v>
      </c>
      <c r="Y131" s="3">
        <f t="shared" si="105"/>
        <v>220036895</v>
      </c>
      <c r="Z131" s="3">
        <f t="shared" si="109"/>
        <v>44904320</v>
      </c>
      <c r="AA131" s="3">
        <f t="shared" si="109"/>
        <v>10320540</v>
      </c>
      <c r="AB131" s="3">
        <f t="shared" si="106"/>
        <v>55224860</v>
      </c>
      <c r="AC131" s="3">
        <f t="shared" si="107"/>
        <v>276793177</v>
      </c>
    </row>
    <row r="132" spans="1:29">
      <c r="A132" s="170">
        <v>44075</v>
      </c>
      <c r="B132" s="3">
        <v>114746</v>
      </c>
      <c r="C132" s="3">
        <v>0</v>
      </c>
      <c r="D132" s="3">
        <f t="shared" si="100"/>
        <v>114746</v>
      </c>
      <c r="E132" s="3">
        <v>0</v>
      </c>
      <c r="F132" s="3">
        <v>0</v>
      </c>
      <c r="G132" s="3">
        <f t="shared" si="101"/>
        <v>0</v>
      </c>
      <c r="H132" s="3">
        <v>35720286</v>
      </c>
      <c r="I132" s="3">
        <v>2793120</v>
      </c>
      <c r="J132" s="3">
        <f t="shared" si="102"/>
        <v>38513406</v>
      </c>
      <c r="K132" s="3">
        <v>7230002</v>
      </c>
      <c r="L132" s="3">
        <v>0</v>
      </c>
      <c r="M132" s="3">
        <f t="shared" si="63"/>
        <v>7230002</v>
      </c>
      <c r="N132" s="3">
        <f t="shared" si="64"/>
        <v>43065034</v>
      </c>
      <c r="O132" s="3">
        <f t="shared" si="64"/>
        <v>2793120</v>
      </c>
      <c r="P132" s="3">
        <f t="shared" si="65"/>
        <v>45858154</v>
      </c>
      <c r="Q132" s="3">
        <f t="shared" si="103"/>
        <v>1646168</v>
      </c>
      <c r="R132" s="3">
        <f t="shared" si="103"/>
        <v>0</v>
      </c>
      <c r="S132" s="3">
        <f t="shared" si="84"/>
        <v>1646168</v>
      </c>
      <c r="T132" s="3">
        <f t="shared" si="104"/>
        <v>0</v>
      </c>
      <c r="U132" s="3">
        <f t="shared" si="104"/>
        <v>0</v>
      </c>
      <c r="V132" s="3">
        <f t="shared" si="85"/>
        <v>0</v>
      </c>
      <c r="W132" s="3">
        <f t="shared" si="108"/>
        <v>246184606</v>
      </c>
      <c r="X132" s="3">
        <f t="shared" si="108"/>
        <v>12365695</v>
      </c>
      <c r="Y132" s="3">
        <f t="shared" si="105"/>
        <v>258550301</v>
      </c>
      <c r="Z132" s="3">
        <f t="shared" si="109"/>
        <v>52134322</v>
      </c>
      <c r="AA132" s="3">
        <f t="shared" si="109"/>
        <v>10320540</v>
      </c>
      <c r="AB132" s="3">
        <f t="shared" si="106"/>
        <v>62454862</v>
      </c>
      <c r="AC132" s="3">
        <f t="shared" si="107"/>
        <v>322651331</v>
      </c>
    </row>
    <row r="133" spans="1:29">
      <c r="A133" s="170">
        <v>44105</v>
      </c>
      <c r="B133" s="3">
        <v>173213</v>
      </c>
      <c r="C133" s="3">
        <v>0</v>
      </c>
      <c r="D133" s="3">
        <f t="shared" si="100"/>
        <v>173213</v>
      </c>
      <c r="E133" s="3">
        <v>0</v>
      </c>
      <c r="F133" s="3">
        <v>0</v>
      </c>
      <c r="G133" s="3">
        <f t="shared" si="101"/>
        <v>0</v>
      </c>
      <c r="H133" s="3">
        <v>34208723</v>
      </c>
      <c r="I133" s="3">
        <v>2911202</v>
      </c>
      <c r="J133" s="3">
        <f t="shared" si="102"/>
        <v>37119925</v>
      </c>
      <c r="K133" s="3">
        <v>7352727</v>
      </c>
      <c r="L133" s="3">
        <v>0</v>
      </c>
      <c r="M133" s="3">
        <f t="shared" ref="M133:M151" si="110">SUM(K133:L133)</f>
        <v>7352727</v>
      </c>
      <c r="N133" s="3">
        <f t="shared" ref="N133:O171" si="111">B133+E133+H133+K133</f>
        <v>41734663</v>
      </c>
      <c r="O133" s="3">
        <f t="shared" si="111"/>
        <v>2911202</v>
      </c>
      <c r="P133" s="3">
        <f t="shared" ref="P133:P186" si="112">O133+N133</f>
        <v>44645865</v>
      </c>
      <c r="Q133" s="3">
        <f t="shared" si="103"/>
        <v>1819381</v>
      </c>
      <c r="R133" s="3">
        <f t="shared" si="103"/>
        <v>0</v>
      </c>
      <c r="S133" s="3">
        <f t="shared" si="84"/>
        <v>1819381</v>
      </c>
      <c r="T133" s="3">
        <f t="shared" si="104"/>
        <v>0</v>
      </c>
      <c r="U133" s="3">
        <f t="shared" si="104"/>
        <v>0</v>
      </c>
      <c r="V133" s="3">
        <f t="shared" si="85"/>
        <v>0</v>
      </c>
      <c r="W133" s="3">
        <f t="shared" si="108"/>
        <v>280393329</v>
      </c>
      <c r="X133" s="3">
        <f t="shared" si="108"/>
        <v>15276897</v>
      </c>
      <c r="Y133" s="3">
        <f t="shared" si="105"/>
        <v>295670226</v>
      </c>
      <c r="Z133" s="3">
        <f t="shared" si="109"/>
        <v>59487049</v>
      </c>
      <c r="AA133" s="3">
        <f t="shared" si="109"/>
        <v>10320540</v>
      </c>
      <c r="AB133" s="3">
        <f t="shared" si="106"/>
        <v>69807589</v>
      </c>
      <c r="AC133" s="3">
        <f t="shared" si="107"/>
        <v>367297196</v>
      </c>
    </row>
    <row r="134" spans="1:29">
      <c r="A134" s="170">
        <v>44136</v>
      </c>
      <c r="B134" s="3">
        <v>173959</v>
      </c>
      <c r="C134" s="3">
        <v>0</v>
      </c>
      <c r="D134" s="3">
        <f t="shared" si="100"/>
        <v>173959</v>
      </c>
      <c r="E134" s="3">
        <v>0</v>
      </c>
      <c r="F134" s="3">
        <v>0</v>
      </c>
      <c r="G134" s="3">
        <f t="shared" si="101"/>
        <v>0</v>
      </c>
      <c r="H134" s="3">
        <v>35602358</v>
      </c>
      <c r="I134" s="3">
        <v>3068629</v>
      </c>
      <c r="J134" s="3">
        <f t="shared" si="102"/>
        <v>38670987</v>
      </c>
      <c r="K134" s="3">
        <v>7497164</v>
      </c>
      <c r="L134" s="3">
        <v>0</v>
      </c>
      <c r="M134" s="3">
        <f t="shared" si="110"/>
        <v>7497164</v>
      </c>
      <c r="N134" s="3">
        <f t="shared" si="111"/>
        <v>43273481</v>
      </c>
      <c r="O134" s="3">
        <f t="shared" si="111"/>
        <v>3068629</v>
      </c>
      <c r="P134" s="3">
        <f t="shared" si="112"/>
        <v>46342110</v>
      </c>
      <c r="Q134" s="3">
        <f t="shared" si="103"/>
        <v>1993340</v>
      </c>
      <c r="R134" s="3">
        <f t="shared" si="103"/>
        <v>0</v>
      </c>
      <c r="S134" s="3">
        <f t="shared" si="84"/>
        <v>1993340</v>
      </c>
      <c r="T134" s="3">
        <f t="shared" si="104"/>
        <v>0</v>
      </c>
      <c r="U134" s="3">
        <f t="shared" si="104"/>
        <v>0</v>
      </c>
      <c r="V134" s="3">
        <f t="shared" si="85"/>
        <v>0</v>
      </c>
      <c r="W134" s="3">
        <f t="shared" si="108"/>
        <v>315995687</v>
      </c>
      <c r="X134" s="3">
        <f t="shared" si="108"/>
        <v>18345526</v>
      </c>
      <c r="Y134" s="3">
        <f t="shared" si="105"/>
        <v>334341213</v>
      </c>
      <c r="Z134" s="3">
        <f t="shared" si="109"/>
        <v>66984213</v>
      </c>
      <c r="AA134" s="3">
        <f t="shared" si="109"/>
        <v>10320540</v>
      </c>
      <c r="AB134" s="3">
        <f t="shared" si="106"/>
        <v>77304753</v>
      </c>
      <c r="AC134" s="3">
        <f t="shared" si="107"/>
        <v>413639306</v>
      </c>
    </row>
    <row r="135" spans="1:29" ht="13.5" thickBot="1">
      <c r="A135" s="170">
        <v>44166</v>
      </c>
      <c r="B135" s="3">
        <v>57832</v>
      </c>
      <c r="C135" s="3">
        <v>0</v>
      </c>
      <c r="D135" s="3">
        <f t="shared" si="100"/>
        <v>57832</v>
      </c>
      <c r="E135" s="3">
        <v>0</v>
      </c>
      <c r="F135" s="3">
        <v>0</v>
      </c>
      <c r="G135" s="3">
        <f t="shared" si="101"/>
        <v>0</v>
      </c>
      <c r="H135" s="3">
        <v>71993431</v>
      </c>
      <c r="I135" s="3">
        <v>5942291</v>
      </c>
      <c r="J135" s="3">
        <f t="shared" si="102"/>
        <v>77935722</v>
      </c>
      <c r="K135" s="3">
        <v>13960148</v>
      </c>
      <c r="L135" s="3">
        <v>279203</v>
      </c>
      <c r="M135" s="3">
        <f t="shared" si="110"/>
        <v>14239351</v>
      </c>
      <c r="N135" s="3">
        <f t="shared" si="111"/>
        <v>86011411</v>
      </c>
      <c r="O135" s="3">
        <f t="shared" si="111"/>
        <v>6221494</v>
      </c>
      <c r="P135" s="3">
        <f t="shared" si="112"/>
        <v>92232905</v>
      </c>
      <c r="Q135" s="3">
        <f t="shared" si="103"/>
        <v>2051172</v>
      </c>
      <c r="R135" s="3">
        <f t="shared" si="103"/>
        <v>0</v>
      </c>
      <c r="S135" s="3">
        <f t="shared" si="84"/>
        <v>2051172</v>
      </c>
      <c r="T135" s="3">
        <f t="shared" si="104"/>
        <v>0</v>
      </c>
      <c r="U135" s="3">
        <f t="shared" si="104"/>
        <v>0</v>
      </c>
      <c r="V135" s="3">
        <f t="shared" si="85"/>
        <v>0</v>
      </c>
      <c r="W135" s="3">
        <f>W134+H135</f>
        <v>387989118</v>
      </c>
      <c r="X135" s="3">
        <f>X134+I135</f>
        <v>24287817</v>
      </c>
      <c r="Y135" s="3">
        <f t="shared" si="105"/>
        <v>412276935</v>
      </c>
      <c r="Z135" s="3">
        <f>Z134+K135</f>
        <v>80944361</v>
      </c>
      <c r="AA135" s="3">
        <f>AA134+L135</f>
        <v>10599743</v>
      </c>
      <c r="AB135" s="3">
        <f t="shared" si="106"/>
        <v>91544104</v>
      </c>
      <c r="AC135" s="3">
        <f t="shared" si="107"/>
        <v>505872211</v>
      </c>
    </row>
    <row r="136" spans="1:29">
      <c r="A136" s="171">
        <v>44197</v>
      </c>
      <c r="B136" s="104">
        <v>203252</v>
      </c>
      <c r="C136" s="104">
        <v>0</v>
      </c>
      <c r="D136" s="104">
        <f t="shared" si="100"/>
        <v>203252</v>
      </c>
      <c r="E136" s="104">
        <v>0</v>
      </c>
      <c r="F136" s="104">
        <v>0</v>
      </c>
      <c r="G136" s="104">
        <f t="shared" si="101"/>
        <v>0</v>
      </c>
      <c r="H136" s="104">
        <v>3883503</v>
      </c>
      <c r="I136" s="104">
        <v>0</v>
      </c>
      <c r="J136" s="104">
        <f t="shared" si="102"/>
        <v>3883503</v>
      </c>
      <c r="K136" s="104">
        <v>1179715</v>
      </c>
      <c r="L136" s="104">
        <v>0</v>
      </c>
      <c r="M136" s="104">
        <f t="shared" si="110"/>
        <v>1179715</v>
      </c>
      <c r="N136" s="104">
        <f t="shared" si="111"/>
        <v>5266470</v>
      </c>
      <c r="O136" s="104">
        <f t="shared" si="111"/>
        <v>0</v>
      </c>
      <c r="P136" s="104">
        <f t="shared" si="112"/>
        <v>5266470</v>
      </c>
      <c r="Q136" s="104">
        <f>B136</f>
        <v>203252</v>
      </c>
      <c r="R136" s="104">
        <f>C136</f>
        <v>0</v>
      </c>
      <c r="S136" s="104">
        <f t="shared" si="84"/>
        <v>203252</v>
      </c>
      <c r="T136" s="104">
        <f>E136</f>
        <v>0</v>
      </c>
      <c r="U136" s="104">
        <f>F136</f>
        <v>0</v>
      </c>
      <c r="V136" s="104">
        <f t="shared" si="85"/>
        <v>0</v>
      </c>
      <c r="W136" s="104">
        <f>H136</f>
        <v>3883503</v>
      </c>
      <c r="X136" s="104">
        <f>I136</f>
        <v>0</v>
      </c>
      <c r="Y136" s="104">
        <f>X136+W136</f>
        <v>3883503</v>
      </c>
      <c r="Z136" s="104">
        <f>K136</f>
        <v>1179715</v>
      </c>
      <c r="AA136" s="104">
        <f>L136</f>
        <v>0</v>
      </c>
      <c r="AB136" s="104">
        <f>AA136+Z136</f>
        <v>1179715</v>
      </c>
      <c r="AC136" s="104">
        <f>AB136+Y136+V136+S136</f>
        <v>5266470</v>
      </c>
    </row>
    <row r="137" spans="1:29">
      <c r="A137" s="170">
        <v>44228</v>
      </c>
      <c r="B137" s="3">
        <v>29238</v>
      </c>
      <c r="C137" s="3">
        <v>0</v>
      </c>
      <c r="D137" s="3">
        <f t="shared" si="100"/>
        <v>29238</v>
      </c>
      <c r="E137" s="3">
        <v>0</v>
      </c>
      <c r="F137" s="3">
        <v>0</v>
      </c>
      <c r="G137" s="3">
        <f t="shared" si="101"/>
        <v>0</v>
      </c>
      <c r="H137" s="3">
        <v>33220960</v>
      </c>
      <c r="I137" s="3">
        <v>2921276</v>
      </c>
      <c r="J137" s="3">
        <f t="shared" si="102"/>
        <v>36142236</v>
      </c>
      <c r="K137" s="3">
        <v>5801041</v>
      </c>
      <c r="L137" s="3">
        <v>0</v>
      </c>
      <c r="M137" s="3">
        <f t="shared" si="110"/>
        <v>5801041</v>
      </c>
      <c r="N137" s="3">
        <f t="shared" si="111"/>
        <v>39051239</v>
      </c>
      <c r="O137" s="3">
        <f t="shared" si="111"/>
        <v>2921276</v>
      </c>
      <c r="P137" s="3">
        <f t="shared" si="112"/>
        <v>41972515</v>
      </c>
      <c r="Q137" s="3">
        <f t="shared" ref="Q137:R147" si="113">Q136+B137</f>
        <v>232490</v>
      </c>
      <c r="R137" s="3">
        <f t="shared" si="113"/>
        <v>0</v>
      </c>
      <c r="S137" s="3">
        <f t="shared" si="84"/>
        <v>232490</v>
      </c>
      <c r="T137" s="3">
        <f t="shared" ref="T137:U147" si="114">T136+E137</f>
        <v>0</v>
      </c>
      <c r="U137" s="3">
        <f t="shared" si="114"/>
        <v>0</v>
      </c>
      <c r="V137" s="3">
        <f t="shared" si="85"/>
        <v>0</v>
      </c>
      <c r="W137" s="3">
        <f>W136+H137</f>
        <v>37104463</v>
      </c>
      <c r="X137" s="3">
        <f>X136+I137</f>
        <v>2921276</v>
      </c>
      <c r="Y137" s="3">
        <f t="shared" ref="Y137:Y147" si="115">X137+W137</f>
        <v>40025739</v>
      </c>
      <c r="Z137" s="3">
        <f>Z136+K137</f>
        <v>6980756</v>
      </c>
      <c r="AA137" s="3">
        <f>AA136+L137</f>
        <v>0</v>
      </c>
      <c r="AB137" s="3">
        <f t="shared" ref="AB137:AB147" si="116">AA137+Z137</f>
        <v>6980756</v>
      </c>
      <c r="AC137" s="3">
        <f t="shared" ref="AC137:AC147" si="117">AB137+Y137+V137+S137</f>
        <v>47238985</v>
      </c>
    </row>
    <row r="138" spans="1:29">
      <c r="A138" s="170">
        <v>44256</v>
      </c>
      <c r="B138" s="3">
        <v>0</v>
      </c>
      <c r="C138" s="3">
        <v>0</v>
      </c>
      <c r="D138" s="3">
        <f t="shared" si="100"/>
        <v>0</v>
      </c>
      <c r="E138" s="3">
        <v>0</v>
      </c>
      <c r="F138" s="3">
        <v>0</v>
      </c>
      <c r="G138" s="3">
        <f t="shared" si="101"/>
        <v>0</v>
      </c>
      <c r="H138" s="3">
        <v>27903102</v>
      </c>
      <c r="I138" s="3">
        <v>2817231</v>
      </c>
      <c r="J138" s="3">
        <f t="shared" si="102"/>
        <v>30720333</v>
      </c>
      <c r="K138" s="3">
        <v>6042256</v>
      </c>
      <c r="L138" s="3">
        <v>0</v>
      </c>
      <c r="M138" s="3">
        <f t="shared" si="110"/>
        <v>6042256</v>
      </c>
      <c r="N138" s="3">
        <f t="shared" si="111"/>
        <v>33945358</v>
      </c>
      <c r="O138" s="3">
        <f t="shared" si="111"/>
        <v>2817231</v>
      </c>
      <c r="P138" s="3">
        <f t="shared" si="112"/>
        <v>36762589</v>
      </c>
      <c r="Q138" s="3">
        <f t="shared" si="113"/>
        <v>232490</v>
      </c>
      <c r="R138" s="3">
        <f t="shared" si="113"/>
        <v>0</v>
      </c>
      <c r="S138" s="3">
        <f t="shared" si="84"/>
        <v>232490</v>
      </c>
      <c r="T138" s="3">
        <f t="shared" si="114"/>
        <v>0</v>
      </c>
      <c r="U138" s="3">
        <f t="shared" si="114"/>
        <v>0</v>
      </c>
      <c r="V138" s="3">
        <f t="shared" si="85"/>
        <v>0</v>
      </c>
      <c r="W138" s="3">
        <f t="shared" ref="W138:X146" si="118">W137+H138</f>
        <v>65007565</v>
      </c>
      <c r="X138" s="3">
        <f t="shared" si="118"/>
        <v>5738507</v>
      </c>
      <c r="Y138" s="3">
        <f t="shared" si="115"/>
        <v>70746072</v>
      </c>
      <c r="Z138" s="3">
        <f t="shared" ref="Z138:AA146" si="119">Z137+K138</f>
        <v>13023012</v>
      </c>
      <c r="AA138" s="3">
        <f t="shared" si="119"/>
        <v>0</v>
      </c>
      <c r="AB138" s="3">
        <f t="shared" si="116"/>
        <v>13023012</v>
      </c>
      <c r="AC138" s="3">
        <f t="shared" si="117"/>
        <v>84001574</v>
      </c>
    </row>
    <row r="139" spans="1:29">
      <c r="A139" s="170">
        <v>44287</v>
      </c>
      <c r="B139" s="3">
        <v>0</v>
      </c>
      <c r="C139" s="3">
        <v>0</v>
      </c>
      <c r="D139" s="3">
        <f t="shared" si="100"/>
        <v>0</v>
      </c>
      <c r="E139" s="3">
        <v>0</v>
      </c>
      <c r="F139" s="3">
        <v>0</v>
      </c>
      <c r="G139" s="3">
        <f t="shared" si="101"/>
        <v>0</v>
      </c>
      <c r="H139" s="3">
        <v>34802958</v>
      </c>
      <c r="I139" s="3">
        <v>3158143</v>
      </c>
      <c r="J139" s="3">
        <f t="shared" si="102"/>
        <v>37961101</v>
      </c>
      <c r="K139" s="3">
        <v>5822780</v>
      </c>
      <c r="L139" s="3">
        <v>0</v>
      </c>
      <c r="M139" s="3">
        <f t="shared" si="110"/>
        <v>5822780</v>
      </c>
      <c r="N139" s="3">
        <f t="shared" si="111"/>
        <v>40625738</v>
      </c>
      <c r="O139" s="3">
        <f t="shared" si="111"/>
        <v>3158143</v>
      </c>
      <c r="P139" s="3">
        <f t="shared" si="112"/>
        <v>43783881</v>
      </c>
      <c r="Q139" s="3">
        <f t="shared" si="113"/>
        <v>232490</v>
      </c>
      <c r="R139" s="3">
        <f t="shared" si="113"/>
        <v>0</v>
      </c>
      <c r="S139" s="3">
        <f t="shared" si="84"/>
        <v>232490</v>
      </c>
      <c r="T139" s="3">
        <f t="shared" si="114"/>
        <v>0</v>
      </c>
      <c r="U139" s="3">
        <f t="shared" si="114"/>
        <v>0</v>
      </c>
      <c r="V139" s="3">
        <f t="shared" si="85"/>
        <v>0</v>
      </c>
      <c r="W139" s="3">
        <f t="shared" si="118"/>
        <v>99810523</v>
      </c>
      <c r="X139" s="3">
        <f t="shared" si="118"/>
        <v>8896650</v>
      </c>
      <c r="Y139" s="3">
        <f t="shared" si="115"/>
        <v>108707173</v>
      </c>
      <c r="Z139" s="3">
        <f t="shared" si="119"/>
        <v>18845792</v>
      </c>
      <c r="AA139" s="3">
        <f t="shared" si="119"/>
        <v>0</v>
      </c>
      <c r="AB139" s="3">
        <f t="shared" si="116"/>
        <v>18845792</v>
      </c>
      <c r="AC139" s="3">
        <f t="shared" si="117"/>
        <v>127785455</v>
      </c>
    </row>
    <row r="140" spans="1:29">
      <c r="A140" s="170">
        <v>44317</v>
      </c>
      <c r="B140" s="3">
        <v>0</v>
      </c>
      <c r="C140" s="3">
        <v>0</v>
      </c>
      <c r="D140" s="3">
        <f t="shared" si="100"/>
        <v>0</v>
      </c>
      <c r="E140" s="3">
        <v>0</v>
      </c>
      <c r="F140" s="3">
        <v>0</v>
      </c>
      <c r="G140" s="3">
        <f t="shared" si="101"/>
        <v>0</v>
      </c>
      <c r="H140" s="3">
        <v>35833762</v>
      </c>
      <c r="I140" s="3">
        <v>3056702</v>
      </c>
      <c r="J140" s="3">
        <f t="shared" si="102"/>
        <v>38890464</v>
      </c>
      <c r="K140" s="3">
        <v>5946988</v>
      </c>
      <c r="L140" s="3">
        <v>0</v>
      </c>
      <c r="M140" s="3">
        <f t="shared" si="110"/>
        <v>5946988</v>
      </c>
      <c r="N140" s="3">
        <f t="shared" si="111"/>
        <v>41780750</v>
      </c>
      <c r="O140" s="3">
        <f t="shared" si="111"/>
        <v>3056702</v>
      </c>
      <c r="P140" s="3">
        <f t="shared" si="112"/>
        <v>44837452</v>
      </c>
      <c r="Q140" s="3">
        <f t="shared" si="113"/>
        <v>232490</v>
      </c>
      <c r="R140" s="3">
        <f t="shared" si="113"/>
        <v>0</v>
      </c>
      <c r="S140" s="3">
        <f t="shared" si="84"/>
        <v>232490</v>
      </c>
      <c r="T140" s="3">
        <f t="shared" si="114"/>
        <v>0</v>
      </c>
      <c r="U140" s="3">
        <f t="shared" si="114"/>
        <v>0</v>
      </c>
      <c r="V140" s="3">
        <f t="shared" si="85"/>
        <v>0</v>
      </c>
      <c r="W140" s="3">
        <f t="shared" si="118"/>
        <v>135644285</v>
      </c>
      <c r="X140" s="3">
        <f t="shared" si="118"/>
        <v>11953352</v>
      </c>
      <c r="Y140" s="3">
        <f t="shared" si="115"/>
        <v>147597637</v>
      </c>
      <c r="Z140" s="3">
        <f t="shared" si="119"/>
        <v>24792780</v>
      </c>
      <c r="AA140" s="3">
        <f t="shared" si="119"/>
        <v>0</v>
      </c>
      <c r="AB140" s="3">
        <f t="shared" si="116"/>
        <v>24792780</v>
      </c>
      <c r="AC140" s="3">
        <f t="shared" si="117"/>
        <v>172622907</v>
      </c>
    </row>
    <row r="141" spans="1:29">
      <c r="A141" s="170">
        <v>44348</v>
      </c>
      <c r="B141" s="3">
        <v>11788</v>
      </c>
      <c r="C141" s="3">
        <v>0</v>
      </c>
      <c r="D141" s="3">
        <f t="shared" si="100"/>
        <v>11788</v>
      </c>
      <c r="E141" s="3">
        <v>0</v>
      </c>
      <c r="F141" s="3">
        <v>0</v>
      </c>
      <c r="G141" s="3">
        <f t="shared" si="101"/>
        <v>0</v>
      </c>
      <c r="H141" s="3">
        <v>39397690</v>
      </c>
      <c r="I141" s="3">
        <v>2702538</v>
      </c>
      <c r="J141" s="3">
        <f t="shared" si="102"/>
        <v>42100228</v>
      </c>
      <c r="K141" s="3">
        <v>6974332</v>
      </c>
      <c r="L141" s="3">
        <v>483469</v>
      </c>
      <c r="M141" s="3">
        <f t="shared" si="110"/>
        <v>7457801</v>
      </c>
      <c r="N141" s="3">
        <f t="shared" si="111"/>
        <v>46383810</v>
      </c>
      <c r="O141" s="3">
        <f t="shared" si="111"/>
        <v>3186007</v>
      </c>
      <c r="P141" s="3">
        <f t="shared" si="112"/>
        <v>49569817</v>
      </c>
      <c r="Q141" s="3">
        <f t="shared" si="113"/>
        <v>244278</v>
      </c>
      <c r="R141" s="3">
        <f t="shared" si="113"/>
        <v>0</v>
      </c>
      <c r="S141" s="3">
        <f t="shared" si="84"/>
        <v>244278</v>
      </c>
      <c r="T141" s="3">
        <f t="shared" si="114"/>
        <v>0</v>
      </c>
      <c r="U141" s="3">
        <f t="shared" si="114"/>
        <v>0</v>
      </c>
      <c r="V141" s="3">
        <f t="shared" si="85"/>
        <v>0</v>
      </c>
      <c r="W141" s="3">
        <f t="shared" si="118"/>
        <v>175041975</v>
      </c>
      <c r="X141" s="3">
        <f t="shared" si="118"/>
        <v>14655890</v>
      </c>
      <c r="Y141" s="3">
        <f t="shared" si="115"/>
        <v>189697865</v>
      </c>
      <c r="Z141" s="3">
        <f t="shared" si="119"/>
        <v>31767112</v>
      </c>
      <c r="AA141" s="3">
        <f t="shared" si="119"/>
        <v>483469</v>
      </c>
      <c r="AB141" s="3">
        <f t="shared" si="116"/>
        <v>32250581</v>
      </c>
      <c r="AC141" s="3">
        <f t="shared" si="117"/>
        <v>222192724</v>
      </c>
    </row>
    <row r="142" spans="1:29">
      <c r="A142" s="170">
        <v>44378</v>
      </c>
      <c r="B142" s="3">
        <v>0</v>
      </c>
      <c r="C142" s="3">
        <v>0</v>
      </c>
      <c r="D142" s="3">
        <f t="shared" si="100"/>
        <v>0</v>
      </c>
      <c r="E142" s="3">
        <v>0</v>
      </c>
      <c r="F142" s="3">
        <v>0</v>
      </c>
      <c r="G142" s="3">
        <f t="shared" si="101"/>
        <v>0</v>
      </c>
      <c r="H142" s="3">
        <v>35884034</v>
      </c>
      <c r="I142" s="3">
        <v>2718711</v>
      </c>
      <c r="J142" s="3">
        <f t="shared" si="102"/>
        <v>38602745</v>
      </c>
      <c r="K142" s="3">
        <v>7060527</v>
      </c>
      <c r="L142" s="3">
        <v>240726</v>
      </c>
      <c r="M142" s="3">
        <f t="shared" si="110"/>
        <v>7301253</v>
      </c>
      <c r="N142" s="3">
        <f t="shared" si="111"/>
        <v>42944561</v>
      </c>
      <c r="O142" s="3">
        <f t="shared" si="111"/>
        <v>2959437</v>
      </c>
      <c r="P142" s="3">
        <f t="shared" si="112"/>
        <v>45903998</v>
      </c>
      <c r="Q142" s="3">
        <f t="shared" si="113"/>
        <v>244278</v>
      </c>
      <c r="R142" s="3">
        <f t="shared" si="113"/>
        <v>0</v>
      </c>
      <c r="S142" s="3">
        <f t="shared" si="84"/>
        <v>244278</v>
      </c>
      <c r="T142" s="3">
        <f t="shared" si="114"/>
        <v>0</v>
      </c>
      <c r="U142" s="3">
        <f t="shared" si="114"/>
        <v>0</v>
      </c>
      <c r="V142" s="3">
        <f t="shared" si="85"/>
        <v>0</v>
      </c>
      <c r="W142" s="3">
        <f t="shared" si="118"/>
        <v>210926009</v>
      </c>
      <c r="X142" s="3">
        <f t="shared" si="118"/>
        <v>17374601</v>
      </c>
      <c r="Y142" s="3">
        <f t="shared" si="115"/>
        <v>228300610</v>
      </c>
      <c r="Z142" s="3">
        <f t="shared" si="119"/>
        <v>38827639</v>
      </c>
      <c r="AA142" s="3">
        <f t="shared" si="119"/>
        <v>724195</v>
      </c>
      <c r="AB142" s="3">
        <f t="shared" si="116"/>
        <v>39551834</v>
      </c>
      <c r="AC142" s="3">
        <f t="shared" si="117"/>
        <v>268096722</v>
      </c>
    </row>
    <row r="143" spans="1:29">
      <c r="A143" s="170">
        <v>44409</v>
      </c>
      <c r="B143" s="3">
        <v>0</v>
      </c>
      <c r="C143" s="3">
        <v>0</v>
      </c>
      <c r="D143" s="3">
        <f t="shared" si="100"/>
        <v>0</v>
      </c>
      <c r="E143" s="3">
        <v>0</v>
      </c>
      <c r="F143" s="3">
        <v>0</v>
      </c>
      <c r="G143" s="3">
        <f t="shared" si="101"/>
        <v>0</v>
      </c>
      <c r="H143" s="3">
        <v>37893243</v>
      </c>
      <c r="I143" s="3">
        <v>2857925</v>
      </c>
      <c r="J143" s="3">
        <f t="shared" si="102"/>
        <v>40751168</v>
      </c>
      <c r="K143" s="3">
        <v>6693931</v>
      </c>
      <c r="L143" s="3">
        <v>195705</v>
      </c>
      <c r="M143" s="3">
        <f t="shared" si="110"/>
        <v>6889636</v>
      </c>
      <c r="N143" s="3">
        <f t="shared" si="111"/>
        <v>44587174</v>
      </c>
      <c r="O143" s="3">
        <f t="shared" si="111"/>
        <v>3053630</v>
      </c>
      <c r="P143" s="3">
        <f t="shared" si="112"/>
        <v>47640804</v>
      </c>
      <c r="Q143" s="3">
        <f t="shared" si="113"/>
        <v>244278</v>
      </c>
      <c r="R143" s="3">
        <f t="shared" si="113"/>
        <v>0</v>
      </c>
      <c r="S143" s="3">
        <f t="shared" si="84"/>
        <v>244278</v>
      </c>
      <c r="T143" s="3">
        <f t="shared" si="114"/>
        <v>0</v>
      </c>
      <c r="U143" s="3">
        <f t="shared" si="114"/>
        <v>0</v>
      </c>
      <c r="V143" s="3">
        <f t="shared" si="85"/>
        <v>0</v>
      </c>
      <c r="W143" s="3">
        <f t="shared" si="118"/>
        <v>248819252</v>
      </c>
      <c r="X143" s="3">
        <f t="shared" si="118"/>
        <v>20232526</v>
      </c>
      <c r="Y143" s="3">
        <f t="shared" si="115"/>
        <v>269051778</v>
      </c>
      <c r="Z143" s="3">
        <f t="shared" si="119"/>
        <v>45521570</v>
      </c>
      <c r="AA143" s="3">
        <f t="shared" si="119"/>
        <v>919900</v>
      </c>
      <c r="AB143" s="3">
        <f t="shared" si="116"/>
        <v>46441470</v>
      </c>
      <c r="AC143" s="3">
        <f t="shared" si="117"/>
        <v>315737526</v>
      </c>
    </row>
    <row r="144" spans="1:29">
      <c r="A144" s="170">
        <v>44440</v>
      </c>
      <c r="B144" s="3">
        <v>0</v>
      </c>
      <c r="C144" s="3">
        <v>0</v>
      </c>
      <c r="D144" s="3">
        <f t="shared" si="100"/>
        <v>0</v>
      </c>
      <c r="E144" s="3">
        <v>0</v>
      </c>
      <c r="F144" s="3">
        <v>0</v>
      </c>
      <c r="G144" s="3">
        <f t="shared" si="101"/>
        <v>0</v>
      </c>
      <c r="H144" s="3">
        <v>39533285</v>
      </c>
      <c r="I144" s="3">
        <v>2967093</v>
      </c>
      <c r="J144" s="3">
        <f t="shared" si="102"/>
        <v>42500378</v>
      </c>
      <c r="K144" s="3">
        <v>7402799</v>
      </c>
      <c r="L144" s="3">
        <v>25800</v>
      </c>
      <c r="M144" s="3">
        <f t="shared" si="110"/>
        <v>7428599</v>
      </c>
      <c r="N144" s="3">
        <f t="shared" si="111"/>
        <v>46936084</v>
      </c>
      <c r="O144" s="3">
        <f t="shared" si="111"/>
        <v>2992893</v>
      </c>
      <c r="P144" s="3">
        <f t="shared" si="112"/>
        <v>49928977</v>
      </c>
      <c r="Q144" s="3">
        <f t="shared" si="113"/>
        <v>244278</v>
      </c>
      <c r="R144" s="3">
        <f t="shared" si="113"/>
        <v>0</v>
      </c>
      <c r="S144" s="3">
        <f t="shared" si="84"/>
        <v>244278</v>
      </c>
      <c r="T144" s="3">
        <f t="shared" si="114"/>
        <v>0</v>
      </c>
      <c r="U144" s="3">
        <f t="shared" si="114"/>
        <v>0</v>
      </c>
      <c r="V144" s="3">
        <f t="shared" si="85"/>
        <v>0</v>
      </c>
      <c r="W144" s="3">
        <f t="shared" si="118"/>
        <v>288352537</v>
      </c>
      <c r="X144" s="3">
        <f t="shared" si="118"/>
        <v>23199619</v>
      </c>
      <c r="Y144" s="3">
        <f t="shared" si="115"/>
        <v>311552156</v>
      </c>
      <c r="Z144" s="3">
        <f t="shared" si="119"/>
        <v>52924369</v>
      </c>
      <c r="AA144" s="3">
        <f t="shared" si="119"/>
        <v>945700</v>
      </c>
      <c r="AB144" s="3">
        <f t="shared" si="116"/>
        <v>53870069</v>
      </c>
      <c r="AC144" s="3">
        <f t="shared" si="117"/>
        <v>365666503</v>
      </c>
    </row>
    <row r="145" spans="1:30">
      <c r="A145" s="170">
        <v>44470</v>
      </c>
      <c r="B145" s="3">
        <v>0</v>
      </c>
      <c r="C145" s="3">
        <v>0</v>
      </c>
      <c r="D145" s="3">
        <f t="shared" si="100"/>
        <v>0</v>
      </c>
      <c r="E145" s="3">
        <v>0</v>
      </c>
      <c r="F145" s="3">
        <v>0</v>
      </c>
      <c r="G145" s="3">
        <f t="shared" si="101"/>
        <v>0</v>
      </c>
      <c r="H145" s="3">
        <v>39558092</v>
      </c>
      <c r="I145" s="3">
        <v>2634250</v>
      </c>
      <c r="J145" s="3">
        <f t="shared" si="102"/>
        <v>42192342</v>
      </c>
      <c r="K145" s="3">
        <v>6941856</v>
      </c>
      <c r="L145" s="3">
        <v>349262</v>
      </c>
      <c r="M145" s="3">
        <f t="shared" si="110"/>
        <v>7291118</v>
      </c>
      <c r="N145" s="3">
        <f t="shared" si="111"/>
        <v>46499948</v>
      </c>
      <c r="O145" s="3">
        <f t="shared" si="111"/>
        <v>2983512</v>
      </c>
      <c r="P145" s="3">
        <f t="shared" si="112"/>
        <v>49483460</v>
      </c>
      <c r="Q145" s="3">
        <f t="shared" si="113"/>
        <v>244278</v>
      </c>
      <c r="R145" s="3">
        <f t="shared" si="113"/>
        <v>0</v>
      </c>
      <c r="S145" s="3">
        <f t="shared" si="84"/>
        <v>244278</v>
      </c>
      <c r="T145" s="3">
        <f t="shared" si="114"/>
        <v>0</v>
      </c>
      <c r="U145" s="3">
        <f t="shared" si="114"/>
        <v>0</v>
      </c>
      <c r="V145" s="3">
        <f t="shared" si="85"/>
        <v>0</v>
      </c>
      <c r="W145" s="3">
        <f t="shared" si="118"/>
        <v>327910629</v>
      </c>
      <c r="X145" s="3">
        <f t="shared" si="118"/>
        <v>25833869</v>
      </c>
      <c r="Y145" s="3">
        <f t="shared" si="115"/>
        <v>353744498</v>
      </c>
      <c r="Z145" s="3">
        <f t="shared" si="119"/>
        <v>59866225</v>
      </c>
      <c r="AA145" s="3">
        <f t="shared" si="119"/>
        <v>1294962</v>
      </c>
      <c r="AB145" s="3">
        <f t="shared" si="116"/>
        <v>61161187</v>
      </c>
      <c r="AC145" s="3">
        <f t="shared" si="117"/>
        <v>415149963</v>
      </c>
    </row>
    <row r="146" spans="1:30">
      <c r="A146" s="170">
        <v>44501</v>
      </c>
      <c r="B146" s="3">
        <v>125000</v>
      </c>
      <c r="C146" s="3">
        <v>0</v>
      </c>
      <c r="D146" s="3">
        <f t="shared" si="100"/>
        <v>125000</v>
      </c>
      <c r="E146" s="3">
        <v>0</v>
      </c>
      <c r="F146" s="3">
        <v>0</v>
      </c>
      <c r="G146" s="3">
        <f t="shared" si="101"/>
        <v>0</v>
      </c>
      <c r="H146" s="3">
        <v>42107589</v>
      </c>
      <c r="I146" s="3">
        <v>2369226</v>
      </c>
      <c r="J146" s="3">
        <f t="shared" si="102"/>
        <v>44476815</v>
      </c>
      <c r="K146" s="3">
        <v>7154022</v>
      </c>
      <c r="L146" s="3">
        <v>667669</v>
      </c>
      <c r="M146" s="3">
        <f t="shared" si="110"/>
        <v>7821691</v>
      </c>
      <c r="N146" s="3">
        <f t="shared" si="111"/>
        <v>49386611</v>
      </c>
      <c r="O146" s="3">
        <f t="shared" si="111"/>
        <v>3036895</v>
      </c>
      <c r="P146" s="3">
        <f t="shared" si="112"/>
        <v>52423506</v>
      </c>
      <c r="Q146" s="3">
        <f t="shared" si="113"/>
        <v>369278</v>
      </c>
      <c r="R146" s="3">
        <f t="shared" si="113"/>
        <v>0</v>
      </c>
      <c r="S146" s="3">
        <f t="shared" si="84"/>
        <v>369278</v>
      </c>
      <c r="T146" s="3">
        <f t="shared" si="114"/>
        <v>0</v>
      </c>
      <c r="U146" s="3">
        <f t="shared" si="114"/>
        <v>0</v>
      </c>
      <c r="V146" s="3">
        <f t="shared" si="85"/>
        <v>0</v>
      </c>
      <c r="W146" s="3">
        <f t="shared" si="118"/>
        <v>370018218</v>
      </c>
      <c r="X146" s="3">
        <f t="shared" si="118"/>
        <v>28203095</v>
      </c>
      <c r="Y146" s="3">
        <f t="shared" si="115"/>
        <v>398221313</v>
      </c>
      <c r="Z146" s="3">
        <f t="shared" si="119"/>
        <v>67020247</v>
      </c>
      <c r="AA146" s="3">
        <f t="shared" si="119"/>
        <v>1962631</v>
      </c>
      <c r="AB146" s="3">
        <f t="shared" si="116"/>
        <v>68982878</v>
      </c>
      <c r="AC146" s="3">
        <f t="shared" si="117"/>
        <v>467573469</v>
      </c>
    </row>
    <row r="147" spans="1:30" ht="13.5" thickBot="1">
      <c r="A147" s="170">
        <v>44531</v>
      </c>
      <c r="B147" s="3">
        <v>215821</v>
      </c>
      <c r="C147" s="3">
        <v>0</v>
      </c>
      <c r="D147" s="3">
        <f t="shared" si="100"/>
        <v>215821</v>
      </c>
      <c r="E147" s="3">
        <v>0</v>
      </c>
      <c r="F147" s="3">
        <v>0</v>
      </c>
      <c r="G147" s="3">
        <f t="shared" si="101"/>
        <v>0</v>
      </c>
      <c r="H147" s="3">
        <v>80701265</v>
      </c>
      <c r="I147" s="3">
        <v>4800466</v>
      </c>
      <c r="J147" s="3">
        <f t="shared" si="102"/>
        <v>85501731</v>
      </c>
      <c r="K147" s="3">
        <v>13967492</v>
      </c>
      <c r="L147" s="3">
        <v>1155641</v>
      </c>
      <c r="M147" s="3">
        <f t="shared" si="110"/>
        <v>15123133</v>
      </c>
      <c r="N147" s="3">
        <f t="shared" si="111"/>
        <v>94884578</v>
      </c>
      <c r="O147" s="3">
        <f t="shared" si="111"/>
        <v>5956107</v>
      </c>
      <c r="P147" s="3">
        <f t="shared" si="112"/>
        <v>100840685</v>
      </c>
      <c r="Q147" s="3">
        <f t="shared" si="113"/>
        <v>585099</v>
      </c>
      <c r="R147" s="3">
        <f t="shared" si="113"/>
        <v>0</v>
      </c>
      <c r="S147" s="3">
        <f t="shared" si="84"/>
        <v>585099</v>
      </c>
      <c r="T147" s="3">
        <f t="shared" si="114"/>
        <v>0</v>
      </c>
      <c r="U147" s="3">
        <f t="shared" si="114"/>
        <v>0</v>
      </c>
      <c r="V147" s="3">
        <f t="shared" si="85"/>
        <v>0</v>
      </c>
      <c r="W147" s="3">
        <f>W146+H147</f>
        <v>450719483</v>
      </c>
      <c r="X147" s="3">
        <f>X146+I147</f>
        <v>33003561</v>
      </c>
      <c r="Y147" s="3">
        <f t="shared" si="115"/>
        <v>483723044</v>
      </c>
      <c r="Z147" s="3">
        <f>Z146+K147</f>
        <v>80987739</v>
      </c>
      <c r="AA147" s="3">
        <f>AA146+L147</f>
        <v>3118272</v>
      </c>
      <c r="AB147" s="3">
        <f t="shared" si="116"/>
        <v>84106011</v>
      </c>
      <c r="AC147" s="3">
        <f t="shared" si="117"/>
        <v>568414154</v>
      </c>
    </row>
    <row r="148" spans="1:30">
      <c r="A148" s="171">
        <v>44562</v>
      </c>
      <c r="B148" s="104">
        <v>0</v>
      </c>
      <c r="C148" s="104">
        <v>0</v>
      </c>
      <c r="D148" s="104">
        <f t="shared" si="100"/>
        <v>0</v>
      </c>
      <c r="E148" s="104">
        <v>0</v>
      </c>
      <c r="F148" s="104">
        <v>0</v>
      </c>
      <c r="G148" s="104">
        <f t="shared" si="101"/>
        <v>0</v>
      </c>
      <c r="H148" s="104">
        <v>752623</v>
      </c>
      <c r="I148" s="104">
        <v>0</v>
      </c>
      <c r="J148" s="104">
        <f t="shared" si="102"/>
        <v>752623</v>
      </c>
      <c r="K148" s="104">
        <v>99241</v>
      </c>
      <c r="L148" s="104">
        <v>0</v>
      </c>
      <c r="M148" s="104">
        <f t="shared" si="110"/>
        <v>99241</v>
      </c>
      <c r="N148" s="104">
        <f t="shared" si="111"/>
        <v>851864</v>
      </c>
      <c r="O148" s="104">
        <f t="shared" si="111"/>
        <v>0</v>
      </c>
      <c r="P148" s="104">
        <f t="shared" si="112"/>
        <v>851864</v>
      </c>
      <c r="Q148" s="104">
        <f>B148</f>
        <v>0</v>
      </c>
      <c r="R148" s="104">
        <f>C148</f>
        <v>0</v>
      </c>
      <c r="S148" s="104">
        <f t="shared" si="84"/>
        <v>0</v>
      </c>
      <c r="T148" s="104">
        <f>E148</f>
        <v>0</v>
      </c>
      <c r="U148" s="104">
        <f>F148</f>
        <v>0</v>
      </c>
      <c r="V148" s="104">
        <f t="shared" si="85"/>
        <v>0</v>
      </c>
      <c r="W148" s="104">
        <f>H148</f>
        <v>752623</v>
      </c>
      <c r="X148" s="104">
        <f>I148</f>
        <v>0</v>
      </c>
      <c r="Y148" s="104">
        <f>X148+W148</f>
        <v>752623</v>
      </c>
      <c r="Z148" s="104">
        <f>K148</f>
        <v>99241</v>
      </c>
      <c r="AA148" s="104">
        <f>L148</f>
        <v>0</v>
      </c>
      <c r="AB148" s="104">
        <f>AA148+Z148</f>
        <v>99241</v>
      </c>
      <c r="AC148" s="104">
        <f>AB148+Y148+V148+S148</f>
        <v>851864</v>
      </c>
      <c r="AD148" s="172">
        <f t="shared" ref="AD148:AD186" si="120">AC148/AC136-1</f>
        <v>-0.83824763076595898</v>
      </c>
    </row>
    <row r="149" spans="1:30">
      <c r="A149" s="170">
        <v>44593</v>
      </c>
      <c r="B149" s="3">
        <v>87513</v>
      </c>
      <c r="C149" s="3">
        <v>0</v>
      </c>
      <c r="D149" s="3">
        <f t="shared" si="100"/>
        <v>87513</v>
      </c>
      <c r="E149" s="3">
        <v>0</v>
      </c>
      <c r="F149" s="3">
        <v>0</v>
      </c>
      <c r="G149" s="3">
        <f t="shared" si="101"/>
        <v>0</v>
      </c>
      <c r="H149" s="3">
        <v>39480978</v>
      </c>
      <c r="I149" s="3">
        <v>2668975</v>
      </c>
      <c r="J149" s="3">
        <f t="shared" si="102"/>
        <v>42149953</v>
      </c>
      <c r="K149" s="3">
        <v>6745165</v>
      </c>
      <c r="L149" s="3">
        <v>318595</v>
      </c>
      <c r="M149" s="3">
        <f t="shared" si="110"/>
        <v>7063760</v>
      </c>
      <c r="N149" s="3">
        <f t="shared" si="111"/>
        <v>46313656</v>
      </c>
      <c r="O149" s="3">
        <f t="shared" si="111"/>
        <v>2987570</v>
      </c>
      <c r="P149" s="3">
        <f t="shared" si="112"/>
        <v>49301226</v>
      </c>
      <c r="Q149" s="3">
        <f t="shared" ref="Q149:R158" si="121">Q148+B149</f>
        <v>87513</v>
      </c>
      <c r="R149" s="3">
        <f t="shared" si="121"/>
        <v>0</v>
      </c>
      <c r="S149" s="3">
        <f t="shared" si="84"/>
        <v>87513</v>
      </c>
      <c r="T149" s="3">
        <f t="shared" ref="T149:U158" si="122">T148+E149</f>
        <v>0</v>
      </c>
      <c r="U149" s="3">
        <f t="shared" si="122"/>
        <v>0</v>
      </c>
      <c r="V149" s="3">
        <f t="shared" si="85"/>
        <v>0</v>
      </c>
      <c r="W149" s="3">
        <f t="shared" ref="W149:X158" si="123">W148+H149</f>
        <v>40233601</v>
      </c>
      <c r="X149" s="3">
        <f t="shared" si="123"/>
        <v>2668975</v>
      </c>
      <c r="Y149" s="3">
        <f>X149+W149</f>
        <v>42902576</v>
      </c>
      <c r="Z149" s="3">
        <f t="shared" ref="Z149:AA158" si="124">Z148+K149</f>
        <v>6844406</v>
      </c>
      <c r="AA149" s="3">
        <f t="shared" si="124"/>
        <v>318595</v>
      </c>
      <c r="AB149" s="3">
        <f>AA149+Z149</f>
        <v>7163001</v>
      </c>
      <c r="AC149" s="3">
        <f>AB149+Y149+V149+S149</f>
        <v>50153090</v>
      </c>
      <c r="AD149" s="172">
        <f t="shared" si="120"/>
        <v>6.1688560835928108E-2</v>
      </c>
    </row>
    <row r="150" spans="1:30">
      <c r="A150" s="170">
        <v>44621</v>
      </c>
      <c r="B150" s="3">
        <v>0</v>
      </c>
      <c r="C150" s="3">
        <v>0</v>
      </c>
      <c r="D150" s="3">
        <f t="shared" si="100"/>
        <v>0</v>
      </c>
      <c r="E150" s="3">
        <v>0</v>
      </c>
      <c r="F150" s="3">
        <v>0</v>
      </c>
      <c r="G150" s="3">
        <f t="shared" si="101"/>
        <v>0</v>
      </c>
      <c r="H150" s="3">
        <v>35685257</v>
      </c>
      <c r="I150" s="3">
        <v>2618524</v>
      </c>
      <c r="J150" s="3">
        <f t="shared" si="102"/>
        <v>38303781</v>
      </c>
      <c r="K150" s="3">
        <v>6583858</v>
      </c>
      <c r="L150" s="3">
        <v>0</v>
      </c>
      <c r="M150" s="3">
        <f t="shared" si="110"/>
        <v>6583858</v>
      </c>
      <c r="N150" s="3">
        <f t="shared" si="111"/>
        <v>42269115</v>
      </c>
      <c r="O150" s="3">
        <f t="shared" si="111"/>
        <v>2618524</v>
      </c>
      <c r="P150" s="3">
        <f t="shared" si="112"/>
        <v>44887639</v>
      </c>
      <c r="Q150" s="3">
        <f t="shared" si="121"/>
        <v>87513</v>
      </c>
      <c r="R150" s="3">
        <f t="shared" si="121"/>
        <v>0</v>
      </c>
      <c r="S150" s="3">
        <f t="shared" si="84"/>
        <v>87513</v>
      </c>
      <c r="T150" s="3">
        <f t="shared" si="122"/>
        <v>0</v>
      </c>
      <c r="U150" s="3">
        <f t="shared" si="122"/>
        <v>0</v>
      </c>
      <c r="V150" s="3">
        <f t="shared" si="85"/>
        <v>0</v>
      </c>
      <c r="W150" s="3">
        <f t="shared" si="123"/>
        <v>75918858</v>
      </c>
      <c r="X150" s="3">
        <f t="shared" si="123"/>
        <v>5287499</v>
      </c>
      <c r="Y150" s="3">
        <f>X150+W150</f>
        <v>81206357</v>
      </c>
      <c r="Z150" s="3">
        <f t="shared" si="124"/>
        <v>13428264</v>
      </c>
      <c r="AA150" s="3">
        <f t="shared" si="124"/>
        <v>318595</v>
      </c>
      <c r="AB150" s="3">
        <f>AA150+Z150</f>
        <v>13746859</v>
      </c>
      <c r="AC150" s="3">
        <f>AB150+Y150+V150+S150</f>
        <v>95040729</v>
      </c>
      <c r="AD150" s="172">
        <f t="shared" si="120"/>
        <v>0.13141604941831209</v>
      </c>
    </row>
    <row r="151" spans="1:30">
      <c r="A151" s="170">
        <v>44652</v>
      </c>
      <c r="B151" s="3">
        <v>86794</v>
      </c>
      <c r="C151" s="3">
        <v>0</v>
      </c>
      <c r="D151" s="3">
        <f t="shared" si="100"/>
        <v>86794</v>
      </c>
      <c r="E151" s="3">
        <v>0</v>
      </c>
      <c r="F151" s="3">
        <v>0</v>
      </c>
      <c r="G151" s="3">
        <f t="shared" si="101"/>
        <v>0</v>
      </c>
      <c r="H151" s="3">
        <v>40668142</v>
      </c>
      <c r="I151" s="3">
        <v>2802900</v>
      </c>
      <c r="J151" s="3">
        <f t="shared" si="102"/>
        <v>43471042</v>
      </c>
      <c r="K151" s="3">
        <v>7329733</v>
      </c>
      <c r="L151" s="3">
        <v>157204</v>
      </c>
      <c r="M151" s="3">
        <f t="shared" si="110"/>
        <v>7486937</v>
      </c>
      <c r="N151" s="3">
        <f t="shared" si="111"/>
        <v>48084669</v>
      </c>
      <c r="O151" s="3">
        <f t="shared" si="111"/>
        <v>2960104</v>
      </c>
      <c r="P151" s="3">
        <f t="shared" si="112"/>
        <v>51044773</v>
      </c>
      <c r="Q151" s="3">
        <f t="shared" si="121"/>
        <v>174307</v>
      </c>
      <c r="R151" s="3">
        <f t="shared" si="121"/>
        <v>0</v>
      </c>
      <c r="S151" s="3">
        <f>R151+Q151</f>
        <v>174307</v>
      </c>
      <c r="T151" s="3">
        <f t="shared" si="122"/>
        <v>0</v>
      </c>
      <c r="U151" s="3">
        <f t="shared" si="122"/>
        <v>0</v>
      </c>
      <c r="V151" s="3">
        <f>U151+T151</f>
        <v>0</v>
      </c>
      <c r="W151" s="3">
        <f t="shared" si="123"/>
        <v>116587000</v>
      </c>
      <c r="X151" s="3">
        <f t="shared" si="123"/>
        <v>8090399</v>
      </c>
      <c r="Y151" s="3">
        <f>X151+W151</f>
        <v>124677399</v>
      </c>
      <c r="Z151" s="3">
        <f t="shared" si="124"/>
        <v>20757997</v>
      </c>
      <c r="AA151" s="3">
        <f t="shared" si="124"/>
        <v>475799</v>
      </c>
      <c r="AB151" s="3">
        <f>AA151+Z151</f>
        <v>21233796</v>
      </c>
      <c r="AC151" s="3">
        <f>AB151+Y151+V151+S151</f>
        <v>146085502</v>
      </c>
      <c r="AD151" s="172">
        <f t="shared" si="120"/>
        <v>0.14320915475082829</v>
      </c>
    </row>
    <row r="152" spans="1:30">
      <c r="A152" s="170">
        <v>44682</v>
      </c>
      <c r="B152" s="3">
        <v>258819</v>
      </c>
      <c r="C152" s="3">
        <v>0</v>
      </c>
      <c r="D152" s="3">
        <f t="shared" si="100"/>
        <v>258819</v>
      </c>
      <c r="E152" s="3">
        <v>0</v>
      </c>
      <c r="F152" s="3">
        <v>0</v>
      </c>
      <c r="G152" s="3">
        <f t="shared" si="101"/>
        <v>0</v>
      </c>
      <c r="H152" s="3">
        <v>46346211</v>
      </c>
      <c r="I152" s="3">
        <v>2847030</v>
      </c>
      <c r="J152" s="3">
        <f t="shared" si="102"/>
        <v>49193241</v>
      </c>
      <c r="K152" s="3">
        <v>7709416</v>
      </c>
      <c r="L152" s="3">
        <v>161649</v>
      </c>
      <c r="M152" s="3">
        <f t="shared" ref="M152:M158" si="125">SUM(K152:L152)</f>
        <v>7871065</v>
      </c>
      <c r="N152" s="3">
        <f t="shared" si="111"/>
        <v>54314446</v>
      </c>
      <c r="O152" s="3">
        <f t="shared" si="111"/>
        <v>3008679</v>
      </c>
      <c r="P152" s="3">
        <f t="shared" si="112"/>
        <v>57323125</v>
      </c>
      <c r="Q152" s="3">
        <f t="shared" si="121"/>
        <v>433126</v>
      </c>
      <c r="R152" s="3">
        <f t="shared" si="121"/>
        <v>0</v>
      </c>
      <c r="S152" s="3">
        <f t="shared" ref="S152:S186" si="126">R152+Q152</f>
        <v>433126</v>
      </c>
      <c r="T152" s="3">
        <f t="shared" si="122"/>
        <v>0</v>
      </c>
      <c r="U152" s="3">
        <f t="shared" si="122"/>
        <v>0</v>
      </c>
      <c r="V152" s="3">
        <f t="shared" ref="V152:V186" si="127">U152+T152</f>
        <v>0</v>
      </c>
      <c r="W152" s="3">
        <f t="shared" si="123"/>
        <v>162933211</v>
      </c>
      <c r="X152" s="3">
        <f t="shared" si="123"/>
        <v>10937429</v>
      </c>
      <c r="Y152" s="3">
        <f t="shared" ref="Y152:Y186" si="128">X152+W152</f>
        <v>173870640</v>
      </c>
      <c r="Z152" s="3">
        <f t="shared" si="124"/>
        <v>28467413</v>
      </c>
      <c r="AA152" s="3">
        <f t="shared" si="124"/>
        <v>637448</v>
      </c>
      <c r="AB152" s="3">
        <f t="shared" ref="AB152:AB186" si="129">AA152+Z152</f>
        <v>29104861</v>
      </c>
      <c r="AC152" s="3">
        <f t="shared" ref="AC152:AC186" si="130">AB152+Y152+V152+S152</f>
        <v>203408627</v>
      </c>
      <c r="AD152" s="172">
        <f t="shared" si="120"/>
        <v>0.17834087338130633</v>
      </c>
    </row>
    <row r="153" spans="1:30">
      <c r="A153" s="170">
        <v>44713</v>
      </c>
      <c r="B153" s="3">
        <v>142896</v>
      </c>
      <c r="C153" s="3">
        <v>0</v>
      </c>
      <c r="D153" s="3">
        <f t="shared" si="100"/>
        <v>142896</v>
      </c>
      <c r="E153" s="3">
        <v>0</v>
      </c>
      <c r="F153" s="3">
        <v>0</v>
      </c>
      <c r="G153" s="3">
        <f t="shared" si="101"/>
        <v>0</v>
      </c>
      <c r="H153" s="3">
        <v>44287180</v>
      </c>
      <c r="I153" s="3">
        <v>3009512</v>
      </c>
      <c r="J153" s="3">
        <f t="shared" si="102"/>
        <v>47296692</v>
      </c>
      <c r="K153" s="3">
        <v>6764621</v>
      </c>
      <c r="L153" s="3">
        <v>124356</v>
      </c>
      <c r="M153" s="3">
        <f t="shared" si="125"/>
        <v>6888977</v>
      </c>
      <c r="N153" s="3">
        <f t="shared" si="111"/>
        <v>51194697</v>
      </c>
      <c r="O153" s="3">
        <f t="shared" si="111"/>
        <v>3133868</v>
      </c>
      <c r="P153" s="3">
        <f t="shared" si="112"/>
        <v>54328565</v>
      </c>
      <c r="Q153" s="3">
        <f t="shared" si="121"/>
        <v>576022</v>
      </c>
      <c r="R153" s="3">
        <f t="shared" si="121"/>
        <v>0</v>
      </c>
      <c r="S153" s="3">
        <f t="shared" si="126"/>
        <v>576022</v>
      </c>
      <c r="T153" s="3">
        <f t="shared" si="122"/>
        <v>0</v>
      </c>
      <c r="U153" s="3">
        <f t="shared" si="122"/>
        <v>0</v>
      </c>
      <c r="V153" s="3">
        <f t="shared" si="127"/>
        <v>0</v>
      </c>
      <c r="W153" s="3">
        <f t="shared" si="123"/>
        <v>207220391</v>
      </c>
      <c r="X153" s="3">
        <f t="shared" si="123"/>
        <v>13946941</v>
      </c>
      <c r="Y153" s="3">
        <f t="shared" si="128"/>
        <v>221167332</v>
      </c>
      <c r="Z153" s="3">
        <f t="shared" si="124"/>
        <v>35232034</v>
      </c>
      <c r="AA153" s="3">
        <f t="shared" si="124"/>
        <v>761804</v>
      </c>
      <c r="AB153" s="3">
        <f t="shared" si="129"/>
        <v>35993838</v>
      </c>
      <c r="AC153" s="3">
        <f t="shared" si="130"/>
        <v>257737192</v>
      </c>
      <c r="AD153" s="172">
        <f t="shared" si="120"/>
        <v>0.15997134091573573</v>
      </c>
    </row>
    <row r="154" spans="1:30">
      <c r="A154" s="170">
        <v>44743</v>
      </c>
      <c r="B154" s="3">
        <v>228367</v>
      </c>
      <c r="C154" s="3">
        <v>0</v>
      </c>
      <c r="D154" s="3">
        <f t="shared" si="100"/>
        <v>228367</v>
      </c>
      <c r="E154" s="3">
        <v>0</v>
      </c>
      <c r="F154" s="3">
        <v>0</v>
      </c>
      <c r="G154" s="3">
        <f t="shared" si="101"/>
        <v>0</v>
      </c>
      <c r="H154" s="3">
        <v>44093008</v>
      </c>
      <c r="I154" s="3">
        <v>2864410</v>
      </c>
      <c r="J154" s="3">
        <f t="shared" si="102"/>
        <v>46957418</v>
      </c>
      <c r="K154" s="3">
        <v>7939544</v>
      </c>
      <c r="L154" s="3">
        <v>33341</v>
      </c>
      <c r="M154" s="3">
        <f t="shared" si="125"/>
        <v>7972885</v>
      </c>
      <c r="N154" s="3">
        <f t="shared" si="111"/>
        <v>52260919</v>
      </c>
      <c r="O154" s="3">
        <f t="shared" si="111"/>
        <v>2897751</v>
      </c>
      <c r="P154" s="3">
        <f t="shared" si="112"/>
        <v>55158670</v>
      </c>
      <c r="Q154" s="3">
        <f t="shared" si="121"/>
        <v>804389</v>
      </c>
      <c r="R154" s="3">
        <f t="shared" si="121"/>
        <v>0</v>
      </c>
      <c r="S154" s="3">
        <f t="shared" si="126"/>
        <v>804389</v>
      </c>
      <c r="T154" s="3">
        <f t="shared" si="122"/>
        <v>0</v>
      </c>
      <c r="U154" s="3">
        <f t="shared" si="122"/>
        <v>0</v>
      </c>
      <c r="V154" s="3">
        <f t="shared" si="127"/>
        <v>0</v>
      </c>
      <c r="W154" s="3">
        <f t="shared" si="123"/>
        <v>251313399</v>
      </c>
      <c r="X154" s="3">
        <f t="shared" si="123"/>
        <v>16811351</v>
      </c>
      <c r="Y154" s="3">
        <f t="shared" si="128"/>
        <v>268124750</v>
      </c>
      <c r="Z154" s="3">
        <f t="shared" si="124"/>
        <v>43171578</v>
      </c>
      <c r="AA154" s="3">
        <f t="shared" si="124"/>
        <v>795145</v>
      </c>
      <c r="AB154" s="3">
        <f t="shared" si="129"/>
        <v>43966723</v>
      </c>
      <c r="AC154" s="3">
        <f t="shared" si="130"/>
        <v>312895862</v>
      </c>
      <c r="AD154" s="172">
        <f t="shared" si="120"/>
        <v>0.16710066302116156</v>
      </c>
    </row>
    <row r="155" spans="1:30">
      <c r="A155" s="170">
        <v>44774</v>
      </c>
      <c r="B155" s="3">
        <v>142473</v>
      </c>
      <c r="C155" s="3">
        <v>0</v>
      </c>
      <c r="D155" s="3">
        <f t="shared" si="100"/>
        <v>142473</v>
      </c>
      <c r="E155" s="3">
        <v>0</v>
      </c>
      <c r="F155" s="3">
        <v>0</v>
      </c>
      <c r="G155" s="3">
        <f t="shared" si="101"/>
        <v>0</v>
      </c>
      <c r="H155" s="3">
        <v>51613593</v>
      </c>
      <c r="I155" s="3">
        <v>2029041</v>
      </c>
      <c r="J155" s="3">
        <f t="shared" si="102"/>
        <v>53642634</v>
      </c>
      <c r="K155" s="3">
        <v>6610857</v>
      </c>
      <c r="L155" s="3">
        <v>1162900</v>
      </c>
      <c r="M155" s="3">
        <f t="shared" si="125"/>
        <v>7773757</v>
      </c>
      <c r="N155" s="3">
        <f t="shared" si="111"/>
        <v>58366923</v>
      </c>
      <c r="O155" s="3">
        <f t="shared" si="111"/>
        <v>3191941</v>
      </c>
      <c r="P155" s="3">
        <f t="shared" si="112"/>
        <v>61558864</v>
      </c>
      <c r="Q155" s="3">
        <f t="shared" si="121"/>
        <v>946862</v>
      </c>
      <c r="R155" s="3">
        <f t="shared" si="121"/>
        <v>0</v>
      </c>
      <c r="S155" s="3">
        <f t="shared" si="126"/>
        <v>946862</v>
      </c>
      <c r="T155" s="3">
        <f t="shared" si="122"/>
        <v>0</v>
      </c>
      <c r="U155" s="3">
        <f t="shared" si="122"/>
        <v>0</v>
      </c>
      <c r="V155" s="3">
        <f t="shared" si="127"/>
        <v>0</v>
      </c>
      <c r="W155" s="3">
        <f t="shared" si="123"/>
        <v>302926992</v>
      </c>
      <c r="X155" s="3">
        <f t="shared" si="123"/>
        <v>18840392</v>
      </c>
      <c r="Y155" s="3">
        <f t="shared" si="128"/>
        <v>321767384</v>
      </c>
      <c r="Z155" s="3">
        <f t="shared" si="124"/>
        <v>49782435</v>
      </c>
      <c r="AA155" s="3">
        <f t="shared" si="124"/>
        <v>1958045</v>
      </c>
      <c r="AB155" s="3">
        <f t="shared" si="129"/>
        <v>51740480</v>
      </c>
      <c r="AC155" s="3">
        <f t="shared" si="130"/>
        <v>374454726</v>
      </c>
      <c r="AD155" s="172">
        <f t="shared" si="120"/>
        <v>0.1859683919864501</v>
      </c>
    </row>
    <row r="156" spans="1:30">
      <c r="A156" s="170">
        <v>44805</v>
      </c>
      <c r="B156" s="3">
        <v>143328</v>
      </c>
      <c r="C156" s="3">
        <v>0</v>
      </c>
      <c r="D156" s="3">
        <f t="shared" si="100"/>
        <v>143328</v>
      </c>
      <c r="E156" s="3">
        <v>0</v>
      </c>
      <c r="F156" s="3">
        <v>0</v>
      </c>
      <c r="G156" s="3">
        <f t="shared" si="101"/>
        <v>0</v>
      </c>
      <c r="H156" s="3">
        <v>48251690</v>
      </c>
      <c r="I156" s="3">
        <v>1997694</v>
      </c>
      <c r="J156" s="3">
        <f t="shared" si="102"/>
        <v>50249384</v>
      </c>
      <c r="K156" s="3">
        <v>7095726</v>
      </c>
      <c r="L156" s="3">
        <v>1199806</v>
      </c>
      <c r="M156" s="3">
        <f t="shared" si="125"/>
        <v>8295532</v>
      </c>
      <c r="N156" s="3">
        <f t="shared" si="111"/>
        <v>55490744</v>
      </c>
      <c r="O156" s="3">
        <f t="shared" si="111"/>
        <v>3197500</v>
      </c>
      <c r="P156" s="3">
        <f t="shared" si="112"/>
        <v>58688244</v>
      </c>
      <c r="Q156" s="3">
        <f t="shared" si="121"/>
        <v>1090190</v>
      </c>
      <c r="R156" s="3">
        <f t="shared" si="121"/>
        <v>0</v>
      </c>
      <c r="S156" s="3">
        <f t="shared" si="126"/>
        <v>1090190</v>
      </c>
      <c r="T156" s="3">
        <f t="shared" si="122"/>
        <v>0</v>
      </c>
      <c r="U156" s="3">
        <f t="shared" si="122"/>
        <v>0</v>
      </c>
      <c r="V156" s="3">
        <f t="shared" si="127"/>
        <v>0</v>
      </c>
      <c r="W156" s="3">
        <f t="shared" si="123"/>
        <v>351178682</v>
      </c>
      <c r="X156" s="3">
        <f t="shared" si="123"/>
        <v>20838086</v>
      </c>
      <c r="Y156" s="3">
        <f t="shared" si="128"/>
        <v>372016768</v>
      </c>
      <c r="Z156" s="3">
        <f t="shared" si="124"/>
        <v>56878161</v>
      </c>
      <c r="AA156" s="3">
        <f t="shared" si="124"/>
        <v>3157851</v>
      </c>
      <c r="AB156" s="3">
        <f t="shared" si="129"/>
        <v>60036012</v>
      </c>
      <c r="AC156" s="3">
        <f t="shared" si="130"/>
        <v>433142970</v>
      </c>
      <c r="AD156" s="172">
        <f t="shared" si="120"/>
        <v>0.18453007438857472</v>
      </c>
    </row>
    <row r="157" spans="1:30">
      <c r="A157" s="170">
        <v>44835</v>
      </c>
      <c r="B157" s="3">
        <v>28784</v>
      </c>
      <c r="C157" s="3">
        <v>0</v>
      </c>
      <c r="D157" s="3">
        <f t="shared" si="100"/>
        <v>28784</v>
      </c>
      <c r="E157" s="3">
        <v>0</v>
      </c>
      <c r="F157" s="3">
        <v>0</v>
      </c>
      <c r="G157" s="3">
        <f t="shared" si="101"/>
        <v>0</v>
      </c>
      <c r="H157" s="3">
        <v>49626850</v>
      </c>
      <c r="I157" s="3">
        <v>2019647</v>
      </c>
      <c r="J157" s="3">
        <f t="shared" si="102"/>
        <v>51646497</v>
      </c>
      <c r="K157" s="3">
        <v>6787534</v>
      </c>
      <c r="L157" s="3">
        <v>1231457</v>
      </c>
      <c r="M157" s="3">
        <f t="shared" si="125"/>
        <v>8018991</v>
      </c>
      <c r="N157" s="3">
        <f t="shared" si="111"/>
        <v>56443168</v>
      </c>
      <c r="O157" s="3">
        <f t="shared" si="111"/>
        <v>3251104</v>
      </c>
      <c r="P157" s="3">
        <f t="shared" si="112"/>
        <v>59694272</v>
      </c>
      <c r="Q157" s="3">
        <f t="shared" si="121"/>
        <v>1118974</v>
      </c>
      <c r="R157" s="3">
        <f t="shared" si="121"/>
        <v>0</v>
      </c>
      <c r="S157" s="3">
        <f t="shared" si="126"/>
        <v>1118974</v>
      </c>
      <c r="T157" s="3">
        <f t="shared" si="122"/>
        <v>0</v>
      </c>
      <c r="U157" s="3">
        <f t="shared" si="122"/>
        <v>0</v>
      </c>
      <c r="V157" s="3">
        <f t="shared" si="127"/>
        <v>0</v>
      </c>
      <c r="W157" s="3">
        <f t="shared" si="123"/>
        <v>400805532</v>
      </c>
      <c r="X157" s="3">
        <f t="shared" si="123"/>
        <v>22857733</v>
      </c>
      <c r="Y157" s="3">
        <f t="shared" si="128"/>
        <v>423663265</v>
      </c>
      <c r="Z157" s="3">
        <f t="shared" si="124"/>
        <v>63665695</v>
      </c>
      <c r="AA157" s="3">
        <f t="shared" si="124"/>
        <v>4389308</v>
      </c>
      <c r="AB157" s="3">
        <f t="shared" si="129"/>
        <v>68055003</v>
      </c>
      <c r="AC157" s="3">
        <f t="shared" si="130"/>
        <v>492837242</v>
      </c>
      <c r="AD157" s="172">
        <f t="shared" si="120"/>
        <v>0.18713064175318261</v>
      </c>
    </row>
    <row r="158" spans="1:30">
      <c r="A158" s="170">
        <v>44866</v>
      </c>
      <c r="B158" s="3">
        <v>0</v>
      </c>
      <c r="C158" s="3">
        <v>0</v>
      </c>
      <c r="D158" s="3">
        <f t="shared" si="100"/>
        <v>0</v>
      </c>
      <c r="E158" s="3">
        <v>0</v>
      </c>
      <c r="F158" s="3">
        <v>0</v>
      </c>
      <c r="G158" s="3">
        <f t="shared" si="101"/>
        <v>0</v>
      </c>
      <c r="H158" s="3">
        <v>48964891</v>
      </c>
      <c r="I158" s="3">
        <v>3288585</v>
      </c>
      <c r="J158" s="3">
        <f t="shared" si="102"/>
        <v>52253476</v>
      </c>
      <c r="K158" s="3">
        <v>6863778</v>
      </c>
      <c r="L158" s="3">
        <v>125974</v>
      </c>
      <c r="M158" s="3">
        <f t="shared" si="125"/>
        <v>6989752</v>
      </c>
      <c r="N158" s="3">
        <f t="shared" si="111"/>
        <v>55828669</v>
      </c>
      <c r="O158" s="3">
        <f t="shared" si="111"/>
        <v>3414559</v>
      </c>
      <c r="P158" s="3">
        <f t="shared" si="112"/>
        <v>59243228</v>
      </c>
      <c r="Q158" s="3">
        <f t="shared" si="121"/>
        <v>1118974</v>
      </c>
      <c r="R158" s="3">
        <f t="shared" si="121"/>
        <v>0</v>
      </c>
      <c r="S158" s="3">
        <f t="shared" si="126"/>
        <v>1118974</v>
      </c>
      <c r="T158" s="3">
        <f t="shared" si="122"/>
        <v>0</v>
      </c>
      <c r="U158" s="3">
        <f t="shared" si="122"/>
        <v>0</v>
      </c>
      <c r="V158" s="3">
        <f t="shared" si="127"/>
        <v>0</v>
      </c>
      <c r="W158" s="3">
        <f t="shared" si="123"/>
        <v>449770423</v>
      </c>
      <c r="X158" s="3">
        <f t="shared" si="123"/>
        <v>26146318</v>
      </c>
      <c r="Y158" s="3">
        <f t="shared" si="128"/>
        <v>475916741</v>
      </c>
      <c r="Z158" s="3">
        <f t="shared" si="124"/>
        <v>70529473</v>
      </c>
      <c r="AA158" s="3">
        <f t="shared" si="124"/>
        <v>4515282</v>
      </c>
      <c r="AB158" s="3">
        <f t="shared" si="129"/>
        <v>75044755</v>
      </c>
      <c r="AC158" s="3">
        <f t="shared" si="130"/>
        <v>552080470</v>
      </c>
      <c r="AD158" s="172">
        <f t="shared" si="120"/>
        <v>0.18073523542885184</v>
      </c>
    </row>
    <row r="159" spans="1:30" ht="13.5" thickBot="1">
      <c r="A159" s="170">
        <v>44896</v>
      </c>
      <c r="B159" s="3">
        <v>277529</v>
      </c>
      <c r="C159" s="3">
        <v>0</v>
      </c>
      <c r="D159" s="3">
        <f t="shared" si="100"/>
        <v>277529</v>
      </c>
      <c r="E159" s="3">
        <v>0</v>
      </c>
      <c r="F159" s="3">
        <v>0</v>
      </c>
      <c r="G159" s="3">
        <f t="shared" si="101"/>
        <v>0</v>
      </c>
      <c r="H159" s="3">
        <v>96324317</v>
      </c>
      <c r="I159" s="3">
        <v>4463342</v>
      </c>
      <c r="J159" s="3">
        <f t="shared" si="102"/>
        <v>100787659</v>
      </c>
      <c r="K159" s="3">
        <v>13543812</v>
      </c>
      <c r="L159" s="3">
        <v>1929277</v>
      </c>
      <c r="M159" s="3">
        <f t="shared" ref="M159:M186" si="131">SUM(K159:L159)</f>
        <v>15473089</v>
      </c>
      <c r="N159" s="3">
        <f t="shared" si="111"/>
        <v>110145658</v>
      </c>
      <c r="O159" s="3">
        <f t="shared" si="111"/>
        <v>6392619</v>
      </c>
      <c r="P159" s="3">
        <f t="shared" si="112"/>
        <v>116538277</v>
      </c>
      <c r="Q159" s="3">
        <f>Q158+B159</f>
        <v>1396503</v>
      </c>
      <c r="R159" s="3">
        <f>R158+C159</f>
        <v>0</v>
      </c>
      <c r="S159" s="3">
        <f t="shared" si="126"/>
        <v>1396503</v>
      </c>
      <c r="T159" s="3">
        <f>T158+E159</f>
        <v>0</v>
      </c>
      <c r="U159" s="3">
        <f>U158+F159</f>
        <v>0</v>
      </c>
      <c r="V159" s="3">
        <f t="shared" si="127"/>
        <v>0</v>
      </c>
      <c r="W159" s="3">
        <f>W158+H159</f>
        <v>546094740</v>
      </c>
      <c r="X159" s="3">
        <f>X158+I159</f>
        <v>30609660</v>
      </c>
      <c r="Y159" s="3">
        <f t="shared" si="128"/>
        <v>576704400</v>
      </c>
      <c r="Z159" s="3">
        <f>Z158+K159</f>
        <v>84073285</v>
      </c>
      <c r="AA159" s="3">
        <f>AA158+L159</f>
        <v>6444559</v>
      </c>
      <c r="AB159" s="3">
        <f t="shared" si="129"/>
        <v>90517844</v>
      </c>
      <c r="AC159" s="3">
        <f t="shared" si="130"/>
        <v>668618747</v>
      </c>
      <c r="AD159" s="172">
        <f t="shared" si="120"/>
        <v>0.17628799757157343</v>
      </c>
    </row>
    <row r="160" spans="1:30">
      <c r="A160" s="171">
        <v>44927</v>
      </c>
      <c r="B160" s="104">
        <v>0</v>
      </c>
      <c r="C160" s="104">
        <v>0</v>
      </c>
      <c r="D160" s="104">
        <f t="shared" si="100"/>
        <v>0</v>
      </c>
      <c r="E160" s="104">
        <v>0</v>
      </c>
      <c r="F160" s="104">
        <v>0</v>
      </c>
      <c r="G160" s="104">
        <f t="shared" si="101"/>
        <v>0</v>
      </c>
      <c r="H160" s="104">
        <v>1964428</v>
      </c>
      <c r="I160" s="104">
        <v>0</v>
      </c>
      <c r="J160" s="104">
        <f t="shared" si="102"/>
        <v>1964428</v>
      </c>
      <c r="K160" s="104">
        <v>604446</v>
      </c>
      <c r="L160" s="104">
        <v>0</v>
      </c>
      <c r="M160" s="104">
        <f t="shared" si="131"/>
        <v>604446</v>
      </c>
      <c r="N160" s="104">
        <f t="shared" si="111"/>
        <v>2568874</v>
      </c>
      <c r="O160" s="104">
        <f t="shared" si="111"/>
        <v>0</v>
      </c>
      <c r="P160" s="104">
        <f t="shared" si="112"/>
        <v>2568874</v>
      </c>
      <c r="Q160" s="104">
        <f>B160</f>
        <v>0</v>
      </c>
      <c r="R160" s="104">
        <f>C160</f>
        <v>0</v>
      </c>
      <c r="S160" s="104">
        <f t="shared" si="126"/>
        <v>0</v>
      </c>
      <c r="T160" s="104">
        <f>E160</f>
        <v>0</v>
      </c>
      <c r="U160" s="104">
        <f>F160</f>
        <v>0</v>
      </c>
      <c r="V160" s="104">
        <f t="shared" si="127"/>
        <v>0</v>
      </c>
      <c r="W160" s="104">
        <f>H160</f>
        <v>1964428</v>
      </c>
      <c r="X160" s="104">
        <f>I160</f>
        <v>0</v>
      </c>
      <c r="Y160" s="104">
        <f t="shared" si="128"/>
        <v>1964428</v>
      </c>
      <c r="Z160" s="104">
        <f>K160</f>
        <v>604446</v>
      </c>
      <c r="AA160" s="104">
        <f>L160</f>
        <v>0</v>
      </c>
      <c r="AB160" s="104">
        <f t="shared" si="129"/>
        <v>604446</v>
      </c>
      <c r="AC160" s="104">
        <f t="shared" si="130"/>
        <v>2568874</v>
      </c>
      <c r="AD160" s="172">
        <f t="shared" si="120"/>
        <v>2.015591690692411</v>
      </c>
    </row>
    <row r="161" spans="1:30">
      <c r="A161" s="170">
        <v>44958</v>
      </c>
      <c r="B161" s="3">
        <v>86732</v>
      </c>
      <c r="C161" s="3">
        <v>0</v>
      </c>
      <c r="D161" s="3">
        <f t="shared" si="100"/>
        <v>86732</v>
      </c>
      <c r="E161" s="3">
        <v>0</v>
      </c>
      <c r="F161" s="3">
        <v>0</v>
      </c>
      <c r="G161" s="3">
        <f t="shared" si="101"/>
        <v>0</v>
      </c>
      <c r="H161" s="3">
        <v>53280009</v>
      </c>
      <c r="I161" s="3">
        <v>277538</v>
      </c>
      <c r="J161" s="3">
        <f t="shared" si="102"/>
        <v>53557547</v>
      </c>
      <c r="K161" s="3">
        <v>4078579</v>
      </c>
      <c r="L161" s="3">
        <v>3299257</v>
      </c>
      <c r="M161" s="3">
        <f t="shared" si="131"/>
        <v>7377836</v>
      </c>
      <c r="N161" s="3">
        <f t="shared" si="111"/>
        <v>57445320</v>
      </c>
      <c r="O161" s="3">
        <f t="shared" si="111"/>
        <v>3576795</v>
      </c>
      <c r="P161" s="3">
        <f t="shared" si="112"/>
        <v>61022115</v>
      </c>
      <c r="Q161" s="3">
        <f t="shared" ref="Q161:R171" si="132">Q160+B161</f>
        <v>86732</v>
      </c>
      <c r="R161" s="3">
        <f t="shared" si="132"/>
        <v>0</v>
      </c>
      <c r="S161" s="3">
        <f t="shared" si="126"/>
        <v>86732</v>
      </c>
      <c r="T161" s="3">
        <f t="shared" ref="T161:U171" si="133">T160+E161</f>
        <v>0</v>
      </c>
      <c r="U161" s="3">
        <f t="shared" si="133"/>
        <v>0</v>
      </c>
      <c r="V161" s="3">
        <f t="shared" si="127"/>
        <v>0</v>
      </c>
      <c r="W161" s="3">
        <f t="shared" ref="W161:X171" si="134">W160+H161</f>
        <v>55244437</v>
      </c>
      <c r="X161" s="3">
        <f t="shared" si="134"/>
        <v>277538</v>
      </c>
      <c r="Y161" s="3">
        <f t="shared" si="128"/>
        <v>55521975</v>
      </c>
      <c r="Z161" s="3">
        <f t="shared" ref="Z161:AA171" si="135">Z160+K161</f>
        <v>4683025</v>
      </c>
      <c r="AA161" s="3">
        <f t="shared" si="135"/>
        <v>3299257</v>
      </c>
      <c r="AB161" s="3">
        <f t="shared" si="129"/>
        <v>7982282</v>
      </c>
      <c r="AC161" s="3">
        <f t="shared" si="130"/>
        <v>63590989</v>
      </c>
      <c r="AD161" s="172">
        <f t="shared" si="120"/>
        <v>0.26793760862989702</v>
      </c>
    </row>
    <row r="162" spans="1:30">
      <c r="A162" s="170">
        <v>44986</v>
      </c>
      <c r="B162" s="3">
        <v>202916</v>
      </c>
      <c r="C162" s="3">
        <v>0</v>
      </c>
      <c r="D162" s="3">
        <f t="shared" si="100"/>
        <v>202916</v>
      </c>
      <c r="E162" s="3">
        <v>0</v>
      </c>
      <c r="F162" s="3">
        <v>0</v>
      </c>
      <c r="G162" s="3">
        <f t="shared" si="101"/>
        <v>0</v>
      </c>
      <c r="H162" s="3">
        <v>48547128</v>
      </c>
      <c r="I162" s="3">
        <v>84835</v>
      </c>
      <c r="J162" s="3">
        <f t="shared" si="102"/>
        <v>48631963</v>
      </c>
      <c r="K162" s="3">
        <v>3434859</v>
      </c>
      <c r="L162" s="3">
        <v>3057382</v>
      </c>
      <c r="M162" s="3">
        <f t="shared" si="131"/>
        <v>6492241</v>
      </c>
      <c r="N162" s="3">
        <f t="shared" si="111"/>
        <v>52184903</v>
      </c>
      <c r="O162" s="3">
        <f t="shared" si="111"/>
        <v>3142217</v>
      </c>
      <c r="P162" s="3">
        <f t="shared" si="112"/>
        <v>55327120</v>
      </c>
      <c r="Q162" s="3">
        <f t="shared" si="132"/>
        <v>289648</v>
      </c>
      <c r="R162" s="3">
        <f t="shared" si="132"/>
        <v>0</v>
      </c>
      <c r="S162" s="3">
        <f t="shared" si="126"/>
        <v>289648</v>
      </c>
      <c r="T162" s="3">
        <f t="shared" si="133"/>
        <v>0</v>
      </c>
      <c r="U162" s="3">
        <f t="shared" si="133"/>
        <v>0</v>
      </c>
      <c r="V162" s="3">
        <f t="shared" si="127"/>
        <v>0</v>
      </c>
      <c r="W162" s="3">
        <f t="shared" si="134"/>
        <v>103791565</v>
      </c>
      <c r="X162" s="3">
        <f t="shared" si="134"/>
        <v>362373</v>
      </c>
      <c r="Y162" s="3">
        <f t="shared" si="128"/>
        <v>104153938</v>
      </c>
      <c r="Z162" s="3">
        <f t="shared" si="135"/>
        <v>8117884</v>
      </c>
      <c r="AA162" s="3">
        <f t="shared" si="135"/>
        <v>6356639</v>
      </c>
      <c r="AB162" s="3">
        <f t="shared" si="129"/>
        <v>14474523</v>
      </c>
      <c r="AC162" s="3">
        <f t="shared" si="130"/>
        <v>118918109</v>
      </c>
      <c r="AD162" s="172">
        <f t="shared" si="120"/>
        <v>0.25123313185024077</v>
      </c>
    </row>
    <row r="163" spans="1:30">
      <c r="A163" s="170">
        <v>45017</v>
      </c>
      <c r="B163" s="3">
        <v>0</v>
      </c>
      <c r="C163" s="3">
        <v>0</v>
      </c>
      <c r="D163" s="3">
        <f t="shared" si="100"/>
        <v>0</v>
      </c>
      <c r="E163" s="3">
        <v>0</v>
      </c>
      <c r="F163" s="3">
        <v>0</v>
      </c>
      <c r="G163" s="3">
        <f t="shared" si="101"/>
        <v>0</v>
      </c>
      <c r="H163" s="3">
        <v>55982583</v>
      </c>
      <c r="I163" s="3">
        <v>201463</v>
      </c>
      <c r="J163" s="3">
        <f t="shared" si="102"/>
        <v>56184046</v>
      </c>
      <c r="K163" s="3">
        <v>4355847</v>
      </c>
      <c r="L163" s="3">
        <v>3463427</v>
      </c>
      <c r="M163" s="3">
        <f t="shared" si="131"/>
        <v>7819274</v>
      </c>
      <c r="N163" s="3">
        <f t="shared" si="111"/>
        <v>60338430</v>
      </c>
      <c r="O163" s="3">
        <f t="shared" si="111"/>
        <v>3664890</v>
      </c>
      <c r="P163" s="3">
        <f t="shared" si="112"/>
        <v>64003320</v>
      </c>
      <c r="Q163" s="3">
        <f t="shared" si="132"/>
        <v>289648</v>
      </c>
      <c r="R163" s="3">
        <f t="shared" si="132"/>
        <v>0</v>
      </c>
      <c r="S163" s="3">
        <f t="shared" si="126"/>
        <v>289648</v>
      </c>
      <c r="T163" s="3">
        <f t="shared" si="133"/>
        <v>0</v>
      </c>
      <c r="U163" s="3">
        <f t="shared" si="133"/>
        <v>0</v>
      </c>
      <c r="V163" s="3">
        <f t="shared" si="127"/>
        <v>0</v>
      </c>
      <c r="W163" s="3">
        <f t="shared" si="134"/>
        <v>159774148</v>
      </c>
      <c r="X163" s="3">
        <f t="shared" si="134"/>
        <v>563836</v>
      </c>
      <c r="Y163" s="3">
        <f t="shared" si="128"/>
        <v>160337984</v>
      </c>
      <c r="Z163" s="3">
        <f t="shared" si="135"/>
        <v>12473731</v>
      </c>
      <c r="AA163" s="3">
        <f t="shared" si="135"/>
        <v>9820066</v>
      </c>
      <c r="AB163" s="3">
        <f t="shared" si="129"/>
        <v>22293797</v>
      </c>
      <c r="AC163" s="3">
        <f t="shared" si="130"/>
        <v>182921429</v>
      </c>
      <c r="AD163" s="172">
        <f t="shared" si="120"/>
        <v>0.25215320134916608</v>
      </c>
    </row>
    <row r="164" spans="1:30">
      <c r="A164" s="170">
        <v>45047</v>
      </c>
      <c r="B164" s="3">
        <v>228934</v>
      </c>
      <c r="C164" s="3">
        <v>0</v>
      </c>
      <c r="D164" s="3">
        <f t="shared" si="100"/>
        <v>228934</v>
      </c>
      <c r="E164" s="3">
        <v>0</v>
      </c>
      <c r="F164" s="3">
        <v>0</v>
      </c>
      <c r="G164" s="3">
        <f t="shared" si="101"/>
        <v>0</v>
      </c>
      <c r="H164" s="3">
        <v>54037078</v>
      </c>
      <c r="I164" s="3">
        <v>350915</v>
      </c>
      <c r="J164" s="3">
        <f t="shared" si="102"/>
        <v>54387993</v>
      </c>
      <c r="K164" s="3">
        <v>3377657</v>
      </c>
      <c r="L164" s="3">
        <v>3178619</v>
      </c>
      <c r="M164" s="3">
        <f t="shared" si="131"/>
        <v>6556276</v>
      </c>
      <c r="N164" s="3">
        <f t="shared" si="111"/>
        <v>57643669</v>
      </c>
      <c r="O164" s="3">
        <f t="shared" si="111"/>
        <v>3529534</v>
      </c>
      <c r="P164" s="3">
        <f t="shared" si="112"/>
        <v>61173203</v>
      </c>
      <c r="Q164" s="3">
        <f t="shared" si="132"/>
        <v>518582</v>
      </c>
      <c r="R164" s="3">
        <f t="shared" si="132"/>
        <v>0</v>
      </c>
      <c r="S164" s="3">
        <f t="shared" si="126"/>
        <v>518582</v>
      </c>
      <c r="T164" s="3">
        <f t="shared" si="133"/>
        <v>0</v>
      </c>
      <c r="U164" s="3">
        <f t="shared" si="133"/>
        <v>0</v>
      </c>
      <c r="V164" s="3">
        <f t="shared" si="127"/>
        <v>0</v>
      </c>
      <c r="W164" s="3">
        <f t="shared" si="134"/>
        <v>213811226</v>
      </c>
      <c r="X164" s="3">
        <f t="shared" si="134"/>
        <v>914751</v>
      </c>
      <c r="Y164" s="3">
        <f t="shared" si="128"/>
        <v>214725977</v>
      </c>
      <c r="Z164" s="3">
        <f t="shared" si="135"/>
        <v>15851388</v>
      </c>
      <c r="AA164" s="3">
        <f t="shared" si="135"/>
        <v>12998685</v>
      </c>
      <c r="AB164" s="3">
        <f t="shared" si="129"/>
        <v>28850073</v>
      </c>
      <c r="AC164" s="3">
        <f t="shared" si="130"/>
        <v>244094632</v>
      </c>
      <c r="AD164" s="172">
        <f t="shared" si="120"/>
        <v>0.20002103942228566</v>
      </c>
    </row>
    <row r="165" spans="1:30">
      <c r="A165" s="170">
        <v>45078</v>
      </c>
      <c r="B165" s="3">
        <v>0</v>
      </c>
      <c r="C165" s="3">
        <v>0</v>
      </c>
      <c r="D165" s="3">
        <f t="shared" si="100"/>
        <v>0</v>
      </c>
      <c r="E165" s="3">
        <v>0</v>
      </c>
      <c r="F165" s="3">
        <v>0</v>
      </c>
      <c r="G165" s="3">
        <f t="shared" ref="G165:G177" si="136">SUM(E165:F165)</f>
        <v>0</v>
      </c>
      <c r="H165" s="3">
        <v>61040669</v>
      </c>
      <c r="I165" s="3">
        <v>1769716</v>
      </c>
      <c r="J165" s="3">
        <f t="shared" si="102"/>
        <v>62810385</v>
      </c>
      <c r="K165" s="3">
        <v>6132138</v>
      </c>
      <c r="L165" s="3">
        <v>1843070</v>
      </c>
      <c r="M165" s="3">
        <f t="shared" si="131"/>
        <v>7975208</v>
      </c>
      <c r="N165" s="3">
        <f t="shared" si="111"/>
        <v>67172807</v>
      </c>
      <c r="O165" s="3">
        <f t="shared" si="111"/>
        <v>3612786</v>
      </c>
      <c r="P165" s="3">
        <f t="shared" si="112"/>
        <v>70785593</v>
      </c>
      <c r="Q165" s="3">
        <f t="shared" si="132"/>
        <v>518582</v>
      </c>
      <c r="R165" s="3">
        <f t="shared" si="132"/>
        <v>0</v>
      </c>
      <c r="S165" s="3">
        <f t="shared" si="126"/>
        <v>518582</v>
      </c>
      <c r="T165" s="3">
        <f t="shared" si="133"/>
        <v>0</v>
      </c>
      <c r="U165" s="3">
        <f t="shared" si="133"/>
        <v>0</v>
      </c>
      <c r="V165" s="3">
        <f t="shared" si="127"/>
        <v>0</v>
      </c>
      <c r="W165" s="3">
        <f t="shared" si="134"/>
        <v>274851895</v>
      </c>
      <c r="X165" s="3">
        <f t="shared" si="134"/>
        <v>2684467</v>
      </c>
      <c r="Y165" s="3">
        <f t="shared" si="128"/>
        <v>277536362</v>
      </c>
      <c r="Z165" s="3">
        <f t="shared" si="135"/>
        <v>21983526</v>
      </c>
      <c r="AA165" s="3">
        <f t="shared" si="135"/>
        <v>14841755</v>
      </c>
      <c r="AB165" s="3">
        <f t="shared" si="129"/>
        <v>36825281</v>
      </c>
      <c r="AC165" s="3">
        <f t="shared" si="130"/>
        <v>314880225</v>
      </c>
      <c r="AD165" s="172">
        <f t="shared" si="120"/>
        <v>0.22171046621785195</v>
      </c>
    </row>
    <row r="166" spans="1:30">
      <c r="A166" s="170">
        <v>45108</v>
      </c>
      <c r="B166" s="3">
        <v>142475</v>
      </c>
      <c r="C166" s="3">
        <v>0</v>
      </c>
      <c r="D166" s="3">
        <f t="shared" si="100"/>
        <v>142475</v>
      </c>
      <c r="E166" s="3">
        <v>0</v>
      </c>
      <c r="F166" s="3">
        <v>0</v>
      </c>
      <c r="G166" s="3">
        <f t="shared" si="136"/>
        <v>0</v>
      </c>
      <c r="H166" s="3">
        <v>55998210</v>
      </c>
      <c r="I166" s="3">
        <v>883580</v>
      </c>
      <c r="J166" s="3">
        <f t="shared" si="102"/>
        <v>56881790</v>
      </c>
      <c r="K166" s="3">
        <v>4704474</v>
      </c>
      <c r="L166" s="3">
        <v>2538274</v>
      </c>
      <c r="M166" s="3">
        <f t="shared" si="131"/>
        <v>7242748</v>
      </c>
      <c r="N166" s="3">
        <f t="shared" si="111"/>
        <v>60845159</v>
      </c>
      <c r="O166" s="3">
        <f t="shared" si="111"/>
        <v>3421854</v>
      </c>
      <c r="P166" s="3">
        <f t="shared" si="112"/>
        <v>64267013</v>
      </c>
      <c r="Q166" s="3">
        <f t="shared" si="132"/>
        <v>661057</v>
      </c>
      <c r="R166" s="3">
        <f t="shared" si="132"/>
        <v>0</v>
      </c>
      <c r="S166" s="3">
        <f t="shared" si="126"/>
        <v>661057</v>
      </c>
      <c r="T166" s="3">
        <f t="shared" si="133"/>
        <v>0</v>
      </c>
      <c r="U166" s="3">
        <f t="shared" si="133"/>
        <v>0</v>
      </c>
      <c r="V166" s="3">
        <f t="shared" si="127"/>
        <v>0</v>
      </c>
      <c r="W166" s="3">
        <f t="shared" si="134"/>
        <v>330850105</v>
      </c>
      <c r="X166" s="3">
        <f t="shared" si="134"/>
        <v>3568047</v>
      </c>
      <c r="Y166" s="3">
        <f t="shared" si="128"/>
        <v>334418152</v>
      </c>
      <c r="Z166" s="3">
        <f t="shared" si="135"/>
        <v>26688000</v>
      </c>
      <c r="AA166" s="3">
        <f t="shared" si="135"/>
        <v>17380029</v>
      </c>
      <c r="AB166" s="3">
        <f t="shared" si="129"/>
        <v>44068029</v>
      </c>
      <c r="AC166" s="3">
        <f t="shared" si="130"/>
        <v>379147238</v>
      </c>
      <c r="AD166" s="172">
        <f t="shared" si="120"/>
        <v>0.21173618460956178</v>
      </c>
    </row>
    <row r="167" spans="1:30">
      <c r="A167" s="170">
        <v>45139</v>
      </c>
      <c r="B167" s="3">
        <v>139648</v>
      </c>
      <c r="C167" s="3">
        <v>0</v>
      </c>
      <c r="D167" s="3">
        <f t="shared" si="100"/>
        <v>139648</v>
      </c>
      <c r="E167" s="3">
        <v>0</v>
      </c>
      <c r="F167" s="3">
        <v>0</v>
      </c>
      <c r="G167" s="3">
        <f t="shared" si="136"/>
        <v>0</v>
      </c>
      <c r="H167" s="3">
        <v>58283813</v>
      </c>
      <c r="I167" s="3">
        <v>384983</v>
      </c>
      <c r="J167" s="3">
        <f t="shared" si="102"/>
        <v>58668796</v>
      </c>
      <c r="K167" s="3">
        <v>5006216</v>
      </c>
      <c r="L167" s="3">
        <v>3261226</v>
      </c>
      <c r="M167" s="3">
        <f t="shared" si="131"/>
        <v>8267442</v>
      </c>
      <c r="N167" s="3">
        <f t="shared" si="111"/>
        <v>63429677</v>
      </c>
      <c r="O167" s="3">
        <f t="shared" si="111"/>
        <v>3646209</v>
      </c>
      <c r="P167" s="3">
        <f t="shared" si="112"/>
        <v>67075886</v>
      </c>
      <c r="Q167" s="3">
        <f t="shared" si="132"/>
        <v>800705</v>
      </c>
      <c r="R167" s="3">
        <f t="shared" si="132"/>
        <v>0</v>
      </c>
      <c r="S167" s="3">
        <f t="shared" si="126"/>
        <v>800705</v>
      </c>
      <c r="T167" s="3">
        <f t="shared" si="133"/>
        <v>0</v>
      </c>
      <c r="U167" s="3">
        <f t="shared" si="133"/>
        <v>0</v>
      </c>
      <c r="V167" s="3">
        <f t="shared" si="127"/>
        <v>0</v>
      </c>
      <c r="W167" s="3">
        <f t="shared" si="134"/>
        <v>389133918</v>
      </c>
      <c r="X167" s="3">
        <f t="shared" si="134"/>
        <v>3953030</v>
      </c>
      <c r="Y167" s="3">
        <f t="shared" si="128"/>
        <v>393086948</v>
      </c>
      <c r="Z167" s="3">
        <f t="shared" si="135"/>
        <v>31694216</v>
      </c>
      <c r="AA167" s="3">
        <f t="shared" si="135"/>
        <v>20641255</v>
      </c>
      <c r="AB167" s="3">
        <f t="shared" si="129"/>
        <v>52335471</v>
      </c>
      <c r="AC167" s="3">
        <f t="shared" si="130"/>
        <v>446223124</v>
      </c>
      <c r="AD167" s="172">
        <f t="shared" si="120"/>
        <v>0.19166108214641686</v>
      </c>
    </row>
    <row r="168" spans="1:30">
      <c r="A168" s="170">
        <v>45170</v>
      </c>
      <c r="B168" s="3">
        <v>146298</v>
      </c>
      <c r="C168" s="3">
        <v>0</v>
      </c>
      <c r="D168" s="3">
        <f t="shared" si="100"/>
        <v>146298</v>
      </c>
      <c r="E168" s="3">
        <v>0</v>
      </c>
      <c r="F168" s="3">
        <v>0</v>
      </c>
      <c r="G168" s="3">
        <f t="shared" si="136"/>
        <v>0</v>
      </c>
      <c r="H168" s="3">
        <v>56289585</v>
      </c>
      <c r="I168" s="3">
        <v>342002</v>
      </c>
      <c r="J168" s="3">
        <f t="shared" si="102"/>
        <v>56631587</v>
      </c>
      <c r="K168" s="3">
        <v>3934635</v>
      </c>
      <c r="L168" s="3">
        <v>3364273</v>
      </c>
      <c r="M168" s="3">
        <f t="shared" si="131"/>
        <v>7298908</v>
      </c>
      <c r="N168" s="3">
        <f t="shared" si="111"/>
        <v>60370518</v>
      </c>
      <c r="O168" s="3">
        <f t="shared" si="111"/>
        <v>3706275</v>
      </c>
      <c r="P168" s="3">
        <f t="shared" si="112"/>
        <v>64076793</v>
      </c>
      <c r="Q168" s="3">
        <f t="shared" si="132"/>
        <v>947003</v>
      </c>
      <c r="R168" s="3">
        <f t="shared" si="132"/>
        <v>0</v>
      </c>
      <c r="S168" s="3">
        <f t="shared" si="126"/>
        <v>947003</v>
      </c>
      <c r="T168" s="3">
        <f t="shared" si="133"/>
        <v>0</v>
      </c>
      <c r="U168" s="3">
        <f t="shared" si="133"/>
        <v>0</v>
      </c>
      <c r="V168" s="3">
        <f t="shared" si="127"/>
        <v>0</v>
      </c>
      <c r="W168" s="3">
        <f t="shared" si="134"/>
        <v>445423503</v>
      </c>
      <c r="X168" s="3">
        <f t="shared" si="134"/>
        <v>4295032</v>
      </c>
      <c r="Y168" s="3">
        <f t="shared" si="128"/>
        <v>449718535</v>
      </c>
      <c r="Z168" s="3">
        <f t="shared" si="135"/>
        <v>35628851</v>
      </c>
      <c r="AA168" s="3">
        <f t="shared" si="135"/>
        <v>24005528</v>
      </c>
      <c r="AB168" s="3">
        <f t="shared" si="129"/>
        <v>59634379</v>
      </c>
      <c r="AC168" s="3">
        <f t="shared" si="130"/>
        <v>510299917</v>
      </c>
      <c r="AD168" s="172">
        <f t="shared" si="120"/>
        <v>0.17813274679258906</v>
      </c>
    </row>
    <row r="169" spans="1:30">
      <c r="A169" s="170">
        <v>45200</v>
      </c>
      <c r="B169" s="3">
        <v>0</v>
      </c>
      <c r="C169" s="3">
        <v>0</v>
      </c>
      <c r="D169" s="3">
        <f t="shared" si="100"/>
        <v>0</v>
      </c>
      <c r="E169" s="3">
        <v>0</v>
      </c>
      <c r="F169" s="3">
        <v>0</v>
      </c>
      <c r="G169" s="3">
        <f t="shared" si="136"/>
        <v>0</v>
      </c>
      <c r="H169" s="3">
        <v>56473586</v>
      </c>
      <c r="I169" s="3">
        <v>284046</v>
      </c>
      <c r="J169" s="3">
        <f t="shared" si="102"/>
        <v>56757632</v>
      </c>
      <c r="K169" s="3">
        <v>3502971</v>
      </c>
      <c r="L169" s="3">
        <v>3298120</v>
      </c>
      <c r="M169" s="3">
        <f t="shared" si="131"/>
        <v>6801091</v>
      </c>
      <c r="N169" s="3">
        <f t="shared" si="111"/>
        <v>59976557</v>
      </c>
      <c r="O169" s="3">
        <f t="shared" si="111"/>
        <v>3582166</v>
      </c>
      <c r="P169" s="3">
        <f t="shared" si="112"/>
        <v>63558723</v>
      </c>
      <c r="Q169" s="3">
        <f t="shared" si="132"/>
        <v>947003</v>
      </c>
      <c r="R169" s="3">
        <f t="shared" si="132"/>
        <v>0</v>
      </c>
      <c r="S169" s="3">
        <f t="shared" si="126"/>
        <v>947003</v>
      </c>
      <c r="T169" s="3">
        <f t="shared" si="133"/>
        <v>0</v>
      </c>
      <c r="U169" s="3">
        <f t="shared" si="133"/>
        <v>0</v>
      </c>
      <c r="V169" s="3">
        <f t="shared" si="127"/>
        <v>0</v>
      </c>
      <c r="W169" s="3">
        <f t="shared" si="134"/>
        <v>501897089</v>
      </c>
      <c r="X169" s="3">
        <f t="shared" si="134"/>
        <v>4579078</v>
      </c>
      <c r="Y169" s="3">
        <f t="shared" si="128"/>
        <v>506476167</v>
      </c>
      <c r="Z169" s="3">
        <f t="shared" si="135"/>
        <v>39131822</v>
      </c>
      <c r="AA169" s="3">
        <f t="shared" si="135"/>
        <v>27303648</v>
      </c>
      <c r="AB169" s="3">
        <f t="shared" si="129"/>
        <v>66435470</v>
      </c>
      <c r="AC169" s="3">
        <f t="shared" si="130"/>
        <v>573858640</v>
      </c>
      <c r="AD169" s="172">
        <f t="shared" si="120"/>
        <v>0.1643978804669961</v>
      </c>
    </row>
    <row r="170" spans="1:30">
      <c r="A170" s="170">
        <v>45231</v>
      </c>
      <c r="B170" s="3">
        <v>0</v>
      </c>
      <c r="C170" s="3">
        <v>0</v>
      </c>
      <c r="D170" s="3">
        <f t="shared" si="100"/>
        <v>0</v>
      </c>
      <c r="E170" s="3">
        <v>0</v>
      </c>
      <c r="F170" s="3">
        <v>0</v>
      </c>
      <c r="G170" s="3">
        <f t="shared" si="136"/>
        <v>0</v>
      </c>
      <c r="H170" s="3">
        <v>62160920</v>
      </c>
      <c r="I170" s="3">
        <v>339329</v>
      </c>
      <c r="J170" s="3">
        <f t="shared" si="102"/>
        <v>62500249</v>
      </c>
      <c r="K170" s="3">
        <v>3864956</v>
      </c>
      <c r="L170" s="3">
        <v>3434027</v>
      </c>
      <c r="M170" s="3">
        <f t="shared" si="131"/>
        <v>7298983</v>
      </c>
      <c r="N170" s="3">
        <f t="shared" si="111"/>
        <v>66025876</v>
      </c>
      <c r="O170" s="3">
        <f t="shared" si="111"/>
        <v>3773356</v>
      </c>
      <c r="P170" s="3">
        <f t="shared" si="112"/>
        <v>69799232</v>
      </c>
      <c r="Q170" s="3">
        <f t="shared" si="132"/>
        <v>947003</v>
      </c>
      <c r="R170" s="3">
        <f t="shared" si="132"/>
        <v>0</v>
      </c>
      <c r="S170" s="3">
        <f t="shared" si="126"/>
        <v>947003</v>
      </c>
      <c r="T170" s="3">
        <f t="shared" si="133"/>
        <v>0</v>
      </c>
      <c r="U170" s="3">
        <f t="shared" si="133"/>
        <v>0</v>
      </c>
      <c r="V170" s="3">
        <f t="shared" si="127"/>
        <v>0</v>
      </c>
      <c r="W170" s="3">
        <f t="shared" si="134"/>
        <v>564058009</v>
      </c>
      <c r="X170" s="3">
        <f t="shared" si="134"/>
        <v>4918407</v>
      </c>
      <c r="Y170" s="3">
        <f t="shared" si="128"/>
        <v>568976416</v>
      </c>
      <c r="Z170" s="3">
        <f t="shared" si="135"/>
        <v>42996778</v>
      </c>
      <c r="AA170" s="3">
        <f t="shared" si="135"/>
        <v>30737675</v>
      </c>
      <c r="AB170" s="3">
        <f t="shared" si="129"/>
        <v>73734453</v>
      </c>
      <c r="AC170" s="3">
        <f t="shared" si="130"/>
        <v>643657872</v>
      </c>
      <c r="AD170" s="172">
        <f t="shared" si="120"/>
        <v>0.16587690921216613</v>
      </c>
    </row>
    <row r="171" spans="1:30" ht="13.5" thickBot="1">
      <c r="A171" s="170">
        <v>45261</v>
      </c>
      <c r="B171" s="3">
        <v>347542</v>
      </c>
      <c r="C171" s="3">
        <v>0</v>
      </c>
      <c r="D171" s="3">
        <f t="shared" si="100"/>
        <v>347542</v>
      </c>
      <c r="E171" s="3">
        <v>0</v>
      </c>
      <c r="F171" s="3">
        <v>0</v>
      </c>
      <c r="G171" s="3">
        <f t="shared" si="136"/>
        <v>0</v>
      </c>
      <c r="H171" s="3">
        <v>54215978</v>
      </c>
      <c r="I171" s="3">
        <v>459603</v>
      </c>
      <c r="J171" s="3">
        <f t="shared" si="102"/>
        <v>54675581</v>
      </c>
      <c r="K171" s="3">
        <v>2300970</v>
      </c>
      <c r="L171" s="3">
        <v>3250894</v>
      </c>
      <c r="M171" s="3">
        <f t="shared" si="131"/>
        <v>5551864</v>
      </c>
      <c r="N171" s="3">
        <f t="shared" si="111"/>
        <v>56864490</v>
      </c>
      <c r="O171" s="3">
        <f t="shared" si="111"/>
        <v>3710497</v>
      </c>
      <c r="P171" s="3">
        <f t="shared" si="112"/>
        <v>60574987</v>
      </c>
      <c r="Q171" s="3">
        <f t="shared" si="132"/>
        <v>1294545</v>
      </c>
      <c r="R171" s="3">
        <f t="shared" si="132"/>
        <v>0</v>
      </c>
      <c r="S171" s="3">
        <f t="shared" si="126"/>
        <v>1294545</v>
      </c>
      <c r="T171" s="3">
        <f t="shared" si="133"/>
        <v>0</v>
      </c>
      <c r="U171" s="3">
        <f t="shared" si="133"/>
        <v>0</v>
      </c>
      <c r="V171" s="3">
        <f t="shared" si="127"/>
        <v>0</v>
      </c>
      <c r="W171" s="3">
        <f t="shared" si="134"/>
        <v>618273987</v>
      </c>
      <c r="X171" s="3">
        <f t="shared" si="134"/>
        <v>5378010</v>
      </c>
      <c r="Y171" s="3">
        <f t="shared" si="128"/>
        <v>623651997</v>
      </c>
      <c r="Z171" s="3">
        <f t="shared" si="135"/>
        <v>45297748</v>
      </c>
      <c r="AA171" s="3">
        <f t="shared" si="135"/>
        <v>33988569</v>
      </c>
      <c r="AB171" s="3">
        <f t="shared" si="129"/>
        <v>79286317</v>
      </c>
      <c r="AC171" s="3">
        <f t="shared" si="130"/>
        <v>704232859</v>
      </c>
      <c r="AD171" s="172">
        <f t="shared" si="120"/>
        <v>5.3265201072802082E-2</v>
      </c>
    </row>
    <row r="172" spans="1:30">
      <c r="A172" s="171">
        <v>45292</v>
      </c>
      <c r="B172" s="104">
        <v>220800</v>
      </c>
      <c r="C172" s="104">
        <v>0</v>
      </c>
      <c r="D172" s="104">
        <f t="shared" si="100"/>
        <v>220800</v>
      </c>
      <c r="E172" s="104">
        <v>0</v>
      </c>
      <c r="F172" s="104">
        <v>0</v>
      </c>
      <c r="G172" s="104">
        <f t="shared" si="136"/>
        <v>0</v>
      </c>
      <c r="H172" s="104">
        <v>6482643</v>
      </c>
      <c r="I172" s="104">
        <v>0</v>
      </c>
      <c r="J172" s="104">
        <f t="shared" si="102"/>
        <v>6482643</v>
      </c>
      <c r="K172" s="104">
        <v>503018</v>
      </c>
      <c r="L172" s="104">
        <v>0</v>
      </c>
      <c r="M172" s="104">
        <f t="shared" si="131"/>
        <v>503018</v>
      </c>
      <c r="N172" s="104">
        <f t="shared" ref="N172:O186" si="137">B172+E172+H172+K172</f>
        <v>7206461</v>
      </c>
      <c r="O172" s="104">
        <f t="shared" si="137"/>
        <v>0</v>
      </c>
      <c r="P172" s="104">
        <f t="shared" si="112"/>
        <v>7206461</v>
      </c>
      <c r="Q172" s="104">
        <f>B172</f>
        <v>220800</v>
      </c>
      <c r="R172" s="104">
        <f>C172</f>
        <v>0</v>
      </c>
      <c r="S172" s="104">
        <f t="shared" si="126"/>
        <v>220800</v>
      </c>
      <c r="T172" s="104">
        <f>E172</f>
        <v>0</v>
      </c>
      <c r="U172" s="104">
        <f>F172</f>
        <v>0</v>
      </c>
      <c r="V172" s="104">
        <f t="shared" si="127"/>
        <v>0</v>
      </c>
      <c r="W172" s="104">
        <f>H172</f>
        <v>6482643</v>
      </c>
      <c r="X172" s="104">
        <f>I172</f>
        <v>0</v>
      </c>
      <c r="Y172" s="104">
        <f t="shared" si="128"/>
        <v>6482643</v>
      </c>
      <c r="Z172" s="104">
        <f>K172</f>
        <v>503018</v>
      </c>
      <c r="AA172" s="104">
        <f>L172</f>
        <v>0</v>
      </c>
      <c r="AB172" s="104">
        <f t="shared" si="129"/>
        <v>503018</v>
      </c>
      <c r="AC172" s="104">
        <f t="shared" si="130"/>
        <v>7206461</v>
      </c>
      <c r="AD172" s="172">
        <f t="shared" si="120"/>
        <v>1.8052995203345903</v>
      </c>
    </row>
    <row r="173" spans="1:30">
      <c r="A173" s="170">
        <v>45323</v>
      </c>
      <c r="B173" s="3">
        <v>153198</v>
      </c>
      <c r="C173" s="3">
        <v>0</v>
      </c>
      <c r="D173" s="3">
        <f t="shared" si="100"/>
        <v>153198</v>
      </c>
      <c r="E173" s="3">
        <v>0</v>
      </c>
      <c r="F173" s="3">
        <v>0</v>
      </c>
      <c r="G173" s="3">
        <f t="shared" si="136"/>
        <v>0</v>
      </c>
      <c r="H173" s="3">
        <v>62278042</v>
      </c>
      <c r="I173" s="3">
        <v>658357</v>
      </c>
      <c r="J173" s="3">
        <f t="shared" si="102"/>
        <v>62936399</v>
      </c>
      <c r="K173" s="3">
        <v>3126529</v>
      </c>
      <c r="L173" s="3">
        <v>3349813</v>
      </c>
      <c r="M173" s="3">
        <f t="shared" si="131"/>
        <v>6476342</v>
      </c>
      <c r="N173" s="3">
        <f t="shared" si="137"/>
        <v>65557769</v>
      </c>
      <c r="O173" s="3">
        <f t="shared" si="137"/>
        <v>4008170</v>
      </c>
      <c r="P173" s="3">
        <f t="shared" si="112"/>
        <v>69565939</v>
      </c>
      <c r="Q173" s="3">
        <f t="shared" ref="Q173:R183" si="138">Q172+B173</f>
        <v>373998</v>
      </c>
      <c r="R173" s="3">
        <f t="shared" si="138"/>
        <v>0</v>
      </c>
      <c r="S173" s="3">
        <f t="shared" si="126"/>
        <v>373998</v>
      </c>
      <c r="T173" s="3">
        <f t="shared" ref="T173:U183" si="139">T172+E173</f>
        <v>0</v>
      </c>
      <c r="U173" s="3">
        <f t="shared" si="139"/>
        <v>0</v>
      </c>
      <c r="V173" s="3">
        <f t="shared" si="127"/>
        <v>0</v>
      </c>
      <c r="W173" s="3">
        <f t="shared" ref="W173:X183" si="140">W172+H173</f>
        <v>68760685</v>
      </c>
      <c r="X173" s="3">
        <f t="shared" si="140"/>
        <v>658357</v>
      </c>
      <c r="Y173" s="3">
        <f t="shared" si="128"/>
        <v>69419042</v>
      </c>
      <c r="Z173" s="3">
        <f t="shared" ref="Z173:AA183" si="141">Z172+K173</f>
        <v>3629547</v>
      </c>
      <c r="AA173" s="3">
        <f t="shared" si="141"/>
        <v>3349813</v>
      </c>
      <c r="AB173" s="3">
        <f t="shared" si="129"/>
        <v>6979360</v>
      </c>
      <c r="AC173" s="3">
        <f t="shared" si="130"/>
        <v>76772400</v>
      </c>
      <c r="AD173" s="172">
        <f t="shared" si="120"/>
        <v>0.20728425846624265</v>
      </c>
    </row>
    <row r="174" spans="1:30">
      <c r="A174" s="170">
        <v>45352</v>
      </c>
      <c r="B174" s="3">
        <v>187956</v>
      </c>
      <c r="C174" s="3">
        <v>0</v>
      </c>
      <c r="D174" s="3">
        <f t="shared" si="100"/>
        <v>187956</v>
      </c>
      <c r="E174" s="3">
        <v>0</v>
      </c>
      <c r="F174" s="3">
        <v>0</v>
      </c>
      <c r="G174" s="3">
        <f t="shared" si="136"/>
        <v>0</v>
      </c>
      <c r="H174" s="3">
        <v>59524862</v>
      </c>
      <c r="I174" s="3">
        <v>608704</v>
      </c>
      <c r="J174" s="3">
        <f t="shared" si="102"/>
        <v>60133566</v>
      </c>
      <c r="K174" s="3">
        <v>2872469</v>
      </c>
      <c r="L174" s="3">
        <v>3117742</v>
      </c>
      <c r="M174" s="3">
        <f t="shared" si="131"/>
        <v>5990211</v>
      </c>
      <c r="N174" s="3">
        <f t="shared" si="137"/>
        <v>62585287</v>
      </c>
      <c r="O174" s="3">
        <f t="shared" si="137"/>
        <v>3726446</v>
      </c>
      <c r="P174" s="3">
        <f t="shared" si="112"/>
        <v>66311733</v>
      </c>
      <c r="Q174" s="3">
        <f t="shared" si="138"/>
        <v>561954</v>
      </c>
      <c r="R174" s="3">
        <f t="shared" si="138"/>
        <v>0</v>
      </c>
      <c r="S174" s="3">
        <f t="shared" si="126"/>
        <v>561954</v>
      </c>
      <c r="T174" s="3">
        <f t="shared" si="139"/>
        <v>0</v>
      </c>
      <c r="U174" s="3">
        <f t="shared" si="139"/>
        <v>0</v>
      </c>
      <c r="V174" s="3">
        <f t="shared" si="127"/>
        <v>0</v>
      </c>
      <c r="W174" s="3">
        <f t="shared" si="140"/>
        <v>128285547</v>
      </c>
      <c r="X174" s="3">
        <f t="shared" si="140"/>
        <v>1267061</v>
      </c>
      <c r="Y174" s="3">
        <f t="shared" si="128"/>
        <v>129552608</v>
      </c>
      <c r="Z174" s="3">
        <f t="shared" si="141"/>
        <v>6502016</v>
      </c>
      <c r="AA174" s="3">
        <f t="shared" si="141"/>
        <v>6467555</v>
      </c>
      <c r="AB174" s="3">
        <f t="shared" si="129"/>
        <v>12969571</v>
      </c>
      <c r="AC174" s="3">
        <f t="shared" si="130"/>
        <v>143084133</v>
      </c>
      <c r="AD174" s="172">
        <f t="shared" si="120"/>
        <v>0.20321567676458763</v>
      </c>
    </row>
    <row r="175" spans="1:30">
      <c r="A175" s="170">
        <v>45383</v>
      </c>
      <c r="B175" s="3">
        <v>694722</v>
      </c>
      <c r="C175" s="3">
        <v>0</v>
      </c>
      <c r="D175" s="3">
        <f t="shared" si="100"/>
        <v>694722</v>
      </c>
      <c r="E175" s="3">
        <v>0</v>
      </c>
      <c r="F175" s="3">
        <v>0</v>
      </c>
      <c r="G175" s="3">
        <f t="shared" si="136"/>
        <v>0</v>
      </c>
      <c r="H175" s="3">
        <v>67016522</v>
      </c>
      <c r="I175" s="3">
        <v>643933</v>
      </c>
      <c r="J175" s="3">
        <f t="shared" si="102"/>
        <v>67660455</v>
      </c>
      <c r="K175" s="3">
        <v>3105000</v>
      </c>
      <c r="L175" s="3">
        <v>3300665</v>
      </c>
      <c r="M175" s="3">
        <f t="shared" si="131"/>
        <v>6405665</v>
      </c>
      <c r="N175" s="3">
        <f t="shared" si="137"/>
        <v>70816244</v>
      </c>
      <c r="O175" s="3">
        <f t="shared" si="137"/>
        <v>3944598</v>
      </c>
      <c r="P175" s="3">
        <f t="shared" si="112"/>
        <v>74760842</v>
      </c>
      <c r="Q175" s="3">
        <f t="shared" si="138"/>
        <v>1256676</v>
      </c>
      <c r="R175" s="3">
        <f t="shared" si="138"/>
        <v>0</v>
      </c>
      <c r="S175" s="3">
        <f t="shared" si="126"/>
        <v>1256676</v>
      </c>
      <c r="T175" s="3">
        <f t="shared" si="139"/>
        <v>0</v>
      </c>
      <c r="U175" s="3">
        <f t="shared" si="139"/>
        <v>0</v>
      </c>
      <c r="V175" s="3">
        <f t="shared" si="127"/>
        <v>0</v>
      </c>
      <c r="W175" s="3">
        <f t="shared" si="140"/>
        <v>195302069</v>
      </c>
      <c r="X175" s="3">
        <f t="shared" si="140"/>
        <v>1910994</v>
      </c>
      <c r="Y175" s="3">
        <f t="shared" si="128"/>
        <v>197213063</v>
      </c>
      <c r="Z175" s="3">
        <f t="shared" si="141"/>
        <v>9607016</v>
      </c>
      <c r="AA175" s="3">
        <f t="shared" si="141"/>
        <v>9768220</v>
      </c>
      <c r="AB175" s="3">
        <f t="shared" si="129"/>
        <v>19375236</v>
      </c>
      <c r="AC175" s="3">
        <f t="shared" si="130"/>
        <v>217844975</v>
      </c>
      <c r="AD175" s="172">
        <f t="shared" si="120"/>
        <v>0.19092102106855946</v>
      </c>
    </row>
    <row r="176" spans="1:30">
      <c r="A176" s="170">
        <v>45413</v>
      </c>
      <c r="B176" s="3">
        <v>2518681</v>
      </c>
      <c r="C176" s="3">
        <v>0</v>
      </c>
      <c r="D176" s="3">
        <f t="shared" si="100"/>
        <v>2518681</v>
      </c>
      <c r="E176" s="3">
        <v>0</v>
      </c>
      <c r="F176" s="3">
        <v>0</v>
      </c>
      <c r="G176" s="3">
        <f t="shared" si="136"/>
        <v>0</v>
      </c>
      <c r="H176" s="3">
        <v>67737546</v>
      </c>
      <c r="I176" s="3">
        <v>343269</v>
      </c>
      <c r="J176" s="3">
        <f t="shared" si="102"/>
        <v>68080815</v>
      </c>
      <c r="K176" s="3">
        <v>3224507</v>
      </c>
      <c r="L176" s="3">
        <v>3351714</v>
      </c>
      <c r="M176" s="3">
        <f t="shared" si="131"/>
        <v>6576221</v>
      </c>
      <c r="N176" s="3">
        <f t="shared" si="137"/>
        <v>73480734</v>
      </c>
      <c r="O176" s="3">
        <f t="shared" si="137"/>
        <v>3694983</v>
      </c>
      <c r="P176" s="3">
        <f t="shared" si="112"/>
        <v>77175717</v>
      </c>
      <c r="Q176" s="3">
        <f t="shared" si="138"/>
        <v>3775357</v>
      </c>
      <c r="R176" s="3">
        <f t="shared" si="138"/>
        <v>0</v>
      </c>
      <c r="S176" s="3">
        <f t="shared" si="126"/>
        <v>3775357</v>
      </c>
      <c r="T176" s="3">
        <f t="shared" si="139"/>
        <v>0</v>
      </c>
      <c r="U176" s="3">
        <f t="shared" si="139"/>
        <v>0</v>
      </c>
      <c r="V176" s="3">
        <f t="shared" si="127"/>
        <v>0</v>
      </c>
      <c r="W176" s="3">
        <f t="shared" si="140"/>
        <v>263039615</v>
      </c>
      <c r="X176" s="3">
        <f t="shared" si="140"/>
        <v>2254263</v>
      </c>
      <c r="Y176" s="3">
        <f t="shared" si="128"/>
        <v>265293878</v>
      </c>
      <c r="Z176" s="3">
        <f t="shared" si="141"/>
        <v>12831523</v>
      </c>
      <c r="AA176" s="3">
        <f t="shared" si="141"/>
        <v>13119934</v>
      </c>
      <c r="AB176" s="3">
        <f t="shared" si="129"/>
        <v>25951457</v>
      </c>
      <c r="AC176" s="3">
        <f t="shared" si="130"/>
        <v>295020692</v>
      </c>
      <c r="AD176" s="172">
        <f t="shared" si="120"/>
        <v>0.20863244546893589</v>
      </c>
    </row>
    <row r="177" spans="1:30">
      <c r="A177" s="170">
        <v>45444</v>
      </c>
      <c r="B177" s="3">
        <v>1476953</v>
      </c>
      <c r="C177" s="3">
        <v>0</v>
      </c>
      <c r="D177" s="3">
        <f t="shared" si="100"/>
        <v>1476953</v>
      </c>
      <c r="E177" s="3">
        <v>0</v>
      </c>
      <c r="F177" s="3">
        <v>0</v>
      </c>
      <c r="G177" s="3">
        <f t="shared" si="136"/>
        <v>0</v>
      </c>
      <c r="H177" s="3">
        <v>73839781</v>
      </c>
      <c r="I177" s="3">
        <v>264239</v>
      </c>
      <c r="J177" s="3">
        <f t="shared" si="102"/>
        <v>74104020</v>
      </c>
      <c r="K177" s="3">
        <v>3256205</v>
      </c>
      <c r="L177" s="3">
        <v>3453823</v>
      </c>
      <c r="M177" s="3">
        <f t="shared" si="131"/>
        <v>6710028</v>
      </c>
      <c r="N177" s="3">
        <f t="shared" si="137"/>
        <v>78572939</v>
      </c>
      <c r="O177" s="3">
        <f t="shared" si="137"/>
        <v>3718062</v>
      </c>
      <c r="P177" s="3">
        <f t="shared" si="112"/>
        <v>82291001</v>
      </c>
      <c r="Q177" s="3">
        <f t="shared" si="138"/>
        <v>5252310</v>
      </c>
      <c r="R177" s="3">
        <f t="shared" si="138"/>
        <v>0</v>
      </c>
      <c r="S177" s="3">
        <f t="shared" si="126"/>
        <v>5252310</v>
      </c>
      <c r="T177" s="3">
        <f t="shared" si="139"/>
        <v>0</v>
      </c>
      <c r="U177" s="3">
        <f t="shared" si="139"/>
        <v>0</v>
      </c>
      <c r="V177" s="3">
        <f t="shared" si="127"/>
        <v>0</v>
      </c>
      <c r="W177" s="3">
        <f t="shared" si="140"/>
        <v>336879396</v>
      </c>
      <c r="X177" s="3">
        <f t="shared" si="140"/>
        <v>2518502</v>
      </c>
      <c r="Y177" s="3">
        <f t="shared" si="128"/>
        <v>339397898</v>
      </c>
      <c r="Z177" s="3">
        <f t="shared" si="141"/>
        <v>16087728</v>
      </c>
      <c r="AA177" s="3">
        <f t="shared" si="141"/>
        <v>16573757</v>
      </c>
      <c r="AB177" s="3">
        <f t="shared" si="129"/>
        <v>32661485</v>
      </c>
      <c r="AC177" s="3">
        <f t="shared" si="130"/>
        <v>377311693</v>
      </c>
      <c r="AD177" s="172">
        <f t="shared" si="120"/>
        <v>0.19827052651528043</v>
      </c>
    </row>
    <row r="178" spans="1:30">
      <c r="A178" s="170">
        <v>45474</v>
      </c>
      <c r="B178" s="3">
        <v>5942796</v>
      </c>
      <c r="C178" s="3">
        <v>0</v>
      </c>
      <c r="D178" s="3">
        <f t="shared" si="100"/>
        <v>5942796</v>
      </c>
      <c r="E178" s="3">
        <v>0</v>
      </c>
      <c r="F178" s="3">
        <v>0</v>
      </c>
      <c r="G178" s="3">
        <f t="shared" ref="G178:G186" si="142">SUM(E178:F178)</f>
        <v>0</v>
      </c>
      <c r="H178" s="3">
        <v>72111231</v>
      </c>
      <c r="I178" s="3">
        <v>399982</v>
      </c>
      <c r="J178" s="3">
        <f t="shared" si="102"/>
        <v>72511213</v>
      </c>
      <c r="K178" s="3">
        <v>3354072</v>
      </c>
      <c r="L178" s="3">
        <v>3264720</v>
      </c>
      <c r="M178" s="3">
        <f t="shared" si="131"/>
        <v>6618792</v>
      </c>
      <c r="N178" s="3">
        <f t="shared" si="137"/>
        <v>81408099</v>
      </c>
      <c r="O178" s="3">
        <f t="shared" si="137"/>
        <v>3664702</v>
      </c>
      <c r="P178" s="3">
        <f t="shared" si="112"/>
        <v>85072801</v>
      </c>
      <c r="Q178" s="3">
        <f t="shared" si="138"/>
        <v>11195106</v>
      </c>
      <c r="R178" s="3">
        <f t="shared" si="138"/>
        <v>0</v>
      </c>
      <c r="S178" s="3">
        <f t="shared" si="126"/>
        <v>11195106</v>
      </c>
      <c r="T178" s="3">
        <f t="shared" si="139"/>
        <v>0</v>
      </c>
      <c r="U178" s="3">
        <f t="shared" si="139"/>
        <v>0</v>
      </c>
      <c r="V178" s="3">
        <f t="shared" si="127"/>
        <v>0</v>
      </c>
      <c r="W178" s="3">
        <f t="shared" si="140"/>
        <v>408990627</v>
      </c>
      <c r="X178" s="3">
        <f t="shared" si="140"/>
        <v>2918484</v>
      </c>
      <c r="Y178" s="3">
        <f t="shared" si="128"/>
        <v>411909111</v>
      </c>
      <c r="Z178" s="3">
        <f t="shared" si="141"/>
        <v>19441800</v>
      </c>
      <c r="AA178" s="3">
        <f t="shared" si="141"/>
        <v>19838477</v>
      </c>
      <c r="AB178" s="3">
        <f t="shared" si="129"/>
        <v>39280277</v>
      </c>
      <c r="AC178" s="3">
        <f t="shared" si="130"/>
        <v>462384494</v>
      </c>
      <c r="AD178" s="172">
        <f t="shared" si="120"/>
        <v>0.21953807823861826</v>
      </c>
    </row>
    <row r="179" spans="1:30">
      <c r="A179" s="170">
        <v>45505</v>
      </c>
      <c r="B179" s="3">
        <v>4109184</v>
      </c>
      <c r="C179" s="3">
        <v>0</v>
      </c>
      <c r="D179" s="3">
        <f t="shared" ref="D179:D184" si="143">SUM(B179:C179)</f>
        <v>4109184</v>
      </c>
      <c r="E179" s="3">
        <v>0</v>
      </c>
      <c r="F179" s="3">
        <v>0</v>
      </c>
      <c r="G179" s="3">
        <f t="shared" si="142"/>
        <v>0</v>
      </c>
      <c r="H179" s="3">
        <v>78552993</v>
      </c>
      <c r="I179" s="3">
        <v>229292</v>
      </c>
      <c r="J179" s="3">
        <f t="shared" si="102"/>
        <v>78782285</v>
      </c>
      <c r="K179" s="3">
        <v>2748733</v>
      </c>
      <c r="L179" s="3">
        <v>3694958</v>
      </c>
      <c r="M179" s="3">
        <f t="shared" si="131"/>
        <v>6443691</v>
      </c>
      <c r="N179" s="3">
        <f t="shared" si="137"/>
        <v>85410910</v>
      </c>
      <c r="O179" s="3">
        <f t="shared" si="137"/>
        <v>3924250</v>
      </c>
      <c r="P179" s="3">
        <f t="shared" si="112"/>
        <v>89335160</v>
      </c>
      <c r="Q179" s="3">
        <f t="shared" si="138"/>
        <v>15304290</v>
      </c>
      <c r="R179" s="3">
        <f t="shared" si="138"/>
        <v>0</v>
      </c>
      <c r="S179" s="3">
        <f t="shared" si="126"/>
        <v>15304290</v>
      </c>
      <c r="T179" s="3">
        <f t="shared" si="139"/>
        <v>0</v>
      </c>
      <c r="U179" s="3">
        <f t="shared" si="139"/>
        <v>0</v>
      </c>
      <c r="V179" s="3">
        <f t="shared" si="127"/>
        <v>0</v>
      </c>
      <c r="W179" s="3">
        <f t="shared" si="140"/>
        <v>487543620</v>
      </c>
      <c r="X179" s="3">
        <f t="shared" si="140"/>
        <v>3147776</v>
      </c>
      <c r="Y179" s="3">
        <f t="shared" si="128"/>
        <v>490691396</v>
      </c>
      <c r="Z179" s="3">
        <f t="shared" si="141"/>
        <v>22190533</v>
      </c>
      <c r="AA179" s="3">
        <f t="shared" si="141"/>
        <v>23533435</v>
      </c>
      <c r="AB179" s="3">
        <f t="shared" si="129"/>
        <v>45723968</v>
      </c>
      <c r="AC179" s="3">
        <f t="shared" si="130"/>
        <v>551719654</v>
      </c>
      <c r="AD179" s="172">
        <f t="shared" si="120"/>
        <v>0.23642102868698478</v>
      </c>
    </row>
    <row r="180" spans="1:30">
      <c r="A180" s="170">
        <v>45536</v>
      </c>
      <c r="B180" s="3">
        <v>5794701</v>
      </c>
      <c r="C180" s="3">
        <v>0</v>
      </c>
      <c r="D180" s="3">
        <f t="shared" si="143"/>
        <v>5794701</v>
      </c>
      <c r="E180" s="3">
        <v>0</v>
      </c>
      <c r="F180" s="3">
        <v>0</v>
      </c>
      <c r="G180" s="3">
        <f t="shared" si="142"/>
        <v>0</v>
      </c>
      <c r="H180" s="3">
        <v>81855313</v>
      </c>
      <c r="I180" s="3">
        <v>328246</v>
      </c>
      <c r="J180" s="3">
        <f t="shared" si="102"/>
        <v>82183559</v>
      </c>
      <c r="K180" s="3">
        <v>3412037</v>
      </c>
      <c r="L180" s="3">
        <v>3642128</v>
      </c>
      <c r="M180" s="3">
        <f t="shared" si="131"/>
        <v>7054165</v>
      </c>
      <c r="N180" s="3">
        <f t="shared" si="137"/>
        <v>91062051</v>
      </c>
      <c r="O180" s="3">
        <f t="shared" si="137"/>
        <v>3970374</v>
      </c>
      <c r="P180" s="3">
        <f t="shared" si="112"/>
        <v>95032425</v>
      </c>
      <c r="Q180" s="3">
        <f t="shared" si="138"/>
        <v>21098991</v>
      </c>
      <c r="R180" s="3">
        <f t="shared" si="138"/>
        <v>0</v>
      </c>
      <c r="S180" s="3">
        <f t="shared" si="126"/>
        <v>21098991</v>
      </c>
      <c r="T180" s="3">
        <f t="shared" si="139"/>
        <v>0</v>
      </c>
      <c r="U180" s="3">
        <f t="shared" si="139"/>
        <v>0</v>
      </c>
      <c r="V180" s="3">
        <f t="shared" si="127"/>
        <v>0</v>
      </c>
      <c r="W180" s="3">
        <f t="shared" si="140"/>
        <v>569398933</v>
      </c>
      <c r="X180" s="3">
        <f t="shared" si="140"/>
        <v>3476022</v>
      </c>
      <c r="Y180" s="3">
        <f t="shared" si="128"/>
        <v>572874955</v>
      </c>
      <c r="Z180" s="3">
        <f t="shared" si="141"/>
        <v>25602570</v>
      </c>
      <c r="AA180" s="3">
        <f t="shared" si="141"/>
        <v>27175563</v>
      </c>
      <c r="AB180" s="3">
        <f t="shared" si="129"/>
        <v>52778133</v>
      </c>
      <c r="AC180" s="3">
        <f t="shared" si="130"/>
        <v>646752079</v>
      </c>
      <c r="AD180" s="172">
        <f t="shared" si="120"/>
        <v>0.26739601056999573</v>
      </c>
    </row>
    <row r="181" spans="1:30">
      <c r="A181" s="170">
        <v>45566</v>
      </c>
      <c r="B181" s="3">
        <v>6029880</v>
      </c>
      <c r="C181" s="3">
        <v>0</v>
      </c>
      <c r="D181" s="3">
        <f t="shared" si="143"/>
        <v>6029880</v>
      </c>
      <c r="E181" s="3">
        <v>0</v>
      </c>
      <c r="F181" s="3">
        <v>0</v>
      </c>
      <c r="G181" s="3">
        <f t="shared" si="142"/>
        <v>0</v>
      </c>
      <c r="H181" s="3">
        <v>79017792</v>
      </c>
      <c r="I181" s="3">
        <v>417385</v>
      </c>
      <c r="J181" s="3">
        <f t="shared" si="102"/>
        <v>79435177</v>
      </c>
      <c r="K181" s="3">
        <v>3735478</v>
      </c>
      <c r="L181" s="3">
        <v>3422394</v>
      </c>
      <c r="M181" s="3">
        <f t="shared" si="131"/>
        <v>7157872</v>
      </c>
      <c r="N181" s="3">
        <f t="shared" si="137"/>
        <v>88783150</v>
      </c>
      <c r="O181" s="3">
        <f t="shared" si="137"/>
        <v>3839779</v>
      </c>
      <c r="P181" s="3">
        <f t="shared" si="112"/>
        <v>92622929</v>
      </c>
      <c r="Q181" s="3">
        <f t="shared" si="138"/>
        <v>27128871</v>
      </c>
      <c r="R181" s="3">
        <f t="shared" si="138"/>
        <v>0</v>
      </c>
      <c r="S181" s="3">
        <f t="shared" si="126"/>
        <v>27128871</v>
      </c>
      <c r="T181" s="3">
        <f t="shared" si="139"/>
        <v>0</v>
      </c>
      <c r="U181" s="3">
        <f t="shared" si="139"/>
        <v>0</v>
      </c>
      <c r="V181" s="3">
        <f t="shared" si="127"/>
        <v>0</v>
      </c>
      <c r="W181" s="3">
        <f t="shared" si="140"/>
        <v>648416725</v>
      </c>
      <c r="X181" s="3">
        <f t="shared" si="140"/>
        <v>3893407</v>
      </c>
      <c r="Y181" s="3">
        <f t="shared" si="128"/>
        <v>652310132</v>
      </c>
      <c r="Z181" s="3">
        <f t="shared" si="141"/>
        <v>29338048</v>
      </c>
      <c r="AA181" s="3">
        <f t="shared" si="141"/>
        <v>30597957</v>
      </c>
      <c r="AB181" s="3">
        <f t="shared" si="129"/>
        <v>59936005</v>
      </c>
      <c r="AC181" s="3">
        <f t="shared" si="130"/>
        <v>739375008</v>
      </c>
      <c r="AD181" s="172">
        <f t="shared" si="120"/>
        <v>0.28842707325971428</v>
      </c>
    </row>
    <row r="182" spans="1:30">
      <c r="A182" s="170">
        <v>45597</v>
      </c>
      <c r="B182" s="3">
        <v>6758732</v>
      </c>
      <c r="C182" s="3">
        <v>0</v>
      </c>
      <c r="D182" s="3">
        <f t="shared" si="143"/>
        <v>6758732</v>
      </c>
      <c r="E182" s="3">
        <v>0</v>
      </c>
      <c r="F182" s="3">
        <v>0</v>
      </c>
      <c r="G182" s="3">
        <f t="shared" si="142"/>
        <v>0</v>
      </c>
      <c r="H182" s="3">
        <v>79496049</v>
      </c>
      <c r="I182" s="3">
        <v>1925842</v>
      </c>
      <c r="J182" s="3">
        <f t="shared" si="102"/>
        <v>81421891</v>
      </c>
      <c r="K182" s="3">
        <v>5960448</v>
      </c>
      <c r="L182" s="3">
        <v>1992017</v>
      </c>
      <c r="M182" s="3">
        <f t="shared" si="131"/>
        <v>7952465</v>
      </c>
      <c r="N182" s="3">
        <f t="shared" si="137"/>
        <v>92215229</v>
      </c>
      <c r="O182" s="3">
        <f t="shared" si="137"/>
        <v>3917859</v>
      </c>
      <c r="P182" s="3">
        <f t="shared" si="112"/>
        <v>96133088</v>
      </c>
      <c r="Q182" s="3">
        <f t="shared" si="138"/>
        <v>33887603</v>
      </c>
      <c r="R182" s="3">
        <f t="shared" si="138"/>
        <v>0</v>
      </c>
      <c r="S182" s="3">
        <f t="shared" si="126"/>
        <v>33887603</v>
      </c>
      <c r="T182" s="3">
        <f t="shared" si="139"/>
        <v>0</v>
      </c>
      <c r="U182" s="3">
        <f t="shared" si="139"/>
        <v>0</v>
      </c>
      <c r="V182" s="3">
        <f t="shared" si="127"/>
        <v>0</v>
      </c>
      <c r="W182" s="3">
        <f t="shared" si="140"/>
        <v>727912774</v>
      </c>
      <c r="X182" s="3">
        <f t="shared" si="140"/>
        <v>5819249</v>
      </c>
      <c r="Y182" s="3">
        <f t="shared" si="128"/>
        <v>733732023</v>
      </c>
      <c r="Z182" s="3">
        <f t="shared" si="141"/>
        <v>35298496</v>
      </c>
      <c r="AA182" s="3">
        <f t="shared" si="141"/>
        <v>32589974</v>
      </c>
      <c r="AB182" s="3">
        <f t="shared" si="129"/>
        <v>67888470</v>
      </c>
      <c r="AC182" s="3">
        <f t="shared" si="130"/>
        <v>835508096</v>
      </c>
      <c r="AD182" s="172">
        <f t="shared" si="120"/>
        <v>0.29806242158411766</v>
      </c>
    </row>
    <row r="183" spans="1:30" ht="13.5" thickBot="1">
      <c r="A183" s="170">
        <v>45627</v>
      </c>
      <c r="B183" s="3">
        <v>9375739</v>
      </c>
      <c r="C183" s="3">
        <v>0</v>
      </c>
      <c r="D183" s="3">
        <f t="shared" si="143"/>
        <v>9375739</v>
      </c>
      <c r="E183" s="3">
        <v>0</v>
      </c>
      <c r="F183" s="3">
        <v>0</v>
      </c>
      <c r="G183" s="3">
        <f t="shared" si="142"/>
        <v>0</v>
      </c>
      <c r="H183" s="3">
        <v>68235417</v>
      </c>
      <c r="I183" s="3">
        <v>1587239</v>
      </c>
      <c r="J183" s="3">
        <f t="shared" si="102"/>
        <v>69822656</v>
      </c>
      <c r="K183" s="3">
        <v>4210181</v>
      </c>
      <c r="L183" s="3">
        <v>2246418</v>
      </c>
      <c r="M183" s="3">
        <f t="shared" si="131"/>
        <v>6456599</v>
      </c>
      <c r="N183" s="3">
        <f t="shared" si="137"/>
        <v>81821337</v>
      </c>
      <c r="O183" s="3">
        <f t="shared" si="137"/>
        <v>3833657</v>
      </c>
      <c r="P183" s="3">
        <f t="shared" si="112"/>
        <v>85654994</v>
      </c>
      <c r="Q183" s="3">
        <f t="shared" si="138"/>
        <v>43263342</v>
      </c>
      <c r="R183" s="3">
        <f t="shared" si="138"/>
        <v>0</v>
      </c>
      <c r="S183" s="3">
        <f t="shared" si="126"/>
        <v>43263342</v>
      </c>
      <c r="T183" s="3">
        <f t="shared" si="139"/>
        <v>0</v>
      </c>
      <c r="U183" s="3">
        <f t="shared" si="139"/>
        <v>0</v>
      </c>
      <c r="V183" s="3">
        <f t="shared" si="127"/>
        <v>0</v>
      </c>
      <c r="W183" s="3">
        <f t="shared" si="140"/>
        <v>796148191</v>
      </c>
      <c r="X183" s="3">
        <f t="shared" si="140"/>
        <v>7406488</v>
      </c>
      <c r="Y183" s="3">
        <f t="shared" si="128"/>
        <v>803554679</v>
      </c>
      <c r="Z183" s="3">
        <f t="shared" si="141"/>
        <v>39508677</v>
      </c>
      <c r="AA183" s="3">
        <f t="shared" si="141"/>
        <v>34836392</v>
      </c>
      <c r="AB183" s="3">
        <f t="shared" si="129"/>
        <v>74345069</v>
      </c>
      <c r="AC183" s="3">
        <f t="shared" si="130"/>
        <v>921163090</v>
      </c>
      <c r="AD183" s="172">
        <f t="shared" si="120"/>
        <v>0.30803764440647896</v>
      </c>
    </row>
    <row r="184" spans="1:30">
      <c r="A184" s="171">
        <v>45658</v>
      </c>
      <c r="B184" s="104">
        <v>7329992</v>
      </c>
      <c r="C184" s="104">
        <v>0</v>
      </c>
      <c r="D184" s="104">
        <f t="shared" si="143"/>
        <v>7329992</v>
      </c>
      <c r="E184" s="104">
        <v>0</v>
      </c>
      <c r="F184" s="104">
        <v>0</v>
      </c>
      <c r="G184" s="104">
        <f t="shared" si="142"/>
        <v>0</v>
      </c>
      <c r="H184" s="104">
        <v>1133947</v>
      </c>
      <c r="I184" s="104">
        <v>0</v>
      </c>
      <c r="J184" s="104">
        <f t="shared" ref="J184:J186" si="144">SUM(H184:I184)</f>
        <v>1133947</v>
      </c>
      <c r="K184" s="104">
        <v>0</v>
      </c>
      <c r="L184" s="104">
        <v>0</v>
      </c>
      <c r="M184" s="104">
        <f t="shared" si="131"/>
        <v>0</v>
      </c>
      <c r="N184" s="104">
        <f t="shared" si="137"/>
        <v>8463939</v>
      </c>
      <c r="O184" s="104">
        <f t="shared" si="137"/>
        <v>0</v>
      </c>
      <c r="P184" s="104">
        <f t="shared" si="112"/>
        <v>8463939</v>
      </c>
      <c r="Q184" s="104">
        <f>B184</f>
        <v>7329992</v>
      </c>
      <c r="R184" s="104">
        <f>C184</f>
        <v>0</v>
      </c>
      <c r="S184" s="104">
        <f t="shared" si="126"/>
        <v>7329992</v>
      </c>
      <c r="T184" s="104">
        <f>E184</f>
        <v>0</v>
      </c>
      <c r="U184" s="104">
        <f>F184</f>
        <v>0</v>
      </c>
      <c r="V184" s="104">
        <f t="shared" si="127"/>
        <v>0</v>
      </c>
      <c r="W184" s="104">
        <f>H184</f>
        <v>1133947</v>
      </c>
      <c r="X184" s="104">
        <f>I184</f>
        <v>0</v>
      </c>
      <c r="Y184" s="104">
        <f t="shared" si="128"/>
        <v>1133947</v>
      </c>
      <c r="Z184" s="104">
        <f>K184</f>
        <v>0</v>
      </c>
      <c r="AA184" s="104">
        <f>L184</f>
        <v>0</v>
      </c>
      <c r="AB184" s="104">
        <f t="shared" si="129"/>
        <v>0</v>
      </c>
      <c r="AC184" s="104">
        <f t="shared" si="130"/>
        <v>8463939</v>
      </c>
      <c r="AD184" s="172">
        <f t="shared" si="120"/>
        <v>0.17449313886524886</v>
      </c>
    </row>
    <row r="185" spans="1:30">
      <c r="A185" s="170">
        <v>45689</v>
      </c>
      <c r="B185" s="3">
        <v>6279631</v>
      </c>
      <c r="C185" s="3">
        <v>0</v>
      </c>
      <c r="D185" s="3">
        <f t="shared" ref="D185:D186" si="145">SUM(B185:C185)</f>
        <v>6279631</v>
      </c>
      <c r="E185" s="3">
        <v>0</v>
      </c>
      <c r="F185" s="3">
        <v>0</v>
      </c>
      <c r="G185" s="3">
        <f t="shared" si="142"/>
        <v>0</v>
      </c>
      <c r="H185" s="3">
        <v>744454</v>
      </c>
      <c r="I185" s="3">
        <v>0</v>
      </c>
      <c r="J185" s="3">
        <f t="shared" si="144"/>
        <v>744454</v>
      </c>
      <c r="K185" s="3">
        <v>0</v>
      </c>
      <c r="L185" s="3">
        <v>0</v>
      </c>
      <c r="M185" s="3">
        <f t="shared" si="131"/>
        <v>0</v>
      </c>
      <c r="N185" s="3">
        <f t="shared" si="137"/>
        <v>7024085</v>
      </c>
      <c r="O185" s="3">
        <f t="shared" si="137"/>
        <v>0</v>
      </c>
      <c r="P185" s="3">
        <f t="shared" si="112"/>
        <v>7024085</v>
      </c>
      <c r="Q185" s="3">
        <f t="shared" ref="Q185:R186" si="146">Q184+B185</f>
        <v>13609623</v>
      </c>
      <c r="R185" s="3">
        <f t="shared" si="146"/>
        <v>0</v>
      </c>
      <c r="S185" s="3">
        <f t="shared" si="126"/>
        <v>13609623</v>
      </c>
      <c r="T185" s="3">
        <f t="shared" ref="T185:U186" si="147">T184+E185</f>
        <v>0</v>
      </c>
      <c r="U185" s="3">
        <f t="shared" si="147"/>
        <v>0</v>
      </c>
      <c r="V185" s="3">
        <f t="shared" si="127"/>
        <v>0</v>
      </c>
      <c r="W185" s="3">
        <f t="shared" ref="W185:X186" si="148">W184+H185</f>
        <v>1878401</v>
      </c>
      <c r="X185" s="3">
        <f t="shared" si="148"/>
        <v>0</v>
      </c>
      <c r="Y185" s="3">
        <f t="shared" si="128"/>
        <v>1878401</v>
      </c>
      <c r="Z185" s="3">
        <f t="shared" ref="Z185:AA186" si="149">Z184+K185</f>
        <v>0</v>
      </c>
      <c r="AA185" s="3">
        <f t="shared" si="149"/>
        <v>0</v>
      </c>
      <c r="AB185" s="3">
        <f t="shared" si="129"/>
        <v>0</v>
      </c>
      <c r="AC185" s="3">
        <f t="shared" si="130"/>
        <v>15488024</v>
      </c>
      <c r="AD185" s="172">
        <f t="shared" si="120"/>
        <v>-0.79826052070796272</v>
      </c>
    </row>
    <row r="186" spans="1:30">
      <c r="A186" s="170">
        <v>45717</v>
      </c>
      <c r="B186" s="3">
        <v>6643487</v>
      </c>
      <c r="C186" s="3">
        <v>0</v>
      </c>
      <c r="D186" s="3">
        <f t="shared" si="145"/>
        <v>6643487</v>
      </c>
      <c r="E186" s="3">
        <v>0</v>
      </c>
      <c r="F186" s="3">
        <v>0</v>
      </c>
      <c r="G186" s="3">
        <f t="shared" si="142"/>
        <v>0</v>
      </c>
      <c r="H186" s="3">
        <v>0</v>
      </c>
      <c r="I186" s="3">
        <v>0</v>
      </c>
      <c r="J186" s="3">
        <f t="shared" si="144"/>
        <v>0</v>
      </c>
      <c r="K186" s="3">
        <v>0</v>
      </c>
      <c r="L186" s="3">
        <v>0</v>
      </c>
      <c r="M186" s="3">
        <f t="shared" si="131"/>
        <v>0</v>
      </c>
      <c r="N186" s="3">
        <f t="shared" si="137"/>
        <v>6643487</v>
      </c>
      <c r="O186" s="3">
        <f t="shared" si="137"/>
        <v>0</v>
      </c>
      <c r="P186" s="3">
        <f t="shared" si="112"/>
        <v>6643487</v>
      </c>
      <c r="Q186" s="3">
        <f t="shared" si="146"/>
        <v>20253110</v>
      </c>
      <c r="R186" s="3">
        <f t="shared" si="146"/>
        <v>0</v>
      </c>
      <c r="S186" s="3">
        <f t="shared" si="126"/>
        <v>20253110</v>
      </c>
      <c r="T186" s="3">
        <f t="shared" si="147"/>
        <v>0</v>
      </c>
      <c r="U186" s="3">
        <f t="shared" si="147"/>
        <v>0</v>
      </c>
      <c r="V186" s="3">
        <f t="shared" si="127"/>
        <v>0</v>
      </c>
      <c r="W186" s="3">
        <f t="shared" si="148"/>
        <v>1878401</v>
      </c>
      <c r="X186" s="3">
        <f t="shared" si="148"/>
        <v>0</v>
      </c>
      <c r="Y186" s="3">
        <f t="shared" si="128"/>
        <v>1878401</v>
      </c>
      <c r="Z186" s="3">
        <f t="shared" si="149"/>
        <v>0</v>
      </c>
      <c r="AA186" s="3">
        <f t="shared" si="149"/>
        <v>0</v>
      </c>
      <c r="AB186" s="3">
        <f t="shared" si="129"/>
        <v>0</v>
      </c>
      <c r="AC186" s="3">
        <f t="shared" si="130"/>
        <v>22131511</v>
      </c>
      <c r="AD186" s="172">
        <f t="shared" si="120"/>
        <v>-0.84532519059957545</v>
      </c>
    </row>
  </sheetData>
  <mergeCells count="12">
    <mergeCell ref="Z2:AB2"/>
    <mergeCell ref="AC2:AC3"/>
    <mergeCell ref="B1:M1"/>
    <mergeCell ref="Q1:AC1"/>
    <mergeCell ref="B2:D2"/>
    <mergeCell ref="E2:G2"/>
    <mergeCell ref="H2:J2"/>
    <mergeCell ref="K2:M2"/>
    <mergeCell ref="N2:P2"/>
    <mergeCell ref="Q2:S2"/>
    <mergeCell ref="T2:V2"/>
    <mergeCell ref="W2:Y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C7D5E-010D-40EF-A73E-B63BDCC9840C}">
  <sheetPr>
    <tabColor theme="1" tint="0.499984740745262"/>
  </sheetPr>
  <dimension ref="A1:DN417"/>
  <sheetViews>
    <sheetView tabSelected="1" zoomScale="120" zoomScaleNormal="120" workbookViewId="0">
      <pane xSplit="1" ySplit="2" topLeftCell="J18" activePane="bottomRight" state="frozen"/>
      <selection activeCell="A9" sqref="A9"/>
      <selection pane="topRight" activeCell="A9" sqref="A9"/>
      <selection pane="bottomLeft" activeCell="A9" sqref="A9"/>
      <selection pane="bottomRight" activeCell="M22" sqref="M22"/>
    </sheetView>
  </sheetViews>
  <sheetFormatPr defaultColWidth="9.140625" defaultRowHeight="12.75"/>
  <cols>
    <col min="1" max="1" width="22.7109375" style="2" customWidth="1"/>
    <col min="2" max="44" width="12.140625" style="2" customWidth="1"/>
    <col min="45" max="51" width="11.42578125" style="2" customWidth="1"/>
    <col min="52" max="52" width="13.28515625" style="2" customWidth="1"/>
    <col min="53" max="53" width="12.28515625" style="2" customWidth="1"/>
    <col min="54" max="54" width="12" style="2" customWidth="1"/>
    <col min="55" max="57" width="11.42578125" style="2" customWidth="1"/>
    <col min="58" max="64" width="12.140625" style="2" customWidth="1"/>
    <col min="65" max="89" width="11.42578125" style="2" customWidth="1"/>
    <col min="90" max="91" width="12.42578125" style="2" customWidth="1"/>
    <col min="92" max="92" width="9.85546875" style="2" bestFit="1" customWidth="1"/>
    <col min="93" max="16384" width="9.140625" style="2"/>
  </cols>
  <sheetData>
    <row r="1" spans="1:74" ht="18.75" thickBot="1">
      <c r="A1" s="78" t="s">
        <v>276</v>
      </c>
      <c r="M1" s="3"/>
      <c r="P1" s="173" t="s">
        <v>277</v>
      </c>
      <c r="BV1" s="174" t="s">
        <v>278</v>
      </c>
    </row>
    <row r="2" spans="1:74" ht="14.2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A2" s="80">
        <v>2035</v>
      </c>
      <c r="AB2" s="80">
        <v>2036</v>
      </c>
      <c r="AC2" s="80">
        <v>2037</v>
      </c>
      <c r="AD2" s="80">
        <v>2038</v>
      </c>
      <c r="AE2" s="80">
        <v>2039</v>
      </c>
      <c r="AF2" s="80">
        <v>2040</v>
      </c>
      <c r="AG2" s="80">
        <v>2041</v>
      </c>
      <c r="AH2" s="80">
        <v>2042</v>
      </c>
      <c r="AI2" s="80">
        <v>2043</v>
      </c>
      <c r="AJ2" s="80">
        <v>2044</v>
      </c>
      <c r="AK2" s="80">
        <v>2045</v>
      </c>
      <c r="AL2" s="80">
        <v>2046</v>
      </c>
      <c r="AM2" s="80">
        <v>2047</v>
      </c>
      <c r="AN2" s="80">
        <v>2048</v>
      </c>
      <c r="AO2" s="80">
        <v>2049</v>
      </c>
      <c r="AP2" s="80">
        <v>2050</v>
      </c>
      <c r="AQ2" s="80">
        <v>2051</v>
      </c>
      <c r="AR2" s="94"/>
      <c r="AS2" s="175" t="s">
        <v>279</v>
      </c>
      <c r="AT2" s="175" t="s">
        <v>280</v>
      </c>
      <c r="AU2" s="94"/>
      <c r="AV2" s="94"/>
      <c r="AW2" s="94"/>
      <c r="BA2" s="3"/>
      <c r="BB2" s="80">
        <v>2020</v>
      </c>
      <c r="BD2" s="80">
        <v>2021</v>
      </c>
      <c r="BF2" s="80">
        <v>2022</v>
      </c>
      <c r="BH2" s="80">
        <v>2023</v>
      </c>
      <c r="BJ2" s="80">
        <v>2024</v>
      </c>
      <c r="BL2" s="80">
        <v>2025</v>
      </c>
    </row>
    <row r="3" spans="1:74">
      <c r="A3" s="94" t="s">
        <v>281</v>
      </c>
      <c r="B3" s="96">
        <f>SUM(B4:B6)</f>
        <v>214443356</v>
      </c>
      <c r="C3" s="96">
        <f t="shared" ref="C3:P3" si="0">SUM(C4:C6)</f>
        <v>1077377519</v>
      </c>
      <c r="D3" s="96">
        <f t="shared" si="0"/>
        <v>1056430771</v>
      </c>
      <c r="E3" s="96">
        <f t="shared" si="0"/>
        <v>1534402079</v>
      </c>
      <c r="F3" s="96">
        <f t="shared" si="0"/>
        <v>1435538716</v>
      </c>
      <c r="G3" s="96">
        <f t="shared" si="0"/>
        <v>1515484489</v>
      </c>
      <c r="H3" s="96">
        <f t="shared" si="0"/>
        <v>2194392940</v>
      </c>
      <c r="I3" s="96">
        <f t="shared" si="0"/>
        <v>2050164384</v>
      </c>
      <c r="J3" s="96">
        <f t="shared" si="0"/>
        <v>2030262144</v>
      </c>
      <c r="K3" s="96">
        <f t="shared" si="0"/>
        <v>1898503952</v>
      </c>
      <c r="L3" s="96">
        <f t="shared" si="0"/>
        <v>2034367312</v>
      </c>
      <c r="M3" s="96">
        <f t="shared" si="0"/>
        <v>1913078061</v>
      </c>
      <c r="N3" s="96">
        <f t="shared" si="0"/>
        <v>1860533654</v>
      </c>
      <c r="O3" s="96">
        <f t="shared" si="0"/>
        <v>2174183180</v>
      </c>
      <c r="P3" s="96">
        <f t="shared" si="0"/>
        <v>2058817810</v>
      </c>
      <c r="Q3" s="102">
        <f t="shared" ref="Q3:AQ3" si="1">Q4+Q5+Q6</f>
        <v>1920916041.0664113</v>
      </c>
      <c r="R3" s="102">
        <f t="shared" si="1"/>
        <v>1646288920.8928502</v>
      </c>
      <c r="S3" s="102">
        <f t="shared" si="1"/>
        <v>1664785399.8558679</v>
      </c>
      <c r="T3" s="102">
        <f t="shared" si="1"/>
        <v>1386208281.752449</v>
      </c>
      <c r="U3" s="102">
        <f t="shared" si="1"/>
        <v>1564916782.8977911</v>
      </c>
      <c r="V3" s="102">
        <f t="shared" si="1"/>
        <v>1591061973.8548844</v>
      </c>
      <c r="W3" s="102">
        <f t="shared" si="1"/>
        <v>1562948354.928941</v>
      </c>
      <c r="X3" s="102">
        <f t="shared" si="1"/>
        <v>1621119743.991498</v>
      </c>
      <c r="Y3" s="102">
        <f t="shared" si="1"/>
        <v>1523186758.3635507</v>
      </c>
      <c r="Z3" s="102">
        <f t="shared" si="1"/>
        <v>1486754933.2873945</v>
      </c>
      <c r="AA3" s="102">
        <f t="shared" si="1"/>
        <v>1418986408.7613165</v>
      </c>
      <c r="AB3" s="102">
        <f t="shared" si="1"/>
        <v>1183550782.0520487</v>
      </c>
      <c r="AC3" s="102">
        <f t="shared" si="1"/>
        <v>962248304.87814152</v>
      </c>
      <c r="AD3" s="102">
        <f t="shared" si="1"/>
        <v>924935067.03321898</v>
      </c>
      <c r="AE3" s="102">
        <f t="shared" si="1"/>
        <v>766534291.17993772</v>
      </c>
      <c r="AF3" s="102">
        <f t="shared" si="1"/>
        <v>486059083.20517874</v>
      </c>
      <c r="AG3" s="102">
        <f t="shared" si="1"/>
        <v>531231552.15335274</v>
      </c>
      <c r="AH3" s="102">
        <f t="shared" si="1"/>
        <v>523635004.69407254</v>
      </c>
      <c r="AI3" s="102">
        <f t="shared" si="1"/>
        <v>444022082.55199236</v>
      </c>
      <c r="AJ3" s="102">
        <f t="shared" si="1"/>
        <v>447888665.5371173</v>
      </c>
      <c r="AK3" s="102">
        <f t="shared" si="1"/>
        <v>449344713.67332029</v>
      </c>
      <c r="AL3" s="102">
        <f t="shared" si="1"/>
        <v>448167204.47525615</v>
      </c>
      <c r="AM3" s="102">
        <f t="shared" si="1"/>
        <v>448395520.93563485</v>
      </c>
      <c r="AN3" s="102">
        <f t="shared" si="1"/>
        <v>454530877.06040347</v>
      </c>
      <c r="AO3" s="102">
        <f t="shared" si="1"/>
        <v>460995056.19845152</v>
      </c>
      <c r="AP3" s="102">
        <f t="shared" si="1"/>
        <v>469494911.41562796</v>
      </c>
      <c r="AQ3" s="102">
        <f t="shared" si="1"/>
        <v>488327033.0954172</v>
      </c>
      <c r="AR3" s="102"/>
      <c r="AS3" s="176">
        <f t="shared" ref="AS3:AS26" si="2">Q3/Q$27</f>
        <v>0.39744664793545492</v>
      </c>
      <c r="AT3" s="176">
        <f t="shared" ref="AT3:AT26" si="3">SUM(L3:P3)/SUM(L$27:P$27)</f>
        <v>0.49597097215978814</v>
      </c>
      <c r="AU3" s="102"/>
      <c r="AV3" s="102"/>
      <c r="AW3" s="102"/>
      <c r="AX3" s="3"/>
      <c r="AZ3" s="102">
        <v>1898447358</v>
      </c>
      <c r="BA3" s="3">
        <f t="shared" ref="BA3:BA27" si="4">K3-AZ3</f>
        <v>56594</v>
      </c>
      <c r="BB3" s="102">
        <v>2024449146</v>
      </c>
      <c r="BC3" s="3">
        <f t="shared" ref="BC3:BC27" si="5">L3-BB3</f>
        <v>9918166</v>
      </c>
      <c r="BD3" s="102">
        <v>1882469291</v>
      </c>
      <c r="BE3" s="177">
        <f t="shared" ref="BE3:BE27" si="6">M3-BD3</f>
        <v>30608770</v>
      </c>
      <c r="BF3" s="102">
        <v>1838158283.4088387</v>
      </c>
      <c r="BG3" s="177">
        <f t="shared" ref="BG3:BG27" si="7">N3-BF3</f>
        <v>22375370.591161251</v>
      </c>
      <c r="BH3" s="102">
        <v>2194975994.3972101</v>
      </c>
      <c r="BI3" s="177">
        <f t="shared" ref="BI3:BI27" si="8">O3-BH3</f>
        <v>-20792814.397210121</v>
      </c>
      <c r="BJ3" s="102">
        <v>1972624608.551203</v>
      </c>
      <c r="BK3" s="177">
        <f t="shared" ref="BK3:BK27" si="9">P3-BJ3</f>
        <v>86193201.448796988</v>
      </c>
      <c r="BL3" s="102">
        <v>1114128073.066411</v>
      </c>
      <c r="BM3" s="177">
        <f t="shared" ref="BM3:BM27" si="10">Q3-BL3</f>
        <v>806787968.00000024</v>
      </c>
    </row>
    <row r="4" spans="1:74">
      <c r="A4" s="2" t="s">
        <v>224</v>
      </c>
      <c r="B4" s="3">
        <f>B81</f>
        <v>201955850</v>
      </c>
      <c r="C4" s="3">
        <f t="shared" ref="C4:P4" si="11">C81</f>
        <v>1032917947</v>
      </c>
      <c r="D4" s="3">
        <f t="shared" si="11"/>
        <v>1016202001</v>
      </c>
      <c r="E4" s="3">
        <f t="shared" si="11"/>
        <v>1378586362</v>
      </c>
      <c r="F4" s="3">
        <f t="shared" si="11"/>
        <v>1305909690</v>
      </c>
      <c r="G4" s="3">
        <f t="shared" si="11"/>
        <v>1254228294</v>
      </c>
      <c r="H4" s="3">
        <f t="shared" si="11"/>
        <v>1632752622</v>
      </c>
      <c r="I4" s="3">
        <f t="shared" si="11"/>
        <v>1588249740</v>
      </c>
      <c r="J4" s="3">
        <f t="shared" si="11"/>
        <v>1855120823</v>
      </c>
      <c r="K4" s="3">
        <f t="shared" si="11"/>
        <v>1713762399</v>
      </c>
      <c r="L4" s="3">
        <f t="shared" si="11"/>
        <v>1824873638</v>
      </c>
      <c r="M4" s="3">
        <f t="shared" si="11"/>
        <v>1704627334</v>
      </c>
      <c r="N4" s="3">
        <f t="shared" si="11"/>
        <v>1620209063</v>
      </c>
      <c r="O4" s="3">
        <f t="shared" si="11"/>
        <v>1669248877</v>
      </c>
      <c r="P4" s="3">
        <f t="shared" si="11"/>
        <v>1660766492</v>
      </c>
      <c r="Q4" s="178">
        <f>'[1]RVO Forecast'!P$2</f>
        <v>1580916041.0664113</v>
      </c>
      <c r="R4" s="178">
        <f>'[1]RVO Forecast'!Q$2</f>
        <v>1456288920.8928502</v>
      </c>
      <c r="S4" s="178">
        <f>'[1]RVO Forecast'!R$2</f>
        <v>1464785399.8558679</v>
      </c>
      <c r="T4" s="178">
        <f>'[1]RVO Forecast'!S$2</f>
        <v>1166208281.752449</v>
      </c>
      <c r="U4" s="178">
        <f>'[1]RVO Forecast'!T$2</f>
        <v>1344916782.8977911</v>
      </c>
      <c r="V4" s="178">
        <f>'[1]RVO Forecast'!U$2</f>
        <v>1361061973.8548844</v>
      </c>
      <c r="W4" s="178">
        <f>'[1]RVO Forecast'!V$2</f>
        <v>1352948354.928941</v>
      </c>
      <c r="X4" s="178">
        <f>'[1]RVO Forecast'!W$2</f>
        <v>1431119743.991498</v>
      </c>
      <c r="Y4" s="178">
        <f>'[1]RVO Forecast'!X$2+350000000</f>
        <v>1343186758.3635507</v>
      </c>
      <c r="Z4" s="178">
        <f>'[1]RVO Forecast'!Y$2+40000000</f>
        <v>1311754933.2873945</v>
      </c>
      <c r="AA4" s="178">
        <f>'[1]RVO Forecast'!Z$2+25000000</f>
        <v>1258986408.7613165</v>
      </c>
      <c r="AB4" s="173">
        <f>'[1]RVO Forecast'!AA$2+100000000</f>
        <v>1053550782.0520486</v>
      </c>
      <c r="AC4" s="173">
        <f>'[1]RVO Forecast'!AB$2+120000000</f>
        <v>852248304.87814152</v>
      </c>
      <c r="AD4" s="173">
        <f>'[1]RVO Forecast'!AC$2+120000000</f>
        <v>834935067.03321898</v>
      </c>
      <c r="AE4" s="173">
        <f>'[1]RVO Forecast'!AD$2+120000000</f>
        <v>691534291.17993772</v>
      </c>
      <c r="AF4" s="173">
        <f>'[1]RVO Forecast'!AE$2+120000000</f>
        <v>411059083.20517874</v>
      </c>
      <c r="AG4" s="173">
        <f>'[1]RVO Forecast'!AF$2+120000000</f>
        <v>456231552.15335274</v>
      </c>
      <c r="AH4" s="173">
        <f>'[1]RVO Forecast'!AG$2+120000000</f>
        <v>448635004.69407254</v>
      </c>
      <c r="AI4" s="173">
        <f>'[1]RVO Forecast'!AH$2+120000000</f>
        <v>369022082.55199236</v>
      </c>
      <c r="AJ4" s="173">
        <f>'[1]RVO Forecast'!AI$2+120000000</f>
        <v>372888665.5371173</v>
      </c>
      <c r="AK4" s="173">
        <f>'[1]RVO Forecast'!AJ$2+120000000</f>
        <v>374344713.67332029</v>
      </c>
      <c r="AL4" s="173">
        <f>'[1]RVO Forecast'!AK$2+120000000</f>
        <v>373167204.47525615</v>
      </c>
      <c r="AM4" s="173">
        <f>'[1]RVO Forecast'!AL$2+120000000</f>
        <v>373395520.93563485</v>
      </c>
      <c r="AN4" s="173">
        <f>'[1]RVO Forecast'!AM$2+120000000</f>
        <v>379530877.06040347</v>
      </c>
      <c r="AO4" s="173">
        <f>'[1]RVO Forecast'!AN$2+120000000</f>
        <v>385995056.19845152</v>
      </c>
      <c r="AP4" s="173">
        <f>'[1]RVO Forecast'!AO$2+120000000</f>
        <v>394494911.41562796</v>
      </c>
      <c r="AQ4" s="173">
        <f>'[1]RVO Forecast'!AP$2+120000000</f>
        <v>413327021.0954172</v>
      </c>
      <c r="AR4" s="173"/>
      <c r="AS4" s="176">
        <f t="shared" si="2"/>
        <v>0.32709903387574041</v>
      </c>
      <c r="AT4" s="176">
        <f t="shared" si="3"/>
        <v>0.41885330367647639</v>
      </c>
      <c r="AU4" s="102"/>
      <c r="AV4" s="102"/>
      <c r="AW4" s="102"/>
      <c r="AX4" s="3"/>
      <c r="AZ4" s="102">
        <v>1713705805</v>
      </c>
      <c r="BA4" s="3">
        <f t="shared" si="4"/>
        <v>56594</v>
      </c>
      <c r="BB4" s="102">
        <v>1815449146</v>
      </c>
      <c r="BC4" s="3">
        <f t="shared" si="5"/>
        <v>9424492</v>
      </c>
      <c r="BD4" s="102">
        <v>1717327970</v>
      </c>
      <c r="BE4" s="177">
        <f t="shared" si="6"/>
        <v>-12700636</v>
      </c>
      <c r="BF4" s="102">
        <v>1613158283.4088387</v>
      </c>
      <c r="BG4" s="177">
        <f t="shared" si="7"/>
        <v>7050779.5911612511</v>
      </c>
      <c r="BH4" s="173">
        <v>1689975994.3972104</v>
      </c>
      <c r="BI4" s="177">
        <f t="shared" si="8"/>
        <v>-20727117.39721036</v>
      </c>
      <c r="BJ4" s="173">
        <v>1587624608.551203</v>
      </c>
      <c r="BK4" s="177">
        <f t="shared" si="9"/>
        <v>73141883.448796988</v>
      </c>
      <c r="BL4" s="173">
        <v>1029128073.0664111</v>
      </c>
      <c r="BM4" s="177">
        <f t="shared" si="10"/>
        <v>551787968.00000012</v>
      </c>
    </row>
    <row r="5" spans="1:74">
      <c r="A5" s="2" t="s">
        <v>282</v>
      </c>
      <c r="B5" s="3">
        <f>B97</f>
        <v>0</v>
      </c>
      <c r="C5" s="3">
        <f t="shared" ref="C5:AQ5" si="12">C97</f>
        <v>0</v>
      </c>
      <c r="D5" s="3">
        <f t="shared" si="12"/>
        <v>6781908</v>
      </c>
      <c r="E5" s="3">
        <f t="shared" si="12"/>
        <v>2790763</v>
      </c>
      <c r="F5" s="3">
        <f t="shared" si="12"/>
        <v>0</v>
      </c>
      <c r="G5" s="3">
        <f t="shared" si="12"/>
        <v>0</v>
      </c>
      <c r="H5" s="3">
        <f t="shared" si="12"/>
        <v>0</v>
      </c>
      <c r="I5" s="3">
        <f t="shared" si="12"/>
        <v>0</v>
      </c>
      <c r="J5" s="3">
        <f t="shared" si="12"/>
        <v>0</v>
      </c>
      <c r="K5" s="3">
        <f t="shared" si="12"/>
        <v>0</v>
      </c>
      <c r="L5" s="3">
        <f t="shared" si="12"/>
        <v>0</v>
      </c>
      <c r="M5" s="3">
        <f t="shared" si="12"/>
        <v>0</v>
      </c>
      <c r="N5" s="3">
        <f t="shared" si="12"/>
        <v>0</v>
      </c>
      <c r="O5" s="3">
        <f t="shared" si="12"/>
        <v>0</v>
      </c>
      <c r="P5" s="3">
        <f t="shared" si="12"/>
        <v>0</v>
      </c>
      <c r="Q5" s="102">
        <f t="shared" si="12"/>
        <v>0</v>
      </c>
      <c r="R5" s="102">
        <f t="shared" si="12"/>
        <v>0</v>
      </c>
      <c r="S5" s="102">
        <f t="shared" si="12"/>
        <v>0</v>
      </c>
      <c r="T5" s="102">
        <f t="shared" si="12"/>
        <v>0</v>
      </c>
      <c r="U5" s="102">
        <f t="shared" si="12"/>
        <v>0</v>
      </c>
      <c r="V5" s="102">
        <f t="shared" si="12"/>
        <v>0</v>
      </c>
      <c r="W5" s="102">
        <f t="shared" si="12"/>
        <v>0</v>
      </c>
      <c r="X5" s="102">
        <f t="shared" si="12"/>
        <v>0</v>
      </c>
      <c r="Y5" s="102">
        <f t="shared" si="12"/>
        <v>0</v>
      </c>
      <c r="Z5" s="102">
        <f t="shared" si="12"/>
        <v>0</v>
      </c>
      <c r="AA5" s="102">
        <f t="shared" si="12"/>
        <v>0</v>
      </c>
      <c r="AB5" s="102">
        <f t="shared" si="12"/>
        <v>0</v>
      </c>
      <c r="AC5" s="102">
        <f t="shared" si="12"/>
        <v>0</v>
      </c>
      <c r="AD5" s="102">
        <f t="shared" si="12"/>
        <v>0</v>
      </c>
      <c r="AE5" s="102">
        <f t="shared" si="12"/>
        <v>0</v>
      </c>
      <c r="AF5" s="102">
        <f t="shared" si="12"/>
        <v>0</v>
      </c>
      <c r="AG5" s="102">
        <f t="shared" si="12"/>
        <v>0</v>
      </c>
      <c r="AH5" s="102">
        <f t="shared" si="12"/>
        <v>0</v>
      </c>
      <c r="AI5" s="102">
        <f t="shared" si="12"/>
        <v>0</v>
      </c>
      <c r="AJ5" s="102">
        <f t="shared" si="12"/>
        <v>0</v>
      </c>
      <c r="AK5" s="102">
        <f t="shared" si="12"/>
        <v>0</v>
      </c>
      <c r="AL5" s="102">
        <f t="shared" si="12"/>
        <v>0</v>
      </c>
      <c r="AM5" s="102">
        <f t="shared" si="12"/>
        <v>0</v>
      </c>
      <c r="AN5" s="102">
        <f t="shared" si="12"/>
        <v>0</v>
      </c>
      <c r="AO5" s="102">
        <f t="shared" si="12"/>
        <v>0</v>
      </c>
      <c r="AP5" s="102">
        <f t="shared" si="12"/>
        <v>0</v>
      </c>
      <c r="AQ5" s="102">
        <f t="shared" si="12"/>
        <v>12</v>
      </c>
      <c r="AR5" s="102"/>
      <c r="AS5" s="176">
        <f t="shared" si="2"/>
        <v>0</v>
      </c>
      <c r="AT5" s="176">
        <f t="shared" si="3"/>
        <v>0</v>
      </c>
      <c r="AU5" s="102"/>
      <c r="AV5" s="102"/>
      <c r="AW5" s="102"/>
      <c r="AX5" s="3"/>
      <c r="AZ5" s="102">
        <v>0</v>
      </c>
      <c r="BA5" s="3">
        <f t="shared" si="4"/>
        <v>0</v>
      </c>
      <c r="BB5" s="102">
        <v>0</v>
      </c>
      <c r="BC5" s="3">
        <f t="shared" si="5"/>
        <v>0</v>
      </c>
      <c r="BD5" s="102">
        <v>0</v>
      </c>
      <c r="BE5" s="177">
        <f t="shared" si="6"/>
        <v>0</v>
      </c>
      <c r="BF5" s="102">
        <v>0</v>
      </c>
      <c r="BG5" s="177">
        <f t="shared" si="7"/>
        <v>0</v>
      </c>
      <c r="BH5" s="102">
        <v>0</v>
      </c>
      <c r="BI5" s="177">
        <f t="shared" si="8"/>
        <v>0</v>
      </c>
      <c r="BJ5" s="102">
        <v>0</v>
      </c>
      <c r="BK5" s="177">
        <f t="shared" si="9"/>
        <v>0</v>
      </c>
      <c r="BL5" s="102">
        <v>0</v>
      </c>
      <c r="BM5" s="177">
        <f t="shared" si="10"/>
        <v>0</v>
      </c>
    </row>
    <row r="6" spans="1:74" ht="13.5" thickBot="1">
      <c r="A6" s="2" t="s">
        <v>225</v>
      </c>
      <c r="B6" s="3">
        <f>B113</f>
        <v>12487506</v>
      </c>
      <c r="C6" s="3">
        <f t="shared" ref="C6:P6" si="13">C113</f>
        <v>44459572</v>
      </c>
      <c r="D6" s="3">
        <f t="shared" si="13"/>
        <v>33446862</v>
      </c>
      <c r="E6" s="3">
        <f t="shared" si="13"/>
        <v>153024954</v>
      </c>
      <c r="F6" s="3">
        <f t="shared" si="13"/>
        <v>129629026</v>
      </c>
      <c r="G6" s="3">
        <f t="shared" si="13"/>
        <v>261256195</v>
      </c>
      <c r="H6" s="3">
        <f t="shared" si="13"/>
        <v>561640318</v>
      </c>
      <c r="I6" s="3">
        <f t="shared" si="13"/>
        <v>461914644</v>
      </c>
      <c r="J6" s="3">
        <f t="shared" si="13"/>
        <v>175141321</v>
      </c>
      <c r="K6" s="3">
        <f t="shared" si="13"/>
        <v>184741553</v>
      </c>
      <c r="L6" s="3">
        <f t="shared" si="13"/>
        <v>209493674</v>
      </c>
      <c r="M6" s="3">
        <f t="shared" si="13"/>
        <v>208450727</v>
      </c>
      <c r="N6" s="3">
        <f t="shared" si="13"/>
        <v>240324591</v>
      </c>
      <c r="O6" s="3">
        <f t="shared" si="13"/>
        <v>504934303</v>
      </c>
      <c r="P6" s="3">
        <f t="shared" si="13"/>
        <v>398051318</v>
      </c>
      <c r="Q6" s="178">
        <f>'[2]10 Year RFS Curves (2020)'!J$32*1000000000-'D6 Gallon Forecast'!Q5</f>
        <v>340000000</v>
      </c>
      <c r="R6" s="178">
        <f>'[2]10 Year RFS Curves (2020)'!K$32*1000000000-'D6 Gallon Forecast'!R5</f>
        <v>190000000</v>
      </c>
      <c r="S6" s="178">
        <f>'[2]10 Year RFS Curves (2020)'!L$32*1000000000-'D6 Gallon Forecast'!S5</f>
        <v>200000000</v>
      </c>
      <c r="T6" s="178">
        <f>'[2]10 Year RFS Curves (2020)'!M$32*1000000000-'D6 Gallon Forecast'!T5</f>
        <v>220000000</v>
      </c>
      <c r="U6" s="178">
        <f>'[2]10 Year RFS Curves (2020)'!N$32*1000000000-'D6 Gallon Forecast'!U5</f>
        <v>220000000</v>
      </c>
      <c r="V6" s="178">
        <f>'[2]10 Year RFS Curves (2020)'!O$32*1000000000-'D6 Gallon Forecast'!V5</f>
        <v>230000000</v>
      </c>
      <c r="W6" s="178">
        <f>'[2]10 Year RFS Curves (2020)'!P$32*1000000000-'D6 Gallon Forecast'!W5</f>
        <v>210000000</v>
      </c>
      <c r="X6" s="178">
        <f>'[2]10 Year RFS Curves (2020)'!Q$32*1000000000-'D6 Gallon Forecast'!X5</f>
        <v>190000000</v>
      </c>
      <c r="Y6" s="178">
        <f>'[2]10 Year RFS Curves (2020)'!R$32*1000000000-'D6 Gallon Forecast'!Y5</f>
        <v>180000000</v>
      </c>
      <c r="Z6" s="178">
        <f>'[2]10 Year RFS Curves (2020)'!S$32*1000000000-'D6 Gallon Forecast'!Z5</f>
        <v>175000000</v>
      </c>
      <c r="AA6" s="178">
        <f>'[2]10 Year RFS Curves (2020)'!T$32*1000000000-'D6 Gallon Forecast'!AA5</f>
        <v>160000000</v>
      </c>
      <c r="AB6" s="178">
        <f>'[2]10 Year RFS Curves (2020)'!U$32*1000000000-'D6 Gallon Forecast'!AB5</f>
        <v>130000000</v>
      </c>
      <c r="AC6" s="178">
        <f>'[2]10 Year RFS Curves (2020)'!V$32*1000000000-'D6 Gallon Forecast'!AC5</f>
        <v>110000000</v>
      </c>
      <c r="AD6" s="178">
        <f>'[2]10 Year RFS Curves (2020)'!W$32*1000000000-'D6 Gallon Forecast'!AD5</f>
        <v>90000000</v>
      </c>
      <c r="AE6" s="178">
        <f>'[2]10 Year RFS Curves (2020)'!X$32*1000000000-'D6 Gallon Forecast'!AE5</f>
        <v>75000000</v>
      </c>
      <c r="AF6" s="178">
        <f>'[2]10 Year RFS Curves (2020)'!Y$32*1000000000-'D6 Gallon Forecast'!AF5</f>
        <v>75000000</v>
      </c>
      <c r="AG6" s="178">
        <f>'[2]10 Year RFS Curves (2020)'!Z$32*1000000000-'D6 Gallon Forecast'!AG5</f>
        <v>75000000</v>
      </c>
      <c r="AH6" s="178">
        <f>'[2]10 Year RFS Curves (2020)'!AA$32*1000000000-'D6 Gallon Forecast'!AH5</f>
        <v>75000000</v>
      </c>
      <c r="AI6" s="178">
        <f>'[2]10 Year RFS Curves (2020)'!AB$32*1000000000-'D6 Gallon Forecast'!AI5</f>
        <v>75000000</v>
      </c>
      <c r="AJ6" s="178">
        <f>'[2]10 Year RFS Curves (2020)'!AC$32*1000000000-'D6 Gallon Forecast'!AJ5</f>
        <v>75000000</v>
      </c>
      <c r="AK6" s="178">
        <f>'[2]10 Year RFS Curves (2020)'!AD$32*1000000000-'D6 Gallon Forecast'!AK5</f>
        <v>75000000</v>
      </c>
      <c r="AL6" s="178">
        <f>'[2]10 Year RFS Curves (2020)'!AE$32*1000000000-'D6 Gallon Forecast'!AL5</f>
        <v>75000000</v>
      </c>
      <c r="AM6" s="178">
        <f>'[2]10 Year RFS Curves (2020)'!AF$32*1000000000-'D6 Gallon Forecast'!AM5</f>
        <v>75000000</v>
      </c>
      <c r="AN6" s="178">
        <f>'[2]10 Year RFS Curves (2020)'!AG$32*1000000000-'D6 Gallon Forecast'!AN5</f>
        <v>75000000</v>
      </c>
      <c r="AO6" s="178">
        <f>'[2]10 Year RFS Curves (2020)'!AH$32*1000000000-'D6 Gallon Forecast'!AO5</f>
        <v>75000000</v>
      </c>
      <c r="AP6" s="178">
        <f>'[2]10 Year RFS Curves (2020)'!AI$32*1000000000-'D6 Gallon Forecast'!AP5</f>
        <v>75000000</v>
      </c>
      <c r="AQ6" s="178">
        <f>'[2]10 Year RFS Curves (2020)'!AJ$32*1000000000-'D6 Gallon Forecast'!AQ5</f>
        <v>75000000</v>
      </c>
      <c r="AR6" s="173"/>
      <c r="AS6" s="176">
        <f t="shared" si="2"/>
        <v>7.0347614059714542E-2</v>
      </c>
      <c r="AT6" s="176">
        <f t="shared" si="3"/>
        <v>7.7117668483311738E-2</v>
      </c>
      <c r="AU6" s="102"/>
      <c r="AV6" s="102"/>
      <c r="AW6" s="102"/>
      <c r="AX6" s="3"/>
      <c r="AZ6" s="102">
        <v>184741553</v>
      </c>
      <c r="BA6" s="3">
        <f t="shared" si="4"/>
        <v>0</v>
      </c>
      <c r="BB6" s="102">
        <v>209000000</v>
      </c>
      <c r="BC6" s="3">
        <f t="shared" si="5"/>
        <v>493674</v>
      </c>
      <c r="BD6" s="102">
        <v>165141321</v>
      </c>
      <c r="BE6" s="177">
        <f t="shared" si="6"/>
        <v>43309406</v>
      </c>
      <c r="BF6" s="102">
        <v>225000000</v>
      </c>
      <c r="BG6" s="177">
        <f t="shared" si="7"/>
        <v>15324591</v>
      </c>
      <c r="BH6" s="173">
        <v>505000000</v>
      </c>
      <c r="BI6" s="177">
        <f t="shared" si="8"/>
        <v>-65697</v>
      </c>
      <c r="BJ6" s="173">
        <v>385000000</v>
      </c>
      <c r="BK6" s="177">
        <f t="shared" si="9"/>
        <v>13051318</v>
      </c>
      <c r="BL6" s="173">
        <v>84999999.999999985</v>
      </c>
      <c r="BM6" s="177">
        <f t="shared" si="10"/>
        <v>255000000</v>
      </c>
    </row>
    <row r="7" spans="1:74">
      <c r="A7" s="97" t="s">
        <v>283</v>
      </c>
      <c r="B7" s="98">
        <f>B8+B12+B16</f>
        <v>959557</v>
      </c>
      <c r="C7" s="98">
        <f t="shared" ref="C7:P7" si="14">C8+C12+C16</f>
        <v>45321674</v>
      </c>
      <c r="D7" s="98">
        <f t="shared" si="14"/>
        <v>90468406</v>
      </c>
      <c r="E7" s="98">
        <f t="shared" si="14"/>
        <v>259902790</v>
      </c>
      <c r="F7" s="98">
        <f t="shared" si="14"/>
        <v>327895752</v>
      </c>
      <c r="G7" s="98">
        <f t="shared" si="14"/>
        <v>307633384</v>
      </c>
      <c r="H7" s="98">
        <f t="shared" si="14"/>
        <v>420850390</v>
      </c>
      <c r="I7" s="98">
        <f t="shared" si="14"/>
        <v>453469386</v>
      </c>
      <c r="J7" s="98">
        <f t="shared" si="14"/>
        <v>485214370</v>
      </c>
      <c r="K7" s="98">
        <f t="shared" si="14"/>
        <v>761863026</v>
      </c>
      <c r="L7" s="98">
        <f t="shared" si="14"/>
        <v>842122643</v>
      </c>
      <c r="M7" s="98">
        <f t="shared" si="14"/>
        <v>1174779147</v>
      </c>
      <c r="N7" s="98">
        <f t="shared" si="14"/>
        <v>1750829725</v>
      </c>
      <c r="O7" s="98">
        <f t="shared" si="14"/>
        <v>2776343198</v>
      </c>
      <c r="P7" s="98">
        <f t="shared" si="14"/>
        <v>3496640697</v>
      </c>
      <c r="Q7" s="179">
        <f>SUM(Q8,Q12,Q16)</f>
        <v>2712680993.8475428</v>
      </c>
      <c r="R7" s="179">
        <f t="shared" ref="R7:AQ7" si="15">SUM(R8,R12,R16)</f>
        <v>2888149055.3058534</v>
      </c>
      <c r="S7" s="179">
        <f t="shared" si="15"/>
        <v>3128736482.6819401</v>
      </c>
      <c r="T7" s="179">
        <f t="shared" si="15"/>
        <v>3160635020.7373223</v>
      </c>
      <c r="U7" s="179">
        <f t="shared" si="15"/>
        <v>3156862146.263401</v>
      </c>
      <c r="V7" s="179">
        <f t="shared" si="15"/>
        <v>3274460009.7767019</v>
      </c>
      <c r="W7" s="179">
        <f t="shared" si="15"/>
        <v>3538817651.6728544</v>
      </c>
      <c r="X7" s="179">
        <f t="shared" si="15"/>
        <v>4146508666.7119684</v>
      </c>
      <c r="Y7" s="179">
        <f t="shared" si="15"/>
        <v>4114346991.6447406</v>
      </c>
      <c r="Z7" s="179">
        <f t="shared" si="15"/>
        <v>3986685669.4408054</v>
      </c>
      <c r="AA7" s="179">
        <f t="shared" si="15"/>
        <v>4214571059.5529933</v>
      </c>
      <c r="AB7" s="179">
        <f t="shared" si="15"/>
        <v>4467762123.0642891</v>
      </c>
      <c r="AC7" s="179">
        <f t="shared" si="15"/>
        <v>5062061537.5012598</v>
      </c>
      <c r="AD7" s="179">
        <f t="shared" si="15"/>
        <v>5579742624.1202278</v>
      </c>
      <c r="AE7" s="179">
        <f t="shared" si="15"/>
        <v>5583315612.2848415</v>
      </c>
      <c r="AF7" s="179">
        <f t="shared" si="15"/>
        <v>4892431912.2342663</v>
      </c>
      <c r="AG7" s="179">
        <f t="shared" si="15"/>
        <v>5182816820.8407784</v>
      </c>
      <c r="AH7" s="179">
        <f t="shared" si="15"/>
        <v>5477150205.1435556</v>
      </c>
      <c r="AI7" s="179">
        <f t="shared" si="15"/>
        <v>5949492046.0133333</v>
      </c>
      <c r="AJ7" s="179">
        <f t="shared" si="15"/>
        <v>6066145541.820962</v>
      </c>
      <c r="AK7" s="179">
        <f t="shared" si="15"/>
        <v>6031082835.8063545</v>
      </c>
      <c r="AL7" s="179">
        <f t="shared" si="15"/>
        <v>5740382361.8220596</v>
      </c>
      <c r="AM7" s="179">
        <f t="shared" si="15"/>
        <v>5986510815.7097769</v>
      </c>
      <c r="AN7" s="179">
        <f t="shared" si="15"/>
        <v>6199358981.9218235</v>
      </c>
      <c r="AO7" s="179">
        <f t="shared" si="15"/>
        <v>6422017942.64116</v>
      </c>
      <c r="AP7" s="179">
        <f t="shared" si="15"/>
        <v>6705440685.1448565</v>
      </c>
      <c r="AQ7" s="179">
        <f t="shared" si="15"/>
        <v>7213362892.8643265</v>
      </c>
      <c r="AR7" s="102"/>
      <c r="AS7" s="176">
        <f t="shared" si="2"/>
        <v>0.56126657535973479</v>
      </c>
      <c r="AT7" s="176">
        <f t="shared" si="3"/>
        <v>0.49595790198229467</v>
      </c>
      <c r="AU7" s="102"/>
      <c r="AV7" s="102"/>
      <c r="AW7" s="102"/>
      <c r="AX7" s="3"/>
      <c r="AZ7" s="102">
        <v>761665041</v>
      </c>
      <c r="BA7" s="3">
        <f t="shared" si="4"/>
        <v>197985</v>
      </c>
      <c r="BB7" s="102">
        <v>848383037</v>
      </c>
      <c r="BC7" s="3">
        <f t="shared" si="5"/>
        <v>-6260394</v>
      </c>
      <c r="BD7" s="179">
        <v>1117844585.9704461</v>
      </c>
      <c r="BE7" s="177">
        <f t="shared" si="6"/>
        <v>56934561.02955389</v>
      </c>
      <c r="BF7" s="179">
        <v>1702937765.2953086</v>
      </c>
      <c r="BG7" s="177">
        <f t="shared" si="7"/>
        <v>47891959.70469141</v>
      </c>
      <c r="BH7" s="179">
        <v>2728982305.482142</v>
      </c>
      <c r="BI7" s="177">
        <f t="shared" si="8"/>
        <v>47360892.517858028</v>
      </c>
      <c r="BJ7" s="179">
        <v>3416747913.2980018</v>
      </c>
      <c r="BK7" s="177">
        <f t="shared" si="9"/>
        <v>79892783.701998234</v>
      </c>
      <c r="BL7" s="179">
        <v>2338519696.6989121</v>
      </c>
      <c r="BM7" s="177">
        <f t="shared" si="10"/>
        <v>374161297.14863062</v>
      </c>
    </row>
    <row r="8" spans="1:74">
      <c r="A8" s="2" t="s">
        <v>224</v>
      </c>
      <c r="B8" s="3">
        <f>SUM(B9:B11)</f>
        <v>959557</v>
      </c>
      <c r="C8" s="3">
        <f t="shared" ref="C8:P8" si="16">SUM(C9:C11)</f>
        <v>45321674</v>
      </c>
      <c r="D8" s="3">
        <f t="shared" si="16"/>
        <v>40195484</v>
      </c>
      <c r="E8" s="3">
        <f t="shared" si="16"/>
        <v>72007416</v>
      </c>
      <c r="F8" s="3">
        <f t="shared" si="16"/>
        <v>150536188</v>
      </c>
      <c r="G8" s="3">
        <f t="shared" si="16"/>
        <v>171867841</v>
      </c>
      <c r="H8" s="3">
        <f t="shared" si="16"/>
        <v>236821419</v>
      </c>
      <c r="I8" s="3">
        <f t="shared" si="16"/>
        <v>253194888</v>
      </c>
      <c r="J8" s="3">
        <f t="shared" si="16"/>
        <v>281876562</v>
      </c>
      <c r="K8" s="3">
        <f t="shared" si="16"/>
        <v>457843380</v>
      </c>
      <c r="L8" s="3">
        <f t="shared" si="16"/>
        <v>482911676</v>
      </c>
      <c r="M8" s="3">
        <f t="shared" si="16"/>
        <v>782990100</v>
      </c>
      <c r="N8" s="3">
        <f t="shared" si="16"/>
        <v>1379369642</v>
      </c>
      <c r="O8" s="3">
        <f t="shared" si="16"/>
        <v>2355081277</v>
      </c>
      <c r="P8" s="3">
        <f t="shared" si="16"/>
        <v>3070181870</v>
      </c>
      <c r="Q8" s="102">
        <f>SUM(Q9:Q11)</f>
        <v>2489424885.5975428</v>
      </c>
      <c r="R8" s="102">
        <f t="shared" ref="R8:AQ8" si="17">SUM(R9:R11)</f>
        <v>2614396737.1808534</v>
      </c>
      <c r="S8" s="102">
        <f t="shared" si="17"/>
        <v>2876042035.1819401</v>
      </c>
      <c r="T8" s="102">
        <f t="shared" si="17"/>
        <v>2928998443.8623223</v>
      </c>
      <c r="U8" s="102">
        <f t="shared" si="17"/>
        <v>2946283440.013401</v>
      </c>
      <c r="V8" s="102">
        <f t="shared" si="17"/>
        <v>3084939174.1517019</v>
      </c>
      <c r="W8" s="102">
        <f t="shared" si="17"/>
        <v>3349296816.0478544</v>
      </c>
      <c r="X8" s="102">
        <f t="shared" si="17"/>
        <v>3978045701.7119684</v>
      </c>
      <c r="Y8" s="102">
        <f t="shared" si="17"/>
        <v>3954307174.8947406</v>
      </c>
      <c r="Z8" s="102">
        <f t="shared" si="17"/>
        <v>3835069000.9408054</v>
      </c>
      <c r="AA8" s="102">
        <f t="shared" si="17"/>
        <v>4062954391.0529933</v>
      </c>
      <c r="AB8" s="102">
        <f t="shared" si="17"/>
        <v>4404588511.1892891</v>
      </c>
      <c r="AC8" s="102">
        <f t="shared" si="17"/>
        <v>5019945796.2512598</v>
      </c>
      <c r="AD8" s="102">
        <f t="shared" si="17"/>
        <v>5537626882.8702278</v>
      </c>
      <c r="AE8" s="102">
        <f t="shared" si="17"/>
        <v>5541199871.0348415</v>
      </c>
      <c r="AF8" s="102">
        <f t="shared" si="17"/>
        <v>4850316170.9842663</v>
      </c>
      <c r="AG8" s="102">
        <f t="shared" si="17"/>
        <v>5140701079.5907784</v>
      </c>
      <c r="AH8" s="102">
        <f t="shared" si="17"/>
        <v>5435034463.8935556</v>
      </c>
      <c r="AI8" s="102">
        <f t="shared" si="17"/>
        <v>5907376304.7633333</v>
      </c>
      <c r="AJ8" s="102">
        <f t="shared" si="17"/>
        <v>6024029800.570962</v>
      </c>
      <c r="AK8" s="102">
        <f t="shared" si="17"/>
        <v>5988967094.5563545</v>
      </c>
      <c r="AL8" s="102">
        <f t="shared" si="17"/>
        <v>5698266620.5720596</v>
      </c>
      <c r="AM8" s="102">
        <f t="shared" si="17"/>
        <v>5944395074.4597769</v>
      </c>
      <c r="AN8" s="102">
        <f t="shared" si="17"/>
        <v>6157243240.6718235</v>
      </c>
      <c r="AO8" s="102">
        <f t="shared" si="17"/>
        <v>6379902201.39116</v>
      </c>
      <c r="AP8" s="102">
        <f t="shared" si="17"/>
        <v>6663324943.8948565</v>
      </c>
      <c r="AQ8" s="102">
        <f t="shared" si="17"/>
        <v>7171247115.6143265</v>
      </c>
      <c r="AR8" s="102"/>
      <c r="AS8" s="176">
        <f t="shared" si="2"/>
        <v>0.51507382671372048</v>
      </c>
      <c r="AT8" s="176">
        <f t="shared" si="3"/>
        <v>0.39864145404883966</v>
      </c>
      <c r="AU8" s="102"/>
      <c r="AV8" s="102"/>
      <c r="AW8" s="102"/>
      <c r="AX8" s="3"/>
      <c r="AZ8" s="102">
        <v>457645395</v>
      </c>
      <c r="BA8" s="3">
        <f t="shared" si="4"/>
        <v>197985</v>
      </c>
      <c r="BB8" s="102">
        <v>479711079</v>
      </c>
      <c r="BC8" s="3">
        <f t="shared" si="5"/>
        <v>3200597</v>
      </c>
      <c r="BD8" s="102">
        <v>734662050.97044599</v>
      </c>
      <c r="BE8" s="177">
        <f t="shared" si="6"/>
        <v>48328049.029554009</v>
      </c>
      <c r="BF8" s="102">
        <v>1313541868.2255497</v>
      </c>
      <c r="BG8" s="177">
        <f t="shared" si="7"/>
        <v>65827773.774450302</v>
      </c>
      <c r="BH8" s="102">
        <v>2327644304.7506852</v>
      </c>
      <c r="BI8" s="177">
        <f t="shared" si="8"/>
        <v>27436972.249314785</v>
      </c>
      <c r="BJ8" s="102">
        <v>3012882531.6730018</v>
      </c>
      <c r="BK8" s="177">
        <f t="shared" si="9"/>
        <v>57299338.326998234</v>
      </c>
      <c r="BL8" s="102">
        <v>2296403955.4489121</v>
      </c>
      <c r="BM8" s="177">
        <f t="shared" si="10"/>
        <v>193020930.14863062</v>
      </c>
    </row>
    <row r="9" spans="1:74">
      <c r="A9" s="2" t="s">
        <v>284</v>
      </c>
      <c r="B9" s="3">
        <f>B161</f>
        <v>0</v>
      </c>
      <c r="C9" s="3">
        <f t="shared" ref="C9:AQ9" si="18">C161</f>
        <v>140177</v>
      </c>
      <c r="D9" s="3">
        <f t="shared" si="18"/>
        <v>959282</v>
      </c>
      <c r="E9" s="3">
        <f t="shared" si="18"/>
        <v>502934</v>
      </c>
      <c r="F9" s="3">
        <f t="shared" si="18"/>
        <v>205293</v>
      </c>
      <c r="G9" s="3">
        <f t="shared" si="18"/>
        <v>0</v>
      </c>
      <c r="H9" s="3">
        <f t="shared" si="18"/>
        <v>0</v>
      </c>
      <c r="I9" s="3">
        <f t="shared" si="18"/>
        <v>0</v>
      </c>
      <c r="J9" s="3">
        <f t="shared" si="18"/>
        <v>0</v>
      </c>
      <c r="K9" s="3">
        <f t="shared" si="18"/>
        <v>0</v>
      </c>
      <c r="L9" s="3">
        <f t="shared" si="18"/>
        <v>0</v>
      </c>
      <c r="M9" s="3">
        <f t="shared" si="18"/>
        <v>0</v>
      </c>
      <c r="N9" s="3">
        <f t="shared" si="18"/>
        <v>0</v>
      </c>
      <c r="O9" s="3">
        <f t="shared" si="18"/>
        <v>0</v>
      </c>
      <c r="P9" s="3">
        <f t="shared" si="18"/>
        <v>0</v>
      </c>
      <c r="Q9" s="102">
        <f t="shared" si="18"/>
        <v>0</v>
      </c>
      <c r="R9" s="102">
        <f t="shared" si="18"/>
        <v>0</v>
      </c>
      <c r="S9" s="102">
        <f t="shared" si="18"/>
        <v>0</v>
      </c>
      <c r="T9" s="102">
        <f t="shared" si="18"/>
        <v>0</v>
      </c>
      <c r="U9" s="102">
        <f t="shared" si="18"/>
        <v>0</v>
      </c>
      <c r="V9" s="102">
        <f t="shared" si="18"/>
        <v>0</v>
      </c>
      <c r="W9" s="102">
        <f t="shared" si="18"/>
        <v>0</v>
      </c>
      <c r="X9" s="102">
        <f t="shared" si="18"/>
        <v>0</v>
      </c>
      <c r="Y9" s="102">
        <f t="shared" si="18"/>
        <v>0</v>
      </c>
      <c r="Z9" s="102">
        <f t="shared" si="18"/>
        <v>0</v>
      </c>
      <c r="AA9" s="102">
        <f t="shared" si="18"/>
        <v>0</v>
      </c>
      <c r="AB9" s="102">
        <f t="shared" si="18"/>
        <v>0</v>
      </c>
      <c r="AC9" s="102">
        <f t="shared" si="18"/>
        <v>0</v>
      </c>
      <c r="AD9" s="102">
        <f t="shared" si="18"/>
        <v>0</v>
      </c>
      <c r="AE9" s="102">
        <f t="shared" si="18"/>
        <v>0</v>
      </c>
      <c r="AF9" s="102">
        <f t="shared" si="18"/>
        <v>0</v>
      </c>
      <c r="AG9" s="102">
        <f t="shared" si="18"/>
        <v>0</v>
      </c>
      <c r="AH9" s="102">
        <f t="shared" si="18"/>
        <v>0</v>
      </c>
      <c r="AI9" s="102">
        <f t="shared" si="18"/>
        <v>0</v>
      </c>
      <c r="AJ9" s="102">
        <f t="shared" si="18"/>
        <v>0</v>
      </c>
      <c r="AK9" s="102">
        <f t="shared" si="18"/>
        <v>0</v>
      </c>
      <c r="AL9" s="102">
        <f t="shared" si="18"/>
        <v>0</v>
      </c>
      <c r="AM9" s="102">
        <f t="shared" si="18"/>
        <v>0</v>
      </c>
      <c r="AN9" s="102">
        <f t="shared" si="18"/>
        <v>0</v>
      </c>
      <c r="AO9" s="102">
        <f t="shared" si="18"/>
        <v>0</v>
      </c>
      <c r="AP9" s="102">
        <f t="shared" si="18"/>
        <v>0</v>
      </c>
      <c r="AQ9" s="102">
        <f t="shared" si="18"/>
        <v>12</v>
      </c>
      <c r="AR9" s="102"/>
      <c r="AS9" s="176">
        <f t="shared" si="2"/>
        <v>0</v>
      </c>
      <c r="AT9" s="176">
        <f t="shared" si="3"/>
        <v>0</v>
      </c>
      <c r="AU9" s="102"/>
      <c r="AV9" s="102"/>
      <c r="AW9" s="102"/>
      <c r="AX9" s="3"/>
      <c r="AZ9" s="102">
        <v>0</v>
      </c>
      <c r="BA9" s="3">
        <f t="shared" si="4"/>
        <v>0</v>
      </c>
      <c r="BB9" s="102">
        <v>0</v>
      </c>
      <c r="BC9" s="3">
        <f t="shared" si="5"/>
        <v>0</v>
      </c>
      <c r="BD9" s="102">
        <v>0</v>
      </c>
      <c r="BE9" s="177">
        <f t="shared" si="6"/>
        <v>0</v>
      </c>
      <c r="BF9" s="102">
        <v>0</v>
      </c>
      <c r="BG9" s="177">
        <f t="shared" si="7"/>
        <v>0</v>
      </c>
      <c r="BH9" s="102">
        <v>0</v>
      </c>
      <c r="BI9" s="177">
        <f t="shared" si="8"/>
        <v>0</v>
      </c>
      <c r="BJ9" s="102">
        <v>0</v>
      </c>
      <c r="BK9" s="177">
        <f t="shared" si="9"/>
        <v>0</v>
      </c>
      <c r="BL9" s="102">
        <v>0</v>
      </c>
      <c r="BM9" s="177">
        <f t="shared" si="10"/>
        <v>0</v>
      </c>
    </row>
    <row r="10" spans="1:74">
      <c r="A10" s="2" t="s">
        <v>285</v>
      </c>
      <c r="B10" s="3">
        <f>B177</f>
        <v>240476</v>
      </c>
      <c r="C10" s="3">
        <f t="shared" ref="C10:AQ10" si="19">C177</f>
        <v>14892088</v>
      </c>
      <c r="D10" s="3">
        <f t="shared" si="19"/>
        <v>9371937</v>
      </c>
      <c r="E10" s="3">
        <f t="shared" si="19"/>
        <v>28912259</v>
      </c>
      <c r="F10" s="3">
        <f t="shared" si="19"/>
        <v>7456331</v>
      </c>
      <c r="G10" s="3">
        <f t="shared" si="19"/>
        <v>4298593</v>
      </c>
      <c r="H10" s="3">
        <f t="shared" si="19"/>
        <v>0</v>
      </c>
      <c r="I10" s="3">
        <f t="shared" si="19"/>
        <v>0</v>
      </c>
      <c r="J10" s="3">
        <f t="shared" si="19"/>
        <v>0</v>
      </c>
      <c r="K10" s="3">
        <f t="shared" si="19"/>
        <v>0</v>
      </c>
      <c r="L10" s="3">
        <f t="shared" si="19"/>
        <v>1190841</v>
      </c>
      <c r="M10" s="3">
        <f t="shared" si="19"/>
        <v>713112</v>
      </c>
      <c r="N10" s="3">
        <f t="shared" si="19"/>
        <v>39146727</v>
      </c>
      <c r="O10" s="3">
        <f t="shared" si="19"/>
        <v>526588313</v>
      </c>
      <c r="P10" s="3">
        <f t="shared" si="19"/>
        <v>521976706</v>
      </c>
      <c r="Q10" s="180">
        <f t="shared" si="19"/>
        <v>110127790</v>
      </c>
      <c r="R10" s="180">
        <f t="shared" si="19"/>
        <v>0</v>
      </c>
      <c r="S10" s="180">
        <f t="shared" si="19"/>
        <v>0</v>
      </c>
      <c r="T10" s="180">
        <f t="shared" si="19"/>
        <v>0</v>
      </c>
      <c r="U10" s="180">
        <f t="shared" si="19"/>
        <v>0</v>
      </c>
      <c r="V10" s="180">
        <f t="shared" si="19"/>
        <v>0</v>
      </c>
      <c r="W10" s="180">
        <f t="shared" si="19"/>
        <v>0</v>
      </c>
      <c r="X10" s="180">
        <f t="shared" si="19"/>
        <v>0</v>
      </c>
      <c r="Y10" s="180">
        <f t="shared" si="19"/>
        <v>0</v>
      </c>
      <c r="Z10" s="180">
        <f t="shared" si="19"/>
        <v>0</v>
      </c>
      <c r="AA10" s="180">
        <f t="shared" si="19"/>
        <v>0</v>
      </c>
      <c r="AB10" s="180">
        <f t="shared" si="19"/>
        <v>0</v>
      </c>
      <c r="AC10" s="180">
        <f t="shared" si="19"/>
        <v>0</v>
      </c>
      <c r="AD10" s="180">
        <f t="shared" si="19"/>
        <v>0</v>
      </c>
      <c r="AE10" s="180">
        <f t="shared" si="19"/>
        <v>0</v>
      </c>
      <c r="AF10" s="180">
        <f t="shared" si="19"/>
        <v>0</v>
      </c>
      <c r="AG10" s="180">
        <f t="shared" si="19"/>
        <v>0</v>
      </c>
      <c r="AH10" s="180">
        <f t="shared" si="19"/>
        <v>0</v>
      </c>
      <c r="AI10" s="180">
        <f t="shared" si="19"/>
        <v>0</v>
      </c>
      <c r="AJ10" s="180">
        <f t="shared" si="19"/>
        <v>0</v>
      </c>
      <c r="AK10" s="180">
        <f t="shared" si="19"/>
        <v>0</v>
      </c>
      <c r="AL10" s="180">
        <f t="shared" si="19"/>
        <v>0</v>
      </c>
      <c r="AM10" s="180">
        <f t="shared" si="19"/>
        <v>0</v>
      </c>
      <c r="AN10" s="180">
        <f t="shared" si="19"/>
        <v>0</v>
      </c>
      <c r="AO10" s="180">
        <f t="shared" si="19"/>
        <v>0</v>
      </c>
      <c r="AP10" s="180">
        <f t="shared" si="19"/>
        <v>0</v>
      </c>
      <c r="AQ10" s="180">
        <f t="shared" si="19"/>
        <v>0</v>
      </c>
      <c r="AR10" s="180"/>
      <c r="AS10" s="176">
        <f t="shared" si="2"/>
        <v>2.2785962553439093E-2</v>
      </c>
      <c r="AT10" s="176">
        <f t="shared" si="3"/>
        <v>5.3821216315403118E-2</v>
      </c>
      <c r="AU10" s="102"/>
      <c r="AV10" s="102"/>
      <c r="AW10" s="102"/>
      <c r="AX10" s="3"/>
      <c r="AZ10" s="102">
        <v>0</v>
      </c>
      <c r="BA10" s="3">
        <f t="shared" si="4"/>
        <v>0</v>
      </c>
      <c r="BB10" s="102">
        <v>1190841</v>
      </c>
      <c r="BC10" s="3">
        <f t="shared" si="5"/>
        <v>0</v>
      </c>
      <c r="BD10" s="102">
        <v>683659</v>
      </c>
      <c r="BE10" s="177">
        <f t="shared" si="6"/>
        <v>29453</v>
      </c>
      <c r="BF10" s="102">
        <v>2084115</v>
      </c>
      <c r="BG10" s="177">
        <f t="shared" si="7"/>
        <v>37062612</v>
      </c>
      <c r="BH10" s="180">
        <v>526588313</v>
      </c>
      <c r="BI10" s="177">
        <f t="shared" si="8"/>
        <v>0</v>
      </c>
      <c r="BJ10" s="180">
        <v>498319188</v>
      </c>
      <c r="BK10" s="177">
        <f t="shared" si="9"/>
        <v>23657518</v>
      </c>
      <c r="BL10" s="180">
        <v>73631850</v>
      </c>
      <c r="BM10" s="177">
        <f t="shared" si="10"/>
        <v>36495940</v>
      </c>
    </row>
    <row r="11" spans="1:74">
      <c r="A11" s="2" t="s">
        <v>286</v>
      </c>
      <c r="B11" s="3">
        <f>B193</f>
        <v>719081</v>
      </c>
      <c r="C11" s="3">
        <f t="shared" ref="C11:P11" si="20">C193</f>
        <v>30289409</v>
      </c>
      <c r="D11" s="3">
        <f t="shared" si="20"/>
        <v>29864265</v>
      </c>
      <c r="E11" s="3">
        <f t="shared" si="20"/>
        <v>42592223</v>
      </c>
      <c r="F11" s="3">
        <f t="shared" si="20"/>
        <v>142874564</v>
      </c>
      <c r="G11" s="3">
        <f t="shared" si="20"/>
        <v>167569248</v>
      </c>
      <c r="H11" s="3">
        <f t="shared" si="20"/>
        <v>236821419</v>
      </c>
      <c r="I11" s="3">
        <f t="shared" si="20"/>
        <v>253194888</v>
      </c>
      <c r="J11" s="3">
        <f t="shared" si="20"/>
        <v>281876562</v>
      </c>
      <c r="K11" s="3">
        <f t="shared" si="20"/>
        <v>457843380</v>
      </c>
      <c r="L11" s="3">
        <f t="shared" si="20"/>
        <v>481720835</v>
      </c>
      <c r="M11" s="3">
        <f t="shared" si="20"/>
        <v>782276988</v>
      </c>
      <c r="N11" s="3">
        <f t="shared" si="20"/>
        <v>1340222915</v>
      </c>
      <c r="O11" s="3">
        <f t="shared" si="20"/>
        <v>1828492964</v>
      </c>
      <c r="P11" s="3">
        <f t="shared" si="20"/>
        <v>2548205164</v>
      </c>
      <c r="Q11" s="173">
        <f>'[1]RVO Forecast'!P$3*(SUM('D4 Gallon Forecast'!L11:P11)/(SUM(L11:P11)+SUM('D5 Gallon Forecast'!L9:P9)))-285000000</f>
        <v>2379297095.5975428</v>
      </c>
      <c r="R11" s="173">
        <f>'[1]RVO Forecast'!Q$3*(SUM('D4 Gallon Forecast'!M11:Q11)/(SUM(M11:Q11)+SUM('D5 Gallon Forecast'!M9:Q9)))</f>
        <v>2614396737.1808534</v>
      </c>
      <c r="S11" s="173">
        <f>'[1]RVO Forecast'!R$3*(SUM('D4 Gallon Forecast'!N11:R11)/(SUM(N11:R11)+SUM('D5 Gallon Forecast'!N9:R9)))</f>
        <v>2876042035.1819401</v>
      </c>
      <c r="T11" s="173">
        <f>'[1]RVO Forecast'!S$3*(SUM('D4 Gallon Forecast'!O11:S11)/(SUM(O11:S11)+SUM('D5 Gallon Forecast'!O9:S9)))</f>
        <v>2928998443.8623223</v>
      </c>
      <c r="U11" s="173">
        <f>'[1]RVO Forecast'!T$3*(SUM('D4 Gallon Forecast'!P11:T11)/(SUM(P11:T11)+SUM('D5 Gallon Forecast'!P9:T9)))</f>
        <v>2946283440.013401</v>
      </c>
      <c r="V11" s="173">
        <f>'[1]RVO Forecast'!U$3*(SUM('D4 Gallon Forecast'!Q11:U11)/(SUM(Q11:U11)+SUM('D5 Gallon Forecast'!Q9:U9)))</f>
        <v>3084939174.1517019</v>
      </c>
      <c r="W11" s="173">
        <f>'[1]RVO Forecast'!V$3*(SUM('D4 Gallon Forecast'!R11:V11)/(SUM(R11:V11)+SUM('D5 Gallon Forecast'!R9:V9)))</f>
        <v>3349296816.0478544</v>
      </c>
      <c r="X11" s="173">
        <f>'[1]RVO Forecast'!W$3*(SUM('D4 Gallon Forecast'!S11:W11)/(SUM(S11:W11)+SUM('D5 Gallon Forecast'!S9:W9)))</f>
        <v>3978045701.7119684</v>
      </c>
      <c r="Y11" s="173">
        <f>'[1]RVO Forecast'!X$3*(SUM('D4 Gallon Forecast'!T11:X11)/(SUM(T11:X11)+SUM('D5 Gallon Forecast'!T9:X9)))</f>
        <v>3954307174.8947406</v>
      </c>
      <c r="Z11" s="173">
        <f>'[1]RVO Forecast'!Y$3*(SUM('D4 Gallon Forecast'!U11:Y11)/(SUM(U11:Y11)+SUM('D5 Gallon Forecast'!U9:Y9)))</f>
        <v>3835069000.9408054</v>
      </c>
      <c r="AA11" s="173">
        <f>'[1]RVO Forecast'!Z$3*(SUM('D4 Gallon Forecast'!V11:Z11)/(SUM(V11:Z11)+SUM('D5 Gallon Forecast'!V9:Z9)))</f>
        <v>4062954391.0529933</v>
      </c>
      <c r="AB11" s="173">
        <f>'[1]RVO Forecast'!AA$3*(SUM('D4 Gallon Forecast'!W11:AA11)/(SUM(W11:AA11)+SUM('D5 Gallon Forecast'!W9:AA9)))</f>
        <v>4404588511.1892891</v>
      </c>
      <c r="AC11" s="173">
        <f>'[1]RVO Forecast'!AB$3*(SUM('D4 Gallon Forecast'!X11:AB11)/(SUM(X11:AB11)+SUM('D5 Gallon Forecast'!X9:AB9)))</f>
        <v>5019945796.2512598</v>
      </c>
      <c r="AD11" s="173">
        <f>'[1]RVO Forecast'!AC$3*(SUM('D4 Gallon Forecast'!Y11:AC11)/(SUM(Y11:AC11)+SUM('D5 Gallon Forecast'!Y9:AC9)))</f>
        <v>5537626882.8702278</v>
      </c>
      <c r="AE11" s="173">
        <f>'[1]RVO Forecast'!AD$3*(SUM('D4 Gallon Forecast'!Z11:AD11)/(SUM(Z11:AD11)+SUM('D5 Gallon Forecast'!Z9:AD9)))</f>
        <v>5541199871.0348415</v>
      </c>
      <c r="AF11" s="173">
        <f>'[1]RVO Forecast'!AE$3*(SUM('D4 Gallon Forecast'!AA11:AE11)/(SUM(AA11:AE11)+SUM('D5 Gallon Forecast'!AA9:AP9)))</f>
        <v>4850316170.9842663</v>
      </c>
      <c r="AG11" s="173">
        <f>'[1]RVO Forecast'!AF$3*(SUM('D4 Gallon Forecast'!AB11:AF11)/(SUM(AB11:AF11)+SUM('D5 Gallon Forecast'!AB9:AQ9)))</f>
        <v>5140701079.5907784</v>
      </c>
      <c r="AH11" s="173">
        <f>'[1]RVO Forecast'!AG$3*(SUM('D4 Gallon Forecast'!AC11:AG11)/(SUM(AC11:AG11)+SUM('D5 Gallon Forecast'!AC9:AR9)))</f>
        <v>5435034463.8935556</v>
      </c>
      <c r="AI11" s="173">
        <f>'[1]RVO Forecast'!AH$3*(SUM('D4 Gallon Forecast'!AD11:AH11)/(SUM(AD11:AH11)+SUM('D5 Gallon Forecast'!AD9:AS9)))</f>
        <v>5907376304.7633333</v>
      </c>
      <c r="AJ11" s="173">
        <f>'[1]RVO Forecast'!AI$3*(SUM('D4 Gallon Forecast'!AE11:AI11)/(SUM(AE11:AI11)+SUM('D5 Gallon Forecast'!AE9:AT9)))</f>
        <v>6024029800.570962</v>
      </c>
      <c r="AK11" s="173">
        <f>'[1]RVO Forecast'!AJ$3*(SUM('D4 Gallon Forecast'!AF11:AJ11)/(SUM(AF11:AJ11)+SUM('D5 Gallon Forecast'!AF9:AU9)))</f>
        <v>5988967094.5563545</v>
      </c>
      <c r="AL11" s="173">
        <f>'[1]RVO Forecast'!AK$3*(SUM('D4 Gallon Forecast'!AG11:AK11)/(SUM(AG11:AK11)+SUM('D5 Gallon Forecast'!AG9:AV9)))</f>
        <v>5698266620.5720596</v>
      </c>
      <c r="AM11" s="173">
        <f>'[1]RVO Forecast'!AL$3*(SUM('D4 Gallon Forecast'!AH11:AL11)/(SUM(AH11:AL11)+SUM('D5 Gallon Forecast'!AQ9:AW9)))</f>
        <v>5944395074.4597769</v>
      </c>
      <c r="AN11" s="173">
        <f>'[1]RVO Forecast'!AM$3*(SUM('D4 Gallon Forecast'!AI11:AM11)/(SUM(AI11:AM11)+SUM('D5 Gallon Forecast'!AQ9:AX9)))</f>
        <v>6157243240.6718235</v>
      </c>
      <c r="AO11" s="173">
        <f>'[1]RVO Forecast'!AN$3*(SUM('D4 Gallon Forecast'!AJ11:AN11)/(SUM(AJ11:AN11)+SUM('D5 Gallon Forecast'!AR9:AY9)))</f>
        <v>6379902201.39116</v>
      </c>
      <c r="AP11" s="173">
        <f>'[1]RVO Forecast'!AO$3*(SUM('D4 Gallon Forecast'!AK11:AO11)/(SUM(AK11:AO11)+SUM('D5 Gallon Forecast'!AS9:AZ9)))</f>
        <v>6663324943.8948565</v>
      </c>
      <c r="AQ11" s="173">
        <f>'[1]RVO Forecast'!AP$3*(SUM('D4 Gallon Forecast'!AL11:AP11)/(SUM(AL11:AP11)+SUM('D5 Gallon Forecast'!AT9:BA9)))</f>
        <v>7171247103.6143265</v>
      </c>
      <c r="AR11" s="173"/>
      <c r="AS11" s="176">
        <f t="shared" si="2"/>
        <v>0.49228786416028142</v>
      </c>
      <c r="AT11" s="176">
        <f t="shared" si="3"/>
        <v>0.34482023773343656</v>
      </c>
      <c r="AU11" s="102"/>
      <c r="AV11" s="102"/>
      <c r="AW11" s="102"/>
      <c r="AX11" s="3"/>
      <c r="AZ11" s="102">
        <v>457645395</v>
      </c>
      <c r="BA11" s="3">
        <f t="shared" si="4"/>
        <v>197985</v>
      </c>
      <c r="BB11" s="102">
        <v>478520238</v>
      </c>
      <c r="BC11" s="3">
        <f t="shared" si="5"/>
        <v>3200597</v>
      </c>
      <c r="BD11" s="102">
        <v>733978391.97044599</v>
      </c>
      <c r="BE11" s="177">
        <f t="shared" si="6"/>
        <v>48298596.029554009</v>
      </c>
      <c r="BF11" s="102">
        <v>1311457753.2255497</v>
      </c>
      <c r="BG11" s="177">
        <f t="shared" si="7"/>
        <v>28765161.774450302</v>
      </c>
      <c r="BH11" s="173">
        <v>1801055991.7506852</v>
      </c>
      <c r="BI11" s="177">
        <f t="shared" si="8"/>
        <v>27436972.249314785</v>
      </c>
      <c r="BJ11" s="173">
        <v>2514563343.6730018</v>
      </c>
      <c r="BK11" s="177">
        <f t="shared" si="9"/>
        <v>33641820.326998234</v>
      </c>
      <c r="BL11" s="173">
        <v>2222772105.4489121</v>
      </c>
      <c r="BM11" s="177">
        <f t="shared" si="10"/>
        <v>156524990.14863062</v>
      </c>
    </row>
    <row r="12" spans="1:74">
      <c r="A12" s="181" t="s">
        <v>282</v>
      </c>
      <c r="B12" s="182">
        <f>SUM(B13:B15)</f>
        <v>0</v>
      </c>
      <c r="C12" s="182">
        <f t="shared" ref="C12:P12" si="21">SUM(C13:C15)</f>
        <v>0</v>
      </c>
      <c r="D12" s="182">
        <f t="shared" si="21"/>
        <v>50272922</v>
      </c>
      <c r="E12" s="182">
        <f t="shared" si="21"/>
        <v>166292775</v>
      </c>
      <c r="F12" s="182">
        <f t="shared" si="21"/>
        <v>171747164</v>
      </c>
      <c r="G12" s="182">
        <f t="shared" si="21"/>
        <v>135765543</v>
      </c>
      <c r="H12" s="182">
        <f t="shared" si="21"/>
        <v>184028971</v>
      </c>
      <c r="I12" s="182">
        <f t="shared" si="21"/>
        <v>199517243</v>
      </c>
      <c r="J12" s="182">
        <f t="shared" si="21"/>
        <v>203337808</v>
      </c>
      <c r="K12" s="182">
        <f t="shared" si="21"/>
        <v>304019646</v>
      </c>
      <c r="L12" s="182">
        <f t="shared" si="21"/>
        <v>359210967</v>
      </c>
      <c r="M12" s="182">
        <f t="shared" si="21"/>
        <v>388929141</v>
      </c>
      <c r="N12" s="182">
        <f t="shared" si="21"/>
        <v>371460083</v>
      </c>
      <c r="O12" s="182">
        <f t="shared" si="21"/>
        <v>421261921</v>
      </c>
      <c r="P12" s="182">
        <f t="shared" si="21"/>
        <v>313982105</v>
      </c>
      <c r="Q12" s="183">
        <f>('[2]10 Year RFS Curves (2020)'!J$31*$BH$31*1000000000)</f>
        <v>210578706.25</v>
      </c>
      <c r="R12" s="183">
        <f>('[2]10 Year RFS Curves (2020)'!K$31*$BH$31*1000000000)</f>
        <v>273752318.125</v>
      </c>
      <c r="S12" s="183">
        <f>('[2]10 Year RFS Curves (2020)'!L$31*$BH$31*1000000000)</f>
        <v>252694447.49999997</v>
      </c>
      <c r="T12" s="183">
        <f>('[2]10 Year RFS Curves (2020)'!M$31*$BH$31*1000000000)</f>
        <v>231636576.87500003</v>
      </c>
      <c r="U12" s="183">
        <f>('[2]10 Year RFS Curves (2020)'!N$31*$BH$31*1000000000)</f>
        <v>210578706.25</v>
      </c>
      <c r="V12" s="183">
        <f>('[2]10 Year RFS Curves (2020)'!O$31*$BH$31*1000000000)</f>
        <v>189520835.625</v>
      </c>
      <c r="W12" s="183">
        <f>('[2]10 Year RFS Curves (2020)'!P$31*$BH$31*1000000000)</f>
        <v>189520835.625</v>
      </c>
      <c r="X12" s="183">
        <f>('[2]10 Year RFS Curves (2020)'!Q$31*$BH$31*1000000000)</f>
        <v>168462965.00000003</v>
      </c>
      <c r="Y12" s="183">
        <f>('[2]10 Year RFS Curves (2020)'!R$31*$BH$31*1000000000)</f>
        <v>160039816.75</v>
      </c>
      <c r="Z12" s="183">
        <f>('[2]10 Year RFS Curves (2020)'!S$31*$BH$31*1000000000)</f>
        <v>151616668.5</v>
      </c>
      <c r="AA12" s="183">
        <f>('[2]10 Year RFS Curves (2020)'!T$31*$BH$31*1000000000)</f>
        <v>151616668.5</v>
      </c>
      <c r="AB12" s="183">
        <f>('[2]10 Year RFS Curves (2020)'!U$31*$BH$31*1000000000)</f>
        <v>63173611.874999993</v>
      </c>
      <c r="AC12" s="183">
        <f>('[2]10 Year RFS Curves (2020)'!V$31*$BH$31*1000000000)</f>
        <v>42115741.250000007</v>
      </c>
      <c r="AD12" s="183">
        <f>('[2]10 Year RFS Curves (2020)'!W$31*$BH$31*1000000000)</f>
        <v>42115741.250000007</v>
      </c>
      <c r="AE12" s="183">
        <f>('[2]10 Year RFS Curves (2020)'!X$31*$BH$31*1000000000)</f>
        <v>42115741.250000007</v>
      </c>
      <c r="AF12" s="183">
        <f>('[2]10 Year RFS Curves (2020)'!Y$31*$BH$31*1000000000)</f>
        <v>42115741.250000007</v>
      </c>
      <c r="AG12" s="183">
        <f>('[2]10 Year RFS Curves (2020)'!Z$31*$BH$31*1000000000)</f>
        <v>42115741.250000007</v>
      </c>
      <c r="AH12" s="183">
        <f>('[2]10 Year RFS Curves (2020)'!AA$31*$BH$31*1000000000)</f>
        <v>42115741.250000007</v>
      </c>
      <c r="AI12" s="183">
        <f>('[2]10 Year RFS Curves (2020)'!AB$31*$BH$31*1000000000)</f>
        <v>42115741.250000007</v>
      </c>
      <c r="AJ12" s="183">
        <f>('[2]10 Year RFS Curves (2020)'!AC$31*$BH$31*1000000000)</f>
        <v>42115741.250000007</v>
      </c>
      <c r="AK12" s="183">
        <f>('[2]10 Year RFS Curves (2020)'!AD$31*$BH$31*1000000000)</f>
        <v>42115741.250000007</v>
      </c>
      <c r="AL12" s="183">
        <f>('[2]10 Year RFS Curves (2020)'!AE$31*$BH$31*1000000000)</f>
        <v>42115741.250000007</v>
      </c>
      <c r="AM12" s="183">
        <f>('[2]10 Year RFS Curves (2020)'!AF$31*$BH$31*1000000000)</f>
        <v>42115741.250000007</v>
      </c>
      <c r="AN12" s="183">
        <f>('[2]10 Year RFS Curves (2020)'!AG$31*$BH$31*1000000000)</f>
        <v>42115741.250000007</v>
      </c>
      <c r="AO12" s="183">
        <f>('[2]10 Year RFS Curves (2020)'!AH$31*$BH$31*1000000000)</f>
        <v>42115741.250000007</v>
      </c>
      <c r="AP12" s="183">
        <f>('[2]10 Year RFS Curves (2020)'!AI$31*$BH$31*1000000000)</f>
        <v>42115741.250000007</v>
      </c>
      <c r="AQ12" s="183">
        <f>('[2]10 Year RFS Curves (2020)'!AJ$31*$BH$31*1000000000)</f>
        <v>42115741.250000007</v>
      </c>
      <c r="AR12" s="173"/>
      <c r="AS12" s="176">
        <f t="shared" si="2"/>
        <v>4.3569733989614702E-2</v>
      </c>
      <c r="AT12" s="176">
        <f t="shared" si="3"/>
        <v>9.161943236147474E-2</v>
      </c>
      <c r="AU12" s="102"/>
      <c r="AV12" s="102"/>
      <c r="AW12" s="102"/>
      <c r="AX12" s="3"/>
      <c r="AZ12" s="102">
        <v>304019646</v>
      </c>
      <c r="BA12" s="3">
        <f t="shared" si="4"/>
        <v>0</v>
      </c>
      <c r="BB12" s="102">
        <v>368671958</v>
      </c>
      <c r="BC12" s="3">
        <f t="shared" si="5"/>
        <v>-9460991</v>
      </c>
      <c r="BD12" s="184">
        <v>380322629</v>
      </c>
      <c r="BE12" s="177">
        <f t="shared" si="6"/>
        <v>8606512</v>
      </c>
      <c r="BF12" s="184">
        <v>389395897.06975883</v>
      </c>
      <c r="BG12" s="177">
        <f t="shared" si="7"/>
        <v>-17935814.069758832</v>
      </c>
      <c r="BH12" s="183">
        <v>401338000.73145688</v>
      </c>
      <c r="BI12" s="177">
        <f t="shared" si="8"/>
        <v>19923920.268543124</v>
      </c>
      <c r="BJ12" s="183">
        <v>324291207.62499988</v>
      </c>
      <c r="BK12" s="177">
        <f t="shared" si="9"/>
        <v>-10309102.624999881</v>
      </c>
      <c r="BL12" s="183">
        <v>42115741.249999978</v>
      </c>
      <c r="BM12" s="177">
        <f t="shared" si="10"/>
        <v>168462965.00000003</v>
      </c>
    </row>
    <row r="13" spans="1:74">
      <c r="A13" s="2" t="s">
        <v>284</v>
      </c>
      <c r="B13" s="3">
        <f>B225</f>
        <v>0</v>
      </c>
      <c r="C13" s="3">
        <f t="shared" ref="C13:P13" si="22">C225</f>
        <v>0</v>
      </c>
      <c r="D13" s="3">
        <f t="shared" si="22"/>
        <v>0</v>
      </c>
      <c r="E13" s="3">
        <f t="shared" si="22"/>
        <v>0</v>
      </c>
      <c r="F13" s="3">
        <f t="shared" si="22"/>
        <v>0</v>
      </c>
      <c r="G13" s="3">
        <f t="shared" si="22"/>
        <v>0</v>
      </c>
      <c r="H13" s="3">
        <f t="shared" si="22"/>
        <v>0</v>
      </c>
      <c r="I13" s="3">
        <f t="shared" si="22"/>
        <v>0</v>
      </c>
      <c r="J13" s="3">
        <f t="shared" si="22"/>
        <v>0</v>
      </c>
      <c r="K13" s="3">
        <f t="shared" si="22"/>
        <v>0</v>
      </c>
      <c r="L13" s="3">
        <f t="shared" si="22"/>
        <v>0</v>
      </c>
      <c r="M13" s="3">
        <f t="shared" si="22"/>
        <v>0</v>
      </c>
      <c r="N13" s="3">
        <f t="shared" si="22"/>
        <v>0</v>
      </c>
      <c r="O13" s="3">
        <f t="shared" si="22"/>
        <v>0</v>
      </c>
      <c r="P13" s="3">
        <f t="shared" si="22"/>
        <v>0</v>
      </c>
      <c r="Q13" s="102">
        <f>Q225</f>
        <v>0</v>
      </c>
      <c r="R13" s="102">
        <f t="shared" ref="R13:AQ13" si="23">R225</f>
        <v>0</v>
      </c>
      <c r="S13" s="102">
        <f t="shared" si="23"/>
        <v>0</v>
      </c>
      <c r="T13" s="102">
        <f t="shared" si="23"/>
        <v>0</v>
      </c>
      <c r="U13" s="102">
        <f t="shared" si="23"/>
        <v>0</v>
      </c>
      <c r="V13" s="102">
        <f t="shared" si="23"/>
        <v>0</v>
      </c>
      <c r="W13" s="102">
        <f t="shared" si="23"/>
        <v>0</v>
      </c>
      <c r="X13" s="102">
        <f t="shared" si="23"/>
        <v>0</v>
      </c>
      <c r="Y13" s="102">
        <f t="shared" si="23"/>
        <v>0</v>
      </c>
      <c r="Z13" s="102">
        <f t="shared" si="23"/>
        <v>0</v>
      </c>
      <c r="AA13" s="102">
        <f t="shared" si="23"/>
        <v>0</v>
      </c>
      <c r="AB13" s="102">
        <f t="shared" si="23"/>
        <v>0</v>
      </c>
      <c r="AC13" s="102">
        <f t="shared" si="23"/>
        <v>0</v>
      </c>
      <c r="AD13" s="102">
        <f t="shared" si="23"/>
        <v>0</v>
      </c>
      <c r="AE13" s="102">
        <f t="shared" si="23"/>
        <v>0</v>
      </c>
      <c r="AF13" s="102">
        <f t="shared" si="23"/>
        <v>0</v>
      </c>
      <c r="AG13" s="102">
        <f t="shared" si="23"/>
        <v>0</v>
      </c>
      <c r="AH13" s="102">
        <f t="shared" si="23"/>
        <v>0</v>
      </c>
      <c r="AI13" s="102">
        <f t="shared" si="23"/>
        <v>0</v>
      </c>
      <c r="AJ13" s="102">
        <f t="shared" si="23"/>
        <v>0</v>
      </c>
      <c r="AK13" s="102">
        <f t="shared" si="23"/>
        <v>0</v>
      </c>
      <c r="AL13" s="102">
        <f t="shared" si="23"/>
        <v>0</v>
      </c>
      <c r="AM13" s="102">
        <f t="shared" si="23"/>
        <v>0</v>
      </c>
      <c r="AN13" s="102">
        <f t="shared" si="23"/>
        <v>0</v>
      </c>
      <c r="AO13" s="102">
        <f t="shared" si="23"/>
        <v>0</v>
      </c>
      <c r="AP13" s="102">
        <f t="shared" si="23"/>
        <v>0</v>
      </c>
      <c r="AQ13" s="102">
        <f t="shared" si="23"/>
        <v>12</v>
      </c>
      <c r="AR13" s="102"/>
      <c r="AS13" s="176">
        <f t="shared" si="2"/>
        <v>0</v>
      </c>
      <c r="AT13" s="176">
        <f t="shared" si="3"/>
        <v>0</v>
      </c>
      <c r="AU13" s="102"/>
      <c r="AV13" s="102"/>
      <c r="AW13" s="102"/>
      <c r="AX13" s="3"/>
      <c r="AZ13" s="102">
        <v>0</v>
      </c>
      <c r="BA13" s="3">
        <f t="shared" si="4"/>
        <v>0</v>
      </c>
      <c r="BB13" s="102">
        <v>0</v>
      </c>
      <c r="BC13" s="3">
        <f t="shared" si="5"/>
        <v>0</v>
      </c>
      <c r="BD13" s="102">
        <v>0</v>
      </c>
      <c r="BE13" s="177">
        <f t="shared" si="6"/>
        <v>0</v>
      </c>
      <c r="BF13" s="102">
        <v>0</v>
      </c>
      <c r="BG13" s="177">
        <f t="shared" si="7"/>
        <v>0</v>
      </c>
      <c r="BH13" s="102">
        <v>0</v>
      </c>
      <c r="BI13" s="177">
        <f t="shared" si="8"/>
        <v>0</v>
      </c>
      <c r="BJ13" s="102">
        <v>0</v>
      </c>
      <c r="BK13" s="177">
        <f t="shared" si="9"/>
        <v>0</v>
      </c>
      <c r="BL13" s="102">
        <v>0</v>
      </c>
      <c r="BM13" s="177">
        <f t="shared" si="10"/>
        <v>0</v>
      </c>
    </row>
    <row r="14" spans="1:74">
      <c r="A14" s="2" t="s">
        <v>285</v>
      </c>
      <c r="B14" s="3">
        <f>B241</f>
        <v>0</v>
      </c>
      <c r="C14" s="3">
        <f t="shared" ref="C14:P14" si="24">C241</f>
        <v>0</v>
      </c>
      <c r="D14" s="3">
        <f t="shared" si="24"/>
        <v>0</v>
      </c>
      <c r="E14" s="3">
        <f t="shared" si="24"/>
        <v>0</v>
      </c>
      <c r="F14" s="3">
        <f t="shared" si="24"/>
        <v>0</v>
      </c>
      <c r="G14" s="3">
        <f t="shared" si="24"/>
        <v>0</v>
      </c>
      <c r="H14" s="3">
        <f t="shared" si="24"/>
        <v>0</v>
      </c>
      <c r="I14" s="3">
        <f t="shared" si="24"/>
        <v>0</v>
      </c>
      <c r="J14" s="3">
        <f t="shared" si="24"/>
        <v>0</v>
      </c>
      <c r="K14" s="3">
        <f t="shared" si="24"/>
        <v>2375605</v>
      </c>
      <c r="L14" s="3">
        <f t="shared" si="24"/>
        <v>2195738</v>
      </c>
      <c r="M14" s="3">
        <f t="shared" si="24"/>
        <v>18293075</v>
      </c>
      <c r="N14" s="3">
        <f t="shared" si="24"/>
        <v>20641595</v>
      </c>
      <c r="O14" s="3">
        <f t="shared" si="24"/>
        <v>28460403</v>
      </c>
      <c r="P14" s="3">
        <f t="shared" si="24"/>
        <v>2933720</v>
      </c>
      <c r="Q14" s="102">
        <f t="shared" ref="Q14:AG14" si="25">FORECAST(Q12,K14:P14,K12:P12)*0</f>
        <v>0</v>
      </c>
      <c r="R14" s="102">
        <f t="shared" si="25"/>
        <v>0</v>
      </c>
      <c r="S14" s="102">
        <f t="shared" si="25"/>
        <v>0</v>
      </c>
      <c r="T14" s="102">
        <f t="shared" si="25"/>
        <v>0</v>
      </c>
      <c r="U14" s="102">
        <f t="shared" si="25"/>
        <v>0</v>
      </c>
      <c r="V14" s="102">
        <f t="shared" si="25"/>
        <v>0</v>
      </c>
      <c r="W14" s="102">
        <f t="shared" si="25"/>
        <v>0</v>
      </c>
      <c r="X14" s="102">
        <f t="shared" si="25"/>
        <v>0</v>
      </c>
      <c r="Y14" s="102">
        <f t="shared" si="25"/>
        <v>0</v>
      </c>
      <c r="Z14" s="102">
        <f t="shared" si="25"/>
        <v>0</v>
      </c>
      <c r="AA14" s="102">
        <f t="shared" si="25"/>
        <v>0</v>
      </c>
      <c r="AB14" s="102">
        <f t="shared" si="25"/>
        <v>0</v>
      </c>
      <c r="AC14" s="102">
        <f t="shared" si="25"/>
        <v>0</v>
      </c>
      <c r="AD14" s="102">
        <f t="shared" si="25"/>
        <v>0</v>
      </c>
      <c r="AE14" s="102">
        <f t="shared" si="25"/>
        <v>0</v>
      </c>
      <c r="AF14" s="102">
        <f t="shared" si="25"/>
        <v>0</v>
      </c>
      <c r="AG14" s="102">
        <f t="shared" si="25"/>
        <v>0</v>
      </c>
      <c r="AH14" s="102">
        <f>FORECAST(AH12,AB14:AG14,AB12:AG12)*0</f>
        <v>0</v>
      </c>
      <c r="AI14" s="102">
        <f>FORECAST(AI12,$L14:$P14,$L12:$P12)*0</f>
        <v>0</v>
      </c>
      <c r="AJ14" s="102">
        <f t="shared" ref="AJ14:AQ14" si="26">FORECAST(AJ12,$L14:$P14,$L12:$P12)*0</f>
        <v>0</v>
      </c>
      <c r="AK14" s="102">
        <f t="shared" si="26"/>
        <v>0</v>
      </c>
      <c r="AL14" s="102">
        <f t="shared" si="26"/>
        <v>0</v>
      </c>
      <c r="AM14" s="102">
        <f t="shared" si="26"/>
        <v>0</v>
      </c>
      <c r="AN14" s="102">
        <f t="shared" si="26"/>
        <v>0</v>
      </c>
      <c r="AO14" s="102">
        <f t="shared" si="26"/>
        <v>0</v>
      </c>
      <c r="AP14" s="102">
        <f t="shared" si="26"/>
        <v>0</v>
      </c>
      <c r="AQ14" s="102">
        <f t="shared" si="26"/>
        <v>0</v>
      </c>
      <c r="AR14" s="102"/>
      <c r="AS14" s="176">
        <f t="shared" si="2"/>
        <v>0</v>
      </c>
      <c r="AT14" s="176">
        <f t="shared" si="3"/>
        <v>3.5823258371795535E-3</v>
      </c>
      <c r="AV14" s="102"/>
      <c r="AW14" s="102"/>
      <c r="AX14" s="3"/>
      <c r="AZ14" s="102">
        <v>2375605</v>
      </c>
      <c r="BA14" s="3">
        <f t="shared" si="4"/>
        <v>0</v>
      </c>
      <c r="BB14" s="102">
        <v>2195738</v>
      </c>
      <c r="BC14" s="3">
        <f t="shared" si="5"/>
        <v>0</v>
      </c>
      <c r="BD14" s="102">
        <v>15181308</v>
      </c>
      <c r="BE14" s="177">
        <f t="shared" si="6"/>
        <v>3111767</v>
      </c>
      <c r="BF14" s="102">
        <v>18077555</v>
      </c>
      <c r="BG14" s="177">
        <f t="shared" si="7"/>
        <v>2564040</v>
      </c>
      <c r="BH14" s="102">
        <v>28921520.95975329</v>
      </c>
      <c r="BI14" s="177">
        <f t="shared" si="8"/>
        <v>-461117.95975328982</v>
      </c>
      <c r="BJ14" s="102">
        <v>4901371.1537708342</v>
      </c>
      <c r="BK14" s="177">
        <f t="shared" si="9"/>
        <v>-1967651.1537708342</v>
      </c>
      <c r="BL14" s="102">
        <v>0</v>
      </c>
      <c r="BM14" s="177">
        <f t="shared" si="10"/>
        <v>0</v>
      </c>
    </row>
    <row r="15" spans="1:74">
      <c r="A15" s="2" t="s">
        <v>286</v>
      </c>
      <c r="B15" s="3">
        <f>B257</f>
        <v>0</v>
      </c>
      <c r="C15" s="3">
        <f t="shared" ref="C15:P15" si="27">C257</f>
        <v>0</v>
      </c>
      <c r="D15" s="3">
        <f t="shared" si="27"/>
        <v>50272922</v>
      </c>
      <c r="E15" s="3">
        <f t="shared" si="27"/>
        <v>166292775</v>
      </c>
      <c r="F15" s="3">
        <f t="shared" si="27"/>
        <v>171747164</v>
      </c>
      <c r="G15" s="3">
        <f t="shared" si="27"/>
        <v>135765543</v>
      </c>
      <c r="H15" s="3">
        <f t="shared" si="27"/>
        <v>184028971</v>
      </c>
      <c r="I15" s="3">
        <f t="shared" si="27"/>
        <v>199517243</v>
      </c>
      <c r="J15" s="3">
        <f t="shared" si="27"/>
        <v>203337808</v>
      </c>
      <c r="K15" s="3">
        <f t="shared" si="27"/>
        <v>301644041</v>
      </c>
      <c r="L15" s="3">
        <f t="shared" si="27"/>
        <v>357015229</v>
      </c>
      <c r="M15" s="3">
        <f t="shared" si="27"/>
        <v>370636066</v>
      </c>
      <c r="N15" s="3">
        <f t="shared" si="27"/>
        <v>350818488</v>
      </c>
      <c r="O15" s="3">
        <f t="shared" si="27"/>
        <v>392801518</v>
      </c>
      <c r="P15" s="3">
        <f t="shared" si="27"/>
        <v>311048385</v>
      </c>
      <c r="Q15" s="185">
        <f>Q12-SUM(Q13:Q14)</f>
        <v>210578706.25</v>
      </c>
      <c r="R15" s="185">
        <f t="shared" ref="R15:AA15" si="28">R12-SUM(R13:R14)</f>
        <v>273752318.125</v>
      </c>
      <c r="S15" s="185">
        <f t="shared" si="28"/>
        <v>252694447.49999997</v>
      </c>
      <c r="T15" s="185">
        <f t="shared" si="28"/>
        <v>231636576.87500003</v>
      </c>
      <c r="U15" s="185">
        <f t="shared" si="28"/>
        <v>210578706.25</v>
      </c>
      <c r="V15" s="185">
        <f t="shared" si="28"/>
        <v>189520835.625</v>
      </c>
      <c r="W15" s="185">
        <f t="shared" si="28"/>
        <v>189520835.625</v>
      </c>
      <c r="X15" s="185">
        <f t="shared" si="28"/>
        <v>168462965.00000003</v>
      </c>
      <c r="Y15" s="185">
        <f t="shared" si="28"/>
        <v>160039816.75</v>
      </c>
      <c r="Z15" s="185">
        <f t="shared" si="28"/>
        <v>151616668.5</v>
      </c>
      <c r="AA15" s="185">
        <f t="shared" si="28"/>
        <v>151616668.5</v>
      </c>
      <c r="AB15" s="173">
        <f>AB12</f>
        <v>63173611.874999993</v>
      </c>
      <c r="AC15" s="173">
        <f t="shared" ref="AC15:AQ15" si="29">AC12</f>
        <v>42115741.250000007</v>
      </c>
      <c r="AD15" s="173">
        <f t="shared" si="29"/>
        <v>42115741.250000007</v>
      </c>
      <c r="AE15" s="173">
        <f t="shared" si="29"/>
        <v>42115741.250000007</v>
      </c>
      <c r="AF15" s="173">
        <f t="shared" si="29"/>
        <v>42115741.250000007</v>
      </c>
      <c r="AG15" s="173">
        <f t="shared" si="29"/>
        <v>42115741.250000007</v>
      </c>
      <c r="AH15" s="173">
        <f t="shared" si="29"/>
        <v>42115741.250000007</v>
      </c>
      <c r="AI15" s="173">
        <f t="shared" si="29"/>
        <v>42115741.250000007</v>
      </c>
      <c r="AJ15" s="173">
        <f t="shared" si="29"/>
        <v>42115741.250000007</v>
      </c>
      <c r="AK15" s="173">
        <f t="shared" si="29"/>
        <v>42115741.250000007</v>
      </c>
      <c r="AL15" s="173">
        <f t="shared" si="29"/>
        <v>42115741.250000007</v>
      </c>
      <c r="AM15" s="173">
        <f t="shared" si="29"/>
        <v>42115741.250000007</v>
      </c>
      <c r="AN15" s="173">
        <f t="shared" si="29"/>
        <v>42115741.250000007</v>
      </c>
      <c r="AO15" s="173">
        <f t="shared" si="29"/>
        <v>42115741.250000007</v>
      </c>
      <c r="AP15" s="173">
        <f t="shared" si="29"/>
        <v>42115741.250000007</v>
      </c>
      <c r="AQ15" s="173">
        <f t="shared" si="29"/>
        <v>42115741.250000007</v>
      </c>
      <c r="AR15" s="173"/>
      <c r="AS15" s="176">
        <f t="shared" si="2"/>
        <v>4.3569733989614702E-2</v>
      </c>
      <c r="AT15" s="176">
        <f t="shared" si="3"/>
        <v>8.8037106524295194E-2</v>
      </c>
      <c r="AU15" s="102"/>
      <c r="AV15" s="102"/>
      <c r="AW15" s="102"/>
      <c r="AX15" s="3"/>
      <c r="AZ15" s="102">
        <v>301644041</v>
      </c>
      <c r="BA15" s="3">
        <f t="shared" si="4"/>
        <v>0</v>
      </c>
      <c r="BB15" s="102">
        <v>366476220</v>
      </c>
      <c r="BC15" s="3">
        <f t="shared" si="5"/>
        <v>-9460991</v>
      </c>
      <c r="BD15" s="102">
        <v>365141321</v>
      </c>
      <c r="BE15" s="177">
        <f t="shared" si="6"/>
        <v>5494745</v>
      </c>
      <c r="BF15" s="102">
        <v>371318342.06975883</v>
      </c>
      <c r="BG15" s="177">
        <f t="shared" si="7"/>
        <v>-20499854.069758832</v>
      </c>
      <c r="BH15" s="173">
        <v>372416479.7717036</v>
      </c>
      <c r="BI15" s="177">
        <f t="shared" si="8"/>
        <v>20385038.228296399</v>
      </c>
      <c r="BJ15" s="173">
        <v>319389836.47122908</v>
      </c>
      <c r="BK15" s="177">
        <f t="shared" si="9"/>
        <v>-8341451.4712290764</v>
      </c>
      <c r="BL15" s="173">
        <v>42115741.249999978</v>
      </c>
      <c r="BM15" s="177">
        <f t="shared" si="10"/>
        <v>168462965.00000003</v>
      </c>
    </row>
    <row r="16" spans="1:74">
      <c r="A16" s="181" t="s">
        <v>225</v>
      </c>
      <c r="B16" s="182">
        <f>SUM(B17:B19)</f>
        <v>0</v>
      </c>
      <c r="C16" s="182">
        <f t="shared" ref="C16:AQ16" si="30">SUM(C17:C19)</f>
        <v>0</v>
      </c>
      <c r="D16" s="182">
        <f t="shared" si="30"/>
        <v>0</v>
      </c>
      <c r="E16" s="182">
        <f t="shared" si="30"/>
        <v>21602599</v>
      </c>
      <c r="F16" s="182">
        <f t="shared" si="30"/>
        <v>5612400</v>
      </c>
      <c r="G16" s="182">
        <f t="shared" si="30"/>
        <v>0</v>
      </c>
      <c r="H16" s="182">
        <f t="shared" si="30"/>
        <v>0</v>
      </c>
      <c r="I16" s="182">
        <f t="shared" si="30"/>
        <v>757255</v>
      </c>
      <c r="J16" s="182">
        <f t="shared" si="30"/>
        <v>0</v>
      </c>
      <c r="K16" s="182">
        <f t="shared" si="30"/>
        <v>0</v>
      </c>
      <c r="L16" s="182">
        <f t="shared" si="30"/>
        <v>0</v>
      </c>
      <c r="M16" s="182">
        <f t="shared" si="30"/>
        <v>2859906</v>
      </c>
      <c r="N16" s="182">
        <f t="shared" si="30"/>
        <v>0</v>
      </c>
      <c r="O16" s="182">
        <f t="shared" si="30"/>
        <v>0</v>
      </c>
      <c r="P16" s="182">
        <f t="shared" si="30"/>
        <v>112476722</v>
      </c>
      <c r="Q16" s="184">
        <f t="shared" si="30"/>
        <v>12677402</v>
      </c>
      <c r="R16" s="184">
        <f t="shared" si="30"/>
        <v>0</v>
      </c>
      <c r="S16" s="184">
        <f t="shared" si="30"/>
        <v>0</v>
      </c>
      <c r="T16" s="184">
        <f t="shared" si="30"/>
        <v>0</v>
      </c>
      <c r="U16" s="184">
        <f t="shared" si="30"/>
        <v>0</v>
      </c>
      <c r="V16" s="184">
        <f t="shared" si="30"/>
        <v>0</v>
      </c>
      <c r="W16" s="184">
        <f t="shared" si="30"/>
        <v>0</v>
      </c>
      <c r="X16" s="184">
        <f t="shared" si="30"/>
        <v>0</v>
      </c>
      <c r="Y16" s="184">
        <f t="shared" si="30"/>
        <v>0</v>
      </c>
      <c r="Z16" s="184">
        <f t="shared" si="30"/>
        <v>0</v>
      </c>
      <c r="AA16" s="184">
        <f t="shared" si="30"/>
        <v>0</v>
      </c>
      <c r="AB16" s="184">
        <f t="shared" si="30"/>
        <v>0</v>
      </c>
      <c r="AC16" s="184">
        <f t="shared" si="30"/>
        <v>0</v>
      </c>
      <c r="AD16" s="184">
        <f t="shared" si="30"/>
        <v>0</v>
      </c>
      <c r="AE16" s="184">
        <f t="shared" si="30"/>
        <v>0</v>
      </c>
      <c r="AF16" s="184">
        <f t="shared" si="30"/>
        <v>0</v>
      </c>
      <c r="AG16" s="184">
        <f t="shared" si="30"/>
        <v>0</v>
      </c>
      <c r="AH16" s="184">
        <f t="shared" si="30"/>
        <v>0</v>
      </c>
      <c r="AI16" s="184">
        <f t="shared" si="30"/>
        <v>0</v>
      </c>
      <c r="AJ16" s="184">
        <f t="shared" si="30"/>
        <v>0</v>
      </c>
      <c r="AK16" s="184">
        <f t="shared" si="30"/>
        <v>0</v>
      </c>
      <c r="AL16" s="184">
        <f t="shared" si="30"/>
        <v>0</v>
      </c>
      <c r="AM16" s="184">
        <f t="shared" si="30"/>
        <v>0</v>
      </c>
      <c r="AN16" s="184">
        <f t="shared" si="30"/>
        <v>0</v>
      </c>
      <c r="AO16" s="184">
        <f t="shared" si="30"/>
        <v>0</v>
      </c>
      <c r="AP16" s="184">
        <f t="shared" si="30"/>
        <v>0</v>
      </c>
      <c r="AQ16" s="184">
        <f t="shared" si="30"/>
        <v>36</v>
      </c>
      <c r="AR16" s="102"/>
      <c r="AS16" s="176">
        <f t="shared" si="2"/>
        <v>2.6230146563995687E-3</v>
      </c>
      <c r="AT16" s="176">
        <f t="shared" si="3"/>
        <v>5.6970155719802823E-3</v>
      </c>
      <c r="AU16" s="102"/>
      <c r="AV16" s="102"/>
      <c r="AW16" s="102"/>
      <c r="AX16" s="3"/>
      <c r="AZ16" s="102">
        <v>0</v>
      </c>
      <c r="BA16" s="3">
        <f t="shared" si="4"/>
        <v>0</v>
      </c>
      <c r="BB16" s="102">
        <v>0</v>
      </c>
      <c r="BC16" s="3">
        <f t="shared" si="5"/>
        <v>0</v>
      </c>
      <c r="BD16" s="184">
        <v>2859906</v>
      </c>
      <c r="BE16" s="177">
        <f t="shared" si="6"/>
        <v>0</v>
      </c>
      <c r="BF16" s="184">
        <v>0</v>
      </c>
      <c r="BG16" s="177">
        <f t="shared" si="7"/>
        <v>0</v>
      </c>
      <c r="BH16" s="184">
        <v>0</v>
      </c>
      <c r="BI16" s="177">
        <f t="shared" si="8"/>
        <v>0</v>
      </c>
      <c r="BJ16" s="184">
        <v>79574174</v>
      </c>
      <c r="BK16" s="177">
        <f t="shared" si="9"/>
        <v>32902548</v>
      </c>
      <c r="BL16" s="184">
        <v>0</v>
      </c>
      <c r="BM16" s="177">
        <f t="shared" si="10"/>
        <v>12677402</v>
      </c>
    </row>
    <row r="17" spans="1:65">
      <c r="A17" s="2" t="s">
        <v>284</v>
      </c>
      <c r="B17" s="3">
        <f>B289</f>
        <v>0</v>
      </c>
      <c r="C17" s="3">
        <f t="shared" ref="C17:AQ17" si="31">C289</f>
        <v>0</v>
      </c>
      <c r="D17" s="3">
        <f t="shared" si="31"/>
        <v>0</v>
      </c>
      <c r="E17" s="3">
        <f t="shared" si="31"/>
        <v>0</v>
      </c>
      <c r="F17" s="3">
        <f t="shared" si="31"/>
        <v>0</v>
      </c>
      <c r="G17" s="3">
        <f t="shared" si="31"/>
        <v>0</v>
      </c>
      <c r="H17" s="3">
        <f t="shared" si="31"/>
        <v>0</v>
      </c>
      <c r="I17" s="3">
        <f t="shared" si="31"/>
        <v>0</v>
      </c>
      <c r="J17" s="3">
        <f t="shared" si="31"/>
        <v>0</v>
      </c>
      <c r="K17" s="3">
        <f t="shared" si="31"/>
        <v>0</v>
      </c>
      <c r="L17" s="3">
        <f t="shared" si="31"/>
        <v>0</v>
      </c>
      <c r="M17" s="3">
        <f t="shared" si="31"/>
        <v>0</v>
      </c>
      <c r="N17" s="3">
        <f t="shared" si="31"/>
        <v>0</v>
      </c>
      <c r="O17" s="3">
        <f t="shared" si="31"/>
        <v>0</v>
      </c>
      <c r="P17" s="3">
        <f t="shared" si="31"/>
        <v>0</v>
      </c>
      <c r="Q17" s="102">
        <f t="shared" si="31"/>
        <v>0</v>
      </c>
      <c r="R17" s="102">
        <f t="shared" si="31"/>
        <v>0</v>
      </c>
      <c r="S17" s="102">
        <f t="shared" si="31"/>
        <v>0</v>
      </c>
      <c r="T17" s="102">
        <f t="shared" si="31"/>
        <v>0</v>
      </c>
      <c r="U17" s="102">
        <f t="shared" si="31"/>
        <v>0</v>
      </c>
      <c r="V17" s="102">
        <f t="shared" si="31"/>
        <v>0</v>
      </c>
      <c r="W17" s="102">
        <f t="shared" si="31"/>
        <v>0</v>
      </c>
      <c r="X17" s="102">
        <f t="shared" si="31"/>
        <v>0</v>
      </c>
      <c r="Y17" s="102">
        <f t="shared" si="31"/>
        <v>0</v>
      </c>
      <c r="Z17" s="102">
        <f t="shared" si="31"/>
        <v>0</v>
      </c>
      <c r="AA17" s="102">
        <f t="shared" si="31"/>
        <v>0</v>
      </c>
      <c r="AB17" s="102">
        <f t="shared" si="31"/>
        <v>0</v>
      </c>
      <c r="AC17" s="102">
        <f t="shared" si="31"/>
        <v>0</v>
      </c>
      <c r="AD17" s="102">
        <f t="shared" si="31"/>
        <v>0</v>
      </c>
      <c r="AE17" s="102">
        <f t="shared" si="31"/>
        <v>0</v>
      </c>
      <c r="AF17" s="102">
        <f t="shared" si="31"/>
        <v>0</v>
      </c>
      <c r="AG17" s="102">
        <f t="shared" si="31"/>
        <v>0</v>
      </c>
      <c r="AH17" s="102">
        <f t="shared" si="31"/>
        <v>0</v>
      </c>
      <c r="AI17" s="102">
        <f t="shared" si="31"/>
        <v>0</v>
      </c>
      <c r="AJ17" s="102">
        <f t="shared" si="31"/>
        <v>0</v>
      </c>
      <c r="AK17" s="102">
        <f t="shared" si="31"/>
        <v>0</v>
      </c>
      <c r="AL17" s="102">
        <f t="shared" si="31"/>
        <v>0</v>
      </c>
      <c r="AM17" s="102">
        <f t="shared" si="31"/>
        <v>0</v>
      </c>
      <c r="AN17" s="102">
        <f t="shared" si="31"/>
        <v>0</v>
      </c>
      <c r="AO17" s="102">
        <f t="shared" si="31"/>
        <v>0</v>
      </c>
      <c r="AP17" s="102">
        <f t="shared" si="31"/>
        <v>0</v>
      </c>
      <c r="AQ17" s="102">
        <f t="shared" si="31"/>
        <v>12</v>
      </c>
      <c r="AR17" s="102"/>
      <c r="AS17" s="176">
        <f t="shared" si="2"/>
        <v>0</v>
      </c>
      <c r="AT17" s="176">
        <f t="shared" si="3"/>
        <v>0</v>
      </c>
      <c r="AU17" s="102"/>
      <c r="AV17" s="102"/>
      <c r="AW17" s="102"/>
      <c r="AX17" s="3"/>
      <c r="AZ17" s="102">
        <v>0</v>
      </c>
      <c r="BA17" s="3">
        <f t="shared" si="4"/>
        <v>0</v>
      </c>
      <c r="BB17" s="102">
        <v>0</v>
      </c>
      <c r="BC17" s="3">
        <f t="shared" si="5"/>
        <v>0</v>
      </c>
      <c r="BD17" s="102">
        <v>0</v>
      </c>
      <c r="BE17" s="177">
        <f t="shared" si="6"/>
        <v>0</v>
      </c>
      <c r="BF17" s="102">
        <v>0</v>
      </c>
      <c r="BG17" s="177">
        <f t="shared" si="7"/>
        <v>0</v>
      </c>
      <c r="BH17" s="102">
        <v>0</v>
      </c>
      <c r="BI17" s="177">
        <f t="shared" si="8"/>
        <v>0</v>
      </c>
      <c r="BJ17" s="102">
        <v>0</v>
      </c>
      <c r="BK17" s="177">
        <f t="shared" si="9"/>
        <v>0</v>
      </c>
      <c r="BL17" s="102">
        <v>0</v>
      </c>
      <c r="BM17" s="177">
        <f t="shared" si="10"/>
        <v>0</v>
      </c>
    </row>
    <row r="18" spans="1:65">
      <c r="A18" s="2" t="s">
        <v>285</v>
      </c>
      <c r="B18" s="3">
        <f>B305</f>
        <v>0</v>
      </c>
      <c r="C18" s="3">
        <f t="shared" ref="C18:AQ18" si="32">C305</f>
        <v>0</v>
      </c>
      <c r="D18" s="3">
        <f t="shared" si="32"/>
        <v>0</v>
      </c>
      <c r="E18" s="3">
        <f t="shared" si="32"/>
        <v>0</v>
      </c>
      <c r="F18" s="3">
        <f t="shared" si="32"/>
        <v>0</v>
      </c>
      <c r="G18" s="3">
        <f t="shared" si="32"/>
        <v>0</v>
      </c>
      <c r="H18" s="3">
        <f t="shared" si="32"/>
        <v>0</v>
      </c>
      <c r="I18" s="3">
        <f t="shared" si="32"/>
        <v>0</v>
      </c>
      <c r="J18" s="3">
        <f t="shared" si="32"/>
        <v>0</v>
      </c>
      <c r="K18" s="3">
        <f t="shared" si="32"/>
        <v>0</v>
      </c>
      <c r="L18" s="3">
        <f t="shared" si="32"/>
        <v>0</v>
      </c>
      <c r="M18" s="3">
        <f t="shared" si="32"/>
        <v>0</v>
      </c>
      <c r="N18" s="3">
        <f t="shared" si="32"/>
        <v>0</v>
      </c>
      <c r="O18" s="3">
        <f t="shared" si="32"/>
        <v>0</v>
      </c>
      <c r="P18" s="3">
        <f t="shared" si="32"/>
        <v>0</v>
      </c>
      <c r="Q18" s="102">
        <f t="shared" si="32"/>
        <v>0</v>
      </c>
      <c r="R18" s="102">
        <f t="shared" si="32"/>
        <v>0</v>
      </c>
      <c r="S18" s="102">
        <f t="shared" si="32"/>
        <v>0</v>
      </c>
      <c r="T18" s="102">
        <f t="shared" si="32"/>
        <v>0</v>
      </c>
      <c r="U18" s="102">
        <f t="shared" si="32"/>
        <v>0</v>
      </c>
      <c r="V18" s="102">
        <f t="shared" si="32"/>
        <v>0</v>
      </c>
      <c r="W18" s="102">
        <f t="shared" si="32"/>
        <v>0</v>
      </c>
      <c r="X18" s="102">
        <f t="shared" si="32"/>
        <v>0</v>
      </c>
      <c r="Y18" s="102">
        <f t="shared" si="32"/>
        <v>0</v>
      </c>
      <c r="Z18" s="102">
        <f t="shared" si="32"/>
        <v>0</v>
      </c>
      <c r="AA18" s="102">
        <f t="shared" si="32"/>
        <v>0</v>
      </c>
      <c r="AB18" s="102">
        <f t="shared" si="32"/>
        <v>0</v>
      </c>
      <c r="AC18" s="102">
        <f t="shared" si="32"/>
        <v>0</v>
      </c>
      <c r="AD18" s="102">
        <f t="shared" si="32"/>
        <v>0</v>
      </c>
      <c r="AE18" s="102">
        <f t="shared" si="32"/>
        <v>0</v>
      </c>
      <c r="AF18" s="102">
        <f t="shared" si="32"/>
        <v>0</v>
      </c>
      <c r="AG18" s="102">
        <f t="shared" si="32"/>
        <v>0</v>
      </c>
      <c r="AH18" s="102">
        <f t="shared" si="32"/>
        <v>0</v>
      </c>
      <c r="AI18" s="102">
        <f t="shared" si="32"/>
        <v>0</v>
      </c>
      <c r="AJ18" s="102">
        <f t="shared" si="32"/>
        <v>0</v>
      </c>
      <c r="AK18" s="102">
        <f t="shared" si="32"/>
        <v>0</v>
      </c>
      <c r="AL18" s="102">
        <f t="shared" si="32"/>
        <v>0</v>
      </c>
      <c r="AM18" s="102">
        <f t="shared" si="32"/>
        <v>0</v>
      </c>
      <c r="AN18" s="102">
        <f t="shared" si="32"/>
        <v>0</v>
      </c>
      <c r="AO18" s="102">
        <f t="shared" si="32"/>
        <v>0</v>
      </c>
      <c r="AP18" s="102">
        <f t="shared" si="32"/>
        <v>0</v>
      </c>
      <c r="AQ18" s="102">
        <f t="shared" si="32"/>
        <v>12</v>
      </c>
      <c r="AR18" s="102"/>
      <c r="AS18" s="176">
        <f t="shared" si="2"/>
        <v>0</v>
      </c>
      <c r="AT18" s="176">
        <f t="shared" si="3"/>
        <v>0</v>
      </c>
      <c r="AU18" s="102"/>
      <c r="AV18" s="102"/>
      <c r="AW18" s="102"/>
      <c r="AX18" s="3"/>
      <c r="AZ18" s="102">
        <v>0</v>
      </c>
      <c r="BA18" s="3">
        <f t="shared" si="4"/>
        <v>0</v>
      </c>
      <c r="BB18" s="102">
        <v>0</v>
      </c>
      <c r="BC18" s="3">
        <f t="shared" si="5"/>
        <v>0</v>
      </c>
      <c r="BD18" s="102">
        <v>0</v>
      </c>
      <c r="BE18" s="177">
        <f t="shared" si="6"/>
        <v>0</v>
      </c>
      <c r="BF18" s="102">
        <v>0</v>
      </c>
      <c r="BG18" s="177">
        <f t="shared" si="7"/>
        <v>0</v>
      </c>
      <c r="BH18" s="102">
        <v>0</v>
      </c>
      <c r="BI18" s="177">
        <f t="shared" si="8"/>
        <v>0</v>
      </c>
      <c r="BJ18" s="102">
        <v>0</v>
      </c>
      <c r="BK18" s="177">
        <f t="shared" si="9"/>
        <v>0</v>
      </c>
      <c r="BL18" s="102">
        <v>0</v>
      </c>
      <c r="BM18" s="177">
        <f t="shared" si="10"/>
        <v>0</v>
      </c>
    </row>
    <row r="19" spans="1:65" ht="13.5" thickBot="1">
      <c r="A19" s="2" t="s">
        <v>286</v>
      </c>
      <c r="B19" s="3">
        <f>B321</f>
        <v>0</v>
      </c>
      <c r="C19" s="3">
        <f t="shared" ref="C19:AQ19" si="33">C321</f>
        <v>0</v>
      </c>
      <c r="D19" s="3">
        <f t="shared" si="33"/>
        <v>0</v>
      </c>
      <c r="E19" s="3">
        <f t="shared" si="33"/>
        <v>21602599</v>
      </c>
      <c r="F19" s="3">
        <f t="shared" si="33"/>
        <v>5612400</v>
      </c>
      <c r="G19" s="3">
        <f t="shared" si="33"/>
        <v>0</v>
      </c>
      <c r="H19" s="3">
        <f t="shared" si="33"/>
        <v>0</v>
      </c>
      <c r="I19" s="3">
        <f t="shared" si="33"/>
        <v>757255</v>
      </c>
      <c r="J19" s="3">
        <f t="shared" si="33"/>
        <v>0</v>
      </c>
      <c r="K19" s="3">
        <f t="shared" si="33"/>
        <v>0</v>
      </c>
      <c r="L19" s="3">
        <f t="shared" si="33"/>
        <v>0</v>
      </c>
      <c r="M19" s="3">
        <f t="shared" si="33"/>
        <v>2859906</v>
      </c>
      <c r="N19" s="3">
        <f t="shared" si="33"/>
        <v>0</v>
      </c>
      <c r="O19" s="3">
        <f t="shared" si="33"/>
        <v>0</v>
      </c>
      <c r="P19" s="3">
        <f t="shared" si="33"/>
        <v>112476722</v>
      </c>
      <c r="Q19" s="102">
        <f t="shared" si="33"/>
        <v>12677402</v>
      </c>
      <c r="R19" s="102">
        <f t="shared" si="33"/>
        <v>0</v>
      </c>
      <c r="S19" s="102">
        <f t="shared" si="33"/>
        <v>0</v>
      </c>
      <c r="T19" s="102">
        <f t="shared" si="33"/>
        <v>0</v>
      </c>
      <c r="U19" s="102">
        <f t="shared" si="33"/>
        <v>0</v>
      </c>
      <c r="V19" s="102">
        <f t="shared" si="33"/>
        <v>0</v>
      </c>
      <c r="W19" s="102">
        <f t="shared" si="33"/>
        <v>0</v>
      </c>
      <c r="X19" s="102">
        <f t="shared" si="33"/>
        <v>0</v>
      </c>
      <c r="Y19" s="102">
        <f t="shared" si="33"/>
        <v>0</v>
      </c>
      <c r="Z19" s="102">
        <f t="shared" si="33"/>
        <v>0</v>
      </c>
      <c r="AA19" s="102">
        <f t="shared" si="33"/>
        <v>0</v>
      </c>
      <c r="AB19" s="102">
        <f t="shared" si="33"/>
        <v>0</v>
      </c>
      <c r="AC19" s="102">
        <f t="shared" si="33"/>
        <v>0</v>
      </c>
      <c r="AD19" s="102">
        <f t="shared" si="33"/>
        <v>0</v>
      </c>
      <c r="AE19" s="102">
        <f t="shared" si="33"/>
        <v>0</v>
      </c>
      <c r="AF19" s="102">
        <f t="shared" si="33"/>
        <v>0</v>
      </c>
      <c r="AG19" s="102">
        <f t="shared" si="33"/>
        <v>0</v>
      </c>
      <c r="AH19" s="102">
        <f t="shared" si="33"/>
        <v>0</v>
      </c>
      <c r="AI19" s="102">
        <f t="shared" si="33"/>
        <v>0</v>
      </c>
      <c r="AJ19" s="102">
        <f t="shared" si="33"/>
        <v>0</v>
      </c>
      <c r="AK19" s="102">
        <f t="shared" si="33"/>
        <v>0</v>
      </c>
      <c r="AL19" s="102">
        <f t="shared" si="33"/>
        <v>0</v>
      </c>
      <c r="AM19" s="102">
        <f t="shared" si="33"/>
        <v>0</v>
      </c>
      <c r="AN19" s="102">
        <f t="shared" si="33"/>
        <v>0</v>
      </c>
      <c r="AO19" s="102">
        <f t="shared" si="33"/>
        <v>0</v>
      </c>
      <c r="AP19" s="102">
        <f t="shared" si="33"/>
        <v>0</v>
      </c>
      <c r="AQ19" s="102">
        <f t="shared" si="33"/>
        <v>12</v>
      </c>
      <c r="AR19" s="102"/>
      <c r="AS19" s="176">
        <f t="shared" si="2"/>
        <v>2.6230146563995687E-3</v>
      </c>
      <c r="AT19" s="176">
        <f t="shared" si="3"/>
        <v>5.6970155719802823E-3</v>
      </c>
      <c r="AU19" s="102"/>
      <c r="AV19" s="102"/>
      <c r="AW19" s="102"/>
      <c r="AX19" s="3"/>
      <c r="AZ19" s="102">
        <v>0</v>
      </c>
      <c r="BA19" s="3">
        <f t="shared" si="4"/>
        <v>0</v>
      </c>
      <c r="BB19" s="102">
        <v>0</v>
      </c>
      <c r="BC19" s="3">
        <f t="shared" si="5"/>
        <v>0</v>
      </c>
      <c r="BD19" s="102">
        <v>2859906</v>
      </c>
      <c r="BE19" s="177">
        <f t="shared" si="6"/>
        <v>0</v>
      </c>
      <c r="BF19" s="102">
        <v>0</v>
      </c>
      <c r="BG19" s="177">
        <f t="shared" si="7"/>
        <v>0</v>
      </c>
      <c r="BH19" s="102">
        <v>0</v>
      </c>
      <c r="BI19" s="177">
        <f t="shared" si="8"/>
        <v>0</v>
      </c>
      <c r="BJ19" s="102">
        <v>79574174</v>
      </c>
      <c r="BK19" s="177">
        <f t="shared" si="9"/>
        <v>32902548</v>
      </c>
      <c r="BL19" s="102">
        <v>0</v>
      </c>
      <c r="BM19" s="177">
        <f t="shared" si="10"/>
        <v>12677402</v>
      </c>
    </row>
    <row r="20" spans="1:65" ht="12.75" customHeight="1">
      <c r="A20" s="97" t="s">
        <v>287</v>
      </c>
      <c r="B20" s="98">
        <f>B21+B24</f>
        <v>0</v>
      </c>
      <c r="C20" s="98">
        <f t="shared" ref="C20:AQ20" si="34">C21+C24</f>
        <v>0</v>
      </c>
      <c r="D20" s="98">
        <f t="shared" si="34"/>
        <v>0</v>
      </c>
      <c r="E20" s="98">
        <f t="shared" si="34"/>
        <v>0</v>
      </c>
      <c r="F20" s="98">
        <f t="shared" si="34"/>
        <v>0</v>
      </c>
      <c r="G20" s="98">
        <f t="shared" si="34"/>
        <v>0</v>
      </c>
      <c r="H20" s="98">
        <f t="shared" si="34"/>
        <v>783646</v>
      </c>
      <c r="I20" s="98">
        <f t="shared" si="34"/>
        <v>1711017</v>
      </c>
      <c r="J20" s="98">
        <f t="shared" si="34"/>
        <v>1828178</v>
      </c>
      <c r="K20" s="98">
        <f t="shared" si="34"/>
        <v>2428702</v>
      </c>
      <c r="L20" s="98">
        <f t="shared" si="34"/>
        <v>4608399</v>
      </c>
      <c r="M20" s="98">
        <f t="shared" si="34"/>
        <v>5076623</v>
      </c>
      <c r="N20" s="98">
        <f t="shared" si="34"/>
        <v>15819877</v>
      </c>
      <c r="O20" s="98">
        <f t="shared" si="34"/>
        <v>24474789</v>
      </c>
      <c r="P20" s="98">
        <f t="shared" si="34"/>
        <v>111821187</v>
      </c>
      <c r="Q20" s="179">
        <f t="shared" si="34"/>
        <v>199544849.77585417</v>
      </c>
      <c r="R20" s="179">
        <f t="shared" si="34"/>
        <v>506973447.51700842</v>
      </c>
      <c r="S20" s="179">
        <f t="shared" si="34"/>
        <v>1391275926.2409575</v>
      </c>
      <c r="T20" s="179">
        <f t="shared" si="34"/>
        <v>1822933985.5028818</v>
      </c>
      <c r="U20" s="179">
        <f t="shared" si="34"/>
        <v>2375931690.9541168</v>
      </c>
      <c r="V20" s="179">
        <f t="shared" si="34"/>
        <v>3211344302.6346588</v>
      </c>
      <c r="W20" s="179">
        <f t="shared" si="34"/>
        <v>3713997976.9591804</v>
      </c>
      <c r="X20" s="179">
        <f t="shared" si="34"/>
        <v>4652809727.3923979</v>
      </c>
      <c r="Y20" s="179">
        <f t="shared" si="34"/>
        <v>4859432478.8126526</v>
      </c>
      <c r="Z20" s="179">
        <f t="shared" si="34"/>
        <v>5281948378.1976004</v>
      </c>
      <c r="AA20" s="179">
        <f t="shared" si="34"/>
        <v>5518016093.4527264</v>
      </c>
      <c r="AB20" s="179">
        <f t="shared" si="34"/>
        <v>4266137855.4501643</v>
      </c>
      <c r="AC20" s="179">
        <f t="shared" si="34"/>
        <v>4645709430.6949434</v>
      </c>
      <c r="AD20" s="179">
        <f t="shared" si="34"/>
        <v>5218424954.6126175</v>
      </c>
      <c r="AE20" s="179">
        <f t="shared" si="34"/>
        <v>5203839370.6424284</v>
      </c>
      <c r="AF20" s="179">
        <f t="shared" si="34"/>
        <v>5170171339.4643345</v>
      </c>
      <c r="AG20" s="179">
        <f t="shared" si="34"/>
        <v>5392342464.6620169</v>
      </c>
      <c r="AH20" s="179">
        <f t="shared" si="34"/>
        <v>5567151737.2504778</v>
      </c>
      <c r="AI20" s="179">
        <f t="shared" si="34"/>
        <v>5695093705.7201214</v>
      </c>
      <c r="AJ20" s="179">
        <f t="shared" si="34"/>
        <v>5760136815.4347763</v>
      </c>
      <c r="AK20" s="179">
        <f t="shared" si="34"/>
        <v>5931275417.8713303</v>
      </c>
      <c r="AL20" s="179">
        <f t="shared" si="34"/>
        <v>6256035650.7877865</v>
      </c>
      <c r="AM20" s="179">
        <f t="shared" si="34"/>
        <v>6481933723.3978138</v>
      </c>
      <c r="AN20" s="179">
        <f t="shared" si="34"/>
        <v>6489344908.4954033</v>
      </c>
      <c r="AO20" s="179">
        <f t="shared" si="34"/>
        <v>6478496340.6966381</v>
      </c>
      <c r="AP20" s="179">
        <f t="shared" si="34"/>
        <v>6630796675.0436459</v>
      </c>
      <c r="AQ20" s="179">
        <f t="shared" si="34"/>
        <v>7444282313.6806059</v>
      </c>
      <c r="AR20" s="102"/>
      <c r="AS20" s="176">
        <f t="shared" si="2"/>
        <v>4.1286776704810312E-2</v>
      </c>
      <c r="AT20" s="176">
        <f t="shared" si="3"/>
        <v>7.9921020790987164E-3</v>
      </c>
      <c r="AU20" s="186"/>
      <c r="AV20" s="102"/>
      <c r="AW20" s="102"/>
      <c r="AX20" s="3"/>
      <c r="AZ20" s="102">
        <v>2428369</v>
      </c>
      <c r="BA20" s="3">
        <f t="shared" si="4"/>
        <v>333</v>
      </c>
      <c r="BB20" s="102">
        <v>2959387.5611438751</v>
      </c>
      <c r="BC20" s="3">
        <f t="shared" si="5"/>
        <v>1649011.4388561249</v>
      </c>
      <c r="BD20" s="179">
        <v>6000000</v>
      </c>
      <c r="BE20" s="177">
        <f t="shared" si="6"/>
        <v>-923377</v>
      </c>
      <c r="BF20" s="179">
        <v>22466898</v>
      </c>
      <c r="BG20" s="177">
        <f t="shared" si="7"/>
        <v>-6647021</v>
      </c>
      <c r="BH20" s="179">
        <v>22500000</v>
      </c>
      <c r="BI20" s="177">
        <f t="shared" si="8"/>
        <v>1974789</v>
      </c>
      <c r="BJ20" s="179">
        <v>116690972.22222221</v>
      </c>
      <c r="BK20" s="177">
        <f t="shared" si="9"/>
        <v>-4869785.222222209</v>
      </c>
      <c r="BL20" s="179">
        <v>259349785.39407736</v>
      </c>
      <c r="BM20" s="177">
        <f t="shared" si="10"/>
        <v>-59804935.61822319</v>
      </c>
    </row>
    <row r="21" spans="1:65">
      <c r="A21" s="2" t="s">
        <v>224</v>
      </c>
      <c r="B21" s="177">
        <f>SUM(B22:B23)</f>
        <v>0</v>
      </c>
      <c r="C21" s="177">
        <f t="shared" ref="C21:AQ21" si="35">SUM(C22:C23)</f>
        <v>0</v>
      </c>
      <c r="D21" s="177">
        <f t="shared" si="35"/>
        <v>0</v>
      </c>
      <c r="E21" s="177">
        <f t="shared" si="35"/>
        <v>0</v>
      </c>
      <c r="F21" s="177">
        <f t="shared" si="35"/>
        <v>0</v>
      </c>
      <c r="G21" s="177">
        <f t="shared" si="35"/>
        <v>0</v>
      </c>
      <c r="H21" s="177">
        <f t="shared" si="35"/>
        <v>783646</v>
      </c>
      <c r="I21" s="177">
        <f t="shared" si="35"/>
        <v>1711017</v>
      </c>
      <c r="J21" s="177">
        <f t="shared" si="35"/>
        <v>1828178</v>
      </c>
      <c r="K21" s="177">
        <f t="shared" si="35"/>
        <v>2428702</v>
      </c>
      <c r="L21" s="177">
        <f t="shared" si="35"/>
        <v>4608399</v>
      </c>
      <c r="M21" s="177">
        <f t="shared" si="35"/>
        <v>5076623</v>
      </c>
      <c r="N21" s="177">
        <f t="shared" si="35"/>
        <v>7893137</v>
      </c>
      <c r="O21" s="177">
        <f t="shared" si="35"/>
        <v>12190797</v>
      </c>
      <c r="P21" s="177">
        <f t="shared" si="35"/>
        <v>38670770</v>
      </c>
      <c r="Q21" s="102">
        <f t="shared" si="35"/>
        <v>139544849.77585417</v>
      </c>
      <c r="R21" s="102">
        <f t="shared" si="35"/>
        <v>460884952.28818947</v>
      </c>
      <c r="S21" s="102">
        <f t="shared" si="35"/>
        <v>1325024691.6580548</v>
      </c>
      <c r="T21" s="102">
        <f t="shared" si="35"/>
        <v>1736127605.2408397</v>
      </c>
      <c r="U21" s="102">
        <f t="shared" si="35"/>
        <v>2273618843.0182934</v>
      </c>
      <c r="V21" s="102">
        <f t="shared" si="35"/>
        <v>3073056748.9326878</v>
      </c>
      <c r="W21" s="102">
        <f t="shared" si="35"/>
        <v>3588403842.4726381</v>
      </c>
      <c r="X21" s="102">
        <f t="shared" si="35"/>
        <v>4539326563.3096561</v>
      </c>
      <c r="Y21" s="102">
        <f t="shared" si="35"/>
        <v>4740909735.4269781</v>
      </c>
      <c r="Z21" s="102">
        <f t="shared" si="35"/>
        <v>5153120368.9732685</v>
      </c>
      <c r="AA21" s="102">
        <f t="shared" si="35"/>
        <v>5383430335.0758305</v>
      </c>
      <c r="AB21" s="102">
        <f t="shared" si="35"/>
        <v>4141881413.0584121</v>
      </c>
      <c r="AC21" s="102">
        <f t="shared" si="35"/>
        <v>4521371708.7055407</v>
      </c>
      <c r="AD21" s="102">
        <f t="shared" si="35"/>
        <v>5091146297.1830416</v>
      </c>
      <c r="AE21" s="102">
        <f t="shared" si="35"/>
        <v>5089329457.8410053</v>
      </c>
      <c r="AF21" s="102">
        <f t="shared" si="35"/>
        <v>5061352265.7506943</v>
      </c>
      <c r="AG21" s="102">
        <f t="shared" si="35"/>
        <v>5281432384.5857172</v>
      </c>
      <c r="AH21" s="102">
        <f t="shared" si="35"/>
        <v>5452646167.7281857</v>
      </c>
      <c r="AI21" s="102">
        <f t="shared" si="35"/>
        <v>5577956616.7679939</v>
      </c>
      <c r="AJ21" s="102">
        <f t="shared" si="35"/>
        <v>5641661915.2152557</v>
      </c>
      <c r="AK21" s="102">
        <f t="shared" si="35"/>
        <v>5809280526.8083544</v>
      </c>
      <c r="AL21" s="102">
        <f t="shared" si="35"/>
        <v>6127361068.3523865</v>
      </c>
      <c r="AM21" s="102">
        <f t="shared" si="35"/>
        <v>6348612853.4748421</v>
      </c>
      <c r="AN21" s="102">
        <f t="shared" si="35"/>
        <v>6355871604.794714</v>
      </c>
      <c r="AO21" s="102">
        <f t="shared" si="35"/>
        <v>6345246171.1034651</v>
      </c>
      <c r="AP21" s="102">
        <f t="shared" si="35"/>
        <v>6494413981.4335413</v>
      </c>
      <c r="AQ21" s="102">
        <f t="shared" si="35"/>
        <v>7291167790.0887423</v>
      </c>
      <c r="AR21" s="102"/>
      <c r="AS21" s="176">
        <f t="shared" si="2"/>
        <v>2.887249187074304E-2</v>
      </c>
      <c r="AT21" s="176">
        <f t="shared" si="3"/>
        <v>3.3805582105631161E-3</v>
      </c>
      <c r="AU21" s="186"/>
      <c r="AV21" s="102"/>
      <c r="AW21" s="102"/>
      <c r="AX21" s="3"/>
      <c r="AZ21" s="102">
        <v>2428369</v>
      </c>
      <c r="BA21" s="3">
        <f t="shared" si="4"/>
        <v>333</v>
      </c>
      <c r="BB21" s="102">
        <v>2959387.5611438751</v>
      </c>
      <c r="BC21" s="3">
        <f t="shared" si="5"/>
        <v>1649011.4388561249</v>
      </c>
      <c r="BD21" s="102">
        <v>6000000</v>
      </c>
      <c r="BE21" s="177">
        <f t="shared" si="6"/>
        <v>-923377</v>
      </c>
      <c r="BF21" s="102">
        <v>15983449.000000002</v>
      </c>
      <c r="BG21" s="177">
        <f t="shared" si="7"/>
        <v>-8090312.0000000019</v>
      </c>
      <c r="BH21" s="102">
        <v>12500000</v>
      </c>
      <c r="BI21" s="177">
        <f t="shared" si="8"/>
        <v>-309203</v>
      </c>
      <c r="BJ21" s="102">
        <v>40690972.222222216</v>
      </c>
      <c r="BK21" s="177">
        <f t="shared" si="9"/>
        <v>-2020202.2222222164</v>
      </c>
      <c r="BL21" s="102">
        <v>199349785.39407736</v>
      </c>
      <c r="BM21" s="177">
        <f t="shared" si="10"/>
        <v>-59804935.61822319</v>
      </c>
    </row>
    <row r="22" spans="1:65">
      <c r="A22" s="2" t="s">
        <v>285</v>
      </c>
      <c r="B22" s="3">
        <f>B353</f>
        <v>0</v>
      </c>
      <c r="C22" s="3">
        <f t="shared" ref="C22:P22" si="36">C353</f>
        <v>0</v>
      </c>
      <c r="D22" s="3">
        <f t="shared" si="36"/>
        <v>0</v>
      </c>
      <c r="E22" s="3">
        <f t="shared" si="36"/>
        <v>0</v>
      </c>
      <c r="F22" s="3">
        <f t="shared" si="36"/>
        <v>0</v>
      </c>
      <c r="G22" s="3">
        <f t="shared" si="36"/>
        <v>0</v>
      </c>
      <c r="H22" s="3">
        <f t="shared" si="36"/>
        <v>783646</v>
      </c>
      <c r="I22" s="3">
        <f t="shared" si="36"/>
        <v>1711017</v>
      </c>
      <c r="J22" s="3">
        <f t="shared" si="36"/>
        <v>1828178</v>
      </c>
      <c r="K22" s="3">
        <f t="shared" si="36"/>
        <v>2428702</v>
      </c>
      <c r="L22" s="3">
        <f t="shared" si="36"/>
        <v>4608399</v>
      </c>
      <c r="M22" s="3">
        <f t="shared" si="36"/>
        <v>5076623</v>
      </c>
      <c r="N22" s="3">
        <f t="shared" si="36"/>
        <v>7893137</v>
      </c>
      <c r="O22" s="3">
        <f t="shared" si="36"/>
        <v>12190797</v>
      </c>
      <c r="P22" s="3">
        <f t="shared" si="36"/>
        <v>38670770</v>
      </c>
      <c r="Q22" s="178">
        <f>('[2]10 Year RFS Curves (2020)'!J$48*1000000000)*1.75</f>
        <v>139544849.77585417</v>
      </c>
      <c r="R22" s="178">
        <f>('[2]10 Year RFS Curves (2020)'!K$48*1000000000)*1.25</f>
        <v>460884952.28818947</v>
      </c>
      <c r="S22" s="178">
        <f>('[2]10 Year RFS Curves (2020)'!L$48*1000000000)*1.5</f>
        <v>1325024691.6580548</v>
      </c>
      <c r="T22" s="178">
        <f>('[2]10 Year RFS Curves (2020)'!M$48*1000000000)*1.5</f>
        <v>1736127605.2408397</v>
      </c>
      <c r="U22" s="178">
        <f>('[2]10 Year RFS Curves (2020)'!N$48*1000000000)*1.5</f>
        <v>2273618843.0182934</v>
      </c>
      <c r="V22" s="178">
        <f>('[2]10 Year RFS Curves (2020)'!O$48*1000000000)*1.75</f>
        <v>3073056748.9326878</v>
      </c>
      <c r="W22" s="173">
        <f>('[2]10 Year RFS Curves (2020)'!P$48*1000000000)*1.75</f>
        <v>3588403842.4726381</v>
      </c>
      <c r="X22" s="173">
        <f>('[2]10 Year RFS Curves (2020)'!Q$48*1000000000)*1.65</f>
        <v>4539326563.3096561</v>
      </c>
      <c r="Y22" s="173">
        <f>('[2]10 Year RFS Curves (2020)'!R$48*1000000000)*1.5</f>
        <v>4740909735.4269781</v>
      </c>
      <c r="Z22" s="173">
        <f>('[2]10 Year RFS Curves (2020)'!S$48*1000000000)*1.55</f>
        <v>5153120368.9732685</v>
      </c>
      <c r="AA22" s="173">
        <f>('[2]10 Year RFS Curves (2020)'!T$48*1000000000)*1.5</f>
        <v>5383430335.0758305</v>
      </c>
      <c r="AB22" s="173">
        <f>('[2]10 Year RFS Curves (2020)'!U$48*1000000000)</f>
        <v>4141881413.0584121</v>
      </c>
      <c r="AC22" s="173">
        <f>('[2]10 Year RFS Curves (2020)'!V$48*1000000000)</f>
        <v>4521371708.7055407</v>
      </c>
      <c r="AD22" s="173">
        <f>('[2]10 Year RFS Curves (2020)'!W$48*1000000000)</f>
        <v>5091146297.1830416</v>
      </c>
      <c r="AE22" s="173">
        <f>('[2]10 Year RFS Curves (2020)'!X$48*1000000000)</f>
        <v>5089329457.8410053</v>
      </c>
      <c r="AF22" s="173">
        <f>('[2]10 Year RFS Curves (2020)'!Y$48*1000000000)-AF177</f>
        <v>5061352265.7506943</v>
      </c>
      <c r="AG22" s="173">
        <f>('[2]10 Year RFS Curves (2020)'!Z$48*1000000000)-AG177</f>
        <v>5281432384.5857172</v>
      </c>
      <c r="AH22" s="173">
        <f>('[2]10 Year RFS Curves (2020)'!AA$48*1000000000)-AH177</f>
        <v>5452646167.7281857</v>
      </c>
      <c r="AI22" s="173">
        <f>('[2]10 Year RFS Curves (2020)'!AB$48*1000000000)-AI177</f>
        <v>5577956616.7679939</v>
      </c>
      <c r="AJ22" s="173">
        <f>('[2]10 Year RFS Curves (2020)'!AC$48*1000000000)-AJ177</f>
        <v>5641661915.2152557</v>
      </c>
      <c r="AK22" s="173">
        <f>('[2]10 Year RFS Curves (2020)'!AD$48*1000000000)-AK177</f>
        <v>5809280526.8083544</v>
      </c>
      <c r="AL22" s="173">
        <f>('[2]10 Year RFS Curves (2020)'!AE$48*1000000000)-AL177</f>
        <v>6127361068.3523865</v>
      </c>
      <c r="AM22" s="173">
        <f>('[2]10 Year RFS Curves (2020)'!AF$48*1000000000)-AM177</f>
        <v>6348612853.4748421</v>
      </c>
      <c r="AN22" s="173">
        <f>('[2]10 Year RFS Curves (2020)'!AG$48*1000000000)-AN177</f>
        <v>6355871604.794714</v>
      </c>
      <c r="AO22" s="173">
        <f>('[2]10 Year RFS Curves (2020)'!AH$48*1000000000)-AO177</f>
        <v>6345246171.1034651</v>
      </c>
      <c r="AP22" s="173">
        <f>('[2]10 Year RFS Curves (2020)'!AI$48*1000000000)-AP177</f>
        <v>6494413981.4335413</v>
      </c>
      <c r="AQ22" s="173">
        <f>('[2]10 Year RFS Curves (2020)'!AJ$48*1000000000)-AQ177</f>
        <v>7291167790.0887423</v>
      </c>
      <c r="AR22" s="173"/>
      <c r="AS22" s="176">
        <f t="shared" si="2"/>
        <v>2.887249187074304E-2</v>
      </c>
      <c r="AT22" s="176">
        <f t="shared" si="3"/>
        <v>3.3805582105631161E-3</v>
      </c>
      <c r="AU22" s="186"/>
      <c r="AV22" s="102"/>
      <c r="AW22" s="102"/>
      <c r="AX22" s="3"/>
      <c r="AZ22" s="102">
        <v>2428369</v>
      </c>
      <c r="BA22" s="3">
        <f t="shared" si="4"/>
        <v>333</v>
      </c>
      <c r="BB22" s="102">
        <v>2959387.5611438751</v>
      </c>
      <c r="BC22" s="3">
        <f t="shared" si="5"/>
        <v>1649011.4388561249</v>
      </c>
      <c r="BD22" s="102">
        <v>6000000</v>
      </c>
      <c r="BE22" s="177">
        <f t="shared" si="6"/>
        <v>-923377</v>
      </c>
      <c r="BF22" s="102">
        <v>9500000.0000000019</v>
      </c>
      <c r="BG22" s="177">
        <f t="shared" si="7"/>
        <v>-1606863.0000000019</v>
      </c>
      <c r="BH22" s="173">
        <v>12500000</v>
      </c>
      <c r="BI22" s="177">
        <f t="shared" si="8"/>
        <v>-309203</v>
      </c>
      <c r="BJ22" s="173">
        <v>40690972.222222216</v>
      </c>
      <c r="BK22" s="177">
        <f t="shared" si="9"/>
        <v>-2020202.2222222164</v>
      </c>
      <c r="BL22" s="173">
        <v>199349785.39407736</v>
      </c>
      <c r="BM22" s="177">
        <f t="shared" si="10"/>
        <v>-59804935.61822319</v>
      </c>
    </row>
    <row r="23" spans="1:65">
      <c r="A23" s="2" t="s">
        <v>288</v>
      </c>
      <c r="B23" s="3">
        <f>B369</f>
        <v>0</v>
      </c>
      <c r="C23" s="3">
        <f t="shared" ref="C23:AQ23" si="37">C369</f>
        <v>0</v>
      </c>
      <c r="D23" s="3">
        <f t="shared" si="37"/>
        <v>0</v>
      </c>
      <c r="E23" s="3">
        <f t="shared" si="37"/>
        <v>0</v>
      </c>
      <c r="F23" s="3">
        <f t="shared" si="37"/>
        <v>0</v>
      </c>
      <c r="G23" s="3">
        <f t="shared" si="37"/>
        <v>0</v>
      </c>
      <c r="H23" s="3">
        <f t="shared" si="37"/>
        <v>0</v>
      </c>
      <c r="I23" s="3">
        <f t="shared" si="37"/>
        <v>0</v>
      </c>
      <c r="J23" s="3">
        <f t="shared" si="37"/>
        <v>0</v>
      </c>
      <c r="K23" s="3">
        <f t="shared" si="37"/>
        <v>0</v>
      </c>
      <c r="L23" s="3">
        <f t="shared" si="37"/>
        <v>0</v>
      </c>
      <c r="M23" s="3">
        <f t="shared" si="37"/>
        <v>0</v>
      </c>
      <c r="N23" s="3">
        <f t="shared" si="37"/>
        <v>0</v>
      </c>
      <c r="O23" s="3">
        <f t="shared" si="37"/>
        <v>0</v>
      </c>
      <c r="P23" s="102">
        <f t="shared" si="37"/>
        <v>0</v>
      </c>
      <c r="Q23" s="102">
        <f t="shared" si="37"/>
        <v>0</v>
      </c>
      <c r="R23" s="102">
        <f t="shared" si="37"/>
        <v>0</v>
      </c>
      <c r="S23" s="102">
        <f t="shared" si="37"/>
        <v>0</v>
      </c>
      <c r="T23" s="102">
        <f t="shared" si="37"/>
        <v>0</v>
      </c>
      <c r="U23" s="102">
        <f t="shared" si="37"/>
        <v>0</v>
      </c>
      <c r="V23" s="102">
        <f t="shared" si="37"/>
        <v>0</v>
      </c>
      <c r="W23" s="102">
        <f t="shared" si="37"/>
        <v>0</v>
      </c>
      <c r="X23" s="102">
        <f t="shared" si="37"/>
        <v>0</v>
      </c>
      <c r="Y23" s="102">
        <f t="shared" si="37"/>
        <v>0</v>
      </c>
      <c r="Z23" s="102">
        <f t="shared" si="37"/>
        <v>0</v>
      </c>
      <c r="AA23" s="102">
        <f t="shared" si="37"/>
        <v>0</v>
      </c>
      <c r="AB23" s="102">
        <f t="shared" si="37"/>
        <v>0</v>
      </c>
      <c r="AC23" s="102">
        <f t="shared" si="37"/>
        <v>0</v>
      </c>
      <c r="AD23" s="102">
        <f t="shared" si="37"/>
        <v>0</v>
      </c>
      <c r="AE23" s="102">
        <f t="shared" si="37"/>
        <v>0</v>
      </c>
      <c r="AF23" s="102">
        <f t="shared" si="37"/>
        <v>0</v>
      </c>
      <c r="AG23" s="102">
        <f t="shared" si="37"/>
        <v>0</v>
      </c>
      <c r="AH23" s="102">
        <f t="shared" si="37"/>
        <v>0</v>
      </c>
      <c r="AI23" s="102">
        <f t="shared" si="37"/>
        <v>0</v>
      </c>
      <c r="AJ23" s="102">
        <f t="shared" si="37"/>
        <v>0</v>
      </c>
      <c r="AK23" s="102">
        <f t="shared" si="37"/>
        <v>0</v>
      </c>
      <c r="AL23" s="102">
        <f t="shared" si="37"/>
        <v>0</v>
      </c>
      <c r="AM23" s="102">
        <f t="shared" si="37"/>
        <v>0</v>
      </c>
      <c r="AN23" s="102">
        <f t="shared" si="37"/>
        <v>0</v>
      </c>
      <c r="AO23" s="102">
        <f t="shared" si="37"/>
        <v>0</v>
      </c>
      <c r="AP23" s="102">
        <f t="shared" si="37"/>
        <v>0</v>
      </c>
      <c r="AQ23" s="102">
        <f t="shared" si="37"/>
        <v>0</v>
      </c>
      <c r="AR23" s="102"/>
      <c r="AS23" s="176">
        <f t="shared" si="2"/>
        <v>0</v>
      </c>
      <c r="AT23" s="176">
        <f t="shared" si="3"/>
        <v>0</v>
      </c>
      <c r="AU23" s="102"/>
      <c r="AV23" s="102"/>
      <c r="AW23" s="102"/>
      <c r="AX23" s="3"/>
      <c r="AZ23" s="102">
        <v>0</v>
      </c>
      <c r="BA23" s="3">
        <f t="shared" si="4"/>
        <v>0</v>
      </c>
      <c r="BB23" s="102">
        <v>0</v>
      </c>
      <c r="BC23" s="3">
        <f t="shared" si="5"/>
        <v>0</v>
      </c>
      <c r="BD23" s="102">
        <v>0</v>
      </c>
      <c r="BE23" s="177">
        <f t="shared" si="6"/>
        <v>0</v>
      </c>
      <c r="BF23" s="102">
        <v>0</v>
      </c>
      <c r="BG23" s="177">
        <f t="shared" si="7"/>
        <v>0</v>
      </c>
      <c r="BH23" s="102">
        <v>0</v>
      </c>
      <c r="BI23" s="177">
        <f t="shared" si="8"/>
        <v>0</v>
      </c>
      <c r="BJ23" s="102">
        <v>0</v>
      </c>
      <c r="BK23" s="177">
        <f t="shared" si="9"/>
        <v>0</v>
      </c>
      <c r="BL23" s="102">
        <v>0</v>
      </c>
      <c r="BM23" s="177">
        <f t="shared" si="10"/>
        <v>0</v>
      </c>
    </row>
    <row r="24" spans="1:65" ht="13.5" thickBot="1">
      <c r="A24" s="2" t="s">
        <v>282</v>
      </c>
      <c r="B24" s="3">
        <f>B385</f>
        <v>0</v>
      </c>
      <c r="C24" s="3">
        <f t="shared" ref="C24:P24" si="38">C385</f>
        <v>0</v>
      </c>
      <c r="D24" s="3">
        <f t="shared" si="38"/>
        <v>0</v>
      </c>
      <c r="E24" s="3">
        <f t="shared" si="38"/>
        <v>0</v>
      </c>
      <c r="F24" s="3">
        <f t="shared" si="38"/>
        <v>0</v>
      </c>
      <c r="G24" s="3">
        <f t="shared" si="38"/>
        <v>0</v>
      </c>
      <c r="H24" s="3">
        <f t="shared" si="38"/>
        <v>0</v>
      </c>
      <c r="I24" s="3">
        <f t="shared" si="38"/>
        <v>0</v>
      </c>
      <c r="J24" s="3">
        <f t="shared" si="38"/>
        <v>0</v>
      </c>
      <c r="K24" s="3">
        <f t="shared" si="38"/>
        <v>0</v>
      </c>
      <c r="L24" s="3">
        <f t="shared" si="38"/>
        <v>0</v>
      </c>
      <c r="M24" s="3">
        <f t="shared" si="38"/>
        <v>0</v>
      </c>
      <c r="N24" s="3">
        <f t="shared" si="38"/>
        <v>7926740</v>
      </c>
      <c r="O24" s="3">
        <f t="shared" si="38"/>
        <v>12283992</v>
      </c>
      <c r="P24" s="3">
        <f t="shared" si="38"/>
        <v>73150417</v>
      </c>
      <c r="Q24" s="185">
        <f>65000000-5000000</f>
        <v>60000000</v>
      </c>
      <c r="R24" s="185">
        <f>R22*0.1</f>
        <v>46088495.228818953</v>
      </c>
      <c r="S24" s="185">
        <f>S22*0.05</f>
        <v>66251234.582902744</v>
      </c>
      <c r="T24" s="185">
        <f t="shared" ref="T24" si="39">T22*0.05</f>
        <v>86806380.262041986</v>
      </c>
      <c r="U24" s="185">
        <f>U22*0.045</f>
        <v>102312847.9358232</v>
      </c>
      <c r="V24" s="185">
        <f>V22*0.045</f>
        <v>138287553.70197093</v>
      </c>
      <c r="W24" s="185">
        <f>W22*0.035</f>
        <v>125594134.48654234</v>
      </c>
      <c r="X24" s="185">
        <f>X22*0.025</f>
        <v>113483164.08274141</v>
      </c>
      <c r="Y24" s="185">
        <f>Y22*0.025</f>
        <v>118522743.38567446</v>
      </c>
      <c r="Z24" s="185">
        <f>Z22*0.025</f>
        <v>128828009.22433172</v>
      </c>
      <c r="AA24" s="185">
        <f>AA22*0.025</f>
        <v>134585758.37689576</v>
      </c>
      <c r="AB24" s="102">
        <f>AB22*0.03</f>
        <v>124256442.39175236</v>
      </c>
      <c r="AC24" s="102">
        <f>AC22*0.0275</f>
        <v>124337721.98940237</v>
      </c>
      <c r="AD24" s="102">
        <f>AD22*0.025</f>
        <v>127278657.42957604</v>
      </c>
      <c r="AE24" s="102">
        <f>AE22*0.0225</f>
        <v>114509912.80142261</v>
      </c>
      <c r="AF24" s="102">
        <f>AF22*0.0215</f>
        <v>108819073.71363991</v>
      </c>
      <c r="AG24" s="102">
        <f t="shared" ref="AG24:AQ24" si="40">AG22*0.021</f>
        <v>110910080.07630007</v>
      </c>
      <c r="AH24" s="102">
        <f t="shared" si="40"/>
        <v>114505569.5222919</v>
      </c>
      <c r="AI24" s="102">
        <f t="shared" si="40"/>
        <v>117137088.95212787</v>
      </c>
      <c r="AJ24" s="102">
        <f t="shared" si="40"/>
        <v>118474900.21952038</v>
      </c>
      <c r="AK24" s="102">
        <f t="shared" si="40"/>
        <v>121994891.06297545</v>
      </c>
      <c r="AL24" s="102">
        <f t="shared" si="40"/>
        <v>128674582.43540013</v>
      </c>
      <c r="AM24" s="102">
        <f t="shared" si="40"/>
        <v>133320869.9229717</v>
      </c>
      <c r="AN24" s="102">
        <f t="shared" si="40"/>
        <v>133473303.700689</v>
      </c>
      <c r="AO24" s="102">
        <f t="shared" si="40"/>
        <v>133250169.59317277</v>
      </c>
      <c r="AP24" s="102">
        <f t="shared" si="40"/>
        <v>136382693.61010438</v>
      </c>
      <c r="AQ24" s="102">
        <f t="shared" si="40"/>
        <v>153114523.5918636</v>
      </c>
      <c r="AR24" s="102"/>
      <c r="AS24" s="176">
        <f t="shared" si="2"/>
        <v>1.2414284834067273E-2</v>
      </c>
      <c r="AT24" s="176">
        <f t="shared" si="3"/>
        <v>4.6115438685355994E-3</v>
      </c>
      <c r="AU24" s="102"/>
      <c r="AV24" s="102"/>
      <c r="AW24" s="102"/>
      <c r="AX24" s="3"/>
      <c r="AZ24" s="102">
        <v>0</v>
      </c>
      <c r="BA24" s="3">
        <f t="shared" si="4"/>
        <v>0</v>
      </c>
      <c r="BB24" s="102">
        <v>0</v>
      </c>
      <c r="BC24" s="3">
        <f t="shared" si="5"/>
        <v>0</v>
      </c>
      <c r="BD24" s="102">
        <v>0</v>
      </c>
      <c r="BE24" s="177">
        <f t="shared" si="6"/>
        <v>0</v>
      </c>
      <c r="BF24" s="102">
        <v>6483449</v>
      </c>
      <c r="BG24" s="177">
        <f t="shared" si="7"/>
        <v>1443291</v>
      </c>
      <c r="BH24" s="102">
        <v>10000000</v>
      </c>
      <c r="BI24" s="177">
        <f t="shared" si="8"/>
        <v>2283992</v>
      </c>
      <c r="BJ24" s="102">
        <v>76000000</v>
      </c>
      <c r="BK24" s="177">
        <f t="shared" si="9"/>
        <v>-2849583</v>
      </c>
      <c r="BL24" s="102">
        <v>60000000</v>
      </c>
      <c r="BM24" s="177">
        <f t="shared" si="10"/>
        <v>0</v>
      </c>
    </row>
    <row r="25" spans="1:65">
      <c r="A25" s="97" t="s">
        <v>289</v>
      </c>
      <c r="B25" s="98">
        <f t="shared" ref="B25:J25" si="41">B401</f>
        <v>0</v>
      </c>
      <c r="C25" s="98">
        <f t="shared" si="41"/>
        <v>0</v>
      </c>
      <c r="D25" s="98">
        <f t="shared" si="41"/>
        <v>0</v>
      </c>
      <c r="E25" s="98">
        <f t="shared" si="41"/>
        <v>0</v>
      </c>
      <c r="F25" s="98">
        <f t="shared" si="41"/>
        <v>0</v>
      </c>
      <c r="G25" s="98">
        <f t="shared" si="41"/>
        <v>0</v>
      </c>
      <c r="H25" s="98">
        <f t="shared" si="41"/>
        <v>0</v>
      </c>
      <c r="I25" s="98">
        <f t="shared" si="41"/>
        <v>0</v>
      </c>
      <c r="J25" s="98">
        <f t="shared" si="41"/>
        <v>0</v>
      </c>
      <c r="K25" s="98">
        <f>K401</f>
        <v>4815</v>
      </c>
      <c r="L25" s="98">
        <f>L401</f>
        <v>5865</v>
      </c>
      <c r="M25" s="98">
        <f>M401</f>
        <v>395432</v>
      </c>
      <c r="N25" s="98">
        <f>N401</f>
        <v>343875</v>
      </c>
      <c r="O25" s="98">
        <f>O401</f>
        <v>755926</v>
      </c>
      <c r="P25" s="98">
        <f t="shared" ref="P25:AQ25" si="42">P401</f>
        <v>98746</v>
      </c>
      <c r="Q25" s="179">
        <f t="shared" si="42"/>
        <v>0</v>
      </c>
      <c r="R25" s="179">
        <f t="shared" si="42"/>
        <v>0</v>
      </c>
      <c r="S25" s="179">
        <f t="shared" si="42"/>
        <v>0</v>
      </c>
      <c r="T25" s="179">
        <f t="shared" si="42"/>
        <v>0</v>
      </c>
      <c r="U25" s="179">
        <f t="shared" si="42"/>
        <v>0</v>
      </c>
      <c r="V25" s="179">
        <f t="shared" si="42"/>
        <v>0</v>
      </c>
      <c r="W25" s="179">
        <f t="shared" si="42"/>
        <v>0</v>
      </c>
      <c r="X25" s="179">
        <f t="shared" si="42"/>
        <v>0</v>
      </c>
      <c r="Y25" s="179">
        <f t="shared" si="42"/>
        <v>0</v>
      </c>
      <c r="Z25" s="179">
        <f t="shared" si="42"/>
        <v>0</v>
      </c>
      <c r="AA25" s="179">
        <f t="shared" si="42"/>
        <v>0</v>
      </c>
      <c r="AB25" s="179">
        <f t="shared" si="42"/>
        <v>0</v>
      </c>
      <c r="AC25" s="179">
        <f t="shared" si="42"/>
        <v>0</v>
      </c>
      <c r="AD25" s="179">
        <f t="shared" si="42"/>
        <v>0</v>
      </c>
      <c r="AE25" s="179">
        <f t="shared" si="42"/>
        <v>0</v>
      </c>
      <c r="AF25" s="179">
        <f t="shared" si="42"/>
        <v>0</v>
      </c>
      <c r="AG25" s="179">
        <f t="shared" si="42"/>
        <v>0</v>
      </c>
      <c r="AH25" s="179">
        <f t="shared" si="42"/>
        <v>0</v>
      </c>
      <c r="AI25" s="179">
        <f t="shared" si="42"/>
        <v>0</v>
      </c>
      <c r="AJ25" s="179">
        <f t="shared" si="42"/>
        <v>0</v>
      </c>
      <c r="AK25" s="179">
        <f t="shared" si="42"/>
        <v>0</v>
      </c>
      <c r="AL25" s="179">
        <f t="shared" si="42"/>
        <v>0</v>
      </c>
      <c r="AM25" s="179">
        <f t="shared" si="42"/>
        <v>0</v>
      </c>
      <c r="AN25" s="179">
        <f t="shared" si="42"/>
        <v>0</v>
      </c>
      <c r="AO25" s="179">
        <f t="shared" si="42"/>
        <v>0</v>
      </c>
      <c r="AP25" s="179">
        <f t="shared" si="42"/>
        <v>0</v>
      </c>
      <c r="AQ25" s="179">
        <f t="shared" si="42"/>
        <v>12</v>
      </c>
      <c r="AR25" s="102"/>
      <c r="AS25" s="176">
        <f t="shared" si="2"/>
        <v>0</v>
      </c>
      <c r="AT25" s="176">
        <f t="shared" si="3"/>
        <v>7.902377881846193E-5</v>
      </c>
      <c r="AU25" s="102"/>
      <c r="AV25" s="102"/>
      <c r="AW25" s="102"/>
      <c r="AX25" s="3"/>
      <c r="AZ25" s="102">
        <v>4815</v>
      </c>
      <c r="BA25" s="3">
        <f t="shared" si="4"/>
        <v>0</v>
      </c>
      <c r="BB25" s="102">
        <v>0</v>
      </c>
      <c r="BC25" s="3">
        <f t="shared" si="5"/>
        <v>5865</v>
      </c>
      <c r="BD25" s="179">
        <v>0</v>
      </c>
      <c r="BE25" s="177">
        <f t="shared" si="6"/>
        <v>395432</v>
      </c>
      <c r="BF25" s="179">
        <v>23712</v>
      </c>
      <c r="BG25" s="177">
        <f t="shared" si="7"/>
        <v>320163</v>
      </c>
      <c r="BH25" s="179">
        <v>755926</v>
      </c>
      <c r="BI25" s="177">
        <f t="shared" si="8"/>
        <v>0</v>
      </c>
      <c r="BJ25" s="179">
        <v>98746</v>
      </c>
      <c r="BK25" s="177">
        <f t="shared" si="9"/>
        <v>0</v>
      </c>
      <c r="BL25" s="179">
        <v>0</v>
      </c>
      <c r="BM25" s="177">
        <f t="shared" si="10"/>
        <v>0</v>
      </c>
    </row>
    <row r="26" spans="1:65" ht="13.5" thickBot="1">
      <c r="A26" s="2" t="s">
        <v>260</v>
      </c>
      <c r="B26" s="177">
        <f t="shared" ref="B26:J26" si="43">B417</f>
        <v>0</v>
      </c>
      <c r="C26" s="177">
        <f t="shared" si="43"/>
        <v>0</v>
      </c>
      <c r="D26" s="177">
        <f t="shared" si="43"/>
        <v>0</v>
      </c>
      <c r="E26" s="177">
        <f t="shared" si="43"/>
        <v>0</v>
      </c>
      <c r="F26" s="177">
        <f t="shared" si="43"/>
        <v>0</v>
      </c>
      <c r="G26" s="177">
        <f t="shared" si="43"/>
        <v>0</v>
      </c>
      <c r="H26" s="177">
        <f t="shared" si="43"/>
        <v>0</v>
      </c>
      <c r="I26" s="177">
        <f t="shared" si="43"/>
        <v>0</v>
      </c>
      <c r="J26" s="177">
        <f t="shared" si="43"/>
        <v>0</v>
      </c>
      <c r="K26" s="177">
        <f>K417</f>
        <v>4815</v>
      </c>
      <c r="L26" s="177">
        <f>L417</f>
        <v>5865</v>
      </c>
      <c r="M26" s="177">
        <f>M417</f>
        <v>395432</v>
      </c>
      <c r="N26" s="177">
        <f>N417</f>
        <v>343875</v>
      </c>
      <c r="O26" s="177">
        <f>O417</f>
        <v>755926</v>
      </c>
      <c r="P26" s="177">
        <f t="shared" ref="P26:AQ26" si="44">P417</f>
        <v>98746</v>
      </c>
      <c r="Q26" s="102">
        <f t="shared" si="44"/>
        <v>0</v>
      </c>
      <c r="R26" s="102">
        <f t="shared" si="44"/>
        <v>0</v>
      </c>
      <c r="S26" s="102">
        <f t="shared" si="44"/>
        <v>0</v>
      </c>
      <c r="T26" s="102">
        <f t="shared" si="44"/>
        <v>0</v>
      </c>
      <c r="U26" s="102">
        <f t="shared" si="44"/>
        <v>0</v>
      </c>
      <c r="V26" s="102">
        <f t="shared" si="44"/>
        <v>0</v>
      </c>
      <c r="W26" s="102">
        <f t="shared" si="44"/>
        <v>0</v>
      </c>
      <c r="X26" s="102">
        <f t="shared" si="44"/>
        <v>0</v>
      </c>
      <c r="Y26" s="102">
        <f t="shared" si="44"/>
        <v>0</v>
      </c>
      <c r="Z26" s="102">
        <f t="shared" si="44"/>
        <v>0</v>
      </c>
      <c r="AA26" s="102">
        <f t="shared" si="44"/>
        <v>0</v>
      </c>
      <c r="AB26" s="102">
        <f t="shared" si="44"/>
        <v>0</v>
      </c>
      <c r="AC26" s="102">
        <f t="shared" si="44"/>
        <v>0</v>
      </c>
      <c r="AD26" s="102">
        <f t="shared" si="44"/>
        <v>0</v>
      </c>
      <c r="AE26" s="102">
        <f t="shared" si="44"/>
        <v>0</v>
      </c>
      <c r="AF26" s="102">
        <f t="shared" si="44"/>
        <v>0</v>
      </c>
      <c r="AG26" s="102">
        <f t="shared" si="44"/>
        <v>0</v>
      </c>
      <c r="AH26" s="102">
        <f t="shared" si="44"/>
        <v>0</v>
      </c>
      <c r="AI26" s="102">
        <f t="shared" si="44"/>
        <v>0</v>
      </c>
      <c r="AJ26" s="102">
        <f t="shared" si="44"/>
        <v>0</v>
      </c>
      <c r="AK26" s="102">
        <f t="shared" si="44"/>
        <v>0</v>
      </c>
      <c r="AL26" s="102">
        <f t="shared" si="44"/>
        <v>0</v>
      </c>
      <c r="AM26" s="102">
        <f t="shared" si="44"/>
        <v>0</v>
      </c>
      <c r="AN26" s="102">
        <f t="shared" si="44"/>
        <v>0</v>
      </c>
      <c r="AO26" s="102">
        <f t="shared" si="44"/>
        <v>0</v>
      </c>
      <c r="AP26" s="102">
        <f t="shared" si="44"/>
        <v>0</v>
      </c>
      <c r="AQ26" s="102">
        <f t="shared" si="44"/>
        <v>1</v>
      </c>
      <c r="AR26" s="102"/>
      <c r="AS26" s="176">
        <f t="shared" si="2"/>
        <v>0</v>
      </c>
      <c r="AT26" s="176">
        <f t="shared" si="3"/>
        <v>7.902377881846193E-5</v>
      </c>
      <c r="AU26" s="102"/>
      <c r="AV26" s="102"/>
      <c r="AW26" s="102"/>
      <c r="AX26" s="3"/>
      <c r="AZ26" s="102">
        <v>4815</v>
      </c>
      <c r="BA26" s="3">
        <f t="shared" si="4"/>
        <v>0</v>
      </c>
      <c r="BB26" s="102">
        <v>0</v>
      </c>
      <c r="BC26" s="3">
        <f t="shared" si="5"/>
        <v>5865</v>
      </c>
      <c r="BD26" s="102">
        <v>0</v>
      </c>
      <c r="BE26" s="177">
        <f t="shared" si="6"/>
        <v>395432</v>
      </c>
      <c r="BF26" s="102">
        <v>23712</v>
      </c>
      <c r="BG26" s="177">
        <f t="shared" si="7"/>
        <v>320163</v>
      </c>
      <c r="BH26" s="102">
        <v>755926</v>
      </c>
      <c r="BI26" s="177">
        <f t="shared" si="8"/>
        <v>0</v>
      </c>
      <c r="BJ26" s="102">
        <v>98746</v>
      </c>
      <c r="BK26" s="177">
        <f t="shared" si="9"/>
        <v>0</v>
      </c>
      <c r="BL26" s="102">
        <v>0</v>
      </c>
      <c r="BM26" s="177">
        <f t="shared" si="10"/>
        <v>0</v>
      </c>
    </row>
    <row r="27" spans="1:65" ht="13.5" thickBot="1">
      <c r="A27" s="97" t="s">
        <v>290</v>
      </c>
      <c r="B27" s="98">
        <f t="shared" ref="B27:M27" si="45">B20+B7+B3+B25</f>
        <v>215402913</v>
      </c>
      <c r="C27" s="98">
        <f t="shared" si="45"/>
        <v>1122699193</v>
      </c>
      <c r="D27" s="98">
        <f t="shared" si="45"/>
        <v>1146899177</v>
      </c>
      <c r="E27" s="98">
        <f t="shared" si="45"/>
        <v>1794304869</v>
      </c>
      <c r="F27" s="98">
        <f t="shared" si="45"/>
        <v>1763434468</v>
      </c>
      <c r="G27" s="98">
        <f t="shared" si="45"/>
        <v>1823117873</v>
      </c>
      <c r="H27" s="98">
        <f t="shared" si="45"/>
        <v>2616026976</v>
      </c>
      <c r="I27" s="98">
        <f t="shared" si="45"/>
        <v>2505344787</v>
      </c>
      <c r="J27" s="98">
        <f t="shared" si="45"/>
        <v>2517304692</v>
      </c>
      <c r="K27" s="98">
        <f t="shared" si="45"/>
        <v>2662800495</v>
      </c>
      <c r="L27" s="98">
        <f t="shared" si="45"/>
        <v>2881104219</v>
      </c>
      <c r="M27" s="98">
        <f t="shared" si="45"/>
        <v>3093329263</v>
      </c>
      <c r="N27" s="98">
        <f>N20+N7+N3+N25</f>
        <v>3627527131</v>
      </c>
      <c r="O27" s="98">
        <f>O20+O7+O3+O25</f>
        <v>4975757093</v>
      </c>
      <c r="P27" s="179">
        <f>P20+P7+P3+P25</f>
        <v>5667378440</v>
      </c>
      <c r="Q27" s="179">
        <f>Q20+Q7+Q3+Q25</f>
        <v>4833141884.6898079</v>
      </c>
      <c r="R27" s="179">
        <f>R20+R7+R3</f>
        <v>5041411423.7157116</v>
      </c>
      <c r="S27" s="179">
        <f>S20+S7+S3</f>
        <v>6184797808.7787647</v>
      </c>
      <c r="T27" s="179">
        <f>T20+T7+T3</f>
        <v>6369777287.9926529</v>
      </c>
      <c r="U27" s="179">
        <f>U20+U7+U3</f>
        <v>7097710620.1153088</v>
      </c>
      <c r="V27" s="179">
        <f>V20+V7+V3</f>
        <v>8076866286.2662449</v>
      </c>
      <c r="W27" s="179">
        <f>FORECAST(W32,N27:U27,N32:U32)-435000000</f>
        <v>8495230649.2937317</v>
      </c>
      <c r="X27" s="179">
        <f>FORECAST(X32,O27:V27,O32:V32)-485000000</f>
        <v>8908934059.8601837</v>
      </c>
      <c r="Y27" s="179">
        <f>FORECAST(Y32,P27:W27,P32:W32)-500000000</f>
        <v>9166521189.9269791</v>
      </c>
      <c r="Z27" s="179">
        <f t="shared" ref="Z27:AQ27" si="46">FORECAST(Z32,Q27:X27,Q32:X32)</f>
        <v>10058858624.274889</v>
      </c>
      <c r="AA27" s="179">
        <f t="shared" si="46"/>
        <v>10580853756.067358</v>
      </c>
      <c r="AB27" s="179">
        <f t="shared" si="46"/>
        <v>11397186794.113491</v>
      </c>
      <c r="AC27" s="179">
        <f t="shared" si="46"/>
        <v>12387382568.746052</v>
      </c>
      <c r="AD27" s="179">
        <f t="shared" si="46"/>
        <v>13567006817.155287</v>
      </c>
      <c r="AE27" s="179">
        <f t="shared" si="46"/>
        <v>13414403353.11562</v>
      </c>
      <c r="AF27" s="179">
        <f t="shared" si="46"/>
        <v>12806043263.536032</v>
      </c>
      <c r="AG27" s="179">
        <f t="shared" si="46"/>
        <v>13389848543.554562</v>
      </c>
      <c r="AH27" s="179">
        <f t="shared" si="46"/>
        <v>13743510724.11058</v>
      </c>
      <c r="AI27" s="179">
        <f t="shared" si="46"/>
        <v>13787266285.187384</v>
      </c>
      <c r="AJ27" s="179">
        <f t="shared" si="46"/>
        <v>13841644124.113209</v>
      </c>
      <c r="AK27" s="179">
        <f t="shared" si="46"/>
        <v>13821990360.765467</v>
      </c>
      <c r="AL27" s="179">
        <f t="shared" si="46"/>
        <v>13758137093.410372</v>
      </c>
      <c r="AM27" s="179">
        <f t="shared" si="46"/>
        <v>13754506924.904646</v>
      </c>
      <c r="AN27" s="179">
        <f t="shared" si="46"/>
        <v>13813008316.096136</v>
      </c>
      <c r="AO27" s="179">
        <f t="shared" si="46"/>
        <v>13837834302.40781</v>
      </c>
      <c r="AP27" s="179">
        <f t="shared" si="46"/>
        <v>13811817660.640841</v>
      </c>
      <c r="AQ27" s="179">
        <f t="shared" si="46"/>
        <v>14908233926.987417</v>
      </c>
      <c r="AR27" s="102"/>
      <c r="AS27" s="102"/>
      <c r="AT27" s="102"/>
      <c r="AU27" s="102"/>
      <c r="AV27" s="102"/>
      <c r="AW27" s="102"/>
      <c r="AX27" s="3"/>
      <c r="AZ27" s="102">
        <v>2662540768</v>
      </c>
      <c r="BA27" s="3">
        <f t="shared" si="4"/>
        <v>259727</v>
      </c>
      <c r="BB27" s="102">
        <v>2875791570.5611439</v>
      </c>
      <c r="BC27" s="3">
        <f t="shared" si="5"/>
        <v>5312648.4388561249</v>
      </c>
      <c r="BD27" s="179">
        <v>3006313876.9704461</v>
      </c>
      <c r="BE27" s="177">
        <f t="shared" si="6"/>
        <v>87015386.02955389</v>
      </c>
      <c r="BF27" s="179">
        <v>3563562946.7041473</v>
      </c>
      <c r="BG27" s="177">
        <f t="shared" si="7"/>
        <v>63964184.295852661</v>
      </c>
      <c r="BH27" s="179">
        <v>4947214225.8793526</v>
      </c>
      <c r="BI27" s="177">
        <f t="shared" si="8"/>
        <v>28542867.12064743</v>
      </c>
      <c r="BJ27" s="179">
        <v>5506162240.0714273</v>
      </c>
      <c r="BK27" s="177">
        <f t="shared" si="9"/>
        <v>161216199.92857265</v>
      </c>
      <c r="BL27" s="179">
        <v>3711997555.1594005</v>
      </c>
      <c r="BM27" s="177">
        <f t="shared" si="10"/>
        <v>1121144329.5304074</v>
      </c>
    </row>
    <row r="28" spans="1:65" ht="13.5" thickBot="1">
      <c r="A28" s="97"/>
      <c r="B28" s="98"/>
      <c r="C28" s="98"/>
      <c r="D28" s="98"/>
      <c r="E28" s="98"/>
      <c r="F28" s="98"/>
      <c r="G28" s="98"/>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02"/>
      <c r="AS28" s="187"/>
      <c r="AT28" s="102">
        <f>'[2]10 Year RFS Curves (2020)'!$H$31*1000000000-(O12)</f>
        <v>59490005</v>
      </c>
      <c r="AU28" s="102"/>
      <c r="AV28" s="102"/>
      <c r="AW28" s="102"/>
      <c r="AX28" s="3"/>
      <c r="BH28" s="102">
        <v>-41315177.723724097</v>
      </c>
    </row>
    <row r="29" spans="1:65" ht="13.5" thickBot="1">
      <c r="A29" s="97" t="s">
        <v>230</v>
      </c>
      <c r="B29" s="80">
        <v>2010</v>
      </c>
      <c r="C29" s="80">
        <v>2011</v>
      </c>
      <c r="D29" s="80">
        <v>2012</v>
      </c>
      <c r="E29" s="80">
        <v>2013</v>
      </c>
      <c r="F29" s="80">
        <v>2014</v>
      </c>
      <c r="G29" s="80">
        <v>2015</v>
      </c>
      <c r="H29" s="80">
        <v>2016</v>
      </c>
      <c r="I29" s="80">
        <v>2017</v>
      </c>
      <c r="J29" s="80">
        <v>2018</v>
      </c>
      <c r="K29" s="80">
        <v>2019</v>
      </c>
      <c r="L29" s="80">
        <v>2020</v>
      </c>
      <c r="M29" s="80">
        <v>2021</v>
      </c>
      <c r="N29" s="80">
        <v>2022</v>
      </c>
      <c r="O29" s="80">
        <v>2023</v>
      </c>
      <c r="P29" s="80">
        <v>2024</v>
      </c>
      <c r="Q29" s="80">
        <v>2025</v>
      </c>
      <c r="R29" s="80">
        <v>2026</v>
      </c>
      <c r="S29" s="80">
        <v>2027</v>
      </c>
      <c r="T29" s="80">
        <v>2028</v>
      </c>
      <c r="U29" s="80">
        <v>2029</v>
      </c>
      <c r="V29" s="80">
        <v>2030</v>
      </c>
      <c r="W29" s="80">
        <v>2031</v>
      </c>
      <c r="X29" s="80">
        <v>2032</v>
      </c>
      <c r="Y29" s="80">
        <v>2033</v>
      </c>
      <c r="Z29" s="80">
        <v>2034</v>
      </c>
      <c r="AA29" s="80">
        <v>2035</v>
      </c>
      <c r="AB29" s="80">
        <v>2036</v>
      </c>
      <c r="AC29" s="80">
        <v>2037</v>
      </c>
      <c r="AD29" s="80">
        <v>2038</v>
      </c>
      <c r="AE29" s="80">
        <v>2039</v>
      </c>
      <c r="AF29" s="80">
        <v>2040</v>
      </c>
      <c r="AG29" s="80">
        <v>2041</v>
      </c>
      <c r="AH29" s="80">
        <v>2042</v>
      </c>
      <c r="AI29" s="80">
        <v>2043</v>
      </c>
      <c r="AJ29" s="80">
        <v>2044</v>
      </c>
      <c r="AK29" s="80">
        <v>2045</v>
      </c>
      <c r="AL29" s="80">
        <v>2046</v>
      </c>
      <c r="AM29" s="80">
        <v>2047</v>
      </c>
      <c r="AN29" s="80">
        <v>2048</v>
      </c>
      <c r="AO29" s="80">
        <v>2049</v>
      </c>
      <c r="AP29" s="80">
        <v>2050</v>
      </c>
      <c r="AQ29" s="80">
        <v>2051</v>
      </c>
      <c r="AR29" s="94"/>
      <c r="AS29" s="94">
        <v>420293635.61456054</v>
      </c>
      <c r="AT29" s="102">
        <f>AS29-O12</f>
        <v>-968285.38543945551</v>
      </c>
      <c r="AU29" s="102"/>
      <c r="AV29" s="94"/>
      <c r="AW29" s="94"/>
      <c r="AX29" s="3"/>
      <c r="BH29" s="3">
        <f>O12+'D6 Gallon Forecast'!O14</f>
        <v>480751926</v>
      </c>
    </row>
    <row r="30" spans="1:65">
      <c r="A30" s="103" t="s">
        <v>291</v>
      </c>
      <c r="B30" s="105"/>
      <c r="C30" s="104">
        <f>'[1]RVO Forecast'!B$12</f>
        <v>800000000</v>
      </c>
      <c r="D30" s="104">
        <f>'[1]RVO Forecast'!C$12</f>
        <v>1000000000</v>
      </c>
      <c r="E30" s="104">
        <f>'[1]RVO Forecast'!D$12</f>
        <v>1280000000</v>
      </c>
      <c r="F30" s="104">
        <f>'[1]RVO Forecast'!E$12</f>
        <v>1607000678.2990732</v>
      </c>
      <c r="G30" s="104">
        <f>'[1]RVO Forecast'!F$12</f>
        <v>1696502697.0283363</v>
      </c>
      <c r="H30" s="188">
        <f>'[1]RVO Forecast'!G$12</f>
        <v>1852768849.40136</v>
      </c>
      <c r="I30" s="188">
        <f>'[1]RVO Forecast'!H$12</f>
        <v>1886163175.7256532</v>
      </c>
      <c r="J30" s="188">
        <f>'[1]RVO Forecast'!I$12</f>
        <v>1823845493.174691</v>
      </c>
      <c r="K30" s="188">
        <f>'[1]RVO Forecast'!J$12</f>
        <v>2040942846.4795012</v>
      </c>
      <c r="L30" s="188">
        <f>'[1]RVO Forecast'!K$12</f>
        <v>2430000000</v>
      </c>
      <c r="M30" s="188">
        <f>'[1]RVO Forecast'!L$12</f>
        <v>2430000000</v>
      </c>
      <c r="N30" s="188">
        <f>'[1]RVO Forecast'!M$12</f>
        <v>2760000000</v>
      </c>
      <c r="O30" s="188">
        <f>'[1]RVO Forecast'!N$12</f>
        <v>2820000000</v>
      </c>
      <c r="P30" s="188">
        <f>'[1]RVO Forecast'!O$12</f>
        <v>3040000000</v>
      </c>
      <c r="Q30" s="188">
        <f>'[1]RVO Forecast'!P$12</f>
        <v>3378931774.017262</v>
      </c>
      <c r="R30" s="188">
        <f>'[1]RVO Forecast'!Q$12</f>
        <v>3516306328.1700525</v>
      </c>
      <c r="S30" s="105">
        <f>'[1]RVO Forecast'!R$12</f>
        <v>3776476722.9982152</v>
      </c>
      <c r="T30" s="105">
        <f>'[1]RVO Forecast'!S$12</f>
        <v>4147013920.3089705</v>
      </c>
      <c r="U30" s="105">
        <f>'[1]RVO Forecast'!T$12</f>
        <v>4447838951.0375614</v>
      </c>
      <c r="V30" s="105">
        <f>'[1]RVO Forecast'!U$12</f>
        <v>4743663433.8042765</v>
      </c>
      <c r="W30" s="105">
        <f>'[1]RVO Forecast'!V$12</f>
        <v>5041241588.0127554</v>
      </c>
      <c r="X30" s="105">
        <f>'[1]RVO Forecast'!W$12</f>
        <v>5338276774.0388565</v>
      </c>
      <c r="Y30" s="105">
        <f>'[1]RVO Forecast'!X$12</f>
        <v>5575572167.897089</v>
      </c>
      <c r="Z30" s="105">
        <f>'[1]RVO Forecast'!Y$12</f>
        <v>5839106215.9091578</v>
      </c>
      <c r="AA30" s="105">
        <f>'[1]RVO Forecast'!Z$12</f>
        <v>6160482632.5303802</v>
      </c>
      <c r="AB30" s="105">
        <f>'[1]RVO Forecast'!AA$12</f>
        <v>6549375784.0912361</v>
      </c>
      <c r="AC30" s="105">
        <f>'[1]RVO Forecast'!AB$12</f>
        <v>6945882653.2310762</v>
      </c>
      <c r="AD30" s="105">
        <f>'[1]RVO Forecast'!AC$12</f>
        <v>7389233826.9896603</v>
      </c>
      <c r="AE30" s="105">
        <f>'[1]RVO Forecast'!AD$12</f>
        <v>7615382717.7077303</v>
      </c>
      <c r="AF30" s="105">
        <f>'[1]RVO Forecast'!AE$12</f>
        <v>7772953470.5639648</v>
      </c>
      <c r="AG30" s="105">
        <f>'[1]RVO Forecast'!AF$12</f>
        <v>8117186175.1188421</v>
      </c>
      <c r="AH30" s="105">
        <f>'[1]RVO Forecast'!AG$12</f>
        <v>8558036109.3519659</v>
      </c>
      <c r="AI30" s="105">
        <f>'[1]RVO Forecast'!AH$12</f>
        <v>8962891975.8992329</v>
      </c>
      <c r="AJ30" s="105">
        <f>'[1]RVO Forecast'!AI$12</f>
        <v>9357974461.7109127</v>
      </c>
      <c r="AK30" s="105">
        <f>'[1]RVO Forecast'!AJ$12</f>
        <v>9749613670.9338055</v>
      </c>
      <c r="AL30" s="105">
        <f>'[1]RVO Forecast'!AK$12</f>
        <v>10138486213.700048</v>
      </c>
      <c r="AM30" s="105">
        <f>'[1]RVO Forecast'!AL$12</f>
        <v>10534022553.233406</v>
      </c>
      <c r="AN30" s="105">
        <f>'[1]RVO Forecast'!AM$12</f>
        <v>11035912870.623487</v>
      </c>
      <c r="AO30" s="105">
        <f>'[1]RVO Forecast'!AN$12</f>
        <v>11533717282.677498</v>
      </c>
      <c r="AP30" s="105">
        <f>'[1]RVO Forecast'!AO$12</f>
        <v>12026692558.21026</v>
      </c>
      <c r="AQ30" s="105">
        <f>'[1]RVO Forecast'!AP$12</f>
        <v>12520839717.116732</v>
      </c>
      <c r="AR30" s="4"/>
      <c r="AS30" s="4">
        <v>0</v>
      </c>
      <c r="AT30" s="102">
        <f>AS30-O13</f>
        <v>0</v>
      </c>
      <c r="AU30" s="118"/>
      <c r="AV30" s="118"/>
      <c r="AW30" s="118"/>
      <c r="AX30" s="3"/>
      <c r="AZ30" s="118"/>
      <c r="BA30" s="118"/>
      <c r="BB30" s="118"/>
      <c r="BC30" s="118"/>
      <c r="BD30" s="118"/>
      <c r="BE30" s="118"/>
      <c r="BG30" s="118"/>
      <c r="BH30" s="118" t="s">
        <v>292</v>
      </c>
      <c r="BI30" s="118"/>
    </row>
    <row r="31" spans="1:65">
      <c r="A31" s="94" t="s">
        <v>293</v>
      </c>
      <c r="B31" s="3"/>
      <c r="C31" s="3">
        <f>'[1]RVO Forecast'!B$28</f>
        <v>0</v>
      </c>
      <c r="D31" s="3">
        <f>'[1]RVO Forecast'!C$28</f>
        <v>0</v>
      </c>
      <c r="E31" s="3">
        <f>'[1]RVO Forecast'!D$28</f>
        <v>0</v>
      </c>
      <c r="F31" s="3">
        <f>'[1]RVO Forecast'!E$28</f>
        <v>0</v>
      </c>
      <c r="G31" s="3">
        <f>'[1]RVO Forecast'!F$28</f>
        <v>0</v>
      </c>
      <c r="H31" s="173">
        <f>'[1]RVO Forecast'!G$28</f>
        <v>127547217.34636845</v>
      </c>
      <c r="I31" s="173">
        <f>'[1]RVO Forecast'!H$28</f>
        <v>218797570.5199776</v>
      </c>
      <c r="J31" s="173">
        <f>'[1]RVO Forecast'!I$28</f>
        <v>0</v>
      </c>
      <c r="K31" s="173">
        <f>'[1]RVO Forecast'!J$28</f>
        <v>317782351.82184386</v>
      </c>
      <c r="L31" s="173">
        <f>'[1]RVO Forecast'!K$28</f>
        <v>770354975.1158253</v>
      </c>
      <c r="M31" s="173">
        <f>'[1]RVO Forecast'!L$28</f>
        <v>1143844653.181586</v>
      </c>
      <c r="N31" s="173">
        <f>'[1]RVO Forecast'!M$28</f>
        <v>1179787074.2355742</v>
      </c>
      <c r="O31" s="173">
        <f>'[1]RVO Forecast'!N$28</f>
        <v>1277328705.9734712</v>
      </c>
      <c r="P31" s="173">
        <f>'[1]RVO Forecast'!O$28</f>
        <v>1371646363.5656216</v>
      </c>
      <c r="Q31" s="173">
        <f>'[1]RVO Forecast'!P$28</f>
        <v>1152466246.2804017</v>
      </c>
      <c r="R31" s="173">
        <f>'[1]RVO Forecast'!Q$28</f>
        <v>1100187503.6729975</v>
      </c>
      <c r="S31" s="4">
        <f>'[1]RVO Forecast'!R$28</f>
        <v>1222101708.2666216</v>
      </c>
      <c r="T31" s="4">
        <f>'[1]RVO Forecast'!S$28</f>
        <v>1210659181.4724696</v>
      </c>
      <c r="U31" s="4">
        <f>'[1]RVO Forecast'!T$28</f>
        <v>1597585126.8964586</v>
      </c>
      <c r="V31" s="4">
        <f>'[1]RVO Forecast'!U$28</f>
        <v>1869433908.4215834</v>
      </c>
      <c r="W31" s="4">
        <f>'[1]RVO Forecast'!V$28</f>
        <v>2146995772.9375966</v>
      </c>
      <c r="X31" s="4">
        <f>'[1]RVO Forecast'!W$28</f>
        <v>2425620399.4827695</v>
      </c>
      <c r="Y31" s="4">
        <f>'[1]RVO Forecast'!X$28</f>
        <v>2455266238.9839926</v>
      </c>
      <c r="Z31" s="4">
        <f>'[1]RVO Forecast'!Y$28</f>
        <v>2606494285.7042737</v>
      </c>
      <c r="AA31" s="4">
        <f>'[1]RVO Forecast'!Z$28</f>
        <v>2954521973.201869</v>
      </c>
      <c r="AB31" s="4">
        <f>'[1]RVO Forecast'!AA$28</f>
        <v>3348050863.8143954</v>
      </c>
      <c r="AC31" s="4">
        <f>'[1]RVO Forecast'!AB$28</f>
        <v>3791657693.1257582</v>
      </c>
      <c r="AD31" s="4">
        <f>'[1]RVO Forecast'!AC$28</f>
        <v>4486240845.9113607</v>
      </c>
      <c r="AE31" s="4">
        <f>'[1]RVO Forecast'!AD$28</f>
        <v>4133710775.5853877</v>
      </c>
      <c r="AF31" s="4">
        <f>'[1]RVO Forecast'!AE$28</f>
        <v>3376269837.1424589</v>
      </c>
      <c r="AG31" s="4">
        <f>'[1]RVO Forecast'!AF$28</f>
        <v>3566103968.3783598</v>
      </c>
      <c r="AH31" s="4">
        <f>'[1]RVO Forecast'!AG$28</f>
        <v>3458515640.4349589</v>
      </c>
      <c r="AI31" s="4">
        <f>'[1]RVO Forecast'!AH$28</f>
        <v>3130163206.5497561</v>
      </c>
      <c r="AJ31" s="4">
        <f>'[1]RVO Forecast'!AI$28</f>
        <v>2754499734.3945193</v>
      </c>
      <c r="AK31" s="4">
        <f>'[1]RVO Forecast'!AJ$28</f>
        <v>2351553349.3290162</v>
      </c>
      <c r="AL31" s="4">
        <f>'[1]RVO Forecast'!AK$28</f>
        <v>1910763554.9238183</v>
      </c>
      <c r="AM31" s="4">
        <f>'[1]RVO Forecast'!AL$28</f>
        <v>1508925327.2528522</v>
      </c>
      <c r="AN31" s="4">
        <f>'[1]RVO Forecast'!AM$28</f>
        <v>1061400568.4799429</v>
      </c>
      <c r="AO31" s="4">
        <f>'[1]RVO Forecast'!AN$28</f>
        <v>584843175.79171658</v>
      </c>
      <c r="AP31" s="4">
        <f>'[1]RVO Forecast'!AO$28</f>
        <v>69425544.219546497</v>
      </c>
      <c r="AQ31" s="4">
        <f>'[1]RVO Forecast'!AP$28</f>
        <v>665615846.68849909</v>
      </c>
      <c r="AR31" s="4"/>
      <c r="AS31" s="4">
        <v>28703608.524267506</v>
      </c>
      <c r="AT31" s="102">
        <f>AS31-O14</f>
        <v>243205.52426750585</v>
      </c>
      <c r="AU31" s="4"/>
      <c r="AV31" s="4"/>
      <c r="AW31" s="4"/>
      <c r="AX31" s="3"/>
      <c r="BG31" s="189"/>
      <c r="BH31" s="83">
        <f>'D6 Gallon Forecast'!BL27</f>
        <v>0.84231482499999999</v>
      </c>
      <c r="BI31" s="189"/>
    </row>
    <row r="32" spans="1:65" ht="13.5" thickBot="1">
      <c r="A32" s="94" t="s">
        <v>294</v>
      </c>
      <c r="B32" s="3"/>
      <c r="C32" s="3">
        <f t="shared" ref="C32:K32" si="47">C31+C30</f>
        <v>800000000</v>
      </c>
      <c r="D32" s="3">
        <f t="shared" si="47"/>
        <v>1000000000</v>
      </c>
      <c r="E32" s="3">
        <f t="shared" si="47"/>
        <v>1280000000</v>
      </c>
      <c r="F32" s="3">
        <f t="shared" si="47"/>
        <v>1607000678.2990732</v>
      </c>
      <c r="G32" s="3">
        <f t="shared" si="47"/>
        <v>1696502697.0283363</v>
      </c>
      <c r="H32" s="3">
        <f t="shared" si="47"/>
        <v>1980316066.7477286</v>
      </c>
      <c r="I32" s="3">
        <f t="shared" si="47"/>
        <v>2104960746.2456307</v>
      </c>
      <c r="J32" s="3">
        <f t="shared" si="47"/>
        <v>1823845493.174691</v>
      </c>
      <c r="K32" s="3">
        <f t="shared" si="47"/>
        <v>2358725198.3013449</v>
      </c>
      <c r="L32" s="3">
        <f>L31+L30</f>
        <v>3200354975.1158252</v>
      </c>
      <c r="M32" s="3">
        <f>M31+M30</f>
        <v>3573844653.1815863</v>
      </c>
      <c r="N32" s="3">
        <f>N31+N30</f>
        <v>3939787074.2355742</v>
      </c>
      <c r="O32" s="3">
        <f>O31+O30</f>
        <v>4097328705.9734712</v>
      </c>
      <c r="P32" s="4">
        <f t="shared" ref="P32:AQ32" si="48">P31+P30</f>
        <v>4411646363.5656214</v>
      </c>
      <c r="Q32" s="4">
        <f t="shared" si="48"/>
        <v>4531398020.2976637</v>
      </c>
      <c r="R32" s="4">
        <f t="shared" si="48"/>
        <v>4616493831.84305</v>
      </c>
      <c r="S32" s="4">
        <f t="shared" si="48"/>
        <v>4998578431.2648373</v>
      </c>
      <c r="T32" s="4">
        <f t="shared" si="48"/>
        <v>5357673101.7814398</v>
      </c>
      <c r="U32" s="4">
        <f t="shared" si="48"/>
        <v>6045424077.93402</v>
      </c>
      <c r="V32" s="4">
        <f t="shared" si="48"/>
        <v>6613097342.2258596</v>
      </c>
      <c r="W32" s="4">
        <f t="shared" si="48"/>
        <v>7188237360.9503517</v>
      </c>
      <c r="X32" s="4">
        <f t="shared" si="48"/>
        <v>7763897173.5216255</v>
      </c>
      <c r="Y32" s="4">
        <f t="shared" si="48"/>
        <v>8030838406.8810816</v>
      </c>
      <c r="Z32" s="4">
        <f t="shared" si="48"/>
        <v>8445600501.6134319</v>
      </c>
      <c r="AA32" s="4">
        <f t="shared" si="48"/>
        <v>9115004605.7322502</v>
      </c>
      <c r="AB32" s="4">
        <f t="shared" si="48"/>
        <v>9897426647.905632</v>
      </c>
      <c r="AC32" s="4">
        <f t="shared" si="48"/>
        <v>10737540346.356834</v>
      </c>
      <c r="AD32" s="4">
        <f t="shared" si="48"/>
        <v>11875474672.90102</v>
      </c>
      <c r="AE32" s="4">
        <f t="shared" si="48"/>
        <v>11749093493.293118</v>
      </c>
      <c r="AF32" s="4">
        <f t="shared" si="48"/>
        <v>11149223307.706425</v>
      </c>
      <c r="AG32" s="4">
        <f t="shared" si="48"/>
        <v>11683290143.497202</v>
      </c>
      <c r="AH32" s="4">
        <f t="shared" si="48"/>
        <v>12016551749.786924</v>
      </c>
      <c r="AI32" s="4">
        <f t="shared" si="48"/>
        <v>12093055182.44899</v>
      </c>
      <c r="AJ32" s="4">
        <f t="shared" si="48"/>
        <v>12112474196.105433</v>
      </c>
      <c r="AK32" s="4">
        <f t="shared" si="48"/>
        <v>12101167020.262821</v>
      </c>
      <c r="AL32" s="4">
        <f t="shared" si="48"/>
        <v>12049249768.623867</v>
      </c>
      <c r="AM32" s="4">
        <f t="shared" si="48"/>
        <v>12042947880.486258</v>
      </c>
      <c r="AN32" s="4">
        <f t="shared" si="48"/>
        <v>12097313439.10343</v>
      </c>
      <c r="AO32" s="4">
        <f t="shared" si="48"/>
        <v>12118560458.469215</v>
      </c>
      <c r="AP32" s="4">
        <f t="shared" si="48"/>
        <v>12096118102.429808</v>
      </c>
      <c r="AQ32" s="4">
        <f t="shared" si="48"/>
        <v>13186455563.805231</v>
      </c>
      <c r="AR32" s="4"/>
      <c r="AS32" s="4">
        <v>391590027.09029305</v>
      </c>
      <c r="AT32" s="102">
        <f>AS32-O15</f>
        <v>-1211490.9097069502</v>
      </c>
      <c r="AU32" s="4"/>
      <c r="AV32" s="4"/>
      <c r="AW32" s="4"/>
      <c r="AX32" s="3"/>
      <c r="BG32" s="172"/>
      <c r="BH32" s="190" t="s">
        <v>295</v>
      </c>
      <c r="BI32" s="172"/>
    </row>
    <row r="33" spans="1:105">
      <c r="A33" s="191" t="s">
        <v>296</v>
      </c>
      <c r="B33" s="100"/>
      <c r="C33" s="101">
        <f>C27-C32</f>
        <v>322699193</v>
      </c>
      <c r="D33" s="101">
        <f t="shared" ref="D33:L33" si="49">D27-D32</f>
        <v>146899177</v>
      </c>
      <c r="E33" s="101">
        <f t="shared" si="49"/>
        <v>514304869</v>
      </c>
      <c r="F33" s="101">
        <f t="shared" si="49"/>
        <v>156433789.70092678</v>
      </c>
      <c r="G33" s="101">
        <f t="shared" si="49"/>
        <v>126615175.97166371</v>
      </c>
      <c r="H33" s="101">
        <f t="shared" si="49"/>
        <v>635710909.25227141</v>
      </c>
      <c r="I33" s="101">
        <f t="shared" si="49"/>
        <v>400384040.75436926</v>
      </c>
      <c r="J33" s="101">
        <f t="shared" si="49"/>
        <v>693459198.82530904</v>
      </c>
      <c r="K33" s="101">
        <f t="shared" si="49"/>
        <v>304075296.69865513</v>
      </c>
      <c r="L33" s="101">
        <f t="shared" si="49"/>
        <v>-319250756.11582518</v>
      </c>
      <c r="M33" s="101">
        <f>M27-M32</f>
        <v>-480515390.18158627</v>
      </c>
      <c r="N33" s="101">
        <f>N27-N32</f>
        <v>-312259943.23557425</v>
      </c>
      <c r="O33" s="101">
        <f>O27-O32</f>
        <v>878428387.02652884</v>
      </c>
      <c r="P33" s="100">
        <f t="shared" ref="P33:AQ33" si="50">P27-P32</f>
        <v>1255732076.4343786</v>
      </c>
      <c r="Q33" s="100">
        <f t="shared" si="50"/>
        <v>301743864.3921442</v>
      </c>
      <c r="R33" s="100">
        <f t="shared" si="50"/>
        <v>424917591.87266159</v>
      </c>
      <c r="S33" s="100">
        <f t="shared" si="50"/>
        <v>1186219377.5139275</v>
      </c>
      <c r="T33" s="100">
        <f t="shared" si="50"/>
        <v>1012104186.2112131</v>
      </c>
      <c r="U33" s="100">
        <f t="shared" si="50"/>
        <v>1052286542.1812887</v>
      </c>
      <c r="V33" s="100">
        <f t="shared" si="50"/>
        <v>1463768944.0403852</v>
      </c>
      <c r="W33" s="100">
        <f t="shared" si="50"/>
        <v>1306993288.34338</v>
      </c>
      <c r="X33" s="100">
        <f t="shared" si="50"/>
        <v>1145036886.3385582</v>
      </c>
      <c r="Y33" s="100">
        <f t="shared" si="50"/>
        <v>1135682783.0458975</v>
      </c>
      <c r="Z33" s="100">
        <f t="shared" si="50"/>
        <v>1613258122.6614571</v>
      </c>
      <c r="AA33" s="100">
        <f t="shared" si="50"/>
        <v>1465849150.3351078</v>
      </c>
      <c r="AB33" s="100">
        <f t="shared" si="50"/>
        <v>1499760146.207859</v>
      </c>
      <c r="AC33" s="100">
        <f t="shared" si="50"/>
        <v>1649842222.3892174</v>
      </c>
      <c r="AD33" s="100">
        <f t="shared" si="50"/>
        <v>1691532144.2542667</v>
      </c>
      <c r="AE33" s="100">
        <f t="shared" si="50"/>
        <v>1665309859.8225021</v>
      </c>
      <c r="AF33" s="100">
        <f t="shared" si="50"/>
        <v>1656819955.829607</v>
      </c>
      <c r="AG33" s="100">
        <f t="shared" si="50"/>
        <v>1706558400.0573597</v>
      </c>
      <c r="AH33" s="100">
        <f t="shared" si="50"/>
        <v>1726958974.3236561</v>
      </c>
      <c r="AI33" s="100">
        <f t="shared" si="50"/>
        <v>1694211102.7383938</v>
      </c>
      <c r="AJ33" s="100">
        <f t="shared" si="50"/>
        <v>1729169928.0077763</v>
      </c>
      <c r="AK33" s="100">
        <f t="shared" si="50"/>
        <v>1720823340.5026455</v>
      </c>
      <c r="AL33" s="100">
        <f t="shared" si="50"/>
        <v>1708887324.7865047</v>
      </c>
      <c r="AM33" s="100">
        <f t="shared" si="50"/>
        <v>1711559044.4183884</v>
      </c>
      <c r="AN33" s="100">
        <f t="shared" si="50"/>
        <v>1715694876.9927063</v>
      </c>
      <c r="AO33" s="100">
        <f t="shared" si="50"/>
        <v>1719273843.9385948</v>
      </c>
      <c r="AP33" s="100">
        <f t="shared" si="50"/>
        <v>1715699558.2110329</v>
      </c>
      <c r="AQ33" s="100">
        <f t="shared" si="50"/>
        <v>1721778363.1821861</v>
      </c>
      <c r="AR33" s="4"/>
      <c r="AS33" s="4"/>
      <c r="AT33" s="192"/>
      <c r="AU33" s="4"/>
      <c r="AV33" s="4"/>
      <c r="AW33" s="4"/>
      <c r="AX33" s="3"/>
      <c r="BH33" s="193" t="s">
        <v>297</v>
      </c>
    </row>
    <row r="34" spans="1:105">
      <c r="B34" s="4"/>
      <c r="C34" s="192">
        <f>C33/C32</f>
        <v>0.40337399125000001</v>
      </c>
      <c r="D34" s="192">
        <f t="shared" ref="D34:AQ34" si="51">D33/D32</f>
        <v>0.14689917699999999</v>
      </c>
      <c r="E34" s="192">
        <f t="shared" si="51"/>
        <v>0.40180067890624999</v>
      </c>
      <c r="F34" s="192">
        <f t="shared" si="51"/>
        <v>9.7345192079510395E-2</v>
      </c>
      <c r="G34" s="192">
        <f t="shared" si="51"/>
        <v>7.4633053158977017E-2</v>
      </c>
      <c r="H34" s="192">
        <f t="shared" si="51"/>
        <v>0.32101487228566444</v>
      </c>
      <c r="I34" s="192">
        <f t="shared" si="51"/>
        <v>0.19020974213817851</v>
      </c>
      <c r="J34" s="192">
        <f t="shared" si="51"/>
        <v>0.38021817167101907</v>
      </c>
      <c r="K34" s="192">
        <f t="shared" si="51"/>
        <v>0.12891510080005819</v>
      </c>
      <c r="L34" s="192">
        <f t="shared" si="51"/>
        <v>-9.9754795514291686E-2</v>
      </c>
      <c r="M34" s="192">
        <f>M33/M32</f>
        <v>-0.13445335117009391</v>
      </c>
      <c r="N34" s="192">
        <f>N33/N32</f>
        <v>-7.9258075970047484E-2</v>
      </c>
      <c r="O34" s="192">
        <f t="shared" si="51"/>
        <v>0.21439050905187892</v>
      </c>
      <c r="P34" s="192">
        <f>P33/P32</f>
        <v>0.28464023925513815</v>
      </c>
      <c r="Q34" s="192">
        <f t="shared" si="51"/>
        <v>6.658957413154426E-2</v>
      </c>
      <c r="R34" s="192">
        <f t="shared" si="51"/>
        <v>9.2043357437568821E-2</v>
      </c>
      <c r="S34" s="192">
        <f t="shared" si="51"/>
        <v>0.23731134638088838</v>
      </c>
      <c r="T34" s="192">
        <f t="shared" si="51"/>
        <v>0.1889074168923606</v>
      </c>
      <c r="U34" s="192">
        <f t="shared" si="51"/>
        <v>0.17406331278266587</v>
      </c>
      <c r="V34" s="192">
        <f t="shared" si="51"/>
        <v>0.22134392831237301</v>
      </c>
      <c r="W34" s="192">
        <f t="shared" si="51"/>
        <v>0.18182389127041618</v>
      </c>
      <c r="X34" s="192">
        <f t="shared" si="51"/>
        <v>0.14748223227938256</v>
      </c>
      <c r="Y34" s="192">
        <f t="shared" si="51"/>
        <v>0.14141522036762785</v>
      </c>
      <c r="Z34" s="192">
        <f t="shared" si="51"/>
        <v>0.19101757445823578</v>
      </c>
      <c r="AA34" s="192">
        <f t="shared" si="51"/>
        <v>0.16081715958906523</v>
      </c>
      <c r="AB34" s="192">
        <f t="shared" si="51"/>
        <v>0.15153031182355053</v>
      </c>
      <c r="AC34" s="192">
        <f t="shared" si="51"/>
        <v>0.15365178329215742</v>
      </c>
      <c r="AD34" s="192">
        <f t="shared" si="51"/>
        <v>0.14243911850649824</v>
      </c>
      <c r="AE34" s="192">
        <f t="shared" si="51"/>
        <v>0.14173943383573651</v>
      </c>
      <c r="AF34" s="192">
        <f t="shared" si="51"/>
        <v>0.14860406954845015</v>
      </c>
      <c r="AG34" s="192">
        <f t="shared" si="51"/>
        <v>0.14606830602484117</v>
      </c>
      <c r="AH34" s="192">
        <f t="shared" si="51"/>
        <v>0.14371501993941632</v>
      </c>
      <c r="AI34" s="192">
        <f t="shared" si="51"/>
        <v>0.14009785593282106</v>
      </c>
      <c r="AJ34" s="192">
        <f t="shared" si="51"/>
        <v>0.14275943131121488</v>
      </c>
      <c r="AK34" s="192">
        <f t="shared" si="51"/>
        <v>0.14220308980292642</v>
      </c>
      <c r="AL34" s="192">
        <f t="shared" si="51"/>
        <v>0.14182520551913791</v>
      </c>
      <c r="AM34" s="192">
        <f t="shared" si="51"/>
        <v>0.14212126975918465</v>
      </c>
      <c r="AN34" s="192">
        <f t="shared" si="51"/>
        <v>0.14182445429965332</v>
      </c>
      <c r="AO34" s="192">
        <f t="shared" si="51"/>
        <v>0.1418711281616834</v>
      </c>
      <c r="AP34" s="192">
        <f t="shared" si="51"/>
        <v>0.14183885637379745</v>
      </c>
      <c r="AQ34" s="192">
        <f t="shared" si="51"/>
        <v>0.13057173361340554</v>
      </c>
      <c r="AR34" s="192"/>
      <c r="AS34" s="192"/>
      <c r="AT34" s="192"/>
      <c r="AU34" s="192"/>
      <c r="AV34" s="192"/>
      <c r="AW34" s="4"/>
      <c r="AX34" s="3"/>
      <c r="AZ34" s="3"/>
    </row>
    <row r="35" spans="1:105" ht="16.5" thickBot="1">
      <c r="A35" s="109" t="s">
        <v>298</v>
      </c>
      <c r="B35" s="3"/>
      <c r="C35" s="3"/>
      <c r="D35" s="3"/>
      <c r="E35" s="3"/>
      <c r="F35" s="3"/>
      <c r="G35" s="3"/>
      <c r="H35" s="3"/>
      <c r="I35" s="83">
        <f t="shared" ref="I35:N35" si="52">I27/I30-1</f>
        <v>0.32827573947102029</v>
      </c>
      <c r="J35" s="83">
        <f t="shared" si="52"/>
        <v>0.38021817167101912</v>
      </c>
      <c r="K35" s="83">
        <f t="shared" si="52"/>
        <v>0.30469135850284301</v>
      </c>
      <c r="L35" s="83">
        <f t="shared" si="52"/>
        <v>0.18563959629629623</v>
      </c>
      <c r="M35" s="83">
        <f t="shared" si="52"/>
        <v>0.27297500534979413</v>
      </c>
      <c r="N35" s="83">
        <f t="shared" si="52"/>
        <v>0.31432142427536225</v>
      </c>
      <c r="O35" s="83">
        <f>O27/O30-1</f>
        <v>0.76445286985815608</v>
      </c>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4"/>
      <c r="AX35" s="3"/>
      <c r="AZ35" s="3"/>
    </row>
    <row r="36" spans="1:105" ht="14.25" thickBot="1">
      <c r="A36" s="110"/>
      <c r="B36" s="111">
        <f t="shared" ref="B36:K36" si="53">B2</f>
        <v>2010</v>
      </c>
      <c r="C36" s="111">
        <f t="shared" si="53"/>
        <v>2011</v>
      </c>
      <c r="D36" s="111">
        <f t="shared" si="53"/>
        <v>2012</v>
      </c>
      <c r="E36" s="111">
        <f t="shared" si="53"/>
        <v>2013</v>
      </c>
      <c r="F36" s="111">
        <f t="shared" si="53"/>
        <v>2014</v>
      </c>
      <c r="G36" s="111">
        <f t="shared" si="53"/>
        <v>2015</v>
      </c>
      <c r="H36" s="111">
        <f t="shared" si="53"/>
        <v>2016</v>
      </c>
      <c r="I36" s="111">
        <f t="shared" si="53"/>
        <v>2017</v>
      </c>
      <c r="J36" s="111">
        <f t="shared" si="53"/>
        <v>2018</v>
      </c>
      <c r="K36" s="111">
        <f t="shared" si="53"/>
        <v>2019</v>
      </c>
      <c r="L36" s="111">
        <f>L2</f>
        <v>2020</v>
      </c>
      <c r="M36" s="111">
        <f>M2</f>
        <v>2021</v>
      </c>
      <c r="N36" s="111">
        <f t="shared" ref="N36:AQ36" si="54">N2</f>
        <v>2022</v>
      </c>
      <c r="O36" s="111">
        <f t="shared" si="54"/>
        <v>2023</v>
      </c>
      <c r="P36" s="111">
        <f t="shared" si="54"/>
        <v>2024</v>
      </c>
      <c r="Q36" s="111">
        <f t="shared" si="54"/>
        <v>2025</v>
      </c>
      <c r="R36" s="111">
        <f t="shared" si="54"/>
        <v>2026</v>
      </c>
      <c r="S36" s="111">
        <f t="shared" si="54"/>
        <v>2027</v>
      </c>
      <c r="T36" s="111">
        <f t="shared" si="54"/>
        <v>2028</v>
      </c>
      <c r="U36" s="111">
        <f t="shared" si="54"/>
        <v>2029</v>
      </c>
      <c r="V36" s="111">
        <f t="shared" si="54"/>
        <v>2030</v>
      </c>
      <c r="W36" s="111">
        <f t="shared" si="54"/>
        <v>2031</v>
      </c>
      <c r="X36" s="111">
        <f t="shared" si="54"/>
        <v>2032</v>
      </c>
      <c r="Y36" s="111">
        <f t="shared" si="54"/>
        <v>2033</v>
      </c>
      <c r="Z36" s="111">
        <f t="shared" si="54"/>
        <v>2034</v>
      </c>
      <c r="AA36" s="111">
        <f t="shared" si="54"/>
        <v>2035</v>
      </c>
      <c r="AB36" s="111">
        <f t="shared" si="54"/>
        <v>2036</v>
      </c>
      <c r="AC36" s="111">
        <f t="shared" si="54"/>
        <v>2037</v>
      </c>
      <c r="AD36" s="111">
        <f t="shared" si="54"/>
        <v>2038</v>
      </c>
      <c r="AE36" s="111">
        <f t="shared" si="54"/>
        <v>2039</v>
      </c>
      <c r="AF36" s="111">
        <f t="shared" si="54"/>
        <v>2040</v>
      </c>
      <c r="AG36" s="111">
        <f t="shared" si="54"/>
        <v>2041</v>
      </c>
      <c r="AH36" s="111">
        <f t="shared" si="54"/>
        <v>2042</v>
      </c>
      <c r="AI36" s="111">
        <f t="shared" si="54"/>
        <v>2043</v>
      </c>
      <c r="AJ36" s="111">
        <f t="shared" si="54"/>
        <v>2044</v>
      </c>
      <c r="AK36" s="111">
        <f t="shared" si="54"/>
        <v>2045</v>
      </c>
      <c r="AL36" s="111">
        <f t="shared" si="54"/>
        <v>2046</v>
      </c>
      <c r="AM36" s="111">
        <f t="shared" si="54"/>
        <v>2047</v>
      </c>
      <c r="AN36" s="111">
        <f t="shared" si="54"/>
        <v>2048</v>
      </c>
      <c r="AO36" s="111">
        <f t="shared" si="54"/>
        <v>2049</v>
      </c>
      <c r="AP36" s="111">
        <f t="shared" si="54"/>
        <v>2050</v>
      </c>
      <c r="AQ36" s="111">
        <f t="shared" si="54"/>
        <v>2051</v>
      </c>
      <c r="AR36" s="94"/>
      <c r="AS36" s="94"/>
      <c r="AT36" s="31" t="s">
        <v>36</v>
      </c>
      <c r="AU36" s="31"/>
      <c r="AV36" s="31"/>
      <c r="AW36" s="31"/>
      <c r="AX36" s="19"/>
      <c r="AY36" s="18"/>
      <c r="AZ36" s="14"/>
      <c r="BA36" s="14"/>
      <c r="BB36" s="18"/>
      <c r="BC36" s="14"/>
      <c r="BD36" s="14"/>
      <c r="BE36" s="19"/>
      <c r="BF36" s="14"/>
      <c r="BG36" s="14"/>
      <c r="BH36" s="14"/>
    </row>
    <row r="37" spans="1:105">
      <c r="A37" s="2" t="s">
        <v>43</v>
      </c>
      <c r="B37" s="3">
        <f t="shared" ref="B37:Q48" si="55">B53+B117+B325+B389</f>
        <v>485714</v>
      </c>
      <c r="C37" s="3">
        <f t="shared" si="55"/>
        <v>37666773</v>
      </c>
      <c r="D37" s="3">
        <f t="shared" si="55"/>
        <v>64860742</v>
      </c>
      <c r="E37" s="3">
        <f t="shared" si="55"/>
        <v>80018484</v>
      </c>
      <c r="F37" s="3">
        <f t="shared" si="55"/>
        <v>87794966</v>
      </c>
      <c r="G37" s="3">
        <f t="shared" si="55"/>
        <v>91744437</v>
      </c>
      <c r="H37" s="3">
        <f t="shared" si="55"/>
        <v>125805423</v>
      </c>
      <c r="I37" s="3">
        <f t="shared" si="55"/>
        <v>125888192</v>
      </c>
      <c r="J37" s="3">
        <f>J53+J117+J325+J389</f>
        <v>150388032</v>
      </c>
      <c r="K37" s="3">
        <f>K53+K117+K325+K389</f>
        <v>169476932</v>
      </c>
      <c r="L37" s="3">
        <f t="shared" ref="L37:AQ46" si="56">L53+L117+L325+L389</f>
        <v>192271412</v>
      </c>
      <c r="M37" s="3">
        <f t="shared" si="56"/>
        <v>190426394</v>
      </c>
      <c r="N37" s="3">
        <f t="shared" si="56"/>
        <v>221513736</v>
      </c>
      <c r="O37" s="3">
        <f t="shared" si="56"/>
        <v>326750756</v>
      </c>
      <c r="P37" s="3">
        <f t="shared" si="56"/>
        <v>419933477</v>
      </c>
      <c r="Q37" s="3">
        <f t="shared" si="56"/>
        <v>297094982</v>
      </c>
      <c r="R37" s="4">
        <f t="shared" si="56"/>
        <v>321467873.53020722</v>
      </c>
      <c r="S37" s="4">
        <f t="shared" si="56"/>
        <v>375391306.44351244</v>
      </c>
      <c r="T37" s="4">
        <f t="shared" si="56"/>
        <v>382346211.53774607</v>
      </c>
      <c r="U37" s="4">
        <f t="shared" si="56"/>
        <v>421793655.33807647</v>
      </c>
      <c r="V37" s="4">
        <f t="shared" si="56"/>
        <v>466560211.19133341</v>
      </c>
      <c r="W37" s="4">
        <f t="shared" si="56"/>
        <v>515896128.4192363</v>
      </c>
      <c r="X37" s="4">
        <f t="shared" si="56"/>
        <v>605267322.99598515</v>
      </c>
      <c r="Y37" s="4">
        <f t="shared" si="56"/>
        <v>627750342.86115646</v>
      </c>
      <c r="Z37" s="4">
        <f t="shared" si="56"/>
        <v>629969474.95672202</v>
      </c>
      <c r="AA37" s="4">
        <f t="shared" si="56"/>
        <v>653336357.17059314</v>
      </c>
      <c r="AB37" s="4">
        <f t="shared" si="56"/>
        <v>586483501.55198348</v>
      </c>
      <c r="AC37" s="4">
        <f t="shared" si="56"/>
        <v>630541310.68331051</v>
      </c>
      <c r="AD37" s="4">
        <f t="shared" si="56"/>
        <v>692635212.14113319</v>
      </c>
      <c r="AE37" s="4">
        <f t="shared" si="56"/>
        <v>680016724.64749408</v>
      </c>
      <c r="AF37" s="4">
        <f t="shared" si="56"/>
        <v>614478117.87638712</v>
      </c>
      <c r="AG37" s="4">
        <f t="shared" si="56"/>
        <v>647669365.59598994</v>
      </c>
      <c r="AH37" s="4">
        <f t="shared" si="56"/>
        <v>675260562.45255876</v>
      </c>
      <c r="AI37" s="4">
        <f t="shared" si="56"/>
        <v>706679511.81867576</v>
      </c>
      <c r="AJ37" s="4">
        <f t="shared" si="56"/>
        <v>717669378.37744093</v>
      </c>
      <c r="AK37" s="4">
        <f t="shared" si="56"/>
        <v>724442847.51723981</v>
      </c>
      <c r="AL37" s="4">
        <f t="shared" si="56"/>
        <v>722669125.45905828</v>
      </c>
      <c r="AM37" s="4">
        <f t="shared" si="56"/>
        <v>750224495.79942167</v>
      </c>
      <c r="AN37" s="4">
        <f t="shared" si="56"/>
        <v>764646613.75475192</v>
      </c>
      <c r="AO37" s="4">
        <f t="shared" si="56"/>
        <v>778764403.4428947</v>
      </c>
      <c r="AP37" s="4">
        <f t="shared" si="56"/>
        <v>805433258.7205894</v>
      </c>
      <c r="AQ37" s="4">
        <f t="shared" si="56"/>
        <v>881597834.82504106</v>
      </c>
      <c r="AR37" s="4"/>
      <c r="AS37" s="4">
        <f>SUM(Q37:Q39)</f>
        <v>925923098</v>
      </c>
      <c r="AT37" s="121">
        <f>(Q37/P48)-1</f>
        <v>-0.46609260390769092</v>
      </c>
      <c r="AU37" s="121" t="s">
        <v>299</v>
      </c>
      <c r="AV37" s="194"/>
      <c r="AW37" s="194"/>
      <c r="AX37" s="194"/>
      <c r="AY37" s="195"/>
      <c r="AZ37" s="196"/>
      <c r="BA37" s="196"/>
      <c r="BB37" s="195"/>
      <c r="BC37" s="195">
        <v>108932143.44251604</v>
      </c>
      <c r="BD37" s="195">
        <f>L37-BC37</f>
        <v>83339268.557483956</v>
      </c>
      <c r="BE37" s="195">
        <v>108507798.4385401</v>
      </c>
      <c r="BF37" s="195">
        <f>M37-BE37</f>
        <v>81918595.561459899</v>
      </c>
      <c r="BG37" s="195">
        <v>81075407.426691353</v>
      </c>
      <c r="BH37" s="195"/>
      <c r="BI37" s="3"/>
      <c r="BJ37" s="3">
        <v>419933477</v>
      </c>
      <c r="BK37" s="3">
        <f t="shared" ref="BK37:BK49" si="57">P37-BJ37</f>
        <v>0</v>
      </c>
      <c r="BL37" s="3">
        <v>297094982</v>
      </c>
      <c r="BM37" s="177">
        <f t="shared" ref="BM37:BM49" si="58">Q37-BL37</f>
        <v>0</v>
      </c>
      <c r="BN37" s="3"/>
      <c r="BP37" s="3"/>
      <c r="BQ37" s="3"/>
      <c r="BR37" s="83"/>
      <c r="BS37" s="8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row>
    <row r="38" spans="1:105">
      <c r="A38" s="2" t="s">
        <v>44</v>
      </c>
      <c r="B38" s="3">
        <f t="shared" si="55"/>
        <v>538632</v>
      </c>
      <c r="C38" s="3">
        <f t="shared" si="55"/>
        <v>43108534</v>
      </c>
      <c r="D38" s="3">
        <f t="shared" si="55"/>
        <v>78086194</v>
      </c>
      <c r="E38" s="3">
        <f t="shared" si="55"/>
        <v>80700574</v>
      </c>
      <c r="F38" s="3">
        <f t="shared" si="55"/>
        <v>104340362</v>
      </c>
      <c r="G38" s="3">
        <f t="shared" si="55"/>
        <v>89210667</v>
      </c>
      <c r="H38" s="3">
        <f t="shared" si="55"/>
        <v>133763742</v>
      </c>
      <c r="I38" s="3">
        <f t="shared" si="55"/>
        <v>139028871</v>
      </c>
      <c r="J38" s="3">
        <f t="shared" si="55"/>
        <v>159853570</v>
      </c>
      <c r="K38" s="3">
        <f>K54+K118+K326+K390</f>
        <v>187485134</v>
      </c>
      <c r="L38" s="3">
        <f t="shared" si="56"/>
        <v>201819509</v>
      </c>
      <c r="M38" s="3">
        <f t="shared" si="56"/>
        <v>194210839</v>
      </c>
      <c r="N38" s="3">
        <f t="shared" si="56"/>
        <v>246662967</v>
      </c>
      <c r="O38" s="3">
        <f t="shared" si="56"/>
        <v>325063159</v>
      </c>
      <c r="P38" s="3">
        <f t="shared" si="56"/>
        <v>461460796</v>
      </c>
      <c r="Q38" s="3">
        <f t="shared" si="56"/>
        <v>277326251</v>
      </c>
      <c r="R38" s="4">
        <f t="shared" si="56"/>
        <v>374525595.53269535</v>
      </c>
      <c r="S38" s="4">
        <f t="shared" si="56"/>
        <v>472938563.85206568</v>
      </c>
      <c r="T38" s="4">
        <f t="shared" si="56"/>
        <v>499853509.03649211</v>
      </c>
      <c r="U38" s="4">
        <f t="shared" si="56"/>
        <v>561057447.57896304</v>
      </c>
      <c r="V38" s="4">
        <f t="shared" si="56"/>
        <v>642033423.79167616</v>
      </c>
      <c r="W38" s="4">
        <f t="shared" si="56"/>
        <v>719365640.40986729</v>
      </c>
      <c r="X38" s="4">
        <f t="shared" si="56"/>
        <v>856380066.74529397</v>
      </c>
      <c r="Y38" s="4">
        <f t="shared" si="56"/>
        <v>867092724.51715124</v>
      </c>
      <c r="Z38" s="4">
        <f t="shared" si="56"/>
        <v>895876999.37875891</v>
      </c>
      <c r="AA38" s="4">
        <f t="shared" si="56"/>
        <v>930286936.45886421</v>
      </c>
      <c r="AB38" s="4">
        <f t="shared" si="56"/>
        <v>810004617.2566793</v>
      </c>
      <c r="AC38" s="4">
        <f t="shared" si="56"/>
        <v>874102969.7270422</v>
      </c>
      <c r="AD38" s="4">
        <f t="shared" si="56"/>
        <v>964147709.51478815</v>
      </c>
      <c r="AE38" s="4">
        <f t="shared" si="56"/>
        <v>952849942.46665359</v>
      </c>
      <c r="AF38" s="4">
        <f t="shared" si="56"/>
        <v>882654456.85916007</v>
      </c>
      <c r="AG38" s="4">
        <f t="shared" si="56"/>
        <v>927995406.61531234</v>
      </c>
      <c r="AH38" s="4">
        <f t="shared" si="56"/>
        <v>965293114.00391197</v>
      </c>
      <c r="AI38" s="4">
        <f t="shared" si="56"/>
        <v>1005935430.009087</v>
      </c>
      <c r="AJ38" s="4">
        <f t="shared" si="56"/>
        <v>1020767662.6320963</v>
      </c>
      <c r="AK38" s="4">
        <f t="shared" si="56"/>
        <v>1035106539.035392</v>
      </c>
      <c r="AL38" s="4">
        <f t="shared" si="56"/>
        <v>1046258464.6237845</v>
      </c>
      <c r="AM38" s="4">
        <f t="shared" si="56"/>
        <v>1085700606.945013</v>
      </c>
      <c r="AN38" s="4">
        <f t="shared" si="56"/>
        <v>1101838751.0057745</v>
      </c>
      <c r="AO38" s="4">
        <f t="shared" si="56"/>
        <v>1116910649.4981022</v>
      </c>
      <c r="AP38" s="4">
        <f t="shared" si="56"/>
        <v>1152340726.9913607</v>
      </c>
      <c r="AQ38" s="4">
        <f t="shared" si="56"/>
        <v>1268880317.8721924</v>
      </c>
      <c r="AR38" s="4"/>
      <c r="AS38" s="4">
        <f>SUM(P37:P39)</f>
        <v>1289138737</v>
      </c>
      <c r="AT38" s="121">
        <f t="shared" ref="AT38:AT48" si="59">(Q38/Q37)-1</f>
        <v>-6.6540103999467748E-2</v>
      </c>
      <c r="AU38" s="121" t="s">
        <v>300</v>
      </c>
      <c r="AV38" s="121">
        <f t="shared" ref="AV38:BG38" si="60">(SUM(L38:P38)/SUM(L37:P37))-1</f>
        <v>5.7977452035483656E-2</v>
      </c>
      <c r="AW38" s="121">
        <f t="shared" si="60"/>
        <v>3.3663540412729676E-2</v>
      </c>
      <c r="AX38" s="121">
        <f t="shared" si="60"/>
        <v>6.1936205181764237E-2</v>
      </c>
      <c r="AY38" s="121">
        <f t="shared" si="60"/>
        <v>9.8053662899707739E-2</v>
      </c>
      <c r="AZ38" s="121">
        <f t="shared" si="60"/>
        <v>0.16137701938266491</v>
      </c>
      <c r="BA38" s="121">
        <f t="shared" si="60"/>
        <v>0.21556566671803767</v>
      </c>
      <c r="BB38" s="121">
        <f t="shared" si="60"/>
        <v>0.29622959479826183</v>
      </c>
      <c r="BC38" s="121">
        <f t="shared" si="60"/>
        <v>0.33916064147172209</v>
      </c>
      <c r="BD38" s="121">
        <f t="shared" si="60"/>
        <v>0.3707680422184596</v>
      </c>
      <c r="BE38" s="121">
        <f t="shared" si="60"/>
        <v>0.38246464597718499</v>
      </c>
      <c r="BF38" s="121">
        <f t="shared" si="60"/>
        <v>0.3989906607629996</v>
      </c>
      <c r="BG38" s="121">
        <f t="shared" si="60"/>
        <v>0.40788032975471022</v>
      </c>
      <c r="BH38" s="195"/>
      <c r="BI38" s="3"/>
      <c r="BJ38" s="3">
        <v>461460796</v>
      </c>
      <c r="BK38" s="3">
        <f t="shared" si="57"/>
        <v>0</v>
      </c>
      <c r="BL38" s="3">
        <v>277326251</v>
      </c>
      <c r="BM38" s="177">
        <f t="shared" si="58"/>
        <v>0</v>
      </c>
      <c r="BN38" s="3"/>
      <c r="BP38" s="3"/>
      <c r="BQ38" s="3"/>
      <c r="BR38" s="83"/>
      <c r="BS38" s="8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row>
    <row r="39" spans="1:105">
      <c r="A39" s="2" t="s">
        <v>45</v>
      </c>
      <c r="B39" s="3">
        <f t="shared" si="55"/>
        <v>808785</v>
      </c>
      <c r="C39" s="3">
        <f t="shared" si="55"/>
        <v>70356567</v>
      </c>
      <c r="D39" s="3">
        <f t="shared" si="55"/>
        <v>108413670</v>
      </c>
      <c r="E39" s="3">
        <f t="shared" si="55"/>
        <v>129238973</v>
      </c>
      <c r="F39" s="3">
        <f t="shared" si="55"/>
        <v>140793769</v>
      </c>
      <c r="G39" s="3">
        <f t="shared" si="55"/>
        <v>124600270</v>
      </c>
      <c r="H39" s="3">
        <f t="shared" si="55"/>
        <v>164874827</v>
      </c>
      <c r="I39" s="3">
        <f t="shared" si="55"/>
        <v>184244951</v>
      </c>
      <c r="J39" s="3">
        <f t="shared" si="55"/>
        <v>201080221</v>
      </c>
      <c r="K39" s="3">
        <f t="shared" si="55"/>
        <v>212013676</v>
      </c>
      <c r="L39" s="3">
        <f t="shared" si="55"/>
        <v>238614328</v>
      </c>
      <c r="M39" s="3">
        <f t="shared" si="55"/>
        <v>259251696</v>
      </c>
      <c r="N39" s="3">
        <f t="shared" si="55"/>
        <v>307227802</v>
      </c>
      <c r="O39" s="3">
        <f t="shared" si="55"/>
        <v>388057432</v>
      </c>
      <c r="P39" s="3">
        <f t="shared" si="55"/>
        <v>407744464</v>
      </c>
      <c r="Q39" s="3">
        <f t="shared" si="56"/>
        <v>351501865</v>
      </c>
      <c r="R39" s="4">
        <f t="shared" si="56"/>
        <v>365756442.52987278</v>
      </c>
      <c r="S39" s="4">
        <f t="shared" si="56"/>
        <v>415547092.19025135</v>
      </c>
      <c r="T39" s="4">
        <f t="shared" si="56"/>
        <v>408776859.15087092</v>
      </c>
      <c r="U39" s="4">
        <f t="shared" si="56"/>
        <v>441503173.80991256</v>
      </c>
      <c r="V39" s="4">
        <f t="shared" si="56"/>
        <v>480270510.92098212</v>
      </c>
      <c r="W39" s="4">
        <f t="shared" si="56"/>
        <v>525511289.83264178</v>
      </c>
      <c r="X39" s="4">
        <f t="shared" si="56"/>
        <v>610405132.18799019</v>
      </c>
      <c r="Y39" s="4">
        <f t="shared" si="56"/>
        <v>607889930.29847348</v>
      </c>
      <c r="Z39" s="4">
        <f t="shared" si="56"/>
        <v>612123714.09124959</v>
      </c>
      <c r="AA39" s="4">
        <f t="shared" si="56"/>
        <v>633592147.61635149</v>
      </c>
      <c r="AB39" s="4">
        <f t="shared" si="56"/>
        <v>586780021.52063191</v>
      </c>
      <c r="AC39" s="4">
        <f t="shared" si="56"/>
        <v>629395661.0340234</v>
      </c>
      <c r="AD39" s="4">
        <f t="shared" si="56"/>
        <v>687752392.03869522</v>
      </c>
      <c r="AE39" s="4">
        <f t="shared" si="56"/>
        <v>675803351.27224207</v>
      </c>
      <c r="AF39" s="4">
        <f t="shared" si="56"/>
        <v>602244373.34347892</v>
      </c>
      <c r="AG39" s="4">
        <f t="shared" si="56"/>
        <v>635999477.155128</v>
      </c>
      <c r="AH39" s="4">
        <f t="shared" si="56"/>
        <v>664136918.37559938</v>
      </c>
      <c r="AI39" s="4">
        <f t="shared" si="56"/>
        <v>698353364.73382747</v>
      </c>
      <c r="AJ39" s="4">
        <f t="shared" si="56"/>
        <v>709881732.23588598</v>
      </c>
      <c r="AK39" s="4">
        <f t="shared" si="56"/>
        <v>714131079.7156558</v>
      </c>
      <c r="AL39" s="4">
        <f t="shared" si="56"/>
        <v>705220888.00368607</v>
      </c>
      <c r="AM39" s="4">
        <f t="shared" si="56"/>
        <v>732421016.0476824</v>
      </c>
      <c r="AN39" s="4">
        <f t="shared" si="56"/>
        <v>748986425.68596864</v>
      </c>
      <c r="AO39" s="4">
        <f t="shared" si="56"/>
        <v>765597934.20897079</v>
      </c>
      <c r="AP39" s="4">
        <f t="shared" si="56"/>
        <v>793301525.77883577</v>
      </c>
      <c r="AQ39" s="4">
        <f t="shared" si="56"/>
        <v>864488131.05852103</v>
      </c>
      <c r="AR39" s="4"/>
      <c r="AS39" s="4">
        <f>SUM(P46:P48)</f>
        <v>1493488585</v>
      </c>
      <c r="AT39" s="121">
        <f t="shared" si="59"/>
        <v>0.26746697700824584</v>
      </c>
      <c r="AU39" s="197" t="s">
        <v>301</v>
      </c>
      <c r="AV39" s="194"/>
      <c r="AW39" s="194"/>
      <c r="AX39" s="194"/>
      <c r="AY39" s="195"/>
      <c r="AZ39" s="196"/>
      <c r="BA39" s="198"/>
      <c r="BB39" s="195"/>
      <c r="BC39" s="195">
        <v>119714448.18219173</v>
      </c>
      <c r="BD39" s="195">
        <f t="shared" ref="BD39:BD49" si="61">L39-BC39</f>
        <v>118899879.81780827</v>
      </c>
      <c r="BE39" s="195">
        <v>135173970.91653845</v>
      </c>
      <c r="BF39" s="195">
        <f t="shared" ref="BF39:BF49" si="62">M39-BE39</f>
        <v>124077725.08346155</v>
      </c>
      <c r="BG39" s="195">
        <v>128861333.89305</v>
      </c>
      <c r="BH39" s="194">
        <f>SUM(P37:P39)</f>
        <v>1289138737</v>
      </c>
      <c r="BI39" s="3"/>
      <c r="BJ39" s="3">
        <v>407608056</v>
      </c>
      <c r="BK39" s="3">
        <f t="shared" si="57"/>
        <v>136408</v>
      </c>
      <c r="BL39" s="3">
        <v>275392404.27121502</v>
      </c>
      <c r="BM39" s="177">
        <f t="shared" si="58"/>
        <v>76109460.728784978</v>
      </c>
      <c r="BN39" s="3"/>
      <c r="BP39" s="3"/>
      <c r="BQ39" s="3"/>
      <c r="BR39" s="83"/>
      <c r="BS39" s="8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row>
    <row r="40" spans="1:105">
      <c r="A40" s="2" t="s">
        <v>46</v>
      </c>
      <c r="B40" s="3">
        <f t="shared" si="55"/>
        <v>522149</v>
      </c>
      <c r="C40" s="3">
        <f t="shared" si="55"/>
        <v>74199611</v>
      </c>
      <c r="D40" s="3">
        <f t="shared" si="55"/>
        <v>99070268</v>
      </c>
      <c r="E40" s="3">
        <f t="shared" si="55"/>
        <v>125356363</v>
      </c>
      <c r="F40" s="3">
        <f t="shared" si="55"/>
        <v>144146291</v>
      </c>
      <c r="G40" s="3">
        <f t="shared" si="55"/>
        <v>144502278</v>
      </c>
      <c r="H40" s="3">
        <f t="shared" si="55"/>
        <v>194513830</v>
      </c>
      <c r="I40" s="3">
        <f t="shared" si="55"/>
        <v>182921523</v>
      </c>
      <c r="J40" s="3">
        <f t="shared" si="55"/>
        <v>203918946</v>
      </c>
      <c r="K40" s="3">
        <f t="shared" si="55"/>
        <v>242781593</v>
      </c>
      <c r="L40" s="3">
        <f t="shared" si="55"/>
        <v>231599980</v>
      </c>
      <c r="M40" s="3">
        <f t="shared" si="55"/>
        <v>246485493</v>
      </c>
      <c r="N40" s="3">
        <f t="shared" si="55"/>
        <v>313852748</v>
      </c>
      <c r="O40" s="3">
        <f t="shared" si="55"/>
        <v>377169830</v>
      </c>
      <c r="P40" s="3">
        <f t="shared" si="55"/>
        <v>498473392</v>
      </c>
      <c r="Q40" s="4">
        <f t="shared" si="56"/>
        <v>393891188.34432095</v>
      </c>
      <c r="R40" s="4">
        <f t="shared" si="56"/>
        <v>386379843.42448318</v>
      </c>
      <c r="S40" s="4">
        <f t="shared" si="56"/>
        <v>460670880.2748251</v>
      </c>
      <c r="T40" s="4">
        <f t="shared" si="56"/>
        <v>463687508.9538433</v>
      </c>
      <c r="U40" s="4">
        <f t="shared" si="56"/>
        <v>516067393.95785236</v>
      </c>
      <c r="V40" s="4">
        <f t="shared" si="56"/>
        <v>578108828.2949481</v>
      </c>
      <c r="W40" s="4">
        <f t="shared" si="56"/>
        <v>626141425.59556651</v>
      </c>
      <c r="X40" s="4">
        <f t="shared" si="56"/>
        <v>732976062.01126611</v>
      </c>
      <c r="Y40" s="4">
        <f t="shared" si="56"/>
        <v>735036863.60235083</v>
      </c>
      <c r="Z40" s="4">
        <f t="shared" si="56"/>
        <v>749539928.52092242</v>
      </c>
      <c r="AA40" s="4">
        <f t="shared" si="56"/>
        <v>774839700.40429938</v>
      </c>
      <c r="AB40" s="4">
        <f t="shared" si="56"/>
        <v>692647471.8401227</v>
      </c>
      <c r="AC40" s="4">
        <f t="shared" si="56"/>
        <v>740329288.7859925</v>
      </c>
      <c r="AD40" s="4">
        <f t="shared" si="56"/>
        <v>810298019.09240031</v>
      </c>
      <c r="AE40" s="4">
        <f t="shared" si="56"/>
        <v>796243562.0832839</v>
      </c>
      <c r="AF40" s="4">
        <f t="shared" si="56"/>
        <v>720927203.41539335</v>
      </c>
      <c r="AG40" s="4">
        <f t="shared" si="56"/>
        <v>759617314.56867409</v>
      </c>
      <c r="AH40" s="4">
        <f t="shared" si="56"/>
        <v>791235000.30745697</v>
      </c>
      <c r="AI40" s="4">
        <f t="shared" si="56"/>
        <v>826777082.28082538</v>
      </c>
      <c r="AJ40" s="4">
        <f t="shared" si="56"/>
        <v>839616742.0154016</v>
      </c>
      <c r="AK40" s="4">
        <f t="shared" si="56"/>
        <v>847975817.20210588</v>
      </c>
      <c r="AL40" s="4">
        <f t="shared" si="56"/>
        <v>847332831.50327706</v>
      </c>
      <c r="AM40" s="4">
        <f t="shared" si="56"/>
        <v>879338388.63530755</v>
      </c>
      <c r="AN40" s="4">
        <f t="shared" si="56"/>
        <v>895678564.0077517</v>
      </c>
      <c r="AO40" s="4">
        <f t="shared" si="56"/>
        <v>911608463.79301691</v>
      </c>
      <c r="AP40" s="4">
        <f t="shared" si="56"/>
        <v>942360571.38397837</v>
      </c>
      <c r="AQ40" s="4">
        <f t="shared" si="56"/>
        <v>1031792751.7647384</v>
      </c>
      <c r="AR40" s="4"/>
      <c r="AS40" s="94"/>
      <c r="AT40" s="121">
        <f t="shared" si="59"/>
        <v>0.12059487463692675</v>
      </c>
      <c r="AU40" s="197"/>
      <c r="AV40" s="194"/>
      <c r="AW40" s="194"/>
      <c r="AX40" s="194"/>
      <c r="AY40" s="195"/>
      <c r="AZ40" s="196"/>
      <c r="BA40" s="196"/>
      <c r="BB40" s="195"/>
      <c r="BC40" s="195">
        <v>152824951.74781588</v>
      </c>
      <c r="BD40" s="195">
        <f t="shared" si="61"/>
        <v>78775028.252184123</v>
      </c>
      <c r="BE40" s="195">
        <v>129458434.08986306</v>
      </c>
      <c r="BF40" s="195">
        <f t="shared" si="62"/>
        <v>117027058.91013694</v>
      </c>
      <c r="BG40" s="195">
        <v>138512422.75823951</v>
      </c>
      <c r="BH40" s="197">
        <f>SUM(O46:O48)/BH39-1</f>
        <v>9.06419810732908E-2</v>
      </c>
      <c r="BI40" s="3"/>
      <c r="BJ40" s="3">
        <v>498460495</v>
      </c>
      <c r="BK40" s="3">
        <f t="shared" si="57"/>
        <v>12897</v>
      </c>
      <c r="BL40" s="3">
        <v>292374255.47448385</v>
      </c>
      <c r="BM40" s="177">
        <f t="shared" si="58"/>
        <v>101516932.86983711</v>
      </c>
      <c r="BN40" s="3"/>
      <c r="BP40" s="3"/>
      <c r="BQ40" s="3"/>
      <c r="BR40" s="83"/>
      <c r="BS40" s="8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row>
    <row r="41" spans="1:105">
      <c r="A41" s="2" t="s">
        <v>47</v>
      </c>
      <c r="B41" s="3">
        <f t="shared" si="55"/>
        <v>485714</v>
      </c>
      <c r="C41" s="3">
        <f t="shared" si="55"/>
        <v>82955229</v>
      </c>
      <c r="D41" s="3">
        <f t="shared" si="55"/>
        <v>121346662</v>
      </c>
      <c r="E41" s="3">
        <f t="shared" si="55"/>
        <v>140219794</v>
      </c>
      <c r="F41" s="3">
        <f t="shared" si="55"/>
        <v>149418964</v>
      </c>
      <c r="G41" s="3">
        <f t="shared" si="55"/>
        <v>170012652</v>
      </c>
      <c r="H41" s="3">
        <f t="shared" si="55"/>
        <v>205747592</v>
      </c>
      <c r="I41" s="3">
        <f t="shared" si="55"/>
        <v>231114768</v>
      </c>
      <c r="J41" s="3">
        <f t="shared" si="55"/>
        <v>227564733</v>
      </c>
      <c r="K41" s="3">
        <f t="shared" si="55"/>
        <v>246413206</v>
      </c>
      <c r="L41" s="3">
        <f t="shared" si="55"/>
        <v>236423006</v>
      </c>
      <c r="M41" s="3">
        <f t="shared" si="55"/>
        <v>252590619</v>
      </c>
      <c r="N41" s="3">
        <f t="shared" si="55"/>
        <v>320143544</v>
      </c>
      <c r="O41" s="3">
        <f t="shared" si="55"/>
        <v>468963822</v>
      </c>
      <c r="P41" s="3">
        <f t="shared" si="55"/>
        <v>444244610</v>
      </c>
      <c r="Q41" s="4">
        <f t="shared" si="56"/>
        <v>393731062.56367576</v>
      </c>
      <c r="R41" s="4">
        <f t="shared" si="56"/>
        <v>423565019.66019917</v>
      </c>
      <c r="S41" s="4">
        <f t="shared" si="56"/>
        <v>519079840.78492856</v>
      </c>
      <c r="T41" s="4">
        <f t="shared" si="56"/>
        <v>532990579.44668204</v>
      </c>
      <c r="U41" s="4">
        <f t="shared" si="56"/>
        <v>593551482.26260483</v>
      </c>
      <c r="V41" s="4">
        <f t="shared" si="56"/>
        <v>672478924.02550948</v>
      </c>
      <c r="W41" s="4">
        <f t="shared" si="56"/>
        <v>734046750.73013496</v>
      </c>
      <c r="X41" s="4">
        <f t="shared" si="56"/>
        <v>865897129.00698161</v>
      </c>
      <c r="Y41" s="4">
        <f t="shared" si="56"/>
        <v>871640840.15644503</v>
      </c>
      <c r="Z41" s="4">
        <f t="shared" si="56"/>
        <v>892869179.45531297</v>
      </c>
      <c r="AA41" s="4">
        <f t="shared" si="56"/>
        <v>924819527.70455909</v>
      </c>
      <c r="AB41" s="4">
        <f t="shared" si="56"/>
        <v>819417815.07422531</v>
      </c>
      <c r="AC41" s="4">
        <f t="shared" si="56"/>
        <v>878935010.08582902</v>
      </c>
      <c r="AD41" s="4">
        <f t="shared" si="56"/>
        <v>964963626.27891827</v>
      </c>
      <c r="AE41" s="4">
        <f t="shared" si="56"/>
        <v>949986092.60040498</v>
      </c>
      <c r="AF41" s="4">
        <f t="shared" si="56"/>
        <v>866516747.11558962</v>
      </c>
      <c r="AG41" s="4">
        <f t="shared" si="56"/>
        <v>912377559.12827325</v>
      </c>
      <c r="AH41" s="4">
        <f t="shared" si="56"/>
        <v>949936613.39112282</v>
      </c>
      <c r="AI41" s="4">
        <f t="shared" si="56"/>
        <v>991558749.83872771</v>
      </c>
      <c r="AJ41" s="4">
        <f t="shared" si="56"/>
        <v>1006699937.3908978</v>
      </c>
      <c r="AK41" s="4">
        <f t="shared" si="56"/>
        <v>1018197937.1040062</v>
      </c>
      <c r="AL41" s="4">
        <f t="shared" si="56"/>
        <v>1021588290.8690006</v>
      </c>
      <c r="AM41" s="4">
        <f t="shared" si="56"/>
        <v>1060191066.3789675</v>
      </c>
      <c r="AN41" s="4">
        <f t="shared" si="56"/>
        <v>1078510873.9918218</v>
      </c>
      <c r="AO41" s="4">
        <f t="shared" si="56"/>
        <v>1096141081.6368027</v>
      </c>
      <c r="AP41" s="4">
        <f t="shared" si="56"/>
        <v>1132385316.7994704</v>
      </c>
      <c r="AQ41" s="4">
        <f t="shared" si="56"/>
        <v>1242484781.9826794</v>
      </c>
      <c r="AR41" s="4"/>
      <c r="AS41" s="94">
        <f>AS37/AS38-1</f>
        <v>-0.28175062045319643</v>
      </c>
      <c r="AT41" s="121">
        <f t="shared" si="59"/>
        <v>-4.06522880895821E-4</v>
      </c>
      <c r="AU41" s="197"/>
      <c r="AV41" s="194"/>
      <c r="AW41" s="194"/>
      <c r="AX41" s="194"/>
      <c r="AY41" s="195"/>
      <c r="AZ41" s="196"/>
      <c r="BA41" s="195">
        <v>178072540.96348354</v>
      </c>
      <c r="BB41" s="195">
        <f t="shared" ref="BB41:BB49" si="63">K41-BA41</f>
        <v>68340665.036516458</v>
      </c>
      <c r="BC41" s="195">
        <v>157209465.91249242</v>
      </c>
      <c r="BD41" s="195">
        <f t="shared" si="61"/>
        <v>79213540.087507576</v>
      </c>
      <c r="BE41" s="195">
        <v>142690356.2444244</v>
      </c>
      <c r="BF41" s="195">
        <f t="shared" si="62"/>
        <v>109900262.7555756</v>
      </c>
      <c r="BG41" s="195">
        <v>143839399.92900729</v>
      </c>
      <c r="BH41" s="195"/>
      <c r="BI41" s="3"/>
      <c r="BJ41" s="3">
        <v>444244610</v>
      </c>
      <c r="BK41" s="3">
        <f t="shared" si="57"/>
        <v>0</v>
      </c>
      <c r="BL41" s="3">
        <v>299927145.55939454</v>
      </c>
      <c r="BM41" s="177">
        <f t="shared" si="58"/>
        <v>93803917.004281223</v>
      </c>
      <c r="BN41" s="3"/>
      <c r="BP41" s="3"/>
      <c r="BQ41" s="3"/>
      <c r="BR41" s="83"/>
      <c r="BS41" s="8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row>
    <row r="42" spans="1:105">
      <c r="A42" s="2" t="s">
        <v>48</v>
      </c>
      <c r="B42" s="3">
        <f t="shared" si="55"/>
        <v>637838</v>
      </c>
      <c r="C42" s="3">
        <f t="shared" si="55"/>
        <v>85036753</v>
      </c>
      <c r="D42" s="3">
        <f t="shared" si="55"/>
        <v>118263573</v>
      </c>
      <c r="E42" s="3">
        <f t="shared" si="55"/>
        <v>150906633</v>
      </c>
      <c r="F42" s="3">
        <f t="shared" si="55"/>
        <v>153941902</v>
      </c>
      <c r="G42" s="3">
        <f t="shared" si="55"/>
        <v>176693306</v>
      </c>
      <c r="H42" s="3">
        <f t="shared" si="55"/>
        <v>242765337</v>
      </c>
      <c r="I42" s="3">
        <f t="shared" si="55"/>
        <v>262875064</v>
      </c>
      <c r="J42" s="3">
        <f t="shared" si="55"/>
        <v>207490802</v>
      </c>
      <c r="K42" s="3">
        <f t="shared" si="55"/>
        <v>229703239</v>
      </c>
      <c r="L42" s="3">
        <f t="shared" si="55"/>
        <v>249641010</v>
      </c>
      <c r="M42" s="3">
        <f t="shared" si="55"/>
        <v>272607962</v>
      </c>
      <c r="N42" s="3">
        <f t="shared" si="55"/>
        <v>308295078</v>
      </c>
      <c r="O42" s="3">
        <f t="shared" si="55"/>
        <v>425480522</v>
      </c>
      <c r="P42" s="3">
        <f t="shared" si="55"/>
        <v>509583234</v>
      </c>
      <c r="Q42" s="4">
        <f t="shared" si="56"/>
        <v>394898608.85794032</v>
      </c>
      <c r="R42" s="4">
        <f t="shared" si="56"/>
        <v>422534380.93918252</v>
      </c>
      <c r="S42" s="4">
        <f t="shared" si="56"/>
        <v>512442226.09859693</v>
      </c>
      <c r="T42" s="4">
        <f t="shared" si="56"/>
        <v>525122891.57247818</v>
      </c>
      <c r="U42" s="4">
        <f t="shared" si="56"/>
        <v>583733137.61999488</v>
      </c>
      <c r="V42" s="4">
        <f t="shared" si="56"/>
        <v>659529498.47117126</v>
      </c>
      <c r="W42" s="4">
        <f t="shared" si="56"/>
        <v>718135184.5934304</v>
      </c>
      <c r="X42" s="4">
        <f t="shared" si="56"/>
        <v>845270362.78849244</v>
      </c>
      <c r="Y42" s="4">
        <f t="shared" si="56"/>
        <v>850292619.87128496</v>
      </c>
      <c r="Z42" s="4">
        <f t="shared" si="56"/>
        <v>869919095.53516221</v>
      </c>
      <c r="AA42" s="4">
        <f t="shared" si="56"/>
        <v>900816554.26475024</v>
      </c>
      <c r="AB42" s="4">
        <f t="shared" si="56"/>
        <v>798808212.60051477</v>
      </c>
      <c r="AC42" s="4">
        <f t="shared" si="56"/>
        <v>856325946.53380823</v>
      </c>
      <c r="AD42" s="4">
        <f t="shared" si="56"/>
        <v>939744681.16390812</v>
      </c>
      <c r="AE42" s="4">
        <f t="shared" si="56"/>
        <v>925175789.3798182</v>
      </c>
      <c r="AF42" s="4">
        <f t="shared" si="56"/>
        <v>842829921.18934202</v>
      </c>
      <c r="AG42" s="4">
        <f t="shared" si="56"/>
        <v>887534980.06773758</v>
      </c>
      <c r="AH42" s="4">
        <f t="shared" si="56"/>
        <v>924222514.35861409</v>
      </c>
      <c r="AI42" s="4">
        <f t="shared" si="56"/>
        <v>965186698.38896728</v>
      </c>
      <c r="AJ42" s="4">
        <f t="shared" si="56"/>
        <v>979979499.65942144</v>
      </c>
      <c r="AK42" s="4">
        <f t="shared" si="56"/>
        <v>990789039.72807527</v>
      </c>
      <c r="AL42" s="4">
        <f t="shared" si="56"/>
        <v>993069149.12568176</v>
      </c>
      <c r="AM42" s="4">
        <f t="shared" si="56"/>
        <v>1030598516.6396749</v>
      </c>
      <c r="AN42" s="4">
        <f t="shared" si="56"/>
        <v>1048745237.1411994</v>
      </c>
      <c r="AO42" s="4">
        <f t="shared" si="56"/>
        <v>1066255127.4889562</v>
      </c>
      <c r="AP42" s="4">
        <f t="shared" si="56"/>
        <v>1101668947.5708814</v>
      </c>
      <c r="AQ42" s="4">
        <f t="shared" si="56"/>
        <v>1208115300.7731361</v>
      </c>
      <c r="AR42" s="4"/>
      <c r="AS42" s="94">
        <f>AS37/AS39-1</f>
        <v>-0.38002666555365738</v>
      </c>
      <c r="AT42" s="121">
        <f t="shared" si="59"/>
        <v>2.965339556047164E-3</v>
      </c>
      <c r="AU42" s="197"/>
      <c r="AV42" s="194"/>
      <c r="AW42" s="194"/>
      <c r="AX42" s="194"/>
      <c r="AY42" s="195"/>
      <c r="AZ42" s="196"/>
      <c r="BA42" s="195">
        <v>167055104.50212622</v>
      </c>
      <c r="BB42" s="195">
        <f t="shared" si="63"/>
        <v>62648134.497873783</v>
      </c>
      <c r="BC42" s="195">
        <v>140041174.55798692</v>
      </c>
      <c r="BD42" s="195">
        <f t="shared" si="61"/>
        <v>109599835.44201308</v>
      </c>
      <c r="BE42" s="195">
        <v>155020352.91339663</v>
      </c>
      <c r="BF42" s="195">
        <f t="shared" si="62"/>
        <v>117587609.08660337</v>
      </c>
      <c r="BG42" s="195">
        <v>148189433.6392737</v>
      </c>
      <c r="BH42" s="194">
        <f>SUM(P40:P42)</f>
        <v>1452301236</v>
      </c>
      <c r="BI42" s="3"/>
      <c r="BJ42" s="3">
        <v>509583234</v>
      </c>
      <c r="BK42" s="3">
        <f t="shared" si="57"/>
        <v>0</v>
      </c>
      <c r="BL42" s="3">
        <v>301862711.72480816</v>
      </c>
      <c r="BM42" s="177">
        <f t="shared" si="58"/>
        <v>93035897.13313216</v>
      </c>
      <c r="BN42" s="3"/>
      <c r="BP42" s="3"/>
      <c r="BQ42" s="3"/>
      <c r="BR42" s="83"/>
      <c r="BS42" s="199"/>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row>
    <row r="43" spans="1:105">
      <c r="A43" s="2" t="s">
        <v>49</v>
      </c>
      <c r="B43" s="3">
        <f t="shared" si="55"/>
        <v>35432267</v>
      </c>
      <c r="C43" s="3">
        <f t="shared" si="55"/>
        <v>95054160</v>
      </c>
      <c r="D43" s="3">
        <f t="shared" si="55"/>
        <v>108802417</v>
      </c>
      <c r="E43" s="3">
        <f t="shared" si="55"/>
        <v>169913465</v>
      </c>
      <c r="F43" s="3">
        <f t="shared" si="55"/>
        <v>182667578</v>
      </c>
      <c r="G43" s="3">
        <f t="shared" si="55"/>
        <v>192775295</v>
      </c>
      <c r="H43" s="3">
        <f t="shared" si="55"/>
        <v>203843684</v>
      </c>
      <c r="I43" s="3">
        <f t="shared" si="55"/>
        <v>242765661</v>
      </c>
      <c r="J43" s="3">
        <f t="shared" si="55"/>
        <v>203247933</v>
      </c>
      <c r="K43" s="3">
        <f t="shared" si="55"/>
        <v>257488407</v>
      </c>
      <c r="L43" s="3">
        <f t="shared" si="55"/>
        <v>248766208</v>
      </c>
      <c r="M43" s="3">
        <f t="shared" si="55"/>
        <v>230246682</v>
      </c>
      <c r="N43" s="3">
        <f t="shared" si="55"/>
        <v>265476055</v>
      </c>
      <c r="O43" s="3">
        <f t="shared" si="55"/>
        <v>396994319</v>
      </c>
      <c r="P43" s="3">
        <f t="shared" si="55"/>
        <v>510529426</v>
      </c>
      <c r="Q43" s="4">
        <f t="shared" si="56"/>
        <v>381229828.15957212</v>
      </c>
      <c r="R43" s="4">
        <f t="shared" si="56"/>
        <v>400868932.80034471</v>
      </c>
      <c r="S43" s="4">
        <f t="shared" si="56"/>
        <v>499897987.72120458</v>
      </c>
      <c r="T43" s="4">
        <f t="shared" si="56"/>
        <v>518045306.58245754</v>
      </c>
      <c r="U43" s="4">
        <f t="shared" si="56"/>
        <v>579788544.61956596</v>
      </c>
      <c r="V43" s="4">
        <f t="shared" si="56"/>
        <v>663299373.48735499</v>
      </c>
      <c r="W43" s="4">
        <f t="shared" si="56"/>
        <v>724282689.53492808</v>
      </c>
      <c r="X43" s="4">
        <f t="shared" si="56"/>
        <v>858681276.76380849</v>
      </c>
      <c r="Y43" s="4">
        <f t="shared" si="56"/>
        <v>866057581.81375861</v>
      </c>
      <c r="Z43" s="4">
        <f t="shared" si="56"/>
        <v>889289619.88311315</v>
      </c>
      <c r="AA43" s="4">
        <f t="shared" si="56"/>
        <v>921951811.68203688</v>
      </c>
      <c r="AB43" s="4">
        <f t="shared" si="56"/>
        <v>815460381.11761713</v>
      </c>
      <c r="AC43" s="4">
        <f t="shared" si="56"/>
        <v>876294849.9759953</v>
      </c>
      <c r="AD43" s="4">
        <f t="shared" si="56"/>
        <v>963374626.12824667</v>
      </c>
      <c r="AE43" s="4">
        <f t="shared" si="56"/>
        <v>948941692.51079702</v>
      </c>
      <c r="AF43" s="4">
        <f t="shared" si="56"/>
        <v>867667612.02633071</v>
      </c>
      <c r="AG43" s="4">
        <f t="shared" si="56"/>
        <v>913410950.76867437</v>
      </c>
      <c r="AH43" s="4">
        <f t="shared" si="56"/>
        <v>950875773.10089159</v>
      </c>
      <c r="AI43" s="4">
        <f t="shared" si="56"/>
        <v>992010784.47902679</v>
      </c>
      <c r="AJ43" s="4">
        <f t="shared" si="56"/>
        <v>1007065355.424605</v>
      </c>
      <c r="AK43" s="4">
        <f t="shared" si="56"/>
        <v>1019168329.5536752</v>
      </c>
      <c r="AL43" s="4">
        <f t="shared" si="56"/>
        <v>1024235797.8913693</v>
      </c>
      <c r="AM43" s="4">
        <f t="shared" si="56"/>
        <v>1062971637.9959934</v>
      </c>
      <c r="AN43" s="4">
        <f t="shared" si="56"/>
        <v>1080808659.9001529</v>
      </c>
      <c r="AO43" s="4">
        <f t="shared" si="56"/>
        <v>1097867336.8084645</v>
      </c>
      <c r="AP43" s="4">
        <f t="shared" si="56"/>
        <v>1133908280.8199487</v>
      </c>
      <c r="AQ43" s="4">
        <f t="shared" si="56"/>
        <v>1245303552.4191508</v>
      </c>
      <c r="AR43" s="4"/>
      <c r="AS43" s="94"/>
      <c r="AT43" s="121">
        <f t="shared" si="59"/>
        <v>-3.4613392885578298E-2</v>
      </c>
      <c r="AU43" s="197"/>
      <c r="AV43" s="194"/>
      <c r="AW43" s="194"/>
      <c r="AX43" s="194"/>
      <c r="AY43" s="195"/>
      <c r="AZ43" s="196"/>
      <c r="BA43" s="195">
        <v>143619523.04200637</v>
      </c>
      <c r="BB43" s="195">
        <f t="shared" si="63"/>
        <v>113868883.95799363</v>
      </c>
      <c r="BC43" s="195">
        <v>165126501.15137365</v>
      </c>
      <c r="BD43" s="195">
        <f t="shared" si="61"/>
        <v>83639706.848626345</v>
      </c>
      <c r="BE43" s="195">
        <v>161089374.57035646</v>
      </c>
      <c r="BF43" s="195">
        <f t="shared" si="62"/>
        <v>69157307.429643542</v>
      </c>
      <c r="BG43" s="195">
        <v>144098244.42470986</v>
      </c>
      <c r="BH43" s="197">
        <f>(BH42/BH39)-1</f>
        <v>0.1265670593218704</v>
      </c>
      <c r="BI43" s="3"/>
      <c r="BJ43" s="4">
        <v>510529426</v>
      </c>
      <c r="BK43" s="3">
        <f t="shared" si="57"/>
        <v>0</v>
      </c>
      <c r="BL43" s="3">
        <v>302731013.67705548</v>
      </c>
      <c r="BM43" s="177">
        <f t="shared" si="58"/>
        <v>78498814.482516646</v>
      </c>
      <c r="BN43" s="3"/>
      <c r="BP43" s="3"/>
      <c r="BQ43" s="3"/>
      <c r="BR43" s="83"/>
      <c r="BS43" s="199"/>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row>
    <row r="44" spans="1:105">
      <c r="A44" s="2" t="s">
        <v>50</v>
      </c>
      <c r="B44" s="3">
        <f t="shared" si="55"/>
        <v>31148672</v>
      </c>
      <c r="C44" s="3">
        <f t="shared" si="55"/>
        <v>110630305</v>
      </c>
      <c r="D44" s="3">
        <f t="shared" si="55"/>
        <v>104932141</v>
      </c>
      <c r="E44" s="3">
        <f t="shared" si="55"/>
        <v>179601095</v>
      </c>
      <c r="F44" s="3">
        <f t="shared" si="55"/>
        <v>145171585</v>
      </c>
      <c r="G44" s="3">
        <f t="shared" si="55"/>
        <v>185719254</v>
      </c>
      <c r="H44" s="3">
        <f t="shared" si="55"/>
        <v>262927342</v>
      </c>
      <c r="I44" s="3">
        <f t="shared" si="55"/>
        <v>248571255</v>
      </c>
      <c r="J44" s="3">
        <f t="shared" si="55"/>
        <v>228979794</v>
      </c>
      <c r="K44" s="3">
        <f t="shared" si="55"/>
        <v>214471872</v>
      </c>
      <c r="L44" s="3">
        <f t="shared" si="55"/>
        <v>251718167</v>
      </c>
      <c r="M44" s="3">
        <f t="shared" si="55"/>
        <v>267741156</v>
      </c>
      <c r="N44" s="3">
        <f t="shared" si="55"/>
        <v>298924052</v>
      </c>
      <c r="O44" s="3">
        <f t="shared" si="55"/>
        <v>440376444</v>
      </c>
      <c r="P44" s="3">
        <f t="shared" si="55"/>
        <v>448439986</v>
      </c>
      <c r="Q44" s="4">
        <f t="shared" si="56"/>
        <v>390626844.16426426</v>
      </c>
      <c r="R44" s="4">
        <f t="shared" si="56"/>
        <v>413225703.87794697</v>
      </c>
      <c r="S44" s="4">
        <f t="shared" si="56"/>
        <v>516835896.85231292</v>
      </c>
      <c r="T44" s="4">
        <f t="shared" si="56"/>
        <v>535136042.24481308</v>
      </c>
      <c r="U44" s="4">
        <f t="shared" si="56"/>
        <v>602797056.22058058</v>
      </c>
      <c r="V44" s="4">
        <f t="shared" si="56"/>
        <v>694174513.1576333</v>
      </c>
      <c r="W44" s="4">
        <f t="shared" si="56"/>
        <v>759376506.02656817</v>
      </c>
      <c r="X44" s="4">
        <f t="shared" si="56"/>
        <v>901540572.6528995</v>
      </c>
      <c r="Y44" s="4">
        <f t="shared" si="56"/>
        <v>909905118.76280475</v>
      </c>
      <c r="Z44" s="4">
        <f t="shared" si="56"/>
        <v>936357564.76784945</v>
      </c>
      <c r="AA44" s="4">
        <f t="shared" si="56"/>
        <v>970869739.34976244</v>
      </c>
      <c r="AB44" s="4">
        <f t="shared" si="56"/>
        <v>855769709.65267825</v>
      </c>
      <c r="AC44" s="4">
        <f t="shared" si="56"/>
        <v>919597566.91083348</v>
      </c>
      <c r="AD44" s="4">
        <f t="shared" si="56"/>
        <v>1011312294.9252914</v>
      </c>
      <c r="AE44" s="4">
        <f t="shared" si="56"/>
        <v>996375731.8140763</v>
      </c>
      <c r="AF44" s="4">
        <f t="shared" si="56"/>
        <v>913283392.51307678</v>
      </c>
      <c r="AG44" s="4">
        <f t="shared" si="56"/>
        <v>961147579.91753292</v>
      </c>
      <c r="AH44" s="4">
        <f t="shared" si="56"/>
        <v>1000213538.1774836</v>
      </c>
      <c r="AI44" s="4">
        <f t="shared" si="56"/>
        <v>1042620498.1406167</v>
      </c>
      <c r="AJ44" s="4">
        <f t="shared" si="56"/>
        <v>1058320682.1064094</v>
      </c>
      <c r="AK44" s="4">
        <f t="shared" si="56"/>
        <v>1071662237.1331244</v>
      </c>
      <c r="AL44" s="4">
        <f t="shared" si="56"/>
        <v>1078829915.9832745</v>
      </c>
      <c r="AM44" s="4">
        <f t="shared" si="56"/>
        <v>1119535962.7074738</v>
      </c>
      <c r="AN44" s="4">
        <f t="shared" si="56"/>
        <v>1137698612.562341</v>
      </c>
      <c r="AO44" s="4">
        <f t="shared" si="56"/>
        <v>1154954038.7591052</v>
      </c>
      <c r="AP44" s="4">
        <f t="shared" si="56"/>
        <v>1192471317.4900935</v>
      </c>
      <c r="AQ44" s="4">
        <f t="shared" si="56"/>
        <v>1310594541.8804979</v>
      </c>
      <c r="AR44" s="4"/>
      <c r="AS44" s="94"/>
      <c r="AT44" s="121">
        <f t="shared" si="59"/>
        <v>2.4649215015669856E-2</v>
      </c>
      <c r="AU44" s="197"/>
      <c r="AV44" s="194"/>
      <c r="AW44" s="194"/>
      <c r="AX44" s="194"/>
      <c r="AY44" s="195"/>
      <c r="AZ44" s="196"/>
      <c r="BA44" s="195">
        <v>179278729.11455953</v>
      </c>
      <c r="BB44" s="195">
        <f t="shared" si="63"/>
        <v>35193142.885440469</v>
      </c>
      <c r="BC44" s="195">
        <v>168020270.68833292</v>
      </c>
      <c r="BD44" s="195">
        <f t="shared" si="61"/>
        <v>83697896.311667085</v>
      </c>
      <c r="BE44" s="195">
        <v>155942954.667191</v>
      </c>
      <c r="BF44" s="195">
        <f t="shared" si="62"/>
        <v>111798201.332809</v>
      </c>
      <c r="BG44" s="195">
        <v>141572065.80553842</v>
      </c>
      <c r="BH44" s="195"/>
      <c r="BI44" s="3"/>
      <c r="BJ44" s="4">
        <v>492294819.39286536</v>
      </c>
      <c r="BK44" s="3">
        <f t="shared" si="57"/>
        <v>-43854833.39286536</v>
      </c>
      <c r="BL44" s="3">
        <v>307599412.24935079</v>
      </c>
      <c r="BM44" s="177">
        <f t="shared" si="58"/>
        <v>83027431.914913476</v>
      </c>
      <c r="BN44" s="3"/>
      <c r="BP44" s="3"/>
      <c r="BQ44" s="4"/>
      <c r="BR44" s="199"/>
      <c r="BS44" s="199"/>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row>
    <row r="45" spans="1:105">
      <c r="A45" s="2" t="s">
        <v>51</v>
      </c>
      <c r="B45" s="3">
        <f t="shared" si="55"/>
        <v>36919404</v>
      </c>
      <c r="C45" s="3">
        <f t="shared" si="55"/>
        <v>122736617</v>
      </c>
      <c r="D45" s="3">
        <f t="shared" si="55"/>
        <v>96855499</v>
      </c>
      <c r="E45" s="3">
        <f t="shared" si="55"/>
        <v>167124978</v>
      </c>
      <c r="F45" s="3">
        <f t="shared" si="55"/>
        <v>142265200</v>
      </c>
      <c r="G45" s="3">
        <f t="shared" si="55"/>
        <v>161670822</v>
      </c>
      <c r="H45" s="3">
        <f t="shared" si="55"/>
        <v>258286544</v>
      </c>
      <c r="I45" s="3">
        <f t="shared" si="55"/>
        <v>215566528</v>
      </c>
      <c r="J45" s="3">
        <f t="shared" si="55"/>
        <v>214125207</v>
      </c>
      <c r="K45" s="3">
        <f t="shared" si="55"/>
        <v>219541029</v>
      </c>
      <c r="L45" s="3">
        <f t="shared" si="55"/>
        <v>279593385</v>
      </c>
      <c r="M45" s="3">
        <f t="shared" si="55"/>
        <v>244703890</v>
      </c>
      <c r="N45" s="3">
        <f t="shared" si="55"/>
        <v>314436638</v>
      </c>
      <c r="O45" s="3">
        <f t="shared" si="55"/>
        <v>420911983</v>
      </c>
      <c r="P45" s="3">
        <f t="shared" si="55"/>
        <v>473480470</v>
      </c>
      <c r="Q45" s="4">
        <f>Q61+Q125+Q333+Q397</f>
        <v>392821339.52469528</v>
      </c>
      <c r="R45" s="4">
        <f t="shared" si="56"/>
        <v>425066919.83043027</v>
      </c>
      <c r="S45" s="4">
        <f t="shared" si="56"/>
        <v>546230591.33767164</v>
      </c>
      <c r="T45" s="4">
        <f t="shared" si="56"/>
        <v>571916063.79076493</v>
      </c>
      <c r="U45" s="4">
        <f t="shared" si="56"/>
        <v>652966645.32408571</v>
      </c>
      <c r="V45" s="4">
        <f t="shared" si="56"/>
        <v>759300746.2637676</v>
      </c>
      <c r="W45" s="4">
        <f t="shared" si="56"/>
        <v>835643811.84297681</v>
      </c>
      <c r="X45" s="4">
        <f t="shared" si="56"/>
        <v>996871409.08446515</v>
      </c>
      <c r="Y45" s="4">
        <f t="shared" si="56"/>
        <v>1009618421.5257406</v>
      </c>
      <c r="Z45" s="4">
        <f t="shared" si="56"/>
        <v>1044812144.8160315</v>
      </c>
      <c r="AA45" s="4">
        <f t="shared" si="56"/>
        <v>1084359324.2248201</v>
      </c>
      <c r="AB45" s="4">
        <f t="shared" si="56"/>
        <v>944432446.78010821</v>
      </c>
      <c r="AC45" s="4">
        <f t="shared" si="56"/>
        <v>1017566955.1767904</v>
      </c>
      <c r="AD45" s="4">
        <f t="shared" si="56"/>
        <v>1121609942.5914781</v>
      </c>
      <c r="AE45" s="4">
        <f t="shared" si="56"/>
        <v>1107076558.1875186</v>
      </c>
      <c r="AF45" s="4">
        <f t="shared" si="56"/>
        <v>1023706112.3362447</v>
      </c>
      <c r="AG45" s="4">
        <f t="shared" si="56"/>
        <v>1076274615.2174654</v>
      </c>
      <c r="AH45" s="4">
        <f t="shared" si="56"/>
        <v>1119332613.4691958</v>
      </c>
      <c r="AI45" s="4">
        <f t="shared" si="56"/>
        <v>1165415724.0502682</v>
      </c>
      <c r="AJ45" s="4">
        <f t="shared" si="56"/>
        <v>1182591756.7641294</v>
      </c>
      <c r="AK45" s="4">
        <f t="shared" si="56"/>
        <v>1199345106.0494499</v>
      </c>
      <c r="AL45" s="4">
        <f t="shared" si="56"/>
        <v>1212675458.4615092</v>
      </c>
      <c r="AM45" s="4">
        <f t="shared" si="56"/>
        <v>1258313830.6356845</v>
      </c>
      <c r="AN45" s="4">
        <f t="shared" si="56"/>
        <v>1276901871.6844177</v>
      </c>
      <c r="AO45" s="4">
        <f t="shared" si="56"/>
        <v>1294236648.8117728</v>
      </c>
      <c r="AP45" s="4">
        <f t="shared" si="56"/>
        <v>1335210599.4791999</v>
      </c>
      <c r="AQ45" s="4">
        <f t="shared" si="56"/>
        <v>1470459822.3211148</v>
      </c>
      <c r="AR45" s="4"/>
      <c r="AS45" s="94"/>
      <c r="AT45" s="121">
        <f t="shared" si="59"/>
        <v>5.6178816003444876E-3</v>
      </c>
      <c r="AU45" s="197"/>
      <c r="AV45" s="194"/>
      <c r="AW45" s="194"/>
      <c r="AX45" s="194"/>
      <c r="AY45" s="195"/>
      <c r="AZ45" s="196"/>
      <c r="BA45" s="195">
        <v>141119976.66064993</v>
      </c>
      <c r="BB45" s="195">
        <f t="shared" si="63"/>
        <v>78421052.339350075</v>
      </c>
      <c r="BC45" s="195">
        <v>159933651.26960924</v>
      </c>
      <c r="BD45" s="195">
        <f t="shared" si="61"/>
        <v>119659733.73039076</v>
      </c>
      <c r="BE45" s="195">
        <v>151331868.28440863</v>
      </c>
      <c r="BF45" s="195">
        <f t="shared" si="62"/>
        <v>93372021.715591371</v>
      </c>
      <c r="BG45" s="195">
        <v>140040273.96936029</v>
      </c>
      <c r="BH45" s="194">
        <f>SUM(P43:P45)</f>
        <v>1432449882</v>
      </c>
      <c r="BI45" s="3"/>
      <c r="BJ45" s="4">
        <v>492797222.01384056</v>
      </c>
      <c r="BK45" s="3">
        <f t="shared" si="57"/>
        <v>-19316752.013840556</v>
      </c>
      <c r="BL45" s="3">
        <v>310776119.14197373</v>
      </c>
      <c r="BM45" s="177">
        <f t="shared" si="58"/>
        <v>82045220.382721543</v>
      </c>
      <c r="BN45" s="3"/>
      <c r="BP45" s="3"/>
      <c r="BQ45" s="4"/>
      <c r="BR45" s="199"/>
      <c r="BS45" s="199"/>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row>
    <row r="46" spans="1:105">
      <c r="A46" s="2" t="s">
        <v>52</v>
      </c>
      <c r="B46" s="3">
        <f t="shared" si="55"/>
        <v>40382348</v>
      </c>
      <c r="C46" s="3">
        <f t="shared" si="55"/>
        <v>122112309</v>
      </c>
      <c r="D46" s="3">
        <f t="shared" si="55"/>
        <v>98567885</v>
      </c>
      <c r="E46" s="3">
        <f t="shared" si="55"/>
        <v>178755215</v>
      </c>
      <c r="F46" s="3">
        <f t="shared" si="55"/>
        <v>150809397</v>
      </c>
      <c r="G46" s="3">
        <f t="shared" si="55"/>
        <v>168707767</v>
      </c>
      <c r="H46" s="3">
        <f t="shared" si="55"/>
        <v>224837209</v>
      </c>
      <c r="I46" s="3">
        <f t="shared" si="55"/>
        <v>227508215</v>
      </c>
      <c r="J46" s="3">
        <f t="shared" si="55"/>
        <v>227401266</v>
      </c>
      <c r="K46" s="3">
        <f t="shared" si="55"/>
        <v>240261878</v>
      </c>
      <c r="L46" s="3">
        <f t="shared" si="55"/>
        <v>215110095</v>
      </c>
      <c r="M46" s="3">
        <f t="shared" si="55"/>
        <v>272696424</v>
      </c>
      <c r="N46" s="3">
        <f t="shared" si="55"/>
        <v>299275019</v>
      </c>
      <c r="O46" s="3">
        <f t="shared" si="55"/>
        <v>459379341</v>
      </c>
      <c r="P46" s="3">
        <f t="shared" si="55"/>
        <v>485397183</v>
      </c>
      <c r="Q46" s="4">
        <f t="shared" si="55"/>
        <v>412699095.74505508</v>
      </c>
      <c r="R46" s="4">
        <f t="shared" si="56"/>
        <v>455020358.48472029</v>
      </c>
      <c r="S46" s="4">
        <f t="shared" si="56"/>
        <v>576062679.09147072</v>
      </c>
      <c r="T46" s="4">
        <f t="shared" si="56"/>
        <v>603457251.00745201</v>
      </c>
      <c r="U46" s="4">
        <f t="shared" ref="U46:AQ48" si="64">U62+U126+U334+U398</f>
        <v>674873806.49848688</v>
      </c>
      <c r="V46" s="4">
        <f t="shared" si="64"/>
        <v>782571735.74398589</v>
      </c>
      <c r="W46" s="4">
        <f t="shared" si="64"/>
        <v>860457528.00279939</v>
      </c>
      <c r="X46" s="4">
        <f t="shared" si="64"/>
        <v>1023563878.6057888</v>
      </c>
      <c r="Y46" s="4">
        <f t="shared" si="64"/>
        <v>1034992001.430912</v>
      </c>
      <c r="Z46" s="4">
        <f t="shared" si="64"/>
        <v>1066969387.652637</v>
      </c>
      <c r="AA46" s="4">
        <f t="shared" si="64"/>
        <v>1108005183.3444772</v>
      </c>
      <c r="AB46" s="4">
        <f t="shared" si="64"/>
        <v>971704194.07850516</v>
      </c>
      <c r="AC46" s="4">
        <f t="shared" si="64"/>
        <v>1047677427.4065933</v>
      </c>
      <c r="AD46" s="4">
        <f t="shared" si="64"/>
        <v>1154024725.4610865</v>
      </c>
      <c r="AE46" s="4">
        <f t="shared" si="64"/>
        <v>1139148845.7846417</v>
      </c>
      <c r="AF46" s="4">
        <f t="shared" si="64"/>
        <v>1049975388.0960931</v>
      </c>
      <c r="AG46" s="4">
        <f t="shared" si="64"/>
        <v>1104326513.7849391</v>
      </c>
      <c r="AH46" s="4">
        <f t="shared" si="64"/>
        <v>1149205284.1659179</v>
      </c>
      <c r="AI46" s="4">
        <f t="shared" si="64"/>
        <v>1198533361.8756084</v>
      </c>
      <c r="AJ46" s="4">
        <f t="shared" si="64"/>
        <v>1216454501.9935524</v>
      </c>
      <c r="AK46" s="4">
        <f t="shared" si="64"/>
        <v>1232456518.9559312</v>
      </c>
      <c r="AL46" s="4">
        <f t="shared" si="64"/>
        <v>1242516939.5984869</v>
      </c>
      <c r="AM46" s="4">
        <f t="shared" si="64"/>
        <v>1289469012.9870791</v>
      </c>
      <c r="AN46" s="4">
        <f t="shared" si="64"/>
        <v>1309740114.8286228</v>
      </c>
      <c r="AO46" s="4">
        <f t="shared" si="64"/>
        <v>1328891857.6649888</v>
      </c>
      <c r="AP46" s="4">
        <f t="shared" si="64"/>
        <v>1371719441.1211348</v>
      </c>
      <c r="AQ46" s="4">
        <f t="shared" si="64"/>
        <v>1508711420.1306689</v>
      </c>
      <c r="AR46" s="4"/>
      <c r="AS46" s="94"/>
      <c r="AT46" s="121">
        <f t="shared" si="59"/>
        <v>5.0602536624948735E-2</v>
      </c>
      <c r="AU46" s="197"/>
      <c r="AV46" s="194"/>
      <c r="AW46" s="194"/>
      <c r="AX46" s="194"/>
      <c r="AY46" s="195"/>
      <c r="AZ46" s="196"/>
      <c r="BA46" s="195">
        <v>152816519.91490614</v>
      </c>
      <c r="BB46" s="195">
        <f t="shared" si="63"/>
        <v>87445358.085093856</v>
      </c>
      <c r="BC46" s="195">
        <v>173289693.89777201</v>
      </c>
      <c r="BD46" s="195">
        <f t="shared" si="61"/>
        <v>41820401.102227986</v>
      </c>
      <c r="BE46" s="195">
        <v>149277371.44355991</v>
      </c>
      <c r="BF46" s="195">
        <f t="shared" si="62"/>
        <v>123419052.55644009</v>
      </c>
      <c r="BG46" s="195">
        <v>137891779.86776355</v>
      </c>
      <c r="BH46" s="197">
        <f>(BH45/BH42)-1</f>
        <v>-1.3668895617465426E-2</v>
      </c>
      <c r="BI46" s="3"/>
      <c r="BJ46" s="4">
        <v>505675308.35723883</v>
      </c>
      <c r="BK46" s="3">
        <f t="shared" si="57"/>
        <v>-20278125.357238829</v>
      </c>
      <c r="BL46" s="3">
        <v>324342390.59509599</v>
      </c>
      <c r="BM46" s="177">
        <f t="shared" si="58"/>
        <v>88356705.149959087</v>
      </c>
      <c r="BN46" s="3"/>
      <c r="BP46" s="3"/>
      <c r="BQ46" s="4"/>
      <c r="BR46" s="199"/>
      <c r="BS46" s="199"/>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row>
    <row r="47" spans="1:105">
      <c r="A47" s="2" t="s">
        <v>53</v>
      </c>
      <c r="B47" s="3">
        <f t="shared" si="55"/>
        <v>33051183</v>
      </c>
      <c r="C47" s="3">
        <f t="shared" si="55"/>
        <v>112172228</v>
      </c>
      <c r="D47" s="3">
        <f t="shared" si="55"/>
        <v>82773484</v>
      </c>
      <c r="E47" s="3">
        <f t="shared" si="55"/>
        <v>172823943</v>
      </c>
      <c r="F47" s="3">
        <f t="shared" si="55"/>
        <v>148560529</v>
      </c>
      <c r="G47" s="3">
        <f t="shared" si="55"/>
        <v>148078913</v>
      </c>
      <c r="H47" s="3">
        <f t="shared" si="55"/>
        <v>247486981</v>
      </c>
      <c r="I47" s="3">
        <f t="shared" si="55"/>
        <v>206390085</v>
      </c>
      <c r="J47" s="3">
        <f t="shared" si="55"/>
        <v>211415897</v>
      </c>
      <c r="K47" s="3">
        <f t="shared" si="55"/>
        <v>198732265</v>
      </c>
      <c r="L47" s="3">
        <f t="shared" si="55"/>
        <v>248811199</v>
      </c>
      <c r="M47" s="3">
        <f t="shared" si="55"/>
        <v>292488506</v>
      </c>
      <c r="N47" s="3">
        <f t="shared" si="55"/>
        <v>364024709</v>
      </c>
      <c r="O47" s="3">
        <f>O63+O127+O335+O399</f>
        <v>424067913</v>
      </c>
      <c r="P47" s="3">
        <f t="shared" si="55"/>
        <v>451637260</v>
      </c>
      <c r="Q47" s="4">
        <f t="shared" si="55"/>
        <v>424308725.24500442</v>
      </c>
      <c r="R47" s="4">
        <f t="shared" ref="R47:AG48" si="65">R63+R127+R335+R399</f>
        <v>487451725.41537917</v>
      </c>
      <c r="S47" s="4">
        <f t="shared" si="65"/>
        <v>599970078.31726611</v>
      </c>
      <c r="T47" s="4">
        <f t="shared" si="65"/>
        <v>620298620.31920755</v>
      </c>
      <c r="U47" s="4">
        <f t="shared" si="65"/>
        <v>683846209.61363077</v>
      </c>
      <c r="V47" s="4">
        <f t="shared" si="65"/>
        <v>785159427.17259169</v>
      </c>
      <c r="W47" s="4">
        <f t="shared" si="65"/>
        <v>858784462.40528512</v>
      </c>
      <c r="X47" s="4">
        <f t="shared" si="65"/>
        <v>1019863017.8795081</v>
      </c>
      <c r="Y47" s="4">
        <f t="shared" si="65"/>
        <v>1028095897.8846108</v>
      </c>
      <c r="Z47" s="4">
        <f t="shared" si="65"/>
        <v>1052047356.3812424</v>
      </c>
      <c r="AA47" s="4">
        <f t="shared" si="65"/>
        <v>1094418034.0828819</v>
      </c>
      <c r="AB47" s="4">
        <f t="shared" si="65"/>
        <v>985487686.06568074</v>
      </c>
      <c r="AC47" s="4">
        <f t="shared" si="65"/>
        <v>1068787801.078763</v>
      </c>
      <c r="AD47" s="4">
        <f t="shared" si="65"/>
        <v>1176622049.7437038</v>
      </c>
      <c r="AE47" s="4">
        <f t="shared" si="65"/>
        <v>1162787436.5280023</v>
      </c>
      <c r="AF47" s="4">
        <f t="shared" si="65"/>
        <v>1062111072.2341428</v>
      </c>
      <c r="AG47" s="4">
        <f t="shared" si="65"/>
        <v>1118449288.5006008</v>
      </c>
      <c r="AH47" s="4">
        <f t="shared" si="64"/>
        <v>1166361318.9079792</v>
      </c>
      <c r="AI47" s="4">
        <f t="shared" si="64"/>
        <v>1223125188.5201447</v>
      </c>
      <c r="AJ47" s="4">
        <f t="shared" si="64"/>
        <v>1242281912.7476516</v>
      </c>
      <c r="AK47" s="4">
        <f t="shared" si="64"/>
        <v>1255026143.0133944</v>
      </c>
      <c r="AL47" s="4">
        <f t="shared" si="64"/>
        <v>1254633784.132813</v>
      </c>
      <c r="AM47" s="4">
        <f t="shared" si="64"/>
        <v>1302886730.4195776</v>
      </c>
      <c r="AN47" s="4">
        <f t="shared" si="64"/>
        <v>1327090489.0958967</v>
      </c>
      <c r="AO47" s="4">
        <f t="shared" si="64"/>
        <v>1350633768.1119738</v>
      </c>
      <c r="AP47" s="4">
        <f t="shared" si="64"/>
        <v>1396548157.8844562</v>
      </c>
      <c r="AQ47" s="4">
        <f t="shared" si="64"/>
        <v>1530906513.4091587</v>
      </c>
      <c r="AR47" s="4"/>
      <c r="AS47" s="94"/>
      <c r="AT47" s="121">
        <f t="shared" si="59"/>
        <v>2.8130978767933135E-2</v>
      </c>
      <c r="AU47" s="197"/>
      <c r="AV47" s="194"/>
      <c r="AW47" s="194"/>
      <c r="AX47" s="194"/>
      <c r="AY47" s="195"/>
      <c r="AZ47" s="196"/>
      <c r="BA47" s="195">
        <v>130353452.30666322</v>
      </c>
      <c r="BB47" s="195">
        <f t="shared" si="63"/>
        <v>68378812.693336785</v>
      </c>
      <c r="BC47" s="195">
        <v>133413302.04905352</v>
      </c>
      <c r="BD47" s="195">
        <f t="shared" si="61"/>
        <v>115397896.95094648</v>
      </c>
      <c r="BE47" s="195">
        <v>141356362.87740099</v>
      </c>
      <c r="BF47" s="195">
        <f t="shared" si="62"/>
        <v>151132143.12259901</v>
      </c>
      <c r="BG47" s="195">
        <v>142499844.22919351</v>
      </c>
      <c r="BH47" s="195"/>
      <c r="BI47" s="3"/>
      <c r="BJ47" s="4">
        <v>491502324.43163466</v>
      </c>
      <c r="BK47" s="3">
        <f t="shared" si="57"/>
        <v>-39865064.431634665</v>
      </c>
      <c r="BL47" s="3">
        <v>359230691.3491559</v>
      </c>
      <c r="BM47" s="177">
        <f t="shared" si="58"/>
        <v>65078033.895848513</v>
      </c>
      <c r="BN47" s="3"/>
      <c r="BP47" s="3"/>
      <c r="BQ47" s="4"/>
      <c r="BR47" s="199"/>
      <c r="BS47" s="199"/>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row>
    <row r="48" spans="1:105">
      <c r="A48" s="2" t="s">
        <v>54</v>
      </c>
      <c r="B48" s="3">
        <f t="shared" si="55"/>
        <v>34990207</v>
      </c>
      <c r="C48" s="3">
        <f t="shared" si="55"/>
        <v>166670107</v>
      </c>
      <c r="D48" s="3">
        <f t="shared" si="55"/>
        <v>64926642</v>
      </c>
      <c r="E48" s="3">
        <f t="shared" si="55"/>
        <v>219645352</v>
      </c>
      <c r="F48" s="3">
        <f t="shared" si="55"/>
        <v>213523925</v>
      </c>
      <c r="G48" s="3">
        <f t="shared" si="55"/>
        <v>169402212</v>
      </c>
      <c r="H48" s="3">
        <f t="shared" si="55"/>
        <v>351174465</v>
      </c>
      <c r="I48" s="3">
        <f t="shared" si="55"/>
        <v>238469674</v>
      </c>
      <c r="J48" s="3">
        <f>J64+J128+J336+J400</f>
        <v>281838291</v>
      </c>
      <c r="K48" s="3">
        <f t="shared" si="55"/>
        <v>244431264</v>
      </c>
      <c r="L48" s="3">
        <f t="shared" si="55"/>
        <v>286735920</v>
      </c>
      <c r="M48" s="3">
        <f t="shared" si="55"/>
        <v>369879602</v>
      </c>
      <c r="N48" s="3">
        <f t="shared" si="55"/>
        <v>367694783</v>
      </c>
      <c r="O48" s="3">
        <f>O64+O128+O336+O400</f>
        <v>522541572</v>
      </c>
      <c r="P48" s="3">
        <f t="shared" si="55"/>
        <v>556454142</v>
      </c>
      <c r="Q48" s="4">
        <f t="shared" si="55"/>
        <v>723012094.08527994</v>
      </c>
      <c r="R48" s="4">
        <f t="shared" si="65"/>
        <v>565548627.6902504</v>
      </c>
      <c r="S48" s="4">
        <f t="shared" si="65"/>
        <v>689730665.81465948</v>
      </c>
      <c r="T48" s="4">
        <f t="shared" si="65"/>
        <v>708146444.34984553</v>
      </c>
      <c r="U48" s="4">
        <f t="shared" si="65"/>
        <v>785732067.27155542</v>
      </c>
      <c r="V48" s="4">
        <f t="shared" si="65"/>
        <v>893379093.74529147</v>
      </c>
      <c r="W48" s="4">
        <f t="shared" si="65"/>
        <v>938122566.16754198</v>
      </c>
      <c r="X48" s="4">
        <f t="shared" si="65"/>
        <v>1103721907.373385</v>
      </c>
      <c r="Y48" s="4">
        <f t="shared" si="65"/>
        <v>1088593886.0962543</v>
      </c>
      <c r="Z48" s="4">
        <f t="shared" si="65"/>
        <v>1115614515.4867983</v>
      </c>
      <c r="AA48" s="4">
        <f t="shared" si="65"/>
        <v>1154278245.4636397</v>
      </c>
      <c r="AB48" s="4">
        <f t="shared" si="65"/>
        <v>1050454703.0277555</v>
      </c>
      <c r="AC48" s="4">
        <f t="shared" si="65"/>
        <v>1130464485.6753645</v>
      </c>
      <c r="AD48" s="4">
        <f t="shared" si="65"/>
        <v>1236617366.6864138</v>
      </c>
      <c r="AE48" s="4">
        <f t="shared" si="65"/>
        <v>1219283546.8322747</v>
      </c>
      <c r="AF48" s="4">
        <f t="shared" si="65"/>
        <v>1102267937.89854</v>
      </c>
      <c r="AG48" s="4">
        <f t="shared" si="65"/>
        <v>1161587786.3358212</v>
      </c>
      <c r="AH48" s="4">
        <f t="shared" si="64"/>
        <v>1211863696.3773732</v>
      </c>
      <c r="AI48" s="4">
        <f t="shared" si="64"/>
        <v>1272411440.149672</v>
      </c>
      <c r="AJ48" s="4">
        <f t="shared" si="64"/>
        <v>1292841861.4453626</v>
      </c>
      <c r="AK48" s="4">
        <f t="shared" si="64"/>
        <v>1303401372.3429537</v>
      </c>
      <c r="AL48" s="4">
        <f t="shared" si="64"/>
        <v>1295554571.4331603</v>
      </c>
      <c r="AM48" s="4">
        <f t="shared" si="64"/>
        <v>1345188794.8513494</v>
      </c>
      <c r="AN48" s="4">
        <f t="shared" si="64"/>
        <v>1372588553.8189321</v>
      </c>
      <c r="AO48" s="4">
        <f t="shared" si="64"/>
        <v>1399648029.3112016</v>
      </c>
      <c r="AP48" s="4">
        <f t="shared" si="64"/>
        <v>1448384127.5641809</v>
      </c>
      <c r="AQ48" s="4">
        <f t="shared" si="64"/>
        <v>1582637306.2034504</v>
      </c>
      <c r="AR48" s="4"/>
      <c r="AS48" s="94"/>
      <c r="AT48" s="121">
        <f t="shared" si="59"/>
        <v>0.70397649416188224</v>
      </c>
      <c r="AU48" s="197"/>
      <c r="AV48" s="194"/>
      <c r="AW48" s="194"/>
      <c r="AX48" s="194"/>
      <c r="AY48" s="195"/>
      <c r="AZ48" s="196"/>
      <c r="BA48" s="195">
        <v>169422997</v>
      </c>
      <c r="BB48" s="195">
        <f t="shared" si="63"/>
        <v>75008267</v>
      </c>
      <c r="BC48" s="195">
        <v>167631897</v>
      </c>
      <c r="BD48" s="195">
        <f t="shared" si="61"/>
        <v>119104023</v>
      </c>
      <c r="BE48" s="195">
        <v>179824533</v>
      </c>
      <c r="BF48" s="195">
        <f t="shared" si="62"/>
        <v>190055069</v>
      </c>
      <c r="BG48" s="195">
        <v>179383712.03590918</v>
      </c>
      <c r="BH48" s="194">
        <f>SUM(P46:P48)</f>
        <v>1493488585</v>
      </c>
      <c r="BI48" s="3"/>
      <c r="BJ48" s="4">
        <v>490520010.95292813</v>
      </c>
      <c r="BK48" s="3">
        <f t="shared" si="57"/>
        <v>65934131.047071874</v>
      </c>
      <c r="BL48" s="3">
        <v>363340178.11686653</v>
      </c>
      <c r="BM48" s="177">
        <f t="shared" si="58"/>
        <v>359671915.96841341</v>
      </c>
      <c r="BN48" s="3"/>
      <c r="BP48" s="3"/>
      <c r="BQ48" s="4"/>
      <c r="BR48" s="199"/>
      <c r="BS48" s="199"/>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Z48" s="3"/>
      <c r="DA48" s="3"/>
    </row>
    <row r="49" spans="1:116" ht="13.5" thickBot="1">
      <c r="A49" s="2" t="s">
        <v>29</v>
      </c>
      <c r="B49" s="3">
        <f>SUM(B37:B48)</f>
        <v>215402913</v>
      </c>
      <c r="C49" s="3">
        <f t="shared" ref="C49:AQ49" si="66">SUM(C37:C48)</f>
        <v>1122699193</v>
      </c>
      <c r="D49" s="3">
        <f t="shared" si="66"/>
        <v>1146899177</v>
      </c>
      <c r="E49" s="3">
        <f t="shared" si="66"/>
        <v>1794304869</v>
      </c>
      <c r="F49" s="3">
        <f t="shared" si="66"/>
        <v>1763434468</v>
      </c>
      <c r="G49" s="3">
        <f t="shared" si="66"/>
        <v>1823117873</v>
      </c>
      <c r="H49" s="3">
        <f t="shared" si="66"/>
        <v>2616026976</v>
      </c>
      <c r="I49" s="3">
        <f t="shared" si="66"/>
        <v>2505344787</v>
      </c>
      <c r="J49" s="3">
        <f t="shared" si="66"/>
        <v>2517304692</v>
      </c>
      <c r="K49" s="3">
        <f t="shared" si="66"/>
        <v>2662800495</v>
      </c>
      <c r="L49" s="3">
        <f t="shared" si="66"/>
        <v>2881104219</v>
      </c>
      <c r="M49" s="3">
        <f t="shared" si="66"/>
        <v>3093329263</v>
      </c>
      <c r="N49" s="3">
        <f t="shared" si="66"/>
        <v>3627527131</v>
      </c>
      <c r="O49" s="3">
        <f t="shared" si="66"/>
        <v>4975757093</v>
      </c>
      <c r="P49" s="3">
        <f t="shared" si="66"/>
        <v>5667378440</v>
      </c>
      <c r="Q49" s="4">
        <f t="shared" si="66"/>
        <v>4833141884.6898079</v>
      </c>
      <c r="R49" s="4">
        <f t="shared" si="66"/>
        <v>5041411423.7157116</v>
      </c>
      <c r="S49" s="4">
        <f t="shared" si="66"/>
        <v>6184797808.7787657</v>
      </c>
      <c r="T49" s="4">
        <f t="shared" si="66"/>
        <v>6369777287.9926538</v>
      </c>
      <c r="U49" s="4">
        <f t="shared" si="66"/>
        <v>7097710620.1153088</v>
      </c>
      <c r="V49" s="4">
        <f t="shared" si="66"/>
        <v>8076866286.2662458</v>
      </c>
      <c r="W49" s="4">
        <f t="shared" si="66"/>
        <v>8815763983.560976</v>
      </c>
      <c r="X49" s="4">
        <f t="shared" si="66"/>
        <v>10420438138.095865</v>
      </c>
      <c r="Y49" s="4">
        <f t="shared" si="66"/>
        <v>10496966228.820944</v>
      </c>
      <c r="Z49" s="4">
        <f t="shared" si="66"/>
        <v>10755388980.9258</v>
      </c>
      <c r="AA49" s="4">
        <f t="shared" si="66"/>
        <v>11151573561.767036</v>
      </c>
      <c r="AB49" s="4">
        <f t="shared" si="66"/>
        <v>9917450760.5665035</v>
      </c>
      <c r="AC49" s="4">
        <f t="shared" si="66"/>
        <v>10670019273.074345</v>
      </c>
      <c r="AD49" s="4">
        <f t="shared" si="66"/>
        <v>11723102645.766064</v>
      </c>
      <c r="AE49" s="4">
        <f t="shared" si="66"/>
        <v>11553689274.107206</v>
      </c>
      <c r="AF49" s="4">
        <f t="shared" si="66"/>
        <v>10548662334.90378</v>
      </c>
      <c r="AG49" s="4">
        <f t="shared" si="66"/>
        <v>11106390837.656149</v>
      </c>
      <c r="AH49" s="4">
        <f t="shared" si="66"/>
        <v>11567936947.088106</v>
      </c>
      <c r="AI49" s="4">
        <f t="shared" si="66"/>
        <v>12088607834.285448</v>
      </c>
      <c r="AJ49" s="4">
        <f t="shared" si="66"/>
        <v>12274171022.792854</v>
      </c>
      <c r="AK49" s="4">
        <f t="shared" si="66"/>
        <v>12411702967.351002</v>
      </c>
      <c r="AL49" s="4">
        <f t="shared" si="66"/>
        <v>12444585217.0851</v>
      </c>
      <c r="AM49" s="4">
        <f t="shared" si="66"/>
        <v>12916840060.043224</v>
      </c>
      <c r="AN49" s="4">
        <f t="shared" si="66"/>
        <v>13143234767.477631</v>
      </c>
      <c r="AO49" s="4">
        <f t="shared" si="66"/>
        <v>13361509339.536253</v>
      </c>
      <c r="AP49" s="4">
        <f t="shared" si="66"/>
        <v>13805732271.604128</v>
      </c>
      <c r="AQ49" s="4">
        <f t="shared" si="66"/>
        <v>15145972274.640352</v>
      </c>
      <c r="AR49" s="4"/>
      <c r="AS49" s="4"/>
      <c r="AT49" s="194"/>
      <c r="AU49" s="194"/>
      <c r="AV49" s="194"/>
      <c r="AW49" s="194"/>
      <c r="AX49" s="194"/>
      <c r="AY49" s="195"/>
      <c r="AZ49" s="196"/>
      <c r="BA49" s="195">
        <v>1743500000</v>
      </c>
      <c r="BB49" s="195">
        <f t="shared" si="63"/>
        <v>919300495</v>
      </c>
      <c r="BC49" s="195">
        <v>1815449146</v>
      </c>
      <c r="BD49" s="195">
        <f t="shared" si="61"/>
        <v>1065655073</v>
      </c>
      <c r="BE49" s="195">
        <v>1717327970</v>
      </c>
      <c r="BF49" s="195">
        <f t="shared" si="62"/>
        <v>1376001293</v>
      </c>
      <c r="BG49" s="195">
        <v>1653807613.0359092</v>
      </c>
      <c r="BH49" s="197">
        <f>(BH48/BH45)-1</f>
        <v>4.2611405653353307E-2</v>
      </c>
      <c r="BI49" s="3"/>
      <c r="BJ49" s="4">
        <v>5724609779.1485081</v>
      </c>
      <c r="BK49" s="3">
        <f t="shared" si="57"/>
        <v>-57231339.148508072</v>
      </c>
      <c r="BL49" s="3">
        <v>3711997555.1594005</v>
      </c>
      <c r="BM49" s="177">
        <f t="shared" si="58"/>
        <v>1121144329.5304074</v>
      </c>
      <c r="BN49" s="3"/>
      <c r="BR49" s="3"/>
      <c r="BS49" s="3"/>
      <c r="BT49" s="3"/>
      <c r="BU49" s="3"/>
      <c r="BV49" s="3"/>
      <c r="BW49" s="3"/>
      <c r="BX49" s="3"/>
      <c r="BY49" s="3"/>
      <c r="BZ49" s="3"/>
      <c r="CA49" s="3"/>
      <c r="CB49" s="3"/>
      <c r="CC49" s="4"/>
      <c r="CD49" s="3"/>
      <c r="CE49" s="3"/>
      <c r="CF49" s="3"/>
      <c r="CG49" s="3"/>
      <c r="CH49" s="3"/>
      <c r="CI49" s="3"/>
      <c r="CJ49" s="3"/>
      <c r="CK49" s="3"/>
      <c r="CL49" s="3"/>
      <c r="CM49" s="3"/>
      <c r="CN49" s="3"/>
      <c r="CO49" s="3"/>
      <c r="CP49" s="3"/>
      <c r="CQ49" s="3"/>
      <c r="CR49" s="3"/>
      <c r="CS49" s="3"/>
      <c r="CT49" s="3"/>
      <c r="CU49" s="3"/>
      <c r="CV49" s="3"/>
      <c r="CW49" s="3"/>
      <c r="CX49" s="3"/>
    </row>
    <row r="50" spans="1:116">
      <c r="A50" s="114"/>
      <c r="B50" s="114"/>
      <c r="C50" s="115">
        <f t="shared" ref="C50:Q51" si="67">C49/B49-1</f>
        <v>4.2120891837706953</v>
      </c>
      <c r="D50" s="115">
        <f t="shared" si="67"/>
        <v>2.15551807206118E-2</v>
      </c>
      <c r="E50" s="115">
        <f t="shared" si="67"/>
        <v>0.56448352652362233</v>
      </c>
      <c r="F50" s="115">
        <f t="shared" si="67"/>
        <v>-1.7204657655086608E-2</v>
      </c>
      <c r="G50" s="115">
        <f t="shared" si="67"/>
        <v>3.3844980396515734E-2</v>
      </c>
      <c r="H50" s="115">
        <f t="shared" si="67"/>
        <v>0.43491927469025482</v>
      </c>
      <c r="I50" s="115">
        <f t="shared" si="67"/>
        <v>-4.2309268985152859E-2</v>
      </c>
      <c r="J50" s="115">
        <f t="shared" si="67"/>
        <v>4.7737561161476094E-3</v>
      </c>
      <c r="K50" s="115">
        <f t="shared" si="67"/>
        <v>5.7798248842258149E-2</v>
      </c>
      <c r="L50" s="115">
        <f t="shared" si="67"/>
        <v>8.1982756278554669E-2</v>
      </c>
      <c r="M50" s="115">
        <f t="shared" si="67"/>
        <v>7.3661009067440553E-2</v>
      </c>
      <c r="N50" s="115">
        <f t="shared" si="67"/>
        <v>0.1726935035302124</v>
      </c>
      <c r="O50" s="200">
        <f>SUM(O37:O46)</f>
        <v>4029147608</v>
      </c>
      <c r="P50" s="200">
        <f>SUM(P37:P45)+436317267</f>
        <v>4610207122</v>
      </c>
      <c r="Q50" s="115">
        <f t="shared" si="67"/>
        <v>-0.14719972631829259</v>
      </c>
      <c r="R50" s="114">
        <v>103654388.66994831</v>
      </c>
      <c r="S50" s="114">
        <v>110409143.92575321</v>
      </c>
      <c r="T50" s="114">
        <v>118694881.27061886</v>
      </c>
      <c r="U50" s="114">
        <v>129118086.68242574</v>
      </c>
      <c r="V50" s="114">
        <v>139808063.12705302</v>
      </c>
      <c r="W50" s="114">
        <v>147715457.50550961</v>
      </c>
      <c r="X50" s="114">
        <v>159177257.45340627</v>
      </c>
      <c r="Y50" s="114">
        <v>181724326.81442538</v>
      </c>
      <c r="Z50" s="114">
        <v>202367721.33991843</v>
      </c>
      <c r="AA50" s="114">
        <v>232952431.26455587</v>
      </c>
      <c r="AB50" s="114">
        <v>266486902.43586382</v>
      </c>
      <c r="AC50" s="114">
        <v>310156054.3087135</v>
      </c>
      <c r="AD50" s="114">
        <v>361621519.73155016</v>
      </c>
      <c r="AE50" s="114">
        <v>361621520.73154998</v>
      </c>
      <c r="AF50" s="114">
        <v>361621521.73154998</v>
      </c>
      <c r="AG50" s="114">
        <v>361621522.73154998</v>
      </c>
      <c r="AH50" s="114">
        <v>361621523.73154998</v>
      </c>
      <c r="AI50" s="114">
        <v>361621524.73154998</v>
      </c>
      <c r="AJ50" s="114">
        <v>361621525.73154998</v>
      </c>
      <c r="AK50" s="114">
        <v>361621526.73154998</v>
      </c>
      <c r="AL50" s="114">
        <v>361621527.73154998</v>
      </c>
      <c r="AM50" s="114">
        <v>361621528.73154998</v>
      </c>
      <c r="AN50" s="114">
        <v>361621529.73154998</v>
      </c>
      <c r="AO50" s="114">
        <v>361621530.73154998</v>
      </c>
      <c r="AP50" s="114">
        <v>361621531.73154998</v>
      </c>
      <c r="AQ50" s="114">
        <v>361621532.73154998</v>
      </c>
      <c r="AU50" s="201"/>
      <c r="AX50" s="4"/>
      <c r="AY50" s="3"/>
      <c r="BE50" s="4"/>
      <c r="BL50" s="3"/>
      <c r="BM50" s="3"/>
      <c r="BN50" s="3"/>
      <c r="BR50" s="3"/>
      <c r="BS50" s="3"/>
    </row>
    <row r="51" spans="1:116" ht="16.5" thickBot="1">
      <c r="A51" s="109" t="s">
        <v>302</v>
      </c>
      <c r="K51" s="3">
        <f>K49-K27</f>
        <v>0</v>
      </c>
      <c r="L51" s="3">
        <f>L49-L27</f>
        <v>0</v>
      </c>
      <c r="M51" s="3">
        <f>M49-M27</f>
        <v>0</v>
      </c>
      <c r="N51" s="3">
        <f>N49-N27</f>
        <v>0</v>
      </c>
      <c r="O51" s="3">
        <f>O49-O27</f>
        <v>0</v>
      </c>
      <c r="P51" s="201">
        <f t="shared" si="67"/>
        <v>0.14421400517724581</v>
      </c>
      <c r="Q51" s="3"/>
      <c r="R51" s="3">
        <v>518271943.34974158</v>
      </c>
      <c r="S51" s="3">
        <v>552045719.62876606</v>
      </c>
      <c r="T51" s="3">
        <v>593474406.35309434</v>
      </c>
      <c r="U51" s="3">
        <v>645590433.41212869</v>
      </c>
      <c r="V51" s="3">
        <v>699040315.63526511</v>
      </c>
      <c r="W51" s="3">
        <v>738577287.52754807</v>
      </c>
      <c r="X51" s="3">
        <v>795886287.26703143</v>
      </c>
      <c r="Y51" s="3">
        <v>908621634.07212687</v>
      </c>
      <c r="Z51" s="3">
        <v>1011838606.6995921</v>
      </c>
      <c r="AA51" s="3">
        <v>1164762156.3227794</v>
      </c>
      <c r="AB51" s="3">
        <v>1332434512.1793191</v>
      </c>
      <c r="AC51" s="3">
        <v>1550780271.5435674</v>
      </c>
      <c r="AD51" s="3">
        <v>1808107598.6577508</v>
      </c>
      <c r="AE51" s="3">
        <v>1808107599.6577499</v>
      </c>
      <c r="AF51" s="3">
        <v>1808107600.6577499</v>
      </c>
      <c r="AG51" s="3">
        <v>1808107601.6577499</v>
      </c>
      <c r="AH51" s="3">
        <v>1808107602.6577499</v>
      </c>
      <c r="AI51" s="3">
        <v>1808107603.6577499</v>
      </c>
      <c r="AJ51" s="3">
        <v>1808107604.6577499</v>
      </c>
      <c r="AK51" s="3">
        <v>1808107605.6577499</v>
      </c>
      <c r="AL51" s="3">
        <v>1808107606.6577499</v>
      </c>
      <c r="AM51" s="3">
        <v>1808107607.6577499</v>
      </c>
      <c r="AN51" s="3">
        <v>1808107608.6577499</v>
      </c>
      <c r="AO51" s="3">
        <v>1808107609.6577499</v>
      </c>
      <c r="AP51" s="3">
        <v>1808107610.6577499</v>
      </c>
      <c r="AQ51" s="3">
        <v>1808107611.6577499</v>
      </c>
      <c r="AR51" s="3"/>
      <c r="AS51" s="3"/>
      <c r="AT51" s="3"/>
      <c r="AU51" s="3"/>
      <c r="AV51" s="3"/>
      <c r="AW51" s="3"/>
      <c r="AX51" s="4"/>
      <c r="AY51" s="3"/>
      <c r="BE51" s="4"/>
      <c r="CM51" s="3"/>
      <c r="CP51" s="3"/>
    </row>
    <row r="52" spans="1:116" ht="14.25" thickBot="1">
      <c r="A52" s="110"/>
      <c r="B52" s="111">
        <f t="shared" ref="B52:K52" si="68">B2</f>
        <v>2010</v>
      </c>
      <c r="C52" s="111">
        <f t="shared" si="68"/>
        <v>2011</v>
      </c>
      <c r="D52" s="111">
        <f t="shared" si="68"/>
        <v>2012</v>
      </c>
      <c r="E52" s="111">
        <f t="shared" si="68"/>
        <v>2013</v>
      </c>
      <c r="F52" s="111">
        <f t="shared" si="68"/>
        <v>2014</v>
      </c>
      <c r="G52" s="111">
        <f t="shared" si="68"/>
        <v>2015</v>
      </c>
      <c r="H52" s="111">
        <f t="shared" si="68"/>
        <v>2016</v>
      </c>
      <c r="I52" s="111">
        <f t="shared" si="68"/>
        <v>2017</v>
      </c>
      <c r="J52" s="111">
        <f t="shared" si="68"/>
        <v>2018</v>
      </c>
      <c r="K52" s="111">
        <f t="shared" si="68"/>
        <v>2019</v>
      </c>
      <c r="L52" s="111">
        <f>L2</f>
        <v>2020</v>
      </c>
      <c r="M52" s="111">
        <f>M2</f>
        <v>2021</v>
      </c>
      <c r="N52" s="111">
        <f t="shared" ref="N52:AQ52" si="69">N2</f>
        <v>2022</v>
      </c>
      <c r="O52" s="111">
        <f t="shared" si="69"/>
        <v>2023</v>
      </c>
      <c r="P52" s="111">
        <f t="shared" si="69"/>
        <v>2024</v>
      </c>
      <c r="Q52" s="111">
        <f t="shared" si="69"/>
        <v>2025</v>
      </c>
      <c r="R52" s="111">
        <f t="shared" si="69"/>
        <v>2026</v>
      </c>
      <c r="S52" s="111">
        <f t="shared" si="69"/>
        <v>2027</v>
      </c>
      <c r="T52" s="111">
        <f t="shared" si="69"/>
        <v>2028</v>
      </c>
      <c r="U52" s="111">
        <f t="shared" si="69"/>
        <v>2029</v>
      </c>
      <c r="V52" s="111">
        <f t="shared" si="69"/>
        <v>2030</v>
      </c>
      <c r="W52" s="111">
        <f t="shared" si="69"/>
        <v>2031</v>
      </c>
      <c r="X52" s="111">
        <f t="shared" si="69"/>
        <v>2032</v>
      </c>
      <c r="Y52" s="111">
        <f t="shared" si="69"/>
        <v>2033</v>
      </c>
      <c r="Z52" s="111">
        <f t="shared" si="69"/>
        <v>2034</v>
      </c>
      <c r="AA52" s="111">
        <f t="shared" si="69"/>
        <v>2035</v>
      </c>
      <c r="AB52" s="111">
        <f t="shared" si="69"/>
        <v>2036</v>
      </c>
      <c r="AC52" s="111">
        <f t="shared" si="69"/>
        <v>2037</v>
      </c>
      <c r="AD52" s="111">
        <f t="shared" si="69"/>
        <v>2038</v>
      </c>
      <c r="AE52" s="111">
        <f t="shared" si="69"/>
        <v>2039</v>
      </c>
      <c r="AF52" s="111">
        <f t="shared" si="69"/>
        <v>2040</v>
      </c>
      <c r="AG52" s="111">
        <f t="shared" si="69"/>
        <v>2041</v>
      </c>
      <c r="AH52" s="111">
        <f t="shared" si="69"/>
        <v>2042</v>
      </c>
      <c r="AI52" s="111">
        <f t="shared" si="69"/>
        <v>2043</v>
      </c>
      <c r="AJ52" s="111">
        <f t="shared" si="69"/>
        <v>2044</v>
      </c>
      <c r="AK52" s="111">
        <f t="shared" si="69"/>
        <v>2045</v>
      </c>
      <c r="AL52" s="111">
        <f t="shared" si="69"/>
        <v>2046</v>
      </c>
      <c r="AM52" s="111">
        <f t="shared" si="69"/>
        <v>2047</v>
      </c>
      <c r="AN52" s="111">
        <f t="shared" si="69"/>
        <v>2048</v>
      </c>
      <c r="AO52" s="111">
        <f t="shared" si="69"/>
        <v>2049</v>
      </c>
      <c r="AP52" s="111">
        <f t="shared" si="69"/>
        <v>2050</v>
      </c>
      <c r="AQ52" s="111">
        <f t="shared" si="69"/>
        <v>2051</v>
      </c>
      <c r="AR52" s="94"/>
      <c r="AS52" s="94"/>
      <c r="AT52" s="31" t="s">
        <v>36</v>
      </c>
      <c r="AU52" s="31"/>
      <c r="AV52" s="31"/>
      <c r="AW52" s="31"/>
      <c r="AX52" s="19"/>
      <c r="AY52" s="18"/>
      <c r="AZ52" s="14"/>
      <c r="BA52" s="14"/>
      <c r="BB52" s="18"/>
      <c r="BC52" s="14"/>
      <c r="BD52" s="14"/>
      <c r="BE52" s="19"/>
      <c r="BF52" s="14"/>
      <c r="BG52" s="14"/>
      <c r="BH52" s="14"/>
    </row>
    <row r="53" spans="1:116">
      <c r="A53" s="2" t="s">
        <v>43</v>
      </c>
      <c r="B53" s="3">
        <f t="shared" ref="B53:AQ59" si="70">B69+B85+B101</f>
        <v>485714</v>
      </c>
      <c r="C53" s="3">
        <f t="shared" si="70"/>
        <v>35514051</v>
      </c>
      <c r="D53" s="3">
        <f t="shared" si="70"/>
        <v>61156111</v>
      </c>
      <c r="E53" s="3">
        <f t="shared" si="70"/>
        <v>72133794</v>
      </c>
      <c r="F53" s="3">
        <f t="shared" si="70"/>
        <v>58677581</v>
      </c>
      <c r="G53" s="3">
        <f t="shared" si="70"/>
        <v>64506298</v>
      </c>
      <c r="H53" s="3">
        <f t="shared" si="70"/>
        <v>106278433</v>
      </c>
      <c r="I53" s="3">
        <f t="shared" si="70"/>
        <v>87126264</v>
      </c>
      <c r="J53" s="3">
        <f t="shared" si="70"/>
        <v>121192145</v>
      </c>
      <c r="K53" s="3">
        <f t="shared" si="70"/>
        <v>119478211</v>
      </c>
      <c r="L53" s="3">
        <f t="shared" si="70"/>
        <v>132141705</v>
      </c>
      <c r="M53" s="3">
        <f t="shared" si="70"/>
        <v>115838804</v>
      </c>
      <c r="N53" s="3">
        <f t="shared" si="70"/>
        <v>103416061</v>
      </c>
      <c r="O53" s="3">
        <f t="shared" si="70"/>
        <v>144130783</v>
      </c>
      <c r="P53" s="3">
        <f t="shared" si="70"/>
        <v>161030405</v>
      </c>
      <c r="Q53" s="3">
        <f t="shared" si="70"/>
        <v>68771165</v>
      </c>
      <c r="R53" s="4">
        <f t="shared" si="70"/>
        <v>108041469.4560629</v>
      </c>
      <c r="S53" s="4">
        <f t="shared" si="70"/>
        <v>101556357.41130923</v>
      </c>
      <c r="T53" s="4">
        <f t="shared" si="70"/>
        <v>85628609.562343836</v>
      </c>
      <c r="U53" s="4">
        <f t="shared" si="70"/>
        <v>94796771.942570031</v>
      </c>
      <c r="V53" s="4">
        <f t="shared" si="70"/>
        <v>89161424.05131197</v>
      </c>
      <c r="W53" s="4">
        <f t="shared" si="70"/>
        <v>95377171.433157742</v>
      </c>
      <c r="X53" s="4">
        <f t="shared" si="70"/>
        <v>97683942.236450404</v>
      </c>
      <c r="Y53" s="4">
        <f t="shared" si="70"/>
        <v>111526116.28892411</v>
      </c>
      <c r="Z53" s="4">
        <f t="shared" si="70"/>
        <v>99641329.510209948</v>
      </c>
      <c r="AA53" s="4">
        <f t="shared" si="70"/>
        <v>96254073.791797623</v>
      </c>
      <c r="AB53" s="4">
        <f t="shared" si="70"/>
        <v>78015536.091763735</v>
      </c>
      <c r="AC53" s="4">
        <f t="shared" si="70"/>
        <v>64286843.959812053</v>
      </c>
      <c r="AD53" s="4">
        <f t="shared" si="70"/>
        <v>63598919.563585639</v>
      </c>
      <c r="AE53" s="4">
        <f t="shared" si="70"/>
        <v>51732247.477786012</v>
      </c>
      <c r="AF53" s="4">
        <f t="shared" si="70"/>
        <v>32284081.866265785</v>
      </c>
      <c r="AG53" s="4">
        <f t="shared" si="70"/>
        <v>35323884.723519474</v>
      </c>
      <c r="AH53" s="4">
        <f t="shared" si="70"/>
        <v>34987351.686319754</v>
      </c>
      <c r="AI53" s="4">
        <f t="shared" si="70"/>
        <v>29516971.664250392</v>
      </c>
      <c r="AJ53" s="4">
        <f t="shared" si="70"/>
        <v>29658142.554442652</v>
      </c>
      <c r="AK53" s="4">
        <f t="shared" si="70"/>
        <v>29768738.572978973</v>
      </c>
      <c r="AL53" s="4">
        <f t="shared" si="70"/>
        <v>29693596.925033711</v>
      </c>
      <c r="AM53" s="4">
        <f t="shared" si="70"/>
        <v>29736330.679520335</v>
      </c>
      <c r="AN53" s="4">
        <f t="shared" si="70"/>
        <v>30159225.118238717</v>
      </c>
      <c r="AO53" s="4">
        <f t="shared" si="70"/>
        <v>30590477.181060608</v>
      </c>
      <c r="AP53" s="4">
        <f t="shared" si="70"/>
        <v>31185608.081723712</v>
      </c>
      <c r="AQ53" s="4">
        <f t="shared" si="70"/>
        <v>32497953.773714092</v>
      </c>
      <c r="AR53" s="4"/>
      <c r="AS53" s="4">
        <f>SUM(Q53:Q55)</f>
        <v>248637142</v>
      </c>
      <c r="AT53" s="121">
        <f>(Q53/P64)-1</f>
        <v>-0.66625570273541357</v>
      </c>
      <c r="AU53" s="121" t="s">
        <v>299</v>
      </c>
      <c r="AV53" s="194"/>
      <c r="AW53" s="194"/>
      <c r="AX53" s="194"/>
      <c r="AY53" s="195"/>
      <c r="AZ53" s="196"/>
      <c r="BA53" s="196"/>
      <c r="BB53" s="195"/>
      <c r="BC53" s="195">
        <v>108932143.44251604</v>
      </c>
      <c r="BD53" s="195">
        <f>L53-BC53</f>
        <v>23209561.557483956</v>
      </c>
      <c r="BE53" s="195">
        <v>108507798.4385401</v>
      </c>
      <c r="BF53" s="195">
        <f>M53-BE53</f>
        <v>7331005.5614598989</v>
      </c>
      <c r="BG53" s="195">
        <v>81075407.426691353</v>
      </c>
      <c r="BH53" s="195"/>
      <c r="BI53" s="3"/>
      <c r="BJ53" s="3">
        <v>161030405</v>
      </c>
      <c r="BK53" s="3">
        <f t="shared" ref="BK53:BK65" si="71">P53-BJ53</f>
        <v>0</v>
      </c>
      <c r="BL53" s="3">
        <v>68771165</v>
      </c>
      <c r="BM53" s="177">
        <f t="shared" ref="BM53:BM65" si="72">Q53-BL53</f>
        <v>0</v>
      </c>
      <c r="BN53" s="3"/>
      <c r="BP53" s="3"/>
      <c r="BQ53" s="3"/>
      <c r="BR53" s="3"/>
      <c r="BS53" s="3"/>
      <c r="BT53" s="3"/>
      <c r="BU53" s="3"/>
      <c r="BV53" s="3"/>
      <c r="BW53" s="3"/>
      <c r="BX53" s="3"/>
      <c r="BY53" s="3"/>
      <c r="BZ53" s="3"/>
      <c r="CA53" s="3"/>
      <c r="CB53" s="3"/>
      <c r="CC53" s="4"/>
      <c r="CD53" s="3"/>
      <c r="CE53" s="3"/>
      <c r="CF53" s="3"/>
      <c r="CG53" s="3"/>
      <c r="CH53" s="3"/>
      <c r="CI53" s="3"/>
      <c r="CJ53" s="3"/>
      <c r="CK53" s="3"/>
      <c r="CL53" s="3"/>
      <c r="CM53" s="3"/>
      <c r="CN53" s="3"/>
      <c r="CO53" s="3"/>
      <c r="CP53" s="3"/>
      <c r="CQ53" s="3"/>
      <c r="CR53" s="3"/>
      <c r="CS53" s="3"/>
      <c r="CT53" s="3"/>
      <c r="CU53" s="3"/>
      <c r="CV53" s="3"/>
      <c r="CW53" s="3"/>
      <c r="CX53" s="3"/>
      <c r="DD53" s="3"/>
      <c r="DE53" s="3"/>
      <c r="DF53" s="3"/>
      <c r="DG53" s="3"/>
      <c r="DH53" s="3"/>
      <c r="DI53" s="3"/>
      <c r="DJ53" s="3"/>
      <c r="DK53" s="3"/>
      <c r="DL53" s="3"/>
    </row>
    <row r="54" spans="1:116">
      <c r="A54" s="2" t="s">
        <v>44</v>
      </c>
      <c r="B54" s="3">
        <f t="shared" si="70"/>
        <v>538632</v>
      </c>
      <c r="C54" s="3">
        <f t="shared" si="70"/>
        <v>42871879</v>
      </c>
      <c r="D54" s="3">
        <f t="shared" si="70"/>
        <v>76619591</v>
      </c>
      <c r="E54" s="3">
        <f t="shared" si="70"/>
        <v>77585112</v>
      </c>
      <c r="F54" s="3">
        <f t="shared" si="70"/>
        <v>73641751</v>
      </c>
      <c r="G54" s="3">
        <f t="shared" si="70"/>
        <v>67860542</v>
      </c>
      <c r="H54" s="3">
        <f t="shared" si="70"/>
        <v>114175016</v>
      </c>
      <c r="I54" s="3">
        <f t="shared" si="70"/>
        <v>108248383</v>
      </c>
      <c r="J54" s="3">
        <f t="shared" si="70"/>
        <v>127120953</v>
      </c>
      <c r="K54" s="3">
        <f t="shared" si="70"/>
        <v>128298680</v>
      </c>
      <c r="L54" s="3">
        <f t="shared" si="70"/>
        <v>139499905</v>
      </c>
      <c r="M54" s="3">
        <f t="shared" si="70"/>
        <v>117542663</v>
      </c>
      <c r="N54" s="3">
        <f t="shared" si="70"/>
        <v>117186475</v>
      </c>
      <c r="O54" s="3">
        <f t="shared" si="70"/>
        <v>155538920</v>
      </c>
      <c r="P54" s="3">
        <f t="shared" si="70"/>
        <v>177754856</v>
      </c>
      <c r="Q54" s="3">
        <f t="shared" si="70"/>
        <v>80131009</v>
      </c>
      <c r="R54" s="4">
        <f t="shared" si="70"/>
        <v>116735753.42343728</v>
      </c>
      <c r="S54" s="4">
        <f t="shared" si="70"/>
        <v>111136676.44483152</v>
      </c>
      <c r="T54" s="4">
        <f t="shared" si="70"/>
        <v>93702893.953921124</v>
      </c>
      <c r="U54" s="4">
        <f t="shared" si="70"/>
        <v>104257852.92893907</v>
      </c>
      <c r="V54" s="4">
        <f t="shared" si="70"/>
        <v>98362459.113332763</v>
      </c>
      <c r="W54" s="4">
        <f t="shared" si="70"/>
        <v>104321714.90688652</v>
      </c>
      <c r="X54" s="4">
        <f t="shared" si="70"/>
        <v>106606432.20122485</v>
      </c>
      <c r="Y54" s="4">
        <f t="shared" si="70"/>
        <v>99849275.286737859</v>
      </c>
      <c r="Z54" s="4">
        <f t="shared" si="70"/>
        <v>97002482.147608131</v>
      </c>
      <c r="AA54" s="4">
        <f t="shared" si="70"/>
        <v>92218164.860193208</v>
      </c>
      <c r="AB54" s="4">
        <f t="shared" si="70"/>
        <v>77685714.91191645</v>
      </c>
      <c r="AC54" s="4">
        <f t="shared" si="70"/>
        <v>62964775.581957929</v>
      </c>
      <c r="AD54" s="4">
        <f t="shared" si="70"/>
        <v>60395029.498308867</v>
      </c>
      <c r="AE54" s="4">
        <f t="shared" si="70"/>
        <v>50021769.856224149</v>
      </c>
      <c r="AF54" s="4">
        <f t="shared" si="70"/>
        <v>31816059.070206404</v>
      </c>
      <c r="AG54" s="4">
        <f t="shared" si="70"/>
        <v>34816716.776641458</v>
      </c>
      <c r="AH54" s="4">
        <f t="shared" si="70"/>
        <v>34286349.823174313</v>
      </c>
      <c r="AI54" s="4">
        <f t="shared" si="70"/>
        <v>29103766.904609133</v>
      </c>
      <c r="AJ54" s="4">
        <f t="shared" si="70"/>
        <v>29355008.013333023</v>
      </c>
      <c r="AK54" s="4">
        <f t="shared" si="70"/>
        <v>29456631.013261832</v>
      </c>
      <c r="AL54" s="4">
        <f t="shared" si="70"/>
        <v>29385317.33173418</v>
      </c>
      <c r="AM54" s="4">
        <f t="shared" si="70"/>
        <v>29393683.871061988</v>
      </c>
      <c r="AN54" s="4">
        <f t="shared" si="70"/>
        <v>29791606.991660282</v>
      </c>
      <c r="AO54" s="4">
        <f t="shared" si="70"/>
        <v>30212667.274375807</v>
      </c>
      <c r="AP54" s="4">
        <f t="shared" si="70"/>
        <v>30766220.221087627</v>
      </c>
      <c r="AQ54" s="4">
        <f t="shared" si="70"/>
        <v>31989997.70509262</v>
      </c>
      <c r="AR54" s="4"/>
      <c r="AS54" s="4">
        <f>SUM(P53:P55)</f>
        <v>502161174</v>
      </c>
      <c r="AT54" s="121">
        <f t="shared" ref="AT54:AT64" si="73">(Q54/Q53)-1</f>
        <v>0.16518324213353086</v>
      </c>
      <c r="AU54" s="121" t="s">
        <v>300</v>
      </c>
      <c r="AV54" s="121">
        <f t="shared" ref="AV54:BG54" si="74">(SUM(L54:P54)/SUM(L53:P53))-1</f>
        <v>7.7624642126306265E-2</v>
      </c>
      <c r="AW54" s="121">
        <f t="shared" si="74"/>
        <v>9.2663333484033439E-2</v>
      </c>
      <c r="AX54" s="121">
        <f t="shared" si="74"/>
        <v>0.10583908557077848</v>
      </c>
      <c r="AY54" s="121">
        <f t="shared" si="74"/>
        <v>9.8995796608200015E-2</v>
      </c>
      <c r="AZ54" s="121">
        <f t="shared" si="74"/>
        <v>0.10367672148125817</v>
      </c>
      <c r="BA54" s="121">
        <f t="shared" si="74"/>
        <v>0.10281253458304151</v>
      </c>
      <c r="BB54" s="121">
        <f t="shared" si="74"/>
        <v>9.3932485299474733E-2</v>
      </c>
      <c r="BC54" s="121">
        <f t="shared" si="74"/>
        <v>9.7018842716389164E-2</v>
      </c>
      <c r="BD54" s="121">
        <f t="shared" si="74"/>
        <v>9.6409022984706993E-2</v>
      </c>
      <c r="BE54" s="121">
        <f t="shared" si="74"/>
        <v>5.0870005458054424E-2</v>
      </c>
      <c r="BF54" s="121">
        <f t="shared" si="74"/>
        <v>2.5846451208342502E-2</v>
      </c>
      <c r="BG54" s="121">
        <f t="shared" si="74"/>
        <v>-9.6819315134377693E-4</v>
      </c>
      <c r="BH54" s="195"/>
      <c r="BI54" s="3"/>
      <c r="BJ54" s="3">
        <v>177754856</v>
      </c>
      <c r="BK54" s="3">
        <f t="shared" si="71"/>
        <v>0</v>
      </c>
      <c r="BL54" s="3">
        <v>80131009</v>
      </c>
      <c r="BM54" s="177">
        <f t="shared" si="72"/>
        <v>0</v>
      </c>
      <c r="BN54" s="3"/>
      <c r="BP54" s="3"/>
      <c r="BQ54" s="3"/>
      <c r="BR54" s="3"/>
      <c r="BS54" s="3"/>
      <c r="BT54" s="3"/>
      <c r="BU54" s="3"/>
      <c r="BV54" s="3"/>
      <c r="BW54" s="3"/>
      <c r="BX54" s="3"/>
      <c r="BY54" s="3"/>
      <c r="BZ54" s="3"/>
      <c r="CA54" s="3"/>
      <c r="CB54" s="3"/>
      <c r="CC54" s="4"/>
      <c r="CD54" s="3"/>
      <c r="CE54" s="3"/>
      <c r="CF54" s="3"/>
      <c r="CG54" s="3"/>
      <c r="CH54" s="3"/>
      <c r="CI54" s="3"/>
      <c r="CJ54" s="3"/>
      <c r="CK54" s="3"/>
      <c r="CL54" s="3"/>
      <c r="CM54" s="3"/>
      <c r="CN54" s="3"/>
      <c r="CO54" s="3"/>
      <c r="CP54" s="3"/>
      <c r="CQ54" s="3"/>
      <c r="CR54" s="3"/>
      <c r="CS54" s="3"/>
      <c r="CT54" s="3"/>
      <c r="CU54" s="3"/>
      <c r="CV54" s="3"/>
      <c r="CW54" s="3"/>
      <c r="CX54" s="3"/>
      <c r="DD54" s="3"/>
      <c r="DE54" s="3"/>
      <c r="DF54" s="3"/>
      <c r="DG54" s="3"/>
      <c r="DH54" s="3"/>
      <c r="DI54" s="3"/>
      <c r="DJ54" s="3"/>
      <c r="DK54" s="3"/>
      <c r="DL54" s="3"/>
    </row>
    <row r="55" spans="1:116">
      <c r="A55" s="2" t="s">
        <v>45</v>
      </c>
      <c r="B55" s="3">
        <f t="shared" si="70"/>
        <v>808785</v>
      </c>
      <c r="C55" s="3">
        <f t="shared" si="70"/>
        <v>67970198</v>
      </c>
      <c r="D55" s="3">
        <f t="shared" si="70"/>
        <v>100590686</v>
      </c>
      <c r="E55" s="3">
        <f t="shared" si="70"/>
        <v>110399744</v>
      </c>
      <c r="F55" s="3">
        <f t="shared" si="70"/>
        <v>103899694</v>
      </c>
      <c r="G55" s="3">
        <f t="shared" si="70"/>
        <v>100911544</v>
      </c>
      <c r="H55" s="3">
        <f t="shared" si="70"/>
        <v>135257708</v>
      </c>
      <c r="I55" s="3">
        <f t="shared" si="70"/>
        <v>152044624</v>
      </c>
      <c r="J55" s="3">
        <f t="shared" si="70"/>
        <v>160838257</v>
      </c>
      <c r="K55" s="3">
        <f t="shared" si="70"/>
        <v>159714776</v>
      </c>
      <c r="L55" s="3">
        <f t="shared" si="70"/>
        <v>168667912</v>
      </c>
      <c r="M55" s="3">
        <f t="shared" si="70"/>
        <v>165483884</v>
      </c>
      <c r="N55" s="3">
        <f t="shared" si="70"/>
        <v>158548093</v>
      </c>
      <c r="O55" s="3">
        <f t="shared" si="70"/>
        <v>175675686</v>
      </c>
      <c r="P55" s="3">
        <f t="shared" si="70"/>
        <v>163375913</v>
      </c>
      <c r="Q55" s="3">
        <f t="shared" si="70"/>
        <v>99734968</v>
      </c>
      <c r="R55" s="4">
        <f t="shared" si="70"/>
        <v>127375125.69004369</v>
      </c>
      <c r="S55" s="4">
        <f t="shared" si="70"/>
        <v>125600108.35638797</v>
      </c>
      <c r="T55" s="4">
        <f t="shared" si="70"/>
        <v>101511854.40107201</v>
      </c>
      <c r="U55" s="4">
        <f t="shared" si="70"/>
        <v>111816111.8819562</v>
      </c>
      <c r="V55" s="4">
        <f t="shared" si="70"/>
        <v>109996162.02375217</v>
      </c>
      <c r="W55" s="4">
        <f t="shared" si="70"/>
        <v>114708620.54379082</v>
      </c>
      <c r="X55" s="4">
        <f t="shared" si="70"/>
        <v>118141448.24459578</v>
      </c>
      <c r="Y55" s="4">
        <f t="shared" si="70"/>
        <v>110164358.97985919</v>
      </c>
      <c r="Z55" s="4">
        <f t="shared" si="70"/>
        <v>107153374.19556621</v>
      </c>
      <c r="AA55" s="4">
        <f t="shared" si="70"/>
        <v>102452710.92157562</v>
      </c>
      <c r="AB55" s="4">
        <f t="shared" si="70"/>
        <v>86114323.905189708</v>
      </c>
      <c r="AC55" s="4">
        <f t="shared" si="70"/>
        <v>69726707.388370931</v>
      </c>
      <c r="AD55" s="4">
        <f t="shared" si="70"/>
        <v>67189715.216317296</v>
      </c>
      <c r="AE55" s="4">
        <f t="shared" si="70"/>
        <v>55669027.382687449</v>
      </c>
      <c r="AF55" s="4">
        <f t="shared" si="70"/>
        <v>34853732.145582527</v>
      </c>
      <c r="AG55" s="4">
        <f t="shared" si="70"/>
        <v>38255814.288697079</v>
      </c>
      <c r="AH55" s="4">
        <f t="shared" si="70"/>
        <v>37652161.386700019</v>
      </c>
      <c r="AI55" s="4">
        <f t="shared" si="70"/>
        <v>31722410.809763901</v>
      </c>
      <c r="AJ55" s="4">
        <f t="shared" si="70"/>
        <v>32015280.172032531</v>
      </c>
      <c r="AK55" s="4">
        <f t="shared" si="70"/>
        <v>32131510.526573427</v>
      </c>
      <c r="AL55" s="4">
        <f t="shared" si="70"/>
        <v>32045570.29216785</v>
      </c>
      <c r="AM55" s="4">
        <f t="shared" si="70"/>
        <v>32056205.539093003</v>
      </c>
      <c r="AN55" s="4">
        <f t="shared" si="70"/>
        <v>32512321.335717149</v>
      </c>
      <c r="AO55" s="4">
        <f t="shared" si="70"/>
        <v>32994747.366411284</v>
      </c>
      <c r="AP55" s="4">
        <f t="shared" si="70"/>
        <v>33627840.378426209</v>
      </c>
      <c r="AQ55" s="4">
        <f t="shared" si="70"/>
        <v>35027906.993129782</v>
      </c>
      <c r="AR55" s="4"/>
      <c r="AS55" s="4">
        <f>SUM(P62:P64)</f>
        <v>536264639</v>
      </c>
      <c r="AT55" s="121">
        <f t="shared" si="73"/>
        <v>0.24464884748924098</v>
      </c>
      <c r="AU55" s="197" t="s">
        <v>301</v>
      </c>
      <c r="AV55" s="194"/>
      <c r="AW55" s="194"/>
      <c r="AX55" s="194"/>
      <c r="AY55" s="195"/>
      <c r="AZ55" s="196"/>
      <c r="BA55" s="198"/>
      <c r="BB55" s="195"/>
      <c r="BC55" s="195">
        <v>119714448.18219173</v>
      </c>
      <c r="BD55" s="195">
        <f t="shared" ref="BD55:BD65" si="75">L55-BC55</f>
        <v>48953463.81780827</v>
      </c>
      <c r="BE55" s="195">
        <v>135173970.91653845</v>
      </c>
      <c r="BF55" s="195">
        <f t="shared" ref="BF55:BF65" si="76">M55-BE55</f>
        <v>30309913.083461553</v>
      </c>
      <c r="BG55" s="195">
        <v>128861333.89305</v>
      </c>
      <c r="BH55" s="194">
        <f>SUM(P53:P55)</f>
        <v>502161174</v>
      </c>
      <c r="BI55" s="3"/>
      <c r="BJ55" s="3">
        <v>163239505</v>
      </c>
      <c r="BK55" s="3">
        <f t="shared" si="71"/>
        <v>136408</v>
      </c>
      <c r="BL55" s="3">
        <v>92172017.97988607</v>
      </c>
      <c r="BM55" s="177">
        <f t="shared" si="72"/>
        <v>7562950.0201139301</v>
      </c>
      <c r="BN55" s="3"/>
      <c r="BP55" s="3"/>
      <c r="BQ55" s="3"/>
      <c r="BR55" s="3"/>
      <c r="BS55" s="3"/>
      <c r="BT55" s="3"/>
      <c r="BU55" s="3"/>
      <c r="BV55" s="3"/>
      <c r="BW55" s="3"/>
      <c r="BX55" s="3"/>
      <c r="BY55" s="3"/>
      <c r="BZ55" s="3"/>
      <c r="CA55" s="3"/>
      <c r="CB55" s="3"/>
      <c r="CC55" s="4"/>
      <c r="CD55" s="3"/>
      <c r="CE55" s="3"/>
      <c r="CF55" s="3"/>
      <c r="CG55" s="3"/>
      <c r="CH55" s="3"/>
      <c r="CI55" s="3"/>
      <c r="CJ55" s="3"/>
      <c r="CK55" s="3"/>
      <c r="CL55" s="3"/>
      <c r="CM55" s="3"/>
      <c r="CN55" s="3"/>
      <c r="CO55" s="3"/>
      <c r="CP55" s="3"/>
      <c r="CQ55" s="3"/>
      <c r="CR55" s="3"/>
      <c r="CS55" s="3"/>
      <c r="CT55" s="3"/>
      <c r="CU55" s="3"/>
      <c r="CV55" s="3"/>
      <c r="CW55" s="3"/>
      <c r="CX55" s="3"/>
      <c r="DD55" s="3"/>
      <c r="DE55" s="3"/>
      <c r="DF55" s="3"/>
      <c r="DG55" s="3"/>
      <c r="DH55" s="3"/>
      <c r="DI55" s="3"/>
      <c r="DJ55" s="3"/>
      <c r="DK55" s="3"/>
      <c r="DL55" s="3"/>
    </row>
    <row r="56" spans="1:116">
      <c r="A56" s="2" t="s">
        <v>46</v>
      </c>
      <c r="B56" s="3">
        <f t="shared" si="70"/>
        <v>522149</v>
      </c>
      <c r="C56" s="3">
        <f t="shared" si="70"/>
        <v>72512352</v>
      </c>
      <c r="D56" s="3">
        <f t="shared" si="70"/>
        <v>95239341</v>
      </c>
      <c r="E56" s="3">
        <f t="shared" si="70"/>
        <v>115743807</v>
      </c>
      <c r="F56" s="3">
        <f t="shared" si="70"/>
        <v>109109944</v>
      </c>
      <c r="G56" s="3">
        <f t="shared" si="70"/>
        <v>118563995</v>
      </c>
      <c r="H56" s="3">
        <f t="shared" si="70"/>
        <v>155442162</v>
      </c>
      <c r="I56" s="3">
        <f t="shared" si="70"/>
        <v>145178416</v>
      </c>
      <c r="J56" s="3">
        <f t="shared" si="70"/>
        <v>160573861</v>
      </c>
      <c r="K56" s="3">
        <f t="shared" si="70"/>
        <v>182408698</v>
      </c>
      <c r="L56" s="3">
        <f t="shared" si="70"/>
        <v>168039266</v>
      </c>
      <c r="M56" s="3">
        <f t="shared" si="70"/>
        <v>161733115</v>
      </c>
      <c r="N56" s="3">
        <f t="shared" si="70"/>
        <v>174159602</v>
      </c>
      <c r="O56" s="3">
        <f t="shared" si="70"/>
        <v>168799978</v>
      </c>
      <c r="P56" s="3">
        <f t="shared" si="70"/>
        <v>183322335</v>
      </c>
      <c r="Q56" s="4">
        <f t="shared" si="70"/>
        <v>164272431.20525539</v>
      </c>
      <c r="R56" s="4">
        <f t="shared" si="70"/>
        <v>140193106.95158333</v>
      </c>
      <c r="S56" s="4">
        <f t="shared" si="70"/>
        <v>141880069.06487858</v>
      </c>
      <c r="T56" s="4">
        <f t="shared" si="70"/>
        <v>116715707.16425651</v>
      </c>
      <c r="U56" s="4">
        <f t="shared" si="70"/>
        <v>134136490.81661117</v>
      </c>
      <c r="V56" s="4">
        <f t="shared" si="70"/>
        <v>135593199.56833431</v>
      </c>
      <c r="W56" s="4">
        <f t="shared" si="70"/>
        <v>133033803.45535141</v>
      </c>
      <c r="X56" s="4">
        <f t="shared" si="70"/>
        <v>137453508.04397774</v>
      </c>
      <c r="Y56" s="4">
        <f t="shared" si="70"/>
        <v>129039869.36198175</v>
      </c>
      <c r="Z56" s="4">
        <f t="shared" si="70"/>
        <v>126225454.03244764</v>
      </c>
      <c r="AA56" s="4">
        <f t="shared" si="70"/>
        <v>120251419.20562948</v>
      </c>
      <c r="AB56" s="4">
        <f t="shared" si="70"/>
        <v>100244888.89480732</v>
      </c>
      <c r="AC56" s="4">
        <f t="shared" si="70"/>
        <v>81556403.921281964</v>
      </c>
      <c r="AD56" s="4">
        <f t="shared" si="70"/>
        <v>78155052.767349377</v>
      </c>
      <c r="AE56" s="4">
        <f t="shared" si="70"/>
        <v>64796199.100452535</v>
      </c>
      <c r="AF56" s="4">
        <f t="shared" si="70"/>
        <v>41496154.868886352</v>
      </c>
      <c r="AG56" s="4">
        <f t="shared" si="70"/>
        <v>45247525.127418391</v>
      </c>
      <c r="AH56" s="4">
        <f t="shared" si="70"/>
        <v>44616933.492204346</v>
      </c>
      <c r="AI56" s="4">
        <f t="shared" si="70"/>
        <v>38008862.630613588</v>
      </c>
      <c r="AJ56" s="4">
        <f t="shared" si="70"/>
        <v>38330958.238058843</v>
      </c>
      <c r="AK56" s="4">
        <f t="shared" si="70"/>
        <v>38449822.126107328</v>
      </c>
      <c r="AL56" s="4">
        <f t="shared" si="70"/>
        <v>38352463.755803257</v>
      </c>
      <c r="AM56" s="4">
        <f t="shared" si="70"/>
        <v>38371601.788818777</v>
      </c>
      <c r="AN56" s="4">
        <f t="shared" si="70"/>
        <v>38881164.073634349</v>
      </c>
      <c r="AO56" s="4">
        <f t="shared" si="70"/>
        <v>39417798.239457339</v>
      </c>
      <c r="AP56" s="4">
        <f t="shared" si="70"/>
        <v>40123202.649835318</v>
      </c>
      <c r="AQ56" s="4">
        <f t="shared" si="70"/>
        <v>41686745.507516384</v>
      </c>
      <c r="AR56" s="4"/>
      <c r="AS56" s="94"/>
      <c r="AT56" s="121">
        <f t="shared" si="73"/>
        <v>0.64708962663180869</v>
      </c>
      <c r="AU56" s="197"/>
      <c r="AV56" s="194"/>
      <c r="AW56" s="194"/>
      <c r="AX56" s="194"/>
      <c r="AY56" s="195"/>
      <c r="AZ56" s="196"/>
      <c r="BA56" s="196"/>
      <c r="BB56" s="195"/>
      <c r="BC56" s="195">
        <v>152824951.74781588</v>
      </c>
      <c r="BD56" s="195">
        <f t="shared" si="75"/>
        <v>15214314.252184123</v>
      </c>
      <c r="BE56" s="195">
        <v>129458434.08986306</v>
      </c>
      <c r="BF56" s="195">
        <f t="shared" si="76"/>
        <v>32274680.910136938</v>
      </c>
      <c r="BG56" s="195">
        <v>138512422.75823951</v>
      </c>
      <c r="BH56" s="197">
        <f>SUM(O62:O64)/BH55-1</f>
        <v>0.15302620946955181</v>
      </c>
      <c r="BI56" s="3"/>
      <c r="BJ56" s="3">
        <v>183309438</v>
      </c>
      <c r="BK56" s="3">
        <f t="shared" si="71"/>
        <v>12897</v>
      </c>
      <c r="BL56" s="3">
        <v>93912670.319328591</v>
      </c>
      <c r="BM56" s="177">
        <f t="shared" si="72"/>
        <v>70359760.885926798</v>
      </c>
      <c r="BN56" s="3"/>
      <c r="BP56" s="3"/>
      <c r="BQ56" s="3"/>
      <c r="BR56" s="3"/>
      <c r="BS56" s="3"/>
      <c r="BT56" s="3"/>
      <c r="BU56" s="3"/>
      <c r="BV56" s="3"/>
      <c r="BW56" s="3"/>
      <c r="BX56" s="3"/>
      <c r="BY56" s="3"/>
      <c r="BZ56" s="3"/>
      <c r="CA56" s="3"/>
      <c r="CB56" s="3"/>
      <c r="CC56" s="4"/>
      <c r="CD56" s="3"/>
      <c r="CE56" s="3"/>
      <c r="CF56" s="3"/>
      <c r="CG56" s="3"/>
      <c r="CH56" s="3"/>
      <c r="CI56" s="3"/>
      <c r="CJ56" s="3"/>
      <c r="CK56" s="3"/>
      <c r="CL56" s="3"/>
      <c r="CM56" s="3"/>
      <c r="CN56" s="3"/>
      <c r="CO56" s="3"/>
      <c r="CP56" s="3"/>
      <c r="CQ56" s="3"/>
      <c r="CR56" s="3"/>
      <c r="CS56" s="3"/>
      <c r="CT56" s="3"/>
      <c r="CU56" s="3"/>
      <c r="CV56" s="3"/>
      <c r="CW56" s="3"/>
      <c r="CX56" s="3"/>
      <c r="DD56" s="3"/>
      <c r="DE56" s="3"/>
      <c r="DF56" s="3"/>
      <c r="DG56" s="3"/>
      <c r="DH56" s="3"/>
      <c r="DI56" s="3"/>
      <c r="DJ56" s="3"/>
      <c r="DK56" s="3"/>
      <c r="DL56" s="3"/>
    </row>
    <row r="57" spans="1:116">
      <c r="A57" s="2" t="s">
        <v>47</v>
      </c>
      <c r="B57" s="3">
        <f t="shared" si="70"/>
        <v>485714</v>
      </c>
      <c r="C57" s="3">
        <f t="shared" si="70"/>
        <v>79810205</v>
      </c>
      <c r="D57" s="3">
        <f t="shared" si="70"/>
        <v>114551282</v>
      </c>
      <c r="E57" s="3">
        <f t="shared" si="70"/>
        <v>128963808</v>
      </c>
      <c r="F57" s="3">
        <f t="shared" si="70"/>
        <v>114715707</v>
      </c>
      <c r="G57" s="3">
        <f t="shared" si="70"/>
        <v>135950280</v>
      </c>
      <c r="H57" s="3">
        <f t="shared" si="70"/>
        <v>169002594</v>
      </c>
      <c r="I57" s="3">
        <f t="shared" si="70"/>
        <v>186105670</v>
      </c>
      <c r="J57" s="3">
        <f t="shared" si="70"/>
        <v>182292273</v>
      </c>
      <c r="K57" s="3">
        <f t="shared" si="70"/>
        <v>179698181</v>
      </c>
      <c r="L57" s="3">
        <f t="shared" si="70"/>
        <v>161820889</v>
      </c>
      <c r="M57" s="3">
        <f t="shared" si="70"/>
        <v>163828393</v>
      </c>
      <c r="N57" s="3">
        <f t="shared" si="70"/>
        <v>151651903</v>
      </c>
      <c r="O57" s="3">
        <f t="shared" si="70"/>
        <v>203013371</v>
      </c>
      <c r="P57" s="3">
        <f t="shared" si="70"/>
        <v>177533364</v>
      </c>
      <c r="Q57" s="4">
        <f t="shared" si="70"/>
        <v>163650154.37751266</v>
      </c>
      <c r="R57" s="4">
        <f t="shared" si="70"/>
        <v>143895799.10103253</v>
      </c>
      <c r="S57" s="4">
        <f t="shared" si="70"/>
        <v>145912037.73390451</v>
      </c>
      <c r="T57" s="4">
        <f t="shared" si="70"/>
        <v>122342754.42038228</v>
      </c>
      <c r="U57" s="4">
        <f t="shared" si="70"/>
        <v>136047677.31163016</v>
      </c>
      <c r="V57" s="4">
        <f t="shared" si="70"/>
        <v>138377393.13646024</v>
      </c>
      <c r="W57" s="4">
        <f t="shared" si="70"/>
        <v>136652635.49714187</v>
      </c>
      <c r="X57" s="4">
        <f t="shared" si="70"/>
        <v>142121350.62834957</v>
      </c>
      <c r="Y57" s="4">
        <f t="shared" si="70"/>
        <v>133500409.88699374</v>
      </c>
      <c r="Z57" s="4">
        <f t="shared" si="70"/>
        <v>130045125.4637408</v>
      </c>
      <c r="AA57" s="4">
        <f t="shared" si="70"/>
        <v>124285533.24464703</v>
      </c>
      <c r="AB57" s="4">
        <f t="shared" si="70"/>
        <v>103766417.3585303</v>
      </c>
      <c r="AC57" s="4">
        <f t="shared" si="70"/>
        <v>84311861.234080821</v>
      </c>
      <c r="AD57" s="4">
        <f t="shared" si="70"/>
        <v>81191887.597709566</v>
      </c>
      <c r="AE57" s="4">
        <f t="shared" si="70"/>
        <v>67266727.154987037</v>
      </c>
      <c r="AF57" s="4">
        <f t="shared" si="70"/>
        <v>42367320.860880934</v>
      </c>
      <c r="AG57" s="4">
        <f t="shared" si="70"/>
        <v>46385784.235664159</v>
      </c>
      <c r="AH57" s="4">
        <f t="shared" si="70"/>
        <v>45708134.495761484</v>
      </c>
      <c r="AI57" s="4">
        <f t="shared" si="70"/>
        <v>38633724.031939618</v>
      </c>
      <c r="AJ57" s="4">
        <f t="shared" si="70"/>
        <v>38976259.998548508</v>
      </c>
      <c r="AK57" s="4">
        <f t="shared" si="70"/>
        <v>39107830.12398725</v>
      </c>
      <c r="AL57" s="4">
        <f t="shared" si="70"/>
        <v>39003625.718182407</v>
      </c>
      <c r="AM57" s="4">
        <f t="shared" si="70"/>
        <v>39023177.410622902</v>
      </c>
      <c r="AN57" s="4">
        <f t="shared" si="70"/>
        <v>39567786.606868125</v>
      </c>
      <c r="AO57" s="4">
        <f t="shared" si="70"/>
        <v>40142098.080795914</v>
      </c>
      <c r="AP57" s="4">
        <f t="shared" si="70"/>
        <v>40897444.06385354</v>
      </c>
      <c r="AQ57" s="4">
        <f t="shared" si="70"/>
        <v>42570164.482094534</v>
      </c>
      <c r="AR57" s="4"/>
      <c r="AS57" s="94">
        <f>AS53/AS54-1</f>
        <v>-0.50486585806811102</v>
      </c>
      <c r="AT57" s="121">
        <f t="shared" si="73"/>
        <v>-3.788078274468365E-3</v>
      </c>
      <c r="AU57" s="197"/>
      <c r="AV57" s="194"/>
      <c r="AW57" s="194"/>
      <c r="AX57" s="194"/>
      <c r="AY57" s="195"/>
      <c r="AZ57" s="196"/>
      <c r="BA57" s="195">
        <v>178072540.96348354</v>
      </c>
      <c r="BB57" s="195">
        <f t="shared" ref="BB57:BB65" si="77">K57-BA57</f>
        <v>1625640.0365164578</v>
      </c>
      <c r="BC57" s="195">
        <v>157209465.91249242</v>
      </c>
      <c r="BD57" s="195">
        <f t="shared" si="75"/>
        <v>4611423.0875075758</v>
      </c>
      <c r="BE57" s="195">
        <v>142690356.2444244</v>
      </c>
      <c r="BF57" s="195">
        <f t="shared" si="76"/>
        <v>21138036.755575597</v>
      </c>
      <c r="BG57" s="195">
        <v>143839399.92900729</v>
      </c>
      <c r="BH57" s="195"/>
      <c r="BI57" s="3"/>
      <c r="BJ57" s="3">
        <v>177533364</v>
      </c>
      <c r="BK57" s="3">
        <f t="shared" si="71"/>
        <v>0</v>
      </c>
      <c r="BL57" s="3">
        <v>96173200.634125829</v>
      </c>
      <c r="BM57" s="177">
        <f t="shared" si="72"/>
        <v>67476953.743386835</v>
      </c>
      <c r="BN57" s="3"/>
      <c r="BP57" s="3"/>
      <c r="BQ57" s="3"/>
      <c r="BR57" s="3"/>
      <c r="BS57" s="3"/>
      <c r="BT57" s="3"/>
      <c r="BU57" s="3"/>
      <c r="BV57" s="3"/>
      <c r="BW57" s="3"/>
      <c r="BX57" s="3"/>
      <c r="BY57" s="3"/>
      <c r="BZ57" s="3"/>
      <c r="CA57" s="3"/>
      <c r="CB57" s="3"/>
      <c r="CC57" s="4"/>
      <c r="CD57" s="3"/>
      <c r="CE57" s="3"/>
      <c r="CF57" s="3"/>
      <c r="CG57" s="3"/>
      <c r="CH57" s="3"/>
      <c r="CI57" s="3"/>
      <c r="CJ57" s="3"/>
      <c r="CK57" s="3"/>
      <c r="CL57" s="3"/>
      <c r="CM57" s="3"/>
      <c r="CN57" s="3"/>
      <c r="CO57" s="3"/>
      <c r="CP57" s="3"/>
      <c r="CQ57" s="3"/>
      <c r="CR57" s="3"/>
      <c r="CS57" s="3"/>
      <c r="CT57" s="3"/>
      <c r="CU57" s="3"/>
      <c r="CV57" s="3"/>
      <c r="CW57" s="3"/>
      <c r="CX57" s="3"/>
      <c r="DD57" s="3"/>
      <c r="DE57" s="3"/>
      <c r="DF57" s="3"/>
      <c r="DG57" s="3"/>
      <c r="DH57" s="3"/>
      <c r="DI57" s="3"/>
      <c r="DJ57" s="3"/>
      <c r="DK57" s="3"/>
      <c r="DL57" s="3"/>
    </row>
    <row r="58" spans="1:116">
      <c r="A58" s="2" t="s">
        <v>48</v>
      </c>
      <c r="B58" s="3">
        <f t="shared" si="70"/>
        <v>637838</v>
      </c>
      <c r="C58" s="3">
        <f t="shared" si="70"/>
        <v>81293353</v>
      </c>
      <c r="D58" s="3">
        <f t="shared" si="70"/>
        <v>112491179</v>
      </c>
      <c r="E58" s="3">
        <f t="shared" si="70"/>
        <v>132219750</v>
      </c>
      <c r="F58" s="3">
        <f t="shared" si="70"/>
        <v>118789044</v>
      </c>
      <c r="G58" s="3">
        <f t="shared" si="70"/>
        <v>147553322</v>
      </c>
      <c r="H58" s="3">
        <f t="shared" si="70"/>
        <v>199355077</v>
      </c>
      <c r="I58" s="3">
        <f t="shared" si="70"/>
        <v>228773847</v>
      </c>
      <c r="J58" s="3">
        <f t="shared" si="70"/>
        <v>172782518</v>
      </c>
      <c r="K58" s="3">
        <f t="shared" si="70"/>
        <v>163491563</v>
      </c>
      <c r="L58" s="3">
        <f t="shared" si="70"/>
        <v>182268531</v>
      </c>
      <c r="M58" s="3">
        <f t="shared" si="70"/>
        <v>172045534</v>
      </c>
      <c r="N58" s="3">
        <f t="shared" si="70"/>
        <v>162170057</v>
      </c>
      <c r="O58" s="3">
        <f t="shared" si="70"/>
        <v>194186168</v>
      </c>
      <c r="P58" s="3">
        <f t="shared" si="70"/>
        <v>170443060</v>
      </c>
      <c r="Q58" s="4">
        <f t="shared" si="70"/>
        <v>168417761.31579515</v>
      </c>
      <c r="R58" s="4">
        <f t="shared" si="70"/>
        <v>144036363.47028986</v>
      </c>
      <c r="S58" s="4">
        <f t="shared" si="70"/>
        <v>144772089.49475124</v>
      </c>
      <c r="T58" s="4">
        <f t="shared" si="70"/>
        <v>120379604.12514839</v>
      </c>
      <c r="U58" s="4">
        <f t="shared" si="70"/>
        <v>134863136.50574222</v>
      </c>
      <c r="V58" s="4">
        <f t="shared" si="70"/>
        <v>138523480.28841087</v>
      </c>
      <c r="W58" s="4">
        <f t="shared" si="70"/>
        <v>135846105.24791786</v>
      </c>
      <c r="X58" s="4">
        <f t="shared" si="70"/>
        <v>140720917.56007722</v>
      </c>
      <c r="Y58" s="4">
        <f t="shared" si="70"/>
        <v>132160079.34870221</v>
      </c>
      <c r="Z58" s="4">
        <f t="shared" si="70"/>
        <v>128974993.14020082</v>
      </c>
      <c r="AA58" s="4">
        <f t="shared" si="70"/>
        <v>123268326.66380435</v>
      </c>
      <c r="AB58" s="4">
        <f t="shared" si="70"/>
        <v>102763216.28689659</v>
      </c>
      <c r="AC58" s="4">
        <f t="shared" si="70"/>
        <v>83525063.804837942</v>
      </c>
      <c r="AD58" s="4">
        <f t="shared" si="70"/>
        <v>80291162.959606826</v>
      </c>
      <c r="AE58" s="4">
        <f t="shared" si="70"/>
        <v>66547644.114968419</v>
      </c>
      <c r="AF58" s="4">
        <f t="shared" si="70"/>
        <v>42193128.805025458</v>
      </c>
      <c r="AG58" s="4">
        <f t="shared" si="70"/>
        <v>46110901.371245168</v>
      </c>
      <c r="AH58" s="4">
        <f t="shared" si="70"/>
        <v>45449098.506452665</v>
      </c>
      <c r="AI58" s="4">
        <f t="shared" si="70"/>
        <v>38534986.396949373</v>
      </c>
      <c r="AJ58" s="4">
        <f t="shared" si="70"/>
        <v>38871948.452537939</v>
      </c>
      <c r="AK58" s="4">
        <f t="shared" si="70"/>
        <v>38998776.992785476</v>
      </c>
      <c r="AL58" s="4">
        <f t="shared" si="70"/>
        <v>38895559.423043475</v>
      </c>
      <c r="AM58" s="4">
        <f t="shared" si="70"/>
        <v>38915296.585224502</v>
      </c>
      <c r="AN58" s="4">
        <f t="shared" si="70"/>
        <v>39448482.32111448</v>
      </c>
      <c r="AO58" s="4">
        <f t="shared" si="70"/>
        <v>40010104.361649044</v>
      </c>
      <c r="AP58" s="4">
        <f t="shared" si="70"/>
        <v>40748344.342893578</v>
      </c>
      <c r="AQ58" s="4">
        <f t="shared" si="70"/>
        <v>42383943.828160636</v>
      </c>
      <c r="AR58" s="4"/>
      <c r="AS58" s="94">
        <f>AS53/AS55-1</f>
        <v>-0.53635365094434273</v>
      </c>
      <c r="AT58" s="121">
        <f t="shared" si="73"/>
        <v>2.9132920506047544E-2</v>
      </c>
      <c r="AU58" s="197"/>
      <c r="AV58" s="194"/>
      <c r="AW58" s="194"/>
      <c r="AX58" s="194"/>
      <c r="AY58" s="195"/>
      <c r="AZ58" s="196"/>
      <c r="BA58" s="195">
        <v>167055104.50212622</v>
      </c>
      <c r="BB58" s="195">
        <f t="shared" si="77"/>
        <v>-3563541.5021262169</v>
      </c>
      <c r="BC58" s="195">
        <v>140041174.55798692</v>
      </c>
      <c r="BD58" s="195">
        <f t="shared" si="75"/>
        <v>42227356.442013085</v>
      </c>
      <c r="BE58" s="195">
        <v>155020352.91339663</v>
      </c>
      <c r="BF58" s="195">
        <f t="shared" si="76"/>
        <v>17025181.086603373</v>
      </c>
      <c r="BG58" s="195">
        <v>148189433.6392737</v>
      </c>
      <c r="BH58" s="194">
        <f>SUM(P56:P58)</f>
        <v>531298759</v>
      </c>
      <c r="BI58" s="3"/>
      <c r="BJ58" s="3">
        <v>170443060</v>
      </c>
      <c r="BK58" s="3">
        <f t="shared" si="71"/>
        <v>0</v>
      </c>
      <c r="BL58" s="3">
        <v>98078302.873154268</v>
      </c>
      <c r="BM58" s="177">
        <f t="shared" si="72"/>
        <v>70339458.442640886</v>
      </c>
      <c r="BN58" s="3"/>
      <c r="BP58" s="3"/>
      <c r="BQ58" s="3"/>
      <c r="BR58" s="3"/>
      <c r="BS58" s="3"/>
      <c r="BT58" s="3"/>
      <c r="BU58" s="3"/>
      <c r="BV58" s="3"/>
      <c r="BW58" s="3"/>
      <c r="BX58" s="3"/>
      <c r="BY58" s="3"/>
      <c r="BZ58" s="3"/>
      <c r="CA58" s="3"/>
      <c r="CB58" s="3"/>
      <c r="CC58" s="4"/>
      <c r="CD58" s="3"/>
      <c r="CE58" s="3"/>
      <c r="CF58" s="3"/>
      <c r="CG58" s="3"/>
      <c r="CH58" s="3"/>
      <c r="CI58" s="3"/>
      <c r="CJ58" s="3"/>
      <c r="CK58" s="3"/>
      <c r="CL58" s="3"/>
      <c r="CM58" s="3"/>
      <c r="CN58" s="3"/>
      <c r="CO58" s="3"/>
      <c r="CP58" s="3"/>
      <c r="CQ58" s="3"/>
      <c r="CR58" s="3"/>
      <c r="CS58" s="3"/>
      <c r="CT58" s="3"/>
      <c r="CU58" s="3"/>
      <c r="CV58" s="3"/>
      <c r="CW58" s="3"/>
      <c r="CX58" s="3"/>
      <c r="DD58" s="3"/>
      <c r="DE58" s="3"/>
      <c r="DF58" s="3"/>
      <c r="DG58" s="3"/>
      <c r="DH58" s="3"/>
      <c r="DI58" s="3"/>
      <c r="DJ58" s="3"/>
      <c r="DK58" s="3"/>
      <c r="DL58" s="4"/>
    </row>
    <row r="59" spans="1:116">
      <c r="A59" s="2" t="s">
        <v>49</v>
      </c>
      <c r="B59" s="3">
        <f t="shared" si="70"/>
        <v>35432267</v>
      </c>
      <c r="C59" s="3">
        <f t="shared" si="70"/>
        <v>89398225</v>
      </c>
      <c r="D59" s="3">
        <f t="shared" si="70"/>
        <v>99992886</v>
      </c>
      <c r="E59" s="3">
        <f t="shared" ref="B59:AQ64" si="78">E75+E91+E107</f>
        <v>134798811</v>
      </c>
      <c r="F59" s="3">
        <f t="shared" si="78"/>
        <v>144839256</v>
      </c>
      <c r="G59" s="3">
        <f t="shared" si="78"/>
        <v>166232122</v>
      </c>
      <c r="H59" s="3">
        <f t="shared" si="78"/>
        <v>164625144</v>
      </c>
      <c r="I59" s="3">
        <f t="shared" si="78"/>
        <v>204921202</v>
      </c>
      <c r="J59" s="3">
        <f t="shared" si="78"/>
        <v>175091203</v>
      </c>
      <c r="K59" s="3">
        <f t="shared" si="78"/>
        <v>185779056</v>
      </c>
      <c r="L59" s="3">
        <f t="shared" si="78"/>
        <v>182733358</v>
      </c>
      <c r="M59" s="3">
        <f t="shared" si="78"/>
        <v>162272680</v>
      </c>
      <c r="N59" s="3">
        <f t="shared" si="78"/>
        <v>146261573</v>
      </c>
      <c r="O59" s="3">
        <f t="shared" si="78"/>
        <v>172912484</v>
      </c>
      <c r="P59" s="3">
        <f t="shared" si="78"/>
        <v>167412006</v>
      </c>
      <c r="Q59" s="4">
        <f t="shared" si="78"/>
        <v>160573577.14815378</v>
      </c>
      <c r="R59" s="4">
        <f t="shared" si="78"/>
        <v>136645666.45765993</v>
      </c>
      <c r="S59" s="4">
        <f t="shared" si="78"/>
        <v>137584398.78839707</v>
      </c>
      <c r="T59" s="4">
        <f t="shared" si="78"/>
        <v>114012433.98103359</v>
      </c>
      <c r="U59" s="4">
        <f t="shared" si="78"/>
        <v>129763119.76301344</v>
      </c>
      <c r="V59" s="4">
        <f t="shared" si="78"/>
        <v>131877933.87178215</v>
      </c>
      <c r="W59" s="4">
        <f t="shared" si="78"/>
        <v>129364055.32665952</v>
      </c>
      <c r="X59" s="4">
        <f t="shared" si="78"/>
        <v>134983226.25429845</v>
      </c>
      <c r="Y59" s="4">
        <f t="shared" si="78"/>
        <v>126954496.95697892</v>
      </c>
      <c r="Z59" s="4">
        <f t="shared" si="78"/>
        <v>123954143.73638496</v>
      </c>
      <c r="AA59" s="4">
        <f t="shared" si="78"/>
        <v>118444387.07445984</v>
      </c>
      <c r="AB59" s="4">
        <f t="shared" si="78"/>
        <v>98830121.042037621</v>
      </c>
      <c r="AC59" s="4">
        <f t="shared" si="78"/>
        <v>80263413.017830014</v>
      </c>
      <c r="AD59" s="4">
        <f t="shared" si="78"/>
        <v>77565573.858268753</v>
      </c>
      <c r="AE59" s="4">
        <f t="shared" si="78"/>
        <v>64268652.756359503</v>
      </c>
      <c r="AF59" s="4">
        <f t="shared" si="78"/>
        <v>40053986.750437871</v>
      </c>
      <c r="AG59" s="4">
        <f t="shared" si="78"/>
        <v>43949521.928234905</v>
      </c>
      <c r="AH59" s="4">
        <f t="shared" si="78"/>
        <v>43298312.636433199</v>
      </c>
      <c r="AI59" s="4">
        <f t="shared" si="78"/>
        <v>36427833.549675047</v>
      </c>
      <c r="AJ59" s="4">
        <f t="shared" si="78"/>
        <v>36760369.613488577</v>
      </c>
      <c r="AK59" s="4">
        <f t="shared" si="78"/>
        <v>36885180.513014279</v>
      </c>
      <c r="AL59" s="4">
        <f t="shared" si="78"/>
        <v>36783556.63627658</v>
      </c>
      <c r="AM59" s="4">
        <f t="shared" si="78"/>
        <v>36803995.272782192</v>
      </c>
      <c r="AN59" s="4">
        <f t="shared" si="78"/>
        <v>37333563.430447422</v>
      </c>
      <c r="AO59" s="4">
        <f t="shared" si="78"/>
        <v>37891248.073377833</v>
      </c>
      <c r="AP59" s="4">
        <f t="shared" si="78"/>
        <v>38624830.430208832</v>
      </c>
      <c r="AQ59" s="4">
        <f t="shared" si="78"/>
        <v>40250400.079257697</v>
      </c>
      <c r="AR59" s="4"/>
      <c r="AS59" s="94"/>
      <c r="AT59" s="121">
        <f t="shared" si="73"/>
        <v>-4.657575368748057E-2</v>
      </c>
      <c r="AU59" s="197"/>
      <c r="AV59" s="194"/>
      <c r="AW59" s="194"/>
      <c r="AX59" s="194"/>
      <c r="AY59" s="195"/>
      <c r="AZ59" s="196"/>
      <c r="BA59" s="195">
        <v>143619523.04200637</v>
      </c>
      <c r="BB59" s="195">
        <f t="shared" si="77"/>
        <v>42159532.957993627</v>
      </c>
      <c r="BC59" s="195">
        <v>165126501.15137365</v>
      </c>
      <c r="BD59" s="195">
        <f t="shared" si="75"/>
        <v>17606856.848626345</v>
      </c>
      <c r="BE59" s="195">
        <v>161089374.57035646</v>
      </c>
      <c r="BF59" s="195">
        <f t="shared" si="76"/>
        <v>1183305.4296435416</v>
      </c>
      <c r="BG59" s="195">
        <v>144098244.42470986</v>
      </c>
      <c r="BH59" s="197">
        <f>(BH58/BH55)-1</f>
        <v>5.8024368486919276E-2</v>
      </c>
      <c r="BI59" s="3"/>
      <c r="BJ59" s="4">
        <v>167412006</v>
      </c>
      <c r="BK59" s="3">
        <f t="shared" si="71"/>
        <v>0</v>
      </c>
      <c r="BL59" s="3">
        <v>96942130.905307934</v>
      </c>
      <c r="BM59" s="177">
        <f t="shared" si="72"/>
        <v>63631446.242845848</v>
      </c>
      <c r="BN59" s="3"/>
      <c r="BP59" s="3"/>
      <c r="BQ59" s="3"/>
      <c r="BR59" s="3"/>
      <c r="BS59" s="3"/>
      <c r="BT59" s="3"/>
      <c r="BU59" s="3"/>
      <c r="BV59" s="3"/>
      <c r="BW59" s="3"/>
      <c r="BX59" s="3"/>
      <c r="BY59" s="3"/>
      <c r="BZ59" s="3"/>
      <c r="CA59" s="3"/>
      <c r="CB59" s="3"/>
      <c r="CC59" s="4"/>
      <c r="CD59" s="3"/>
      <c r="CE59" s="3"/>
      <c r="CF59" s="3"/>
      <c r="CG59" s="3"/>
      <c r="CH59" s="3"/>
      <c r="CI59" s="3"/>
      <c r="CJ59" s="3"/>
      <c r="CK59" s="3"/>
      <c r="CL59" s="3"/>
      <c r="CM59" s="3"/>
      <c r="CN59" s="3"/>
      <c r="CO59" s="3"/>
      <c r="CP59" s="3"/>
      <c r="CQ59" s="3"/>
      <c r="CR59" s="3"/>
      <c r="CS59" s="3"/>
      <c r="CT59" s="3"/>
      <c r="CU59" s="3"/>
      <c r="CV59" s="3"/>
      <c r="CW59" s="3"/>
      <c r="CX59" s="3"/>
      <c r="DD59" s="3"/>
      <c r="DE59" s="3"/>
      <c r="DF59" s="3"/>
      <c r="DG59" s="3"/>
      <c r="DH59" s="3"/>
      <c r="DI59" s="3"/>
      <c r="DJ59" s="3"/>
      <c r="DK59" s="3"/>
      <c r="DL59" s="4"/>
    </row>
    <row r="60" spans="1:116">
      <c r="A60" s="2" t="s">
        <v>50</v>
      </c>
      <c r="B60" s="3">
        <f t="shared" si="78"/>
        <v>31148672</v>
      </c>
      <c r="C60" s="3">
        <f t="shared" si="78"/>
        <v>103330888</v>
      </c>
      <c r="D60" s="3">
        <f t="shared" si="78"/>
        <v>99653767</v>
      </c>
      <c r="E60" s="3">
        <f t="shared" si="78"/>
        <v>146058165</v>
      </c>
      <c r="F60" s="3">
        <f t="shared" si="78"/>
        <v>135192359</v>
      </c>
      <c r="G60" s="3">
        <f t="shared" si="78"/>
        <v>156275622</v>
      </c>
      <c r="H60" s="3">
        <f t="shared" si="78"/>
        <v>223090401</v>
      </c>
      <c r="I60" s="3">
        <f t="shared" si="78"/>
        <v>209577776</v>
      </c>
      <c r="J60" s="3">
        <f t="shared" si="78"/>
        <v>193652290</v>
      </c>
      <c r="K60" s="3">
        <f t="shared" si="78"/>
        <v>162420863</v>
      </c>
      <c r="L60" s="3">
        <f t="shared" si="78"/>
        <v>187845121</v>
      </c>
      <c r="M60" s="3">
        <f t="shared" si="78"/>
        <v>165630384</v>
      </c>
      <c r="N60" s="3">
        <f t="shared" si="78"/>
        <v>167103111</v>
      </c>
      <c r="O60" s="3">
        <f t="shared" si="78"/>
        <v>196585405</v>
      </c>
      <c r="P60" s="3">
        <f t="shared" si="78"/>
        <v>162818297</v>
      </c>
      <c r="Q60" s="4">
        <f t="shared" si="78"/>
        <v>168550692.26024488</v>
      </c>
      <c r="R60" s="4">
        <f t="shared" si="78"/>
        <v>144428724.19121131</v>
      </c>
      <c r="S60" s="4">
        <f t="shared" si="78"/>
        <v>146109158.46250486</v>
      </c>
      <c r="T60" s="4">
        <f t="shared" si="78"/>
        <v>120143221.32138458</v>
      </c>
      <c r="U60" s="4">
        <f t="shared" si="78"/>
        <v>134254143.81027231</v>
      </c>
      <c r="V60" s="4">
        <f t="shared" si="78"/>
        <v>138682854.39279899</v>
      </c>
      <c r="W60" s="4">
        <f t="shared" si="78"/>
        <v>136069174.41672036</v>
      </c>
      <c r="X60" s="4">
        <f t="shared" si="78"/>
        <v>141468457.07044747</v>
      </c>
      <c r="Y60" s="4">
        <f t="shared" si="78"/>
        <v>132718546.96404071</v>
      </c>
      <c r="Z60" s="4">
        <f t="shared" si="78"/>
        <v>129511507.13740788</v>
      </c>
      <c r="AA60" s="4">
        <f t="shared" si="78"/>
        <v>123986980.82268687</v>
      </c>
      <c r="AB60" s="4">
        <f t="shared" si="78"/>
        <v>103394766.61145405</v>
      </c>
      <c r="AC60" s="4">
        <f t="shared" si="78"/>
        <v>83967270.797281653</v>
      </c>
      <c r="AD60" s="4">
        <f t="shared" si="78"/>
        <v>80962144.625446633</v>
      </c>
      <c r="AE60" s="4">
        <f t="shared" si="78"/>
        <v>67100747.21031975</v>
      </c>
      <c r="AF60" s="4">
        <f t="shared" si="78"/>
        <v>42103251.378847979</v>
      </c>
      <c r="AG60" s="4">
        <f t="shared" si="78"/>
        <v>46121557.023403771</v>
      </c>
      <c r="AH60" s="4">
        <f t="shared" si="78"/>
        <v>45441324.150370717</v>
      </c>
      <c r="AI60" s="4">
        <f t="shared" si="78"/>
        <v>38342086.078303576</v>
      </c>
      <c r="AJ60" s="4">
        <f t="shared" si="78"/>
        <v>38689150.778533451</v>
      </c>
      <c r="AK60" s="4">
        <f t="shared" si="78"/>
        <v>38819977.208172627</v>
      </c>
      <c r="AL60" s="4">
        <f t="shared" si="78"/>
        <v>38713255.743047714</v>
      </c>
      <c r="AM60" s="4">
        <f t="shared" si="78"/>
        <v>38733431.653223976</v>
      </c>
      <c r="AN60" s="4">
        <f t="shared" si="78"/>
        <v>39280897.674095131</v>
      </c>
      <c r="AO60" s="4">
        <f t="shared" si="78"/>
        <v>39857694.688862585</v>
      </c>
      <c r="AP60" s="4">
        <f t="shared" si="78"/>
        <v>40615635.513144687</v>
      </c>
      <c r="AQ60" s="4">
        <f t="shared" si="78"/>
        <v>42294761.822027117</v>
      </c>
      <c r="AR60" s="4"/>
      <c r="AS60" s="94"/>
      <c r="AT60" s="121">
        <f t="shared" si="73"/>
        <v>4.9678877769105068E-2</v>
      </c>
      <c r="AU60" s="197"/>
      <c r="AV60" s="194"/>
      <c r="AW60" s="194"/>
      <c r="AX60" s="194"/>
      <c r="AY60" s="195"/>
      <c r="AZ60" s="196"/>
      <c r="BA60" s="195">
        <v>179278729.11455953</v>
      </c>
      <c r="BB60" s="195">
        <f t="shared" si="77"/>
        <v>-16857866.114559531</v>
      </c>
      <c r="BC60" s="195">
        <v>168020270.68833292</v>
      </c>
      <c r="BD60" s="195">
        <f t="shared" si="75"/>
        <v>19824850.311667085</v>
      </c>
      <c r="BE60" s="195">
        <v>155942954.667191</v>
      </c>
      <c r="BF60" s="195">
        <f t="shared" si="76"/>
        <v>9687429.3328090012</v>
      </c>
      <c r="BG60" s="195">
        <v>141572065.80553842</v>
      </c>
      <c r="BH60" s="195"/>
      <c r="BI60" s="3"/>
      <c r="BJ60" s="4">
        <v>183444962.41405323</v>
      </c>
      <c r="BK60" s="3">
        <f t="shared" si="71"/>
        <v>-20626665.414053231</v>
      </c>
      <c r="BL60" s="3">
        <v>100342280.87013984</v>
      </c>
      <c r="BM60" s="177">
        <f t="shared" si="72"/>
        <v>68208411.390105039</v>
      </c>
      <c r="BN60" s="3"/>
      <c r="BP60" s="3"/>
      <c r="BQ60" s="4"/>
      <c r="BR60" s="3"/>
      <c r="BS60" s="3"/>
      <c r="BT60" s="3"/>
      <c r="BU60" s="3"/>
      <c r="BV60" s="3"/>
      <c r="BW60" s="3"/>
      <c r="BX60" s="3"/>
      <c r="BY60" s="3"/>
      <c r="BZ60" s="3"/>
      <c r="CA60" s="3"/>
      <c r="CB60" s="3"/>
      <c r="CC60" s="4"/>
      <c r="CD60" s="3"/>
      <c r="CE60" s="3"/>
      <c r="CF60" s="3"/>
      <c r="CG60" s="3"/>
      <c r="CH60" s="3"/>
      <c r="CI60" s="3"/>
      <c r="CJ60" s="3"/>
      <c r="CK60" s="3"/>
      <c r="CL60" s="3"/>
      <c r="CM60" s="3"/>
      <c r="CN60" s="3"/>
      <c r="CO60" s="3"/>
      <c r="CP60" s="3"/>
      <c r="CQ60" s="3"/>
      <c r="CR60" s="3"/>
      <c r="CS60" s="3"/>
      <c r="CT60" s="3"/>
      <c r="CU60" s="3"/>
      <c r="CV60" s="3"/>
      <c r="CW60" s="3"/>
      <c r="CX60" s="3"/>
      <c r="DD60" s="3"/>
      <c r="DE60" s="3"/>
      <c r="DF60" s="3"/>
      <c r="DG60" s="3"/>
      <c r="DH60" s="3"/>
      <c r="DI60" s="3"/>
      <c r="DJ60" s="3"/>
      <c r="DK60" s="3"/>
      <c r="DL60" s="4"/>
    </row>
    <row r="61" spans="1:116">
      <c r="A61" s="2" t="s">
        <v>51</v>
      </c>
      <c r="B61" s="3">
        <f t="shared" si="78"/>
        <v>36919404</v>
      </c>
      <c r="C61" s="3">
        <f t="shared" si="78"/>
        <v>118727109</v>
      </c>
      <c r="D61" s="3">
        <f t="shared" si="78"/>
        <v>85342771</v>
      </c>
      <c r="E61" s="3">
        <f t="shared" si="78"/>
        <v>138263189</v>
      </c>
      <c r="F61" s="3">
        <f t="shared" si="78"/>
        <v>136941780</v>
      </c>
      <c r="G61" s="3">
        <f t="shared" si="78"/>
        <v>139667501</v>
      </c>
      <c r="H61" s="3">
        <f t="shared" si="78"/>
        <v>219873396</v>
      </c>
      <c r="I61" s="3">
        <f t="shared" si="78"/>
        <v>176230508</v>
      </c>
      <c r="J61" s="3">
        <f t="shared" si="78"/>
        <v>168821035</v>
      </c>
      <c r="K61" s="3">
        <f t="shared" si="78"/>
        <v>158518831</v>
      </c>
      <c r="L61" s="3">
        <f t="shared" si="78"/>
        <v>181919433</v>
      </c>
      <c r="M61" s="3">
        <f t="shared" si="78"/>
        <v>151727069</v>
      </c>
      <c r="N61" s="3">
        <f t="shared" si="78"/>
        <v>160952336</v>
      </c>
      <c r="O61" s="3">
        <f t="shared" si="78"/>
        <v>184335390</v>
      </c>
      <c r="P61" s="3">
        <f t="shared" si="78"/>
        <v>158862935</v>
      </c>
      <c r="Q61" s="4">
        <f t="shared" si="78"/>
        <v>161706082.05276108</v>
      </c>
      <c r="R61" s="4">
        <f t="shared" si="78"/>
        <v>136543544.94856498</v>
      </c>
      <c r="S61" s="4">
        <f t="shared" si="78"/>
        <v>139065716.35660043</v>
      </c>
      <c r="T61" s="4">
        <f t="shared" si="78"/>
        <v>114482032.06167109</v>
      </c>
      <c r="U61" s="4">
        <f t="shared" si="78"/>
        <v>128407368.0082363</v>
      </c>
      <c r="V61" s="4">
        <f t="shared" si="78"/>
        <v>132230879.62839569</v>
      </c>
      <c r="W61" s="4">
        <f t="shared" si="78"/>
        <v>129516755.93576875</v>
      </c>
      <c r="X61" s="4">
        <f t="shared" si="78"/>
        <v>134634501.69713563</v>
      </c>
      <c r="Y61" s="4">
        <f t="shared" si="78"/>
        <v>126321572.32416165</v>
      </c>
      <c r="Z61" s="4">
        <f t="shared" si="78"/>
        <v>123299172.83789745</v>
      </c>
      <c r="AA61" s="4">
        <f t="shared" si="78"/>
        <v>117930738.23956406</v>
      </c>
      <c r="AB61" s="4">
        <f t="shared" si="78"/>
        <v>98323598.393217146</v>
      </c>
      <c r="AC61" s="4">
        <f t="shared" si="78"/>
        <v>79892874.767025098</v>
      </c>
      <c r="AD61" s="4">
        <f t="shared" si="78"/>
        <v>76932598.671199933</v>
      </c>
      <c r="AE61" s="4">
        <f t="shared" si="78"/>
        <v>63762512.170410432</v>
      </c>
      <c r="AF61" s="4">
        <f t="shared" si="78"/>
        <v>40180716.389619291</v>
      </c>
      <c r="AG61" s="4">
        <f t="shared" si="78"/>
        <v>43971879.483309358</v>
      </c>
      <c r="AH61" s="4">
        <f t="shared" si="78"/>
        <v>43332199.968793295</v>
      </c>
      <c r="AI61" s="4">
        <f t="shared" si="78"/>
        <v>36635867.003285594</v>
      </c>
      <c r="AJ61" s="4">
        <f t="shared" si="78"/>
        <v>36962801.529226571</v>
      </c>
      <c r="AK61" s="4">
        <f t="shared" si="78"/>
        <v>37085762.680690385</v>
      </c>
      <c r="AL61" s="4">
        <f t="shared" si="78"/>
        <v>36985439.085176758</v>
      </c>
      <c r="AM61" s="4">
        <f t="shared" si="78"/>
        <v>37004685.993561484</v>
      </c>
      <c r="AN61" s="4">
        <f t="shared" si="78"/>
        <v>37520938.400143459</v>
      </c>
      <c r="AO61" s="4">
        <f t="shared" si="78"/>
        <v>38064889.040613763</v>
      </c>
      <c r="AP61" s="4">
        <f t="shared" si="78"/>
        <v>38779764.218278177</v>
      </c>
      <c r="AQ61" s="4">
        <f t="shared" si="78"/>
        <v>40363588.514572866</v>
      </c>
      <c r="AR61" s="4"/>
      <c r="AS61" s="94"/>
      <c r="AT61" s="121">
        <f t="shared" si="73"/>
        <v>-4.0608615222508915E-2</v>
      </c>
      <c r="AU61" s="197"/>
      <c r="AV61" s="194"/>
      <c r="AW61" s="194"/>
      <c r="AX61" s="194"/>
      <c r="AY61" s="195"/>
      <c r="AZ61" s="196"/>
      <c r="BA61" s="195">
        <v>141119976.66064993</v>
      </c>
      <c r="BB61" s="195">
        <f t="shared" si="77"/>
        <v>17398854.339350075</v>
      </c>
      <c r="BC61" s="195">
        <v>159933651.26960924</v>
      </c>
      <c r="BD61" s="195">
        <f t="shared" si="75"/>
        <v>21985781.730390757</v>
      </c>
      <c r="BE61" s="195">
        <v>151331868.28440863</v>
      </c>
      <c r="BF61" s="195">
        <f t="shared" si="76"/>
        <v>395200.71559137106</v>
      </c>
      <c r="BG61" s="195">
        <v>140040273.96936029</v>
      </c>
      <c r="BH61" s="194">
        <f>SUM(P59:P61)</f>
        <v>489093238</v>
      </c>
      <c r="BI61" s="3"/>
      <c r="BJ61" s="4">
        <v>179737370.66238177</v>
      </c>
      <c r="BK61" s="3">
        <f t="shared" si="71"/>
        <v>-20874435.662381768</v>
      </c>
      <c r="BL61" s="3">
        <v>96179474.743387386</v>
      </c>
      <c r="BM61" s="177">
        <f t="shared" si="72"/>
        <v>65526607.309373692</v>
      </c>
      <c r="BN61" s="3"/>
      <c r="BP61" s="3"/>
      <c r="BQ61" s="4"/>
      <c r="BR61" s="3"/>
      <c r="BS61" s="3"/>
      <c r="BT61" s="3"/>
      <c r="BU61" s="3"/>
      <c r="BV61" s="3"/>
      <c r="BW61" s="3"/>
      <c r="BX61" s="3"/>
      <c r="BY61" s="3"/>
      <c r="BZ61" s="3"/>
      <c r="CA61" s="3"/>
      <c r="CB61" s="3"/>
      <c r="CC61" s="4"/>
      <c r="CD61" s="3"/>
      <c r="CE61" s="3"/>
      <c r="CF61" s="3"/>
      <c r="CG61" s="3"/>
      <c r="CH61" s="3"/>
      <c r="CI61" s="3"/>
      <c r="CJ61" s="3"/>
      <c r="CK61" s="3"/>
      <c r="CL61" s="3"/>
      <c r="CM61" s="3"/>
      <c r="CN61" s="3"/>
      <c r="CO61" s="3"/>
      <c r="CP61" s="3"/>
      <c r="CQ61" s="3"/>
      <c r="CR61" s="3"/>
      <c r="CS61" s="3"/>
      <c r="CT61" s="3"/>
      <c r="CU61" s="3"/>
      <c r="CV61" s="3"/>
      <c r="CW61" s="3"/>
      <c r="CX61" s="3"/>
      <c r="DD61" s="3"/>
      <c r="DE61" s="3"/>
      <c r="DF61" s="3"/>
      <c r="DG61" s="3"/>
      <c r="DH61" s="3"/>
      <c r="DI61" s="3"/>
      <c r="DJ61" s="3"/>
      <c r="DK61" s="3"/>
      <c r="DL61" s="4"/>
    </row>
    <row r="62" spans="1:116">
      <c r="A62" s="2" t="s">
        <v>52</v>
      </c>
      <c r="B62" s="3">
        <f t="shared" si="78"/>
        <v>40382348</v>
      </c>
      <c r="C62" s="3">
        <f t="shared" si="78"/>
        <v>116344205</v>
      </c>
      <c r="D62" s="3">
        <f t="shared" si="78"/>
        <v>83115456</v>
      </c>
      <c r="E62" s="3">
        <f t="shared" si="78"/>
        <v>147310325</v>
      </c>
      <c r="F62" s="3">
        <f t="shared" si="78"/>
        <v>136581581</v>
      </c>
      <c r="G62" s="3">
        <f t="shared" si="78"/>
        <v>146814402</v>
      </c>
      <c r="H62" s="3">
        <f t="shared" si="78"/>
        <v>193600193</v>
      </c>
      <c r="I62" s="3">
        <f t="shared" si="78"/>
        <v>186033545</v>
      </c>
      <c r="J62" s="3">
        <f t="shared" si="78"/>
        <v>191266411</v>
      </c>
      <c r="K62" s="3">
        <f>K78+K94+K110</f>
        <v>160399806</v>
      </c>
      <c r="L62" s="3">
        <f t="shared" si="78"/>
        <v>164772262</v>
      </c>
      <c r="M62" s="3">
        <f t="shared" si="78"/>
        <v>157667026</v>
      </c>
      <c r="N62" s="3">
        <f t="shared" si="78"/>
        <v>155371189</v>
      </c>
      <c r="O62" s="3">
        <f t="shared" si="78"/>
        <v>201131379</v>
      </c>
      <c r="P62" s="3">
        <f t="shared" si="78"/>
        <v>174155498</v>
      </c>
      <c r="Q62" s="4">
        <f t="shared" si="78"/>
        <v>162253004.58371374</v>
      </c>
      <c r="R62" s="4">
        <f t="shared" si="78"/>
        <v>140909612.96368024</v>
      </c>
      <c r="S62" s="4">
        <f t="shared" si="78"/>
        <v>143600588.43253055</v>
      </c>
      <c r="T62" s="4">
        <f t="shared" si="78"/>
        <v>120336899.56088664</v>
      </c>
      <c r="U62" s="4">
        <f t="shared" si="78"/>
        <v>133822200.68462199</v>
      </c>
      <c r="V62" s="4">
        <f t="shared" si="78"/>
        <v>136280244.60750711</v>
      </c>
      <c r="W62" s="4">
        <f t="shared" si="78"/>
        <v>134328026.10438719</v>
      </c>
      <c r="X62" s="4">
        <f t="shared" si="78"/>
        <v>139469191.42635965</v>
      </c>
      <c r="Y62" s="4">
        <f t="shared" si="78"/>
        <v>130977518.36418097</v>
      </c>
      <c r="Z62" s="4">
        <f t="shared" si="78"/>
        <v>127637476.52491172</v>
      </c>
      <c r="AA62" s="4">
        <f t="shared" si="78"/>
        <v>121898288.25615714</v>
      </c>
      <c r="AB62" s="4">
        <f t="shared" si="78"/>
        <v>101732085.91066949</v>
      </c>
      <c r="AC62" s="4">
        <f t="shared" si="78"/>
        <v>82704513.53573373</v>
      </c>
      <c r="AD62" s="4">
        <f t="shared" si="78"/>
        <v>79494475.304888263</v>
      </c>
      <c r="AE62" s="4">
        <f t="shared" si="78"/>
        <v>65867903.855381042</v>
      </c>
      <c r="AF62" s="4">
        <f t="shared" si="78"/>
        <v>41748724.656635895</v>
      </c>
      <c r="AG62" s="4">
        <f t="shared" si="78"/>
        <v>45638842.492541574</v>
      </c>
      <c r="AH62" s="4">
        <f t="shared" si="78"/>
        <v>44982279.242368236</v>
      </c>
      <c r="AI62" s="4">
        <f t="shared" si="78"/>
        <v>38129435.447982438</v>
      </c>
      <c r="AJ62" s="4">
        <f t="shared" si="78"/>
        <v>38462150.598370939</v>
      </c>
      <c r="AK62" s="4">
        <f t="shared" si="78"/>
        <v>38589566.682807632</v>
      </c>
      <c r="AL62" s="4">
        <f t="shared" si="78"/>
        <v>38488163.02583266</v>
      </c>
      <c r="AM62" s="4">
        <f t="shared" si="78"/>
        <v>38507120.663414955</v>
      </c>
      <c r="AN62" s="4">
        <f t="shared" si="78"/>
        <v>39034769.081996314</v>
      </c>
      <c r="AO62" s="4">
        <f t="shared" si="78"/>
        <v>39591190.774325639</v>
      </c>
      <c r="AP62" s="4">
        <f t="shared" si="78"/>
        <v>40322814.326028168</v>
      </c>
      <c r="AQ62" s="4">
        <f t="shared" si="78"/>
        <v>41943087.80445262</v>
      </c>
      <c r="AR62" s="4"/>
      <c r="AS62" s="94"/>
      <c r="AT62" s="121">
        <f t="shared" si="73"/>
        <v>3.3822013619388969E-3</v>
      </c>
      <c r="AU62" s="197"/>
      <c r="AV62" s="194"/>
      <c r="AW62" s="194"/>
      <c r="AX62" s="194"/>
      <c r="AY62" s="195"/>
      <c r="AZ62" s="196"/>
      <c r="BA62" s="195">
        <v>152816519.91490614</v>
      </c>
      <c r="BB62" s="195">
        <f t="shared" si="77"/>
        <v>7583286.0850938559</v>
      </c>
      <c r="BC62" s="195">
        <v>173289693.89777201</v>
      </c>
      <c r="BD62" s="195">
        <f t="shared" si="75"/>
        <v>-8517431.8977720141</v>
      </c>
      <c r="BE62" s="195">
        <v>149277371.44355991</v>
      </c>
      <c r="BF62" s="195">
        <f t="shared" si="76"/>
        <v>8389654.5564400852</v>
      </c>
      <c r="BG62" s="195">
        <v>137891779.86776355</v>
      </c>
      <c r="BH62" s="197">
        <f>(BH61/BH58)-1</f>
        <v>-7.9438395601447276E-2</v>
      </c>
      <c r="BI62" s="3"/>
      <c r="BJ62" s="4">
        <v>184334955.46062994</v>
      </c>
      <c r="BK62" s="3">
        <f t="shared" si="71"/>
        <v>-10179457.46062994</v>
      </c>
      <c r="BL62" s="3">
        <v>93553480.596463203</v>
      </c>
      <c r="BM62" s="177">
        <f t="shared" si="72"/>
        <v>68699523.987250537</v>
      </c>
      <c r="BN62" s="3"/>
      <c r="BP62" s="3"/>
      <c r="BQ62" s="4"/>
      <c r="BR62" s="3"/>
      <c r="BS62" s="3"/>
      <c r="BT62" s="3"/>
      <c r="BU62" s="3"/>
      <c r="BV62" s="3"/>
      <c r="BW62" s="3"/>
      <c r="BX62" s="3"/>
      <c r="BY62" s="3"/>
      <c r="BZ62" s="3"/>
      <c r="CA62" s="3"/>
      <c r="CB62" s="3"/>
      <c r="CC62" s="4"/>
      <c r="CD62" s="3"/>
      <c r="CE62" s="3"/>
      <c r="CF62" s="3"/>
      <c r="CG62" s="3"/>
      <c r="CH62" s="3"/>
      <c r="CI62" s="3"/>
      <c r="CJ62" s="3"/>
      <c r="CK62" s="3"/>
      <c r="CL62" s="3"/>
      <c r="CM62" s="3"/>
      <c r="CN62" s="3"/>
      <c r="CO62" s="3"/>
      <c r="CP62" s="3"/>
      <c r="CQ62" s="3"/>
      <c r="CR62" s="3"/>
      <c r="CS62" s="3"/>
      <c r="CT62" s="3"/>
      <c r="CU62" s="3"/>
      <c r="CV62" s="3"/>
      <c r="CW62" s="3"/>
      <c r="CX62" s="3"/>
      <c r="DD62" s="3"/>
      <c r="DE62" s="3"/>
      <c r="DF62" s="3"/>
      <c r="DG62" s="3"/>
      <c r="DH62" s="3"/>
      <c r="DI62" s="3"/>
      <c r="DJ62" s="3"/>
      <c r="DK62" s="3"/>
      <c r="DL62" s="4"/>
    </row>
    <row r="63" spans="1:116">
      <c r="A63" s="2" t="s">
        <v>53</v>
      </c>
      <c r="B63" s="3">
        <f t="shared" si="78"/>
        <v>32701445</v>
      </c>
      <c r="C63" s="3">
        <f t="shared" si="78"/>
        <v>108471829</v>
      </c>
      <c r="D63" s="3">
        <f t="shared" si="78"/>
        <v>68789620</v>
      </c>
      <c r="E63" s="3">
        <f t="shared" si="78"/>
        <v>139719481</v>
      </c>
      <c r="F63" s="3">
        <f t="shared" si="78"/>
        <v>123294721</v>
      </c>
      <c r="G63" s="3">
        <f t="shared" si="78"/>
        <v>122895884</v>
      </c>
      <c r="H63" s="3">
        <f t="shared" si="78"/>
        <v>205434316</v>
      </c>
      <c r="I63" s="3">
        <f t="shared" si="78"/>
        <v>172212170</v>
      </c>
      <c r="J63" s="3">
        <f>J79+J95+J111</f>
        <v>163700900</v>
      </c>
      <c r="K63" s="3">
        <f>K79+K95+K111</f>
        <v>134375291</v>
      </c>
      <c r="L63" s="3">
        <f t="shared" si="78"/>
        <v>164773007</v>
      </c>
      <c r="M63" s="3">
        <f t="shared" si="78"/>
        <v>162339335</v>
      </c>
      <c r="N63" s="3">
        <f t="shared" si="78"/>
        <v>175112972</v>
      </c>
      <c r="O63" s="3">
        <f t="shared" si="78"/>
        <v>177563508</v>
      </c>
      <c r="P63" s="3">
        <f t="shared" si="78"/>
        <v>156049695</v>
      </c>
      <c r="Q63" s="4">
        <f t="shared" si="78"/>
        <v>158303372.71661511</v>
      </c>
      <c r="R63" s="4">
        <f t="shared" si="78"/>
        <v>136981703.35359994</v>
      </c>
      <c r="S63" s="4">
        <f t="shared" si="78"/>
        <v>138167958.79544798</v>
      </c>
      <c r="T63" s="4">
        <f t="shared" si="78"/>
        <v>112391884.3432689</v>
      </c>
      <c r="U63" s="4">
        <f t="shared" si="78"/>
        <v>126698319.1525088</v>
      </c>
      <c r="V63" s="4">
        <f t="shared" si="78"/>
        <v>130767620.93184</v>
      </c>
      <c r="W63" s="4">
        <f t="shared" si="78"/>
        <v>128368151.5856676</v>
      </c>
      <c r="X63" s="4">
        <f t="shared" si="78"/>
        <v>132788667.27127662</v>
      </c>
      <c r="Y63" s="4">
        <f t="shared" si="78"/>
        <v>124437045.23375756</v>
      </c>
      <c r="Z63" s="4">
        <f t="shared" si="78"/>
        <v>121604343.18927579</v>
      </c>
      <c r="AA63" s="4">
        <f t="shared" si="78"/>
        <v>116281373.44510657</v>
      </c>
      <c r="AB63" s="4">
        <f t="shared" si="78"/>
        <v>96932649.405530587</v>
      </c>
      <c r="AC63" s="4">
        <f t="shared" si="78"/>
        <v>78757150.741904333</v>
      </c>
      <c r="AD63" s="4">
        <f t="shared" si="78"/>
        <v>75697493.475302115</v>
      </c>
      <c r="AE63" s="4">
        <f t="shared" si="78"/>
        <v>62758011.297392331</v>
      </c>
      <c r="AF63" s="4">
        <f t="shared" si="78"/>
        <v>39795431.851897962</v>
      </c>
      <c r="AG63" s="4">
        <f t="shared" si="78"/>
        <v>43483712.438526548</v>
      </c>
      <c r="AH63" s="4">
        <f t="shared" si="78"/>
        <v>42855501.967843838</v>
      </c>
      <c r="AI63" s="4">
        <f t="shared" si="78"/>
        <v>36335956.580499709</v>
      </c>
      <c r="AJ63" s="4">
        <f t="shared" si="78"/>
        <v>36656972.106788322</v>
      </c>
      <c r="AK63" s="4">
        <f t="shared" si="78"/>
        <v>36776426.52632346</v>
      </c>
      <c r="AL63" s="4">
        <f t="shared" si="78"/>
        <v>36677708.70375333</v>
      </c>
      <c r="AM63" s="4">
        <f t="shared" si="78"/>
        <v>36696037.418442778</v>
      </c>
      <c r="AN63" s="4">
        <f t="shared" si="78"/>
        <v>37199331.655260831</v>
      </c>
      <c r="AO63" s="4">
        <f t="shared" si="78"/>
        <v>37729353.760748371</v>
      </c>
      <c r="AP63" s="4">
        <f t="shared" si="78"/>
        <v>38425364.348590255</v>
      </c>
      <c r="AQ63" s="4">
        <f t="shared" si="78"/>
        <v>39967639.626560763</v>
      </c>
      <c r="AR63" s="4"/>
      <c r="AS63" s="94"/>
      <c r="AT63" s="121">
        <f t="shared" si="73"/>
        <v>-2.4342426676362883E-2</v>
      </c>
      <c r="AU63" s="197"/>
      <c r="AV63" s="194"/>
      <c r="AW63" s="194"/>
      <c r="AX63" s="194"/>
      <c r="AY63" s="195"/>
      <c r="AZ63" s="196"/>
      <c r="BA63" s="195">
        <v>130353452.30666322</v>
      </c>
      <c r="BB63" s="195">
        <f t="shared" si="77"/>
        <v>4021838.6933367848</v>
      </c>
      <c r="BC63" s="195">
        <v>133413302.04905352</v>
      </c>
      <c r="BD63" s="195">
        <f t="shared" si="75"/>
        <v>31359704.95094648</v>
      </c>
      <c r="BE63" s="195">
        <v>141356362.87740099</v>
      </c>
      <c r="BF63" s="195">
        <f t="shared" si="76"/>
        <v>20982972.122599006</v>
      </c>
      <c r="BG63" s="195">
        <v>142499844.22919351</v>
      </c>
      <c r="BH63" s="195"/>
      <c r="BI63" s="3"/>
      <c r="BJ63" s="4">
        <v>177484438.6282382</v>
      </c>
      <c r="BK63" s="3">
        <f t="shared" si="71"/>
        <v>-21434743.628238201</v>
      </c>
      <c r="BL63" s="3">
        <v>89886575.01816836</v>
      </c>
      <c r="BM63" s="177">
        <f t="shared" si="72"/>
        <v>68416797.698446751</v>
      </c>
      <c r="BN63" s="3"/>
      <c r="BP63" s="3"/>
      <c r="BQ63" s="4"/>
      <c r="BR63" s="3"/>
      <c r="BS63" s="3"/>
      <c r="BT63" s="3"/>
      <c r="BU63" s="3"/>
      <c r="BV63" s="3"/>
      <c r="BW63" s="3"/>
      <c r="BX63" s="3"/>
      <c r="BY63" s="3"/>
      <c r="BZ63" s="3"/>
      <c r="CA63" s="3"/>
      <c r="CB63" s="3"/>
      <c r="CC63" s="4"/>
      <c r="CD63" s="3"/>
      <c r="CE63" s="3"/>
      <c r="CF63" s="3"/>
      <c r="CG63" s="3"/>
      <c r="CH63" s="3"/>
      <c r="CI63" s="3"/>
      <c r="CJ63" s="3"/>
      <c r="CK63" s="3"/>
      <c r="CL63" s="3"/>
      <c r="CM63" s="3"/>
      <c r="CN63" s="3"/>
      <c r="CO63" s="3"/>
      <c r="CP63" s="3"/>
      <c r="CQ63" s="3"/>
      <c r="CR63" s="3"/>
      <c r="CS63" s="3"/>
      <c r="CT63" s="3"/>
      <c r="CU63" s="3"/>
      <c r="CV63" s="3"/>
      <c r="CW63" s="3"/>
      <c r="CX63" s="3"/>
      <c r="DD63" s="3"/>
      <c r="DE63" s="3"/>
      <c r="DF63" s="3"/>
      <c r="DG63" s="3"/>
      <c r="DH63" s="3"/>
      <c r="DI63" s="3"/>
      <c r="DJ63" s="3"/>
      <c r="DK63" s="3"/>
      <c r="DL63" s="4"/>
    </row>
    <row r="64" spans="1:116">
      <c r="A64" s="2" t="s">
        <v>54</v>
      </c>
      <c r="B64" s="3">
        <f t="shared" si="78"/>
        <v>34380388</v>
      </c>
      <c r="C64" s="3">
        <f t="shared" si="78"/>
        <v>161133225</v>
      </c>
      <c r="D64" s="3">
        <f t="shared" si="78"/>
        <v>58888081</v>
      </c>
      <c r="E64" s="3">
        <f t="shared" si="78"/>
        <v>191206093</v>
      </c>
      <c r="F64" s="3">
        <f t="shared" si="78"/>
        <v>179855298</v>
      </c>
      <c r="G64" s="3">
        <f t="shared" si="78"/>
        <v>148252977</v>
      </c>
      <c r="H64" s="3">
        <f t="shared" si="78"/>
        <v>308258500</v>
      </c>
      <c r="I64" s="3">
        <f t="shared" si="78"/>
        <v>193711979</v>
      </c>
      <c r="J64" s="3">
        <f>J80+J96+J112</f>
        <v>212930298</v>
      </c>
      <c r="K64" s="3">
        <f>K80+K96+K112</f>
        <v>163919996</v>
      </c>
      <c r="L64" s="3">
        <f t="shared" si="78"/>
        <v>199885923</v>
      </c>
      <c r="M64" s="3">
        <f t="shared" si="78"/>
        <v>216969174</v>
      </c>
      <c r="N64" s="3">
        <f t="shared" si="78"/>
        <v>188600282</v>
      </c>
      <c r="O64" s="3">
        <f t="shared" si="78"/>
        <v>200310108</v>
      </c>
      <c r="P64" s="3">
        <f t="shared" si="78"/>
        <v>206059446</v>
      </c>
      <c r="Q64" s="4">
        <f t="shared" si="78"/>
        <v>364551823.40635943</v>
      </c>
      <c r="R64" s="4">
        <f t="shared" si="78"/>
        <v>170502050.88568425</v>
      </c>
      <c r="S64" s="4">
        <f t="shared" si="78"/>
        <v>189400240.5143238</v>
      </c>
      <c r="T64" s="4">
        <f t="shared" si="78"/>
        <v>164560386.85708004</v>
      </c>
      <c r="U64" s="4">
        <f t="shared" si="78"/>
        <v>196053590.09168968</v>
      </c>
      <c r="V64" s="4">
        <f t="shared" si="78"/>
        <v>211208322.24095809</v>
      </c>
      <c r="W64" s="4">
        <f t="shared" si="78"/>
        <v>185362140.47549146</v>
      </c>
      <c r="X64" s="4">
        <f t="shared" si="78"/>
        <v>195048101.35730451</v>
      </c>
      <c r="Y64" s="4">
        <f t="shared" si="78"/>
        <v>165537469.36723197</v>
      </c>
      <c r="Z64" s="4">
        <f t="shared" si="78"/>
        <v>171705531.37174311</v>
      </c>
      <c r="AA64" s="4">
        <f t="shared" si="78"/>
        <v>161714412.23569477</v>
      </c>
      <c r="AB64" s="4">
        <f t="shared" si="78"/>
        <v>135747463.24003562</v>
      </c>
      <c r="AC64" s="4">
        <f t="shared" si="78"/>
        <v>110291426.12802513</v>
      </c>
      <c r="AD64" s="4">
        <f t="shared" si="78"/>
        <v>103461013.49523574</v>
      </c>
      <c r="AE64" s="4">
        <f t="shared" si="78"/>
        <v>86742848.802969024</v>
      </c>
      <c r="AF64" s="4">
        <f t="shared" si="78"/>
        <v>57166494.560892262</v>
      </c>
      <c r="AG64" s="4">
        <f t="shared" si="78"/>
        <v>61925412.264150761</v>
      </c>
      <c r="AH64" s="4">
        <f t="shared" si="78"/>
        <v>61025357.337650761</v>
      </c>
      <c r="AI64" s="4">
        <f t="shared" si="78"/>
        <v>52630181.454120018</v>
      </c>
      <c r="AJ64" s="4">
        <f t="shared" si="78"/>
        <v>53149623.481755942</v>
      </c>
      <c r="AK64" s="4">
        <f t="shared" si="78"/>
        <v>53274490.706617579</v>
      </c>
      <c r="AL64" s="4">
        <f t="shared" si="78"/>
        <v>53142947.835204206</v>
      </c>
      <c r="AM64" s="4">
        <f t="shared" si="78"/>
        <v>53153954.059867904</v>
      </c>
      <c r="AN64" s="4">
        <f t="shared" si="78"/>
        <v>53800790.371227264</v>
      </c>
      <c r="AO64" s="4">
        <f t="shared" si="78"/>
        <v>54492787.356773324</v>
      </c>
      <c r="AP64" s="4">
        <f t="shared" si="78"/>
        <v>55377842.84155786</v>
      </c>
      <c r="AQ64" s="4">
        <f t="shared" si="78"/>
        <v>57350842.958838105</v>
      </c>
      <c r="AR64" s="4"/>
      <c r="AS64" s="94"/>
      <c r="AT64" s="121">
        <f t="shared" si="73"/>
        <v>1.3028683290213756</v>
      </c>
      <c r="AU64" s="197"/>
      <c r="AV64" s="194"/>
      <c r="AW64" s="194"/>
      <c r="AX64" s="194"/>
      <c r="AY64" s="195"/>
      <c r="AZ64" s="196"/>
      <c r="BA64" s="195">
        <v>169422997</v>
      </c>
      <c r="BB64" s="195">
        <f t="shared" si="77"/>
        <v>-5503001</v>
      </c>
      <c r="BC64" s="195">
        <v>167631897</v>
      </c>
      <c r="BD64" s="195">
        <f t="shared" si="75"/>
        <v>32254026</v>
      </c>
      <c r="BE64" s="195">
        <v>179824533</v>
      </c>
      <c r="BF64" s="195">
        <f t="shared" si="76"/>
        <v>37144641</v>
      </c>
      <c r="BG64" s="195">
        <v>179383712.03590918</v>
      </c>
      <c r="BH64" s="194">
        <f>SUM(P62:P64)</f>
        <v>536264639</v>
      </c>
      <c r="BI64" s="3"/>
      <c r="BJ64" s="4">
        <v>180097289.29868317</v>
      </c>
      <c r="BK64" s="3">
        <f t="shared" si="71"/>
        <v>25962156.701316833</v>
      </c>
      <c r="BL64" s="3">
        <v>107985765.12644944</v>
      </c>
      <c r="BM64" s="177">
        <f t="shared" si="72"/>
        <v>256566058.27991</v>
      </c>
      <c r="BN64" s="3"/>
      <c r="BP64" s="3"/>
      <c r="BQ64" s="4"/>
      <c r="BR64" s="3"/>
      <c r="BS64" s="3"/>
      <c r="BT64" s="3"/>
      <c r="BU64" s="3"/>
      <c r="BV64" s="3"/>
      <c r="BW64" s="3"/>
      <c r="BX64" s="3"/>
      <c r="BY64" s="3"/>
      <c r="BZ64" s="3"/>
      <c r="CA64" s="3"/>
      <c r="CB64" s="3"/>
      <c r="CC64" s="4"/>
      <c r="CD64" s="3"/>
      <c r="CE64" s="3"/>
      <c r="CF64" s="3"/>
      <c r="CG64" s="3"/>
      <c r="CH64" s="3"/>
      <c r="CI64" s="3"/>
      <c r="CJ64" s="3"/>
      <c r="CK64" s="3"/>
      <c r="CL64" s="3"/>
      <c r="CM64" s="3"/>
      <c r="CN64" s="3"/>
      <c r="CO64" s="3"/>
      <c r="CP64" s="3"/>
      <c r="CQ64" s="3"/>
      <c r="CR64" s="3"/>
      <c r="CS64" s="3"/>
      <c r="CT64" s="3"/>
      <c r="CU64" s="3"/>
      <c r="CV64" s="3"/>
      <c r="CW64" s="3"/>
      <c r="CX64" s="3"/>
      <c r="DD64" s="3"/>
      <c r="DE64" s="3"/>
      <c r="DF64" s="3"/>
      <c r="DG64" s="3"/>
      <c r="DH64" s="3"/>
      <c r="DI64" s="3"/>
      <c r="DJ64" s="3"/>
      <c r="DK64" s="3"/>
      <c r="DL64" s="4"/>
    </row>
    <row r="65" spans="1:116" ht="13.5" thickBot="1">
      <c r="A65" s="2" t="s">
        <v>29</v>
      </c>
      <c r="B65" s="3">
        <f>SUM(B53:B64)</f>
        <v>214443356</v>
      </c>
      <c r="C65" s="3">
        <f t="shared" ref="C65:AQ65" si="79">SUM(C53:C64)</f>
        <v>1077377519</v>
      </c>
      <c r="D65" s="3">
        <f t="shared" si="79"/>
        <v>1056430771</v>
      </c>
      <c r="E65" s="3">
        <f t="shared" si="79"/>
        <v>1534402079</v>
      </c>
      <c r="F65" s="3">
        <f t="shared" si="79"/>
        <v>1435538716</v>
      </c>
      <c r="G65" s="3">
        <f t="shared" si="79"/>
        <v>1515484489</v>
      </c>
      <c r="H65" s="3">
        <f t="shared" si="79"/>
        <v>2194392940</v>
      </c>
      <c r="I65" s="3">
        <f t="shared" si="79"/>
        <v>2050164384</v>
      </c>
      <c r="J65" s="3">
        <f t="shared" si="79"/>
        <v>2030262144</v>
      </c>
      <c r="K65" s="3">
        <f t="shared" si="79"/>
        <v>1898503952</v>
      </c>
      <c r="L65" s="3">
        <f t="shared" si="79"/>
        <v>2034367312</v>
      </c>
      <c r="M65" s="3">
        <f t="shared" si="79"/>
        <v>1913078061</v>
      </c>
      <c r="N65" s="3">
        <f t="shared" si="79"/>
        <v>1860533654</v>
      </c>
      <c r="O65" s="3">
        <f t="shared" si="79"/>
        <v>2174183180</v>
      </c>
      <c r="P65" s="3">
        <f t="shared" si="79"/>
        <v>2058817810</v>
      </c>
      <c r="Q65" s="4">
        <f t="shared" si="79"/>
        <v>1920916041.0664115</v>
      </c>
      <c r="R65" s="4">
        <f t="shared" si="79"/>
        <v>1646288920.8928504</v>
      </c>
      <c r="S65" s="4">
        <f t="shared" si="79"/>
        <v>1664785399.8558679</v>
      </c>
      <c r="T65" s="4">
        <f t="shared" si="79"/>
        <v>1386208281.752449</v>
      </c>
      <c r="U65" s="4">
        <f t="shared" si="79"/>
        <v>1564916782.8977914</v>
      </c>
      <c r="V65" s="4">
        <f t="shared" si="79"/>
        <v>1591061973.8548846</v>
      </c>
      <c r="W65" s="4">
        <f t="shared" si="79"/>
        <v>1562948354.9289415</v>
      </c>
      <c r="X65" s="4">
        <f t="shared" si="79"/>
        <v>1621119743.991498</v>
      </c>
      <c r="Y65" s="4">
        <f t="shared" si="79"/>
        <v>1523186758.3635507</v>
      </c>
      <c r="Z65" s="4">
        <f t="shared" si="79"/>
        <v>1486754933.2873945</v>
      </c>
      <c r="AA65" s="4">
        <f t="shared" si="79"/>
        <v>1418986408.7613163</v>
      </c>
      <c r="AB65" s="4">
        <f t="shared" si="79"/>
        <v>1183550782.0520484</v>
      </c>
      <c r="AC65" s="4">
        <f t="shared" si="79"/>
        <v>962248304.87814164</v>
      </c>
      <c r="AD65" s="4">
        <f t="shared" si="79"/>
        <v>924935067.03321886</v>
      </c>
      <c r="AE65" s="4">
        <f t="shared" si="79"/>
        <v>766534291.17993772</v>
      </c>
      <c r="AF65" s="4">
        <f t="shared" si="79"/>
        <v>486059083.20517874</v>
      </c>
      <c r="AG65" s="4">
        <f t="shared" si="79"/>
        <v>531231552.15335268</v>
      </c>
      <c r="AH65" s="4">
        <f t="shared" si="79"/>
        <v>523635004.6940726</v>
      </c>
      <c r="AI65" s="4">
        <f t="shared" si="79"/>
        <v>444022082.55199242</v>
      </c>
      <c r="AJ65" s="4">
        <f t="shared" si="79"/>
        <v>447888665.53711724</v>
      </c>
      <c r="AK65" s="4">
        <f t="shared" si="79"/>
        <v>449344713.67332029</v>
      </c>
      <c r="AL65" s="4">
        <f t="shared" si="79"/>
        <v>448167204.47525609</v>
      </c>
      <c r="AM65" s="4">
        <f t="shared" si="79"/>
        <v>448395520.93563485</v>
      </c>
      <c r="AN65" s="4">
        <f t="shared" si="79"/>
        <v>454530877.06040359</v>
      </c>
      <c r="AO65" s="4">
        <f t="shared" si="79"/>
        <v>460995056.19845146</v>
      </c>
      <c r="AP65" s="4">
        <f t="shared" si="79"/>
        <v>469494911.41562796</v>
      </c>
      <c r="AQ65" s="4">
        <f t="shared" si="79"/>
        <v>488327033.09541714</v>
      </c>
      <c r="AR65" s="4"/>
      <c r="AS65" s="4"/>
      <c r="AT65" s="194"/>
      <c r="AU65" s="194"/>
      <c r="AV65" s="194"/>
      <c r="AW65" s="194"/>
      <c r="AX65" s="194"/>
      <c r="AY65" s="195"/>
      <c r="AZ65" s="196"/>
      <c r="BA65" s="195">
        <v>1743500000</v>
      </c>
      <c r="BB65" s="195">
        <f t="shared" si="77"/>
        <v>155003952</v>
      </c>
      <c r="BC65" s="195">
        <v>1815449146</v>
      </c>
      <c r="BD65" s="195">
        <f t="shared" si="75"/>
        <v>218918166</v>
      </c>
      <c r="BE65" s="195">
        <v>1717327970</v>
      </c>
      <c r="BF65" s="195">
        <f t="shared" si="76"/>
        <v>195750091</v>
      </c>
      <c r="BG65" s="195">
        <v>1653807613.0359092</v>
      </c>
      <c r="BH65" s="197">
        <f>(BH64/BH61)-1</f>
        <v>9.6446643165408075E-2</v>
      </c>
      <c r="BI65" s="3"/>
      <c r="BJ65" s="4">
        <v>2105821650.4639864</v>
      </c>
      <c r="BK65" s="3">
        <f t="shared" si="71"/>
        <v>-47003840.463986397</v>
      </c>
      <c r="BL65" s="3">
        <v>1114128073.0664108</v>
      </c>
      <c r="BM65" s="177">
        <f t="shared" si="72"/>
        <v>806787968.00000072</v>
      </c>
      <c r="BN65" s="3"/>
      <c r="BR65" s="3"/>
      <c r="BS65" s="3"/>
      <c r="BT65" s="3"/>
      <c r="BU65" s="3"/>
      <c r="BV65" s="3"/>
      <c r="BW65" s="3"/>
      <c r="BX65" s="3"/>
      <c r="BY65" s="3"/>
      <c r="BZ65" s="3"/>
      <c r="CA65" s="3"/>
      <c r="CB65" s="3"/>
      <c r="CC65" s="4"/>
      <c r="CD65" s="3"/>
      <c r="CE65" s="3"/>
      <c r="CF65" s="3"/>
      <c r="CG65" s="3"/>
      <c r="CH65" s="3"/>
      <c r="CI65" s="3"/>
      <c r="CJ65" s="3"/>
      <c r="CK65" s="3"/>
      <c r="CL65" s="3"/>
      <c r="CM65" s="3"/>
      <c r="CN65" s="3"/>
      <c r="CO65" s="3"/>
      <c r="CP65" s="3"/>
      <c r="CQ65" s="3"/>
      <c r="CR65" s="3"/>
      <c r="CS65" s="3"/>
      <c r="CT65" s="3"/>
      <c r="CU65" s="3"/>
      <c r="CV65" s="3"/>
      <c r="CW65" s="3"/>
      <c r="CX65" s="3"/>
    </row>
    <row r="66" spans="1:116">
      <c r="A66" s="114"/>
      <c r="B66" s="115">
        <f t="shared" ref="B66:Q66" si="80">B64/AVERAGE(B53:B63)</f>
        <v>2.1002889833516463</v>
      </c>
      <c r="C66" s="115">
        <f t="shared" si="80"/>
        <v>1.9344900553345221</v>
      </c>
      <c r="D66" s="115">
        <f t="shared" si="80"/>
        <v>0.64936458107873052</v>
      </c>
      <c r="E66" s="115">
        <f t="shared" si="80"/>
        <v>1.5658675613403747</v>
      </c>
      <c r="F66" s="115">
        <f t="shared" si="80"/>
        <v>1.5755629561080977</v>
      </c>
      <c r="G66" s="115">
        <f t="shared" si="80"/>
        <v>1.1927626979680088</v>
      </c>
      <c r="H66" s="115">
        <f t="shared" si="80"/>
        <v>1.7977740229376225</v>
      </c>
      <c r="I66" s="115">
        <f t="shared" si="80"/>
        <v>1.1477976829683387</v>
      </c>
      <c r="J66" s="115">
        <f t="shared" si="80"/>
        <v>1.2888308115853047</v>
      </c>
      <c r="K66" s="115">
        <f t="shared" si="80"/>
        <v>1.0395114919418753</v>
      </c>
      <c r="L66" s="115">
        <f t="shared" si="80"/>
        <v>1.1985649820075661</v>
      </c>
      <c r="M66" s="115">
        <f t="shared" si="80"/>
        <v>1.4071389710252724</v>
      </c>
      <c r="N66" s="115">
        <f t="shared" si="80"/>
        <v>1.240840775561719</v>
      </c>
      <c r="O66" s="115">
        <f t="shared" si="80"/>
        <v>1.1162881845119978</v>
      </c>
      <c r="P66" s="115">
        <f>P64/AVERAGE(P53:P63)</f>
        <v>1.2233942375013347</v>
      </c>
      <c r="Q66" s="115">
        <f t="shared" si="80"/>
        <v>2.5765627428128464</v>
      </c>
      <c r="R66" s="114"/>
      <c r="S66" s="114"/>
      <c r="T66" s="114"/>
      <c r="U66" s="114"/>
      <c r="V66" s="114"/>
      <c r="W66" s="114"/>
      <c r="X66" s="114"/>
      <c r="Y66" s="114"/>
      <c r="Z66" s="114"/>
      <c r="AA66" s="114"/>
      <c r="AB66" s="114"/>
      <c r="AC66" s="114"/>
      <c r="AD66" s="114"/>
      <c r="AE66" s="114"/>
      <c r="AF66" s="114"/>
      <c r="AG66" s="114"/>
      <c r="AH66" s="114"/>
      <c r="AI66" s="114"/>
      <c r="AJ66" s="114"/>
      <c r="AK66" s="114"/>
      <c r="AL66" s="114"/>
      <c r="AM66" s="114"/>
      <c r="AN66" s="114"/>
      <c r="AO66" s="114"/>
      <c r="AP66" s="114"/>
      <c r="AQ66" s="114"/>
      <c r="AX66" s="4"/>
      <c r="AY66" s="3"/>
      <c r="BB66" s="3"/>
      <c r="BE66" s="4"/>
      <c r="CY66" s="3"/>
      <c r="CZ66" s="3"/>
      <c r="DA66" s="3"/>
      <c r="DB66" s="3"/>
      <c r="DC66" s="3"/>
    </row>
    <row r="67" spans="1:116" ht="16.5" thickBot="1">
      <c r="A67" s="109" t="s">
        <v>303</v>
      </c>
      <c r="AX67" s="4"/>
      <c r="AY67" s="3"/>
      <c r="BB67" s="3"/>
      <c r="BE67" s="4"/>
      <c r="CY67" s="3"/>
      <c r="CZ67" s="3"/>
      <c r="DA67" s="3"/>
      <c r="DB67" s="3"/>
      <c r="DC67" s="3"/>
    </row>
    <row r="68" spans="1:116" ht="14.25" thickBot="1">
      <c r="A68" s="110"/>
      <c r="B68" s="111">
        <f t="shared" ref="B68:K68" si="81">B2</f>
        <v>2010</v>
      </c>
      <c r="C68" s="111">
        <f t="shared" si="81"/>
        <v>2011</v>
      </c>
      <c r="D68" s="111">
        <f t="shared" si="81"/>
        <v>2012</v>
      </c>
      <c r="E68" s="111">
        <f t="shared" si="81"/>
        <v>2013</v>
      </c>
      <c r="F68" s="111">
        <f t="shared" si="81"/>
        <v>2014</v>
      </c>
      <c r="G68" s="111">
        <f t="shared" si="81"/>
        <v>2015</v>
      </c>
      <c r="H68" s="111">
        <f t="shared" si="81"/>
        <v>2016</v>
      </c>
      <c r="I68" s="111">
        <f t="shared" si="81"/>
        <v>2017</v>
      </c>
      <c r="J68" s="111">
        <f t="shared" si="81"/>
        <v>2018</v>
      </c>
      <c r="K68" s="111">
        <f t="shared" si="81"/>
        <v>2019</v>
      </c>
      <c r="L68" s="111">
        <f>L2</f>
        <v>2020</v>
      </c>
      <c r="M68" s="111">
        <f>M2</f>
        <v>2021</v>
      </c>
      <c r="N68" s="111">
        <f t="shared" ref="N68:AQ68" si="82">N2</f>
        <v>2022</v>
      </c>
      <c r="O68" s="111">
        <f t="shared" si="82"/>
        <v>2023</v>
      </c>
      <c r="P68" s="111">
        <f t="shared" si="82"/>
        <v>2024</v>
      </c>
      <c r="Q68" s="111">
        <f t="shared" si="82"/>
        <v>2025</v>
      </c>
      <c r="R68" s="111">
        <f t="shared" si="82"/>
        <v>2026</v>
      </c>
      <c r="S68" s="111">
        <f t="shared" si="82"/>
        <v>2027</v>
      </c>
      <c r="T68" s="111">
        <f t="shared" si="82"/>
        <v>2028</v>
      </c>
      <c r="U68" s="111">
        <f t="shared" si="82"/>
        <v>2029</v>
      </c>
      <c r="V68" s="111">
        <f t="shared" si="82"/>
        <v>2030</v>
      </c>
      <c r="W68" s="111">
        <f t="shared" si="82"/>
        <v>2031</v>
      </c>
      <c r="X68" s="111">
        <f t="shared" si="82"/>
        <v>2032</v>
      </c>
      <c r="Y68" s="111">
        <f t="shared" si="82"/>
        <v>2033</v>
      </c>
      <c r="Z68" s="111">
        <f t="shared" si="82"/>
        <v>2034</v>
      </c>
      <c r="AA68" s="111">
        <f t="shared" si="82"/>
        <v>2035</v>
      </c>
      <c r="AB68" s="111">
        <f t="shared" si="82"/>
        <v>2036</v>
      </c>
      <c r="AC68" s="111">
        <f t="shared" si="82"/>
        <v>2037</v>
      </c>
      <c r="AD68" s="111">
        <f t="shared" si="82"/>
        <v>2038</v>
      </c>
      <c r="AE68" s="111">
        <f t="shared" si="82"/>
        <v>2039</v>
      </c>
      <c r="AF68" s="111">
        <f t="shared" si="82"/>
        <v>2040</v>
      </c>
      <c r="AG68" s="111">
        <f t="shared" si="82"/>
        <v>2041</v>
      </c>
      <c r="AH68" s="111">
        <f t="shared" si="82"/>
        <v>2042</v>
      </c>
      <c r="AI68" s="111">
        <f t="shared" si="82"/>
        <v>2043</v>
      </c>
      <c r="AJ68" s="111">
        <f t="shared" si="82"/>
        <v>2044</v>
      </c>
      <c r="AK68" s="111">
        <f t="shared" si="82"/>
        <v>2045</v>
      </c>
      <c r="AL68" s="111">
        <f t="shared" si="82"/>
        <v>2046</v>
      </c>
      <c r="AM68" s="111">
        <f t="shared" si="82"/>
        <v>2047</v>
      </c>
      <c r="AN68" s="111">
        <f t="shared" si="82"/>
        <v>2048</v>
      </c>
      <c r="AO68" s="111">
        <f t="shared" si="82"/>
        <v>2049</v>
      </c>
      <c r="AP68" s="111">
        <f t="shared" si="82"/>
        <v>2050</v>
      </c>
      <c r="AQ68" s="111">
        <f t="shared" si="82"/>
        <v>2051</v>
      </c>
      <c r="AR68" s="94"/>
      <c r="AS68" s="94"/>
      <c r="AT68" s="31" t="s">
        <v>36</v>
      </c>
      <c r="AU68" s="31"/>
      <c r="AV68" s="31"/>
      <c r="AW68" s="31"/>
      <c r="AX68" s="19"/>
      <c r="AY68" s="18"/>
      <c r="AZ68" s="14"/>
      <c r="BA68" s="14"/>
      <c r="BB68" s="18"/>
      <c r="BC68" s="14"/>
      <c r="BD68" s="14"/>
      <c r="BE68" s="19"/>
      <c r="BF68" s="14"/>
      <c r="BG68" s="14"/>
      <c r="BH68" s="14"/>
      <c r="BI68" s="14"/>
      <c r="BJ68" s="14"/>
      <c r="BK68" s="14"/>
      <c r="BL68" s="14"/>
      <c r="BM68" s="14"/>
      <c r="BN68" s="14"/>
      <c r="CY68" s="3"/>
      <c r="CZ68" s="3"/>
      <c r="DA68" s="3"/>
      <c r="DB68" s="3"/>
      <c r="DC68" s="3"/>
    </row>
    <row r="69" spans="1:116" ht="13.5">
      <c r="A69" s="2" t="s">
        <v>43</v>
      </c>
      <c r="B69" s="3">
        <f>'Monthly D4 Gallon Data'!$B2</f>
        <v>485714</v>
      </c>
      <c r="C69" s="3">
        <f>'Monthly D4 Gallon Data'!$B14</f>
        <v>32877627</v>
      </c>
      <c r="D69" s="3">
        <f>'Monthly D4 Gallon Data'!$B26</f>
        <v>60117730</v>
      </c>
      <c r="E69" s="3">
        <f>'Monthly D4 Gallon Data'!$B38</f>
        <v>71157810</v>
      </c>
      <c r="F69" s="3">
        <f>'Monthly D4 Gallon Data'!$B50</f>
        <v>56695627</v>
      </c>
      <c r="G69" s="3">
        <f>'Monthly D4 Gallon Data'!$B62</f>
        <v>55879853</v>
      </c>
      <c r="H69" s="3">
        <f>'Monthly D4 Gallon Data'!$B74</f>
        <v>85560071</v>
      </c>
      <c r="I69" s="3">
        <f>'Monthly D4 Gallon Data'!$B86</f>
        <v>65936175</v>
      </c>
      <c r="J69" s="3">
        <f>'Monthly D4 Gallon Data'!$B98</f>
        <v>110496056</v>
      </c>
      <c r="K69" s="3">
        <f>'Monthly D4 Gallon Data'!$B110</f>
        <v>107668977</v>
      </c>
      <c r="L69" s="3">
        <f>'Monthly D4 Gallon Data'!$B122</f>
        <v>118403817</v>
      </c>
      <c r="M69" s="3">
        <f>'Monthly D4 Gallon Data'!$B134</f>
        <v>107302585</v>
      </c>
      <c r="N69" s="3">
        <f>'Monthly D4 Gallon Data'!$B146</f>
        <v>90715015</v>
      </c>
      <c r="O69" s="3">
        <f>'Monthly D4 Gallon Data'!$B158</f>
        <v>119548309</v>
      </c>
      <c r="P69" s="3">
        <f>'Monthly D4 Gallon Data'!$B170</f>
        <v>120715672</v>
      </c>
      <c r="Q69" s="3">
        <f>'Monthly D4 Gallon Data'!$B182</f>
        <v>65635810</v>
      </c>
      <c r="R69" s="4">
        <f>(SUM(M69:Q69)/SUM(M$81:Q$81))*R$81*1.1</f>
        <v>98015663.363137141</v>
      </c>
      <c r="S69" s="4">
        <f t="shared" ref="R69:U79" si="83">(SUM(N69:R69)/SUM(N$81:R$81))*S$81</f>
        <v>90708468.784077719</v>
      </c>
      <c r="T69" s="4">
        <f t="shared" si="83"/>
        <v>73650931.236886859</v>
      </c>
      <c r="U69" s="4">
        <f t="shared" si="83"/>
        <v>82344485.293023407</v>
      </c>
      <c r="V69" s="4">
        <f>(SUM(Q69:U69)/SUM(Q$81:U$81))*V$81</f>
        <v>79639224.581323087</v>
      </c>
      <c r="W69" s="4">
        <f t="shared" ref="W69:W79" si="84">(SUM(R69:V69)/SUM(R$81:V$81))*W$81</f>
        <v>84515444.617420524</v>
      </c>
      <c r="X69" s="4">
        <f t="shared" ref="X69:Y79" si="85">(SUM(S69:W69)/SUM(S$81:W$81))*X$81</f>
        <v>87891592.070975751</v>
      </c>
      <c r="Y69" s="4">
        <f>(SUM(T69:X69)/SUM(T$81:X$81))*Y$81+20000000</f>
        <v>102340019.60040376</v>
      </c>
      <c r="Z69" s="4">
        <f>(SUM(U69:Y69)/SUM(U$81:Y$81))*Z$81+7000000</f>
        <v>90837867.89552854</v>
      </c>
      <c r="AA69" s="4">
        <f>(SUM(V69:Z69)/SUM(V$81:Z$81))*AA$81+6000000</f>
        <v>88430181.851996198</v>
      </c>
      <c r="AB69" s="4">
        <f t="shared" ref="AB69:AB79" si="86">(SUM(W69:AA69)/SUM(W$81:AA$81))*AB$81</f>
        <v>71413592.333132088</v>
      </c>
      <c r="AC69" s="4">
        <f t="shared" ref="AC69:AC79" si="87">(SUM(X69:AB69)/SUM(X$81:AB$81))*AC$81</f>
        <v>58726542.333007209</v>
      </c>
      <c r="AD69" s="4">
        <f t="shared" ref="AD69:AQ79" si="88">(SUM(Y69:AC69)/SUM(Y$81:AC$81))*AD$81</f>
        <v>59072015.4489372</v>
      </c>
      <c r="AE69" s="4">
        <f t="shared" si="88"/>
        <v>47974747.133285888</v>
      </c>
      <c r="AF69" s="4">
        <f t="shared" si="88"/>
        <v>28531355.080727756</v>
      </c>
      <c r="AG69" s="4">
        <f t="shared" si="88"/>
        <v>31542732.125062745</v>
      </c>
      <c r="AH69" s="4">
        <f t="shared" si="88"/>
        <v>31214660.132799488</v>
      </c>
      <c r="AI69" s="4">
        <f t="shared" si="88"/>
        <v>25749476.395661239</v>
      </c>
      <c r="AJ69" s="4">
        <f t="shared" si="88"/>
        <v>25891829.24432179</v>
      </c>
      <c r="AK69" s="4">
        <f t="shared" si="88"/>
        <v>26000662.669733964</v>
      </c>
      <c r="AL69" s="4">
        <f t="shared" si="88"/>
        <v>25922451.198247306</v>
      </c>
      <c r="AM69" s="4">
        <f t="shared" si="88"/>
        <v>25967186.327067997</v>
      </c>
      <c r="AN69" s="4">
        <f t="shared" si="88"/>
        <v>26390790.205999963</v>
      </c>
      <c r="AO69" s="4">
        <f t="shared" si="88"/>
        <v>26821854.340091936</v>
      </c>
      <c r="AP69" s="4">
        <f t="shared" si="88"/>
        <v>27416523.334585477</v>
      </c>
      <c r="AQ69" s="4">
        <f t="shared" si="88"/>
        <v>28728666.257797211</v>
      </c>
      <c r="AR69" s="4"/>
      <c r="AS69" s="4">
        <f>SUM(Q69:Q71)</f>
        <v>235191099</v>
      </c>
      <c r="AT69" s="121">
        <f>(Q69/P80)-1</f>
        <v>-0.62422796789630253</v>
      </c>
      <c r="AU69" s="121" t="s">
        <v>299</v>
      </c>
      <c r="AV69" s="194"/>
      <c r="AW69" s="194"/>
      <c r="AX69" s="194"/>
      <c r="AY69" s="195"/>
      <c r="AZ69" s="196"/>
      <c r="BA69" s="196"/>
      <c r="BB69" s="195"/>
      <c r="BC69" s="195">
        <v>108932143.44251604</v>
      </c>
      <c r="BD69" s="195">
        <f>L69-BC69</f>
        <v>9471673.5574839562</v>
      </c>
      <c r="BE69" s="195">
        <v>108507798.4385401</v>
      </c>
      <c r="BF69" s="195">
        <f>M69-BE69</f>
        <v>-1205213.4385401011</v>
      </c>
      <c r="BG69" s="195">
        <v>81075407.426691353</v>
      </c>
      <c r="BH69" s="195"/>
      <c r="BI69" s="18"/>
      <c r="BJ69" s="195">
        <v>120715672</v>
      </c>
      <c r="BK69" s="195">
        <f t="shared" ref="BK69:BK81" si="89">P69-BJ69</f>
        <v>0</v>
      </c>
      <c r="BL69" s="195">
        <v>65635810</v>
      </c>
      <c r="BM69" s="177">
        <f t="shared" ref="BM69:BM81" si="90">Q69-BL69</f>
        <v>0</v>
      </c>
      <c r="BN69" s="195"/>
      <c r="BP69" s="3"/>
      <c r="BQ69" s="3"/>
      <c r="BR69" s="3"/>
      <c r="BS69" s="202"/>
      <c r="BT69" s="202"/>
      <c r="BU69" s="4"/>
      <c r="BV69" s="3"/>
      <c r="BW69" s="3"/>
      <c r="BX69" s="3"/>
      <c r="BY69" s="3"/>
      <c r="BZ69" s="3"/>
      <c r="CA69" s="3"/>
      <c r="CB69" s="3"/>
      <c r="CC69" s="3"/>
      <c r="CD69" s="3"/>
      <c r="CE69" s="3"/>
      <c r="CF69" s="3"/>
      <c r="CG69" s="3"/>
      <c r="CH69" s="3"/>
      <c r="CI69" s="3"/>
      <c r="CJ69" s="203"/>
      <c r="CK69" s="20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row>
    <row r="70" spans="1:116" ht="13.5">
      <c r="A70" s="2" t="s">
        <v>44</v>
      </c>
      <c r="B70" s="3">
        <f>'Monthly D4 Gallon Data'!$B3</f>
        <v>538632</v>
      </c>
      <c r="C70" s="3">
        <f>'Monthly D4 Gallon Data'!$B15</f>
        <v>41535834</v>
      </c>
      <c r="D70" s="3">
        <f>'Monthly D4 Gallon Data'!$B27</f>
        <v>72510777</v>
      </c>
      <c r="E70" s="3">
        <f>'Monthly D4 Gallon Data'!$B39</f>
        <v>74511501</v>
      </c>
      <c r="F70" s="3">
        <f>'Monthly D4 Gallon Data'!$B51</f>
        <v>69859288</v>
      </c>
      <c r="G70" s="3">
        <f>'Monthly D4 Gallon Data'!$B63</f>
        <v>62835451</v>
      </c>
      <c r="H70" s="3">
        <f>'Monthly D4 Gallon Data'!$B75</f>
        <v>100399613</v>
      </c>
      <c r="I70" s="3">
        <f>'Monthly D4 Gallon Data'!$B87</f>
        <v>78476257</v>
      </c>
      <c r="J70" s="3">
        <f>'Monthly D4 Gallon Data'!$B99</f>
        <v>115536272</v>
      </c>
      <c r="K70" s="3">
        <f>'Monthly D4 Gallon Data'!$B111</f>
        <v>117330452</v>
      </c>
      <c r="L70" s="3">
        <f>'Monthly D4 Gallon Data'!$B123</f>
        <v>128033003</v>
      </c>
      <c r="M70" s="3">
        <f>'Monthly D4 Gallon Data'!$B135</f>
        <v>109881050</v>
      </c>
      <c r="N70" s="3">
        <f>'Monthly D4 Gallon Data'!$B147</f>
        <v>110442650</v>
      </c>
      <c r="O70" s="3">
        <f>'Monthly D4 Gallon Data'!$B159</f>
        <v>114742607</v>
      </c>
      <c r="P70" s="3">
        <f>'Monthly D4 Gallon Data'!$B171</f>
        <v>125799224</v>
      </c>
      <c r="Q70" s="3">
        <f>'Monthly D4 Gallon Data'!$B183</f>
        <v>73721896</v>
      </c>
      <c r="R70" s="4">
        <f>(SUM(M70:Q70)/SUM(M$81:Q$81))*R$81*1.1</f>
        <v>103981212.43447548</v>
      </c>
      <c r="S70" s="4">
        <f t="shared" si="83"/>
        <v>96954079.202789247</v>
      </c>
      <c r="T70" s="4">
        <f t="shared" si="83"/>
        <v>76714622.401454777</v>
      </c>
      <c r="U70" s="4">
        <f t="shared" si="83"/>
        <v>87564249.538713023</v>
      </c>
      <c r="V70" s="4">
        <f t="shared" ref="V70:V79" si="91">(SUM(Q70:U70)/SUM(Q$81:U$81))*V$81</f>
        <v>85185989.865512088</v>
      </c>
      <c r="W70" s="4">
        <f t="shared" si="84"/>
        <v>89701855.18186897</v>
      </c>
      <c r="X70" s="4">
        <f t="shared" si="85"/>
        <v>93295735.701281473</v>
      </c>
      <c r="Y70" s="4">
        <f t="shared" si="85"/>
        <v>87267964.936471209</v>
      </c>
      <c r="Z70" s="4">
        <f t="shared" ref="Z70:AA79" si="92">(SUM(U70:Y70)/SUM(U$81:Y$81))*Z$81</f>
        <v>85044385.679333374</v>
      </c>
      <c r="AA70" s="4">
        <f t="shared" si="92"/>
        <v>81554784.995612815</v>
      </c>
      <c r="AB70" s="4">
        <f t="shared" si="86"/>
        <v>68715950.345740765</v>
      </c>
      <c r="AC70" s="4">
        <f t="shared" si="87"/>
        <v>55392132.165890269</v>
      </c>
      <c r="AD70" s="4">
        <f t="shared" si="88"/>
        <v>54226728.147470638</v>
      </c>
      <c r="AE70" s="4">
        <f t="shared" si="88"/>
        <v>44909117.337509483</v>
      </c>
      <c r="AF70" s="4">
        <f t="shared" si="88"/>
        <v>26707199.550333399</v>
      </c>
      <c r="AG70" s="4">
        <f t="shared" si="88"/>
        <v>29671057.187318135</v>
      </c>
      <c r="AH70" s="4">
        <f t="shared" si="88"/>
        <v>29149623.400559571</v>
      </c>
      <c r="AI70" s="4">
        <f t="shared" si="88"/>
        <v>23974497.788962215</v>
      </c>
      <c r="AJ70" s="4">
        <f t="shared" si="88"/>
        <v>24228374.580098491</v>
      </c>
      <c r="AK70" s="4">
        <f t="shared" si="88"/>
        <v>24327201.397123329</v>
      </c>
      <c r="AL70" s="4">
        <f t="shared" si="88"/>
        <v>24251773.69634258</v>
      </c>
      <c r="AM70" s="4">
        <f t="shared" si="88"/>
        <v>24262563.426456727</v>
      </c>
      <c r="AN70" s="4">
        <f t="shared" si="88"/>
        <v>24661607.74265692</v>
      </c>
      <c r="AO70" s="4">
        <f t="shared" si="88"/>
        <v>25082521.998701155</v>
      </c>
      <c r="AP70" s="4">
        <f t="shared" si="88"/>
        <v>25635372.57692495</v>
      </c>
      <c r="AQ70" s="4">
        <f t="shared" si="88"/>
        <v>26858865.455325108</v>
      </c>
      <c r="AR70" s="4"/>
      <c r="AS70" s="4">
        <f>SUM(P69:P71)</f>
        <v>379999977</v>
      </c>
      <c r="AT70" s="121">
        <f t="shared" ref="AT70:AT80" si="93">(Q70/Q69)-1</f>
        <v>0.12319625521495059</v>
      </c>
      <c r="AU70" s="121" t="s">
        <v>300</v>
      </c>
      <c r="AV70" s="204">
        <f t="shared" ref="AV70:BG70" si="94">(SUM(L70:P70)/SUM(L69:P69))-1</f>
        <v>5.7865961844395297E-2</v>
      </c>
      <c r="AW70" s="204">
        <f t="shared" si="94"/>
        <v>6.0863221924404742E-2</v>
      </c>
      <c r="AX70" s="204">
        <f t="shared" si="94"/>
        <v>6.8853663857765701E-2</v>
      </c>
      <c r="AY70" s="204">
        <f t="shared" si="94"/>
        <v>4.1597453190564959E-2</v>
      </c>
      <c r="AZ70" s="204">
        <f t="shared" si="94"/>
        <v>6.3389360284602514E-2</v>
      </c>
      <c r="BA70" s="204">
        <f t="shared" si="94"/>
        <v>6.9648660108750482E-2</v>
      </c>
      <c r="BB70" s="204">
        <f t="shared" si="94"/>
        <v>6.1366423473555587E-2</v>
      </c>
      <c r="BC70" s="204">
        <f t="shared" si="94"/>
        <v>6.1486468761900115E-2</v>
      </c>
      <c r="BD70" s="204">
        <f t="shared" si="94"/>
        <v>5.9848726779308414E-2</v>
      </c>
      <c r="BE70" s="204">
        <f t="shared" si="94"/>
        <v>1.4391083815589178E-2</v>
      </c>
      <c r="BF70" s="204">
        <f t="shared" si="94"/>
        <v>-1.0619858366382795E-2</v>
      </c>
      <c r="BG70" s="204">
        <f t="shared" si="94"/>
        <v>-3.7774909499122877E-2</v>
      </c>
      <c r="BH70" s="195"/>
      <c r="BI70" s="18"/>
      <c r="BJ70" s="195">
        <v>125799224</v>
      </c>
      <c r="BK70" s="195">
        <f t="shared" si="89"/>
        <v>0</v>
      </c>
      <c r="BL70" s="195">
        <v>73721896</v>
      </c>
      <c r="BM70" s="177">
        <f t="shared" si="90"/>
        <v>0</v>
      </c>
      <c r="BN70" s="195"/>
      <c r="BP70" s="3"/>
      <c r="BQ70" s="3"/>
      <c r="BR70" s="3"/>
      <c r="BS70" s="202"/>
      <c r="BT70" s="202"/>
      <c r="BU70" s="4"/>
      <c r="BV70" s="3"/>
      <c r="BW70" s="3"/>
      <c r="BX70" s="3"/>
      <c r="BY70" s="3"/>
      <c r="BZ70" s="3"/>
      <c r="CA70" s="3"/>
      <c r="CB70" s="3"/>
      <c r="CC70" s="3"/>
      <c r="CD70" s="3"/>
      <c r="CE70" s="3"/>
      <c r="CF70" s="3"/>
      <c r="CG70" s="3"/>
      <c r="CH70" s="3"/>
      <c r="CI70" s="3"/>
      <c r="CJ70" s="203"/>
      <c r="CK70" s="20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row>
    <row r="71" spans="1:116" ht="13.5">
      <c r="A71" s="2" t="s">
        <v>45</v>
      </c>
      <c r="B71" s="3">
        <f>'Monthly D4 Gallon Data'!$B4</f>
        <v>808785</v>
      </c>
      <c r="C71" s="3">
        <f>'Monthly D4 Gallon Data'!$B16</f>
        <v>63342553</v>
      </c>
      <c r="D71" s="3">
        <f>'Monthly D4 Gallon Data'!$B28</f>
        <v>95151425</v>
      </c>
      <c r="E71" s="3">
        <f>'Monthly D4 Gallon Data'!$B40</f>
        <v>101030322</v>
      </c>
      <c r="F71" s="3">
        <f>'Monthly D4 Gallon Data'!$B52</f>
        <v>90811260</v>
      </c>
      <c r="G71" s="3">
        <f>'Monthly D4 Gallon Data'!$B64</f>
        <v>92371029</v>
      </c>
      <c r="H71" s="3">
        <f>'Monthly D4 Gallon Data'!$B76</f>
        <v>126575151</v>
      </c>
      <c r="I71" s="3">
        <f>'Monthly D4 Gallon Data'!$B88</f>
        <v>111494709</v>
      </c>
      <c r="J71" s="3">
        <f>'Monthly D4 Gallon Data'!$B100</f>
        <v>145194734</v>
      </c>
      <c r="K71" s="3">
        <f>'Monthly D4 Gallon Data'!$B112</f>
        <v>147658797</v>
      </c>
      <c r="L71" s="3">
        <f>'Monthly D4 Gallon Data'!$B124</f>
        <v>150090658</v>
      </c>
      <c r="M71" s="3">
        <f>'Monthly D4 Gallon Data'!$B136</f>
        <v>150336910</v>
      </c>
      <c r="N71" s="3">
        <f>'Monthly D4 Gallon Data'!$B148</f>
        <v>135867416</v>
      </c>
      <c r="O71" s="3">
        <f>'Monthly D4 Gallon Data'!$B160</f>
        <v>130887285</v>
      </c>
      <c r="P71" s="3">
        <f>'Monthly D4 Gallon Data'!$B172</f>
        <v>133485081</v>
      </c>
      <c r="Q71" s="3">
        <f>'Monthly D4 Gallon Data'!$B184</f>
        <v>95833393</v>
      </c>
      <c r="R71" s="4">
        <f t="shared" si="83"/>
        <v>114301406.64373817</v>
      </c>
      <c r="S71" s="4">
        <f t="shared" si="83"/>
        <v>111934357.2928541</v>
      </c>
      <c r="T71" s="4">
        <f t="shared" si="83"/>
        <v>87322837.1273157</v>
      </c>
      <c r="U71" s="4">
        <f t="shared" si="83"/>
        <v>99621771.395883515</v>
      </c>
      <c r="V71" s="4">
        <f t="shared" si="91"/>
        <v>98786236.673304528</v>
      </c>
      <c r="W71" s="4">
        <f t="shared" si="84"/>
        <v>101963452.45301311</v>
      </c>
      <c r="X71" s="4">
        <f t="shared" si="85"/>
        <v>106881449.69804786</v>
      </c>
      <c r="Y71" s="4">
        <f t="shared" si="85"/>
        <v>99802002.947552264</v>
      </c>
      <c r="Z71" s="4">
        <f t="shared" si="92"/>
        <v>97337779.061025664</v>
      </c>
      <c r="AA71" s="4">
        <f t="shared" si="92"/>
        <v>93454856.195951954</v>
      </c>
      <c r="AB71" s="4">
        <f t="shared" si="86"/>
        <v>78558557.316256836</v>
      </c>
      <c r="AC71" s="4">
        <f t="shared" si="87"/>
        <v>63404464.49846109</v>
      </c>
      <c r="AD71" s="4">
        <f t="shared" si="88"/>
        <v>62057472.324372597</v>
      </c>
      <c r="AE71" s="4">
        <f t="shared" si="88"/>
        <v>51403196.3040087</v>
      </c>
      <c r="AF71" s="4">
        <f t="shared" si="88"/>
        <v>30569581.060393609</v>
      </c>
      <c r="AG71" s="4">
        <f t="shared" si="88"/>
        <v>33949527.642657228</v>
      </c>
      <c r="AH71" s="4">
        <f t="shared" si="88"/>
        <v>33362028.223447889</v>
      </c>
      <c r="AI71" s="4">
        <f t="shared" si="88"/>
        <v>27438056.028013065</v>
      </c>
      <c r="AJ71" s="4">
        <f t="shared" si="88"/>
        <v>27729128.821050435</v>
      </c>
      <c r="AK71" s="4">
        <f t="shared" si="88"/>
        <v>27841295.12113066</v>
      </c>
      <c r="AL71" s="4">
        <f t="shared" si="88"/>
        <v>27754142.022674315</v>
      </c>
      <c r="AM71" s="4">
        <f t="shared" si="88"/>
        <v>27767748.944908731</v>
      </c>
      <c r="AN71" s="4">
        <f t="shared" si="88"/>
        <v>28224200.055346448</v>
      </c>
      <c r="AO71" s="4">
        <f t="shared" si="88"/>
        <v>28705872.786316611</v>
      </c>
      <c r="AP71" s="4">
        <f t="shared" si="88"/>
        <v>29338421.152509019</v>
      </c>
      <c r="AQ71" s="4">
        <f t="shared" si="88"/>
        <v>30738646.00311771</v>
      </c>
      <c r="AR71" s="4"/>
      <c r="AS71" s="4">
        <f>SUM(P78:P80)</f>
        <v>455234923</v>
      </c>
      <c r="AT71" s="121">
        <f t="shared" si="93"/>
        <v>0.29993120361418812</v>
      </c>
      <c r="AU71" s="197" t="s">
        <v>301</v>
      </c>
      <c r="AV71" s="194"/>
      <c r="AW71" s="194"/>
      <c r="AX71" s="194"/>
      <c r="AY71" s="195"/>
      <c r="AZ71" s="196"/>
      <c r="BA71" s="198"/>
      <c r="BB71" s="195"/>
      <c r="BC71" s="195">
        <v>119714448.18219173</v>
      </c>
      <c r="BD71" s="195">
        <f t="shared" ref="BD71:BD81" si="95">L71-BC71</f>
        <v>30376209.81780827</v>
      </c>
      <c r="BE71" s="195">
        <v>135173970.91653845</v>
      </c>
      <c r="BF71" s="195">
        <f t="shared" ref="BF71:BF81" si="96">M71-BE71</f>
        <v>15162939.083461553</v>
      </c>
      <c r="BG71" s="195">
        <v>128861333.89305</v>
      </c>
      <c r="BH71" s="194">
        <f>SUM(P69:P71)</f>
        <v>379999977</v>
      </c>
      <c r="BI71" s="18"/>
      <c r="BJ71" s="195">
        <v>133348673</v>
      </c>
      <c r="BK71" s="195">
        <f t="shared" si="89"/>
        <v>136408</v>
      </c>
      <c r="BL71" s="195">
        <v>85035352.610110149</v>
      </c>
      <c r="BM71" s="177">
        <f t="shared" si="90"/>
        <v>10798040.389889851</v>
      </c>
      <c r="BN71" s="195"/>
      <c r="BP71" s="3"/>
      <c r="BQ71" s="3"/>
      <c r="BR71" s="3"/>
      <c r="BS71" s="202"/>
      <c r="BT71" s="202"/>
      <c r="BU71" s="4"/>
      <c r="BV71" s="3"/>
      <c r="BW71" s="3"/>
      <c r="BX71" s="3"/>
      <c r="BY71" s="3"/>
      <c r="BZ71" s="3"/>
      <c r="CA71" s="3"/>
      <c r="CB71" s="3"/>
      <c r="CC71" s="3"/>
      <c r="CD71" s="3"/>
      <c r="CE71" s="3"/>
      <c r="CF71" s="3"/>
      <c r="CG71" s="3"/>
      <c r="CH71" s="3"/>
      <c r="CI71" s="3"/>
      <c r="CJ71" s="203"/>
      <c r="CK71" s="20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row>
    <row r="72" spans="1:116" ht="13.5">
      <c r="A72" s="2" t="s">
        <v>46</v>
      </c>
      <c r="B72" s="3">
        <f>'Monthly D4 Gallon Data'!$B5</f>
        <v>522149</v>
      </c>
      <c r="C72" s="3">
        <f>'Monthly D4 Gallon Data'!$B17</f>
        <v>70300597</v>
      </c>
      <c r="D72" s="3">
        <f>'Monthly D4 Gallon Data'!$B29</f>
        <v>92581599</v>
      </c>
      <c r="E72" s="3">
        <f>'Monthly D4 Gallon Data'!$B41</f>
        <v>110954540</v>
      </c>
      <c r="F72" s="3">
        <f>'Monthly D4 Gallon Data'!$B53</f>
        <v>103350473</v>
      </c>
      <c r="G72" s="3">
        <f>'Monthly D4 Gallon Data'!$B65</f>
        <v>106492710</v>
      </c>
      <c r="H72" s="3">
        <f>'Monthly D4 Gallon Data'!$B77</f>
        <v>126257818</v>
      </c>
      <c r="I72" s="3">
        <f>'Monthly D4 Gallon Data'!$B89</f>
        <v>124324164</v>
      </c>
      <c r="J72" s="3">
        <f>'Monthly D4 Gallon Data'!$B101</f>
        <v>144637673</v>
      </c>
      <c r="K72" s="3">
        <f>'Monthly D4 Gallon Data'!$B113</f>
        <v>160888556</v>
      </c>
      <c r="L72" s="3">
        <f>'Monthly D4 Gallon Data'!$B125</f>
        <v>149356126</v>
      </c>
      <c r="M72" s="3">
        <f>'Monthly D4 Gallon Data'!$B137</f>
        <v>144396494</v>
      </c>
      <c r="N72" s="3">
        <f>'Monthly D4 Gallon Data'!$B149</f>
        <v>144286382</v>
      </c>
      <c r="O72" s="3">
        <f>'Monthly D4 Gallon Data'!$B161</f>
        <v>133835520</v>
      </c>
      <c r="P72" s="3">
        <f>'Monthly D4 Gallon Data'!$B173</f>
        <v>135031996</v>
      </c>
      <c r="Q72" s="4">
        <f t="shared" ref="Q72:Q79" si="97">(SUM(L72:P72)/SUM(L$81:P$81))*Q$81</f>
        <v>131791986.24915777</v>
      </c>
      <c r="R72" s="4">
        <f t="shared" si="83"/>
        <v>121892905.63593009</v>
      </c>
      <c r="S72" s="4">
        <f t="shared" si="83"/>
        <v>122289121.48130514</v>
      </c>
      <c r="T72" s="4">
        <f t="shared" si="83"/>
        <v>96018766.815526187</v>
      </c>
      <c r="U72" s="4">
        <f t="shared" si="83"/>
        <v>111393326.89138438</v>
      </c>
      <c r="V72" s="4">
        <f t="shared" si="91"/>
        <v>113219959.76514225</v>
      </c>
      <c r="W72" s="4">
        <f t="shared" si="84"/>
        <v>112488573.71474865</v>
      </c>
      <c r="X72" s="4">
        <f t="shared" si="85"/>
        <v>118814240.39004086</v>
      </c>
      <c r="Y72" s="4">
        <f t="shared" si="85"/>
        <v>111376681.07702474</v>
      </c>
      <c r="Z72" s="4">
        <f t="shared" si="92"/>
        <v>108901458.25925811</v>
      </c>
      <c r="AA72" s="4">
        <f t="shared" si="92"/>
        <v>104568995.44832946</v>
      </c>
      <c r="AB72" s="4">
        <f t="shared" si="86"/>
        <v>87478731.870437697</v>
      </c>
      <c r="AC72" s="4">
        <f t="shared" si="87"/>
        <v>70744124.19156599</v>
      </c>
      <c r="AD72" s="4">
        <f t="shared" si="88"/>
        <v>69304292.487537593</v>
      </c>
      <c r="AE72" s="4">
        <f t="shared" si="88"/>
        <v>57416242.345070548</v>
      </c>
      <c r="AF72" s="4">
        <f t="shared" si="88"/>
        <v>34130016.256508559</v>
      </c>
      <c r="AG72" s="4">
        <f t="shared" si="88"/>
        <v>37876385.689659461</v>
      </c>
      <c r="AH72" s="4">
        <f t="shared" si="88"/>
        <v>37243943.818960853</v>
      </c>
      <c r="AI72" s="4">
        <f t="shared" si="88"/>
        <v>30635596.330887821</v>
      </c>
      <c r="AJ72" s="4">
        <f t="shared" si="88"/>
        <v>30958260.082361247</v>
      </c>
      <c r="AK72" s="4">
        <f t="shared" si="88"/>
        <v>31078575.690346614</v>
      </c>
      <c r="AL72" s="4">
        <f t="shared" si="88"/>
        <v>30980195.755365957</v>
      </c>
      <c r="AM72" s="4">
        <f t="shared" si="88"/>
        <v>30999108.0758458</v>
      </c>
      <c r="AN72" s="4">
        <f t="shared" si="88"/>
        <v>31508769.552715477</v>
      </c>
      <c r="AO72" s="4">
        <f t="shared" si="88"/>
        <v>32045578.07429985</v>
      </c>
      <c r="AP72" s="4">
        <f t="shared" si="88"/>
        <v>32751078.082785845</v>
      </c>
      <c r="AQ72" s="4">
        <f t="shared" si="88"/>
        <v>34314444.314209163</v>
      </c>
      <c r="AR72" s="4"/>
      <c r="AS72" s="94"/>
      <c r="AT72" s="121">
        <f t="shared" si="93"/>
        <v>0.37521986985431854</v>
      </c>
      <c r="AU72" s="197"/>
      <c r="AV72" s="194"/>
      <c r="AW72" s="194"/>
      <c r="AX72" s="194"/>
      <c r="AY72" s="195"/>
      <c r="AZ72" s="196"/>
      <c r="BA72" s="196"/>
      <c r="BB72" s="195"/>
      <c r="BC72" s="195">
        <v>152824951.74781588</v>
      </c>
      <c r="BD72" s="195">
        <f t="shared" si="95"/>
        <v>-3468825.7478158772</v>
      </c>
      <c r="BE72" s="195">
        <v>129458434.08986306</v>
      </c>
      <c r="BF72" s="195">
        <f t="shared" si="96"/>
        <v>14938059.910136938</v>
      </c>
      <c r="BG72" s="195">
        <v>138512422.75823951</v>
      </c>
      <c r="BH72" s="205">
        <f>SUM(O78:O80)/BH71-1</f>
        <v>9.16467029154584E-2</v>
      </c>
      <c r="BI72" s="18"/>
      <c r="BJ72" s="195">
        <v>135019099</v>
      </c>
      <c r="BK72" s="195">
        <f t="shared" si="89"/>
        <v>12897</v>
      </c>
      <c r="BL72" s="195">
        <v>85792559.080304191</v>
      </c>
      <c r="BM72" s="177">
        <f t="shared" si="90"/>
        <v>45999427.168853581</v>
      </c>
      <c r="BN72" s="195"/>
      <c r="BP72" s="3"/>
      <c r="BQ72" s="3"/>
      <c r="BR72" s="3"/>
      <c r="BS72" s="202"/>
      <c r="BT72" s="202"/>
      <c r="BU72" s="4"/>
      <c r="BV72" s="3"/>
      <c r="BW72" s="3"/>
      <c r="BX72" s="3"/>
      <c r="BY72" s="3"/>
      <c r="BZ72" s="3"/>
      <c r="CA72" s="3"/>
      <c r="CB72" s="3"/>
      <c r="CC72" s="3"/>
      <c r="CD72" s="3"/>
      <c r="CE72" s="3"/>
      <c r="CF72" s="3"/>
      <c r="CG72" s="3"/>
      <c r="CH72" s="3"/>
      <c r="CI72" s="3"/>
      <c r="CJ72" s="203"/>
      <c r="CK72" s="20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row>
    <row r="73" spans="1:116" ht="13.5">
      <c r="A73" s="2" t="s">
        <v>47</v>
      </c>
      <c r="B73" s="3">
        <f>'Monthly D4 Gallon Data'!$B6</f>
        <v>485714</v>
      </c>
      <c r="C73" s="3">
        <f>'Monthly D4 Gallon Data'!$B18</f>
        <v>77560283</v>
      </c>
      <c r="D73" s="3">
        <f>'Monthly D4 Gallon Data'!$B30</f>
        <v>107554758</v>
      </c>
      <c r="E73" s="3">
        <f>'Monthly D4 Gallon Data'!$B42</f>
        <v>118930694</v>
      </c>
      <c r="F73" s="3">
        <f>'Monthly D4 Gallon Data'!$B54</f>
        <v>109855624</v>
      </c>
      <c r="G73" s="3">
        <f>'Monthly D4 Gallon Data'!$B66</f>
        <v>121530326</v>
      </c>
      <c r="H73" s="3">
        <f>'Monthly D4 Gallon Data'!$B78</f>
        <v>135261004</v>
      </c>
      <c r="I73" s="3">
        <f>'Monthly D4 Gallon Data'!$B90</f>
        <v>147074058</v>
      </c>
      <c r="J73" s="3">
        <f>'Monthly D4 Gallon Data'!$B102</f>
        <v>166235446</v>
      </c>
      <c r="K73" s="3">
        <f>'Monthly D4 Gallon Data'!$B114</f>
        <v>164042436</v>
      </c>
      <c r="L73" s="3">
        <f>'Monthly D4 Gallon Data'!$B126</f>
        <v>143174223</v>
      </c>
      <c r="M73" s="3">
        <f>'Monthly D4 Gallon Data'!$B138</f>
        <v>150501950</v>
      </c>
      <c r="N73" s="3">
        <f>'Monthly D4 Gallon Data'!$B150</f>
        <v>139875243</v>
      </c>
      <c r="O73" s="3">
        <f>'Monthly D4 Gallon Data'!$B162</f>
        <v>163593533</v>
      </c>
      <c r="P73" s="3">
        <f>'Monthly D4 Gallon Data'!$B174</f>
        <v>142081952</v>
      </c>
      <c r="Q73" s="4">
        <f t="shared" si="97"/>
        <v>137817630.89019856</v>
      </c>
      <c r="R73" s="4">
        <f t="shared" si="83"/>
        <v>129766553.07013708</v>
      </c>
      <c r="S73" s="4">
        <f t="shared" si="83"/>
        <v>130779197.61732134</v>
      </c>
      <c r="T73" s="4">
        <f t="shared" si="83"/>
        <v>104833421.36076534</v>
      </c>
      <c r="U73" s="4">
        <f t="shared" si="83"/>
        <v>118413201.74282238</v>
      </c>
      <c r="V73" s="4">
        <f t="shared" si="91"/>
        <v>120638216.89668246</v>
      </c>
      <c r="W73" s="4">
        <f t="shared" si="84"/>
        <v>120378611.99403523</v>
      </c>
      <c r="X73" s="4">
        <f t="shared" si="85"/>
        <v>127292580.98696111</v>
      </c>
      <c r="Y73" s="4">
        <f t="shared" si="85"/>
        <v>119371961.24934368</v>
      </c>
      <c r="Z73" s="4">
        <f t="shared" si="92"/>
        <v>116350119.27114092</v>
      </c>
      <c r="AA73" s="4">
        <f t="shared" si="92"/>
        <v>111832266.36716108</v>
      </c>
      <c r="AB73" s="4">
        <f t="shared" si="86"/>
        <v>93625065.521601304</v>
      </c>
      <c r="AC73" s="4">
        <f t="shared" si="87"/>
        <v>75716468.718552843</v>
      </c>
      <c r="AD73" s="4">
        <f t="shared" si="88"/>
        <v>74157169.789209753</v>
      </c>
      <c r="AE73" s="4">
        <f t="shared" si="88"/>
        <v>61411117.91840329</v>
      </c>
      <c r="AF73" s="4">
        <f t="shared" si="88"/>
        <v>36515948.523488037</v>
      </c>
      <c r="AG73" s="4">
        <f t="shared" si="88"/>
        <v>40529777.402080804</v>
      </c>
      <c r="AH73" s="4">
        <f t="shared" si="88"/>
        <v>39850528.837245993</v>
      </c>
      <c r="AI73" s="4">
        <f t="shared" si="88"/>
        <v>32776933.286828984</v>
      </c>
      <c r="AJ73" s="4">
        <f t="shared" si="88"/>
        <v>33120783.036311284</v>
      </c>
      <c r="AK73" s="4">
        <f t="shared" si="88"/>
        <v>33252379.61661933</v>
      </c>
      <c r="AL73" s="4">
        <f t="shared" si="88"/>
        <v>33147359.576819479</v>
      </c>
      <c r="AM73" s="4">
        <f t="shared" si="88"/>
        <v>33166859.407704063</v>
      </c>
      <c r="AN73" s="4">
        <f t="shared" si="88"/>
        <v>33711726.135068618</v>
      </c>
      <c r="AO73" s="4">
        <f t="shared" si="88"/>
        <v>34286183.663658626</v>
      </c>
      <c r="AP73" s="4">
        <f t="shared" si="88"/>
        <v>35041442.155736245</v>
      </c>
      <c r="AQ73" s="4">
        <f t="shared" si="88"/>
        <v>36714051.293827362</v>
      </c>
      <c r="AR73" s="4"/>
      <c r="AS73" s="94">
        <f>AS69/AS70-1</f>
        <v>-0.38107601780196954</v>
      </c>
      <c r="AT73" s="121">
        <f t="shared" si="93"/>
        <v>4.5720872812775371E-2</v>
      </c>
      <c r="AU73" s="197"/>
      <c r="AV73" s="194"/>
      <c r="AW73" s="194"/>
      <c r="AX73" s="194"/>
      <c r="AY73" s="195"/>
      <c r="AZ73" s="196"/>
      <c r="BA73" s="195">
        <v>178072540.96348354</v>
      </c>
      <c r="BB73" s="195">
        <f t="shared" ref="BB73:BB81" si="98">K73-BA73</f>
        <v>-14030104.963483542</v>
      </c>
      <c r="BC73" s="195">
        <v>157209465.91249242</v>
      </c>
      <c r="BD73" s="195">
        <f t="shared" si="95"/>
        <v>-14035242.912492424</v>
      </c>
      <c r="BE73" s="195">
        <v>142690356.2444244</v>
      </c>
      <c r="BF73" s="195">
        <f t="shared" si="96"/>
        <v>7811593.7555755973</v>
      </c>
      <c r="BG73" s="195">
        <v>143839399.92900729</v>
      </c>
      <c r="BH73" s="195"/>
      <c r="BI73" s="18"/>
      <c r="BJ73" s="195">
        <v>142081952</v>
      </c>
      <c r="BK73" s="195">
        <f t="shared" si="89"/>
        <v>0</v>
      </c>
      <c r="BL73" s="195">
        <v>89715069.762297302</v>
      </c>
      <c r="BM73" s="177">
        <f t="shared" si="90"/>
        <v>48102561.127901256</v>
      </c>
      <c r="BN73" s="195"/>
      <c r="BP73" s="3"/>
      <c r="BQ73" s="3"/>
      <c r="BR73" s="3"/>
      <c r="BS73" s="202"/>
      <c r="BT73" s="202"/>
      <c r="BU73" s="4"/>
      <c r="BV73" s="3"/>
      <c r="BW73" s="3"/>
      <c r="BX73" s="3"/>
      <c r="BY73" s="3"/>
      <c r="BZ73" s="3"/>
      <c r="CA73" s="3"/>
      <c r="CB73" s="3"/>
      <c r="CC73" s="3"/>
      <c r="CD73" s="3"/>
      <c r="CE73" s="3"/>
      <c r="CF73" s="3"/>
      <c r="CG73" s="3"/>
      <c r="CH73" s="3"/>
      <c r="CI73" s="4"/>
      <c r="CJ73" s="203"/>
      <c r="CK73" s="203"/>
      <c r="CL73" s="3"/>
      <c r="CM73" s="3"/>
      <c r="CN73" s="3"/>
      <c r="CO73" s="3"/>
      <c r="CP73" s="3"/>
      <c r="CQ73" s="3"/>
      <c r="CR73" s="3"/>
      <c r="CS73" s="3"/>
      <c r="CT73" s="3"/>
      <c r="CU73" s="3"/>
      <c r="CV73" s="3"/>
      <c r="CW73" s="3"/>
      <c r="CX73" s="3"/>
      <c r="CY73" s="203"/>
      <c r="CZ73" s="3"/>
      <c r="DA73" s="3"/>
      <c r="DB73" s="3"/>
      <c r="DC73" s="3"/>
      <c r="DD73" s="3"/>
      <c r="DE73" s="3"/>
      <c r="DF73" s="3"/>
      <c r="DG73" s="3"/>
      <c r="DH73" s="3"/>
      <c r="DI73" s="3"/>
      <c r="DJ73" s="3"/>
      <c r="DK73" s="3"/>
      <c r="DL73" s="3"/>
    </row>
    <row r="74" spans="1:116" ht="13.5">
      <c r="A74" s="2" t="s">
        <v>48</v>
      </c>
      <c r="B74" s="3">
        <f>'Monthly D4 Gallon Data'!$B7</f>
        <v>637838</v>
      </c>
      <c r="C74" s="3">
        <f>'Monthly D4 Gallon Data'!$B19</f>
        <v>77783252</v>
      </c>
      <c r="D74" s="3">
        <f>'Monthly D4 Gallon Data'!$B31</f>
        <v>106613644</v>
      </c>
      <c r="E74" s="3">
        <f>'Monthly D4 Gallon Data'!$B43</f>
        <v>117472586</v>
      </c>
      <c r="F74" s="3">
        <f>'Monthly D4 Gallon Data'!$B55</f>
        <v>113250338</v>
      </c>
      <c r="G74" s="3">
        <f>'Monthly D4 Gallon Data'!$B67</f>
        <v>130919551</v>
      </c>
      <c r="H74" s="3">
        <f>'Monthly D4 Gallon Data'!$B79</f>
        <v>142561451</v>
      </c>
      <c r="I74" s="3">
        <f>'Monthly D4 Gallon Data'!$B91</f>
        <v>145011076</v>
      </c>
      <c r="J74" s="3">
        <f>'Monthly D4 Gallon Data'!$B103</f>
        <v>160548223</v>
      </c>
      <c r="K74" s="3">
        <f>'Monthly D4 Gallon Data'!$B115</f>
        <v>144102423</v>
      </c>
      <c r="L74" s="3">
        <f>'Monthly D4 Gallon Data'!$B127</f>
        <v>165519330</v>
      </c>
      <c r="M74" s="3">
        <f>'Monthly D4 Gallon Data'!$B139</f>
        <v>154457118</v>
      </c>
      <c r="N74" s="3">
        <f>'Monthly D4 Gallon Data'!$B151</f>
        <v>142855221</v>
      </c>
      <c r="O74" s="3">
        <f>'Monthly D4 Gallon Data'!$B163</f>
        <v>153006295</v>
      </c>
      <c r="P74" s="3">
        <f>'Monthly D4 Gallon Data'!$B175</f>
        <v>132929485</v>
      </c>
      <c r="Q74" s="4">
        <f t="shared" si="97"/>
        <v>139596321.19621357</v>
      </c>
      <c r="R74" s="4">
        <f t="shared" si="83"/>
        <v>127816904.80437458</v>
      </c>
      <c r="S74" s="4">
        <f t="shared" si="83"/>
        <v>127674341.35939272</v>
      </c>
      <c r="T74" s="4">
        <f t="shared" si="83"/>
        <v>101406344.05221833</v>
      </c>
      <c r="U74" s="4">
        <f t="shared" si="83"/>
        <v>115503631.64849998</v>
      </c>
      <c r="V74" s="4">
        <f t="shared" si="91"/>
        <v>118772689.92453365</v>
      </c>
      <c r="W74" s="4">
        <f t="shared" si="84"/>
        <v>117738407.09695759</v>
      </c>
      <c r="X74" s="4">
        <f t="shared" si="85"/>
        <v>124308963.57834576</v>
      </c>
      <c r="Y74" s="4">
        <f t="shared" si="85"/>
        <v>116581969.68812892</v>
      </c>
      <c r="Z74" s="4">
        <f t="shared" si="92"/>
        <v>113818284.42416462</v>
      </c>
      <c r="AA74" s="4">
        <f t="shared" si="92"/>
        <v>109460365.50673983</v>
      </c>
      <c r="AB74" s="4">
        <f t="shared" si="86"/>
        <v>91530302.498232603</v>
      </c>
      <c r="AC74" s="4">
        <f t="shared" si="87"/>
        <v>74015313.860589266</v>
      </c>
      <c r="AD74" s="4">
        <f t="shared" si="88"/>
        <v>72508792.239086553</v>
      </c>
      <c r="AE74" s="4">
        <f t="shared" si="88"/>
        <v>60063842.875133798</v>
      </c>
      <c r="AF74" s="4">
        <f t="shared" si="88"/>
        <v>35713023.028432705</v>
      </c>
      <c r="AG74" s="4">
        <f t="shared" si="88"/>
        <v>39628254.266579494</v>
      </c>
      <c r="AH74" s="4">
        <f t="shared" si="88"/>
        <v>38965802.95600643</v>
      </c>
      <c r="AI74" s="4">
        <f t="shared" si="88"/>
        <v>32051867.090784077</v>
      </c>
      <c r="AJ74" s="4">
        <f t="shared" si="88"/>
        <v>32389354.656997025</v>
      </c>
      <c r="AK74" s="4">
        <f t="shared" si="88"/>
        <v>32516424.686103303</v>
      </c>
      <c r="AL74" s="4">
        <f t="shared" si="88"/>
        <v>32412757.810343415</v>
      </c>
      <c r="AM74" s="4">
        <f t="shared" si="88"/>
        <v>32432464.070917565</v>
      </c>
      <c r="AN74" s="4">
        <f t="shared" si="88"/>
        <v>32965742.414035406</v>
      </c>
      <c r="AO74" s="4">
        <f t="shared" si="88"/>
        <v>33527440.334387213</v>
      </c>
      <c r="AP74" s="4">
        <f t="shared" si="88"/>
        <v>34265666.269287564</v>
      </c>
      <c r="AQ74" s="4">
        <f t="shared" si="88"/>
        <v>35901199.601169854</v>
      </c>
      <c r="AR74" s="4"/>
      <c r="AS74" s="94">
        <f>AS69/AS71-1</f>
        <v>-0.4833632326577898</v>
      </c>
      <c r="AT74" s="121">
        <f t="shared" si="93"/>
        <v>1.2906115817882036E-2</v>
      </c>
      <c r="AU74" s="197"/>
      <c r="AV74" s="194"/>
      <c r="AW74" s="194"/>
      <c r="AX74" s="194"/>
      <c r="AY74" s="195"/>
      <c r="AZ74" s="196"/>
      <c r="BA74" s="195">
        <v>167055104.50212622</v>
      </c>
      <c r="BB74" s="195">
        <f t="shared" si="98"/>
        <v>-22952681.502126217</v>
      </c>
      <c r="BC74" s="195">
        <v>140041174.55798692</v>
      </c>
      <c r="BD74" s="195">
        <f t="shared" si="95"/>
        <v>25478155.442013085</v>
      </c>
      <c r="BE74" s="195">
        <v>155020352.91339663</v>
      </c>
      <c r="BF74" s="195">
        <f t="shared" si="96"/>
        <v>-563234.91339662671</v>
      </c>
      <c r="BG74" s="195">
        <v>148189433.6392737</v>
      </c>
      <c r="BH74" s="194">
        <f>SUM(P72:P74)</f>
        <v>410043433</v>
      </c>
      <c r="BI74" s="18"/>
      <c r="BJ74" s="195">
        <v>132929485</v>
      </c>
      <c r="BK74" s="195">
        <f t="shared" si="89"/>
        <v>0</v>
      </c>
      <c r="BL74" s="195">
        <v>90872942.843258873</v>
      </c>
      <c r="BM74" s="177">
        <f t="shared" si="90"/>
        <v>48723378.352954701</v>
      </c>
      <c r="BN74" s="195"/>
      <c r="BP74" s="3"/>
      <c r="BQ74" s="3"/>
      <c r="BR74" s="3"/>
      <c r="BS74" s="202"/>
      <c r="BT74" s="202"/>
      <c r="BU74" s="4"/>
      <c r="BV74" s="3"/>
      <c r="BW74" s="3"/>
      <c r="BX74" s="3"/>
      <c r="BY74" s="3"/>
      <c r="BZ74" s="3"/>
      <c r="CA74" s="3"/>
      <c r="CB74" s="3"/>
      <c r="CC74" s="3"/>
      <c r="CD74" s="3"/>
      <c r="CE74" s="3"/>
      <c r="CF74" s="3"/>
      <c r="CG74" s="3"/>
      <c r="CH74" s="3"/>
      <c r="CI74" s="4"/>
      <c r="CJ74" s="203"/>
      <c r="CK74" s="20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4"/>
    </row>
    <row r="75" spans="1:116" ht="13.5">
      <c r="A75" s="2" t="s">
        <v>49</v>
      </c>
      <c r="B75" s="3">
        <f>'Monthly D4 Gallon Data'!$B8</f>
        <v>34054859</v>
      </c>
      <c r="C75" s="3">
        <f>'Monthly D4 Gallon Data'!$B20</f>
        <v>86877103</v>
      </c>
      <c r="D75" s="3">
        <f>'Monthly D4 Gallon Data'!$B32</f>
        <v>97342403</v>
      </c>
      <c r="E75" s="3">
        <f>'Monthly D4 Gallon Data'!$B44</f>
        <v>128278779</v>
      </c>
      <c r="F75" s="3">
        <f>'Monthly D4 Gallon Data'!$B56</f>
        <v>128017921</v>
      </c>
      <c r="G75" s="3">
        <f>'Monthly D4 Gallon Data'!$B68</f>
        <v>129173039</v>
      </c>
      <c r="H75" s="3">
        <f>'Monthly D4 Gallon Data'!$B80</f>
        <v>137963278</v>
      </c>
      <c r="I75" s="3">
        <f>'Monthly D4 Gallon Data'!$B92</f>
        <v>150290364</v>
      </c>
      <c r="J75" s="3">
        <f>'Monthly D4 Gallon Data'!$B104</f>
        <v>169779870</v>
      </c>
      <c r="K75" s="3">
        <f>'Monthly D4 Gallon Data'!$B116</f>
        <v>169452631</v>
      </c>
      <c r="L75" s="3">
        <f>'Monthly D4 Gallon Data'!$B128</f>
        <v>162738265</v>
      </c>
      <c r="M75" s="3">
        <f>'Monthly D4 Gallon Data'!$B140</f>
        <v>146890338</v>
      </c>
      <c r="N75" s="3">
        <f>'Monthly D4 Gallon Data'!$B152</f>
        <v>137545866</v>
      </c>
      <c r="O75" s="3">
        <f>'Monthly D4 Gallon Data'!$B164</f>
        <v>142593233</v>
      </c>
      <c r="P75" s="3">
        <f>'Monthly D4 Gallon Data'!$B176</f>
        <v>144952117</v>
      </c>
      <c r="Q75" s="4">
        <f t="shared" si="97"/>
        <v>136977353.88914844</v>
      </c>
      <c r="R75" s="4">
        <f t="shared" si="83"/>
        <v>125361596.77078378</v>
      </c>
      <c r="S75" s="4">
        <f t="shared" si="83"/>
        <v>126065298.59349771</v>
      </c>
      <c r="T75" s="4">
        <f t="shared" si="83"/>
        <v>100650848.29994829</v>
      </c>
      <c r="U75" s="4">
        <f t="shared" si="83"/>
        <v>116344794.60040227</v>
      </c>
      <c r="V75" s="4">
        <f t="shared" si="91"/>
        <v>117492258.72953446</v>
      </c>
      <c r="W75" s="4">
        <f t="shared" si="84"/>
        <v>116690999.91890374</v>
      </c>
      <c r="X75" s="4">
        <f t="shared" si="85"/>
        <v>123485105.04889673</v>
      </c>
      <c r="Y75" s="4">
        <f t="shared" si="85"/>
        <v>115963265.86554125</v>
      </c>
      <c r="Z75" s="4">
        <f t="shared" si="92"/>
        <v>113255967.61827384</v>
      </c>
      <c r="AA75" s="4">
        <f t="shared" si="92"/>
        <v>108658192.72482264</v>
      </c>
      <c r="AB75" s="4">
        <f t="shared" si="86"/>
        <v>90924021.410994276</v>
      </c>
      <c r="AC75" s="4">
        <f t="shared" si="87"/>
        <v>73560681.923794791</v>
      </c>
      <c r="AD75" s="4">
        <f t="shared" si="88"/>
        <v>72072065.37405178</v>
      </c>
      <c r="AE75" s="4">
        <f t="shared" si="88"/>
        <v>59691204.296542525</v>
      </c>
      <c r="AF75" s="4">
        <f t="shared" si="88"/>
        <v>35478856.393966667</v>
      </c>
      <c r="AG75" s="4">
        <f t="shared" si="88"/>
        <v>39378440.986737452</v>
      </c>
      <c r="AH75" s="4">
        <f t="shared" si="88"/>
        <v>38724212.753602996</v>
      </c>
      <c r="AI75" s="4">
        <f t="shared" si="88"/>
        <v>31852589.679514892</v>
      </c>
      <c r="AJ75" s="4">
        <f t="shared" si="88"/>
        <v>32185768.911333382</v>
      </c>
      <c r="AK75" s="4">
        <f t="shared" si="88"/>
        <v>32311149.362391438</v>
      </c>
      <c r="AL75" s="4">
        <f t="shared" si="88"/>
        <v>32209745.326823406</v>
      </c>
      <c r="AM75" s="4">
        <f t="shared" si="88"/>
        <v>32229637.889737874</v>
      </c>
      <c r="AN75" s="4">
        <f t="shared" si="88"/>
        <v>32759154.547360282</v>
      </c>
      <c r="AO75" s="4">
        <f t="shared" si="88"/>
        <v>33317006.187705301</v>
      </c>
      <c r="AP75" s="4">
        <f t="shared" si="88"/>
        <v>34050660.30783283</v>
      </c>
      <c r="AQ75" s="4">
        <f t="shared" si="88"/>
        <v>35676201.162531063</v>
      </c>
      <c r="AR75" s="4"/>
      <c r="AS75" s="94"/>
      <c r="AT75" s="121">
        <f t="shared" si="93"/>
        <v>-1.8761005194284253E-2</v>
      </c>
      <c r="AU75" s="197"/>
      <c r="AV75" s="194"/>
      <c r="AW75" s="194"/>
      <c r="AX75" s="194"/>
      <c r="AY75" s="195"/>
      <c r="AZ75" s="196"/>
      <c r="BA75" s="195">
        <v>143619523.04200637</v>
      </c>
      <c r="BB75" s="195">
        <f t="shared" si="98"/>
        <v>25833107.957993627</v>
      </c>
      <c r="BC75" s="195">
        <v>165126501.15137365</v>
      </c>
      <c r="BD75" s="195">
        <f t="shared" si="95"/>
        <v>-2388236.1513736546</v>
      </c>
      <c r="BE75" s="195">
        <v>161089374.57035646</v>
      </c>
      <c r="BF75" s="195">
        <f t="shared" si="96"/>
        <v>-14199036.570356458</v>
      </c>
      <c r="BG75" s="195">
        <v>144098244.42470986</v>
      </c>
      <c r="BH75" s="205">
        <f>(BH74/BH71)-1</f>
        <v>7.9061731101104815E-2</v>
      </c>
      <c r="BI75" s="18"/>
      <c r="BJ75" s="194">
        <v>144952117</v>
      </c>
      <c r="BK75" s="195">
        <f t="shared" si="89"/>
        <v>0</v>
      </c>
      <c r="BL75" s="195">
        <v>89168075.090556592</v>
      </c>
      <c r="BM75" s="177">
        <f t="shared" si="90"/>
        <v>47809278.798591852</v>
      </c>
      <c r="BN75" s="195"/>
      <c r="BP75" s="3"/>
      <c r="BQ75" s="3"/>
      <c r="BR75" s="4"/>
      <c r="BS75" s="202"/>
      <c r="BT75" s="202"/>
      <c r="BU75" s="4"/>
      <c r="BV75" s="3"/>
      <c r="BW75" s="3"/>
      <c r="BX75" s="3"/>
      <c r="BY75" s="3"/>
      <c r="BZ75" s="3"/>
      <c r="CA75" s="3"/>
      <c r="CB75" s="3"/>
      <c r="CC75" s="3"/>
      <c r="CD75" s="3"/>
      <c r="CE75" s="3"/>
      <c r="CF75" s="3"/>
      <c r="CG75" s="3"/>
      <c r="CH75" s="3"/>
      <c r="CI75" s="4"/>
      <c r="CJ75" s="203"/>
      <c r="CK75" s="20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4"/>
    </row>
    <row r="76" spans="1:116" ht="13.5">
      <c r="A76" s="2" t="s">
        <v>50</v>
      </c>
      <c r="B76" s="3">
        <f>'Monthly D4 Gallon Data'!$B9</f>
        <v>28833177</v>
      </c>
      <c r="C76" s="3">
        <f>'Monthly D4 Gallon Data'!$B21</f>
        <v>100747046</v>
      </c>
      <c r="D76" s="3">
        <f>'Monthly D4 Gallon Data'!$B33</f>
        <v>96254350</v>
      </c>
      <c r="E76" s="3">
        <f>'Monthly D4 Gallon Data'!$B45</f>
        <v>129887145</v>
      </c>
      <c r="F76" s="3">
        <f>'Monthly D4 Gallon Data'!$B57</f>
        <v>127377367</v>
      </c>
      <c r="G76" s="3">
        <f>'Monthly D4 Gallon Data'!$B69</f>
        <v>125600893</v>
      </c>
      <c r="H76" s="3">
        <f>'Monthly D4 Gallon Data'!$B81</f>
        <v>161632981</v>
      </c>
      <c r="I76" s="3">
        <f>'Monthly D4 Gallon Data'!$B93</f>
        <v>157536696</v>
      </c>
      <c r="J76" s="3">
        <f>'Monthly D4 Gallon Data'!$B105</f>
        <v>180631297</v>
      </c>
      <c r="K76" s="3">
        <f>'Monthly D4 Gallon Data'!$B117</f>
        <v>153598697</v>
      </c>
      <c r="L76" s="3">
        <f>'Monthly D4 Gallon Data'!$B129</f>
        <v>171493499</v>
      </c>
      <c r="M76" s="3">
        <f>'Monthly D4 Gallon Data'!$B141</f>
        <v>154582245</v>
      </c>
      <c r="N76" s="3">
        <f>'Monthly D4 Gallon Data'!$B153</f>
        <v>151833118</v>
      </c>
      <c r="O76" s="3">
        <f>'Monthly D4 Gallon Data'!$B165</f>
        <v>152345476</v>
      </c>
      <c r="P76" s="3">
        <f>'Monthly D4 Gallon Data'!$B177</f>
        <v>138321175</v>
      </c>
      <c r="Q76" s="4">
        <f t="shared" si="97"/>
        <v>143289233.95318782</v>
      </c>
      <c r="R76" s="4">
        <f t="shared" si="83"/>
        <v>130916081.05035864</v>
      </c>
      <c r="S76" s="4">
        <f t="shared" si="83"/>
        <v>131433918.3824055</v>
      </c>
      <c r="T76" s="4">
        <f t="shared" si="83"/>
        <v>103681957.97008775</v>
      </c>
      <c r="U76" s="4">
        <f t="shared" si="83"/>
        <v>118846941.10506542</v>
      </c>
      <c r="V76" s="4">
        <f t="shared" si="91"/>
        <v>121910977.68815117</v>
      </c>
      <c r="W76" s="4">
        <f t="shared" si="84"/>
        <v>120848488.13724701</v>
      </c>
      <c r="X76" s="4">
        <f t="shared" si="85"/>
        <v>127651891.20661637</v>
      </c>
      <c r="Y76" s="4">
        <f t="shared" si="85"/>
        <v>119651288.00815092</v>
      </c>
      <c r="Z76" s="4">
        <f t="shared" si="92"/>
        <v>116890508.74994811</v>
      </c>
      <c r="AA76" s="4">
        <f t="shared" si="92"/>
        <v>112373192.20277996</v>
      </c>
      <c r="AB76" s="4">
        <f t="shared" si="86"/>
        <v>93969511.142762333</v>
      </c>
      <c r="AC76" s="4">
        <f t="shared" si="87"/>
        <v>75991431.991849646</v>
      </c>
      <c r="AD76" s="4">
        <f t="shared" si="88"/>
        <v>74441240.49118939</v>
      </c>
      <c r="AE76" s="4">
        <f t="shared" si="88"/>
        <v>61669530.810047463</v>
      </c>
      <c r="AF76" s="4">
        <f t="shared" si="88"/>
        <v>36665153.578596629</v>
      </c>
      <c r="AG76" s="4">
        <f t="shared" si="88"/>
        <v>40685414.428262427</v>
      </c>
      <c r="AH76" s="4">
        <f t="shared" si="88"/>
        <v>40005641.844131738</v>
      </c>
      <c r="AI76" s="4">
        <f t="shared" si="88"/>
        <v>32907077.763657194</v>
      </c>
      <c r="AJ76" s="4">
        <f t="shared" si="88"/>
        <v>33253921.295223381</v>
      </c>
      <c r="AK76" s="4">
        <f t="shared" si="88"/>
        <v>33383945.108255003</v>
      </c>
      <c r="AL76" s="4">
        <f t="shared" si="88"/>
        <v>33277636.783196837</v>
      </c>
      <c r="AM76" s="4">
        <f t="shared" si="88"/>
        <v>33297917.420431193</v>
      </c>
      <c r="AN76" s="4">
        <f t="shared" si="88"/>
        <v>33845417.055991583</v>
      </c>
      <c r="AO76" s="4">
        <f t="shared" si="88"/>
        <v>34422119.610067606</v>
      </c>
      <c r="AP76" s="4">
        <f t="shared" si="88"/>
        <v>35179991.315252721</v>
      </c>
      <c r="AQ76" s="4">
        <f t="shared" si="88"/>
        <v>36859194.204540282</v>
      </c>
      <c r="AR76" s="4"/>
      <c r="AS76" s="94"/>
      <c r="AT76" s="121">
        <f t="shared" si="93"/>
        <v>4.607973423948164E-2</v>
      </c>
      <c r="AU76" s="197"/>
      <c r="AV76" s="194"/>
      <c r="AW76" s="194"/>
      <c r="AX76" s="194"/>
      <c r="AY76" s="195"/>
      <c r="AZ76" s="196"/>
      <c r="BA76" s="195">
        <v>179278729.11455953</v>
      </c>
      <c r="BB76" s="195">
        <f t="shared" si="98"/>
        <v>-25680032.114559531</v>
      </c>
      <c r="BC76" s="195">
        <v>168020270.68833292</v>
      </c>
      <c r="BD76" s="195">
        <f t="shared" si="95"/>
        <v>3473228.3116670847</v>
      </c>
      <c r="BE76" s="195">
        <v>155942954.667191</v>
      </c>
      <c r="BF76" s="195">
        <f t="shared" si="96"/>
        <v>-1360709.6671909988</v>
      </c>
      <c r="BG76" s="195">
        <v>141572065.80553842</v>
      </c>
      <c r="BH76" s="195"/>
      <c r="BI76" s="18"/>
      <c r="BJ76" s="194">
        <v>149355075.43671897</v>
      </c>
      <c r="BK76" s="195">
        <f t="shared" si="89"/>
        <v>-11033900.436718971</v>
      </c>
      <c r="BL76" s="195">
        <v>93276916.293375582</v>
      </c>
      <c r="BM76" s="177">
        <f t="shared" si="90"/>
        <v>50012317.659812242</v>
      </c>
      <c r="BN76" s="195"/>
      <c r="BP76" s="3"/>
      <c r="BQ76" s="3"/>
      <c r="BR76" s="4"/>
      <c r="BS76" s="202"/>
      <c r="BT76" s="202"/>
      <c r="BU76" s="4"/>
      <c r="BV76" s="3"/>
      <c r="BW76" s="3"/>
      <c r="BX76" s="3"/>
      <c r="BY76" s="3"/>
      <c r="BZ76" s="3"/>
      <c r="CA76" s="3"/>
      <c r="CB76" s="3"/>
      <c r="CC76" s="3"/>
      <c r="CD76" s="3"/>
      <c r="CE76" s="3"/>
      <c r="CF76" s="3"/>
      <c r="CG76" s="3"/>
      <c r="CH76" s="3"/>
      <c r="CI76" s="4"/>
      <c r="CJ76" s="203"/>
      <c r="CK76" s="20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4"/>
    </row>
    <row r="77" spans="1:116" ht="13.5">
      <c r="A77" s="2" t="s">
        <v>51</v>
      </c>
      <c r="B77" s="3">
        <f>'Monthly D4 Gallon Data'!$B10</f>
        <v>35676995</v>
      </c>
      <c r="C77" s="3">
        <f>'Monthly D4 Gallon Data'!$B22</f>
        <v>114082130</v>
      </c>
      <c r="D77" s="3">
        <f>'Monthly D4 Gallon Data'!$B34</f>
        <v>81339106</v>
      </c>
      <c r="E77" s="3">
        <f>'Monthly D4 Gallon Data'!$B46</f>
        <v>127580018</v>
      </c>
      <c r="F77" s="3">
        <f>'Monthly D4 Gallon Data'!$B58</f>
        <v>124535190</v>
      </c>
      <c r="G77" s="3">
        <f>'Monthly D4 Gallon Data'!$B70</f>
        <v>117829158</v>
      </c>
      <c r="H77" s="3">
        <f>'Monthly D4 Gallon Data'!$B82</f>
        <v>146610102</v>
      </c>
      <c r="I77" s="3">
        <f>'Monthly D4 Gallon Data'!$B94</f>
        <v>148333215</v>
      </c>
      <c r="J77" s="3">
        <f>'Monthly D4 Gallon Data'!$B106</f>
        <v>157006356</v>
      </c>
      <c r="K77" s="3">
        <f>'Monthly D4 Gallon Data'!$B118</f>
        <v>143659811</v>
      </c>
      <c r="L77" s="3">
        <f>'Monthly D4 Gallon Data'!$B130</f>
        <v>167865219</v>
      </c>
      <c r="M77" s="3">
        <f>'Monthly D4 Gallon Data'!$B142</f>
        <v>139934774</v>
      </c>
      <c r="N77" s="3">
        <f>'Monthly D4 Gallon Data'!$B154</f>
        <v>141860945</v>
      </c>
      <c r="O77" s="3">
        <f>'Monthly D4 Gallon Data'!$B166</f>
        <v>143870897</v>
      </c>
      <c r="P77" s="3">
        <f>'Monthly D4 Gallon Data'!$B178</f>
        <v>132214867</v>
      </c>
      <c r="Q77" s="4">
        <f t="shared" si="97"/>
        <v>135304452.47691944</v>
      </c>
      <c r="R77" s="4">
        <f t="shared" si="83"/>
        <v>122572542.30596884</v>
      </c>
      <c r="S77" s="4">
        <f t="shared" si="83"/>
        <v>123936831.90819335</v>
      </c>
      <c r="T77" s="4">
        <f t="shared" si="83"/>
        <v>97963149.874461755</v>
      </c>
      <c r="U77" s="4">
        <f t="shared" si="83"/>
        <v>112304818.78177434</v>
      </c>
      <c r="V77" s="4">
        <f t="shared" si="91"/>
        <v>114907565.04846516</v>
      </c>
      <c r="W77" s="4">
        <f t="shared" si="84"/>
        <v>113856970.1359885</v>
      </c>
      <c r="X77" s="4">
        <f t="shared" si="85"/>
        <v>120431400.6916357</v>
      </c>
      <c r="Y77" s="4">
        <f t="shared" si="85"/>
        <v>112895989.23649925</v>
      </c>
      <c r="Z77" s="4">
        <f t="shared" si="92"/>
        <v>110265184.10257353</v>
      </c>
      <c r="AA77" s="4">
        <f t="shared" si="92"/>
        <v>105967973.04838485</v>
      </c>
      <c r="AB77" s="4">
        <f t="shared" si="86"/>
        <v>88621872.604662016</v>
      </c>
      <c r="AC77" s="4">
        <f t="shared" si="87"/>
        <v>71682110.672528967</v>
      </c>
      <c r="AD77" s="4">
        <f t="shared" si="88"/>
        <v>70217188.842392638</v>
      </c>
      <c r="AE77" s="4">
        <f t="shared" si="88"/>
        <v>58165746.722474903</v>
      </c>
      <c r="AF77" s="4">
        <f t="shared" si="88"/>
        <v>34580615.015596285</v>
      </c>
      <c r="AG77" s="4">
        <f t="shared" si="88"/>
        <v>38374259.712400436</v>
      </c>
      <c r="AH77" s="4">
        <f t="shared" si="88"/>
        <v>37734436.348292552</v>
      </c>
      <c r="AI77" s="4">
        <f t="shared" si="88"/>
        <v>31038240.072097998</v>
      </c>
      <c r="AJ77" s="4">
        <f t="shared" si="88"/>
        <v>31364826.100315414</v>
      </c>
      <c r="AK77" s="4">
        <f t="shared" si="88"/>
        <v>31487545.255584102</v>
      </c>
      <c r="AL77" s="4">
        <f t="shared" si="88"/>
        <v>31387598.449853819</v>
      </c>
      <c r="AM77" s="4">
        <f t="shared" si="88"/>
        <v>31406801.185355742</v>
      </c>
      <c r="AN77" s="4">
        <f t="shared" si="88"/>
        <v>31923029.354396719</v>
      </c>
      <c r="AO77" s="4">
        <f t="shared" si="88"/>
        <v>32466923.571955193</v>
      </c>
      <c r="AP77" s="4">
        <f t="shared" si="88"/>
        <v>33181800.741670121</v>
      </c>
      <c r="AQ77" s="4">
        <f t="shared" si="88"/>
        <v>34765674.827664457</v>
      </c>
      <c r="AR77" s="4"/>
      <c r="AS77" s="94"/>
      <c r="AT77" s="121">
        <f t="shared" si="93"/>
        <v>-5.5724922633594298E-2</v>
      </c>
      <c r="AU77" s="197"/>
      <c r="AV77" s="194"/>
      <c r="AW77" s="194"/>
      <c r="AX77" s="194"/>
      <c r="AY77" s="195"/>
      <c r="AZ77" s="196"/>
      <c r="BA77" s="195">
        <v>141119976.66064993</v>
      </c>
      <c r="BB77" s="195">
        <f t="shared" si="98"/>
        <v>2539834.3393500745</v>
      </c>
      <c r="BC77" s="195">
        <v>159933651.26960924</v>
      </c>
      <c r="BD77" s="195">
        <f t="shared" si="95"/>
        <v>7931567.7303907573</v>
      </c>
      <c r="BE77" s="195">
        <v>151331868.28440863</v>
      </c>
      <c r="BF77" s="195">
        <f t="shared" si="96"/>
        <v>-11397094.284408629</v>
      </c>
      <c r="BG77" s="195">
        <v>140040273.96936029</v>
      </c>
      <c r="BH77" s="194">
        <f>SUM(P75:P77)</f>
        <v>415488159</v>
      </c>
      <c r="BI77" s="18"/>
      <c r="BJ77" s="194">
        <v>140464231.15482232</v>
      </c>
      <c r="BK77" s="195">
        <f t="shared" si="89"/>
        <v>-8249364.1548223197</v>
      </c>
      <c r="BL77" s="195">
        <v>88079067.34942697</v>
      </c>
      <c r="BM77" s="177">
        <f t="shared" si="90"/>
        <v>47225385.127492473</v>
      </c>
      <c r="BN77" s="195"/>
      <c r="BP77" s="3"/>
      <c r="BQ77" s="3"/>
      <c r="BR77" s="4"/>
      <c r="BS77" s="202"/>
      <c r="BT77" s="202"/>
      <c r="BU77" s="4"/>
      <c r="BV77" s="3"/>
      <c r="BW77" s="3"/>
      <c r="BX77" s="3"/>
      <c r="BY77" s="3"/>
      <c r="BZ77" s="3"/>
      <c r="CA77" s="3"/>
      <c r="CB77" s="3"/>
      <c r="CC77" s="3"/>
      <c r="CD77" s="3"/>
      <c r="CE77" s="3"/>
      <c r="CF77" s="3"/>
      <c r="CG77" s="3"/>
      <c r="CH77" s="3"/>
      <c r="CI77" s="4"/>
      <c r="CJ77" s="203"/>
      <c r="CK77" s="203"/>
      <c r="CL77" s="3"/>
      <c r="CM77" s="3"/>
      <c r="CN77" s="3"/>
      <c r="CO77" s="3"/>
      <c r="CP77" s="3"/>
      <c r="CQ77" s="3"/>
      <c r="CR77" s="3"/>
      <c r="CS77" s="3"/>
      <c r="CT77" s="3"/>
      <c r="CU77" s="3"/>
      <c r="CV77" s="3"/>
      <c r="CW77" s="3"/>
      <c r="CX77" s="3"/>
      <c r="CY77" s="3"/>
      <c r="CZ77" s="3"/>
      <c r="DA77" s="3"/>
      <c r="DB77" s="3"/>
      <c r="DC77" s="3"/>
      <c r="DD77" s="3"/>
      <c r="DE77" s="3"/>
      <c r="DF77" s="3"/>
      <c r="DG77" s="3"/>
      <c r="DH77" s="3"/>
      <c r="DI77" s="3"/>
      <c r="DJ77" s="3"/>
      <c r="DK77" s="3"/>
      <c r="DL77" s="4"/>
    </row>
    <row r="78" spans="1:116" ht="13.5">
      <c r="A78" s="2" t="s">
        <v>52</v>
      </c>
      <c r="B78" s="3">
        <f>'Monthly D4 Gallon Data'!$B11</f>
        <v>36783265</v>
      </c>
      <c r="C78" s="3">
        <f>'Monthly D4 Gallon Data'!$B23</f>
        <v>111790839</v>
      </c>
      <c r="D78" s="3">
        <f>'Monthly D4 Gallon Data'!$B35</f>
        <v>80600435</v>
      </c>
      <c r="E78" s="3">
        <f>'Monthly D4 Gallon Data'!$B47</f>
        <v>130088019</v>
      </c>
      <c r="F78" s="3">
        <f>'Monthly D4 Gallon Data'!$B59</f>
        <v>121329751</v>
      </c>
      <c r="G78" s="3">
        <f>'Monthly D4 Gallon Data'!$B71</f>
        <v>105019500</v>
      </c>
      <c r="H78" s="3">
        <f>'Monthly D4 Gallon Data'!$B83</f>
        <v>143064387</v>
      </c>
      <c r="I78" s="3">
        <f>'Monthly D4 Gallon Data'!$B95</f>
        <v>149347918</v>
      </c>
      <c r="J78" s="3">
        <f>'Monthly D4 Gallon Data'!$B107</f>
        <v>170944979</v>
      </c>
      <c r="K78" s="3">
        <f>'Monthly D4 Gallon Data'!$B119</f>
        <v>146618360</v>
      </c>
      <c r="L78" s="3">
        <f>'Monthly D4 Gallon Data'!$B131</f>
        <v>149489760</v>
      </c>
      <c r="M78" s="3">
        <f>'Monthly D4 Gallon Data'!$B143</f>
        <v>139778878</v>
      </c>
      <c r="N78" s="3">
        <f>'Monthly D4 Gallon Data'!$B155</f>
        <v>138040230</v>
      </c>
      <c r="O78" s="3">
        <f>'Monthly D4 Gallon Data'!$B167</f>
        <v>144087366</v>
      </c>
      <c r="P78" s="3">
        <f>'Monthly D4 Gallon Data'!$B179</f>
        <v>147491702</v>
      </c>
      <c r="Q78" s="4">
        <f t="shared" si="97"/>
        <v>134025739.70324802</v>
      </c>
      <c r="R78" s="4">
        <f t="shared" si="83"/>
        <v>124382872.26247028</v>
      </c>
      <c r="S78" s="4">
        <f t="shared" si="83"/>
        <v>126174916.54740903</v>
      </c>
      <c r="T78" s="4">
        <f t="shared" si="83"/>
        <v>100682564.20731442</v>
      </c>
      <c r="U78" s="4">
        <f t="shared" si="83"/>
        <v>116115517.25071931</v>
      </c>
      <c r="V78" s="4">
        <f t="shared" si="91"/>
        <v>116712415.42931686</v>
      </c>
      <c r="W78" s="4">
        <f t="shared" si="84"/>
        <v>116323248.07050106</v>
      </c>
      <c r="X78" s="4">
        <f t="shared" si="85"/>
        <v>123220796.42813019</v>
      </c>
      <c r="Y78" s="4">
        <f t="shared" si="85"/>
        <v>115638486.79446085</v>
      </c>
      <c r="Z78" s="4">
        <f t="shared" si="92"/>
        <v>112878568.26040928</v>
      </c>
      <c r="AA78" s="4">
        <f t="shared" si="92"/>
        <v>108266784.97988857</v>
      </c>
      <c r="AB78" s="4">
        <f t="shared" si="86"/>
        <v>90652588.535217166</v>
      </c>
      <c r="AC78" s="4">
        <f t="shared" si="87"/>
        <v>73343666.945004359</v>
      </c>
      <c r="AD78" s="4">
        <f t="shared" si="88"/>
        <v>71845096.712966993</v>
      </c>
      <c r="AE78" s="4">
        <f t="shared" si="88"/>
        <v>59497963.919417813</v>
      </c>
      <c r="AF78" s="4">
        <f t="shared" si="88"/>
        <v>35364941.589777298</v>
      </c>
      <c r="AG78" s="4">
        <f t="shared" si="88"/>
        <v>39257054.123647079</v>
      </c>
      <c r="AH78" s="4">
        <f t="shared" si="88"/>
        <v>38603619.850421131</v>
      </c>
      <c r="AI78" s="4">
        <f t="shared" si="88"/>
        <v>31751829.802677687</v>
      </c>
      <c r="AJ78" s="4">
        <f t="shared" si="88"/>
        <v>32083795.3165773</v>
      </c>
      <c r="AK78" s="4">
        <f t="shared" si="88"/>
        <v>32209528.331847917</v>
      </c>
      <c r="AL78" s="4">
        <f t="shared" si="88"/>
        <v>32108873.618052717</v>
      </c>
      <c r="AM78" s="4">
        <f t="shared" si="88"/>
        <v>32128331.047857922</v>
      </c>
      <c r="AN78" s="4">
        <f t="shared" si="88"/>
        <v>32655953.421717301</v>
      </c>
      <c r="AO78" s="4">
        <f t="shared" si="88"/>
        <v>33212133.111051768</v>
      </c>
      <c r="AP78" s="4">
        <f t="shared" si="88"/>
        <v>33943616.186458252</v>
      </c>
      <c r="AQ78" s="4">
        <f t="shared" si="88"/>
        <v>35564056.707160667</v>
      </c>
      <c r="AR78" s="4"/>
      <c r="AS78" s="94"/>
      <c r="AT78" s="121">
        <f t="shared" si="93"/>
        <v>-9.4506333698778366E-3</v>
      </c>
      <c r="AU78" s="197"/>
      <c r="AV78" s="194"/>
      <c r="AW78" s="194"/>
      <c r="AX78" s="194"/>
      <c r="AY78" s="195"/>
      <c r="AZ78" s="196"/>
      <c r="BA78" s="195">
        <v>152816519.91490614</v>
      </c>
      <c r="BB78" s="195">
        <f t="shared" si="98"/>
        <v>-6198159.9149061441</v>
      </c>
      <c r="BC78" s="195">
        <v>173289693.89777201</v>
      </c>
      <c r="BD78" s="195">
        <f t="shared" si="95"/>
        <v>-23799933.897772014</v>
      </c>
      <c r="BE78" s="195">
        <v>149277371.44355991</v>
      </c>
      <c r="BF78" s="195">
        <f t="shared" si="96"/>
        <v>-9498493.4435599148</v>
      </c>
      <c r="BG78" s="195">
        <v>137891779.86776355</v>
      </c>
      <c r="BH78" s="205">
        <f>(BH77/BH74)-1</f>
        <v>1.3278412874862422E-2</v>
      </c>
      <c r="BI78" s="18"/>
      <c r="BJ78" s="194">
        <v>136810242.56228739</v>
      </c>
      <c r="BK78" s="195">
        <f t="shared" si="89"/>
        <v>10681459.43771261</v>
      </c>
      <c r="BL78" s="195">
        <v>87246664.376346767</v>
      </c>
      <c r="BM78" s="177">
        <f t="shared" si="90"/>
        <v>46779075.326901257</v>
      </c>
      <c r="BN78" s="195"/>
      <c r="BP78" s="3"/>
      <c r="BQ78" s="3"/>
      <c r="BR78" s="4"/>
      <c r="BS78" s="202"/>
      <c r="BT78" s="202"/>
      <c r="BU78" s="4"/>
      <c r="BV78" s="3"/>
      <c r="BW78" s="3"/>
      <c r="BX78" s="3"/>
      <c r="BY78" s="3"/>
      <c r="BZ78" s="3"/>
      <c r="CA78" s="3"/>
      <c r="CB78" s="3"/>
      <c r="CC78" s="3"/>
      <c r="CD78" s="3"/>
      <c r="CE78" s="3"/>
      <c r="CF78" s="3"/>
      <c r="CG78" s="3"/>
      <c r="CH78" s="3"/>
      <c r="CI78" s="4"/>
      <c r="CJ78" s="203"/>
      <c r="CK78" s="203"/>
      <c r="CL78" s="3"/>
      <c r="CM78" s="3"/>
      <c r="CN78" s="3"/>
      <c r="CO78" s="3"/>
      <c r="CP78" s="3"/>
      <c r="CQ78" s="3"/>
      <c r="CR78" s="3"/>
      <c r="CS78" s="3"/>
      <c r="CT78" s="3"/>
      <c r="CU78" s="3"/>
      <c r="CV78" s="3"/>
      <c r="CW78" s="3"/>
      <c r="CX78" s="3"/>
      <c r="CY78" s="3"/>
      <c r="CZ78" s="3"/>
      <c r="DA78" s="3"/>
      <c r="DB78" s="3"/>
      <c r="DC78" s="3"/>
      <c r="DD78" s="3"/>
      <c r="DE78" s="3"/>
      <c r="DF78" s="3"/>
      <c r="DG78" s="3"/>
      <c r="DH78" s="3"/>
      <c r="DI78" s="3"/>
      <c r="DJ78" s="3"/>
      <c r="DK78" s="3"/>
      <c r="DL78" s="4"/>
    </row>
    <row r="79" spans="1:116" ht="13.5">
      <c r="A79" s="2" t="s">
        <v>53</v>
      </c>
      <c r="B79" s="3">
        <f>'Monthly D4 Gallon Data'!$B12</f>
        <v>30710824</v>
      </c>
      <c r="C79" s="3">
        <f>'Monthly D4 Gallon Data'!$B24</f>
        <v>105277138</v>
      </c>
      <c r="D79" s="3">
        <f>'Monthly D4 Gallon Data'!$B36</f>
        <v>67979938</v>
      </c>
      <c r="E79" s="3">
        <f>'Monthly D4 Gallon Data'!$B48</f>
        <v>110331788</v>
      </c>
      <c r="F79" s="3">
        <f>'Monthly D4 Gallon Data'!$B60</f>
        <v>97332075</v>
      </c>
      <c r="G79" s="3">
        <f>'Monthly D4 Gallon Data'!$B72</f>
        <v>96476718</v>
      </c>
      <c r="H79" s="3">
        <f>'Monthly D4 Gallon Data'!$B84</f>
        <v>139703517</v>
      </c>
      <c r="I79" s="3">
        <f>'Monthly D4 Gallon Data'!$B96</f>
        <v>147829945</v>
      </c>
      <c r="J79" s="3">
        <f>'Monthly D4 Gallon Data'!$B108</f>
        <v>150780540</v>
      </c>
      <c r="K79" s="3">
        <f>'Monthly D4 Gallon Data'!$B120</f>
        <v>119139678</v>
      </c>
      <c r="L79" s="3">
        <f>'Monthly D4 Gallon Data'!$B132</f>
        <v>142828517</v>
      </c>
      <c r="M79" s="3">
        <f>'Monthly D4 Gallon Data'!$B144</f>
        <v>140856752</v>
      </c>
      <c r="N79" s="3">
        <f>'Monthly D4 Gallon Data'!$B156</f>
        <v>141295576</v>
      </c>
      <c r="O79" s="3">
        <f>'Monthly D4 Gallon Data'!$B168</f>
        <v>135022031</v>
      </c>
      <c r="P79" s="3">
        <f>'Monthly D4 Gallon Data'!$B180</f>
        <v>133073995</v>
      </c>
      <c r="Q79" s="4">
        <f t="shared" si="97"/>
        <v>129213658.56247669</v>
      </c>
      <c r="R79" s="4">
        <f t="shared" si="83"/>
        <v>120145810.83906877</v>
      </c>
      <c r="S79" s="4">
        <f t="shared" si="83"/>
        <v>120805944.43290494</v>
      </c>
      <c r="T79" s="4">
        <f t="shared" si="83"/>
        <v>95038972.472854599</v>
      </c>
      <c r="U79" s="4">
        <f t="shared" si="83"/>
        <v>109788301.75630318</v>
      </c>
      <c r="V79" s="4">
        <f t="shared" si="91"/>
        <v>111591017.02713788</v>
      </c>
      <c r="W79" s="4">
        <f t="shared" si="84"/>
        <v>111006017.23645702</v>
      </c>
      <c r="X79" s="4">
        <f t="shared" si="85"/>
        <v>117278389.90295777</v>
      </c>
      <c r="Y79" s="4">
        <f t="shared" si="85"/>
        <v>109917278.80385731</v>
      </c>
      <c r="Z79" s="4">
        <f t="shared" si="92"/>
        <v>107421052.02086894</v>
      </c>
      <c r="AA79" s="4">
        <f t="shared" si="92"/>
        <v>103164285.40928303</v>
      </c>
      <c r="AB79" s="4">
        <f t="shared" si="86"/>
        <v>86320592.076879427</v>
      </c>
      <c r="AC79" s="4">
        <f t="shared" si="87"/>
        <v>69806644.350980893</v>
      </c>
      <c r="AD79" s="4">
        <f t="shared" si="88"/>
        <v>68380349.313933283</v>
      </c>
      <c r="AE79" s="4">
        <f t="shared" si="88"/>
        <v>56647475.159966715</v>
      </c>
      <c r="AF79" s="4">
        <f t="shared" si="88"/>
        <v>33674989.543819301</v>
      </c>
      <c r="AG79" s="4">
        <f t="shared" si="88"/>
        <v>37372667.700019091</v>
      </c>
      <c r="AH79" s="4">
        <f t="shared" si="88"/>
        <v>36747912.484966658</v>
      </c>
      <c r="AI79" s="4">
        <f t="shared" si="88"/>
        <v>30226964.882757839</v>
      </c>
      <c r="AJ79" s="4">
        <f t="shared" si="88"/>
        <v>30545251.233862162</v>
      </c>
      <c r="AK79" s="4">
        <f t="shared" si="88"/>
        <v>30664468.706297193</v>
      </c>
      <c r="AL79" s="4">
        <f t="shared" si="88"/>
        <v>30567447.781337548</v>
      </c>
      <c r="AM79" s="4">
        <f t="shared" si="88"/>
        <v>30585933.259245329</v>
      </c>
      <c r="AN79" s="4">
        <f t="shared" si="88"/>
        <v>31088724.560799327</v>
      </c>
      <c r="AO79" s="4">
        <f t="shared" si="88"/>
        <v>31618423.586942941</v>
      </c>
      <c r="AP79" s="4">
        <f t="shared" si="88"/>
        <v>32314592.314608969</v>
      </c>
      <c r="AQ79" s="4">
        <f t="shared" si="88"/>
        <v>33857103.749788471</v>
      </c>
      <c r="AR79" s="4"/>
      <c r="AS79" s="94"/>
      <c r="AT79" s="121">
        <f t="shared" si="93"/>
        <v>-3.5904156555494171E-2</v>
      </c>
      <c r="AU79" s="197"/>
      <c r="AV79" s="194"/>
      <c r="AW79" s="194"/>
      <c r="AX79" s="194"/>
      <c r="AY79" s="195"/>
      <c r="AZ79" s="196"/>
      <c r="BA79" s="195">
        <v>130353452.30666322</v>
      </c>
      <c r="BB79" s="195">
        <f t="shared" si="98"/>
        <v>-11213774.306663215</v>
      </c>
      <c r="BC79" s="195">
        <v>133413302.04905352</v>
      </c>
      <c r="BD79" s="195">
        <f t="shared" si="95"/>
        <v>9415214.95094648</v>
      </c>
      <c r="BE79" s="195">
        <v>141356362.87740099</v>
      </c>
      <c r="BF79" s="195">
        <f t="shared" si="96"/>
        <v>-499610.8774009943</v>
      </c>
      <c r="BG79" s="195">
        <v>142499844.22919351</v>
      </c>
      <c r="BH79" s="195"/>
      <c r="BI79" s="18"/>
      <c r="BJ79" s="194">
        <v>129403578.0380132</v>
      </c>
      <c r="BK79" s="195">
        <f t="shared" si="89"/>
        <v>3670416.9619867951</v>
      </c>
      <c r="BL79" s="195">
        <v>84114146.479633763</v>
      </c>
      <c r="BM79" s="177">
        <f t="shared" si="90"/>
        <v>45099512.082842931</v>
      </c>
      <c r="BN79" s="195"/>
      <c r="BP79" s="3"/>
      <c r="BQ79" s="3"/>
      <c r="BR79" s="4"/>
      <c r="BS79" s="202"/>
      <c r="BT79" s="202"/>
      <c r="BU79" s="4"/>
      <c r="BV79" s="3"/>
      <c r="BW79" s="3"/>
      <c r="BX79" s="3"/>
      <c r="BY79" s="3"/>
      <c r="BZ79" s="3"/>
      <c r="CA79" s="3"/>
      <c r="CB79" s="3"/>
      <c r="CC79" s="3"/>
      <c r="CD79" s="3"/>
      <c r="CE79" s="3"/>
      <c r="CF79" s="3"/>
      <c r="CG79" s="3"/>
      <c r="CH79" s="3"/>
      <c r="CI79" s="4"/>
      <c r="CJ79" s="203"/>
      <c r="CK79" s="20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4"/>
    </row>
    <row r="80" spans="1:116" ht="13.5">
      <c r="A80" s="2" t="s">
        <v>54</v>
      </c>
      <c r="B80" s="3">
        <f>'Monthly D4 Gallon Data'!$B13</f>
        <v>32417898</v>
      </c>
      <c r="C80" s="3">
        <f>'Monthly D4 Gallon Data'!$B25</f>
        <v>150743545</v>
      </c>
      <c r="D80" s="3">
        <f>'Monthly D4 Gallon Data'!$B37</f>
        <v>58155836</v>
      </c>
      <c r="E80" s="3">
        <f>'Monthly D4 Gallon Data'!$B49</f>
        <v>158363160</v>
      </c>
      <c r="F80" s="3">
        <f>'Monthly D4 Gallon Data'!$B61</f>
        <v>163494776</v>
      </c>
      <c r="G80" s="3">
        <f>'Monthly D4 Gallon Data'!$B73</f>
        <v>110100066</v>
      </c>
      <c r="H80" s="3">
        <f>'Monthly D4 Gallon Data'!$B85</f>
        <v>187163249</v>
      </c>
      <c r="I80" s="3">
        <f>'Monthly D4 Gallon Data'!$B97</f>
        <v>162595163</v>
      </c>
      <c r="J80" s="3">
        <f>'Monthly D4 Gallon Data'!$B109</f>
        <v>183329377</v>
      </c>
      <c r="K80" s="3">
        <f>'Monthly D4 Gallon Data'!$B121</f>
        <v>139601581</v>
      </c>
      <c r="L80" s="3">
        <f>'Monthly D4 Gallon Data'!$B133</f>
        <v>175881221</v>
      </c>
      <c r="M80" s="3">
        <f>'Monthly D4 Gallon Data'!$B145</f>
        <v>165708240</v>
      </c>
      <c r="N80" s="3">
        <f>'Monthly D4 Gallon Data'!$B157</f>
        <v>145591401</v>
      </c>
      <c r="O80" s="3">
        <f>'Monthly D4 Gallon Data'!$B169</f>
        <v>135716325</v>
      </c>
      <c r="P80" s="3">
        <f>'Monthly D4 Gallon Data'!$B181</f>
        <v>174669226</v>
      </c>
      <c r="Q80" s="119">
        <f>Q81-SUM(Q69:Q79)</f>
        <v>257708565.14586091</v>
      </c>
      <c r="R80" s="4">
        <f t="shared" ref="R80:AG80" si="99">R81-SUM(R69:R79)</f>
        <v>137135371.71240735</v>
      </c>
      <c r="S80" s="4">
        <f t="shared" si="99"/>
        <v>156028924.25371695</v>
      </c>
      <c r="T80" s="4">
        <f t="shared" si="99"/>
        <v>128243865.93361497</v>
      </c>
      <c r="U80" s="4">
        <f t="shared" si="99"/>
        <v>156675742.89320016</v>
      </c>
      <c r="V80" s="4">
        <f t="shared" si="99"/>
        <v>162205422.22578073</v>
      </c>
      <c r="W80" s="4">
        <f t="shared" si="99"/>
        <v>147436286.37179971</v>
      </c>
      <c r="X80" s="4">
        <f t="shared" si="99"/>
        <v>160567598.28760839</v>
      </c>
      <c r="Y80" s="4">
        <f t="shared" si="99"/>
        <v>132379850.15611649</v>
      </c>
      <c r="Z80" s="4">
        <f t="shared" si="99"/>
        <v>138753757.94486952</v>
      </c>
      <c r="AA80" s="4">
        <f t="shared" si="99"/>
        <v>131254530.03036618</v>
      </c>
      <c r="AB80" s="4">
        <f t="shared" si="99"/>
        <v>111739996.39613211</v>
      </c>
      <c r="AC80" s="4">
        <f t="shared" si="99"/>
        <v>89864723.225916266</v>
      </c>
      <c r="AD80" s="4">
        <f t="shared" si="99"/>
        <v>86652655.86207056</v>
      </c>
      <c r="AE80" s="4">
        <f t="shared" si="99"/>
        <v>72684106.358076572</v>
      </c>
      <c r="AF80" s="4">
        <f t="shared" si="99"/>
        <v>43127403.583538473</v>
      </c>
      <c r="AG80" s="4">
        <f t="shared" si="99"/>
        <v>47965980.888928294</v>
      </c>
      <c r="AH80" s="4">
        <f t="shared" ref="AH80:AQ80" si="100">AH81-SUM(AH69:AH79)</f>
        <v>47032594.043637335</v>
      </c>
      <c r="AI80" s="4">
        <f t="shared" si="100"/>
        <v>38618953.430149376</v>
      </c>
      <c r="AJ80" s="4">
        <f t="shared" si="100"/>
        <v>39137372.258665383</v>
      </c>
      <c r="AK80" s="4">
        <f t="shared" si="100"/>
        <v>39271537.727887392</v>
      </c>
      <c r="AL80" s="4">
        <f t="shared" si="100"/>
        <v>39147222.456198752</v>
      </c>
      <c r="AM80" s="4">
        <f t="shared" si="100"/>
        <v>39150969.880105853</v>
      </c>
      <c r="AN80" s="4">
        <f t="shared" si="100"/>
        <v>39795762.014315486</v>
      </c>
      <c r="AO80" s="4">
        <f t="shared" si="100"/>
        <v>40488998.933273315</v>
      </c>
      <c r="AP80" s="4">
        <f t="shared" si="100"/>
        <v>41375746.977975965</v>
      </c>
      <c r="AQ80" s="4">
        <f t="shared" si="100"/>
        <v>43348917.518285871</v>
      </c>
      <c r="AR80" s="4"/>
      <c r="AS80" s="94"/>
      <c r="AT80" s="121">
        <f t="shared" si="93"/>
        <v>0.99443749223504141</v>
      </c>
      <c r="AU80" s="197"/>
      <c r="AV80" s="194"/>
      <c r="AW80" s="194"/>
      <c r="AX80" s="194"/>
      <c r="AY80" s="195"/>
      <c r="AZ80" s="196"/>
      <c r="BA80" s="195">
        <v>169422997</v>
      </c>
      <c r="BB80" s="195">
        <f t="shared" si="98"/>
        <v>-29821416</v>
      </c>
      <c r="BC80" s="195">
        <v>167631897</v>
      </c>
      <c r="BD80" s="195">
        <f t="shared" si="95"/>
        <v>8249324</v>
      </c>
      <c r="BE80" s="195">
        <v>179824533</v>
      </c>
      <c r="BF80" s="195">
        <f t="shared" si="96"/>
        <v>-14116293</v>
      </c>
      <c r="BG80" s="195">
        <v>179383712.03590918</v>
      </c>
      <c r="BH80" s="194">
        <f>SUM(P78:P80)</f>
        <v>455234923</v>
      </c>
      <c r="BI80" s="18"/>
      <c r="BJ80" s="194">
        <v>134942301.27214432</v>
      </c>
      <c r="BK80" s="195">
        <f t="shared" si="89"/>
        <v>39726924.727855682</v>
      </c>
      <c r="BL80" s="195">
        <v>96469573.181100726</v>
      </c>
      <c r="BM80" s="177">
        <f t="shared" si="90"/>
        <v>161238991.96476018</v>
      </c>
      <c r="BN80" s="195"/>
      <c r="BP80" s="3"/>
      <c r="BQ80" s="3"/>
      <c r="BR80" s="4"/>
      <c r="BS80" s="202"/>
      <c r="BT80" s="202"/>
      <c r="BU80" s="4"/>
      <c r="BV80" s="3"/>
      <c r="BW80" s="3"/>
      <c r="BX80" s="3"/>
      <c r="BY80" s="3"/>
      <c r="BZ80" s="3"/>
      <c r="CA80" s="3"/>
      <c r="CB80" s="3"/>
      <c r="CC80" s="3"/>
      <c r="CD80" s="3"/>
      <c r="CE80" s="3"/>
      <c r="CF80" s="3"/>
      <c r="CG80" s="3"/>
      <c r="CH80" s="3"/>
      <c r="CI80" s="4"/>
      <c r="CJ80" s="203"/>
      <c r="CK80" s="203"/>
      <c r="CL80" s="3"/>
      <c r="CM80" s="3"/>
      <c r="CN80" s="3"/>
      <c r="CO80" s="3"/>
      <c r="CP80" s="3"/>
      <c r="CQ80" s="3"/>
      <c r="CR80" s="3"/>
      <c r="CS80" s="3"/>
      <c r="CT80" s="3"/>
      <c r="CU80" s="3"/>
      <c r="CV80" s="3"/>
      <c r="CW80" s="3"/>
      <c r="CX80" s="3"/>
      <c r="CY80" s="3"/>
      <c r="CZ80" s="3"/>
      <c r="DA80" s="3"/>
      <c r="DB80" s="3"/>
      <c r="DC80" s="3"/>
      <c r="DD80" s="3"/>
      <c r="DE80" s="3"/>
      <c r="DF80" s="3"/>
      <c r="DG80" s="3"/>
      <c r="DH80" s="3"/>
      <c r="DI80" s="3"/>
      <c r="DJ80" s="3"/>
      <c r="DK80" s="3"/>
      <c r="DL80" s="4"/>
    </row>
    <row r="81" spans="1:105" ht="14.25" thickBot="1">
      <c r="A81" s="2" t="s">
        <v>29</v>
      </c>
      <c r="B81" s="3">
        <f>SUM(B69:B80)</f>
        <v>201955850</v>
      </c>
      <c r="C81" s="3">
        <f t="shared" ref="C81:P81" si="101">SUM(C69:C80)</f>
        <v>1032917947</v>
      </c>
      <c r="D81" s="3">
        <f t="shared" si="101"/>
        <v>1016202001</v>
      </c>
      <c r="E81" s="3">
        <f t="shared" si="101"/>
        <v>1378586362</v>
      </c>
      <c r="F81" s="3">
        <f t="shared" si="101"/>
        <v>1305909690</v>
      </c>
      <c r="G81" s="3">
        <f t="shared" si="101"/>
        <v>1254228294</v>
      </c>
      <c r="H81" s="3">
        <f t="shared" si="101"/>
        <v>1632752622</v>
      </c>
      <c r="I81" s="3">
        <f t="shared" si="101"/>
        <v>1588249740</v>
      </c>
      <c r="J81" s="3">
        <f t="shared" si="101"/>
        <v>1855120823</v>
      </c>
      <c r="K81" s="3">
        <f t="shared" si="101"/>
        <v>1713762399</v>
      </c>
      <c r="L81" s="3">
        <f t="shared" si="101"/>
        <v>1824873638</v>
      </c>
      <c r="M81" s="3">
        <f t="shared" si="101"/>
        <v>1704627334</v>
      </c>
      <c r="N81" s="3">
        <f t="shared" si="101"/>
        <v>1620209063</v>
      </c>
      <c r="O81" s="3">
        <f t="shared" si="101"/>
        <v>1669248877</v>
      </c>
      <c r="P81" s="3">
        <f t="shared" si="101"/>
        <v>1660766492</v>
      </c>
      <c r="Q81" s="4">
        <f>Q4</f>
        <v>1580916041.0664113</v>
      </c>
      <c r="R81" s="4">
        <f>R4</f>
        <v>1456288920.8928502</v>
      </c>
      <c r="S81" s="4">
        <f>S4</f>
        <v>1464785399.8558679</v>
      </c>
      <c r="T81" s="4">
        <f t="shared" ref="T81:AQ81" si="102">T4</f>
        <v>1166208281.752449</v>
      </c>
      <c r="U81" s="4">
        <f t="shared" si="102"/>
        <v>1344916782.8977911</v>
      </c>
      <c r="V81" s="4">
        <f t="shared" si="102"/>
        <v>1361061973.8548844</v>
      </c>
      <c r="W81" s="4">
        <f t="shared" si="102"/>
        <v>1352948354.928941</v>
      </c>
      <c r="X81" s="4">
        <f t="shared" si="102"/>
        <v>1431119743.991498</v>
      </c>
      <c r="Y81" s="4">
        <f t="shared" si="102"/>
        <v>1343186758.3635507</v>
      </c>
      <c r="Z81" s="4">
        <f t="shared" si="102"/>
        <v>1311754933.2873945</v>
      </c>
      <c r="AA81" s="4">
        <f t="shared" si="102"/>
        <v>1258986408.7613165</v>
      </c>
      <c r="AB81" s="4">
        <f t="shared" si="102"/>
        <v>1053550782.0520486</v>
      </c>
      <c r="AC81" s="4">
        <f t="shared" si="102"/>
        <v>852248304.87814152</v>
      </c>
      <c r="AD81" s="4">
        <f t="shared" si="102"/>
        <v>834935067.03321898</v>
      </c>
      <c r="AE81" s="4">
        <f t="shared" si="102"/>
        <v>691534291.17993772</v>
      </c>
      <c r="AF81" s="4">
        <f t="shared" si="102"/>
        <v>411059083.20517874</v>
      </c>
      <c r="AG81" s="4">
        <f t="shared" si="102"/>
        <v>456231552.15335274</v>
      </c>
      <c r="AH81" s="4">
        <f t="shared" si="102"/>
        <v>448635004.69407254</v>
      </c>
      <c r="AI81" s="4">
        <f t="shared" si="102"/>
        <v>369022082.55199236</v>
      </c>
      <c r="AJ81" s="4">
        <f t="shared" si="102"/>
        <v>372888665.5371173</v>
      </c>
      <c r="AK81" s="4">
        <f t="shared" si="102"/>
        <v>374344713.67332029</v>
      </c>
      <c r="AL81" s="4">
        <f t="shared" si="102"/>
        <v>373167204.47525615</v>
      </c>
      <c r="AM81" s="4">
        <f t="shared" si="102"/>
        <v>373395520.93563485</v>
      </c>
      <c r="AN81" s="4">
        <f t="shared" si="102"/>
        <v>379530877.06040347</v>
      </c>
      <c r="AO81" s="4">
        <f t="shared" si="102"/>
        <v>385995056.19845152</v>
      </c>
      <c r="AP81" s="4">
        <f t="shared" si="102"/>
        <v>394494911.41562796</v>
      </c>
      <c r="AQ81" s="4">
        <f t="shared" si="102"/>
        <v>413327021.0954172</v>
      </c>
      <c r="AR81" s="4"/>
      <c r="AT81" s="194"/>
      <c r="AU81" s="194"/>
      <c r="AV81" s="194"/>
      <c r="AW81" s="194"/>
      <c r="AX81" s="194"/>
      <c r="AY81" s="195"/>
      <c r="AZ81" s="196"/>
      <c r="BA81" s="195">
        <v>1743500000</v>
      </c>
      <c r="BB81" s="195">
        <f t="shared" si="98"/>
        <v>-29737601</v>
      </c>
      <c r="BC81" s="195">
        <v>1815449146</v>
      </c>
      <c r="BD81" s="195">
        <f t="shared" si="95"/>
        <v>9424492</v>
      </c>
      <c r="BE81" s="195">
        <v>1717327970</v>
      </c>
      <c r="BF81" s="195">
        <f t="shared" si="96"/>
        <v>-12700636</v>
      </c>
      <c r="BG81" s="195">
        <v>1653807613.0359092</v>
      </c>
      <c r="BH81" s="205">
        <f>(BH80/BH77)-1</f>
        <v>9.5662808046474312E-2</v>
      </c>
      <c r="BI81" s="18"/>
      <c r="BJ81" s="194">
        <v>1625821650.4639862</v>
      </c>
      <c r="BK81" s="195">
        <f t="shared" si="89"/>
        <v>34944841.536013842</v>
      </c>
      <c r="BL81" s="195">
        <v>1029128073.0664111</v>
      </c>
      <c r="BM81" s="177">
        <f t="shared" si="90"/>
        <v>551787968.00000012</v>
      </c>
      <c r="BN81" s="195"/>
      <c r="BR81" s="3"/>
      <c r="BS81" s="3"/>
      <c r="BT81" s="3"/>
      <c r="BU81" s="3"/>
      <c r="BV81" s="3"/>
      <c r="BW81" s="3"/>
      <c r="BX81" s="3"/>
      <c r="BY81" s="3"/>
      <c r="BZ81" s="3"/>
      <c r="CA81" s="3"/>
      <c r="CB81" s="3"/>
      <c r="CC81" s="4"/>
      <c r="CD81" s="3"/>
      <c r="CE81" s="3"/>
      <c r="CF81" s="3"/>
      <c r="CG81" s="3"/>
      <c r="CH81" s="3"/>
      <c r="CI81" s="3"/>
      <c r="CJ81" s="3"/>
      <c r="CK81" s="3"/>
      <c r="CL81" s="3"/>
      <c r="CM81" s="3"/>
      <c r="CN81" s="3"/>
      <c r="CO81" s="3"/>
      <c r="CP81" s="3"/>
      <c r="CQ81" s="3"/>
      <c r="CR81" s="3"/>
      <c r="CS81" s="3"/>
      <c r="CT81" s="3"/>
      <c r="CU81" s="3"/>
      <c r="CV81" s="3"/>
      <c r="CW81" s="3"/>
      <c r="CX81" s="3"/>
      <c r="CY81" s="3"/>
      <c r="CZ81" s="3"/>
      <c r="DA81" s="3"/>
    </row>
    <row r="82" spans="1:105" ht="13.5">
      <c r="A82" s="114"/>
      <c r="B82" s="114"/>
      <c r="C82" s="115">
        <f t="shared" ref="C82:L82" si="103">C80/AVERAGE(C69:C79)</f>
        <v>1.8796498642906667</v>
      </c>
      <c r="D82" s="115">
        <f t="shared" si="103"/>
        <v>0.66772794398691637</v>
      </c>
      <c r="E82" s="115">
        <f t="shared" si="103"/>
        <v>1.427603373829307</v>
      </c>
      <c r="F82" s="115">
        <f t="shared" si="103"/>
        <v>1.5742463740279917</v>
      </c>
      <c r="G82" s="115">
        <f t="shared" si="103"/>
        <v>1.0585358322266654</v>
      </c>
      <c r="H82" s="115">
        <f t="shared" si="103"/>
        <v>1.424191251992553</v>
      </c>
      <c r="I82" s="115">
        <f t="shared" si="103"/>
        <v>1.2545442787155587</v>
      </c>
      <c r="J82" s="115">
        <f t="shared" si="103"/>
        <v>1.2062647836995812</v>
      </c>
      <c r="K82" s="115">
        <f t="shared" si="103"/>
        <v>0.97551493687349544</v>
      </c>
      <c r="L82" s="115">
        <f t="shared" si="103"/>
        <v>1.1732579307549358</v>
      </c>
      <c r="M82" s="115">
        <f>M80/AVERAGE(M69:M79)</f>
        <v>1.1844616439595623</v>
      </c>
      <c r="N82" s="115">
        <f>N80/AVERAGE(N69:N79)</f>
        <v>1.086047897207405</v>
      </c>
      <c r="O82" s="115">
        <f>O80/AVERAGE(O69:O79)</f>
        <v>0.97349063314829454</v>
      </c>
      <c r="P82" s="115">
        <f>P80/AVERAGE(P69:P79)</f>
        <v>1.2928908019402814</v>
      </c>
      <c r="Q82" s="115">
        <f>Q80/AVERAGE(Q69:Q79)</f>
        <v>2.1423656291182263</v>
      </c>
      <c r="R82" s="115">
        <f t="shared" ref="R82:T82" si="104">R80/AVERAGE(R69:R79)</f>
        <v>1.1435280523436164</v>
      </c>
      <c r="S82" s="115">
        <f t="shared" si="104"/>
        <v>1.3114114037152853</v>
      </c>
      <c r="T82" s="115">
        <f t="shared" si="104"/>
        <v>1.3590856331591088</v>
      </c>
      <c r="U82" s="114"/>
      <c r="V82" s="114"/>
      <c r="W82" s="114"/>
      <c r="X82" s="114"/>
      <c r="Y82" s="114"/>
      <c r="Z82" s="114"/>
      <c r="AA82" s="114"/>
      <c r="AB82" s="114"/>
      <c r="AC82" s="114"/>
      <c r="AD82" s="114"/>
      <c r="AE82" s="114"/>
      <c r="AF82" s="114"/>
      <c r="AG82" s="114"/>
      <c r="AH82" s="114"/>
      <c r="AI82" s="114"/>
      <c r="AJ82" s="114"/>
      <c r="AK82" s="114"/>
      <c r="AL82" s="114"/>
      <c r="AM82" s="114"/>
      <c r="AN82" s="114"/>
      <c r="AO82" s="114"/>
      <c r="AP82" s="114"/>
      <c r="AQ82" s="114"/>
      <c r="AT82" s="14"/>
      <c r="AU82" s="206">
        <f>L81/K81-1</f>
        <v>6.4834681321538357E-2</v>
      </c>
      <c r="AV82" s="14"/>
      <c r="AW82" s="14"/>
      <c r="AX82" s="19"/>
      <c r="AY82" s="18"/>
      <c r="AZ82" s="14"/>
      <c r="BA82" s="14"/>
      <c r="BB82" s="18"/>
      <c r="BC82" s="14"/>
      <c r="BD82" s="14"/>
      <c r="BE82" s="19"/>
      <c r="BF82" s="14"/>
      <c r="BG82" s="14"/>
      <c r="BH82" s="14"/>
      <c r="BI82" s="14"/>
      <c r="BJ82" s="14"/>
      <c r="BK82" s="14"/>
      <c r="BL82" s="14"/>
      <c r="BM82" s="14"/>
      <c r="BN82" s="14"/>
      <c r="CY82" s="3"/>
      <c r="CZ82" s="3"/>
      <c r="DA82" s="3"/>
    </row>
    <row r="83" spans="1:105" ht="16.5" thickBot="1">
      <c r="A83" s="109" t="s">
        <v>304</v>
      </c>
      <c r="J83" s="207">
        <f t="shared" ref="J83:O83" si="105">J81/I81-1</f>
        <v>0.16802841283638426</v>
      </c>
      <c r="K83" s="207">
        <f t="shared" si="105"/>
        <v>-7.6199039031540239E-2</v>
      </c>
      <c r="L83" s="207">
        <f t="shared" si="105"/>
        <v>6.4834681321538357E-2</v>
      </c>
      <c r="M83" s="207">
        <f t="shared" si="105"/>
        <v>-6.5892948145048535E-2</v>
      </c>
      <c r="N83" s="207">
        <f t="shared" si="105"/>
        <v>-4.9523006768821376E-2</v>
      </c>
      <c r="O83" s="207">
        <f t="shared" si="105"/>
        <v>3.0267584054367136E-2</v>
      </c>
      <c r="P83" s="207">
        <f>P81/O81-1</f>
        <v>-5.081558009039755E-3</v>
      </c>
      <c r="Q83" s="207">
        <f>Q81/P81-1</f>
        <v>-4.8080480499957501E-2</v>
      </c>
      <c r="R83" s="207">
        <f t="shared" ref="R83:T83" si="106">R81/Q81-1</f>
        <v>-7.8832219381804403E-2</v>
      </c>
      <c r="S83" s="207">
        <f t="shared" si="106"/>
        <v>5.8343360586774473E-3</v>
      </c>
      <c r="T83" s="207">
        <f t="shared" si="106"/>
        <v>-0.2038367655308404</v>
      </c>
      <c r="AT83" s="3"/>
      <c r="AU83" s="3"/>
      <c r="AX83" s="4"/>
      <c r="AY83" s="3"/>
      <c r="BB83" s="3"/>
      <c r="BE83" s="4"/>
      <c r="CM83" s="3"/>
      <c r="CP83" s="3"/>
      <c r="CY83" s="3"/>
      <c r="CZ83" s="3"/>
      <c r="DA83" s="3"/>
    </row>
    <row r="84" spans="1:105" ht="13.5" thickBot="1">
      <c r="A84" s="110"/>
      <c r="B84" s="111">
        <f t="shared" ref="B84:K84" si="107">B2</f>
        <v>2010</v>
      </c>
      <c r="C84" s="111">
        <f t="shared" si="107"/>
        <v>2011</v>
      </c>
      <c r="D84" s="111">
        <f t="shared" si="107"/>
        <v>2012</v>
      </c>
      <c r="E84" s="111">
        <f t="shared" si="107"/>
        <v>2013</v>
      </c>
      <c r="F84" s="111">
        <f t="shared" si="107"/>
        <v>2014</v>
      </c>
      <c r="G84" s="111">
        <f t="shared" si="107"/>
        <v>2015</v>
      </c>
      <c r="H84" s="111">
        <f t="shared" si="107"/>
        <v>2016</v>
      </c>
      <c r="I84" s="111">
        <f t="shared" si="107"/>
        <v>2017</v>
      </c>
      <c r="J84" s="111">
        <f t="shared" si="107"/>
        <v>2018</v>
      </c>
      <c r="K84" s="111">
        <f t="shared" si="107"/>
        <v>2019</v>
      </c>
      <c r="L84" s="111">
        <f>L2</f>
        <v>2020</v>
      </c>
      <c r="M84" s="111">
        <f>M2</f>
        <v>2021</v>
      </c>
      <c r="N84" s="111">
        <f t="shared" ref="N84:AQ84" si="108">N2</f>
        <v>2022</v>
      </c>
      <c r="O84" s="111">
        <f t="shared" si="108"/>
        <v>2023</v>
      </c>
      <c r="P84" s="111">
        <f t="shared" si="108"/>
        <v>2024</v>
      </c>
      <c r="Q84" s="111">
        <f>Q2</f>
        <v>2025</v>
      </c>
      <c r="R84" s="111">
        <f t="shared" si="108"/>
        <v>2026</v>
      </c>
      <c r="S84" s="111">
        <f t="shared" si="108"/>
        <v>2027</v>
      </c>
      <c r="T84" s="111">
        <f t="shared" si="108"/>
        <v>2028</v>
      </c>
      <c r="U84" s="111">
        <f t="shared" si="108"/>
        <v>2029</v>
      </c>
      <c r="V84" s="111">
        <f t="shared" si="108"/>
        <v>2030</v>
      </c>
      <c r="W84" s="111">
        <f t="shared" si="108"/>
        <v>2031</v>
      </c>
      <c r="X84" s="111">
        <f t="shared" si="108"/>
        <v>2032</v>
      </c>
      <c r="Y84" s="111">
        <f t="shared" si="108"/>
        <v>2033</v>
      </c>
      <c r="Z84" s="111">
        <f t="shared" si="108"/>
        <v>2034</v>
      </c>
      <c r="AA84" s="111">
        <f t="shared" si="108"/>
        <v>2035</v>
      </c>
      <c r="AB84" s="111">
        <f t="shared" si="108"/>
        <v>2036</v>
      </c>
      <c r="AC84" s="111">
        <f t="shared" si="108"/>
        <v>2037</v>
      </c>
      <c r="AD84" s="111">
        <f t="shared" si="108"/>
        <v>2038</v>
      </c>
      <c r="AE84" s="111">
        <f t="shared" si="108"/>
        <v>2039</v>
      </c>
      <c r="AF84" s="111">
        <f t="shared" si="108"/>
        <v>2040</v>
      </c>
      <c r="AG84" s="111">
        <f t="shared" si="108"/>
        <v>2041</v>
      </c>
      <c r="AH84" s="111">
        <f t="shared" si="108"/>
        <v>2042</v>
      </c>
      <c r="AI84" s="111">
        <f t="shared" si="108"/>
        <v>2043</v>
      </c>
      <c r="AJ84" s="111">
        <f t="shared" si="108"/>
        <v>2044</v>
      </c>
      <c r="AK84" s="111">
        <f t="shared" si="108"/>
        <v>2045</v>
      </c>
      <c r="AL84" s="111">
        <f t="shared" si="108"/>
        <v>2046</v>
      </c>
      <c r="AM84" s="111">
        <f t="shared" si="108"/>
        <v>2047</v>
      </c>
      <c r="AN84" s="111">
        <f t="shared" si="108"/>
        <v>2048</v>
      </c>
      <c r="AO84" s="111">
        <f t="shared" si="108"/>
        <v>2049</v>
      </c>
      <c r="AP84" s="111">
        <f t="shared" si="108"/>
        <v>2050</v>
      </c>
      <c r="AQ84" s="111">
        <f t="shared" si="108"/>
        <v>2051</v>
      </c>
      <c r="AR84" s="94"/>
      <c r="AS84" s="94"/>
      <c r="AT84" s="94"/>
      <c r="AU84" s="94"/>
      <c r="AV84" s="94"/>
      <c r="AW84" s="94"/>
      <c r="AX84" s="4"/>
      <c r="AY84" s="3"/>
      <c r="BB84" s="3"/>
      <c r="BE84" s="4"/>
      <c r="CY84" s="3"/>
      <c r="CZ84" s="3"/>
      <c r="DA84" s="3"/>
    </row>
    <row r="85" spans="1:105">
      <c r="A85" s="2" t="s">
        <v>43</v>
      </c>
      <c r="B85" s="3">
        <f>'Monthly D4 Gallon Data'!$C2</f>
        <v>0</v>
      </c>
      <c r="C85" s="3">
        <f>'Monthly D4 Gallon Data'!$C14</f>
        <v>0</v>
      </c>
      <c r="D85" s="3">
        <f>'Monthly D4 Gallon Data'!$C26</f>
        <v>0</v>
      </c>
      <c r="E85" s="3">
        <f>'Monthly D4 Gallon Data'!$C38</f>
        <v>0</v>
      </c>
      <c r="F85" s="3">
        <f>'Monthly D4 Gallon Data'!$C50</f>
        <v>0</v>
      </c>
      <c r="G85" s="3">
        <f>'Monthly D4 Gallon Data'!$C62</f>
        <v>0</v>
      </c>
      <c r="H85" s="3">
        <f>'Monthly D4 Gallon Data'!$C74</f>
        <v>0</v>
      </c>
      <c r="I85" s="3">
        <f>'Monthly D4 Gallon Data'!$C86</f>
        <v>0</v>
      </c>
      <c r="J85" s="3">
        <f>'Monthly D4 Gallon Data'!$C98</f>
        <v>0</v>
      </c>
      <c r="K85" s="3">
        <f>'Monthly D4 Gallon Data'!$C110</f>
        <v>0</v>
      </c>
      <c r="L85" s="3">
        <f>'Monthly D4 Gallon Data'!$C122</f>
        <v>0</v>
      </c>
      <c r="M85" s="3">
        <f>'Monthly D4 Gallon Data'!$C134</f>
        <v>0</v>
      </c>
      <c r="N85" s="3">
        <f>'Monthly D4 Gallon Data'!$C146</f>
        <v>0</v>
      </c>
      <c r="O85" s="3">
        <f>'Monthly D4 Gallon Data'!$C158</f>
        <v>0</v>
      </c>
      <c r="P85" s="3">
        <f>'Monthly D4 Gallon Data'!$C170</f>
        <v>0</v>
      </c>
      <c r="Q85" s="3">
        <f>'Monthly D4 Gallon Data'!$C182</f>
        <v>0</v>
      </c>
      <c r="R85" s="4">
        <v>0</v>
      </c>
      <c r="S85" s="4">
        <v>0</v>
      </c>
      <c r="T85" s="4">
        <v>0</v>
      </c>
      <c r="U85" s="4">
        <v>0</v>
      </c>
      <c r="V85" s="4">
        <v>0</v>
      </c>
      <c r="W85" s="4">
        <v>0</v>
      </c>
      <c r="X85" s="4">
        <v>0</v>
      </c>
      <c r="Y85" s="4">
        <v>0</v>
      </c>
      <c r="Z85" s="4">
        <v>0</v>
      </c>
      <c r="AA85" s="4">
        <v>0</v>
      </c>
      <c r="AB85" s="4">
        <v>0</v>
      </c>
      <c r="AC85" s="4">
        <v>0</v>
      </c>
      <c r="AD85" s="4">
        <v>0</v>
      </c>
      <c r="AE85" s="4">
        <v>0</v>
      </c>
      <c r="AF85" s="4">
        <v>0</v>
      </c>
      <c r="AG85" s="4">
        <v>0</v>
      </c>
      <c r="AH85" s="4">
        <v>0</v>
      </c>
      <c r="AI85" s="4">
        <v>0</v>
      </c>
      <c r="AJ85" s="4">
        <v>0</v>
      </c>
      <c r="AK85" s="4">
        <v>0</v>
      </c>
      <c r="AL85" s="4">
        <v>0</v>
      </c>
      <c r="AM85" s="4">
        <v>0</v>
      </c>
      <c r="AN85" s="4">
        <v>0</v>
      </c>
      <c r="AO85" s="4">
        <v>0</v>
      </c>
      <c r="AP85" s="4">
        <v>0</v>
      </c>
      <c r="AQ85" s="4">
        <v>1</v>
      </c>
      <c r="AR85" s="4"/>
      <c r="AS85" s="4"/>
      <c r="AT85" s="4"/>
      <c r="AU85" s="4"/>
      <c r="AV85" s="4"/>
      <c r="AW85" s="4"/>
      <c r="AX85" s="4"/>
      <c r="AY85" s="3"/>
      <c r="BB85" s="3"/>
      <c r="BC85" s="3">
        <v>0</v>
      </c>
      <c r="BD85" s="3">
        <f t="shared" ref="BD85:BD97" si="109">L85-BC85</f>
        <v>0</v>
      </c>
      <c r="BE85" s="3">
        <v>0</v>
      </c>
      <c r="BF85" s="3">
        <f t="shared" ref="BF85:BF97" si="110">M85-BE85</f>
        <v>0</v>
      </c>
      <c r="BG85" s="3">
        <v>0</v>
      </c>
      <c r="BH85" s="3"/>
      <c r="BI85" s="3"/>
      <c r="BJ85" s="3">
        <v>0</v>
      </c>
      <c r="BK85" s="3">
        <f t="shared" ref="BK85:BK97" si="111">P85-BJ85</f>
        <v>0</v>
      </c>
      <c r="BL85" s="3">
        <f t="shared" ref="BL85:BL97" si="112">N85-BG85</f>
        <v>0</v>
      </c>
      <c r="BM85" s="177">
        <f t="shared" ref="BM85:BM97" si="113">Q85-BL85</f>
        <v>0</v>
      </c>
      <c r="BN85" s="3"/>
      <c r="BR85" s="3"/>
      <c r="BS85" s="3"/>
      <c r="BT85" s="3"/>
      <c r="BU85" s="3"/>
      <c r="BV85" s="3"/>
      <c r="BW85" s="3"/>
      <c r="BX85" s="3"/>
      <c r="BY85" s="3"/>
      <c r="BZ85" s="3"/>
      <c r="CA85" s="3"/>
      <c r="CB85" s="3"/>
      <c r="CC85" s="4"/>
      <c r="CD85" s="3"/>
      <c r="CE85" s="3"/>
      <c r="CF85" s="3"/>
      <c r="CG85" s="3"/>
      <c r="CH85" s="3"/>
      <c r="CI85" s="3"/>
      <c r="CJ85" s="3"/>
      <c r="CK85" s="3"/>
      <c r="CL85" s="3"/>
      <c r="CM85" s="3"/>
      <c r="CN85" s="3"/>
      <c r="CO85" s="3"/>
      <c r="CP85" s="3"/>
      <c r="CQ85" s="3"/>
      <c r="CR85" s="3"/>
      <c r="CS85" s="3"/>
      <c r="CT85" s="3"/>
      <c r="CU85" s="3"/>
      <c r="CV85" s="3"/>
      <c r="CW85" s="3"/>
      <c r="CX85" s="3"/>
      <c r="CY85" s="3"/>
      <c r="CZ85" s="3"/>
      <c r="DA85" s="3"/>
    </row>
    <row r="86" spans="1:105">
      <c r="A86" s="2" t="s">
        <v>44</v>
      </c>
      <c r="B86" s="3">
        <f>'Monthly D4 Gallon Data'!$C3</f>
        <v>0</v>
      </c>
      <c r="C86" s="3">
        <f>'Monthly D4 Gallon Data'!$C15</f>
        <v>0</v>
      </c>
      <c r="D86" s="3">
        <f>'Monthly D4 Gallon Data'!$C27</f>
        <v>86797</v>
      </c>
      <c r="E86" s="3">
        <f>'Monthly D4 Gallon Data'!$C39</f>
        <v>0</v>
      </c>
      <c r="F86" s="3">
        <f>'Monthly D4 Gallon Data'!$C51</f>
        <v>0</v>
      </c>
      <c r="G86" s="3">
        <f>'Monthly D4 Gallon Data'!$C63</f>
        <v>0</v>
      </c>
      <c r="H86" s="3">
        <f>'Monthly D4 Gallon Data'!$C75</f>
        <v>0</v>
      </c>
      <c r="I86" s="3">
        <f>'Monthly D4 Gallon Data'!$C87</f>
        <v>0</v>
      </c>
      <c r="J86" s="3">
        <f>'Monthly D4 Gallon Data'!$C99</f>
        <v>0</v>
      </c>
      <c r="K86" s="3">
        <f>'Monthly D4 Gallon Data'!$C111</f>
        <v>0</v>
      </c>
      <c r="L86" s="3">
        <f>'Monthly D4 Gallon Data'!$C123</f>
        <v>0</v>
      </c>
      <c r="M86" s="3">
        <f>'Monthly D4 Gallon Data'!$C135</f>
        <v>0</v>
      </c>
      <c r="N86" s="3">
        <f>'Monthly D4 Gallon Data'!$C147</f>
        <v>0</v>
      </c>
      <c r="O86" s="3">
        <f>'Monthly D4 Gallon Data'!$C159</f>
        <v>0</v>
      </c>
      <c r="P86" s="3">
        <f>'Monthly D4 Gallon Data'!$C171</f>
        <v>0</v>
      </c>
      <c r="Q86" s="3">
        <f>'Monthly D4 Gallon Data'!$C183</f>
        <v>0</v>
      </c>
      <c r="R86" s="4">
        <v>0</v>
      </c>
      <c r="S86" s="4">
        <v>0</v>
      </c>
      <c r="T86" s="4">
        <v>0</v>
      </c>
      <c r="U86" s="4">
        <v>0</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0</v>
      </c>
      <c r="AN86" s="4">
        <v>0</v>
      </c>
      <c r="AO86" s="4">
        <v>0</v>
      </c>
      <c r="AP86" s="4">
        <v>0</v>
      </c>
      <c r="AQ86" s="4">
        <v>1</v>
      </c>
      <c r="AR86" s="4"/>
      <c r="AS86" s="4"/>
      <c r="AT86" s="4"/>
      <c r="AU86" s="4"/>
      <c r="AV86" s="4"/>
      <c r="AW86" s="4"/>
      <c r="AX86" s="4"/>
      <c r="AY86" s="3"/>
      <c r="BB86" s="3"/>
      <c r="BC86" s="3">
        <v>0</v>
      </c>
      <c r="BD86" s="3">
        <f t="shared" si="109"/>
        <v>0</v>
      </c>
      <c r="BE86" s="3">
        <v>0</v>
      </c>
      <c r="BF86" s="3">
        <f t="shared" si="110"/>
        <v>0</v>
      </c>
      <c r="BG86" s="3">
        <v>0</v>
      </c>
      <c r="BH86" s="3"/>
      <c r="BI86" s="3"/>
      <c r="BJ86" s="3">
        <v>0</v>
      </c>
      <c r="BK86" s="3">
        <f t="shared" si="111"/>
        <v>0</v>
      </c>
      <c r="BL86" s="3">
        <f t="shared" si="112"/>
        <v>0</v>
      </c>
      <c r="BM86" s="177">
        <f t="shared" si="113"/>
        <v>0</v>
      </c>
      <c r="BN86" s="3"/>
      <c r="BR86" s="3"/>
      <c r="BS86" s="3"/>
      <c r="BT86" s="3"/>
      <c r="BU86" s="3"/>
      <c r="BV86" s="3"/>
      <c r="BW86" s="3"/>
      <c r="BX86" s="3"/>
      <c r="BY86" s="3"/>
      <c r="BZ86" s="3"/>
      <c r="CA86" s="3"/>
      <c r="CB86" s="3"/>
      <c r="CC86" s="4"/>
      <c r="CD86" s="3"/>
      <c r="CE86" s="3"/>
      <c r="CF86" s="3"/>
      <c r="CG86" s="3"/>
      <c r="CH86" s="3"/>
      <c r="CI86" s="3"/>
      <c r="CJ86" s="3"/>
      <c r="CK86" s="3"/>
      <c r="CL86" s="3"/>
      <c r="CM86" s="3"/>
      <c r="CN86" s="3"/>
      <c r="CO86" s="3"/>
      <c r="CP86" s="3"/>
      <c r="CQ86" s="3"/>
      <c r="CR86" s="3"/>
      <c r="CS86" s="3"/>
      <c r="CT86" s="3"/>
      <c r="CU86" s="3"/>
      <c r="CV86" s="3"/>
      <c r="CW86" s="3"/>
      <c r="CX86" s="3"/>
      <c r="CY86" s="3"/>
      <c r="CZ86" s="3"/>
      <c r="DA86" s="3"/>
    </row>
    <row r="87" spans="1:105">
      <c r="A87" s="2" t="s">
        <v>45</v>
      </c>
      <c r="B87" s="3">
        <f>'Monthly D4 Gallon Data'!$C4</f>
        <v>0</v>
      </c>
      <c r="C87" s="3">
        <f>'Monthly D4 Gallon Data'!$C16</f>
        <v>0</v>
      </c>
      <c r="D87" s="3">
        <f>'Monthly D4 Gallon Data'!$C28</f>
        <v>1129187</v>
      </c>
      <c r="E87" s="3">
        <f>'Monthly D4 Gallon Data'!$C40</f>
        <v>0</v>
      </c>
      <c r="F87" s="3">
        <f>'Monthly D4 Gallon Data'!$C52</f>
        <v>0</v>
      </c>
      <c r="G87" s="3">
        <f>'Monthly D4 Gallon Data'!$C64</f>
        <v>0</v>
      </c>
      <c r="H87" s="3">
        <f>'Monthly D4 Gallon Data'!$C76</f>
        <v>0</v>
      </c>
      <c r="I87" s="3">
        <f>'Monthly D4 Gallon Data'!$C88</f>
        <v>0</v>
      </c>
      <c r="J87" s="3">
        <f>'Monthly D4 Gallon Data'!$C100</f>
        <v>0</v>
      </c>
      <c r="K87" s="3">
        <f>'Monthly D4 Gallon Data'!$C112</f>
        <v>0</v>
      </c>
      <c r="L87" s="3">
        <f>'Monthly D4 Gallon Data'!$C124</f>
        <v>0</v>
      </c>
      <c r="M87" s="3">
        <f>'Monthly D4 Gallon Data'!$C136</f>
        <v>0</v>
      </c>
      <c r="N87" s="3">
        <f>'Monthly D4 Gallon Data'!$C148</f>
        <v>0</v>
      </c>
      <c r="O87" s="3">
        <f>'Monthly D4 Gallon Data'!$C160</f>
        <v>0</v>
      </c>
      <c r="P87" s="3">
        <f>'Monthly D4 Gallon Data'!$C172</f>
        <v>0</v>
      </c>
      <c r="Q87" s="3">
        <f>'Monthly D4 Gallon Data'!$C184</f>
        <v>0</v>
      </c>
      <c r="R87" s="4">
        <v>0</v>
      </c>
      <c r="S87" s="4">
        <v>0</v>
      </c>
      <c r="T87" s="4">
        <v>0</v>
      </c>
      <c r="U87" s="4">
        <v>0</v>
      </c>
      <c r="V87" s="4">
        <v>0</v>
      </c>
      <c r="W87" s="4">
        <v>0</v>
      </c>
      <c r="X87" s="4">
        <v>0</v>
      </c>
      <c r="Y87" s="4">
        <v>0</v>
      </c>
      <c r="Z87" s="4">
        <v>0</v>
      </c>
      <c r="AA87" s="4">
        <v>0</v>
      </c>
      <c r="AB87" s="4">
        <v>0</v>
      </c>
      <c r="AC87" s="4">
        <v>0</v>
      </c>
      <c r="AD87" s="4">
        <v>0</v>
      </c>
      <c r="AE87" s="4">
        <v>0</v>
      </c>
      <c r="AF87" s="4">
        <v>0</v>
      </c>
      <c r="AG87" s="4">
        <v>0</v>
      </c>
      <c r="AH87" s="4">
        <v>0</v>
      </c>
      <c r="AI87" s="4">
        <v>0</v>
      </c>
      <c r="AJ87" s="4">
        <v>0</v>
      </c>
      <c r="AK87" s="4">
        <v>0</v>
      </c>
      <c r="AL87" s="4">
        <v>0</v>
      </c>
      <c r="AM87" s="4">
        <v>0</v>
      </c>
      <c r="AN87" s="4">
        <v>0</v>
      </c>
      <c r="AO87" s="4">
        <v>0</v>
      </c>
      <c r="AP87" s="4">
        <v>0</v>
      </c>
      <c r="AQ87" s="4">
        <v>1</v>
      </c>
      <c r="AR87" s="4"/>
      <c r="AS87" s="4"/>
      <c r="AT87" s="4"/>
      <c r="AU87" s="4"/>
      <c r="AV87" s="4"/>
      <c r="AW87" s="4"/>
      <c r="AX87" s="4"/>
      <c r="AY87" s="3"/>
      <c r="BB87" s="3"/>
      <c r="BC87" s="3">
        <v>0</v>
      </c>
      <c r="BD87" s="3">
        <f t="shared" si="109"/>
        <v>0</v>
      </c>
      <c r="BE87" s="3">
        <v>0</v>
      </c>
      <c r="BF87" s="3">
        <f t="shared" si="110"/>
        <v>0</v>
      </c>
      <c r="BG87" s="3">
        <v>0</v>
      </c>
      <c r="BH87" s="3"/>
      <c r="BI87" s="3"/>
      <c r="BJ87" s="3">
        <v>0</v>
      </c>
      <c r="BK87" s="3">
        <f t="shared" si="111"/>
        <v>0</v>
      </c>
      <c r="BL87" s="3">
        <f t="shared" si="112"/>
        <v>0</v>
      </c>
      <c r="BM87" s="177">
        <f t="shared" si="113"/>
        <v>0</v>
      </c>
      <c r="BN87" s="3"/>
      <c r="BR87" s="3"/>
      <c r="BS87" s="3"/>
      <c r="BT87" s="3"/>
      <c r="BU87" s="3"/>
      <c r="BV87" s="3"/>
      <c r="BW87" s="3"/>
      <c r="BX87" s="3"/>
      <c r="BY87" s="3"/>
      <c r="BZ87" s="3"/>
      <c r="CA87" s="3"/>
      <c r="CB87" s="3"/>
      <c r="CC87" s="4"/>
      <c r="CD87" s="3"/>
      <c r="CE87" s="3"/>
      <c r="CF87" s="3"/>
      <c r="CG87" s="3"/>
      <c r="CH87" s="3"/>
      <c r="CI87" s="3"/>
      <c r="CJ87" s="3"/>
      <c r="CK87" s="3"/>
      <c r="CL87" s="3"/>
      <c r="CM87" s="3"/>
      <c r="CN87" s="3"/>
      <c r="CO87" s="3"/>
      <c r="CP87" s="3"/>
      <c r="CQ87" s="3"/>
      <c r="CR87" s="3"/>
      <c r="CS87" s="3"/>
      <c r="CT87" s="3"/>
      <c r="CU87" s="3"/>
      <c r="CV87" s="3"/>
      <c r="CW87" s="3"/>
      <c r="CX87" s="3"/>
      <c r="CY87" s="3"/>
      <c r="CZ87" s="3"/>
      <c r="DA87" s="3"/>
    </row>
    <row r="88" spans="1:105">
      <c r="A88" s="2" t="s">
        <v>46</v>
      </c>
      <c r="B88" s="3">
        <f>'Monthly D4 Gallon Data'!$C5</f>
        <v>0</v>
      </c>
      <c r="C88" s="3">
        <f>'Monthly D4 Gallon Data'!$C17</f>
        <v>0</v>
      </c>
      <c r="D88" s="3">
        <f>'Monthly D4 Gallon Data'!$C29</f>
        <v>0</v>
      </c>
      <c r="E88" s="3">
        <f>'Monthly D4 Gallon Data'!$C41</f>
        <v>0</v>
      </c>
      <c r="F88" s="3">
        <f>'Monthly D4 Gallon Data'!$C53</f>
        <v>0</v>
      </c>
      <c r="G88" s="3">
        <f>'Monthly D4 Gallon Data'!$C65</f>
        <v>0</v>
      </c>
      <c r="H88" s="3">
        <f>'Monthly D4 Gallon Data'!$C77</f>
        <v>0</v>
      </c>
      <c r="I88" s="3">
        <f>'Monthly D4 Gallon Data'!$C89</f>
        <v>0</v>
      </c>
      <c r="J88" s="3">
        <f>'Monthly D4 Gallon Data'!$C101</f>
        <v>0</v>
      </c>
      <c r="K88" s="3">
        <f>'Monthly D4 Gallon Data'!$C113</f>
        <v>0</v>
      </c>
      <c r="L88" s="3">
        <f>'Monthly D4 Gallon Data'!$C125</f>
        <v>0</v>
      </c>
      <c r="M88" s="3">
        <f>'Monthly D4 Gallon Data'!$C137</f>
        <v>0</v>
      </c>
      <c r="N88" s="3">
        <f>'Monthly D4 Gallon Data'!$C149</f>
        <v>0</v>
      </c>
      <c r="O88" s="3">
        <f>'Monthly D4 Gallon Data'!$C161</f>
        <v>0</v>
      </c>
      <c r="P88" s="3">
        <f>'Monthly D4 Gallon Data'!$C173</f>
        <v>0</v>
      </c>
      <c r="Q88" s="4">
        <v>0</v>
      </c>
      <c r="R88" s="4">
        <v>0</v>
      </c>
      <c r="S88" s="4">
        <v>0</v>
      </c>
      <c r="T88" s="4">
        <v>0</v>
      </c>
      <c r="U88" s="4">
        <v>0</v>
      </c>
      <c r="V88" s="4">
        <v>0</v>
      </c>
      <c r="W88" s="4">
        <v>0</v>
      </c>
      <c r="X88" s="4">
        <v>0</v>
      </c>
      <c r="Y88" s="4">
        <v>0</v>
      </c>
      <c r="Z88" s="4">
        <v>0</v>
      </c>
      <c r="AA88" s="4">
        <v>0</v>
      </c>
      <c r="AB88" s="4">
        <v>0</v>
      </c>
      <c r="AC88" s="4">
        <v>0</v>
      </c>
      <c r="AD88" s="4">
        <v>0</v>
      </c>
      <c r="AE88" s="4">
        <v>0</v>
      </c>
      <c r="AF88" s="4">
        <v>0</v>
      </c>
      <c r="AG88" s="4">
        <v>0</v>
      </c>
      <c r="AH88" s="4">
        <v>0</v>
      </c>
      <c r="AI88" s="4">
        <v>0</v>
      </c>
      <c r="AJ88" s="4">
        <v>0</v>
      </c>
      <c r="AK88" s="4">
        <v>0</v>
      </c>
      <c r="AL88" s="4">
        <v>0</v>
      </c>
      <c r="AM88" s="4">
        <v>0</v>
      </c>
      <c r="AN88" s="4">
        <v>0</v>
      </c>
      <c r="AO88" s="4">
        <v>0</v>
      </c>
      <c r="AP88" s="4">
        <v>0</v>
      </c>
      <c r="AQ88" s="4">
        <v>1</v>
      </c>
      <c r="AR88" s="4"/>
      <c r="AS88" s="4"/>
      <c r="AT88" s="4"/>
      <c r="AU88" s="4"/>
      <c r="AV88" s="4"/>
      <c r="AW88" s="4"/>
      <c r="AX88" s="4"/>
      <c r="AY88" s="3"/>
      <c r="BB88" s="3"/>
      <c r="BC88" s="3">
        <v>0</v>
      </c>
      <c r="BD88" s="3">
        <f t="shared" si="109"/>
        <v>0</v>
      </c>
      <c r="BE88" s="3">
        <v>0</v>
      </c>
      <c r="BF88" s="3">
        <f t="shared" si="110"/>
        <v>0</v>
      </c>
      <c r="BG88" s="3">
        <v>0</v>
      </c>
      <c r="BH88" s="3"/>
      <c r="BI88" s="3"/>
      <c r="BJ88" s="4">
        <v>0</v>
      </c>
      <c r="BK88" s="3">
        <f t="shared" si="111"/>
        <v>0</v>
      </c>
      <c r="BL88" s="3">
        <f t="shared" si="112"/>
        <v>0</v>
      </c>
      <c r="BM88" s="177">
        <f t="shared" si="113"/>
        <v>0</v>
      </c>
      <c r="BN88" s="3"/>
      <c r="BR88" s="3"/>
      <c r="BS88" s="3"/>
      <c r="BT88" s="3"/>
      <c r="BU88" s="3"/>
      <c r="BV88" s="3"/>
      <c r="BW88" s="3"/>
      <c r="BX88" s="3"/>
      <c r="BY88" s="3"/>
      <c r="BZ88" s="3"/>
      <c r="CA88" s="3"/>
      <c r="CB88" s="3"/>
      <c r="CC88" s="4"/>
      <c r="CD88" s="3"/>
      <c r="CE88" s="3"/>
      <c r="CF88" s="3"/>
      <c r="CG88" s="3"/>
      <c r="CH88" s="3"/>
      <c r="CI88" s="3"/>
      <c r="CJ88" s="3"/>
      <c r="CK88" s="3"/>
      <c r="CL88" s="3"/>
      <c r="CM88" s="3"/>
      <c r="CN88" s="3"/>
      <c r="CO88" s="3"/>
      <c r="CP88" s="3"/>
      <c r="CQ88" s="3"/>
      <c r="CR88" s="3"/>
      <c r="CS88" s="3"/>
      <c r="CT88" s="3"/>
      <c r="CU88" s="3"/>
      <c r="CV88" s="3"/>
      <c r="CW88" s="3"/>
      <c r="CX88" s="3"/>
      <c r="CY88" s="3"/>
      <c r="CZ88" s="3"/>
      <c r="DA88" s="3"/>
    </row>
    <row r="89" spans="1:105">
      <c r="A89" s="2" t="s">
        <v>47</v>
      </c>
      <c r="B89" s="3">
        <f>'Monthly D4 Gallon Data'!$C6</f>
        <v>0</v>
      </c>
      <c r="C89" s="3">
        <f>'Monthly D4 Gallon Data'!$C18</f>
        <v>0</v>
      </c>
      <c r="D89" s="3">
        <f>'Monthly D4 Gallon Data'!$C30</f>
        <v>4864398</v>
      </c>
      <c r="E89" s="3">
        <f>'Monthly D4 Gallon Data'!$C42</f>
        <v>0</v>
      </c>
      <c r="F89" s="3">
        <f>'Monthly D4 Gallon Data'!$C54</f>
        <v>0</v>
      </c>
      <c r="G89" s="3">
        <f>'Monthly D4 Gallon Data'!$C66</f>
        <v>0</v>
      </c>
      <c r="H89" s="3">
        <f>'Monthly D4 Gallon Data'!$C78</f>
        <v>0</v>
      </c>
      <c r="I89" s="3">
        <f>'Monthly D4 Gallon Data'!$C90</f>
        <v>0</v>
      </c>
      <c r="J89" s="3">
        <f>'Monthly D4 Gallon Data'!$C102</f>
        <v>0</v>
      </c>
      <c r="K89" s="3">
        <f>'Monthly D4 Gallon Data'!$C114</f>
        <v>0</v>
      </c>
      <c r="L89" s="3">
        <f>'Monthly D4 Gallon Data'!$C126</f>
        <v>0</v>
      </c>
      <c r="M89" s="3">
        <f>'Monthly D4 Gallon Data'!$C138</f>
        <v>0</v>
      </c>
      <c r="N89" s="3">
        <f>'Monthly D4 Gallon Data'!$C150</f>
        <v>0</v>
      </c>
      <c r="O89" s="3">
        <f>'Monthly D4 Gallon Data'!$C162</f>
        <v>0</v>
      </c>
      <c r="P89" s="3">
        <f>'Monthly D4 Gallon Data'!$C174</f>
        <v>0</v>
      </c>
      <c r="Q89" s="4">
        <v>0</v>
      </c>
      <c r="R89" s="4">
        <v>0</v>
      </c>
      <c r="S89" s="4">
        <v>0</v>
      </c>
      <c r="T89" s="4">
        <v>0</v>
      </c>
      <c r="U89" s="4">
        <v>0</v>
      </c>
      <c r="V89" s="4">
        <v>0</v>
      </c>
      <c r="W89" s="4">
        <v>0</v>
      </c>
      <c r="X89" s="4">
        <v>0</v>
      </c>
      <c r="Y89" s="4">
        <v>0</v>
      </c>
      <c r="Z89" s="4">
        <v>0</v>
      </c>
      <c r="AA89" s="4">
        <v>0</v>
      </c>
      <c r="AB89" s="4">
        <v>0</v>
      </c>
      <c r="AC89" s="4">
        <v>0</v>
      </c>
      <c r="AD89" s="4">
        <v>0</v>
      </c>
      <c r="AE89" s="4">
        <v>0</v>
      </c>
      <c r="AF89" s="4">
        <v>0</v>
      </c>
      <c r="AG89" s="4">
        <v>0</v>
      </c>
      <c r="AH89" s="4">
        <v>0</v>
      </c>
      <c r="AI89" s="4">
        <v>0</v>
      </c>
      <c r="AJ89" s="4">
        <v>0</v>
      </c>
      <c r="AK89" s="4">
        <v>0</v>
      </c>
      <c r="AL89" s="4">
        <v>0</v>
      </c>
      <c r="AM89" s="4">
        <v>0</v>
      </c>
      <c r="AN89" s="4">
        <v>0</v>
      </c>
      <c r="AO89" s="4">
        <v>0</v>
      </c>
      <c r="AP89" s="4">
        <v>0</v>
      </c>
      <c r="AQ89" s="4">
        <v>1</v>
      </c>
      <c r="AR89" s="4"/>
      <c r="AS89" s="4"/>
      <c r="AT89" s="4"/>
      <c r="AU89" s="4"/>
      <c r="AV89" s="4"/>
      <c r="AW89" s="4"/>
      <c r="AX89" s="4"/>
      <c r="AY89" s="3"/>
      <c r="BA89" s="3">
        <v>0</v>
      </c>
      <c r="BB89" s="3">
        <f t="shared" ref="BB89:BB97" si="114">K89-BA89</f>
        <v>0</v>
      </c>
      <c r="BC89" s="3">
        <v>0</v>
      </c>
      <c r="BD89" s="3">
        <f t="shared" si="109"/>
        <v>0</v>
      </c>
      <c r="BE89" s="3">
        <v>0</v>
      </c>
      <c r="BF89" s="3">
        <f t="shared" si="110"/>
        <v>0</v>
      </c>
      <c r="BG89" s="3">
        <v>0</v>
      </c>
      <c r="BH89" s="3"/>
      <c r="BI89" s="3"/>
      <c r="BJ89" s="4">
        <v>0</v>
      </c>
      <c r="BK89" s="3">
        <f t="shared" si="111"/>
        <v>0</v>
      </c>
      <c r="BL89" s="3">
        <f t="shared" si="112"/>
        <v>0</v>
      </c>
      <c r="BM89" s="177">
        <f t="shared" si="113"/>
        <v>0</v>
      </c>
      <c r="BN89" s="3"/>
      <c r="BR89" s="3"/>
      <c r="BS89" s="3"/>
      <c r="BT89" s="3"/>
      <c r="BU89" s="3"/>
      <c r="BV89" s="3"/>
      <c r="BW89" s="3"/>
      <c r="BX89" s="3"/>
      <c r="BY89" s="3"/>
      <c r="BZ89" s="3"/>
      <c r="CA89" s="3"/>
      <c r="CB89" s="3"/>
      <c r="CC89" s="4"/>
      <c r="CD89" s="3"/>
      <c r="CE89" s="3"/>
      <c r="CF89" s="3"/>
      <c r="CG89" s="3"/>
      <c r="CH89" s="3"/>
      <c r="CI89" s="3"/>
      <c r="CJ89" s="3"/>
      <c r="CK89" s="3"/>
      <c r="CL89" s="3"/>
      <c r="CM89" s="3"/>
      <c r="CN89" s="3"/>
      <c r="CO89" s="3"/>
      <c r="CP89" s="3"/>
      <c r="CQ89" s="3"/>
      <c r="CR89" s="3"/>
      <c r="CS89" s="3"/>
      <c r="CT89" s="3"/>
      <c r="CU89" s="3"/>
      <c r="CV89" s="3"/>
      <c r="CW89" s="3"/>
      <c r="CX89" s="3"/>
      <c r="CY89" s="3"/>
      <c r="CZ89" s="3"/>
      <c r="DA89" s="3"/>
    </row>
    <row r="90" spans="1:105">
      <c r="A90" s="2" t="s">
        <v>48</v>
      </c>
      <c r="B90" s="3">
        <f>'Monthly D4 Gallon Data'!$C7</f>
        <v>0</v>
      </c>
      <c r="C90" s="3">
        <f>'Monthly D4 Gallon Data'!$C19</f>
        <v>0</v>
      </c>
      <c r="D90" s="3">
        <f>'Monthly D4 Gallon Data'!$C31</f>
        <v>0</v>
      </c>
      <c r="E90" s="3">
        <f>'Monthly D4 Gallon Data'!$C43</f>
        <v>0</v>
      </c>
      <c r="F90" s="3">
        <f>'Monthly D4 Gallon Data'!$C55</f>
        <v>0</v>
      </c>
      <c r="G90" s="3">
        <f>'Monthly D4 Gallon Data'!$C67</f>
        <v>0</v>
      </c>
      <c r="H90" s="3">
        <f>'Monthly D4 Gallon Data'!$C79</f>
        <v>0</v>
      </c>
      <c r="I90" s="3">
        <f>'Monthly D4 Gallon Data'!$C91</f>
        <v>0</v>
      </c>
      <c r="J90" s="3">
        <f>'Monthly D4 Gallon Data'!$C103</f>
        <v>0</v>
      </c>
      <c r="K90" s="3">
        <f>'Monthly D4 Gallon Data'!$C115</f>
        <v>0</v>
      </c>
      <c r="L90" s="3">
        <f>'Monthly D4 Gallon Data'!$C127</f>
        <v>0</v>
      </c>
      <c r="M90" s="3">
        <f>'Monthly D4 Gallon Data'!$C139</f>
        <v>0</v>
      </c>
      <c r="N90" s="3">
        <f>'Monthly D4 Gallon Data'!$C151</f>
        <v>0</v>
      </c>
      <c r="O90" s="3">
        <f>'Monthly D4 Gallon Data'!$C163</f>
        <v>0</v>
      </c>
      <c r="P90" s="3">
        <f>'Monthly D4 Gallon Data'!$C175</f>
        <v>0</v>
      </c>
      <c r="Q90" s="4">
        <v>0</v>
      </c>
      <c r="R90" s="4">
        <v>0</v>
      </c>
      <c r="S90" s="4">
        <v>0</v>
      </c>
      <c r="T90" s="4">
        <v>0</v>
      </c>
      <c r="U90" s="4">
        <v>0</v>
      </c>
      <c r="V90" s="4">
        <v>0</v>
      </c>
      <c r="W90" s="4">
        <v>0</v>
      </c>
      <c r="X90" s="4">
        <v>0</v>
      </c>
      <c r="Y90" s="4">
        <v>0</v>
      </c>
      <c r="Z90" s="4">
        <v>0</v>
      </c>
      <c r="AA90" s="4">
        <v>0</v>
      </c>
      <c r="AB90" s="4">
        <v>0</v>
      </c>
      <c r="AC90" s="4">
        <v>0</v>
      </c>
      <c r="AD90" s="4">
        <v>0</v>
      </c>
      <c r="AE90" s="4">
        <v>0</v>
      </c>
      <c r="AF90" s="4">
        <v>0</v>
      </c>
      <c r="AG90" s="4">
        <v>0</v>
      </c>
      <c r="AH90" s="4">
        <v>0</v>
      </c>
      <c r="AI90" s="4">
        <v>0</v>
      </c>
      <c r="AJ90" s="4">
        <v>0</v>
      </c>
      <c r="AK90" s="4">
        <v>0</v>
      </c>
      <c r="AL90" s="4">
        <v>0</v>
      </c>
      <c r="AM90" s="4">
        <v>0</v>
      </c>
      <c r="AN90" s="4">
        <v>0</v>
      </c>
      <c r="AO90" s="4">
        <v>0</v>
      </c>
      <c r="AP90" s="4">
        <v>0</v>
      </c>
      <c r="AQ90" s="4">
        <v>1</v>
      </c>
      <c r="AR90" s="4"/>
      <c r="AS90" s="4"/>
      <c r="AT90" s="4"/>
      <c r="AU90" s="4"/>
      <c r="AV90" s="4"/>
      <c r="AW90" s="4"/>
      <c r="AX90" s="4"/>
      <c r="AY90" s="3"/>
      <c r="BA90" s="3">
        <v>0</v>
      </c>
      <c r="BB90" s="3">
        <f t="shared" si="114"/>
        <v>0</v>
      </c>
      <c r="BC90" s="3">
        <v>0</v>
      </c>
      <c r="BD90" s="3">
        <f t="shared" si="109"/>
        <v>0</v>
      </c>
      <c r="BE90" s="3">
        <v>0</v>
      </c>
      <c r="BF90" s="3">
        <f t="shared" si="110"/>
        <v>0</v>
      </c>
      <c r="BG90" s="3">
        <v>0</v>
      </c>
      <c r="BH90" s="3"/>
      <c r="BI90" s="3"/>
      <c r="BJ90" s="4">
        <v>0</v>
      </c>
      <c r="BK90" s="3">
        <f t="shared" si="111"/>
        <v>0</v>
      </c>
      <c r="BL90" s="3">
        <f t="shared" si="112"/>
        <v>0</v>
      </c>
      <c r="BM90" s="177">
        <f t="shared" si="113"/>
        <v>0</v>
      </c>
      <c r="BN90" s="3"/>
      <c r="BR90" s="3"/>
      <c r="BS90" s="3"/>
      <c r="BT90" s="3"/>
      <c r="BU90" s="3"/>
      <c r="BV90" s="3"/>
      <c r="BW90" s="3"/>
      <c r="BX90" s="3"/>
      <c r="BY90" s="3"/>
      <c r="BZ90" s="3"/>
      <c r="CA90" s="3"/>
      <c r="CB90" s="3"/>
      <c r="CC90" s="4"/>
      <c r="CD90" s="3"/>
      <c r="CE90" s="3"/>
      <c r="CF90" s="3"/>
      <c r="CG90" s="3"/>
      <c r="CH90" s="3"/>
      <c r="CI90" s="3"/>
      <c r="CJ90" s="3"/>
      <c r="CK90" s="3"/>
      <c r="CL90" s="3"/>
      <c r="CM90" s="3"/>
      <c r="CN90" s="3"/>
      <c r="CO90" s="3"/>
      <c r="CP90" s="3"/>
      <c r="CQ90" s="3"/>
      <c r="CR90" s="3"/>
      <c r="CS90" s="3"/>
      <c r="CT90" s="3"/>
      <c r="CU90" s="3"/>
      <c r="CV90" s="3"/>
      <c r="CW90" s="3"/>
      <c r="CX90" s="3"/>
      <c r="CY90" s="3"/>
      <c r="CZ90" s="3"/>
      <c r="DA90" s="3"/>
    </row>
    <row r="91" spans="1:105">
      <c r="A91" s="2" t="s">
        <v>49</v>
      </c>
      <c r="B91" s="3">
        <f>'Monthly D4 Gallon Data'!$C8</f>
        <v>0</v>
      </c>
      <c r="C91" s="3">
        <f>'Monthly D4 Gallon Data'!$C20</f>
        <v>0</v>
      </c>
      <c r="D91" s="3">
        <f>'Monthly D4 Gallon Data'!$C32</f>
        <v>0</v>
      </c>
      <c r="E91" s="3">
        <f>'Monthly D4 Gallon Data'!$C44</f>
        <v>0</v>
      </c>
      <c r="F91" s="3">
        <f>'Monthly D4 Gallon Data'!$C56</f>
        <v>0</v>
      </c>
      <c r="G91" s="3">
        <f>'Monthly D4 Gallon Data'!$C68</f>
        <v>0</v>
      </c>
      <c r="H91" s="3">
        <f>'Monthly D4 Gallon Data'!$C80</f>
        <v>0</v>
      </c>
      <c r="I91" s="3">
        <f>'Monthly D4 Gallon Data'!$C92</f>
        <v>0</v>
      </c>
      <c r="J91" s="3">
        <f>'Monthly D4 Gallon Data'!$C104</f>
        <v>0</v>
      </c>
      <c r="K91" s="3">
        <f>'Monthly D4 Gallon Data'!$C116</f>
        <v>0</v>
      </c>
      <c r="L91" s="3">
        <f>'Monthly D4 Gallon Data'!$C128</f>
        <v>0</v>
      </c>
      <c r="M91" s="3">
        <f>'Monthly D4 Gallon Data'!$C140</f>
        <v>0</v>
      </c>
      <c r="N91" s="3">
        <f>'Monthly D4 Gallon Data'!$C152</f>
        <v>0</v>
      </c>
      <c r="O91" s="3">
        <f>'Monthly D4 Gallon Data'!$C164</f>
        <v>0</v>
      </c>
      <c r="P91" s="3">
        <f>'Monthly D4 Gallon Data'!$C176</f>
        <v>0</v>
      </c>
      <c r="Q91" s="4">
        <v>0</v>
      </c>
      <c r="R91" s="4">
        <v>0</v>
      </c>
      <c r="S91" s="4">
        <v>0</v>
      </c>
      <c r="T91" s="4">
        <v>0</v>
      </c>
      <c r="U91" s="4">
        <v>0</v>
      </c>
      <c r="V91" s="4">
        <v>0</v>
      </c>
      <c r="W91" s="4">
        <v>0</v>
      </c>
      <c r="X91" s="4">
        <v>0</v>
      </c>
      <c r="Y91" s="4">
        <v>0</v>
      </c>
      <c r="Z91" s="4">
        <v>0</v>
      </c>
      <c r="AA91" s="4">
        <v>0</v>
      </c>
      <c r="AB91" s="4">
        <v>0</v>
      </c>
      <c r="AC91" s="4">
        <v>0</v>
      </c>
      <c r="AD91" s="4">
        <v>0</v>
      </c>
      <c r="AE91" s="4">
        <v>0</v>
      </c>
      <c r="AF91" s="4">
        <v>0</v>
      </c>
      <c r="AG91" s="4">
        <v>0</v>
      </c>
      <c r="AH91" s="4">
        <v>0</v>
      </c>
      <c r="AI91" s="4">
        <v>0</v>
      </c>
      <c r="AJ91" s="4">
        <v>0</v>
      </c>
      <c r="AK91" s="4">
        <v>0</v>
      </c>
      <c r="AL91" s="4">
        <v>0</v>
      </c>
      <c r="AM91" s="4">
        <v>0</v>
      </c>
      <c r="AN91" s="4">
        <v>0</v>
      </c>
      <c r="AO91" s="4">
        <v>0</v>
      </c>
      <c r="AP91" s="4">
        <v>0</v>
      </c>
      <c r="AQ91" s="4">
        <v>1</v>
      </c>
      <c r="AR91" s="4"/>
      <c r="AS91" s="4"/>
      <c r="AT91" s="4"/>
      <c r="AU91" s="4"/>
      <c r="AV91" s="4"/>
      <c r="AW91" s="4"/>
      <c r="AX91" s="4"/>
      <c r="AY91" s="3"/>
      <c r="BA91" s="3">
        <v>0</v>
      </c>
      <c r="BB91" s="3">
        <f t="shared" si="114"/>
        <v>0</v>
      </c>
      <c r="BC91" s="3">
        <v>0</v>
      </c>
      <c r="BD91" s="3">
        <f t="shared" si="109"/>
        <v>0</v>
      </c>
      <c r="BE91" s="3">
        <v>0</v>
      </c>
      <c r="BF91" s="3">
        <f t="shared" si="110"/>
        <v>0</v>
      </c>
      <c r="BG91" s="3">
        <v>0</v>
      </c>
      <c r="BH91" s="3"/>
      <c r="BI91" s="3"/>
      <c r="BJ91" s="4">
        <v>0</v>
      </c>
      <c r="BK91" s="3">
        <f t="shared" si="111"/>
        <v>0</v>
      </c>
      <c r="BL91" s="3">
        <f t="shared" si="112"/>
        <v>0</v>
      </c>
      <c r="BM91" s="177">
        <f t="shared" si="113"/>
        <v>0</v>
      </c>
      <c r="BN91" s="3"/>
      <c r="BR91" s="3"/>
      <c r="BS91" s="3"/>
      <c r="BT91" s="3"/>
      <c r="BU91" s="3"/>
      <c r="BV91" s="3"/>
      <c r="BW91" s="3"/>
      <c r="BX91" s="3"/>
      <c r="BY91" s="3"/>
      <c r="BZ91" s="3"/>
      <c r="CA91" s="3"/>
      <c r="CB91" s="3"/>
      <c r="CC91" s="4"/>
      <c r="CD91" s="3"/>
      <c r="CE91" s="3"/>
      <c r="CF91" s="3"/>
      <c r="CG91" s="3"/>
      <c r="CH91" s="3"/>
      <c r="CI91" s="3"/>
      <c r="CJ91" s="3"/>
      <c r="CK91" s="3"/>
      <c r="CL91" s="3"/>
      <c r="CM91" s="3"/>
      <c r="CN91" s="3"/>
      <c r="CO91" s="3"/>
      <c r="CP91" s="3"/>
      <c r="CQ91" s="3"/>
      <c r="CR91" s="3"/>
      <c r="CS91" s="3"/>
      <c r="CT91" s="3"/>
      <c r="CU91" s="3"/>
      <c r="CV91" s="3"/>
      <c r="CW91" s="3"/>
      <c r="CX91" s="3"/>
      <c r="CY91" s="3"/>
      <c r="CZ91" s="3"/>
      <c r="DA91" s="3"/>
    </row>
    <row r="92" spans="1:105">
      <c r="A92" s="2" t="s">
        <v>50</v>
      </c>
      <c r="B92" s="3">
        <f>'Monthly D4 Gallon Data'!$C9</f>
        <v>0</v>
      </c>
      <c r="C92" s="3">
        <f>'Monthly D4 Gallon Data'!$C21</f>
        <v>0</v>
      </c>
      <c r="D92" s="3">
        <f>'Monthly D4 Gallon Data'!$C33</f>
        <v>0</v>
      </c>
      <c r="E92" s="3">
        <f>'Monthly D4 Gallon Data'!$C45</f>
        <v>1511102</v>
      </c>
      <c r="F92" s="3">
        <f>'Monthly D4 Gallon Data'!$C57</f>
        <v>0</v>
      </c>
      <c r="G92" s="3">
        <f>'Monthly D4 Gallon Data'!$C69</f>
        <v>0</v>
      </c>
      <c r="H92" s="3">
        <f>'Monthly D4 Gallon Data'!$C81</f>
        <v>0</v>
      </c>
      <c r="I92" s="3">
        <f>'Monthly D4 Gallon Data'!$C93</f>
        <v>0</v>
      </c>
      <c r="J92" s="3">
        <f>'Monthly D4 Gallon Data'!$C105</f>
        <v>0</v>
      </c>
      <c r="K92" s="3">
        <f>'Monthly D4 Gallon Data'!$C117</f>
        <v>0</v>
      </c>
      <c r="L92" s="3">
        <f>'Monthly D4 Gallon Data'!$C129</f>
        <v>0</v>
      </c>
      <c r="M92" s="3">
        <f>'Monthly D4 Gallon Data'!$C141</f>
        <v>0</v>
      </c>
      <c r="N92" s="3">
        <f>'Monthly D4 Gallon Data'!$C153</f>
        <v>0</v>
      </c>
      <c r="O92" s="3">
        <f>'Monthly D4 Gallon Data'!$C165</f>
        <v>0</v>
      </c>
      <c r="P92" s="3">
        <f>'Monthly D4 Gallon Data'!$C177</f>
        <v>0</v>
      </c>
      <c r="Q92" s="4">
        <v>0</v>
      </c>
      <c r="R92" s="4">
        <v>0</v>
      </c>
      <c r="S92" s="4">
        <v>0</v>
      </c>
      <c r="T92" s="4">
        <v>0</v>
      </c>
      <c r="U92" s="4">
        <v>0</v>
      </c>
      <c r="V92" s="4">
        <v>0</v>
      </c>
      <c r="W92" s="4">
        <v>0</v>
      </c>
      <c r="X92" s="4">
        <v>0</v>
      </c>
      <c r="Y92" s="4">
        <v>0</v>
      </c>
      <c r="Z92" s="4">
        <v>0</v>
      </c>
      <c r="AA92" s="4">
        <v>0</v>
      </c>
      <c r="AB92" s="4">
        <v>0</v>
      </c>
      <c r="AC92" s="4">
        <v>0</v>
      </c>
      <c r="AD92" s="4">
        <v>0</v>
      </c>
      <c r="AE92" s="4">
        <v>0</v>
      </c>
      <c r="AF92" s="4">
        <v>0</v>
      </c>
      <c r="AG92" s="4">
        <v>0</v>
      </c>
      <c r="AH92" s="4">
        <v>0</v>
      </c>
      <c r="AI92" s="4">
        <v>0</v>
      </c>
      <c r="AJ92" s="4">
        <v>0</v>
      </c>
      <c r="AK92" s="4">
        <v>0</v>
      </c>
      <c r="AL92" s="4">
        <v>0</v>
      </c>
      <c r="AM92" s="4">
        <v>0</v>
      </c>
      <c r="AN92" s="4">
        <v>0</v>
      </c>
      <c r="AO92" s="4">
        <v>0</v>
      </c>
      <c r="AP92" s="4">
        <v>0</v>
      </c>
      <c r="AQ92" s="4">
        <v>1</v>
      </c>
      <c r="AR92" s="4"/>
      <c r="AS92" s="4"/>
      <c r="AT92" s="4"/>
      <c r="AU92" s="4"/>
      <c r="AV92" s="4"/>
      <c r="AW92" s="4"/>
      <c r="AX92" s="4"/>
      <c r="AY92" s="3"/>
      <c r="BA92" s="3">
        <v>0</v>
      </c>
      <c r="BB92" s="3">
        <f t="shared" si="114"/>
        <v>0</v>
      </c>
      <c r="BC92" s="3">
        <v>0</v>
      </c>
      <c r="BD92" s="3">
        <f t="shared" si="109"/>
        <v>0</v>
      </c>
      <c r="BE92" s="3">
        <v>0</v>
      </c>
      <c r="BF92" s="3">
        <f t="shared" si="110"/>
        <v>0</v>
      </c>
      <c r="BG92" s="3">
        <v>0</v>
      </c>
      <c r="BH92" s="3"/>
      <c r="BI92" s="3"/>
      <c r="BJ92" s="4">
        <v>0</v>
      </c>
      <c r="BK92" s="3">
        <f t="shared" si="111"/>
        <v>0</v>
      </c>
      <c r="BL92" s="3">
        <f t="shared" si="112"/>
        <v>0</v>
      </c>
      <c r="BM92" s="177">
        <f t="shared" si="113"/>
        <v>0</v>
      </c>
      <c r="BN92" s="3"/>
      <c r="BR92" s="3"/>
      <c r="BS92" s="3"/>
      <c r="BT92" s="3"/>
      <c r="BU92" s="3"/>
      <c r="BV92" s="3"/>
      <c r="BW92" s="3"/>
      <c r="BX92" s="3"/>
      <c r="BY92" s="3"/>
      <c r="BZ92" s="3"/>
      <c r="CA92" s="3"/>
      <c r="CB92" s="3"/>
      <c r="CC92" s="4"/>
      <c r="CD92" s="3"/>
      <c r="CE92" s="3"/>
      <c r="CF92" s="3"/>
      <c r="CG92" s="3"/>
      <c r="CH92" s="3"/>
      <c r="CI92" s="3"/>
      <c r="CJ92" s="3"/>
      <c r="CK92" s="3"/>
      <c r="CL92" s="3"/>
      <c r="CM92" s="3"/>
      <c r="CN92" s="3"/>
      <c r="CO92" s="3"/>
      <c r="CP92" s="3"/>
      <c r="CQ92" s="3"/>
      <c r="CR92" s="3"/>
      <c r="CS92" s="3"/>
      <c r="CT92" s="3"/>
      <c r="CU92" s="3"/>
      <c r="CV92" s="3"/>
      <c r="CW92" s="3"/>
      <c r="CX92" s="3"/>
    </row>
    <row r="93" spans="1:105">
      <c r="A93" s="2" t="s">
        <v>51</v>
      </c>
      <c r="B93" s="3">
        <f>'Monthly D4 Gallon Data'!$C10</f>
        <v>0</v>
      </c>
      <c r="C93" s="3">
        <f>'Monthly D4 Gallon Data'!$C22</f>
        <v>0</v>
      </c>
      <c r="D93" s="3">
        <f>'Monthly D4 Gallon Data'!$C34</f>
        <v>0</v>
      </c>
      <c r="E93" s="3">
        <f>'Monthly D4 Gallon Data'!$C46</f>
        <v>0</v>
      </c>
      <c r="F93" s="3">
        <f>'Monthly D4 Gallon Data'!$C58</f>
        <v>0</v>
      </c>
      <c r="G93" s="3">
        <f>'Monthly D4 Gallon Data'!$C70</f>
        <v>0</v>
      </c>
      <c r="H93" s="3">
        <f>'Monthly D4 Gallon Data'!$C82</f>
        <v>0</v>
      </c>
      <c r="I93" s="3">
        <f>'Monthly D4 Gallon Data'!$C94</f>
        <v>0</v>
      </c>
      <c r="J93" s="3">
        <f>'Monthly D4 Gallon Data'!$C106</f>
        <v>0</v>
      </c>
      <c r="K93" s="3">
        <f>'Monthly D4 Gallon Data'!$C118</f>
        <v>0</v>
      </c>
      <c r="L93" s="3">
        <f>'Monthly D4 Gallon Data'!$C130</f>
        <v>0</v>
      </c>
      <c r="M93" s="3">
        <f>'Monthly D4 Gallon Data'!$C142</f>
        <v>0</v>
      </c>
      <c r="N93" s="3">
        <f>'Monthly D4 Gallon Data'!$C154</f>
        <v>0</v>
      </c>
      <c r="O93" s="3">
        <f>'Monthly D4 Gallon Data'!$C166</f>
        <v>0</v>
      </c>
      <c r="P93" s="3">
        <f>'Monthly D4 Gallon Data'!$C178</f>
        <v>0</v>
      </c>
      <c r="Q93" s="4">
        <v>0</v>
      </c>
      <c r="R93" s="4">
        <v>0</v>
      </c>
      <c r="S93" s="4">
        <v>0</v>
      </c>
      <c r="T93" s="4">
        <v>0</v>
      </c>
      <c r="U93" s="4">
        <v>0</v>
      </c>
      <c r="V93" s="4">
        <v>0</v>
      </c>
      <c r="W93" s="4">
        <v>0</v>
      </c>
      <c r="X93" s="4">
        <v>0</v>
      </c>
      <c r="Y93" s="4">
        <v>0</v>
      </c>
      <c r="Z93" s="4">
        <v>0</v>
      </c>
      <c r="AA93" s="4">
        <v>0</v>
      </c>
      <c r="AB93" s="4">
        <v>0</v>
      </c>
      <c r="AC93" s="4">
        <v>0</v>
      </c>
      <c r="AD93" s="4">
        <v>0</v>
      </c>
      <c r="AE93" s="4">
        <v>0</v>
      </c>
      <c r="AF93" s="4">
        <v>0</v>
      </c>
      <c r="AG93" s="4">
        <v>0</v>
      </c>
      <c r="AH93" s="4">
        <v>0</v>
      </c>
      <c r="AI93" s="4">
        <v>0</v>
      </c>
      <c r="AJ93" s="4">
        <v>0</v>
      </c>
      <c r="AK93" s="4">
        <v>0</v>
      </c>
      <c r="AL93" s="4">
        <v>0</v>
      </c>
      <c r="AM93" s="4">
        <v>0</v>
      </c>
      <c r="AN93" s="4">
        <v>0</v>
      </c>
      <c r="AO93" s="4">
        <v>0</v>
      </c>
      <c r="AP93" s="4">
        <v>0</v>
      </c>
      <c r="AQ93" s="4">
        <v>1</v>
      </c>
      <c r="AR93" s="4"/>
      <c r="AS93" s="4"/>
      <c r="AT93" s="4"/>
      <c r="AU93" s="4"/>
      <c r="AV93" s="4"/>
      <c r="AW93" s="4"/>
      <c r="AX93" s="4"/>
      <c r="AY93" s="3"/>
      <c r="BA93" s="3">
        <v>0</v>
      </c>
      <c r="BB93" s="3">
        <f t="shared" si="114"/>
        <v>0</v>
      </c>
      <c r="BC93" s="3">
        <v>0</v>
      </c>
      <c r="BD93" s="3">
        <f t="shared" si="109"/>
        <v>0</v>
      </c>
      <c r="BE93" s="3">
        <v>0</v>
      </c>
      <c r="BF93" s="3">
        <f t="shared" si="110"/>
        <v>0</v>
      </c>
      <c r="BG93" s="3">
        <v>0</v>
      </c>
      <c r="BH93" s="3"/>
      <c r="BI93" s="3"/>
      <c r="BJ93" s="4">
        <v>0</v>
      </c>
      <c r="BK93" s="3">
        <f t="shared" si="111"/>
        <v>0</v>
      </c>
      <c r="BL93" s="3">
        <f t="shared" si="112"/>
        <v>0</v>
      </c>
      <c r="BM93" s="177">
        <f t="shared" si="113"/>
        <v>0</v>
      </c>
      <c r="BN93" s="3"/>
      <c r="BR93" s="3"/>
      <c r="BS93" s="3"/>
      <c r="BT93" s="3"/>
      <c r="BU93" s="3"/>
      <c r="BV93" s="3"/>
      <c r="BW93" s="3"/>
      <c r="BX93" s="3"/>
      <c r="BY93" s="3"/>
      <c r="BZ93" s="3"/>
      <c r="CA93" s="3"/>
      <c r="CB93" s="3"/>
      <c r="CC93" s="4"/>
      <c r="CD93" s="3"/>
      <c r="CE93" s="3"/>
      <c r="CF93" s="3"/>
      <c r="CG93" s="3"/>
      <c r="CH93" s="3"/>
      <c r="CI93" s="3"/>
      <c r="CJ93" s="3"/>
      <c r="CK93" s="3"/>
      <c r="CL93" s="3"/>
      <c r="CM93" s="3"/>
      <c r="CN93" s="3"/>
      <c r="CO93" s="3"/>
      <c r="CP93" s="3"/>
      <c r="CQ93" s="3"/>
      <c r="CR93" s="3"/>
      <c r="CS93" s="3"/>
      <c r="CT93" s="3"/>
      <c r="CU93" s="3"/>
      <c r="CV93" s="3"/>
      <c r="CW93" s="3"/>
      <c r="CX93" s="3"/>
    </row>
    <row r="94" spans="1:105">
      <c r="A94" s="2" t="s">
        <v>52</v>
      </c>
      <c r="B94" s="3">
        <f>'Monthly D4 Gallon Data'!$C11</f>
        <v>0</v>
      </c>
      <c r="C94" s="3">
        <f>'Monthly D4 Gallon Data'!$C23</f>
        <v>0</v>
      </c>
      <c r="D94" s="3">
        <f>'Monthly D4 Gallon Data'!$C35</f>
        <v>701526</v>
      </c>
      <c r="E94" s="3">
        <f>'Monthly D4 Gallon Data'!$C47</f>
        <v>0</v>
      </c>
      <c r="F94" s="3">
        <f>'Monthly D4 Gallon Data'!$C59</f>
        <v>0</v>
      </c>
      <c r="G94" s="3">
        <f>'Monthly D4 Gallon Data'!$C71</f>
        <v>0</v>
      </c>
      <c r="H94" s="3">
        <f>'Monthly D4 Gallon Data'!$C83</f>
        <v>0</v>
      </c>
      <c r="I94" s="3">
        <f>'Monthly D4 Gallon Data'!$C95</f>
        <v>0</v>
      </c>
      <c r="J94" s="3">
        <f>'Monthly D4 Gallon Data'!$C107</f>
        <v>0</v>
      </c>
      <c r="K94" s="3">
        <f>'Monthly D4 Gallon Data'!$C119</f>
        <v>0</v>
      </c>
      <c r="L94" s="3">
        <f>'Monthly D4 Gallon Data'!$C131</f>
        <v>0</v>
      </c>
      <c r="M94" s="3">
        <f>'Monthly D4 Gallon Data'!$C143</f>
        <v>0</v>
      </c>
      <c r="N94" s="3">
        <f>'Monthly D4 Gallon Data'!$C155</f>
        <v>0</v>
      </c>
      <c r="O94" s="3">
        <f>'Monthly D4 Gallon Data'!$C167</f>
        <v>0</v>
      </c>
      <c r="P94" s="3">
        <f>'Monthly D4 Gallon Data'!$C179</f>
        <v>0</v>
      </c>
      <c r="Q94" s="4">
        <v>0</v>
      </c>
      <c r="R94" s="4">
        <v>0</v>
      </c>
      <c r="S94" s="4">
        <v>0</v>
      </c>
      <c r="T94" s="4">
        <v>0</v>
      </c>
      <c r="U94" s="4">
        <v>0</v>
      </c>
      <c r="V94" s="4">
        <v>0</v>
      </c>
      <c r="W94" s="4">
        <v>0</v>
      </c>
      <c r="X94" s="4">
        <v>0</v>
      </c>
      <c r="Y94" s="4">
        <v>0</v>
      </c>
      <c r="Z94" s="4">
        <v>0</v>
      </c>
      <c r="AA94" s="4">
        <v>0</v>
      </c>
      <c r="AB94" s="4">
        <v>0</v>
      </c>
      <c r="AC94" s="4">
        <v>0</v>
      </c>
      <c r="AD94" s="4">
        <v>0</v>
      </c>
      <c r="AE94" s="4">
        <v>0</v>
      </c>
      <c r="AF94" s="4">
        <v>0</v>
      </c>
      <c r="AG94" s="4">
        <v>0</v>
      </c>
      <c r="AH94" s="4">
        <v>0</v>
      </c>
      <c r="AI94" s="4">
        <v>0</v>
      </c>
      <c r="AJ94" s="4">
        <v>0</v>
      </c>
      <c r="AK94" s="4">
        <v>0</v>
      </c>
      <c r="AL94" s="4">
        <v>0</v>
      </c>
      <c r="AM94" s="4">
        <v>0</v>
      </c>
      <c r="AN94" s="4">
        <v>0</v>
      </c>
      <c r="AO94" s="4">
        <v>0</v>
      </c>
      <c r="AP94" s="4">
        <v>0</v>
      </c>
      <c r="AQ94" s="4">
        <v>1</v>
      </c>
      <c r="AR94" s="4"/>
      <c r="AS94" s="4"/>
      <c r="AT94" s="4"/>
      <c r="AU94" s="4"/>
      <c r="AV94" s="4"/>
      <c r="AW94" s="4"/>
      <c r="AX94" s="4"/>
      <c r="AY94" s="3"/>
      <c r="BA94" s="3">
        <v>0</v>
      </c>
      <c r="BB94" s="3">
        <f t="shared" si="114"/>
        <v>0</v>
      </c>
      <c r="BC94" s="3">
        <v>0</v>
      </c>
      <c r="BD94" s="3">
        <f t="shared" si="109"/>
        <v>0</v>
      </c>
      <c r="BE94" s="3">
        <v>0</v>
      </c>
      <c r="BF94" s="3">
        <f t="shared" si="110"/>
        <v>0</v>
      </c>
      <c r="BG94" s="3">
        <v>0</v>
      </c>
      <c r="BH94" s="3"/>
      <c r="BI94" s="3"/>
      <c r="BJ94" s="4">
        <v>0</v>
      </c>
      <c r="BK94" s="3">
        <f t="shared" si="111"/>
        <v>0</v>
      </c>
      <c r="BL94" s="3">
        <f t="shared" si="112"/>
        <v>0</v>
      </c>
      <c r="BM94" s="177">
        <f t="shared" si="113"/>
        <v>0</v>
      </c>
      <c r="BN94" s="3"/>
      <c r="BR94" s="3"/>
      <c r="BS94" s="3"/>
      <c r="BT94" s="3"/>
      <c r="BU94" s="3"/>
      <c r="BV94" s="3"/>
      <c r="BW94" s="3"/>
      <c r="BX94" s="3"/>
      <c r="BY94" s="3"/>
      <c r="BZ94" s="3"/>
      <c r="CA94" s="3"/>
      <c r="CB94" s="3"/>
      <c r="CC94" s="4"/>
      <c r="CD94" s="3"/>
      <c r="CE94" s="3"/>
      <c r="CF94" s="3"/>
      <c r="CG94" s="3"/>
      <c r="CH94" s="3"/>
      <c r="CI94" s="3"/>
      <c r="CJ94" s="3"/>
      <c r="CK94" s="3"/>
      <c r="CL94" s="3"/>
      <c r="CM94" s="3"/>
      <c r="CN94" s="3"/>
      <c r="CO94" s="3"/>
      <c r="CP94" s="3"/>
      <c r="CQ94" s="3"/>
      <c r="CR94" s="3"/>
      <c r="CS94" s="3"/>
      <c r="CT94" s="3"/>
      <c r="CU94" s="3"/>
      <c r="CV94" s="3"/>
      <c r="CW94" s="3"/>
      <c r="CX94" s="3"/>
    </row>
    <row r="95" spans="1:105">
      <c r="A95" s="2" t="s">
        <v>53</v>
      </c>
      <c r="B95" s="3">
        <f>'Monthly D4 Gallon Data'!$C12</f>
        <v>0</v>
      </c>
      <c r="C95" s="3">
        <f>'Monthly D4 Gallon Data'!$C24</f>
        <v>0</v>
      </c>
      <c r="D95" s="3">
        <f>'Monthly D4 Gallon Data'!$C36</f>
        <v>0</v>
      </c>
      <c r="E95" s="3">
        <f>'Monthly D4 Gallon Data'!$C48</f>
        <v>1279661</v>
      </c>
      <c r="F95" s="3">
        <f>'Monthly D4 Gallon Data'!$C60</f>
        <v>0</v>
      </c>
      <c r="G95" s="3">
        <f>'Monthly D4 Gallon Data'!$C72</f>
        <v>0</v>
      </c>
      <c r="H95" s="3">
        <f>'Monthly D4 Gallon Data'!$C84</f>
        <v>0</v>
      </c>
      <c r="I95" s="3">
        <f>'Monthly D4 Gallon Data'!$C96</f>
        <v>0</v>
      </c>
      <c r="J95" s="3">
        <f>'Monthly D4 Gallon Data'!$C108</f>
        <v>0</v>
      </c>
      <c r="K95" s="3">
        <f>'Monthly D4 Gallon Data'!$C120</f>
        <v>0</v>
      </c>
      <c r="L95" s="3">
        <f>'Monthly D4 Gallon Data'!$C132</f>
        <v>0</v>
      </c>
      <c r="M95" s="3">
        <f>'Monthly D4 Gallon Data'!$C144</f>
        <v>0</v>
      </c>
      <c r="N95" s="3">
        <f>'Monthly D4 Gallon Data'!$C156</f>
        <v>0</v>
      </c>
      <c r="O95" s="3">
        <f>'Monthly D4 Gallon Data'!$C168</f>
        <v>0</v>
      </c>
      <c r="P95" s="3">
        <f>'Monthly D4 Gallon Data'!$C180</f>
        <v>0</v>
      </c>
      <c r="Q95" s="4">
        <v>0</v>
      </c>
      <c r="R95" s="4">
        <v>0</v>
      </c>
      <c r="S95" s="4">
        <v>0</v>
      </c>
      <c r="T95" s="4">
        <v>0</v>
      </c>
      <c r="U95" s="4">
        <v>0</v>
      </c>
      <c r="V95" s="4">
        <v>0</v>
      </c>
      <c r="W95" s="4">
        <v>0</v>
      </c>
      <c r="X95" s="4">
        <v>0</v>
      </c>
      <c r="Y95" s="4">
        <v>0</v>
      </c>
      <c r="Z95" s="4">
        <v>0</v>
      </c>
      <c r="AA95" s="4">
        <v>0</v>
      </c>
      <c r="AB95" s="4">
        <v>0</v>
      </c>
      <c r="AC95" s="4">
        <v>0</v>
      </c>
      <c r="AD95" s="4">
        <v>0</v>
      </c>
      <c r="AE95" s="4">
        <v>0</v>
      </c>
      <c r="AF95" s="4">
        <v>0</v>
      </c>
      <c r="AG95" s="4">
        <v>0</v>
      </c>
      <c r="AH95" s="4">
        <v>0</v>
      </c>
      <c r="AI95" s="4">
        <v>0</v>
      </c>
      <c r="AJ95" s="4">
        <v>0</v>
      </c>
      <c r="AK95" s="4">
        <v>0</v>
      </c>
      <c r="AL95" s="4">
        <v>0</v>
      </c>
      <c r="AM95" s="4">
        <v>0</v>
      </c>
      <c r="AN95" s="4">
        <v>0</v>
      </c>
      <c r="AO95" s="4">
        <v>0</v>
      </c>
      <c r="AP95" s="4">
        <v>0</v>
      </c>
      <c r="AQ95" s="4">
        <v>1</v>
      </c>
      <c r="AR95" s="4"/>
      <c r="AS95" s="4"/>
      <c r="AT95" s="4"/>
      <c r="AU95" s="4"/>
      <c r="AV95" s="4"/>
      <c r="AW95" s="4"/>
      <c r="AX95" s="4"/>
      <c r="AY95" s="3"/>
      <c r="BA95" s="3">
        <v>0</v>
      </c>
      <c r="BB95" s="3">
        <f t="shared" si="114"/>
        <v>0</v>
      </c>
      <c r="BC95" s="3">
        <v>0</v>
      </c>
      <c r="BD95" s="3">
        <f t="shared" si="109"/>
        <v>0</v>
      </c>
      <c r="BE95" s="3">
        <v>0</v>
      </c>
      <c r="BF95" s="3">
        <f t="shared" si="110"/>
        <v>0</v>
      </c>
      <c r="BG95" s="3">
        <v>0</v>
      </c>
      <c r="BH95" s="3"/>
      <c r="BI95" s="3"/>
      <c r="BJ95" s="4">
        <v>0</v>
      </c>
      <c r="BK95" s="3">
        <f t="shared" si="111"/>
        <v>0</v>
      </c>
      <c r="BL95" s="3">
        <f t="shared" si="112"/>
        <v>0</v>
      </c>
      <c r="BM95" s="177">
        <f t="shared" si="113"/>
        <v>0</v>
      </c>
      <c r="BN95" s="3"/>
      <c r="BR95" s="3"/>
      <c r="BS95" s="3"/>
      <c r="BT95" s="3"/>
      <c r="BU95" s="3"/>
      <c r="BV95" s="3"/>
      <c r="BW95" s="3"/>
      <c r="BX95" s="3"/>
      <c r="BY95" s="3"/>
      <c r="BZ95" s="3"/>
      <c r="CA95" s="3"/>
      <c r="CB95" s="3"/>
      <c r="CC95" s="4"/>
      <c r="CD95" s="3"/>
      <c r="CE95" s="3"/>
      <c r="CF95" s="3"/>
      <c r="CG95" s="3"/>
      <c r="CH95" s="3"/>
      <c r="CI95" s="3"/>
      <c r="CJ95" s="3"/>
      <c r="CK95" s="3"/>
      <c r="CL95" s="3"/>
      <c r="CM95" s="3"/>
      <c r="CN95" s="3"/>
      <c r="CO95" s="3"/>
      <c r="CP95" s="3"/>
      <c r="CQ95" s="3"/>
      <c r="CR95" s="3"/>
      <c r="CS95" s="3"/>
      <c r="CT95" s="3"/>
      <c r="CU95" s="3"/>
      <c r="CV95" s="3"/>
      <c r="CW95" s="3"/>
      <c r="CX95" s="3"/>
    </row>
    <row r="96" spans="1:105">
      <c r="A96" s="2" t="s">
        <v>54</v>
      </c>
      <c r="B96" s="3">
        <f>'Monthly D4 Gallon Data'!$C13</f>
        <v>0</v>
      </c>
      <c r="C96" s="3">
        <f>'Monthly D4 Gallon Data'!$C25</f>
        <v>0</v>
      </c>
      <c r="D96" s="3">
        <f>'Monthly D4 Gallon Data'!$C37</f>
        <v>0</v>
      </c>
      <c r="E96" s="3">
        <f>'Monthly D4 Gallon Data'!$C49</f>
        <v>0</v>
      </c>
      <c r="F96" s="3">
        <f>'Monthly D4 Gallon Data'!$C61</f>
        <v>0</v>
      </c>
      <c r="G96" s="3">
        <f>'Monthly D4 Gallon Data'!$C73</f>
        <v>0</v>
      </c>
      <c r="H96" s="3">
        <f>'Monthly D4 Gallon Data'!$C85</f>
        <v>0</v>
      </c>
      <c r="I96" s="3">
        <f>'Monthly D4 Gallon Data'!$C97</f>
        <v>0</v>
      </c>
      <c r="J96" s="3">
        <f>'Monthly D4 Gallon Data'!$C109</f>
        <v>0</v>
      </c>
      <c r="K96" s="3">
        <f>'Monthly D4 Gallon Data'!$C121</f>
        <v>0</v>
      </c>
      <c r="L96" s="3">
        <f>'Monthly D4 Gallon Data'!$C133</f>
        <v>0</v>
      </c>
      <c r="M96" s="3">
        <f>'Monthly D4 Gallon Data'!$C145</f>
        <v>0</v>
      </c>
      <c r="N96" s="3">
        <f>'Monthly D4 Gallon Data'!$C157</f>
        <v>0</v>
      </c>
      <c r="O96" s="3">
        <f>'Monthly D4 Gallon Data'!$C169</f>
        <v>0</v>
      </c>
      <c r="P96" s="3">
        <f>'Monthly D4 Gallon Data'!$C181</f>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1</v>
      </c>
      <c r="AR96" s="4"/>
      <c r="AS96" s="4"/>
      <c r="AT96" s="4"/>
      <c r="AU96" s="4"/>
      <c r="AV96" s="4"/>
      <c r="AW96" s="4"/>
      <c r="AX96" s="4"/>
      <c r="AY96" s="3"/>
      <c r="BA96" s="3">
        <v>0</v>
      </c>
      <c r="BB96" s="3">
        <f t="shared" si="114"/>
        <v>0</v>
      </c>
      <c r="BC96" s="3">
        <v>0</v>
      </c>
      <c r="BD96" s="3">
        <f t="shared" si="109"/>
        <v>0</v>
      </c>
      <c r="BE96" s="3">
        <v>0</v>
      </c>
      <c r="BF96" s="3">
        <f t="shared" si="110"/>
        <v>0</v>
      </c>
      <c r="BG96" s="3">
        <v>0</v>
      </c>
      <c r="BH96" s="3"/>
      <c r="BI96" s="3"/>
      <c r="BJ96" s="4">
        <v>0</v>
      </c>
      <c r="BK96" s="3">
        <f t="shared" si="111"/>
        <v>0</v>
      </c>
      <c r="BL96" s="3">
        <f t="shared" si="112"/>
        <v>0</v>
      </c>
      <c r="BM96" s="177">
        <f t="shared" si="113"/>
        <v>0</v>
      </c>
      <c r="BN96" s="3"/>
      <c r="BR96" s="3"/>
      <c r="BS96" s="3"/>
      <c r="BT96" s="3"/>
      <c r="BU96" s="3"/>
      <c r="BV96" s="3"/>
      <c r="BW96" s="3"/>
      <c r="BX96" s="3"/>
      <c r="BY96" s="3"/>
      <c r="BZ96" s="3"/>
      <c r="CA96" s="3"/>
      <c r="CB96" s="3"/>
      <c r="CC96" s="4"/>
      <c r="CD96" s="3"/>
      <c r="CE96" s="3"/>
      <c r="CF96" s="3"/>
      <c r="CG96" s="3"/>
      <c r="CH96" s="3"/>
      <c r="CI96" s="3"/>
      <c r="CJ96" s="3"/>
      <c r="CK96" s="3"/>
      <c r="CL96" s="3"/>
      <c r="CM96" s="3"/>
      <c r="CN96" s="3"/>
      <c r="CO96" s="3"/>
      <c r="CP96" s="3"/>
      <c r="CQ96" s="3"/>
      <c r="CR96" s="3"/>
      <c r="CS96" s="3"/>
      <c r="CT96" s="3"/>
      <c r="CU96" s="3"/>
      <c r="CV96" s="3"/>
      <c r="CW96" s="3"/>
      <c r="CX96" s="3"/>
    </row>
    <row r="97" spans="1:118" ht="13.5" thickBot="1">
      <c r="A97" s="2" t="s">
        <v>29</v>
      </c>
      <c r="B97" s="3">
        <f>SUM(B85:B96)</f>
        <v>0</v>
      </c>
      <c r="C97" s="3">
        <f t="shared" ref="C97:AQ97" si="115">SUM(C85:C96)</f>
        <v>0</v>
      </c>
      <c r="D97" s="3">
        <f t="shared" si="115"/>
        <v>6781908</v>
      </c>
      <c r="E97" s="3">
        <f t="shared" si="115"/>
        <v>2790763</v>
      </c>
      <c r="F97" s="3">
        <f t="shared" si="115"/>
        <v>0</v>
      </c>
      <c r="G97" s="3">
        <f t="shared" si="115"/>
        <v>0</v>
      </c>
      <c r="H97" s="3">
        <f t="shared" si="115"/>
        <v>0</v>
      </c>
      <c r="I97" s="3">
        <f t="shared" si="115"/>
        <v>0</v>
      </c>
      <c r="J97" s="3">
        <f t="shared" si="115"/>
        <v>0</v>
      </c>
      <c r="K97" s="3">
        <f t="shared" si="115"/>
        <v>0</v>
      </c>
      <c r="L97" s="3">
        <f t="shared" si="115"/>
        <v>0</v>
      </c>
      <c r="M97" s="3">
        <f t="shared" si="115"/>
        <v>0</v>
      </c>
      <c r="N97" s="3">
        <f t="shared" si="115"/>
        <v>0</v>
      </c>
      <c r="O97" s="3">
        <f t="shared" si="115"/>
        <v>0</v>
      </c>
      <c r="P97" s="3">
        <f t="shared" si="115"/>
        <v>0</v>
      </c>
      <c r="Q97" s="4">
        <f t="shared" si="115"/>
        <v>0</v>
      </c>
      <c r="R97" s="4">
        <f t="shared" si="115"/>
        <v>0</v>
      </c>
      <c r="S97" s="4">
        <f t="shared" si="115"/>
        <v>0</v>
      </c>
      <c r="T97" s="4">
        <f t="shared" si="115"/>
        <v>0</v>
      </c>
      <c r="U97" s="4">
        <f t="shared" si="115"/>
        <v>0</v>
      </c>
      <c r="V97" s="4">
        <f t="shared" si="115"/>
        <v>0</v>
      </c>
      <c r="W97" s="4">
        <f t="shared" si="115"/>
        <v>0</v>
      </c>
      <c r="X97" s="4">
        <f t="shared" si="115"/>
        <v>0</v>
      </c>
      <c r="Y97" s="4">
        <f t="shared" si="115"/>
        <v>0</v>
      </c>
      <c r="Z97" s="4">
        <f t="shared" si="115"/>
        <v>0</v>
      </c>
      <c r="AA97" s="4">
        <f t="shared" si="115"/>
        <v>0</v>
      </c>
      <c r="AB97" s="4">
        <f t="shared" si="115"/>
        <v>0</v>
      </c>
      <c r="AC97" s="4">
        <f t="shared" si="115"/>
        <v>0</v>
      </c>
      <c r="AD97" s="4">
        <f t="shared" si="115"/>
        <v>0</v>
      </c>
      <c r="AE97" s="4">
        <f t="shared" si="115"/>
        <v>0</v>
      </c>
      <c r="AF97" s="4">
        <f t="shared" si="115"/>
        <v>0</v>
      </c>
      <c r="AG97" s="4">
        <f t="shared" si="115"/>
        <v>0</v>
      </c>
      <c r="AH97" s="4">
        <f t="shared" si="115"/>
        <v>0</v>
      </c>
      <c r="AI97" s="4">
        <f t="shared" si="115"/>
        <v>0</v>
      </c>
      <c r="AJ97" s="4">
        <f t="shared" si="115"/>
        <v>0</v>
      </c>
      <c r="AK97" s="4">
        <f t="shared" si="115"/>
        <v>0</v>
      </c>
      <c r="AL97" s="4">
        <f t="shared" si="115"/>
        <v>0</v>
      </c>
      <c r="AM97" s="4">
        <f t="shared" si="115"/>
        <v>0</v>
      </c>
      <c r="AN97" s="4">
        <f t="shared" si="115"/>
        <v>0</v>
      </c>
      <c r="AO97" s="4">
        <f t="shared" si="115"/>
        <v>0</v>
      </c>
      <c r="AP97" s="4">
        <f t="shared" si="115"/>
        <v>0</v>
      </c>
      <c r="AQ97" s="4">
        <f t="shared" si="115"/>
        <v>12</v>
      </c>
      <c r="AR97" s="4"/>
      <c r="AS97" s="4"/>
      <c r="AT97" s="4"/>
      <c r="AU97" s="4"/>
      <c r="AV97" s="4"/>
      <c r="AW97" s="4"/>
      <c r="AX97" s="4"/>
      <c r="AY97" s="3"/>
      <c r="BA97" s="3">
        <v>0</v>
      </c>
      <c r="BB97" s="3">
        <f t="shared" si="114"/>
        <v>0</v>
      </c>
      <c r="BC97" s="3">
        <v>0</v>
      </c>
      <c r="BD97" s="3">
        <f t="shared" si="109"/>
        <v>0</v>
      </c>
      <c r="BE97" s="3">
        <v>0</v>
      </c>
      <c r="BF97" s="3">
        <f t="shared" si="110"/>
        <v>0</v>
      </c>
      <c r="BG97" s="3">
        <v>0</v>
      </c>
      <c r="BH97" s="3"/>
      <c r="BI97" s="3"/>
      <c r="BJ97" s="4">
        <v>0</v>
      </c>
      <c r="BK97" s="3">
        <f t="shared" si="111"/>
        <v>0</v>
      </c>
      <c r="BL97" s="3">
        <f t="shared" si="112"/>
        <v>0</v>
      </c>
      <c r="BM97" s="177">
        <f t="shared" si="113"/>
        <v>0</v>
      </c>
      <c r="BN97" s="3"/>
      <c r="BR97" s="3"/>
      <c r="BS97" s="3"/>
      <c r="BT97" s="3"/>
      <c r="BU97" s="3"/>
      <c r="BV97" s="3"/>
      <c r="BW97" s="3"/>
      <c r="BX97" s="3"/>
      <c r="BY97" s="3"/>
      <c r="BZ97" s="3"/>
      <c r="CA97" s="3"/>
      <c r="CB97" s="3"/>
      <c r="CC97" s="4"/>
      <c r="CD97" s="3"/>
      <c r="CE97" s="3"/>
      <c r="CF97" s="3"/>
      <c r="CG97" s="3"/>
      <c r="CH97" s="3"/>
      <c r="CI97" s="3"/>
      <c r="CJ97" s="3"/>
      <c r="CK97" s="3"/>
      <c r="CL97" s="3"/>
      <c r="CM97" s="3"/>
      <c r="CN97" s="3"/>
      <c r="CO97" s="3"/>
      <c r="CP97" s="3"/>
      <c r="CQ97" s="3"/>
      <c r="CR97" s="3"/>
      <c r="CS97" s="3"/>
      <c r="CT97" s="3"/>
      <c r="CU97" s="3"/>
      <c r="CV97" s="3"/>
      <c r="CW97" s="3"/>
      <c r="CX97" s="3"/>
    </row>
    <row r="98" spans="1:118">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c r="AE98" s="114"/>
      <c r="AF98" s="114"/>
      <c r="AG98" s="114"/>
      <c r="AH98" s="114"/>
      <c r="AI98" s="114"/>
      <c r="AJ98" s="114"/>
      <c r="AK98" s="114"/>
      <c r="AL98" s="114"/>
      <c r="AM98" s="114"/>
      <c r="AN98" s="114"/>
      <c r="AO98" s="114"/>
      <c r="AP98" s="114"/>
      <c r="AQ98" s="114"/>
      <c r="AX98" s="4"/>
      <c r="AY98" s="3"/>
      <c r="BE98" s="4"/>
    </row>
    <row r="99" spans="1:118" ht="16.5" thickBot="1">
      <c r="A99" s="109" t="s">
        <v>305</v>
      </c>
      <c r="AX99" s="4"/>
      <c r="AY99" s="3"/>
      <c r="BE99" s="4"/>
      <c r="BF99" s="3">
        <f>BF106+BF74</f>
        <v>-137995171.82679325</v>
      </c>
      <c r="BG99" s="3"/>
      <c r="BH99" s="3"/>
      <c r="BI99" s="3"/>
      <c r="BJ99" s="3"/>
      <c r="BK99" s="3"/>
      <c r="BL99" s="3"/>
      <c r="BM99" s="3"/>
      <c r="BN99" s="3"/>
      <c r="BR99" s="3"/>
      <c r="BS99" s="3"/>
      <c r="BT99" s="3"/>
      <c r="BU99" s="3"/>
    </row>
    <row r="100" spans="1:118" ht="14.25" thickBot="1">
      <c r="A100" s="110"/>
      <c r="B100" s="111">
        <f t="shared" ref="B100:K100" si="116">B2</f>
        <v>2010</v>
      </c>
      <c r="C100" s="111">
        <f t="shared" si="116"/>
        <v>2011</v>
      </c>
      <c r="D100" s="111">
        <f t="shared" si="116"/>
        <v>2012</v>
      </c>
      <c r="E100" s="111">
        <f t="shared" si="116"/>
        <v>2013</v>
      </c>
      <c r="F100" s="111">
        <f t="shared" si="116"/>
        <v>2014</v>
      </c>
      <c r="G100" s="111">
        <f t="shared" si="116"/>
        <v>2015</v>
      </c>
      <c r="H100" s="111">
        <f t="shared" si="116"/>
        <v>2016</v>
      </c>
      <c r="I100" s="111">
        <f t="shared" si="116"/>
        <v>2017</v>
      </c>
      <c r="J100" s="111">
        <f t="shared" si="116"/>
        <v>2018</v>
      </c>
      <c r="K100" s="111">
        <f t="shared" si="116"/>
        <v>2019</v>
      </c>
      <c r="L100" s="111">
        <f>L2</f>
        <v>2020</v>
      </c>
      <c r="M100" s="111">
        <f>M2</f>
        <v>2021</v>
      </c>
      <c r="N100" s="111">
        <f t="shared" ref="N100:AQ100" si="117">N2</f>
        <v>2022</v>
      </c>
      <c r="O100" s="111">
        <f t="shared" si="117"/>
        <v>2023</v>
      </c>
      <c r="P100" s="111">
        <f t="shared" si="117"/>
        <v>2024</v>
      </c>
      <c r="Q100" s="111">
        <f t="shared" si="117"/>
        <v>2025</v>
      </c>
      <c r="R100" s="111">
        <f t="shared" si="117"/>
        <v>2026</v>
      </c>
      <c r="S100" s="111">
        <f t="shared" si="117"/>
        <v>2027</v>
      </c>
      <c r="T100" s="111">
        <f t="shared" si="117"/>
        <v>2028</v>
      </c>
      <c r="U100" s="111">
        <f t="shared" si="117"/>
        <v>2029</v>
      </c>
      <c r="V100" s="111">
        <f t="shared" si="117"/>
        <v>2030</v>
      </c>
      <c r="W100" s="111">
        <f t="shared" si="117"/>
        <v>2031</v>
      </c>
      <c r="X100" s="111">
        <f t="shared" si="117"/>
        <v>2032</v>
      </c>
      <c r="Y100" s="111">
        <f t="shared" si="117"/>
        <v>2033</v>
      </c>
      <c r="Z100" s="111">
        <f t="shared" si="117"/>
        <v>2034</v>
      </c>
      <c r="AA100" s="111">
        <f t="shared" si="117"/>
        <v>2035</v>
      </c>
      <c r="AB100" s="111">
        <f t="shared" si="117"/>
        <v>2036</v>
      </c>
      <c r="AC100" s="111">
        <f t="shared" si="117"/>
        <v>2037</v>
      </c>
      <c r="AD100" s="111">
        <f t="shared" si="117"/>
        <v>2038</v>
      </c>
      <c r="AE100" s="111">
        <f t="shared" si="117"/>
        <v>2039</v>
      </c>
      <c r="AF100" s="111">
        <f t="shared" si="117"/>
        <v>2040</v>
      </c>
      <c r="AG100" s="111">
        <f t="shared" si="117"/>
        <v>2041</v>
      </c>
      <c r="AH100" s="111">
        <f t="shared" si="117"/>
        <v>2042</v>
      </c>
      <c r="AI100" s="111">
        <f t="shared" si="117"/>
        <v>2043</v>
      </c>
      <c r="AJ100" s="111">
        <f t="shared" si="117"/>
        <v>2044</v>
      </c>
      <c r="AK100" s="111">
        <f t="shared" si="117"/>
        <v>2045</v>
      </c>
      <c r="AL100" s="111">
        <f t="shared" si="117"/>
        <v>2046</v>
      </c>
      <c r="AM100" s="111">
        <f t="shared" si="117"/>
        <v>2047</v>
      </c>
      <c r="AN100" s="111">
        <f t="shared" si="117"/>
        <v>2048</v>
      </c>
      <c r="AO100" s="111">
        <f t="shared" si="117"/>
        <v>2049</v>
      </c>
      <c r="AP100" s="111">
        <f t="shared" si="117"/>
        <v>2050</v>
      </c>
      <c r="AQ100" s="111">
        <f t="shared" si="117"/>
        <v>2051</v>
      </c>
      <c r="AR100" s="94"/>
      <c r="AS100" s="94"/>
      <c r="AT100" s="31" t="s">
        <v>36</v>
      </c>
      <c r="AU100" s="31"/>
      <c r="AV100" s="31"/>
      <c r="AW100" s="31"/>
      <c r="AX100" s="19"/>
      <c r="AY100" s="18"/>
      <c r="AZ100" s="14"/>
      <c r="BA100" s="14"/>
      <c r="BB100" s="18"/>
      <c r="BC100" s="14"/>
      <c r="BD100" s="14"/>
      <c r="BE100" s="19"/>
      <c r="BF100" s="14"/>
      <c r="BG100" s="14"/>
      <c r="BH100" s="14"/>
    </row>
    <row r="101" spans="1:118">
      <c r="A101" s="2" t="s">
        <v>68</v>
      </c>
      <c r="B101" s="3">
        <f>'Monthly D4 Gallon Data'!$D2</f>
        <v>0</v>
      </c>
      <c r="C101" s="3">
        <f>'Monthly D4 Gallon Data'!$D14</f>
        <v>2636424</v>
      </c>
      <c r="D101" s="3">
        <f>'Monthly D4 Gallon Data'!$D26</f>
        <v>1038381</v>
      </c>
      <c r="E101" s="3">
        <f>'Monthly D4 Gallon Data'!$D38</f>
        <v>975984</v>
      </c>
      <c r="F101" s="3">
        <f>'Monthly D4 Gallon Data'!$D50</f>
        <v>1981954</v>
      </c>
      <c r="G101" s="3">
        <f>'Monthly D4 Gallon Data'!$D62</f>
        <v>8626445</v>
      </c>
      <c r="H101" s="3">
        <f>'Monthly D4 Gallon Data'!$D74</f>
        <v>20718362</v>
      </c>
      <c r="I101" s="3">
        <f>'Monthly D4 Gallon Data'!$D86</f>
        <v>21190089</v>
      </c>
      <c r="J101" s="3">
        <f>'Monthly D4 Gallon Data'!$D98</f>
        <v>10696089</v>
      </c>
      <c r="K101" s="3">
        <f>'Monthly D4 Gallon Data'!$D110</f>
        <v>11809234</v>
      </c>
      <c r="L101" s="3">
        <f>'Monthly D4 Gallon Data'!$D122</f>
        <v>13737888</v>
      </c>
      <c r="M101" s="3">
        <f>'Monthly D4 Gallon Data'!$D134</f>
        <v>8536219</v>
      </c>
      <c r="N101" s="3">
        <f>'Monthly D4 Gallon Data'!$D146</f>
        <v>12701046</v>
      </c>
      <c r="O101" s="3">
        <f>'Monthly D4 Gallon Data'!$D158</f>
        <v>24582474</v>
      </c>
      <c r="P101" s="3">
        <f>'Monthly D4 Gallon Data'!$D170</f>
        <v>40314733</v>
      </c>
      <c r="Q101" s="3">
        <f>'Monthly D4 Gallon Data'!$D182</f>
        <v>3135355</v>
      </c>
      <c r="R101" s="4">
        <f t="shared" ref="Q101:AB111" si="118">(SUM(M101:Q101)/SUM(M$113:Q$113))*R$113</f>
        <v>10025806.092925757</v>
      </c>
      <c r="S101" s="4">
        <f t="shared" si="118"/>
        <v>10847888.627231512</v>
      </c>
      <c r="T101" s="4">
        <f t="shared" si="118"/>
        <v>11977678.325456975</v>
      </c>
      <c r="U101" s="4">
        <f t="shared" si="118"/>
        <v>12452286.649546627</v>
      </c>
      <c r="V101" s="4">
        <f t="shared" si="118"/>
        <v>9522199.4699888881</v>
      </c>
      <c r="W101" s="4">
        <f t="shared" si="118"/>
        <v>10861726.815737216</v>
      </c>
      <c r="X101" s="4">
        <f t="shared" si="118"/>
        <v>9792350.1654746588</v>
      </c>
      <c r="Y101" s="4">
        <f t="shared" si="118"/>
        <v>9186096.6885203607</v>
      </c>
      <c r="Z101" s="4">
        <f t="shared" si="118"/>
        <v>8803461.6146814134</v>
      </c>
      <c r="AA101" s="4">
        <f t="shared" si="118"/>
        <v>7823891.9398014285</v>
      </c>
      <c r="AB101" s="4">
        <f t="shared" si="118"/>
        <v>6601943.7586316494</v>
      </c>
      <c r="AC101" s="4">
        <f t="shared" ref="AC101:AC111" si="119">(SUM(X101:AB101)/SUM(X$113:AB$113))*AC$113</f>
        <v>5560301.6268048445</v>
      </c>
      <c r="AD101" s="4">
        <f t="shared" ref="AD101:AQ111" si="120">(SUM(Y101:AC101)/SUM(Y$113:AC$113))*AD$113</f>
        <v>4526904.1146484409</v>
      </c>
      <c r="AE101" s="4">
        <f t="shared" si="120"/>
        <v>3757500.3445001254</v>
      </c>
      <c r="AF101" s="4">
        <f t="shared" si="120"/>
        <v>3752726.7855380289</v>
      </c>
      <c r="AG101" s="4">
        <f t="shared" si="120"/>
        <v>3781152.5984567325</v>
      </c>
      <c r="AH101" s="4">
        <f t="shared" si="120"/>
        <v>3772691.553520266</v>
      </c>
      <c r="AI101" s="4">
        <f t="shared" si="120"/>
        <v>3767495.268589153</v>
      </c>
      <c r="AJ101" s="4">
        <f t="shared" si="120"/>
        <v>3766313.3101208615</v>
      </c>
      <c r="AK101" s="4">
        <f t="shared" si="120"/>
        <v>3768075.9032450086</v>
      </c>
      <c r="AL101" s="4">
        <f t="shared" si="120"/>
        <v>3771145.7267864048</v>
      </c>
      <c r="AM101" s="4">
        <f t="shared" si="120"/>
        <v>3769144.3524523387</v>
      </c>
      <c r="AN101" s="4">
        <f t="shared" si="120"/>
        <v>3768434.9122387529</v>
      </c>
      <c r="AO101" s="4">
        <f t="shared" si="120"/>
        <v>3768622.8409686736</v>
      </c>
      <c r="AP101" s="4">
        <f t="shared" si="120"/>
        <v>3769084.7471382362</v>
      </c>
      <c r="AQ101" s="4">
        <f t="shared" si="120"/>
        <v>3769286.5159168816</v>
      </c>
      <c r="AR101" s="4"/>
      <c r="AS101" s="4">
        <f>SUM(Q101:Q103)</f>
        <v>13446043</v>
      </c>
      <c r="AT101" s="121">
        <f>(Q101/P112)-1</f>
        <v>-0.90011681982477343</v>
      </c>
      <c r="AU101" s="121" t="s">
        <v>299</v>
      </c>
      <c r="AV101" s="194"/>
      <c r="AW101" s="194"/>
      <c r="AX101" s="194"/>
      <c r="AY101" s="195"/>
      <c r="AZ101" s="196"/>
      <c r="BA101" s="196"/>
      <c r="BB101" s="195"/>
      <c r="BC101" s="195">
        <v>108932143.44251604</v>
      </c>
      <c r="BD101" s="195">
        <f>L101-BC101</f>
        <v>-95194255.442516044</v>
      </c>
      <c r="BE101" s="195">
        <v>108507798.4385401</v>
      </c>
      <c r="BF101" s="195">
        <f>M101-BE101</f>
        <v>-99971579.438540101</v>
      </c>
      <c r="BG101" s="195">
        <v>81075407.426691353</v>
      </c>
      <c r="BH101" s="195"/>
      <c r="BI101" s="3"/>
      <c r="BJ101" s="3">
        <v>40314733</v>
      </c>
      <c r="BK101" s="3">
        <f t="shared" ref="BK101:BK113" si="121">P101-BJ101</f>
        <v>0</v>
      </c>
      <c r="BL101" s="3">
        <v>3135355</v>
      </c>
      <c r="BM101" s="177">
        <f t="shared" ref="BM101:BM113" si="122">Q101-BL101</f>
        <v>0</v>
      </c>
      <c r="BN101" s="3"/>
      <c r="BR101" s="3"/>
      <c r="BS101" s="3"/>
      <c r="BT101" s="3"/>
      <c r="BU101" s="3"/>
      <c r="BV101" s="3"/>
      <c r="BW101" s="3"/>
      <c r="BX101" s="9"/>
      <c r="BY101" s="3"/>
      <c r="BZ101" s="3"/>
      <c r="CA101" s="3"/>
      <c r="CB101" s="3"/>
      <c r="CC101" s="4"/>
      <c r="CD101" s="3"/>
      <c r="CE101" s="3"/>
      <c r="CF101" s="3"/>
      <c r="CG101" s="3"/>
      <c r="CH101" s="3"/>
      <c r="CI101" s="3"/>
      <c r="CJ101" s="3"/>
      <c r="CK101" s="3"/>
      <c r="CL101" s="3"/>
      <c r="CM101" s="3"/>
      <c r="CN101" s="3"/>
      <c r="CO101" s="3"/>
      <c r="CP101" s="3"/>
      <c r="CQ101" s="3"/>
      <c r="CR101" s="3"/>
      <c r="CS101" s="3"/>
      <c r="CT101" s="3"/>
      <c r="CU101" s="3"/>
      <c r="CV101" s="3"/>
      <c r="CW101" s="3"/>
      <c r="CX101" s="3"/>
      <c r="DD101" s="3"/>
      <c r="DE101" s="3"/>
      <c r="DF101" s="3"/>
      <c r="DG101" s="3"/>
      <c r="DH101" s="3"/>
      <c r="DI101" s="3"/>
      <c r="DJ101" s="3"/>
      <c r="DK101" s="3"/>
      <c r="DL101" s="3"/>
      <c r="DN101" s="3"/>
    </row>
    <row r="102" spans="1:118">
      <c r="A102" s="2" t="s">
        <v>69</v>
      </c>
      <c r="B102" s="3">
        <f>'Monthly D4 Gallon Data'!$D3</f>
        <v>0</v>
      </c>
      <c r="C102" s="3">
        <f>'Monthly D4 Gallon Data'!$D15</f>
        <v>1336045</v>
      </c>
      <c r="D102" s="3">
        <f>'Monthly D4 Gallon Data'!$D27</f>
        <v>4022017</v>
      </c>
      <c r="E102" s="3">
        <f>'Monthly D4 Gallon Data'!$D39</f>
        <v>3073611</v>
      </c>
      <c r="F102" s="3">
        <f>'Monthly D4 Gallon Data'!$D51</f>
        <v>3782463</v>
      </c>
      <c r="G102" s="3">
        <f>'Monthly D4 Gallon Data'!$D63</f>
        <v>5025091</v>
      </c>
      <c r="H102" s="3">
        <f>'Monthly D4 Gallon Data'!$D75</f>
        <v>13775403</v>
      </c>
      <c r="I102" s="3">
        <f>'Monthly D4 Gallon Data'!$D87</f>
        <v>29772126</v>
      </c>
      <c r="J102" s="3">
        <f>'Monthly D4 Gallon Data'!$D99</f>
        <v>11584681</v>
      </c>
      <c r="K102" s="3">
        <f>'Monthly D4 Gallon Data'!$D111</f>
        <v>10968228</v>
      </c>
      <c r="L102" s="3">
        <f>'Monthly D4 Gallon Data'!$D123</f>
        <v>11466902</v>
      </c>
      <c r="M102" s="3">
        <f>'Monthly D4 Gallon Data'!$D135</f>
        <v>7661613</v>
      </c>
      <c r="N102" s="3">
        <f>'Monthly D4 Gallon Data'!$D147</f>
        <v>6743825</v>
      </c>
      <c r="O102" s="3">
        <f>'Monthly D4 Gallon Data'!$D159</f>
        <v>40796313</v>
      </c>
      <c r="P102" s="3">
        <f>'Monthly D4 Gallon Data'!$D171</f>
        <v>51955632</v>
      </c>
      <c r="Q102" s="3">
        <f>'Monthly D4 Gallon Data'!$D183</f>
        <v>6409113</v>
      </c>
      <c r="R102" s="4">
        <f t="shared" si="118"/>
        <v>12754540.988961799</v>
      </c>
      <c r="S102" s="4">
        <f t="shared" si="118"/>
        <v>14182597.242042266</v>
      </c>
      <c r="T102" s="4">
        <f t="shared" si="118"/>
        <v>16988271.552466348</v>
      </c>
      <c r="U102" s="4">
        <f t="shared" si="118"/>
        <v>16693603.390226046</v>
      </c>
      <c r="V102" s="4">
        <f t="shared" si="118"/>
        <v>13176469.247820672</v>
      </c>
      <c r="W102" s="4">
        <f t="shared" si="118"/>
        <v>14619859.725017546</v>
      </c>
      <c r="X102" s="4">
        <f t="shared" si="118"/>
        <v>13310696.499943377</v>
      </c>
      <c r="Y102" s="4">
        <f t="shared" si="118"/>
        <v>12581310.350266652</v>
      </c>
      <c r="Z102" s="4">
        <f t="shared" si="118"/>
        <v>11958096.468274761</v>
      </c>
      <c r="AA102" s="4">
        <f t="shared" si="118"/>
        <v>10663379.864580387</v>
      </c>
      <c r="AB102" s="4">
        <f t="shared" si="118"/>
        <v>8969764.5661756862</v>
      </c>
      <c r="AC102" s="4">
        <f t="shared" si="119"/>
        <v>7572643.416067658</v>
      </c>
      <c r="AD102" s="4">
        <f t="shared" si="120"/>
        <v>6168301.35083823</v>
      </c>
      <c r="AE102" s="4">
        <f t="shared" si="120"/>
        <v>5112652.5187146682</v>
      </c>
      <c r="AF102" s="4">
        <f t="shared" si="120"/>
        <v>5108859.5198730035</v>
      </c>
      <c r="AG102" s="4">
        <f t="shared" si="120"/>
        <v>5145659.5893233195</v>
      </c>
      <c r="AH102" s="4">
        <f t="shared" si="120"/>
        <v>5136726.422614743</v>
      </c>
      <c r="AI102" s="4">
        <f t="shared" si="120"/>
        <v>5129269.1156469164</v>
      </c>
      <c r="AJ102" s="4">
        <f t="shared" si="120"/>
        <v>5126633.4332345305</v>
      </c>
      <c r="AK102" s="4">
        <f t="shared" si="120"/>
        <v>5129429.616138503</v>
      </c>
      <c r="AL102" s="4">
        <f t="shared" si="120"/>
        <v>5133543.6353916023</v>
      </c>
      <c r="AM102" s="4">
        <f t="shared" si="120"/>
        <v>5131120.4446052592</v>
      </c>
      <c r="AN102" s="4">
        <f t="shared" si="120"/>
        <v>5129999.2490033628</v>
      </c>
      <c r="AO102" s="4">
        <f t="shared" si="120"/>
        <v>5130145.2756746514</v>
      </c>
      <c r="AP102" s="4">
        <f t="shared" si="120"/>
        <v>5130847.6441626763</v>
      </c>
      <c r="AQ102" s="4">
        <f t="shared" si="120"/>
        <v>5131131.2497675112</v>
      </c>
      <c r="AR102" s="4"/>
      <c r="AS102" s="4">
        <f>SUM(P101:P103)</f>
        <v>122161197</v>
      </c>
      <c r="AT102" s="121">
        <f t="shared" ref="AT102:AT112" si="123">(Q102/Q101)-1</f>
        <v>1.0441426887864371</v>
      </c>
      <c r="AU102" s="121" t="s">
        <v>300</v>
      </c>
      <c r="AV102" s="121">
        <f t="shared" ref="AV102:BG102" si="124">(SUM(L102:P102)/SUM(L101:P101))-1</f>
        <v>0.18775890546693796</v>
      </c>
      <c r="AW102" s="121">
        <f t="shared" si="124"/>
        <v>0.27217112227628726</v>
      </c>
      <c r="AX102" s="121">
        <f t="shared" si="124"/>
        <v>0.30740623631031916</v>
      </c>
      <c r="AY102" s="121">
        <f t="shared" si="124"/>
        <v>0.41832758326461472</v>
      </c>
      <c r="AZ102" s="121">
        <f t="shared" si="124"/>
        <v>0.34060545344367266</v>
      </c>
      <c r="BA102" s="121">
        <f t="shared" si="124"/>
        <v>0.38376320401068509</v>
      </c>
      <c r="BB102" s="121">
        <f t="shared" si="124"/>
        <v>0.34599773802405798</v>
      </c>
      <c r="BC102" s="121">
        <f t="shared" si="124"/>
        <v>0.35929539640785269</v>
      </c>
      <c r="BD102" s="121">
        <f t="shared" si="124"/>
        <v>0.36960351897767474</v>
      </c>
      <c r="BE102" s="121">
        <f t="shared" si="124"/>
        <v>0.35834027473152208</v>
      </c>
      <c r="BF102" s="121">
        <f t="shared" si="124"/>
        <v>0.36292524828135919</v>
      </c>
      <c r="BG102" s="121">
        <f t="shared" si="124"/>
        <v>0.35865510130228717</v>
      </c>
      <c r="BH102" s="195"/>
      <c r="BI102" s="3"/>
      <c r="BJ102" s="3">
        <v>51955632</v>
      </c>
      <c r="BK102" s="3">
        <f t="shared" si="121"/>
        <v>0</v>
      </c>
      <c r="BL102" s="3">
        <v>6409113</v>
      </c>
      <c r="BM102" s="177">
        <f t="shared" si="122"/>
        <v>0</v>
      </c>
      <c r="BN102" s="3"/>
      <c r="BR102" s="3"/>
      <c r="BS102" s="3"/>
      <c r="BT102" s="3"/>
      <c r="BU102" s="3"/>
      <c r="BV102" s="3"/>
      <c r="BW102" s="3"/>
      <c r="BX102" s="9"/>
      <c r="BY102" s="3"/>
      <c r="BZ102" s="3"/>
      <c r="CA102" s="3"/>
      <c r="CB102" s="3"/>
      <c r="CC102" s="4"/>
      <c r="CD102" s="3"/>
      <c r="CE102" s="3"/>
      <c r="CF102" s="3"/>
      <c r="CG102" s="3"/>
      <c r="CH102" s="3"/>
      <c r="CI102" s="3"/>
      <c r="CJ102" s="3"/>
      <c r="CK102" s="3"/>
      <c r="CL102" s="3"/>
      <c r="CM102" s="3"/>
      <c r="CN102" s="3"/>
      <c r="CO102" s="3"/>
      <c r="CP102" s="3"/>
      <c r="CQ102" s="3"/>
      <c r="CR102" s="3"/>
      <c r="CS102" s="3"/>
      <c r="CT102" s="3"/>
      <c r="CU102" s="3"/>
      <c r="CV102" s="3"/>
      <c r="CW102" s="3"/>
      <c r="CX102" s="3"/>
      <c r="DD102" s="3"/>
      <c r="DE102" s="3"/>
      <c r="DF102" s="3"/>
      <c r="DG102" s="3"/>
      <c r="DH102" s="3"/>
      <c r="DI102" s="3"/>
      <c r="DJ102" s="3"/>
      <c r="DK102" s="3"/>
      <c r="DL102" s="3"/>
      <c r="DN102" s="3"/>
    </row>
    <row r="103" spans="1:118">
      <c r="A103" s="2" t="s">
        <v>70</v>
      </c>
      <c r="B103" s="3">
        <f>'Monthly D4 Gallon Data'!$D4</f>
        <v>0</v>
      </c>
      <c r="C103" s="3">
        <f>'Monthly D4 Gallon Data'!$D16</f>
        <v>4627645</v>
      </c>
      <c r="D103" s="3">
        <f>'Monthly D4 Gallon Data'!$D28</f>
        <v>4310074</v>
      </c>
      <c r="E103" s="3">
        <f>'Monthly D4 Gallon Data'!$D40</f>
        <v>9369422</v>
      </c>
      <c r="F103" s="3">
        <f>'Monthly D4 Gallon Data'!$D52</f>
        <v>13088434</v>
      </c>
      <c r="G103" s="3">
        <f>'Monthly D4 Gallon Data'!$D64</f>
        <v>8540515</v>
      </c>
      <c r="H103" s="3">
        <f>'Monthly D4 Gallon Data'!$D76</f>
        <v>8682557</v>
      </c>
      <c r="I103" s="3">
        <f>'Monthly D4 Gallon Data'!$D88</f>
        <v>40549915</v>
      </c>
      <c r="J103" s="3">
        <f>'Monthly D4 Gallon Data'!$D100</f>
        <v>15643523</v>
      </c>
      <c r="K103" s="3">
        <f>'Monthly D4 Gallon Data'!$D112</f>
        <v>12055979</v>
      </c>
      <c r="L103" s="3">
        <f>'Monthly D4 Gallon Data'!$D124</f>
        <v>18577254</v>
      </c>
      <c r="M103" s="3">
        <f>'Monthly D4 Gallon Data'!$D136</f>
        <v>15146974</v>
      </c>
      <c r="N103" s="3">
        <f>'Monthly D4 Gallon Data'!$D148</f>
        <v>22680677</v>
      </c>
      <c r="O103" s="3">
        <f>'Monthly D4 Gallon Data'!$D160</f>
        <v>44788401</v>
      </c>
      <c r="P103" s="3">
        <f>'Monthly D4 Gallon Data'!$D172</f>
        <v>29890832</v>
      </c>
      <c r="Q103" s="3">
        <f>'Monthly D4 Gallon Data'!$D184</f>
        <v>3901575</v>
      </c>
      <c r="R103" s="4">
        <f t="shared" si="118"/>
        <v>13073719.046305515</v>
      </c>
      <c r="S103" s="4">
        <f t="shared" si="118"/>
        <v>13665751.06353388</v>
      </c>
      <c r="T103" s="4">
        <f t="shared" si="118"/>
        <v>14189017.273756305</v>
      </c>
      <c r="U103" s="4">
        <f t="shared" si="118"/>
        <v>12194340.486072693</v>
      </c>
      <c r="V103" s="4">
        <f t="shared" si="118"/>
        <v>11209925.350447634</v>
      </c>
      <c r="W103" s="4">
        <f t="shared" si="118"/>
        <v>12745168.090777704</v>
      </c>
      <c r="X103" s="4">
        <f t="shared" si="118"/>
        <v>11259998.546547925</v>
      </c>
      <c r="Y103" s="4">
        <f t="shared" si="118"/>
        <v>10362356.032306923</v>
      </c>
      <c r="Z103" s="4">
        <f t="shared" si="118"/>
        <v>9815595.1345405392</v>
      </c>
      <c r="AA103" s="4">
        <f t="shared" si="118"/>
        <v>8997854.725623671</v>
      </c>
      <c r="AB103" s="4">
        <f t="shared" si="118"/>
        <v>7555766.5889328737</v>
      </c>
      <c r="AC103" s="4">
        <f t="shared" si="119"/>
        <v>6322242.8899098346</v>
      </c>
      <c r="AD103" s="4">
        <f t="shared" si="120"/>
        <v>5132242.8919446962</v>
      </c>
      <c r="AE103" s="4">
        <f t="shared" si="120"/>
        <v>4265831.0786787532</v>
      </c>
      <c r="AF103" s="4">
        <f t="shared" si="120"/>
        <v>4284151.085188915</v>
      </c>
      <c r="AG103" s="4">
        <f t="shared" si="120"/>
        <v>4306286.6460398547</v>
      </c>
      <c r="AH103" s="4">
        <f t="shared" si="120"/>
        <v>4290133.1632521274</v>
      </c>
      <c r="AI103" s="4">
        <f t="shared" si="120"/>
        <v>4284354.7817508355</v>
      </c>
      <c r="AJ103" s="4">
        <f t="shared" si="120"/>
        <v>4286151.350982097</v>
      </c>
      <c r="AK103" s="4">
        <f t="shared" si="120"/>
        <v>4290215.405442765</v>
      </c>
      <c r="AL103" s="4">
        <f t="shared" si="120"/>
        <v>4291428.2694935352</v>
      </c>
      <c r="AM103" s="4">
        <f t="shared" si="120"/>
        <v>4288456.594184272</v>
      </c>
      <c r="AN103" s="4">
        <f t="shared" si="120"/>
        <v>4288121.2803707002</v>
      </c>
      <c r="AO103" s="4">
        <f t="shared" si="120"/>
        <v>4288874.5800946746</v>
      </c>
      <c r="AP103" s="4">
        <f t="shared" si="120"/>
        <v>4289419.2259171894</v>
      </c>
      <c r="AQ103" s="4">
        <f t="shared" si="120"/>
        <v>4289259.9900120748</v>
      </c>
      <c r="AR103" s="4"/>
      <c r="AS103" s="4">
        <f>SUM(P110:P112)</f>
        <v>81029716</v>
      </c>
      <c r="AT103" s="121">
        <f t="shared" si="123"/>
        <v>-0.39124571528072605</v>
      </c>
      <c r="AU103" s="197" t="s">
        <v>301</v>
      </c>
      <c r="AV103" s="194"/>
      <c r="AW103" s="194"/>
      <c r="AX103" s="194"/>
      <c r="AY103" s="195"/>
      <c r="AZ103" s="196"/>
      <c r="BA103" s="198"/>
      <c r="BB103" s="195"/>
      <c r="BC103" s="195">
        <v>119714448.18219173</v>
      </c>
      <c r="BD103" s="195">
        <f t="shared" ref="BD103:BD113" si="125">L103-BC103</f>
        <v>-101137194.18219173</v>
      </c>
      <c r="BE103" s="195">
        <v>135173970.91653845</v>
      </c>
      <c r="BF103" s="195">
        <f t="shared" ref="BF103:BF113" si="126">M103-BE103</f>
        <v>-120026996.91653845</v>
      </c>
      <c r="BG103" s="195">
        <v>128861333.89305</v>
      </c>
      <c r="BH103" s="194">
        <f>SUM(P101:P103)</f>
        <v>122161197</v>
      </c>
      <c r="BI103" s="3"/>
      <c r="BJ103" s="3">
        <v>29890832</v>
      </c>
      <c r="BK103" s="3">
        <f t="shared" si="121"/>
        <v>0</v>
      </c>
      <c r="BL103" s="3">
        <v>7136665.3697759155</v>
      </c>
      <c r="BM103" s="177">
        <f t="shared" si="122"/>
        <v>-3235090.3697759155</v>
      </c>
      <c r="BN103" s="3"/>
      <c r="BR103" s="3"/>
      <c r="BS103" s="3"/>
      <c r="BT103" s="3"/>
      <c r="BU103" s="3"/>
      <c r="BV103" s="3"/>
      <c r="BW103" s="3"/>
      <c r="BX103" s="9"/>
      <c r="BY103" s="3"/>
      <c r="BZ103" s="3"/>
      <c r="CA103" s="3"/>
      <c r="CB103" s="3"/>
      <c r="CC103" s="4"/>
      <c r="CD103" s="3"/>
      <c r="CE103" s="3"/>
      <c r="CF103" s="3"/>
      <c r="CG103" s="3"/>
      <c r="CH103" s="3"/>
      <c r="CI103" s="3"/>
      <c r="CJ103" s="3"/>
      <c r="CK103" s="3"/>
      <c r="CL103" s="3"/>
      <c r="CM103" s="3"/>
      <c r="CN103" s="3"/>
      <c r="CO103" s="3"/>
      <c r="CP103" s="3"/>
      <c r="CQ103" s="3"/>
      <c r="CR103" s="3"/>
      <c r="CS103" s="3"/>
      <c r="CT103" s="3"/>
      <c r="CU103" s="3"/>
      <c r="CV103" s="3"/>
      <c r="CW103" s="3"/>
      <c r="CX103" s="3"/>
      <c r="DA103" s="152"/>
      <c r="DB103" s="152"/>
      <c r="DC103" s="152"/>
      <c r="DD103" s="3"/>
      <c r="DE103" s="3"/>
      <c r="DF103" s="3"/>
      <c r="DG103" s="3"/>
      <c r="DH103" s="3"/>
      <c r="DI103" s="3"/>
      <c r="DJ103" s="3"/>
      <c r="DK103" s="3"/>
      <c r="DL103" s="3"/>
      <c r="DN103" s="3"/>
    </row>
    <row r="104" spans="1:118">
      <c r="A104" s="2" t="s">
        <v>71</v>
      </c>
      <c r="B104" s="3">
        <f>'Monthly D4 Gallon Data'!$D5</f>
        <v>0</v>
      </c>
      <c r="C104" s="3">
        <f>'Monthly D4 Gallon Data'!$D17</f>
        <v>2211755</v>
      </c>
      <c r="D104" s="3">
        <f>'Monthly D4 Gallon Data'!$D29</f>
        <v>2657742</v>
      </c>
      <c r="E104" s="3">
        <f>'Monthly D4 Gallon Data'!$D41</f>
        <v>4789267</v>
      </c>
      <c r="F104" s="3">
        <f>'Monthly D4 Gallon Data'!$D53</f>
        <v>5759471</v>
      </c>
      <c r="G104" s="3">
        <f>'Monthly D4 Gallon Data'!$D65</f>
        <v>12071285</v>
      </c>
      <c r="H104" s="3">
        <f>'Monthly D4 Gallon Data'!$D77</f>
        <v>29184344</v>
      </c>
      <c r="I104" s="3">
        <f>'Monthly D4 Gallon Data'!$D89</f>
        <v>20854252</v>
      </c>
      <c r="J104" s="3">
        <f>'Monthly D4 Gallon Data'!$D101</f>
        <v>15936188</v>
      </c>
      <c r="K104" s="3">
        <f>'Monthly D4 Gallon Data'!$D113</f>
        <v>21520142</v>
      </c>
      <c r="L104" s="3">
        <f>'Monthly D4 Gallon Data'!$D125</f>
        <v>18683140</v>
      </c>
      <c r="M104" s="3">
        <f>'Monthly D4 Gallon Data'!$D137</f>
        <v>17336621</v>
      </c>
      <c r="N104" s="3">
        <f>'Monthly D4 Gallon Data'!$D149</f>
        <v>29873220</v>
      </c>
      <c r="O104" s="3">
        <f>'Monthly D4 Gallon Data'!$D161</f>
        <v>34964458</v>
      </c>
      <c r="P104" s="3">
        <f>'Monthly D4 Gallon Data'!$D173</f>
        <v>48290339</v>
      </c>
      <c r="Q104" s="4">
        <f>(SUM(L104:P104)/SUM(L$113:P$113))*Q$113</f>
        <v>32480444.956097625</v>
      </c>
      <c r="R104" s="4">
        <f t="shared" si="118"/>
        <v>18300201.315653235</v>
      </c>
      <c r="S104" s="4">
        <f t="shared" si="118"/>
        <v>19590947.583573449</v>
      </c>
      <c r="T104" s="4">
        <f t="shared" si="118"/>
        <v>20696940.348730329</v>
      </c>
      <c r="U104" s="4">
        <f t="shared" si="118"/>
        <v>22743163.925226785</v>
      </c>
      <c r="V104" s="4">
        <f t="shared" si="118"/>
        <v>22373239.803192075</v>
      </c>
      <c r="W104" s="4">
        <f t="shared" si="118"/>
        <v>20545229.740602769</v>
      </c>
      <c r="X104" s="4">
        <f t="shared" si="118"/>
        <v>18639267.653936878</v>
      </c>
      <c r="Y104" s="4">
        <f t="shared" si="118"/>
        <v>17663188.284957003</v>
      </c>
      <c r="Z104" s="4">
        <f t="shared" si="118"/>
        <v>17323995.77318953</v>
      </c>
      <c r="AA104" s="4">
        <f t="shared" si="118"/>
        <v>15682423.757300021</v>
      </c>
      <c r="AB104" s="4">
        <f t="shared" si="118"/>
        <v>12766157.024369624</v>
      </c>
      <c r="AC104" s="4">
        <f t="shared" si="119"/>
        <v>10812279.729715971</v>
      </c>
      <c r="AD104" s="4">
        <f t="shared" si="120"/>
        <v>8850760.2798117809</v>
      </c>
      <c r="AE104" s="4">
        <f t="shared" si="120"/>
        <v>7379956.7553819856</v>
      </c>
      <c r="AF104" s="4">
        <f t="shared" si="120"/>
        <v>7366138.6123777954</v>
      </c>
      <c r="AG104" s="4">
        <f t="shared" si="120"/>
        <v>7371139.4377589291</v>
      </c>
      <c r="AH104" s="4">
        <f t="shared" si="120"/>
        <v>7372989.6732434928</v>
      </c>
      <c r="AI104" s="4">
        <f t="shared" si="120"/>
        <v>7373266.2997257663</v>
      </c>
      <c r="AJ104" s="4">
        <f t="shared" si="120"/>
        <v>7372698.1556975935</v>
      </c>
      <c r="AK104" s="4">
        <f t="shared" si="120"/>
        <v>7371246.435760716</v>
      </c>
      <c r="AL104" s="4">
        <f t="shared" si="120"/>
        <v>7372268.0004373007</v>
      </c>
      <c r="AM104" s="4">
        <f t="shared" si="120"/>
        <v>7372493.7129729744</v>
      </c>
      <c r="AN104" s="4">
        <f t="shared" si="120"/>
        <v>7372394.5209188703</v>
      </c>
      <c r="AO104" s="4">
        <f t="shared" si="120"/>
        <v>7372220.1651574913</v>
      </c>
      <c r="AP104" s="4">
        <f t="shared" si="120"/>
        <v>7372124.5670494707</v>
      </c>
      <c r="AQ104" s="4">
        <f t="shared" si="120"/>
        <v>7372300.1933072228</v>
      </c>
      <c r="AR104" s="4"/>
      <c r="AS104" s="94"/>
      <c r="AT104" s="121">
        <f t="shared" si="123"/>
        <v>7.3249572175589659</v>
      </c>
      <c r="AU104" s="197"/>
      <c r="AV104" s="194"/>
      <c r="AW104" s="194"/>
      <c r="AX104" s="194"/>
      <c r="AY104" s="195"/>
      <c r="AZ104" s="196"/>
      <c r="BA104" s="196"/>
      <c r="BB104" s="195"/>
      <c r="BC104" s="195">
        <v>152824951.74781588</v>
      </c>
      <c r="BD104" s="195">
        <f t="shared" si="125"/>
        <v>-134141811.74781588</v>
      </c>
      <c r="BE104" s="195">
        <v>129458434.08986306</v>
      </c>
      <c r="BF104" s="195">
        <f t="shared" si="126"/>
        <v>-112121813.08986306</v>
      </c>
      <c r="BG104" s="195">
        <v>138512422.75823951</v>
      </c>
      <c r="BH104" s="197">
        <f>SUM(O110:O112)/BH103-1</f>
        <v>0.34395599447179626</v>
      </c>
      <c r="BI104" s="3"/>
      <c r="BJ104" s="3">
        <v>48290339</v>
      </c>
      <c r="BK104" s="3">
        <f t="shared" si="121"/>
        <v>0</v>
      </c>
      <c r="BL104" s="3">
        <v>8120111.2390244054</v>
      </c>
      <c r="BM104" s="177">
        <f t="shared" si="122"/>
        <v>24360333.717073221</v>
      </c>
      <c r="BN104" s="3"/>
      <c r="BR104" s="3"/>
      <c r="BS104" s="3"/>
      <c r="BT104" s="3"/>
      <c r="BU104" s="3"/>
      <c r="BV104" s="9"/>
      <c r="BW104" s="3"/>
      <c r="BX104" s="9"/>
      <c r="BY104" s="3"/>
      <c r="BZ104" s="3"/>
      <c r="CA104" s="3"/>
      <c r="CB104" s="3"/>
      <c r="CC104" s="4"/>
      <c r="CD104" s="3"/>
      <c r="CE104" s="3"/>
      <c r="CF104" s="3"/>
      <c r="CG104" s="3"/>
      <c r="CH104" s="3"/>
      <c r="CI104" s="3"/>
      <c r="CJ104" s="3"/>
      <c r="CK104" s="3"/>
      <c r="CL104" s="3"/>
      <c r="CM104" s="3"/>
      <c r="CN104" s="3"/>
      <c r="CO104" s="3"/>
      <c r="CP104" s="3"/>
      <c r="CQ104" s="3"/>
      <c r="CR104" s="3"/>
      <c r="CS104" s="3"/>
      <c r="CT104" s="3"/>
      <c r="CU104" s="3"/>
      <c r="CV104" s="3"/>
      <c r="CW104" s="3"/>
      <c r="CX104" s="3"/>
      <c r="DA104" s="152"/>
      <c r="DB104" s="152"/>
      <c r="DC104" s="152"/>
      <c r="DD104" s="3"/>
      <c r="DE104" s="3"/>
      <c r="DF104" s="3"/>
      <c r="DG104" s="3"/>
      <c r="DH104" s="3"/>
      <c r="DI104" s="3"/>
      <c r="DJ104" s="3"/>
      <c r="DK104" s="3"/>
      <c r="DL104" s="3"/>
      <c r="DN104" s="3"/>
    </row>
    <row r="105" spans="1:118">
      <c r="A105" s="2" t="s">
        <v>47</v>
      </c>
      <c r="B105" s="3">
        <f>'Monthly D4 Gallon Data'!$D6</f>
        <v>0</v>
      </c>
      <c r="C105" s="3">
        <f>'Monthly D4 Gallon Data'!$D18</f>
        <v>2249922</v>
      </c>
      <c r="D105" s="3">
        <f>'Monthly D4 Gallon Data'!$D30</f>
        <v>2132126</v>
      </c>
      <c r="E105" s="3">
        <f>'Monthly D4 Gallon Data'!$D42</f>
        <v>10033114</v>
      </c>
      <c r="F105" s="3">
        <f>'Monthly D4 Gallon Data'!$D54</f>
        <v>4860083</v>
      </c>
      <c r="G105" s="3">
        <f>'Monthly D4 Gallon Data'!$D66</f>
        <v>14419954</v>
      </c>
      <c r="H105" s="3">
        <f>'Monthly D4 Gallon Data'!$D78</f>
        <v>33741590</v>
      </c>
      <c r="I105" s="3">
        <f>'Monthly D4 Gallon Data'!$D90</f>
        <v>39031612</v>
      </c>
      <c r="J105" s="3">
        <f>'Monthly D4 Gallon Data'!$D102</f>
        <v>16056827</v>
      </c>
      <c r="K105" s="3">
        <f>'Monthly D4 Gallon Data'!$D114</f>
        <v>15655745</v>
      </c>
      <c r="L105" s="3">
        <f>'Monthly D4 Gallon Data'!$D126</f>
        <v>18646666</v>
      </c>
      <c r="M105" s="3">
        <f>'Monthly D4 Gallon Data'!$D138</f>
        <v>13326443</v>
      </c>
      <c r="N105" s="3">
        <f>'Monthly D4 Gallon Data'!$D150</f>
        <v>11776660</v>
      </c>
      <c r="O105" s="3">
        <f>'Monthly D4 Gallon Data'!$D162</f>
        <v>39419838</v>
      </c>
      <c r="P105" s="3">
        <f>'Monthly D4 Gallon Data'!$D174</f>
        <v>35451412</v>
      </c>
      <c r="Q105" s="4">
        <f t="shared" si="118"/>
        <v>25832523.487314109</v>
      </c>
      <c r="R105" s="4">
        <f t="shared" si="118"/>
        <v>14129246.030895434</v>
      </c>
      <c r="S105" s="4">
        <f t="shared" si="118"/>
        <v>15132840.116583182</v>
      </c>
      <c r="T105" s="4">
        <f t="shared" si="118"/>
        <v>17509333.059616942</v>
      </c>
      <c r="U105" s="4">
        <f t="shared" si="118"/>
        <v>17634475.568807781</v>
      </c>
      <c r="V105" s="4">
        <f t="shared" si="118"/>
        <v>17739176.239777789</v>
      </c>
      <c r="W105" s="4">
        <f t="shared" si="118"/>
        <v>16274023.503106639</v>
      </c>
      <c r="X105" s="4">
        <f t="shared" si="118"/>
        <v>14828769.641388467</v>
      </c>
      <c r="Y105" s="4">
        <f t="shared" si="118"/>
        <v>14128448.637650065</v>
      </c>
      <c r="Z105" s="4">
        <f t="shared" si="118"/>
        <v>13695006.192599883</v>
      </c>
      <c r="AA105" s="4">
        <f t="shared" si="118"/>
        <v>12453266.877485942</v>
      </c>
      <c r="AB105" s="4">
        <f t="shared" si="118"/>
        <v>10141351.836928993</v>
      </c>
      <c r="AC105" s="4">
        <f t="shared" si="119"/>
        <v>8595392.515527986</v>
      </c>
      <c r="AD105" s="4">
        <f t="shared" si="120"/>
        <v>7034717.8084998121</v>
      </c>
      <c r="AE105" s="4">
        <f t="shared" si="120"/>
        <v>5855609.2365837544</v>
      </c>
      <c r="AF105" s="4">
        <f t="shared" si="120"/>
        <v>5851372.3373928964</v>
      </c>
      <c r="AG105" s="4">
        <f t="shared" si="120"/>
        <v>5856006.8335833512</v>
      </c>
      <c r="AH105" s="4">
        <f t="shared" si="120"/>
        <v>5857605.6585154943</v>
      </c>
      <c r="AI105" s="4">
        <f t="shared" si="120"/>
        <v>5856790.7451106356</v>
      </c>
      <c r="AJ105" s="4">
        <f t="shared" si="120"/>
        <v>5855476.9622372258</v>
      </c>
      <c r="AK105" s="4">
        <f t="shared" si="120"/>
        <v>5855450.5073679201</v>
      </c>
      <c r="AL105" s="4">
        <f t="shared" si="120"/>
        <v>5856266.141362926</v>
      </c>
      <c r="AM105" s="4">
        <f t="shared" si="120"/>
        <v>5856318.0029188395</v>
      </c>
      <c r="AN105" s="4">
        <f t="shared" si="120"/>
        <v>5856060.4717995096</v>
      </c>
      <c r="AO105" s="4">
        <f t="shared" si="120"/>
        <v>5855914.4171372848</v>
      </c>
      <c r="AP105" s="4">
        <f t="shared" si="120"/>
        <v>5856001.9081172952</v>
      </c>
      <c r="AQ105" s="4">
        <f t="shared" si="120"/>
        <v>5856112.1882671705</v>
      </c>
      <c r="AR105" s="4"/>
      <c r="AS105" s="94">
        <f>AS101/AS102-1</f>
        <v>-0.88993196423902099</v>
      </c>
      <c r="AT105" s="121">
        <f t="shared" si="123"/>
        <v>-0.20467458120629867</v>
      </c>
      <c r="AU105" s="197"/>
      <c r="AV105" s="194"/>
      <c r="AW105" s="194"/>
      <c r="AX105" s="194"/>
      <c r="AY105" s="195"/>
      <c r="AZ105" s="196"/>
      <c r="BA105" s="195">
        <v>178072540.96348354</v>
      </c>
      <c r="BB105" s="195">
        <f t="shared" ref="BB105:BB113" si="127">K105-BA105</f>
        <v>-162416795.96348354</v>
      </c>
      <c r="BC105" s="195">
        <v>157209465.91249242</v>
      </c>
      <c r="BD105" s="195">
        <f t="shared" si="125"/>
        <v>-138562799.91249242</v>
      </c>
      <c r="BE105" s="195">
        <v>142690356.2444244</v>
      </c>
      <c r="BF105" s="195">
        <f t="shared" si="126"/>
        <v>-129363913.2444244</v>
      </c>
      <c r="BG105" s="195">
        <v>143839399.92900729</v>
      </c>
      <c r="BH105" s="195"/>
      <c r="BI105" s="3"/>
      <c r="BJ105" s="3">
        <v>35451412</v>
      </c>
      <c r="BK105" s="3">
        <f t="shared" si="121"/>
        <v>0</v>
      </c>
      <c r="BL105" s="3">
        <v>6458130.8718285263</v>
      </c>
      <c r="BM105" s="177">
        <f t="shared" si="122"/>
        <v>19374392.615485583</v>
      </c>
      <c r="BN105" s="3"/>
      <c r="BR105" s="3"/>
      <c r="BS105" s="3"/>
      <c r="BT105" s="3"/>
      <c r="BU105" s="3"/>
      <c r="BV105" s="9"/>
      <c r="BW105" s="3"/>
      <c r="BX105" s="9"/>
      <c r="BY105" s="3"/>
      <c r="BZ105" s="3"/>
      <c r="CA105" s="3"/>
      <c r="CB105" s="3"/>
      <c r="CC105" s="4"/>
      <c r="CD105" s="3"/>
      <c r="CE105" s="3"/>
      <c r="CF105" s="3"/>
      <c r="CG105" s="3"/>
      <c r="CH105" s="3"/>
      <c r="CI105" s="3"/>
      <c r="CJ105" s="3"/>
      <c r="CK105" s="3"/>
      <c r="CL105" s="3"/>
      <c r="CM105" s="3"/>
      <c r="CN105" s="3"/>
      <c r="CO105" s="3"/>
      <c r="CP105" s="3"/>
      <c r="CQ105" s="3"/>
      <c r="CR105" s="3"/>
      <c r="CS105" s="3"/>
      <c r="CT105" s="3"/>
      <c r="CU105" s="3"/>
      <c r="CV105" s="3"/>
      <c r="CW105" s="3"/>
      <c r="CX105" s="3"/>
      <c r="CZ105" s="83"/>
      <c r="DA105" s="152"/>
      <c r="DB105" s="152"/>
      <c r="DC105" s="152"/>
      <c r="DD105" s="3"/>
      <c r="DE105" s="3"/>
      <c r="DF105" s="3"/>
      <c r="DG105" s="3"/>
      <c r="DH105" s="3"/>
      <c r="DI105" s="3"/>
      <c r="DJ105" s="3"/>
      <c r="DK105" s="3"/>
      <c r="DL105" s="3"/>
      <c r="DN105" s="3"/>
    </row>
    <row r="106" spans="1:118">
      <c r="A106" s="2" t="s">
        <v>72</v>
      </c>
      <c r="B106" s="3">
        <f>'Monthly D4 Gallon Data'!$D7</f>
        <v>0</v>
      </c>
      <c r="C106" s="3">
        <f>'Monthly D4 Gallon Data'!$D19</f>
        <v>3510101</v>
      </c>
      <c r="D106" s="3">
        <f>'Monthly D4 Gallon Data'!$D31</f>
        <v>5877535</v>
      </c>
      <c r="E106" s="3">
        <f>'Monthly D4 Gallon Data'!$D43</f>
        <v>14747164</v>
      </c>
      <c r="F106" s="3">
        <f>'Monthly D4 Gallon Data'!$D55</f>
        <v>5538706</v>
      </c>
      <c r="G106" s="3">
        <f>'Monthly D4 Gallon Data'!$D67</f>
        <v>16633771</v>
      </c>
      <c r="H106" s="3">
        <f>'Monthly D4 Gallon Data'!$D79</f>
        <v>56793626</v>
      </c>
      <c r="I106" s="3">
        <f>'Monthly D4 Gallon Data'!$D91</f>
        <v>83762771</v>
      </c>
      <c r="J106" s="3">
        <f>'Monthly D4 Gallon Data'!$D103</f>
        <v>12234295</v>
      </c>
      <c r="K106" s="3">
        <f>'Monthly D4 Gallon Data'!$D115</f>
        <v>19389140</v>
      </c>
      <c r="L106" s="3">
        <f>'Monthly D4 Gallon Data'!$D127</f>
        <v>16749201</v>
      </c>
      <c r="M106" s="3">
        <f>'Monthly D4 Gallon Data'!$D139</f>
        <v>17588416</v>
      </c>
      <c r="N106" s="3">
        <f>'Monthly D4 Gallon Data'!$D151</f>
        <v>19314836</v>
      </c>
      <c r="O106" s="3">
        <f>'Monthly D4 Gallon Data'!$D163</f>
        <v>41179873</v>
      </c>
      <c r="P106" s="3">
        <f>'Monthly D4 Gallon Data'!$D175</f>
        <v>37513575</v>
      </c>
      <c r="Q106" s="4">
        <f>(SUM(L106:P106)/SUM(L$113:P$113))*Q$113</f>
        <v>28821440.119581573</v>
      </c>
      <c r="R106" s="4">
        <f t="shared" si="118"/>
        <v>16219458.665915268</v>
      </c>
      <c r="S106" s="4">
        <f t="shared" si="118"/>
        <v>17097748.13535852</v>
      </c>
      <c r="T106" s="4">
        <f t="shared" si="118"/>
        <v>18973260.072930049</v>
      </c>
      <c r="U106" s="4">
        <f t="shared" si="118"/>
        <v>19359504.85724223</v>
      </c>
      <c r="V106" s="4">
        <f t="shared" si="118"/>
        <v>19750790.363877229</v>
      </c>
      <c r="W106" s="4">
        <f t="shared" si="118"/>
        <v>18107698.150960274</v>
      </c>
      <c r="X106" s="4">
        <f t="shared" si="118"/>
        <v>16411953.981731458</v>
      </c>
      <c r="Y106" s="4">
        <f t="shared" si="118"/>
        <v>15578109.660573293</v>
      </c>
      <c r="Z106" s="4">
        <f t="shared" si="118"/>
        <v>15156708.716036197</v>
      </c>
      <c r="AA106" s="4">
        <f t="shared" si="118"/>
        <v>13807961.157064522</v>
      </c>
      <c r="AB106" s="4">
        <f t="shared" si="118"/>
        <v>11232913.788663989</v>
      </c>
      <c r="AC106" s="4">
        <f t="shared" si="119"/>
        <v>9509749.9442486707</v>
      </c>
      <c r="AD106" s="4">
        <f t="shared" si="120"/>
        <v>7782370.7205202654</v>
      </c>
      <c r="AE106" s="4">
        <f t="shared" si="120"/>
        <v>6483801.2398346225</v>
      </c>
      <c r="AF106" s="4">
        <f t="shared" si="120"/>
        <v>6480105.776592752</v>
      </c>
      <c r="AG106" s="4">
        <f t="shared" si="120"/>
        <v>6482647.1046656715</v>
      </c>
      <c r="AH106" s="4">
        <f t="shared" si="120"/>
        <v>6483295.5504462328</v>
      </c>
      <c r="AI106" s="4">
        <f t="shared" si="120"/>
        <v>6483119.3061652966</v>
      </c>
      <c r="AJ106" s="4">
        <f t="shared" si="120"/>
        <v>6482593.7955409149</v>
      </c>
      <c r="AK106" s="4">
        <f t="shared" si="120"/>
        <v>6482352.3066821732</v>
      </c>
      <c r="AL106" s="4">
        <f t="shared" si="120"/>
        <v>6482801.6127000581</v>
      </c>
      <c r="AM106" s="4">
        <f t="shared" si="120"/>
        <v>6482832.5143069355</v>
      </c>
      <c r="AN106" s="4">
        <f t="shared" si="120"/>
        <v>6482739.9070790755</v>
      </c>
      <c r="AO106" s="4">
        <f t="shared" si="120"/>
        <v>6482664.0272618309</v>
      </c>
      <c r="AP106" s="4">
        <f t="shared" si="120"/>
        <v>6482678.0736060143</v>
      </c>
      <c r="AQ106" s="4">
        <f t="shared" si="120"/>
        <v>6482743.2269907827</v>
      </c>
      <c r="AR106" s="4"/>
      <c r="AS106" s="94">
        <f>AS101/AS103-1</f>
        <v>-0.83406034645363936</v>
      </c>
      <c r="AT106" s="121">
        <f t="shared" si="123"/>
        <v>0.11570362584728766</v>
      </c>
      <c r="AU106" s="197"/>
      <c r="AV106" s="194"/>
      <c r="AW106" s="194"/>
      <c r="AX106" s="194"/>
      <c r="AY106" s="195"/>
      <c r="AZ106" s="196"/>
      <c r="BA106" s="195">
        <v>167055104.50212622</v>
      </c>
      <c r="BB106" s="195">
        <f t="shared" si="127"/>
        <v>-147665964.50212622</v>
      </c>
      <c r="BC106" s="195">
        <v>140041174.55798692</v>
      </c>
      <c r="BD106" s="195">
        <f t="shared" si="125"/>
        <v>-123291973.55798692</v>
      </c>
      <c r="BE106" s="195">
        <v>155020352.91339663</v>
      </c>
      <c r="BF106" s="195">
        <f t="shared" si="126"/>
        <v>-137431936.91339663</v>
      </c>
      <c r="BG106" s="195">
        <v>148189433.6392737</v>
      </c>
      <c r="BH106" s="194">
        <f>SUM(P104:P106)</f>
        <v>121255326</v>
      </c>
      <c r="BI106" s="3"/>
      <c r="BJ106" s="3">
        <v>37513575</v>
      </c>
      <c r="BK106" s="3">
        <f t="shared" si="121"/>
        <v>0</v>
      </c>
      <c r="BL106" s="3">
        <v>7205360.0298953922</v>
      </c>
      <c r="BM106" s="177">
        <f t="shared" si="122"/>
        <v>21616080.089686181</v>
      </c>
      <c r="BN106" s="3"/>
      <c r="BR106" s="3"/>
      <c r="BS106" s="3"/>
      <c r="BT106" s="3"/>
      <c r="BU106" s="3"/>
      <c r="BV106" s="9"/>
      <c r="BW106" s="3"/>
      <c r="BX106" s="9"/>
      <c r="BY106" s="3"/>
      <c r="BZ106" s="3"/>
      <c r="CA106" s="3"/>
      <c r="CB106" s="3"/>
      <c r="CC106" s="4"/>
      <c r="CD106" s="3"/>
      <c r="CE106" s="3"/>
      <c r="CF106" s="3"/>
      <c r="CG106" s="3"/>
      <c r="CH106" s="3"/>
      <c r="CI106" s="3"/>
      <c r="CJ106" s="3"/>
      <c r="CK106" s="3"/>
      <c r="CL106" s="3"/>
      <c r="CM106" s="3"/>
      <c r="CN106" s="3"/>
      <c r="CO106" s="3"/>
      <c r="CP106" s="3"/>
      <c r="CQ106" s="3"/>
      <c r="CR106" s="3"/>
      <c r="CS106" s="3"/>
      <c r="CT106" s="3"/>
      <c r="CU106" s="3"/>
      <c r="CV106" s="3"/>
      <c r="CW106" s="3"/>
      <c r="CX106" s="3"/>
      <c r="DA106" s="152"/>
      <c r="DB106" s="152"/>
      <c r="DC106" s="152"/>
      <c r="DD106" s="3"/>
      <c r="DE106" s="3"/>
      <c r="DF106" s="3"/>
      <c r="DG106" s="3"/>
      <c r="DH106" s="3"/>
      <c r="DI106" s="3"/>
      <c r="DJ106" s="3"/>
      <c r="DK106" s="3"/>
      <c r="DL106" s="4"/>
      <c r="DN106" s="3"/>
    </row>
    <row r="107" spans="1:118">
      <c r="A107" s="2" t="s">
        <v>73</v>
      </c>
      <c r="B107" s="3">
        <f>'Monthly D4 Gallon Data'!$D8</f>
        <v>1377408</v>
      </c>
      <c r="C107" s="3">
        <f>'Monthly D4 Gallon Data'!$D20</f>
        <v>2521122</v>
      </c>
      <c r="D107" s="3">
        <f>'Monthly D4 Gallon Data'!$D32</f>
        <v>2650483</v>
      </c>
      <c r="E107" s="3">
        <f>'Monthly D4 Gallon Data'!$D44</f>
        <v>6520032</v>
      </c>
      <c r="F107" s="3">
        <f>'Monthly D4 Gallon Data'!$D56</f>
        <v>16821335</v>
      </c>
      <c r="G107" s="3">
        <f>'Monthly D4 Gallon Data'!$D68</f>
        <v>37059083</v>
      </c>
      <c r="H107" s="3">
        <f>'Monthly D4 Gallon Data'!$D80</f>
        <v>26661866</v>
      </c>
      <c r="I107" s="3">
        <f>'Monthly D4 Gallon Data'!$D92</f>
        <v>54630838</v>
      </c>
      <c r="J107" s="3">
        <f>'Monthly D4 Gallon Data'!$D104</f>
        <v>5311333</v>
      </c>
      <c r="K107" s="3">
        <f>'Monthly D4 Gallon Data'!$D116</f>
        <v>16326425</v>
      </c>
      <c r="L107" s="3">
        <f>'Monthly D4 Gallon Data'!$D128</f>
        <v>19995093</v>
      </c>
      <c r="M107" s="3">
        <f>'Monthly D4 Gallon Data'!$D140</f>
        <v>15382342</v>
      </c>
      <c r="N107" s="3">
        <f>'Monthly D4 Gallon Data'!$D152</f>
        <v>8715707</v>
      </c>
      <c r="O107" s="3">
        <f>'Monthly D4 Gallon Data'!$D164</f>
        <v>30319251</v>
      </c>
      <c r="P107" s="3">
        <f>'Monthly D4 Gallon Data'!$D176</f>
        <v>22459889</v>
      </c>
      <c r="Q107" s="4">
        <f>(SUM(L107:P107)/SUM(L$113:P$113))*Q$113+2500000</f>
        <v>23596223.259005353</v>
      </c>
      <c r="R107" s="4">
        <f t="shared" si="118"/>
        <v>11284069.686876141</v>
      </c>
      <c r="S107" s="4">
        <f t="shared" si="118"/>
        <v>11519100.194899365</v>
      </c>
      <c r="T107" s="4">
        <f t="shared" si="118"/>
        <v>13361585.681085302</v>
      </c>
      <c r="U107" s="4">
        <f t="shared" si="118"/>
        <v>13418325.162611175</v>
      </c>
      <c r="V107" s="4">
        <f t="shared" si="118"/>
        <v>14385675.142247684</v>
      </c>
      <c r="W107" s="4">
        <f t="shared" si="118"/>
        <v>12673055.407755783</v>
      </c>
      <c r="X107" s="4">
        <f t="shared" si="118"/>
        <v>11498121.20540173</v>
      </c>
      <c r="Y107" s="4">
        <f t="shared" si="118"/>
        <v>10991231.091437666</v>
      </c>
      <c r="Z107" s="4">
        <f t="shared" si="118"/>
        <v>10698176.118111124</v>
      </c>
      <c r="AA107" s="4">
        <f t="shared" si="118"/>
        <v>9786194.3496371973</v>
      </c>
      <c r="AB107" s="4">
        <f t="shared" si="118"/>
        <v>7906099.6310433391</v>
      </c>
      <c r="AC107" s="4">
        <f t="shared" si="119"/>
        <v>6702731.0940352287</v>
      </c>
      <c r="AD107" s="4">
        <f t="shared" si="120"/>
        <v>5493508.4842169667</v>
      </c>
      <c r="AE107" s="4">
        <f t="shared" si="120"/>
        <v>4577448.4598169765</v>
      </c>
      <c r="AF107" s="4">
        <f t="shared" si="120"/>
        <v>4575130.3564712005</v>
      </c>
      <c r="AG107" s="4">
        <f t="shared" si="120"/>
        <v>4571080.9414974544</v>
      </c>
      <c r="AH107" s="4">
        <f t="shared" si="120"/>
        <v>4574099.8828302054</v>
      </c>
      <c r="AI107" s="4">
        <f t="shared" si="120"/>
        <v>4575243.870160155</v>
      </c>
      <c r="AJ107" s="4">
        <f t="shared" si="120"/>
        <v>4574600.702155198</v>
      </c>
      <c r="AK107" s="4">
        <f t="shared" si="120"/>
        <v>4574031.1506228428</v>
      </c>
      <c r="AL107" s="4">
        <f t="shared" si="120"/>
        <v>4573811.3094531717</v>
      </c>
      <c r="AM107" s="4">
        <f t="shared" si="120"/>
        <v>4574357.3830443155</v>
      </c>
      <c r="AN107" s="4">
        <f t="shared" si="120"/>
        <v>4574408.8830871377</v>
      </c>
      <c r="AO107" s="4">
        <f t="shared" si="120"/>
        <v>4574241.885672532</v>
      </c>
      <c r="AP107" s="4">
        <f t="shared" si="120"/>
        <v>4574170.1223760005</v>
      </c>
      <c r="AQ107" s="4">
        <f t="shared" si="120"/>
        <v>4574197.916726633</v>
      </c>
      <c r="AR107" s="4"/>
      <c r="AS107" s="94"/>
      <c r="AT107" s="121">
        <f t="shared" si="123"/>
        <v>-0.18129617530895537</v>
      </c>
      <c r="AU107" s="197"/>
      <c r="AV107" s="194"/>
      <c r="AW107" s="194"/>
      <c r="AX107" s="194"/>
      <c r="AY107" s="195"/>
      <c r="AZ107" s="196"/>
      <c r="BA107" s="195">
        <v>143619523.04200637</v>
      </c>
      <c r="BB107" s="195">
        <f t="shared" si="127"/>
        <v>-127293098.04200637</v>
      </c>
      <c r="BC107" s="195">
        <v>165126501.15137365</v>
      </c>
      <c r="BD107" s="195">
        <f t="shared" si="125"/>
        <v>-145131408.15137365</v>
      </c>
      <c r="BE107" s="195">
        <v>161089374.57035646</v>
      </c>
      <c r="BF107" s="195">
        <f t="shared" si="126"/>
        <v>-145707032.57035646</v>
      </c>
      <c r="BG107" s="195">
        <v>144098244.42470986</v>
      </c>
      <c r="BH107" s="197">
        <f>(BH106/BH103)-1</f>
        <v>-7.4153742943432466E-3</v>
      </c>
      <c r="BI107" s="3"/>
      <c r="BJ107" s="4">
        <v>22459889</v>
      </c>
      <c r="BK107" s="3">
        <f t="shared" si="121"/>
        <v>0</v>
      </c>
      <c r="BL107" s="3">
        <v>7774055.8147513373</v>
      </c>
      <c r="BM107" s="177">
        <f t="shared" si="122"/>
        <v>15822167.444254015</v>
      </c>
      <c r="BN107" s="3"/>
      <c r="BR107" s="3"/>
      <c r="BS107" s="3"/>
      <c r="BT107" s="3"/>
      <c r="BU107" s="3"/>
      <c r="BV107" s="9"/>
      <c r="BW107" s="3"/>
      <c r="BX107" s="9"/>
      <c r="BY107" s="3"/>
      <c r="BZ107" s="3"/>
      <c r="CA107" s="3"/>
      <c r="CB107" s="3"/>
      <c r="CC107" s="4"/>
      <c r="CD107" s="3"/>
      <c r="CE107" s="3"/>
      <c r="CF107" s="3"/>
      <c r="CG107" s="3"/>
      <c r="CH107" s="3"/>
      <c r="CI107" s="3"/>
      <c r="CJ107" s="3"/>
      <c r="CK107" s="3"/>
      <c r="CL107" s="3"/>
      <c r="CM107" s="3"/>
      <c r="CN107" s="3"/>
      <c r="CO107" s="3"/>
      <c r="CP107" s="3"/>
      <c r="CQ107" s="3"/>
      <c r="CR107" s="3"/>
      <c r="CS107" s="3"/>
      <c r="CT107" s="3"/>
      <c r="CU107" s="3"/>
      <c r="CV107" s="3"/>
      <c r="CW107" s="3"/>
      <c r="CX107" s="3"/>
      <c r="DA107" s="152"/>
      <c r="DB107" s="152"/>
      <c r="DC107" s="152"/>
      <c r="DD107" s="3"/>
      <c r="DE107" s="3"/>
      <c r="DF107" s="3"/>
      <c r="DG107" s="3"/>
      <c r="DH107" s="3"/>
      <c r="DI107" s="3"/>
      <c r="DJ107" s="3"/>
      <c r="DK107" s="3"/>
      <c r="DL107" s="4"/>
      <c r="DN107" s="3"/>
    </row>
    <row r="108" spans="1:118">
      <c r="A108" s="2" t="s">
        <v>74</v>
      </c>
      <c r="B108" s="3">
        <f>'Monthly D4 Gallon Data'!$D9</f>
        <v>2315495</v>
      </c>
      <c r="C108" s="3">
        <f>'Monthly D4 Gallon Data'!$D21</f>
        <v>2583842</v>
      </c>
      <c r="D108" s="3">
        <f>'Monthly D4 Gallon Data'!$D33</f>
        <v>3399417</v>
      </c>
      <c r="E108" s="3">
        <f>'Monthly D4 Gallon Data'!$D45</f>
        <v>14659918</v>
      </c>
      <c r="F108" s="3">
        <f>'Monthly D4 Gallon Data'!$D57</f>
        <v>7814992</v>
      </c>
      <c r="G108" s="3">
        <f>'Monthly D4 Gallon Data'!$D69</f>
        <v>30674729</v>
      </c>
      <c r="H108" s="3">
        <f>'Monthly D4 Gallon Data'!$D81</f>
        <v>61457420</v>
      </c>
      <c r="I108" s="3">
        <f>'Monthly D4 Gallon Data'!$D93</f>
        <v>52041080</v>
      </c>
      <c r="J108" s="3">
        <f>'Monthly D4 Gallon Data'!$D105</f>
        <v>13020993</v>
      </c>
      <c r="K108" s="3">
        <f>'Monthly D4 Gallon Data'!$D117</f>
        <v>8822166</v>
      </c>
      <c r="L108" s="3">
        <f>'Monthly D4 Gallon Data'!$D129</f>
        <v>16351622</v>
      </c>
      <c r="M108" s="3">
        <f>'Monthly D4 Gallon Data'!$D141</f>
        <v>11048139</v>
      </c>
      <c r="N108" s="3">
        <f>'Monthly D4 Gallon Data'!$D153</f>
        <v>15269993</v>
      </c>
      <c r="O108" s="3">
        <f>'Monthly D4 Gallon Data'!$D165</f>
        <v>44239929</v>
      </c>
      <c r="P108" s="3">
        <f>'Monthly D4 Gallon Data'!$D177</f>
        <v>24497122</v>
      </c>
      <c r="Q108" s="4">
        <f>(SUM(L108:P108)/SUM(L$113:P$113))*Q$113+1000000</f>
        <v>25261458.307057053</v>
      </c>
      <c r="R108" s="4">
        <f t="shared" si="118"/>
        <v>13512643.140852682</v>
      </c>
      <c r="S108" s="4">
        <f t="shared" si="118"/>
        <v>14675240.080099355</v>
      </c>
      <c r="T108" s="4">
        <f t="shared" si="118"/>
        <v>16461263.351296833</v>
      </c>
      <c r="U108" s="4">
        <f t="shared" si="118"/>
        <v>15407202.705206882</v>
      </c>
      <c r="V108" s="4">
        <f t="shared" si="118"/>
        <v>16771876.704647817</v>
      </c>
      <c r="W108" s="4">
        <f t="shared" si="118"/>
        <v>15220686.279473348</v>
      </c>
      <c r="X108" s="4">
        <f t="shared" si="118"/>
        <v>13816565.863831114</v>
      </c>
      <c r="Y108" s="4">
        <f t="shared" si="118"/>
        <v>13067258.955889791</v>
      </c>
      <c r="Z108" s="4">
        <f t="shared" si="118"/>
        <v>12620998.387459774</v>
      </c>
      <c r="AA108" s="4">
        <f t="shared" si="118"/>
        <v>11613788.619906897</v>
      </c>
      <c r="AB108" s="4">
        <f t="shared" si="118"/>
        <v>9425255.468691716</v>
      </c>
      <c r="AC108" s="4">
        <f t="shared" si="119"/>
        <v>7975838.8054320021</v>
      </c>
      <c r="AD108" s="4">
        <f t="shared" si="120"/>
        <v>6520904.1342572393</v>
      </c>
      <c r="AE108" s="4">
        <f t="shared" si="120"/>
        <v>5431216.4002722884</v>
      </c>
      <c r="AF108" s="4">
        <f t="shared" si="120"/>
        <v>5438097.800251347</v>
      </c>
      <c r="AG108" s="4">
        <f t="shared" si="120"/>
        <v>5436142.5951413428</v>
      </c>
      <c r="AH108" s="4">
        <f t="shared" si="120"/>
        <v>5435682.30623898</v>
      </c>
      <c r="AI108" s="4">
        <f t="shared" si="120"/>
        <v>5435008.3146463837</v>
      </c>
      <c r="AJ108" s="4">
        <f t="shared" si="120"/>
        <v>5435229.483310068</v>
      </c>
      <c r="AK108" s="4">
        <f t="shared" si="120"/>
        <v>5436032.0999176232</v>
      </c>
      <c r="AL108" s="4">
        <f t="shared" si="120"/>
        <v>5435618.9598508794</v>
      </c>
      <c r="AM108" s="4">
        <f t="shared" si="120"/>
        <v>5435514.2327927873</v>
      </c>
      <c r="AN108" s="4">
        <f t="shared" si="120"/>
        <v>5435480.6181035489</v>
      </c>
      <c r="AO108" s="4">
        <f t="shared" si="120"/>
        <v>5435575.0787949814</v>
      </c>
      <c r="AP108" s="4">
        <f t="shared" si="120"/>
        <v>5435644.1978919646</v>
      </c>
      <c r="AQ108" s="4">
        <f t="shared" si="120"/>
        <v>5435566.6174868317</v>
      </c>
      <c r="AR108" s="4"/>
      <c r="AS108" s="94"/>
      <c r="AT108" s="121">
        <f t="shared" si="123"/>
        <v>7.0572100872802634E-2</v>
      </c>
      <c r="AU108" s="197"/>
      <c r="AV108" s="194"/>
      <c r="AW108" s="194"/>
      <c r="AX108" s="194"/>
      <c r="AY108" s="195"/>
      <c r="AZ108" s="196"/>
      <c r="BA108" s="195">
        <v>179278729.11455953</v>
      </c>
      <c r="BB108" s="195">
        <f t="shared" si="127"/>
        <v>-170456563.11455953</v>
      </c>
      <c r="BC108" s="195">
        <v>168020270.68833292</v>
      </c>
      <c r="BD108" s="195">
        <f t="shared" si="125"/>
        <v>-151668648.68833292</v>
      </c>
      <c r="BE108" s="195">
        <v>155942954.667191</v>
      </c>
      <c r="BF108" s="195">
        <f t="shared" si="126"/>
        <v>-144894815.667191</v>
      </c>
      <c r="BG108" s="195">
        <v>141572065.80553842</v>
      </c>
      <c r="BH108" s="195"/>
      <c r="BI108" s="3"/>
      <c r="BJ108" s="4">
        <v>34089886.977334261</v>
      </c>
      <c r="BK108" s="3">
        <f t="shared" si="121"/>
        <v>-9592764.9773342609</v>
      </c>
      <c r="BL108" s="3">
        <v>7065364.5767642623</v>
      </c>
      <c r="BM108" s="177">
        <f t="shared" si="122"/>
        <v>18196093.73029279</v>
      </c>
      <c r="BN108" s="3"/>
      <c r="BR108" s="3"/>
      <c r="BS108" s="3"/>
      <c r="BT108" s="3"/>
      <c r="BU108" s="3"/>
      <c r="BV108" s="9"/>
      <c r="BW108" s="3"/>
      <c r="BX108" s="9"/>
      <c r="BY108" s="3"/>
      <c r="BZ108" s="3"/>
      <c r="CA108" s="3"/>
      <c r="CB108" s="3"/>
      <c r="CC108" s="4"/>
      <c r="CD108" s="3"/>
      <c r="CE108" s="3"/>
      <c r="CF108" s="3"/>
      <c r="CG108" s="3"/>
      <c r="CH108" s="3"/>
      <c r="CI108" s="3"/>
      <c r="CJ108" s="3"/>
      <c r="CK108" s="3"/>
      <c r="CL108" s="3"/>
      <c r="CM108" s="3"/>
      <c r="CN108" s="3"/>
      <c r="CO108" s="3"/>
      <c r="CP108" s="3"/>
      <c r="CQ108" s="3"/>
      <c r="CR108" s="3"/>
      <c r="CS108" s="3"/>
      <c r="CT108" s="3"/>
      <c r="CU108" s="3"/>
      <c r="CV108" s="3"/>
      <c r="CW108" s="3"/>
      <c r="CX108" s="3"/>
      <c r="DA108" s="152"/>
      <c r="DB108" s="152"/>
      <c r="DC108" s="152"/>
      <c r="DD108" s="3"/>
      <c r="DE108" s="3"/>
      <c r="DF108" s="3"/>
      <c r="DG108" s="3"/>
      <c r="DH108" s="3"/>
      <c r="DI108" s="3"/>
      <c r="DJ108" s="3"/>
      <c r="DK108" s="3"/>
      <c r="DL108" s="4"/>
      <c r="DN108" s="3"/>
    </row>
    <row r="109" spans="1:118">
      <c r="A109" s="2" t="s">
        <v>75</v>
      </c>
      <c r="B109" s="3">
        <f>'Monthly D4 Gallon Data'!$D10</f>
        <v>1242409</v>
      </c>
      <c r="C109" s="3">
        <f>'Monthly D4 Gallon Data'!$D22</f>
        <v>4644979</v>
      </c>
      <c r="D109" s="3">
        <f>'Monthly D4 Gallon Data'!$D34</f>
        <v>4003665</v>
      </c>
      <c r="E109" s="3">
        <f>'Monthly D4 Gallon Data'!$D46</f>
        <v>10683171</v>
      </c>
      <c r="F109" s="3">
        <f>'Monthly D4 Gallon Data'!$D58</f>
        <v>12406590</v>
      </c>
      <c r="G109" s="3">
        <f>'Monthly D4 Gallon Data'!$D70</f>
        <v>21838343</v>
      </c>
      <c r="H109" s="3">
        <f>'Monthly D4 Gallon Data'!$D82</f>
        <v>73263294</v>
      </c>
      <c r="I109" s="3">
        <f>'Monthly D4 Gallon Data'!$D94</f>
        <v>27897293</v>
      </c>
      <c r="J109" s="3">
        <f>'Monthly D4 Gallon Data'!$D106</f>
        <v>11814679</v>
      </c>
      <c r="K109" s="3">
        <f>'Monthly D4 Gallon Data'!$D118</f>
        <v>14859020</v>
      </c>
      <c r="L109" s="3">
        <f>'Monthly D4 Gallon Data'!$D130</f>
        <v>14054214</v>
      </c>
      <c r="M109" s="3">
        <f>'Monthly D4 Gallon Data'!$D142</f>
        <v>11792295</v>
      </c>
      <c r="N109" s="3">
        <f>'Monthly D4 Gallon Data'!$D154</f>
        <v>19091391</v>
      </c>
      <c r="O109" s="3">
        <f>'Monthly D4 Gallon Data'!$D166</f>
        <v>40464493</v>
      </c>
      <c r="P109" s="3">
        <f>'Monthly D4 Gallon Data'!$D178</f>
        <v>26648068</v>
      </c>
      <c r="Q109" s="4">
        <f>(SUM(L109:P109)/SUM(L$113:P$113))*Q$113+2000000</f>
        <v>26401629.575841647</v>
      </c>
      <c r="R109" s="4">
        <f t="shared" si="118"/>
        <v>13971002.642596131</v>
      </c>
      <c r="S109" s="4">
        <f t="shared" si="118"/>
        <v>15128884.448407082</v>
      </c>
      <c r="T109" s="4">
        <f t="shared" si="118"/>
        <v>16518882.187209332</v>
      </c>
      <c r="U109" s="4">
        <f t="shared" si="118"/>
        <v>16102549.226461956</v>
      </c>
      <c r="V109" s="4">
        <f t="shared" si="118"/>
        <v>17323314.579930529</v>
      </c>
      <c r="W109" s="4">
        <f t="shared" si="118"/>
        <v>15659785.799780242</v>
      </c>
      <c r="X109" s="4">
        <f t="shared" si="118"/>
        <v>14203101.00549994</v>
      </c>
      <c r="Y109" s="4">
        <f t="shared" si="118"/>
        <v>13425583.087662391</v>
      </c>
      <c r="Z109" s="4">
        <f t="shared" si="118"/>
        <v>13033988.735323919</v>
      </c>
      <c r="AA109" s="4">
        <f t="shared" si="118"/>
        <v>11962765.19117921</v>
      </c>
      <c r="AB109" s="4">
        <f t="shared" si="118"/>
        <v>9701725.7885551285</v>
      </c>
      <c r="AC109" s="4">
        <f t="shared" si="119"/>
        <v>8210764.0944961254</v>
      </c>
      <c r="AD109" s="4">
        <f t="shared" si="120"/>
        <v>6715409.8288072972</v>
      </c>
      <c r="AE109" s="4">
        <f t="shared" si="120"/>
        <v>5596765.4479355272</v>
      </c>
      <c r="AF109" s="4">
        <f t="shared" si="120"/>
        <v>5600101.3740230026</v>
      </c>
      <c r="AG109" s="4">
        <f t="shared" si="120"/>
        <v>5597619.7709089192</v>
      </c>
      <c r="AH109" s="4">
        <f t="shared" si="120"/>
        <v>5597763.6205007415</v>
      </c>
      <c r="AI109" s="4">
        <f t="shared" si="120"/>
        <v>5597626.9311875934</v>
      </c>
      <c r="AJ109" s="4">
        <f t="shared" si="120"/>
        <v>5597975.428911157</v>
      </c>
      <c r="AK109" s="4">
        <f t="shared" si="120"/>
        <v>5598217.4251062823</v>
      </c>
      <c r="AL109" s="4">
        <f t="shared" si="120"/>
        <v>5597840.6353229387</v>
      </c>
      <c r="AM109" s="4">
        <f t="shared" si="120"/>
        <v>5597884.8082057433</v>
      </c>
      <c r="AN109" s="4">
        <f t="shared" si="120"/>
        <v>5597909.0457467427</v>
      </c>
      <c r="AO109" s="4">
        <f t="shared" si="120"/>
        <v>5597965.468658573</v>
      </c>
      <c r="AP109" s="4">
        <f t="shared" si="120"/>
        <v>5597963.4766080566</v>
      </c>
      <c r="AQ109" s="4">
        <f t="shared" si="120"/>
        <v>5597912.6869084109</v>
      </c>
      <c r="AR109" s="4"/>
      <c r="AS109" s="94"/>
      <c r="AT109" s="121">
        <f t="shared" si="123"/>
        <v>4.5134815849727783E-2</v>
      </c>
      <c r="AU109" s="197"/>
      <c r="AV109" s="194"/>
      <c r="AW109" s="194"/>
      <c r="AX109" s="194"/>
      <c r="AY109" s="195"/>
      <c r="AZ109" s="196"/>
      <c r="BA109" s="195">
        <v>141119976.66064993</v>
      </c>
      <c r="BB109" s="195">
        <f t="shared" si="127"/>
        <v>-126260956.66064993</v>
      </c>
      <c r="BC109" s="195">
        <v>159933651.26960924</v>
      </c>
      <c r="BD109" s="195">
        <f t="shared" si="125"/>
        <v>-145879437.26960924</v>
      </c>
      <c r="BE109" s="195">
        <v>151331868.28440863</v>
      </c>
      <c r="BF109" s="195">
        <f t="shared" si="126"/>
        <v>-139539573.28440863</v>
      </c>
      <c r="BG109" s="195">
        <v>140040273.96936029</v>
      </c>
      <c r="BH109" s="194">
        <f>SUM(P107:P109)</f>
        <v>73605079</v>
      </c>
      <c r="BI109" s="3"/>
      <c r="BJ109" s="4">
        <v>39273139.507559441</v>
      </c>
      <c r="BK109" s="3">
        <f t="shared" si="121"/>
        <v>-12625071.507559441</v>
      </c>
      <c r="BL109" s="3">
        <v>8100407.3939604107</v>
      </c>
      <c r="BM109" s="177">
        <f t="shared" si="122"/>
        <v>18301222.181881234</v>
      </c>
      <c r="BN109" s="3"/>
      <c r="BR109" s="3"/>
      <c r="BS109" s="3"/>
      <c r="BT109" s="3"/>
      <c r="BU109" s="3"/>
      <c r="BV109" s="9"/>
      <c r="BW109" s="3"/>
      <c r="BX109" s="9"/>
      <c r="BY109" s="3"/>
      <c r="BZ109" s="3"/>
      <c r="CA109" s="3"/>
      <c r="CB109" s="3"/>
      <c r="CC109" s="4"/>
      <c r="CD109" s="3"/>
      <c r="CE109" s="3"/>
      <c r="CF109" s="3"/>
      <c r="CG109" s="3"/>
      <c r="CH109" s="3"/>
      <c r="CI109" s="3"/>
      <c r="CJ109" s="3"/>
      <c r="CK109" s="3"/>
      <c r="CL109" s="3"/>
      <c r="CM109" s="3"/>
      <c r="CN109" s="3"/>
      <c r="CO109" s="3"/>
      <c r="CP109" s="3"/>
      <c r="CQ109" s="3"/>
      <c r="CR109" s="3"/>
      <c r="CS109" s="3"/>
      <c r="CT109" s="3"/>
      <c r="CU109" s="3"/>
      <c r="CV109" s="3"/>
      <c r="CW109" s="3"/>
      <c r="CX109" s="3"/>
      <c r="DA109" s="152"/>
      <c r="DB109" s="152"/>
      <c r="DC109" s="152"/>
      <c r="DD109" s="3"/>
      <c r="DE109" s="3"/>
      <c r="DF109" s="3"/>
      <c r="DG109" s="3"/>
      <c r="DH109" s="3"/>
      <c r="DI109" s="3"/>
      <c r="DJ109" s="3"/>
      <c r="DK109" s="3"/>
      <c r="DL109" s="4"/>
      <c r="DN109" s="3"/>
    </row>
    <row r="110" spans="1:118">
      <c r="A110" s="2" t="s">
        <v>76</v>
      </c>
      <c r="B110" s="3">
        <f>'Monthly D4 Gallon Data'!$D11</f>
        <v>3599083</v>
      </c>
      <c r="C110" s="3">
        <f>'Monthly D4 Gallon Data'!$D23</f>
        <v>4553366</v>
      </c>
      <c r="D110" s="3">
        <f>'Monthly D4 Gallon Data'!$D35</f>
        <v>1813495</v>
      </c>
      <c r="E110" s="3">
        <f>'Monthly D4 Gallon Data'!$D47</f>
        <v>17222306</v>
      </c>
      <c r="F110" s="3">
        <f>'Monthly D4 Gallon Data'!$D59</f>
        <v>15251830</v>
      </c>
      <c r="G110" s="3">
        <f>'Monthly D4 Gallon Data'!$D71</f>
        <v>41794902</v>
      </c>
      <c r="H110" s="3">
        <f>'Monthly D4 Gallon Data'!$D83</f>
        <v>50535806</v>
      </c>
      <c r="I110" s="3">
        <f>'Monthly D4 Gallon Data'!$D95</f>
        <v>36685627</v>
      </c>
      <c r="J110" s="3">
        <f>'Monthly D4 Gallon Data'!$D107</f>
        <v>20321432</v>
      </c>
      <c r="K110" s="3">
        <f>'Monthly D4 Gallon Data'!$D119</f>
        <v>13781446</v>
      </c>
      <c r="L110" s="3">
        <f>'Monthly D4 Gallon Data'!$D131</f>
        <v>15282502</v>
      </c>
      <c r="M110" s="3">
        <f>'Monthly D4 Gallon Data'!$D143</f>
        <v>17888148</v>
      </c>
      <c r="N110" s="3">
        <f>'Monthly D4 Gallon Data'!$D155</f>
        <v>17330959</v>
      </c>
      <c r="O110" s="3">
        <f>'Monthly D4 Gallon Data'!$D167</f>
        <v>57044013</v>
      </c>
      <c r="P110" s="3">
        <f>'Monthly D4 Gallon Data'!$D179</f>
        <v>26663796</v>
      </c>
      <c r="Q110" s="4">
        <f>(SUM(L110:P110)/SUM(L$113:P$113))*Q$113-1000000</f>
        <v>28227264.88046572</v>
      </c>
      <c r="R110" s="4">
        <f t="shared" si="118"/>
        <v>16526740.701209962</v>
      </c>
      <c r="S110" s="4">
        <f t="shared" si="118"/>
        <v>17425671.885121524</v>
      </c>
      <c r="T110" s="4">
        <f t="shared" si="118"/>
        <v>19654335.35357222</v>
      </c>
      <c r="U110" s="4">
        <f t="shared" si="118"/>
        <v>17706683.433902681</v>
      </c>
      <c r="V110" s="4">
        <f t="shared" si="118"/>
        <v>19567829.178190242</v>
      </c>
      <c r="W110" s="4">
        <f t="shared" si="118"/>
        <v>18004778.033886127</v>
      </c>
      <c r="X110" s="4">
        <f t="shared" si="118"/>
        <v>16248394.998229472</v>
      </c>
      <c r="Y110" s="4">
        <f t="shared" si="118"/>
        <v>15339031.569720125</v>
      </c>
      <c r="Z110" s="4">
        <f t="shared" si="118"/>
        <v>14758908.264502438</v>
      </c>
      <c r="AA110" s="4">
        <f t="shared" si="118"/>
        <v>13631503.276268573</v>
      </c>
      <c r="AB110" s="4">
        <f t="shared" si="118"/>
        <v>11079497.375452325</v>
      </c>
      <c r="AC110" s="4">
        <f t="shared" si="119"/>
        <v>9360846.5907293689</v>
      </c>
      <c r="AD110" s="4">
        <f t="shared" si="120"/>
        <v>7649378.5919212643</v>
      </c>
      <c r="AE110" s="4">
        <f t="shared" si="120"/>
        <v>6369939.9359632293</v>
      </c>
      <c r="AF110" s="4">
        <f t="shared" si="120"/>
        <v>6383783.0668585962</v>
      </c>
      <c r="AG110" s="4">
        <f t="shared" si="120"/>
        <v>6381788.3688944969</v>
      </c>
      <c r="AH110" s="4">
        <f t="shared" si="120"/>
        <v>6378659.3919471093</v>
      </c>
      <c r="AI110" s="4">
        <f t="shared" si="120"/>
        <v>6377605.6453047507</v>
      </c>
      <c r="AJ110" s="4">
        <f t="shared" si="120"/>
        <v>6378355.2817936363</v>
      </c>
      <c r="AK110" s="4">
        <f t="shared" si="120"/>
        <v>6380038.3509597173</v>
      </c>
      <c r="AL110" s="4">
        <f t="shared" si="120"/>
        <v>6379289.4077799413</v>
      </c>
      <c r="AM110" s="4">
        <f t="shared" si="120"/>
        <v>6378789.6155570317</v>
      </c>
      <c r="AN110" s="4">
        <f t="shared" si="120"/>
        <v>6378815.6602790151</v>
      </c>
      <c r="AO110" s="4">
        <f t="shared" si="120"/>
        <v>6379057.6632738682</v>
      </c>
      <c r="AP110" s="4">
        <f t="shared" si="120"/>
        <v>6379198.139569913</v>
      </c>
      <c r="AQ110" s="4">
        <f t="shared" si="120"/>
        <v>6379030.0972919539</v>
      </c>
      <c r="AR110" s="4"/>
      <c r="AS110" s="94"/>
      <c r="AT110" s="121">
        <f t="shared" si="123"/>
        <v>6.9148584157645576E-2</v>
      </c>
      <c r="AU110" s="197"/>
      <c r="AV110" s="194"/>
      <c r="AW110" s="194"/>
      <c r="AX110" s="194"/>
      <c r="AY110" s="195"/>
      <c r="AZ110" s="196"/>
      <c r="BA110" s="195">
        <v>152816519.91490614</v>
      </c>
      <c r="BB110" s="195">
        <f t="shared" si="127"/>
        <v>-139035073.91490614</v>
      </c>
      <c r="BC110" s="195">
        <v>173289693.89777201</v>
      </c>
      <c r="BD110" s="195">
        <f t="shared" si="125"/>
        <v>-158007191.89777201</v>
      </c>
      <c r="BE110" s="195">
        <v>149277371.44355991</v>
      </c>
      <c r="BF110" s="195">
        <f t="shared" si="126"/>
        <v>-131389223.44355991</v>
      </c>
      <c r="BG110" s="195">
        <v>137891779.86776355</v>
      </c>
      <c r="BH110" s="197">
        <f>(BH109/BH106)-1</f>
        <v>-0.39297446612778064</v>
      </c>
      <c r="BI110" s="3"/>
      <c r="BJ110" s="4">
        <v>47524712.898342565</v>
      </c>
      <c r="BK110" s="3">
        <f t="shared" si="121"/>
        <v>-20860916.898342565</v>
      </c>
      <c r="BL110" s="3">
        <v>6306816.220116429</v>
      </c>
      <c r="BM110" s="177">
        <f t="shared" si="122"/>
        <v>21920448.660349291</v>
      </c>
      <c r="BN110" s="3"/>
      <c r="BR110" s="3"/>
      <c r="BS110" s="3"/>
      <c r="BT110" s="3"/>
      <c r="BU110" s="3"/>
      <c r="BV110" s="9"/>
      <c r="BW110" s="3"/>
      <c r="BX110" s="9"/>
      <c r="BY110" s="3"/>
      <c r="BZ110" s="3"/>
      <c r="CA110" s="3"/>
      <c r="CB110" s="3"/>
      <c r="CC110" s="4"/>
      <c r="CD110" s="3"/>
      <c r="CE110" s="3"/>
      <c r="CF110" s="3"/>
      <c r="CG110" s="3"/>
      <c r="CH110" s="3"/>
      <c r="CI110" s="3"/>
      <c r="CJ110" s="3"/>
      <c r="CK110" s="3"/>
      <c r="CL110" s="3"/>
      <c r="CM110" s="3"/>
      <c r="CN110" s="3"/>
      <c r="CO110" s="3"/>
      <c r="CP110" s="3"/>
      <c r="CQ110" s="3"/>
      <c r="CR110" s="3"/>
      <c r="CS110" s="3"/>
      <c r="CT110" s="3"/>
      <c r="CU110" s="3"/>
      <c r="CV110" s="3"/>
      <c r="CW110" s="3"/>
      <c r="CX110" s="3"/>
      <c r="DA110" s="152"/>
      <c r="DB110" s="152"/>
      <c r="DC110" s="152"/>
      <c r="DD110" s="3"/>
      <c r="DE110" s="3"/>
      <c r="DF110" s="3"/>
      <c r="DG110" s="3"/>
      <c r="DH110" s="3"/>
      <c r="DI110" s="3"/>
      <c r="DJ110" s="3"/>
      <c r="DK110" s="3"/>
      <c r="DL110" s="4"/>
      <c r="DN110" s="3"/>
    </row>
    <row r="111" spans="1:118">
      <c r="A111" s="2" t="s">
        <v>77</v>
      </c>
      <c r="B111" s="3">
        <f>'Monthly D4 Gallon Data'!$D12</f>
        <v>1990621</v>
      </c>
      <c r="C111" s="3">
        <f>'Monthly D4 Gallon Data'!$D24</f>
        <v>3194691</v>
      </c>
      <c r="D111" s="3">
        <f>'Monthly D4 Gallon Data'!$D36</f>
        <v>809682</v>
      </c>
      <c r="E111" s="3">
        <f>'Monthly D4 Gallon Data'!$D48</f>
        <v>28108032</v>
      </c>
      <c r="F111" s="3">
        <f>'Monthly D4 Gallon Data'!$D60</f>
        <v>25962646</v>
      </c>
      <c r="G111" s="3">
        <f>'Monthly D4 Gallon Data'!$D72</f>
        <v>26419166</v>
      </c>
      <c r="H111" s="3">
        <f>'Monthly D4 Gallon Data'!$D84</f>
        <v>65730799</v>
      </c>
      <c r="I111" s="3">
        <f>'Monthly D4 Gallon Data'!$D96</f>
        <v>24382225</v>
      </c>
      <c r="J111" s="3">
        <f>'Monthly D4 Gallon Data'!$D108</f>
        <v>12920360</v>
      </c>
      <c r="K111" s="3">
        <f>'Monthly D4 Gallon Data'!$D120</f>
        <v>15235613</v>
      </c>
      <c r="L111" s="3">
        <f>'Monthly D4 Gallon Data'!$D132</f>
        <v>21944490</v>
      </c>
      <c r="M111" s="3">
        <f>'Monthly D4 Gallon Data'!$D144</f>
        <v>21482583</v>
      </c>
      <c r="N111" s="3">
        <f>'Monthly D4 Gallon Data'!$D156</f>
        <v>33817396</v>
      </c>
      <c r="O111" s="3">
        <f>'Monthly D4 Gallon Data'!$D168</f>
        <v>42541477</v>
      </c>
      <c r="P111" s="3">
        <f>'Monthly D4 Gallon Data'!$D180</f>
        <v>22975700</v>
      </c>
      <c r="Q111" s="4">
        <f>(SUM(L111:P111)/SUM(L$113:P$113))*Q$113-2000000</f>
        <v>29089714.154138416</v>
      </c>
      <c r="R111" s="4">
        <f t="shared" si="118"/>
        <v>16835892.514531154</v>
      </c>
      <c r="S111" s="4">
        <f t="shared" si="118"/>
        <v>17362014.362543028</v>
      </c>
      <c r="T111" s="4">
        <f t="shared" si="118"/>
        <v>17352911.870414302</v>
      </c>
      <c r="U111" s="4">
        <f t="shared" si="118"/>
        <v>16910017.396205623</v>
      </c>
      <c r="V111" s="4">
        <f t="shared" si="118"/>
        <v>19176603.90470212</v>
      </c>
      <c r="W111" s="4">
        <f t="shared" si="118"/>
        <v>17362134.349210575</v>
      </c>
      <c r="X111" s="4">
        <f t="shared" si="118"/>
        <v>15510277.368318863</v>
      </c>
      <c r="Y111" s="4">
        <f t="shared" si="118"/>
        <v>14519766.429900246</v>
      </c>
      <c r="Z111" s="4">
        <f t="shared" si="118"/>
        <v>14183291.168406844</v>
      </c>
      <c r="AA111" s="4">
        <f t="shared" si="118"/>
        <v>13117088.035823537</v>
      </c>
      <c r="AB111" s="4">
        <f t="shared" si="118"/>
        <v>10612057.328651156</v>
      </c>
      <c r="AC111" s="4">
        <f t="shared" si="119"/>
        <v>8950506.3909234386</v>
      </c>
      <c r="AD111" s="4">
        <f t="shared" si="120"/>
        <v>7317144.1613688348</v>
      </c>
      <c r="AE111" s="4">
        <f t="shared" si="120"/>
        <v>6110536.1374256182</v>
      </c>
      <c r="AF111" s="4">
        <f t="shared" si="120"/>
        <v>6120442.3080786616</v>
      </c>
      <c r="AG111" s="4">
        <f t="shared" si="120"/>
        <v>6111044.7385074543</v>
      </c>
      <c r="AH111" s="4">
        <f t="shared" si="120"/>
        <v>6107589.4828771772</v>
      </c>
      <c r="AI111" s="4">
        <f t="shared" si="120"/>
        <v>6108991.6977418736</v>
      </c>
      <c r="AJ111" s="4">
        <f t="shared" si="120"/>
        <v>6111720.872926157</v>
      </c>
      <c r="AK111" s="4">
        <f t="shared" si="120"/>
        <v>6111957.8200262645</v>
      </c>
      <c r="AL111" s="4">
        <f t="shared" si="120"/>
        <v>6110260.9224157846</v>
      </c>
      <c r="AM111" s="4">
        <f t="shared" si="120"/>
        <v>6110104.1591974506</v>
      </c>
      <c r="AN111" s="4">
        <f t="shared" si="120"/>
        <v>6110607.0944615062</v>
      </c>
      <c r="AO111" s="4">
        <f t="shared" si="120"/>
        <v>6110930.1738054315</v>
      </c>
      <c r="AP111" s="4">
        <f t="shared" si="120"/>
        <v>6110772.0339812879</v>
      </c>
      <c r="AQ111" s="4">
        <f t="shared" si="120"/>
        <v>6110534.876772292</v>
      </c>
      <c r="AR111" s="4"/>
      <c r="AS111" s="94"/>
      <c r="AT111" s="121">
        <f t="shared" si="123"/>
        <v>3.0553766981141095E-2</v>
      </c>
      <c r="AU111" s="197"/>
      <c r="AV111" s="194"/>
      <c r="AW111" s="194"/>
      <c r="AX111" s="194"/>
      <c r="AY111" s="195"/>
      <c r="AZ111" s="196"/>
      <c r="BA111" s="195">
        <v>130353452.30666322</v>
      </c>
      <c r="BB111" s="195">
        <f t="shared" si="127"/>
        <v>-115117839.30666322</v>
      </c>
      <c r="BC111" s="195">
        <v>133413302.04905352</v>
      </c>
      <c r="BD111" s="195">
        <f t="shared" si="125"/>
        <v>-111468812.04905352</v>
      </c>
      <c r="BE111" s="195">
        <v>141356362.87740099</v>
      </c>
      <c r="BF111" s="195">
        <f t="shared" si="126"/>
        <v>-119873779.87740099</v>
      </c>
      <c r="BG111" s="195">
        <v>142499844.22919351</v>
      </c>
      <c r="BH111" s="195"/>
      <c r="BI111" s="3"/>
      <c r="BJ111" s="4">
        <v>48080860.590224981</v>
      </c>
      <c r="BK111" s="3">
        <f t="shared" si="121"/>
        <v>-25105160.590224981</v>
      </c>
      <c r="BL111" s="3">
        <v>5772428.5385346031</v>
      </c>
      <c r="BM111" s="177">
        <f t="shared" si="122"/>
        <v>23317285.615603812</v>
      </c>
      <c r="BN111" s="3"/>
      <c r="BR111" s="3"/>
      <c r="BS111" s="3"/>
      <c r="BT111" s="3"/>
      <c r="BU111" s="3"/>
      <c r="BV111" s="9"/>
      <c r="BW111" s="3"/>
      <c r="BX111" s="9"/>
      <c r="BY111" s="3"/>
      <c r="BZ111" s="3"/>
      <c r="CA111" s="3"/>
      <c r="CB111" s="3"/>
      <c r="CC111" s="4"/>
      <c r="CD111" s="3"/>
      <c r="CE111" s="3"/>
      <c r="CF111" s="3"/>
      <c r="CG111" s="3"/>
      <c r="CH111" s="3"/>
      <c r="CI111" s="3"/>
      <c r="CJ111" s="3"/>
      <c r="CK111" s="3"/>
      <c r="CL111" s="3"/>
      <c r="CM111" s="3"/>
      <c r="CN111" s="3"/>
      <c r="CO111" s="3"/>
      <c r="CP111" s="3"/>
      <c r="CQ111" s="3"/>
      <c r="CR111" s="3"/>
      <c r="CS111" s="3"/>
      <c r="CT111" s="3"/>
      <c r="CU111" s="3"/>
      <c r="CV111" s="3"/>
      <c r="CW111" s="3"/>
      <c r="CX111" s="3"/>
      <c r="DA111" s="152"/>
      <c r="DB111" s="152"/>
      <c r="DC111" s="152"/>
      <c r="DD111" s="3"/>
      <c r="DE111" s="3"/>
      <c r="DF111" s="3"/>
      <c r="DG111" s="3"/>
      <c r="DH111" s="3"/>
      <c r="DI111" s="3"/>
      <c r="DJ111" s="3"/>
      <c r="DK111" s="3"/>
      <c r="DL111" s="4"/>
      <c r="DN111" s="3"/>
    </row>
    <row r="112" spans="1:118">
      <c r="A112" s="2" t="s">
        <v>78</v>
      </c>
      <c r="B112" s="3">
        <f>'Monthly D4 Gallon Data'!$D13</f>
        <v>1962490</v>
      </c>
      <c r="C112" s="3">
        <f>'Monthly D4 Gallon Data'!$D25</f>
        <v>10389680</v>
      </c>
      <c r="D112" s="3">
        <f>'Monthly D4 Gallon Data'!$D37</f>
        <v>732245</v>
      </c>
      <c r="E112" s="3">
        <f>'Monthly D4 Gallon Data'!$D49</f>
        <v>32842933</v>
      </c>
      <c r="F112" s="3">
        <f>'Monthly D4 Gallon Data'!$D61</f>
        <v>16360522</v>
      </c>
      <c r="G112" s="3">
        <f>'Monthly D4 Gallon Data'!$D73</f>
        <v>38152911</v>
      </c>
      <c r="H112" s="3">
        <f>'Monthly D4 Gallon Data'!$D85</f>
        <v>121095251</v>
      </c>
      <c r="I112" s="3">
        <f>'Monthly D4 Gallon Data'!$D97</f>
        <v>31116816</v>
      </c>
      <c r="J112" s="3">
        <f>'Monthly D4 Gallon Data'!$D109</f>
        <v>29600921</v>
      </c>
      <c r="K112" s="3">
        <f>'Monthly D4 Gallon Data'!$D121</f>
        <v>24318415</v>
      </c>
      <c r="L112" s="3">
        <f>'Monthly D4 Gallon Data'!$D133</f>
        <v>24004702</v>
      </c>
      <c r="M112" s="3">
        <f>'Monthly D4 Gallon Data'!$D145</f>
        <v>51260934</v>
      </c>
      <c r="N112" s="3">
        <f>'Monthly D4 Gallon Data'!$D157</f>
        <v>43008881</v>
      </c>
      <c r="O112" s="3">
        <f>'Monthly D4 Gallon Data'!$D169</f>
        <v>64593783</v>
      </c>
      <c r="P112" s="3">
        <f>'Monthly D4 Gallon Data'!$D181</f>
        <v>31390220</v>
      </c>
      <c r="Q112" s="119">
        <f t="shared" ref="Q112:AB112" si="128">Q113-SUM(Q101:Q111)</f>
        <v>106843258.26049849</v>
      </c>
      <c r="R112" s="4">
        <f t="shared" si="128"/>
        <v>33366679.173276901</v>
      </c>
      <c r="S112" s="4">
        <f t="shared" si="128"/>
        <v>33371316.260606855</v>
      </c>
      <c r="T112" s="4">
        <f t="shared" si="128"/>
        <v>36316520.923465073</v>
      </c>
      <c r="U112" s="4">
        <f t="shared" si="128"/>
        <v>39377847.198489517</v>
      </c>
      <c r="V112" s="4">
        <f t="shared" si="128"/>
        <v>49002900.015177369</v>
      </c>
      <c r="W112" s="4">
        <f t="shared" si="128"/>
        <v>37925854.103691757</v>
      </c>
      <c r="X112" s="4">
        <f t="shared" si="128"/>
        <v>34480503.069696128</v>
      </c>
      <c r="Y112" s="4">
        <f t="shared" si="128"/>
        <v>33157619.211115479</v>
      </c>
      <c r="Z112" s="4">
        <f t="shared" si="128"/>
        <v>32951773.426873595</v>
      </c>
      <c r="AA112" s="4">
        <f t="shared" si="128"/>
        <v>30459882.205328599</v>
      </c>
      <c r="AB112" s="4">
        <f t="shared" si="128"/>
        <v>24007466.843903512</v>
      </c>
      <c r="AC112" s="4">
        <f t="shared" ref="AC112:AQ112" si="129">AC113-SUM(AC101:AC111)</f>
        <v>20426702.902108863</v>
      </c>
      <c r="AD112" s="4">
        <f t="shared" si="129"/>
        <v>16808357.633165181</v>
      </c>
      <c r="AE112" s="4">
        <f t="shared" si="129"/>
        <v>14058742.444892451</v>
      </c>
      <c r="AF112" s="4">
        <f t="shared" si="129"/>
        <v>14039090.977353789</v>
      </c>
      <c r="AG112" s="4">
        <f t="shared" si="129"/>
        <v>13959431.375222467</v>
      </c>
      <c r="AH112" s="4">
        <f t="shared" si="129"/>
        <v>13992763.294013426</v>
      </c>
      <c r="AI112" s="4">
        <f t="shared" si="129"/>
        <v>14011228.023970641</v>
      </c>
      <c r="AJ112" s="4">
        <f t="shared" si="129"/>
        <v>14012251.223090559</v>
      </c>
      <c r="AK112" s="4">
        <f t="shared" si="129"/>
        <v>14002952.978730187</v>
      </c>
      <c r="AL112" s="4">
        <f t="shared" si="129"/>
        <v>13995725.379005454</v>
      </c>
      <c r="AM112" s="4">
        <f t="shared" si="129"/>
        <v>14002984.179762051</v>
      </c>
      <c r="AN112" s="4">
        <f t="shared" si="129"/>
        <v>14005028.356911778</v>
      </c>
      <c r="AO112" s="4">
        <f t="shared" si="129"/>
        <v>14003788.423500009</v>
      </c>
      <c r="AP112" s="4">
        <f t="shared" si="129"/>
        <v>14002095.863581896</v>
      </c>
      <c r="AQ112" s="4">
        <f t="shared" si="129"/>
        <v>14001924.440552235</v>
      </c>
      <c r="AR112" s="4"/>
      <c r="AS112" s="94"/>
      <c r="AT112" s="121">
        <f t="shared" si="123"/>
        <v>2.6728878700686218</v>
      </c>
      <c r="AU112" s="197"/>
      <c r="AV112" s="194"/>
      <c r="AW112" s="194"/>
      <c r="AX112" s="194"/>
      <c r="AY112" s="195"/>
      <c r="AZ112" s="196"/>
      <c r="BA112" s="195">
        <v>169422997</v>
      </c>
      <c r="BB112" s="195">
        <f t="shared" si="127"/>
        <v>-145104582</v>
      </c>
      <c r="BC112" s="195">
        <v>167631897</v>
      </c>
      <c r="BD112" s="195">
        <f t="shared" si="125"/>
        <v>-143627195</v>
      </c>
      <c r="BE112" s="195">
        <v>179824533</v>
      </c>
      <c r="BF112" s="195">
        <f t="shared" si="126"/>
        <v>-128563599</v>
      </c>
      <c r="BG112" s="195">
        <v>179383712.03590918</v>
      </c>
      <c r="BH112" s="194">
        <f>SUM(P110:P112)</f>
        <v>81029716</v>
      </c>
      <c r="BI112" s="3"/>
      <c r="BJ112" s="4">
        <v>45154988.026538849</v>
      </c>
      <c r="BK112" s="3">
        <f t="shared" si="121"/>
        <v>-13764768.026538849</v>
      </c>
      <c r="BL112" s="3">
        <v>11516191.94534871</v>
      </c>
      <c r="BM112" s="177">
        <f t="shared" si="122"/>
        <v>95327066.315149784</v>
      </c>
      <c r="BN112" s="3"/>
      <c r="BR112" s="3"/>
      <c r="BS112" s="3"/>
      <c r="BT112" s="3"/>
      <c r="BU112" s="3"/>
      <c r="BV112" s="9"/>
      <c r="BW112" s="3"/>
      <c r="BX112" s="9"/>
      <c r="BY112" s="3"/>
      <c r="BZ112" s="3"/>
      <c r="CA112" s="3"/>
      <c r="CB112" s="3"/>
      <c r="CC112" s="4"/>
      <c r="CD112" s="3"/>
      <c r="CE112" s="3"/>
      <c r="CF112" s="3"/>
      <c r="CG112" s="3"/>
      <c r="CH112" s="3"/>
      <c r="CI112" s="3"/>
      <c r="CJ112" s="3"/>
      <c r="CK112" s="3"/>
      <c r="CL112" s="3"/>
      <c r="CM112" s="3"/>
      <c r="CN112" s="3"/>
      <c r="CO112" s="3"/>
      <c r="CP112" s="3"/>
      <c r="CQ112" s="3"/>
      <c r="CR112" s="3"/>
      <c r="CS112" s="3"/>
      <c r="CT112" s="3"/>
      <c r="CU112" s="3"/>
      <c r="CV112" s="3"/>
      <c r="CW112" s="3"/>
      <c r="CX112" s="3"/>
      <c r="DA112" s="152"/>
      <c r="DB112" s="152"/>
      <c r="DC112" s="152"/>
      <c r="DD112" s="3"/>
      <c r="DE112" s="3"/>
      <c r="DF112" s="3"/>
      <c r="DG112" s="3"/>
      <c r="DH112" s="3"/>
      <c r="DI112" s="3"/>
      <c r="DJ112" s="3"/>
      <c r="DK112" s="3"/>
      <c r="DL112" s="4"/>
      <c r="DN112" s="3"/>
    </row>
    <row r="113" spans="1:116" ht="13.5" thickBot="1">
      <c r="A113" s="2" t="s">
        <v>29</v>
      </c>
      <c r="B113" s="3">
        <f>SUM(B101:B112)</f>
        <v>12487506</v>
      </c>
      <c r="C113" s="3">
        <f t="shared" ref="C113:P113" si="130">SUM(C101:C112)</f>
        <v>44459572</v>
      </c>
      <c r="D113" s="3">
        <f t="shared" si="130"/>
        <v>33446862</v>
      </c>
      <c r="E113" s="3">
        <f t="shared" si="130"/>
        <v>153024954</v>
      </c>
      <c r="F113" s="3">
        <f t="shared" si="130"/>
        <v>129629026</v>
      </c>
      <c r="G113" s="3">
        <f t="shared" si="130"/>
        <v>261256195</v>
      </c>
      <c r="H113" s="3">
        <f t="shared" si="130"/>
        <v>561640318</v>
      </c>
      <c r="I113" s="3">
        <f t="shared" si="130"/>
        <v>461914644</v>
      </c>
      <c r="J113" s="3">
        <f t="shared" si="130"/>
        <v>175141321</v>
      </c>
      <c r="K113" s="3">
        <f t="shared" si="130"/>
        <v>184741553</v>
      </c>
      <c r="L113" s="3">
        <f t="shared" si="130"/>
        <v>209493674</v>
      </c>
      <c r="M113" s="3">
        <f t="shared" si="130"/>
        <v>208450727</v>
      </c>
      <c r="N113" s="3">
        <f t="shared" si="130"/>
        <v>240324591</v>
      </c>
      <c r="O113" s="3">
        <f t="shared" si="130"/>
        <v>504934303</v>
      </c>
      <c r="P113" s="3">
        <f t="shared" si="130"/>
        <v>398051318</v>
      </c>
      <c r="Q113" s="4">
        <f t="shared" ref="Q113:AQ113" si="131">Q6</f>
        <v>340000000</v>
      </c>
      <c r="R113" s="4">
        <f t="shared" si="131"/>
        <v>190000000</v>
      </c>
      <c r="S113" s="4">
        <f t="shared" si="131"/>
        <v>200000000</v>
      </c>
      <c r="T113" s="4">
        <f t="shared" si="131"/>
        <v>220000000</v>
      </c>
      <c r="U113" s="4">
        <f t="shared" si="131"/>
        <v>220000000</v>
      </c>
      <c r="V113" s="4">
        <f t="shared" si="131"/>
        <v>230000000</v>
      </c>
      <c r="W113" s="4">
        <f t="shared" si="131"/>
        <v>210000000</v>
      </c>
      <c r="X113" s="4">
        <f t="shared" si="131"/>
        <v>190000000</v>
      </c>
      <c r="Y113" s="4">
        <f t="shared" si="131"/>
        <v>180000000</v>
      </c>
      <c r="Z113" s="4">
        <f t="shared" si="131"/>
        <v>175000000</v>
      </c>
      <c r="AA113" s="4">
        <f t="shared" si="131"/>
        <v>160000000</v>
      </c>
      <c r="AB113" s="4">
        <f t="shared" si="131"/>
        <v>130000000</v>
      </c>
      <c r="AC113" s="4">
        <f t="shared" si="131"/>
        <v>110000000</v>
      </c>
      <c r="AD113" s="4">
        <f t="shared" si="131"/>
        <v>90000000</v>
      </c>
      <c r="AE113" s="4">
        <f t="shared" si="131"/>
        <v>75000000</v>
      </c>
      <c r="AF113" s="4">
        <f t="shared" si="131"/>
        <v>75000000</v>
      </c>
      <c r="AG113" s="4">
        <f t="shared" si="131"/>
        <v>75000000</v>
      </c>
      <c r="AH113" s="4">
        <f t="shared" si="131"/>
        <v>75000000</v>
      </c>
      <c r="AI113" s="4">
        <f t="shared" si="131"/>
        <v>75000000</v>
      </c>
      <c r="AJ113" s="4">
        <f t="shared" si="131"/>
        <v>75000000</v>
      </c>
      <c r="AK113" s="4">
        <f t="shared" si="131"/>
        <v>75000000</v>
      </c>
      <c r="AL113" s="4">
        <f t="shared" si="131"/>
        <v>75000000</v>
      </c>
      <c r="AM113" s="4">
        <f t="shared" si="131"/>
        <v>75000000</v>
      </c>
      <c r="AN113" s="4">
        <f t="shared" si="131"/>
        <v>75000000</v>
      </c>
      <c r="AO113" s="4">
        <f t="shared" si="131"/>
        <v>75000000</v>
      </c>
      <c r="AP113" s="4">
        <f t="shared" si="131"/>
        <v>75000000</v>
      </c>
      <c r="AQ113" s="4">
        <f t="shared" si="131"/>
        <v>75000000</v>
      </c>
      <c r="AR113" s="4"/>
      <c r="AS113" s="4"/>
      <c r="AT113" s="194"/>
      <c r="AU113" s="194"/>
      <c r="AV113" s="194"/>
      <c r="AW113" s="194"/>
      <c r="AX113" s="194"/>
      <c r="AY113" s="195"/>
      <c r="AZ113" s="196"/>
      <c r="BA113" s="195">
        <v>1743500000</v>
      </c>
      <c r="BB113" s="195">
        <f t="shared" si="127"/>
        <v>-1558758447</v>
      </c>
      <c r="BC113" s="195">
        <v>1815449146</v>
      </c>
      <c r="BD113" s="195">
        <f t="shared" si="125"/>
        <v>-1605955472</v>
      </c>
      <c r="BE113" s="195">
        <v>1717327970</v>
      </c>
      <c r="BF113" s="195">
        <f t="shared" si="126"/>
        <v>-1508877243</v>
      </c>
      <c r="BG113" s="195">
        <v>1653807613.0359092</v>
      </c>
      <c r="BH113" s="197">
        <f>(BH112/BH109)-1</f>
        <v>0.10087125916949291</v>
      </c>
      <c r="BI113" s="3"/>
      <c r="BJ113" s="4">
        <v>480000000.00000006</v>
      </c>
      <c r="BK113" s="3">
        <f t="shared" si="121"/>
        <v>-81948682.00000006</v>
      </c>
      <c r="BL113" s="3">
        <v>84999999.999999985</v>
      </c>
      <c r="BM113" s="177">
        <f t="shared" si="122"/>
        <v>255000000</v>
      </c>
      <c r="BN113" s="3"/>
      <c r="BR113" s="3"/>
      <c r="BS113" s="3"/>
      <c r="BT113" s="3"/>
      <c r="BU113" s="3"/>
      <c r="BV113" s="9"/>
      <c r="BW113" s="3"/>
      <c r="BX113" s="9"/>
      <c r="BY113" s="3"/>
      <c r="BZ113" s="3"/>
      <c r="CA113" s="3"/>
      <c r="CB113" s="3"/>
      <c r="CC113" s="4"/>
      <c r="CD113" s="3"/>
      <c r="CE113" s="3"/>
      <c r="CF113" s="3"/>
      <c r="CG113" s="3"/>
      <c r="CH113" s="3"/>
      <c r="CI113" s="3"/>
      <c r="CJ113" s="3"/>
      <c r="CK113" s="3"/>
      <c r="CL113" s="3"/>
      <c r="CM113" s="3"/>
      <c r="CN113" s="3"/>
      <c r="CO113" s="3"/>
      <c r="CP113" s="3"/>
      <c r="CQ113" s="3"/>
      <c r="CR113" s="3"/>
      <c r="CS113" s="3"/>
      <c r="CT113" s="3"/>
      <c r="CU113" s="3"/>
      <c r="CV113" s="3"/>
      <c r="CW113" s="3"/>
      <c r="CX113" s="3"/>
    </row>
    <row r="114" spans="1:116">
      <c r="A114" s="114"/>
      <c r="B114" s="115">
        <f>AVERAGE(B110:B112)/AVERAGE(B107:B109)-1</f>
        <v>0.53023638627101999</v>
      </c>
      <c r="C114" s="115">
        <f>AVERAGE(C110:C112)/AVERAGE(C107:C109)-1</f>
        <v>0.86029159349957207</v>
      </c>
      <c r="D114" s="115">
        <f>AVERAGE(D110:D112)/AVERAGE(D107:D109)-1</f>
        <v>-0.66624555568099475</v>
      </c>
      <c r="E114" s="115">
        <f>AVERAGE(E110:E112)/AVERAGE(E107:E109)-1</f>
        <v>1.4534090995040945</v>
      </c>
      <c r="F114" s="115">
        <f t="shared" ref="F114:N114" si="132">AVERAGE(F110:F112)/AVERAGE(F107:F109)-1</f>
        <v>0.55427819034877834</v>
      </c>
      <c r="G114" s="115">
        <f t="shared" si="132"/>
        <v>0.18750050169050847</v>
      </c>
      <c r="H114" s="115">
        <f t="shared" si="132"/>
        <v>0.47080221421667701</v>
      </c>
      <c r="I114" s="115">
        <f t="shared" si="132"/>
        <v>-0.31496463927398666</v>
      </c>
      <c r="J114" s="115">
        <f t="shared" si="132"/>
        <v>1.0845424943539168</v>
      </c>
      <c r="K114" s="115">
        <f t="shared" si="132"/>
        <v>0.33313318808263737</v>
      </c>
      <c r="L114" s="115">
        <f t="shared" si="132"/>
        <v>0.21489216994393101</v>
      </c>
      <c r="M114" s="115">
        <f t="shared" si="132"/>
        <v>1.3711429279757179</v>
      </c>
      <c r="N114" s="115">
        <f t="shared" si="132"/>
        <v>1.1857844579152292</v>
      </c>
      <c r="O114" s="115">
        <f>AVERAGE(O110:O112)/AVERAGE(O107:O109)-1</f>
        <v>0.42735202865587496</v>
      </c>
      <c r="P114" s="208">
        <f>AVERAGE(P110:P112)/AVERAGE(P107:P109)-1</f>
        <v>0.10087125916949291</v>
      </c>
      <c r="Q114" s="208">
        <f t="shared" ref="Q114:U114" si="133">AVERAGE(Q110:Q112)/AVERAGE(Q107:Q109)-1</f>
        <v>1.1812614918248823</v>
      </c>
      <c r="R114" s="208">
        <f t="shared" si="133"/>
        <v>0.72125985706061213</v>
      </c>
      <c r="S114" s="208">
        <f t="shared" si="133"/>
        <v>0.64941151046388712</v>
      </c>
      <c r="T114" s="208">
        <f t="shared" si="133"/>
        <v>0.58224059002036532</v>
      </c>
      <c r="U114" s="208">
        <f t="shared" si="133"/>
        <v>0.64695559690486704</v>
      </c>
      <c r="V114" s="114"/>
      <c r="W114" s="114"/>
      <c r="X114" s="114"/>
      <c r="Y114" s="114"/>
      <c r="Z114" s="114"/>
      <c r="AA114" s="114"/>
      <c r="AB114" s="114"/>
      <c r="AC114" s="114"/>
      <c r="AD114" s="114"/>
      <c r="AE114" s="114"/>
      <c r="AF114" s="114"/>
      <c r="AG114" s="114"/>
      <c r="AH114" s="114"/>
      <c r="AI114" s="114"/>
      <c r="AJ114" s="114"/>
      <c r="AK114" s="114"/>
      <c r="AL114" s="114"/>
      <c r="AM114" s="114"/>
      <c r="AN114" s="114"/>
      <c r="AO114" s="114"/>
      <c r="AP114" s="114"/>
      <c r="AQ114" s="114"/>
      <c r="AX114" s="4"/>
      <c r="AY114" s="3"/>
      <c r="BE114" s="4"/>
    </row>
    <row r="115" spans="1:116" ht="16.5" thickBot="1">
      <c r="A115" s="109" t="s">
        <v>306</v>
      </c>
      <c r="K115" s="209"/>
      <c r="P115" s="172">
        <f>P113/O113-1</f>
        <v>-0.21167701295984243</v>
      </c>
      <c r="AX115" s="4"/>
      <c r="AY115" s="3"/>
      <c r="BE115" s="4"/>
    </row>
    <row r="116" spans="1:116" ht="14.25" thickBot="1">
      <c r="A116" s="110"/>
      <c r="B116" s="111">
        <f t="shared" ref="B116:K116" si="134">B2</f>
        <v>2010</v>
      </c>
      <c r="C116" s="111">
        <f t="shared" si="134"/>
        <v>2011</v>
      </c>
      <c r="D116" s="111">
        <f t="shared" si="134"/>
        <v>2012</v>
      </c>
      <c r="E116" s="111">
        <f t="shared" si="134"/>
        <v>2013</v>
      </c>
      <c r="F116" s="111">
        <f t="shared" si="134"/>
        <v>2014</v>
      </c>
      <c r="G116" s="111">
        <f t="shared" si="134"/>
        <v>2015</v>
      </c>
      <c r="H116" s="111">
        <f t="shared" si="134"/>
        <v>2016</v>
      </c>
      <c r="I116" s="111">
        <f t="shared" si="134"/>
        <v>2017</v>
      </c>
      <c r="J116" s="111">
        <f t="shared" si="134"/>
        <v>2018</v>
      </c>
      <c r="K116" s="111">
        <f t="shared" si="134"/>
        <v>2019</v>
      </c>
      <c r="L116" s="111">
        <f>L2</f>
        <v>2020</v>
      </c>
      <c r="M116" s="111">
        <f>M2</f>
        <v>2021</v>
      </c>
      <c r="N116" s="111">
        <f t="shared" ref="N116:AQ116" si="135">N2</f>
        <v>2022</v>
      </c>
      <c r="O116" s="111">
        <f t="shared" si="135"/>
        <v>2023</v>
      </c>
      <c r="P116" s="111">
        <f t="shared" si="135"/>
        <v>2024</v>
      </c>
      <c r="Q116" s="111">
        <f t="shared" si="135"/>
        <v>2025</v>
      </c>
      <c r="R116" s="111">
        <f t="shared" si="135"/>
        <v>2026</v>
      </c>
      <c r="S116" s="111">
        <f t="shared" si="135"/>
        <v>2027</v>
      </c>
      <c r="T116" s="111">
        <f t="shared" si="135"/>
        <v>2028</v>
      </c>
      <c r="U116" s="111">
        <f t="shared" si="135"/>
        <v>2029</v>
      </c>
      <c r="V116" s="111">
        <f t="shared" si="135"/>
        <v>2030</v>
      </c>
      <c r="W116" s="111">
        <f t="shared" si="135"/>
        <v>2031</v>
      </c>
      <c r="X116" s="111">
        <f t="shared" si="135"/>
        <v>2032</v>
      </c>
      <c r="Y116" s="111">
        <f t="shared" si="135"/>
        <v>2033</v>
      </c>
      <c r="Z116" s="111">
        <f t="shared" si="135"/>
        <v>2034</v>
      </c>
      <c r="AA116" s="111">
        <f t="shared" si="135"/>
        <v>2035</v>
      </c>
      <c r="AB116" s="111">
        <f t="shared" si="135"/>
        <v>2036</v>
      </c>
      <c r="AC116" s="111">
        <f t="shared" si="135"/>
        <v>2037</v>
      </c>
      <c r="AD116" s="111">
        <f t="shared" si="135"/>
        <v>2038</v>
      </c>
      <c r="AE116" s="111">
        <f t="shared" si="135"/>
        <v>2039</v>
      </c>
      <c r="AF116" s="111">
        <f t="shared" si="135"/>
        <v>2040</v>
      </c>
      <c r="AG116" s="111">
        <f t="shared" si="135"/>
        <v>2041</v>
      </c>
      <c r="AH116" s="111">
        <f t="shared" si="135"/>
        <v>2042</v>
      </c>
      <c r="AI116" s="111">
        <f t="shared" si="135"/>
        <v>2043</v>
      </c>
      <c r="AJ116" s="111">
        <f t="shared" si="135"/>
        <v>2044</v>
      </c>
      <c r="AK116" s="111">
        <f t="shared" si="135"/>
        <v>2045</v>
      </c>
      <c r="AL116" s="111">
        <f t="shared" si="135"/>
        <v>2046</v>
      </c>
      <c r="AM116" s="111">
        <f t="shared" si="135"/>
        <v>2047</v>
      </c>
      <c r="AN116" s="111">
        <f t="shared" si="135"/>
        <v>2048</v>
      </c>
      <c r="AO116" s="111">
        <f t="shared" si="135"/>
        <v>2049</v>
      </c>
      <c r="AP116" s="111">
        <f t="shared" si="135"/>
        <v>2050</v>
      </c>
      <c r="AQ116" s="111">
        <f t="shared" si="135"/>
        <v>2051</v>
      </c>
      <c r="AR116" s="94"/>
      <c r="AS116" s="94"/>
      <c r="AT116" s="31" t="s">
        <v>36</v>
      </c>
      <c r="AU116" s="31"/>
      <c r="AV116" s="31"/>
      <c r="AW116" s="31"/>
      <c r="AX116" s="19"/>
      <c r="AY116" s="18"/>
      <c r="AZ116" s="14"/>
      <c r="BA116" s="14"/>
      <c r="BB116" s="18"/>
      <c r="BC116" s="14"/>
      <c r="BD116" s="14"/>
      <c r="BE116" s="19"/>
      <c r="BF116" s="14"/>
      <c r="BG116" s="14"/>
      <c r="BH116" s="14"/>
    </row>
    <row r="117" spans="1:116">
      <c r="A117" s="2" t="s">
        <v>43</v>
      </c>
      <c r="B117" s="3">
        <f t="shared" ref="B117:AQ123" si="136">B133+B197+B261</f>
        <v>0</v>
      </c>
      <c r="C117" s="3">
        <f t="shared" si="136"/>
        <v>2152722</v>
      </c>
      <c r="D117" s="3">
        <f t="shared" si="136"/>
        <v>3704631</v>
      </c>
      <c r="E117" s="3">
        <f t="shared" si="136"/>
        <v>7884690</v>
      </c>
      <c r="F117" s="3">
        <f t="shared" si="136"/>
        <v>29117385</v>
      </c>
      <c r="G117" s="3">
        <f t="shared" si="136"/>
        <v>27238139</v>
      </c>
      <c r="H117" s="3">
        <f t="shared" si="136"/>
        <v>19526990</v>
      </c>
      <c r="I117" s="3">
        <f t="shared" si="136"/>
        <v>38551597</v>
      </c>
      <c r="J117" s="3">
        <f t="shared" si="136"/>
        <v>29056173</v>
      </c>
      <c r="K117" s="3">
        <f t="shared" si="136"/>
        <v>49799276</v>
      </c>
      <c r="L117" s="3">
        <f t="shared" si="136"/>
        <v>60088117</v>
      </c>
      <c r="M117" s="3">
        <f t="shared" si="136"/>
        <v>74297765</v>
      </c>
      <c r="N117" s="3">
        <f t="shared" si="136"/>
        <v>117671843</v>
      </c>
      <c r="O117" s="3">
        <f t="shared" si="136"/>
        <v>182519036</v>
      </c>
      <c r="P117" s="3">
        <f t="shared" si="136"/>
        <v>249242446</v>
      </c>
      <c r="Q117" s="3">
        <f t="shared" si="136"/>
        <v>211951267</v>
      </c>
      <c r="R117" s="4">
        <f t="shared" si="136"/>
        <v>187243965.2765294</v>
      </c>
      <c r="S117" s="4">
        <f t="shared" si="136"/>
        <v>201996224.1175572</v>
      </c>
      <c r="T117" s="4">
        <f t="shared" si="136"/>
        <v>202860305.24997202</v>
      </c>
      <c r="U117" s="4">
        <f t="shared" si="136"/>
        <v>201338318.92435172</v>
      </c>
      <c r="V117" s="4">
        <f t="shared" si="136"/>
        <v>208068773.82643324</v>
      </c>
      <c r="W117" s="4">
        <f t="shared" si="136"/>
        <v>226916098.1147007</v>
      </c>
      <c r="X117" s="4">
        <f t="shared" si="136"/>
        <v>265491832.3555494</v>
      </c>
      <c r="Y117" s="4">
        <f t="shared" si="136"/>
        <v>263166327.25147846</v>
      </c>
      <c r="Z117" s="4">
        <f t="shared" si="136"/>
        <v>254865968.73914108</v>
      </c>
      <c r="AA117" s="4">
        <f t="shared" si="136"/>
        <v>269502122.69992751</v>
      </c>
      <c r="AB117" s="4">
        <f t="shared" si="136"/>
        <v>285974948.97671175</v>
      </c>
      <c r="AC117" s="4">
        <f t="shared" si="136"/>
        <v>324065602.83411229</v>
      </c>
      <c r="AD117" s="4">
        <f t="shared" si="136"/>
        <v>357136001.16434753</v>
      </c>
      <c r="AE117" s="4">
        <f t="shared" si="136"/>
        <v>357325991.2436713</v>
      </c>
      <c r="AF117" s="4">
        <f t="shared" si="136"/>
        <v>313111587.90228915</v>
      </c>
      <c r="AG117" s="4">
        <f t="shared" si="136"/>
        <v>331761234.08836228</v>
      </c>
      <c r="AH117" s="4">
        <f t="shared" si="136"/>
        <v>350574454.22450423</v>
      </c>
      <c r="AI117" s="4">
        <f t="shared" si="136"/>
        <v>380797827.59407574</v>
      </c>
      <c r="AJ117" s="4">
        <f t="shared" si="136"/>
        <v>388263412.73438907</v>
      </c>
      <c r="AK117" s="4">
        <f t="shared" si="136"/>
        <v>386027991.92350799</v>
      </c>
      <c r="AL117" s="4">
        <f t="shared" si="136"/>
        <v>367430014.51358879</v>
      </c>
      <c r="AM117" s="4">
        <f t="shared" si="136"/>
        <v>383183760.81001347</v>
      </c>
      <c r="AN117" s="4">
        <f t="shared" si="136"/>
        <v>396796770.19539058</v>
      </c>
      <c r="AO117" s="4">
        <f t="shared" si="136"/>
        <v>411048911.89543313</v>
      </c>
      <c r="AP117" s="4">
        <f t="shared" si="136"/>
        <v>429198238.6582973</v>
      </c>
      <c r="AQ117" s="4">
        <f t="shared" si="136"/>
        <v>461718324.42598778</v>
      </c>
      <c r="AR117" s="4"/>
      <c r="AS117" s="4">
        <f>SUM(Q117:Q119)</f>
        <v>636358579</v>
      </c>
      <c r="AT117" s="121">
        <f>(Q117/P128)-1</f>
        <v>-0.38534564788793857</v>
      </c>
      <c r="AU117" s="121" t="s">
        <v>299</v>
      </c>
      <c r="AV117" s="194"/>
      <c r="AW117" s="194"/>
      <c r="AX117" s="194"/>
      <c r="AY117" s="195"/>
      <c r="AZ117" s="196"/>
      <c r="BA117" s="196"/>
      <c r="BB117" s="195"/>
      <c r="BC117" s="195">
        <v>108932143.44251604</v>
      </c>
      <c r="BD117" s="195">
        <f>L117-BC117</f>
        <v>-48844026.442516044</v>
      </c>
      <c r="BE117" s="195">
        <v>108507798.4385401</v>
      </c>
      <c r="BF117" s="195">
        <f>M117-BE117</f>
        <v>-34210033.438540101</v>
      </c>
      <c r="BG117" s="195">
        <v>81075407.426691353</v>
      </c>
      <c r="BH117" s="195"/>
      <c r="BI117" s="3"/>
      <c r="BJ117" s="3">
        <v>249242446</v>
      </c>
      <c r="BK117" s="3">
        <f t="shared" ref="BK117:BK129" si="137">P117-BJ117</f>
        <v>0</v>
      </c>
      <c r="BL117" s="3">
        <v>211951267</v>
      </c>
      <c r="BM117" s="177">
        <f t="shared" ref="BM117:BM129" si="138">Q117-BL117</f>
        <v>0</v>
      </c>
      <c r="BN117" s="3"/>
      <c r="BR117" s="3"/>
      <c r="BS117" s="3"/>
      <c r="BT117" s="3"/>
      <c r="BU117" s="3"/>
      <c r="BV117" s="3"/>
      <c r="BW117" s="3"/>
      <c r="BX117" s="3"/>
      <c r="BY117" s="3"/>
      <c r="BZ117" s="3"/>
      <c r="CA117" s="3"/>
      <c r="CB117" s="3"/>
      <c r="CC117" s="4"/>
      <c r="CD117" s="3"/>
      <c r="CE117" s="3"/>
      <c r="CF117" s="3"/>
      <c r="CG117" s="3"/>
      <c r="CH117" s="3"/>
      <c r="CI117" s="3"/>
      <c r="CJ117" s="3"/>
      <c r="CK117" s="3"/>
      <c r="CL117" s="3"/>
      <c r="CM117" s="3"/>
      <c r="CN117" s="3"/>
      <c r="CO117" s="3"/>
      <c r="CP117" s="3"/>
      <c r="CQ117" s="3"/>
      <c r="CR117" s="3"/>
      <c r="CS117" s="3"/>
      <c r="CT117" s="3"/>
      <c r="CU117" s="3"/>
      <c r="CV117" s="3"/>
      <c r="CW117" s="3"/>
      <c r="CX117" s="3"/>
      <c r="DB117" s="3"/>
      <c r="DD117" s="3"/>
      <c r="DE117" s="3"/>
      <c r="DF117" s="3"/>
      <c r="DG117" s="3"/>
      <c r="DH117" s="3"/>
      <c r="DI117" s="3"/>
      <c r="DJ117" s="3"/>
      <c r="DK117" s="3"/>
      <c r="DL117" s="3"/>
    </row>
    <row r="118" spans="1:116">
      <c r="A118" s="2" t="s">
        <v>44</v>
      </c>
      <c r="B118" s="3">
        <f t="shared" si="136"/>
        <v>0</v>
      </c>
      <c r="C118" s="3">
        <f t="shared" si="136"/>
        <v>236655</v>
      </c>
      <c r="D118" s="3">
        <f t="shared" si="136"/>
        <v>1466603</v>
      </c>
      <c r="E118" s="3">
        <f t="shared" si="136"/>
        <v>3115462</v>
      </c>
      <c r="F118" s="3">
        <f t="shared" si="136"/>
        <v>30698611</v>
      </c>
      <c r="G118" s="3">
        <f t="shared" si="136"/>
        <v>21350125</v>
      </c>
      <c r="H118" s="3">
        <f t="shared" si="136"/>
        <v>19588726</v>
      </c>
      <c r="I118" s="3">
        <f t="shared" si="136"/>
        <v>30589866</v>
      </c>
      <c r="J118" s="3">
        <f t="shared" si="136"/>
        <v>32494621</v>
      </c>
      <c r="K118" s="3">
        <f>K134+K198+K262</f>
        <v>58998845</v>
      </c>
      <c r="L118" s="3">
        <f t="shared" si="136"/>
        <v>62319604</v>
      </c>
      <c r="M118" s="3">
        <f t="shared" si="136"/>
        <v>76373451</v>
      </c>
      <c r="N118" s="3">
        <f t="shared" si="136"/>
        <v>126956623</v>
      </c>
      <c r="O118" s="3">
        <f t="shared" si="136"/>
        <v>166459363</v>
      </c>
      <c r="P118" s="3">
        <f t="shared" si="136"/>
        <v>282352255</v>
      </c>
      <c r="Q118" s="3">
        <f t="shared" si="136"/>
        <v>181467123</v>
      </c>
      <c r="R118" s="4">
        <f t="shared" si="136"/>
        <v>208020733.07924104</v>
      </c>
      <c r="S118" s="4">
        <f t="shared" si="136"/>
        <v>225391823.52937359</v>
      </c>
      <c r="T118" s="4">
        <f t="shared" si="136"/>
        <v>227491001.43188307</v>
      </c>
      <c r="U118" s="4">
        <f t="shared" si="136"/>
        <v>228184386.28301731</v>
      </c>
      <c r="V118" s="4">
        <f t="shared" si="136"/>
        <v>231713750.70343471</v>
      </c>
      <c r="W118" s="4">
        <f t="shared" si="136"/>
        <v>252910541.43098027</v>
      </c>
      <c r="X118" s="4">
        <f t="shared" si="136"/>
        <v>295516058.59225512</v>
      </c>
      <c r="Y118" s="4">
        <f t="shared" si="136"/>
        <v>293054189.88369727</v>
      </c>
      <c r="Z118" s="4">
        <f t="shared" si="136"/>
        <v>283807513.42025685</v>
      </c>
      <c r="AA118" s="4">
        <f t="shared" si="136"/>
        <v>299536340.87649262</v>
      </c>
      <c r="AB118" s="4">
        <f t="shared" si="136"/>
        <v>316378110.09067917</v>
      </c>
      <c r="AC118" s="4">
        <f t="shared" si="136"/>
        <v>358037087.70634723</v>
      </c>
      <c r="AD118" s="4">
        <f t="shared" si="136"/>
        <v>394567119.04692233</v>
      </c>
      <c r="AE118" s="4">
        <f t="shared" si="136"/>
        <v>394792366.54675949</v>
      </c>
      <c r="AF118" s="4">
        <f t="shared" si="136"/>
        <v>345923053.68867409</v>
      </c>
      <c r="AG118" s="4">
        <f t="shared" si="136"/>
        <v>366522350.98561317</v>
      </c>
      <c r="AH118" s="4">
        <f t="shared" si="136"/>
        <v>387292534.38914764</v>
      </c>
      <c r="AI118" s="4">
        <f t="shared" si="136"/>
        <v>420625248.99064964</v>
      </c>
      <c r="AJ118" s="4">
        <f t="shared" si="136"/>
        <v>428848715.69240981</v>
      </c>
      <c r="AK118" s="4">
        <f t="shared" si="136"/>
        <v>426364970.38184226</v>
      </c>
      <c r="AL118" s="4">
        <f t="shared" si="136"/>
        <v>405874389.57006615</v>
      </c>
      <c r="AM118" s="4">
        <f t="shared" si="136"/>
        <v>423248071.67094541</v>
      </c>
      <c r="AN118" s="4">
        <f t="shared" si="136"/>
        <v>438263977.06887037</v>
      </c>
      <c r="AO118" s="4">
        <f t="shared" si="136"/>
        <v>453973075.05356663</v>
      </c>
      <c r="AP118" s="4">
        <f t="shared" si="136"/>
        <v>473974686.84361035</v>
      </c>
      <c r="AQ118" s="4">
        <f t="shared" si="136"/>
        <v>509842011.90542477</v>
      </c>
      <c r="AR118" s="4"/>
      <c r="AS118" s="4">
        <f>SUM(P117:P119)</f>
        <v>768180554</v>
      </c>
      <c r="AT118" s="121">
        <f t="shared" ref="AT118:AT128" si="139">(Q118/Q117)-1</f>
        <v>-0.14382619378255479</v>
      </c>
      <c r="AU118" s="121" t="s">
        <v>300</v>
      </c>
      <c r="AV118" s="121">
        <f t="shared" ref="AV118:BG118" si="140">(SUM(L118:P118)/SUM(L117:P117))-1</f>
        <v>4.4810219845140997E-2</v>
      </c>
      <c r="AW118" s="121">
        <f t="shared" si="140"/>
        <v>-2.4812561646554432E-3</v>
      </c>
      <c r="AX118" s="121">
        <f t="shared" si="140"/>
        <v>1.7527977283804841E-2</v>
      </c>
      <c r="AY118" s="121">
        <f t="shared" si="140"/>
        <v>2.9757753787231112E-2</v>
      </c>
      <c r="AZ118" s="121">
        <f t="shared" si="140"/>
        <v>6.7814602869796792E-2</v>
      </c>
      <c r="BA118" s="121">
        <f t="shared" si="140"/>
        <v>6.4815625312578007E-2</v>
      </c>
      <c r="BB118" s="121">
        <f t="shared" si="140"/>
        <v>0.11911453206502221</v>
      </c>
      <c r="BC118" s="121">
        <f t="shared" si="140"/>
        <v>0.11958721508502701</v>
      </c>
      <c r="BD118" s="121">
        <f t="shared" si="140"/>
        <v>0.11871398463481242</v>
      </c>
      <c r="BE118" s="121">
        <f t="shared" si="140"/>
        <v>0.11708133899787221</v>
      </c>
      <c r="BF118" s="121">
        <f t="shared" si="140"/>
        <v>0.11365780122318925</v>
      </c>
      <c r="BG118" s="121">
        <f t="shared" si="140"/>
        <v>0.11319439124572916</v>
      </c>
      <c r="BH118" s="195"/>
      <c r="BI118" s="3"/>
      <c r="BJ118" s="3">
        <v>282352255</v>
      </c>
      <c r="BK118" s="3">
        <f t="shared" si="137"/>
        <v>0</v>
      </c>
      <c r="BL118" s="3">
        <v>181467123</v>
      </c>
      <c r="BM118" s="177">
        <f t="shared" si="138"/>
        <v>0</v>
      </c>
      <c r="BN118" s="3"/>
      <c r="BR118" s="3"/>
      <c r="BS118" s="3"/>
      <c r="BT118" s="3"/>
      <c r="BU118" s="3"/>
      <c r="BV118" s="3"/>
      <c r="BW118" s="3"/>
      <c r="BX118" s="3"/>
      <c r="BY118" s="3"/>
      <c r="BZ118" s="3"/>
      <c r="CA118" s="3"/>
      <c r="CB118" s="3"/>
      <c r="CC118" s="4"/>
      <c r="CD118" s="3"/>
      <c r="CE118" s="3"/>
      <c r="CF118" s="3"/>
      <c r="CG118" s="3"/>
      <c r="CH118" s="3"/>
      <c r="CI118" s="3"/>
      <c r="CJ118" s="3"/>
      <c r="CK118" s="3"/>
      <c r="CL118" s="3"/>
      <c r="CM118" s="3"/>
      <c r="CN118" s="3"/>
      <c r="CO118" s="3"/>
      <c r="CP118" s="3"/>
      <c r="CQ118" s="3"/>
      <c r="CR118" s="3"/>
      <c r="CS118" s="3"/>
      <c r="CT118" s="3"/>
      <c r="CU118" s="3"/>
      <c r="CV118" s="3"/>
      <c r="CW118" s="3"/>
      <c r="CX118" s="3"/>
      <c r="DB118" s="3"/>
      <c r="DD118" s="3"/>
      <c r="DE118" s="3"/>
      <c r="DF118" s="3"/>
      <c r="DG118" s="3"/>
      <c r="DH118" s="3"/>
      <c r="DI118" s="3"/>
      <c r="DJ118" s="3"/>
      <c r="DK118" s="3"/>
      <c r="DL118" s="3"/>
    </row>
    <row r="119" spans="1:116">
      <c r="A119" s="2" t="s">
        <v>45</v>
      </c>
      <c r="B119" s="3">
        <f t="shared" si="136"/>
        <v>0</v>
      </c>
      <c r="C119" s="3">
        <f t="shared" si="136"/>
        <v>2386369</v>
      </c>
      <c r="D119" s="3">
        <f t="shared" si="136"/>
        <v>7822984</v>
      </c>
      <c r="E119" s="3">
        <f t="shared" si="136"/>
        <v>18839229</v>
      </c>
      <c r="F119" s="3">
        <f t="shared" si="136"/>
        <v>36894075</v>
      </c>
      <c r="G119" s="3">
        <f t="shared" si="136"/>
        <v>23688726</v>
      </c>
      <c r="H119" s="3">
        <f t="shared" si="136"/>
        <v>29617119</v>
      </c>
      <c r="I119" s="3">
        <f t="shared" si="136"/>
        <v>32015502</v>
      </c>
      <c r="J119" s="3">
        <f t="shared" si="136"/>
        <v>40138174</v>
      </c>
      <c r="K119" s="3">
        <f t="shared" si="136"/>
        <v>52114960</v>
      </c>
      <c r="L119" s="3">
        <f t="shared" si="136"/>
        <v>69665590</v>
      </c>
      <c r="M119" s="3">
        <f t="shared" si="136"/>
        <v>93478906</v>
      </c>
      <c r="N119" s="3">
        <f t="shared" si="136"/>
        <v>145757201</v>
      </c>
      <c r="O119" s="3">
        <f t="shared" si="136"/>
        <v>210050840</v>
      </c>
      <c r="P119" s="3">
        <f t="shared" si="136"/>
        <v>236585853</v>
      </c>
      <c r="Q119" s="3">
        <f t="shared" si="136"/>
        <v>242940189</v>
      </c>
      <c r="R119" s="4">
        <f t="shared" si="136"/>
        <v>218247362.08890066</v>
      </c>
      <c r="S119" s="4">
        <f t="shared" si="136"/>
        <v>234878061.31119588</v>
      </c>
      <c r="T119" s="4">
        <f t="shared" si="136"/>
        <v>235769058.61818272</v>
      </c>
      <c r="U119" s="4">
        <f t="shared" si="136"/>
        <v>235014358.0595161</v>
      </c>
      <c r="V119" s="4">
        <f t="shared" si="136"/>
        <v>243235506.85766512</v>
      </c>
      <c r="W119" s="4">
        <f t="shared" si="136"/>
        <v>264195723.22658843</v>
      </c>
      <c r="X119" s="4">
        <f t="shared" si="136"/>
        <v>308951809.33296812</v>
      </c>
      <c r="Y119" s="4">
        <f t="shared" si="136"/>
        <v>306322502.69770825</v>
      </c>
      <c r="Z119" s="4">
        <f t="shared" si="136"/>
        <v>296781105.87675899</v>
      </c>
      <c r="AA119" s="4">
        <f t="shared" si="136"/>
        <v>313762043.81526923</v>
      </c>
      <c r="AB119" s="4">
        <f t="shared" si="136"/>
        <v>332405263.81044286</v>
      </c>
      <c r="AC119" s="4">
        <f t="shared" si="136"/>
        <v>376529939.99083263</v>
      </c>
      <c r="AD119" s="4">
        <f t="shared" si="136"/>
        <v>414965654.52899498</v>
      </c>
      <c r="AE119" s="4">
        <f t="shared" si="136"/>
        <v>415223626.27229035</v>
      </c>
      <c r="AF119" s="4">
        <f t="shared" si="136"/>
        <v>363866707.53447342</v>
      </c>
      <c r="AG119" s="4">
        <f t="shared" si="136"/>
        <v>385494379.87364721</v>
      </c>
      <c r="AH119" s="4">
        <f t="shared" si="136"/>
        <v>407353560.74807316</v>
      </c>
      <c r="AI119" s="4">
        <f t="shared" si="136"/>
        <v>442463771.87523025</v>
      </c>
      <c r="AJ119" s="4">
        <f t="shared" si="136"/>
        <v>451138860.57351762</v>
      </c>
      <c r="AK119" s="4">
        <f t="shared" si="136"/>
        <v>448537305.81380367</v>
      </c>
      <c r="AL119" s="4">
        <f t="shared" si="136"/>
        <v>426929157.99804735</v>
      </c>
      <c r="AM119" s="4">
        <f t="shared" si="136"/>
        <v>445226831.11799276</v>
      </c>
      <c r="AN119" s="4">
        <f t="shared" si="136"/>
        <v>461044478.32737392</v>
      </c>
      <c r="AO119" s="4">
        <f t="shared" si="136"/>
        <v>477600656.42916721</v>
      </c>
      <c r="AP119" s="4">
        <f t="shared" si="136"/>
        <v>498676546.87776101</v>
      </c>
      <c r="AQ119" s="4">
        <f t="shared" si="136"/>
        <v>536443010.45654863</v>
      </c>
      <c r="AR119" s="4"/>
      <c r="AS119" s="4">
        <f>SUM(P126:P128)</f>
        <v>938737206</v>
      </c>
      <c r="AT119" s="121">
        <f t="shared" si="139"/>
        <v>0.33875594093151529</v>
      </c>
      <c r="AU119" s="197" t="s">
        <v>301</v>
      </c>
      <c r="AV119" s="194"/>
      <c r="AW119" s="194"/>
      <c r="AX119" s="194"/>
      <c r="AY119" s="195"/>
      <c r="AZ119" s="196"/>
      <c r="BA119" s="198"/>
      <c r="BB119" s="195"/>
      <c r="BC119" s="195">
        <v>119714448.18219173</v>
      </c>
      <c r="BD119" s="195">
        <f t="shared" ref="BD119:BD129" si="141">L119-BC119</f>
        <v>-50048858.18219173</v>
      </c>
      <c r="BE119" s="195">
        <v>135173970.91653845</v>
      </c>
      <c r="BF119" s="195">
        <f t="shared" ref="BF119:BF129" si="142">M119-BE119</f>
        <v>-41695064.916538447</v>
      </c>
      <c r="BG119" s="195">
        <v>128861333.89305</v>
      </c>
      <c r="BH119" s="194">
        <f>SUM(P117:P119)</f>
        <v>768180554</v>
      </c>
      <c r="BI119" s="3"/>
      <c r="BJ119" s="3">
        <v>236585853</v>
      </c>
      <c r="BK119" s="3">
        <f t="shared" si="137"/>
        <v>0</v>
      </c>
      <c r="BL119" s="3">
        <v>169119689.56296253</v>
      </c>
      <c r="BM119" s="177">
        <f t="shared" si="138"/>
        <v>73820499.437037468</v>
      </c>
      <c r="BN119" s="3"/>
      <c r="BR119" s="3"/>
      <c r="BS119" s="3"/>
      <c r="BT119" s="3"/>
      <c r="BU119" s="3"/>
      <c r="BV119" s="3"/>
      <c r="BW119" s="3"/>
      <c r="BX119" s="3"/>
      <c r="BY119" s="3"/>
      <c r="BZ119" s="3"/>
      <c r="CA119" s="3"/>
      <c r="CB119" s="3"/>
      <c r="CC119" s="4"/>
      <c r="CD119" s="3"/>
      <c r="CE119" s="3"/>
      <c r="CF119" s="3"/>
      <c r="CG119" s="3"/>
      <c r="CH119" s="3"/>
      <c r="CI119" s="3"/>
      <c r="CJ119" s="3"/>
      <c r="CK119" s="3"/>
      <c r="CL119" s="3"/>
      <c r="CM119" s="3"/>
      <c r="CN119" s="3"/>
      <c r="CO119" s="3"/>
      <c r="CP119" s="3"/>
      <c r="CQ119" s="3"/>
      <c r="CR119" s="3"/>
      <c r="CS119" s="3"/>
      <c r="CT119" s="3"/>
      <c r="CU119" s="3"/>
      <c r="CV119" s="3"/>
      <c r="CW119" s="3"/>
      <c r="CX119" s="3"/>
      <c r="DB119" s="3"/>
      <c r="DD119" s="3"/>
      <c r="DE119" s="3"/>
      <c r="DF119" s="3"/>
      <c r="DG119" s="3"/>
      <c r="DH119" s="3"/>
      <c r="DI119" s="3"/>
      <c r="DJ119" s="3"/>
      <c r="DK119" s="3"/>
      <c r="DL119" s="3"/>
    </row>
    <row r="120" spans="1:116">
      <c r="A120" s="2" t="s">
        <v>46</v>
      </c>
      <c r="B120" s="3">
        <f t="shared" si="136"/>
        <v>0</v>
      </c>
      <c r="C120" s="3">
        <f t="shared" si="136"/>
        <v>1687259</v>
      </c>
      <c r="D120" s="3">
        <f t="shared" si="136"/>
        <v>3830927</v>
      </c>
      <c r="E120" s="3">
        <f t="shared" si="136"/>
        <v>9612556</v>
      </c>
      <c r="F120" s="3">
        <f t="shared" si="136"/>
        <v>35036347</v>
      </c>
      <c r="G120" s="3">
        <f t="shared" si="136"/>
        <v>25938283</v>
      </c>
      <c r="H120" s="3">
        <f t="shared" si="136"/>
        <v>39071668</v>
      </c>
      <c r="I120" s="3">
        <f t="shared" si="136"/>
        <v>37743107</v>
      </c>
      <c r="J120" s="3">
        <f t="shared" si="136"/>
        <v>43160451</v>
      </c>
      <c r="K120" s="3">
        <f t="shared" si="136"/>
        <v>60126920</v>
      </c>
      <c r="L120" s="3">
        <f t="shared" si="136"/>
        <v>62326272</v>
      </c>
      <c r="M120" s="3">
        <f t="shared" si="136"/>
        <v>84459089</v>
      </c>
      <c r="N120" s="3">
        <f t="shared" si="136"/>
        <v>139284155</v>
      </c>
      <c r="O120" s="3">
        <f t="shared" si="136"/>
        <v>205966954</v>
      </c>
      <c r="P120" s="3">
        <f t="shared" si="136"/>
        <v>306747816</v>
      </c>
      <c r="Q120" s="4">
        <f t="shared" si="136"/>
        <v>216310708.23347625</v>
      </c>
      <c r="R120" s="4">
        <f t="shared" si="136"/>
        <v>214370416.38447294</v>
      </c>
      <c r="S120" s="4">
        <f t="shared" si="136"/>
        <v>231274581.55696711</v>
      </c>
      <c r="T120" s="4">
        <f t="shared" si="136"/>
        <v>232280979.1092059</v>
      </c>
      <c r="U120" s="4">
        <f t="shared" si="136"/>
        <v>231869451.66488639</v>
      </c>
      <c r="V120" s="4">
        <f t="shared" si="136"/>
        <v>240073559.05618986</v>
      </c>
      <c r="W120" s="4">
        <f t="shared" si="136"/>
        <v>259242194.69770384</v>
      </c>
      <c r="X120" s="4">
        <f t="shared" si="136"/>
        <v>302626008.37842405</v>
      </c>
      <c r="Y120" s="4">
        <f t="shared" si="136"/>
        <v>300062549.68613678</v>
      </c>
      <c r="Z120" s="4">
        <f t="shared" si="136"/>
        <v>290735093.19748217</v>
      </c>
      <c r="AA120" s="4">
        <f t="shared" si="136"/>
        <v>307204158.28189176</v>
      </c>
      <c r="AB120" s="4">
        <f t="shared" si="136"/>
        <v>323759952.837874</v>
      </c>
      <c r="AC120" s="4">
        <f t="shared" si="136"/>
        <v>366254279.81036037</v>
      </c>
      <c r="AD120" s="4">
        <f t="shared" si="136"/>
        <v>403605549.47352308</v>
      </c>
      <c r="AE120" s="4">
        <f t="shared" si="136"/>
        <v>403877037.78483146</v>
      </c>
      <c r="AF120" s="4">
        <f t="shared" si="136"/>
        <v>354006835.71879917</v>
      </c>
      <c r="AG120" s="4">
        <f t="shared" si="136"/>
        <v>374969931.16261488</v>
      </c>
      <c r="AH120" s="4">
        <f t="shared" si="136"/>
        <v>396212984.7740761</v>
      </c>
      <c r="AI120" s="4">
        <f t="shared" si="136"/>
        <v>430310045.34508491</v>
      </c>
      <c r="AJ120" s="4">
        <f t="shared" si="136"/>
        <v>438734484.25805753</v>
      </c>
      <c r="AK120" s="4">
        <f t="shared" si="136"/>
        <v>436203855.81033635</v>
      </c>
      <c r="AL120" s="4">
        <f t="shared" si="136"/>
        <v>415216809.27328342</v>
      </c>
      <c r="AM120" s="4">
        <f t="shared" si="136"/>
        <v>432984523.53122455</v>
      </c>
      <c r="AN120" s="4">
        <f t="shared" si="136"/>
        <v>448348777.33679223</v>
      </c>
      <c r="AO120" s="4">
        <f t="shared" si="136"/>
        <v>464425046.44384962</v>
      </c>
      <c r="AP120" s="4">
        <f t="shared" si="136"/>
        <v>484885802.53953403</v>
      </c>
      <c r="AQ120" s="4">
        <f t="shared" si="136"/>
        <v>521552386.50830626</v>
      </c>
      <c r="AR120" s="4"/>
      <c r="AS120" s="94"/>
      <c r="AT120" s="121">
        <f t="shared" si="139"/>
        <v>-0.10961332036554783</v>
      </c>
      <c r="AU120" s="197"/>
      <c r="AV120" s="194"/>
      <c r="AW120" s="194"/>
      <c r="AX120" s="194"/>
      <c r="AY120" s="195"/>
      <c r="AZ120" s="196"/>
      <c r="BA120" s="196"/>
      <c r="BB120" s="195"/>
      <c r="BC120" s="195">
        <v>152824951.74781588</v>
      </c>
      <c r="BD120" s="195">
        <f t="shared" si="141"/>
        <v>-90498679.747815877</v>
      </c>
      <c r="BE120" s="195">
        <v>129458434.08986306</v>
      </c>
      <c r="BF120" s="195">
        <f t="shared" si="142"/>
        <v>-44999345.089863062</v>
      </c>
      <c r="BG120" s="195">
        <v>138512422.75823951</v>
      </c>
      <c r="BH120" s="197">
        <f>SUM(O126:O128)/BH119-1</f>
        <v>6.8915950455054054E-2</v>
      </c>
      <c r="BI120" s="3"/>
      <c r="BJ120" s="3">
        <v>306747816</v>
      </c>
      <c r="BK120" s="3">
        <f t="shared" si="137"/>
        <v>0</v>
      </c>
      <c r="BL120" s="3">
        <v>180265904.14102927</v>
      </c>
      <c r="BM120" s="177">
        <f t="shared" si="138"/>
        <v>36044804.092446983</v>
      </c>
      <c r="BN120" s="3"/>
      <c r="BR120" s="3"/>
      <c r="BS120" s="3"/>
      <c r="BT120" s="3"/>
      <c r="BU120" s="3"/>
      <c r="BV120" s="3"/>
      <c r="BW120" s="3"/>
      <c r="BX120" s="3"/>
      <c r="BY120" s="3"/>
      <c r="BZ120" s="3"/>
      <c r="CA120" s="3"/>
      <c r="CB120" s="3"/>
      <c r="CC120" s="4"/>
      <c r="CD120" s="3"/>
      <c r="CE120" s="3"/>
      <c r="CF120" s="3"/>
      <c r="CG120" s="3"/>
      <c r="CH120" s="3"/>
      <c r="CI120" s="3"/>
      <c r="CJ120" s="3"/>
      <c r="CK120" s="3"/>
      <c r="CL120" s="3"/>
      <c r="CM120" s="3"/>
      <c r="CN120" s="3"/>
      <c r="CO120" s="3"/>
      <c r="CP120" s="3"/>
      <c r="CQ120" s="3"/>
      <c r="CR120" s="3"/>
      <c r="CS120" s="3"/>
      <c r="CT120" s="3"/>
      <c r="CU120" s="3"/>
      <c r="CV120" s="3"/>
      <c r="CW120" s="3"/>
      <c r="CX120" s="3"/>
      <c r="DB120" s="3"/>
      <c r="DD120" s="3"/>
      <c r="DE120" s="3"/>
      <c r="DF120" s="3"/>
      <c r="DG120" s="3"/>
      <c r="DH120" s="3"/>
      <c r="DI120" s="3"/>
      <c r="DJ120" s="3"/>
      <c r="DK120" s="3"/>
      <c r="DL120" s="3"/>
    </row>
    <row r="121" spans="1:116">
      <c r="A121" s="2" t="s">
        <v>47</v>
      </c>
      <c r="B121" s="3">
        <f t="shared" si="136"/>
        <v>0</v>
      </c>
      <c r="C121" s="3">
        <f t="shared" si="136"/>
        <v>3145024</v>
      </c>
      <c r="D121" s="3">
        <f t="shared" si="136"/>
        <v>6795380</v>
      </c>
      <c r="E121" s="3">
        <f t="shared" si="136"/>
        <v>11255986</v>
      </c>
      <c r="F121" s="3">
        <f t="shared" si="136"/>
        <v>34703257</v>
      </c>
      <c r="G121" s="3">
        <f t="shared" si="136"/>
        <v>34062372</v>
      </c>
      <c r="H121" s="3">
        <f t="shared" si="136"/>
        <v>36744998</v>
      </c>
      <c r="I121" s="3">
        <f t="shared" si="136"/>
        <v>44874613</v>
      </c>
      <c r="J121" s="3">
        <f t="shared" si="136"/>
        <v>45208271</v>
      </c>
      <c r="K121" s="3">
        <f t="shared" si="136"/>
        <v>66460737</v>
      </c>
      <c r="L121" s="3">
        <f t="shared" si="136"/>
        <v>74602117</v>
      </c>
      <c r="M121" s="3">
        <f t="shared" si="136"/>
        <v>88474730</v>
      </c>
      <c r="N121" s="3">
        <f t="shared" si="136"/>
        <v>168288810</v>
      </c>
      <c r="O121" s="3">
        <f t="shared" si="136"/>
        <v>264323736</v>
      </c>
      <c r="P121" s="3">
        <f t="shared" si="136"/>
        <v>248655748</v>
      </c>
      <c r="Q121" s="4">
        <f t="shared" si="136"/>
        <v>214385325.05488834</v>
      </c>
      <c r="R121" s="4">
        <f t="shared" si="136"/>
        <v>237888659.53806296</v>
      </c>
      <c r="S121" s="4">
        <f t="shared" si="136"/>
        <v>257888922.02253425</v>
      </c>
      <c r="T121" s="4">
        <f t="shared" si="136"/>
        <v>259579391.18021217</v>
      </c>
      <c r="U121" s="4">
        <f t="shared" si="136"/>
        <v>258426851.91432762</v>
      </c>
      <c r="V121" s="4">
        <f t="shared" si="136"/>
        <v>267700065.60214978</v>
      </c>
      <c r="W121" s="4">
        <f t="shared" si="136"/>
        <v>289102493.36355668</v>
      </c>
      <c r="X121" s="4">
        <f t="shared" si="136"/>
        <v>337757479.98106658</v>
      </c>
      <c r="Y121" s="4">
        <f t="shared" si="136"/>
        <v>334910695.63632572</v>
      </c>
      <c r="Z121" s="4">
        <f t="shared" si="136"/>
        <v>324420999.76758581</v>
      </c>
      <c r="AA121" s="4">
        <f t="shared" si="136"/>
        <v>342835545.19569135</v>
      </c>
      <c r="AB121" s="4">
        <f t="shared" si="136"/>
        <v>361533188.04164833</v>
      </c>
      <c r="AC121" s="4">
        <f t="shared" si="136"/>
        <v>409064651.60451448</v>
      </c>
      <c r="AD121" s="4">
        <f t="shared" si="136"/>
        <v>450789988.55940008</v>
      </c>
      <c r="AE121" s="4">
        <f t="shared" si="136"/>
        <v>451069605.40117681</v>
      </c>
      <c r="AF121" s="4">
        <f t="shared" si="136"/>
        <v>395364592.0505383</v>
      </c>
      <c r="AG121" s="4">
        <f t="shared" si="136"/>
        <v>418785387.45091248</v>
      </c>
      <c r="AH121" s="4">
        <f t="shared" si="136"/>
        <v>442520951.5799939</v>
      </c>
      <c r="AI121" s="4">
        <f t="shared" si="136"/>
        <v>480608287.95421308</v>
      </c>
      <c r="AJ121" s="4">
        <f t="shared" si="136"/>
        <v>490015742.74295676</v>
      </c>
      <c r="AK121" s="4">
        <f t="shared" si="136"/>
        <v>487191057.96858788</v>
      </c>
      <c r="AL121" s="4">
        <f t="shared" si="136"/>
        <v>463748709.86267769</v>
      </c>
      <c r="AM121" s="4">
        <f t="shared" si="136"/>
        <v>483597306.20424843</v>
      </c>
      <c r="AN121" s="4">
        <f t="shared" si="136"/>
        <v>500758552.01673585</v>
      </c>
      <c r="AO121" s="4">
        <f t="shared" si="136"/>
        <v>518714638.38632905</v>
      </c>
      <c r="AP121" s="4">
        <f t="shared" si="136"/>
        <v>541572656.36096644</v>
      </c>
      <c r="AQ121" s="4">
        <f t="shared" si="136"/>
        <v>582533627.56062019</v>
      </c>
      <c r="AR121" s="4"/>
      <c r="AS121" s="94">
        <f>AS117/AS118-1</f>
        <v>-0.17160285340938219</v>
      </c>
      <c r="AT121" s="121">
        <f t="shared" si="139"/>
        <v>-8.901007233122038E-3</v>
      </c>
      <c r="AU121" s="197"/>
      <c r="AV121" s="194"/>
      <c r="AW121" s="194"/>
      <c r="AX121" s="194"/>
      <c r="AY121" s="195"/>
      <c r="AZ121" s="196"/>
      <c r="BA121" s="195">
        <v>178072540.96348354</v>
      </c>
      <c r="BB121" s="195">
        <f t="shared" ref="BB121:BB129" si="143">K121-BA121</f>
        <v>-111611803.96348354</v>
      </c>
      <c r="BC121" s="195">
        <v>157209465.91249242</v>
      </c>
      <c r="BD121" s="195">
        <f t="shared" si="141"/>
        <v>-82607348.912492424</v>
      </c>
      <c r="BE121" s="195">
        <v>142690356.2444244</v>
      </c>
      <c r="BF121" s="195">
        <f t="shared" si="142"/>
        <v>-54215626.244424403</v>
      </c>
      <c r="BG121" s="195">
        <v>143839399.92900729</v>
      </c>
      <c r="BH121" s="195"/>
      <c r="BI121" s="3"/>
      <c r="BJ121" s="3">
        <v>248655748</v>
      </c>
      <c r="BK121" s="3">
        <f t="shared" si="137"/>
        <v>0</v>
      </c>
      <c r="BL121" s="3">
        <v>183354289.80360806</v>
      </c>
      <c r="BM121" s="177">
        <f t="shared" si="138"/>
        <v>31031035.251280278</v>
      </c>
      <c r="BN121" s="3"/>
      <c r="BR121" s="3"/>
      <c r="BS121" s="3"/>
      <c r="BT121" s="3"/>
      <c r="BU121" s="3"/>
      <c r="BV121" s="3"/>
      <c r="BW121" s="3"/>
      <c r="BX121" s="3"/>
      <c r="BY121" s="3"/>
      <c r="BZ121" s="3"/>
      <c r="CA121" s="3"/>
      <c r="CB121" s="3"/>
      <c r="CC121" s="4"/>
      <c r="CD121" s="3"/>
      <c r="CE121" s="3"/>
      <c r="CF121" s="3"/>
      <c r="CG121" s="3"/>
      <c r="CH121" s="3"/>
      <c r="CI121" s="3"/>
      <c r="CJ121" s="3"/>
      <c r="CK121" s="3"/>
      <c r="CL121" s="3"/>
      <c r="CM121" s="3"/>
      <c r="CN121" s="3"/>
      <c r="CO121" s="3"/>
      <c r="CP121" s="3"/>
      <c r="CQ121" s="3"/>
      <c r="CR121" s="3"/>
      <c r="CS121" s="3"/>
      <c r="CT121" s="3"/>
      <c r="CU121" s="3"/>
      <c r="CV121" s="3"/>
      <c r="CW121" s="3"/>
      <c r="CX121" s="3"/>
      <c r="DB121" s="3"/>
      <c r="DD121" s="3"/>
      <c r="DE121" s="3"/>
      <c r="DF121" s="3"/>
      <c r="DG121" s="3"/>
      <c r="DH121" s="3"/>
      <c r="DI121" s="3"/>
      <c r="DJ121" s="3"/>
      <c r="DK121" s="3"/>
      <c r="DL121" s="3"/>
    </row>
    <row r="122" spans="1:116">
      <c r="A122" s="2" t="s">
        <v>48</v>
      </c>
      <c r="B122" s="3">
        <f t="shared" si="136"/>
        <v>0</v>
      </c>
      <c r="C122" s="3">
        <f t="shared" si="136"/>
        <v>3743400</v>
      </c>
      <c r="D122" s="3">
        <f t="shared" si="136"/>
        <v>5772394</v>
      </c>
      <c r="E122" s="3">
        <f t="shared" si="136"/>
        <v>18686883</v>
      </c>
      <c r="F122" s="3">
        <f t="shared" si="136"/>
        <v>35152858</v>
      </c>
      <c r="G122" s="3">
        <f t="shared" si="136"/>
        <v>29139984</v>
      </c>
      <c r="H122" s="3">
        <f t="shared" si="136"/>
        <v>43410260</v>
      </c>
      <c r="I122" s="3">
        <f t="shared" si="136"/>
        <v>33973746</v>
      </c>
      <c r="J122" s="3">
        <f t="shared" si="136"/>
        <v>34568090</v>
      </c>
      <c r="K122" s="3">
        <f t="shared" si="136"/>
        <v>65988397</v>
      </c>
      <c r="L122" s="3">
        <f t="shared" si="136"/>
        <v>66863966</v>
      </c>
      <c r="M122" s="3">
        <f t="shared" si="136"/>
        <v>100205111</v>
      </c>
      <c r="N122" s="3">
        <f t="shared" si="136"/>
        <v>143793272</v>
      </c>
      <c r="O122" s="3">
        <f t="shared" si="136"/>
        <v>228862369</v>
      </c>
      <c r="P122" s="3">
        <f t="shared" si="136"/>
        <v>332870910</v>
      </c>
      <c r="Q122" s="4">
        <f t="shared" si="136"/>
        <v>210603533.73711234</v>
      </c>
      <c r="R122" s="4">
        <f t="shared" si="136"/>
        <v>238407462.73898134</v>
      </c>
      <c r="S122" s="4">
        <f t="shared" si="136"/>
        <v>257757373.52547669</v>
      </c>
      <c r="T122" s="4">
        <f t="shared" si="136"/>
        <v>260815133.81323195</v>
      </c>
      <c r="U122" s="4">
        <f t="shared" si="136"/>
        <v>262039979.70731577</v>
      </c>
      <c r="V122" s="4">
        <f t="shared" si="136"/>
        <v>267679066.30042276</v>
      </c>
      <c r="W122" s="4">
        <f t="shared" si="136"/>
        <v>289308200.60864377</v>
      </c>
      <c r="X122" s="4">
        <f t="shared" si="136"/>
        <v>337476613.71061546</v>
      </c>
      <c r="Y122" s="4">
        <f t="shared" si="136"/>
        <v>334810574.80778188</v>
      </c>
      <c r="Z122" s="4">
        <f t="shared" si="136"/>
        <v>324343217.29932541</v>
      </c>
      <c r="AA122" s="4">
        <f t="shared" si="136"/>
        <v>342227479.78185236</v>
      </c>
      <c r="AB122" s="4">
        <f t="shared" si="136"/>
        <v>359540164.36449009</v>
      </c>
      <c r="AC122" s="4">
        <f t="shared" si="136"/>
        <v>406346591.95959276</v>
      </c>
      <c r="AD122" s="4">
        <f t="shared" si="136"/>
        <v>447805599.31386024</v>
      </c>
      <c r="AE122" s="4">
        <f t="shared" si="136"/>
        <v>448103847.67559999</v>
      </c>
      <c r="AF122" s="4">
        <f t="shared" si="136"/>
        <v>392747620.10752666</v>
      </c>
      <c r="AG122" s="4">
        <f t="shared" si="136"/>
        <v>416006758.70881182</v>
      </c>
      <c r="AH122" s="4">
        <f t="shared" si="136"/>
        <v>439567132.16799158</v>
      </c>
      <c r="AI122" s="4">
        <f t="shared" si="136"/>
        <v>477352056.03543741</v>
      </c>
      <c r="AJ122" s="4">
        <f t="shared" si="136"/>
        <v>486675286.84864062</v>
      </c>
      <c r="AK122" s="4">
        <f t="shared" si="136"/>
        <v>483855336.15120751</v>
      </c>
      <c r="AL122" s="4">
        <f t="shared" si="136"/>
        <v>460618494.98994839</v>
      </c>
      <c r="AM122" s="4">
        <f t="shared" si="136"/>
        <v>480306710.2280274</v>
      </c>
      <c r="AN122" s="4">
        <f t="shared" si="136"/>
        <v>497335404.45547217</v>
      </c>
      <c r="AO122" s="4">
        <f t="shared" si="136"/>
        <v>515139304.69806695</v>
      </c>
      <c r="AP122" s="4">
        <f t="shared" si="136"/>
        <v>537799472.73317969</v>
      </c>
      <c r="AQ122" s="4">
        <f t="shared" si="136"/>
        <v>578432389.77784133</v>
      </c>
      <c r="AR122" s="4"/>
      <c r="AS122" s="94">
        <f>AS117/AS119-1</f>
        <v>-0.32211211515568716</v>
      </c>
      <c r="AT122" s="121">
        <f t="shared" si="139"/>
        <v>-1.7640159450315718E-2</v>
      </c>
      <c r="AU122" s="197"/>
      <c r="AV122" s="194"/>
      <c r="AW122" s="194"/>
      <c r="AX122" s="194"/>
      <c r="AY122" s="195"/>
      <c r="AZ122" s="196"/>
      <c r="BA122" s="195">
        <v>167055104.50212622</v>
      </c>
      <c r="BB122" s="195">
        <f t="shared" si="143"/>
        <v>-101066707.50212622</v>
      </c>
      <c r="BC122" s="195">
        <v>140041174.55798692</v>
      </c>
      <c r="BD122" s="195">
        <f t="shared" si="141"/>
        <v>-73177208.557986915</v>
      </c>
      <c r="BE122" s="195">
        <v>155020352.91339663</v>
      </c>
      <c r="BF122" s="195">
        <f t="shared" si="142"/>
        <v>-54815241.913396627</v>
      </c>
      <c r="BG122" s="195">
        <v>148189433.6392737</v>
      </c>
      <c r="BH122" s="194">
        <f>SUM(P120:P122)</f>
        <v>888274474</v>
      </c>
      <c r="BI122" s="3"/>
      <c r="BJ122" s="3">
        <v>332870910</v>
      </c>
      <c r="BK122" s="3">
        <f t="shared" si="137"/>
        <v>0</v>
      </c>
      <c r="BL122" s="3">
        <v>181848850.41313478</v>
      </c>
      <c r="BM122" s="177">
        <f t="shared" si="138"/>
        <v>28754683.32397756</v>
      </c>
      <c r="BN122" s="3"/>
      <c r="BR122" s="3"/>
      <c r="BS122" s="3"/>
      <c r="BT122" s="3"/>
      <c r="BU122" s="3"/>
      <c r="BV122" s="3"/>
      <c r="BW122" s="3"/>
      <c r="BX122" s="3"/>
      <c r="BY122" s="3"/>
      <c r="BZ122" s="3"/>
      <c r="CA122" s="3"/>
      <c r="CB122" s="3"/>
      <c r="CC122" s="4"/>
      <c r="CD122" s="3"/>
      <c r="CE122" s="3"/>
      <c r="CF122" s="3"/>
      <c r="CG122" s="3"/>
      <c r="CH122" s="3"/>
      <c r="CI122" s="3"/>
      <c r="CJ122" s="3"/>
      <c r="CK122" s="3"/>
      <c r="CL122" s="3"/>
      <c r="CM122" s="3"/>
      <c r="CN122" s="3"/>
      <c r="CO122" s="3"/>
      <c r="CP122" s="3"/>
      <c r="CQ122" s="3"/>
      <c r="CR122" s="3"/>
      <c r="CS122" s="3"/>
      <c r="CT122" s="3"/>
      <c r="CU122" s="3"/>
      <c r="CV122" s="3"/>
      <c r="CW122" s="3"/>
      <c r="CX122" s="3"/>
      <c r="DB122" s="3"/>
      <c r="DD122" s="3"/>
      <c r="DE122" s="3"/>
      <c r="DF122" s="3"/>
      <c r="DG122" s="3"/>
      <c r="DH122" s="3"/>
      <c r="DI122" s="3"/>
      <c r="DJ122" s="3"/>
      <c r="DK122" s="3"/>
      <c r="DL122" s="4"/>
    </row>
    <row r="123" spans="1:116">
      <c r="A123" s="2" t="s">
        <v>49</v>
      </c>
      <c r="B123" s="3">
        <f t="shared" si="136"/>
        <v>0</v>
      </c>
      <c r="C123" s="3">
        <f t="shared" si="136"/>
        <v>5655935</v>
      </c>
      <c r="D123" s="3">
        <f t="shared" si="136"/>
        <v>8809531</v>
      </c>
      <c r="E123" s="3">
        <f t="shared" si="136"/>
        <v>35114654</v>
      </c>
      <c r="F123" s="3">
        <f t="shared" ref="B123:AQ128" si="144">F139+F203+F267</f>
        <v>37828322</v>
      </c>
      <c r="G123" s="3">
        <f t="shared" si="144"/>
        <v>26543173</v>
      </c>
      <c r="H123" s="3">
        <f t="shared" si="144"/>
        <v>39218540</v>
      </c>
      <c r="I123" s="3">
        <f t="shared" si="144"/>
        <v>37723798</v>
      </c>
      <c r="J123" s="3">
        <f t="shared" si="144"/>
        <v>28074499</v>
      </c>
      <c r="K123" s="3">
        <f t="shared" si="144"/>
        <v>71562738</v>
      </c>
      <c r="L123" s="3">
        <f t="shared" si="144"/>
        <v>64496125</v>
      </c>
      <c r="M123" s="3">
        <f t="shared" si="144"/>
        <v>66880843</v>
      </c>
      <c r="N123" s="3">
        <f t="shared" si="144"/>
        <v>118076509</v>
      </c>
      <c r="O123" s="3">
        <f t="shared" si="144"/>
        <v>222311073</v>
      </c>
      <c r="P123" s="3">
        <f t="shared" si="144"/>
        <v>332923086</v>
      </c>
      <c r="Q123" s="4">
        <f t="shared" si="144"/>
        <v>202011818.66122711</v>
      </c>
      <c r="R123" s="4">
        <f t="shared" si="144"/>
        <v>220123652.40554297</v>
      </c>
      <c r="S123" s="4">
        <f t="shared" si="144"/>
        <v>242598679.80347311</v>
      </c>
      <c r="T123" s="4">
        <f t="shared" si="144"/>
        <v>247303506.44037029</v>
      </c>
      <c r="U123" s="4">
        <f t="shared" si="144"/>
        <v>245148135.77924138</v>
      </c>
      <c r="V123" s="4">
        <f t="shared" si="144"/>
        <v>254436599.64691171</v>
      </c>
      <c r="W123" s="4">
        <f t="shared" si="144"/>
        <v>275075007.44391286</v>
      </c>
      <c r="X123" s="4">
        <f t="shared" si="144"/>
        <v>323395934.11745709</v>
      </c>
      <c r="Y123" s="4">
        <f t="shared" si="144"/>
        <v>321003541.6108017</v>
      </c>
      <c r="Z123" s="4">
        <f t="shared" si="144"/>
        <v>310806548.94502652</v>
      </c>
      <c r="AA123" s="4">
        <f t="shared" si="144"/>
        <v>328669802.58575094</v>
      </c>
      <c r="AB123" s="4">
        <f t="shared" si="144"/>
        <v>349400359.56482959</v>
      </c>
      <c r="AC123" s="4">
        <f t="shared" si="144"/>
        <v>396208742.44200802</v>
      </c>
      <c r="AD123" s="4">
        <f t="shared" si="144"/>
        <v>436779219.32806426</v>
      </c>
      <c r="AE123" s="4">
        <f t="shared" si="144"/>
        <v>436985427.14685273</v>
      </c>
      <c r="AF123" s="4">
        <f t="shared" si="144"/>
        <v>382863219.05707151</v>
      </c>
      <c r="AG123" s="4">
        <f t="shared" si="144"/>
        <v>405623078.91986769</v>
      </c>
      <c r="AH123" s="4">
        <f t="shared" si="144"/>
        <v>428701434.84224796</v>
      </c>
      <c r="AI123" s="4">
        <f t="shared" si="144"/>
        <v>465699743.1913287</v>
      </c>
      <c r="AJ123" s="4">
        <f t="shared" si="144"/>
        <v>474826469.08248883</v>
      </c>
      <c r="AK123" s="4">
        <f t="shared" si="144"/>
        <v>472084497.77061504</v>
      </c>
      <c r="AL123" s="4">
        <f t="shared" si="144"/>
        <v>449318688.21140802</v>
      </c>
      <c r="AM123" s="4">
        <f t="shared" si="144"/>
        <v>468602325.70743662</v>
      </c>
      <c r="AN123" s="4">
        <f t="shared" si="144"/>
        <v>485272013.47944212</v>
      </c>
      <c r="AO123" s="4">
        <f t="shared" si="144"/>
        <v>502706254.39711404</v>
      </c>
      <c r="AP123" s="4">
        <f t="shared" si="144"/>
        <v>524913156.71962655</v>
      </c>
      <c r="AQ123" s="4">
        <f t="shared" si="144"/>
        <v>564708160.05232799</v>
      </c>
      <c r="AR123" s="4"/>
      <c r="AS123" s="94"/>
      <c r="AT123" s="121">
        <f t="shared" si="139"/>
        <v>-4.0795683355484003E-2</v>
      </c>
      <c r="AU123" s="197"/>
      <c r="AV123" s="194"/>
      <c r="AW123" s="194"/>
      <c r="AX123" s="194"/>
      <c r="AY123" s="195"/>
      <c r="AZ123" s="196"/>
      <c r="BA123" s="195">
        <v>143619523.04200637</v>
      </c>
      <c r="BB123" s="195">
        <f t="shared" si="143"/>
        <v>-72056785.042006373</v>
      </c>
      <c r="BC123" s="195">
        <v>165126501.15137365</v>
      </c>
      <c r="BD123" s="195">
        <f t="shared" si="141"/>
        <v>-100630376.15137365</v>
      </c>
      <c r="BE123" s="195">
        <v>161089374.57035646</v>
      </c>
      <c r="BF123" s="195">
        <f t="shared" si="142"/>
        <v>-94208531.570356458</v>
      </c>
      <c r="BG123" s="195">
        <v>144098244.42470986</v>
      </c>
      <c r="BH123" s="197">
        <f>(BH122/BH119)-1</f>
        <v>0.1563355377517146</v>
      </c>
      <c r="BI123" s="3"/>
      <c r="BJ123" s="4">
        <v>332923086</v>
      </c>
      <c r="BK123" s="3">
        <f t="shared" si="137"/>
        <v>0</v>
      </c>
      <c r="BL123" s="3">
        <v>179458641.30449912</v>
      </c>
      <c r="BM123" s="177">
        <f t="shared" si="138"/>
        <v>22553177.356727988</v>
      </c>
      <c r="BN123" s="3"/>
      <c r="BR123" s="3"/>
      <c r="BS123" s="3"/>
      <c r="BT123" s="3"/>
      <c r="BU123" s="3"/>
      <c r="BV123" s="3"/>
      <c r="BW123" s="3"/>
      <c r="BX123" s="3"/>
      <c r="BY123" s="3"/>
      <c r="BZ123" s="3"/>
      <c r="CA123" s="3"/>
      <c r="CB123" s="3"/>
      <c r="CC123" s="4"/>
      <c r="CD123" s="3"/>
      <c r="CE123" s="3"/>
      <c r="CF123" s="3"/>
      <c r="CG123" s="3"/>
      <c r="CH123" s="3"/>
      <c r="CI123" s="3"/>
      <c r="CJ123" s="3"/>
      <c r="CK123" s="3"/>
      <c r="CL123" s="3"/>
      <c r="CM123" s="3"/>
      <c r="CN123" s="3"/>
      <c r="CO123" s="3"/>
      <c r="CP123" s="3"/>
      <c r="CQ123" s="3"/>
      <c r="CR123" s="3"/>
      <c r="CS123" s="3"/>
      <c r="CT123" s="3"/>
      <c r="CU123" s="3"/>
      <c r="CV123" s="3"/>
      <c r="CW123" s="3"/>
      <c r="CX123" s="3"/>
      <c r="DB123" s="3"/>
      <c r="DD123" s="3"/>
      <c r="DE123" s="3"/>
      <c r="DF123" s="3"/>
      <c r="DG123" s="3"/>
      <c r="DH123" s="3"/>
      <c r="DI123" s="3"/>
      <c r="DJ123" s="3"/>
      <c r="DK123" s="3"/>
      <c r="DL123" s="4"/>
    </row>
    <row r="124" spans="1:116">
      <c r="A124" s="2" t="s">
        <v>50</v>
      </c>
      <c r="B124" s="3">
        <f t="shared" si="144"/>
        <v>0</v>
      </c>
      <c r="C124" s="3">
        <f t="shared" si="144"/>
        <v>7299417</v>
      </c>
      <c r="D124" s="3">
        <f t="shared" si="144"/>
        <v>5278374</v>
      </c>
      <c r="E124" s="3">
        <f t="shared" si="144"/>
        <v>33542930</v>
      </c>
      <c r="F124" s="3">
        <f t="shared" si="144"/>
        <v>9979226</v>
      </c>
      <c r="G124" s="3">
        <f t="shared" si="144"/>
        <v>29443632</v>
      </c>
      <c r="H124" s="3">
        <f t="shared" si="144"/>
        <v>39836941</v>
      </c>
      <c r="I124" s="3">
        <f t="shared" si="144"/>
        <v>38819304</v>
      </c>
      <c r="J124" s="3">
        <f t="shared" si="144"/>
        <v>35257268</v>
      </c>
      <c r="K124" s="3">
        <f t="shared" si="144"/>
        <v>51779252</v>
      </c>
      <c r="L124" s="3">
        <f t="shared" si="144"/>
        <v>63809191</v>
      </c>
      <c r="M124" s="3">
        <f t="shared" si="144"/>
        <v>101388714</v>
      </c>
      <c r="N124" s="3">
        <f t="shared" si="144"/>
        <v>129781379</v>
      </c>
      <c r="O124" s="3">
        <f t="shared" si="144"/>
        <v>240315851</v>
      </c>
      <c r="P124" s="3">
        <f t="shared" si="144"/>
        <v>274602963</v>
      </c>
      <c r="Q124" s="4">
        <f t="shared" si="144"/>
        <v>203954941.82887959</v>
      </c>
      <c r="R124" s="4">
        <f t="shared" si="144"/>
        <v>221556989.378198</v>
      </c>
      <c r="S124" s="4">
        <f t="shared" si="144"/>
        <v>240212660.51856205</v>
      </c>
      <c r="T124" s="4">
        <f t="shared" si="144"/>
        <v>244214836.54865524</v>
      </c>
      <c r="U124" s="4">
        <f t="shared" si="144"/>
        <v>246267045.82075974</v>
      </c>
      <c r="V124" s="4">
        <f t="shared" si="144"/>
        <v>255261212.62645838</v>
      </c>
      <c r="W124" s="4">
        <f t="shared" si="144"/>
        <v>275835622.7587173</v>
      </c>
      <c r="X124" s="4">
        <f t="shared" si="144"/>
        <v>324750630.90959209</v>
      </c>
      <c r="Y124" s="4">
        <f t="shared" si="144"/>
        <v>322640931.43374825</v>
      </c>
      <c r="Z124" s="4">
        <f t="shared" si="144"/>
        <v>312841486.32668567</v>
      </c>
      <c r="AA124" s="4">
        <f t="shared" si="144"/>
        <v>330790622.41691101</v>
      </c>
      <c r="AB124" s="4">
        <f t="shared" si="144"/>
        <v>353292699.18660516</v>
      </c>
      <c r="AC124" s="4">
        <f t="shared" si="144"/>
        <v>401060383.23844957</v>
      </c>
      <c r="AD124" s="4">
        <f t="shared" si="144"/>
        <v>442251778.43963939</v>
      </c>
      <c r="AE124" s="4">
        <f t="shared" si="144"/>
        <v>442568680.2597416</v>
      </c>
      <c r="AF124" s="4">
        <f t="shared" si="144"/>
        <v>387624801.61530465</v>
      </c>
      <c r="AG124" s="4">
        <f t="shared" si="144"/>
        <v>410689251.07167232</v>
      </c>
      <c r="AH124" s="4">
        <f t="shared" si="144"/>
        <v>434088934.62532914</v>
      </c>
      <c r="AI124" s="4">
        <f t="shared" si="144"/>
        <v>471632457.68552625</v>
      </c>
      <c r="AJ124" s="4">
        <f t="shared" si="144"/>
        <v>480901904.4475491</v>
      </c>
      <c r="AK124" s="4">
        <f t="shared" si="144"/>
        <v>478104855.48090285</v>
      </c>
      <c r="AL124" s="4">
        <f t="shared" si="144"/>
        <v>455004732.22492695</v>
      </c>
      <c r="AM124" s="4">
        <f t="shared" si="144"/>
        <v>474563785.30910343</v>
      </c>
      <c r="AN124" s="4">
        <f t="shared" si="144"/>
        <v>491486199.45769036</v>
      </c>
      <c r="AO124" s="4">
        <f t="shared" si="144"/>
        <v>509179191.12300348</v>
      </c>
      <c r="AP124" s="4">
        <f t="shared" si="144"/>
        <v>531694017.42537534</v>
      </c>
      <c r="AQ124" s="4">
        <f t="shared" si="144"/>
        <v>572054902.63986683</v>
      </c>
      <c r="AR124" s="4"/>
      <c r="AS124" s="94"/>
      <c r="AT124" s="121">
        <f t="shared" si="139"/>
        <v>9.6188588396954877E-3</v>
      </c>
      <c r="AU124" s="197"/>
      <c r="AV124" s="194"/>
      <c r="AW124" s="194"/>
      <c r="AX124" s="194"/>
      <c r="AY124" s="195"/>
      <c r="AZ124" s="196"/>
      <c r="BA124" s="195">
        <v>179278729.11455953</v>
      </c>
      <c r="BB124" s="195">
        <f t="shared" si="143"/>
        <v>-127499477.11455953</v>
      </c>
      <c r="BC124" s="195">
        <v>168020270.68833292</v>
      </c>
      <c r="BD124" s="195">
        <f t="shared" si="141"/>
        <v>-104211079.68833292</v>
      </c>
      <c r="BE124" s="195">
        <v>155942954.667191</v>
      </c>
      <c r="BF124" s="195">
        <f t="shared" si="142"/>
        <v>-54554240.667190999</v>
      </c>
      <c r="BG124" s="195">
        <v>141572065.80553842</v>
      </c>
      <c r="BH124" s="195"/>
      <c r="BI124" s="3"/>
      <c r="BJ124" s="4">
        <v>298960357.57630515</v>
      </c>
      <c r="BK124" s="3">
        <f t="shared" si="137"/>
        <v>-24357394.576305151</v>
      </c>
      <c r="BL124" s="3">
        <v>181805752.37141472</v>
      </c>
      <c r="BM124" s="177">
        <f t="shared" si="138"/>
        <v>22149189.457464874</v>
      </c>
      <c r="BN124" s="3"/>
      <c r="BR124" s="3"/>
      <c r="BS124" s="3"/>
      <c r="BT124" s="3"/>
      <c r="BU124" s="3"/>
      <c r="BV124" s="3"/>
      <c r="BW124" s="3"/>
      <c r="BX124" s="3"/>
      <c r="BY124" s="3"/>
      <c r="BZ124" s="3"/>
      <c r="CA124" s="3"/>
      <c r="CB124" s="3"/>
      <c r="CC124" s="4"/>
      <c r="CD124" s="3"/>
      <c r="CE124" s="3"/>
      <c r="CF124" s="3"/>
      <c r="CG124" s="3"/>
      <c r="CH124" s="3"/>
      <c r="CI124" s="3"/>
      <c r="CJ124" s="3"/>
      <c r="CK124" s="3"/>
      <c r="CL124" s="3"/>
      <c r="CM124" s="3"/>
      <c r="CN124" s="3"/>
      <c r="CO124" s="3"/>
      <c r="CP124" s="3"/>
      <c r="CQ124" s="3"/>
      <c r="CR124" s="3"/>
      <c r="CS124" s="3"/>
      <c r="CT124" s="3"/>
      <c r="CU124" s="3"/>
      <c r="CV124" s="3"/>
      <c r="CW124" s="3"/>
      <c r="CX124" s="3"/>
      <c r="DB124" s="3"/>
      <c r="DD124" s="3"/>
      <c r="DE124" s="3"/>
      <c r="DF124" s="3"/>
      <c r="DG124" s="3"/>
      <c r="DH124" s="3"/>
      <c r="DI124" s="3"/>
      <c r="DJ124" s="3"/>
      <c r="DK124" s="3"/>
      <c r="DL124" s="4"/>
    </row>
    <row r="125" spans="1:116">
      <c r="A125" s="2" t="s">
        <v>51</v>
      </c>
      <c r="B125" s="3">
        <f t="shared" si="144"/>
        <v>0</v>
      </c>
      <c r="C125" s="3">
        <f t="shared" si="144"/>
        <v>4009508</v>
      </c>
      <c r="D125" s="3">
        <f t="shared" si="144"/>
        <v>11512728</v>
      </c>
      <c r="E125" s="3">
        <f t="shared" si="144"/>
        <v>28861789</v>
      </c>
      <c r="F125" s="3">
        <f t="shared" si="144"/>
        <v>5323420</v>
      </c>
      <c r="G125" s="3">
        <f t="shared" si="144"/>
        <v>22003321</v>
      </c>
      <c r="H125" s="3">
        <f t="shared" si="144"/>
        <v>38182358</v>
      </c>
      <c r="I125" s="3">
        <f t="shared" si="144"/>
        <v>39198068</v>
      </c>
      <c r="J125" s="3">
        <f t="shared" si="144"/>
        <v>45153090</v>
      </c>
      <c r="K125" s="3">
        <f t="shared" si="144"/>
        <v>60746669</v>
      </c>
      <c r="L125" s="3">
        <f t="shared" si="144"/>
        <v>97302783</v>
      </c>
      <c r="M125" s="3">
        <f t="shared" si="144"/>
        <v>92676699</v>
      </c>
      <c r="N125" s="3">
        <f t="shared" si="144"/>
        <v>153090731</v>
      </c>
      <c r="O125" s="3">
        <f t="shared" si="144"/>
        <v>234413529</v>
      </c>
      <c r="P125" s="3">
        <f t="shared" si="144"/>
        <v>293922414</v>
      </c>
      <c r="Q125" s="4">
        <f t="shared" si="144"/>
        <v>211554017.58474734</v>
      </c>
      <c r="R125" s="4">
        <f t="shared" si="144"/>
        <v>231326996.05388114</v>
      </c>
      <c r="S125" s="4">
        <f t="shared" si="144"/>
        <v>248726738.06637749</v>
      </c>
      <c r="T125" s="4">
        <f t="shared" si="144"/>
        <v>249726500.55265036</v>
      </c>
      <c r="U125" s="4">
        <f t="shared" si="144"/>
        <v>252348876.10053197</v>
      </c>
      <c r="V125" s="4">
        <f t="shared" si="144"/>
        <v>262552816.31765303</v>
      </c>
      <c r="W125" s="4">
        <f t="shared" si="144"/>
        <v>283343886.02976042</v>
      </c>
      <c r="X125" s="4">
        <f t="shared" si="144"/>
        <v>332537748.73015237</v>
      </c>
      <c r="Y125" s="4">
        <f t="shared" si="144"/>
        <v>330080539.92370325</v>
      </c>
      <c r="Z125" s="4">
        <f t="shared" si="144"/>
        <v>320217951.33365506</v>
      </c>
      <c r="AA125" s="4">
        <f t="shared" si="144"/>
        <v>338623494.32111663</v>
      </c>
      <c r="AB125" s="4">
        <f t="shared" si="144"/>
        <v>360453819.90495169</v>
      </c>
      <c r="AC125" s="4">
        <f t="shared" si="144"/>
        <v>408837094.78207588</v>
      </c>
      <c r="AD125" s="4">
        <f t="shared" si="144"/>
        <v>450722487.07040948</v>
      </c>
      <c r="AE125" s="4">
        <f t="shared" si="144"/>
        <v>451100032.31931955</v>
      </c>
      <c r="AF125" s="4">
        <f t="shared" si="144"/>
        <v>395190666.52791923</v>
      </c>
      <c r="AG125" s="4">
        <f t="shared" si="144"/>
        <v>418655774.66736597</v>
      </c>
      <c r="AH125" s="4">
        <f t="shared" si="144"/>
        <v>442462863.61667955</v>
      </c>
      <c r="AI125" s="4">
        <f t="shared" si="144"/>
        <v>480689590.50337362</v>
      </c>
      <c r="AJ125" s="4">
        <f t="shared" si="144"/>
        <v>490141309.8458882</v>
      </c>
      <c r="AK125" s="4">
        <f t="shared" si="144"/>
        <v>487296299.79924029</v>
      </c>
      <c r="AL125" s="4">
        <f t="shared" si="144"/>
        <v>463764053.8981719</v>
      </c>
      <c r="AM125" s="4">
        <f t="shared" si="144"/>
        <v>483678097.47001767</v>
      </c>
      <c r="AN125" s="4">
        <f t="shared" si="144"/>
        <v>500907985.15306836</v>
      </c>
      <c r="AO125" s="4">
        <f t="shared" si="144"/>
        <v>518933633.15018559</v>
      </c>
      <c r="AP125" s="4">
        <f t="shared" si="144"/>
        <v>541860689.90959966</v>
      </c>
      <c r="AQ125" s="4">
        <f t="shared" si="144"/>
        <v>582952485.76812077</v>
      </c>
      <c r="AR125" s="4"/>
      <c r="AS125" s="94"/>
      <c r="AT125" s="121">
        <f t="shared" si="139"/>
        <v>3.7258600785674778E-2</v>
      </c>
      <c r="AU125" s="197"/>
      <c r="AV125" s="194"/>
      <c r="AW125" s="194"/>
      <c r="AX125" s="194"/>
      <c r="AY125" s="195"/>
      <c r="AZ125" s="196"/>
      <c r="BA125" s="195">
        <v>141119976.66064993</v>
      </c>
      <c r="BB125" s="195">
        <f t="shared" si="143"/>
        <v>-80373307.660649925</v>
      </c>
      <c r="BC125" s="195">
        <v>159933651.26960924</v>
      </c>
      <c r="BD125" s="195">
        <f t="shared" si="141"/>
        <v>-62630868.269609243</v>
      </c>
      <c r="BE125" s="195">
        <v>151331868.28440863</v>
      </c>
      <c r="BF125" s="195">
        <f t="shared" si="142"/>
        <v>-58655169.284408629</v>
      </c>
      <c r="BG125" s="195">
        <v>140040273.96936029</v>
      </c>
      <c r="BH125" s="194">
        <f>SUM(P123:P125)</f>
        <v>901448463</v>
      </c>
      <c r="BI125" s="3"/>
      <c r="BJ125" s="4">
        <v>303172137.52408421</v>
      </c>
      <c r="BK125" s="3">
        <f t="shared" si="137"/>
        <v>-9249723.5240842104</v>
      </c>
      <c r="BL125" s="3">
        <v>183455575.8117888</v>
      </c>
      <c r="BM125" s="177">
        <f t="shared" si="138"/>
        <v>28098441.772958547</v>
      </c>
      <c r="BN125" s="3"/>
      <c r="BR125" s="3"/>
      <c r="BS125" s="3"/>
      <c r="BT125" s="3"/>
      <c r="BU125" s="3"/>
      <c r="BV125" s="3"/>
      <c r="BW125" s="3"/>
      <c r="BX125" s="3"/>
      <c r="BY125" s="3"/>
      <c r="BZ125" s="3"/>
      <c r="CA125" s="3"/>
      <c r="CB125" s="3"/>
      <c r="CC125" s="4"/>
      <c r="CD125" s="3"/>
      <c r="CE125" s="3"/>
      <c r="CF125" s="3"/>
      <c r="CG125" s="3"/>
      <c r="CH125" s="3"/>
      <c r="CI125" s="3"/>
      <c r="CJ125" s="3"/>
      <c r="CK125" s="3"/>
      <c r="CL125" s="3"/>
      <c r="CM125" s="3"/>
      <c r="CN125" s="3"/>
      <c r="CO125" s="3"/>
      <c r="CP125" s="3"/>
      <c r="CQ125" s="3"/>
      <c r="CR125" s="3"/>
      <c r="CS125" s="3"/>
      <c r="CT125" s="3"/>
      <c r="CU125" s="3"/>
      <c r="CV125" s="3"/>
      <c r="CW125" s="3"/>
      <c r="CX125" s="3"/>
      <c r="DB125" s="3"/>
      <c r="DD125" s="3"/>
      <c r="DE125" s="3"/>
      <c r="DF125" s="3"/>
      <c r="DG125" s="3"/>
      <c r="DH125" s="3"/>
      <c r="DI125" s="3"/>
      <c r="DJ125" s="3"/>
      <c r="DK125" s="3"/>
      <c r="DL125" s="4"/>
    </row>
    <row r="126" spans="1:116">
      <c r="A126" s="2" t="s">
        <v>52</v>
      </c>
      <c r="B126" s="3">
        <f t="shared" si="144"/>
        <v>0</v>
      </c>
      <c r="C126" s="3">
        <f t="shared" si="144"/>
        <v>5768104</v>
      </c>
      <c r="D126" s="3">
        <f t="shared" si="144"/>
        <v>15452429</v>
      </c>
      <c r="E126" s="3">
        <f t="shared" si="144"/>
        <v>31444890</v>
      </c>
      <c r="F126" s="3">
        <f t="shared" si="144"/>
        <v>14227816</v>
      </c>
      <c r="G126" s="3">
        <f t="shared" si="144"/>
        <v>21893365</v>
      </c>
      <c r="H126" s="3">
        <f t="shared" si="144"/>
        <v>31055923</v>
      </c>
      <c r="I126" s="3">
        <f t="shared" si="144"/>
        <v>41314398</v>
      </c>
      <c r="J126" s="3">
        <f t="shared" si="144"/>
        <v>35905766</v>
      </c>
      <c r="K126" s="3">
        <f t="shared" si="144"/>
        <v>79645498</v>
      </c>
      <c r="L126" s="3">
        <f t="shared" si="144"/>
        <v>50149417</v>
      </c>
      <c r="M126" s="3">
        <f t="shared" si="144"/>
        <v>114591657</v>
      </c>
      <c r="N126" s="3">
        <f t="shared" si="144"/>
        <v>142139199</v>
      </c>
      <c r="O126" s="3">
        <f t="shared" si="144"/>
        <v>255276685</v>
      </c>
      <c r="P126" s="3">
        <f t="shared" si="144"/>
        <v>301975344</v>
      </c>
      <c r="Q126" s="4">
        <f t="shared" si="144"/>
        <v>230222757.60618857</v>
      </c>
      <c r="R126" s="4">
        <f t="shared" si="144"/>
        <v>257131658.02609527</v>
      </c>
      <c r="S126" s="4">
        <f t="shared" si="144"/>
        <v>278015312.7824434</v>
      </c>
      <c r="T126" s="4">
        <f t="shared" si="144"/>
        <v>280709457.9668262</v>
      </c>
      <c r="U126" s="4">
        <f t="shared" si="144"/>
        <v>278636604.14695424</v>
      </c>
      <c r="V126" s="4">
        <f t="shared" si="144"/>
        <v>290779246.40454847</v>
      </c>
      <c r="W126" s="4">
        <f t="shared" si="144"/>
        <v>314226218.34709769</v>
      </c>
      <c r="X126" s="4">
        <f t="shared" si="144"/>
        <v>368154786.62684506</v>
      </c>
      <c r="Y126" s="4">
        <f t="shared" si="144"/>
        <v>365222600.60500193</v>
      </c>
      <c r="Z126" s="4">
        <f t="shared" si="144"/>
        <v>353813108.97931361</v>
      </c>
      <c r="AA126" s="4">
        <f t="shared" si="144"/>
        <v>374276646.64762872</v>
      </c>
      <c r="AB126" s="4">
        <f t="shared" si="144"/>
        <v>397031503.29929668</v>
      </c>
      <c r="AC126" s="4">
        <f t="shared" si="144"/>
        <v>449942749.14314431</v>
      </c>
      <c r="AD126" s="4">
        <f t="shared" si="144"/>
        <v>495944231.86468691</v>
      </c>
      <c r="AE126" s="4">
        <f t="shared" si="144"/>
        <v>496236931.11264855</v>
      </c>
      <c r="AF126" s="4">
        <f t="shared" si="144"/>
        <v>434866138.64524233</v>
      </c>
      <c r="AG126" s="4">
        <f t="shared" si="144"/>
        <v>460674227.79888862</v>
      </c>
      <c r="AH126" s="4">
        <f t="shared" si="144"/>
        <v>486832199.33255851</v>
      </c>
      <c r="AI126" s="4">
        <f t="shared" si="144"/>
        <v>528824791.64972717</v>
      </c>
      <c r="AJ126" s="4">
        <f t="shared" si="144"/>
        <v>539198073.60597193</v>
      </c>
      <c r="AK126" s="4">
        <f t="shared" si="144"/>
        <v>536091028.80283231</v>
      </c>
      <c r="AL126" s="4">
        <f t="shared" si="144"/>
        <v>510238358.13963288</v>
      </c>
      <c r="AM126" s="4">
        <f t="shared" si="144"/>
        <v>532120863.64911395</v>
      </c>
      <c r="AN126" s="4">
        <f t="shared" si="144"/>
        <v>551042063.97676814</v>
      </c>
      <c r="AO126" s="4">
        <f t="shared" si="144"/>
        <v>570839999.01195765</v>
      </c>
      <c r="AP126" s="4">
        <f t="shared" si="144"/>
        <v>596045786.26221395</v>
      </c>
      <c r="AQ126" s="4">
        <f t="shared" si="144"/>
        <v>641202835.51324773</v>
      </c>
      <c r="AR126" s="4"/>
      <c r="AS126" s="94"/>
      <c r="AT126" s="121">
        <f t="shared" si="139"/>
        <v>8.8245736169782818E-2</v>
      </c>
      <c r="AU126" s="197"/>
      <c r="AV126" s="194"/>
      <c r="AW126" s="194"/>
      <c r="AX126" s="194"/>
      <c r="AY126" s="195"/>
      <c r="AZ126" s="196"/>
      <c r="BA126" s="195">
        <v>152816519.91490614</v>
      </c>
      <c r="BB126" s="195">
        <f t="shared" si="143"/>
        <v>-73171021.914906144</v>
      </c>
      <c r="BC126" s="195">
        <v>173289693.89777201</v>
      </c>
      <c r="BD126" s="195">
        <f t="shared" si="141"/>
        <v>-123140276.89777201</v>
      </c>
      <c r="BE126" s="195">
        <v>149277371.44355991</v>
      </c>
      <c r="BF126" s="195">
        <f t="shared" si="142"/>
        <v>-34685714.443559915</v>
      </c>
      <c r="BG126" s="195">
        <v>137891779.86776355</v>
      </c>
      <c r="BH126" s="197">
        <f>(BH125/BH122)-1</f>
        <v>1.4830989053052468E-2</v>
      </c>
      <c r="BI126" s="3"/>
      <c r="BJ126" s="4">
        <v>311528351.24117696</v>
      </c>
      <c r="BK126" s="3">
        <f t="shared" si="137"/>
        <v>-9553007.2411769629</v>
      </c>
      <c r="BL126" s="3">
        <v>201363722.61714739</v>
      </c>
      <c r="BM126" s="177">
        <f t="shared" si="138"/>
        <v>28859034.989041179</v>
      </c>
      <c r="BN126" s="3"/>
      <c r="BR126" s="3"/>
      <c r="BS126" s="3"/>
      <c r="BT126" s="3"/>
      <c r="BU126" s="3"/>
      <c r="BV126" s="3"/>
      <c r="BW126" s="3"/>
      <c r="BX126" s="3"/>
      <c r="BY126" s="3"/>
      <c r="BZ126" s="3"/>
      <c r="CA126" s="3"/>
      <c r="CB126" s="3"/>
      <c r="CC126" s="4"/>
      <c r="CD126" s="3"/>
      <c r="CE126" s="3"/>
      <c r="CF126" s="3"/>
      <c r="CG126" s="3"/>
      <c r="CH126" s="3"/>
      <c r="CI126" s="3"/>
      <c r="CJ126" s="3"/>
      <c r="CK126" s="3"/>
      <c r="CL126" s="3"/>
      <c r="CM126" s="3"/>
      <c r="CN126" s="3"/>
      <c r="CO126" s="3"/>
      <c r="CP126" s="3"/>
      <c r="CQ126" s="3"/>
      <c r="CR126" s="3"/>
      <c r="CS126" s="3"/>
      <c r="CT126" s="3"/>
      <c r="CU126" s="3"/>
      <c r="CV126" s="3"/>
      <c r="CW126" s="3"/>
      <c r="CX126" s="3"/>
      <c r="DD126" s="3"/>
      <c r="DE126" s="3"/>
      <c r="DF126" s="3"/>
      <c r="DG126" s="3"/>
      <c r="DH126" s="3"/>
      <c r="DI126" s="3"/>
      <c r="DJ126" s="3"/>
      <c r="DK126" s="3"/>
      <c r="DL126" s="4"/>
    </row>
    <row r="127" spans="1:116">
      <c r="A127" s="2" t="s">
        <v>53</v>
      </c>
      <c r="B127" s="3">
        <f t="shared" si="144"/>
        <v>349738</v>
      </c>
      <c r="C127" s="3">
        <f t="shared" si="144"/>
        <v>3700399</v>
      </c>
      <c r="D127" s="3">
        <f t="shared" si="144"/>
        <v>13983864</v>
      </c>
      <c r="E127" s="3">
        <f t="shared" si="144"/>
        <v>33104462</v>
      </c>
      <c r="F127" s="3">
        <f t="shared" si="144"/>
        <v>25265808</v>
      </c>
      <c r="G127" s="3">
        <f t="shared" si="144"/>
        <v>25183029</v>
      </c>
      <c r="H127" s="3">
        <f t="shared" si="144"/>
        <v>41859674</v>
      </c>
      <c r="I127" s="3">
        <f t="shared" si="144"/>
        <v>34108958</v>
      </c>
      <c r="J127" s="3">
        <f t="shared" si="144"/>
        <v>47562214</v>
      </c>
      <c r="K127" s="3">
        <f>K143+K207+K271</f>
        <v>64265799</v>
      </c>
      <c r="L127" s="3">
        <f t="shared" si="144"/>
        <v>83844126</v>
      </c>
      <c r="M127" s="3">
        <f t="shared" si="144"/>
        <v>129745689</v>
      </c>
      <c r="N127" s="3">
        <f t="shared" si="144"/>
        <v>188733637</v>
      </c>
      <c r="O127" s="3">
        <f t="shared" si="144"/>
        <v>246380066</v>
      </c>
      <c r="P127" s="3">
        <f t="shared" si="144"/>
        <v>291931851</v>
      </c>
      <c r="Q127" s="4">
        <f t="shared" si="144"/>
        <v>245881381.403216</v>
      </c>
      <c r="R127" s="4">
        <f t="shared" si="144"/>
        <v>302305224.71217716</v>
      </c>
      <c r="S127" s="4">
        <f t="shared" si="144"/>
        <v>328758181.75604331</v>
      </c>
      <c r="T127" s="4">
        <f t="shared" si="144"/>
        <v>333303875.57655793</v>
      </c>
      <c r="U127" s="4">
        <f t="shared" si="144"/>
        <v>331268181.20974267</v>
      </c>
      <c r="V127" s="4">
        <f t="shared" si="144"/>
        <v>346864424.61869889</v>
      </c>
      <c r="W127" s="4">
        <f t="shared" si="144"/>
        <v>375138309.61622405</v>
      </c>
      <c r="X127" s="4">
        <f t="shared" si="144"/>
        <v>441478611.58484983</v>
      </c>
      <c r="Y127" s="4">
        <f t="shared" si="144"/>
        <v>438254403.45984328</v>
      </c>
      <c r="Z127" s="4">
        <f t="shared" si="144"/>
        <v>424650319.76178533</v>
      </c>
      <c r="AA127" s="4">
        <f t="shared" si="144"/>
        <v>449515269.69094348</v>
      </c>
      <c r="AB127" s="4">
        <f t="shared" si="144"/>
        <v>480200545.98187196</v>
      </c>
      <c r="AC127" s="4">
        <f t="shared" si="144"/>
        <v>545215150.83846498</v>
      </c>
      <c r="AD127" s="4">
        <f t="shared" si="144"/>
        <v>601118372.55544853</v>
      </c>
      <c r="AE127" s="4">
        <f t="shared" si="144"/>
        <v>601465556.40419722</v>
      </c>
      <c r="AF127" s="4">
        <f t="shared" si="144"/>
        <v>526902015.07265103</v>
      </c>
      <c r="AG127" s="4">
        <f t="shared" si="144"/>
        <v>558253026.27828753</v>
      </c>
      <c r="AH127" s="4">
        <f t="shared" si="144"/>
        <v>590039701.96266794</v>
      </c>
      <c r="AI127" s="4">
        <f t="shared" si="144"/>
        <v>641060813.04483676</v>
      </c>
      <c r="AJ127" s="4">
        <f t="shared" si="144"/>
        <v>653662364.6222862</v>
      </c>
      <c r="AK127" s="4">
        <f t="shared" si="144"/>
        <v>649887364.83407342</v>
      </c>
      <c r="AL127" s="4">
        <f t="shared" si="144"/>
        <v>618476635.14870822</v>
      </c>
      <c r="AM127" s="4">
        <f t="shared" si="144"/>
        <v>645063823.56299329</v>
      </c>
      <c r="AN127" s="4">
        <f t="shared" si="144"/>
        <v>668053600.16189587</v>
      </c>
      <c r="AO127" s="4">
        <f t="shared" si="144"/>
        <v>692106310.50088418</v>
      </c>
      <c r="AP127" s="4">
        <f t="shared" si="144"/>
        <v>722730778.11840701</v>
      </c>
      <c r="AQ127" s="4">
        <f t="shared" si="144"/>
        <v>777595448.48191094</v>
      </c>
      <c r="AR127" s="4"/>
      <c r="AS127" s="94"/>
      <c r="AT127" s="121">
        <f t="shared" si="139"/>
        <v>6.8015099635860388E-2</v>
      </c>
      <c r="AU127" s="197"/>
      <c r="AV127" s="194"/>
      <c r="AW127" s="194"/>
      <c r="AX127" s="194"/>
      <c r="AY127" s="195"/>
      <c r="AZ127" s="196"/>
      <c r="BA127" s="195">
        <v>130353452.30666322</v>
      </c>
      <c r="BB127" s="195">
        <f t="shared" si="143"/>
        <v>-66087653.306663215</v>
      </c>
      <c r="BC127" s="195">
        <v>133413302.04905352</v>
      </c>
      <c r="BD127" s="195">
        <f t="shared" si="141"/>
        <v>-49569176.04905352</v>
      </c>
      <c r="BE127" s="195">
        <v>141356362.87740099</v>
      </c>
      <c r="BF127" s="195">
        <f t="shared" si="142"/>
        <v>-11610673.877400994</v>
      </c>
      <c r="BG127" s="195">
        <v>142499844.22919351</v>
      </c>
      <c r="BH127" s="195"/>
      <c r="BI127" s="3"/>
      <c r="BJ127" s="4">
        <v>304680773.33095491</v>
      </c>
      <c r="BK127" s="3">
        <f t="shared" si="137"/>
        <v>-12748922.330954909</v>
      </c>
      <c r="BL127" s="3">
        <v>243485629.60024261</v>
      </c>
      <c r="BM127" s="177">
        <f t="shared" si="138"/>
        <v>2395751.8029733896</v>
      </c>
      <c r="BN127" s="3"/>
      <c r="BR127" s="3"/>
      <c r="BS127" s="3"/>
      <c r="BT127" s="3"/>
      <c r="BU127" s="3"/>
      <c r="BV127" s="3"/>
      <c r="BW127" s="3"/>
      <c r="BX127" s="3"/>
      <c r="BY127" s="3"/>
      <c r="BZ127" s="3"/>
      <c r="CA127" s="3"/>
      <c r="CB127" s="3"/>
      <c r="CC127" s="4"/>
      <c r="CD127" s="3"/>
      <c r="CE127" s="3"/>
      <c r="CF127" s="3"/>
      <c r="CG127" s="3"/>
      <c r="CH127" s="3"/>
      <c r="CI127" s="3"/>
      <c r="CJ127" s="3"/>
      <c r="CK127" s="3"/>
      <c r="CL127" s="3"/>
      <c r="CM127" s="3"/>
      <c r="CN127" s="3"/>
      <c r="CO127" s="3"/>
      <c r="CP127" s="3"/>
      <c r="CQ127" s="3"/>
      <c r="CR127" s="3"/>
      <c r="CS127" s="3"/>
      <c r="CT127" s="3"/>
      <c r="CU127" s="3"/>
      <c r="CV127" s="3"/>
      <c r="CW127" s="3"/>
      <c r="CX127" s="3"/>
      <c r="DD127" s="3"/>
      <c r="DE127" s="3"/>
      <c r="DF127" s="3"/>
      <c r="DG127" s="3"/>
      <c r="DH127" s="3"/>
      <c r="DI127" s="3"/>
      <c r="DJ127" s="3"/>
      <c r="DK127" s="3"/>
      <c r="DL127" s="4"/>
    </row>
    <row r="128" spans="1:116">
      <c r="A128" s="2" t="s">
        <v>54</v>
      </c>
      <c r="B128" s="3">
        <f t="shared" si="144"/>
        <v>609819</v>
      </c>
      <c r="C128" s="3">
        <f t="shared" si="144"/>
        <v>5536882</v>
      </c>
      <c r="D128" s="3">
        <f t="shared" si="144"/>
        <v>6038561</v>
      </c>
      <c r="E128" s="3">
        <f t="shared" si="144"/>
        <v>28439259</v>
      </c>
      <c r="F128" s="3">
        <f t="shared" si="144"/>
        <v>33668627</v>
      </c>
      <c r="G128" s="3">
        <f t="shared" si="144"/>
        <v>21149235</v>
      </c>
      <c r="H128" s="3">
        <f t="shared" si="144"/>
        <v>42737193</v>
      </c>
      <c r="I128" s="3">
        <f t="shared" si="144"/>
        <v>44556429</v>
      </c>
      <c r="J128" s="3">
        <f>J144+J208+J272</f>
        <v>68635753</v>
      </c>
      <c r="K128" s="3">
        <f>K144+K208+K272</f>
        <v>80373935</v>
      </c>
      <c r="L128" s="3">
        <f t="shared" si="144"/>
        <v>86655335</v>
      </c>
      <c r="M128" s="3">
        <f t="shared" si="144"/>
        <v>152206493</v>
      </c>
      <c r="N128" s="3">
        <f t="shared" si="144"/>
        <v>177256366</v>
      </c>
      <c r="O128" s="3">
        <f t="shared" si="144"/>
        <v>319463696</v>
      </c>
      <c r="P128" s="3">
        <f t="shared" si="144"/>
        <v>344830011</v>
      </c>
      <c r="Q128" s="4">
        <f t="shared" si="144"/>
        <v>341397930.73780721</v>
      </c>
      <c r="R128" s="4">
        <f t="shared" si="144"/>
        <v>351525935.62377048</v>
      </c>
      <c r="S128" s="4">
        <f t="shared" si="144"/>
        <v>381237923.69193614</v>
      </c>
      <c r="T128" s="4">
        <f t="shared" si="144"/>
        <v>386580974.24957466</v>
      </c>
      <c r="U128" s="4">
        <f t="shared" si="144"/>
        <v>386319956.65275657</v>
      </c>
      <c r="V128" s="4">
        <f t="shared" si="144"/>
        <v>406094987.81613624</v>
      </c>
      <c r="W128" s="4">
        <f t="shared" si="144"/>
        <v>433523356.03496838</v>
      </c>
      <c r="X128" s="4">
        <f t="shared" si="144"/>
        <v>508371152.39219379</v>
      </c>
      <c r="Y128" s="4">
        <f t="shared" si="144"/>
        <v>504818134.64851373</v>
      </c>
      <c r="Z128" s="4">
        <f t="shared" si="144"/>
        <v>489402355.79378903</v>
      </c>
      <c r="AA128" s="4">
        <f t="shared" si="144"/>
        <v>517627533.23951769</v>
      </c>
      <c r="AB128" s="4">
        <f t="shared" si="144"/>
        <v>547791567.0048877</v>
      </c>
      <c r="AC128" s="4">
        <f t="shared" si="144"/>
        <v>620499263.15135801</v>
      </c>
      <c r="AD128" s="4">
        <f t="shared" si="144"/>
        <v>684056622.77493083</v>
      </c>
      <c r="AE128" s="4">
        <f t="shared" si="144"/>
        <v>684566510.11775279</v>
      </c>
      <c r="AF128" s="4">
        <f t="shared" si="144"/>
        <v>599964674.31377649</v>
      </c>
      <c r="AG128" s="4">
        <f t="shared" si="144"/>
        <v>635381419.83473492</v>
      </c>
      <c r="AH128" s="4">
        <f t="shared" si="144"/>
        <v>671503452.88028574</v>
      </c>
      <c r="AI128" s="4">
        <f t="shared" si="144"/>
        <v>729427412.14384985</v>
      </c>
      <c r="AJ128" s="4">
        <f t="shared" si="144"/>
        <v>743738917.36680567</v>
      </c>
      <c r="AK128" s="4">
        <f t="shared" si="144"/>
        <v>739438271.06940413</v>
      </c>
      <c r="AL128" s="4">
        <f t="shared" si="144"/>
        <v>703762317.99159968</v>
      </c>
      <c r="AM128" s="4">
        <f t="shared" si="144"/>
        <v>733934716.44866002</v>
      </c>
      <c r="AN128" s="4">
        <f t="shared" si="144"/>
        <v>760049160.29232383</v>
      </c>
      <c r="AO128" s="4">
        <f t="shared" si="144"/>
        <v>787350921.5516026</v>
      </c>
      <c r="AP128" s="4">
        <f t="shared" si="144"/>
        <v>822088852.69628417</v>
      </c>
      <c r="AQ128" s="4">
        <f t="shared" si="144"/>
        <v>884327332.77412403</v>
      </c>
      <c r="AR128" s="4"/>
      <c r="AS128" s="94"/>
      <c r="AT128" s="121">
        <f t="shared" si="139"/>
        <v>0.38846597001159489</v>
      </c>
      <c r="AU128" s="197"/>
      <c r="AV128" s="194"/>
      <c r="AW128" s="194"/>
      <c r="AX128" s="194"/>
      <c r="AY128" s="195"/>
      <c r="AZ128" s="196"/>
      <c r="BA128" s="195">
        <v>169422997</v>
      </c>
      <c r="BB128" s="195">
        <f t="shared" si="143"/>
        <v>-89049062</v>
      </c>
      <c r="BC128" s="195">
        <v>167631897</v>
      </c>
      <c r="BD128" s="195">
        <f t="shared" si="141"/>
        <v>-80976562</v>
      </c>
      <c r="BE128" s="195">
        <v>179824533</v>
      </c>
      <c r="BF128" s="195">
        <f t="shared" si="142"/>
        <v>-27618040</v>
      </c>
      <c r="BG128" s="195">
        <v>179383712.03590918</v>
      </c>
      <c r="BH128" s="194">
        <f>SUM(P126:P128)</f>
        <v>938737206</v>
      </c>
      <c r="BI128" s="3"/>
      <c r="BJ128" s="4">
        <v>301124162.90088892</v>
      </c>
      <c r="BK128" s="3">
        <f t="shared" si="137"/>
        <v>43705848.09911108</v>
      </c>
      <c r="BL128" s="3">
        <v>240943251.07308453</v>
      </c>
      <c r="BM128" s="177">
        <f t="shared" si="138"/>
        <v>100454679.66472268</v>
      </c>
      <c r="BN128" s="3"/>
      <c r="BR128" s="3"/>
      <c r="BS128" s="3"/>
      <c r="BT128" s="3"/>
      <c r="BU128" s="3"/>
      <c r="BV128" s="3"/>
      <c r="BW128" s="3"/>
      <c r="BX128" s="3"/>
      <c r="BY128" s="3"/>
      <c r="BZ128" s="3"/>
      <c r="CA128" s="3"/>
      <c r="CB128" s="3"/>
      <c r="CC128" s="4"/>
      <c r="CD128" s="3"/>
      <c r="CE128" s="3"/>
      <c r="CF128" s="3"/>
      <c r="CG128" s="3"/>
      <c r="CH128" s="3"/>
      <c r="CI128" s="3"/>
      <c r="CJ128" s="3"/>
      <c r="CK128" s="3"/>
      <c r="CL128" s="3"/>
      <c r="CM128" s="3"/>
      <c r="CN128" s="3"/>
      <c r="CO128" s="3"/>
      <c r="CP128" s="3"/>
      <c r="CQ128" s="3"/>
      <c r="CR128" s="3"/>
      <c r="CS128" s="3"/>
      <c r="CT128" s="3"/>
      <c r="CU128" s="3"/>
      <c r="CV128" s="3"/>
      <c r="CW128" s="3"/>
      <c r="CX128" s="3"/>
      <c r="DD128" s="3"/>
      <c r="DE128" s="3"/>
      <c r="DF128" s="3"/>
      <c r="DG128" s="3"/>
      <c r="DH128" s="3"/>
      <c r="DI128" s="3"/>
      <c r="DJ128" s="3"/>
      <c r="DK128" s="3"/>
      <c r="DL128" s="4"/>
    </row>
    <row r="129" spans="1:116" ht="13.5" thickBot="1">
      <c r="A129" s="2" t="s">
        <v>29</v>
      </c>
      <c r="B129" s="3">
        <f>SUM(B117:B128)</f>
        <v>959557</v>
      </c>
      <c r="C129" s="3">
        <f t="shared" ref="C129:AQ129" si="145">SUM(C117:C128)</f>
        <v>45321674</v>
      </c>
      <c r="D129" s="3">
        <f t="shared" si="145"/>
        <v>90468406</v>
      </c>
      <c r="E129" s="3">
        <f t="shared" si="145"/>
        <v>259902790</v>
      </c>
      <c r="F129" s="3">
        <f t="shared" si="145"/>
        <v>327895752</v>
      </c>
      <c r="G129" s="3">
        <f t="shared" si="145"/>
        <v>307633384</v>
      </c>
      <c r="H129" s="3">
        <f t="shared" si="145"/>
        <v>420850390</v>
      </c>
      <c r="I129" s="3">
        <f t="shared" si="145"/>
        <v>453469386</v>
      </c>
      <c r="J129" s="3">
        <f t="shared" si="145"/>
        <v>485214370</v>
      </c>
      <c r="K129" s="3">
        <f t="shared" si="145"/>
        <v>761863026</v>
      </c>
      <c r="L129" s="3">
        <f t="shared" si="145"/>
        <v>842122643</v>
      </c>
      <c r="M129" s="3">
        <f t="shared" si="145"/>
        <v>1174779147</v>
      </c>
      <c r="N129" s="3">
        <f t="shared" si="145"/>
        <v>1750829725</v>
      </c>
      <c r="O129" s="3">
        <f t="shared" si="145"/>
        <v>2776343198</v>
      </c>
      <c r="P129" s="3">
        <f t="shared" si="145"/>
        <v>3496640697</v>
      </c>
      <c r="Q129" s="4">
        <f t="shared" si="145"/>
        <v>2712680993.8475428</v>
      </c>
      <c r="R129" s="4">
        <f t="shared" si="145"/>
        <v>2888149055.3058529</v>
      </c>
      <c r="S129" s="4">
        <f t="shared" si="145"/>
        <v>3128736482.6819406</v>
      </c>
      <c r="T129" s="4">
        <f t="shared" si="145"/>
        <v>3160635020.7373228</v>
      </c>
      <c r="U129" s="4">
        <f t="shared" si="145"/>
        <v>3156862146.263401</v>
      </c>
      <c r="V129" s="4">
        <f t="shared" si="145"/>
        <v>3274460009.7767024</v>
      </c>
      <c r="W129" s="4">
        <f t="shared" si="145"/>
        <v>3538817651.6728544</v>
      </c>
      <c r="X129" s="4">
        <f t="shared" si="145"/>
        <v>4146508666.7119684</v>
      </c>
      <c r="Y129" s="4">
        <f t="shared" si="145"/>
        <v>4114346991.6447401</v>
      </c>
      <c r="Z129" s="4">
        <f t="shared" si="145"/>
        <v>3986685669.4408054</v>
      </c>
      <c r="AA129" s="4">
        <f t="shared" si="145"/>
        <v>4214571059.5529933</v>
      </c>
      <c r="AB129" s="4">
        <f t="shared" si="145"/>
        <v>4467762123.0642891</v>
      </c>
      <c r="AC129" s="4">
        <f t="shared" si="145"/>
        <v>5062061537.5012598</v>
      </c>
      <c r="AD129" s="4">
        <f t="shared" si="145"/>
        <v>5579742624.1202278</v>
      </c>
      <c r="AE129" s="4">
        <f t="shared" si="145"/>
        <v>5583315612.2848425</v>
      </c>
      <c r="AF129" s="4">
        <f t="shared" si="145"/>
        <v>4892431912.2342663</v>
      </c>
      <c r="AG129" s="4">
        <f t="shared" si="145"/>
        <v>5182816820.8407793</v>
      </c>
      <c r="AH129" s="4">
        <f t="shared" si="145"/>
        <v>5477150205.1435547</v>
      </c>
      <c r="AI129" s="4">
        <f t="shared" si="145"/>
        <v>5949492046.0133343</v>
      </c>
      <c r="AJ129" s="4">
        <f t="shared" si="145"/>
        <v>6066145541.820962</v>
      </c>
      <c r="AK129" s="4">
        <f t="shared" si="145"/>
        <v>6031082835.8063526</v>
      </c>
      <c r="AL129" s="4">
        <f t="shared" si="145"/>
        <v>5740382361.8220596</v>
      </c>
      <c r="AM129" s="4">
        <f t="shared" si="145"/>
        <v>5986510815.7097769</v>
      </c>
      <c r="AN129" s="4">
        <f t="shared" si="145"/>
        <v>6199358981.9218245</v>
      </c>
      <c r="AO129" s="4">
        <f t="shared" si="145"/>
        <v>6422017942.6411591</v>
      </c>
      <c r="AP129" s="4">
        <f t="shared" si="145"/>
        <v>6705440685.1448555</v>
      </c>
      <c r="AQ129" s="4">
        <f t="shared" si="145"/>
        <v>7213362915.8643274</v>
      </c>
      <c r="AR129" s="4"/>
      <c r="AS129" s="199" t="e">
        <f>(AS125/AS128)-1</f>
        <v>#DIV/0!</v>
      </c>
      <c r="AT129" s="194"/>
      <c r="AU129" s="194"/>
      <c r="AV129" s="194"/>
      <c r="AW129" s="194"/>
      <c r="AX129" s="194"/>
      <c r="AY129" s="195"/>
      <c r="AZ129" s="196"/>
      <c r="BA129" s="195">
        <v>1743500000</v>
      </c>
      <c r="BB129" s="195">
        <f t="shared" si="143"/>
        <v>-981636974</v>
      </c>
      <c r="BC129" s="195">
        <v>1815449146</v>
      </c>
      <c r="BD129" s="195">
        <f t="shared" si="141"/>
        <v>-973326503</v>
      </c>
      <c r="BE129" s="195">
        <v>1717327970</v>
      </c>
      <c r="BF129" s="195">
        <f t="shared" si="142"/>
        <v>-542548823</v>
      </c>
      <c r="BG129" s="195">
        <v>1653807613.0359092</v>
      </c>
      <c r="BH129" s="197">
        <f>(BH128/BH125)-1</f>
        <v>4.1365363113387454E-2</v>
      </c>
      <c r="BI129" s="3"/>
      <c r="BJ129" s="4">
        <v>3508843896.5734105</v>
      </c>
      <c r="BK129" s="3">
        <f t="shared" si="137"/>
        <v>-12203199.573410511</v>
      </c>
      <c r="BL129" s="3">
        <v>2338519696.6989117</v>
      </c>
      <c r="BM129" s="177">
        <f t="shared" si="138"/>
        <v>374161297.1486311</v>
      </c>
      <c r="BN129" s="3"/>
      <c r="BR129" s="3"/>
      <c r="BS129" s="3"/>
      <c r="BT129" s="3"/>
      <c r="BU129" s="3"/>
      <c r="BV129" s="3"/>
      <c r="BW129" s="3"/>
      <c r="BX129" s="3"/>
      <c r="BY129" s="3"/>
      <c r="BZ129" s="3"/>
      <c r="CA129" s="3"/>
      <c r="CB129" s="3"/>
      <c r="CC129" s="4"/>
      <c r="CD129" s="3"/>
      <c r="CE129" s="3"/>
      <c r="CF129" s="3"/>
      <c r="CG129" s="3"/>
      <c r="CH129" s="3"/>
      <c r="CI129" s="3"/>
      <c r="CJ129" s="3"/>
      <c r="CK129" s="3"/>
      <c r="CL129" s="3"/>
      <c r="CM129" s="3"/>
      <c r="CN129" s="3"/>
      <c r="CO129" s="3"/>
      <c r="CP129" s="3"/>
      <c r="CQ129" s="3"/>
      <c r="CR129" s="3"/>
      <c r="CS129" s="3"/>
      <c r="CT129" s="3"/>
      <c r="CU129" s="3"/>
      <c r="CV129" s="3"/>
      <c r="CW129" s="3"/>
      <c r="CX129" s="3"/>
    </row>
    <row r="130" spans="1:116">
      <c r="A130" s="114"/>
      <c r="B130" s="114"/>
      <c r="C130" s="115">
        <f t="shared" ref="C130:N130" si="146">AVERAGE(C126:C128)/AVERAGE(C123:C125)-1</f>
        <v>-0.11550198469070772</v>
      </c>
      <c r="D130" s="115">
        <f t="shared" si="146"/>
        <v>0.38570222072243299</v>
      </c>
      <c r="E130" s="115">
        <f t="shared" si="146"/>
        <v>-4.6460122338973564E-2</v>
      </c>
      <c r="F130" s="115">
        <f t="shared" si="146"/>
        <v>0.37701709104942327</v>
      </c>
      <c r="G130" s="115">
        <f t="shared" si="146"/>
        <v>-0.12520170822650045</v>
      </c>
      <c r="H130" s="115">
        <f t="shared" si="146"/>
        <v>-1.3519943846798443E-2</v>
      </c>
      <c r="I130" s="115">
        <f t="shared" si="146"/>
        <v>3.6621497778188905E-2</v>
      </c>
      <c r="J130" s="115">
        <f t="shared" si="146"/>
        <v>0.40207340642943379</v>
      </c>
      <c r="K130" s="115">
        <f t="shared" si="146"/>
        <v>0.21835442345201717</v>
      </c>
      <c r="L130" s="115">
        <f t="shared" si="146"/>
        <v>-2.1981573454063041E-2</v>
      </c>
      <c r="M130" s="115">
        <f t="shared" si="146"/>
        <v>0.51963797096977715</v>
      </c>
      <c r="N130" s="115">
        <f t="shared" si="146"/>
        <v>0.26731750134797183</v>
      </c>
      <c r="O130" s="115">
        <f>AVERAGE(O126:O128)/AVERAGE(O123:O125)-1</f>
        <v>0.17800974601398067</v>
      </c>
      <c r="P130" s="115">
        <f t="shared" ref="P130:T130" si="147">AVERAGE(P126:P128)/AVERAGE(P123:P125)-1</f>
        <v>4.1365363113387454E-2</v>
      </c>
      <c r="Q130" s="115">
        <f t="shared" si="147"/>
        <v>0.32384544580962493</v>
      </c>
      <c r="R130" s="115">
        <f t="shared" si="147"/>
        <v>0.35356980685831774</v>
      </c>
      <c r="S130" s="115">
        <f t="shared" si="147"/>
        <v>0.35059465449430038</v>
      </c>
      <c r="T130" s="115">
        <f t="shared" si="147"/>
        <v>0.34988366733468013</v>
      </c>
      <c r="U130" s="114"/>
      <c r="V130" s="114"/>
      <c r="W130" s="114"/>
      <c r="X130" s="114"/>
      <c r="Y130" s="114"/>
      <c r="Z130" s="114"/>
      <c r="AA130" s="114"/>
      <c r="AB130" s="114"/>
      <c r="AC130" s="114"/>
      <c r="AD130" s="114"/>
      <c r="AE130" s="114"/>
      <c r="AF130" s="114"/>
      <c r="AG130" s="114"/>
      <c r="AH130" s="114"/>
      <c r="AI130" s="114"/>
      <c r="AJ130" s="114"/>
      <c r="AK130" s="114"/>
      <c r="AL130" s="114"/>
      <c r="AM130" s="114"/>
      <c r="AN130" s="114"/>
      <c r="AO130" s="114"/>
      <c r="AP130" s="114"/>
      <c r="AQ130" s="114"/>
      <c r="AX130" s="4"/>
      <c r="AY130" s="3"/>
      <c r="BE130" s="4"/>
    </row>
    <row r="131" spans="1:116" ht="16.5" thickBot="1">
      <c r="A131" s="109" t="s">
        <v>307</v>
      </c>
      <c r="AX131" s="4"/>
      <c r="AY131" s="3"/>
      <c r="BE131" s="4"/>
    </row>
    <row r="132" spans="1:116" ht="14.25" thickBot="1">
      <c r="A132" s="110"/>
      <c r="B132" s="111">
        <f t="shared" ref="B132:K132" si="148">B2</f>
        <v>2010</v>
      </c>
      <c r="C132" s="111">
        <f t="shared" si="148"/>
        <v>2011</v>
      </c>
      <c r="D132" s="111">
        <f t="shared" si="148"/>
        <v>2012</v>
      </c>
      <c r="E132" s="111">
        <f t="shared" si="148"/>
        <v>2013</v>
      </c>
      <c r="F132" s="111">
        <f t="shared" si="148"/>
        <v>2014</v>
      </c>
      <c r="G132" s="111">
        <f t="shared" si="148"/>
        <v>2015</v>
      </c>
      <c r="H132" s="111">
        <f t="shared" si="148"/>
        <v>2016</v>
      </c>
      <c r="I132" s="111">
        <f t="shared" si="148"/>
        <v>2017</v>
      </c>
      <c r="J132" s="111">
        <f t="shared" si="148"/>
        <v>2018</v>
      </c>
      <c r="K132" s="111">
        <f t="shared" si="148"/>
        <v>2019</v>
      </c>
      <c r="L132" s="111">
        <f>L2</f>
        <v>2020</v>
      </c>
      <c r="M132" s="111">
        <f>M2</f>
        <v>2021</v>
      </c>
      <c r="N132" s="111">
        <f t="shared" ref="N132:AQ132" si="149">N2</f>
        <v>2022</v>
      </c>
      <c r="O132" s="111">
        <f t="shared" si="149"/>
        <v>2023</v>
      </c>
      <c r="P132" s="111">
        <f t="shared" si="149"/>
        <v>2024</v>
      </c>
      <c r="Q132" s="111">
        <f t="shared" si="149"/>
        <v>2025</v>
      </c>
      <c r="R132" s="111">
        <f t="shared" si="149"/>
        <v>2026</v>
      </c>
      <c r="S132" s="111">
        <f t="shared" si="149"/>
        <v>2027</v>
      </c>
      <c r="T132" s="111">
        <f t="shared" si="149"/>
        <v>2028</v>
      </c>
      <c r="U132" s="111">
        <f t="shared" si="149"/>
        <v>2029</v>
      </c>
      <c r="V132" s="111">
        <f t="shared" si="149"/>
        <v>2030</v>
      </c>
      <c r="W132" s="111">
        <f t="shared" si="149"/>
        <v>2031</v>
      </c>
      <c r="X132" s="111">
        <f t="shared" si="149"/>
        <v>2032</v>
      </c>
      <c r="Y132" s="111">
        <f t="shared" si="149"/>
        <v>2033</v>
      </c>
      <c r="Z132" s="111">
        <f t="shared" si="149"/>
        <v>2034</v>
      </c>
      <c r="AA132" s="111">
        <f t="shared" si="149"/>
        <v>2035</v>
      </c>
      <c r="AB132" s="111">
        <f t="shared" si="149"/>
        <v>2036</v>
      </c>
      <c r="AC132" s="111">
        <f t="shared" si="149"/>
        <v>2037</v>
      </c>
      <c r="AD132" s="111">
        <f t="shared" si="149"/>
        <v>2038</v>
      </c>
      <c r="AE132" s="111">
        <f t="shared" si="149"/>
        <v>2039</v>
      </c>
      <c r="AF132" s="111">
        <f t="shared" si="149"/>
        <v>2040</v>
      </c>
      <c r="AG132" s="111">
        <f t="shared" si="149"/>
        <v>2041</v>
      </c>
      <c r="AH132" s="111">
        <f t="shared" si="149"/>
        <v>2042</v>
      </c>
      <c r="AI132" s="111">
        <f t="shared" si="149"/>
        <v>2043</v>
      </c>
      <c r="AJ132" s="111">
        <f t="shared" si="149"/>
        <v>2044</v>
      </c>
      <c r="AK132" s="111">
        <f t="shared" si="149"/>
        <v>2045</v>
      </c>
      <c r="AL132" s="111">
        <f t="shared" si="149"/>
        <v>2046</v>
      </c>
      <c r="AM132" s="111">
        <f t="shared" si="149"/>
        <v>2047</v>
      </c>
      <c r="AN132" s="111">
        <f t="shared" si="149"/>
        <v>2048</v>
      </c>
      <c r="AO132" s="111">
        <f t="shared" si="149"/>
        <v>2049</v>
      </c>
      <c r="AP132" s="111">
        <f t="shared" si="149"/>
        <v>2050</v>
      </c>
      <c r="AQ132" s="111">
        <f t="shared" si="149"/>
        <v>2051</v>
      </c>
      <c r="AR132" s="94"/>
      <c r="AS132" s="94"/>
      <c r="AT132" s="31" t="s">
        <v>36</v>
      </c>
      <c r="AU132" s="31"/>
      <c r="AV132" s="31"/>
      <c r="AW132" s="31"/>
      <c r="AX132" s="19"/>
      <c r="AY132" s="18"/>
      <c r="AZ132" s="14"/>
      <c r="BA132" s="14"/>
      <c r="BB132" s="18"/>
      <c r="BC132" s="14"/>
      <c r="BD132" s="14"/>
      <c r="BE132" s="19"/>
      <c r="BF132" s="14"/>
      <c r="BG132" s="14"/>
      <c r="BH132" s="14"/>
    </row>
    <row r="133" spans="1:116">
      <c r="A133" s="2" t="s">
        <v>43</v>
      </c>
      <c r="B133" s="3">
        <f t="shared" ref="B133:AQ139" si="150">B149+B165+B181</f>
        <v>0</v>
      </c>
      <c r="C133" s="3">
        <f t="shared" si="150"/>
        <v>2152722</v>
      </c>
      <c r="D133" s="3">
        <f t="shared" si="150"/>
        <v>3704631</v>
      </c>
      <c r="E133" s="3">
        <f t="shared" si="150"/>
        <v>874975</v>
      </c>
      <c r="F133" s="3">
        <f t="shared" si="150"/>
        <v>10094471</v>
      </c>
      <c r="G133" s="3">
        <f t="shared" si="150"/>
        <v>17338629</v>
      </c>
      <c r="H133" s="3">
        <f t="shared" si="150"/>
        <v>11522833</v>
      </c>
      <c r="I133" s="3">
        <f t="shared" si="150"/>
        <v>18110934</v>
      </c>
      <c r="J133" s="3">
        <f t="shared" si="150"/>
        <v>13358879</v>
      </c>
      <c r="K133" s="3">
        <f t="shared" si="150"/>
        <v>33505471</v>
      </c>
      <c r="L133" s="3">
        <f t="shared" si="150"/>
        <v>37832200</v>
      </c>
      <c r="M133" s="3">
        <f t="shared" si="150"/>
        <v>41671282</v>
      </c>
      <c r="N133" s="3">
        <f t="shared" si="150"/>
        <v>82989690</v>
      </c>
      <c r="O133" s="3">
        <f t="shared" si="150"/>
        <v>144619899</v>
      </c>
      <c r="P133" s="3">
        <f t="shared" si="150"/>
        <v>225009486</v>
      </c>
      <c r="Q133" s="3">
        <f t="shared" si="150"/>
        <v>211951267</v>
      </c>
      <c r="R133" s="4">
        <f t="shared" si="150"/>
        <v>167363506.03565693</v>
      </c>
      <c r="S133" s="4">
        <f t="shared" si="150"/>
        <v>184113019.90570003</v>
      </c>
      <c r="T133" s="4">
        <f t="shared" si="150"/>
        <v>187503083.12669492</v>
      </c>
      <c r="U133" s="4">
        <f t="shared" si="150"/>
        <v>188609601.32131937</v>
      </c>
      <c r="V133" s="4">
        <f t="shared" si="150"/>
        <v>197485801.8869448</v>
      </c>
      <c r="W133" s="4">
        <f t="shared" si="150"/>
        <v>214408949.45894167</v>
      </c>
      <c r="X133" s="4">
        <f t="shared" si="150"/>
        <v>254659006.54638639</v>
      </c>
      <c r="Y133" s="4">
        <f t="shared" si="150"/>
        <v>253139358.43034077</v>
      </c>
      <c r="Z133" s="4">
        <f t="shared" si="150"/>
        <v>245506194.51056814</v>
      </c>
      <c r="AA133" s="4">
        <f t="shared" si="150"/>
        <v>260094530.44331792</v>
      </c>
      <c r="AB133" s="4">
        <f t="shared" si="150"/>
        <v>281964617.45584697</v>
      </c>
      <c r="AC133" s="4">
        <f t="shared" si="150"/>
        <v>321357396.38182151</v>
      </c>
      <c r="AD133" s="4">
        <f t="shared" si="150"/>
        <v>354497325.15878499</v>
      </c>
      <c r="AE133" s="4">
        <f t="shared" si="150"/>
        <v>354726053.95795661</v>
      </c>
      <c r="AF133" s="4">
        <f t="shared" si="150"/>
        <v>310498367.83100873</v>
      </c>
      <c r="AG133" s="4">
        <f t="shared" si="150"/>
        <v>329087679.74111909</v>
      </c>
      <c r="AH133" s="4">
        <f t="shared" si="150"/>
        <v>347929757.7010892</v>
      </c>
      <c r="AI133" s="4">
        <f t="shared" si="150"/>
        <v>378167244.38818866</v>
      </c>
      <c r="AJ133" s="4">
        <f t="shared" si="150"/>
        <v>385634947.27047312</v>
      </c>
      <c r="AK133" s="4">
        <f t="shared" si="150"/>
        <v>383390369.26658916</v>
      </c>
      <c r="AL133" s="4">
        <f t="shared" si="150"/>
        <v>364780856.08891368</v>
      </c>
      <c r="AM133" s="4">
        <f t="shared" si="150"/>
        <v>380537041.97759515</v>
      </c>
      <c r="AN133" s="4">
        <f t="shared" si="150"/>
        <v>394162753.34874737</v>
      </c>
      <c r="AO133" s="4">
        <f t="shared" si="150"/>
        <v>408416513.60872501</v>
      </c>
      <c r="AP133" s="4">
        <f t="shared" si="150"/>
        <v>426560134.73594898</v>
      </c>
      <c r="AQ133" s="4">
        <f t="shared" si="150"/>
        <v>459075335.98651177</v>
      </c>
      <c r="AR133" s="4"/>
      <c r="AS133" s="4">
        <f>SUM(Q133:Q135)</f>
        <v>616246559</v>
      </c>
      <c r="AT133" s="121">
        <f>(Q133/P144)-1</f>
        <v>-0.31115506959472972</v>
      </c>
      <c r="AU133" s="121" t="s">
        <v>299</v>
      </c>
      <c r="AV133" s="194"/>
      <c r="AW133" s="194"/>
      <c r="AX133" s="194"/>
      <c r="AY133" s="195"/>
      <c r="AZ133" s="196"/>
      <c r="BA133" s="196"/>
      <c r="BB133" s="195"/>
      <c r="BC133" s="195">
        <v>108932143.44251604</v>
      </c>
      <c r="BD133" s="195">
        <f>L133-BC133</f>
        <v>-71099943.442516044</v>
      </c>
      <c r="BE133" s="195">
        <v>108507798.4385401</v>
      </c>
      <c r="BF133" s="195">
        <f>M133-BE133</f>
        <v>-66836516.438540101</v>
      </c>
      <c r="BG133" s="195">
        <v>81075407.426691353</v>
      </c>
      <c r="BH133" s="195"/>
      <c r="BI133" s="3"/>
      <c r="BJ133" s="3">
        <v>225009486</v>
      </c>
      <c r="BK133" s="3">
        <f t="shared" ref="BK133:BK145" si="151">P133-BJ133</f>
        <v>0</v>
      </c>
      <c r="BL133" s="3">
        <v>211951267</v>
      </c>
      <c r="BM133" s="177">
        <f t="shared" ref="BM133:BM145" si="152">Q133-BL133</f>
        <v>0</v>
      </c>
      <c r="BN133" s="3"/>
      <c r="BP133" s="3"/>
      <c r="BQ133" s="3"/>
      <c r="BR133" s="203"/>
      <c r="BS133" s="203"/>
      <c r="BT133" s="3"/>
      <c r="BU133" s="3"/>
      <c r="BY133" s="3"/>
      <c r="BZ133" s="3"/>
      <c r="CA133" s="3"/>
      <c r="CB133" s="3"/>
      <c r="CC133" s="4"/>
      <c r="CD133" s="3"/>
      <c r="CE133" s="3"/>
      <c r="CF133" s="3"/>
      <c r="CG133" s="4"/>
      <c r="CH133" s="3"/>
      <c r="CI133" s="3"/>
      <c r="CJ133" s="3"/>
      <c r="CK133" s="3"/>
      <c r="CL133" s="3"/>
      <c r="CM133" s="3"/>
      <c r="CN133" s="3"/>
      <c r="CO133" s="3"/>
      <c r="CP133" s="3"/>
      <c r="CQ133" s="3"/>
      <c r="CR133" s="3"/>
      <c r="CS133" s="3"/>
      <c r="CT133" s="3"/>
      <c r="CU133" s="3"/>
      <c r="CV133" s="3"/>
      <c r="CW133" s="3"/>
      <c r="CX133" s="3"/>
      <c r="DD133" s="3"/>
      <c r="DE133" s="3"/>
      <c r="DF133" s="3"/>
      <c r="DG133" s="3"/>
      <c r="DH133" s="3"/>
      <c r="DI133" s="3"/>
      <c r="DJ133" s="3"/>
      <c r="DK133" s="3"/>
      <c r="DL133" s="3"/>
    </row>
    <row r="134" spans="1:116">
      <c r="A134" s="2" t="s">
        <v>44</v>
      </c>
      <c r="B134" s="3">
        <f t="shared" si="150"/>
        <v>0</v>
      </c>
      <c r="C134" s="3">
        <f t="shared" si="150"/>
        <v>236655</v>
      </c>
      <c r="D134" s="3">
        <f t="shared" si="150"/>
        <v>1466603</v>
      </c>
      <c r="E134" s="3">
        <f t="shared" si="150"/>
        <v>709570</v>
      </c>
      <c r="F134" s="3">
        <f t="shared" si="150"/>
        <v>11769916</v>
      </c>
      <c r="G134" s="3">
        <f t="shared" si="150"/>
        <v>13090383</v>
      </c>
      <c r="H134" s="3">
        <f t="shared" si="150"/>
        <v>7052579</v>
      </c>
      <c r="I134" s="3">
        <f t="shared" si="150"/>
        <v>20685125</v>
      </c>
      <c r="J134" s="3">
        <f t="shared" si="150"/>
        <v>20164577</v>
      </c>
      <c r="K134" s="3">
        <f t="shared" si="150"/>
        <v>37825609</v>
      </c>
      <c r="L134" s="3">
        <f t="shared" si="150"/>
        <v>33947857</v>
      </c>
      <c r="M134" s="3">
        <f t="shared" si="150"/>
        <v>46693788</v>
      </c>
      <c r="N134" s="3">
        <f t="shared" si="150"/>
        <v>96681669</v>
      </c>
      <c r="O134" s="3">
        <f t="shared" si="150"/>
        <v>138971779</v>
      </c>
      <c r="P134" s="3">
        <f t="shared" si="150"/>
        <v>226138432</v>
      </c>
      <c r="Q134" s="3">
        <f t="shared" si="150"/>
        <v>181467123</v>
      </c>
      <c r="R134" s="4">
        <f t="shared" si="150"/>
        <v>184551993.80017194</v>
      </c>
      <c r="S134" s="4">
        <f t="shared" si="150"/>
        <v>203021708.33424437</v>
      </c>
      <c r="T134" s="4">
        <f t="shared" si="150"/>
        <v>206759936.22730693</v>
      </c>
      <c r="U134" s="4">
        <f t="shared" si="150"/>
        <v>207980095.5310359</v>
      </c>
      <c r="V134" s="4">
        <f t="shared" si="150"/>
        <v>217767895.45563465</v>
      </c>
      <c r="W134" s="4">
        <f t="shared" si="150"/>
        <v>236429076.13812566</v>
      </c>
      <c r="X134" s="4">
        <f t="shared" si="150"/>
        <v>280812875.58169174</v>
      </c>
      <c r="Y134" s="4">
        <f t="shared" si="150"/>
        <v>279137157.28243995</v>
      </c>
      <c r="Z134" s="4">
        <f t="shared" si="150"/>
        <v>270720055.76630986</v>
      </c>
      <c r="AA134" s="4">
        <f t="shared" si="150"/>
        <v>286806636.08712399</v>
      </c>
      <c r="AB134" s="4">
        <f t="shared" si="150"/>
        <v>310922814.44852602</v>
      </c>
      <c r="AC134" s="4">
        <f t="shared" si="150"/>
        <v>354361291.95370638</v>
      </c>
      <c r="AD134" s="4">
        <f t="shared" si="150"/>
        <v>390904742.04659146</v>
      </c>
      <c r="AE134" s="4">
        <f t="shared" si="150"/>
        <v>391156961.64288533</v>
      </c>
      <c r="AF134" s="4">
        <f t="shared" si="150"/>
        <v>342387024.58051616</v>
      </c>
      <c r="AG134" s="4">
        <f t="shared" si="150"/>
        <v>362885487.22417772</v>
      </c>
      <c r="AH134" s="4">
        <f t="shared" si="150"/>
        <v>383662675.37719071</v>
      </c>
      <c r="AI134" s="4">
        <f t="shared" si="150"/>
        <v>417005598.14328915</v>
      </c>
      <c r="AJ134" s="4">
        <f t="shared" si="150"/>
        <v>425240245.52059293</v>
      </c>
      <c r="AK134" s="4">
        <f t="shared" si="150"/>
        <v>422765145.92648822</v>
      </c>
      <c r="AL134" s="4">
        <f t="shared" si="150"/>
        <v>402244407.31421942</v>
      </c>
      <c r="AM134" s="4">
        <f t="shared" si="150"/>
        <v>419618777.56565756</v>
      </c>
      <c r="AN134" s="4">
        <f t="shared" si="150"/>
        <v>434643870.3117193</v>
      </c>
      <c r="AO134" s="4">
        <f t="shared" si="150"/>
        <v>450361513.52700961</v>
      </c>
      <c r="AP134" s="4">
        <f t="shared" si="150"/>
        <v>470368512.26346481</v>
      </c>
      <c r="AQ134" s="4">
        <f t="shared" si="150"/>
        <v>506223074.25584</v>
      </c>
      <c r="AR134" s="4"/>
      <c r="AS134" s="4">
        <f>SUM(P133:P135)</f>
        <v>661100257</v>
      </c>
      <c r="AT134" s="121">
        <f t="shared" ref="AT134:AT144" si="153">(Q134/Q133)-1</f>
        <v>-0.14382619378255479</v>
      </c>
      <c r="AU134" s="121" t="s">
        <v>300</v>
      </c>
      <c r="AV134" s="204">
        <f t="shared" ref="AV134:BG134" si="154">(SUM(L134:P134)/SUM(L133:P133))-1</f>
        <v>1.9377054899027746E-2</v>
      </c>
      <c r="AW134" s="204">
        <f t="shared" si="154"/>
        <v>-2.3064107872520445E-2</v>
      </c>
      <c r="AX134" s="204">
        <f t="shared" si="154"/>
        <v>-4.9557440717429291E-3</v>
      </c>
      <c r="AY134" s="204">
        <f t="shared" si="154"/>
        <v>1.1723377933523516E-3</v>
      </c>
      <c r="AZ134" s="204">
        <f t="shared" si="154"/>
        <v>2.6639774625755841E-2</v>
      </c>
      <c r="BA134" s="204">
        <f t="shared" si="154"/>
        <v>4.7087252298395166E-2</v>
      </c>
      <c r="BB134" s="204">
        <f t="shared" si="154"/>
        <v>0.10270152778021413</v>
      </c>
      <c r="BC134" s="204">
        <f t="shared" si="154"/>
        <v>0.10270152778021391</v>
      </c>
      <c r="BD134" s="204">
        <f t="shared" si="154"/>
        <v>0.10270152778021391</v>
      </c>
      <c r="BE134" s="204">
        <f t="shared" si="154"/>
        <v>0.10270152778021391</v>
      </c>
      <c r="BF134" s="204">
        <f t="shared" si="154"/>
        <v>0.10270152778021369</v>
      </c>
      <c r="BG134" s="204">
        <f t="shared" si="154"/>
        <v>0.10270152778021391</v>
      </c>
      <c r="BH134" s="195"/>
      <c r="BI134" s="3"/>
      <c r="BJ134" s="3">
        <v>226138432</v>
      </c>
      <c r="BK134" s="3">
        <f t="shared" si="151"/>
        <v>0</v>
      </c>
      <c r="BL134" s="3">
        <v>181467123</v>
      </c>
      <c r="BM134" s="177">
        <f t="shared" si="152"/>
        <v>0</v>
      </c>
      <c r="BN134" s="3"/>
      <c r="BP134" s="3"/>
      <c r="BQ134" s="3"/>
      <c r="BR134" s="203"/>
      <c r="BS134" s="203"/>
      <c r="BT134" s="3"/>
      <c r="BU134" s="3"/>
      <c r="BY134" s="3"/>
      <c r="BZ134" s="3"/>
      <c r="CA134" s="3"/>
      <c r="CB134" s="3"/>
      <c r="CC134" s="4"/>
      <c r="CD134" s="3"/>
      <c r="CE134" s="3"/>
      <c r="CF134" s="3"/>
      <c r="CG134" s="4"/>
      <c r="CH134" s="3"/>
      <c r="CI134" s="3"/>
      <c r="CJ134" s="3"/>
      <c r="CK134" s="3"/>
      <c r="CL134" s="3"/>
      <c r="CM134" s="3"/>
      <c r="CN134" s="3"/>
      <c r="CO134" s="3"/>
      <c r="CP134" s="3"/>
      <c r="CQ134" s="3"/>
      <c r="CR134" s="3"/>
      <c r="CS134" s="3"/>
      <c r="CT134" s="3"/>
      <c r="CU134" s="3"/>
      <c r="CV134" s="3"/>
      <c r="CW134" s="3"/>
      <c r="CX134" s="3"/>
      <c r="DD134" s="3"/>
      <c r="DE134" s="3"/>
      <c r="DF134" s="3"/>
      <c r="DG134" s="3"/>
      <c r="DH134" s="3"/>
      <c r="DI134" s="3"/>
      <c r="DJ134" s="3"/>
      <c r="DK134" s="3"/>
      <c r="DL134" s="3"/>
    </row>
    <row r="135" spans="1:116">
      <c r="A135" s="2" t="s">
        <v>45</v>
      </c>
      <c r="B135" s="3">
        <f t="shared" si="150"/>
        <v>0</v>
      </c>
      <c r="C135" s="3">
        <f t="shared" si="150"/>
        <v>2386369</v>
      </c>
      <c r="D135" s="3">
        <f t="shared" si="150"/>
        <v>4704556</v>
      </c>
      <c r="E135" s="3">
        <f t="shared" si="150"/>
        <v>1180027</v>
      </c>
      <c r="F135" s="3">
        <f t="shared" si="150"/>
        <v>14214810</v>
      </c>
      <c r="G135" s="3">
        <f t="shared" si="150"/>
        <v>15408481</v>
      </c>
      <c r="H135" s="3">
        <f t="shared" si="150"/>
        <v>17471358</v>
      </c>
      <c r="I135" s="3">
        <f t="shared" si="150"/>
        <v>15398643</v>
      </c>
      <c r="J135" s="3">
        <f t="shared" si="150"/>
        <v>22796002</v>
      </c>
      <c r="K135" s="3">
        <f t="shared" si="150"/>
        <v>32865031</v>
      </c>
      <c r="L135" s="3">
        <f t="shared" si="150"/>
        <v>41664100</v>
      </c>
      <c r="M135" s="3">
        <f t="shared" si="150"/>
        <v>55155941</v>
      </c>
      <c r="N135" s="3">
        <f t="shared" si="150"/>
        <v>105277299</v>
      </c>
      <c r="O135" s="3">
        <f t="shared" si="150"/>
        <v>174387031</v>
      </c>
      <c r="P135" s="3">
        <f t="shared" si="150"/>
        <v>209952339</v>
      </c>
      <c r="Q135" s="3">
        <f t="shared" si="150"/>
        <v>222828169</v>
      </c>
      <c r="R135" s="4">
        <f t="shared" si="150"/>
        <v>194381009.33101276</v>
      </c>
      <c r="S135" s="4">
        <f t="shared" si="150"/>
        <v>213834398.47768328</v>
      </c>
      <c r="T135" s="4">
        <f t="shared" si="150"/>
        <v>217771719.85796398</v>
      </c>
      <c r="U135" s="4">
        <f t="shared" si="150"/>
        <v>219056863.36749589</v>
      </c>
      <c r="V135" s="4">
        <f t="shared" si="150"/>
        <v>229365949.65422308</v>
      </c>
      <c r="W135" s="4">
        <f t="shared" si="150"/>
        <v>249021002.20433873</v>
      </c>
      <c r="X135" s="4">
        <f t="shared" si="150"/>
        <v>295768629.01744759</v>
      </c>
      <c r="Y135" s="4">
        <f t="shared" si="150"/>
        <v>294003663.9923842</v>
      </c>
      <c r="Z135" s="4">
        <f t="shared" si="150"/>
        <v>285138277.8502084</v>
      </c>
      <c r="AA135" s="4">
        <f t="shared" si="150"/>
        <v>302081609.94354802</v>
      </c>
      <c r="AB135" s="4">
        <f t="shared" si="150"/>
        <v>327482186.73803008</v>
      </c>
      <c r="AC135" s="4">
        <f t="shared" si="150"/>
        <v>373234144.9119525</v>
      </c>
      <c r="AD135" s="4">
        <f t="shared" si="150"/>
        <v>411723854.86969918</v>
      </c>
      <c r="AE135" s="4">
        <f t="shared" si="150"/>
        <v>411989507.37602627</v>
      </c>
      <c r="AF135" s="4">
        <f t="shared" si="150"/>
        <v>360622142.57010639</v>
      </c>
      <c r="AG135" s="4">
        <f t="shared" si="150"/>
        <v>382212328.49203867</v>
      </c>
      <c r="AH135" s="4">
        <f t="shared" si="150"/>
        <v>404096084.50616229</v>
      </c>
      <c r="AI135" s="4">
        <f t="shared" si="150"/>
        <v>439214810.93042368</v>
      </c>
      <c r="AJ135" s="4">
        <f t="shared" si="150"/>
        <v>447888025.64745587</v>
      </c>
      <c r="AK135" s="4">
        <f t="shared" si="150"/>
        <v>445281105.24854761</v>
      </c>
      <c r="AL135" s="4">
        <f t="shared" si="150"/>
        <v>423667456.9669165</v>
      </c>
      <c r="AM135" s="4">
        <f t="shared" si="150"/>
        <v>441967165.12190968</v>
      </c>
      <c r="AN135" s="4">
        <f t="shared" si="150"/>
        <v>457792476.09868467</v>
      </c>
      <c r="AO135" s="4">
        <f t="shared" si="150"/>
        <v>474347221.94337583</v>
      </c>
      <c r="AP135" s="4">
        <f t="shared" si="150"/>
        <v>495419769.18601006</v>
      </c>
      <c r="AQ135" s="4">
        <f t="shared" si="150"/>
        <v>533183901.64461988</v>
      </c>
      <c r="AR135" s="4"/>
      <c r="AS135" s="4">
        <f>SUM(P142:P144)</f>
        <v>846144273</v>
      </c>
      <c r="AT135" s="121">
        <f t="shared" si="153"/>
        <v>0.22792583756342455</v>
      </c>
      <c r="AU135" s="197" t="s">
        <v>301</v>
      </c>
      <c r="AV135" s="194"/>
      <c r="AW135" s="194"/>
      <c r="AX135" s="194"/>
      <c r="AY135" s="195"/>
      <c r="AZ135" s="196"/>
      <c r="BA135" s="198"/>
      <c r="BB135" s="195"/>
      <c r="BC135" s="195">
        <v>119714448.18219173</v>
      </c>
      <c r="BD135" s="195">
        <f t="shared" ref="BD135:BD145" si="155">L135-BC135</f>
        <v>-78050348.18219173</v>
      </c>
      <c r="BE135" s="195">
        <v>135173970.91653845</v>
      </c>
      <c r="BF135" s="195">
        <f t="shared" ref="BF135:BF145" si="156">M135-BE135</f>
        <v>-80018029.916538447</v>
      </c>
      <c r="BG135" s="195">
        <v>128861333.89305</v>
      </c>
      <c r="BH135" s="194">
        <f>SUM(P133:P135)</f>
        <v>661100257</v>
      </c>
      <c r="BI135" s="3"/>
      <c r="BJ135" s="3">
        <v>209952339</v>
      </c>
      <c r="BK135" s="3">
        <f t="shared" si="151"/>
        <v>0</v>
      </c>
      <c r="BL135" s="3">
        <v>165263626.29869339</v>
      </c>
      <c r="BM135" s="177">
        <f t="shared" si="152"/>
        <v>57564542.701306611</v>
      </c>
      <c r="BN135" s="3"/>
      <c r="BP135" s="3"/>
      <c r="BQ135" s="3"/>
      <c r="BR135" s="203"/>
      <c r="BS135" s="203"/>
      <c r="BT135" s="3"/>
      <c r="BU135" s="3"/>
      <c r="BY135" s="3"/>
      <c r="BZ135" s="3"/>
      <c r="CA135" s="3"/>
      <c r="CB135" s="3"/>
      <c r="CC135" s="4"/>
      <c r="CD135" s="3"/>
      <c r="CE135" s="3"/>
      <c r="CF135" s="3"/>
      <c r="CG135" s="4"/>
      <c r="CH135" s="3"/>
      <c r="CI135" s="3"/>
      <c r="CJ135" s="3"/>
      <c r="CK135" s="3"/>
      <c r="CL135" s="3"/>
      <c r="CM135" s="3"/>
      <c r="CN135" s="3"/>
      <c r="CO135" s="3"/>
      <c r="CP135" s="3"/>
      <c r="CQ135" s="3"/>
      <c r="CR135" s="3"/>
      <c r="CS135" s="3"/>
      <c r="CT135" s="3"/>
      <c r="CU135" s="3"/>
      <c r="CV135" s="3"/>
      <c r="CW135" s="3"/>
      <c r="CX135" s="3"/>
      <c r="DD135" s="3"/>
      <c r="DE135" s="3"/>
      <c r="DF135" s="3"/>
      <c r="DG135" s="3"/>
      <c r="DH135" s="3"/>
      <c r="DI135" s="3"/>
      <c r="DJ135" s="3"/>
      <c r="DK135" s="3"/>
      <c r="DL135" s="3"/>
    </row>
    <row r="136" spans="1:116">
      <c r="A136" s="2" t="s">
        <v>46</v>
      </c>
      <c r="B136" s="3">
        <f t="shared" si="150"/>
        <v>0</v>
      </c>
      <c r="C136" s="3">
        <f t="shared" si="150"/>
        <v>1687259</v>
      </c>
      <c r="D136" s="3">
        <f t="shared" si="150"/>
        <v>3182046</v>
      </c>
      <c r="E136" s="3">
        <f t="shared" si="150"/>
        <v>1023827</v>
      </c>
      <c r="F136" s="3">
        <f t="shared" si="150"/>
        <v>12757417</v>
      </c>
      <c r="G136" s="3">
        <f t="shared" si="150"/>
        <v>15174584</v>
      </c>
      <c r="H136" s="3">
        <f t="shared" si="150"/>
        <v>20862107</v>
      </c>
      <c r="I136" s="3">
        <f t="shared" si="150"/>
        <v>20068138</v>
      </c>
      <c r="J136" s="3">
        <f t="shared" si="150"/>
        <v>24720243</v>
      </c>
      <c r="K136" s="3">
        <f t="shared" si="150"/>
        <v>35561760</v>
      </c>
      <c r="L136" s="3">
        <f t="shared" si="150"/>
        <v>35556621</v>
      </c>
      <c r="M136" s="3">
        <f t="shared" si="150"/>
        <v>47578471</v>
      </c>
      <c r="N136" s="3">
        <f t="shared" si="150"/>
        <v>101188242</v>
      </c>
      <c r="O136" s="3">
        <f t="shared" si="150"/>
        <v>169520733</v>
      </c>
      <c r="P136" s="3">
        <f t="shared" si="150"/>
        <v>279120152</v>
      </c>
      <c r="Q136" s="4">
        <f t="shared" si="150"/>
        <v>197526811.40333843</v>
      </c>
      <c r="R136" s="4">
        <f t="shared" si="150"/>
        <v>188734385.3867617</v>
      </c>
      <c r="S136" s="4">
        <f t="shared" si="150"/>
        <v>207622668.02775827</v>
      </c>
      <c r="T136" s="4">
        <f t="shared" si="150"/>
        <v>211445613.14639378</v>
      </c>
      <c r="U136" s="4">
        <f t="shared" si="150"/>
        <v>212693424.19151622</v>
      </c>
      <c r="V136" s="4">
        <f t="shared" si="150"/>
        <v>222703039.17870483</v>
      </c>
      <c r="W136" s="4">
        <f t="shared" si="150"/>
        <v>241787127.05106226</v>
      </c>
      <c r="X136" s="4">
        <f t="shared" si="150"/>
        <v>287176770.02712715</v>
      </c>
      <c r="Y136" s="4">
        <f t="shared" si="150"/>
        <v>285463075.92511117</v>
      </c>
      <c r="Z136" s="4">
        <f t="shared" si="150"/>
        <v>276855222.6655854</v>
      </c>
      <c r="AA136" s="4">
        <f t="shared" si="150"/>
        <v>293306363.54630131</v>
      </c>
      <c r="AB136" s="4">
        <f t="shared" si="150"/>
        <v>317969072.45122391</v>
      </c>
      <c r="AC136" s="4">
        <f t="shared" si="150"/>
        <v>362391970.22253615</v>
      </c>
      <c r="AD136" s="4">
        <f t="shared" si="150"/>
        <v>399763582.69430584</v>
      </c>
      <c r="AE136" s="4">
        <f t="shared" si="150"/>
        <v>400021518.19263792</v>
      </c>
      <c r="AF136" s="4">
        <f t="shared" si="150"/>
        <v>350146337.18113518</v>
      </c>
      <c r="AG136" s="4">
        <f t="shared" si="150"/>
        <v>371109344.23818147</v>
      </c>
      <c r="AH136" s="4">
        <f t="shared" si="150"/>
        <v>392357393.39429069</v>
      </c>
      <c r="AI136" s="4">
        <f t="shared" si="150"/>
        <v>426455946.90041918</v>
      </c>
      <c r="AJ136" s="4">
        <f t="shared" si="150"/>
        <v>434877211.17196608</v>
      </c>
      <c r="AK136" s="4">
        <f t="shared" si="150"/>
        <v>432346019.87435168</v>
      </c>
      <c r="AL136" s="4">
        <f t="shared" si="150"/>
        <v>411360232.02172905</v>
      </c>
      <c r="AM136" s="4">
        <f t="shared" si="150"/>
        <v>429128347.24695808</v>
      </c>
      <c r="AN136" s="4">
        <f t="shared" si="150"/>
        <v>444493944.69413352</v>
      </c>
      <c r="AO136" s="4">
        <f t="shared" si="150"/>
        <v>460567787.4681012</v>
      </c>
      <c r="AP136" s="4">
        <f t="shared" si="150"/>
        <v>481028192.86500603</v>
      </c>
      <c r="AQ136" s="4">
        <f t="shared" si="150"/>
        <v>517695305.35411412</v>
      </c>
      <c r="AR136" s="4"/>
      <c r="AS136" s="94"/>
      <c r="AT136" s="121">
        <f t="shared" si="153"/>
        <v>-0.11354649508725967</v>
      </c>
      <c r="AU136" s="197"/>
      <c r="AV136" s="194"/>
      <c r="AW136" s="194"/>
      <c r="AX136" s="194"/>
      <c r="AY136" s="195"/>
      <c r="AZ136" s="196"/>
      <c r="BA136" s="196"/>
      <c r="BB136" s="195"/>
      <c r="BC136" s="195">
        <v>152824951.74781588</v>
      </c>
      <c r="BD136" s="195">
        <f t="shared" si="155"/>
        <v>-117268330.74781588</v>
      </c>
      <c r="BE136" s="195">
        <v>129458434.08986306</v>
      </c>
      <c r="BF136" s="195">
        <f t="shared" si="156"/>
        <v>-81879963.089863062</v>
      </c>
      <c r="BG136" s="195">
        <v>138512422.75823951</v>
      </c>
      <c r="BH136" s="205">
        <f>SUM(O142:O144)/BH135-1</f>
        <v>2.7670945225483301E-2</v>
      </c>
      <c r="BI136" s="3"/>
      <c r="BJ136" s="3">
        <v>279120152</v>
      </c>
      <c r="BK136" s="3">
        <f t="shared" si="151"/>
        <v>0</v>
      </c>
      <c r="BL136" s="3">
        <v>176509124.7750017</v>
      </c>
      <c r="BM136" s="177">
        <f t="shared" si="152"/>
        <v>21017686.628336728</v>
      </c>
      <c r="BN136" s="3"/>
      <c r="BP136" s="3"/>
      <c r="BQ136" s="3"/>
      <c r="BR136" s="203"/>
      <c r="BS136" s="203"/>
      <c r="BT136" s="3"/>
      <c r="BU136" s="3"/>
      <c r="BV136" s="3"/>
      <c r="BY136" s="3"/>
      <c r="BZ136" s="3"/>
      <c r="CA136" s="3"/>
      <c r="CB136" s="3"/>
      <c r="CC136" s="4"/>
      <c r="CD136" s="3"/>
      <c r="CE136" s="3"/>
      <c r="CF136" s="3"/>
      <c r="CG136" s="4"/>
      <c r="CH136" s="3"/>
      <c r="CI136" s="3"/>
      <c r="CJ136" s="3"/>
      <c r="CK136" s="3"/>
      <c r="CL136" s="3"/>
      <c r="CM136" s="3"/>
      <c r="CN136" s="3"/>
      <c r="CO136" s="3"/>
      <c r="CP136" s="3"/>
      <c r="CQ136" s="3"/>
      <c r="CR136" s="3"/>
      <c r="CS136" s="3"/>
      <c r="CT136" s="3"/>
      <c r="CU136" s="3"/>
      <c r="CV136" s="3"/>
      <c r="CW136" s="3"/>
      <c r="CX136" s="3"/>
      <c r="DD136" s="3"/>
      <c r="DE136" s="3"/>
      <c r="DF136" s="3"/>
      <c r="DG136" s="3"/>
      <c r="DH136" s="3"/>
      <c r="DI136" s="3"/>
      <c r="DJ136" s="3"/>
      <c r="DK136" s="3"/>
      <c r="DL136" s="3"/>
    </row>
    <row r="137" spans="1:116">
      <c r="A137" s="2" t="s">
        <v>47</v>
      </c>
      <c r="B137" s="3">
        <f t="shared" si="150"/>
        <v>0</v>
      </c>
      <c r="C137" s="3">
        <f t="shared" si="150"/>
        <v>3145024</v>
      </c>
      <c r="D137" s="3">
        <f t="shared" si="150"/>
        <v>3357746</v>
      </c>
      <c r="E137" s="3">
        <f t="shared" si="150"/>
        <v>966739</v>
      </c>
      <c r="F137" s="3">
        <f t="shared" si="150"/>
        <v>15457184</v>
      </c>
      <c r="G137" s="3">
        <f t="shared" si="150"/>
        <v>15400093</v>
      </c>
      <c r="H137" s="3">
        <f t="shared" si="150"/>
        <v>21624392</v>
      </c>
      <c r="I137" s="3">
        <f t="shared" si="150"/>
        <v>24025408</v>
      </c>
      <c r="J137" s="3">
        <f t="shared" si="150"/>
        <v>21078019</v>
      </c>
      <c r="K137" s="3">
        <f t="shared" si="150"/>
        <v>36914619</v>
      </c>
      <c r="L137" s="3">
        <f t="shared" si="150"/>
        <v>42165050</v>
      </c>
      <c r="M137" s="3">
        <f t="shared" si="150"/>
        <v>57822332</v>
      </c>
      <c r="N137" s="3">
        <f t="shared" si="150"/>
        <v>127392352</v>
      </c>
      <c r="O137" s="3">
        <f t="shared" si="150"/>
        <v>222124396</v>
      </c>
      <c r="P137" s="3">
        <f t="shared" si="150"/>
        <v>218975034</v>
      </c>
      <c r="Q137" s="4">
        <f t="shared" si="150"/>
        <v>193874942.81081852</v>
      </c>
      <c r="R137" s="4">
        <f t="shared" si="150"/>
        <v>210834210.38909155</v>
      </c>
      <c r="S137" s="4">
        <f t="shared" si="150"/>
        <v>231934213.69829154</v>
      </c>
      <c r="T137" s="4">
        <f t="shared" si="150"/>
        <v>236204806.01138088</v>
      </c>
      <c r="U137" s="4">
        <f t="shared" si="150"/>
        <v>237598729.30667263</v>
      </c>
      <c r="V137" s="4">
        <f t="shared" si="150"/>
        <v>248780418.68350813</v>
      </c>
      <c r="W137" s="4">
        <f t="shared" si="150"/>
        <v>270099155.00873709</v>
      </c>
      <c r="X137" s="4">
        <f t="shared" si="150"/>
        <v>320803691.53021324</v>
      </c>
      <c r="Y137" s="4">
        <f t="shared" si="150"/>
        <v>318889332.67023879</v>
      </c>
      <c r="Z137" s="4">
        <f t="shared" si="150"/>
        <v>309273544.10368657</v>
      </c>
      <c r="AA137" s="4">
        <f t="shared" si="150"/>
        <v>327651028.89787358</v>
      </c>
      <c r="AB137" s="4">
        <f t="shared" si="150"/>
        <v>355201614.06215012</v>
      </c>
      <c r="AC137" s="4">
        <f t="shared" si="150"/>
        <v>404826204.49180114</v>
      </c>
      <c r="AD137" s="4">
        <f t="shared" si="150"/>
        <v>446573840.41042984</v>
      </c>
      <c r="AE137" s="4">
        <f t="shared" si="150"/>
        <v>446861978.82787144</v>
      </c>
      <c r="AF137" s="4">
        <f t="shared" si="150"/>
        <v>391146670.8567</v>
      </c>
      <c r="AG137" s="4">
        <f t="shared" si="150"/>
        <v>414564338.13124698</v>
      </c>
      <c r="AH137" s="4">
        <f t="shared" si="150"/>
        <v>438300424.46737844</v>
      </c>
      <c r="AI137" s="4">
        <f t="shared" si="150"/>
        <v>476391743.06384158</v>
      </c>
      <c r="AJ137" s="4">
        <f t="shared" si="150"/>
        <v>485799094.03240544</v>
      </c>
      <c r="AK137" s="4">
        <f t="shared" si="150"/>
        <v>482971513.26336503</v>
      </c>
      <c r="AL137" s="4">
        <f t="shared" si="150"/>
        <v>459528397.67934579</v>
      </c>
      <c r="AM137" s="4">
        <f t="shared" si="150"/>
        <v>479377067.73454988</v>
      </c>
      <c r="AN137" s="4">
        <f t="shared" si="150"/>
        <v>496541897.54705685</v>
      </c>
      <c r="AO137" s="4">
        <f t="shared" si="150"/>
        <v>514497904.56836981</v>
      </c>
      <c r="AP137" s="4">
        <f t="shared" si="150"/>
        <v>537354118.11555803</v>
      </c>
      <c r="AQ137" s="4">
        <f t="shared" si="150"/>
        <v>578314760.61293483</v>
      </c>
      <c r="AR137" s="4"/>
      <c r="AS137" s="94">
        <f>AS133/AS134-1</f>
        <v>-6.7847043659521655E-2</v>
      </c>
      <c r="AT137" s="121">
        <f t="shared" si="153"/>
        <v>-1.8487964072193774E-2</v>
      </c>
      <c r="AU137" s="197"/>
      <c r="AV137" s="194"/>
      <c r="AW137" s="194"/>
      <c r="AX137" s="194"/>
      <c r="AY137" s="195"/>
      <c r="AZ137" s="196"/>
      <c r="BA137" s="195">
        <v>178072540.96348354</v>
      </c>
      <c r="BB137" s="195">
        <f t="shared" ref="BB137:BB145" si="157">K137-BA137</f>
        <v>-141157921.96348354</v>
      </c>
      <c r="BC137" s="195">
        <v>157209465.91249242</v>
      </c>
      <c r="BD137" s="195">
        <f t="shared" si="155"/>
        <v>-115044415.91249242</v>
      </c>
      <c r="BE137" s="195">
        <v>142690356.2444244</v>
      </c>
      <c r="BF137" s="195">
        <f t="shared" si="156"/>
        <v>-84868024.244424403</v>
      </c>
      <c r="BG137" s="195">
        <v>143839399.92900729</v>
      </c>
      <c r="BH137" s="195"/>
      <c r="BI137" s="3"/>
      <c r="BJ137" s="3">
        <v>218975034</v>
      </c>
      <c r="BK137" s="3">
        <f t="shared" si="151"/>
        <v>0</v>
      </c>
      <c r="BL137" s="3">
        <v>179252213.35479411</v>
      </c>
      <c r="BM137" s="177">
        <f t="shared" si="152"/>
        <v>14622729.456024408</v>
      </c>
      <c r="BN137" s="3"/>
      <c r="BP137" s="3"/>
      <c r="BQ137" s="3"/>
      <c r="BR137" s="203"/>
      <c r="BS137" s="203"/>
      <c r="BT137" s="3"/>
      <c r="BU137" s="3"/>
      <c r="BV137" s="3"/>
      <c r="BY137" s="3"/>
      <c r="BZ137" s="3"/>
      <c r="CA137" s="3"/>
      <c r="CB137" s="3"/>
      <c r="CC137" s="4"/>
      <c r="CD137" s="3"/>
      <c r="CE137" s="3"/>
      <c r="CF137" s="3"/>
      <c r="CG137" s="4"/>
      <c r="CH137" s="3"/>
      <c r="CI137" s="3"/>
      <c r="CJ137" s="3"/>
      <c r="CK137" s="3"/>
      <c r="CL137" s="3"/>
      <c r="CM137" s="3"/>
      <c r="CN137" s="3"/>
      <c r="CO137" s="3"/>
      <c r="CP137" s="3"/>
      <c r="CQ137" s="3"/>
      <c r="CR137" s="3"/>
      <c r="CS137" s="3"/>
      <c r="CT137" s="3"/>
      <c r="CU137" s="3"/>
      <c r="CV137" s="3"/>
      <c r="CW137" s="3"/>
      <c r="CX137" s="3"/>
      <c r="DD137" s="3"/>
      <c r="DE137" s="3"/>
      <c r="DF137" s="3"/>
      <c r="DG137" s="3"/>
      <c r="DH137" s="3"/>
      <c r="DI137" s="3"/>
      <c r="DJ137" s="3"/>
      <c r="DK137" s="3"/>
      <c r="DL137" s="3"/>
    </row>
    <row r="138" spans="1:116">
      <c r="A138" s="2" t="s">
        <v>48</v>
      </c>
      <c r="B138" s="3">
        <f t="shared" si="150"/>
        <v>0</v>
      </c>
      <c r="C138" s="3">
        <f t="shared" si="150"/>
        <v>3743400</v>
      </c>
      <c r="D138" s="3">
        <f t="shared" si="150"/>
        <v>3082194</v>
      </c>
      <c r="E138" s="3">
        <f t="shared" si="150"/>
        <v>1599659</v>
      </c>
      <c r="F138" s="3">
        <f t="shared" si="150"/>
        <v>14888020</v>
      </c>
      <c r="G138" s="3">
        <f t="shared" si="150"/>
        <v>13875936</v>
      </c>
      <c r="H138" s="3">
        <f t="shared" si="150"/>
        <v>22043211</v>
      </c>
      <c r="I138" s="3">
        <f t="shared" si="150"/>
        <v>17375071</v>
      </c>
      <c r="J138" s="3">
        <f t="shared" si="150"/>
        <v>11453319</v>
      </c>
      <c r="K138" s="3">
        <f t="shared" si="150"/>
        <v>37285265</v>
      </c>
      <c r="L138" s="3">
        <f t="shared" si="150"/>
        <v>49854880</v>
      </c>
      <c r="M138" s="3">
        <f t="shared" si="150"/>
        <v>64658005</v>
      </c>
      <c r="N138" s="3">
        <f t="shared" si="150"/>
        <v>111675640</v>
      </c>
      <c r="O138" s="3">
        <f t="shared" si="150"/>
        <v>192695635</v>
      </c>
      <c r="P138" s="3">
        <f t="shared" si="150"/>
        <v>276399741</v>
      </c>
      <c r="Q138" s="4">
        <f t="shared" si="150"/>
        <v>190309892.98933783</v>
      </c>
      <c r="R138" s="4">
        <f t="shared" si="150"/>
        <v>209114517.14255437</v>
      </c>
      <c r="S138" s="4">
        <f t="shared" si="150"/>
        <v>230042415.87192467</v>
      </c>
      <c r="T138" s="4">
        <f t="shared" si="150"/>
        <v>234278174.61248335</v>
      </c>
      <c r="U138" s="4">
        <f t="shared" si="150"/>
        <v>235660728.21367908</v>
      </c>
      <c r="V138" s="4">
        <f t="shared" si="150"/>
        <v>246751212.86775759</v>
      </c>
      <c r="W138" s="4">
        <f t="shared" si="150"/>
        <v>267896060.49240258</v>
      </c>
      <c r="X138" s="4">
        <f t="shared" si="150"/>
        <v>318187019.68758118</v>
      </c>
      <c r="Y138" s="4">
        <f t="shared" si="150"/>
        <v>316288275.51365256</v>
      </c>
      <c r="Z138" s="4">
        <f t="shared" si="150"/>
        <v>306750919.22157568</v>
      </c>
      <c r="AA138" s="4">
        <f t="shared" si="150"/>
        <v>324978505.96823716</v>
      </c>
      <c r="AB138" s="4">
        <f t="shared" si="150"/>
        <v>352304371.64720011</v>
      </c>
      <c r="AC138" s="4">
        <f t="shared" si="150"/>
        <v>401524193.45383418</v>
      </c>
      <c r="AD138" s="4">
        <f t="shared" si="150"/>
        <v>442931310.02593148</v>
      </c>
      <c r="AE138" s="4">
        <f t="shared" si="150"/>
        <v>443217098.20955843</v>
      </c>
      <c r="AF138" s="4">
        <f t="shared" si="150"/>
        <v>387956238.49263352</v>
      </c>
      <c r="AG138" s="4">
        <f t="shared" si="150"/>
        <v>411182896.89728516</v>
      </c>
      <c r="AH138" s="4">
        <f t="shared" si="150"/>
        <v>434725377.14218438</v>
      </c>
      <c r="AI138" s="4">
        <f t="shared" si="150"/>
        <v>472505999.56073052</v>
      </c>
      <c r="AJ138" s="4">
        <f t="shared" si="150"/>
        <v>481836618.39982361</v>
      </c>
      <c r="AK138" s="4">
        <f t="shared" si="150"/>
        <v>479032101.11532676</v>
      </c>
      <c r="AL138" s="4">
        <f t="shared" si="150"/>
        <v>455780201.9732371</v>
      </c>
      <c r="AM138" s="4">
        <f t="shared" si="150"/>
        <v>475466974.09079766</v>
      </c>
      <c r="AN138" s="4">
        <f t="shared" si="150"/>
        <v>492491797.0142327</v>
      </c>
      <c r="AO138" s="4">
        <f t="shared" si="150"/>
        <v>510301343.8194719</v>
      </c>
      <c r="AP138" s="4">
        <f t="shared" si="150"/>
        <v>532971128.05802953</v>
      </c>
      <c r="AQ138" s="4">
        <f t="shared" si="150"/>
        <v>573597670.41849363</v>
      </c>
      <c r="AR138" s="4"/>
      <c r="AS138" s="94">
        <f>AS133/AS135-1</f>
        <v>-0.27170037230754851</v>
      </c>
      <c r="AT138" s="121">
        <f t="shared" si="153"/>
        <v>-1.838839908754708E-2</v>
      </c>
      <c r="AU138" s="197"/>
      <c r="AV138" s="194"/>
      <c r="AW138" s="194"/>
      <c r="AX138" s="194"/>
      <c r="AY138" s="195"/>
      <c r="AZ138" s="196"/>
      <c r="BA138" s="195">
        <v>167055104.50212622</v>
      </c>
      <c r="BB138" s="195">
        <f t="shared" si="157"/>
        <v>-129769839.50212622</v>
      </c>
      <c r="BC138" s="195">
        <v>140041174.55798692</v>
      </c>
      <c r="BD138" s="195">
        <f t="shared" si="155"/>
        <v>-90186294.557986915</v>
      </c>
      <c r="BE138" s="195">
        <v>155020352.91339663</v>
      </c>
      <c r="BF138" s="195">
        <f t="shared" si="156"/>
        <v>-90362347.913396627</v>
      </c>
      <c r="BG138" s="195">
        <v>148189433.6392737</v>
      </c>
      <c r="BH138" s="194">
        <f>SUM(P136:P138)</f>
        <v>774494927</v>
      </c>
      <c r="BI138" s="3"/>
      <c r="BJ138" s="3">
        <v>276399741</v>
      </c>
      <c r="BK138" s="3">
        <f t="shared" si="151"/>
        <v>0</v>
      </c>
      <c r="BL138" s="3">
        <v>177790122.26357988</v>
      </c>
      <c r="BM138" s="177">
        <f t="shared" si="152"/>
        <v>12519770.725757957</v>
      </c>
      <c r="BN138" s="3"/>
      <c r="BP138" s="3"/>
      <c r="BQ138" s="3"/>
      <c r="BR138" s="203"/>
      <c r="BS138" s="203"/>
      <c r="BT138" s="3"/>
      <c r="BU138" s="3"/>
      <c r="BV138" s="3"/>
      <c r="BY138" s="3"/>
      <c r="BZ138" s="3"/>
      <c r="CA138" s="3"/>
      <c r="CB138" s="3"/>
      <c r="CC138" s="4"/>
      <c r="CD138" s="3"/>
      <c r="CE138" s="3"/>
      <c r="CF138" s="3"/>
      <c r="CG138" s="4"/>
      <c r="CH138" s="3"/>
      <c r="CI138" s="3"/>
      <c r="CJ138" s="3"/>
      <c r="CK138" s="3"/>
      <c r="CL138" s="3"/>
      <c r="CM138" s="3"/>
      <c r="CN138" s="3"/>
      <c r="CO138" s="3"/>
      <c r="CP138" s="3"/>
      <c r="CQ138" s="3"/>
      <c r="CR138" s="3"/>
      <c r="CS138" s="3"/>
      <c r="CT138" s="3"/>
      <c r="CU138" s="3"/>
      <c r="CV138" s="3"/>
      <c r="CW138" s="3"/>
      <c r="CX138" s="3"/>
      <c r="DD138" s="3"/>
      <c r="DE138" s="3"/>
      <c r="DF138" s="3"/>
      <c r="DG138" s="3"/>
      <c r="DH138" s="3"/>
      <c r="DI138" s="3"/>
      <c r="DJ138" s="3"/>
      <c r="DK138" s="3"/>
      <c r="DL138" s="4"/>
    </row>
    <row r="139" spans="1:116">
      <c r="A139" s="2" t="s">
        <v>49</v>
      </c>
      <c r="B139" s="3">
        <f t="shared" si="150"/>
        <v>0</v>
      </c>
      <c r="C139" s="3">
        <f t="shared" si="150"/>
        <v>5655935</v>
      </c>
      <c r="D139" s="3">
        <f t="shared" si="150"/>
        <v>5724257</v>
      </c>
      <c r="E139" s="3">
        <f t="shared" ref="B139:AQ144" si="158">E155+E171+E187</f>
        <v>11354803</v>
      </c>
      <c r="F139" s="3">
        <f t="shared" si="158"/>
        <v>12613289</v>
      </c>
      <c r="G139" s="3">
        <f t="shared" si="158"/>
        <v>15045067</v>
      </c>
      <c r="H139" s="3">
        <f t="shared" si="158"/>
        <v>19094815</v>
      </c>
      <c r="I139" s="3">
        <f t="shared" si="158"/>
        <v>19135415</v>
      </c>
      <c r="J139" s="3">
        <f t="shared" si="158"/>
        <v>8063694</v>
      </c>
      <c r="K139" s="3">
        <f t="shared" si="158"/>
        <v>43179249</v>
      </c>
      <c r="L139" s="3">
        <f t="shared" si="158"/>
        <v>43059759</v>
      </c>
      <c r="M139" s="3">
        <f t="shared" si="158"/>
        <v>64256004</v>
      </c>
      <c r="N139" s="3">
        <f t="shared" si="158"/>
        <v>104188807</v>
      </c>
      <c r="O139" s="3">
        <f t="shared" si="158"/>
        <v>178359770</v>
      </c>
      <c r="P139" s="3">
        <f t="shared" si="158"/>
        <v>285699486</v>
      </c>
      <c r="Q139" s="4">
        <f t="shared" si="158"/>
        <v>187398408.05446762</v>
      </c>
      <c r="R139" s="4">
        <f t="shared" si="158"/>
        <v>204816536.25140023</v>
      </c>
      <c r="S139" s="4">
        <f t="shared" si="158"/>
        <v>225314298.85220358</v>
      </c>
      <c r="T139" s="4">
        <f t="shared" si="158"/>
        <v>229462999.02612028</v>
      </c>
      <c r="U139" s="4">
        <f t="shared" si="158"/>
        <v>230817136.67112064</v>
      </c>
      <c r="V139" s="4">
        <f t="shared" si="158"/>
        <v>241679675.93064594</v>
      </c>
      <c r="W139" s="4">
        <f t="shared" si="158"/>
        <v>262389928.42397761</v>
      </c>
      <c r="X139" s="4">
        <f t="shared" si="158"/>
        <v>311647245.45708984</v>
      </c>
      <c r="Y139" s="4">
        <f t="shared" si="158"/>
        <v>309787526.62816477</v>
      </c>
      <c r="Z139" s="4">
        <f t="shared" si="158"/>
        <v>300446193.91042221</v>
      </c>
      <c r="AA139" s="4">
        <f t="shared" si="158"/>
        <v>318299144.68919629</v>
      </c>
      <c r="AB139" s="4">
        <f t="shared" si="158"/>
        <v>345063375.28836048</v>
      </c>
      <c r="AC139" s="4">
        <f t="shared" si="158"/>
        <v>393271570.27691621</v>
      </c>
      <c r="AD139" s="4">
        <f t="shared" si="158"/>
        <v>433827636.43789667</v>
      </c>
      <c r="AE139" s="4">
        <f t="shared" si="158"/>
        <v>434107550.74835151</v>
      </c>
      <c r="AF139" s="4">
        <f t="shared" si="158"/>
        <v>379982480.752473</v>
      </c>
      <c r="AG139" s="4">
        <f t="shared" si="158"/>
        <v>402731756.06888831</v>
      </c>
      <c r="AH139" s="4">
        <f t="shared" si="158"/>
        <v>425790362.06342179</v>
      </c>
      <c r="AI139" s="4">
        <f t="shared" si="158"/>
        <v>462794470.27611709</v>
      </c>
      <c r="AJ139" s="4">
        <f t="shared" si="158"/>
        <v>471933314.66539657</v>
      </c>
      <c r="AK139" s="4">
        <f t="shared" si="158"/>
        <v>469186439.29817253</v>
      </c>
      <c r="AL139" s="4">
        <f t="shared" si="158"/>
        <v>446412442.02325743</v>
      </c>
      <c r="AM139" s="4">
        <f t="shared" si="158"/>
        <v>465694587.18556893</v>
      </c>
      <c r="AN139" s="4">
        <f t="shared" si="158"/>
        <v>482369494.83482754</v>
      </c>
      <c r="AO139" s="4">
        <f t="shared" si="158"/>
        <v>499812997.74749064</v>
      </c>
      <c r="AP139" s="4">
        <f t="shared" si="158"/>
        <v>522016844.46628493</v>
      </c>
      <c r="AQ139" s="4">
        <f t="shared" si="158"/>
        <v>561808379.76541758</v>
      </c>
      <c r="AR139" s="4"/>
      <c r="AS139" s="94"/>
      <c r="AT139" s="121">
        <f t="shared" si="153"/>
        <v>-1.5298652577316774E-2</v>
      </c>
      <c r="AU139" s="197"/>
      <c r="AV139" s="194"/>
      <c r="AW139" s="194"/>
      <c r="AX139" s="194"/>
      <c r="AY139" s="195"/>
      <c r="AZ139" s="196"/>
      <c r="BA139" s="195">
        <v>143619523.04200637</v>
      </c>
      <c r="BB139" s="195">
        <f t="shared" si="157"/>
        <v>-100440274.04200637</v>
      </c>
      <c r="BC139" s="195">
        <v>165126501.15137365</v>
      </c>
      <c r="BD139" s="195">
        <f t="shared" si="155"/>
        <v>-122066742.15137365</v>
      </c>
      <c r="BE139" s="195">
        <v>161089374.57035646</v>
      </c>
      <c r="BF139" s="195">
        <f t="shared" si="156"/>
        <v>-96833370.570356458</v>
      </c>
      <c r="BG139" s="195">
        <v>144098244.42470986</v>
      </c>
      <c r="BH139" s="205">
        <f>(BH138/BH135)-1</f>
        <v>0.17152416566070094</v>
      </c>
      <c r="BI139" s="3"/>
      <c r="BJ139" s="4">
        <v>285699486</v>
      </c>
      <c r="BK139" s="3">
        <f t="shared" si="151"/>
        <v>0</v>
      </c>
      <c r="BL139" s="3">
        <v>174135959.18314722</v>
      </c>
      <c r="BM139" s="177">
        <f t="shared" si="152"/>
        <v>13262448.871320397</v>
      </c>
      <c r="BN139" s="3"/>
      <c r="BP139" s="3"/>
      <c r="BQ139" s="3"/>
      <c r="BR139" s="203"/>
      <c r="BS139" s="203"/>
      <c r="BT139" s="3"/>
      <c r="BU139" s="3"/>
      <c r="BV139" s="3"/>
      <c r="BY139" s="3"/>
      <c r="BZ139" s="3"/>
      <c r="CA139" s="3"/>
      <c r="CB139" s="3"/>
      <c r="CC139" s="4"/>
      <c r="CD139" s="3"/>
      <c r="CE139" s="3"/>
      <c r="CF139" s="3"/>
      <c r="CG139" s="4"/>
      <c r="CH139" s="3"/>
      <c r="CI139" s="3"/>
      <c r="CJ139" s="3"/>
      <c r="CK139" s="3"/>
      <c r="CL139" s="3"/>
      <c r="CM139" s="3"/>
      <c r="CN139" s="3"/>
      <c r="CO139" s="3"/>
      <c r="CP139" s="3"/>
      <c r="CQ139" s="3"/>
      <c r="CR139" s="3"/>
      <c r="CS139" s="3"/>
      <c r="CT139" s="3"/>
      <c r="CU139" s="3"/>
      <c r="CV139" s="3"/>
      <c r="CW139" s="3"/>
      <c r="CX139" s="3"/>
      <c r="DD139" s="3"/>
      <c r="DE139" s="3"/>
      <c r="DF139" s="3"/>
      <c r="DG139" s="3"/>
      <c r="DH139" s="3"/>
      <c r="DI139" s="3"/>
      <c r="DJ139" s="3"/>
      <c r="DK139" s="3"/>
      <c r="DL139" s="4"/>
    </row>
    <row r="140" spans="1:116">
      <c r="A140" s="2" t="s">
        <v>50</v>
      </c>
      <c r="B140" s="3">
        <f t="shared" si="158"/>
        <v>0</v>
      </c>
      <c r="C140" s="3">
        <f t="shared" si="158"/>
        <v>7299417</v>
      </c>
      <c r="D140" s="3">
        <f t="shared" si="158"/>
        <v>4247553</v>
      </c>
      <c r="E140" s="3">
        <f t="shared" si="158"/>
        <v>8889819</v>
      </c>
      <c r="F140" s="3">
        <f t="shared" si="158"/>
        <v>1554513</v>
      </c>
      <c r="G140" s="3">
        <f t="shared" si="158"/>
        <v>14655372</v>
      </c>
      <c r="H140" s="3">
        <f t="shared" si="158"/>
        <v>24325149</v>
      </c>
      <c r="I140" s="3">
        <f t="shared" si="158"/>
        <v>24232162</v>
      </c>
      <c r="J140" s="3">
        <f t="shared" si="158"/>
        <v>13886150</v>
      </c>
      <c r="K140" s="3">
        <f t="shared" si="158"/>
        <v>26567329</v>
      </c>
      <c r="L140" s="3">
        <f t="shared" si="158"/>
        <v>40277987</v>
      </c>
      <c r="M140" s="3">
        <f t="shared" si="158"/>
        <v>74651823</v>
      </c>
      <c r="N140" s="3">
        <f t="shared" si="158"/>
        <v>114997212</v>
      </c>
      <c r="O140" s="3">
        <f t="shared" si="158"/>
        <v>228402500</v>
      </c>
      <c r="P140" s="3">
        <f t="shared" si="158"/>
        <v>251626126</v>
      </c>
      <c r="Q140" s="4">
        <f t="shared" si="158"/>
        <v>190065868.83781767</v>
      </c>
      <c r="R140" s="4">
        <f t="shared" si="158"/>
        <v>207747570.2872304</v>
      </c>
      <c r="S140" s="4">
        <f t="shared" si="158"/>
        <v>228538666.81966308</v>
      </c>
      <c r="T140" s="4">
        <f t="shared" si="158"/>
        <v>232746737.10908294</v>
      </c>
      <c r="U140" s="4">
        <f t="shared" si="158"/>
        <v>234120253.18709138</v>
      </c>
      <c r="V140" s="4">
        <f t="shared" si="158"/>
        <v>245138241.18560976</v>
      </c>
      <c r="W140" s="4">
        <f t="shared" si="158"/>
        <v>266144868.45443362</v>
      </c>
      <c r="X140" s="4">
        <f t="shared" si="158"/>
        <v>316107084.00492197</v>
      </c>
      <c r="Y140" s="4">
        <f t="shared" si="158"/>
        <v>314220751.60619235</v>
      </c>
      <c r="Z140" s="4">
        <f t="shared" si="158"/>
        <v>304745739.42761701</v>
      </c>
      <c r="AA140" s="4">
        <f t="shared" si="158"/>
        <v>322854175.46812975</v>
      </c>
      <c r="AB140" s="4">
        <f t="shared" si="158"/>
        <v>350001416.5031929</v>
      </c>
      <c r="AC140" s="4">
        <f t="shared" si="158"/>
        <v>398899496.51228207</v>
      </c>
      <c r="AD140" s="4">
        <f t="shared" si="158"/>
        <v>440035941.64291418</v>
      </c>
      <c r="AE140" s="4">
        <f t="shared" si="158"/>
        <v>440319861.67666698</v>
      </c>
      <c r="AF140" s="4">
        <f t="shared" si="158"/>
        <v>385420233.01842099</v>
      </c>
      <c r="AG140" s="4">
        <f t="shared" si="158"/>
        <v>408495062.61606413</v>
      </c>
      <c r="AH140" s="4">
        <f t="shared" si="158"/>
        <v>431883649.57905716</v>
      </c>
      <c r="AI140" s="4">
        <f t="shared" si="158"/>
        <v>469417306.34589767</v>
      </c>
      <c r="AJ140" s="4">
        <f t="shared" si="158"/>
        <v>478686932.47987109</v>
      </c>
      <c r="AK140" s="4">
        <f t="shared" si="158"/>
        <v>475900747.8589077</v>
      </c>
      <c r="AL140" s="4">
        <f t="shared" si="158"/>
        <v>452800842.51833361</v>
      </c>
      <c r="AM140" s="4">
        <f t="shared" si="158"/>
        <v>472358925.47741157</v>
      </c>
      <c r="AN140" s="4">
        <f t="shared" si="158"/>
        <v>489272459.9619776</v>
      </c>
      <c r="AO140" s="4">
        <f t="shared" si="158"/>
        <v>506965588.71871006</v>
      </c>
      <c r="AP140" s="4">
        <f t="shared" si="158"/>
        <v>529487184.34416127</v>
      </c>
      <c r="AQ140" s="4">
        <f t="shared" si="158"/>
        <v>569848157.7536304</v>
      </c>
      <c r="AR140" s="4"/>
      <c r="AS140" s="94"/>
      <c r="AT140" s="121">
        <f t="shared" si="153"/>
        <v>1.4234169921949036E-2</v>
      </c>
      <c r="AU140" s="197"/>
      <c r="AV140" s="194"/>
      <c r="AW140" s="194"/>
      <c r="AX140" s="194"/>
      <c r="AY140" s="195"/>
      <c r="AZ140" s="196"/>
      <c r="BA140" s="195">
        <v>179278729.11455953</v>
      </c>
      <c r="BB140" s="195">
        <f t="shared" si="157"/>
        <v>-152711400.11455953</v>
      </c>
      <c r="BC140" s="195">
        <v>168020270.68833292</v>
      </c>
      <c r="BD140" s="195">
        <f t="shared" si="155"/>
        <v>-127742283.68833292</v>
      </c>
      <c r="BE140" s="195">
        <v>155942954.667191</v>
      </c>
      <c r="BF140" s="195">
        <f t="shared" si="156"/>
        <v>-81291131.667190999</v>
      </c>
      <c r="BG140" s="195">
        <v>141572065.80553842</v>
      </c>
      <c r="BH140" s="195"/>
      <c r="BI140" s="3"/>
      <c r="BJ140" s="4">
        <v>271962903.48848248</v>
      </c>
      <c r="BK140" s="3">
        <f t="shared" si="151"/>
        <v>-20336777.488482475</v>
      </c>
      <c r="BL140" s="3">
        <v>176627937.77320233</v>
      </c>
      <c r="BM140" s="177">
        <f t="shared" si="152"/>
        <v>13437931.064615339</v>
      </c>
      <c r="BN140" s="3"/>
      <c r="BP140" s="3"/>
      <c r="BQ140" s="4"/>
      <c r="BR140" s="203"/>
      <c r="BS140" s="203"/>
      <c r="BT140" s="3"/>
      <c r="BU140" s="3"/>
      <c r="BV140" s="3"/>
      <c r="BY140" s="3"/>
      <c r="BZ140" s="3"/>
      <c r="CA140" s="3"/>
      <c r="CB140" s="3"/>
      <c r="CC140" s="4"/>
      <c r="CD140" s="3"/>
      <c r="CE140" s="3"/>
      <c r="CF140" s="3"/>
      <c r="CG140" s="4"/>
      <c r="CH140" s="3"/>
      <c r="CI140" s="3"/>
      <c r="CJ140" s="3"/>
      <c r="CK140" s="3"/>
      <c r="CL140" s="3"/>
      <c r="CM140" s="3"/>
      <c r="CN140" s="3"/>
      <c r="CO140" s="3"/>
      <c r="CP140" s="3"/>
      <c r="CQ140" s="3"/>
      <c r="CR140" s="3"/>
      <c r="CS140" s="3"/>
      <c r="CT140" s="3"/>
      <c r="CU140" s="3"/>
      <c r="CV140" s="3"/>
      <c r="CW140" s="3"/>
      <c r="CX140" s="3"/>
      <c r="DD140" s="3"/>
      <c r="DE140" s="3"/>
      <c r="DF140" s="3"/>
      <c r="DG140" s="3"/>
      <c r="DH140" s="3"/>
      <c r="DI140" s="3"/>
      <c r="DJ140" s="3"/>
      <c r="DK140" s="3"/>
      <c r="DL140" s="4"/>
    </row>
    <row r="141" spans="1:116">
      <c r="A141" s="2" t="s">
        <v>51</v>
      </c>
      <c r="B141" s="3">
        <f t="shared" si="158"/>
        <v>0</v>
      </c>
      <c r="C141" s="3">
        <f t="shared" si="158"/>
        <v>4009508</v>
      </c>
      <c r="D141" s="3">
        <f t="shared" si="158"/>
        <v>2698792</v>
      </c>
      <c r="E141" s="3">
        <f t="shared" si="158"/>
        <v>9767985</v>
      </c>
      <c r="F141" s="3">
        <f t="shared" si="158"/>
        <v>5323420</v>
      </c>
      <c r="G141" s="3">
        <f t="shared" si="158"/>
        <v>13475904</v>
      </c>
      <c r="H141" s="3">
        <f t="shared" si="158"/>
        <v>18860534</v>
      </c>
      <c r="I141" s="3">
        <f t="shared" si="158"/>
        <v>21583936</v>
      </c>
      <c r="J141" s="3">
        <f t="shared" si="158"/>
        <v>28618283</v>
      </c>
      <c r="K141" s="3">
        <f t="shared" si="158"/>
        <v>37653169</v>
      </c>
      <c r="L141" s="3">
        <f t="shared" si="158"/>
        <v>44831236</v>
      </c>
      <c r="M141" s="3">
        <f t="shared" si="158"/>
        <v>49922849</v>
      </c>
      <c r="N141" s="3">
        <f t="shared" si="158"/>
        <v>118717748</v>
      </c>
      <c r="O141" s="3">
        <f t="shared" si="158"/>
        <v>226606008</v>
      </c>
      <c r="P141" s="3">
        <f t="shared" si="158"/>
        <v>251116801</v>
      </c>
      <c r="Q141" s="4">
        <f t="shared" si="158"/>
        <v>193511743.0486123</v>
      </c>
      <c r="R141" s="4">
        <f t="shared" si="158"/>
        <v>211533933.20513019</v>
      </c>
      <c r="S141" s="4">
        <f t="shared" si="158"/>
        <v>232703963.82966334</v>
      </c>
      <c r="T141" s="4">
        <f t="shared" si="158"/>
        <v>236988729.51088852</v>
      </c>
      <c r="U141" s="4">
        <f t="shared" si="158"/>
        <v>238387279.00005898</v>
      </c>
      <c r="V141" s="4">
        <f t="shared" si="158"/>
        <v>249606078.49846527</v>
      </c>
      <c r="W141" s="4">
        <f t="shared" si="158"/>
        <v>270995568.07663333</v>
      </c>
      <c r="X141" s="4">
        <f t="shared" si="158"/>
        <v>321868384.31426781</v>
      </c>
      <c r="Y141" s="4">
        <f t="shared" si="158"/>
        <v>319947672.02346283</v>
      </c>
      <c r="Z141" s="4">
        <f t="shared" si="158"/>
        <v>310299970.29328412</v>
      </c>
      <c r="AA141" s="4">
        <f t="shared" si="158"/>
        <v>328738446.82779711</v>
      </c>
      <c r="AB141" s="4">
        <f t="shared" si="158"/>
        <v>356380467.68934071</v>
      </c>
      <c r="AC141" s="4">
        <f t="shared" si="158"/>
        <v>406169753.67810476</v>
      </c>
      <c r="AD141" s="4">
        <f t="shared" si="158"/>
        <v>448055942.8861357</v>
      </c>
      <c r="AE141" s="4">
        <f t="shared" si="158"/>
        <v>448345037.5858832</v>
      </c>
      <c r="AF141" s="4">
        <f t="shared" si="158"/>
        <v>392444820.00199711</v>
      </c>
      <c r="AG141" s="4">
        <f t="shared" si="158"/>
        <v>415940206.52362531</v>
      </c>
      <c r="AH141" s="4">
        <f t="shared" si="158"/>
        <v>439755068.8854416</v>
      </c>
      <c r="AI141" s="4">
        <f t="shared" si="158"/>
        <v>477972806.07718748</v>
      </c>
      <c r="AJ141" s="4">
        <f t="shared" si="158"/>
        <v>487411378.44051003</v>
      </c>
      <c r="AK141" s="4">
        <f t="shared" si="158"/>
        <v>484574413.412745</v>
      </c>
      <c r="AL141" s="4">
        <f t="shared" si="158"/>
        <v>461053494.12304205</v>
      </c>
      <c r="AM141" s="4">
        <f t="shared" si="158"/>
        <v>480968038.53174889</v>
      </c>
      <c r="AN141" s="4">
        <f t="shared" si="158"/>
        <v>498189835.48934621</v>
      </c>
      <c r="AO141" s="4">
        <f t="shared" si="158"/>
        <v>516205435.43808097</v>
      </c>
      <c r="AP141" s="4">
        <f t="shared" si="158"/>
        <v>539137504.86310661</v>
      </c>
      <c r="AQ141" s="4">
        <f t="shared" si="158"/>
        <v>580234088.74951315</v>
      </c>
      <c r="AR141" s="4"/>
      <c r="AS141" s="94"/>
      <c r="AT141" s="121">
        <f t="shared" si="153"/>
        <v>1.8129894819437498E-2</v>
      </c>
      <c r="AU141" s="197"/>
      <c r="AV141" s="194"/>
      <c r="AW141" s="194"/>
      <c r="AX141" s="194"/>
      <c r="AY141" s="195"/>
      <c r="AZ141" s="196"/>
      <c r="BA141" s="195">
        <v>141119976.66064993</v>
      </c>
      <c r="BB141" s="195">
        <f t="shared" si="157"/>
        <v>-103466807.66064993</v>
      </c>
      <c r="BC141" s="195">
        <v>159933651.26960924</v>
      </c>
      <c r="BD141" s="195">
        <f t="shared" si="155"/>
        <v>-115102415.26960924</v>
      </c>
      <c r="BE141" s="195">
        <v>151331868.28440863</v>
      </c>
      <c r="BF141" s="195">
        <f t="shared" si="156"/>
        <v>-101409019.28440863</v>
      </c>
      <c r="BG141" s="195">
        <v>140040273.96936029</v>
      </c>
      <c r="BH141" s="194">
        <f>SUM(P139:P141)</f>
        <v>788442413</v>
      </c>
      <c r="BI141" s="3"/>
      <c r="BJ141" s="4">
        <v>271172513.06192476</v>
      </c>
      <c r="BK141" s="3">
        <f t="shared" si="151"/>
        <v>-20055712.061924756</v>
      </c>
      <c r="BL141" s="3">
        <v>179847120.90456179</v>
      </c>
      <c r="BM141" s="177">
        <f t="shared" si="152"/>
        <v>13664622.144050509</v>
      </c>
      <c r="BN141" s="3"/>
      <c r="BP141" s="3"/>
      <c r="BQ141" s="4"/>
      <c r="BR141" s="203"/>
      <c r="BS141" s="203"/>
      <c r="BT141" s="3"/>
      <c r="BU141" s="3"/>
      <c r="BV141" s="3"/>
      <c r="BY141" s="3"/>
      <c r="BZ141" s="3"/>
      <c r="CA141" s="3"/>
      <c r="CB141" s="3"/>
      <c r="CC141" s="4"/>
      <c r="CD141" s="3"/>
      <c r="CE141" s="3"/>
      <c r="CF141" s="4"/>
      <c r="CG141" s="4"/>
      <c r="CH141" s="3"/>
      <c r="CI141" s="3"/>
      <c r="CJ141" s="3"/>
      <c r="CK141" s="3"/>
      <c r="CL141" s="3"/>
      <c r="CM141" s="3"/>
      <c r="CN141" s="3"/>
      <c r="CO141" s="3"/>
      <c r="CP141" s="3"/>
      <c r="CQ141" s="3"/>
      <c r="CR141" s="3"/>
      <c r="CS141" s="3"/>
      <c r="CT141" s="3"/>
      <c r="CU141" s="3"/>
      <c r="CV141" s="3"/>
      <c r="CW141" s="3"/>
      <c r="CX141" s="3"/>
      <c r="DD141" s="3"/>
      <c r="DE141" s="3"/>
      <c r="DF141" s="3"/>
      <c r="DG141" s="3"/>
      <c r="DH141" s="3"/>
      <c r="DI141" s="3"/>
      <c r="DJ141" s="3"/>
      <c r="DK141" s="3"/>
      <c r="DL141" s="4"/>
    </row>
    <row r="142" spans="1:116">
      <c r="A142" s="2" t="s">
        <v>52</v>
      </c>
      <c r="B142" s="3">
        <f t="shared" si="158"/>
        <v>0</v>
      </c>
      <c r="C142" s="3">
        <f t="shared" si="158"/>
        <v>5768104</v>
      </c>
      <c r="D142" s="3">
        <f t="shared" si="158"/>
        <v>2734414</v>
      </c>
      <c r="E142" s="3">
        <f t="shared" si="158"/>
        <v>11053064</v>
      </c>
      <c r="F142" s="3">
        <f t="shared" si="158"/>
        <v>13879279</v>
      </c>
      <c r="G142" s="3">
        <f t="shared" si="158"/>
        <v>13037453</v>
      </c>
      <c r="H142" s="3">
        <f t="shared" si="158"/>
        <v>20108545</v>
      </c>
      <c r="I142" s="3">
        <f t="shared" si="158"/>
        <v>25021680</v>
      </c>
      <c r="J142" s="3">
        <f t="shared" si="158"/>
        <v>35905766</v>
      </c>
      <c r="K142" s="3">
        <f>K158+K174+K190</f>
        <v>46592429</v>
      </c>
      <c r="L142" s="3">
        <f t="shared" si="158"/>
        <v>20889246</v>
      </c>
      <c r="M142" s="3">
        <f t="shared" si="158"/>
        <v>72254487</v>
      </c>
      <c r="N142" s="3">
        <f t="shared" si="158"/>
        <v>107988833</v>
      </c>
      <c r="O142" s="3">
        <f t="shared" si="158"/>
        <v>207126963</v>
      </c>
      <c r="P142" s="3">
        <f t="shared" si="158"/>
        <v>284446069</v>
      </c>
      <c r="Q142" s="4">
        <f t="shared" si="158"/>
        <v>211544890.34916314</v>
      </c>
      <c r="R142" s="4">
        <f t="shared" si="158"/>
        <v>232447756.1543175</v>
      </c>
      <c r="S142" s="4">
        <f t="shared" si="158"/>
        <v>255710813.96178031</v>
      </c>
      <c r="T142" s="4">
        <f t="shared" si="158"/>
        <v>260419203.54806</v>
      </c>
      <c r="U142" s="4">
        <f t="shared" si="158"/>
        <v>261956024.07469007</v>
      </c>
      <c r="V142" s="4">
        <f t="shared" si="158"/>
        <v>274283997.79804009</v>
      </c>
      <c r="W142" s="4">
        <f t="shared" si="158"/>
        <v>297788211.90873742</v>
      </c>
      <c r="X142" s="4">
        <f t="shared" si="158"/>
        <v>353690694.33561963</v>
      </c>
      <c r="Y142" s="4">
        <f t="shared" si="158"/>
        <v>351580086.09678602</v>
      </c>
      <c r="Z142" s="4">
        <f t="shared" si="158"/>
        <v>340978540.58942062</v>
      </c>
      <c r="AA142" s="4">
        <f t="shared" si="158"/>
        <v>361239982.48865175</v>
      </c>
      <c r="AB142" s="4">
        <f t="shared" si="158"/>
        <v>391614899.77724504</v>
      </c>
      <c r="AC142" s="4">
        <f t="shared" si="158"/>
        <v>446326726.07033795</v>
      </c>
      <c r="AD142" s="4">
        <f t="shared" si="158"/>
        <v>492354096.46778798</v>
      </c>
      <c r="AE142" s="4">
        <f t="shared" si="158"/>
        <v>492671773.22656715</v>
      </c>
      <c r="AF142" s="4">
        <f t="shared" si="158"/>
        <v>431244843.0455265</v>
      </c>
      <c r="AG142" s="4">
        <f t="shared" si="158"/>
        <v>457063158.7841875</v>
      </c>
      <c r="AH142" s="4">
        <f t="shared" si="158"/>
        <v>483232536.12829411</v>
      </c>
      <c r="AI142" s="4">
        <f t="shared" si="158"/>
        <v>525228763.97180539</v>
      </c>
      <c r="AJ142" s="4">
        <f t="shared" si="158"/>
        <v>535600504.02273577</v>
      </c>
      <c r="AK142" s="4">
        <f t="shared" si="158"/>
        <v>532483055.4649539</v>
      </c>
      <c r="AL142" s="4">
        <f t="shared" si="158"/>
        <v>506636682.59825939</v>
      </c>
      <c r="AM142" s="4">
        <f t="shared" si="158"/>
        <v>528520127.45507324</v>
      </c>
      <c r="AN142" s="4">
        <f t="shared" si="158"/>
        <v>547444599.75643575</v>
      </c>
      <c r="AO142" s="4">
        <f t="shared" si="158"/>
        <v>567241356.33542073</v>
      </c>
      <c r="AP142" s="4">
        <f t="shared" si="158"/>
        <v>592440661.2462461</v>
      </c>
      <c r="AQ142" s="4">
        <f t="shared" si="158"/>
        <v>637600359.94964731</v>
      </c>
      <c r="AR142" s="4"/>
      <c r="AS142" s="94"/>
      <c r="AT142" s="121">
        <f t="shared" si="153"/>
        <v>9.3188904282778928E-2</v>
      </c>
      <c r="AU142" s="197"/>
      <c r="AV142" s="194"/>
      <c r="AW142" s="194"/>
      <c r="AX142" s="194"/>
      <c r="AY142" s="195"/>
      <c r="AZ142" s="196"/>
      <c r="BA142" s="195">
        <v>152816519.91490614</v>
      </c>
      <c r="BB142" s="195">
        <f t="shared" si="157"/>
        <v>-106224090.91490614</v>
      </c>
      <c r="BC142" s="195">
        <v>173289693.89777201</v>
      </c>
      <c r="BD142" s="195">
        <f t="shared" si="155"/>
        <v>-152400447.89777201</v>
      </c>
      <c r="BE142" s="195">
        <v>149277371.44355991</v>
      </c>
      <c r="BF142" s="195">
        <f t="shared" si="156"/>
        <v>-77022884.443559915</v>
      </c>
      <c r="BG142" s="195">
        <v>137891779.86776355</v>
      </c>
      <c r="BH142" s="205">
        <f>(BH141/BH138)-1</f>
        <v>1.8008492391325959E-2</v>
      </c>
      <c r="BI142" s="3"/>
      <c r="BJ142" s="4">
        <v>279802726.99033129</v>
      </c>
      <c r="BK142" s="3">
        <f t="shared" si="151"/>
        <v>4643342.0096687078</v>
      </c>
      <c r="BL142" s="3">
        <v>197628149.16574231</v>
      </c>
      <c r="BM142" s="177">
        <f t="shared" si="152"/>
        <v>13916741.183420837</v>
      </c>
      <c r="BN142" s="3"/>
      <c r="BP142" s="3"/>
      <c r="BQ142" s="4"/>
      <c r="BR142" s="203"/>
      <c r="BS142" s="203"/>
      <c r="BT142" s="3"/>
      <c r="BU142" s="3"/>
      <c r="BV142" s="3"/>
      <c r="BY142" s="3"/>
      <c r="BZ142" s="3"/>
      <c r="CA142" s="3"/>
      <c r="CB142" s="3"/>
      <c r="CC142" s="4"/>
      <c r="CD142" s="3"/>
      <c r="CE142" s="3"/>
      <c r="CF142" s="4"/>
      <c r="CG142" s="4"/>
      <c r="CH142" s="3"/>
      <c r="CI142" s="3"/>
      <c r="CJ142" s="3"/>
      <c r="CK142" s="3"/>
      <c r="CL142" s="3"/>
      <c r="CM142" s="3"/>
      <c r="CN142" s="3"/>
      <c r="CO142" s="3"/>
      <c r="CP142" s="3"/>
      <c r="CQ142" s="3"/>
      <c r="CR142" s="3"/>
      <c r="CS142" s="3"/>
      <c r="CT142" s="3"/>
      <c r="CU142" s="3"/>
      <c r="CV142" s="3"/>
      <c r="CW142" s="3"/>
      <c r="CX142" s="3"/>
      <c r="DD142" s="3"/>
      <c r="DE142" s="3"/>
      <c r="DF142" s="3"/>
      <c r="DG142" s="3"/>
      <c r="DH142" s="3"/>
      <c r="DI142" s="3"/>
      <c r="DJ142" s="3"/>
      <c r="DK142" s="3"/>
      <c r="DL142" s="4"/>
    </row>
    <row r="143" spans="1:116">
      <c r="A143" s="2" t="s">
        <v>53</v>
      </c>
      <c r="B143" s="3">
        <f t="shared" si="158"/>
        <v>349738</v>
      </c>
      <c r="C143" s="3">
        <f t="shared" si="158"/>
        <v>3700399</v>
      </c>
      <c r="D143" s="3">
        <f t="shared" si="158"/>
        <v>3675591</v>
      </c>
      <c r="E143" s="3">
        <f t="shared" si="158"/>
        <v>11258442</v>
      </c>
      <c r="F143" s="3">
        <f t="shared" si="158"/>
        <v>15943396</v>
      </c>
      <c r="G143" s="3">
        <f t="shared" si="158"/>
        <v>12344252</v>
      </c>
      <c r="H143" s="3">
        <f t="shared" si="158"/>
        <v>26977711</v>
      </c>
      <c r="I143" s="3">
        <f t="shared" si="158"/>
        <v>22579304</v>
      </c>
      <c r="J143" s="3">
        <f>J159+J175+J191</f>
        <v>36871698</v>
      </c>
      <c r="K143" s="3">
        <f>K159+K175+K191</f>
        <v>40119894</v>
      </c>
      <c r="L143" s="3">
        <f t="shared" si="158"/>
        <v>43128210</v>
      </c>
      <c r="M143" s="3">
        <f t="shared" si="158"/>
        <v>101107386</v>
      </c>
      <c r="N143" s="3">
        <f t="shared" si="158"/>
        <v>163685380</v>
      </c>
      <c r="O143" s="3">
        <f t="shared" si="158"/>
        <v>201017950</v>
      </c>
      <c r="P143" s="3">
        <f t="shared" si="158"/>
        <v>254007376</v>
      </c>
      <c r="Q143" s="4">
        <f t="shared" si="158"/>
        <v>229022357.08691242</v>
      </c>
      <c r="R143" s="4">
        <f t="shared" si="158"/>
        <v>282418876.1436699</v>
      </c>
      <c r="S143" s="4">
        <f t="shared" si="158"/>
        <v>310682976.21649331</v>
      </c>
      <c r="T143" s="4">
        <f t="shared" si="158"/>
        <v>316403565.29596317</v>
      </c>
      <c r="U143" s="4">
        <f t="shared" si="158"/>
        <v>318270768.20274127</v>
      </c>
      <c r="V143" s="4">
        <f t="shared" si="158"/>
        <v>333248983.27213436</v>
      </c>
      <c r="W143" s="4">
        <f t="shared" si="158"/>
        <v>361806082.91295201</v>
      </c>
      <c r="X143" s="4">
        <f t="shared" si="158"/>
        <v>429726361.09434277</v>
      </c>
      <c r="Y143" s="4">
        <f t="shared" si="158"/>
        <v>427162018.82383597</v>
      </c>
      <c r="Z143" s="4">
        <f t="shared" si="158"/>
        <v>414281375.80490148</v>
      </c>
      <c r="AA143" s="4">
        <f t="shared" si="158"/>
        <v>438898579.02037263</v>
      </c>
      <c r="AB143" s="4">
        <f t="shared" si="158"/>
        <v>475803430.86977649</v>
      </c>
      <c r="AC143" s="4">
        <f t="shared" si="158"/>
        <v>542277088.21583819</v>
      </c>
      <c r="AD143" s="4">
        <f t="shared" si="158"/>
        <v>598199323.96702552</v>
      </c>
      <c r="AE143" s="4">
        <f t="shared" si="158"/>
        <v>598585294.19395173</v>
      </c>
      <c r="AF143" s="4">
        <f t="shared" si="158"/>
        <v>523952934.33082581</v>
      </c>
      <c r="AG143" s="4">
        <f t="shared" si="158"/>
        <v>555321616.20355725</v>
      </c>
      <c r="AH143" s="4">
        <f t="shared" si="158"/>
        <v>587116830.15260339</v>
      </c>
      <c r="AI143" s="4">
        <f t="shared" si="158"/>
        <v>638141316.9708972</v>
      </c>
      <c r="AJ143" s="4">
        <f t="shared" si="158"/>
        <v>650742751.44933295</v>
      </c>
      <c r="AK143" s="4">
        <f t="shared" si="158"/>
        <v>646955120.48790538</v>
      </c>
      <c r="AL143" s="4">
        <f t="shared" si="158"/>
        <v>615552349.82594168</v>
      </c>
      <c r="AM143" s="4">
        <f t="shared" si="158"/>
        <v>642140250.71542311</v>
      </c>
      <c r="AN143" s="4">
        <f t="shared" si="158"/>
        <v>665133065.47683811</v>
      </c>
      <c r="AO143" s="4">
        <f t="shared" si="158"/>
        <v>689185686.3187232</v>
      </c>
      <c r="AP143" s="4">
        <f t="shared" si="158"/>
        <v>719802283.74370444</v>
      </c>
      <c r="AQ143" s="4">
        <f t="shared" si="158"/>
        <v>774670317.38633978</v>
      </c>
      <c r="AR143" s="4"/>
      <c r="AS143" s="94"/>
      <c r="AT143" s="121">
        <f t="shared" si="153"/>
        <v>8.2618241021572558E-2</v>
      </c>
      <c r="AU143" s="197"/>
      <c r="AV143" s="194"/>
      <c r="AW143" s="194"/>
      <c r="AX143" s="194"/>
      <c r="AY143" s="195"/>
      <c r="AZ143" s="196"/>
      <c r="BA143" s="195">
        <v>130353452.30666322</v>
      </c>
      <c r="BB143" s="195">
        <f t="shared" si="157"/>
        <v>-90233558.306663215</v>
      </c>
      <c r="BC143" s="195">
        <v>133413302.04905352</v>
      </c>
      <c r="BD143" s="195">
        <f t="shared" si="155"/>
        <v>-90285092.04905352</v>
      </c>
      <c r="BE143" s="195">
        <v>141356362.87740099</v>
      </c>
      <c r="BF143" s="195">
        <f t="shared" si="156"/>
        <v>-40248976.877400994</v>
      </c>
      <c r="BG143" s="195">
        <v>142499844.22919351</v>
      </c>
      <c r="BH143" s="195"/>
      <c r="BI143" s="3"/>
      <c r="BJ143" s="4">
        <v>274071052.70247436</v>
      </c>
      <c r="BK143" s="3">
        <f t="shared" si="151"/>
        <v>-20063676.702474356</v>
      </c>
      <c r="BL143" s="3">
        <v>240113824.7369819</v>
      </c>
      <c r="BM143" s="177">
        <f t="shared" si="152"/>
        <v>-11091467.650069475</v>
      </c>
      <c r="BN143" s="3"/>
      <c r="BP143" s="3"/>
      <c r="BQ143" s="4"/>
      <c r="BR143" s="203"/>
      <c r="BS143" s="203"/>
      <c r="BT143" s="3"/>
      <c r="BU143" s="3"/>
      <c r="BV143" s="3"/>
      <c r="BY143" s="3"/>
      <c r="BZ143" s="3"/>
      <c r="CA143" s="3"/>
      <c r="CB143" s="3"/>
      <c r="CC143" s="4"/>
      <c r="CD143" s="3"/>
      <c r="CE143" s="3"/>
      <c r="CF143" s="4"/>
      <c r="CG143" s="4"/>
      <c r="CH143" s="3"/>
      <c r="CI143" s="3"/>
      <c r="CJ143" s="3"/>
      <c r="CK143" s="3"/>
      <c r="CL143" s="3"/>
      <c r="CM143" s="3"/>
      <c r="CN143" s="3"/>
      <c r="CO143" s="3"/>
      <c r="CP143" s="3"/>
      <c r="CQ143" s="3"/>
      <c r="CR143" s="3"/>
      <c r="CS143" s="3"/>
      <c r="CT143" s="3"/>
      <c r="CU143" s="3"/>
      <c r="CV143" s="3"/>
      <c r="CW143" s="3"/>
      <c r="CX143" s="3"/>
      <c r="DD143" s="3"/>
      <c r="DE143" s="3"/>
      <c r="DF143" s="3"/>
      <c r="DG143" s="3"/>
      <c r="DH143" s="3"/>
      <c r="DI143" s="3"/>
      <c r="DJ143" s="3"/>
      <c r="DK143" s="3"/>
      <c r="DL143" s="4"/>
    </row>
    <row r="144" spans="1:116">
      <c r="A144" s="2" t="s">
        <v>54</v>
      </c>
      <c r="B144" s="3">
        <f t="shared" si="158"/>
        <v>609819</v>
      </c>
      <c r="C144" s="3">
        <f t="shared" si="158"/>
        <v>5536882</v>
      </c>
      <c r="D144" s="3">
        <f t="shared" si="158"/>
        <v>1617101</v>
      </c>
      <c r="E144" s="3">
        <f t="shared" si="158"/>
        <v>13328506</v>
      </c>
      <c r="F144" s="3">
        <f t="shared" si="158"/>
        <v>22040473</v>
      </c>
      <c r="G144" s="3">
        <f t="shared" si="158"/>
        <v>13021687</v>
      </c>
      <c r="H144" s="3">
        <f t="shared" si="158"/>
        <v>26878185</v>
      </c>
      <c r="I144" s="3">
        <f t="shared" si="158"/>
        <v>24979072</v>
      </c>
      <c r="J144" s="3">
        <f>J160+J176+J192</f>
        <v>44959932</v>
      </c>
      <c r="K144" s="3">
        <f>K160+K176+K192</f>
        <v>49773555</v>
      </c>
      <c r="L144" s="3">
        <f t="shared" si="158"/>
        <v>49704530</v>
      </c>
      <c r="M144" s="3">
        <f t="shared" si="158"/>
        <v>107217732</v>
      </c>
      <c r="N144" s="3">
        <f t="shared" si="158"/>
        <v>144586770</v>
      </c>
      <c r="O144" s="3">
        <f t="shared" si="158"/>
        <v>271248613</v>
      </c>
      <c r="P144" s="3">
        <f t="shared" si="158"/>
        <v>307690828</v>
      </c>
      <c r="Q144" s="4">
        <f t="shared" si="158"/>
        <v>279923412.01707482</v>
      </c>
      <c r="R144" s="4">
        <f t="shared" si="158"/>
        <v>320452443.0538559</v>
      </c>
      <c r="S144" s="4">
        <f t="shared" si="158"/>
        <v>352522891.1865344</v>
      </c>
      <c r="T144" s="4">
        <f t="shared" si="158"/>
        <v>359013876.38998365</v>
      </c>
      <c r="U144" s="4">
        <f t="shared" si="158"/>
        <v>361132536.94598007</v>
      </c>
      <c r="V144" s="4">
        <f t="shared" si="158"/>
        <v>378127879.74003363</v>
      </c>
      <c r="W144" s="4">
        <f t="shared" si="158"/>
        <v>410530785.91751242</v>
      </c>
      <c r="X144" s="4">
        <f t="shared" si="158"/>
        <v>487597940.11527967</v>
      </c>
      <c r="Y144" s="4">
        <f t="shared" si="158"/>
        <v>484688255.90213108</v>
      </c>
      <c r="Z144" s="4">
        <f t="shared" si="158"/>
        <v>470072966.79722595</v>
      </c>
      <c r="AA144" s="4">
        <f t="shared" si="158"/>
        <v>498005387.67244387</v>
      </c>
      <c r="AB144" s="4">
        <f t="shared" si="158"/>
        <v>539880244.25839615</v>
      </c>
      <c r="AC144" s="4">
        <f t="shared" si="158"/>
        <v>615305960.08212948</v>
      </c>
      <c r="AD144" s="4">
        <f t="shared" si="158"/>
        <v>678759286.26272488</v>
      </c>
      <c r="AE144" s="4">
        <f t="shared" si="158"/>
        <v>679197235.39648533</v>
      </c>
      <c r="AF144" s="4">
        <f t="shared" si="158"/>
        <v>594514078.32292271</v>
      </c>
      <c r="AG144" s="4">
        <f t="shared" si="158"/>
        <v>630107204.6704073</v>
      </c>
      <c r="AH144" s="4">
        <f t="shared" si="158"/>
        <v>666184304.49644184</v>
      </c>
      <c r="AI144" s="4">
        <f t="shared" si="158"/>
        <v>724080298.13453579</v>
      </c>
      <c r="AJ144" s="4">
        <f t="shared" si="158"/>
        <v>738378777.47039795</v>
      </c>
      <c r="AK144" s="4">
        <f t="shared" si="158"/>
        <v>734081063.3390007</v>
      </c>
      <c r="AL144" s="4">
        <f t="shared" si="158"/>
        <v>698449257.43886375</v>
      </c>
      <c r="AM144" s="4">
        <f t="shared" si="158"/>
        <v>728617771.35708332</v>
      </c>
      <c r="AN144" s="4">
        <f t="shared" si="158"/>
        <v>754707046.13782406</v>
      </c>
      <c r="AO144" s="4">
        <f t="shared" si="158"/>
        <v>781998851.89768124</v>
      </c>
      <c r="AP144" s="4">
        <f t="shared" si="158"/>
        <v>816738610.00733471</v>
      </c>
      <c r="AQ144" s="4">
        <f t="shared" si="158"/>
        <v>878995763.73726463</v>
      </c>
      <c r="AR144" s="4"/>
      <c r="AS144" s="94"/>
      <c r="AT144" s="121">
        <f t="shared" si="153"/>
        <v>0.22225365059379687</v>
      </c>
      <c r="AU144" s="197"/>
      <c r="AV144" s="194"/>
      <c r="AW144" s="194"/>
      <c r="AX144" s="194"/>
      <c r="AY144" s="195"/>
      <c r="AZ144" s="196"/>
      <c r="BA144" s="195">
        <v>169422997</v>
      </c>
      <c r="BB144" s="195">
        <f t="shared" si="157"/>
        <v>-119649442</v>
      </c>
      <c r="BC144" s="195">
        <v>167631897</v>
      </c>
      <c r="BD144" s="195">
        <f t="shared" si="155"/>
        <v>-117927367</v>
      </c>
      <c r="BE144" s="195">
        <v>179824533</v>
      </c>
      <c r="BF144" s="195">
        <f t="shared" si="156"/>
        <v>-72606801</v>
      </c>
      <c r="BG144" s="195">
        <v>179383712.03590918</v>
      </c>
      <c r="BH144" s="194">
        <f>SUM(P142:P144)</f>
        <v>846144273</v>
      </c>
      <c r="BI144" s="3"/>
      <c r="BJ144" s="4">
        <v>265262563.45519733</v>
      </c>
      <c r="BK144" s="3">
        <f t="shared" si="151"/>
        <v>42428264.544802666</v>
      </c>
      <c r="BL144" s="3">
        <v>235817486.99320722</v>
      </c>
      <c r="BM144" s="177">
        <f t="shared" si="152"/>
        <v>44105925.023867607</v>
      </c>
      <c r="BN144" s="3"/>
      <c r="BP144" s="3"/>
      <c r="BQ144" s="4"/>
      <c r="BR144" s="203"/>
      <c r="BS144" s="203"/>
      <c r="BT144" s="3"/>
      <c r="BU144" s="3"/>
      <c r="BV144" s="3"/>
      <c r="BY144" s="3"/>
      <c r="BZ144" s="3"/>
      <c r="CA144" s="3"/>
      <c r="CB144" s="3"/>
      <c r="CC144" s="4"/>
      <c r="CD144" s="3"/>
      <c r="CE144" s="3"/>
      <c r="CF144" s="4"/>
      <c r="CG144" s="4"/>
      <c r="CH144" s="3"/>
      <c r="CI144" s="3"/>
      <c r="CJ144" s="3"/>
      <c r="CK144" s="3"/>
      <c r="CL144" s="3"/>
      <c r="CM144" s="3"/>
      <c r="CN144" s="3"/>
      <c r="CO144" s="3"/>
      <c r="CP144" s="3"/>
      <c r="CQ144" s="3"/>
      <c r="CR144" s="3"/>
      <c r="CS144" s="3"/>
      <c r="CT144" s="3"/>
      <c r="CU144" s="3"/>
      <c r="CV144" s="3"/>
      <c r="CW144" s="3"/>
      <c r="CX144" s="3"/>
      <c r="DD144" s="3"/>
      <c r="DE144" s="3"/>
      <c r="DF144" s="3"/>
      <c r="DG144" s="3"/>
      <c r="DH144" s="3"/>
      <c r="DI144" s="3"/>
      <c r="DJ144" s="3"/>
      <c r="DK144" s="3"/>
      <c r="DL144" s="4"/>
    </row>
    <row r="145" spans="1:94" ht="13.5" thickBot="1">
      <c r="A145" s="2" t="s">
        <v>29</v>
      </c>
      <c r="B145" s="3">
        <f>SUM(B133:B144)</f>
        <v>959557</v>
      </c>
      <c r="C145" s="3">
        <f t="shared" ref="C145:AQ145" si="159">SUM(C133:C144)</f>
        <v>45321674</v>
      </c>
      <c r="D145" s="3">
        <f t="shared" si="159"/>
        <v>40195484</v>
      </c>
      <c r="E145" s="3">
        <f t="shared" si="159"/>
        <v>72007416</v>
      </c>
      <c r="F145" s="3">
        <f t="shared" si="159"/>
        <v>150536188</v>
      </c>
      <c r="G145" s="3">
        <f t="shared" si="159"/>
        <v>171867841</v>
      </c>
      <c r="H145" s="3">
        <f t="shared" si="159"/>
        <v>236821419</v>
      </c>
      <c r="I145" s="3">
        <f t="shared" si="159"/>
        <v>253194888</v>
      </c>
      <c r="J145" s="3">
        <f t="shared" si="159"/>
        <v>281876562</v>
      </c>
      <c r="K145" s="3">
        <f t="shared" si="159"/>
        <v>457843380</v>
      </c>
      <c r="L145" s="3">
        <f t="shared" si="159"/>
        <v>482911676</v>
      </c>
      <c r="M145" s="3">
        <f t="shared" si="159"/>
        <v>782990100</v>
      </c>
      <c r="N145" s="3">
        <f t="shared" si="159"/>
        <v>1379369642</v>
      </c>
      <c r="O145" s="3">
        <f t="shared" si="159"/>
        <v>2355081277</v>
      </c>
      <c r="P145" s="3">
        <f t="shared" si="159"/>
        <v>3070181870</v>
      </c>
      <c r="Q145" s="4">
        <f t="shared" si="159"/>
        <v>2489424885.5975428</v>
      </c>
      <c r="R145" s="4">
        <f t="shared" si="159"/>
        <v>2614396737.1808534</v>
      </c>
      <c r="S145" s="4">
        <f t="shared" si="159"/>
        <v>2876042035.1819401</v>
      </c>
      <c r="T145" s="4">
        <f t="shared" si="159"/>
        <v>2928998443.8623223</v>
      </c>
      <c r="U145" s="4">
        <f t="shared" si="159"/>
        <v>2946283440.013401</v>
      </c>
      <c r="V145" s="4">
        <f t="shared" si="159"/>
        <v>3084939174.1517019</v>
      </c>
      <c r="W145" s="4">
        <f t="shared" si="159"/>
        <v>3349296816.0478544</v>
      </c>
      <c r="X145" s="4">
        <f t="shared" si="159"/>
        <v>3978045701.7119684</v>
      </c>
      <c r="Y145" s="4">
        <f t="shared" si="159"/>
        <v>3954307174.8947406</v>
      </c>
      <c r="Z145" s="4">
        <f t="shared" si="159"/>
        <v>3835069000.9408054</v>
      </c>
      <c r="AA145" s="4">
        <f t="shared" si="159"/>
        <v>4062954391.0529933</v>
      </c>
      <c r="AB145" s="4">
        <f t="shared" si="159"/>
        <v>4404588511.1892891</v>
      </c>
      <c r="AC145" s="4">
        <f t="shared" si="159"/>
        <v>5019945796.2512598</v>
      </c>
      <c r="AD145" s="4">
        <f t="shared" si="159"/>
        <v>5537626882.8702278</v>
      </c>
      <c r="AE145" s="4">
        <f t="shared" si="159"/>
        <v>5541199871.0348415</v>
      </c>
      <c r="AF145" s="4">
        <f t="shared" si="159"/>
        <v>4850316170.9842663</v>
      </c>
      <c r="AG145" s="4">
        <f t="shared" si="159"/>
        <v>5140701079.5907784</v>
      </c>
      <c r="AH145" s="4">
        <f t="shared" si="159"/>
        <v>5435034463.8935556</v>
      </c>
      <c r="AI145" s="4">
        <f t="shared" si="159"/>
        <v>5907376304.7633333</v>
      </c>
      <c r="AJ145" s="4">
        <f t="shared" si="159"/>
        <v>6024029800.570962</v>
      </c>
      <c r="AK145" s="4">
        <f t="shared" si="159"/>
        <v>5988967094.5563545</v>
      </c>
      <c r="AL145" s="4">
        <f t="shared" si="159"/>
        <v>5698266620.5720596</v>
      </c>
      <c r="AM145" s="4">
        <f t="shared" si="159"/>
        <v>5944395074.4597769</v>
      </c>
      <c r="AN145" s="4">
        <f t="shared" si="159"/>
        <v>6157243240.6718235</v>
      </c>
      <c r="AO145" s="4">
        <f t="shared" si="159"/>
        <v>6379902201.39116</v>
      </c>
      <c r="AP145" s="4">
        <f t="shared" si="159"/>
        <v>6663324943.8948565</v>
      </c>
      <c r="AQ145" s="4">
        <f t="shared" si="159"/>
        <v>7171247115.6143265</v>
      </c>
      <c r="AR145" s="4"/>
      <c r="AS145" s="4"/>
      <c r="AT145" s="194"/>
      <c r="AU145" s="194"/>
      <c r="AV145" s="194"/>
      <c r="AW145" s="194"/>
      <c r="AX145" s="194"/>
      <c r="AY145" s="195"/>
      <c r="AZ145" s="196"/>
      <c r="BA145" s="195">
        <v>1743500000</v>
      </c>
      <c r="BB145" s="195">
        <f t="shared" si="157"/>
        <v>-1285656620</v>
      </c>
      <c r="BC145" s="195">
        <v>1815449146</v>
      </c>
      <c r="BD145" s="195">
        <f t="shared" si="155"/>
        <v>-1332537470</v>
      </c>
      <c r="BE145" s="195">
        <v>1717327970</v>
      </c>
      <c r="BF145" s="195">
        <f t="shared" si="156"/>
        <v>-934337870</v>
      </c>
      <c r="BG145" s="195">
        <v>1653807613.0359092</v>
      </c>
      <c r="BH145" s="205">
        <f>(BH144/BH141)-1</f>
        <v>7.3184622045440406E-2</v>
      </c>
      <c r="BI145" s="3"/>
      <c r="BJ145" s="4">
        <v>3083566429.69841</v>
      </c>
      <c r="BK145" s="3">
        <f t="shared" si="151"/>
        <v>-13384559.698410034</v>
      </c>
      <c r="BL145" s="3">
        <v>2296403955.4489121</v>
      </c>
      <c r="BM145" s="177">
        <f t="shared" si="152"/>
        <v>193020930.14863062</v>
      </c>
      <c r="BN145" s="3"/>
      <c r="BR145" s="3"/>
      <c r="BS145" s="3"/>
      <c r="BT145" s="3"/>
      <c r="BU145" s="3"/>
      <c r="BY145" s="3"/>
      <c r="BZ145" s="3"/>
      <c r="CA145" s="3"/>
      <c r="CB145" s="3"/>
      <c r="CC145" s="4"/>
      <c r="CD145" s="3"/>
      <c r="CJ145" s="3"/>
      <c r="CK145" s="3"/>
      <c r="CL145" s="3"/>
      <c r="CM145" s="3"/>
      <c r="CN145" s="3"/>
      <c r="CO145" s="3"/>
      <c r="CP145" s="3"/>
    </row>
    <row r="146" spans="1:94">
      <c r="A146" s="114"/>
      <c r="B146" s="114"/>
      <c r="C146" s="114"/>
      <c r="D146" s="114"/>
      <c r="E146" s="114"/>
      <c r="F146" s="114"/>
      <c r="G146" s="114"/>
      <c r="H146" s="115">
        <f t="shared" ref="H146:M146" si="160">H144/H145</f>
        <v>0.11349558293120438</v>
      </c>
      <c r="I146" s="115">
        <f t="shared" si="160"/>
        <v>9.8655514719554679E-2</v>
      </c>
      <c r="J146" s="115">
        <f t="shared" si="160"/>
        <v>0.15950220082505476</v>
      </c>
      <c r="K146" s="115">
        <f t="shared" si="160"/>
        <v>0.10871306034827892</v>
      </c>
      <c r="L146" s="115">
        <f t="shared" si="160"/>
        <v>0.10292675135069627</v>
      </c>
      <c r="M146" s="115">
        <f t="shared" si="160"/>
        <v>0.13693370069429997</v>
      </c>
      <c r="N146" s="115">
        <f>N144/N145</f>
        <v>0.10482090195225567</v>
      </c>
      <c r="O146" s="115">
        <f>O144/O145</f>
        <v>0.1151759031202217</v>
      </c>
      <c r="P146" s="115">
        <f t="shared" ref="P146:AQ146" si="161">P144/P145</f>
        <v>0.10021908832391092</v>
      </c>
      <c r="Q146" s="115">
        <f t="shared" si="161"/>
        <v>0.11244501235468453</v>
      </c>
      <c r="R146" s="115">
        <f t="shared" si="161"/>
        <v>0.12257223186386203</v>
      </c>
      <c r="S146" s="115">
        <f t="shared" si="161"/>
        <v>0.12257223186386203</v>
      </c>
      <c r="T146" s="115">
        <f t="shared" si="161"/>
        <v>0.12257223186386203</v>
      </c>
      <c r="U146" s="115">
        <f t="shared" si="161"/>
        <v>0.12257223186386218</v>
      </c>
      <c r="V146" s="115">
        <f t="shared" si="161"/>
        <v>0.12257223186386208</v>
      </c>
      <c r="W146" s="115">
        <f t="shared" si="161"/>
        <v>0.12257223186386201</v>
      </c>
      <c r="X146" s="115">
        <f t="shared" si="161"/>
        <v>0.12257223186386217</v>
      </c>
      <c r="Y146" s="115">
        <f t="shared" si="161"/>
        <v>0.12257223186386196</v>
      </c>
      <c r="Z146" s="115">
        <f t="shared" si="161"/>
        <v>0.12257223186386199</v>
      </c>
      <c r="AA146" s="115">
        <f t="shared" si="161"/>
        <v>0.12257223186386203</v>
      </c>
      <c r="AB146" s="115">
        <f t="shared" si="161"/>
        <v>0.12257223186386197</v>
      </c>
      <c r="AC146" s="115">
        <f t="shared" si="161"/>
        <v>0.12257223186386214</v>
      </c>
      <c r="AD146" s="115">
        <f t="shared" si="161"/>
        <v>0.12257223186386199</v>
      </c>
      <c r="AE146" s="115">
        <f t="shared" si="161"/>
        <v>0.1225722318638621</v>
      </c>
      <c r="AF146" s="115">
        <f t="shared" si="161"/>
        <v>0.12257223186386197</v>
      </c>
      <c r="AG146" s="115">
        <f t="shared" si="161"/>
        <v>0.12257223186386214</v>
      </c>
      <c r="AH146" s="115">
        <f t="shared" si="161"/>
        <v>0.12257223186386201</v>
      </c>
      <c r="AI146" s="115">
        <f t="shared" si="161"/>
        <v>0.12257223186386203</v>
      </c>
      <c r="AJ146" s="115">
        <f t="shared" si="161"/>
        <v>0.12257223186386194</v>
      </c>
      <c r="AK146" s="115">
        <f t="shared" si="161"/>
        <v>0.12257223186386187</v>
      </c>
      <c r="AL146" s="115">
        <f t="shared" si="161"/>
        <v>0.12257223186386199</v>
      </c>
      <c r="AM146" s="115">
        <f t="shared" si="161"/>
        <v>0.12257223186386206</v>
      </c>
      <c r="AN146" s="115">
        <f t="shared" si="161"/>
        <v>0.12257223186386204</v>
      </c>
      <c r="AO146" s="115">
        <f t="shared" si="161"/>
        <v>0.12257223186386206</v>
      </c>
      <c r="AP146" s="115">
        <f t="shared" si="161"/>
        <v>0.12257223186386186</v>
      </c>
      <c r="AQ146" s="115">
        <f t="shared" si="161"/>
        <v>0.1225722317982017</v>
      </c>
      <c r="AR146" s="201"/>
      <c r="AS146" s="201"/>
      <c r="AX146" s="4"/>
      <c r="AY146" s="3"/>
      <c r="BD146" s="3">
        <f>BD145+'D5 Gallon Forecast'!AS164</f>
        <v>-1327997540.0126581</v>
      </c>
      <c r="BE146" s="4"/>
      <c r="BF146" s="3">
        <f>BF145+'D5 Gallon Forecast'!AU164</f>
        <v>-930093063</v>
      </c>
      <c r="BG146" s="3"/>
      <c r="BH146" s="3"/>
      <c r="BI146" s="3"/>
      <c r="BJ146" s="3"/>
      <c r="BK146" s="3"/>
      <c r="BL146" s="3">
        <f>BL145+'D5 Gallon Forecast'!AW164</f>
        <v>2294096462.3365078</v>
      </c>
      <c r="BM146" s="3"/>
      <c r="BN146" s="3"/>
      <c r="BR146" s="3"/>
      <c r="BS146" s="3"/>
      <c r="BT146" s="3"/>
      <c r="BU146" s="3"/>
      <c r="CL146" s="3"/>
    </row>
    <row r="147" spans="1:94" ht="16.5" thickBot="1">
      <c r="A147" s="109" t="s">
        <v>308</v>
      </c>
      <c r="G147" s="172">
        <f t="shared" ref="G147:O147" si="162">G145/F145-1</f>
        <v>0.14170448503717914</v>
      </c>
      <c r="H147" s="172">
        <f t="shared" si="162"/>
        <v>0.37792746811778466</v>
      </c>
      <c r="I147" s="172">
        <f t="shared" si="162"/>
        <v>6.9138463358333402E-2</v>
      </c>
      <c r="J147" s="172">
        <f t="shared" si="162"/>
        <v>0.11327904061001415</v>
      </c>
      <c r="K147" s="172">
        <f t="shared" si="162"/>
        <v>0.62426906569124396</v>
      </c>
      <c r="L147" s="172">
        <f t="shared" si="162"/>
        <v>5.4752994353658657E-2</v>
      </c>
      <c r="M147" s="172">
        <f t="shared" si="162"/>
        <v>0.62139401243220305</v>
      </c>
      <c r="N147" s="172">
        <f t="shared" si="162"/>
        <v>0.76166932634269569</v>
      </c>
      <c r="O147" s="172">
        <f t="shared" si="162"/>
        <v>0.70736052562769114</v>
      </c>
      <c r="P147" s="172">
        <f>P145/O145-1</f>
        <v>0.30364157703759798</v>
      </c>
      <c r="Q147" s="172">
        <f>Q145/P145-1</f>
        <v>-0.18916045009491811</v>
      </c>
      <c r="AX147" s="4"/>
      <c r="AY147" s="3"/>
      <c r="BE147" s="4"/>
    </row>
    <row r="148" spans="1:94" ht="13.5" thickBot="1">
      <c r="A148" s="110"/>
      <c r="B148" s="111">
        <f t="shared" ref="B148:K148" si="163">B2</f>
        <v>2010</v>
      </c>
      <c r="C148" s="111">
        <f t="shared" si="163"/>
        <v>2011</v>
      </c>
      <c r="D148" s="111">
        <f t="shared" si="163"/>
        <v>2012</v>
      </c>
      <c r="E148" s="111">
        <f t="shared" si="163"/>
        <v>2013</v>
      </c>
      <c r="F148" s="111">
        <f t="shared" si="163"/>
        <v>2014</v>
      </c>
      <c r="G148" s="111">
        <f t="shared" si="163"/>
        <v>2015</v>
      </c>
      <c r="H148" s="111">
        <f t="shared" si="163"/>
        <v>2016</v>
      </c>
      <c r="I148" s="111">
        <f t="shared" si="163"/>
        <v>2017</v>
      </c>
      <c r="J148" s="111">
        <f t="shared" si="163"/>
        <v>2018</v>
      </c>
      <c r="K148" s="111">
        <f t="shared" si="163"/>
        <v>2019</v>
      </c>
      <c r="L148" s="111">
        <f>L2</f>
        <v>2020</v>
      </c>
      <c r="M148" s="111">
        <f>M2</f>
        <v>2021</v>
      </c>
      <c r="N148" s="111">
        <f t="shared" ref="N148:AQ148" si="164">N2</f>
        <v>2022</v>
      </c>
      <c r="O148" s="111">
        <f t="shared" si="164"/>
        <v>2023</v>
      </c>
      <c r="P148" s="111">
        <f t="shared" si="164"/>
        <v>2024</v>
      </c>
      <c r="Q148" s="111">
        <f t="shared" si="164"/>
        <v>2025</v>
      </c>
      <c r="R148" s="111">
        <f t="shared" si="164"/>
        <v>2026</v>
      </c>
      <c r="S148" s="111">
        <f t="shared" si="164"/>
        <v>2027</v>
      </c>
      <c r="T148" s="111">
        <f t="shared" si="164"/>
        <v>2028</v>
      </c>
      <c r="U148" s="111">
        <f t="shared" si="164"/>
        <v>2029</v>
      </c>
      <c r="V148" s="111">
        <f t="shared" si="164"/>
        <v>2030</v>
      </c>
      <c r="W148" s="111">
        <f t="shared" si="164"/>
        <v>2031</v>
      </c>
      <c r="X148" s="111">
        <f t="shared" si="164"/>
        <v>2032</v>
      </c>
      <c r="Y148" s="111">
        <f t="shared" si="164"/>
        <v>2033</v>
      </c>
      <c r="Z148" s="111">
        <f t="shared" si="164"/>
        <v>2034</v>
      </c>
      <c r="AA148" s="111">
        <f t="shared" si="164"/>
        <v>2035</v>
      </c>
      <c r="AB148" s="111">
        <f t="shared" si="164"/>
        <v>2036</v>
      </c>
      <c r="AC148" s="111">
        <f t="shared" si="164"/>
        <v>2037</v>
      </c>
      <c r="AD148" s="111">
        <f t="shared" si="164"/>
        <v>2038</v>
      </c>
      <c r="AE148" s="111">
        <f t="shared" si="164"/>
        <v>2039</v>
      </c>
      <c r="AF148" s="111">
        <f t="shared" si="164"/>
        <v>2040</v>
      </c>
      <c r="AG148" s="111">
        <f t="shared" si="164"/>
        <v>2041</v>
      </c>
      <c r="AH148" s="111">
        <f t="shared" si="164"/>
        <v>2042</v>
      </c>
      <c r="AI148" s="111">
        <f t="shared" si="164"/>
        <v>2043</v>
      </c>
      <c r="AJ148" s="111">
        <f t="shared" si="164"/>
        <v>2044</v>
      </c>
      <c r="AK148" s="111">
        <f t="shared" si="164"/>
        <v>2045</v>
      </c>
      <c r="AL148" s="111">
        <f t="shared" si="164"/>
        <v>2046</v>
      </c>
      <c r="AM148" s="111">
        <f t="shared" si="164"/>
        <v>2047</v>
      </c>
      <c r="AN148" s="111">
        <f t="shared" si="164"/>
        <v>2048</v>
      </c>
      <c r="AO148" s="111">
        <f t="shared" si="164"/>
        <v>2049</v>
      </c>
      <c r="AP148" s="111">
        <f t="shared" si="164"/>
        <v>2050</v>
      </c>
      <c r="AQ148" s="111">
        <f t="shared" si="164"/>
        <v>2051</v>
      </c>
      <c r="AR148" s="94"/>
      <c r="AS148" s="94"/>
      <c r="AT148" s="94"/>
      <c r="AX148" s="4"/>
      <c r="AY148" s="3"/>
      <c r="BE148" s="4"/>
    </row>
    <row r="149" spans="1:94">
      <c r="A149" s="2" t="s">
        <v>43</v>
      </c>
      <c r="B149" s="3">
        <f>'Monthly D4 Gallon Data'!$S2</f>
        <v>0</v>
      </c>
      <c r="C149" s="3">
        <f>'Monthly D4 Gallon Data'!$S14</f>
        <v>0</v>
      </c>
      <c r="D149" s="3">
        <f>'Monthly D4 Gallon Data'!$S26</f>
        <v>0</v>
      </c>
      <c r="E149" s="3">
        <f>'Monthly D4 Gallon Data'!$S38</f>
        <v>0</v>
      </c>
      <c r="F149" s="3">
        <f>'Monthly D4 Gallon Data'!$S50</f>
        <v>0</v>
      </c>
      <c r="G149" s="3">
        <f>'Monthly D4 Gallon Data'!$S62</f>
        <v>0</v>
      </c>
      <c r="H149" s="3">
        <f>'Monthly D4 Gallon Data'!$S74</f>
        <v>0</v>
      </c>
      <c r="I149" s="3">
        <f>'Monthly D4 Gallon Data'!$S86</f>
        <v>0</v>
      </c>
      <c r="J149" s="3">
        <f>'Monthly D4 Gallon Data'!$S98</f>
        <v>0</v>
      </c>
      <c r="K149" s="3">
        <f>'Monthly D4 Gallon Data'!$S110</f>
        <v>0</v>
      </c>
      <c r="L149" s="3">
        <f>'Monthly D4 Gallon Data'!$S122</f>
        <v>0</v>
      </c>
      <c r="M149" s="3">
        <f>'Monthly D4 Gallon Data'!$S134</f>
        <v>0</v>
      </c>
      <c r="N149" s="3">
        <f>'Monthly D4 Gallon Data'!$S146</f>
        <v>0</v>
      </c>
      <c r="O149" s="3">
        <f>'Monthly D4 Gallon Data'!$S158</f>
        <v>0</v>
      </c>
      <c r="P149" s="3">
        <f>'Monthly D4 Gallon Data'!$S170</f>
        <v>0</v>
      </c>
      <c r="Q149" s="3">
        <f>'Monthly D4 Gallon Data'!$S182</f>
        <v>0</v>
      </c>
      <c r="R149" s="4">
        <v>0</v>
      </c>
      <c r="S149" s="4">
        <v>0</v>
      </c>
      <c r="T149" s="4">
        <v>0</v>
      </c>
      <c r="U149" s="4">
        <v>0</v>
      </c>
      <c r="V149" s="4">
        <v>0</v>
      </c>
      <c r="W149" s="4">
        <v>0</v>
      </c>
      <c r="X149" s="4">
        <v>0</v>
      </c>
      <c r="Y149" s="4">
        <v>0</v>
      </c>
      <c r="Z149" s="4">
        <v>0</v>
      </c>
      <c r="AA149" s="4">
        <v>0</v>
      </c>
      <c r="AB149" s="4">
        <v>0</v>
      </c>
      <c r="AC149" s="4">
        <v>0</v>
      </c>
      <c r="AD149" s="4">
        <v>0</v>
      </c>
      <c r="AE149" s="4">
        <v>0</v>
      </c>
      <c r="AF149" s="4">
        <v>0</v>
      </c>
      <c r="AG149" s="4">
        <v>0</v>
      </c>
      <c r="AH149" s="4">
        <v>0</v>
      </c>
      <c r="AI149" s="4">
        <v>0</v>
      </c>
      <c r="AJ149" s="4">
        <v>0</v>
      </c>
      <c r="AK149" s="4">
        <v>0</v>
      </c>
      <c r="AL149" s="4">
        <v>0</v>
      </c>
      <c r="AM149" s="4">
        <v>0</v>
      </c>
      <c r="AN149" s="4">
        <v>0</v>
      </c>
      <c r="AO149" s="4">
        <v>0</v>
      </c>
      <c r="AP149" s="4">
        <v>0</v>
      </c>
      <c r="AQ149" s="4">
        <v>1</v>
      </c>
      <c r="AR149" s="4"/>
      <c r="AS149" s="4"/>
      <c r="AT149" s="4"/>
      <c r="AX149" s="4"/>
      <c r="AY149" s="3"/>
      <c r="BE149" s="4"/>
      <c r="BI149" s="3"/>
      <c r="BJ149" s="3">
        <v>0</v>
      </c>
      <c r="BK149" s="3">
        <f t="shared" ref="BK149:BK161" si="165">P149-BJ149</f>
        <v>0</v>
      </c>
      <c r="BL149" s="3">
        <f t="shared" ref="BL149:BL161" si="166">N149-BG149</f>
        <v>0</v>
      </c>
      <c r="BM149" s="177">
        <f t="shared" ref="BM149:BM161" si="167">Q149-BL149</f>
        <v>0</v>
      </c>
      <c r="BN149" s="3"/>
      <c r="BR149" s="3"/>
      <c r="BS149" s="3"/>
      <c r="BT149" s="3"/>
      <c r="BU149" s="3"/>
      <c r="BV149" s="3"/>
      <c r="BW149" s="3"/>
      <c r="BX149" s="3"/>
      <c r="BY149" s="3"/>
      <c r="BZ149" s="3"/>
      <c r="CA149" s="3"/>
      <c r="CB149" s="3"/>
      <c r="CC149" s="4"/>
      <c r="CD149" s="3"/>
      <c r="CE149" s="3"/>
      <c r="CF149" s="3"/>
      <c r="CG149" s="3"/>
      <c r="CH149" s="3"/>
      <c r="CI149" s="3"/>
      <c r="CJ149" s="3"/>
      <c r="CK149" s="3"/>
      <c r="CL149" s="3"/>
      <c r="CM149" s="3"/>
      <c r="CN149" s="3"/>
      <c r="CO149" s="3"/>
      <c r="CP149" s="3"/>
    </row>
    <row r="150" spans="1:94">
      <c r="A150" s="2" t="s">
        <v>44</v>
      </c>
      <c r="B150" s="3">
        <f>'Monthly D4 Gallon Data'!$S3</f>
        <v>0</v>
      </c>
      <c r="C150" s="3">
        <f>'Monthly D4 Gallon Data'!$S15</f>
        <v>0</v>
      </c>
      <c r="D150" s="3">
        <f>'Monthly D4 Gallon Data'!$S27</f>
        <v>9500</v>
      </c>
      <c r="E150" s="3">
        <f>'Monthly D4 Gallon Data'!$S39</f>
        <v>70905</v>
      </c>
      <c r="F150" s="3">
        <f>'Monthly D4 Gallon Data'!$S51</f>
        <v>0</v>
      </c>
      <c r="G150" s="3">
        <f>'Monthly D4 Gallon Data'!$S63</f>
        <v>0</v>
      </c>
      <c r="H150" s="3">
        <f>'Monthly D4 Gallon Data'!$S75</f>
        <v>0</v>
      </c>
      <c r="I150" s="3">
        <f>'Monthly D4 Gallon Data'!$S87</f>
        <v>0</v>
      </c>
      <c r="J150" s="3">
        <f>'Monthly D4 Gallon Data'!$S99</f>
        <v>0</v>
      </c>
      <c r="K150" s="3">
        <f>'Monthly D4 Gallon Data'!$S111</f>
        <v>0</v>
      </c>
      <c r="L150" s="3">
        <f>'Monthly D4 Gallon Data'!$S123</f>
        <v>0</v>
      </c>
      <c r="M150" s="3">
        <f>'Monthly D4 Gallon Data'!$S135</f>
        <v>0</v>
      </c>
      <c r="N150" s="3">
        <f>'Monthly D4 Gallon Data'!$S147</f>
        <v>0</v>
      </c>
      <c r="O150" s="3">
        <f>'Monthly D4 Gallon Data'!$S159</f>
        <v>0</v>
      </c>
      <c r="P150" s="3">
        <f>'Monthly D4 Gallon Data'!$S171</f>
        <v>0</v>
      </c>
      <c r="Q150" s="3">
        <f>'Monthly D4 Gallon Data'!$S183</f>
        <v>0</v>
      </c>
      <c r="R150" s="4">
        <v>0</v>
      </c>
      <c r="S150" s="4">
        <v>0</v>
      </c>
      <c r="T150" s="4">
        <v>0</v>
      </c>
      <c r="U150" s="4">
        <v>0</v>
      </c>
      <c r="V150" s="4">
        <v>0</v>
      </c>
      <c r="W150" s="4">
        <v>0</v>
      </c>
      <c r="X150" s="4">
        <v>0</v>
      </c>
      <c r="Y150" s="4">
        <v>0</v>
      </c>
      <c r="Z150" s="4">
        <v>0</v>
      </c>
      <c r="AA150" s="4">
        <v>0</v>
      </c>
      <c r="AB150" s="4">
        <v>0</v>
      </c>
      <c r="AC150" s="4">
        <v>0</v>
      </c>
      <c r="AD150" s="4">
        <v>0</v>
      </c>
      <c r="AE150" s="4">
        <v>0</v>
      </c>
      <c r="AF150" s="4">
        <v>0</v>
      </c>
      <c r="AG150" s="4">
        <v>0</v>
      </c>
      <c r="AH150" s="4">
        <v>0</v>
      </c>
      <c r="AI150" s="4">
        <v>0</v>
      </c>
      <c r="AJ150" s="4">
        <v>0</v>
      </c>
      <c r="AK150" s="4">
        <v>0</v>
      </c>
      <c r="AL150" s="4">
        <v>0</v>
      </c>
      <c r="AM150" s="4">
        <v>0</v>
      </c>
      <c r="AN150" s="4">
        <v>0</v>
      </c>
      <c r="AO150" s="4">
        <v>0</v>
      </c>
      <c r="AP150" s="4">
        <v>0</v>
      </c>
      <c r="AQ150" s="4">
        <v>1</v>
      </c>
      <c r="AR150" s="4"/>
      <c r="AS150" s="4"/>
      <c r="AT150" s="4"/>
      <c r="AX150" s="4"/>
      <c r="AY150" s="3"/>
      <c r="BE150" s="4"/>
      <c r="BI150" s="3"/>
      <c r="BJ150" s="3">
        <v>0</v>
      </c>
      <c r="BK150" s="3">
        <f t="shared" si="165"/>
        <v>0</v>
      </c>
      <c r="BL150" s="3">
        <f t="shared" si="166"/>
        <v>0</v>
      </c>
      <c r="BM150" s="177">
        <f t="shared" si="167"/>
        <v>0</v>
      </c>
      <c r="BN150" s="3"/>
      <c r="BR150" s="3"/>
      <c r="BS150" s="3"/>
      <c r="BT150" s="3"/>
      <c r="BU150" s="3"/>
      <c r="BV150" s="3"/>
      <c r="BW150" s="3"/>
      <c r="BX150" s="3"/>
      <c r="BY150" s="3"/>
      <c r="BZ150" s="3"/>
      <c r="CA150" s="3"/>
      <c r="CB150" s="3"/>
      <c r="CC150" s="4"/>
      <c r="CD150" s="3"/>
      <c r="CE150" s="3"/>
      <c r="CF150" s="3"/>
      <c r="CG150" s="3"/>
      <c r="CH150" s="3"/>
      <c r="CI150" s="3"/>
      <c r="CJ150" s="3"/>
      <c r="CK150" s="3"/>
      <c r="CL150" s="3"/>
      <c r="CM150" s="3"/>
      <c r="CN150" s="3"/>
      <c r="CO150" s="3"/>
      <c r="CP150" s="3"/>
    </row>
    <row r="151" spans="1:94">
      <c r="A151" s="2" t="s">
        <v>45</v>
      </c>
      <c r="B151" s="3">
        <f>'Monthly D4 Gallon Data'!$S4</f>
        <v>0</v>
      </c>
      <c r="C151" s="3">
        <f>'Monthly D4 Gallon Data'!$S16</f>
        <v>0</v>
      </c>
      <c r="D151" s="3">
        <f>'Monthly D4 Gallon Data'!$S28</f>
        <v>58000</v>
      </c>
      <c r="E151" s="3">
        <f>'Monthly D4 Gallon Data'!$S40</f>
        <v>68357</v>
      </c>
      <c r="F151" s="3">
        <f>'Monthly D4 Gallon Data'!$S52</f>
        <v>0</v>
      </c>
      <c r="G151" s="3">
        <f>'Monthly D4 Gallon Data'!$S64</f>
        <v>0</v>
      </c>
      <c r="H151" s="3">
        <f>'Monthly D4 Gallon Data'!$S76</f>
        <v>0</v>
      </c>
      <c r="I151" s="3">
        <f>'Monthly D4 Gallon Data'!$S88</f>
        <v>0</v>
      </c>
      <c r="J151" s="3">
        <f>'Monthly D4 Gallon Data'!$S100</f>
        <v>0</v>
      </c>
      <c r="K151" s="3">
        <f>'Monthly D4 Gallon Data'!$S112</f>
        <v>0</v>
      </c>
      <c r="L151" s="3">
        <f>'Monthly D4 Gallon Data'!$S124</f>
        <v>0</v>
      </c>
      <c r="M151" s="3">
        <f>'Monthly D4 Gallon Data'!$S136</f>
        <v>0</v>
      </c>
      <c r="N151" s="3">
        <f>'Monthly D4 Gallon Data'!$S148</f>
        <v>0</v>
      </c>
      <c r="O151" s="3">
        <f>'Monthly D4 Gallon Data'!$S160</f>
        <v>0</v>
      </c>
      <c r="P151" s="3">
        <f>'Monthly D4 Gallon Data'!$S172</f>
        <v>0</v>
      </c>
      <c r="Q151" s="3">
        <f>'Monthly D4 Gallon Data'!$S184</f>
        <v>0</v>
      </c>
      <c r="R151" s="4">
        <v>0</v>
      </c>
      <c r="S151" s="4">
        <v>0</v>
      </c>
      <c r="T151" s="4">
        <v>0</v>
      </c>
      <c r="U151" s="4">
        <v>0</v>
      </c>
      <c r="V151" s="4">
        <v>0</v>
      </c>
      <c r="W151" s="4">
        <v>0</v>
      </c>
      <c r="X151" s="4">
        <v>0</v>
      </c>
      <c r="Y151" s="4">
        <v>0</v>
      </c>
      <c r="Z151" s="4">
        <v>0</v>
      </c>
      <c r="AA151" s="4">
        <v>0</v>
      </c>
      <c r="AB151" s="4">
        <v>0</v>
      </c>
      <c r="AC151" s="4">
        <v>0</v>
      </c>
      <c r="AD151" s="4">
        <v>0</v>
      </c>
      <c r="AE151" s="4">
        <v>0</v>
      </c>
      <c r="AF151" s="4">
        <v>0</v>
      </c>
      <c r="AG151" s="4">
        <v>0</v>
      </c>
      <c r="AH151" s="4">
        <v>0</v>
      </c>
      <c r="AI151" s="4">
        <v>0</v>
      </c>
      <c r="AJ151" s="4">
        <v>0</v>
      </c>
      <c r="AK151" s="4">
        <v>0</v>
      </c>
      <c r="AL151" s="4">
        <v>0</v>
      </c>
      <c r="AM151" s="4">
        <v>0</v>
      </c>
      <c r="AN151" s="4">
        <v>0</v>
      </c>
      <c r="AO151" s="4">
        <v>0</v>
      </c>
      <c r="AP151" s="4">
        <v>0</v>
      </c>
      <c r="AQ151" s="4">
        <v>1</v>
      </c>
      <c r="AR151" s="4"/>
      <c r="AS151" s="4"/>
      <c r="AT151" s="4"/>
      <c r="AX151" s="4"/>
      <c r="AY151" s="3"/>
      <c r="BE151" s="4"/>
      <c r="BI151" s="3"/>
      <c r="BJ151" s="3">
        <v>0</v>
      </c>
      <c r="BK151" s="3">
        <f t="shared" si="165"/>
        <v>0</v>
      </c>
      <c r="BL151" s="3">
        <f t="shared" si="166"/>
        <v>0</v>
      </c>
      <c r="BM151" s="177">
        <f t="shared" si="167"/>
        <v>0</v>
      </c>
      <c r="BN151" s="3"/>
      <c r="BR151" s="3"/>
      <c r="BS151" s="3"/>
      <c r="BT151" s="3"/>
      <c r="BU151" s="3"/>
      <c r="BV151" s="3"/>
      <c r="BW151" s="3"/>
      <c r="BX151" s="3"/>
      <c r="BY151" s="3"/>
      <c r="BZ151" s="3"/>
      <c r="CA151" s="3"/>
      <c r="CB151" s="3"/>
      <c r="CC151" s="4"/>
      <c r="CD151" s="3"/>
      <c r="CE151" s="3"/>
      <c r="CF151" s="3"/>
      <c r="CG151" s="3"/>
      <c r="CH151" s="3"/>
      <c r="CI151" s="3"/>
      <c r="CJ151" s="3"/>
      <c r="CK151" s="3"/>
      <c r="CL151" s="3"/>
      <c r="CM151" s="3"/>
      <c r="CN151" s="3"/>
      <c r="CO151" s="3"/>
      <c r="CP151" s="3"/>
    </row>
    <row r="152" spans="1:94">
      <c r="A152" s="2" t="s">
        <v>46</v>
      </c>
      <c r="B152" s="3">
        <f>'Monthly D4 Gallon Data'!$S5</f>
        <v>0</v>
      </c>
      <c r="C152" s="3">
        <f>'Monthly D4 Gallon Data'!$S17</f>
        <v>0</v>
      </c>
      <c r="D152" s="3">
        <f>'Monthly D4 Gallon Data'!$S29</f>
        <v>133864</v>
      </c>
      <c r="E152" s="3">
        <f>'Monthly D4 Gallon Data'!$S41</f>
        <v>0</v>
      </c>
      <c r="F152" s="3">
        <f>'Monthly D4 Gallon Data'!$S53</f>
        <v>0</v>
      </c>
      <c r="G152" s="3">
        <f>'Monthly D4 Gallon Data'!$S65</f>
        <v>0</v>
      </c>
      <c r="H152" s="3">
        <f>'Monthly D4 Gallon Data'!$S77</f>
        <v>0</v>
      </c>
      <c r="I152" s="3">
        <f>'Monthly D4 Gallon Data'!$S89</f>
        <v>0</v>
      </c>
      <c r="J152" s="3">
        <f>'Monthly D4 Gallon Data'!$S101</f>
        <v>0</v>
      </c>
      <c r="K152" s="3">
        <f>'Monthly D4 Gallon Data'!$S113</f>
        <v>0</v>
      </c>
      <c r="L152" s="3">
        <f>'Monthly D4 Gallon Data'!$S125</f>
        <v>0</v>
      </c>
      <c r="M152" s="3">
        <f>'Monthly D4 Gallon Data'!$S137</f>
        <v>0</v>
      </c>
      <c r="N152" s="3">
        <f>'Monthly D4 Gallon Data'!$S149</f>
        <v>0</v>
      </c>
      <c r="O152" s="3">
        <f>'Monthly D4 Gallon Data'!$S161</f>
        <v>0</v>
      </c>
      <c r="P152" s="3">
        <f>'Monthly D4 Gallon Data'!$S173</f>
        <v>0</v>
      </c>
      <c r="Q152" s="4">
        <v>0</v>
      </c>
      <c r="R152" s="4">
        <v>0</v>
      </c>
      <c r="S152" s="4">
        <v>0</v>
      </c>
      <c r="T152" s="4">
        <v>0</v>
      </c>
      <c r="U152" s="4">
        <v>0</v>
      </c>
      <c r="V152" s="4">
        <v>0</v>
      </c>
      <c r="W152" s="4">
        <v>0</v>
      </c>
      <c r="X152" s="4">
        <v>0</v>
      </c>
      <c r="Y152" s="4">
        <v>0</v>
      </c>
      <c r="Z152" s="4">
        <v>0</v>
      </c>
      <c r="AA152" s="4">
        <v>0</v>
      </c>
      <c r="AB152" s="4">
        <v>0</v>
      </c>
      <c r="AC152" s="4">
        <v>0</v>
      </c>
      <c r="AD152" s="4">
        <v>0</v>
      </c>
      <c r="AE152" s="4">
        <v>0</v>
      </c>
      <c r="AF152" s="4">
        <v>0</v>
      </c>
      <c r="AG152" s="4">
        <v>0</v>
      </c>
      <c r="AH152" s="4">
        <v>0</v>
      </c>
      <c r="AI152" s="4">
        <v>0</v>
      </c>
      <c r="AJ152" s="4">
        <v>0</v>
      </c>
      <c r="AK152" s="4">
        <v>0</v>
      </c>
      <c r="AL152" s="4">
        <v>0</v>
      </c>
      <c r="AM152" s="4">
        <v>0</v>
      </c>
      <c r="AN152" s="4">
        <v>0</v>
      </c>
      <c r="AO152" s="4">
        <v>0</v>
      </c>
      <c r="AP152" s="4">
        <v>0</v>
      </c>
      <c r="AQ152" s="4">
        <v>1</v>
      </c>
      <c r="AR152" s="4"/>
      <c r="AS152" s="4"/>
      <c r="AT152" s="4"/>
      <c r="AX152" s="4"/>
      <c r="AY152" s="3"/>
      <c r="BE152" s="4"/>
      <c r="BI152" s="3"/>
      <c r="BJ152" s="4">
        <v>0</v>
      </c>
      <c r="BK152" s="3">
        <f t="shared" si="165"/>
        <v>0</v>
      </c>
      <c r="BL152" s="3">
        <f t="shared" si="166"/>
        <v>0</v>
      </c>
      <c r="BM152" s="177">
        <f t="shared" si="167"/>
        <v>0</v>
      </c>
      <c r="BN152" s="3"/>
      <c r="BR152" s="3"/>
      <c r="BS152" s="3"/>
      <c r="BT152" s="3"/>
      <c r="BU152" s="3"/>
      <c r="BV152" s="3"/>
      <c r="BW152" s="3"/>
      <c r="BX152" s="3"/>
      <c r="BY152" s="3"/>
      <c r="BZ152" s="3"/>
      <c r="CA152" s="3"/>
      <c r="CB152" s="3"/>
      <c r="CC152" s="4"/>
      <c r="CD152" s="3"/>
      <c r="CE152" s="3"/>
      <c r="CF152" s="3"/>
      <c r="CG152" s="3"/>
      <c r="CH152" s="3"/>
      <c r="CI152" s="3"/>
      <c r="CJ152" s="3"/>
      <c r="CK152" s="3"/>
      <c r="CL152" s="3"/>
      <c r="CM152" s="3"/>
      <c r="CN152" s="3"/>
      <c r="CO152" s="3"/>
      <c r="CP152" s="3"/>
    </row>
    <row r="153" spans="1:94">
      <c r="A153" s="2" t="s">
        <v>47</v>
      </c>
      <c r="B153" s="3">
        <f>'Monthly D4 Gallon Data'!$S6</f>
        <v>0</v>
      </c>
      <c r="C153" s="3">
        <f>'Monthly D4 Gallon Data'!$S18</f>
        <v>0</v>
      </c>
      <c r="D153" s="3">
        <f>'Monthly D4 Gallon Data'!$S30</f>
        <v>138592</v>
      </c>
      <c r="E153" s="3">
        <f>'Monthly D4 Gallon Data'!$S42</f>
        <v>0</v>
      </c>
      <c r="F153" s="3">
        <f>'Monthly D4 Gallon Data'!$S54</f>
        <v>61012</v>
      </c>
      <c r="G153" s="3">
        <f>'Monthly D4 Gallon Data'!$S66</f>
        <v>0</v>
      </c>
      <c r="H153" s="3">
        <f>'Monthly D4 Gallon Data'!$S78</f>
        <v>0</v>
      </c>
      <c r="I153" s="3">
        <f>'Monthly D4 Gallon Data'!$S90</f>
        <v>0</v>
      </c>
      <c r="J153" s="3">
        <f>'Monthly D4 Gallon Data'!$S102</f>
        <v>0</v>
      </c>
      <c r="K153" s="3">
        <f>'Monthly D4 Gallon Data'!$S114</f>
        <v>0</v>
      </c>
      <c r="L153" s="3">
        <f>'Monthly D4 Gallon Data'!$S126</f>
        <v>0</v>
      </c>
      <c r="M153" s="3">
        <f>'Monthly D4 Gallon Data'!$S138</f>
        <v>0</v>
      </c>
      <c r="N153" s="3">
        <f>'Monthly D4 Gallon Data'!$S150</f>
        <v>0</v>
      </c>
      <c r="O153" s="3">
        <f>'Monthly D4 Gallon Data'!$S162</f>
        <v>0</v>
      </c>
      <c r="P153" s="3">
        <f>'Monthly D4 Gallon Data'!$S174</f>
        <v>0</v>
      </c>
      <c r="Q153" s="4">
        <v>0</v>
      </c>
      <c r="R153" s="4">
        <v>0</v>
      </c>
      <c r="S153" s="4">
        <v>0</v>
      </c>
      <c r="T153" s="4">
        <v>0</v>
      </c>
      <c r="U153" s="4">
        <v>0</v>
      </c>
      <c r="V153" s="4">
        <v>0</v>
      </c>
      <c r="W153" s="4">
        <v>0</v>
      </c>
      <c r="X153" s="4">
        <v>0</v>
      </c>
      <c r="Y153" s="4">
        <v>0</v>
      </c>
      <c r="Z153" s="4">
        <v>0</v>
      </c>
      <c r="AA153" s="4">
        <v>0</v>
      </c>
      <c r="AB153" s="4">
        <v>0</v>
      </c>
      <c r="AC153" s="4">
        <v>0</v>
      </c>
      <c r="AD153" s="4">
        <v>0</v>
      </c>
      <c r="AE153" s="4">
        <v>0</v>
      </c>
      <c r="AF153" s="4">
        <v>0</v>
      </c>
      <c r="AG153" s="4">
        <v>0</v>
      </c>
      <c r="AH153" s="4">
        <v>0</v>
      </c>
      <c r="AI153" s="4">
        <v>0</v>
      </c>
      <c r="AJ153" s="4">
        <v>0</v>
      </c>
      <c r="AK153" s="4">
        <v>0</v>
      </c>
      <c r="AL153" s="4">
        <v>0</v>
      </c>
      <c r="AM153" s="4">
        <v>0</v>
      </c>
      <c r="AN153" s="4">
        <v>0</v>
      </c>
      <c r="AO153" s="4">
        <v>0</v>
      </c>
      <c r="AP153" s="4">
        <v>0</v>
      </c>
      <c r="AQ153" s="4">
        <v>1</v>
      </c>
      <c r="AR153" s="4"/>
      <c r="AS153" s="4"/>
      <c r="AT153" s="4"/>
      <c r="AU153" s="4"/>
      <c r="AV153" s="4"/>
      <c r="AW153" s="4"/>
      <c r="AX153" s="4"/>
      <c r="AY153" s="3"/>
      <c r="BA153" s="3">
        <v>0</v>
      </c>
      <c r="BB153" s="3">
        <f t="shared" ref="BB153:BB161" si="168">K153-BA153</f>
        <v>0</v>
      </c>
      <c r="BC153" s="3">
        <v>0</v>
      </c>
      <c r="BD153" s="3">
        <f t="shared" ref="BD153:BD161" si="169">L153-BC153</f>
        <v>0</v>
      </c>
      <c r="BE153" s="3">
        <v>0</v>
      </c>
      <c r="BF153" s="3">
        <f t="shared" ref="BF153:BF161" si="170">M153-BE153</f>
        <v>0</v>
      </c>
      <c r="BG153" s="3">
        <v>0</v>
      </c>
      <c r="BH153" s="3"/>
      <c r="BI153" s="3"/>
      <c r="BJ153" s="4">
        <v>0</v>
      </c>
      <c r="BK153" s="3">
        <f t="shared" si="165"/>
        <v>0</v>
      </c>
      <c r="BL153" s="3">
        <f t="shared" si="166"/>
        <v>0</v>
      </c>
      <c r="BM153" s="177">
        <f t="shared" si="167"/>
        <v>0</v>
      </c>
      <c r="BN153" s="3"/>
      <c r="BR153" s="3"/>
      <c r="BS153" s="3"/>
      <c r="BT153" s="3"/>
      <c r="BU153" s="3"/>
      <c r="BV153" s="3"/>
      <c r="BW153" s="3"/>
      <c r="BX153" s="3"/>
      <c r="BY153" s="3"/>
      <c r="BZ153" s="3"/>
      <c r="CA153" s="3"/>
      <c r="CB153" s="3"/>
      <c r="CC153" s="4"/>
      <c r="CD153" s="3"/>
      <c r="CE153" s="3"/>
      <c r="CF153" s="3"/>
      <c r="CG153" s="3"/>
      <c r="CH153" s="3"/>
      <c r="CI153" s="3"/>
      <c r="CJ153" s="3"/>
      <c r="CK153" s="3"/>
      <c r="CL153" s="3"/>
      <c r="CM153" s="3"/>
      <c r="CN153" s="3"/>
      <c r="CO153" s="3"/>
      <c r="CP153" s="3"/>
    </row>
    <row r="154" spans="1:94">
      <c r="A154" s="2" t="s">
        <v>48</v>
      </c>
      <c r="B154" s="3">
        <f>'Monthly D4 Gallon Data'!$S7</f>
        <v>0</v>
      </c>
      <c r="C154" s="3">
        <f>'Monthly D4 Gallon Data'!$S19</f>
        <v>0</v>
      </c>
      <c r="D154" s="3">
        <f>'Monthly D4 Gallon Data'!$S31</f>
        <v>0</v>
      </c>
      <c r="E154" s="3">
        <f>'Monthly D4 Gallon Data'!$S43</f>
        <v>46481</v>
      </c>
      <c r="F154" s="3">
        <f>'Monthly D4 Gallon Data'!$S55</f>
        <v>28389</v>
      </c>
      <c r="G154" s="3">
        <f>'Monthly D4 Gallon Data'!$S67</f>
        <v>0</v>
      </c>
      <c r="H154" s="3">
        <f>'Monthly D4 Gallon Data'!$S79</f>
        <v>0</v>
      </c>
      <c r="I154" s="3">
        <f>'Monthly D4 Gallon Data'!$S91</f>
        <v>0</v>
      </c>
      <c r="J154" s="3">
        <f>'Monthly D4 Gallon Data'!$S103</f>
        <v>0</v>
      </c>
      <c r="K154" s="3">
        <f>'Monthly D4 Gallon Data'!$S115</f>
        <v>0</v>
      </c>
      <c r="L154" s="3">
        <f>'Monthly D4 Gallon Data'!$S127</f>
        <v>0</v>
      </c>
      <c r="M154" s="3">
        <f>'Monthly D4 Gallon Data'!$S139</f>
        <v>0</v>
      </c>
      <c r="N154" s="3">
        <f>'Monthly D4 Gallon Data'!$S151</f>
        <v>0</v>
      </c>
      <c r="O154" s="3">
        <f>'Monthly D4 Gallon Data'!$S163</f>
        <v>0</v>
      </c>
      <c r="P154" s="3">
        <f>'Monthly D4 Gallon Data'!$S175</f>
        <v>0</v>
      </c>
      <c r="Q154" s="4">
        <v>0</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s="4">
        <v>0</v>
      </c>
      <c r="AM154" s="4">
        <v>0</v>
      </c>
      <c r="AN154" s="4">
        <v>0</v>
      </c>
      <c r="AO154" s="4">
        <v>0</v>
      </c>
      <c r="AP154" s="4">
        <v>0</v>
      </c>
      <c r="AQ154" s="4">
        <v>1</v>
      </c>
      <c r="AR154" s="4"/>
      <c r="AS154" s="4"/>
      <c r="AT154" s="4"/>
      <c r="AU154" s="4"/>
      <c r="AV154" s="4"/>
      <c r="AW154" s="4"/>
      <c r="AX154" s="4"/>
      <c r="AY154" s="3"/>
      <c r="BA154" s="3">
        <v>0</v>
      </c>
      <c r="BB154" s="3">
        <f t="shared" si="168"/>
        <v>0</v>
      </c>
      <c r="BC154" s="3">
        <v>0</v>
      </c>
      <c r="BD154" s="3">
        <f t="shared" si="169"/>
        <v>0</v>
      </c>
      <c r="BE154" s="3">
        <v>0</v>
      </c>
      <c r="BF154" s="3">
        <f t="shared" si="170"/>
        <v>0</v>
      </c>
      <c r="BG154" s="3">
        <v>0</v>
      </c>
      <c r="BH154" s="3"/>
      <c r="BI154" s="3"/>
      <c r="BJ154" s="4">
        <v>0</v>
      </c>
      <c r="BK154" s="3">
        <f t="shared" si="165"/>
        <v>0</v>
      </c>
      <c r="BL154" s="3">
        <f t="shared" si="166"/>
        <v>0</v>
      </c>
      <c r="BM154" s="177">
        <f t="shared" si="167"/>
        <v>0</v>
      </c>
      <c r="BN154" s="3"/>
      <c r="BR154" s="3"/>
      <c r="BS154" s="3"/>
      <c r="BT154" s="3"/>
      <c r="BU154" s="3"/>
      <c r="BV154" s="3"/>
      <c r="BW154" s="3"/>
      <c r="BX154" s="3"/>
      <c r="BY154" s="3"/>
      <c r="BZ154" s="3"/>
      <c r="CA154" s="3"/>
      <c r="CB154" s="3"/>
      <c r="CC154" s="4"/>
      <c r="CD154" s="3"/>
      <c r="CE154" s="3"/>
      <c r="CF154" s="3"/>
      <c r="CG154" s="3"/>
      <c r="CH154" s="3"/>
      <c r="CI154" s="3"/>
      <c r="CJ154" s="3"/>
      <c r="CK154" s="3"/>
      <c r="CL154" s="3"/>
      <c r="CM154" s="3"/>
      <c r="CN154" s="3"/>
      <c r="CO154" s="3"/>
      <c r="CP154" s="3"/>
    </row>
    <row r="155" spans="1:94">
      <c r="A155" s="2" t="s">
        <v>49</v>
      </c>
      <c r="B155" s="3">
        <f>'Monthly D4 Gallon Data'!$S8</f>
        <v>0</v>
      </c>
      <c r="C155" s="3">
        <f>'Monthly D4 Gallon Data'!$S20</f>
        <v>28604</v>
      </c>
      <c r="D155" s="3">
        <f>'Monthly D4 Gallon Data'!$S32</f>
        <v>227664</v>
      </c>
      <c r="E155" s="3">
        <f>'Monthly D4 Gallon Data'!$S44</f>
        <v>58759</v>
      </c>
      <c r="F155" s="3">
        <f>'Monthly D4 Gallon Data'!$S56</f>
        <v>8646</v>
      </c>
      <c r="G155" s="3">
        <f>'Monthly D4 Gallon Data'!$S68</f>
        <v>0</v>
      </c>
      <c r="H155" s="3">
        <f>'Monthly D4 Gallon Data'!$S80</f>
        <v>0</v>
      </c>
      <c r="I155" s="3">
        <f>'Monthly D4 Gallon Data'!$S92</f>
        <v>0</v>
      </c>
      <c r="J155" s="3">
        <f>'Monthly D4 Gallon Data'!$S104</f>
        <v>0</v>
      </c>
      <c r="K155" s="3">
        <f>'Monthly D4 Gallon Data'!$S116</f>
        <v>0</v>
      </c>
      <c r="L155" s="3">
        <f>'Monthly D4 Gallon Data'!$S128</f>
        <v>0</v>
      </c>
      <c r="M155" s="3">
        <f>'Monthly D4 Gallon Data'!$S140</f>
        <v>0</v>
      </c>
      <c r="N155" s="3">
        <f>'Monthly D4 Gallon Data'!$S152</f>
        <v>0</v>
      </c>
      <c r="O155" s="3">
        <f>'Monthly D4 Gallon Data'!$S164</f>
        <v>0</v>
      </c>
      <c r="P155" s="3">
        <f>'Monthly D4 Gallon Data'!$S176</f>
        <v>0</v>
      </c>
      <c r="Q155" s="4">
        <v>0</v>
      </c>
      <c r="R155" s="4">
        <v>0</v>
      </c>
      <c r="S155" s="4">
        <v>0</v>
      </c>
      <c r="T155" s="4">
        <v>0</v>
      </c>
      <c r="U155" s="4">
        <v>0</v>
      </c>
      <c r="V155" s="4">
        <v>0</v>
      </c>
      <c r="W155" s="4">
        <v>0</v>
      </c>
      <c r="X155" s="4">
        <v>0</v>
      </c>
      <c r="Y155" s="4">
        <v>0</v>
      </c>
      <c r="Z155" s="4">
        <v>0</v>
      </c>
      <c r="AA155" s="4">
        <v>0</v>
      </c>
      <c r="AB155" s="4">
        <v>0</v>
      </c>
      <c r="AC155" s="4">
        <v>0</v>
      </c>
      <c r="AD155" s="4">
        <v>0</v>
      </c>
      <c r="AE155" s="4">
        <v>0</v>
      </c>
      <c r="AF155" s="4">
        <v>0</v>
      </c>
      <c r="AG155" s="4">
        <v>0</v>
      </c>
      <c r="AH155" s="4">
        <v>0</v>
      </c>
      <c r="AI155" s="4">
        <v>0</v>
      </c>
      <c r="AJ155" s="4">
        <v>0</v>
      </c>
      <c r="AK155" s="4">
        <v>0</v>
      </c>
      <c r="AL155" s="4">
        <v>0</v>
      </c>
      <c r="AM155" s="4">
        <v>0</v>
      </c>
      <c r="AN155" s="4">
        <v>0</v>
      </c>
      <c r="AO155" s="4">
        <v>0</v>
      </c>
      <c r="AP155" s="4">
        <v>0</v>
      </c>
      <c r="AQ155" s="4">
        <v>1</v>
      </c>
      <c r="AR155" s="4"/>
      <c r="AS155" s="4"/>
      <c r="AT155" s="4"/>
      <c r="AU155" s="4"/>
      <c r="AV155" s="4"/>
      <c r="AW155" s="4"/>
      <c r="AX155" s="4"/>
      <c r="AY155" s="3"/>
      <c r="BA155" s="3">
        <v>0</v>
      </c>
      <c r="BB155" s="3">
        <f t="shared" si="168"/>
        <v>0</v>
      </c>
      <c r="BC155" s="3">
        <v>0</v>
      </c>
      <c r="BD155" s="3">
        <f t="shared" si="169"/>
        <v>0</v>
      </c>
      <c r="BE155" s="3">
        <v>0</v>
      </c>
      <c r="BF155" s="3">
        <f t="shared" si="170"/>
        <v>0</v>
      </c>
      <c r="BG155" s="3">
        <v>0</v>
      </c>
      <c r="BH155" s="3"/>
      <c r="BI155" s="3"/>
      <c r="BJ155" s="4">
        <v>0</v>
      </c>
      <c r="BK155" s="3">
        <f t="shared" si="165"/>
        <v>0</v>
      </c>
      <c r="BL155" s="3">
        <f t="shared" si="166"/>
        <v>0</v>
      </c>
      <c r="BM155" s="177">
        <f t="shared" si="167"/>
        <v>0</v>
      </c>
      <c r="BN155" s="3"/>
      <c r="BR155" s="3"/>
      <c r="BS155" s="3"/>
      <c r="BT155" s="3"/>
      <c r="BU155" s="3"/>
      <c r="BV155" s="3"/>
      <c r="BW155" s="3"/>
      <c r="BX155" s="3"/>
      <c r="BY155" s="3"/>
      <c r="BZ155" s="3"/>
      <c r="CA155" s="3"/>
      <c r="CB155" s="3"/>
      <c r="CC155" s="4"/>
      <c r="CD155" s="3"/>
      <c r="CE155" s="3"/>
      <c r="CF155" s="3"/>
      <c r="CG155" s="3"/>
      <c r="CH155" s="3"/>
      <c r="CI155" s="3"/>
      <c r="CJ155" s="3"/>
      <c r="CK155" s="3"/>
      <c r="CL155" s="3"/>
      <c r="CM155" s="3"/>
      <c r="CN155" s="3"/>
      <c r="CO155" s="3"/>
      <c r="CP155" s="3"/>
    </row>
    <row r="156" spans="1:94">
      <c r="A156" s="2" t="s">
        <v>50</v>
      </c>
      <c r="B156" s="3">
        <f>'Monthly D4 Gallon Data'!$S9</f>
        <v>0</v>
      </c>
      <c r="C156" s="3">
        <f>'Monthly D4 Gallon Data'!$S21</f>
        <v>65973</v>
      </c>
      <c r="D156" s="3">
        <f>'Monthly D4 Gallon Data'!$S33</f>
        <v>45870</v>
      </c>
      <c r="E156" s="3">
        <f>'Monthly D4 Gallon Data'!$S45</f>
        <v>0</v>
      </c>
      <c r="F156" s="3">
        <f>'Monthly D4 Gallon Data'!$S57</f>
        <v>0</v>
      </c>
      <c r="G156" s="3">
        <f>'Monthly D4 Gallon Data'!$S69</f>
        <v>0</v>
      </c>
      <c r="H156" s="3">
        <f>'Monthly D4 Gallon Data'!$S81</f>
        <v>0</v>
      </c>
      <c r="I156" s="3">
        <f>'Monthly D4 Gallon Data'!$S93</f>
        <v>0</v>
      </c>
      <c r="J156" s="3">
        <f>'Monthly D4 Gallon Data'!$S105</f>
        <v>0</v>
      </c>
      <c r="K156" s="3">
        <f>'Monthly D4 Gallon Data'!$S117</f>
        <v>0</v>
      </c>
      <c r="L156" s="3">
        <f>'Monthly D4 Gallon Data'!$S129</f>
        <v>0</v>
      </c>
      <c r="M156" s="3">
        <f>'Monthly D4 Gallon Data'!$S141</f>
        <v>0</v>
      </c>
      <c r="N156" s="3">
        <f>'Monthly D4 Gallon Data'!$S153</f>
        <v>0</v>
      </c>
      <c r="O156" s="3">
        <f>'Monthly D4 Gallon Data'!$S165</f>
        <v>0</v>
      </c>
      <c r="P156" s="3">
        <f>'Monthly D4 Gallon Data'!$S177</f>
        <v>0</v>
      </c>
      <c r="Q156" s="4">
        <v>0</v>
      </c>
      <c r="R156" s="4">
        <v>0</v>
      </c>
      <c r="S156" s="4">
        <v>0</v>
      </c>
      <c r="T156" s="4">
        <v>0</v>
      </c>
      <c r="U156" s="4">
        <v>0</v>
      </c>
      <c r="V156" s="4">
        <v>0</v>
      </c>
      <c r="W156" s="4">
        <v>0</v>
      </c>
      <c r="X156" s="4">
        <v>0</v>
      </c>
      <c r="Y156" s="4">
        <v>0</v>
      </c>
      <c r="Z156" s="4">
        <v>0</v>
      </c>
      <c r="AA156" s="4">
        <v>0</v>
      </c>
      <c r="AB156" s="4">
        <v>0</v>
      </c>
      <c r="AC156" s="4">
        <v>0</v>
      </c>
      <c r="AD156" s="4">
        <v>0</v>
      </c>
      <c r="AE156" s="4">
        <v>0</v>
      </c>
      <c r="AF156" s="4">
        <v>0</v>
      </c>
      <c r="AG156" s="4">
        <v>0</v>
      </c>
      <c r="AH156" s="4">
        <v>0</v>
      </c>
      <c r="AI156" s="4">
        <v>0</v>
      </c>
      <c r="AJ156" s="4">
        <v>0</v>
      </c>
      <c r="AK156" s="4">
        <v>0</v>
      </c>
      <c r="AL156" s="4">
        <v>0</v>
      </c>
      <c r="AM156" s="4">
        <v>0</v>
      </c>
      <c r="AN156" s="4">
        <v>0</v>
      </c>
      <c r="AO156" s="4">
        <v>0</v>
      </c>
      <c r="AP156" s="4">
        <v>0</v>
      </c>
      <c r="AQ156" s="4">
        <v>1</v>
      </c>
      <c r="AR156" s="4"/>
      <c r="AS156" s="4"/>
      <c r="AT156" s="4"/>
      <c r="AU156" s="4"/>
      <c r="AV156" s="4"/>
      <c r="AW156" s="4"/>
      <c r="AX156" s="4"/>
      <c r="AY156" s="3"/>
      <c r="BA156" s="3">
        <v>0</v>
      </c>
      <c r="BB156" s="3">
        <f t="shared" si="168"/>
        <v>0</v>
      </c>
      <c r="BC156" s="3">
        <v>0</v>
      </c>
      <c r="BD156" s="3">
        <f t="shared" si="169"/>
        <v>0</v>
      </c>
      <c r="BE156" s="3">
        <v>0</v>
      </c>
      <c r="BF156" s="3">
        <f t="shared" si="170"/>
        <v>0</v>
      </c>
      <c r="BG156" s="3">
        <v>0</v>
      </c>
      <c r="BH156" s="3"/>
      <c r="BI156" s="3"/>
      <c r="BJ156" s="4">
        <v>0</v>
      </c>
      <c r="BK156" s="3">
        <f t="shared" si="165"/>
        <v>0</v>
      </c>
      <c r="BL156" s="3">
        <f t="shared" si="166"/>
        <v>0</v>
      </c>
      <c r="BM156" s="177">
        <f t="shared" si="167"/>
        <v>0</v>
      </c>
      <c r="BN156" s="3"/>
      <c r="BR156" s="3"/>
      <c r="BS156" s="3"/>
      <c r="BT156" s="3"/>
      <c r="BU156" s="3"/>
      <c r="BV156" s="3"/>
      <c r="BW156" s="3"/>
      <c r="BX156" s="3"/>
      <c r="BY156" s="3"/>
      <c r="BZ156" s="3"/>
      <c r="CA156" s="3"/>
      <c r="CB156" s="3"/>
      <c r="CC156" s="4"/>
      <c r="CD156" s="3"/>
      <c r="CE156" s="3"/>
      <c r="CF156" s="3"/>
      <c r="CG156" s="3"/>
      <c r="CH156" s="3"/>
      <c r="CI156" s="3"/>
      <c r="CJ156" s="3"/>
      <c r="CK156" s="3"/>
      <c r="CL156" s="3"/>
      <c r="CM156" s="3"/>
      <c r="CN156" s="3"/>
      <c r="CO156" s="3"/>
      <c r="CP156" s="3"/>
    </row>
    <row r="157" spans="1:94">
      <c r="A157" s="2" t="s">
        <v>51</v>
      </c>
      <c r="B157" s="3">
        <f>'Monthly D4 Gallon Data'!$S10</f>
        <v>0</v>
      </c>
      <c r="C157" s="3">
        <f>'Monthly D4 Gallon Data'!$S22</f>
        <v>15600</v>
      </c>
      <c r="D157" s="3">
        <f>'Monthly D4 Gallon Data'!$S34</f>
        <v>142502</v>
      </c>
      <c r="E157" s="3">
        <f>'Monthly D4 Gallon Data'!$S46</f>
        <v>0</v>
      </c>
      <c r="F157" s="3">
        <f>'Monthly D4 Gallon Data'!$S58</f>
        <v>17718</v>
      </c>
      <c r="G157" s="3">
        <f>'Monthly D4 Gallon Data'!$S70</f>
        <v>0</v>
      </c>
      <c r="H157" s="3">
        <f>'Monthly D4 Gallon Data'!$S82</f>
        <v>0</v>
      </c>
      <c r="I157" s="3">
        <f>'Monthly D4 Gallon Data'!$S94</f>
        <v>0</v>
      </c>
      <c r="J157" s="3">
        <f>'Monthly D4 Gallon Data'!$S106</f>
        <v>0</v>
      </c>
      <c r="K157" s="3">
        <f>'Monthly D4 Gallon Data'!$S118</f>
        <v>0</v>
      </c>
      <c r="L157" s="3">
        <f>'Monthly D4 Gallon Data'!$S130</f>
        <v>0</v>
      </c>
      <c r="M157" s="3">
        <f>'Monthly D4 Gallon Data'!$S142</f>
        <v>0</v>
      </c>
      <c r="N157" s="3">
        <f>'Monthly D4 Gallon Data'!$S154</f>
        <v>0</v>
      </c>
      <c r="O157" s="3">
        <f>'Monthly D4 Gallon Data'!$S166</f>
        <v>0</v>
      </c>
      <c r="P157" s="3">
        <f>'Monthly D4 Gallon Data'!$S178</f>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0</v>
      </c>
      <c r="AN157" s="4">
        <v>0</v>
      </c>
      <c r="AO157" s="4">
        <v>0</v>
      </c>
      <c r="AP157" s="4">
        <v>0</v>
      </c>
      <c r="AQ157" s="4">
        <v>1</v>
      </c>
      <c r="AR157" s="4"/>
      <c r="AS157" s="4"/>
      <c r="AT157" s="4"/>
      <c r="AU157" s="4"/>
      <c r="AV157" s="4"/>
      <c r="AW157" s="4"/>
      <c r="AX157" s="4"/>
      <c r="AY157" s="3"/>
      <c r="BA157" s="3">
        <v>0</v>
      </c>
      <c r="BB157" s="3">
        <f t="shared" si="168"/>
        <v>0</v>
      </c>
      <c r="BC157" s="3">
        <v>0</v>
      </c>
      <c r="BD157" s="3">
        <f t="shared" si="169"/>
        <v>0</v>
      </c>
      <c r="BE157" s="3">
        <v>0</v>
      </c>
      <c r="BF157" s="3">
        <f t="shared" si="170"/>
        <v>0</v>
      </c>
      <c r="BG157" s="3">
        <v>0</v>
      </c>
      <c r="BH157" s="3"/>
      <c r="BI157" s="3"/>
      <c r="BJ157" s="4">
        <v>0</v>
      </c>
      <c r="BK157" s="3">
        <f t="shared" si="165"/>
        <v>0</v>
      </c>
      <c r="BL157" s="3">
        <f t="shared" si="166"/>
        <v>0</v>
      </c>
      <c r="BM157" s="177">
        <f t="shared" si="167"/>
        <v>0</v>
      </c>
      <c r="BN157" s="3"/>
      <c r="BR157" s="3"/>
      <c r="BS157" s="3"/>
      <c r="BT157" s="3"/>
      <c r="BU157" s="3"/>
      <c r="BV157" s="3"/>
      <c r="BW157" s="3"/>
      <c r="BX157" s="3"/>
      <c r="BY157" s="3"/>
      <c r="BZ157" s="3"/>
      <c r="CA157" s="3"/>
      <c r="CB157" s="3"/>
      <c r="CC157" s="4"/>
      <c r="CD157" s="3"/>
      <c r="CE157" s="3"/>
      <c r="CF157" s="3"/>
      <c r="CG157" s="3"/>
      <c r="CH157" s="3"/>
      <c r="CI157" s="3"/>
      <c r="CJ157" s="3"/>
      <c r="CK157" s="3"/>
      <c r="CL157" s="3"/>
      <c r="CM157" s="3"/>
      <c r="CN157" s="3"/>
      <c r="CO157" s="3"/>
      <c r="CP157" s="3"/>
    </row>
    <row r="158" spans="1:94">
      <c r="A158" s="2" t="s">
        <v>52</v>
      </c>
      <c r="B158" s="3">
        <f>'Monthly D4 Gallon Data'!$S11</f>
        <v>0</v>
      </c>
      <c r="C158" s="3">
        <f>'Monthly D4 Gallon Data'!$S23</f>
        <v>30000</v>
      </c>
      <c r="D158" s="3">
        <f>'Monthly D4 Gallon Data'!$S35</f>
        <v>203290</v>
      </c>
      <c r="E158" s="3">
        <f>'Monthly D4 Gallon Data'!$S47</f>
        <v>0</v>
      </c>
      <c r="F158" s="3">
        <f>'Monthly D4 Gallon Data'!$S59</f>
        <v>33044</v>
      </c>
      <c r="G158" s="3">
        <f>'Monthly D4 Gallon Data'!$S71</f>
        <v>0</v>
      </c>
      <c r="H158" s="3">
        <f>'Monthly D4 Gallon Data'!$S83</f>
        <v>0</v>
      </c>
      <c r="I158" s="3">
        <f>'Monthly D4 Gallon Data'!$S95</f>
        <v>0</v>
      </c>
      <c r="J158" s="3">
        <f>'Monthly D4 Gallon Data'!$S107</f>
        <v>0</v>
      </c>
      <c r="K158" s="3">
        <f>'Monthly D4 Gallon Data'!$S119</f>
        <v>0</v>
      </c>
      <c r="L158" s="3">
        <f>'Monthly D4 Gallon Data'!$S131</f>
        <v>0</v>
      </c>
      <c r="M158" s="3">
        <f>'Monthly D4 Gallon Data'!$S143</f>
        <v>0</v>
      </c>
      <c r="N158" s="3">
        <f>'Monthly D4 Gallon Data'!$S155</f>
        <v>0</v>
      </c>
      <c r="O158" s="3">
        <f>'Monthly D4 Gallon Data'!$S167</f>
        <v>0</v>
      </c>
      <c r="P158" s="3">
        <f>'Monthly D4 Gallon Data'!$S179</f>
        <v>0</v>
      </c>
      <c r="Q158" s="4">
        <v>0</v>
      </c>
      <c r="R158" s="4">
        <v>0</v>
      </c>
      <c r="S158" s="4">
        <v>0</v>
      </c>
      <c r="T158" s="4">
        <v>0</v>
      </c>
      <c r="U158" s="4">
        <v>0</v>
      </c>
      <c r="V158" s="4">
        <v>0</v>
      </c>
      <c r="W158" s="4">
        <v>0</v>
      </c>
      <c r="X158" s="4">
        <v>0</v>
      </c>
      <c r="Y158" s="4">
        <v>0</v>
      </c>
      <c r="Z158" s="4">
        <v>0</v>
      </c>
      <c r="AA158" s="4">
        <v>0</v>
      </c>
      <c r="AB158" s="4">
        <v>0</v>
      </c>
      <c r="AC158" s="4">
        <v>0</v>
      </c>
      <c r="AD158" s="4">
        <v>0</v>
      </c>
      <c r="AE158" s="4">
        <v>0</v>
      </c>
      <c r="AF158" s="4">
        <v>0</v>
      </c>
      <c r="AG158" s="4">
        <v>0</v>
      </c>
      <c r="AH158" s="4">
        <v>0</v>
      </c>
      <c r="AI158" s="4">
        <v>0</v>
      </c>
      <c r="AJ158" s="4">
        <v>0</v>
      </c>
      <c r="AK158" s="4">
        <v>0</v>
      </c>
      <c r="AL158" s="4">
        <v>0</v>
      </c>
      <c r="AM158" s="4">
        <v>0</v>
      </c>
      <c r="AN158" s="4">
        <v>0</v>
      </c>
      <c r="AO158" s="4">
        <v>0</v>
      </c>
      <c r="AP158" s="4">
        <v>0</v>
      </c>
      <c r="AQ158" s="4">
        <v>1</v>
      </c>
      <c r="AR158" s="4"/>
      <c r="AS158" s="4"/>
      <c r="AT158" s="4"/>
      <c r="AU158" s="4"/>
      <c r="AV158" s="4"/>
      <c r="AW158" s="4"/>
      <c r="AX158" s="4"/>
      <c r="AY158" s="3"/>
      <c r="BA158" s="3">
        <v>0</v>
      </c>
      <c r="BB158" s="3">
        <f t="shared" si="168"/>
        <v>0</v>
      </c>
      <c r="BC158" s="3">
        <v>0</v>
      </c>
      <c r="BD158" s="3">
        <f t="shared" si="169"/>
        <v>0</v>
      </c>
      <c r="BE158" s="3">
        <v>0</v>
      </c>
      <c r="BF158" s="3">
        <f t="shared" si="170"/>
        <v>0</v>
      </c>
      <c r="BG158" s="3">
        <v>0</v>
      </c>
      <c r="BH158" s="3"/>
      <c r="BI158" s="3"/>
      <c r="BJ158" s="4">
        <v>0</v>
      </c>
      <c r="BK158" s="3">
        <f t="shared" si="165"/>
        <v>0</v>
      </c>
      <c r="BL158" s="3">
        <f t="shared" si="166"/>
        <v>0</v>
      </c>
      <c r="BM158" s="177">
        <f t="shared" si="167"/>
        <v>0</v>
      </c>
      <c r="BN158" s="3"/>
      <c r="BR158" s="3"/>
      <c r="BS158" s="3"/>
      <c r="BT158" s="3"/>
      <c r="BU158" s="3"/>
      <c r="BV158" s="3"/>
      <c r="BW158" s="3"/>
      <c r="BX158" s="3"/>
      <c r="BY158" s="3"/>
      <c r="BZ158" s="3"/>
      <c r="CA158" s="3"/>
      <c r="CB158" s="3"/>
      <c r="CC158" s="4"/>
      <c r="CD158" s="3"/>
      <c r="CE158" s="3"/>
      <c r="CF158" s="3"/>
      <c r="CG158" s="3"/>
      <c r="CH158" s="3"/>
      <c r="CI158" s="3"/>
      <c r="CJ158" s="3"/>
      <c r="CK158" s="3"/>
      <c r="CL158" s="3"/>
      <c r="CM158" s="3"/>
      <c r="CN158" s="3"/>
      <c r="CO158" s="3"/>
      <c r="CP158" s="3"/>
    </row>
    <row r="159" spans="1:94">
      <c r="A159" s="2" t="s">
        <v>53</v>
      </c>
      <c r="B159" s="3">
        <f>'Monthly D4 Gallon Data'!$S12</f>
        <v>0</v>
      </c>
      <c r="C159" s="3">
        <f>'Monthly D4 Gallon Data'!$S24</f>
        <v>0</v>
      </c>
      <c r="D159" s="3">
        <f>'Monthly D4 Gallon Data'!$S36</f>
        <v>0</v>
      </c>
      <c r="E159" s="3">
        <f>'Monthly D4 Gallon Data'!$S48</f>
        <v>0</v>
      </c>
      <c r="F159" s="3">
        <f>'Monthly D4 Gallon Data'!$S60</f>
        <v>25050</v>
      </c>
      <c r="G159" s="3">
        <f>'Monthly D4 Gallon Data'!$S72</f>
        <v>0</v>
      </c>
      <c r="H159" s="3">
        <f>'Monthly D4 Gallon Data'!$S84</f>
        <v>0</v>
      </c>
      <c r="I159" s="3">
        <f>'Monthly D4 Gallon Data'!$S96</f>
        <v>0</v>
      </c>
      <c r="J159" s="3">
        <f>'Monthly D4 Gallon Data'!$S108</f>
        <v>0</v>
      </c>
      <c r="K159" s="3">
        <f>'Monthly D4 Gallon Data'!$S120</f>
        <v>0</v>
      </c>
      <c r="L159" s="3">
        <f>'Monthly D4 Gallon Data'!$S132</f>
        <v>0</v>
      </c>
      <c r="M159" s="3">
        <f>'Monthly D4 Gallon Data'!$S144</f>
        <v>0</v>
      </c>
      <c r="N159" s="3">
        <f>'Monthly D4 Gallon Data'!$S156</f>
        <v>0</v>
      </c>
      <c r="O159" s="3">
        <f>'Monthly D4 Gallon Data'!$S168</f>
        <v>0</v>
      </c>
      <c r="P159" s="3">
        <f>'Monthly D4 Gallon Data'!$S180</f>
        <v>0</v>
      </c>
      <c r="Q159" s="4">
        <v>0</v>
      </c>
      <c r="R159" s="4">
        <v>0</v>
      </c>
      <c r="S159" s="4">
        <v>0</v>
      </c>
      <c r="T159" s="4">
        <v>0</v>
      </c>
      <c r="U159" s="4">
        <v>0</v>
      </c>
      <c r="V159" s="4">
        <v>0</v>
      </c>
      <c r="W159" s="4">
        <v>0</v>
      </c>
      <c r="X159" s="4">
        <v>0</v>
      </c>
      <c r="Y159" s="4">
        <v>0</v>
      </c>
      <c r="Z159" s="4">
        <v>0</v>
      </c>
      <c r="AA159" s="4">
        <v>0</v>
      </c>
      <c r="AB159" s="4">
        <v>0</v>
      </c>
      <c r="AC159" s="4">
        <v>0</v>
      </c>
      <c r="AD159" s="4">
        <v>0</v>
      </c>
      <c r="AE159" s="4">
        <v>0</v>
      </c>
      <c r="AF159" s="4">
        <v>0</v>
      </c>
      <c r="AG159" s="4">
        <v>0</v>
      </c>
      <c r="AH159" s="4">
        <v>0</v>
      </c>
      <c r="AI159" s="4">
        <v>0</v>
      </c>
      <c r="AJ159" s="4">
        <v>0</v>
      </c>
      <c r="AK159" s="4">
        <v>0</v>
      </c>
      <c r="AL159" s="4">
        <v>0</v>
      </c>
      <c r="AM159" s="4">
        <v>0</v>
      </c>
      <c r="AN159" s="4">
        <v>0</v>
      </c>
      <c r="AO159" s="4">
        <v>0</v>
      </c>
      <c r="AP159" s="4">
        <v>0</v>
      </c>
      <c r="AQ159" s="4">
        <v>1</v>
      </c>
      <c r="AR159" s="4"/>
      <c r="AS159" s="4"/>
      <c r="AT159" s="4"/>
      <c r="AU159" s="4"/>
      <c r="AV159" s="4"/>
      <c r="AW159" s="4"/>
      <c r="AX159" s="4"/>
      <c r="AY159" s="3"/>
      <c r="BA159" s="3">
        <v>0</v>
      </c>
      <c r="BB159" s="3">
        <f t="shared" si="168"/>
        <v>0</v>
      </c>
      <c r="BC159" s="3">
        <v>0</v>
      </c>
      <c r="BD159" s="3">
        <f t="shared" si="169"/>
        <v>0</v>
      </c>
      <c r="BE159" s="3">
        <v>0</v>
      </c>
      <c r="BF159" s="3">
        <f t="shared" si="170"/>
        <v>0</v>
      </c>
      <c r="BG159" s="3">
        <v>0</v>
      </c>
      <c r="BH159" s="3"/>
      <c r="BI159" s="3"/>
      <c r="BJ159" s="4">
        <v>0</v>
      </c>
      <c r="BK159" s="3">
        <f t="shared" si="165"/>
        <v>0</v>
      </c>
      <c r="BL159" s="3">
        <f t="shared" si="166"/>
        <v>0</v>
      </c>
      <c r="BM159" s="177">
        <f t="shared" si="167"/>
        <v>0</v>
      </c>
      <c r="BN159" s="3"/>
      <c r="BR159" s="3"/>
      <c r="BS159" s="3"/>
      <c r="BT159" s="3"/>
      <c r="BU159" s="3"/>
      <c r="BV159" s="3"/>
      <c r="BW159" s="3"/>
      <c r="BX159" s="3"/>
      <c r="BY159" s="3"/>
      <c r="BZ159" s="3"/>
      <c r="CA159" s="3"/>
      <c r="CB159" s="3"/>
      <c r="CC159" s="4"/>
      <c r="CD159" s="3"/>
      <c r="CE159" s="3"/>
      <c r="CF159" s="3"/>
      <c r="CG159" s="3"/>
      <c r="CH159" s="3"/>
      <c r="CI159" s="3"/>
      <c r="CJ159" s="3"/>
      <c r="CK159" s="3"/>
      <c r="CL159" s="3"/>
      <c r="CM159" s="3"/>
      <c r="CN159" s="3"/>
      <c r="CO159" s="3"/>
      <c r="CP159" s="3"/>
    </row>
    <row r="160" spans="1:94">
      <c r="A160" s="2" t="s">
        <v>54</v>
      </c>
      <c r="B160" s="3">
        <f>'Monthly D4 Gallon Data'!$S13</f>
        <v>0</v>
      </c>
      <c r="C160" s="3">
        <f>'Monthly D4 Gallon Data'!$S25</f>
        <v>0</v>
      </c>
      <c r="D160" s="3">
        <f>'Monthly D4 Gallon Data'!$S37</f>
        <v>0</v>
      </c>
      <c r="E160" s="3">
        <f>'Monthly D4 Gallon Data'!$S49</f>
        <v>258432</v>
      </c>
      <c r="F160" s="3">
        <f>'Monthly D4 Gallon Data'!$S61</f>
        <v>31434</v>
      </c>
      <c r="G160" s="3">
        <f>'Monthly D4 Gallon Data'!$S73</f>
        <v>0</v>
      </c>
      <c r="H160" s="3">
        <f>'Monthly D4 Gallon Data'!$S85</f>
        <v>0</v>
      </c>
      <c r="I160" s="3">
        <f>'Monthly D4 Gallon Data'!$S97</f>
        <v>0</v>
      </c>
      <c r="J160" s="3">
        <f>'Monthly D4 Gallon Data'!$S109</f>
        <v>0</v>
      </c>
      <c r="K160" s="3">
        <f>'Monthly D4 Gallon Data'!$S121</f>
        <v>0</v>
      </c>
      <c r="L160" s="3">
        <f>'Monthly D4 Gallon Data'!$S133</f>
        <v>0</v>
      </c>
      <c r="M160" s="3">
        <f>'Monthly D4 Gallon Data'!$S145</f>
        <v>0</v>
      </c>
      <c r="N160" s="3">
        <f>'Monthly D4 Gallon Data'!$S157</f>
        <v>0</v>
      </c>
      <c r="O160" s="3">
        <f>'Monthly D4 Gallon Data'!$S169</f>
        <v>0</v>
      </c>
      <c r="P160" s="3">
        <f>'Monthly D4 Gallon Data'!$S181</f>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0</v>
      </c>
      <c r="AG160" s="4">
        <v>0</v>
      </c>
      <c r="AH160" s="4">
        <v>0</v>
      </c>
      <c r="AI160" s="4">
        <v>0</v>
      </c>
      <c r="AJ160" s="4">
        <v>0</v>
      </c>
      <c r="AK160" s="4">
        <v>0</v>
      </c>
      <c r="AL160" s="4">
        <v>0</v>
      </c>
      <c r="AM160" s="4">
        <v>0</v>
      </c>
      <c r="AN160" s="4">
        <v>0</v>
      </c>
      <c r="AO160" s="4">
        <v>0</v>
      </c>
      <c r="AP160" s="4">
        <v>0</v>
      </c>
      <c r="AQ160" s="4">
        <v>1</v>
      </c>
      <c r="AR160" s="4"/>
      <c r="AS160" s="4"/>
      <c r="AT160" s="4"/>
      <c r="AU160" s="4"/>
      <c r="AV160" s="4"/>
      <c r="AW160" s="4"/>
      <c r="AX160" s="4"/>
      <c r="AY160" s="3"/>
      <c r="BA160" s="3">
        <v>0</v>
      </c>
      <c r="BB160" s="3">
        <f t="shared" si="168"/>
        <v>0</v>
      </c>
      <c r="BC160" s="3">
        <v>0</v>
      </c>
      <c r="BD160" s="3">
        <f t="shared" si="169"/>
        <v>0</v>
      </c>
      <c r="BE160" s="3">
        <v>0</v>
      </c>
      <c r="BF160" s="3">
        <f t="shared" si="170"/>
        <v>0</v>
      </c>
      <c r="BG160" s="3">
        <v>0</v>
      </c>
      <c r="BH160" s="3"/>
      <c r="BI160" s="3"/>
      <c r="BJ160" s="4">
        <v>0</v>
      </c>
      <c r="BK160" s="3">
        <f t="shared" si="165"/>
        <v>0</v>
      </c>
      <c r="BL160" s="3">
        <f t="shared" si="166"/>
        <v>0</v>
      </c>
      <c r="BM160" s="177">
        <f t="shared" si="167"/>
        <v>0</v>
      </c>
      <c r="BN160" s="3"/>
      <c r="BR160" s="3"/>
      <c r="BS160" s="3"/>
      <c r="BT160" s="3"/>
      <c r="BU160" s="3"/>
      <c r="BV160" s="3"/>
      <c r="BW160" s="3"/>
      <c r="BX160" s="3"/>
      <c r="BY160" s="3"/>
      <c r="BZ160" s="3"/>
      <c r="CA160" s="3"/>
      <c r="CB160" s="3"/>
      <c r="CC160" s="4"/>
      <c r="CD160" s="3"/>
      <c r="CE160" s="3"/>
      <c r="CF160" s="3"/>
      <c r="CG160" s="3"/>
      <c r="CH160" s="3"/>
      <c r="CI160" s="3"/>
      <c r="CJ160" s="3"/>
      <c r="CK160" s="3"/>
      <c r="CL160" s="3"/>
      <c r="CM160" s="3"/>
      <c r="CN160" s="3"/>
      <c r="CO160" s="3"/>
      <c r="CP160" s="3"/>
    </row>
    <row r="161" spans="1:94" ht="13.5" thickBot="1">
      <c r="A161" s="2" t="s">
        <v>29</v>
      </c>
      <c r="B161" s="3">
        <f>SUM(B149:B160)</f>
        <v>0</v>
      </c>
      <c r="C161" s="3">
        <f t="shared" ref="C161:AQ161" si="171">SUM(C149:C160)</f>
        <v>140177</v>
      </c>
      <c r="D161" s="3">
        <f t="shared" si="171"/>
        <v>959282</v>
      </c>
      <c r="E161" s="3">
        <f t="shared" si="171"/>
        <v>502934</v>
      </c>
      <c r="F161" s="3">
        <f t="shared" si="171"/>
        <v>205293</v>
      </c>
      <c r="G161" s="3">
        <f t="shared" si="171"/>
        <v>0</v>
      </c>
      <c r="H161" s="3">
        <f t="shared" si="171"/>
        <v>0</v>
      </c>
      <c r="I161" s="3">
        <f t="shared" si="171"/>
        <v>0</v>
      </c>
      <c r="J161" s="3">
        <f t="shared" si="171"/>
        <v>0</v>
      </c>
      <c r="K161" s="3">
        <f t="shared" si="171"/>
        <v>0</v>
      </c>
      <c r="L161" s="3">
        <f t="shared" si="171"/>
        <v>0</v>
      </c>
      <c r="M161" s="3">
        <f t="shared" si="171"/>
        <v>0</v>
      </c>
      <c r="N161" s="3">
        <f t="shared" si="171"/>
        <v>0</v>
      </c>
      <c r="O161" s="3">
        <f t="shared" si="171"/>
        <v>0</v>
      </c>
      <c r="P161" s="3">
        <f t="shared" si="171"/>
        <v>0</v>
      </c>
      <c r="Q161" s="4">
        <f t="shared" si="171"/>
        <v>0</v>
      </c>
      <c r="R161" s="4">
        <f t="shared" si="171"/>
        <v>0</v>
      </c>
      <c r="S161" s="4">
        <f t="shared" si="171"/>
        <v>0</v>
      </c>
      <c r="T161" s="4">
        <f t="shared" si="171"/>
        <v>0</v>
      </c>
      <c r="U161" s="4">
        <f t="shared" si="171"/>
        <v>0</v>
      </c>
      <c r="V161" s="4">
        <f t="shared" si="171"/>
        <v>0</v>
      </c>
      <c r="W161" s="4">
        <f t="shared" si="171"/>
        <v>0</v>
      </c>
      <c r="X161" s="4">
        <f t="shared" si="171"/>
        <v>0</v>
      </c>
      <c r="Y161" s="4">
        <f t="shared" si="171"/>
        <v>0</v>
      </c>
      <c r="Z161" s="4">
        <f t="shared" si="171"/>
        <v>0</v>
      </c>
      <c r="AA161" s="4">
        <f t="shared" si="171"/>
        <v>0</v>
      </c>
      <c r="AB161" s="4">
        <f t="shared" si="171"/>
        <v>0</v>
      </c>
      <c r="AC161" s="4">
        <f t="shared" si="171"/>
        <v>0</v>
      </c>
      <c r="AD161" s="4">
        <f t="shared" si="171"/>
        <v>0</v>
      </c>
      <c r="AE161" s="4">
        <f t="shared" si="171"/>
        <v>0</v>
      </c>
      <c r="AF161" s="4">
        <f t="shared" si="171"/>
        <v>0</v>
      </c>
      <c r="AG161" s="4">
        <f t="shared" si="171"/>
        <v>0</v>
      </c>
      <c r="AH161" s="4">
        <f t="shared" si="171"/>
        <v>0</v>
      </c>
      <c r="AI161" s="4">
        <f t="shared" si="171"/>
        <v>0</v>
      </c>
      <c r="AJ161" s="4">
        <f t="shared" si="171"/>
        <v>0</v>
      </c>
      <c r="AK161" s="4">
        <f t="shared" si="171"/>
        <v>0</v>
      </c>
      <c r="AL161" s="4">
        <f t="shared" si="171"/>
        <v>0</v>
      </c>
      <c r="AM161" s="4">
        <f t="shared" si="171"/>
        <v>0</v>
      </c>
      <c r="AN161" s="4">
        <f t="shared" si="171"/>
        <v>0</v>
      </c>
      <c r="AO161" s="4">
        <f t="shared" si="171"/>
        <v>0</v>
      </c>
      <c r="AP161" s="4">
        <f t="shared" si="171"/>
        <v>0</v>
      </c>
      <c r="AQ161" s="4">
        <f t="shared" si="171"/>
        <v>12</v>
      </c>
      <c r="AR161" s="4"/>
      <c r="AS161" s="4"/>
      <c r="AT161" s="4"/>
      <c r="AU161" s="4"/>
      <c r="AV161" s="4"/>
      <c r="AW161" s="4"/>
      <c r="AX161" s="4"/>
      <c r="AY161" s="3"/>
      <c r="BA161" s="3">
        <v>0</v>
      </c>
      <c r="BB161" s="3">
        <f t="shared" si="168"/>
        <v>0</v>
      </c>
      <c r="BC161" s="3">
        <v>0</v>
      </c>
      <c r="BD161" s="3">
        <f t="shared" si="169"/>
        <v>0</v>
      </c>
      <c r="BE161" s="3">
        <v>0</v>
      </c>
      <c r="BF161" s="3">
        <f t="shared" si="170"/>
        <v>0</v>
      </c>
      <c r="BG161" s="3">
        <v>0</v>
      </c>
      <c r="BH161" s="3"/>
      <c r="BI161" s="3"/>
      <c r="BJ161" s="4">
        <v>0</v>
      </c>
      <c r="BK161" s="3">
        <f t="shared" si="165"/>
        <v>0</v>
      </c>
      <c r="BL161" s="3">
        <f t="shared" si="166"/>
        <v>0</v>
      </c>
      <c r="BM161" s="177">
        <f t="shared" si="167"/>
        <v>0</v>
      </c>
      <c r="BN161" s="3"/>
      <c r="BR161" s="3"/>
      <c r="BS161" s="3"/>
      <c r="BT161" s="3"/>
      <c r="BU161" s="3"/>
      <c r="BV161" s="3"/>
      <c r="BW161" s="3"/>
      <c r="BX161" s="3"/>
      <c r="BY161" s="3"/>
      <c r="BZ161" s="3"/>
      <c r="CA161" s="3"/>
      <c r="CB161" s="3"/>
      <c r="CC161" s="4"/>
      <c r="CD161" s="3"/>
      <c r="CE161" s="3"/>
      <c r="CF161" s="3"/>
      <c r="CG161" s="3"/>
      <c r="CH161" s="3"/>
      <c r="CI161" s="3"/>
      <c r="CJ161" s="3"/>
      <c r="CK161" s="3"/>
      <c r="CL161" s="3"/>
      <c r="CM161" s="3"/>
      <c r="CN161" s="3"/>
      <c r="CO161" s="3"/>
      <c r="CP161" s="3"/>
    </row>
    <row r="162" spans="1:94">
      <c r="A162" s="114"/>
      <c r="B162" s="114"/>
      <c r="C162" s="114"/>
      <c r="D162" s="114"/>
      <c r="E162" s="114"/>
      <c r="F162" s="114"/>
      <c r="G162" s="114"/>
      <c r="H162" s="114"/>
      <c r="I162" s="114"/>
      <c r="J162" s="114"/>
      <c r="K162" s="114"/>
      <c r="L162" s="114"/>
      <c r="M162" s="114"/>
      <c r="N162" s="114"/>
      <c r="O162" s="114"/>
      <c r="P162" s="114"/>
      <c r="Q162" s="114" t="s">
        <v>309</v>
      </c>
      <c r="R162" s="114"/>
      <c r="S162" s="114"/>
      <c r="T162" s="114"/>
      <c r="U162" s="114"/>
      <c r="V162" s="114"/>
      <c r="W162" s="114"/>
      <c r="X162" s="114"/>
      <c r="Y162" s="114"/>
      <c r="Z162" s="114"/>
      <c r="AA162" s="114"/>
      <c r="AB162" s="114"/>
      <c r="AC162" s="114"/>
      <c r="AD162" s="114"/>
      <c r="AE162" s="114"/>
      <c r="AF162" s="114"/>
      <c r="AG162" s="114"/>
      <c r="AH162" s="114"/>
      <c r="AI162" s="114"/>
      <c r="AJ162" s="114"/>
      <c r="AK162" s="114"/>
      <c r="AL162" s="114"/>
      <c r="AM162" s="114"/>
      <c r="AN162" s="114"/>
      <c r="AO162" s="114"/>
      <c r="AP162" s="114"/>
      <c r="AQ162" s="114"/>
      <c r="AT162" s="2" t="s">
        <v>310</v>
      </c>
      <c r="AX162" s="4"/>
      <c r="AY162" s="3"/>
      <c r="BE162" s="4"/>
      <c r="BH162" s="2" t="s">
        <v>311</v>
      </c>
    </row>
    <row r="163" spans="1:94" ht="16.5" thickBot="1">
      <c r="A163" s="109" t="s">
        <v>312</v>
      </c>
      <c r="K163" s="2" t="s">
        <v>313</v>
      </c>
      <c r="Q163" s="2" t="s">
        <v>314</v>
      </c>
      <c r="AT163" s="2" t="s">
        <v>315</v>
      </c>
      <c r="AX163" s="4"/>
      <c r="AY163" s="3"/>
      <c r="BE163" s="4"/>
      <c r="BM163" s="210"/>
      <c r="BN163" s="152"/>
      <c r="BP163" s="211"/>
    </row>
    <row r="164" spans="1:94" ht="13.5" thickBot="1">
      <c r="A164" s="110"/>
      <c r="B164" s="111">
        <f t="shared" ref="B164:K164" si="172">B2</f>
        <v>2010</v>
      </c>
      <c r="C164" s="111">
        <f t="shared" si="172"/>
        <v>2011</v>
      </c>
      <c r="D164" s="111">
        <f t="shared" si="172"/>
        <v>2012</v>
      </c>
      <c r="E164" s="111">
        <f t="shared" si="172"/>
        <v>2013</v>
      </c>
      <c r="F164" s="111">
        <f t="shared" si="172"/>
        <v>2014</v>
      </c>
      <c r="G164" s="111">
        <f t="shared" si="172"/>
        <v>2015</v>
      </c>
      <c r="H164" s="111">
        <f t="shared" si="172"/>
        <v>2016</v>
      </c>
      <c r="I164" s="111">
        <f t="shared" si="172"/>
        <v>2017</v>
      </c>
      <c r="J164" s="111">
        <f t="shared" si="172"/>
        <v>2018</v>
      </c>
      <c r="K164" s="111">
        <f t="shared" si="172"/>
        <v>2019</v>
      </c>
      <c r="L164" s="111">
        <f>L2</f>
        <v>2020</v>
      </c>
      <c r="M164" s="111">
        <f>M2</f>
        <v>2021</v>
      </c>
      <c r="N164" s="111">
        <f t="shared" ref="N164:AQ164" si="173">N2</f>
        <v>2022</v>
      </c>
      <c r="O164" s="111">
        <f t="shared" si="173"/>
        <v>2023</v>
      </c>
      <c r="P164" s="111">
        <f t="shared" si="173"/>
        <v>2024</v>
      </c>
      <c r="Q164" s="111">
        <f t="shared" si="173"/>
        <v>2025</v>
      </c>
      <c r="R164" s="111">
        <f t="shared" si="173"/>
        <v>2026</v>
      </c>
      <c r="S164" s="111">
        <f t="shared" si="173"/>
        <v>2027</v>
      </c>
      <c r="T164" s="111">
        <f t="shared" si="173"/>
        <v>2028</v>
      </c>
      <c r="U164" s="111">
        <f t="shared" si="173"/>
        <v>2029</v>
      </c>
      <c r="V164" s="111">
        <f t="shared" si="173"/>
        <v>2030</v>
      </c>
      <c r="W164" s="111">
        <f t="shared" si="173"/>
        <v>2031</v>
      </c>
      <c r="X164" s="111">
        <f t="shared" si="173"/>
        <v>2032</v>
      </c>
      <c r="Y164" s="111">
        <f t="shared" si="173"/>
        <v>2033</v>
      </c>
      <c r="Z164" s="111">
        <f t="shared" si="173"/>
        <v>2034</v>
      </c>
      <c r="AA164" s="111">
        <f t="shared" si="173"/>
        <v>2035</v>
      </c>
      <c r="AB164" s="111">
        <f t="shared" si="173"/>
        <v>2036</v>
      </c>
      <c r="AC164" s="111">
        <f t="shared" si="173"/>
        <v>2037</v>
      </c>
      <c r="AD164" s="111">
        <f t="shared" si="173"/>
        <v>2038</v>
      </c>
      <c r="AE164" s="111">
        <f t="shared" si="173"/>
        <v>2039</v>
      </c>
      <c r="AF164" s="111">
        <f t="shared" si="173"/>
        <v>2040</v>
      </c>
      <c r="AG164" s="111">
        <f t="shared" si="173"/>
        <v>2041</v>
      </c>
      <c r="AH164" s="111">
        <f t="shared" si="173"/>
        <v>2042</v>
      </c>
      <c r="AI164" s="111">
        <f t="shared" si="173"/>
        <v>2043</v>
      </c>
      <c r="AJ164" s="111">
        <f t="shared" si="173"/>
        <v>2044</v>
      </c>
      <c r="AK164" s="111">
        <f t="shared" si="173"/>
        <v>2045</v>
      </c>
      <c r="AL164" s="111">
        <f t="shared" si="173"/>
        <v>2046</v>
      </c>
      <c r="AM164" s="111">
        <f t="shared" si="173"/>
        <v>2047</v>
      </c>
      <c r="AN164" s="111">
        <f t="shared" si="173"/>
        <v>2048</v>
      </c>
      <c r="AO164" s="111">
        <f t="shared" si="173"/>
        <v>2049</v>
      </c>
      <c r="AP164" s="111">
        <f t="shared" si="173"/>
        <v>2050</v>
      </c>
      <c r="AQ164" s="111">
        <f t="shared" si="173"/>
        <v>2051</v>
      </c>
      <c r="AR164" s="94"/>
      <c r="AS164" s="94"/>
      <c r="AT164" s="2">
        <v>2023</v>
      </c>
      <c r="AU164" s="2">
        <v>2024</v>
      </c>
      <c r="AV164" s="94"/>
      <c r="AW164" s="94"/>
      <c r="AX164" s="4"/>
      <c r="AY164" s="3"/>
      <c r="BE164" s="4"/>
    </row>
    <row r="165" spans="1:94">
      <c r="A165" s="2" t="s">
        <v>43</v>
      </c>
      <c r="B165" s="3">
        <f>'Monthly D4 Gallon Data'!$T2</f>
        <v>0</v>
      </c>
      <c r="C165" s="3">
        <f>'Monthly D4 Gallon Data'!$T14</f>
        <v>215640</v>
      </c>
      <c r="D165" s="3">
        <f>'Monthly D4 Gallon Data'!$T26</f>
        <v>18663</v>
      </c>
      <c r="E165" s="3">
        <f>'Monthly D4 Gallon Data'!$T38</f>
        <v>613304</v>
      </c>
      <c r="F165" s="3">
        <f>'Monthly D4 Gallon Data'!$T50</f>
        <v>630860</v>
      </c>
      <c r="G165" s="3">
        <f>'Monthly D4 Gallon Data'!$T62</f>
        <v>313748</v>
      </c>
      <c r="H165" s="3">
        <f>'Monthly D4 Gallon Data'!$T74</f>
        <v>0</v>
      </c>
      <c r="I165" s="3">
        <f>'Monthly D4 Gallon Data'!$T86</f>
        <v>0</v>
      </c>
      <c r="J165" s="3">
        <f>'Monthly D4 Gallon Data'!$T98</f>
        <v>0</v>
      </c>
      <c r="K165" s="3">
        <f>'Monthly D4 Gallon Data'!$T110</f>
        <v>0</v>
      </c>
      <c r="L165" s="3">
        <f>'Monthly D4 Gallon Data'!$T122</f>
        <v>0</v>
      </c>
      <c r="M165" s="3">
        <f>'Monthly D4 Gallon Data'!$T134</f>
        <v>0</v>
      </c>
      <c r="N165" s="3">
        <f>'Monthly D4 Gallon Data'!$T146</f>
        <v>0</v>
      </c>
      <c r="O165" s="3">
        <f>'Monthly D4 Gallon Data'!$T158</f>
        <v>29440496</v>
      </c>
      <c r="P165" s="3">
        <f>'Monthly D4 Gallon Data'!$T170</f>
        <v>48378427</v>
      </c>
      <c r="Q165" s="3">
        <f>'Monthly D4 Gallon Data'!$T182</f>
        <v>36068372</v>
      </c>
      <c r="R165" s="4">
        <f>$BN$163*0.875*31*0.8</f>
        <v>0</v>
      </c>
      <c r="S165" s="4">
        <f>$BN$163*0.875*31*0.9</f>
        <v>0</v>
      </c>
      <c r="T165" s="4">
        <f t="shared" ref="T165:AQ165" si="174">$BN$163*0.875*31</f>
        <v>0</v>
      </c>
      <c r="U165" s="4">
        <f t="shared" si="174"/>
        <v>0</v>
      </c>
      <c r="V165" s="4">
        <f t="shared" si="174"/>
        <v>0</v>
      </c>
      <c r="W165" s="4">
        <f t="shared" si="174"/>
        <v>0</v>
      </c>
      <c r="X165" s="4">
        <f t="shared" si="174"/>
        <v>0</v>
      </c>
      <c r="Y165" s="4">
        <f t="shared" si="174"/>
        <v>0</v>
      </c>
      <c r="Z165" s="4">
        <f t="shared" si="174"/>
        <v>0</v>
      </c>
      <c r="AA165" s="4">
        <f t="shared" si="174"/>
        <v>0</v>
      </c>
      <c r="AB165" s="4">
        <f t="shared" si="174"/>
        <v>0</v>
      </c>
      <c r="AC165" s="4">
        <f t="shared" si="174"/>
        <v>0</v>
      </c>
      <c r="AD165" s="4">
        <f t="shared" si="174"/>
        <v>0</v>
      </c>
      <c r="AE165" s="4">
        <f t="shared" si="174"/>
        <v>0</v>
      </c>
      <c r="AF165" s="4">
        <f t="shared" si="174"/>
        <v>0</v>
      </c>
      <c r="AG165" s="4">
        <f t="shared" si="174"/>
        <v>0</v>
      </c>
      <c r="AH165" s="4">
        <f t="shared" si="174"/>
        <v>0</v>
      </c>
      <c r="AI165" s="4">
        <f t="shared" si="174"/>
        <v>0</v>
      </c>
      <c r="AJ165" s="4">
        <f t="shared" si="174"/>
        <v>0</v>
      </c>
      <c r="AK165" s="4">
        <f t="shared" si="174"/>
        <v>0</v>
      </c>
      <c r="AL165" s="4">
        <f t="shared" si="174"/>
        <v>0</v>
      </c>
      <c r="AM165" s="4">
        <f t="shared" si="174"/>
        <v>0</v>
      </c>
      <c r="AN165" s="4">
        <f t="shared" si="174"/>
        <v>0</v>
      </c>
      <c r="AO165" s="4">
        <f t="shared" si="174"/>
        <v>0</v>
      </c>
      <c r="AP165" s="4">
        <f t="shared" si="174"/>
        <v>0</v>
      </c>
      <c r="AQ165" s="4">
        <f t="shared" si="174"/>
        <v>0</v>
      </c>
      <c r="AR165" s="4"/>
      <c r="AS165" s="4"/>
      <c r="AT165" s="3">
        <f>O165/31</f>
        <v>949693.41935483867</v>
      </c>
      <c r="AU165" s="3">
        <f>P165/31</f>
        <v>1560594.4193548388</v>
      </c>
      <c r="AV165" s="4"/>
      <c r="AW165" s="4"/>
      <c r="AX165" s="4"/>
      <c r="AY165" s="3"/>
      <c r="BC165" s="3">
        <v>0</v>
      </c>
      <c r="BD165" s="3">
        <f t="shared" ref="BD165:BD177" si="175">L165-BC165</f>
        <v>0</v>
      </c>
      <c r="BE165" s="3">
        <v>0</v>
      </c>
      <c r="BF165" s="3">
        <f t="shared" ref="BF165:BF177" si="176">M165-BE165</f>
        <v>0</v>
      </c>
      <c r="BG165" s="3">
        <v>0</v>
      </c>
      <c r="BH165" s="3"/>
      <c r="BI165" s="3"/>
      <c r="BJ165" s="3">
        <v>48378427</v>
      </c>
      <c r="BK165" s="3">
        <f t="shared" ref="BK165:BK177" si="177">P165-BJ165</f>
        <v>0</v>
      </c>
      <c r="BL165" s="3">
        <v>36068372</v>
      </c>
      <c r="BM165" s="177">
        <f t="shared" ref="BM165:BM177" si="178">Q165-BL165</f>
        <v>0</v>
      </c>
      <c r="BN165" s="3"/>
      <c r="BO165" s="3"/>
      <c r="BR165" s="3"/>
      <c r="BS165" s="3"/>
      <c r="BT165" s="3"/>
      <c r="BU165" s="3"/>
      <c r="BV165" s="3"/>
      <c r="BW165" s="3"/>
      <c r="BX165" s="3"/>
      <c r="BY165" s="3"/>
      <c r="BZ165" s="3"/>
      <c r="CA165" s="3"/>
      <c r="CB165" s="3"/>
      <c r="CC165" s="4"/>
      <c r="CD165" s="3"/>
      <c r="CE165" s="3"/>
      <c r="CF165" s="3"/>
      <c r="CG165" s="3"/>
      <c r="CH165" s="3"/>
      <c r="CI165" s="3"/>
      <c r="CJ165" s="3"/>
      <c r="CK165" s="3"/>
      <c r="CL165" s="3"/>
      <c r="CM165" s="3"/>
      <c r="CN165" s="3"/>
      <c r="CO165" s="3"/>
      <c r="CP165" s="3"/>
    </row>
    <row r="166" spans="1:94">
      <c r="A166" s="2" t="s">
        <v>44</v>
      </c>
      <c r="B166" s="3">
        <f>'Monthly D4 Gallon Data'!$T3</f>
        <v>0</v>
      </c>
      <c r="C166" s="3">
        <f>'Monthly D4 Gallon Data'!$T15</f>
        <v>236655</v>
      </c>
      <c r="D166" s="3">
        <f>'Monthly D4 Gallon Data'!$T27</f>
        <v>9705</v>
      </c>
      <c r="E166" s="3">
        <f>'Monthly D4 Gallon Data'!$T39</f>
        <v>428214</v>
      </c>
      <c r="F166" s="3">
        <f>'Monthly D4 Gallon Data'!$T51</f>
        <v>890908</v>
      </c>
      <c r="G166" s="3">
        <f>'Monthly D4 Gallon Data'!$T63</f>
        <v>357612</v>
      </c>
      <c r="H166" s="3">
        <f>'Monthly D4 Gallon Data'!$T75</f>
        <v>0</v>
      </c>
      <c r="I166" s="3">
        <f>'Monthly D4 Gallon Data'!$T87</f>
        <v>0</v>
      </c>
      <c r="J166" s="3">
        <f>'Monthly D4 Gallon Data'!$T99</f>
        <v>0</v>
      </c>
      <c r="K166" s="3">
        <f>'Monthly D4 Gallon Data'!$T111</f>
        <v>0</v>
      </c>
      <c r="L166" s="3">
        <f>'Monthly D4 Gallon Data'!$T123</f>
        <v>0</v>
      </c>
      <c r="M166" s="3">
        <f>'Monthly D4 Gallon Data'!$T135</f>
        <v>0</v>
      </c>
      <c r="N166" s="3">
        <f>'Monthly D4 Gallon Data'!$T147</f>
        <v>369069</v>
      </c>
      <c r="O166" s="3">
        <f>'Monthly D4 Gallon Data'!$T159</f>
        <v>27625299</v>
      </c>
      <c r="P166" s="3">
        <f>'Monthly D4 Gallon Data'!$T171</f>
        <v>45465400</v>
      </c>
      <c r="Q166" s="3">
        <f>'Monthly D4 Gallon Data'!$T183</f>
        <v>37563478</v>
      </c>
      <c r="R166" s="4">
        <f>$BN$163*0.875*29*0.8</f>
        <v>0</v>
      </c>
      <c r="S166" s="4">
        <f>$BN$163*0.875*29*0.9</f>
        <v>0</v>
      </c>
      <c r="T166" s="4">
        <f t="shared" ref="T166:AQ166" si="179">$BN$163*0.875*29</f>
        <v>0</v>
      </c>
      <c r="U166" s="4">
        <f t="shared" si="179"/>
        <v>0</v>
      </c>
      <c r="V166" s="4">
        <f t="shared" si="179"/>
        <v>0</v>
      </c>
      <c r="W166" s="4">
        <f t="shared" si="179"/>
        <v>0</v>
      </c>
      <c r="X166" s="4">
        <f t="shared" si="179"/>
        <v>0</v>
      </c>
      <c r="Y166" s="4">
        <f t="shared" si="179"/>
        <v>0</v>
      </c>
      <c r="Z166" s="4">
        <f t="shared" si="179"/>
        <v>0</v>
      </c>
      <c r="AA166" s="4">
        <f t="shared" si="179"/>
        <v>0</v>
      </c>
      <c r="AB166" s="4">
        <f t="shared" si="179"/>
        <v>0</v>
      </c>
      <c r="AC166" s="4">
        <f t="shared" si="179"/>
        <v>0</v>
      </c>
      <c r="AD166" s="4">
        <f t="shared" si="179"/>
        <v>0</v>
      </c>
      <c r="AE166" s="4">
        <f t="shared" si="179"/>
        <v>0</v>
      </c>
      <c r="AF166" s="4">
        <f t="shared" si="179"/>
        <v>0</v>
      </c>
      <c r="AG166" s="4">
        <f t="shared" si="179"/>
        <v>0</v>
      </c>
      <c r="AH166" s="4">
        <f t="shared" si="179"/>
        <v>0</v>
      </c>
      <c r="AI166" s="4">
        <f t="shared" si="179"/>
        <v>0</v>
      </c>
      <c r="AJ166" s="4">
        <f t="shared" si="179"/>
        <v>0</v>
      </c>
      <c r="AK166" s="4">
        <f t="shared" si="179"/>
        <v>0</v>
      </c>
      <c r="AL166" s="4">
        <f t="shared" si="179"/>
        <v>0</v>
      </c>
      <c r="AM166" s="4">
        <f t="shared" si="179"/>
        <v>0</v>
      </c>
      <c r="AN166" s="4">
        <f t="shared" si="179"/>
        <v>0</v>
      </c>
      <c r="AO166" s="4">
        <f t="shared" si="179"/>
        <v>0</v>
      </c>
      <c r="AP166" s="4">
        <f t="shared" si="179"/>
        <v>0</v>
      </c>
      <c r="AQ166" s="4">
        <f t="shared" si="179"/>
        <v>0</v>
      </c>
      <c r="AR166" s="4"/>
      <c r="AS166" s="4"/>
      <c r="AT166" s="3">
        <f>O166/28</f>
        <v>986617.82142857148</v>
      </c>
      <c r="AU166" s="3">
        <f>P166/28</f>
        <v>1623764.2857142857</v>
      </c>
      <c r="AV166" s="4"/>
      <c r="AW166" s="4"/>
      <c r="AX166" s="4"/>
      <c r="AY166" s="3"/>
      <c r="BC166" s="3">
        <v>0</v>
      </c>
      <c r="BD166" s="3">
        <f t="shared" si="175"/>
        <v>0</v>
      </c>
      <c r="BE166" s="3">
        <v>0</v>
      </c>
      <c r="BF166" s="3">
        <f t="shared" si="176"/>
        <v>0</v>
      </c>
      <c r="BG166" s="3">
        <v>0</v>
      </c>
      <c r="BH166" s="3"/>
      <c r="BI166" s="3"/>
      <c r="BJ166" s="3">
        <v>45465400</v>
      </c>
      <c r="BK166" s="3">
        <f t="shared" si="177"/>
        <v>0</v>
      </c>
      <c r="BL166" s="3">
        <v>37563478</v>
      </c>
      <c r="BM166" s="177">
        <f t="shared" si="178"/>
        <v>0</v>
      </c>
      <c r="BN166" s="3"/>
      <c r="BO166" s="3"/>
      <c r="BR166" s="3"/>
      <c r="BS166" s="3"/>
      <c r="BT166" s="3"/>
      <c r="BU166" s="3"/>
      <c r="BV166" s="3"/>
      <c r="BW166" s="3"/>
      <c r="BX166" s="3"/>
      <c r="BY166" s="3"/>
      <c r="BZ166" s="3"/>
      <c r="CA166" s="3"/>
      <c r="CB166" s="3"/>
      <c r="CC166" s="4"/>
      <c r="CD166" s="3"/>
      <c r="CE166" s="3"/>
      <c r="CF166" s="3"/>
      <c r="CG166" s="3"/>
      <c r="CH166" s="3"/>
      <c r="CI166" s="3"/>
      <c r="CJ166" s="3"/>
      <c r="CK166" s="3"/>
      <c r="CL166" s="3"/>
      <c r="CM166" s="3"/>
      <c r="CN166" s="3"/>
      <c r="CO166" s="3"/>
      <c r="CP166" s="3"/>
    </row>
    <row r="167" spans="1:94">
      <c r="A167" s="2" t="s">
        <v>45</v>
      </c>
      <c r="B167" s="3">
        <f>'Monthly D4 Gallon Data'!$T4</f>
        <v>0</v>
      </c>
      <c r="C167" s="3">
        <f>'Monthly D4 Gallon Data'!$T16</f>
        <v>755025</v>
      </c>
      <c r="D167" s="3">
        <f>'Monthly D4 Gallon Data'!$T28</f>
        <v>1006848</v>
      </c>
      <c r="E167" s="3">
        <f>'Monthly D4 Gallon Data'!$T40</f>
        <v>592656</v>
      </c>
      <c r="F167" s="3">
        <f>'Monthly D4 Gallon Data'!$T52</f>
        <v>1153647</v>
      </c>
      <c r="G167" s="3">
        <f>'Monthly D4 Gallon Data'!$T64</f>
        <v>583782</v>
      </c>
      <c r="H167" s="3">
        <f>'Monthly D4 Gallon Data'!$T76</f>
        <v>0</v>
      </c>
      <c r="I167" s="3">
        <f>'Monthly D4 Gallon Data'!$T88</f>
        <v>0</v>
      </c>
      <c r="J167" s="3">
        <f>'Monthly D4 Gallon Data'!$T100</f>
        <v>0</v>
      </c>
      <c r="K167" s="3">
        <f>'Monthly D4 Gallon Data'!$T112</f>
        <v>0</v>
      </c>
      <c r="L167" s="3">
        <f>'Monthly D4 Gallon Data'!$T124</f>
        <v>77733</v>
      </c>
      <c r="M167" s="3">
        <f>'Monthly D4 Gallon Data'!$T136</f>
        <v>0</v>
      </c>
      <c r="N167" s="3">
        <f>'Monthly D4 Gallon Data'!$T148</f>
        <v>247044</v>
      </c>
      <c r="O167" s="3">
        <f>'Monthly D4 Gallon Data'!$T160</f>
        <v>35927540</v>
      </c>
      <c r="P167" s="3">
        <f>'Monthly D4 Gallon Data'!$T172</f>
        <v>45072383</v>
      </c>
      <c r="Q167" s="3">
        <f>'Monthly D4 Gallon Data'!$T184</f>
        <v>36495940</v>
      </c>
      <c r="R167" s="4">
        <f>$BN$163*0.875*31*0.8</f>
        <v>0</v>
      </c>
      <c r="S167" s="4">
        <f>$BN$163*0.875*31*0.9</f>
        <v>0</v>
      </c>
      <c r="T167" s="4">
        <f t="shared" ref="T167:AQ167" si="180">$BN$163*0.875*31</f>
        <v>0</v>
      </c>
      <c r="U167" s="4">
        <f t="shared" si="180"/>
        <v>0</v>
      </c>
      <c r="V167" s="4">
        <f t="shared" si="180"/>
        <v>0</v>
      </c>
      <c r="W167" s="4">
        <f t="shared" si="180"/>
        <v>0</v>
      </c>
      <c r="X167" s="4">
        <f t="shared" si="180"/>
        <v>0</v>
      </c>
      <c r="Y167" s="4">
        <f t="shared" si="180"/>
        <v>0</v>
      </c>
      <c r="Z167" s="4">
        <f t="shared" si="180"/>
        <v>0</v>
      </c>
      <c r="AA167" s="4">
        <f t="shared" si="180"/>
        <v>0</v>
      </c>
      <c r="AB167" s="4">
        <f t="shared" si="180"/>
        <v>0</v>
      </c>
      <c r="AC167" s="4">
        <f t="shared" si="180"/>
        <v>0</v>
      </c>
      <c r="AD167" s="4">
        <f t="shared" si="180"/>
        <v>0</v>
      </c>
      <c r="AE167" s="4">
        <f t="shared" si="180"/>
        <v>0</v>
      </c>
      <c r="AF167" s="4">
        <f t="shared" si="180"/>
        <v>0</v>
      </c>
      <c r="AG167" s="4">
        <f t="shared" si="180"/>
        <v>0</v>
      </c>
      <c r="AH167" s="4">
        <f t="shared" si="180"/>
        <v>0</v>
      </c>
      <c r="AI167" s="4">
        <f t="shared" si="180"/>
        <v>0</v>
      </c>
      <c r="AJ167" s="4">
        <f t="shared" si="180"/>
        <v>0</v>
      </c>
      <c r="AK167" s="4">
        <f t="shared" si="180"/>
        <v>0</v>
      </c>
      <c r="AL167" s="4">
        <f t="shared" si="180"/>
        <v>0</v>
      </c>
      <c r="AM167" s="4">
        <f t="shared" si="180"/>
        <v>0</v>
      </c>
      <c r="AN167" s="4">
        <f t="shared" si="180"/>
        <v>0</v>
      </c>
      <c r="AO167" s="4">
        <f t="shared" si="180"/>
        <v>0</v>
      </c>
      <c r="AP167" s="4">
        <f t="shared" si="180"/>
        <v>0</v>
      </c>
      <c r="AQ167" s="4">
        <f t="shared" si="180"/>
        <v>0</v>
      </c>
      <c r="AR167" s="4"/>
      <c r="AS167" s="4"/>
      <c r="AT167" s="3">
        <f>O167/31</f>
        <v>1158952.9032258065</v>
      </c>
      <c r="AU167" s="4">
        <f>P167/31</f>
        <v>1453947.8387096773</v>
      </c>
      <c r="AV167" s="4"/>
      <c r="AW167" s="4"/>
      <c r="AX167" s="4"/>
      <c r="AY167" s="3"/>
      <c r="BC167" s="3">
        <v>0</v>
      </c>
      <c r="BD167" s="3">
        <f t="shared" si="175"/>
        <v>77733</v>
      </c>
      <c r="BE167" s="3">
        <v>0</v>
      </c>
      <c r="BF167" s="3">
        <f t="shared" si="176"/>
        <v>0</v>
      </c>
      <c r="BG167" s="3">
        <v>0</v>
      </c>
      <c r="BH167" s="3"/>
      <c r="BI167" s="3"/>
      <c r="BJ167" s="3">
        <v>45072383</v>
      </c>
      <c r="BK167" s="3">
        <f t="shared" si="177"/>
        <v>0</v>
      </c>
      <c r="BL167" s="3">
        <v>0</v>
      </c>
      <c r="BM167" s="177">
        <f t="shared" si="178"/>
        <v>36495940</v>
      </c>
      <c r="BN167" s="3"/>
      <c r="BR167" s="3"/>
      <c r="BS167" s="3"/>
      <c r="BT167" s="3"/>
      <c r="BU167" s="3"/>
      <c r="BV167" s="3"/>
      <c r="BW167" s="3"/>
      <c r="BX167" s="3"/>
      <c r="BY167" s="3"/>
      <c r="BZ167" s="3"/>
      <c r="CA167" s="3"/>
      <c r="CB167" s="3"/>
      <c r="CC167" s="4"/>
      <c r="CD167" s="3"/>
      <c r="CE167" s="3"/>
      <c r="CF167" s="3"/>
      <c r="CG167" s="3"/>
      <c r="CH167" s="3"/>
      <c r="CI167" s="3"/>
      <c r="CJ167" s="3"/>
      <c r="CK167" s="3"/>
      <c r="CL167" s="3"/>
      <c r="CM167" s="3"/>
      <c r="CN167" s="3"/>
      <c r="CO167" s="3"/>
      <c r="CP167" s="3"/>
    </row>
    <row r="168" spans="1:94">
      <c r="A168" s="2" t="s">
        <v>46</v>
      </c>
      <c r="B168" s="3">
        <f>'Monthly D4 Gallon Data'!$T5</f>
        <v>0</v>
      </c>
      <c r="C168" s="3">
        <f>'Monthly D4 Gallon Data'!$T17</f>
        <v>391384</v>
      </c>
      <c r="D168" s="3">
        <f>'Monthly D4 Gallon Data'!$T29</f>
        <v>1863128</v>
      </c>
      <c r="E168" s="3">
        <f>'Monthly D4 Gallon Data'!$T41</f>
        <v>686226</v>
      </c>
      <c r="F168" s="3">
        <f>'Monthly D4 Gallon Data'!$T53</f>
        <v>945154</v>
      </c>
      <c r="G168" s="3">
        <f>'Monthly D4 Gallon Data'!$T65</f>
        <v>621806</v>
      </c>
      <c r="H168" s="3">
        <f>'Monthly D4 Gallon Data'!$T77</f>
        <v>0</v>
      </c>
      <c r="I168" s="3">
        <f>'Monthly D4 Gallon Data'!$T89</f>
        <v>0</v>
      </c>
      <c r="J168" s="3">
        <f>'Monthly D4 Gallon Data'!$T101</f>
        <v>0</v>
      </c>
      <c r="K168" s="3">
        <f>'Monthly D4 Gallon Data'!$T113</f>
        <v>0</v>
      </c>
      <c r="L168" s="3">
        <f>'Monthly D4 Gallon Data'!$T125</f>
        <v>557772</v>
      </c>
      <c r="M168" s="3">
        <f>'Monthly D4 Gallon Data'!$T137</f>
        <v>0</v>
      </c>
      <c r="N168" s="3">
        <f>'Monthly D4 Gallon Data'!$T149</f>
        <v>0</v>
      </c>
      <c r="O168" s="3">
        <f>'Monthly D4 Gallon Data'!$T161</f>
        <v>33974667</v>
      </c>
      <c r="P168" s="3">
        <f>'Monthly D4 Gallon Data'!$T173</f>
        <v>52475286</v>
      </c>
      <c r="Q168" s="4">
        <f>$BN$163*0.875*30*0.75</f>
        <v>0</v>
      </c>
      <c r="R168" s="4">
        <f>$BN$163*0.875*30*0.8</f>
        <v>0</v>
      </c>
      <c r="S168" s="4">
        <f>$BN$163*0.875*30*0.9</f>
        <v>0</v>
      </c>
      <c r="T168" s="4">
        <f t="shared" ref="T168:AQ168" si="181">$BN$163*0.875*30</f>
        <v>0</v>
      </c>
      <c r="U168" s="4">
        <f t="shared" si="181"/>
        <v>0</v>
      </c>
      <c r="V168" s="4">
        <f t="shared" si="181"/>
        <v>0</v>
      </c>
      <c r="W168" s="4">
        <f t="shared" si="181"/>
        <v>0</v>
      </c>
      <c r="X168" s="4">
        <f t="shared" si="181"/>
        <v>0</v>
      </c>
      <c r="Y168" s="4">
        <f t="shared" si="181"/>
        <v>0</v>
      </c>
      <c r="Z168" s="4">
        <f t="shared" si="181"/>
        <v>0</v>
      </c>
      <c r="AA168" s="4">
        <f t="shared" si="181"/>
        <v>0</v>
      </c>
      <c r="AB168" s="4">
        <f t="shared" si="181"/>
        <v>0</v>
      </c>
      <c r="AC168" s="4">
        <f t="shared" si="181"/>
        <v>0</v>
      </c>
      <c r="AD168" s="4">
        <f t="shared" si="181"/>
        <v>0</v>
      </c>
      <c r="AE168" s="4">
        <f t="shared" si="181"/>
        <v>0</v>
      </c>
      <c r="AF168" s="4">
        <f t="shared" si="181"/>
        <v>0</v>
      </c>
      <c r="AG168" s="4">
        <f t="shared" si="181"/>
        <v>0</v>
      </c>
      <c r="AH168" s="4">
        <f t="shared" si="181"/>
        <v>0</v>
      </c>
      <c r="AI168" s="4">
        <f t="shared" si="181"/>
        <v>0</v>
      </c>
      <c r="AJ168" s="4">
        <f t="shared" si="181"/>
        <v>0</v>
      </c>
      <c r="AK168" s="4">
        <f t="shared" si="181"/>
        <v>0</v>
      </c>
      <c r="AL168" s="4">
        <f t="shared" si="181"/>
        <v>0</v>
      </c>
      <c r="AM168" s="4">
        <f t="shared" si="181"/>
        <v>0</v>
      </c>
      <c r="AN168" s="4">
        <f t="shared" si="181"/>
        <v>0</v>
      </c>
      <c r="AO168" s="4">
        <f t="shared" si="181"/>
        <v>0</v>
      </c>
      <c r="AP168" s="4">
        <f t="shared" si="181"/>
        <v>0</v>
      </c>
      <c r="AQ168" s="4">
        <f t="shared" si="181"/>
        <v>0</v>
      </c>
      <c r="AR168" s="4"/>
      <c r="AS168" s="4"/>
      <c r="AT168" s="3">
        <f>O168/30</f>
        <v>1132488.8999999999</v>
      </c>
      <c r="AU168" s="4">
        <f>P168/30</f>
        <v>1749176.2</v>
      </c>
      <c r="AV168" s="4"/>
      <c r="AW168" s="4"/>
      <c r="AX168" s="4"/>
      <c r="AY168" s="3"/>
      <c r="BC168" s="3">
        <v>0</v>
      </c>
      <c r="BD168" s="3">
        <f t="shared" si="175"/>
        <v>557772</v>
      </c>
      <c r="BE168" s="3">
        <v>0</v>
      </c>
      <c r="BF168" s="3">
        <f t="shared" si="176"/>
        <v>0</v>
      </c>
      <c r="BG168" s="3">
        <v>0</v>
      </c>
      <c r="BH168" s="3"/>
      <c r="BI168" s="3"/>
      <c r="BJ168" s="3">
        <v>52475286</v>
      </c>
      <c r="BK168" s="3">
        <f t="shared" si="177"/>
        <v>0</v>
      </c>
      <c r="BL168" s="3">
        <v>0</v>
      </c>
      <c r="BM168" s="177">
        <f t="shared" si="178"/>
        <v>0</v>
      </c>
      <c r="BN168" s="3"/>
      <c r="BR168" s="3"/>
      <c r="BS168" s="3"/>
      <c r="BT168" s="3"/>
      <c r="BU168" s="3"/>
      <c r="BV168" s="3"/>
      <c r="BW168" s="3"/>
      <c r="BX168" s="3"/>
      <c r="BY168" s="3"/>
      <c r="BZ168" s="3"/>
      <c r="CA168" s="3"/>
      <c r="CB168" s="3"/>
      <c r="CC168" s="4"/>
      <c r="CD168" s="3"/>
      <c r="CE168" s="3"/>
      <c r="CF168" s="3"/>
      <c r="CG168" s="3"/>
      <c r="CH168" s="3"/>
      <c r="CI168" s="3"/>
      <c r="CJ168" s="3"/>
      <c r="CK168" s="3"/>
      <c r="CL168" s="3"/>
      <c r="CM168" s="3"/>
      <c r="CN168" s="3"/>
      <c r="CO168" s="3"/>
      <c r="CP168" s="3"/>
    </row>
    <row r="169" spans="1:94">
      <c r="A169" s="2" t="s">
        <v>47</v>
      </c>
      <c r="B169" s="3">
        <f>'Monthly D4 Gallon Data'!$T6</f>
        <v>0</v>
      </c>
      <c r="C169" s="3">
        <f>'Monthly D4 Gallon Data'!$T18</f>
        <v>822133</v>
      </c>
      <c r="D169" s="3">
        <f>'Monthly D4 Gallon Data'!$T30</f>
        <v>2453173</v>
      </c>
      <c r="E169" s="3">
        <f>'Monthly D4 Gallon Data'!$T42</f>
        <v>705362</v>
      </c>
      <c r="F169" s="3">
        <f>'Monthly D4 Gallon Data'!$T54</f>
        <v>818082</v>
      </c>
      <c r="G169" s="3">
        <f>'Monthly D4 Gallon Data'!$T66</f>
        <v>577621</v>
      </c>
      <c r="H169" s="3">
        <f>'Monthly D4 Gallon Data'!$T78</f>
        <v>0</v>
      </c>
      <c r="I169" s="3">
        <f>'Monthly D4 Gallon Data'!$T90</f>
        <v>0</v>
      </c>
      <c r="J169" s="3">
        <f>'Monthly D4 Gallon Data'!$T102</f>
        <v>0</v>
      </c>
      <c r="K169" s="3">
        <f>'Monthly D4 Gallon Data'!$T114</f>
        <v>0</v>
      </c>
      <c r="L169" s="3">
        <f>'Monthly D4 Gallon Data'!$T126</f>
        <v>0</v>
      </c>
      <c r="M169" s="3">
        <f>'Monthly D4 Gallon Data'!$T138</f>
        <v>0</v>
      </c>
      <c r="N169" s="3">
        <f>'Monthly D4 Gallon Data'!$T150</f>
        <v>0</v>
      </c>
      <c r="O169" s="3">
        <f>'Monthly D4 Gallon Data'!$T162</f>
        <v>54415742</v>
      </c>
      <c r="P169" s="3">
        <f>'Monthly D4 Gallon Data'!$T174</f>
        <v>2010329</v>
      </c>
      <c r="Q169" s="4">
        <f>$BN$163*0.875*31*0.75</f>
        <v>0</v>
      </c>
      <c r="R169" s="4">
        <f>$BN$163*0.875*31*0.8</f>
        <v>0</v>
      </c>
      <c r="S169" s="4">
        <f>$BN$163*0.875*31*0.9</f>
        <v>0</v>
      </c>
      <c r="T169" s="4">
        <f t="shared" ref="T169:AQ169" si="182">$BN$163*0.875*31</f>
        <v>0</v>
      </c>
      <c r="U169" s="4">
        <f t="shared" si="182"/>
        <v>0</v>
      </c>
      <c r="V169" s="4">
        <f t="shared" si="182"/>
        <v>0</v>
      </c>
      <c r="W169" s="4">
        <f t="shared" si="182"/>
        <v>0</v>
      </c>
      <c r="X169" s="4">
        <f t="shared" si="182"/>
        <v>0</v>
      </c>
      <c r="Y169" s="4">
        <f t="shared" si="182"/>
        <v>0</v>
      </c>
      <c r="Z169" s="4">
        <f t="shared" si="182"/>
        <v>0</v>
      </c>
      <c r="AA169" s="4">
        <f t="shared" si="182"/>
        <v>0</v>
      </c>
      <c r="AB169" s="4">
        <f t="shared" si="182"/>
        <v>0</v>
      </c>
      <c r="AC169" s="4">
        <f t="shared" si="182"/>
        <v>0</v>
      </c>
      <c r="AD169" s="4">
        <f t="shared" si="182"/>
        <v>0</v>
      </c>
      <c r="AE169" s="4">
        <f t="shared" si="182"/>
        <v>0</v>
      </c>
      <c r="AF169" s="4">
        <f t="shared" si="182"/>
        <v>0</v>
      </c>
      <c r="AG169" s="4">
        <f t="shared" si="182"/>
        <v>0</v>
      </c>
      <c r="AH169" s="4">
        <f t="shared" si="182"/>
        <v>0</v>
      </c>
      <c r="AI169" s="4">
        <f t="shared" si="182"/>
        <v>0</v>
      </c>
      <c r="AJ169" s="4">
        <f t="shared" si="182"/>
        <v>0</v>
      </c>
      <c r="AK169" s="4">
        <f t="shared" si="182"/>
        <v>0</v>
      </c>
      <c r="AL169" s="4">
        <f t="shared" si="182"/>
        <v>0</v>
      </c>
      <c r="AM169" s="4">
        <f t="shared" si="182"/>
        <v>0</v>
      </c>
      <c r="AN169" s="4">
        <f t="shared" si="182"/>
        <v>0</v>
      </c>
      <c r="AO169" s="4">
        <f t="shared" si="182"/>
        <v>0</v>
      </c>
      <c r="AP169" s="4">
        <f t="shared" si="182"/>
        <v>0</v>
      </c>
      <c r="AQ169" s="4">
        <f t="shared" si="182"/>
        <v>0</v>
      </c>
      <c r="AR169" s="4"/>
      <c r="AS169" s="4"/>
      <c r="AT169" s="3">
        <f>O169/31</f>
        <v>1755346.5161290322</v>
      </c>
      <c r="AU169" s="4">
        <f>P169/31</f>
        <v>64849.322580645159</v>
      </c>
      <c r="AV169" s="4"/>
      <c r="AW169" s="4"/>
      <c r="AX169" s="4"/>
      <c r="AY169" s="3"/>
      <c r="BA169" s="3">
        <v>0</v>
      </c>
      <c r="BB169" s="3">
        <f t="shared" ref="BB169:BB177" si="183">K169-BA169</f>
        <v>0</v>
      </c>
      <c r="BC169" s="3">
        <v>0</v>
      </c>
      <c r="BD169" s="3">
        <f t="shared" si="175"/>
        <v>0</v>
      </c>
      <c r="BE169" s="3">
        <v>0</v>
      </c>
      <c r="BF169" s="3">
        <f t="shared" si="176"/>
        <v>0</v>
      </c>
      <c r="BG169" s="3">
        <v>0</v>
      </c>
      <c r="BH169" s="3"/>
      <c r="BI169" s="3"/>
      <c r="BJ169" s="3">
        <v>2010329</v>
      </c>
      <c r="BK169" s="3">
        <f t="shared" si="177"/>
        <v>0</v>
      </c>
      <c r="BL169" s="3">
        <v>0</v>
      </c>
      <c r="BM169" s="177">
        <f t="shared" si="178"/>
        <v>0</v>
      </c>
      <c r="BN169" s="3"/>
      <c r="BR169" s="3"/>
      <c r="BS169" s="3"/>
      <c r="BT169" s="3"/>
      <c r="BU169" s="3"/>
      <c r="BV169" s="3"/>
      <c r="BW169" s="3"/>
      <c r="BX169" s="3"/>
      <c r="BY169" s="3"/>
      <c r="BZ169" s="3"/>
      <c r="CA169" s="3"/>
      <c r="CB169" s="3"/>
      <c r="CC169" s="4"/>
      <c r="CD169" s="3"/>
      <c r="CE169" s="3"/>
      <c r="CF169" s="3"/>
      <c r="CG169" s="3"/>
      <c r="CH169" s="3"/>
      <c r="CI169" s="3"/>
      <c r="CJ169" s="3"/>
      <c r="CK169" s="3"/>
      <c r="CL169" s="3"/>
      <c r="CM169" s="3"/>
      <c r="CN169" s="3"/>
      <c r="CO169" s="3"/>
      <c r="CP169" s="3"/>
    </row>
    <row r="170" spans="1:94">
      <c r="A170" s="2" t="s">
        <v>48</v>
      </c>
      <c r="B170" s="3">
        <f>'Monthly D4 Gallon Data'!$T7</f>
        <v>0</v>
      </c>
      <c r="C170" s="3">
        <f>'Monthly D4 Gallon Data'!$T19</f>
        <v>1539698</v>
      </c>
      <c r="D170" s="3">
        <f>'Monthly D4 Gallon Data'!$T31</f>
        <v>906500</v>
      </c>
      <c r="E170" s="3">
        <f>'Monthly D4 Gallon Data'!$T43</f>
        <v>1093912</v>
      </c>
      <c r="F170" s="3">
        <f>'Monthly D4 Gallon Data'!$T55</f>
        <v>729739</v>
      </c>
      <c r="G170" s="3">
        <f>'Monthly D4 Gallon Data'!$T67</f>
        <v>500170</v>
      </c>
      <c r="H170" s="3">
        <f>'Monthly D4 Gallon Data'!$T79</f>
        <v>0</v>
      </c>
      <c r="I170" s="3">
        <f>'Monthly D4 Gallon Data'!$T91</f>
        <v>0</v>
      </c>
      <c r="J170" s="3">
        <f>'Monthly D4 Gallon Data'!$T103</f>
        <v>0</v>
      </c>
      <c r="K170" s="3">
        <f>'Monthly D4 Gallon Data'!$T115</f>
        <v>0</v>
      </c>
      <c r="L170" s="3">
        <f>'Monthly D4 Gallon Data'!$T127</f>
        <v>105660</v>
      </c>
      <c r="M170" s="3">
        <f>'Monthly D4 Gallon Data'!$T139</f>
        <v>0</v>
      </c>
      <c r="N170" s="3">
        <f>'Monthly D4 Gallon Data'!$T151</f>
        <v>432306</v>
      </c>
      <c r="O170" s="3">
        <f>'Monthly D4 Gallon Data'!$T163</f>
        <v>41543150</v>
      </c>
      <c r="P170" s="3">
        <f>'Monthly D4 Gallon Data'!$T175</f>
        <v>43911210</v>
      </c>
      <c r="Q170" s="4">
        <f>$BN$163*0.875*30*0.75</f>
        <v>0</v>
      </c>
      <c r="R170" s="4">
        <f>$BN$163*0.875*30*0.8</f>
        <v>0</v>
      </c>
      <c r="S170" s="4">
        <f>$BN$163*0.875*30*0.9</f>
        <v>0</v>
      </c>
      <c r="T170" s="4">
        <f t="shared" ref="T170:AQ170" si="184">$BN$163*0.875*30</f>
        <v>0</v>
      </c>
      <c r="U170" s="4">
        <f t="shared" si="184"/>
        <v>0</v>
      </c>
      <c r="V170" s="4">
        <f t="shared" si="184"/>
        <v>0</v>
      </c>
      <c r="W170" s="4">
        <f t="shared" si="184"/>
        <v>0</v>
      </c>
      <c r="X170" s="4">
        <f t="shared" si="184"/>
        <v>0</v>
      </c>
      <c r="Y170" s="4">
        <f t="shared" si="184"/>
        <v>0</v>
      </c>
      <c r="Z170" s="4">
        <f t="shared" si="184"/>
        <v>0</v>
      </c>
      <c r="AA170" s="4">
        <f t="shared" si="184"/>
        <v>0</v>
      </c>
      <c r="AB170" s="4">
        <f t="shared" si="184"/>
        <v>0</v>
      </c>
      <c r="AC170" s="4">
        <f t="shared" si="184"/>
        <v>0</v>
      </c>
      <c r="AD170" s="4">
        <f t="shared" si="184"/>
        <v>0</v>
      </c>
      <c r="AE170" s="4">
        <f t="shared" si="184"/>
        <v>0</v>
      </c>
      <c r="AF170" s="4">
        <f t="shared" si="184"/>
        <v>0</v>
      </c>
      <c r="AG170" s="4">
        <f t="shared" si="184"/>
        <v>0</v>
      </c>
      <c r="AH170" s="4">
        <f t="shared" si="184"/>
        <v>0</v>
      </c>
      <c r="AI170" s="4">
        <f t="shared" si="184"/>
        <v>0</v>
      </c>
      <c r="AJ170" s="4">
        <f t="shared" si="184"/>
        <v>0</v>
      </c>
      <c r="AK170" s="4">
        <f t="shared" si="184"/>
        <v>0</v>
      </c>
      <c r="AL170" s="4">
        <f t="shared" si="184"/>
        <v>0</v>
      </c>
      <c r="AM170" s="4">
        <f t="shared" si="184"/>
        <v>0</v>
      </c>
      <c r="AN170" s="4">
        <f t="shared" si="184"/>
        <v>0</v>
      </c>
      <c r="AO170" s="4">
        <f t="shared" si="184"/>
        <v>0</v>
      </c>
      <c r="AP170" s="4">
        <f t="shared" si="184"/>
        <v>0</v>
      </c>
      <c r="AQ170" s="4">
        <f t="shared" si="184"/>
        <v>0</v>
      </c>
      <c r="AR170" s="4"/>
      <c r="AS170" s="4"/>
      <c r="AT170" s="3">
        <f>O170/30</f>
        <v>1384771.6666666667</v>
      </c>
      <c r="AU170" s="4">
        <f>P170/30</f>
        <v>1463707</v>
      </c>
      <c r="AV170" s="4"/>
      <c r="AW170" s="4"/>
      <c r="AX170" s="4"/>
      <c r="AY170" s="3"/>
      <c r="BA170" s="3">
        <v>0</v>
      </c>
      <c r="BB170" s="3">
        <f t="shared" si="183"/>
        <v>0</v>
      </c>
      <c r="BC170" s="3">
        <v>0</v>
      </c>
      <c r="BD170" s="3">
        <f t="shared" si="175"/>
        <v>105660</v>
      </c>
      <c r="BE170" s="3">
        <v>0</v>
      </c>
      <c r="BF170" s="3">
        <f t="shared" si="176"/>
        <v>0</v>
      </c>
      <c r="BG170" s="3">
        <v>0</v>
      </c>
      <c r="BH170" s="3"/>
      <c r="BI170" s="3"/>
      <c r="BJ170" s="3">
        <v>43911210</v>
      </c>
      <c r="BK170" s="3">
        <f t="shared" si="177"/>
        <v>0</v>
      </c>
      <c r="BL170" s="3">
        <v>0</v>
      </c>
      <c r="BM170" s="177">
        <f t="shared" si="178"/>
        <v>0</v>
      </c>
      <c r="BN170" s="3"/>
      <c r="BR170" s="3"/>
      <c r="BS170" s="3"/>
      <c r="BT170" s="3"/>
      <c r="BU170" s="3"/>
      <c r="BV170" s="3"/>
      <c r="BW170" s="3"/>
      <c r="BX170" s="3"/>
      <c r="BY170" s="3"/>
      <c r="BZ170" s="3"/>
      <c r="CA170" s="3"/>
      <c r="CB170" s="3"/>
      <c r="CC170" s="4"/>
      <c r="CD170" s="3"/>
      <c r="CE170" s="3"/>
      <c r="CF170" s="3"/>
      <c r="CG170" s="3"/>
      <c r="CH170" s="3"/>
      <c r="CI170" s="3"/>
      <c r="CJ170" s="3"/>
      <c r="CK170" s="3"/>
      <c r="CL170" s="3"/>
      <c r="CM170" s="3"/>
      <c r="CN170" s="3"/>
      <c r="CO170" s="3"/>
      <c r="CP170" s="3"/>
    </row>
    <row r="171" spans="1:94">
      <c r="A171" s="2" t="s">
        <v>49</v>
      </c>
      <c r="B171" s="3">
        <f>'Monthly D4 Gallon Data'!$T8</f>
        <v>0</v>
      </c>
      <c r="C171" s="3">
        <f>'Monthly D4 Gallon Data'!$T20</f>
        <v>1458311</v>
      </c>
      <c r="D171" s="3">
        <f>'Monthly D4 Gallon Data'!$T32</f>
        <v>757671</v>
      </c>
      <c r="E171" s="3">
        <f>'Monthly D4 Gallon Data'!$T44</f>
        <v>10972434</v>
      </c>
      <c r="F171" s="3">
        <f>'Monthly D4 Gallon Data'!$T56</f>
        <v>344722</v>
      </c>
      <c r="G171" s="3">
        <f>'Monthly D4 Gallon Data'!$T68</f>
        <v>474873</v>
      </c>
      <c r="H171" s="3">
        <f>'Monthly D4 Gallon Data'!$T80</f>
        <v>0</v>
      </c>
      <c r="I171" s="3">
        <f>'Monthly D4 Gallon Data'!$T92</f>
        <v>0</v>
      </c>
      <c r="J171" s="3">
        <f>'Monthly D4 Gallon Data'!$T104</f>
        <v>0</v>
      </c>
      <c r="K171" s="3">
        <f>'Monthly D4 Gallon Data'!$T116</f>
        <v>0</v>
      </c>
      <c r="L171" s="3">
        <f>'Monthly D4 Gallon Data'!$T128</f>
        <v>445024</v>
      </c>
      <c r="M171" s="3">
        <f>'Monthly D4 Gallon Data'!$T140</f>
        <v>438506</v>
      </c>
      <c r="N171" s="3">
        <f>'Monthly D4 Gallon Data'!$T152</f>
        <v>366519</v>
      </c>
      <c r="O171" s="3">
        <f>'Monthly D4 Gallon Data'!$T164</f>
        <v>40392351</v>
      </c>
      <c r="P171" s="3">
        <f>'Monthly D4 Gallon Data'!$T176</f>
        <v>53677623</v>
      </c>
      <c r="Q171" s="4">
        <f>$BN$163*0.875*31*0.75</f>
        <v>0</v>
      </c>
      <c r="R171" s="4">
        <f>$BN$163*0.875*31*0.8</f>
        <v>0</v>
      </c>
      <c r="S171" s="4">
        <f>$BN$163*0.875*31*0.9</f>
        <v>0</v>
      </c>
      <c r="T171" s="4">
        <f t="shared" ref="T171:AI172" si="185">$BN$163*0.875*31</f>
        <v>0</v>
      </c>
      <c r="U171" s="4">
        <f t="shared" si="185"/>
        <v>0</v>
      </c>
      <c r="V171" s="4">
        <f t="shared" si="185"/>
        <v>0</v>
      </c>
      <c r="W171" s="4">
        <f t="shared" si="185"/>
        <v>0</v>
      </c>
      <c r="X171" s="4">
        <f t="shared" si="185"/>
        <v>0</v>
      </c>
      <c r="Y171" s="4">
        <f t="shared" si="185"/>
        <v>0</v>
      </c>
      <c r="Z171" s="4">
        <f t="shared" si="185"/>
        <v>0</v>
      </c>
      <c r="AA171" s="4">
        <f t="shared" si="185"/>
        <v>0</v>
      </c>
      <c r="AB171" s="4">
        <f t="shared" si="185"/>
        <v>0</v>
      </c>
      <c r="AC171" s="4">
        <f t="shared" si="185"/>
        <v>0</v>
      </c>
      <c r="AD171" s="4">
        <f t="shared" si="185"/>
        <v>0</v>
      </c>
      <c r="AE171" s="4">
        <f t="shared" si="185"/>
        <v>0</v>
      </c>
      <c r="AF171" s="4">
        <f t="shared" si="185"/>
        <v>0</v>
      </c>
      <c r="AG171" s="4">
        <f t="shared" si="185"/>
        <v>0</v>
      </c>
      <c r="AH171" s="4">
        <f t="shared" si="185"/>
        <v>0</v>
      </c>
      <c r="AI171" s="4">
        <f t="shared" si="185"/>
        <v>0</v>
      </c>
      <c r="AJ171" s="4">
        <f t="shared" ref="AH171:AQ172" si="186">$BN$163*0.875*31</f>
        <v>0</v>
      </c>
      <c r="AK171" s="4">
        <f t="shared" si="186"/>
        <v>0</v>
      </c>
      <c r="AL171" s="4">
        <f t="shared" si="186"/>
        <v>0</v>
      </c>
      <c r="AM171" s="4">
        <f t="shared" si="186"/>
        <v>0</v>
      </c>
      <c r="AN171" s="4">
        <f t="shared" si="186"/>
        <v>0</v>
      </c>
      <c r="AO171" s="4">
        <f t="shared" si="186"/>
        <v>0</v>
      </c>
      <c r="AP171" s="4">
        <f t="shared" si="186"/>
        <v>0</v>
      </c>
      <c r="AQ171" s="4">
        <f t="shared" si="186"/>
        <v>0</v>
      </c>
      <c r="AR171" s="4"/>
      <c r="AS171" s="4"/>
      <c r="AT171" s="3">
        <f>O171/31</f>
        <v>1302979.064516129</v>
      </c>
      <c r="AU171" s="4">
        <f>P171/31</f>
        <v>1731536.2258064516</v>
      </c>
      <c r="AV171" s="4"/>
      <c r="AW171" s="4"/>
      <c r="AX171" s="4"/>
      <c r="AY171" s="3"/>
      <c r="BA171" s="3">
        <v>0</v>
      </c>
      <c r="BB171" s="3">
        <f t="shared" si="183"/>
        <v>0</v>
      </c>
      <c r="BC171" s="3">
        <v>0</v>
      </c>
      <c r="BD171" s="3">
        <f t="shared" si="175"/>
        <v>445024</v>
      </c>
      <c r="BE171" s="3">
        <v>0</v>
      </c>
      <c r="BF171" s="3">
        <f t="shared" si="176"/>
        <v>438506</v>
      </c>
      <c r="BG171" s="3">
        <v>0</v>
      </c>
      <c r="BH171" s="3"/>
      <c r="BI171" s="3"/>
      <c r="BJ171" s="4">
        <v>53677623</v>
      </c>
      <c r="BK171" s="3">
        <f t="shared" si="177"/>
        <v>0</v>
      </c>
      <c r="BL171" s="3">
        <v>0</v>
      </c>
      <c r="BM171" s="177">
        <f t="shared" si="178"/>
        <v>0</v>
      </c>
      <c r="BN171" s="3"/>
      <c r="BR171" s="3"/>
      <c r="BS171" s="3"/>
      <c r="BT171" s="3"/>
      <c r="BU171" s="3"/>
      <c r="BV171" s="3"/>
      <c r="BW171" s="3"/>
      <c r="BX171" s="3"/>
      <c r="BY171" s="3"/>
      <c r="BZ171" s="3"/>
      <c r="CA171" s="3"/>
      <c r="CB171" s="3"/>
      <c r="CC171" s="4"/>
      <c r="CD171" s="3"/>
      <c r="CE171" s="3"/>
      <c r="CF171" s="3"/>
      <c r="CG171" s="3"/>
      <c r="CH171" s="3"/>
      <c r="CI171" s="3"/>
      <c r="CJ171" s="3"/>
      <c r="CK171" s="3"/>
      <c r="CL171" s="3"/>
      <c r="CM171" s="3"/>
      <c r="CN171" s="3"/>
      <c r="CO171" s="3"/>
      <c r="CP171" s="3"/>
    </row>
    <row r="172" spans="1:94">
      <c r="A172" s="2" t="s">
        <v>50</v>
      </c>
      <c r="B172" s="3">
        <f>'Monthly D4 Gallon Data'!$T9</f>
        <v>0</v>
      </c>
      <c r="C172" s="3">
        <f>'Monthly D4 Gallon Data'!$T21</f>
        <v>1776803</v>
      </c>
      <c r="D172" s="3">
        <f>'Monthly D4 Gallon Data'!$T33</f>
        <v>358250</v>
      </c>
      <c r="E172" s="3">
        <f>'Monthly D4 Gallon Data'!$T45</f>
        <v>7229572</v>
      </c>
      <c r="F172" s="3">
        <f>'Monthly D4 Gallon Data'!$T57</f>
        <v>474247</v>
      </c>
      <c r="G172" s="3">
        <f>'Monthly D4 Gallon Data'!$T69</f>
        <v>333225</v>
      </c>
      <c r="H172" s="3">
        <f>'Monthly D4 Gallon Data'!$T81</f>
        <v>0</v>
      </c>
      <c r="I172" s="3">
        <f>'Monthly D4 Gallon Data'!$T93</f>
        <v>0</v>
      </c>
      <c r="J172" s="3">
        <f>'Monthly D4 Gallon Data'!$T105</f>
        <v>0</v>
      </c>
      <c r="K172" s="3">
        <f>'Monthly D4 Gallon Data'!$T117</f>
        <v>0</v>
      </c>
      <c r="L172" s="3">
        <f>'Monthly D4 Gallon Data'!$T129</f>
        <v>0</v>
      </c>
      <c r="M172" s="3">
        <f>'Monthly D4 Gallon Data'!$T141</f>
        <v>274606</v>
      </c>
      <c r="N172" s="3">
        <f>'Monthly D4 Gallon Data'!$T153</f>
        <v>0</v>
      </c>
      <c r="O172" s="3">
        <f>'Monthly D4 Gallon Data'!$T165</f>
        <v>54002619</v>
      </c>
      <c r="P172" s="3">
        <f>'Monthly D4 Gallon Data'!$T177</f>
        <v>48162137</v>
      </c>
      <c r="Q172" s="4">
        <f>$BN$163*0.875*31*0.75</f>
        <v>0</v>
      </c>
      <c r="R172" s="4">
        <f>$BN$163*0.875*31*0.8</f>
        <v>0</v>
      </c>
      <c r="S172" s="4">
        <f>$BN$163*0.875*31*0.9</f>
        <v>0</v>
      </c>
      <c r="T172" s="4">
        <f t="shared" si="185"/>
        <v>0</v>
      </c>
      <c r="U172" s="4">
        <f t="shared" si="185"/>
        <v>0</v>
      </c>
      <c r="V172" s="4">
        <f t="shared" si="185"/>
        <v>0</v>
      </c>
      <c r="W172" s="4">
        <f t="shared" si="185"/>
        <v>0</v>
      </c>
      <c r="X172" s="4">
        <f t="shared" si="185"/>
        <v>0</v>
      </c>
      <c r="Y172" s="4">
        <f t="shared" si="185"/>
        <v>0</v>
      </c>
      <c r="Z172" s="4">
        <f t="shared" si="185"/>
        <v>0</v>
      </c>
      <c r="AA172" s="4">
        <f t="shared" si="185"/>
        <v>0</v>
      </c>
      <c r="AB172" s="4">
        <f t="shared" si="185"/>
        <v>0</v>
      </c>
      <c r="AC172" s="4">
        <f t="shared" si="185"/>
        <v>0</v>
      </c>
      <c r="AD172" s="4">
        <f t="shared" si="185"/>
        <v>0</v>
      </c>
      <c r="AE172" s="4">
        <f t="shared" si="185"/>
        <v>0</v>
      </c>
      <c r="AF172" s="4">
        <f t="shared" si="185"/>
        <v>0</v>
      </c>
      <c r="AG172" s="4">
        <f t="shared" si="185"/>
        <v>0</v>
      </c>
      <c r="AH172" s="4">
        <f t="shared" si="186"/>
        <v>0</v>
      </c>
      <c r="AI172" s="4">
        <f t="shared" si="186"/>
        <v>0</v>
      </c>
      <c r="AJ172" s="4">
        <f t="shared" si="186"/>
        <v>0</v>
      </c>
      <c r="AK172" s="4">
        <f t="shared" si="186"/>
        <v>0</v>
      </c>
      <c r="AL172" s="4">
        <f t="shared" si="186"/>
        <v>0</v>
      </c>
      <c r="AM172" s="4">
        <f t="shared" si="186"/>
        <v>0</v>
      </c>
      <c r="AN172" s="4">
        <f t="shared" si="186"/>
        <v>0</v>
      </c>
      <c r="AO172" s="4">
        <f t="shared" si="186"/>
        <v>0</v>
      </c>
      <c r="AP172" s="4">
        <f t="shared" si="186"/>
        <v>0</v>
      </c>
      <c r="AQ172" s="4">
        <f t="shared" si="186"/>
        <v>0</v>
      </c>
      <c r="AR172" s="4"/>
      <c r="AS172" s="4"/>
      <c r="AT172" s="3">
        <f>O172/31</f>
        <v>1742019.9677419355</v>
      </c>
      <c r="AU172" s="4">
        <f>P172/31</f>
        <v>1553617.3225806451</v>
      </c>
      <c r="AV172" s="4"/>
      <c r="AW172" s="4"/>
      <c r="AX172" s="4"/>
      <c r="AY172" s="3"/>
      <c r="BA172" s="3">
        <v>0</v>
      </c>
      <c r="BB172" s="3">
        <f t="shared" si="183"/>
        <v>0</v>
      </c>
      <c r="BC172" s="3">
        <v>0</v>
      </c>
      <c r="BD172" s="3">
        <f t="shared" si="175"/>
        <v>0</v>
      </c>
      <c r="BE172" s="3">
        <v>0</v>
      </c>
      <c r="BF172" s="3">
        <f t="shared" si="176"/>
        <v>274606</v>
      </c>
      <c r="BG172" s="3">
        <v>0</v>
      </c>
      <c r="BH172" s="3"/>
      <c r="BI172" s="3"/>
      <c r="BJ172" s="4">
        <v>46112500</v>
      </c>
      <c r="BK172" s="3">
        <f t="shared" si="177"/>
        <v>2049637</v>
      </c>
      <c r="BL172" s="3">
        <v>0</v>
      </c>
      <c r="BM172" s="177">
        <f t="shared" si="178"/>
        <v>0</v>
      </c>
      <c r="BN172" s="3"/>
      <c r="BR172" s="3"/>
      <c r="BS172" s="3"/>
      <c r="BT172" s="3"/>
      <c r="BU172" s="3"/>
      <c r="BV172" s="3"/>
      <c r="BW172" s="3"/>
      <c r="BX172" s="3"/>
      <c r="BY172" s="3"/>
      <c r="BZ172" s="3"/>
      <c r="CA172" s="3"/>
      <c r="CB172" s="3"/>
      <c r="CC172" s="4"/>
      <c r="CD172" s="3"/>
      <c r="CE172" s="3"/>
      <c r="CF172" s="3"/>
      <c r="CG172" s="3"/>
      <c r="CH172" s="3"/>
      <c r="CI172" s="3"/>
      <c r="CJ172" s="3"/>
      <c r="CK172" s="3"/>
      <c r="CL172" s="3"/>
      <c r="CM172" s="3"/>
      <c r="CN172" s="3"/>
      <c r="CO172" s="3"/>
      <c r="CP172" s="3"/>
    </row>
    <row r="173" spans="1:94">
      <c r="A173" s="2" t="s">
        <v>51</v>
      </c>
      <c r="B173" s="3">
        <f>'Monthly D4 Gallon Data'!$T10</f>
        <v>0</v>
      </c>
      <c r="C173" s="3">
        <f>'Monthly D4 Gallon Data'!$T22</f>
        <v>1937964</v>
      </c>
      <c r="D173" s="3">
        <f>'Monthly D4 Gallon Data'!$T34</f>
        <v>305963</v>
      </c>
      <c r="E173" s="3">
        <f>'Monthly D4 Gallon Data'!$T46</f>
        <v>1971496</v>
      </c>
      <c r="F173" s="3">
        <f>'Monthly D4 Gallon Data'!$T58</f>
        <v>368827</v>
      </c>
      <c r="G173" s="3">
        <f>'Monthly D4 Gallon Data'!$T70</f>
        <v>336516</v>
      </c>
      <c r="H173" s="3">
        <f>'Monthly D4 Gallon Data'!$T82</f>
        <v>0</v>
      </c>
      <c r="I173" s="3">
        <f>'Monthly D4 Gallon Data'!$T94</f>
        <v>0</v>
      </c>
      <c r="J173" s="3">
        <f>'Monthly D4 Gallon Data'!$T106</f>
        <v>0</v>
      </c>
      <c r="K173" s="3">
        <f>'Monthly D4 Gallon Data'!$T118</f>
        <v>0</v>
      </c>
      <c r="L173" s="3">
        <f>'Monthly D4 Gallon Data'!$T130</f>
        <v>0</v>
      </c>
      <c r="M173" s="3">
        <f>'Monthly D4 Gallon Data'!$T142</f>
        <v>0</v>
      </c>
      <c r="N173" s="3">
        <f>'Monthly D4 Gallon Data'!$T154</f>
        <v>0</v>
      </c>
      <c r="O173" s="3">
        <f>'Monthly D4 Gallon Data'!$T166</f>
        <v>45782234</v>
      </c>
      <c r="P173" s="3">
        <f>'Monthly D4 Gallon Data'!$T178</f>
        <v>34597382</v>
      </c>
      <c r="Q173" s="4">
        <f>$BN$163*0.875*30*0.75</f>
        <v>0</v>
      </c>
      <c r="R173" s="4">
        <f>$BN$163*0.875*30*0.8</f>
        <v>0</v>
      </c>
      <c r="S173" s="4">
        <f>$BN$163*0.875*30*0.9</f>
        <v>0</v>
      </c>
      <c r="T173" s="4">
        <f t="shared" ref="T173:AQ173" si="187">$BN$163*0.875*30</f>
        <v>0</v>
      </c>
      <c r="U173" s="4">
        <f t="shared" si="187"/>
        <v>0</v>
      </c>
      <c r="V173" s="4">
        <f t="shared" si="187"/>
        <v>0</v>
      </c>
      <c r="W173" s="4">
        <f t="shared" si="187"/>
        <v>0</v>
      </c>
      <c r="X173" s="4">
        <f t="shared" si="187"/>
        <v>0</v>
      </c>
      <c r="Y173" s="4">
        <f t="shared" si="187"/>
        <v>0</v>
      </c>
      <c r="Z173" s="4">
        <f t="shared" si="187"/>
        <v>0</v>
      </c>
      <c r="AA173" s="4">
        <f t="shared" si="187"/>
        <v>0</v>
      </c>
      <c r="AB173" s="4">
        <f t="shared" si="187"/>
        <v>0</v>
      </c>
      <c r="AC173" s="4">
        <f t="shared" si="187"/>
        <v>0</v>
      </c>
      <c r="AD173" s="4">
        <f t="shared" si="187"/>
        <v>0</v>
      </c>
      <c r="AE173" s="4">
        <f t="shared" si="187"/>
        <v>0</v>
      </c>
      <c r="AF173" s="4">
        <f t="shared" si="187"/>
        <v>0</v>
      </c>
      <c r="AG173" s="4">
        <f t="shared" si="187"/>
        <v>0</v>
      </c>
      <c r="AH173" s="4">
        <f t="shared" si="187"/>
        <v>0</v>
      </c>
      <c r="AI173" s="4">
        <f t="shared" si="187"/>
        <v>0</v>
      </c>
      <c r="AJ173" s="4">
        <f t="shared" si="187"/>
        <v>0</v>
      </c>
      <c r="AK173" s="4">
        <f t="shared" si="187"/>
        <v>0</v>
      </c>
      <c r="AL173" s="4">
        <f t="shared" si="187"/>
        <v>0</v>
      </c>
      <c r="AM173" s="4">
        <f t="shared" si="187"/>
        <v>0</v>
      </c>
      <c r="AN173" s="4">
        <f t="shared" si="187"/>
        <v>0</v>
      </c>
      <c r="AO173" s="4">
        <f t="shared" si="187"/>
        <v>0</v>
      </c>
      <c r="AP173" s="4">
        <f t="shared" si="187"/>
        <v>0</v>
      </c>
      <c r="AQ173" s="4">
        <f t="shared" si="187"/>
        <v>0</v>
      </c>
      <c r="AR173" s="4"/>
      <c r="AS173" s="4"/>
      <c r="AT173" s="3">
        <f>O173/30</f>
        <v>1526074.4666666666</v>
      </c>
      <c r="AU173" s="4">
        <f>P173/30</f>
        <v>1153246.0666666667</v>
      </c>
      <c r="AV173" s="4"/>
      <c r="AW173" s="4"/>
      <c r="AX173" s="4"/>
      <c r="AY173" s="3"/>
      <c r="BA173" s="3">
        <v>0</v>
      </c>
      <c r="BB173" s="3">
        <f t="shared" si="183"/>
        <v>0</v>
      </c>
      <c r="BC173" s="3">
        <v>0</v>
      </c>
      <c r="BD173" s="3">
        <f t="shared" si="175"/>
        <v>0</v>
      </c>
      <c r="BE173" s="3">
        <v>0</v>
      </c>
      <c r="BF173" s="3">
        <f t="shared" si="176"/>
        <v>0</v>
      </c>
      <c r="BG173" s="3">
        <v>0</v>
      </c>
      <c r="BH173" s="3"/>
      <c r="BI173" s="3"/>
      <c r="BJ173" s="4">
        <v>44625000</v>
      </c>
      <c r="BK173" s="3">
        <f t="shared" si="177"/>
        <v>-10027618</v>
      </c>
      <c r="BL173" s="3">
        <v>0</v>
      </c>
      <c r="BM173" s="177">
        <f t="shared" si="178"/>
        <v>0</v>
      </c>
      <c r="BN173" s="3"/>
      <c r="BR173" s="3"/>
      <c r="BS173" s="3"/>
      <c r="BT173" s="3"/>
      <c r="BU173" s="3"/>
      <c r="BV173" s="3"/>
      <c r="BW173" s="3"/>
      <c r="BX173" s="3"/>
      <c r="BY173" s="3"/>
      <c r="BZ173" s="3"/>
      <c r="CA173" s="3"/>
      <c r="CB173" s="3"/>
      <c r="CC173" s="4"/>
      <c r="CD173" s="3"/>
      <c r="CE173" s="3"/>
      <c r="CF173" s="3"/>
      <c r="CG173" s="3"/>
      <c r="CH173" s="3"/>
      <c r="CI173" s="3"/>
      <c r="CJ173" s="3"/>
      <c r="CK173" s="3"/>
      <c r="CL173" s="3"/>
      <c r="CM173" s="3"/>
      <c r="CN173" s="3"/>
      <c r="CO173" s="3"/>
      <c r="CP173" s="3"/>
    </row>
    <row r="174" spans="1:94">
      <c r="A174" s="2" t="s">
        <v>52</v>
      </c>
      <c r="B174" s="3">
        <f>'Monthly D4 Gallon Data'!$T11</f>
        <v>0</v>
      </c>
      <c r="C174" s="3">
        <f>'Monthly D4 Gallon Data'!$T23</f>
        <v>2410880</v>
      </c>
      <c r="D174" s="3">
        <f>'Monthly D4 Gallon Data'!$T35</f>
        <v>570293</v>
      </c>
      <c r="E174" s="3">
        <f>'Monthly D4 Gallon Data'!$T47</f>
        <v>2016071</v>
      </c>
      <c r="F174" s="3">
        <f>'Monthly D4 Gallon Data'!$T59</f>
        <v>411779</v>
      </c>
      <c r="G174" s="3">
        <f>'Monthly D4 Gallon Data'!$T71</f>
        <v>47132</v>
      </c>
      <c r="H174" s="3">
        <f>'Monthly D4 Gallon Data'!$T83</f>
        <v>0</v>
      </c>
      <c r="I174" s="3">
        <f>'Monthly D4 Gallon Data'!$T95</f>
        <v>0</v>
      </c>
      <c r="J174" s="3">
        <f>'Monthly D4 Gallon Data'!$T107</f>
        <v>0</v>
      </c>
      <c r="K174" s="3">
        <f>'Monthly D4 Gallon Data'!$T119</f>
        <v>0</v>
      </c>
      <c r="L174" s="3">
        <f>'Monthly D4 Gallon Data'!$T131</f>
        <v>0</v>
      </c>
      <c r="M174" s="3">
        <f>'Monthly D4 Gallon Data'!$T143</f>
        <v>0</v>
      </c>
      <c r="N174" s="3">
        <f>'Monthly D4 Gallon Data'!$T155</f>
        <v>669177</v>
      </c>
      <c r="O174" s="3">
        <f>'Monthly D4 Gallon Data'!$T167</f>
        <v>56281754</v>
      </c>
      <c r="P174" s="3">
        <f>'Monthly D4 Gallon Data'!$T179</f>
        <v>55284123</v>
      </c>
      <c r="Q174" s="4">
        <f>$BN$163*0.875*31*0.75</f>
        <v>0</v>
      </c>
      <c r="R174" s="4">
        <f>$BN$163*0.875*31*0.8</f>
        <v>0</v>
      </c>
      <c r="S174" s="4">
        <f>$BN$163*0.875*31*0.9</f>
        <v>0</v>
      </c>
      <c r="T174" s="4">
        <f t="shared" ref="T174:AQ174" si="188">$BN$163*0.875*31</f>
        <v>0</v>
      </c>
      <c r="U174" s="4">
        <f t="shared" si="188"/>
        <v>0</v>
      </c>
      <c r="V174" s="4">
        <f t="shared" si="188"/>
        <v>0</v>
      </c>
      <c r="W174" s="4">
        <f t="shared" si="188"/>
        <v>0</v>
      </c>
      <c r="X174" s="4">
        <f t="shared" si="188"/>
        <v>0</v>
      </c>
      <c r="Y174" s="4">
        <f t="shared" si="188"/>
        <v>0</v>
      </c>
      <c r="Z174" s="4">
        <f t="shared" si="188"/>
        <v>0</v>
      </c>
      <c r="AA174" s="4">
        <f t="shared" si="188"/>
        <v>0</v>
      </c>
      <c r="AB174" s="4">
        <f t="shared" si="188"/>
        <v>0</v>
      </c>
      <c r="AC174" s="4">
        <f t="shared" si="188"/>
        <v>0</v>
      </c>
      <c r="AD174" s="4">
        <f t="shared" si="188"/>
        <v>0</v>
      </c>
      <c r="AE174" s="4">
        <f t="shared" si="188"/>
        <v>0</v>
      </c>
      <c r="AF174" s="4">
        <f t="shared" si="188"/>
        <v>0</v>
      </c>
      <c r="AG174" s="4">
        <f t="shared" si="188"/>
        <v>0</v>
      </c>
      <c r="AH174" s="4">
        <f t="shared" si="188"/>
        <v>0</v>
      </c>
      <c r="AI174" s="4">
        <f t="shared" si="188"/>
        <v>0</v>
      </c>
      <c r="AJ174" s="4">
        <f t="shared" si="188"/>
        <v>0</v>
      </c>
      <c r="AK174" s="4">
        <f t="shared" si="188"/>
        <v>0</v>
      </c>
      <c r="AL174" s="4">
        <f t="shared" si="188"/>
        <v>0</v>
      </c>
      <c r="AM174" s="4">
        <f t="shared" si="188"/>
        <v>0</v>
      </c>
      <c r="AN174" s="4">
        <f t="shared" si="188"/>
        <v>0</v>
      </c>
      <c r="AO174" s="4">
        <f t="shared" si="188"/>
        <v>0</v>
      </c>
      <c r="AP174" s="4">
        <f t="shared" si="188"/>
        <v>0</v>
      </c>
      <c r="AQ174" s="4">
        <f t="shared" si="188"/>
        <v>0</v>
      </c>
      <c r="AR174" s="4"/>
      <c r="AS174" s="4"/>
      <c r="AT174" s="3">
        <f>O174/31</f>
        <v>1815540.4516129033</v>
      </c>
      <c r="AU174" s="4">
        <f>P174/31</f>
        <v>1783358.8064516129</v>
      </c>
      <c r="AV174" s="4"/>
      <c r="AW174" s="4"/>
      <c r="AX174" s="4"/>
      <c r="AY174" s="3"/>
      <c r="BA174" s="3">
        <v>0</v>
      </c>
      <c r="BB174" s="3">
        <f t="shared" si="183"/>
        <v>0</v>
      </c>
      <c r="BC174" s="3">
        <v>0</v>
      </c>
      <c r="BD174" s="3">
        <f t="shared" si="175"/>
        <v>0</v>
      </c>
      <c r="BE174" s="3">
        <v>0</v>
      </c>
      <c r="BF174" s="3">
        <f t="shared" si="176"/>
        <v>0</v>
      </c>
      <c r="BG174" s="3">
        <v>0</v>
      </c>
      <c r="BH174" s="3"/>
      <c r="BI174" s="3"/>
      <c r="BJ174" s="4">
        <v>46112500</v>
      </c>
      <c r="BK174" s="3">
        <f t="shared" si="177"/>
        <v>9171623</v>
      </c>
      <c r="BL174" s="3">
        <v>0</v>
      </c>
      <c r="BM174" s="177">
        <f t="shared" si="178"/>
        <v>0</v>
      </c>
      <c r="BN174" s="3"/>
      <c r="BR174" s="3"/>
      <c r="BS174" s="3"/>
      <c r="BT174" s="3"/>
      <c r="BU174" s="3"/>
      <c r="BV174" s="3"/>
      <c r="BW174" s="3"/>
      <c r="BX174" s="3"/>
      <c r="BY174" s="3"/>
      <c r="BZ174" s="3"/>
      <c r="CA174" s="3"/>
      <c r="CB174" s="3"/>
      <c r="CC174" s="4"/>
      <c r="CD174" s="3"/>
      <c r="CE174" s="3"/>
      <c r="CF174" s="3"/>
      <c r="CG174" s="3"/>
      <c r="CH174" s="3"/>
      <c r="CI174" s="3"/>
      <c r="CJ174" s="3"/>
      <c r="CK174" s="3"/>
      <c r="CL174" s="3"/>
      <c r="CM174" s="3"/>
      <c r="CN174" s="3"/>
      <c r="CO174" s="3"/>
      <c r="CP174" s="3"/>
    </row>
    <row r="175" spans="1:94">
      <c r="A175" s="2" t="s">
        <v>53</v>
      </c>
      <c r="B175" s="3">
        <f>'Monthly D4 Gallon Data'!$T12</f>
        <v>0</v>
      </c>
      <c r="C175" s="3">
        <f>'Monthly D4 Gallon Data'!$T24</f>
        <v>2186856</v>
      </c>
      <c r="D175" s="3">
        <f>'Monthly D4 Gallon Data'!$T36</f>
        <v>568839</v>
      </c>
      <c r="E175" s="3">
        <f>'Monthly D4 Gallon Data'!$T48</f>
        <v>1251406</v>
      </c>
      <c r="F175" s="3">
        <f>'Monthly D4 Gallon Data'!$T60</f>
        <v>365512</v>
      </c>
      <c r="G175" s="3">
        <f>'Monthly D4 Gallon Data'!$T72</f>
        <v>80928</v>
      </c>
      <c r="H175" s="3">
        <f>'Monthly D4 Gallon Data'!$T84</f>
        <v>0</v>
      </c>
      <c r="I175" s="3">
        <f>'Monthly D4 Gallon Data'!$T96</f>
        <v>0</v>
      </c>
      <c r="J175" s="3">
        <f>'Monthly D4 Gallon Data'!$T108</f>
        <v>0</v>
      </c>
      <c r="K175" s="3">
        <f>'Monthly D4 Gallon Data'!$T120</f>
        <v>0</v>
      </c>
      <c r="L175" s="3">
        <f>'Monthly D4 Gallon Data'!$T132</f>
        <v>4652</v>
      </c>
      <c r="M175" s="3">
        <f>'Monthly D4 Gallon Data'!$T144</f>
        <v>0</v>
      </c>
      <c r="N175" s="3">
        <f>'Monthly D4 Gallon Data'!$T156</f>
        <v>14109311</v>
      </c>
      <c r="O175" s="3">
        <f>'Monthly D4 Gallon Data'!$T168</f>
        <v>49803089</v>
      </c>
      <c r="P175" s="3">
        <f>'Monthly D4 Gallon Data'!$T180</f>
        <v>39534888</v>
      </c>
      <c r="Q175" s="4">
        <f>$BN$163*0.875*30*0.75</f>
        <v>0</v>
      </c>
      <c r="R175" s="4">
        <f>$BN$163*0.875*30*0.8</f>
        <v>0</v>
      </c>
      <c r="S175" s="4">
        <f>$BN$163*0.875*30*0.9</f>
        <v>0</v>
      </c>
      <c r="T175" s="4">
        <f t="shared" ref="T175:AQ175" si="189">$BN$163*0.875*30</f>
        <v>0</v>
      </c>
      <c r="U175" s="4">
        <f t="shared" si="189"/>
        <v>0</v>
      </c>
      <c r="V175" s="4">
        <f t="shared" si="189"/>
        <v>0</v>
      </c>
      <c r="W175" s="4">
        <f t="shared" si="189"/>
        <v>0</v>
      </c>
      <c r="X175" s="4">
        <f t="shared" si="189"/>
        <v>0</v>
      </c>
      <c r="Y175" s="4">
        <f t="shared" si="189"/>
        <v>0</v>
      </c>
      <c r="Z175" s="4">
        <f t="shared" si="189"/>
        <v>0</v>
      </c>
      <c r="AA175" s="4">
        <f t="shared" si="189"/>
        <v>0</v>
      </c>
      <c r="AB175" s="4">
        <f t="shared" si="189"/>
        <v>0</v>
      </c>
      <c r="AC175" s="4">
        <f t="shared" si="189"/>
        <v>0</v>
      </c>
      <c r="AD175" s="4">
        <f t="shared" si="189"/>
        <v>0</v>
      </c>
      <c r="AE175" s="4">
        <f t="shared" si="189"/>
        <v>0</v>
      </c>
      <c r="AF175" s="4">
        <f t="shared" si="189"/>
        <v>0</v>
      </c>
      <c r="AG175" s="4">
        <f t="shared" si="189"/>
        <v>0</v>
      </c>
      <c r="AH175" s="4">
        <f t="shared" si="189"/>
        <v>0</v>
      </c>
      <c r="AI175" s="4">
        <f t="shared" si="189"/>
        <v>0</v>
      </c>
      <c r="AJ175" s="4">
        <f t="shared" si="189"/>
        <v>0</v>
      </c>
      <c r="AK175" s="4">
        <f t="shared" si="189"/>
        <v>0</v>
      </c>
      <c r="AL175" s="4">
        <f t="shared" si="189"/>
        <v>0</v>
      </c>
      <c r="AM175" s="4">
        <f t="shared" si="189"/>
        <v>0</v>
      </c>
      <c r="AN175" s="4">
        <f t="shared" si="189"/>
        <v>0</v>
      </c>
      <c r="AO175" s="4">
        <f t="shared" si="189"/>
        <v>0</v>
      </c>
      <c r="AP175" s="4">
        <f t="shared" si="189"/>
        <v>0</v>
      </c>
      <c r="AQ175" s="4">
        <f t="shared" si="189"/>
        <v>0</v>
      </c>
      <c r="AR175" s="4"/>
      <c r="AS175" s="4"/>
      <c r="AT175" s="3">
        <f>O175/30</f>
        <v>1660102.9666666666</v>
      </c>
      <c r="AU175" s="4">
        <f>P175/30</f>
        <v>1317829.6000000001</v>
      </c>
      <c r="AV175" s="4"/>
      <c r="AW175" s="4"/>
      <c r="AX175" s="4"/>
      <c r="AY175" s="3"/>
      <c r="BA175" s="3">
        <v>0</v>
      </c>
      <c r="BB175" s="3">
        <f t="shared" si="183"/>
        <v>0</v>
      </c>
      <c r="BC175" s="3">
        <v>0</v>
      </c>
      <c r="BD175" s="3">
        <f t="shared" si="175"/>
        <v>4652</v>
      </c>
      <c r="BE175" s="3">
        <v>0</v>
      </c>
      <c r="BF175" s="3">
        <f t="shared" si="176"/>
        <v>0</v>
      </c>
      <c r="BG175" s="3">
        <v>0</v>
      </c>
      <c r="BH175" s="3"/>
      <c r="BI175" s="3"/>
      <c r="BJ175" s="4">
        <v>44625000</v>
      </c>
      <c r="BK175" s="3">
        <f t="shared" si="177"/>
        <v>-5090112</v>
      </c>
      <c r="BL175" s="3">
        <v>0</v>
      </c>
      <c r="BM175" s="177">
        <f t="shared" si="178"/>
        <v>0</v>
      </c>
      <c r="BN175" s="3"/>
      <c r="BR175" s="3"/>
      <c r="BS175" s="3"/>
      <c r="BT175" s="3"/>
      <c r="BU175" s="3"/>
      <c r="BV175" s="3"/>
      <c r="BW175" s="3"/>
      <c r="BX175" s="3"/>
      <c r="BY175" s="3"/>
      <c r="BZ175" s="3"/>
      <c r="CA175" s="3"/>
      <c r="CB175" s="3"/>
      <c r="CC175" s="4"/>
      <c r="CD175" s="3"/>
      <c r="CE175" s="3"/>
      <c r="CF175" s="3"/>
      <c r="CG175" s="3"/>
      <c r="CH175" s="3"/>
      <c r="CI175" s="3"/>
      <c r="CJ175" s="3"/>
      <c r="CK175" s="3"/>
      <c r="CL175" s="3"/>
      <c r="CM175" s="3"/>
      <c r="CN175" s="3"/>
      <c r="CO175" s="3"/>
      <c r="CP175" s="3"/>
    </row>
    <row r="176" spans="1:94">
      <c r="A176" s="2" t="s">
        <v>54</v>
      </c>
      <c r="B176" s="3">
        <f>'Monthly D4 Gallon Data'!$T13</f>
        <v>240476</v>
      </c>
      <c r="C176" s="3">
        <f>'Monthly D4 Gallon Data'!$T25</f>
        <v>1160739</v>
      </c>
      <c r="D176" s="3">
        <f>'Monthly D4 Gallon Data'!$T37</f>
        <v>552904</v>
      </c>
      <c r="E176" s="3">
        <f>'Monthly D4 Gallon Data'!$T49</f>
        <v>1351606</v>
      </c>
      <c r="F176" s="3">
        <f>'Monthly D4 Gallon Data'!$T61</f>
        <v>322854</v>
      </c>
      <c r="G176" s="3">
        <f>'Monthly D4 Gallon Data'!$T73</f>
        <v>71180</v>
      </c>
      <c r="H176" s="3">
        <f>'Monthly D4 Gallon Data'!$T85</f>
        <v>0</v>
      </c>
      <c r="I176" s="3">
        <f>'Monthly D4 Gallon Data'!$T97</f>
        <v>0</v>
      </c>
      <c r="J176" s="3">
        <f>'Monthly D4 Gallon Data'!$T109</f>
        <v>0</v>
      </c>
      <c r="K176" s="3">
        <f>'Monthly D4 Gallon Data'!$T121</f>
        <v>0</v>
      </c>
      <c r="L176" s="3">
        <f>'Monthly D4 Gallon Data'!$T133</f>
        <v>0</v>
      </c>
      <c r="M176" s="3">
        <f>'Monthly D4 Gallon Data'!$T145</f>
        <v>0</v>
      </c>
      <c r="N176" s="3">
        <f>'Monthly D4 Gallon Data'!$T157</f>
        <v>22953301</v>
      </c>
      <c r="O176" s="3">
        <f>'Monthly D4 Gallon Data'!$T169</f>
        <v>57399372</v>
      </c>
      <c r="P176" s="3">
        <f>'Monthly D4 Gallon Data'!$T181</f>
        <v>53407518</v>
      </c>
      <c r="Q176" s="4">
        <f>$BN$163*0.875*31*0.75</f>
        <v>0</v>
      </c>
      <c r="R176" s="4">
        <f>$BN$163*0.875*31*0.8</f>
        <v>0</v>
      </c>
      <c r="S176" s="4">
        <f>$BN$163*0.875*31*0.9</f>
        <v>0</v>
      </c>
      <c r="T176" s="4">
        <f t="shared" ref="T176:AQ176" si="190">$BN$163*0.875*31</f>
        <v>0</v>
      </c>
      <c r="U176" s="4">
        <f t="shared" si="190"/>
        <v>0</v>
      </c>
      <c r="V176" s="4">
        <f t="shared" si="190"/>
        <v>0</v>
      </c>
      <c r="W176" s="4">
        <f t="shared" si="190"/>
        <v>0</v>
      </c>
      <c r="X176" s="4">
        <f t="shared" si="190"/>
        <v>0</v>
      </c>
      <c r="Y176" s="4">
        <f t="shared" si="190"/>
        <v>0</v>
      </c>
      <c r="Z176" s="4">
        <f t="shared" si="190"/>
        <v>0</v>
      </c>
      <c r="AA176" s="4">
        <f t="shared" si="190"/>
        <v>0</v>
      </c>
      <c r="AB176" s="4">
        <f t="shared" si="190"/>
        <v>0</v>
      </c>
      <c r="AC176" s="4">
        <f t="shared" si="190"/>
        <v>0</v>
      </c>
      <c r="AD176" s="4">
        <f t="shared" si="190"/>
        <v>0</v>
      </c>
      <c r="AE176" s="4">
        <f t="shared" si="190"/>
        <v>0</v>
      </c>
      <c r="AF176" s="4">
        <f t="shared" si="190"/>
        <v>0</v>
      </c>
      <c r="AG176" s="4">
        <f t="shared" si="190"/>
        <v>0</v>
      </c>
      <c r="AH176" s="4">
        <f t="shared" si="190"/>
        <v>0</v>
      </c>
      <c r="AI176" s="4">
        <f t="shared" si="190"/>
        <v>0</v>
      </c>
      <c r="AJ176" s="4">
        <f t="shared" si="190"/>
        <v>0</v>
      </c>
      <c r="AK176" s="4">
        <f t="shared" si="190"/>
        <v>0</v>
      </c>
      <c r="AL176" s="4">
        <f t="shared" si="190"/>
        <v>0</v>
      </c>
      <c r="AM176" s="4">
        <f t="shared" si="190"/>
        <v>0</v>
      </c>
      <c r="AN176" s="4">
        <f t="shared" si="190"/>
        <v>0</v>
      </c>
      <c r="AO176" s="4">
        <f t="shared" si="190"/>
        <v>0</v>
      </c>
      <c r="AP176" s="4">
        <f t="shared" si="190"/>
        <v>0</v>
      </c>
      <c r="AQ176" s="4">
        <f t="shared" si="190"/>
        <v>0</v>
      </c>
      <c r="AR176" s="4"/>
      <c r="AS176" s="4"/>
      <c r="AT176" s="3">
        <f>O176/31</f>
        <v>1851592.6451612904</v>
      </c>
      <c r="AU176" s="4">
        <f>P176/31</f>
        <v>1722823.1612903227</v>
      </c>
      <c r="AV176" s="4"/>
      <c r="AW176" s="4"/>
      <c r="AX176" s="4"/>
      <c r="AY176" s="3"/>
      <c r="BA176" s="3">
        <v>0</v>
      </c>
      <c r="BB176" s="3">
        <f t="shared" si="183"/>
        <v>0</v>
      </c>
      <c r="BC176" s="3">
        <v>0</v>
      </c>
      <c r="BD176" s="3">
        <f t="shared" si="175"/>
        <v>0</v>
      </c>
      <c r="BE176" s="3">
        <v>0</v>
      </c>
      <c r="BF176" s="3">
        <f t="shared" si="176"/>
        <v>0</v>
      </c>
      <c r="BG176" s="3">
        <v>0</v>
      </c>
      <c r="BH176" s="3"/>
      <c r="BI176" s="3"/>
      <c r="BJ176" s="4">
        <v>46112500</v>
      </c>
      <c r="BK176" s="3">
        <f t="shared" si="177"/>
        <v>7295018</v>
      </c>
      <c r="BL176" s="3">
        <v>0</v>
      </c>
      <c r="BM176" s="177">
        <f t="shared" si="178"/>
        <v>0</v>
      </c>
      <c r="BN176" s="3"/>
      <c r="BR176" s="3"/>
      <c r="BS176" s="3"/>
      <c r="BT176" s="3"/>
      <c r="BU176" s="3"/>
      <c r="BV176" s="3"/>
      <c r="BW176" s="3"/>
      <c r="BX176" s="3"/>
      <c r="BY176" s="3"/>
      <c r="BZ176" s="3"/>
      <c r="CA176" s="3"/>
      <c r="CB176" s="3"/>
      <c r="CC176" s="4"/>
      <c r="CD176" s="3"/>
      <c r="CE176" s="3"/>
      <c r="CF176" s="3"/>
      <c r="CG176" s="3"/>
      <c r="CH176" s="3"/>
      <c r="CI176" s="3"/>
      <c r="CJ176" s="3"/>
      <c r="CK176" s="3"/>
      <c r="CL176" s="3"/>
      <c r="CM176" s="3"/>
      <c r="CN176" s="3"/>
      <c r="CO176" s="3"/>
      <c r="CP176" s="3"/>
    </row>
    <row r="177" spans="1:94" ht="13.5" thickBot="1">
      <c r="A177" s="2" t="s">
        <v>29</v>
      </c>
      <c r="B177" s="3">
        <f>SUM(B165:B176)</f>
        <v>240476</v>
      </c>
      <c r="C177" s="3">
        <f t="shared" ref="C177:P177" si="191">SUM(C165:C176)</f>
        <v>14892088</v>
      </c>
      <c r="D177" s="3">
        <f t="shared" si="191"/>
        <v>9371937</v>
      </c>
      <c r="E177" s="3">
        <f t="shared" si="191"/>
        <v>28912259</v>
      </c>
      <c r="F177" s="3">
        <f t="shared" si="191"/>
        <v>7456331</v>
      </c>
      <c r="G177" s="3">
        <f t="shared" si="191"/>
        <v>4298593</v>
      </c>
      <c r="H177" s="3">
        <f t="shared" si="191"/>
        <v>0</v>
      </c>
      <c r="I177" s="3">
        <f t="shared" si="191"/>
        <v>0</v>
      </c>
      <c r="J177" s="3">
        <f t="shared" si="191"/>
        <v>0</v>
      </c>
      <c r="K177" s="3">
        <f t="shared" si="191"/>
        <v>0</v>
      </c>
      <c r="L177" s="3">
        <f t="shared" si="191"/>
        <v>1190841</v>
      </c>
      <c r="M177" s="3">
        <f t="shared" si="191"/>
        <v>713112</v>
      </c>
      <c r="N177" s="3">
        <f t="shared" si="191"/>
        <v>39146727</v>
      </c>
      <c r="O177" s="3">
        <f t="shared" si="191"/>
        <v>526588313</v>
      </c>
      <c r="P177" s="3">
        <f t="shared" si="191"/>
        <v>521976706</v>
      </c>
      <c r="Q177" s="4">
        <f>SUM(Q165:Q176)</f>
        <v>110127790</v>
      </c>
      <c r="R177" s="4">
        <f t="shared" ref="R177:AQ177" si="192">SUM(R165:R176)</f>
        <v>0</v>
      </c>
      <c r="S177" s="4">
        <f t="shared" si="192"/>
        <v>0</v>
      </c>
      <c r="T177" s="4">
        <f t="shared" si="192"/>
        <v>0</v>
      </c>
      <c r="U177" s="4">
        <f t="shared" si="192"/>
        <v>0</v>
      </c>
      <c r="V177" s="4">
        <f t="shared" si="192"/>
        <v>0</v>
      </c>
      <c r="W177" s="4">
        <f t="shared" si="192"/>
        <v>0</v>
      </c>
      <c r="X177" s="4">
        <f t="shared" si="192"/>
        <v>0</v>
      </c>
      <c r="Y177" s="4">
        <f t="shared" si="192"/>
        <v>0</v>
      </c>
      <c r="Z177" s="4">
        <f t="shared" si="192"/>
        <v>0</v>
      </c>
      <c r="AA177" s="4">
        <f t="shared" si="192"/>
        <v>0</v>
      </c>
      <c r="AB177" s="4">
        <f t="shared" si="192"/>
        <v>0</v>
      </c>
      <c r="AC177" s="4">
        <f t="shared" si="192"/>
        <v>0</v>
      </c>
      <c r="AD177" s="4">
        <f t="shared" si="192"/>
        <v>0</v>
      </c>
      <c r="AE177" s="4">
        <f t="shared" si="192"/>
        <v>0</v>
      </c>
      <c r="AF177" s="4">
        <f t="shared" si="192"/>
        <v>0</v>
      </c>
      <c r="AG177" s="4">
        <f t="shared" si="192"/>
        <v>0</v>
      </c>
      <c r="AH177" s="4">
        <f t="shared" si="192"/>
        <v>0</v>
      </c>
      <c r="AI177" s="4">
        <f t="shared" si="192"/>
        <v>0</v>
      </c>
      <c r="AJ177" s="4">
        <f t="shared" si="192"/>
        <v>0</v>
      </c>
      <c r="AK177" s="4">
        <f t="shared" si="192"/>
        <v>0</v>
      </c>
      <c r="AL177" s="4">
        <f t="shared" si="192"/>
        <v>0</v>
      </c>
      <c r="AM177" s="4">
        <f t="shared" si="192"/>
        <v>0</v>
      </c>
      <c r="AN177" s="4">
        <f t="shared" si="192"/>
        <v>0</v>
      </c>
      <c r="AO177" s="4">
        <f t="shared" si="192"/>
        <v>0</v>
      </c>
      <c r="AP177" s="4">
        <f t="shared" si="192"/>
        <v>0</v>
      </c>
      <c r="AQ177" s="4">
        <f t="shared" si="192"/>
        <v>0</v>
      </c>
      <c r="AR177" s="4"/>
      <c r="AS177" s="4"/>
      <c r="AT177" s="94"/>
      <c r="AU177" s="4"/>
      <c r="AV177" s="4"/>
      <c r="AW177" s="4"/>
      <c r="AX177" s="4"/>
      <c r="AY177" s="3"/>
      <c r="BA177" s="3">
        <v>0</v>
      </c>
      <c r="BB177" s="3">
        <f t="shared" si="183"/>
        <v>0</v>
      </c>
      <c r="BC177" s="3">
        <v>1186189</v>
      </c>
      <c r="BD177" s="3">
        <f t="shared" si="175"/>
        <v>4652</v>
      </c>
      <c r="BE177" s="3">
        <v>0</v>
      </c>
      <c r="BF177" s="3">
        <f t="shared" si="176"/>
        <v>713112</v>
      </c>
      <c r="BG177" s="3">
        <v>16193426</v>
      </c>
      <c r="BH177" s="3"/>
      <c r="BI177" s="3"/>
      <c r="BJ177" s="4">
        <v>518578158</v>
      </c>
      <c r="BK177" s="3">
        <f t="shared" si="177"/>
        <v>3398548</v>
      </c>
      <c r="BL177" s="3">
        <v>73631850</v>
      </c>
      <c r="BM177" s="177">
        <f t="shared" si="178"/>
        <v>36495940</v>
      </c>
      <c r="BN177" s="3"/>
      <c r="BR177" s="3"/>
      <c r="BS177" s="3"/>
      <c r="BT177" s="3"/>
      <c r="BU177" s="3"/>
      <c r="BV177" s="3"/>
      <c r="BW177" s="3"/>
      <c r="BX177" s="3"/>
      <c r="BY177" s="3"/>
      <c r="BZ177" s="3"/>
      <c r="CA177" s="3"/>
      <c r="CB177" s="3"/>
      <c r="CC177" s="4"/>
      <c r="CD177" s="3"/>
      <c r="CE177" s="3"/>
      <c r="CF177" s="3"/>
      <c r="CG177" s="3"/>
      <c r="CH177" s="3"/>
      <c r="CI177" s="3"/>
      <c r="CJ177" s="3"/>
      <c r="CK177" s="3"/>
      <c r="CL177" s="3"/>
      <c r="CM177" s="3"/>
      <c r="CN177" s="3"/>
      <c r="CO177" s="3"/>
      <c r="CP177" s="3"/>
    </row>
    <row r="178" spans="1:94">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c r="AD178" s="114"/>
      <c r="AE178" s="114"/>
      <c r="AF178" s="114"/>
      <c r="AG178" s="114"/>
      <c r="AH178" s="114"/>
      <c r="AI178" s="114"/>
      <c r="AJ178" s="114"/>
      <c r="AK178" s="114"/>
      <c r="AL178" s="114"/>
      <c r="AM178" s="114"/>
      <c r="AN178" s="114"/>
      <c r="AO178" s="114"/>
      <c r="AP178" s="114"/>
      <c r="AQ178" s="114"/>
      <c r="AT178" s="94"/>
      <c r="AX178" s="4"/>
      <c r="AY178" s="3"/>
      <c r="BE178" s="4"/>
    </row>
    <row r="179" spans="1:94" ht="16.5" thickBot="1">
      <c r="A179" s="109" t="s">
        <v>316</v>
      </c>
      <c r="AX179" s="4"/>
      <c r="AY179" s="3"/>
      <c r="BE179" s="4"/>
    </row>
    <row r="180" spans="1:94" ht="14.25" thickBot="1">
      <c r="A180" s="110"/>
      <c r="B180" s="111">
        <f t="shared" ref="B180:K180" si="193">B2</f>
        <v>2010</v>
      </c>
      <c r="C180" s="111">
        <f t="shared" si="193"/>
        <v>2011</v>
      </c>
      <c r="D180" s="111">
        <f t="shared" si="193"/>
        <v>2012</v>
      </c>
      <c r="E180" s="111">
        <f t="shared" si="193"/>
        <v>2013</v>
      </c>
      <c r="F180" s="111">
        <f t="shared" si="193"/>
        <v>2014</v>
      </c>
      <c r="G180" s="111">
        <f t="shared" si="193"/>
        <v>2015</v>
      </c>
      <c r="H180" s="111">
        <f t="shared" si="193"/>
        <v>2016</v>
      </c>
      <c r="I180" s="111">
        <f t="shared" si="193"/>
        <v>2017</v>
      </c>
      <c r="J180" s="111">
        <f t="shared" si="193"/>
        <v>2018</v>
      </c>
      <c r="K180" s="111">
        <f t="shared" si="193"/>
        <v>2019</v>
      </c>
      <c r="L180" s="111">
        <f>L2</f>
        <v>2020</v>
      </c>
      <c r="M180" s="111">
        <f>M2</f>
        <v>2021</v>
      </c>
      <c r="N180" s="111">
        <f t="shared" ref="N180:AQ180" si="194">N2</f>
        <v>2022</v>
      </c>
      <c r="O180" s="111">
        <f t="shared" si="194"/>
        <v>2023</v>
      </c>
      <c r="P180" s="111">
        <f t="shared" si="194"/>
        <v>2024</v>
      </c>
      <c r="Q180" s="111">
        <f t="shared" si="194"/>
        <v>2025</v>
      </c>
      <c r="R180" s="111">
        <f t="shared" si="194"/>
        <v>2026</v>
      </c>
      <c r="S180" s="111">
        <f t="shared" si="194"/>
        <v>2027</v>
      </c>
      <c r="T180" s="111">
        <f t="shared" si="194"/>
        <v>2028</v>
      </c>
      <c r="U180" s="111">
        <f t="shared" si="194"/>
        <v>2029</v>
      </c>
      <c r="V180" s="111">
        <f t="shared" si="194"/>
        <v>2030</v>
      </c>
      <c r="W180" s="111">
        <f t="shared" si="194"/>
        <v>2031</v>
      </c>
      <c r="X180" s="111">
        <f t="shared" si="194"/>
        <v>2032</v>
      </c>
      <c r="Y180" s="111">
        <f t="shared" si="194"/>
        <v>2033</v>
      </c>
      <c r="Z180" s="111">
        <f t="shared" si="194"/>
        <v>2034</v>
      </c>
      <c r="AA180" s="111">
        <f t="shared" si="194"/>
        <v>2035</v>
      </c>
      <c r="AB180" s="111">
        <f t="shared" si="194"/>
        <v>2036</v>
      </c>
      <c r="AC180" s="111">
        <f t="shared" si="194"/>
        <v>2037</v>
      </c>
      <c r="AD180" s="111">
        <f t="shared" si="194"/>
        <v>2038</v>
      </c>
      <c r="AE180" s="111">
        <f t="shared" si="194"/>
        <v>2039</v>
      </c>
      <c r="AF180" s="111">
        <f t="shared" si="194"/>
        <v>2040</v>
      </c>
      <c r="AG180" s="111">
        <f t="shared" si="194"/>
        <v>2041</v>
      </c>
      <c r="AH180" s="111">
        <f t="shared" si="194"/>
        <v>2042</v>
      </c>
      <c r="AI180" s="111">
        <f t="shared" si="194"/>
        <v>2043</v>
      </c>
      <c r="AJ180" s="111">
        <f t="shared" si="194"/>
        <v>2044</v>
      </c>
      <c r="AK180" s="111">
        <f t="shared" si="194"/>
        <v>2045</v>
      </c>
      <c r="AL180" s="111">
        <f t="shared" si="194"/>
        <v>2046</v>
      </c>
      <c r="AM180" s="111">
        <f t="shared" si="194"/>
        <v>2047</v>
      </c>
      <c r="AN180" s="111">
        <f t="shared" si="194"/>
        <v>2048</v>
      </c>
      <c r="AO180" s="111">
        <f t="shared" si="194"/>
        <v>2049</v>
      </c>
      <c r="AP180" s="111">
        <f t="shared" si="194"/>
        <v>2050</v>
      </c>
      <c r="AQ180" s="111">
        <f t="shared" si="194"/>
        <v>2051</v>
      </c>
      <c r="AR180" s="94"/>
      <c r="AS180" s="94"/>
      <c r="AT180" s="31" t="s">
        <v>36</v>
      </c>
      <c r="AU180" s="31"/>
      <c r="AV180" s="31"/>
      <c r="AW180" s="31"/>
      <c r="AX180" s="19"/>
      <c r="AY180" s="18"/>
      <c r="AZ180" s="14"/>
      <c r="BA180" s="14"/>
      <c r="BB180" s="18"/>
      <c r="BC180" s="14"/>
      <c r="BD180" s="14"/>
      <c r="BE180" s="19"/>
      <c r="BF180" s="14"/>
      <c r="BG180" s="14"/>
      <c r="BH180" s="14"/>
      <c r="BX180" s="174"/>
    </row>
    <row r="181" spans="1:94">
      <c r="A181" s="2" t="s">
        <v>43</v>
      </c>
      <c r="B181" s="3">
        <f>'Monthly D4 Gallon Data'!$U2</f>
        <v>0</v>
      </c>
      <c r="C181" s="3">
        <f>'Monthly D4 Gallon Data'!$U14</f>
        <v>1937082</v>
      </c>
      <c r="D181" s="3">
        <f>'Monthly D4 Gallon Data'!$U26</f>
        <v>3685968</v>
      </c>
      <c r="E181" s="3">
        <f>'Monthly D4 Gallon Data'!$U38</f>
        <v>261671</v>
      </c>
      <c r="F181" s="3">
        <f>'Monthly D4 Gallon Data'!$U50</f>
        <v>9463611</v>
      </c>
      <c r="G181" s="3">
        <f>'Monthly D4 Gallon Data'!$U62</f>
        <v>17024881</v>
      </c>
      <c r="H181" s="3">
        <f>'Monthly D4 Gallon Data'!$U74</f>
        <v>11522833</v>
      </c>
      <c r="I181" s="3">
        <f>'Monthly D4 Gallon Data'!$U86</f>
        <v>18110934</v>
      </c>
      <c r="J181" s="3">
        <f>'Monthly D4 Gallon Data'!$U98</f>
        <v>13358879</v>
      </c>
      <c r="K181" s="3">
        <f>'Monthly D4 Gallon Data'!$U110</f>
        <v>33505471</v>
      </c>
      <c r="L181" s="3">
        <f>'Monthly D4 Gallon Data'!$U122</f>
        <v>37832200</v>
      </c>
      <c r="M181" s="3">
        <f>'Monthly D4 Gallon Data'!$U134</f>
        <v>41671282</v>
      </c>
      <c r="N181" s="3">
        <f>'Monthly D4 Gallon Data'!$U146</f>
        <v>82989690</v>
      </c>
      <c r="O181" s="3">
        <f>'Monthly D4 Gallon Data'!$U158</f>
        <v>115179403</v>
      </c>
      <c r="P181" s="3">
        <f>'Monthly D4 Gallon Data'!$U170</f>
        <v>176631059</v>
      </c>
      <c r="Q181" s="3">
        <f>'Monthly D4 Gallon Data'!$U182</f>
        <v>175882895</v>
      </c>
      <c r="R181" s="4">
        <f>(SUM($I181:$M181)/SUM($I$193:$M$193))*R$193</f>
        <v>167363506.03565693</v>
      </c>
      <c r="S181" s="4">
        <f t="shared" ref="S181:AG181" si="195">(SUM($I181:$M181)/SUM($I$193:$M$193))*S$193</f>
        <v>184113019.90570003</v>
      </c>
      <c r="T181" s="4">
        <f t="shared" si="195"/>
        <v>187503083.12669492</v>
      </c>
      <c r="U181" s="4">
        <f t="shared" si="195"/>
        <v>188609601.32131937</v>
      </c>
      <c r="V181" s="4">
        <f t="shared" si="195"/>
        <v>197485801.8869448</v>
      </c>
      <c r="W181" s="4">
        <f t="shared" si="195"/>
        <v>214408949.45894167</v>
      </c>
      <c r="X181" s="4">
        <f t="shared" si="195"/>
        <v>254659006.54638639</v>
      </c>
      <c r="Y181" s="4">
        <f t="shared" si="195"/>
        <v>253139358.43034077</v>
      </c>
      <c r="Z181" s="4">
        <f t="shared" si="195"/>
        <v>245506194.51056814</v>
      </c>
      <c r="AA181" s="4">
        <f t="shared" si="195"/>
        <v>260094530.44331792</v>
      </c>
      <c r="AB181" s="4">
        <f t="shared" si="195"/>
        <v>281964617.45584697</v>
      </c>
      <c r="AC181" s="4">
        <f t="shared" si="195"/>
        <v>321357396.38182151</v>
      </c>
      <c r="AD181" s="4">
        <f t="shared" si="195"/>
        <v>354497325.15878499</v>
      </c>
      <c r="AE181" s="4">
        <f t="shared" si="195"/>
        <v>354726053.95795661</v>
      </c>
      <c r="AF181" s="4">
        <f t="shared" si="195"/>
        <v>310498367.83100873</v>
      </c>
      <c r="AG181" s="4">
        <f t="shared" si="195"/>
        <v>329087679.74111909</v>
      </c>
      <c r="AH181" s="4">
        <f t="shared" ref="AH181:AQ191" si="196">(SUM($I181:$M181)/SUM($I$193:$M$193))*AH$193</f>
        <v>347929757.7010892</v>
      </c>
      <c r="AI181" s="4">
        <f t="shared" si="196"/>
        <v>378167244.38818866</v>
      </c>
      <c r="AJ181" s="4">
        <f t="shared" si="196"/>
        <v>385634947.27047312</v>
      </c>
      <c r="AK181" s="4">
        <f t="shared" si="196"/>
        <v>383390369.26658916</v>
      </c>
      <c r="AL181" s="4">
        <f t="shared" si="196"/>
        <v>364780856.08891368</v>
      </c>
      <c r="AM181" s="4">
        <f t="shared" si="196"/>
        <v>380537041.97759515</v>
      </c>
      <c r="AN181" s="4">
        <f t="shared" si="196"/>
        <v>394162753.34874737</v>
      </c>
      <c r="AO181" s="4">
        <f t="shared" si="196"/>
        <v>408416513.60872501</v>
      </c>
      <c r="AP181" s="4">
        <f t="shared" si="196"/>
        <v>426560134.73594898</v>
      </c>
      <c r="AQ181" s="4">
        <f t="shared" si="196"/>
        <v>459075334.98651177</v>
      </c>
      <c r="AR181" s="4"/>
      <c r="AS181" s="4">
        <f>SUM(Q181:Q183)</f>
        <v>506118769</v>
      </c>
      <c r="AT181" s="121">
        <f>(Q181/P192)-1</f>
        <v>-0.30831915393896669</v>
      </c>
      <c r="AU181" s="121" t="s">
        <v>299</v>
      </c>
      <c r="AV181" s="194"/>
      <c r="AW181" s="194"/>
      <c r="AX181" s="194"/>
      <c r="AY181" s="195"/>
      <c r="AZ181" s="196"/>
      <c r="BA181" s="196"/>
      <c r="BB181" s="195"/>
      <c r="BC181" s="195">
        <v>108932143.44251604</v>
      </c>
      <c r="BD181" s="195">
        <f>L181-BC181</f>
        <v>-71099943.442516044</v>
      </c>
      <c r="BE181" s="195">
        <v>108507798.4385401</v>
      </c>
      <c r="BF181" s="195">
        <f>M181-BE181</f>
        <v>-66836516.438540101</v>
      </c>
      <c r="BG181" s="195">
        <v>81075407.426691353</v>
      </c>
      <c r="BH181" s="195"/>
      <c r="BI181" s="3"/>
      <c r="BJ181" s="3">
        <v>176631059</v>
      </c>
      <c r="BK181" s="3">
        <f t="shared" ref="BK181:BK193" si="197">P181-BJ181</f>
        <v>0</v>
      </c>
      <c r="BL181" s="3">
        <v>175882895</v>
      </c>
      <c r="BM181" s="177">
        <f t="shared" ref="BM181:BM193" si="198">Q181-BL181</f>
        <v>0</v>
      </c>
      <c r="BN181" s="3"/>
      <c r="BP181" s="3"/>
      <c r="BQ181" s="3"/>
      <c r="BR181" s="3"/>
      <c r="BS181" s="172"/>
      <c r="BT181" s="172"/>
      <c r="BU181" s="3"/>
      <c r="BV181" s="3"/>
      <c r="BW181" s="3"/>
      <c r="BX181" s="9"/>
      <c r="BY181" s="3"/>
      <c r="BZ181" s="3"/>
      <c r="CA181" s="3"/>
      <c r="CB181" s="3"/>
      <c r="CC181" s="4"/>
      <c r="CD181" s="3"/>
      <c r="CE181" s="3"/>
      <c r="CF181" s="3"/>
      <c r="CG181" s="3"/>
      <c r="CH181" s="3"/>
      <c r="CI181" s="3"/>
      <c r="CJ181" s="172"/>
      <c r="CK181" s="3"/>
      <c r="CL181" s="3"/>
      <c r="CM181" s="3"/>
      <c r="CN181" s="3"/>
      <c r="CO181" s="3"/>
      <c r="CP181" s="3"/>
    </row>
    <row r="182" spans="1:94">
      <c r="A182" s="2" t="s">
        <v>44</v>
      </c>
      <c r="B182" s="3">
        <f>'Monthly D4 Gallon Data'!$U3</f>
        <v>0</v>
      </c>
      <c r="C182" s="3">
        <f>'Monthly D4 Gallon Data'!$U15</f>
        <v>0</v>
      </c>
      <c r="D182" s="3">
        <f>'Monthly D4 Gallon Data'!$U27</f>
        <v>1447398</v>
      </c>
      <c r="E182" s="3">
        <f>'Monthly D4 Gallon Data'!$U39</f>
        <v>210451</v>
      </c>
      <c r="F182" s="3">
        <f>'Monthly D4 Gallon Data'!$U51</f>
        <v>10879008</v>
      </c>
      <c r="G182" s="3">
        <f>'Monthly D4 Gallon Data'!$U63</f>
        <v>12732771</v>
      </c>
      <c r="H182" s="3">
        <f>'Monthly D4 Gallon Data'!$U75</f>
        <v>7052579</v>
      </c>
      <c r="I182" s="3">
        <f>'Monthly D4 Gallon Data'!$U87</f>
        <v>20685125</v>
      </c>
      <c r="J182" s="3">
        <f>'Monthly D4 Gallon Data'!$U99</f>
        <v>20164577</v>
      </c>
      <c r="K182" s="3">
        <f>'Monthly D4 Gallon Data'!$U111</f>
        <v>37825609</v>
      </c>
      <c r="L182" s="3">
        <f>'Monthly D4 Gallon Data'!$U123</f>
        <v>33947857</v>
      </c>
      <c r="M182" s="3">
        <f>'Monthly D4 Gallon Data'!$U135</f>
        <v>46693788</v>
      </c>
      <c r="N182" s="3">
        <f>'Monthly D4 Gallon Data'!$U147</f>
        <v>96312600</v>
      </c>
      <c r="O182" s="3">
        <f>'Monthly D4 Gallon Data'!$U159</f>
        <v>111346480</v>
      </c>
      <c r="P182" s="3">
        <f>'Monthly D4 Gallon Data'!$U171</f>
        <v>180673032</v>
      </c>
      <c r="Q182" s="3">
        <f>'Monthly D4 Gallon Data'!$U183</f>
        <v>143903645</v>
      </c>
      <c r="R182" s="4">
        <f t="shared" ref="R182:AG191" si="199">(SUM($I182:$M182)/SUM($I$193:$M$193))*R$193</f>
        <v>184551993.80017194</v>
      </c>
      <c r="S182" s="4">
        <f t="shared" si="199"/>
        <v>203021708.33424437</v>
      </c>
      <c r="T182" s="4">
        <f t="shared" si="199"/>
        <v>206759936.22730693</v>
      </c>
      <c r="U182" s="4">
        <f t="shared" si="199"/>
        <v>207980095.5310359</v>
      </c>
      <c r="V182" s="4">
        <f t="shared" si="199"/>
        <v>217767895.45563465</v>
      </c>
      <c r="W182" s="4">
        <f t="shared" si="199"/>
        <v>236429076.13812566</v>
      </c>
      <c r="X182" s="4">
        <f t="shared" si="199"/>
        <v>280812875.58169174</v>
      </c>
      <c r="Y182" s="4">
        <f t="shared" si="199"/>
        <v>279137157.28243995</v>
      </c>
      <c r="Z182" s="4">
        <f t="shared" si="199"/>
        <v>270720055.76630986</v>
      </c>
      <c r="AA182" s="4">
        <f t="shared" si="199"/>
        <v>286806636.08712399</v>
      </c>
      <c r="AB182" s="4">
        <f t="shared" si="199"/>
        <v>310922814.44852602</v>
      </c>
      <c r="AC182" s="4">
        <f t="shared" si="199"/>
        <v>354361291.95370638</v>
      </c>
      <c r="AD182" s="4">
        <f t="shared" si="199"/>
        <v>390904742.04659146</v>
      </c>
      <c r="AE182" s="4">
        <f t="shared" si="199"/>
        <v>391156961.64288533</v>
      </c>
      <c r="AF182" s="4">
        <f t="shared" si="199"/>
        <v>342387024.58051616</v>
      </c>
      <c r="AG182" s="4">
        <f t="shared" si="199"/>
        <v>362885487.22417772</v>
      </c>
      <c r="AH182" s="4">
        <f t="shared" si="196"/>
        <v>383662675.37719071</v>
      </c>
      <c r="AI182" s="4">
        <f t="shared" si="196"/>
        <v>417005598.14328915</v>
      </c>
      <c r="AJ182" s="4">
        <f t="shared" si="196"/>
        <v>425240245.52059293</v>
      </c>
      <c r="AK182" s="4">
        <f t="shared" si="196"/>
        <v>422765145.92648822</v>
      </c>
      <c r="AL182" s="4">
        <f t="shared" si="196"/>
        <v>402244407.31421942</v>
      </c>
      <c r="AM182" s="4">
        <f t="shared" si="196"/>
        <v>419618777.56565756</v>
      </c>
      <c r="AN182" s="4">
        <f t="shared" si="196"/>
        <v>434643870.3117193</v>
      </c>
      <c r="AO182" s="4">
        <f t="shared" si="196"/>
        <v>450361513.52700961</v>
      </c>
      <c r="AP182" s="4">
        <f t="shared" si="196"/>
        <v>470368512.26346481</v>
      </c>
      <c r="AQ182" s="4">
        <f t="shared" si="196"/>
        <v>506223073.25584</v>
      </c>
      <c r="AR182" s="4"/>
      <c r="AS182" s="4">
        <f>SUM(P181:P183)</f>
        <v>522184047</v>
      </c>
      <c r="AT182" s="121">
        <f t="shared" ref="AT182:AT192" si="200">(Q182/Q181)-1</f>
        <v>-0.18182126238029006</v>
      </c>
      <c r="AU182" s="121" t="s">
        <v>300</v>
      </c>
      <c r="AV182" s="121">
        <f t="shared" ref="AV182:BG182" si="201">(SUM(L182:P182)/SUM(L181:P181))-1</f>
        <v>3.2291449819219276E-2</v>
      </c>
      <c r="AW182" s="121">
        <f t="shared" si="201"/>
        <v>-2.2663435283174937E-2</v>
      </c>
      <c r="AX182" s="121">
        <f t="shared" si="201"/>
        <v>-1.753092790659827E-3</v>
      </c>
      <c r="AY182" s="121">
        <f t="shared" si="201"/>
        <v>5.282147553475447E-3</v>
      </c>
      <c r="AZ182" s="121">
        <f t="shared" si="201"/>
        <v>3.0753729953267861E-2</v>
      </c>
      <c r="BA182" s="121">
        <f t="shared" si="201"/>
        <v>4.7312222755306887E-2</v>
      </c>
      <c r="BB182" s="121">
        <f t="shared" si="201"/>
        <v>0.10270152778021413</v>
      </c>
      <c r="BC182" s="121">
        <f t="shared" si="201"/>
        <v>0.10270152778021391</v>
      </c>
      <c r="BD182" s="121">
        <f t="shared" si="201"/>
        <v>0.10270152778021391</v>
      </c>
      <c r="BE182" s="121">
        <f t="shared" si="201"/>
        <v>0.10270152778021391</v>
      </c>
      <c r="BF182" s="121">
        <f t="shared" si="201"/>
        <v>0.10270152778021369</v>
      </c>
      <c r="BG182" s="121">
        <f t="shared" si="201"/>
        <v>0.10270152778021391</v>
      </c>
      <c r="BH182" s="195"/>
      <c r="BI182" s="3"/>
      <c r="BJ182" s="3">
        <v>180673032</v>
      </c>
      <c r="BK182" s="3">
        <f t="shared" si="197"/>
        <v>0</v>
      </c>
      <c r="BL182" s="3">
        <v>143903645</v>
      </c>
      <c r="BM182" s="177">
        <f t="shared" si="198"/>
        <v>0</v>
      </c>
      <c r="BN182" s="3"/>
      <c r="BP182" s="3"/>
      <c r="BQ182" s="3"/>
      <c r="BR182" s="3"/>
      <c r="BS182" s="172"/>
      <c r="BT182" s="172"/>
      <c r="BU182" s="3"/>
      <c r="BV182" s="3"/>
      <c r="BW182" s="3"/>
      <c r="BX182" s="9"/>
      <c r="BY182" s="3"/>
      <c r="BZ182" s="3"/>
      <c r="CA182" s="3"/>
      <c r="CB182" s="3"/>
      <c r="CC182" s="4"/>
      <c r="CD182" s="3"/>
      <c r="CE182" s="3"/>
      <c r="CF182" s="3"/>
      <c r="CG182" s="3"/>
      <c r="CH182" s="3"/>
      <c r="CI182" s="3"/>
      <c r="CJ182" s="172"/>
      <c r="CK182" s="3"/>
      <c r="CL182" s="3"/>
      <c r="CM182" s="3"/>
      <c r="CN182" s="3"/>
      <c r="CO182" s="3"/>
      <c r="CP182" s="3"/>
    </row>
    <row r="183" spans="1:94">
      <c r="A183" s="2" t="s">
        <v>45</v>
      </c>
      <c r="B183" s="3">
        <f>'Monthly D4 Gallon Data'!$U4</f>
        <v>0</v>
      </c>
      <c r="C183" s="3">
        <f>'Monthly D4 Gallon Data'!$U16</f>
        <v>1631344</v>
      </c>
      <c r="D183" s="3">
        <f>'Monthly D4 Gallon Data'!$U28</f>
        <v>3639708</v>
      </c>
      <c r="E183" s="3">
        <f>'Monthly D4 Gallon Data'!$U40</f>
        <v>519014</v>
      </c>
      <c r="F183" s="3">
        <f>'Monthly D4 Gallon Data'!$U52</f>
        <v>13061163</v>
      </c>
      <c r="G183" s="3">
        <f>'Monthly D4 Gallon Data'!$U64</f>
        <v>14824699</v>
      </c>
      <c r="H183" s="3">
        <f>'Monthly D4 Gallon Data'!$U76</f>
        <v>17471358</v>
      </c>
      <c r="I183" s="3">
        <f>'Monthly D4 Gallon Data'!$U88</f>
        <v>15398643</v>
      </c>
      <c r="J183" s="3">
        <f>'Monthly D4 Gallon Data'!$U100</f>
        <v>22796002</v>
      </c>
      <c r="K183" s="3">
        <f>'Monthly D4 Gallon Data'!$U112</f>
        <v>32865031</v>
      </c>
      <c r="L183" s="3">
        <f>'Monthly D4 Gallon Data'!$U124</f>
        <v>41586367</v>
      </c>
      <c r="M183" s="3">
        <f>'Monthly D4 Gallon Data'!$U136</f>
        <v>55155941</v>
      </c>
      <c r="N183" s="3">
        <f>'Monthly D4 Gallon Data'!$U148</f>
        <v>105030255</v>
      </c>
      <c r="O183" s="3">
        <f>'Monthly D4 Gallon Data'!$U160</f>
        <v>138459491</v>
      </c>
      <c r="P183" s="3">
        <f>'Monthly D4 Gallon Data'!$U172</f>
        <v>164879956</v>
      </c>
      <c r="Q183" s="3">
        <f>'Monthly D4 Gallon Data'!$U184</f>
        <v>186332229</v>
      </c>
      <c r="R183" s="4">
        <f t="shared" si="199"/>
        <v>194381009.33101276</v>
      </c>
      <c r="S183" s="4">
        <f t="shared" si="199"/>
        <v>213834398.47768328</v>
      </c>
      <c r="T183" s="4">
        <f t="shared" si="199"/>
        <v>217771719.85796398</v>
      </c>
      <c r="U183" s="4">
        <f t="shared" si="199"/>
        <v>219056863.36749589</v>
      </c>
      <c r="V183" s="4">
        <f t="shared" si="199"/>
        <v>229365949.65422308</v>
      </c>
      <c r="W183" s="4">
        <f t="shared" si="199"/>
        <v>249021002.20433873</v>
      </c>
      <c r="X183" s="4">
        <f t="shared" si="199"/>
        <v>295768629.01744759</v>
      </c>
      <c r="Y183" s="4">
        <f t="shared" si="199"/>
        <v>294003663.9923842</v>
      </c>
      <c r="Z183" s="4">
        <f t="shared" si="199"/>
        <v>285138277.8502084</v>
      </c>
      <c r="AA183" s="4">
        <f t="shared" si="199"/>
        <v>302081609.94354802</v>
      </c>
      <c r="AB183" s="4">
        <f t="shared" si="199"/>
        <v>327482186.73803008</v>
      </c>
      <c r="AC183" s="4">
        <f t="shared" si="199"/>
        <v>373234144.9119525</v>
      </c>
      <c r="AD183" s="4">
        <f t="shared" si="199"/>
        <v>411723854.86969918</v>
      </c>
      <c r="AE183" s="4">
        <f t="shared" si="199"/>
        <v>411989507.37602627</v>
      </c>
      <c r="AF183" s="4">
        <f t="shared" si="199"/>
        <v>360622142.57010639</v>
      </c>
      <c r="AG183" s="4">
        <f t="shared" si="199"/>
        <v>382212328.49203867</v>
      </c>
      <c r="AH183" s="4">
        <f t="shared" si="196"/>
        <v>404096084.50616229</v>
      </c>
      <c r="AI183" s="4">
        <f t="shared" si="196"/>
        <v>439214810.93042368</v>
      </c>
      <c r="AJ183" s="4">
        <f t="shared" si="196"/>
        <v>447888025.64745587</v>
      </c>
      <c r="AK183" s="4">
        <f t="shared" si="196"/>
        <v>445281105.24854761</v>
      </c>
      <c r="AL183" s="4">
        <f t="shared" si="196"/>
        <v>423667456.9669165</v>
      </c>
      <c r="AM183" s="4">
        <f t="shared" si="196"/>
        <v>441967165.12190968</v>
      </c>
      <c r="AN183" s="4">
        <f t="shared" si="196"/>
        <v>457792476.09868467</v>
      </c>
      <c r="AO183" s="4">
        <f t="shared" si="196"/>
        <v>474347221.94337583</v>
      </c>
      <c r="AP183" s="4">
        <f t="shared" si="196"/>
        <v>495419769.18601006</v>
      </c>
      <c r="AQ183" s="4">
        <f t="shared" si="196"/>
        <v>533183900.64461988</v>
      </c>
      <c r="AR183" s="4"/>
      <c r="AS183" s="4">
        <f>SUM(P190:P192)</f>
        <v>697917744</v>
      </c>
      <c r="AT183" s="121">
        <f t="shared" si="200"/>
        <v>0.29484023146182303</v>
      </c>
      <c r="AU183" s="197" t="s">
        <v>301</v>
      </c>
      <c r="AV183" s="194"/>
      <c r="AW183" s="194"/>
      <c r="AX183" s="194"/>
      <c r="AY183" s="195"/>
      <c r="AZ183" s="196"/>
      <c r="BA183" s="198"/>
      <c r="BB183" s="195"/>
      <c r="BC183" s="195">
        <v>119714448.18219173</v>
      </c>
      <c r="BD183" s="195">
        <f t="shared" ref="BD183:BD193" si="202">L183-BC183</f>
        <v>-78128081.18219173</v>
      </c>
      <c r="BE183" s="195">
        <v>135173970.91653845</v>
      </c>
      <c r="BF183" s="195">
        <f t="shared" ref="BF183:BF193" si="203">M183-BE183</f>
        <v>-80018029.916538447</v>
      </c>
      <c r="BG183" s="195">
        <v>128861333.89305</v>
      </c>
      <c r="BH183" s="194">
        <f>SUM(P181:P183)</f>
        <v>522184047</v>
      </c>
      <c r="BI183" s="3"/>
      <c r="BJ183" s="3">
        <v>164879956</v>
      </c>
      <c r="BK183" s="3">
        <f t="shared" si="197"/>
        <v>0</v>
      </c>
      <c r="BL183" s="3">
        <v>165263626.29869339</v>
      </c>
      <c r="BM183" s="177">
        <f t="shared" si="198"/>
        <v>21068602.701306611</v>
      </c>
      <c r="BN183" s="3"/>
      <c r="BP183" s="3"/>
      <c r="BQ183" s="3"/>
      <c r="BR183" s="3"/>
      <c r="BS183" s="172"/>
      <c r="BT183" s="172"/>
      <c r="BU183" s="3"/>
      <c r="BV183" s="3"/>
      <c r="BW183" s="3"/>
      <c r="BX183" s="9"/>
      <c r="BY183" s="3"/>
      <c r="BZ183" s="3"/>
      <c r="CA183" s="3"/>
      <c r="CB183" s="3"/>
      <c r="CC183" s="4"/>
      <c r="CD183" s="3"/>
      <c r="CE183" s="3"/>
      <c r="CF183" s="3"/>
      <c r="CG183" s="3"/>
      <c r="CH183" s="3"/>
      <c r="CI183" s="3"/>
      <c r="CJ183" s="172"/>
      <c r="CK183" s="3"/>
      <c r="CL183" s="3"/>
      <c r="CM183" s="3"/>
      <c r="CN183" s="3"/>
      <c r="CO183" s="3"/>
      <c r="CP183" s="3"/>
    </row>
    <row r="184" spans="1:94">
      <c r="A184" s="2" t="s">
        <v>46</v>
      </c>
      <c r="B184" s="3">
        <f>'Monthly D4 Gallon Data'!$U5</f>
        <v>0</v>
      </c>
      <c r="C184" s="3">
        <f>'Monthly D4 Gallon Data'!$U17</f>
        <v>1295875</v>
      </c>
      <c r="D184" s="3">
        <f>'Monthly D4 Gallon Data'!$U29</f>
        <v>1185054</v>
      </c>
      <c r="E184" s="3">
        <f>'Monthly D4 Gallon Data'!$U41</f>
        <v>337601</v>
      </c>
      <c r="F184" s="3">
        <f>'Monthly D4 Gallon Data'!$U53</f>
        <v>11812263</v>
      </c>
      <c r="G184" s="3">
        <f>'Monthly D4 Gallon Data'!$U65</f>
        <v>14552778</v>
      </c>
      <c r="H184" s="3">
        <f>'Monthly D4 Gallon Data'!$U77</f>
        <v>20862107</v>
      </c>
      <c r="I184" s="3">
        <f>'Monthly D4 Gallon Data'!$U89</f>
        <v>20068138</v>
      </c>
      <c r="J184" s="3">
        <f>'Monthly D4 Gallon Data'!$U101</f>
        <v>24720243</v>
      </c>
      <c r="K184" s="3">
        <f>'Monthly D4 Gallon Data'!$U113</f>
        <v>35561760</v>
      </c>
      <c r="L184" s="3">
        <f>'Monthly D4 Gallon Data'!$U125</f>
        <v>34998849</v>
      </c>
      <c r="M184" s="3">
        <f>'Monthly D4 Gallon Data'!$U137</f>
        <v>47578471</v>
      </c>
      <c r="N184" s="3">
        <f>'Monthly D4 Gallon Data'!$U149</f>
        <v>101188242</v>
      </c>
      <c r="O184" s="3">
        <f>'Monthly D4 Gallon Data'!$U161</f>
        <v>135546066</v>
      </c>
      <c r="P184" s="3">
        <f>'Monthly D4 Gallon Data'!$U173</f>
        <v>226644866</v>
      </c>
      <c r="Q184" s="4">
        <f>(SUM($I184:$M184)/SUM($I$193:$M$193))*Q$193*1.15</f>
        <v>197526811.40333843</v>
      </c>
      <c r="R184" s="4">
        <f t="shared" si="199"/>
        <v>188734385.3867617</v>
      </c>
      <c r="S184" s="4">
        <f t="shared" si="199"/>
        <v>207622668.02775827</v>
      </c>
      <c r="T184" s="4">
        <f t="shared" si="199"/>
        <v>211445613.14639378</v>
      </c>
      <c r="U184" s="4">
        <f t="shared" si="199"/>
        <v>212693424.19151622</v>
      </c>
      <c r="V184" s="4">
        <f t="shared" si="199"/>
        <v>222703039.17870483</v>
      </c>
      <c r="W184" s="4">
        <f t="shared" si="199"/>
        <v>241787127.05106226</v>
      </c>
      <c r="X184" s="4">
        <f t="shared" si="199"/>
        <v>287176770.02712715</v>
      </c>
      <c r="Y184" s="4">
        <f t="shared" si="199"/>
        <v>285463075.92511117</v>
      </c>
      <c r="Z184" s="4">
        <f t="shared" si="199"/>
        <v>276855222.6655854</v>
      </c>
      <c r="AA184" s="4">
        <f t="shared" si="199"/>
        <v>293306363.54630131</v>
      </c>
      <c r="AB184" s="4">
        <f t="shared" si="199"/>
        <v>317969072.45122391</v>
      </c>
      <c r="AC184" s="4">
        <f t="shared" si="199"/>
        <v>362391970.22253615</v>
      </c>
      <c r="AD184" s="4">
        <f t="shared" si="199"/>
        <v>399763582.69430584</v>
      </c>
      <c r="AE184" s="4">
        <f t="shared" si="199"/>
        <v>400021518.19263792</v>
      </c>
      <c r="AF184" s="4">
        <f t="shared" si="199"/>
        <v>350146337.18113518</v>
      </c>
      <c r="AG184" s="4">
        <f t="shared" si="199"/>
        <v>371109344.23818147</v>
      </c>
      <c r="AH184" s="4">
        <f t="shared" si="196"/>
        <v>392357393.39429069</v>
      </c>
      <c r="AI184" s="4">
        <f t="shared" si="196"/>
        <v>426455946.90041918</v>
      </c>
      <c r="AJ184" s="4">
        <f t="shared" si="196"/>
        <v>434877211.17196608</v>
      </c>
      <c r="AK184" s="4">
        <f t="shared" si="196"/>
        <v>432346019.87435168</v>
      </c>
      <c r="AL184" s="4">
        <f t="shared" si="196"/>
        <v>411360232.02172905</v>
      </c>
      <c r="AM184" s="4">
        <f t="shared" si="196"/>
        <v>429128347.24695808</v>
      </c>
      <c r="AN184" s="4">
        <f t="shared" si="196"/>
        <v>444493944.69413352</v>
      </c>
      <c r="AO184" s="4">
        <f t="shared" si="196"/>
        <v>460567787.4681012</v>
      </c>
      <c r="AP184" s="4">
        <f t="shared" si="196"/>
        <v>481028192.86500603</v>
      </c>
      <c r="AQ184" s="4">
        <f t="shared" si="196"/>
        <v>517695304.35411412</v>
      </c>
      <c r="AR184" s="4"/>
      <c r="AS184" s="94"/>
      <c r="AT184" s="121">
        <f t="shared" si="200"/>
        <v>6.007861583268248E-2</v>
      </c>
      <c r="AU184" s="197"/>
      <c r="AV184" s="194"/>
      <c r="AW184" s="194"/>
      <c r="AX184" s="194"/>
      <c r="AY184" s="195"/>
      <c r="AZ184" s="196"/>
      <c r="BA184" s="196"/>
      <c r="BB184" s="195"/>
      <c r="BC184" s="195">
        <v>152824951.74781588</v>
      </c>
      <c r="BD184" s="195">
        <f t="shared" si="202"/>
        <v>-117826102.74781588</v>
      </c>
      <c r="BE184" s="195">
        <v>129458434.08986306</v>
      </c>
      <c r="BF184" s="195">
        <f t="shared" si="203"/>
        <v>-81879963.089863062</v>
      </c>
      <c r="BG184" s="195">
        <v>138512422.75823951</v>
      </c>
      <c r="BH184" s="197">
        <f>SUM(O190:O192)/BH183-1</f>
        <v>-1.201633032653715E-2</v>
      </c>
      <c r="BI184" s="3"/>
      <c r="BJ184" s="3">
        <v>226644866</v>
      </c>
      <c r="BK184" s="3">
        <f t="shared" si="197"/>
        <v>0</v>
      </c>
      <c r="BL184" s="3">
        <v>176509124.7750017</v>
      </c>
      <c r="BM184" s="177">
        <f t="shared" si="198"/>
        <v>21017686.628336728</v>
      </c>
      <c r="BN184" s="3"/>
      <c r="BP184" s="3"/>
      <c r="BQ184" s="3"/>
      <c r="BR184" s="4"/>
      <c r="BS184" s="192"/>
      <c r="BT184" s="192"/>
      <c r="BU184" s="3"/>
      <c r="BV184" s="9"/>
      <c r="BW184" s="3"/>
      <c r="BX184" s="9"/>
      <c r="BY184" s="3"/>
      <c r="BZ184" s="3"/>
      <c r="CA184" s="3"/>
      <c r="CB184" s="3"/>
      <c r="CC184" s="4"/>
      <c r="CD184" s="3"/>
      <c r="CE184" s="3"/>
      <c r="CF184" s="3"/>
      <c r="CG184" s="3"/>
      <c r="CH184" s="3"/>
      <c r="CI184" s="3"/>
      <c r="CJ184" s="172"/>
      <c r="CK184" s="3"/>
      <c r="CL184" s="3"/>
      <c r="CM184" s="3"/>
      <c r="CN184" s="3"/>
      <c r="CO184" s="3"/>
      <c r="CP184" s="3"/>
    </row>
    <row r="185" spans="1:94">
      <c r="A185" s="2" t="s">
        <v>47</v>
      </c>
      <c r="B185" s="3">
        <f>'Monthly D4 Gallon Data'!$U6</f>
        <v>0</v>
      </c>
      <c r="C185" s="3">
        <f>'Monthly D4 Gallon Data'!$U18</f>
        <v>2322891</v>
      </c>
      <c r="D185" s="3">
        <f>'Monthly D4 Gallon Data'!$U30</f>
        <v>765981</v>
      </c>
      <c r="E185" s="3">
        <f>'Monthly D4 Gallon Data'!$U42</f>
        <v>261377</v>
      </c>
      <c r="F185" s="3">
        <f>'Monthly D4 Gallon Data'!$U54</f>
        <v>14578090</v>
      </c>
      <c r="G185" s="3">
        <f>'Monthly D4 Gallon Data'!$U66</f>
        <v>14822472</v>
      </c>
      <c r="H185" s="3">
        <f>'Monthly D4 Gallon Data'!$U78</f>
        <v>21624392</v>
      </c>
      <c r="I185" s="3">
        <f>'Monthly D4 Gallon Data'!$U90</f>
        <v>24025408</v>
      </c>
      <c r="J185" s="3">
        <f>'Monthly D4 Gallon Data'!$U102</f>
        <v>21078019</v>
      </c>
      <c r="K185" s="3">
        <f>'Monthly D4 Gallon Data'!$U114</f>
        <v>36914619</v>
      </c>
      <c r="L185" s="3">
        <f>'Monthly D4 Gallon Data'!$U126</f>
        <v>42165050</v>
      </c>
      <c r="M185" s="3">
        <f>'Monthly D4 Gallon Data'!$U138</f>
        <v>57822332</v>
      </c>
      <c r="N185" s="3">
        <f>'Monthly D4 Gallon Data'!$U150</f>
        <v>127392352</v>
      </c>
      <c r="O185" s="3">
        <f>'Monthly D4 Gallon Data'!$U162</f>
        <v>167708654</v>
      </c>
      <c r="P185" s="3">
        <f>'Monthly D4 Gallon Data'!$U174</f>
        <v>216964705</v>
      </c>
      <c r="Q185" s="4">
        <f>(SUM($I185:$M185)/SUM($I$193:$M$193))*Q$193+2000000</f>
        <v>193874942.81081852</v>
      </c>
      <c r="R185" s="4">
        <f t="shared" si="199"/>
        <v>210834210.38909155</v>
      </c>
      <c r="S185" s="4">
        <f t="shared" si="199"/>
        <v>231934213.69829154</v>
      </c>
      <c r="T185" s="4">
        <f t="shared" si="199"/>
        <v>236204806.01138088</v>
      </c>
      <c r="U185" s="4">
        <f t="shared" si="199"/>
        <v>237598729.30667263</v>
      </c>
      <c r="V185" s="4">
        <f t="shared" si="199"/>
        <v>248780418.68350813</v>
      </c>
      <c r="W185" s="4">
        <f t="shared" si="199"/>
        <v>270099155.00873709</v>
      </c>
      <c r="X185" s="4">
        <f t="shared" si="199"/>
        <v>320803691.53021324</v>
      </c>
      <c r="Y185" s="4">
        <f t="shared" si="199"/>
        <v>318889332.67023879</v>
      </c>
      <c r="Z185" s="4">
        <f t="shared" si="199"/>
        <v>309273544.10368657</v>
      </c>
      <c r="AA185" s="4">
        <f t="shared" si="199"/>
        <v>327651028.89787358</v>
      </c>
      <c r="AB185" s="4">
        <f t="shared" si="199"/>
        <v>355201614.06215012</v>
      </c>
      <c r="AC185" s="4">
        <f t="shared" si="199"/>
        <v>404826204.49180114</v>
      </c>
      <c r="AD185" s="4">
        <f t="shared" si="199"/>
        <v>446573840.41042984</v>
      </c>
      <c r="AE185" s="4">
        <f t="shared" si="199"/>
        <v>446861978.82787144</v>
      </c>
      <c r="AF185" s="4">
        <f t="shared" si="199"/>
        <v>391146670.8567</v>
      </c>
      <c r="AG185" s="4">
        <f t="shared" si="199"/>
        <v>414564338.13124698</v>
      </c>
      <c r="AH185" s="4">
        <f t="shared" si="196"/>
        <v>438300424.46737844</v>
      </c>
      <c r="AI185" s="4">
        <f t="shared" si="196"/>
        <v>476391743.06384158</v>
      </c>
      <c r="AJ185" s="4">
        <f t="shared" si="196"/>
        <v>485799094.03240544</v>
      </c>
      <c r="AK185" s="4">
        <f t="shared" si="196"/>
        <v>482971513.26336503</v>
      </c>
      <c r="AL185" s="4">
        <f t="shared" si="196"/>
        <v>459528397.67934579</v>
      </c>
      <c r="AM185" s="4">
        <f t="shared" si="196"/>
        <v>479377067.73454988</v>
      </c>
      <c r="AN185" s="4">
        <f t="shared" si="196"/>
        <v>496541897.54705685</v>
      </c>
      <c r="AO185" s="4">
        <f t="shared" si="196"/>
        <v>514497904.56836981</v>
      </c>
      <c r="AP185" s="4">
        <f t="shared" si="196"/>
        <v>537354118.11555803</v>
      </c>
      <c r="AQ185" s="4">
        <f t="shared" si="196"/>
        <v>578314759.61293483</v>
      </c>
      <c r="AR185" s="4"/>
      <c r="AS185" s="94">
        <f>AS181/AS182-1</f>
        <v>-3.0765547305201424E-2</v>
      </c>
      <c r="AT185" s="121">
        <f t="shared" si="200"/>
        <v>-1.8487964072193774E-2</v>
      </c>
      <c r="AU185" s="197"/>
      <c r="AV185" s="194"/>
      <c r="AW185" s="194"/>
      <c r="AX185" s="194"/>
      <c r="AY185" s="195"/>
      <c r="AZ185" s="196"/>
      <c r="BA185" s="195">
        <v>178072540.96348354</v>
      </c>
      <c r="BB185" s="195">
        <f t="shared" ref="BB185:BB193" si="204">K185-BA185</f>
        <v>-141157921.96348354</v>
      </c>
      <c r="BC185" s="195">
        <v>157209465.91249242</v>
      </c>
      <c r="BD185" s="195">
        <f t="shared" si="202"/>
        <v>-115044415.91249242</v>
      </c>
      <c r="BE185" s="195">
        <v>142690356.2444244</v>
      </c>
      <c r="BF185" s="195">
        <f t="shared" si="203"/>
        <v>-84868024.244424403</v>
      </c>
      <c r="BG185" s="195">
        <v>143839399.92900729</v>
      </c>
      <c r="BH185" s="195"/>
      <c r="BI185" s="3"/>
      <c r="BJ185" s="3">
        <v>216964705</v>
      </c>
      <c r="BK185" s="3">
        <f t="shared" si="197"/>
        <v>0</v>
      </c>
      <c r="BL185" s="3">
        <v>179252213.35479411</v>
      </c>
      <c r="BM185" s="177">
        <f t="shared" si="198"/>
        <v>14622729.456024408</v>
      </c>
      <c r="BN185" s="3"/>
      <c r="BP185" s="3"/>
      <c r="BQ185" s="3"/>
      <c r="BR185" s="4"/>
      <c r="BS185" s="192"/>
      <c r="BT185" s="192"/>
      <c r="BU185" s="3"/>
      <c r="BV185" s="9"/>
      <c r="BW185" s="3"/>
      <c r="BX185" s="9"/>
      <c r="BY185" s="3"/>
      <c r="BZ185" s="3"/>
      <c r="CA185" s="3"/>
      <c r="CB185" s="3"/>
      <c r="CC185" s="4"/>
      <c r="CD185" s="3"/>
      <c r="CE185" s="3"/>
      <c r="CF185" s="3"/>
      <c r="CG185" s="3"/>
      <c r="CH185" s="3"/>
      <c r="CI185" s="3"/>
      <c r="CJ185" s="172"/>
      <c r="CK185" s="3"/>
      <c r="CL185" s="3"/>
      <c r="CM185" s="3"/>
      <c r="CN185" s="3"/>
      <c r="CO185" s="3"/>
      <c r="CP185" s="3"/>
    </row>
    <row r="186" spans="1:94">
      <c r="A186" s="2" t="s">
        <v>48</v>
      </c>
      <c r="B186" s="3">
        <f>'Monthly D4 Gallon Data'!$U7</f>
        <v>0</v>
      </c>
      <c r="C186" s="3">
        <f>'Monthly D4 Gallon Data'!$U19</f>
        <v>2203702</v>
      </c>
      <c r="D186" s="3">
        <f>'Monthly D4 Gallon Data'!$U31</f>
        <v>2175694</v>
      </c>
      <c r="E186" s="3">
        <f>'Monthly D4 Gallon Data'!$U43</f>
        <v>459266</v>
      </c>
      <c r="F186" s="3">
        <f>'Monthly D4 Gallon Data'!$U55</f>
        <v>14129892</v>
      </c>
      <c r="G186" s="3">
        <f>'Monthly D4 Gallon Data'!$U67</f>
        <v>13375766</v>
      </c>
      <c r="H186" s="3">
        <f>'Monthly D4 Gallon Data'!$U79</f>
        <v>22043211</v>
      </c>
      <c r="I186" s="3">
        <f>'Monthly D4 Gallon Data'!$U91</f>
        <v>17375071</v>
      </c>
      <c r="J186" s="3">
        <f>'Monthly D4 Gallon Data'!$U103</f>
        <v>11453319</v>
      </c>
      <c r="K186" s="3">
        <f>'Monthly D4 Gallon Data'!$U115</f>
        <v>37285265</v>
      </c>
      <c r="L186" s="3">
        <f>'Monthly D4 Gallon Data'!$U127</f>
        <v>49749220</v>
      </c>
      <c r="M186" s="3">
        <f>'Monthly D4 Gallon Data'!$U139</f>
        <v>64658005</v>
      </c>
      <c r="N186" s="3">
        <f>'Monthly D4 Gallon Data'!$U151</f>
        <v>111243334</v>
      </c>
      <c r="O186" s="3">
        <f>'Monthly D4 Gallon Data'!$U163</f>
        <v>151152485</v>
      </c>
      <c r="P186" s="3">
        <f>'Monthly D4 Gallon Data'!$U175</f>
        <v>232488531</v>
      </c>
      <c r="Q186" s="4">
        <f>(SUM($I186:$M186)/SUM($I$193:$M$193))*Q$193</f>
        <v>190309892.98933783</v>
      </c>
      <c r="R186" s="4">
        <f t="shared" si="199"/>
        <v>209114517.14255437</v>
      </c>
      <c r="S186" s="4">
        <f t="shared" si="199"/>
        <v>230042415.87192467</v>
      </c>
      <c r="T186" s="4">
        <f t="shared" si="199"/>
        <v>234278174.61248335</v>
      </c>
      <c r="U186" s="4">
        <f t="shared" si="199"/>
        <v>235660728.21367908</v>
      </c>
      <c r="V186" s="4">
        <f t="shared" si="199"/>
        <v>246751212.86775759</v>
      </c>
      <c r="W186" s="4">
        <f t="shared" si="199"/>
        <v>267896060.49240258</v>
      </c>
      <c r="X186" s="4">
        <f t="shared" si="199"/>
        <v>318187019.68758118</v>
      </c>
      <c r="Y186" s="4">
        <f t="shared" si="199"/>
        <v>316288275.51365256</v>
      </c>
      <c r="Z186" s="4">
        <f t="shared" si="199"/>
        <v>306750919.22157568</v>
      </c>
      <c r="AA186" s="4">
        <f t="shared" si="199"/>
        <v>324978505.96823716</v>
      </c>
      <c r="AB186" s="4">
        <f t="shared" si="199"/>
        <v>352304371.64720011</v>
      </c>
      <c r="AC186" s="4">
        <f t="shared" si="199"/>
        <v>401524193.45383418</v>
      </c>
      <c r="AD186" s="4">
        <f t="shared" si="199"/>
        <v>442931310.02593148</v>
      </c>
      <c r="AE186" s="4">
        <f t="shared" si="199"/>
        <v>443217098.20955843</v>
      </c>
      <c r="AF186" s="4">
        <f t="shared" si="199"/>
        <v>387956238.49263352</v>
      </c>
      <c r="AG186" s="4">
        <f t="shared" si="199"/>
        <v>411182896.89728516</v>
      </c>
      <c r="AH186" s="4">
        <f t="shared" si="196"/>
        <v>434725377.14218438</v>
      </c>
      <c r="AI186" s="4">
        <f t="shared" si="196"/>
        <v>472505999.56073052</v>
      </c>
      <c r="AJ186" s="4">
        <f t="shared" si="196"/>
        <v>481836618.39982361</v>
      </c>
      <c r="AK186" s="4">
        <f t="shared" si="196"/>
        <v>479032101.11532676</v>
      </c>
      <c r="AL186" s="4">
        <f t="shared" si="196"/>
        <v>455780201.9732371</v>
      </c>
      <c r="AM186" s="4">
        <f t="shared" si="196"/>
        <v>475466974.09079766</v>
      </c>
      <c r="AN186" s="4">
        <f t="shared" si="196"/>
        <v>492491797.0142327</v>
      </c>
      <c r="AO186" s="4">
        <f t="shared" si="196"/>
        <v>510301343.8194719</v>
      </c>
      <c r="AP186" s="4">
        <f t="shared" si="196"/>
        <v>532971128.05802953</v>
      </c>
      <c r="AQ186" s="4">
        <f t="shared" si="196"/>
        <v>573597669.41849363</v>
      </c>
      <c r="AR186" s="4"/>
      <c r="AS186" s="94">
        <f>AS181/AS183-1</f>
        <v>-0.27481601757355523</v>
      </c>
      <c r="AT186" s="121">
        <f t="shared" si="200"/>
        <v>-1.838839908754708E-2</v>
      </c>
      <c r="AU186" s="197"/>
      <c r="AV186" s="194"/>
      <c r="AW186" s="194"/>
      <c r="AX186" s="194"/>
      <c r="AY186" s="195"/>
      <c r="AZ186" s="196"/>
      <c r="BA186" s="195">
        <v>167055104.50212622</v>
      </c>
      <c r="BB186" s="195">
        <f t="shared" si="204"/>
        <v>-129769839.50212622</v>
      </c>
      <c r="BC186" s="195">
        <v>140041174.55798692</v>
      </c>
      <c r="BD186" s="195">
        <f t="shared" si="202"/>
        <v>-90291954.557986915</v>
      </c>
      <c r="BE186" s="195">
        <v>155020352.91339663</v>
      </c>
      <c r="BF186" s="195">
        <f t="shared" si="203"/>
        <v>-90362347.913396627</v>
      </c>
      <c r="BG186" s="195">
        <v>148189433.6392737</v>
      </c>
      <c r="BH186" s="194">
        <f>SUM(P184:P186)</f>
        <v>676098102</v>
      </c>
      <c r="BI186" s="3"/>
      <c r="BJ186" s="3">
        <v>232488531</v>
      </c>
      <c r="BK186" s="3">
        <f t="shared" si="197"/>
        <v>0</v>
      </c>
      <c r="BL186" s="3">
        <v>177790122.26357988</v>
      </c>
      <c r="BM186" s="177">
        <f t="shared" si="198"/>
        <v>12519770.725757957</v>
      </c>
      <c r="BN186" s="3"/>
      <c r="BP186" s="3"/>
      <c r="BQ186" s="3"/>
      <c r="BR186" s="4"/>
      <c r="BS186" s="192"/>
      <c r="BT186" s="192"/>
      <c r="BU186" s="3"/>
      <c r="BV186" s="9"/>
      <c r="BW186" s="3"/>
      <c r="BX186" s="9"/>
      <c r="BY186" s="3"/>
      <c r="BZ186" s="3"/>
      <c r="CA186" s="3"/>
      <c r="CB186" s="3"/>
      <c r="CC186" s="4"/>
      <c r="CD186" s="3"/>
      <c r="CE186" s="3"/>
      <c r="CF186" s="3"/>
      <c r="CG186" s="3"/>
      <c r="CH186" s="3"/>
      <c r="CI186" s="3"/>
      <c r="CJ186" s="172"/>
      <c r="CK186" s="3"/>
      <c r="CL186" s="3"/>
      <c r="CM186" s="3"/>
      <c r="CN186" s="3"/>
      <c r="CO186" s="3"/>
      <c r="CP186" s="3"/>
    </row>
    <row r="187" spans="1:94">
      <c r="A187" s="2" t="s">
        <v>49</v>
      </c>
      <c r="B187" s="3">
        <f>'Monthly D4 Gallon Data'!$U8</f>
        <v>0</v>
      </c>
      <c r="C187" s="3">
        <f>'Monthly D4 Gallon Data'!$U20</f>
        <v>4169020</v>
      </c>
      <c r="D187" s="3">
        <f>'Monthly D4 Gallon Data'!$U32</f>
        <v>4738922</v>
      </c>
      <c r="E187" s="3">
        <f>'Monthly D4 Gallon Data'!$U44</f>
        <v>323610</v>
      </c>
      <c r="F187" s="3">
        <f>'Monthly D4 Gallon Data'!$U56</f>
        <v>12259921</v>
      </c>
      <c r="G187" s="3">
        <f>'Monthly D4 Gallon Data'!$U68</f>
        <v>14570194</v>
      </c>
      <c r="H187" s="3">
        <f>'Monthly D4 Gallon Data'!$U80</f>
        <v>19094815</v>
      </c>
      <c r="I187" s="3">
        <f>'Monthly D4 Gallon Data'!$U92</f>
        <v>19135415</v>
      </c>
      <c r="J187" s="3">
        <f>'Monthly D4 Gallon Data'!$U104</f>
        <v>8063694</v>
      </c>
      <c r="K187" s="3">
        <f>'Monthly D4 Gallon Data'!$U116</f>
        <v>43179249</v>
      </c>
      <c r="L187" s="3">
        <f>'Monthly D4 Gallon Data'!$U128</f>
        <v>42614735</v>
      </c>
      <c r="M187" s="3">
        <f>'Monthly D4 Gallon Data'!$U140</f>
        <v>63817498</v>
      </c>
      <c r="N187" s="3">
        <f>'Monthly D4 Gallon Data'!$U152</f>
        <v>103822288</v>
      </c>
      <c r="O187" s="3">
        <f>'Monthly D4 Gallon Data'!$U164</f>
        <v>137967419</v>
      </c>
      <c r="P187" s="3">
        <f>'Monthly D4 Gallon Data'!$U176</f>
        <v>232021863</v>
      </c>
      <c r="Q187" s="4">
        <f>(SUM($I187:$M187)/SUM($I$193:$M$193))*Q$193+1000000</f>
        <v>187398408.05446762</v>
      </c>
      <c r="R187" s="4">
        <f t="shared" si="199"/>
        <v>204816536.25140023</v>
      </c>
      <c r="S187" s="4">
        <f t="shared" si="199"/>
        <v>225314298.85220358</v>
      </c>
      <c r="T187" s="4">
        <f t="shared" si="199"/>
        <v>229462999.02612028</v>
      </c>
      <c r="U187" s="4">
        <f t="shared" si="199"/>
        <v>230817136.67112064</v>
      </c>
      <c r="V187" s="4">
        <f t="shared" si="199"/>
        <v>241679675.93064594</v>
      </c>
      <c r="W187" s="4">
        <f t="shared" si="199"/>
        <v>262389928.42397761</v>
      </c>
      <c r="X187" s="4">
        <f t="shared" si="199"/>
        <v>311647245.45708984</v>
      </c>
      <c r="Y187" s="4">
        <f t="shared" si="199"/>
        <v>309787526.62816477</v>
      </c>
      <c r="Z187" s="4">
        <f t="shared" si="199"/>
        <v>300446193.91042221</v>
      </c>
      <c r="AA187" s="4">
        <f t="shared" si="199"/>
        <v>318299144.68919629</v>
      </c>
      <c r="AB187" s="4">
        <f t="shared" si="199"/>
        <v>345063375.28836048</v>
      </c>
      <c r="AC187" s="4">
        <f t="shared" si="199"/>
        <v>393271570.27691621</v>
      </c>
      <c r="AD187" s="4">
        <f t="shared" si="199"/>
        <v>433827636.43789667</v>
      </c>
      <c r="AE187" s="4">
        <f t="shared" si="199"/>
        <v>434107550.74835151</v>
      </c>
      <c r="AF187" s="4">
        <f t="shared" si="199"/>
        <v>379982480.752473</v>
      </c>
      <c r="AG187" s="4">
        <f t="shared" si="199"/>
        <v>402731756.06888831</v>
      </c>
      <c r="AH187" s="4">
        <f t="shared" si="196"/>
        <v>425790362.06342179</v>
      </c>
      <c r="AI187" s="4">
        <f t="shared" si="196"/>
        <v>462794470.27611709</v>
      </c>
      <c r="AJ187" s="4">
        <f t="shared" si="196"/>
        <v>471933314.66539657</v>
      </c>
      <c r="AK187" s="4">
        <f t="shared" si="196"/>
        <v>469186439.29817253</v>
      </c>
      <c r="AL187" s="4">
        <f t="shared" si="196"/>
        <v>446412442.02325743</v>
      </c>
      <c r="AM187" s="4">
        <f t="shared" si="196"/>
        <v>465694587.18556893</v>
      </c>
      <c r="AN187" s="4">
        <f t="shared" si="196"/>
        <v>482369494.83482754</v>
      </c>
      <c r="AO187" s="4">
        <f t="shared" si="196"/>
        <v>499812997.74749064</v>
      </c>
      <c r="AP187" s="4">
        <f t="shared" si="196"/>
        <v>522016844.46628493</v>
      </c>
      <c r="AQ187" s="4">
        <f t="shared" si="196"/>
        <v>561808378.76541758</v>
      </c>
      <c r="AR187" s="4"/>
      <c r="AS187" s="94"/>
      <c r="AT187" s="121">
        <f t="shared" si="200"/>
        <v>-1.5298652577316774E-2</v>
      </c>
      <c r="AU187" s="197"/>
      <c r="AV187" s="194"/>
      <c r="AW187" s="194"/>
      <c r="AX187" s="194"/>
      <c r="AY187" s="195"/>
      <c r="AZ187" s="196"/>
      <c r="BA187" s="195">
        <v>143619523.04200637</v>
      </c>
      <c r="BB187" s="195">
        <f t="shared" si="204"/>
        <v>-100440274.04200637</v>
      </c>
      <c r="BC187" s="195">
        <v>165126501.15137365</v>
      </c>
      <c r="BD187" s="195">
        <f t="shared" si="202"/>
        <v>-122511766.15137365</v>
      </c>
      <c r="BE187" s="195">
        <v>161089374.57035646</v>
      </c>
      <c r="BF187" s="195">
        <f t="shared" si="203"/>
        <v>-97271876.570356458</v>
      </c>
      <c r="BG187" s="195">
        <v>144098244.42470986</v>
      </c>
      <c r="BH187" s="197">
        <f>(BH186/BH183)-1</f>
        <v>0.29475058819634903</v>
      </c>
      <c r="BI187" s="3"/>
      <c r="BJ187" s="4">
        <v>232021863</v>
      </c>
      <c r="BK187" s="3">
        <f t="shared" si="197"/>
        <v>0</v>
      </c>
      <c r="BL187" s="3">
        <v>174135959.18314722</v>
      </c>
      <c r="BM187" s="177">
        <f t="shared" si="198"/>
        <v>13262448.871320397</v>
      </c>
      <c r="BN187" s="3"/>
      <c r="BP187" s="3"/>
      <c r="BQ187" s="3"/>
      <c r="BR187" s="4"/>
      <c r="BS187" s="192"/>
      <c r="BT187" s="192"/>
      <c r="BU187" s="3"/>
      <c r="BV187" s="9"/>
      <c r="BW187" s="3"/>
      <c r="BX187" s="9"/>
      <c r="BY187" s="3"/>
      <c r="BZ187" s="3"/>
      <c r="CA187" s="3"/>
      <c r="CB187" s="3"/>
      <c r="CC187" s="4"/>
      <c r="CD187" s="3"/>
      <c r="CE187" s="3"/>
      <c r="CF187" s="3"/>
      <c r="CG187" s="3"/>
      <c r="CH187" s="3"/>
      <c r="CI187" s="3"/>
      <c r="CJ187" s="172"/>
      <c r="CK187" s="3"/>
      <c r="CL187" s="3"/>
      <c r="CM187" s="3"/>
      <c r="CN187" s="3"/>
      <c r="CO187" s="3"/>
      <c r="CP187" s="3"/>
    </row>
    <row r="188" spans="1:94">
      <c r="A188" s="2" t="s">
        <v>50</v>
      </c>
      <c r="B188" s="3">
        <f>'Monthly D4 Gallon Data'!$U9</f>
        <v>0</v>
      </c>
      <c r="C188" s="3">
        <f>'Monthly D4 Gallon Data'!$U21</f>
        <v>5456641</v>
      </c>
      <c r="D188" s="3">
        <f>'Monthly D4 Gallon Data'!$U33</f>
        <v>3843433</v>
      </c>
      <c r="E188" s="3">
        <f>'Monthly D4 Gallon Data'!$U45</f>
        <v>1660247</v>
      </c>
      <c r="F188" s="3">
        <f>'Monthly D4 Gallon Data'!$U57</f>
        <v>1080266</v>
      </c>
      <c r="G188" s="3">
        <f>'Monthly D4 Gallon Data'!$U69</f>
        <v>14322147</v>
      </c>
      <c r="H188" s="3">
        <f>'Monthly D4 Gallon Data'!$U81</f>
        <v>24325149</v>
      </c>
      <c r="I188" s="3">
        <f>'Monthly D4 Gallon Data'!$U93</f>
        <v>24232162</v>
      </c>
      <c r="J188" s="3">
        <f>'Monthly D4 Gallon Data'!$U105</f>
        <v>13886150</v>
      </c>
      <c r="K188" s="3">
        <f>'Monthly D4 Gallon Data'!$U117</f>
        <v>26567329</v>
      </c>
      <c r="L188" s="3">
        <f>'Monthly D4 Gallon Data'!$U129</f>
        <v>40277987</v>
      </c>
      <c r="M188" s="3">
        <f>'Monthly D4 Gallon Data'!$U141</f>
        <v>74377217</v>
      </c>
      <c r="N188" s="3">
        <f>'Monthly D4 Gallon Data'!$U153</f>
        <v>114997212</v>
      </c>
      <c r="O188" s="3">
        <f>'Monthly D4 Gallon Data'!$U165</f>
        <v>174399881</v>
      </c>
      <c r="P188" s="3">
        <f>'Monthly D4 Gallon Data'!$U177</f>
        <v>203463989</v>
      </c>
      <c r="Q188" s="4">
        <f>(SUM($I188:$M188)/SUM($I$193:$M$193))*Q$193+1000000</f>
        <v>190065868.83781767</v>
      </c>
      <c r="R188" s="4">
        <f t="shared" si="199"/>
        <v>207747570.2872304</v>
      </c>
      <c r="S188" s="4">
        <f t="shared" si="199"/>
        <v>228538666.81966308</v>
      </c>
      <c r="T188" s="4">
        <f t="shared" si="199"/>
        <v>232746737.10908294</v>
      </c>
      <c r="U188" s="4">
        <f t="shared" si="199"/>
        <v>234120253.18709138</v>
      </c>
      <c r="V188" s="4">
        <f t="shared" si="199"/>
        <v>245138241.18560976</v>
      </c>
      <c r="W188" s="4">
        <f t="shared" si="199"/>
        <v>266144868.45443362</v>
      </c>
      <c r="X188" s="4">
        <f t="shared" si="199"/>
        <v>316107084.00492197</v>
      </c>
      <c r="Y188" s="4">
        <f t="shared" si="199"/>
        <v>314220751.60619235</v>
      </c>
      <c r="Z188" s="4">
        <f t="shared" si="199"/>
        <v>304745739.42761701</v>
      </c>
      <c r="AA188" s="4">
        <f t="shared" si="199"/>
        <v>322854175.46812975</v>
      </c>
      <c r="AB188" s="4">
        <f t="shared" si="199"/>
        <v>350001416.5031929</v>
      </c>
      <c r="AC188" s="4">
        <f t="shared" si="199"/>
        <v>398899496.51228207</v>
      </c>
      <c r="AD188" s="4">
        <f t="shared" si="199"/>
        <v>440035941.64291418</v>
      </c>
      <c r="AE188" s="4">
        <f t="shared" si="199"/>
        <v>440319861.67666698</v>
      </c>
      <c r="AF188" s="4">
        <f t="shared" si="199"/>
        <v>385420233.01842099</v>
      </c>
      <c r="AG188" s="4">
        <f t="shared" si="199"/>
        <v>408495062.61606413</v>
      </c>
      <c r="AH188" s="4">
        <f t="shared" si="196"/>
        <v>431883649.57905716</v>
      </c>
      <c r="AI188" s="4">
        <f t="shared" si="196"/>
        <v>469417306.34589767</v>
      </c>
      <c r="AJ188" s="4">
        <f t="shared" si="196"/>
        <v>478686932.47987109</v>
      </c>
      <c r="AK188" s="4">
        <f t="shared" si="196"/>
        <v>475900747.8589077</v>
      </c>
      <c r="AL188" s="4">
        <f t="shared" si="196"/>
        <v>452800842.51833361</v>
      </c>
      <c r="AM188" s="4">
        <f t="shared" si="196"/>
        <v>472358925.47741157</v>
      </c>
      <c r="AN188" s="4">
        <f t="shared" si="196"/>
        <v>489272459.9619776</v>
      </c>
      <c r="AO188" s="4">
        <f t="shared" si="196"/>
        <v>506965588.71871006</v>
      </c>
      <c r="AP188" s="4">
        <f t="shared" si="196"/>
        <v>529487184.34416127</v>
      </c>
      <c r="AQ188" s="4">
        <f t="shared" si="196"/>
        <v>569848156.7536304</v>
      </c>
      <c r="AR188" s="4"/>
      <c r="AS188" s="94"/>
      <c r="AT188" s="121">
        <f t="shared" si="200"/>
        <v>1.4234169921949036E-2</v>
      </c>
      <c r="AU188" s="197"/>
      <c r="AV188" s="194"/>
      <c r="AW188" s="194"/>
      <c r="AX188" s="194"/>
      <c r="AY188" s="195"/>
      <c r="AZ188" s="196"/>
      <c r="BA188" s="195">
        <v>179278729.11455953</v>
      </c>
      <c r="BB188" s="195">
        <f t="shared" si="204"/>
        <v>-152711400.11455953</v>
      </c>
      <c r="BC188" s="195">
        <v>168020270.68833292</v>
      </c>
      <c r="BD188" s="195">
        <f t="shared" si="202"/>
        <v>-127742283.68833292</v>
      </c>
      <c r="BE188" s="195">
        <v>155942954.667191</v>
      </c>
      <c r="BF188" s="195">
        <f t="shared" si="203"/>
        <v>-81565737.667190999</v>
      </c>
      <c r="BG188" s="195">
        <v>141572065.80553842</v>
      </c>
      <c r="BH188" s="195"/>
      <c r="BI188" s="3"/>
      <c r="BJ188" s="4">
        <v>225850403.48848251</v>
      </c>
      <c r="BK188" s="3">
        <f t="shared" si="197"/>
        <v>-22386414.488482505</v>
      </c>
      <c r="BL188" s="3">
        <v>176627937.77320233</v>
      </c>
      <c r="BM188" s="177">
        <f t="shared" si="198"/>
        <v>13437931.064615339</v>
      </c>
      <c r="BN188" s="3"/>
      <c r="BP188" s="3"/>
      <c r="BQ188" s="3"/>
      <c r="BR188" s="4"/>
      <c r="BS188" s="192"/>
      <c r="BT188" s="192"/>
      <c r="BU188" s="3"/>
      <c r="BV188" s="9"/>
      <c r="BW188" s="3"/>
      <c r="BX188" s="9"/>
      <c r="BY188" s="3"/>
      <c r="BZ188" s="3"/>
      <c r="CA188" s="3"/>
      <c r="CB188" s="3"/>
      <c r="CC188" s="4"/>
      <c r="CD188" s="3"/>
      <c r="CE188" s="3"/>
      <c r="CF188" s="3"/>
      <c r="CG188" s="3"/>
      <c r="CH188" s="3"/>
      <c r="CI188" s="3"/>
      <c r="CJ188" s="172"/>
      <c r="CK188" s="3"/>
      <c r="CL188" s="3"/>
      <c r="CM188" s="3"/>
      <c r="CN188" s="3"/>
      <c r="CO188" s="3"/>
      <c r="CP188" s="3"/>
    </row>
    <row r="189" spans="1:94">
      <c r="A189" s="2" t="s">
        <v>51</v>
      </c>
      <c r="B189" s="3">
        <f>'Monthly D4 Gallon Data'!$U10</f>
        <v>0</v>
      </c>
      <c r="C189" s="3">
        <f>'Monthly D4 Gallon Data'!$U22</f>
        <v>2055944</v>
      </c>
      <c r="D189" s="3">
        <f>'Monthly D4 Gallon Data'!$U34</f>
        <v>2250327</v>
      </c>
      <c r="E189" s="3">
        <f>'Monthly D4 Gallon Data'!$U46</f>
        <v>7796489</v>
      </c>
      <c r="F189" s="3">
        <f>'Monthly D4 Gallon Data'!$U58</f>
        <v>4936875</v>
      </c>
      <c r="G189" s="3">
        <f>'Monthly D4 Gallon Data'!$U70</f>
        <v>13139388</v>
      </c>
      <c r="H189" s="3">
        <f>'Monthly D4 Gallon Data'!$U82</f>
        <v>18860534</v>
      </c>
      <c r="I189" s="3">
        <f>'Monthly D4 Gallon Data'!$U94</f>
        <v>21583936</v>
      </c>
      <c r="J189" s="3">
        <f>'Monthly D4 Gallon Data'!$U106</f>
        <v>28618283</v>
      </c>
      <c r="K189" s="3">
        <f>'Monthly D4 Gallon Data'!$U118</f>
        <v>37653169</v>
      </c>
      <c r="L189" s="3">
        <f>'Monthly D4 Gallon Data'!$U130</f>
        <v>44831236</v>
      </c>
      <c r="M189" s="3">
        <f>'Monthly D4 Gallon Data'!$U142</f>
        <v>49922849</v>
      </c>
      <c r="N189" s="3">
        <f>'Monthly D4 Gallon Data'!$U154</f>
        <v>118717748</v>
      </c>
      <c r="O189" s="3">
        <f>'Monthly D4 Gallon Data'!$U166</f>
        <v>180823774</v>
      </c>
      <c r="P189" s="3">
        <f>'Monthly D4 Gallon Data'!$U178</f>
        <v>216519419</v>
      </c>
      <c r="Q189" s="4">
        <f>(SUM($I189:$M189)/SUM($I$193:$M$193))*Q$193+1000000</f>
        <v>193511743.0486123</v>
      </c>
      <c r="R189" s="4">
        <f t="shared" si="199"/>
        <v>211533933.20513019</v>
      </c>
      <c r="S189" s="4">
        <f t="shared" si="199"/>
        <v>232703963.82966334</v>
      </c>
      <c r="T189" s="4">
        <f t="shared" si="199"/>
        <v>236988729.51088852</v>
      </c>
      <c r="U189" s="4">
        <f t="shared" si="199"/>
        <v>238387279.00005898</v>
      </c>
      <c r="V189" s="4">
        <f t="shared" si="199"/>
        <v>249606078.49846527</v>
      </c>
      <c r="W189" s="4">
        <f t="shared" si="199"/>
        <v>270995568.07663333</v>
      </c>
      <c r="X189" s="4">
        <f t="shared" si="199"/>
        <v>321868384.31426781</v>
      </c>
      <c r="Y189" s="4">
        <f t="shared" si="199"/>
        <v>319947672.02346283</v>
      </c>
      <c r="Z189" s="4">
        <f t="shared" si="199"/>
        <v>310299970.29328412</v>
      </c>
      <c r="AA189" s="4">
        <f t="shared" si="199"/>
        <v>328738446.82779711</v>
      </c>
      <c r="AB189" s="4">
        <f t="shared" si="199"/>
        <v>356380467.68934071</v>
      </c>
      <c r="AC189" s="4">
        <f t="shared" si="199"/>
        <v>406169753.67810476</v>
      </c>
      <c r="AD189" s="4">
        <f t="shared" si="199"/>
        <v>448055942.8861357</v>
      </c>
      <c r="AE189" s="4">
        <f t="shared" si="199"/>
        <v>448345037.5858832</v>
      </c>
      <c r="AF189" s="4">
        <f t="shared" si="199"/>
        <v>392444820.00199711</v>
      </c>
      <c r="AG189" s="4">
        <f t="shared" si="199"/>
        <v>415940206.52362531</v>
      </c>
      <c r="AH189" s="4">
        <f t="shared" si="196"/>
        <v>439755068.8854416</v>
      </c>
      <c r="AI189" s="4">
        <f t="shared" si="196"/>
        <v>477972806.07718748</v>
      </c>
      <c r="AJ189" s="4">
        <f t="shared" si="196"/>
        <v>487411378.44051003</v>
      </c>
      <c r="AK189" s="4">
        <f t="shared" si="196"/>
        <v>484574413.412745</v>
      </c>
      <c r="AL189" s="4">
        <f t="shared" si="196"/>
        <v>461053494.12304205</v>
      </c>
      <c r="AM189" s="4">
        <f t="shared" si="196"/>
        <v>480968038.53174889</v>
      </c>
      <c r="AN189" s="4">
        <f t="shared" si="196"/>
        <v>498189835.48934621</v>
      </c>
      <c r="AO189" s="4">
        <f t="shared" si="196"/>
        <v>516205435.43808097</v>
      </c>
      <c r="AP189" s="4">
        <f t="shared" si="196"/>
        <v>539137504.86310661</v>
      </c>
      <c r="AQ189" s="4">
        <f t="shared" si="196"/>
        <v>580234087.74951315</v>
      </c>
      <c r="AR189" s="4"/>
      <c r="AS189" s="94"/>
      <c r="AT189" s="121">
        <f t="shared" si="200"/>
        <v>1.8129894819437498E-2</v>
      </c>
      <c r="AU189" s="197"/>
      <c r="AV189" s="194"/>
      <c r="AW189" s="194"/>
      <c r="AX189" s="194"/>
      <c r="AY189" s="195"/>
      <c r="AZ189" s="196"/>
      <c r="BA189" s="195">
        <v>141119976.66064993</v>
      </c>
      <c r="BB189" s="195">
        <f t="shared" si="204"/>
        <v>-103466807.66064993</v>
      </c>
      <c r="BC189" s="195">
        <v>159933651.26960924</v>
      </c>
      <c r="BD189" s="195">
        <f t="shared" si="202"/>
        <v>-115102415.26960924</v>
      </c>
      <c r="BE189" s="195">
        <v>151331868.28440863</v>
      </c>
      <c r="BF189" s="195">
        <f t="shared" si="203"/>
        <v>-101409019.28440863</v>
      </c>
      <c r="BG189" s="195">
        <v>140040273.96936029</v>
      </c>
      <c r="BH189" s="194">
        <f>SUM(P187:P189)</f>
        <v>652005271</v>
      </c>
      <c r="BI189" s="3"/>
      <c r="BJ189" s="4">
        <v>226547513.06192476</v>
      </c>
      <c r="BK189" s="3">
        <f t="shared" si="197"/>
        <v>-10028094.061924756</v>
      </c>
      <c r="BL189" s="3">
        <v>179847120.90456179</v>
      </c>
      <c r="BM189" s="177">
        <f t="shared" si="198"/>
        <v>13664622.144050509</v>
      </c>
      <c r="BN189" s="3"/>
      <c r="BP189" s="3"/>
      <c r="BQ189" s="3"/>
      <c r="BR189" s="4"/>
      <c r="BS189" s="192"/>
      <c r="BT189" s="192"/>
      <c r="BU189" s="3"/>
      <c r="BV189" s="9"/>
      <c r="BW189" s="3"/>
      <c r="BX189" s="9"/>
      <c r="BY189" s="3"/>
      <c r="BZ189" s="3"/>
      <c r="CA189" s="3"/>
      <c r="CB189" s="3"/>
      <c r="CC189" s="4"/>
      <c r="CD189" s="3"/>
      <c r="CE189" s="3"/>
      <c r="CF189" s="3"/>
      <c r="CG189" s="3"/>
      <c r="CH189" s="3"/>
      <c r="CI189" s="3"/>
      <c r="CJ189" s="172"/>
      <c r="CK189" s="3"/>
      <c r="CL189" s="3"/>
      <c r="CM189" s="3"/>
      <c r="CN189" s="3"/>
      <c r="CO189" s="3"/>
      <c r="CP189" s="3"/>
    </row>
    <row r="190" spans="1:94">
      <c r="A190" s="2" t="s">
        <v>52</v>
      </c>
      <c r="B190" s="3">
        <f>'Monthly D4 Gallon Data'!$U11</f>
        <v>0</v>
      </c>
      <c r="C190" s="3">
        <f>'Monthly D4 Gallon Data'!$U23</f>
        <v>3327224</v>
      </c>
      <c r="D190" s="3">
        <f>'Monthly D4 Gallon Data'!$U35</f>
        <v>1960831</v>
      </c>
      <c r="E190" s="3">
        <f>'Monthly D4 Gallon Data'!$U47</f>
        <v>9036993</v>
      </c>
      <c r="F190" s="3">
        <f>'Monthly D4 Gallon Data'!$U59</f>
        <v>13434456</v>
      </c>
      <c r="G190" s="3">
        <f>'Monthly D4 Gallon Data'!$U71</f>
        <v>12990321</v>
      </c>
      <c r="H190" s="3">
        <f>'Monthly D4 Gallon Data'!$U83</f>
        <v>20108545</v>
      </c>
      <c r="I190" s="3">
        <f>'Monthly D4 Gallon Data'!$U95</f>
        <v>25021680</v>
      </c>
      <c r="J190" s="3">
        <f>'Monthly D4 Gallon Data'!$U107</f>
        <v>35905766</v>
      </c>
      <c r="K190" s="3">
        <f>'Monthly D4 Gallon Data'!$U119</f>
        <v>46592429</v>
      </c>
      <c r="L190" s="3">
        <f>'Monthly D4 Gallon Data'!$U131</f>
        <v>20889246</v>
      </c>
      <c r="M190" s="3">
        <f>'Monthly D4 Gallon Data'!$U143</f>
        <v>72254487</v>
      </c>
      <c r="N190" s="3">
        <f>'Monthly D4 Gallon Data'!$U155</f>
        <v>107319656</v>
      </c>
      <c r="O190" s="3">
        <f>'Monthly D4 Gallon Data'!$U167</f>
        <v>150845209</v>
      </c>
      <c r="P190" s="3">
        <f>'Monthly D4 Gallon Data'!$U179</f>
        <v>229161946</v>
      </c>
      <c r="Q190" s="4">
        <f t="shared" ref="Q190" si="205">(SUM($I190:$M190)/SUM($I$193:$M$193))*Q$193</f>
        <v>211544890.34916314</v>
      </c>
      <c r="R190" s="4">
        <f t="shared" si="199"/>
        <v>232447756.1543175</v>
      </c>
      <c r="S190" s="4">
        <f t="shared" si="199"/>
        <v>255710813.96178031</v>
      </c>
      <c r="T190" s="4">
        <f t="shared" si="199"/>
        <v>260419203.54806</v>
      </c>
      <c r="U190" s="4">
        <f t="shared" si="199"/>
        <v>261956024.07469007</v>
      </c>
      <c r="V190" s="4">
        <f t="shared" si="199"/>
        <v>274283997.79804009</v>
      </c>
      <c r="W190" s="4">
        <f t="shared" si="199"/>
        <v>297788211.90873742</v>
      </c>
      <c r="X190" s="4">
        <f t="shared" si="199"/>
        <v>353690694.33561963</v>
      </c>
      <c r="Y190" s="4">
        <f t="shared" si="199"/>
        <v>351580086.09678602</v>
      </c>
      <c r="Z190" s="4">
        <f t="shared" si="199"/>
        <v>340978540.58942062</v>
      </c>
      <c r="AA190" s="4">
        <f t="shared" si="199"/>
        <v>361239982.48865175</v>
      </c>
      <c r="AB190" s="4">
        <f t="shared" si="199"/>
        <v>391614899.77724504</v>
      </c>
      <c r="AC190" s="4">
        <f t="shared" si="199"/>
        <v>446326726.07033795</v>
      </c>
      <c r="AD190" s="4">
        <f t="shared" si="199"/>
        <v>492354096.46778798</v>
      </c>
      <c r="AE190" s="4">
        <f t="shared" si="199"/>
        <v>492671773.22656715</v>
      </c>
      <c r="AF190" s="4">
        <f t="shared" si="199"/>
        <v>431244843.0455265</v>
      </c>
      <c r="AG190" s="4">
        <f t="shared" si="199"/>
        <v>457063158.7841875</v>
      </c>
      <c r="AH190" s="4">
        <f t="shared" si="196"/>
        <v>483232536.12829411</v>
      </c>
      <c r="AI190" s="4">
        <f t="shared" si="196"/>
        <v>525228763.97180539</v>
      </c>
      <c r="AJ190" s="4">
        <f t="shared" si="196"/>
        <v>535600504.02273577</v>
      </c>
      <c r="AK190" s="4">
        <f t="shared" si="196"/>
        <v>532483055.4649539</v>
      </c>
      <c r="AL190" s="4">
        <f t="shared" si="196"/>
        <v>506636682.59825939</v>
      </c>
      <c r="AM190" s="4">
        <f t="shared" si="196"/>
        <v>528520127.45507324</v>
      </c>
      <c r="AN190" s="4">
        <f t="shared" si="196"/>
        <v>547444599.75643575</v>
      </c>
      <c r="AO190" s="4">
        <f t="shared" si="196"/>
        <v>567241356.33542073</v>
      </c>
      <c r="AP190" s="4">
        <f t="shared" si="196"/>
        <v>592440661.2462461</v>
      </c>
      <c r="AQ190" s="4">
        <f t="shared" si="196"/>
        <v>637600358.94964731</v>
      </c>
      <c r="AR190" s="4"/>
      <c r="AS190" s="94"/>
      <c r="AT190" s="121">
        <f t="shared" si="200"/>
        <v>9.3188904282778928E-2</v>
      </c>
      <c r="AU190" s="197"/>
      <c r="AV190" s="194"/>
      <c r="AW190" s="194"/>
      <c r="AX190" s="194"/>
      <c r="AY190" s="195"/>
      <c r="AZ190" s="196"/>
      <c r="BA190" s="195">
        <v>152816519.91490614</v>
      </c>
      <c r="BB190" s="195">
        <f t="shared" si="204"/>
        <v>-106224090.91490614</v>
      </c>
      <c r="BC190" s="195">
        <v>173289693.89777201</v>
      </c>
      <c r="BD190" s="195">
        <f t="shared" si="202"/>
        <v>-152400447.89777201</v>
      </c>
      <c r="BE190" s="195">
        <v>149277371.44355991</v>
      </c>
      <c r="BF190" s="195">
        <f t="shared" si="203"/>
        <v>-77022884.443559915</v>
      </c>
      <c r="BG190" s="195">
        <v>137891779.86776355</v>
      </c>
      <c r="BH190" s="197">
        <f>(BH189/BH186)-1</f>
        <v>-3.5635111130662533E-2</v>
      </c>
      <c r="BI190" s="3"/>
      <c r="BJ190" s="4">
        <v>233690226.99033129</v>
      </c>
      <c r="BK190" s="3">
        <f t="shared" si="197"/>
        <v>-4528280.9903312922</v>
      </c>
      <c r="BL190" s="3">
        <v>197628149.16574231</v>
      </c>
      <c r="BM190" s="177">
        <f t="shared" si="198"/>
        <v>13916741.183420837</v>
      </c>
      <c r="BN190" s="3"/>
      <c r="BP190" s="3"/>
      <c r="BQ190" s="3"/>
      <c r="BR190" s="4"/>
      <c r="BS190" s="192"/>
      <c r="BT190" s="192"/>
      <c r="BU190" s="3"/>
      <c r="BV190" s="9"/>
      <c r="BW190" s="3"/>
      <c r="BX190" s="9"/>
      <c r="BY190" s="3"/>
      <c r="BZ190" s="3"/>
      <c r="CA190" s="3"/>
      <c r="CB190" s="3"/>
      <c r="CC190" s="4"/>
      <c r="CD190" s="3"/>
      <c r="CE190" s="3"/>
      <c r="CF190" s="3"/>
      <c r="CG190" s="3"/>
      <c r="CH190" s="3"/>
      <c r="CI190" s="3"/>
      <c r="CJ190" s="172"/>
      <c r="CK190" s="3"/>
      <c r="CL190" s="3"/>
      <c r="CM190" s="3"/>
      <c r="CN190" s="3"/>
      <c r="CO190" s="3"/>
      <c r="CP190" s="3"/>
    </row>
    <row r="191" spans="1:94">
      <c r="A191" s="2" t="s">
        <v>53</v>
      </c>
      <c r="B191" s="3">
        <f>'Monthly D4 Gallon Data'!$U12</f>
        <v>349738</v>
      </c>
      <c r="C191" s="3">
        <f>'Monthly D4 Gallon Data'!$U24</f>
        <v>1513543</v>
      </c>
      <c r="D191" s="3">
        <f>'Monthly D4 Gallon Data'!$U36</f>
        <v>3106752</v>
      </c>
      <c r="E191" s="3">
        <f>'Monthly D4 Gallon Data'!$U48</f>
        <v>10007036</v>
      </c>
      <c r="F191" s="3">
        <f>'Monthly D4 Gallon Data'!$U60</f>
        <v>15552834</v>
      </c>
      <c r="G191" s="3">
        <f>'Monthly D4 Gallon Data'!$U72</f>
        <v>12263324</v>
      </c>
      <c r="H191" s="3">
        <f>'Monthly D4 Gallon Data'!$U84</f>
        <v>26977711</v>
      </c>
      <c r="I191" s="3">
        <f>'Monthly D4 Gallon Data'!$U96</f>
        <v>22579304</v>
      </c>
      <c r="J191" s="3">
        <f>'Monthly D4 Gallon Data'!$U108</f>
        <v>36871698</v>
      </c>
      <c r="K191" s="3">
        <f>'Monthly D4 Gallon Data'!$U120</f>
        <v>40119894</v>
      </c>
      <c r="L191" s="3">
        <f>'Monthly D4 Gallon Data'!$U132</f>
        <v>43123558</v>
      </c>
      <c r="M191" s="3">
        <f>'Monthly D4 Gallon Data'!$U144</f>
        <v>101107386</v>
      </c>
      <c r="N191" s="3">
        <f>'Monthly D4 Gallon Data'!$U156</f>
        <v>149576069</v>
      </c>
      <c r="O191" s="3">
        <f>'Monthly D4 Gallon Data'!$U168</f>
        <v>151214861</v>
      </c>
      <c r="P191" s="3">
        <f>'Monthly D4 Gallon Data'!$U180</f>
        <v>214472488</v>
      </c>
      <c r="Q191" s="4">
        <f>(SUM($I191:$M191)/SUM($I$193:$M$193))*Q$193-28000000</f>
        <v>229022357.08691242</v>
      </c>
      <c r="R191" s="4">
        <f t="shared" si="199"/>
        <v>282418876.1436699</v>
      </c>
      <c r="S191" s="4">
        <f t="shared" si="199"/>
        <v>310682976.21649331</v>
      </c>
      <c r="T191" s="4">
        <f t="shared" si="199"/>
        <v>316403565.29596317</v>
      </c>
      <c r="U191" s="4">
        <f t="shared" si="199"/>
        <v>318270768.20274127</v>
      </c>
      <c r="V191" s="4">
        <f t="shared" si="199"/>
        <v>333248983.27213436</v>
      </c>
      <c r="W191" s="4">
        <f t="shared" si="199"/>
        <v>361806082.91295201</v>
      </c>
      <c r="X191" s="4">
        <f t="shared" si="199"/>
        <v>429726361.09434277</v>
      </c>
      <c r="Y191" s="4">
        <f t="shared" si="199"/>
        <v>427162018.82383597</v>
      </c>
      <c r="Z191" s="4">
        <f t="shared" si="199"/>
        <v>414281375.80490148</v>
      </c>
      <c r="AA191" s="4">
        <f t="shared" si="199"/>
        <v>438898579.02037263</v>
      </c>
      <c r="AB191" s="4">
        <f t="shared" si="199"/>
        <v>475803430.86977649</v>
      </c>
      <c r="AC191" s="4">
        <f t="shared" si="199"/>
        <v>542277088.21583819</v>
      </c>
      <c r="AD191" s="4">
        <f t="shared" si="199"/>
        <v>598199323.96702552</v>
      </c>
      <c r="AE191" s="4">
        <f t="shared" si="199"/>
        <v>598585294.19395173</v>
      </c>
      <c r="AF191" s="4">
        <f t="shared" si="199"/>
        <v>523952934.33082581</v>
      </c>
      <c r="AG191" s="4">
        <f t="shared" si="199"/>
        <v>555321616.20355725</v>
      </c>
      <c r="AH191" s="4">
        <f t="shared" si="196"/>
        <v>587116830.15260339</v>
      </c>
      <c r="AI191" s="4">
        <f t="shared" si="196"/>
        <v>638141316.9708972</v>
      </c>
      <c r="AJ191" s="4">
        <f t="shared" si="196"/>
        <v>650742751.44933295</v>
      </c>
      <c r="AK191" s="4">
        <f t="shared" si="196"/>
        <v>646955120.48790538</v>
      </c>
      <c r="AL191" s="4">
        <f t="shared" si="196"/>
        <v>615552349.82594168</v>
      </c>
      <c r="AM191" s="4">
        <f t="shared" si="196"/>
        <v>642140250.71542311</v>
      </c>
      <c r="AN191" s="4">
        <f t="shared" si="196"/>
        <v>665133065.47683811</v>
      </c>
      <c r="AO191" s="4">
        <f t="shared" si="196"/>
        <v>689185686.3187232</v>
      </c>
      <c r="AP191" s="4">
        <f t="shared" si="196"/>
        <v>719802283.74370444</v>
      </c>
      <c r="AQ191" s="4">
        <f t="shared" si="196"/>
        <v>774670316.38633978</v>
      </c>
      <c r="AR191" s="4"/>
      <c r="AS191" s="94"/>
      <c r="AT191" s="121">
        <f t="shared" si="200"/>
        <v>8.2618241021572558E-2</v>
      </c>
      <c r="AU191" s="197"/>
      <c r="AV191" s="194"/>
      <c r="AW191" s="194"/>
      <c r="AX191" s="194"/>
      <c r="AY191" s="195"/>
      <c r="AZ191" s="196"/>
      <c r="BA191" s="195">
        <v>130353452.30666322</v>
      </c>
      <c r="BB191" s="195">
        <f t="shared" si="204"/>
        <v>-90233558.306663215</v>
      </c>
      <c r="BC191" s="195">
        <v>133413302.04905352</v>
      </c>
      <c r="BD191" s="195">
        <f t="shared" si="202"/>
        <v>-90289744.04905352</v>
      </c>
      <c r="BE191" s="195">
        <v>141356362.87740099</v>
      </c>
      <c r="BF191" s="195">
        <f t="shared" si="203"/>
        <v>-40248976.877400994</v>
      </c>
      <c r="BG191" s="195">
        <v>142499844.22919351</v>
      </c>
      <c r="BH191" s="195"/>
      <c r="BI191" s="3"/>
      <c r="BJ191" s="4">
        <v>229446052.70247433</v>
      </c>
      <c r="BK191" s="3">
        <f t="shared" si="197"/>
        <v>-14973564.702474326</v>
      </c>
      <c r="BL191" s="3">
        <v>240113824.7369819</v>
      </c>
      <c r="BM191" s="177">
        <f t="shared" si="198"/>
        <v>-11091467.650069475</v>
      </c>
      <c r="BN191" s="3"/>
      <c r="BP191" s="3"/>
      <c r="BQ191" s="3"/>
      <c r="BR191" s="4"/>
      <c r="BS191" s="192"/>
      <c r="BT191" s="192"/>
      <c r="BU191" s="3"/>
      <c r="BV191" s="9"/>
      <c r="BW191" s="3"/>
      <c r="BX191" s="9"/>
      <c r="BY191" s="3"/>
      <c r="BZ191" s="3"/>
      <c r="CA191" s="3"/>
      <c r="CB191" s="3"/>
      <c r="CC191" s="4"/>
      <c r="CD191" s="3"/>
      <c r="CE191" s="3"/>
      <c r="CF191" s="3"/>
      <c r="CG191" s="3"/>
      <c r="CH191" s="3"/>
      <c r="CI191" s="3"/>
      <c r="CJ191" s="172"/>
      <c r="CK191" s="3"/>
      <c r="CL191" s="3"/>
      <c r="CM191" s="3"/>
      <c r="CN191" s="3"/>
      <c r="CO191" s="3"/>
      <c r="CP191" s="3"/>
    </row>
    <row r="192" spans="1:94">
      <c r="A192" s="2" t="s">
        <v>54</v>
      </c>
      <c r="B192" s="3">
        <f>'Monthly D4 Gallon Data'!$U13</f>
        <v>369343</v>
      </c>
      <c r="C192" s="3">
        <f>'Monthly D4 Gallon Data'!$U25</f>
        <v>4376143</v>
      </c>
      <c r="D192" s="3">
        <f>'Monthly D4 Gallon Data'!$U37</f>
        <v>1064197</v>
      </c>
      <c r="E192" s="3">
        <f>'Monthly D4 Gallon Data'!$U49</f>
        <v>11718468</v>
      </c>
      <c r="F192" s="3">
        <f>'Monthly D4 Gallon Data'!$U61</f>
        <v>21686185</v>
      </c>
      <c r="G192" s="3">
        <f>'Monthly D4 Gallon Data'!$U73</f>
        <v>12950507</v>
      </c>
      <c r="H192" s="3">
        <f>'Monthly D4 Gallon Data'!$U85</f>
        <v>26878185</v>
      </c>
      <c r="I192" s="3">
        <f>'Monthly D4 Gallon Data'!$U97</f>
        <v>24979072</v>
      </c>
      <c r="J192" s="3">
        <f>'Monthly D4 Gallon Data'!$U109</f>
        <v>44959932</v>
      </c>
      <c r="K192" s="3">
        <f>'Monthly D4 Gallon Data'!$U121</f>
        <v>49773555</v>
      </c>
      <c r="L192" s="3">
        <f>'Monthly D4 Gallon Data'!$U133</f>
        <v>49704530</v>
      </c>
      <c r="M192" s="3">
        <f>'Monthly D4 Gallon Data'!$U145</f>
        <v>107217732</v>
      </c>
      <c r="N192" s="3">
        <f>'Monthly D4 Gallon Data'!$U157</f>
        <v>121633469</v>
      </c>
      <c r="O192" s="3">
        <f>'Monthly D4 Gallon Data'!$U169</f>
        <v>213849241</v>
      </c>
      <c r="P192" s="3">
        <f>'Monthly D4 Gallon Data'!$U181</f>
        <v>254283310</v>
      </c>
      <c r="Q192" s="119">
        <f t="shared" ref="Q192:AA192" si="206">Q193-SUM(Q181:Q191)</f>
        <v>279923412.01707482</v>
      </c>
      <c r="R192" s="4">
        <f t="shared" si="206"/>
        <v>320452443.0538559</v>
      </c>
      <c r="S192" s="4">
        <f t="shared" si="206"/>
        <v>352522891.1865344</v>
      </c>
      <c r="T192" s="4">
        <f t="shared" si="206"/>
        <v>359013876.38998365</v>
      </c>
      <c r="U192" s="4">
        <f t="shared" si="206"/>
        <v>361132536.94598007</v>
      </c>
      <c r="V192" s="4">
        <f t="shared" si="206"/>
        <v>378127879.74003363</v>
      </c>
      <c r="W192" s="4">
        <f t="shared" si="206"/>
        <v>410530785.91751242</v>
      </c>
      <c r="X192" s="4">
        <f t="shared" si="206"/>
        <v>487597940.11527967</v>
      </c>
      <c r="Y192" s="4">
        <f t="shared" si="206"/>
        <v>484688255.90213108</v>
      </c>
      <c r="Z192" s="4">
        <f t="shared" si="206"/>
        <v>470072966.79722595</v>
      </c>
      <c r="AA192" s="4">
        <f t="shared" si="206"/>
        <v>498005387.67244387</v>
      </c>
      <c r="AB192" s="4">
        <f t="shared" ref="AB192:AG192" si="207">AB193-SUM(AB181:AB191)</f>
        <v>539880244.25839615</v>
      </c>
      <c r="AC192" s="4">
        <f t="shared" si="207"/>
        <v>615305960.08212948</v>
      </c>
      <c r="AD192" s="4">
        <f t="shared" si="207"/>
        <v>678759286.26272488</v>
      </c>
      <c r="AE192" s="4">
        <f t="shared" si="207"/>
        <v>679197235.39648533</v>
      </c>
      <c r="AF192" s="4">
        <f t="shared" si="207"/>
        <v>594514078.32292271</v>
      </c>
      <c r="AG192" s="4">
        <f t="shared" si="207"/>
        <v>630107204.6704073</v>
      </c>
      <c r="AH192" s="4">
        <f t="shared" ref="AH192:AQ192" si="208">AH193-SUM(AH181:AH191)</f>
        <v>666184304.49644184</v>
      </c>
      <c r="AI192" s="4">
        <f t="shared" si="208"/>
        <v>724080298.13453579</v>
      </c>
      <c r="AJ192" s="4">
        <f t="shared" si="208"/>
        <v>738378777.47039795</v>
      </c>
      <c r="AK192" s="4">
        <f t="shared" si="208"/>
        <v>734081063.3390007</v>
      </c>
      <c r="AL192" s="4">
        <f t="shared" si="208"/>
        <v>698449257.43886375</v>
      </c>
      <c r="AM192" s="4">
        <f t="shared" si="208"/>
        <v>728617771.35708332</v>
      </c>
      <c r="AN192" s="4">
        <f t="shared" si="208"/>
        <v>754707046.13782406</v>
      </c>
      <c r="AO192" s="4">
        <f t="shared" si="208"/>
        <v>781998851.89768124</v>
      </c>
      <c r="AP192" s="4">
        <f t="shared" si="208"/>
        <v>816738610.00733471</v>
      </c>
      <c r="AQ192" s="4">
        <f t="shared" si="208"/>
        <v>878995762.73726463</v>
      </c>
      <c r="AR192" s="4"/>
      <c r="AS192" s="94"/>
      <c r="AT192" s="121">
        <f t="shared" si="200"/>
        <v>0.22225365059379687</v>
      </c>
      <c r="AU192" s="197"/>
      <c r="AV192" s="194"/>
      <c r="AW192" s="194"/>
      <c r="AX192" s="194"/>
      <c r="AY192" s="195"/>
      <c r="AZ192" s="196"/>
      <c r="BA192" s="195">
        <v>169422997</v>
      </c>
      <c r="BB192" s="195">
        <f t="shared" si="204"/>
        <v>-119649442</v>
      </c>
      <c r="BC192" s="195">
        <v>167631897</v>
      </c>
      <c r="BD192" s="195">
        <f t="shared" si="202"/>
        <v>-117927367</v>
      </c>
      <c r="BE192" s="195">
        <v>179824533</v>
      </c>
      <c r="BF192" s="195">
        <f t="shared" si="203"/>
        <v>-72606801</v>
      </c>
      <c r="BG192" s="195">
        <v>179383712.03590918</v>
      </c>
      <c r="BH192" s="194">
        <f>SUM(P190:P192)</f>
        <v>697917744</v>
      </c>
      <c r="BI192" s="3"/>
      <c r="BJ192" s="4">
        <v>219150063.45519733</v>
      </c>
      <c r="BK192" s="3">
        <f t="shared" si="197"/>
        <v>35133246.544802666</v>
      </c>
      <c r="BL192" s="3">
        <v>235817486.99320722</v>
      </c>
      <c r="BM192" s="177">
        <f t="shared" si="198"/>
        <v>44105925.023867607</v>
      </c>
      <c r="BN192" s="3"/>
      <c r="BP192" s="3"/>
      <c r="BQ192" s="3"/>
      <c r="BR192" s="4"/>
      <c r="BS192" s="192"/>
      <c r="BT192" s="192"/>
      <c r="BU192" s="3"/>
      <c r="BV192" s="9"/>
      <c r="BW192" s="3"/>
      <c r="BX192" s="9"/>
      <c r="BY192" s="3"/>
      <c r="BZ192" s="3"/>
      <c r="CA192" s="3"/>
      <c r="CB192" s="3"/>
      <c r="CC192" s="4"/>
      <c r="CD192" s="3"/>
      <c r="CE192" s="3"/>
      <c r="CF192" s="3"/>
      <c r="CG192" s="3"/>
      <c r="CH192" s="3"/>
      <c r="CI192" s="3"/>
      <c r="CJ192" s="172"/>
      <c r="CK192" s="3"/>
      <c r="CL192" s="3"/>
      <c r="CM192" s="3"/>
      <c r="CN192" s="3"/>
      <c r="CO192" s="3"/>
      <c r="CP192" s="3"/>
    </row>
    <row r="193" spans="1:116" ht="13.5" thickBot="1">
      <c r="A193" s="2" t="s">
        <v>29</v>
      </c>
      <c r="B193" s="3">
        <f>SUM(B181:B192)</f>
        <v>719081</v>
      </c>
      <c r="C193" s="3">
        <f t="shared" ref="C193:P193" si="209">SUM(C181:C192)</f>
        <v>30289409</v>
      </c>
      <c r="D193" s="3">
        <f t="shared" si="209"/>
        <v>29864265</v>
      </c>
      <c r="E193" s="3">
        <f t="shared" si="209"/>
        <v>42592223</v>
      </c>
      <c r="F193" s="3">
        <f t="shared" si="209"/>
        <v>142874564</v>
      </c>
      <c r="G193" s="3">
        <f t="shared" si="209"/>
        <v>167569248</v>
      </c>
      <c r="H193" s="3">
        <f t="shared" si="209"/>
        <v>236821419</v>
      </c>
      <c r="I193" s="3">
        <f t="shared" si="209"/>
        <v>253194888</v>
      </c>
      <c r="J193" s="3">
        <f t="shared" si="209"/>
        <v>281876562</v>
      </c>
      <c r="K193" s="3">
        <f t="shared" si="209"/>
        <v>457843380</v>
      </c>
      <c r="L193" s="3">
        <f t="shared" si="209"/>
        <v>481720835</v>
      </c>
      <c r="M193" s="3">
        <f t="shared" si="209"/>
        <v>782276988</v>
      </c>
      <c r="N193" s="3">
        <f t="shared" si="209"/>
        <v>1340222915</v>
      </c>
      <c r="O193" s="3">
        <f t="shared" si="209"/>
        <v>1828492964</v>
      </c>
      <c r="P193" s="3">
        <f t="shared" si="209"/>
        <v>2548205164</v>
      </c>
      <c r="Q193" s="4">
        <f t="shared" ref="Q193:AQ193" si="210">Q11</f>
        <v>2379297095.5975428</v>
      </c>
      <c r="R193" s="4">
        <f t="shared" si="210"/>
        <v>2614396737.1808534</v>
      </c>
      <c r="S193" s="4">
        <f t="shared" si="210"/>
        <v>2876042035.1819401</v>
      </c>
      <c r="T193" s="4">
        <f t="shared" si="210"/>
        <v>2928998443.8623223</v>
      </c>
      <c r="U193" s="4">
        <f t="shared" si="210"/>
        <v>2946283440.013401</v>
      </c>
      <c r="V193" s="4">
        <f t="shared" si="210"/>
        <v>3084939174.1517019</v>
      </c>
      <c r="W193" s="4">
        <f t="shared" si="210"/>
        <v>3349296816.0478544</v>
      </c>
      <c r="X193" s="4">
        <f t="shared" si="210"/>
        <v>3978045701.7119684</v>
      </c>
      <c r="Y193" s="4">
        <f t="shared" si="210"/>
        <v>3954307174.8947406</v>
      </c>
      <c r="Z193" s="4">
        <f t="shared" si="210"/>
        <v>3835069000.9408054</v>
      </c>
      <c r="AA193" s="4">
        <f t="shared" si="210"/>
        <v>4062954391.0529933</v>
      </c>
      <c r="AB193" s="4">
        <f t="shared" si="210"/>
        <v>4404588511.1892891</v>
      </c>
      <c r="AC193" s="4">
        <f t="shared" si="210"/>
        <v>5019945796.2512598</v>
      </c>
      <c r="AD193" s="4">
        <f t="shared" si="210"/>
        <v>5537626882.8702278</v>
      </c>
      <c r="AE193" s="4">
        <f t="shared" si="210"/>
        <v>5541199871.0348415</v>
      </c>
      <c r="AF193" s="4">
        <f t="shared" si="210"/>
        <v>4850316170.9842663</v>
      </c>
      <c r="AG193" s="4">
        <f t="shared" si="210"/>
        <v>5140701079.5907784</v>
      </c>
      <c r="AH193" s="4">
        <f t="shared" si="210"/>
        <v>5435034463.8935556</v>
      </c>
      <c r="AI193" s="4">
        <f t="shared" si="210"/>
        <v>5907376304.7633333</v>
      </c>
      <c r="AJ193" s="4">
        <f t="shared" si="210"/>
        <v>6024029800.570962</v>
      </c>
      <c r="AK193" s="4">
        <f t="shared" si="210"/>
        <v>5988967094.5563545</v>
      </c>
      <c r="AL193" s="4">
        <f t="shared" si="210"/>
        <v>5698266620.5720596</v>
      </c>
      <c r="AM193" s="4">
        <f t="shared" si="210"/>
        <v>5944395074.4597769</v>
      </c>
      <c r="AN193" s="4">
        <f t="shared" si="210"/>
        <v>6157243240.6718235</v>
      </c>
      <c r="AO193" s="4">
        <f t="shared" si="210"/>
        <v>6379902201.39116</v>
      </c>
      <c r="AP193" s="4">
        <f t="shared" si="210"/>
        <v>6663324943.8948565</v>
      </c>
      <c r="AQ193" s="4">
        <f t="shared" si="210"/>
        <v>7171247103.6143265</v>
      </c>
      <c r="AR193" s="4"/>
      <c r="AS193" s="4"/>
      <c r="AT193" s="194"/>
      <c r="AU193" s="194"/>
      <c r="AV193" s="194"/>
      <c r="AW193" s="194"/>
      <c r="AX193" s="194"/>
      <c r="AY193" s="195"/>
      <c r="AZ193" s="196"/>
      <c r="BA193" s="195">
        <v>1743500000</v>
      </c>
      <c r="BB193" s="195">
        <f t="shared" si="204"/>
        <v>-1285656620</v>
      </c>
      <c r="BC193" s="195">
        <v>1815449146</v>
      </c>
      <c r="BD193" s="195">
        <f t="shared" si="202"/>
        <v>-1333728311</v>
      </c>
      <c r="BE193" s="195">
        <v>1717327970</v>
      </c>
      <c r="BF193" s="195">
        <f t="shared" si="203"/>
        <v>-935050982</v>
      </c>
      <c r="BG193" s="195">
        <v>1653807613.0359092</v>
      </c>
      <c r="BH193" s="197">
        <f>(BH192/BH189)-1</f>
        <v>7.0417334095447925E-2</v>
      </c>
      <c r="BI193" s="3"/>
      <c r="BJ193" s="4">
        <v>2564988271.69841</v>
      </c>
      <c r="BK193" s="3">
        <f t="shared" si="197"/>
        <v>-16783107.698410034</v>
      </c>
      <c r="BL193" s="3">
        <v>2222772105.4489121</v>
      </c>
      <c r="BM193" s="177">
        <f t="shared" si="198"/>
        <v>156524990.14863062</v>
      </c>
      <c r="BN193" s="3"/>
      <c r="BR193" s="3"/>
      <c r="BS193" s="3"/>
      <c r="BT193" s="3"/>
      <c r="BU193" s="3"/>
      <c r="BV193" s="9"/>
      <c r="BW193" s="3"/>
      <c r="BX193" s="9"/>
      <c r="BY193" s="3"/>
      <c r="BZ193" s="3"/>
      <c r="CA193" s="3"/>
      <c r="CB193" s="3"/>
      <c r="CC193" s="4"/>
      <c r="CD193" s="3"/>
      <c r="CE193" s="3"/>
      <c r="CF193" s="3"/>
      <c r="CG193" s="3"/>
      <c r="CH193" s="3"/>
      <c r="CI193" s="3"/>
      <c r="CJ193" s="3"/>
      <c r="CK193" s="3"/>
      <c r="CL193" s="3"/>
      <c r="CM193" s="3"/>
      <c r="CN193" s="3"/>
      <c r="CO193" s="3"/>
      <c r="CP193" s="3"/>
      <c r="CQ193" s="3"/>
      <c r="CR193" s="3"/>
      <c r="CS193" s="3"/>
      <c r="CT193" s="3"/>
      <c r="CU193" s="3"/>
      <c r="CV193" s="3"/>
      <c r="CW193" s="3"/>
      <c r="CX193" s="3"/>
    </row>
    <row r="194" spans="1:116">
      <c r="A194" s="114"/>
      <c r="B194" s="114"/>
      <c r="C194" s="120">
        <f t="shared" ref="C194:L194" si="211">C192/AVERAGE(C181:C191)</f>
        <v>1.8576420664226578</v>
      </c>
      <c r="D194" s="120">
        <f t="shared" si="211"/>
        <v>0.40646317223973222</v>
      </c>
      <c r="E194" s="120">
        <f t="shared" si="211"/>
        <v>4.1751691039849215</v>
      </c>
      <c r="F194" s="120">
        <f t="shared" si="211"/>
        <v>1.9684068469964435</v>
      </c>
      <c r="G194" s="120">
        <f t="shared" si="211"/>
        <v>0.92133447781727829</v>
      </c>
      <c r="H194" s="120">
        <f t="shared" si="211"/>
        <v>1.4082856082897151</v>
      </c>
      <c r="I194" s="120">
        <f t="shared" si="211"/>
        <v>1.2039910152414677</v>
      </c>
      <c r="J194" s="120">
        <f t="shared" si="211"/>
        <v>2.0874822168456473</v>
      </c>
      <c r="K194" s="120">
        <f t="shared" si="211"/>
        <v>1.3417044619753493</v>
      </c>
      <c r="L194" s="120">
        <f t="shared" si="211"/>
        <v>1.2655768397445091</v>
      </c>
      <c r="M194" s="120">
        <f>M192/AVERAGE(M181:M191)</f>
        <v>1.7470985569302377</v>
      </c>
      <c r="N194" s="120">
        <f>N192/AVERAGE(N181:N191)</f>
        <v>1.0979646700468797</v>
      </c>
      <c r="O194" s="120">
        <f>O192/AVERAGE(O181:O191)</f>
        <v>1.4568796927097707</v>
      </c>
      <c r="P194" s="120">
        <f>P192/AVERAGE(P181:P191)</f>
        <v>1.2193599381437341</v>
      </c>
      <c r="Q194" s="120">
        <f t="shared" ref="Q194:AQ194" si="212">Q192/AVERAGE(Q181:Q191)</f>
        <v>1.4667029296739302</v>
      </c>
      <c r="R194" s="120">
        <f t="shared" si="212"/>
        <v>1.5366444959527272</v>
      </c>
      <c r="S194" s="120">
        <f t="shared" si="212"/>
        <v>1.5366444959527275</v>
      </c>
      <c r="T194" s="120">
        <f t="shared" si="212"/>
        <v>1.5366444959527275</v>
      </c>
      <c r="U194" s="120">
        <f t="shared" si="212"/>
        <v>1.5366444959527295</v>
      </c>
      <c r="V194" s="120">
        <f t="shared" si="212"/>
        <v>1.5366444959527283</v>
      </c>
      <c r="W194" s="120">
        <f t="shared" si="212"/>
        <v>1.5366444959527272</v>
      </c>
      <c r="X194" s="120">
        <f t="shared" si="212"/>
        <v>1.5366444959527292</v>
      </c>
      <c r="Y194" s="120">
        <f t="shared" si="212"/>
        <v>1.5366444959527263</v>
      </c>
      <c r="Z194" s="120">
        <f t="shared" si="212"/>
        <v>1.536644495952727</v>
      </c>
      <c r="AA194" s="120">
        <f t="shared" si="212"/>
        <v>1.5366444959527275</v>
      </c>
      <c r="AB194" s="120">
        <f t="shared" si="212"/>
        <v>1.5366444959527266</v>
      </c>
      <c r="AC194" s="120">
        <f t="shared" si="212"/>
        <v>1.536644495952729</v>
      </c>
      <c r="AD194" s="120">
        <f t="shared" si="212"/>
        <v>1.536644495952727</v>
      </c>
      <c r="AE194" s="120">
        <f t="shared" si="212"/>
        <v>1.5366444959527283</v>
      </c>
      <c r="AF194" s="120">
        <f t="shared" si="212"/>
        <v>1.5366444959527266</v>
      </c>
      <c r="AG194" s="120">
        <f t="shared" si="212"/>
        <v>1.536644495952729</v>
      </c>
      <c r="AH194" s="120">
        <f t="shared" si="212"/>
        <v>1.536644495952727</v>
      </c>
      <c r="AI194" s="120">
        <f t="shared" si="212"/>
        <v>1.5366444959527275</v>
      </c>
      <c r="AJ194" s="120">
        <f t="shared" si="212"/>
        <v>1.5366444959527261</v>
      </c>
      <c r="AK194" s="120">
        <f t="shared" si="212"/>
        <v>1.5366444959527252</v>
      </c>
      <c r="AL194" s="120">
        <f t="shared" si="212"/>
        <v>1.5366444959527268</v>
      </c>
      <c r="AM194" s="120">
        <f t="shared" si="212"/>
        <v>1.5366444959527279</v>
      </c>
      <c r="AN194" s="120">
        <f t="shared" si="212"/>
        <v>1.5366444959527275</v>
      </c>
      <c r="AO194" s="120">
        <f t="shared" si="212"/>
        <v>1.5366444959527279</v>
      </c>
      <c r="AP194" s="120">
        <f t="shared" si="212"/>
        <v>1.536644495952725</v>
      </c>
      <c r="AQ194" s="120">
        <f t="shared" si="212"/>
        <v>1.5366444959527281</v>
      </c>
      <c r="AR194" s="212"/>
      <c r="AS194" s="212"/>
      <c r="AX194" s="4"/>
      <c r="AY194" s="3"/>
      <c r="BE194" s="4"/>
    </row>
    <row r="195" spans="1:116" ht="16.5" thickBot="1">
      <c r="A195" s="109" t="s">
        <v>317</v>
      </c>
      <c r="J195" s="83">
        <f t="shared" ref="J195:Q195" si="213">J193/I193-1</f>
        <v>0.11327904061001415</v>
      </c>
      <c r="K195" s="83">
        <f t="shared" si="213"/>
        <v>0.62426906569124396</v>
      </c>
      <c r="L195" s="83">
        <f t="shared" si="213"/>
        <v>5.2152015390066309E-2</v>
      </c>
      <c r="M195" s="83">
        <f t="shared" si="213"/>
        <v>0.62392184676836737</v>
      </c>
      <c r="N195" s="83">
        <f t="shared" si="213"/>
        <v>0.71323320966716208</v>
      </c>
      <c r="O195" s="83">
        <f t="shared" si="213"/>
        <v>0.36432002731426216</v>
      </c>
      <c r="P195" s="83">
        <f t="shared" si="213"/>
        <v>0.39360949928161704</v>
      </c>
      <c r="Q195" s="83">
        <f t="shared" si="213"/>
        <v>-6.6285113455039402E-2</v>
      </c>
      <c r="AX195" s="4"/>
      <c r="AY195" s="3"/>
      <c r="BE195" s="4"/>
    </row>
    <row r="196" spans="1:116" ht="14.25" thickBot="1">
      <c r="A196" s="110"/>
      <c r="B196" s="111">
        <f t="shared" ref="B196:K196" si="214">B2</f>
        <v>2010</v>
      </c>
      <c r="C196" s="111">
        <f t="shared" si="214"/>
        <v>2011</v>
      </c>
      <c r="D196" s="111">
        <f t="shared" si="214"/>
        <v>2012</v>
      </c>
      <c r="E196" s="111">
        <f t="shared" si="214"/>
        <v>2013</v>
      </c>
      <c r="F196" s="111">
        <f t="shared" si="214"/>
        <v>2014</v>
      </c>
      <c r="G196" s="111">
        <f t="shared" si="214"/>
        <v>2015</v>
      </c>
      <c r="H196" s="111">
        <f t="shared" si="214"/>
        <v>2016</v>
      </c>
      <c r="I196" s="111">
        <f t="shared" si="214"/>
        <v>2017</v>
      </c>
      <c r="J196" s="111">
        <f t="shared" si="214"/>
        <v>2018</v>
      </c>
      <c r="K196" s="111">
        <f t="shared" si="214"/>
        <v>2019</v>
      </c>
      <c r="L196" s="111">
        <f>L2</f>
        <v>2020</v>
      </c>
      <c r="M196" s="111">
        <f>M2</f>
        <v>2021</v>
      </c>
      <c r="N196" s="111">
        <f t="shared" ref="N196:AQ196" si="215">N2</f>
        <v>2022</v>
      </c>
      <c r="O196" s="111">
        <f t="shared" si="215"/>
        <v>2023</v>
      </c>
      <c r="P196" s="111">
        <f t="shared" si="215"/>
        <v>2024</v>
      </c>
      <c r="Q196" s="111">
        <f t="shared" si="215"/>
        <v>2025</v>
      </c>
      <c r="R196" s="111">
        <f t="shared" si="215"/>
        <v>2026</v>
      </c>
      <c r="S196" s="111">
        <f t="shared" si="215"/>
        <v>2027</v>
      </c>
      <c r="T196" s="111">
        <f t="shared" si="215"/>
        <v>2028</v>
      </c>
      <c r="U196" s="111">
        <f t="shared" si="215"/>
        <v>2029</v>
      </c>
      <c r="V196" s="111">
        <f t="shared" si="215"/>
        <v>2030</v>
      </c>
      <c r="W196" s="111">
        <f t="shared" si="215"/>
        <v>2031</v>
      </c>
      <c r="X196" s="111">
        <f t="shared" si="215"/>
        <v>2032</v>
      </c>
      <c r="Y196" s="111">
        <f t="shared" si="215"/>
        <v>2033</v>
      </c>
      <c r="Z196" s="111">
        <f t="shared" si="215"/>
        <v>2034</v>
      </c>
      <c r="AA196" s="111">
        <f t="shared" si="215"/>
        <v>2035</v>
      </c>
      <c r="AB196" s="111">
        <f t="shared" si="215"/>
        <v>2036</v>
      </c>
      <c r="AC196" s="111">
        <f t="shared" si="215"/>
        <v>2037</v>
      </c>
      <c r="AD196" s="111">
        <f t="shared" si="215"/>
        <v>2038</v>
      </c>
      <c r="AE196" s="111">
        <f t="shared" si="215"/>
        <v>2039</v>
      </c>
      <c r="AF196" s="111">
        <f t="shared" si="215"/>
        <v>2040</v>
      </c>
      <c r="AG196" s="111">
        <f t="shared" si="215"/>
        <v>2041</v>
      </c>
      <c r="AH196" s="111">
        <f t="shared" si="215"/>
        <v>2042</v>
      </c>
      <c r="AI196" s="111">
        <f t="shared" si="215"/>
        <v>2043</v>
      </c>
      <c r="AJ196" s="111">
        <f t="shared" si="215"/>
        <v>2044</v>
      </c>
      <c r="AK196" s="111">
        <f t="shared" si="215"/>
        <v>2045</v>
      </c>
      <c r="AL196" s="111">
        <f t="shared" si="215"/>
        <v>2046</v>
      </c>
      <c r="AM196" s="111">
        <f t="shared" si="215"/>
        <v>2047</v>
      </c>
      <c r="AN196" s="111">
        <f t="shared" si="215"/>
        <v>2048</v>
      </c>
      <c r="AO196" s="111">
        <f t="shared" si="215"/>
        <v>2049</v>
      </c>
      <c r="AP196" s="111">
        <f t="shared" si="215"/>
        <v>2050</v>
      </c>
      <c r="AQ196" s="111">
        <f t="shared" si="215"/>
        <v>2051</v>
      </c>
      <c r="AR196" s="94"/>
      <c r="AS196" s="94"/>
      <c r="AT196" s="31" t="s">
        <v>36</v>
      </c>
      <c r="AU196" s="31"/>
      <c r="AV196" s="31"/>
      <c r="AW196" s="31"/>
      <c r="AX196" s="19"/>
      <c r="AY196" s="18"/>
      <c r="AZ196" s="14"/>
      <c r="BA196" s="14"/>
      <c r="BB196" s="18"/>
      <c r="BC196" s="14"/>
      <c r="BD196" s="14"/>
      <c r="BE196" s="19"/>
      <c r="BF196" s="14"/>
      <c r="BG196" s="14"/>
      <c r="BH196" s="14"/>
      <c r="CH196" s="3"/>
    </row>
    <row r="197" spans="1:116">
      <c r="A197" s="2" t="s">
        <v>43</v>
      </c>
      <c r="B197" s="3">
        <f t="shared" ref="B197:AQ203" si="216">B213+B229+B245</f>
        <v>0</v>
      </c>
      <c r="C197" s="3">
        <f t="shared" si="216"/>
        <v>0</v>
      </c>
      <c r="D197" s="3">
        <f t="shared" si="216"/>
        <v>0</v>
      </c>
      <c r="E197" s="3">
        <f t="shared" si="216"/>
        <v>7009715</v>
      </c>
      <c r="F197" s="3">
        <f t="shared" si="216"/>
        <v>13410514</v>
      </c>
      <c r="G197" s="3">
        <f t="shared" si="216"/>
        <v>9899510</v>
      </c>
      <c r="H197" s="3">
        <f t="shared" si="216"/>
        <v>8004157</v>
      </c>
      <c r="I197" s="3">
        <f t="shared" si="216"/>
        <v>20440663</v>
      </c>
      <c r="J197" s="3">
        <f t="shared" si="216"/>
        <v>15697294</v>
      </c>
      <c r="K197" s="3">
        <f t="shared" si="216"/>
        <v>16293805</v>
      </c>
      <c r="L197" s="3">
        <f t="shared" si="216"/>
        <v>22255917</v>
      </c>
      <c r="M197" s="3">
        <f t="shared" si="216"/>
        <v>29766577</v>
      </c>
      <c r="N197" s="3">
        <f t="shared" si="216"/>
        <v>34682153</v>
      </c>
      <c r="O197" s="3">
        <f t="shared" si="216"/>
        <v>37899137</v>
      </c>
      <c r="P197" s="3">
        <f t="shared" si="216"/>
        <v>24232960</v>
      </c>
      <c r="Q197" s="3">
        <f t="shared" si="216"/>
        <v>0</v>
      </c>
      <c r="R197" s="4">
        <f t="shared" si="216"/>
        <v>19880459.240872473</v>
      </c>
      <c r="S197" s="4">
        <f t="shared" si="216"/>
        <v>17883204.211857177</v>
      </c>
      <c r="T197" s="4">
        <f t="shared" si="216"/>
        <v>15357222.123277105</v>
      </c>
      <c r="U197" s="4">
        <f t="shared" si="216"/>
        <v>12728717.603032351</v>
      </c>
      <c r="V197" s="4">
        <f t="shared" si="216"/>
        <v>10582971.939488428</v>
      </c>
      <c r="W197" s="4">
        <f t="shared" si="216"/>
        <v>12507148.65575905</v>
      </c>
      <c r="X197" s="4">
        <f t="shared" si="216"/>
        <v>10832825.809162999</v>
      </c>
      <c r="Y197" s="4">
        <f t="shared" si="216"/>
        <v>10026968.821137691</v>
      </c>
      <c r="Z197" s="4">
        <f t="shared" si="216"/>
        <v>9359774.2285729293</v>
      </c>
      <c r="AA197" s="4">
        <f t="shared" si="216"/>
        <v>9407592.2566096038</v>
      </c>
      <c r="AB197" s="4">
        <f t="shared" si="216"/>
        <v>4010331.5208647889</v>
      </c>
      <c r="AC197" s="4">
        <f t="shared" si="216"/>
        <v>2708206.4522907496</v>
      </c>
      <c r="AD197" s="4">
        <f t="shared" si="216"/>
        <v>2638676.0055625509</v>
      </c>
      <c r="AE197" s="4">
        <f t="shared" si="216"/>
        <v>2599937.2857147027</v>
      </c>
      <c r="AF197" s="4">
        <f t="shared" si="216"/>
        <v>2613220.0712804459</v>
      </c>
      <c r="AG197" s="4">
        <f t="shared" si="216"/>
        <v>2673554.3472431935</v>
      </c>
      <c r="AH197" s="4">
        <f t="shared" si="216"/>
        <v>2644696.5234150314</v>
      </c>
      <c r="AI197" s="4">
        <f t="shared" si="216"/>
        <v>2630583.2058870941</v>
      </c>
      <c r="AJ197" s="4">
        <f t="shared" si="216"/>
        <v>2628465.4639159464</v>
      </c>
      <c r="AK197" s="4">
        <f t="shared" si="216"/>
        <v>2637622.6569188139</v>
      </c>
      <c r="AL197" s="4">
        <f t="shared" si="216"/>
        <v>2649158.4246751345</v>
      </c>
      <c r="AM197" s="4">
        <f t="shared" si="216"/>
        <v>2646718.8324183286</v>
      </c>
      <c r="AN197" s="4">
        <f t="shared" si="216"/>
        <v>2634016.8466431848</v>
      </c>
      <c r="AO197" s="4">
        <f t="shared" si="216"/>
        <v>2632398.2867080937</v>
      </c>
      <c r="AP197" s="4">
        <f t="shared" si="216"/>
        <v>2638103.9223483424</v>
      </c>
      <c r="AQ197" s="4">
        <f t="shared" si="216"/>
        <v>2642985.4394760155</v>
      </c>
      <c r="AR197" s="4"/>
      <c r="AS197" s="4">
        <f>SUM(Q197:Q199)</f>
        <v>7434618</v>
      </c>
      <c r="AT197" s="121">
        <f>(Q197/P208)-1</f>
        <v>-1</v>
      </c>
      <c r="AU197" s="121" t="s">
        <v>299</v>
      </c>
      <c r="AV197" s="194"/>
      <c r="AW197" s="194"/>
      <c r="AX197" s="194"/>
      <c r="AY197" s="195"/>
      <c r="AZ197" s="196"/>
      <c r="BA197" s="196"/>
      <c r="BB197" s="195"/>
      <c r="BC197" s="195">
        <v>108932143.44251604</v>
      </c>
      <c r="BD197" s="195">
        <f>L197-BC197</f>
        <v>-86676226.442516044</v>
      </c>
      <c r="BE197" s="195">
        <v>108507798.4385401</v>
      </c>
      <c r="BF197" s="195">
        <f>M197-BE197</f>
        <v>-78741221.438540101</v>
      </c>
      <c r="BG197" s="195">
        <v>81075407.426691353</v>
      </c>
      <c r="BH197" s="195"/>
      <c r="BI197" s="3"/>
      <c r="BJ197" s="3">
        <v>24232960</v>
      </c>
      <c r="BK197" s="3">
        <f t="shared" ref="BK197:BK209" si="217">P197-BJ197</f>
        <v>0</v>
      </c>
      <c r="BL197" s="3">
        <v>0</v>
      </c>
      <c r="BM197" s="177">
        <f t="shared" ref="BM197:BM209" si="218">Q197-BL197</f>
        <v>0</v>
      </c>
      <c r="BN197" s="3"/>
      <c r="BR197" s="3"/>
      <c r="BS197" s="3"/>
      <c r="BT197" s="3"/>
      <c r="BU197" s="3"/>
      <c r="BY197" s="3"/>
      <c r="BZ197" s="3"/>
      <c r="CA197" s="3"/>
      <c r="CB197" s="3"/>
      <c r="CC197" s="4"/>
      <c r="CD197" s="3"/>
      <c r="CE197" s="3"/>
      <c r="CF197" s="3"/>
      <c r="CG197" s="3"/>
      <c r="CH197" s="3"/>
      <c r="CI197" s="3"/>
      <c r="CJ197" s="3"/>
      <c r="CK197" s="3"/>
      <c r="CL197" s="3"/>
      <c r="CM197" s="3"/>
      <c r="CN197" s="3"/>
      <c r="CO197" s="3"/>
      <c r="CP197" s="3"/>
      <c r="CQ197" s="3"/>
      <c r="CR197" s="3"/>
      <c r="CS197" s="3"/>
      <c r="CT197" s="3"/>
      <c r="CU197" s="3"/>
      <c r="CV197" s="3"/>
      <c r="CW197" s="3"/>
      <c r="CX197" s="3"/>
      <c r="DD197" s="3"/>
      <c r="DE197" s="3"/>
      <c r="DF197" s="3"/>
      <c r="DG197" s="3"/>
      <c r="DH197" s="3"/>
      <c r="DI197" s="3"/>
      <c r="DJ197" s="3"/>
      <c r="DK197" s="3"/>
      <c r="DL197" s="3"/>
    </row>
    <row r="198" spans="1:116">
      <c r="A198" s="2" t="s">
        <v>44</v>
      </c>
      <c r="B198" s="3">
        <f t="shared" si="216"/>
        <v>0</v>
      </c>
      <c r="C198" s="3">
        <f t="shared" si="216"/>
        <v>0</v>
      </c>
      <c r="D198" s="3">
        <f t="shared" si="216"/>
        <v>0</v>
      </c>
      <c r="E198" s="3">
        <f t="shared" si="216"/>
        <v>0</v>
      </c>
      <c r="F198" s="3">
        <f t="shared" si="216"/>
        <v>18928695</v>
      </c>
      <c r="G198" s="3">
        <f t="shared" si="216"/>
        <v>8259742</v>
      </c>
      <c r="H198" s="3">
        <f t="shared" si="216"/>
        <v>12536147</v>
      </c>
      <c r="I198" s="3">
        <f t="shared" si="216"/>
        <v>9904741</v>
      </c>
      <c r="J198" s="3">
        <f t="shared" si="216"/>
        <v>12330044</v>
      </c>
      <c r="K198" s="3">
        <f t="shared" si="216"/>
        <v>21173236</v>
      </c>
      <c r="L198" s="3">
        <f t="shared" si="216"/>
        <v>28371747</v>
      </c>
      <c r="M198" s="3">
        <f t="shared" si="216"/>
        <v>29679663</v>
      </c>
      <c r="N198" s="3">
        <f t="shared" si="216"/>
        <v>30274954</v>
      </c>
      <c r="O198" s="3">
        <f t="shared" si="216"/>
        <v>27487584</v>
      </c>
      <c r="P198" s="3">
        <f t="shared" si="216"/>
        <v>56213823</v>
      </c>
      <c r="Q198" s="3">
        <f t="shared" si="216"/>
        <v>0</v>
      </c>
      <c r="R198" s="4">
        <f t="shared" si="216"/>
        <v>23468739.279069103</v>
      </c>
      <c r="S198" s="4">
        <f t="shared" si="216"/>
        <v>22370115.195129227</v>
      </c>
      <c r="T198" s="4">
        <f t="shared" si="216"/>
        <v>20731065.204576124</v>
      </c>
      <c r="U198" s="4">
        <f t="shared" si="216"/>
        <v>20204290.7519814</v>
      </c>
      <c r="V198" s="4">
        <f t="shared" si="216"/>
        <v>13945855.247800048</v>
      </c>
      <c r="W198" s="4">
        <f t="shared" si="216"/>
        <v>16481465.292854603</v>
      </c>
      <c r="X198" s="4">
        <f t="shared" si="216"/>
        <v>14703183.010563359</v>
      </c>
      <c r="Y198" s="4">
        <f t="shared" si="216"/>
        <v>13917032.601257322</v>
      </c>
      <c r="Z198" s="4">
        <f t="shared" si="216"/>
        <v>13087457.653946983</v>
      </c>
      <c r="AA198" s="4">
        <f t="shared" si="216"/>
        <v>12729704.789368644</v>
      </c>
      <c r="AB198" s="4">
        <f t="shared" si="216"/>
        <v>5455295.6421531457</v>
      </c>
      <c r="AC198" s="4">
        <f t="shared" si="216"/>
        <v>3675795.7526408397</v>
      </c>
      <c r="AD198" s="4">
        <f t="shared" si="216"/>
        <v>3662377.0003308752</v>
      </c>
      <c r="AE198" s="4">
        <f t="shared" si="216"/>
        <v>3635404.9038741626</v>
      </c>
      <c r="AF198" s="4">
        <f t="shared" si="216"/>
        <v>3536029.1081579574</v>
      </c>
      <c r="AG198" s="4">
        <f t="shared" si="216"/>
        <v>3636863.7614354319</v>
      </c>
      <c r="AH198" s="4">
        <f t="shared" si="216"/>
        <v>3629859.0119569371</v>
      </c>
      <c r="AI198" s="4">
        <f t="shared" si="216"/>
        <v>3619650.8473605146</v>
      </c>
      <c r="AJ198" s="4">
        <f t="shared" si="216"/>
        <v>3608470.1718168682</v>
      </c>
      <c r="AK198" s="4">
        <f t="shared" si="216"/>
        <v>3599824.4553540335</v>
      </c>
      <c r="AL198" s="4">
        <f t="shared" si="216"/>
        <v>3629982.2558467248</v>
      </c>
      <c r="AM198" s="4">
        <f t="shared" si="216"/>
        <v>3629294.1052878527</v>
      </c>
      <c r="AN198" s="4">
        <f t="shared" si="216"/>
        <v>3620106.7571510724</v>
      </c>
      <c r="AO198" s="4">
        <f t="shared" si="216"/>
        <v>3611561.5265570008</v>
      </c>
      <c r="AP198" s="4">
        <f t="shared" si="216"/>
        <v>3606174.580145542</v>
      </c>
      <c r="AQ198" s="4">
        <f t="shared" si="216"/>
        <v>3618934.6495847576</v>
      </c>
      <c r="AR198" s="4"/>
      <c r="AS198" s="4">
        <f>SUM(P197:P199)</f>
        <v>107080297</v>
      </c>
      <c r="AT198" s="121" t="e">
        <f t="shared" ref="AT198:AT208" si="219">(Q198/Q197)-1</f>
        <v>#DIV/0!</v>
      </c>
      <c r="AU198" s="121" t="s">
        <v>300</v>
      </c>
      <c r="AV198" s="121">
        <f t="shared" ref="AV198:BG198" si="220">(SUM(L198:P198)/SUM(L197:P197))-1</f>
        <v>0.15581519977351821</v>
      </c>
      <c r="AW198" s="121">
        <f t="shared" si="220"/>
        <v>0.13489560310741222</v>
      </c>
      <c r="AX198" s="121">
        <f t="shared" si="220"/>
        <v>0.17781775346271456</v>
      </c>
      <c r="AY198" s="121">
        <f t="shared" si="220"/>
        <v>0.29675434560104641</v>
      </c>
      <c r="AZ198" s="121">
        <f t="shared" si="220"/>
        <v>0.58729978793528681</v>
      </c>
      <c r="BA198" s="121">
        <f t="shared" si="220"/>
        <v>0.3177636043580192</v>
      </c>
      <c r="BB198" s="121">
        <f t="shared" si="220"/>
        <v>0.31776360435801942</v>
      </c>
      <c r="BC198" s="121">
        <f t="shared" si="220"/>
        <v>0.35728047968117416</v>
      </c>
      <c r="BD198" s="121">
        <f t="shared" si="220"/>
        <v>0.38796009536990383</v>
      </c>
      <c r="BE198" s="121">
        <f t="shared" si="220"/>
        <v>0.39826638275038917</v>
      </c>
      <c r="BF198" s="121">
        <f t="shared" si="220"/>
        <v>0.35313100760983618</v>
      </c>
      <c r="BG198" s="121">
        <f t="shared" si="220"/>
        <v>0.36031039173957446</v>
      </c>
      <c r="BH198" s="195"/>
      <c r="BI198" s="3"/>
      <c r="BJ198" s="3">
        <v>56213823</v>
      </c>
      <c r="BK198" s="3">
        <f t="shared" si="217"/>
        <v>0</v>
      </c>
      <c r="BL198" s="3">
        <v>0</v>
      </c>
      <c r="BM198" s="177">
        <f t="shared" si="218"/>
        <v>0</v>
      </c>
      <c r="BN198" s="3"/>
      <c r="BR198" s="3"/>
      <c r="BS198" s="3"/>
      <c r="BT198" s="3"/>
      <c r="BU198" s="3"/>
      <c r="BY198" s="3"/>
      <c r="BZ198" s="3"/>
      <c r="CA198" s="3"/>
      <c r="CB198" s="3"/>
      <c r="CC198" s="4"/>
      <c r="CD198" s="3"/>
      <c r="CE198" s="3"/>
      <c r="CF198" s="3"/>
      <c r="CG198" s="3"/>
      <c r="CH198" s="3"/>
      <c r="CI198" s="3"/>
      <c r="CJ198" s="3"/>
      <c r="CK198" s="3"/>
      <c r="CL198" s="3"/>
      <c r="CM198" s="3"/>
      <c r="CN198" s="3"/>
      <c r="CO198" s="3"/>
      <c r="CP198" s="3"/>
      <c r="CQ198" s="3"/>
      <c r="CR198" s="3"/>
      <c r="CS198" s="3"/>
      <c r="CT198" s="3"/>
      <c r="CU198" s="3"/>
      <c r="CV198" s="3"/>
      <c r="CW198" s="3"/>
      <c r="CX198" s="3"/>
      <c r="DD198" s="3"/>
      <c r="DE198" s="3"/>
      <c r="DF198" s="3"/>
      <c r="DG198" s="3"/>
      <c r="DH198" s="3"/>
      <c r="DI198" s="3"/>
      <c r="DJ198" s="3"/>
      <c r="DK198" s="3"/>
      <c r="DL198" s="3"/>
    </row>
    <row r="199" spans="1:116">
      <c r="A199" s="2" t="s">
        <v>45</v>
      </c>
      <c r="B199" s="3">
        <f t="shared" si="216"/>
        <v>0</v>
      </c>
      <c r="C199" s="3">
        <f t="shared" si="216"/>
        <v>0</v>
      </c>
      <c r="D199" s="3">
        <f t="shared" si="216"/>
        <v>3118428</v>
      </c>
      <c r="E199" s="3">
        <f t="shared" si="216"/>
        <v>12720318</v>
      </c>
      <c r="F199" s="3">
        <f t="shared" si="216"/>
        <v>22679265</v>
      </c>
      <c r="G199" s="3">
        <f t="shared" si="216"/>
        <v>8280245</v>
      </c>
      <c r="H199" s="3">
        <f t="shared" si="216"/>
        <v>12145761</v>
      </c>
      <c r="I199" s="3">
        <f t="shared" si="216"/>
        <v>16616859</v>
      </c>
      <c r="J199" s="3">
        <f t="shared" si="216"/>
        <v>17342172</v>
      </c>
      <c r="K199" s="3">
        <f t="shared" si="216"/>
        <v>19249929</v>
      </c>
      <c r="L199" s="3">
        <f>L215+L231+L247</f>
        <v>28001490</v>
      </c>
      <c r="M199" s="3">
        <f>M215+M231+M247</f>
        <v>38322965</v>
      </c>
      <c r="N199" s="3">
        <f>N215+N231+N247</f>
        <v>40479902</v>
      </c>
      <c r="O199" s="3">
        <f>O215+O231+O247</f>
        <v>35663809</v>
      </c>
      <c r="P199" s="3">
        <f>P215+P231+P247</f>
        <v>26633514</v>
      </c>
      <c r="Q199" s="3">
        <f t="shared" si="216"/>
        <v>7434618</v>
      </c>
      <c r="R199" s="4">
        <f t="shared" si="216"/>
        <v>23866352.757887889</v>
      </c>
      <c r="S199" s="4">
        <f t="shared" si="216"/>
        <v>21043662.833512601</v>
      </c>
      <c r="T199" s="4">
        <f t="shared" si="216"/>
        <v>17997338.760218736</v>
      </c>
      <c r="U199" s="4">
        <f t="shared" si="216"/>
        <v>15957494.692020211</v>
      </c>
      <c r="V199" s="4">
        <f t="shared" si="216"/>
        <v>13869557.203442052</v>
      </c>
      <c r="W199" s="4">
        <f t="shared" si="216"/>
        <v>15174721.022249699</v>
      </c>
      <c r="X199" s="4">
        <f t="shared" si="216"/>
        <v>13183180.315520521</v>
      </c>
      <c r="Y199" s="4">
        <f t="shared" si="216"/>
        <v>12318838.705324028</v>
      </c>
      <c r="Z199" s="4">
        <f t="shared" si="216"/>
        <v>11642828.026550615</v>
      </c>
      <c r="AA199" s="4">
        <f t="shared" si="216"/>
        <v>11680433.871721221</v>
      </c>
      <c r="AB199" s="4">
        <f t="shared" si="216"/>
        <v>4923077.0724127758</v>
      </c>
      <c r="AC199" s="4">
        <f t="shared" si="216"/>
        <v>3295795.0788801303</v>
      </c>
      <c r="AD199" s="4">
        <f t="shared" si="216"/>
        <v>3241799.6592957973</v>
      </c>
      <c r="AE199" s="4">
        <f t="shared" si="216"/>
        <v>3234118.8962640604</v>
      </c>
      <c r="AF199" s="4">
        <f t="shared" si="216"/>
        <v>3244564.9643670064</v>
      </c>
      <c r="AG199" s="4">
        <f t="shared" si="216"/>
        <v>3282051.3816085178</v>
      </c>
      <c r="AH199" s="4">
        <f t="shared" si="216"/>
        <v>3257476.2419108585</v>
      </c>
      <c r="AI199" s="4">
        <f t="shared" si="216"/>
        <v>3248960.9448065762</v>
      </c>
      <c r="AJ199" s="4">
        <f t="shared" si="216"/>
        <v>3250834.9260617332</v>
      </c>
      <c r="AK199" s="4">
        <f t="shared" si="216"/>
        <v>3256200.565256048</v>
      </c>
      <c r="AL199" s="4">
        <f t="shared" si="216"/>
        <v>3261701.031130868</v>
      </c>
      <c r="AM199" s="4">
        <f t="shared" si="216"/>
        <v>3259665.9960831022</v>
      </c>
      <c r="AN199" s="4">
        <f t="shared" si="216"/>
        <v>3252002.2286892487</v>
      </c>
      <c r="AO199" s="4">
        <f t="shared" si="216"/>
        <v>3253434.4857914038</v>
      </c>
      <c r="AP199" s="4">
        <f t="shared" si="216"/>
        <v>3256777.6917509385</v>
      </c>
      <c r="AQ199" s="4">
        <f t="shared" si="216"/>
        <v>3259105.8119287463</v>
      </c>
      <c r="AR199" s="4"/>
      <c r="AS199" s="4">
        <f>SUM(P206:P208)</f>
        <v>29849439</v>
      </c>
      <c r="AT199" s="121" t="e">
        <f t="shared" si="219"/>
        <v>#DIV/0!</v>
      </c>
      <c r="AU199" s="197" t="s">
        <v>301</v>
      </c>
      <c r="AV199" s="194"/>
      <c r="AW199" s="194"/>
      <c r="AX199" s="194"/>
      <c r="AY199" s="195"/>
      <c r="AZ199" s="196"/>
      <c r="BA199" s="198"/>
      <c r="BB199" s="195"/>
      <c r="BC199" s="195">
        <v>119714448.18219173</v>
      </c>
      <c r="BD199" s="195">
        <f t="shared" ref="BD199:BD209" si="221">L199-BC199</f>
        <v>-91712958.18219173</v>
      </c>
      <c r="BE199" s="195">
        <v>135173970.91653845</v>
      </c>
      <c r="BF199" s="195">
        <f t="shared" ref="BF199:BF209" si="222">M199-BE199</f>
        <v>-96851005.916538447</v>
      </c>
      <c r="BG199" s="195">
        <v>128861333.89305</v>
      </c>
      <c r="BH199" s="194">
        <f>SUM(P197:P199)</f>
        <v>107080297</v>
      </c>
      <c r="BI199" s="3"/>
      <c r="BJ199" s="3">
        <v>26633514</v>
      </c>
      <c r="BK199" s="3">
        <f t="shared" si="217"/>
        <v>0</v>
      </c>
      <c r="BL199" s="3">
        <v>3856063.2642691503</v>
      </c>
      <c r="BM199" s="177">
        <f t="shared" si="218"/>
        <v>3578554.7357308497</v>
      </c>
      <c r="BN199" s="3"/>
      <c r="BR199" s="3"/>
      <c r="BS199" s="3"/>
      <c r="BT199" s="3"/>
      <c r="BU199" s="3"/>
      <c r="BY199" s="3"/>
      <c r="BZ199" s="3"/>
      <c r="CA199" s="3"/>
      <c r="CB199" s="3"/>
      <c r="CC199" s="4"/>
      <c r="CD199" s="3"/>
      <c r="CE199" s="3"/>
      <c r="CF199" s="3"/>
      <c r="CG199" s="3"/>
      <c r="CH199" s="3"/>
      <c r="CI199" s="3"/>
      <c r="CJ199" s="3"/>
      <c r="CK199" s="3"/>
      <c r="CL199" s="3"/>
      <c r="CM199" s="3"/>
      <c r="CN199" s="3"/>
      <c r="CO199" s="3"/>
      <c r="CP199" s="3"/>
      <c r="CQ199" s="3"/>
      <c r="CR199" s="3"/>
      <c r="CS199" s="3"/>
      <c r="CT199" s="3"/>
      <c r="CU199" s="3"/>
      <c r="CV199" s="3"/>
      <c r="CW199" s="3"/>
      <c r="CX199" s="3"/>
      <c r="DD199" s="3"/>
      <c r="DE199" s="3"/>
      <c r="DF199" s="3"/>
      <c r="DG199" s="3"/>
      <c r="DH199" s="3"/>
      <c r="DI199" s="3"/>
      <c r="DJ199" s="3"/>
      <c r="DK199" s="3"/>
      <c r="DL199" s="3"/>
    </row>
    <row r="200" spans="1:116">
      <c r="A200" s="2" t="s">
        <v>46</v>
      </c>
      <c r="B200" s="3">
        <f t="shared" si="216"/>
        <v>0</v>
      </c>
      <c r="C200" s="3">
        <f t="shared" si="216"/>
        <v>0</v>
      </c>
      <c r="D200" s="3">
        <f t="shared" si="216"/>
        <v>648881</v>
      </c>
      <c r="E200" s="3">
        <f t="shared" si="216"/>
        <v>8588729</v>
      </c>
      <c r="F200" s="3">
        <f t="shared" si="216"/>
        <v>22278930</v>
      </c>
      <c r="G200" s="3">
        <f t="shared" si="216"/>
        <v>10763699</v>
      </c>
      <c r="H200" s="3">
        <f t="shared" si="216"/>
        <v>18209561</v>
      </c>
      <c r="I200" s="3">
        <f t="shared" si="216"/>
        <v>17674969</v>
      </c>
      <c r="J200" s="3">
        <f t="shared" si="216"/>
        <v>18440208</v>
      </c>
      <c r="K200" s="3">
        <f t="shared" si="216"/>
        <v>24565160</v>
      </c>
      <c r="L200" s="3">
        <f t="shared" si="216"/>
        <v>26769651</v>
      </c>
      <c r="M200" s="3">
        <f t="shared" si="216"/>
        <v>36880618</v>
      </c>
      <c r="N200" s="3">
        <f t="shared" si="216"/>
        <v>38095913</v>
      </c>
      <c r="O200" s="3">
        <f t="shared" si="216"/>
        <v>36446221</v>
      </c>
      <c r="P200" s="3">
        <f t="shared" si="216"/>
        <v>27627664</v>
      </c>
      <c r="Q200" s="4">
        <f t="shared" si="216"/>
        <v>18783896.830137823</v>
      </c>
      <c r="R200" s="4">
        <f t="shared" si="216"/>
        <v>25636030.997711245</v>
      </c>
      <c r="S200" s="4">
        <f t="shared" si="216"/>
        <v>23651913.529208843</v>
      </c>
      <c r="T200" s="4">
        <f t="shared" si="216"/>
        <v>20835365.962812115</v>
      </c>
      <c r="U200" s="4">
        <f t="shared" si="216"/>
        <v>19176027.473370172</v>
      </c>
      <c r="V200" s="4">
        <f t="shared" si="216"/>
        <v>17370519.877485029</v>
      </c>
      <c r="W200" s="4">
        <f t="shared" si="216"/>
        <v>17455067.646641575</v>
      </c>
      <c r="X200" s="4">
        <f t="shared" si="216"/>
        <v>15449238.351296905</v>
      </c>
      <c r="Y200" s="4">
        <f t="shared" si="216"/>
        <v>14599473.761025619</v>
      </c>
      <c r="Z200" s="4">
        <f t="shared" si="216"/>
        <v>13879870.531896766</v>
      </c>
      <c r="AA200" s="4">
        <f t="shared" si="216"/>
        <v>13897794.735590452</v>
      </c>
      <c r="AB200" s="4">
        <f t="shared" si="216"/>
        <v>5790880.3866501004</v>
      </c>
      <c r="AC200" s="4">
        <f t="shared" si="216"/>
        <v>3862309.5878242264</v>
      </c>
      <c r="AD200" s="4">
        <f t="shared" si="216"/>
        <v>3841966.7792172688</v>
      </c>
      <c r="AE200" s="4">
        <f t="shared" si="216"/>
        <v>3855519.5921935472</v>
      </c>
      <c r="AF200" s="4">
        <f t="shared" si="216"/>
        <v>3860498.5376640153</v>
      </c>
      <c r="AG200" s="4">
        <f t="shared" si="216"/>
        <v>3860586.9244334013</v>
      </c>
      <c r="AH200" s="4">
        <f t="shared" si="216"/>
        <v>3855591.379785446</v>
      </c>
      <c r="AI200" s="4">
        <f t="shared" si="216"/>
        <v>3854098.4446657165</v>
      </c>
      <c r="AJ200" s="4">
        <f t="shared" si="216"/>
        <v>3857273.0860914784</v>
      </c>
      <c r="AK200" s="4">
        <f t="shared" si="216"/>
        <v>3857835.9359846418</v>
      </c>
      <c r="AL200" s="4">
        <f t="shared" si="216"/>
        <v>3856577.2515543932</v>
      </c>
      <c r="AM200" s="4">
        <f t="shared" si="216"/>
        <v>3856176.2842664924</v>
      </c>
      <c r="AN200" s="4">
        <f t="shared" si="216"/>
        <v>3854832.6426587361</v>
      </c>
      <c r="AO200" s="4">
        <f t="shared" si="216"/>
        <v>3857258.9757484249</v>
      </c>
      <c r="AP200" s="4">
        <f t="shared" si="216"/>
        <v>3857609.6745280121</v>
      </c>
      <c r="AQ200" s="4">
        <f t="shared" si="216"/>
        <v>3857078.1541921371</v>
      </c>
      <c r="AR200" s="4"/>
      <c r="AS200" s="94"/>
      <c r="AT200" s="121">
        <f t="shared" si="219"/>
        <v>1.5265449859209745</v>
      </c>
      <c r="AU200" s="197"/>
      <c r="AV200" s="194"/>
      <c r="AW200" s="194"/>
      <c r="AX200" s="194"/>
      <c r="AY200" s="195"/>
      <c r="AZ200" s="196"/>
      <c r="BA200" s="196"/>
      <c r="BB200" s="195"/>
      <c r="BC200" s="195">
        <v>152824951.74781588</v>
      </c>
      <c r="BD200" s="195">
        <f t="shared" si="221"/>
        <v>-126055300.74781588</v>
      </c>
      <c r="BE200" s="195">
        <v>129458434.08986306</v>
      </c>
      <c r="BF200" s="195">
        <f t="shared" si="222"/>
        <v>-92577816.089863062</v>
      </c>
      <c r="BG200" s="195">
        <v>138512422.75823951</v>
      </c>
      <c r="BH200" s="197">
        <f>SUM(O206:O208)/BH199-1</f>
        <v>0.32355741411512895</v>
      </c>
      <c r="BI200" s="3"/>
      <c r="BJ200" s="3">
        <v>27627664</v>
      </c>
      <c r="BK200" s="3">
        <f t="shared" si="217"/>
        <v>0</v>
      </c>
      <c r="BL200" s="3">
        <v>3756779.3660275624</v>
      </c>
      <c r="BM200" s="177">
        <f t="shared" si="218"/>
        <v>15027117.464110261</v>
      </c>
      <c r="BN200" s="3"/>
      <c r="BR200" s="3"/>
      <c r="BS200" s="3"/>
      <c r="BT200" s="3"/>
      <c r="BU200" s="3"/>
      <c r="BY200" s="3"/>
      <c r="BZ200" s="3"/>
      <c r="CA200" s="3"/>
      <c r="CB200" s="3"/>
      <c r="CC200" s="4"/>
      <c r="CD200" s="3"/>
      <c r="CE200" s="3"/>
      <c r="CF200" s="3"/>
      <c r="CG200" s="3"/>
      <c r="CH200" s="3"/>
      <c r="CI200" s="3"/>
      <c r="CJ200" s="3"/>
      <c r="CK200" s="3"/>
      <c r="CL200" s="3"/>
      <c r="CM200" s="3"/>
      <c r="CN200" s="3"/>
      <c r="CO200" s="3"/>
      <c r="CP200" s="3"/>
      <c r="CQ200" s="3"/>
      <c r="CR200" s="3"/>
      <c r="CS200" s="3"/>
      <c r="CT200" s="3"/>
      <c r="CU200" s="3"/>
      <c r="CV200" s="3"/>
      <c r="CW200" s="3"/>
      <c r="CX200" s="3"/>
      <c r="DD200" s="3"/>
      <c r="DE200" s="3"/>
      <c r="DF200" s="3"/>
      <c r="DG200" s="3"/>
      <c r="DH200" s="3"/>
      <c r="DI200" s="3"/>
      <c r="DJ200" s="3"/>
      <c r="DK200" s="3"/>
      <c r="DL200" s="3"/>
    </row>
    <row r="201" spans="1:116">
      <c r="A201" s="2" t="s">
        <v>47</v>
      </c>
      <c r="B201" s="3">
        <f t="shared" si="216"/>
        <v>0</v>
      </c>
      <c r="C201" s="3">
        <f t="shared" si="216"/>
        <v>0</v>
      </c>
      <c r="D201" s="3">
        <f t="shared" si="216"/>
        <v>3437634</v>
      </c>
      <c r="E201" s="3">
        <f t="shared" si="216"/>
        <v>10289247</v>
      </c>
      <c r="F201" s="3">
        <f t="shared" si="216"/>
        <v>19246073</v>
      </c>
      <c r="G201" s="3">
        <f t="shared" si="216"/>
        <v>18662279</v>
      </c>
      <c r="H201" s="3">
        <f t="shared" si="216"/>
        <v>15120606</v>
      </c>
      <c r="I201" s="3">
        <f t="shared" si="216"/>
        <v>20849205</v>
      </c>
      <c r="J201" s="3">
        <f t="shared" si="216"/>
        <v>24130252</v>
      </c>
      <c r="K201" s="3">
        <f t="shared" si="216"/>
        <v>29546118</v>
      </c>
      <c r="L201" s="3">
        <f t="shared" si="216"/>
        <v>32437067</v>
      </c>
      <c r="M201" s="3">
        <f t="shared" si="216"/>
        <v>30652398</v>
      </c>
      <c r="N201" s="3">
        <f t="shared" si="216"/>
        <v>40896458</v>
      </c>
      <c r="O201" s="3">
        <f t="shared" si="216"/>
        <v>42199340</v>
      </c>
      <c r="P201" s="3">
        <f t="shared" si="216"/>
        <v>29680714</v>
      </c>
      <c r="Q201" s="4">
        <f t="shared" si="216"/>
        <v>20510382.244069804</v>
      </c>
      <c r="R201" s="4">
        <f t="shared" si="216"/>
        <v>27054449.148971412</v>
      </c>
      <c r="S201" s="4">
        <f t="shared" si="216"/>
        <v>25954708.324242711</v>
      </c>
      <c r="T201" s="4">
        <f t="shared" si="216"/>
        <v>23374585.168831293</v>
      </c>
      <c r="U201" s="4">
        <f t="shared" si="216"/>
        <v>20828122.607654978</v>
      </c>
      <c r="V201" s="4">
        <f t="shared" si="216"/>
        <v>18919646.918641642</v>
      </c>
      <c r="W201" s="4">
        <f t="shared" si="216"/>
        <v>19003338.354819603</v>
      </c>
      <c r="X201" s="4">
        <f t="shared" si="216"/>
        <v>16953788.45085337</v>
      </c>
      <c r="Y201" s="4">
        <f t="shared" si="216"/>
        <v>16021362.96608695</v>
      </c>
      <c r="Z201" s="4">
        <f t="shared" si="216"/>
        <v>15147455.663899247</v>
      </c>
      <c r="AA201" s="4">
        <f t="shared" si="216"/>
        <v>15184516.297817789</v>
      </c>
      <c r="AB201" s="4">
        <f t="shared" si="216"/>
        <v>6331573.9794982271</v>
      </c>
      <c r="AC201" s="4">
        <f t="shared" si="216"/>
        <v>4238447.1127133425</v>
      </c>
      <c r="AD201" s="4">
        <f t="shared" si="216"/>
        <v>4216148.148970251</v>
      </c>
      <c r="AE201" s="4">
        <f t="shared" si="216"/>
        <v>4207626.573305347</v>
      </c>
      <c r="AF201" s="4">
        <f t="shared" si="216"/>
        <v>4217921.193838276</v>
      </c>
      <c r="AG201" s="4">
        <f t="shared" si="216"/>
        <v>4221049.319665486</v>
      </c>
      <c r="AH201" s="4">
        <f t="shared" si="216"/>
        <v>4220527.1126154903</v>
      </c>
      <c r="AI201" s="4">
        <f t="shared" si="216"/>
        <v>4216544.8903715238</v>
      </c>
      <c r="AJ201" s="4">
        <f t="shared" si="216"/>
        <v>4216648.7105512964</v>
      </c>
      <c r="AK201" s="4">
        <f t="shared" si="216"/>
        <v>4219544.7052228348</v>
      </c>
      <c r="AL201" s="4">
        <f t="shared" si="216"/>
        <v>4220312.1833318993</v>
      </c>
      <c r="AM201" s="4">
        <f t="shared" si="216"/>
        <v>4220238.4696985409</v>
      </c>
      <c r="AN201" s="4">
        <f t="shared" si="216"/>
        <v>4216654.4696789701</v>
      </c>
      <c r="AO201" s="4">
        <f t="shared" si="216"/>
        <v>4216733.8179592248</v>
      </c>
      <c r="AP201" s="4">
        <f t="shared" si="216"/>
        <v>4218538.2454084139</v>
      </c>
      <c r="AQ201" s="4">
        <f t="shared" si="216"/>
        <v>4218863.9476853264</v>
      </c>
      <c r="AR201" s="4"/>
      <c r="AS201" s="94">
        <f>AS197/AS198-1</f>
        <v>-0.93056969201346162</v>
      </c>
      <c r="AT201" s="121">
        <f t="shared" si="219"/>
        <v>9.1913058804812042E-2</v>
      </c>
      <c r="AU201" s="197"/>
      <c r="AV201" s="194"/>
      <c r="AW201" s="194"/>
      <c r="AX201" s="194"/>
      <c r="AY201" s="195"/>
      <c r="AZ201" s="196"/>
      <c r="BA201" s="195">
        <v>178072540.96348354</v>
      </c>
      <c r="BB201" s="195">
        <f t="shared" ref="BB201:BB209" si="223">K201-BA201</f>
        <v>-148526422.96348354</v>
      </c>
      <c r="BC201" s="195">
        <v>157209465.91249242</v>
      </c>
      <c r="BD201" s="195">
        <f t="shared" si="221"/>
        <v>-124772398.91249242</v>
      </c>
      <c r="BE201" s="195">
        <v>142690356.2444244</v>
      </c>
      <c r="BF201" s="195">
        <f t="shared" si="222"/>
        <v>-112037958.2444244</v>
      </c>
      <c r="BG201" s="195">
        <v>143839399.92900729</v>
      </c>
      <c r="BH201" s="195"/>
      <c r="BI201" s="3"/>
      <c r="BJ201" s="3">
        <v>29680714</v>
      </c>
      <c r="BK201" s="3">
        <f t="shared" si="217"/>
        <v>0</v>
      </c>
      <c r="BL201" s="3">
        <v>4102076.4488139586</v>
      </c>
      <c r="BM201" s="177">
        <f t="shared" si="218"/>
        <v>16408305.795255845</v>
      </c>
      <c r="BN201" s="3"/>
      <c r="BR201" s="3"/>
      <c r="BS201" s="3"/>
      <c r="BT201" s="3"/>
      <c r="BU201" s="3"/>
      <c r="BY201" s="3"/>
      <c r="BZ201" s="3"/>
      <c r="CA201" s="3"/>
      <c r="CB201" s="3"/>
      <c r="CC201" s="4"/>
      <c r="CD201" s="3"/>
      <c r="CE201" s="3"/>
      <c r="CF201" s="3"/>
      <c r="CG201" s="3"/>
      <c r="CH201" s="3"/>
      <c r="CI201" s="3"/>
      <c r="CJ201" s="3"/>
      <c r="CK201" s="3"/>
      <c r="CL201" s="3"/>
      <c r="CM201" s="3"/>
      <c r="CN201" s="3"/>
      <c r="CO201" s="3"/>
      <c r="CP201" s="3"/>
      <c r="CQ201" s="3"/>
      <c r="CR201" s="3"/>
      <c r="CS201" s="3"/>
      <c r="CT201" s="3"/>
      <c r="CU201" s="3"/>
      <c r="CV201" s="3"/>
      <c r="CW201" s="3"/>
      <c r="CX201" s="3"/>
      <c r="DD201" s="3"/>
      <c r="DE201" s="3"/>
      <c r="DF201" s="3"/>
      <c r="DG201" s="3"/>
      <c r="DH201" s="3"/>
      <c r="DI201" s="3"/>
      <c r="DJ201" s="3"/>
      <c r="DK201" s="3"/>
      <c r="DL201" s="3"/>
    </row>
    <row r="202" spans="1:116">
      <c r="A202" s="2" t="s">
        <v>48</v>
      </c>
      <c r="B202" s="3">
        <f t="shared" si="216"/>
        <v>0</v>
      </c>
      <c r="C202" s="3">
        <f t="shared" si="216"/>
        <v>0</v>
      </c>
      <c r="D202" s="3">
        <f t="shared" si="216"/>
        <v>2690200</v>
      </c>
      <c r="E202" s="3">
        <f t="shared" si="216"/>
        <v>12342494</v>
      </c>
      <c r="F202" s="3">
        <f t="shared" si="216"/>
        <v>20264838</v>
      </c>
      <c r="G202" s="3">
        <f t="shared" si="216"/>
        <v>15264048</v>
      </c>
      <c r="H202" s="3">
        <f t="shared" si="216"/>
        <v>21367049</v>
      </c>
      <c r="I202" s="3">
        <f t="shared" si="216"/>
        <v>16598675</v>
      </c>
      <c r="J202" s="3">
        <f t="shared" si="216"/>
        <v>23114771</v>
      </c>
      <c r="K202" s="3">
        <f t="shared" si="216"/>
        <v>28703132</v>
      </c>
      <c r="L202" s="3">
        <f t="shared" si="216"/>
        <v>17009086</v>
      </c>
      <c r="M202" s="3">
        <f t="shared" si="216"/>
        <v>35547106</v>
      </c>
      <c r="N202" s="3">
        <f t="shared" si="216"/>
        <v>32117632</v>
      </c>
      <c r="O202" s="3">
        <f t="shared" si="216"/>
        <v>36166734</v>
      </c>
      <c r="P202" s="3">
        <f t="shared" si="216"/>
        <v>56471169</v>
      </c>
      <c r="Q202" s="4">
        <f t="shared" si="216"/>
        <v>20293640.747774504</v>
      </c>
      <c r="R202" s="4">
        <f t="shared" si="216"/>
        <v>29292945.59642696</v>
      </c>
      <c r="S202" s="4">
        <f t="shared" si="216"/>
        <v>27714957.653552011</v>
      </c>
      <c r="T202" s="4">
        <f t="shared" si="216"/>
        <v>26536959.200748578</v>
      </c>
      <c r="U202" s="4">
        <f t="shared" si="216"/>
        <v>26379251.493636698</v>
      </c>
      <c r="V202" s="4">
        <f t="shared" si="216"/>
        <v>20927853.432665158</v>
      </c>
      <c r="W202" s="4">
        <f t="shared" si="216"/>
        <v>21412140.116241176</v>
      </c>
      <c r="X202" s="4">
        <f t="shared" si="216"/>
        <v>19289594.023034297</v>
      </c>
      <c r="Y202" s="4">
        <f t="shared" si="216"/>
        <v>18522299.294129293</v>
      </c>
      <c r="Z202" s="4">
        <f t="shared" si="216"/>
        <v>17592298.077749718</v>
      </c>
      <c r="AA202" s="4">
        <f t="shared" si="216"/>
        <v>17248973.813615233</v>
      </c>
      <c r="AB202" s="4">
        <f t="shared" si="216"/>
        <v>7235792.7172899777</v>
      </c>
      <c r="AC202" s="4">
        <f t="shared" si="216"/>
        <v>4822398.5057585742</v>
      </c>
      <c r="AD202" s="4">
        <f t="shared" si="216"/>
        <v>4874289.2879287619</v>
      </c>
      <c r="AE202" s="4">
        <f t="shared" si="216"/>
        <v>4886749.4660415892</v>
      </c>
      <c r="AF202" s="4">
        <f t="shared" si="216"/>
        <v>4791381.6148931207</v>
      </c>
      <c r="AG202" s="4">
        <f t="shared" si="216"/>
        <v>4823861.8115266534</v>
      </c>
      <c r="AH202" s="4">
        <f t="shared" si="216"/>
        <v>4841755.0258071842</v>
      </c>
      <c r="AI202" s="4">
        <f t="shared" si="216"/>
        <v>4846056.4747068742</v>
      </c>
      <c r="AJ202" s="4">
        <f t="shared" si="216"/>
        <v>4838668.4488170343</v>
      </c>
      <c r="AK202" s="4">
        <f t="shared" si="216"/>
        <v>4823235.0358807584</v>
      </c>
      <c r="AL202" s="4">
        <f t="shared" si="216"/>
        <v>4838293.016711277</v>
      </c>
      <c r="AM202" s="4">
        <f t="shared" si="216"/>
        <v>4839736.1372297406</v>
      </c>
      <c r="AN202" s="4">
        <f t="shared" si="216"/>
        <v>4843607.4412394613</v>
      </c>
      <c r="AO202" s="4">
        <f t="shared" si="216"/>
        <v>4837960.878595084</v>
      </c>
      <c r="AP202" s="4">
        <f t="shared" si="216"/>
        <v>4828344.6751501728</v>
      </c>
      <c r="AQ202" s="4">
        <f t="shared" si="216"/>
        <v>4834716.3593477011</v>
      </c>
      <c r="AR202" s="4"/>
      <c r="AS202" s="94">
        <f>AS197/AS199-1</f>
        <v>-0.75092938932621145</v>
      </c>
      <c r="AT202" s="121">
        <f t="shared" si="219"/>
        <v>-1.056740404523504E-2</v>
      </c>
      <c r="AU202" s="197"/>
      <c r="AV202" s="194"/>
      <c r="AW202" s="194"/>
      <c r="AX202" s="194"/>
      <c r="AY202" s="195"/>
      <c r="AZ202" s="196"/>
      <c r="BA202" s="195">
        <v>167055104.50212622</v>
      </c>
      <c r="BB202" s="195">
        <f t="shared" si="223"/>
        <v>-138351972.50212622</v>
      </c>
      <c r="BC202" s="195">
        <v>140041174.55798692</v>
      </c>
      <c r="BD202" s="195">
        <f t="shared" si="221"/>
        <v>-123032088.55798692</v>
      </c>
      <c r="BE202" s="195">
        <v>155020352.91339663</v>
      </c>
      <c r="BF202" s="195">
        <f t="shared" si="222"/>
        <v>-119473246.91339663</v>
      </c>
      <c r="BG202" s="195">
        <v>148189433.6392737</v>
      </c>
      <c r="BH202" s="194">
        <f>SUM(P200:P202)</f>
        <v>113779547</v>
      </c>
      <c r="BI202" s="3"/>
      <c r="BJ202" s="3">
        <v>56471169</v>
      </c>
      <c r="BK202" s="3">
        <f t="shared" si="217"/>
        <v>0</v>
      </c>
      <c r="BL202" s="3">
        <v>4058728.149554899</v>
      </c>
      <c r="BM202" s="177">
        <f t="shared" si="218"/>
        <v>16234912.598219605</v>
      </c>
      <c r="BN202" s="3"/>
      <c r="BR202" s="3"/>
      <c r="BS202" s="3"/>
      <c r="BT202" s="3"/>
      <c r="BU202" s="3"/>
      <c r="BY202" s="3"/>
      <c r="BZ202" s="3"/>
      <c r="CA202" s="3"/>
      <c r="CB202" s="3"/>
      <c r="CC202" s="4"/>
      <c r="CD202" s="3"/>
      <c r="CE202" s="3"/>
      <c r="CF202" s="3"/>
      <c r="CG202" s="3"/>
      <c r="CH202" s="3"/>
      <c r="CI202" s="3"/>
      <c r="CJ202" s="3"/>
      <c r="CK202" s="3"/>
      <c r="CL202" s="3"/>
      <c r="CM202" s="3"/>
      <c r="CN202" s="3"/>
      <c r="CO202" s="3"/>
      <c r="CP202" s="3"/>
      <c r="CQ202" s="3"/>
      <c r="CR202" s="3"/>
      <c r="CS202" s="3"/>
      <c r="CT202" s="3"/>
      <c r="CU202" s="3"/>
      <c r="CV202" s="3"/>
      <c r="CW202" s="3"/>
      <c r="CX202" s="3"/>
      <c r="DD202" s="3"/>
      <c r="DE202" s="3"/>
      <c r="DF202" s="3"/>
      <c r="DG202" s="3"/>
      <c r="DH202" s="3"/>
      <c r="DI202" s="3"/>
      <c r="DJ202" s="3"/>
      <c r="DK202" s="3"/>
      <c r="DL202" s="4"/>
    </row>
    <row r="203" spans="1:116">
      <c r="A203" s="2" t="s">
        <v>49</v>
      </c>
      <c r="B203" s="3">
        <f t="shared" si="216"/>
        <v>0</v>
      </c>
      <c r="C203" s="3">
        <f t="shared" si="216"/>
        <v>0</v>
      </c>
      <c r="D203" s="3">
        <f t="shared" si="216"/>
        <v>3085274</v>
      </c>
      <c r="E203" s="3">
        <f t="shared" si="216"/>
        <v>16522932</v>
      </c>
      <c r="F203" s="3">
        <f t="shared" si="216"/>
        <v>25215033</v>
      </c>
      <c r="G203" s="3">
        <f t="shared" si="216"/>
        <v>11498106</v>
      </c>
      <c r="H203" s="3">
        <f t="shared" si="216"/>
        <v>20123725</v>
      </c>
      <c r="I203" s="3">
        <f t="shared" si="216"/>
        <v>18588383</v>
      </c>
      <c r="J203" s="3">
        <f t="shared" ref="J203:AQ208" si="224">J219+J235+J251</f>
        <v>20010805</v>
      </c>
      <c r="K203" s="3">
        <f t="shared" si="224"/>
        <v>28383489</v>
      </c>
      <c r="L203" s="3">
        <f t="shared" si="224"/>
        <v>21436366</v>
      </c>
      <c r="M203" s="3">
        <f t="shared" si="224"/>
        <v>2624839</v>
      </c>
      <c r="N203" s="3">
        <f t="shared" si="224"/>
        <v>13887702</v>
      </c>
      <c r="O203" s="3">
        <f t="shared" si="224"/>
        <v>43951303</v>
      </c>
      <c r="P203" s="3">
        <f t="shared" si="224"/>
        <v>22045675</v>
      </c>
      <c r="Q203" s="4">
        <f t="shared" si="224"/>
        <v>14613410.606759492</v>
      </c>
      <c r="R203" s="4">
        <f t="shared" si="224"/>
        <v>15307116.154142732</v>
      </c>
      <c r="S203" s="4">
        <f t="shared" si="224"/>
        <v>17284380.951269526</v>
      </c>
      <c r="T203" s="4">
        <f t="shared" si="224"/>
        <v>17840507.414250024</v>
      </c>
      <c r="U203" s="4">
        <f t="shared" si="224"/>
        <v>14330999.108120734</v>
      </c>
      <c r="V203" s="4">
        <f t="shared" si="224"/>
        <v>12756923.716265758</v>
      </c>
      <c r="W203" s="4">
        <f t="shared" si="224"/>
        <v>12685079.019935252</v>
      </c>
      <c r="X203" s="4">
        <f t="shared" si="224"/>
        <v>11748688.660367265</v>
      </c>
      <c r="Y203" s="4">
        <f t="shared" si="224"/>
        <v>11216014.982636947</v>
      </c>
      <c r="Z203" s="4">
        <f t="shared" si="224"/>
        <v>10360355.034604285</v>
      </c>
      <c r="AA203" s="4">
        <f t="shared" si="224"/>
        <v>10370657.896554619</v>
      </c>
      <c r="AB203" s="4">
        <f t="shared" si="224"/>
        <v>4336984.276469104</v>
      </c>
      <c r="AC203" s="4">
        <f t="shared" si="224"/>
        <v>2937172.1650918163</v>
      </c>
      <c r="AD203" s="4">
        <f t="shared" si="224"/>
        <v>2951582.8901676182</v>
      </c>
      <c r="AE203" s="4">
        <f t="shared" si="224"/>
        <v>2877876.3985011908</v>
      </c>
      <c r="AF203" s="4">
        <f t="shared" si="224"/>
        <v>2880738.3045985061</v>
      </c>
      <c r="AG203" s="4">
        <f t="shared" si="224"/>
        <v>2891322.8509794036</v>
      </c>
      <c r="AH203" s="4">
        <f t="shared" si="224"/>
        <v>2911072.7788261957</v>
      </c>
      <c r="AI203" s="4">
        <f t="shared" si="224"/>
        <v>2905272.9152116128</v>
      </c>
      <c r="AJ203" s="4">
        <f t="shared" si="224"/>
        <v>2893154.4170922847</v>
      </c>
      <c r="AK203" s="4">
        <f t="shared" si="224"/>
        <v>2898058.4724425129</v>
      </c>
      <c r="AL203" s="4">
        <f t="shared" si="224"/>
        <v>2906246.1881505889</v>
      </c>
      <c r="AM203" s="4">
        <f t="shared" si="224"/>
        <v>2907738.5218677074</v>
      </c>
      <c r="AN203" s="4">
        <f t="shared" si="224"/>
        <v>2902518.6446145838</v>
      </c>
      <c r="AO203" s="4">
        <f t="shared" si="224"/>
        <v>2893256.6496233819</v>
      </c>
      <c r="AP203" s="4">
        <f t="shared" si="224"/>
        <v>2896312.2533416003</v>
      </c>
      <c r="AQ203" s="4">
        <f t="shared" si="224"/>
        <v>2899777.2869104021</v>
      </c>
      <c r="AR203" s="4"/>
      <c r="AS203" s="94"/>
      <c r="AT203" s="121">
        <f t="shared" si="219"/>
        <v>-0.27990197577721154</v>
      </c>
      <c r="AU203" s="197"/>
      <c r="AV203" s="194"/>
      <c r="AW203" s="194"/>
      <c r="AX203" s="194"/>
      <c r="AY203" s="195"/>
      <c r="AZ203" s="196"/>
      <c r="BA203" s="195">
        <v>143619523.04200637</v>
      </c>
      <c r="BB203" s="195">
        <f t="shared" si="223"/>
        <v>-115236034.04200637</v>
      </c>
      <c r="BC203" s="195">
        <v>165126501.15137365</v>
      </c>
      <c r="BD203" s="195">
        <f t="shared" si="221"/>
        <v>-143690135.15137365</v>
      </c>
      <c r="BE203" s="195">
        <v>161089374.57035646</v>
      </c>
      <c r="BF203" s="195">
        <f t="shared" si="222"/>
        <v>-158464535.57035646</v>
      </c>
      <c r="BG203" s="195">
        <v>144098244.42470986</v>
      </c>
      <c r="BH203" s="197">
        <f>(BH202/BH199)-1</f>
        <v>6.2562863455636553E-2</v>
      </c>
      <c r="BI203" s="3"/>
      <c r="BJ203" s="4">
        <v>22045675</v>
      </c>
      <c r="BK203" s="3">
        <f t="shared" si="217"/>
        <v>0</v>
      </c>
      <c r="BL203" s="3">
        <v>5322682.1213518977</v>
      </c>
      <c r="BM203" s="177">
        <f t="shared" si="218"/>
        <v>9290728.4854075946</v>
      </c>
      <c r="BN203" s="3"/>
      <c r="BR203" s="3"/>
      <c r="BS203" s="3"/>
      <c r="BT203" s="3"/>
      <c r="BU203" s="3"/>
      <c r="BY203" s="3"/>
      <c r="BZ203" s="3"/>
      <c r="CA203" s="3"/>
      <c r="CB203" s="3"/>
      <c r="CC203" s="4"/>
      <c r="CD203" s="3"/>
      <c r="CE203" s="3"/>
      <c r="CF203" s="3"/>
      <c r="CG203" s="3"/>
      <c r="CH203" s="3"/>
      <c r="CI203" s="3"/>
      <c r="CJ203" s="3"/>
      <c r="CK203" s="3"/>
      <c r="CL203" s="3"/>
      <c r="CM203" s="3"/>
      <c r="CN203" s="3"/>
      <c r="CO203" s="3"/>
      <c r="CP203" s="3"/>
      <c r="CQ203" s="3"/>
      <c r="CR203" s="3"/>
      <c r="CS203" s="3"/>
      <c r="CT203" s="3"/>
      <c r="CU203" s="3"/>
      <c r="CV203" s="3"/>
      <c r="CW203" s="3"/>
      <c r="CX203" s="3"/>
      <c r="DD203" s="3"/>
      <c r="DE203" s="3"/>
      <c r="DF203" s="3"/>
      <c r="DG203" s="3"/>
      <c r="DH203" s="3"/>
      <c r="DI203" s="3"/>
      <c r="DJ203" s="3"/>
      <c r="DK203" s="3"/>
      <c r="DL203" s="4"/>
    </row>
    <row r="204" spans="1:116">
      <c r="A204" s="2" t="s">
        <v>50</v>
      </c>
      <c r="B204" s="3">
        <f t="shared" ref="B204:J208" si="225">B220+B236+B252</f>
        <v>0</v>
      </c>
      <c r="C204" s="3">
        <f t="shared" si="225"/>
        <v>0</v>
      </c>
      <c r="D204" s="3">
        <f t="shared" si="225"/>
        <v>1030821</v>
      </c>
      <c r="E204" s="3">
        <f t="shared" si="225"/>
        <v>22376937</v>
      </c>
      <c r="F204" s="3">
        <f t="shared" si="225"/>
        <v>8424713</v>
      </c>
      <c r="G204" s="3">
        <f t="shared" si="225"/>
        <v>14788260</v>
      </c>
      <c r="H204" s="3">
        <f t="shared" si="225"/>
        <v>15511792</v>
      </c>
      <c r="I204" s="3">
        <f t="shared" si="225"/>
        <v>14587142</v>
      </c>
      <c r="J204" s="3">
        <f t="shared" si="224"/>
        <v>21371118</v>
      </c>
      <c r="K204" s="3">
        <f t="shared" si="224"/>
        <v>25211923</v>
      </c>
      <c r="L204" s="3">
        <f t="shared" si="224"/>
        <v>23531204</v>
      </c>
      <c r="M204" s="3">
        <f t="shared" si="224"/>
        <v>26736891</v>
      </c>
      <c r="N204" s="3">
        <f t="shared" si="224"/>
        <v>14784167</v>
      </c>
      <c r="O204" s="3">
        <f t="shared" si="224"/>
        <v>11913351</v>
      </c>
      <c r="P204" s="3">
        <f t="shared" si="224"/>
        <v>22976837</v>
      </c>
      <c r="Q204" s="4">
        <f t="shared" si="224"/>
        <v>13889072.991061935</v>
      </c>
      <c r="R204" s="4">
        <f t="shared" si="224"/>
        <v>13809419.090967605</v>
      </c>
      <c r="S204" s="4">
        <f t="shared" si="224"/>
        <v>11673993.698898958</v>
      </c>
      <c r="T204" s="4">
        <f t="shared" si="224"/>
        <v>11468099.439572299</v>
      </c>
      <c r="U204" s="4">
        <f t="shared" si="224"/>
        <v>12146792.633668374</v>
      </c>
      <c r="V204" s="4">
        <f t="shared" si="224"/>
        <v>10122971.440848617</v>
      </c>
      <c r="W204" s="4">
        <f t="shared" si="224"/>
        <v>9690754.3042836841</v>
      </c>
      <c r="X204" s="4">
        <f t="shared" si="224"/>
        <v>8643546.90467011</v>
      </c>
      <c r="Y204" s="4">
        <f t="shared" si="224"/>
        <v>8420179.8275559042</v>
      </c>
      <c r="Z204" s="4">
        <f t="shared" si="224"/>
        <v>8095746.8990686275</v>
      </c>
      <c r="AA204" s="4">
        <f t="shared" si="224"/>
        <v>7936446.948781224</v>
      </c>
      <c r="AB204" s="4">
        <f t="shared" si="224"/>
        <v>3291282.6834122729</v>
      </c>
      <c r="AC204" s="4">
        <f t="shared" si="224"/>
        <v>2160886.7261675275</v>
      </c>
      <c r="AD204" s="4">
        <f t="shared" si="224"/>
        <v>2215836.7967252382</v>
      </c>
      <c r="AE204" s="4">
        <f t="shared" si="224"/>
        <v>2248818.5830746191</v>
      </c>
      <c r="AF204" s="4">
        <f t="shared" si="224"/>
        <v>2204568.5968836737</v>
      </c>
      <c r="AG204" s="4">
        <f t="shared" si="224"/>
        <v>2194188.4556081826</v>
      </c>
      <c r="AH204" s="4">
        <f t="shared" si="224"/>
        <v>2205285.0462720091</v>
      </c>
      <c r="AI204" s="4">
        <f t="shared" si="224"/>
        <v>2215151.33962856</v>
      </c>
      <c r="AJ204" s="4">
        <f t="shared" si="224"/>
        <v>2214971.9676780277</v>
      </c>
      <c r="AK204" s="4">
        <f t="shared" si="224"/>
        <v>2204107.6219951711</v>
      </c>
      <c r="AL204" s="4">
        <f t="shared" si="224"/>
        <v>2203889.7065933333</v>
      </c>
      <c r="AM204" s="4">
        <f t="shared" si="224"/>
        <v>2204859.8316918486</v>
      </c>
      <c r="AN204" s="4">
        <f t="shared" si="224"/>
        <v>2213739.4957127445</v>
      </c>
      <c r="AO204" s="4">
        <f t="shared" si="224"/>
        <v>2213602.4042934091</v>
      </c>
      <c r="AP204" s="4">
        <f t="shared" si="224"/>
        <v>2206833.0812140908</v>
      </c>
      <c r="AQ204" s="4">
        <f t="shared" si="224"/>
        <v>2206741.8862363901</v>
      </c>
      <c r="AR204" s="4"/>
      <c r="AS204" s="94"/>
      <c r="AT204" s="121">
        <f t="shared" si="219"/>
        <v>-4.956663678241624E-2</v>
      </c>
      <c r="AU204" s="197"/>
      <c r="AV204" s="194"/>
      <c r="AW204" s="194"/>
      <c r="AX204" s="194"/>
      <c r="AY204" s="195"/>
      <c r="AZ204" s="196"/>
      <c r="BA204" s="195">
        <v>179278729.11455953</v>
      </c>
      <c r="BB204" s="195">
        <f t="shared" si="223"/>
        <v>-154066806.11455953</v>
      </c>
      <c r="BC204" s="195">
        <v>168020270.68833292</v>
      </c>
      <c r="BD204" s="195">
        <f t="shared" si="221"/>
        <v>-144489066.68833292</v>
      </c>
      <c r="BE204" s="195">
        <v>155942954.667191</v>
      </c>
      <c r="BF204" s="195">
        <f t="shared" si="222"/>
        <v>-129206063.667191</v>
      </c>
      <c r="BG204" s="195">
        <v>141572065.80553842</v>
      </c>
      <c r="BH204" s="195"/>
      <c r="BI204" s="3"/>
      <c r="BJ204" s="4">
        <v>26997454.087822702</v>
      </c>
      <c r="BK204" s="3">
        <f t="shared" si="217"/>
        <v>-4020617.0878227018</v>
      </c>
      <c r="BL204" s="3">
        <v>5177814.5982123856</v>
      </c>
      <c r="BM204" s="177">
        <f t="shared" si="218"/>
        <v>8711258.3928495497</v>
      </c>
      <c r="BN204" s="3"/>
      <c r="BR204" s="3"/>
      <c r="BS204" s="3"/>
      <c r="BT204" s="3"/>
      <c r="BU204" s="3"/>
      <c r="BY204" s="3"/>
      <c r="BZ204" s="3"/>
      <c r="CA204" s="3"/>
      <c r="CB204" s="3"/>
      <c r="CC204" s="4"/>
      <c r="CD204" s="3"/>
      <c r="CE204" s="3"/>
      <c r="CF204" s="3"/>
      <c r="CG204" s="3"/>
      <c r="CH204" s="3"/>
      <c r="CI204" s="3"/>
      <c r="CJ204" s="3"/>
      <c r="CK204" s="3"/>
      <c r="CL204" s="3"/>
      <c r="CM204" s="3"/>
      <c r="CN204" s="3"/>
      <c r="CO204" s="3"/>
      <c r="CP204" s="3"/>
      <c r="CQ204" s="3"/>
      <c r="CR204" s="3"/>
      <c r="CS204" s="3"/>
      <c r="CT204" s="3"/>
      <c r="CU204" s="3"/>
      <c r="CV204" s="3"/>
      <c r="CW204" s="3"/>
      <c r="CX204" s="3"/>
      <c r="DD204" s="3"/>
      <c r="DE204" s="3"/>
      <c r="DF204" s="3"/>
      <c r="DG204" s="3"/>
      <c r="DH204" s="3"/>
      <c r="DI204" s="3"/>
      <c r="DJ204" s="3"/>
      <c r="DK204" s="3"/>
      <c r="DL204" s="4"/>
    </row>
    <row r="205" spans="1:116">
      <c r="A205" s="2" t="s">
        <v>51</v>
      </c>
      <c r="B205" s="3">
        <f t="shared" si="225"/>
        <v>0</v>
      </c>
      <c r="C205" s="3">
        <f t="shared" si="225"/>
        <v>0</v>
      </c>
      <c r="D205" s="3">
        <f t="shared" si="225"/>
        <v>8813936</v>
      </c>
      <c r="E205" s="3">
        <f t="shared" si="225"/>
        <v>19093804</v>
      </c>
      <c r="F205" s="3">
        <f t="shared" si="225"/>
        <v>0</v>
      </c>
      <c r="G205" s="3">
        <f t="shared" si="225"/>
        <v>8527417</v>
      </c>
      <c r="H205" s="3">
        <f t="shared" si="225"/>
        <v>19321824</v>
      </c>
      <c r="I205" s="3">
        <f t="shared" si="225"/>
        <v>16856877</v>
      </c>
      <c r="J205" s="3">
        <f t="shared" si="224"/>
        <v>16534807</v>
      </c>
      <c r="K205" s="3">
        <f t="shared" si="224"/>
        <v>23093500</v>
      </c>
      <c r="L205" s="3">
        <f t="shared" si="224"/>
        <v>52471547</v>
      </c>
      <c r="M205" s="3">
        <f t="shared" si="224"/>
        <v>42753850</v>
      </c>
      <c r="N205" s="3">
        <f t="shared" si="224"/>
        <v>34372983</v>
      </c>
      <c r="O205" s="3">
        <f t="shared" si="224"/>
        <v>7807521</v>
      </c>
      <c r="P205" s="3">
        <f t="shared" si="224"/>
        <v>18250310</v>
      </c>
      <c r="Q205" s="4">
        <f t="shared" si="224"/>
        <v>18042274.536135055</v>
      </c>
      <c r="R205" s="4">
        <f t="shared" si="224"/>
        <v>19793062.848750956</v>
      </c>
      <c r="S205" s="4">
        <f t="shared" si="224"/>
        <v>16022774.236714164</v>
      </c>
      <c r="T205" s="4">
        <f t="shared" si="224"/>
        <v>12737771.041761836</v>
      </c>
      <c r="U205" s="4">
        <f t="shared" si="224"/>
        <v>13961597.100472977</v>
      </c>
      <c r="V205" s="4">
        <f t="shared" si="224"/>
        <v>12946737.819187766</v>
      </c>
      <c r="W205" s="4">
        <f t="shared" si="224"/>
        <v>12348317.953127079</v>
      </c>
      <c r="X205" s="4">
        <f t="shared" si="224"/>
        <v>10669364.415884525</v>
      </c>
      <c r="Y205" s="4">
        <f t="shared" si="224"/>
        <v>10132867.900240419</v>
      </c>
      <c r="Z205" s="4">
        <f t="shared" si="224"/>
        <v>9917981.0403709169</v>
      </c>
      <c r="AA205" s="4">
        <f t="shared" si="224"/>
        <v>9885047.4933195375</v>
      </c>
      <c r="AB205" s="4">
        <f t="shared" si="224"/>
        <v>4073352.21561096</v>
      </c>
      <c r="AC205" s="4">
        <f t="shared" si="224"/>
        <v>2667341.1039711311</v>
      </c>
      <c r="AD205" s="4">
        <f t="shared" si="224"/>
        <v>2666544.1842737952</v>
      </c>
      <c r="AE205" s="4">
        <f t="shared" si="224"/>
        <v>2754994.7334363661</v>
      </c>
      <c r="AF205" s="4">
        <f t="shared" si="224"/>
        <v>2745846.525922094</v>
      </c>
      <c r="AG205" s="4">
        <f t="shared" si="224"/>
        <v>2715568.1437406405</v>
      </c>
      <c r="AH205" s="4">
        <f t="shared" si="224"/>
        <v>2707794.7312379614</v>
      </c>
      <c r="AI205" s="4">
        <f t="shared" si="224"/>
        <v>2716784.4261861457</v>
      </c>
      <c r="AJ205" s="4">
        <f t="shared" si="224"/>
        <v>2729931.4053781624</v>
      </c>
      <c r="AK205" s="4">
        <f t="shared" si="224"/>
        <v>2721886.3864952833</v>
      </c>
      <c r="AL205" s="4">
        <f t="shared" si="224"/>
        <v>2710559.7751298822</v>
      </c>
      <c r="AM205" s="4">
        <f t="shared" si="224"/>
        <v>2710058.9382688054</v>
      </c>
      <c r="AN205" s="4">
        <f t="shared" si="224"/>
        <v>2718149.6637221714</v>
      </c>
      <c r="AO205" s="4">
        <f t="shared" si="224"/>
        <v>2728197.7121046418</v>
      </c>
      <c r="AP205" s="4">
        <f t="shared" si="224"/>
        <v>2723185.0464930008</v>
      </c>
      <c r="AQ205" s="4">
        <f t="shared" si="224"/>
        <v>2718394.0186076388</v>
      </c>
      <c r="AR205" s="4"/>
      <c r="AS205" s="94"/>
      <c r="AT205" s="121">
        <f t="shared" si="219"/>
        <v>0.29902654754178615</v>
      </c>
      <c r="AU205" s="197"/>
      <c r="AV205" s="194"/>
      <c r="AW205" s="194"/>
      <c r="AX205" s="194"/>
      <c r="AY205" s="195"/>
      <c r="AZ205" s="196"/>
      <c r="BA205" s="195">
        <v>141119976.66064993</v>
      </c>
      <c r="BB205" s="195">
        <f t="shared" si="223"/>
        <v>-118026476.66064993</v>
      </c>
      <c r="BC205" s="195">
        <v>159933651.26960924</v>
      </c>
      <c r="BD205" s="195">
        <f t="shared" si="221"/>
        <v>-107462104.26960924</v>
      </c>
      <c r="BE205" s="195">
        <v>151331868.28440863</v>
      </c>
      <c r="BF205" s="195">
        <f t="shared" si="222"/>
        <v>-108578018.28440863</v>
      </c>
      <c r="BG205" s="195">
        <v>140040273.96936029</v>
      </c>
      <c r="BH205" s="194">
        <f>SUM(P203:P205)</f>
        <v>63272822</v>
      </c>
      <c r="BI205" s="3"/>
      <c r="BJ205" s="4">
        <v>31999624.462159425</v>
      </c>
      <c r="BK205" s="3">
        <f t="shared" si="217"/>
        <v>-13749314.462159425</v>
      </c>
      <c r="BL205" s="3">
        <v>3608454.9072270091</v>
      </c>
      <c r="BM205" s="177">
        <f t="shared" si="218"/>
        <v>14433819.628908046</v>
      </c>
      <c r="BN205" s="3"/>
      <c r="BR205" s="3"/>
      <c r="BS205" s="3"/>
      <c r="BT205" s="3"/>
      <c r="BU205" s="3"/>
      <c r="BY205" s="3"/>
      <c r="BZ205" s="3"/>
      <c r="CA205" s="3"/>
      <c r="CB205" s="3"/>
      <c r="CC205" s="4"/>
      <c r="CD205" s="3"/>
      <c r="CE205" s="3"/>
      <c r="CF205" s="3"/>
      <c r="CG205" s="3"/>
      <c r="CH205" s="3"/>
      <c r="CI205" s="3"/>
      <c r="CJ205" s="3"/>
      <c r="CK205" s="3"/>
      <c r="CL205" s="3"/>
      <c r="CM205" s="3"/>
      <c r="CN205" s="3"/>
      <c r="CO205" s="3"/>
      <c r="CP205" s="3"/>
      <c r="CQ205" s="3"/>
      <c r="CR205" s="3"/>
      <c r="CS205" s="3"/>
      <c r="CT205" s="3"/>
      <c r="CU205" s="3"/>
      <c r="CV205" s="3"/>
      <c r="CW205" s="3"/>
      <c r="CX205" s="3"/>
      <c r="DD205" s="3"/>
      <c r="DE205" s="3"/>
      <c r="DF205" s="3"/>
      <c r="DG205" s="3"/>
      <c r="DH205" s="3"/>
      <c r="DI205" s="3"/>
      <c r="DJ205" s="3"/>
      <c r="DK205" s="3"/>
      <c r="DL205" s="4"/>
    </row>
    <row r="206" spans="1:116">
      <c r="A206" s="2" t="s">
        <v>52</v>
      </c>
      <c r="B206" s="3">
        <f t="shared" si="225"/>
        <v>0</v>
      </c>
      <c r="C206" s="3">
        <f t="shared" si="225"/>
        <v>0</v>
      </c>
      <c r="D206" s="3">
        <f t="shared" si="225"/>
        <v>12718015</v>
      </c>
      <c r="E206" s="3">
        <f t="shared" si="225"/>
        <v>20391826</v>
      </c>
      <c r="F206" s="3">
        <f t="shared" si="225"/>
        <v>348537</v>
      </c>
      <c r="G206" s="3">
        <f t="shared" si="225"/>
        <v>8855912</v>
      </c>
      <c r="H206" s="3">
        <f t="shared" si="225"/>
        <v>10947378</v>
      </c>
      <c r="I206" s="3">
        <f t="shared" si="225"/>
        <v>16292718</v>
      </c>
      <c r="J206" s="3">
        <f t="shared" si="225"/>
        <v>0</v>
      </c>
      <c r="K206" s="3">
        <f>K222+K238+K254</f>
        <v>33053069</v>
      </c>
      <c r="L206" s="3">
        <f t="shared" si="224"/>
        <v>29260171</v>
      </c>
      <c r="M206" s="3">
        <f t="shared" si="224"/>
        <v>42337170</v>
      </c>
      <c r="N206" s="3">
        <f t="shared" si="224"/>
        <v>34150366</v>
      </c>
      <c r="O206" s="3">
        <f t="shared" si="224"/>
        <v>48149722</v>
      </c>
      <c r="P206" s="3">
        <f t="shared" si="224"/>
        <v>17529275</v>
      </c>
      <c r="Q206" s="4">
        <f t="shared" si="224"/>
        <v>18677867.257025421</v>
      </c>
      <c r="R206" s="4">
        <f t="shared" si="224"/>
        <v>24683901.871777788</v>
      </c>
      <c r="S206" s="4">
        <f t="shared" si="224"/>
        <v>22304498.820663068</v>
      </c>
      <c r="T206" s="4">
        <f t="shared" si="224"/>
        <v>20290254.418766204</v>
      </c>
      <c r="U206" s="4">
        <f t="shared" si="224"/>
        <v>16680580.072264178</v>
      </c>
      <c r="V206" s="4">
        <f t="shared" si="224"/>
        <v>16495248.606508391</v>
      </c>
      <c r="W206" s="4">
        <f t="shared" si="224"/>
        <v>16438006.438360302</v>
      </c>
      <c r="X206" s="4">
        <f t="shared" si="224"/>
        <v>14464092.291225439</v>
      </c>
      <c r="Y206" s="4">
        <f t="shared" si="224"/>
        <v>13642514.508215878</v>
      </c>
      <c r="Z206" s="4">
        <f t="shared" si="224"/>
        <v>12834568.389892986</v>
      </c>
      <c r="AA206" s="4">
        <f t="shared" si="224"/>
        <v>13036664.158976998</v>
      </c>
      <c r="AB206" s="4">
        <f t="shared" si="224"/>
        <v>5416603.5220516613</v>
      </c>
      <c r="AC206" s="4">
        <f t="shared" si="224"/>
        <v>3616023.0728063597</v>
      </c>
      <c r="AD206" s="4">
        <f t="shared" si="224"/>
        <v>3590135.396898916</v>
      </c>
      <c r="AE206" s="4">
        <f t="shared" si="224"/>
        <v>3565157.8860813854</v>
      </c>
      <c r="AF206" s="4">
        <f t="shared" si="224"/>
        <v>3621295.5997158336</v>
      </c>
      <c r="AG206" s="4">
        <f t="shared" si="224"/>
        <v>3611069.0147011089</v>
      </c>
      <c r="AH206" s="4">
        <f t="shared" si="224"/>
        <v>3599663.2042644233</v>
      </c>
      <c r="AI206" s="4">
        <f t="shared" si="224"/>
        <v>3596027.6779217697</v>
      </c>
      <c r="AJ206" s="4">
        <f t="shared" si="224"/>
        <v>3597569.5832361612</v>
      </c>
      <c r="AK206" s="4">
        <f t="shared" si="224"/>
        <v>3607973.3378784354</v>
      </c>
      <c r="AL206" s="4">
        <f t="shared" si="224"/>
        <v>3601675.5413734829</v>
      </c>
      <c r="AM206" s="4">
        <f t="shared" si="224"/>
        <v>3600736.1940407213</v>
      </c>
      <c r="AN206" s="4">
        <f t="shared" si="224"/>
        <v>3597464.2203323338</v>
      </c>
      <c r="AO206" s="4">
        <f t="shared" si="224"/>
        <v>3598642.6765369046</v>
      </c>
      <c r="AP206" s="4">
        <f t="shared" si="224"/>
        <v>3605125.0159678594</v>
      </c>
      <c r="AQ206" s="4">
        <f t="shared" si="224"/>
        <v>3602461.56360038</v>
      </c>
      <c r="AR206" s="4"/>
      <c r="AS206" s="94"/>
      <c r="AT206" s="121">
        <f t="shared" si="219"/>
        <v>3.52279708202754E-2</v>
      </c>
      <c r="AU206" s="197"/>
      <c r="AV206" s="194"/>
      <c r="AW206" s="194"/>
      <c r="AX206" s="194"/>
      <c r="AY206" s="195"/>
      <c r="AZ206" s="196"/>
      <c r="BA206" s="195">
        <v>152816519.91490614</v>
      </c>
      <c r="BB206" s="195">
        <f t="shared" si="223"/>
        <v>-119763450.91490614</v>
      </c>
      <c r="BC206" s="195">
        <v>173289693.89777201</v>
      </c>
      <c r="BD206" s="195">
        <f t="shared" si="221"/>
        <v>-144029522.89777201</v>
      </c>
      <c r="BE206" s="195">
        <v>149277371.44355991</v>
      </c>
      <c r="BF206" s="195">
        <f t="shared" si="222"/>
        <v>-106940201.44355991</v>
      </c>
      <c r="BG206" s="195">
        <v>137891779.86776355</v>
      </c>
      <c r="BH206" s="197">
        <f>(BH205/BH202)-1</f>
        <v>-0.44389986013918648</v>
      </c>
      <c r="BI206" s="3"/>
      <c r="BJ206" s="4">
        <v>31725624.250845641</v>
      </c>
      <c r="BK206" s="3">
        <f t="shared" si="217"/>
        <v>-14196349.250845641</v>
      </c>
      <c r="BL206" s="3">
        <v>3735573.4514050824</v>
      </c>
      <c r="BM206" s="177">
        <f t="shared" si="218"/>
        <v>14942293.805620339</v>
      </c>
      <c r="BN206" s="3"/>
      <c r="BR206" s="3"/>
      <c r="BS206" s="3"/>
      <c r="BT206" s="3"/>
      <c r="BU206" s="3"/>
      <c r="BY206" s="3"/>
      <c r="BZ206" s="3"/>
      <c r="CA206" s="3"/>
      <c r="CB206" s="3"/>
      <c r="CC206" s="4"/>
      <c r="CD206" s="3"/>
      <c r="CE206" s="3"/>
      <c r="CF206" s="3"/>
      <c r="CG206" s="3"/>
      <c r="CH206" s="3"/>
      <c r="CI206" s="3"/>
      <c r="CJ206" s="3"/>
      <c r="CK206" s="3"/>
      <c r="CL206" s="3"/>
      <c r="CM206" s="3"/>
      <c r="CN206" s="3"/>
      <c r="CO206" s="3"/>
      <c r="CP206" s="3"/>
      <c r="CQ206" s="3"/>
      <c r="CR206" s="3"/>
      <c r="CS206" s="3"/>
      <c r="CT206" s="3"/>
      <c r="CU206" s="3"/>
      <c r="CV206" s="3"/>
      <c r="CW206" s="3"/>
      <c r="CX206" s="3"/>
      <c r="DD206" s="3"/>
      <c r="DE206" s="3"/>
      <c r="DF206" s="3"/>
      <c r="DG206" s="3"/>
      <c r="DH206" s="3"/>
      <c r="DI206" s="3"/>
      <c r="DJ206" s="3"/>
      <c r="DK206" s="3"/>
      <c r="DL206" s="4"/>
    </row>
    <row r="207" spans="1:116">
      <c r="A207" s="2" t="s">
        <v>53</v>
      </c>
      <c r="B207" s="3">
        <f t="shared" si="225"/>
        <v>0</v>
      </c>
      <c r="C207" s="3">
        <f t="shared" si="225"/>
        <v>0</v>
      </c>
      <c r="D207" s="3">
        <f t="shared" si="225"/>
        <v>10308273</v>
      </c>
      <c r="E207" s="3">
        <f t="shared" si="225"/>
        <v>21846020</v>
      </c>
      <c r="F207" s="3">
        <f t="shared" si="225"/>
        <v>9322412</v>
      </c>
      <c r="G207" s="3">
        <f t="shared" si="225"/>
        <v>12838777</v>
      </c>
      <c r="H207" s="3">
        <f t="shared" si="225"/>
        <v>14881963</v>
      </c>
      <c r="I207" s="3">
        <f t="shared" si="225"/>
        <v>11529654</v>
      </c>
      <c r="J207" s="3">
        <f>J223+J239+J255</f>
        <v>10690516</v>
      </c>
      <c r="K207" s="3">
        <f>K223+K239+K255</f>
        <v>24145905</v>
      </c>
      <c r="L207" s="3">
        <f t="shared" si="224"/>
        <v>40715916</v>
      </c>
      <c r="M207" s="3">
        <f t="shared" si="224"/>
        <v>28638303</v>
      </c>
      <c r="N207" s="3">
        <f t="shared" si="224"/>
        <v>25048257</v>
      </c>
      <c r="O207" s="3">
        <f t="shared" si="224"/>
        <v>45362116</v>
      </c>
      <c r="P207" s="3">
        <f t="shared" si="224"/>
        <v>8083529</v>
      </c>
      <c r="Q207" s="4">
        <f t="shared" si="224"/>
        <v>16859024.316303566</v>
      </c>
      <c r="R207" s="4">
        <f t="shared" si="224"/>
        <v>19886348.568507258</v>
      </c>
      <c r="S207" s="4">
        <f t="shared" si="224"/>
        <v>18075205.539549988</v>
      </c>
      <c r="T207" s="4">
        <f t="shared" si="224"/>
        <v>16900310.280594748</v>
      </c>
      <c r="U207" s="4">
        <f t="shared" si="224"/>
        <v>12997413.007001387</v>
      </c>
      <c r="V207" s="4">
        <f t="shared" si="224"/>
        <v>13615441.346564511</v>
      </c>
      <c r="W207" s="4">
        <f t="shared" si="224"/>
        <v>13332226.70327202</v>
      </c>
      <c r="X207" s="4">
        <f t="shared" si="224"/>
        <v>11752250.490507085</v>
      </c>
      <c r="Y207" s="4">
        <f t="shared" si="224"/>
        <v>11092384.636007279</v>
      </c>
      <c r="Z207" s="4">
        <f t="shared" si="224"/>
        <v>10368943.956883863</v>
      </c>
      <c r="AA207" s="4">
        <f t="shared" si="224"/>
        <v>10616690.670570839</v>
      </c>
      <c r="AB207" s="4">
        <f t="shared" si="224"/>
        <v>4397115.1120954677</v>
      </c>
      <c r="AC207" s="4">
        <f t="shared" si="224"/>
        <v>2938062.6226267712</v>
      </c>
      <c r="AD207" s="4">
        <f t="shared" si="224"/>
        <v>2919048.5884229685</v>
      </c>
      <c r="AE207" s="4">
        <f t="shared" si="224"/>
        <v>2880262.210245518</v>
      </c>
      <c r="AF207" s="4">
        <f t="shared" si="224"/>
        <v>2949080.7418252337</v>
      </c>
      <c r="AG207" s="4">
        <f t="shared" si="224"/>
        <v>2931410.0747303125</v>
      </c>
      <c r="AH207" s="4">
        <f t="shared" si="224"/>
        <v>2922871.8100645179</v>
      </c>
      <c r="AI207" s="4">
        <f t="shared" si="224"/>
        <v>2919496.073939573</v>
      </c>
      <c r="AJ207" s="4">
        <f t="shared" si="224"/>
        <v>2919613.1729532629</v>
      </c>
      <c r="AK207" s="4">
        <f t="shared" si="224"/>
        <v>2932244.3461680952</v>
      </c>
      <c r="AL207" s="4">
        <f t="shared" si="224"/>
        <v>2924285.3227665387</v>
      </c>
      <c r="AM207" s="4">
        <f t="shared" si="224"/>
        <v>2923572.8475701609</v>
      </c>
      <c r="AN207" s="4">
        <f t="shared" si="224"/>
        <v>2920534.6850577104</v>
      </c>
      <c r="AO207" s="4">
        <f t="shared" si="224"/>
        <v>2920624.1821610308</v>
      </c>
      <c r="AP207" s="4">
        <f t="shared" si="224"/>
        <v>2928494.3747025803</v>
      </c>
      <c r="AQ207" s="4">
        <f t="shared" si="224"/>
        <v>2925128.0955711529</v>
      </c>
      <c r="AR207" s="4"/>
      <c r="AS207" s="94"/>
      <c r="AT207" s="121">
        <f t="shared" si="219"/>
        <v>-9.7379583851455065E-2</v>
      </c>
      <c r="AU207" s="197"/>
      <c r="AV207" s="194"/>
      <c r="AW207" s="194"/>
      <c r="AX207" s="194"/>
      <c r="AY207" s="195"/>
      <c r="AZ207" s="196"/>
      <c r="BA207" s="195">
        <v>130353452.30666322</v>
      </c>
      <c r="BB207" s="195">
        <f t="shared" si="223"/>
        <v>-106207547.30666322</v>
      </c>
      <c r="BC207" s="195">
        <v>133413302.04905352</v>
      </c>
      <c r="BD207" s="195">
        <f t="shared" si="221"/>
        <v>-92697386.04905352</v>
      </c>
      <c r="BE207" s="195">
        <v>141356362.87740099</v>
      </c>
      <c r="BF207" s="195">
        <f t="shared" si="222"/>
        <v>-112718059.87740099</v>
      </c>
      <c r="BG207" s="195">
        <v>142499844.22919351</v>
      </c>
      <c r="BH207" s="195"/>
      <c r="BI207" s="3"/>
      <c r="BJ207" s="4">
        <v>30609720.628480546</v>
      </c>
      <c r="BK207" s="3">
        <f t="shared" si="217"/>
        <v>-22526191.628480546</v>
      </c>
      <c r="BL207" s="3">
        <v>3371804.8632607111</v>
      </c>
      <c r="BM207" s="177">
        <f t="shared" si="218"/>
        <v>13487219.453042855</v>
      </c>
      <c r="BN207" s="3"/>
      <c r="BR207" s="3"/>
      <c r="BS207" s="3"/>
      <c r="BT207" s="3"/>
      <c r="BU207" s="3"/>
      <c r="BY207" s="3"/>
      <c r="BZ207" s="3"/>
      <c r="CA207" s="3"/>
      <c r="CB207" s="3"/>
      <c r="CC207" s="4"/>
      <c r="CD207" s="3"/>
      <c r="CE207" s="3"/>
      <c r="CF207" s="3"/>
      <c r="CG207" s="3"/>
      <c r="CH207" s="3"/>
      <c r="CI207" s="3"/>
      <c r="CJ207" s="3"/>
      <c r="CK207" s="3"/>
      <c r="CL207" s="3"/>
      <c r="CM207" s="3"/>
      <c r="CN207" s="3"/>
      <c r="CO207" s="3"/>
      <c r="CP207" s="3"/>
      <c r="CQ207" s="3"/>
      <c r="CR207" s="3"/>
      <c r="CS207" s="3"/>
      <c r="CT207" s="3"/>
      <c r="CU207" s="3"/>
      <c r="CV207" s="3"/>
      <c r="CW207" s="3"/>
      <c r="CX207" s="3"/>
      <c r="DD207" s="3"/>
      <c r="DE207" s="3"/>
      <c r="DF207" s="3"/>
      <c r="DG207" s="3"/>
      <c r="DH207" s="3"/>
      <c r="DI207" s="3"/>
      <c r="DJ207" s="3"/>
      <c r="DK207" s="3"/>
      <c r="DL207" s="4"/>
    </row>
    <row r="208" spans="1:116">
      <c r="A208" s="2" t="s">
        <v>54</v>
      </c>
      <c r="B208" s="3">
        <f t="shared" si="225"/>
        <v>0</v>
      </c>
      <c r="C208" s="3">
        <f t="shared" si="225"/>
        <v>0</v>
      </c>
      <c r="D208" s="3">
        <f t="shared" si="225"/>
        <v>4421460</v>
      </c>
      <c r="E208" s="3">
        <f t="shared" si="225"/>
        <v>15110753</v>
      </c>
      <c r="F208" s="3">
        <f t="shared" si="225"/>
        <v>11628154</v>
      </c>
      <c r="G208" s="3">
        <f t="shared" si="225"/>
        <v>8127548</v>
      </c>
      <c r="H208" s="3">
        <f t="shared" si="225"/>
        <v>15859008</v>
      </c>
      <c r="I208" s="3">
        <f t="shared" si="225"/>
        <v>19577357</v>
      </c>
      <c r="J208" s="3">
        <f>J224+J240+J256</f>
        <v>23675821</v>
      </c>
      <c r="K208" s="3">
        <f>K224+K240+K256</f>
        <v>30600380</v>
      </c>
      <c r="L208" s="3">
        <f t="shared" si="224"/>
        <v>36950805</v>
      </c>
      <c r="M208" s="3">
        <f t="shared" si="224"/>
        <v>44988761</v>
      </c>
      <c r="N208" s="3">
        <f t="shared" si="224"/>
        <v>32669596</v>
      </c>
      <c r="O208" s="3">
        <f t="shared" si="224"/>
        <v>48215083</v>
      </c>
      <c r="P208" s="3">
        <f t="shared" si="224"/>
        <v>4236635</v>
      </c>
      <c r="Q208" s="119">
        <f t="shared" si="224"/>
        <v>61474518.720732391</v>
      </c>
      <c r="R208" s="4">
        <f t="shared" si="224"/>
        <v>31073492.569914579</v>
      </c>
      <c r="S208" s="4">
        <f t="shared" si="224"/>
        <v>28715032.505401701</v>
      </c>
      <c r="T208" s="4">
        <f t="shared" si="224"/>
        <v>27567097.859590977</v>
      </c>
      <c r="U208" s="4">
        <f t="shared" si="224"/>
        <v>25187419.70677653</v>
      </c>
      <c r="V208" s="4">
        <f t="shared" si="224"/>
        <v>27967108.076102614</v>
      </c>
      <c r="W208" s="4">
        <f t="shared" si="224"/>
        <v>22992570.117455989</v>
      </c>
      <c r="X208" s="4">
        <f t="shared" si="224"/>
        <v>20773212.27691415</v>
      </c>
      <c r="Y208" s="4">
        <f t="shared" si="224"/>
        <v>20129878.746382654</v>
      </c>
      <c r="Z208" s="4">
        <f t="shared" si="224"/>
        <v>19329388.996563092</v>
      </c>
      <c r="AA208" s="4">
        <f t="shared" si="224"/>
        <v>19622145.567073837</v>
      </c>
      <c r="AB208" s="4">
        <f t="shared" si="224"/>
        <v>7911322.7464915067</v>
      </c>
      <c r="AC208" s="4">
        <f t="shared" si="224"/>
        <v>5193303.0692285374</v>
      </c>
      <c r="AD208" s="4">
        <f t="shared" si="224"/>
        <v>5297336.5122059658</v>
      </c>
      <c r="AE208" s="4">
        <f t="shared" si="224"/>
        <v>5369274.7212675214</v>
      </c>
      <c r="AF208" s="4">
        <f t="shared" si="224"/>
        <v>5450595.9908538461</v>
      </c>
      <c r="AG208" s="4">
        <f t="shared" si="224"/>
        <v>5274215.1643276811</v>
      </c>
      <c r="AH208" s="4">
        <f t="shared" si="224"/>
        <v>5319148.3838439509</v>
      </c>
      <c r="AI208" s="4">
        <f t="shared" si="224"/>
        <v>5347114.0093140528</v>
      </c>
      <c r="AJ208" s="4">
        <f t="shared" si="224"/>
        <v>5360139.8964077532</v>
      </c>
      <c r="AK208" s="4">
        <f t="shared" si="224"/>
        <v>5357207.7304033861</v>
      </c>
      <c r="AL208" s="4">
        <f t="shared" si="224"/>
        <v>5313060.5527358875</v>
      </c>
      <c r="AM208" s="4">
        <f t="shared" si="224"/>
        <v>5316945.0915767029</v>
      </c>
      <c r="AN208" s="4">
        <f t="shared" si="224"/>
        <v>5342114.1544997916</v>
      </c>
      <c r="AO208" s="4">
        <f t="shared" si="224"/>
        <v>5352069.653921403</v>
      </c>
      <c r="AP208" s="4">
        <f t="shared" si="224"/>
        <v>5350242.6889494509</v>
      </c>
      <c r="AQ208" s="4">
        <f t="shared" si="224"/>
        <v>5331566.0368593633</v>
      </c>
      <c r="AR208" s="4"/>
      <c r="AS208" s="94"/>
      <c r="AT208" s="121">
        <f t="shared" si="219"/>
        <v>2.646386503000846</v>
      </c>
      <c r="AU208" s="197"/>
      <c r="AV208" s="194"/>
      <c r="AW208" s="194"/>
      <c r="AX208" s="194"/>
      <c r="AY208" s="195"/>
      <c r="AZ208" s="196"/>
      <c r="BA208" s="195">
        <v>169422997</v>
      </c>
      <c r="BB208" s="195">
        <f t="shared" si="223"/>
        <v>-138822617</v>
      </c>
      <c r="BC208" s="195">
        <v>167631897</v>
      </c>
      <c r="BD208" s="195">
        <f t="shared" si="221"/>
        <v>-130681092</v>
      </c>
      <c r="BE208" s="195">
        <v>179824533</v>
      </c>
      <c r="BF208" s="195">
        <f t="shared" si="222"/>
        <v>-134835772</v>
      </c>
      <c r="BG208" s="195">
        <v>179383712.03590918</v>
      </c>
      <c r="BH208" s="194">
        <f>SUM(P206:P208)</f>
        <v>29849439</v>
      </c>
      <c r="BI208" s="3"/>
      <c r="BJ208" s="4">
        <v>35861599.445691586</v>
      </c>
      <c r="BK208" s="3">
        <f t="shared" si="217"/>
        <v>-31624964.445691586</v>
      </c>
      <c r="BL208" s="3">
        <v>5125764.0798773244</v>
      </c>
      <c r="BM208" s="177">
        <f t="shared" si="218"/>
        <v>56348754.640855066</v>
      </c>
      <c r="BN208" s="3"/>
      <c r="BR208" s="3"/>
      <c r="BS208" s="3"/>
      <c r="BT208" s="3"/>
      <c r="BU208" s="3"/>
      <c r="BY208" s="3"/>
      <c r="BZ208" s="3"/>
      <c r="CA208" s="3"/>
      <c r="CB208" s="3"/>
      <c r="CC208" s="4"/>
      <c r="CD208" s="3"/>
      <c r="CE208" s="3"/>
      <c r="CF208" s="3"/>
      <c r="CG208" s="3"/>
      <c r="CH208" s="3"/>
      <c r="CI208" s="3"/>
      <c r="CJ208" s="3"/>
      <c r="CK208" s="3"/>
      <c r="CL208" s="3"/>
      <c r="CM208" s="3"/>
      <c r="CN208" s="3"/>
      <c r="CO208" s="3"/>
      <c r="CP208" s="3"/>
      <c r="CQ208" s="3"/>
      <c r="CR208" s="3"/>
      <c r="CS208" s="3"/>
      <c r="CT208" s="3"/>
      <c r="CU208" s="3"/>
      <c r="CV208" s="3"/>
      <c r="CW208" s="3"/>
      <c r="CX208" s="3"/>
      <c r="DD208" s="3"/>
      <c r="DE208" s="3"/>
      <c r="DF208" s="3"/>
      <c r="DG208" s="3"/>
      <c r="DH208" s="3"/>
      <c r="DI208" s="3"/>
      <c r="DJ208" s="3"/>
      <c r="DK208" s="3"/>
      <c r="DL208" s="4"/>
    </row>
    <row r="209" spans="1:94" ht="13.5" thickBot="1">
      <c r="A209" s="2" t="s">
        <v>29</v>
      </c>
      <c r="B209" s="3">
        <f>SUM(B197:B208)</f>
        <v>0</v>
      </c>
      <c r="C209" s="3">
        <f t="shared" ref="C209:AQ209" si="226">SUM(C197:C208)</f>
        <v>0</v>
      </c>
      <c r="D209" s="3">
        <f t="shared" si="226"/>
        <v>50272922</v>
      </c>
      <c r="E209" s="3">
        <f t="shared" si="226"/>
        <v>166292775</v>
      </c>
      <c r="F209" s="3">
        <f t="shared" si="226"/>
        <v>171747164</v>
      </c>
      <c r="G209" s="3">
        <f t="shared" si="226"/>
        <v>135765543</v>
      </c>
      <c r="H209" s="3">
        <f t="shared" si="226"/>
        <v>184028971</v>
      </c>
      <c r="I209" s="3">
        <f t="shared" si="226"/>
        <v>199517243</v>
      </c>
      <c r="J209" s="3">
        <f t="shared" si="226"/>
        <v>203337808</v>
      </c>
      <c r="K209" s="3">
        <f t="shared" si="226"/>
        <v>304019646</v>
      </c>
      <c r="L209" s="3">
        <f t="shared" si="226"/>
        <v>359210967</v>
      </c>
      <c r="M209" s="3">
        <f t="shared" si="226"/>
        <v>388929141</v>
      </c>
      <c r="N209" s="3">
        <f t="shared" si="226"/>
        <v>371460083</v>
      </c>
      <c r="O209" s="3">
        <f t="shared" si="226"/>
        <v>421261921</v>
      </c>
      <c r="P209" s="3">
        <f t="shared" si="226"/>
        <v>313982105</v>
      </c>
      <c r="Q209" s="4">
        <f t="shared" si="226"/>
        <v>210578706.25</v>
      </c>
      <c r="R209" s="4">
        <f t="shared" si="226"/>
        <v>273752318.125</v>
      </c>
      <c r="S209" s="4">
        <f t="shared" si="226"/>
        <v>252694447.49999997</v>
      </c>
      <c r="T209" s="4">
        <f t="shared" si="226"/>
        <v>231636576.87500003</v>
      </c>
      <c r="U209" s="4">
        <f t="shared" si="226"/>
        <v>210578706.25</v>
      </c>
      <c r="V209" s="4">
        <f t="shared" si="226"/>
        <v>189520835.625</v>
      </c>
      <c r="W209" s="4">
        <f t="shared" si="226"/>
        <v>189520835.625</v>
      </c>
      <c r="X209" s="4">
        <f t="shared" si="226"/>
        <v>168462965.00000003</v>
      </c>
      <c r="Y209" s="4">
        <f t="shared" si="226"/>
        <v>160039816.75</v>
      </c>
      <c r="Z209" s="4">
        <f t="shared" si="226"/>
        <v>151616668.5</v>
      </c>
      <c r="AA209" s="4">
        <f t="shared" si="226"/>
        <v>151616668.5</v>
      </c>
      <c r="AB209" s="4">
        <f t="shared" si="226"/>
        <v>63173611.874999993</v>
      </c>
      <c r="AC209" s="4">
        <f t="shared" si="226"/>
        <v>42115741.250000007</v>
      </c>
      <c r="AD209" s="4">
        <f t="shared" si="226"/>
        <v>42115741.250000007</v>
      </c>
      <c r="AE209" s="4">
        <f t="shared" si="226"/>
        <v>42115741.250000007</v>
      </c>
      <c r="AF209" s="4">
        <f t="shared" si="226"/>
        <v>42115741.250000007</v>
      </c>
      <c r="AG209" s="4">
        <f t="shared" si="226"/>
        <v>42115741.250000007</v>
      </c>
      <c r="AH209" s="4">
        <f t="shared" si="226"/>
        <v>42115741.250000007</v>
      </c>
      <c r="AI209" s="4">
        <f t="shared" si="226"/>
        <v>42115741.250000007</v>
      </c>
      <c r="AJ209" s="4">
        <f t="shared" si="226"/>
        <v>42115741.250000007</v>
      </c>
      <c r="AK209" s="4">
        <f t="shared" si="226"/>
        <v>42115741.250000007</v>
      </c>
      <c r="AL209" s="4">
        <f t="shared" si="226"/>
        <v>42115741.250000007</v>
      </c>
      <c r="AM209" s="4">
        <f t="shared" si="226"/>
        <v>42115741.250000007</v>
      </c>
      <c r="AN209" s="4">
        <f t="shared" si="226"/>
        <v>42115741.250000007</v>
      </c>
      <c r="AO209" s="4">
        <f t="shared" si="226"/>
        <v>42115741.250000007</v>
      </c>
      <c r="AP209" s="4">
        <f t="shared" si="226"/>
        <v>42115741.250000007</v>
      </c>
      <c r="AQ209" s="4">
        <f t="shared" si="226"/>
        <v>42115753.250000007</v>
      </c>
      <c r="AR209" s="4"/>
      <c r="AS209" s="4"/>
      <c r="AT209" s="194"/>
      <c r="AU209" s="194"/>
      <c r="AV209" s="194"/>
      <c r="AW209" s="194"/>
      <c r="AX209" s="194"/>
      <c r="AY209" s="195"/>
      <c r="AZ209" s="196"/>
      <c r="BA209" s="195">
        <v>1743500000</v>
      </c>
      <c r="BB209" s="195">
        <f t="shared" si="223"/>
        <v>-1439480354</v>
      </c>
      <c r="BC209" s="195">
        <v>1815449146</v>
      </c>
      <c r="BD209" s="195">
        <f t="shared" si="221"/>
        <v>-1456238179</v>
      </c>
      <c r="BE209" s="195">
        <v>1717327970</v>
      </c>
      <c r="BF209" s="195">
        <f t="shared" si="222"/>
        <v>-1328398829</v>
      </c>
      <c r="BG209" s="195">
        <v>1653807613.0359092</v>
      </c>
      <c r="BH209" s="197">
        <f>(BH208/BH205)-1</f>
        <v>-0.52824233128087761</v>
      </c>
      <c r="BI209" s="3"/>
      <c r="BJ209" s="4">
        <v>400099541.87499988</v>
      </c>
      <c r="BK209" s="3">
        <f t="shared" si="217"/>
        <v>-86117436.874999881</v>
      </c>
      <c r="BL209" s="3">
        <v>42115741.249999978</v>
      </c>
      <c r="BM209" s="177">
        <f t="shared" si="218"/>
        <v>168462965.00000003</v>
      </c>
      <c r="BN209" s="3"/>
      <c r="BR209" s="3"/>
      <c r="BS209" s="3"/>
      <c r="BT209" s="3"/>
      <c r="BU209" s="3"/>
      <c r="BY209" s="3"/>
      <c r="BZ209" s="3"/>
      <c r="CA209" s="3"/>
      <c r="CB209" s="3"/>
      <c r="CC209" s="4"/>
      <c r="CD209" s="3"/>
      <c r="CE209" s="3"/>
      <c r="CF209" s="3"/>
      <c r="CG209" s="3"/>
      <c r="CH209" s="3"/>
      <c r="CI209" s="3"/>
      <c r="CJ209" s="3"/>
      <c r="CK209" s="3"/>
      <c r="CL209" s="3"/>
      <c r="CM209" s="3"/>
      <c r="CN209" s="3"/>
      <c r="CO209" s="3"/>
      <c r="CP209" s="3"/>
    </row>
    <row r="210" spans="1:94">
      <c r="A210" s="114"/>
      <c r="B210" s="114"/>
      <c r="C210" s="114"/>
      <c r="D210" s="115">
        <f t="shared" ref="D210:N210" si="227">AVERAGE(D206:D208)/AVERAGE(D203:D205)-1</f>
        <v>1.1227905795430813</v>
      </c>
      <c r="E210" s="115">
        <f t="shared" si="227"/>
        <v>-1.1123178902636366E-2</v>
      </c>
      <c r="F210" s="115">
        <f t="shared" si="227"/>
        <v>-0.36684709212727107</v>
      </c>
      <c r="G210" s="115">
        <f t="shared" si="227"/>
        <v>-0.14337844295749191</v>
      </c>
      <c r="H210" s="115">
        <f t="shared" si="227"/>
        <v>-0.24144166654642185</v>
      </c>
      <c r="I210" s="115">
        <f t="shared" si="227"/>
        <v>-5.2619360549589489E-2</v>
      </c>
      <c r="J210" s="115">
        <f t="shared" si="227"/>
        <v>-0.40662504599275551</v>
      </c>
      <c r="K210" s="115">
        <f t="shared" si="227"/>
        <v>0.14487677175547864</v>
      </c>
      <c r="L210" s="115">
        <f t="shared" si="227"/>
        <v>9.7371315464609642E-2</v>
      </c>
      <c r="M210" s="115">
        <f t="shared" si="227"/>
        <v>0.60803302143586713</v>
      </c>
      <c r="N210" s="115">
        <f t="shared" si="227"/>
        <v>0.45718827288229646</v>
      </c>
      <c r="O210" s="115">
        <f>AVERAGE(O206:O208)/AVERAGE(O203:O205)-1</f>
        <v>1.225884713377547</v>
      </c>
      <c r="P210" s="115">
        <f>AVERAGE(P206:P208)/AVERAGE(P203:P205)-1</f>
        <v>-0.52824233128087761</v>
      </c>
      <c r="Q210" s="115">
        <f>AVERAGE(Q206:Q208)/AVERAGE(Q203:Q205)-1</f>
        <v>1.0842607026737823</v>
      </c>
      <c r="R210" s="114"/>
      <c r="S210" s="114"/>
      <c r="T210" s="114"/>
      <c r="U210" s="114"/>
      <c r="V210" s="114"/>
      <c r="W210" s="114"/>
      <c r="X210" s="114"/>
      <c r="Y210" s="114"/>
      <c r="Z210" s="114"/>
      <c r="AA210" s="114"/>
      <c r="AB210" s="114"/>
      <c r="AC210" s="114"/>
      <c r="AD210" s="114"/>
      <c r="AE210" s="114"/>
      <c r="AF210" s="114"/>
      <c r="AG210" s="114"/>
      <c r="AH210" s="114"/>
      <c r="AI210" s="114"/>
      <c r="AJ210" s="114"/>
      <c r="AK210" s="114"/>
      <c r="AL210" s="114"/>
      <c r="AM210" s="114"/>
      <c r="AN210" s="114"/>
      <c r="AO210" s="114"/>
      <c r="AP210" s="114"/>
      <c r="AQ210" s="114"/>
      <c r="AX210" s="4"/>
      <c r="AY210" s="3"/>
      <c r="BE210" s="4"/>
    </row>
    <row r="211" spans="1:94" ht="16.5" thickBot="1">
      <c r="A211" s="109" t="s">
        <v>318</v>
      </c>
      <c r="P211" s="83">
        <f>P209/O209-1</f>
        <v>-0.25466297961452822</v>
      </c>
      <c r="AX211" s="4"/>
      <c r="AY211" s="3"/>
      <c r="BE211" s="4"/>
    </row>
    <row r="212" spans="1:94" ht="13.5" thickBot="1">
      <c r="A212" s="110"/>
      <c r="B212" s="111">
        <f t="shared" ref="B212:K212" si="228">B2</f>
        <v>2010</v>
      </c>
      <c r="C212" s="111">
        <f t="shared" si="228"/>
        <v>2011</v>
      </c>
      <c r="D212" s="111">
        <f t="shared" si="228"/>
        <v>2012</v>
      </c>
      <c r="E212" s="111">
        <f t="shared" si="228"/>
        <v>2013</v>
      </c>
      <c r="F212" s="111">
        <f t="shared" si="228"/>
        <v>2014</v>
      </c>
      <c r="G212" s="111">
        <f t="shared" si="228"/>
        <v>2015</v>
      </c>
      <c r="H212" s="111">
        <f t="shared" si="228"/>
        <v>2016</v>
      </c>
      <c r="I212" s="111">
        <f t="shared" si="228"/>
        <v>2017</v>
      </c>
      <c r="J212" s="111">
        <f t="shared" si="228"/>
        <v>2018</v>
      </c>
      <c r="K212" s="111">
        <f t="shared" si="228"/>
        <v>2019</v>
      </c>
      <c r="L212" s="111">
        <f>L2</f>
        <v>2020</v>
      </c>
      <c r="M212" s="111">
        <f>M2</f>
        <v>2021</v>
      </c>
      <c r="N212" s="111">
        <f t="shared" ref="N212:AQ212" si="229">N2</f>
        <v>2022</v>
      </c>
      <c r="O212" s="111">
        <f t="shared" si="229"/>
        <v>2023</v>
      </c>
      <c r="P212" s="111">
        <f t="shared" si="229"/>
        <v>2024</v>
      </c>
      <c r="Q212" s="111">
        <f t="shared" si="229"/>
        <v>2025</v>
      </c>
      <c r="R212" s="111">
        <f t="shared" si="229"/>
        <v>2026</v>
      </c>
      <c r="S212" s="111">
        <f t="shared" si="229"/>
        <v>2027</v>
      </c>
      <c r="T212" s="111">
        <f t="shared" si="229"/>
        <v>2028</v>
      </c>
      <c r="U212" s="111">
        <f t="shared" si="229"/>
        <v>2029</v>
      </c>
      <c r="V212" s="111">
        <f t="shared" si="229"/>
        <v>2030</v>
      </c>
      <c r="W212" s="111">
        <f t="shared" si="229"/>
        <v>2031</v>
      </c>
      <c r="X212" s="111">
        <f t="shared" si="229"/>
        <v>2032</v>
      </c>
      <c r="Y212" s="111">
        <f t="shared" si="229"/>
        <v>2033</v>
      </c>
      <c r="Z212" s="111">
        <f t="shared" si="229"/>
        <v>2034</v>
      </c>
      <c r="AA212" s="111">
        <f t="shared" si="229"/>
        <v>2035</v>
      </c>
      <c r="AB212" s="111">
        <f t="shared" si="229"/>
        <v>2036</v>
      </c>
      <c r="AC212" s="111">
        <f t="shared" si="229"/>
        <v>2037</v>
      </c>
      <c r="AD212" s="111">
        <f t="shared" si="229"/>
        <v>2038</v>
      </c>
      <c r="AE212" s="111">
        <f t="shared" si="229"/>
        <v>2039</v>
      </c>
      <c r="AF212" s="111">
        <f t="shared" si="229"/>
        <v>2040</v>
      </c>
      <c r="AG212" s="111">
        <f t="shared" si="229"/>
        <v>2041</v>
      </c>
      <c r="AH212" s="111">
        <f t="shared" si="229"/>
        <v>2042</v>
      </c>
      <c r="AI212" s="111">
        <f t="shared" si="229"/>
        <v>2043</v>
      </c>
      <c r="AJ212" s="111">
        <f t="shared" si="229"/>
        <v>2044</v>
      </c>
      <c r="AK212" s="111">
        <f t="shared" si="229"/>
        <v>2045</v>
      </c>
      <c r="AL212" s="111">
        <f t="shared" si="229"/>
        <v>2046</v>
      </c>
      <c r="AM212" s="111">
        <f t="shared" si="229"/>
        <v>2047</v>
      </c>
      <c r="AN212" s="111">
        <f t="shared" si="229"/>
        <v>2048</v>
      </c>
      <c r="AO212" s="111">
        <f t="shared" si="229"/>
        <v>2049</v>
      </c>
      <c r="AP212" s="111">
        <f t="shared" si="229"/>
        <v>2050</v>
      </c>
      <c r="AQ212" s="111">
        <f t="shared" si="229"/>
        <v>2051</v>
      </c>
      <c r="AR212" s="94"/>
      <c r="AS212" s="94"/>
      <c r="AT212" s="94"/>
      <c r="AU212" s="94"/>
      <c r="AV212" s="94"/>
      <c r="AW212" s="94"/>
      <c r="AX212" s="4"/>
      <c r="AY212" s="3"/>
      <c r="BE212" s="4"/>
    </row>
    <row r="213" spans="1:94">
      <c r="A213" s="2" t="s">
        <v>43</v>
      </c>
      <c r="B213" s="3">
        <f>'Monthly D4 Gallon Data'!$W2</f>
        <v>0</v>
      </c>
      <c r="C213" s="3">
        <f>'Monthly D4 Gallon Data'!$W14</f>
        <v>0</v>
      </c>
      <c r="D213" s="3">
        <f>'Monthly D4 Gallon Data'!$W26</f>
        <v>0</v>
      </c>
      <c r="E213" s="3">
        <f>'Monthly D4 Gallon Data'!$W38</f>
        <v>0</v>
      </c>
      <c r="F213" s="3">
        <f>'Monthly D4 Gallon Data'!$W50</f>
        <v>0</v>
      </c>
      <c r="G213" s="3">
        <f>'Monthly D4 Gallon Data'!$W62</f>
        <v>0</v>
      </c>
      <c r="H213" s="3">
        <f>'Monthly D4 Gallon Data'!$W74</f>
        <v>0</v>
      </c>
      <c r="I213" s="3">
        <f>'Monthly D4 Gallon Data'!$W86</f>
        <v>0</v>
      </c>
      <c r="J213" s="3">
        <f>'Monthly D4 Gallon Data'!$W98</f>
        <v>0</v>
      </c>
      <c r="K213" s="3">
        <f>'Monthly D4 Gallon Data'!$W110</f>
        <v>0</v>
      </c>
      <c r="L213" s="3">
        <f>'Monthly D4 Gallon Data'!$W122</f>
        <v>0</v>
      </c>
      <c r="M213" s="3">
        <f>'Monthly D4 Gallon Data'!$W134</f>
        <v>0</v>
      </c>
      <c r="N213" s="3">
        <f>'Monthly D4 Gallon Data'!$W146</f>
        <v>0</v>
      </c>
      <c r="O213" s="3">
        <f>'Monthly D4 Gallon Data'!$W158</f>
        <v>0</v>
      </c>
      <c r="P213" s="3">
        <f>'Monthly D4 Gallon Data'!$W170</f>
        <v>0</v>
      </c>
      <c r="Q213" s="3">
        <f>'Monthly D4 Gallon Data'!$W182</f>
        <v>0</v>
      </c>
      <c r="R213" s="4">
        <v>0</v>
      </c>
      <c r="S213" s="4">
        <v>0</v>
      </c>
      <c r="T213" s="4">
        <v>0</v>
      </c>
      <c r="U213" s="4">
        <v>0</v>
      </c>
      <c r="V213" s="4">
        <v>0</v>
      </c>
      <c r="W213" s="4">
        <v>0</v>
      </c>
      <c r="X213" s="4">
        <v>0</v>
      </c>
      <c r="Y213" s="4">
        <v>0</v>
      </c>
      <c r="Z213" s="4">
        <v>0</v>
      </c>
      <c r="AA213" s="4">
        <v>0</v>
      </c>
      <c r="AB213" s="4">
        <v>0</v>
      </c>
      <c r="AC213" s="4">
        <v>0</v>
      </c>
      <c r="AD213" s="4">
        <v>0</v>
      </c>
      <c r="AE213" s="4">
        <v>0</v>
      </c>
      <c r="AF213" s="4">
        <v>0</v>
      </c>
      <c r="AG213" s="4">
        <v>0</v>
      </c>
      <c r="AH213" s="4">
        <v>0</v>
      </c>
      <c r="AI213" s="4">
        <v>0</v>
      </c>
      <c r="AJ213" s="4">
        <v>0</v>
      </c>
      <c r="AK213" s="4">
        <v>0</v>
      </c>
      <c r="AL213" s="4">
        <v>0</v>
      </c>
      <c r="AM213" s="4">
        <v>0</v>
      </c>
      <c r="AN213" s="4">
        <v>0</v>
      </c>
      <c r="AO213" s="4">
        <v>0</v>
      </c>
      <c r="AP213" s="4">
        <v>0</v>
      </c>
      <c r="AQ213" s="4">
        <v>1</v>
      </c>
      <c r="AR213" s="4"/>
      <c r="AS213" s="4"/>
      <c r="AT213" s="4"/>
      <c r="AU213" s="4"/>
      <c r="AV213" s="4"/>
      <c r="AW213" s="4"/>
      <c r="AX213" s="4"/>
      <c r="AY213" s="3"/>
      <c r="BC213" s="3">
        <v>0</v>
      </c>
      <c r="BD213" s="3">
        <f t="shared" ref="BD213:BD225" si="230">L213-BC213</f>
        <v>0</v>
      </c>
      <c r="BE213" s="3">
        <v>0</v>
      </c>
      <c r="BF213" s="3">
        <f t="shared" ref="BF213:BF225" si="231">M213-BE213</f>
        <v>0</v>
      </c>
      <c r="BG213" s="3">
        <v>0</v>
      </c>
      <c r="BH213" s="3"/>
      <c r="BI213" s="3"/>
      <c r="BJ213" s="3">
        <v>0</v>
      </c>
      <c r="BK213" s="3">
        <f t="shared" ref="BK213:BK225" si="232">P213-BJ213</f>
        <v>0</v>
      </c>
      <c r="BL213" s="3">
        <f t="shared" ref="BL213:BL225" si="233">N213-BG213</f>
        <v>0</v>
      </c>
      <c r="BM213" s="177">
        <f t="shared" ref="BM213:BM225" si="234">Q213-BL213</f>
        <v>0</v>
      </c>
      <c r="BN213" s="3"/>
      <c r="BR213" s="3"/>
      <c r="BS213" s="3"/>
      <c r="BT213" s="3"/>
      <c r="BU213" s="3"/>
      <c r="BV213" s="3"/>
      <c r="BW213" s="3"/>
      <c r="BX213" s="3"/>
      <c r="BY213" s="3"/>
      <c r="BZ213" s="3"/>
      <c r="CA213" s="3"/>
      <c r="CB213" s="3"/>
      <c r="CC213" s="4"/>
      <c r="CD213" s="3"/>
      <c r="CE213" s="3"/>
      <c r="CF213" s="3"/>
      <c r="CG213" s="3"/>
      <c r="CH213" s="3"/>
      <c r="CI213" s="3"/>
      <c r="CJ213" s="3"/>
      <c r="CK213" s="3"/>
      <c r="CL213" s="3"/>
      <c r="CM213" s="3"/>
      <c r="CN213" s="3"/>
      <c r="CO213" s="3"/>
      <c r="CP213" s="3"/>
    </row>
    <row r="214" spans="1:94">
      <c r="A214" s="2" t="s">
        <v>44</v>
      </c>
      <c r="B214" s="3">
        <f>'Monthly D4 Gallon Data'!$W3</f>
        <v>0</v>
      </c>
      <c r="C214" s="3">
        <f>'Monthly D4 Gallon Data'!$W15</f>
        <v>0</v>
      </c>
      <c r="D214" s="3">
        <f>'Monthly D4 Gallon Data'!$W27</f>
        <v>0</v>
      </c>
      <c r="E214" s="3">
        <f>'Monthly D4 Gallon Data'!$W39</f>
        <v>0</v>
      </c>
      <c r="F214" s="3">
        <f>'Monthly D4 Gallon Data'!$W51</f>
        <v>0</v>
      </c>
      <c r="G214" s="3">
        <f>'Monthly D4 Gallon Data'!$W63</f>
        <v>0</v>
      </c>
      <c r="H214" s="3">
        <f>'Monthly D4 Gallon Data'!$W75</f>
        <v>0</v>
      </c>
      <c r="I214" s="3">
        <f>'Monthly D4 Gallon Data'!$W87</f>
        <v>0</v>
      </c>
      <c r="J214" s="3">
        <f>'Monthly D4 Gallon Data'!$W99</f>
        <v>0</v>
      </c>
      <c r="K214" s="3">
        <f>'Monthly D4 Gallon Data'!$W111</f>
        <v>0</v>
      </c>
      <c r="L214" s="3">
        <f>'Monthly D4 Gallon Data'!$W123</f>
        <v>0</v>
      </c>
      <c r="M214" s="3">
        <f>'Monthly D4 Gallon Data'!$W135</f>
        <v>0</v>
      </c>
      <c r="N214" s="3">
        <f>'Monthly D4 Gallon Data'!$W147</f>
        <v>0</v>
      </c>
      <c r="O214" s="3">
        <f>'Monthly D4 Gallon Data'!$W159</f>
        <v>0</v>
      </c>
      <c r="P214" s="3">
        <f>'Monthly D4 Gallon Data'!$W171</f>
        <v>0</v>
      </c>
      <c r="Q214" s="3">
        <f>'Monthly D4 Gallon Data'!$W183</f>
        <v>0</v>
      </c>
      <c r="R214" s="4">
        <v>0</v>
      </c>
      <c r="S214" s="4">
        <v>0</v>
      </c>
      <c r="T214" s="4">
        <v>0</v>
      </c>
      <c r="U214" s="4">
        <v>0</v>
      </c>
      <c r="V214" s="4">
        <v>0</v>
      </c>
      <c r="W214" s="4">
        <v>0</v>
      </c>
      <c r="X214" s="4">
        <v>0</v>
      </c>
      <c r="Y214" s="4">
        <v>0</v>
      </c>
      <c r="Z214" s="4">
        <v>0</v>
      </c>
      <c r="AA214" s="4">
        <v>0</v>
      </c>
      <c r="AB214" s="4">
        <v>0</v>
      </c>
      <c r="AC214" s="4">
        <v>0</v>
      </c>
      <c r="AD214" s="4">
        <v>0</v>
      </c>
      <c r="AE214" s="4">
        <v>0</v>
      </c>
      <c r="AF214" s="4">
        <v>0</v>
      </c>
      <c r="AG214" s="4">
        <v>0</v>
      </c>
      <c r="AH214" s="4">
        <v>0</v>
      </c>
      <c r="AI214" s="4">
        <v>0</v>
      </c>
      <c r="AJ214" s="4">
        <v>0</v>
      </c>
      <c r="AK214" s="4">
        <v>0</v>
      </c>
      <c r="AL214" s="4">
        <v>0</v>
      </c>
      <c r="AM214" s="4">
        <v>0</v>
      </c>
      <c r="AN214" s="4">
        <v>0</v>
      </c>
      <c r="AO214" s="4">
        <v>0</v>
      </c>
      <c r="AP214" s="4">
        <v>0</v>
      </c>
      <c r="AQ214" s="4">
        <v>1</v>
      </c>
      <c r="AR214" s="4"/>
      <c r="AS214" s="4"/>
      <c r="AT214" s="4"/>
      <c r="AU214" s="4"/>
      <c r="AV214" s="4"/>
      <c r="AW214" s="4"/>
      <c r="AX214" s="4"/>
      <c r="AY214" s="3"/>
      <c r="BC214" s="3">
        <v>0</v>
      </c>
      <c r="BD214" s="3">
        <f t="shared" si="230"/>
        <v>0</v>
      </c>
      <c r="BE214" s="3">
        <v>0</v>
      </c>
      <c r="BF214" s="3">
        <f t="shared" si="231"/>
        <v>0</v>
      </c>
      <c r="BG214" s="3">
        <v>0</v>
      </c>
      <c r="BH214" s="3"/>
      <c r="BI214" s="3"/>
      <c r="BJ214" s="3">
        <v>0</v>
      </c>
      <c r="BK214" s="3">
        <f t="shared" si="232"/>
        <v>0</v>
      </c>
      <c r="BL214" s="3">
        <f t="shared" si="233"/>
        <v>0</v>
      </c>
      <c r="BM214" s="177">
        <f t="shared" si="234"/>
        <v>0</v>
      </c>
      <c r="BN214" s="3"/>
      <c r="BR214" s="3"/>
      <c r="BS214" s="3"/>
      <c r="BT214" s="3"/>
      <c r="BU214" s="3"/>
      <c r="BV214" s="3"/>
      <c r="BW214" s="3"/>
      <c r="BX214" s="3"/>
      <c r="BY214" s="3"/>
      <c r="BZ214" s="3"/>
      <c r="CA214" s="3"/>
      <c r="CB214" s="3"/>
      <c r="CC214" s="4"/>
      <c r="CD214" s="3"/>
      <c r="CE214" s="3"/>
      <c r="CF214" s="3"/>
      <c r="CG214" s="3"/>
      <c r="CH214" s="3"/>
      <c r="CI214" s="3"/>
      <c r="CJ214" s="3"/>
      <c r="CK214" s="3"/>
      <c r="CL214" s="3"/>
      <c r="CM214" s="3"/>
      <c r="CN214" s="3"/>
      <c r="CO214" s="3"/>
      <c r="CP214" s="3"/>
    </row>
    <row r="215" spans="1:94">
      <c r="A215" s="2" t="s">
        <v>45</v>
      </c>
      <c r="B215" s="3">
        <f>'Monthly D4 Gallon Data'!$W4</f>
        <v>0</v>
      </c>
      <c r="C215" s="3">
        <f>'Monthly D4 Gallon Data'!$W16</f>
        <v>0</v>
      </c>
      <c r="D215" s="3">
        <f>'Monthly D4 Gallon Data'!$W28</f>
        <v>0</v>
      </c>
      <c r="E215" s="3">
        <f>'Monthly D4 Gallon Data'!$W40</f>
        <v>0</v>
      </c>
      <c r="F215" s="3">
        <f>'Monthly D4 Gallon Data'!$W52</f>
        <v>0</v>
      </c>
      <c r="G215" s="3">
        <f>'Monthly D4 Gallon Data'!$W64</f>
        <v>0</v>
      </c>
      <c r="H215" s="3">
        <f>'Monthly D4 Gallon Data'!$W76</f>
        <v>0</v>
      </c>
      <c r="I215" s="3">
        <f>'Monthly D4 Gallon Data'!$W88</f>
        <v>0</v>
      </c>
      <c r="J215" s="3">
        <f>'Monthly D4 Gallon Data'!$W100</f>
        <v>0</v>
      </c>
      <c r="K215" s="3">
        <f>'Monthly D4 Gallon Data'!$W112</f>
        <v>0</v>
      </c>
      <c r="L215" s="3">
        <f>'Monthly D4 Gallon Data'!$W124</f>
        <v>0</v>
      </c>
      <c r="M215" s="3">
        <f>'Monthly D4 Gallon Data'!$W136</f>
        <v>0</v>
      </c>
      <c r="N215" s="3">
        <f>'Monthly D4 Gallon Data'!$W148</f>
        <v>0</v>
      </c>
      <c r="O215" s="3">
        <f>'Monthly D4 Gallon Data'!$W160</f>
        <v>0</v>
      </c>
      <c r="P215" s="3">
        <f>'Monthly D4 Gallon Data'!$W172</f>
        <v>0</v>
      </c>
      <c r="Q215" s="3">
        <f>'Monthly D4 Gallon Data'!$W184</f>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0</v>
      </c>
      <c r="AI215" s="4">
        <v>0</v>
      </c>
      <c r="AJ215" s="4">
        <v>0</v>
      </c>
      <c r="AK215" s="4">
        <v>0</v>
      </c>
      <c r="AL215" s="4">
        <v>0</v>
      </c>
      <c r="AM215" s="4">
        <v>0</v>
      </c>
      <c r="AN215" s="4">
        <v>0</v>
      </c>
      <c r="AO215" s="4">
        <v>0</v>
      </c>
      <c r="AP215" s="4">
        <v>0</v>
      </c>
      <c r="AQ215" s="4">
        <v>1</v>
      </c>
      <c r="AR215" s="4"/>
      <c r="AS215" s="4"/>
      <c r="AT215" s="4"/>
      <c r="AU215" s="4"/>
      <c r="AV215" s="4"/>
      <c r="AW215" s="4"/>
      <c r="AX215" s="4"/>
      <c r="AY215" s="3"/>
      <c r="BC215" s="3">
        <v>0</v>
      </c>
      <c r="BD215" s="3">
        <f t="shared" si="230"/>
        <v>0</v>
      </c>
      <c r="BE215" s="3">
        <v>0</v>
      </c>
      <c r="BF215" s="3">
        <f t="shared" si="231"/>
        <v>0</v>
      </c>
      <c r="BG215" s="3">
        <v>0</v>
      </c>
      <c r="BH215" s="3"/>
      <c r="BI215" s="3"/>
      <c r="BJ215" s="3">
        <v>0</v>
      </c>
      <c r="BK215" s="3">
        <f t="shared" si="232"/>
        <v>0</v>
      </c>
      <c r="BL215" s="3">
        <f t="shared" si="233"/>
        <v>0</v>
      </c>
      <c r="BM215" s="177">
        <f t="shared" si="234"/>
        <v>0</v>
      </c>
      <c r="BN215" s="3"/>
      <c r="BR215" s="3"/>
      <c r="BS215" s="3"/>
      <c r="BT215" s="3"/>
      <c r="BU215" s="3"/>
      <c r="BV215" s="3"/>
      <c r="BW215" s="3"/>
      <c r="BX215" s="3"/>
      <c r="BY215" s="3"/>
      <c r="BZ215" s="3"/>
      <c r="CA215" s="3"/>
      <c r="CB215" s="3"/>
      <c r="CC215" s="4"/>
      <c r="CD215" s="3"/>
      <c r="CE215" s="3"/>
      <c r="CF215" s="3"/>
      <c r="CG215" s="3"/>
      <c r="CH215" s="3"/>
      <c r="CI215" s="3"/>
      <c r="CJ215" s="3"/>
      <c r="CK215" s="3"/>
      <c r="CL215" s="3"/>
      <c r="CM215" s="3"/>
      <c r="CN215" s="3"/>
      <c r="CO215" s="3"/>
      <c r="CP215" s="3"/>
    </row>
    <row r="216" spans="1:94">
      <c r="A216" s="2" t="s">
        <v>46</v>
      </c>
      <c r="B216" s="3">
        <f>'Monthly D4 Gallon Data'!$W5</f>
        <v>0</v>
      </c>
      <c r="C216" s="3">
        <f>'Monthly D4 Gallon Data'!$W17</f>
        <v>0</v>
      </c>
      <c r="D216" s="3">
        <f>'Monthly D4 Gallon Data'!$W29</f>
        <v>0</v>
      </c>
      <c r="E216" s="3">
        <f>'Monthly D4 Gallon Data'!$W41</f>
        <v>0</v>
      </c>
      <c r="F216" s="3">
        <f>'Monthly D4 Gallon Data'!$W53</f>
        <v>0</v>
      </c>
      <c r="G216" s="3">
        <f>'Monthly D4 Gallon Data'!$W65</f>
        <v>0</v>
      </c>
      <c r="H216" s="3">
        <f>'Monthly D4 Gallon Data'!$W77</f>
        <v>0</v>
      </c>
      <c r="I216" s="3">
        <f>'Monthly D4 Gallon Data'!$W89</f>
        <v>0</v>
      </c>
      <c r="J216" s="3">
        <f>'Monthly D4 Gallon Data'!$W101</f>
        <v>0</v>
      </c>
      <c r="K216" s="3">
        <f>'Monthly D4 Gallon Data'!$W113</f>
        <v>0</v>
      </c>
      <c r="L216" s="3">
        <f>'Monthly D4 Gallon Data'!$W125</f>
        <v>0</v>
      </c>
      <c r="M216" s="3">
        <f>'Monthly D4 Gallon Data'!$W137</f>
        <v>0</v>
      </c>
      <c r="N216" s="3">
        <f>'Monthly D4 Gallon Data'!$W149</f>
        <v>0</v>
      </c>
      <c r="O216" s="3">
        <f>'Monthly D4 Gallon Data'!$W161</f>
        <v>0</v>
      </c>
      <c r="P216" s="3">
        <f>'Monthly D4 Gallon Data'!$W173</f>
        <v>0</v>
      </c>
      <c r="Q216" s="4">
        <v>0</v>
      </c>
      <c r="R216" s="4">
        <v>0</v>
      </c>
      <c r="S216" s="4">
        <v>0</v>
      </c>
      <c r="T216" s="4">
        <v>0</v>
      </c>
      <c r="U216" s="4">
        <v>0</v>
      </c>
      <c r="V216" s="4">
        <v>0</v>
      </c>
      <c r="W216" s="4">
        <v>0</v>
      </c>
      <c r="X216" s="4">
        <v>0</v>
      </c>
      <c r="Y216" s="4">
        <v>0</v>
      </c>
      <c r="Z216" s="4">
        <v>0</v>
      </c>
      <c r="AA216" s="4">
        <v>0</v>
      </c>
      <c r="AB216" s="4">
        <v>0</v>
      </c>
      <c r="AC216" s="4">
        <v>0</v>
      </c>
      <c r="AD216" s="4">
        <v>0</v>
      </c>
      <c r="AE216" s="4">
        <v>0</v>
      </c>
      <c r="AF216" s="4">
        <v>0</v>
      </c>
      <c r="AG216" s="4">
        <v>0</v>
      </c>
      <c r="AH216" s="4">
        <v>0</v>
      </c>
      <c r="AI216" s="4">
        <v>0</v>
      </c>
      <c r="AJ216" s="4">
        <v>0</v>
      </c>
      <c r="AK216" s="4">
        <v>0</v>
      </c>
      <c r="AL216" s="4">
        <v>0</v>
      </c>
      <c r="AM216" s="4">
        <v>0</v>
      </c>
      <c r="AN216" s="4">
        <v>0</v>
      </c>
      <c r="AO216" s="4">
        <v>0</v>
      </c>
      <c r="AP216" s="4">
        <v>0</v>
      </c>
      <c r="AQ216" s="4">
        <v>1</v>
      </c>
      <c r="AR216" s="4"/>
      <c r="AS216" s="4"/>
      <c r="AT216" s="4"/>
      <c r="AU216" s="4"/>
      <c r="AV216" s="4"/>
      <c r="AW216" s="4"/>
      <c r="AX216" s="4"/>
      <c r="AY216" s="3"/>
      <c r="BC216" s="3">
        <v>0</v>
      </c>
      <c r="BD216" s="3">
        <f t="shared" si="230"/>
        <v>0</v>
      </c>
      <c r="BE216" s="3">
        <v>0</v>
      </c>
      <c r="BF216" s="3">
        <f t="shared" si="231"/>
        <v>0</v>
      </c>
      <c r="BG216" s="3">
        <v>0</v>
      </c>
      <c r="BH216" s="3"/>
      <c r="BI216" s="3"/>
      <c r="BJ216" s="4">
        <v>0</v>
      </c>
      <c r="BK216" s="3">
        <f t="shared" si="232"/>
        <v>0</v>
      </c>
      <c r="BL216" s="3">
        <f t="shared" si="233"/>
        <v>0</v>
      </c>
      <c r="BM216" s="177">
        <f t="shared" si="234"/>
        <v>0</v>
      </c>
      <c r="BN216" s="3"/>
      <c r="BR216" s="3"/>
      <c r="BS216" s="3"/>
      <c r="BT216" s="3"/>
      <c r="BU216" s="3"/>
      <c r="BV216" s="3"/>
      <c r="BW216" s="3"/>
      <c r="BX216" s="3"/>
      <c r="BY216" s="3"/>
      <c r="BZ216" s="3"/>
      <c r="CA216" s="3"/>
      <c r="CB216" s="3"/>
      <c r="CC216" s="4"/>
      <c r="CD216" s="3"/>
      <c r="CE216" s="3"/>
      <c r="CF216" s="3"/>
      <c r="CG216" s="3"/>
      <c r="CH216" s="3"/>
      <c r="CI216" s="3"/>
      <c r="CJ216" s="3"/>
      <c r="CK216" s="3"/>
      <c r="CL216" s="3"/>
      <c r="CM216" s="3"/>
      <c r="CN216" s="3"/>
      <c r="CO216" s="3"/>
      <c r="CP216" s="3"/>
    </row>
    <row r="217" spans="1:94">
      <c r="A217" s="2" t="s">
        <v>47</v>
      </c>
      <c r="B217" s="3">
        <f>'Monthly D4 Gallon Data'!$W6</f>
        <v>0</v>
      </c>
      <c r="C217" s="3">
        <f>'Monthly D4 Gallon Data'!$W18</f>
        <v>0</v>
      </c>
      <c r="D217" s="3">
        <f>'Monthly D4 Gallon Data'!$W30</f>
        <v>0</v>
      </c>
      <c r="E217" s="3">
        <f>'Monthly D4 Gallon Data'!$W42</f>
        <v>0</v>
      </c>
      <c r="F217" s="3">
        <f>'Monthly D4 Gallon Data'!$W54</f>
        <v>0</v>
      </c>
      <c r="G217" s="3">
        <f>'Monthly D4 Gallon Data'!$W66</f>
        <v>0</v>
      </c>
      <c r="H217" s="3">
        <f>'Monthly D4 Gallon Data'!$W78</f>
        <v>0</v>
      </c>
      <c r="I217" s="3">
        <f>'Monthly D4 Gallon Data'!$W90</f>
        <v>0</v>
      </c>
      <c r="J217" s="3">
        <f>'Monthly D4 Gallon Data'!$W102</f>
        <v>0</v>
      </c>
      <c r="K217" s="3">
        <f>'Monthly D4 Gallon Data'!$W114</f>
        <v>0</v>
      </c>
      <c r="L217" s="3">
        <f>'Monthly D4 Gallon Data'!$W126</f>
        <v>0</v>
      </c>
      <c r="M217" s="3">
        <f>'Monthly D4 Gallon Data'!$W138</f>
        <v>0</v>
      </c>
      <c r="N217" s="3">
        <f>'Monthly D4 Gallon Data'!$W150</f>
        <v>0</v>
      </c>
      <c r="O217" s="3">
        <f>'Monthly D4 Gallon Data'!$W162</f>
        <v>0</v>
      </c>
      <c r="P217" s="3">
        <f>'Monthly D4 Gallon Data'!$W174</f>
        <v>0</v>
      </c>
      <c r="Q217" s="4">
        <v>0</v>
      </c>
      <c r="R217" s="4">
        <v>0</v>
      </c>
      <c r="S217" s="4">
        <v>0</v>
      </c>
      <c r="T217" s="4">
        <v>0</v>
      </c>
      <c r="U217" s="4">
        <v>0</v>
      </c>
      <c r="V217" s="4">
        <v>0</v>
      </c>
      <c r="W217" s="4">
        <v>0</v>
      </c>
      <c r="X217" s="4">
        <v>0</v>
      </c>
      <c r="Y217" s="4">
        <v>0</v>
      </c>
      <c r="Z217" s="4">
        <v>0</v>
      </c>
      <c r="AA217" s="4">
        <v>0</v>
      </c>
      <c r="AB217" s="4">
        <v>0</v>
      </c>
      <c r="AC217" s="4">
        <v>0</v>
      </c>
      <c r="AD217" s="4">
        <v>0</v>
      </c>
      <c r="AE217" s="4">
        <v>0</v>
      </c>
      <c r="AF217" s="4">
        <v>0</v>
      </c>
      <c r="AG217" s="4">
        <v>0</v>
      </c>
      <c r="AH217" s="4">
        <v>0</v>
      </c>
      <c r="AI217" s="4">
        <v>0</v>
      </c>
      <c r="AJ217" s="4">
        <v>0</v>
      </c>
      <c r="AK217" s="4">
        <v>0</v>
      </c>
      <c r="AL217" s="4">
        <v>0</v>
      </c>
      <c r="AM217" s="4">
        <v>0</v>
      </c>
      <c r="AN217" s="4">
        <v>0</v>
      </c>
      <c r="AO217" s="4">
        <v>0</v>
      </c>
      <c r="AP217" s="4">
        <v>0</v>
      </c>
      <c r="AQ217" s="4">
        <v>1</v>
      </c>
      <c r="AR217" s="4"/>
      <c r="AS217" s="4"/>
      <c r="AT217" s="4"/>
      <c r="AU217" s="4"/>
      <c r="AV217" s="4"/>
      <c r="AW217" s="4"/>
      <c r="AX217" s="4"/>
      <c r="AY217" s="3"/>
      <c r="BA217" s="3">
        <v>0</v>
      </c>
      <c r="BB217" s="3">
        <f t="shared" ref="BB217:BB225" si="235">K217-BA217</f>
        <v>0</v>
      </c>
      <c r="BC217" s="3">
        <v>0</v>
      </c>
      <c r="BD217" s="3">
        <f t="shared" si="230"/>
        <v>0</v>
      </c>
      <c r="BE217" s="3">
        <v>0</v>
      </c>
      <c r="BF217" s="3">
        <f t="shared" si="231"/>
        <v>0</v>
      </c>
      <c r="BG217" s="3">
        <v>0</v>
      </c>
      <c r="BH217" s="3"/>
      <c r="BI217" s="3"/>
      <c r="BJ217" s="4">
        <v>0</v>
      </c>
      <c r="BK217" s="3">
        <f t="shared" si="232"/>
        <v>0</v>
      </c>
      <c r="BL217" s="3">
        <f t="shared" si="233"/>
        <v>0</v>
      </c>
      <c r="BM217" s="177">
        <f t="shared" si="234"/>
        <v>0</v>
      </c>
      <c r="BN217" s="3"/>
      <c r="BR217" s="3"/>
      <c r="BS217" s="3"/>
      <c r="BT217" s="3"/>
      <c r="BU217" s="3"/>
      <c r="BV217" s="3"/>
      <c r="BW217" s="3"/>
      <c r="BX217" s="3"/>
      <c r="BY217" s="3"/>
      <c r="BZ217" s="3"/>
      <c r="CA217" s="3"/>
      <c r="CB217" s="3"/>
      <c r="CC217" s="4"/>
      <c r="CD217" s="3"/>
      <c r="CE217" s="3"/>
      <c r="CF217" s="3"/>
      <c r="CG217" s="3"/>
      <c r="CH217" s="3"/>
      <c r="CI217" s="3"/>
      <c r="CJ217" s="3"/>
      <c r="CK217" s="3"/>
      <c r="CL217" s="3"/>
      <c r="CM217" s="3"/>
      <c r="CN217" s="3"/>
      <c r="CO217" s="3"/>
      <c r="CP217" s="3"/>
    </row>
    <row r="218" spans="1:94">
      <c r="A218" s="2" t="s">
        <v>48</v>
      </c>
      <c r="B218" s="3">
        <f>'Monthly D4 Gallon Data'!$W7</f>
        <v>0</v>
      </c>
      <c r="C218" s="3">
        <f>'Monthly D4 Gallon Data'!$W19</f>
        <v>0</v>
      </c>
      <c r="D218" s="3">
        <f>'Monthly D4 Gallon Data'!$W31</f>
        <v>0</v>
      </c>
      <c r="E218" s="3">
        <f>'Monthly D4 Gallon Data'!$W43</f>
        <v>0</v>
      </c>
      <c r="F218" s="3">
        <f>'Monthly D4 Gallon Data'!$W55</f>
        <v>0</v>
      </c>
      <c r="G218" s="3">
        <f>'Monthly D4 Gallon Data'!$W67</f>
        <v>0</v>
      </c>
      <c r="H218" s="3">
        <f>'Monthly D4 Gallon Data'!$W79</f>
        <v>0</v>
      </c>
      <c r="I218" s="3">
        <f>'Monthly D4 Gallon Data'!$W91</f>
        <v>0</v>
      </c>
      <c r="J218" s="3">
        <f>'Monthly D4 Gallon Data'!$W103</f>
        <v>0</v>
      </c>
      <c r="K218" s="3">
        <f>'Monthly D4 Gallon Data'!$W115</f>
        <v>0</v>
      </c>
      <c r="L218" s="3">
        <f>'Monthly D4 Gallon Data'!$W127</f>
        <v>0</v>
      </c>
      <c r="M218" s="3">
        <f>'Monthly D4 Gallon Data'!$W139</f>
        <v>0</v>
      </c>
      <c r="N218" s="3">
        <f>'Monthly D4 Gallon Data'!$W151</f>
        <v>0</v>
      </c>
      <c r="O218" s="3">
        <f>'Monthly D4 Gallon Data'!$W163</f>
        <v>0</v>
      </c>
      <c r="P218" s="3">
        <f>'Monthly D4 Gallon Data'!$W175</f>
        <v>0</v>
      </c>
      <c r="Q218" s="4">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0</v>
      </c>
      <c r="AI218" s="4">
        <v>0</v>
      </c>
      <c r="AJ218" s="4">
        <v>0</v>
      </c>
      <c r="AK218" s="4">
        <v>0</v>
      </c>
      <c r="AL218" s="4">
        <v>0</v>
      </c>
      <c r="AM218" s="4">
        <v>0</v>
      </c>
      <c r="AN218" s="4">
        <v>0</v>
      </c>
      <c r="AO218" s="4">
        <v>0</v>
      </c>
      <c r="AP218" s="4">
        <v>0</v>
      </c>
      <c r="AQ218" s="4">
        <v>1</v>
      </c>
      <c r="AR218" s="4"/>
      <c r="AS218" s="4"/>
      <c r="AT218" s="4"/>
      <c r="AU218" s="4"/>
      <c r="AV218" s="4"/>
      <c r="AW218" s="4"/>
      <c r="AX218" s="4"/>
      <c r="AY218" s="3"/>
      <c r="BA218" s="3">
        <v>0</v>
      </c>
      <c r="BB218" s="3">
        <f t="shared" si="235"/>
        <v>0</v>
      </c>
      <c r="BC218" s="3">
        <v>0</v>
      </c>
      <c r="BD218" s="3">
        <f t="shared" si="230"/>
        <v>0</v>
      </c>
      <c r="BE218" s="3">
        <v>0</v>
      </c>
      <c r="BF218" s="3">
        <f t="shared" si="231"/>
        <v>0</v>
      </c>
      <c r="BG218" s="3">
        <v>0</v>
      </c>
      <c r="BH218" s="3"/>
      <c r="BI218" s="3"/>
      <c r="BJ218" s="4">
        <v>0</v>
      </c>
      <c r="BK218" s="3">
        <f t="shared" si="232"/>
        <v>0</v>
      </c>
      <c r="BL218" s="3">
        <f t="shared" si="233"/>
        <v>0</v>
      </c>
      <c r="BM218" s="177">
        <f t="shared" si="234"/>
        <v>0</v>
      </c>
      <c r="BN218" s="3"/>
      <c r="BR218" s="3"/>
      <c r="BS218" s="3"/>
      <c r="BT218" s="3"/>
      <c r="BU218" s="3"/>
      <c r="BV218" s="3"/>
      <c r="BW218" s="3"/>
      <c r="BX218" s="3"/>
      <c r="BY218" s="3"/>
      <c r="BZ218" s="3"/>
      <c r="CA218" s="3"/>
      <c r="CB218" s="3"/>
      <c r="CC218" s="4"/>
      <c r="CD218" s="3"/>
      <c r="CE218" s="3"/>
      <c r="CF218" s="3"/>
      <c r="CG218" s="3"/>
      <c r="CH218" s="3"/>
      <c r="CI218" s="3"/>
      <c r="CJ218" s="3"/>
      <c r="CK218" s="3"/>
      <c r="CL218" s="3"/>
      <c r="CM218" s="3"/>
      <c r="CN218" s="3"/>
      <c r="CO218" s="3"/>
      <c r="CP218" s="3"/>
    </row>
    <row r="219" spans="1:94">
      <c r="A219" s="2" t="s">
        <v>49</v>
      </c>
      <c r="B219" s="3">
        <f>'Monthly D4 Gallon Data'!$W8</f>
        <v>0</v>
      </c>
      <c r="C219" s="3">
        <f>'Monthly D4 Gallon Data'!$W20</f>
        <v>0</v>
      </c>
      <c r="D219" s="3">
        <f>'Monthly D4 Gallon Data'!$W32</f>
        <v>0</v>
      </c>
      <c r="E219" s="3">
        <f>'Monthly D4 Gallon Data'!$W44</f>
        <v>0</v>
      </c>
      <c r="F219" s="3">
        <f>'Monthly D4 Gallon Data'!$W56</f>
        <v>0</v>
      </c>
      <c r="G219" s="3">
        <f>'Monthly D4 Gallon Data'!$W68</f>
        <v>0</v>
      </c>
      <c r="H219" s="3">
        <f>'Monthly D4 Gallon Data'!$W80</f>
        <v>0</v>
      </c>
      <c r="I219" s="3">
        <f>'Monthly D4 Gallon Data'!$W92</f>
        <v>0</v>
      </c>
      <c r="J219" s="3">
        <f>'Monthly D4 Gallon Data'!$W104</f>
        <v>0</v>
      </c>
      <c r="K219" s="3">
        <f>'Monthly D4 Gallon Data'!$W116</f>
        <v>0</v>
      </c>
      <c r="L219" s="3">
        <f>'Monthly D4 Gallon Data'!$W128</f>
        <v>0</v>
      </c>
      <c r="M219" s="3">
        <f>'Monthly D4 Gallon Data'!$W140</f>
        <v>0</v>
      </c>
      <c r="N219" s="3">
        <f>'Monthly D4 Gallon Data'!$W152</f>
        <v>0</v>
      </c>
      <c r="O219" s="3">
        <f>'Monthly D4 Gallon Data'!$W164</f>
        <v>0</v>
      </c>
      <c r="P219" s="3">
        <f>'Monthly D4 Gallon Data'!$W176</f>
        <v>0</v>
      </c>
      <c r="Q219" s="4">
        <v>0</v>
      </c>
      <c r="R219" s="4">
        <v>0</v>
      </c>
      <c r="S219" s="4">
        <v>0</v>
      </c>
      <c r="T219" s="4">
        <v>0</v>
      </c>
      <c r="U219" s="4">
        <v>0</v>
      </c>
      <c r="V219" s="4">
        <v>0</v>
      </c>
      <c r="W219" s="4">
        <v>0</v>
      </c>
      <c r="X219" s="4">
        <v>0</v>
      </c>
      <c r="Y219" s="4">
        <v>0</v>
      </c>
      <c r="Z219" s="4">
        <v>0</v>
      </c>
      <c r="AA219" s="4">
        <v>0</v>
      </c>
      <c r="AB219" s="4">
        <v>0</v>
      </c>
      <c r="AC219" s="4">
        <v>0</v>
      </c>
      <c r="AD219" s="4">
        <v>0</v>
      </c>
      <c r="AE219" s="4">
        <v>0</v>
      </c>
      <c r="AF219" s="4">
        <v>0</v>
      </c>
      <c r="AG219" s="4">
        <v>0</v>
      </c>
      <c r="AH219" s="4">
        <v>0</v>
      </c>
      <c r="AI219" s="4">
        <v>0</v>
      </c>
      <c r="AJ219" s="4">
        <v>0</v>
      </c>
      <c r="AK219" s="4">
        <v>0</v>
      </c>
      <c r="AL219" s="4">
        <v>0</v>
      </c>
      <c r="AM219" s="4">
        <v>0</v>
      </c>
      <c r="AN219" s="4">
        <v>0</v>
      </c>
      <c r="AO219" s="4">
        <v>0</v>
      </c>
      <c r="AP219" s="4">
        <v>0</v>
      </c>
      <c r="AQ219" s="4">
        <v>1</v>
      </c>
      <c r="AR219" s="4"/>
      <c r="AS219" s="4"/>
      <c r="AT219" s="4"/>
      <c r="AU219" s="4"/>
      <c r="AV219" s="4"/>
      <c r="AW219" s="4"/>
      <c r="AX219" s="4"/>
      <c r="AY219" s="3"/>
      <c r="BA219" s="3">
        <v>0</v>
      </c>
      <c r="BB219" s="3">
        <f t="shared" si="235"/>
        <v>0</v>
      </c>
      <c r="BC219" s="3">
        <v>0</v>
      </c>
      <c r="BD219" s="3">
        <f t="shared" si="230"/>
        <v>0</v>
      </c>
      <c r="BE219" s="3">
        <v>0</v>
      </c>
      <c r="BF219" s="3">
        <f t="shared" si="231"/>
        <v>0</v>
      </c>
      <c r="BG219" s="3">
        <v>0</v>
      </c>
      <c r="BH219" s="3"/>
      <c r="BI219" s="3"/>
      <c r="BJ219" s="4">
        <v>0</v>
      </c>
      <c r="BK219" s="3">
        <f t="shared" si="232"/>
        <v>0</v>
      </c>
      <c r="BL219" s="3">
        <f t="shared" si="233"/>
        <v>0</v>
      </c>
      <c r="BM219" s="177">
        <f t="shared" si="234"/>
        <v>0</v>
      </c>
      <c r="BN219" s="3"/>
      <c r="BR219" s="3"/>
      <c r="BS219" s="3"/>
      <c r="BT219" s="3"/>
      <c r="BU219" s="3"/>
      <c r="BV219" s="3"/>
      <c r="BW219" s="3"/>
      <c r="BX219" s="3"/>
      <c r="BY219" s="3"/>
      <c r="BZ219" s="3"/>
      <c r="CA219" s="3"/>
      <c r="CB219" s="3"/>
      <c r="CC219" s="4"/>
      <c r="CD219" s="3"/>
      <c r="CE219" s="3"/>
      <c r="CF219" s="3"/>
      <c r="CG219" s="3"/>
      <c r="CH219" s="3"/>
      <c r="CI219" s="3"/>
      <c r="CJ219" s="3"/>
      <c r="CK219" s="3"/>
      <c r="CL219" s="3"/>
      <c r="CM219" s="3"/>
      <c r="CN219" s="3"/>
      <c r="CO219" s="3"/>
      <c r="CP219" s="3"/>
    </row>
    <row r="220" spans="1:94">
      <c r="A220" s="2" t="s">
        <v>50</v>
      </c>
      <c r="B220" s="3">
        <f>'Monthly D4 Gallon Data'!$W9</f>
        <v>0</v>
      </c>
      <c r="C220" s="3">
        <f>'Monthly D4 Gallon Data'!$W21</f>
        <v>0</v>
      </c>
      <c r="D220" s="3">
        <f>'Monthly D4 Gallon Data'!$W33</f>
        <v>0</v>
      </c>
      <c r="E220" s="3">
        <f>'Monthly D4 Gallon Data'!$W45</f>
        <v>0</v>
      </c>
      <c r="F220" s="3">
        <f>'Monthly D4 Gallon Data'!$W57</f>
        <v>0</v>
      </c>
      <c r="G220" s="3">
        <f>'Monthly D4 Gallon Data'!$W69</f>
        <v>0</v>
      </c>
      <c r="H220" s="3">
        <f>'Monthly D4 Gallon Data'!$W81</f>
        <v>0</v>
      </c>
      <c r="I220" s="3">
        <f>'Monthly D4 Gallon Data'!$W93</f>
        <v>0</v>
      </c>
      <c r="J220" s="3">
        <f>'Monthly D4 Gallon Data'!$W105</f>
        <v>0</v>
      </c>
      <c r="K220" s="3">
        <f>'Monthly D4 Gallon Data'!$W117</f>
        <v>0</v>
      </c>
      <c r="L220" s="3">
        <f>'Monthly D4 Gallon Data'!$W129</f>
        <v>0</v>
      </c>
      <c r="M220" s="3">
        <f>'Monthly D4 Gallon Data'!$W141</f>
        <v>0</v>
      </c>
      <c r="N220" s="3">
        <f>'Monthly D4 Gallon Data'!$W153</f>
        <v>0</v>
      </c>
      <c r="O220" s="3">
        <f>'Monthly D4 Gallon Data'!$W165</f>
        <v>0</v>
      </c>
      <c r="P220" s="3">
        <f>'Monthly D4 Gallon Data'!$W177</f>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4">
        <v>0</v>
      </c>
      <c r="AH220" s="4">
        <v>0</v>
      </c>
      <c r="AI220" s="4">
        <v>0</v>
      </c>
      <c r="AJ220" s="4">
        <v>0</v>
      </c>
      <c r="AK220" s="4">
        <v>0</v>
      </c>
      <c r="AL220" s="4">
        <v>0</v>
      </c>
      <c r="AM220" s="4">
        <v>0</v>
      </c>
      <c r="AN220" s="4">
        <v>0</v>
      </c>
      <c r="AO220" s="4">
        <v>0</v>
      </c>
      <c r="AP220" s="4">
        <v>0</v>
      </c>
      <c r="AQ220" s="4">
        <v>1</v>
      </c>
      <c r="AR220" s="4"/>
      <c r="AS220" s="4"/>
      <c r="AT220" s="4"/>
      <c r="AU220" s="4"/>
      <c r="AV220" s="4"/>
      <c r="AW220" s="4"/>
      <c r="AX220" s="4"/>
      <c r="AY220" s="3"/>
      <c r="BA220" s="3">
        <v>0</v>
      </c>
      <c r="BB220" s="3">
        <f t="shared" si="235"/>
        <v>0</v>
      </c>
      <c r="BC220" s="3">
        <v>0</v>
      </c>
      <c r="BD220" s="3">
        <f t="shared" si="230"/>
        <v>0</v>
      </c>
      <c r="BE220" s="3">
        <v>0</v>
      </c>
      <c r="BF220" s="3">
        <f t="shared" si="231"/>
        <v>0</v>
      </c>
      <c r="BG220" s="3">
        <v>0</v>
      </c>
      <c r="BH220" s="3"/>
      <c r="BI220" s="3"/>
      <c r="BJ220" s="4">
        <v>0</v>
      </c>
      <c r="BK220" s="3">
        <f t="shared" si="232"/>
        <v>0</v>
      </c>
      <c r="BL220" s="3">
        <f t="shared" si="233"/>
        <v>0</v>
      </c>
      <c r="BM220" s="177">
        <f t="shared" si="234"/>
        <v>0</v>
      </c>
      <c r="BN220" s="3"/>
      <c r="BR220" s="3"/>
      <c r="BS220" s="3"/>
      <c r="BT220" s="3"/>
      <c r="BU220" s="3"/>
      <c r="BV220" s="3"/>
      <c r="BW220" s="3"/>
      <c r="BX220" s="3"/>
      <c r="BY220" s="3"/>
      <c r="BZ220" s="3"/>
      <c r="CA220" s="3"/>
      <c r="CB220" s="3"/>
      <c r="CC220" s="4"/>
      <c r="CD220" s="3"/>
      <c r="CE220" s="3"/>
      <c r="CF220" s="3"/>
      <c r="CG220" s="3"/>
      <c r="CH220" s="3"/>
      <c r="CI220" s="3"/>
      <c r="CJ220" s="3"/>
      <c r="CK220" s="3"/>
      <c r="CL220" s="3"/>
      <c r="CM220" s="3"/>
      <c r="CN220" s="3"/>
      <c r="CO220" s="3"/>
      <c r="CP220" s="3"/>
    </row>
    <row r="221" spans="1:94">
      <c r="A221" s="2" t="s">
        <v>51</v>
      </c>
      <c r="B221" s="3">
        <f>'Monthly D4 Gallon Data'!$W10</f>
        <v>0</v>
      </c>
      <c r="C221" s="3">
        <f>'Monthly D4 Gallon Data'!$W22</f>
        <v>0</v>
      </c>
      <c r="D221" s="3">
        <f>'Monthly D4 Gallon Data'!$W34</f>
        <v>0</v>
      </c>
      <c r="E221" s="3">
        <f>'Monthly D4 Gallon Data'!$W46</f>
        <v>0</v>
      </c>
      <c r="F221" s="3">
        <f>'Monthly D4 Gallon Data'!$W58</f>
        <v>0</v>
      </c>
      <c r="G221" s="3">
        <f>'Monthly D4 Gallon Data'!$W70</f>
        <v>0</v>
      </c>
      <c r="H221" s="3">
        <f>'Monthly D4 Gallon Data'!$W82</f>
        <v>0</v>
      </c>
      <c r="I221" s="3">
        <f>'Monthly D4 Gallon Data'!$W94</f>
        <v>0</v>
      </c>
      <c r="J221" s="3">
        <f>'Monthly D4 Gallon Data'!$W106</f>
        <v>0</v>
      </c>
      <c r="K221" s="3">
        <f>'Monthly D4 Gallon Data'!$W118</f>
        <v>0</v>
      </c>
      <c r="L221" s="3">
        <f>'Monthly D4 Gallon Data'!$W130</f>
        <v>0</v>
      </c>
      <c r="M221" s="3">
        <f>'Monthly D4 Gallon Data'!$W142</f>
        <v>0</v>
      </c>
      <c r="N221" s="3">
        <f>'Monthly D4 Gallon Data'!$W154</f>
        <v>0</v>
      </c>
      <c r="O221" s="3">
        <f>'Monthly D4 Gallon Data'!$W166</f>
        <v>0</v>
      </c>
      <c r="P221" s="3">
        <f>'Monthly D4 Gallon Data'!$W178</f>
        <v>0</v>
      </c>
      <c r="Q221" s="4">
        <v>0</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4">
        <v>0</v>
      </c>
      <c r="AK221" s="4">
        <v>0</v>
      </c>
      <c r="AL221" s="4">
        <v>0</v>
      </c>
      <c r="AM221" s="4">
        <v>0</v>
      </c>
      <c r="AN221" s="4">
        <v>0</v>
      </c>
      <c r="AO221" s="4">
        <v>0</v>
      </c>
      <c r="AP221" s="4">
        <v>0</v>
      </c>
      <c r="AQ221" s="4">
        <v>1</v>
      </c>
      <c r="AR221" s="4"/>
      <c r="AS221" s="4"/>
      <c r="AT221" s="4"/>
      <c r="AU221" s="4"/>
      <c r="AV221" s="4"/>
      <c r="AW221" s="4"/>
      <c r="AX221" s="4"/>
      <c r="AY221" s="3"/>
      <c r="BA221" s="3">
        <v>0</v>
      </c>
      <c r="BB221" s="3">
        <f t="shared" si="235"/>
        <v>0</v>
      </c>
      <c r="BC221" s="3">
        <v>0</v>
      </c>
      <c r="BD221" s="3">
        <f t="shared" si="230"/>
        <v>0</v>
      </c>
      <c r="BE221" s="3">
        <v>0</v>
      </c>
      <c r="BF221" s="3">
        <f t="shared" si="231"/>
        <v>0</v>
      </c>
      <c r="BG221" s="3">
        <v>0</v>
      </c>
      <c r="BH221" s="3"/>
      <c r="BI221" s="3"/>
      <c r="BJ221" s="4">
        <v>0</v>
      </c>
      <c r="BK221" s="3">
        <f t="shared" si="232"/>
        <v>0</v>
      </c>
      <c r="BL221" s="3">
        <f t="shared" si="233"/>
        <v>0</v>
      </c>
      <c r="BM221" s="177">
        <f t="shared" si="234"/>
        <v>0</v>
      </c>
      <c r="BN221" s="3"/>
      <c r="BR221" s="3"/>
      <c r="BS221" s="3"/>
      <c r="BT221" s="3"/>
      <c r="BU221" s="3"/>
      <c r="BV221" s="3"/>
      <c r="BW221" s="3"/>
      <c r="BX221" s="3"/>
      <c r="BY221" s="3"/>
      <c r="BZ221" s="3"/>
      <c r="CA221" s="3"/>
      <c r="CB221" s="3"/>
      <c r="CC221" s="4"/>
      <c r="CD221" s="3"/>
      <c r="CE221" s="3"/>
      <c r="CF221" s="3"/>
      <c r="CG221" s="3"/>
      <c r="CH221" s="3"/>
      <c r="CI221" s="3"/>
      <c r="CJ221" s="3"/>
      <c r="CK221" s="3"/>
      <c r="CL221" s="3"/>
      <c r="CM221" s="3"/>
      <c r="CN221" s="3"/>
      <c r="CO221" s="3"/>
      <c r="CP221" s="3"/>
    </row>
    <row r="222" spans="1:94">
      <c r="A222" s="2" t="s">
        <v>52</v>
      </c>
      <c r="B222" s="3">
        <f>'Monthly D4 Gallon Data'!$W11</f>
        <v>0</v>
      </c>
      <c r="C222" s="3">
        <f>'Monthly D4 Gallon Data'!$W23</f>
        <v>0</v>
      </c>
      <c r="D222" s="3">
        <f>'Monthly D4 Gallon Data'!$W35</f>
        <v>0</v>
      </c>
      <c r="E222" s="3">
        <f>'Monthly D4 Gallon Data'!$W47</f>
        <v>0</v>
      </c>
      <c r="F222" s="3">
        <f>'Monthly D4 Gallon Data'!$W59</f>
        <v>0</v>
      </c>
      <c r="G222" s="3">
        <f>'Monthly D4 Gallon Data'!$W71</f>
        <v>0</v>
      </c>
      <c r="H222" s="3">
        <f>'Monthly D4 Gallon Data'!$W83</f>
        <v>0</v>
      </c>
      <c r="I222" s="3">
        <f>'Monthly D4 Gallon Data'!$W95</f>
        <v>0</v>
      </c>
      <c r="J222" s="3">
        <f>'Monthly D4 Gallon Data'!$W107</f>
        <v>0</v>
      </c>
      <c r="K222" s="3">
        <f>'Monthly D4 Gallon Data'!$W119</f>
        <v>0</v>
      </c>
      <c r="L222" s="3">
        <f>'Monthly D4 Gallon Data'!$W131</f>
        <v>0</v>
      </c>
      <c r="M222" s="3">
        <f>'Monthly D4 Gallon Data'!$W143</f>
        <v>0</v>
      </c>
      <c r="N222" s="3">
        <f>'Monthly D4 Gallon Data'!$W155</f>
        <v>0</v>
      </c>
      <c r="O222" s="3">
        <f>'Monthly D4 Gallon Data'!$W167</f>
        <v>0</v>
      </c>
      <c r="P222" s="3">
        <f>'Monthly D4 Gallon Data'!$W179</f>
        <v>0</v>
      </c>
      <c r="Q222" s="4">
        <v>0</v>
      </c>
      <c r="R222" s="4">
        <v>0</v>
      </c>
      <c r="S222" s="4">
        <v>0</v>
      </c>
      <c r="T222" s="4">
        <v>0</v>
      </c>
      <c r="U222" s="4">
        <v>0</v>
      </c>
      <c r="V222" s="4">
        <v>0</v>
      </c>
      <c r="W222" s="4">
        <v>0</v>
      </c>
      <c r="X222" s="4">
        <v>0</v>
      </c>
      <c r="Y222" s="4">
        <v>0</v>
      </c>
      <c r="Z222" s="4">
        <v>0</v>
      </c>
      <c r="AA222" s="4">
        <v>0</v>
      </c>
      <c r="AB222" s="4">
        <v>0</v>
      </c>
      <c r="AC222" s="4">
        <v>0</v>
      </c>
      <c r="AD222" s="4">
        <v>0</v>
      </c>
      <c r="AE222" s="4">
        <v>0</v>
      </c>
      <c r="AF222" s="4">
        <v>0</v>
      </c>
      <c r="AG222" s="4">
        <v>0</v>
      </c>
      <c r="AH222" s="4">
        <v>0</v>
      </c>
      <c r="AI222" s="4">
        <v>0</v>
      </c>
      <c r="AJ222" s="4">
        <v>0</v>
      </c>
      <c r="AK222" s="4">
        <v>0</v>
      </c>
      <c r="AL222" s="4">
        <v>0</v>
      </c>
      <c r="AM222" s="4">
        <v>0</v>
      </c>
      <c r="AN222" s="4">
        <v>0</v>
      </c>
      <c r="AO222" s="4">
        <v>0</v>
      </c>
      <c r="AP222" s="4">
        <v>0</v>
      </c>
      <c r="AQ222" s="4">
        <v>1</v>
      </c>
      <c r="AR222" s="4"/>
      <c r="AS222" s="4"/>
      <c r="AT222" s="4"/>
      <c r="AU222" s="4"/>
      <c r="AV222" s="4"/>
      <c r="AW222" s="4"/>
      <c r="AX222" s="4"/>
      <c r="AY222" s="3"/>
      <c r="BA222" s="3">
        <v>0</v>
      </c>
      <c r="BB222" s="3">
        <f t="shared" si="235"/>
        <v>0</v>
      </c>
      <c r="BC222" s="3">
        <v>0</v>
      </c>
      <c r="BD222" s="3">
        <f t="shared" si="230"/>
        <v>0</v>
      </c>
      <c r="BE222" s="3">
        <v>0</v>
      </c>
      <c r="BF222" s="3">
        <f t="shared" si="231"/>
        <v>0</v>
      </c>
      <c r="BG222" s="3">
        <v>0</v>
      </c>
      <c r="BH222" s="3"/>
      <c r="BI222" s="3"/>
      <c r="BJ222" s="4">
        <v>0</v>
      </c>
      <c r="BK222" s="3">
        <f t="shared" si="232"/>
        <v>0</v>
      </c>
      <c r="BL222" s="3">
        <f t="shared" si="233"/>
        <v>0</v>
      </c>
      <c r="BM222" s="177">
        <f t="shared" si="234"/>
        <v>0</v>
      </c>
      <c r="BN222" s="3"/>
      <c r="BR222" s="3"/>
      <c r="BS222" s="3"/>
      <c r="BT222" s="3"/>
      <c r="BU222" s="3"/>
      <c r="BV222" s="3"/>
      <c r="BW222" s="3"/>
      <c r="BX222" s="3"/>
      <c r="BY222" s="3"/>
      <c r="BZ222" s="3"/>
      <c r="CA222" s="3"/>
      <c r="CB222" s="3"/>
      <c r="CC222" s="4"/>
      <c r="CD222" s="3"/>
      <c r="CE222" s="3"/>
      <c r="CF222" s="3"/>
      <c r="CG222" s="3"/>
      <c r="CH222" s="3"/>
      <c r="CI222" s="3"/>
      <c r="CJ222" s="3"/>
      <c r="CK222" s="3"/>
      <c r="CL222" s="3"/>
      <c r="CM222" s="3"/>
      <c r="CN222" s="3"/>
      <c r="CO222" s="3"/>
      <c r="CP222" s="3"/>
    </row>
    <row r="223" spans="1:94">
      <c r="A223" s="2" t="s">
        <v>53</v>
      </c>
      <c r="B223" s="3">
        <f>'Monthly D4 Gallon Data'!$W12</f>
        <v>0</v>
      </c>
      <c r="C223" s="3">
        <f>'Monthly D4 Gallon Data'!$W24</f>
        <v>0</v>
      </c>
      <c r="D223" s="3">
        <f>'Monthly D4 Gallon Data'!$W36</f>
        <v>0</v>
      </c>
      <c r="E223" s="3">
        <f>'Monthly D4 Gallon Data'!$W48</f>
        <v>0</v>
      </c>
      <c r="F223" s="3">
        <f>'Monthly D4 Gallon Data'!$W60</f>
        <v>0</v>
      </c>
      <c r="G223" s="3">
        <f>'Monthly D4 Gallon Data'!$W72</f>
        <v>0</v>
      </c>
      <c r="H223" s="3">
        <f>'Monthly D4 Gallon Data'!$W84</f>
        <v>0</v>
      </c>
      <c r="I223" s="3">
        <f>'Monthly D4 Gallon Data'!$W96</f>
        <v>0</v>
      </c>
      <c r="J223" s="3">
        <f>'Monthly D4 Gallon Data'!$W108</f>
        <v>0</v>
      </c>
      <c r="K223" s="3">
        <f>'Monthly D4 Gallon Data'!$W120</f>
        <v>0</v>
      </c>
      <c r="L223" s="3">
        <f>'Monthly D4 Gallon Data'!$W132</f>
        <v>0</v>
      </c>
      <c r="M223" s="3">
        <f>'Monthly D4 Gallon Data'!$W144</f>
        <v>0</v>
      </c>
      <c r="N223" s="3">
        <f>'Monthly D4 Gallon Data'!$W156</f>
        <v>0</v>
      </c>
      <c r="O223" s="3">
        <f>'Monthly D4 Gallon Data'!$W168</f>
        <v>0</v>
      </c>
      <c r="P223" s="3">
        <f>'Monthly D4 Gallon Data'!$W180</f>
        <v>0</v>
      </c>
      <c r="Q223" s="4">
        <v>0</v>
      </c>
      <c r="R223" s="4">
        <v>0</v>
      </c>
      <c r="S223" s="4">
        <v>0</v>
      </c>
      <c r="T223" s="4">
        <v>0</v>
      </c>
      <c r="U223" s="4">
        <v>0</v>
      </c>
      <c r="V223" s="4">
        <v>0</v>
      </c>
      <c r="W223" s="4">
        <v>0</v>
      </c>
      <c r="X223" s="4">
        <v>0</v>
      </c>
      <c r="Y223" s="4">
        <v>0</v>
      </c>
      <c r="Z223" s="4">
        <v>0</v>
      </c>
      <c r="AA223" s="4">
        <v>0</v>
      </c>
      <c r="AB223" s="4">
        <v>0</v>
      </c>
      <c r="AC223" s="4">
        <v>0</v>
      </c>
      <c r="AD223" s="4">
        <v>0</v>
      </c>
      <c r="AE223" s="4">
        <v>0</v>
      </c>
      <c r="AF223" s="4">
        <v>0</v>
      </c>
      <c r="AG223" s="4">
        <v>0</v>
      </c>
      <c r="AH223" s="4">
        <v>0</v>
      </c>
      <c r="AI223" s="4">
        <v>0</v>
      </c>
      <c r="AJ223" s="4">
        <v>0</v>
      </c>
      <c r="AK223" s="4">
        <v>0</v>
      </c>
      <c r="AL223" s="4">
        <v>0</v>
      </c>
      <c r="AM223" s="4">
        <v>0</v>
      </c>
      <c r="AN223" s="4">
        <v>0</v>
      </c>
      <c r="AO223" s="4">
        <v>0</v>
      </c>
      <c r="AP223" s="4">
        <v>0</v>
      </c>
      <c r="AQ223" s="4">
        <v>1</v>
      </c>
      <c r="AR223" s="4"/>
      <c r="AS223" s="4"/>
      <c r="AT223" s="4"/>
      <c r="AU223" s="4"/>
      <c r="AV223" s="4"/>
      <c r="AW223" s="4"/>
      <c r="AX223" s="4"/>
      <c r="AY223" s="3"/>
      <c r="BA223" s="3">
        <v>0</v>
      </c>
      <c r="BB223" s="3">
        <f t="shared" si="235"/>
        <v>0</v>
      </c>
      <c r="BC223" s="3">
        <v>0</v>
      </c>
      <c r="BD223" s="3">
        <f t="shared" si="230"/>
        <v>0</v>
      </c>
      <c r="BE223" s="3">
        <v>0</v>
      </c>
      <c r="BF223" s="3">
        <f t="shared" si="231"/>
        <v>0</v>
      </c>
      <c r="BG223" s="3">
        <v>0</v>
      </c>
      <c r="BH223" s="3"/>
      <c r="BI223" s="3"/>
      <c r="BJ223" s="4">
        <v>0</v>
      </c>
      <c r="BK223" s="3">
        <f t="shared" si="232"/>
        <v>0</v>
      </c>
      <c r="BL223" s="3">
        <f t="shared" si="233"/>
        <v>0</v>
      </c>
      <c r="BM223" s="177">
        <f t="shared" si="234"/>
        <v>0</v>
      </c>
      <c r="BN223" s="3"/>
      <c r="BR223" s="3"/>
      <c r="BS223" s="3"/>
      <c r="BT223" s="3"/>
      <c r="BU223" s="3"/>
      <c r="BV223" s="3"/>
      <c r="BW223" s="3"/>
      <c r="BX223" s="3"/>
      <c r="BY223" s="3"/>
      <c r="BZ223" s="3"/>
      <c r="CA223" s="3"/>
      <c r="CB223" s="3"/>
      <c r="CC223" s="4"/>
      <c r="CD223" s="3"/>
      <c r="CE223" s="3"/>
      <c r="CF223" s="3"/>
      <c r="CG223" s="3"/>
      <c r="CH223" s="3"/>
      <c r="CI223" s="3"/>
      <c r="CJ223" s="3"/>
      <c r="CK223" s="3"/>
      <c r="CL223" s="3"/>
      <c r="CM223" s="3"/>
      <c r="CN223" s="3"/>
      <c r="CO223" s="3"/>
      <c r="CP223" s="3"/>
    </row>
    <row r="224" spans="1:94">
      <c r="A224" s="2" t="s">
        <v>54</v>
      </c>
      <c r="B224" s="3">
        <f>'Monthly D4 Gallon Data'!$W13</f>
        <v>0</v>
      </c>
      <c r="C224" s="3">
        <f>'Monthly D4 Gallon Data'!$W25</f>
        <v>0</v>
      </c>
      <c r="D224" s="3">
        <f>'Monthly D4 Gallon Data'!$W37</f>
        <v>0</v>
      </c>
      <c r="E224" s="3">
        <f>'Monthly D4 Gallon Data'!$W49</f>
        <v>0</v>
      </c>
      <c r="F224" s="3">
        <f>'Monthly D4 Gallon Data'!$W61</f>
        <v>0</v>
      </c>
      <c r="G224" s="3">
        <f>'Monthly D4 Gallon Data'!$W73</f>
        <v>0</v>
      </c>
      <c r="H224" s="3">
        <f>'Monthly D4 Gallon Data'!$W85</f>
        <v>0</v>
      </c>
      <c r="I224" s="3">
        <f>'Monthly D4 Gallon Data'!$W97</f>
        <v>0</v>
      </c>
      <c r="J224" s="3">
        <f>'Monthly D4 Gallon Data'!$W109</f>
        <v>0</v>
      </c>
      <c r="K224" s="3">
        <f>'Monthly D4 Gallon Data'!$W121</f>
        <v>0</v>
      </c>
      <c r="L224" s="3">
        <f>'Monthly D4 Gallon Data'!$W133</f>
        <v>0</v>
      </c>
      <c r="M224" s="3">
        <f>'Monthly D4 Gallon Data'!$W145</f>
        <v>0</v>
      </c>
      <c r="N224" s="3">
        <f>'Monthly D4 Gallon Data'!$W157</f>
        <v>0</v>
      </c>
      <c r="O224" s="3">
        <f>'Monthly D4 Gallon Data'!$W169</f>
        <v>0</v>
      </c>
      <c r="P224" s="3">
        <f>'Monthly D4 Gallon Data'!$W181</f>
        <v>0</v>
      </c>
      <c r="Q224" s="4">
        <v>0</v>
      </c>
      <c r="R224" s="4">
        <v>0</v>
      </c>
      <c r="S224" s="4">
        <v>0</v>
      </c>
      <c r="T224" s="4">
        <v>0</v>
      </c>
      <c r="U224" s="4">
        <v>0</v>
      </c>
      <c r="V224" s="4">
        <v>0</v>
      </c>
      <c r="W224" s="4">
        <v>0</v>
      </c>
      <c r="X224" s="4">
        <v>0</v>
      </c>
      <c r="Y224" s="4">
        <v>0</v>
      </c>
      <c r="Z224" s="4">
        <v>0</v>
      </c>
      <c r="AA224" s="4">
        <v>0</v>
      </c>
      <c r="AB224" s="4">
        <v>0</v>
      </c>
      <c r="AC224" s="4">
        <v>0</v>
      </c>
      <c r="AD224" s="4">
        <v>0</v>
      </c>
      <c r="AE224" s="4">
        <v>0</v>
      </c>
      <c r="AF224" s="4">
        <v>0</v>
      </c>
      <c r="AG224" s="4">
        <v>0</v>
      </c>
      <c r="AH224" s="4">
        <v>0</v>
      </c>
      <c r="AI224" s="4">
        <v>0</v>
      </c>
      <c r="AJ224" s="4">
        <v>0</v>
      </c>
      <c r="AK224" s="4">
        <v>0</v>
      </c>
      <c r="AL224" s="4">
        <v>0</v>
      </c>
      <c r="AM224" s="4">
        <v>0</v>
      </c>
      <c r="AN224" s="4">
        <v>0</v>
      </c>
      <c r="AO224" s="4">
        <v>0</v>
      </c>
      <c r="AP224" s="4">
        <v>0</v>
      </c>
      <c r="AQ224" s="4">
        <v>1</v>
      </c>
      <c r="AR224" s="4"/>
      <c r="AS224" s="4"/>
      <c r="AT224" s="4"/>
      <c r="AU224" s="4"/>
      <c r="AV224" s="4"/>
      <c r="AW224" s="4"/>
      <c r="AX224" s="4"/>
      <c r="AY224" s="3"/>
      <c r="BA224" s="3">
        <v>0</v>
      </c>
      <c r="BB224" s="3">
        <f t="shared" si="235"/>
        <v>0</v>
      </c>
      <c r="BC224" s="3">
        <v>0</v>
      </c>
      <c r="BD224" s="3">
        <f t="shared" si="230"/>
        <v>0</v>
      </c>
      <c r="BE224" s="3">
        <v>0</v>
      </c>
      <c r="BF224" s="3">
        <f t="shared" si="231"/>
        <v>0</v>
      </c>
      <c r="BG224" s="3">
        <v>0</v>
      </c>
      <c r="BH224" s="3"/>
      <c r="BI224" s="3"/>
      <c r="BJ224" s="4">
        <v>0</v>
      </c>
      <c r="BK224" s="3">
        <f t="shared" si="232"/>
        <v>0</v>
      </c>
      <c r="BL224" s="3">
        <f t="shared" si="233"/>
        <v>0</v>
      </c>
      <c r="BM224" s="177">
        <f t="shared" si="234"/>
        <v>0</v>
      </c>
      <c r="BN224" s="3"/>
      <c r="BR224" s="3"/>
      <c r="BS224" s="3"/>
      <c r="BT224" s="3"/>
      <c r="BU224" s="3"/>
      <c r="BV224" s="3"/>
      <c r="BW224" s="3"/>
      <c r="BX224" s="3"/>
      <c r="BY224" s="3"/>
      <c r="BZ224" s="3"/>
      <c r="CA224" s="3"/>
      <c r="CB224" s="3"/>
      <c r="CC224" s="4"/>
      <c r="CD224" s="3"/>
      <c r="CE224" s="3"/>
      <c r="CF224" s="3"/>
      <c r="CG224" s="3"/>
      <c r="CH224" s="3"/>
      <c r="CI224" s="3"/>
      <c r="CJ224" s="3"/>
      <c r="CK224" s="3"/>
      <c r="CL224" s="3"/>
      <c r="CM224" s="3"/>
      <c r="CN224" s="3"/>
      <c r="CO224" s="3"/>
      <c r="CP224" s="3"/>
    </row>
    <row r="225" spans="1:94" ht="13.5" thickBot="1">
      <c r="A225" s="2" t="s">
        <v>29</v>
      </c>
      <c r="B225" s="3">
        <f>SUM(B213:B224)</f>
        <v>0</v>
      </c>
      <c r="C225" s="3">
        <f t="shared" ref="C225:AQ225" si="236">SUM(C213:C224)</f>
        <v>0</v>
      </c>
      <c r="D225" s="3">
        <f t="shared" si="236"/>
        <v>0</v>
      </c>
      <c r="E225" s="3">
        <f t="shared" si="236"/>
        <v>0</v>
      </c>
      <c r="F225" s="3">
        <f t="shared" si="236"/>
        <v>0</v>
      </c>
      <c r="G225" s="3">
        <f t="shared" si="236"/>
        <v>0</v>
      </c>
      <c r="H225" s="3">
        <f t="shared" si="236"/>
        <v>0</v>
      </c>
      <c r="I225" s="3">
        <f t="shared" si="236"/>
        <v>0</v>
      </c>
      <c r="J225" s="3">
        <f t="shared" si="236"/>
        <v>0</v>
      </c>
      <c r="K225" s="3">
        <f t="shared" si="236"/>
        <v>0</v>
      </c>
      <c r="L225" s="3">
        <f t="shared" si="236"/>
        <v>0</v>
      </c>
      <c r="M225" s="3">
        <f t="shared" si="236"/>
        <v>0</v>
      </c>
      <c r="N225" s="3">
        <f t="shared" si="236"/>
        <v>0</v>
      </c>
      <c r="O225" s="3">
        <f t="shared" si="236"/>
        <v>0</v>
      </c>
      <c r="P225" s="3">
        <f t="shared" si="236"/>
        <v>0</v>
      </c>
      <c r="Q225" s="4">
        <f t="shared" si="236"/>
        <v>0</v>
      </c>
      <c r="R225" s="4">
        <f t="shared" si="236"/>
        <v>0</v>
      </c>
      <c r="S225" s="4">
        <f t="shared" si="236"/>
        <v>0</v>
      </c>
      <c r="T225" s="4">
        <f t="shared" si="236"/>
        <v>0</v>
      </c>
      <c r="U225" s="4">
        <f t="shared" si="236"/>
        <v>0</v>
      </c>
      <c r="V225" s="4">
        <f t="shared" si="236"/>
        <v>0</v>
      </c>
      <c r="W225" s="4">
        <f t="shared" si="236"/>
        <v>0</v>
      </c>
      <c r="X225" s="4">
        <f t="shared" si="236"/>
        <v>0</v>
      </c>
      <c r="Y225" s="4">
        <f t="shared" si="236"/>
        <v>0</v>
      </c>
      <c r="Z225" s="4">
        <f t="shared" si="236"/>
        <v>0</v>
      </c>
      <c r="AA225" s="4">
        <f t="shared" si="236"/>
        <v>0</v>
      </c>
      <c r="AB225" s="4">
        <f t="shared" si="236"/>
        <v>0</v>
      </c>
      <c r="AC225" s="4">
        <f t="shared" si="236"/>
        <v>0</v>
      </c>
      <c r="AD225" s="4">
        <f t="shared" si="236"/>
        <v>0</v>
      </c>
      <c r="AE225" s="4">
        <f t="shared" si="236"/>
        <v>0</v>
      </c>
      <c r="AF225" s="4">
        <f t="shared" si="236"/>
        <v>0</v>
      </c>
      <c r="AG225" s="4">
        <f t="shared" si="236"/>
        <v>0</v>
      </c>
      <c r="AH225" s="4">
        <f t="shared" si="236"/>
        <v>0</v>
      </c>
      <c r="AI225" s="4">
        <f t="shared" si="236"/>
        <v>0</v>
      </c>
      <c r="AJ225" s="4">
        <f t="shared" si="236"/>
        <v>0</v>
      </c>
      <c r="AK225" s="4">
        <f t="shared" si="236"/>
        <v>0</v>
      </c>
      <c r="AL225" s="4">
        <f t="shared" si="236"/>
        <v>0</v>
      </c>
      <c r="AM225" s="4">
        <f t="shared" si="236"/>
        <v>0</v>
      </c>
      <c r="AN225" s="4">
        <f t="shared" si="236"/>
        <v>0</v>
      </c>
      <c r="AO225" s="4">
        <f t="shared" si="236"/>
        <v>0</v>
      </c>
      <c r="AP225" s="4">
        <f t="shared" si="236"/>
        <v>0</v>
      </c>
      <c r="AQ225" s="4">
        <f t="shared" si="236"/>
        <v>12</v>
      </c>
      <c r="AR225" s="4"/>
      <c r="AS225" s="4"/>
      <c r="AT225" s="4"/>
      <c r="AU225" s="4"/>
      <c r="AV225" s="4"/>
      <c r="AW225" s="4"/>
      <c r="AX225" s="4"/>
      <c r="AY225" s="3"/>
      <c r="BA225" s="3">
        <v>0</v>
      </c>
      <c r="BB225" s="3">
        <f t="shared" si="235"/>
        <v>0</v>
      </c>
      <c r="BC225" s="3">
        <v>0</v>
      </c>
      <c r="BD225" s="3">
        <f t="shared" si="230"/>
        <v>0</v>
      </c>
      <c r="BE225" s="3">
        <v>0</v>
      </c>
      <c r="BF225" s="3">
        <f t="shared" si="231"/>
        <v>0</v>
      </c>
      <c r="BG225" s="3">
        <v>0</v>
      </c>
      <c r="BH225" s="3"/>
      <c r="BI225" s="3"/>
      <c r="BJ225" s="4">
        <v>0</v>
      </c>
      <c r="BK225" s="3">
        <f t="shared" si="232"/>
        <v>0</v>
      </c>
      <c r="BL225" s="3">
        <f t="shared" si="233"/>
        <v>0</v>
      </c>
      <c r="BM225" s="177">
        <f t="shared" si="234"/>
        <v>0</v>
      </c>
      <c r="BN225" s="3"/>
      <c r="BR225" s="3"/>
      <c r="BS225" s="3"/>
      <c r="BT225" s="3"/>
      <c r="BU225" s="3"/>
      <c r="BV225" s="3"/>
      <c r="BW225" s="3"/>
      <c r="BX225" s="3"/>
      <c r="BY225" s="3"/>
      <c r="BZ225" s="3"/>
      <c r="CA225" s="3"/>
      <c r="CB225" s="3"/>
      <c r="CC225" s="4"/>
      <c r="CD225" s="3"/>
      <c r="CE225" s="3"/>
      <c r="CF225" s="3"/>
      <c r="CG225" s="3"/>
      <c r="CH225" s="3"/>
      <c r="CI225" s="3"/>
      <c r="CJ225" s="3"/>
      <c r="CK225" s="3"/>
      <c r="CL225" s="3"/>
      <c r="CM225" s="3"/>
      <c r="CN225" s="3"/>
      <c r="CO225" s="3"/>
      <c r="CP225" s="3"/>
    </row>
    <row r="226" spans="1:94">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c r="AD226" s="114"/>
      <c r="AE226" s="114"/>
      <c r="AF226" s="114"/>
      <c r="AG226" s="114"/>
      <c r="AH226" s="114"/>
      <c r="AI226" s="114"/>
      <c r="AJ226" s="114"/>
      <c r="AK226" s="114"/>
      <c r="AL226" s="114"/>
      <c r="AM226" s="114"/>
      <c r="AN226" s="114"/>
      <c r="AO226" s="114"/>
      <c r="AP226" s="114"/>
      <c r="AQ226" s="114"/>
      <c r="AX226" s="4"/>
      <c r="AY226" s="3"/>
      <c r="BE226" s="4"/>
    </row>
    <row r="227" spans="1:94" ht="16.5" thickBot="1">
      <c r="A227" s="109" t="s">
        <v>319</v>
      </c>
      <c r="AT227" s="213" t="s">
        <v>320</v>
      </c>
      <c r="AX227" s="4"/>
      <c r="AY227" s="3"/>
      <c r="BE227" s="4"/>
    </row>
    <row r="228" spans="1:94" ht="13.5" thickBot="1">
      <c r="A228" s="110"/>
      <c r="B228" s="111">
        <f t="shared" ref="B228:K228" si="237">B2</f>
        <v>2010</v>
      </c>
      <c r="C228" s="111">
        <f t="shared" si="237"/>
        <v>2011</v>
      </c>
      <c r="D228" s="111">
        <f t="shared" si="237"/>
        <v>2012</v>
      </c>
      <c r="E228" s="111">
        <f t="shared" si="237"/>
        <v>2013</v>
      </c>
      <c r="F228" s="111">
        <f t="shared" si="237"/>
        <v>2014</v>
      </c>
      <c r="G228" s="111">
        <f t="shared" si="237"/>
        <v>2015</v>
      </c>
      <c r="H228" s="111">
        <f t="shared" si="237"/>
        <v>2016</v>
      </c>
      <c r="I228" s="111">
        <f t="shared" si="237"/>
        <v>2017</v>
      </c>
      <c r="J228" s="111">
        <f t="shared" si="237"/>
        <v>2018</v>
      </c>
      <c r="K228" s="111">
        <f t="shared" si="237"/>
        <v>2019</v>
      </c>
      <c r="L228" s="111">
        <f>L2</f>
        <v>2020</v>
      </c>
      <c r="M228" s="111">
        <f>M2</f>
        <v>2021</v>
      </c>
      <c r="N228" s="111">
        <f t="shared" ref="N228:AQ228" si="238">N2</f>
        <v>2022</v>
      </c>
      <c r="O228" s="111">
        <f t="shared" si="238"/>
        <v>2023</v>
      </c>
      <c r="P228" s="111">
        <f t="shared" si="238"/>
        <v>2024</v>
      </c>
      <c r="Q228" s="111">
        <f t="shared" si="238"/>
        <v>2025</v>
      </c>
      <c r="R228" s="111">
        <f t="shared" si="238"/>
        <v>2026</v>
      </c>
      <c r="S228" s="111">
        <f t="shared" si="238"/>
        <v>2027</v>
      </c>
      <c r="T228" s="111">
        <f t="shared" si="238"/>
        <v>2028</v>
      </c>
      <c r="U228" s="111">
        <f t="shared" si="238"/>
        <v>2029</v>
      </c>
      <c r="V228" s="111">
        <f t="shared" si="238"/>
        <v>2030</v>
      </c>
      <c r="W228" s="111">
        <f t="shared" si="238"/>
        <v>2031</v>
      </c>
      <c r="X228" s="111">
        <f t="shared" si="238"/>
        <v>2032</v>
      </c>
      <c r="Y228" s="111">
        <f t="shared" si="238"/>
        <v>2033</v>
      </c>
      <c r="Z228" s="111">
        <f t="shared" si="238"/>
        <v>2034</v>
      </c>
      <c r="AA228" s="111">
        <f t="shared" si="238"/>
        <v>2035</v>
      </c>
      <c r="AB228" s="111">
        <f t="shared" si="238"/>
        <v>2036</v>
      </c>
      <c r="AC228" s="111">
        <f t="shared" si="238"/>
        <v>2037</v>
      </c>
      <c r="AD228" s="111">
        <f t="shared" si="238"/>
        <v>2038</v>
      </c>
      <c r="AE228" s="111">
        <f t="shared" si="238"/>
        <v>2039</v>
      </c>
      <c r="AF228" s="111">
        <f t="shared" si="238"/>
        <v>2040</v>
      </c>
      <c r="AG228" s="111">
        <f t="shared" si="238"/>
        <v>2041</v>
      </c>
      <c r="AH228" s="111">
        <f t="shared" si="238"/>
        <v>2042</v>
      </c>
      <c r="AI228" s="111">
        <f t="shared" si="238"/>
        <v>2043</v>
      </c>
      <c r="AJ228" s="111">
        <f t="shared" si="238"/>
        <v>2044</v>
      </c>
      <c r="AK228" s="111">
        <f t="shared" si="238"/>
        <v>2045</v>
      </c>
      <c r="AL228" s="111">
        <f t="shared" si="238"/>
        <v>2046</v>
      </c>
      <c r="AM228" s="111">
        <f t="shared" si="238"/>
        <v>2047</v>
      </c>
      <c r="AN228" s="111">
        <f t="shared" si="238"/>
        <v>2048</v>
      </c>
      <c r="AO228" s="111">
        <f t="shared" si="238"/>
        <v>2049</v>
      </c>
      <c r="AP228" s="111">
        <f t="shared" si="238"/>
        <v>2050</v>
      </c>
      <c r="AQ228" s="111">
        <f t="shared" si="238"/>
        <v>2051</v>
      </c>
      <c r="AR228" s="94"/>
      <c r="AS228" s="94"/>
      <c r="AT228" s="94"/>
      <c r="AU228" s="94"/>
      <c r="AV228" s="94"/>
      <c r="AW228" s="94"/>
      <c r="AX228" s="4"/>
      <c r="AY228" s="3"/>
      <c r="BE228" s="4"/>
    </row>
    <row r="229" spans="1:94">
      <c r="A229" s="2" t="s">
        <v>43</v>
      </c>
      <c r="B229" s="3">
        <f>'Monthly D4 Gallon Data'!$X2</f>
        <v>0</v>
      </c>
      <c r="C229" s="3">
        <f>'Monthly D4 Gallon Data'!$X14</f>
        <v>0</v>
      </c>
      <c r="D229" s="3">
        <f>'Monthly D4 Gallon Data'!$X26</f>
        <v>0</v>
      </c>
      <c r="E229" s="3">
        <f>'Monthly D4 Gallon Data'!$X38</f>
        <v>0</v>
      </c>
      <c r="F229" s="3">
        <f>'Monthly D4 Gallon Data'!$X50</f>
        <v>0</v>
      </c>
      <c r="G229" s="3">
        <f>'Monthly D4 Gallon Data'!$X62</f>
        <v>0</v>
      </c>
      <c r="H229" s="3">
        <f>'Monthly D4 Gallon Data'!$X74</f>
        <v>0</v>
      </c>
      <c r="I229" s="3">
        <f>'Monthly D4 Gallon Data'!$X86</f>
        <v>0</v>
      </c>
      <c r="J229" s="3">
        <f>'Monthly D4 Gallon Data'!$X98</f>
        <v>0</v>
      </c>
      <c r="K229" s="3">
        <f>'Monthly D4 Gallon Data'!$X110</f>
        <v>0</v>
      </c>
      <c r="L229" s="3">
        <f>'Monthly D4 Gallon Data'!$X122</f>
        <v>0</v>
      </c>
      <c r="M229" s="3">
        <f>'Monthly D4 Gallon Data'!$X134</f>
        <v>0</v>
      </c>
      <c r="N229" s="3">
        <f>'Monthly D4 Gallon Data'!$X146</f>
        <v>3412127</v>
      </c>
      <c r="O229" s="3">
        <f>'Monthly D4 Gallon Data'!$X158</f>
        <v>4367483</v>
      </c>
      <c r="P229" s="3">
        <f>'Monthly D4 Gallon Data'!$X170</f>
        <v>0</v>
      </c>
      <c r="Q229" s="3">
        <f>'Monthly D4 Gallon Data'!$X182</f>
        <v>0</v>
      </c>
      <c r="R229" s="4">
        <f t="shared" ref="R229:R239" si="239">R$241*(SUM(N229:Q229)/SUM(N$241:Q$241))*0.9</f>
        <v>0</v>
      </c>
      <c r="S229" s="4">
        <f t="shared" ref="S229:S239" si="240">S$241*(SUM(O229:R229)/SUM(O$241:R$241))*0.9</f>
        <v>0</v>
      </c>
      <c r="T229" s="4">
        <f>T$241*(SUM($L229:$O229)/SUM($L$241:$O$241))</f>
        <v>0</v>
      </c>
      <c r="U229" s="4">
        <f t="shared" ref="U229:AG229" si="241">U$241*(SUM($L229:$O229)/SUM($L$241:$O$241))</f>
        <v>0</v>
      </c>
      <c r="V229" s="4">
        <f t="shared" si="241"/>
        <v>0</v>
      </c>
      <c r="W229" s="4">
        <f t="shared" si="241"/>
        <v>0</v>
      </c>
      <c r="X229" s="4">
        <f t="shared" si="241"/>
        <v>0</v>
      </c>
      <c r="Y229" s="4">
        <f t="shared" si="241"/>
        <v>0</v>
      </c>
      <c r="Z229" s="4">
        <f t="shared" si="241"/>
        <v>0</v>
      </c>
      <c r="AA229" s="4">
        <f t="shared" si="241"/>
        <v>0</v>
      </c>
      <c r="AB229" s="4">
        <f t="shared" si="241"/>
        <v>0</v>
      </c>
      <c r="AC229" s="4">
        <f t="shared" si="241"/>
        <v>0</v>
      </c>
      <c r="AD229" s="4">
        <f t="shared" si="241"/>
        <v>0</v>
      </c>
      <c r="AE229" s="4">
        <f t="shared" si="241"/>
        <v>0</v>
      </c>
      <c r="AF229" s="4">
        <f t="shared" si="241"/>
        <v>0</v>
      </c>
      <c r="AG229" s="4">
        <f t="shared" si="241"/>
        <v>0</v>
      </c>
      <c r="AH229" s="4">
        <f t="shared" ref="AH229:AQ240" si="242">AH$241*(SUM($L229:$O229)/SUM($L$241:$O$241))</f>
        <v>0</v>
      </c>
      <c r="AI229" s="4">
        <f t="shared" si="242"/>
        <v>0</v>
      </c>
      <c r="AJ229" s="4">
        <f t="shared" si="242"/>
        <v>0</v>
      </c>
      <c r="AK229" s="4">
        <f t="shared" si="242"/>
        <v>0</v>
      </c>
      <c r="AL229" s="4">
        <f t="shared" si="242"/>
        <v>0</v>
      </c>
      <c r="AM229" s="4">
        <f t="shared" si="242"/>
        <v>0</v>
      </c>
      <c r="AN229" s="4">
        <f t="shared" si="242"/>
        <v>0</v>
      </c>
      <c r="AO229" s="4">
        <f t="shared" si="242"/>
        <v>0</v>
      </c>
      <c r="AP229" s="4">
        <f t="shared" si="242"/>
        <v>0</v>
      </c>
      <c r="AQ229" s="4">
        <f t="shared" si="242"/>
        <v>0</v>
      </c>
      <c r="AR229" s="4"/>
      <c r="AS229" s="4"/>
      <c r="AU229" s="4"/>
      <c r="AV229" s="4"/>
      <c r="AW229" s="4"/>
      <c r="AX229" s="4"/>
      <c r="AY229" s="3"/>
      <c r="BC229" s="3">
        <v>0</v>
      </c>
      <c r="BD229" s="3">
        <f t="shared" ref="BD229:BD241" si="243">L229-BC229</f>
        <v>0</v>
      </c>
      <c r="BE229" s="3">
        <v>0</v>
      </c>
      <c r="BF229" s="3">
        <f t="shared" ref="BF229:BF241" si="244">M229-BE229</f>
        <v>0</v>
      </c>
      <c r="BG229" s="3">
        <v>0</v>
      </c>
      <c r="BH229" s="3"/>
      <c r="BI229" s="3"/>
      <c r="BJ229" s="3">
        <v>1671275.916027433</v>
      </c>
      <c r="BK229" s="3">
        <f t="shared" ref="BK229:BK241" si="245">P229-BJ229</f>
        <v>-1671275.916027433</v>
      </c>
      <c r="BL229" s="3">
        <v>0</v>
      </c>
      <c r="BM229" s="177">
        <f t="shared" ref="BM229:BM241" si="246">Q229-BL229</f>
        <v>0</v>
      </c>
      <c r="BN229" s="3"/>
      <c r="BR229" s="3"/>
      <c r="BS229" s="3"/>
      <c r="BT229" s="3"/>
      <c r="BU229" s="3"/>
      <c r="BV229" s="3"/>
      <c r="BW229" s="3"/>
      <c r="BX229" s="3"/>
      <c r="BY229" s="3"/>
      <c r="BZ229" s="3"/>
      <c r="CA229" s="3"/>
      <c r="CB229" s="3"/>
      <c r="CC229" s="4"/>
      <c r="CD229" s="3"/>
      <c r="CE229" s="3"/>
      <c r="CF229" s="3"/>
      <c r="CG229" s="3"/>
      <c r="CH229" s="3"/>
      <c r="CI229" s="3"/>
      <c r="CJ229" s="3"/>
      <c r="CK229" s="3"/>
      <c r="CL229" s="3"/>
      <c r="CM229" s="3"/>
      <c r="CN229" s="3"/>
      <c r="CO229" s="3"/>
      <c r="CP229" s="3"/>
    </row>
    <row r="230" spans="1:94">
      <c r="A230" s="2" t="s">
        <v>44</v>
      </c>
      <c r="B230" s="3">
        <f>'Monthly D4 Gallon Data'!$X3</f>
        <v>0</v>
      </c>
      <c r="C230" s="3">
        <f>'Monthly D4 Gallon Data'!$X15</f>
        <v>0</v>
      </c>
      <c r="D230" s="3">
        <f>'Monthly D4 Gallon Data'!$X27</f>
        <v>0</v>
      </c>
      <c r="E230" s="3">
        <f>'Monthly D4 Gallon Data'!$X39</f>
        <v>0</v>
      </c>
      <c r="F230" s="3">
        <f>'Monthly D4 Gallon Data'!$X51</f>
        <v>0</v>
      </c>
      <c r="G230" s="3">
        <f>'Monthly D4 Gallon Data'!$X63</f>
        <v>0</v>
      </c>
      <c r="H230" s="3">
        <f>'Monthly D4 Gallon Data'!$X75</f>
        <v>0</v>
      </c>
      <c r="I230" s="3">
        <f>'Monthly D4 Gallon Data'!$X87</f>
        <v>0</v>
      </c>
      <c r="J230" s="3">
        <f>'Monthly D4 Gallon Data'!$X99</f>
        <v>0</v>
      </c>
      <c r="K230" s="3">
        <f>'Monthly D4 Gallon Data'!$X111</f>
        <v>0</v>
      </c>
      <c r="L230" s="3">
        <f>'Monthly D4 Gallon Data'!$X123</f>
        <v>0</v>
      </c>
      <c r="M230" s="3">
        <f>'Monthly D4 Gallon Data'!$X135</f>
        <v>2208930</v>
      </c>
      <c r="N230" s="3">
        <f>'Monthly D4 Gallon Data'!$X147</f>
        <v>618655</v>
      </c>
      <c r="O230" s="3">
        <f>'Monthly D4 Gallon Data'!$X159</f>
        <v>584456</v>
      </c>
      <c r="P230" s="3">
        <f>'Monthly D4 Gallon Data'!$X171</f>
        <v>0</v>
      </c>
      <c r="Q230" s="3">
        <f>'Monthly D4 Gallon Data'!$X183</f>
        <v>0</v>
      </c>
      <c r="R230" s="4">
        <f t="shared" si="239"/>
        <v>0</v>
      </c>
      <c r="S230" s="4">
        <f t="shared" si="240"/>
        <v>0</v>
      </c>
      <c r="T230" s="4">
        <f t="shared" ref="T230:AG240" si="247">T$241*(SUM($L230:$O230)/SUM($L$241:$O$241))</f>
        <v>0</v>
      </c>
      <c r="U230" s="4">
        <f t="shared" si="247"/>
        <v>0</v>
      </c>
      <c r="V230" s="4">
        <f t="shared" si="247"/>
        <v>0</v>
      </c>
      <c r="W230" s="4">
        <f t="shared" si="247"/>
        <v>0</v>
      </c>
      <c r="X230" s="4">
        <f t="shared" si="247"/>
        <v>0</v>
      </c>
      <c r="Y230" s="4">
        <f t="shared" si="247"/>
        <v>0</v>
      </c>
      <c r="Z230" s="4">
        <f t="shared" si="247"/>
        <v>0</v>
      </c>
      <c r="AA230" s="4">
        <f t="shared" si="247"/>
        <v>0</v>
      </c>
      <c r="AB230" s="4">
        <f t="shared" si="247"/>
        <v>0</v>
      </c>
      <c r="AC230" s="4">
        <f t="shared" si="247"/>
        <v>0</v>
      </c>
      <c r="AD230" s="4">
        <f t="shared" si="247"/>
        <v>0</v>
      </c>
      <c r="AE230" s="4">
        <f t="shared" si="247"/>
        <v>0</v>
      </c>
      <c r="AF230" s="4">
        <f t="shared" si="247"/>
        <v>0</v>
      </c>
      <c r="AG230" s="4">
        <f t="shared" si="247"/>
        <v>0</v>
      </c>
      <c r="AH230" s="4">
        <f t="shared" si="242"/>
        <v>0</v>
      </c>
      <c r="AI230" s="4">
        <f t="shared" si="242"/>
        <v>0</v>
      </c>
      <c r="AJ230" s="4">
        <f t="shared" si="242"/>
        <v>0</v>
      </c>
      <c r="AK230" s="4">
        <f t="shared" si="242"/>
        <v>0</v>
      </c>
      <c r="AL230" s="4">
        <f t="shared" si="242"/>
        <v>0</v>
      </c>
      <c r="AM230" s="4">
        <f t="shared" si="242"/>
        <v>0</v>
      </c>
      <c r="AN230" s="4">
        <f t="shared" si="242"/>
        <v>0</v>
      </c>
      <c r="AO230" s="4">
        <f t="shared" si="242"/>
        <v>0</v>
      </c>
      <c r="AP230" s="4">
        <f t="shared" si="242"/>
        <v>0</v>
      </c>
      <c r="AQ230" s="4">
        <f t="shared" si="242"/>
        <v>0</v>
      </c>
      <c r="AR230" s="4"/>
      <c r="AS230" s="4"/>
      <c r="AU230" s="4"/>
      <c r="AV230" s="4"/>
      <c r="AW230" s="4"/>
      <c r="AX230" s="4"/>
      <c r="AY230" s="3"/>
      <c r="BC230" s="3">
        <v>0</v>
      </c>
      <c r="BD230" s="3">
        <f t="shared" si="243"/>
        <v>0</v>
      </c>
      <c r="BE230" s="3">
        <v>0</v>
      </c>
      <c r="BF230" s="3">
        <f t="shared" si="244"/>
        <v>2208930</v>
      </c>
      <c r="BG230" s="3">
        <v>0</v>
      </c>
      <c r="BH230" s="3"/>
      <c r="BI230" s="3"/>
      <c r="BJ230" s="3">
        <v>733001.00490874972</v>
      </c>
      <c r="BK230" s="3">
        <f t="shared" si="245"/>
        <v>-733001.00490874972</v>
      </c>
      <c r="BL230" s="3">
        <v>0</v>
      </c>
      <c r="BM230" s="177">
        <f t="shared" si="246"/>
        <v>0</v>
      </c>
      <c r="BN230" s="3"/>
      <c r="BR230" s="3"/>
      <c r="BS230" s="3"/>
      <c r="BT230" s="3"/>
      <c r="BU230" s="3"/>
      <c r="BV230" s="3"/>
      <c r="BW230" s="3"/>
      <c r="BX230" s="3"/>
      <c r="BY230" s="3"/>
      <c r="BZ230" s="3"/>
      <c r="CA230" s="3"/>
      <c r="CB230" s="3"/>
      <c r="CC230" s="4"/>
      <c r="CD230" s="3"/>
      <c r="CE230" s="3"/>
      <c r="CF230" s="3"/>
      <c r="CG230" s="3"/>
      <c r="CH230" s="3"/>
      <c r="CI230" s="3"/>
      <c r="CJ230" s="3"/>
      <c r="CK230" s="3"/>
      <c r="CL230" s="3"/>
      <c r="CM230" s="3"/>
      <c r="CN230" s="3"/>
      <c r="CO230" s="3"/>
      <c r="CP230" s="3"/>
    </row>
    <row r="231" spans="1:94">
      <c r="A231" s="2" t="s">
        <v>45</v>
      </c>
      <c r="B231" s="3">
        <f>'Monthly D4 Gallon Data'!$X4</f>
        <v>0</v>
      </c>
      <c r="C231" s="3">
        <f>'Monthly D4 Gallon Data'!$X16</f>
        <v>0</v>
      </c>
      <c r="D231" s="3">
        <f>'Monthly D4 Gallon Data'!$X28</f>
        <v>0</v>
      </c>
      <c r="E231" s="3">
        <f>'Monthly D4 Gallon Data'!$X40</f>
        <v>0</v>
      </c>
      <c r="F231" s="3">
        <f>'Monthly D4 Gallon Data'!$X52</f>
        <v>0</v>
      </c>
      <c r="G231" s="3">
        <f>'Monthly D4 Gallon Data'!$X64</f>
        <v>0</v>
      </c>
      <c r="H231" s="3">
        <f>'Monthly D4 Gallon Data'!$X76</f>
        <v>0</v>
      </c>
      <c r="I231" s="3">
        <f>'Monthly D4 Gallon Data'!$X88</f>
        <v>0</v>
      </c>
      <c r="J231" s="3">
        <f>'Monthly D4 Gallon Data'!$X100</f>
        <v>0</v>
      </c>
      <c r="K231" s="3">
        <f>'Monthly D4 Gallon Data'!$X112</f>
        <v>0</v>
      </c>
      <c r="L231" s="3">
        <f>'Monthly D4 Gallon Data'!$X124</f>
        <v>0</v>
      </c>
      <c r="M231" s="3">
        <f>'Monthly D4 Gallon Data'!$X136</f>
        <v>0</v>
      </c>
      <c r="N231" s="3">
        <f>'Monthly D4 Gallon Data'!$X148</f>
        <v>3223714</v>
      </c>
      <c r="O231" s="3">
        <f>'Monthly D4 Gallon Data'!$X160</f>
        <v>2691061</v>
      </c>
      <c r="P231" s="3">
        <f>'Monthly D4 Gallon Data'!$X172</f>
        <v>0</v>
      </c>
      <c r="Q231" s="3">
        <f>'Monthly D4 Gallon Data'!$X184</f>
        <v>0</v>
      </c>
      <c r="R231" s="4">
        <f t="shared" si="239"/>
        <v>0</v>
      </c>
      <c r="S231" s="4">
        <f t="shared" si="240"/>
        <v>0</v>
      </c>
      <c r="T231" s="4">
        <f t="shared" si="247"/>
        <v>0</v>
      </c>
      <c r="U231" s="4">
        <f t="shared" si="247"/>
        <v>0</v>
      </c>
      <c r="V231" s="4">
        <f t="shared" si="247"/>
        <v>0</v>
      </c>
      <c r="W231" s="4">
        <f t="shared" si="247"/>
        <v>0</v>
      </c>
      <c r="X231" s="4">
        <f t="shared" si="247"/>
        <v>0</v>
      </c>
      <c r="Y231" s="4">
        <f t="shared" si="247"/>
        <v>0</v>
      </c>
      <c r="Z231" s="4">
        <f t="shared" si="247"/>
        <v>0</v>
      </c>
      <c r="AA231" s="4">
        <f t="shared" si="247"/>
        <v>0</v>
      </c>
      <c r="AB231" s="4">
        <f t="shared" si="247"/>
        <v>0</v>
      </c>
      <c r="AC231" s="4">
        <f t="shared" si="247"/>
        <v>0</v>
      </c>
      <c r="AD231" s="4">
        <f t="shared" si="247"/>
        <v>0</v>
      </c>
      <c r="AE231" s="4">
        <f t="shared" si="247"/>
        <v>0</v>
      </c>
      <c r="AF231" s="4">
        <f t="shared" si="247"/>
        <v>0</v>
      </c>
      <c r="AG231" s="4">
        <f t="shared" si="247"/>
        <v>0</v>
      </c>
      <c r="AH231" s="4">
        <f t="shared" si="242"/>
        <v>0</v>
      </c>
      <c r="AI231" s="4">
        <f t="shared" si="242"/>
        <v>0</v>
      </c>
      <c r="AJ231" s="4">
        <f t="shared" si="242"/>
        <v>0</v>
      </c>
      <c r="AK231" s="4">
        <f t="shared" si="242"/>
        <v>0</v>
      </c>
      <c r="AL231" s="4">
        <f t="shared" si="242"/>
        <v>0</v>
      </c>
      <c r="AM231" s="4">
        <f t="shared" si="242"/>
        <v>0</v>
      </c>
      <c r="AN231" s="4">
        <f t="shared" si="242"/>
        <v>0</v>
      </c>
      <c r="AO231" s="4">
        <f t="shared" si="242"/>
        <v>0</v>
      </c>
      <c r="AP231" s="4">
        <f t="shared" si="242"/>
        <v>0</v>
      </c>
      <c r="AQ231" s="4">
        <f t="shared" si="242"/>
        <v>0</v>
      </c>
      <c r="AR231" s="4"/>
      <c r="AS231" s="4"/>
      <c r="AU231" s="4"/>
      <c r="AV231" s="4"/>
      <c r="AW231" s="4"/>
      <c r="AX231" s="4"/>
      <c r="AY231" s="3"/>
      <c r="BC231" s="3">
        <v>0</v>
      </c>
      <c r="BD231" s="3">
        <f t="shared" si="243"/>
        <v>0</v>
      </c>
      <c r="BE231" s="3">
        <v>0</v>
      </c>
      <c r="BF231" s="3">
        <f t="shared" si="244"/>
        <v>0</v>
      </c>
      <c r="BG231" s="3">
        <v>0</v>
      </c>
      <c r="BH231" s="3"/>
      <c r="BI231" s="3"/>
      <c r="BJ231" s="3">
        <v>1270657.6558749294</v>
      </c>
      <c r="BK231" s="3">
        <f t="shared" si="245"/>
        <v>-1270657.6558749294</v>
      </c>
      <c r="BL231" s="3">
        <v>0</v>
      </c>
      <c r="BM231" s="177">
        <f t="shared" si="246"/>
        <v>0</v>
      </c>
      <c r="BN231" s="3"/>
      <c r="BR231" s="3"/>
      <c r="BS231" s="3"/>
      <c r="BT231" s="3"/>
      <c r="BU231" s="3"/>
      <c r="BV231" s="3"/>
      <c r="BW231" s="3"/>
      <c r="BX231" s="3"/>
      <c r="BY231" s="3"/>
      <c r="BZ231" s="3"/>
      <c r="CA231" s="3"/>
      <c r="CB231" s="3"/>
      <c r="CC231" s="4"/>
      <c r="CD231" s="3"/>
      <c r="CE231" s="3"/>
      <c r="CF231" s="3"/>
      <c r="CG231" s="3"/>
      <c r="CH231" s="3"/>
      <c r="CI231" s="3"/>
      <c r="CJ231" s="3"/>
      <c r="CK231" s="3"/>
      <c r="CL231" s="3"/>
      <c r="CM231" s="3"/>
      <c r="CN231" s="3"/>
      <c r="CO231" s="3"/>
      <c r="CP231" s="3"/>
    </row>
    <row r="232" spans="1:94">
      <c r="A232" s="2" t="s">
        <v>46</v>
      </c>
      <c r="B232" s="3">
        <f>'Monthly D4 Gallon Data'!$X5</f>
        <v>0</v>
      </c>
      <c r="C232" s="3">
        <f>'Monthly D4 Gallon Data'!$X17</f>
        <v>0</v>
      </c>
      <c r="D232" s="3">
        <f>'Monthly D4 Gallon Data'!$X29</f>
        <v>0</v>
      </c>
      <c r="E232" s="3">
        <f>'Monthly D4 Gallon Data'!$X41</f>
        <v>0</v>
      </c>
      <c r="F232" s="3">
        <f>'Monthly D4 Gallon Data'!$X53</f>
        <v>0</v>
      </c>
      <c r="G232" s="3">
        <f>'Monthly D4 Gallon Data'!$X65</f>
        <v>0</v>
      </c>
      <c r="H232" s="3">
        <f>'Monthly D4 Gallon Data'!$X77</f>
        <v>0</v>
      </c>
      <c r="I232" s="3">
        <f>'Monthly D4 Gallon Data'!$X89</f>
        <v>0</v>
      </c>
      <c r="J232" s="3">
        <f>'Monthly D4 Gallon Data'!$X101</f>
        <v>0</v>
      </c>
      <c r="K232" s="3">
        <f>'Monthly D4 Gallon Data'!$X113</f>
        <v>0</v>
      </c>
      <c r="L232" s="3">
        <f>'Monthly D4 Gallon Data'!$X125</f>
        <v>2195738</v>
      </c>
      <c r="M232" s="3">
        <f>'Monthly D4 Gallon Data'!$X137</f>
        <v>2097948</v>
      </c>
      <c r="N232" s="3">
        <f>'Monthly D4 Gallon Data'!$X149</f>
        <v>0</v>
      </c>
      <c r="O232" s="3">
        <f>'Monthly D4 Gallon Data'!$X161</f>
        <v>2541127</v>
      </c>
      <c r="P232" s="3">
        <f>'Monthly D4 Gallon Data'!$X173</f>
        <v>0</v>
      </c>
      <c r="Q232" s="4">
        <f t="shared" ref="Q232:Q239" si="248">Q$241*(SUM(M232:P232)/SUM(M$241:P$241))*0.9</f>
        <v>0</v>
      </c>
      <c r="R232" s="4">
        <f t="shared" si="239"/>
        <v>0</v>
      </c>
      <c r="S232" s="4">
        <f t="shared" si="240"/>
        <v>0</v>
      </c>
      <c r="T232" s="4">
        <f t="shared" si="247"/>
        <v>0</v>
      </c>
      <c r="U232" s="4">
        <f t="shared" si="247"/>
        <v>0</v>
      </c>
      <c r="V232" s="4">
        <f t="shared" si="247"/>
        <v>0</v>
      </c>
      <c r="W232" s="4">
        <f t="shared" si="247"/>
        <v>0</v>
      </c>
      <c r="X232" s="4">
        <f t="shared" si="247"/>
        <v>0</v>
      </c>
      <c r="Y232" s="4">
        <f t="shared" si="247"/>
        <v>0</v>
      </c>
      <c r="Z232" s="4">
        <f t="shared" si="247"/>
        <v>0</v>
      </c>
      <c r="AA232" s="4">
        <f t="shared" si="247"/>
        <v>0</v>
      </c>
      <c r="AB232" s="4">
        <f t="shared" si="247"/>
        <v>0</v>
      </c>
      <c r="AC232" s="4">
        <f t="shared" si="247"/>
        <v>0</v>
      </c>
      <c r="AD232" s="4">
        <f t="shared" si="247"/>
        <v>0</v>
      </c>
      <c r="AE232" s="4">
        <f t="shared" si="247"/>
        <v>0</v>
      </c>
      <c r="AF232" s="4">
        <f t="shared" si="247"/>
        <v>0</v>
      </c>
      <c r="AG232" s="4">
        <f t="shared" si="247"/>
        <v>0</v>
      </c>
      <c r="AH232" s="4">
        <f t="shared" si="242"/>
        <v>0</v>
      </c>
      <c r="AI232" s="4">
        <f t="shared" si="242"/>
        <v>0</v>
      </c>
      <c r="AJ232" s="4">
        <f t="shared" si="242"/>
        <v>0</v>
      </c>
      <c r="AK232" s="4">
        <f t="shared" si="242"/>
        <v>0</v>
      </c>
      <c r="AL232" s="4">
        <f t="shared" si="242"/>
        <v>0</v>
      </c>
      <c r="AM232" s="4">
        <f t="shared" si="242"/>
        <v>0</v>
      </c>
      <c r="AN232" s="4">
        <f t="shared" si="242"/>
        <v>0</v>
      </c>
      <c r="AO232" s="4">
        <f t="shared" si="242"/>
        <v>0</v>
      </c>
      <c r="AP232" s="4">
        <f t="shared" si="242"/>
        <v>0</v>
      </c>
      <c r="AQ232" s="4">
        <f t="shared" si="242"/>
        <v>0</v>
      </c>
      <c r="AR232" s="4"/>
      <c r="AS232" s="4"/>
      <c r="AU232" s="4"/>
      <c r="AV232" s="4"/>
      <c r="AW232" s="4"/>
      <c r="AX232" s="4"/>
      <c r="AY232" s="3"/>
      <c r="BC232" s="3">
        <v>0</v>
      </c>
      <c r="BD232" s="3">
        <f t="shared" si="243"/>
        <v>2195738</v>
      </c>
      <c r="BE232" s="3">
        <v>0</v>
      </c>
      <c r="BF232" s="3">
        <f t="shared" si="244"/>
        <v>2097948</v>
      </c>
      <c r="BG232" s="3">
        <v>0</v>
      </c>
      <c r="BH232" s="3"/>
      <c r="BI232" s="3"/>
      <c r="BJ232" s="3">
        <v>1468307.3261321848</v>
      </c>
      <c r="BK232" s="3">
        <f t="shared" si="245"/>
        <v>-1468307.3261321848</v>
      </c>
      <c r="BL232" s="3">
        <v>0</v>
      </c>
      <c r="BM232" s="177">
        <f t="shared" si="246"/>
        <v>0</v>
      </c>
      <c r="BN232" s="3"/>
      <c r="BR232" s="3"/>
      <c r="BS232" s="3"/>
      <c r="BT232" s="3"/>
      <c r="BU232" s="3"/>
      <c r="BV232" s="3"/>
      <c r="BW232" s="3"/>
      <c r="BX232" s="3"/>
      <c r="BY232" s="3"/>
      <c r="BZ232" s="3"/>
      <c r="CA232" s="3"/>
      <c r="CB232" s="3"/>
      <c r="CC232" s="4"/>
      <c r="CD232" s="3"/>
      <c r="CE232" s="3"/>
      <c r="CF232" s="3"/>
      <c r="CG232" s="3"/>
      <c r="CH232" s="3"/>
      <c r="CI232" s="3"/>
      <c r="CJ232" s="3"/>
      <c r="CK232" s="3"/>
      <c r="CL232" s="3"/>
      <c r="CM232" s="3"/>
      <c r="CN232" s="3"/>
      <c r="CO232" s="3"/>
      <c r="CP232" s="3"/>
    </row>
    <row r="233" spans="1:94">
      <c r="A233" s="2" t="s">
        <v>47</v>
      </c>
      <c r="B233" s="3">
        <f>'Monthly D4 Gallon Data'!$X6</f>
        <v>0</v>
      </c>
      <c r="C233" s="3">
        <f>'Monthly D4 Gallon Data'!$X18</f>
        <v>0</v>
      </c>
      <c r="D233" s="3">
        <f>'Monthly D4 Gallon Data'!$X30</f>
        <v>0</v>
      </c>
      <c r="E233" s="3">
        <f>'Monthly D4 Gallon Data'!$X42</f>
        <v>0</v>
      </c>
      <c r="F233" s="3">
        <f>'Monthly D4 Gallon Data'!$X54</f>
        <v>0</v>
      </c>
      <c r="G233" s="3">
        <f>'Monthly D4 Gallon Data'!$X66</f>
        <v>0</v>
      </c>
      <c r="H233" s="3">
        <f>'Monthly D4 Gallon Data'!$X78</f>
        <v>0</v>
      </c>
      <c r="I233" s="3">
        <f>'Monthly D4 Gallon Data'!$X90</f>
        <v>0</v>
      </c>
      <c r="J233" s="3">
        <f>'Monthly D4 Gallon Data'!$X102</f>
        <v>0</v>
      </c>
      <c r="K233" s="3">
        <f>'Monthly D4 Gallon Data'!$X114</f>
        <v>0</v>
      </c>
      <c r="L233" s="3">
        <f>'Monthly D4 Gallon Data'!$X126</f>
        <v>0</v>
      </c>
      <c r="M233" s="3">
        <f>'Monthly D4 Gallon Data'!$X138</f>
        <v>0</v>
      </c>
      <c r="N233" s="3">
        <f>'Monthly D4 Gallon Data'!$X150</f>
        <v>2267902</v>
      </c>
      <c r="O233" s="3">
        <f>'Monthly D4 Gallon Data'!$X162</f>
        <v>0</v>
      </c>
      <c r="P233" s="3">
        <f>'Monthly D4 Gallon Data'!$X174</f>
        <v>0</v>
      </c>
      <c r="Q233" s="4">
        <f t="shared" si="248"/>
        <v>0</v>
      </c>
      <c r="R233" s="4">
        <f t="shared" si="239"/>
        <v>0</v>
      </c>
      <c r="S233" s="4">
        <f t="shared" si="240"/>
        <v>0</v>
      </c>
      <c r="T233" s="4">
        <f t="shared" si="247"/>
        <v>0</v>
      </c>
      <c r="U233" s="4">
        <f t="shared" si="247"/>
        <v>0</v>
      </c>
      <c r="V233" s="4">
        <f t="shared" si="247"/>
        <v>0</v>
      </c>
      <c r="W233" s="4">
        <f t="shared" si="247"/>
        <v>0</v>
      </c>
      <c r="X233" s="4">
        <f t="shared" si="247"/>
        <v>0</v>
      </c>
      <c r="Y233" s="4">
        <f t="shared" si="247"/>
        <v>0</v>
      </c>
      <c r="Z233" s="4">
        <f t="shared" si="247"/>
        <v>0</v>
      </c>
      <c r="AA233" s="4">
        <f t="shared" si="247"/>
        <v>0</v>
      </c>
      <c r="AB233" s="4">
        <f t="shared" si="247"/>
        <v>0</v>
      </c>
      <c r="AC233" s="4">
        <f t="shared" si="247"/>
        <v>0</v>
      </c>
      <c r="AD233" s="4">
        <f t="shared" si="247"/>
        <v>0</v>
      </c>
      <c r="AE233" s="4">
        <f t="shared" si="247"/>
        <v>0</v>
      </c>
      <c r="AF233" s="4">
        <f t="shared" si="247"/>
        <v>0</v>
      </c>
      <c r="AG233" s="4">
        <f t="shared" si="247"/>
        <v>0</v>
      </c>
      <c r="AH233" s="4">
        <f t="shared" si="242"/>
        <v>0</v>
      </c>
      <c r="AI233" s="4">
        <f t="shared" si="242"/>
        <v>0</v>
      </c>
      <c r="AJ233" s="4">
        <f t="shared" si="242"/>
        <v>0</v>
      </c>
      <c r="AK233" s="4">
        <f t="shared" si="242"/>
        <v>0</v>
      </c>
      <c r="AL233" s="4">
        <f t="shared" si="242"/>
        <v>0</v>
      </c>
      <c r="AM233" s="4">
        <f t="shared" si="242"/>
        <v>0</v>
      </c>
      <c r="AN233" s="4">
        <f t="shared" si="242"/>
        <v>0</v>
      </c>
      <c r="AO233" s="4">
        <f t="shared" si="242"/>
        <v>0</v>
      </c>
      <c r="AP233" s="4">
        <f t="shared" si="242"/>
        <v>0</v>
      </c>
      <c r="AQ233" s="4">
        <f t="shared" si="242"/>
        <v>0</v>
      </c>
      <c r="AR233" s="4"/>
      <c r="AS233" s="4"/>
      <c r="AU233" s="4"/>
      <c r="AV233" s="4"/>
      <c r="AW233" s="4"/>
      <c r="AX233" s="4"/>
      <c r="AY233" s="3"/>
      <c r="BA233" s="3">
        <v>0</v>
      </c>
      <c r="BB233" s="3">
        <f t="shared" ref="BB233:BB241" si="249">K233-BA233</f>
        <v>0</v>
      </c>
      <c r="BC233" s="3">
        <v>0</v>
      </c>
      <c r="BD233" s="3">
        <f t="shared" si="243"/>
        <v>0</v>
      </c>
      <c r="BE233" s="3">
        <v>0</v>
      </c>
      <c r="BF233" s="3">
        <f t="shared" si="244"/>
        <v>0</v>
      </c>
      <c r="BG233" s="3">
        <v>0</v>
      </c>
      <c r="BH233" s="3"/>
      <c r="BI233" s="3"/>
      <c r="BJ233" s="4">
        <v>0</v>
      </c>
      <c r="BK233" s="3">
        <f t="shared" si="245"/>
        <v>0</v>
      </c>
      <c r="BL233" s="3">
        <v>0</v>
      </c>
      <c r="BM233" s="177">
        <f t="shared" si="246"/>
        <v>0</v>
      </c>
      <c r="BN233" s="3"/>
      <c r="BR233" s="3"/>
      <c r="BS233" s="3"/>
      <c r="BT233" s="3"/>
      <c r="BU233" s="3"/>
      <c r="BV233" s="3"/>
      <c r="BW233" s="3"/>
      <c r="BX233" s="3"/>
      <c r="BY233" s="3"/>
      <c r="BZ233" s="3"/>
      <c r="CA233" s="3"/>
      <c r="CB233" s="3"/>
      <c r="CC233" s="4"/>
      <c r="CD233" s="3"/>
      <c r="CE233" s="3"/>
      <c r="CF233" s="3"/>
      <c r="CG233" s="3"/>
      <c r="CH233" s="3"/>
      <c r="CI233" s="3"/>
      <c r="CJ233" s="3"/>
      <c r="CK233" s="3"/>
      <c r="CL233" s="3"/>
      <c r="CM233" s="3"/>
      <c r="CN233" s="3"/>
      <c r="CO233" s="3"/>
      <c r="CP233" s="3"/>
    </row>
    <row r="234" spans="1:94">
      <c r="A234" s="2" t="s">
        <v>48</v>
      </c>
      <c r="B234" s="3">
        <f>'Monthly D4 Gallon Data'!$X7</f>
        <v>0</v>
      </c>
      <c r="C234" s="3">
        <f>'Monthly D4 Gallon Data'!$X19</f>
        <v>0</v>
      </c>
      <c r="D234" s="3">
        <f>'Monthly D4 Gallon Data'!$X31</f>
        <v>0</v>
      </c>
      <c r="E234" s="3">
        <f>'Monthly D4 Gallon Data'!$X43</f>
        <v>0</v>
      </c>
      <c r="F234" s="3">
        <f>'Monthly D4 Gallon Data'!$X55</f>
        <v>0</v>
      </c>
      <c r="G234" s="3">
        <f>'Monthly D4 Gallon Data'!$X67</f>
        <v>0</v>
      </c>
      <c r="H234" s="3">
        <f>'Monthly D4 Gallon Data'!$X79</f>
        <v>0</v>
      </c>
      <c r="I234" s="3">
        <f>'Monthly D4 Gallon Data'!$X91</f>
        <v>0</v>
      </c>
      <c r="J234" s="3">
        <f>'Monthly D4 Gallon Data'!$X103</f>
        <v>0</v>
      </c>
      <c r="K234" s="3">
        <f>'Monthly D4 Gallon Data'!$X115</f>
        <v>0</v>
      </c>
      <c r="L234" s="3">
        <f>'Monthly D4 Gallon Data'!$X127</f>
        <v>0</v>
      </c>
      <c r="M234" s="3">
        <f>'Monthly D4 Gallon Data'!$X139</f>
        <v>0</v>
      </c>
      <c r="N234" s="3">
        <f>'Monthly D4 Gallon Data'!$X151</f>
        <v>679555</v>
      </c>
      <c r="O234" s="3">
        <f>'Monthly D4 Gallon Data'!$X163</f>
        <v>4868578</v>
      </c>
      <c r="P234" s="3">
        <f>'Monthly D4 Gallon Data'!$X175</f>
        <v>0</v>
      </c>
      <c r="Q234" s="4">
        <f>Q$241*(SUM(M234:P234)/SUM(M$241:P$241))*0.9</f>
        <v>0</v>
      </c>
      <c r="R234" s="4">
        <f t="shared" si="239"/>
        <v>0</v>
      </c>
      <c r="S234" s="4">
        <f t="shared" si="240"/>
        <v>0</v>
      </c>
      <c r="T234" s="4">
        <f t="shared" si="247"/>
        <v>0</v>
      </c>
      <c r="U234" s="4">
        <f t="shared" si="247"/>
        <v>0</v>
      </c>
      <c r="V234" s="4">
        <f t="shared" si="247"/>
        <v>0</v>
      </c>
      <c r="W234" s="4">
        <f t="shared" si="247"/>
        <v>0</v>
      </c>
      <c r="X234" s="4">
        <f t="shared" si="247"/>
        <v>0</v>
      </c>
      <c r="Y234" s="4">
        <f t="shared" si="247"/>
        <v>0</v>
      </c>
      <c r="Z234" s="4">
        <f t="shared" si="247"/>
        <v>0</v>
      </c>
      <c r="AA234" s="4">
        <f t="shared" si="247"/>
        <v>0</v>
      </c>
      <c r="AB234" s="4">
        <f t="shared" si="247"/>
        <v>0</v>
      </c>
      <c r="AC234" s="4">
        <f t="shared" si="247"/>
        <v>0</v>
      </c>
      <c r="AD234" s="4">
        <f t="shared" si="247"/>
        <v>0</v>
      </c>
      <c r="AE234" s="4">
        <f t="shared" si="247"/>
        <v>0</v>
      </c>
      <c r="AF234" s="4">
        <f t="shared" si="247"/>
        <v>0</v>
      </c>
      <c r="AG234" s="4">
        <f t="shared" si="247"/>
        <v>0</v>
      </c>
      <c r="AH234" s="4">
        <f t="shared" si="242"/>
        <v>0</v>
      </c>
      <c r="AI234" s="4">
        <f t="shared" si="242"/>
        <v>0</v>
      </c>
      <c r="AJ234" s="4">
        <f t="shared" si="242"/>
        <v>0</v>
      </c>
      <c r="AK234" s="4">
        <f t="shared" si="242"/>
        <v>0</v>
      </c>
      <c r="AL234" s="4">
        <f t="shared" si="242"/>
        <v>0</v>
      </c>
      <c r="AM234" s="4">
        <f t="shared" si="242"/>
        <v>0</v>
      </c>
      <c r="AN234" s="4">
        <f t="shared" si="242"/>
        <v>0</v>
      </c>
      <c r="AO234" s="4">
        <f t="shared" si="242"/>
        <v>0</v>
      </c>
      <c r="AP234" s="4">
        <f t="shared" si="242"/>
        <v>0</v>
      </c>
      <c r="AQ234" s="4">
        <f t="shared" si="242"/>
        <v>0</v>
      </c>
      <c r="AR234" s="4"/>
      <c r="AS234" s="4"/>
      <c r="AU234" s="4"/>
      <c r="AV234" s="4"/>
      <c r="AW234" s="4"/>
      <c r="AX234" s="4"/>
      <c r="AY234" s="3"/>
      <c r="BA234" s="3">
        <v>0</v>
      </c>
      <c r="BB234" s="3">
        <f t="shared" si="249"/>
        <v>0</v>
      </c>
      <c r="BC234" s="3">
        <v>0</v>
      </c>
      <c r="BD234" s="3">
        <f t="shared" si="243"/>
        <v>0</v>
      </c>
      <c r="BE234" s="3">
        <v>0</v>
      </c>
      <c r="BF234" s="3">
        <f t="shared" si="244"/>
        <v>0</v>
      </c>
      <c r="BG234" s="3">
        <v>0</v>
      </c>
      <c r="BH234" s="3"/>
      <c r="BI234" s="3"/>
      <c r="BJ234" s="4">
        <v>0</v>
      </c>
      <c r="BK234" s="3">
        <f t="shared" si="245"/>
        <v>0</v>
      </c>
      <c r="BL234" s="3">
        <v>0</v>
      </c>
      <c r="BM234" s="177">
        <f t="shared" si="246"/>
        <v>0</v>
      </c>
      <c r="BN234" s="3"/>
      <c r="BR234" s="3"/>
      <c r="BS234" s="3"/>
      <c r="BT234" s="3"/>
      <c r="BU234" s="3"/>
      <c r="BV234" s="3"/>
      <c r="BW234" s="3"/>
      <c r="BX234" s="3"/>
      <c r="BY234" s="3"/>
      <c r="BZ234" s="3"/>
      <c r="CA234" s="3"/>
      <c r="CB234" s="3"/>
      <c r="CC234" s="4"/>
      <c r="CD234" s="3"/>
      <c r="CE234" s="3"/>
      <c r="CF234" s="3"/>
      <c r="CG234" s="3"/>
      <c r="CH234" s="3"/>
      <c r="CI234" s="3"/>
      <c r="CJ234" s="3"/>
      <c r="CK234" s="3"/>
      <c r="CL234" s="3"/>
      <c r="CM234" s="3"/>
      <c r="CN234" s="3"/>
      <c r="CO234" s="3"/>
      <c r="CP234" s="3"/>
    </row>
    <row r="235" spans="1:94">
      <c r="A235" s="2" t="s">
        <v>49</v>
      </c>
      <c r="B235" s="3">
        <f>'Monthly D4 Gallon Data'!$X8</f>
        <v>0</v>
      </c>
      <c r="C235" s="3">
        <f>'Monthly D4 Gallon Data'!$X20</f>
        <v>0</v>
      </c>
      <c r="D235" s="3">
        <f>'Monthly D4 Gallon Data'!$X32</f>
        <v>0</v>
      </c>
      <c r="E235" s="3">
        <f>'Monthly D4 Gallon Data'!$X44</f>
        <v>0</v>
      </c>
      <c r="F235" s="3">
        <f>'Monthly D4 Gallon Data'!$X56</f>
        <v>0</v>
      </c>
      <c r="G235" s="3">
        <f>'Monthly D4 Gallon Data'!$X68</f>
        <v>0</v>
      </c>
      <c r="H235" s="3">
        <f>'Monthly D4 Gallon Data'!$X80</f>
        <v>0</v>
      </c>
      <c r="I235" s="3">
        <f>'Monthly D4 Gallon Data'!$X92</f>
        <v>0</v>
      </c>
      <c r="J235" s="3">
        <f>'Monthly D4 Gallon Data'!$X104</f>
        <v>0</v>
      </c>
      <c r="K235" s="3">
        <f>'Monthly D4 Gallon Data'!$X116</f>
        <v>0</v>
      </c>
      <c r="L235" s="3">
        <f>'Monthly D4 Gallon Data'!$X128</f>
        <v>0</v>
      </c>
      <c r="M235" s="3">
        <f>'Monthly D4 Gallon Data'!$X140</f>
        <v>1113842</v>
      </c>
      <c r="N235" s="3">
        <f>'Monthly D4 Gallon Data'!$X152</f>
        <v>2310609</v>
      </c>
      <c r="O235" s="3">
        <f>'Monthly D4 Gallon Data'!$X164</f>
        <v>2226546</v>
      </c>
      <c r="P235" s="3">
        <f>'Monthly D4 Gallon Data'!$X176</f>
        <v>0</v>
      </c>
      <c r="Q235" s="4">
        <f t="shared" si="248"/>
        <v>0</v>
      </c>
      <c r="R235" s="4">
        <f t="shared" si="239"/>
        <v>0</v>
      </c>
      <c r="S235" s="4">
        <f t="shared" si="240"/>
        <v>0</v>
      </c>
      <c r="T235" s="4">
        <f t="shared" si="247"/>
        <v>0</v>
      </c>
      <c r="U235" s="4">
        <f t="shared" si="247"/>
        <v>0</v>
      </c>
      <c r="V235" s="4">
        <f t="shared" si="247"/>
        <v>0</v>
      </c>
      <c r="W235" s="4">
        <f t="shared" si="247"/>
        <v>0</v>
      </c>
      <c r="X235" s="4">
        <f t="shared" si="247"/>
        <v>0</v>
      </c>
      <c r="Y235" s="4">
        <f t="shared" si="247"/>
        <v>0</v>
      </c>
      <c r="Z235" s="4">
        <f t="shared" si="247"/>
        <v>0</v>
      </c>
      <c r="AA235" s="4">
        <f t="shared" si="247"/>
        <v>0</v>
      </c>
      <c r="AB235" s="4">
        <f t="shared" si="247"/>
        <v>0</v>
      </c>
      <c r="AC235" s="4">
        <f t="shared" si="247"/>
        <v>0</v>
      </c>
      <c r="AD235" s="4">
        <f t="shared" si="247"/>
        <v>0</v>
      </c>
      <c r="AE235" s="4">
        <f t="shared" si="247"/>
        <v>0</v>
      </c>
      <c r="AF235" s="4">
        <f t="shared" si="247"/>
        <v>0</v>
      </c>
      <c r="AG235" s="4">
        <f t="shared" si="247"/>
        <v>0</v>
      </c>
      <c r="AH235" s="4">
        <f t="shared" si="242"/>
        <v>0</v>
      </c>
      <c r="AI235" s="4">
        <f t="shared" si="242"/>
        <v>0</v>
      </c>
      <c r="AJ235" s="4">
        <f t="shared" si="242"/>
        <v>0</v>
      </c>
      <c r="AK235" s="4">
        <f t="shared" si="242"/>
        <v>0</v>
      </c>
      <c r="AL235" s="4">
        <f t="shared" si="242"/>
        <v>0</v>
      </c>
      <c r="AM235" s="4">
        <f t="shared" si="242"/>
        <v>0</v>
      </c>
      <c r="AN235" s="4">
        <f t="shared" si="242"/>
        <v>0</v>
      </c>
      <c r="AO235" s="4">
        <f t="shared" si="242"/>
        <v>0</v>
      </c>
      <c r="AP235" s="4">
        <f t="shared" si="242"/>
        <v>0</v>
      </c>
      <c r="AQ235" s="4">
        <f t="shared" si="242"/>
        <v>0</v>
      </c>
      <c r="AR235" s="4"/>
      <c r="AS235" s="4"/>
      <c r="AU235" s="4"/>
      <c r="AV235" s="4"/>
      <c r="AW235" s="4"/>
      <c r="AX235" s="4"/>
      <c r="AY235" s="3"/>
      <c r="BA235" s="3">
        <v>0</v>
      </c>
      <c r="BB235" s="3">
        <f t="shared" si="249"/>
        <v>0</v>
      </c>
      <c r="BC235" s="3">
        <v>0</v>
      </c>
      <c r="BD235" s="3">
        <f t="shared" si="243"/>
        <v>0</v>
      </c>
      <c r="BE235" s="3">
        <v>0</v>
      </c>
      <c r="BF235" s="3">
        <f t="shared" si="244"/>
        <v>1113842</v>
      </c>
      <c r="BG235" s="3">
        <v>0</v>
      </c>
      <c r="BH235" s="3"/>
      <c r="BI235" s="3"/>
      <c r="BJ235" s="4">
        <v>0</v>
      </c>
      <c r="BK235" s="3">
        <f t="shared" si="245"/>
        <v>0</v>
      </c>
      <c r="BL235" s="3">
        <v>0</v>
      </c>
      <c r="BM235" s="177">
        <f t="shared" si="246"/>
        <v>0</v>
      </c>
      <c r="BN235" s="3"/>
      <c r="BR235" s="3"/>
      <c r="BS235" s="3"/>
      <c r="BT235" s="3"/>
      <c r="BU235" s="3"/>
      <c r="BV235" s="3"/>
      <c r="BW235" s="3"/>
      <c r="BX235" s="3"/>
      <c r="BY235" s="3"/>
      <c r="BZ235" s="3"/>
      <c r="CA235" s="3"/>
      <c r="CB235" s="3"/>
      <c r="CC235" s="4"/>
      <c r="CD235" s="3"/>
      <c r="CE235" s="3"/>
      <c r="CF235" s="3"/>
      <c r="CG235" s="3"/>
      <c r="CH235" s="3"/>
      <c r="CI235" s="3"/>
      <c r="CJ235" s="3"/>
      <c r="CK235" s="3"/>
      <c r="CL235" s="3"/>
      <c r="CM235" s="3"/>
      <c r="CN235" s="3"/>
      <c r="CO235" s="3"/>
      <c r="CP235" s="3"/>
    </row>
    <row r="236" spans="1:94">
      <c r="A236" s="2" t="s">
        <v>50</v>
      </c>
      <c r="B236" s="3">
        <f>'Monthly D4 Gallon Data'!$X9</f>
        <v>0</v>
      </c>
      <c r="C236" s="3">
        <f>'Monthly D4 Gallon Data'!$X21</f>
        <v>0</v>
      </c>
      <c r="D236" s="3">
        <f>'Monthly D4 Gallon Data'!$X33</f>
        <v>0</v>
      </c>
      <c r="E236" s="3">
        <f>'Monthly D4 Gallon Data'!$X45</f>
        <v>0</v>
      </c>
      <c r="F236" s="3">
        <f>'Monthly D4 Gallon Data'!$X57</f>
        <v>0</v>
      </c>
      <c r="G236" s="3">
        <f>'Monthly D4 Gallon Data'!$X69</f>
        <v>0</v>
      </c>
      <c r="H236" s="3">
        <f>'Monthly D4 Gallon Data'!$X81</f>
        <v>0</v>
      </c>
      <c r="I236" s="3">
        <f>'Monthly D4 Gallon Data'!$X93</f>
        <v>0</v>
      </c>
      <c r="J236" s="3">
        <f>'Monthly D4 Gallon Data'!$X105</f>
        <v>0</v>
      </c>
      <c r="K236" s="3">
        <f>'Monthly D4 Gallon Data'!$X117</f>
        <v>2375605</v>
      </c>
      <c r="L236" s="3">
        <f>'Monthly D4 Gallon Data'!$X129</f>
        <v>0</v>
      </c>
      <c r="M236" s="3">
        <f>'Monthly D4 Gallon Data'!$X141</f>
        <v>1504235</v>
      </c>
      <c r="N236" s="3">
        <f>'Monthly D4 Gallon Data'!$X153</f>
        <v>3347708</v>
      </c>
      <c r="O236" s="3">
        <f>'Monthly D4 Gallon Data'!$X165</f>
        <v>2926349</v>
      </c>
      <c r="P236" s="3">
        <f>'Monthly D4 Gallon Data'!$X177</f>
        <v>0</v>
      </c>
      <c r="Q236" s="4">
        <f t="shared" si="248"/>
        <v>0</v>
      </c>
      <c r="R236" s="4">
        <f t="shared" si="239"/>
        <v>0</v>
      </c>
      <c r="S236" s="4">
        <f t="shared" si="240"/>
        <v>0</v>
      </c>
      <c r="T236" s="4">
        <f t="shared" si="247"/>
        <v>0</v>
      </c>
      <c r="U236" s="4">
        <f t="shared" si="247"/>
        <v>0</v>
      </c>
      <c r="V236" s="4">
        <f t="shared" si="247"/>
        <v>0</v>
      </c>
      <c r="W236" s="4">
        <f t="shared" si="247"/>
        <v>0</v>
      </c>
      <c r="X236" s="4">
        <f t="shared" si="247"/>
        <v>0</v>
      </c>
      <c r="Y236" s="4">
        <f t="shared" si="247"/>
        <v>0</v>
      </c>
      <c r="Z236" s="4">
        <f t="shared" si="247"/>
        <v>0</v>
      </c>
      <c r="AA236" s="4">
        <f t="shared" si="247"/>
        <v>0</v>
      </c>
      <c r="AB236" s="4">
        <f t="shared" si="247"/>
        <v>0</v>
      </c>
      <c r="AC236" s="4">
        <f t="shared" si="247"/>
        <v>0</v>
      </c>
      <c r="AD236" s="4">
        <f t="shared" si="247"/>
        <v>0</v>
      </c>
      <c r="AE236" s="4">
        <f t="shared" si="247"/>
        <v>0</v>
      </c>
      <c r="AF236" s="4">
        <f t="shared" si="247"/>
        <v>0</v>
      </c>
      <c r="AG236" s="4">
        <f t="shared" si="247"/>
        <v>0</v>
      </c>
      <c r="AH236" s="4">
        <f t="shared" si="242"/>
        <v>0</v>
      </c>
      <c r="AI236" s="4">
        <f t="shared" si="242"/>
        <v>0</v>
      </c>
      <c r="AJ236" s="4">
        <f t="shared" si="242"/>
        <v>0</v>
      </c>
      <c r="AK236" s="4">
        <f t="shared" si="242"/>
        <v>0</v>
      </c>
      <c r="AL236" s="4">
        <f t="shared" si="242"/>
        <v>0</v>
      </c>
      <c r="AM236" s="4">
        <f t="shared" si="242"/>
        <v>0</v>
      </c>
      <c r="AN236" s="4">
        <f t="shared" si="242"/>
        <v>0</v>
      </c>
      <c r="AO236" s="4">
        <f t="shared" si="242"/>
        <v>0</v>
      </c>
      <c r="AP236" s="4">
        <f t="shared" si="242"/>
        <v>0</v>
      </c>
      <c r="AQ236" s="4">
        <f t="shared" si="242"/>
        <v>0</v>
      </c>
      <c r="AR236" s="4"/>
      <c r="AS236" s="4"/>
      <c r="AU236" s="4"/>
      <c r="AV236" s="4"/>
      <c r="AW236" s="4"/>
      <c r="AX236" s="4"/>
      <c r="AY236" s="3"/>
      <c r="BA236" s="3">
        <v>0</v>
      </c>
      <c r="BB236" s="3">
        <f t="shared" si="249"/>
        <v>2375605</v>
      </c>
      <c r="BC236" s="3">
        <v>0</v>
      </c>
      <c r="BD236" s="3">
        <f t="shared" si="243"/>
        <v>0</v>
      </c>
      <c r="BE236" s="3">
        <v>0</v>
      </c>
      <c r="BF236" s="3">
        <f t="shared" si="244"/>
        <v>1504235</v>
      </c>
      <c r="BG236" s="3">
        <v>0</v>
      </c>
      <c r="BH236" s="3"/>
      <c r="BI236" s="3"/>
      <c r="BJ236" s="4">
        <v>0</v>
      </c>
      <c r="BK236" s="3">
        <f t="shared" si="245"/>
        <v>0</v>
      </c>
      <c r="BL236" s="3">
        <v>0</v>
      </c>
      <c r="BM236" s="177">
        <f t="shared" si="246"/>
        <v>0</v>
      </c>
      <c r="BN236" s="3"/>
      <c r="BR236" s="3"/>
      <c r="BS236" s="3"/>
      <c r="BT236" s="3"/>
      <c r="BU236" s="3"/>
      <c r="BV236" s="3"/>
      <c r="BW236" s="3"/>
      <c r="BX236" s="3"/>
      <c r="BY236" s="3"/>
      <c r="BZ236" s="3"/>
      <c r="CA236" s="3"/>
      <c r="CB236" s="3"/>
      <c r="CC236" s="4"/>
      <c r="CD236" s="3"/>
      <c r="CE236" s="3"/>
      <c r="CF236" s="3"/>
      <c r="CG236" s="3"/>
      <c r="CH236" s="3"/>
      <c r="CI236" s="3"/>
      <c r="CJ236" s="3"/>
      <c r="CK236" s="3"/>
      <c r="CL236" s="3"/>
      <c r="CM236" s="3"/>
      <c r="CN236" s="3"/>
      <c r="CO236" s="3"/>
      <c r="CP236" s="3"/>
    </row>
    <row r="237" spans="1:94">
      <c r="A237" s="2" t="s">
        <v>51</v>
      </c>
      <c r="B237" s="3">
        <f>'Monthly D4 Gallon Data'!$X10</f>
        <v>0</v>
      </c>
      <c r="C237" s="3">
        <f>'Monthly D4 Gallon Data'!$X22</f>
        <v>0</v>
      </c>
      <c r="D237" s="3">
        <f>'Monthly D4 Gallon Data'!$X34</f>
        <v>0</v>
      </c>
      <c r="E237" s="3">
        <f>'Monthly D4 Gallon Data'!$X46</f>
        <v>0</v>
      </c>
      <c r="F237" s="3">
        <f>'Monthly D4 Gallon Data'!$X58</f>
        <v>0</v>
      </c>
      <c r="G237" s="3">
        <f>'Monthly D4 Gallon Data'!$X70</f>
        <v>0</v>
      </c>
      <c r="H237" s="3">
        <f>'Monthly D4 Gallon Data'!$X82</f>
        <v>0</v>
      </c>
      <c r="I237" s="3">
        <f>'Monthly D4 Gallon Data'!$X94</f>
        <v>0</v>
      </c>
      <c r="J237" s="3">
        <f>'Monthly D4 Gallon Data'!$X106</f>
        <v>0</v>
      </c>
      <c r="K237" s="3">
        <f>'Monthly D4 Gallon Data'!$X118</f>
        <v>0</v>
      </c>
      <c r="L237" s="3">
        <f>'Monthly D4 Gallon Data'!$X130</f>
        <v>0</v>
      </c>
      <c r="M237" s="3">
        <f>'Monthly D4 Gallon Data'!$X142</f>
        <v>2266248</v>
      </c>
      <c r="N237" s="3">
        <f>'Monthly D4 Gallon Data'!$X154</f>
        <v>0</v>
      </c>
      <c r="O237" s="3">
        <f>'Monthly D4 Gallon Data'!$X166</f>
        <v>681735</v>
      </c>
      <c r="P237" s="3">
        <f>'Monthly D4 Gallon Data'!$X178</f>
        <v>0</v>
      </c>
      <c r="Q237" s="4">
        <f t="shared" si="248"/>
        <v>0</v>
      </c>
      <c r="R237" s="4">
        <f t="shared" si="239"/>
        <v>0</v>
      </c>
      <c r="S237" s="4">
        <f t="shared" si="240"/>
        <v>0</v>
      </c>
      <c r="T237" s="4">
        <f t="shared" si="247"/>
        <v>0</v>
      </c>
      <c r="U237" s="4">
        <f t="shared" si="247"/>
        <v>0</v>
      </c>
      <c r="V237" s="4">
        <f t="shared" si="247"/>
        <v>0</v>
      </c>
      <c r="W237" s="4">
        <f t="shared" si="247"/>
        <v>0</v>
      </c>
      <c r="X237" s="4">
        <f t="shared" si="247"/>
        <v>0</v>
      </c>
      <c r="Y237" s="4">
        <f t="shared" si="247"/>
        <v>0</v>
      </c>
      <c r="Z237" s="4">
        <f t="shared" si="247"/>
        <v>0</v>
      </c>
      <c r="AA237" s="4">
        <f t="shared" si="247"/>
        <v>0</v>
      </c>
      <c r="AB237" s="4">
        <f t="shared" si="247"/>
        <v>0</v>
      </c>
      <c r="AC237" s="4">
        <f t="shared" si="247"/>
        <v>0</v>
      </c>
      <c r="AD237" s="4">
        <f t="shared" si="247"/>
        <v>0</v>
      </c>
      <c r="AE237" s="4">
        <f t="shared" si="247"/>
        <v>0</v>
      </c>
      <c r="AF237" s="4">
        <f t="shared" si="247"/>
        <v>0</v>
      </c>
      <c r="AG237" s="4">
        <f t="shared" si="247"/>
        <v>0</v>
      </c>
      <c r="AH237" s="4">
        <f t="shared" si="242"/>
        <v>0</v>
      </c>
      <c r="AI237" s="4">
        <f t="shared" si="242"/>
        <v>0</v>
      </c>
      <c r="AJ237" s="4">
        <f t="shared" si="242"/>
        <v>0</v>
      </c>
      <c r="AK237" s="4">
        <f t="shared" si="242"/>
        <v>0</v>
      </c>
      <c r="AL237" s="4">
        <f t="shared" si="242"/>
        <v>0</v>
      </c>
      <c r="AM237" s="4">
        <f t="shared" si="242"/>
        <v>0</v>
      </c>
      <c r="AN237" s="4">
        <f t="shared" si="242"/>
        <v>0</v>
      </c>
      <c r="AO237" s="4">
        <f t="shared" si="242"/>
        <v>0</v>
      </c>
      <c r="AP237" s="4">
        <f t="shared" si="242"/>
        <v>0</v>
      </c>
      <c r="AQ237" s="4">
        <f t="shared" si="242"/>
        <v>0</v>
      </c>
      <c r="AR237" s="4"/>
      <c r="AS237" s="4"/>
      <c r="AU237" s="4"/>
      <c r="AV237" s="4"/>
      <c r="AW237" s="4"/>
      <c r="AX237" s="4"/>
      <c r="AY237" s="3"/>
      <c r="BA237" s="3">
        <v>0</v>
      </c>
      <c r="BB237" s="3">
        <f t="shared" si="249"/>
        <v>0</v>
      </c>
      <c r="BC237" s="3">
        <v>0</v>
      </c>
      <c r="BD237" s="3">
        <f t="shared" si="243"/>
        <v>0</v>
      </c>
      <c r="BE237" s="3">
        <v>0</v>
      </c>
      <c r="BF237" s="3">
        <f t="shared" si="244"/>
        <v>2266248</v>
      </c>
      <c r="BG237" s="3">
        <v>0</v>
      </c>
      <c r="BH237" s="3"/>
      <c r="BI237" s="3"/>
      <c r="BJ237" s="4">
        <v>0</v>
      </c>
      <c r="BK237" s="3">
        <f t="shared" si="245"/>
        <v>0</v>
      </c>
      <c r="BL237" s="3">
        <v>0</v>
      </c>
      <c r="BM237" s="177">
        <f t="shared" si="246"/>
        <v>0</v>
      </c>
      <c r="BN237" s="3"/>
      <c r="BR237" s="3"/>
      <c r="BS237" s="3"/>
      <c r="BT237" s="3"/>
      <c r="BU237" s="3"/>
      <c r="BV237" s="3"/>
      <c r="BW237" s="3"/>
      <c r="BX237" s="3"/>
      <c r="BY237" s="3"/>
      <c r="BZ237" s="3"/>
      <c r="CA237" s="3"/>
      <c r="CB237" s="3"/>
      <c r="CC237" s="4"/>
      <c r="CD237" s="3"/>
      <c r="CE237" s="3"/>
      <c r="CF237" s="3"/>
      <c r="CG237" s="3"/>
      <c r="CH237" s="3"/>
      <c r="CI237" s="3"/>
      <c r="CJ237" s="3"/>
      <c r="CK237" s="3"/>
      <c r="CL237" s="3"/>
      <c r="CM237" s="3"/>
      <c r="CN237" s="3"/>
      <c r="CO237" s="3"/>
      <c r="CP237" s="3"/>
    </row>
    <row r="238" spans="1:94">
      <c r="A238" s="2" t="s">
        <v>52</v>
      </c>
      <c r="B238" s="3">
        <f>'Monthly D4 Gallon Data'!$X11</f>
        <v>0</v>
      </c>
      <c r="C238" s="3">
        <f>'Monthly D4 Gallon Data'!$X23</f>
        <v>0</v>
      </c>
      <c r="D238" s="3">
        <f>'Monthly D4 Gallon Data'!$X35</f>
        <v>0</v>
      </c>
      <c r="E238" s="3">
        <f>'Monthly D4 Gallon Data'!$X47</f>
        <v>0</v>
      </c>
      <c r="F238" s="3">
        <f>'Monthly D4 Gallon Data'!$X59</f>
        <v>0</v>
      </c>
      <c r="G238" s="3">
        <f>'Monthly D4 Gallon Data'!$X71</f>
        <v>0</v>
      </c>
      <c r="H238" s="3">
        <f>'Monthly D4 Gallon Data'!$X83</f>
        <v>0</v>
      </c>
      <c r="I238" s="3">
        <f>'Monthly D4 Gallon Data'!$X95</f>
        <v>0</v>
      </c>
      <c r="J238" s="3">
        <f>'Monthly D4 Gallon Data'!$X107</f>
        <v>0</v>
      </c>
      <c r="K238" s="3">
        <f>'Monthly D4 Gallon Data'!$X119</f>
        <v>0</v>
      </c>
      <c r="L238" s="3">
        <f>'Monthly D4 Gallon Data'!$X131</f>
        <v>0</v>
      </c>
      <c r="M238" s="3">
        <f>'Monthly D4 Gallon Data'!$X143</f>
        <v>5990105</v>
      </c>
      <c r="N238" s="3">
        <f>'Monthly D4 Gallon Data'!$X155</f>
        <v>2217285</v>
      </c>
      <c r="O238" s="3">
        <f>'Monthly D4 Gallon Data'!$X167</f>
        <v>3015445</v>
      </c>
      <c r="P238" s="3">
        <f>'Monthly D4 Gallon Data'!$X179</f>
        <v>2116040</v>
      </c>
      <c r="Q238" s="4">
        <f t="shared" si="248"/>
        <v>0</v>
      </c>
      <c r="R238" s="4">
        <f t="shared" si="239"/>
        <v>0</v>
      </c>
      <c r="S238" s="4">
        <f t="shared" si="240"/>
        <v>0</v>
      </c>
      <c r="T238" s="4">
        <f t="shared" si="247"/>
        <v>0</v>
      </c>
      <c r="U238" s="4">
        <f t="shared" si="247"/>
        <v>0</v>
      </c>
      <c r="V238" s="4">
        <f t="shared" si="247"/>
        <v>0</v>
      </c>
      <c r="W238" s="4">
        <f t="shared" si="247"/>
        <v>0</v>
      </c>
      <c r="X238" s="4">
        <f t="shared" si="247"/>
        <v>0</v>
      </c>
      <c r="Y238" s="4">
        <f t="shared" si="247"/>
        <v>0</v>
      </c>
      <c r="Z238" s="4">
        <f t="shared" si="247"/>
        <v>0</v>
      </c>
      <c r="AA238" s="4">
        <f t="shared" si="247"/>
        <v>0</v>
      </c>
      <c r="AB238" s="4">
        <f t="shared" si="247"/>
        <v>0</v>
      </c>
      <c r="AC238" s="4">
        <f t="shared" si="247"/>
        <v>0</v>
      </c>
      <c r="AD238" s="4">
        <f t="shared" si="247"/>
        <v>0</v>
      </c>
      <c r="AE238" s="4">
        <f t="shared" si="247"/>
        <v>0</v>
      </c>
      <c r="AF238" s="4">
        <f t="shared" si="247"/>
        <v>0</v>
      </c>
      <c r="AG238" s="4">
        <f t="shared" si="247"/>
        <v>0</v>
      </c>
      <c r="AH238" s="4">
        <f t="shared" si="242"/>
        <v>0</v>
      </c>
      <c r="AI238" s="4">
        <f t="shared" si="242"/>
        <v>0</v>
      </c>
      <c r="AJ238" s="4">
        <f t="shared" si="242"/>
        <v>0</v>
      </c>
      <c r="AK238" s="4">
        <f t="shared" si="242"/>
        <v>0</v>
      </c>
      <c r="AL238" s="4">
        <f t="shared" si="242"/>
        <v>0</v>
      </c>
      <c r="AM238" s="4">
        <f t="shared" si="242"/>
        <v>0</v>
      </c>
      <c r="AN238" s="4">
        <f t="shared" si="242"/>
        <v>0</v>
      </c>
      <c r="AO238" s="4">
        <f t="shared" si="242"/>
        <v>0</v>
      </c>
      <c r="AP238" s="4">
        <f t="shared" si="242"/>
        <v>0</v>
      </c>
      <c r="AQ238" s="4">
        <f t="shared" si="242"/>
        <v>0</v>
      </c>
      <c r="AR238" s="4"/>
      <c r="AS238" s="4"/>
      <c r="AU238" s="4"/>
      <c r="AV238" s="4"/>
      <c r="AW238" s="4"/>
      <c r="AX238" s="4"/>
      <c r="AY238" s="3"/>
      <c r="BA238" s="3">
        <v>0</v>
      </c>
      <c r="BB238" s="3">
        <f t="shared" si="249"/>
        <v>0</v>
      </c>
      <c r="BC238" s="3">
        <v>0</v>
      </c>
      <c r="BD238" s="3">
        <f t="shared" si="243"/>
        <v>0</v>
      </c>
      <c r="BE238" s="3">
        <v>0</v>
      </c>
      <c r="BF238" s="3">
        <f t="shared" si="244"/>
        <v>5990105</v>
      </c>
      <c r="BG238" s="3">
        <v>0</v>
      </c>
      <c r="BH238" s="3"/>
      <c r="BI238" s="3"/>
      <c r="BJ238" s="4">
        <v>0</v>
      </c>
      <c r="BK238" s="3">
        <f t="shared" si="245"/>
        <v>2116040</v>
      </c>
      <c r="BL238" s="3">
        <v>0</v>
      </c>
      <c r="BM238" s="177">
        <f t="shared" si="246"/>
        <v>0</v>
      </c>
      <c r="BN238" s="3"/>
      <c r="BR238" s="3"/>
      <c r="BS238" s="3"/>
      <c r="BT238" s="3"/>
      <c r="BU238" s="3"/>
      <c r="BV238" s="3"/>
      <c r="BW238" s="3"/>
      <c r="BX238" s="3"/>
      <c r="BY238" s="3"/>
      <c r="BZ238" s="3"/>
      <c r="CA238" s="3"/>
      <c r="CB238" s="3"/>
      <c r="CC238" s="4"/>
      <c r="CD238" s="3"/>
      <c r="CE238" s="3"/>
      <c r="CF238" s="3"/>
      <c r="CG238" s="3"/>
      <c r="CH238" s="3"/>
      <c r="CI238" s="3"/>
      <c r="CJ238" s="3"/>
      <c r="CK238" s="3"/>
      <c r="CL238" s="3"/>
      <c r="CM238" s="3"/>
      <c r="CN238" s="3"/>
      <c r="CO238" s="3"/>
      <c r="CP238" s="3"/>
    </row>
    <row r="239" spans="1:94">
      <c r="A239" s="2" t="s">
        <v>53</v>
      </c>
      <c r="B239" s="3">
        <f>'Monthly D4 Gallon Data'!$X12</f>
        <v>0</v>
      </c>
      <c r="C239" s="3">
        <f>'Monthly D4 Gallon Data'!$X24</f>
        <v>0</v>
      </c>
      <c r="D239" s="3">
        <f>'Monthly D4 Gallon Data'!$X36</f>
        <v>0</v>
      </c>
      <c r="E239" s="3">
        <f>'Monthly D4 Gallon Data'!$X48</f>
        <v>0</v>
      </c>
      <c r="F239" s="3">
        <f>'Monthly D4 Gallon Data'!$X60</f>
        <v>0</v>
      </c>
      <c r="G239" s="3">
        <f>'Monthly D4 Gallon Data'!$X72</f>
        <v>0</v>
      </c>
      <c r="H239" s="3">
        <f>'Monthly D4 Gallon Data'!$X84</f>
        <v>0</v>
      </c>
      <c r="I239" s="3">
        <f>'Monthly D4 Gallon Data'!$X96</f>
        <v>0</v>
      </c>
      <c r="J239" s="3">
        <f>'Monthly D4 Gallon Data'!$X108</f>
        <v>0</v>
      </c>
      <c r="K239" s="3">
        <f>'Monthly D4 Gallon Data'!$X120</f>
        <v>0</v>
      </c>
      <c r="L239" s="3">
        <f>'Monthly D4 Gallon Data'!$X132</f>
        <v>0</v>
      </c>
      <c r="M239" s="3">
        <f>'Monthly D4 Gallon Data'!$X144</f>
        <v>0</v>
      </c>
      <c r="N239" s="3">
        <f>'Monthly D4 Gallon Data'!$X156</f>
        <v>2015520</v>
      </c>
      <c r="O239" s="3">
        <f>'Monthly D4 Gallon Data'!$X168</f>
        <v>2321619</v>
      </c>
      <c r="P239" s="3">
        <f>'Monthly D4 Gallon Data'!$X180</f>
        <v>817680</v>
      </c>
      <c r="Q239" s="4">
        <f t="shared" si="248"/>
        <v>0</v>
      </c>
      <c r="R239" s="4">
        <f t="shared" si="239"/>
        <v>0</v>
      </c>
      <c r="S239" s="4">
        <f t="shared" si="240"/>
        <v>0</v>
      </c>
      <c r="T239" s="4">
        <f t="shared" si="247"/>
        <v>0</v>
      </c>
      <c r="U239" s="4">
        <f t="shared" si="247"/>
        <v>0</v>
      </c>
      <c r="V239" s="4">
        <f t="shared" si="247"/>
        <v>0</v>
      </c>
      <c r="W239" s="4">
        <f t="shared" si="247"/>
        <v>0</v>
      </c>
      <c r="X239" s="4">
        <f t="shared" si="247"/>
        <v>0</v>
      </c>
      <c r="Y239" s="4">
        <f t="shared" si="247"/>
        <v>0</v>
      </c>
      <c r="Z239" s="4">
        <f t="shared" si="247"/>
        <v>0</v>
      </c>
      <c r="AA239" s="4">
        <f t="shared" si="247"/>
        <v>0</v>
      </c>
      <c r="AB239" s="4">
        <f t="shared" si="247"/>
        <v>0</v>
      </c>
      <c r="AC239" s="4">
        <f t="shared" si="247"/>
        <v>0</v>
      </c>
      <c r="AD239" s="4">
        <f t="shared" si="247"/>
        <v>0</v>
      </c>
      <c r="AE239" s="4">
        <f t="shared" si="247"/>
        <v>0</v>
      </c>
      <c r="AF239" s="4">
        <f t="shared" si="247"/>
        <v>0</v>
      </c>
      <c r="AG239" s="4">
        <f t="shared" si="247"/>
        <v>0</v>
      </c>
      <c r="AH239" s="4">
        <f t="shared" si="242"/>
        <v>0</v>
      </c>
      <c r="AI239" s="4">
        <f t="shared" si="242"/>
        <v>0</v>
      </c>
      <c r="AJ239" s="4">
        <f t="shared" si="242"/>
        <v>0</v>
      </c>
      <c r="AK239" s="4">
        <f t="shared" si="242"/>
        <v>0</v>
      </c>
      <c r="AL239" s="4">
        <f t="shared" si="242"/>
        <v>0</v>
      </c>
      <c r="AM239" s="4">
        <f t="shared" si="242"/>
        <v>0</v>
      </c>
      <c r="AN239" s="4">
        <f t="shared" si="242"/>
        <v>0</v>
      </c>
      <c r="AO239" s="4">
        <f t="shared" si="242"/>
        <v>0</v>
      </c>
      <c r="AP239" s="4">
        <f t="shared" si="242"/>
        <v>0</v>
      </c>
      <c r="AQ239" s="4">
        <f t="shared" si="242"/>
        <v>0</v>
      </c>
      <c r="AR239" s="4"/>
      <c r="AS239" s="4"/>
      <c r="AU239" s="4"/>
      <c r="AV239" s="4"/>
      <c r="AW239" s="4"/>
      <c r="AX239" s="4"/>
      <c r="AY239" s="3"/>
      <c r="BA239" s="3">
        <v>0</v>
      </c>
      <c r="BB239" s="3">
        <f t="shared" si="249"/>
        <v>0</v>
      </c>
      <c r="BC239" s="3">
        <v>0</v>
      </c>
      <c r="BD239" s="3">
        <f t="shared" si="243"/>
        <v>0</v>
      </c>
      <c r="BE239" s="3">
        <v>0</v>
      </c>
      <c r="BF239" s="3">
        <f t="shared" si="244"/>
        <v>0</v>
      </c>
      <c r="BG239" s="3">
        <v>0</v>
      </c>
      <c r="BH239" s="3"/>
      <c r="BI239" s="3"/>
      <c r="BJ239" s="4">
        <v>0</v>
      </c>
      <c r="BK239" s="3">
        <f t="shared" si="245"/>
        <v>817680</v>
      </c>
      <c r="BL239" s="3">
        <v>0</v>
      </c>
      <c r="BM239" s="177">
        <f t="shared" si="246"/>
        <v>0</v>
      </c>
      <c r="BN239" s="3"/>
      <c r="BR239" s="3"/>
      <c r="BS239" s="3"/>
      <c r="BT239" s="3"/>
      <c r="BU239" s="3"/>
      <c r="BV239" s="3"/>
      <c r="BW239" s="3"/>
      <c r="BX239" s="3"/>
      <c r="BY239" s="3"/>
      <c r="BZ239" s="3"/>
      <c r="CA239" s="3"/>
      <c r="CB239" s="3"/>
      <c r="CC239" s="4"/>
      <c r="CD239" s="3"/>
      <c r="CE239" s="3"/>
      <c r="CF239" s="3"/>
      <c r="CG239" s="3"/>
      <c r="CH239" s="3"/>
      <c r="CI239" s="3"/>
      <c r="CJ239" s="3"/>
      <c r="CK239" s="3"/>
      <c r="CL239" s="3"/>
      <c r="CM239" s="3"/>
      <c r="CN239" s="3"/>
      <c r="CO239" s="3"/>
      <c r="CP239" s="3"/>
    </row>
    <row r="240" spans="1:94">
      <c r="A240" s="2" t="s">
        <v>54</v>
      </c>
      <c r="B240" s="3">
        <f>'Monthly D4 Gallon Data'!$X13</f>
        <v>0</v>
      </c>
      <c r="C240" s="3">
        <f>'Monthly D4 Gallon Data'!$X25</f>
        <v>0</v>
      </c>
      <c r="D240" s="3">
        <f>'Monthly D4 Gallon Data'!$X37</f>
        <v>0</v>
      </c>
      <c r="E240" s="3">
        <f>'Monthly D4 Gallon Data'!$X49</f>
        <v>0</v>
      </c>
      <c r="F240" s="3">
        <f>'Monthly D4 Gallon Data'!$X61</f>
        <v>0</v>
      </c>
      <c r="G240" s="3">
        <f>'Monthly D4 Gallon Data'!$X73</f>
        <v>0</v>
      </c>
      <c r="H240" s="3">
        <f>'Monthly D4 Gallon Data'!$X85</f>
        <v>0</v>
      </c>
      <c r="I240" s="3">
        <f>'Monthly D4 Gallon Data'!$X97</f>
        <v>0</v>
      </c>
      <c r="J240" s="3">
        <f>'Monthly D4 Gallon Data'!$X109</f>
        <v>0</v>
      </c>
      <c r="K240" s="3">
        <f>'Monthly D4 Gallon Data'!$X121</f>
        <v>0</v>
      </c>
      <c r="L240" s="3">
        <f>'Monthly D4 Gallon Data'!$X133</f>
        <v>0</v>
      </c>
      <c r="M240" s="3">
        <f>'Monthly D4 Gallon Data'!$X145</f>
        <v>3111767</v>
      </c>
      <c r="N240" s="3">
        <f>'Monthly D4 Gallon Data'!$X157</f>
        <v>548520</v>
      </c>
      <c r="O240" s="3">
        <f>'Monthly D4 Gallon Data'!$X169</f>
        <v>2236004</v>
      </c>
      <c r="P240" s="3">
        <f>'Monthly D4 Gallon Data'!$X181</f>
        <v>0</v>
      </c>
      <c r="Q240" s="4">
        <f t="shared" ref="Q240:S240" si="250">Q241-SUM(Q229:Q239)</f>
        <v>0</v>
      </c>
      <c r="R240" s="4">
        <f t="shared" si="250"/>
        <v>0</v>
      </c>
      <c r="S240" s="4">
        <f t="shared" si="250"/>
        <v>0</v>
      </c>
      <c r="T240" s="4">
        <f t="shared" si="247"/>
        <v>0</v>
      </c>
      <c r="U240" s="4">
        <f t="shared" si="247"/>
        <v>0</v>
      </c>
      <c r="V240" s="4">
        <f t="shared" si="247"/>
        <v>0</v>
      </c>
      <c r="W240" s="4">
        <f t="shared" si="247"/>
        <v>0</v>
      </c>
      <c r="X240" s="4">
        <f t="shared" si="247"/>
        <v>0</v>
      </c>
      <c r="Y240" s="4">
        <f t="shared" si="247"/>
        <v>0</v>
      </c>
      <c r="Z240" s="4">
        <f t="shared" si="247"/>
        <v>0</v>
      </c>
      <c r="AA240" s="4">
        <f t="shared" si="247"/>
        <v>0</v>
      </c>
      <c r="AB240" s="4">
        <f t="shared" si="247"/>
        <v>0</v>
      </c>
      <c r="AC240" s="4">
        <f t="shared" si="247"/>
        <v>0</v>
      </c>
      <c r="AD240" s="4">
        <f t="shared" si="247"/>
        <v>0</v>
      </c>
      <c r="AE240" s="4">
        <f t="shared" si="247"/>
        <v>0</v>
      </c>
      <c r="AF240" s="4">
        <f t="shared" si="247"/>
        <v>0</v>
      </c>
      <c r="AG240" s="4">
        <f t="shared" si="247"/>
        <v>0</v>
      </c>
      <c r="AH240" s="4">
        <f t="shared" si="242"/>
        <v>0</v>
      </c>
      <c r="AI240" s="4">
        <f t="shared" si="242"/>
        <v>0</v>
      </c>
      <c r="AJ240" s="4">
        <f t="shared" si="242"/>
        <v>0</v>
      </c>
      <c r="AK240" s="4">
        <f t="shared" si="242"/>
        <v>0</v>
      </c>
      <c r="AL240" s="4">
        <f t="shared" si="242"/>
        <v>0</v>
      </c>
      <c r="AM240" s="4">
        <f t="shared" si="242"/>
        <v>0</v>
      </c>
      <c r="AN240" s="4">
        <f t="shared" si="242"/>
        <v>0</v>
      </c>
      <c r="AO240" s="4">
        <f t="shared" si="242"/>
        <v>0</v>
      </c>
      <c r="AP240" s="4">
        <f t="shared" si="242"/>
        <v>0</v>
      </c>
      <c r="AQ240" s="4">
        <f t="shared" si="242"/>
        <v>0</v>
      </c>
      <c r="AR240" s="4"/>
      <c r="AS240" s="4"/>
      <c r="AU240" s="4"/>
      <c r="AV240" s="4"/>
      <c r="AW240" s="4"/>
      <c r="AX240" s="4"/>
      <c r="AY240" s="3"/>
      <c r="BA240" s="3">
        <v>0</v>
      </c>
      <c r="BB240" s="3">
        <f t="shared" si="249"/>
        <v>0</v>
      </c>
      <c r="BC240" s="3">
        <v>0</v>
      </c>
      <c r="BD240" s="3">
        <f t="shared" si="243"/>
        <v>0</v>
      </c>
      <c r="BE240" s="3">
        <v>0</v>
      </c>
      <c r="BF240" s="3">
        <f t="shared" si="244"/>
        <v>3111767</v>
      </c>
      <c r="BG240" s="3">
        <v>0</v>
      </c>
      <c r="BH240" s="3"/>
      <c r="BI240" s="3"/>
      <c r="BJ240" s="4">
        <v>0</v>
      </c>
      <c r="BK240" s="3">
        <f t="shared" si="245"/>
        <v>0</v>
      </c>
      <c r="BL240" s="3">
        <v>0</v>
      </c>
      <c r="BM240" s="177">
        <f t="shared" si="246"/>
        <v>0</v>
      </c>
      <c r="BN240" s="3"/>
      <c r="BR240" s="3"/>
      <c r="BS240" s="3"/>
      <c r="BT240" s="3"/>
      <c r="BU240" s="3"/>
      <c r="BV240" s="3"/>
      <c r="BW240" s="3"/>
      <c r="BX240" s="3"/>
      <c r="BY240" s="3"/>
      <c r="BZ240" s="3"/>
      <c r="CA240" s="3"/>
      <c r="CB240" s="3"/>
      <c r="CC240" s="4"/>
      <c r="CD240" s="3"/>
      <c r="CE240" s="3"/>
      <c r="CF240" s="3"/>
      <c r="CG240" s="3"/>
      <c r="CH240" s="3"/>
      <c r="CI240" s="3"/>
      <c r="CJ240" s="3"/>
      <c r="CK240" s="3"/>
      <c r="CL240" s="3"/>
      <c r="CM240" s="3"/>
      <c r="CN240" s="3"/>
      <c r="CO240" s="3"/>
      <c r="CP240" s="3"/>
    </row>
    <row r="241" spans="1:94" ht="13.5" thickBot="1">
      <c r="A241" s="2" t="s">
        <v>29</v>
      </c>
      <c r="B241" s="3">
        <f>SUM(B229:B240)</f>
        <v>0</v>
      </c>
      <c r="C241" s="3">
        <f t="shared" ref="C241:P241" si="251">SUM(C229:C240)</f>
        <v>0</v>
      </c>
      <c r="D241" s="3">
        <f t="shared" si="251"/>
        <v>0</v>
      </c>
      <c r="E241" s="3">
        <f t="shared" si="251"/>
        <v>0</v>
      </c>
      <c r="F241" s="3">
        <f t="shared" si="251"/>
        <v>0</v>
      </c>
      <c r="G241" s="3">
        <f t="shared" si="251"/>
        <v>0</v>
      </c>
      <c r="H241" s="3">
        <f t="shared" si="251"/>
        <v>0</v>
      </c>
      <c r="I241" s="3">
        <f t="shared" si="251"/>
        <v>0</v>
      </c>
      <c r="J241" s="3">
        <f t="shared" si="251"/>
        <v>0</v>
      </c>
      <c r="K241" s="3">
        <f t="shared" si="251"/>
        <v>2375605</v>
      </c>
      <c r="L241" s="3">
        <f t="shared" si="251"/>
        <v>2195738</v>
      </c>
      <c r="M241" s="3">
        <f t="shared" si="251"/>
        <v>18293075</v>
      </c>
      <c r="N241" s="3">
        <f t="shared" si="251"/>
        <v>20641595</v>
      </c>
      <c r="O241" s="3">
        <f t="shared" si="251"/>
        <v>28460403</v>
      </c>
      <c r="P241" s="3">
        <f t="shared" si="251"/>
        <v>2933720</v>
      </c>
      <c r="Q241" s="4">
        <f t="shared" ref="Q241:AQ241" si="252">Q14</f>
        <v>0</v>
      </c>
      <c r="R241" s="4">
        <f t="shared" si="252"/>
        <v>0</v>
      </c>
      <c r="S241" s="4">
        <f t="shared" si="252"/>
        <v>0</v>
      </c>
      <c r="T241" s="4">
        <f t="shared" si="252"/>
        <v>0</v>
      </c>
      <c r="U241" s="4">
        <f t="shared" si="252"/>
        <v>0</v>
      </c>
      <c r="V241" s="4">
        <f t="shared" si="252"/>
        <v>0</v>
      </c>
      <c r="W241" s="4">
        <f t="shared" si="252"/>
        <v>0</v>
      </c>
      <c r="X241" s="4">
        <f t="shared" si="252"/>
        <v>0</v>
      </c>
      <c r="Y241" s="4">
        <f t="shared" si="252"/>
        <v>0</v>
      </c>
      <c r="Z241" s="4">
        <f t="shared" si="252"/>
        <v>0</v>
      </c>
      <c r="AA241" s="4">
        <f t="shared" si="252"/>
        <v>0</v>
      </c>
      <c r="AB241" s="4">
        <f t="shared" si="252"/>
        <v>0</v>
      </c>
      <c r="AC241" s="4">
        <f t="shared" si="252"/>
        <v>0</v>
      </c>
      <c r="AD241" s="4">
        <f t="shared" si="252"/>
        <v>0</v>
      </c>
      <c r="AE241" s="4">
        <f t="shared" si="252"/>
        <v>0</v>
      </c>
      <c r="AF241" s="4">
        <f t="shared" si="252"/>
        <v>0</v>
      </c>
      <c r="AG241" s="4">
        <f t="shared" si="252"/>
        <v>0</v>
      </c>
      <c r="AH241" s="4">
        <f t="shared" si="252"/>
        <v>0</v>
      </c>
      <c r="AI241" s="4">
        <f t="shared" si="252"/>
        <v>0</v>
      </c>
      <c r="AJ241" s="4">
        <f t="shared" si="252"/>
        <v>0</v>
      </c>
      <c r="AK241" s="4">
        <f t="shared" si="252"/>
        <v>0</v>
      </c>
      <c r="AL241" s="4">
        <f t="shared" si="252"/>
        <v>0</v>
      </c>
      <c r="AM241" s="4">
        <f t="shared" si="252"/>
        <v>0</v>
      </c>
      <c r="AN241" s="4">
        <f t="shared" si="252"/>
        <v>0</v>
      </c>
      <c r="AO241" s="4">
        <f t="shared" si="252"/>
        <v>0</v>
      </c>
      <c r="AP241" s="4">
        <f t="shared" si="252"/>
        <v>0</v>
      </c>
      <c r="AQ241" s="4">
        <f t="shared" si="252"/>
        <v>0</v>
      </c>
      <c r="AR241" s="4"/>
      <c r="AS241" s="4"/>
      <c r="AU241" s="4"/>
      <c r="AV241" s="4"/>
      <c r="AW241" s="4"/>
      <c r="AX241" s="4"/>
      <c r="AY241" s="3"/>
      <c r="BA241" s="3">
        <v>2375605</v>
      </c>
      <c r="BB241" s="3">
        <f t="shared" si="249"/>
        <v>0</v>
      </c>
      <c r="BC241" s="3">
        <v>2195738</v>
      </c>
      <c r="BD241" s="3">
        <f t="shared" si="243"/>
        <v>0</v>
      </c>
      <c r="BE241" s="3">
        <v>15181308</v>
      </c>
      <c r="BF241" s="3">
        <f t="shared" si="244"/>
        <v>3111767</v>
      </c>
      <c r="BG241" s="3">
        <v>20093075</v>
      </c>
      <c r="BH241" s="3"/>
      <c r="BI241" s="3"/>
      <c r="BJ241" s="4">
        <v>0</v>
      </c>
      <c r="BK241" s="3">
        <f t="shared" si="245"/>
        <v>2933720</v>
      </c>
      <c r="BL241" s="3">
        <v>0</v>
      </c>
      <c r="BM241" s="177">
        <f t="shared" si="246"/>
        <v>0</v>
      </c>
      <c r="BN241" s="3"/>
      <c r="BR241" s="3"/>
      <c r="BS241" s="3"/>
      <c r="BT241" s="3"/>
      <c r="BU241" s="3"/>
      <c r="BV241" s="3"/>
      <c r="BW241" s="3"/>
      <c r="BX241" s="3"/>
      <c r="BY241" s="3"/>
      <c r="BZ241" s="3"/>
      <c r="CA241" s="3"/>
      <c r="CB241" s="3"/>
      <c r="CC241" s="4"/>
      <c r="CD241" s="3"/>
      <c r="CE241" s="3"/>
      <c r="CF241" s="3"/>
      <c r="CG241" s="3"/>
      <c r="CH241" s="3"/>
      <c r="CI241" s="3"/>
      <c r="CJ241" s="3"/>
      <c r="CK241" s="3"/>
      <c r="CL241" s="3"/>
      <c r="CM241" s="3"/>
      <c r="CN241" s="3"/>
      <c r="CO241" s="3"/>
      <c r="CP241" s="3"/>
    </row>
    <row r="242" spans="1:94">
      <c r="A242" s="114"/>
      <c r="B242" s="114"/>
      <c r="C242" s="114"/>
      <c r="D242" s="114"/>
      <c r="E242" s="114"/>
      <c r="F242" s="114"/>
      <c r="G242" s="114"/>
      <c r="H242" s="114"/>
      <c r="I242" s="114"/>
      <c r="J242" s="114"/>
      <c r="K242" s="114"/>
      <c r="L242" s="114"/>
      <c r="M242" s="114"/>
      <c r="N242" s="114"/>
      <c r="O242" s="114"/>
      <c r="P242" s="114"/>
      <c r="Q242" s="114"/>
      <c r="R242" s="114"/>
      <c r="S242" s="114"/>
      <c r="T242" s="114"/>
      <c r="U242" s="114"/>
      <c r="V242" s="114"/>
      <c r="W242" s="114"/>
      <c r="X242" s="114"/>
      <c r="Y242" s="114"/>
      <c r="Z242" s="114"/>
      <c r="AA242" s="114"/>
      <c r="AB242" s="114"/>
      <c r="AC242" s="114"/>
      <c r="AD242" s="114"/>
      <c r="AE242" s="114"/>
      <c r="AF242" s="114"/>
      <c r="AG242" s="114"/>
      <c r="AH242" s="114"/>
      <c r="AI242" s="114"/>
      <c r="AJ242" s="114"/>
      <c r="AK242" s="114"/>
      <c r="AL242" s="114"/>
      <c r="AM242" s="114"/>
      <c r="AN242" s="114"/>
      <c r="AO242" s="114"/>
      <c r="AP242" s="114"/>
      <c r="AQ242" s="114"/>
      <c r="AX242" s="4"/>
      <c r="AY242" s="3"/>
      <c r="BE242" s="4"/>
    </row>
    <row r="243" spans="1:94" ht="16.5" thickBot="1">
      <c r="A243" s="109" t="s">
        <v>321</v>
      </c>
      <c r="AX243" s="4"/>
      <c r="AY243" s="3"/>
      <c r="BE243" s="4"/>
    </row>
    <row r="244" spans="1:94" ht="14.25" thickBot="1">
      <c r="A244" s="110"/>
      <c r="B244" s="111">
        <f t="shared" ref="B244:K244" si="253">B2</f>
        <v>2010</v>
      </c>
      <c r="C244" s="111">
        <f t="shared" si="253"/>
        <v>2011</v>
      </c>
      <c r="D244" s="111">
        <f t="shared" si="253"/>
        <v>2012</v>
      </c>
      <c r="E244" s="111">
        <f t="shared" si="253"/>
        <v>2013</v>
      </c>
      <c r="F244" s="111">
        <f t="shared" si="253"/>
        <v>2014</v>
      </c>
      <c r="G244" s="111">
        <f t="shared" si="253"/>
        <v>2015</v>
      </c>
      <c r="H244" s="111">
        <f t="shared" si="253"/>
        <v>2016</v>
      </c>
      <c r="I244" s="111">
        <f t="shared" si="253"/>
        <v>2017</v>
      </c>
      <c r="J244" s="111">
        <f t="shared" si="253"/>
        <v>2018</v>
      </c>
      <c r="K244" s="111">
        <f t="shared" si="253"/>
        <v>2019</v>
      </c>
      <c r="L244" s="111">
        <f>L2</f>
        <v>2020</v>
      </c>
      <c r="M244" s="111">
        <f>M2</f>
        <v>2021</v>
      </c>
      <c r="N244" s="111">
        <f t="shared" ref="N244:AQ244" si="254">N2</f>
        <v>2022</v>
      </c>
      <c r="O244" s="111">
        <f t="shared" si="254"/>
        <v>2023</v>
      </c>
      <c r="P244" s="111">
        <f t="shared" si="254"/>
        <v>2024</v>
      </c>
      <c r="Q244" s="111">
        <f t="shared" si="254"/>
        <v>2025</v>
      </c>
      <c r="R244" s="111">
        <f t="shared" si="254"/>
        <v>2026</v>
      </c>
      <c r="S244" s="111">
        <f t="shared" si="254"/>
        <v>2027</v>
      </c>
      <c r="T244" s="111">
        <f t="shared" si="254"/>
        <v>2028</v>
      </c>
      <c r="U244" s="111">
        <f t="shared" si="254"/>
        <v>2029</v>
      </c>
      <c r="V244" s="111">
        <f t="shared" si="254"/>
        <v>2030</v>
      </c>
      <c r="W244" s="111">
        <f t="shared" si="254"/>
        <v>2031</v>
      </c>
      <c r="X244" s="111">
        <f t="shared" si="254"/>
        <v>2032</v>
      </c>
      <c r="Y244" s="111">
        <f t="shared" si="254"/>
        <v>2033</v>
      </c>
      <c r="Z244" s="111">
        <f t="shared" si="254"/>
        <v>2034</v>
      </c>
      <c r="AA244" s="111">
        <f t="shared" si="254"/>
        <v>2035</v>
      </c>
      <c r="AB244" s="111">
        <f t="shared" si="254"/>
        <v>2036</v>
      </c>
      <c r="AC244" s="111">
        <f t="shared" si="254"/>
        <v>2037</v>
      </c>
      <c r="AD244" s="111">
        <f t="shared" si="254"/>
        <v>2038</v>
      </c>
      <c r="AE244" s="111">
        <f t="shared" si="254"/>
        <v>2039</v>
      </c>
      <c r="AF244" s="111">
        <f t="shared" si="254"/>
        <v>2040</v>
      </c>
      <c r="AG244" s="111">
        <f t="shared" si="254"/>
        <v>2041</v>
      </c>
      <c r="AH244" s="111">
        <f t="shared" si="254"/>
        <v>2042</v>
      </c>
      <c r="AI244" s="111">
        <f t="shared" si="254"/>
        <v>2043</v>
      </c>
      <c r="AJ244" s="111">
        <f t="shared" si="254"/>
        <v>2044</v>
      </c>
      <c r="AK244" s="111">
        <f t="shared" si="254"/>
        <v>2045</v>
      </c>
      <c r="AL244" s="111">
        <f t="shared" si="254"/>
        <v>2046</v>
      </c>
      <c r="AM244" s="111">
        <f t="shared" si="254"/>
        <v>2047</v>
      </c>
      <c r="AN244" s="111">
        <f t="shared" si="254"/>
        <v>2048</v>
      </c>
      <c r="AO244" s="111">
        <f t="shared" si="254"/>
        <v>2049</v>
      </c>
      <c r="AP244" s="111">
        <f t="shared" si="254"/>
        <v>2050</v>
      </c>
      <c r="AQ244" s="111">
        <f t="shared" si="254"/>
        <v>2051</v>
      </c>
      <c r="AR244" s="94"/>
      <c r="AS244" s="94"/>
      <c r="AT244" s="31" t="s">
        <v>36</v>
      </c>
      <c r="AU244" s="31"/>
      <c r="AV244" s="31"/>
      <c r="AW244" s="31"/>
      <c r="AX244" s="19"/>
      <c r="AY244" s="18"/>
      <c r="AZ244" s="14"/>
      <c r="BA244" s="14"/>
      <c r="BB244" s="18"/>
      <c r="BC244" s="14"/>
      <c r="BD244" s="14"/>
      <c r="BE244" s="19"/>
      <c r="BF244" s="14"/>
      <c r="BG244" s="14"/>
      <c r="BH244" s="14"/>
    </row>
    <row r="245" spans="1:94">
      <c r="A245" s="2" t="s">
        <v>43</v>
      </c>
      <c r="B245" s="3">
        <f>'Monthly D4 Gallon Data'!$Y2</f>
        <v>0</v>
      </c>
      <c r="C245" s="3">
        <f>'Monthly D4 Gallon Data'!$Y14</f>
        <v>0</v>
      </c>
      <c r="D245" s="3">
        <f>'Monthly D4 Gallon Data'!$Y26</f>
        <v>0</v>
      </c>
      <c r="E245" s="3">
        <f>'Monthly D4 Gallon Data'!$Y38</f>
        <v>7009715</v>
      </c>
      <c r="F245" s="3">
        <f>'Monthly D4 Gallon Data'!$Y50</f>
        <v>13410514</v>
      </c>
      <c r="G245" s="3">
        <f>'Monthly D4 Gallon Data'!$Y62</f>
        <v>9899510</v>
      </c>
      <c r="H245" s="3">
        <f>'Monthly D4 Gallon Data'!$Y74</f>
        <v>8004157</v>
      </c>
      <c r="I245" s="3">
        <f>'Monthly D4 Gallon Data'!$Y86</f>
        <v>20440663</v>
      </c>
      <c r="J245" s="3">
        <f>'Monthly D4 Gallon Data'!$Y98</f>
        <v>15697294</v>
      </c>
      <c r="K245" s="3">
        <f>'Monthly D4 Gallon Data'!$Y110</f>
        <v>16293805</v>
      </c>
      <c r="L245" s="3">
        <f>'Monthly D4 Gallon Data'!$Y122</f>
        <v>22255917</v>
      </c>
      <c r="M245" s="3">
        <f>'Monthly D4 Gallon Data'!$Y134</f>
        <v>29766577</v>
      </c>
      <c r="N245" s="3">
        <f>'Monthly D4 Gallon Data'!$Y146</f>
        <v>31270026</v>
      </c>
      <c r="O245" s="3">
        <f>'Monthly D4 Gallon Data'!$Y158</f>
        <v>33531654</v>
      </c>
      <c r="P245" s="3">
        <f>'Monthly D4 Gallon Data'!$Y170</f>
        <v>24232960</v>
      </c>
      <c r="Q245" s="3">
        <f>'Monthly D4 Gallon Data'!$Y182</f>
        <v>0</v>
      </c>
      <c r="R245" s="4">
        <f t="shared" ref="Q245:AB255" si="255">(SUM(M245:Q245)/SUM(M$257:Q$257))*R$257</f>
        <v>19880459.240872473</v>
      </c>
      <c r="S245" s="4">
        <f t="shared" si="255"/>
        <v>17883204.211857177</v>
      </c>
      <c r="T245" s="4">
        <f t="shared" si="255"/>
        <v>15357222.123277105</v>
      </c>
      <c r="U245" s="4">
        <f t="shared" si="255"/>
        <v>12728717.603032351</v>
      </c>
      <c r="V245" s="4">
        <f t="shared" si="255"/>
        <v>10582971.939488428</v>
      </c>
      <c r="W245" s="4">
        <f t="shared" si="255"/>
        <v>12507148.65575905</v>
      </c>
      <c r="X245" s="4">
        <f t="shared" si="255"/>
        <v>10832825.809162999</v>
      </c>
      <c r="Y245" s="4">
        <f t="shared" si="255"/>
        <v>10026968.821137691</v>
      </c>
      <c r="Z245" s="4">
        <f t="shared" si="255"/>
        <v>9359774.2285729293</v>
      </c>
      <c r="AA245" s="4">
        <f t="shared" si="255"/>
        <v>9407592.2566096038</v>
      </c>
      <c r="AB245" s="4">
        <f t="shared" si="255"/>
        <v>4010331.5208647889</v>
      </c>
      <c r="AC245" s="4">
        <f t="shared" ref="AC245:AQ245" si="256">(SUM(S245:W245)/SUM(S$257:W$257))*AC$257</f>
        <v>2708206.4522907496</v>
      </c>
      <c r="AD245" s="4">
        <f t="shared" si="256"/>
        <v>2638676.0055625509</v>
      </c>
      <c r="AE245" s="4">
        <f t="shared" si="256"/>
        <v>2599937.2857147027</v>
      </c>
      <c r="AF245" s="4">
        <f t="shared" si="256"/>
        <v>2613220.0712804459</v>
      </c>
      <c r="AG245" s="4">
        <f t="shared" si="256"/>
        <v>2673554.3472431935</v>
      </c>
      <c r="AH245" s="4">
        <f t="shared" si="256"/>
        <v>2644696.5234150314</v>
      </c>
      <c r="AI245" s="4">
        <f t="shared" si="256"/>
        <v>2630583.2058870941</v>
      </c>
      <c r="AJ245" s="4">
        <f t="shared" si="256"/>
        <v>2628465.4639159464</v>
      </c>
      <c r="AK245" s="4">
        <f t="shared" si="256"/>
        <v>2637622.6569188139</v>
      </c>
      <c r="AL245" s="4">
        <f t="shared" si="256"/>
        <v>2649158.4246751345</v>
      </c>
      <c r="AM245" s="4">
        <f t="shared" si="256"/>
        <v>2646718.8324183286</v>
      </c>
      <c r="AN245" s="4">
        <f t="shared" si="256"/>
        <v>2634016.8466431848</v>
      </c>
      <c r="AO245" s="4">
        <f t="shared" si="256"/>
        <v>2632398.2867080937</v>
      </c>
      <c r="AP245" s="4">
        <f t="shared" si="256"/>
        <v>2638103.9223483424</v>
      </c>
      <c r="AQ245" s="4">
        <f t="shared" si="256"/>
        <v>2642984.4394760155</v>
      </c>
      <c r="AR245" s="4"/>
      <c r="AS245" s="4">
        <f>SUM(Q245:Q247)</f>
        <v>7434618</v>
      </c>
      <c r="AT245" s="121">
        <f>(Q245/P256)-1</f>
        <v>-1</v>
      </c>
      <c r="AU245" s="121" t="s">
        <v>299</v>
      </c>
      <c r="AV245" s="194"/>
      <c r="AW245" s="194"/>
      <c r="AX245" s="194"/>
      <c r="AY245" s="195"/>
      <c r="AZ245" s="196"/>
      <c r="BA245" s="196"/>
      <c r="BB245" s="195"/>
      <c r="BC245" s="195">
        <v>108932143.44251604</v>
      </c>
      <c r="BD245" s="195">
        <f>L245-BC245</f>
        <v>-86676226.442516044</v>
      </c>
      <c r="BE245" s="195">
        <v>108507798.4385401</v>
      </c>
      <c r="BF245" s="195">
        <f>M245-BE245</f>
        <v>-78741221.438540101</v>
      </c>
      <c r="BG245" s="195">
        <v>81075407.426691353</v>
      </c>
      <c r="BH245" s="195"/>
      <c r="BI245" s="3"/>
      <c r="BJ245" s="3">
        <v>24232960</v>
      </c>
      <c r="BK245" s="3">
        <f t="shared" ref="BK245:BK257" si="257">P245-BJ245</f>
        <v>0</v>
      </c>
      <c r="BL245" s="3">
        <v>0</v>
      </c>
      <c r="BM245" s="177">
        <f t="shared" ref="BM245:BM257" si="258">Q245-BL245</f>
        <v>0</v>
      </c>
      <c r="BN245" s="3"/>
      <c r="BR245" s="3"/>
      <c r="BS245" s="3"/>
      <c r="BT245" s="3"/>
      <c r="BU245" s="3"/>
      <c r="BV245" s="3"/>
      <c r="BW245" s="3"/>
      <c r="BX245" s="9"/>
      <c r="BY245" s="3"/>
      <c r="BZ245" s="3"/>
      <c r="CA245" s="3"/>
      <c r="CB245" s="3"/>
      <c r="CC245" s="4"/>
      <c r="CD245" s="3"/>
      <c r="CE245" s="3"/>
      <c r="CF245" s="3"/>
      <c r="CG245" s="3"/>
      <c r="CH245" s="3"/>
      <c r="CI245" s="3"/>
      <c r="CJ245" s="3"/>
      <c r="CK245" s="3"/>
      <c r="CL245" s="3"/>
      <c r="CM245" s="3"/>
      <c r="CN245" s="3"/>
      <c r="CO245" s="3"/>
      <c r="CP245" s="3"/>
    </row>
    <row r="246" spans="1:94">
      <c r="A246" s="2" t="s">
        <v>44</v>
      </c>
      <c r="B246" s="3">
        <f>'Monthly D4 Gallon Data'!$Y3</f>
        <v>0</v>
      </c>
      <c r="C246" s="3">
        <f>'Monthly D4 Gallon Data'!$Y15</f>
        <v>0</v>
      </c>
      <c r="D246" s="3">
        <f>'Monthly D4 Gallon Data'!$Y27</f>
        <v>0</v>
      </c>
      <c r="E246" s="3">
        <f>'Monthly D4 Gallon Data'!$Y39</f>
        <v>0</v>
      </c>
      <c r="F246" s="3">
        <f>'Monthly D4 Gallon Data'!$Y51</f>
        <v>18928695</v>
      </c>
      <c r="G246" s="3">
        <f>'Monthly D4 Gallon Data'!$Y63</f>
        <v>8259742</v>
      </c>
      <c r="H246" s="3">
        <f>'Monthly D4 Gallon Data'!$Y75</f>
        <v>12536147</v>
      </c>
      <c r="I246" s="3">
        <f>'Monthly D4 Gallon Data'!$Y87</f>
        <v>9904741</v>
      </c>
      <c r="J246" s="3">
        <f>'Monthly D4 Gallon Data'!$Y99</f>
        <v>12330044</v>
      </c>
      <c r="K246" s="3">
        <f>'Monthly D4 Gallon Data'!$Y111</f>
        <v>21173236</v>
      </c>
      <c r="L246" s="3">
        <f>'Monthly D4 Gallon Data'!$Y123</f>
        <v>28371747</v>
      </c>
      <c r="M246" s="3">
        <f>'Monthly D4 Gallon Data'!$Y135</f>
        <v>27470733</v>
      </c>
      <c r="N246" s="3">
        <f>'Monthly D4 Gallon Data'!$Y147</f>
        <v>29656299</v>
      </c>
      <c r="O246" s="3">
        <f>'Monthly D4 Gallon Data'!$Y159</f>
        <v>26903128</v>
      </c>
      <c r="P246" s="3">
        <f>'Monthly D4 Gallon Data'!$Y171</f>
        <v>56213823</v>
      </c>
      <c r="Q246" s="3">
        <f>'Monthly D4 Gallon Data'!$Y183</f>
        <v>0</v>
      </c>
      <c r="R246" s="4">
        <f t="shared" si="255"/>
        <v>23468739.279069103</v>
      </c>
      <c r="S246" s="4">
        <f t="shared" si="255"/>
        <v>22370115.195129227</v>
      </c>
      <c r="T246" s="4">
        <f t="shared" si="255"/>
        <v>20731065.204576124</v>
      </c>
      <c r="U246" s="4">
        <f t="shared" si="255"/>
        <v>20204290.7519814</v>
      </c>
      <c r="V246" s="4">
        <f t="shared" si="255"/>
        <v>13945855.247800048</v>
      </c>
      <c r="W246" s="4">
        <f t="shared" si="255"/>
        <v>16481465.292854603</v>
      </c>
      <c r="X246" s="4">
        <f t="shared" si="255"/>
        <v>14703183.010563359</v>
      </c>
      <c r="Y246" s="4">
        <f t="shared" si="255"/>
        <v>13917032.601257322</v>
      </c>
      <c r="Z246" s="4">
        <f t="shared" si="255"/>
        <v>13087457.653946983</v>
      </c>
      <c r="AA246" s="4">
        <f t="shared" si="255"/>
        <v>12729704.789368644</v>
      </c>
      <c r="AB246" s="4">
        <f t="shared" si="255"/>
        <v>5455295.6421531457</v>
      </c>
      <c r="AC246" s="4">
        <f t="shared" ref="AC246:AD255" si="259">(SUM(S246:W246)/SUM(S$257:W$257))*AC$257</f>
        <v>3675795.7526408397</v>
      </c>
      <c r="AD246" s="4">
        <f t="shared" si="259"/>
        <v>3662377.0003308752</v>
      </c>
      <c r="AE246" s="4">
        <f t="shared" ref="AE246:AE255" si="260">(SUM(U246:Y246)/SUM(U$257:Y$257))*AE$257</f>
        <v>3635404.9038741626</v>
      </c>
      <c r="AF246" s="4">
        <f t="shared" ref="AF246:AQ255" si="261">(SUM(V246:Z246)/SUM(V$257:Z$257))*AF$257</f>
        <v>3536029.1081579574</v>
      </c>
      <c r="AG246" s="4">
        <f t="shared" si="261"/>
        <v>3636863.7614354319</v>
      </c>
      <c r="AH246" s="4">
        <f t="shared" si="261"/>
        <v>3629859.0119569371</v>
      </c>
      <c r="AI246" s="4">
        <f t="shared" si="261"/>
        <v>3619650.8473605146</v>
      </c>
      <c r="AJ246" s="4">
        <f t="shared" si="261"/>
        <v>3608470.1718168682</v>
      </c>
      <c r="AK246" s="4">
        <f t="shared" si="261"/>
        <v>3599824.4553540335</v>
      </c>
      <c r="AL246" s="4">
        <f t="shared" si="261"/>
        <v>3629982.2558467248</v>
      </c>
      <c r="AM246" s="4">
        <f t="shared" si="261"/>
        <v>3629294.1052878527</v>
      </c>
      <c r="AN246" s="4">
        <f t="shared" si="261"/>
        <v>3620106.7571510724</v>
      </c>
      <c r="AO246" s="4">
        <f t="shared" si="261"/>
        <v>3611561.5265570008</v>
      </c>
      <c r="AP246" s="4">
        <f t="shared" si="261"/>
        <v>3606174.580145542</v>
      </c>
      <c r="AQ246" s="4">
        <f t="shared" si="261"/>
        <v>3618933.6495847576</v>
      </c>
      <c r="AR246" s="4"/>
      <c r="AS246" s="4">
        <f>SUM(P245:P247)</f>
        <v>107080297</v>
      </c>
      <c r="AT246" s="121" t="e">
        <f t="shared" ref="AT246:AT256" si="262">(Q246/Q245)-1</f>
        <v>#DIV/0!</v>
      </c>
      <c r="AU246" s="121" t="s">
        <v>300</v>
      </c>
      <c r="AV246" s="121">
        <f t="shared" ref="AV246:BG246" si="263">(SUM(L246:P246)/SUM(L245:P245))-1</f>
        <v>0.19537186967090947</v>
      </c>
      <c r="AW246" s="121">
        <f t="shared" si="263"/>
        <v>0.18049281431182651</v>
      </c>
      <c r="AX246" s="121">
        <f t="shared" si="263"/>
        <v>0.25090084137702084</v>
      </c>
      <c r="AY246" s="121">
        <f t="shared" si="263"/>
        <v>0.34992285962666569</v>
      </c>
      <c r="AZ246" s="121">
        <f t="shared" si="263"/>
        <v>0.58729978793528681</v>
      </c>
      <c r="BA246" s="121">
        <f t="shared" si="263"/>
        <v>0.3177636043580192</v>
      </c>
      <c r="BB246" s="121">
        <f t="shared" si="263"/>
        <v>0.31776360435801942</v>
      </c>
      <c r="BC246" s="121">
        <f t="shared" si="263"/>
        <v>0.35728047968117416</v>
      </c>
      <c r="BD246" s="121">
        <f t="shared" si="263"/>
        <v>0.38796009536990383</v>
      </c>
      <c r="BE246" s="121">
        <f t="shared" si="263"/>
        <v>0.39826638275038917</v>
      </c>
      <c r="BF246" s="121">
        <f t="shared" si="263"/>
        <v>0.35313100760983618</v>
      </c>
      <c r="BG246" s="121">
        <f t="shared" si="263"/>
        <v>0.36031039173957446</v>
      </c>
      <c r="BH246" s="195"/>
      <c r="BI246" s="3"/>
      <c r="BJ246" s="3">
        <v>56213823</v>
      </c>
      <c r="BK246" s="3">
        <f t="shared" si="257"/>
        <v>0</v>
      </c>
      <c r="BL246" s="3">
        <v>0</v>
      </c>
      <c r="BM246" s="177">
        <f t="shared" si="258"/>
        <v>0</v>
      </c>
      <c r="BN246" s="3"/>
      <c r="BR246" s="3"/>
      <c r="BS246" s="3"/>
      <c r="BT246" s="3"/>
      <c r="BU246" s="3"/>
      <c r="BV246" s="3"/>
      <c r="BW246" s="3"/>
      <c r="BX246" s="9"/>
      <c r="BY246" s="3"/>
      <c r="BZ246" s="3"/>
      <c r="CA246" s="3"/>
      <c r="CB246" s="3"/>
      <c r="CC246" s="4"/>
      <c r="CD246" s="3"/>
      <c r="CE246" s="3"/>
      <c r="CF246" s="3"/>
      <c r="CG246" s="3"/>
      <c r="CH246" s="3"/>
      <c r="CI246" s="3"/>
      <c r="CJ246" s="3"/>
      <c r="CK246" s="3"/>
      <c r="CL246" s="3"/>
      <c r="CM246" s="3"/>
      <c r="CN246" s="3"/>
      <c r="CO246" s="3"/>
      <c r="CP246" s="3"/>
    </row>
    <row r="247" spans="1:94">
      <c r="A247" s="2" t="s">
        <v>45</v>
      </c>
      <c r="B247" s="3">
        <f>'Monthly D4 Gallon Data'!$Y4</f>
        <v>0</v>
      </c>
      <c r="C247" s="3">
        <f>'Monthly D4 Gallon Data'!$Y16</f>
        <v>0</v>
      </c>
      <c r="D247" s="3">
        <f>'Monthly D4 Gallon Data'!$Y28</f>
        <v>3118428</v>
      </c>
      <c r="E247" s="3">
        <f>'Monthly D4 Gallon Data'!$Y40</f>
        <v>12720318</v>
      </c>
      <c r="F247" s="3">
        <f>'Monthly D4 Gallon Data'!$Y52</f>
        <v>22679265</v>
      </c>
      <c r="G247" s="3">
        <f>'Monthly D4 Gallon Data'!$Y64</f>
        <v>8280245</v>
      </c>
      <c r="H247" s="3">
        <f>'Monthly D4 Gallon Data'!$Y76</f>
        <v>12145761</v>
      </c>
      <c r="I247" s="3">
        <f>'Monthly D4 Gallon Data'!$Y88</f>
        <v>16616859</v>
      </c>
      <c r="J247" s="3">
        <f>'Monthly D4 Gallon Data'!$Y100</f>
        <v>17342172</v>
      </c>
      <c r="K247" s="3">
        <f>'Monthly D4 Gallon Data'!$Y112</f>
        <v>19249929</v>
      </c>
      <c r="L247" s="3">
        <f>'Monthly D4 Gallon Data'!$Y124</f>
        <v>28001490</v>
      </c>
      <c r="M247" s="3">
        <f>'Monthly D4 Gallon Data'!$Y136</f>
        <v>38322965</v>
      </c>
      <c r="N247" s="3">
        <f>'Monthly D4 Gallon Data'!$Y148</f>
        <v>37256188</v>
      </c>
      <c r="O247" s="3">
        <f>'Monthly D4 Gallon Data'!$Y160</f>
        <v>32972748</v>
      </c>
      <c r="P247" s="3">
        <f>'Monthly D4 Gallon Data'!$Y172</f>
        <v>26633514</v>
      </c>
      <c r="Q247" s="3">
        <f>'Monthly D4 Gallon Data'!$Y184</f>
        <v>7434618</v>
      </c>
      <c r="R247" s="4">
        <f t="shared" si="255"/>
        <v>23866352.757887889</v>
      </c>
      <c r="S247" s="4">
        <f t="shared" si="255"/>
        <v>21043662.833512601</v>
      </c>
      <c r="T247" s="4">
        <f t="shared" si="255"/>
        <v>17997338.760218736</v>
      </c>
      <c r="U247" s="4">
        <f t="shared" si="255"/>
        <v>15957494.692020211</v>
      </c>
      <c r="V247" s="4">
        <f t="shared" si="255"/>
        <v>13869557.203442052</v>
      </c>
      <c r="W247" s="4">
        <f t="shared" si="255"/>
        <v>15174721.022249699</v>
      </c>
      <c r="X247" s="4">
        <f t="shared" si="255"/>
        <v>13183180.315520521</v>
      </c>
      <c r="Y247" s="4">
        <f t="shared" si="255"/>
        <v>12318838.705324028</v>
      </c>
      <c r="Z247" s="4">
        <f t="shared" si="255"/>
        <v>11642828.026550615</v>
      </c>
      <c r="AA247" s="4">
        <f t="shared" si="255"/>
        <v>11680433.871721221</v>
      </c>
      <c r="AB247" s="4">
        <f t="shared" si="255"/>
        <v>4923077.0724127758</v>
      </c>
      <c r="AC247" s="4">
        <f t="shared" si="259"/>
        <v>3295795.0788801303</v>
      </c>
      <c r="AD247" s="4">
        <f t="shared" si="259"/>
        <v>3241799.6592957973</v>
      </c>
      <c r="AE247" s="4">
        <f t="shared" si="260"/>
        <v>3234118.8962640604</v>
      </c>
      <c r="AF247" s="4">
        <f t="shared" si="261"/>
        <v>3244564.9643670064</v>
      </c>
      <c r="AG247" s="4">
        <f t="shared" si="261"/>
        <v>3282051.3816085178</v>
      </c>
      <c r="AH247" s="4">
        <f t="shared" si="261"/>
        <v>3257476.2419108585</v>
      </c>
      <c r="AI247" s="4">
        <f t="shared" si="261"/>
        <v>3248960.9448065762</v>
      </c>
      <c r="AJ247" s="4">
        <f t="shared" si="261"/>
        <v>3250834.9260617332</v>
      </c>
      <c r="AK247" s="4">
        <f t="shared" si="261"/>
        <v>3256200.565256048</v>
      </c>
      <c r="AL247" s="4">
        <f t="shared" si="261"/>
        <v>3261701.031130868</v>
      </c>
      <c r="AM247" s="4">
        <f t="shared" si="261"/>
        <v>3259665.9960831022</v>
      </c>
      <c r="AN247" s="4">
        <f t="shared" si="261"/>
        <v>3252002.2286892487</v>
      </c>
      <c r="AO247" s="4">
        <f t="shared" si="261"/>
        <v>3253434.4857914038</v>
      </c>
      <c r="AP247" s="4">
        <f t="shared" si="261"/>
        <v>3256777.6917509385</v>
      </c>
      <c r="AQ247" s="4">
        <f t="shared" si="261"/>
        <v>3259104.8119287463</v>
      </c>
      <c r="AR247" s="4"/>
      <c r="AS247" s="4">
        <f>SUM(P254:P256)</f>
        <v>26915719</v>
      </c>
      <c r="AT247" s="121" t="e">
        <f t="shared" si="262"/>
        <v>#DIV/0!</v>
      </c>
      <c r="AU247" s="197" t="s">
        <v>301</v>
      </c>
      <c r="AV247" s="194"/>
      <c r="AW247" s="194"/>
      <c r="AX247" s="194"/>
      <c r="AY247" s="195"/>
      <c r="AZ247" s="196"/>
      <c r="BA247" s="198"/>
      <c r="BB247" s="195"/>
      <c r="BC247" s="195">
        <v>119714448.18219173</v>
      </c>
      <c r="BD247" s="195">
        <f t="shared" ref="BD247:BD257" si="264">L247-BC247</f>
        <v>-91712958.18219173</v>
      </c>
      <c r="BE247" s="195">
        <v>135173970.91653845</v>
      </c>
      <c r="BF247" s="195">
        <f t="shared" ref="BF247:BF257" si="265">M247-BE247</f>
        <v>-96851005.916538447</v>
      </c>
      <c r="BG247" s="195">
        <v>128861333.89305</v>
      </c>
      <c r="BH247" s="194">
        <f>SUM(P245:P247)</f>
        <v>107080297</v>
      </c>
      <c r="BI247" s="3"/>
      <c r="BJ247" s="3">
        <v>26633514</v>
      </c>
      <c r="BK247" s="3">
        <f t="shared" si="257"/>
        <v>0</v>
      </c>
      <c r="BL247" s="3">
        <v>3856063.2642691503</v>
      </c>
      <c r="BM247" s="177">
        <f t="shared" si="258"/>
        <v>3578554.7357308497</v>
      </c>
      <c r="BN247" s="3"/>
      <c r="BR247" s="3"/>
      <c r="BS247" s="3"/>
      <c r="BT247" s="3"/>
      <c r="BU247" s="3"/>
      <c r="BV247" s="3"/>
      <c r="BW247" s="3"/>
      <c r="BX247" s="9"/>
      <c r="BY247" s="3"/>
      <c r="BZ247" s="3"/>
      <c r="CA247" s="3"/>
      <c r="CB247" s="3"/>
      <c r="CC247" s="4"/>
      <c r="CD247" s="3"/>
      <c r="CE247" s="3"/>
      <c r="CF247" s="3"/>
      <c r="CG247" s="3"/>
      <c r="CH247" s="3"/>
      <c r="CI247" s="3"/>
      <c r="CJ247" s="3"/>
      <c r="CK247" s="3"/>
      <c r="CL247" s="3"/>
      <c r="CM247" s="3"/>
      <c r="CN247" s="3"/>
      <c r="CO247" s="3"/>
      <c r="CP247" s="3"/>
    </row>
    <row r="248" spans="1:94">
      <c r="A248" s="2" t="s">
        <v>46</v>
      </c>
      <c r="B248" s="3">
        <f>'Monthly D4 Gallon Data'!$Y5</f>
        <v>0</v>
      </c>
      <c r="C248" s="3">
        <f>'Monthly D4 Gallon Data'!$Y17</f>
        <v>0</v>
      </c>
      <c r="D248" s="3">
        <f>'Monthly D4 Gallon Data'!$Y29</f>
        <v>648881</v>
      </c>
      <c r="E248" s="3">
        <f>'Monthly D4 Gallon Data'!$Y41</f>
        <v>8588729</v>
      </c>
      <c r="F248" s="3">
        <f>'Monthly D4 Gallon Data'!$Y53</f>
        <v>22278930</v>
      </c>
      <c r="G248" s="3">
        <f>'Monthly D4 Gallon Data'!$Y65</f>
        <v>10763699</v>
      </c>
      <c r="H248" s="3">
        <f>'Monthly D4 Gallon Data'!$Y77</f>
        <v>18209561</v>
      </c>
      <c r="I248" s="3">
        <f>'Monthly D4 Gallon Data'!$Y89</f>
        <v>17674969</v>
      </c>
      <c r="J248" s="3">
        <f>'Monthly D4 Gallon Data'!$Y101</f>
        <v>18440208</v>
      </c>
      <c r="K248" s="3">
        <f>'Monthly D4 Gallon Data'!$Y113</f>
        <v>24565160</v>
      </c>
      <c r="L248" s="3">
        <f>'Monthly D4 Gallon Data'!$Y125</f>
        <v>24573913</v>
      </c>
      <c r="M248" s="3">
        <f>'Monthly D4 Gallon Data'!$Y137</f>
        <v>34782670</v>
      </c>
      <c r="N248" s="3">
        <f>'Monthly D4 Gallon Data'!$Y149</f>
        <v>38095913</v>
      </c>
      <c r="O248" s="3">
        <f>'Monthly D4 Gallon Data'!$Y161</f>
        <v>33905094</v>
      </c>
      <c r="P248" s="3">
        <f>'Monthly D4 Gallon Data'!$Y173</f>
        <v>27627664</v>
      </c>
      <c r="Q248" s="4">
        <f t="shared" si="255"/>
        <v>18783896.830137823</v>
      </c>
      <c r="R248" s="4">
        <f t="shared" si="255"/>
        <v>25636030.997711245</v>
      </c>
      <c r="S248" s="4">
        <f t="shared" si="255"/>
        <v>23651913.529208843</v>
      </c>
      <c r="T248" s="4">
        <f t="shared" si="255"/>
        <v>20835365.962812115</v>
      </c>
      <c r="U248" s="4">
        <f t="shared" si="255"/>
        <v>19176027.473370172</v>
      </c>
      <c r="V248" s="4">
        <f t="shared" si="255"/>
        <v>17370519.877485029</v>
      </c>
      <c r="W248" s="4">
        <f t="shared" si="255"/>
        <v>17455067.646641575</v>
      </c>
      <c r="X248" s="4">
        <f t="shared" si="255"/>
        <v>15449238.351296905</v>
      </c>
      <c r="Y248" s="4">
        <f t="shared" si="255"/>
        <v>14599473.761025619</v>
      </c>
      <c r="Z248" s="4">
        <f t="shared" si="255"/>
        <v>13879870.531896766</v>
      </c>
      <c r="AA248" s="4">
        <f t="shared" si="255"/>
        <v>13897794.735590452</v>
      </c>
      <c r="AB248" s="4">
        <f t="shared" si="255"/>
        <v>5790880.3866501004</v>
      </c>
      <c r="AC248" s="4">
        <f t="shared" si="259"/>
        <v>3862309.5878242264</v>
      </c>
      <c r="AD248" s="4">
        <f t="shared" si="259"/>
        <v>3841966.7792172688</v>
      </c>
      <c r="AE248" s="4">
        <f t="shared" si="260"/>
        <v>3855519.5921935472</v>
      </c>
      <c r="AF248" s="4">
        <f t="shared" si="261"/>
        <v>3860498.5376640153</v>
      </c>
      <c r="AG248" s="4">
        <f t="shared" si="261"/>
        <v>3860586.9244334013</v>
      </c>
      <c r="AH248" s="4">
        <f t="shared" si="261"/>
        <v>3855591.379785446</v>
      </c>
      <c r="AI248" s="4">
        <f t="shared" si="261"/>
        <v>3854098.4446657165</v>
      </c>
      <c r="AJ248" s="4">
        <f t="shared" si="261"/>
        <v>3857273.0860914784</v>
      </c>
      <c r="AK248" s="4">
        <f t="shared" si="261"/>
        <v>3857835.9359846418</v>
      </c>
      <c r="AL248" s="4">
        <f t="shared" si="261"/>
        <v>3856577.2515543932</v>
      </c>
      <c r="AM248" s="4">
        <f t="shared" si="261"/>
        <v>3856176.2842664924</v>
      </c>
      <c r="AN248" s="4">
        <f t="shared" si="261"/>
        <v>3854832.6426587361</v>
      </c>
      <c r="AO248" s="4">
        <f t="shared" si="261"/>
        <v>3857258.9757484249</v>
      </c>
      <c r="AP248" s="4">
        <f t="shared" si="261"/>
        <v>3857609.6745280121</v>
      </c>
      <c r="AQ248" s="4">
        <f t="shared" si="261"/>
        <v>3857077.1541921371</v>
      </c>
      <c r="AR248" s="4"/>
      <c r="AS248" s="94"/>
      <c r="AT248" s="121">
        <f t="shared" si="262"/>
        <v>1.5265449859209745</v>
      </c>
      <c r="AU248" s="197"/>
      <c r="AV248" s="194"/>
      <c r="AW248" s="194"/>
      <c r="AX248" s="194"/>
      <c r="AY248" s="195"/>
      <c r="AZ248" s="196"/>
      <c r="BA248" s="196"/>
      <c r="BB248" s="195"/>
      <c r="BC248" s="195">
        <v>152824951.74781588</v>
      </c>
      <c r="BD248" s="195">
        <f t="shared" si="264"/>
        <v>-128251038.74781588</v>
      </c>
      <c r="BE248" s="195">
        <v>129458434.08986306</v>
      </c>
      <c r="BF248" s="195">
        <f t="shared" si="265"/>
        <v>-94675764.089863062</v>
      </c>
      <c r="BG248" s="195">
        <v>138512422.75823951</v>
      </c>
      <c r="BH248" s="197">
        <f>SUM(O254:O256)/BH247-1</f>
        <v>0.25283415117909125</v>
      </c>
      <c r="BI248" s="3"/>
      <c r="BJ248" s="3">
        <v>27627664</v>
      </c>
      <c r="BK248" s="3">
        <f t="shared" si="257"/>
        <v>0</v>
      </c>
      <c r="BL248" s="3">
        <v>3756779.3660275624</v>
      </c>
      <c r="BM248" s="177">
        <f t="shared" si="258"/>
        <v>15027117.464110261</v>
      </c>
      <c r="BN248" s="3"/>
      <c r="BR248" s="3"/>
      <c r="BS248" s="3"/>
      <c r="BT248" s="3"/>
      <c r="BU248" s="3"/>
      <c r="BV248" s="9"/>
      <c r="BW248" s="3"/>
      <c r="BX248" s="9"/>
      <c r="BY248" s="3"/>
      <c r="BZ248" s="3"/>
      <c r="CA248" s="3"/>
      <c r="CB248" s="3"/>
      <c r="CC248" s="4"/>
      <c r="CD248" s="3"/>
      <c r="CE248" s="3"/>
      <c r="CF248" s="3"/>
      <c r="CG248" s="3"/>
      <c r="CH248" s="3"/>
      <c r="CI248" s="3"/>
      <c r="CJ248" s="3"/>
      <c r="CK248" s="3"/>
      <c r="CL248" s="3"/>
      <c r="CM248" s="3"/>
      <c r="CN248" s="3"/>
      <c r="CO248" s="3"/>
      <c r="CP248" s="3"/>
    </row>
    <row r="249" spans="1:94">
      <c r="A249" s="2" t="s">
        <v>47</v>
      </c>
      <c r="B249" s="3">
        <f>'Monthly D4 Gallon Data'!$Y6</f>
        <v>0</v>
      </c>
      <c r="C249" s="3">
        <f>'Monthly D4 Gallon Data'!$Y18</f>
        <v>0</v>
      </c>
      <c r="D249" s="3">
        <f>'Monthly D4 Gallon Data'!$Y30</f>
        <v>3437634</v>
      </c>
      <c r="E249" s="3">
        <f>'Monthly D4 Gallon Data'!$Y42</f>
        <v>10289247</v>
      </c>
      <c r="F249" s="3">
        <f>'Monthly D4 Gallon Data'!$Y54</f>
        <v>19246073</v>
      </c>
      <c r="G249" s="3">
        <f>'Monthly D4 Gallon Data'!$Y66</f>
        <v>18662279</v>
      </c>
      <c r="H249" s="3">
        <f>'Monthly D4 Gallon Data'!$Y78</f>
        <v>15120606</v>
      </c>
      <c r="I249" s="3">
        <f>'Monthly D4 Gallon Data'!$Y90</f>
        <v>20849205</v>
      </c>
      <c r="J249" s="3">
        <f>'Monthly D4 Gallon Data'!$Y102</f>
        <v>24130252</v>
      </c>
      <c r="K249" s="3">
        <f>'Monthly D4 Gallon Data'!$Y114</f>
        <v>29546118</v>
      </c>
      <c r="L249" s="3">
        <f>'Monthly D4 Gallon Data'!$Y126</f>
        <v>32437067</v>
      </c>
      <c r="M249" s="3">
        <f>'Monthly D4 Gallon Data'!$Y138</f>
        <v>30652398</v>
      </c>
      <c r="N249" s="3">
        <f>'Monthly D4 Gallon Data'!$Y150</f>
        <v>38628556</v>
      </c>
      <c r="O249" s="3">
        <f>'Monthly D4 Gallon Data'!$Y162</f>
        <v>42199340</v>
      </c>
      <c r="P249" s="3">
        <f>'Monthly D4 Gallon Data'!$Y174</f>
        <v>29680714</v>
      </c>
      <c r="Q249" s="4">
        <f t="shared" si="255"/>
        <v>20510382.244069804</v>
      </c>
      <c r="R249" s="4">
        <f t="shared" si="255"/>
        <v>27054449.148971412</v>
      </c>
      <c r="S249" s="4">
        <f t="shared" si="255"/>
        <v>25954708.324242711</v>
      </c>
      <c r="T249" s="4">
        <f t="shared" si="255"/>
        <v>23374585.168831293</v>
      </c>
      <c r="U249" s="4">
        <f t="shared" si="255"/>
        <v>20828122.607654978</v>
      </c>
      <c r="V249" s="4">
        <f t="shared" si="255"/>
        <v>18919646.918641642</v>
      </c>
      <c r="W249" s="4">
        <f t="shared" si="255"/>
        <v>19003338.354819603</v>
      </c>
      <c r="X249" s="4">
        <f t="shared" si="255"/>
        <v>16953788.45085337</v>
      </c>
      <c r="Y249" s="4">
        <f t="shared" si="255"/>
        <v>16021362.96608695</v>
      </c>
      <c r="Z249" s="4">
        <f t="shared" si="255"/>
        <v>15147455.663899247</v>
      </c>
      <c r="AA249" s="4">
        <f t="shared" si="255"/>
        <v>15184516.297817789</v>
      </c>
      <c r="AB249" s="4">
        <f t="shared" si="255"/>
        <v>6331573.9794982271</v>
      </c>
      <c r="AC249" s="4">
        <f t="shared" si="259"/>
        <v>4238447.1127133425</v>
      </c>
      <c r="AD249" s="4">
        <f t="shared" si="259"/>
        <v>4216148.148970251</v>
      </c>
      <c r="AE249" s="4">
        <f t="shared" si="260"/>
        <v>4207626.573305347</v>
      </c>
      <c r="AF249" s="4">
        <f t="shared" si="261"/>
        <v>4217921.193838276</v>
      </c>
      <c r="AG249" s="4">
        <f t="shared" si="261"/>
        <v>4221049.319665486</v>
      </c>
      <c r="AH249" s="4">
        <f t="shared" si="261"/>
        <v>4220527.1126154903</v>
      </c>
      <c r="AI249" s="4">
        <f t="shared" si="261"/>
        <v>4216544.8903715238</v>
      </c>
      <c r="AJ249" s="4">
        <f t="shared" si="261"/>
        <v>4216648.7105512964</v>
      </c>
      <c r="AK249" s="4">
        <f t="shared" si="261"/>
        <v>4219544.7052228348</v>
      </c>
      <c r="AL249" s="4">
        <f t="shared" si="261"/>
        <v>4220312.1833318993</v>
      </c>
      <c r="AM249" s="4">
        <f t="shared" si="261"/>
        <v>4220238.4696985409</v>
      </c>
      <c r="AN249" s="4">
        <f t="shared" si="261"/>
        <v>4216654.4696789701</v>
      </c>
      <c r="AO249" s="4">
        <f t="shared" si="261"/>
        <v>4216733.8179592248</v>
      </c>
      <c r="AP249" s="4">
        <f t="shared" si="261"/>
        <v>4218538.2454084139</v>
      </c>
      <c r="AQ249" s="4">
        <f t="shared" si="261"/>
        <v>4218862.9476853264</v>
      </c>
      <c r="AR249" s="4"/>
      <c r="AS249" s="94">
        <f>AS245/AS246-1</f>
        <v>-0.93056969201346162</v>
      </c>
      <c r="AT249" s="121">
        <f t="shared" si="262"/>
        <v>9.1913058804812042E-2</v>
      </c>
      <c r="AU249" s="197"/>
      <c r="AV249" s="194"/>
      <c r="AW249" s="194"/>
      <c r="AX249" s="194"/>
      <c r="AY249" s="195"/>
      <c r="AZ249" s="196"/>
      <c r="BA249" s="195">
        <v>178072540.96348354</v>
      </c>
      <c r="BB249" s="195">
        <f t="shared" ref="BB249:BB257" si="266">K249-BA249</f>
        <v>-148526422.96348354</v>
      </c>
      <c r="BC249" s="195">
        <v>157209465.91249242</v>
      </c>
      <c r="BD249" s="195">
        <f t="shared" si="264"/>
        <v>-124772398.91249242</v>
      </c>
      <c r="BE249" s="195">
        <v>142690356.2444244</v>
      </c>
      <c r="BF249" s="195">
        <f t="shared" si="265"/>
        <v>-112037958.2444244</v>
      </c>
      <c r="BG249" s="195">
        <v>143839399.92900729</v>
      </c>
      <c r="BH249" s="195"/>
      <c r="BI249" s="3"/>
      <c r="BJ249" s="3">
        <v>29680714</v>
      </c>
      <c r="BK249" s="3">
        <f t="shared" si="257"/>
        <v>0</v>
      </c>
      <c r="BL249" s="3">
        <v>4102076.4488139586</v>
      </c>
      <c r="BM249" s="177">
        <f t="shared" si="258"/>
        <v>16408305.795255845</v>
      </c>
      <c r="BN249" s="3"/>
      <c r="BR249" s="3"/>
      <c r="BS249" s="3"/>
      <c r="BT249" s="3"/>
      <c r="BU249" s="3"/>
      <c r="BV249" s="9"/>
      <c r="BW249" s="3"/>
      <c r="BX249" s="9"/>
      <c r="BY249" s="3"/>
      <c r="BZ249" s="3"/>
      <c r="CA249" s="3"/>
      <c r="CB249" s="3"/>
      <c r="CC249" s="4"/>
      <c r="CD249" s="3"/>
      <c r="CE249" s="3"/>
      <c r="CF249" s="3"/>
      <c r="CG249" s="3"/>
      <c r="CH249" s="3"/>
      <c r="CI249" s="3"/>
      <c r="CJ249" s="3"/>
      <c r="CK249" s="3"/>
      <c r="CL249" s="3"/>
      <c r="CM249" s="3"/>
      <c r="CN249" s="3"/>
      <c r="CO249" s="3"/>
      <c r="CP249" s="3"/>
    </row>
    <row r="250" spans="1:94">
      <c r="A250" s="2" t="s">
        <v>48</v>
      </c>
      <c r="B250" s="3">
        <f>'Monthly D4 Gallon Data'!$Y7</f>
        <v>0</v>
      </c>
      <c r="C250" s="3">
        <f>'Monthly D4 Gallon Data'!$Y19</f>
        <v>0</v>
      </c>
      <c r="D250" s="3">
        <f>'Monthly D4 Gallon Data'!$Y31</f>
        <v>2690200</v>
      </c>
      <c r="E250" s="3">
        <f>'Monthly D4 Gallon Data'!$Y43</f>
        <v>12342494</v>
      </c>
      <c r="F250" s="3">
        <f>'Monthly D4 Gallon Data'!$Y55</f>
        <v>20264838</v>
      </c>
      <c r="G250" s="3">
        <f>'Monthly D4 Gallon Data'!$Y67</f>
        <v>15264048</v>
      </c>
      <c r="H250" s="3">
        <f>'Monthly D4 Gallon Data'!$Y79</f>
        <v>21367049</v>
      </c>
      <c r="I250" s="3">
        <f>'Monthly D4 Gallon Data'!$Y91</f>
        <v>16598675</v>
      </c>
      <c r="J250" s="3">
        <f>'Monthly D4 Gallon Data'!$Y103</f>
        <v>23114771</v>
      </c>
      <c r="K250" s="3">
        <f>'Monthly D4 Gallon Data'!$Y115</f>
        <v>28703132</v>
      </c>
      <c r="L250" s="3">
        <f>'Monthly D4 Gallon Data'!$Y127</f>
        <v>17009086</v>
      </c>
      <c r="M250" s="3">
        <f>'Monthly D4 Gallon Data'!$Y139</f>
        <v>35547106</v>
      </c>
      <c r="N250" s="3">
        <f>'Monthly D4 Gallon Data'!$Y151</f>
        <v>31438077</v>
      </c>
      <c r="O250" s="3">
        <f>'Monthly D4 Gallon Data'!$Y163</f>
        <v>31298156</v>
      </c>
      <c r="P250" s="3">
        <f>'Monthly D4 Gallon Data'!$Y175</f>
        <v>56471169</v>
      </c>
      <c r="Q250" s="4">
        <f t="shared" si="255"/>
        <v>20293640.747774504</v>
      </c>
      <c r="R250" s="4">
        <f t="shared" si="255"/>
        <v>29292945.59642696</v>
      </c>
      <c r="S250" s="4">
        <f t="shared" si="255"/>
        <v>27714957.653552011</v>
      </c>
      <c r="T250" s="4">
        <f t="shared" si="255"/>
        <v>26536959.200748578</v>
      </c>
      <c r="U250" s="4">
        <f t="shared" si="255"/>
        <v>26379251.493636698</v>
      </c>
      <c r="V250" s="4">
        <f t="shared" si="255"/>
        <v>20927853.432665158</v>
      </c>
      <c r="W250" s="4">
        <f t="shared" si="255"/>
        <v>21412140.116241176</v>
      </c>
      <c r="X250" s="4">
        <f t="shared" si="255"/>
        <v>19289594.023034297</v>
      </c>
      <c r="Y250" s="4">
        <f t="shared" si="255"/>
        <v>18522299.294129293</v>
      </c>
      <c r="Z250" s="4">
        <f t="shared" si="255"/>
        <v>17592298.077749718</v>
      </c>
      <c r="AA250" s="4">
        <f t="shared" si="255"/>
        <v>17248973.813615233</v>
      </c>
      <c r="AB250" s="4">
        <f t="shared" si="255"/>
        <v>7235792.7172899777</v>
      </c>
      <c r="AC250" s="4">
        <f t="shared" si="259"/>
        <v>4822398.5057585742</v>
      </c>
      <c r="AD250" s="4">
        <f t="shared" si="259"/>
        <v>4874289.2879287619</v>
      </c>
      <c r="AE250" s="4">
        <f t="shared" si="260"/>
        <v>4886749.4660415892</v>
      </c>
      <c r="AF250" s="4">
        <f t="shared" si="261"/>
        <v>4791381.6148931207</v>
      </c>
      <c r="AG250" s="4">
        <f t="shared" si="261"/>
        <v>4823861.8115266534</v>
      </c>
      <c r="AH250" s="4">
        <f t="shared" si="261"/>
        <v>4841755.0258071842</v>
      </c>
      <c r="AI250" s="4">
        <f t="shared" si="261"/>
        <v>4846056.4747068742</v>
      </c>
      <c r="AJ250" s="4">
        <f t="shared" si="261"/>
        <v>4838668.4488170343</v>
      </c>
      <c r="AK250" s="4">
        <f t="shared" si="261"/>
        <v>4823235.0358807584</v>
      </c>
      <c r="AL250" s="4">
        <f t="shared" si="261"/>
        <v>4838293.016711277</v>
      </c>
      <c r="AM250" s="4">
        <f t="shared" si="261"/>
        <v>4839736.1372297406</v>
      </c>
      <c r="AN250" s="4">
        <f t="shared" si="261"/>
        <v>4843607.4412394613</v>
      </c>
      <c r="AO250" s="4">
        <f t="shared" si="261"/>
        <v>4837960.878595084</v>
      </c>
      <c r="AP250" s="4">
        <f t="shared" si="261"/>
        <v>4828344.6751501728</v>
      </c>
      <c r="AQ250" s="4">
        <f t="shared" si="261"/>
        <v>4834715.3593477011</v>
      </c>
      <c r="AR250" s="4"/>
      <c r="AS250" s="94">
        <f>AS245/AS247-1</f>
        <v>-0.72378155679214817</v>
      </c>
      <c r="AT250" s="121">
        <f t="shared" si="262"/>
        <v>-1.056740404523504E-2</v>
      </c>
      <c r="AU250" s="197"/>
      <c r="AV250" s="194"/>
      <c r="AW250" s="194"/>
      <c r="AX250" s="194"/>
      <c r="AY250" s="195"/>
      <c r="AZ250" s="196"/>
      <c r="BA250" s="195">
        <v>167055104.50212622</v>
      </c>
      <c r="BB250" s="195">
        <f t="shared" si="266"/>
        <v>-138351972.50212622</v>
      </c>
      <c r="BC250" s="195">
        <v>140041174.55798692</v>
      </c>
      <c r="BD250" s="195">
        <f t="shared" si="264"/>
        <v>-123032088.55798692</v>
      </c>
      <c r="BE250" s="195">
        <v>155020352.91339663</v>
      </c>
      <c r="BF250" s="195">
        <f t="shared" si="265"/>
        <v>-119473246.91339663</v>
      </c>
      <c r="BG250" s="195">
        <v>148189433.6392737</v>
      </c>
      <c r="BH250" s="194">
        <f>SUM(P248:P250)</f>
        <v>113779547</v>
      </c>
      <c r="BI250" s="3"/>
      <c r="BJ250" s="3">
        <v>56471169</v>
      </c>
      <c r="BK250" s="3">
        <f t="shared" si="257"/>
        <v>0</v>
      </c>
      <c r="BL250" s="3">
        <v>4058728.149554899</v>
      </c>
      <c r="BM250" s="177">
        <f t="shared" si="258"/>
        <v>16234912.598219605</v>
      </c>
      <c r="BN250" s="3"/>
      <c r="BR250" s="3"/>
      <c r="BS250" s="3"/>
      <c r="BT250" s="3"/>
      <c r="BU250" s="3"/>
      <c r="BV250" s="9"/>
      <c r="BW250" s="3"/>
      <c r="BX250" s="9"/>
      <c r="BY250" s="3"/>
      <c r="BZ250" s="3"/>
      <c r="CA250" s="3"/>
      <c r="CB250" s="3"/>
      <c r="CC250" s="4"/>
      <c r="CD250" s="3"/>
      <c r="CE250" s="3"/>
      <c r="CF250" s="3"/>
      <c r="CG250" s="3"/>
      <c r="CH250" s="3"/>
      <c r="CI250" s="3"/>
      <c r="CJ250" s="3"/>
      <c r="CK250" s="3"/>
      <c r="CL250" s="3"/>
      <c r="CM250" s="3"/>
      <c r="CN250" s="3"/>
      <c r="CO250" s="3"/>
      <c r="CP250" s="3"/>
    </row>
    <row r="251" spans="1:94">
      <c r="A251" s="2" t="s">
        <v>49</v>
      </c>
      <c r="B251" s="3">
        <f>'Monthly D4 Gallon Data'!$Y8</f>
        <v>0</v>
      </c>
      <c r="C251" s="3">
        <f>'Monthly D4 Gallon Data'!$Y20</f>
        <v>0</v>
      </c>
      <c r="D251" s="3">
        <f>'Monthly D4 Gallon Data'!$Y32</f>
        <v>3085274</v>
      </c>
      <c r="E251" s="3">
        <f>'Monthly D4 Gallon Data'!$Y44</f>
        <v>16522932</v>
      </c>
      <c r="F251" s="3">
        <f>'Monthly D4 Gallon Data'!$Y56</f>
        <v>25215033</v>
      </c>
      <c r="G251" s="3">
        <f>'Monthly D4 Gallon Data'!$Y68</f>
        <v>11498106</v>
      </c>
      <c r="H251" s="3">
        <f>'Monthly D4 Gallon Data'!$Y80</f>
        <v>20123725</v>
      </c>
      <c r="I251" s="3">
        <f>'Monthly D4 Gallon Data'!$Y92</f>
        <v>18588383</v>
      </c>
      <c r="J251" s="3">
        <f>'Monthly D4 Gallon Data'!$Y104</f>
        <v>20010805</v>
      </c>
      <c r="K251" s="3">
        <f>'Monthly D4 Gallon Data'!$Y116</f>
        <v>28383489</v>
      </c>
      <c r="L251" s="3">
        <f>'Monthly D4 Gallon Data'!$Y128</f>
        <v>21436366</v>
      </c>
      <c r="M251" s="3">
        <f>'Monthly D4 Gallon Data'!$Y140</f>
        <v>1510997</v>
      </c>
      <c r="N251" s="3">
        <f>'Monthly D4 Gallon Data'!$Y152</f>
        <v>11577093</v>
      </c>
      <c r="O251" s="3">
        <f>'Monthly D4 Gallon Data'!$Y164</f>
        <v>41724757</v>
      </c>
      <c r="P251" s="3">
        <f>'Monthly D4 Gallon Data'!$Y176</f>
        <v>22045675</v>
      </c>
      <c r="Q251" s="4">
        <f>(SUM(L251:P251)/SUM(L$257:P$257))*Q$257+3000000</f>
        <v>14613410.606759492</v>
      </c>
      <c r="R251" s="4">
        <f t="shared" si="255"/>
        <v>15307116.154142732</v>
      </c>
      <c r="S251" s="4">
        <f t="shared" si="255"/>
        <v>17284380.951269526</v>
      </c>
      <c r="T251" s="4">
        <f t="shared" si="255"/>
        <v>17840507.414250024</v>
      </c>
      <c r="U251" s="4">
        <f t="shared" si="255"/>
        <v>14330999.108120734</v>
      </c>
      <c r="V251" s="4">
        <f t="shared" si="255"/>
        <v>12756923.716265758</v>
      </c>
      <c r="W251" s="4">
        <f t="shared" si="255"/>
        <v>12685079.019935252</v>
      </c>
      <c r="X251" s="4">
        <f t="shared" si="255"/>
        <v>11748688.660367265</v>
      </c>
      <c r="Y251" s="4">
        <f t="shared" si="255"/>
        <v>11216014.982636947</v>
      </c>
      <c r="Z251" s="4">
        <f t="shared" si="255"/>
        <v>10360355.034604285</v>
      </c>
      <c r="AA251" s="4">
        <f t="shared" si="255"/>
        <v>10370657.896554619</v>
      </c>
      <c r="AB251" s="4">
        <f t="shared" si="255"/>
        <v>4336984.276469104</v>
      </c>
      <c r="AC251" s="4">
        <f t="shared" si="259"/>
        <v>2937172.1650918163</v>
      </c>
      <c r="AD251" s="4">
        <f t="shared" si="259"/>
        <v>2951582.8901676182</v>
      </c>
      <c r="AE251" s="4">
        <f t="shared" si="260"/>
        <v>2877876.3985011908</v>
      </c>
      <c r="AF251" s="4">
        <f t="shared" si="261"/>
        <v>2880738.3045985061</v>
      </c>
      <c r="AG251" s="4">
        <f t="shared" si="261"/>
        <v>2891322.8509794036</v>
      </c>
      <c r="AH251" s="4">
        <f t="shared" si="261"/>
        <v>2911072.7788261957</v>
      </c>
      <c r="AI251" s="4">
        <f t="shared" si="261"/>
        <v>2905272.9152116128</v>
      </c>
      <c r="AJ251" s="4">
        <f t="shared" si="261"/>
        <v>2893154.4170922847</v>
      </c>
      <c r="AK251" s="4">
        <f t="shared" si="261"/>
        <v>2898058.4724425129</v>
      </c>
      <c r="AL251" s="4">
        <f t="shared" si="261"/>
        <v>2906246.1881505889</v>
      </c>
      <c r="AM251" s="4">
        <f t="shared" si="261"/>
        <v>2907738.5218677074</v>
      </c>
      <c r="AN251" s="4">
        <f t="shared" si="261"/>
        <v>2902518.6446145838</v>
      </c>
      <c r="AO251" s="4">
        <f t="shared" si="261"/>
        <v>2893256.6496233819</v>
      </c>
      <c r="AP251" s="4">
        <f t="shared" si="261"/>
        <v>2896312.2533416003</v>
      </c>
      <c r="AQ251" s="4">
        <f t="shared" si="261"/>
        <v>2899776.2869104021</v>
      </c>
      <c r="AR251" s="4"/>
      <c r="AS251" s="94"/>
      <c r="AT251" s="121">
        <f t="shared" si="262"/>
        <v>-0.27990197577721154</v>
      </c>
      <c r="AU251" s="197"/>
      <c r="AV251" s="194"/>
      <c r="AW251" s="194"/>
      <c r="AX251" s="194"/>
      <c r="AY251" s="195"/>
      <c r="AZ251" s="196"/>
      <c r="BA251" s="195">
        <v>143619523.04200637</v>
      </c>
      <c r="BB251" s="195">
        <f t="shared" si="266"/>
        <v>-115236034.04200637</v>
      </c>
      <c r="BC251" s="195">
        <v>165126501.15137365</v>
      </c>
      <c r="BD251" s="195">
        <f t="shared" si="264"/>
        <v>-143690135.15137365</v>
      </c>
      <c r="BE251" s="195">
        <v>161089374.57035646</v>
      </c>
      <c r="BF251" s="195">
        <f t="shared" si="265"/>
        <v>-159578377.57035646</v>
      </c>
      <c r="BG251" s="195">
        <v>144098244.42470986</v>
      </c>
      <c r="BH251" s="197">
        <f>(BH250/BH247)-1</f>
        <v>6.2562863455636553E-2</v>
      </c>
      <c r="BI251" s="3"/>
      <c r="BJ251" s="4">
        <v>22045675</v>
      </c>
      <c r="BK251" s="3">
        <f t="shared" si="257"/>
        <v>0</v>
      </c>
      <c r="BL251" s="3">
        <v>5322682.1213518977</v>
      </c>
      <c r="BM251" s="177">
        <f t="shared" si="258"/>
        <v>9290728.4854075946</v>
      </c>
      <c r="BN251" s="3"/>
      <c r="BR251" s="3"/>
      <c r="BS251" s="3"/>
      <c r="BT251" s="3"/>
      <c r="BU251" s="3"/>
      <c r="BV251" s="9"/>
      <c r="BW251" s="3"/>
      <c r="BX251" s="9"/>
      <c r="BY251" s="3"/>
      <c r="BZ251" s="3"/>
      <c r="CA251" s="3"/>
      <c r="CB251" s="3"/>
      <c r="CC251" s="4"/>
      <c r="CD251" s="3"/>
      <c r="CE251" s="3"/>
      <c r="CF251" s="3"/>
      <c r="CG251" s="3"/>
      <c r="CH251" s="3"/>
      <c r="CI251" s="3"/>
      <c r="CJ251" s="3"/>
      <c r="CK251" s="3"/>
      <c r="CL251" s="3"/>
      <c r="CM251" s="3"/>
      <c r="CN251" s="3"/>
      <c r="CO251" s="3"/>
      <c r="CP251" s="3"/>
    </row>
    <row r="252" spans="1:94">
      <c r="A252" s="2" t="s">
        <v>50</v>
      </c>
      <c r="B252" s="3">
        <f>'Monthly D4 Gallon Data'!$Y9</f>
        <v>0</v>
      </c>
      <c r="C252" s="3">
        <f>'Monthly D4 Gallon Data'!$Y21</f>
        <v>0</v>
      </c>
      <c r="D252" s="3">
        <f>'Monthly D4 Gallon Data'!$Y33</f>
        <v>1030821</v>
      </c>
      <c r="E252" s="3">
        <f>'Monthly D4 Gallon Data'!$Y45</f>
        <v>22376937</v>
      </c>
      <c r="F252" s="3">
        <f>'Monthly D4 Gallon Data'!$Y57</f>
        <v>8424713</v>
      </c>
      <c r="G252" s="3">
        <f>'Monthly D4 Gallon Data'!$Y69</f>
        <v>14788260</v>
      </c>
      <c r="H252" s="3">
        <f>'Monthly D4 Gallon Data'!$Y81</f>
        <v>15511792</v>
      </c>
      <c r="I252" s="3">
        <f>'Monthly D4 Gallon Data'!$Y93</f>
        <v>14587142</v>
      </c>
      <c r="J252" s="3">
        <f>'Monthly D4 Gallon Data'!$Y105</f>
        <v>21371118</v>
      </c>
      <c r="K252" s="3">
        <f>'Monthly D4 Gallon Data'!$Y117</f>
        <v>22836318</v>
      </c>
      <c r="L252" s="3">
        <f>'Monthly D4 Gallon Data'!$Y129</f>
        <v>23531204</v>
      </c>
      <c r="M252" s="3">
        <f>'Monthly D4 Gallon Data'!$Y141</f>
        <v>25232656</v>
      </c>
      <c r="N252" s="3">
        <f>'Monthly D4 Gallon Data'!$Y153</f>
        <v>11436459</v>
      </c>
      <c r="O252" s="3">
        <f>'Monthly D4 Gallon Data'!$Y165</f>
        <v>8987002</v>
      </c>
      <c r="P252" s="3">
        <f>'Monthly D4 Gallon Data'!$Y177</f>
        <v>22976837</v>
      </c>
      <c r="Q252" s="4">
        <f>(SUM(L252:P252)/SUM(L$257:P$257))*Q$257+3000000</f>
        <v>13889072.991061935</v>
      </c>
      <c r="R252" s="4">
        <f t="shared" si="255"/>
        <v>13809419.090967605</v>
      </c>
      <c r="S252" s="4">
        <f t="shared" si="255"/>
        <v>11673993.698898958</v>
      </c>
      <c r="T252" s="4">
        <f t="shared" si="255"/>
        <v>11468099.439572299</v>
      </c>
      <c r="U252" s="4">
        <f t="shared" si="255"/>
        <v>12146792.633668374</v>
      </c>
      <c r="V252" s="4">
        <f t="shared" si="255"/>
        <v>10122971.440848617</v>
      </c>
      <c r="W252" s="4">
        <f t="shared" si="255"/>
        <v>9690754.3042836841</v>
      </c>
      <c r="X252" s="4">
        <f t="shared" si="255"/>
        <v>8643546.90467011</v>
      </c>
      <c r="Y252" s="4">
        <f t="shared" si="255"/>
        <v>8420179.8275559042</v>
      </c>
      <c r="Z252" s="4">
        <f t="shared" si="255"/>
        <v>8095746.8990686275</v>
      </c>
      <c r="AA252" s="4">
        <f t="shared" si="255"/>
        <v>7936446.948781224</v>
      </c>
      <c r="AB252" s="4">
        <f t="shared" si="255"/>
        <v>3291282.6834122729</v>
      </c>
      <c r="AC252" s="4">
        <f t="shared" si="259"/>
        <v>2160886.7261675275</v>
      </c>
      <c r="AD252" s="4">
        <f t="shared" si="259"/>
        <v>2215836.7967252382</v>
      </c>
      <c r="AE252" s="4">
        <f t="shared" si="260"/>
        <v>2248818.5830746191</v>
      </c>
      <c r="AF252" s="4">
        <f t="shared" si="261"/>
        <v>2204568.5968836737</v>
      </c>
      <c r="AG252" s="4">
        <f t="shared" si="261"/>
        <v>2194188.4556081826</v>
      </c>
      <c r="AH252" s="4">
        <f t="shared" si="261"/>
        <v>2205285.0462720091</v>
      </c>
      <c r="AI252" s="4">
        <f t="shared" si="261"/>
        <v>2215151.33962856</v>
      </c>
      <c r="AJ252" s="4">
        <f t="shared" si="261"/>
        <v>2214971.9676780277</v>
      </c>
      <c r="AK252" s="4">
        <f t="shared" si="261"/>
        <v>2204107.6219951711</v>
      </c>
      <c r="AL252" s="4">
        <f t="shared" si="261"/>
        <v>2203889.7065933333</v>
      </c>
      <c r="AM252" s="4">
        <f t="shared" si="261"/>
        <v>2204859.8316918486</v>
      </c>
      <c r="AN252" s="4">
        <f t="shared" si="261"/>
        <v>2213739.4957127445</v>
      </c>
      <c r="AO252" s="4">
        <f t="shared" si="261"/>
        <v>2213602.4042934091</v>
      </c>
      <c r="AP252" s="4">
        <f t="shared" si="261"/>
        <v>2206833.0812140908</v>
      </c>
      <c r="AQ252" s="4">
        <f t="shared" si="261"/>
        <v>2206740.8862363901</v>
      </c>
      <c r="AR252" s="4"/>
      <c r="AS252" s="94"/>
      <c r="AT252" s="121">
        <f t="shared" si="262"/>
        <v>-4.956663678241624E-2</v>
      </c>
      <c r="AU252" s="197"/>
      <c r="AV252" s="194"/>
      <c r="AW252" s="194"/>
      <c r="AX252" s="194"/>
      <c r="AY252" s="195"/>
      <c r="AZ252" s="196"/>
      <c r="BA252" s="195">
        <v>179278729.11455953</v>
      </c>
      <c r="BB252" s="195">
        <f t="shared" si="266"/>
        <v>-156442411.11455953</v>
      </c>
      <c r="BC252" s="195">
        <v>168020270.68833292</v>
      </c>
      <c r="BD252" s="195">
        <f t="shared" si="264"/>
        <v>-144489066.68833292</v>
      </c>
      <c r="BE252" s="195">
        <v>155942954.667191</v>
      </c>
      <c r="BF252" s="195">
        <f t="shared" si="265"/>
        <v>-130710298.667191</v>
      </c>
      <c r="BG252" s="195">
        <v>141572065.80553842</v>
      </c>
      <c r="BH252" s="195"/>
      <c r="BI252" s="3"/>
      <c r="BJ252" s="4">
        <v>26997454.087822702</v>
      </c>
      <c r="BK252" s="3">
        <f t="shared" si="257"/>
        <v>-4020617.0878227018</v>
      </c>
      <c r="BL252" s="3">
        <v>5177814.5982123856</v>
      </c>
      <c r="BM252" s="177">
        <f t="shared" si="258"/>
        <v>8711258.3928495497</v>
      </c>
      <c r="BN252" s="3"/>
      <c r="BR252" s="3"/>
      <c r="BS252" s="3"/>
      <c r="BT252" s="3"/>
      <c r="BU252" s="3"/>
      <c r="BV252" s="9"/>
      <c r="BW252" s="3"/>
      <c r="BX252" s="9"/>
      <c r="BY252" s="3"/>
      <c r="BZ252" s="3"/>
      <c r="CA252" s="3"/>
      <c r="CB252" s="3"/>
      <c r="CC252" s="4"/>
      <c r="CD252" s="3"/>
      <c r="CE252" s="3"/>
      <c r="CF252" s="3"/>
      <c r="CG252" s="3"/>
      <c r="CH252" s="3"/>
      <c r="CI252" s="3"/>
      <c r="CJ252" s="3"/>
      <c r="CK252" s="3"/>
      <c r="CL252" s="3"/>
      <c r="CM252" s="3"/>
      <c r="CN252" s="3"/>
      <c r="CO252" s="3"/>
      <c r="CP252" s="3"/>
    </row>
    <row r="253" spans="1:94">
      <c r="A253" s="2" t="s">
        <v>51</v>
      </c>
      <c r="B253" s="3">
        <f>'Monthly D4 Gallon Data'!$Y10</f>
        <v>0</v>
      </c>
      <c r="C253" s="3">
        <f>'Monthly D4 Gallon Data'!$Y22</f>
        <v>0</v>
      </c>
      <c r="D253" s="3">
        <f>'Monthly D4 Gallon Data'!$Y34</f>
        <v>8813936</v>
      </c>
      <c r="E253" s="3">
        <f>'Monthly D4 Gallon Data'!$Y46</f>
        <v>19093804</v>
      </c>
      <c r="F253" s="3">
        <f>'Monthly D4 Gallon Data'!$Y58</f>
        <v>0</v>
      </c>
      <c r="G253" s="3">
        <f>'Monthly D4 Gallon Data'!$Y70</f>
        <v>8527417</v>
      </c>
      <c r="H253" s="3">
        <f>'Monthly D4 Gallon Data'!$Y82</f>
        <v>19321824</v>
      </c>
      <c r="I253" s="3">
        <f>'Monthly D4 Gallon Data'!$Y94</f>
        <v>16856877</v>
      </c>
      <c r="J253" s="3">
        <f>'Monthly D4 Gallon Data'!$Y106</f>
        <v>16534807</v>
      </c>
      <c r="K253" s="3">
        <f>'Monthly D4 Gallon Data'!$Y118</f>
        <v>23093500</v>
      </c>
      <c r="L253" s="3">
        <f>'Monthly D4 Gallon Data'!$Y130</f>
        <v>52471547</v>
      </c>
      <c r="M253" s="3">
        <f>'Monthly D4 Gallon Data'!$Y142</f>
        <v>40487602</v>
      </c>
      <c r="N253" s="3">
        <f>'Monthly D4 Gallon Data'!$Y154</f>
        <v>34372983</v>
      </c>
      <c r="O253" s="3">
        <f>'Monthly D4 Gallon Data'!$Y166</f>
        <v>7125786</v>
      </c>
      <c r="P253" s="3">
        <f>'Monthly D4 Gallon Data'!$Y178</f>
        <v>18250310</v>
      </c>
      <c r="Q253" s="4">
        <f t="shared" si="255"/>
        <v>18042274.536135055</v>
      </c>
      <c r="R253" s="4">
        <f t="shared" si="255"/>
        <v>19793062.848750956</v>
      </c>
      <c r="S253" s="4">
        <f t="shared" si="255"/>
        <v>16022774.236714164</v>
      </c>
      <c r="T253" s="4">
        <f t="shared" si="255"/>
        <v>12737771.041761836</v>
      </c>
      <c r="U253" s="4">
        <f t="shared" si="255"/>
        <v>13961597.100472977</v>
      </c>
      <c r="V253" s="4">
        <f t="shared" si="255"/>
        <v>12946737.819187766</v>
      </c>
      <c r="W253" s="4">
        <f t="shared" si="255"/>
        <v>12348317.953127079</v>
      </c>
      <c r="X253" s="4">
        <f t="shared" si="255"/>
        <v>10669364.415884525</v>
      </c>
      <c r="Y253" s="4">
        <f t="shared" si="255"/>
        <v>10132867.900240419</v>
      </c>
      <c r="Z253" s="4">
        <f t="shared" si="255"/>
        <v>9917981.0403709169</v>
      </c>
      <c r="AA253" s="4">
        <f t="shared" si="255"/>
        <v>9885047.4933195375</v>
      </c>
      <c r="AB253" s="4">
        <f t="shared" si="255"/>
        <v>4073352.21561096</v>
      </c>
      <c r="AC253" s="4">
        <f t="shared" si="259"/>
        <v>2667341.1039711311</v>
      </c>
      <c r="AD253" s="4">
        <f t="shared" si="259"/>
        <v>2666544.1842737952</v>
      </c>
      <c r="AE253" s="4">
        <f t="shared" si="260"/>
        <v>2754994.7334363661</v>
      </c>
      <c r="AF253" s="4">
        <f t="shared" si="261"/>
        <v>2745846.525922094</v>
      </c>
      <c r="AG253" s="4">
        <f t="shared" si="261"/>
        <v>2715568.1437406405</v>
      </c>
      <c r="AH253" s="4">
        <f t="shared" si="261"/>
        <v>2707794.7312379614</v>
      </c>
      <c r="AI253" s="4">
        <f t="shared" si="261"/>
        <v>2716784.4261861457</v>
      </c>
      <c r="AJ253" s="4">
        <f t="shared" si="261"/>
        <v>2729931.4053781624</v>
      </c>
      <c r="AK253" s="4">
        <f t="shared" si="261"/>
        <v>2721886.3864952833</v>
      </c>
      <c r="AL253" s="4">
        <f t="shared" si="261"/>
        <v>2710559.7751298822</v>
      </c>
      <c r="AM253" s="4">
        <f t="shared" si="261"/>
        <v>2710058.9382688054</v>
      </c>
      <c r="AN253" s="4">
        <f t="shared" si="261"/>
        <v>2718149.6637221714</v>
      </c>
      <c r="AO253" s="4">
        <f t="shared" si="261"/>
        <v>2728197.7121046418</v>
      </c>
      <c r="AP253" s="4">
        <f t="shared" si="261"/>
        <v>2723185.0464930008</v>
      </c>
      <c r="AQ253" s="4">
        <f t="shared" si="261"/>
        <v>2718393.0186076388</v>
      </c>
      <c r="AR253" s="4"/>
      <c r="AS253" s="94"/>
      <c r="AT253" s="121">
        <f t="shared" si="262"/>
        <v>0.29902654754178615</v>
      </c>
      <c r="AU253" s="197"/>
      <c r="AV253" s="194"/>
      <c r="AW253" s="194"/>
      <c r="AX253" s="194"/>
      <c r="AY253" s="195"/>
      <c r="AZ253" s="196"/>
      <c r="BA253" s="195">
        <v>141119976.66064993</v>
      </c>
      <c r="BB253" s="195">
        <f t="shared" si="266"/>
        <v>-118026476.66064993</v>
      </c>
      <c r="BC253" s="195">
        <v>159933651.26960924</v>
      </c>
      <c r="BD253" s="195">
        <f t="shared" si="264"/>
        <v>-107462104.26960924</v>
      </c>
      <c r="BE253" s="195">
        <v>151331868.28440863</v>
      </c>
      <c r="BF253" s="195">
        <f t="shared" si="265"/>
        <v>-110844266.28440863</v>
      </c>
      <c r="BG253" s="195">
        <v>140040273.96936029</v>
      </c>
      <c r="BH253" s="194">
        <f>SUM(P251:P253)</f>
        <v>63272822</v>
      </c>
      <c r="BI253" s="3"/>
      <c r="BJ253" s="4">
        <v>31999624.462159425</v>
      </c>
      <c r="BK253" s="3">
        <f t="shared" si="257"/>
        <v>-13749314.462159425</v>
      </c>
      <c r="BL253" s="3">
        <v>3608454.9072270091</v>
      </c>
      <c r="BM253" s="177">
        <f t="shared" si="258"/>
        <v>14433819.628908046</v>
      </c>
      <c r="BN253" s="3"/>
      <c r="BR253" s="3"/>
      <c r="BS253" s="3"/>
      <c r="BT253" s="3"/>
      <c r="BU253" s="3"/>
      <c r="BV253" s="9"/>
      <c r="BW253" s="3"/>
      <c r="BX253" s="9"/>
      <c r="BY253" s="3"/>
      <c r="BZ253" s="3"/>
      <c r="CA253" s="3"/>
      <c r="CB253" s="3"/>
      <c r="CC253" s="4"/>
      <c r="CD253" s="3"/>
      <c r="CE253" s="3"/>
      <c r="CF253" s="3"/>
      <c r="CG253" s="3"/>
      <c r="CH253" s="3"/>
      <c r="CI253" s="3"/>
      <c r="CJ253" s="3"/>
      <c r="CK253" s="3"/>
      <c r="CL253" s="3"/>
      <c r="CM253" s="3"/>
      <c r="CN253" s="3"/>
      <c r="CO253" s="3"/>
      <c r="CP253" s="3"/>
    </row>
    <row r="254" spans="1:94">
      <c r="A254" s="2" t="s">
        <v>52</v>
      </c>
      <c r="B254" s="3">
        <f>'Monthly D4 Gallon Data'!$Y11</f>
        <v>0</v>
      </c>
      <c r="C254" s="3">
        <f>'Monthly D4 Gallon Data'!$Y23</f>
        <v>0</v>
      </c>
      <c r="D254" s="3">
        <f>'Monthly D4 Gallon Data'!$Y35</f>
        <v>12718015</v>
      </c>
      <c r="E254" s="3">
        <f>'Monthly D4 Gallon Data'!$Y47</f>
        <v>20391826</v>
      </c>
      <c r="F254" s="3">
        <f>'Monthly D4 Gallon Data'!$Y59</f>
        <v>348537</v>
      </c>
      <c r="G254" s="3">
        <f>'Monthly D4 Gallon Data'!$Y71</f>
        <v>8855912</v>
      </c>
      <c r="H254" s="3">
        <f>'Monthly D4 Gallon Data'!$Y83</f>
        <v>10947378</v>
      </c>
      <c r="I254" s="3">
        <f>'Monthly D4 Gallon Data'!$Y95</f>
        <v>16292718</v>
      </c>
      <c r="J254" s="3">
        <f>'Monthly D4 Gallon Data'!$Y107</f>
        <v>0</v>
      </c>
      <c r="K254" s="3">
        <f>'Monthly D4 Gallon Data'!$Y119</f>
        <v>33053069</v>
      </c>
      <c r="L254" s="3">
        <f>'Monthly D4 Gallon Data'!$Y131</f>
        <v>29260171</v>
      </c>
      <c r="M254" s="3">
        <f>'Monthly D4 Gallon Data'!$Y143</f>
        <v>36347065</v>
      </c>
      <c r="N254" s="3">
        <f>'Monthly D4 Gallon Data'!$Y155</f>
        <v>31933081</v>
      </c>
      <c r="O254" s="3">
        <f>'Monthly D4 Gallon Data'!$Y167</f>
        <v>45134277</v>
      </c>
      <c r="P254" s="3">
        <f>'Monthly D4 Gallon Data'!$Y179</f>
        <v>15413235</v>
      </c>
      <c r="Q254" s="4">
        <f t="shared" si="255"/>
        <v>18677867.257025421</v>
      </c>
      <c r="R254" s="4">
        <f t="shared" si="255"/>
        <v>24683901.871777788</v>
      </c>
      <c r="S254" s="4">
        <f t="shared" si="255"/>
        <v>22304498.820663068</v>
      </c>
      <c r="T254" s="4">
        <f t="shared" si="255"/>
        <v>20290254.418766204</v>
      </c>
      <c r="U254" s="4">
        <f t="shared" si="255"/>
        <v>16680580.072264178</v>
      </c>
      <c r="V254" s="4">
        <f t="shared" si="255"/>
        <v>16495248.606508391</v>
      </c>
      <c r="W254" s="4">
        <f t="shared" si="255"/>
        <v>16438006.438360302</v>
      </c>
      <c r="X254" s="4">
        <f t="shared" si="255"/>
        <v>14464092.291225439</v>
      </c>
      <c r="Y254" s="4">
        <f t="shared" si="255"/>
        <v>13642514.508215878</v>
      </c>
      <c r="Z254" s="4">
        <f t="shared" si="255"/>
        <v>12834568.389892986</v>
      </c>
      <c r="AA254" s="4">
        <f t="shared" si="255"/>
        <v>13036664.158976998</v>
      </c>
      <c r="AB254" s="4">
        <f t="shared" si="255"/>
        <v>5416603.5220516613</v>
      </c>
      <c r="AC254" s="4">
        <f t="shared" si="259"/>
        <v>3616023.0728063597</v>
      </c>
      <c r="AD254" s="4">
        <f t="shared" si="259"/>
        <v>3590135.396898916</v>
      </c>
      <c r="AE254" s="4">
        <f t="shared" si="260"/>
        <v>3565157.8860813854</v>
      </c>
      <c r="AF254" s="4">
        <f t="shared" si="261"/>
        <v>3621295.5997158336</v>
      </c>
      <c r="AG254" s="4">
        <f t="shared" si="261"/>
        <v>3611069.0147011089</v>
      </c>
      <c r="AH254" s="4">
        <f t="shared" si="261"/>
        <v>3599663.2042644233</v>
      </c>
      <c r="AI254" s="4">
        <f t="shared" si="261"/>
        <v>3596027.6779217697</v>
      </c>
      <c r="AJ254" s="4">
        <f t="shared" si="261"/>
        <v>3597569.5832361612</v>
      </c>
      <c r="AK254" s="4">
        <f t="shared" si="261"/>
        <v>3607973.3378784354</v>
      </c>
      <c r="AL254" s="4">
        <f t="shared" si="261"/>
        <v>3601675.5413734829</v>
      </c>
      <c r="AM254" s="4">
        <f t="shared" si="261"/>
        <v>3600736.1940407213</v>
      </c>
      <c r="AN254" s="4">
        <f t="shared" si="261"/>
        <v>3597464.2203323338</v>
      </c>
      <c r="AO254" s="4">
        <f t="shared" si="261"/>
        <v>3598642.6765369046</v>
      </c>
      <c r="AP254" s="4">
        <f t="shared" si="261"/>
        <v>3605125.0159678594</v>
      </c>
      <c r="AQ254" s="4">
        <f t="shared" si="261"/>
        <v>3602460.56360038</v>
      </c>
      <c r="AR254" s="4"/>
      <c r="AS254" s="94"/>
      <c r="AT254" s="121">
        <f t="shared" si="262"/>
        <v>3.52279708202754E-2</v>
      </c>
      <c r="AU254" s="197"/>
      <c r="AV254" s="194"/>
      <c r="AW254" s="194"/>
      <c r="AX254" s="194"/>
      <c r="AY254" s="195"/>
      <c r="AZ254" s="196"/>
      <c r="BA254" s="195">
        <v>152816519.91490614</v>
      </c>
      <c r="BB254" s="195">
        <f t="shared" si="266"/>
        <v>-119763450.91490614</v>
      </c>
      <c r="BC254" s="195">
        <v>173289693.89777201</v>
      </c>
      <c r="BD254" s="195">
        <f t="shared" si="264"/>
        <v>-144029522.89777201</v>
      </c>
      <c r="BE254" s="195">
        <v>149277371.44355991</v>
      </c>
      <c r="BF254" s="195">
        <f t="shared" si="265"/>
        <v>-112930306.44355991</v>
      </c>
      <c r="BG254" s="195">
        <v>137891779.86776355</v>
      </c>
      <c r="BH254" s="197">
        <f>(BH253/BH250)-1</f>
        <v>-0.44389986013918648</v>
      </c>
      <c r="BI254" s="3"/>
      <c r="BJ254" s="4">
        <v>31725624.250845641</v>
      </c>
      <c r="BK254" s="3">
        <f t="shared" si="257"/>
        <v>-16312389.250845641</v>
      </c>
      <c r="BL254" s="3">
        <v>3735573.4514050824</v>
      </c>
      <c r="BM254" s="177">
        <f t="shared" si="258"/>
        <v>14942293.805620339</v>
      </c>
      <c r="BN254" s="3"/>
      <c r="BR254" s="3"/>
      <c r="BS254" s="3"/>
      <c r="BT254" s="3"/>
      <c r="BU254" s="3"/>
      <c r="BV254" s="9"/>
      <c r="BW254" s="3"/>
      <c r="BX254" s="9"/>
      <c r="BY254" s="3"/>
      <c r="BZ254" s="3"/>
      <c r="CA254" s="3"/>
      <c r="CB254" s="3"/>
      <c r="CC254" s="4"/>
      <c r="CD254" s="3"/>
      <c r="CE254" s="3"/>
      <c r="CF254" s="3"/>
      <c r="CG254" s="3"/>
      <c r="CH254" s="3"/>
      <c r="CI254" s="3"/>
      <c r="CJ254" s="3"/>
      <c r="CK254" s="3"/>
      <c r="CL254" s="3"/>
      <c r="CM254" s="3"/>
      <c r="CN254" s="3"/>
      <c r="CO254" s="3"/>
      <c r="CP254" s="3"/>
    </row>
    <row r="255" spans="1:94">
      <c r="A255" s="2" t="s">
        <v>53</v>
      </c>
      <c r="B255" s="3">
        <f>'Monthly D4 Gallon Data'!$Y12</f>
        <v>0</v>
      </c>
      <c r="C255" s="3">
        <f>'Monthly D4 Gallon Data'!$Y24</f>
        <v>0</v>
      </c>
      <c r="D255" s="3">
        <f>'Monthly D4 Gallon Data'!$Y36</f>
        <v>10308273</v>
      </c>
      <c r="E255" s="3">
        <f>'Monthly D4 Gallon Data'!$Y48</f>
        <v>21846020</v>
      </c>
      <c r="F255" s="3">
        <f>'Monthly D4 Gallon Data'!$Y60</f>
        <v>9322412</v>
      </c>
      <c r="G255" s="3">
        <f>'Monthly D4 Gallon Data'!$Y72</f>
        <v>12838777</v>
      </c>
      <c r="H255" s="3">
        <f>'Monthly D4 Gallon Data'!$Y84</f>
        <v>14881963</v>
      </c>
      <c r="I255" s="3">
        <f>'Monthly D4 Gallon Data'!$Y96</f>
        <v>11529654</v>
      </c>
      <c r="J255" s="3">
        <f>'Monthly D4 Gallon Data'!$Y108</f>
        <v>10690516</v>
      </c>
      <c r="K255" s="3">
        <f>'Monthly D4 Gallon Data'!$Y120</f>
        <v>24145905</v>
      </c>
      <c r="L255" s="3">
        <f>'Monthly D4 Gallon Data'!$Y132</f>
        <v>40715916</v>
      </c>
      <c r="M255" s="3">
        <f>'Monthly D4 Gallon Data'!$Y144</f>
        <v>28638303</v>
      </c>
      <c r="N255" s="3">
        <f>'Monthly D4 Gallon Data'!$Y156</f>
        <v>23032737</v>
      </c>
      <c r="O255" s="3">
        <f>'Monthly D4 Gallon Data'!$Y168</f>
        <v>43040497</v>
      </c>
      <c r="P255" s="3">
        <f>'Monthly D4 Gallon Data'!$Y180</f>
        <v>7265849</v>
      </c>
      <c r="Q255" s="4">
        <f t="shared" si="255"/>
        <v>16859024.316303566</v>
      </c>
      <c r="R255" s="4">
        <f t="shared" si="255"/>
        <v>19886348.568507258</v>
      </c>
      <c r="S255" s="4">
        <f t="shared" si="255"/>
        <v>18075205.539549988</v>
      </c>
      <c r="T255" s="4">
        <f t="shared" si="255"/>
        <v>16900310.280594748</v>
      </c>
      <c r="U255" s="4">
        <f t="shared" si="255"/>
        <v>12997413.007001387</v>
      </c>
      <c r="V255" s="4">
        <f t="shared" si="255"/>
        <v>13615441.346564511</v>
      </c>
      <c r="W255" s="4">
        <f t="shared" si="255"/>
        <v>13332226.70327202</v>
      </c>
      <c r="X255" s="4">
        <f t="shared" si="255"/>
        <v>11752250.490507085</v>
      </c>
      <c r="Y255" s="4">
        <f t="shared" si="255"/>
        <v>11092384.636007279</v>
      </c>
      <c r="Z255" s="4">
        <f t="shared" si="255"/>
        <v>10368943.956883863</v>
      </c>
      <c r="AA255" s="4">
        <f t="shared" si="255"/>
        <v>10616690.670570839</v>
      </c>
      <c r="AB255" s="4">
        <f t="shared" si="255"/>
        <v>4397115.1120954677</v>
      </c>
      <c r="AC255" s="4">
        <f t="shared" si="259"/>
        <v>2938062.6226267712</v>
      </c>
      <c r="AD255" s="4">
        <f t="shared" si="259"/>
        <v>2919048.5884229685</v>
      </c>
      <c r="AE255" s="4">
        <f t="shared" si="260"/>
        <v>2880262.210245518</v>
      </c>
      <c r="AF255" s="4">
        <f t="shared" si="261"/>
        <v>2949080.7418252337</v>
      </c>
      <c r="AG255" s="4">
        <f t="shared" si="261"/>
        <v>2931410.0747303125</v>
      </c>
      <c r="AH255" s="4">
        <f t="shared" si="261"/>
        <v>2922871.8100645179</v>
      </c>
      <c r="AI255" s="4">
        <f t="shared" si="261"/>
        <v>2919496.073939573</v>
      </c>
      <c r="AJ255" s="4">
        <f t="shared" si="261"/>
        <v>2919613.1729532629</v>
      </c>
      <c r="AK255" s="4">
        <f t="shared" si="261"/>
        <v>2932244.3461680952</v>
      </c>
      <c r="AL255" s="4">
        <f t="shared" si="261"/>
        <v>2924285.3227665387</v>
      </c>
      <c r="AM255" s="4">
        <f t="shared" si="261"/>
        <v>2923572.8475701609</v>
      </c>
      <c r="AN255" s="4">
        <f t="shared" si="261"/>
        <v>2920534.6850577104</v>
      </c>
      <c r="AO255" s="4">
        <f t="shared" si="261"/>
        <v>2920624.1821610308</v>
      </c>
      <c r="AP255" s="4">
        <f t="shared" si="261"/>
        <v>2928494.3747025803</v>
      </c>
      <c r="AQ255" s="4">
        <f t="shared" si="261"/>
        <v>2925127.0955711529</v>
      </c>
      <c r="AR255" s="4"/>
      <c r="AS255" s="94"/>
      <c r="AT255" s="121">
        <f t="shared" si="262"/>
        <v>-9.7379583851455065E-2</v>
      </c>
      <c r="AU255" s="197"/>
      <c r="AV255" s="194"/>
      <c r="AW255" s="194"/>
      <c r="AX255" s="194"/>
      <c r="AY255" s="195"/>
      <c r="AZ255" s="196"/>
      <c r="BA255" s="195">
        <v>130353452.30666322</v>
      </c>
      <c r="BB255" s="195">
        <f t="shared" si="266"/>
        <v>-106207547.30666322</v>
      </c>
      <c r="BC255" s="195">
        <v>133413302.04905352</v>
      </c>
      <c r="BD255" s="195">
        <f t="shared" si="264"/>
        <v>-92697386.04905352</v>
      </c>
      <c r="BE255" s="195">
        <v>141356362.87740099</v>
      </c>
      <c r="BF255" s="195">
        <f t="shared" si="265"/>
        <v>-112718059.87740099</v>
      </c>
      <c r="BG255" s="195">
        <v>142499844.22919351</v>
      </c>
      <c r="BH255" s="195"/>
      <c r="BI255" s="3"/>
      <c r="BJ255" s="4">
        <v>30609720.628480546</v>
      </c>
      <c r="BK255" s="3">
        <f t="shared" si="257"/>
        <v>-23343871.628480546</v>
      </c>
      <c r="BL255" s="3">
        <v>3371804.8632607111</v>
      </c>
      <c r="BM255" s="177">
        <f t="shared" si="258"/>
        <v>13487219.453042855</v>
      </c>
      <c r="BN255" s="3"/>
      <c r="BR255" s="3"/>
      <c r="BS255" s="3"/>
      <c r="BT255" s="3"/>
      <c r="BU255" s="3"/>
      <c r="BV255" s="9"/>
      <c r="BW255" s="3"/>
      <c r="BX255" s="9"/>
      <c r="BY255" s="3"/>
      <c r="BZ255" s="3"/>
      <c r="CA255" s="3"/>
      <c r="CB255" s="3"/>
      <c r="CC255" s="4"/>
      <c r="CD255" s="3"/>
      <c r="CE255" s="3"/>
      <c r="CF255" s="3"/>
      <c r="CG255" s="3"/>
      <c r="CH255" s="3"/>
      <c r="CI255" s="3"/>
      <c r="CJ255" s="3"/>
      <c r="CK255" s="3"/>
      <c r="CL255" s="3"/>
      <c r="CM255" s="3"/>
      <c r="CN255" s="3"/>
      <c r="CO255" s="3"/>
      <c r="CP255" s="3"/>
    </row>
    <row r="256" spans="1:94">
      <c r="A256" s="2" t="s">
        <v>54</v>
      </c>
      <c r="B256" s="3">
        <f>'Monthly D4 Gallon Data'!$Y13</f>
        <v>0</v>
      </c>
      <c r="C256" s="3">
        <f>'Monthly D4 Gallon Data'!$Y25</f>
        <v>0</v>
      </c>
      <c r="D256" s="3">
        <f>'Monthly D4 Gallon Data'!$Y37</f>
        <v>4421460</v>
      </c>
      <c r="E256" s="3">
        <f>'Monthly D4 Gallon Data'!$Y49</f>
        <v>15110753</v>
      </c>
      <c r="F256" s="3">
        <f>'Monthly D4 Gallon Data'!$Y61</f>
        <v>11628154</v>
      </c>
      <c r="G256" s="3">
        <f>'Monthly D4 Gallon Data'!$Y73</f>
        <v>8127548</v>
      </c>
      <c r="H256" s="3">
        <f>'Monthly D4 Gallon Data'!$Y85</f>
        <v>15859008</v>
      </c>
      <c r="I256" s="3">
        <f>'Monthly D4 Gallon Data'!$Y97</f>
        <v>19577357</v>
      </c>
      <c r="J256" s="3">
        <f>'Monthly D4 Gallon Data'!$Y109</f>
        <v>23675821</v>
      </c>
      <c r="K256" s="3">
        <f>'Monthly D4 Gallon Data'!$Y121</f>
        <v>30600380</v>
      </c>
      <c r="L256" s="3">
        <f>'Monthly D4 Gallon Data'!$Y133</f>
        <v>36950805</v>
      </c>
      <c r="M256" s="3">
        <f>'Monthly D4 Gallon Data'!$Y145</f>
        <v>41876994</v>
      </c>
      <c r="N256" s="3">
        <f>'Monthly D4 Gallon Data'!$Y157</f>
        <v>32121076</v>
      </c>
      <c r="O256" s="3">
        <f>'Monthly D4 Gallon Data'!$Y169</f>
        <v>45979079</v>
      </c>
      <c r="P256" s="3">
        <f>'Monthly D4 Gallon Data'!$Y181</f>
        <v>4236635</v>
      </c>
      <c r="Q256" s="119">
        <f>Q257-SUM(Q245:Q255)</f>
        <v>61474518.720732391</v>
      </c>
      <c r="R256" s="4">
        <f t="shared" ref="R256:AD256" si="267">R257-SUM(R245:R255)</f>
        <v>31073492.569914579</v>
      </c>
      <c r="S256" s="4">
        <f t="shared" si="267"/>
        <v>28715032.505401701</v>
      </c>
      <c r="T256" s="4">
        <f t="shared" si="267"/>
        <v>27567097.859590977</v>
      </c>
      <c r="U256" s="4">
        <f t="shared" si="267"/>
        <v>25187419.70677653</v>
      </c>
      <c r="V256" s="4">
        <f t="shared" si="267"/>
        <v>27967108.076102614</v>
      </c>
      <c r="W256" s="4">
        <f t="shared" si="267"/>
        <v>22992570.117455989</v>
      </c>
      <c r="X256" s="4">
        <f t="shared" si="267"/>
        <v>20773212.27691415</v>
      </c>
      <c r="Y256" s="4">
        <f t="shared" si="267"/>
        <v>20129878.746382654</v>
      </c>
      <c r="Z256" s="4">
        <f t="shared" si="267"/>
        <v>19329388.996563092</v>
      </c>
      <c r="AA256" s="4">
        <f t="shared" si="267"/>
        <v>19622145.567073837</v>
      </c>
      <c r="AB256" s="4">
        <f t="shared" si="267"/>
        <v>7911322.7464915067</v>
      </c>
      <c r="AC256" s="4">
        <f t="shared" si="267"/>
        <v>5193303.0692285374</v>
      </c>
      <c r="AD256" s="4">
        <f t="shared" si="267"/>
        <v>5297336.5122059658</v>
      </c>
      <c r="AE256" s="4">
        <f t="shared" ref="AE256:AQ256" si="268">AE257-SUM(AE245:AE255)</f>
        <v>5369274.7212675214</v>
      </c>
      <c r="AF256" s="4">
        <f t="shared" si="268"/>
        <v>5450595.9908538461</v>
      </c>
      <c r="AG256" s="4">
        <f t="shared" si="268"/>
        <v>5274215.1643276811</v>
      </c>
      <c r="AH256" s="4">
        <f t="shared" si="268"/>
        <v>5319148.3838439509</v>
      </c>
      <c r="AI256" s="4">
        <f t="shared" si="268"/>
        <v>5347114.0093140528</v>
      </c>
      <c r="AJ256" s="4">
        <f t="shared" si="268"/>
        <v>5360139.8964077532</v>
      </c>
      <c r="AK256" s="4">
        <f t="shared" si="268"/>
        <v>5357207.7304033861</v>
      </c>
      <c r="AL256" s="4">
        <f t="shared" si="268"/>
        <v>5313060.5527358875</v>
      </c>
      <c r="AM256" s="4">
        <f t="shared" si="268"/>
        <v>5316945.0915767029</v>
      </c>
      <c r="AN256" s="4">
        <f t="shared" si="268"/>
        <v>5342114.1544997916</v>
      </c>
      <c r="AO256" s="4">
        <f t="shared" si="268"/>
        <v>5352069.653921403</v>
      </c>
      <c r="AP256" s="4">
        <f t="shared" si="268"/>
        <v>5350242.6889494509</v>
      </c>
      <c r="AQ256" s="4">
        <f t="shared" si="268"/>
        <v>5331565.0368593633</v>
      </c>
      <c r="AR256" s="4"/>
      <c r="AS256" s="94"/>
      <c r="AT256" s="121">
        <f t="shared" si="262"/>
        <v>2.646386503000846</v>
      </c>
      <c r="AU256" s="197"/>
      <c r="AV256" s="194"/>
      <c r="AW256" s="194"/>
      <c r="AX256" s="194"/>
      <c r="AY256" s="195"/>
      <c r="AZ256" s="196"/>
      <c r="BA256" s="195">
        <v>169422997</v>
      </c>
      <c r="BB256" s="195">
        <f t="shared" si="266"/>
        <v>-138822617</v>
      </c>
      <c r="BC256" s="195">
        <v>167631897</v>
      </c>
      <c r="BD256" s="195">
        <f t="shared" si="264"/>
        <v>-130681092</v>
      </c>
      <c r="BE256" s="195">
        <v>179824533</v>
      </c>
      <c r="BF256" s="195">
        <f t="shared" si="265"/>
        <v>-137947539</v>
      </c>
      <c r="BG256" s="195">
        <v>179383712.03590918</v>
      </c>
      <c r="BH256" s="194">
        <f>SUM(P254:P256)</f>
        <v>26915719</v>
      </c>
      <c r="BI256" s="3"/>
      <c r="BJ256" s="4">
        <v>35861599.445691586</v>
      </c>
      <c r="BK256" s="3">
        <f t="shared" si="257"/>
        <v>-31624964.445691586</v>
      </c>
      <c r="BL256" s="3">
        <v>5125764.0798773244</v>
      </c>
      <c r="BM256" s="177">
        <f t="shared" si="258"/>
        <v>56348754.640855066</v>
      </c>
      <c r="BN256" s="3"/>
      <c r="BR256" s="3"/>
      <c r="BS256" s="3"/>
      <c r="BT256" s="3"/>
      <c r="BU256" s="3"/>
      <c r="BV256" s="9"/>
      <c r="BW256" s="3"/>
      <c r="BX256" s="9"/>
      <c r="BY256" s="3"/>
      <c r="BZ256" s="3"/>
      <c r="CA256" s="3"/>
      <c r="CB256" s="3"/>
      <c r="CC256" s="4"/>
      <c r="CD256" s="3"/>
      <c r="CE256" s="3"/>
      <c r="CF256" s="3"/>
      <c r="CG256" s="3"/>
      <c r="CH256" s="3"/>
      <c r="CI256" s="3"/>
      <c r="CJ256" s="3"/>
      <c r="CK256" s="3"/>
      <c r="CL256" s="3"/>
      <c r="CM256" s="3"/>
      <c r="CN256" s="3"/>
      <c r="CO256" s="3"/>
      <c r="CP256" s="3"/>
    </row>
    <row r="257" spans="1:116" ht="13.5" thickBot="1">
      <c r="A257" s="2" t="s">
        <v>29</v>
      </c>
      <c r="B257" s="3">
        <f>SUM(B245:B256)</f>
        <v>0</v>
      </c>
      <c r="C257" s="3">
        <f t="shared" ref="C257:P257" si="269">SUM(C245:C256)</f>
        <v>0</v>
      </c>
      <c r="D257" s="3">
        <f t="shared" si="269"/>
        <v>50272922</v>
      </c>
      <c r="E257" s="3">
        <f t="shared" si="269"/>
        <v>166292775</v>
      </c>
      <c r="F257" s="3">
        <f t="shared" si="269"/>
        <v>171747164</v>
      </c>
      <c r="G257" s="3">
        <f t="shared" si="269"/>
        <v>135765543</v>
      </c>
      <c r="H257" s="3">
        <f t="shared" si="269"/>
        <v>184028971</v>
      </c>
      <c r="I257" s="3">
        <f t="shared" si="269"/>
        <v>199517243</v>
      </c>
      <c r="J257" s="3">
        <f t="shared" si="269"/>
        <v>203337808</v>
      </c>
      <c r="K257" s="3">
        <f t="shared" si="269"/>
        <v>301644041</v>
      </c>
      <c r="L257" s="3">
        <f t="shared" si="269"/>
        <v>357015229</v>
      </c>
      <c r="M257" s="3">
        <f t="shared" si="269"/>
        <v>370636066</v>
      </c>
      <c r="N257" s="3">
        <f t="shared" si="269"/>
        <v>350818488</v>
      </c>
      <c r="O257" s="3">
        <f t="shared" si="269"/>
        <v>392801518</v>
      </c>
      <c r="P257" s="3">
        <f t="shared" si="269"/>
        <v>311048385</v>
      </c>
      <c r="Q257" s="4">
        <f t="shared" ref="Q257:AQ257" si="270">Q15</f>
        <v>210578706.25</v>
      </c>
      <c r="R257" s="4">
        <f t="shared" si="270"/>
        <v>273752318.125</v>
      </c>
      <c r="S257" s="4">
        <f t="shared" si="270"/>
        <v>252694447.49999997</v>
      </c>
      <c r="T257" s="4">
        <f t="shared" si="270"/>
        <v>231636576.87500003</v>
      </c>
      <c r="U257" s="4">
        <f t="shared" si="270"/>
        <v>210578706.25</v>
      </c>
      <c r="V257" s="4">
        <f t="shared" si="270"/>
        <v>189520835.625</v>
      </c>
      <c r="W257" s="4">
        <f t="shared" si="270"/>
        <v>189520835.625</v>
      </c>
      <c r="X257" s="4">
        <f t="shared" si="270"/>
        <v>168462965.00000003</v>
      </c>
      <c r="Y257" s="4">
        <f t="shared" si="270"/>
        <v>160039816.75</v>
      </c>
      <c r="Z257" s="4">
        <f t="shared" si="270"/>
        <v>151616668.5</v>
      </c>
      <c r="AA257" s="4">
        <f t="shared" si="270"/>
        <v>151616668.5</v>
      </c>
      <c r="AB257" s="4">
        <f t="shared" si="270"/>
        <v>63173611.874999993</v>
      </c>
      <c r="AC257" s="4">
        <f t="shared" si="270"/>
        <v>42115741.250000007</v>
      </c>
      <c r="AD257" s="4">
        <f t="shared" si="270"/>
        <v>42115741.250000007</v>
      </c>
      <c r="AE257" s="4">
        <f t="shared" si="270"/>
        <v>42115741.250000007</v>
      </c>
      <c r="AF257" s="4">
        <f t="shared" si="270"/>
        <v>42115741.250000007</v>
      </c>
      <c r="AG257" s="4">
        <f t="shared" si="270"/>
        <v>42115741.250000007</v>
      </c>
      <c r="AH257" s="4">
        <f t="shared" si="270"/>
        <v>42115741.250000007</v>
      </c>
      <c r="AI257" s="4">
        <f t="shared" si="270"/>
        <v>42115741.250000007</v>
      </c>
      <c r="AJ257" s="4">
        <f t="shared" si="270"/>
        <v>42115741.250000007</v>
      </c>
      <c r="AK257" s="4">
        <f t="shared" si="270"/>
        <v>42115741.250000007</v>
      </c>
      <c r="AL257" s="4">
        <f t="shared" si="270"/>
        <v>42115741.250000007</v>
      </c>
      <c r="AM257" s="4">
        <f t="shared" si="270"/>
        <v>42115741.250000007</v>
      </c>
      <c r="AN257" s="4">
        <f t="shared" si="270"/>
        <v>42115741.250000007</v>
      </c>
      <c r="AO257" s="4">
        <f t="shared" si="270"/>
        <v>42115741.250000007</v>
      </c>
      <c r="AP257" s="4">
        <f t="shared" si="270"/>
        <v>42115741.250000007</v>
      </c>
      <c r="AQ257" s="4">
        <f t="shared" si="270"/>
        <v>42115741.250000007</v>
      </c>
      <c r="AR257" s="4"/>
      <c r="AS257" s="4"/>
      <c r="AT257" s="194"/>
      <c r="AU257" s="194"/>
      <c r="AV257" s="194"/>
      <c r="AW257" s="194"/>
      <c r="AX257" s="194"/>
      <c r="AY257" s="195"/>
      <c r="AZ257" s="196"/>
      <c r="BA257" s="195">
        <v>1743500000</v>
      </c>
      <c r="BB257" s="195">
        <f t="shared" si="266"/>
        <v>-1441855959</v>
      </c>
      <c r="BC257" s="195">
        <v>1815449146</v>
      </c>
      <c r="BD257" s="195">
        <f t="shared" si="264"/>
        <v>-1458433917</v>
      </c>
      <c r="BE257" s="195">
        <v>1717327970</v>
      </c>
      <c r="BF257" s="195">
        <f t="shared" si="265"/>
        <v>-1346691904</v>
      </c>
      <c r="BG257" s="195">
        <v>1653807613.0359092</v>
      </c>
      <c r="BH257" s="197">
        <f>(BH256/BH253)-1</f>
        <v>-0.57460852623263747</v>
      </c>
      <c r="BI257" s="3"/>
      <c r="BJ257" s="4">
        <v>400099541.87499988</v>
      </c>
      <c r="BK257" s="3">
        <f t="shared" si="257"/>
        <v>-89051156.874999881</v>
      </c>
      <c r="BL257" s="3">
        <v>42115741.249999978</v>
      </c>
      <c r="BM257" s="177">
        <f t="shared" si="258"/>
        <v>168462965.00000003</v>
      </c>
      <c r="BN257" s="3"/>
      <c r="BR257" s="3"/>
      <c r="BS257" s="3"/>
      <c r="BT257" s="3"/>
      <c r="BU257" s="3"/>
      <c r="BV257" s="9"/>
      <c r="BW257" s="3"/>
      <c r="BX257" s="9"/>
      <c r="BY257" s="3"/>
      <c r="BZ257" s="3"/>
      <c r="CA257" s="3"/>
      <c r="CB257" s="3"/>
      <c r="CC257" s="4"/>
      <c r="CD257" s="3"/>
      <c r="CE257" s="3"/>
      <c r="CF257" s="3"/>
      <c r="CG257" s="3"/>
      <c r="CH257" s="3"/>
      <c r="CI257" s="3"/>
      <c r="CJ257" s="3"/>
      <c r="CK257" s="3"/>
      <c r="CL257" s="3"/>
      <c r="CM257" s="3"/>
      <c r="CN257" s="3"/>
      <c r="CO257" s="3"/>
      <c r="CP257" s="3"/>
      <c r="CQ257" s="3"/>
      <c r="CR257" s="3"/>
      <c r="CS257" s="3"/>
      <c r="CT257" s="3"/>
      <c r="CU257" s="3"/>
      <c r="CV257" s="3"/>
      <c r="CW257" s="3"/>
      <c r="CX257" s="3"/>
    </row>
    <row r="258" spans="1:116">
      <c r="A258" s="114"/>
      <c r="B258" s="114"/>
      <c r="C258" s="114"/>
      <c r="D258" s="115">
        <f t="shared" ref="D258:M258" si="271">AVERAGE(D254:D256)/AVERAGE(D251:D253)</f>
        <v>2.1227905795430813</v>
      </c>
      <c r="E258" s="115">
        <f t="shared" si="271"/>
        <v>0.98887682109736363</v>
      </c>
      <c r="F258" s="115">
        <f t="shared" si="271"/>
        <v>0.63315290787272893</v>
      </c>
      <c r="G258" s="115">
        <f t="shared" si="271"/>
        <v>0.85662155704250809</v>
      </c>
      <c r="H258" s="115">
        <f t="shared" si="271"/>
        <v>0.75855833345357815</v>
      </c>
      <c r="I258" s="115">
        <f t="shared" si="271"/>
        <v>0.94738063945041051</v>
      </c>
      <c r="J258" s="115">
        <f t="shared" si="271"/>
        <v>0.59337495400724449</v>
      </c>
      <c r="K258" s="115">
        <f t="shared" si="271"/>
        <v>1.1814755330428237</v>
      </c>
      <c r="L258" s="115">
        <f t="shared" si="271"/>
        <v>1.0973713154646096</v>
      </c>
      <c r="M258" s="115">
        <f t="shared" si="271"/>
        <v>1.5894744490490325</v>
      </c>
      <c r="N258" s="115">
        <f>AVERAGE(N254:N256)/AVERAGE(N251:N253)</f>
        <v>1.5175492648231854</v>
      </c>
      <c r="O258" s="115">
        <f>AVERAGE(O254:O256)/AVERAGE(O251:O253)</f>
        <v>2.3194942489346668</v>
      </c>
      <c r="P258" s="208">
        <f>AVERAGE(P254:P256)/AVERAGE(P251:P253)</f>
        <v>0.42539147376736253</v>
      </c>
      <c r="Q258" s="115">
        <f>AVERAGE(Q254:Q256)/AVERAGE(Q251:Q253)</f>
        <v>2.0842607026737823</v>
      </c>
      <c r="R258" s="115">
        <f>AVERAGE(R254:R256)/AVERAGE(R251:R253)</f>
        <v>1.54660324268119</v>
      </c>
      <c r="S258" s="114"/>
      <c r="T258" s="114"/>
      <c r="U258" s="114"/>
      <c r="V258" s="114"/>
      <c r="W258" s="114"/>
      <c r="X258" s="114"/>
      <c r="Y258" s="114"/>
      <c r="Z258" s="114"/>
      <c r="AA258" s="114"/>
      <c r="AB258" s="114"/>
      <c r="AC258" s="114"/>
      <c r="AD258" s="114"/>
      <c r="AE258" s="114"/>
      <c r="AF258" s="114"/>
      <c r="AG258" s="114"/>
      <c r="AH258" s="114"/>
      <c r="AI258" s="114"/>
      <c r="AJ258" s="114"/>
      <c r="AK258" s="114"/>
      <c r="AL258" s="114"/>
      <c r="AM258" s="114"/>
      <c r="AN258" s="114"/>
      <c r="AO258" s="114"/>
      <c r="AP258" s="114"/>
      <c r="AQ258" s="114"/>
      <c r="AX258" s="4"/>
      <c r="AY258" s="3"/>
      <c r="BE258" s="4"/>
    </row>
    <row r="259" spans="1:116" ht="16.5" thickBot="1">
      <c r="A259" s="109" t="s">
        <v>322</v>
      </c>
      <c r="AX259" s="4"/>
      <c r="AY259" s="3"/>
      <c r="BE259" s="4"/>
    </row>
    <row r="260" spans="1:116" ht="13.5" thickBot="1">
      <c r="A260" s="110"/>
      <c r="B260" s="111">
        <f t="shared" ref="B260:K260" si="272">B2</f>
        <v>2010</v>
      </c>
      <c r="C260" s="111">
        <f t="shared" si="272"/>
        <v>2011</v>
      </c>
      <c r="D260" s="111">
        <f t="shared" si="272"/>
        <v>2012</v>
      </c>
      <c r="E260" s="111">
        <f t="shared" si="272"/>
        <v>2013</v>
      </c>
      <c r="F260" s="111">
        <f t="shared" si="272"/>
        <v>2014</v>
      </c>
      <c r="G260" s="111">
        <f t="shared" si="272"/>
        <v>2015</v>
      </c>
      <c r="H260" s="111">
        <f t="shared" si="272"/>
        <v>2016</v>
      </c>
      <c r="I260" s="111">
        <f t="shared" si="272"/>
        <v>2017</v>
      </c>
      <c r="J260" s="111">
        <f t="shared" si="272"/>
        <v>2018</v>
      </c>
      <c r="K260" s="111">
        <f t="shared" si="272"/>
        <v>2019</v>
      </c>
      <c r="L260" s="111">
        <f>L2</f>
        <v>2020</v>
      </c>
      <c r="M260" s="111">
        <f>M2</f>
        <v>2021</v>
      </c>
      <c r="N260" s="111">
        <f t="shared" ref="N260:AQ260" si="273">N2</f>
        <v>2022</v>
      </c>
      <c r="O260" s="111">
        <f t="shared" si="273"/>
        <v>2023</v>
      </c>
      <c r="P260" s="111">
        <f t="shared" si="273"/>
        <v>2024</v>
      </c>
      <c r="Q260" s="111">
        <f t="shared" si="273"/>
        <v>2025</v>
      </c>
      <c r="R260" s="111">
        <f t="shared" si="273"/>
        <v>2026</v>
      </c>
      <c r="S260" s="111">
        <f t="shared" si="273"/>
        <v>2027</v>
      </c>
      <c r="T260" s="111">
        <f t="shared" si="273"/>
        <v>2028</v>
      </c>
      <c r="U260" s="111">
        <f t="shared" si="273"/>
        <v>2029</v>
      </c>
      <c r="V260" s="111">
        <f t="shared" si="273"/>
        <v>2030</v>
      </c>
      <c r="W260" s="111">
        <f t="shared" si="273"/>
        <v>2031</v>
      </c>
      <c r="X260" s="111">
        <f t="shared" si="273"/>
        <v>2032</v>
      </c>
      <c r="Y260" s="111">
        <f t="shared" si="273"/>
        <v>2033</v>
      </c>
      <c r="Z260" s="111">
        <f t="shared" si="273"/>
        <v>2034</v>
      </c>
      <c r="AA260" s="111">
        <f t="shared" si="273"/>
        <v>2035</v>
      </c>
      <c r="AB260" s="111">
        <f t="shared" si="273"/>
        <v>2036</v>
      </c>
      <c r="AC260" s="111">
        <f t="shared" si="273"/>
        <v>2037</v>
      </c>
      <c r="AD260" s="111">
        <f t="shared" si="273"/>
        <v>2038</v>
      </c>
      <c r="AE260" s="111">
        <f t="shared" si="273"/>
        <v>2039</v>
      </c>
      <c r="AF260" s="111">
        <f t="shared" si="273"/>
        <v>2040</v>
      </c>
      <c r="AG260" s="111">
        <f t="shared" si="273"/>
        <v>2041</v>
      </c>
      <c r="AH260" s="111">
        <f t="shared" si="273"/>
        <v>2042</v>
      </c>
      <c r="AI260" s="111">
        <f t="shared" si="273"/>
        <v>2043</v>
      </c>
      <c r="AJ260" s="111">
        <f t="shared" si="273"/>
        <v>2044</v>
      </c>
      <c r="AK260" s="111">
        <f t="shared" si="273"/>
        <v>2045</v>
      </c>
      <c r="AL260" s="111">
        <f t="shared" si="273"/>
        <v>2046</v>
      </c>
      <c r="AM260" s="111">
        <f t="shared" si="273"/>
        <v>2047</v>
      </c>
      <c r="AN260" s="111">
        <f t="shared" si="273"/>
        <v>2048</v>
      </c>
      <c r="AO260" s="111">
        <f t="shared" si="273"/>
        <v>2049</v>
      </c>
      <c r="AP260" s="111">
        <f t="shared" si="273"/>
        <v>2050</v>
      </c>
      <c r="AQ260" s="111">
        <f t="shared" si="273"/>
        <v>2051</v>
      </c>
      <c r="AR260" s="94"/>
      <c r="AS260" s="94"/>
      <c r="AT260" s="94"/>
      <c r="AU260" s="94"/>
      <c r="AV260" s="94"/>
      <c r="AW260" s="94"/>
      <c r="AX260" s="4"/>
      <c r="AY260" s="3"/>
      <c r="BE260" s="4"/>
    </row>
    <row r="261" spans="1:116">
      <c r="A261" s="2" t="s">
        <v>43</v>
      </c>
      <c r="B261" s="3">
        <f t="shared" ref="B261:J272" si="274">B277+B293+B309</f>
        <v>0</v>
      </c>
      <c r="C261" s="3">
        <f t="shared" si="274"/>
        <v>0</v>
      </c>
      <c r="D261" s="3">
        <f t="shared" si="274"/>
        <v>0</v>
      </c>
      <c r="E261" s="3">
        <f t="shared" si="274"/>
        <v>0</v>
      </c>
      <c r="F261" s="3">
        <f t="shared" si="274"/>
        <v>5612400</v>
      </c>
      <c r="G261" s="3">
        <f t="shared" si="274"/>
        <v>0</v>
      </c>
      <c r="H261" s="3">
        <f t="shared" si="274"/>
        <v>0</v>
      </c>
      <c r="I261" s="3">
        <f t="shared" si="274"/>
        <v>0</v>
      </c>
      <c r="J261" s="3">
        <f t="shared" si="274"/>
        <v>0</v>
      </c>
      <c r="K261" s="3">
        <f t="shared" ref="K261:AQ268" si="275">K280+K293+K309</f>
        <v>0</v>
      </c>
      <c r="L261" s="3">
        <f t="shared" si="275"/>
        <v>0</v>
      </c>
      <c r="M261" s="3">
        <f t="shared" si="275"/>
        <v>2859906</v>
      </c>
      <c r="N261" s="3">
        <f t="shared" si="275"/>
        <v>0</v>
      </c>
      <c r="O261" s="3">
        <f t="shared" si="275"/>
        <v>0</v>
      </c>
      <c r="P261" s="3">
        <f t="shared" si="275"/>
        <v>0</v>
      </c>
      <c r="Q261" s="3">
        <f t="shared" si="275"/>
        <v>0</v>
      </c>
      <c r="R261" s="4">
        <f t="shared" si="275"/>
        <v>0</v>
      </c>
      <c r="S261" s="4">
        <f t="shared" si="275"/>
        <v>0</v>
      </c>
      <c r="T261" s="4">
        <f t="shared" si="275"/>
        <v>0</v>
      </c>
      <c r="U261" s="4">
        <f t="shared" si="275"/>
        <v>0</v>
      </c>
      <c r="V261" s="4">
        <f t="shared" si="275"/>
        <v>0</v>
      </c>
      <c r="W261" s="4">
        <f t="shared" si="275"/>
        <v>0</v>
      </c>
      <c r="X261" s="4">
        <f t="shared" si="275"/>
        <v>0</v>
      </c>
      <c r="Y261" s="4">
        <f t="shared" si="275"/>
        <v>0</v>
      </c>
      <c r="Z261" s="4">
        <f t="shared" si="275"/>
        <v>0</v>
      </c>
      <c r="AA261" s="4">
        <f t="shared" si="275"/>
        <v>0</v>
      </c>
      <c r="AB261" s="4">
        <f t="shared" si="275"/>
        <v>0</v>
      </c>
      <c r="AC261" s="4">
        <f t="shared" si="275"/>
        <v>0</v>
      </c>
      <c r="AD261" s="4">
        <f t="shared" si="275"/>
        <v>0</v>
      </c>
      <c r="AE261" s="4">
        <f t="shared" si="275"/>
        <v>0</v>
      </c>
      <c r="AF261" s="4">
        <f t="shared" si="275"/>
        <v>0</v>
      </c>
      <c r="AG261" s="4">
        <f t="shared" si="275"/>
        <v>0</v>
      </c>
      <c r="AH261" s="4">
        <f t="shared" si="275"/>
        <v>0</v>
      </c>
      <c r="AI261" s="4">
        <f t="shared" si="275"/>
        <v>0</v>
      </c>
      <c r="AJ261" s="4">
        <f t="shared" si="275"/>
        <v>0</v>
      </c>
      <c r="AK261" s="4">
        <f t="shared" si="275"/>
        <v>0</v>
      </c>
      <c r="AL261" s="4">
        <f t="shared" si="275"/>
        <v>0</v>
      </c>
      <c r="AM261" s="4">
        <f t="shared" si="275"/>
        <v>0</v>
      </c>
      <c r="AN261" s="4">
        <f t="shared" si="275"/>
        <v>0</v>
      </c>
      <c r="AO261" s="4">
        <f t="shared" si="275"/>
        <v>0</v>
      </c>
      <c r="AP261" s="4">
        <f t="shared" si="275"/>
        <v>0</v>
      </c>
      <c r="AQ261" s="4">
        <f t="shared" si="275"/>
        <v>3</v>
      </c>
      <c r="AR261" s="4"/>
      <c r="AS261" s="4"/>
      <c r="AT261" s="4"/>
      <c r="AU261" s="4"/>
      <c r="AV261" s="4"/>
      <c r="AW261" s="4"/>
      <c r="AX261" s="4"/>
      <c r="AY261" s="3"/>
      <c r="BC261" s="3">
        <v>0</v>
      </c>
      <c r="BD261" s="3">
        <f t="shared" ref="BD261:BD273" si="276">L261-BC261</f>
        <v>0</v>
      </c>
      <c r="BE261" s="3">
        <v>0</v>
      </c>
      <c r="BF261" s="3">
        <f t="shared" ref="BF261:BF273" si="277">M261-BE261</f>
        <v>2859906</v>
      </c>
      <c r="BG261" s="3">
        <v>0</v>
      </c>
      <c r="BH261" s="3"/>
      <c r="BI261" s="3"/>
      <c r="BJ261" s="3">
        <v>0</v>
      </c>
      <c r="BK261" s="3">
        <f t="shared" ref="BK261:BK273" si="278">P261-BJ261</f>
        <v>0</v>
      </c>
      <c r="BL261" s="3">
        <f t="shared" ref="BL261:BL273" si="279">N261-BG261</f>
        <v>0</v>
      </c>
      <c r="BM261" s="177">
        <f t="shared" ref="BM261:BM273" si="280">Q261-BL261</f>
        <v>0</v>
      </c>
      <c r="BN261" s="3"/>
      <c r="BR261" s="3"/>
      <c r="BS261" s="3"/>
      <c r="BT261" s="3"/>
      <c r="BU261" s="3"/>
      <c r="BV261" s="3"/>
      <c r="BW261" s="3"/>
      <c r="BX261" s="3"/>
      <c r="BY261" s="3"/>
      <c r="BZ261" s="3"/>
      <c r="CA261" s="3"/>
      <c r="CB261" s="3"/>
      <c r="CC261" s="4"/>
      <c r="CD261" s="3"/>
      <c r="CE261" s="3"/>
      <c r="CF261" s="3"/>
      <c r="CG261" s="3"/>
      <c r="CH261" s="3"/>
      <c r="CI261" s="3"/>
      <c r="CJ261" s="3"/>
      <c r="CK261" s="3"/>
      <c r="CL261" s="3"/>
      <c r="CM261" s="3"/>
      <c r="CN261" s="3"/>
      <c r="CO261" s="3"/>
      <c r="CP261" s="3"/>
      <c r="CQ261" s="3"/>
      <c r="CR261" s="3"/>
      <c r="CS261" s="3"/>
      <c r="CT261" s="3"/>
      <c r="CU261" s="3"/>
      <c r="CV261" s="3"/>
      <c r="CW261" s="3"/>
      <c r="CX261" s="3"/>
      <c r="DD261" s="3"/>
      <c r="DE261" s="3"/>
      <c r="DF261" s="3"/>
      <c r="DG261" s="3"/>
      <c r="DH261" s="3"/>
      <c r="DI261" s="3"/>
      <c r="DJ261" s="3"/>
      <c r="DK261" s="3"/>
      <c r="DL261" s="3"/>
    </row>
    <row r="262" spans="1:116">
      <c r="A262" s="2" t="s">
        <v>44</v>
      </c>
      <c r="B262" s="3">
        <f t="shared" si="274"/>
        <v>0</v>
      </c>
      <c r="C262" s="3">
        <f t="shared" si="274"/>
        <v>0</v>
      </c>
      <c r="D262" s="3">
        <f t="shared" si="274"/>
        <v>0</v>
      </c>
      <c r="E262" s="3">
        <f t="shared" si="274"/>
        <v>2405892</v>
      </c>
      <c r="F262" s="3">
        <f t="shared" si="274"/>
        <v>0</v>
      </c>
      <c r="G262" s="3">
        <f t="shared" si="274"/>
        <v>0</v>
      </c>
      <c r="H262" s="3">
        <f t="shared" si="274"/>
        <v>0</v>
      </c>
      <c r="I262" s="3">
        <f t="shared" si="274"/>
        <v>0</v>
      </c>
      <c r="J262" s="3">
        <f t="shared" si="274"/>
        <v>0</v>
      </c>
      <c r="K262" s="3">
        <f t="shared" si="275"/>
        <v>0</v>
      </c>
      <c r="L262" s="3">
        <f t="shared" si="275"/>
        <v>0</v>
      </c>
      <c r="M262" s="3">
        <f t="shared" si="275"/>
        <v>0</v>
      </c>
      <c r="N262" s="3">
        <f t="shared" si="275"/>
        <v>0</v>
      </c>
      <c r="O262" s="3">
        <f t="shared" si="275"/>
        <v>0</v>
      </c>
      <c r="P262" s="3">
        <f t="shared" si="275"/>
        <v>0</v>
      </c>
      <c r="Q262" s="3">
        <f t="shared" si="275"/>
        <v>0</v>
      </c>
      <c r="R262" s="4">
        <f t="shared" si="275"/>
        <v>0</v>
      </c>
      <c r="S262" s="4">
        <f t="shared" si="275"/>
        <v>0</v>
      </c>
      <c r="T262" s="4">
        <f t="shared" si="275"/>
        <v>0</v>
      </c>
      <c r="U262" s="4">
        <f t="shared" si="275"/>
        <v>0</v>
      </c>
      <c r="V262" s="4">
        <f t="shared" si="275"/>
        <v>0</v>
      </c>
      <c r="W262" s="4">
        <f t="shared" si="275"/>
        <v>0</v>
      </c>
      <c r="X262" s="4">
        <f t="shared" si="275"/>
        <v>0</v>
      </c>
      <c r="Y262" s="4">
        <f t="shared" si="275"/>
        <v>0</v>
      </c>
      <c r="Z262" s="4">
        <f t="shared" si="275"/>
        <v>0</v>
      </c>
      <c r="AA262" s="4">
        <f t="shared" si="275"/>
        <v>0</v>
      </c>
      <c r="AB262" s="4">
        <f t="shared" si="275"/>
        <v>0</v>
      </c>
      <c r="AC262" s="4">
        <f t="shared" si="275"/>
        <v>0</v>
      </c>
      <c r="AD262" s="4">
        <f t="shared" si="275"/>
        <v>0</v>
      </c>
      <c r="AE262" s="4">
        <f t="shared" si="275"/>
        <v>0</v>
      </c>
      <c r="AF262" s="4">
        <f t="shared" si="275"/>
        <v>0</v>
      </c>
      <c r="AG262" s="4">
        <f t="shared" si="275"/>
        <v>0</v>
      </c>
      <c r="AH262" s="4">
        <f t="shared" si="275"/>
        <v>0</v>
      </c>
      <c r="AI262" s="4">
        <f t="shared" si="275"/>
        <v>0</v>
      </c>
      <c r="AJ262" s="4">
        <f t="shared" si="275"/>
        <v>0</v>
      </c>
      <c r="AK262" s="4">
        <f t="shared" si="275"/>
        <v>0</v>
      </c>
      <c r="AL262" s="4">
        <f t="shared" si="275"/>
        <v>0</v>
      </c>
      <c r="AM262" s="4">
        <f t="shared" si="275"/>
        <v>0</v>
      </c>
      <c r="AN262" s="4">
        <f t="shared" si="275"/>
        <v>0</v>
      </c>
      <c r="AO262" s="4">
        <f t="shared" si="275"/>
        <v>0</v>
      </c>
      <c r="AP262" s="4">
        <f t="shared" si="275"/>
        <v>0</v>
      </c>
      <c r="AQ262" s="4">
        <f t="shared" si="275"/>
        <v>3</v>
      </c>
      <c r="AR262" s="4"/>
      <c r="AS262" s="4"/>
      <c r="AT262" s="4"/>
      <c r="AU262" s="4"/>
      <c r="AV262" s="4"/>
      <c r="AW262" s="4"/>
      <c r="AX262" s="4"/>
      <c r="AY262" s="3"/>
      <c r="BC262" s="3">
        <v>0</v>
      </c>
      <c r="BD262" s="3">
        <f t="shared" si="276"/>
        <v>0</v>
      </c>
      <c r="BE262" s="3">
        <v>0</v>
      </c>
      <c r="BF262" s="3">
        <f t="shared" si="277"/>
        <v>0</v>
      </c>
      <c r="BG262" s="3">
        <v>0</v>
      </c>
      <c r="BH262" s="3"/>
      <c r="BI262" s="3"/>
      <c r="BJ262" s="3">
        <v>0</v>
      </c>
      <c r="BK262" s="3">
        <f t="shared" si="278"/>
        <v>0</v>
      </c>
      <c r="BL262" s="3">
        <f t="shared" si="279"/>
        <v>0</v>
      </c>
      <c r="BM262" s="177">
        <f t="shared" si="280"/>
        <v>0</v>
      </c>
      <c r="BN262" s="3"/>
      <c r="BR262" s="3"/>
      <c r="BS262" s="3"/>
      <c r="BT262" s="3"/>
      <c r="BU262" s="3"/>
      <c r="BV262" s="3"/>
      <c r="BW262" s="3"/>
      <c r="BX262" s="3"/>
      <c r="BY262" s="3"/>
      <c r="BZ262" s="3"/>
      <c r="CA262" s="3"/>
      <c r="CB262" s="3"/>
      <c r="CC262" s="4"/>
      <c r="CD262" s="3"/>
      <c r="CE262" s="3"/>
      <c r="CF262" s="3"/>
      <c r="CG262" s="3"/>
      <c r="CH262" s="3"/>
      <c r="CI262" s="3"/>
      <c r="CJ262" s="3"/>
      <c r="CK262" s="3"/>
      <c r="CL262" s="3"/>
      <c r="CM262" s="3"/>
      <c r="CN262" s="3"/>
      <c r="CO262" s="3"/>
      <c r="CP262" s="3"/>
      <c r="CQ262" s="3"/>
      <c r="CR262" s="3"/>
      <c r="CS262" s="3"/>
      <c r="CT262" s="3"/>
      <c r="CU262" s="3"/>
      <c r="CV262" s="3"/>
      <c r="CW262" s="3"/>
      <c r="CX262" s="3"/>
      <c r="DD262" s="3"/>
      <c r="DE262" s="3"/>
      <c r="DF262" s="3"/>
      <c r="DG262" s="3"/>
      <c r="DH262" s="3"/>
      <c r="DI262" s="3"/>
      <c r="DJ262" s="3"/>
      <c r="DK262" s="3"/>
      <c r="DL262" s="3"/>
    </row>
    <row r="263" spans="1:116">
      <c r="A263" s="2" t="s">
        <v>45</v>
      </c>
      <c r="B263" s="3">
        <f t="shared" si="274"/>
        <v>0</v>
      </c>
      <c r="C263" s="3">
        <f t="shared" si="274"/>
        <v>0</v>
      </c>
      <c r="D263" s="3">
        <f t="shared" si="274"/>
        <v>0</v>
      </c>
      <c r="E263" s="3">
        <f t="shared" si="274"/>
        <v>4938884</v>
      </c>
      <c r="F263" s="3">
        <f t="shared" si="274"/>
        <v>0</v>
      </c>
      <c r="G263" s="3">
        <f t="shared" si="274"/>
        <v>0</v>
      </c>
      <c r="H263" s="3">
        <f t="shared" si="274"/>
        <v>0</v>
      </c>
      <c r="I263" s="3">
        <f t="shared" si="274"/>
        <v>0</v>
      </c>
      <c r="J263" s="3">
        <f t="shared" si="274"/>
        <v>0</v>
      </c>
      <c r="K263" s="3">
        <f t="shared" si="275"/>
        <v>0</v>
      </c>
      <c r="L263" s="3">
        <f t="shared" si="275"/>
        <v>0</v>
      </c>
      <c r="M263" s="3">
        <f t="shared" si="275"/>
        <v>0</v>
      </c>
      <c r="N263" s="3">
        <f t="shared" si="275"/>
        <v>0</v>
      </c>
      <c r="O263" s="3">
        <f t="shared" si="275"/>
        <v>0</v>
      </c>
      <c r="P263" s="3">
        <f t="shared" si="275"/>
        <v>0</v>
      </c>
      <c r="Q263" s="3">
        <f t="shared" si="275"/>
        <v>12677402</v>
      </c>
      <c r="R263" s="4">
        <f t="shared" si="275"/>
        <v>0</v>
      </c>
      <c r="S263" s="4">
        <f t="shared" si="275"/>
        <v>0</v>
      </c>
      <c r="T263" s="4">
        <f t="shared" si="275"/>
        <v>0</v>
      </c>
      <c r="U263" s="4">
        <f t="shared" si="275"/>
        <v>0</v>
      </c>
      <c r="V263" s="4">
        <f t="shared" si="275"/>
        <v>0</v>
      </c>
      <c r="W263" s="4">
        <f t="shared" si="275"/>
        <v>0</v>
      </c>
      <c r="X263" s="4">
        <f t="shared" si="275"/>
        <v>0</v>
      </c>
      <c r="Y263" s="4">
        <f t="shared" si="275"/>
        <v>0</v>
      </c>
      <c r="Z263" s="4">
        <f t="shared" si="275"/>
        <v>0</v>
      </c>
      <c r="AA263" s="4">
        <f t="shared" si="275"/>
        <v>0</v>
      </c>
      <c r="AB263" s="4">
        <f t="shared" si="275"/>
        <v>0</v>
      </c>
      <c r="AC263" s="4">
        <f t="shared" si="275"/>
        <v>0</v>
      </c>
      <c r="AD263" s="4">
        <f t="shared" si="275"/>
        <v>0</v>
      </c>
      <c r="AE263" s="4">
        <f t="shared" si="275"/>
        <v>0</v>
      </c>
      <c r="AF263" s="4">
        <f t="shared" si="275"/>
        <v>0</v>
      </c>
      <c r="AG263" s="4">
        <f t="shared" si="275"/>
        <v>0</v>
      </c>
      <c r="AH263" s="4">
        <f t="shared" si="275"/>
        <v>0</v>
      </c>
      <c r="AI263" s="4">
        <f t="shared" si="275"/>
        <v>0</v>
      </c>
      <c r="AJ263" s="4">
        <f t="shared" si="275"/>
        <v>0</v>
      </c>
      <c r="AK263" s="4">
        <f t="shared" si="275"/>
        <v>0</v>
      </c>
      <c r="AL263" s="4">
        <f t="shared" si="275"/>
        <v>0</v>
      </c>
      <c r="AM263" s="4">
        <f t="shared" si="275"/>
        <v>0</v>
      </c>
      <c r="AN263" s="4">
        <f t="shared" si="275"/>
        <v>0</v>
      </c>
      <c r="AO263" s="4">
        <f t="shared" si="275"/>
        <v>0</v>
      </c>
      <c r="AP263" s="4">
        <f t="shared" si="275"/>
        <v>0</v>
      </c>
      <c r="AQ263" s="4">
        <f t="shared" si="275"/>
        <v>3</v>
      </c>
      <c r="AR263" s="4"/>
      <c r="AS263" s="4"/>
      <c r="AT263" s="4"/>
      <c r="AU263" s="4"/>
      <c r="AV263" s="4"/>
      <c r="AW263" s="4"/>
      <c r="AX263" s="4"/>
      <c r="AY263" s="3"/>
      <c r="BC263" s="3">
        <v>0</v>
      </c>
      <c r="BD263" s="3">
        <f t="shared" si="276"/>
        <v>0</v>
      </c>
      <c r="BE263" s="3">
        <v>0</v>
      </c>
      <c r="BF263" s="3">
        <f t="shared" si="277"/>
        <v>0</v>
      </c>
      <c r="BG263" s="3">
        <v>0</v>
      </c>
      <c r="BH263" s="3"/>
      <c r="BI263" s="3"/>
      <c r="BJ263" s="3">
        <v>0</v>
      </c>
      <c r="BK263" s="3">
        <f t="shared" si="278"/>
        <v>0</v>
      </c>
      <c r="BL263" s="3">
        <f t="shared" si="279"/>
        <v>0</v>
      </c>
      <c r="BM263" s="177">
        <f t="shared" si="280"/>
        <v>12677402</v>
      </c>
      <c r="BN263" s="3"/>
      <c r="BR263" s="3"/>
      <c r="BS263" s="3"/>
      <c r="BT263" s="3"/>
      <c r="BU263" s="3"/>
      <c r="BV263" s="3"/>
      <c r="BW263" s="3"/>
      <c r="BX263" s="3"/>
      <c r="BY263" s="3"/>
      <c r="BZ263" s="3"/>
      <c r="CA263" s="3"/>
      <c r="CB263" s="3"/>
      <c r="CC263" s="4"/>
      <c r="CD263" s="3"/>
      <c r="CE263" s="3"/>
      <c r="CF263" s="3"/>
      <c r="CG263" s="3"/>
      <c r="CH263" s="3"/>
      <c r="CI263" s="3"/>
      <c r="CJ263" s="3"/>
      <c r="CK263" s="3"/>
      <c r="CL263" s="3"/>
      <c r="CM263" s="3"/>
      <c r="CN263" s="3"/>
      <c r="CO263" s="3"/>
      <c r="CP263" s="3"/>
      <c r="CQ263" s="3"/>
      <c r="CR263" s="3"/>
      <c r="CS263" s="3"/>
      <c r="CT263" s="3"/>
      <c r="CU263" s="3"/>
      <c r="CV263" s="3"/>
      <c r="CW263" s="3"/>
      <c r="CX263" s="3"/>
      <c r="DD263" s="3"/>
      <c r="DE263" s="3"/>
      <c r="DF263" s="3"/>
      <c r="DG263" s="3"/>
      <c r="DH263" s="3"/>
      <c r="DI263" s="3"/>
      <c r="DJ263" s="3"/>
      <c r="DK263" s="3"/>
      <c r="DL263" s="3"/>
    </row>
    <row r="264" spans="1:116">
      <c r="A264" s="2" t="s">
        <v>46</v>
      </c>
      <c r="B264" s="3">
        <f t="shared" si="274"/>
        <v>0</v>
      </c>
      <c r="C264" s="3">
        <f t="shared" si="274"/>
        <v>0</v>
      </c>
      <c r="D264" s="3">
        <f t="shared" si="274"/>
        <v>0</v>
      </c>
      <c r="E264" s="3">
        <f t="shared" si="274"/>
        <v>0</v>
      </c>
      <c r="F264" s="3">
        <f t="shared" si="274"/>
        <v>0</v>
      </c>
      <c r="G264" s="3">
        <f t="shared" si="274"/>
        <v>0</v>
      </c>
      <c r="H264" s="3">
        <f t="shared" si="274"/>
        <v>0</v>
      </c>
      <c r="I264" s="3">
        <f t="shared" si="274"/>
        <v>0</v>
      </c>
      <c r="J264" s="3">
        <f t="shared" si="274"/>
        <v>0</v>
      </c>
      <c r="K264" s="3">
        <f t="shared" si="275"/>
        <v>0</v>
      </c>
      <c r="L264" s="3">
        <f t="shared" si="275"/>
        <v>0</v>
      </c>
      <c r="M264" s="3">
        <f t="shared" si="275"/>
        <v>0</v>
      </c>
      <c r="N264" s="3">
        <f t="shared" si="275"/>
        <v>0</v>
      </c>
      <c r="O264" s="3">
        <f t="shared" si="275"/>
        <v>0</v>
      </c>
      <c r="P264" s="3">
        <f t="shared" si="275"/>
        <v>0</v>
      </c>
      <c r="Q264" s="3">
        <f t="shared" si="275"/>
        <v>0</v>
      </c>
      <c r="R264" s="4">
        <f t="shared" si="275"/>
        <v>0</v>
      </c>
      <c r="S264" s="4">
        <f t="shared" si="275"/>
        <v>0</v>
      </c>
      <c r="T264" s="4">
        <f t="shared" si="275"/>
        <v>0</v>
      </c>
      <c r="U264" s="4">
        <f t="shared" si="275"/>
        <v>0</v>
      </c>
      <c r="V264" s="4">
        <f t="shared" si="275"/>
        <v>0</v>
      </c>
      <c r="W264" s="4">
        <f t="shared" si="275"/>
        <v>0</v>
      </c>
      <c r="X264" s="4">
        <f t="shared" si="275"/>
        <v>0</v>
      </c>
      <c r="Y264" s="4">
        <f t="shared" si="275"/>
        <v>0</v>
      </c>
      <c r="Z264" s="4">
        <f t="shared" si="275"/>
        <v>0</v>
      </c>
      <c r="AA264" s="4">
        <f t="shared" si="275"/>
        <v>0</v>
      </c>
      <c r="AB264" s="4">
        <f t="shared" si="275"/>
        <v>0</v>
      </c>
      <c r="AC264" s="4">
        <f t="shared" si="275"/>
        <v>0</v>
      </c>
      <c r="AD264" s="4">
        <f t="shared" si="275"/>
        <v>0</v>
      </c>
      <c r="AE264" s="4">
        <f t="shared" si="275"/>
        <v>0</v>
      </c>
      <c r="AF264" s="4">
        <f t="shared" si="275"/>
        <v>0</v>
      </c>
      <c r="AG264" s="4">
        <f t="shared" si="275"/>
        <v>0</v>
      </c>
      <c r="AH264" s="4">
        <f t="shared" si="275"/>
        <v>0</v>
      </c>
      <c r="AI264" s="4">
        <f t="shared" si="275"/>
        <v>0</v>
      </c>
      <c r="AJ264" s="4">
        <f t="shared" si="275"/>
        <v>0</v>
      </c>
      <c r="AK264" s="4">
        <f t="shared" si="275"/>
        <v>0</v>
      </c>
      <c r="AL264" s="4">
        <f t="shared" si="275"/>
        <v>0</v>
      </c>
      <c r="AM264" s="4">
        <f t="shared" si="275"/>
        <v>0</v>
      </c>
      <c r="AN264" s="4">
        <f t="shared" si="275"/>
        <v>0</v>
      </c>
      <c r="AO264" s="4">
        <f t="shared" si="275"/>
        <v>0</v>
      </c>
      <c r="AP264" s="4">
        <f t="shared" si="275"/>
        <v>0</v>
      </c>
      <c r="AQ264" s="4">
        <f t="shared" si="275"/>
        <v>3</v>
      </c>
      <c r="AR264" s="4"/>
      <c r="AS264" s="4"/>
      <c r="AT264" s="4"/>
      <c r="AU264" s="4"/>
      <c r="AV264" s="4"/>
      <c r="AW264" s="4"/>
      <c r="AX264" s="4"/>
      <c r="AY264" s="3"/>
      <c r="BC264" s="3">
        <v>0</v>
      </c>
      <c r="BD264" s="3">
        <f t="shared" si="276"/>
        <v>0</v>
      </c>
      <c r="BE264" s="3">
        <v>0</v>
      </c>
      <c r="BF264" s="3">
        <f t="shared" si="277"/>
        <v>0</v>
      </c>
      <c r="BG264" s="3">
        <v>0</v>
      </c>
      <c r="BH264" s="3"/>
      <c r="BI264" s="3"/>
      <c r="BJ264" s="4">
        <v>0</v>
      </c>
      <c r="BK264" s="3">
        <f t="shared" si="278"/>
        <v>0</v>
      </c>
      <c r="BL264" s="3">
        <f t="shared" si="279"/>
        <v>0</v>
      </c>
      <c r="BM264" s="177">
        <f t="shared" si="280"/>
        <v>0</v>
      </c>
      <c r="BN264" s="3"/>
      <c r="BR264" s="3"/>
      <c r="BS264" s="3"/>
      <c r="BT264" s="3"/>
      <c r="BU264" s="3"/>
      <c r="BV264" s="3"/>
      <c r="BW264" s="3"/>
      <c r="BX264" s="3"/>
      <c r="BY264" s="3"/>
      <c r="BZ264" s="3"/>
      <c r="CA264" s="3"/>
      <c r="CB264" s="3"/>
      <c r="CC264" s="4"/>
      <c r="CD264" s="3"/>
      <c r="CE264" s="3"/>
      <c r="CF264" s="3"/>
      <c r="CG264" s="3"/>
      <c r="CH264" s="3"/>
      <c r="CI264" s="3"/>
      <c r="CJ264" s="3"/>
      <c r="CK264" s="3"/>
      <c r="CL264" s="3"/>
      <c r="CM264" s="3"/>
      <c r="CN264" s="3"/>
      <c r="CO264" s="3"/>
      <c r="CP264" s="3"/>
      <c r="CQ264" s="3"/>
      <c r="CR264" s="3"/>
      <c r="CS264" s="3"/>
      <c r="CT264" s="3"/>
      <c r="CU264" s="3"/>
      <c r="CV264" s="3"/>
      <c r="CW264" s="3"/>
      <c r="CX264" s="3"/>
      <c r="DD264" s="3"/>
      <c r="DE264" s="3"/>
      <c r="DF264" s="3"/>
      <c r="DG264" s="3"/>
      <c r="DH264" s="3"/>
      <c r="DI264" s="3"/>
      <c r="DJ264" s="3"/>
      <c r="DK264" s="3"/>
      <c r="DL264" s="3"/>
    </row>
    <row r="265" spans="1:116">
      <c r="A265" s="2" t="s">
        <v>47</v>
      </c>
      <c r="B265" s="3">
        <f t="shared" si="274"/>
        <v>0</v>
      </c>
      <c r="C265" s="3">
        <f t="shared" si="274"/>
        <v>0</v>
      </c>
      <c r="D265" s="3">
        <f t="shared" si="274"/>
        <v>0</v>
      </c>
      <c r="E265" s="3">
        <f t="shared" si="274"/>
        <v>0</v>
      </c>
      <c r="F265" s="3">
        <f t="shared" si="274"/>
        <v>0</v>
      </c>
      <c r="G265" s="3">
        <f t="shared" si="274"/>
        <v>0</v>
      </c>
      <c r="H265" s="3">
        <f t="shared" si="274"/>
        <v>0</v>
      </c>
      <c r="I265" s="3">
        <f t="shared" si="274"/>
        <v>0</v>
      </c>
      <c r="J265" s="3">
        <f t="shared" si="274"/>
        <v>0</v>
      </c>
      <c r="K265" s="3">
        <f t="shared" si="275"/>
        <v>0</v>
      </c>
      <c r="L265" s="3">
        <f t="shared" si="275"/>
        <v>0</v>
      </c>
      <c r="M265" s="3">
        <f t="shared" si="275"/>
        <v>0</v>
      </c>
      <c r="N265" s="3">
        <f t="shared" si="275"/>
        <v>0</v>
      </c>
      <c r="O265" s="3">
        <f t="shared" si="275"/>
        <v>0</v>
      </c>
      <c r="P265" s="3">
        <f t="shared" si="275"/>
        <v>0</v>
      </c>
      <c r="Q265" s="3">
        <f t="shared" si="275"/>
        <v>0</v>
      </c>
      <c r="R265" s="4">
        <f t="shared" si="275"/>
        <v>0</v>
      </c>
      <c r="S265" s="4">
        <f t="shared" si="275"/>
        <v>0</v>
      </c>
      <c r="T265" s="4">
        <f t="shared" si="275"/>
        <v>0</v>
      </c>
      <c r="U265" s="4">
        <f t="shared" si="275"/>
        <v>0</v>
      </c>
      <c r="V265" s="4">
        <f t="shared" si="275"/>
        <v>0</v>
      </c>
      <c r="W265" s="4">
        <f t="shared" si="275"/>
        <v>0</v>
      </c>
      <c r="X265" s="4">
        <f t="shared" si="275"/>
        <v>0</v>
      </c>
      <c r="Y265" s="4">
        <f t="shared" si="275"/>
        <v>0</v>
      </c>
      <c r="Z265" s="4">
        <f t="shared" si="275"/>
        <v>0</v>
      </c>
      <c r="AA265" s="4">
        <f t="shared" si="275"/>
        <v>0</v>
      </c>
      <c r="AB265" s="4">
        <f t="shared" si="275"/>
        <v>0</v>
      </c>
      <c r="AC265" s="4">
        <f t="shared" si="275"/>
        <v>0</v>
      </c>
      <c r="AD265" s="4">
        <f t="shared" si="275"/>
        <v>0</v>
      </c>
      <c r="AE265" s="4">
        <f t="shared" si="275"/>
        <v>0</v>
      </c>
      <c r="AF265" s="4">
        <f t="shared" si="275"/>
        <v>0</v>
      </c>
      <c r="AG265" s="4">
        <f t="shared" si="275"/>
        <v>0</v>
      </c>
      <c r="AH265" s="4">
        <f t="shared" si="275"/>
        <v>0</v>
      </c>
      <c r="AI265" s="4">
        <f t="shared" si="275"/>
        <v>0</v>
      </c>
      <c r="AJ265" s="4">
        <f t="shared" si="275"/>
        <v>0</v>
      </c>
      <c r="AK265" s="4">
        <f t="shared" si="275"/>
        <v>0</v>
      </c>
      <c r="AL265" s="4">
        <f t="shared" si="275"/>
        <v>0</v>
      </c>
      <c r="AM265" s="4">
        <f t="shared" si="275"/>
        <v>0</v>
      </c>
      <c r="AN265" s="4">
        <f t="shared" si="275"/>
        <v>0</v>
      </c>
      <c r="AO265" s="4">
        <f t="shared" si="275"/>
        <v>0</v>
      </c>
      <c r="AP265" s="4">
        <f t="shared" si="275"/>
        <v>0</v>
      </c>
      <c r="AQ265" s="4">
        <f t="shared" si="275"/>
        <v>3</v>
      </c>
      <c r="AR265" s="4"/>
      <c r="AS265" s="4"/>
      <c r="AT265" s="4"/>
      <c r="AU265" s="4"/>
      <c r="AV265" s="4"/>
      <c r="AW265" s="4"/>
      <c r="AX265" s="4"/>
      <c r="AY265" s="3"/>
      <c r="BA265" s="3">
        <v>0</v>
      </c>
      <c r="BB265" s="3">
        <f t="shared" ref="BB265:BB273" si="281">K265-BA265</f>
        <v>0</v>
      </c>
      <c r="BC265" s="3">
        <v>0</v>
      </c>
      <c r="BD265" s="3">
        <f t="shared" si="276"/>
        <v>0</v>
      </c>
      <c r="BE265" s="3">
        <v>0</v>
      </c>
      <c r="BF265" s="3">
        <f t="shared" si="277"/>
        <v>0</v>
      </c>
      <c r="BG265" s="3">
        <v>0</v>
      </c>
      <c r="BH265" s="3"/>
      <c r="BI265" s="3"/>
      <c r="BJ265" s="4">
        <v>0</v>
      </c>
      <c r="BK265" s="3">
        <f t="shared" si="278"/>
        <v>0</v>
      </c>
      <c r="BL265" s="3">
        <f t="shared" si="279"/>
        <v>0</v>
      </c>
      <c r="BM265" s="177">
        <f t="shared" si="280"/>
        <v>0</v>
      </c>
      <c r="BN265" s="3"/>
      <c r="BR265" s="3"/>
      <c r="BS265" s="3"/>
      <c r="BT265" s="3"/>
      <c r="BU265" s="3"/>
      <c r="BV265" s="3"/>
      <c r="BW265" s="3"/>
      <c r="BX265" s="3"/>
      <c r="BY265" s="3"/>
      <c r="BZ265" s="3"/>
      <c r="CA265" s="3"/>
      <c r="CB265" s="3"/>
      <c r="CC265" s="4"/>
      <c r="CD265" s="3"/>
      <c r="CE265" s="3"/>
      <c r="CF265" s="3"/>
      <c r="CG265" s="3"/>
      <c r="CH265" s="3"/>
      <c r="CI265" s="3"/>
      <c r="CJ265" s="3"/>
      <c r="CK265" s="3"/>
      <c r="CL265" s="3"/>
      <c r="CM265" s="3"/>
      <c r="CN265" s="3"/>
      <c r="CO265" s="3"/>
      <c r="CP265" s="3"/>
      <c r="CQ265" s="3"/>
      <c r="CR265" s="3"/>
      <c r="CS265" s="3"/>
      <c r="CT265" s="3"/>
      <c r="CU265" s="3"/>
      <c r="CV265" s="3"/>
      <c r="CW265" s="3"/>
      <c r="CX265" s="3"/>
      <c r="DD265" s="3"/>
      <c r="DE265" s="3"/>
      <c r="DF265" s="3"/>
      <c r="DG265" s="3"/>
      <c r="DH265" s="3"/>
      <c r="DI265" s="3"/>
      <c r="DJ265" s="3"/>
      <c r="DK265" s="3"/>
      <c r="DL265" s="3"/>
    </row>
    <row r="266" spans="1:116">
      <c r="A266" s="2" t="s">
        <v>48</v>
      </c>
      <c r="B266" s="3">
        <f t="shared" si="274"/>
        <v>0</v>
      </c>
      <c r="C266" s="3">
        <f t="shared" si="274"/>
        <v>0</v>
      </c>
      <c r="D266" s="3">
        <f t="shared" si="274"/>
        <v>0</v>
      </c>
      <c r="E266" s="3">
        <f t="shared" si="274"/>
        <v>4744730</v>
      </c>
      <c r="F266" s="3">
        <f t="shared" si="274"/>
        <v>0</v>
      </c>
      <c r="G266" s="3">
        <f t="shared" si="274"/>
        <v>0</v>
      </c>
      <c r="H266" s="3">
        <f t="shared" si="274"/>
        <v>0</v>
      </c>
      <c r="I266" s="3">
        <f t="shared" si="274"/>
        <v>0</v>
      </c>
      <c r="J266" s="3">
        <f t="shared" si="274"/>
        <v>0</v>
      </c>
      <c r="K266" s="3">
        <f t="shared" si="275"/>
        <v>0</v>
      </c>
      <c r="L266" s="3">
        <f t="shared" si="275"/>
        <v>0</v>
      </c>
      <c r="M266" s="3">
        <f t="shared" si="275"/>
        <v>0</v>
      </c>
      <c r="N266" s="3">
        <f t="shared" si="275"/>
        <v>0</v>
      </c>
      <c r="O266" s="3">
        <f t="shared" si="275"/>
        <v>0</v>
      </c>
      <c r="P266" s="3">
        <f t="shared" si="275"/>
        <v>0</v>
      </c>
      <c r="Q266" s="4">
        <f t="shared" si="275"/>
        <v>0</v>
      </c>
      <c r="R266" s="4">
        <f t="shared" si="275"/>
        <v>0</v>
      </c>
      <c r="S266" s="4">
        <f t="shared" si="275"/>
        <v>0</v>
      </c>
      <c r="T266" s="4">
        <f t="shared" si="275"/>
        <v>0</v>
      </c>
      <c r="U266" s="4">
        <f t="shared" si="275"/>
        <v>0</v>
      </c>
      <c r="V266" s="4">
        <f t="shared" si="275"/>
        <v>0</v>
      </c>
      <c r="W266" s="4">
        <f t="shared" si="275"/>
        <v>0</v>
      </c>
      <c r="X266" s="4">
        <f t="shared" si="275"/>
        <v>0</v>
      </c>
      <c r="Y266" s="4">
        <f t="shared" si="275"/>
        <v>0</v>
      </c>
      <c r="Z266" s="4">
        <f t="shared" si="275"/>
        <v>0</v>
      </c>
      <c r="AA266" s="4">
        <f t="shared" si="275"/>
        <v>0</v>
      </c>
      <c r="AB266" s="4">
        <f t="shared" si="275"/>
        <v>0</v>
      </c>
      <c r="AC266" s="4">
        <f t="shared" si="275"/>
        <v>0</v>
      </c>
      <c r="AD266" s="4">
        <f t="shared" si="275"/>
        <v>0</v>
      </c>
      <c r="AE266" s="4">
        <f t="shared" si="275"/>
        <v>0</v>
      </c>
      <c r="AF266" s="4">
        <f t="shared" si="275"/>
        <v>0</v>
      </c>
      <c r="AG266" s="4">
        <f t="shared" si="275"/>
        <v>0</v>
      </c>
      <c r="AH266" s="4">
        <f t="shared" si="275"/>
        <v>0</v>
      </c>
      <c r="AI266" s="4">
        <f t="shared" si="275"/>
        <v>0</v>
      </c>
      <c r="AJ266" s="4">
        <f t="shared" si="275"/>
        <v>0</v>
      </c>
      <c r="AK266" s="4">
        <f t="shared" si="275"/>
        <v>0</v>
      </c>
      <c r="AL266" s="4">
        <f t="shared" si="275"/>
        <v>0</v>
      </c>
      <c r="AM266" s="4">
        <f t="shared" si="275"/>
        <v>0</v>
      </c>
      <c r="AN266" s="4">
        <f t="shared" si="275"/>
        <v>0</v>
      </c>
      <c r="AO266" s="4">
        <f t="shared" si="275"/>
        <v>0</v>
      </c>
      <c r="AP266" s="4">
        <f t="shared" si="275"/>
        <v>0</v>
      </c>
      <c r="AQ266" s="4">
        <f t="shared" si="275"/>
        <v>3</v>
      </c>
      <c r="AR266" s="4"/>
      <c r="AS266" s="4"/>
      <c r="AT266" s="4"/>
      <c r="AU266" s="4"/>
      <c r="AV266" s="4"/>
      <c r="AW266" s="4"/>
      <c r="AX266" s="4"/>
      <c r="AY266" s="3"/>
      <c r="BA266" s="3">
        <v>0</v>
      </c>
      <c r="BB266" s="3">
        <f t="shared" si="281"/>
        <v>0</v>
      </c>
      <c r="BC266" s="3">
        <v>0</v>
      </c>
      <c r="BD266" s="3">
        <f t="shared" si="276"/>
        <v>0</v>
      </c>
      <c r="BE266" s="3">
        <v>0</v>
      </c>
      <c r="BF266" s="3">
        <f t="shared" si="277"/>
        <v>0</v>
      </c>
      <c r="BG266" s="3">
        <v>0</v>
      </c>
      <c r="BH266" s="3"/>
      <c r="BI266" s="3"/>
      <c r="BJ266" s="4">
        <v>0</v>
      </c>
      <c r="BK266" s="3">
        <f t="shared" si="278"/>
        <v>0</v>
      </c>
      <c r="BL266" s="3">
        <f t="shared" si="279"/>
        <v>0</v>
      </c>
      <c r="BM266" s="177">
        <f t="shared" si="280"/>
        <v>0</v>
      </c>
      <c r="BN266" s="3"/>
      <c r="BR266" s="3"/>
      <c r="BS266" s="3"/>
      <c r="BT266" s="3"/>
      <c r="BU266" s="3"/>
      <c r="BV266" s="3"/>
      <c r="BW266" s="3"/>
      <c r="BX266" s="3"/>
      <c r="BY266" s="3"/>
      <c r="BZ266" s="3"/>
      <c r="CA266" s="3"/>
      <c r="CB266" s="3"/>
      <c r="CC266" s="4"/>
      <c r="CD266" s="3"/>
      <c r="CE266" s="3"/>
      <c r="CF266" s="3"/>
      <c r="CG266" s="3"/>
      <c r="CH266" s="3"/>
      <c r="CI266" s="3"/>
      <c r="CJ266" s="3"/>
      <c r="CK266" s="3"/>
      <c r="CL266" s="3"/>
      <c r="CM266" s="3"/>
      <c r="CN266" s="3"/>
      <c r="CO266" s="3"/>
      <c r="CP266" s="3"/>
      <c r="CQ266" s="3"/>
      <c r="CR266" s="3"/>
      <c r="CS266" s="3"/>
      <c r="CT266" s="3"/>
      <c r="CU266" s="3"/>
      <c r="CV266" s="3"/>
      <c r="CW266" s="3"/>
      <c r="CX266" s="3"/>
      <c r="DD266" s="3"/>
      <c r="DE266" s="3"/>
      <c r="DF266" s="3"/>
      <c r="DG266" s="3"/>
      <c r="DH266" s="3"/>
      <c r="DI266" s="3"/>
      <c r="DJ266" s="3"/>
      <c r="DK266" s="3"/>
      <c r="DL266" s="4"/>
    </row>
    <row r="267" spans="1:116">
      <c r="A267" s="2" t="s">
        <v>49</v>
      </c>
      <c r="B267" s="3">
        <f t="shared" si="274"/>
        <v>0</v>
      </c>
      <c r="C267" s="3">
        <f t="shared" si="274"/>
        <v>0</v>
      </c>
      <c r="D267" s="3">
        <f t="shared" si="274"/>
        <v>0</v>
      </c>
      <c r="E267" s="3">
        <f t="shared" si="274"/>
        <v>7236919</v>
      </c>
      <c r="F267" s="3">
        <f t="shared" si="274"/>
        <v>0</v>
      </c>
      <c r="G267" s="3">
        <f t="shared" si="274"/>
        <v>0</v>
      </c>
      <c r="H267" s="3">
        <f t="shared" si="274"/>
        <v>0</v>
      </c>
      <c r="I267" s="3">
        <f t="shared" si="274"/>
        <v>0</v>
      </c>
      <c r="J267" s="3">
        <f t="shared" si="274"/>
        <v>0</v>
      </c>
      <c r="K267" s="3">
        <f t="shared" si="275"/>
        <v>0</v>
      </c>
      <c r="L267" s="3">
        <f t="shared" si="275"/>
        <v>0</v>
      </c>
      <c r="M267" s="3">
        <f t="shared" si="275"/>
        <v>0</v>
      </c>
      <c r="N267" s="3">
        <f t="shared" si="275"/>
        <v>0</v>
      </c>
      <c r="O267" s="3">
        <f t="shared" si="275"/>
        <v>0</v>
      </c>
      <c r="P267" s="3">
        <f t="shared" si="275"/>
        <v>25177925</v>
      </c>
      <c r="Q267" s="4">
        <f t="shared" si="275"/>
        <v>0</v>
      </c>
      <c r="R267" s="4">
        <f t="shared" si="275"/>
        <v>0</v>
      </c>
      <c r="S267" s="4">
        <f t="shared" si="275"/>
        <v>0</v>
      </c>
      <c r="T267" s="4">
        <f t="shared" si="275"/>
        <v>0</v>
      </c>
      <c r="U267" s="4">
        <f t="shared" si="275"/>
        <v>0</v>
      </c>
      <c r="V267" s="4">
        <f t="shared" si="275"/>
        <v>0</v>
      </c>
      <c r="W267" s="4">
        <f t="shared" si="275"/>
        <v>0</v>
      </c>
      <c r="X267" s="4">
        <f t="shared" si="275"/>
        <v>0</v>
      </c>
      <c r="Y267" s="4">
        <f t="shared" si="275"/>
        <v>0</v>
      </c>
      <c r="Z267" s="4">
        <f t="shared" si="275"/>
        <v>0</v>
      </c>
      <c r="AA267" s="4">
        <f t="shared" si="275"/>
        <v>0</v>
      </c>
      <c r="AB267" s="4">
        <f t="shared" si="275"/>
        <v>0</v>
      </c>
      <c r="AC267" s="4">
        <f t="shared" si="275"/>
        <v>0</v>
      </c>
      <c r="AD267" s="4">
        <f t="shared" si="275"/>
        <v>0</v>
      </c>
      <c r="AE267" s="4">
        <f t="shared" si="275"/>
        <v>0</v>
      </c>
      <c r="AF267" s="4">
        <f t="shared" si="275"/>
        <v>0</v>
      </c>
      <c r="AG267" s="4">
        <f t="shared" si="275"/>
        <v>0</v>
      </c>
      <c r="AH267" s="4">
        <f t="shared" si="275"/>
        <v>0</v>
      </c>
      <c r="AI267" s="4">
        <f t="shared" si="275"/>
        <v>0</v>
      </c>
      <c r="AJ267" s="4">
        <f t="shared" si="275"/>
        <v>0</v>
      </c>
      <c r="AK267" s="4">
        <f t="shared" si="275"/>
        <v>0</v>
      </c>
      <c r="AL267" s="4">
        <f t="shared" si="275"/>
        <v>0</v>
      </c>
      <c r="AM267" s="4">
        <f t="shared" si="275"/>
        <v>0</v>
      </c>
      <c r="AN267" s="4">
        <f t="shared" si="275"/>
        <v>0</v>
      </c>
      <c r="AO267" s="4">
        <f t="shared" si="275"/>
        <v>0</v>
      </c>
      <c r="AP267" s="4">
        <f t="shared" si="275"/>
        <v>0</v>
      </c>
      <c r="AQ267" s="4">
        <f t="shared" si="275"/>
        <v>3</v>
      </c>
      <c r="AR267" s="4"/>
      <c r="AS267" s="4"/>
      <c r="AT267" s="4"/>
      <c r="AU267" s="4"/>
      <c r="AV267" s="4"/>
      <c r="AW267" s="4"/>
      <c r="AX267" s="4"/>
      <c r="AY267" s="3"/>
      <c r="BA267" s="3">
        <v>0</v>
      </c>
      <c r="BB267" s="3">
        <f t="shared" si="281"/>
        <v>0</v>
      </c>
      <c r="BC267" s="3">
        <v>0</v>
      </c>
      <c r="BD267" s="3">
        <f t="shared" si="276"/>
        <v>0</v>
      </c>
      <c r="BE267" s="3">
        <v>0</v>
      </c>
      <c r="BF267" s="3">
        <f t="shared" si="277"/>
        <v>0</v>
      </c>
      <c r="BG267" s="3">
        <v>0</v>
      </c>
      <c r="BH267" s="3"/>
      <c r="BI267" s="3"/>
      <c r="BJ267" s="4">
        <v>25177925</v>
      </c>
      <c r="BK267" s="3">
        <f t="shared" si="278"/>
        <v>0</v>
      </c>
      <c r="BL267" s="3">
        <f t="shared" si="279"/>
        <v>0</v>
      </c>
      <c r="BM267" s="177">
        <f t="shared" si="280"/>
        <v>0</v>
      </c>
      <c r="BN267" s="3"/>
      <c r="BR267" s="3"/>
      <c r="BS267" s="3"/>
      <c r="BT267" s="3"/>
      <c r="BU267" s="3"/>
      <c r="BV267" s="3"/>
      <c r="BW267" s="3"/>
      <c r="BX267" s="3"/>
      <c r="BY267" s="3"/>
      <c r="BZ267" s="3"/>
      <c r="CA267" s="3"/>
      <c r="CB267" s="3"/>
      <c r="CC267" s="4"/>
      <c r="CD267" s="3"/>
      <c r="CE267" s="3"/>
      <c r="CF267" s="3"/>
      <c r="CG267" s="3"/>
      <c r="CH267" s="3"/>
      <c r="CI267" s="3"/>
      <c r="CJ267" s="3"/>
      <c r="CK267" s="3"/>
      <c r="CL267" s="3"/>
      <c r="CM267" s="3"/>
      <c r="CN267" s="3"/>
      <c r="CO267" s="3"/>
      <c r="CP267" s="3"/>
      <c r="CQ267" s="3"/>
      <c r="CR267" s="3"/>
      <c r="CS267" s="3"/>
      <c r="CT267" s="3"/>
      <c r="CU267" s="3"/>
      <c r="CV267" s="3"/>
      <c r="CW267" s="3"/>
      <c r="CX267" s="3"/>
      <c r="DD267" s="3"/>
      <c r="DE267" s="3"/>
      <c r="DF267" s="3"/>
      <c r="DG267" s="3"/>
      <c r="DH267" s="3"/>
      <c r="DI267" s="3"/>
      <c r="DJ267" s="3"/>
      <c r="DK267" s="3"/>
      <c r="DL267" s="4"/>
    </row>
    <row r="268" spans="1:116">
      <c r="A268" s="2" t="s">
        <v>50</v>
      </c>
      <c r="B268" s="3">
        <f t="shared" si="274"/>
        <v>0</v>
      </c>
      <c r="C268" s="3">
        <f t="shared" si="274"/>
        <v>0</v>
      </c>
      <c r="D268" s="3">
        <f t="shared" si="274"/>
        <v>0</v>
      </c>
      <c r="E268" s="3">
        <f t="shared" si="274"/>
        <v>2276174</v>
      </c>
      <c r="F268" s="3">
        <f t="shared" si="274"/>
        <v>0</v>
      </c>
      <c r="G268" s="3">
        <f t="shared" si="274"/>
        <v>0</v>
      </c>
      <c r="H268" s="3">
        <f t="shared" si="274"/>
        <v>0</v>
      </c>
      <c r="I268" s="3">
        <f t="shared" si="274"/>
        <v>0</v>
      </c>
      <c r="J268" s="3">
        <f t="shared" si="274"/>
        <v>0</v>
      </c>
      <c r="K268" s="3">
        <f t="shared" si="275"/>
        <v>0</v>
      </c>
      <c r="L268" s="3">
        <f t="shared" si="275"/>
        <v>0</v>
      </c>
      <c r="M268" s="3">
        <f t="shared" si="275"/>
        <v>0</v>
      </c>
      <c r="N268" s="3">
        <f t="shared" si="275"/>
        <v>0</v>
      </c>
      <c r="O268" s="3">
        <f t="shared" si="275"/>
        <v>0</v>
      </c>
      <c r="P268" s="3">
        <f t="shared" si="275"/>
        <v>0</v>
      </c>
      <c r="Q268" s="4">
        <f t="shared" si="275"/>
        <v>0</v>
      </c>
      <c r="R268" s="4">
        <f t="shared" si="275"/>
        <v>0</v>
      </c>
      <c r="S268" s="4">
        <f t="shared" si="275"/>
        <v>0</v>
      </c>
      <c r="T268" s="4">
        <f t="shared" si="275"/>
        <v>0</v>
      </c>
      <c r="U268" s="4">
        <f t="shared" si="275"/>
        <v>0</v>
      </c>
      <c r="V268" s="4">
        <f t="shared" si="275"/>
        <v>0</v>
      </c>
      <c r="W268" s="4">
        <f t="shared" si="275"/>
        <v>0</v>
      </c>
      <c r="X268" s="4">
        <f t="shared" si="275"/>
        <v>0</v>
      </c>
      <c r="Y268" s="4">
        <f t="shared" si="275"/>
        <v>0</v>
      </c>
      <c r="Z268" s="4">
        <f t="shared" si="275"/>
        <v>0</v>
      </c>
      <c r="AA268" s="4">
        <f t="shared" si="275"/>
        <v>0</v>
      </c>
      <c r="AB268" s="4">
        <f t="shared" si="275"/>
        <v>0</v>
      </c>
      <c r="AC268" s="4">
        <f t="shared" si="275"/>
        <v>0</v>
      </c>
      <c r="AD268" s="4">
        <f t="shared" si="275"/>
        <v>0</v>
      </c>
      <c r="AE268" s="4">
        <f t="shared" si="275"/>
        <v>0</v>
      </c>
      <c r="AF268" s="4">
        <f t="shared" si="275"/>
        <v>0</v>
      </c>
      <c r="AG268" s="4">
        <f t="shared" si="275"/>
        <v>0</v>
      </c>
      <c r="AH268" s="4">
        <f t="shared" si="275"/>
        <v>0</v>
      </c>
      <c r="AI268" s="4">
        <f t="shared" ref="AI268:AQ270" si="282">AI287+AI300+AI316</f>
        <v>0</v>
      </c>
      <c r="AJ268" s="4">
        <f t="shared" si="282"/>
        <v>0</v>
      </c>
      <c r="AK268" s="4">
        <f t="shared" si="282"/>
        <v>0</v>
      </c>
      <c r="AL268" s="4">
        <f t="shared" si="282"/>
        <v>0</v>
      </c>
      <c r="AM268" s="4">
        <f t="shared" si="282"/>
        <v>0</v>
      </c>
      <c r="AN268" s="4">
        <f t="shared" si="282"/>
        <v>0</v>
      </c>
      <c r="AO268" s="4">
        <f t="shared" si="282"/>
        <v>0</v>
      </c>
      <c r="AP268" s="4">
        <f t="shared" si="282"/>
        <v>0</v>
      </c>
      <c r="AQ268" s="4">
        <f t="shared" si="282"/>
        <v>3</v>
      </c>
      <c r="AR268" s="4"/>
      <c r="AS268" s="4"/>
      <c r="AT268" s="4"/>
      <c r="AU268" s="4"/>
      <c r="AV268" s="4"/>
      <c r="AW268" s="4"/>
      <c r="AX268" s="4"/>
      <c r="AY268" s="3"/>
      <c r="BA268" s="3">
        <v>0</v>
      </c>
      <c r="BB268" s="3">
        <f t="shared" si="281"/>
        <v>0</v>
      </c>
      <c r="BC268" s="3">
        <v>0</v>
      </c>
      <c r="BD268" s="3">
        <f t="shared" si="276"/>
        <v>0</v>
      </c>
      <c r="BE268" s="3">
        <v>0</v>
      </c>
      <c r="BF268" s="3">
        <f t="shared" si="277"/>
        <v>0</v>
      </c>
      <c r="BG268" s="3">
        <v>0</v>
      </c>
      <c r="BH268" s="3"/>
      <c r="BI268" s="3"/>
      <c r="BJ268" s="4">
        <v>0</v>
      </c>
      <c r="BK268" s="3">
        <f t="shared" si="278"/>
        <v>0</v>
      </c>
      <c r="BL268" s="3">
        <f t="shared" si="279"/>
        <v>0</v>
      </c>
      <c r="BM268" s="177">
        <f t="shared" si="280"/>
        <v>0</v>
      </c>
      <c r="BN268" s="3"/>
      <c r="BR268" s="3"/>
      <c r="BS268" s="3"/>
      <c r="BT268" s="3"/>
      <c r="BU268" s="3"/>
      <c r="BV268" s="3"/>
      <c r="BW268" s="3"/>
      <c r="BX268" s="3"/>
      <c r="BY268" s="3"/>
      <c r="BZ268" s="3"/>
      <c r="CA268" s="3"/>
      <c r="CB268" s="3"/>
      <c r="CC268" s="4"/>
      <c r="CD268" s="3"/>
      <c r="CE268" s="3"/>
      <c r="CF268" s="3"/>
      <c r="CG268" s="3"/>
      <c r="CH268" s="3"/>
      <c r="CI268" s="3"/>
      <c r="CJ268" s="3"/>
      <c r="CK268" s="3"/>
      <c r="CL268" s="3"/>
      <c r="CM268" s="3"/>
      <c r="CN268" s="3"/>
      <c r="CO268" s="3"/>
      <c r="CP268" s="3"/>
      <c r="CQ268" s="3"/>
      <c r="CR268" s="3"/>
      <c r="CS268" s="3"/>
      <c r="CT268" s="3"/>
      <c r="CU268" s="3"/>
      <c r="CV268" s="3"/>
      <c r="CW268" s="3"/>
      <c r="CX268" s="3"/>
      <c r="DD268" s="3"/>
      <c r="DE268" s="3"/>
      <c r="DF268" s="3"/>
      <c r="DG268" s="3"/>
      <c r="DH268" s="3"/>
      <c r="DI268" s="3"/>
      <c r="DJ268" s="3"/>
      <c r="DK268" s="3"/>
      <c r="DL268" s="4"/>
    </row>
    <row r="269" spans="1:116">
      <c r="A269" s="2" t="s">
        <v>51</v>
      </c>
      <c r="B269" s="3">
        <f t="shared" si="274"/>
        <v>0</v>
      </c>
      <c r="C269" s="3">
        <f t="shared" si="274"/>
        <v>0</v>
      </c>
      <c r="D269" s="3">
        <f t="shared" si="274"/>
        <v>0</v>
      </c>
      <c r="E269" s="3">
        <f t="shared" si="274"/>
        <v>0</v>
      </c>
      <c r="F269" s="3">
        <f t="shared" si="274"/>
        <v>0</v>
      </c>
      <c r="G269" s="3">
        <f t="shared" si="274"/>
        <v>0</v>
      </c>
      <c r="H269" s="3">
        <f t="shared" si="274"/>
        <v>0</v>
      </c>
      <c r="I269" s="3">
        <f t="shared" si="274"/>
        <v>757255</v>
      </c>
      <c r="J269" s="3">
        <f t="shared" si="274"/>
        <v>0</v>
      </c>
      <c r="K269" s="3">
        <f t="shared" ref="K269:AP272" si="283">K288+K301+K317</f>
        <v>0</v>
      </c>
      <c r="L269" s="3">
        <f t="shared" si="283"/>
        <v>0</v>
      </c>
      <c r="M269" s="3">
        <f t="shared" si="283"/>
        <v>0</v>
      </c>
      <c r="N269" s="3">
        <f t="shared" si="283"/>
        <v>0</v>
      </c>
      <c r="O269" s="3">
        <f t="shared" si="283"/>
        <v>0</v>
      </c>
      <c r="P269" s="3">
        <f t="shared" si="283"/>
        <v>24555303</v>
      </c>
      <c r="Q269" s="4">
        <f t="shared" si="283"/>
        <v>0</v>
      </c>
      <c r="R269" s="4">
        <f t="shared" si="283"/>
        <v>0</v>
      </c>
      <c r="S269" s="4">
        <f t="shared" si="283"/>
        <v>0</v>
      </c>
      <c r="T269" s="4">
        <f t="shared" si="283"/>
        <v>0</v>
      </c>
      <c r="U269" s="4">
        <f t="shared" si="283"/>
        <v>0</v>
      </c>
      <c r="V269" s="4">
        <f t="shared" si="283"/>
        <v>0</v>
      </c>
      <c r="W269" s="4">
        <f t="shared" si="283"/>
        <v>0</v>
      </c>
      <c r="X269" s="4">
        <f t="shared" si="283"/>
        <v>0</v>
      </c>
      <c r="Y269" s="4">
        <f t="shared" si="283"/>
        <v>0</v>
      </c>
      <c r="Z269" s="4">
        <f t="shared" si="283"/>
        <v>0</v>
      </c>
      <c r="AA269" s="4">
        <f t="shared" si="283"/>
        <v>0</v>
      </c>
      <c r="AB269" s="4">
        <f t="shared" si="283"/>
        <v>0</v>
      </c>
      <c r="AC269" s="4">
        <f t="shared" si="283"/>
        <v>0</v>
      </c>
      <c r="AD269" s="4">
        <f t="shared" si="283"/>
        <v>0</v>
      </c>
      <c r="AE269" s="4">
        <f t="shared" si="283"/>
        <v>0</v>
      </c>
      <c r="AF269" s="4">
        <f t="shared" si="283"/>
        <v>0</v>
      </c>
      <c r="AG269" s="4">
        <f t="shared" si="283"/>
        <v>0</v>
      </c>
      <c r="AH269" s="4">
        <f t="shared" si="283"/>
        <v>0</v>
      </c>
      <c r="AI269" s="4">
        <f t="shared" si="283"/>
        <v>0</v>
      </c>
      <c r="AJ269" s="4">
        <f t="shared" si="283"/>
        <v>0</v>
      </c>
      <c r="AK269" s="4">
        <f t="shared" si="283"/>
        <v>0</v>
      </c>
      <c r="AL269" s="4">
        <f t="shared" si="283"/>
        <v>0</v>
      </c>
      <c r="AM269" s="4">
        <f t="shared" si="283"/>
        <v>0</v>
      </c>
      <c r="AN269" s="4">
        <f t="shared" si="283"/>
        <v>0</v>
      </c>
      <c r="AO269" s="4">
        <f t="shared" si="283"/>
        <v>0</v>
      </c>
      <c r="AP269" s="4">
        <f t="shared" si="283"/>
        <v>0</v>
      </c>
      <c r="AQ269" s="4">
        <f t="shared" si="282"/>
        <v>3</v>
      </c>
      <c r="AR269" s="4"/>
      <c r="AS269" s="4"/>
      <c r="AT269" s="4"/>
      <c r="AU269" s="4"/>
      <c r="AV269" s="4"/>
      <c r="AW269" s="4"/>
      <c r="AX269" s="4"/>
      <c r="AY269" s="3"/>
      <c r="BA269" s="3">
        <v>0</v>
      </c>
      <c r="BB269" s="3">
        <f t="shared" si="281"/>
        <v>0</v>
      </c>
      <c r="BC269" s="3">
        <v>0</v>
      </c>
      <c r="BD269" s="3">
        <f t="shared" si="276"/>
        <v>0</v>
      </c>
      <c r="BE269" s="3">
        <v>0</v>
      </c>
      <c r="BF269" s="3">
        <f t="shared" si="277"/>
        <v>0</v>
      </c>
      <c r="BG269" s="3">
        <v>0</v>
      </c>
      <c r="BH269" s="3"/>
      <c r="BI269" s="3"/>
      <c r="BJ269" s="4">
        <v>0</v>
      </c>
      <c r="BK269" s="3">
        <f t="shared" si="278"/>
        <v>24555303</v>
      </c>
      <c r="BL269" s="3">
        <f t="shared" si="279"/>
        <v>0</v>
      </c>
      <c r="BM269" s="177">
        <f t="shared" si="280"/>
        <v>0</v>
      </c>
      <c r="BN269" s="3"/>
      <c r="BR269" s="3"/>
      <c r="BS269" s="3"/>
      <c r="BT269" s="3"/>
      <c r="BU269" s="3"/>
      <c r="BV269" s="3"/>
      <c r="BW269" s="3"/>
      <c r="BX269" s="3"/>
      <c r="BY269" s="3"/>
      <c r="BZ269" s="3"/>
      <c r="CA269" s="3"/>
      <c r="CB269" s="3"/>
      <c r="CC269" s="4"/>
      <c r="CD269" s="3"/>
      <c r="CE269" s="3"/>
      <c r="CF269" s="3"/>
      <c r="CG269" s="3"/>
      <c r="CH269" s="3"/>
      <c r="CI269" s="3"/>
      <c r="CJ269" s="3"/>
      <c r="CK269" s="3"/>
      <c r="CL269" s="3"/>
      <c r="CM269" s="3"/>
      <c r="CN269" s="3"/>
      <c r="CO269" s="3"/>
      <c r="CP269" s="3"/>
      <c r="CQ269" s="3"/>
      <c r="CR269" s="3"/>
      <c r="CS269" s="3"/>
      <c r="CT269" s="3"/>
      <c r="CU269" s="3"/>
      <c r="CV269" s="3"/>
      <c r="CW269" s="3"/>
      <c r="CX269" s="3"/>
      <c r="DD269" s="3"/>
      <c r="DE269" s="3"/>
      <c r="DF269" s="3"/>
      <c r="DG269" s="3"/>
      <c r="DH269" s="3"/>
      <c r="DI269" s="3"/>
      <c r="DJ269" s="3"/>
      <c r="DK269" s="3"/>
      <c r="DL269" s="4"/>
    </row>
    <row r="270" spans="1:116">
      <c r="A270" s="2" t="s">
        <v>52</v>
      </c>
      <c r="B270" s="3">
        <f t="shared" si="274"/>
        <v>0</v>
      </c>
      <c r="C270" s="3">
        <f t="shared" si="274"/>
        <v>0</v>
      </c>
      <c r="D270" s="3">
        <f t="shared" si="274"/>
        <v>0</v>
      </c>
      <c r="E270" s="3">
        <f t="shared" si="274"/>
        <v>0</v>
      </c>
      <c r="F270" s="3">
        <f t="shared" si="274"/>
        <v>0</v>
      </c>
      <c r="G270" s="3">
        <f t="shared" si="274"/>
        <v>0</v>
      </c>
      <c r="H270" s="3">
        <f t="shared" si="274"/>
        <v>0</v>
      </c>
      <c r="I270" s="3">
        <f t="shared" si="274"/>
        <v>0</v>
      </c>
      <c r="J270" s="3">
        <f t="shared" si="274"/>
        <v>0</v>
      </c>
      <c r="K270" s="3">
        <f>K289+K302+K318</f>
        <v>0</v>
      </c>
      <c r="L270" s="3">
        <f t="shared" si="283"/>
        <v>0</v>
      </c>
      <c r="M270" s="3">
        <f t="shared" si="283"/>
        <v>0</v>
      </c>
      <c r="N270" s="3">
        <f t="shared" si="283"/>
        <v>0</v>
      </c>
      <c r="O270" s="3">
        <f t="shared" si="283"/>
        <v>0</v>
      </c>
      <c r="P270" s="3">
        <f t="shared" si="283"/>
        <v>0</v>
      </c>
      <c r="Q270" s="4">
        <f t="shared" si="283"/>
        <v>0</v>
      </c>
      <c r="R270" s="4">
        <f t="shared" si="283"/>
        <v>0</v>
      </c>
      <c r="S270" s="4">
        <f t="shared" si="283"/>
        <v>0</v>
      </c>
      <c r="T270" s="4">
        <f t="shared" si="283"/>
        <v>0</v>
      </c>
      <c r="U270" s="4">
        <f t="shared" si="283"/>
        <v>0</v>
      </c>
      <c r="V270" s="4">
        <f t="shared" si="283"/>
        <v>0</v>
      </c>
      <c r="W270" s="4">
        <f t="shared" si="283"/>
        <v>0</v>
      </c>
      <c r="X270" s="4">
        <f t="shared" si="283"/>
        <v>0</v>
      </c>
      <c r="Y270" s="4">
        <f t="shared" si="283"/>
        <v>0</v>
      </c>
      <c r="Z270" s="4">
        <f t="shared" si="283"/>
        <v>0</v>
      </c>
      <c r="AA270" s="4">
        <f t="shared" si="283"/>
        <v>0</v>
      </c>
      <c r="AB270" s="4">
        <f t="shared" si="283"/>
        <v>0</v>
      </c>
      <c r="AC270" s="4">
        <f t="shared" si="283"/>
        <v>0</v>
      </c>
      <c r="AD270" s="4">
        <f t="shared" si="283"/>
        <v>0</v>
      </c>
      <c r="AE270" s="4">
        <f t="shared" si="283"/>
        <v>0</v>
      </c>
      <c r="AF270" s="4">
        <f t="shared" si="283"/>
        <v>0</v>
      </c>
      <c r="AG270" s="4">
        <f t="shared" si="283"/>
        <v>0</v>
      </c>
      <c r="AH270" s="4">
        <f t="shared" si="283"/>
        <v>0</v>
      </c>
      <c r="AI270" s="4">
        <f t="shared" si="283"/>
        <v>0</v>
      </c>
      <c r="AJ270" s="4">
        <f t="shared" si="283"/>
        <v>0</v>
      </c>
      <c r="AK270" s="4">
        <f t="shared" si="283"/>
        <v>0</v>
      </c>
      <c r="AL270" s="4">
        <f t="shared" si="283"/>
        <v>0</v>
      </c>
      <c r="AM270" s="4">
        <f t="shared" si="283"/>
        <v>0</v>
      </c>
      <c r="AN270" s="4">
        <f t="shared" si="283"/>
        <v>0</v>
      </c>
      <c r="AO270" s="4">
        <f t="shared" si="283"/>
        <v>0</v>
      </c>
      <c r="AP270" s="4">
        <f t="shared" si="283"/>
        <v>0</v>
      </c>
      <c r="AQ270" s="4">
        <f t="shared" si="282"/>
        <v>14</v>
      </c>
      <c r="AR270" s="4"/>
      <c r="AS270" s="4"/>
      <c r="AT270" s="4"/>
      <c r="AU270" s="4"/>
      <c r="AV270" s="4"/>
      <c r="AW270" s="4"/>
      <c r="AX270" s="4"/>
      <c r="AY270" s="3"/>
      <c r="BA270" s="3">
        <v>0</v>
      </c>
      <c r="BB270" s="3">
        <f t="shared" si="281"/>
        <v>0</v>
      </c>
      <c r="BC270" s="3">
        <v>0</v>
      </c>
      <c r="BD270" s="3">
        <f t="shared" si="276"/>
        <v>0</v>
      </c>
      <c r="BE270" s="3">
        <v>0</v>
      </c>
      <c r="BF270" s="3">
        <f t="shared" si="277"/>
        <v>0</v>
      </c>
      <c r="BG270" s="3">
        <v>0</v>
      </c>
      <c r="BH270" s="3"/>
      <c r="BI270" s="3"/>
      <c r="BJ270" s="4">
        <v>0</v>
      </c>
      <c r="BK270" s="3">
        <f t="shared" si="278"/>
        <v>0</v>
      </c>
      <c r="BL270" s="3">
        <f t="shared" si="279"/>
        <v>0</v>
      </c>
      <c r="BM270" s="177">
        <f t="shared" si="280"/>
        <v>0</v>
      </c>
      <c r="BN270" s="3"/>
      <c r="BR270" s="3"/>
      <c r="BS270" s="3"/>
      <c r="BT270" s="3"/>
      <c r="BU270" s="3"/>
      <c r="BV270" s="3"/>
      <c r="BW270" s="3"/>
      <c r="BX270" s="3"/>
      <c r="BY270" s="3"/>
      <c r="BZ270" s="3"/>
      <c r="CA270" s="3"/>
      <c r="CB270" s="3"/>
      <c r="CC270" s="4"/>
      <c r="CD270" s="3"/>
      <c r="CE270" s="3"/>
      <c r="CF270" s="3"/>
      <c r="CG270" s="3"/>
      <c r="CH270" s="3"/>
      <c r="CI270" s="3"/>
      <c r="CJ270" s="3"/>
      <c r="CK270" s="3"/>
      <c r="CL270" s="3"/>
      <c r="CM270" s="3"/>
      <c r="CN270" s="3"/>
      <c r="CO270" s="3"/>
      <c r="CP270" s="3"/>
      <c r="CQ270" s="3"/>
      <c r="CR270" s="3"/>
      <c r="CS270" s="3"/>
      <c r="CT270" s="3"/>
      <c r="CU270" s="3"/>
      <c r="CV270" s="3"/>
      <c r="CW270" s="3"/>
      <c r="CX270" s="3"/>
      <c r="DD270" s="3"/>
      <c r="DE270" s="3"/>
      <c r="DF270" s="3"/>
      <c r="DG270" s="3"/>
      <c r="DH270" s="3"/>
      <c r="DI270" s="3"/>
      <c r="DJ270" s="3"/>
      <c r="DK270" s="3"/>
      <c r="DL270" s="4"/>
    </row>
    <row r="271" spans="1:116">
      <c r="A271" s="2" t="s">
        <v>53</v>
      </c>
      <c r="B271" s="3">
        <f t="shared" si="274"/>
        <v>0</v>
      </c>
      <c r="C271" s="3">
        <f t="shared" si="274"/>
        <v>0</v>
      </c>
      <c r="D271" s="3">
        <f t="shared" si="274"/>
        <v>0</v>
      </c>
      <c r="E271" s="3">
        <f t="shared" si="274"/>
        <v>0</v>
      </c>
      <c r="F271" s="3">
        <f t="shared" si="274"/>
        <v>0</v>
      </c>
      <c r="G271" s="3">
        <f t="shared" si="274"/>
        <v>0</v>
      </c>
      <c r="H271" s="3">
        <f t="shared" si="274"/>
        <v>0</v>
      </c>
      <c r="I271" s="3">
        <f t="shared" si="274"/>
        <v>0</v>
      </c>
      <c r="J271" s="3">
        <f t="shared" si="274"/>
        <v>0</v>
      </c>
      <c r="K271" s="3">
        <f>K287+K303+K319</f>
        <v>0</v>
      </c>
      <c r="L271" s="3">
        <f t="shared" si="283"/>
        <v>0</v>
      </c>
      <c r="M271" s="3">
        <f t="shared" si="283"/>
        <v>0</v>
      </c>
      <c r="N271" s="3">
        <f t="shared" si="283"/>
        <v>0</v>
      </c>
      <c r="O271" s="3">
        <f>O290+O303+O319</f>
        <v>0</v>
      </c>
      <c r="P271" s="3">
        <f t="shared" si="283"/>
        <v>29840946</v>
      </c>
      <c r="Q271" s="4">
        <f t="shared" ref="Q271:AQ272" si="284">Q287+Q303+Q319</f>
        <v>0</v>
      </c>
      <c r="R271" s="4">
        <f t="shared" si="284"/>
        <v>0</v>
      </c>
      <c r="S271" s="4">
        <f t="shared" si="284"/>
        <v>0</v>
      </c>
      <c r="T271" s="4">
        <f t="shared" si="284"/>
        <v>0</v>
      </c>
      <c r="U271" s="4">
        <f t="shared" si="284"/>
        <v>0</v>
      </c>
      <c r="V271" s="4">
        <f t="shared" si="284"/>
        <v>0</v>
      </c>
      <c r="W271" s="4">
        <f t="shared" si="284"/>
        <v>0</v>
      </c>
      <c r="X271" s="4">
        <f t="shared" si="284"/>
        <v>0</v>
      </c>
      <c r="Y271" s="4">
        <f t="shared" si="284"/>
        <v>0</v>
      </c>
      <c r="Z271" s="4">
        <f t="shared" si="284"/>
        <v>0</v>
      </c>
      <c r="AA271" s="4">
        <f t="shared" si="284"/>
        <v>0</v>
      </c>
      <c r="AB271" s="4">
        <f t="shared" si="284"/>
        <v>0</v>
      </c>
      <c r="AC271" s="4">
        <f t="shared" si="284"/>
        <v>0</v>
      </c>
      <c r="AD271" s="4">
        <f t="shared" si="284"/>
        <v>0</v>
      </c>
      <c r="AE271" s="4">
        <f t="shared" si="284"/>
        <v>0</v>
      </c>
      <c r="AF271" s="4">
        <f t="shared" si="284"/>
        <v>0</v>
      </c>
      <c r="AG271" s="4">
        <f t="shared" si="284"/>
        <v>0</v>
      </c>
      <c r="AH271" s="4">
        <f t="shared" si="284"/>
        <v>0</v>
      </c>
      <c r="AI271" s="4">
        <f t="shared" si="284"/>
        <v>0</v>
      </c>
      <c r="AJ271" s="4">
        <f t="shared" si="284"/>
        <v>0</v>
      </c>
      <c r="AK271" s="4">
        <f t="shared" si="284"/>
        <v>0</v>
      </c>
      <c r="AL271" s="4">
        <f t="shared" si="284"/>
        <v>0</v>
      </c>
      <c r="AM271" s="4">
        <f t="shared" si="284"/>
        <v>0</v>
      </c>
      <c r="AN271" s="4">
        <f t="shared" si="284"/>
        <v>0</v>
      </c>
      <c r="AO271" s="4">
        <f t="shared" si="284"/>
        <v>0</v>
      </c>
      <c r="AP271" s="4">
        <f t="shared" si="284"/>
        <v>0</v>
      </c>
      <c r="AQ271" s="4">
        <f t="shared" si="284"/>
        <v>3</v>
      </c>
      <c r="AR271" s="4"/>
      <c r="AS271" s="4"/>
      <c r="AT271" s="4"/>
      <c r="AU271" s="4"/>
      <c r="AV271" s="4"/>
      <c r="AW271" s="4"/>
      <c r="AX271" s="4"/>
      <c r="AY271" s="3"/>
      <c r="BA271" s="3">
        <v>0</v>
      </c>
      <c r="BB271" s="3">
        <f t="shared" si="281"/>
        <v>0</v>
      </c>
      <c r="BC271" s="3">
        <v>0</v>
      </c>
      <c r="BD271" s="3">
        <f t="shared" si="276"/>
        <v>0</v>
      </c>
      <c r="BE271" s="3">
        <v>0</v>
      </c>
      <c r="BF271" s="3">
        <f t="shared" si="277"/>
        <v>0</v>
      </c>
      <c r="BG271" s="3">
        <v>0</v>
      </c>
      <c r="BH271" s="3"/>
      <c r="BI271" s="3"/>
      <c r="BJ271" s="4">
        <v>0</v>
      </c>
      <c r="BK271" s="3">
        <f t="shared" si="278"/>
        <v>29840946</v>
      </c>
      <c r="BL271" s="3">
        <f t="shared" si="279"/>
        <v>0</v>
      </c>
      <c r="BM271" s="177">
        <f t="shared" si="280"/>
        <v>0</v>
      </c>
      <c r="BN271" s="3"/>
      <c r="BR271" s="3"/>
      <c r="BS271" s="3"/>
      <c r="BT271" s="3"/>
      <c r="BU271" s="3"/>
      <c r="BV271" s="3"/>
      <c r="BW271" s="3"/>
      <c r="BX271" s="3"/>
      <c r="BY271" s="3"/>
      <c r="BZ271" s="3"/>
      <c r="CA271" s="3"/>
      <c r="CB271" s="3"/>
      <c r="CC271" s="4"/>
      <c r="CD271" s="3"/>
      <c r="CE271" s="3"/>
      <c r="CF271" s="3"/>
      <c r="CG271" s="3"/>
      <c r="CH271" s="3"/>
      <c r="CI271" s="3"/>
      <c r="CJ271" s="3"/>
      <c r="CK271" s="3"/>
      <c r="CL271" s="3"/>
      <c r="CM271" s="3"/>
      <c r="CN271" s="3"/>
      <c r="CO271" s="3"/>
      <c r="CP271" s="3"/>
      <c r="CQ271" s="3"/>
      <c r="CR271" s="3"/>
      <c r="CS271" s="3"/>
      <c r="CT271" s="3"/>
      <c r="CU271" s="3"/>
      <c r="CV271" s="3"/>
      <c r="CW271" s="3"/>
      <c r="CX271" s="3"/>
      <c r="DD271" s="3"/>
      <c r="DE271" s="3"/>
      <c r="DF271" s="3"/>
      <c r="DG271" s="3"/>
      <c r="DH271" s="3"/>
      <c r="DI271" s="3"/>
      <c r="DJ271" s="3"/>
      <c r="DK271" s="3"/>
      <c r="DL271" s="4"/>
    </row>
    <row r="272" spans="1:116">
      <c r="A272" s="2" t="s">
        <v>54</v>
      </c>
      <c r="B272" s="3">
        <f t="shared" si="274"/>
        <v>0</v>
      </c>
      <c r="C272" s="3">
        <f t="shared" si="274"/>
        <v>0</v>
      </c>
      <c r="D272" s="3">
        <f t="shared" si="274"/>
        <v>0</v>
      </c>
      <c r="E272" s="3">
        <f t="shared" si="274"/>
        <v>0</v>
      </c>
      <c r="F272" s="3">
        <f t="shared" si="274"/>
        <v>0</v>
      </c>
      <c r="G272" s="3">
        <f t="shared" si="274"/>
        <v>0</v>
      </c>
      <c r="H272" s="3">
        <f t="shared" si="274"/>
        <v>0</v>
      </c>
      <c r="I272" s="3">
        <f t="shared" si="274"/>
        <v>0</v>
      </c>
      <c r="J272" s="3">
        <f t="shared" si="274"/>
        <v>0</v>
      </c>
      <c r="K272" s="3">
        <f>K288+K304+K320</f>
        <v>0</v>
      </c>
      <c r="L272" s="3">
        <f t="shared" si="283"/>
        <v>0</v>
      </c>
      <c r="M272" s="3">
        <f t="shared" si="283"/>
        <v>0</v>
      </c>
      <c r="N272" s="3">
        <f t="shared" si="283"/>
        <v>0</v>
      </c>
      <c r="O272" s="3">
        <f>O291+O304+O320</f>
        <v>0</v>
      </c>
      <c r="P272" s="3">
        <f t="shared" si="283"/>
        <v>32902548</v>
      </c>
      <c r="Q272" s="4">
        <f t="shared" si="284"/>
        <v>0</v>
      </c>
      <c r="R272" s="4">
        <f t="shared" si="284"/>
        <v>0</v>
      </c>
      <c r="S272" s="4">
        <f t="shared" si="284"/>
        <v>0</v>
      </c>
      <c r="T272" s="4">
        <f t="shared" si="284"/>
        <v>0</v>
      </c>
      <c r="U272" s="4">
        <f t="shared" si="284"/>
        <v>0</v>
      </c>
      <c r="V272" s="4">
        <f t="shared" si="284"/>
        <v>0</v>
      </c>
      <c r="W272" s="4">
        <f t="shared" si="284"/>
        <v>0</v>
      </c>
      <c r="X272" s="4">
        <f t="shared" si="284"/>
        <v>0</v>
      </c>
      <c r="Y272" s="4">
        <f t="shared" si="284"/>
        <v>0</v>
      </c>
      <c r="Z272" s="4">
        <f t="shared" si="284"/>
        <v>0</v>
      </c>
      <c r="AA272" s="4">
        <f t="shared" si="284"/>
        <v>0</v>
      </c>
      <c r="AB272" s="4">
        <f t="shared" si="284"/>
        <v>0</v>
      </c>
      <c r="AC272" s="4">
        <f t="shared" si="284"/>
        <v>0</v>
      </c>
      <c r="AD272" s="4">
        <f t="shared" si="284"/>
        <v>0</v>
      </c>
      <c r="AE272" s="4">
        <f t="shared" si="284"/>
        <v>0</v>
      </c>
      <c r="AF272" s="4">
        <f t="shared" si="284"/>
        <v>0</v>
      </c>
      <c r="AG272" s="4">
        <f t="shared" si="284"/>
        <v>0</v>
      </c>
      <c r="AH272" s="4">
        <f t="shared" si="284"/>
        <v>0</v>
      </c>
      <c r="AI272" s="4">
        <f t="shared" si="284"/>
        <v>0</v>
      </c>
      <c r="AJ272" s="4">
        <f t="shared" si="284"/>
        <v>0</v>
      </c>
      <c r="AK272" s="4">
        <f t="shared" si="284"/>
        <v>0</v>
      </c>
      <c r="AL272" s="4">
        <f t="shared" si="284"/>
        <v>0</v>
      </c>
      <c r="AM272" s="4">
        <f t="shared" si="284"/>
        <v>0</v>
      </c>
      <c r="AN272" s="4">
        <f t="shared" si="284"/>
        <v>0</v>
      </c>
      <c r="AO272" s="4">
        <f t="shared" si="284"/>
        <v>0</v>
      </c>
      <c r="AP272" s="4">
        <f t="shared" si="284"/>
        <v>0</v>
      </c>
      <c r="AQ272" s="4">
        <f t="shared" si="284"/>
        <v>3</v>
      </c>
      <c r="AR272" s="4"/>
      <c r="AS272" s="4"/>
      <c r="AT272" s="4"/>
      <c r="AU272" s="4"/>
      <c r="AV272" s="4"/>
      <c r="AW272" s="4"/>
      <c r="AX272" s="4"/>
      <c r="AY272" s="3"/>
      <c r="BA272" s="3">
        <v>0</v>
      </c>
      <c r="BB272" s="3">
        <f t="shared" si="281"/>
        <v>0</v>
      </c>
      <c r="BC272" s="3">
        <v>0</v>
      </c>
      <c r="BD272" s="3">
        <f t="shared" si="276"/>
        <v>0</v>
      </c>
      <c r="BE272" s="3">
        <v>0</v>
      </c>
      <c r="BF272" s="3">
        <f t="shared" si="277"/>
        <v>0</v>
      </c>
      <c r="BG272" s="3">
        <v>0</v>
      </c>
      <c r="BH272" s="3"/>
      <c r="BI272" s="3"/>
      <c r="BJ272" s="4">
        <v>0</v>
      </c>
      <c r="BK272" s="3">
        <f t="shared" si="278"/>
        <v>32902548</v>
      </c>
      <c r="BL272" s="3">
        <f t="shared" si="279"/>
        <v>0</v>
      </c>
      <c r="BM272" s="177">
        <f t="shared" si="280"/>
        <v>0</v>
      </c>
      <c r="BN272" s="3"/>
      <c r="BR272" s="3"/>
      <c r="BS272" s="3"/>
      <c r="BT272" s="3"/>
      <c r="BU272" s="3"/>
      <c r="BV272" s="3"/>
      <c r="BW272" s="3"/>
      <c r="BX272" s="3"/>
      <c r="BY272" s="3"/>
      <c r="BZ272" s="3"/>
      <c r="CA272" s="3"/>
      <c r="CB272" s="3"/>
      <c r="CC272" s="4"/>
      <c r="CD272" s="3"/>
      <c r="CE272" s="3"/>
      <c r="CF272" s="3"/>
      <c r="CG272" s="3"/>
      <c r="CH272" s="3"/>
      <c r="CI272" s="3"/>
      <c r="CJ272" s="3"/>
      <c r="CK272" s="3"/>
      <c r="CL272" s="3"/>
      <c r="CM272" s="3"/>
      <c r="CN272" s="3"/>
      <c r="CO272" s="3"/>
      <c r="CP272" s="3"/>
      <c r="CQ272" s="3"/>
      <c r="CR272" s="3"/>
      <c r="CS272" s="3"/>
      <c r="CT272" s="3"/>
      <c r="CU272" s="3"/>
      <c r="CV272" s="3"/>
      <c r="CW272" s="3"/>
      <c r="CX272" s="3"/>
      <c r="DD272" s="3"/>
      <c r="DE272" s="3"/>
      <c r="DF272" s="3"/>
      <c r="DG272" s="3"/>
      <c r="DH272" s="3"/>
      <c r="DI272" s="3"/>
      <c r="DJ272" s="3"/>
      <c r="DK272" s="3"/>
      <c r="DL272" s="4"/>
    </row>
    <row r="273" spans="1:94" ht="13.5" thickBot="1">
      <c r="A273" s="2" t="s">
        <v>29</v>
      </c>
      <c r="B273" s="3">
        <f>SUM(B261:B272)</f>
        <v>0</v>
      </c>
      <c r="C273" s="3">
        <f t="shared" ref="C273:AQ273" si="285">SUM(C261:C272)</f>
        <v>0</v>
      </c>
      <c r="D273" s="3">
        <f t="shared" si="285"/>
        <v>0</v>
      </c>
      <c r="E273" s="3">
        <f t="shared" si="285"/>
        <v>21602599</v>
      </c>
      <c r="F273" s="3">
        <f t="shared" si="285"/>
        <v>5612400</v>
      </c>
      <c r="G273" s="3">
        <f t="shared" si="285"/>
        <v>0</v>
      </c>
      <c r="H273" s="3">
        <f t="shared" si="285"/>
        <v>0</v>
      </c>
      <c r="I273" s="3">
        <f t="shared" si="285"/>
        <v>757255</v>
      </c>
      <c r="J273" s="3">
        <f t="shared" si="285"/>
        <v>0</v>
      </c>
      <c r="K273" s="3">
        <f t="shared" si="285"/>
        <v>0</v>
      </c>
      <c r="L273" s="3">
        <f t="shared" si="285"/>
        <v>0</v>
      </c>
      <c r="M273" s="3">
        <f t="shared" si="285"/>
        <v>2859906</v>
      </c>
      <c r="N273" s="3">
        <f t="shared" si="285"/>
        <v>0</v>
      </c>
      <c r="O273" s="3">
        <f t="shared" si="285"/>
        <v>0</v>
      </c>
      <c r="P273" s="3">
        <f t="shared" si="285"/>
        <v>112476722</v>
      </c>
      <c r="Q273" s="4">
        <f t="shared" si="285"/>
        <v>12677402</v>
      </c>
      <c r="R273" s="4">
        <f t="shared" si="285"/>
        <v>0</v>
      </c>
      <c r="S273" s="4">
        <f t="shared" si="285"/>
        <v>0</v>
      </c>
      <c r="T273" s="4">
        <f t="shared" si="285"/>
        <v>0</v>
      </c>
      <c r="U273" s="4">
        <f t="shared" si="285"/>
        <v>0</v>
      </c>
      <c r="V273" s="4">
        <f t="shared" si="285"/>
        <v>0</v>
      </c>
      <c r="W273" s="4">
        <f t="shared" si="285"/>
        <v>0</v>
      </c>
      <c r="X273" s="4">
        <f t="shared" si="285"/>
        <v>0</v>
      </c>
      <c r="Y273" s="4">
        <f t="shared" si="285"/>
        <v>0</v>
      </c>
      <c r="Z273" s="4">
        <f t="shared" si="285"/>
        <v>0</v>
      </c>
      <c r="AA273" s="4">
        <f t="shared" si="285"/>
        <v>0</v>
      </c>
      <c r="AB273" s="4">
        <f t="shared" si="285"/>
        <v>0</v>
      </c>
      <c r="AC273" s="4">
        <f t="shared" si="285"/>
        <v>0</v>
      </c>
      <c r="AD273" s="4">
        <f t="shared" si="285"/>
        <v>0</v>
      </c>
      <c r="AE273" s="4">
        <f t="shared" si="285"/>
        <v>0</v>
      </c>
      <c r="AF273" s="4">
        <f t="shared" si="285"/>
        <v>0</v>
      </c>
      <c r="AG273" s="4">
        <f t="shared" si="285"/>
        <v>0</v>
      </c>
      <c r="AH273" s="4">
        <f t="shared" si="285"/>
        <v>0</v>
      </c>
      <c r="AI273" s="4">
        <f t="shared" si="285"/>
        <v>0</v>
      </c>
      <c r="AJ273" s="4">
        <f t="shared" si="285"/>
        <v>0</v>
      </c>
      <c r="AK273" s="4">
        <f t="shared" si="285"/>
        <v>0</v>
      </c>
      <c r="AL273" s="4">
        <f t="shared" si="285"/>
        <v>0</v>
      </c>
      <c r="AM273" s="4">
        <f t="shared" si="285"/>
        <v>0</v>
      </c>
      <c r="AN273" s="4">
        <f t="shared" si="285"/>
        <v>0</v>
      </c>
      <c r="AO273" s="4">
        <f t="shared" si="285"/>
        <v>0</v>
      </c>
      <c r="AP273" s="4">
        <f t="shared" si="285"/>
        <v>0</v>
      </c>
      <c r="AQ273" s="4">
        <f t="shared" si="285"/>
        <v>47</v>
      </c>
      <c r="AR273" s="4"/>
      <c r="AS273" s="4"/>
      <c r="AT273" s="4"/>
      <c r="AU273" s="4"/>
      <c r="AV273" s="4"/>
      <c r="AW273" s="4"/>
      <c r="AX273" s="4"/>
      <c r="AY273" s="3"/>
      <c r="BA273" s="3">
        <v>0</v>
      </c>
      <c r="BB273" s="3">
        <f t="shared" si="281"/>
        <v>0</v>
      </c>
      <c r="BC273" s="3">
        <v>0</v>
      </c>
      <c r="BD273" s="3">
        <f t="shared" si="276"/>
        <v>0</v>
      </c>
      <c r="BE273" s="3">
        <v>2859906</v>
      </c>
      <c r="BF273" s="3">
        <f t="shared" si="277"/>
        <v>0</v>
      </c>
      <c r="BG273" s="3">
        <v>0</v>
      </c>
      <c r="BH273" s="3"/>
      <c r="BI273" s="3"/>
      <c r="BJ273" s="4">
        <v>25177925</v>
      </c>
      <c r="BK273" s="3">
        <f t="shared" si="278"/>
        <v>87298797</v>
      </c>
      <c r="BL273" s="3">
        <f t="shared" si="279"/>
        <v>0</v>
      </c>
      <c r="BM273" s="177">
        <f t="shared" si="280"/>
        <v>12677402</v>
      </c>
      <c r="BN273" s="3"/>
      <c r="BR273" s="3"/>
      <c r="BS273" s="3"/>
      <c r="BT273" s="3"/>
      <c r="BU273" s="3"/>
      <c r="BV273" s="3"/>
      <c r="BW273" s="3"/>
      <c r="BX273" s="3"/>
      <c r="BY273" s="3"/>
      <c r="BZ273" s="3"/>
      <c r="CA273" s="3"/>
      <c r="CB273" s="3"/>
      <c r="CC273" s="4"/>
      <c r="CD273" s="3"/>
      <c r="CE273" s="3"/>
      <c r="CF273" s="3"/>
      <c r="CG273" s="3"/>
      <c r="CH273" s="3"/>
      <c r="CI273" s="3"/>
      <c r="CJ273" s="3"/>
      <c r="CK273" s="3"/>
      <c r="CL273" s="3"/>
      <c r="CM273" s="3"/>
      <c r="CN273" s="3"/>
      <c r="CO273" s="3"/>
      <c r="CP273" s="3"/>
    </row>
    <row r="274" spans="1:94">
      <c r="A274" s="114"/>
      <c r="B274" s="114"/>
      <c r="C274" s="114"/>
      <c r="D274" s="114"/>
      <c r="E274" s="114"/>
      <c r="F274" s="114"/>
      <c r="G274" s="114"/>
      <c r="H274" s="114"/>
      <c r="I274" s="114"/>
      <c r="J274" s="114"/>
      <c r="K274" s="114"/>
      <c r="L274" s="114"/>
      <c r="M274" s="114"/>
      <c r="N274" s="114"/>
      <c r="O274" s="114"/>
      <c r="P274" s="114"/>
      <c r="Q274" s="114"/>
      <c r="R274" s="114"/>
      <c r="S274" s="114"/>
      <c r="T274" s="114"/>
      <c r="U274" s="114"/>
      <c r="V274" s="114"/>
      <c r="W274" s="114"/>
      <c r="X274" s="114"/>
      <c r="Y274" s="114"/>
      <c r="Z274" s="114"/>
      <c r="AA274" s="114"/>
      <c r="AB274" s="114"/>
      <c r="AC274" s="114"/>
      <c r="AD274" s="114"/>
      <c r="AE274" s="114"/>
      <c r="AF274" s="114"/>
      <c r="AG274" s="114"/>
      <c r="AH274" s="114"/>
      <c r="AI274" s="114"/>
      <c r="AJ274" s="114"/>
      <c r="AK274" s="114"/>
      <c r="AL274" s="114"/>
      <c r="AM274" s="114"/>
      <c r="AN274" s="114"/>
      <c r="AO274" s="114"/>
      <c r="AP274" s="114"/>
      <c r="AQ274" s="114"/>
      <c r="AX274" s="4"/>
      <c r="AY274" s="3"/>
      <c r="BE274" s="4"/>
    </row>
    <row r="275" spans="1:94" ht="16.5" thickBot="1">
      <c r="A275" s="109" t="s">
        <v>323</v>
      </c>
      <c r="AX275" s="4"/>
      <c r="AY275" s="3"/>
      <c r="BE275" s="4"/>
    </row>
    <row r="276" spans="1:94" ht="13.5" thickBot="1">
      <c r="A276" s="110"/>
      <c r="B276" s="111">
        <f t="shared" ref="B276:K276" si="286">B2</f>
        <v>2010</v>
      </c>
      <c r="C276" s="111">
        <f t="shared" si="286"/>
        <v>2011</v>
      </c>
      <c r="D276" s="111">
        <f t="shared" si="286"/>
        <v>2012</v>
      </c>
      <c r="E276" s="111">
        <f t="shared" si="286"/>
        <v>2013</v>
      </c>
      <c r="F276" s="111">
        <f t="shared" si="286"/>
        <v>2014</v>
      </c>
      <c r="G276" s="111">
        <f t="shared" si="286"/>
        <v>2015</v>
      </c>
      <c r="H276" s="111">
        <f t="shared" si="286"/>
        <v>2016</v>
      </c>
      <c r="I276" s="111">
        <f t="shared" si="286"/>
        <v>2017</v>
      </c>
      <c r="J276" s="111">
        <f t="shared" si="286"/>
        <v>2018</v>
      </c>
      <c r="K276" s="111">
        <f t="shared" si="286"/>
        <v>2019</v>
      </c>
      <c r="L276" s="111">
        <f>L2</f>
        <v>2020</v>
      </c>
      <c r="M276" s="111">
        <f>M2</f>
        <v>2021</v>
      </c>
      <c r="N276" s="111">
        <f t="shared" ref="N276:AQ276" si="287">N2</f>
        <v>2022</v>
      </c>
      <c r="O276" s="111">
        <f t="shared" si="287"/>
        <v>2023</v>
      </c>
      <c r="P276" s="111">
        <f t="shared" si="287"/>
        <v>2024</v>
      </c>
      <c r="Q276" s="111">
        <f t="shared" si="287"/>
        <v>2025</v>
      </c>
      <c r="R276" s="111">
        <f t="shared" si="287"/>
        <v>2026</v>
      </c>
      <c r="S276" s="111">
        <f t="shared" si="287"/>
        <v>2027</v>
      </c>
      <c r="T276" s="111">
        <f t="shared" si="287"/>
        <v>2028</v>
      </c>
      <c r="U276" s="111">
        <f t="shared" si="287"/>
        <v>2029</v>
      </c>
      <c r="V276" s="111">
        <f t="shared" si="287"/>
        <v>2030</v>
      </c>
      <c r="W276" s="111">
        <f t="shared" si="287"/>
        <v>2031</v>
      </c>
      <c r="X276" s="111">
        <f t="shared" si="287"/>
        <v>2032</v>
      </c>
      <c r="Y276" s="111">
        <f t="shared" si="287"/>
        <v>2033</v>
      </c>
      <c r="Z276" s="111">
        <f t="shared" si="287"/>
        <v>2034</v>
      </c>
      <c r="AA276" s="111">
        <f t="shared" si="287"/>
        <v>2035</v>
      </c>
      <c r="AB276" s="111">
        <f t="shared" si="287"/>
        <v>2036</v>
      </c>
      <c r="AC276" s="111">
        <f t="shared" si="287"/>
        <v>2037</v>
      </c>
      <c r="AD276" s="111">
        <f t="shared" si="287"/>
        <v>2038</v>
      </c>
      <c r="AE276" s="111">
        <f t="shared" si="287"/>
        <v>2039</v>
      </c>
      <c r="AF276" s="111">
        <f t="shared" si="287"/>
        <v>2040</v>
      </c>
      <c r="AG276" s="111">
        <f t="shared" si="287"/>
        <v>2041</v>
      </c>
      <c r="AH276" s="111">
        <f t="shared" si="287"/>
        <v>2042</v>
      </c>
      <c r="AI276" s="111">
        <f t="shared" si="287"/>
        <v>2043</v>
      </c>
      <c r="AJ276" s="111">
        <f t="shared" si="287"/>
        <v>2044</v>
      </c>
      <c r="AK276" s="111">
        <f t="shared" si="287"/>
        <v>2045</v>
      </c>
      <c r="AL276" s="111">
        <f t="shared" si="287"/>
        <v>2046</v>
      </c>
      <c r="AM276" s="111">
        <f t="shared" si="287"/>
        <v>2047</v>
      </c>
      <c r="AN276" s="111">
        <f t="shared" si="287"/>
        <v>2048</v>
      </c>
      <c r="AO276" s="111">
        <f t="shared" si="287"/>
        <v>2049</v>
      </c>
      <c r="AP276" s="111">
        <f t="shared" si="287"/>
        <v>2050</v>
      </c>
      <c r="AQ276" s="111">
        <f t="shared" si="287"/>
        <v>2051</v>
      </c>
      <c r="AR276" s="94"/>
      <c r="AS276" s="94"/>
      <c r="AT276" s="94"/>
      <c r="AU276" s="94"/>
      <c r="AV276" s="94"/>
      <c r="AW276" s="94"/>
      <c r="AX276" s="4"/>
      <c r="AY276" s="3"/>
      <c r="BE276" s="4"/>
    </row>
    <row r="277" spans="1:94">
      <c r="A277" s="2" t="s">
        <v>43</v>
      </c>
      <c r="B277" s="3">
        <f>'Monthly D4 Gallon Data'!$AA2</f>
        <v>0</v>
      </c>
      <c r="C277" s="3">
        <f>'Monthly D4 Gallon Data'!$AA14</f>
        <v>0</v>
      </c>
      <c r="D277" s="3">
        <f>'Monthly D4 Gallon Data'!$AA26</f>
        <v>0</v>
      </c>
      <c r="E277" s="3">
        <f>'Monthly D4 Gallon Data'!$AA38</f>
        <v>0</v>
      </c>
      <c r="F277" s="3">
        <f>'Monthly D4 Gallon Data'!$AA50</f>
        <v>0</v>
      </c>
      <c r="G277" s="3">
        <f>'Monthly D4 Gallon Data'!$AA62</f>
        <v>0</v>
      </c>
      <c r="H277" s="3">
        <f>'Monthly D4 Gallon Data'!$AA74</f>
        <v>0</v>
      </c>
      <c r="I277" s="3">
        <f>'Monthly D4 Gallon Data'!$AA86</f>
        <v>0</v>
      </c>
      <c r="J277" s="3">
        <f>'Monthly D4 Gallon Data'!$AA98</f>
        <v>0</v>
      </c>
      <c r="K277" s="3">
        <f>'Monthly D4 Gallon Data'!$AA110</f>
        <v>0</v>
      </c>
      <c r="L277" s="3">
        <f>'Monthly D4 Gallon Data'!$AA122</f>
        <v>0</v>
      </c>
      <c r="M277" s="3">
        <f>'Monthly D4 Gallon Data'!$AA134</f>
        <v>0</v>
      </c>
      <c r="N277" s="3">
        <f>'Monthly D4 Gallon Data'!$AA146</f>
        <v>0</v>
      </c>
      <c r="O277" s="3">
        <f>'Monthly D4 Gallon Data'!$AA158</f>
        <v>0</v>
      </c>
      <c r="P277" s="3">
        <f>'Monthly D4 Gallon Data'!$AA170</f>
        <v>0</v>
      </c>
      <c r="Q277" s="3">
        <f>'Monthly D4 Gallon Data'!$AA182</f>
        <v>0</v>
      </c>
      <c r="R277" s="4">
        <v>0</v>
      </c>
      <c r="S277" s="4">
        <v>0</v>
      </c>
      <c r="T277" s="4">
        <v>0</v>
      </c>
      <c r="U277" s="4">
        <v>0</v>
      </c>
      <c r="V277" s="4">
        <v>0</v>
      </c>
      <c r="W277" s="4">
        <v>0</v>
      </c>
      <c r="X277" s="4">
        <v>0</v>
      </c>
      <c r="Y277" s="4">
        <v>0</v>
      </c>
      <c r="Z277" s="4">
        <v>0</v>
      </c>
      <c r="AA277" s="4">
        <v>0</v>
      </c>
      <c r="AB277" s="4">
        <v>0</v>
      </c>
      <c r="AC277" s="4">
        <v>0</v>
      </c>
      <c r="AD277" s="4">
        <v>0</v>
      </c>
      <c r="AE277" s="4">
        <v>0</v>
      </c>
      <c r="AF277" s="4">
        <v>0</v>
      </c>
      <c r="AG277" s="4">
        <v>0</v>
      </c>
      <c r="AH277" s="4">
        <v>0</v>
      </c>
      <c r="AI277" s="4">
        <v>0</v>
      </c>
      <c r="AJ277" s="4">
        <v>0</v>
      </c>
      <c r="AK277" s="4">
        <v>0</v>
      </c>
      <c r="AL277" s="4">
        <v>0</v>
      </c>
      <c r="AM277" s="4">
        <v>0</v>
      </c>
      <c r="AN277" s="4">
        <v>0</v>
      </c>
      <c r="AO277" s="4">
        <v>0</v>
      </c>
      <c r="AP277" s="4">
        <v>0</v>
      </c>
      <c r="AQ277" s="4">
        <v>1</v>
      </c>
      <c r="AR277" s="4"/>
      <c r="AS277" s="4"/>
      <c r="AT277" s="4"/>
      <c r="AU277" s="4"/>
      <c r="AV277" s="4"/>
      <c r="AW277" s="4"/>
      <c r="AX277" s="4"/>
      <c r="AY277" s="3"/>
      <c r="BC277" s="3">
        <v>0</v>
      </c>
      <c r="BD277" s="3">
        <f t="shared" ref="BD277:BD289" si="288">L277-BC277</f>
        <v>0</v>
      </c>
      <c r="BE277" s="3">
        <v>0</v>
      </c>
      <c r="BF277" s="3">
        <f t="shared" ref="BF277:BF289" si="289">M277-BE277</f>
        <v>0</v>
      </c>
      <c r="BG277" s="3">
        <v>0</v>
      </c>
      <c r="BH277" s="3"/>
      <c r="BI277" s="3"/>
      <c r="BJ277" s="3">
        <v>0</v>
      </c>
      <c r="BK277" s="3">
        <f t="shared" ref="BK277:BK289" si="290">P277-BJ277</f>
        <v>0</v>
      </c>
      <c r="BL277" s="3">
        <f t="shared" ref="BL277:BL289" si="291">N277-BG277</f>
        <v>0</v>
      </c>
      <c r="BM277" s="177">
        <f t="shared" ref="BM277:BM289" si="292">Q277-BL277</f>
        <v>0</v>
      </c>
      <c r="BN277" s="3"/>
      <c r="BR277" s="3"/>
      <c r="BS277" s="3"/>
      <c r="BT277" s="3"/>
      <c r="BU277" s="3"/>
      <c r="BV277" s="3"/>
      <c r="BW277" s="3"/>
      <c r="BX277" s="3"/>
      <c r="BY277" s="3"/>
      <c r="BZ277" s="3"/>
      <c r="CA277" s="3"/>
      <c r="CB277" s="3"/>
      <c r="CC277" s="4"/>
      <c r="CD277" s="3"/>
      <c r="CE277" s="3"/>
      <c r="CF277" s="3"/>
      <c r="CG277" s="3"/>
      <c r="CH277" s="3"/>
      <c r="CI277" s="3"/>
      <c r="CJ277" s="3"/>
      <c r="CK277" s="3"/>
      <c r="CL277" s="3"/>
      <c r="CM277" s="3"/>
      <c r="CN277" s="3"/>
      <c r="CO277" s="3"/>
      <c r="CP277" s="3"/>
    </row>
    <row r="278" spans="1:94">
      <c r="A278" s="2" t="s">
        <v>44</v>
      </c>
      <c r="B278" s="3">
        <f>'Monthly D4 Gallon Data'!$AA3</f>
        <v>0</v>
      </c>
      <c r="C278" s="3">
        <f>'Monthly D4 Gallon Data'!$AA15</f>
        <v>0</v>
      </c>
      <c r="D278" s="3">
        <f>'Monthly D4 Gallon Data'!$AA27</f>
        <v>0</v>
      </c>
      <c r="E278" s="3">
        <f>'Monthly D4 Gallon Data'!$AA39</f>
        <v>0</v>
      </c>
      <c r="F278" s="3">
        <f>'Monthly D4 Gallon Data'!$AA51</f>
        <v>0</v>
      </c>
      <c r="G278" s="3">
        <f>'Monthly D4 Gallon Data'!$AA63</f>
        <v>0</v>
      </c>
      <c r="H278" s="3">
        <f>'Monthly D4 Gallon Data'!$AA75</f>
        <v>0</v>
      </c>
      <c r="I278" s="3">
        <f>'Monthly D4 Gallon Data'!$AA87</f>
        <v>0</v>
      </c>
      <c r="J278" s="3">
        <f>'Monthly D4 Gallon Data'!$AA99</f>
        <v>0</v>
      </c>
      <c r="K278" s="3">
        <f>'Monthly D4 Gallon Data'!$AA111</f>
        <v>0</v>
      </c>
      <c r="L278" s="3">
        <f>'Monthly D4 Gallon Data'!$AA123</f>
        <v>0</v>
      </c>
      <c r="M278" s="3">
        <f>'Monthly D4 Gallon Data'!$AA135</f>
        <v>0</v>
      </c>
      <c r="N278" s="3">
        <f>'Monthly D4 Gallon Data'!$AA147</f>
        <v>0</v>
      </c>
      <c r="O278" s="3">
        <f>'Monthly D4 Gallon Data'!$AA159</f>
        <v>0</v>
      </c>
      <c r="P278" s="3">
        <f>'Monthly D4 Gallon Data'!$AA171</f>
        <v>0</v>
      </c>
      <c r="Q278" s="3">
        <f>'Monthly D4 Gallon Data'!$AA183</f>
        <v>0</v>
      </c>
      <c r="R278" s="4">
        <v>0</v>
      </c>
      <c r="S278" s="4">
        <v>0</v>
      </c>
      <c r="T278" s="4">
        <v>0</v>
      </c>
      <c r="U278" s="4">
        <v>0</v>
      </c>
      <c r="V278" s="4">
        <v>0</v>
      </c>
      <c r="W278" s="4">
        <v>0</v>
      </c>
      <c r="X278" s="4">
        <v>0</v>
      </c>
      <c r="Y278" s="4">
        <v>0</v>
      </c>
      <c r="Z278" s="4">
        <v>0</v>
      </c>
      <c r="AA278" s="4">
        <v>0</v>
      </c>
      <c r="AB278" s="4">
        <v>0</v>
      </c>
      <c r="AC278" s="4">
        <v>0</v>
      </c>
      <c r="AD278" s="4">
        <v>0</v>
      </c>
      <c r="AE278" s="4">
        <v>0</v>
      </c>
      <c r="AF278" s="4">
        <v>0</v>
      </c>
      <c r="AG278" s="4">
        <v>0</v>
      </c>
      <c r="AH278" s="4">
        <v>0</v>
      </c>
      <c r="AI278" s="4">
        <v>0</v>
      </c>
      <c r="AJ278" s="4">
        <v>0</v>
      </c>
      <c r="AK278" s="4">
        <v>0</v>
      </c>
      <c r="AL278" s="4">
        <v>0</v>
      </c>
      <c r="AM278" s="4">
        <v>0</v>
      </c>
      <c r="AN278" s="4">
        <v>0</v>
      </c>
      <c r="AO278" s="4">
        <v>0</v>
      </c>
      <c r="AP278" s="4">
        <v>0</v>
      </c>
      <c r="AQ278" s="4">
        <v>1</v>
      </c>
      <c r="AR278" s="4"/>
      <c r="AS278" s="4"/>
      <c r="AT278" s="4"/>
      <c r="AU278" s="4"/>
      <c r="AV278" s="4"/>
      <c r="AW278" s="4"/>
      <c r="AX278" s="4"/>
      <c r="AY278" s="3"/>
      <c r="BC278" s="3">
        <v>0</v>
      </c>
      <c r="BD278" s="3">
        <f t="shared" si="288"/>
        <v>0</v>
      </c>
      <c r="BE278" s="3">
        <v>0</v>
      </c>
      <c r="BF278" s="3">
        <f t="shared" si="289"/>
        <v>0</v>
      </c>
      <c r="BG278" s="3">
        <v>0</v>
      </c>
      <c r="BH278" s="3"/>
      <c r="BI278" s="3"/>
      <c r="BJ278" s="3">
        <v>0</v>
      </c>
      <c r="BK278" s="3">
        <f t="shared" si="290"/>
        <v>0</v>
      </c>
      <c r="BL278" s="3">
        <f t="shared" si="291"/>
        <v>0</v>
      </c>
      <c r="BM278" s="177">
        <f t="shared" si="292"/>
        <v>0</v>
      </c>
      <c r="BN278" s="3"/>
      <c r="BR278" s="3"/>
      <c r="BS278" s="3"/>
      <c r="BT278" s="3"/>
      <c r="BU278" s="3"/>
      <c r="BV278" s="3"/>
      <c r="BW278" s="3"/>
      <c r="BX278" s="3"/>
      <c r="BY278" s="3"/>
      <c r="BZ278" s="3"/>
      <c r="CA278" s="3"/>
      <c r="CB278" s="3"/>
      <c r="CC278" s="4"/>
      <c r="CD278" s="3"/>
      <c r="CE278" s="3"/>
      <c r="CF278" s="3"/>
      <c r="CG278" s="3"/>
      <c r="CH278" s="3"/>
      <c r="CI278" s="3"/>
      <c r="CJ278" s="3"/>
      <c r="CK278" s="3"/>
      <c r="CL278" s="3"/>
      <c r="CM278" s="3"/>
      <c r="CN278" s="3"/>
      <c r="CO278" s="3"/>
      <c r="CP278" s="3"/>
    </row>
    <row r="279" spans="1:94">
      <c r="A279" s="2" t="s">
        <v>45</v>
      </c>
      <c r="B279" s="3">
        <f>'Monthly D4 Gallon Data'!$AA4</f>
        <v>0</v>
      </c>
      <c r="C279" s="3">
        <f>'Monthly D4 Gallon Data'!$AA16</f>
        <v>0</v>
      </c>
      <c r="D279" s="3">
        <f>'Monthly D4 Gallon Data'!$AA28</f>
        <v>0</v>
      </c>
      <c r="E279" s="3">
        <f>'Monthly D4 Gallon Data'!$AA40</f>
        <v>0</v>
      </c>
      <c r="F279" s="3">
        <f>'Monthly D4 Gallon Data'!$AA52</f>
        <v>0</v>
      </c>
      <c r="G279" s="3">
        <f>'Monthly D4 Gallon Data'!$AA64</f>
        <v>0</v>
      </c>
      <c r="H279" s="3">
        <f>'Monthly D4 Gallon Data'!$AA76</f>
        <v>0</v>
      </c>
      <c r="I279" s="3">
        <f>'Monthly D4 Gallon Data'!$AA88</f>
        <v>0</v>
      </c>
      <c r="J279" s="3">
        <f>'Monthly D4 Gallon Data'!$AA100</f>
        <v>0</v>
      </c>
      <c r="K279" s="3">
        <f>'Monthly D4 Gallon Data'!$AA112</f>
        <v>0</v>
      </c>
      <c r="L279" s="3">
        <f>'Monthly D4 Gallon Data'!$AA124</f>
        <v>0</v>
      </c>
      <c r="M279" s="3">
        <f>'Monthly D4 Gallon Data'!$AA136</f>
        <v>0</v>
      </c>
      <c r="N279" s="3">
        <f>'Monthly D4 Gallon Data'!$AA148</f>
        <v>0</v>
      </c>
      <c r="O279" s="3">
        <f>'Monthly D4 Gallon Data'!$AA160</f>
        <v>0</v>
      </c>
      <c r="P279" s="3">
        <f>'Monthly D4 Gallon Data'!$AA172</f>
        <v>0</v>
      </c>
      <c r="Q279" s="3">
        <f>'Monthly D4 Gallon Data'!$AA184</f>
        <v>0</v>
      </c>
      <c r="R279" s="4">
        <v>0</v>
      </c>
      <c r="S279" s="4">
        <v>0</v>
      </c>
      <c r="T279" s="4">
        <v>0</v>
      </c>
      <c r="U279" s="4">
        <v>0</v>
      </c>
      <c r="V279" s="4">
        <v>0</v>
      </c>
      <c r="W279" s="4">
        <v>0</v>
      </c>
      <c r="X279" s="4">
        <v>0</v>
      </c>
      <c r="Y279" s="4">
        <v>0</v>
      </c>
      <c r="Z279" s="4">
        <v>0</v>
      </c>
      <c r="AA279" s="4">
        <v>0</v>
      </c>
      <c r="AB279" s="4">
        <v>0</v>
      </c>
      <c r="AC279" s="4">
        <v>0</v>
      </c>
      <c r="AD279" s="4">
        <v>0</v>
      </c>
      <c r="AE279" s="4">
        <v>0</v>
      </c>
      <c r="AF279" s="4">
        <v>0</v>
      </c>
      <c r="AG279" s="4">
        <v>0</v>
      </c>
      <c r="AH279" s="4">
        <v>0</v>
      </c>
      <c r="AI279" s="4">
        <v>0</v>
      </c>
      <c r="AJ279" s="4">
        <v>0</v>
      </c>
      <c r="AK279" s="4">
        <v>0</v>
      </c>
      <c r="AL279" s="4">
        <v>0</v>
      </c>
      <c r="AM279" s="4">
        <v>0</v>
      </c>
      <c r="AN279" s="4">
        <v>0</v>
      </c>
      <c r="AO279" s="4">
        <v>0</v>
      </c>
      <c r="AP279" s="4">
        <v>0</v>
      </c>
      <c r="AQ279" s="4">
        <v>1</v>
      </c>
      <c r="AR279" s="4"/>
      <c r="AS279" s="4"/>
      <c r="AT279" s="4"/>
      <c r="AU279" s="4"/>
      <c r="AV279" s="4"/>
      <c r="AW279" s="4"/>
      <c r="AX279" s="4"/>
      <c r="AY279" s="3"/>
      <c r="BC279" s="3">
        <v>0</v>
      </c>
      <c r="BD279" s="3">
        <f t="shared" si="288"/>
        <v>0</v>
      </c>
      <c r="BE279" s="3">
        <v>0</v>
      </c>
      <c r="BF279" s="3">
        <f t="shared" si="289"/>
        <v>0</v>
      </c>
      <c r="BG279" s="3">
        <v>0</v>
      </c>
      <c r="BH279" s="3"/>
      <c r="BI279" s="3"/>
      <c r="BJ279" s="3">
        <v>0</v>
      </c>
      <c r="BK279" s="3">
        <f t="shared" si="290"/>
        <v>0</v>
      </c>
      <c r="BL279" s="3">
        <f t="shared" si="291"/>
        <v>0</v>
      </c>
      <c r="BM279" s="177">
        <f t="shared" si="292"/>
        <v>0</v>
      </c>
      <c r="BN279" s="3"/>
      <c r="BR279" s="3"/>
      <c r="BS279" s="3"/>
      <c r="BT279" s="3"/>
      <c r="BU279" s="3"/>
      <c r="BV279" s="3"/>
      <c r="BW279" s="3"/>
      <c r="BX279" s="3"/>
      <c r="BY279" s="3"/>
      <c r="BZ279" s="3"/>
      <c r="CA279" s="3"/>
      <c r="CB279" s="3"/>
      <c r="CC279" s="4"/>
      <c r="CD279" s="3"/>
      <c r="CE279" s="3"/>
      <c r="CF279" s="3"/>
      <c r="CG279" s="3"/>
      <c r="CH279" s="3"/>
      <c r="CI279" s="3"/>
      <c r="CJ279" s="3"/>
      <c r="CK279" s="3"/>
      <c r="CL279" s="3"/>
      <c r="CM279" s="3"/>
      <c r="CN279" s="3"/>
      <c r="CO279" s="3"/>
      <c r="CP279" s="3"/>
    </row>
    <row r="280" spans="1:94">
      <c r="A280" s="2" t="s">
        <v>46</v>
      </c>
      <c r="B280" s="3">
        <f>'Monthly D4 Gallon Data'!$AA5</f>
        <v>0</v>
      </c>
      <c r="C280" s="3">
        <f>'Monthly D4 Gallon Data'!$AA17</f>
        <v>0</v>
      </c>
      <c r="D280" s="3">
        <f>'Monthly D4 Gallon Data'!$AA29</f>
        <v>0</v>
      </c>
      <c r="E280" s="3">
        <f>'Monthly D4 Gallon Data'!$AA41</f>
        <v>0</v>
      </c>
      <c r="F280" s="3">
        <f>'Monthly D4 Gallon Data'!$AA53</f>
        <v>0</v>
      </c>
      <c r="G280" s="3">
        <f>'Monthly D4 Gallon Data'!$AA65</f>
        <v>0</v>
      </c>
      <c r="H280" s="3">
        <f>'Monthly D4 Gallon Data'!$AA77</f>
        <v>0</v>
      </c>
      <c r="I280" s="3">
        <f>'Monthly D4 Gallon Data'!$AA89</f>
        <v>0</v>
      </c>
      <c r="J280" s="3">
        <f>'Monthly D4 Gallon Data'!$AA101</f>
        <v>0</v>
      </c>
      <c r="K280" s="3">
        <f>'Monthly D4 Gallon Data'!$AA113</f>
        <v>0</v>
      </c>
      <c r="L280" s="3">
        <f>'Monthly D4 Gallon Data'!$AA125</f>
        <v>0</v>
      </c>
      <c r="M280" s="3">
        <f>'Monthly D4 Gallon Data'!$AA137</f>
        <v>0</v>
      </c>
      <c r="N280" s="3">
        <f>'Monthly D4 Gallon Data'!$AA149</f>
        <v>0</v>
      </c>
      <c r="O280" s="3">
        <f>'Monthly D4 Gallon Data'!$AA161</f>
        <v>0</v>
      </c>
      <c r="P280" s="3">
        <f>'Monthly D4 Gallon Data'!$AA173</f>
        <v>0</v>
      </c>
      <c r="Q280" s="4">
        <v>0</v>
      </c>
      <c r="R280" s="4">
        <v>0</v>
      </c>
      <c r="S280" s="4">
        <v>0</v>
      </c>
      <c r="T280" s="4">
        <v>0</v>
      </c>
      <c r="U280" s="4">
        <v>0</v>
      </c>
      <c r="V280" s="4">
        <v>0</v>
      </c>
      <c r="W280" s="4">
        <v>0</v>
      </c>
      <c r="X280" s="4">
        <v>0</v>
      </c>
      <c r="Y280" s="4">
        <v>0</v>
      </c>
      <c r="Z280" s="4">
        <v>0</v>
      </c>
      <c r="AA280" s="4">
        <v>0</v>
      </c>
      <c r="AB280" s="4">
        <v>0</v>
      </c>
      <c r="AC280" s="4">
        <v>0</v>
      </c>
      <c r="AD280" s="4">
        <v>0</v>
      </c>
      <c r="AE280" s="4">
        <v>0</v>
      </c>
      <c r="AF280" s="4">
        <v>0</v>
      </c>
      <c r="AG280" s="4">
        <v>0</v>
      </c>
      <c r="AH280" s="4">
        <v>0</v>
      </c>
      <c r="AI280" s="4">
        <v>0</v>
      </c>
      <c r="AJ280" s="4">
        <v>0</v>
      </c>
      <c r="AK280" s="4">
        <v>0</v>
      </c>
      <c r="AL280" s="4">
        <v>0</v>
      </c>
      <c r="AM280" s="4">
        <v>0</v>
      </c>
      <c r="AN280" s="4">
        <v>0</v>
      </c>
      <c r="AO280" s="4">
        <v>0</v>
      </c>
      <c r="AP280" s="4">
        <v>0</v>
      </c>
      <c r="AQ280" s="4">
        <v>1</v>
      </c>
      <c r="AR280" s="4"/>
      <c r="AS280" s="4"/>
      <c r="AT280" s="4"/>
      <c r="AU280" s="4"/>
      <c r="AV280" s="4"/>
      <c r="AW280" s="4"/>
      <c r="AX280" s="4"/>
      <c r="AY280" s="3"/>
      <c r="BC280" s="3">
        <v>0</v>
      </c>
      <c r="BD280" s="3">
        <f t="shared" si="288"/>
        <v>0</v>
      </c>
      <c r="BE280" s="3">
        <v>0</v>
      </c>
      <c r="BF280" s="3">
        <f t="shared" si="289"/>
        <v>0</v>
      </c>
      <c r="BG280" s="3">
        <v>0</v>
      </c>
      <c r="BH280" s="3"/>
      <c r="BI280" s="3"/>
      <c r="BJ280" s="4">
        <v>0</v>
      </c>
      <c r="BK280" s="3">
        <f t="shared" si="290"/>
        <v>0</v>
      </c>
      <c r="BL280" s="3">
        <f t="shared" si="291"/>
        <v>0</v>
      </c>
      <c r="BM280" s="177">
        <f t="shared" si="292"/>
        <v>0</v>
      </c>
      <c r="BN280" s="3"/>
      <c r="BR280" s="3"/>
      <c r="BS280" s="3"/>
      <c r="BT280" s="3"/>
      <c r="BU280" s="3"/>
      <c r="BV280" s="3"/>
      <c r="BW280" s="3"/>
      <c r="BX280" s="3"/>
      <c r="BY280" s="3"/>
      <c r="BZ280" s="3"/>
      <c r="CA280" s="3"/>
      <c r="CB280" s="3"/>
      <c r="CC280" s="4"/>
      <c r="CD280" s="3"/>
      <c r="CE280" s="3"/>
      <c r="CF280" s="3"/>
      <c r="CG280" s="3"/>
      <c r="CH280" s="3"/>
      <c r="CI280" s="3"/>
      <c r="CJ280" s="3"/>
      <c r="CK280" s="3"/>
      <c r="CL280" s="3"/>
      <c r="CM280" s="3"/>
      <c r="CN280" s="3"/>
      <c r="CO280" s="3"/>
      <c r="CP280" s="3"/>
    </row>
    <row r="281" spans="1:94">
      <c r="A281" s="2" t="s">
        <v>47</v>
      </c>
      <c r="B281" s="3">
        <f>'Monthly D4 Gallon Data'!$AA6</f>
        <v>0</v>
      </c>
      <c r="C281" s="3">
        <f>'Monthly D4 Gallon Data'!$AA18</f>
        <v>0</v>
      </c>
      <c r="D281" s="3">
        <f>'Monthly D4 Gallon Data'!$AA30</f>
        <v>0</v>
      </c>
      <c r="E281" s="3">
        <f>'Monthly D4 Gallon Data'!$AA42</f>
        <v>0</v>
      </c>
      <c r="F281" s="3">
        <f>'Monthly D4 Gallon Data'!$AA54</f>
        <v>0</v>
      </c>
      <c r="G281" s="3">
        <f>'Monthly D4 Gallon Data'!$AA66</f>
        <v>0</v>
      </c>
      <c r="H281" s="3">
        <f>'Monthly D4 Gallon Data'!$AA78</f>
        <v>0</v>
      </c>
      <c r="I281" s="3">
        <f>'Monthly D4 Gallon Data'!$AA90</f>
        <v>0</v>
      </c>
      <c r="J281" s="3">
        <f>'Monthly D4 Gallon Data'!$AA102</f>
        <v>0</v>
      </c>
      <c r="K281" s="3">
        <f>'Monthly D4 Gallon Data'!$AA114</f>
        <v>0</v>
      </c>
      <c r="L281" s="3">
        <f>'Monthly D4 Gallon Data'!$AA126</f>
        <v>0</v>
      </c>
      <c r="M281" s="3">
        <f>'Monthly D4 Gallon Data'!$AA138</f>
        <v>0</v>
      </c>
      <c r="N281" s="3">
        <f>'Monthly D4 Gallon Data'!$AA150</f>
        <v>0</v>
      </c>
      <c r="O281" s="3">
        <f>'Monthly D4 Gallon Data'!$AA162</f>
        <v>0</v>
      </c>
      <c r="P281" s="3">
        <f>'Monthly D4 Gallon Data'!$AA174</f>
        <v>0</v>
      </c>
      <c r="Q281" s="4">
        <v>0</v>
      </c>
      <c r="R281" s="4">
        <v>0</v>
      </c>
      <c r="S281" s="4">
        <v>0</v>
      </c>
      <c r="T281" s="4">
        <v>0</v>
      </c>
      <c r="U281" s="4">
        <v>0</v>
      </c>
      <c r="V281" s="4">
        <v>0</v>
      </c>
      <c r="W281" s="4">
        <v>0</v>
      </c>
      <c r="X281" s="4">
        <v>0</v>
      </c>
      <c r="Y281" s="4">
        <v>0</v>
      </c>
      <c r="Z281" s="4">
        <v>0</v>
      </c>
      <c r="AA281" s="4">
        <v>0</v>
      </c>
      <c r="AB281" s="4">
        <v>0</v>
      </c>
      <c r="AC281" s="4">
        <v>0</v>
      </c>
      <c r="AD281" s="4">
        <v>0</v>
      </c>
      <c r="AE281" s="4">
        <v>0</v>
      </c>
      <c r="AF281" s="4">
        <v>0</v>
      </c>
      <c r="AG281" s="4">
        <v>0</v>
      </c>
      <c r="AH281" s="4">
        <v>0</v>
      </c>
      <c r="AI281" s="4">
        <v>0</v>
      </c>
      <c r="AJ281" s="4">
        <v>0</v>
      </c>
      <c r="AK281" s="4">
        <v>0</v>
      </c>
      <c r="AL281" s="4">
        <v>0</v>
      </c>
      <c r="AM281" s="4">
        <v>0</v>
      </c>
      <c r="AN281" s="4">
        <v>0</v>
      </c>
      <c r="AO281" s="4">
        <v>0</v>
      </c>
      <c r="AP281" s="4">
        <v>0</v>
      </c>
      <c r="AQ281" s="4">
        <v>1</v>
      </c>
      <c r="AR281" s="4"/>
      <c r="AS281" s="4"/>
      <c r="AT281" s="4"/>
      <c r="AU281" s="4"/>
      <c r="AV281" s="4"/>
      <c r="AW281" s="4"/>
      <c r="AX281" s="4"/>
      <c r="AY281" s="3"/>
      <c r="BA281" s="3">
        <v>0</v>
      </c>
      <c r="BB281" s="3">
        <f t="shared" ref="BB281:BB289" si="293">K281-BA281</f>
        <v>0</v>
      </c>
      <c r="BC281" s="3">
        <v>0</v>
      </c>
      <c r="BD281" s="3">
        <f t="shared" si="288"/>
        <v>0</v>
      </c>
      <c r="BE281" s="3">
        <v>0</v>
      </c>
      <c r="BF281" s="3">
        <f t="shared" si="289"/>
        <v>0</v>
      </c>
      <c r="BG281" s="3">
        <v>0</v>
      </c>
      <c r="BH281" s="3"/>
      <c r="BI281" s="3"/>
      <c r="BJ281" s="4">
        <v>0</v>
      </c>
      <c r="BK281" s="3">
        <f t="shared" si="290"/>
        <v>0</v>
      </c>
      <c r="BL281" s="3">
        <f t="shared" si="291"/>
        <v>0</v>
      </c>
      <c r="BM281" s="177">
        <f t="shared" si="292"/>
        <v>0</v>
      </c>
      <c r="BN281" s="3"/>
      <c r="BR281" s="3"/>
      <c r="BS281" s="3"/>
      <c r="BT281" s="3"/>
      <c r="BU281" s="3"/>
      <c r="BV281" s="3"/>
      <c r="BW281" s="3"/>
      <c r="BX281" s="3"/>
      <c r="BY281" s="3"/>
      <c r="BZ281" s="3"/>
      <c r="CA281" s="3"/>
      <c r="CB281" s="3"/>
      <c r="CC281" s="4"/>
      <c r="CD281" s="3"/>
      <c r="CE281" s="3"/>
      <c r="CF281" s="3"/>
      <c r="CG281" s="3"/>
      <c r="CH281" s="3"/>
      <c r="CI281" s="3"/>
      <c r="CJ281" s="3"/>
      <c r="CK281" s="3"/>
      <c r="CL281" s="3"/>
      <c r="CM281" s="3"/>
      <c r="CN281" s="3"/>
      <c r="CO281" s="3"/>
      <c r="CP281" s="3"/>
    </row>
    <row r="282" spans="1:94">
      <c r="A282" s="2" t="s">
        <v>48</v>
      </c>
      <c r="B282" s="3">
        <f>'Monthly D4 Gallon Data'!$AA7</f>
        <v>0</v>
      </c>
      <c r="C282" s="3">
        <f>'Monthly D4 Gallon Data'!$AA19</f>
        <v>0</v>
      </c>
      <c r="D282" s="3">
        <f>'Monthly D4 Gallon Data'!$AA31</f>
        <v>0</v>
      </c>
      <c r="E282" s="3">
        <f>'Monthly D4 Gallon Data'!$AA43</f>
        <v>0</v>
      </c>
      <c r="F282" s="3">
        <f>'Monthly D4 Gallon Data'!$AA55</f>
        <v>0</v>
      </c>
      <c r="G282" s="3">
        <f>'Monthly D4 Gallon Data'!$AA67</f>
        <v>0</v>
      </c>
      <c r="H282" s="3">
        <f>'Monthly D4 Gallon Data'!$AA79</f>
        <v>0</v>
      </c>
      <c r="I282" s="3">
        <f>'Monthly D4 Gallon Data'!$AA91</f>
        <v>0</v>
      </c>
      <c r="J282" s="3">
        <f>'Monthly D4 Gallon Data'!$AA103</f>
        <v>0</v>
      </c>
      <c r="K282" s="3">
        <f>'Monthly D4 Gallon Data'!$AA115</f>
        <v>0</v>
      </c>
      <c r="L282" s="3">
        <f>'Monthly D4 Gallon Data'!$AA127</f>
        <v>0</v>
      </c>
      <c r="M282" s="3">
        <f>'Monthly D4 Gallon Data'!$AA139</f>
        <v>0</v>
      </c>
      <c r="N282" s="3">
        <f>'Monthly D4 Gallon Data'!$AA151</f>
        <v>0</v>
      </c>
      <c r="O282" s="3">
        <f>'Monthly D4 Gallon Data'!$AA163</f>
        <v>0</v>
      </c>
      <c r="P282" s="3">
        <f>'Monthly D4 Gallon Data'!$AA175</f>
        <v>0</v>
      </c>
      <c r="Q282" s="4">
        <v>0</v>
      </c>
      <c r="R282" s="4">
        <v>0</v>
      </c>
      <c r="S282" s="4">
        <v>0</v>
      </c>
      <c r="T282" s="4">
        <v>0</v>
      </c>
      <c r="U282" s="4">
        <v>0</v>
      </c>
      <c r="V282" s="4">
        <v>0</v>
      </c>
      <c r="W282" s="4">
        <v>0</v>
      </c>
      <c r="X282" s="4">
        <v>0</v>
      </c>
      <c r="Y282" s="4">
        <v>0</v>
      </c>
      <c r="Z282" s="4">
        <v>0</v>
      </c>
      <c r="AA282" s="4">
        <v>0</v>
      </c>
      <c r="AB282" s="4">
        <v>0</v>
      </c>
      <c r="AC282" s="4">
        <v>0</v>
      </c>
      <c r="AD282" s="4">
        <v>0</v>
      </c>
      <c r="AE282" s="4">
        <v>0</v>
      </c>
      <c r="AF282" s="4">
        <v>0</v>
      </c>
      <c r="AG282" s="4">
        <v>0</v>
      </c>
      <c r="AH282" s="4">
        <v>0</v>
      </c>
      <c r="AI282" s="4">
        <v>0</v>
      </c>
      <c r="AJ282" s="4">
        <v>0</v>
      </c>
      <c r="AK282" s="4">
        <v>0</v>
      </c>
      <c r="AL282" s="4">
        <v>0</v>
      </c>
      <c r="AM282" s="4">
        <v>0</v>
      </c>
      <c r="AN282" s="4">
        <v>0</v>
      </c>
      <c r="AO282" s="4">
        <v>0</v>
      </c>
      <c r="AP282" s="4">
        <v>0</v>
      </c>
      <c r="AQ282" s="4">
        <v>1</v>
      </c>
      <c r="AR282" s="4"/>
      <c r="AS282" s="4"/>
      <c r="AT282" s="4"/>
      <c r="AU282" s="4"/>
      <c r="AV282" s="4"/>
      <c r="AW282" s="4"/>
      <c r="AX282" s="4"/>
      <c r="AY282" s="3"/>
      <c r="BA282" s="3">
        <v>0</v>
      </c>
      <c r="BB282" s="3">
        <f t="shared" si="293"/>
        <v>0</v>
      </c>
      <c r="BC282" s="3">
        <v>0</v>
      </c>
      <c r="BD282" s="3">
        <f t="shared" si="288"/>
        <v>0</v>
      </c>
      <c r="BE282" s="3">
        <v>0</v>
      </c>
      <c r="BF282" s="3">
        <f t="shared" si="289"/>
        <v>0</v>
      </c>
      <c r="BG282" s="3">
        <v>0</v>
      </c>
      <c r="BH282" s="3"/>
      <c r="BI282" s="3"/>
      <c r="BJ282" s="4">
        <v>0</v>
      </c>
      <c r="BK282" s="3">
        <f t="shared" si="290"/>
        <v>0</v>
      </c>
      <c r="BL282" s="3">
        <f t="shared" si="291"/>
        <v>0</v>
      </c>
      <c r="BM282" s="177">
        <f t="shared" si="292"/>
        <v>0</v>
      </c>
      <c r="BN282" s="3"/>
      <c r="BR282" s="3"/>
      <c r="BS282" s="3"/>
      <c r="BT282" s="3"/>
      <c r="BU282" s="3"/>
      <c r="BV282" s="3"/>
      <c r="BW282" s="3"/>
      <c r="BX282" s="3"/>
      <c r="BY282" s="3"/>
      <c r="BZ282" s="3"/>
      <c r="CA282" s="3"/>
      <c r="CB282" s="3"/>
      <c r="CC282" s="4"/>
      <c r="CD282" s="3"/>
      <c r="CE282" s="3"/>
      <c r="CF282" s="3"/>
      <c r="CG282" s="3"/>
      <c r="CH282" s="3"/>
      <c r="CI282" s="3"/>
      <c r="CJ282" s="3"/>
      <c r="CK282" s="3"/>
      <c r="CL282" s="3"/>
      <c r="CM282" s="3"/>
      <c r="CN282" s="3"/>
      <c r="CO282" s="3"/>
      <c r="CP282" s="3"/>
    </row>
    <row r="283" spans="1:94">
      <c r="A283" s="2" t="s">
        <v>49</v>
      </c>
      <c r="B283" s="3">
        <f>'Monthly D4 Gallon Data'!$AA8</f>
        <v>0</v>
      </c>
      <c r="C283" s="3">
        <f>'Monthly D4 Gallon Data'!$AA20</f>
        <v>0</v>
      </c>
      <c r="D283" s="3">
        <f>'Monthly D4 Gallon Data'!$AA32</f>
        <v>0</v>
      </c>
      <c r="E283" s="3">
        <f>'Monthly D4 Gallon Data'!$AA44</f>
        <v>0</v>
      </c>
      <c r="F283" s="3">
        <f>'Monthly D4 Gallon Data'!$AA56</f>
        <v>0</v>
      </c>
      <c r="G283" s="3">
        <f>'Monthly D4 Gallon Data'!$AA68</f>
        <v>0</v>
      </c>
      <c r="H283" s="3">
        <f>'Monthly D4 Gallon Data'!$AA80</f>
        <v>0</v>
      </c>
      <c r="I283" s="3">
        <f>'Monthly D4 Gallon Data'!$AA92</f>
        <v>0</v>
      </c>
      <c r="J283" s="3">
        <f>'Monthly D4 Gallon Data'!$AA104</f>
        <v>0</v>
      </c>
      <c r="K283" s="3">
        <f>'Monthly D4 Gallon Data'!$AA116</f>
        <v>0</v>
      </c>
      <c r="L283" s="3">
        <f>'Monthly D4 Gallon Data'!$AA128</f>
        <v>0</v>
      </c>
      <c r="M283" s="3">
        <f>'Monthly D4 Gallon Data'!$AA140</f>
        <v>0</v>
      </c>
      <c r="N283" s="3">
        <f>'Monthly D4 Gallon Data'!$AA152</f>
        <v>0</v>
      </c>
      <c r="O283" s="3">
        <f>'Monthly D4 Gallon Data'!$AA164</f>
        <v>0</v>
      </c>
      <c r="P283" s="3">
        <f>'Monthly D4 Gallon Data'!$AA176</f>
        <v>0</v>
      </c>
      <c r="Q283" s="4">
        <v>0</v>
      </c>
      <c r="R283" s="4">
        <v>0</v>
      </c>
      <c r="S283" s="4">
        <v>0</v>
      </c>
      <c r="T283" s="4">
        <v>0</v>
      </c>
      <c r="U283" s="4">
        <v>0</v>
      </c>
      <c r="V283" s="4">
        <v>0</v>
      </c>
      <c r="W283" s="4">
        <v>0</v>
      </c>
      <c r="X283" s="4">
        <v>0</v>
      </c>
      <c r="Y283" s="4">
        <v>0</v>
      </c>
      <c r="Z283" s="4">
        <v>0</v>
      </c>
      <c r="AA283" s="4">
        <v>0</v>
      </c>
      <c r="AB283" s="4">
        <v>0</v>
      </c>
      <c r="AC283" s="4">
        <v>0</v>
      </c>
      <c r="AD283" s="4">
        <v>0</v>
      </c>
      <c r="AE283" s="4">
        <v>0</v>
      </c>
      <c r="AF283" s="4">
        <v>0</v>
      </c>
      <c r="AG283" s="4">
        <v>0</v>
      </c>
      <c r="AH283" s="4">
        <v>0</v>
      </c>
      <c r="AI283" s="4">
        <v>0</v>
      </c>
      <c r="AJ283" s="4">
        <v>0</v>
      </c>
      <c r="AK283" s="4">
        <v>0</v>
      </c>
      <c r="AL283" s="4">
        <v>0</v>
      </c>
      <c r="AM283" s="4">
        <v>0</v>
      </c>
      <c r="AN283" s="4">
        <v>0</v>
      </c>
      <c r="AO283" s="4">
        <v>0</v>
      </c>
      <c r="AP283" s="4">
        <v>0</v>
      </c>
      <c r="AQ283" s="4">
        <v>1</v>
      </c>
      <c r="AR283" s="4"/>
      <c r="AS283" s="4"/>
      <c r="AT283" s="4"/>
      <c r="AU283" s="4"/>
      <c r="AV283" s="4"/>
      <c r="AW283" s="4"/>
      <c r="AX283" s="4"/>
      <c r="AY283" s="3"/>
      <c r="BA283" s="3">
        <v>0</v>
      </c>
      <c r="BB283" s="3">
        <f t="shared" si="293"/>
        <v>0</v>
      </c>
      <c r="BC283" s="3">
        <v>0</v>
      </c>
      <c r="BD283" s="3">
        <f t="shared" si="288"/>
        <v>0</v>
      </c>
      <c r="BE283" s="3">
        <v>0</v>
      </c>
      <c r="BF283" s="3">
        <f t="shared" si="289"/>
        <v>0</v>
      </c>
      <c r="BG283" s="3">
        <v>0</v>
      </c>
      <c r="BH283" s="3"/>
      <c r="BI283" s="3"/>
      <c r="BJ283" s="4">
        <v>0</v>
      </c>
      <c r="BK283" s="3">
        <f t="shared" si="290"/>
        <v>0</v>
      </c>
      <c r="BL283" s="3">
        <f t="shared" si="291"/>
        <v>0</v>
      </c>
      <c r="BM283" s="177">
        <f t="shared" si="292"/>
        <v>0</v>
      </c>
      <c r="BN283" s="3"/>
      <c r="BR283" s="3"/>
      <c r="BS283" s="3"/>
      <c r="BT283" s="3"/>
      <c r="BU283" s="3"/>
      <c r="BV283" s="3"/>
      <c r="BW283" s="3"/>
      <c r="BX283" s="3"/>
      <c r="BY283" s="3"/>
      <c r="BZ283" s="3"/>
      <c r="CA283" s="3"/>
      <c r="CB283" s="3"/>
      <c r="CC283" s="4"/>
      <c r="CD283" s="3"/>
      <c r="CE283" s="3"/>
      <c r="CF283" s="3"/>
      <c r="CG283" s="3"/>
      <c r="CH283" s="3"/>
      <c r="CI283" s="3"/>
      <c r="CJ283" s="3"/>
      <c r="CK283" s="3"/>
      <c r="CL283" s="3"/>
      <c r="CM283" s="3"/>
      <c r="CN283" s="3"/>
      <c r="CO283" s="3"/>
      <c r="CP283" s="3"/>
    </row>
    <row r="284" spans="1:94">
      <c r="A284" s="2" t="s">
        <v>50</v>
      </c>
      <c r="B284" s="3">
        <f>'Monthly D4 Gallon Data'!$AA9</f>
        <v>0</v>
      </c>
      <c r="C284" s="3">
        <f>'Monthly D4 Gallon Data'!$AA21</f>
        <v>0</v>
      </c>
      <c r="D284" s="3">
        <f>'Monthly D4 Gallon Data'!$AA33</f>
        <v>0</v>
      </c>
      <c r="E284" s="3">
        <f>'Monthly D4 Gallon Data'!$AA45</f>
        <v>0</v>
      </c>
      <c r="F284" s="3">
        <f>'Monthly D4 Gallon Data'!$AA57</f>
        <v>0</v>
      </c>
      <c r="G284" s="3">
        <f>'Monthly D4 Gallon Data'!$AA69</f>
        <v>0</v>
      </c>
      <c r="H284" s="3">
        <f>'Monthly D4 Gallon Data'!$AA81</f>
        <v>0</v>
      </c>
      <c r="I284" s="3">
        <f>'Monthly D4 Gallon Data'!$AA93</f>
        <v>0</v>
      </c>
      <c r="J284" s="3">
        <f>'Monthly D4 Gallon Data'!$AA105</f>
        <v>0</v>
      </c>
      <c r="K284" s="3">
        <f>'Monthly D4 Gallon Data'!$AA117</f>
        <v>0</v>
      </c>
      <c r="L284" s="3">
        <f>'Monthly D4 Gallon Data'!$AA129</f>
        <v>0</v>
      </c>
      <c r="M284" s="3">
        <f>'Monthly D4 Gallon Data'!$AA141</f>
        <v>0</v>
      </c>
      <c r="N284" s="3">
        <f>'Monthly D4 Gallon Data'!$AA153</f>
        <v>0</v>
      </c>
      <c r="O284" s="3">
        <f>'Monthly D4 Gallon Data'!$AA165</f>
        <v>0</v>
      </c>
      <c r="P284" s="3">
        <f>'Monthly D4 Gallon Data'!$AA177</f>
        <v>0</v>
      </c>
      <c r="Q284" s="4">
        <v>0</v>
      </c>
      <c r="R284" s="4">
        <v>0</v>
      </c>
      <c r="S284" s="4">
        <v>0</v>
      </c>
      <c r="T284" s="4">
        <v>0</v>
      </c>
      <c r="U284" s="4">
        <v>0</v>
      </c>
      <c r="V284" s="4">
        <v>0</v>
      </c>
      <c r="W284" s="4">
        <v>0</v>
      </c>
      <c r="X284" s="4">
        <v>0</v>
      </c>
      <c r="Y284" s="4">
        <v>0</v>
      </c>
      <c r="Z284" s="4">
        <v>0</v>
      </c>
      <c r="AA284" s="4">
        <v>0</v>
      </c>
      <c r="AB284" s="4">
        <v>0</v>
      </c>
      <c r="AC284" s="4">
        <v>0</v>
      </c>
      <c r="AD284" s="4">
        <v>0</v>
      </c>
      <c r="AE284" s="4">
        <v>0</v>
      </c>
      <c r="AF284" s="4">
        <v>0</v>
      </c>
      <c r="AG284" s="4">
        <v>0</v>
      </c>
      <c r="AH284" s="4">
        <v>0</v>
      </c>
      <c r="AI284" s="4">
        <v>0</v>
      </c>
      <c r="AJ284" s="4">
        <v>0</v>
      </c>
      <c r="AK284" s="4">
        <v>0</v>
      </c>
      <c r="AL284" s="4">
        <v>0</v>
      </c>
      <c r="AM284" s="4">
        <v>0</v>
      </c>
      <c r="AN284" s="4">
        <v>0</v>
      </c>
      <c r="AO284" s="4">
        <v>0</v>
      </c>
      <c r="AP284" s="4">
        <v>0</v>
      </c>
      <c r="AQ284" s="4">
        <v>1</v>
      </c>
      <c r="AR284" s="4"/>
      <c r="AS284" s="4"/>
      <c r="AT284" s="4"/>
      <c r="AU284" s="4"/>
      <c r="AV284" s="4"/>
      <c r="AW284" s="4"/>
      <c r="AX284" s="4"/>
      <c r="AY284" s="3"/>
      <c r="BA284" s="3">
        <v>0</v>
      </c>
      <c r="BB284" s="3">
        <f t="shared" si="293"/>
        <v>0</v>
      </c>
      <c r="BC284" s="3">
        <v>0</v>
      </c>
      <c r="BD284" s="3">
        <f t="shared" si="288"/>
        <v>0</v>
      </c>
      <c r="BE284" s="3">
        <v>0</v>
      </c>
      <c r="BF284" s="3">
        <f t="shared" si="289"/>
        <v>0</v>
      </c>
      <c r="BG284" s="3">
        <v>0</v>
      </c>
      <c r="BH284" s="3"/>
      <c r="BI284" s="3"/>
      <c r="BJ284" s="4">
        <v>0</v>
      </c>
      <c r="BK284" s="3">
        <f t="shared" si="290"/>
        <v>0</v>
      </c>
      <c r="BL284" s="3">
        <f t="shared" si="291"/>
        <v>0</v>
      </c>
      <c r="BM284" s="177">
        <f t="shared" si="292"/>
        <v>0</v>
      </c>
      <c r="BN284" s="3"/>
      <c r="BR284" s="3"/>
      <c r="BS284" s="3"/>
      <c r="BT284" s="3"/>
      <c r="BU284" s="3"/>
      <c r="BV284" s="3"/>
      <c r="BW284" s="3"/>
      <c r="BX284" s="3"/>
      <c r="BY284" s="3"/>
      <c r="BZ284" s="3"/>
      <c r="CA284" s="3"/>
      <c r="CB284" s="3"/>
      <c r="CC284" s="4"/>
      <c r="CD284" s="3"/>
      <c r="CE284" s="3"/>
      <c r="CF284" s="3"/>
      <c r="CG284" s="3"/>
      <c r="CH284" s="3"/>
      <c r="CI284" s="3"/>
      <c r="CJ284" s="3"/>
      <c r="CK284" s="3"/>
      <c r="CL284" s="3"/>
      <c r="CM284" s="3"/>
      <c r="CN284" s="3"/>
      <c r="CO284" s="3"/>
      <c r="CP284" s="3"/>
    </row>
    <row r="285" spans="1:94">
      <c r="A285" s="2" t="s">
        <v>51</v>
      </c>
      <c r="B285" s="3">
        <f>'Monthly D4 Gallon Data'!$AA10</f>
        <v>0</v>
      </c>
      <c r="C285" s="3">
        <f>'Monthly D4 Gallon Data'!$AA22</f>
        <v>0</v>
      </c>
      <c r="D285" s="3">
        <f>'Monthly D4 Gallon Data'!$AA34</f>
        <v>0</v>
      </c>
      <c r="E285" s="3">
        <f>'Monthly D4 Gallon Data'!$AA46</f>
        <v>0</v>
      </c>
      <c r="F285" s="3">
        <f>'Monthly D4 Gallon Data'!$AA58</f>
        <v>0</v>
      </c>
      <c r="G285" s="3">
        <f>'Monthly D4 Gallon Data'!$AA70</f>
        <v>0</v>
      </c>
      <c r="H285" s="3">
        <f>'Monthly D4 Gallon Data'!$AA82</f>
        <v>0</v>
      </c>
      <c r="I285" s="3">
        <f>'Monthly D4 Gallon Data'!$AA94</f>
        <v>0</v>
      </c>
      <c r="J285" s="3">
        <f>'Monthly D4 Gallon Data'!$AA106</f>
        <v>0</v>
      </c>
      <c r="K285" s="3">
        <f>'Monthly D4 Gallon Data'!$AA118</f>
        <v>0</v>
      </c>
      <c r="L285" s="3">
        <f>'Monthly D4 Gallon Data'!$AA130</f>
        <v>0</v>
      </c>
      <c r="M285" s="3">
        <f>'Monthly D4 Gallon Data'!$AA142</f>
        <v>0</v>
      </c>
      <c r="N285" s="3">
        <f>'Monthly D4 Gallon Data'!$AA154</f>
        <v>0</v>
      </c>
      <c r="O285" s="3">
        <f>'Monthly D4 Gallon Data'!$AA166</f>
        <v>0</v>
      </c>
      <c r="P285" s="3">
        <f>'Monthly D4 Gallon Data'!$AA178</f>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0</v>
      </c>
      <c r="AH285" s="4">
        <v>0</v>
      </c>
      <c r="AI285" s="4">
        <v>0</v>
      </c>
      <c r="AJ285" s="4">
        <v>0</v>
      </c>
      <c r="AK285" s="4">
        <v>0</v>
      </c>
      <c r="AL285" s="4">
        <v>0</v>
      </c>
      <c r="AM285" s="4">
        <v>0</v>
      </c>
      <c r="AN285" s="4">
        <v>0</v>
      </c>
      <c r="AO285" s="4">
        <v>0</v>
      </c>
      <c r="AP285" s="4">
        <v>0</v>
      </c>
      <c r="AQ285" s="4">
        <v>1</v>
      </c>
      <c r="AR285" s="4"/>
      <c r="AS285" s="4"/>
      <c r="AT285" s="4"/>
      <c r="AU285" s="4"/>
      <c r="AV285" s="4"/>
      <c r="AW285" s="4"/>
      <c r="AX285" s="4"/>
      <c r="AY285" s="3"/>
      <c r="BA285" s="3">
        <v>0</v>
      </c>
      <c r="BB285" s="3">
        <f t="shared" si="293"/>
        <v>0</v>
      </c>
      <c r="BC285" s="3">
        <v>0</v>
      </c>
      <c r="BD285" s="3">
        <f t="shared" si="288"/>
        <v>0</v>
      </c>
      <c r="BE285" s="3">
        <v>0</v>
      </c>
      <c r="BF285" s="3">
        <f t="shared" si="289"/>
        <v>0</v>
      </c>
      <c r="BG285" s="3">
        <v>0</v>
      </c>
      <c r="BH285" s="3"/>
      <c r="BI285" s="3"/>
      <c r="BJ285" s="4">
        <v>0</v>
      </c>
      <c r="BK285" s="3">
        <f t="shared" si="290"/>
        <v>0</v>
      </c>
      <c r="BL285" s="3">
        <f t="shared" si="291"/>
        <v>0</v>
      </c>
      <c r="BM285" s="177">
        <f t="shared" si="292"/>
        <v>0</v>
      </c>
      <c r="BN285" s="3"/>
      <c r="BR285" s="3"/>
      <c r="BS285" s="3"/>
      <c r="BT285" s="3"/>
      <c r="BU285" s="3"/>
      <c r="BV285" s="3"/>
      <c r="BW285" s="3"/>
      <c r="BX285" s="3"/>
      <c r="BY285" s="3"/>
      <c r="BZ285" s="3"/>
      <c r="CA285" s="3"/>
      <c r="CB285" s="3"/>
      <c r="CC285" s="4"/>
      <c r="CD285" s="3"/>
      <c r="CE285" s="3"/>
      <c r="CF285" s="3"/>
      <c r="CG285" s="3"/>
      <c r="CH285" s="3"/>
      <c r="CI285" s="3"/>
      <c r="CJ285" s="3"/>
      <c r="CK285" s="3"/>
      <c r="CL285" s="3"/>
      <c r="CM285" s="3"/>
      <c r="CN285" s="3"/>
      <c r="CO285" s="3"/>
      <c r="CP285" s="3"/>
    </row>
    <row r="286" spans="1:94">
      <c r="A286" s="2" t="s">
        <v>52</v>
      </c>
      <c r="B286" s="3">
        <f>'Monthly D4 Gallon Data'!$AA11</f>
        <v>0</v>
      </c>
      <c r="C286" s="3">
        <f>'Monthly D4 Gallon Data'!$AA23</f>
        <v>0</v>
      </c>
      <c r="D286" s="3">
        <f>'Monthly D4 Gallon Data'!$AA35</f>
        <v>0</v>
      </c>
      <c r="E286" s="3">
        <f>'Monthly D4 Gallon Data'!$AA47</f>
        <v>0</v>
      </c>
      <c r="F286" s="3">
        <f>'Monthly D4 Gallon Data'!$AA59</f>
        <v>0</v>
      </c>
      <c r="G286" s="3">
        <f>'Monthly D4 Gallon Data'!$AA71</f>
        <v>0</v>
      </c>
      <c r="H286" s="3">
        <f>'Monthly D4 Gallon Data'!$AA83</f>
        <v>0</v>
      </c>
      <c r="I286" s="3">
        <f>'Monthly D4 Gallon Data'!$AA95</f>
        <v>0</v>
      </c>
      <c r="J286" s="3">
        <f>'Monthly D4 Gallon Data'!$AA107</f>
        <v>0</v>
      </c>
      <c r="K286" s="3">
        <f>'Monthly D4 Gallon Data'!$AA119</f>
        <v>0</v>
      </c>
      <c r="L286" s="3">
        <f>'Monthly D4 Gallon Data'!$AA131</f>
        <v>0</v>
      </c>
      <c r="M286" s="3">
        <f>'Monthly D4 Gallon Data'!$AA143</f>
        <v>0</v>
      </c>
      <c r="N286" s="3">
        <f>'Monthly D4 Gallon Data'!$AA155</f>
        <v>0</v>
      </c>
      <c r="O286" s="3">
        <f>'Monthly D4 Gallon Data'!$AA167</f>
        <v>0</v>
      </c>
      <c r="P286" s="3">
        <f>'Monthly D4 Gallon Data'!$AA179</f>
        <v>0</v>
      </c>
      <c r="Q286" s="4">
        <v>0</v>
      </c>
      <c r="R286" s="4">
        <v>0</v>
      </c>
      <c r="S286" s="4">
        <v>0</v>
      </c>
      <c r="T286" s="4">
        <v>0</v>
      </c>
      <c r="U286" s="4">
        <v>0</v>
      </c>
      <c r="V286" s="4">
        <v>0</v>
      </c>
      <c r="W286" s="4">
        <v>0</v>
      </c>
      <c r="X286" s="4">
        <v>0</v>
      </c>
      <c r="Y286" s="4">
        <v>0</v>
      </c>
      <c r="Z286" s="4">
        <v>0</v>
      </c>
      <c r="AA286" s="4">
        <v>0</v>
      </c>
      <c r="AB286" s="4">
        <v>0</v>
      </c>
      <c r="AC286" s="4">
        <v>0</v>
      </c>
      <c r="AD286" s="4">
        <v>0</v>
      </c>
      <c r="AE286" s="4">
        <v>0</v>
      </c>
      <c r="AF286" s="4">
        <v>0</v>
      </c>
      <c r="AG286" s="4">
        <v>0</v>
      </c>
      <c r="AH286" s="4">
        <v>0</v>
      </c>
      <c r="AI286" s="4">
        <v>0</v>
      </c>
      <c r="AJ286" s="4">
        <v>0</v>
      </c>
      <c r="AK286" s="4">
        <v>0</v>
      </c>
      <c r="AL286" s="4">
        <v>0</v>
      </c>
      <c r="AM286" s="4">
        <v>0</v>
      </c>
      <c r="AN286" s="4">
        <v>0</v>
      </c>
      <c r="AO286" s="4">
        <v>0</v>
      </c>
      <c r="AP286" s="4">
        <v>0</v>
      </c>
      <c r="AQ286" s="4">
        <v>1</v>
      </c>
      <c r="AR286" s="4"/>
      <c r="AS286" s="4"/>
      <c r="AT286" s="4"/>
      <c r="AU286" s="4"/>
      <c r="AV286" s="4"/>
      <c r="AW286" s="4"/>
      <c r="AX286" s="4"/>
      <c r="AY286" s="3"/>
      <c r="BA286" s="3">
        <v>0</v>
      </c>
      <c r="BB286" s="3">
        <f t="shared" si="293"/>
        <v>0</v>
      </c>
      <c r="BC286" s="3">
        <v>0</v>
      </c>
      <c r="BD286" s="3">
        <f t="shared" si="288"/>
        <v>0</v>
      </c>
      <c r="BE286" s="3">
        <v>0</v>
      </c>
      <c r="BF286" s="3">
        <f t="shared" si="289"/>
        <v>0</v>
      </c>
      <c r="BG286" s="3">
        <v>0</v>
      </c>
      <c r="BH286" s="3"/>
      <c r="BI286" s="3"/>
      <c r="BJ286" s="4">
        <v>0</v>
      </c>
      <c r="BK286" s="3">
        <f t="shared" si="290"/>
        <v>0</v>
      </c>
      <c r="BL286" s="3">
        <f t="shared" si="291"/>
        <v>0</v>
      </c>
      <c r="BM286" s="177">
        <f t="shared" si="292"/>
        <v>0</v>
      </c>
      <c r="BN286" s="3"/>
      <c r="BR286" s="3"/>
      <c r="BS286" s="3"/>
      <c r="BT286" s="3"/>
      <c r="BU286" s="3"/>
      <c r="BV286" s="3"/>
      <c r="BW286" s="3"/>
      <c r="BX286" s="3"/>
      <c r="BY286" s="3"/>
      <c r="BZ286" s="3"/>
      <c r="CA286" s="3"/>
      <c r="CB286" s="3"/>
      <c r="CC286" s="4"/>
      <c r="CD286" s="3"/>
      <c r="CE286" s="3"/>
      <c r="CF286" s="3"/>
      <c r="CG286" s="3"/>
      <c r="CH286" s="3"/>
      <c r="CI286" s="3"/>
      <c r="CJ286" s="3"/>
      <c r="CK286" s="3"/>
      <c r="CL286" s="3"/>
      <c r="CM286" s="3"/>
      <c r="CN286" s="3"/>
      <c r="CO286" s="3"/>
      <c r="CP286" s="3"/>
    </row>
    <row r="287" spans="1:94">
      <c r="A287" s="2" t="s">
        <v>53</v>
      </c>
      <c r="B287" s="3">
        <f>'Monthly D4 Gallon Data'!$AA12</f>
        <v>0</v>
      </c>
      <c r="C287" s="3">
        <f>'Monthly D4 Gallon Data'!$AA24</f>
        <v>0</v>
      </c>
      <c r="D287" s="3">
        <f>'Monthly D4 Gallon Data'!$AA36</f>
        <v>0</v>
      </c>
      <c r="E287" s="3">
        <f>'Monthly D4 Gallon Data'!$AA48</f>
        <v>0</v>
      </c>
      <c r="F287" s="3">
        <f>'Monthly D4 Gallon Data'!$AA60</f>
        <v>0</v>
      </c>
      <c r="G287" s="3">
        <f>'Monthly D4 Gallon Data'!$AA72</f>
        <v>0</v>
      </c>
      <c r="H287" s="3">
        <f>'Monthly D4 Gallon Data'!$AA84</f>
        <v>0</v>
      </c>
      <c r="I287" s="3">
        <f>'Monthly D4 Gallon Data'!$AA96</f>
        <v>0</v>
      </c>
      <c r="J287" s="3">
        <f>'Monthly D4 Gallon Data'!$AA108</f>
        <v>0</v>
      </c>
      <c r="K287" s="3">
        <f>'Monthly D4 Gallon Data'!$AA120</f>
        <v>0</v>
      </c>
      <c r="L287" s="3">
        <f>'Monthly D4 Gallon Data'!$AA132</f>
        <v>0</v>
      </c>
      <c r="M287" s="3">
        <f>'Monthly D4 Gallon Data'!$AA144</f>
        <v>0</v>
      </c>
      <c r="N287" s="3">
        <f>'Monthly D4 Gallon Data'!$AA156</f>
        <v>0</v>
      </c>
      <c r="O287" s="3">
        <f>'Monthly D4 Gallon Data'!$AA168</f>
        <v>0</v>
      </c>
      <c r="P287" s="3">
        <f>'Monthly D4 Gallon Data'!$AA180</f>
        <v>0</v>
      </c>
      <c r="Q287" s="4">
        <v>0</v>
      </c>
      <c r="R287" s="4">
        <v>0</v>
      </c>
      <c r="S287" s="4">
        <v>0</v>
      </c>
      <c r="T287" s="4">
        <v>0</v>
      </c>
      <c r="U287" s="4">
        <v>0</v>
      </c>
      <c r="V287" s="4">
        <v>0</v>
      </c>
      <c r="W287" s="4">
        <v>0</v>
      </c>
      <c r="X287" s="4">
        <v>0</v>
      </c>
      <c r="Y287" s="4">
        <v>0</v>
      </c>
      <c r="Z287" s="4">
        <v>0</v>
      </c>
      <c r="AA287" s="4">
        <v>0</v>
      </c>
      <c r="AB287" s="4">
        <v>0</v>
      </c>
      <c r="AC287" s="4">
        <v>0</v>
      </c>
      <c r="AD287" s="4">
        <v>0</v>
      </c>
      <c r="AE287" s="4">
        <v>0</v>
      </c>
      <c r="AF287" s="4">
        <v>0</v>
      </c>
      <c r="AG287" s="4">
        <v>0</v>
      </c>
      <c r="AH287" s="4">
        <v>0</v>
      </c>
      <c r="AI287" s="4">
        <v>0</v>
      </c>
      <c r="AJ287" s="4">
        <v>0</v>
      </c>
      <c r="AK287" s="4">
        <v>0</v>
      </c>
      <c r="AL287" s="4">
        <v>0</v>
      </c>
      <c r="AM287" s="4">
        <v>0</v>
      </c>
      <c r="AN287" s="4">
        <v>0</v>
      </c>
      <c r="AO287" s="4">
        <v>0</v>
      </c>
      <c r="AP287" s="4">
        <v>0</v>
      </c>
      <c r="AQ287" s="4">
        <v>1</v>
      </c>
      <c r="AR287" s="4"/>
      <c r="AS287" s="4"/>
      <c r="AT287" s="4"/>
      <c r="AU287" s="4"/>
      <c r="AV287" s="4"/>
      <c r="AW287" s="4"/>
      <c r="AX287" s="4"/>
      <c r="AY287" s="3"/>
      <c r="BA287" s="3">
        <v>0</v>
      </c>
      <c r="BB287" s="3">
        <f t="shared" si="293"/>
        <v>0</v>
      </c>
      <c r="BC287" s="3">
        <v>0</v>
      </c>
      <c r="BD287" s="3">
        <f t="shared" si="288"/>
        <v>0</v>
      </c>
      <c r="BE287" s="3">
        <v>0</v>
      </c>
      <c r="BF287" s="3">
        <f t="shared" si="289"/>
        <v>0</v>
      </c>
      <c r="BG287" s="3">
        <v>0</v>
      </c>
      <c r="BH287" s="3"/>
      <c r="BI287" s="3"/>
      <c r="BJ287" s="4">
        <v>0</v>
      </c>
      <c r="BK287" s="3">
        <f t="shared" si="290"/>
        <v>0</v>
      </c>
      <c r="BL287" s="3">
        <f t="shared" si="291"/>
        <v>0</v>
      </c>
      <c r="BM287" s="177">
        <f t="shared" si="292"/>
        <v>0</v>
      </c>
      <c r="BN287" s="3"/>
      <c r="BR287" s="3"/>
      <c r="BS287" s="3"/>
      <c r="BT287" s="3"/>
      <c r="BU287" s="3"/>
      <c r="BV287" s="3"/>
      <c r="BW287" s="3"/>
      <c r="BX287" s="3"/>
      <c r="BY287" s="3"/>
      <c r="BZ287" s="3"/>
      <c r="CA287" s="3"/>
      <c r="CB287" s="3"/>
      <c r="CC287" s="4"/>
      <c r="CD287" s="3"/>
      <c r="CE287" s="3"/>
      <c r="CF287" s="3"/>
      <c r="CG287" s="3"/>
      <c r="CH287" s="3"/>
      <c r="CI287" s="3"/>
      <c r="CJ287" s="3"/>
      <c r="CK287" s="3"/>
      <c r="CL287" s="3"/>
      <c r="CM287" s="3"/>
      <c r="CN287" s="3"/>
      <c r="CO287" s="3"/>
      <c r="CP287" s="3"/>
    </row>
    <row r="288" spans="1:94">
      <c r="A288" s="2" t="s">
        <v>54</v>
      </c>
      <c r="B288" s="3">
        <f>'Monthly D4 Gallon Data'!$AA13</f>
        <v>0</v>
      </c>
      <c r="C288" s="3">
        <f>'Monthly D4 Gallon Data'!$AA25</f>
        <v>0</v>
      </c>
      <c r="D288" s="3">
        <f>'Monthly D4 Gallon Data'!$AA37</f>
        <v>0</v>
      </c>
      <c r="E288" s="3">
        <f>'Monthly D4 Gallon Data'!$AA49</f>
        <v>0</v>
      </c>
      <c r="F288" s="3">
        <f>'Monthly D4 Gallon Data'!$AA61</f>
        <v>0</v>
      </c>
      <c r="G288" s="3">
        <f>'Monthly D4 Gallon Data'!$AA73</f>
        <v>0</v>
      </c>
      <c r="H288" s="3">
        <f>'Monthly D4 Gallon Data'!$AA85</f>
        <v>0</v>
      </c>
      <c r="I288" s="3">
        <f>'Monthly D4 Gallon Data'!$AA97</f>
        <v>0</v>
      </c>
      <c r="J288" s="3">
        <f>'Monthly D4 Gallon Data'!$AA109</f>
        <v>0</v>
      </c>
      <c r="K288" s="3">
        <f>'Monthly D4 Gallon Data'!$AA121</f>
        <v>0</v>
      </c>
      <c r="L288" s="3">
        <f>'Monthly D4 Gallon Data'!$AA133</f>
        <v>0</v>
      </c>
      <c r="M288" s="3">
        <f>'Monthly D4 Gallon Data'!$AA145</f>
        <v>0</v>
      </c>
      <c r="N288" s="3">
        <f>'Monthly D4 Gallon Data'!$AA157</f>
        <v>0</v>
      </c>
      <c r="O288" s="3">
        <f>'Monthly D4 Gallon Data'!$AA169</f>
        <v>0</v>
      </c>
      <c r="P288" s="3">
        <f>'Monthly D4 Gallon Data'!$AA181</f>
        <v>0</v>
      </c>
      <c r="Q288" s="4">
        <v>0</v>
      </c>
      <c r="R288" s="4">
        <v>0</v>
      </c>
      <c r="S288" s="4">
        <v>0</v>
      </c>
      <c r="T288" s="4">
        <v>0</v>
      </c>
      <c r="U288" s="4">
        <v>0</v>
      </c>
      <c r="V288" s="4">
        <v>0</v>
      </c>
      <c r="W288" s="4">
        <v>0</v>
      </c>
      <c r="X288" s="4">
        <v>0</v>
      </c>
      <c r="Y288" s="4">
        <v>0</v>
      </c>
      <c r="Z288" s="4">
        <v>0</v>
      </c>
      <c r="AA288" s="4">
        <v>0</v>
      </c>
      <c r="AB288" s="4">
        <v>0</v>
      </c>
      <c r="AC288" s="4">
        <v>0</v>
      </c>
      <c r="AD288" s="4">
        <v>0</v>
      </c>
      <c r="AE288" s="4">
        <v>0</v>
      </c>
      <c r="AF288" s="4">
        <v>0</v>
      </c>
      <c r="AG288" s="4">
        <v>0</v>
      </c>
      <c r="AH288" s="4">
        <v>0</v>
      </c>
      <c r="AI288" s="4">
        <v>0</v>
      </c>
      <c r="AJ288" s="4">
        <v>0</v>
      </c>
      <c r="AK288" s="4">
        <v>0</v>
      </c>
      <c r="AL288" s="4">
        <v>0</v>
      </c>
      <c r="AM288" s="4">
        <v>0</v>
      </c>
      <c r="AN288" s="4">
        <v>0</v>
      </c>
      <c r="AO288" s="4">
        <v>0</v>
      </c>
      <c r="AP288" s="4">
        <v>0</v>
      </c>
      <c r="AQ288" s="4">
        <v>1</v>
      </c>
      <c r="AR288" s="4"/>
      <c r="AS288" s="4"/>
      <c r="AT288" s="4"/>
      <c r="AU288" s="4"/>
      <c r="AV288" s="4"/>
      <c r="AW288" s="4"/>
      <c r="AX288" s="4"/>
      <c r="AY288" s="3"/>
      <c r="BA288" s="3">
        <v>0</v>
      </c>
      <c r="BB288" s="3">
        <f t="shared" si="293"/>
        <v>0</v>
      </c>
      <c r="BC288" s="3">
        <v>0</v>
      </c>
      <c r="BD288" s="3">
        <f t="shared" si="288"/>
        <v>0</v>
      </c>
      <c r="BE288" s="3">
        <v>0</v>
      </c>
      <c r="BF288" s="3">
        <f t="shared" si="289"/>
        <v>0</v>
      </c>
      <c r="BG288" s="3">
        <v>0</v>
      </c>
      <c r="BH288" s="3"/>
      <c r="BI288" s="3"/>
      <c r="BJ288" s="4">
        <v>0</v>
      </c>
      <c r="BK288" s="3">
        <f t="shared" si="290"/>
        <v>0</v>
      </c>
      <c r="BL288" s="3">
        <f t="shared" si="291"/>
        <v>0</v>
      </c>
      <c r="BM288" s="177">
        <f t="shared" si="292"/>
        <v>0</v>
      </c>
      <c r="BN288" s="3"/>
      <c r="BR288" s="3"/>
      <c r="BS288" s="3"/>
      <c r="BT288" s="3"/>
      <c r="BU288" s="3"/>
      <c r="BV288" s="3"/>
      <c r="BW288" s="3"/>
      <c r="BX288" s="3"/>
      <c r="BY288" s="3"/>
      <c r="BZ288" s="3"/>
      <c r="CA288" s="3"/>
      <c r="CB288" s="3"/>
      <c r="CC288" s="4"/>
      <c r="CD288" s="3"/>
      <c r="CE288" s="3"/>
      <c r="CF288" s="3"/>
      <c r="CG288" s="3"/>
      <c r="CH288" s="3"/>
      <c r="CI288" s="3"/>
      <c r="CJ288" s="3"/>
      <c r="CK288" s="3"/>
      <c r="CL288" s="3"/>
      <c r="CM288" s="3"/>
      <c r="CN288" s="3"/>
      <c r="CO288" s="3"/>
      <c r="CP288" s="3"/>
    </row>
    <row r="289" spans="1:94" ht="13.5" thickBot="1">
      <c r="A289" s="2" t="s">
        <v>29</v>
      </c>
      <c r="B289" s="3">
        <f>SUM(B277:B288)</f>
        <v>0</v>
      </c>
      <c r="C289" s="3">
        <f t="shared" ref="C289:AQ289" si="294">SUM(C277:C288)</f>
        <v>0</v>
      </c>
      <c r="D289" s="3">
        <f t="shared" si="294"/>
        <v>0</v>
      </c>
      <c r="E289" s="3">
        <f t="shared" si="294"/>
        <v>0</v>
      </c>
      <c r="F289" s="3">
        <f t="shared" si="294"/>
        <v>0</v>
      </c>
      <c r="G289" s="3">
        <f t="shared" si="294"/>
        <v>0</v>
      </c>
      <c r="H289" s="3">
        <f t="shared" si="294"/>
        <v>0</v>
      </c>
      <c r="I289" s="3">
        <f t="shared" si="294"/>
        <v>0</v>
      </c>
      <c r="J289" s="3">
        <f t="shared" si="294"/>
        <v>0</v>
      </c>
      <c r="K289" s="3">
        <f t="shared" si="294"/>
        <v>0</v>
      </c>
      <c r="L289" s="3">
        <f t="shared" si="294"/>
        <v>0</v>
      </c>
      <c r="M289" s="3">
        <f t="shared" si="294"/>
        <v>0</v>
      </c>
      <c r="N289" s="3">
        <f t="shared" si="294"/>
        <v>0</v>
      </c>
      <c r="O289" s="3">
        <f t="shared" si="294"/>
        <v>0</v>
      </c>
      <c r="P289" s="3">
        <f t="shared" si="294"/>
        <v>0</v>
      </c>
      <c r="Q289" s="4">
        <f t="shared" si="294"/>
        <v>0</v>
      </c>
      <c r="R289" s="4">
        <f t="shared" si="294"/>
        <v>0</v>
      </c>
      <c r="S289" s="4">
        <f t="shared" si="294"/>
        <v>0</v>
      </c>
      <c r="T289" s="4">
        <f t="shared" si="294"/>
        <v>0</v>
      </c>
      <c r="U289" s="4">
        <f t="shared" si="294"/>
        <v>0</v>
      </c>
      <c r="V289" s="4">
        <f t="shared" si="294"/>
        <v>0</v>
      </c>
      <c r="W289" s="4">
        <f t="shared" si="294"/>
        <v>0</v>
      </c>
      <c r="X289" s="4">
        <f t="shared" si="294"/>
        <v>0</v>
      </c>
      <c r="Y289" s="4">
        <f t="shared" si="294"/>
        <v>0</v>
      </c>
      <c r="Z289" s="4">
        <f t="shared" si="294"/>
        <v>0</v>
      </c>
      <c r="AA289" s="4">
        <f t="shared" si="294"/>
        <v>0</v>
      </c>
      <c r="AB289" s="4">
        <f t="shared" si="294"/>
        <v>0</v>
      </c>
      <c r="AC289" s="4">
        <f t="shared" si="294"/>
        <v>0</v>
      </c>
      <c r="AD289" s="4">
        <f t="shared" si="294"/>
        <v>0</v>
      </c>
      <c r="AE289" s="4">
        <f t="shared" si="294"/>
        <v>0</v>
      </c>
      <c r="AF289" s="4">
        <f t="shared" si="294"/>
        <v>0</v>
      </c>
      <c r="AG289" s="4">
        <f t="shared" si="294"/>
        <v>0</v>
      </c>
      <c r="AH289" s="4">
        <f t="shared" si="294"/>
        <v>0</v>
      </c>
      <c r="AI289" s="4">
        <f t="shared" si="294"/>
        <v>0</v>
      </c>
      <c r="AJ289" s="4">
        <f t="shared" si="294"/>
        <v>0</v>
      </c>
      <c r="AK289" s="4">
        <f t="shared" si="294"/>
        <v>0</v>
      </c>
      <c r="AL289" s="4">
        <f t="shared" si="294"/>
        <v>0</v>
      </c>
      <c r="AM289" s="4">
        <f t="shared" si="294"/>
        <v>0</v>
      </c>
      <c r="AN289" s="4">
        <f t="shared" si="294"/>
        <v>0</v>
      </c>
      <c r="AO289" s="4">
        <f t="shared" si="294"/>
        <v>0</v>
      </c>
      <c r="AP289" s="4">
        <f t="shared" si="294"/>
        <v>0</v>
      </c>
      <c r="AQ289" s="4">
        <f t="shared" si="294"/>
        <v>12</v>
      </c>
      <c r="AR289" s="4"/>
      <c r="AS289" s="4"/>
      <c r="AT289" s="4"/>
      <c r="AU289" s="4"/>
      <c r="AV289" s="4"/>
      <c r="AW289" s="4"/>
      <c r="AX289" s="4"/>
      <c r="AY289" s="3"/>
      <c r="BA289" s="3">
        <v>0</v>
      </c>
      <c r="BB289" s="3">
        <f t="shared" si="293"/>
        <v>0</v>
      </c>
      <c r="BC289" s="3">
        <v>0</v>
      </c>
      <c r="BD289" s="3">
        <f t="shared" si="288"/>
        <v>0</v>
      </c>
      <c r="BE289" s="3">
        <v>0</v>
      </c>
      <c r="BF289" s="3">
        <f t="shared" si="289"/>
        <v>0</v>
      </c>
      <c r="BG289" s="3">
        <v>0</v>
      </c>
      <c r="BH289" s="3"/>
      <c r="BI289" s="3"/>
      <c r="BJ289" s="4">
        <v>0</v>
      </c>
      <c r="BK289" s="3">
        <f t="shared" si="290"/>
        <v>0</v>
      </c>
      <c r="BL289" s="3">
        <f t="shared" si="291"/>
        <v>0</v>
      </c>
      <c r="BM289" s="177">
        <f t="shared" si="292"/>
        <v>0</v>
      </c>
      <c r="BN289" s="3"/>
      <c r="BR289" s="3"/>
      <c r="BS289" s="3"/>
      <c r="BT289" s="3"/>
      <c r="BU289" s="3"/>
      <c r="BV289" s="3"/>
      <c r="BW289" s="3"/>
      <c r="BX289" s="3"/>
      <c r="BY289" s="3"/>
      <c r="BZ289" s="3"/>
      <c r="CA289" s="3"/>
      <c r="CB289" s="3"/>
      <c r="CC289" s="4"/>
      <c r="CD289" s="3"/>
      <c r="CE289" s="3"/>
      <c r="CF289" s="3"/>
      <c r="CG289" s="3"/>
      <c r="CH289" s="3"/>
      <c r="CI289" s="3"/>
      <c r="CJ289" s="3"/>
      <c r="CK289" s="3"/>
      <c r="CL289" s="3"/>
      <c r="CM289" s="3"/>
      <c r="CN289" s="3"/>
      <c r="CO289" s="3"/>
      <c r="CP289" s="3"/>
    </row>
    <row r="290" spans="1:94">
      <c r="A290" s="114"/>
      <c r="B290" s="114"/>
      <c r="C290" s="114"/>
      <c r="D290" s="114"/>
      <c r="E290" s="114"/>
      <c r="F290" s="114"/>
      <c r="G290" s="114"/>
      <c r="H290" s="114"/>
      <c r="I290" s="114"/>
      <c r="J290" s="114"/>
      <c r="K290" s="114"/>
      <c r="L290" s="114"/>
      <c r="M290" s="114"/>
      <c r="N290" s="114"/>
      <c r="O290" s="114"/>
      <c r="P290" s="114"/>
      <c r="Q290" s="114"/>
      <c r="R290" s="114"/>
      <c r="S290" s="114"/>
      <c r="T290" s="114"/>
      <c r="U290" s="114"/>
      <c r="V290" s="114"/>
      <c r="W290" s="114"/>
      <c r="X290" s="114"/>
      <c r="Y290" s="114"/>
      <c r="Z290" s="114"/>
      <c r="AA290" s="114"/>
      <c r="AB290" s="114"/>
      <c r="AC290" s="114"/>
      <c r="AD290" s="114"/>
      <c r="AE290" s="114"/>
      <c r="AF290" s="114"/>
      <c r="AG290" s="114"/>
      <c r="AH290" s="114"/>
      <c r="AI290" s="114"/>
      <c r="AJ290" s="114"/>
      <c r="AK290" s="114"/>
      <c r="AL290" s="114"/>
      <c r="AM290" s="114"/>
      <c r="AN290" s="114"/>
      <c r="AO290" s="114"/>
      <c r="AP290" s="114"/>
      <c r="AQ290" s="114"/>
      <c r="AX290" s="4"/>
      <c r="AY290" s="3"/>
      <c r="BE290" s="4"/>
    </row>
    <row r="291" spans="1:94" ht="16.5" thickBot="1">
      <c r="A291" s="109" t="s">
        <v>324</v>
      </c>
      <c r="AX291" s="4"/>
      <c r="AY291" s="3"/>
      <c r="BE291" s="4"/>
    </row>
    <row r="292" spans="1:94" ht="13.5" thickBot="1">
      <c r="A292" s="110"/>
      <c r="B292" s="111">
        <f t="shared" ref="B292:K292" si="295">B2</f>
        <v>2010</v>
      </c>
      <c r="C292" s="111">
        <f t="shared" si="295"/>
        <v>2011</v>
      </c>
      <c r="D292" s="111">
        <f t="shared" si="295"/>
        <v>2012</v>
      </c>
      <c r="E292" s="111">
        <f t="shared" si="295"/>
        <v>2013</v>
      </c>
      <c r="F292" s="111">
        <f t="shared" si="295"/>
        <v>2014</v>
      </c>
      <c r="G292" s="111">
        <f t="shared" si="295"/>
        <v>2015</v>
      </c>
      <c r="H292" s="111">
        <f t="shared" si="295"/>
        <v>2016</v>
      </c>
      <c r="I292" s="111">
        <f t="shared" si="295"/>
        <v>2017</v>
      </c>
      <c r="J292" s="111">
        <f t="shared" si="295"/>
        <v>2018</v>
      </c>
      <c r="K292" s="111">
        <f t="shared" si="295"/>
        <v>2019</v>
      </c>
      <c r="L292" s="111">
        <f>L2</f>
        <v>2020</v>
      </c>
      <c r="M292" s="111">
        <f>M2</f>
        <v>2021</v>
      </c>
      <c r="N292" s="111">
        <f t="shared" ref="N292:AQ292" si="296">N2</f>
        <v>2022</v>
      </c>
      <c r="O292" s="111">
        <f t="shared" si="296"/>
        <v>2023</v>
      </c>
      <c r="P292" s="111">
        <f t="shared" si="296"/>
        <v>2024</v>
      </c>
      <c r="Q292" s="111">
        <f t="shared" si="296"/>
        <v>2025</v>
      </c>
      <c r="R292" s="111">
        <f t="shared" si="296"/>
        <v>2026</v>
      </c>
      <c r="S292" s="111">
        <f t="shared" si="296"/>
        <v>2027</v>
      </c>
      <c r="T292" s="111">
        <f t="shared" si="296"/>
        <v>2028</v>
      </c>
      <c r="U292" s="111">
        <f t="shared" si="296"/>
        <v>2029</v>
      </c>
      <c r="V292" s="111">
        <f t="shared" si="296"/>
        <v>2030</v>
      </c>
      <c r="W292" s="111">
        <f t="shared" si="296"/>
        <v>2031</v>
      </c>
      <c r="X292" s="111">
        <f t="shared" si="296"/>
        <v>2032</v>
      </c>
      <c r="Y292" s="111">
        <f t="shared" si="296"/>
        <v>2033</v>
      </c>
      <c r="Z292" s="111">
        <f t="shared" si="296"/>
        <v>2034</v>
      </c>
      <c r="AA292" s="111">
        <f t="shared" si="296"/>
        <v>2035</v>
      </c>
      <c r="AB292" s="111">
        <f t="shared" si="296"/>
        <v>2036</v>
      </c>
      <c r="AC292" s="111">
        <f t="shared" si="296"/>
        <v>2037</v>
      </c>
      <c r="AD292" s="111">
        <f t="shared" si="296"/>
        <v>2038</v>
      </c>
      <c r="AE292" s="111">
        <f t="shared" si="296"/>
        <v>2039</v>
      </c>
      <c r="AF292" s="111">
        <f t="shared" si="296"/>
        <v>2040</v>
      </c>
      <c r="AG292" s="111">
        <f t="shared" si="296"/>
        <v>2041</v>
      </c>
      <c r="AH292" s="111">
        <f t="shared" si="296"/>
        <v>2042</v>
      </c>
      <c r="AI292" s="111">
        <f t="shared" si="296"/>
        <v>2043</v>
      </c>
      <c r="AJ292" s="111">
        <f t="shared" si="296"/>
        <v>2044</v>
      </c>
      <c r="AK292" s="111">
        <f t="shared" si="296"/>
        <v>2045</v>
      </c>
      <c r="AL292" s="111">
        <f t="shared" si="296"/>
        <v>2046</v>
      </c>
      <c r="AM292" s="111">
        <f t="shared" si="296"/>
        <v>2047</v>
      </c>
      <c r="AN292" s="111">
        <f t="shared" si="296"/>
        <v>2048</v>
      </c>
      <c r="AO292" s="111">
        <f t="shared" si="296"/>
        <v>2049</v>
      </c>
      <c r="AP292" s="111">
        <f t="shared" si="296"/>
        <v>2050</v>
      </c>
      <c r="AQ292" s="111">
        <f t="shared" si="296"/>
        <v>2051</v>
      </c>
      <c r="AR292" s="94"/>
      <c r="AS292" s="94"/>
      <c r="AT292" s="94"/>
      <c r="AU292" s="94"/>
      <c r="AV292" s="94"/>
      <c r="AW292" s="94"/>
      <c r="AX292" s="4"/>
      <c r="AY292" s="3"/>
      <c r="BE292" s="4"/>
    </row>
    <row r="293" spans="1:94">
      <c r="A293" s="2" t="s">
        <v>43</v>
      </c>
      <c r="B293" s="3">
        <f>'Monthly D4 Gallon Data'!$AB2</f>
        <v>0</v>
      </c>
      <c r="C293" s="3">
        <f>'Monthly D4 Gallon Data'!$AB14</f>
        <v>0</v>
      </c>
      <c r="D293" s="3">
        <f>'Monthly D4 Gallon Data'!$AB26</f>
        <v>0</v>
      </c>
      <c r="E293" s="3">
        <f>'Monthly D4 Gallon Data'!$AB38</f>
        <v>0</v>
      </c>
      <c r="F293" s="3">
        <f>'Monthly D4 Gallon Data'!$AB50</f>
        <v>0</v>
      </c>
      <c r="G293" s="3">
        <f>'Monthly D4 Gallon Data'!$AB62</f>
        <v>0</v>
      </c>
      <c r="H293" s="3">
        <f>'Monthly D4 Gallon Data'!$AB74</f>
        <v>0</v>
      </c>
      <c r="I293" s="3">
        <f>'Monthly D4 Gallon Data'!$AB86</f>
        <v>0</v>
      </c>
      <c r="J293" s="3">
        <f>'Monthly D4 Gallon Data'!$AB98</f>
        <v>0</v>
      </c>
      <c r="K293" s="3">
        <f>'Monthly D4 Gallon Data'!$AB110</f>
        <v>0</v>
      </c>
      <c r="L293" s="3">
        <f>'Monthly D4 Gallon Data'!$AB122</f>
        <v>0</v>
      </c>
      <c r="M293" s="3">
        <f>'Monthly D4 Gallon Data'!$AB134</f>
        <v>0</v>
      </c>
      <c r="N293" s="3">
        <f>'Monthly D4 Gallon Data'!$AB146</f>
        <v>0</v>
      </c>
      <c r="O293" s="3">
        <f>'Monthly D4 Gallon Data'!$AB158</f>
        <v>0</v>
      </c>
      <c r="P293" s="3">
        <f>'Monthly D4 Gallon Data'!$AB170</f>
        <v>0</v>
      </c>
      <c r="Q293" s="3">
        <f>'Monthly D4 Gallon Data'!$AB182</f>
        <v>0</v>
      </c>
      <c r="R293" s="4">
        <v>0</v>
      </c>
      <c r="S293" s="4">
        <v>0</v>
      </c>
      <c r="T293" s="4">
        <v>0</v>
      </c>
      <c r="U293" s="4">
        <v>0</v>
      </c>
      <c r="V293" s="4">
        <v>0</v>
      </c>
      <c r="W293" s="4">
        <v>0</v>
      </c>
      <c r="X293" s="4">
        <v>0</v>
      </c>
      <c r="Y293" s="4">
        <v>0</v>
      </c>
      <c r="Z293" s="4">
        <v>0</v>
      </c>
      <c r="AA293" s="4">
        <v>0</v>
      </c>
      <c r="AB293" s="4">
        <v>0</v>
      </c>
      <c r="AC293" s="4">
        <v>0</v>
      </c>
      <c r="AD293" s="4">
        <v>0</v>
      </c>
      <c r="AE293" s="4">
        <v>0</v>
      </c>
      <c r="AF293" s="4">
        <v>0</v>
      </c>
      <c r="AG293" s="4">
        <v>0</v>
      </c>
      <c r="AH293" s="4">
        <v>0</v>
      </c>
      <c r="AI293" s="4">
        <v>0</v>
      </c>
      <c r="AJ293" s="4">
        <v>0</v>
      </c>
      <c r="AK293" s="4">
        <v>0</v>
      </c>
      <c r="AL293" s="4">
        <v>0</v>
      </c>
      <c r="AM293" s="4">
        <v>0</v>
      </c>
      <c r="AN293" s="4">
        <v>0</v>
      </c>
      <c r="AO293" s="4">
        <v>0</v>
      </c>
      <c r="AP293" s="4">
        <v>0</v>
      </c>
      <c r="AQ293" s="4">
        <v>1</v>
      </c>
      <c r="AR293" s="4"/>
      <c r="AS293" s="4"/>
      <c r="AT293" s="4"/>
      <c r="AU293" s="4"/>
      <c r="AV293" s="4"/>
      <c r="AW293" s="4"/>
      <c r="AX293" s="4"/>
      <c r="AY293" s="3"/>
      <c r="BC293" s="3">
        <v>0</v>
      </c>
      <c r="BD293" s="3">
        <f t="shared" ref="BD293:BD305" si="297">L293-BC293</f>
        <v>0</v>
      </c>
      <c r="BE293" s="3">
        <v>0</v>
      </c>
      <c r="BF293" s="3">
        <f t="shared" ref="BF293:BF305" si="298">M293-BE293</f>
        <v>0</v>
      </c>
      <c r="BG293" s="3">
        <v>0</v>
      </c>
      <c r="BH293" s="3"/>
      <c r="BI293" s="3"/>
      <c r="BJ293" s="3">
        <v>0</v>
      </c>
      <c r="BK293" s="3">
        <f t="shared" ref="BK293:BK305" si="299">P293-BJ293</f>
        <v>0</v>
      </c>
      <c r="BL293" s="3">
        <f t="shared" ref="BL293:BL305" si="300">N293-BG293</f>
        <v>0</v>
      </c>
      <c r="BM293" s="177">
        <f t="shared" ref="BM293:BM305" si="301">Q293-BL293</f>
        <v>0</v>
      </c>
      <c r="BN293" s="3"/>
      <c r="BR293" s="3"/>
      <c r="BS293" s="3"/>
      <c r="BT293" s="3"/>
      <c r="BU293" s="3"/>
      <c r="BV293" s="3"/>
      <c r="BW293" s="3"/>
      <c r="BX293" s="3"/>
      <c r="BY293" s="3"/>
      <c r="BZ293" s="3"/>
      <c r="CA293" s="3"/>
      <c r="CB293" s="3"/>
      <c r="CC293" s="4"/>
      <c r="CD293" s="3"/>
      <c r="CE293" s="3"/>
      <c r="CF293" s="3"/>
      <c r="CG293" s="3"/>
      <c r="CH293" s="3"/>
      <c r="CI293" s="3"/>
      <c r="CJ293" s="3"/>
      <c r="CK293" s="3"/>
      <c r="CL293" s="3"/>
      <c r="CM293" s="3"/>
      <c r="CN293" s="3"/>
      <c r="CO293" s="3"/>
      <c r="CP293" s="3"/>
    </row>
    <row r="294" spans="1:94">
      <c r="A294" s="2" t="s">
        <v>44</v>
      </c>
      <c r="B294" s="3">
        <f>'Monthly D4 Gallon Data'!$AB3</f>
        <v>0</v>
      </c>
      <c r="C294" s="3">
        <f>'Monthly D4 Gallon Data'!$AB15</f>
        <v>0</v>
      </c>
      <c r="D294" s="3">
        <f>'Monthly D4 Gallon Data'!$AB27</f>
        <v>0</v>
      </c>
      <c r="E294" s="3">
        <f>'Monthly D4 Gallon Data'!$AB39</f>
        <v>0</v>
      </c>
      <c r="F294" s="3">
        <f>'Monthly D4 Gallon Data'!$AB51</f>
        <v>0</v>
      </c>
      <c r="G294" s="3">
        <f>'Monthly D4 Gallon Data'!$AB63</f>
        <v>0</v>
      </c>
      <c r="H294" s="3">
        <f>'Monthly D4 Gallon Data'!$AB75</f>
        <v>0</v>
      </c>
      <c r="I294" s="3">
        <f>'Monthly D4 Gallon Data'!$AB87</f>
        <v>0</v>
      </c>
      <c r="J294" s="3">
        <f>'Monthly D4 Gallon Data'!$AB99</f>
        <v>0</v>
      </c>
      <c r="K294" s="3">
        <f>'Monthly D4 Gallon Data'!$AB111</f>
        <v>0</v>
      </c>
      <c r="L294" s="3">
        <f>'Monthly D4 Gallon Data'!$AB123</f>
        <v>0</v>
      </c>
      <c r="M294" s="3">
        <f>'Monthly D4 Gallon Data'!$AB135</f>
        <v>0</v>
      </c>
      <c r="N294" s="3">
        <f>'Monthly D4 Gallon Data'!$AB147</f>
        <v>0</v>
      </c>
      <c r="O294" s="3">
        <f>'Monthly D4 Gallon Data'!$AB159</f>
        <v>0</v>
      </c>
      <c r="P294" s="3">
        <f>'Monthly D4 Gallon Data'!$AB171</f>
        <v>0</v>
      </c>
      <c r="Q294" s="3">
        <f>'Monthly D4 Gallon Data'!$AB183</f>
        <v>0</v>
      </c>
      <c r="R294" s="4">
        <v>0</v>
      </c>
      <c r="S294" s="4">
        <v>0</v>
      </c>
      <c r="T294" s="4">
        <v>0</v>
      </c>
      <c r="U294" s="4">
        <v>0</v>
      </c>
      <c r="V294" s="4">
        <v>0</v>
      </c>
      <c r="W294" s="4">
        <v>0</v>
      </c>
      <c r="X294" s="4">
        <v>0</v>
      </c>
      <c r="Y294" s="4">
        <v>0</v>
      </c>
      <c r="Z294" s="4">
        <v>0</v>
      </c>
      <c r="AA294" s="4">
        <v>0</v>
      </c>
      <c r="AB294" s="4">
        <v>0</v>
      </c>
      <c r="AC294" s="4">
        <v>0</v>
      </c>
      <c r="AD294" s="4">
        <v>0</v>
      </c>
      <c r="AE294" s="4">
        <v>0</v>
      </c>
      <c r="AF294" s="4">
        <v>0</v>
      </c>
      <c r="AG294" s="4">
        <v>0</v>
      </c>
      <c r="AH294" s="4">
        <v>0</v>
      </c>
      <c r="AI294" s="4">
        <v>0</v>
      </c>
      <c r="AJ294" s="4">
        <v>0</v>
      </c>
      <c r="AK294" s="4">
        <v>0</v>
      </c>
      <c r="AL294" s="4">
        <v>0</v>
      </c>
      <c r="AM294" s="4">
        <v>0</v>
      </c>
      <c r="AN294" s="4">
        <v>0</v>
      </c>
      <c r="AO294" s="4">
        <v>0</v>
      </c>
      <c r="AP294" s="4">
        <v>0</v>
      </c>
      <c r="AQ294" s="4">
        <v>1</v>
      </c>
      <c r="AR294" s="4"/>
      <c r="AS294" s="4"/>
      <c r="AT294" s="4"/>
      <c r="AU294" s="4"/>
      <c r="AV294" s="4"/>
      <c r="AW294" s="4"/>
      <c r="AX294" s="4"/>
      <c r="AY294" s="3"/>
      <c r="BC294" s="3">
        <v>0</v>
      </c>
      <c r="BD294" s="3">
        <f t="shared" si="297"/>
        <v>0</v>
      </c>
      <c r="BE294" s="3">
        <v>0</v>
      </c>
      <c r="BF294" s="3">
        <f t="shared" si="298"/>
        <v>0</v>
      </c>
      <c r="BG294" s="3">
        <v>0</v>
      </c>
      <c r="BH294" s="3"/>
      <c r="BI294" s="3"/>
      <c r="BJ294" s="3">
        <v>0</v>
      </c>
      <c r="BK294" s="3">
        <f t="shared" si="299"/>
        <v>0</v>
      </c>
      <c r="BL294" s="3">
        <f t="shared" si="300"/>
        <v>0</v>
      </c>
      <c r="BM294" s="177">
        <f t="shared" si="301"/>
        <v>0</v>
      </c>
      <c r="BN294" s="3"/>
      <c r="BR294" s="3"/>
      <c r="BS294" s="3"/>
      <c r="BT294" s="3"/>
      <c r="BU294" s="3"/>
      <c r="BV294" s="3"/>
      <c r="BW294" s="3"/>
      <c r="BX294" s="3"/>
      <c r="BY294" s="3"/>
      <c r="BZ294" s="3"/>
      <c r="CA294" s="3"/>
      <c r="CB294" s="3"/>
      <c r="CC294" s="4"/>
      <c r="CD294" s="3"/>
      <c r="CE294" s="3"/>
      <c r="CF294" s="3"/>
      <c r="CG294" s="3"/>
      <c r="CH294" s="3"/>
      <c r="CI294" s="3"/>
      <c r="CJ294" s="3"/>
      <c r="CK294" s="3"/>
      <c r="CL294" s="3"/>
      <c r="CM294" s="3"/>
      <c r="CN294" s="3"/>
      <c r="CO294" s="3"/>
      <c r="CP294" s="3"/>
    </row>
    <row r="295" spans="1:94">
      <c r="A295" s="2" t="s">
        <v>45</v>
      </c>
      <c r="B295" s="3">
        <f>'Monthly D4 Gallon Data'!$AB4</f>
        <v>0</v>
      </c>
      <c r="C295" s="3">
        <f>'Monthly D4 Gallon Data'!$AB16</f>
        <v>0</v>
      </c>
      <c r="D295" s="3">
        <f>'Monthly D4 Gallon Data'!$AB28</f>
        <v>0</v>
      </c>
      <c r="E295" s="3">
        <f>'Monthly D4 Gallon Data'!$AB40</f>
        <v>0</v>
      </c>
      <c r="F295" s="3">
        <f>'Monthly D4 Gallon Data'!$AB52</f>
        <v>0</v>
      </c>
      <c r="G295" s="3">
        <f>'Monthly D4 Gallon Data'!$AB64</f>
        <v>0</v>
      </c>
      <c r="H295" s="3">
        <f>'Monthly D4 Gallon Data'!$AB76</f>
        <v>0</v>
      </c>
      <c r="I295" s="3">
        <f>'Monthly D4 Gallon Data'!$AB88</f>
        <v>0</v>
      </c>
      <c r="J295" s="3">
        <f>'Monthly D4 Gallon Data'!$AB100</f>
        <v>0</v>
      </c>
      <c r="K295" s="3">
        <f>'Monthly D4 Gallon Data'!$AB112</f>
        <v>0</v>
      </c>
      <c r="L295" s="3">
        <f>'Monthly D4 Gallon Data'!$AB124</f>
        <v>0</v>
      </c>
      <c r="M295" s="3">
        <f>'Monthly D4 Gallon Data'!$AB136</f>
        <v>0</v>
      </c>
      <c r="N295" s="3">
        <f>'Monthly D4 Gallon Data'!$AB148</f>
        <v>0</v>
      </c>
      <c r="O295" s="3">
        <f>'Monthly D4 Gallon Data'!$AB160</f>
        <v>0</v>
      </c>
      <c r="P295" s="3">
        <f>'Monthly D4 Gallon Data'!$AB172</f>
        <v>0</v>
      </c>
      <c r="Q295" s="3">
        <f>'Monthly D4 Gallon Data'!$AB184</f>
        <v>0</v>
      </c>
      <c r="R295" s="4">
        <v>0</v>
      </c>
      <c r="S295" s="4">
        <v>0</v>
      </c>
      <c r="T295" s="4">
        <v>0</v>
      </c>
      <c r="U295" s="4">
        <v>0</v>
      </c>
      <c r="V295" s="4">
        <v>0</v>
      </c>
      <c r="W295" s="4">
        <v>0</v>
      </c>
      <c r="X295" s="4">
        <v>0</v>
      </c>
      <c r="Y295" s="4">
        <v>0</v>
      </c>
      <c r="Z295" s="4">
        <v>0</v>
      </c>
      <c r="AA295" s="4">
        <v>0</v>
      </c>
      <c r="AB295" s="4">
        <v>0</v>
      </c>
      <c r="AC295" s="4">
        <v>0</v>
      </c>
      <c r="AD295" s="4">
        <v>0</v>
      </c>
      <c r="AE295" s="4">
        <v>0</v>
      </c>
      <c r="AF295" s="4">
        <v>0</v>
      </c>
      <c r="AG295" s="4">
        <v>0</v>
      </c>
      <c r="AH295" s="4">
        <v>0</v>
      </c>
      <c r="AI295" s="4">
        <v>0</v>
      </c>
      <c r="AJ295" s="4">
        <v>0</v>
      </c>
      <c r="AK295" s="4">
        <v>0</v>
      </c>
      <c r="AL295" s="4">
        <v>0</v>
      </c>
      <c r="AM295" s="4">
        <v>0</v>
      </c>
      <c r="AN295" s="4">
        <v>0</v>
      </c>
      <c r="AO295" s="4">
        <v>0</v>
      </c>
      <c r="AP295" s="4">
        <v>0</v>
      </c>
      <c r="AQ295" s="4">
        <v>1</v>
      </c>
      <c r="AR295" s="4"/>
      <c r="AS295" s="4"/>
      <c r="AT295" s="4"/>
      <c r="AU295" s="4"/>
      <c r="AV295" s="4"/>
      <c r="AW295" s="4"/>
      <c r="AX295" s="4"/>
      <c r="AY295" s="3"/>
      <c r="BC295" s="3">
        <v>0</v>
      </c>
      <c r="BD295" s="3">
        <f t="shared" si="297"/>
        <v>0</v>
      </c>
      <c r="BE295" s="3">
        <v>0</v>
      </c>
      <c r="BF295" s="3">
        <f t="shared" si="298"/>
        <v>0</v>
      </c>
      <c r="BG295" s="3">
        <v>0</v>
      </c>
      <c r="BH295" s="3"/>
      <c r="BI295" s="3"/>
      <c r="BJ295" s="3">
        <v>0</v>
      </c>
      <c r="BK295" s="3">
        <f t="shared" si="299"/>
        <v>0</v>
      </c>
      <c r="BL295" s="3">
        <f t="shared" si="300"/>
        <v>0</v>
      </c>
      <c r="BM295" s="177">
        <f t="shared" si="301"/>
        <v>0</v>
      </c>
      <c r="BN295" s="3"/>
      <c r="BR295" s="3"/>
      <c r="BS295" s="3"/>
      <c r="BT295" s="3"/>
      <c r="BU295" s="3"/>
      <c r="BV295" s="3"/>
      <c r="BW295" s="3"/>
      <c r="BX295" s="3"/>
      <c r="BY295" s="3"/>
      <c r="BZ295" s="3"/>
      <c r="CA295" s="3"/>
      <c r="CB295" s="3"/>
      <c r="CC295" s="4"/>
      <c r="CD295" s="3"/>
      <c r="CE295" s="3"/>
      <c r="CF295" s="3"/>
      <c r="CG295" s="3"/>
      <c r="CH295" s="3"/>
      <c r="CI295" s="3"/>
      <c r="CJ295" s="3"/>
      <c r="CK295" s="3"/>
      <c r="CL295" s="3"/>
      <c r="CM295" s="3"/>
      <c r="CN295" s="3"/>
      <c r="CO295" s="3"/>
      <c r="CP295" s="3"/>
    </row>
    <row r="296" spans="1:94">
      <c r="A296" s="2" t="s">
        <v>46</v>
      </c>
      <c r="B296" s="3">
        <f>'Monthly D4 Gallon Data'!$AB5</f>
        <v>0</v>
      </c>
      <c r="C296" s="3">
        <f>'Monthly D4 Gallon Data'!$AB17</f>
        <v>0</v>
      </c>
      <c r="D296" s="3">
        <f>'Monthly D4 Gallon Data'!$AB29</f>
        <v>0</v>
      </c>
      <c r="E296" s="3">
        <f>'Monthly D4 Gallon Data'!$AB41</f>
        <v>0</v>
      </c>
      <c r="F296" s="3">
        <f>'Monthly D4 Gallon Data'!$AB53</f>
        <v>0</v>
      </c>
      <c r="G296" s="3">
        <f>'Monthly D4 Gallon Data'!$AB65</f>
        <v>0</v>
      </c>
      <c r="H296" s="3">
        <f>'Monthly D4 Gallon Data'!$AB77</f>
        <v>0</v>
      </c>
      <c r="I296" s="3">
        <f>'Monthly D4 Gallon Data'!$AB89</f>
        <v>0</v>
      </c>
      <c r="J296" s="3">
        <f>'Monthly D4 Gallon Data'!$AB101</f>
        <v>0</v>
      </c>
      <c r="K296" s="3">
        <f>'Monthly D4 Gallon Data'!$AB113</f>
        <v>0</v>
      </c>
      <c r="L296" s="3">
        <f>'Monthly D4 Gallon Data'!$AB125</f>
        <v>0</v>
      </c>
      <c r="M296" s="3">
        <f>'Monthly D4 Gallon Data'!$AB137</f>
        <v>0</v>
      </c>
      <c r="N296" s="3">
        <f>'Monthly D4 Gallon Data'!$AB149</f>
        <v>0</v>
      </c>
      <c r="O296" s="3">
        <f>'Monthly D4 Gallon Data'!$AB161</f>
        <v>0</v>
      </c>
      <c r="P296" s="3">
        <f>'Monthly D4 Gallon Data'!$AB173</f>
        <v>0</v>
      </c>
      <c r="Q296" s="4">
        <v>0</v>
      </c>
      <c r="R296" s="4">
        <v>0</v>
      </c>
      <c r="S296" s="4">
        <v>0</v>
      </c>
      <c r="T296" s="4">
        <v>0</v>
      </c>
      <c r="U296" s="4">
        <v>0</v>
      </c>
      <c r="V296" s="4">
        <v>0</v>
      </c>
      <c r="W296" s="4">
        <v>0</v>
      </c>
      <c r="X296" s="4">
        <v>0</v>
      </c>
      <c r="Y296" s="4">
        <v>0</v>
      </c>
      <c r="Z296" s="4">
        <v>0</v>
      </c>
      <c r="AA296" s="4">
        <v>0</v>
      </c>
      <c r="AB296" s="4">
        <v>0</v>
      </c>
      <c r="AC296" s="4">
        <v>0</v>
      </c>
      <c r="AD296" s="4">
        <v>0</v>
      </c>
      <c r="AE296" s="4">
        <v>0</v>
      </c>
      <c r="AF296" s="4">
        <v>0</v>
      </c>
      <c r="AG296" s="4">
        <v>0</v>
      </c>
      <c r="AH296" s="4">
        <v>0</v>
      </c>
      <c r="AI296" s="4">
        <v>0</v>
      </c>
      <c r="AJ296" s="4">
        <v>0</v>
      </c>
      <c r="AK296" s="4">
        <v>0</v>
      </c>
      <c r="AL296" s="4">
        <v>0</v>
      </c>
      <c r="AM296" s="4">
        <v>0</v>
      </c>
      <c r="AN296" s="4">
        <v>0</v>
      </c>
      <c r="AO296" s="4">
        <v>0</v>
      </c>
      <c r="AP296" s="4">
        <v>0</v>
      </c>
      <c r="AQ296" s="4">
        <v>1</v>
      </c>
      <c r="AR296" s="4"/>
      <c r="AS296" s="4"/>
      <c r="AT296" s="4"/>
      <c r="AU296" s="4"/>
      <c r="AV296" s="4"/>
      <c r="AW296" s="4"/>
      <c r="AX296" s="4"/>
      <c r="AY296" s="3"/>
      <c r="BC296" s="3">
        <v>0</v>
      </c>
      <c r="BD296" s="3">
        <f t="shared" si="297"/>
        <v>0</v>
      </c>
      <c r="BE296" s="3">
        <v>0</v>
      </c>
      <c r="BF296" s="3">
        <f t="shared" si="298"/>
        <v>0</v>
      </c>
      <c r="BG296" s="3">
        <v>0</v>
      </c>
      <c r="BH296" s="3"/>
      <c r="BI296" s="3"/>
      <c r="BJ296" s="4">
        <v>0</v>
      </c>
      <c r="BK296" s="3">
        <f t="shared" si="299"/>
        <v>0</v>
      </c>
      <c r="BL296" s="3">
        <f t="shared" si="300"/>
        <v>0</v>
      </c>
      <c r="BM296" s="177">
        <f t="shared" si="301"/>
        <v>0</v>
      </c>
      <c r="BN296" s="3"/>
      <c r="BR296" s="3"/>
      <c r="BS296" s="3"/>
      <c r="BT296" s="3"/>
      <c r="BU296" s="3"/>
      <c r="BV296" s="3"/>
      <c r="BW296" s="3"/>
      <c r="BX296" s="3"/>
      <c r="BY296" s="3"/>
      <c r="BZ296" s="3"/>
      <c r="CA296" s="3"/>
      <c r="CB296" s="3"/>
      <c r="CC296" s="4"/>
      <c r="CD296" s="3"/>
      <c r="CE296" s="3"/>
      <c r="CF296" s="3"/>
      <c r="CG296" s="3"/>
      <c r="CH296" s="3"/>
      <c r="CI296" s="3"/>
      <c r="CJ296" s="3"/>
      <c r="CK296" s="3"/>
      <c r="CL296" s="3"/>
      <c r="CM296" s="3"/>
      <c r="CN296" s="3"/>
      <c r="CO296" s="3"/>
      <c r="CP296" s="3"/>
    </row>
    <row r="297" spans="1:94">
      <c r="A297" s="2" t="s">
        <v>47</v>
      </c>
      <c r="B297" s="3">
        <f>'Monthly D4 Gallon Data'!$AB6</f>
        <v>0</v>
      </c>
      <c r="C297" s="3">
        <f>'Monthly D4 Gallon Data'!$AB18</f>
        <v>0</v>
      </c>
      <c r="D297" s="3">
        <f>'Monthly D4 Gallon Data'!$AB30</f>
        <v>0</v>
      </c>
      <c r="E297" s="3">
        <f>'Monthly D4 Gallon Data'!$AB42</f>
        <v>0</v>
      </c>
      <c r="F297" s="3">
        <f>'Monthly D4 Gallon Data'!$AB54</f>
        <v>0</v>
      </c>
      <c r="G297" s="3">
        <f>'Monthly D4 Gallon Data'!$AB66</f>
        <v>0</v>
      </c>
      <c r="H297" s="3">
        <f>'Monthly D4 Gallon Data'!$AB78</f>
        <v>0</v>
      </c>
      <c r="I297" s="3">
        <f>'Monthly D4 Gallon Data'!$AB90</f>
        <v>0</v>
      </c>
      <c r="J297" s="3">
        <f>'Monthly D4 Gallon Data'!$AB102</f>
        <v>0</v>
      </c>
      <c r="K297" s="3">
        <f>'Monthly D4 Gallon Data'!$AB114</f>
        <v>0</v>
      </c>
      <c r="L297" s="3">
        <f>'Monthly D4 Gallon Data'!$AB126</f>
        <v>0</v>
      </c>
      <c r="M297" s="3">
        <f>'Monthly D4 Gallon Data'!$AB138</f>
        <v>0</v>
      </c>
      <c r="N297" s="3">
        <f>'Monthly D4 Gallon Data'!$AB150</f>
        <v>0</v>
      </c>
      <c r="O297" s="3">
        <f>'Monthly D4 Gallon Data'!$AB162</f>
        <v>0</v>
      </c>
      <c r="P297" s="3">
        <f>'Monthly D4 Gallon Data'!$AB174</f>
        <v>0</v>
      </c>
      <c r="Q297" s="4">
        <v>0</v>
      </c>
      <c r="R297" s="4">
        <v>0</v>
      </c>
      <c r="S297" s="4">
        <v>0</v>
      </c>
      <c r="T297" s="4">
        <v>0</v>
      </c>
      <c r="U297" s="4">
        <v>0</v>
      </c>
      <c r="V297" s="4">
        <v>0</v>
      </c>
      <c r="W297" s="4">
        <v>0</v>
      </c>
      <c r="X297" s="4">
        <v>0</v>
      </c>
      <c r="Y297" s="4">
        <v>0</v>
      </c>
      <c r="Z297" s="4">
        <v>0</v>
      </c>
      <c r="AA297" s="4">
        <v>0</v>
      </c>
      <c r="AB297" s="4">
        <v>0</v>
      </c>
      <c r="AC297" s="4">
        <v>0</v>
      </c>
      <c r="AD297" s="4">
        <v>0</v>
      </c>
      <c r="AE297" s="4">
        <v>0</v>
      </c>
      <c r="AF297" s="4">
        <v>0</v>
      </c>
      <c r="AG297" s="4">
        <v>0</v>
      </c>
      <c r="AH297" s="4">
        <v>0</v>
      </c>
      <c r="AI297" s="4">
        <v>0</v>
      </c>
      <c r="AJ297" s="4">
        <v>0</v>
      </c>
      <c r="AK297" s="4">
        <v>0</v>
      </c>
      <c r="AL297" s="4">
        <v>0</v>
      </c>
      <c r="AM297" s="4">
        <v>0</v>
      </c>
      <c r="AN297" s="4">
        <v>0</v>
      </c>
      <c r="AO297" s="4">
        <v>0</v>
      </c>
      <c r="AP297" s="4">
        <v>0</v>
      </c>
      <c r="AQ297" s="4">
        <v>1</v>
      </c>
      <c r="AR297" s="4"/>
      <c r="AS297" s="4"/>
      <c r="AT297" s="4"/>
      <c r="AU297" s="4"/>
      <c r="AV297" s="4"/>
      <c r="AW297" s="4"/>
      <c r="AX297" s="4"/>
      <c r="AY297" s="3"/>
      <c r="BA297" s="3">
        <v>0</v>
      </c>
      <c r="BB297" s="3">
        <f t="shared" ref="BB297:BB305" si="302">K297-BA297</f>
        <v>0</v>
      </c>
      <c r="BC297" s="3">
        <v>0</v>
      </c>
      <c r="BD297" s="3">
        <f t="shared" si="297"/>
        <v>0</v>
      </c>
      <c r="BE297" s="3">
        <v>0</v>
      </c>
      <c r="BF297" s="3">
        <f t="shared" si="298"/>
        <v>0</v>
      </c>
      <c r="BG297" s="3">
        <v>0</v>
      </c>
      <c r="BH297" s="3"/>
      <c r="BI297" s="3"/>
      <c r="BJ297" s="4">
        <v>0</v>
      </c>
      <c r="BK297" s="3">
        <f t="shared" si="299"/>
        <v>0</v>
      </c>
      <c r="BL297" s="3">
        <f t="shared" si="300"/>
        <v>0</v>
      </c>
      <c r="BM297" s="177">
        <f t="shared" si="301"/>
        <v>0</v>
      </c>
      <c r="BN297" s="3"/>
      <c r="BR297" s="3"/>
      <c r="BS297" s="3"/>
      <c r="BT297" s="3"/>
      <c r="BU297" s="3"/>
      <c r="BV297" s="3"/>
      <c r="BW297" s="3"/>
      <c r="BX297" s="3"/>
      <c r="BY297" s="3"/>
      <c r="BZ297" s="3"/>
      <c r="CA297" s="3"/>
      <c r="CB297" s="3"/>
      <c r="CC297" s="4"/>
      <c r="CD297" s="3"/>
      <c r="CE297" s="3"/>
      <c r="CF297" s="3"/>
      <c r="CG297" s="3"/>
      <c r="CH297" s="3"/>
      <c r="CI297" s="3"/>
      <c r="CJ297" s="3"/>
      <c r="CK297" s="3"/>
      <c r="CL297" s="3"/>
      <c r="CM297" s="3"/>
      <c r="CN297" s="3"/>
      <c r="CO297" s="3"/>
      <c r="CP297" s="3"/>
    </row>
    <row r="298" spans="1:94">
      <c r="A298" s="2" t="s">
        <v>48</v>
      </c>
      <c r="B298" s="3">
        <f>'Monthly D4 Gallon Data'!$AB7</f>
        <v>0</v>
      </c>
      <c r="C298" s="3">
        <f>'Monthly D4 Gallon Data'!$AB19</f>
        <v>0</v>
      </c>
      <c r="D298" s="3">
        <f>'Monthly D4 Gallon Data'!$AB31</f>
        <v>0</v>
      </c>
      <c r="E298" s="3">
        <f>'Monthly D4 Gallon Data'!$AB43</f>
        <v>0</v>
      </c>
      <c r="F298" s="3">
        <f>'Monthly D4 Gallon Data'!$AB55</f>
        <v>0</v>
      </c>
      <c r="G298" s="3">
        <f>'Monthly D4 Gallon Data'!$AB67</f>
        <v>0</v>
      </c>
      <c r="H298" s="3">
        <f>'Monthly D4 Gallon Data'!$AB79</f>
        <v>0</v>
      </c>
      <c r="I298" s="3">
        <f>'Monthly D4 Gallon Data'!$AB91</f>
        <v>0</v>
      </c>
      <c r="J298" s="3">
        <f>'Monthly D4 Gallon Data'!$AB103</f>
        <v>0</v>
      </c>
      <c r="K298" s="3">
        <f>'Monthly D4 Gallon Data'!$AB115</f>
        <v>0</v>
      </c>
      <c r="L298" s="3">
        <f>'Monthly D4 Gallon Data'!$AB127</f>
        <v>0</v>
      </c>
      <c r="M298" s="3">
        <f>'Monthly D4 Gallon Data'!$AB139</f>
        <v>0</v>
      </c>
      <c r="N298" s="3">
        <f>'Monthly D4 Gallon Data'!$AB151</f>
        <v>0</v>
      </c>
      <c r="O298" s="3">
        <f>'Monthly D4 Gallon Data'!$AB163</f>
        <v>0</v>
      </c>
      <c r="P298" s="3">
        <f>'Monthly D4 Gallon Data'!$AB175</f>
        <v>0</v>
      </c>
      <c r="Q298" s="4">
        <v>0</v>
      </c>
      <c r="R298" s="4">
        <v>0</v>
      </c>
      <c r="S298" s="4">
        <v>0</v>
      </c>
      <c r="T298" s="4">
        <v>0</v>
      </c>
      <c r="U298" s="4">
        <v>0</v>
      </c>
      <c r="V298" s="4">
        <v>0</v>
      </c>
      <c r="W298" s="4">
        <v>0</v>
      </c>
      <c r="X298" s="4">
        <v>0</v>
      </c>
      <c r="Y298" s="4">
        <v>0</v>
      </c>
      <c r="Z298" s="4">
        <v>0</v>
      </c>
      <c r="AA298" s="4">
        <v>0</v>
      </c>
      <c r="AB298" s="4">
        <v>0</v>
      </c>
      <c r="AC298" s="4">
        <v>0</v>
      </c>
      <c r="AD298" s="4">
        <v>0</v>
      </c>
      <c r="AE298" s="4">
        <v>0</v>
      </c>
      <c r="AF298" s="4">
        <v>0</v>
      </c>
      <c r="AG298" s="4">
        <v>0</v>
      </c>
      <c r="AH298" s="4">
        <v>0</v>
      </c>
      <c r="AI298" s="4">
        <v>0</v>
      </c>
      <c r="AJ298" s="4">
        <v>0</v>
      </c>
      <c r="AK298" s="4">
        <v>0</v>
      </c>
      <c r="AL298" s="4">
        <v>0</v>
      </c>
      <c r="AM298" s="4">
        <v>0</v>
      </c>
      <c r="AN298" s="4">
        <v>0</v>
      </c>
      <c r="AO298" s="4">
        <v>0</v>
      </c>
      <c r="AP298" s="4">
        <v>0</v>
      </c>
      <c r="AQ298" s="4">
        <v>1</v>
      </c>
      <c r="AR298" s="4"/>
      <c r="AS298" s="4"/>
      <c r="AT298" s="4"/>
      <c r="AU298" s="4"/>
      <c r="AV298" s="4"/>
      <c r="AW298" s="4"/>
      <c r="AX298" s="4"/>
      <c r="AY298" s="3"/>
      <c r="BA298" s="3">
        <v>0</v>
      </c>
      <c r="BB298" s="3">
        <f t="shared" si="302"/>
        <v>0</v>
      </c>
      <c r="BC298" s="3">
        <v>0</v>
      </c>
      <c r="BD298" s="3">
        <f t="shared" si="297"/>
        <v>0</v>
      </c>
      <c r="BE298" s="3">
        <v>0</v>
      </c>
      <c r="BF298" s="3">
        <f t="shared" si="298"/>
        <v>0</v>
      </c>
      <c r="BG298" s="3">
        <v>0</v>
      </c>
      <c r="BH298" s="3"/>
      <c r="BI298" s="3"/>
      <c r="BJ298" s="4">
        <v>0</v>
      </c>
      <c r="BK298" s="3">
        <f t="shared" si="299"/>
        <v>0</v>
      </c>
      <c r="BL298" s="3">
        <f t="shared" si="300"/>
        <v>0</v>
      </c>
      <c r="BM298" s="177">
        <f t="shared" si="301"/>
        <v>0</v>
      </c>
      <c r="BN298" s="3"/>
      <c r="BR298" s="3"/>
      <c r="BS298" s="3"/>
      <c r="BT298" s="3"/>
      <c r="BU298" s="3"/>
      <c r="BV298" s="3"/>
      <c r="BW298" s="3"/>
      <c r="BX298" s="3"/>
      <c r="BY298" s="3"/>
      <c r="BZ298" s="3"/>
      <c r="CA298" s="3"/>
      <c r="CB298" s="3"/>
      <c r="CC298" s="4"/>
      <c r="CD298" s="3"/>
      <c r="CE298" s="3"/>
      <c r="CF298" s="3"/>
      <c r="CG298" s="3"/>
      <c r="CH298" s="3"/>
      <c r="CI298" s="3"/>
      <c r="CJ298" s="3"/>
      <c r="CK298" s="3"/>
      <c r="CL298" s="3"/>
      <c r="CM298" s="3"/>
      <c r="CN298" s="3"/>
      <c r="CO298" s="3"/>
      <c r="CP298" s="3"/>
    </row>
    <row r="299" spans="1:94">
      <c r="A299" s="2" t="s">
        <v>49</v>
      </c>
      <c r="B299" s="3">
        <f>'Monthly D4 Gallon Data'!$AB8</f>
        <v>0</v>
      </c>
      <c r="C299" s="3">
        <f>'Monthly D4 Gallon Data'!$AB20</f>
        <v>0</v>
      </c>
      <c r="D299" s="3">
        <f>'Monthly D4 Gallon Data'!$AB32</f>
        <v>0</v>
      </c>
      <c r="E299" s="3">
        <f>'Monthly D4 Gallon Data'!$AB44</f>
        <v>0</v>
      </c>
      <c r="F299" s="3">
        <f>'Monthly D4 Gallon Data'!$AB56</f>
        <v>0</v>
      </c>
      <c r="G299" s="3">
        <f>'Monthly D4 Gallon Data'!$AB68</f>
        <v>0</v>
      </c>
      <c r="H299" s="3">
        <f>'Monthly D4 Gallon Data'!$AB80</f>
        <v>0</v>
      </c>
      <c r="I299" s="3">
        <f>'Monthly D4 Gallon Data'!$AB92</f>
        <v>0</v>
      </c>
      <c r="J299" s="3">
        <f>'Monthly D4 Gallon Data'!$AB104</f>
        <v>0</v>
      </c>
      <c r="K299" s="3">
        <f>'Monthly D4 Gallon Data'!$AB116</f>
        <v>0</v>
      </c>
      <c r="L299" s="3">
        <f>'Monthly D4 Gallon Data'!$AB128</f>
        <v>0</v>
      </c>
      <c r="M299" s="3">
        <f>'Monthly D4 Gallon Data'!$AB140</f>
        <v>0</v>
      </c>
      <c r="N299" s="3">
        <f>'Monthly D4 Gallon Data'!$AB152</f>
        <v>0</v>
      </c>
      <c r="O299" s="3">
        <f>'Monthly D4 Gallon Data'!$AB164</f>
        <v>0</v>
      </c>
      <c r="P299" s="3">
        <f>'Monthly D4 Gallon Data'!$AB176</f>
        <v>0</v>
      </c>
      <c r="Q299" s="4">
        <v>0</v>
      </c>
      <c r="R299" s="4">
        <v>0</v>
      </c>
      <c r="S299" s="4">
        <v>0</v>
      </c>
      <c r="T299" s="4">
        <v>0</v>
      </c>
      <c r="U299" s="4">
        <v>0</v>
      </c>
      <c r="V299" s="4">
        <v>0</v>
      </c>
      <c r="W299" s="4">
        <v>0</v>
      </c>
      <c r="X299" s="4">
        <v>0</v>
      </c>
      <c r="Y299" s="4">
        <v>0</v>
      </c>
      <c r="Z299" s="4">
        <v>0</v>
      </c>
      <c r="AA299" s="4">
        <v>0</v>
      </c>
      <c r="AB299" s="4">
        <v>0</v>
      </c>
      <c r="AC299" s="4">
        <v>0</v>
      </c>
      <c r="AD299" s="4">
        <v>0</v>
      </c>
      <c r="AE299" s="4">
        <v>0</v>
      </c>
      <c r="AF299" s="4">
        <v>0</v>
      </c>
      <c r="AG299" s="4">
        <v>0</v>
      </c>
      <c r="AH299" s="4">
        <v>0</v>
      </c>
      <c r="AI299" s="4">
        <v>0</v>
      </c>
      <c r="AJ299" s="4">
        <v>0</v>
      </c>
      <c r="AK299" s="4">
        <v>0</v>
      </c>
      <c r="AL299" s="4">
        <v>0</v>
      </c>
      <c r="AM299" s="4">
        <v>0</v>
      </c>
      <c r="AN299" s="4">
        <v>0</v>
      </c>
      <c r="AO299" s="4">
        <v>0</v>
      </c>
      <c r="AP299" s="4">
        <v>0</v>
      </c>
      <c r="AQ299" s="4">
        <v>1</v>
      </c>
      <c r="AR299" s="4"/>
      <c r="AS299" s="4"/>
      <c r="AT299" s="4"/>
      <c r="AU299" s="4"/>
      <c r="AV299" s="4"/>
      <c r="AW299" s="4"/>
      <c r="AX299" s="4"/>
      <c r="AY299" s="3"/>
      <c r="BA299" s="3">
        <v>0</v>
      </c>
      <c r="BB299" s="3">
        <f t="shared" si="302"/>
        <v>0</v>
      </c>
      <c r="BC299" s="3">
        <v>0</v>
      </c>
      <c r="BD299" s="3">
        <f t="shared" si="297"/>
        <v>0</v>
      </c>
      <c r="BE299" s="3">
        <v>0</v>
      </c>
      <c r="BF299" s="3">
        <f t="shared" si="298"/>
        <v>0</v>
      </c>
      <c r="BG299" s="3">
        <v>0</v>
      </c>
      <c r="BH299" s="3"/>
      <c r="BI299" s="3"/>
      <c r="BJ299" s="4">
        <v>0</v>
      </c>
      <c r="BK299" s="3">
        <f t="shared" si="299"/>
        <v>0</v>
      </c>
      <c r="BL299" s="3">
        <f t="shared" si="300"/>
        <v>0</v>
      </c>
      <c r="BM299" s="177">
        <f t="shared" si="301"/>
        <v>0</v>
      </c>
      <c r="BN299" s="3"/>
      <c r="BR299" s="3"/>
      <c r="BS299" s="3"/>
      <c r="BT299" s="3"/>
      <c r="BU299" s="3"/>
      <c r="BV299" s="3"/>
      <c r="BW299" s="3"/>
      <c r="BX299" s="3"/>
      <c r="BY299" s="3"/>
      <c r="BZ299" s="3"/>
      <c r="CA299" s="3"/>
      <c r="CB299" s="3"/>
      <c r="CC299" s="4"/>
      <c r="CD299" s="3"/>
      <c r="CE299" s="3"/>
      <c r="CF299" s="3"/>
      <c r="CG299" s="3"/>
      <c r="CH299" s="3"/>
      <c r="CI299" s="3"/>
      <c r="CJ299" s="3"/>
      <c r="CK299" s="3"/>
      <c r="CL299" s="3"/>
      <c r="CM299" s="3"/>
      <c r="CN299" s="3"/>
      <c r="CO299" s="3"/>
      <c r="CP299" s="3"/>
    </row>
    <row r="300" spans="1:94">
      <c r="A300" s="2" t="s">
        <v>50</v>
      </c>
      <c r="B300" s="3">
        <f>'Monthly D4 Gallon Data'!$AB9</f>
        <v>0</v>
      </c>
      <c r="C300" s="3">
        <f>'Monthly D4 Gallon Data'!$AB21</f>
        <v>0</v>
      </c>
      <c r="D300" s="3">
        <f>'Monthly D4 Gallon Data'!$AB33</f>
        <v>0</v>
      </c>
      <c r="E300" s="3">
        <f>'Monthly D4 Gallon Data'!$AB45</f>
        <v>0</v>
      </c>
      <c r="F300" s="3">
        <f>'Monthly D4 Gallon Data'!$AB57</f>
        <v>0</v>
      </c>
      <c r="G300" s="3">
        <f>'Monthly D4 Gallon Data'!$AB69</f>
        <v>0</v>
      </c>
      <c r="H300" s="3">
        <f>'Monthly D4 Gallon Data'!$AB81</f>
        <v>0</v>
      </c>
      <c r="I300" s="3">
        <f>'Monthly D4 Gallon Data'!$AB93</f>
        <v>0</v>
      </c>
      <c r="J300" s="3">
        <f>'Monthly D4 Gallon Data'!$AB105</f>
        <v>0</v>
      </c>
      <c r="K300" s="3">
        <f>'Monthly D4 Gallon Data'!$AB117</f>
        <v>0</v>
      </c>
      <c r="L300" s="3">
        <f>'Monthly D4 Gallon Data'!$AB129</f>
        <v>0</v>
      </c>
      <c r="M300" s="3">
        <f>'Monthly D4 Gallon Data'!$AB141</f>
        <v>0</v>
      </c>
      <c r="N300" s="3">
        <f>'Monthly D4 Gallon Data'!$AB153</f>
        <v>0</v>
      </c>
      <c r="O300" s="3">
        <f>'Monthly D4 Gallon Data'!$AB165</f>
        <v>0</v>
      </c>
      <c r="P300" s="3">
        <f>'Monthly D4 Gallon Data'!$AB177</f>
        <v>0</v>
      </c>
      <c r="Q300" s="4">
        <v>0</v>
      </c>
      <c r="R300" s="4">
        <v>0</v>
      </c>
      <c r="S300" s="4">
        <v>0</v>
      </c>
      <c r="T300" s="4">
        <v>0</v>
      </c>
      <c r="U300" s="4">
        <v>0</v>
      </c>
      <c r="V300" s="4">
        <v>0</v>
      </c>
      <c r="W300" s="4">
        <v>0</v>
      </c>
      <c r="X300" s="4">
        <v>0</v>
      </c>
      <c r="Y300" s="4">
        <v>0</v>
      </c>
      <c r="Z300" s="4">
        <v>0</v>
      </c>
      <c r="AA300" s="4">
        <v>0</v>
      </c>
      <c r="AB300" s="4">
        <v>0</v>
      </c>
      <c r="AC300" s="4">
        <v>0</v>
      </c>
      <c r="AD300" s="4">
        <v>0</v>
      </c>
      <c r="AE300" s="4">
        <v>0</v>
      </c>
      <c r="AF300" s="4">
        <v>0</v>
      </c>
      <c r="AG300" s="4">
        <v>0</v>
      </c>
      <c r="AH300" s="4">
        <v>0</v>
      </c>
      <c r="AI300" s="4">
        <v>0</v>
      </c>
      <c r="AJ300" s="4">
        <v>0</v>
      </c>
      <c r="AK300" s="4">
        <v>0</v>
      </c>
      <c r="AL300" s="4">
        <v>0</v>
      </c>
      <c r="AM300" s="4">
        <v>0</v>
      </c>
      <c r="AN300" s="4">
        <v>0</v>
      </c>
      <c r="AO300" s="4">
        <v>0</v>
      </c>
      <c r="AP300" s="4">
        <v>0</v>
      </c>
      <c r="AQ300" s="4">
        <v>1</v>
      </c>
      <c r="AR300" s="4"/>
      <c r="AS300" s="4"/>
      <c r="AT300" s="4"/>
      <c r="AU300" s="4"/>
      <c r="AV300" s="4"/>
      <c r="AW300" s="4"/>
      <c r="AX300" s="4"/>
      <c r="AY300" s="3"/>
      <c r="BA300" s="3">
        <v>0</v>
      </c>
      <c r="BB300" s="3">
        <f t="shared" si="302"/>
        <v>0</v>
      </c>
      <c r="BC300" s="3">
        <v>0</v>
      </c>
      <c r="BD300" s="3">
        <f t="shared" si="297"/>
        <v>0</v>
      </c>
      <c r="BE300" s="3">
        <v>0</v>
      </c>
      <c r="BF300" s="3">
        <f t="shared" si="298"/>
        <v>0</v>
      </c>
      <c r="BG300" s="3">
        <v>0</v>
      </c>
      <c r="BH300" s="3"/>
      <c r="BI300" s="3"/>
      <c r="BJ300" s="4">
        <v>0</v>
      </c>
      <c r="BK300" s="3">
        <f t="shared" si="299"/>
        <v>0</v>
      </c>
      <c r="BL300" s="3">
        <f t="shared" si="300"/>
        <v>0</v>
      </c>
      <c r="BM300" s="177">
        <f t="shared" si="301"/>
        <v>0</v>
      </c>
      <c r="BN300" s="3"/>
      <c r="BR300" s="3"/>
      <c r="BS300" s="3"/>
      <c r="BT300" s="3"/>
      <c r="BU300" s="3"/>
      <c r="BV300" s="3"/>
      <c r="BW300" s="3"/>
      <c r="BX300" s="3"/>
      <c r="BY300" s="3"/>
      <c r="BZ300" s="3"/>
      <c r="CA300" s="3"/>
      <c r="CB300" s="3"/>
      <c r="CC300" s="4"/>
      <c r="CD300" s="3"/>
      <c r="CE300" s="3"/>
      <c r="CF300" s="3"/>
      <c r="CG300" s="3"/>
      <c r="CH300" s="3"/>
      <c r="CI300" s="3"/>
      <c r="CJ300" s="3"/>
      <c r="CK300" s="3"/>
      <c r="CL300" s="3"/>
      <c r="CM300" s="3"/>
      <c r="CN300" s="3"/>
      <c r="CO300" s="3"/>
      <c r="CP300" s="3"/>
    </row>
    <row r="301" spans="1:94">
      <c r="A301" s="2" t="s">
        <v>51</v>
      </c>
      <c r="B301" s="3">
        <f>'Monthly D4 Gallon Data'!$AB10</f>
        <v>0</v>
      </c>
      <c r="C301" s="3">
        <f>'Monthly D4 Gallon Data'!$AB22</f>
        <v>0</v>
      </c>
      <c r="D301" s="3">
        <f>'Monthly D4 Gallon Data'!$AB34</f>
        <v>0</v>
      </c>
      <c r="E301" s="3">
        <f>'Monthly D4 Gallon Data'!$AB46</f>
        <v>0</v>
      </c>
      <c r="F301" s="3">
        <f>'Monthly D4 Gallon Data'!$AB58</f>
        <v>0</v>
      </c>
      <c r="G301" s="3">
        <f>'Monthly D4 Gallon Data'!$AB70</f>
        <v>0</v>
      </c>
      <c r="H301" s="3">
        <f>'Monthly D4 Gallon Data'!$AB82</f>
        <v>0</v>
      </c>
      <c r="I301" s="3">
        <f>'Monthly D4 Gallon Data'!$AB94</f>
        <v>0</v>
      </c>
      <c r="J301" s="3">
        <f>'Monthly D4 Gallon Data'!$AB106</f>
        <v>0</v>
      </c>
      <c r="K301" s="3">
        <f>'Monthly D4 Gallon Data'!$AB118</f>
        <v>0</v>
      </c>
      <c r="L301" s="3">
        <f>'Monthly D4 Gallon Data'!$AB130</f>
        <v>0</v>
      </c>
      <c r="M301" s="3">
        <f>'Monthly D4 Gallon Data'!$AB142</f>
        <v>0</v>
      </c>
      <c r="N301" s="3">
        <f>'Monthly D4 Gallon Data'!$AB154</f>
        <v>0</v>
      </c>
      <c r="O301" s="3">
        <f>'Monthly D4 Gallon Data'!$AB166</f>
        <v>0</v>
      </c>
      <c r="P301" s="3">
        <f>'Monthly D4 Gallon Data'!$AB178</f>
        <v>0</v>
      </c>
      <c r="Q301" s="4">
        <v>0</v>
      </c>
      <c r="R301" s="4">
        <v>0</v>
      </c>
      <c r="S301" s="4">
        <v>0</v>
      </c>
      <c r="T301" s="4">
        <v>0</v>
      </c>
      <c r="U301" s="4">
        <v>0</v>
      </c>
      <c r="V301" s="4">
        <v>0</v>
      </c>
      <c r="W301" s="4">
        <v>0</v>
      </c>
      <c r="X301" s="4">
        <v>0</v>
      </c>
      <c r="Y301" s="4">
        <v>0</v>
      </c>
      <c r="Z301" s="4">
        <v>0</v>
      </c>
      <c r="AA301" s="4">
        <v>0</v>
      </c>
      <c r="AB301" s="4">
        <v>0</v>
      </c>
      <c r="AC301" s="4">
        <v>0</v>
      </c>
      <c r="AD301" s="4">
        <v>0</v>
      </c>
      <c r="AE301" s="4">
        <v>0</v>
      </c>
      <c r="AF301" s="4">
        <v>0</v>
      </c>
      <c r="AG301" s="4">
        <v>0</v>
      </c>
      <c r="AH301" s="4">
        <v>0</v>
      </c>
      <c r="AI301" s="4">
        <v>0</v>
      </c>
      <c r="AJ301" s="4">
        <v>0</v>
      </c>
      <c r="AK301" s="4">
        <v>0</v>
      </c>
      <c r="AL301" s="4">
        <v>0</v>
      </c>
      <c r="AM301" s="4">
        <v>0</v>
      </c>
      <c r="AN301" s="4">
        <v>0</v>
      </c>
      <c r="AO301" s="4">
        <v>0</v>
      </c>
      <c r="AP301" s="4">
        <v>0</v>
      </c>
      <c r="AQ301" s="4">
        <v>1</v>
      </c>
      <c r="AR301" s="4"/>
      <c r="AS301" s="4"/>
      <c r="AT301" s="4"/>
      <c r="AU301" s="4"/>
      <c r="AV301" s="4"/>
      <c r="AW301" s="4"/>
      <c r="AX301" s="4"/>
      <c r="AY301" s="3"/>
      <c r="BA301" s="3">
        <v>0</v>
      </c>
      <c r="BB301" s="3">
        <f t="shared" si="302"/>
        <v>0</v>
      </c>
      <c r="BC301" s="3">
        <v>0</v>
      </c>
      <c r="BD301" s="3">
        <f t="shared" si="297"/>
        <v>0</v>
      </c>
      <c r="BE301" s="3">
        <v>0</v>
      </c>
      <c r="BF301" s="3">
        <f t="shared" si="298"/>
        <v>0</v>
      </c>
      <c r="BG301" s="3">
        <v>0</v>
      </c>
      <c r="BH301" s="3"/>
      <c r="BI301" s="3"/>
      <c r="BJ301" s="4">
        <v>0</v>
      </c>
      <c r="BK301" s="3">
        <f t="shared" si="299"/>
        <v>0</v>
      </c>
      <c r="BL301" s="3">
        <f t="shared" si="300"/>
        <v>0</v>
      </c>
      <c r="BM301" s="177">
        <f t="shared" si="301"/>
        <v>0</v>
      </c>
      <c r="BN301" s="3"/>
      <c r="BR301" s="3"/>
      <c r="BS301" s="3"/>
      <c r="BT301" s="3"/>
      <c r="BU301" s="3"/>
      <c r="BV301" s="3"/>
      <c r="BW301" s="3"/>
      <c r="BX301" s="3"/>
      <c r="BY301" s="3"/>
      <c r="BZ301" s="3"/>
      <c r="CA301" s="3"/>
      <c r="CB301" s="3"/>
      <c r="CC301" s="4"/>
      <c r="CD301" s="3"/>
      <c r="CE301" s="3"/>
      <c r="CF301" s="3"/>
      <c r="CG301" s="3"/>
      <c r="CH301" s="3"/>
      <c r="CI301" s="3"/>
      <c r="CJ301" s="3"/>
      <c r="CK301" s="3"/>
      <c r="CL301" s="3"/>
      <c r="CM301" s="3"/>
      <c r="CN301" s="3"/>
      <c r="CO301" s="3"/>
      <c r="CP301" s="3"/>
    </row>
    <row r="302" spans="1:94">
      <c r="A302" s="2" t="s">
        <v>52</v>
      </c>
      <c r="B302" s="3">
        <f>'Monthly D4 Gallon Data'!$AB11</f>
        <v>0</v>
      </c>
      <c r="C302" s="3">
        <f>'Monthly D4 Gallon Data'!$AB23</f>
        <v>0</v>
      </c>
      <c r="D302" s="3">
        <f>'Monthly D4 Gallon Data'!$AB35</f>
        <v>0</v>
      </c>
      <c r="E302" s="3">
        <f>'Monthly D4 Gallon Data'!$AB47</f>
        <v>0</v>
      </c>
      <c r="F302" s="3">
        <f>'Monthly D4 Gallon Data'!$AB59</f>
        <v>0</v>
      </c>
      <c r="G302" s="3">
        <f>'Monthly D4 Gallon Data'!$AB71</f>
        <v>0</v>
      </c>
      <c r="H302" s="3">
        <f>'Monthly D4 Gallon Data'!$AB83</f>
        <v>0</v>
      </c>
      <c r="I302" s="3">
        <f>'Monthly D4 Gallon Data'!$AB95</f>
        <v>0</v>
      </c>
      <c r="J302" s="3">
        <f>'Monthly D4 Gallon Data'!$AB107</f>
        <v>0</v>
      </c>
      <c r="K302" s="3">
        <f>'Monthly D4 Gallon Data'!$AB119</f>
        <v>0</v>
      </c>
      <c r="L302" s="3">
        <f>'Monthly D4 Gallon Data'!$AB131</f>
        <v>0</v>
      </c>
      <c r="M302" s="3">
        <f>'Monthly D4 Gallon Data'!$AB143</f>
        <v>0</v>
      </c>
      <c r="N302" s="3">
        <f>'Monthly D4 Gallon Data'!$AB155</f>
        <v>0</v>
      </c>
      <c r="O302" s="3">
        <f>'Monthly D4 Gallon Data'!$AB167</f>
        <v>0</v>
      </c>
      <c r="P302" s="3">
        <f>'Monthly D4 Gallon Data'!$AB179</f>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0</v>
      </c>
      <c r="AI302" s="4">
        <v>0</v>
      </c>
      <c r="AJ302" s="4">
        <v>0</v>
      </c>
      <c r="AK302" s="4">
        <v>0</v>
      </c>
      <c r="AL302" s="4">
        <v>0</v>
      </c>
      <c r="AM302" s="4">
        <v>0</v>
      </c>
      <c r="AN302" s="4">
        <v>0</v>
      </c>
      <c r="AO302" s="4">
        <v>0</v>
      </c>
      <c r="AP302" s="4">
        <v>0</v>
      </c>
      <c r="AQ302" s="4">
        <v>1</v>
      </c>
      <c r="AR302" s="4"/>
      <c r="AS302" s="4"/>
      <c r="AT302" s="4"/>
      <c r="AU302" s="4"/>
      <c r="AV302" s="4"/>
      <c r="AW302" s="4"/>
      <c r="AX302" s="4"/>
      <c r="AY302" s="3"/>
      <c r="BA302" s="3">
        <v>0</v>
      </c>
      <c r="BB302" s="3">
        <f t="shared" si="302"/>
        <v>0</v>
      </c>
      <c r="BC302" s="3">
        <v>0</v>
      </c>
      <c r="BD302" s="3">
        <f t="shared" si="297"/>
        <v>0</v>
      </c>
      <c r="BE302" s="3">
        <v>0</v>
      </c>
      <c r="BF302" s="3">
        <f t="shared" si="298"/>
        <v>0</v>
      </c>
      <c r="BG302" s="3">
        <v>0</v>
      </c>
      <c r="BH302" s="3"/>
      <c r="BI302" s="3"/>
      <c r="BJ302" s="4">
        <v>0</v>
      </c>
      <c r="BK302" s="3">
        <f t="shared" si="299"/>
        <v>0</v>
      </c>
      <c r="BL302" s="3">
        <f t="shared" si="300"/>
        <v>0</v>
      </c>
      <c r="BM302" s="177">
        <f t="shared" si="301"/>
        <v>0</v>
      </c>
      <c r="BN302" s="3"/>
      <c r="BR302" s="3"/>
      <c r="BS302" s="3"/>
      <c r="BT302" s="3"/>
      <c r="BU302" s="3"/>
      <c r="BV302" s="3"/>
      <c r="BW302" s="3"/>
      <c r="BX302" s="3"/>
      <c r="BY302" s="3"/>
      <c r="BZ302" s="3"/>
      <c r="CA302" s="3"/>
      <c r="CB302" s="3"/>
      <c r="CC302" s="4"/>
      <c r="CD302" s="3"/>
      <c r="CE302" s="3"/>
      <c r="CF302" s="3"/>
      <c r="CG302" s="3"/>
      <c r="CH302" s="3"/>
      <c r="CI302" s="3"/>
      <c r="CJ302" s="3"/>
      <c r="CK302" s="3"/>
      <c r="CL302" s="3"/>
      <c r="CM302" s="3"/>
      <c r="CN302" s="3"/>
      <c r="CO302" s="3"/>
      <c r="CP302" s="3"/>
    </row>
    <row r="303" spans="1:94">
      <c r="A303" s="2" t="s">
        <v>53</v>
      </c>
      <c r="B303" s="3">
        <f>'Monthly D4 Gallon Data'!$AB12</f>
        <v>0</v>
      </c>
      <c r="C303" s="3">
        <f>'Monthly D4 Gallon Data'!$AB24</f>
        <v>0</v>
      </c>
      <c r="D303" s="3">
        <f>'Monthly D4 Gallon Data'!$AB36</f>
        <v>0</v>
      </c>
      <c r="E303" s="3">
        <f>'Monthly D4 Gallon Data'!$AB48</f>
        <v>0</v>
      </c>
      <c r="F303" s="3">
        <f>'Monthly D4 Gallon Data'!$AB60</f>
        <v>0</v>
      </c>
      <c r="G303" s="3">
        <f>'Monthly D4 Gallon Data'!$AB72</f>
        <v>0</v>
      </c>
      <c r="H303" s="3">
        <f>'Monthly D4 Gallon Data'!$AB84</f>
        <v>0</v>
      </c>
      <c r="I303" s="3">
        <f>'Monthly D4 Gallon Data'!$AB96</f>
        <v>0</v>
      </c>
      <c r="J303" s="3">
        <f>'Monthly D4 Gallon Data'!$AB108</f>
        <v>0</v>
      </c>
      <c r="K303" s="3">
        <f>'Monthly D4 Gallon Data'!$AB120</f>
        <v>0</v>
      </c>
      <c r="L303" s="3">
        <f>'Monthly D4 Gallon Data'!$AB132</f>
        <v>0</v>
      </c>
      <c r="M303" s="3">
        <f>'Monthly D4 Gallon Data'!$AB144</f>
        <v>0</v>
      </c>
      <c r="N303" s="3">
        <f>'Monthly D4 Gallon Data'!$AB156</f>
        <v>0</v>
      </c>
      <c r="O303" s="3">
        <f>'Monthly D4 Gallon Data'!$AB168</f>
        <v>0</v>
      </c>
      <c r="P303" s="3">
        <f>'Monthly D4 Gallon Data'!$AB180</f>
        <v>0</v>
      </c>
      <c r="Q303" s="4">
        <v>0</v>
      </c>
      <c r="R303" s="4">
        <v>0</v>
      </c>
      <c r="S303" s="4">
        <v>0</v>
      </c>
      <c r="T303" s="4">
        <v>0</v>
      </c>
      <c r="U303" s="4">
        <v>0</v>
      </c>
      <c r="V303" s="4">
        <v>0</v>
      </c>
      <c r="W303" s="4">
        <v>0</v>
      </c>
      <c r="X303" s="4">
        <v>0</v>
      </c>
      <c r="Y303" s="4">
        <v>0</v>
      </c>
      <c r="Z303" s="4">
        <v>0</v>
      </c>
      <c r="AA303" s="4">
        <v>0</v>
      </c>
      <c r="AB303" s="4">
        <v>0</v>
      </c>
      <c r="AC303" s="4">
        <v>0</v>
      </c>
      <c r="AD303" s="4">
        <v>0</v>
      </c>
      <c r="AE303" s="4">
        <v>0</v>
      </c>
      <c r="AF303" s="4">
        <v>0</v>
      </c>
      <c r="AG303" s="4">
        <v>0</v>
      </c>
      <c r="AH303" s="4">
        <v>0</v>
      </c>
      <c r="AI303" s="4">
        <v>0</v>
      </c>
      <c r="AJ303" s="4">
        <v>0</v>
      </c>
      <c r="AK303" s="4">
        <v>0</v>
      </c>
      <c r="AL303" s="4">
        <v>0</v>
      </c>
      <c r="AM303" s="4">
        <v>0</v>
      </c>
      <c r="AN303" s="4">
        <v>0</v>
      </c>
      <c r="AO303" s="4">
        <v>0</v>
      </c>
      <c r="AP303" s="4">
        <v>0</v>
      </c>
      <c r="AQ303" s="4">
        <v>1</v>
      </c>
      <c r="AR303" s="4"/>
      <c r="AS303" s="4"/>
      <c r="AT303" s="4"/>
      <c r="AU303" s="4"/>
      <c r="AV303" s="4"/>
      <c r="AW303" s="4"/>
      <c r="AX303" s="4"/>
      <c r="AY303" s="3"/>
      <c r="BA303" s="3">
        <v>0</v>
      </c>
      <c r="BB303" s="3">
        <f t="shared" si="302"/>
        <v>0</v>
      </c>
      <c r="BC303" s="3">
        <v>0</v>
      </c>
      <c r="BD303" s="3">
        <f t="shared" si="297"/>
        <v>0</v>
      </c>
      <c r="BE303" s="3">
        <v>0</v>
      </c>
      <c r="BF303" s="3">
        <f t="shared" si="298"/>
        <v>0</v>
      </c>
      <c r="BG303" s="3">
        <v>0</v>
      </c>
      <c r="BH303" s="3"/>
      <c r="BI303" s="3"/>
      <c r="BJ303" s="4">
        <v>0</v>
      </c>
      <c r="BK303" s="3">
        <f t="shared" si="299"/>
        <v>0</v>
      </c>
      <c r="BL303" s="3">
        <f t="shared" si="300"/>
        <v>0</v>
      </c>
      <c r="BM303" s="177">
        <f t="shared" si="301"/>
        <v>0</v>
      </c>
      <c r="BN303" s="3"/>
      <c r="BR303" s="3"/>
      <c r="BS303" s="3"/>
      <c r="BT303" s="3"/>
      <c r="BU303" s="3"/>
      <c r="BV303" s="3"/>
      <c r="BW303" s="3"/>
      <c r="BX303" s="3"/>
      <c r="BY303" s="3"/>
      <c r="BZ303" s="3"/>
      <c r="CA303" s="3"/>
      <c r="CB303" s="3"/>
      <c r="CC303" s="4"/>
      <c r="CD303" s="3"/>
      <c r="CE303" s="3"/>
      <c r="CF303" s="3"/>
      <c r="CG303" s="3"/>
      <c r="CH303" s="3"/>
      <c r="CI303" s="3"/>
      <c r="CJ303" s="3"/>
      <c r="CK303" s="3"/>
      <c r="CL303" s="3"/>
      <c r="CM303" s="3"/>
      <c r="CN303" s="3"/>
      <c r="CO303" s="3"/>
      <c r="CP303" s="3"/>
    </row>
    <row r="304" spans="1:94">
      <c r="A304" s="2" t="s">
        <v>54</v>
      </c>
      <c r="B304" s="3">
        <f>'Monthly D4 Gallon Data'!$AB13</f>
        <v>0</v>
      </c>
      <c r="C304" s="3">
        <f>'Monthly D4 Gallon Data'!$AB25</f>
        <v>0</v>
      </c>
      <c r="D304" s="3">
        <f>'Monthly D4 Gallon Data'!$AB37</f>
        <v>0</v>
      </c>
      <c r="E304" s="3">
        <f>'Monthly D4 Gallon Data'!$AB49</f>
        <v>0</v>
      </c>
      <c r="F304" s="3">
        <f>'Monthly D4 Gallon Data'!$AB61</f>
        <v>0</v>
      </c>
      <c r="G304" s="3">
        <f>'Monthly D4 Gallon Data'!$AB73</f>
        <v>0</v>
      </c>
      <c r="H304" s="3">
        <f>'Monthly D4 Gallon Data'!$AB85</f>
        <v>0</v>
      </c>
      <c r="I304" s="3">
        <f>'Monthly D4 Gallon Data'!$AB97</f>
        <v>0</v>
      </c>
      <c r="J304" s="3">
        <f>'Monthly D4 Gallon Data'!$AB109</f>
        <v>0</v>
      </c>
      <c r="K304" s="3">
        <f>'Monthly D4 Gallon Data'!$AB121</f>
        <v>0</v>
      </c>
      <c r="L304" s="3">
        <f>'Monthly D4 Gallon Data'!$AB133</f>
        <v>0</v>
      </c>
      <c r="M304" s="3">
        <f>'Monthly D4 Gallon Data'!$AB145</f>
        <v>0</v>
      </c>
      <c r="N304" s="3">
        <f>'Monthly D4 Gallon Data'!$AB157</f>
        <v>0</v>
      </c>
      <c r="O304" s="3">
        <f>'Monthly D4 Gallon Data'!$AB169</f>
        <v>0</v>
      </c>
      <c r="P304" s="3">
        <f>'Monthly D4 Gallon Data'!$AB181</f>
        <v>0</v>
      </c>
      <c r="Q304" s="4">
        <v>0</v>
      </c>
      <c r="R304" s="4">
        <v>0</v>
      </c>
      <c r="S304" s="4">
        <v>0</v>
      </c>
      <c r="T304" s="4">
        <v>0</v>
      </c>
      <c r="U304" s="4">
        <v>0</v>
      </c>
      <c r="V304" s="4">
        <v>0</v>
      </c>
      <c r="W304" s="4">
        <v>0</v>
      </c>
      <c r="X304" s="4">
        <v>0</v>
      </c>
      <c r="Y304" s="4">
        <v>0</v>
      </c>
      <c r="Z304" s="4">
        <v>0</v>
      </c>
      <c r="AA304" s="4">
        <v>0</v>
      </c>
      <c r="AB304" s="4">
        <v>0</v>
      </c>
      <c r="AC304" s="4">
        <v>0</v>
      </c>
      <c r="AD304" s="4">
        <v>0</v>
      </c>
      <c r="AE304" s="4">
        <v>0</v>
      </c>
      <c r="AF304" s="4">
        <v>0</v>
      </c>
      <c r="AG304" s="4">
        <v>0</v>
      </c>
      <c r="AH304" s="4">
        <v>0</v>
      </c>
      <c r="AI304" s="4">
        <v>0</v>
      </c>
      <c r="AJ304" s="4">
        <v>0</v>
      </c>
      <c r="AK304" s="4">
        <v>0</v>
      </c>
      <c r="AL304" s="4">
        <v>0</v>
      </c>
      <c r="AM304" s="4">
        <v>0</v>
      </c>
      <c r="AN304" s="4">
        <v>0</v>
      </c>
      <c r="AO304" s="4">
        <v>0</v>
      </c>
      <c r="AP304" s="4">
        <v>0</v>
      </c>
      <c r="AQ304" s="4">
        <v>1</v>
      </c>
      <c r="AR304" s="4"/>
      <c r="AS304" s="4"/>
      <c r="AT304" s="4"/>
      <c r="AU304" s="4"/>
      <c r="AV304" s="4"/>
      <c r="AW304" s="4"/>
      <c r="AX304" s="4"/>
      <c r="AY304" s="3"/>
      <c r="BA304" s="3">
        <v>0</v>
      </c>
      <c r="BB304" s="3">
        <f t="shared" si="302"/>
        <v>0</v>
      </c>
      <c r="BC304" s="3">
        <v>0</v>
      </c>
      <c r="BD304" s="3">
        <f t="shared" si="297"/>
        <v>0</v>
      </c>
      <c r="BE304" s="3">
        <v>0</v>
      </c>
      <c r="BF304" s="3">
        <f t="shared" si="298"/>
        <v>0</v>
      </c>
      <c r="BG304" s="3">
        <v>0</v>
      </c>
      <c r="BH304" s="3"/>
      <c r="BI304" s="3"/>
      <c r="BJ304" s="4">
        <v>0</v>
      </c>
      <c r="BK304" s="3">
        <f t="shared" si="299"/>
        <v>0</v>
      </c>
      <c r="BL304" s="3">
        <f t="shared" si="300"/>
        <v>0</v>
      </c>
      <c r="BM304" s="177">
        <f t="shared" si="301"/>
        <v>0</v>
      </c>
      <c r="BN304" s="3"/>
      <c r="BR304" s="3"/>
      <c r="BS304" s="3"/>
      <c r="BT304" s="3"/>
      <c r="BU304" s="3"/>
      <c r="BV304" s="3"/>
      <c r="BW304" s="3"/>
      <c r="BX304" s="3"/>
      <c r="BY304" s="3"/>
      <c r="BZ304" s="3"/>
      <c r="CA304" s="3"/>
      <c r="CB304" s="3"/>
      <c r="CC304" s="4"/>
      <c r="CD304" s="3"/>
      <c r="CE304" s="3"/>
      <c r="CF304" s="3"/>
      <c r="CG304" s="3"/>
      <c r="CH304" s="3"/>
      <c r="CI304" s="3"/>
      <c r="CJ304" s="3"/>
      <c r="CK304" s="3"/>
      <c r="CL304" s="3"/>
      <c r="CM304" s="3"/>
      <c r="CN304" s="3"/>
      <c r="CO304" s="3"/>
      <c r="CP304" s="3"/>
    </row>
    <row r="305" spans="1:94" ht="13.5" thickBot="1">
      <c r="A305" s="2" t="s">
        <v>29</v>
      </c>
      <c r="B305" s="3">
        <f>SUM(B293:B304)</f>
        <v>0</v>
      </c>
      <c r="C305" s="3">
        <f t="shared" ref="C305:AQ305" si="303">SUM(C293:C304)</f>
        <v>0</v>
      </c>
      <c r="D305" s="3">
        <f t="shared" si="303"/>
        <v>0</v>
      </c>
      <c r="E305" s="3">
        <f t="shared" si="303"/>
        <v>0</v>
      </c>
      <c r="F305" s="3">
        <f t="shared" si="303"/>
        <v>0</v>
      </c>
      <c r="G305" s="3">
        <f t="shared" si="303"/>
        <v>0</v>
      </c>
      <c r="H305" s="3">
        <f t="shared" si="303"/>
        <v>0</v>
      </c>
      <c r="I305" s="3">
        <f t="shared" si="303"/>
        <v>0</v>
      </c>
      <c r="J305" s="3">
        <f t="shared" si="303"/>
        <v>0</v>
      </c>
      <c r="K305" s="3">
        <f t="shared" si="303"/>
        <v>0</v>
      </c>
      <c r="L305" s="3">
        <f t="shared" si="303"/>
        <v>0</v>
      </c>
      <c r="M305" s="3">
        <f t="shared" si="303"/>
        <v>0</v>
      </c>
      <c r="N305" s="3">
        <f t="shared" si="303"/>
        <v>0</v>
      </c>
      <c r="O305" s="3">
        <f t="shared" si="303"/>
        <v>0</v>
      </c>
      <c r="P305" s="3">
        <f t="shared" si="303"/>
        <v>0</v>
      </c>
      <c r="Q305" s="4">
        <f t="shared" si="303"/>
        <v>0</v>
      </c>
      <c r="R305" s="4">
        <f t="shared" si="303"/>
        <v>0</v>
      </c>
      <c r="S305" s="4">
        <f t="shared" si="303"/>
        <v>0</v>
      </c>
      <c r="T305" s="4">
        <f t="shared" si="303"/>
        <v>0</v>
      </c>
      <c r="U305" s="4">
        <f t="shared" si="303"/>
        <v>0</v>
      </c>
      <c r="V305" s="4">
        <f t="shared" si="303"/>
        <v>0</v>
      </c>
      <c r="W305" s="4">
        <f t="shared" si="303"/>
        <v>0</v>
      </c>
      <c r="X305" s="4">
        <f t="shared" si="303"/>
        <v>0</v>
      </c>
      <c r="Y305" s="4">
        <f t="shared" si="303"/>
        <v>0</v>
      </c>
      <c r="Z305" s="4">
        <f t="shared" si="303"/>
        <v>0</v>
      </c>
      <c r="AA305" s="4">
        <f t="shared" si="303"/>
        <v>0</v>
      </c>
      <c r="AB305" s="4">
        <f t="shared" si="303"/>
        <v>0</v>
      </c>
      <c r="AC305" s="4">
        <f t="shared" si="303"/>
        <v>0</v>
      </c>
      <c r="AD305" s="4">
        <f t="shared" si="303"/>
        <v>0</v>
      </c>
      <c r="AE305" s="4">
        <f t="shared" si="303"/>
        <v>0</v>
      </c>
      <c r="AF305" s="4">
        <f t="shared" si="303"/>
        <v>0</v>
      </c>
      <c r="AG305" s="4">
        <f t="shared" si="303"/>
        <v>0</v>
      </c>
      <c r="AH305" s="4">
        <f t="shared" si="303"/>
        <v>0</v>
      </c>
      <c r="AI305" s="4">
        <f t="shared" si="303"/>
        <v>0</v>
      </c>
      <c r="AJ305" s="4">
        <f t="shared" si="303"/>
        <v>0</v>
      </c>
      <c r="AK305" s="4">
        <f t="shared" si="303"/>
        <v>0</v>
      </c>
      <c r="AL305" s="4">
        <f t="shared" si="303"/>
        <v>0</v>
      </c>
      <c r="AM305" s="4">
        <f t="shared" si="303"/>
        <v>0</v>
      </c>
      <c r="AN305" s="4">
        <f t="shared" si="303"/>
        <v>0</v>
      </c>
      <c r="AO305" s="4">
        <f t="shared" si="303"/>
        <v>0</v>
      </c>
      <c r="AP305" s="4">
        <f t="shared" si="303"/>
        <v>0</v>
      </c>
      <c r="AQ305" s="4">
        <f t="shared" si="303"/>
        <v>12</v>
      </c>
      <c r="AR305" s="4"/>
      <c r="AS305" s="4"/>
      <c r="AT305" s="4"/>
      <c r="AU305" s="4"/>
      <c r="AV305" s="4"/>
      <c r="AW305" s="4"/>
      <c r="AX305" s="4"/>
      <c r="AY305" s="3"/>
      <c r="BA305" s="3">
        <v>0</v>
      </c>
      <c r="BB305" s="3">
        <f t="shared" si="302"/>
        <v>0</v>
      </c>
      <c r="BC305" s="3">
        <v>0</v>
      </c>
      <c r="BD305" s="3">
        <f t="shared" si="297"/>
        <v>0</v>
      </c>
      <c r="BE305" s="3">
        <v>0</v>
      </c>
      <c r="BF305" s="3">
        <f t="shared" si="298"/>
        <v>0</v>
      </c>
      <c r="BG305" s="3">
        <v>0</v>
      </c>
      <c r="BH305" s="3"/>
      <c r="BI305" s="3"/>
      <c r="BJ305" s="4">
        <v>0</v>
      </c>
      <c r="BK305" s="3">
        <f t="shared" si="299"/>
        <v>0</v>
      </c>
      <c r="BL305" s="3">
        <f t="shared" si="300"/>
        <v>0</v>
      </c>
      <c r="BM305" s="177">
        <f t="shared" si="301"/>
        <v>0</v>
      </c>
      <c r="BN305" s="3"/>
      <c r="BR305" s="3"/>
      <c r="BS305" s="3"/>
      <c r="BT305" s="3"/>
      <c r="BU305" s="3"/>
      <c r="BV305" s="3"/>
      <c r="BW305" s="3"/>
      <c r="BX305" s="3"/>
      <c r="BY305" s="3"/>
      <c r="BZ305" s="3"/>
      <c r="CA305" s="3"/>
      <c r="CB305" s="3"/>
      <c r="CC305" s="4"/>
      <c r="CD305" s="3"/>
      <c r="CE305" s="3"/>
      <c r="CF305" s="3"/>
      <c r="CG305" s="3"/>
      <c r="CH305" s="3"/>
      <c r="CI305" s="3"/>
      <c r="CJ305" s="3"/>
      <c r="CK305" s="3"/>
      <c r="CL305" s="3"/>
      <c r="CM305" s="3"/>
      <c r="CN305" s="3"/>
      <c r="CO305" s="3"/>
      <c r="CP305" s="3"/>
    </row>
    <row r="306" spans="1:94">
      <c r="A306" s="114"/>
      <c r="B306" s="114"/>
      <c r="C306" s="114"/>
      <c r="D306" s="114"/>
      <c r="E306" s="114"/>
      <c r="F306" s="114"/>
      <c r="G306" s="114"/>
      <c r="H306" s="114"/>
      <c r="I306" s="114"/>
      <c r="J306" s="114"/>
      <c r="K306" s="114"/>
      <c r="L306" s="114"/>
      <c r="M306" s="114"/>
      <c r="N306" s="114"/>
      <c r="O306" s="114"/>
      <c r="P306" s="114"/>
      <c r="Q306" s="114"/>
      <c r="R306" s="114"/>
      <c r="S306" s="114"/>
      <c r="T306" s="114"/>
      <c r="U306" s="114"/>
      <c r="V306" s="114"/>
      <c r="W306" s="114"/>
      <c r="X306" s="114"/>
      <c r="Y306" s="114"/>
      <c r="Z306" s="114"/>
      <c r="AA306" s="114"/>
      <c r="AB306" s="114"/>
      <c r="AC306" s="114"/>
      <c r="AD306" s="114"/>
      <c r="AE306" s="114"/>
      <c r="AF306" s="114"/>
      <c r="AG306" s="114"/>
      <c r="AH306" s="114"/>
      <c r="AI306" s="114"/>
      <c r="AJ306" s="114"/>
      <c r="AK306" s="114"/>
      <c r="AL306" s="114"/>
      <c r="AM306" s="114"/>
      <c r="AN306" s="114"/>
      <c r="AO306" s="114"/>
      <c r="AP306" s="114"/>
      <c r="AQ306" s="114"/>
      <c r="AX306" s="4"/>
      <c r="AY306" s="3"/>
      <c r="BE306" s="4"/>
    </row>
    <row r="307" spans="1:94" ht="16.5" thickBot="1">
      <c r="A307" s="109" t="s">
        <v>325</v>
      </c>
      <c r="AX307" s="4"/>
      <c r="AY307" s="3"/>
      <c r="BE307" s="4"/>
    </row>
    <row r="308" spans="1:94" ht="13.5" thickBot="1">
      <c r="A308" s="110"/>
      <c r="B308" s="111">
        <f t="shared" ref="B308:K308" si="304">B2</f>
        <v>2010</v>
      </c>
      <c r="C308" s="111">
        <f t="shared" si="304"/>
        <v>2011</v>
      </c>
      <c r="D308" s="111">
        <f t="shared" si="304"/>
        <v>2012</v>
      </c>
      <c r="E308" s="111">
        <f t="shared" si="304"/>
        <v>2013</v>
      </c>
      <c r="F308" s="111">
        <f t="shared" si="304"/>
        <v>2014</v>
      </c>
      <c r="G308" s="111">
        <f t="shared" si="304"/>
        <v>2015</v>
      </c>
      <c r="H308" s="111">
        <f t="shared" si="304"/>
        <v>2016</v>
      </c>
      <c r="I308" s="111">
        <f t="shared" si="304"/>
        <v>2017</v>
      </c>
      <c r="J308" s="111">
        <f t="shared" si="304"/>
        <v>2018</v>
      </c>
      <c r="K308" s="111">
        <f t="shared" si="304"/>
        <v>2019</v>
      </c>
      <c r="L308" s="111">
        <f>L2</f>
        <v>2020</v>
      </c>
      <c r="M308" s="111">
        <f>M2</f>
        <v>2021</v>
      </c>
      <c r="N308" s="111">
        <f t="shared" ref="N308:AQ308" si="305">N2</f>
        <v>2022</v>
      </c>
      <c r="O308" s="111">
        <f t="shared" si="305"/>
        <v>2023</v>
      </c>
      <c r="P308" s="111">
        <f t="shared" si="305"/>
        <v>2024</v>
      </c>
      <c r="Q308" s="111">
        <f t="shared" si="305"/>
        <v>2025</v>
      </c>
      <c r="R308" s="111">
        <f t="shared" si="305"/>
        <v>2026</v>
      </c>
      <c r="S308" s="111">
        <f t="shared" si="305"/>
        <v>2027</v>
      </c>
      <c r="T308" s="111">
        <f t="shared" si="305"/>
        <v>2028</v>
      </c>
      <c r="U308" s="111">
        <f t="shared" si="305"/>
        <v>2029</v>
      </c>
      <c r="V308" s="111">
        <f t="shared" si="305"/>
        <v>2030</v>
      </c>
      <c r="W308" s="111">
        <f t="shared" si="305"/>
        <v>2031</v>
      </c>
      <c r="X308" s="111">
        <f t="shared" si="305"/>
        <v>2032</v>
      </c>
      <c r="Y308" s="111">
        <f t="shared" si="305"/>
        <v>2033</v>
      </c>
      <c r="Z308" s="111">
        <f t="shared" si="305"/>
        <v>2034</v>
      </c>
      <c r="AA308" s="111">
        <f t="shared" si="305"/>
        <v>2035</v>
      </c>
      <c r="AB308" s="111">
        <f t="shared" si="305"/>
        <v>2036</v>
      </c>
      <c r="AC308" s="111">
        <f t="shared" si="305"/>
        <v>2037</v>
      </c>
      <c r="AD308" s="111">
        <f t="shared" si="305"/>
        <v>2038</v>
      </c>
      <c r="AE308" s="111">
        <f t="shared" si="305"/>
        <v>2039</v>
      </c>
      <c r="AF308" s="111">
        <f t="shared" si="305"/>
        <v>2040</v>
      </c>
      <c r="AG308" s="111">
        <f t="shared" si="305"/>
        <v>2041</v>
      </c>
      <c r="AH308" s="111">
        <f t="shared" si="305"/>
        <v>2042</v>
      </c>
      <c r="AI308" s="111">
        <f t="shared" si="305"/>
        <v>2043</v>
      </c>
      <c r="AJ308" s="111">
        <f t="shared" si="305"/>
        <v>2044</v>
      </c>
      <c r="AK308" s="111">
        <f t="shared" si="305"/>
        <v>2045</v>
      </c>
      <c r="AL308" s="111">
        <f t="shared" si="305"/>
        <v>2046</v>
      </c>
      <c r="AM308" s="111">
        <f t="shared" si="305"/>
        <v>2047</v>
      </c>
      <c r="AN308" s="111">
        <f t="shared" si="305"/>
        <v>2048</v>
      </c>
      <c r="AO308" s="111">
        <f t="shared" si="305"/>
        <v>2049</v>
      </c>
      <c r="AP308" s="111">
        <f t="shared" si="305"/>
        <v>2050</v>
      </c>
      <c r="AQ308" s="111">
        <f t="shared" si="305"/>
        <v>2051</v>
      </c>
      <c r="AR308" s="94"/>
      <c r="AS308" s="94"/>
      <c r="AT308" s="94"/>
      <c r="AU308" s="94"/>
      <c r="AV308" s="94"/>
      <c r="AW308" s="94"/>
      <c r="AX308" s="4"/>
      <c r="AY308" s="3"/>
      <c r="BE308" s="4"/>
    </row>
    <row r="309" spans="1:94">
      <c r="A309" s="2" t="s">
        <v>43</v>
      </c>
      <c r="B309" s="3">
        <f>'Monthly D4 Gallon Data'!$AC2</f>
        <v>0</v>
      </c>
      <c r="C309" s="3">
        <f>'Monthly D4 Gallon Data'!$AC14</f>
        <v>0</v>
      </c>
      <c r="D309" s="3">
        <f>'Monthly D4 Gallon Data'!$AC26</f>
        <v>0</v>
      </c>
      <c r="E309" s="3">
        <f>'Monthly D4 Gallon Data'!$AC38</f>
        <v>0</v>
      </c>
      <c r="F309" s="3">
        <f>'Monthly D4 Gallon Data'!$AC50</f>
        <v>5612400</v>
      </c>
      <c r="G309" s="3">
        <f>'Monthly D4 Gallon Data'!$AC62</f>
        <v>0</v>
      </c>
      <c r="H309" s="3">
        <f>'Monthly D4 Gallon Data'!$AC74</f>
        <v>0</v>
      </c>
      <c r="I309" s="3">
        <f>'Monthly D4 Gallon Data'!$AC86</f>
        <v>0</v>
      </c>
      <c r="J309" s="3">
        <f>'Monthly D4 Gallon Data'!$AC98</f>
        <v>0</v>
      </c>
      <c r="K309" s="3">
        <f>'Monthly D4 Gallon Data'!$AC110</f>
        <v>0</v>
      </c>
      <c r="L309" s="3">
        <f>'Monthly D4 Gallon Data'!$AC122</f>
        <v>0</v>
      </c>
      <c r="M309" s="3">
        <f>'Monthly D4 Gallon Data'!$AC134</f>
        <v>2859906</v>
      </c>
      <c r="N309" s="3">
        <f>'Monthly D4 Gallon Data'!$AC146</f>
        <v>0</v>
      </c>
      <c r="O309" s="3">
        <f>'Monthly D4 Gallon Data'!$AC158</f>
        <v>0</v>
      </c>
      <c r="P309" s="3">
        <f>'Monthly D4 Gallon Data'!$AC170</f>
        <v>0</v>
      </c>
      <c r="Q309" s="3">
        <f>'Monthly D4 Gallon Data'!$AC182</f>
        <v>0</v>
      </c>
      <c r="R309" s="4">
        <v>0</v>
      </c>
      <c r="S309" s="4">
        <v>0</v>
      </c>
      <c r="T309" s="4">
        <v>0</v>
      </c>
      <c r="U309" s="4">
        <v>0</v>
      </c>
      <c r="V309" s="4">
        <v>0</v>
      </c>
      <c r="W309" s="4">
        <v>0</v>
      </c>
      <c r="X309" s="4">
        <v>0</v>
      </c>
      <c r="Y309" s="4">
        <v>0</v>
      </c>
      <c r="Z309" s="4">
        <v>0</v>
      </c>
      <c r="AA309" s="4">
        <v>0</v>
      </c>
      <c r="AB309" s="4">
        <v>0</v>
      </c>
      <c r="AC309" s="4">
        <v>0</v>
      </c>
      <c r="AD309" s="4">
        <v>0</v>
      </c>
      <c r="AE309" s="4">
        <v>0</v>
      </c>
      <c r="AF309" s="4">
        <v>0</v>
      </c>
      <c r="AG309" s="4">
        <v>0</v>
      </c>
      <c r="AH309" s="4">
        <v>0</v>
      </c>
      <c r="AI309" s="4">
        <v>0</v>
      </c>
      <c r="AJ309" s="4">
        <v>0</v>
      </c>
      <c r="AK309" s="4">
        <v>0</v>
      </c>
      <c r="AL309" s="4">
        <v>0</v>
      </c>
      <c r="AM309" s="4">
        <v>0</v>
      </c>
      <c r="AN309" s="4">
        <v>0</v>
      </c>
      <c r="AO309" s="4">
        <v>0</v>
      </c>
      <c r="AP309" s="4">
        <v>0</v>
      </c>
      <c r="AQ309" s="4">
        <v>1</v>
      </c>
      <c r="AR309" s="4"/>
      <c r="AS309" s="4"/>
      <c r="AT309" s="4"/>
      <c r="AU309" s="4"/>
      <c r="AV309" s="4"/>
      <c r="AW309" s="4"/>
      <c r="AX309" s="4"/>
      <c r="AY309" s="3"/>
      <c r="BC309" s="3">
        <v>0</v>
      </c>
      <c r="BD309" s="3">
        <f t="shared" ref="BD309:BD321" si="306">L309-BC309</f>
        <v>0</v>
      </c>
      <c r="BE309" s="3">
        <v>0</v>
      </c>
      <c r="BF309" s="3">
        <f t="shared" ref="BF309:BF321" si="307">M309-BE309</f>
        <v>2859906</v>
      </c>
      <c r="BG309" s="3">
        <v>0</v>
      </c>
      <c r="BH309" s="3"/>
      <c r="BI309" s="3"/>
      <c r="BJ309" s="3">
        <v>0</v>
      </c>
      <c r="BK309" s="3">
        <f t="shared" ref="BK309:BK321" si="308">P309-BJ309</f>
        <v>0</v>
      </c>
      <c r="BL309" s="3">
        <f t="shared" ref="BL309:BL321" si="309">N309-BG309</f>
        <v>0</v>
      </c>
      <c r="BM309" s="177">
        <f t="shared" ref="BM309:BM321" si="310">Q309-BL309</f>
        <v>0</v>
      </c>
      <c r="BN309" s="3"/>
      <c r="BR309" s="3"/>
      <c r="BS309" s="3"/>
      <c r="BT309" s="3"/>
      <c r="BU309" s="3"/>
      <c r="BV309" s="3"/>
      <c r="BW309" s="3"/>
      <c r="BX309" s="3"/>
      <c r="BY309" s="3"/>
      <c r="BZ309" s="3"/>
      <c r="CA309" s="3"/>
      <c r="CB309" s="3"/>
      <c r="CC309" s="4"/>
      <c r="CD309" s="3"/>
      <c r="CE309" s="3"/>
      <c r="CF309" s="3"/>
      <c r="CG309" s="3"/>
      <c r="CH309" s="3"/>
      <c r="CI309" s="3"/>
      <c r="CJ309" s="3"/>
      <c r="CK309" s="3"/>
      <c r="CL309" s="3"/>
      <c r="CM309" s="3"/>
      <c r="CN309" s="3"/>
      <c r="CO309" s="3"/>
      <c r="CP309" s="3"/>
    </row>
    <row r="310" spans="1:94">
      <c r="A310" s="2" t="s">
        <v>44</v>
      </c>
      <c r="B310" s="3">
        <f>'Monthly D4 Gallon Data'!$AC3</f>
        <v>0</v>
      </c>
      <c r="C310" s="3">
        <f>'Monthly D4 Gallon Data'!$AC15</f>
        <v>0</v>
      </c>
      <c r="D310" s="3">
        <f>'Monthly D4 Gallon Data'!$AC27</f>
        <v>0</v>
      </c>
      <c r="E310" s="3">
        <f>'Monthly D4 Gallon Data'!$AC39</f>
        <v>2405892</v>
      </c>
      <c r="F310" s="3">
        <f>'Monthly D4 Gallon Data'!$AC51</f>
        <v>0</v>
      </c>
      <c r="G310" s="3">
        <f>'Monthly D4 Gallon Data'!$AC63</f>
        <v>0</v>
      </c>
      <c r="H310" s="3">
        <f>'Monthly D4 Gallon Data'!$AC75</f>
        <v>0</v>
      </c>
      <c r="I310" s="3">
        <f>'Monthly D4 Gallon Data'!$AC87</f>
        <v>0</v>
      </c>
      <c r="J310" s="3">
        <f>'Monthly D4 Gallon Data'!$AC99</f>
        <v>0</v>
      </c>
      <c r="K310" s="3">
        <f>'Monthly D4 Gallon Data'!$AC111</f>
        <v>0</v>
      </c>
      <c r="L310" s="3">
        <f>'Monthly D4 Gallon Data'!$AC123</f>
        <v>0</v>
      </c>
      <c r="M310" s="3">
        <f>'Monthly D4 Gallon Data'!$AC135</f>
        <v>0</v>
      </c>
      <c r="N310" s="3">
        <f>'Monthly D4 Gallon Data'!$AC147</f>
        <v>0</v>
      </c>
      <c r="O310" s="3">
        <f>'Monthly D4 Gallon Data'!$AC159</f>
        <v>0</v>
      </c>
      <c r="P310" s="3">
        <f>'Monthly D4 Gallon Data'!$AC171</f>
        <v>0</v>
      </c>
      <c r="Q310" s="3">
        <f>'Monthly D4 Gallon Data'!$AC183</f>
        <v>0</v>
      </c>
      <c r="R310" s="4">
        <v>0</v>
      </c>
      <c r="S310" s="4">
        <v>0</v>
      </c>
      <c r="T310" s="4">
        <v>0</v>
      </c>
      <c r="U310" s="4">
        <v>0</v>
      </c>
      <c r="V310" s="4">
        <v>0</v>
      </c>
      <c r="W310" s="4">
        <v>0</v>
      </c>
      <c r="X310" s="4">
        <v>0</v>
      </c>
      <c r="Y310" s="4">
        <v>0</v>
      </c>
      <c r="Z310" s="4">
        <v>0</v>
      </c>
      <c r="AA310" s="4">
        <v>0</v>
      </c>
      <c r="AB310" s="4">
        <v>0</v>
      </c>
      <c r="AC310" s="4">
        <v>0</v>
      </c>
      <c r="AD310" s="4">
        <v>0</v>
      </c>
      <c r="AE310" s="4">
        <v>0</v>
      </c>
      <c r="AF310" s="4">
        <v>0</v>
      </c>
      <c r="AG310" s="4">
        <v>0</v>
      </c>
      <c r="AH310" s="4">
        <v>0</v>
      </c>
      <c r="AI310" s="4">
        <v>0</v>
      </c>
      <c r="AJ310" s="4">
        <v>0</v>
      </c>
      <c r="AK310" s="4">
        <v>0</v>
      </c>
      <c r="AL310" s="4">
        <v>0</v>
      </c>
      <c r="AM310" s="4">
        <v>0</v>
      </c>
      <c r="AN310" s="4">
        <v>0</v>
      </c>
      <c r="AO310" s="4">
        <v>0</v>
      </c>
      <c r="AP310" s="4">
        <v>0</v>
      </c>
      <c r="AQ310" s="4">
        <v>1</v>
      </c>
      <c r="AR310" s="4"/>
      <c r="AS310" s="4"/>
      <c r="AT310" s="4"/>
      <c r="AU310" s="4"/>
      <c r="AV310" s="4"/>
      <c r="AW310" s="4"/>
      <c r="AX310" s="4"/>
      <c r="AY310" s="3"/>
      <c r="BC310" s="3">
        <v>0</v>
      </c>
      <c r="BD310" s="3">
        <f t="shared" si="306"/>
        <v>0</v>
      </c>
      <c r="BE310" s="3">
        <v>0</v>
      </c>
      <c r="BF310" s="3">
        <f t="shared" si="307"/>
        <v>0</v>
      </c>
      <c r="BG310" s="3">
        <v>0</v>
      </c>
      <c r="BH310" s="3"/>
      <c r="BI310" s="3"/>
      <c r="BJ310" s="3">
        <v>0</v>
      </c>
      <c r="BK310" s="3">
        <f t="shared" si="308"/>
        <v>0</v>
      </c>
      <c r="BL310" s="3">
        <f t="shared" si="309"/>
        <v>0</v>
      </c>
      <c r="BM310" s="177">
        <f t="shared" si="310"/>
        <v>0</v>
      </c>
      <c r="BN310" s="3"/>
      <c r="BR310" s="3"/>
      <c r="BS310" s="3"/>
      <c r="BT310" s="3"/>
      <c r="BU310" s="3"/>
      <c r="BV310" s="3"/>
      <c r="BW310" s="3"/>
      <c r="BX310" s="3"/>
      <c r="BY310" s="3"/>
      <c r="BZ310" s="3"/>
      <c r="CA310" s="3"/>
      <c r="CB310" s="3"/>
      <c r="CC310" s="4"/>
      <c r="CD310" s="3"/>
      <c r="CE310" s="3"/>
      <c r="CF310" s="3"/>
      <c r="CG310" s="3"/>
      <c r="CH310" s="3"/>
      <c r="CI310" s="3"/>
      <c r="CJ310" s="3"/>
      <c r="CK310" s="3"/>
      <c r="CL310" s="3"/>
      <c r="CM310" s="3"/>
      <c r="CN310" s="3"/>
      <c r="CO310" s="3"/>
      <c r="CP310" s="3"/>
    </row>
    <row r="311" spans="1:94">
      <c r="A311" s="2" t="s">
        <v>45</v>
      </c>
      <c r="B311" s="3">
        <f>'Monthly D4 Gallon Data'!$AC4</f>
        <v>0</v>
      </c>
      <c r="C311" s="3">
        <f>'Monthly D4 Gallon Data'!$AC16</f>
        <v>0</v>
      </c>
      <c r="D311" s="3">
        <f>'Monthly D4 Gallon Data'!$AC28</f>
        <v>0</v>
      </c>
      <c r="E311" s="3">
        <f>'Monthly D4 Gallon Data'!$AC40</f>
        <v>4938884</v>
      </c>
      <c r="F311" s="3">
        <f>'Monthly D4 Gallon Data'!$AC52</f>
        <v>0</v>
      </c>
      <c r="G311" s="3">
        <f>'Monthly D4 Gallon Data'!$AC64</f>
        <v>0</v>
      </c>
      <c r="H311" s="3">
        <f>'Monthly D4 Gallon Data'!$AC76</f>
        <v>0</v>
      </c>
      <c r="I311" s="3">
        <f>'Monthly D4 Gallon Data'!$AC88</f>
        <v>0</v>
      </c>
      <c r="J311" s="3">
        <f>'Monthly D4 Gallon Data'!$AC100</f>
        <v>0</v>
      </c>
      <c r="K311" s="3">
        <f>'Monthly D4 Gallon Data'!$AC112</f>
        <v>0</v>
      </c>
      <c r="L311" s="3">
        <f>'Monthly D4 Gallon Data'!$AC124</f>
        <v>0</v>
      </c>
      <c r="M311" s="3">
        <f>'Monthly D4 Gallon Data'!$AC136</f>
        <v>0</v>
      </c>
      <c r="N311" s="3">
        <f>'Monthly D4 Gallon Data'!$AC148</f>
        <v>0</v>
      </c>
      <c r="O311" s="3">
        <f>'Monthly D4 Gallon Data'!$AC160</f>
        <v>0</v>
      </c>
      <c r="P311" s="3">
        <f>'Monthly D4 Gallon Data'!$AC172</f>
        <v>0</v>
      </c>
      <c r="Q311" s="3">
        <f>'Monthly D4 Gallon Data'!$AC184</f>
        <v>12677402</v>
      </c>
      <c r="R311" s="4">
        <v>0</v>
      </c>
      <c r="S311" s="4">
        <v>0</v>
      </c>
      <c r="T311" s="4">
        <v>0</v>
      </c>
      <c r="U311" s="4">
        <v>0</v>
      </c>
      <c r="V311" s="4">
        <v>0</v>
      </c>
      <c r="W311" s="4">
        <v>0</v>
      </c>
      <c r="X311" s="4">
        <v>0</v>
      </c>
      <c r="Y311" s="4">
        <v>0</v>
      </c>
      <c r="Z311" s="4">
        <v>0</v>
      </c>
      <c r="AA311" s="4">
        <v>0</v>
      </c>
      <c r="AB311" s="4">
        <v>0</v>
      </c>
      <c r="AC311" s="4">
        <v>0</v>
      </c>
      <c r="AD311" s="4">
        <v>0</v>
      </c>
      <c r="AE311" s="4">
        <v>0</v>
      </c>
      <c r="AF311" s="4">
        <v>0</v>
      </c>
      <c r="AG311" s="4">
        <v>0</v>
      </c>
      <c r="AH311" s="4">
        <v>0</v>
      </c>
      <c r="AI311" s="4">
        <v>0</v>
      </c>
      <c r="AJ311" s="4">
        <v>0</v>
      </c>
      <c r="AK311" s="4">
        <v>0</v>
      </c>
      <c r="AL311" s="4">
        <v>0</v>
      </c>
      <c r="AM311" s="4">
        <v>0</v>
      </c>
      <c r="AN311" s="4">
        <v>0</v>
      </c>
      <c r="AO311" s="4">
        <v>0</v>
      </c>
      <c r="AP311" s="4">
        <v>0</v>
      </c>
      <c r="AQ311" s="4">
        <v>1</v>
      </c>
      <c r="AR311" s="4"/>
      <c r="AS311" s="4"/>
      <c r="AT311" s="4"/>
      <c r="AU311" s="4"/>
      <c r="AV311" s="4"/>
      <c r="AW311" s="4"/>
      <c r="AX311" s="4"/>
      <c r="AY311" s="3"/>
      <c r="BC311" s="3">
        <v>0</v>
      </c>
      <c r="BD311" s="3">
        <f t="shared" si="306"/>
        <v>0</v>
      </c>
      <c r="BE311" s="3">
        <v>0</v>
      </c>
      <c r="BF311" s="3">
        <f t="shared" si="307"/>
        <v>0</v>
      </c>
      <c r="BG311" s="3">
        <v>0</v>
      </c>
      <c r="BH311" s="3"/>
      <c r="BI311" s="3"/>
      <c r="BJ311" s="3">
        <v>0</v>
      </c>
      <c r="BK311" s="3">
        <f t="shared" si="308"/>
        <v>0</v>
      </c>
      <c r="BL311" s="3">
        <f t="shared" si="309"/>
        <v>0</v>
      </c>
      <c r="BM311" s="177">
        <f t="shared" si="310"/>
        <v>12677402</v>
      </c>
      <c r="BN311" s="3"/>
      <c r="BR311" s="3"/>
      <c r="BS311" s="3"/>
      <c r="BT311" s="3"/>
      <c r="BU311" s="3"/>
      <c r="BV311" s="3"/>
      <c r="BW311" s="3"/>
      <c r="BX311" s="3"/>
      <c r="BY311" s="3"/>
      <c r="BZ311" s="3"/>
      <c r="CA311" s="3"/>
      <c r="CB311" s="3"/>
      <c r="CC311" s="4"/>
      <c r="CD311" s="3"/>
      <c r="CE311" s="3"/>
      <c r="CF311" s="3"/>
      <c r="CG311" s="3"/>
      <c r="CH311" s="3"/>
      <c r="CI311" s="3"/>
      <c r="CJ311" s="3"/>
      <c r="CK311" s="3"/>
      <c r="CL311" s="3"/>
      <c r="CM311" s="3"/>
      <c r="CN311" s="3"/>
      <c r="CO311" s="3"/>
      <c r="CP311" s="3"/>
    </row>
    <row r="312" spans="1:94">
      <c r="A312" s="2" t="s">
        <v>46</v>
      </c>
      <c r="B312" s="3">
        <f>'Monthly D4 Gallon Data'!$AC5</f>
        <v>0</v>
      </c>
      <c r="C312" s="3">
        <f>'Monthly D4 Gallon Data'!$AC17</f>
        <v>0</v>
      </c>
      <c r="D312" s="3">
        <f>'Monthly D4 Gallon Data'!$AC29</f>
        <v>0</v>
      </c>
      <c r="E312" s="3">
        <f>'Monthly D4 Gallon Data'!$AC41</f>
        <v>0</v>
      </c>
      <c r="F312" s="3">
        <f>'Monthly D4 Gallon Data'!$AC53</f>
        <v>0</v>
      </c>
      <c r="G312" s="3">
        <f>'Monthly D4 Gallon Data'!$AC65</f>
        <v>0</v>
      </c>
      <c r="H312" s="3">
        <f>'Monthly D4 Gallon Data'!$AC77</f>
        <v>0</v>
      </c>
      <c r="I312" s="3">
        <f>'Monthly D4 Gallon Data'!$AC89</f>
        <v>0</v>
      </c>
      <c r="J312" s="3">
        <f>'Monthly D4 Gallon Data'!$AC101</f>
        <v>0</v>
      </c>
      <c r="K312" s="3">
        <f>'Monthly D4 Gallon Data'!$AC113</f>
        <v>0</v>
      </c>
      <c r="L312" s="3">
        <f>'Monthly D4 Gallon Data'!$AC125</f>
        <v>0</v>
      </c>
      <c r="M312" s="3">
        <f>'Monthly D4 Gallon Data'!$AC137</f>
        <v>0</v>
      </c>
      <c r="N312" s="3">
        <f>'Monthly D4 Gallon Data'!$AC149</f>
        <v>0</v>
      </c>
      <c r="O312" s="3">
        <f>'Monthly D4 Gallon Data'!$AC161</f>
        <v>0</v>
      </c>
      <c r="P312" s="3">
        <f>'Monthly D4 Gallon Data'!$AC173</f>
        <v>0</v>
      </c>
      <c r="Q312" s="4">
        <v>0</v>
      </c>
      <c r="R312" s="4">
        <v>0</v>
      </c>
      <c r="S312" s="4">
        <v>0</v>
      </c>
      <c r="T312" s="4">
        <v>0</v>
      </c>
      <c r="U312" s="4">
        <v>0</v>
      </c>
      <c r="V312" s="4">
        <v>0</v>
      </c>
      <c r="W312" s="4">
        <v>0</v>
      </c>
      <c r="X312" s="4">
        <v>0</v>
      </c>
      <c r="Y312" s="4">
        <v>0</v>
      </c>
      <c r="Z312" s="4">
        <v>0</v>
      </c>
      <c r="AA312" s="4">
        <v>0</v>
      </c>
      <c r="AB312" s="4">
        <v>0</v>
      </c>
      <c r="AC312" s="4">
        <v>0</v>
      </c>
      <c r="AD312" s="4">
        <v>0</v>
      </c>
      <c r="AE312" s="4">
        <v>0</v>
      </c>
      <c r="AF312" s="4">
        <v>0</v>
      </c>
      <c r="AG312" s="4">
        <v>0</v>
      </c>
      <c r="AH312" s="4">
        <v>0</v>
      </c>
      <c r="AI312" s="4">
        <v>0</v>
      </c>
      <c r="AJ312" s="4">
        <v>0</v>
      </c>
      <c r="AK312" s="4">
        <v>0</v>
      </c>
      <c r="AL312" s="4">
        <v>0</v>
      </c>
      <c r="AM312" s="4">
        <v>0</v>
      </c>
      <c r="AN312" s="4">
        <v>0</v>
      </c>
      <c r="AO312" s="4">
        <v>0</v>
      </c>
      <c r="AP312" s="4">
        <v>0</v>
      </c>
      <c r="AQ312" s="4">
        <v>1</v>
      </c>
      <c r="AR312" s="4"/>
      <c r="AS312" s="4"/>
      <c r="AT312" s="4"/>
      <c r="AU312" s="4"/>
      <c r="AV312" s="4"/>
      <c r="AW312" s="4"/>
      <c r="AX312" s="4"/>
      <c r="AY312" s="3"/>
      <c r="BC312" s="3">
        <v>0</v>
      </c>
      <c r="BD312" s="3">
        <f t="shared" si="306"/>
        <v>0</v>
      </c>
      <c r="BE312" s="3">
        <v>0</v>
      </c>
      <c r="BF312" s="3">
        <f t="shared" si="307"/>
        <v>0</v>
      </c>
      <c r="BG312" s="3">
        <v>0</v>
      </c>
      <c r="BH312" s="3"/>
      <c r="BI312" s="3"/>
      <c r="BJ312" s="4">
        <v>0</v>
      </c>
      <c r="BK312" s="3">
        <f t="shared" si="308"/>
        <v>0</v>
      </c>
      <c r="BL312" s="3">
        <f t="shared" si="309"/>
        <v>0</v>
      </c>
      <c r="BM312" s="177">
        <f t="shared" si="310"/>
        <v>0</v>
      </c>
      <c r="BN312" s="3"/>
      <c r="BR312" s="3"/>
      <c r="BS312" s="3"/>
      <c r="BT312" s="3"/>
      <c r="BU312" s="3"/>
      <c r="BV312" s="3"/>
      <c r="BW312" s="3"/>
      <c r="BX312" s="3"/>
      <c r="BY312" s="3"/>
      <c r="BZ312" s="3"/>
      <c r="CA312" s="3"/>
      <c r="CB312" s="3"/>
      <c r="CC312" s="4"/>
      <c r="CD312" s="3"/>
      <c r="CE312" s="3"/>
      <c r="CF312" s="3"/>
      <c r="CG312" s="3"/>
      <c r="CH312" s="3"/>
      <c r="CI312" s="3"/>
      <c r="CJ312" s="3"/>
      <c r="CK312" s="3"/>
      <c r="CL312" s="3"/>
      <c r="CM312" s="3"/>
      <c r="CN312" s="3"/>
      <c r="CO312" s="3"/>
      <c r="CP312" s="3"/>
    </row>
    <row r="313" spans="1:94">
      <c r="A313" s="2" t="s">
        <v>47</v>
      </c>
      <c r="B313" s="3">
        <f>'Monthly D4 Gallon Data'!$AC6</f>
        <v>0</v>
      </c>
      <c r="C313" s="3">
        <f>'Monthly D4 Gallon Data'!$AC18</f>
        <v>0</v>
      </c>
      <c r="D313" s="3">
        <f>'Monthly D4 Gallon Data'!$AC30</f>
        <v>0</v>
      </c>
      <c r="E313" s="3">
        <f>'Monthly D4 Gallon Data'!$AC42</f>
        <v>0</v>
      </c>
      <c r="F313" s="3">
        <f>'Monthly D4 Gallon Data'!$AC54</f>
        <v>0</v>
      </c>
      <c r="G313" s="3">
        <f>'Monthly D4 Gallon Data'!$AC66</f>
        <v>0</v>
      </c>
      <c r="H313" s="3">
        <f>'Monthly D4 Gallon Data'!$AC78</f>
        <v>0</v>
      </c>
      <c r="I313" s="3">
        <f>'Monthly D4 Gallon Data'!$AC90</f>
        <v>0</v>
      </c>
      <c r="J313" s="3">
        <f>'Monthly D4 Gallon Data'!$AC102</f>
        <v>0</v>
      </c>
      <c r="K313" s="3">
        <f>'Monthly D4 Gallon Data'!$AC114</f>
        <v>0</v>
      </c>
      <c r="L313" s="3">
        <f>'Monthly D4 Gallon Data'!$AC126</f>
        <v>0</v>
      </c>
      <c r="M313" s="3">
        <f>'Monthly D4 Gallon Data'!$AC138</f>
        <v>0</v>
      </c>
      <c r="N313" s="3">
        <f>'Monthly D4 Gallon Data'!$AC150</f>
        <v>0</v>
      </c>
      <c r="O313" s="3">
        <f>'Monthly D4 Gallon Data'!$AC162</f>
        <v>0</v>
      </c>
      <c r="P313" s="3">
        <f>'Monthly D4 Gallon Data'!$AC174</f>
        <v>0</v>
      </c>
      <c r="Q313" s="4">
        <v>0</v>
      </c>
      <c r="R313" s="4">
        <v>0</v>
      </c>
      <c r="S313" s="4">
        <v>0</v>
      </c>
      <c r="T313" s="4">
        <v>0</v>
      </c>
      <c r="U313" s="4">
        <v>0</v>
      </c>
      <c r="V313" s="4">
        <v>0</v>
      </c>
      <c r="W313" s="4">
        <v>0</v>
      </c>
      <c r="X313" s="4">
        <v>0</v>
      </c>
      <c r="Y313" s="4">
        <v>0</v>
      </c>
      <c r="Z313" s="4">
        <v>0</v>
      </c>
      <c r="AA313" s="4">
        <v>0</v>
      </c>
      <c r="AB313" s="4">
        <v>0</v>
      </c>
      <c r="AC313" s="4">
        <v>0</v>
      </c>
      <c r="AD313" s="4">
        <v>0</v>
      </c>
      <c r="AE313" s="4">
        <v>0</v>
      </c>
      <c r="AF313" s="4">
        <v>0</v>
      </c>
      <c r="AG313" s="4">
        <v>0</v>
      </c>
      <c r="AH313" s="4">
        <v>0</v>
      </c>
      <c r="AI313" s="4">
        <v>0</v>
      </c>
      <c r="AJ313" s="4">
        <v>0</v>
      </c>
      <c r="AK313" s="4">
        <v>0</v>
      </c>
      <c r="AL313" s="4">
        <v>0</v>
      </c>
      <c r="AM313" s="4">
        <v>0</v>
      </c>
      <c r="AN313" s="4">
        <v>0</v>
      </c>
      <c r="AO313" s="4">
        <v>0</v>
      </c>
      <c r="AP313" s="4">
        <v>0</v>
      </c>
      <c r="AQ313" s="4">
        <v>1</v>
      </c>
      <c r="AR313" s="4"/>
      <c r="AS313" s="4"/>
      <c r="AT313" s="4"/>
      <c r="AU313" s="4"/>
      <c r="AV313" s="4"/>
      <c r="AW313" s="4"/>
      <c r="AX313" s="4"/>
      <c r="AY313" s="3"/>
      <c r="BA313" s="3">
        <v>0</v>
      </c>
      <c r="BB313" s="3">
        <f t="shared" ref="BB313:BB321" si="311">K313-BA313</f>
        <v>0</v>
      </c>
      <c r="BC313" s="3">
        <v>0</v>
      </c>
      <c r="BD313" s="3">
        <f t="shared" si="306"/>
        <v>0</v>
      </c>
      <c r="BE313" s="3">
        <v>0</v>
      </c>
      <c r="BF313" s="3">
        <f t="shared" si="307"/>
        <v>0</v>
      </c>
      <c r="BG313" s="3">
        <v>0</v>
      </c>
      <c r="BH313" s="3"/>
      <c r="BI313" s="3"/>
      <c r="BJ313" s="4">
        <v>0</v>
      </c>
      <c r="BK313" s="3">
        <f t="shared" si="308"/>
        <v>0</v>
      </c>
      <c r="BL313" s="3">
        <f t="shared" si="309"/>
        <v>0</v>
      </c>
      <c r="BM313" s="177">
        <f t="shared" si="310"/>
        <v>0</v>
      </c>
      <c r="BN313" s="3"/>
      <c r="BR313" s="3"/>
      <c r="BS313" s="3"/>
      <c r="BT313" s="3"/>
      <c r="BU313" s="3"/>
      <c r="BV313" s="3"/>
      <c r="BW313" s="3"/>
      <c r="BX313" s="3"/>
      <c r="BY313" s="3"/>
      <c r="BZ313" s="3"/>
      <c r="CA313" s="3"/>
      <c r="CB313" s="3"/>
      <c r="CC313" s="4"/>
      <c r="CD313" s="3"/>
      <c r="CE313" s="3"/>
      <c r="CF313" s="3"/>
      <c r="CG313" s="3"/>
      <c r="CH313" s="3"/>
      <c r="CI313" s="3"/>
      <c r="CJ313" s="3"/>
      <c r="CK313" s="3"/>
      <c r="CL313" s="3"/>
      <c r="CM313" s="3"/>
      <c r="CN313" s="3"/>
      <c r="CO313" s="3"/>
      <c r="CP313" s="3"/>
    </row>
    <row r="314" spans="1:94">
      <c r="A314" s="2" t="s">
        <v>48</v>
      </c>
      <c r="B314" s="3">
        <f>'Monthly D4 Gallon Data'!$AC7</f>
        <v>0</v>
      </c>
      <c r="C314" s="3">
        <f>'Monthly D4 Gallon Data'!$AC19</f>
        <v>0</v>
      </c>
      <c r="D314" s="3">
        <f>'Monthly D4 Gallon Data'!$AC31</f>
        <v>0</v>
      </c>
      <c r="E314" s="3">
        <f>'Monthly D4 Gallon Data'!$AC43</f>
        <v>4744730</v>
      </c>
      <c r="F314" s="3">
        <f>'Monthly D4 Gallon Data'!$AC55</f>
        <v>0</v>
      </c>
      <c r="G314" s="3">
        <f>'Monthly D4 Gallon Data'!$AC67</f>
        <v>0</v>
      </c>
      <c r="H314" s="3">
        <f>'Monthly D4 Gallon Data'!$AC79</f>
        <v>0</v>
      </c>
      <c r="I314" s="3">
        <f>'Monthly D4 Gallon Data'!$AC91</f>
        <v>0</v>
      </c>
      <c r="J314" s="3">
        <f>'Monthly D4 Gallon Data'!$AC103</f>
        <v>0</v>
      </c>
      <c r="K314" s="3">
        <f>'Monthly D4 Gallon Data'!$AC115</f>
        <v>0</v>
      </c>
      <c r="L314" s="3">
        <f>'Monthly D4 Gallon Data'!$AC127</f>
        <v>0</v>
      </c>
      <c r="M314" s="3">
        <f>'Monthly D4 Gallon Data'!$AC139</f>
        <v>0</v>
      </c>
      <c r="N314" s="3">
        <f>'Monthly D4 Gallon Data'!$AC151</f>
        <v>0</v>
      </c>
      <c r="O314" s="3">
        <f>'Monthly D4 Gallon Data'!$AC163</f>
        <v>0</v>
      </c>
      <c r="P314" s="3">
        <f>'Monthly D4 Gallon Data'!$AC175</f>
        <v>0</v>
      </c>
      <c r="Q314" s="4">
        <v>0</v>
      </c>
      <c r="R314" s="4">
        <v>0</v>
      </c>
      <c r="S314" s="4">
        <v>0</v>
      </c>
      <c r="T314" s="4">
        <v>0</v>
      </c>
      <c r="U314" s="4">
        <v>0</v>
      </c>
      <c r="V314" s="4">
        <v>0</v>
      </c>
      <c r="W314" s="4">
        <v>0</v>
      </c>
      <c r="X314" s="4">
        <v>0</v>
      </c>
      <c r="Y314" s="4">
        <v>0</v>
      </c>
      <c r="Z314" s="4">
        <v>0</v>
      </c>
      <c r="AA314" s="4">
        <v>0</v>
      </c>
      <c r="AB314" s="4">
        <v>0</v>
      </c>
      <c r="AC314" s="4">
        <v>0</v>
      </c>
      <c r="AD314" s="4">
        <v>0</v>
      </c>
      <c r="AE314" s="4">
        <v>0</v>
      </c>
      <c r="AF314" s="4">
        <v>0</v>
      </c>
      <c r="AG314" s="4">
        <v>0</v>
      </c>
      <c r="AH314" s="4">
        <v>0</v>
      </c>
      <c r="AI314" s="4">
        <v>0</v>
      </c>
      <c r="AJ314" s="4">
        <v>0</v>
      </c>
      <c r="AK314" s="4">
        <v>0</v>
      </c>
      <c r="AL314" s="4">
        <v>0</v>
      </c>
      <c r="AM314" s="4">
        <v>0</v>
      </c>
      <c r="AN314" s="4">
        <v>0</v>
      </c>
      <c r="AO314" s="4">
        <v>0</v>
      </c>
      <c r="AP314" s="4">
        <v>0</v>
      </c>
      <c r="AQ314" s="4">
        <v>1</v>
      </c>
      <c r="AR314" s="4"/>
      <c r="AS314" s="4"/>
      <c r="AT314" s="4"/>
      <c r="AU314" s="4"/>
      <c r="AV314" s="4"/>
      <c r="AW314" s="4"/>
      <c r="AX314" s="4"/>
      <c r="AY314" s="3"/>
      <c r="BA314" s="3">
        <v>0</v>
      </c>
      <c r="BB314" s="3">
        <f t="shared" si="311"/>
        <v>0</v>
      </c>
      <c r="BC314" s="3">
        <v>0</v>
      </c>
      <c r="BD314" s="3">
        <f t="shared" si="306"/>
        <v>0</v>
      </c>
      <c r="BE314" s="3">
        <v>0</v>
      </c>
      <c r="BF314" s="3">
        <f t="shared" si="307"/>
        <v>0</v>
      </c>
      <c r="BG314" s="3">
        <v>0</v>
      </c>
      <c r="BH314" s="3"/>
      <c r="BI314" s="3"/>
      <c r="BJ314" s="4">
        <v>0</v>
      </c>
      <c r="BK314" s="3">
        <f t="shared" si="308"/>
        <v>0</v>
      </c>
      <c r="BL314" s="3">
        <f t="shared" si="309"/>
        <v>0</v>
      </c>
      <c r="BM314" s="177">
        <f t="shared" si="310"/>
        <v>0</v>
      </c>
      <c r="BN314" s="3"/>
      <c r="BR314" s="3"/>
      <c r="BS314" s="3"/>
      <c r="BT314" s="3"/>
      <c r="BU314" s="3"/>
      <c r="BV314" s="3"/>
      <c r="BW314" s="3"/>
      <c r="BX314" s="3"/>
      <c r="BY314" s="3"/>
      <c r="BZ314" s="3"/>
      <c r="CA314" s="3"/>
      <c r="CB314" s="3"/>
      <c r="CC314" s="4"/>
      <c r="CD314" s="3"/>
      <c r="CE314" s="3"/>
      <c r="CF314" s="3"/>
      <c r="CG314" s="3"/>
      <c r="CH314" s="3"/>
      <c r="CI314" s="3"/>
      <c r="CJ314" s="3"/>
      <c r="CK314" s="3"/>
      <c r="CL314" s="3"/>
      <c r="CM314" s="3"/>
      <c r="CN314" s="3"/>
      <c r="CO314" s="3"/>
      <c r="CP314" s="3"/>
    </row>
    <row r="315" spans="1:94">
      <c r="A315" s="2" t="s">
        <v>49</v>
      </c>
      <c r="B315" s="3">
        <f>'Monthly D4 Gallon Data'!$AC8</f>
        <v>0</v>
      </c>
      <c r="C315" s="3">
        <f>'Monthly D4 Gallon Data'!$AC20</f>
        <v>0</v>
      </c>
      <c r="D315" s="3">
        <f>'Monthly D4 Gallon Data'!$AC32</f>
        <v>0</v>
      </c>
      <c r="E315" s="3">
        <f>'Monthly D4 Gallon Data'!$AC44</f>
        <v>7236919</v>
      </c>
      <c r="F315" s="3">
        <f>'Monthly D4 Gallon Data'!$AC56</f>
        <v>0</v>
      </c>
      <c r="G315" s="3">
        <f>'Monthly D4 Gallon Data'!$AC68</f>
        <v>0</v>
      </c>
      <c r="H315" s="3">
        <f>'Monthly D4 Gallon Data'!$AC80</f>
        <v>0</v>
      </c>
      <c r="I315" s="3">
        <f>'Monthly D4 Gallon Data'!$AC92</f>
        <v>0</v>
      </c>
      <c r="J315" s="3">
        <f>'Monthly D4 Gallon Data'!$AC104</f>
        <v>0</v>
      </c>
      <c r="K315" s="3">
        <f>'Monthly D4 Gallon Data'!$AC116</f>
        <v>0</v>
      </c>
      <c r="L315" s="3">
        <f>'Monthly D4 Gallon Data'!$AC128</f>
        <v>0</v>
      </c>
      <c r="M315" s="3">
        <f>'Monthly D4 Gallon Data'!$AC140</f>
        <v>0</v>
      </c>
      <c r="N315" s="3">
        <f>'Monthly D4 Gallon Data'!$AC152</f>
        <v>0</v>
      </c>
      <c r="O315" s="3">
        <f>'Monthly D4 Gallon Data'!$AC164</f>
        <v>0</v>
      </c>
      <c r="P315" s="3">
        <f>'Monthly D4 Gallon Data'!$AC176</f>
        <v>25177925</v>
      </c>
      <c r="Q315" s="4">
        <v>0</v>
      </c>
      <c r="R315" s="4">
        <v>0</v>
      </c>
      <c r="S315" s="4">
        <v>0</v>
      </c>
      <c r="T315" s="4">
        <v>0</v>
      </c>
      <c r="U315" s="4">
        <v>0</v>
      </c>
      <c r="V315" s="4">
        <v>0</v>
      </c>
      <c r="W315" s="4">
        <v>0</v>
      </c>
      <c r="X315" s="4">
        <v>0</v>
      </c>
      <c r="Y315" s="4">
        <v>0</v>
      </c>
      <c r="Z315" s="4">
        <v>0</v>
      </c>
      <c r="AA315" s="4">
        <v>0</v>
      </c>
      <c r="AB315" s="4">
        <v>0</v>
      </c>
      <c r="AC315" s="4">
        <v>0</v>
      </c>
      <c r="AD315" s="4">
        <v>0</v>
      </c>
      <c r="AE315" s="4">
        <v>0</v>
      </c>
      <c r="AF315" s="4">
        <v>0</v>
      </c>
      <c r="AG315" s="4">
        <v>0</v>
      </c>
      <c r="AH315" s="4">
        <v>0</v>
      </c>
      <c r="AI315" s="4">
        <v>0</v>
      </c>
      <c r="AJ315" s="4">
        <v>0</v>
      </c>
      <c r="AK315" s="4">
        <v>0</v>
      </c>
      <c r="AL315" s="4">
        <v>0</v>
      </c>
      <c r="AM315" s="4">
        <v>0</v>
      </c>
      <c r="AN315" s="4">
        <v>0</v>
      </c>
      <c r="AO315" s="4">
        <v>0</v>
      </c>
      <c r="AP315" s="4">
        <v>0</v>
      </c>
      <c r="AQ315" s="4">
        <v>1</v>
      </c>
      <c r="AR315" s="4"/>
      <c r="AS315" s="4"/>
      <c r="AT315" s="4"/>
      <c r="AU315" s="4"/>
      <c r="AV315" s="4"/>
      <c r="AW315" s="4"/>
      <c r="AX315" s="4"/>
      <c r="AY315" s="3"/>
      <c r="BA315" s="3">
        <v>0</v>
      </c>
      <c r="BB315" s="3">
        <f t="shared" si="311"/>
        <v>0</v>
      </c>
      <c r="BC315" s="3">
        <v>0</v>
      </c>
      <c r="BD315" s="3">
        <f t="shared" si="306"/>
        <v>0</v>
      </c>
      <c r="BE315" s="3">
        <v>0</v>
      </c>
      <c r="BF315" s="3">
        <f t="shared" si="307"/>
        <v>0</v>
      </c>
      <c r="BG315" s="3">
        <v>0</v>
      </c>
      <c r="BH315" s="3"/>
      <c r="BI315" s="3"/>
      <c r="BJ315" s="4">
        <v>25177925</v>
      </c>
      <c r="BK315" s="3">
        <f t="shared" si="308"/>
        <v>0</v>
      </c>
      <c r="BL315" s="3">
        <f t="shared" si="309"/>
        <v>0</v>
      </c>
      <c r="BM315" s="177">
        <f t="shared" si="310"/>
        <v>0</v>
      </c>
      <c r="BN315" s="3"/>
      <c r="BR315" s="3"/>
      <c r="BS315" s="3"/>
      <c r="BT315" s="3"/>
      <c r="BU315" s="3"/>
      <c r="BV315" s="3"/>
      <c r="BW315" s="3"/>
      <c r="BX315" s="3"/>
      <c r="BY315" s="3"/>
      <c r="BZ315" s="3"/>
      <c r="CA315" s="3"/>
      <c r="CB315" s="3"/>
      <c r="CC315" s="4"/>
      <c r="CD315" s="3"/>
      <c r="CE315" s="3"/>
      <c r="CF315" s="3"/>
      <c r="CG315" s="3"/>
      <c r="CH315" s="3"/>
      <c r="CI315" s="3"/>
      <c r="CJ315" s="3"/>
      <c r="CK315" s="3"/>
      <c r="CL315" s="3"/>
      <c r="CM315" s="3"/>
      <c r="CN315" s="3"/>
      <c r="CO315" s="3"/>
      <c r="CP315" s="3"/>
    </row>
    <row r="316" spans="1:94">
      <c r="A316" s="2" t="s">
        <v>50</v>
      </c>
      <c r="B316" s="3">
        <f>'Monthly D4 Gallon Data'!$AC9</f>
        <v>0</v>
      </c>
      <c r="C316" s="3">
        <f>'Monthly D4 Gallon Data'!$AC21</f>
        <v>0</v>
      </c>
      <c r="D316" s="3">
        <f>'Monthly D4 Gallon Data'!$AC33</f>
        <v>0</v>
      </c>
      <c r="E316" s="3">
        <f>'Monthly D4 Gallon Data'!$AC45</f>
        <v>2276174</v>
      </c>
      <c r="F316" s="3">
        <f>'Monthly D4 Gallon Data'!$AC57</f>
        <v>0</v>
      </c>
      <c r="G316" s="3">
        <f>'Monthly D4 Gallon Data'!$AC69</f>
        <v>0</v>
      </c>
      <c r="H316" s="3">
        <f>'Monthly D4 Gallon Data'!$AC81</f>
        <v>0</v>
      </c>
      <c r="I316" s="3">
        <f>'Monthly D4 Gallon Data'!$AC93</f>
        <v>0</v>
      </c>
      <c r="J316" s="3">
        <f>'Monthly D4 Gallon Data'!$AC105</f>
        <v>0</v>
      </c>
      <c r="K316" s="3">
        <f>'Monthly D4 Gallon Data'!$AC117</f>
        <v>0</v>
      </c>
      <c r="L316" s="3">
        <f>'Monthly D4 Gallon Data'!$AC129</f>
        <v>0</v>
      </c>
      <c r="M316" s="3">
        <f>'Monthly D4 Gallon Data'!$AC141</f>
        <v>0</v>
      </c>
      <c r="N316" s="3">
        <f>'Monthly D4 Gallon Data'!$AC153</f>
        <v>0</v>
      </c>
      <c r="O316" s="3">
        <f>'Monthly D4 Gallon Data'!$AC165</f>
        <v>0</v>
      </c>
      <c r="P316" s="3">
        <f>'Monthly D4 Gallon Data'!$AC177</f>
        <v>0</v>
      </c>
      <c r="Q316" s="4">
        <v>0</v>
      </c>
      <c r="R316" s="4">
        <v>0</v>
      </c>
      <c r="S316" s="4">
        <v>0</v>
      </c>
      <c r="T316" s="4">
        <v>0</v>
      </c>
      <c r="U316" s="4">
        <v>0</v>
      </c>
      <c r="V316" s="4">
        <v>0</v>
      </c>
      <c r="W316" s="4">
        <v>0</v>
      </c>
      <c r="X316" s="4">
        <v>0</v>
      </c>
      <c r="Y316" s="4">
        <v>0</v>
      </c>
      <c r="Z316" s="4">
        <v>0</v>
      </c>
      <c r="AA316" s="4">
        <v>0</v>
      </c>
      <c r="AB316" s="4">
        <v>0</v>
      </c>
      <c r="AC316" s="4">
        <v>0</v>
      </c>
      <c r="AD316" s="4">
        <v>0</v>
      </c>
      <c r="AE316" s="4">
        <v>0</v>
      </c>
      <c r="AF316" s="4">
        <v>0</v>
      </c>
      <c r="AG316" s="4">
        <v>0</v>
      </c>
      <c r="AH316" s="4">
        <v>0</v>
      </c>
      <c r="AI316" s="4">
        <v>0</v>
      </c>
      <c r="AJ316" s="4">
        <v>0</v>
      </c>
      <c r="AK316" s="4">
        <v>0</v>
      </c>
      <c r="AL316" s="4">
        <v>0</v>
      </c>
      <c r="AM316" s="4">
        <v>0</v>
      </c>
      <c r="AN316" s="4">
        <v>0</v>
      </c>
      <c r="AO316" s="4">
        <v>0</v>
      </c>
      <c r="AP316" s="4">
        <v>0</v>
      </c>
      <c r="AQ316" s="4">
        <v>1</v>
      </c>
      <c r="AR316" s="4"/>
      <c r="AS316" s="4"/>
      <c r="AT316" s="4"/>
      <c r="AU316" s="4"/>
      <c r="AV316" s="4"/>
      <c r="AW316" s="4"/>
      <c r="AX316" s="4"/>
      <c r="AY316" s="3"/>
      <c r="BA316" s="3">
        <v>0</v>
      </c>
      <c r="BB316" s="3">
        <f t="shared" si="311"/>
        <v>0</v>
      </c>
      <c r="BC316" s="3">
        <v>0</v>
      </c>
      <c r="BD316" s="3">
        <f t="shared" si="306"/>
        <v>0</v>
      </c>
      <c r="BE316" s="3">
        <v>0</v>
      </c>
      <c r="BF316" s="3">
        <f t="shared" si="307"/>
        <v>0</v>
      </c>
      <c r="BG316" s="3">
        <v>0</v>
      </c>
      <c r="BH316" s="3"/>
      <c r="BI316" s="3"/>
      <c r="BJ316" s="4">
        <v>0</v>
      </c>
      <c r="BK316" s="3">
        <f t="shared" si="308"/>
        <v>0</v>
      </c>
      <c r="BL316" s="3">
        <f t="shared" si="309"/>
        <v>0</v>
      </c>
      <c r="BM316" s="177">
        <f t="shared" si="310"/>
        <v>0</v>
      </c>
      <c r="BN316" s="3"/>
      <c r="BR316" s="3"/>
      <c r="BS316" s="3"/>
      <c r="BT316" s="3"/>
      <c r="BU316" s="3"/>
      <c r="BV316" s="3"/>
      <c r="BW316" s="3"/>
      <c r="BX316" s="3"/>
      <c r="BY316" s="3"/>
      <c r="BZ316" s="3"/>
      <c r="CA316" s="3"/>
      <c r="CB316" s="3"/>
      <c r="CC316" s="4"/>
      <c r="CD316" s="3"/>
      <c r="CE316" s="3"/>
      <c r="CF316" s="3"/>
      <c r="CG316" s="3"/>
      <c r="CH316" s="3"/>
      <c r="CI316" s="3"/>
      <c r="CJ316" s="3"/>
      <c r="CK316" s="3"/>
      <c r="CL316" s="3"/>
      <c r="CM316" s="3"/>
      <c r="CN316" s="3"/>
      <c r="CO316" s="3"/>
      <c r="CP316" s="3"/>
    </row>
    <row r="317" spans="1:94">
      <c r="A317" s="2" t="s">
        <v>51</v>
      </c>
      <c r="B317" s="3">
        <f>'Monthly D4 Gallon Data'!$AC10</f>
        <v>0</v>
      </c>
      <c r="C317" s="3">
        <f>'Monthly D4 Gallon Data'!$AC22</f>
        <v>0</v>
      </c>
      <c r="D317" s="3">
        <f>'Monthly D4 Gallon Data'!$AC34</f>
        <v>0</v>
      </c>
      <c r="E317" s="3">
        <f>'Monthly D4 Gallon Data'!$AC46</f>
        <v>0</v>
      </c>
      <c r="F317" s="3">
        <f>'Monthly D4 Gallon Data'!$AC58</f>
        <v>0</v>
      </c>
      <c r="G317" s="3">
        <f>'Monthly D4 Gallon Data'!$AC70</f>
        <v>0</v>
      </c>
      <c r="H317" s="3">
        <f>'Monthly D4 Gallon Data'!$AC82</f>
        <v>0</v>
      </c>
      <c r="I317" s="3">
        <f>'Monthly D4 Gallon Data'!$AC94</f>
        <v>757255</v>
      </c>
      <c r="J317" s="3">
        <f>'Monthly D4 Gallon Data'!$AC106</f>
        <v>0</v>
      </c>
      <c r="K317" s="3">
        <f>'Monthly D4 Gallon Data'!$AC118</f>
        <v>0</v>
      </c>
      <c r="L317" s="3">
        <f>'Monthly D4 Gallon Data'!$AC130</f>
        <v>0</v>
      </c>
      <c r="M317" s="3">
        <f>'Monthly D4 Gallon Data'!$AC142</f>
        <v>0</v>
      </c>
      <c r="N317" s="3">
        <f>'Monthly D4 Gallon Data'!$AC154</f>
        <v>0</v>
      </c>
      <c r="O317" s="3">
        <f>'Monthly D4 Gallon Data'!$AC166</f>
        <v>0</v>
      </c>
      <c r="P317" s="3">
        <f>'Monthly D4 Gallon Data'!$AC178</f>
        <v>24555303</v>
      </c>
      <c r="Q317" s="4">
        <v>0</v>
      </c>
      <c r="R317" s="4">
        <v>0</v>
      </c>
      <c r="S317" s="4">
        <v>0</v>
      </c>
      <c r="T317" s="4">
        <v>0</v>
      </c>
      <c r="U317" s="4">
        <v>0</v>
      </c>
      <c r="V317" s="4">
        <v>0</v>
      </c>
      <c r="W317" s="4">
        <v>0</v>
      </c>
      <c r="X317" s="4">
        <v>0</v>
      </c>
      <c r="Y317" s="4">
        <v>0</v>
      </c>
      <c r="Z317" s="4">
        <v>0</v>
      </c>
      <c r="AA317" s="4">
        <v>0</v>
      </c>
      <c r="AB317" s="4">
        <v>0</v>
      </c>
      <c r="AC317" s="4">
        <v>0</v>
      </c>
      <c r="AD317" s="4">
        <v>0</v>
      </c>
      <c r="AE317" s="4">
        <v>0</v>
      </c>
      <c r="AF317" s="4">
        <v>0</v>
      </c>
      <c r="AG317" s="4">
        <v>0</v>
      </c>
      <c r="AH317" s="4">
        <v>0</v>
      </c>
      <c r="AI317" s="4">
        <v>0</v>
      </c>
      <c r="AJ317" s="4">
        <v>0</v>
      </c>
      <c r="AK317" s="4">
        <v>0</v>
      </c>
      <c r="AL317" s="4">
        <v>0</v>
      </c>
      <c r="AM317" s="4">
        <v>0</v>
      </c>
      <c r="AN317" s="4">
        <v>0</v>
      </c>
      <c r="AO317" s="4">
        <v>0</v>
      </c>
      <c r="AP317" s="4">
        <v>0</v>
      </c>
      <c r="AQ317" s="4">
        <v>1</v>
      </c>
      <c r="AR317" s="4"/>
      <c r="AS317" s="4"/>
      <c r="AT317" s="4"/>
      <c r="AU317" s="4"/>
      <c r="AV317" s="4"/>
      <c r="AW317" s="4"/>
      <c r="AX317" s="4"/>
      <c r="AY317" s="3"/>
      <c r="BA317" s="3">
        <v>0</v>
      </c>
      <c r="BB317" s="3">
        <f t="shared" si="311"/>
        <v>0</v>
      </c>
      <c r="BC317" s="3">
        <v>0</v>
      </c>
      <c r="BD317" s="3">
        <f t="shared" si="306"/>
        <v>0</v>
      </c>
      <c r="BE317" s="3">
        <v>0</v>
      </c>
      <c r="BF317" s="3">
        <f t="shared" si="307"/>
        <v>0</v>
      </c>
      <c r="BG317" s="3">
        <v>0</v>
      </c>
      <c r="BH317" s="3"/>
      <c r="BI317" s="3"/>
      <c r="BJ317" s="4">
        <v>0</v>
      </c>
      <c r="BK317" s="3">
        <f t="shared" si="308"/>
        <v>24555303</v>
      </c>
      <c r="BL317" s="3">
        <f t="shared" si="309"/>
        <v>0</v>
      </c>
      <c r="BM317" s="177">
        <f t="shared" si="310"/>
        <v>0</v>
      </c>
      <c r="BN317" s="3"/>
      <c r="BR317" s="3"/>
      <c r="BS317" s="3"/>
      <c r="BT317" s="3"/>
      <c r="BU317" s="3"/>
      <c r="BV317" s="3"/>
      <c r="BW317" s="3"/>
      <c r="BX317" s="3"/>
      <c r="BY317" s="3"/>
      <c r="BZ317" s="3"/>
      <c r="CA317" s="3"/>
      <c r="CB317" s="3"/>
      <c r="CC317" s="4"/>
      <c r="CD317" s="3"/>
      <c r="CE317" s="3"/>
      <c r="CF317" s="3"/>
      <c r="CG317" s="3"/>
      <c r="CH317" s="3"/>
      <c r="CI317" s="3"/>
      <c r="CJ317" s="3"/>
      <c r="CK317" s="3"/>
      <c r="CL317" s="3"/>
      <c r="CM317" s="3"/>
      <c r="CN317" s="3"/>
      <c r="CO317" s="3"/>
      <c r="CP317" s="3"/>
    </row>
    <row r="318" spans="1:94">
      <c r="A318" s="2" t="s">
        <v>52</v>
      </c>
      <c r="B318" s="3">
        <f>'Monthly D4 Gallon Data'!$AC11</f>
        <v>0</v>
      </c>
      <c r="C318" s="3">
        <f>'Monthly D4 Gallon Data'!$AC23</f>
        <v>0</v>
      </c>
      <c r="D318" s="3">
        <f>'Monthly D4 Gallon Data'!$AC35</f>
        <v>0</v>
      </c>
      <c r="E318" s="3">
        <f>'Monthly D4 Gallon Data'!$AC47</f>
        <v>0</v>
      </c>
      <c r="F318" s="3">
        <f>'Monthly D4 Gallon Data'!$AC59</f>
        <v>0</v>
      </c>
      <c r="G318" s="3">
        <f>'Monthly D4 Gallon Data'!$AC71</f>
        <v>0</v>
      </c>
      <c r="H318" s="3">
        <f>'Monthly D4 Gallon Data'!$AC83</f>
        <v>0</v>
      </c>
      <c r="I318" s="3">
        <f>'Monthly D4 Gallon Data'!$AC95</f>
        <v>0</v>
      </c>
      <c r="J318" s="3">
        <f>'Monthly D4 Gallon Data'!$AC107</f>
        <v>0</v>
      </c>
      <c r="K318" s="3">
        <f>'Monthly D4 Gallon Data'!$AC119</f>
        <v>0</v>
      </c>
      <c r="L318" s="3">
        <f>'Monthly D4 Gallon Data'!$AC131</f>
        <v>0</v>
      </c>
      <c r="M318" s="3">
        <f>'Monthly D4 Gallon Data'!$AC143</f>
        <v>0</v>
      </c>
      <c r="N318" s="3">
        <f>'Monthly D4 Gallon Data'!$AC155</f>
        <v>0</v>
      </c>
      <c r="O318" s="3">
        <f>'Monthly D4 Gallon Data'!$AC167</f>
        <v>0</v>
      </c>
      <c r="P318" s="3">
        <f>'Monthly D4 Gallon Data'!$AC179</f>
        <v>0</v>
      </c>
      <c r="Q318" s="4">
        <v>0</v>
      </c>
      <c r="R318" s="4">
        <v>0</v>
      </c>
      <c r="S318" s="4">
        <v>0</v>
      </c>
      <c r="T318" s="4">
        <v>0</v>
      </c>
      <c r="U318" s="4">
        <v>0</v>
      </c>
      <c r="V318" s="4">
        <v>0</v>
      </c>
      <c r="W318" s="4">
        <v>0</v>
      </c>
      <c r="X318" s="4">
        <v>0</v>
      </c>
      <c r="Y318" s="4">
        <v>0</v>
      </c>
      <c r="Z318" s="4">
        <v>0</v>
      </c>
      <c r="AA318" s="4">
        <v>0</v>
      </c>
      <c r="AB318" s="4">
        <v>0</v>
      </c>
      <c r="AC318" s="4">
        <v>0</v>
      </c>
      <c r="AD318" s="4">
        <v>0</v>
      </c>
      <c r="AE318" s="4">
        <v>0</v>
      </c>
      <c r="AF318" s="4">
        <v>0</v>
      </c>
      <c r="AG318" s="4">
        <v>0</v>
      </c>
      <c r="AH318" s="4">
        <v>0</v>
      </c>
      <c r="AI318" s="4">
        <v>0</v>
      </c>
      <c r="AJ318" s="4">
        <v>0</v>
      </c>
      <c r="AK318" s="4">
        <v>0</v>
      </c>
      <c r="AL318" s="4">
        <v>0</v>
      </c>
      <c r="AM318" s="4">
        <v>0</v>
      </c>
      <c r="AN318" s="4">
        <v>0</v>
      </c>
      <c r="AO318" s="4">
        <v>0</v>
      </c>
      <c r="AP318" s="4">
        <v>0</v>
      </c>
      <c r="AQ318" s="4">
        <v>1</v>
      </c>
      <c r="AR318" s="4"/>
      <c r="AS318" s="4"/>
      <c r="AT318" s="4"/>
      <c r="AU318" s="4"/>
      <c r="AV318" s="4"/>
      <c r="AW318" s="4"/>
      <c r="AX318" s="4"/>
      <c r="AY318" s="3"/>
      <c r="BA318" s="3">
        <v>0</v>
      </c>
      <c r="BB318" s="3">
        <f t="shared" si="311"/>
        <v>0</v>
      </c>
      <c r="BC318" s="3">
        <v>0</v>
      </c>
      <c r="BD318" s="3">
        <f t="shared" si="306"/>
        <v>0</v>
      </c>
      <c r="BE318" s="3">
        <v>0</v>
      </c>
      <c r="BF318" s="3">
        <f t="shared" si="307"/>
        <v>0</v>
      </c>
      <c r="BG318" s="3">
        <v>0</v>
      </c>
      <c r="BH318" s="3"/>
      <c r="BI318" s="3"/>
      <c r="BJ318" s="4">
        <v>0</v>
      </c>
      <c r="BK318" s="3">
        <f t="shared" si="308"/>
        <v>0</v>
      </c>
      <c r="BL318" s="3">
        <f t="shared" si="309"/>
        <v>0</v>
      </c>
      <c r="BM318" s="177">
        <f t="shared" si="310"/>
        <v>0</v>
      </c>
      <c r="BN318" s="3"/>
      <c r="BR318" s="3"/>
      <c r="BS318" s="3"/>
      <c r="BT318" s="3"/>
      <c r="BU318" s="3"/>
      <c r="BV318" s="3"/>
      <c r="BW318" s="3"/>
      <c r="BX318" s="3"/>
      <c r="BY318" s="3"/>
      <c r="BZ318" s="3"/>
      <c r="CA318" s="3"/>
      <c r="CB318" s="3"/>
      <c r="CC318" s="4"/>
      <c r="CD318" s="3"/>
      <c r="CE318" s="3"/>
      <c r="CF318" s="3"/>
      <c r="CG318" s="3"/>
      <c r="CH318" s="3"/>
      <c r="CI318" s="3"/>
      <c r="CJ318" s="3"/>
      <c r="CK318" s="3"/>
      <c r="CL318" s="3"/>
      <c r="CM318" s="3"/>
      <c r="CN318" s="3"/>
      <c r="CO318" s="3"/>
      <c r="CP318" s="3"/>
    </row>
    <row r="319" spans="1:94">
      <c r="A319" s="2" t="s">
        <v>53</v>
      </c>
      <c r="B319" s="3">
        <f>'Monthly D4 Gallon Data'!$AC12</f>
        <v>0</v>
      </c>
      <c r="C319" s="3">
        <f>'Monthly D4 Gallon Data'!$AC24</f>
        <v>0</v>
      </c>
      <c r="D319" s="3">
        <f>'Monthly D4 Gallon Data'!$AC36</f>
        <v>0</v>
      </c>
      <c r="E319" s="3">
        <f>'Monthly D4 Gallon Data'!$AC48</f>
        <v>0</v>
      </c>
      <c r="F319" s="3">
        <f>'Monthly D4 Gallon Data'!$AC60</f>
        <v>0</v>
      </c>
      <c r="G319" s="3">
        <f>'Monthly D4 Gallon Data'!$AC72</f>
        <v>0</v>
      </c>
      <c r="H319" s="3">
        <f>'Monthly D4 Gallon Data'!$AC84</f>
        <v>0</v>
      </c>
      <c r="I319" s="3">
        <f>'Monthly D4 Gallon Data'!$AC96</f>
        <v>0</v>
      </c>
      <c r="J319" s="3">
        <f>'Monthly D4 Gallon Data'!$AC108</f>
        <v>0</v>
      </c>
      <c r="K319" s="3">
        <f>'Monthly D4 Gallon Data'!$AC120</f>
        <v>0</v>
      </c>
      <c r="L319" s="3">
        <f>'Monthly D4 Gallon Data'!$AC132</f>
        <v>0</v>
      </c>
      <c r="M319" s="3">
        <f>'Monthly D4 Gallon Data'!$AC144</f>
        <v>0</v>
      </c>
      <c r="N319" s="3">
        <f>'Monthly D4 Gallon Data'!$AC156</f>
        <v>0</v>
      </c>
      <c r="O319" s="3">
        <f>'Monthly D4 Gallon Data'!$AC168</f>
        <v>0</v>
      </c>
      <c r="P319" s="3">
        <f>'Monthly D4 Gallon Data'!$AC180</f>
        <v>29840946</v>
      </c>
      <c r="Q319" s="4">
        <v>0</v>
      </c>
      <c r="R319" s="4">
        <v>0</v>
      </c>
      <c r="S319" s="4">
        <v>0</v>
      </c>
      <c r="T319" s="4">
        <v>0</v>
      </c>
      <c r="U319" s="4">
        <v>0</v>
      </c>
      <c r="V319" s="4">
        <v>0</v>
      </c>
      <c r="W319" s="4">
        <v>0</v>
      </c>
      <c r="X319" s="4">
        <v>0</v>
      </c>
      <c r="Y319" s="4">
        <v>0</v>
      </c>
      <c r="Z319" s="4">
        <v>0</v>
      </c>
      <c r="AA319" s="4">
        <v>0</v>
      </c>
      <c r="AB319" s="4">
        <v>0</v>
      </c>
      <c r="AC319" s="4">
        <v>0</v>
      </c>
      <c r="AD319" s="4">
        <v>0</v>
      </c>
      <c r="AE319" s="4">
        <v>0</v>
      </c>
      <c r="AF319" s="4">
        <v>0</v>
      </c>
      <c r="AG319" s="4">
        <v>0</v>
      </c>
      <c r="AH319" s="4">
        <v>0</v>
      </c>
      <c r="AI319" s="4">
        <v>0</v>
      </c>
      <c r="AJ319" s="4">
        <v>0</v>
      </c>
      <c r="AK319" s="4">
        <v>0</v>
      </c>
      <c r="AL319" s="4">
        <v>0</v>
      </c>
      <c r="AM319" s="4">
        <v>0</v>
      </c>
      <c r="AN319" s="4">
        <v>0</v>
      </c>
      <c r="AO319" s="4">
        <v>0</v>
      </c>
      <c r="AP319" s="4">
        <v>0</v>
      </c>
      <c r="AQ319" s="4">
        <v>1</v>
      </c>
      <c r="AR319" s="4"/>
      <c r="AS319" s="4"/>
      <c r="AT319" s="4"/>
      <c r="AU319" s="4"/>
      <c r="AV319" s="4"/>
      <c r="AW319" s="4"/>
      <c r="AX319" s="4"/>
      <c r="AY319" s="3"/>
      <c r="BA319" s="3">
        <v>0</v>
      </c>
      <c r="BB319" s="3">
        <f t="shared" si="311"/>
        <v>0</v>
      </c>
      <c r="BC319" s="3">
        <v>0</v>
      </c>
      <c r="BD319" s="3">
        <f t="shared" si="306"/>
        <v>0</v>
      </c>
      <c r="BE319" s="3">
        <v>0</v>
      </c>
      <c r="BF319" s="3">
        <f t="shared" si="307"/>
        <v>0</v>
      </c>
      <c r="BG319" s="3">
        <v>0</v>
      </c>
      <c r="BH319" s="3"/>
      <c r="BI319" s="3"/>
      <c r="BJ319" s="4">
        <v>0</v>
      </c>
      <c r="BK319" s="3">
        <f t="shared" si="308"/>
        <v>29840946</v>
      </c>
      <c r="BL319" s="3">
        <f t="shared" si="309"/>
        <v>0</v>
      </c>
      <c r="BM319" s="177">
        <f t="shared" si="310"/>
        <v>0</v>
      </c>
      <c r="BN319" s="3"/>
      <c r="BR319" s="3"/>
      <c r="BS319" s="3"/>
      <c r="BT319" s="3"/>
      <c r="BU319" s="3"/>
      <c r="BV319" s="3"/>
      <c r="BW319" s="3"/>
      <c r="BX319" s="3"/>
      <c r="BY319" s="3"/>
      <c r="BZ319" s="3"/>
      <c r="CA319" s="3"/>
      <c r="CB319" s="3"/>
      <c r="CC319" s="4"/>
      <c r="CD319" s="3"/>
      <c r="CE319" s="3"/>
      <c r="CF319" s="3"/>
      <c r="CG319" s="3"/>
      <c r="CH319" s="3"/>
      <c r="CI319" s="3"/>
      <c r="CJ319" s="3"/>
      <c r="CK319" s="3"/>
      <c r="CL319" s="3"/>
      <c r="CM319" s="3"/>
      <c r="CN319" s="3"/>
      <c r="CO319" s="3"/>
      <c r="CP319" s="3"/>
    </row>
    <row r="320" spans="1:94">
      <c r="A320" s="2" t="s">
        <v>54</v>
      </c>
      <c r="B320" s="3">
        <f>'Monthly D4 Gallon Data'!$AC13</f>
        <v>0</v>
      </c>
      <c r="C320" s="3">
        <f>'Monthly D4 Gallon Data'!$AC25</f>
        <v>0</v>
      </c>
      <c r="D320" s="3">
        <f>'Monthly D4 Gallon Data'!$AC37</f>
        <v>0</v>
      </c>
      <c r="E320" s="3">
        <f>'Monthly D4 Gallon Data'!$AC49</f>
        <v>0</v>
      </c>
      <c r="F320" s="3">
        <f>'Monthly D4 Gallon Data'!$AC61</f>
        <v>0</v>
      </c>
      <c r="G320" s="3">
        <f>'Monthly D4 Gallon Data'!$AC73</f>
        <v>0</v>
      </c>
      <c r="H320" s="3">
        <f>'Monthly D4 Gallon Data'!$AC85</f>
        <v>0</v>
      </c>
      <c r="I320" s="3">
        <f>'Monthly D4 Gallon Data'!$AC97</f>
        <v>0</v>
      </c>
      <c r="J320" s="3">
        <f>'Monthly D4 Gallon Data'!$AC109</f>
        <v>0</v>
      </c>
      <c r="K320" s="3">
        <f>'Monthly D4 Gallon Data'!$AC121</f>
        <v>0</v>
      </c>
      <c r="L320" s="3">
        <f>'Monthly D4 Gallon Data'!$AC133</f>
        <v>0</v>
      </c>
      <c r="M320" s="3">
        <f>'Monthly D4 Gallon Data'!$AC145</f>
        <v>0</v>
      </c>
      <c r="N320" s="3">
        <f>'Monthly D4 Gallon Data'!$AC157</f>
        <v>0</v>
      </c>
      <c r="O320" s="3">
        <f>'Monthly D4 Gallon Data'!$AC169</f>
        <v>0</v>
      </c>
      <c r="P320" s="3">
        <f>'Monthly D4 Gallon Data'!$AC181</f>
        <v>32902548</v>
      </c>
      <c r="Q320" s="4">
        <v>0</v>
      </c>
      <c r="R320" s="4">
        <v>0</v>
      </c>
      <c r="S320" s="4">
        <v>0</v>
      </c>
      <c r="T320" s="4">
        <v>0</v>
      </c>
      <c r="U320" s="4">
        <v>0</v>
      </c>
      <c r="V320" s="4">
        <v>0</v>
      </c>
      <c r="W320" s="4">
        <v>0</v>
      </c>
      <c r="X320" s="4">
        <v>0</v>
      </c>
      <c r="Y320" s="4">
        <v>0</v>
      </c>
      <c r="Z320" s="4">
        <v>0</v>
      </c>
      <c r="AA320" s="4">
        <v>0</v>
      </c>
      <c r="AB320" s="4">
        <v>0</v>
      </c>
      <c r="AC320" s="4">
        <v>0</v>
      </c>
      <c r="AD320" s="4">
        <v>0</v>
      </c>
      <c r="AE320" s="4">
        <v>0</v>
      </c>
      <c r="AF320" s="4">
        <v>0</v>
      </c>
      <c r="AG320" s="4">
        <v>0</v>
      </c>
      <c r="AH320" s="4">
        <v>0</v>
      </c>
      <c r="AI320" s="4">
        <v>0</v>
      </c>
      <c r="AJ320" s="4">
        <v>0</v>
      </c>
      <c r="AK320" s="4">
        <v>0</v>
      </c>
      <c r="AL320" s="4">
        <v>0</v>
      </c>
      <c r="AM320" s="4">
        <v>0</v>
      </c>
      <c r="AN320" s="4">
        <v>0</v>
      </c>
      <c r="AO320" s="4">
        <v>0</v>
      </c>
      <c r="AP320" s="4">
        <v>0</v>
      </c>
      <c r="AQ320" s="4">
        <v>1</v>
      </c>
      <c r="AR320" s="4"/>
      <c r="AS320" s="4"/>
      <c r="AT320" s="4"/>
      <c r="AU320" s="4"/>
      <c r="AV320" s="4"/>
      <c r="AW320" s="4"/>
      <c r="AX320" s="4"/>
      <c r="AY320" s="3"/>
      <c r="BA320" s="3">
        <v>0</v>
      </c>
      <c r="BB320" s="3">
        <f t="shared" si="311"/>
        <v>0</v>
      </c>
      <c r="BC320" s="3">
        <v>0</v>
      </c>
      <c r="BD320" s="3">
        <f t="shared" si="306"/>
        <v>0</v>
      </c>
      <c r="BE320" s="3">
        <v>0</v>
      </c>
      <c r="BF320" s="3">
        <f t="shared" si="307"/>
        <v>0</v>
      </c>
      <c r="BG320" s="3">
        <v>0</v>
      </c>
      <c r="BH320" s="3"/>
      <c r="BI320" s="3"/>
      <c r="BJ320" s="4">
        <v>0</v>
      </c>
      <c r="BK320" s="3">
        <f t="shared" si="308"/>
        <v>32902548</v>
      </c>
      <c r="BL320" s="3">
        <f t="shared" si="309"/>
        <v>0</v>
      </c>
      <c r="BM320" s="177">
        <f t="shared" si="310"/>
        <v>0</v>
      </c>
      <c r="BN320" s="3"/>
      <c r="BR320" s="3"/>
      <c r="BS320" s="3"/>
      <c r="BT320" s="3"/>
      <c r="BU320" s="3"/>
      <c r="BV320" s="3"/>
      <c r="BW320" s="3"/>
      <c r="BX320" s="3"/>
      <c r="BY320" s="3"/>
      <c r="BZ320" s="3"/>
      <c r="CA320" s="3"/>
      <c r="CB320" s="3"/>
      <c r="CC320" s="4"/>
      <c r="CD320" s="3"/>
      <c r="CE320" s="3"/>
      <c r="CF320" s="3"/>
      <c r="CG320" s="3"/>
      <c r="CH320" s="3"/>
      <c r="CI320" s="3"/>
      <c r="CJ320" s="3"/>
      <c r="CK320" s="3"/>
      <c r="CL320" s="3"/>
      <c r="CM320" s="3"/>
      <c r="CN320" s="3"/>
      <c r="CO320" s="3"/>
      <c r="CP320" s="3"/>
    </row>
    <row r="321" spans="1:94" ht="13.5" thickBot="1">
      <c r="A321" s="2" t="s">
        <v>29</v>
      </c>
      <c r="B321" s="3">
        <f>SUM(B309:B320)</f>
        <v>0</v>
      </c>
      <c r="C321" s="3">
        <f t="shared" ref="C321:AQ321" si="312">SUM(C309:C320)</f>
        <v>0</v>
      </c>
      <c r="D321" s="3">
        <f t="shared" si="312"/>
        <v>0</v>
      </c>
      <c r="E321" s="3">
        <f t="shared" si="312"/>
        <v>21602599</v>
      </c>
      <c r="F321" s="3">
        <f t="shared" si="312"/>
        <v>5612400</v>
      </c>
      <c r="G321" s="3">
        <f t="shared" si="312"/>
        <v>0</v>
      </c>
      <c r="H321" s="3">
        <f t="shared" si="312"/>
        <v>0</v>
      </c>
      <c r="I321" s="3">
        <f t="shared" si="312"/>
        <v>757255</v>
      </c>
      <c r="J321" s="3">
        <f t="shared" si="312"/>
        <v>0</v>
      </c>
      <c r="K321" s="3">
        <f t="shared" si="312"/>
        <v>0</v>
      </c>
      <c r="L321" s="3">
        <f t="shared" si="312"/>
        <v>0</v>
      </c>
      <c r="M321" s="3">
        <f t="shared" si="312"/>
        <v>2859906</v>
      </c>
      <c r="N321" s="3">
        <f t="shared" si="312"/>
        <v>0</v>
      </c>
      <c r="O321" s="3">
        <f t="shared" si="312"/>
        <v>0</v>
      </c>
      <c r="P321" s="3">
        <f t="shared" si="312"/>
        <v>112476722</v>
      </c>
      <c r="Q321" s="4">
        <f t="shared" si="312"/>
        <v>12677402</v>
      </c>
      <c r="R321" s="4">
        <f t="shared" si="312"/>
        <v>0</v>
      </c>
      <c r="S321" s="4">
        <f t="shared" si="312"/>
        <v>0</v>
      </c>
      <c r="T321" s="4">
        <f t="shared" si="312"/>
        <v>0</v>
      </c>
      <c r="U321" s="4">
        <f t="shared" si="312"/>
        <v>0</v>
      </c>
      <c r="V321" s="4">
        <f t="shared" si="312"/>
        <v>0</v>
      </c>
      <c r="W321" s="4">
        <f t="shared" si="312"/>
        <v>0</v>
      </c>
      <c r="X321" s="4">
        <f t="shared" si="312"/>
        <v>0</v>
      </c>
      <c r="Y321" s="4">
        <f t="shared" si="312"/>
        <v>0</v>
      </c>
      <c r="Z321" s="4">
        <f t="shared" si="312"/>
        <v>0</v>
      </c>
      <c r="AA321" s="4">
        <f t="shared" si="312"/>
        <v>0</v>
      </c>
      <c r="AB321" s="4">
        <f t="shared" si="312"/>
        <v>0</v>
      </c>
      <c r="AC321" s="4">
        <f t="shared" si="312"/>
        <v>0</v>
      </c>
      <c r="AD321" s="4">
        <f t="shared" si="312"/>
        <v>0</v>
      </c>
      <c r="AE321" s="4">
        <f t="shared" si="312"/>
        <v>0</v>
      </c>
      <c r="AF321" s="4">
        <f t="shared" si="312"/>
        <v>0</v>
      </c>
      <c r="AG321" s="4">
        <f t="shared" si="312"/>
        <v>0</v>
      </c>
      <c r="AH321" s="4">
        <f t="shared" si="312"/>
        <v>0</v>
      </c>
      <c r="AI321" s="4">
        <f t="shared" si="312"/>
        <v>0</v>
      </c>
      <c r="AJ321" s="4">
        <f t="shared" si="312"/>
        <v>0</v>
      </c>
      <c r="AK321" s="4">
        <f t="shared" si="312"/>
        <v>0</v>
      </c>
      <c r="AL321" s="4">
        <f t="shared" si="312"/>
        <v>0</v>
      </c>
      <c r="AM321" s="4">
        <f t="shared" si="312"/>
        <v>0</v>
      </c>
      <c r="AN321" s="4">
        <f t="shared" si="312"/>
        <v>0</v>
      </c>
      <c r="AO321" s="4">
        <f t="shared" si="312"/>
        <v>0</v>
      </c>
      <c r="AP321" s="4">
        <f t="shared" si="312"/>
        <v>0</v>
      </c>
      <c r="AQ321" s="4">
        <f t="shared" si="312"/>
        <v>12</v>
      </c>
      <c r="AR321" s="4"/>
      <c r="AS321" s="4"/>
      <c r="AT321" s="4"/>
      <c r="AU321" s="4"/>
      <c r="AV321" s="4"/>
      <c r="AW321" s="4"/>
      <c r="AX321" s="4"/>
      <c r="AY321" s="3"/>
      <c r="BA321" s="3">
        <v>0</v>
      </c>
      <c r="BB321" s="3">
        <f t="shared" si="311"/>
        <v>0</v>
      </c>
      <c r="BC321" s="3">
        <v>0</v>
      </c>
      <c r="BD321" s="3">
        <f t="shared" si="306"/>
        <v>0</v>
      </c>
      <c r="BE321" s="3">
        <v>2859906</v>
      </c>
      <c r="BF321" s="3">
        <f t="shared" si="307"/>
        <v>0</v>
      </c>
      <c r="BG321" s="3">
        <v>0</v>
      </c>
      <c r="BH321" s="3"/>
      <c r="BI321" s="3"/>
      <c r="BJ321" s="4">
        <v>25177925</v>
      </c>
      <c r="BK321" s="3">
        <f t="shared" si="308"/>
        <v>87298797</v>
      </c>
      <c r="BL321" s="3">
        <f t="shared" si="309"/>
        <v>0</v>
      </c>
      <c r="BM321" s="177">
        <f t="shared" si="310"/>
        <v>12677402</v>
      </c>
      <c r="BN321" s="3"/>
      <c r="BR321" s="3"/>
      <c r="BS321" s="3"/>
      <c r="BT321" s="3"/>
      <c r="BU321" s="3"/>
      <c r="BV321" s="3"/>
      <c r="BW321" s="3"/>
      <c r="BX321" s="3"/>
      <c r="BY321" s="3"/>
      <c r="BZ321" s="3"/>
      <c r="CA321" s="3"/>
      <c r="CB321" s="3"/>
      <c r="CC321" s="4"/>
      <c r="CD321" s="3"/>
      <c r="CE321" s="3"/>
      <c r="CF321" s="3"/>
      <c r="CG321" s="3"/>
      <c r="CH321" s="3"/>
      <c r="CI321" s="3"/>
      <c r="CJ321" s="3"/>
      <c r="CK321" s="3"/>
      <c r="CL321" s="3"/>
      <c r="CM321" s="3"/>
      <c r="CN321" s="3"/>
      <c r="CO321" s="3"/>
      <c r="CP321" s="3"/>
    </row>
    <row r="322" spans="1:94">
      <c r="A322" s="114"/>
      <c r="B322" s="114"/>
      <c r="C322" s="114"/>
      <c r="D322" s="114"/>
      <c r="E322" s="114"/>
      <c r="F322" s="114"/>
      <c r="G322" s="114"/>
      <c r="H322" s="114"/>
      <c r="I322" s="114"/>
      <c r="J322" s="114"/>
      <c r="K322" s="114"/>
      <c r="L322" s="114"/>
      <c r="M322" s="114"/>
      <c r="N322" s="114"/>
      <c r="O322" s="114"/>
      <c r="P322" s="114"/>
      <c r="Q322" s="114"/>
      <c r="R322" s="114"/>
      <c r="S322" s="114"/>
      <c r="T322" s="114"/>
      <c r="U322" s="114"/>
      <c r="V322" s="114"/>
      <c r="W322" s="114"/>
      <c r="X322" s="114"/>
      <c r="Y322" s="114"/>
      <c r="Z322" s="114"/>
      <c r="AA322" s="114"/>
      <c r="AB322" s="114"/>
      <c r="AC322" s="114"/>
      <c r="AD322" s="114"/>
      <c r="AE322" s="114"/>
      <c r="AF322" s="114"/>
      <c r="AG322" s="114"/>
      <c r="AH322" s="114"/>
      <c r="AI322" s="114"/>
      <c r="AJ322" s="114"/>
      <c r="AK322" s="114"/>
      <c r="AL322" s="114"/>
      <c r="AM322" s="114"/>
      <c r="AN322" s="114"/>
      <c r="AO322" s="114"/>
      <c r="AP322" s="114"/>
      <c r="AQ322" s="114"/>
      <c r="AX322" s="4"/>
      <c r="AY322" s="3"/>
      <c r="BE322" s="4"/>
    </row>
    <row r="323" spans="1:94" ht="16.5" thickBot="1">
      <c r="A323" s="109" t="s">
        <v>326</v>
      </c>
      <c r="AX323" s="4"/>
      <c r="AY323" s="3"/>
      <c r="BE323" s="4"/>
    </row>
    <row r="324" spans="1:94" ht="14.25" thickBot="1">
      <c r="A324" s="110"/>
      <c r="B324" s="111">
        <f t="shared" ref="B324:K324" si="313">B2</f>
        <v>2010</v>
      </c>
      <c r="C324" s="111">
        <f t="shared" si="313"/>
        <v>2011</v>
      </c>
      <c r="D324" s="111">
        <f t="shared" si="313"/>
        <v>2012</v>
      </c>
      <c r="E324" s="111">
        <f t="shared" si="313"/>
        <v>2013</v>
      </c>
      <c r="F324" s="111">
        <f t="shared" si="313"/>
        <v>2014</v>
      </c>
      <c r="G324" s="111">
        <f t="shared" si="313"/>
        <v>2015</v>
      </c>
      <c r="H324" s="111">
        <f t="shared" si="313"/>
        <v>2016</v>
      </c>
      <c r="I324" s="111">
        <f t="shared" si="313"/>
        <v>2017</v>
      </c>
      <c r="J324" s="111">
        <f t="shared" si="313"/>
        <v>2018</v>
      </c>
      <c r="K324" s="111">
        <f t="shared" si="313"/>
        <v>2019</v>
      </c>
      <c r="L324" s="111">
        <f>L2</f>
        <v>2020</v>
      </c>
      <c r="M324" s="111">
        <f>M2</f>
        <v>2021</v>
      </c>
      <c r="N324" s="111">
        <f t="shared" ref="N324:AQ324" si="314">N2</f>
        <v>2022</v>
      </c>
      <c r="O324" s="111">
        <f t="shared" si="314"/>
        <v>2023</v>
      </c>
      <c r="P324" s="111">
        <f t="shared" si="314"/>
        <v>2024</v>
      </c>
      <c r="Q324" s="111">
        <f t="shared" si="314"/>
        <v>2025</v>
      </c>
      <c r="R324" s="111">
        <f t="shared" si="314"/>
        <v>2026</v>
      </c>
      <c r="S324" s="111">
        <f t="shared" si="314"/>
        <v>2027</v>
      </c>
      <c r="T324" s="111">
        <f t="shared" si="314"/>
        <v>2028</v>
      </c>
      <c r="U324" s="111">
        <f t="shared" si="314"/>
        <v>2029</v>
      </c>
      <c r="V324" s="111">
        <f t="shared" si="314"/>
        <v>2030</v>
      </c>
      <c r="W324" s="111">
        <f t="shared" si="314"/>
        <v>2031</v>
      </c>
      <c r="X324" s="111">
        <f t="shared" si="314"/>
        <v>2032</v>
      </c>
      <c r="Y324" s="111">
        <f t="shared" si="314"/>
        <v>2033</v>
      </c>
      <c r="Z324" s="111">
        <f t="shared" si="314"/>
        <v>2034</v>
      </c>
      <c r="AA324" s="111">
        <f t="shared" si="314"/>
        <v>2035</v>
      </c>
      <c r="AB324" s="111">
        <f t="shared" si="314"/>
        <v>2036</v>
      </c>
      <c r="AC324" s="111">
        <f t="shared" si="314"/>
        <v>2037</v>
      </c>
      <c r="AD324" s="111">
        <f t="shared" si="314"/>
        <v>2038</v>
      </c>
      <c r="AE324" s="111">
        <f t="shared" si="314"/>
        <v>2039</v>
      </c>
      <c r="AF324" s="111">
        <f t="shared" si="314"/>
        <v>2040</v>
      </c>
      <c r="AG324" s="111">
        <f t="shared" si="314"/>
        <v>2041</v>
      </c>
      <c r="AH324" s="111">
        <f t="shared" si="314"/>
        <v>2042</v>
      </c>
      <c r="AI324" s="111">
        <f t="shared" si="314"/>
        <v>2043</v>
      </c>
      <c r="AJ324" s="111">
        <f t="shared" si="314"/>
        <v>2044</v>
      </c>
      <c r="AK324" s="111">
        <f t="shared" si="314"/>
        <v>2045</v>
      </c>
      <c r="AL324" s="111">
        <f t="shared" si="314"/>
        <v>2046</v>
      </c>
      <c r="AM324" s="111">
        <f t="shared" si="314"/>
        <v>2047</v>
      </c>
      <c r="AN324" s="111">
        <f t="shared" si="314"/>
        <v>2048</v>
      </c>
      <c r="AO324" s="111">
        <f t="shared" si="314"/>
        <v>2049</v>
      </c>
      <c r="AP324" s="111">
        <f t="shared" si="314"/>
        <v>2050</v>
      </c>
      <c r="AQ324" s="111">
        <f t="shared" si="314"/>
        <v>2051</v>
      </c>
      <c r="AR324" s="94"/>
      <c r="AS324" s="94"/>
      <c r="AT324" s="31" t="s">
        <v>36</v>
      </c>
      <c r="AU324" s="31"/>
      <c r="AV324" s="31"/>
      <c r="AW324" s="31"/>
      <c r="AX324" s="19"/>
      <c r="AY324" s="18"/>
      <c r="AZ324" s="14"/>
      <c r="BA324" s="14"/>
      <c r="BB324" s="18"/>
      <c r="BC324" s="14"/>
      <c r="BD324" s="14"/>
      <c r="BE324" s="19"/>
      <c r="BF324" s="14"/>
      <c r="BG324" s="14"/>
      <c r="BH324" s="14"/>
    </row>
    <row r="325" spans="1:94">
      <c r="A325" s="2" t="s">
        <v>43</v>
      </c>
      <c r="B325" s="3">
        <f t="shared" ref="B325:Q336" si="315">B341+B373</f>
        <v>0</v>
      </c>
      <c r="C325" s="3">
        <f t="shared" si="315"/>
        <v>0</v>
      </c>
      <c r="D325" s="3">
        <f t="shared" si="315"/>
        <v>0</v>
      </c>
      <c r="E325" s="3">
        <f t="shared" si="315"/>
        <v>0</v>
      </c>
      <c r="F325" s="3">
        <f t="shared" si="315"/>
        <v>0</v>
      </c>
      <c r="G325" s="3">
        <f t="shared" si="315"/>
        <v>0</v>
      </c>
      <c r="H325" s="3">
        <f t="shared" si="315"/>
        <v>0</v>
      </c>
      <c r="I325" s="3">
        <f t="shared" si="315"/>
        <v>210331</v>
      </c>
      <c r="J325" s="3">
        <f t="shared" si="315"/>
        <v>139714</v>
      </c>
      <c r="K325" s="3">
        <f t="shared" si="315"/>
        <v>194630</v>
      </c>
      <c r="L325" s="3">
        <f t="shared" si="315"/>
        <v>41590</v>
      </c>
      <c r="M325" s="3">
        <f t="shared" si="315"/>
        <v>289825</v>
      </c>
      <c r="N325" s="3">
        <f>N341+N373</f>
        <v>402120</v>
      </c>
      <c r="O325" s="3">
        <f>O341+O373</f>
        <v>100937</v>
      </c>
      <c r="P325" s="3">
        <f>P341+P373</f>
        <v>9660626</v>
      </c>
      <c r="Q325" s="3">
        <f>Q341+Q373</f>
        <v>16372550</v>
      </c>
      <c r="R325" s="4">
        <f t="shared" ref="R325:AQ334" si="316">R341+R373</f>
        <v>26182438.797614936</v>
      </c>
      <c r="S325" s="4">
        <f t="shared" si="316"/>
        <v>71838724.914646059</v>
      </c>
      <c r="T325" s="4">
        <f t="shared" si="316"/>
        <v>93857296.725430235</v>
      </c>
      <c r="U325" s="4">
        <f t="shared" si="316"/>
        <v>125658564.4711547</v>
      </c>
      <c r="V325" s="4">
        <f t="shared" si="316"/>
        <v>169330013.3135882</v>
      </c>
      <c r="W325" s="4">
        <f t="shared" si="316"/>
        <v>193602858.8713778</v>
      </c>
      <c r="X325" s="4">
        <f t="shared" si="316"/>
        <v>242091548.40398535</v>
      </c>
      <c r="Y325" s="4">
        <f t="shared" si="316"/>
        <v>253057899.32075387</v>
      </c>
      <c r="Z325" s="4">
        <f t="shared" si="316"/>
        <v>275462176.70737106</v>
      </c>
      <c r="AA325" s="4">
        <f t="shared" si="316"/>
        <v>287580160.678868</v>
      </c>
      <c r="AB325" s="4">
        <f t="shared" si="316"/>
        <v>222493016.48350796</v>
      </c>
      <c r="AC325" s="4">
        <f t="shared" si="316"/>
        <v>242188863.88938624</v>
      </c>
      <c r="AD325" s="4">
        <f t="shared" si="316"/>
        <v>271900291.41320002</v>
      </c>
      <c r="AE325" s="4">
        <f t="shared" si="316"/>
        <v>270958485.92603678</v>
      </c>
      <c r="AF325" s="4">
        <f t="shared" si="316"/>
        <v>269082448.10783219</v>
      </c>
      <c r="AG325" s="4">
        <f t="shared" si="316"/>
        <v>280584246.7841081</v>
      </c>
      <c r="AH325" s="4">
        <f t="shared" si="316"/>
        <v>289698756.54173476</v>
      </c>
      <c r="AI325" s="4">
        <f t="shared" si="316"/>
        <v>296364712.56034964</v>
      </c>
      <c r="AJ325" s="4">
        <f t="shared" si="316"/>
        <v>299747823.08860928</v>
      </c>
      <c r="AK325" s="4">
        <f t="shared" si="316"/>
        <v>308646117.02075291</v>
      </c>
      <c r="AL325" s="4">
        <f t="shared" si="316"/>
        <v>325545514.02043581</v>
      </c>
      <c r="AM325" s="4">
        <f t="shared" si="316"/>
        <v>337304404.30988789</v>
      </c>
      <c r="AN325" s="4">
        <f t="shared" si="316"/>
        <v>337690618.44112271</v>
      </c>
      <c r="AO325" s="4">
        <f t="shared" si="316"/>
        <v>337125014.36640096</v>
      </c>
      <c r="AP325" s="4">
        <f t="shared" si="316"/>
        <v>345049411.98056835</v>
      </c>
      <c r="AQ325" s="4">
        <f t="shared" si="316"/>
        <v>387381555.62533927</v>
      </c>
      <c r="AR325" s="4"/>
      <c r="AS325" s="4">
        <f>SUM(Q325:Q327)</f>
        <v>40927377</v>
      </c>
      <c r="AT325" s="121">
        <f>(Q325/P336)-1</f>
        <v>1.9422240432297606</v>
      </c>
      <c r="AU325" s="121" t="s">
        <v>299</v>
      </c>
      <c r="AV325" s="194"/>
      <c r="AW325" s="194"/>
      <c r="AX325" s="194"/>
      <c r="AY325" s="195"/>
      <c r="AZ325" s="196"/>
      <c r="BA325" s="196"/>
      <c r="BB325" s="195"/>
      <c r="BC325" s="195">
        <v>108932143.44251604</v>
      </c>
      <c r="BD325" s="195">
        <f>L325-BC325</f>
        <v>-108890553.44251604</v>
      </c>
      <c r="BE325" s="195">
        <v>108507798.4385401</v>
      </c>
      <c r="BF325" s="195">
        <f>M325-BE325</f>
        <v>-108217973.4385401</v>
      </c>
      <c r="BG325" s="195">
        <v>81075407.426691353</v>
      </c>
      <c r="BH325" s="195"/>
      <c r="BI325" s="3"/>
      <c r="BJ325" s="3">
        <v>9660626</v>
      </c>
      <c r="BK325" s="3">
        <f t="shared" ref="BK325:BK337" si="317">P325-BJ325</f>
        <v>0</v>
      </c>
      <c r="BL325" s="3">
        <v>16372550</v>
      </c>
      <c r="BM325" s="177">
        <f t="shared" ref="BM325:BM337" si="318">Q325-BL325</f>
        <v>0</v>
      </c>
      <c r="BN325" s="3"/>
      <c r="BR325" s="3"/>
      <c r="BS325" s="3"/>
      <c r="BT325" s="3"/>
      <c r="BU325" s="3"/>
      <c r="BV325" s="3"/>
      <c r="BW325" s="3"/>
      <c r="BX325" s="3"/>
      <c r="BY325" s="3"/>
      <c r="BZ325" s="3"/>
      <c r="CA325" s="3"/>
      <c r="CB325" s="3"/>
      <c r="CC325" s="4"/>
      <c r="CD325" s="3"/>
      <c r="CE325" s="3"/>
      <c r="CF325" s="3"/>
      <c r="CG325" s="3"/>
      <c r="CH325" s="3"/>
      <c r="CI325" s="3"/>
      <c r="CJ325" s="3"/>
      <c r="CK325" s="3"/>
      <c r="CL325" s="3"/>
      <c r="CM325" s="3"/>
      <c r="CN325" s="3"/>
      <c r="CO325" s="3"/>
      <c r="CP325" s="3"/>
    </row>
    <row r="326" spans="1:94">
      <c r="A326" s="2" t="s">
        <v>44</v>
      </c>
      <c r="B326" s="3">
        <f t="shared" si="315"/>
        <v>0</v>
      </c>
      <c r="C326" s="3">
        <f t="shared" si="315"/>
        <v>0</v>
      </c>
      <c r="D326" s="3">
        <f t="shared" si="315"/>
        <v>0</v>
      </c>
      <c r="E326" s="3">
        <f t="shared" si="315"/>
        <v>0</v>
      </c>
      <c r="F326" s="3">
        <f t="shared" si="315"/>
        <v>0</v>
      </c>
      <c r="G326" s="3">
        <f t="shared" si="315"/>
        <v>0</v>
      </c>
      <c r="H326" s="3">
        <f t="shared" si="315"/>
        <v>0</v>
      </c>
      <c r="I326" s="3">
        <f t="shared" si="315"/>
        <v>190622</v>
      </c>
      <c r="J326" s="3">
        <f t="shared" si="315"/>
        <v>237996</v>
      </c>
      <c r="K326" s="3">
        <f t="shared" si="315"/>
        <v>187609</v>
      </c>
      <c r="L326" s="3">
        <f t="shared" si="315"/>
        <v>0</v>
      </c>
      <c r="M326" s="3">
        <f t="shared" si="315"/>
        <v>294725</v>
      </c>
      <c r="N326" s="3">
        <f t="shared" si="315"/>
        <v>2519869</v>
      </c>
      <c r="O326" s="3">
        <f t="shared" si="315"/>
        <v>3064876</v>
      </c>
      <c r="P326" s="3">
        <f t="shared" si="315"/>
        <v>1254939</v>
      </c>
      <c r="Q326" s="3">
        <f t="shared" si="315"/>
        <v>15728119</v>
      </c>
      <c r="R326" s="4">
        <f t="shared" si="316"/>
        <v>49769109.030017033</v>
      </c>
      <c r="S326" s="4">
        <f t="shared" si="316"/>
        <v>136410063.87786058</v>
      </c>
      <c r="T326" s="4">
        <f t="shared" si="316"/>
        <v>178659613.65068796</v>
      </c>
      <c r="U326" s="4">
        <f t="shared" si="316"/>
        <v>228615208.3670066</v>
      </c>
      <c r="V326" s="4">
        <f t="shared" si="316"/>
        <v>311957213.97490871</v>
      </c>
      <c r="W326" s="4">
        <f t="shared" si="316"/>
        <v>362133384.0720005</v>
      </c>
      <c r="X326" s="4">
        <f t="shared" si="316"/>
        <v>454257575.951814</v>
      </c>
      <c r="Y326" s="4">
        <f t="shared" si="316"/>
        <v>474189259.34671611</v>
      </c>
      <c r="Z326" s="4">
        <f t="shared" si="316"/>
        <v>515067003.81089395</v>
      </c>
      <c r="AA326" s="4">
        <f t="shared" si="316"/>
        <v>538532430.72217834</v>
      </c>
      <c r="AB326" s="4">
        <f t="shared" si="316"/>
        <v>415940792.25408375</v>
      </c>
      <c r="AC326" s="4">
        <f t="shared" si="316"/>
        <v>453101106.43873698</v>
      </c>
      <c r="AD326" s="4">
        <f t="shared" si="316"/>
        <v>509185560.96955699</v>
      </c>
      <c r="AE326" s="4">
        <f t="shared" si="316"/>
        <v>508035806.06366986</v>
      </c>
      <c r="AF326" s="4">
        <f t="shared" si="316"/>
        <v>504915344.10027957</v>
      </c>
      <c r="AG326" s="4">
        <f t="shared" si="316"/>
        <v>526656338.85305774</v>
      </c>
      <c r="AH326" s="4">
        <f t="shared" si="316"/>
        <v>543714229.79158998</v>
      </c>
      <c r="AI326" s="4">
        <f t="shared" si="316"/>
        <v>556206414.11382818</v>
      </c>
      <c r="AJ326" s="4">
        <f t="shared" si="316"/>
        <v>562563938.92635345</v>
      </c>
      <c r="AK326" s="4">
        <f t="shared" si="316"/>
        <v>579284937.640288</v>
      </c>
      <c r="AL326" s="4">
        <f t="shared" si="316"/>
        <v>610998757.72198415</v>
      </c>
      <c r="AM326" s="4">
        <f t="shared" si="316"/>
        <v>633058851.40300572</v>
      </c>
      <c r="AN326" s="4">
        <f t="shared" si="316"/>
        <v>633783166.94524372</v>
      </c>
      <c r="AO326" s="4">
        <f t="shared" si="316"/>
        <v>632724907.1701597</v>
      </c>
      <c r="AP326" s="4">
        <f t="shared" si="316"/>
        <v>647599819.92666256</v>
      </c>
      <c r="AQ326" s="4">
        <f t="shared" si="316"/>
        <v>727048307.26167512</v>
      </c>
      <c r="AR326" s="4"/>
      <c r="AS326" s="4">
        <f>SUM(P325:P327)</f>
        <v>18698263</v>
      </c>
      <c r="AT326" s="121">
        <f t="shared" ref="AT326:AT336" si="319">(Q326/Q325)-1</f>
        <v>-3.9360453930511685E-2</v>
      </c>
      <c r="AU326" s="121" t="s">
        <v>300</v>
      </c>
      <c r="AV326" s="121">
        <f t="shared" ref="AV326:BG326" si="320">(SUM(L326:P326)/SUM(L325:P325))-1</f>
        <v>-0.32021511376072909</v>
      </c>
      <c r="AW326" s="121">
        <f t="shared" si="320"/>
        <v>-0.14774925186548094</v>
      </c>
      <c r="AX326" s="121">
        <f t="shared" si="320"/>
        <v>0.37213077574707909</v>
      </c>
      <c r="AY326" s="121">
        <f t="shared" si="320"/>
        <v>0.66104182092738717</v>
      </c>
      <c r="AZ326" s="121">
        <f t="shared" si="320"/>
        <v>0.7521865780111392</v>
      </c>
      <c r="BA326" s="121">
        <f t="shared" si="320"/>
        <v>0.82439246940394861</v>
      </c>
      <c r="BB326" s="121">
        <f t="shared" si="320"/>
        <v>0.85966832383265013</v>
      </c>
      <c r="BC326" s="121">
        <f t="shared" si="320"/>
        <v>0.86122394446261197</v>
      </c>
      <c r="BD326" s="121">
        <f t="shared" si="320"/>
        <v>0.86239899970810008</v>
      </c>
      <c r="BE326" s="121">
        <f t="shared" si="320"/>
        <v>0.86141764644144514</v>
      </c>
      <c r="BF326" s="121">
        <f t="shared" si="320"/>
        <v>0.86812643303907611</v>
      </c>
      <c r="BG326" s="121">
        <f t="shared" si="320"/>
        <v>0.87265512372382714</v>
      </c>
      <c r="BH326" s="195"/>
      <c r="BI326" s="3"/>
      <c r="BJ326" s="3">
        <v>1254939</v>
      </c>
      <c r="BK326" s="3">
        <f t="shared" si="317"/>
        <v>0</v>
      </c>
      <c r="BL326" s="3">
        <v>15728119</v>
      </c>
      <c r="BM326" s="177">
        <f t="shared" si="318"/>
        <v>0</v>
      </c>
      <c r="BN326" s="3"/>
      <c r="BR326" s="3"/>
      <c r="BS326" s="3"/>
      <c r="BT326" s="3"/>
      <c r="BU326" s="3"/>
      <c r="BV326" s="3"/>
      <c r="BW326" s="3"/>
      <c r="BX326" s="3"/>
      <c r="BY326" s="3"/>
      <c r="BZ326" s="3"/>
      <c r="CA326" s="3"/>
      <c r="CB326" s="3"/>
      <c r="CC326" s="4"/>
      <c r="CD326" s="3"/>
      <c r="CE326" s="3"/>
      <c r="CF326" s="3"/>
      <c r="CG326" s="3"/>
      <c r="CH326" s="3"/>
      <c r="CI326" s="3"/>
      <c r="CJ326" s="3"/>
      <c r="CK326" s="3"/>
      <c r="CL326" s="3"/>
      <c r="CM326" s="3"/>
      <c r="CN326" s="3"/>
      <c r="CO326" s="3"/>
      <c r="CP326" s="3"/>
    </row>
    <row r="327" spans="1:94">
      <c r="A327" s="2" t="s">
        <v>45</v>
      </c>
      <c r="B327" s="3">
        <f t="shared" si="315"/>
        <v>0</v>
      </c>
      <c r="C327" s="3">
        <f t="shared" si="315"/>
        <v>0</v>
      </c>
      <c r="D327" s="3">
        <f t="shared" si="315"/>
        <v>0</v>
      </c>
      <c r="E327" s="3">
        <f t="shared" si="315"/>
        <v>0</v>
      </c>
      <c r="F327" s="3">
        <f t="shared" si="315"/>
        <v>0</v>
      </c>
      <c r="G327" s="3">
        <f t="shared" si="315"/>
        <v>0</v>
      </c>
      <c r="H327" s="3">
        <f t="shared" si="315"/>
        <v>0</v>
      </c>
      <c r="I327" s="3">
        <f t="shared" si="315"/>
        <v>184825</v>
      </c>
      <c r="J327" s="3">
        <f t="shared" si="315"/>
        <v>103790</v>
      </c>
      <c r="K327" s="3">
        <f t="shared" si="315"/>
        <v>183940</v>
      </c>
      <c r="L327" s="3">
        <f t="shared" si="315"/>
        <v>280826</v>
      </c>
      <c r="M327" s="3">
        <f t="shared" si="315"/>
        <v>288906</v>
      </c>
      <c r="N327" s="3">
        <f t="shared" si="315"/>
        <v>2922508</v>
      </c>
      <c r="O327" s="3">
        <f t="shared" si="315"/>
        <v>2211806</v>
      </c>
      <c r="P327" s="3">
        <f t="shared" si="315"/>
        <v>7782698</v>
      </c>
      <c r="Q327" s="3">
        <f t="shared" si="315"/>
        <v>8826708</v>
      </c>
      <c r="R327" s="4">
        <f t="shared" si="316"/>
        <v>20133954.750928383</v>
      </c>
      <c r="S327" s="4">
        <f t="shared" si="316"/>
        <v>55068922.522667557</v>
      </c>
      <c r="T327" s="4">
        <f t="shared" si="316"/>
        <v>71495946.13161619</v>
      </c>
      <c r="U327" s="4">
        <f t="shared" si="316"/>
        <v>94672703.8684403</v>
      </c>
      <c r="V327" s="4">
        <f t="shared" si="316"/>
        <v>127038842.03956485</v>
      </c>
      <c r="W327" s="4">
        <f t="shared" si="316"/>
        <v>146606946.06226254</v>
      </c>
      <c r="X327" s="4">
        <f t="shared" si="316"/>
        <v>183311874.61042628</v>
      </c>
      <c r="Y327" s="4">
        <f t="shared" si="316"/>
        <v>191403068.62090603</v>
      </c>
      <c r="Z327" s="4">
        <f t="shared" si="316"/>
        <v>208189234.01892436</v>
      </c>
      <c r="AA327" s="4">
        <f t="shared" si="316"/>
        <v>217377392.87950662</v>
      </c>
      <c r="AB327" s="4">
        <f t="shared" si="316"/>
        <v>168260433.80499935</v>
      </c>
      <c r="AC327" s="4">
        <f t="shared" si="316"/>
        <v>183139013.65481985</v>
      </c>
      <c r="AD327" s="4">
        <f t="shared" si="316"/>
        <v>205597022.29338294</v>
      </c>
      <c r="AE327" s="4">
        <f t="shared" si="316"/>
        <v>204910697.61726433</v>
      </c>
      <c r="AF327" s="4">
        <f t="shared" si="316"/>
        <v>203523933.66342291</v>
      </c>
      <c r="AG327" s="4">
        <f t="shared" si="316"/>
        <v>212249282.99278367</v>
      </c>
      <c r="AH327" s="4">
        <f t="shared" si="316"/>
        <v>219131196.24082625</v>
      </c>
      <c r="AI327" s="4">
        <f t="shared" si="316"/>
        <v>224167182.04883334</v>
      </c>
      <c r="AJ327" s="4">
        <f t="shared" si="316"/>
        <v>226727591.49033585</v>
      </c>
      <c r="AK327" s="4">
        <f t="shared" si="316"/>
        <v>233462263.37527874</v>
      </c>
      <c r="AL327" s="4">
        <f t="shared" si="316"/>
        <v>246246159.71347085</v>
      </c>
      <c r="AM327" s="4">
        <f t="shared" si="316"/>
        <v>255137979.39059666</v>
      </c>
      <c r="AN327" s="4">
        <f t="shared" si="316"/>
        <v>255429626.02287757</v>
      </c>
      <c r="AO327" s="4">
        <f t="shared" si="316"/>
        <v>255002530.41339225</v>
      </c>
      <c r="AP327" s="4">
        <f t="shared" si="316"/>
        <v>260997138.52264854</v>
      </c>
      <c r="AQ327" s="4">
        <f t="shared" si="316"/>
        <v>293017212.60884261</v>
      </c>
      <c r="AR327" s="4"/>
      <c r="AS327" s="4">
        <f>SUM(P334:P336)</f>
        <v>18486740</v>
      </c>
      <c r="AT327" s="121">
        <f t="shared" si="319"/>
        <v>-0.43879442926391898</v>
      </c>
      <c r="AU327" s="197" t="s">
        <v>301</v>
      </c>
      <c r="AV327" s="194"/>
      <c r="AW327" s="194"/>
      <c r="AX327" s="194"/>
      <c r="AY327" s="195"/>
      <c r="AZ327" s="196"/>
      <c r="BA327" s="198"/>
      <c r="BB327" s="195"/>
      <c r="BC327" s="195">
        <v>119714448.18219173</v>
      </c>
      <c r="BD327" s="195">
        <f t="shared" ref="BD327:BD337" si="321">L327-BC327</f>
        <v>-119433622.18219173</v>
      </c>
      <c r="BE327" s="195">
        <v>135173970.91653845</v>
      </c>
      <c r="BF327" s="195">
        <f t="shared" ref="BF327:BF337" si="322">M327-BE327</f>
        <v>-134885064.91653845</v>
      </c>
      <c r="BG327" s="195">
        <v>128861333.89305</v>
      </c>
      <c r="BH327" s="194">
        <f>SUM(P325:P327)</f>
        <v>18698263</v>
      </c>
      <c r="BI327" s="3"/>
      <c r="BJ327" s="3">
        <v>7782698</v>
      </c>
      <c r="BK327" s="3">
        <f t="shared" si="317"/>
        <v>0</v>
      </c>
      <c r="BL327" s="3">
        <v>14100696.728366455</v>
      </c>
      <c r="BM327" s="177">
        <f t="shared" si="318"/>
        <v>-5273988.7283664551</v>
      </c>
      <c r="BN327" s="3"/>
      <c r="BR327" s="3"/>
      <c r="BS327" s="3"/>
      <c r="BT327" s="3"/>
      <c r="BU327" s="3"/>
      <c r="BV327" s="3"/>
      <c r="BW327" s="3"/>
      <c r="BX327" s="3"/>
      <c r="BY327" s="3"/>
      <c r="BZ327" s="3"/>
      <c r="CA327" s="3"/>
      <c r="CB327" s="3"/>
      <c r="CC327" s="4"/>
      <c r="CD327" s="3"/>
      <c r="CE327" s="3"/>
      <c r="CF327" s="3"/>
      <c r="CG327" s="3"/>
      <c r="CH327" s="3"/>
      <c r="CI327" s="3"/>
      <c r="CJ327" s="3"/>
      <c r="CK327" s="3"/>
      <c r="CL327" s="3"/>
      <c r="CM327" s="3"/>
      <c r="CN327" s="3"/>
      <c r="CO327" s="3"/>
      <c r="CP327" s="3"/>
    </row>
    <row r="328" spans="1:94">
      <c r="A328" s="2" t="s">
        <v>46</v>
      </c>
      <c r="B328" s="3">
        <f t="shared" si="315"/>
        <v>0</v>
      </c>
      <c r="C328" s="3">
        <f t="shared" si="315"/>
        <v>0</v>
      </c>
      <c r="D328" s="3">
        <f t="shared" si="315"/>
        <v>0</v>
      </c>
      <c r="E328" s="3">
        <f t="shared" si="315"/>
        <v>0</v>
      </c>
      <c r="F328" s="3">
        <f t="shared" si="315"/>
        <v>0</v>
      </c>
      <c r="G328" s="3">
        <f t="shared" si="315"/>
        <v>0</v>
      </c>
      <c r="H328" s="3">
        <f t="shared" si="315"/>
        <v>0</v>
      </c>
      <c r="I328" s="3">
        <f t="shared" si="315"/>
        <v>0</v>
      </c>
      <c r="J328" s="3">
        <f t="shared" si="315"/>
        <v>184634</v>
      </c>
      <c r="K328" s="3">
        <f t="shared" si="315"/>
        <v>245975</v>
      </c>
      <c r="L328" s="3">
        <f t="shared" si="315"/>
        <v>1234442</v>
      </c>
      <c r="M328" s="3">
        <f t="shared" si="315"/>
        <v>293289</v>
      </c>
      <c r="N328" s="3">
        <f t="shared" si="315"/>
        <v>408991</v>
      </c>
      <c r="O328" s="3">
        <f t="shared" si="315"/>
        <v>2311450</v>
      </c>
      <c r="P328" s="3">
        <f t="shared" si="315"/>
        <v>8403241</v>
      </c>
      <c r="Q328" s="4">
        <f t="shared" si="315"/>
        <v>13308048.905589283</v>
      </c>
      <c r="R328" s="4">
        <f t="shared" si="316"/>
        <v>31816320.088426925</v>
      </c>
      <c r="S328" s="4">
        <f t="shared" si="316"/>
        <v>87516229.652979359</v>
      </c>
      <c r="T328" s="4">
        <f t="shared" si="316"/>
        <v>114690822.68038088</v>
      </c>
      <c r="U328" s="4">
        <f t="shared" si="316"/>
        <v>150061451.47635484</v>
      </c>
      <c r="V328" s="4">
        <f t="shared" si="316"/>
        <v>202442069.6704239</v>
      </c>
      <c r="W328" s="4">
        <f t="shared" si="316"/>
        <v>233865427.44251126</v>
      </c>
      <c r="X328" s="4">
        <f t="shared" si="316"/>
        <v>292896545.58886433</v>
      </c>
      <c r="Y328" s="4">
        <f t="shared" si="316"/>
        <v>305934444.5542323</v>
      </c>
      <c r="Z328" s="4">
        <f t="shared" si="316"/>
        <v>332579381.29099256</v>
      </c>
      <c r="AA328" s="4">
        <f t="shared" si="316"/>
        <v>347384122.91677815</v>
      </c>
      <c r="AB328" s="4">
        <f t="shared" si="316"/>
        <v>268642630.10744131</v>
      </c>
      <c r="AC328" s="4">
        <f t="shared" si="316"/>
        <v>292518605.05435014</v>
      </c>
      <c r="AD328" s="4">
        <f t="shared" si="316"/>
        <v>328537416.85152793</v>
      </c>
      <c r="AE328" s="4">
        <f t="shared" si="316"/>
        <v>327570325.19799984</v>
      </c>
      <c r="AF328" s="4">
        <f t="shared" si="316"/>
        <v>325424212.82770789</v>
      </c>
      <c r="AG328" s="4">
        <f t="shared" si="316"/>
        <v>339399858.27864075</v>
      </c>
      <c r="AH328" s="4">
        <f t="shared" si="316"/>
        <v>350405082.0411765</v>
      </c>
      <c r="AI328" s="4">
        <f t="shared" si="316"/>
        <v>358458174.30512685</v>
      </c>
      <c r="AJ328" s="4">
        <f t="shared" si="316"/>
        <v>362551299.51928526</v>
      </c>
      <c r="AK328" s="4">
        <f t="shared" si="316"/>
        <v>373322139.26566219</v>
      </c>
      <c r="AL328" s="4">
        <f t="shared" si="316"/>
        <v>393763558.47419029</v>
      </c>
      <c r="AM328" s="4">
        <f t="shared" si="316"/>
        <v>407982263.31526423</v>
      </c>
      <c r="AN328" s="4">
        <f t="shared" si="316"/>
        <v>408448622.59732509</v>
      </c>
      <c r="AO328" s="4">
        <f t="shared" si="316"/>
        <v>407765619.10970992</v>
      </c>
      <c r="AP328" s="4">
        <f t="shared" si="316"/>
        <v>417351566.19460899</v>
      </c>
      <c r="AQ328" s="4">
        <f t="shared" si="316"/>
        <v>468553618.74891579</v>
      </c>
      <c r="AR328" s="4"/>
      <c r="AS328" s="94"/>
      <c r="AT328" s="121">
        <f t="shared" si="319"/>
        <v>0.50770240791802368</v>
      </c>
      <c r="AU328" s="197"/>
      <c r="AV328" s="194"/>
      <c r="AW328" s="194"/>
      <c r="AX328" s="194"/>
      <c r="AY328" s="195"/>
      <c r="AZ328" s="196"/>
      <c r="BA328" s="196"/>
      <c r="BB328" s="195"/>
      <c r="BC328" s="195">
        <v>152824951.74781588</v>
      </c>
      <c r="BD328" s="195">
        <f t="shared" si="321"/>
        <v>-151590509.74781588</v>
      </c>
      <c r="BE328" s="195">
        <v>129458434.08986306</v>
      </c>
      <c r="BF328" s="195">
        <f t="shared" si="322"/>
        <v>-129165145.08986306</v>
      </c>
      <c r="BG328" s="195">
        <v>138512422.75823951</v>
      </c>
      <c r="BH328" s="197">
        <f>SUM(O334:O336)/BH327-1</f>
        <v>-0.7155882340514732</v>
      </c>
      <c r="BI328" s="3"/>
      <c r="BJ328" s="3">
        <v>8403241</v>
      </c>
      <c r="BK328" s="3">
        <f t="shared" si="317"/>
        <v>0</v>
      </c>
      <c r="BL328" s="3">
        <v>18195681.01412601</v>
      </c>
      <c r="BM328" s="177">
        <f t="shared" si="318"/>
        <v>-4887632.1085367277</v>
      </c>
      <c r="BN328" s="3"/>
      <c r="BR328" s="3"/>
      <c r="BS328" s="3"/>
      <c r="BT328" s="3"/>
      <c r="BU328" s="3"/>
      <c r="BV328" s="3"/>
      <c r="BW328" s="3"/>
      <c r="BX328" s="3"/>
      <c r="BY328" s="3"/>
      <c r="BZ328" s="3"/>
      <c r="CA328" s="3"/>
      <c r="CB328" s="3"/>
      <c r="CC328" s="4"/>
      <c r="CD328" s="3"/>
      <c r="CE328" s="3"/>
      <c r="CF328" s="3"/>
      <c r="CG328" s="3"/>
      <c r="CH328" s="3"/>
      <c r="CI328" s="3"/>
      <c r="CJ328" s="3"/>
      <c r="CK328" s="3"/>
      <c r="CL328" s="3"/>
      <c r="CM328" s="3"/>
      <c r="CN328" s="3"/>
      <c r="CO328" s="3"/>
      <c r="CP328" s="3"/>
    </row>
    <row r="329" spans="1:94">
      <c r="A329" s="2" t="s">
        <v>47</v>
      </c>
      <c r="B329" s="3">
        <f t="shared" si="315"/>
        <v>0</v>
      </c>
      <c r="C329" s="3">
        <f t="shared" si="315"/>
        <v>0</v>
      </c>
      <c r="D329" s="3">
        <f t="shared" si="315"/>
        <v>0</v>
      </c>
      <c r="E329" s="3">
        <f t="shared" si="315"/>
        <v>0</v>
      </c>
      <c r="F329" s="3">
        <f t="shared" si="315"/>
        <v>0</v>
      </c>
      <c r="G329" s="3">
        <f t="shared" si="315"/>
        <v>0</v>
      </c>
      <c r="H329" s="3">
        <f t="shared" si="315"/>
        <v>0</v>
      </c>
      <c r="I329" s="3">
        <f t="shared" si="315"/>
        <v>134485</v>
      </c>
      <c r="J329" s="3">
        <f t="shared" si="315"/>
        <v>64189</v>
      </c>
      <c r="K329" s="3">
        <f t="shared" si="315"/>
        <v>254288</v>
      </c>
      <c r="L329" s="3">
        <f t="shared" si="315"/>
        <v>0</v>
      </c>
      <c r="M329" s="3">
        <f t="shared" si="315"/>
        <v>287496</v>
      </c>
      <c r="N329" s="3">
        <f t="shared" si="315"/>
        <v>202831</v>
      </c>
      <c r="O329" s="3">
        <f t="shared" si="315"/>
        <v>1626715</v>
      </c>
      <c r="P329" s="3">
        <f t="shared" si="315"/>
        <v>18055498</v>
      </c>
      <c r="Q329" s="4">
        <f t="shared" si="315"/>
        <v>15695583.131274737</v>
      </c>
      <c r="R329" s="4">
        <f t="shared" si="316"/>
        <v>41780561.021103673</v>
      </c>
      <c r="S329" s="4">
        <f t="shared" si="316"/>
        <v>115278881.02848986</v>
      </c>
      <c r="T329" s="4">
        <f t="shared" si="316"/>
        <v>151068433.84608757</v>
      </c>
      <c r="U329" s="4">
        <f t="shared" si="316"/>
        <v>199076953.03664705</v>
      </c>
      <c r="V329" s="4">
        <f t="shared" si="316"/>
        <v>266401465.28689945</v>
      </c>
      <c r="W329" s="4">
        <f t="shared" si="316"/>
        <v>308291621.86943632</v>
      </c>
      <c r="X329" s="4">
        <f t="shared" si="316"/>
        <v>386018298.39756542</v>
      </c>
      <c r="Y329" s="4">
        <f t="shared" si="316"/>
        <v>403229734.6331256</v>
      </c>
      <c r="Z329" s="4">
        <f t="shared" si="316"/>
        <v>438403054.22398633</v>
      </c>
      <c r="AA329" s="4">
        <f t="shared" si="316"/>
        <v>457698449.26422077</v>
      </c>
      <c r="AB329" s="4">
        <f t="shared" si="316"/>
        <v>354118209.6740467</v>
      </c>
      <c r="AC329" s="4">
        <f t="shared" si="316"/>
        <v>385558497.24723381</v>
      </c>
      <c r="AD329" s="4">
        <f t="shared" si="316"/>
        <v>432981750.12180865</v>
      </c>
      <c r="AE329" s="4">
        <f t="shared" si="316"/>
        <v>431649760.04424119</v>
      </c>
      <c r="AF329" s="4">
        <f t="shared" si="316"/>
        <v>428784834.20417035</v>
      </c>
      <c r="AG329" s="4">
        <f t="shared" si="316"/>
        <v>447206387.44169664</v>
      </c>
      <c r="AH329" s="4">
        <f t="shared" si="316"/>
        <v>461707527.31536746</v>
      </c>
      <c r="AI329" s="4">
        <f t="shared" si="316"/>
        <v>472316737.85257494</v>
      </c>
      <c r="AJ329" s="4">
        <f t="shared" si="316"/>
        <v>477707934.64939249</v>
      </c>
      <c r="AK329" s="4">
        <f t="shared" si="316"/>
        <v>491899049.01143104</v>
      </c>
      <c r="AL329" s="4">
        <f t="shared" si="316"/>
        <v>518835955.28814048</v>
      </c>
      <c r="AM329" s="4">
        <f t="shared" si="316"/>
        <v>537570582.76409626</v>
      </c>
      <c r="AN329" s="4">
        <f t="shared" si="316"/>
        <v>538184535.36821783</v>
      </c>
      <c r="AO329" s="4">
        <f t="shared" si="316"/>
        <v>537284345.16967785</v>
      </c>
      <c r="AP329" s="4">
        <f t="shared" si="316"/>
        <v>549915216.37465036</v>
      </c>
      <c r="AQ329" s="4">
        <f t="shared" si="316"/>
        <v>617380988.93996465</v>
      </c>
      <c r="AR329" s="4"/>
      <c r="AS329" s="94">
        <f>AS325/AS326-1</f>
        <v>1.1888331017699345</v>
      </c>
      <c r="AT329" s="121">
        <f t="shared" si="319"/>
        <v>0.17940527891227598</v>
      </c>
      <c r="AU329" s="197"/>
      <c r="AV329" s="194"/>
      <c r="AW329" s="194"/>
      <c r="AX329" s="194"/>
      <c r="AY329" s="195"/>
      <c r="AZ329" s="196"/>
      <c r="BA329" s="195">
        <v>178072540.96348354</v>
      </c>
      <c r="BB329" s="195">
        <f t="shared" ref="BB329:BB337" si="323">K329-BA329</f>
        <v>-177818252.96348354</v>
      </c>
      <c r="BC329" s="195">
        <v>157209465.91249242</v>
      </c>
      <c r="BD329" s="195">
        <f t="shared" si="321"/>
        <v>-157209465.91249242</v>
      </c>
      <c r="BE329" s="195">
        <v>142690356.2444244</v>
      </c>
      <c r="BF329" s="195">
        <f t="shared" si="322"/>
        <v>-142402860.2444244</v>
      </c>
      <c r="BG329" s="195">
        <v>143839399.92900729</v>
      </c>
      <c r="BH329" s="195"/>
      <c r="BI329" s="3"/>
      <c r="BJ329" s="3">
        <v>18055498</v>
      </c>
      <c r="BK329" s="3">
        <f t="shared" si="317"/>
        <v>0</v>
      </c>
      <c r="BL329" s="3">
        <v>20399655.121660627</v>
      </c>
      <c r="BM329" s="177">
        <f t="shared" si="318"/>
        <v>-4704071.99038589</v>
      </c>
      <c r="BN329" s="3"/>
      <c r="BR329" s="3"/>
      <c r="BS329" s="3"/>
      <c r="BT329" s="3"/>
      <c r="BU329" s="3"/>
      <c r="BV329" s="3"/>
      <c r="BW329" s="3"/>
      <c r="BX329" s="3"/>
      <c r="BY329" s="3"/>
      <c r="BZ329" s="3"/>
      <c r="CA329" s="3"/>
      <c r="CB329" s="3"/>
      <c r="CC329" s="4"/>
      <c r="CD329" s="3"/>
      <c r="CE329" s="3"/>
      <c r="CF329" s="3"/>
      <c r="CG329" s="3"/>
      <c r="CH329" s="3"/>
      <c r="CI329" s="3"/>
      <c r="CJ329" s="3"/>
      <c r="CK329" s="3"/>
      <c r="CL329" s="3"/>
      <c r="CM329" s="3"/>
      <c r="CN329" s="3"/>
      <c r="CO329" s="3"/>
      <c r="CP329" s="3"/>
    </row>
    <row r="330" spans="1:94">
      <c r="A330" s="2" t="s">
        <v>48</v>
      </c>
      <c r="B330" s="3">
        <f t="shared" si="315"/>
        <v>0</v>
      </c>
      <c r="C330" s="3">
        <f t="shared" si="315"/>
        <v>0</v>
      </c>
      <c r="D330" s="3">
        <f t="shared" si="315"/>
        <v>0</v>
      </c>
      <c r="E330" s="3">
        <f t="shared" si="315"/>
        <v>0</v>
      </c>
      <c r="F330" s="3">
        <f t="shared" si="315"/>
        <v>0</v>
      </c>
      <c r="G330" s="3">
        <f t="shared" si="315"/>
        <v>0</v>
      </c>
      <c r="H330" s="3">
        <f t="shared" si="315"/>
        <v>0</v>
      </c>
      <c r="I330" s="3">
        <f t="shared" si="315"/>
        <v>127471</v>
      </c>
      <c r="J330" s="3">
        <f t="shared" si="315"/>
        <v>140194</v>
      </c>
      <c r="K330" s="3">
        <f t="shared" si="315"/>
        <v>223279</v>
      </c>
      <c r="L330" s="3">
        <f t="shared" si="315"/>
        <v>508513</v>
      </c>
      <c r="M330" s="3">
        <f t="shared" si="315"/>
        <v>357317</v>
      </c>
      <c r="N330" s="3">
        <f t="shared" si="315"/>
        <v>2331749</v>
      </c>
      <c r="O330" s="3">
        <f t="shared" si="315"/>
        <v>2431985</v>
      </c>
      <c r="P330" s="3">
        <f t="shared" si="315"/>
        <v>6269264</v>
      </c>
      <c r="Q330" s="4">
        <f t="shared" si="315"/>
        <v>15877313.805032866</v>
      </c>
      <c r="R330" s="4">
        <f t="shared" si="316"/>
        <v>40090554.729911327</v>
      </c>
      <c r="S330" s="4">
        <f t="shared" si="316"/>
        <v>109912763.07836901</v>
      </c>
      <c r="T330" s="4">
        <f t="shared" si="316"/>
        <v>143928153.63409781</v>
      </c>
      <c r="U330" s="4">
        <f t="shared" si="316"/>
        <v>186830021.40693691</v>
      </c>
      <c r="V330" s="4">
        <f t="shared" si="316"/>
        <v>253326951.88233766</v>
      </c>
      <c r="W330" s="4">
        <f t="shared" si="316"/>
        <v>292980878.73686874</v>
      </c>
      <c r="X330" s="4">
        <f t="shared" si="316"/>
        <v>367072831.51779979</v>
      </c>
      <c r="Y330" s="4">
        <f t="shared" si="316"/>
        <v>383321965.71480089</v>
      </c>
      <c r="Z330" s="4">
        <f t="shared" si="316"/>
        <v>416600885.09563607</v>
      </c>
      <c r="AA330" s="4">
        <f t="shared" si="316"/>
        <v>435320747.81909347</v>
      </c>
      <c r="AB330" s="4">
        <f t="shared" si="316"/>
        <v>336504831.94912809</v>
      </c>
      <c r="AC330" s="4">
        <f t="shared" si="316"/>
        <v>366454290.76937747</v>
      </c>
      <c r="AD330" s="4">
        <f t="shared" si="316"/>
        <v>411647918.89044106</v>
      </c>
      <c r="AE330" s="4">
        <f t="shared" si="316"/>
        <v>410524297.58924985</v>
      </c>
      <c r="AF330" s="4">
        <f t="shared" si="316"/>
        <v>407889172.2767899</v>
      </c>
      <c r="AG330" s="4">
        <f t="shared" si="316"/>
        <v>425417319.98768061</v>
      </c>
      <c r="AH330" s="4">
        <f t="shared" si="316"/>
        <v>439206283.68416983</v>
      </c>
      <c r="AI330" s="4">
        <f t="shared" si="316"/>
        <v>449299655.95658058</v>
      </c>
      <c r="AJ330" s="4">
        <f t="shared" si="316"/>
        <v>454432264.35824293</v>
      </c>
      <c r="AK330" s="4">
        <f t="shared" si="316"/>
        <v>467934926.58408231</v>
      </c>
      <c r="AL330" s="4">
        <f t="shared" si="316"/>
        <v>493555094.71268988</v>
      </c>
      <c r="AM330" s="4">
        <f t="shared" si="316"/>
        <v>511376509.82642299</v>
      </c>
      <c r="AN330" s="4">
        <f t="shared" si="316"/>
        <v>511961350.36461264</v>
      </c>
      <c r="AO330" s="4">
        <f t="shared" si="316"/>
        <v>511105718.42924017</v>
      </c>
      <c r="AP330" s="4">
        <f t="shared" si="316"/>
        <v>523121130.4948082</v>
      </c>
      <c r="AQ330" s="4">
        <f t="shared" si="316"/>
        <v>587298966.16713428</v>
      </c>
      <c r="AR330" s="4"/>
      <c r="AS330" s="94">
        <f>AS325/AS327-1</f>
        <v>1.2138774602769336</v>
      </c>
      <c r="AT330" s="121">
        <f t="shared" si="319"/>
        <v>1.1578459509160588E-2</v>
      </c>
      <c r="AU330" s="197"/>
      <c r="AV330" s="194"/>
      <c r="AW330" s="194"/>
      <c r="AX330" s="194"/>
      <c r="AY330" s="195"/>
      <c r="AZ330" s="196"/>
      <c r="BA330" s="195">
        <v>167055104.50212622</v>
      </c>
      <c r="BB330" s="195">
        <f t="shared" si="323"/>
        <v>-166831825.50212622</v>
      </c>
      <c r="BC330" s="195">
        <v>140041174.55798692</v>
      </c>
      <c r="BD330" s="195">
        <f t="shared" si="321"/>
        <v>-139532661.55798692</v>
      </c>
      <c r="BE330" s="195">
        <v>155020352.91339663</v>
      </c>
      <c r="BF330" s="195">
        <f t="shared" si="322"/>
        <v>-154663035.91339663</v>
      </c>
      <c r="BG330" s="195">
        <v>148189433.6392737</v>
      </c>
      <c r="BH330" s="194">
        <f>SUM(P328:P330)</f>
        <v>32728003</v>
      </c>
      <c r="BI330" s="3"/>
      <c r="BJ330" s="3">
        <v>6269264</v>
      </c>
      <c r="BK330" s="3">
        <f t="shared" si="317"/>
        <v>0</v>
      </c>
      <c r="BL330" s="3">
        <v>21935558.438519146</v>
      </c>
      <c r="BM330" s="177">
        <f t="shared" si="318"/>
        <v>-6058244.6334862802</v>
      </c>
      <c r="BN330" s="3"/>
      <c r="BR330" s="3"/>
      <c r="BS330" s="3"/>
      <c r="BT330" s="3"/>
      <c r="BU330" s="3"/>
      <c r="BV330" s="3"/>
      <c r="BW330" s="3"/>
      <c r="BX330" s="3"/>
      <c r="BY330" s="3"/>
      <c r="BZ330" s="3"/>
      <c r="CA330" s="3"/>
      <c r="CB330" s="3"/>
      <c r="CC330" s="4"/>
      <c r="CD330" s="3"/>
      <c r="CE330" s="3"/>
      <c r="CF330" s="3"/>
      <c r="CG330" s="3"/>
      <c r="CH330" s="3"/>
      <c r="CI330" s="3"/>
      <c r="CJ330" s="3"/>
      <c r="CK330" s="3"/>
      <c r="CL330" s="3"/>
      <c r="CM330" s="3"/>
      <c r="CN330" s="3"/>
      <c r="CO330" s="3"/>
      <c r="CP330" s="3"/>
    </row>
    <row r="331" spans="1:94">
      <c r="A331" s="2" t="s">
        <v>49</v>
      </c>
      <c r="B331" s="3">
        <f t="shared" si="315"/>
        <v>0</v>
      </c>
      <c r="C331" s="3">
        <f t="shared" si="315"/>
        <v>0</v>
      </c>
      <c r="D331" s="3">
        <f t="shared" si="315"/>
        <v>0</v>
      </c>
      <c r="E331" s="3">
        <f t="shared" si="315"/>
        <v>0</v>
      </c>
      <c r="F331" s="3">
        <f t="shared" si="315"/>
        <v>0</v>
      </c>
      <c r="G331" s="3">
        <f t="shared" si="315"/>
        <v>0</v>
      </c>
      <c r="H331" s="3">
        <f t="shared" si="315"/>
        <v>0</v>
      </c>
      <c r="I331" s="3">
        <f t="shared" si="315"/>
        <v>120661</v>
      </c>
      <c r="J331" s="3">
        <f t="shared" si="315"/>
        <v>82231</v>
      </c>
      <c r="K331" s="3">
        <f t="shared" si="315"/>
        <v>146613</v>
      </c>
      <c r="L331" s="3">
        <f t="shared" si="315"/>
        <v>1536725</v>
      </c>
      <c r="M331" s="3">
        <f t="shared" si="315"/>
        <v>1093159</v>
      </c>
      <c r="N331" s="3">
        <f t="shared" si="315"/>
        <v>1137973</v>
      </c>
      <c r="O331" s="3">
        <f t="shared" si="315"/>
        <v>1770762</v>
      </c>
      <c r="P331" s="3">
        <f t="shared" si="315"/>
        <v>10194334</v>
      </c>
      <c r="Q331" s="4">
        <f t="shared" si="315"/>
        <v>18644432.350191236</v>
      </c>
      <c r="R331" s="4">
        <f t="shared" si="316"/>
        <v>44099613.937141791</v>
      </c>
      <c r="S331" s="4">
        <f t="shared" si="316"/>
        <v>119714909.12933441</v>
      </c>
      <c r="T331" s="4">
        <f t="shared" si="316"/>
        <v>156729366.16105363</v>
      </c>
      <c r="U331" s="4">
        <f t="shared" si="316"/>
        <v>204877289.07731122</v>
      </c>
      <c r="V331" s="4">
        <f t="shared" si="316"/>
        <v>276984839.96866107</v>
      </c>
      <c r="W331" s="4">
        <f t="shared" si="316"/>
        <v>319843626.76435572</v>
      </c>
      <c r="X331" s="4">
        <f t="shared" si="316"/>
        <v>400302116.39205301</v>
      </c>
      <c r="Y331" s="4">
        <f t="shared" si="316"/>
        <v>418099543.24597806</v>
      </c>
      <c r="Z331" s="4">
        <f t="shared" si="316"/>
        <v>454528927.20170164</v>
      </c>
      <c r="AA331" s="4">
        <f t="shared" si="316"/>
        <v>474837622.02182615</v>
      </c>
      <c r="AB331" s="4">
        <f t="shared" si="316"/>
        <v>367229900.51074994</v>
      </c>
      <c r="AC331" s="4">
        <f t="shared" si="316"/>
        <v>399822694.51615721</v>
      </c>
      <c r="AD331" s="4">
        <f t="shared" si="316"/>
        <v>449029832.94191366</v>
      </c>
      <c r="AE331" s="4">
        <f t="shared" si="316"/>
        <v>447687612.60758471</v>
      </c>
      <c r="AF331" s="4">
        <f t="shared" si="316"/>
        <v>444750406.21882141</v>
      </c>
      <c r="AG331" s="4">
        <f t="shared" si="316"/>
        <v>463838349.9205718</v>
      </c>
      <c r="AH331" s="4">
        <f t="shared" si="316"/>
        <v>478876025.6222105</v>
      </c>
      <c r="AI331" s="4">
        <f t="shared" si="316"/>
        <v>489883207.73802304</v>
      </c>
      <c r="AJ331" s="4">
        <f t="shared" si="316"/>
        <v>495478516.72862762</v>
      </c>
      <c r="AK331" s="4">
        <f t="shared" si="316"/>
        <v>510198651.27004594</v>
      </c>
      <c r="AL331" s="4">
        <f t="shared" si="316"/>
        <v>538133553.04368472</v>
      </c>
      <c r="AM331" s="4">
        <f t="shared" si="316"/>
        <v>557565317.01577449</v>
      </c>
      <c r="AN331" s="4">
        <f t="shared" si="316"/>
        <v>558203082.99026334</v>
      </c>
      <c r="AO331" s="4">
        <f t="shared" si="316"/>
        <v>557269834.33797264</v>
      </c>
      <c r="AP331" s="4">
        <f t="shared" si="316"/>
        <v>570370293.67011321</v>
      </c>
      <c r="AQ331" s="4">
        <f t="shared" si="316"/>
        <v>640344991.28756511</v>
      </c>
      <c r="AR331" s="4"/>
      <c r="AS331" s="94"/>
      <c r="AT331" s="121">
        <f t="shared" si="319"/>
        <v>0.17428127825257422</v>
      </c>
      <c r="AU331" s="197"/>
      <c r="AV331" s="194"/>
      <c r="AW331" s="194"/>
      <c r="AX331" s="194"/>
      <c r="AY331" s="195"/>
      <c r="AZ331" s="196"/>
      <c r="BA331" s="195">
        <v>143619523.04200637</v>
      </c>
      <c r="BB331" s="195">
        <f t="shared" si="323"/>
        <v>-143472910.04200637</v>
      </c>
      <c r="BC331" s="195">
        <v>165126501.15137365</v>
      </c>
      <c r="BD331" s="195">
        <f t="shared" si="321"/>
        <v>-163589776.15137365</v>
      </c>
      <c r="BE331" s="195">
        <v>161089374.57035646</v>
      </c>
      <c r="BF331" s="195">
        <f t="shared" si="322"/>
        <v>-159996215.57035646</v>
      </c>
      <c r="BG331" s="195">
        <v>144098244.42470986</v>
      </c>
      <c r="BH331" s="197">
        <f>(BH330/BH327)-1</f>
        <v>0.75032317172990881</v>
      </c>
      <c r="BI331" s="3"/>
      <c r="BJ331" s="4">
        <v>10194334</v>
      </c>
      <c r="BK331" s="3">
        <f t="shared" si="317"/>
        <v>0</v>
      </c>
      <c r="BL331" s="3">
        <v>26330241.467248425</v>
      </c>
      <c r="BM331" s="177">
        <f t="shared" si="318"/>
        <v>-7685809.1170571893</v>
      </c>
      <c r="BN331" s="3"/>
      <c r="BR331" s="3"/>
      <c r="BS331" s="3"/>
      <c r="BT331" s="3"/>
      <c r="BU331" s="3"/>
      <c r="BV331" s="3"/>
      <c r="BW331" s="3"/>
      <c r="BX331" s="3"/>
      <c r="BY331" s="3"/>
      <c r="BZ331" s="3"/>
      <c r="CA331" s="3"/>
      <c r="CB331" s="3"/>
      <c r="CC331" s="4"/>
      <c r="CD331" s="3"/>
      <c r="CE331" s="3"/>
      <c r="CF331" s="3"/>
      <c r="CG331" s="3"/>
      <c r="CH331" s="3"/>
      <c r="CI331" s="3"/>
      <c r="CJ331" s="3"/>
      <c r="CK331" s="3"/>
      <c r="CL331" s="3"/>
      <c r="CM331" s="3"/>
      <c r="CN331" s="3"/>
      <c r="CO331" s="3"/>
      <c r="CP331" s="3"/>
    </row>
    <row r="332" spans="1:94">
      <c r="A332" s="2" t="s">
        <v>50</v>
      </c>
      <c r="B332" s="3">
        <f t="shared" si="315"/>
        <v>0</v>
      </c>
      <c r="C332" s="3">
        <f t="shared" si="315"/>
        <v>0</v>
      </c>
      <c r="D332" s="3">
        <f t="shared" si="315"/>
        <v>0</v>
      </c>
      <c r="E332" s="3">
        <f t="shared" si="315"/>
        <v>0</v>
      </c>
      <c r="F332" s="3">
        <f t="shared" si="315"/>
        <v>0</v>
      </c>
      <c r="G332" s="3">
        <f t="shared" si="315"/>
        <v>0</v>
      </c>
      <c r="H332" s="3">
        <f t="shared" si="315"/>
        <v>0</v>
      </c>
      <c r="I332" s="3">
        <f t="shared" si="315"/>
        <v>174175</v>
      </c>
      <c r="J332" s="3">
        <f t="shared" si="315"/>
        <v>70236</v>
      </c>
      <c r="K332" s="3">
        <f t="shared" si="315"/>
        <v>271757</v>
      </c>
      <c r="L332" s="3">
        <f t="shared" si="315"/>
        <v>63855</v>
      </c>
      <c r="M332" s="3">
        <f t="shared" si="315"/>
        <v>722058</v>
      </c>
      <c r="N332" s="3">
        <f t="shared" si="315"/>
        <v>2039562</v>
      </c>
      <c r="O332" s="3">
        <f t="shared" si="315"/>
        <v>3475188</v>
      </c>
      <c r="P332" s="3">
        <f t="shared" si="315"/>
        <v>11018726</v>
      </c>
      <c r="Q332" s="4">
        <f t="shared" si="315"/>
        <v>18121210.075139798</v>
      </c>
      <c r="R332" s="4">
        <f t="shared" si="316"/>
        <v>47239990.308537669</v>
      </c>
      <c r="S332" s="4">
        <f t="shared" si="316"/>
        <v>130514077.87124597</v>
      </c>
      <c r="T332" s="4">
        <f t="shared" si="316"/>
        <v>170777984.37477323</v>
      </c>
      <c r="U332" s="4">
        <f t="shared" si="316"/>
        <v>222275866.58954853</v>
      </c>
      <c r="V332" s="4">
        <f t="shared" si="316"/>
        <v>300230446.138376</v>
      </c>
      <c r="W332" s="4">
        <f t="shared" si="316"/>
        <v>347471708.85113049</v>
      </c>
      <c r="X332" s="4">
        <f t="shared" si="316"/>
        <v>435321484.67285985</v>
      </c>
      <c r="Y332" s="4">
        <f t="shared" si="316"/>
        <v>454545640.3650158</v>
      </c>
      <c r="Z332" s="4">
        <f t="shared" si="316"/>
        <v>494004571.30375582</v>
      </c>
      <c r="AA332" s="4">
        <f t="shared" si="316"/>
        <v>516092136.11016458</v>
      </c>
      <c r="AB332" s="4">
        <f t="shared" si="316"/>
        <v>399082243.85461897</v>
      </c>
      <c r="AC332" s="4">
        <f t="shared" si="316"/>
        <v>434569912.87510228</v>
      </c>
      <c r="AD332" s="4">
        <f t="shared" si="316"/>
        <v>488098371.86020541</v>
      </c>
      <c r="AE332" s="4">
        <f t="shared" si="316"/>
        <v>486706304.34401494</v>
      </c>
      <c r="AF332" s="4">
        <f t="shared" si="316"/>
        <v>483555339.51892412</v>
      </c>
      <c r="AG332" s="4">
        <f t="shared" si="316"/>
        <v>504336771.8224569</v>
      </c>
      <c r="AH332" s="4">
        <f t="shared" si="316"/>
        <v>520683279.40178376</v>
      </c>
      <c r="AI332" s="4">
        <f t="shared" si="316"/>
        <v>532645954.37678677</v>
      </c>
      <c r="AJ332" s="4">
        <f t="shared" si="316"/>
        <v>538729626.88032687</v>
      </c>
      <c r="AK332" s="4">
        <f t="shared" si="316"/>
        <v>554737404.44404888</v>
      </c>
      <c r="AL332" s="4">
        <f t="shared" si="316"/>
        <v>585111928.0152998</v>
      </c>
      <c r="AM332" s="4">
        <f t="shared" si="316"/>
        <v>606238745.74514627</v>
      </c>
      <c r="AN332" s="4">
        <f t="shared" si="316"/>
        <v>606931515.43055546</v>
      </c>
      <c r="AO332" s="4">
        <f t="shared" si="316"/>
        <v>605917152.94723928</v>
      </c>
      <c r="AP332" s="4">
        <f t="shared" si="316"/>
        <v>620161664.5515734</v>
      </c>
      <c r="AQ332" s="4">
        <f t="shared" si="316"/>
        <v>696244876.41860402</v>
      </c>
      <c r="AR332" s="4"/>
      <c r="AS332" s="94"/>
      <c r="AT332" s="121">
        <f t="shared" si="319"/>
        <v>-2.8063191478504335E-2</v>
      </c>
      <c r="AU332" s="197"/>
      <c r="AV332" s="194"/>
      <c r="AW332" s="194"/>
      <c r="AX332" s="194"/>
      <c r="AY332" s="195"/>
      <c r="AZ332" s="196"/>
      <c r="BA332" s="195">
        <v>179278729.11455953</v>
      </c>
      <c r="BB332" s="195">
        <f t="shared" si="323"/>
        <v>-179006972.11455953</v>
      </c>
      <c r="BC332" s="195">
        <v>168020270.68833292</v>
      </c>
      <c r="BD332" s="195">
        <f t="shared" si="321"/>
        <v>-167956415.68833292</v>
      </c>
      <c r="BE332" s="195">
        <v>155942954.667191</v>
      </c>
      <c r="BF332" s="195">
        <f t="shared" si="322"/>
        <v>-155220896.667191</v>
      </c>
      <c r="BG332" s="195">
        <v>141572065.80553842</v>
      </c>
      <c r="BH332" s="195"/>
      <c r="BI332" s="3"/>
      <c r="BJ332" s="4">
        <v>11018726</v>
      </c>
      <c r="BK332" s="3">
        <f t="shared" si="317"/>
        <v>0</v>
      </c>
      <c r="BL332" s="3">
        <v>25451379.007796213</v>
      </c>
      <c r="BM332" s="177">
        <f t="shared" si="318"/>
        <v>-7330168.9326564148</v>
      </c>
      <c r="BN332" s="3"/>
      <c r="BR332" s="3"/>
      <c r="BS332" s="3"/>
      <c r="BT332" s="3"/>
      <c r="BU332" s="3"/>
      <c r="BV332" s="3"/>
      <c r="BW332" s="3"/>
      <c r="BX332" s="3"/>
      <c r="BY332" s="3"/>
      <c r="BZ332" s="3"/>
      <c r="CA332" s="3"/>
      <c r="CB332" s="3"/>
      <c r="CC332" s="4"/>
      <c r="CD332" s="3"/>
      <c r="CE332" s="3"/>
      <c r="CF332" s="3"/>
      <c r="CG332" s="3"/>
      <c r="CH332" s="3"/>
      <c r="CI332" s="3"/>
      <c r="CJ332" s="3"/>
      <c r="CK332" s="3"/>
      <c r="CL332" s="3"/>
      <c r="CM332" s="3"/>
      <c r="CN332" s="3"/>
      <c r="CO332" s="3"/>
      <c r="CP332" s="3"/>
    </row>
    <row r="333" spans="1:94">
      <c r="A333" s="2" t="s">
        <v>51</v>
      </c>
      <c r="B333" s="3">
        <f t="shared" si="315"/>
        <v>0</v>
      </c>
      <c r="C333" s="3">
        <f t="shared" si="315"/>
        <v>0</v>
      </c>
      <c r="D333" s="3">
        <f t="shared" si="315"/>
        <v>0</v>
      </c>
      <c r="E333" s="3">
        <f t="shared" si="315"/>
        <v>0</v>
      </c>
      <c r="F333" s="3">
        <f t="shared" si="315"/>
        <v>0</v>
      </c>
      <c r="G333" s="3">
        <f t="shared" si="315"/>
        <v>0</v>
      </c>
      <c r="H333" s="3">
        <f t="shared" si="315"/>
        <v>230790</v>
      </c>
      <c r="I333" s="3">
        <f t="shared" si="315"/>
        <v>137952</v>
      </c>
      <c r="J333" s="3">
        <f t="shared" si="315"/>
        <v>151082</v>
      </c>
      <c r="K333" s="3">
        <f t="shared" si="315"/>
        <v>275529</v>
      </c>
      <c r="L333" s="3">
        <f t="shared" si="315"/>
        <v>371169</v>
      </c>
      <c r="M333" s="3">
        <f t="shared" si="315"/>
        <v>300122</v>
      </c>
      <c r="N333" s="3">
        <f t="shared" si="315"/>
        <v>393571</v>
      </c>
      <c r="O333" s="3">
        <f t="shared" si="315"/>
        <v>2163064</v>
      </c>
      <c r="P333" s="3">
        <f t="shared" si="315"/>
        <v>20695121</v>
      </c>
      <c r="Q333" s="4">
        <f t="shared" si="315"/>
        <v>19561239.887186892</v>
      </c>
      <c r="R333" s="4">
        <f t="shared" si="316"/>
        <v>57196378.827984162</v>
      </c>
      <c r="S333" s="4">
        <f t="shared" si="316"/>
        <v>158438136.91469371</v>
      </c>
      <c r="T333" s="4">
        <f t="shared" si="316"/>
        <v>207707531.17644346</v>
      </c>
      <c r="U333" s="4">
        <f t="shared" si="316"/>
        <v>272210401.21531743</v>
      </c>
      <c r="V333" s="4">
        <f t="shared" si="316"/>
        <v>364517050.31771886</v>
      </c>
      <c r="W333" s="4">
        <f t="shared" si="316"/>
        <v>422783169.87744755</v>
      </c>
      <c r="X333" s="4">
        <f t="shared" si="316"/>
        <v>529699158.65717715</v>
      </c>
      <c r="Y333" s="4">
        <f t="shared" si="316"/>
        <v>553216309.27787578</v>
      </c>
      <c r="Z333" s="4">
        <f t="shared" si="316"/>
        <v>601295020.64447892</v>
      </c>
      <c r="AA333" s="4">
        <f t="shared" si="316"/>
        <v>627805091.66413951</v>
      </c>
      <c r="AB333" s="4">
        <f t="shared" si="316"/>
        <v>485655028.48193932</v>
      </c>
      <c r="AC333" s="4">
        <f t="shared" si="316"/>
        <v>528836985.62768936</v>
      </c>
      <c r="AD333" s="4">
        <f t="shared" si="316"/>
        <v>593954856.84986866</v>
      </c>
      <c r="AE333" s="4">
        <f t="shared" si="316"/>
        <v>592214013.69778848</v>
      </c>
      <c r="AF333" s="4">
        <f t="shared" si="316"/>
        <v>588334729.41870618</v>
      </c>
      <c r="AG333" s="4">
        <f t="shared" si="316"/>
        <v>613646961.06679022</v>
      </c>
      <c r="AH333" s="4">
        <f t="shared" si="316"/>
        <v>633537549.88372314</v>
      </c>
      <c r="AI333" s="4">
        <f t="shared" si="316"/>
        <v>648090266.54360902</v>
      </c>
      <c r="AJ333" s="4">
        <f t="shared" si="316"/>
        <v>655487645.3890146</v>
      </c>
      <c r="AK333" s="4">
        <f t="shared" si="316"/>
        <v>674963043.56951916</v>
      </c>
      <c r="AL333" s="4">
        <f t="shared" si="316"/>
        <v>711925965.47816062</v>
      </c>
      <c r="AM333" s="4">
        <f t="shared" si="316"/>
        <v>737631047.17210543</v>
      </c>
      <c r="AN333" s="4">
        <f t="shared" si="316"/>
        <v>738472948.13120592</v>
      </c>
      <c r="AO333" s="4">
        <f t="shared" si="316"/>
        <v>737238126.62097335</v>
      </c>
      <c r="AP333" s="4">
        <f t="shared" si="316"/>
        <v>754570145.35132217</v>
      </c>
      <c r="AQ333" s="4">
        <f t="shared" si="316"/>
        <v>847143747.03842115</v>
      </c>
      <c r="AR333" s="4"/>
      <c r="AS333" s="94"/>
      <c r="AT333" s="121">
        <f t="shared" si="319"/>
        <v>7.9466537062149456E-2</v>
      </c>
      <c r="AU333" s="197"/>
      <c r="AV333" s="194"/>
      <c r="AW333" s="194"/>
      <c r="AX333" s="194"/>
      <c r="AY333" s="195"/>
      <c r="AZ333" s="196"/>
      <c r="BA333" s="195">
        <v>141119976.66064993</v>
      </c>
      <c r="BB333" s="195">
        <f t="shared" si="323"/>
        <v>-140844447.66064993</v>
      </c>
      <c r="BC333" s="195">
        <v>159933651.26960924</v>
      </c>
      <c r="BD333" s="195">
        <f t="shared" si="321"/>
        <v>-159562482.26960924</v>
      </c>
      <c r="BE333" s="195">
        <v>151331868.28440863</v>
      </c>
      <c r="BF333" s="195">
        <f t="shared" si="322"/>
        <v>-151031746.28440863</v>
      </c>
      <c r="BG333" s="195">
        <v>140040273.96936029</v>
      </c>
      <c r="BH333" s="194">
        <f>SUM(P331:P333)</f>
        <v>41908181</v>
      </c>
      <c r="BI333" s="3"/>
      <c r="BJ333" s="4">
        <v>11593251.305115845</v>
      </c>
      <c r="BK333" s="3">
        <f t="shared" si="317"/>
        <v>9101869.6948841549</v>
      </c>
      <c r="BL333" s="3">
        <v>31141068.586797535</v>
      </c>
      <c r="BM333" s="177">
        <f t="shared" si="318"/>
        <v>-11579828.699610643</v>
      </c>
      <c r="BN333" s="3"/>
      <c r="BR333" s="3"/>
      <c r="BS333" s="3"/>
      <c r="BT333" s="3"/>
      <c r="BU333" s="3"/>
      <c r="BV333" s="3"/>
      <c r="BW333" s="3"/>
      <c r="BX333" s="3"/>
      <c r="BY333" s="3"/>
      <c r="BZ333" s="3"/>
      <c r="CA333" s="3"/>
      <c r="CB333" s="3"/>
      <c r="CC333" s="4"/>
      <c r="CD333" s="3"/>
      <c r="CE333" s="3"/>
      <c r="CF333" s="3"/>
      <c r="CG333" s="3"/>
      <c r="CH333" s="3"/>
      <c r="CI333" s="3"/>
      <c r="CJ333" s="3"/>
      <c r="CK333" s="3"/>
      <c r="CL333" s="3"/>
      <c r="CM333" s="3"/>
      <c r="CN333" s="3"/>
      <c r="CO333" s="3"/>
      <c r="CP333" s="3"/>
    </row>
    <row r="334" spans="1:94">
      <c r="A334" s="2" t="s">
        <v>52</v>
      </c>
      <c r="B334" s="3">
        <f t="shared" si="315"/>
        <v>0</v>
      </c>
      <c r="C334" s="3">
        <f t="shared" si="315"/>
        <v>0</v>
      </c>
      <c r="D334" s="3">
        <f t="shared" si="315"/>
        <v>0</v>
      </c>
      <c r="E334" s="3">
        <f t="shared" si="315"/>
        <v>0</v>
      </c>
      <c r="F334" s="3">
        <f t="shared" si="315"/>
        <v>0</v>
      </c>
      <c r="G334" s="3">
        <f t="shared" si="315"/>
        <v>0</v>
      </c>
      <c r="H334" s="3">
        <f t="shared" si="315"/>
        <v>181093</v>
      </c>
      <c r="I334" s="3">
        <f t="shared" si="315"/>
        <v>160272</v>
      </c>
      <c r="J334" s="3">
        <f t="shared" si="315"/>
        <v>229089</v>
      </c>
      <c r="K334" s="3">
        <f t="shared" si="315"/>
        <v>216574</v>
      </c>
      <c r="L334" s="3">
        <f t="shared" si="315"/>
        <v>188416</v>
      </c>
      <c r="M334" s="3">
        <f t="shared" si="315"/>
        <v>437741</v>
      </c>
      <c r="N334" s="3">
        <f t="shared" si="315"/>
        <v>1764631</v>
      </c>
      <c r="O334" s="3">
        <f t="shared" si="315"/>
        <v>2895877</v>
      </c>
      <c r="P334" s="3">
        <f t="shared" si="315"/>
        <v>9266341</v>
      </c>
      <c r="Q334" s="4">
        <f t="shared" si="315"/>
        <v>20223333.555152789</v>
      </c>
      <c r="R334" s="4">
        <f t="shared" si="316"/>
        <v>56979087.494944744</v>
      </c>
      <c r="S334" s="4">
        <f t="shared" si="316"/>
        <v>154446777.87649685</v>
      </c>
      <c r="T334" s="4">
        <f t="shared" si="316"/>
        <v>202410893.47973916</v>
      </c>
      <c r="U334" s="4">
        <f t="shared" si="316"/>
        <v>262415001.66691062</v>
      </c>
      <c r="V334" s="4">
        <f t="shared" si="316"/>
        <v>355512244.73193038</v>
      </c>
      <c r="W334" s="4">
        <f t="shared" si="316"/>
        <v>411903283.55131447</v>
      </c>
      <c r="X334" s="4">
        <f t="shared" si="316"/>
        <v>515939900.55258411</v>
      </c>
      <c r="Y334" s="4">
        <f t="shared" si="316"/>
        <v>538791882.46172917</v>
      </c>
      <c r="Z334" s="4">
        <f t="shared" si="316"/>
        <v>585518802.14841163</v>
      </c>
      <c r="AA334" s="4">
        <f t="shared" si="316"/>
        <v>611830248.44069135</v>
      </c>
      <c r="AB334" s="4">
        <f t="shared" si="316"/>
        <v>472940604.86853898</v>
      </c>
      <c r="AC334" s="4">
        <f t="shared" si="316"/>
        <v>515030164.72771519</v>
      </c>
      <c r="AD334" s="4">
        <f t="shared" si="316"/>
        <v>578586018.2915113</v>
      </c>
      <c r="AE334" s="4">
        <f t="shared" si="316"/>
        <v>577044010.81661201</v>
      </c>
      <c r="AF334" s="4">
        <f t="shared" si="316"/>
        <v>573360524.79421484</v>
      </c>
      <c r="AG334" s="4">
        <f t="shared" si="316"/>
        <v>598013443.49350882</v>
      </c>
      <c r="AH334" s="4">
        <f t="shared" si="316"/>
        <v>617390805.59099126</v>
      </c>
      <c r="AI334" s="4">
        <f t="shared" si="316"/>
        <v>631579134.77789879</v>
      </c>
      <c r="AJ334" s="4">
        <f t="shared" si="316"/>
        <v>638794277.7892096</v>
      </c>
      <c r="AK334" s="4">
        <f t="shared" si="316"/>
        <v>657775923.47029114</v>
      </c>
      <c r="AL334" s="4">
        <f t="shared" si="316"/>
        <v>693790418.43302131</v>
      </c>
      <c r="AM334" s="4">
        <f t="shared" ref="AM334:AQ336" si="324">AM350+AM382</f>
        <v>718841028.67455041</v>
      </c>
      <c r="AN334" s="4">
        <f t="shared" si="324"/>
        <v>719663281.76985824</v>
      </c>
      <c r="AO334" s="4">
        <f t="shared" si="324"/>
        <v>718460667.8787055</v>
      </c>
      <c r="AP334" s="4">
        <f t="shared" si="324"/>
        <v>735350840.53289282</v>
      </c>
      <c r="AQ334" s="4">
        <f t="shared" si="324"/>
        <v>825565495.81296849</v>
      </c>
      <c r="AR334" s="4"/>
      <c r="AS334" s="94"/>
      <c r="AT334" s="121">
        <f t="shared" si="319"/>
        <v>3.3847223989087905E-2</v>
      </c>
      <c r="AU334" s="197"/>
      <c r="AV334" s="194"/>
      <c r="AW334" s="194"/>
      <c r="AX334" s="194"/>
      <c r="AY334" s="195"/>
      <c r="AZ334" s="196"/>
      <c r="BA334" s="195">
        <v>152816519.91490614</v>
      </c>
      <c r="BB334" s="195">
        <f t="shared" si="323"/>
        <v>-152599945.91490614</v>
      </c>
      <c r="BC334" s="195">
        <v>173289693.89777201</v>
      </c>
      <c r="BD334" s="195">
        <f t="shared" si="321"/>
        <v>-173101277.89777201</v>
      </c>
      <c r="BE334" s="195">
        <v>149277371.44355991</v>
      </c>
      <c r="BF334" s="195">
        <f t="shared" si="322"/>
        <v>-148839630.44355991</v>
      </c>
      <c r="BG334" s="195">
        <v>137891779.86776355</v>
      </c>
      <c r="BH334" s="197">
        <f>(BH333/BH330)-1</f>
        <v>0.28049917986135608</v>
      </c>
      <c r="BI334" s="3"/>
      <c r="BJ334" s="4">
        <v>11890220.34403912</v>
      </c>
      <c r="BK334" s="3">
        <f t="shared" si="317"/>
        <v>-2623879.3440391198</v>
      </c>
      <c r="BL334" s="3">
        <v>29425187.381485395</v>
      </c>
      <c r="BM334" s="177">
        <f t="shared" si="318"/>
        <v>-9201853.8263326064</v>
      </c>
      <c r="BN334" s="3"/>
      <c r="BR334" s="3"/>
      <c r="BS334" s="3"/>
      <c r="BT334" s="3"/>
      <c r="BU334" s="3"/>
      <c r="BV334" s="3"/>
      <c r="BW334" s="3"/>
      <c r="BX334" s="3"/>
      <c r="BY334" s="3"/>
      <c r="BZ334" s="3"/>
      <c r="CA334" s="3"/>
      <c r="CB334" s="3"/>
      <c r="CC334" s="4"/>
      <c r="CD334" s="3"/>
      <c r="CE334" s="3"/>
      <c r="CF334" s="3"/>
      <c r="CG334" s="3"/>
      <c r="CH334" s="3"/>
      <c r="CI334" s="3"/>
      <c r="CJ334" s="3"/>
      <c r="CK334" s="3"/>
      <c r="CL334" s="3"/>
      <c r="CM334" s="3"/>
      <c r="CN334" s="3"/>
      <c r="CO334" s="3"/>
      <c r="CP334" s="3"/>
    </row>
    <row r="335" spans="1:94">
      <c r="A335" s="2" t="s">
        <v>53</v>
      </c>
      <c r="B335" s="3">
        <f t="shared" si="315"/>
        <v>0</v>
      </c>
      <c r="C335" s="3">
        <f t="shared" si="315"/>
        <v>0</v>
      </c>
      <c r="D335" s="3">
        <f t="shared" si="315"/>
        <v>0</v>
      </c>
      <c r="E335" s="3">
        <f t="shared" si="315"/>
        <v>0</v>
      </c>
      <c r="F335" s="3">
        <f t="shared" si="315"/>
        <v>0</v>
      </c>
      <c r="G335" s="3">
        <f t="shared" si="315"/>
        <v>0</v>
      </c>
      <c r="H335" s="3">
        <f t="shared" si="315"/>
        <v>192991</v>
      </c>
      <c r="I335" s="3">
        <f t="shared" si="315"/>
        <v>68957</v>
      </c>
      <c r="J335" s="3">
        <f t="shared" si="315"/>
        <v>152783</v>
      </c>
      <c r="K335" s="3">
        <f t="shared" si="315"/>
        <v>91175</v>
      </c>
      <c r="L335" s="3">
        <f t="shared" si="315"/>
        <v>188201</v>
      </c>
      <c r="M335" s="3">
        <f t="shared" si="315"/>
        <v>403482</v>
      </c>
      <c r="N335" s="3">
        <f t="shared" si="315"/>
        <v>152226</v>
      </c>
      <c r="O335" s="3">
        <f>O351+O383</f>
        <v>0</v>
      </c>
      <c r="P335" s="3">
        <f t="shared" si="315"/>
        <v>3655714</v>
      </c>
      <c r="Q335" s="4">
        <f t="shared" si="315"/>
        <v>20123971.125173315</v>
      </c>
      <c r="R335" s="4">
        <f t="shared" ref="R335:AP336" si="325">R351+R383</f>
        <v>48164797.349602126</v>
      </c>
      <c r="S335" s="4">
        <f t="shared" si="325"/>
        <v>133043937.76577485</v>
      </c>
      <c r="T335" s="4">
        <f t="shared" si="325"/>
        <v>174602860.39938071</v>
      </c>
      <c r="U335" s="4">
        <f t="shared" si="325"/>
        <v>225879709.25137934</v>
      </c>
      <c r="V335" s="4">
        <f t="shared" si="325"/>
        <v>307527381.62205279</v>
      </c>
      <c r="W335" s="4">
        <f t="shared" si="325"/>
        <v>355278001.20339346</v>
      </c>
      <c r="X335" s="4">
        <f t="shared" si="325"/>
        <v>445595739.02338171</v>
      </c>
      <c r="Y335" s="4">
        <f t="shared" si="325"/>
        <v>465404449.19100988</v>
      </c>
      <c r="Z335" s="4">
        <f t="shared" si="325"/>
        <v>505792693.43018126</v>
      </c>
      <c r="AA335" s="4">
        <f t="shared" si="325"/>
        <v>528621390.94683194</v>
      </c>
      <c r="AB335" s="4">
        <f t="shared" si="325"/>
        <v>408354490.67827815</v>
      </c>
      <c r="AC335" s="4">
        <f t="shared" si="325"/>
        <v>444815499.4983936</v>
      </c>
      <c r="AD335" s="4">
        <f t="shared" si="325"/>
        <v>499806183.71295327</v>
      </c>
      <c r="AE335" s="4">
        <f t="shared" si="325"/>
        <v>498563868.8264128</v>
      </c>
      <c r="AF335" s="4">
        <f t="shared" si="325"/>
        <v>495413625.3095938</v>
      </c>
      <c r="AG335" s="4">
        <f t="shared" si="325"/>
        <v>516712549.78378665</v>
      </c>
      <c r="AH335" s="4">
        <f t="shared" si="325"/>
        <v>533466114.97746742</v>
      </c>
      <c r="AI335" s="4">
        <f t="shared" si="325"/>
        <v>545728418.89480829</v>
      </c>
      <c r="AJ335" s="4">
        <f t="shared" si="325"/>
        <v>551962576.0185771</v>
      </c>
      <c r="AK335" s="4">
        <f t="shared" si="325"/>
        <v>568362351.65299749</v>
      </c>
      <c r="AL335" s="4">
        <f t="shared" si="325"/>
        <v>599479440.28035152</v>
      </c>
      <c r="AM335" s="4">
        <f t="shared" si="325"/>
        <v>621126869.43814158</v>
      </c>
      <c r="AN335" s="4">
        <f t="shared" si="325"/>
        <v>621837557.27874005</v>
      </c>
      <c r="AO335" s="4">
        <f t="shared" si="325"/>
        <v>620798103.85034108</v>
      </c>
      <c r="AP335" s="4">
        <f t="shared" si="325"/>
        <v>635392015.41745877</v>
      </c>
      <c r="AQ335" s="4">
        <f t="shared" si="324"/>
        <v>713343424.30068684</v>
      </c>
      <c r="AR335" s="4"/>
      <c r="AS335" s="94"/>
      <c r="AT335" s="121">
        <f t="shared" si="319"/>
        <v>-4.9132567441709796E-3</v>
      </c>
      <c r="AU335" s="197"/>
      <c r="AV335" s="194"/>
      <c r="AW335" s="194"/>
      <c r="AX335" s="194"/>
      <c r="AY335" s="195"/>
      <c r="AZ335" s="196"/>
      <c r="BA335" s="195">
        <v>130353452.30666322</v>
      </c>
      <c r="BB335" s="195">
        <f t="shared" si="323"/>
        <v>-130262277.30666322</v>
      </c>
      <c r="BC335" s="195">
        <v>133413302.04905352</v>
      </c>
      <c r="BD335" s="195">
        <f t="shared" si="321"/>
        <v>-133225101.04905352</v>
      </c>
      <c r="BE335" s="195">
        <v>141356362.87740099</v>
      </c>
      <c r="BF335" s="195">
        <f t="shared" si="322"/>
        <v>-140952880.87740099</v>
      </c>
      <c r="BG335" s="195">
        <v>142499844.22919351</v>
      </c>
      <c r="BH335" s="195"/>
      <c r="BI335" s="3"/>
      <c r="BJ335" s="4">
        <v>11463662.452153351</v>
      </c>
      <c r="BK335" s="3">
        <f t="shared" si="317"/>
        <v>-7807948.4521533512</v>
      </c>
      <c r="BL335" s="3">
        <v>25858486.730744932</v>
      </c>
      <c r="BM335" s="177">
        <f t="shared" si="318"/>
        <v>-5734515.6055716164</v>
      </c>
      <c r="BN335" s="3"/>
      <c r="BR335" s="3"/>
      <c r="BS335" s="3"/>
      <c r="BT335" s="3"/>
      <c r="BU335" s="3"/>
      <c r="BV335" s="3"/>
      <c r="BW335" s="3"/>
      <c r="BX335" s="3"/>
      <c r="BY335" s="3"/>
      <c r="BZ335" s="3"/>
      <c r="CA335" s="3"/>
      <c r="CB335" s="3"/>
      <c r="CC335" s="4"/>
      <c r="CD335" s="3"/>
      <c r="CE335" s="3"/>
      <c r="CF335" s="3"/>
      <c r="CG335" s="3"/>
      <c r="CH335" s="3"/>
      <c r="CI335" s="3"/>
      <c r="CJ335" s="3"/>
      <c r="CK335" s="3"/>
      <c r="CL335" s="3"/>
      <c r="CM335" s="3"/>
      <c r="CN335" s="3"/>
      <c r="CO335" s="3"/>
      <c r="CP335" s="3"/>
    </row>
    <row r="336" spans="1:94">
      <c r="A336" s="2" t="s">
        <v>54</v>
      </c>
      <c r="B336" s="3">
        <f t="shared" si="315"/>
        <v>0</v>
      </c>
      <c r="C336" s="3">
        <f t="shared" si="315"/>
        <v>0</v>
      </c>
      <c r="D336" s="3">
        <f t="shared" si="315"/>
        <v>0</v>
      </c>
      <c r="E336" s="3">
        <f t="shared" si="315"/>
        <v>0</v>
      </c>
      <c r="F336" s="3">
        <f t="shared" si="315"/>
        <v>0</v>
      </c>
      <c r="G336" s="3">
        <f t="shared" si="315"/>
        <v>0</v>
      </c>
      <c r="H336" s="3">
        <f t="shared" si="315"/>
        <v>178772</v>
      </c>
      <c r="I336" s="3">
        <f t="shared" si="315"/>
        <v>201266</v>
      </c>
      <c r="J336" s="3">
        <f t="shared" si="315"/>
        <v>272240</v>
      </c>
      <c r="K336" s="3">
        <f t="shared" si="315"/>
        <v>137333</v>
      </c>
      <c r="L336" s="3">
        <f t="shared" si="315"/>
        <v>194662</v>
      </c>
      <c r="M336" s="3">
        <f t="shared" si="315"/>
        <v>308503</v>
      </c>
      <c r="N336" s="3">
        <f t="shared" si="315"/>
        <v>1543846</v>
      </c>
      <c r="O336" s="3">
        <f>O352+O384</f>
        <v>2422129</v>
      </c>
      <c r="P336" s="3">
        <f t="shared" si="315"/>
        <v>5564685</v>
      </c>
      <c r="Q336" s="4">
        <f t="shared" si="315"/>
        <v>17062339.941113248</v>
      </c>
      <c r="R336" s="4">
        <f t="shared" si="325"/>
        <v>43520641.180795692</v>
      </c>
      <c r="S336" s="4">
        <f t="shared" si="325"/>
        <v>119092501.60839956</v>
      </c>
      <c r="T336" s="4">
        <f t="shared" si="325"/>
        <v>157005083.24319091</v>
      </c>
      <c r="U336" s="4">
        <f t="shared" si="325"/>
        <v>203358520.52710912</v>
      </c>
      <c r="V336" s="4">
        <f t="shared" si="325"/>
        <v>276075783.68819708</v>
      </c>
      <c r="W336" s="4">
        <f t="shared" si="325"/>
        <v>319237069.65708202</v>
      </c>
      <c r="X336" s="4">
        <f t="shared" si="325"/>
        <v>400302653.62388659</v>
      </c>
      <c r="Y336" s="4">
        <f t="shared" si="325"/>
        <v>418238282.08050859</v>
      </c>
      <c r="Z336" s="4">
        <f t="shared" si="325"/>
        <v>454506628.32126623</v>
      </c>
      <c r="AA336" s="4">
        <f t="shared" si="325"/>
        <v>474936299.98842728</v>
      </c>
      <c r="AB336" s="4">
        <f t="shared" si="325"/>
        <v>366915672.78283215</v>
      </c>
      <c r="AC336" s="4">
        <f t="shared" si="325"/>
        <v>399673796.39598131</v>
      </c>
      <c r="AD336" s="4">
        <f t="shared" si="325"/>
        <v>449099730.41624707</v>
      </c>
      <c r="AE336" s="4">
        <f t="shared" si="325"/>
        <v>447974187.91155297</v>
      </c>
      <c r="AF336" s="4">
        <f t="shared" si="325"/>
        <v>445136769.02387118</v>
      </c>
      <c r="AG336" s="4">
        <f t="shared" si="325"/>
        <v>464280954.23693538</v>
      </c>
      <c r="AH336" s="4">
        <f t="shared" si="325"/>
        <v>479334886.1594367</v>
      </c>
      <c r="AI336" s="4">
        <f t="shared" si="325"/>
        <v>490353846.55170214</v>
      </c>
      <c r="AJ336" s="4">
        <f t="shared" si="325"/>
        <v>495953320.5968008</v>
      </c>
      <c r="AK336" s="4">
        <f t="shared" si="325"/>
        <v>510688610.56693208</v>
      </c>
      <c r="AL336" s="4">
        <f t="shared" si="325"/>
        <v>538649305.60635626</v>
      </c>
      <c r="AM336" s="4">
        <f t="shared" si="325"/>
        <v>558100124.34282148</v>
      </c>
      <c r="AN336" s="4">
        <f t="shared" si="325"/>
        <v>558738603.15538108</v>
      </c>
      <c r="AO336" s="4">
        <f t="shared" si="325"/>
        <v>557804320.40282571</v>
      </c>
      <c r="AP336" s="4">
        <f t="shared" si="325"/>
        <v>570917432.02633893</v>
      </c>
      <c r="AQ336" s="4">
        <f t="shared" si="324"/>
        <v>640959129.47048831</v>
      </c>
      <c r="AR336" s="4"/>
      <c r="AS336" s="94"/>
      <c r="AT336" s="121">
        <f t="shared" si="319"/>
        <v>-0.15213852002750272</v>
      </c>
      <c r="AU336" s="197"/>
      <c r="AV336" s="194"/>
      <c r="AW336" s="194"/>
      <c r="AX336" s="194"/>
      <c r="AY336" s="195"/>
      <c r="AZ336" s="196"/>
      <c r="BA336" s="195">
        <v>169422997</v>
      </c>
      <c r="BB336" s="195">
        <f t="shared" si="323"/>
        <v>-169285664</v>
      </c>
      <c r="BC336" s="195">
        <v>167631897</v>
      </c>
      <c r="BD336" s="195">
        <f t="shared" si="321"/>
        <v>-167437235</v>
      </c>
      <c r="BE336" s="195">
        <v>179824533</v>
      </c>
      <c r="BF336" s="195">
        <f t="shared" si="322"/>
        <v>-179516030</v>
      </c>
      <c r="BG336" s="195">
        <v>179383712.03590918</v>
      </c>
      <c r="BH336" s="194">
        <f>SUM(P334:P336)</f>
        <v>18486740</v>
      </c>
      <c r="BI336" s="3"/>
      <c r="BJ336" s="4">
        <v>12259026.009802796</v>
      </c>
      <c r="BK336" s="3">
        <f t="shared" si="317"/>
        <v>-6694341.0098027959</v>
      </c>
      <c r="BL336" s="3">
        <v>14411161.917332597</v>
      </c>
      <c r="BM336" s="177">
        <f t="shared" si="318"/>
        <v>2651178.0237806514</v>
      </c>
      <c r="BN336" s="3"/>
      <c r="BR336" s="3"/>
      <c r="BS336" s="3"/>
      <c r="BT336" s="3"/>
      <c r="BU336" s="3"/>
      <c r="BV336" s="3"/>
      <c r="BW336" s="3"/>
      <c r="BX336" s="3"/>
      <c r="BY336" s="3"/>
      <c r="BZ336" s="3"/>
      <c r="CA336" s="3"/>
      <c r="CB336" s="3"/>
      <c r="CC336" s="4"/>
      <c r="CD336" s="3"/>
      <c r="CE336" s="3"/>
      <c r="CF336" s="3"/>
      <c r="CG336" s="3"/>
      <c r="CH336" s="3"/>
      <c r="CI336" s="3"/>
      <c r="CJ336" s="3"/>
      <c r="CK336" s="3"/>
      <c r="CL336" s="3"/>
      <c r="CM336" s="3"/>
      <c r="CN336" s="3"/>
      <c r="CO336" s="3"/>
      <c r="CP336" s="3"/>
    </row>
    <row r="337" spans="1:94" ht="13.5" thickBot="1">
      <c r="A337" s="2" t="s">
        <v>29</v>
      </c>
      <c r="B337" s="3">
        <f>SUM(B325:B336)</f>
        <v>0</v>
      </c>
      <c r="C337" s="3">
        <f t="shared" ref="C337:AQ337" si="326">SUM(C325:C336)</f>
        <v>0</v>
      </c>
      <c r="D337" s="3">
        <f t="shared" si="326"/>
        <v>0</v>
      </c>
      <c r="E337" s="3">
        <f t="shared" si="326"/>
        <v>0</v>
      </c>
      <c r="F337" s="3">
        <f t="shared" si="326"/>
        <v>0</v>
      </c>
      <c r="G337" s="3">
        <f t="shared" si="326"/>
        <v>0</v>
      </c>
      <c r="H337" s="3">
        <f t="shared" si="326"/>
        <v>783646</v>
      </c>
      <c r="I337" s="3">
        <f t="shared" si="326"/>
        <v>1711017</v>
      </c>
      <c r="J337" s="3">
        <f t="shared" si="326"/>
        <v>1828178</v>
      </c>
      <c r="K337" s="3">
        <f t="shared" si="326"/>
        <v>2428702</v>
      </c>
      <c r="L337" s="3">
        <f t="shared" si="326"/>
        <v>4608399</v>
      </c>
      <c r="M337" s="3">
        <f t="shared" si="326"/>
        <v>5076623</v>
      </c>
      <c r="N337" s="3">
        <f t="shared" si="326"/>
        <v>15819877</v>
      </c>
      <c r="O337" s="3">
        <f t="shared" si="326"/>
        <v>24474789</v>
      </c>
      <c r="P337" s="3">
        <f t="shared" si="326"/>
        <v>111821187</v>
      </c>
      <c r="Q337" s="4">
        <f t="shared" si="326"/>
        <v>199544849.77585417</v>
      </c>
      <c r="R337" s="4">
        <f t="shared" si="326"/>
        <v>506973447.51700842</v>
      </c>
      <c r="S337" s="4">
        <f t="shared" si="326"/>
        <v>1391275926.240958</v>
      </c>
      <c r="T337" s="4">
        <f t="shared" si="326"/>
        <v>1822933985.5028818</v>
      </c>
      <c r="U337" s="4">
        <f t="shared" si="326"/>
        <v>2375931690.9541168</v>
      </c>
      <c r="V337" s="4">
        <f t="shared" si="326"/>
        <v>3211344302.6346588</v>
      </c>
      <c r="W337" s="4">
        <f t="shared" si="326"/>
        <v>3713997976.9591808</v>
      </c>
      <c r="X337" s="4">
        <f t="shared" si="326"/>
        <v>4652809727.3923969</v>
      </c>
      <c r="Y337" s="4">
        <f t="shared" si="326"/>
        <v>4859432478.8126516</v>
      </c>
      <c r="Z337" s="4">
        <f t="shared" si="326"/>
        <v>5281948378.1975994</v>
      </c>
      <c r="AA337" s="4">
        <f t="shared" si="326"/>
        <v>5518016093.4527254</v>
      </c>
      <c r="AB337" s="4">
        <f t="shared" si="326"/>
        <v>4266137855.4501648</v>
      </c>
      <c r="AC337" s="4">
        <f t="shared" si="326"/>
        <v>4645709430.6949425</v>
      </c>
      <c r="AD337" s="4">
        <f t="shared" si="326"/>
        <v>5218424954.6126175</v>
      </c>
      <c r="AE337" s="4">
        <f t="shared" si="326"/>
        <v>5203839370.6424284</v>
      </c>
      <c r="AF337" s="4">
        <f t="shared" si="326"/>
        <v>5170171339.4643345</v>
      </c>
      <c r="AG337" s="4">
        <f t="shared" si="326"/>
        <v>5392342464.6620169</v>
      </c>
      <c r="AH337" s="4">
        <f t="shared" si="326"/>
        <v>5567151737.2504787</v>
      </c>
      <c r="AI337" s="4">
        <f t="shared" si="326"/>
        <v>5695093705.7201214</v>
      </c>
      <c r="AJ337" s="4">
        <f t="shared" si="326"/>
        <v>5760136815.4347754</v>
      </c>
      <c r="AK337" s="4">
        <f t="shared" si="326"/>
        <v>5931275417.8713293</v>
      </c>
      <c r="AL337" s="4">
        <f t="shared" si="326"/>
        <v>6256035650.7877865</v>
      </c>
      <c r="AM337" s="4">
        <f t="shared" si="326"/>
        <v>6481933723.3978128</v>
      </c>
      <c r="AN337" s="4">
        <f t="shared" si="326"/>
        <v>6489344908.4954033</v>
      </c>
      <c r="AO337" s="4">
        <f t="shared" si="326"/>
        <v>6478496340.6966381</v>
      </c>
      <c r="AP337" s="4">
        <f t="shared" si="326"/>
        <v>6630796675.0436459</v>
      </c>
      <c r="AQ337" s="4">
        <f t="shared" si="326"/>
        <v>7444282313.6806059</v>
      </c>
      <c r="AR337" s="4"/>
      <c r="AS337" s="94"/>
      <c r="AT337" s="194"/>
      <c r="AU337" s="194"/>
      <c r="AV337" s="194"/>
      <c r="AW337" s="194"/>
      <c r="AX337" s="194"/>
      <c r="AY337" s="195"/>
      <c r="AZ337" s="196"/>
      <c r="BA337" s="195">
        <v>1743500000</v>
      </c>
      <c r="BB337" s="195">
        <f t="shared" si="323"/>
        <v>-1741071298</v>
      </c>
      <c r="BC337" s="195">
        <v>1815449146</v>
      </c>
      <c r="BD337" s="195">
        <f t="shared" si="321"/>
        <v>-1810840747</v>
      </c>
      <c r="BE337" s="195">
        <v>1717327970</v>
      </c>
      <c r="BF337" s="195">
        <f t="shared" si="322"/>
        <v>-1712251347</v>
      </c>
      <c r="BG337" s="195">
        <v>1653807613.0359092</v>
      </c>
      <c r="BH337" s="197">
        <f>(BH336/BH333)-1</f>
        <v>-0.55887515136960975</v>
      </c>
      <c r="BI337" s="3"/>
      <c r="BJ337" s="4">
        <v>119845486.1111111</v>
      </c>
      <c r="BK337" s="3">
        <f t="shared" si="317"/>
        <v>-8024299.1111111045</v>
      </c>
      <c r="BL337" s="3">
        <v>259349785.39407733</v>
      </c>
      <c r="BM337" s="177">
        <f t="shared" si="318"/>
        <v>-59804935.618223161</v>
      </c>
      <c r="BN337" s="3"/>
      <c r="BR337" s="3"/>
      <c r="BS337" s="3"/>
      <c r="BT337" s="3"/>
      <c r="BU337" s="3"/>
      <c r="BV337" s="3"/>
      <c r="BW337" s="3"/>
      <c r="BX337" s="3"/>
      <c r="BY337" s="3"/>
      <c r="BZ337" s="3"/>
      <c r="CA337" s="3"/>
      <c r="CB337" s="3"/>
      <c r="CC337" s="4"/>
      <c r="CD337" s="3"/>
      <c r="CE337" s="3"/>
      <c r="CF337" s="3"/>
      <c r="CG337" s="3"/>
      <c r="CH337" s="3"/>
      <c r="CI337" s="3"/>
      <c r="CJ337" s="3"/>
      <c r="CK337" s="3"/>
      <c r="CL337" s="3"/>
      <c r="CM337" s="3"/>
      <c r="CN337" s="3"/>
      <c r="CO337" s="3"/>
      <c r="CP337" s="3"/>
    </row>
    <row r="338" spans="1:94">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c r="W338" s="114"/>
      <c r="X338" s="114"/>
      <c r="Y338" s="114"/>
      <c r="Z338" s="114"/>
      <c r="AA338" s="114"/>
      <c r="AB338" s="114"/>
      <c r="AC338" s="114"/>
      <c r="AD338" s="114"/>
      <c r="AE338" s="114"/>
      <c r="AF338" s="114"/>
      <c r="AG338" s="114"/>
      <c r="AH338" s="114"/>
      <c r="AI338" s="114"/>
      <c r="AJ338" s="114"/>
      <c r="AK338" s="114"/>
      <c r="AL338" s="114"/>
      <c r="AM338" s="114"/>
      <c r="AN338" s="114"/>
      <c r="AO338" s="114"/>
      <c r="AP338" s="114"/>
      <c r="AQ338" s="114"/>
      <c r="AX338" s="4"/>
      <c r="AY338" s="3"/>
      <c r="BE338" s="4"/>
    </row>
    <row r="339" spans="1:94" ht="16.5" thickBot="1">
      <c r="A339" s="109" t="s">
        <v>327</v>
      </c>
      <c r="N339" s="2" t="s">
        <v>328</v>
      </c>
      <c r="AX339" s="4"/>
      <c r="AY339" s="3"/>
      <c r="BE339" s="4"/>
    </row>
    <row r="340" spans="1:94" ht="14.25" thickBot="1">
      <c r="A340" s="110"/>
      <c r="B340" s="111">
        <f t="shared" ref="B340:K340" si="327">B2</f>
        <v>2010</v>
      </c>
      <c r="C340" s="111">
        <f t="shared" si="327"/>
        <v>2011</v>
      </c>
      <c r="D340" s="111">
        <f t="shared" si="327"/>
        <v>2012</v>
      </c>
      <c r="E340" s="111">
        <f t="shared" si="327"/>
        <v>2013</v>
      </c>
      <c r="F340" s="111">
        <f t="shared" si="327"/>
        <v>2014</v>
      </c>
      <c r="G340" s="111">
        <f t="shared" si="327"/>
        <v>2015</v>
      </c>
      <c r="H340" s="111">
        <f t="shared" si="327"/>
        <v>2016</v>
      </c>
      <c r="I340" s="111">
        <f t="shared" si="327"/>
        <v>2017</v>
      </c>
      <c r="J340" s="111">
        <f t="shared" si="327"/>
        <v>2018</v>
      </c>
      <c r="K340" s="111">
        <f t="shared" si="327"/>
        <v>2019</v>
      </c>
      <c r="L340" s="111">
        <f>L2</f>
        <v>2020</v>
      </c>
      <c r="M340" s="111">
        <f>M2</f>
        <v>2021</v>
      </c>
      <c r="N340" s="111">
        <f t="shared" ref="N340:AQ340" si="328">N2</f>
        <v>2022</v>
      </c>
      <c r="O340" s="111">
        <f t="shared" si="328"/>
        <v>2023</v>
      </c>
      <c r="P340" s="111">
        <f t="shared" si="328"/>
        <v>2024</v>
      </c>
      <c r="Q340" s="111">
        <f t="shared" si="328"/>
        <v>2025</v>
      </c>
      <c r="R340" s="111">
        <f t="shared" si="328"/>
        <v>2026</v>
      </c>
      <c r="S340" s="111">
        <f t="shared" si="328"/>
        <v>2027</v>
      </c>
      <c r="T340" s="111">
        <f t="shared" si="328"/>
        <v>2028</v>
      </c>
      <c r="U340" s="111">
        <f t="shared" si="328"/>
        <v>2029</v>
      </c>
      <c r="V340" s="111">
        <f t="shared" si="328"/>
        <v>2030</v>
      </c>
      <c r="W340" s="111">
        <f t="shared" si="328"/>
        <v>2031</v>
      </c>
      <c r="X340" s="111">
        <f t="shared" si="328"/>
        <v>2032</v>
      </c>
      <c r="Y340" s="111">
        <f t="shared" si="328"/>
        <v>2033</v>
      </c>
      <c r="Z340" s="111">
        <f t="shared" si="328"/>
        <v>2034</v>
      </c>
      <c r="AA340" s="111">
        <f t="shared" si="328"/>
        <v>2035</v>
      </c>
      <c r="AB340" s="111">
        <f t="shared" si="328"/>
        <v>2036</v>
      </c>
      <c r="AC340" s="111">
        <f t="shared" si="328"/>
        <v>2037</v>
      </c>
      <c r="AD340" s="111">
        <f t="shared" si="328"/>
        <v>2038</v>
      </c>
      <c r="AE340" s="111">
        <f t="shared" si="328"/>
        <v>2039</v>
      </c>
      <c r="AF340" s="111">
        <f t="shared" si="328"/>
        <v>2040</v>
      </c>
      <c r="AG340" s="111">
        <f t="shared" si="328"/>
        <v>2041</v>
      </c>
      <c r="AH340" s="111">
        <f t="shared" si="328"/>
        <v>2042</v>
      </c>
      <c r="AI340" s="111">
        <f t="shared" si="328"/>
        <v>2043</v>
      </c>
      <c r="AJ340" s="111">
        <f t="shared" si="328"/>
        <v>2044</v>
      </c>
      <c r="AK340" s="111">
        <f t="shared" si="328"/>
        <v>2045</v>
      </c>
      <c r="AL340" s="111">
        <f t="shared" si="328"/>
        <v>2046</v>
      </c>
      <c r="AM340" s="111">
        <f t="shared" si="328"/>
        <v>2047</v>
      </c>
      <c r="AN340" s="111">
        <f t="shared" si="328"/>
        <v>2048</v>
      </c>
      <c r="AO340" s="111">
        <f t="shared" si="328"/>
        <v>2049</v>
      </c>
      <c r="AP340" s="111">
        <f t="shared" si="328"/>
        <v>2050</v>
      </c>
      <c r="AQ340" s="111">
        <f t="shared" si="328"/>
        <v>2051</v>
      </c>
      <c r="AR340" s="94"/>
      <c r="AS340" s="94"/>
      <c r="AT340" s="31" t="s">
        <v>36</v>
      </c>
      <c r="AU340" s="31"/>
      <c r="AV340" s="31"/>
      <c r="AW340" s="31"/>
      <c r="AX340" s="19"/>
      <c r="AY340" s="18"/>
      <c r="AZ340" s="14"/>
      <c r="BA340" s="14"/>
      <c r="BB340" s="18"/>
      <c r="BC340" s="14"/>
      <c r="BD340" s="14"/>
      <c r="BE340" s="19"/>
      <c r="BF340" s="14"/>
      <c r="BG340" s="14"/>
      <c r="BH340" s="14"/>
    </row>
    <row r="341" spans="1:94">
      <c r="A341" s="2" t="s">
        <v>43</v>
      </c>
      <c r="B341" s="3">
        <f>'Monthly D4 Gallon Data'!$AE2</f>
        <v>0</v>
      </c>
      <c r="C341" s="3">
        <f>'Monthly D4 Gallon Data'!$AE14</f>
        <v>0</v>
      </c>
      <c r="D341" s="3">
        <f>'Monthly D4 Gallon Data'!$AE26</f>
        <v>0</v>
      </c>
      <c r="E341" s="3">
        <f>'Monthly D4 Gallon Data'!$AE38</f>
        <v>0</v>
      </c>
      <c r="F341" s="3">
        <f>'Monthly D4 Gallon Data'!$AE50</f>
        <v>0</v>
      </c>
      <c r="G341" s="3">
        <f>'Monthly D4 Gallon Data'!$AE62</f>
        <v>0</v>
      </c>
      <c r="H341" s="3">
        <f>'Monthly D4 Gallon Data'!$AE74</f>
        <v>0</v>
      </c>
      <c r="I341" s="3">
        <f>'Monthly D4 Gallon Data'!$AE86</f>
        <v>210331</v>
      </c>
      <c r="J341" s="3">
        <f>'Monthly D4 Gallon Data'!$AE98</f>
        <v>139714</v>
      </c>
      <c r="K341" s="3">
        <f>'Monthly D4 Gallon Data'!$AE110</f>
        <v>194630</v>
      </c>
      <c r="L341" s="3">
        <f>'Monthly D4 Gallon Data'!$AE122</f>
        <v>41590</v>
      </c>
      <c r="M341" s="3">
        <f>'Monthly D4 Gallon Data'!$AE134</f>
        <v>289825</v>
      </c>
      <c r="N341" s="3">
        <f>'Monthly D4 Gallon Data'!$AE146</f>
        <v>402120</v>
      </c>
      <c r="O341" s="3">
        <f>'Monthly D4 Gallon Data'!$AE158</f>
        <v>100937</v>
      </c>
      <c r="P341" s="3">
        <f>'Monthly D4 Gallon Data'!$AE170</f>
        <v>833897</v>
      </c>
      <c r="Q341" s="3">
        <f>'Monthly D4 Gallon Data'!$AE182</f>
        <v>8475344</v>
      </c>
      <c r="R341" s="4">
        <f>(SUM(M341:Q341)/SUM(M$353:Q$353))*R$353+1000000</f>
        <v>23893126.179649942</v>
      </c>
      <c r="S341" s="4">
        <f>(SUM(N341:R341)/SUM(N$353:R$353))*S$353+700000</f>
        <v>68451166.585377201</v>
      </c>
      <c r="T341" s="4">
        <f>(SUM(O341:S341)/SUM(O$353:S$353))*T$353</f>
        <v>89387901.643266886</v>
      </c>
      <c r="U341" s="4">
        <f t="shared" ref="R341:AD351" si="329">(SUM(P341:T341)/SUM(P$353:T$353))*U$353</f>
        <v>117385330.87423706</v>
      </c>
      <c r="V341" s="4">
        <f t="shared" si="329"/>
        <v>159261725.44323626</v>
      </c>
      <c r="W341" s="4">
        <f t="shared" si="329"/>
        <v>185466582.8150773</v>
      </c>
      <c r="X341" s="4">
        <f t="shared" si="329"/>
        <v>234587648.48402637</v>
      </c>
      <c r="Y341" s="4">
        <f t="shared" si="329"/>
        <v>245012961.90866026</v>
      </c>
      <c r="Z341" s="4">
        <f t="shared" si="329"/>
        <v>266411351.41822481</v>
      </c>
      <c r="AA341" s="4">
        <f t="shared" si="329"/>
        <v>278358621.71511191</v>
      </c>
      <c r="AB341" s="4">
        <f t="shared" si="329"/>
        <v>214097894.14772648</v>
      </c>
      <c r="AC341" s="4">
        <f t="shared" si="329"/>
        <v>233718178.31806746</v>
      </c>
      <c r="AD341" s="4">
        <f t="shared" si="329"/>
        <v>263183367.04348183</v>
      </c>
      <c r="AE341" s="4">
        <f t="shared" ref="AE341:AE351" si="330">(SUM(Z341:AD341)/SUM(Z$353:AD$353))*AE$353</f>
        <v>263103099.37063354</v>
      </c>
      <c r="AF341" s="4">
        <f t="shared" ref="AF341:AQ351" si="331">(SUM(AA341:AE341)/SUM(AA$353:AE$353))*AF$353</f>
        <v>261654578.54580531</v>
      </c>
      <c r="AG341" s="4">
        <f t="shared" si="331"/>
        <v>273020100.644651</v>
      </c>
      <c r="AH341" s="4">
        <f t="shared" si="331"/>
        <v>281873905.02968735</v>
      </c>
      <c r="AI341" s="4">
        <f t="shared" si="331"/>
        <v>288354734.98635715</v>
      </c>
      <c r="AJ341" s="4">
        <f t="shared" si="331"/>
        <v>291649181.10102969</v>
      </c>
      <c r="AK341" s="4">
        <f t="shared" si="331"/>
        <v>300312804.89545679</v>
      </c>
      <c r="AL341" s="4">
        <f t="shared" si="331"/>
        <v>316754724.74837255</v>
      </c>
      <c r="AM341" s="4">
        <f t="shared" si="331"/>
        <v>328193303.39483994</v>
      </c>
      <c r="AN341" s="4">
        <f t="shared" si="331"/>
        <v>328569010.11343735</v>
      </c>
      <c r="AO341" s="4">
        <f t="shared" si="331"/>
        <v>328019659.05087328</v>
      </c>
      <c r="AP341" s="4">
        <f t="shared" si="331"/>
        <v>335730614.99024582</v>
      </c>
      <c r="AQ341" s="4">
        <f t="shared" si="331"/>
        <v>376918950.81091923</v>
      </c>
      <c r="AR341" s="4"/>
      <c r="AS341" s="4">
        <f>SUM(Q341:Q343)</f>
        <v>28048478</v>
      </c>
      <c r="AT341" s="121">
        <f>(Q341/P352)-1</f>
        <v>2.92178405936993</v>
      </c>
      <c r="AU341" s="121" t="s">
        <v>299</v>
      </c>
      <c r="AV341" s="194"/>
      <c r="AW341" s="194"/>
      <c r="AX341" s="194"/>
      <c r="AY341" s="195"/>
      <c r="AZ341" s="196"/>
      <c r="BA341" s="196"/>
      <c r="BB341" s="195"/>
      <c r="BC341" s="195">
        <v>108932143.44251604</v>
      </c>
      <c r="BD341" s="195">
        <f>L341-BC341</f>
        <v>-108890553.44251604</v>
      </c>
      <c r="BE341" s="195">
        <v>108507798.4385401</v>
      </c>
      <c r="BF341" s="195">
        <f>M341-BE341</f>
        <v>-108217973.4385401</v>
      </c>
      <c r="BG341" s="195">
        <v>81075407.426691353</v>
      </c>
      <c r="BH341" s="195"/>
      <c r="BI341" s="3"/>
      <c r="BJ341" s="3">
        <v>833897</v>
      </c>
      <c r="BK341" s="3">
        <f t="shared" ref="BK341:BK353" si="332">P341-BJ341</f>
        <v>0</v>
      </c>
      <c r="BL341" s="3">
        <v>8475344</v>
      </c>
      <c r="BM341" s="177">
        <f t="shared" ref="BM341:BM353" si="333">Q341-BL341</f>
        <v>0</v>
      </c>
      <c r="BN341" s="3"/>
      <c r="BR341" s="3"/>
      <c r="BS341" s="3"/>
      <c r="BT341" s="3"/>
      <c r="BU341" s="3"/>
      <c r="BV341" s="3"/>
      <c r="BW341" s="3"/>
      <c r="BX341" s="3"/>
      <c r="BY341" s="3"/>
      <c r="BZ341" s="3"/>
      <c r="CA341" s="3"/>
      <c r="CB341" s="3"/>
      <c r="CC341" s="4"/>
      <c r="CD341" s="3"/>
      <c r="CE341" s="3"/>
      <c r="CF341" s="3"/>
      <c r="CG341" s="3"/>
      <c r="CH341" s="3"/>
      <c r="CI341" s="3"/>
      <c r="CJ341" s="3"/>
      <c r="CK341" s="3"/>
      <c r="CL341" s="3"/>
      <c r="CM341" s="3"/>
      <c r="CN341" s="3"/>
      <c r="CO341" s="3"/>
      <c r="CP341" s="3"/>
    </row>
    <row r="342" spans="1:94">
      <c r="A342" s="2" t="s">
        <v>44</v>
      </c>
      <c r="B342" s="3">
        <f>'Monthly D4 Gallon Data'!$AE3</f>
        <v>0</v>
      </c>
      <c r="C342" s="3">
        <f>'Monthly D4 Gallon Data'!$AE15</f>
        <v>0</v>
      </c>
      <c r="D342" s="3">
        <f>'Monthly D4 Gallon Data'!$AE27</f>
        <v>0</v>
      </c>
      <c r="E342" s="3">
        <f>'Monthly D4 Gallon Data'!$AE39</f>
        <v>0</v>
      </c>
      <c r="F342" s="3">
        <f>'Monthly D4 Gallon Data'!$AE51</f>
        <v>0</v>
      </c>
      <c r="G342" s="3">
        <f>'Monthly D4 Gallon Data'!$AE63</f>
        <v>0</v>
      </c>
      <c r="H342" s="3">
        <f>'Monthly D4 Gallon Data'!$AE75</f>
        <v>0</v>
      </c>
      <c r="I342" s="3">
        <f>'Monthly D4 Gallon Data'!$AE87</f>
        <v>190622</v>
      </c>
      <c r="J342" s="3">
        <f>'Monthly D4 Gallon Data'!$AE99</f>
        <v>237996</v>
      </c>
      <c r="K342" s="3">
        <f>'Monthly D4 Gallon Data'!$AE111</f>
        <v>187609</v>
      </c>
      <c r="L342" s="3">
        <f>'Monthly D4 Gallon Data'!$AE123</f>
        <v>0</v>
      </c>
      <c r="M342" s="3">
        <f>'Monthly D4 Gallon Data'!$AE135</f>
        <v>294725</v>
      </c>
      <c r="N342" s="3">
        <f>'Monthly D4 Gallon Data'!$AE147</f>
        <v>1108870</v>
      </c>
      <c r="O342" s="3">
        <f>'Monthly D4 Gallon Data'!$AE159</f>
        <v>1578596</v>
      </c>
      <c r="P342" s="3">
        <f>'Monthly D4 Gallon Data'!$AE171</f>
        <v>1254939</v>
      </c>
      <c r="Q342" s="3">
        <f>'Monthly D4 Gallon Data'!$AE183</f>
        <v>15728119</v>
      </c>
      <c r="R342" s="4">
        <f t="shared" si="329"/>
        <v>45244644.57274276</v>
      </c>
      <c r="S342" s="4">
        <f>(SUM(N342:R342)/SUM(N$353:R$353))*S$353-600000</f>
        <v>129885775.12177198</v>
      </c>
      <c r="T342" s="4">
        <f t="shared" si="329"/>
        <v>170152013.0006552</v>
      </c>
      <c r="U342" s="4">
        <f t="shared" si="329"/>
        <v>222593880.73946691</v>
      </c>
      <c r="V342" s="4">
        <f t="shared" si="329"/>
        <v>302171663.15545493</v>
      </c>
      <c r="W342" s="4">
        <f t="shared" si="329"/>
        <v>352033441.4087075</v>
      </c>
      <c r="X342" s="4">
        <f t="shared" si="329"/>
        <v>445310372.95188993</v>
      </c>
      <c r="Y342" s="4">
        <f t="shared" si="329"/>
        <v>465116914.86002159</v>
      </c>
      <c r="Z342" s="4">
        <f t="shared" si="329"/>
        <v>505607053.25518018</v>
      </c>
      <c r="AA342" s="4">
        <f t="shared" si="329"/>
        <v>528328342.24558318</v>
      </c>
      <c r="AB342" s="4">
        <f t="shared" si="329"/>
        <v>406379956.00577486</v>
      </c>
      <c r="AC342" s="4">
        <f t="shared" si="329"/>
        <v>443621535.19489545</v>
      </c>
      <c r="AD342" s="4">
        <f t="shared" si="329"/>
        <v>499541357.99300319</v>
      </c>
      <c r="AE342" s="4">
        <f t="shared" si="330"/>
        <v>499375527.98162818</v>
      </c>
      <c r="AF342" s="4">
        <f t="shared" si="331"/>
        <v>496636149.71817642</v>
      </c>
      <c r="AG342" s="4">
        <f t="shared" si="331"/>
        <v>518211486.68275392</v>
      </c>
      <c r="AH342" s="4">
        <f t="shared" si="331"/>
        <v>535015112.55638307</v>
      </c>
      <c r="AI342" s="4">
        <f t="shared" si="331"/>
        <v>547314188.6058799</v>
      </c>
      <c r="AJ342" s="4">
        <f t="shared" si="331"/>
        <v>553566408.73780203</v>
      </c>
      <c r="AK342" s="4">
        <f t="shared" si="331"/>
        <v>570012347.69929874</v>
      </c>
      <c r="AL342" s="4">
        <f t="shared" si="331"/>
        <v>601220239.23310149</v>
      </c>
      <c r="AM342" s="4">
        <f t="shared" si="331"/>
        <v>622930866.45601022</v>
      </c>
      <c r="AN342" s="4">
        <f t="shared" si="331"/>
        <v>623643704.16930509</v>
      </c>
      <c r="AO342" s="4">
        <f t="shared" si="331"/>
        <v>622601088.24775302</v>
      </c>
      <c r="AP342" s="4">
        <f t="shared" si="331"/>
        <v>637237224.08494902</v>
      </c>
      <c r="AQ342" s="4">
        <f t="shared" si="331"/>
        <v>715415135.40490758</v>
      </c>
      <c r="AR342" s="4"/>
      <c r="AS342" s="4">
        <f>SUM(P341:P343)</f>
        <v>4208094</v>
      </c>
      <c r="AT342" s="121">
        <f t="shared" ref="AT342:AT352" si="334">(Q342/Q341)-1</f>
        <v>0.85574992590271259</v>
      </c>
      <c r="AU342" s="121" t="s">
        <v>300</v>
      </c>
      <c r="AV342" s="204">
        <f t="shared" ref="AV342:BG342" si="335">(SUM(L342:P342)/SUM(L341:P341))-1</f>
        <v>1.5396839667963143</v>
      </c>
      <c r="AW342" s="204">
        <f t="shared" si="335"/>
        <v>0.97634190357808959</v>
      </c>
      <c r="AX342" s="204">
        <f t="shared" si="335"/>
        <v>0.92595613770486462</v>
      </c>
      <c r="AY342" s="204">
        <f t="shared" si="335"/>
        <v>0.90352396546576541</v>
      </c>
      <c r="AZ342" s="204">
        <f t="shared" si="335"/>
        <v>0.89626658698902473</v>
      </c>
      <c r="BA342" s="204">
        <f t="shared" si="335"/>
        <v>0.89732757393209539</v>
      </c>
      <c r="BB342" s="204">
        <f t="shared" si="335"/>
        <v>0.89809633663067268</v>
      </c>
      <c r="BC342" s="204">
        <f t="shared" si="335"/>
        <v>0.89826862509435212</v>
      </c>
      <c r="BD342" s="204">
        <f t="shared" si="335"/>
        <v>0.89833595429704283</v>
      </c>
      <c r="BE342" s="204">
        <f t="shared" si="335"/>
        <v>0.89784350615546749</v>
      </c>
      <c r="BF342" s="204">
        <f t="shared" si="335"/>
        <v>0.89801321399810852</v>
      </c>
      <c r="BG342" s="204">
        <f t="shared" si="335"/>
        <v>0.89810347095415466</v>
      </c>
      <c r="BH342" s="195"/>
      <c r="BI342" s="3"/>
      <c r="BJ342" s="3">
        <v>1254939</v>
      </c>
      <c r="BK342" s="3">
        <f t="shared" si="332"/>
        <v>0</v>
      </c>
      <c r="BL342" s="3">
        <v>15728119</v>
      </c>
      <c r="BM342" s="177">
        <f t="shared" si="333"/>
        <v>0</v>
      </c>
      <c r="BN342" s="3"/>
      <c r="BR342" s="3"/>
      <c r="BS342" s="3"/>
      <c r="BT342" s="3"/>
      <c r="BU342" s="3"/>
      <c r="BV342" s="3"/>
      <c r="BW342" s="3"/>
      <c r="BX342" s="3"/>
      <c r="BY342" s="3"/>
      <c r="BZ342" s="3"/>
      <c r="CA342" s="3"/>
      <c r="CB342" s="3"/>
      <c r="CC342" s="4"/>
      <c r="CD342" s="3"/>
      <c r="CE342" s="3"/>
      <c r="CF342" s="3"/>
      <c r="CG342" s="3"/>
      <c r="CH342" s="3"/>
      <c r="CI342" s="3"/>
      <c r="CJ342" s="3"/>
      <c r="CK342" s="3"/>
      <c r="CL342" s="3"/>
      <c r="CM342" s="3"/>
      <c r="CN342" s="3"/>
      <c r="CO342" s="3"/>
      <c r="CP342" s="3"/>
    </row>
    <row r="343" spans="1:94">
      <c r="A343" s="2" t="s">
        <v>45</v>
      </c>
      <c r="B343" s="3">
        <f>'Monthly D4 Gallon Data'!$AE4</f>
        <v>0</v>
      </c>
      <c r="C343" s="3">
        <f>'Monthly D4 Gallon Data'!$AE16</f>
        <v>0</v>
      </c>
      <c r="D343" s="3">
        <f>'Monthly D4 Gallon Data'!$AE28</f>
        <v>0</v>
      </c>
      <c r="E343" s="3">
        <f>'Monthly D4 Gallon Data'!$AE40</f>
        <v>0</v>
      </c>
      <c r="F343" s="3">
        <f>'Monthly D4 Gallon Data'!$AE52</f>
        <v>0</v>
      </c>
      <c r="G343" s="3">
        <f>'Monthly D4 Gallon Data'!$AE64</f>
        <v>0</v>
      </c>
      <c r="H343" s="3">
        <f>'Monthly D4 Gallon Data'!$AE76</f>
        <v>0</v>
      </c>
      <c r="I343" s="3">
        <f>'Monthly D4 Gallon Data'!$AE88</f>
        <v>184825</v>
      </c>
      <c r="J343" s="3">
        <f>'Monthly D4 Gallon Data'!$AE100</f>
        <v>103790</v>
      </c>
      <c r="K343" s="3">
        <f>'Monthly D4 Gallon Data'!$AE112</f>
        <v>183940</v>
      </c>
      <c r="L343" s="3">
        <f>'Monthly D4 Gallon Data'!$AE124</f>
        <v>280826</v>
      </c>
      <c r="M343" s="3">
        <f>'Monthly D4 Gallon Data'!$AE136</f>
        <v>288906</v>
      </c>
      <c r="N343" s="3">
        <f>'Monthly D4 Gallon Data'!$AE148</f>
        <v>1026537</v>
      </c>
      <c r="O343" s="3">
        <f>'Monthly D4 Gallon Data'!$AE160</f>
        <v>797170</v>
      </c>
      <c r="P343" s="3">
        <f>'Monthly D4 Gallon Data'!$AE172</f>
        <v>2119258</v>
      </c>
      <c r="Q343" s="3">
        <f>'Monthly D4 Gallon Data'!$AE184</f>
        <v>3845015</v>
      </c>
      <c r="R343" s="4">
        <f t="shared" si="329"/>
        <v>18303595.228116713</v>
      </c>
      <c r="S343" s="4">
        <f t="shared" si="329"/>
        <v>52446592.878731005</v>
      </c>
      <c r="T343" s="4">
        <f t="shared" si="329"/>
        <v>68091377.268205896</v>
      </c>
      <c r="U343" s="4">
        <f t="shared" si="329"/>
        <v>88975887.423838913</v>
      </c>
      <c r="V343" s="4">
        <f t="shared" si="329"/>
        <v>119947398.0919919</v>
      </c>
      <c r="W343" s="4">
        <f t="shared" si="329"/>
        <v>140710467.1858601</v>
      </c>
      <c r="X343" s="4">
        <f t="shared" si="329"/>
        <v>177911117.31121516</v>
      </c>
      <c r="Y343" s="4">
        <f t="shared" si="329"/>
        <v>185651454.26298955</v>
      </c>
      <c r="Z343" s="4">
        <f t="shared" si="329"/>
        <v>201763535.67193198</v>
      </c>
      <c r="AA343" s="4">
        <f t="shared" si="329"/>
        <v>210792400.77562943</v>
      </c>
      <c r="AB343" s="4">
        <f t="shared" si="329"/>
        <v>162245927.2591306</v>
      </c>
      <c r="AC343" s="4">
        <f t="shared" si="329"/>
        <v>177083898.6748009</v>
      </c>
      <c r="AD343" s="4">
        <f t="shared" si="329"/>
        <v>199373302.58687672</v>
      </c>
      <c r="AE343" s="4">
        <f t="shared" si="330"/>
        <v>199303475.4453105</v>
      </c>
      <c r="AF343" s="4">
        <f t="shared" si="331"/>
        <v>198215810.21517587</v>
      </c>
      <c r="AG343" s="4">
        <f t="shared" si="331"/>
        <v>206842861.06158769</v>
      </c>
      <c r="AH343" s="4">
        <f t="shared" si="331"/>
        <v>213541202.54829344</v>
      </c>
      <c r="AI343" s="4">
        <f t="shared" si="331"/>
        <v>218445697.56765974</v>
      </c>
      <c r="AJ343" s="4">
        <f t="shared" si="331"/>
        <v>220942202.27381268</v>
      </c>
      <c r="AK343" s="4">
        <f t="shared" si="331"/>
        <v>227508293.3043544</v>
      </c>
      <c r="AL343" s="4">
        <f t="shared" si="331"/>
        <v>239965568.85772124</v>
      </c>
      <c r="AM343" s="4">
        <f t="shared" si="331"/>
        <v>248629031.41110516</v>
      </c>
      <c r="AN343" s="4">
        <f t="shared" si="331"/>
        <v>248913158.45657554</v>
      </c>
      <c r="AO343" s="4">
        <f t="shared" si="331"/>
        <v>248497498.97531804</v>
      </c>
      <c r="AP343" s="4">
        <f t="shared" si="331"/>
        <v>254339530.78464967</v>
      </c>
      <c r="AQ343" s="4">
        <f t="shared" si="331"/>
        <v>285542533.46912926</v>
      </c>
      <c r="AR343" s="4"/>
      <c r="AS343" s="4">
        <f>SUM(P350:P352)</f>
        <v>8932268</v>
      </c>
      <c r="AT343" s="121">
        <f t="shared" si="334"/>
        <v>-0.75553243207277365</v>
      </c>
      <c r="AU343" s="197" t="s">
        <v>301</v>
      </c>
      <c r="AV343" s="194"/>
      <c r="AW343" s="194"/>
      <c r="AX343" s="194"/>
      <c r="AY343" s="195"/>
      <c r="AZ343" s="196"/>
      <c r="BA343" s="198"/>
      <c r="BB343" s="195"/>
      <c r="BC343" s="195">
        <v>119714448.18219173</v>
      </c>
      <c r="BD343" s="195">
        <f t="shared" ref="BD343:BD353" si="336">L343-BC343</f>
        <v>-119433622.18219173</v>
      </c>
      <c r="BE343" s="195">
        <v>135173970.91653845</v>
      </c>
      <c r="BF343" s="195">
        <f t="shared" ref="BF343:BF353" si="337">M343-BE343</f>
        <v>-134885064.91653845</v>
      </c>
      <c r="BG343" s="195">
        <v>128861333.89305</v>
      </c>
      <c r="BH343" s="194">
        <f>SUM(P341:P343)</f>
        <v>4208094</v>
      </c>
      <c r="BI343" s="3"/>
      <c r="BJ343" s="3">
        <v>2119258</v>
      </c>
      <c r="BK343" s="3">
        <f t="shared" si="332"/>
        <v>0</v>
      </c>
      <c r="BL343" s="3">
        <v>10144488.312219378</v>
      </c>
      <c r="BM343" s="177">
        <f t="shared" si="333"/>
        <v>-6299473.3122193776</v>
      </c>
      <c r="BN343" s="3"/>
      <c r="BR343" s="3"/>
      <c r="BS343" s="3"/>
      <c r="BT343" s="3"/>
      <c r="BU343" s="3"/>
      <c r="BV343" s="3"/>
      <c r="BW343" s="3"/>
      <c r="BX343" s="3"/>
      <c r="BY343" s="3"/>
      <c r="BZ343" s="3"/>
      <c r="CA343" s="3"/>
      <c r="CB343" s="3"/>
      <c r="CC343" s="4"/>
      <c r="CD343" s="3"/>
      <c r="CE343" s="3"/>
      <c r="CF343" s="3"/>
      <c r="CG343" s="3"/>
      <c r="CH343" s="3"/>
      <c r="CI343" s="3"/>
      <c r="CJ343" s="3"/>
      <c r="CK343" s="3"/>
      <c r="CL343" s="3"/>
      <c r="CM343" s="3"/>
      <c r="CN343" s="3"/>
      <c r="CO343" s="3"/>
      <c r="CP343" s="3"/>
    </row>
    <row r="344" spans="1:94">
      <c r="A344" s="2" t="s">
        <v>46</v>
      </c>
      <c r="B344" s="3">
        <f>'Monthly D4 Gallon Data'!$AE5</f>
        <v>0</v>
      </c>
      <c r="C344" s="3">
        <f>'Monthly D4 Gallon Data'!$AE17</f>
        <v>0</v>
      </c>
      <c r="D344" s="3">
        <f>'Monthly D4 Gallon Data'!$AE29</f>
        <v>0</v>
      </c>
      <c r="E344" s="3">
        <f>'Monthly D4 Gallon Data'!$AE41</f>
        <v>0</v>
      </c>
      <c r="F344" s="3">
        <f>'Monthly D4 Gallon Data'!$AE53</f>
        <v>0</v>
      </c>
      <c r="G344" s="3">
        <f>'Monthly D4 Gallon Data'!$AE65</f>
        <v>0</v>
      </c>
      <c r="H344" s="3">
        <f>'Monthly D4 Gallon Data'!$AE77</f>
        <v>0</v>
      </c>
      <c r="I344" s="3">
        <f>'Monthly D4 Gallon Data'!$AE89</f>
        <v>0</v>
      </c>
      <c r="J344" s="3">
        <f>'Monthly D4 Gallon Data'!$AE101</f>
        <v>184634</v>
      </c>
      <c r="K344" s="3">
        <f>'Monthly D4 Gallon Data'!$AE113</f>
        <v>245975</v>
      </c>
      <c r="L344" s="3">
        <f>'Monthly D4 Gallon Data'!$AE125</f>
        <v>1234442</v>
      </c>
      <c r="M344" s="3">
        <f>'Monthly D4 Gallon Data'!$AE137</f>
        <v>293289</v>
      </c>
      <c r="N344" s="3">
        <f>'Monthly D4 Gallon Data'!$AE149</f>
        <v>408991</v>
      </c>
      <c r="O344" s="3">
        <f>'Monthly D4 Gallon Data'!$AE161</f>
        <v>913521</v>
      </c>
      <c r="P344" s="3">
        <f>'Monthly D4 Gallon Data'!$AE173</f>
        <v>2743078</v>
      </c>
      <c r="Q344" s="4">
        <f>(SUM(L344:P344)/SUM(L$353:P$353))*Q$353-3000000</f>
        <v>8404474.9199190307</v>
      </c>
      <c r="R344" s="4">
        <f t="shared" si="329"/>
        <v>28923927.353115387</v>
      </c>
      <c r="S344" s="4">
        <f>(SUM(N344:R344)/SUM(N$353:R$353))*S$353+150000</f>
        <v>83355933.002837479</v>
      </c>
      <c r="T344" s="4">
        <f t="shared" si="329"/>
        <v>109229354.93369608</v>
      </c>
      <c r="U344" s="4">
        <f t="shared" si="329"/>
        <v>142955854.88060638</v>
      </c>
      <c r="V344" s="4">
        <f t="shared" si="329"/>
        <v>193059895.2271235</v>
      </c>
      <c r="W344" s="4">
        <f t="shared" si="329"/>
        <v>225582309.85068756</v>
      </c>
      <c r="X344" s="4">
        <f t="shared" si="329"/>
        <v>285379991.09891659</v>
      </c>
      <c r="Y344" s="4">
        <f t="shared" si="329"/>
        <v>298036421.23796737</v>
      </c>
      <c r="Z344" s="4">
        <f t="shared" si="329"/>
        <v>323925068.68341893</v>
      </c>
      <c r="AA344" s="4">
        <f t="shared" si="329"/>
        <v>338393109.16389787</v>
      </c>
      <c r="AB344" s="4">
        <f t="shared" si="329"/>
        <v>260370452.06182569</v>
      </c>
      <c r="AC344" s="4">
        <f t="shared" si="329"/>
        <v>284225342.16662228</v>
      </c>
      <c r="AD344" s="4">
        <f t="shared" si="329"/>
        <v>320037354.05648094</v>
      </c>
      <c r="AE344" s="4">
        <f t="shared" si="330"/>
        <v>319919901.25644851</v>
      </c>
      <c r="AF344" s="4">
        <f t="shared" si="331"/>
        <v>318162229.56939334</v>
      </c>
      <c r="AG344" s="4">
        <f t="shared" si="331"/>
        <v>332000092.05509609</v>
      </c>
      <c r="AH344" s="4">
        <f t="shared" si="331"/>
        <v>342761904.05742484</v>
      </c>
      <c r="AI344" s="4">
        <f t="shared" si="331"/>
        <v>350638082.08908695</v>
      </c>
      <c r="AJ344" s="4">
        <f t="shared" si="331"/>
        <v>354642505.65695173</v>
      </c>
      <c r="AK344" s="4">
        <f t="shared" si="331"/>
        <v>365179719.8424052</v>
      </c>
      <c r="AL344" s="4">
        <f t="shared" si="331"/>
        <v>385175082.77066052</v>
      </c>
      <c r="AM344" s="4">
        <f t="shared" si="331"/>
        <v>399083000.98258507</v>
      </c>
      <c r="AN344" s="4">
        <f t="shared" si="331"/>
        <v>399539152.94475967</v>
      </c>
      <c r="AO344" s="4">
        <f t="shared" si="331"/>
        <v>398871270.24936539</v>
      </c>
      <c r="AP344" s="4">
        <f t="shared" si="331"/>
        <v>408248266.88676333</v>
      </c>
      <c r="AQ344" s="4">
        <f t="shared" si="331"/>
        <v>458333380.20550692</v>
      </c>
      <c r="AR344" s="4"/>
      <c r="AS344" s="94"/>
      <c r="AT344" s="121">
        <f t="shared" si="334"/>
        <v>1.185810697726545</v>
      </c>
      <c r="AU344" s="197"/>
      <c r="AV344" s="194"/>
      <c r="AW344" s="194"/>
      <c r="AX344" s="194"/>
      <c r="AY344" s="195"/>
      <c r="AZ344" s="196"/>
      <c r="BA344" s="196"/>
      <c r="BB344" s="195"/>
      <c r="BC344" s="195">
        <v>152824951.74781588</v>
      </c>
      <c r="BD344" s="195">
        <f t="shared" si="336"/>
        <v>-151590509.74781588</v>
      </c>
      <c r="BE344" s="195">
        <v>129458434.08986306</v>
      </c>
      <c r="BF344" s="195">
        <f t="shared" si="337"/>
        <v>-129165145.08986306</v>
      </c>
      <c r="BG344" s="195">
        <v>138512422.75823951</v>
      </c>
      <c r="BH344" s="205">
        <f>SUM(O350:O352)/BH343-1</f>
        <v>-0.62380379335632719</v>
      </c>
      <c r="BI344" s="3"/>
      <c r="BJ344" s="3">
        <v>2743078</v>
      </c>
      <c r="BK344" s="3">
        <f t="shared" si="332"/>
        <v>0</v>
      </c>
      <c r="BL344" s="3">
        <v>13292107.028455757</v>
      </c>
      <c r="BM344" s="177">
        <f t="shared" si="333"/>
        <v>-4887632.1085367259</v>
      </c>
      <c r="BN344" s="3"/>
      <c r="BR344" s="3"/>
      <c r="BS344" s="3"/>
      <c r="BT344" s="3"/>
      <c r="BU344" s="3"/>
      <c r="BV344" s="3"/>
      <c r="BW344" s="3"/>
      <c r="BX344" s="3"/>
      <c r="BY344" s="3"/>
      <c r="BZ344" s="3"/>
      <c r="CA344" s="3"/>
      <c r="CB344" s="3"/>
      <c r="CC344" s="4"/>
      <c r="CD344" s="3"/>
      <c r="CE344" s="3"/>
      <c r="CF344" s="3"/>
      <c r="CG344" s="3"/>
      <c r="CH344" s="3"/>
      <c r="CI344" s="3"/>
      <c r="CJ344" s="3"/>
      <c r="CK344" s="3"/>
      <c r="CL344" s="3"/>
      <c r="CM344" s="3"/>
      <c r="CN344" s="3"/>
      <c r="CO344" s="3"/>
      <c r="CP344" s="3"/>
    </row>
    <row r="345" spans="1:94">
      <c r="A345" s="2" t="s">
        <v>47</v>
      </c>
      <c r="B345" s="3">
        <f>'Monthly D4 Gallon Data'!$AE6</f>
        <v>0</v>
      </c>
      <c r="C345" s="3">
        <f>'Monthly D4 Gallon Data'!$AE18</f>
        <v>0</v>
      </c>
      <c r="D345" s="3">
        <f>'Monthly D4 Gallon Data'!$AE30</f>
        <v>0</v>
      </c>
      <c r="E345" s="3">
        <f>'Monthly D4 Gallon Data'!$AE42</f>
        <v>0</v>
      </c>
      <c r="F345" s="3">
        <f>'Monthly D4 Gallon Data'!$AE54</f>
        <v>0</v>
      </c>
      <c r="G345" s="3">
        <f>'Monthly D4 Gallon Data'!$AE66</f>
        <v>0</v>
      </c>
      <c r="H345" s="3">
        <f>'Monthly D4 Gallon Data'!$AE78</f>
        <v>0</v>
      </c>
      <c r="I345" s="3">
        <f>'Monthly D4 Gallon Data'!$AE90</f>
        <v>134485</v>
      </c>
      <c r="J345" s="3">
        <f>'Monthly D4 Gallon Data'!$AE102</f>
        <v>64189</v>
      </c>
      <c r="K345" s="3">
        <f>'Monthly D4 Gallon Data'!$AE114</f>
        <v>254288</v>
      </c>
      <c r="L345" s="3">
        <f>'Monthly D4 Gallon Data'!$AE126</f>
        <v>0</v>
      </c>
      <c r="M345" s="3">
        <f>'Monthly D4 Gallon Data'!$AE138</f>
        <v>287496</v>
      </c>
      <c r="N345" s="3">
        <f>'Monthly D4 Gallon Data'!$AE150</f>
        <v>202831</v>
      </c>
      <c r="O345" s="3">
        <f>'Monthly D4 Gallon Data'!$AE162</f>
        <v>1626715</v>
      </c>
      <c r="P345" s="3">
        <f>'Monthly D4 Gallon Data'!$AE174</f>
        <v>3266216</v>
      </c>
      <c r="Q345" s="4">
        <f>(SUM(L345:P345)/SUM(L$353:P$353))*Q$353</f>
        <v>10976167.97756708</v>
      </c>
      <c r="R345" s="4">
        <f>(SUM(M345:Q345)/SUM(M$353:Q$353))*R$353+1000000</f>
        <v>38073237.291912429</v>
      </c>
      <c r="S345" s="4">
        <f>(SUM(N345:R345)/SUM(N$353:R$353))*S$353+1000000</f>
        <v>109837029.55094272</v>
      </c>
      <c r="T345" s="4">
        <f t="shared" si="329"/>
        <v>143874698.90103579</v>
      </c>
      <c r="U345" s="4">
        <f t="shared" si="329"/>
        <v>188038378.30701107</v>
      </c>
      <c r="V345" s="4">
        <f t="shared" si="329"/>
        <v>254120250.94949621</v>
      </c>
      <c r="W345" s="4">
        <f t="shared" si="329"/>
        <v>296963726.71365535</v>
      </c>
      <c r="X345" s="4">
        <f t="shared" si="329"/>
        <v>375684484.37097663</v>
      </c>
      <c r="Y345" s="4">
        <f t="shared" si="329"/>
        <v>392313361.18468958</v>
      </c>
      <c r="Z345" s="4">
        <f t="shared" si="329"/>
        <v>426364929.53210127</v>
      </c>
      <c r="AA345" s="4">
        <f t="shared" si="329"/>
        <v>445440739.38154668</v>
      </c>
      <c r="AB345" s="4">
        <f t="shared" si="329"/>
        <v>342738510.04728287</v>
      </c>
      <c r="AC345" s="4">
        <f t="shared" si="329"/>
        <v>374136377.92329395</v>
      </c>
      <c r="AD345" s="4">
        <f t="shared" si="329"/>
        <v>421271062.99150306</v>
      </c>
      <c r="AE345" s="4">
        <f t="shared" si="330"/>
        <v>421115927.37514073</v>
      </c>
      <c r="AF345" s="4">
        <f t="shared" si="331"/>
        <v>418807093.62650222</v>
      </c>
      <c r="AG345" s="4">
        <f t="shared" si="331"/>
        <v>437021630.05349731</v>
      </c>
      <c r="AH345" s="4">
        <f t="shared" si="331"/>
        <v>451186611.20667756</v>
      </c>
      <c r="AI345" s="4">
        <f t="shared" si="331"/>
        <v>461553589.61231804</v>
      </c>
      <c r="AJ345" s="4">
        <f t="shared" si="331"/>
        <v>466825144.41902298</v>
      </c>
      <c r="AK345" s="4">
        <f t="shared" si="331"/>
        <v>480696187.74489999</v>
      </c>
      <c r="AL345" s="4">
        <f t="shared" si="331"/>
        <v>507016344.33260828</v>
      </c>
      <c r="AM345" s="4">
        <f t="shared" si="331"/>
        <v>525323499.07992679</v>
      </c>
      <c r="AN345" s="4">
        <f t="shared" si="331"/>
        <v>525923930.99888676</v>
      </c>
      <c r="AO345" s="4">
        <f t="shared" si="331"/>
        <v>525044899.08814824</v>
      </c>
      <c r="AP345" s="4">
        <f t="shared" si="331"/>
        <v>537388142.71860778</v>
      </c>
      <c r="AQ345" s="4">
        <f t="shared" si="331"/>
        <v>603316444.99528301</v>
      </c>
      <c r="AR345" s="4"/>
      <c r="AS345" s="94">
        <f>AS341/AS342-1</f>
        <v>5.6653639391135275</v>
      </c>
      <c r="AT345" s="121">
        <f t="shared" si="334"/>
        <v>0.30599092532872074</v>
      </c>
      <c r="AU345" s="197"/>
      <c r="AV345" s="194"/>
      <c r="AW345" s="194"/>
      <c r="AX345" s="194"/>
      <c r="AY345" s="195"/>
      <c r="AZ345" s="196"/>
      <c r="BA345" s="195">
        <v>178072540.96348354</v>
      </c>
      <c r="BB345" s="195">
        <f t="shared" ref="BB345:BB353" si="338">K345-BA345</f>
        <v>-177818252.96348354</v>
      </c>
      <c r="BC345" s="195">
        <v>157209465.91249242</v>
      </c>
      <c r="BD345" s="195">
        <f t="shared" si="336"/>
        <v>-157209465.91249242</v>
      </c>
      <c r="BE345" s="195">
        <v>142690356.2444244</v>
      </c>
      <c r="BF345" s="195">
        <f t="shared" si="337"/>
        <v>-142402860.2444244</v>
      </c>
      <c r="BG345" s="195">
        <v>143839399.92900729</v>
      </c>
      <c r="BH345" s="195"/>
      <c r="BI345" s="3"/>
      <c r="BJ345" s="3">
        <v>3266216</v>
      </c>
      <c r="BK345" s="3">
        <f t="shared" si="332"/>
        <v>0</v>
      </c>
      <c r="BL345" s="3">
        <v>15680239.96795297</v>
      </c>
      <c r="BM345" s="177">
        <f t="shared" si="333"/>
        <v>-4704071.99038589</v>
      </c>
      <c r="BN345" s="3"/>
      <c r="BR345" s="3"/>
      <c r="BS345" s="3"/>
      <c r="BT345" s="3"/>
      <c r="BU345" s="3"/>
      <c r="BV345" s="3"/>
      <c r="BW345" s="3"/>
      <c r="BX345" s="3"/>
      <c r="BY345" s="3"/>
      <c r="BZ345" s="3"/>
      <c r="CA345" s="3"/>
      <c r="CB345" s="3"/>
      <c r="CC345" s="4"/>
      <c r="CD345" s="3"/>
      <c r="CE345" s="3"/>
      <c r="CF345" s="3"/>
      <c r="CG345" s="3"/>
      <c r="CH345" s="3"/>
      <c r="CI345" s="3"/>
      <c r="CJ345" s="3"/>
      <c r="CK345" s="3"/>
      <c r="CL345" s="3"/>
      <c r="CM345" s="3"/>
      <c r="CN345" s="3"/>
      <c r="CO345" s="3"/>
      <c r="CP345" s="3"/>
    </row>
    <row r="346" spans="1:94">
      <c r="A346" s="2" t="s">
        <v>48</v>
      </c>
      <c r="B346" s="3">
        <f>'Monthly D4 Gallon Data'!$AE7</f>
        <v>0</v>
      </c>
      <c r="C346" s="3">
        <f>'Monthly D4 Gallon Data'!$AE19</f>
        <v>0</v>
      </c>
      <c r="D346" s="3">
        <f>'Monthly D4 Gallon Data'!$AE31</f>
        <v>0</v>
      </c>
      <c r="E346" s="3">
        <f>'Monthly D4 Gallon Data'!$AE43</f>
        <v>0</v>
      </c>
      <c r="F346" s="3">
        <f>'Monthly D4 Gallon Data'!$AE55</f>
        <v>0</v>
      </c>
      <c r="G346" s="3">
        <f>'Monthly D4 Gallon Data'!$AE67</f>
        <v>0</v>
      </c>
      <c r="H346" s="3">
        <f>'Monthly D4 Gallon Data'!$AE79</f>
        <v>0</v>
      </c>
      <c r="I346" s="3">
        <f>'Monthly D4 Gallon Data'!$AE91</f>
        <v>127471</v>
      </c>
      <c r="J346" s="3">
        <f>'Monthly D4 Gallon Data'!$AE103</f>
        <v>140194</v>
      </c>
      <c r="K346" s="3">
        <f>'Monthly D4 Gallon Data'!$AE115</f>
        <v>223279</v>
      </c>
      <c r="L346" s="3">
        <f>'Monthly D4 Gallon Data'!$AE127</f>
        <v>508513</v>
      </c>
      <c r="M346" s="3">
        <f>'Monthly D4 Gallon Data'!$AE139</f>
        <v>357317</v>
      </c>
      <c r="N346" s="3">
        <f>'Monthly D4 Gallon Data'!$AE151</f>
        <v>802264</v>
      </c>
      <c r="O346" s="3">
        <f>'Monthly D4 Gallon Data'!$AE163</f>
        <v>1121861</v>
      </c>
      <c r="P346" s="3">
        <f>'Monthly D4 Gallon Data'!$AE175</f>
        <v>2998612</v>
      </c>
      <c r="Q346" s="4">
        <f>(SUM(L346:P346)/SUM(L$353:P$353))*Q$353-1000000</f>
        <v>10802570.811467988</v>
      </c>
      <c r="R346" s="4">
        <f t="shared" si="329"/>
        <v>36445958.845373936</v>
      </c>
      <c r="S346" s="4">
        <f>(SUM(N346:R346)/SUM(N$353:R$353))*S$353-200000</f>
        <v>104669298.16987525</v>
      </c>
      <c r="T346" s="4">
        <f t="shared" si="329"/>
        <v>137074432.0324741</v>
      </c>
      <c r="U346" s="4">
        <f t="shared" si="329"/>
        <v>179413670.29720333</v>
      </c>
      <c r="V346" s="4">
        <f t="shared" si="329"/>
        <v>242525572.25580677</v>
      </c>
      <c r="W346" s="4">
        <f t="shared" si="329"/>
        <v>283281846.34963793</v>
      </c>
      <c r="X346" s="4">
        <f t="shared" si="329"/>
        <v>358327736.08893472</v>
      </c>
      <c r="Y346" s="4">
        <f t="shared" si="329"/>
        <v>374217409.88050759</v>
      </c>
      <c r="Z346" s="4">
        <f t="shared" si="329"/>
        <v>406744663.62686306</v>
      </c>
      <c r="AA346" s="4">
        <f t="shared" si="329"/>
        <v>424935415.13276678</v>
      </c>
      <c r="AB346" s="4">
        <f t="shared" si="329"/>
        <v>326942653.39627159</v>
      </c>
      <c r="AC346" s="4">
        <f t="shared" si="329"/>
        <v>356892661.65201229</v>
      </c>
      <c r="AD346" s="4">
        <f t="shared" si="329"/>
        <v>401863801.65960729</v>
      </c>
      <c r="AE346" s="4">
        <f t="shared" si="330"/>
        <v>401720573.79123837</v>
      </c>
      <c r="AF346" s="4">
        <f t="shared" si="331"/>
        <v>399514559.7619276</v>
      </c>
      <c r="AG346" s="4">
        <f t="shared" si="331"/>
        <v>416886920.29490292</v>
      </c>
      <c r="AH346" s="4">
        <f t="shared" si="331"/>
        <v>430400375.67974269</v>
      </c>
      <c r="AI346" s="4">
        <f t="shared" si="331"/>
        <v>440291291.20100427</v>
      </c>
      <c r="AJ346" s="4">
        <f t="shared" si="331"/>
        <v>445320140.93675435</v>
      </c>
      <c r="AK346" s="4">
        <f t="shared" si="331"/>
        <v>458551336.62133384</v>
      </c>
      <c r="AL346" s="4">
        <f t="shared" si="331"/>
        <v>483658705.4162572</v>
      </c>
      <c r="AM346" s="4">
        <f t="shared" si="331"/>
        <v>501122836.16229832</v>
      </c>
      <c r="AN346" s="4">
        <f t="shared" si="331"/>
        <v>501695805.331774</v>
      </c>
      <c r="AO346" s="4">
        <f t="shared" si="331"/>
        <v>500857178.0697338</v>
      </c>
      <c r="AP346" s="4">
        <f t="shared" si="331"/>
        <v>512631656.95782721</v>
      </c>
      <c r="AQ346" s="4">
        <f t="shared" si="331"/>
        <v>575522777.05733383</v>
      </c>
      <c r="AR346" s="4"/>
      <c r="AS346" s="94">
        <f>AS341/AS343-1</f>
        <v>2.1401294721564557</v>
      </c>
      <c r="AT346" s="121">
        <f t="shared" si="334"/>
        <v>-1.5815826293282598E-2</v>
      </c>
      <c r="AU346" s="197"/>
      <c r="AV346" s="194"/>
      <c r="AW346" s="194"/>
      <c r="AX346" s="194"/>
      <c r="AY346" s="195"/>
      <c r="AZ346" s="196"/>
      <c r="BA346" s="195">
        <v>167055104.50212622</v>
      </c>
      <c r="BB346" s="195">
        <f t="shared" si="338"/>
        <v>-166831825.50212622</v>
      </c>
      <c r="BC346" s="195">
        <v>140041174.55798692</v>
      </c>
      <c r="BD346" s="195">
        <f t="shared" si="336"/>
        <v>-139532661.55798692</v>
      </c>
      <c r="BE346" s="195">
        <v>155020352.91339663</v>
      </c>
      <c r="BF346" s="195">
        <f t="shared" si="337"/>
        <v>-154663035.91339663</v>
      </c>
      <c r="BG346" s="195">
        <v>148189433.6392737</v>
      </c>
      <c r="BH346" s="194">
        <f>SUM(P344:P346)</f>
        <v>9007906</v>
      </c>
      <c r="BI346" s="3"/>
      <c r="BJ346" s="3">
        <v>2998612</v>
      </c>
      <c r="BK346" s="3">
        <f t="shared" si="332"/>
        <v>0</v>
      </c>
      <c r="BL346" s="3">
        <v>16860815.444954269</v>
      </c>
      <c r="BM346" s="177">
        <f t="shared" si="333"/>
        <v>-6058244.6334862802</v>
      </c>
      <c r="BN346" s="3"/>
      <c r="BR346" s="3"/>
      <c r="BS346" s="3"/>
      <c r="BT346" s="3"/>
      <c r="BU346" s="3"/>
      <c r="BV346" s="3"/>
      <c r="BW346" s="3"/>
      <c r="BX346" s="3"/>
      <c r="BY346" s="3"/>
      <c r="BZ346" s="3"/>
      <c r="CA346" s="3"/>
      <c r="CB346" s="3"/>
      <c r="CC346" s="4"/>
      <c r="CD346" s="3"/>
      <c r="CE346" s="3"/>
      <c r="CF346" s="3"/>
      <c r="CG346" s="3"/>
      <c r="CH346" s="3"/>
      <c r="CI346" s="3"/>
      <c r="CJ346" s="3"/>
      <c r="CK346" s="3"/>
      <c r="CL346" s="3"/>
      <c r="CM346" s="3"/>
      <c r="CN346" s="3"/>
      <c r="CO346" s="3"/>
      <c r="CP346" s="3"/>
    </row>
    <row r="347" spans="1:94">
      <c r="A347" s="2" t="s">
        <v>49</v>
      </c>
      <c r="B347" s="3">
        <f>'Monthly D4 Gallon Data'!$AE8</f>
        <v>0</v>
      </c>
      <c r="C347" s="3">
        <f>'Monthly D4 Gallon Data'!$AE20</f>
        <v>0</v>
      </c>
      <c r="D347" s="3">
        <f>'Monthly D4 Gallon Data'!$AE32</f>
        <v>0</v>
      </c>
      <c r="E347" s="3">
        <f>'Monthly D4 Gallon Data'!$AE44</f>
        <v>0</v>
      </c>
      <c r="F347" s="3">
        <f>'Monthly D4 Gallon Data'!$AE56</f>
        <v>0</v>
      </c>
      <c r="G347" s="3">
        <f>'Monthly D4 Gallon Data'!$AE68</f>
        <v>0</v>
      </c>
      <c r="H347" s="3">
        <f>'Monthly D4 Gallon Data'!$AE80</f>
        <v>0</v>
      </c>
      <c r="I347" s="3">
        <f>'Monthly D4 Gallon Data'!$AE92</f>
        <v>120661</v>
      </c>
      <c r="J347" s="3">
        <f>'Monthly D4 Gallon Data'!$AE104</f>
        <v>82231</v>
      </c>
      <c r="K347" s="3">
        <f>'Monthly D4 Gallon Data'!$AE116</f>
        <v>146613</v>
      </c>
      <c r="L347" s="3">
        <f>'Monthly D4 Gallon Data'!$AE128</f>
        <v>1536725</v>
      </c>
      <c r="M347" s="3">
        <f>'Monthly D4 Gallon Data'!$AE140</f>
        <v>1093159</v>
      </c>
      <c r="N347" s="3">
        <f>'Monthly D4 Gallon Data'!$AE152</f>
        <v>1137973</v>
      </c>
      <c r="O347" s="3">
        <f>'Monthly D4 Gallon Data'!$AE164</f>
        <v>1770762</v>
      </c>
      <c r="P347" s="3">
        <f>'Monthly D4 Gallon Data'!$AE176</f>
        <v>3256887</v>
      </c>
      <c r="Q347" s="4">
        <f>(SUM(L347:P347)/SUM(L$353:P$353))*Q$353-7000000</f>
        <v>10933554.606466778</v>
      </c>
      <c r="R347" s="4">
        <f>(SUM(M347:Q347)/SUM(M$353:Q$353))*R$353-1250000</f>
        <v>39976921.76103799</v>
      </c>
      <c r="S347" s="4">
        <f>(SUM(N347:R347)/SUM(N$353:R$353))*S$353-750000</f>
        <v>113978484.88508038</v>
      </c>
      <c r="T347" s="4">
        <f t="shared" si="329"/>
        <v>149266063.01052725</v>
      </c>
      <c r="U347" s="4">
        <f t="shared" si="329"/>
        <v>195033617.43180668</v>
      </c>
      <c r="V347" s="4">
        <f t="shared" si="329"/>
        <v>263641552.68483701</v>
      </c>
      <c r="W347" s="4">
        <f t="shared" si="329"/>
        <v>308273915.13317132</v>
      </c>
      <c r="X347" s="4">
        <f t="shared" si="329"/>
        <v>389821189.605676</v>
      </c>
      <c r="Y347" s="4">
        <f t="shared" si="329"/>
        <v>407073186.95247626</v>
      </c>
      <c r="Z347" s="4">
        <f t="shared" si="329"/>
        <v>442411963.37090188</v>
      </c>
      <c r="AA347" s="4">
        <f t="shared" si="329"/>
        <v>462226636.22094756</v>
      </c>
      <c r="AB347" s="4">
        <f t="shared" si="329"/>
        <v>355663914.97845483</v>
      </c>
      <c r="AC347" s="4">
        <f t="shared" si="329"/>
        <v>388224907.21705157</v>
      </c>
      <c r="AD347" s="4">
        <f t="shared" si="329"/>
        <v>437136654.29824138</v>
      </c>
      <c r="AE347" s="4">
        <f t="shared" si="330"/>
        <v>436978857.05731893</v>
      </c>
      <c r="AF347" s="4">
        <f t="shared" si="331"/>
        <v>434585897.58986247</v>
      </c>
      <c r="AG347" s="4">
        <f t="shared" si="331"/>
        <v>453485869.98691624</v>
      </c>
      <c r="AH347" s="4">
        <f t="shared" si="331"/>
        <v>468181633.19149017</v>
      </c>
      <c r="AI347" s="4">
        <f t="shared" si="331"/>
        <v>478940012.97739762</v>
      </c>
      <c r="AJ347" s="4">
        <f t="shared" si="331"/>
        <v>484410871.98217189</v>
      </c>
      <c r="AK347" s="4">
        <f t="shared" si="331"/>
        <v>498804641.53052044</v>
      </c>
      <c r="AL347" s="4">
        <f t="shared" si="331"/>
        <v>526115917.04737741</v>
      </c>
      <c r="AM347" s="4">
        <f t="shared" si="331"/>
        <v>545112400.17848992</v>
      </c>
      <c r="AN347" s="4">
        <f t="shared" si="331"/>
        <v>545735697.52009904</v>
      </c>
      <c r="AO347" s="4">
        <f t="shared" si="331"/>
        <v>544823654.04887807</v>
      </c>
      <c r="AP347" s="4">
        <f t="shared" si="331"/>
        <v>557631844.53683186</v>
      </c>
      <c r="AQ347" s="4">
        <f t="shared" si="331"/>
        <v>626043616.75138581</v>
      </c>
      <c r="AR347" s="4"/>
      <c r="AS347" s="94"/>
      <c r="AT347" s="121">
        <f t="shared" si="334"/>
        <v>1.2125242896786848E-2</v>
      </c>
      <c r="AU347" s="197"/>
      <c r="AV347" s="194"/>
      <c r="AW347" s="194"/>
      <c r="AX347" s="194"/>
      <c r="AY347" s="195"/>
      <c r="AZ347" s="196"/>
      <c r="BA347" s="195">
        <v>143619523.04200637</v>
      </c>
      <c r="BB347" s="195">
        <f t="shared" si="338"/>
        <v>-143472910.04200637</v>
      </c>
      <c r="BC347" s="195">
        <v>165126501.15137365</v>
      </c>
      <c r="BD347" s="195">
        <f t="shared" si="336"/>
        <v>-163589776.15137365</v>
      </c>
      <c r="BE347" s="195">
        <v>161089374.57035646</v>
      </c>
      <c r="BF347" s="195">
        <f t="shared" si="337"/>
        <v>-159996215.57035646</v>
      </c>
      <c r="BG347" s="195">
        <v>144098244.42470986</v>
      </c>
      <c r="BH347" s="205">
        <f>(BH346/BH343)-1</f>
        <v>1.1406142543393756</v>
      </c>
      <c r="BI347" s="3"/>
      <c r="BJ347" s="4">
        <v>3256887</v>
      </c>
      <c r="BK347" s="3">
        <f t="shared" si="332"/>
        <v>0</v>
      </c>
      <c r="BL347" s="3">
        <v>18619363.723523967</v>
      </c>
      <c r="BM347" s="177">
        <f t="shared" si="333"/>
        <v>-7685809.1170571893</v>
      </c>
      <c r="BN347" s="3"/>
      <c r="BR347" s="3"/>
      <c r="BS347" s="3"/>
      <c r="BT347" s="3"/>
      <c r="BU347" s="3"/>
      <c r="BV347" s="3"/>
      <c r="BW347" s="3"/>
      <c r="BX347" s="3"/>
      <c r="BY347" s="3"/>
      <c r="BZ347" s="3"/>
      <c r="CA347" s="3"/>
      <c r="CB347" s="3"/>
      <c r="CC347" s="4"/>
      <c r="CD347" s="3"/>
      <c r="CE347" s="3"/>
      <c r="CF347" s="3"/>
      <c r="CG347" s="3"/>
      <c r="CH347" s="3"/>
      <c r="CI347" s="3"/>
      <c r="CJ347" s="3"/>
      <c r="CK347" s="3"/>
      <c r="CL347" s="3"/>
      <c r="CM347" s="3"/>
      <c r="CN347" s="3"/>
      <c r="CO347" s="3"/>
      <c r="CP347" s="3"/>
    </row>
    <row r="348" spans="1:94">
      <c r="A348" s="2" t="s">
        <v>50</v>
      </c>
      <c r="B348" s="3">
        <f>'Monthly D4 Gallon Data'!$AE9</f>
        <v>0</v>
      </c>
      <c r="C348" s="3">
        <f>'Monthly D4 Gallon Data'!$AE21</f>
        <v>0</v>
      </c>
      <c r="D348" s="3">
        <f>'Monthly D4 Gallon Data'!$AE33</f>
        <v>0</v>
      </c>
      <c r="E348" s="3">
        <f>'Monthly D4 Gallon Data'!$AE45</f>
        <v>0</v>
      </c>
      <c r="F348" s="3">
        <f>'Monthly D4 Gallon Data'!$AE57</f>
        <v>0</v>
      </c>
      <c r="G348" s="3">
        <f>'Monthly D4 Gallon Data'!$AE69</f>
        <v>0</v>
      </c>
      <c r="H348" s="3">
        <f>'Monthly D4 Gallon Data'!$AE81</f>
        <v>0</v>
      </c>
      <c r="I348" s="3">
        <f>'Monthly D4 Gallon Data'!$AE93</f>
        <v>174175</v>
      </c>
      <c r="J348" s="3">
        <f>'Monthly D4 Gallon Data'!$AE105</f>
        <v>70236</v>
      </c>
      <c r="K348" s="3">
        <f>'Monthly D4 Gallon Data'!$AE117</f>
        <v>271757</v>
      </c>
      <c r="L348" s="3">
        <f>'Monthly D4 Gallon Data'!$AE129</f>
        <v>63855</v>
      </c>
      <c r="M348" s="3">
        <f>'Monthly D4 Gallon Data'!$AE141</f>
        <v>722058</v>
      </c>
      <c r="N348" s="3">
        <f>'Monthly D4 Gallon Data'!$AE153</f>
        <v>392568</v>
      </c>
      <c r="O348" s="3">
        <f>'Monthly D4 Gallon Data'!$AE165</f>
        <v>2038864</v>
      </c>
      <c r="P348" s="3">
        <f>'Monthly D4 Gallon Data'!$AE177</f>
        <v>4026790</v>
      </c>
      <c r="Q348" s="4">
        <f>(SUM(L348:P348)/SUM(L$353:P$353))*Q$353-3000000</f>
        <v>11770394.176198298</v>
      </c>
      <c r="R348" s="4">
        <f t="shared" si="329"/>
        <v>42945445.735034242</v>
      </c>
      <c r="S348" s="4">
        <f>(SUM(N348:R348)/SUM(N$353:R$353))*S$353+1400000</f>
        <v>124365788.44880567</v>
      </c>
      <c r="T348" s="4">
        <f t="shared" si="329"/>
        <v>162645699.40454593</v>
      </c>
      <c r="U348" s="4">
        <f t="shared" si="329"/>
        <v>212448474.47981218</v>
      </c>
      <c r="V348" s="4">
        <f t="shared" si="329"/>
        <v>286934462.00556856</v>
      </c>
      <c r="W348" s="4">
        <f t="shared" si="329"/>
        <v>335562378.64462978</v>
      </c>
      <c r="X348" s="4">
        <f t="shared" si="329"/>
        <v>424544009.54681194</v>
      </c>
      <c r="Y348" s="4">
        <f t="shared" si="329"/>
        <v>443259517.17043865</v>
      </c>
      <c r="Z348" s="4">
        <f t="shared" si="329"/>
        <v>481708352.9436273</v>
      </c>
      <c r="AA348" s="4">
        <f t="shared" si="329"/>
        <v>503259707.61227572</v>
      </c>
      <c r="AB348" s="4">
        <f t="shared" si="329"/>
        <v>387256820.03295845</v>
      </c>
      <c r="AC348" s="4">
        <f t="shared" si="329"/>
        <v>422728045.30291945</v>
      </c>
      <c r="AD348" s="4">
        <f t="shared" si="329"/>
        <v>475970232.15940487</v>
      </c>
      <c r="AE348" s="4">
        <f t="shared" si="330"/>
        <v>475793497.8353042</v>
      </c>
      <c r="AF348" s="4">
        <f t="shared" si="331"/>
        <v>473188160.68332803</v>
      </c>
      <c r="AG348" s="4">
        <f t="shared" si="331"/>
        <v>493772319.37976605</v>
      </c>
      <c r="AH348" s="4">
        <f t="shared" si="331"/>
        <v>509774334.43475008</v>
      </c>
      <c r="AI348" s="4">
        <f t="shared" si="331"/>
        <v>521485534.56446302</v>
      </c>
      <c r="AJ348" s="4">
        <f t="shared" si="331"/>
        <v>527442051.93918288</v>
      </c>
      <c r="AK348" s="4">
        <f t="shared" si="331"/>
        <v>543115106.44728863</v>
      </c>
      <c r="AL348" s="4">
        <f t="shared" si="331"/>
        <v>572853291.73189974</v>
      </c>
      <c r="AM348" s="4">
        <f t="shared" si="331"/>
        <v>593537068.20316672</v>
      </c>
      <c r="AN348" s="4">
        <f t="shared" si="331"/>
        <v>594215278.47558987</v>
      </c>
      <c r="AO348" s="4">
        <f t="shared" si="331"/>
        <v>593222292.30504501</v>
      </c>
      <c r="AP348" s="4">
        <f t="shared" si="331"/>
        <v>607168442.55397356</v>
      </c>
      <c r="AQ348" s="4">
        <f t="shared" si="331"/>
        <v>681657563.17546654</v>
      </c>
      <c r="AR348" s="4"/>
      <c r="AS348" s="94"/>
      <c r="AT348" s="121">
        <f t="shared" si="334"/>
        <v>7.6538655528967769E-2</v>
      </c>
      <c r="AU348" s="197"/>
      <c r="AV348" s="194"/>
      <c r="AW348" s="194"/>
      <c r="AX348" s="194"/>
      <c r="AY348" s="195"/>
      <c r="AZ348" s="196"/>
      <c r="BA348" s="195">
        <v>179278729.11455953</v>
      </c>
      <c r="BB348" s="195">
        <f t="shared" si="338"/>
        <v>-179006972.11455953</v>
      </c>
      <c r="BC348" s="195">
        <v>168020270.68833292</v>
      </c>
      <c r="BD348" s="195">
        <f t="shared" si="336"/>
        <v>-167956415.68833292</v>
      </c>
      <c r="BE348" s="195">
        <v>155942954.667191</v>
      </c>
      <c r="BF348" s="195">
        <f t="shared" si="337"/>
        <v>-155220896.667191</v>
      </c>
      <c r="BG348" s="195">
        <v>141572065.80553842</v>
      </c>
      <c r="BH348" s="195"/>
      <c r="BI348" s="3"/>
      <c r="BJ348" s="4">
        <v>4026790</v>
      </c>
      <c r="BK348" s="3">
        <f t="shared" si="332"/>
        <v>0</v>
      </c>
      <c r="BL348" s="3">
        <v>19100563.108854711</v>
      </c>
      <c r="BM348" s="177">
        <f t="shared" si="333"/>
        <v>-7330168.9326564129</v>
      </c>
      <c r="BN348" s="3"/>
      <c r="BR348" s="3"/>
      <c r="BS348" s="3"/>
      <c r="BT348" s="3"/>
      <c r="BU348" s="3"/>
      <c r="BV348" s="3"/>
      <c r="BW348" s="3"/>
      <c r="BX348" s="3"/>
      <c r="BY348" s="3"/>
      <c r="BZ348" s="3"/>
      <c r="CA348" s="3"/>
      <c r="CB348" s="3"/>
      <c r="CC348" s="4"/>
      <c r="CD348" s="3"/>
      <c r="CE348" s="3"/>
      <c r="CF348" s="3"/>
      <c r="CG348" s="3"/>
      <c r="CH348" s="3"/>
      <c r="CI348" s="3"/>
      <c r="CJ348" s="3"/>
      <c r="CK348" s="3"/>
      <c r="CL348" s="3"/>
      <c r="CM348" s="3"/>
      <c r="CN348" s="3"/>
      <c r="CO348" s="3"/>
      <c r="CP348" s="3"/>
    </row>
    <row r="349" spans="1:94">
      <c r="A349" s="2" t="s">
        <v>51</v>
      </c>
      <c r="B349" s="3">
        <f>'Monthly D4 Gallon Data'!$AE10</f>
        <v>0</v>
      </c>
      <c r="C349" s="3">
        <f>'Monthly D4 Gallon Data'!$AE22</f>
        <v>0</v>
      </c>
      <c r="D349" s="3">
        <f>'Monthly D4 Gallon Data'!$AE34</f>
        <v>0</v>
      </c>
      <c r="E349" s="3">
        <f>'Monthly D4 Gallon Data'!$AE46</f>
        <v>0</v>
      </c>
      <c r="F349" s="3">
        <f>'Monthly D4 Gallon Data'!$AE58</f>
        <v>0</v>
      </c>
      <c r="G349" s="3">
        <f>'Monthly D4 Gallon Data'!$AE70</f>
        <v>0</v>
      </c>
      <c r="H349" s="3">
        <f>'Monthly D4 Gallon Data'!$AE82</f>
        <v>230790</v>
      </c>
      <c r="I349" s="3">
        <f>'Monthly D4 Gallon Data'!$AE94</f>
        <v>137952</v>
      </c>
      <c r="J349" s="3">
        <f>'Monthly D4 Gallon Data'!$AE106</f>
        <v>151082</v>
      </c>
      <c r="K349" s="3">
        <f>'Monthly D4 Gallon Data'!$AE118</f>
        <v>275529</v>
      </c>
      <c r="L349" s="3">
        <f>'Monthly D4 Gallon Data'!$AE130</f>
        <v>371169</v>
      </c>
      <c r="M349" s="3">
        <f>'Monthly D4 Gallon Data'!$AE142</f>
        <v>300122</v>
      </c>
      <c r="N349" s="3">
        <f>'Monthly D4 Gallon Data'!$AE154</f>
        <v>393571</v>
      </c>
      <c r="O349" s="3">
        <f>'Monthly D4 Gallon Data'!$AE166</f>
        <v>659302</v>
      </c>
      <c r="P349" s="3">
        <f>'Monthly D4 Gallon Data'!$AE178</f>
        <v>9238825</v>
      </c>
      <c r="Q349" s="4">
        <f>(SUM(L349:P349)/SUM(L$353:P$353))*Q$353-10000000</f>
        <v>12352933.632424854</v>
      </c>
      <c r="R349" s="4">
        <f t="shared" si="329"/>
        <v>51996708.025440149</v>
      </c>
      <c r="S349" s="4">
        <f>(SUM(N349:R349)/SUM(N$353:R$353))*S$353+900000</f>
        <v>150936320.87113687</v>
      </c>
      <c r="T349" s="4">
        <f t="shared" si="329"/>
        <v>197816696.35851759</v>
      </c>
      <c r="U349" s="4">
        <f t="shared" si="329"/>
        <v>259507549.87836725</v>
      </c>
      <c r="V349" s="4">
        <f t="shared" si="329"/>
        <v>348256000.37040305</v>
      </c>
      <c r="W349" s="4">
        <f t="shared" si="329"/>
        <v>408058415.89728802</v>
      </c>
      <c r="X349" s="4">
        <f t="shared" si="329"/>
        <v>516349767.86017174</v>
      </c>
      <c r="Y349" s="4">
        <f t="shared" si="329"/>
        <v>539213100.98474038</v>
      </c>
      <c r="Z349" s="4">
        <f t="shared" si="329"/>
        <v>585995628.15935934</v>
      </c>
      <c r="AA349" s="4">
        <f t="shared" si="329"/>
        <v>611940915.26851034</v>
      </c>
      <c r="AB349" s="4">
        <f t="shared" si="329"/>
        <v>471000513.1409145</v>
      </c>
      <c r="AC349" s="4">
        <f t="shared" si="329"/>
        <v>514155322.37966496</v>
      </c>
      <c r="AD349" s="4">
        <f t="shared" si="329"/>
        <v>578915721.47631049</v>
      </c>
      <c r="AE349" s="4">
        <f t="shared" si="330"/>
        <v>578683382.78706324</v>
      </c>
      <c r="AF349" s="4">
        <f t="shared" si="331"/>
        <v>575489927.87385142</v>
      </c>
      <c r="AG349" s="4">
        <f t="shared" si="331"/>
        <v>600551254.67594326</v>
      </c>
      <c r="AH349" s="4">
        <f t="shared" si="331"/>
        <v>620013971.22608721</v>
      </c>
      <c r="AI349" s="4">
        <f t="shared" si="331"/>
        <v>634255257.49864268</v>
      </c>
      <c r="AJ349" s="4">
        <f t="shared" si="331"/>
        <v>641495949.18487644</v>
      </c>
      <c r="AK349" s="4">
        <f t="shared" si="331"/>
        <v>660557182.06234705</v>
      </c>
      <c r="AL349" s="4">
        <f t="shared" si="331"/>
        <v>696730183.44994998</v>
      </c>
      <c r="AM349" s="4">
        <f t="shared" si="331"/>
        <v>721886079.01795352</v>
      </c>
      <c r="AN349" s="4">
        <f t="shared" si="331"/>
        <v>722710121.16820073</v>
      </c>
      <c r="AO349" s="4">
        <f t="shared" si="331"/>
        <v>721501953.68708563</v>
      </c>
      <c r="AP349" s="4">
        <f t="shared" si="331"/>
        <v>738464122.65584946</v>
      </c>
      <c r="AQ349" s="4">
        <f t="shared" si="331"/>
        <v>829061549.92710483</v>
      </c>
      <c r="AR349" s="4"/>
      <c r="AS349" s="94"/>
      <c r="AT349" s="121">
        <f t="shared" si="334"/>
        <v>4.9491924187598402E-2</v>
      </c>
      <c r="AU349" s="197"/>
      <c r="AV349" s="194"/>
      <c r="AW349" s="194"/>
      <c r="AX349" s="194"/>
      <c r="AY349" s="195"/>
      <c r="AZ349" s="196"/>
      <c r="BA349" s="195">
        <v>141119976.66064993</v>
      </c>
      <c r="BB349" s="195">
        <f t="shared" si="338"/>
        <v>-140844447.66064993</v>
      </c>
      <c r="BC349" s="195">
        <v>159933651.26960924</v>
      </c>
      <c r="BD349" s="195">
        <f t="shared" si="336"/>
        <v>-159562482.26960924</v>
      </c>
      <c r="BE349" s="195">
        <v>151331868.28440863</v>
      </c>
      <c r="BF349" s="195">
        <f t="shared" si="337"/>
        <v>-151031746.28440863</v>
      </c>
      <c r="BG349" s="195">
        <v>140040273.96936029</v>
      </c>
      <c r="BH349" s="194">
        <f>SUM(P347:P349)</f>
        <v>16522502</v>
      </c>
      <c r="BI349" s="3"/>
      <c r="BJ349" s="4">
        <v>5173894.0810593618</v>
      </c>
      <c r="BK349" s="3">
        <f t="shared" si="332"/>
        <v>4064930.9189406382</v>
      </c>
      <c r="BL349" s="3">
        <v>23932762.332035501</v>
      </c>
      <c r="BM349" s="177">
        <f t="shared" si="333"/>
        <v>-11579828.699610647</v>
      </c>
      <c r="BN349" s="3"/>
      <c r="BR349" s="3"/>
      <c r="BS349" s="3"/>
      <c r="BT349" s="3"/>
      <c r="BU349" s="3"/>
      <c r="BV349" s="3"/>
      <c r="BW349" s="3"/>
      <c r="BX349" s="3"/>
      <c r="BY349" s="3"/>
      <c r="BZ349" s="3"/>
      <c r="CA349" s="3"/>
      <c r="CB349" s="3"/>
      <c r="CC349" s="4"/>
      <c r="CD349" s="3"/>
      <c r="CE349" s="3"/>
      <c r="CF349" s="3"/>
      <c r="CG349" s="3"/>
      <c r="CH349" s="3"/>
      <c r="CI349" s="3"/>
      <c r="CJ349" s="3"/>
      <c r="CK349" s="3"/>
      <c r="CL349" s="3"/>
      <c r="CM349" s="3"/>
      <c r="CN349" s="3"/>
      <c r="CO349" s="3"/>
      <c r="CP349" s="3"/>
    </row>
    <row r="350" spans="1:94">
      <c r="A350" s="2" t="s">
        <v>52</v>
      </c>
      <c r="B350" s="3">
        <f>'Monthly D4 Gallon Data'!$AE11</f>
        <v>0</v>
      </c>
      <c r="C350" s="3">
        <f>'Monthly D4 Gallon Data'!$AE23</f>
        <v>0</v>
      </c>
      <c r="D350" s="3">
        <f>'Monthly D4 Gallon Data'!$AE35</f>
        <v>0</v>
      </c>
      <c r="E350" s="3">
        <f>'Monthly D4 Gallon Data'!$AE47</f>
        <v>0</v>
      </c>
      <c r="F350" s="3">
        <f>'Monthly D4 Gallon Data'!$AE59</f>
        <v>0</v>
      </c>
      <c r="G350" s="3">
        <f>'Monthly D4 Gallon Data'!$AE71</f>
        <v>0</v>
      </c>
      <c r="H350" s="3">
        <f>'Monthly D4 Gallon Data'!$AE83</f>
        <v>181093</v>
      </c>
      <c r="I350" s="3">
        <f>'Monthly D4 Gallon Data'!$AE95</f>
        <v>160272</v>
      </c>
      <c r="J350" s="3">
        <f>'Monthly D4 Gallon Data'!$AE107</f>
        <v>229089</v>
      </c>
      <c r="K350" s="3">
        <f>'Monthly D4 Gallon Data'!$AE119</f>
        <v>216574</v>
      </c>
      <c r="L350" s="3">
        <f>'Monthly D4 Gallon Data'!$AE131</f>
        <v>188416</v>
      </c>
      <c r="M350" s="3">
        <f>'Monthly D4 Gallon Data'!$AE143</f>
        <v>437741</v>
      </c>
      <c r="N350" s="3">
        <f>'Monthly D4 Gallon Data'!$AE155</f>
        <v>1764631</v>
      </c>
      <c r="O350" s="3">
        <f>'Monthly D4 Gallon Data'!$AE167</f>
        <v>1465137</v>
      </c>
      <c r="P350" s="3">
        <f>'Monthly D4 Gallon Data'!$AE179</f>
        <v>4385751</v>
      </c>
      <c r="Q350" s="4">
        <f>(SUM(L350:P350)/SUM(L$353:P$353))*Q$353-2000000</f>
        <v>14804325.59477609</v>
      </c>
      <c r="R350" s="4">
        <f t="shared" si="329"/>
        <v>51799170.449949764</v>
      </c>
      <c r="S350" s="4">
        <f>(SUM(N350:R350)/SUM(N$353:R$353))*S$353-2200000</f>
        <v>146987407.50142556</v>
      </c>
      <c r="T350" s="4">
        <f t="shared" si="329"/>
        <v>192772279.50451347</v>
      </c>
      <c r="U350" s="4">
        <f t="shared" si="329"/>
        <v>252384512.43171611</v>
      </c>
      <c r="V350" s="4">
        <f t="shared" si="329"/>
        <v>341078435.46241087</v>
      </c>
      <c r="W350" s="4">
        <f t="shared" si="329"/>
        <v>398553442.25845426</v>
      </c>
      <c r="X350" s="4">
        <f t="shared" si="329"/>
        <v>503938791.68250573</v>
      </c>
      <c r="Y350" s="4">
        <f t="shared" si="329"/>
        <v>526352636.33238775</v>
      </c>
      <c r="Z350" s="4">
        <f t="shared" si="329"/>
        <v>572111719.76345897</v>
      </c>
      <c r="AA350" s="4">
        <f t="shared" si="329"/>
        <v>597690999.03600705</v>
      </c>
      <c r="AB350" s="4">
        <f t="shared" si="329"/>
        <v>459867651.55774254</v>
      </c>
      <c r="AC350" s="4">
        <f t="shared" si="329"/>
        <v>501975978.49151564</v>
      </c>
      <c r="AD350" s="4">
        <f t="shared" si="329"/>
        <v>565240532.89830947</v>
      </c>
      <c r="AE350" s="4">
        <f t="shared" si="330"/>
        <v>565039481.05127645</v>
      </c>
      <c r="AF350" s="4">
        <f t="shared" si="331"/>
        <v>561935442.73680806</v>
      </c>
      <c r="AG350" s="4">
        <f t="shared" si="331"/>
        <v>586370467.75575387</v>
      </c>
      <c r="AH350" s="4">
        <f t="shared" si="331"/>
        <v>605376039.6682775</v>
      </c>
      <c r="AI350" s="4">
        <f t="shared" si="331"/>
        <v>619289828.24733794</v>
      </c>
      <c r="AJ350" s="4">
        <f t="shared" si="331"/>
        <v>626362980.64901257</v>
      </c>
      <c r="AK350" s="4">
        <f t="shared" si="331"/>
        <v>644972984.62789977</v>
      </c>
      <c r="AL350" s="4">
        <f t="shared" si="331"/>
        <v>680287550.5487324</v>
      </c>
      <c r="AM350" s="4">
        <f t="shared" si="331"/>
        <v>704851538.19353807</v>
      </c>
      <c r="AN350" s="4">
        <f t="shared" si="331"/>
        <v>705657706.53742337</v>
      </c>
      <c r="AO350" s="4">
        <f t="shared" si="331"/>
        <v>704478070.10873139</v>
      </c>
      <c r="AP350" s="4">
        <f t="shared" si="331"/>
        <v>721039351.58478773</v>
      </c>
      <c r="AQ350" s="4">
        <f t="shared" si="331"/>
        <v>809498519.53192782</v>
      </c>
      <c r="AR350" s="4"/>
      <c r="AS350" s="94"/>
      <c r="AT350" s="121">
        <f t="shared" si="334"/>
        <v>0.19844613719259763</v>
      </c>
      <c r="AU350" s="197"/>
      <c r="AV350" s="194"/>
      <c r="AW350" s="194"/>
      <c r="AX350" s="194"/>
      <c r="AY350" s="195"/>
      <c r="AZ350" s="196"/>
      <c r="BA350" s="195">
        <v>152816519.91490614</v>
      </c>
      <c r="BB350" s="195">
        <f t="shared" si="338"/>
        <v>-152599945.91490614</v>
      </c>
      <c r="BC350" s="195">
        <v>173289693.89777201</v>
      </c>
      <c r="BD350" s="195">
        <f t="shared" si="336"/>
        <v>-173101277.89777201</v>
      </c>
      <c r="BE350" s="195">
        <v>149277371.44355991</v>
      </c>
      <c r="BF350" s="195">
        <f t="shared" si="337"/>
        <v>-148839630.44355991</v>
      </c>
      <c r="BG350" s="195">
        <v>137891779.86776355</v>
      </c>
      <c r="BH350" s="205">
        <f>(BH349/BH346)-1</f>
        <v>0.83422229317224228</v>
      </c>
      <c r="BI350" s="3"/>
      <c r="BJ350" s="4">
        <v>5545766.6623458723</v>
      </c>
      <c r="BK350" s="3">
        <f t="shared" si="332"/>
        <v>-1160015.6623458723</v>
      </c>
      <c r="BL350" s="3">
        <v>24006179.4211087</v>
      </c>
      <c r="BM350" s="177">
        <f t="shared" si="333"/>
        <v>-9201853.8263326101</v>
      </c>
      <c r="BN350" s="3"/>
      <c r="BR350" s="3"/>
      <c r="BS350" s="3"/>
      <c r="BT350" s="3"/>
      <c r="BU350" s="3"/>
      <c r="BV350" s="3"/>
      <c r="BW350" s="3"/>
      <c r="BX350" s="3"/>
      <c r="BY350" s="3"/>
      <c r="BZ350" s="3"/>
      <c r="CA350" s="3"/>
      <c r="CB350" s="3"/>
      <c r="CC350" s="4"/>
      <c r="CD350" s="3"/>
      <c r="CE350" s="3"/>
      <c r="CF350" s="3"/>
      <c r="CG350" s="3"/>
      <c r="CH350" s="3"/>
      <c r="CI350" s="3"/>
      <c r="CJ350" s="3"/>
      <c r="CK350" s="3"/>
      <c r="CL350" s="3"/>
      <c r="CM350" s="3"/>
      <c r="CN350" s="3"/>
      <c r="CO350" s="3"/>
      <c r="CP350" s="3"/>
    </row>
    <row r="351" spans="1:94">
      <c r="A351" s="2" t="s">
        <v>53</v>
      </c>
      <c r="B351" s="3">
        <f>'Monthly D4 Gallon Data'!$AE12</f>
        <v>0</v>
      </c>
      <c r="C351" s="3">
        <f>'Monthly D4 Gallon Data'!$AE24</f>
        <v>0</v>
      </c>
      <c r="D351" s="3">
        <f>'Monthly D4 Gallon Data'!$AE36</f>
        <v>0</v>
      </c>
      <c r="E351" s="3">
        <f>'Monthly D4 Gallon Data'!$AE48</f>
        <v>0</v>
      </c>
      <c r="F351" s="3">
        <f>'Monthly D4 Gallon Data'!$AE60</f>
        <v>0</v>
      </c>
      <c r="G351" s="3">
        <f>'Monthly D4 Gallon Data'!$AE72</f>
        <v>0</v>
      </c>
      <c r="H351" s="3">
        <f>'Monthly D4 Gallon Data'!$AE84</f>
        <v>192991</v>
      </c>
      <c r="I351" s="3">
        <f>'Monthly D4 Gallon Data'!$AE96</f>
        <v>68957</v>
      </c>
      <c r="J351" s="3">
        <f>'Monthly D4 Gallon Data'!$AE108</f>
        <v>152783</v>
      </c>
      <c r="K351" s="3">
        <f>'Monthly D4 Gallon Data'!$AE120</f>
        <v>91175</v>
      </c>
      <c r="L351" s="3">
        <f>'Monthly D4 Gallon Data'!$AE132</f>
        <v>188201</v>
      </c>
      <c r="M351" s="3">
        <f>'Monthly D4 Gallon Data'!$AE144</f>
        <v>403482</v>
      </c>
      <c r="N351" s="3">
        <f>'Monthly D4 Gallon Data'!$AE156</f>
        <v>152226</v>
      </c>
      <c r="O351" s="3">
        <f>'Monthly D4 Gallon Data'!$AE168</f>
        <v>0</v>
      </c>
      <c r="P351" s="3">
        <f>'Monthly D4 Gallon Data'!$AE180</f>
        <v>2385423</v>
      </c>
      <c r="Q351" s="4">
        <f>(SUM(L351:P351)/SUM(L$353:P$353))*Q$353+10000000</f>
        <v>16380536.413000446</v>
      </c>
      <c r="R351" s="4">
        <f t="shared" si="329"/>
        <v>43786179.408729203</v>
      </c>
      <c r="S351" s="4">
        <f>(SUM(N351:R351)/SUM(N$353:R$353))*S$353+700000</f>
        <v>126741845.49121414</v>
      </c>
      <c r="T351" s="4">
        <f t="shared" si="329"/>
        <v>166288438.47560069</v>
      </c>
      <c r="U351" s="4">
        <f t="shared" si="329"/>
        <v>218487472.43177387</v>
      </c>
      <c r="V351" s="4">
        <f t="shared" si="329"/>
        <v>295999889.94310719</v>
      </c>
      <c r="W351" s="4">
        <f t="shared" si="329"/>
        <v>344449298.80517775</v>
      </c>
      <c r="X351" s="4">
        <f t="shared" si="329"/>
        <v>435899728.45442837</v>
      </c>
      <c r="Y351" s="4">
        <f t="shared" si="329"/>
        <v>455412091.58544821</v>
      </c>
      <c r="Z351" s="4">
        <f t="shared" si="329"/>
        <v>495146020.60505652</v>
      </c>
      <c r="AA351" s="4">
        <f t="shared" si="329"/>
        <v>517269841.89440447</v>
      </c>
      <c r="AB351" s="4">
        <f t="shared" si="329"/>
        <v>397846892.7623831</v>
      </c>
      <c r="AC351" s="4">
        <f t="shared" si="329"/>
        <v>434342760.19127095</v>
      </c>
      <c r="AD351" s="4">
        <f t="shared" si="329"/>
        <v>489113496.70413357</v>
      </c>
      <c r="AE351" s="4">
        <f t="shared" si="330"/>
        <v>488950199.75573337</v>
      </c>
      <c r="AF351" s="4">
        <f t="shared" si="331"/>
        <v>486248291.63399762</v>
      </c>
      <c r="AG351" s="4">
        <f t="shared" si="331"/>
        <v>507374062.69245309</v>
      </c>
      <c r="AH351" s="4">
        <f t="shared" si="331"/>
        <v>523833758.70202166</v>
      </c>
      <c r="AI351" s="4">
        <f t="shared" si="331"/>
        <v>535877398.32850617</v>
      </c>
      <c r="AJ351" s="4">
        <f t="shared" si="331"/>
        <v>541996698.55620825</v>
      </c>
      <c r="AK351" s="4">
        <f t="shared" si="331"/>
        <v>558096380.04823458</v>
      </c>
      <c r="AL351" s="4">
        <f t="shared" si="331"/>
        <v>588653158.76595783</v>
      </c>
      <c r="AM351" s="4">
        <f t="shared" si="331"/>
        <v>609911185.05111206</v>
      </c>
      <c r="AN351" s="4">
        <f t="shared" si="331"/>
        <v>610608945.57455766</v>
      </c>
      <c r="AO351" s="4">
        <f t="shared" si="331"/>
        <v>609587575.00664842</v>
      </c>
      <c r="AP351" s="4">
        <f t="shared" si="331"/>
        <v>623917610.26345956</v>
      </c>
      <c r="AQ351" s="4">
        <f t="shared" si="331"/>
        <v>700461781.47597051</v>
      </c>
      <c r="AR351" s="4"/>
      <c r="AS351" s="94"/>
      <c r="AT351" s="121">
        <f t="shared" si="334"/>
        <v>0.10646961309609027</v>
      </c>
      <c r="AU351" s="197"/>
      <c r="AV351" s="194"/>
      <c r="AW351" s="194"/>
      <c r="AX351" s="194"/>
      <c r="AY351" s="195"/>
      <c r="AZ351" s="196"/>
      <c r="BA351" s="195">
        <v>130353452.30666322</v>
      </c>
      <c r="BB351" s="195">
        <f t="shared" si="338"/>
        <v>-130262277.30666322</v>
      </c>
      <c r="BC351" s="195">
        <v>133413302.04905352</v>
      </c>
      <c r="BD351" s="195">
        <f t="shared" si="336"/>
        <v>-133225101.04905352</v>
      </c>
      <c r="BE351" s="195">
        <v>141356362.87740099</v>
      </c>
      <c r="BF351" s="195">
        <f t="shared" si="337"/>
        <v>-140952880.87740099</v>
      </c>
      <c r="BG351" s="195">
        <v>142499844.22919351</v>
      </c>
      <c r="BH351" s="195"/>
      <c r="BI351" s="3"/>
      <c r="BJ351" s="4">
        <v>5629061.1702837199</v>
      </c>
      <c r="BK351" s="3">
        <f t="shared" si="332"/>
        <v>-3243638.1702837199</v>
      </c>
      <c r="BL351" s="3">
        <v>22115052.018572062</v>
      </c>
      <c r="BM351" s="177">
        <f t="shared" si="333"/>
        <v>-5734515.6055716164</v>
      </c>
      <c r="BN351" s="3"/>
      <c r="BR351" s="3"/>
      <c r="BS351" s="3"/>
      <c r="BT351" s="3"/>
      <c r="BU351" s="3"/>
      <c r="BV351" s="3"/>
      <c r="BW351" s="3"/>
      <c r="BX351" s="3"/>
      <c r="BY351" s="3"/>
      <c r="BZ351" s="3"/>
      <c r="CA351" s="3"/>
      <c r="CB351" s="3"/>
      <c r="CC351" s="4"/>
      <c r="CD351" s="3"/>
      <c r="CE351" s="3"/>
      <c r="CF351" s="3"/>
      <c r="CG351" s="3"/>
      <c r="CH351" s="3"/>
      <c r="CI351" s="3"/>
      <c r="CJ351" s="3"/>
      <c r="CK351" s="3"/>
      <c r="CL351" s="3"/>
      <c r="CM351" s="3"/>
      <c r="CN351" s="3"/>
      <c r="CO351" s="3"/>
      <c r="CP351" s="3"/>
    </row>
    <row r="352" spans="1:94">
      <c r="A352" s="2" t="s">
        <v>54</v>
      </c>
      <c r="B352" s="3">
        <f>'Monthly D4 Gallon Data'!$AE13</f>
        <v>0</v>
      </c>
      <c r="C352" s="3">
        <f>'Monthly D4 Gallon Data'!$AE25</f>
        <v>0</v>
      </c>
      <c r="D352" s="3">
        <f>'Monthly D4 Gallon Data'!$AE37</f>
        <v>0</v>
      </c>
      <c r="E352" s="3">
        <f>'Monthly D4 Gallon Data'!$AE49</f>
        <v>0</v>
      </c>
      <c r="F352" s="3">
        <f>'Monthly D4 Gallon Data'!$AE61</f>
        <v>0</v>
      </c>
      <c r="G352" s="3">
        <f>'Monthly D4 Gallon Data'!$AE73</f>
        <v>0</v>
      </c>
      <c r="H352" s="3">
        <f>'Monthly D4 Gallon Data'!$AE85</f>
        <v>178772</v>
      </c>
      <c r="I352" s="3">
        <f>'Monthly D4 Gallon Data'!$AE97</f>
        <v>201266</v>
      </c>
      <c r="J352" s="3">
        <f>'Monthly D4 Gallon Data'!$AE109</f>
        <v>272240</v>
      </c>
      <c r="K352" s="3">
        <f>'Monthly D4 Gallon Data'!$AE121</f>
        <v>137333</v>
      </c>
      <c r="L352" s="3">
        <f>'Monthly D4 Gallon Data'!$AE133</f>
        <v>194662</v>
      </c>
      <c r="M352" s="3">
        <f>'Monthly D4 Gallon Data'!$AE145</f>
        <v>308503</v>
      </c>
      <c r="N352" s="3">
        <f>'Monthly D4 Gallon Data'!$AE157</f>
        <v>100555</v>
      </c>
      <c r="O352" s="3">
        <f>'Monthly D4 Gallon Data'!$AE169</f>
        <v>117932</v>
      </c>
      <c r="P352" s="3">
        <f>'Monthly D4 Gallon Data'!$AE181</f>
        <v>2161094</v>
      </c>
      <c r="Q352" s="119">
        <f>Q353-SUM(Q341:Q351)</f>
        <v>15071413.644033596</v>
      </c>
      <c r="R352" s="4">
        <f t="shared" ref="R352:AD352" si="339">R353-SUM(R341:R351)</f>
        <v>39496037.437086999</v>
      </c>
      <c r="S352" s="4">
        <f t="shared" si="339"/>
        <v>113369049.15085673</v>
      </c>
      <c r="T352" s="4">
        <f t="shared" si="339"/>
        <v>149528650.70780087</v>
      </c>
      <c r="U352" s="4">
        <f t="shared" si="339"/>
        <v>196394213.84245372</v>
      </c>
      <c r="V352" s="4">
        <f t="shared" si="339"/>
        <v>266059903.34325171</v>
      </c>
      <c r="W352" s="4">
        <f t="shared" si="339"/>
        <v>309468017.41029167</v>
      </c>
      <c r="X352" s="4">
        <f t="shared" si="339"/>
        <v>391571725.85410309</v>
      </c>
      <c r="Y352" s="4">
        <f t="shared" si="339"/>
        <v>409250679.06665039</v>
      </c>
      <c r="Z352" s="4">
        <f t="shared" si="339"/>
        <v>444930081.94314384</v>
      </c>
      <c r="AA352" s="4">
        <f t="shared" si="339"/>
        <v>464793606.62914944</v>
      </c>
      <c r="AB352" s="4">
        <f t="shared" si="339"/>
        <v>357470227.66794682</v>
      </c>
      <c r="AC352" s="4">
        <f t="shared" si="339"/>
        <v>390266701.19342613</v>
      </c>
      <c r="AD352" s="4">
        <f t="shared" si="339"/>
        <v>439499413.31568813</v>
      </c>
      <c r="AE352" s="4">
        <f t="shared" ref="AE352:AQ352" si="340">AE353-SUM(AE341:AE351)</f>
        <v>439345534.13390923</v>
      </c>
      <c r="AF352" s="4">
        <f t="shared" si="340"/>
        <v>436914123.79586601</v>
      </c>
      <c r="AG352" s="4">
        <f t="shared" si="340"/>
        <v>455895319.30239582</v>
      </c>
      <c r="AH352" s="4">
        <f t="shared" si="340"/>
        <v>470687319.42735004</v>
      </c>
      <c r="AI352" s="4">
        <f t="shared" si="340"/>
        <v>481511001.08934021</v>
      </c>
      <c r="AJ352" s="4">
        <f t="shared" si="340"/>
        <v>487007779.77842999</v>
      </c>
      <c r="AK352" s="4">
        <f t="shared" si="340"/>
        <v>501473541.98431492</v>
      </c>
      <c r="AL352" s="4">
        <f t="shared" si="340"/>
        <v>528930301.44974709</v>
      </c>
      <c r="AM352" s="4">
        <f t="shared" si="340"/>
        <v>548032045.3438158</v>
      </c>
      <c r="AN352" s="4">
        <f t="shared" si="340"/>
        <v>548659093.50410557</v>
      </c>
      <c r="AO352" s="4">
        <f t="shared" si="340"/>
        <v>547741032.26588535</v>
      </c>
      <c r="AP352" s="4">
        <f t="shared" si="340"/>
        <v>560617173.41559696</v>
      </c>
      <c r="AQ352" s="4">
        <f t="shared" si="340"/>
        <v>629395537.2838068</v>
      </c>
      <c r="AR352" s="4"/>
      <c r="AS352" s="94"/>
      <c r="AT352" s="121">
        <f t="shared" si="334"/>
        <v>-7.9919407762975458E-2</v>
      </c>
      <c r="AU352" s="197"/>
      <c r="AV352" s="194"/>
      <c r="AW352" s="194"/>
      <c r="AX352" s="194"/>
      <c r="AY352" s="195"/>
      <c r="AZ352" s="196"/>
      <c r="BA352" s="195">
        <v>169422997</v>
      </c>
      <c r="BB352" s="195">
        <f t="shared" si="338"/>
        <v>-169285664</v>
      </c>
      <c r="BC352" s="195">
        <v>167631897</v>
      </c>
      <c r="BD352" s="195">
        <f t="shared" si="336"/>
        <v>-167437235</v>
      </c>
      <c r="BE352" s="195">
        <v>179824533</v>
      </c>
      <c r="BF352" s="195">
        <f t="shared" si="337"/>
        <v>-179516030</v>
      </c>
      <c r="BG352" s="195">
        <v>179383712.03590918</v>
      </c>
      <c r="BH352" s="194">
        <f>SUM(P350:P352)</f>
        <v>8932268</v>
      </c>
      <c r="BI352" s="3"/>
      <c r="BJ352" s="4">
        <v>6997087.1974221542</v>
      </c>
      <c r="BK352" s="3">
        <f t="shared" si="332"/>
        <v>-4835993.1974221542</v>
      </c>
      <c r="BL352" s="3">
        <v>11394751.03640002</v>
      </c>
      <c r="BM352" s="177">
        <f t="shared" si="333"/>
        <v>3676662.6076335758</v>
      </c>
      <c r="BN352" s="3"/>
      <c r="BR352" s="3"/>
      <c r="BS352" s="3"/>
      <c r="BT352" s="3"/>
      <c r="BU352" s="3"/>
      <c r="BV352" s="3"/>
      <c r="BW352" s="3"/>
      <c r="BX352" s="3"/>
      <c r="BY352" s="3"/>
      <c r="BZ352" s="3"/>
      <c r="CA352" s="3"/>
      <c r="CB352" s="3"/>
      <c r="CC352" s="4"/>
      <c r="CD352" s="3"/>
      <c r="CE352" s="3"/>
      <c r="CF352" s="3"/>
      <c r="CG352" s="3"/>
      <c r="CH352" s="3"/>
      <c r="CI352" s="3"/>
      <c r="CJ352" s="3"/>
      <c r="CK352" s="3"/>
      <c r="CL352" s="3"/>
      <c r="CM352" s="3"/>
      <c r="CN352" s="3"/>
      <c r="CO352" s="3"/>
      <c r="CP352" s="3"/>
    </row>
    <row r="353" spans="1:94" ht="13.5" thickBot="1">
      <c r="A353" s="2" t="s">
        <v>29</v>
      </c>
      <c r="B353" s="3">
        <f>SUM(B341:B352)</f>
        <v>0</v>
      </c>
      <c r="C353" s="3">
        <f t="shared" ref="C353:P353" si="341">SUM(C341:C352)</f>
        <v>0</v>
      </c>
      <c r="D353" s="3">
        <f t="shared" si="341"/>
        <v>0</v>
      </c>
      <c r="E353" s="3">
        <f t="shared" si="341"/>
        <v>0</v>
      </c>
      <c r="F353" s="3">
        <f t="shared" si="341"/>
        <v>0</v>
      </c>
      <c r="G353" s="3">
        <f t="shared" si="341"/>
        <v>0</v>
      </c>
      <c r="H353" s="3">
        <f t="shared" si="341"/>
        <v>783646</v>
      </c>
      <c r="I353" s="3">
        <f t="shared" si="341"/>
        <v>1711017</v>
      </c>
      <c r="J353" s="3">
        <f t="shared" si="341"/>
        <v>1828178</v>
      </c>
      <c r="K353" s="3">
        <f t="shared" si="341"/>
        <v>2428702</v>
      </c>
      <c r="L353" s="3">
        <f t="shared" si="341"/>
        <v>4608399</v>
      </c>
      <c r="M353" s="3">
        <f t="shared" si="341"/>
        <v>5076623</v>
      </c>
      <c r="N353" s="3">
        <f t="shared" si="341"/>
        <v>7893137</v>
      </c>
      <c r="O353" s="3">
        <f t="shared" si="341"/>
        <v>12190797</v>
      </c>
      <c r="P353" s="3">
        <f t="shared" si="341"/>
        <v>38670770</v>
      </c>
      <c r="Q353" s="4">
        <f t="shared" ref="Q353:AQ353" si="342">Q22</f>
        <v>139544849.77585417</v>
      </c>
      <c r="R353" s="4">
        <f t="shared" si="342"/>
        <v>460884952.28818947</v>
      </c>
      <c r="S353" s="4">
        <f t="shared" si="342"/>
        <v>1325024691.6580548</v>
      </c>
      <c r="T353" s="4">
        <f t="shared" si="342"/>
        <v>1736127605.2408397</v>
      </c>
      <c r="U353" s="4">
        <f t="shared" si="342"/>
        <v>2273618843.0182934</v>
      </c>
      <c r="V353" s="4">
        <f t="shared" si="342"/>
        <v>3073056748.9326878</v>
      </c>
      <c r="W353" s="4">
        <f t="shared" si="342"/>
        <v>3588403842.4726381</v>
      </c>
      <c r="X353" s="4">
        <f t="shared" si="342"/>
        <v>4539326563.3096561</v>
      </c>
      <c r="Y353" s="4">
        <f t="shared" si="342"/>
        <v>4740909735.4269781</v>
      </c>
      <c r="Z353" s="4">
        <f t="shared" si="342"/>
        <v>5153120368.9732685</v>
      </c>
      <c r="AA353" s="4">
        <f t="shared" si="342"/>
        <v>5383430335.0758305</v>
      </c>
      <c r="AB353" s="4">
        <f t="shared" si="342"/>
        <v>4141881413.0584121</v>
      </c>
      <c r="AC353" s="4">
        <f t="shared" si="342"/>
        <v>4521371708.7055407</v>
      </c>
      <c r="AD353" s="4">
        <f t="shared" si="342"/>
        <v>5091146297.1830416</v>
      </c>
      <c r="AE353" s="4">
        <f t="shared" si="342"/>
        <v>5089329457.8410053</v>
      </c>
      <c r="AF353" s="4">
        <f t="shared" si="342"/>
        <v>5061352265.7506943</v>
      </c>
      <c r="AG353" s="4">
        <f t="shared" si="342"/>
        <v>5281432384.5857172</v>
      </c>
      <c r="AH353" s="4">
        <f t="shared" si="342"/>
        <v>5452646167.7281857</v>
      </c>
      <c r="AI353" s="4">
        <f t="shared" si="342"/>
        <v>5577956616.7679939</v>
      </c>
      <c r="AJ353" s="4">
        <f t="shared" si="342"/>
        <v>5641661915.2152557</v>
      </c>
      <c r="AK353" s="4">
        <f t="shared" si="342"/>
        <v>5809280526.8083544</v>
      </c>
      <c r="AL353" s="4">
        <f t="shared" si="342"/>
        <v>6127361068.3523865</v>
      </c>
      <c r="AM353" s="4">
        <f t="shared" si="342"/>
        <v>6348612853.4748421</v>
      </c>
      <c r="AN353" s="4">
        <f t="shared" si="342"/>
        <v>6355871604.794714</v>
      </c>
      <c r="AO353" s="4">
        <f t="shared" si="342"/>
        <v>6345246171.1034651</v>
      </c>
      <c r="AP353" s="4">
        <f t="shared" si="342"/>
        <v>6494413981.4335413</v>
      </c>
      <c r="AQ353" s="4">
        <f t="shared" si="342"/>
        <v>7291167790.0887423</v>
      </c>
      <c r="AR353" s="4"/>
      <c r="AS353" s="4"/>
      <c r="AT353" s="194"/>
      <c r="AU353" s="194"/>
      <c r="AV353" s="194"/>
      <c r="AW353" s="194"/>
      <c r="AX353" s="194"/>
      <c r="AY353" s="195"/>
      <c r="AZ353" s="196"/>
      <c r="BA353" s="195">
        <v>1743500000</v>
      </c>
      <c r="BB353" s="195">
        <f t="shared" si="338"/>
        <v>-1741071298</v>
      </c>
      <c r="BC353" s="195">
        <v>1815449146</v>
      </c>
      <c r="BD353" s="195">
        <f t="shared" si="336"/>
        <v>-1810840747</v>
      </c>
      <c r="BE353" s="195">
        <v>1717327970</v>
      </c>
      <c r="BF353" s="195">
        <f t="shared" si="337"/>
        <v>-1712251347</v>
      </c>
      <c r="BG353" s="195">
        <v>1653807613.0359092</v>
      </c>
      <c r="BH353" s="205">
        <f>(BH352/BH349)-1</f>
        <v>-0.45938768837794663</v>
      </c>
      <c r="BI353" s="3"/>
      <c r="BJ353" s="4">
        <v>43845486.111111112</v>
      </c>
      <c r="BK353" s="3">
        <f t="shared" si="332"/>
        <v>-5174716.1111111119</v>
      </c>
      <c r="BL353" s="3">
        <v>199349785.39407736</v>
      </c>
      <c r="BM353" s="177">
        <f t="shared" si="333"/>
        <v>-59804935.61822319</v>
      </c>
      <c r="BN353" s="3"/>
      <c r="BR353" s="3"/>
      <c r="BS353" s="3"/>
      <c r="BT353" s="3"/>
      <c r="BU353" s="3"/>
      <c r="BV353" s="3"/>
      <c r="BW353" s="3"/>
      <c r="BX353" s="3"/>
      <c r="BY353" s="3"/>
      <c r="BZ353" s="3"/>
      <c r="CA353" s="3"/>
      <c r="CB353" s="3"/>
      <c r="CC353" s="4"/>
      <c r="CD353" s="3"/>
      <c r="CE353" s="3"/>
      <c r="CF353" s="3"/>
      <c r="CG353" s="3"/>
      <c r="CH353" s="3"/>
      <c r="CI353" s="3"/>
      <c r="CJ353" s="3"/>
      <c r="CK353" s="3"/>
      <c r="CL353" s="3"/>
      <c r="CM353" s="3"/>
      <c r="CN353" s="3"/>
      <c r="CO353" s="3"/>
      <c r="CP353" s="3"/>
    </row>
    <row r="354" spans="1:94">
      <c r="A354" s="114"/>
      <c r="B354" s="114"/>
      <c r="C354" s="114"/>
      <c r="D354" s="114"/>
      <c r="E354" s="114"/>
      <c r="F354" s="114"/>
      <c r="G354" s="114"/>
      <c r="H354" s="114"/>
      <c r="I354" s="114"/>
      <c r="J354" s="114"/>
      <c r="K354" s="214"/>
      <c r="L354" s="114"/>
      <c r="M354" s="114"/>
      <c r="N354" s="114"/>
      <c r="O354" s="114"/>
      <c r="P354" s="114"/>
      <c r="Q354" s="114"/>
      <c r="R354" s="114"/>
      <c r="S354" s="114"/>
      <c r="T354" s="114"/>
      <c r="U354" s="114"/>
      <c r="V354" s="114"/>
      <c r="W354" s="114"/>
      <c r="X354" s="114"/>
      <c r="Y354" s="114"/>
      <c r="Z354" s="114"/>
      <c r="AA354" s="114"/>
      <c r="AB354" s="114"/>
      <c r="AC354" s="114"/>
      <c r="AD354" s="114"/>
      <c r="AE354" s="114"/>
      <c r="AF354" s="114"/>
      <c r="AG354" s="114"/>
      <c r="AH354" s="114"/>
      <c r="AI354" s="114"/>
      <c r="AJ354" s="114"/>
      <c r="AK354" s="114"/>
      <c r="AL354" s="114"/>
      <c r="AM354" s="114"/>
      <c r="AN354" s="114"/>
      <c r="AO354" s="114"/>
      <c r="AP354" s="114"/>
      <c r="AQ354" s="114"/>
      <c r="AX354" s="4"/>
      <c r="AY354" s="3"/>
      <c r="BE354" s="4"/>
    </row>
    <row r="355" spans="1:94" ht="16.5" thickBot="1">
      <c r="A355" s="109" t="s">
        <v>329</v>
      </c>
      <c r="AX355" s="4"/>
      <c r="AY355" s="3"/>
      <c r="BE355" s="4"/>
    </row>
    <row r="356" spans="1:94" ht="13.5" thickBot="1">
      <c r="A356" s="110"/>
      <c r="B356" s="111">
        <f t="shared" ref="B356:K356" si="343">B2</f>
        <v>2010</v>
      </c>
      <c r="C356" s="111">
        <f t="shared" si="343"/>
        <v>2011</v>
      </c>
      <c r="D356" s="111">
        <f t="shared" si="343"/>
        <v>2012</v>
      </c>
      <c r="E356" s="111">
        <f t="shared" si="343"/>
        <v>2013</v>
      </c>
      <c r="F356" s="111">
        <f t="shared" si="343"/>
        <v>2014</v>
      </c>
      <c r="G356" s="111">
        <f t="shared" si="343"/>
        <v>2015</v>
      </c>
      <c r="H356" s="111">
        <f t="shared" si="343"/>
        <v>2016</v>
      </c>
      <c r="I356" s="111">
        <f t="shared" si="343"/>
        <v>2017</v>
      </c>
      <c r="J356" s="111">
        <f t="shared" si="343"/>
        <v>2018</v>
      </c>
      <c r="K356" s="111">
        <f t="shared" si="343"/>
        <v>2019</v>
      </c>
      <c r="L356" s="111">
        <f>L2</f>
        <v>2020</v>
      </c>
      <c r="M356" s="111">
        <f>M2</f>
        <v>2021</v>
      </c>
      <c r="N356" s="111">
        <f t="shared" ref="N356:AQ356" si="344">N2</f>
        <v>2022</v>
      </c>
      <c r="O356" s="111">
        <f t="shared" si="344"/>
        <v>2023</v>
      </c>
      <c r="P356" s="111">
        <f t="shared" si="344"/>
        <v>2024</v>
      </c>
      <c r="Q356" s="111">
        <f t="shared" si="344"/>
        <v>2025</v>
      </c>
      <c r="R356" s="111">
        <f t="shared" si="344"/>
        <v>2026</v>
      </c>
      <c r="S356" s="111">
        <f t="shared" si="344"/>
        <v>2027</v>
      </c>
      <c r="T356" s="111">
        <f t="shared" si="344"/>
        <v>2028</v>
      </c>
      <c r="U356" s="111">
        <f t="shared" si="344"/>
        <v>2029</v>
      </c>
      <c r="V356" s="111">
        <f t="shared" si="344"/>
        <v>2030</v>
      </c>
      <c r="W356" s="111">
        <f t="shared" si="344"/>
        <v>2031</v>
      </c>
      <c r="X356" s="111">
        <f t="shared" si="344"/>
        <v>2032</v>
      </c>
      <c r="Y356" s="111">
        <f t="shared" si="344"/>
        <v>2033</v>
      </c>
      <c r="Z356" s="111">
        <f t="shared" si="344"/>
        <v>2034</v>
      </c>
      <c r="AA356" s="111">
        <f t="shared" si="344"/>
        <v>2035</v>
      </c>
      <c r="AB356" s="111">
        <f t="shared" si="344"/>
        <v>2036</v>
      </c>
      <c r="AC356" s="111">
        <f t="shared" si="344"/>
        <v>2037</v>
      </c>
      <c r="AD356" s="111">
        <f t="shared" si="344"/>
        <v>2038</v>
      </c>
      <c r="AE356" s="111">
        <f t="shared" si="344"/>
        <v>2039</v>
      </c>
      <c r="AF356" s="111">
        <f t="shared" si="344"/>
        <v>2040</v>
      </c>
      <c r="AG356" s="111">
        <f t="shared" si="344"/>
        <v>2041</v>
      </c>
      <c r="AH356" s="111">
        <f t="shared" si="344"/>
        <v>2042</v>
      </c>
      <c r="AI356" s="111">
        <f t="shared" si="344"/>
        <v>2043</v>
      </c>
      <c r="AJ356" s="111">
        <f t="shared" si="344"/>
        <v>2044</v>
      </c>
      <c r="AK356" s="111">
        <f t="shared" si="344"/>
        <v>2045</v>
      </c>
      <c r="AL356" s="111">
        <f t="shared" si="344"/>
        <v>2046</v>
      </c>
      <c r="AM356" s="111">
        <f t="shared" si="344"/>
        <v>2047</v>
      </c>
      <c r="AN356" s="111">
        <f t="shared" si="344"/>
        <v>2048</v>
      </c>
      <c r="AO356" s="111">
        <f t="shared" si="344"/>
        <v>2049</v>
      </c>
      <c r="AP356" s="111">
        <f t="shared" si="344"/>
        <v>2050</v>
      </c>
      <c r="AQ356" s="111">
        <f t="shared" si="344"/>
        <v>2051</v>
      </c>
      <c r="AR356" s="94"/>
      <c r="AS356" s="94"/>
      <c r="AT356" s="94"/>
      <c r="AU356" s="94"/>
      <c r="AV356" s="94"/>
      <c r="AW356" s="94"/>
      <c r="AX356" s="4"/>
      <c r="AY356" s="3"/>
      <c r="BE356" s="4"/>
    </row>
    <row r="357" spans="1:94">
      <c r="A357" s="2" t="s">
        <v>43</v>
      </c>
      <c r="B357" s="3">
        <f>'Monthly D4 Gallon Data'!$AF2</f>
        <v>0</v>
      </c>
      <c r="C357" s="3">
        <f>'Monthly D4 Gallon Data'!$AF14</f>
        <v>0</v>
      </c>
      <c r="D357" s="3">
        <f>'Monthly D4 Gallon Data'!$AF26</f>
        <v>0</v>
      </c>
      <c r="E357" s="3">
        <f>'Monthly D4 Gallon Data'!$AF38</f>
        <v>0</v>
      </c>
      <c r="F357" s="3">
        <f>'Monthly D4 Gallon Data'!$AF50</f>
        <v>0</v>
      </c>
      <c r="G357" s="3">
        <f>'Monthly D4 Gallon Data'!$AF62</f>
        <v>0</v>
      </c>
      <c r="H357" s="3">
        <f>'Monthly D4 Gallon Data'!$AF74</f>
        <v>0</v>
      </c>
      <c r="I357" s="3">
        <f>'Monthly D4 Gallon Data'!$AF86</f>
        <v>0</v>
      </c>
      <c r="J357" s="3">
        <f>'Monthly D4 Gallon Data'!$AF98</f>
        <v>0</v>
      </c>
      <c r="K357" s="3">
        <f>'Monthly D4 Gallon Data'!$AF110</f>
        <v>0</v>
      </c>
      <c r="L357" s="3">
        <f>'Monthly D4 Gallon Data'!$AF122</f>
        <v>0</v>
      </c>
      <c r="M357" s="3">
        <f>'Monthly D4 Gallon Data'!$AF134</f>
        <v>0</v>
      </c>
      <c r="N357" s="3">
        <f>'Monthly D4 Gallon Data'!$AF146</f>
        <v>0</v>
      </c>
      <c r="O357" s="3">
        <f>'Monthly D4 Gallon Data'!$AF158</f>
        <v>0</v>
      </c>
      <c r="P357" s="3">
        <f>'Monthly D4 Gallon Data'!$AF170</f>
        <v>0</v>
      </c>
      <c r="Q357" s="3">
        <f>'Monthly D4 Gallon Data'!$AF182</f>
        <v>0</v>
      </c>
      <c r="R357" s="4">
        <v>0</v>
      </c>
      <c r="S357" s="4">
        <v>0</v>
      </c>
      <c r="T357" s="4">
        <v>0</v>
      </c>
      <c r="U357" s="4">
        <v>0</v>
      </c>
      <c r="V357" s="4">
        <v>0</v>
      </c>
      <c r="W357" s="4">
        <v>0</v>
      </c>
      <c r="X357" s="4">
        <v>0</v>
      </c>
      <c r="Y357" s="4">
        <v>0</v>
      </c>
      <c r="Z357" s="4">
        <v>0</v>
      </c>
      <c r="AA357" s="4">
        <v>0</v>
      </c>
      <c r="AB357" s="4">
        <v>0</v>
      </c>
      <c r="AC357" s="4">
        <v>0</v>
      </c>
      <c r="AD357" s="4">
        <v>0</v>
      </c>
      <c r="AE357" s="4">
        <v>0</v>
      </c>
      <c r="AF357" s="4">
        <v>0</v>
      </c>
      <c r="AG357" s="4">
        <v>0</v>
      </c>
      <c r="AH357" s="4">
        <v>0</v>
      </c>
      <c r="AI357" s="4">
        <v>0</v>
      </c>
      <c r="AJ357" s="4">
        <v>0</v>
      </c>
      <c r="AK357" s="4">
        <v>0</v>
      </c>
      <c r="AL357" s="4">
        <v>0</v>
      </c>
      <c r="AM357" s="4">
        <v>0</v>
      </c>
      <c r="AN357" s="4">
        <v>0</v>
      </c>
      <c r="AO357" s="4">
        <v>0</v>
      </c>
      <c r="AP357" s="4">
        <v>0</v>
      </c>
      <c r="AQ357" s="4">
        <v>0</v>
      </c>
      <c r="AR357" s="4"/>
      <c r="AS357" s="4"/>
      <c r="AT357" s="4"/>
      <c r="AU357" s="4"/>
      <c r="AV357" s="4"/>
      <c r="AW357" s="4"/>
      <c r="AX357" s="4"/>
      <c r="AY357" s="3"/>
      <c r="BC357" s="3">
        <v>0</v>
      </c>
      <c r="BD357" s="3">
        <f t="shared" ref="BD357:BD369" si="345">L357-BC357</f>
        <v>0</v>
      </c>
      <c r="BE357" s="3">
        <v>0</v>
      </c>
      <c r="BF357" s="3">
        <f t="shared" ref="BF357:BF369" si="346">M357-BE357</f>
        <v>0</v>
      </c>
      <c r="BG357" s="3">
        <v>0</v>
      </c>
      <c r="BH357" s="3"/>
      <c r="BI357" s="3"/>
      <c r="BJ357" s="3">
        <v>0</v>
      </c>
      <c r="BK357" s="3">
        <f t="shared" ref="BK357:BK369" si="347">P357-BJ357</f>
        <v>0</v>
      </c>
      <c r="BL357" s="3">
        <f t="shared" ref="BL357:BL369" si="348">N357-BG357</f>
        <v>0</v>
      </c>
      <c r="BM357" s="177">
        <f t="shared" ref="BM357:BM369" si="349">Q357-BL357</f>
        <v>0</v>
      </c>
      <c r="BN357" s="3"/>
      <c r="BR357" s="3"/>
      <c r="BS357" s="3"/>
      <c r="BT357" s="3"/>
      <c r="BU357" s="3"/>
      <c r="BV357" s="3"/>
      <c r="BW357" s="3"/>
      <c r="BX357" s="3"/>
      <c r="BY357" s="3"/>
      <c r="BZ357" s="3"/>
      <c r="CA357" s="3"/>
      <c r="CB357" s="3"/>
      <c r="CC357" s="4"/>
      <c r="CD357" s="3"/>
      <c r="CE357" s="3"/>
      <c r="CF357" s="3"/>
      <c r="CG357" s="3"/>
      <c r="CH357" s="3"/>
      <c r="CI357" s="3"/>
      <c r="CJ357" s="3"/>
      <c r="CK357" s="3"/>
      <c r="CL357" s="3"/>
      <c r="CM357" s="3"/>
      <c r="CN357" s="3"/>
      <c r="CO357" s="3"/>
      <c r="CP357" s="3"/>
    </row>
    <row r="358" spans="1:94">
      <c r="A358" s="2" t="s">
        <v>44</v>
      </c>
      <c r="B358" s="3">
        <f>'Monthly D4 Gallon Data'!$AF3</f>
        <v>0</v>
      </c>
      <c r="C358" s="3">
        <f>'Monthly D4 Gallon Data'!$AF15</f>
        <v>0</v>
      </c>
      <c r="D358" s="3">
        <f>'Monthly D4 Gallon Data'!$AF27</f>
        <v>0</v>
      </c>
      <c r="E358" s="3">
        <f>'Monthly D4 Gallon Data'!$AF39</f>
        <v>0</v>
      </c>
      <c r="F358" s="3">
        <f>'Monthly D4 Gallon Data'!$AF51</f>
        <v>0</v>
      </c>
      <c r="G358" s="3">
        <f>'Monthly D4 Gallon Data'!$AF63</f>
        <v>0</v>
      </c>
      <c r="H358" s="3">
        <f>'Monthly D4 Gallon Data'!$AF75</f>
        <v>0</v>
      </c>
      <c r="I358" s="3">
        <f>'Monthly D4 Gallon Data'!$AF87</f>
        <v>0</v>
      </c>
      <c r="J358" s="3">
        <f>'Monthly D4 Gallon Data'!$AF99</f>
        <v>0</v>
      </c>
      <c r="K358" s="3">
        <f>'Monthly D4 Gallon Data'!$AF111</f>
        <v>0</v>
      </c>
      <c r="L358" s="3">
        <f>'Monthly D4 Gallon Data'!$AF123</f>
        <v>0</v>
      </c>
      <c r="M358" s="3">
        <f>'Monthly D4 Gallon Data'!$AF135</f>
        <v>0</v>
      </c>
      <c r="N358" s="3">
        <f>'Monthly D4 Gallon Data'!$AF147</f>
        <v>0</v>
      </c>
      <c r="O358" s="3">
        <f>'Monthly D4 Gallon Data'!$AF159</f>
        <v>0</v>
      </c>
      <c r="P358" s="3">
        <f>'Monthly D4 Gallon Data'!$AF171</f>
        <v>0</v>
      </c>
      <c r="Q358" s="3">
        <f>'Monthly D4 Gallon Data'!$AF183</f>
        <v>0</v>
      </c>
      <c r="R358" s="4">
        <v>0</v>
      </c>
      <c r="S358" s="4">
        <v>0</v>
      </c>
      <c r="T358" s="4">
        <v>0</v>
      </c>
      <c r="U358" s="4">
        <v>0</v>
      </c>
      <c r="V358" s="4">
        <v>0</v>
      </c>
      <c r="W358" s="4">
        <v>0</v>
      </c>
      <c r="X358" s="4">
        <v>0</v>
      </c>
      <c r="Y358" s="4">
        <v>0</v>
      </c>
      <c r="Z358" s="4">
        <v>0</v>
      </c>
      <c r="AA358" s="4">
        <v>0</v>
      </c>
      <c r="AB358" s="4">
        <v>0</v>
      </c>
      <c r="AC358" s="4">
        <v>0</v>
      </c>
      <c r="AD358" s="4">
        <v>0</v>
      </c>
      <c r="AE358" s="4">
        <v>0</v>
      </c>
      <c r="AF358" s="4">
        <v>0</v>
      </c>
      <c r="AG358" s="4">
        <v>0</v>
      </c>
      <c r="AH358" s="4">
        <v>0</v>
      </c>
      <c r="AI358" s="4">
        <v>0</v>
      </c>
      <c r="AJ358" s="4">
        <v>0</v>
      </c>
      <c r="AK358" s="4">
        <v>0</v>
      </c>
      <c r="AL358" s="4">
        <v>0</v>
      </c>
      <c r="AM358" s="4">
        <v>0</v>
      </c>
      <c r="AN358" s="4">
        <v>0</v>
      </c>
      <c r="AO358" s="4">
        <v>0</v>
      </c>
      <c r="AP358" s="4">
        <v>0</v>
      </c>
      <c r="AQ358" s="4">
        <v>0</v>
      </c>
      <c r="AR358" s="4"/>
      <c r="AS358" s="4"/>
      <c r="AT358" s="4"/>
      <c r="AU358" s="4"/>
      <c r="AV358" s="4"/>
      <c r="AW358" s="4"/>
      <c r="AX358" s="4"/>
      <c r="AY358" s="3"/>
      <c r="BC358" s="3">
        <v>0</v>
      </c>
      <c r="BD358" s="3">
        <f t="shared" si="345"/>
        <v>0</v>
      </c>
      <c r="BE358" s="3">
        <v>0</v>
      </c>
      <c r="BF358" s="3">
        <f t="shared" si="346"/>
        <v>0</v>
      </c>
      <c r="BG358" s="3">
        <v>0</v>
      </c>
      <c r="BH358" s="3"/>
      <c r="BI358" s="3"/>
      <c r="BJ358" s="3">
        <v>0</v>
      </c>
      <c r="BK358" s="3">
        <f t="shared" si="347"/>
        <v>0</v>
      </c>
      <c r="BL358" s="3">
        <f t="shared" si="348"/>
        <v>0</v>
      </c>
      <c r="BM358" s="177">
        <f t="shared" si="349"/>
        <v>0</v>
      </c>
      <c r="BN358" s="3"/>
      <c r="BR358" s="3"/>
      <c r="BS358" s="3"/>
      <c r="BT358" s="3"/>
      <c r="BU358" s="3"/>
      <c r="BV358" s="3"/>
      <c r="BW358" s="3"/>
      <c r="BX358" s="3"/>
      <c r="BY358" s="3"/>
      <c r="BZ358" s="3"/>
      <c r="CA358" s="3"/>
      <c r="CB358" s="3"/>
      <c r="CC358" s="4"/>
      <c r="CD358" s="3"/>
      <c r="CE358" s="3"/>
      <c r="CF358" s="3"/>
      <c r="CG358" s="3"/>
      <c r="CH358" s="3"/>
      <c r="CI358" s="3"/>
      <c r="CJ358" s="3"/>
      <c r="CK358" s="3"/>
      <c r="CL358" s="3"/>
      <c r="CM358" s="3"/>
      <c r="CN358" s="3"/>
      <c r="CO358" s="3"/>
      <c r="CP358" s="3"/>
    </row>
    <row r="359" spans="1:94">
      <c r="A359" s="2" t="s">
        <v>45</v>
      </c>
      <c r="B359" s="3">
        <f>'Monthly D4 Gallon Data'!$AF4</f>
        <v>0</v>
      </c>
      <c r="C359" s="3">
        <f>'Monthly D4 Gallon Data'!$AF16</f>
        <v>0</v>
      </c>
      <c r="D359" s="3">
        <f>'Monthly D4 Gallon Data'!$AF28</f>
        <v>0</v>
      </c>
      <c r="E359" s="3">
        <f>'Monthly D4 Gallon Data'!$AF40</f>
        <v>0</v>
      </c>
      <c r="F359" s="3">
        <f>'Monthly D4 Gallon Data'!$AF52</f>
        <v>0</v>
      </c>
      <c r="G359" s="3">
        <f>'Monthly D4 Gallon Data'!$AF64</f>
        <v>0</v>
      </c>
      <c r="H359" s="3">
        <f>'Monthly D4 Gallon Data'!$AF76</f>
        <v>0</v>
      </c>
      <c r="I359" s="3">
        <f>'Monthly D4 Gallon Data'!$AF88</f>
        <v>0</v>
      </c>
      <c r="J359" s="3">
        <f>'Monthly D4 Gallon Data'!$AF100</f>
        <v>0</v>
      </c>
      <c r="K359" s="3">
        <f>'Monthly D4 Gallon Data'!$AF112</f>
        <v>0</v>
      </c>
      <c r="L359" s="3">
        <f>'Monthly D4 Gallon Data'!$AF124</f>
        <v>0</v>
      </c>
      <c r="M359" s="3">
        <f>'Monthly D4 Gallon Data'!$AF136</f>
        <v>0</v>
      </c>
      <c r="N359" s="3">
        <f>'Monthly D4 Gallon Data'!$AF148</f>
        <v>0</v>
      </c>
      <c r="O359" s="3">
        <f>'Monthly D4 Gallon Data'!$AF160</f>
        <v>0</v>
      </c>
      <c r="P359" s="3">
        <f>'Monthly D4 Gallon Data'!$AF172</f>
        <v>0</v>
      </c>
      <c r="Q359" s="3">
        <f>'Monthly D4 Gallon Data'!$AF184</f>
        <v>0</v>
      </c>
      <c r="R359" s="4">
        <v>0</v>
      </c>
      <c r="S359" s="4">
        <v>0</v>
      </c>
      <c r="T359" s="4">
        <v>0</v>
      </c>
      <c r="U359" s="4">
        <v>0</v>
      </c>
      <c r="V359" s="4">
        <v>0</v>
      </c>
      <c r="W359" s="4">
        <v>0</v>
      </c>
      <c r="X359" s="4">
        <v>0</v>
      </c>
      <c r="Y359" s="4">
        <v>0</v>
      </c>
      <c r="Z359" s="4">
        <v>0</v>
      </c>
      <c r="AA359" s="4">
        <v>0</v>
      </c>
      <c r="AB359" s="4">
        <v>0</v>
      </c>
      <c r="AC359" s="4">
        <v>0</v>
      </c>
      <c r="AD359" s="4">
        <v>0</v>
      </c>
      <c r="AE359" s="4">
        <v>0</v>
      </c>
      <c r="AF359" s="4">
        <v>0</v>
      </c>
      <c r="AG359" s="4">
        <v>0</v>
      </c>
      <c r="AH359" s="4">
        <v>0</v>
      </c>
      <c r="AI359" s="4">
        <v>0</v>
      </c>
      <c r="AJ359" s="4">
        <v>0</v>
      </c>
      <c r="AK359" s="4">
        <v>0</v>
      </c>
      <c r="AL359" s="4">
        <v>0</v>
      </c>
      <c r="AM359" s="4">
        <v>0</v>
      </c>
      <c r="AN359" s="4">
        <v>0</v>
      </c>
      <c r="AO359" s="4">
        <v>0</v>
      </c>
      <c r="AP359" s="4">
        <v>0</v>
      </c>
      <c r="AQ359" s="4">
        <v>0</v>
      </c>
      <c r="AR359" s="4"/>
      <c r="AS359" s="4"/>
      <c r="AT359" s="4"/>
      <c r="AU359" s="4"/>
      <c r="AV359" s="4"/>
      <c r="AW359" s="4"/>
      <c r="AX359" s="4"/>
      <c r="AY359" s="3"/>
      <c r="BC359" s="3">
        <v>0</v>
      </c>
      <c r="BD359" s="3">
        <f t="shared" si="345"/>
        <v>0</v>
      </c>
      <c r="BE359" s="3">
        <v>0</v>
      </c>
      <c r="BF359" s="3">
        <f t="shared" si="346"/>
        <v>0</v>
      </c>
      <c r="BG359" s="3">
        <v>0</v>
      </c>
      <c r="BH359" s="3"/>
      <c r="BI359" s="3"/>
      <c r="BJ359" s="3">
        <v>0</v>
      </c>
      <c r="BK359" s="3">
        <f t="shared" si="347"/>
        <v>0</v>
      </c>
      <c r="BL359" s="3">
        <f t="shared" si="348"/>
        <v>0</v>
      </c>
      <c r="BM359" s="177">
        <f t="shared" si="349"/>
        <v>0</v>
      </c>
      <c r="BN359" s="3"/>
      <c r="BR359" s="3"/>
      <c r="BS359" s="3"/>
      <c r="BT359" s="3"/>
      <c r="BU359" s="3"/>
      <c r="BV359" s="3"/>
      <c r="BW359" s="3"/>
      <c r="BX359" s="3"/>
      <c r="BY359" s="3"/>
      <c r="BZ359" s="3"/>
      <c r="CA359" s="3"/>
      <c r="CB359" s="3"/>
      <c r="CC359" s="4"/>
      <c r="CD359" s="3"/>
      <c r="CE359" s="3"/>
      <c r="CF359" s="3"/>
      <c r="CG359" s="3"/>
      <c r="CH359" s="3"/>
      <c r="CI359" s="3"/>
      <c r="CJ359" s="3"/>
      <c r="CK359" s="3"/>
      <c r="CL359" s="3"/>
      <c r="CM359" s="3"/>
      <c r="CN359" s="3"/>
      <c r="CO359" s="3"/>
      <c r="CP359" s="3"/>
    </row>
    <row r="360" spans="1:94">
      <c r="A360" s="2" t="s">
        <v>46</v>
      </c>
      <c r="B360" s="3">
        <f>'Monthly D4 Gallon Data'!$AF5</f>
        <v>0</v>
      </c>
      <c r="C360" s="3">
        <f>'Monthly D4 Gallon Data'!$AF17</f>
        <v>0</v>
      </c>
      <c r="D360" s="3">
        <f>'Monthly D4 Gallon Data'!$AF29</f>
        <v>0</v>
      </c>
      <c r="E360" s="3">
        <f>'Monthly D4 Gallon Data'!$AF41</f>
        <v>0</v>
      </c>
      <c r="F360" s="3">
        <f>'Monthly D4 Gallon Data'!$AF53</f>
        <v>0</v>
      </c>
      <c r="G360" s="3">
        <f>'Monthly D4 Gallon Data'!$AF65</f>
        <v>0</v>
      </c>
      <c r="H360" s="3">
        <f>'Monthly D4 Gallon Data'!$AF77</f>
        <v>0</v>
      </c>
      <c r="I360" s="3">
        <f>'Monthly D4 Gallon Data'!$AF89</f>
        <v>0</v>
      </c>
      <c r="J360" s="3">
        <f>'Monthly D4 Gallon Data'!$AF101</f>
        <v>0</v>
      </c>
      <c r="K360" s="3">
        <f>'Monthly D4 Gallon Data'!$AF113</f>
        <v>0</v>
      </c>
      <c r="L360" s="3">
        <f>'Monthly D4 Gallon Data'!$AF125</f>
        <v>0</v>
      </c>
      <c r="M360" s="3">
        <f>'Monthly D4 Gallon Data'!$AF137</f>
        <v>0</v>
      </c>
      <c r="N360" s="3">
        <f>'Monthly D4 Gallon Data'!$AF149</f>
        <v>0</v>
      </c>
      <c r="O360" s="3">
        <f>'Monthly D4 Gallon Data'!$AF161</f>
        <v>0</v>
      </c>
      <c r="P360" s="3">
        <f>'Monthly D4 Gallon Data'!$AF173</f>
        <v>0</v>
      </c>
      <c r="Q360" s="4">
        <v>0</v>
      </c>
      <c r="R360" s="4">
        <v>0</v>
      </c>
      <c r="S360" s="4">
        <v>0</v>
      </c>
      <c r="T360" s="4">
        <v>0</v>
      </c>
      <c r="U360" s="4">
        <v>0</v>
      </c>
      <c r="V360" s="4">
        <v>0</v>
      </c>
      <c r="W360" s="4">
        <v>0</v>
      </c>
      <c r="X360" s="4">
        <v>0</v>
      </c>
      <c r="Y360" s="4">
        <v>0</v>
      </c>
      <c r="Z360" s="4">
        <v>0</v>
      </c>
      <c r="AA360" s="4">
        <v>0</v>
      </c>
      <c r="AB360" s="4">
        <v>0</v>
      </c>
      <c r="AC360" s="4">
        <v>0</v>
      </c>
      <c r="AD360" s="4">
        <v>0</v>
      </c>
      <c r="AE360" s="4">
        <v>0</v>
      </c>
      <c r="AF360" s="4">
        <v>0</v>
      </c>
      <c r="AG360" s="4">
        <v>0</v>
      </c>
      <c r="AH360" s="4">
        <v>0</v>
      </c>
      <c r="AI360" s="4">
        <v>0</v>
      </c>
      <c r="AJ360" s="4">
        <v>0</v>
      </c>
      <c r="AK360" s="4">
        <v>0</v>
      </c>
      <c r="AL360" s="4">
        <v>0</v>
      </c>
      <c r="AM360" s="4">
        <v>0</v>
      </c>
      <c r="AN360" s="4">
        <v>0</v>
      </c>
      <c r="AO360" s="4">
        <v>0</v>
      </c>
      <c r="AP360" s="4">
        <v>0</v>
      </c>
      <c r="AQ360" s="4">
        <v>0</v>
      </c>
      <c r="AR360" s="4"/>
      <c r="AS360" s="4"/>
      <c r="AT360" s="4"/>
      <c r="AU360" s="4"/>
      <c r="AV360" s="4"/>
      <c r="AW360" s="4"/>
      <c r="AX360" s="4"/>
      <c r="AY360" s="3"/>
      <c r="BC360" s="3">
        <v>0</v>
      </c>
      <c r="BD360" s="3">
        <f t="shared" si="345"/>
        <v>0</v>
      </c>
      <c r="BE360" s="3">
        <v>0</v>
      </c>
      <c r="BF360" s="3">
        <f t="shared" si="346"/>
        <v>0</v>
      </c>
      <c r="BG360" s="3">
        <v>0</v>
      </c>
      <c r="BH360" s="3"/>
      <c r="BI360" s="3"/>
      <c r="BJ360" s="4">
        <v>0</v>
      </c>
      <c r="BK360" s="3">
        <f t="shared" si="347"/>
        <v>0</v>
      </c>
      <c r="BL360" s="3">
        <f t="shared" si="348"/>
        <v>0</v>
      </c>
      <c r="BM360" s="177">
        <f t="shared" si="349"/>
        <v>0</v>
      </c>
      <c r="BN360" s="3"/>
      <c r="BR360" s="3"/>
      <c r="BS360" s="3"/>
      <c r="BT360" s="3"/>
      <c r="BU360" s="3"/>
      <c r="BV360" s="3"/>
      <c r="BW360" s="3"/>
      <c r="BX360" s="3"/>
      <c r="BY360" s="3"/>
      <c r="BZ360" s="3"/>
      <c r="CA360" s="3"/>
      <c r="CB360" s="3"/>
      <c r="CC360" s="4"/>
      <c r="CD360" s="3"/>
      <c r="CE360" s="3"/>
      <c r="CF360" s="3"/>
      <c r="CG360" s="3"/>
      <c r="CH360" s="3"/>
      <c r="CI360" s="3"/>
      <c r="CJ360" s="3"/>
      <c r="CK360" s="3"/>
      <c r="CL360" s="3"/>
      <c r="CM360" s="3"/>
      <c r="CN360" s="3"/>
      <c r="CO360" s="3"/>
      <c r="CP360" s="3"/>
    </row>
    <row r="361" spans="1:94">
      <c r="A361" s="2" t="s">
        <v>47</v>
      </c>
      <c r="B361" s="3">
        <f>'Monthly D4 Gallon Data'!$AF6</f>
        <v>0</v>
      </c>
      <c r="C361" s="3">
        <f>'Monthly D4 Gallon Data'!$AF18</f>
        <v>0</v>
      </c>
      <c r="D361" s="3">
        <f>'Monthly D4 Gallon Data'!$AF30</f>
        <v>0</v>
      </c>
      <c r="E361" s="3">
        <f>'Monthly D4 Gallon Data'!$AF42</f>
        <v>0</v>
      </c>
      <c r="F361" s="3">
        <f>'Monthly D4 Gallon Data'!$AF54</f>
        <v>0</v>
      </c>
      <c r="G361" s="3">
        <f>'Monthly D4 Gallon Data'!$AF66</f>
        <v>0</v>
      </c>
      <c r="H361" s="3">
        <f>'Monthly D4 Gallon Data'!$AF78</f>
        <v>0</v>
      </c>
      <c r="I361" s="3">
        <f>'Monthly D4 Gallon Data'!$AF90</f>
        <v>0</v>
      </c>
      <c r="J361" s="3">
        <f>'Monthly D4 Gallon Data'!$AF102</f>
        <v>0</v>
      </c>
      <c r="K361" s="3">
        <f>'Monthly D4 Gallon Data'!$AF114</f>
        <v>0</v>
      </c>
      <c r="L361" s="3">
        <f>'Monthly D4 Gallon Data'!$AF126</f>
        <v>0</v>
      </c>
      <c r="M361" s="3">
        <f>'Monthly D4 Gallon Data'!$AF138</f>
        <v>0</v>
      </c>
      <c r="N361" s="3">
        <f>'Monthly D4 Gallon Data'!$AF150</f>
        <v>0</v>
      </c>
      <c r="O361" s="3">
        <f>'Monthly D4 Gallon Data'!$AF162</f>
        <v>0</v>
      </c>
      <c r="P361" s="3">
        <f>'Monthly D4 Gallon Data'!$AF174</f>
        <v>0</v>
      </c>
      <c r="Q361" s="4">
        <v>0</v>
      </c>
      <c r="R361" s="4">
        <v>0</v>
      </c>
      <c r="S361" s="4">
        <v>0</v>
      </c>
      <c r="T361" s="4">
        <v>0</v>
      </c>
      <c r="U361" s="4">
        <v>0</v>
      </c>
      <c r="V361" s="4">
        <v>0</v>
      </c>
      <c r="W361" s="4">
        <v>0</v>
      </c>
      <c r="X361" s="4">
        <v>0</v>
      </c>
      <c r="Y361" s="4">
        <v>0</v>
      </c>
      <c r="Z361" s="4">
        <v>0</v>
      </c>
      <c r="AA361" s="4">
        <v>0</v>
      </c>
      <c r="AB361" s="4">
        <v>0</v>
      </c>
      <c r="AC361" s="4">
        <v>0</v>
      </c>
      <c r="AD361" s="4">
        <v>0</v>
      </c>
      <c r="AE361" s="4">
        <v>0</v>
      </c>
      <c r="AF361" s="4">
        <v>0</v>
      </c>
      <c r="AG361" s="4">
        <v>0</v>
      </c>
      <c r="AH361" s="4">
        <v>0</v>
      </c>
      <c r="AI361" s="4">
        <v>0</v>
      </c>
      <c r="AJ361" s="4">
        <v>0</v>
      </c>
      <c r="AK361" s="4">
        <v>0</v>
      </c>
      <c r="AL361" s="4">
        <v>0</v>
      </c>
      <c r="AM361" s="4">
        <v>0</v>
      </c>
      <c r="AN361" s="4">
        <v>0</v>
      </c>
      <c r="AO361" s="4">
        <v>0</v>
      </c>
      <c r="AP361" s="4">
        <v>0</v>
      </c>
      <c r="AQ361" s="4">
        <v>0</v>
      </c>
      <c r="AR361" s="4"/>
      <c r="AS361" s="4"/>
      <c r="AT361" s="4"/>
      <c r="AU361" s="4"/>
      <c r="AV361" s="4"/>
      <c r="AW361" s="4"/>
      <c r="AX361" s="4"/>
      <c r="AY361" s="3"/>
      <c r="BA361" s="3">
        <v>0</v>
      </c>
      <c r="BB361" s="3">
        <f t="shared" ref="BB361:BB369" si="350">K361-BA361</f>
        <v>0</v>
      </c>
      <c r="BC361" s="3">
        <v>0</v>
      </c>
      <c r="BD361" s="3">
        <f t="shared" si="345"/>
        <v>0</v>
      </c>
      <c r="BE361" s="3">
        <v>0</v>
      </c>
      <c r="BF361" s="3">
        <f t="shared" si="346"/>
        <v>0</v>
      </c>
      <c r="BG361" s="3">
        <v>0</v>
      </c>
      <c r="BH361" s="3"/>
      <c r="BI361" s="3"/>
      <c r="BJ361" s="4">
        <v>0</v>
      </c>
      <c r="BK361" s="3">
        <f t="shared" si="347"/>
        <v>0</v>
      </c>
      <c r="BL361" s="3">
        <f t="shared" si="348"/>
        <v>0</v>
      </c>
      <c r="BM361" s="177">
        <f t="shared" si="349"/>
        <v>0</v>
      </c>
      <c r="BN361" s="3"/>
      <c r="BR361" s="3"/>
      <c r="BS361" s="3"/>
      <c r="BT361" s="3"/>
      <c r="BU361" s="3"/>
      <c r="BV361" s="3"/>
      <c r="BW361" s="3"/>
      <c r="BX361" s="3"/>
      <c r="BY361" s="3"/>
      <c r="BZ361" s="3"/>
      <c r="CA361" s="3"/>
      <c r="CB361" s="3"/>
      <c r="CC361" s="4"/>
      <c r="CD361" s="3"/>
      <c r="CE361" s="3"/>
      <c r="CF361" s="3"/>
      <c r="CG361" s="3"/>
      <c r="CH361" s="3"/>
      <c r="CI361" s="3"/>
      <c r="CJ361" s="3"/>
      <c r="CK361" s="3"/>
      <c r="CL361" s="3"/>
      <c r="CM361" s="3"/>
      <c r="CN361" s="3"/>
      <c r="CO361" s="3"/>
      <c r="CP361" s="3"/>
    </row>
    <row r="362" spans="1:94">
      <c r="A362" s="2" t="s">
        <v>48</v>
      </c>
      <c r="B362" s="3">
        <f>'Monthly D4 Gallon Data'!$AF7</f>
        <v>0</v>
      </c>
      <c r="C362" s="3">
        <f>'Monthly D4 Gallon Data'!$AF19</f>
        <v>0</v>
      </c>
      <c r="D362" s="3">
        <f>'Monthly D4 Gallon Data'!$AF31</f>
        <v>0</v>
      </c>
      <c r="E362" s="3">
        <f>'Monthly D4 Gallon Data'!$AF43</f>
        <v>0</v>
      </c>
      <c r="F362" s="3">
        <f>'Monthly D4 Gallon Data'!$AF55</f>
        <v>0</v>
      </c>
      <c r="G362" s="3">
        <f>'Monthly D4 Gallon Data'!$AF67</f>
        <v>0</v>
      </c>
      <c r="H362" s="3">
        <f>'Monthly D4 Gallon Data'!$AF79</f>
        <v>0</v>
      </c>
      <c r="I362" s="3">
        <f>'Monthly D4 Gallon Data'!$AF91</f>
        <v>0</v>
      </c>
      <c r="J362" s="3">
        <f>'Monthly D4 Gallon Data'!$AF103</f>
        <v>0</v>
      </c>
      <c r="K362" s="3">
        <f>'Monthly D4 Gallon Data'!$AF115</f>
        <v>0</v>
      </c>
      <c r="L362" s="3">
        <f>'Monthly D4 Gallon Data'!$AF127</f>
        <v>0</v>
      </c>
      <c r="M362" s="3">
        <f>'Monthly D4 Gallon Data'!$AF139</f>
        <v>0</v>
      </c>
      <c r="N362" s="3">
        <f>'Monthly D4 Gallon Data'!$AF151</f>
        <v>0</v>
      </c>
      <c r="O362" s="3">
        <f>'Monthly D4 Gallon Data'!$AF163</f>
        <v>0</v>
      </c>
      <c r="P362" s="3">
        <f>'Monthly D4 Gallon Data'!$AF175</f>
        <v>0</v>
      </c>
      <c r="Q362" s="4">
        <v>0</v>
      </c>
      <c r="R362" s="4">
        <v>0</v>
      </c>
      <c r="S362" s="4">
        <v>0</v>
      </c>
      <c r="T362" s="4">
        <v>0</v>
      </c>
      <c r="U362" s="4">
        <v>0</v>
      </c>
      <c r="V362" s="4">
        <v>0</v>
      </c>
      <c r="W362" s="4">
        <v>0</v>
      </c>
      <c r="X362" s="4">
        <v>0</v>
      </c>
      <c r="Y362" s="4">
        <v>0</v>
      </c>
      <c r="Z362" s="4">
        <v>0</v>
      </c>
      <c r="AA362" s="4">
        <v>0</v>
      </c>
      <c r="AB362" s="4">
        <v>0</v>
      </c>
      <c r="AC362" s="4">
        <v>0</v>
      </c>
      <c r="AD362" s="4">
        <v>0</v>
      </c>
      <c r="AE362" s="4">
        <v>0</v>
      </c>
      <c r="AF362" s="4">
        <v>0</v>
      </c>
      <c r="AG362" s="4">
        <v>0</v>
      </c>
      <c r="AH362" s="4">
        <v>0</v>
      </c>
      <c r="AI362" s="4">
        <v>0</v>
      </c>
      <c r="AJ362" s="4">
        <v>0</v>
      </c>
      <c r="AK362" s="4">
        <v>0</v>
      </c>
      <c r="AL362" s="4">
        <v>0</v>
      </c>
      <c r="AM362" s="4">
        <v>0</v>
      </c>
      <c r="AN362" s="4">
        <v>0</v>
      </c>
      <c r="AO362" s="4">
        <v>0</v>
      </c>
      <c r="AP362" s="4">
        <v>0</v>
      </c>
      <c r="AQ362" s="4">
        <v>0</v>
      </c>
      <c r="AR362" s="4"/>
      <c r="AS362" s="4"/>
      <c r="AT362" s="4"/>
      <c r="AU362" s="4"/>
      <c r="AV362" s="4"/>
      <c r="AW362" s="4"/>
      <c r="AX362" s="4"/>
      <c r="AY362" s="3"/>
      <c r="BA362" s="3">
        <v>0</v>
      </c>
      <c r="BB362" s="3">
        <f t="shared" si="350"/>
        <v>0</v>
      </c>
      <c r="BC362" s="3">
        <v>0</v>
      </c>
      <c r="BD362" s="3">
        <f t="shared" si="345"/>
        <v>0</v>
      </c>
      <c r="BE362" s="3">
        <v>0</v>
      </c>
      <c r="BF362" s="3">
        <f t="shared" si="346"/>
        <v>0</v>
      </c>
      <c r="BG362" s="3">
        <v>0</v>
      </c>
      <c r="BH362" s="3"/>
      <c r="BI362" s="3"/>
      <c r="BJ362" s="4">
        <v>0</v>
      </c>
      <c r="BK362" s="3">
        <f t="shared" si="347"/>
        <v>0</v>
      </c>
      <c r="BL362" s="3">
        <f t="shared" si="348"/>
        <v>0</v>
      </c>
      <c r="BM362" s="177">
        <f t="shared" si="349"/>
        <v>0</v>
      </c>
      <c r="BN362" s="3"/>
      <c r="BR362" s="3"/>
      <c r="BS362" s="3"/>
      <c r="BT362" s="3"/>
      <c r="BU362" s="3"/>
      <c r="BV362" s="3"/>
      <c r="BW362" s="3"/>
      <c r="BX362" s="3"/>
      <c r="BY362" s="3"/>
      <c r="BZ362" s="3"/>
      <c r="CA362" s="3"/>
      <c r="CB362" s="3"/>
      <c r="CC362" s="4"/>
      <c r="CD362" s="3"/>
      <c r="CE362" s="3"/>
      <c r="CF362" s="3"/>
      <c r="CG362" s="3"/>
      <c r="CH362" s="3"/>
      <c r="CI362" s="3"/>
      <c r="CJ362" s="3"/>
      <c r="CK362" s="3"/>
      <c r="CL362" s="3"/>
      <c r="CM362" s="3"/>
      <c r="CN362" s="3"/>
      <c r="CO362" s="3"/>
      <c r="CP362" s="3"/>
    </row>
    <row r="363" spans="1:94">
      <c r="A363" s="2" t="s">
        <v>49</v>
      </c>
      <c r="B363" s="3">
        <f>'Monthly D4 Gallon Data'!$AF8</f>
        <v>0</v>
      </c>
      <c r="C363" s="3">
        <f>'Monthly D4 Gallon Data'!$AF20</f>
        <v>0</v>
      </c>
      <c r="D363" s="3">
        <f>'Monthly D4 Gallon Data'!$AF32</f>
        <v>0</v>
      </c>
      <c r="E363" s="3">
        <f>'Monthly D4 Gallon Data'!$AF44</f>
        <v>0</v>
      </c>
      <c r="F363" s="3">
        <f>'Monthly D4 Gallon Data'!$AF56</f>
        <v>0</v>
      </c>
      <c r="G363" s="3">
        <f>'Monthly D4 Gallon Data'!$AF68</f>
        <v>0</v>
      </c>
      <c r="H363" s="3">
        <f>'Monthly D4 Gallon Data'!$AF80</f>
        <v>0</v>
      </c>
      <c r="I363" s="3">
        <f>'Monthly D4 Gallon Data'!$AF92</f>
        <v>0</v>
      </c>
      <c r="J363" s="3">
        <f>'Monthly D4 Gallon Data'!$AF104</f>
        <v>0</v>
      </c>
      <c r="K363" s="3">
        <f>'Monthly D4 Gallon Data'!$AF116</f>
        <v>0</v>
      </c>
      <c r="L363" s="3">
        <f>'Monthly D4 Gallon Data'!$AF128</f>
        <v>0</v>
      </c>
      <c r="M363" s="3">
        <f>'Monthly D4 Gallon Data'!$AF140</f>
        <v>0</v>
      </c>
      <c r="N363" s="3">
        <f>'Monthly D4 Gallon Data'!$AF152</f>
        <v>0</v>
      </c>
      <c r="O363" s="3">
        <f>'Monthly D4 Gallon Data'!$AF164</f>
        <v>0</v>
      </c>
      <c r="P363" s="3">
        <f>'Monthly D4 Gallon Data'!$AF176</f>
        <v>0</v>
      </c>
      <c r="Q363" s="4">
        <v>0</v>
      </c>
      <c r="R363" s="4">
        <v>0</v>
      </c>
      <c r="S363" s="4">
        <v>0</v>
      </c>
      <c r="T363" s="4">
        <v>0</v>
      </c>
      <c r="U363" s="4">
        <v>0</v>
      </c>
      <c r="V363" s="4">
        <v>0</v>
      </c>
      <c r="W363" s="4">
        <v>0</v>
      </c>
      <c r="X363" s="4">
        <v>0</v>
      </c>
      <c r="Y363" s="4">
        <v>0</v>
      </c>
      <c r="Z363" s="4">
        <v>0</v>
      </c>
      <c r="AA363" s="4">
        <v>0</v>
      </c>
      <c r="AB363" s="4">
        <v>0</v>
      </c>
      <c r="AC363" s="4">
        <v>0</v>
      </c>
      <c r="AD363" s="4">
        <v>0</v>
      </c>
      <c r="AE363" s="4">
        <v>0</v>
      </c>
      <c r="AF363" s="4">
        <v>0</v>
      </c>
      <c r="AG363" s="4">
        <v>0</v>
      </c>
      <c r="AH363" s="4">
        <v>0</v>
      </c>
      <c r="AI363" s="4">
        <v>0</v>
      </c>
      <c r="AJ363" s="4">
        <v>0</v>
      </c>
      <c r="AK363" s="4">
        <v>0</v>
      </c>
      <c r="AL363" s="4">
        <v>0</v>
      </c>
      <c r="AM363" s="4">
        <v>0</v>
      </c>
      <c r="AN363" s="4">
        <v>0</v>
      </c>
      <c r="AO363" s="4">
        <v>0</v>
      </c>
      <c r="AP363" s="4">
        <v>0</v>
      </c>
      <c r="AQ363" s="4">
        <v>0</v>
      </c>
      <c r="AR363" s="4"/>
      <c r="AS363" s="4"/>
      <c r="AT363" s="4"/>
      <c r="AU363" s="4"/>
      <c r="AV363" s="4"/>
      <c r="AW363" s="4"/>
      <c r="AX363" s="4"/>
      <c r="AY363" s="3"/>
      <c r="BA363" s="3">
        <v>0</v>
      </c>
      <c r="BB363" s="3">
        <f t="shared" si="350"/>
        <v>0</v>
      </c>
      <c r="BC363" s="3">
        <v>0</v>
      </c>
      <c r="BD363" s="3">
        <f t="shared" si="345"/>
        <v>0</v>
      </c>
      <c r="BE363" s="3">
        <v>0</v>
      </c>
      <c r="BF363" s="3">
        <f t="shared" si="346"/>
        <v>0</v>
      </c>
      <c r="BG363" s="3">
        <v>0</v>
      </c>
      <c r="BH363" s="3"/>
      <c r="BI363" s="3"/>
      <c r="BJ363" s="4">
        <v>0</v>
      </c>
      <c r="BK363" s="3">
        <f t="shared" si="347"/>
        <v>0</v>
      </c>
      <c r="BL363" s="3">
        <f t="shared" si="348"/>
        <v>0</v>
      </c>
      <c r="BM363" s="177">
        <f t="shared" si="349"/>
        <v>0</v>
      </c>
      <c r="BN363" s="3"/>
      <c r="BR363" s="3"/>
      <c r="BS363" s="3"/>
      <c r="BT363" s="3"/>
      <c r="BU363" s="3"/>
      <c r="BV363" s="3"/>
      <c r="BW363" s="3"/>
      <c r="BX363" s="3"/>
      <c r="BY363" s="3"/>
      <c r="BZ363" s="3"/>
      <c r="CA363" s="3"/>
      <c r="CB363" s="3"/>
      <c r="CC363" s="4"/>
      <c r="CD363" s="3"/>
      <c r="CE363" s="3"/>
      <c r="CF363" s="3"/>
      <c r="CG363" s="3"/>
      <c r="CH363" s="3"/>
      <c r="CI363" s="3"/>
      <c r="CJ363" s="3"/>
      <c r="CK363" s="3"/>
      <c r="CL363" s="3"/>
      <c r="CM363" s="3"/>
      <c r="CN363" s="3"/>
      <c r="CO363" s="3"/>
      <c r="CP363" s="3"/>
    </row>
    <row r="364" spans="1:94">
      <c r="A364" s="2" t="s">
        <v>50</v>
      </c>
      <c r="B364" s="3">
        <f>'Monthly D4 Gallon Data'!$AF9</f>
        <v>0</v>
      </c>
      <c r="C364" s="3">
        <f>'Monthly D4 Gallon Data'!$AF21</f>
        <v>0</v>
      </c>
      <c r="D364" s="3">
        <f>'Monthly D4 Gallon Data'!$AF33</f>
        <v>0</v>
      </c>
      <c r="E364" s="3">
        <f>'Monthly D4 Gallon Data'!$AF45</f>
        <v>0</v>
      </c>
      <c r="F364" s="3">
        <f>'Monthly D4 Gallon Data'!$AF57</f>
        <v>0</v>
      </c>
      <c r="G364" s="3">
        <f>'Monthly D4 Gallon Data'!$AF69</f>
        <v>0</v>
      </c>
      <c r="H364" s="3">
        <f>'Monthly D4 Gallon Data'!$AF81</f>
        <v>0</v>
      </c>
      <c r="I364" s="3">
        <f>'Monthly D4 Gallon Data'!$AF93</f>
        <v>0</v>
      </c>
      <c r="J364" s="3">
        <f>'Monthly D4 Gallon Data'!$AF105</f>
        <v>0</v>
      </c>
      <c r="K364" s="3">
        <f>'Monthly D4 Gallon Data'!$AF117</f>
        <v>0</v>
      </c>
      <c r="L364" s="3">
        <f>'Monthly D4 Gallon Data'!$AF129</f>
        <v>0</v>
      </c>
      <c r="M364" s="3">
        <f>'Monthly D4 Gallon Data'!$AF141</f>
        <v>0</v>
      </c>
      <c r="N364" s="3">
        <f>'Monthly D4 Gallon Data'!$AF153</f>
        <v>0</v>
      </c>
      <c r="O364" s="3">
        <f>'Monthly D4 Gallon Data'!$AF165</f>
        <v>0</v>
      </c>
      <c r="P364" s="3">
        <f>'Monthly D4 Gallon Data'!$AF177</f>
        <v>0</v>
      </c>
      <c r="Q364" s="4">
        <v>0</v>
      </c>
      <c r="R364" s="4">
        <v>0</v>
      </c>
      <c r="S364" s="4">
        <v>0</v>
      </c>
      <c r="T364" s="4">
        <v>0</v>
      </c>
      <c r="U364" s="4">
        <v>0</v>
      </c>
      <c r="V364" s="4">
        <v>0</v>
      </c>
      <c r="W364" s="4">
        <v>0</v>
      </c>
      <c r="X364" s="4">
        <v>0</v>
      </c>
      <c r="Y364" s="4">
        <v>0</v>
      </c>
      <c r="Z364" s="4">
        <v>0</v>
      </c>
      <c r="AA364" s="4">
        <v>0</v>
      </c>
      <c r="AB364" s="4">
        <v>0</v>
      </c>
      <c r="AC364" s="4">
        <v>0</v>
      </c>
      <c r="AD364" s="4">
        <v>0</v>
      </c>
      <c r="AE364" s="4">
        <v>0</v>
      </c>
      <c r="AF364" s="4">
        <v>0</v>
      </c>
      <c r="AG364" s="4">
        <v>0</v>
      </c>
      <c r="AH364" s="4">
        <v>0</v>
      </c>
      <c r="AI364" s="4">
        <v>0</v>
      </c>
      <c r="AJ364" s="4">
        <v>0</v>
      </c>
      <c r="AK364" s="4">
        <v>0</v>
      </c>
      <c r="AL364" s="4">
        <v>0</v>
      </c>
      <c r="AM364" s="4">
        <v>0</v>
      </c>
      <c r="AN364" s="4">
        <v>0</v>
      </c>
      <c r="AO364" s="4">
        <v>0</v>
      </c>
      <c r="AP364" s="4">
        <v>0</v>
      </c>
      <c r="AQ364" s="4">
        <v>0</v>
      </c>
      <c r="AR364" s="4"/>
      <c r="AS364" s="4"/>
      <c r="AT364" s="4"/>
      <c r="AU364" s="4"/>
      <c r="AV364" s="4"/>
      <c r="AW364" s="4"/>
      <c r="AX364" s="4"/>
      <c r="AY364" s="3"/>
      <c r="BA364" s="3">
        <v>0</v>
      </c>
      <c r="BB364" s="3">
        <f t="shared" si="350"/>
        <v>0</v>
      </c>
      <c r="BC364" s="3">
        <v>0</v>
      </c>
      <c r="BD364" s="3">
        <f t="shared" si="345"/>
        <v>0</v>
      </c>
      <c r="BE364" s="3">
        <v>0</v>
      </c>
      <c r="BF364" s="3">
        <f t="shared" si="346"/>
        <v>0</v>
      </c>
      <c r="BG364" s="3">
        <v>0</v>
      </c>
      <c r="BH364" s="3"/>
      <c r="BI364" s="3"/>
      <c r="BJ364" s="4">
        <v>0</v>
      </c>
      <c r="BK364" s="3">
        <f t="shared" si="347"/>
        <v>0</v>
      </c>
      <c r="BL364" s="3">
        <f t="shared" si="348"/>
        <v>0</v>
      </c>
      <c r="BM364" s="177">
        <f t="shared" si="349"/>
        <v>0</v>
      </c>
      <c r="BN364" s="3"/>
      <c r="BR364" s="3"/>
      <c r="BS364" s="3"/>
      <c r="BT364" s="3"/>
      <c r="BU364" s="3"/>
      <c r="BV364" s="3"/>
      <c r="BW364" s="3"/>
      <c r="BX364" s="3"/>
      <c r="BY364" s="3"/>
      <c r="BZ364" s="3"/>
      <c r="CA364" s="3"/>
      <c r="CB364" s="3"/>
      <c r="CC364" s="4"/>
      <c r="CD364" s="3"/>
      <c r="CE364" s="3"/>
      <c r="CF364" s="3"/>
      <c r="CG364" s="3"/>
      <c r="CH364" s="3"/>
      <c r="CI364" s="3"/>
      <c r="CJ364" s="3"/>
      <c r="CK364" s="3"/>
      <c r="CL364" s="3"/>
      <c r="CM364" s="3"/>
      <c r="CN364" s="3"/>
      <c r="CO364" s="3"/>
      <c r="CP364" s="3"/>
    </row>
    <row r="365" spans="1:94">
      <c r="A365" s="2" t="s">
        <v>51</v>
      </c>
      <c r="B365" s="3">
        <f>'Monthly D4 Gallon Data'!$AF10</f>
        <v>0</v>
      </c>
      <c r="C365" s="3">
        <f>'Monthly D4 Gallon Data'!$AF22</f>
        <v>0</v>
      </c>
      <c r="D365" s="3">
        <f>'Monthly D4 Gallon Data'!$AF34</f>
        <v>0</v>
      </c>
      <c r="E365" s="3">
        <f>'Monthly D4 Gallon Data'!$AF46</f>
        <v>0</v>
      </c>
      <c r="F365" s="3">
        <f>'Monthly D4 Gallon Data'!$AF58</f>
        <v>0</v>
      </c>
      <c r="G365" s="3">
        <f>'Monthly D4 Gallon Data'!$AF70</f>
        <v>0</v>
      </c>
      <c r="H365" s="3">
        <f>'Monthly D4 Gallon Data'!$AF82</f>
        <v>0</v>
      </c>
      <c r="I365" s="3">
        <f>'Monthly D4 Gallon Data'!$AF94</f>
        <v>0</v>
      </c>
      <c r="J365" s="3">
        <f>'Monthly D4 Gallon Data'!$AF106</f>
        <v>0</v>
      </c>
      <c r="K365" s="3">
        <f>'Monthly D4 Gallon Data'!$AF118</f>
        <v>0</v>
      </c>
      <c r="L365" s="3">
        <f>'Monthly D4 Gallon Data'!$AF130</f>
        <v>0</v>
      </c>
      <c r="M365" s="3">
        <f>'Monthly D4 Gallon Data'!$AF142</f>
        <v>0</v>
      </c>
      <c r="N365" s="3">
        <f>'Monthly D4 Gallon Data'!$AF154</f>
        <v>0</v>
      </c>
      <c r="O365" s="3">
        <f>'Monthly D4 Gallon Data'!$AF166</f>
        <v>0</v>
      </c>
      <c r="P365" s="3">
        <f>'Monthly D4 Gallon Data'!$AF178</f>
        <v>0</v>
      </c>
      <c r="Q365" s="4">
        <v>0</v>
      </c>
      <c r="R365" s="4">
        <v>0</v>
      </c>
      <c r="S365" s="4">
        <v>0</v>
      </c>
      <c r="T365" s="4">
        <v>0</v>
      </c>
      <c r="U365" s="4">
        <v>0</v>
      </c>
      <c r="V365" s="4">
        <v>0</v>
      </c>
      <c r="W365" s="4">
        <v>0</v>
      </c>
      <c r="X365" s="4">
        <v>0</v>
      </c>
      <c r="Y365" s="4">
        <v>0</v>
      </c>
      <c r="Z365" s="4">
        <v>0</v>
      </c>
      <c r="AA365" s="4">
        <v>0</v>
      </c>
      <c r="AB365" s="4">
        <v>0</v>
      </c>
      <c r="AC365" s="4">
        <v>0</v>
      </c>
      <c r="AD365" s="4">
        <v>0</v>
      </c>
      <c r="AE365" s="4">
        <v>0</v>
      </c>
      <c r="AF365" s="4">
        <v>0</v>
      </c>
      <c r="AG365" s="4">
        <v>0</v>
      </c>
      <c r="AH365" s="4">
        <v>0</v>
      </c>
      <c r="AI365" s="4">
        <v>0</v>
      </c>
      <c r="AJ365" s="4">
        <v>0</v>
      </c>
      <c r="AK365" s="4">
        <v>0</v>
      </c>
      <c r="AL365" s="4">
        <v>0</v>
      </c>
      <c r="AM365" s="4">
        <v>0</v>
      </c>
      <c r="AN365" s="4">
        <v>0</v>
      </c>
      <c r="AO365" s="4">
        <v>0</v>
      </c>
      <c r="AP365" s="4">
        <v>0</v>
      </c>
      <c r="AQ365" s="4">
        <v>0</v>
      </c>
      <c r="AR365" s="4"/>
      <c r="AS365" s="4"/>
      <c r="AT365" s="4"/>
      <c r="AU365" s="4"/>
      <c r="AV365" s="4"/>
      <c r="AW365" s="4"/>
      <c r="AX365" s="4"/>
      <c r="AY365" s="3"/>
      <c r="BA365" s="3">
        <v>0</v>
      </c>
      <c r="BB365" s="3">
        <f t="shared" si="350"/>
        <v>0</v>
      </c>
      <c r="BC365" s="3">
        <v>0</v>
      </c>
      <c r="BD365" s="3">
        <f t="shared" si="345"/>
        <v>0</v>
      </c>
      <c r="BE365" s="3">
        <v>0</v>
      </c>
      <c r="BF365" s="3">
        <f t="shared" si="346"/>
        <v>0</v>
      </c>
      <c r="BG365" s="3">
        <v>0</v>
      </c>
      <c r="BH365" s="3"/>
      <c r="BI365" s="3"/>
      <c r="BJ365" s="4">
        <v>0</v>
      </c>
      <c r="BK365" s="3">
        <f t="shared" si="347"/>
        <v>0</v>
      </c>
      <c r="BL365" s="3">
        <f t="shared" si="348"/>
        <v>0</v>
      </c>
      <c r="BM365" s="177">
        <f t="shared" si="349"/>
        <v>0</v>
      </c>
      <c r="BN365" s="3"/>
      <c r="BR365" s="3"/>
      <c r="BS365" s="3"/>
      <c r="BT365" s="3"/>
      <c r="BU365" s="3"/>
      <c r="BV365" s="3"/>
      <c r="BW365" s="3"/>
      <c r="BX365" s="3"/>
      <c r="BY365" s="3"/>
      <c r="BZ365" s="3"/>
      <c r="CA365" s="3"/>
      <c r="CB365" s="3"/>
      <c r="CC365" s="4"/>
      <c r="CD365" s="3"/>
      <c r="CE365" s="3"/>
      <c r="CF365" s="3"/>
      <c r="CG365" s="3"/>
      <c r="CH365" s="3"/>
      <c r="CI365" s="3"/>
      <c r="CJ365" s="3"/>
      <c r="CK365" s="3"/>
      <c r="CL365" s="3"/>
      <c r="CM365" s="3"/>
      <c r="CN365" s="3"/>
      <c r="CO365" s="3"/>
      <c r="CP365" s="3"/>
    </row>
    <row r="366" spans="1:94">
      <c r="A366" s="2" t="s">
        <v>52</v>
      </c>
      <c r="B366" s="3">
        <f>'Monthly D4 Gallon Data'!$AF11</f>
        <v>0</v>
      </c>
      <c r="C366" s="3">
        <f>'Monthly D4 Gallon Data'!$AF23</f>
        <v>0</v>
      </c>
      <c r="D366" s="3">
        <f>'Monthly D4 Gallon Data'!$AF35</f>
        <v>0</v>
      </c>
      <c r="E366" s="3">
        <f>'Monthly D4 Gallon Data'!$AF47</f>
        <v>0</v>
      </c>
      <c r="F366" s="3">
        <f>'Monthly D4 Gallon Data'!$AF59</f>
        <v>0</v>
      </c>
      <c r="G366" s="3">
        <f>'Monthly D4 Gallon Data'!$AF71</f>
        <v>0</v>
      </c>
      <c r="H366" s="3">
        <f>'Monthly D4 Gallon Data'!$AF83</f>
        <v>0</v>
      </c>
      <c r="I366" s="3">
        <f>'Monthly D4 Gallon Data'!$AF95</f>
        <v>0</v>
      </c>
      <c r="J366" s="3">
        <f>'Monthly D4 Gallon Data'!$AF107</f>
        <v>0</v>
      </c>
      <c r="K366" s="3">
        <f>'Monthly D4 Gallon Data'!$AF119</f>
        <v>0</v>
      </c>
      <c r="L366" s="3">
        <f>'Monthly D4 Gallon Data'!$AF131</f>
        <v>0</v>
      </c>
      <c r="M366" s="3">
        <f>'Monthly D4 Gallon Data'!$AF143</f>
        <v>0</v>
      </c>
      <c r="N366" s="3">
        <f>'Monthly D4 Gallon Data'!$AF155</f>
        <v>0</v>
      </c>
      <c r="O366" s="3">
        <f>'Monthly D4 Gallon Data'!$AF167</f>
        <v>0</v>
      </c>
      <c r="P366" s="3">
        <f>'Monthly D4 Gallon Data'!$AF179</f>
        <v>0</v>
      </c>
      <c r="Q366" s="4">
        <v>0</v>
      </c>
      <c r="R366" s="4">
        <v>0</v>
      </c>
      <c r="S366" s="4">
        <v>0</v>
      </c>
      <c r="T366" s="4">
        <v>0</v>
      </c>
      <c r="U366" s="4">
        <v>0</v>
      </c>
      <c r="V366" s="4">
        <v>0</v>
      </c>
      <c r="W366" s="4">
        <v>0</v>
      </c>
      <c r="X366" s="4">
        <v>0</v>
      </c>
      <c r="Y366" s="4">
        <v>0</v>
      </c>
      <c r="Z366" s="4">
        <v>0</v>
      </c>
      <c r="AA366" s="4">
        <v>0</v>
      </c>
      <c r="AB366" s="4">
        <v>0</v>
      </c>
      <c r="AC366" s="4">
        <v>0</v>
      </c>
      <c r="AD366" s="4">
        <v>0</v>
      </c>
      <c r="AE366" s="4">
        <v>0</v>
      </c>
      <c r="AF366" s="4">
        <v>0</v>
      </c>
      <c r="AG366" s="4">
        <v>0</v>
      </c>
      <c r="AH366" s="4">
        <v>0</v>
      </c>
      <c r="AI366" s="4">
        <v>0</v>
      </c>
      <c r="AJ366" s="4">
        <v>0</v>
      </c>
      <c r="AK366" s="4">
        <v>0</v>
      </c>
      <c r="AL366" s="4">
        <v>0</v>
      </c>
      <c r="AM366" s="4">
        <v>0</v>
      </c>
      <c r="AN366" s="4">
        <v>0</v>
      </c>
      <c r="AO366" s="4">
        <v>0</v>
      </c>
      <c r="AP366" s="4">
        <v>0</v>
      </c>
      <c r="AQ366" s="4">
        <v>0</v>
      </c>
      <c r="AR366" s="4"/>
      <c r="AS366" s="4"/>
      <c r="AT366" s="4"/>
      <c r="AU366" s="4"/>
      <c r="AV366" s="4"/>
      <c r="AW366" s="4"/>
      <c r="AX366" s="4"/>
      <c r="AY366" s="3"/>
      <c r="BA366" s="3">
        <v>0</v>
      </c>
      <c r="BB366" s="3">
        <f t="shared" si="350"/>
        <v>0</v>
      </c>
      <c r="BC366" s="3">
        <v>0</v>
      </c>
      <c r="BD366" s="3">
        <f t="shared" si="345"/>
        <v>0</v>
      </c>
      <c r="BE366" s="3">
        <v>0</v>
      </c>
      <c r="BF366" s="3">
        <f t="shared" si="346"/>
        <v>0</v>
      </c>
      <c r="BG366" s="3">
        <v>0</v>
      </c>
      <c r="BH366" s="3"/>
      <c r="BI366" s="3"/>
      <c r="BJ366" s="4">
        <v>0</v>
      </c>
      <c r="BK366" s="3">
        <f t="shared" si="347"/>
        <v>0</v>
      </c>
      <c r="BL366" s="3">
        <f t="shared" si="348"/>
        <v>0</v>
      </c>
      <c r="BM366" s="177">
        <f t="shared" si="349"/>
        <v>0</v>
      </c>
      <c r="BN366" s="3"/>
      <c r="BR366" s="3"/>
      <c r="BS366" s="3"/>
      <c r="BT366" s="3"/>
      <c r="BU366" s="3"/>
      <c r="BV366" s="3"/>
      <c r="BW366" s="3"/>
      <c r="BX366" s="3"/>
      <c r="BY366" s="3"/>
      <c r="BZ366" s="3"/>
      <c r="CA366" s="3"/>
      <c r="CB366" s="3"/>
      <c r="CC366" s="4"/>
      <c r="CD366" s="3"/>
      <c r="CE366" s="3"/>
      <c r="CF366" s="3"/>
      <c r="CG366" s="3"/>
      <c r="CH366" s="3"/>
      <c r="CI366" s="3"/>
      <c r="CJ366" s="3"/>
      <c r="CK366" s="3"/>
      <c r="CL366" s="3"/>
      <c r="CM366" s="3"/>
      <c r="CN366" s="3"/>
      <c r="CO366" s="3"/>
      <c r="CP366" s="3"/>
    </row>
    <row r="367" spans="1:94">
      <c r="A367" s="2" t="s">
        <v>53</v>
      </c>
      <c r="B367" s="3">
        <f>'Monthly D4 Gallon Data'!$AF12</f>
        <v>0</v>
      </c>
      <c r="C367" s="3">
        <f>'Monthly D4 Gallon Data'!$AF24</f>
        <v>0</v>
      </c>
      <c r="D367" s="3">
        <f>'Monthly D4 Gallon Data'!$AF36</f>
        <v>0</v>
      </c>
      <c r="E367" s="3">
        <f>'Monthly D4 Gallon Data'!$AF48</f>
        <v>0</v>
      </c>
      <c r="F367" s="3">
        <f>'Monthly D4 Gallon Data'!$AF60</f>
        <v>0</v>
      </c>
      <c r="G367" s="3">
        <f>'Monthly D4 Gallon Data'!$AF72</f>
        <v>0</v>
      </c>
      <c r="H367" s="3">
        <f>'Monthly D4 Gallon Data'!$AF84</f>
        <v>0</v>
      </c>
      <c r="I367" s="3">
        <f>'Monthly D4 Gallon Data'!$AF96</f>
        <v>0</v>
      </c>
      <c r="J367" s="3">
        <f>'Monthly D4 Gallon Data'!$AF108</f>
        <v>0</v>
      </c>
      <c r="K367" s="3">
        <f>'Monthly D4 Gallon Data'!$AF120</f>
        <v>0</v>
      </c>
      <c r="L367" s="3">
        <f>'Monthly D4 Gallon Data'!$AF132</f>
        <v>0</v>
      </c>
      <c r="M367" s="3">
        <f>'Monthly D4 Gallon Data'!$AF144</f>
        <v>0</v>
      </c>
      <c r="N367" s="3">
        <f>'Monthly D4 Gallon Data'!$AF156</f>
        <v>0</v>
      </c>
      <c r="O367" s="3">
        <f>'Monthly D4 Gallon Data'!$AF168</f>
        <v>0</v>
      </c>
      <c r="P367" s="3">
        <f>'Monthly D4 Gallon Data'!$AF180</f>
        <v>0</v>
      </c>
      <c r="Q367" s="4">
        <v>0</v>
      </c>
      <c r="R367" s="4">
        <v>0</v>
      </c>
      <c r="S367" s="4">
        <v>0</v>
      </c>
      <c r="T367" s="4">
        <v>0</v>
      </c>
      <c r="U367" s="4">
        <v>0</v>
      </c>
      <c r="V367" s="4">
        <v>0</v>
      </c>
      <c r="W367" s="4">
        <v>0</v>
      </c>
      <c r="X367" s="4">
        <v>0</v>
      </c>
      <c r="Y367" s="4">
        <v>0</v>
      </c>
      <c r="Z367" s="4">
        <v>0</v>
      </c>
      <c r="AA367" s="4">
        <v>0</v>
      </c>
      <c r="AB367" s="4">
        <v>0</v>
      </c>
      <c r="AC367" s="4">
        <v>0</v>
      </c>
      <c r="AD367" s="4">
        <v>0</v>
      </c>
      <c r="AE367" s="4">
        <v>0</v>
      </c>
      <c r="AF367" s="4">
        <v>0</v>
      </c>
      <c r="AG367" s="4">
        <v>0</v>
      </c>
      <c r="AH367" s="4">
        <v>0</v>
      </c>
      <c r="AI367" s="4">
        <v>0</v>
      </c>
      <c r="AJ367" s="4">
        <v>0</v>
      </c>
      <c r="AK367" s="4">
        <v>0</v>
      </c>
      <c r="AL367" s="4">
        <v>0</v>
      </c>
      <c r="AM367" s="4">
        <v>0</v>
      </c>
      <c r="AN367" s="4">
        <v>0</v>
      </c>
      <c r="AO367" s="4">
        <v>0</v>
      </c>
      <c r="AP367" s="4">
        <v>0</v>
      </c>
      <c r="AQ367" s="4">
        <v>0</v>
      </c>
      <c r="AR367" s="4"/>
      <c r="AS367" s="4"/>
      <c r="AT367" s="4"/>
      <c r="AU367" s="4"/>
      <c r="AV367" s="4"/>
      <c r="AW367" s="4"/>
      <c r="AX367" s="4"/>
      <c r="AY367" s="3"/>
      <c r="BA367" s="3">
        <v>0</v>
      </c>
      <c r="BB367" s="3">
        <f t="shared" si="350"/>
        <v>0</v>
      </c>
      <c r="BC367" s="3">
        <v>0</v>
      </c>
      <c r="BD367" s="3">
        <f t="shared" si="345"/>
        <v>0</v>
      </c>
      <c r="BE367" s="3">
        <v>0</v>
      </c>
      <c r="BF367" s="3">
        <f t="shared" si="346"/>
        <v>0</v>
      </c>
      <c r="BG367" s="3">
        <v>0</v>
      </c>
      <c r="BH367" s="3"/>
      <c r="BI367" s="3"/>
      <c r="BJ367" s="4">
        <v>0</v>
      </c>
      <c r="BK367" s="3">
        <f t="shared" si="347"/>
        <v>0</v>
      </c>
      <c r="BL367" s="3">
        <f t="shared" si="348"/>
        <v>0</v>
      </c>
      <c r="BM367" s="177">
        <f t="shared" si="349"/>
        <v>0</v>
      </c>
      <c r="BN367" s="3"/>
      <c r="BR367" s="3"/>
      <c r="BS367" s="3"/>
      <c r="BT367" s="3"/>
      <c r="BU367" s="3"/>
      <c r="BV367" s="3"/>
      <c r="BW367" s="3"/>
      <c r="BX367" s="3"/>
      <c r="BY367" s="3"/>
      <c r="BZ367" s="3"/>
      <c r="CA367" s="3"/>
      <c r="CB367" s="3"/>
      <c r="CC367" s="4"/>
      <c r="CD367" s="3"/>
      <c r="CE367" s="3"/>
      <c r="CF367" s="3"/>
      <c r="CG367" s="3"/>
      <c r="CH367" s="3"/>
      <c r="CI367" s="3"/>
      <c r="CJ367" s="3"/>
      <c r="CK367" s="3"/>
      <c r="CL367" s="3"/>
      <c r="CM367" s="3"/>
      <c r="CN367" s="3"/>
      <c r="CO367" s="3"/>
      <c r="CP367" s="3"/>
    </row>
    <row r="368" spans="1:94">
      <c r="A368" s="2" t="s">
        <v>54</v>
      </c>
      <c r="B368" s="3">
        <f>'Monthly D4 Gallon Data'!$AF13</f>
        <v>0</v>
      </c>
      <c r="C368" s="3">
        <f>'Monthly D4 Gallon Data'!$AF25</f>
        <v>0</v>
      </c>
      <c r="D368" s="3">
        <f>'Monthly D4 Gallon Data'!$AF37</f>
        <v>0</v>
      </c>
      <c r="E368" s="3">
        <f>'Monthly D4 Gallon Data'!$AF49</f>
        <v>0</v>
      </c>
      <c r="F368" s="3">
        <f>'Monthly D4 Gallon Data'!$AF61</f>
        <v>0</v>
      </c>
      <c r="G368" s="3">
        <f>'Monthly D4 Gallon Data'!$AF73</f>
        <v>0</v>
      </c>
      <c r="H368" s="3">
        <f>'Monthly D4 Gallon Data'!$AF85</f>
        <v>0</v>
      </c>
      <c r="I368" s="3">
        <f>'Monthly D4 Gallon Data'!$AF97</f>
        <v>0</v>
      </c>
      <c r="J368" s="3">
        <f>'Monthly D4 Gallon Data'!$AF109</f>
        <v>0</v>
      </c>
      <c r="K368" s="3">
        <f>'Monthly D4 Gallon Data'!$AF121</f>
        <v>0</v>
      </c>
      <c r="L368" s="3">
        <f>'Monthly D4 Gallon Data'!$AF133</f>
        <v>0</v>
      </c>
      <c r="M368" s="3">
        <f>'Monthly D4 Gallon Data'!$AF145</f>
        <v>0</v>
      </c>
      <c r="N368" s="3">
        <f>'Monthly D4 Gallon Data'!$AF157</f>
        <v>0</v>
      </c>
      <c r="O368" s="3">
        <f>'Monthly D4 Gallon Data'!$AF169</f>
        <v>0</v>
      </c>
      <c r="P368" s="3">
        <f>'Monthly D4 Gallon Data'!$AF181</f>
        <v>0</v>
      </c>
      <c r="Q368" s="4">
        <v>0</v>
      </c>
      <c r="R368" s="4">
        <v>0</v>
      </c>
      <c r="S368" s="4">
        <v>0</v>
      </c>
      <c r="T368" s="4">
        <v>0</v>
      </c>
      <c r="U368" s="4">
        <v>0</v>
      </c>
      <c r="V368" s="4">
        <v>0</v>
      </c>
      <c r="W368" s="4">
        <v>0</v>
      </c>
      <c r="X368" s="4">
        <v>0</v>
      </c>
      <c r="Y368" s="4">
        <v>0</v>
      </c>
      <c r="Z368" s="4">
        <v>0</v>
      </c>
      <c r="AA368" s="4">
        <v>0</v>
      </c>
      <c r="AB368" s="4">
        <v>0</v>
      </c>
      <c r="AC368" s="4">
        <v>0</v>
      </c>
      <c r="AD368" s="4">
        <v>0</v>
      </c>
      <c r="AE368" s="4">
        <v>0</v>
      </c>
      <c r="AF368" s="4">
        <v>0</v>
      </c>
      <c r="AG368" s="4">
        <v>0</v>
      </c>
      <c r="AH368" s="4">
        <v>0</v>
      </c>
      <c r="AI368" s="4">
        <v>0</v>
      </c>
      <c r="AJ368" s="4">
        <v>0</v>
      </c>
      <c r="AK368" s="4">
        <v>0</v>
      </c>
      <c r="AL368" s="4">
        <v>0</v>
      </c>
      <c r="AM368" s="4">
        <v>0</v>
      </c>
      <c r="AN368" s="4">
        <v>0</v>
      </c>
      <c r="AO368" s="4">
        <v>0</v>
      </c>
      <c r="AP368" s="4">
        <v>0</v>
      </c>
      <c r="AQ368" s="4">
        <v>0</v>
      </c>
      <c r="AR368" s="4"/>
      <c r="AS368" s="4"/>
      <c r="AT368" s="4"/>
      <c r="AU368" s="4"/>
      <c r="AV368" s="4"/>
      <c r="AW368" s="4"/>
      <c r="AX368" s="4"/>
      <c r="AY368" s="3"/>
      <c r="BA368" s="3">
        <v>0</v>
      </c>
      <c r="BB368" s="3">
        <f t="shared" si="350"/>
        <v>0</v>
      </c>
      <c r="BC368" s="3">
        <v>0</v>
      </c>
      <c r="BD368" s="3">
        <f t="shared" si="345"/>
        <v>0</v>
      </c>
      <c r="BE368" s="3">
        <v>0</v>
      </c>
      <c r="BF368" s="3">
        <f t="shared" si="346"/>
        <v>0</v>
      </c>
      <c r="BG368" s="3">
        <v>0</v>
      </c>
      <c r="BH368" s="3"/>
      <c r="BI368" s="3"/>
      <c r="BJ368" s="4">
        <v>0</v>
      </c>
      <c r="BK368" s="3">
        <f t="shared" si="347"/>
        <v>0</v>
      </c>
      <c r="BL368" s="3">
        <f t="shared" si="348"/>
        <v>0</v>
      </c>
      <c r="BM368" s="177">
        <f t="shared" si="349"/>
        <v>0</v>
      </c>
      <c r="BN368" s="3"/>
      <c r="BR368" s="3"/>
      <c r="BS368" s="3"/>
      <c r="BT368" s="3"/>
      <c r="BU368" s="3"/>
      <c r="BV368" s="3"/>
      <c r="BW368" s="3"/>
      <c r="BX368" s="3"/>
      <c r="BY368" s="3"/>
      <c r="BZ368" s="3"/>
      <c r="CA368" s="3"/>
      <c r="CB368" s="3"/>
      <c r="CC368" s="4"/>
      <c r="CD368" s="3"/>
      <c r="CE368" s="3"/>
      <c r="CF368" s="3"/>
      <c r="CG368" s="3"/>
      <c r="CH368" s="3"/>
      <c r="CI368" s="3"/>
      <c r="CJ368" s="3"/>
      <c r="CK368" s="3"/>
      <c r="CL368" s="3"/>
      <c r="CM368" s="3"/>
      <c r="CN368" s="3"/>
      <c r="CO368" s="3"/>
      <c r="CP368" s="3"/>
    </row>
    <row r="369" spans="1:94" ht="13.5" thickBot="1">
      <c r="A369" s="2" t="s">
        <v>29</v>
      </c>
      <c r="B369" s="3">
        <f>SUM(B357:B368)</f>
        <v>0</v>
      </c>
      <c r="C369" s="3">
        <f t="shared" ref="C369:AQ369" si="351">SUM(C357:C368)</f>
        <v>0</v>
      </c>
      <c r="D369" s="3">
        <f t="shared" si="351"/>
        <v>0</v>
      </c>
      <c r="E369" s="3">
        <f t="shared" si="351"/>
        <v>0</v>
      </c>
      <c r="F369" s="3">
        <f t="shared" si="351"/>
        <v>0</v>
      </c>
      <c r="G369" s="3">
        <f t="shared" si="351"/>
        <v>0</v>
      </c>
      <c r="H369" s="3">
        <f t="shared" si="351"/>
        <v>0</v>
      </c>
      <c r="I369" s="3">
        <f t="shared" si="351"/>
        <v>0</v>
      </c>
      <c r="J369" s="3">
        <f t="shared" si="351"/>
        <v>0</v>
      </c>
      <c r="K369" s="3">
        <f t="shared" si="351"/>
        <v>0</v>
      </c>
      <c r="L369" s="3">
        <f t="shared" si="351"/>
        <v>0</v>
      </c>
      <c r="M369" s="3">
        <f t="shared" si="351"/>
        <v>0</v>
      </c>
      <c r="N369" s="3">
        <f t="shared" si="351"/>
        <v>0</v>
      </c>
      <c r="O369" s="3">
        <f t="shared" si="351"/>
        <v>0</v>
      </c>
      <c r="P369" s="3">
        <f t="shared" si="351"/>
        <v>0</v>
      </c>
      <c r="Q369" s="4">
        <f t="shared" si="351"/>
        <v>0</v>
      </c>
      <c r="R369" s="4">
        <f t="shared" si="351"/>
        <v>0</v>
      </c>
      <c r="S369" s="4">
        <f t="shared" si="351"/>
        <v>0</v>
      </c>
      <c r="T369" s="4">
        <f t="shared" si="351"/>
        <v>0</v>
      </c>
      <c r="U369" s="4">
        <f t="shared" si="351"/>
        <v>0</v>
      </c>
      <c r="V369" s="4">
        <f t="shared" si="351"/>
        <v>0</v>
      </c>
      <c r="W369" s="4">
        <f t="shared" si="351"/>
        <v>0</v>
      </c>
      <c r="X369" s="4">
        <f t="shared" si="351"/>
        <v>0</v>
      </c>
      <c r="Y369" s="4">
        <f t="shared" si="351"/>
        <v>0</v>
      </c>
      <c r="Z369" s="4">
        <f t="shared" si="351"/>
        <v>0</v>
      </c>
      <c r="AA369" s="4">
        <f t="shared" si="351"/>
        <v>0</v>
      </c>
      <c r="AB369" s="4">
        <f t="shared" si="351"/>
        <v>0</v>
      </c>
      <c r="AC369" s="4">
        <f t="shared" si="351"/>
        <v>0</v>
      </c>
      <c r="AD369" s="4">
        <f t="shared" si="351"/>
        <v>0</v>
      </c>
      <c r="AE369" s="4">
        <f t="shared" si="351"/>
        <v>0</v>
      </c>
      <c r="AF369" s="4">
        <f t="shared" si="351"/>
        <v>0</v>
      </c>
      <c r="AG369" s="4">
        <f t="shared" si="351"/>
        <v>0</v>
      </c>
      <c r="AH369" s="4">
        <f t="shared" si="351"/>
        <v>0</v>
      </c>
      <c r="AI369" s="4">
        <f t="shared" si="351"/>
        <v>0</v>
      </c>
      <c r="AJ369" s="4">
        <f t="shared" si="351"/>
        <v>0</v>
      </c>
      <c r="AK369" s="4">
        <f t="shared" si="351"/>
        <v>0</v>
      </c>
      <c r="AL369" s="4">
        <f t="shared" si="351"/>
        <v>0</v>
      </c>
      <c r="AM369" s="4">
        <f t="shared" si="351"/>
        <v>0</v>
      </c>
      <c r="AN369" s="4">
        <f t="shared" si="351"/>
        <v>0</v>
      </c>
      <c r="AO369" s="4">
        <f t="shared" si="351"/>
        <v>0</v>
      </c>
      <c r="AP369" s="4">
        <f t="shared" si="351"/>
        <v>0</v>
      </c>
      <c r="AQ369" s="4">
        <f t="shared" si="351"/>
        <v>0</v>
      </c>
      <c r="AR369" s="4"/>
      <c r="AS369" s="4"/>
      <c r="AT369" s="4"/>
      <c r="AU369" s="4"/>
      <c r="AV369" s="4"/>
      <c r="AW369" s="4"/>
      <c r="AX369" s="4"/>
      <c r="AY369" s="3"/>
      <c r="BA369" s="3">
        <v>0</v>
      </c>
      <c r="BB369" s="3">
        <f t="shared" si="350"/>
        <v>0</v>
      </c>
      <c r="BC369" s="3">
        <v>0</v>
      </c>
      <c r="BD369" s="3">
        <f t="shared" si="345"/>
        <v>0</v>
      </c>
      <c r="BE369" s="3">
        <v>0</v>
      </c>
      <c r="BF369" s="3">
        <f t="shared" si="346"/>
        <v>0</v>
      </c>
      <c r="BG369" s="3">
        <v>0</v>
      </c>
      <c r="BH369" s="3"/>
      <c r="BI369" s="3"/>
      <c r="BJ369" s="4">
        <v>0</v>
      </c>
      <c r="BK369" s="3">
        <f t="shared" si="347"/>
        <v>0</v>
      </c>
      <c r="BL369" s="3">
        <f t="shared" si="348"/>
        <v>0</v>
      </c>
      <c r="BM369" s="177">
        <f t="shared" si="349"/>
        <v>0</v>
      </c>
      <c r="BN369" s="3"/>
      <c r="BR369" s="3"/>
      <c r="BS369" s="3"/>
      <c r="BT369" s="3"/>
      <c r="BU369" s="3"/>
      <c r="BV369" s="3"/>
      <c r="BW369" s="3"/>
      <c r="BX369" s="3"/>
      <c r="BY369" s="3"/>
      <c r="BZ369" s="3"/>
      <c r="CA369" s="3"/>
      <c r="CB369" s="3"/>
      <c r="CC369" s="4"/>
      <c r="CD369" s="3"/>
      <c r="CE369" s="3"/>
      <c r="CF369" s="3"/>
      <c r="CG369" s="3"/>
      <c r="CH369" s="3"/>
      <c r="CI369" s="3"/>
      <c r="CJ369" s="3"/>
      <c r="CK369" s="3"/>
      <c r="CL369" s="3"/>
      <c r="CM369" s="3"/>
      <c r="CN369" s="3"/>
      <c r="CO369" s="3"/>
      <c r="CP369" s="3"/>
    </row>
    <row r="370" spans="1:94">
      <c r="A370" s="114"/>
      <c r="B370" s="114"/>
      <c r="C370" s="114"/>
      <c r="D370" s="114"/>
      <c r="E370" s="114"/>
      <c r="F370" s="114"/>
      <c r="G370" s="114"/>
      <c r="H370" s="114"/>
      <c r="I370" s="114"/>
      <c r="J370" s="114"/>
      <c r="K370" s="114"/>
      <c r="L370" s="114"/>
      <c r="M370" s="114"/>
      <c r="N370" s="114"/>
      <c r="O370" s="114"/>
      <c r="P370" s="114"/>
      <c r="Q370" s="114"/>
      <c r="R370" s="114"/>
      <c r="S370" s="114"/>
      <c r="T370" s="114"/>
      <c r="U370" s="114"/>
      <c r="V370" s="114"/>
      <c r="W370" s="114"/>
      <c r="X370" s="114"/>
      <c r="Y370" s="114"/>
      <c r="Z370" s="114"/>
      <c r="AA370" s="114"/>
      <c r="AB370" s="114"/>
      <c r="AC370" s="114"/>
      <c r="AD370" s="114"/>
      <c r="AE370" s="114"/>
      <c r="AF370" s="114"/>
      <c r="AG370" s="114"/>
      <c r="AH370" s="114"/>
      <c r="AI370" s="114"/>
      <c r="AJ370" s="114"/>
      <c r="AK370" s="114"/>
      <c r="AL370" s="114"/>
      <c r="AM370" s="114"/>
      <c r="AN370" s="114"/>
      <c r="AO370" s="114"/>
      <c r="AP370" s="114"/>
      <c r="AQ370" s="114"/>
      <c r="AX370" s="4"/>
      <c r="AY370" s="3"/>
      <c r="BE370" s="4"/>
    </row>
    <row r="371" spans="1:94" ht="16.5" thickBot="1">
      <c r="A371" s="109" t="s">
        <v>330</v>
      </c>
      <c r="P371" s="2" t="s">
        <v>331</v>
      </c>
      <c r="AX371" s="4"/>
      <c r="AY371" s="3"/>
      <c r="BE371" s="4"/>
    </row>
    <row r="372" spans="1:94" ht="13.5" thickBot="1">
      <c r="A372" s="110"/>
      <c r="B372" s="111">
        <f t="shared" ref="B372:K372" si="352">B2</f>
        <v>2010</v>
      </c>
      <c r="C372" s="111">
        <f t="shared" si="352"/>
        <v>2011</v>
      </c>
      <c r="D372" s="111">
        <f t="shared" si="352"/>
        <v>2012</v>
      </c>
      <c r="E372" s="111">
        <f t="shared" si="352"/>
        <v>2013</v>
      </c>
      <c r="F372" s="111">
        <f t="shared" si="352"/>
        <v>2014</v>
      </c>
      <c r="G372" s="111">
        <f t="shared" si="352"/>
        <v>2015</v>
      </c>
      <c r="H372" s="111">
        <f t="shared" si="352"/>
        <v>2016</v>
      </c>
      <c r="I372" s="111">
        <f t="shared" si="352"/>
        <v>2017</v>
      </c>
      <c r="J372" s="111">
        <f t="shared" si="352"/>
        <v>2018</v>
      </c>
      <c r="K372" s="111">
        <f t="shared" si="352"/>
        <v>2019</v>
      </c>
      <c r="L372" s="111">
        <f>L2</f>
        <v>2020</v>
      </c>
      <c r="M372" s="111">
        <f>M2</f>
        <v>2021</v>
      </c>
      <c r="N372" s="111">
        <f t="shared" ref="N372:AQ372" si="353">N2</f>
        <v>2022</v>
      </c>
      <c r="O372" s="111">
        <f t="shared" si="353"/>
        <v>2023</v>
      </c>
      <c r="P372" s="111">
        <f t="shared" si="353"/>
        <v>2024</v>
      </c>
      <c r="Q372" s="111">
        <f t="shared" si="353"/>
        <v>2025</v>
      </c>
      <c r="R372" s="111">
        <f t="shared" si="353"/>
        <v>2026</v>
      </c>
      <c r="S372" s="111">
        <f t="shared" si="353"/>
        <v>2027</v>
      </c>
      <c r="T372" s="111">
        <f t="shared" si="353"/>
        <v>2028</v>
      </c>
      <c r="U372" s="111">
        <f t="shared" si="353"/>
        <v>2029</v>
      </c>
      <c r="V372" s="111">
        <f t="shared" si="353"/>
        <v>2030</v>
      </c>
      <c r="W372" s="111">
        <f t="shared" si="353"/>
        <v>2031</v>
      </c>
      <c r="X372" s="111">
        <f t="shared" si="353"/>
        <v>2032</v>
      </c>
      <c r="Y372" s="111">
        <f t="shared" si="353"/>
        <v>2033</v>
      </c>
      <c r="Z372" s="111">
        <f t="shared" si="353"/>
        <v>2034</v>
      </c>
      <c r="AA372" s="111">
        <f t="shared" si="353"/>
        <v>2035</v>
      </c>
      <c r="AB372" s="111">
        <f t="shared" si="353"/>
        <v>2036</v>
      </c>
      <c r="AC372" s="111">
        <f t="shared" si="353"/>
        <v>2037</v>
      </c>
      <c r="AD372" s="111">
        <f t="shared" si="353"/>
        <v>2038</v>
      </c>
      <c r="AE372" s="111">
        <f t="shared" si="353"/>
        <v>2039</v>
      </c>
      <c r="AF372" s="111">
        <f t="shared" si="353"/>
        <v>2040</v>
      </c>
      <c r="AG372" s="111">
        <f t="shared" si="353"/>
        <v>2041</v>
      </c>
      <c r="AH372" s="111">
        <f t="shared" si="353"/>
        <v>2042</v>
      </c>
      <c r="AI372" s="111">
        <f t="shared" si="353"/>
        <v>2043</v>
      </c>
      <c r="AJ372" s="111">
        <f t="shared" si="353"/>
        <v>2044</v>
      </c>
      <c r="AK372" s="111">
        <f t="shared" si="353"/>
        <v>2045</v>
      </c>
      <c r="AL372" s="111">
        <f t="shared" si="353"/>
        <v>2046</v>
      </c>
      <c r="AM372" s="111">
        <f t="shared" si="353"/>
        <v>2047</v>
      </c>
      <c r="AN372" s="111">
        <f t="shared" si="353"/>
        <v>2048</v>
      </c>
      <c r="AO372" s="111">
        <f t="shared" si="353"/>
        <v>2049</v>
      </c>
      <c r="AP372" s="111">
        <f t="shared" si="353"/>
        <v>2050</v>
      </c>
      <c r="AQ372" s="111">
        <f t="shared" si="353"/>
        <v>2051</v>
      </c>
      <c r="AR372" s="94"/>
      <c r="AS372" s="94"/>
      <c r="AT372" s="94"/>
      <c r="AU372" s="94"/>
      <c r="AV372" s="94"/>
      <c r="AW372" s="94"/>
      <c r="AX372" s="4"/>
      <c r="AY372" s="3"/>
      <c r="BE372" s="4"/>
    </row>
    <row r="373" spans="1:94">
      <c r="A373" s="2" t="s">
        <v>43</v>
      </c>
      <c r="B373" s="3">
        <f>'Monthly D4 Gallon Data'!$K2</f>
        <v>0</v>
      </c>
      <c r="C373" s="3">
        <f>'Monthly D4 Gallon Data'!$K14</f>
        <v>0</v>
      </c>
      <c r="D373" s="3">
        <f>'Monthly D4 Gallon Data'!$K26</f>
        <v>0</v>
      </c>
      <c r="E373" s="3">
        <f>'Monthly D4 Gallon Data'!$K38</f>
        <v>0</v>
      </c>
      <c r="F373" s="3">
        <f>'Monthly D4 Gallon Data'!$K50</f>
        <v>0</v>
      </c>
      <c r="G373" s="3">
        <f>'Monthly D4 Gallon Data'!$K62</f>
        <v>0</v>
      </c>
      <c r="H373" s="3">
        <f>'Monthly D4 Gallon Data'!$K74</f>
        <v>0</v>
      </c>
      <c r="I373" s="3">
        <f>'Monthly D4 Gallon Data'!$K86</f>
        <v>0</v>
      </c>
      <c r="J373" s="3">
        <f>'Monthly D4 Gallon Data'!$K98</f>
        <v>0</v>
      </c>
      <c r="K373" s="3">
        <f>'Monthly D4 Gallon Data'!$K110</f>
        <v>0</v>
      </c>
      <c r="L373" s="3">
        <f>'Monthly D4 Gallon Data'!$K122</f>
        <v>0</v>
      </c>
      <c r="M373" s="3">
        <f>'Monthly D4 Gallon Data'!$K134</f>
        <v>0</v>
      </c>
      <c r="N373" s="3">
        <f>'Monthly D4 Gallon Data'!$K146</f>
        <v>0</v>
      </c>
      <c r="O373" s="3">
        <f>'Monthly D4 Gallon Data'!$K158</f>
        <v>0</v>
      </c>
      <c r="P373" s="3">
        <f>'Monthly D4 Gallon Data'!$K170</f>
        <v>8826729</v>
      </c>
      <c r="Q373" s="3">
        <f>'Monthly D4 Gallon Data'!$K182</f>
        <v>7897206</v>
      </c>
      <c r="R373" s="4">
        <f t="shared" ref="R373:T383" si="354">(SUM(M341:Q341)/SUM(M$353:Q$353))*R$385</f>
        <v>2289312.6179649946</v>
      </c>
      <c r="S373" s="4">
        <f t="shared" si="354"/>
        <v>3387558.3292688606</v>
      </c>
      <c r="T373" s="4">
        <f t="shared" si="354"/>
        <v>4469395.0821633441</v>
      </c>
      <c r="U373" s="4">
        <f t="shared" ref="U373:U383" si="355">(SUM(P373:T373)/SUM(P$385:T$385))*U$385</f>
        <v>8273233.596917646</v>
      </c>
      <c r="V373" s="4">
        <f t="shared" ref="V373:AK383" si="356">(SUM(Q373:U373)/SUM(Q$385:U$385))*V$385</f>
        <v>10068287.870351942</v>
      </c>
      <c r="W373" s="4">
        <f t="shared" si="356"/>
        <v>8136276.0563004846</v>
      </c>
      <c r="X373" s="4">
        <f t="shared" si="356"/>
        <v>7503899.9199589891</v>
      </c>
      <c r="Y373" s="4">
        <f t="shared" si="356"/>
        <v>8044937.4120936021</v>
      </c>
      <c r="Z373" s="4">
        <f t="shared" si="356"/>
        <v>9050825.2891462334</v>
      </c>
      <c r="AA373" s="4">
        <f t="shared" si="356"/>
        <v>9221538.9637561105</v>
      </c>
      <c r="AB373" s="4">
        <f t="shared" si="356"/>
        <v>8395122.3357814979</v>
      </c>
      <c r="AC373" s="4">
        <f t="shared" si="356"/>
        <v>8470685.5713187754</v>
      </c>
      <c r="AD373" s="4">
        <f t="shared" si="356"/>
        <v>8716924.3697181884</v>
      </c>
      <c r="AE373" s="4">
        <f t="shared" si="356"/>
        <v>7855386.5554032605</v>
      </c>
      <c r="AF373" s="4">
        <f t="shared" si="356"/>
        <v>7427869.562026876</v>
      </c>
      <c r="AG373" s="4">
        <f t="shared" si="356"/>
        <v>7564146.1394570982</v>
      </c>
      <c r="AH373" s="4">
        <f t="shared" si="356"/>
        <v>7824851.5120473886</v>
      </c>
      <c r="AI373" s="4">
        <f t="shared" si="356"/>
        <v>8009977.5739925178</v>
      </c>
      <c r="AJ373" s="4">
        <f t="shared" si="356"/>
        <v>8098641.9875795599</v>
      </c>
      <c r="AK373" s="4">
        <f t="shared" si="356"/>
        <v>8333312.1252960945</v>
      </c>
      <c r="AL373" s="4">
        <f t="shared" ref="AL373:AQ383" si="357">(SUM(AG373:AK373)/SUM(AG$385:AK$385))*AL$385</f>
        <v>8790789.2720632851</v>
      </c>
      <c r="AM373" s="4">
        <f t="shared" si="357"/>
        <v>9111100.9150479548</v>
      </c>
      <c r="AN373" s="4">
        <f t="shared" si="357"/>
        <v>9121608.3276853431</v>
      </c>
      <c r="AO373" s="4">
        <f t="shared" si="357"/>
        <v>9105355.3155277073</v>
      </c>
      <c r="AP373" s="4">
        <f t="shared" si="357"/>
        <v>9318796.9903225489</v>
      </c>
      <c r="AQ373" s="4">
        <f t="shared" si="357"/>
        <v>10462604.814420054</v>
      </c>
      <c r="AR373" s="4"/>
      <c r="AS373" s="4">
        <f>SUM(Q373:Q375)</f>
        <v>12878899</v>
      </c>
      <c r="AT373" s="121">
        <f>(Q373/P384)-1</f>
        <v>1.3202570461609517</v>
      </c>
      <c r="AU373" s="121" t="s">
        <v>299</v>
      </c>
      <c r="AV373" s="4"/>
      <c r="AW373" s="4"/>
      <c r="AX373" s="4"/>
      <c r="AY373" s="3"/>
      <c r="BC373" s="3">
        <v>0</v>
      </c>
      <c r="BD373" s="3">
        <f t="shared" ref="BD373:BD385" si="358">L373-BC373</f>
        <v>0</v>
      </c>
      <c r="BE373" s="3">
        <v>0</v>
      </c>
      <c r="BF373" s="3">
        <f t="shared" ref="BF373:BF385" si="359">M373-BE373</f>
        <v>0</v>
      </c>
      <c r="BG373" s="3">
        <v>0</v>
      </c>
      <c r="BH373" s="3"/>
      <c r="BI373" s="3"/>
      <c r="BJ373" s="3">
        <v>8826729</v>
      </c>
      <c r="BK373" s="3">
        <f t="shared" ref="BK373:BK385" si="360">P373-BJ373</f>
        <v>0</v>
      </c>
      <c r="BL373" s="3">
        <v>7897206</v>
      </c>
      <c r="BM373" s="177">
        <f t="shared" ref="BM373:BM385" si="361">Q373-BL373</f>
        <v>0</v>
      </c>
      <c r="BN373" s="3"/>
      <c r="BP373" s="3"/>
      <c r="BQ373" s="3"/>
      <c r="BR373" s="3"/>
      <c r="BS373" s="3"/>
      <c r="BT373" s="3"/>
      <c r="BU373" s="3"/>
      <c r="BV373" s="3"/>
      <c r="BW373" s="3"/>
      <c r="BX373" s="3"/>
      <c r="BY373" s="3"/>
      <c r="BZ373" s="3"/>
      <c r="CA373" s="3"/>
      <c r="CB373" s="3"/>
      <c r="CC373" s="4"/>
      <c r="CD373" s="3"/>
      <c r="CE373" s="3"/>
      <c r="CF373" s="3"/>
      <c r="CG373" s="3"/>
      <c r="CH373" s="3"/>
      <c r="CI373" s="3"/>
      <c r="CJ373" s="3"/>
      <c r="CK373" s="3"/>
      <c r="CL373" s="3"/>
      <c r="CM373" s="3"/>
      <c r="CN373" s="3"/>
      <c r="CO373" s="3"/>
      <c r="CP373" s="3"/>
    </row>
    <row r="374" spans="1:94">
      <c r="A374" s="2" t="s">
        <v>44</v>
      </c>
      <c r="B374" s="3">
        <f>'Monthly D4 Gallon Data'!$K3</f>
        <v>0</v>
      </c>
      <c r="C374" s="3">
        <f>'Monthly D4 Gallon Data'!$K15</f>
        <v>0</v>
      </c>
      <c r="D374" s="3">
        <f>'Monthly D4 Gallon Data'!$K27</f>
        <v>0</v>
      </c>
      <c r="E374" s="3">
        <f>'Monthly D4 Gallon Data'!$K39</f>
        <v>0</v>
      </c>
      <c r="F374" s="3">
        <f>'Monthly D4 Gallon Data'!$K51</f>
        <v>0</v>
      </c>
      <c r="G374" s="3">
        <f>'Monthly D4 Gallon Data'!$K63</f>
        <v>0</v>
      </c>
      <c r="H374" s="3">
        <f>'Monthly D4 Gallon Data'!$K75</f>
        <v>0</v>
      </c>
      <c r="I374" s="3">
        <f>'Monthly D4 Gallon Data'!$K87</f>
        <v>0</v>
      </c>
      <c r="J374" s="3">
        <f>'Monthly D4 Gallon Data'!$K99</f>
        <v>0</v>
      </c>
      <c r="K374" s="3">
        <f>'Monthly D4 Gallon Data'!$K111</f>
        <v>0</v>
      </c>
      <c r="L374" s="3">
        <f>'Monthly D4 Gallon Data'!$K123</f>
        <v>0</v>
      </c>
      <c r="M374" s="3">
        <f>'Monthly D4 Gallon Data'!$K135</f>
        <v>0</v>
      </c>
      <c r="N374" s="3">
        <f>'Monthly D4 Gallon Data'!$K147</f>
        <v>1410999</v>
      </c>
      <c r="O374" s="3">
        <f>'Monthly D4 Gallon Data'!$K159</f>
        <v>1486280</v>
      </c>
      <c r="P374" s="3">
        <f>'Monthly D4 Gallon Data'!$K171</f>
        <v>0</v>
      </c>
      <c r="Q374" s="3">
        <f>'Monthly D4 Gallon Data'!$K183</f>
        <v>0</v>
      </c>
      <c r="R374" s="4">
        <f t="shared" si="354"/>
        <v>4524464.4572742768</v>
      </c>
      <c r="S374" s="4">
        <f t="shared" si="354"/>
        <v>6524288.7560885986</v>
      </c>
      <c r="T374" s="4">
        <f t="shared" si="354"/>
        <v>8507600.6500327606</v>
      </c>
      <c r="U374" s="4">
        <f t="shared" si="355"/>
        <v>6021327.627539699</v>
      </c>
      <c r="V374" s="4">
        <f t="shared" si="356"/>
        <v>9785550.8194537982</v>
      </c>
      <c r="W374" s="4">
        <f t="shared" si="356"/>
        <v>10099942.663293034</v>
      </c>
      <c r="X374" s="4">
        <f t="shared" si="356"/>
        <v>8947202.9999240506</v>
      </c>
      <c r="Y374" s="4">
        <f t="shared" si="356"/>
        <v>9072344.486694511</v>
      </c>
      <c r="Z374" s="4">
        <f t="shared" si="356"/>
        <v>9459950.5557137765</v>
      </c>
      <c r="AA374" s="4">
        <f t="shared" si="356"/>
        <v>10204088.476595111</v>
      </c>
      <c r="AB374" s="4">
        <f t="shared" si="356"/>
        <v>9560836.2483089268</v>
      </c>
      <c r="AC374" s="4">
        <f t="shared" si="356"/>
        <v>9479571.243841555</v>
      </c>
      <c r="AD374" s="4">
        <f t="shared" si="356"/>
        <v>9644202.9765538201</v>
      </c>
      <c r="AE374" s="4">
        <f t="shared" si="356"/>
        <v>8660278.0820416864</v>
      </c>
      <c r="AF374" s="4">
        <f t="shared" si="356"/>
        <v>8279194.3821031414</v>
      </c>
      <c r="AG374" s="4">
        <f t="shared" si="356"/>
        <v>8444852.1703038253</v>
      </c>
      <c r="AH374" s="4">
        <f t="shared" si="356"/>
        <v>8699117.2352069002</v>
      </c>
      <c r="AI374" s="4">
        <f t="shared" si="356"/>
        <v>8892225.5079482626</v>
      </c>
      <c r="AJ374" s="4">
        <f t="shared" si="356"/>
        <v>8997530.1885513812</v>
      </c>
      <c r="AK374" s="4">
        <f t="shared" si="356"/>
        <v>9272589.9409893099</v>
      </c>
      <c r="AL374" s="4">
        <f t="shared" si="357"/>
        <v>9778518.4888827093</v>
      </c>
      <c r="AM374" s="4">
        <f t="shared" si="357"/>
        <v>10127984.946995489</v>
      </c>
      <c r="AN374" s="4">
        <f t="shared" si="357"/>
        <v>10139462.775938636</v>
      </c>
      <c r="AO374" s="4">
        <f t="shared" si="357"/>
        <v>10123818.922406681</v>
      </c>
      <c r="AP374" s="4">
        <f t="shared" si="357"/>
        <v>10362595.841713604</v>
      </c>
      <c r="AQ374" s="4">
        <f t="shared" si="357"/>
        <v>11633171.856767559</v>
      </c>
      <c r="AR374" s="4"/>
      <c r="AS374" s="4">
        <f>SUM(P373:P375)</f>
        <v>14490169</v>
      </c>
      <c r="AT374" s="121">
        <f t="shared" ref="AT374:AT384" si="362">(Q374/Q373)-1</f>
        <v>-1</v>
      </c>
      <c r="AU374" s="121" t="s">
        <v>300</v>
      </c>
      <c r="AV374" s="4"/>
      <c r="AW374" s="4"/>
      <c r="AX374" s="4"/>
      <c r="AY374" s="3"/>
      <c r="BC374" s="3">
        <v>0</v>
      </c>
      <c r="BD374" s="3">
        <f t="shared" si="358"/>
        <v>0</v>
      </c>
      <c r="BE374" s="3">
        <v>0</v>
      </c>
      <c r="BF374" s="3">
        <f t="shared" si="359"/>
        <v>0</v>
      </c>
      <c r="BG374" s="3">
        <v>0</v>
      </c>
      <c r="BH374" s="3"/>
      <c r="BI374" s="3"/>
      <c r="BJ374" s="3">
        <v>0</v>
      </c>
      <c r="BK374" s="3">
        <f t="shared" si="360"/>
        <v>0</v>
      </c>
      <c r="BL374" s="3">
        <v>0</v>
      </c>
      <c r="BM374" s="177">
        <f t="shared" si="361"/>
        <v>0</v>
      </c>
      <c r="BN374" s="3"/>
      <c r="BP374" s="3"/>
      <c r="BQ374" s="3"/>
      <c r="BR374" s="3"/>
      <c r="BS374" s="3"/>
      <c r="BT374" s="3"/>
      <c r="BU374" s="3"/>
      <c r="BV374" s="3"/>
      <c r="BW374" s="3"/>
      <c r="BX374" s="3"/>
      <c r="BY374" s="3"/>
      <c r="BZ374" s="3"/>
      <c r="CA374" s="3"/>
      <c r="CB374" s="3"/>
      <c r="CC374" s="4"/>
      <c r="CD374" s="3"/>
      <c r="CE374" s="3"/>
      <c r="CF374" s="3"/>
      <c r="CG374" s="3"/>
      <c r="CH374" s="3"/>
      <c r="CI374" s="3"/>
      <c r="CJ374" s="3"/>
      <c r="CK374" s="3"/>
      <c r="CL374" s="3"/>
      <c r="CM374" s="3"/>
      <c r="CN374" s="3"/>
      <c r="CO374" s="3"/>
      <c r="CP374" s="3"/>
    </row>
    <row r="375" spans="1:94">
      <c r="A375" s="2" t="s">
        <v>45</v>
      </c>
      <c r="B375" s="3">
        <f>'Monthly D4 Gallon Data'!$K4</f>
        <v>0</v>
      </c>
      <c r="C375" s="3">
        <f>'Monthly D4 Gallon Data'!$K16</f>
        <v>0</v>
      </c>
      <c r="D375" s="3">
        <f>'Monthly D4 Gallon Data'!$K28</f>
        <v>0</v>
      </c>
      <c r="E375" s="3">
        <f>'Monthly D4 Gallon Data'!$K40</f>
        <v>0</v>
      </c>
      <c r="F375" s="3">
        <f>'Monthly D4 Gallon Data'!$K52</f>
        <v>0</v>
      </c>
      <c r="G375" s="3">
        <f>'Monthly D4 Gallon Data'!$K64</f>
        <v>0</v>
      </c>
      <c r="H375" s="3">
        <f>'Monthly D4 Gallon Data'!$K76</f>
        <v>0</v>
      </c>
      <c r="I375" s="3">
        <f>'Monthly D4 Gallon Data'!$K88</f>
        <v>0</v>
      </c>
      <c r="J375" s="3">
        <f>'Monthly D4 Gallon Data'!$K100</f>
        <v>0</v>
      </c>
      <c r="K375" s="3">
        <f>'Monthly D4 Gallon Data'!$K112</f>
        <v>0</v>
      </c>
      <c r="L375" s="3">
        <f>'Monthly D4 Gallon Data'!$K124</f>
        <v>0</v>
      </c>
      <c r="M375" s="3">
        <f>'Monthly D4 Gallon Data'!$K136</f>
        <v>0</v>
      </c>
      <c r="N375" s="3">
        <f>'Monthly D4 Gallon Data'!$K148</f>
        <v>1895971</v>
      </c>
      <c r="O375" s="3">
        <f>'Monthly D4 Gallon Data'!$K160</f>
        <v>1414636</v>
      </c>
      <c r="P375" s="3">
        <f>'Monthly D4 Gallon Data'!$K172</f>
        <v>5663440</v>
      </c>
      <c r="Q375" s="3">
        <f>'Monthly D4 Gallon Data'!$K184</f>
        <v>4981693</v>
      </c>
      <c r="R375" s="4">
        <f t="shared" si="354"/>
        <v>1830359.5228116715</v>
      </c>
      <c r="S375" s="4">
        <f t="shared" si="354"/>
        <v>2622329.6439365507</v>
      </c>
      <c r="T375" s="4">
        <f t="shared" si="354"/>
        <v>3404568.863410295</v>
      </c>
      <c r="U375" s="4">
        <f t="shared" si="355"/>
        <v>5696816.4446013886</v>
      </c>
      <c r="V375" s="4">
        <f t="shared" si="356"/>
        <v>7091443.947572941</v>
      </c>
      <c r="W375" s="4">
        <f t="shared" si="356"/>
        <v>5896478.8764024405</v>
      </c>
      <c r="X375" s="4">
        <f t="shared" si="356"/>
        <v>5400757.2992111025</v>
      </c>
      <c r="Y375" s="4">
        <f t="shared" si="356"/>
        <v>5751614.3579164734</v>
      </c>
      <c r="Z375" s="4">
        <f t="shared" si="356"/>
        <v>6425698.346992366</v>
      </c>
      <c r="AA375" s="4">
        <f t="shared" si="356"/>
        <v>6584992.1038771914</v>
      </c>
      <c r="AB375" s="4">
        <f t="shared" si="356"/>
        <v>6014506.5458687432</v>
      </c>
      <c r="AC375" s="4">
        <f t="shared" si="356"/>
        <v>6055114.9800189482</v>
      </c>
      <c r="AD375" s="4">
        <f t="shared" si="356"/>
        <v>6223719.7065062365</v>
      </c>
      <c r="AE375" s="4">
        <f t="shared" si="356"/>
        <v>5607222.1719538234</v>
      </c>
      <c r="AF375" s="4">
        <f t="shared" si="356"/>
        <v>5308123.4482470453</v>
      </c>
      <c r="AG375" s="4">
        <f t="shared" si="356"/>
        <v>5406421.9311959855</v>
      </c>
      <c r="AH375" s="4">
        <f t="shared" si="356"/>
        <v>5589993.6925328057</v>
      </c>
      <c r="AI375" s="4">
        <f t="shared" si="356"/>
        <v>5721484.4811736187</v>
      </c>
      <c r="AJ375" s="4">
        <f t="shared" si="356"/>
        <v>5785389.2165231574</v>
      </c>
      <c r="AK375" s="4">
        <f t="shared" si="356"/>
        <v>5953970.0709243482</v>
      </c>
      <c r="AL375" s="4">
        <f t="shared" si="357"/>
        <v>6280590.8557496006</v>
      </c>
      <c r="AM375" s="4">
        <f t="shared" si="357"/>
        <v>6508947.9794914927</v>
      </c>
      <c r="AN375" s="4">
        <f t="shared" si="357"/>
        <v>6516467.5663020341</v>
      </c>
      <c r="AO375" s="4">
        <f t="shared" si="357"/>
        <v>6505031.4380742079</v>
      </c>
      <c r="AP375" s="4">
        <f t="shared" si="357"/>
        <v>6657607.7379988618</v>
      </c>
      <c r="AQ375" s="4">
        <f t="shared" si="357"/>
        <v>7474679.1397133581</v>
      </c>
      <c r="AR375" s="4"/>
      <c r="AS375" s="4">
        <f>SUM(P382:P384)</f>
        <v>9554472</v>
      </c>
      <c r="AT375" s="121" t="e">
        <f t="shared" si="362"/>
        <v>#DIV/0!</v>
      </c>
      <c r="AU375" s="197" t="s">
        <v>301</v>
      </c>
      <c r="AV375" s="4"/>
      <c r="AW375" s="4"/>
      <c r="AX375" s="4"/>
      <c r="AY375" s="3"/>
      <c r="BC375" s="3">
        <v>0</v>
      </c>
      <c r="BD375" s="3">
        <f t="shared" si="358"/>
        <v>0</v>
      </c>
      <c r="BE375" s="3">
        <v>0</v>
      </c>
      <c r="BF375" s="3">
        <f t="shared" si="359"/>
        <v>0</v>
      </c>
      <c r="BG375" s="3">
        <v>0</v>
      </c>
      <c r="BH375" s="3"/>
      <c r="BI375" s="3"/>
      <c r="BJ375" s="3">
        <v>5663440</v>
      </c>
      <c r="BK375" s="3">
        <f t="shared" si="360"/>
        <v>0</v>
      </c>
      <c r="BL375" s="3">
        <v>3956208.4161470779</v>
      </c>
      <c r="BM375" s="177">
        <f t="shared" si="361"/>
        <v>1025484.5838529221</v>
      </c>
      <c r="BN375" s="3"/>
      <c r="BP375" s="3"/>
      <c r="BQ375" s="3"/>
      <c r="BR375" s="3"/>
      <c r="BS375" s="3"/>
      <c r="BT375" s="3"/>
      <c r="BU375" s="3"/>
      <c r="BV375" s="3"/>
      <c r="BW375" s="3"/>
      <c r="BX375" s="3"/>
      <c r="BY375" s="3"/>
      <c r="BZ375" s="3"/>
      <c r="CA375" s="3"/>
      <c r="CB375" s="3"/>
      <c r="CC375" s="4"/>
      <c r="CD375" s="3"/>
      <c r="CE375" s="3"/>
      <c r="CF375" s="3"/>
      <c r="CG375" s="3"/>
      <c r="CH375" s="3"/>
      <c r="CI375" s="3"/>
      <c r="CJ375" s="3"/>
      <c r="CK375" s="3"/>
      <c r="CL375" s="3"/>
      <c r="CM375" s="3"/>
      <c r="CN375" s="3"/>
      <c r="CO375" s="3"/>
      <c r="CP375" s="3"/>
    </row>
    <row r="376" spans="1:94">
      <c r="A376" s="2" t="s">
        <v>46</v>
      </c>
      <c r="B376" s="3">
        <f>'Monthly D4 Gallon Data'!$K5</f>
        <v>0</v>
      </c>
      <c r="C376" s="3">
        <f>'Monthly D4 Gallon Data'!$K17</f>
        <v>0</v>
      </c>
      <c r="D376" s="3">
        <f>'Monthly D4 Gallon Data'!$K29</f>
        <v>0</v>
      </c>
      <c r="E376" s="3">
        <f>'Monthly D4 Gallon Data'!$K41</f>
        <v>0</v>
      </c>
      <c r="F376" s="3">
        <f>'Monthly D4 Gallon Data'!$K53</f>
        <v>0</v>
      </c>
      <c r="G376" s="3">
        <f>'Monthly D4 Gallon Data'!$K65</f>
        <v>0</v>
      </c>
      <c r="H376" s="3">
        <f>'Monthly D4 Gallon Data'!$K77</f>
        <v>0</v>
      </c>
      <c r="I376" s="3">
        <f>'Monthly D4 Gallon Data'!$K89</f>
        <v>0</v>
      </c>
      <c r="J376" s="3">
        <f>'Monthly D4 Gallon Data'!$K101</f>
        <v>0</v>
      </c>
      <c r="K376" s="3">
        <f>'Monthly D4 Gallon Data'!$K113</f>
        <v>0</v>
      </c>
      <c r="L376" s="3">
        <f>'Monthly D4 Gallon Data'!$K125</f>
        <v>0</v>
      </c>
      <c r="M376" s="3">
        <f>'Monthly D4 Gallon Data'!$K137</f>
        <v>0</v>
      </c>
      <c r="N376" s="3">
        <f>'Monthly D4 Gallon Data'!$K149</f>
        <v>0</v>
      </c>
      <c r="O376" s="3">
        <f>'Monthly D4 Gallon Data'!$K161</f>
        <v>1397929</v>
      </c>
      <c r="P376" s="3">
        <f>'Monthly D4 Gallon Data'!$K173</f>
        <v>5660163</v>
      </c>
      <c r="Q376" s="4">
        <f t="shared" ref="Q376:Q380" si="363">(SUM(L344:P344)/SUM(L$353:P$353))*Q$385</f>
        <v>4903573.9856702527</v>
      </c>
      <c r="R376" s="4">
        <f t="shared" si="354"/>
        <v>2892392.7353115394</v>
      </c>
      <c r="S376" s="4">
        <f t="shared" si="354"/>
        <v>4160296.6501418739</v>
      </c>
      <c r="T376" s="4">
        <f t="shared" si="354"/>
        <v>5461467.7466848036</v>
      </c>
      <c r="U376" s="4">
        <f t="shared" si="355"/>
        <v>7105596.5957484469</v>
      </c>
      <c r="V376" s="4">
        <f t="shared" si="356"/>
        <v>9382174.4433003888</v>
      </c>
      <c r="W376" s="4">
        <f t="shared" si="356"/>
        <v>8283117.5918236915</v>
      </c>
      <c r="X376" s="4">
        <f t="shared" si="356"/>
        <v>7516554.4899477586</v>
      </c>
      <c r="Y376" s="4">
        <f t="shared" si="356"/>
        <v>7898023.3162649227</v>
      </c>
      <c r="Z376" s="4">
        <f t="shared" si="356"/>
        <v>8654312.6075736154</v>
      </c>
      <c r="AA376" s="4">
        <f t="shared" si="356"/>
        <v>8991013.7528802734</v>
      </c>
      <c r="AB376" s="4">
        <f t="shared" si="356"/>
        <v>8272178.0456156377</v>
      </c>
      <c r="AC376" s="4">
        <f t="shared" si="356"/>
        <v>8293262.8877278352</v>
      </c>
      <c r="AD376" s="4">
        <f t="shared" si="356"/>
        <v>8500062.7950469814</v>
      </c>
      <c r="AE376" s="4">
        <f t="shared" si="356"/>
        <v>7650423.9415513342</v>
      </c>
      <c r="AF376" s="4">
        <f t="shared" si="356"/>
        <v>7261983.2583145294</v>
      </c>
      <c r="AG376" s="4">
        <f t="shared" si="356"/>
        <v>7399766.2235446833</v>
      </c>
      <c r="AH376" s="4">
        <f t="shared" si="356"/>
        <v>7643177.9837516332</v>
      </c>
      <c r="AI376" s="4">
        <f t="shared" si="356"/>
        <v>7820092.2160399221</v>
      </c>
      <c r="AJ376" s="4">
        <f t="shared" si="356"/>
        <v>7908793.8623335594</v>
      </c>
      <c r="AK376" s="4">
        <f t="shared" si="356"/>
        <v>8142419.4232569924</v>
      </c>
      <c r="AL376" s="4">
        <f t="shared" si="357"/>
        <v>8588475.7035297919</v>
      </c>
      <c r="AM376" s="4">
        <f t="shared" si="357"/>
        <v>8899262.3326791395</v>
      </c>
      <c r="AN376" s="4">
        <f t="shared" si="357"/>
        <v>8909469.6525654495</v>
      </c>
      <c r="AO376" s="4">
        <f t="shared" si="357"/>
        <v>8894348.8603445105</v>
      </c>
      <c r="AP376" s="4">
        <f t="shared" si="357"/>
        <v>9103299.3078456707</v>
      </c>
      <c r="AQ376" s="4">
        <f t="shared" si="357"/>
        <v>10220238.54340885</v>
      </c>
      <c r="AR376" s="4"/>
      <c r="AS376" s="94"/>
      <c r="AT376" s="121">
        <f t="shared" si="362"/>
        <v>-1.5681218077819636E-2</v>
      </c>
      <c r="AU376" s="197"/>
      <c r="AV376" s="4"/>
      <c r="AW376" s="4"/>
      <c r="AX376" s="4"/>
      <c r="AY376" s="3"/>
      <c r="BC376" s="3">
        <v>0</v>
      </c>
      <c r="BD376" s="3">
        <f t="shared" si="358"/>
        <v>0</v>
      </c>
      <c r="BE376" s="3">
        <v>0</v>
      </c>
      <c r="BF376" s="3">
        <f t="shared" si="359"/>
        <v>0</v>
      </c>
      <c r="BG376" s="3">
        <v>0</v>
      </c>
      <c r="BH376" s="3"/>
      <c r="BI376" s="3"/>
      <c r="BJ376" s="3">
        <v>5660163</v>
      </c>
      <c r="BK376" s="3">
        <f t="shared" si="360"/>
        <v>0</v>
      </c>
      <c r="BL376" s="3">
        <v>4903573.9856702527</v>
      </c>
      <c r="BM376" s="177">
        <f t="shared" si="361"/>
        <v>0</v>
      </c>
      <c r="BN376" s="3"/>
      <c r="BP376" s="3"/>
      <c r="BQ376" s="3"/>
      <c r="BR376" s="3"/>
      <c r="BS376" s="3"/>
      <c r="BT376" s="3"/>
      <c r="BU376" s="3"/>
      <c r="BV376" s="3"/>
      <c r="BW376" s="3"/>
      <c r="BX376" s="3"/>
      <c r="BY376" s="3"/>
      <c r="BZ376" s="3"/>
      <c r="CA376" s="3"/>
      <c r="CB376" s="3"/>
      <c r="CC376" s="4"/>
      <c r="CD376" s="3"/>
      <c r="CE376" s="3"/>
      <c r="CF376" s="3"/>
      <c r="CG376" s="3"/>
      <c r="CH376" s="3"/>
      <c r="CI376" s="3"/>
      <c r="CJ376" s="3"/>
      <c r="CK376" s="3"/>
      <c r="CL376" s="3"/>
      <c r="CM376" s="3"/>
      <c r="CN376" s="3"/>
      <c r="CO376" s="3"/>
      <c r="CP376" s="3"/>
    </row>
    <row r="377" spans="1:94">
      <c r="A377" s="2" t="s">
        <v>47</v>
      </c>
      <c r="B377" s="3">
        <f>'Monthly D4 Gallon Data'!$K6</f>
        <v>0</v>
      </c>
      <c r="C377" s="3">
        <f>'Monthly D4 Gallon Data'!$K18</f>
        <v>0</v>
      </c>
      <c r="D377" s="3">
        <f>'Monthly D4 Gallon Data'!$K30</f>
        <v>0</v>
      </c>
      <c r="E377" s="3">
        <f>'Monthly D4 Gallon Data'!$K42</f>
        <v>0</v>
      </c>
      <c r="F377" s="3">
        <f>'Monthly D4 Gallon Data'!$K54</f>
        <v>0</v>
      </c>
      <c r="G377" s="3">
        <f>'Monthly D4 Gallon Data'!$K66</f>
        <v>0</v>
      </c>
      <c r="H377" s="3">
        <f>'Monthly D4 Gallon Data'!$K78</f>
        <v>0</v>
      </c>
      <c r="I377" s="3">
        <f>'Monthly D4 Gallon Data'!$K90</f>
        <v>0</v>
      </c>
      <c r="J377" s="3">
        <f>'Monthly D4 Gallon Data'!$K102</f>
        <v>0</v>
      </c>
      <c r="K377" s="3">
        <f>'Monthly D4 Gallon Data'!$K114</f>
        <v>0</v>
      </c>
      <c r="L377" s="3">
        <f>'Monthly D4 Gallon Data'!$K126</f>
        <v>0</v>
      </c>
      <c r="M377" s="3">
        <f>'Monthly D4 Gallon Data'!$K138</f>
        <v>0</v>
      </c>
      <c r="N377" s="3">
        <f>'Monthly D4 Gallon Data'!$K150</f>
        <v>0</v>
      </c>
      <c r="O377" s="3">
        <f>'Monthly D4 Gallon Data'!$K162</f>
        <v>0</v>
      </c>
      <c r="P377" s="3">
        <f>'Monthly D4 Gallon Data'!$K174</f>
        <v>14789282</v>
      </c>
      <c r="Q377" s="4">
        <f t="shared" si="363"/>
        <v>4719415.1537076579</v>
      </c>
      <c r="R377" s="4">
        <f t="shared" si="354"/>
        <v>3707323.7291912432</v>
      </c>
      <c r="S377" s="4">
        <f t="shared" si="354"/>
        <v>5441851.4775471361</v>
      </c>
      <c r="T377" s="4">
        <f t="shared" si="354"/>
        <v>7193734.9450517902</v>
      </c>
      <c r="U377" s="4">
        <f t="shared" si="355"/>
        <v>11038574.729635984</v>
      </c>
      <c r="V377" s="4">
        <f t="shared" si="356"/>
        <v>12281214.337403223</v>
      </c>
      <c r="W377" s="4">
        <f t="shared" si="356"/>
        <v>11327895.155780969</v>
      </c>
      <c r="X377" s="4">
        <f t="shared" si="356"/>
        <v>10333814.026588807</v>
      </c>
      <c r="Y377" s="4">
        <f t="shared" si="356"/>
        <v>10916373.448436027</v>
      </c>
      <c r="Z377" s="4">
        <f t="shared" si="356"/>
        <v>12038124.691885026</v>
      </c>
      <c r="AA377" s="4">
        <f t="shared" si="356"/>
        <v>12257709.882674122</v>
      </c>
      <c r="AB377" s="4">
        <f t="shared" si="356"/>
        <v>11379699.626763849</v>
      </c>
      <c r="AC377" s="4">
        <f t="shared" si="356"/>
        <v>11422119.323939856</v>
      </c>
      <c r="AD377" s="4">
        <f t="shared" si="356"/>
        <v>11710687.130305609</v>
      </c>
      <c r="AE377" s="4">
        <f t="shared" si="356"/>
        <v>10533832.669100465</v>
      </c>
      <c r="AF377" s="4">
        <f t="shared" si="356"/>
        <v>9977740.5776681006</v>
      </c>
      <c r="AG377" s="4">
        <f t="shared" si="356"/>
        <v>10184757.388199346</v>
      </c>
      <c r="AH377" s="4">
        <f t="shared" si="356"/>
        <v>10520916.108689902</v>
      </c>
      <c r="AI377" s="4">
        <f t="shared" si="356"/>
        <v>10763148.240256883</v>
      </c>
      <c r="AJ377" s="4">
        <f t="shared" si="356"/>
        <v>10882790.230369529</v>
      </c>
      <c r="AK377" s="4">
        <f t="shared" si="356"/>
        <v>11202861.266531074</v>
      </c>
      <c r="AL377" s="4">
        <f t="shared" si="357"/>
        <v>11819610.955532201</v>
      </c>
      <c r="AM377" s="4">
        <f t="shared" si="357"/>
        <v>12247083.684169462</v>
      </c>
      <c r="AN377" s="4">
        <f t="shared" si="357"/>
        <v>12260604.36933103</v>
      </c>
      <c r="AO377" s="4">
        <f t="shared" si="357"/>
        <v>12239446.081529563</v>
      </c>
      <c r="AP377" s="4">
        <f t="shared" si="357"/>
        <v>12527073.65604257</v>
      </c>
      <c r="AQ377" s="4">
        <f t="shared" si="357"/>
        <v>14064543.944681633</v>
      </c>
      <c r="AR377" s="4"/>
      <c r="AS377" s="94">
        <f>AS373/AS374-1</f>
        <v>-0.11119746084396942</v>
      </c>
      <c r="AT377" s="121">
        <f t="shared" si="362"/>
        <v>-3.7556042286863267E-2</v>
      </c>
      <c r="AU377" s="197"/>
      <c r="AV377" s="4"/>
      <c r="AW377" s="4"/>
      <c r="AX377" s="4"/>
      <c r="AY377" s="3"/>
      <c r="BA377" s="3">
        <v>0</v>
      </c>
      <c r="BB377" s="3">
        <f t="shared" ref="BB377:BB385" si="364">K377-BA377</f>
        <v>0</v>
      </c>
      <c r="BC377" s="3">
        <v>0</v>
      </c>
      <c r="BD377" s="3">
        <f t="shared" si="358"/>
        <v>0</v>
      </c>
      <c r="BE377" s="3">
        <v>0</v>
      </c>
      <c r="BF377" s="3">
        <f t="shared" si="359"/>
        <v>0</v>
      </c>
      <c r="BG377" s="3">
        <v>0</v>
      </c>
      <c r="BH377" s="3"/>
      <c r="BI377" s="3"/>
      <c r="BJ377" s="4">
        <v>14789282</v>
      </c>
      <c r="BK377" s="3">
        <f t="shared" si="360"/>
        <v>0</v>
      </c>
      <c r="BL377" s="3">
        <v>4719415.1537076579</v>
      </c>
      <c r="BM377" s="177">
        <f t="shared" si="361"/>
        <v>0</v>
      </c>
      <c r="BN377" s="3"/>
      <c r="BP377" s="3"/>
      <c r="BQ377" s="3"/>
      <c r="BR377" s="3"/>
      <c r="BS377" s="3"/>
      <c r="BT377" s="3"/>
      <c r="BU377" s="3"/>
      <c r="BV377" s="3"/>
      <c r="BW377" s="3"/>
      <c r="BX377" s="3"/>
      <c r="BY377" s="3"/>
      <c r="BZ377" s="3"/>
      <c r="CA377" s="3"/>
      <c r="CB377" s="3"/>
      <c r="CC377" s="4"/>
      <c r="CD377" s="3"/>
      <c r="CE377" s="3"/>
      <c r="CF377" s="3"/>
      <c r="CG377" s="3"/>
      <c r="CH377" s="3"/>
      <c r="CI377" s="3"/>
      <c r="CJ377" s="3"/>
      <c r="CK377" s="3"/>
      <c r="CL377" s="3"/>
      <c r="CM377" s="3"/>
      <c r="CN377" s="3"/>
      <c r="CO377" s="3"/>
      <c r="CP377" s="3"/>
    </row>
    <row r="378" spans="1:94">
      <c r="A378" s="2" t="s">
        <v>48</v>
      </c>
      <c r="B378" s="3">
        <f>'Monthly D4 Gallon Data'!$K7</f>
        <v>0</v>
      </c>
      <c r="C378" s="3">
        <f>'Monthly D4 Gallon Data'!$K19</f>
        <v>0</v>
      </c>
      <c r="D378" s="3">
        <f>'Monthly D4 Gallon Data'!$K31</f>
        <v>0</v>
      </c>
      <c r="E378" s="3">
        <f>'Monthly D4 Gallon Data'!$K43</f>
        <v>0</v>
      </c>
      <c r="F378" s="3">
        <f>'Monthly D4 Gallon Data'!$K55</f>
        <v>0</v>
      </c>
      <c r="G378" s="3">
        <f>'Monthly D4 Gallon Data'!$K67</f>
        <v>0</v>
      </c>
      <c r="H378" s="3">
        <f>'Monthly D4 Gallon Data'!$K79</f>
        <v>0</v>
      </c>
      <c r="I378" s="3">
        <f>'Monthly D4 Gallon Data'!$K91</f>
        <v>0</v>
      </c>
      <c r="J378" s="3">
        <f>'Monthly D4 Gallon Data'!$K103</f>
        <v>0</v>
      </c>
      <c r="K378" s="3">
        <f>'Monthly D4 Gallon Data'!$K115</f>
        <v>0</v>
      </c>
      <c r="L378" s="3">
        <f>'Monthly D4 Gallon Data'!$K127</f>
        <v>0</v>
      </c>
      <c r="M378" s="3">
        <f>'Monthly D4 Gallon Data'!$K139</f>
        <v>0</v>
      </c>
      <c r="N378" s="3">
        <f>'Monthly D4 Gallon Data'!$K151</f>
        <v>1529485</v>
      </c>
      <c r="O378" s="3">
        <f>'Monthly D4 Gallon Data'!$K163</f>
        <v>1310124</v>
      </c>
      <c r="P378" s="3">
        <f>'Monthly D4 Gallon Data'!$K175</f>
        <v>3270652</v>
      </c>
      <c r="Q378" s="4">
        <f t="shared" si="363"/>
        <v>5074742.9935648777</v>
      </c>
      <c r="R378" s="4">
        <f t="shared" si="354"/>
        <v>3644595.8845373942</v>
      </c>
      <c r="S378" s="4">
        <f t="shared" si="354"/>
        <v>5243464.9084937628</v>
      </c>
      <c r="T378" s="4">
        <f t="shared" si="354"/>
        <v>6853721.6016237047</v>
      </c>
      <c r="U378" s="4">
        <f t="shared" si="355"/>
        <v>7416351.1097335918</v>
      </c>
      <c r="V378" s="4">
        <f t="shared" si="356"/>
        <v>10801379.626530886</v>
      </c>
      <c r="W378" s="4">
        <f t="shared" si="356"/>
        <v>9699032.3872308377</v>
      </c>
      <c r="X378" s="4">
        <f t="shared" si="356"/>
        <v>8745095.4288650956</v>
      </c>
      <c r="Y378" s="4">
        <f t="shared" si="356"/>
        <v>9104555.8342933133</v>
      </c>
      <c r="Z378" s="4">
        <f t="shared" si="356"/>
        <v>9856221.4687729944</v>
      </c>
      <c r="AA378" s="4">
        <f t="shared" si="356"/>
        <v>10385332.686326662</v>
      </c>
      <c r="AB378" s="4">
        <f t="shared" si="356"/>
        <v>9562178.5528565105</v>
      </c>
      <c r="AC378" s="4">
        <f t="shared" si="356"/>
        <v>9561629.1173651814</v>
      </c>
      <c r="AD378" s="4">
        <f t="shared" si="356"/>
        <v>9784117.2308337614</v>
      </c>
      <c r="AE378" s="4">
        <f t="shared" si="356"/>
        <v>8803723.7980115078</v>
      </c>
      <c r="AF378" s="4">
        <f t="shared" si="356"/>
        <v>8374612.5148622878</v>
      </c>
      <c r="AG378" s="4">
        <f t="shared" si="356"/>
        <v>8530399.6927776765</v>
      </c>
      <c r="AH378" s="4">
        <f t="shared" si="356"/>
        <v>8805908.0044271387</v>
      </c>
      <c r="AI378" s="4">
        <f t="shared" si="356"/>
        <v>9008364.7555763144</v>
      </c>
      <c r="AJ378" s="4">
        <f t="shared" si="356"/>
        <v>9112123.4214885831</v>
      </c>
      <c r="AK378" s="4">
        <f t="shared" si="356"/>
        <v>9383589.9627484623</v>
      </c>
      <c r="AL378" s="4">
        <f t="shared" si="357"/>
        <v>9896389.296432687</v>
      </c>
      <c r="AM378" s="4">
        <f t="shared" si="357"/>
        <v>10253673.664124696</v>
      </c>
      <c r="AN378" s="4">
        <f t="shared" si="357"/>
        <v>10265545.032838656</v>
      </c>
      <c r="AO378" s="4">
        <f t="shared" si="357"/>
        <v>10248540.359506354</v>
      </c>
      <c r="AP378" s="4">
        <f t="shared" si="357"/>
        <v>10489473.536981005</v>
      </c>
      <c r="AQ378" s="4">
        <f t="shared" si="357"/>
        <v>11776189.109800499</v>
      </c>
      <c r="AR378" s="4"/>
      <c r="AS378" s="94">
        <f>AS373/AS375-1</f>
        <v>0.34794460646281666</v>
      </c>
      <c r="AT378" s="121">
        <f t="shared" si="362"/>
        <v>7.5290651126139529E-2</v>
      </c>
      <c r="AU378" s="197"/>
      <c r="AV378" s="4"/>
      <c r="AW378" s="4"/>
      <c r="AX378" s="4"/>
      <c r="AY378" s="3"/>
      <c r="BA378" s="3">
        <v>0</v>
      </c>
      <c r="BB378" s="3">
        <f t="shared" si="364"/>
        <v>0</v>
      </c>
      <c r="BC378" s="3">
        <v>0</v>
      </c>
      <c r="BD378" s="3">
        <f t="shared" si="358"/>
        <v>0</v>
      </c>
      <c r="BE378" s="3">
        <v>0</v>
      </c>
      <c r="BF378" s="3">
        <f t="shared" si="359"/>
        <v>0</v>
      </c>
      <c r="BG378" s="3">
        <v>0</v>
      </c>
      <c r="BH378" s="3"/>
      <c r="BI378" s="3"/>
      <c r="BJ378" s="3">
        <v>3270652</v>
      </c>
      <c r="BK378" s="3">
        <f t="shared" si="360"/>
        <v>0</v>
      </c>
      <c r="BL378" s="3">
        <v>5074742.9935648777</v>
      </c>
      <c r="BM378" s="177">
        <f t="shared" si="361"/>
        <v>0</v>
      </c>
      <c r="BN378" s="3"/>
      <c r="BP378" s="3"/>
      <c r="BQ378" s="3"/>
      <c r="BR378" s="3"/>
      <c r="BS378" s="3"/>
      <c r="BT378" s="3"/>
      <c r="BU378" s="3"/>
      <c r="BV378" s="3"/>
      <c r="BW378" s="3"/>
      <c r="BX378" s="3"/>
      <c r="BY378" s="3"/>
      <c r="BZ378" s="3"/>
      <c r="CA378" s="3"/>
      <c r="CB378" s="3"/>
      <c r="CC378" s="4"/>
      <c r="CD378" s="3"/>
      <c r="CE378" s="3"/>
      <c r="CF378" s="3"/>
      <c r="CG378" s="3"/>
      <c r="CH378" s="3"/>
      <c r="CI378" s="3"/>
      <c r="CJ378" s="3"/>
      <c r="CK378" s="3"/>
      <c r="CL378" s="3"/>
      <c r="CM378" s="3"/>
      <c r="CN378" s="3"/>
      <c r="CO378" s="3"/>
      <c r="CP378" s="3"/>
    </row>
    <row r="379" spans="1:94">
      <c r="A379" s="2" t="s">
        <v>49</v>
      </c>
      <c r="B379" s="3">
        <f>'Monthly D4 Gallon Data'!$K8</f>
        <v>0</v>
      </c>
      <c r="C379" s="3">
        <f>'Monthly D4 Gallon Data'!$K20</f>
        <v>0</v>
      </c>
      <c r="D379" s="3">
        <f>'Monthly D4 Gallon Data'!$K32</f>
        <v>0</v>
      </c>
      <c r="E379" s="3">
        <f>'Monthly D4 Gallon Data'!$K44</f>
        <v>0</v>
      </c>
      <c r="F379" s="3">
        <f>'Monthly D4 Gallon Data'!$K56</f>
        <v>0</v>
      </c>
      <c r="G379" s="3">
        <f>'Monthly D4 Gallon Data'!$K68</f>
        <v>0</v>
      </c>
      <c r="H379" s="3">
        <f>'Monthly D4 Gallon Data'!$K80</f>
        <v>0</v>
      </c>
      <c r="I379" s="3">
        <f>'Monthly D4 Gallon Data'!$K92</f>
        <v>0</v>
      </c>
      <c r="J379" s="3">
        <f>'Monthly D4 Gallon Data'!$K104</f>
        <v>0</v>
      </c>
      <c r="K379" s="3">
        <f>'Monthly D4 Gallon Data'!$K116</f>
        <v>0</v>
      </c>
      <c r="L379" s="3">
        <f>'Monthly D4 Gallon Data'!$K128</f>
        <v>0</v>
      </c>
      <c r="M379" s="3">
        <f>'Monthly D4 Gallon Data'!$K140</f>
        <v>0</v>
      </c>
      <c r="N379" s="3">
        <f>'Monthly D4 Gallon Data'!$K152</f>
        <v>0</v>
      </c>
      <c r="O379" s="3">
        <f>'Monthly D4 Gallon Data'!$K164</f>
        <v>0</v>
      </c>
      <c r="P379" s="3">
        <f>'Monthly D4 Gallon Data'!$K176</f>
        <v>6937447</v>
      </c>
      <c r="Q379" s="4">
        <f t="shared" si="363"/>
        <v>7710877.743724457</v>
      </c>
      <c r="R379" s="4">
        <f t="shared" si="354"/>
        <v>4122692.1761037991</v>
      </c>
      <c r="S379" s="4">
        <f t="shared" si="354"/>
        <v>5736424.2442540191</v>
      </c>
      <c r="T379" s="4">
        <f t="shared" si="354"/>
        <v>7463303.1505263634</v>
      </c>
      <c r="U379" s="4">
        <f t="shared" si="355"/>
        <v>9843671.6455045361</v>
      </c>
      <c r="V379" s="4">
        <f t="shared" si="356"/>
        <v>13343287.283824084</v>
      </c>
      <c r="W379" s="4">
        <f t="shared" si="356"/>
        <v>11569711.631184392</v>
      </c>
      <c r="X379" s="4">
        <f t="shared" si="356"/>
        <v>10480926.786376985</v>
      </c>
      <c r="Y379" s="4">
        <f t="shared" si="356"/>
        <v>11026356.293501768</v>
      </c>
      <c r="Z379" s="4">
        <f t="shared" si="356"/>
        <v>12116963.830799777</v>
      </c>
      <c r="AA379" s="4">
        <f t="shared" si="356"/>
        <v>12610985.800878592</v>
      </c>
      <c r="AB379" s="4">
        <f t="shared" si="356"/>
        <v>11565985.532295106</v>
      </c>
      <c r="AC379" s="4">
        <f t="shared" si="356"/>
        <v>11597787.299105642</v>
      </c>
      <c r="AD379" s="4">
        <f t="shared" si="356"/>
        <v>11893178.643672295</v>
      </c>
      <c r="AE379" s="4">
        <f t="shared" si="356"/>
        <v>10708755.550265765</v>
      </c>
      <c r="AF379" s="4">
        <f t="shared" si="356"/>
        <v>10164508.628958957</v>
      </c>
      <c r="AG379" s="4">
        <f t="shared" si="356"/>
        <v>10352479.933655554</v>
      </c>
      <c r="AH379" s="4">
        <f t="shared" si="356"/>
        <v>10694392.430720307</v>
      </c>
      <c r="AI379" s="4">
        <f t="shared" si="356"/>
        <v>10943194.760625416</v>
      </c>
      <c r="AJ379" s="4">
        <f t="shared" si="356"/>
        <v>11067644.746455751</v>
      </c>
      <c r="AK379" s="4">
        <f t="shared" si="356"/>
        <v>11394009.739525482</v>
      </c>
      <c r="AL379" s="4">
        <f t="shared" si="357"/>
        <v>12017635.996307347</v>
      </c>
      <c r="AM379" s="4">
        <f t="shared" si="357"/>
        <v>12452916.837284565</v>
      </c>
      <c r="AN379" s="4">
        <f t="shared" si="357"/>
        <v>12467385.470164316</v>
      </c>
      <c r="AO379" s="4">
        <f t="shared" si="357"/>
        <v>12446180.289094573</v>
      </c>
      <c r="AP379" s="4">
        <f t="shared" si="357"/>
        <v>12738449.133281387</v>
      </c>
      <c r="AQ379" s="4">
        <f t="shared" si="357"/>
        <v>14301374.536179289</v>
      </c>
      <c r="AR379" s="4"/>
      <c r="AS379" s="94"/>
      <c r="AT379" s="121">
        <f t="shared" si="362"/>
        <v>0.51946172515581157</v>
      </c>
      <c r="AU379" s="197"/>
      <c r="AV379" s="4"/>
      <c r="AW379" s="4"/>
      <c r="AX379" s="4"/>
      <c r="AY379" s="3"/>
      <c r="BA379" s="3">
        <v>0</v>
      </c>
      <c r="BB379" s="3">
        <f t="shared" si="364"/>
        <v>0</v>
      </c>
      <c r="BC379" s="3">
        <v>0</v>
      </c>
      <c r="BD379" s="3">
        <f t="shared" si="358"/>
        <v>0</v>
      </c>
      <c r="BE379" s="3">
        <v>0</v>
      </c>
      <c r="BF379" s="3">
        <f t="shared" si="359"/>
        <v>0</v>
      </c>
      <c r="BG379" s="3">
        <v>0</v>
      </c>
      <c r="BH379" s="3"/>
      <c r="BI379" s="3"/>
      <c r="BJ379" s="4">
        <v>6937447</v>
      </c>
      <c r="BK379" s="3">
        <f t="shared" si="360"/>
        <v>0</v>
      </c>
      <c r="BL379" s="3">
        <v>7710877.743724457</v>
      </c>
      <c r="BM379" s="177">
        <f t="shared" si="361"/>
        <v>0</v>
      </c>
      <c r="BN379" s="3"/>
      <c r="BP379" s="3"/>
      <c r="BQ379" s="3"/>
      <c r="BR379" s="3"/>
      <c r="BS379" s="3"/>
      <c r="BT379" s="3"/>
      <c r="BU379" s="3"/>
      <c r="BV379" s="3"/>
      <c r="BW379" s="3"/>
      <c r="BX379" s="3"/>
      <c r="BY379" s="3"/>
      <c r="BZ379" s="3"/>
      <c r="CA379" s="3"/>
      <c r="CB379" s="3"/>
      <c r="CC379" s="4"/>
      <c r="CD379" s="3"/>
      <c r="CE379" s="3"/>
      <c r="CF379" s="3"/>
      <c r="CG379" s="3"/>
      <c r="CH379" s="3"/>
      <c r="CI379" s="3"/>
      <c r="CJ379" s="3"/>
      <c r="CK379" s="3"/>
      <c r="CL379" s="3"/>
      <c r="CM379" s="3"/>
      <c r="CN379" s="3"/>
      <c r="CO379" s="3"/>
      <c r="CP379" s="3"/>
    </row>
    <row r="380" spans="1:94">
      <c r="A380" s="2" t="s">
        <v>50</v>
      </c>
      <c r="B380" s="3">
        <f>'Monthly D4 Gallon Data'!$K9</f>
        <v>0</v>
      </c>
      <c r="C380" s="3">
        <f>'Monthly D4 Gallon Data'!$K21</f>
        <v>0</v>
      </c>
      <c r="D380" s="3">
        <f>'Monthly D4 Gallon Data'!$K33</f>
        <v>0</v>
      </c>
      <c r="E380" s="3">
        <f>'Monthly D4 Gallon Data'!$K45</f>
        <v>0</v>
      </c>
      <c r="F380" s="3">
        <f>'Monthly D4 Gallon Data'!$K57</f>
        <v>0</v>
      </c>
      <c r="G380" s="3">
        <f>'Monthly D4 Gallon Data'!$K69</f>
        <v>0</v>
      </c>
      <c r="H380" s="3">
        <f>'Monthly D4 Gallon Data'!$K81</f>
        <v>0</v>
      </c>
      <c r="I380" s="3">
        <f>'Monthly D4 Gallon Data'!$K93</f>
        <v>0</v>
      </c>
      <c r="J380" s="3">
        <f>'Monthly D4 Gallon Data'!$K105</f>
        <v>0</v>
      </c>
      <c r="K380" s="3">
        <f>'Monthly D4 Gallon Data'!$K117</f>
        <v>0</v>
      </c>
      <c r="L380" s="3">
        <f>'Monthly D4 Gallon Data'!$K129</f>
        <v>0</v>
      </c>
      <c r="M380" s="3">
        <f>'Monthly D4 Gallon Data'!$K141</f>
        <v>0</v>
      </c>
      <c r="N380" s="3">
        <f>'Monthly D4 Gallon Data'!$K153</f>
        <v>1646994</v>
      </c>
      <c r="O380" s="3">
        <f>'Monthly D4 Gallon Data'!$K165</f>
        <v>1436324</v>
      </c>
      <c r="P380" s="3">
        <f>'Monthly D4 Gallon Data'!$K177</f>
        <v>6991936</v>
      </c>
      <c r="Q380" s="4">
        <f t="shared" si="363"/>
        <v>6350815.8989415001</v>
      </c>
      <c r="R380" s="4">
        <f t="shared" si="354"/>
        <v>4294544.5735034244</v>
      </c>
      <c r="S380" s="4">
        <f t="shared" si="354"/>
        <v>6148289.4224402839</v>
      </c>
      <c r="T380" s="4">
        <f t="shared" si="354"/>
        <v>8132284.9702272965</v>
      </c>
      <c r="U380" s="4">
        <f t="shared" si="355"/>
        <v>9827392.1097363532</v>
      </c>
      <c r="V380" s="4">
        <f t="shared" si="356"/>
        <v>13295984.132807409</v>
      </c>
      <c r="W380" s="4">
        <f t="shared" si="356"/>
        <v>11909330.206500689</v>
      </c>
      <c r="X380" s="4">
        <f t="shared" si="356"/>
        <v>10777475.126047933</v>
      </c>
      <c r="Y380" s="4">
        <f t="shared" si="356"/>
        <v>11286123.194577169</v>
      </c>
      <c r="Z380" s="4">
        <f t="shared" si="356"/>
        <v>12296218.36012855</v>
      </c>
      <c r="AA380" s="4">
        <f t="shared" si="356"/>
        <v>12832428.497888857</v>
      </c>
      <c r="AB380" s="4">
        <f t="shared" si="356"/>
        <v>11825423.821660498</v>
      </c>
      <c r="AC380" s="4">
        <f t="shared" si="356"/>
        <v>11841867.572182806</v>
      </c>
      <c r="AD380" s="4">
        <f t="shared" si="356"/>
        <v>12128139.700800538</v>
      </c>
      <c r="AE380" s="4">
        <f t="shared" si="356"/>
        <v>10912806.508710748</v>
      </c>
      <c r="AF380" s="4">
        <f t="shared" si="356"/>
        <v>10367178.835596055</v>
      </c>
      <c r="AG380" s="4">
        <f t="shared" si="356"/>
        <v>10564452.442690831</v>
      </c>
      <c r="AH380" s="4">
        <f t="shared" si="356"/>
        <v>10908944.967033701</v>
      </c>
      <c r="AI380" s="4">
        <f t="shared" si="356"/>
        <v>11160419.81232374</v>
      </c>
      <c r="AJ380" s="4">
        <f t="shared" si="356"/>
        <v>11287574.94114396</v>
      </c>
      <c r="AK380" s="4">
        <f t="shared" si="356"/>
        <v>11622297.996760199</v>
      </c>
      <c r="AL380" s="4">
        <f t="shared" si="357"/>
        <v>12258636.283400008</v>
      </c>
      <c r="AM380" s="4">
        <f t="shared" si="357"/>
        <v>12701677.541979495</v>
      </c>
      <c r="AN380" s="4">
        <f t="shared" si="357"/>
        <v>12716236.954965601</v>
      </c>
      <c r="AO380" s="4">
        <f t="shared" si="357"/>
        <v>12694860.642194292</v>
      </c>
      <c r="AP380" s="4">
        <f t="shared" si="357"/>
        <v>12993221.997599801</v>
      </c>
      <c r="AQ380" s="4">
        <f t="shared" si="357"/>
        <v>14587313.243137494</v>
      </c>
      <c r="AR380" s="4"/>
      <c r="AS380" s="94"/>
      <c r="AT380" s="121">
        <f t="shared" si="362"/>
        <v>-0.17638223429101196</v>
      </c>
      <c r="AU380" s="197"/>
      <c r="AV380" s="4"/>
      <c r="AW380" s="4"/>
      <c r="AX380" s="4"/>
      <c r="AY380" s="3"/>
      <c r="BA380" s="3">
        <v>0</v>
      </c>
      <c r="BB380" s="3">
        <f t="shared" si="364"/>
        <v>0</v>
      </c>
      <c r="BC380" s="3">
        <v>0</v>
      </c>
      <c r="BD380" s="3">
        <f t="shared" si="358"/>
        <v>0</v>
      </c>
      <c r="BE380" s="3">
        <v>0</v>
      </c>
      <c r="BF380" s="3">
        <f t="shared" si="359"/>
        <v>0</v>
      </c>
      <c r="BG380" s="3">
        <v>0</v>
      </c>
      <c r="BH380" s="3"/>
      <c r="BI380" s="3"/>
      <c r="BJ380" s="4">
        <v>6991936</v>
      </c>
      <c r="BK380" s="3">
        <f t="shared" si="360"/>
        <v>0</v>
      </c>
      <c r="BL380" s="3">
        <v>6350815.8989415001</v>
      </c>
      <c r="BM380" s="177">
        <f t="shared" si="361"/>
        <v>0</v>
      </c>
      <c r="BN380" s="3"/>
      <c r="BP380" s="3"/>
      <c r="BQ380" s="3"/>
      <c r="BR380" s="3"/>
      <c r="BS380" s="3"/>
      <c r="BT380" s="3"/>
      <c r="BU380" s="3"/>
      <c r="BV380" s="3"/>
      <c r="BW380" s="3"/>
      <c r="BX380" s="3"/>
      <c r="BY380" s="3"/>
      <c r="BZ380" s="3"/>
      <c r="CA380" s="3"/>
      <c r="CB380" s="3"/>
      <c r="CC380" s="4"/>
      <c r="CD380" s="3"/>
      <c r="CE380" s="3"/>
      <c r="CF380" s="3"/>
      <c r="CG380" s="3"/>
      <c r="CH380" s="3"/>
      <c r="CI380" s="3"/>
      <c r="CJ380" s="3"/>
      <c r="CK380" s="3"/>
      <c r="CL380" s="3"/>
      <c r="CM380" s="3"/>
      <c r="CN380" s="3"/>
      <c r="CO380" s="3"/>
      <c r="CP380" s="3"/>
    </row>
    <row r="381" spans="1:94">
      <c r="A381" s="2" t="s">
        <v>51</v>
      </c>
      <c r="B381" s="3">
        <f>'Monthly D4 Gallon Data'!$K10</f>
        <v>0</v>
      </c>
      <c r="C381" s="3">
        <f>'Monthly D4 Gallon Data'!$K22</f>
        <v>0</v>
      </c>
      <c r="D381" s="3">
        <f>'Monthly D4 Gallon Data'!$K34</f>
        <v>0</v>
      </c>
      <c r="E381" s="3">
        <f>'Monthly D4 Gallon Data'!$K46</f>
        <v>0</v>
      </c>
      <c r="F381" s="3">
        <f>'Monthly D4 Gallon Data'!$K58</f>
        <v>0</v>
      </c>
      <c r="G381" s="3">
        <f>'Monthly D4 Gallon Data'!$K70</f>
        <v>0</v>
      </c>
      <c r="H381" s="3">
        <f>'Monthly D4 Gallon Data'!$K82</f>
        <v>0</v>
      </c>
      <c r="I381" s="3">
        <f>'Monthly D4 Gallon Data'!$K94</f>
        <v>0</v>
      </c>
      <c r="J381" s="3">
        <f>'Monthly D4 Gallon Data'!$K106</f>
        <v>0</v>
      </c>
      <c r="K381" s="3">
        <f>'Monthly D4 Gallon Data'!$K118</f>
        <v>0</v>
      </c>
      <c r="L381" s="3">
        <f>'Monthly D4 Gallon Data'!$K130</f>
        <v>0</v>
      </c>
      <c r="M381" s="3">
        <f>'Monthly D4 Gallon Data'!$K142</f>
        <v>0</v>
      </c>
      <c r="N381" s="3">
        <f>'Monthly D4 Gallon Data'!$K154</f>
        <v>0</v>
      </c>
      <c r="O381" s="3">
        <f>'Monthly D4 Gallon Data'!$K166</f>
        <v>1503762</v>
      </c>
      <c r="P381" s="3">
        <f>'Monthly D4 Gallon Data'!$K178</f>
        <v>11456296</v>
      </c>
      <c r="Q381" s="4">
        <f>(SUM(L349:P349)/SUM(L$353:P$353))*Q$385*0.75</f>
        <v>7208306.2547620367</v>
      </c>
      <c r="R381" s="4">
        <f t="shared" si="354"/>
        <v>5199670.8025440155</v>
      </c>
      <c r="S381" s="4">
        <f t="shared" si="354"/>
        <v>7501816.0435568439</v>
      </c>
      <c r="T381" s="4">
        <f t="shared" si="354"/>
        <v>9890834.8179258797</v>
      </c>
      <c r="U381" s="4">
        <f t="shared" si="355"/>
        <v>12702851.336950189</v>
      </c>
      <c r="V381" s="4">
        <f t="shared" si="356"/>
        <v>16261049.947315782</v>
      </c>
      <c r="W381" s="4">
        <f t="shared" si="356"/>
        <v>14724753.980159542</v>
      </c>
      <c r="X381" s="4">
        <f t="shared" si="356"/>
        <v>13349390.797005443</v>
      </c>
      <c r="Y381" s="4">
        <f t="shared" si="356"/>
        <v>14003208.293135442</v>
      </c>
      <c r="Z381" s="4">
        <f t="shared" si="356"/>
        <v>15299392.485119617</v>
      </c>
      <c r="AA381" s="4">
        <f t="shared" si="356"/>
        <v>15864176.395629117</v>
      </c>
      <c r="AB381" s="4">
        <f t="shared" si="356"/>
        <v>14654515.341024792</v>
      </c>
      <c r="AC381" s="4">
        <f t="shared" si="356"/>
        <v>14681663.248024389</v>
      </c>
      <c r="AD381" s="4">
        <f t="shared" si="356"/>
        <v>15039135.373558152</v>
      </c>
      <c r="AE381" s="4">
        <f t="shared" si="356"/>
        <v>13530630.910725281</v>
      </c>
      <c r="AF381" s="4">
        <f t="shared" si="356"/>
        <v>12844801.544854779</v>
      </c>
      <c r="AG381" s="4">
        <f t="shared" si="356"/>
        <v>13095706.39084699</v>
      </c>
      <c r="AH381" s="4">
        <f t="shared" si="356"/>
        <v>13523578.657635964</v>
      </c>
      <c r="AI381" s="4">
        <f t="shared" si="356"/>
        <v>13835009.044966334</v>
      </c>
      <c r="AJ381" s="4">
        <f t="shared" si="356"/>
        <v>13991696.204138201</v>
      </c>
      <c r="AK381" s="4">
        <f t="shared" si="356"/>
        <v>14405861.507172108</v>
      </c>
      <c r="AL381" s="4">
        <f t="shared" si="357"/>
        <v>15195782.028210657</v>
      </c>
      <c r="AM381" s="4">
        <f t="shared" si="357"/>
        <v>15744968.154151894</v>
      </c>
      <c r="AN381" s="4">
        <f t="shared" si="357"/>
        <v>15762826.963005159</v>
      </c>
      <c r="AO381" s="4">
        <f t="shared" si="357"/>
        <v>15736172.933887731</v>
      </c>
      <c r="AP381" s="4">
        <f t="shared" si="357"/>
        <v>16106022.695472727</v>
      </c>
      <c r="AQ381" s="4">
        <f t="shared" si="357"/>
        <v>18082197.111316353</v>
      </c>
      <c r="AR381" s="4"/>
      <c r="AS381" s="94"/>
      <c r="AT381" s="121">
        <f t="shared" si="362"/>
        <v>0.13502050279294919</v>
      </c>
      <c r="AU381" s="197"/>
      <c r="AV381" s="4"/>
      <c r="AW381" s="4"/>
      <c r="AX381" s="4"/>
      <c r="AY381" s="3"/>
      <c r="BA381" s="3">
        <v>0</v>
      </c>
      <c r="BB381" s="3">
        <f t="shared" si="364"/>
        <v>0</v>
      </c>
      <c r="BC381" s="3">
        <v>0</v>
      </c>
      <c r="BD381" s="3">
        <f t="shared" si="358"/>
        <v>0</v>
      </c>
      <c r="BE381" s="3">
        <v>0</v>
      </c>
      <c r="BF381" s="3">
        <f t="shared" si="359"/>
        <v>0</v>
      </c>
      <c r="BG381" s="3">
        <v>0</v>
      </c>
      <c r="BH381" s="3"/>
      <c r="BI381" s="3"/>
      <c r="BJ381" s="4">
        <v>6419357.2240564832</v>
      </c>
      <c r="BK381" s="3">
        <f t="shared" si="360"/>
        <v>5036938.7759435168</v>
      </c>
      <c r="BL381" s="3">
        <v>7208306.2547620367</v>
      </c>
      <c r="BM381" s="177">
        <f t="shared" si="361"/>
        <v>0</v>
      </c>
      <c r="BN381" s="3"/>
      <c r="BP381" s="3"/>
      <c r="BQ381" s="3"/>
      <c r="BR381" s="3"/>
      <c r="BS381" s="3"/>
      <c r="BT381" s="3"/>
      <c r="BU381" s="3"/>
      <c r="BV381" s="3"/>
      <c r="BW381" s="3"/>
      <c r="BX381" s="3"/>
      <c r="BY381" s="3"/>
      <c r="BZ381" s="3"/>
      <c r="CA381" s="3"/>
      <c r="CB381" s="3"/>
      <c r="CC381" s="4"/>
      <c r="CD381" s="3"/>
      <c r="CE381" s="3"/>
      <c r="CF381" s="3"/>
      <c r="CG381" s="3"/>
      <c r="CH381" s="3"/>
      <c r="CI381" s="3"/>
      <c r="CJ381" s="3"/>
      <c r="CK381" s="3"/>
      <c r="CL381" s="3"/>
      <c r="CM381" s="3"/>
      <c r="CN381" s="3"/>
      <c r="CO381" s="3"/>
      <c r="CP381" s="3"/>
    </row>
    <row r="382" spans="1:94">
      <c r="A382" s="2" t="s">
        <v>52</v>
      </c>
      <c r="B382" s="3">
        <f>'Monthly D4 Gallon Data'!$K11</f>
        <v>0</v>
      </c>
      <c r="C382" s="3">
        <f>'Monthly D4 Gallon Data'!$K23</f>
        <v>0</v>
      </c>
      <c r="D382" s="3">
        <f>'Monthly D4 Gallon Data'!$K35</f>
        <v>0</v>
      </c>
      <c r="E382" s="3">
        <f>'Monthly D4 Gallon Data'!$K47</f>
        <v>0</v>
      </c>
      <c r="F382" s="3">
        <f>'Monthly D4 Gallon Data'!$K59</f>
        <v>0</v>
      </c>
      <c r="G382" s="3">
        <f>'Monthly D4 Gallon Data'!$K71</f>
        <v>0</v>
      </c>
      <c r="H382" s="3">
        <f>'Monthly D4 Gallon Data'!$K83</f>
        <v>0</v>
      </c>
      <c r="I382" s="3">
        <f>'Monthly D4 Gallon Data'!$K95</f>
        <v>0</v>
      </c>
      <c r="J382" s="3">
        <f>'Monthly D4 Gallon Data'!$K107</f>
        <v>0</v>
      </c>
      <c r="K382" s="3">
        <f>'Monthly D4 Gallon Data'!$K119</f>
        <v>0</v>
      </c>
      <c r="L382" s="3">
        <f>'Monthly D4 Gallon Data'!$K131</f>
        <v>0</v>
      </c>
      <c r="M382" s="3">
        <f>'Monthly D4 Gallon Data'!$K143</f>
        <v>0</v>
      </c>
      <c r="N382" s="3">
        <f>'Monthly D4 Gallon Data'!$K155</f>
        <v>0</v>
      </c>
      <c r="O382" s="3">
        <f>'Monthly D4 Gallon Data'!$K167</f>
        <v>1430740</v>
      </c>
      <c r="P382" s="3">
        <f>'Monthly D4 Gallon Data'!$K179</f>
        <v>4880590</v>
      </c>
      <c r="Q382" s="4">
        <f>(SUM(L350:P350)/SUM(L$353:P$353))*Q$385*0.75</f>
        <v>5419007.9603766967</v>
      </c>
      <c r="R382" s="4">
        <f t="shared" si="354"/>
        <v>5179917.0449949773</v>
      </c>
      <c r="S382" s="4">
        <f t="shared" si="354"/>
        <v>7459370.3750712778</v>
      </c>
      <c r="T382" s="4">
        <f t="shared" si="354"/>
        <v>9638613.975225674</v>
      </c>
      <c r="U382" s="4">
        <f t="shared" si="355"/>
        <v>10030489.235194495</v>
      </c>
      <c r="V382" s="4">
        <f t="shared" si="356"/>
        <v>14433809.269519532</v>
      </c>
      <c r="W382" s="4">
        <f t="shared" si="356"/>
        <v>13349841.292860221</v>
      </c>
      <c r="X382" s="4">
        <f t="shared" si="356"/>
        <v>12001108.870078409</v>
      </c>
      <c r="Y382" s="4">
        <f t="shared" si="356"/>
        <v>12439246.129341371</v>
      </c>
      <c r="Z382" s="4">
        <f t="shared" si="356"/>
        <v>13407082.384952661</v>
      </c>
      <c r="AA382" s="4">
        <f t="shared" si="356"/>
        <v>14139249.404684341</v>
      </c>
      <c r="AB382" s="4">
        <f t="shared" si="356"/>
        <v>13072953.310796414</v>
      </c>
      <c r="AC382" s="4">
        <f t="shared" si="356"/>
        <v>13054186.236199539</v>
      </c>
      <c r="AD382" s="4">
        <f t="shared" si="356"/>
        <v>13345485.393201845</v>
      </c>
      <c r="AE382" s="4">
        <f t="shared" si="356"/>
        <v>12004529.765335547</v>
      </c>
      <c r="AF382" s="4">
        <f t="shared" si="356"/>
        <v>11425082.057406815</v>
      </c>
      <c r="AG382" s="4">
        <f t="shared" si="356"/>
        <v>11642975.737754909</v>
      </c>
      <c r="AH382" s="4">
        <f t="shared" si="356"/>
        <v>12014765.922713714</v>
      </c>
      <c r="AI382" s="4">
        <f t="shared" si="356"/>
        <v>12289306.530560831</v>
      </c>
      <c r="AJ382" s="4">
        <f t="shared" si="356"/>
        <v>12431297.140196994</v>
      </c>
      <c r="AK382" s="4">
        <f t="shared" si="356"/>
        <v>12802938.842391336</v>
      </c>
      <c r="AL382" s="4">
        <f t="shared" si="357"/>
        <v>13502867.884288946</v>
      </c>
      <c r="AM382" s="4">
        <f t="shared" si="357"/>
        <v>13989490.481012387</v>
      </c>
      <c r="AN382" s="4">
        <f t="shared" si="357"/>
        <v>14005575.232434845</v>
      </c>
      <c r="AO382" s="4">
        <f t="shared" si="357"/>
        <v>13982597.769974079</v>
      </c>
      <c r="AP382" s="4">
        <f t="shared" si="357"/>
        <v>14311488.94810506</v>
      </c>
      <c r="AQ382" s="4">
        <f t="shared" si="357"/>
        <v>16066976.281040676</v>
      </c>
      <c r="AR382" s="4"/>
      <c r="AS382" s="94"/>
      <c r="AT382" s="121">
        <f t="shared" si="362"/>
        <v>-0.24822728546019701</v>
      </c>
      <c r="AU382" s="197"/>
      <c r="AV382" s="4"/>
      <c r="AW382" s="4"/>
      <c r="AX382" s="4"/>
      <c r="AY382" s="3"/>
      <c r="BA382" s="3">
        <v>0</v>
      </c>
      <c r="BB382" s="3">
        <f t="shared" si="364"/>
        <v>0</v>
      </c>
      <c r="BC382" s="3">
        <v>0</v>
      </c>
      <c r="BD382" s="3">
        <f t="shared" si="358"/>
        <v>0</v>
      </c>
      <c r="BE382" s="3">
        <v>0</v>
      </c>
      <c r="BF382" s="3">
        <f t="shared" si="359"/>
        <v>0</v>
      </c>
      <c r="BG382" s="3">
        <v>0</v>
      </c>
      <c r="BH382" s="3"/>
      <c r="BI382" s="3"/>
      <c r="BJ382" s="4">
        <v>6344453.6816932466</v>
      </c>
      <c r="BK382" s="3">
        <f t="shared" si="360"/>
        <v>-1463863.6816932466</v>
      </c>
      <c r="BL382" s="3">
        <v>5419007.9603766967</v>
      </c>
      <c r="BM382" s="177">
        <f t="shared" si="361"/>
        <v>0</v>
      </c>
      <c r="BN382" s="3"/>
      <c r="BP382" s="3"/>
      <c r="BQ382" s="3"/>
      <c r="BR382" s="3"/>
      <c r="BS382" s="3"/>
      <c r="BT382" s="3"/>
      <c r="BU382" s="3"/>
      <c r="BV382" s="3"/>
      <c r="BW382" s="3"/>
      <c r="BX382" s="3"/>
      <c r="BY382" s="3"/>
      <c r="BZ382" s="3"/>
      <c r="CA382" s="3"/>
      <c r="CB382" s="3"/>
      <c r="CC382" s="4"/>
      <c r="CD382" s="3"/>
      <c r="CE382" s="3"/>
      <c r="CF382" s="3"/>
      <c r="CG382" s="3"/>
      <c r="CH382" s="3"/>
      <c r="CI382" s="3"/>
      <c r="CJ382" s="3"/>
      <c r="CK382" s="3"/>
      <c r="CL382" s="3"/>
      <c r="CM382" s="3"/>
      <c r="CN382" s="3"/>
      <c r="CO382" s="3"/>
      <c r="CP382" s="3"/>
    </row>
    <row r="383" spans="1:94">
      <c r="A383" s="2" t="s">
        <v>53</v>
      </c>
      <c r="B383" s="3">
        <f>'Monthly D4 Gallon Data'!$K12</f>
        <v>0</v>
      </c>
      <c r="C383" s="3">
        <f>'Monthly D4 Gallon Data'!$K24</f>
        <v>0</v>
      </c>
      <c r="D383" s="3">
        <f>'Monthly D4 Gallon Data'!$K36</f>
        <v>0</v>
      </c>
      <c r="E383" s="3">
        <f>'Monthly D4 Gallon Data'!$K48</f>
        <v>0</v>
      </c>
      <c r="F383" s="3">
        <f>'Monthly D4 Gallon Data'!$K60</f>
        <v>0</v>
      </c>
      <c r="G383" s="3">
        <f>'Monthly D4 Gallon Data'!$K72</f>
        <v>0</v>
      </c>
      <c r="H383" s="3">
        <f>'Monthly D4 Gallon Data'!$K84</f>
        <v>0</v>
      </c>
      <c r="I383" s="3">
        <f>'Monthly D4 Gallon Data'!$K96</f>
        <v>0</v>
      </c>
      <c r="J383" s="3">
        <f>'Monthly D4 Gallon Data'!$K108</f>
        <v>0</v>
      </c>
      <c r="K383" s="3">
        <f>'Monthly D4 Gallon Data'!$K120</f>
        <v>0</v>
      </c>
      <c r="L383" s="3">
        <f>'Monthly D4 Gallon Data'!$K132</f>
        <v>0</v>
      </c>
      <c r="M383" s="3">
        <f>'Monthly D4 Gallon Data'!$K144</f>
        <v>0</v>
      </c>
      <c r="N383" s="3">
        <f>'Monthly D4 Gallon Data'!$K156</f>
        <v>0</v>
      </c>
      <c r="O383" s="3">
        <f>'Monthly D4 Gallon Data'!$K168</f>
        <v>0</v>
      </c>
      <c r="P383" s="3">
        <f>'Monthly D4 Gallon Data'!$K180</f>
        <v>1270291</v>
      </c>
      <c r="Q383" s="4">
        <f>(SUM(L351:P351)/SUM(L$353:P$353))*Q$385+1000000</f>
        <v>3743434.7121728687</v>
      </c>
      <c r="R383" s="4">
        <f t="shared" si="354"/>
        <v>4378617.9408729207</v>
      </c>
      <c r="S383" s="4">
        <f t="shared" si="354"/>
        <v>6302092.2745607076</v>
      </c>
      <c r="T383" s="4">
        <f t="shared" si="354"/>
        <v>8314421.9237800343</v>
      </c>
      <c r="U383" s="4">
        <f t="shared" si="355"/>
        <v>7392236.8196054809</v>
      </c>
      <c r="V383" s="4">
        <f t="shared" si="356"/>
        <v>11527491.678945575</v>
      </c>
      <c r="W383" s="4">
        <f t="shared" si="356"/>
        <v>10828702.398215698</v>
      </c>
      <c r="X383" s="4">
        <f t="shared" si="356"/>
        <v>9696010.5689533241</v>
      </c>
      <c r="Y383" s="4">
        <f t="shared" si="356"/>
        <v>9992357.6055616438</v>
      </c>
      <c r="Z383" s="4">
        <f t="shared" si="356"/>
        <v>10646672.825124729</v>
      </c>
      <c r="AA383" s="4">
        <f t="shared" si="356"/>
        <v>11351549.0524275</v>
      </c>
      <c r="AB383" s="4">
        <f t="shared" si="356"/>
        <v>10507597.915895022</v>
      </c>
      <c r="AC383" s="4">
        <f t="shared" si="356"/>
        <v>10472739.307122627</v>
      </c>
      <c r="AD383" s="4">
        <f t="shared" si="356"/>
        <v>10692687.008819684</v>
      </c>
      <c r="AE383" s="4">
        <f t="shared" si="356"/>
        <v>9613669.070679443</v>
      </c>
      <c r="AF383" s="4">
        <f t="shared" si="356"/>
        <v>9165333.675596172</v>
      </c>
      <c r="AG383" s="4">
        <f t="shared" si="356"/>
        <v>9338487.0913335793</v>
      </c>
      <c r="AH383" s="4">
        <f t="shared" si="356"/>
        <v>9632356.2754457463</v>
      </c>
      <c r="AI383" s="4">
        <f t="shared" si="356"/>
        <v>9851020.5663020853</v>
      </c>
      <c r="AJ383" s="4">
        <f t="shared" si="356"/>
        <v>9965877.4623689018</v>
      </c>
      <c r="AK383" s="4">
        <f t="shared" si="356"/>
        <v>10265971.604762895</v>
      </c>
      <c r="AL383" s="4">
        <f t="shared" si="357"/>
        <v>10826281.5143937</v>
      </c>
      <c r="AM383" s="4">
        <f t="shared" si="357"/>
        <v>11215684.387029476</v>
      </c>
      <c r="AN383" s="4">
        <f t="shared" si="357"/>
        <v>11228611.704182427</v>
      </c>
      <c r="AO383" s="4">
        <f t="shared" si="357"/>
        <v>11210528.843692688</v>
      </c>
      <c r="AP383" s="4">
        <f t="shared" si="357"/>
        <v>11474405.153999219</v>
      </c>
      <c r="AQ383" s="4">
        <f t="shared" si="357"/>
        <v>12881642.824716309</v>
      </c>
      <c r="AR383" s="4"/>
      <c r="AS383" s="94"/>
      <c r="AT383" s="121">
        <f t="shared" si="362"/>
        <v>-0.3092029501442829</v>
      </c>
      <c r="AU383" s="197"/>
      <c r="AV383" s="4"/>
      <c r="AW383" s="4"/>
      <c r="AX383" s="4"/>
      <c r="AY383" s="3"/>
      <c r="BA383" s="3">
        <v>0</v>
      </c>
      <c r="BB383" s="3">
        <f t="shared" si="364"/>
        <v>0</v>
      </c>
      <c r="BC383" s="3">
        <v>0</v>
      </c>
      <c r="BD383" s="3">
        <f t="shared" si="358"/>
        <v>0</v>
      </c>
      <c r="BE383" s="3">
        <v>0</v>
      </c>
      <c r="BF383" s="3">
        <f t="shared" si="359"/>
        <v>0</v>
      </c>
      <c r="BG383" s="3">
        <v>0</v>
      </c>
      <c r="BH383" s="3"/>
      <c r="BI383" s="3"/>
      <c r="BJ383" s="4">
        <v>5834601.2818696313</v>
      </c>
      <c r="BK383" s="3">
        <f t="shared" si="360"/>
        <v>-4564310.2818696313</v>
      </c>
      <c r="BL383" s="3">
        <v>3743434.7121728687</v>
      </c>
      <c r="BM383" s="177">
        <f t="shared" si="361"/>
        <v>0</v>
      </c>
      <c r="BN383" s="3"/>
      <c r="BP383" s="3"/>
      <c r="BQ383" s="3"/>
      <c r="BR383" s="3"/>
      <c r="BS383" s="3"/>
      <c r="BT383" s="3"/>
      <c r="BU383" s="3"/>
      <c r="BV383" s="3"/>
      <c r="BW383" s="3"/>
      <c r="BX383" s="3"/>
      <c r="BY383" s="3"/>
      <c r="BZ383" s="3"/>
      <c r="CA383" s="3"/>
      <c r="CB383" s="3"/>
      <c r="CC383" s="4"/>
      <c r="CD383" s="3"/>
      <c r="CE383" s="3"/>
      <c r="CF383" s="3"/>
      <c r="CG383" s="3"/>
      <c r="CH383" s="3"/>
      <c r="CI383" s="3"/>
      <c r="CJ383" s="3"/>
      <c r="CK383" s="3"/>
      <c r="CL383" s="3"/>
      <c r="CM383" s="3"/>
      <c r="CN383" s="3"/>
      <c r="CO383" s="3"/>
      <c r="CP383" s="3"/>
    </row>
    <row r="384" spans="1:94">
      <c r="A384" s="2" t="s">
        <v>54</v>
      </c>
      <c r="B384" s="3">
        <f>'Monthly D4 Gallon Data'!$K13</f>
        <v>0</v>
      </c>
      <c r="C384" s="3">
        <f>'Monthly D4 Gallon Data'!$K25</f>
        <v>0</v>
      </c>
      <c r="D384" s="3">
        <f>'Monthly D4 Gallon Data'!$K37</f>
        <v>0</v>
      </c>
      <c r="E384" s="3">
        <f>'Monthly D4 Gallon Data'!$K49</f>
        <v>0</v>
      </c>
      <c r="F384" s="3">
        <f>'Monthly D4 Gallon Data'!$K61</f>
        <v>0</v>
      </c>
      <c r="G384" s="3">
        <f>'Monthly D4 Gallon Data'!$K73</f>
        <v>0</v>
      </c>
      <c r="H384" s="3">
        <f>'Monthly D4 Gallon Data'!$K85</f>
        <v>0</v>
      </c>
      <c r="I384" s="3">
        <f>'Monthly D4 Gallon Data'!$K97</f>
        <v>0</v>
      </c>
      <c r="J384" s="3">
        <f>'Monthly D4 Gallon Data'!$K109</f>
        <v>0</v>
      </c>
      <c r="K384" s="3">
        <f>'Monthly D4 Gallon Data'!$K121</f>
        <v>0</v>
      </c>
      <c r="L384" s="3">
        <f>'Monthly D4 Gallon Data'!$K133</f>
        <v>0</v>
      </c>
      <c r="M384" s="3">
        <f>'Monthly D4 Gallon Data'!$K145</f>
        <v>0</v>
      </c>
      <c r="N384" s="3">
        <f>'Monthly D4 Gallon Data'!$K157</f>
        <v>1443291</v>
      </c>
      <c r="O384" s="3">
        <f>'Monthly D4 Gallon Data'!$K169</f>
        <v>2304197</v>
      </c>
      <c r="P384" s="3">
        <f>'Monthly D4 Gallon Data'!$K181</f>
        <v>3403591</v>
      </c>
      <c r="Q384" s="119">
        <f t="shared" ref="Q384:U384" si="365">Q385-SUM(Q373:Q383)</f>
        <v>1990926.2970796525</v>
      </c>
      <c r="R384" s="4">
        <f t="shared" si="365"/>
        <v>4024603.7437086925</v>
      </c>
      <c r="S384" s="4">
        <f t="shared" si="365"/>
        <v>5723452.4575428218</v>
      </c>
      <c r="T384" s="4">
        <f t="shared" si="365"/>
        <v>7476432.5353900492</v>
      </c>
      <c r="U384" s="4">
        <f t="shared" si="365"/>
        <v>6964306.6846553981</v>
      </c>
      <c r="V384" s="4">
        <f t="shared" ref="V384:AG384" si="366">V385-SUM(V373:V383)</f>
        <v>10015880.344945386</v>
      </c>
      <c r="W384" s="4">
        <f t="shared" si="366"/>
        <v>9769052.2467903495</v>
      </c>
      <c r="X384" s="4">
        <f t="shared" si="366"/>
        <v>8730927.7697835118</v>
      </c>
      <c r="Y384" s="4">
        <f t="shared" si="366"/>
        <v>8987603.013858214</v>
      </c>
      <c r="Z384" s="4">
        <f t="shared" si="366"/>
        <v>9576546.3781223893</v>
      </c>
      <c r="AA384" s="4">
        <f t="shared" si="366"/>
        <v>10142693.359277874</v>
      </c>
      <c r="AB384" s="4">
        <f t="shared" si="366"/>
        <v>9445445.11488536</v>
      </c>
      <c r="AC384" s="4">
        <f t="shared" si="366"/>
        <v>9407095.2025552094</v>
      </c>
      <c r="AD384" s="4">
        <f t="shared" si="366"/>
        <v>9600317.1005589366</v>
      </c>
      <c r="AE384" s="4">
        <f t="shared" si="366"/>
        <v>8628653.7776437551</v>
      </c>
      <c r="AF384" s="4">
        <f t="shared" si="366"/>
        <v>8222645.2280051559</v>
      </c>
      <c r="AG384" s="4">
        <f t="shared" si="366"/>
        <v>8385634.9345395863</v>
      </c>
      <c r="AH384" s="4">
        <f t="shared" ref="AH384:AQ384" si="367">AH385-SUM(AH373:AH383)</f>
        <v>8647566.7320866883</v>
      </c>
      <c r="AI384" s="4">
        <f t="shared" si="367"/>
        <v>8842845.4623619318</v>
      </c>
      <c r="AJ384" s="4">
        <f t="shared" si="367"/>
        <v>8945540.8183707893</v>
      </c>
      <c r="AK384" s="4">
        <f t="shared" si="367"/>
        <v>9215068.5826171339</v>
      </c>
      <c r="AL384" s="4">
        <f t="shared" si="367"/>
        <v>9719004.1566091776</v>
      </c>
      <c r="AM384" s="4">
        <f t="shared" si="367"/>
        <v>10068078.999005646</v>
      </c>
      <c r="AN384" s="4">
        <f t="shared" si="367"/>
        <v>10079509.651275501</v>
      </c>
      <c r="AO384" s="4">
        <f t="shared" si="367"/>
        <v>10063288.136940375</v>
      </c>
      <c r="AP384" s="4">
        <f t="shared" si="367"/>
        <v>10300258.610741928</v>
      </c>
      <c r="AQ384" s="4">
        <f t="shared" si="367"/>
        <v>11563592.186681539</v>
      </c>
      <c r="AR384" s="4"/>
      <c r="AS384" s="94"/>
      <c r="AT384" s="121">
        <f t="shared" si="362"/>
        <v>-0.46815519698912456</v>
      </c>
      <c r="AU384" s="197"/>
      <c r="AV384" s="4"/>
      <c r="AW384" s="4"/>
      <c r="AX384" s="4"/>
      <c r="AY384" s="3"/>
      <c r="BA384" s="3">
        <v>0</v>
      </c>
      <c r="BB384" s="3">
        <f t="shared" si="364"/>
        <v>0</v>
      </c>
      <c r="BC384" s="3">
        <v>0</v>
      </c>
      <c r="BD384" s="3">
        <f t="shared" si="358"/>
        <v>0</v>
      </c>
      <c r="BE384" s="3">
        <v>0</v>
      </c>
      <c r="BF384" s="3">
        <f t="shared" si="359"/>
        <v>0</v>
      </c>
      <c r="BG384" s="3">
        <v>0</v>
      </c>
      <c r="BH384" s="3"/>
      <c r="BI384" s="3"/>
      <c r="BJ384" s="4">
        <v>5261938.8123806417</v>
      </c>
      <c r="BK384" s="3">
        <f t="shared" si="360"/>
        <v>-1858347.8123806417</v>
      </c>
      <c r="BL384" s="3">
        <v>3016410.880932577</v>
      </c>
      <c r="BM384" s="177">
        <f t="shared" si="361"/>
        <v>-1025484.5838529244</v>
      </c>
      <c r="BN384" s="3"/>
      <c r="BP384" s="3"/>
      <c r="BQ384" s="3"/>
      <c r="BR384" s="3"/>
      <c r="BS384" s="3"/>
      <c r="BT384" s="3"/>
      <c r="BU384" s="3"/>
      <c r="BV384" s="3"/>
      <c r="BW384" s="3"/>
      <c r="BX384" s="3"/>
      <c r="BY384" s="3"/>
      <c r="BZ384" s="3"/>
      <c r="CA384" s="3"/>
      <c r="CB384" s="3"/>
      <c r="CC384" s="4"/>
      <c r="CD384" s="3"/>
      <c r="CE384" s="3"/>
      <c r="CF384" s="3"/>
      <c r="CG384" s="3"/>
      <c r="CH384" s="3"/>
      <c r="CI384" s="3"/>
      <c r="CJ384" s="3"/>
      <c r="CK384" s="3"/>
      <c r="CL384" s="3"/>
      <c r="CM384" s="3"/>
      <c r="CN384" s="3"/>
      <c r="CO384" s="3"/>
      <c r="CP384" s="3"/>
    </row>
    <row r="385" spans="1:94" ht="13.5" thickBot="1">
      <c r="A385" s="2" t="s">
        <v>29</v>
      </c>
      <c r="B385" s="3">
        <f>SUM(B373:B384)</f>
        <v>0</v>
      </c>
      <c r="C385" s="3">
        <f t="shared" ref="C385:P385" si="368">SUM(C373:C384)</f>
        <v>0</v>
      </c>
      <c r="D385" s="3">
        <f t="shared" si="368"/>
        <v>0</v>
      </c>
      <c r="E385" s="3">
        <f t="shared" si="368"/>
        <v>0</v>
      </c>
      <c r="F385" s="3">
        <f t="shared" si="368"/>
        <v>0</v>
      </c>
      <c r="G385" s="3">
        <f t="shared" si="368"/>
        <v>0</v>
      </c>
      <c r="H385" s="3">
        <f t="shared" si="368"/>
        <v>0</v>
      </c>
      <c r="I385" s="3">
        <f t="shared" si="368"/>
        <v>0</v>
      </c>
      <c r="J385" s="3">
        <f t="shared" si="368"/>
        <v>0</v>
      </c>
      <c r="K385" s="3">
        <f t="shared" si="368"/>
        <v>0</v>
      </c>
      <c r="L385" s="3">
        <f t="shared" si="368"/>
        <v>0</v>
      </c>
      <c r="M385" s="3">
        <f t="shared" si="368"/>
        <v>0</v>
      </c>
      <c r="N385" s="3">
        <f t="shared" si="368"/>
        <v>7926740</v>
      </c>
      <c r="O385" s="3">
        <f t="shared" si="368"/>
        <v>12283992</v>
      </c>
      <c r="P385" s="3">
        <f t="shared" si="368"/>
        <v>73150417</v>
      </c>
      <c r="Q385" s="4">
        <f t="shared" ref="Q385:AQ385" si="369">Q24</f>
        <v>60000000</v>
      </c>
      <c r="R385" s="4">
        <f t="shared" si="369"/>
        <v>46088495.228818953</v>
      </c>
      <c r="S385" s="4">
        <f t="shared" si="369"/>
        <v>66251234.582902744</v>
      </c>
      <c r="T385" s="4">
        <f t="shared" si="369"/>
        <v>86806380.262041986</v>
      </c>
      <c r="U385" s="4">
        <f t="shared" si="369"/>
        <v>102312847.9358232</v>
      </c>
      <c r="V385" s="4">
        <f t="shared" si="369"/>
        <v>138287553.70197093</v>
      </c>
      <c r="W385" s="4">
        <f t="shared" si="369"/>
        <v>125594134.48654234</v>
      </c>
      <c r="X385" s="4">
        <f t="shared" si="369"/>
        <v>113483164.08274141</v>
      </c>
      <c r="Y385" s="4">
        <f t="shared" si="369"/>
        <v>118522743.38567446</v>
      </c>
      <c r="Z385" s="4">
        <f t="shared" si="369"/>
        <v>128828009.22433172</v>
      </c>
      <c r="AA385" s="4">
        <f t="shared" si="369"/>
        <v>134585758.37689576</v>
      </c>
      <c r="AB385" s="4">
        <f t="shared" si="369"/>
        <v>124256442.39175236</v>
      </c>
      <c r="AC385" s="4">
        <f t="shared" si="369"/>
        <v>124337721.98940237</v>
      </c>
      <c r="AD385" s="4">
        <f t="shared" si="369"/>
        <v>127278657.42957604</v>
      </c>
      <c r="AE385" s="4">
        <f t="shared" si="369"/>
        <v>114509912.80142261</v>
      </c>
      <c r="AF385" s="4">
        <f t="shared" si="369"/>
        <v>108819073.71363991</v>
      </c>
      <c r="AG385" s="4">
        <f t="shared" si="369"/>
        <v>110910080.07630007</v>
      </c>
      <c r="AH385" s="4">
        <f t="shared" si="369"/>
        <v>114505569.5222919</v>
      </c>
      <c r="AI385" s="4">
        <f t="shared" si="369"/>
        <v>117137088.95212787</v>
      </c>
      <c r="AJ385" s="4">
        <f t="shared" si="369"/>
        <v>118474900.21952038</v>
      </c>
      <c r="AK385" s="4">
        <f t="shared" si="369"/>
        <v>121994891.06297545</v>
      </c>
      <c r="AL385" s="4">
        <f t="shared" si="369"/>
        <v>128674582.43540013</v>
      </c>
      <c r="AM385" s="4">
        <f t="shared" si="369"/>
        <v>133320869.9229717</v>
      </c>
      <c r="AN385" s="4">
        <f t="shared" si="369"/>
        <v>133473303.700689</v>
      </c>
      <c r="AO385" s="4">
        <f t="shared" si="369"/>
        <v>133250169.59317277</v>
      </c>
      <c r="AP385" s="4">
        <f t="shared" si="369"/>
        <v>136382693.61010438</v>
      </c>
      <c r="AQ385" s="4">
        <f t="shared" si="369"/>
        <v>153114523.5918636</v>
      </c>
      <c r="AR385" s="4"/>
      <c r="AS385" s="4"/>
      <c r="AT385" s="4"/>
      <c r="AU385" s="4"/>
      <c r="AV385" s="4"/>
      <c r="AW385" s="4"/>
      <c r="AX385" s="4"/>
      <c r="AY385" s="3"/>
      <c r="BA385" s="3">
        <v>0</v>
      </c>
      <c r="BB385" s="3">
        <f t="shared" si="364"/>
        <v>0</v>
      </c>
      <c r="BC385" s="3">
        <v>0</v>
      </c>
      <c r="BD385" s="3">
        <f t="shared" si="358"/>
        <v>0</v>
      </c>
      <c r="BE385" s="3">
        <v>0</v>
      </c>
      <c r="BF385" s="3">
        <f t="shared" si="359"/>
        <v>0</v>
      </c>
      <c r="BG385" s="3">
        <v>6483449</v>
      </c>
      <c r="BH385" s="3"/>
      <c r="BI385" s="3"/>
      <c r="BJ385" s="4">
        <v>76000000</v>
      </c>
      <c r="BK385" s="3">
        <f t="shared" si="360"/>
        <v>-2849583</v>
      </c>
      <c r="BL385" s="3">
        <v>60000000</v>
      </c>
      <c r="BM385" s="177">
        <f t="shared" si="361"/>
        <v>0</v>
      </c>
      <c r="BN385" s="3"/>
      <c r="BP385" s="3"/>
      <c r="BQ385" s="3"/>
      <c r="BR385" s="3"/>
      <c r="BS385" s="3"/>
      <c r="BT385" s="3"/>
      <c r="BU385" s="3"/>
      <c r="BV385" s="3"/>
      <c r="BW385" s="3"/>
      <c r="BX385" s="3"/>
      <c r="BY385" s="3"/>
      <c r="BZ385" s="3"/>
      <c r="CA385" s="3"/>
      <c r="CB385" s="3"/>
      <c r="CC385" s="4"/>
      <c r="CD385" s="3"/>
      <c r="CE385" s="3"/>
      <c r="CF385" s="3"/>
      <c r="CG385" s="3"/>
      <c r="CH385" s="3"/>
      <c r="CI385" s="3"/>
      <c r="CJ385" s="3"/>
      <c r="CK385" s="3"/>
      <c r="CL385" s="3"/>
      <c r="CM385" s="3"/>
      <c r="CN385" s="3"/>
      <c r="CO385" s="3"/>
      <c r="CP385" s="3"/>
    </row>
    <row r="386" spans="1:94">
      <c r="A386" s="114"/>
      <c r="B386" s="114"/>
      <c r="C386" s="114"/>
      <c r="D386" s="114"/>
      <c r="E386" s="114"/>
      <c r="F386" s="114"/>
      <c r="G386" s="114"/>
      <c r="H386" s="114"/>
      <c r="I386" s="114"/>
      <c r="J386" s="114"/>
      <c r="K386" s="114"/>
      <c r="L386" s="114"/>
      <c r="M386" s="114"/>
      <c r="N386" s="114"/>
      <c r="O386" s="114"/>
      <c r="P386" s="114"/>
      <c r="Q386" s="114"/>
      <c r="R386" s="114"/>
      <c r="S386" s="114"/>
      <c r="T386" s="114"/>
      <c r="U386" s="114"/>
      <c r="V386" s="114"/>
      <c r="W386" s="114"/>
      <c r="X386" s="114"/>
      <c r="Y386" s="114"/>
      <c r="Z386" s="114"/>
      <c r="AA386" s="114"/>
      <c r="AB386" s="114"/>
      <c r="AC386" s="114"/>
      <c r="AD386" s="114"/>
      <c r="AE386" s="114"/>
      <c r="AF386" s="114"/>
      <c r="AG386" s="114"/>
      <c r="AH386" s="114"/>
      <c r="AI386" s="114"/>
      <c r="AJ386" s="114"/>
      <c r="AK386" s="114"/>
      <c r="AL386" s="114"/>
      <c r="AM386" s="114"/>
      <c r="AN386" s="114"/>
      <c r="AO386" s="114"/>
      <c r="AP386" s="114"/>
      <c r="AQ386" s="114"/>
      <c r="AX386" s="4"/>
      <c r="AY386" s="3"/>
      <c r="BE386" s="4"/>
    </row>
    <row r="387" spans="1:94" ht="16.5" thickBot="1">
      <c r="A387" s="109" t="s">
        <v>332</v>
      </c>
      <c r="AX387" s="4"/>
      <c r="AY387" s="3"/>
      <c r="BE387" s="4"/>
    </row>
    <row r="388" spans="1:94" ht="13.5" thickBot="1">
      <c r="A388" s="110"/>
      <c r="B388" s="111">
        <f t="shared" ref="B388:K388" si="370">B2</f>
        <v>2010</v>
      </c>
      <c r="C388" s="111">
        <f t="shared" si="370"/>
        <v>2011</v>
      </c>
      <c r="D388" s="111">
        <f t="shared" si="370"/>
        <v>2012</v>
      </c>
      <c r="E388" s="111">
        <f t="shared" si="370"/>
        <v>2013</v>
      </c>
      <c r="F388" s="111">
        <f t="shared" si="370"/>
        <v>2014</v>
      </c>
      <c r="G388" s="111">
        <f t="shared" si="370"/>
        <v>2015</v>
      </c>
      <c r="H388" s="111">
        <f t="shared" si="370"/>
        <v>2016</v>
      </c>
      <c r="I388" s="111">
        <f t="shared" si="370"/>
        <v>2017</v>
      </c>
      <c r="J388" s="111">
        <f t="shared" si="370"/>
        <v>2018</v>
      </c>
      <c r="K388" s="111">
        <f t="shared" si="370"/>
        <v>2019</v>
      </c>
      <c r="L388" s="111">
        <f>L2</f>
        <v>2020</v>
      </c>
      <c r="M388" s="111">
        <f>M2</f>
        <v>2021</v>
      </c>
      <c r="N388" s="111">
        <f t="shared" ref="N388:AQ388" si="371">N2</f>
        <v>2022</v>
      </c>
      <c r="O388" s="111">
        <f t="shared" si="371"/>
        <v>2023</v>
      </c>
      <c r="P388" s="111">
        <f t="shared" si="371"/>
        <v>2024</v>
      </c>
      <c r="Q388" s="111">
        <f t="shared" si="371"/>
        <v>2025</v>
      </c>
      <c r="R388" s="111">
        <f t="shared" si="371"/>
        <v>2026</v>
      </c>
      <c r="S388" s="111">
        <f t="shared" si="371"/>
        <v>2027</v>
      </c>
      <c r="T388" s="111">
        <f t="shared" si="371"/>
        <v>2028</v>
      </c>
      <c r="U388" s="111">
        <f t="shared" si="371"/>
        <v>2029</v>
      </c>
      <c r="V388" s="111">
        <f t="shared" si="371"/>
        <v>2030</v>
      </c>
      <c r="W388" s="111">
        <f t="shared" si="371"/>
        <v>2031</v>
      </c>
      <c r="X388" s="111">
        <f t="shared" si="371"/>
        <v>2032</v>
      </c>
      <c r="Y388" s="111">
        <f t="shared" si="371"/>
        <v>2033</v>
      </c>
      <c r="Z388" s="111">
        <f t="shared" si="371"/>
        <v>2034</v>
      </c>
      <c r="AA388" s="111">
        <f t="shared" si="371"/>
        <v>2035</v>
      </c>
      <c r="AB388" s="111">
        <f t="shared" si="371"/>
        <v>2036</v>
      </c>
      <c r="AC388" s="111">
        <f t="shared" si="371"/>
        <v>2037</v>
      </c>
      <c r="AD388" s="111">
        <f t="shared" si="371"/>
        <v>2038</v>
      </c>
      <c r="AE388" s="111">
        <f t="shared" si="371"/>
        <v>2039</v>
      </c>
      <c r="AF388" s="111">
        <f t="shared" si="371"/>
        <v>2040</v>
      </c>
      <c r="AG388" s="111">
        <f t="shared" si="371"/>
        <v>2041</v>
      </c>
      <c r="AH388" s="111">
        <f t="shared" si="371"/>
        <v>2042</v>
      </c>
      <c r="AI388" s="111">
        <f t="shared" si="371"/>
        <v>2043</v>
      </c>
      <c r="AJ388" s="111">
        <f t="shared" si="371"/>
        <v>2044</v>
      </c>
      <c r="AK388" s="111">
        <f t="shared" si="371"/>
        <v>2045</v>
      </c>
      <c r="AL388" s="111">
        <f t="shared" si="371"/>
        <v>2046</v>
      </c>
      <c r="AM388" s="111">
        <f t="shared" si="371"/>
        <v>2047</v>
      </c>
      <c r="AN388" s="111">
        <f t="shared" si="371"/>
        <v>2048</v>
      </c>
      <c r="AO388" s="111">
        <f t="shared" si="371"/>
        <v>2049</v>
      </c>
      <c r="AP388" s="111">
        <f t="shared" si="371"/>
        <v>2050</v>
      </c>
      <c r="AQ388" s="111">
        <f t="shared" si="371"/>
        <v>2051</v>
      </c>
      <c r="AR388" s="94"/>
      <c r="AS388" s="94"/>
      <c r="AT388" s="94"/>
      <c r="AU388" s="94"/>
      <c r="AV388" s="94"/>
      <c r="AW388" s="94"/>
      <c r="AX388" s="4"/>
      <c r="AY388" s="3"/>
      <c r="BE388" s="4"/>
    </row>
    <row r="389" spans="1:94">
      <c r="A389" s="2" t="s">
        <v>43</v>
      </c>
      <c r="B389" s="3">
        <f t="shared" ref="B389:AQ395" si="372">B405+B421</f>
        <v>0</v>
      </c>
      <c r="C389" s="3">
        <f t="shared" si="372"/>
        <v>0</v>
      </c>
      <c r="D389" s="3">
        <f t="shared" si="372"/>
        <v>0</v>
      </c>
      <c r="E389" s="3">
        <f t="shared" si="372"/>
        <v>0</v>
      </c>
      <c r="F389" s="3">
        <f t="shared" si="372"/>
        <v>0</v>
      </c>
      <c r="G389" s="3">
        <f t="shared" si="372"/>
        <v>0</v>
      </c>
      <c r="H389" s="3">
        <f t="shared" si="372"/>
        <v>0</v>
      </c>
      <c r="I389" s="3">
        <f t="shared" si="372"/>
        <v>0</v>
      </c>
      <c r="J389" s="3">
        <f t="shared" si="372"/>
        <v>0</v>
      </c>
      <c r="K389" s="3">
        <f t="shared" si="372"/>
        <v>4815</v>
      </c>
      <c r="L389" s="3">
        <f t="shared" si="372"/>
        <v>0</v>
      </c>
      <c r="M389" s="3">
        <f t="shared" si="372"/>
        <v>0</v>
      </c>
      <c r="N389" s="3">
        <f t="shared" si="372"/>
        <v>23712</v>
      </c>
      <c r="O389" s="3">
        <f t="shared" si="372"/>
        <v>0</v>
      </c>
      <c r="P389" s="3">
        <f t="shared" si="372"/>
        <v>0</v>
      </c>
      <c r="Q389" s="3">
        <f t="shared" si="372"/>
        <v>0</v>
      </c>
      <c r="R389" s="4">
        <f t="shared" si="372"/>
        <v>0</v>
      </c>
      <c r="S389" s="4">
        <f t="shared" si="372"/>
        <v>0</v>
      </c>
      <c r="T389" s="4">
        <f t="shared" si="372"/>
        <v>0</v>
      </c>
      <c r="U389" s="4">
        <f t="shared" si="372"/>
        <v>0</v>
      </c>
      <c r="V389" s="4">
        <f t="shared" si="372"/>
        <v>0</v>
      </c>
      <c r="W389" s="4">
        <f t="shared" si="372"/>
        <v>0</v>
      </c>
      <c r="X389" s="4">
        <f t="shared" si="372"/>
        <v>0</v>
      </c>
      <c r="Y389" s="4">
        <f t="shared" si="372"/>
        <v>0</v>
      </c>
      <c r="Z389" s="4">
        <f t="shared" si="372"/>
        <v>0</v>
      </c>
      <c r="AA389" s="4">
        <f t="shared" si="372"/>
        <v>0</v>
      </c>
      <c r="AB389" s="4">
        <f t="shared" si="372"/>
        <v>0</v>
      </c>
      <c r="AC389" s="4">
        <f t="shared" si="372"/>
        <v>0</v>
      </c>
      <c r="AD389" s="4">
        <f t="shared" si="372"/>
        <v>0</v>
      </c>
      <c r="AE389" s="4">
        <f t="shared" si="372"/>
        <v>0</v>
      </c>
      <c r="AF389" s="4">
        <f t="shared" si="372"/>
        <v>0</v>
      </c>
      <c r="AG389" s="4">
        <f t="shared" si="372"/>
        <v>0</v>
      </c>
      <c r="AH389" s="4">
        <f t="shared" si="372"/>
        <v>0</v>
      </c>
      <c r="AI389" s="4">
        <f t="shared" si="372"/>
        <v>0</v>
      </c>
      <c r="AJ389" s="4">
        <f t="shared" si="372"/>
        <v>0</v>
      </c>
      <c r="AK389" s="4">
        <f t="shared" si="372"/>
        <v>0</v>
      </c>
      <c r="AL389" s="4">
        <f t="shared" si="372"/>
        <v>0</v>
      </c>
      <c r="AM389" s="4">
        <f t="shared" si="372"/>
        <v>0</v>
      </c>
      <c r="AN389" s="4">
        <f t="shared" si="372"/>
        <v>0</v>
      </c>
      <c r="AO389" s="4">
        <f t="shared" si="372"/>
        <v>0</v>
      </c>
      <c r="AP389" s="4">
        <f t="shared" si="372"/>
        <v>0</v>
      </c>
      <c r="AQ389" s="4">
        <f t="shared" si="372"/>
        <v>1</v>
      </c>
      <c r="AR389" s="4"/>
      <c r="AS389" s="4"/>
      <c r="AT389" s="4"/>
      <c r="AU389" s="4"/>
      <c r="AV389" s="4"/>
      <c r="AW389" s="4"/>
      <c r="AX389" s="4"/>
      <c r="AY389" s="3"/>
      <c r="BC389" s="3">
        <v>0</v>
      </c>
      <c r="BD389" s="3">
        <f t="shared" ref="BD389:BD401" si="373">L389-BC389</f>
        <v>0</v>
      </c>
      <c r="BE389" s="3">
        <v>0</v>
      </c>
      <c r="BF389" s="3">
        <f t="shared" ref="BF389:BF401" si="374">M389-BE389</f>
        <v>0</v>
      </c>
      <c r="BG389" s="3">
        <v>0</v>
      </c>
      <c r="BH389" s="3"/>
      <c r="BI389" s="3"/>
      <c r="BJ389" s="3">
        <v>0</v>
      </c>
      <c r="BK389" s="3">
        <f t="shared" ref="BK389:BK401" si="375">P389-BJ389</f>
        <v>0</v>
      </c>
      <c r="BL389" s="3">
        <v>0</v>
      </c>
      <c r="BM389" s="177">
        <f t="shared" ref="BM389:BM401" si="376">Q389-BL389</f>
        <v>0</v>
      </c>
      <c r="BN389" s="3"/>
      <c r="BR389" s="3"/>
      <c r="BS389" s="3"/>
      <c r="BT389" s="3"/>
      <c r="BU389" s="3"/>
      <c r="BV389" s="3"/>
      <c r="BW389" s="3"/>
      <c r="BX389" s="3"/>
      <c r="BY389" s="3"/>
      <c r="BZ389" s="3"/>
      <c r="CA389" s="3"/>
      <c r="CB389" s="3"/>
      <c r="CC389" s="4"/>
      <c r="CD389" s="3"/>
      <c r="CE389" s="3"/>
      <c r="CF389" s="3"/>
      <c r="CG389" s="3"/>
      <c r="CH389" s="3"/>
      <c r="CI389" s="3"/>
      <c r="CJ389" s="3"/>
      <c r="CK389" s="3"/>
      <c r="CL389" s="3"/>
      <c r="CM389" s="3"/>
      <c r="CN389" s="3"/>
      <c r="CO389" s="3"/>
      <c r="CP389" s="3"/>
    </row>
    <row r="390" spans="1:94">
      <c r="A390" s="2" t="s">
        <v>44</v>
      </c>
      <c r="B390" s="3">
        <f t="shared" si="372"/>
        <v>0</v>
      </c>
      <c r="C390" s="3">
        <f t="shared" si="372"/>
        <v>0</v>
      </c>
      <c r="D390" s="3">
        <f t="shared" si="372"/>
        <v>0</v>
      </c>
      <c r="E390" s="3">
        <f t="shared" si="372"/>
        <v>0</v>
      </c>
      <c r="F390" s="3">
        <f t="shared" si="372"/>
        <v>0</v>
      </c>
      <c r="G390" s="3">
        <f t="shared" si="372"/>
        <v>0</v>
      </c>
      <c r="H390" s="3">
        <f t="shared" si="372"/>
        <v>0</v>
      </c>
      <c r="I390" s="3">
        <f t="shared" si="372"/>
        <v>0</v>
      </c>
      <c r="J390" s="3">
        <f t="shared" si="372"/>
        <v>0</v>
      </c>
      <c r="K390" s="3">
        <f t="shared" si="372"/>
        <v>0</v>
      </c>
      <c r="L390" s="3">
        <f t="shared" si="372"/>
        <v>0</v>
      </c>
      <c r="M390" s="3">
        <f t="shared" si="372"/>
        <v>0</v>
      </c>
      <c r="N390" s="3">
        <f t="shared" si="372"/>
        <v>0</v>
      </c>
      <c r="O390" s="3">
        <f t="shared" si="372"/>
        <v>0</v>
      </c>
      <c r="P390" s="3">
        <f t="shared" si="372"/>
        <v>98746</v>
      </c>
      <c r="Q390" s="3">
        <f t="shared" si="372"/>
        <v>0</v>
      </c>
      <c r="R390" s="4">
        <f t="shared" si="372"/>
        <v>0</v>
      </c>
      <c r="S390" s="4">
        <f t="shared" si="372"/>
        <v>0</v>
      </c>
      <c r="T390" s="4">
        <f t="shared" si="372"/>
        <v>0</v>
      </c>
      <c r="U390" s="4">
        <f t="shared" si="372"/>
        <v>0</v>
      </c>
      <c r="V390" s="4">
        <f t="shared" si="372"/>
        <v>0</v>
      </c>
      <c r="W390" s="4">
        <f t="shared" si="372"/>
        <v>0</v>
      </c>
      <c r="X390" s="4">
        <f t="shared" si="372"/>
        <v>0</v>
      </c>
      <c r="Y390" s="4">
        <f t="shared" si="372"/>
        <v>0</v>
      </c>
      <c r="Z390" s="4">
        <f t="shared" si="372"/>
        <v>0</v>
      </c>
      <c r="AA390" s="4">
        <f t="shared" si="372"/>
        <v>0</v>
      </c>
      <c r="AB390" s="4">
        <f t="shared" si="372"/>
        <v>0</v>
      </c>
      <c r="AC390" s="4">
        <f t="shared" si="372"/>
        <v>0</v>
      </c>
      <c r="AD390" s="4">
        <f t="shared" si="372"/>
        <v>0</v>
      </c>
      <c r="AE390" s="4">
        <f t="shared" si="372"/>
        <v>0</v>
      </c>
      <c r="AF390" s="4">
        <f t="shared" si="372"/>
        <v>0</v>
      </c>
      <c r="AG390" s="4">
        <f t="shared" si="372"/>
        <v>0</v>
      </c>
      <c r="AH390" s="4">
        <f t="shared" si="372"/>
        <v>0</v>
      </c>
      <c r="AI390" s="4">
        <f t="shared" si="372"/>
        <v>0</v>
      </c>
      <c r="AJ390" s="4">
        <f t="shared" si="372"/>
        <v>0</v>
      </c>
      <c r="AK390" s="4">
        <f t="shared" si="372"/>
        <v>0</v>
      </c>
      <c r="AL390" s="4">
        <f t="shared" si="372"/>
        <v>0</v>
      </c>
      <c r="AM390" s="4">
        <f t="shared" si="372"/>
        <v>0</v>
      </c>
      <c r="AN390" s="4">
        <f t="shared" si="372"/>
        <v>0</v>
      </c>
      <c r="AO390" s="4">
        <f t="shared" si="372"/>
        <v>0</v>
      </c>
      <c r="AP390" s="4">
        <f t="shared" si="372"/>
        <v>0</v>
      </c>
      <c r="AQ390" s="4">
        <f t="shared" si="372"/>
        <v>1</v>
      </c>
      <c r="AR390" s="4"/>
      <c r="AS390" s="4"/>
      <c r="AT390" s="4"/>
      <c r="AU390" s="4"/>
      <c r="AV390" s="4"/>
      <c r="AW390" s="4"/>
      <c r="AX390" s="4"/>
      <c r="AY390" s="3"/>
      <c r="BC390" s="3">
        <v>0</v>
      </c>
      <c r="BD390" s="3">
        <f t="shared" si="373"/>
        <v>0</v>
      </c>
      <c r="BE390" s="3">
        <v>0</v>
      </c>
      <c r="BF390" s="3">
        <f t="shared" si="374"/>
        <v>0</v>
      </c>
      <c r="BG390" s="3">
        <v>0</v>
      </c>
      <c r="BH390" s="3"/>
      <c r="BI390" s="3"/>
      <c r="BJ390" s="3">
        <v>98746</v>
      </c>
      <c r="BK390" s="3">
        <f t="shared" si="375"/>
        <v>0</v>
      </c>
      <c r="BL390" s="3">
        <v>0</v>
      </c>
      <c r="BM390" s="177">
        <f t="shared" si="376"/>
        <v>0</v>
      </c>
      <c r="BN390" s="3"/>
      <c r="BR390" s="3"/>
      <c r="BS390" s="3"/>
      <c r="BT390" s="3"/>
      <c r="BU390" s="3"/>
      <c r="BV390" s="3"/>
      <c r="BW390" s="3"/>
      <c r="BX390" s="3"/>
      <c r="BY390" s="3"/>
      <c r="BZ390" s="3"/>
      <c r="CA390" s="3"/>
      <c r="CB390" s="3"/>
      <c r="CC390" s="4"/>
      <c r="CD390" s="3"/>
      <c r="CE390" s="3"/>
      <c r="CF390" s="3"/>
      <c r="CG390" s="3"/>
      <c r="CH390" s="3"/>
      <c r="CI390" s="3"/>
      <c r="CJ390" s="3"/>
      <c r="CK390" s="3"/>
      <c r="CL390" s="3"/>
      <c r="CM390" s="3"/>
      <c r="CN390" s="3"/>
      <c r="CO390" s="3"/>
      <c r="CP390" s="3"/>
    </row>
    <row r="391" spans="1:94">
      <c r="A391" s="2" t="s">
        <v>45</v>
      </c>
      <c r="B391" s="3">
        <f t="shared" si="372"/>
        <v>0</v>
      </c>
      <c r="C391" s="3">
        <f t="shared" si="372"/>
        <v>0</v>
      </c>
      <c r="D391" s="3">
        <f t="shared" si="372"/>
        <v>0</v>
      </c>
      <c r="E391" s="3">
        <f t="shared" si="372"/>
        <v>0</v>
      </c>
      <c r="F391" s="3">
        <f t="shared" si="372"/>
        <v>0</v>
      </c>
      <c r="G391" s="3">
        <f t="shared" si="372"/>
        <v>0</v>
      </c>
      <c r="H391" s="3">
        <f t="shared" si="372"/>
        <v>0</v>
      </c>
      <c r="I391" s="3">
        <f t="shared" si="372"/>
        <v>0</v>
      </c>
      <c r="J391" s="3">
        <f t="shared" si="372"/>
        <v>0</v>
      </c>
      <c r="K391" s="3">
        <f t="shared" si="372"/>
        <v>0</v>
      </c>
      <c r="L391" s="3">
        <f t="shared" si="372"/>
        <v>0</v>
      </c>
      <c r="M391" s="3">
        <f t="shared" si="372"/>
        <v>0</v>
      </c>
      <c r="N391" s="3">
        <f t="shared" si="372"/>
        <v>0</v>
      </c>
      <c r="O391" s="3">
        <f t="shared" si="372"/>
        <v>119100</v>
      </c>
      <c r="P391" s="3">
        <f t="shared" si="372"/>
        <v>0</v>
      </c>
      <c r="Q391" s="3">
        <f t="shared" si="372"/>
        <v>0</v>
      </c>
      <c r="R391" s="4">
        <f t="shared" si="372"/>
        <v>0</v>
      </c>
      <c r="S391" s="4">
        <f t="shared" si="372"/>
        <v>0</v>
      </c>
      <c r="T391" s="4">
        <f t="shared" si="372"/>
        <v>0</v>
      </c>
      <c r="U391" s="4">
        <f t="shared" si="372"/>
        <v>0</v>
      </c>
      <c r="V391" s="4">
        <f t="shared" si="372"/>
        <v>0</v>
      </c>
      <c r="W391" s="4">
        <f t="shared" si="372"/>
        <v>0</v>
      </c>
      <c r="X391" s="4">
        <f t="shared" si="372"/>
        <v>0</v>
      </c>
      <c r="Y391" s="4">
        <f t="shared" si="372"/>
        <v>0</v>
      </c>
      <c r="Z391" s="4">
        <f t="shared" si="372"/>
        <v>0</v>
      </c>
      <c r="AA391" s="4">
        <f t="shared" si="372"/>
        <v>0</v>
      </c>
      <c r="AB391" s="4">
        <f t="shared" si="372"/>
        <v>0</v>
      </c>
      <c r="AC391" s="4">
        <f t="shared" si="372"/>
        <v>0</v>
      </c>
      <c r="AD391" s="4">
        <f t="shared" si="372"/>
        <v>0</v>
      </c>
      <c r="AE391" s="4">
        <f t="shared" si="372"/>
        <v>0</v>
      </c>
      <c r="AF391" s="4">
        <f t="shared" si="372"/>
        <v>0</v>
      </c>
      <c r="AG391" s="4">
        <f t="shared" si="372"/>
        <v>0</v>
      </c>
      <c r="AH391" s="4">
        <f t="shared" si="372"/>
        <v>0</v>
      </c>
      <c r="AI391" s="4">
        <f t="shared" si="372"/>
        <v>0</v>
      </c>
      <c r="AJ391" s="4">
        <f t="shared" si="372"/>
        <v>0</v>
      </c>
      <c r="AK391" s="4">
        <f t="shared" si="372"/>
        <v>0</v>
      </c>
      <c r="AL391" s="4">
        <f t="shared" si="372"/>
        <v>0</v>
      </c>
      <c r="AM391" s="4">
        <f t="shared" si="372"/>
        <v>0</v>
      </c>
      <c r="AN391" s="4">
        <f t="shared" si="372"/>
        <v>0</v>
      </c>
      <c r="AO391" s="4">
        <f t="shared" si="372"/>
        <v>0</v>
      </c>
      <c r="AP391" s="4">
        <f t="shared" si="372"/>
        <v>0</v>
      </c>
      <c r="AQ391" s="4">
        <f t="shared" si="372"/>
        <v>1</v>
      </c>
      <c r="AR391" s="4"/>
      <c r="AS391" s="4"/>
      <c r="AT391" s="4"/>
      <c r="AU391" s="4"/>
      <c r="AV391" s="4"/>
      <c r="AW391" s="4"/>
      <c r="AX391" s="4"/>
      <c r="AY391" s="3"/>
      <c r="BC391" s="3">
        <v>0</v>
      </c>
      <c r="BD391" s="3">
        <f t="shared" si="373"/>
        <v>0</v>
      </c>
      <c r="BE391" s="3">
        <v>0</v>
      </c>
      <c r="BF391" s="3">
        <f t="shared" si="374"/>
        <v>0</v>
      </c>
      <c r="BG391" s="3">
        <v>0</v>
      </c>
      <c r="BH391" s="3"/>
      <c r="BI391" s="3"/>
      <c r="BJ391" s="3">
        <v>0</v>
      </c>
      <c r="BK391" s="3">
        <f t="shared" si="375"/>
        <v>0</v>
      </c>
      <c r="BL391" s="3">
        <v>0</v>
      </c>
      <c r="BM391" s="177">
        <f t="shared" si="376"/>
        <v>0</v>
      </c>
      <c r="BN391" s="3"/>
      <c r="BR391" s="3"/>
      <c r="BS391" s="3"/>
      <c r="BT391" s="3"/>
      <c r="BU391" s="3"/>
      <c r="BV391" s="3"/>
      <c r="BW391" s="3"/>
      <c r="BX391" s="3"/>
      <c r="BY391" s="3"/>
      <c r="BZ391" s="3"/>
      <c r="CA391" s="3"/>
      <c r="CB391" s="3"/>
      <c r="CC391" s="4"/>
      <c r="CD391" s="3"/>
      <c r="CE391" s="3"/>
      <c r="CF391" s="3"/>
      <c r="CG391" s="3"/>
      <c r="CH391" s="3"/>
      <c r="CI391" s="3"/>
      <c r="CJ391" s="3"/>
      <c r="CK391" s="3"/>
      <c r="CL391" s="3"/>
      <c r="CM391" s="3"/>
      <c r="CN391" s="3"/>
      <c r="CO391" s="3"/>
      <c r="CP391" s="3"/>
    </row>
    <row r="392" spans="1:94">
      <c r="A392" s="2" t="s">
        <v>46</v>
      </c>
      <c r="B392" s="3">
        <f t="shared" si="372"/>
        <v>0</v>
      </c>
      <c r="C392" s="3">
        <f t="shared" si="372"/>
        <v>0</v>
      </c>
      <c r="D392" s="3">
        <f t="shared" si="372"/>
        <v>0</v>
      </c>
      <c r="E392" s="3">
        <f t="shared" si="372"/>
        <v>0</v>
      </c>
      <c r="F392" s="3">
        <f t="shared" si="372"/>
        <v>0</v>
      </c>
      <c r="G392" s="3">
        <f t="shared" si="372"/>
        <v>0</v>
      </c>
      <c r="H392" s="3">
        <f t="shared" si="372"/>
        <v>0</v>
      </c>
      <c r="I392" s="3">
        <f t="shared" si="372"/>
        <v>0</v>
      </c>
      <c r="J392" s="3">
        <f t="shared" si="372"/>
        <v>0</v>
      </c>
      <c r="K392" s="3">
        <f t="shared" si="372"/>
        <v>0</v>
      </c>
      <c r="L392" s="3">
        <f t="shared" si="372"/>
        <v>0</v>
      </c>
      <c r="M392" s="3">
        <f t="shared" si="372"/>
        <v>0</v>
      </c>
      <c r="N392" s="3">
        <f t="shared" si="372"/>
        <v>0</v>
      </c>
      <c r="O392" s="3">
        <f t="shared" si="372"/>
        <v>91448</v>
      </c>
      <c r="P392" s="3">
        <f t="shared" si="372"/>
        <v>0</v>
      </c>
      <c r="Q392" s="4">
        <f t="shared" si="372"/>
        <v>0</v>
      </c>
      <c r="R392" s="4">
        <f t="shared" si="372"/>
        <v>0</v>
      </c>
      <c r="S392" s="4">
        <f t="shared" si="372"/>
        <v>0</v>
      </c>
      <c r="T392" s="4">
        <f t="shared" si="372"/>
        <v>0</v>
      </c>
      <c r="U392" s="4">
        <f t="shared" si="372"/>
        <v>0</v>
      </c>
      <c r="V392" s="4">
        <f t="shared" si="372"/>
        <v>0</v>
      </c>
      <c r="W392" s="4">
        <f t="shared" si="372"/>
        <v>0</v>
      </c>
      <c r="X392" s="4">
        <f t="shared" si="372"/>
        <v>0</v>
      </c>
      <c r="Y392" s="4">
        <f t="shared" si="372"/>
        <v>0</v>
      </c>
      <c r="Z392" s="4">
        <f t="shared" si="372"/>
        <v>0</v>
      </c>
      <c r="AA392" s="4">
        <f t="shared" si="372"/>
        <v>0</v>
      </c>
      <c r="AB392" s="4">
        <f t="shared" si="372"/>
        <v>0</v>
      </c>
      <c r="AC392" s="4">
        <f t="shared" si="372"/>
        <v>0</v>
      </c>
      <c r="AD392" s="4">
        <f t="shared" si="372"/>
        <v>0</v>
      </c>
      <c r="AE392" s="4">
        <f t="shared" si="372"/>
        <v>0</v>
      </c>
      <c r="AF392" s="4">
        <f t="shared" si="372"/>
        <v>0</v>
      </c>
      <c r="AG392" s="4">
        <f t="shared" si="372"/>
        <v>0</v>
      </c>
      <c r="AH392" s="4">
        <f t="shared" si="372"/>
        <v>0</v>
      </c>
      <c r="AI392" s="4">
        <f t="shared" si="372"/>
        <v>0</v>
      </c>
      <c r="AJ392" s="4">
        <f t="shared" si="372"/>
        <v>0</v>
      </c>
      <c r="AK392" s="4">
        <f t="shared" si="372"/>
        <v>0</v>
      </c>
      <c r="AL392" s="4">
        <f t="shared" si="372"/>
        <v>0</v>
      </c>
      <c r="AM392" s="4">
        <f t="shared" si="372"/>
        <v>0</v>
      </c>
      <c r="AN392" s="4">
        <f t="shared" si="372"/>
        <v>0</v>
      </c>
      <c r="AO392" s="4">
        <f t="shared" si="372"/>
        <v>0</v>
      </c>
      <c r="AP392" s="4">
        <f t="shared" si="372"/>
        <v>0</v>
      </c>
      <c r="AQ392" s="4">
        <f t="shared" si="372"/>
        <v>1</v>
      </c>
      <c r="AR392" s="4"/>
      <c r="AS392" s="4"/>
      <c r="AT392" s="4"/>
      <c r="AU392" s="4"/>
      <c r="AV392" s="4"/>
      <c r="AW392" s="4"/>
      <c r="AX392" s="4"/>
      <c r="AY392" s="3"/>
      <c r="BC392" s="3">
        <v>0</v>
      </c>
      <c r="BD392" s="3">
        <f t="shared" si="373"/>
        <v>0</v>
      </c>
      <c r="BE392" s="3">
        <v>0</v>
      </c>
      <c r="BF392" s="3">
        <f t="shared" si="374"/>
        <v>0</v>
      </c>
      <c r="BG392" s="3">
        <v>0</v>
      </c>
      <c r="BH392" s="3"/>
      <c r="BI392" s="3"/>
      <c r="BJ392" s="3">
        <v>0</v>
      </c>
      <c r="BK392" s="3">
        <f t="shared" si="375"/>
        <v>0</v>
      </c>
      <c r="BL392" s="3">
        <v>0</v>
      </c>
      <c r="BM392" s="177">
        <f t="shared" si="376"/>
        <v>0</v>
      </c>
      <c r="BN392" s="3"/>
      <c r="BR392" s="3"/>
      <c r="BS392" s="3"/>
      <c r="BT392" s="3"/>
      <c r="BU392" s="3"/>
      <c r="BV392" s="3"/>
      <c r="BW392" s="3"/>
      <c r="BX392" s="3"/>
      <c r="BY392" s="3"/>
      <c r="BZ392" s="3"/>
      <c r="CA392" s="3"/>
      <c r="CB392" s="3"/>
      <c r="CC392" s="4"/>
      <c r="CD392" s="3"/>
      <c r="CE392" s="3"/>
      <c r="CF392" s="3"/>
      <c r="CG392" s="3"/>
      <c r="CH392" s="3"/>
      <c r="CI392" s="3"/>
      <c r="CJ392" s="3"/>
      <c r="CK392" s="3"/>
      <c r="CL392" s="3"/>
      <c r="CM392" s="3"/>
      <c r="CN392" s="3"/>
      <c r="CO392" s="3"/>
      <c r="CP392" s="3"/>
    </row>
    <row r="393" spans="1:94">
      <c r="A393" s="2" t="s">
        <v>47</v>
      </c>
      <c r="B393" s="3">
        <f t="shared" si="372"/>
        <v>0</v>
      </c>
      <c r="C393" s="3">
        <f t="shared" si="372"/>
        <v>0</v>
      </c>
      <c r="D393" s="3">
        <f t="shared" si="372"/>
        <v>0</v>
      </c>
      <c r="E393" s="3">
        <f t="shared" si="372"/>
        <v>0</v>
      </c>
      <c r="F393" s="3">
        <f t="shared" si="372"/>
        <v>0</v>
      </c>
      <c r="G393" s="3">
        <f t="shared" si="372"/>
        <v>0</v>
      </c>
      <c r="H393" s="3">
        <f t="shared" si="372"/>
        <v>0</v>
      </c>
      <c r="I393" s="3">
        <f t="shared" si="372"/>
        <v>0</v>
      </c>
      <c r="J393" s="3">
        <f t="shared" si="372"/>
        <v>0</v>
      </c>
      <c r="K393" s="3">
        <f>K409+K425</f>
        <v>0</v>
      </c>
      <c r="L393" s="3">
        <f t="shared" si="372"/>
        <v>0</v>
      </c>
      <c r="M393" s="3">
        <f t="shared" si="372"/>
        <v>0</v>
      </c>
      <c r="N393" s="3">
        <f t="shared" si="372"/>
        <v>0</v>
      </c>
      <c r="O393" s="3">
        <f t="shared" si="372"/>
        <v>0</v>
      </c>
      <c r="P393" s="3">
        <f t="shared" si="372"/>
        <v>0</v>
      </c>
      <c r="Q393" s="4">
        <f t="shared" si="372"/>
        <v>0</v>
      </c>
      <c r="R393" s="4">
        <f t="shared" si="372"/>
        <v>0</v>
      </c>
      <c r="S393" s="4">
        <f t="shared" si="372"/>
        <v>0</v>
      </c>
      <c r="T393" s="4">
        <f t="shared" si="372"/>
        <v>0</v>
      </c>
      <c r="U393" s="4">
        <f t="shared" si="372"/>
        <v>0</v>
      </c>
      <c r="V393" s="4">
        <f t="shared" si="372"/>
        <v>0</v>
      </c>
      <c r="W393" s="4">
        <f t="shared" si="372"/>
        <v>0</v>
      </c>
      <c r="X393" s="4">
        <f t="shared" si="372"/>
        <v>0</v>
      </c>
      <c r="Y393" s="4">
        <f t="shared" si="372"/>
        <v>0</v>
      </c>
      <c r="Z393" s="4">
        <f t="shared" si="372"/>
        <v>0</v>
      </c>
      <c r="AA393" s="4">
        <f t="shared" si="372"/>
        <v>0</v>
      </c>
      <c r="AB393" s="4">
        <f t="shared" si="372"/>
        <v>0</v>
      </c>
      <c r="AC393" s="4">
        <f t="shared" si="372"/>
        <v>0</v>
      </c>
      <c r="AD393" s="4">
        <f t="shared" si="372"/>
        <v>0</v>
      </c>
      <c r="AE393" s="4">
        <f t="shared" si="372"/>
        <v>0</v>
      </c>
      <c r="AF393" s="4">
        <f t="shared" si="372"/>
        <v>0</v>
      </c>
      <c r="AG393" s="4">
        <f t="shared" si="372"/>
        <v>0</v>
      </c>
      <c r="AH393" s="4">
        <f t="shared" si="372"/>
        <v>0</v>
      </c>
      <c r="AI393" s="4">
        <f t="shared" si="372"/>
        <v>0</v>
      </c>
      <c r="AJ393" s="4">
        <f t="shared" si="372"/>
        <v>0</v>
      </c>
      <c r="AK393" s="4">
        <f t="shared" si="372"/>
        <v>0</v>
      </c>
      <c r="AL393" s="4">
        <f t="shared" si="372"/>
        <v>0</v>
      </c>
      <c r="AM393" s="4">
        <f t="shared" si="372"/>
        <v>0</v>
      </c>
      <c r="AN393" s="4">
        <f t="shared" si="372"/>
        <v>0</v>
      </c>
      <c r="AO393" s="4">
        <f t="shared" si="372"/>
        <v>0</v>
      </c>
      <c r="AP393" s="4">
        <f t="shared" si="372"/>
        <v>0</v>
      </c>
      <c r="AQ393" s="4">
        <f t="shared" si="372"/>
        <v>1</v>
      </c>
      <c r="AR393" s="4"/>
      <c r="AS393" s="4"/>
      <c r="AT393" s="4"/>
      <c r="AU393" s="4"/>
      <c r="AV393" s="4"/>
      <c r="AW393" s="4"/>
      <c r="AX393" s="4"/>
      <c r="AY393" s="3"/>
      <c r="BA393" s="3">
        <v>0</v>
      </c>
      <c r="BB393" s="3">
        <f t="shared" ref="BB393:BB401" si="377">K393-BA393</f>
        <v>0</v>
      </c>
      <c r="BC393" s="3">
        <v>0</v>
      </c>
      <c r="BD393" s="3">
        <f t="shared" si="373"/>
        <v>0</v>
      </c>
      <c r="BE393" s="3">
        <v>0</v>
      </c>
      <c r="BF393" s="3">
        <f t="shared" si="374"/>
        <v>0</v>
      </c>
      <c r="BG393" s="3">
        <v>0</v>
      </c>
      <c r="BH393" s="3"/>
      <c r="BI393" s="3"/>
      <c r="BJ393" s="3">
        <v>0</v>
      </c>
      <c r="BK393" s="3">
        <f t="shared" si="375"/>
        <v>0</v>
      </c>
      <c r="BL393" s="3">
        <v>0</v>
      </c>
      <c r="BM393" s="177">
        <f t="shared" si="376"/>
        <v>0</v>
      </c>
      <c r="BN393" s="3"/>
      <c r="BR393" s="3"/>
      <c r="BS393" s="3"/>
      <c r="BT393" s="3"/>
      <c r="BU393" s="3"/>
      <c r="BV393" s="3"/>
      <c r="BW393" s="3"/>
      <c r="BX393" s="3"/>
      <c r="BY393" s="3"/>
      <c r="BZ393" s="3"/>
      <c r="CA393" s="3"/>
      <c r="CB393" s="3"/>
      <c r="CC393" s="4"/>
      <c r="CD393" s="3"/>
      <c r="CE393" s="3"/>
      <c r="CF393" s="3"/>
      <c r="CG393" s="3"/>
      <c r="CH393" s="3"/>
      <c r="CI393" s="3"/>
      <c r="CJ393" s="3"/>
      <c r="CK393" s="3"/>
      <c r="CL393" s="3"/>
      <c r="CM393" s="3"/>
      <c r="CN393" s="3"/>
      <c r="CO393" s="3"/>
      <c r="CP393" s="3"/>
    </row>
    <row r="394" spans="1:94">
      <c r="A394" s="2" t="s">
        <v>48</v>
      </c>
      <c r="B394" s="3">
        <f t="shared" si="372"/>
        <v>0</v>
      </c>
      <c r="C394" s="3">
        <f t="shared" si="372"/>
        <v>0</v>
      </c>
      <c r="D394" s="3">
        <f t="shared" si="372"/>
        <v>0</v>
      </c>
      <c r="E394" s="3">
        <f t="shared" si="372"/>
        <v>0</v>
      </c>
      <c r="F394" s="3">
        <f t="shared" si="372"/>
        <v>0</v>
      </c>
      <c r="G394" s="3">
        <f t="shared" si="372"/>
        <v>0</v>
      </c>
      <c r="H394" s="3">
        <f t="shared" si="372"/>
        <v>0</v>
      </c>
      <c r="I394" s="3">
        <f t="shared" si="372"/>
        <v>0</v>
      </c>
      <c r="J394" s="3">
        <f t="shared" si="372"/>
        <v>0</v>
      </c>
      <c r="K394" s="3">
        <f>K410+K426</f>
        <v>0</v>
      </c>
      <c r="L394" s="3">
        <f t="shared" si="372"/>
        <v>0</v>
      </c>
      <c r="M394" s="3">
        <f t="shared" si="372"/>
        <v>0</v>
      </c>
      <c r="N394" s="3">
        <f t="shared" si="372"/>
        <v>0</v>
      </c>
      <c r="O394" s="3">
        <f t="shared" si="372"/>
        <v>0</v>
      </c>
      <c r="P394" s="3">
        <f t="shared" si="372"/>
        <v>0</v>
      </c>
      <c r="Q394" s="4">
        <f t="shared" si="372"/>
        <v>0</v>
      </c>
      <c r="R394" s="4">
        <f t="shared" si="372"/>
        <v>0</v>
      </c>
      <c r="S394" s="4">
        <f t="shared" si="372"/>
        <v>0</v>
      </c>
      <c r="T394" s="4">
        <f t="shared" si="372"/>
        <v>0</v>
      </c>
      <c r="U394" s="4">
        <f t="shared" si="372"/>
        <v>0</v>
      </c>
      <c r="V394" s="4">
        <f t="shared" si="372"/>
        <v>0</v>
      </c>
      <c r="W394" s="4">
        <f t="shared" si="372"/>
        <v>0</v>
      </c>
      <c r="X394" s="4">
        <f t="shared" si="372"/>
        <v>0</v>
      </c>
      <c r="Y394" s="4">
        <f t="shared" si="372"/>
        <v>0</v>
      </c>
      <c r="Z394" s="4">
        <f t="shared" si="372"/>
        <v>0</v>
      </c>
      <c r="AA394" s="4">
        <f t="shared" si="372"/>
        <v>0</v>
      </c>
      <c r="AB394" s="4">
        <f t="shared" si="372"/>
        <v>0</v>
      </c>
      <c r="AC394" s="4">
        <f t="shared" si="372"/>
        <v>0</v>
      </c>
      <c r="AD394" s="4">
        <f t="shared" si="372"/>
        <v>0</v>
      </c>
      <c r="AE394" s="4">
        <f t="shared" si="372"/>
        <v>0</v>
      </c>
      <c r="AF394" s="4">
        <f t="shared" si="372"/>
        <v>0</v>
      </c>
      <c r="AG394" s="4">
        <f t="shared" si="372"/>
        <v>0</v>
      </c>
      <c r="AH394" s="4">
        <f t="shared" si="372"/>
        <v>0</v>
      </c>
      <c r="AI394" s="4">
        <f t="shared" si="372"/>
        <v>0</v>
      </c>
      <c r="AJ394" s="4">
        <f t="shared" si="372"/>
        <v>0</v>
      </c>
      <c r="AK394" s="4">
        <f t="shared" si="372"/>
        <v>0</v>
      </c>
      <c r="AL394" s="4">
        <f t="shared" si="372"/>
        <v>0</v>
      </c>
      <c r="AM394" s="4">
        <f t="shared" si="372"/>
        <v>0</v>
      </c>
      <c r="AN394" s="4">
        <f t="shared" si="372"/>
        <v>0</v>
      </c>
      <c r="AO394" s="4">
        <f t="shared" si="372"/>
        <v>0</v>
      </c>
      <c r="AP394" s="4">
        <f t="shared" si="372"/>
        <v>0</v>
      </c>
      <c r="AQ394" s="4">
        <f t="shared" si="372"/>
        <v>1</v>
      </c>
      <c r="AR394" s="4"/>
      <c r="AS394" s="4"/>
      <c r="AT394" s="4"/>
      <c r="AU394" s="4"/>
      <c r="AV394" s="4"/>
      <c r="AW394" s="4"/>
      <c r="AX394" s="4"/>
      <c r="AY394" s="3"/>
      <c r="BA394" s="3">
        <v>0</v>
      </c>
      <c r="BB394" s="3">
        <f t="shared" si="377"/>
        <v>0</v>
      </c>
      <c r="BC394" s="3">
        <v>0</v>
      </c>
      <c r="BD394" s="3">
        <f t="shared" si="373"/>
        <v>0</v>
      </c>
      <c r="BE394" s="3">
        <v>0</v>
      </c>
      <c r="BF394" s="3">
        <f t="shared" si="374"/>
        <v>0</v>
      </c>
      <c r="BG394" s="3">
        <v>0</v>
      </c>
      <c r="BH394" s="3"/>
      <c r="BI394" s="3"/>
      <c r="BJ394" s="3">
        <v>0</v>
      </c>
      <c r="BK394" s="3">
        <f t="shared" si="375"/>
        <v>0</v>
      </c>
      <c r="BL394" s="3">
        <v>0</v>
      </c>
      <c r="BM394" s="177">
        <f t="shared" si="376"/>
        <v>0</v>
      </c>
      <c r="BN394" s="3"/>
      <c r="BR394" s="3"/>
      <c r="BS394" s="3"/>
      <c r="BT394" s="3"/>
      <c r="BU394" s="3"/>
      <c r="BV394" s="3"/>
      <c r="BW394" s="3"/>
      <c r="BX394" s="3"/>
      <c r="BY394" s="3"/>
      <c r="BZ394" s="3"/>
      <c r="CA394" s="3"/>
      <c r="CB394" s="3"/>
      <c r="CC394" s="4"/>
      <c r="CD394" s="3"/>
      <c r="CE394" s="3"/>
      <c r="CF394" s="3"/>
      <c r="CG394" s="3"/>
      <c r="CH394" s="3"/>
      <c r="CI394" s="3"/>
      <c r="CJ394" s="3"/>
      <c r="CK394" s="3"/>
      <c r="CL394" s="3"/>
      <c r="CM394" s="3"/>
      <c r="CN394" s="3"/>
      <c r="CO394" s="3"/>
      <c r="CP394" s="3"/>
    </row>
    <row r="395" spans="1:94">
      <c r="A395" s="2" t="s">
        <v>49</v>
      </c>
      <c r="B395" s="3">
        <f t="shared" si="372"/>
        <v>0</v>
      </c>
      <c r="C395" s="3">
        <f t="shared" si="372"/>
        <v>0</v>
      </c>
      <c r="D395" s="3">
        <f t="shared" si="372"/>
        <v>0</v>
      </c>
      <c r="E395" s="3">
        <f t="shared" si="372"/>
        <v>0</v>
      </c>
      <c r="F395" s="3">
        <f t="shared" si="372"/>
        <v>0</v>
      </c>
      <c r="G395" s="3">
        <f t="shared" ref="G395:J395" si="378">G411+G427</f>
        <v>0</v>
      </c>
      <c r="H395" s="3">
        <f t="shared" si="378"/>
        <v>0</v>
      </c>
      <c r="I395" s="3">
        <f t="shared" si="378"/>
        <v>0</v>
      </c>
      <c r="J395" s="3">
        <f t="shared" si="378"/>
        <v>0</v>
      </c>
      <c r="K395" s="3">
        <f>K411+K427</f>
        <v>0</v>
      </c>
      <c r="L395" s="3">
        <f t="shared" ref="L395:AQ400" si="379">L411+L427</f>
        <v>0</v>
      </c>
      <c r="M395" s="3">
        <f t="shared" si="379"/>
        <v>0</v>
      </c>
      <c r="N395" s="3">
        <f t="shared" si="379"/>
        <v>0</v>
      </c>
      <c r="O395" s="3">
        <f t="shared" si="379"/>
        <v>0</v>
      </c>
      <c r="P395" s="3">
        <f t="shared" si="379"/>
        <v>0</v>
      </c>
      <c r="Q395" s="4">
        <f t="shared" si="379"/>
        <v>0</v>
      </c>
      <c r="R395" s="4">
        <f t="shared" si="379"/>
        <v>0</v>
      </c>
      <c r="S395" s="4">
        <f t="shared" si="379"/>
        <v>0</v>
      </c>
      <c r="T395" s="4">
        <f t="shared" si="379"/>
        <v>0</v>
      </c>
      <c r="U395" s="4">
        <f t="shared" si="379"/>
        <v>0</v>
      </c>
      <c r="V395" s="4">
        <f t="shared" si="379"/>
        <v>0</v>
      </c>
      <c r="W395" s="4">
        <f t="shared" si="379"/>
        <v>0</v>
      </c>
      <c r="X395" s="4">
        <f t="shared" si="379"/>
        <v>0</v>
      </c>
      <c r="Y395" s="4">
        <f t="shared" si="379"/>
        <v>0</v>
      </c>
      <c r="Z395" s="4">
        <f t="shared" si="379"/>
        <v>0</v>
      </c>
      <c r="AA395" s="4">
        <f t="shared" si="379"/>
        <v>0</v>
      </c>
      <c r="AB395" s="4">
        <f t="shared" si="379"/>
        <v>0</v>
      </c>
      <c r="AC395" s="4">
        <f t="shared" si="379"/>
        <v>0</v>
      </c>
      <c r="AD395" s="4">
        <f t="shared" si="379"/>
        <v>0</v>
      </c>
      <c r="AE395" s="4">
        <f t="shared" si="379"/>
        <v>0</v>
      </c>
      <c r="AF395" s="4">
        <f t="shared" si="379"/>
        <v>0</v>
      </c>
      <c r="AG395" s="4">
        <f t="shared" si="379"/>
        <v>0</v>
      </c>
      <c r="AH395" s="4">
        <f t="shared" si="379"/>
        <v>0</v>
      </c>
      <c r="AI395" s="4">
        <f t="shared" si="379"/>
        <v>0</v>
      </c>
      <c r="AJ395" s="4">
        <f t="shared" si="379"/>
        <v>0</v>
      </c>
      <c r="AK395" s="4">
        <f t="shared" si="379"/>
        <v>0</v>
      </c>
      <c r="AL395" s="4">
        <f t="shared" si="379"/>
        <v>0</v>
      </c>
      <c r="AM395" s="4">
        <f t="shared" si="379"/>
        <v>0</v>
      </c>
      <c r="AN395" s="4">
        <f t="shared" si="379"/>
        <v>0</v>
      </c>
      <c r="AO395" s="4">
        <f t="shared" si="379"/>
        <v>0</v>
      </c>
      <c r="AP395" s="4">
        <f t="shared" si="379"/>
        <v>0</v>
      </c>
      <c r="AQ395" s="4">
        <f t="shared" si="379"/>
        <v>1</v>
      </c>
      <c r="AR395" s="4"/>
      <c r="AS395" s="4"/>
      <c r="AT395" s="4"/>
      <c r="AU395" s="4"/>
      <c r="AV395" s="4"/>
      <c r="AW395" s="4"/>
      <c r="AX395" s="4"/>
      <c r="AY395" s="3"/>
      <c r="BA395" s="3">
        <v>0</v>
      </c>
      <c r="BB395" s="3">
        <f t="shared" si="377"/>
        <v>0</v>
      </c>
      <c r="BC395" s="3">
        <v>0</v>
      </c>
      <c r="BD395" s="3">
        <f t="shared" si="373"/>
        <v>0</v>
      </c>
      <c r="BE395" s="3">
        <v>0</v>
      </c>
      <c r="BF395" s="3">
        <f t="shared" si="374"/>
        <v>0</v>
      </c>
      <c r="BG395" s="3">
        <v>0</v>
      </c>
      <c r="BH395" s="3"/>
      <c r="BI395" s="3"/>
      <c r="BJ395" s="3">
        <v>0</v>
      </c>
      <c r="BK395" s="3">
        <f t="shared" si="375"/>
        <v>0</v>
      </c>
      <c r="BL395" s="3">
        <v>0</v>
      </c>
      <c r="BM395" s="177">
        <f t="shared" si="376"/>
        <v>0</v>
      </c>
      <c r="BN395" s="3"/>
      <c r="BR395" s="3"/>
      <c r="BS395" s="3"/>
      <c r="BT395" s="3"/>
      <c r="BU395" s="3"/>
      <c r="BV395" s="3"/>
      <c r="BW395" s="3"/>
      <c r="BX395" s="3"/>
      <c r="BY395" s="3"/>
      <c r="BZ395" s="3"/>
      <c r="CA395" s="3"/>
      <c r="CB395" s="3"/>
      <c r="CC395" s="4"/>
      <c r="CD395" s="3"/>
      <c r="CE395" s="3"/>
      <c r="CF395" s="3"/>
      <c r="CG395" s="3"/>
      <c r="CH395" s="3"/>
      <c r="CI395" s="3"/>
      <c r="CJ395" s="3"/>
      <c r="CK395" s="3"/>
      <c r="CL395" s="3"/>
      <c r="CM395" s="3"/>
      <c r="CN395" s="3"/>
      <c r="CO395" s="3"/>
      <c r="CP395" s="3"/>
    </row>
    <row r="396" spans="1:94">
      <c r="A396" s="2" t="s">
        <v>50</v>
      </c>
      <c r="B396" s="3">
        <f t="shared" ref="B396:K400" si="380">B412+B428</f>
        <v>0</v>
      </c>
      <c r="C396" s="3">
        <f t="shared" si="380"/>
        <v>0</v>
      </c>
      <c r="D396" s="3">
        <f t="shared" si="380"/>
        <v>0</v>
      </c>
      <c r="E396" s="3">
        <f t="shared" si="380"/>
        <v>0</v>
      </c>
      <c r="F396" s="3">
        <f t="shared" si="380"/>
        <v>0</v>
      </c>
      <c r="G396" s="3">
        <f t="shared" si="380"/>
        <v>0</v>
      </c>
      <c r="H396" s="3">
        <f t="shared" si="380"/>
        <v>0</v>
      </c>
      <c r="I396" s="3">
        <f t="shared" si="380"/>
        <v>0</v>
      </c>
      <c r="J396" s="3">
        <f t="shared" si="380"/>
        <v>0</v>
      </c>
      <c r="K396" s="3">
        <f>K412+K428</f>
        <v>0</v>
      </c>
      <c r="L396" s="3">
        <f t="shared" si="379"/>
        <v>0</v>
      </c>
      <c r="M396" s="3">
        <f t="shared" si="379"/>
        <v>0</v>
      </c>
      <c r="N396" s="3">
        <f t="shared" si="379"/>
        <v>0</v>
      </c>
      <c r="O396" s="3">
        <f t="shared" si="379"/>
        <v>0</v>
      </c>
      <c r="P396" s="3">
        <f t="shared" si="379"/>
        <v>0</v>
      </c>
      <c r="Q396" s="4">
        <f t="shared" si="379"/>
        <v>0</v>
      </c>
      <c r="R396" s="4">
        <f t="shared" si="379"/>
        <v>0</v>
      </c>
      <c r="S396" s="4">
        <f t="shared" si="379"/>
        <v>0</v>
      </c>
      <c r="T396" s="4">
        <f t="shared" si="379"/>
        <v>0</v>
      </c>
      <c r="U396" s="4">
        <f t="shared" si="379"/>
        <v>0</v>
      </c>
      <c r="V396" s="4">
        <f t="shared" si="379"/>
        <v>0</v>
      </c>
      <c r="W396" s="4">
        <f t="shared" si="379"/>
        <v>0</v>
      </c>
      <c r="X396" s="4">
        <f t="shared" si="379"/>
        <v>0</v>
      </c>
      <c r="Y396" s="4">
        <f t="shared" si="379"/>
        <v>0</v>
      </c>
      <c r="Z396" s="4">
        <f t="shared" si="379"/>
        <v>0</v>
      </c>
      <c r="AA396" s="4">
        <f t="shared" si="379"/>
        <v>0</v>
      </c>
      <c r="AB396" s="4">
        <f t="shared" si="379"/>
        <v>0</v>
      </c>
      <c r="AC396" s="4">
        <f t="shared" si="379"/>
        <v>0</v>
      </c>
      <c r="AD396" s="4">
        <f t="shared" si="379"/>
        <v>0</v>
      </c>
      <c r="AE396" s="4">
        <f t="shared" si="379"/>
        <v>0</v>
      </c>
      <c r="AF396" s="4">
        <f t="shared" si="379"/>
        <v>0</v>
      </c>
      <c r="AG396" s="4">
        <f t="shared" si="379"/>
        <v>0</v>
      </c>
      <c r="AH396" s="4">
        <f t="shared" si="379"/>
        <v>0</v>
      </c>
      <c r="AI396" s="4">
        <f t="shared" si="379"/>
        <v>0</v>
      </c>
      <c r="AJ396" s="4">
        <f t="shared" si="379"/>
        <v>0</v>
      </c>
      <c r="AK396" s="4">
        <f t="shared" si="379"/>
        <v>0</v>
      </c>
      <c r="AL396" s="4">
        <f t="shared" si="379"/>
        <v>0</v>
      </c>
      <c r="AM396" s="4">
        <f t="shared" si="379"/>
        <v>0</v>
      </c>
      <c r="AN396" s="4">
        <f t="shared" si="379"/>
        <v>0</v>
      </c>
      <c r="AO396" s="4">
        <f t="shared" si="379"/>
        <v>0</v>
      </c>
      <c r="AP396" s="4">
        <f t="shared" si="379"/>
        <v>0</v>
      </c>
      <c r="AQ396" s="4">
        <f t="shared" si="379"/>
        <v>1</v>
      </c>
      <c r="AR396" s="4"/>
      <c r="AS396" s="4"/>
      <c r="AT396" s="4"/>
      <c r="AU396" s="4"/>
      <c r="AV396" s="4"/>
      <c r="AW396" s="4"/>
      <c r="AX396" s="4"/>
      <c r="AY396" s="3"/>
      <c r="BA396" s="3">
        <v>0</v>
      </c>
      <c r="BB396" s="3">
        <f t="shared" si="377"/>
        <v>0</v>
      </c>
      <c r="BC396" s="3">
        <v>0</v>
      </c>
      <c r="BD396" s="3">
        <f t="shared" si="373"/>
        <v>0</v>
      </c>
      <c r="BE396" s="3">
        <v>0</v>
      </c>
      <c r="BF396" s="3">
        <f t="shared" si="374"/>
        <v>0</v>
      </c>
      <c r="BG396" s="3">
        <v>0</v>
      </c>
      <c r="BH396" s="3"/>
      <c r="BI396" s="3"/>
      <c r="BJ396" s="3">
        <v>0</v>
      </c>
      <c r="BK396" s="3">
        <f t="shared" si="375"/>
        <v>0</v>
      </c>
      <c r="BL396" s="3">
        <v>0</v>
      </c>
      <c r="BM396" s="177">
        <f t="shared" si="376"/>
        <v>0</v>
      </c>
      <c r="BN396" s="3"/>
      <c r="BR396" s="3"/>
      <c r="BS396" s="3"/>
      <c r="BT396" s="3"/>
      <c r="BU396" s="3"/>
      <c r="BV396" s="3"/>
      <c r="BW396" s="3"/>
      <c r="BX396" s="3"/>
      <c r="BY396" s="3"/>
      <c r="BZ396" s="3"/>
      <c r="CA396" s="3"/>
      <c r="CB396" s="3"/>
      <c r="CC396" s="4"/>
      <c r="CD396" s="3"/>
      <c r="CE396" s="3"/>
      <c r="CF396" s="3"/>
      <c r="CG396" s="3"/>
      <c r="CH396" s="3"/>
      <c r="CI396" s="3"/>
      <c r="CJ396" s="3"/>
      <c r="CK396" s="3"/>
      <c r="CL396" s="3"/>
      <c r="CM396" s="3"/>
      <c r="CN396" s="3"/>
      <c r="CO396" s="3"/>
      <c r="CP396" s="3"/>
    </row>
    <row r="397" spans="1:94">
      <c r="A397" s="2" t="s">
        <v>51</v>
      </c>
      <c r="B397" s="3">
        <f t="shared" si="380"/>
        <v>0</v>
      </c>
      <c r="C397" s="3">
        <f t="shared" si="380"/>
        <v>0</v>
      </c>
      <c r="D397" s="3">
        <f t="shared" si="380"/>
        <v>0</v>
      </c>
      <c r="E397" s="3">
        <f t="shared" si="380"/>
        <v>0</v>
      </c>
      <c r="F397" s="3">
        <f t="shared" si="380"/>
        <v>0</v>
      </c>
      <c r="G397" s="3">
        <f t="shared" si="380"/>
        <v>0</v>
      </c>
      <c r="H397" s="3">
        <f t="shared" si="380"/>
        <v>0</v>
      </c>
      <c r="I397" s="3">
        <f t="shared" si="380"/>
        <v>0</v>
      </c>
      <c r="J397" s="3">
        <f t="shared" si="380"/>
        <v>0</v>
      </c>
      <c r="K397" s="3">
        <f t="shared" si="380"/>
        <v>0</v>
      </c>
      <c r="L397" s="3">
        <f t="shared" si="379"/>
        <v>0</v>
      </c>
      <c r="M397" s="3">
        <f t="shared" si="379"/>
        <v>0</v>
      </c>
      <c r="N397" s="3">
        <f t="shared" si="379"/>
        <v>0</v>
      </c>
      <c r="O397" s="3">
        <f t="shared" si="379"/>
        <v>0</v>
      </c>
      <c r="P397" s="3">
        <f t="shared" si="379"/>
        <v>0</v>
      </c>
      <c r="Q397" s="4">
        <f t="shared" si="379"/>
        <v>0</v>
      </c>
      <c r="R397" s="4">
        <f t="shared" si="379"/>
        <v>0</v>
      </c>
      <c r="S397" s="4">
        <f t="shared" si="379"/>
        <v>0</v>
      </c>
      <c r="T397" s="4">
        <f t="shared" si="379"/>
        <v>0</v>
      </c>
      <c r="U397" s="4">
        <f t="shared" si="379"/>
        <v>0</v>
      </c>
      <c r="V397" s="4">
        <f t="shared" si="379"/>
        <v>0</v>
      </c>
      <c r="W397" s="4">
        <f t="shared" si="379"/>
        <v>0</v>
      </c>
      <c r="X397" s="4">
        <f t="shared" si="379"/>
        <v>0</v>
      </c>
      <c r="Y397" s="4">
        <f t="shared" si="379"/>
        <v>0</v>
      </c>
      <c r="Z397" s="4">
        <f t="shared" si="379"/>
        <v>0</v>
      </c>
      <c r="AA397" s="4">
        <f t="shared" si="379"/>
        <v>0</v>
      </c>
      <c r="AB397" s="4">
        <f t="shared" si="379"/>
        <v>0</v>
      </c>
      <c r="AC397" s="4">
        <f t="shared" si="379"/>
        <v>0</v>
      </c>
      <c r="AD397" s="4">
        <f t="shared" si="379"/>
        <v>0</v>
      </c>
      <c r="AE397" s="4">
        <f t="shared" si="379"/>
        <v>0</v>
      </c>
      <c r="AF397" s="4">
        <f t="shared" si="379"/>
        <v>0</v>
      </c>
      <c r="AG397" s="4">
        <f t="shared" si="379"/>
        <v>0</v>
      </c>
      <c r="AH397" s="4">
        <f t="shared" si="379"/>
        <v>0</v>
      </c>
      <c r="AI397" s="4">
        <f t="shared" si="379"/>
        <v>0</v>
      </c>
      <c r="AJ397" s="4">
        <f t="shared" si="379"/>
        <v>0</v>
      </c>
      <c r="AK397" s="4">
        <f t="shared" si="379"/>
        <v>0</v>
      </c>
      <c r="AL397" s="4">
        <f t="shared" si="379"/>
        <v>0</v>
      </c>
      <c r="AM397" s="4">
        <f t="shared" si="379"/>
        <v>0</v>
      </c>
      <c r="AN397" s="4">
        <f t="shared" si="379"/>
        <v>0</v>
      </c>
      <c r="AO397" s="4">
        <f t="shared" si="379"/>
        <v>0</v>
      </c>
      <c r="AP397" s="4">
        <f t="shared" si="379"/>
        <v>0</v>
      </c>
      <c r="AQ397" s="4">
        <f t="shared" si="379"/>
        <v>1</v>
      </c>
      <c r="AR397" s="4"/>
      <c r="AS397" s="4"/>
      <c r="AT397" s="4"/>
      <c r="AU397" s="4"/>
      <c r="AV397" s="4"/>
      <c r="AW397" s="4"/>
      <c r="AX397" s="4"/>
      <c r="AY397" s="3"/>
      <c r="BA397" s="3">
        <v>0</v>
      </c>
      <c r="BB397" s="3">
        <f t="shared" si="377"/>
        <v>0</v>
      </c>
      <c r="BC397" s="3">
        <v>0</v>
      </c>
      <c r="BD397" s="3">
        <f t="shared" si="373"/>
        <v>0</v>
      </c>
      <c r="BE397" s="3">
        <v>0</v>
      </c>
      <c r="BF397" s="3">
        <f t="shared" si="374"/>
        <v>0</v>
      </c>
      <c r="BG397" s="3">
        <v>0</v>
      </c>
      <c r="BH397" s="3"/>
      <c r="BI397" s="3"/>
      <c r="BJ397" s="4">
        <v>0</v>
      </c>
      <c r="BK397" s="3">
        <f t="shared" si="375"/>
        <v>0</v>
      </c>
      <c r="BL397" s="3">
        <v>0</v>
      </c>
      <c r="BM397" s="177">
        <f t="shared" si="376"/>
        <v>0</v>
      </c>
      <c r="BN397" s="3"/>
      <c r="BR397" s="3"/>
      <c r="BS397" s="3"/>
      <c r="BT397" s="3"/>
      <c r="BU397" s="3"/>
      <c r="BV397" s="3"/>
      <c r="BW397" s="3"/>
      <c r="BX397" s="3"/>
      <c r="BY397" s="3"/>
      <c r="BZ397" s="3"/>
      <c r="CA397" s="3"/>
      <c r="CB397" s="3"/>
      <c r="CC397" s="4"/>
      <c r="CD397" s="3"/>
      <c r="CE397" s="3"/>
      <c r="CF397" s="3"/>
      <c r="CG397" s="3"/>
      <c r="CH397" s="3"/>
      <c r="CI397" s="3"/>
      <c r="CJ397" s="3"/>
      <c r="CK397" s="3"/>
      <c r="CL397" s="3"/>
      <c r="CM397" s="3"/>
      <c r="CN397" s="3"/>
      <c r="CO397" s="3"/>
      <c r="CP397" s="3"/>
    </row>
    <row r="398" spans="1:94">
      <c r="A398" s="2" t="s">
        <v>52</v>
      </c>
      <c r="B398" s="3">
        <f t="shared" si="380"/>
        <v>0</v>
      </c>
      <c r="C398" s="3">
        <f t="shared" si="380"/>
        <v>0</v>
      </c>
      <c r="D398" s="3">
        <f t="shared" si="380"/>
        <v>0</v>
      </c>
      <c r="E398" s="3">
        <f t="shared" si="380"/>
        <v>0</v>
      </c>
      <c r="F398" s="3">
        <f t="shared" si="380"/>
        <v>0</v>
      </c>
      <c r="G398" s="3">
        <f t="shared" si="380"/>
        <v>0</v>
      </c>
      <c r="H398" s="3">
        <f t="shared" si="380"/>
        <v>0</v>
      </c>
      <c r="I398" s="3">
        <f t="shared" si="380"/>
        <v>0</v>
      </c>
      <c r="J398" s="3">
        <f t="shared" si="380"/>
        <v>0</v>
      </c>
      <c r="K398" s="3">
        <f t="shared" si="380"/>
        <v>0</v>
      </c>
      <c r="L398" s="3">
        <f t="shared" si="379"/>
        <v>0</v>
      </c>
      <c r="M398" s="3">
        <f t="shared" si="379"/>
        <v>0</v>
      </c>
      <c r="N398" s="3">
        <f t="shared" si="379"/>
        <v>0</v>
      </c>
      <c r="O398" s="3">
        <f t="shared" si="379"/>
        <v>75400</v>
      </c>
      <c r="P398" s="3">
        <f t="shared" si="379"/>
        <v>0</v>
      </c>
      <c r="Q398" s="4">
        <f t="shared" si="379"/>
        <v>0</v>
      </c>
      <c r="R398" s="4">
        <f t="shared" si="379"/>
        <v>0</v>
      </c>
      <c r="S398" s="4">
        <f t="shared" si="379"/>
        <v>0</v>
      </c>
      <c r="T398" s="4">
        <f t="shared" si="379"/>
        <v>0</v>
      </c>
      <c r="U398" s="4">
        <f t="shared" si="379"/>
        <v>0</v>
      </c>
      <c r="V398" s="4">
        <f t="shared" si="379"/>
        <v>0</v>
      </c>
      <c r="W398" s="4">
        <f t="shared" si="379"/>
        <v>0</v>
      </c>
      <c r="X398" s="4">
        <f t="shared" si="379"/>
        <v>0</v>
      </c>
      <c r="Y398" s="4">
        <f t="shared" si="379"/>
        <v>0</v>
      </c>
      <c r="Z398" s="4">
        <f t="shared" si="379"/>
        <v>0</v>
      </c>
      <c r="AA398" s="4">
        <f t="shared" si="379"/>
        <v>0</v>
      </c>
      <c r="AB398" s="4">
        <f t="shared" si="379"/>
        <v>0</v>
      </c>
      <c r="AC398" s="4">
        <f t="shared" si="379"/>
        <v>0</v>
      </c>
      <c r="AD398" s="4">
        <f t="shared" si="379"/>
        <v>0</v>
      </c>
      <c r="AE398" s="4">
        <f t="shared" si="379"/>
        <v>0</v>
      </c>
      <c r="AF398" s="4">
        <f t="shared" si="379"/>
        <v>0</v>
      </c>
      <c r="AG398" s="4">
        <f t="shared" si="379"/>
        <v>0</v>
      </c>
      <c r="AH398" s="4">
        <f t="shared" si="379"/>
        <v>0</v>
      </c>
      <c r="AI398" s="4">
        <f t="shared" si="379"/>
        <v>0</v>
      </c>
      <c r="AJ398" s="4">
        <f t="shared" si="379"/>
        <v>0</v>
      </c>
      <c r="AK398" s="4">
        <f t="shared" si="379"/>
        <v>0</v>
      </c>
      <c r="AL398" s="4">
        <f t="shared" si="379"/>
        <v>0</v>
      </c>
      <c r="AM398" s="4">
        <f t="shared" si="379"/>
        <v>0</v>
      </c>
      <c r="AN398" s="4">
        <f t="shared" si="379"/>
        <v>0</v>
      </c>
      <c r="AO398" s="4">
        <f t="shared" si="379"/>
        <v>0</v>
      </c>
      <c r="AP398" s="4">
        <f t="shared" si="379"/>
        <v>0</v>
      </c>
      <c r="AQ398" s="4">
        <f t="shared" si="379"/>
        <v>1</v>
      </c>
      <c r="AR398" s="4"/>
      <c r="AS398" s="4"/>
      <c r="AT398" s="4"/>
      <c r="AU398" s="4"/>
      <c r="AV398" s="4"/>
      <c r="AW398" s="4"/>
      <c r="AX398" s="4"/>
      <c r="AY398" s="3"/>
      <c r="BA398" s="3">
        <v>0</v>
      </c>
      <c r="BB398" s="3">
        <f t="shared" si="377"/>
        <v>0</v>
      </c>
      <c r="BC398" s="3">
        <v>0</v>
      </c>
      <c r="BD398" s="3">
        <f t="shared" si="373"/>
        <v>0</v>
      </c>
      <c r="BE398" s="3">
        <v>0</v>
      </c>
      <c r="BF398" s="3">
        <f t="shared" si="374"/>
        <v>0</v>
      </c>
      <c r="BG398" s="3">
        <v>0</v>
      </c>
      <c r="BH398" s="3"/>
      <c r="BI398" s="3"/>
      <c r="BJ398" s="4">
        <v>0</v>
      </c>
      <c r="BK398" s="3">
        <f t="shared" si="375"/>
        <v>0</v>
      </c>
      <c r="BL398" s="3">
        <v>0</v>
      </c>
      <c r="BM398" s="177">
        <f t="shared" si="376"/>
        <v>0</v>
      </c>
      <c r="BN398" s="3"/>
      <c r="BR398" s="3"/>
      <c r="BS398" s="3"/>
      <c r="BT398" s="3"/>
      <c r="BU398" s="3"/>
      <c r="BV398" s="3"/>
      <c r="BW398" s="3"/>
      <c r="BX398" s="3"/>
      <c r="BY398" s="3"/>
      <c r="BZ398" s="3"/>
      <c r="CA398" s="3"/>
      <c r="CB398" s="3"/>
      <c r="CC398" s="4"/>
      <c r="CD398" s="3"/>
      <c r="CE398" s="3"/>
      <c r="CF398" s="3"/>
      <c r="CG398" s="3"/>
      <c r="CH398" s="3"/>
      <c r="CI398" s="3"/>
      <c r="CJ398" s="3"/>
      <c r="CK398" s="3"/>
      <c r="CL398" s="3"/>
      <c r="CM398" s="3"/>
      <c r="CN398" s="3"/>
      <c r="CO398" s="3"/>
      <c r="CP398" s="3"/>
    </row>
    <row r="399" spans="1:94">
      <c r="A399" s="2" t="s">
        <v>53</v>
      </c>
      <c r="B399" s="3">
        <f t="shared" si="380"/>
        <v>0</v>
      </c>
      <c r="C399" s="3">
        <f t="shared" si="380"/>
        <v>0</v>
      </c>
      <c r="D399" s="3">
        <f t="shared" si="380"/>
        <v>0</v>
      </c>
      <c r="E399" s="3">
        <f t="shared" si="380"/>
        <v>0</v>
      </c>
      <c r="F399" s="3">
        <f t="shared" si="380"/>
        <v>0</v>
      </c>
      <c r="G399" s="3">
        <f t="shared" si="380"/>
        <v>0</v>
      </c>
      <c r="H399" s="3">
        <f t="shared" si="380"/>
        <v>0</v>
      </c>
      <c r="I399" s="3">
        <f t="shared" si="380"/>
        <v>0</v>
      </c>
      <c r="J399" s="3">
        <f t="shared" si="380"/>
        <v>0</v>
      </c>
      <c r="K399" s="3">
        <f t="shared" si="380"/>
        <v>0</v>
      </c>
      <c r="L399" s="3">
        <f t="shared" si="379"/>
        <v>5865</v>
      </c>
      <c r="M399" s="3">
        <f t="shared" si="379"/>
        <v>0</v>
      </c>
      <c r="N399" s="3">
        <f t="shared" si="379"/>
        <v>25874</v>
      </c>
      <c r="O399" s="3">
        <f t="shared" si="379"/>
        <v>124339</v>
      </c>
      <c r="P399" s="3">
        <f t="shared" si="379"/>
        <v>0</v>
      </c>
      <c r="Q399" s="4">
        <f t="shared" si="379"/>
        <v>0</v>
      </c>
      <c r="R399" s="4">
        <f t="shared" si="379"/>
        <v>0</v>
      </c>
      <c r="S399" s="4">
        <f t="shared" si="379"/>
        <v>0</v>
      </c>
      <c r="T399" s="4">
        <f t="shared" si="379"/>
        <v>0</v>
      </c>
      <c r="U399" s="4">
        <f t="shared" si="379"/>
        <v>0</v>
      </c>
      <c r="V399" s="4">
        <f t="shared" si="379"/>
        <v>0</v>
      </c>
      <c r="W399" s="4">
        <f t="shared" si="379"/>
        <v>0</v>
      </c>
      <c r="X399" s="4">
        <f t="shared" si="379"/>
        <v>0</v>
      </c>
      <c r="Y399" s="4">
        <f t="shared" si="379"/>
        <v>0</v>
      </c>
      <c r="Z399" s="4">
        <f t="shared" si="379"/>
        <v>0</v>
      </c>
      <c r="AA399" s="4">
        <f t="shared" si="379"/>
        <v>0</v>
      </c>
      <c r="AB399" s="4">
        <f t="shared" si="379"/>
        <v>0</v>
      </c>
      <c r="AC399" s="4">
        <f t="shared" si="379"/>
        <v>0</v>
      </c>
      <c r="AD399" s="4">
        <f t="shared" si="379"/>
        <v>0</v>
      </c>
      <c r="AE399" s="4">
        <f t="shared" si="379"/>
        <v>0</v>
      </c>
      <c r="AF399" s="4">
        <f t="shared" si="379"/>
        <v>0</v>
      </c>
      <c r="AG399" s="4">
        <f t="shared" si="379"/>
        <v>0</v>
      </c>
      <c r="AH399" s="4">
        <f t="shared" si="379"/>
        <v>0</v>
      </c>
      <c r="AI399" s="4">
        <f t="shared" si="379"/>
        <v>0</v>
      </c>
      <c r="AJ399" s="4">
        <f t="shared" si="379"/>
        <v>0</v>
      </c>
      <c r="AK399" s="4">
        <f t="shared" si="379"/>
        <v>0</v>
      </c>
      <c r="AL399" s="4">
        <f t="shared" si="379"/>
        <v>0</v>
      </c>
      <c r="AM399" s="4">
        <f t="shared" si="379"/>
        <v>0</v>
      </c>
      <c r="AN399" s="4">
        <f t="shared" si="379"/>
        <v>0</v>
      </c>
      <c r="AO399" s="4">
        <f t="shared" si="379"/>
        <v>0</v>
      </c>
      <c r="AP399" s="4">
        <f t="shared" si="379"/>
        <v>0</v>
      </c>
      <c r="AQ399" s="4">
        <f t="shared" si="379"/>
        <v>1</v>
      </c>
      <c r="AR399" s="4"/>
      <c r="AS399" s="4"/>
      <c r="AT399" s="4"/>
      <c r="AU399" s="4"/>
      <c r="AV399" s="4"/>
      <c r="AW399" s="4"/>
      <c r="AX399" s="4"/>
      <c r="AY399" s="3"/>
      <c r="BA399" s="3">
        <v>0</v>
      </c>
      <c r="BB399" s="3">
        <f t="shared" si="377"/>
        <v>0</v>
      </c>
      <c r="BC399" s="3">
        <v>0</v>
      </c>
      <c r="BD399" s="3">
        <f t="shared" si="373"/>
        <v>5865</v>
      </c>
      <c r="BE399" s="3">
        <v>0</v>
      </c>
      <c r="BF399" s="3">
        <f t="shared" si="374"/>
        <v>0</v>
      </c>
      <c r="BG399" s="3">
        <v>0</v>
      </c>
      <c r="BH399" s="3"/>
      <c r="BI399" s="3"/>
      <c r="BJ399" s="4">
        <v>0</v>
      </c>
      <c r="BK399" s="3">
        <f t="shared" si="375"/>
        <v>0</v>
      </c>
      <c r="BL399" s="3">
        <v>0</v>
      </c>
      <c r="BM399" s="177">
        <f t="shared" si="376"/>
        <v>0</v>
      </c>
      <c r="BN399" s="3"/>
      <c r="BR399" s="3"/>
      <c r="BS399" s="3"/>
      <c r="BT399" s="3"/>
      <c r="BU399" s="3"/>
      <c r="BV399" s="3"/>
      <c r="BW399" s="3"/>
      <c r="BX399" s="3"/>
      <c r="BY399" s="3"/>
      <c r="BZ399" s="3"/>
      <c r="CA399" s="3"/>
      <c r="CB399" s="3"/>
      <c r="CC399" s="4"/>
      <c r="CD399" s="3"/>
      <c r="CE399" s="3"/>
      <c r="CF399" s="3"/>
      <c r="CG399" s="3"/>
      <c r="CH399" s="3"/>
      <c r="CI399" s="3"/>
      <c r="CJ399" s="3"/>
      <c r="CK399" s="3"/>
      <c r="CL399" s="3"/>
      <c r="CM399" s="3"/>
      <c r="CN399" s="3"/>
      <c r="CO399" s="3"/>
      <c r="CP399" s="3"/>
    </row>
    <row r="400" spans="1:94">
      <c r="A400" s="2" t="s">
        <v>54</v>
      </c>
      <c r="B400" s="3">
        <f t="shared" si="380"/>
        <v>0</v>
      </c>
      <c r="C400" s="3">
        <f t="shared" si="380"/>
        <v>0</v>
      </c>
      <c r="D400" s="3">
        <f t="shared" si="380"/>
        <v>0</v>
      </c>
      <c r="E400" s="3">
        <f t="shared" si="380"/>
        <v>0</v>
      </c>
      <c r="F400" s="3">
        <f t="shared" si="380"/>
        <v>0</v>
      </c>
      <c r="G400" s="3">
        <f t="shared" si="380"/>
        <v>0</v>
      </c>
      <c r="H400" s="3">
        <f t="shared" si="380"/>
        <v>0</v>
      </c>
      <c r="I400" s="3">
        <f t="shared" si="380"/>
        <v>0</v>
      </c>
      <c r="J400" s="3">
        <f t="shared" si="380"/>
        <v>0</v>
      </c>
      <c r="K400" s="3">
        <f t="shared" si="380"/>
        <v>0</v>
      </c>
      <c r="L400" s="3">
        <f t="shared" si="379"/>
        <v>0</v>
      </c>
      <c r="M400" s="3">
        <f t="shared" si="379"/>
        <v>395432</v>
      </c>
      <c r="N400" s="3">
        <f t="shared" si="379"/>
        <v>294289</v>
      </c>
      <c r="O400" s="3">
        <f t="shared" si="379"/>
        <v>345639</v>
      </c>
      <c r="P400" s="3">
        <f t="shared" si="379"/>
        <v>0</v>
      </c>
      <c r="Q400" s="4">
        <f t="shared" si="379"/>
        <v>0</v>
      </c>
      <c r="R400" s="4">
        <f t="shared" si="379"/>
        <v>0</v>
      </c>
      <c r="S400" s="4">
        <f t="shared" si="379"/>
        <v>0</v>
      </c>
      <c r="T400" s="4">
        <f t="shared" si="379"/>
        <v>0</v>
      </c>
      <c r="U400" s="4">
        <f t="shared" si="379"/>
        <v>0</v>
      </c>
      <c r="V400" s="4">
        <f t="shared" si="379"/>
        <v>0</v>
      </c>
      <c r="W400" s="4">
        <f t="shared" si="379"/>
        <v>0</v>
      </c>
      <c r="X400" s="4">
        <f t="shared" si="379"/>
        <v>0</v>
      </c>
      <c r="Y400" s="4">
        <f t="shared" si="379"/>
        <v>0</v>
      </c>
      <c r="Z400" s="4">
        <f t="shared" si="379"/>
        <v>0</v>
      </c>
      <c r="AA400" s="4">
        <f t="shared" si="379"/>
        <v>0</v>
      </c>
      <c r="AB400" s="4">
        <f t="shared" si="379"/>
        <v>0</v>
      </c>
      <c r="AC400" s="4">
        <f t="shared" si="379"/>
        <v>0</v>
      </c>
      <c r="AD400" s="4">
        <f t="shared" si="379"/>
        <v>0</v>
      </c>
      <c r="AE400" s="4">
        <f t="shared" si="379"/>
        <v>0</v>
      </c>
      <c r="AF400" s="4">
        <f t="shared" si="379"/>
        <v>0</v>
      </c>
      <c r="AG400" s="4">
        <f t="shared" si="379"/>
        <v>0</v>
      </c>
      <c r="AH400" s="4">
        <f t="shared" si="379"/>
        <v>0</v>
      </c>
      <c r="AI400" s="4">
        <f t="shared" si="379"/>
        <v>0</v>
      </c>
      <c r="AJ400" s="4">
        <f t="shared" si="379"/>
        <v>0</v>
      </c>
      <c r="AK400" s="4">
        <f t="shared" si="379"/>
        <v>0</v>
      </c>
      <c r="AL400" s="4">
        <f t="shared" si="379"/>
        <v>0</v>
      </c>
      <c r="AM400" s="4">
        <f t="shared" si="379"/>
        <v>0</v>
      </c>
      <c r="AN400" s="4">
        <f t="shared" si="379"/>
        <v>0</v>
      </c>
      <c r="AO400" s="4">
        <f t="shared" si="379"/>
        <v>0</v>
      </c>
      <c r="AP400" s="4">
        <f t="shared" si="379"/>
        <v>0</v>
      </c>
      <c r="AQ400" s="4">
        <f t="shared" si="379"/>
        <v>1</v>
      </c>
      <c r="AR400" s="4"/>
      <c r="AS400" s="4"/>
      <c r="AT400" s="4"/>
      <c r="AU400" s="4"/>
      <c r="AV400" s="4"/>
      <c r="AW400" s="4"/>
      <c r="AX400" s="4"/>
      <c r="AY400" s="3"/>
      <c r="BA400" s="3">
        <v>0</v>
      </c>
      <c r="BB400" s="3">
        <f t="shared" si="377"/>
        <v>0</v>
      </c>
      <c r="BC400" s="3">
        <v>0</v>
      </c>
      <c r="BD400" s="3">
        <f t="shared" si="373"/>
        <v>0</v>
      </c>
      <c r="BE400" s="3">
        <v>0</v>
      </c>
      <c r="BF400" s="3">
        <f t="shared" si="374"/>
        <v>395432</v>
      </c>
      <c r="BG400" s="3">
        <v>0</v>
      </c>
      <c r="BH400" s="3"/>
      <c r="BI400" s="3"/>
      <c r="BJ400" s="4">
        <v>0</v>
      </c>
      <c r="BK400" s="3">
        <f t="shared" si="375"/>
        <v>0</v>
      </c>
      <c r="BL400" s="3">
        <v>0</v>
      </c>
      <c r="BM400" s="177">
        <f t="shared" si="376"/>
        <v>0</v>
      </c>
      <c r="BN400" s="3"/>
      <c r="BR400" s="3"/>
      <c r="BS400" s="3"/>
      <c r="BT400" s="3"/>
      <c r="BU400" s="3"/>
      <c r="BV400" s="3"/>
      <c r="BW400" s="3"/>
      <c r="BX400" s="3"/>
      <c r="BY400" s="3"/>
      <c r="BZ400" s="3"/>
      <c r="CA400" s="3"/>
      <c r="CB400" s="3"/>
      <c r="CC400" s="4"/>
      <c r="CD400" s="3"/>
      <c r="CE400" s="3"/>
      <c r="CF400" s="3"/>
      <c r="CG400" s="3"/>
      <c r="CH400" s="3"/>
      <c r="CI400" s="3"/>
      <c r="CJ400" s="3"/>
      <c r="CK400" s="3"/>
      <c r="CL400" s="3"/>
      <c r="CM400" s="3"/>
      <c r="CN400" s="3"/>
      <c r="CO400" s="3"/>
      <c r="CP400" s="3"/>
    </row>
    <row r="401" spans="1:94" ht="13.5" thickBot="1">
      <c r="A401" s="2" t="s">
        <v>29</v>
      </c>
      <c r="B401" s="3">
        <f>SUM(B389:B400)</f>
        <v>0</v>
      </c>
      <c r="C401" s="3">
        <f t="shared" ref="C401:AQ401" si="381">SUM(C389:C400)</f>
        <v>0</v>
      </c>
      <c r="D401" s="3">
        <f t="shared" si="381"/>
        <v>0</v>
      </c>
      <c r="E401" s="3">
        <f t="shared" si="381"/>
        <v>0</v>
      </c>
      <c r="F401" s="3">
        <f t="shared" si="381"/>
        <v>0</v>
      </c>
      <c r="G401" s="3">
        <f t="shared" si="381"/>
        <v>0</v>
      </c>
      <c r="H401" s="3">
        <f t="shared" si="381"/>
        <v>0</v>
      </c>
      <c r="I401" s="3">
        <f t="shared" si="381"/>
        <v>0</v>
      </c>
      <c r="J401" s="3">
        <f t="shared" si="381"/>
        <v>0</v>
      </c>
      <c r="K401" s="3">
        <f t="shared" si="381"/>
        <v>4815</v>
      </c>
      <c r="L401" s="3">
        <f t="shared" si="381"/>
        <v>5865</v>
      </c>
      <c r="M401" s="3">
        <f t="shared" si="381"/>
        <v>395432</v>
      </c>
      <c r="N401" s="3">
        <f t="shared" si="381"/>
        <v>343875</v>
      </c>
      <c r="O401" s="3">
        <f t="shared" si="381"/>
        <v>755926</v>
      </c>
      <c r="P401" s="3">
        <f t="shared" si="381"/>
        <v>98746</v>
      </c>
      <c r="Q401" s="4">
        <f t="shared" si="381"/>
        <v>0</v>
      </c>
      <c r="R401" s="4">
        <f t="shared" si="381"/>
        <v>0</v>
      </c>
      <c r="S401" s="4">
        <f t="shared" si="381"/>
        <v>0</v>
      </c>
      <c r="T401" s="4">
        <f t="shared" si="381"/>
        <v>0</v>
      </c>
      <c r="U401" s="4">
        <f t="shared" si="381"/>
        <v>0</v>
      </c>
      <c r="V401" s="4">
        <f t="shared" si="381"/>
        <v>0</v>
      </c>
      <c r="W401" s="4">
        <f t="shared" si="381"/>
        <v>0</v>
      </c>
      <c r="X401" s="4">
        <f t="shared" si="381"/>
        <v>0</v>
      </c>
      <c r="Y401" s="4">
        <f t="shared" si="381"/>
        <v>0</v>
      </c>
      <c r="Z401" s="4">
        <f t="shared" si="381"/>
        <v>0</v>
      </c>
      <c r="AA401" s="4">
        <f t="shared" si="381"/>
        <v>0</v>
      </c>
      <c r="AB401" s="4">
        <f t="shared" si="381"/>
        <v>0</v>
      </c>
      <c r="AC401" s="4">
        <f t="shared" si="381"/>
        <v>0</v>
      </c>
      <c r="AD401" s="4">
        <f t="shared" si="381"/>
        <v>0</v>
      </c>
      <c r="AE401" s="4">
        <f t="shared" si="381"/>
        <v>0</v>
      </c>
      <c r="AF401" s="4">
        <f t="shared" si="381"/>
        <v>0</v>
      </c>
      <c r="AG401" s="4">
        <f t="shared" si="381"/>
        <v>0</v>
      </c>
      <c r="AH401" s="4">
        <f t="shared" si="381"/>
        <v>0</v>
      </c>
      <c r="AI401" s="4">
        <f t="shared" si="381"/>
        <v>0</v>
      </c>
      <c r="AJ401" s="4">
        <f t="shared" si="381"/>
        <v>0</v>
      </c>
      <c r="AK401" s="4">
        <f t="shared" si="381"/>
        <v>0</v>
      </c>
      <c r="AL401" s="4">
        <f t="shared" si="381"/>
        <v>0</v>
      </c>
      <c r="AM401" s="4">
        <f t="shared" si="381"/>
        <v>0</v>
      </c>
      <c r="AN401" s="4">
        <f t="shared" si="381"/>
        <v>0</v>
      </c>
      <c r="AO401" s="4">
        <f t="shared" si="381"/>
        <v>0</v>
      </c>
      <c r="AP401" s="4">
        <f t="shared" si="381"/>
        <v>0</v>
      </c>
      <c r="AQ401" s="4">
        <f t="shared" si="381"/>
        <v>12</v>
      </c>
      <c r="AR401" s="4"/>
      <c r="AS401" s="4"/>
      <c r="AT401" s="4"/>
      <c r="AU401" s="4"/>
      <c r="AV401" s="4"/>
      <c r="AW401" s="4"/>
      <c r="AX401" s="4"/>
      <c r="AY401" s="3"/>
      <c r="BA401" s="3">
        <v>4815</v>
      </c>
      <c r="BB401" s="3">
        <f t="shared" si="377"/>
        <v>0</v>
      </c>
      <c r="BC401" s="3">
        <v>0</v>
      </c>
      <c r="BD401" s="3">
        <f t="shared" si="373"/>
        <v>5865</v>
      </c>
      <c r="BE401" s="3">
        <v>0</v>
      </c>
      <c r="BF401" s="3">
        <f t="shared" si="374"/>
        <v>395432</v>
      </c>
      <c r="BG401" s="3">
        <v>49586</v>
      </c>
      <c r="BH401" s="3"/>
      <c r="BI401" s="3"/>
      <c r="BJ401" s="4">
        <v>98746</v>
      </c>
      <c r="BK401" s="3">
        <f t="shared" si="375"/>
        <v>0</v>
      </c>
      <c r="BL401" s="3">
        <v>0</v>
      </c>
      <c r="BM401" s="177">
        <f t="shared" si="376"/>
        <v>0</v>
      </c>
      <c r="BN401" s="3"/>
      <c r="BR401" s="3"/>
      <c r="BS401" s="3"/>
      <c r="BT401" s="3"/>
      <c r="BU401" s="3"/>
      <c r="BV401" s="3"/>
      <c r="BW401" s="3"/>
      <c r="BX401" s="3"/>
      <c r="BY401" s="3"/>
      <c r="BZ401" s="3"/>
      <c r="CA401" s="3"/>
      <c r="CB401" s="3"/>
      <c r="CC401" s="4"/>
      <c r="CD401" s="3"/>
      <c r="CE401" s="3"/>
      <c r="CF401" s="3"/>
      <c r="CG401" s="3"/>
      <c r="CH401" s="3"/>
      <c r="CI401" s="3"/>
      <c r="CJ401" s="3"/>
      <c r="CK401" s="3"/>
      <c r="CL401" s="3"/>
      <c r="CM401" s="3"/>
      <c r="CN401" s="3"/>
      <c r="CO401" s="3"/>
      <c r="CP401" s="3"/>
    </row>
    <row r="402" spans="1:94">
      <c r="A402" s="114"/>
      <c r="B402" s="114"/>
      <c r="C402" s="114"/>
      <c r="D402" s="114"/>
      <c r="E402" s="114"/>
      <c r="F402" s="114"/>
      <c r="G402" s="114"/>
      <c r="H402" s="114"/>
      <c r="I402" s="114"/>
      <c r="J402" s="114"/>
      <c r="K402" s="114"/>
      <c r="L402" s="114"/>
      <c r="M402" s="114"/>
      <c r="N402" s="114"/>
      <c r="O402" s="114"/>
      <c r="P402" s="114"/>
      <c r="Q402" s="114"/>
      <c r="R402" s="114"/>
      <c r="S402" s="114"/>
      <c r="T402" s="114"/>
      <c r="U402" s="114"/>
      <c r="V402" s="114"/>
      <c r="W402" s="114"/>
      <c r="X402" s="114"/>
      <c r="Y402" s="114"/>
      <c r="Z402" s="114"/>
      <c r="AA402" s="114"/>
      <c r="AB402" s="114"/>
      <c r="AC402" s="114"/>
      <c r="AD402" s="114"/>
      <c r="AE402" s="114"/>
      <c r="AF402" s="114"/>
      <c r="AG402" s="114"/>
      <c r="AH402" s="114"/>
      <c r="AI402" s="114"/>
      <c r="AJ402" s="114"/>
      <c r="AK402" s="114"/>
      <c r="AL402" s="114"/>
      <c r="AM402" s="114"/>
      <c r="AN402" s="114"/>
      <c r="AO402" s="114"/>
      <c r="AP402" s="114"/>
      <c r="AQ402" s="114"/>
      <c r="AX402" s="4"/>
      <c r="AY402" s="3"/>
      <c r="BE402" s="4"/>
    </row>
    <row r="403" spans="1:94" ht="16.5" thickBot="1">
      <c r="A403" s="109" t="s">
        <v>333</v>
      </c>
      <c r="AX403" s="4"/>
      <c r="AY403" s="3"/>
      <c r="BE403" s="4"/>
    </row>
    <row r="404" spans="1:94" ht="13.5" thickBot="1">
      <c r="A404" s="110"/>
      <c r="B404" s="111">
        <f t="shared" ref="B404:K404" si="382">B2</f>
        <v>2010</v>
      </c>
      <c r="C404" s="111">
        <f t="shared" si="382"/>
        <v>2011</v>
      </c>
      <c r="D404" s="111">
        <f t="shared" si="382"/>
        <v>2012</v>
      </c>
      <c r="E404" s="111">
        <f t="shared" si="382"/>
        <v>2013</v>
      </c>
      <c r="F404" s="111">
        <f t="shared" si="382"/>
        <v>2014</v>
      </c>
      <c r="G404" s="111">
        <f t="shared" si="382"/>
        <v>2015</v>
      </c>
      <c r="H404" s="111">
        <f t="shared" si="382"/>
        <v>2016</v>
      </c>
      <c r="I404" s="111">
        <f t="shared" si="382"/>
        <v>2017</v>
      </c>
      <c r="J404" s="111">
        <f t="shared" si="382"/>
        <v>2018</v>
      </c>
      <c r="K404" s="111">
        <f t="shared" si="382"/>
        <v>2019</v>
      </c>
      <c r="L404" s="111">
        <f>L2</f>
        <v>2020</v>
      </c>
      <c r="M404" s="111">
        <f>M2</f>
        <v>2021</v>
      </c>
      <c r="N404" s="111">
        <f t="shared" ref="N404:AQ404" si="383">N2</f>
        <v>2022</v>
      </c>
      <c r="O404" s="111">
        <f t="shared" si="383"/>
        <v>2023</v>
      </c>
      <c r="P404" s="111">
        <f t="shared" si="383"/>
        <v>2024</v>
      </c>
      <c r="Q404" s="111">
        <f t="shared" si="383"/>
        <v>2025</v>
      </c>
      <c r="R404" s="111">
        <f t="shared" si="383"/>
        <v>2026</v>
      </c>
      <c r="S404" s="111">
        <f t="shared" si="383"/>
        <v>2027</v>
      </c>
      <c r="T404" s="111">
        <f t="shared" si="383"/>
        <v>2028</v>
      </c>
      <c r="U404" s="111">
        <f t="shared" si="383"/>
        <v>2029</v>
      </c>
      <c r="V404" s="111">
        <f t="shared" si="383"/>
        <v>2030</v>
      </c>
      <c r="W404" s="111">
        <f t="shared" si="383"/>
        <v>2031</v>
      </c>
      <c r="X404" s="111">
        <f t="shared" si="383"/>
        <v>2032</v>
      </c>
      <c r="Y404" s="111">
        <f t="shared" si="383"/>
        <v>2033</v>
      </c>
      <c r="Z404" s="111">
        <f t="shared" si="383"/>
        <v>2034</v>
      </c>
      <c r="AA404" s="111">
        <f t="shared" si="383"/>
        <v>2035</v>
      </c>
      <c r="AB404" s="111">
        <f t="shared" si="383"/>
        <v>2036</v>
      </c>
      <c r="AC404" s="111">
        <f t="shared" si="383"/>
        <v>2037</v>
      </c>
      <c r="AD404" s="111">
        <f t="shared" si="383"/>
        <v>2038</v>
      </c>
      <c r="AE404" s="111">
        <f t="shared" si="383"/>
        <v>2039</v>
      </c>
      <c r="AF404" s="111">
        <f t="shared" si="383"/>
        <v>2040</v>
      </c>
      <c r="AG404" s="111">
        <f t="shared" si="383"/>
        <v>2041</v>
      </c>
      <c r="AH404" s="111">
        <f t="shared" si="383"/>
        <v>2042</v>
      </c>
      <c r="AI404" s="111">
        <f t="shared" si="383"/>
        <v>2043</v>
      </c>
      <c r="AJ404" s="111">
        <f t="shared" si="383"/>
        <v>2044</v>
      </c>
      <c r="AK404" s="111">
        <f t="shared" si="383"/>
        <v>2045</v>
      </c>
      <c r="AL404" s="111">
        <f t="shared" si="383"/>
        <v>2046</v>
      </c>
      <c r="AM404" s="111">
        <f t="shared" si="383"/>
        <v>2047</v>
      </c>
      <c r="AN404" s="111">
        <f t="shared" si="383"/>
        <v>2048</v>
      </c>
      <c r="AO404" s="111">
        <f t="shared" si="383"/>
        <v>2049</v>
      </c>
      <c r="AP404" s="111">
        <f t="shared" si="383"/>
        <v>2050</v>
      </c>
      <c r="AQ404" s="111">
        <f t="shared" si="383"/>
        <v>2051</v>
      </c>
      <c r="AR404" s="94"/>
      <c r="AS404" s="94"/>
      <c r="AT404" s="94"/>
      <c r="AU404" s="94"/>
      <c r="AV404" s="94"/>
      <c r="AW404" s="94"/>
      <c r="AX404" s="4"/>
      <c r="AY404" s="3"/>
      <c r="BE404" s="4"/>
    </row>
    <row r="405" spans="1:94">
      <c r="A405" s="2" t="s">
        <v>43</v>
      </c>
      <c r="B405" s="3">
        <f>'Monthly D4 Gallon Data'!$N2</f>
        <v>0</v>
      </c>
      <c r="C405" s="3">
        <f>'Monthly D4 Gallon Data'!$N14</f>
        <v>0</v>
      </c>
      <c r="D405" s="3">
        <f>'Monthly D4 Gallon Data'!$N26</f>
        <v>0</v>
      </c>
      <c r="E405" s="3">
        <f>'Monthly D4 Gallon Data'!$N38</f>
        <v>0</v>
      </c>
      <c r="F405" s="3">
        <f>'Monthly D4 Gallon Data'!$N50</f>
        <v>0</v>
      </c>
      <c r="G405" s="3">
        <f>'Monthly D4 Gallon Data'!$N62</f>
        <v>0</v>
      </c>
      <c r="H405" s="3">
        <f>'Monthly D4 Gallon Data'!$N74</f>
        <v>0</v>
      </c>
      <c r="I405" s="3">
        <f>'Monthly D4 Gallon Data'!$N86</f>
        <v>0</v>
      </c>
      <c r="J405" s="3">
        <f>'Monthly D4 Gallon Data'!$N98</f>
        <v>0</v>
      </c>
      <c r="K405" s="3">
        <f>'Monthly D4 Gallon Data'!$N110</f>
        <v>4815</v>
      </c>
      <c r="L405" s="3">
        <f>'Monthly D4 Gallon Data'!$N122</f>
        <v>0</v>
      </c>
      <c r="M405" s="3">
        <f>'Monthly D4 Gallon Data'!$N134</f>
        <v>0</v>
      </c>
      <c r="N405" s="3">
        <f>'Monthly D4 Gallon Data'!$N146</f>
        <v>23712</v>
      </c>
      <c r="O405" s="3">
        <f>'Monthly D4 Gallon Data'!$N158</f>
        <v>0</v>
      </c>
      <c r="P405" s="3">
        <f>'Monthly D4 Gallon Data'!$N170</f>
        <v>0</v>
      </c>
      <c r="Q405" s="3">
        <f>'Monthly D4 Gallon Data'!$N182</f>
        <v>0</v>
      </c>
      <c r="R405" s="4">
        <v>0</v>
      </c>
      <c r="S405" s="4">
        <v>0</v>
      </c>
      <c r="T405" s="4">
        <v>0</v>
      </c>
      <c r="U405" s="4">
        <v>0</v>
      </c>
      <c r="V405" s="4">
        <v>0</v>
      </c>
      <c r="W405" s="4">
        <v>0</v>
      </c>
      <c r="X405" s="4">
        <v>0</v>
      </c>
      <c r="Y405" s="4">
        <v>0</v>
      </c>
      <c r="Z405" s="4">
        <v>0</v>
      </c>
      <c r="AA405" s="4">
        <v>0</v>
      </c>
      <c r="AB405" s="4">
        <v>0</v>
      </c>
      <c r="AC405" s="4">
        <v>0</v>
      </c>
      <c r="AD405" s="4">
        <v>0</v>
      </c>
      <c r="AE405" s="4">
        <v>0</v>
      </c>
      <c r="AF405" s="4">
        <v>0</v>
      </c>
      <c r="AG405" s="4">
        <v>0</v>
      </c>
      <c r="AH405" s="4">
        <v>0</v>
      </c>
      <c r="AI405" s="4">
        <v>0</v>
      </c>
      <c r="AJ405" s="4">
        <v>0</v>
      </c>
      <c r="AK405" s="4">
        <v>0</v>
      </c>
      <c r="AL405" s="4">
        <v>0</v>
      </c>
      <c r="AM405" s="4">
        <v>0</v>
      </c>
      <c r="AN405" s="4">
        <v>0</v>
      </c>
      <c r="AO405" s="4">
        <v>0</v>
      </c>
      <c r="AP405" s="4">
        <v>0</v>
      </c>
      <c r="AQ405" s="4">
        <v>1</v>
      </c>
      <c r="AR405" s="4"/>
      <c r="AS405" s="4"/>
      <c r="AT405" s="4"/>
      <c r="AU405" s="4"/>
      <c r="AV405" s="4"/>
      <c r="AW405" s="4"/>
      <c r="AX405" s="4"/>
      <c r="AY405" s="3"/>
      <c r="BC405" s="3">
        <v>0</v>
      </c>
      <c r="BD405" s="3">
        <f t="shared" ref="BD405:BD417" si="384">L405-BC405</f>
        <v>0</v>
      </c>
      <c r="BE405" s="3">
        <v>0</v>
      </c>
      <c r="BF405" s="3">
        <f t="shared" ref="BF405:BF417" si="385">M405-BE405</f>
        <v>0</v>
      </c>
      <c r="BG405" s="3">
        <v>0</v>
      </c>
      <c r="BH405" s="3"/>
      <c r="BI405" s="3"/>
      <c r="BJ405" s="3">
        <v>0</v>
      </c>
      <c r="BK405" s="3">
        <f t="shared" ref="BK405:BK417" si="386">P405-BJ405</f>
        <v>0</v>
      </c>
      <c r="BL405" s="3">
        <v>0</v>
      </c>
      <c r="BM405" s="177">
        <f t="shared" ref="BM405:BM417" si="387">Q405-BL405</f>
        <v>0</v>
      </c>
      <c r="BN405" s="3"/>
      <c r="BR405" s="3"/>
      <c r="BS405" s="3"/>
      <c r="BT405" s="3"/>
      <c r="BU405" s="3"/>
      <c r="BV405" s="3"/>
      <c r="BW405" s="3"/>
      <c r="BX405" s="3"/>
      <c r="BY405" s="3"/>
      <c r="BZ405" s="3"/>
      <c r="CA405" s="3"/>
      <c r="CB405" s="3"/>
      <c r="CC405" s="4"/>
      <c r="CD405" s="3"/>
      <c r="CE405" s="3"/>
      <c r="CF405" s="3"/>
      <c r="CG405" s="3"/>
      <c r="CH405" s="3"/>
      <c r="CI405" s="3"/>
      <c r="CJ405" s="3"/>
      <c r="CK405" s="3"/>
      <c r="CL405" s="3"/>
      <c r="CM405" s="3"/>
      <c r="CN405" s="3"/>
      <c r="CO405" s="3"/>
      <c r="CP405" s="3"/>
    </row>
    <row r="406" spans="1:94">
      <c r="A406" s="2" t="s">
        <v>44</v>
      </c>
      <c r="B406" s="3">
        <f>'Monthly D4 Gallon Data'!N3</f>
        <v>0</v>
      </c>
      <c r="C406" s="3">
        <f>'Monthly D4 Gallon Data'!$N15</f>
        <v>0</v>
      </c>
      <c r="D406" s="3">
        <f>'Monthly D4 Gallon Data'!$N27</f>
        <v>0</v>
      </c>
      <c r="E406" s="3">
        <f>'Monthly D4 Gallon Data'!$N39</f>
        <v>0</v>
      </c>
      <c r="F406" s="3">
        <f>'Monthly D4 Gallon Data'!$N51</f>
        <v>0</v>
      </c>
      <c r="G406" s="3">
        <f>'Monthly D4 Gallon Data'!$N63</f>
        <v>0</v>
      </c>
      <c r="H406" s="3">
        <f>'Monthly D4 Gallon Data'!$N75</f>
        <v>0</v>
      </c>
      <c r="I406" s="3">
        <f>'Monthly D4 Gallon Data'!$N87</f>
        <v>0</v>
      </c>
      <c r="J406" s="3">
        <f>'Monthly D4 Gallon Data'!$N99</f>
        <v>0</v>
      </c>
      <c r="K406" s="3">
        <f>'Monthly D4 Gallon Data'!$N111</f>
        <v>0</v>
      </c>
      <c r="L406" s="3">
        <f>'Monthly D4 Gallon Data'!$N123</f>
        <v>0</v>
      </c>
      <c r="M406" s="3">
        <f>'Monthly D4 Gallon Data'!$N135</f>
        <v>0</v>
      </c>
      <c r="N406" s="3">
        <f>'Monthly D4 Gallon Data'!$N147</f>
        <v>0</v>
      </c>
      <c r="O406" s="3">
        <f>'Monthly D4 Gallon Data'!$N159</f>
        <v>0</v>
      </c>
      <c r="P406" s="3">
        <f>'Monthly D4 Gallon Data'!$N171</f>
        <v>98746</v>
      </c>
      <c r="Q406" s="3">
        <f>'Monthly D4 Gallon Data'!$N183</f>
        <v>0</v>
      </c>
      <c r="R406" s="4">
        <v>0</v>
      </c>
      <c r="S406" s="4">
        <v>0</v>
      </c>
      <c r="T406" s="4">
        <v>0</v>
      </c>
      <c r="U406" s="4">
        <v>0</v>
      </c>
      <c r="V406" s="4">
        <v>0</v>
      </c>
      <c r="W406" s="4">
        <v>0</v>
      </c>
      <c r="X406" s="4">
        <v>0</v>
      </c>
      <c r="Y406" s="4">
        <v>0</v>
      </c>
      <c r="Z406" s="4">
        <v>0</v>
      </c>
      <c r="AA406" s="4">
        <v>0</v>
      </c>
      <c r="AB406" s="4">
        <v>0</v>
      </c>
      <c r="AC406" s="4">
        <v>0</v>
      </c>
      <c r="AD406" s="4">
        <v>0</v>
      </c>
      <c r="AE406" s="4">
        <v>0</v>
      </c>
      <c r="AF406" s="4">
        <v>0</v>
      </c>
      <c r="AG406" s="4">
        <v>0</v>
      </c>
      <c r="AH406" s="4">
        <v>0</v>
      </c>
      <c r="AI406" s="4">
        <v>0</v>
      </c>
      <c r="AJ406" s="4">
        <v>0</v>
      </c>
      <c r="AK406" s="4">
        <v>0</v>
      </c>
      <c r="AL406" s="4">
        <v>0</v>
      </c>
      <c r="AM406" s="4">
        <v>0</v>
      </c>
      <c r="AN406" s="4">
        <v>0</v>
      </c>
      <c r="AO406" s="4">
        <v>0</v>
      </c>
      <c r="AP406" s="4">
        <v>0</v>
      </c>
      <c r="AQ406" s="4">
        <v>1</v>
      </c>
      <c r="AR406" s="4"/>
      <c r="AS406" s="4"/>
      <c r="AT406" s="4"/>
      <c r="AU406" s="4"/>
      <c r="AV406" s="4"/>
      <c r="AW406" s="4"/>
      <c r="AX406" s="4"/>
      <c r="AY406" s="3"/>
      <c r="BC406" s="3">
        <v>0</v>
      </c>
      <c r="BD406" s="3">
        <f t="shared" si="384"/>
        <v>0</v>
      </c>
      <c r="BE406" s="3">
        <v>0</v>
      </c>
      <c r="BF406" s="3">
        <f t="shared" si="385"/>
        <v>0</v>
      </c>
      <c r="BG406" s="3">
        <v>0</v>
      </c>
      <c r="BH406" s="3"/>
      <c r="BI406" s="3"/>
      <c r="BJ406" s="3">
        <v>98746</v>
      </c>
      <c r="BK406" s="3">
        <f t="shared" si="386"/>
        <v>0</v>
      </c>
      <c r="BL406" s="3">
        <v>0</v>
      </c>
      <c r="BM406" s="177">
        <f t="shared" si="387"/>
        <v>0</v>
      </c>
      <c r="BN406" s="3"/>
      <c r="BR406" s="3"/>
      <c r="BS406" s="3"/>
      <c r="BT406" s="3"/>
      <c r="BU406" s="3"/>
      <c r="BV406" s="3"/>
      <c r="BW406" s="3"/>
      <c r="BX406" s="3"/>
      <c r="BY406" s="3"/>
      <c r="BZ406" s="3"/>
      <c r="CA406" s="3"/>
      <c r="CB406" s="3"/>
      <c r="CC406" s="4"/>
      <c r="CD406" s="3"/>
      <c r="CE406" s="3"/>
      <c r="CF406" s="3"/>
      <c r="CG406" s="3"/>
      <c r="CH406" s="3"/>
      <c r="CI406" s="3"/>
      <c r="CJ406" s="3"/>
      <c r="CK406" s="3"/>
      <c r="CL406" s="3"/>
      <c r="CM406" s="3"/>
      <c r="CN406" s="3"/>
      <c r="CO406" s="3"/>
      <c r="CP406" s="3"/>
    </row>
    <row r="407" spans="1:94">
      <c r="A407" s="2" t="s">
        <v>45</v>
      </c>
      <c r="B407" s="3">
        <f>'Monthly D4 Gallon Data'!N4</f>
        <v>0</v>
      </c>
      <c r="C407" s="3">
        <f>'Monthly D4 Gallon Data'!$N16</f>
        <v>0</v>
      </c>
      <c r="D407" s="3">
        <f>'Monthly D4 Gallon Data'!$N28</f>
        <v>0</v>
      </c>
      <c r="E407" s="3">
        <f>'Monthly D4 Gallon Data'!$N40</f>
        <v>0</v>
      </c>
      <c r="F407" s="3">
        <f>'Monthly D4 Gallon Data'!$N52</f>
        <v>0</v>
      </c>
      <c r="G407" s="3">
        <f>'Monthly D4 Gallon Data'!$N64</f>
        <v>0</v>
      </c>
      <c r="H407" s="3">
        <f>'Monthly D4 Gallon Data'!$N76</f>
        <v>0</v>
      </c>
      <c r="I407" s="3">
        <f>'Monthly D4 Gallon Data'!$N88</f>
        <v>0</v>
      </c>
      <c r="J407" s="3">
        <f>'Monthly D4 Gallon Data'!$N100</f>
        <v>0</v>
      </c>
      <c r="K407" s="3">
        <f>'Monthly D4 Gallon Data'!$N112</f>
        <v>0</v>
      </c>
      <c r="L407" s="3">
        <f>'Monthly D4 Gallon Data'!$N124</f>
        <v>0</v>
      </c>
      <c r="M407" s="3">
        <f>'Monthly D4 Gallon Data'!$N136</f>
        <v>0</v>
      </c>
      <c r="N407" s="3">
        <f>'Monthly D4 Gallon Data'!$N148</f>
        <v>0</v>
      </c>
      <c r="O407" s="3">
        <f>'Monthly D4 Gallon Data'!$N160</f>
        <v>119100</v>
      </c>
      <c r="P407" s="3">
        <f>'Monthly D4 Gallon Data'!$N172</f>
        <v>0</v>
      </c>
      <c r="Q407" s="3">
        <f>'Monthly D4 Gallon Data'!$N184</f>
        <v>0</v>
      </c>
      <c r="R407" s="4">
        <v>0</v>
      </c>
      <c r="S407" s="4">
        <v>0</v>
      </c>
      <c r="T407" s="4">
        <v>0</v>
      </c>
      <c r="U407" s="4">
        <v>0</v>
      </c>
      <c r="V407" s="4">
        <v>0</v>
      </c>
      <c r="W407" s="4">
        <v>0</v>
      </c>
      <c r="X407" s="4">
        <v>0</v>
      </c>
      <c r="Y407" s="4">
        <v>0</v>
      </c>
      <c r="Z407" s="4">
        <v>0</v>
      </c>
      <c r="AA407" s="4">
        <v>0</v>
      </c>
      <c r="AB407" s="4">
        <v>0</v>
      </c>
      <c r="AC407" s="4">
        <v>0</v>
      </c>
      <c r="AD407" s="4">
        <v>0</v>
      </c>
      <c r="AE407" s="4">
        <v>0</v>
      </c>
      <c r="AF407" s="4">
        <v>0</v>
      </c>
      <c r="AG407" s="4">
        <v>0</v>
      </c>
      <c r="AH407" s="4">
        <v>0</v>
      </c>
      <c r="AI407" s="4">
        <v>0</v>
      </c>
      <c r="AJ407" s="4">
        <v>0</v>
      </c>
      <c r="AK407" s="4">
        <v>0</v>
      </c>
      <c r="AL407" s="4">
        <v>0</v>
      </c>
      <c r="AM407" s="4">
        <v>0</v>
      </c>
      <c r="AN407" s="4">
        <v>0</v>
      </c>
      <c r="AO407" s="4">
        <v>0</v>
      </c>
      <c r="AP407" s="4">
        <v>0</v>
      </c>
      <c r="AQ407" s="4">
        <v>1</v>
      </c>
      <c r="AR407" s="4"/>
      <c r="AS407" s="4"/>
      <c r="AT407" s="4"/>
      <c r="AU407" s="4"/>
      <c r="AV407" s="4"/>
      <c r="AW407" s="4"/>
      <c r="AX407" s="4"/>
      <c r="AY407" s="3"/>
      <c r="BC407" s="3">
        <v>0</v>
      </c>
      <c r="BD407" s="3">
        <f t="shared" si="384"/>
        <v>0</v>
      </c>
      <c r="BE407" s="3">
        <v>0</v>
      </c>
      <c r="BF407" s="3">
        <f t="shared" si="385"/>
        <v>0</v>
      </c>
      <c r="BG407" s="3">
        <v>0</v>
      </c>
      <c r="BH407" s="3"/>
      <c r="BI407" s="3"/>
      <c r="BJ407" s="3">
        <v>0</v>
      </c>
      <c r="BK407" s="3">
        <f t="shared" si="386"/>
        <v>0</v>
      </c>
      <c r="BL407" s="3">
        <v>0</v>
      </c>
      <c r="BM407" s="177">
        <f t="shared" si="387"/>
        <v>0</v>
      </c>
      <c r="BN407" s="3"/>
      <c r="BR407" s="3"/>
      <c r="BS407" s="3"/>
      <c r="BT407" s="3"/>
      <c r="BU407" s="3"/>
      <c r="BV407" s="3"/>
      <c r="BW407" s="3"/>
      <c r="BX407" s="3"/>
      <c r="BY407" s="3"/>
      <c r="BZ407" s="3"/>
      <c r="CA407" s="3"/>
      <c r="CB407" s="3"/>
      <c r="CC407" s="4"/>
      <c r="CD407" s="3"/>
      <c r="CE407" s="3"/>
      <c r="CF407" s="3"/>
      <c r="CG407" s="3"/>
      <c r="CH407" s="3"/>
      <c r="CI407" s="3"/>
      <c r="CJ407" s="3"/>
      <c r="CK407" s="3"/>
      <c r="CL407" s="3"/>
      <c r="CM407" s="3"/>
      <c r="CN407" s="3"/>
      <c r="CO407" s="3"/>
      <c r="CP407" s="3"/>
    </row>
    <row r="408" spans="1:94">
      <c r="A408" s="2" t="s">
        <v>46</v>
      </c>
      <c r="B408" s="3">
        <f>'Monthly D4 Gallon Data'!N5</f>
        <v>0</v>
      </c>
      <c r="C408" s="3">
        <f>'Monthly D4 Gallon Data'!$N17</f>
        <v>0</v>
      </c>
      <c r="D408" s="3">
        <f>'Monthly D4 Gallon Data'!$N29</f>
        <v>0</v>
      </c>
      <c r="E408" s="3">
        <f>'Monthly D4 Gallon Data'!$N41</f>
        <v>0</v>
      </c>
      <c r="F408" s="3">
        <f>'Monthly D4 Gallon Data'!$N53</f>
        <v>0</v>
      </c>
      <c r="G408" s="3">
        <f>'Monthly D4 Gallon Data'!$N65</f>
        <v>0</v>
      </c>
      <c r="H408" s="3">
        <f>'Monthly D4 Gallon Data'!$N77</f>
        <v>0</v>
      </c>
      <c r="I408" s="3">
        <f>'Monthly D4 Gallon Data'!$N89</f>
        <v>0</v>
      </c>
      <c r="J408" s="3">
        <f>'Monthly D4 Gallon Data'!$N101</f>
        <v>0</v>
      </c>
      <c r="K408" s="3">
        <f>'Monthly D4 Gallon Data'!$N113</f>
        <v>0</v>
      </c>
      <c r="L408" s="3">
        <f>'Monthly D4 Gallon Data'!$N125</f>
        <v>0</v>
      </c>
      <c r="M408" s="3">
        <f>'Monthly D4 Gallon Data'!$N137</f>
        <v>0</v>
      </c>
      <c r="N408" s="3">
        <f>'Monthly D4 Gallon Data'!$N149</f>
        <v>0</v>
      </c>
      <c r="O408" s="3">
        <f>'Monthly D4 Gallon Data'!$N161</f>
        <v>91448</v>
      </c>
      <c r="P408" s="3">
        <f>'Monthly D4 Gallon Data'!$N173</f>
        <v>0</v>
      </c>
      <c r="Q408" s="4">
        <v>0</v>
      </c>
      <c r="R408" s="4">
        <v>0</v>
      </c>
      <c r="S408" s="4">
        <v>0</v>
      </c>
      <c r="T408" s="4">
        <v>0</v>
      </c>
      <c r="U408" s="4">
        <v>0</v>
      </c>
      <c r="V408" s="4">
        <v>0</v>
      </c>
      <c r="W408" s="4">
        <v>0</v>
      </c>
      <c r="X408" s="4">
        <v>0</v>
      </c>
      <c r="Y408" s="4">
        <v>0</v>
      </c>
      <c r="Z408" s="4">
        <v>0</v>
      </c>
      <c r="AA408" s="4">
        <v>0</v>
      </c>
      <c r="AB408" s="4">
        <v>0</v>
      </c>
      <c r="AC408" s="4">
        <v>0</v>
      </c>
      <c r="AD408" s="4">
        <v>0</v>
      </c>
      <c r="AE408" s="4">
        <v>0</v>
      </c>
      <c r="AF408" s="4">
        <v>0</v>
      </c>
      <c r="AG408" s="4">
        <v>0</v>
      </c>
      <c r="AH408" s="4">
        <v>0</v>
      </c>
      <c r="AI408" s="4">
        <v>0</v>
      </c>
      <c r="AJ408" s="4">
        <v>0</v>
      </c>
      <c r="AK408" s="4">
        <v>0</v>
      </c>
      <c r="AL408" s="4">
        <v>0</v>
      </c>
      <c r="AM408" s="4">
        <v>0</v>
      </c>
      <c r="AN408" s="4">
        <v>0</v>
      </c>
      <c r="AO408" s="4">
        <v>0</v>
      </c>
      <c r="AP408" s="4">
        <v>0</v>
      </c>
      <c r="AQ408" s="4">
        <v>1</v>
      </c>
      <c r="AR408" s="4"/>
      <c r="AS408" s="4"/>
      <c r="AT408" s="4"/>
      <c r="AU408" s="4"/>
      <c r="AV408" s="4"/>
      <c r="AW408" s="4"/>
      <c r="AX408" s="4"/>
      <c r="AY408" s="3"/>
      <c r="BC408" s="3">
        <v>0</v>
      </c>
      <c r="BD408" s="3">
        <f t="shared" si="384"/>
        <v>0</v>
      </c>
      <c r="BE408" s="3">
        <v>0</v>
      </c>
      <c r="BF408" s="3">
        <f t="shared" si="385"/>
        <v>0</v>
      </c>
      <c r="BG408" s="3">
        <v>0</v>
      </c>
      <c r="BH408" s="3"/>
      <c r="BI408" s="3"/>
      <c r="BJ408" s="4">
        <v>0</v>
      </c>
      <c r="BK408" s="3">
        <f t="shared" si="386"/>
        <v>0</v>
      </c>
      <c r="BL408" s="3">
        <v>0</v>
      </c>
      <c r="BM408" s="177">
        <f t="shared" si="387"/>
        <v>0</v>
      </c>
      <c r="BN408" s="3"/>
      <c r="BR408" s="3"/>
      <c r="BS408" s="3"/>
      <c r="BT408" s="3"/>
      <c r="BU408" s="3"/>
      <c r="BV408" s="3"/>
      <c r="BW408" s="3"/>
      <c r="BX408" s="3"/>
      <c r="BY408" s="3"/>
      <c r="BZ408" s="3"/>
      <c r="CA408" s="3"/>
      <c r="CB408" s="3"/>
      <c r="CC408" s="4"/>
      <c r="CD408" s="3"/>
      <c r="CE408" s="3"/>
      <c r="CF408" s="3"/>
      <c r="CG408" s="3"/>
      <c r="CH408" s="3"/>
      <c r="CI408" s="3"/>
      <c r="CJ408" s="3"/>
      <c r="CK408" s="3"/>
      <c r="CL408" s="3"/>
      <c r="CM408" s="3"/>
      <c r="CN408" s="3"/>
      <c r="CO408" s="3"/>
      <c r="CP408" s="3"/>
    </row>
    <row r="409" spans="1:94">
      <c r="A409" s="2" t="s">
        <v>47</v>
      </c>
      <c r="B409" s="3">
        <f>'Monthly D4 Gallon Data'!N6</f>
        <v>0</v>
      </c>
      <c r="C409" s="3">
        <f>'Monthly D4 Gallon Data'!$N18</f>
        <v>0</v>
      </c>
      <c r="D409" s="3">
        <f>'Monthly D4 Gallon Data'!$N30</f>
        <v>0</v>
      </c>
      <c r="E409" s="3">
        <f>'Monthly D4 Gallon Data'!$N42</f>
        <v>0</v>
      </c>
      <c r="F409" s="3">
        <f>'Monthly D4 Gallon Data'!$N54</f>
        <v>0</v>
      </c>
      <c r="G409" s="3">
        <f>'Monthly D4 Gallon Data'!$N66</f>
        <v>0</v>
      </c>
      <c r="H409" s="3">
        <f>'Monthly D4 Gallon Data'!$N78</f>
        <v>0</v>
      </c>
      <c r="I409" s="3">
        <f>'Monthly D4 Gallon Data'!$N90</f>
        <v>0</v>
      </c>
      <c r="J409" s="3">
        <f>'Monthly D4 Gallon Data'!$N102</f>
        <v>0</v>
      </c>
      <c r="K409" s="3">
        <f>'Monthly D4 Gallon Data'!$N114</f>
        <v>0</v>
      </c>
      <c r="L409" s="3">
        <f>'Monthly D4 Gallon Data'!$N126</f>
        <v>0</v>
      </c>
      <c r="M409" s="3">
        <f>'Monthly D4 Gallon Data'!$N138</f>
        <v>0</v>
      </c>
      <c r="N409" s="3">
        <f>'Monthly D4 Gallon Data'!$N150</f>
        <v>0</v>
      </c>
      <c r="O409" s="3">
        <f>'Monthly D4 Gallon Data'!$N162</f>
        <v>0</v>
      </c>
      <c r="P409" s="3">
        <f>'Monthly D4 Gallon Data'!$N174</f>
        <v>0</v>
      </c>
      <c r="Q409" s="4">
        <v>0</v>
      </c>
      <c r="R409" s="4">
        <v>0</v>
      </c>
      <c r="S409" s="4">
        <v>0</v>
      </c>
      <c r="T409" s="4">
        <v>0</v>
      </c>
      <c r="U409" s="4">
        <v>0</v>
      </c>
      <c r="V409" s="4">
        <v>0</v>
      </c>
      <c r="W409" s="4">
        <v>0</v>
      </c>
      <c r="X409" s="4">
        <v>0</v>
      </c>
      <c r="Y409" s="4">
        <v>0</v>
      </c>
      <c r="Z409" s="4">
        <v>0</v>
      </c>
      <c r="AA409" s="4">
        <v>0</v>
      </c>
      <c r="AB409" s="4">
        <v>0</v>
      </c>
      <c r="AC409" s="4">
        <v>0</v>
      </c>
      <c r="AD409" s="4">
        <v>0</v>
      </c>
      <c r="AE409" s="4">
        <v>0</v>
      </c>
      <c r="AF409" s="4">
        <v>0</v>
      </c>
      <c r="AG409" s="4">
        <v>0</v>
      </c>
      <c r="AH409" s="4">
        <v>0</v>
      </c>
      <c r="AI409" s="4">
        <v>0</v>
      </c>
      <c r="AJ409" s="4">
        <v>0</v>
      </c>
      <c r="AK409" s="4">
        <v>0</v>
      </c>
      <c r="AL409" s="4">
        <v>0</v>
      </c>
      <c r="AM409" s="4">
        <v>0</v>
      </c>
      <c r="AN409" s="4">
        <v>0</v>
      </c>
      <c r="AO409" s="4">
        <v>0</v>
      </c>
      <c r="AP409" s="4">
        <v>0</v>
      </c>
      <c r="AQ409" s="4">
        <v>1</v>
      </c>
      <c r="AR409" s="4"/>
      <c r="AS409" s="4"/>
      <c r="AT409" s="4"/>
      <c r="AU409" s="4"/>
      <c r="AV409" s="4"/>
      <c r="AW409" s="4"/>
      <c r="AX409" s="4"/>
      <c r="AY409" s="3"/>
      <c r="BA409" s="3">
        <v>0</v>
      </c>
      <c r="BB409" s="3">
        <f t="shared" ref="BB409:BB417" si="388">K409-BA409</f>
        <v>0</v>
      </c>
      <c r="BC409" s="3">
        <v>0</v>
      </c>
      <c r="BD409" s="3">
        <f t="shared" si="384"/>
        <v>0</v>
      </c>
      <c r="BE409" s="3">
        <v>0</v>
      </c>
      <c r="BF409" s="3">
        <f t="shared" si="385"/>
        <v>0</v>
      </c>
      <c r="BG409" s="3">
        <v>0</v>
      </c>
      <c r="BH409" s="3"/>
      <c r="BI409" s="3"/>
      <c r="BJ409" s="4">
        <v>0</v>
      </c>
      <c r="BK409" s="3">
        <f t="shared" si="386"/>
        <v>0</v>
      </c>
      <c r="BL409" s="3">
        <v>0</v>
      </c>
      <c r="BM409" s="177">
        <f t="shared" si="387"/>
        <v>0</v>
      </c>
      <c r="BN409" s="3"/>
      <c r="BR409" s="3"/>
      <c r="BS409" s="3"/>
      <c r="BT409" s="3"/>
      <c r="BU409" s="3"/>
      <c r="BV409" s="3"/>
      <c r="BW409" s="3"/>
      <c r="BX409" s="3"/>
      <c r="BY409" s="3"/>
      <c r="BZ409" s="3"/>
      <c r="CA409" s="3"/>
      <c r="CB409" s="3"/>
      <c r="CC409" s="4"/>
      <c r="CD409" s="3"/>
      <c r="CE409" s="3"/>
      <c r="CF409" s="3"/>
      <c r="CG409" s="3"/>
      <c r="CH409" s="3"/>
      <c r="CI409" s="3"/>
      <c r="CJ409" s="3"/>
      <c r="CK409" s="3"/>
      <c r="CL409" s="3"/>
      <c r="CM409" s="3"/>
      <c r="CN409" s="3"/>
      <c r="CO409" s="3"/>
      <c r="CP409" s="3"/>
    </row>
    <row r="410" spans="1:94">
      <c r="A410" s="2" t="s">
        <v>48</v>
      </c>
      <c r="B410" s="3">
        <f>'Monthly D4 Gallon Data'!N7</f>
        <v>0</v>
      </c>
      <c r="C410" s="3">
        <f>'Monthly D4 Gallon Data'!$N19</f>
        <v>0</v>
      </c>
      <c r="D410" s="3">
        <f>'Monthly D4 Gallon Data'!$N31</f>
        <v>0</v>
      </c>
      <c r="E410" s="3">
        <f>'Monthly D4 Gallon Data'!$N43</f>
        <v>0</v>
      </c>
      <c r="F410" s="3">
        <f>'Monthly D4 Gallon Data'!$N55</f>
        <v>0</v>
      </c>
      <c r="G410" s="3">
        <f>'Monthly D4 Gallon Data'!$N67</f>
        <v>0</v>
      </c>
      <c r="H410" s="3">
        <f>'Monthly D4 Gallon Data'!$N79</f>
        <v>0</v>
      </c>
      <c r="I410" s="3">
        <f>'Monthly D4 Gallon Data'!$N91</f>
        <v>0</v>
      </c>
      <c r="J410" s="3">
        <f>'Monthly D4 Gallon Data'!$N103</f>
        <v>0</v>
      </c>
      <c r="K410" s="3">
        <f>'Monthly D4 Gallon Data'!$N115</f>
        <v>0</v>
      </c>
      <c r="L410" s="3">
        <f>'Monthly D4 Gallon Data'!$N127</f>
        <v>0</v>
      </c>
      <c r="M410" s="3">
        <f>'Monthly D4 Gallon Data'!$N139</f>
        <v>0</v>
      </c>
      <c r="N410" s="3">
        <f>'Monthly D4 Gallon Data'!$N151</f>
        <v>0</v>
      </c>
      <c r="O410" s="3">
        <f>'Monthly D4 Gallon Data'!$N163</f>
        <v>0</v>
      </c>
      <c r="P410" s="3">
        <f>'Monthly D4 Gallon Data'!$N175</f>
        <v>0</v>
      </c>
      <c r="Q410" s="4">
        <v>0</v>
      </c>
      <c r="R410" s="4">
        <v>0</v>
      </c>
      <c r="S410" s="4">
        <v>0</v>
      </c>
      <c r="T410" s="4">
        <v>0</v>
      </c>
      <c r="U410" s="4">
        <v>0</v>
      </c>
      <c r="V410" s="4">
        <v>0</v>
      </c>
      <c r="W410" s="4">
        <v>0</v>
      </c>
      <c r="X410" s="4">
        <v>0</v>
      </c>
      <c r="Y410" s="4">
        <v>0</v>
      </c>
      <c r="Z410" s="4">
        <v>0</v>
      </c>
      <c r="AA410" s="4">
        <v>0</v>
      </c>
      <c r="AB410" s="4">
        <v>0</v>
      </c>
      <c r="AC410" s="4">
        <v>0</v>
      </c>
      <c r="AD410" s="4">
        <v>0</v>
      </c>
      <c r="AE410" s="4">
        <v>0</v>
      </c>
      <c r="AF410" s="4">
        <v>0</v>
      </c>
      <c r="AG410" s="4">
        <v>0</v>
      </c>
      <c r="AH410" s="4">
        <v>0</v>
      </c>
      <c r="AI410" s="4">
        <v>0</v>
      </c>
      <c r="AJ410" s="4">
        <v>0</v>
      </c>
      <c r="AK410" s="4">
        <v>0</v>
      </c>
      <c r="AL410" s="4">
        <v>0</v>
      </c>
      <c r="AM410" s="4">
        <v>0</v>
      </c>
      <c r="AN410" s="4">
        <v>0</v>
      </c>
      <c r="AO410" s="4">
        <v>0</v>
      </c>
      <c r="AP410" s="4">
        <v>0</v>
      </c>
      <c r="AQ410" s="4">
        <v>1</v>
      </c>
      <c r="AR410" s="4"/>
      <c r="AS410" s="4"/>
      <c r="AT410" s="4"/>
      <c r="AU410" s="4"/>
      <c r="AV410" s="4"/>
      <c r="AW410" s="4"/>
      <c r="AX410" s="4"/>
      <c r="AY410" s="3"/>
      <c r="BA410" s="3">
        <v>0</v>
      </c>
      <c r="BB410" s="3">
        <f t="shared" si="388"/>
        <v>0</v>
      </c>
      <c r="BC410" s="3">
        <v>0</v>
      </c>
      <c r="BD410" s="3">
        <f t="shared" si="384"/>
        <v>0</v>
      </c>
      <c r="BE410" s="3">
        <v>0</v>
      </c>
      <c r="BF410" s="3">
        <f t="shared" si="385"/>
        <v>0</v>
      </c>
      <c r="BG410" s="3">
        <v>0</v>
      </c>
      <c r="BH410" s="3"/>
      <c r="BI410" s="3"/>
      <c r="BJ410" s="4">
        <v>0</v>
      </c>
      <c r="BK410" s="3">
        <f t="shared" si="386"/>
        <v>0</v>
      </c>
      <c r="BL410" s="3">
        <v>0</v>
      </c>
      <c r="BM410" s="177">
        <f t="shared" si="387"/>
        <v>0</v>
      </c>
      <c r="BN410" s="3"/>
      <c r="BR410" s="3"/>
      <c r="BS410" s="3"/>
      <c r="BT410" s="3"/>
      <c r="BU410" s="3"/>
      <c r="BV410" s="3"/>
      <c r="BW410" s="3"/>
      <c r="BX410" s="3"/>
      <c r="BY410" s="3"/>
      <c r="BZ410" s="3"/>
      <c r="CA410" s="3"/>
      <c r="CB410" s="3"/>
      <c r="CC410" s="4"/>
      <c r="CD410" s="3"/>
      <c r="CE410" s="3"/>
      <c r="CF410" s="3"/>
      <c r="CG410" s="3"/>
      <c r="CH410" s="3"/>
      <c r="CI410" s="3"/>
      <c r="CJ410" s="3"/>
      <c r="CK410" s="3"/>
      <c r="CL410" s="3"/>
      <c r="CM410" s="3"/>
      <c r="CN410" s="3"/>
      <c r="CO410" s="3"/>
      <c r="CP410" s="3"/>
    </row>
    <row r="411" spans="1:94">
      <c r="A411" s="2" t="s">
        <v>49</v>
      </c>
      <c r="B411" s="3">
        <f>'Monthly D4 Gallon Data'!N8</f>
        <v>0</v>
      </c>
      <c r="C411" s="3">
        <f>'Monthly D4 Gallon Data'!$N20</f>
        <v>0</v>
      </c>
      <c r="D411" s="3">
        <f>'Monthly D4 Gallon Data'!$N32</f>
        <v>0</v>
      </c>
      <c r="E411" s="3">
        <f>'Monthly D4 Gallon Data'!$N44</f>
        <v>0</v>
      </c>
      <c r="F411" s="3">
        <f>'Monthly D4 Gallon Data'!$N56</f>
        <v>0</v>
      </c>
      <c r="G411" s="3">
        <f>'Monthly D4 Gallon Data'!$N68</f>
        <v>0</v>
      </c>
      <c r="H411" s="3">
        <f>'Monthly D4 Gallon Data'!$N80</f>
        <v>0</v>
      </c>
      <c r="I411" s="3">
        <f>'Monthly D4 Gallon Data'!$N92</f>
        <v>0</v>
      </c>
      <c r="J411" s="3">
        <f>'Monthly D4 Gallon Data'!$N104</f>
        <v>0</v>
      </c>
      <c r="K411" s="3">
        <f>'Monthly D4 Gallon Data'!$N116</f>
        <v>0</v>
      </c>
      <c r="L411" s="3">
        <f>'Monthly D4 Gallon Data'!$N128</f>
        <v>0</v>
      </c>
      <c r="M411" s="3">
        <f>'Monthly D4 Gallon Data'!$N140</f>
        <v>0</v>
      </c>
      <c r="N411" s="3">
        <f>'Monthly D4 Gallon Data'!$N152</f>
        <v>0</v>
      </c>
      <c r="O411" s="3">
        <f>'Monthly D4 Gallon Data'!$N164</f>
        <v>0</v>
      </c>
      <c r="P411" s="3">
        <f>'Monthly D4 Gallon Data'!$N176</f>
        <v>0</v>
      </c>
      <c r="Q411" s="4">
        <v>0</v>
      </c>
      <c r="R411" s="4">
        <v>0</v>
      </c>
      <c r="S411" s="4">
        <v>0</v>
      </c>
      <c r="T411" s="4">
        <v>0</v>
      </c>
      <c r="U411" s="4">
        <v>0</v>
      </c>
      <c r="V411" s="4">
        <v>0</v>
      </c>
      <c r="W411" s="4">
        <v>0</v>
      </c>
      <c r="X411" s="4">
        <v>0</v>
      </c>
      <c r="Y411" s="4">
        <v>0</v>
      </c>
      <c r="Z411" s="4">
        <v>0</v>
      </c>
      <c r="AA411" s="4">
        <v>0</v>
      </c>
      <c r="AB411" s="4">
        <v>0</v>
      </c>
      <c r="AC411" s="4">
        <v>0</v>
      </c>
      <c r="AD411" s="4">
        <v>0</v>
      </c>
      <c r="AE411" s="4">
        <v>0</v>
      </c>
      <c r="AF411" s="4">
        <v>0</v>
      </c>
      <c r="AG411" s="4">
        <v>0</v>
      </c>
      <c r="AH411" s="4">
        <v>0</v>
      </c>
      <c r="AI411" s="4">
        <v>0</v>
      </c>
      <c r="AJ411" s="4">
        <v>0</v>
      </c>
      <c r="AK411" s="4">
        <v>0</v>
      </c>
      <c r="AL411" s="4">
        <v>0</v>
      </c>
      <c r="AM411" s="4">
        <v>0</v>
      </c>
      <c r="AN411" s="4">
        <v>0</v>
      </c>
      <c r="AO411" s="4">
        <v>0</v>
      </c>
      <c r="AP411" s="4">
        <v>0</v>
      </c>
      <c r="AQ411" s="4">
        <v>1</v>
      </c>
      <c r="AR411" s="4"/>
      <c r="AS411" s="4"/>
      <c r="AT411" s="4"/>
      <c r="AU411" s="4"/>
      <c r="AV411" s="4"/>
      <c r="AW411" s="4"/>
      <c r="AX411" s="4"/>
      <c r="AY411" s="3"/>
      <c r="BA411" s="3">
        <v>0</v>
      </c>
      <c r="BB411" s="3">
        <f t="shared" si="388"/>
        <v>0</v>
      </c>
      <c r="BC411" s="3">
        <v>0</v>
      </c>
      <c r="BD411" s="3">
        <f t="shared" si="384"/>
        <v>0</v>
      </c>
      <c r="BE411" s="3">
        <v>0</v>
      </c>
      <c r="BF411" s="3">
        <f t="shared" si="385"/>
        <v>0</v>
      </c>
      <c r="BG411" s="3">
        <v>0</v>
      </c>
      <c r="BH411" s="3"/>
      <c r="BI411" s="3"/>
      <c r="BJ411" s="4">
        <v>0</v>
      </c>
      <c r="BK411" s="3">
        <f t="shared" si="386"/>
        <v>0</v>
      </c>
      <c r="BL411" s="3">
        <v>0</v>
      </c>
      <c r="BM411" s="177">
        <f t="shared" si="387"/>
        <v>0</v>
      </c>
      <c r="BN411" s="3"/>
      <c r="BR411" s="3"/>
      <c r="BS411" s="3"/>
      <c r="BT411" s="3"/>
      <c r="BU411" s="3"/>
      <c r="BV411" s="3"/>
      <c r="BW411" s="3"/>
      <c r="BX411" s="3"/>
      <c r="BY411" s="3"/>
      <c r="BZ411" s="3"/>
      <c r="CA411" s="3"/>
      <c r="CB411" s="3"/>
      <c r="CC411" s="4"/>
      <c r="CD411" s="3"/>
      <c r="CE411" s="3"/>
      <c r="CF411" s="3"/>
      <c r="CG411" s="3"/>
      <c r="CH411" s="3"/>
      <c r="CI411" s="3"/>
      <c r="CJ411" s="3"/>
      <c r="CK411" s="3"/>
      <c r="CL411" s="3"/>
      <c r="CM411" s="3"/>
      <c r="CN411" s="3"/>
      <c r="CO411" s="3"/>
      <c r="CP411" s="3"/>
    </row>
    <row r="412" spans="1:94">
      <c r="A412" s="2" t="s">
        <v>50</v>
      </c>
      <c r="B412" s="3">
        <f>'Monthly D4 Gallon Data'!N9</f>
        <v>0</v>
      </c>
      <c r="C412" s="3">
        <f>'Monthly D4 Gallon Data'!$N21</f>
        <v>0</v>
      </c>
      <c r="D412" s="3">
        <f>'Monthly D4 Gallon Data'!$N33</f>
        <v>0</v>
      </c>
      <c r="E412" s="3">
        <f>'Monthly D4 Gallon Data'!$N45</f>
        <v>0</v>
      </c>
      <c r="F412" s="3">
        <f>'Monthly D4 Gallon Data'!$N57</f>
        <v>0</v>
      </c>
      <c r="G412" s="3">
        <f>'Monthly D4 Gallon Data'!$N69</f>
        <v>0</v>
      </c>
      <c r="H412" s="3">
        <f>'Monthly D4 Gallon Data'!$N81</f>
        <v>0</v>
      </c>
      <c r="I412" s="3">
        <f>'Monthly D4 Gallon Data'!$N93</f>
        <v>0</v>
      </c>
      <c r="J412" s="3">
        <f>'Monthly D4 Gallon Data'!$N105</f>
        <v>0</v>
      </c>
      <c r="K412" s="3">
        <f>'Monthly D4 Gallon Data'!$N117</f>
        <v>0</v>
      </c>
      <c r="L412" s="3">
        <f>'Monthly D4 Gallon Data'!$N129</f>
        <v>0</v>
      </c>
      <c r="M412" s="3">
        <f>'Monthly D4 Gallon Data'!$N141</f>
        <v>0</v>
      </c>
      <c r="N412" s="3">
        <f>'Monthly D4 Gallon Data'!$N153</f>
        <v>0</v>
      </c>
      <c r="O412" s="3">
        <f>'Monthly D4 Gallon Data'!$N165</f>
        <v>0</v>
      </c>
      <c r="P412" s="3">
        <f>'Monthly D4 Gallon Data'!$N177</f>
        <v>0</v>
      </c>
      <c r="Q412" s="4">
        <v>0</v>
      </c>
      <c r="R412" s="4">
        <v>0</v>
      </c>
      <c r="S412" s="4">
        <v>0</v>
      </c>
      <c r="T412" s="4">
        <v>0</v>
      </c>
      <c r="U412" s="4">
        <v>0</v>
      </c>
      <c r="V412" s="4">
        <v>0</v>
      </c>
      <c r="W412" s="4">
        <v>0</v>
      </c>
      <c r="X412" s="4">
        <v>0</v>
      </c>
      <c r="Y412" s="4">
        <v>0</v>
      </c>
      <c r="Z412" s="4">
        <v>0</v>
      </c>
      <c r="AA412" s="4">
        <v>0</v>
      </c>
      <c r="AB412" s="4">
        <v>0</v>
      </c>
      <c r="AC412" s="4">
        <v>0</v>
      </c>
      <c r="AD412" s="4">
        <v>0</v>
      </c>
      <c r="AE412" s="4">
        <v>0</v>
      </c>
      <c r="AF412" s="4">
        <v>0</v>
      </c>
      <c r="AG412" s="4">
        <v>0</v>
      </c>
      <c r="AH412" s="4">
        <v>0</v>
      </c>
      <c r="AI412" s="4">
        <v>0</v>
      </c>
      <c r="AJ412" s="4">
        <v>0</v>
      </c>
      <c r="AK412" s="4">
        <v>0</v>
      </c>
      <c r="AL412" s="4">
        <v>0</v>
      </c>
      <c r="AM412" s="4">
        <v>0</v>
      </c>
      <c r="AN412" s="4">
        <v>0</v>
      </c>
      <c r="AO412" s="4">
        <v>0</v>
      </c>
      <c r="AP412" s="4">
        <v>0</v>
      </c>
      <c r="AQ412" s="4">
        <v>1</v>
      </c>
      <c r="AR412" s="4"/>
      <c r="AS412" s="4"/>
      <c r="AT412" s="4"/>
      <c r="AU412" s="4"/>
      <c r="AV412" s="4"/>
      <c r="AW412" s="4"/>
      <c r="AX412" s="4"/>
      <c r="AY412" s="3"/>
      <c r="BA412" s="3">
        <v>0</v>
      </c>
      <c r="BB412" s="3">
        <f t="shared" si="388"/>
        <v>0</v>
      </c>
      <c r="BC412" s="3">
        <v>0</v>
      </c>
      <c r="BD412" s="3">
        <f t="shared" si="384"/>
        <v>0</v>
      </c>
      <c r="BE412" s="3">
        <v>0</v>
      </c>
      <c r="BF412" s="3">
        <f t="shared" si="385"/>
        <v>0</v>
      </c>
      <c r="BG412" s="3">
        <v>0</v>
      </c>
      <c r="BH412" s="3"/>
      <c r="BI412" s="3"/>
      <c r="BJ412" s="4">
        <v>0</v>
      </c>
      <c r="BK412" s="3">
        <f t="shared" si="386"/>
        <v>0</v>
      </c>
      <c r="BL412" s="3">
        <v>0</v>
      </c>
      <c r="BM412" s="177">
        <f t="shared" si="387"/>
        <v>0</v>
      </c>
      <c r="BN412" s="3"/>
      <c r="BR412" s="3"/>
      <c r="BS412" s="3"/>
      <c r="BT412" s="3"/>
      <c r="BU412" s="3"/>
      <c r="BV412" s="3"/>
      <c r="BW412" s="3"/>
      <c r="BX412" s="3"/>
      <c r="BY412" s="3"/>
      <c r="BZ412" s="3"/>
      <c r="CA412" s="3"/>
      <c r="CB412" s="3"/>
      <c r="CC412" s="4"/>
      <c r="CD412" s="3"/>
      <c r="CE412" s="3"/>
      <c r="CF412" s="3"/>
      <c r="CG412" s="3"/>
      <c r="CH412" s="3"/>
      <c r="CI412" s="3"/>
      <c r="CJ412" s="3"/>
      <c r="CK412" s="3"/>
      <c r="CL412" s="3"/>
      <c r="CM412" s="3"/>
      <c r="CN412" s="3"/>
      <c r="CO412" s="3"/>
      <c r="CP412" s="3"/>
    </row>
    <row r="413" spans="1:94">
      <c r="A413" s="2" t="s">
        <v>51</v>
      </c>
      <c r="B413" s="3">
        <f>'Monthly D4 Gallon Data'!N10</f>
        <v>0</v>
      </c>
      <c r="C413" s="3">
        <f>'Monthly D4 Gallon Data'!$N22</f>
        <v>0</v>
      </c>
      <c r="D413" s="3">
        <f>'Monthly D4 Gallon Data'!$N34</f>
        <v>0</v>
      </c>
      <c r="E413" s="3">
        <f>'Monthly D4 Gallon Data'!$N46</f>
        <v>0</v>
      </c>
      <c r="F413" s="3">
        <f>'Monthly D4 Gallon Data'!$N58</f>
        <v>0</v>
      </c>
      <c r="G413" s="3">
        <f>'Monthly D4 Gallon Data'!$N70</f>
        <v>0</v>
      </c>
      <c r="H413" s="3">
        <f>'Monthly D4 Gallon Data'!$N82</f>
        <v>0</v>
      </c>
      <c r="I413" s="3">
        <f>'Monthly D4 Gallon Data'!$N94</f>
        <v>0</v>
      </c>
      <c r="J413" s="3">
        <f>'Monthly D4 Gallon Data'!$N106</f>
        <v>0</v>
      </c>
      <c r="K413" s="3">
        <f>'Monthly D4 Gallon Data'!$N118</f>
        <v>0</v>
      </c>
      <c r="L413" s="3">
        <f>'Monthly D4 Gallon Data'!$N130</f>
        <v>0</v>
      </c>
      <c r="M413" s="3">
        <f>'Monthly D4 Gallon Data'!$N142</f>
        <v>0</v>
      </c>
      <c r="N413" s="3">
        <f>'Monthly D4 Gallon Data'!$N154</f>
        <v>0</v>
      </c>
      <c r="O413" s="3">
        <f>'Monthly D4 Gallon Data'!$N166</f>
        <v>0</v>
      </c>
      <c r="P413" s="3">
        <f>'Monthly D4 Gallon Data'!$N178</f>
        <v>0</v>
      </c>
      <c r="Q413" s="4">
        <v>0</v>
      </c>
      <c r="R413" s="4">
        <v>0</v>
      </c>
      <c r="S413" s="4">
        <v>0</v>
      </c>
      <c r="T413" s="4">
        <v>0</v>
      </c>
      <c r="U413" s="4">
        <v>0</v>
      </c>
      <c r="V413" s="4">
        <v>0</v>
      </c>
      <c r="W413" s="4">
        <v>0</v>
      </c>
      <c r="X413" s="4">
        <v>0</v>
      </c>
      <c r="Y413" s="4">
        <v>0</v>
      </c>
      <c r="Z413" s="4">
        <v>0</v>
      </c>
      <c r="AA413" s="4">
        <v>0</v>
      </c>
      <c r="AB413" s="4">
        <v>0</v>
      </c>
      <c r="AC413" s="4">
        <v>0</v>
      </c>
      <c r="AD413" s="4">
        <v>0</v>
      </c>
      <c r="AE413" s="4">
        <v>0</v>
      </c>
      <c r="AF413" s="4">
        <v>0</v>
      </c>
      <c r="AG413" s="4">
        <v>0</v>
      </c>
      <c r="AH413" s="4">
        <v>0</v>
      </c>
      <c r="AI413" s="4">
        <v>0</v>
      </c>
      <c r="AJ413" s="4">
        <v>0</v>
      </c>
      <c r="AK413" s="4">
        <v>0</v>
      </c>
      <c r="AL413" s="4">
        <v>0</v>
      </c>
      <c r="AM413" s="4">
        <v>0</v>
      </c>
      <c r="AN413" s="4">
        <v>0</v>
      </c>
      <c r="AO413" s="4">
        <v>0</v>
      </c>
      <c r="AP413" s="4">
        <v>0</v>
      </c>
      <c r="AQ413" s="4">
        <v>1</v>
      </c>
      <c r="AR413" s="4"/>
      <c r="AS413" s="4"/>
      <c r="AT413" s="4"/>
      <c r="AU413" s="4"/>
      <c r="AV413" s="4"/>
      <c r="AW413" s="4"/>
      <c r="AX413" s="4"/>
      <c r="AY413" s="3"/>
      <c r="BA413" s="3">
        <v>0</v>
      </c>
      <c r="BB413" s="3">
        <f t="shared" si="388"/>
        <v>0</v>
      </c>
      <c r="BC413" s="3">
        <v>0</v>
      </c>
      <c r="BD413" s="3">
        <f t="shared" si="384"/>
        <v>0</v>
      </c>
      <c r="BE413" s="3">
        <v>0</v>
      </c>
      <c r="BF413" s="3">
        <f t="shared" si="385"/>
        <v>0</v>
      </c>
      <c r="BG413" s="3">
        <v>0</v>
      </c>
      <c r="BH413" s="3"/>
      <c r="BI413" s="3"/>
      <c r="BJ413" s="4">
        <v>0</v>
      </c>
      <c r="BK413" s="3">
        <f t="shared" si="386"/>
        <v>0</v>
      </c>
      <c r="BL413" s="3">
        <v>0</v>
      </c>
      <c r="BM413" s="177">
        <f t="shared" si="387"/>
        <v>0</v>
      </c>
      <c r="BN413" s="3"/>
      <c r="BR413" s="3"/>
      <c r="BS413" s="3"/>
      <c r="BT413" s="3"/>
      <c r="BU413" s="3"/>
      <c r="BV413" s="3"/>
      <c r="BW413" s="3"/>
      <c r="BX413" s="3"/>
      <c r="BY413" s="3"/>
      <c r="BZ413" s="3"/>
      <c r="CA413" s="3"/>
      <c r="CB413" s="3"/>
      <c r="CC413" s="4"/>
      <c r="CD413" s="3"/>
      <c r="CE413" s="3"/>
      <c r="CF413" s="3"/>
      <c r="CG413" s="3"/>
      <c r="CH413" s="3"/>
      <c r="CI413" s="3"/>
      <c r="CJ413" s="3"/>
      <c r="CK413" s="3"/>
      <c r="CL413" s="3"/>
      <c r="CM413" s="3"/>
      <c r="CN413" s="3"/>
      <c r="CO413" s="3"/>
      <c r="CP413" s="3"/>
    </row>
    <row r="414" spans="1:94">
      <c r="A414" s="2" t="s">
        <v>52</v>
      </c>
      <c r="B414" s="3">
        <f>'Monthly D4 Gallon Data'!N11</f>
        <v>0</v>
      </c>
      <c r="C414" s="3">
        <f>'Monthly D4 Gallon Data'!$N23</f>
        <v>0</v>
      </c>
      <c r="D414" s="3">
        <f>'Monthly D4 Gallon Data'!$N35</f>
        <v>0</v>
      </c>
      <c r="E414" s="3">
        <f>'Monthly D4 Gallon Data'!$N47</f>
        <v>0</v>
      </c>
      <c r="F414" s="3">
        <f>'Monthly D4 Gallon Data'!$N59</f>
        <v>0</v>
      </c>
      <c r="G414" s="3">
        <f>'Monthly D4 Gallon Data'!$N71</f>
        <v>0</v>
      </c>
      <c r="H414" s="3">
        <f>'Monthly D4 Gallon Data'!$N83</f>
        <v>0</v>
      </c>
      <c r="I414" s="3">
        <f>'Monthly D4 Gallon Data'!$N95</f>
        <v>0</v>
      </c>
      <c r="J414" s="3">
        <f>'Monthly D4 Gallon Data'!$N107</f>
        <v>0</v>
      </c>
      <c r="K414" s="3">
        <f>'Monthly D4 Gallon Data'!$N119</f>
        <v>0</v>
      </c>
      <c r="L414" s="3">
        <f>'Monthly D4 Gallon Data'!$N131</f>
        <v>0</v>
      </c>
      <c r="M414" s="3">
        <f>'Monthly D4 Gallon Data'!$N143</f>
        <v>0</v>
      </c>
      <c r="N414" s="3">
        <f>'Monthly D4 Gallon Data'!$N155</f>
        <v>0</v>
      </c>
      <c r="O414" s="3">
        <f>'Monthly D4 Gallon Data'!$N167</f>
        <v>75400</v>
      </c>
      <c r="P414" s="3">
        <f>'Monthly D4 Gallon Data'!$N179</f>
        <v>0</v>
      </c>
      <c r="Q414" s="4">
        <v>0</v>
      </c>
      <c r="R414" s="4">
        <v>0</v>
      </c>
      <c r="S414" s="4">
        <v>0</v>
      </c>
      <c r="T414" s="4">
        <v>0</v>
      </c>
      <c r="U414" s="4">
        <v>0</v>
      </c>
      <c r="V414" s="4">
        <v>0</v>
      </c>
      <c r="W414" s="4">
        <v>0</v>
      </c>
      <c r="X414" s="4">
        <v>0</v>
      </c>
      <c r="Y414" s="4">
        <v>0</v>
      </c>
      <c r="Z414" s="4">
        <v>0</v>
      </c>
      <c r="AA414" s="4">
        <v>0</v>
      </c>
      <c r="AB414" s="4">
        <v>0</v>
      </c>
      <c r="AC414" s="4">
        <v>0</v>
      </c>
      <c r="AD414" s="4">
        <v>0</v>
      </c>
      <c r="AE414" s="4">
        <v>0</v>
      </c>
      <c r="AF414" s="4">
        <v>0</v>
      </c>
      <c r="AG414" s="4">
        <v>0</v>
      </c>
      <c r="AH414" s="4">
        <v>0</v>
      </c>
      <c r="AI414" s="4">
        <v>0</v>
      </c>
      <c r="AJ414" s="4">
        <v>0</v>
      </c>
      <c r="AK414" s="4">
        <v>0</v>
      </c>
      <c r="AL414" s="4">
        <v>0</v>
      </c>
      <c r="AM414" s="4">
        <v>0</v>
      </c>
      <c r="AN414" s="4">
        <v>0</v>
      </c>
      <c r="AO414" s="4">
        <v>0</v>
      </c>
      <c r="AP414" s="4">
        <v>0</v>
      </c>
      <c r="AQ414" s="4">
        <v>1</v>
      </c>
      <c r="AR414" s="4"/>
      <c r="AS414" s="4"/>
      <c r="AT414" s="4"/>
      <c r="AU414" s="4"/>
      <c r="AV414" s="4"/>
      <c r="AW414" s="4"/>
      <c r="AX414" s="4"/>
      <c r="AY414" s="3"/>
      <c r="BA414" s="3">
        <v>0</v>
      </c>
      <c r="BB414" s="3">
        <f t="shared" si="388"/>
        <v>0</v>
      </c>
      <c r="BC414" s="3">
        <v>0</v>
      </c>
      <c r="BD414" s="3">
        <f t="shared" si="384"/>
        <v>0</v>
      </c>
      <c r="BE414" s="3">
        <v>0</v>
      </c>
      <c r="BF414" s="3">
        <f t="shared" si="385"/>
        <v>0</v>
      </c>
      <c r="BG414" s="3">
        <v>0</v>
      </c>
      <c r="BH414" s="3"/>
      <c r="BI414" s="3"/>
      <c r="BJ414" s="4">
        <v>0</v>
      </c>
      <c r="BK414" s="3">
        <f t="shared" si="386"/>
        <v>0</v>
      </c>
      <c r="BL414" s="3">
        <v>0</v>
      </c>
      <c r="BM414" s="177">
        <f t="shared" si="387"/>
        <v>0</v>
      </c>
      <c r="BN414" s="3"/>
      <c r="BR414" s="3"/>
      <c r="BS414" s="3"/>
      <c r="BT414" s="3"/>
      <c r="BU414" s="3"/>
      <c r="BV414" s="3"/>
      <c r="BW414" s="3"/>
      <c r="BX414" s="3"/>
      <c r="BY414" s="3"/>
      <c r="BZ414" s="3"/>
      <c r="CA414" s="3"/>
      <c r="CB414" s="3"/>
      <c r="CC414" s="4"/>
      <c r="CD414" s="3"/>
      <c r="CE414" s="3"/>
      <c r="CF414" s="3"/>
      <c r="CG414" s="3"/>
      <c r="CH414" s="3"/>
      <c r="CI414" s="3"/>
      <c r="CJ414" s="3"/>
      <c r="CK414" s="3"/>
      <c r="CL414" s="3"/>
      <c r="CM414" s="3"/>
      <c r="CN414" s="3"/>
      <c r="CO414" s="3"/>
      <c r="CP414" s="3"/>
    </row>
    <row r="415" spans="1:94">
      <c r="A415" s="2" t="s">
        <v>53</v>
      </c>
      <c r="B415" s="3">
        <f>'Monthly D4 Gallon Data'!N12</f>
        <v>0</v>
      </c>
      <c r="C415" s="3">
        <f>'Monthly D4 Gallon Data'!$N24</f>
        <v>0</v>
      </c>
      <c r="D415" s="3">
        <f>'Monthly D4 Gallon Data'!$N36</f>
        <v>0</v>
      </c>
      <c r="E415" s="3">
        <f>'Monthly D4 Gallon Data'!$N48</f>
        <v>0</v>
      </c>
      <c r="F415" s="3">
        <f>'Monthly D4 Gallon Data'!$N60</f>
        <v>0</v>
      </c>
      <c r="G415" s="3">
        <f>'Monthly D4 Gallon Data'!$N72</f>
        <v>0</v>
      </c>
      <c r="H415" s="3">
        <f>'Monthly D4 Gallon Data'!$N84</f>
        <v>0</v>
      </c>
      <c r="I415" s="3">
        <f>'Monthly D4 Gallon Data'!$N96</f>
        <v>0</v>
      </c>
      <c r="J415" s="3">
        <f>'Monthly D4 Gallon Data'!$N108</f>
        <v>0</v>
      </c>
      <c r="K415" s="3">
        <f>'Monthly D4 Gallon Data'!$N120</f>
        <v>0</v>
      </c>
      <c r="L415" s="3">
        <f>'Monthly D4 Gallon Data'!$N132</f>
        <v>5865</v>
      </c>
      <c r="M415" s="3">
        <f>'Monthly D4 Gallon Data'!$N144</f>
        <v>0</v>
      </c>
      <c r="N415" s="3">
        <f>'Monthly D4 Gallon Data'!$N156</f>
        <v>25874</v>
      </c>
      <c r="O415" s="3">
        <f>'Monthly D4 Gallon Data'!$N168</f>
        <v>124339</v>
      </c>
      <c r="P415" s="3">
        <f>'Monthly D4 Gallon Data'!$N180</f>
        <v>0</v>
      </c>
      <c r="Q415" s="4">
        <v>0</v>
      </c>
      <c r="R415" s="4">
        <v>0</v>
      </c>
      <c r="S415" s="4">
        <v>0</v>
      </c>
      <c r="T415" s="4">
        <v>0</v>
      </c>
      <c r="U415" s="4">
        <v>0</v>
      </c>
      <c r="V415" s="4">
        <v>0</v>
      </c>
      <c r="W415" s="4">
        <v>0</v>
      </c>
      <c r="X415" s="4">
        <v>0</v>
      </c>
      <c r="Y415" s="4">
        <v>0</v>
      </c>
      <c r="Z415" s="4">
        <v>0</v>
      </c>
      <c r="AA415" s="4">
        <v>0</v>
      </c>
      <c r="AB415" s="4">
        <v>0</v>
      </c>
      <c r="AC415" s="4">
        <v>0</v>
      </c>
      <c r="AD415" s="4">
        <v>0</v>
      </c>
      <c r="AE415" s="4">
        <v>0</v>
      </c>
      <c r="AF415" s="4">
        <v>0</v>
      </c>
      <c r="AG415" s="4">
        <v>0</v>
      </c>
      <c r="AH415" s="4">
        <v>0</v>
      </c>
      <c r="AI415" s="4">
        <v>0</v>
      </c>
      <c r="AJ415" s="4">
        <v>0</v>
      </c>
      <c r="AK415" s="4">
        <v>0</v>
      </c>
      <c r="AL415" s="4">
        <v>0</v>
      </c>
      <c r="AM415" s="4">
        <v>0</v>
      </c>
      <c r="AN415" s="4">
        <v>0</v>
      </c>
      <c r="AO415" s="4">
        <v>0</v>
      </c>
      <c r="AP415" s="4">
        <v>0</v>
      </c>
      <c r="AQ415" s="4">
        <v>1</v>
      </c>
      <c r="AR415" s="4"/>
      <c r="AS415" s="4"/>
      <c r="AT415" s="4"/>
      <c r="AU415" s="4"/>
      <c r="AV415" s="4"/>
      <c r="AW415" s="4"/>
      <c r="AX415" s="4"/>
      <c r="AY415" s="3"/>
      <c r="BA415" s="3">
        <v>0</v>
      </c>
      <c r="BB415" s="3">
        <f t="shared" si="388"/>
        <v>0</v>
      </c>
      <c r="BC415" s="3">
        <v>0</v>
      </c>
      <c r="BD415" s="3">
        <f t="shared" si="384"/>
        <v>5865</v>
      </c>
      <c r="BE415" s="3">
        <v>0</v>
      </c>
      <c r="BF415" s="3">
        <f t="shared" si="385"/>
        <v>0</v>
      </c>
      <c r="BG415" s="3">
        <v>0</v>
      </c>
      <c r="BH415" s="3"/>
      <c r="BI415" s="3"/>
      <c r="BJ415" s="4">
        <v>0</v>
      </c>
      <c r="BK415" s="3">
        <f t="shared" si="386"/>
        <v>0</v>
      </c>
      <c r="BL415" s="3">
        <v>0</v>
      </c>
      <c r="BM415" s="177">
        <f t="shared" si="387"/>
        <v>0</v>
      </c>
      <c r="BN415" s="3"/>
      <c r="BR415" s="3"/>
      <c r="BS415" s="3"/>
      <c r="BT415" s="3"/>
      <c r="BU415" s="3"/>
      <c r="BV415" s="3"/>
      <c r="BW415" s="3"/>
      <c r="BX415" s="3"/>
      <c r="BY415" s="3"/>
      <c r="BZ415" s="3"/>
      <c r="CA415" s="3"/>
      <c r="CB415" s="3"/>
      <c r="CC415" s="4"/>
      <c r="CD415" s="3"/>
      <c r="CE415" s="3"/>
      <c r="CF415" s="3"/>
      <c r="CG415" s="3"/>
      <c r="CH415" s="3"/>
      <c r="CI415" s="3"/>
      <c r="CJ415" s="3"/>
      <c r="CK415" s="3"/>
      <c r="CL415" s="3"/>
      <c r="CM415" s="3"/>
      <c r="CN415" s="3"/>
      <c r="CO415" s="3"/>
      <c r="CP415" s="3"/>
    </row>
    <row r="416" spans="1:94">
      <c r="A416" s="2" t="s">
        <v>54</v>
      </c>
      <c r="B416" s="3">
        <f>'Monthly D4 Gallon Data'!N13</f>
        <v>0</v>
      </c>
      <c r="C416" s="3">
        <f>'Monthly D4 Gallon Data'!$N25</f>
        <v>0</v>
      </c>
      <c r="D416" s="3">
        <f>'Monthly D4 Gallon Data'!$N37</f>
        <v>0</v>
      </c>
      <c r="E416" s="3">
        <f>'Monthly D4 Gallon Data'!$N49</f>
        <v>0</v>
      </c>
      <c r="F416" s="3">
        <f>'Monthly D4 Gallon Data'!$N61</f>
        <v>0</v>
      </c>
      <c r="G416" s="3">
        <f>'Monthly D4 Gallon Data'!$N73</f>
        <v>0</v>
      </c>
      <c r="H416" s="3">
        <f>'Monthly D4 Gallon Data'!$N85</f>
        <v>0</v>
      </c>
      <c r="I416" s="3">
        <f>'Monthly D4 Gallon Data'!$N97</f>
        <v>0</v>
      </c>
      <c r="J416" s="3">
        <f>'Monthly D4 Gallon Data'!$N109</f>
        <v>0</v>
      </c>
      <c r="K416" s="3">
        <f>'Monthly D4 Gallon Data'!$N121</f>
        <v>0</v>
      </c>
      <c r="L416" s="3">
        <f>'Monthly D4 Gallon Data'!$N133</f>
        <v>0</v>
      </c>
      <c r="M416" s="3">
        <f>'Monthly D4 Gallon Data'!$N145</f>
        <v>395432</v>
      </c>
      <c r="N416" s="3">
        <f>'Monthly D4 Gallon Data'!$N157</f>
        <v>294289</v>
      </c>
      <c r="O416" s="3">
        <f>'Monthly D4 Gallon Data'!$N169</f>
        <v>345639</v>
      </c>
      <c r="P416" s="3">
        <f>'Monthly D4 Gallon Data'!$N181</f>
        <v>0</v>
      </c>
      <c r="Q416" s="4">
        <v>0</v>
      </c>
      <c r="R416" s="4">
        <v>0</v>
      </c>
      <c r="S416" s="4">
        <v>0</v>
      </c>
      <c r="T416" s="4">
        <v>0</v>
      </c>
      <c r="U416" s="4">
        <v>0</v>
      </c>
      <c r="V416" s="4">
        <v>0</v>
      </c>
      <c r="W416" s="4">
        <v>0</v>
      </c>
      <c r="X416" s="4">
        <v>0</v>
      </c>
      <c r="Y416" s="4">
        <v>0</v>
      </c>
      <c r="Z416" s="4">
        <v>0</v>
      </c>
      <c r="AA416" s="4">
        <v>0</v>
      </c>
      <c r="AB416" s="4">
        <v>0</v>
      </c>
      <c r="AC416" s="4">
        <v>0</v>
      </c>
      <c r="AD416" s="4">
        <v>0</v>
      </c>
      <c r="AE416" s="4">
        <v>0</v>
      </c>
      <c r="AF416" s="4">
        <v>0</v>
      </c>
      <c r="AG416" s="4">
        <v>0</v>
      </c>
      <c r="AH416" s="4">
        <v>0</v>
      </c>
      <c r="AI416" s="4">
        <v>0</v>
      </c>
      <c r="AJ416" s="4">
        <v>0</v>
      </c>
      <c r="AK416" s="4">
        <v>0</v>
      </c>
      <c r="AL416" s="4">
        <v>0</v>
      </c>
      <c r="AM416" s="4">
        <v>0</v>
      </c>
      <c r="AN416" s="4">
        <v>0</v>
      </c>
      <c r="AO416" s="4">
        <v>0</v>
      </c>
      <c r="AP416" s="4">
        <v>0</v>
      </c>
      <c r="AQ416" s="4">
        <v>1</v>
      </c>
      <c r="AR416" s="4"/>
      <c r="AS416" s="4"/>
      <c r="AT416" s="4"/>
      <c r="AU416" s="4"/>
      <c r="AV416" s="4"/>
      <c r="AW416" s="4"/>
      <c r="AX416" s="4"/>
      <c r="AY416" s="3"/>
      <c r="BA416" s="3">
        <v>0</v>
      </c>
      <c r="BB416" s="3">
        <f t="shared" si="388"/>
        <v>0</v>
      </c>
      <c r="BC416" s="3">
        <v>0</v>
      </c>
      <c r="BD416" s="3">
        <f t="shared" si="384"/>
        <v>0</v>
      </c>
      <c r="BE416" s="3">
        <v>0</v>
      </c>
      <c r="BF416" s="3">
        <f t="shared" si="385"/>
        <v>395432</v>
      </c>
      <c r="BG416" s="3">
        <v>0</v>
      </c>
      <c r="BH416" s="3"/>
      <c r="BI416" s="3"/>
      <c r="BJ416" s="4">
        <v>0</v>
      </c>
      <c r="BK416" s="3">
        <f t="shared" si="386"/>
        <v>0</v>
      </c>
      <c r="BL416" s="3">
        <v>0</v>
      </c>
      <c r="BM416" s="177">
        <f t="shared" si="387"/>
        <v>0</v>
      </c>
      <c r="BN416" s="3"/>
      <c r="BR416" s="3"/>
      <c r="BS416" s="3"/>
      <c r="BT416" s="3"/>
      <c r="BU416" s="3"/>
      <c r="BV416" s="3"/>
      <c r="BW416" s="3"/>
      <c r="BX416" s="3"/>
      <c r="BY416" s="3"/>
      <c r="BZ416" s="3"/>
      <c r="CA416" s="3"/>
      <c r="CB416" s="3"/>
      <c r="CC416" s="4"/>
      <c r="CD416" s="3"/>
      <c r="CE416" s="3"/>
      <c r="CF416" s="3"/>
      <c r="CG416" s="3"/>
      <c r="CH416" s="3"/>
      <c r="CI416" s="3"/>
      <c r="CJ416" s="3"/>
      <c r="CK416" s="3"/>
      <c r="CL416" s="3"/>
      <c r="CM416" s="3"/>
      <c r="CN416" s="3"/>
      <c r="CO416" s="3"/>
      <c r="CP416" s="3"/>
    </row>
    <row r="417" spans="1:94">
      <c r="A417" s="2" t="s">
        <v>29</v>
      </c>
      <c r="B417" s="3">
        <f>SUM(B405:B416)</f>
        <v>0</v>
      </c>
      <c r="C417" s="3">
        <f t="shared" ref="C417:Q417" si="389">SUM(C405:C416)</f>
        <v>0</v>
      </c>
      <c r="D417" s="3">
        <f t="shared" si="389"/>
        <v>0</v>
      </c>
      <c r="E417" s="3">
        <f t="shared" si="389"/>
        <v>0</v>
      </c>
      <c r="F417" s="3">
        <f t="shared" si="389"/>
        <v>0</v>
      </c>
      <c r="G417" s="3">
        <f t="shared" si="389"/>
        <v>0</v>
      </c>
      <c r="H417" s="3">
        <f t="shared" si="389"/>
        <v>0</v>
      </c>
      <c r="I417" s="3">
        <f t="shared" si="389"/>
        <v>0</v>
      </c>
      <c r="J417" s="3">
        <f t="shared" si="389"/>
        <v>0</v>
      </c>
      <c r="K417" s="3">
        <f t="shared" si="389"/>
        <v>4815</v>
      </c>
      <c r="L417" s="3">
        <f t="shared" si="389"/>
        <v>5865</v>
      </c>
      <c r="M417" s="3">
        <f t="shared" si="389"/>
        <v>395432</v>
      </c>
      <c r="N417" s="3">
        <f t="shared" si="389"/>
        <v>343875</v>
      </c>
      <c r="O417" s="3">
        <f t="shared" si="389"/>
        <v>755926</v>
      </c>
      <c r="P417" s="3">
        <f t="shared" si="389"/>
        <v>98746</v>
      </c>
      <c r="Q417" s="4">
        <f t="shared" si="389"/>
        <v>0</v>
      </c>
      <c r="R417" s="4">
        <f t="shared" ref="R417:AD417" si="390">R89</f>
        <v>0</v>
      </c>
      <c r="S417" s="4">
        <f t="shared" si="390"/>
        <v>0</v>
      </c>
      <c r="T417" s="4">
        <f t="shared" si="390"/>
        <v>0</v>
      </c>
      <c r="U417" s="4">
        <f t="shared" si="390"/>
        <v>0</v>
      </c>
      <c r="V417" s="4">
        <f t="shared" si="390"/>
        <v>0</v>
      </c>
      <c r="W417" s="4">
        <f t="shared" si="390"/>
        <v>0</v>
      </c>
      <c r="X417" s="4">
        <f t="shared" si="390"/>
        <v>0</v>
      </c>
      <c r="Y417" s="4">
        <f t="shared" si="390"/>
        <v>0</v>
      </c>
      <c r="Z417" s="4">
        <f t="shared" si="390"/>
        <v>0</v>
      </c>
      <c r="AA417" s="4">
        <f t="shared" si="390"/>
        <v>0</v>
      </c>
      <c r="AB417" s="4">
        <f t="shared" si="390"/>
        <v>0</v>
      </c>
      <c r="AC417" s="4">
        <f t="shared" si="390"/>
        <v>0</v>
      </c>
      <c r="AD417" s="4">
        <f t="shared" si="390"/>
        <v>0</v>
      </c>
      <c r="AE417" s="4">
        <f>AE89</f>
        <v>0</v>
      </c>
      <c r="AF417" s="4">
        <f>AF89</f>
        <v>0</v>
      </c>
      <c r="AG417" s="4">
        <f t="shared" ref="AG417:AO417" si="391">AG89</f>
        <v>0</v>
      </c>
      <c r="AH417" s="4">
        <f t="shared" si="391"/>
        <v>0</v>
      </c>
      <c r="AI417" s="4">
        <f t="shared" si="391"/>
        <v>0</v>
      </c>
      <c r="AJ417" s="4">
        <f t="shared" si="391"/>
        <v>0</v>
      </c>
      <c r="AK417" s="4">
        <f t="shared" si="391"/>
        <v>0</v>
      </c>
      <c r="AL417" s="4">
        <f t="shared" si="391"/>
        <v>0</v>
      </c>
      <c r="AM417" s="4">
        <f t="shared" si="391"/>
        <v>0</v>
      </c>
      <c r="AN417" s="4">
        <f t="shared" si="391"/>
        <v>0</v>
      </c>
      <c r="AO417" s="4">
        <f t="shared" si="391"/>
        <v>0</v>
      </c>
      <c r="AP417" s="4">
        <f>AP89</f>
        <v>0</v>
      </c>
      <c r="AQ417" s="4">
        <f>AQ89</f>
        <v>1</v>
      </c>
      <c r="AR417" s="4"/>
      <c r="AS417" s="4"/>
      <c r="AT417" s="4"/>
      <c r="AU417" s="4"/>
      <c r="AV417" s="4"/>
      <c r="AW417" s="4"/>
      <c r="AX417" s="4"/>
      <c r="AY417" s="3"/>
      <c r="BA417" s="3">
        <v>4815</v>
      </c>
      <c r="BB417" s="3">
        <f t="shared" si="388"/>
        <v>0</v>
      </c>
      <c r="BC417" s="3">
        <v>0</v>
      </c>
      <c r="BD417" s="3">
        <f t="shared" si="384"/>
        <v>5865</v>
      </c>
      <c r="BE417" s="3">
        <v>0</v>
      </c>
      <c r="BF417" s="3">
        <f t="shared" si="385"/>
        <v>395432</v>
      </c>
      <c r="BG417" s="3">
        <v>49586</v>
      </c>
      <c r="BH417" s="3"/>
      <c r="BI417" s="3"/>
      <c r="BJ417" s="4">
        <v>98746</v>
      </c>
      <c r="BK417" s="3">
        <f t="shared" si="386"/>
        <v>0</v>
      </c>
      <c r="BL417" s="3">
        <v>0</v>
      </c>
      <c r="BM417" s="177">
        <f t="shared" si="387"/>
        <v>0</v>
      </c>
      <c r="BN417" s="3"/>
      <c r="BR417" s="3"/>
      <c r="BS417" s="3"/>
      <c r="BT417" s="3"/>
      <c r="BU417" s="3"/>
      <c r="BV417" s="3"/>
      <c r="BW417" s="3"/>
      <c r="BX417" s="3"/>
      <c r="BY417" s="3"/>
      <c r="BZ417" s="3"/>
      <c r="CA417" s="3"/>
      <c r="CB417" s="3"/>
      <c r="CC417" s="4"/>
      <c r="CD417" s="3"/>
      <c r="CE417" s="3"/>
      <c r="CF417" s="3"/>
      <c r="CG417" s="3"/>
      <c r="CH417" s="3"/>
      <c r="CI417" s="3"/>
      <c r="CJ417" s="3"/>
      <c r="CK417" s="3"/>
      <c r="CL417" s="3"/>
      <c r="CM417" s="3"/>
      <c r="CN417" s="3"/>
      <c r="CO417" s="3"/>
      <c r="CP417" s="3"/>
    </row>
  </sheetData>
  <hyperlinks>
    <hyperlink ref="AT227" r:id="rId1" xr:uid="{FA161EE3-4319-4B3E-903C-B11F1C1F3CD4}"/>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6E1D3-2BE7-4363-932E-CC108A0A08DB}">
  <sheetPr>
    <tabColor theme="1" tint="0.499984740745262"/>
  </sheetPr>
  <dimension ref="A1:BV264"/>
  <sheetViews>
    <sheetView zoomScaleNormal="100" workbookViewId="0">
      <pane xSplit="1" ySplit="1" topLeftCell="T180" activePane="bottomRight" state="frozen"/>
      <selection activeCell="A9" sqref="A9"/>
      <selection pane="topRight" activeCell="A9" sqref="A9"/>
      <selection pane="bottomLeft" activeCell="A9" sqref="A9"/>
      <selection pane="bottomRight" activeCell="A9" sqref="A9"/>
    </sheetView>
  </sheetViews>
  <sheetFormatPr defaultColWidth="9.140625" defaultRowHeight="15"/>
  <cols>
    <col min="1" max="1" width="9.5703125" style="170" bestFit="1" customWidth="1"/>
    <col min="2" max="33" width="14.28515625" style="3" customWidth="1"/>
    <col min="34" max="43" width="14.28515625" customWidth="1"/>
    <col min="44" max="50" width="14.28515625" style="2" customWidth="1"/>
    <col min="51" max="51" width="9.28515625" style="2" bestFit="1" customWidth="1"/>
    <col min="52" max="52" width="9.140625" style="2"/>
    <col min="53" max="53" width="12.28515625" style="2" customWidth="1"/>
    <col min="54" max="54" width="13.42578125" style="2" bestFit="1" customWidth="1"/>
    <col min="55" max="55" width="9.28515625" style="2" bestFit="1" customWidth="1"/>
    <col min="56" max="56" width="9.140625" style="2"/>
    <col min="57" max="63" width="13.5703125" style="2" customWidth="1"/>
    <col min="64" max="64" width="9.140625" style="2"/>
    <col min="65" max="65" width="13.5703125" style="2" customWidth="1"/>
    <col min="66" max="16384" width="9.140625" style="2"/>
  </cols>
  <sheetData>
    <row r="1" spans="1:51" customFormat="1" ht="110.25">
      <c r="A1" s="215" t="s">
        <v>334</v>
      </c>
      <c r="B1" s="216" t="s">
        <v>98</v>
      </c>
      <c r="C1" s="217" t="s">
        <v>100</v>
      </c>
      <c r="D1" s="217" t="s">
        <v>335</v>
      </c>
      <c r="E1" s="217" t="s">
        <v>97</v>
      </c>
      <c r="F1" s="218" t="s">
        <v>336</v>
      </c>
      <c r="G1" s="218" t="s">
        <v>337</v>
      </c>
      <c r="H1" s="218" t="s">
        <v>338</v>
      </c>
      <c r="I1" s="218" t="s">
        <v>339</v>
      </c>
      <c r="J1" s="219" t="s">
        <v>340</v>
      </c>
      <c r="K1" s="219" t="s">
        <v>341</v>
      </c>
      <c r="L1" s="219" t="s">
        <v>342</v>
      </c>
      <c r="M1" s="220" t="s">
        <v>343</v>
      </c>
      <c r="N1" s="220" t="s">
        <v>344</v>
      </c>
      <c r="O1" s="221" t="s">
        <v>345</v>
      </c>
      <c r="P1" s="221" t="s">
        <v>346</v>
      </c>
      <c r="Q1" s="221" t="s">
        <v>347</v>
      </c>
      <c r="R1" s="222" t="s">
        <v>348</v>
      </c>
      <c r="S1" s="223" t="s">
        <v>349</v>
      </c>
      <c r="T1" s="223" t="s">
        <v>350</v>
      </c>
      <c r="U1" s="223" t="s">
        <v>351</v>
      </c>
      <c r="V1" s="223" t="s">
        <v>352</v>
      </c>
      <c r="W1" s="224" t="s">
        <v>353</v>
      </c>
      <c r="X1" s="224" t="s">
        <v>354</v>
      </c>
      <c r="Y1" s="224" t="s">
        <v>355</v>
      </c>
      <c r="Z1" s="224" t="s">
        <v>356</v>
      </c>
      <c r="AA1" s="225" t="s">
        <v>357</v>
      </c>
      <c r="AB1" s="225" t="s">
        <v>358</v>
      </c>
      <c r="AC1" s="225" t="s">
        <v>359</v>
      </c>
      <c r="AD1" s="225" t="s">
        <v>360</v>
      </c>
      <c r="AE1" s="226" t="s">
        <v>361</v>
      </c>
      <c r="AF1" s="226" t="s">
        <v>362</v>
      </c>
      <c r="AG1" s="227" t="s">
        <v>363</v>
      </c>
      <c r="AH1" s="228" t="s">
        <v>98</v>
      </c>
      <c r="AI1" s="229" t="s">
        <v>100</v>
      </c>
      <c r="AJ1" s="229" t="s">
        <v>335</v>
      </c>
      <c r="AK1" s="229" t="s">
        <v>97</v>
      </c>
      <c r="AL1" s="230" t="s">
        <v>336</v>
      </c>
      <c r="AM1" s="230" t="s">
        <v>337</v>
      </c>
      <c r="AN1" s="230" t="s">
        <v>338</v>
      </c>
      <c r="AO1" s="230" t="s">
        <v>339</v>
      </c>
      <c r="AP1" s="231" t="s">
        <v>340</v>
      </c>
      <c r="AQ1" s="231" t="s">
        <v>341</v>
      </c>
      <c r="AR1" s="231" t="s">
        <v>342</v>
      </c>
      <c r="AS1" s="136" t="s">
        <v>343</v>
      </c>
      <c r="AT1" s="136" t="s">
        <v>344</v>
      </c>
      <c r="AU1" s="232" t="s">
        <v>345</v>
      </c>
      <c r="AV1" s="232" t="s">
        <v>346</v>
      </c>
      <c r="AW1" s="232" t="s">
        <v>347</v>
      </c>
      <c r="AX1" s="233" t="s">
        <v>348</v>
      </c>
      <c r="AY1" s="234"/>
    </row>
    <row r="2" spans="1:51" ht="13.5">
      <c r="A2" s="138">
        <v>40179</v>
      </c>
      <c r="B2" s="139">
        <v>485714</v>
      </c>
      <c r="C2" s="18">
        <v>0</v>
      </c>
      <c r="D2" s="18">
        <v>0</v>
      </c>
      <c r="E2" s="18">
        <f t="shared" ref="E2:E33" si="0">SUM(B2:D2)</f>
        <v>485714</v>
      </c>
      <c r="F2" s="18">
        <f t="shared" ref="F2:F65" si="1">V2</f>
        <v>0</v>
      </c>
      <c r="G2" s="18">
        <f t="shared" ref="G2:G65" si="2">Z2</f>
        <v>0</v>
      </c>
      <c r="H2" s="18">
        <f t="shared" ref="H2:H65" si="3">AD2</f>
        <v>0</v>
      </c>
      <c r="I2" s="18">
        <f t="shared" ref="I2:I33" si="4">SUM(F2:H2)</f>
        <v>0</v>
      </c>
      <c r="J2" s="18">
        <f t="shared" ref="J2:J65" si="5">AG2</f>
        <v>0</v>
      </c>
      <c r="K2" s="18">
        <v>0</v>
      </c>
      <c r="L2" s="18">
        <f t="shared" ref="L2:L33" si="6">SUM(J2:K2)</f>
        <v>0</v>
      </c>
      <c r="M2" s="18">
        <v>0</v>
      </c>
      <c r="N2" s="18">
        <f>M2</f>
        <v>0</v>
      </c>
      <c r="O2" s="18">
        <f>B2+F2+J2+N2</f>
        <v>485714</v>
      </c>
      <c r="P2" s="18">
        <f t="shared" ref="P2:P65" si="7">C2+G2</f>
        <v>0</v>
      </c>
      <c r="Q2" s="18">
        <f t="shared" ref="Q2:Q65" si="8">D2+H2+K2</f>
        <v>0</v>
      </c>
      <c r="R2" s="235">
        <f t="shared" ref="R2:R65" si="9">SUM(O2:Q2)</f>
        <v>485714</v>
      </c>
      <c r="S2" s="18">
        <v>0</v>
      </c>
      <c r="T2" s="18">
        <v>0</v>
      </c>
      <c r="U2" s="18">
        <v>0</v>
      </c>
      <c r="V2" s="18">
        <f t="shared" ref="V2:V65" si="10">SUM(S2:U2)</f>
        <v>0</v>
      </c>
      <c r="W2" s="18">
        <v>0</v>
      </c>
      <c r="X2" s="18">
        <v>0</v>
      </c>
      <c r="Y2" s="18">
        <v>0</v>
      </c>
      <c r="Z2" s="18">
        <f t="shared" ref="Z2:Z65" si="11">SUM(W2:Y2)</f>
        <v>0</v>
      </c>
      <c r="AA2" s="18">
        <v>0</v>
      </c>
      <c r="AB2" s="18">
        <v>0</v>
      </c>
      <c r="AC2" s="18">
        <v>0</v>
      </c>
      <c r="AD2" s="18">
        <f t="shared" ref="AD2:AD65" si="12">SUM(AA2:AC2)</f>
        <v>0</v>
      </c>
      <c r="AE2" s="18">
        <v>0</v>
      </c>
      <c r="AF2" s="18">
        <v>0</v>
      </c>
      <c r="AG2" s="236">
        <f t="shared" ref="AG2:AG65" si="13">AF2+AE2</f>
        <v>0</v>
      </c>
      <c r="AH2" s="18">
        <f>B2</f>
        <v>485714</v>
      </c>
      <c r="AI2" s="18">
        <f t="shared" ref="AI2:AX2" si="14">C2</f>
        <v>0</v>
      </c>
      <c r="AJ2" s="18">
        <f t="shared" si="14"/>
        <v>0</v>
      </c>
      <c r="AK2" s="18">
        <f t="shared" si="14"/>
        <v>485714</v>
      </c>
      <c r="AL2" s="18">
        <f t="shared" si="14"/>
        <v>0</v>
      </c>
      <c r="AM2" s="18">
        <f t="shared" si="14"/>
        <v>0</v>
      </c>
      <c r="AN2" s="18">
        <f t="shared" si="14"/>
        <v>0</v>
      </c>
      <c r="AO2" s="18">
        <f t="shared" si="14"/>
        <v>0</v>
      </c>
      <c r="AP2" s="18">
        <f t="shared" si="14"/>
        <v>0</v>
      </c>
      <c r="AQ2" s="18">
        <f t="shared" si="14"/>
        <v>0</v>
      </c>
      <c r="AR2" s="18">
        <f t="shared" si="14"/>
        <v>0</v>
      </c>
      <c r="AS2" s="18">
        <f t="shared" si="14"/>
        <v>0</v>
      </c>
      <c r="AT2" s="18">
        <f t="shared" si="14"/>
        <v>0</v>
      </c>
      <c r="AU2" s="18">
        <f t="shared" si="14"/>
        <v>485714</v>
      </c>
      <c r="AV2" s="18">
        <f t="shared" si="14"/>
        <v>0</v>
      </c>
      <c r="AW2" s="18">
        <f t="shared" si="14"/>
        <v>0</v>
      </c>
      <c r="AX2" s="18">
        <f t="shared" si="14"/>
        <v>485714</v>
      </c>
      <c r="AY2" s="14"/>
    </row>
    <row r="3" spans="1:51" ht="13.5">
      <c r="A3" s="138">
        <v>40210</v>
      </c>
      <c r="B3" s="139">
        <v>538632</v>
      </c>
      <c r="C3" s="18">
        <v>0</v>
      </c>
      <c r="D3" s="18">
        <v>0</v>
      </c>
      <c r="E3" s="18">
        <f t="shared" si="0"/>
        <v>538632</v>
      </c>
      <c r="F3" s="18">
        <f t="shared" si="1"/>
        <v>0</v>
      </c>
      <c r="G3" s="18">
        <f t="shared" si="2"/>
        <v>0</v>
      </c>
      <c r="H3" s="18">
        <f t="shared" si="3"/>
        <v>0</v>
      </c>
      <c r="I3" s="18">
        <f t="shared" si="4"/>
        <v>0</v>
      </c>
      <c r="J3" s="18">
        <f t="shared" si="5"/>
        <v>0</v>
      </c>
      <c r="K3" s="18">
        <v>0</v>
      </c>
      <c r="L3" s="18">
        <f t="shared" si="6"/>
        <v>0</v>
      </c>
      <c r="M3" s="18">
        <v>0</v>
      </c>
      <c r="N3" s="18">
        <f t="shared" ref="N3:N66" si="15">M3</f>
        <v>0</v>
      </c>
      <c r="O3" s="18">
        <f t="shared" ref="O3:O66" si="16">B3+F3+J3+N3</f>
        <v>538632</v>
      </c>
      <c r="P3" s="18">
        <f t="shared" si="7"/>
        <v>0</v>
      </c>
      <c r="Q3" s="18">
        <f t="shared" si="8"/>
        <v>0</v>
      </c>
      <c r="R3" s="235">
        <f t="shared" si="9"/>
        <v>538632</v>
      </c>
      <c r="S3" s="18">
        <v>0</v>
      </c>
      <c r="T3" s="18">
        <v>0</v>
      </c>
      <c r="U3" s="18">
        <v>0</v>
      </c>
      <c r="V3" s="18">
        <f t="shared" si="10"/>
        <v>0</v>
      </c>
      <c r="W3" s="18">
        <v>0</v>
      </c>
      <c r="X3" s="18">
        <v>0</v>
      </c>
      <c r="Y3" s="18">
        <v>0</v>
      </c>
      <c r="Z3" s="18">
        <f t="shared" si="11"/>
        <v>0</v>
      </c>
      <c r="AA3" s="18">
        <v>0</v>
      </c>
      <c r="AB3" s="18">
        <v>0</v>
      </c>
      <c r="AC3" s="18">
        <v>0</v>
      </c>
      <c r="AD3" s="18">
        <f t="shared" si="12"/>
        <v>0</v>
      </c>
      <c r="AE3" s="18">
        <v>0</v>
      </c>
      <c r="AF3" s="18">
        <v>0</v>
      </c>
      <c r="AG3" s="236">
        <f t="shared" si="13"/>
        <v>0</v>
      </c>
      <c r="AH3" s="18">
        <f>AH2+B3</f>
        <v>1024346</v>
      </c>
      <c r="AI3" s="18">
        <f t="shared" ref="AI3:AX13" si="17">AI2+C3</f>
        <v>0</v>
      </c>
      <c r="AJ3" s="18">
        <f t="shared" si="17"/>
        <v>0</v>
      </c>
      <c r="AK3" s="18">
        <f t="shared" si="17"/>
        <v>1024346</v>
      </c>
      <c r="AL3" s="18">
        <f t="shared" si="17"/>
        <v>0</v>
      </c>
      <c r="AM3" s="18">
        <f t="shared" si="17"/>
        <v>0</v>
      </c>
      <c r="AN3" s="18">
        <f t="shared" si="17"/>
        <v>0</v>
      </c>
      <c r="AO3" s="18">
        <f t="shared" si="17"/>
        <v>0</v>
      </c>
      <c r="AP3" s="18">
        <f t="shared" si="17"/>
        <v>0</v>
      </c>
      <c r="AQ3" s="18">
        <f t="shared" si="17"/>
        <v>0</v>
      </c>
      <c r="AR3" s="18">
        <f t="shared" si="17"/>
        <v>0</v>
      </c>
      <c r="AS3" s="18">
        <f t="shared" si="17"/>
        <v>0</v>
      </c>
      <c r="AT3" s="18">
        <f t="shared" si="17"/>
        <v>0</v>
      </c>
      <c r="AU3" s="18">
        <f t="shared" si="17"/>
        <v>1024346</v>
      </c>
      <c r="AV3" s="18">
        <f t="shared" si="17"/>
        <v>0</v>
      </c>
      <c r="AW3" s="18">
        <f t="shared" si="17"/>
        <v>0</v>
      </c>
      <c r="AX3" s="18">
        <f t="shared" si="17"/>
        <v>1024346</v>
      </c>
      <c r="AY3" s="14"/>
    </row>
    <row r="4" spans="1:51" ht="13.5">
      <c r="A4" s="138">
        <v>40238</v>
      </c>
      <c r="B4" s="139">
        <v>808785</v>
      </c>
      <c r="C4" s="18">
        <v>0</v>
      </c>
      <c r="D4" s="18">
        <v>0</v>
      </c>
      <c r="E4" s="18">
        <f t="shared" si="0"/>
        <v>808785</v>
      </c>
      <c r="F4" s="18">
        <f t="shared" si="1"/>
        <v>0</v>
      </c>
      <c r="G4" s="18">
        <f t="shared" si="2"/>
        <v>0</v>
      </c>
      <c r="H4" s="18">
        <f t="shared" si="3"/>
        <v>0</v>
      </c>
      <c r="I4" s="18">
        <f t="shared" si="4"/>
        <v>0</v>
      </c>
      <c r="J4" s="18">
        <f t="shared" si="5"/>
        <v>0</v>
      </c>
      <c r="K4" s="18">
        <v>0</v>
      </c>
      <c r="L4" s="18">
        <f t="shared" si="6"/>
        <v>0</v>
      </c>
      <c r="M4" s="18">
        <v>0</v>
      </c>
      <c r="N4" s="18">
        <f t="shared" si="15"/>
        <v>0</v>
      </c>
      <c r="O4" s="18">
        <f t="shared" si="16"/>
        <v>808785</v>
      </c>
      <c r="P4" s="18">
        <f t="shared" si="7"/>
        <v>0</v>
      </c>
      <c r="Q4" s="18">
        <f t="shared" si="8"/>
        <v>0</v>
      </c>
      <c r="R4" s="235">
        <f t="shared" si="9"/>
        <v>808785</v>
      </c>
      <c r="S4" s="18">
        <v>0</v>
      </c>
      <c r="T4" s="18">
        <v>0</v>
      </c>
      <c r="U4" s="18">
        <v>0</v>
      </c>
      <c r="V4" s="18">
        <f t="shared" si="10"/>
        <v>0</v>
      </c>
      <c r="W4" s="18">
        <v>0</v>
      </c>
      <c r="X4" s="18">
        <v>0</v>
      </c>
      <c r="Y4" s="18">
        <v>0</v>
      </c>
      <c r="Z4" s="18">
        <f t="shared" si="11"/>
        <v>0</v>
      </c>
      <c r="AA4" s="18">
        <v>0</v>
      </c>
      <c r="AB4" s="18">
        <v>0</v>
      </c>
      <c r="AC4" s="18">
        <v>0</v>
      </c>
      <c r="AD4" s="18">
        <f t="shared" si="12"/>
        <v>0</v>
      </c>
      <c r="AE4" s="18">
        <v>0</v>
      </c>
      <c r="AF4" s="18">
        <v>0</v>
      </c>
      <c r="AG4" s="236">
        <f t="shared" si="13"/>
        <v>0</v>
      </c>
      <c r="AH4" s="18">
        <f t="shared" ref="AH4:AH13" si="18">AH3+B4</f>
        <v>1833131</v>
      </c>
      <c r="AI4" s="18">
        <f t="shared" si="17"/>
        <v>0</v>
      </c>
      <c r="AJ4" s="18">
        <f t="shared" si="17"/>
        <v>0</v>
      </c>
      <c r="AK4" s="18">
        <f t="shared" si="17"/>
        <v>1833131</v>
      </c>
      <c r="AL4" s="18">
        <f t="shared" si="17"/>
        <v>0</v>
      </c>
      <c r="AM4" s="18">
        <f t="shared" si="17"/>
        <v>0</v>
      </c>
      <c r="AN4" s="18">
        <f t="shared" si="17"/>
        <v>0</v>
      </c>
      <c r="AO4" s="18">
        <f t="shared" si="17"/>
        <v>0</v>
      </c>
      <c r="AP4" s="18">
        <f t="shared" si="17"/>
        <v>0</v>
      </c>
      <c r="AQ4" s="18">
        <f t="shared" si="17"/>
        <v>0</v>
      </c>
      <c r="AR4" s="18">
        <f t="shared" si="17"/>
        <v>0</v>
      </c>
      <c r="AS4" s="18">
        <f t="shared" si="17"/>
        <v>0</v>
      </c>
      <c r="AT4" s="18">
        <f t="shared" si="17"/>
        <v>0</v>
      </c>
      <c r="AU4" s="18">
        <f t="shared" si="17"/>
        <v>1833131</v>
      </c>
      <c r="AV4" s="18">
        <f t="shared" si="17"/>
        <v>0</v>
      </c>
      <c r="AW4" s="18">
        <f t="shared" si="17"/>
        <v>0</v>
      </c>
      <c r="AX4" s="18">
        <f t="shared" si="17"/>
        <v>1833131</v>
      </c>
      <c r="AY4" s="14"/>
    </row>
    <row r="5" spans="1:51" ht="13.5">
      <c r="A5" s="138">
        <v>40269</v>
      </c>
      <c r="B5" s="139">
        <v>522149</v>
      </c>
      <c r="C5" s="18">
        <v>0</v>
      </c>
      <c r="D5" s="18">
        <v>0</v>
      </c>
      <c r="E5" s="18">
        <f t="shared" si="0"/>
        <v>522149</v>
      </c>
      <c r="F5" s="18">
        <f t="shared" si="1"/>
        <v>0</v>
      </c>
      <c r="G5" s="18">
        <f t="shared" si="2"/>
        <v>0</v>
      </c>
      <c r="H5" s="18">
        <f t="shared" si="3"/>
        <v>0</v>
      </c>
      <c r="I5" s="18">
        <f t="shared" si="4"/>
        <v>0</v>
      </c>
      <c r="J5" s="18">
        <f t="shared" si="5"/>
        <v>0</v>
      </c>
      <c r="K5" s="18">
        <v>0</v>
      </c>
      <c r="L5" s="18">
        <f t="shared" si="6"/>
        <v>0</v>
      </c>
      <c r="M5" s="18">
        <v>0</v>
      </c>
      <c r="N5" s="18">
        <f t="shared" si="15"/>
        <v>0</v>
      </c>
      <c r="O5" s="18">
        <f t="shared" si="16"/>
        <v>522149</v>
      </c>
      <c r="P5" s="18">
        <f t="shared" si="7"/>
        <v>0</v>
      </c>
      <c r="Q5" s="18">
        <f t="shared" si="8"/>
        <v>0</v>
      </c>
      <c r="R5" s="235">
        <f t="shared" si="9"/>
        <v>522149</v>
      </c>
      <c r="S5" s="18">
        <v>0</v>
      </c>
      <c r="T5" s="18">
        <v>0</v>
      </c>
      <c r="U5" s="18">
        <v>0</v>
      </c>
      <c r="V5" s="18">
        <f t="shared" si="10"/>
        <v>0</v>
      </c>
      <c r="W5" s="18">
        <v>0</v>
      </c>
      <c r="X5" s="18">
        <v>0</v>
      </c>
      <c r="Y5" s="18">
        <v>0</v>
      </c>
      <c r="Z5" s="18">
        <f t="shared" si="11"/>
        <v>0</v>
      </c>
      <c r="AA5" s="18">
        <v>0</v>
      </c>
      <c r="AB5" s="18">
        <v>0</v>
      </c>
      <c r="AC5" s="18">
        <v>0</v>
      </c>
      <c r="AD5" s="18">
        <f t="shared" si="12"/>
        <v>0</v>
      </c>
      <c r="AE5" s="18">
        <v>0</v>
      </c>
      <c r="AF5" s="18">
        <v>0</v>
      </c>
      <c r="AG5" s="236">
        <f t="shared" si="13"/>
        <v>0</v>
      </c>
      <c r="AH5" s="18">
        <f t="shared" si="18"/>
        <v>2355280</v>
      </c>
      <c r="AI5" s="18">
        <f t="shared" si="17"/>
        <v>0</v>
      </c>
      <c r="AJ5" s="18">
        <f t="shared" si="17"/>
        <v>0</v>
      </c>
      <c r="AK5" s="18">
        <f t="shared" si="17"/>
        <v>2355280</v>
      </c>
      <c r="AL5" s="18">
        <f t="shared" si="17"/>
        <v>0</v>
      </c>
      <c r="AM5" s="18">
        <f t="shared" si="17"/>
        <v>0</v>
      </c>
      <c r="AN5" s="18">
        <f t="shared" si="17"/>
        <v>0</v>
      </c>
      <c r="AO5" s="18">
        <f t="shared" si="17"/>
        <v>0</v>
      </c>
      <c r="AP5" s="18">
        <f t="shared" si="17"/>
        <v>0</v>
      </c>
      <c r="AQ5" s="18">
        <f t="shared" si="17"/>
        <v>0</v>
      </c>
      <c r="AR5" s="18">
        <f t="shared" si="17"/>
        <v>0</v>
      </c>
      <c r="AS5" s="18">
        <f t="shared" si="17"/>
        <v>0</v>
      </c>
      <c r="AT5" s="18">
        <f t="shared" si="17"/>
        <v>0</v>
      </c>
      <c r="AU5" s="18">
        <f t="shared" si="17"/>
        <v>2355280</v>
      </c>
      <c r="AV5" s="18">
        <f t="shared" si="17"/>
        <v>0</v>
      </c>
      <c r="AW5" s="18">
        <f t="shared" si="17"/>
        <v>0</v>
      </c>
      <c r="AX5" s="18">
        <f t="shared" si="17"/>
        <v>2355280</v>
      </c>
      <c r="AY5" s="14"/>
    </row>
    <row r="6" spans="1:51" ht="13.5">
      <c r="A6" s="138">
        <v>40299</v>
      </c>
      <c r="B6" s="139">
        <v>485714</v>
      </c>
      <c r="C6" s="18">
        <v>0</v>
      </c>
      <c r="D6" s="18">
        <v>0</v>
      </c>
      <c r="E6" s="18">
        <f t="shared" si="0"/>
        <v>485714</v>
      </c>
      <c r="F6" s="18">
        <f t="shared" si="1"/>
        <v>0</v>
      </c>
      <c r="G6" s="18">
        <f t="shared" si="2"/>
        <v>0</v>
      </c>
      <c r="H6" s="18">
        <f t="shared" si="3"/>
        <v>0</v>
      </c>
      <c r="I6" s="18">
        <f t="shared" si="4"/>
        <v>0</v>
      </c>
      <c r="J6" s="18">
        <f t="shared" si="5"/>
        <v>0</v>
      </c>
      <c r="K6" s="18">
        <v>0</v>
      </c>
      <c r="L6" s="18">
        <f t="shared" si="6"/>
        <v>0</v>
      </c>
      <c r="M6" s="18">
        <v>0</v>
      </c>
      <c r="N6" s="18">
        <f t="shared" si="15"/>
        <v>0</v>
      </c>
      <c r="O6" s="18">
        <f t="shared" si="16"/>
        <v>485714</v>
      </c>
      <c r="P6" s="18">
        <f t="shared" si="7"/>
        <v>0</v>
      </c>
      <c r="Q6" s="18">
        <f t="shared" si="8"/>
        <v>0</v>
      </c>
      <c r="R6" s="235">
        <f t="shared" si="9"/>
        <v>485714</v>
      </c>
      <c r="S6" s="18">
        <v>0</v>
      </c>
      <c r="T6" s="18">
        <v>0</v>
      </c>
      <c r="U6" s="18">
        <v>0</v>
      </c>
      <c r="V6" s="18">
        <f t="shared" si="10"/>
        <v>0</v>
      </c>
      <c r="W6" s="18">
        <v>0</v>
      </c>
      <c r="X6" s="18">
        <v>0</v>
      </c>
      <c r="Y6" s="18">
        <v>0</v>
      </c>
      <c r="Z6" s="18">
        <f t="shared" si="11"/>
        <v>0</v>
      </c>
      <c r="AA6" s="18">
        <v>0</v>
      </c>
      <c r="AB6" s="18">
        <v>0</v>
      </c>
      <c r="AC6" s="18">
        <v>0</v>
      </c>
      <c r="AD6" s="18">
        <f t="shared" si="12"/>
        <v>0</v>
      </c>
      <c r="AE6" s="18">
        <v>0</v>
      </c>
      <c r="AF6" s="18">
        <v>0</v>
      </c>
      <c r="AG6" s="236">
        <f t="shared" si="13"/>
        <v>0</v>
      </c>
      <c r="AH6" s="18">
        <f t="shared" si="18"/>
        <v>2840994</v>
      </c>
      <c r="AI6" s="18">
        <f t="shared" si="17"/>
        <v>0</v>
      </c>
      <c r="AJ6" s="18">
        <f t="shared" si="17"/>
        <v>0</v>
      </c>
      <c r="AK6" s="18">
        <f t="shared" si="17"/>
        <v>2840994</v>
      </c>
      <c r="AL6" s="18">
        <f t="shared" si="17"/>
        <v>0</v>
      </c>
      <c r="AM6" s="18">
        <f t="shared" si="17"/>
        <v>0</v>
      </c>
      <c r="AN6" s="18">
        <f t="shared" si="17"/>
        <v>0</v>
      </c>
      <c r="AO6" s="18">
        <f t="shared" si="17"/>
        <v>0</v>
      </c>
      <c r="AP6" s="18">
        <f t="shared" si="17"/>
        <v>0</v>
      </c>
      <c r="AQ6" s="18">
        <f t="shared" si="17"/>
        <v>0</v>
      </c>
      <c r="AR6" s="18">
        <f t="shared" si="17"/>
        <v>0</v>
      </c>
      <c r="AS6" s="18">
        <f t="shared" si="17"/>
        <v>0</v>
      </c>
      <c r="AT6" s="18">
        <f t="shared" si="17"/>
        <v>0</v>
      </c>
      <c r="AU6" s="18">
        <f t="shared" si="17"/>
        <v>2840994</v>
      </c>
      <c r="AV6" s="18">
        <f t="shared" si="17"/>
        <v>0</v>
      </c>
      <c r="AW6" s="18">
        <f t="shared" si="17"/>
        <v>0</v>
      </c>
      <c r="AX6" s="18">
        <f t="shared" si="17"/>
        <v>2840994</v>
      </c>
      <c r="AY6" s="14"/>
    </row>
    <row r="7" spans="1:51" ht="13.5">
      <c r="A7" s="138">
        <v>40330</v>
      </c>
      <c r="B7" s="139">
        <v>637838</v>
      </c>
      <c r="C7" s="18">
        <v>0</v>
      </c>
      <c r="D7" s="18">
        <v>0</v>
      </c>
      <c r="E7" s="18">
        <f t="shared" si="0"/>
        <v>637838</v>
      </c>
      <c r="F7" s="18">
        <f t="shared" si="1"/>
        <v>0</v>
      </c>
      <c r="G7" s="18">
        <f t="shared" si="2"/>
        <v>0</v>
      </c>
      <c r="H7" s="18">
        <f t="shared" si="3"/>
        <v>0</v>
      </c>
      <c r="I7" s="18">
        <f t="shared" si="4"/>
        <v>0</v>
      </c>
      <c r="J7" s="18">
        <f t="shared" si="5"/>
        <v>0</v>
      </c>
      <c r="K7" s="18">
        <v>0</v>
      </c>
      <c r="L7" s="18">
        <f t="shared" si="6"/>
        <v>0</v>
      </c>
      <c r="M7" s="18">
        <v>0</v>
      </c>
      <c r="N7" s="18">
        <f t="shared" si="15"/>
        <v>0</v>
      </c>
      <c r="O7" s="18">
        <f t="shared" si="16"/>
        <v>637838</v>
      </c>
      <c r="P7" s="18">
        <f t="shared" si="7"/>
        <v>0</v>
      </c>
      <c r="Q7" s="18">
        <f t="shared" si="8"/>
        <v>0</v>
      </c>
      <c r="R7" s="235">
        <f t="shared" si="9"/>
        <v>637838</v>
      </c>
      <c r="S7" s="18">
        <v>0</v>
      </c>
      <c r="T7" s="18">
        <v>0</v>
      </c>
      <c r="U7" s="18">
        <v>0</v>
      </c>
      <c r="V7" s="18">
        <f t="shared" si="10"/>
        <v>0</v>
      </c>
      <c r="W7" s="18">
        <v>0</v>
      </c>
      <c r="X7" s="18">
        <v>0</v>
      </c>
      <c r="Y7" s="18">
        <v>0</v>
      </c>
      <c r="Z7" s="18">
        <f t="shared" si="11"/>
        <v>0</v>
      </c>
      <c r="AA7" s="18">
        <v>0</v>
      </c>
      <c r="AB7" s="18">
        <v>0</v>
      </c>
      <c r="AC7" s="18">
        <v>0</v>
      </c>
      <c r="AD7" s="18">
        <f t="shared" si="12"/>
        <v>0</v>
      </c>
      <c r="AE7" s="18">
        <v>0</v>
      </c>
      <c r="AF7" s="18">
        <v>0</v>
      </c>
      <c r="AG7" s="236">
        <f t="shared" si="13"/>
        <v>0</v>
      </c>
      <c r="AH7" s="18">
        <f t="shared" si="18"/>
        <v>3478832</v>
      </c>
      <c r="AI7" s="18">
        <f t="shared" si="17"/>
        <v>0</v>
      </c>
      <c r="AJ7" s="18">
        <f t="shared" si="17"/>
        <v>0</v>
      </c>
      <c r="AK7" s="18">
        <f t="shared" si="17"/>
        <v>3478832</v>
      </c>
      <c r="AL7" s="18">
        <f t="shared" si="17"/>
        <v>0</v>
      </c>
      <c r="AM7" s="18">
        <f t="shared" si="17"/>
        <v>0</v>
      </c>
      <c r="AN7" s="18">
        <f t="shared" si="17"/>
        <v>0</v>
      </c>
      <c r="AO7" s="18">
        <f t="shared" si="17"/>
        <v>0</v>
      </c>
      <c r="AP7" s="18">
        <f t="shared" si="17"/>
        <v>0</v>
      </c>
      <c r="AQ7" s="18">
        <f t="shared" si="17"/>
        <v>0</v>
      </c>
      <c r="AR7" s="18">
        <f t="shared" si="17"/>
        <v>0</v>
      </c>
      <c r="AS7" s="18">
        <f t="shared" si="17"/>
        <v>0</v>
      </c>
      <c r="AT7" s="18">
        <f t="shared" si="17"/>
        <v>0</v>
      </c>
      <c r="AU7" s="18">
        <f t="shared" si="17"/>
        <v>3478832</v>
      </c>
      <c r="AV7" s="18">
        <f t="shared" si="17"/>
        <v>0</v>
      </c>
      <c r="AW7" s="18">
        <f t="shared" si="17"/>
        <v>0</v>
      </c>
      <c r="AX7" s="18">
        <f t="shared" si="17"/>
        <v>3478832</v>
      </c>
      <c r="AY7" s="14"/>
    </row>
    <row r="8" spans="1:51" ht="13.5">
      <c r="A8" s="138">
        <v>40360</v>
      </c>
      <c r="B8" s="139">
        <v>34054859</v>
      </c>
      <c r="C8" s="18">
        <v>0</v>
      </c>
      <c r="D8" s="18">
        <v>1377408</v>
      </c>
      <c r="E8" s="18">
        <f t="shared" si="0"/>
        <v>35432267</v>
      </c>
      <c r="F8" s="18">
        <f t="shared" si="1"/>
        <v>0</v>
      </c>
      <c r="G8" s="18">
        <f t="shared" si="2"/>
        <v>0</v>
      </c>
      <c r="H8" s="18">
        <f t="shared" si="3"/>
        <v>0</v>
      </c>
      <c r="I8" s="18">
        <f t="shared" si="4"/>
        <v>0</v>
      </c>
      <c r="J8" s="18">
        <f t="shared" si="5"/>
        <v>0</v>
      </c>
      <c r="K8" s="18">
        <v>0</v>
      </c>
      <c r="L8" s="18">
        <f t="shared" si="6"/>
        <v>0</v>
      </c>
      <c r="M8" s="18">
        <v>0</v>
      </c>
      <c r="N8" s="18">
        <f t="shared" si="15"/>
        <v>0</v>
      </c>
      <c r="O8" s="18">
        <f t="shared" si="16"/>
        <v>34054859</v>
      </c>
      <c r="P8" s="18">
        <f t="shared" si="7"/>
        <v>0</v>
      </c>
      <c r="Q8" s="18">
        <f t="shared" si="8"/>
        <v>1377408</v>
      </c>
      <c r="R8" s="235">
        <f t="shared" si="9"/>
        <v>35432267</v>
      </c>
      <c r="S8" s="18">
        <v>0</v>
      </c>
      <c r="T8" s="18">
        <v>0</v>
      </c>
      <c r="U8" s="18">
        <v>0</v>
      </c>
      <c r="V8" s="18">
        <f t="shared" si="10"/>
        <v>0</v>
      </c>
      <c r="W8" s="18">
        <v>0</v>
      </c>
      <c r="X8" s="18">
        <v>0</v>
      </c>
      <c r="Y8" s="18">
        <v>0</v>
      </c>
      <c r="Z8" s="18">
        <f t="shared" si="11"/>
        <v>0</v>
      </c>
      <c r="AA8" s="18">
        <v>0</v>
      </c>
      <c r="AB8" s="18">
        <v>0</v>
      </c>
      <c r="AC8" s="18">
        <v>0</v>
      </c>
      <c r="AD8" s="18">
        <f t="shared" si="12"/>
        <v>0</v>
      </c>
      <c r="AE8" s="18">
        <v>0</v>
      </c>
      <c r="AF8" s="18">
        <v>0</v>
      </c>
      <c r="AG8" s="236">
        <f t="shared" si="13"/>
        <v>0</v>
      </c>
      <c r="AH8" s="18">
        <f t="shared" si="18"/>
        <v>37533691</v>
      </c>
      <c r="AI8" s="18">
        <f t="shared" si="17"/>
        <v>0</v>
      </c>
      <c r="AJ8" s="18">
        <f t="shared" si="17"/>
        <v>1377408</v>
      </c>
      <c r="AK8" s="18">
        <f t="shared" si="17"/>
        <v>38911099</v>
      </c>
      <c r="AL8" s="18">
        <f t="shared" si="17"/>
        <v>0</v>
      </c>
      <c r="AM8" s="18">
        <f t="shared" si="17"/>
        <v>0</v>
      </c>
      <c r="AN8" s="18">
        <f t="shared" si="17"/>
        <v>0</v>
      </c>
      <c r="AO8" s="18">
        <f t="shared" si="17"/>
        <v>0</v>
      </c>
      <c r="AP8" s="18">
        <f t="shared" si="17"/>
        <v>0</v>
      </c>
      <c r="AQ8" s="18">
        <f t="shared" si="17"/>
        <v>0</v>
      </c>
      <c r="AR8" s="18">
        <f t="shared" si="17"/>
        <v>0</v>
      </c>
      <c r="AS8" s="18">
        <f t="shared" si="17"/>
        <v>0</v>
      </c>
      <c r="AT8" s="18">
        <f t="shared" si="17"/>
        <v>0</v>
      </c>
      <c r="AU8" s="18">
        <f t="shared" si="17"/>
        <v>37533691</v>
      </c>
      <c r="AV8" s="18">
        <f t="shared" si="17"/>
        <v>0</v>
      </c>
      <c r="AW8" s="18">
        <f t="shared" si="17"/>
        <v>1377408</v>
      </c>
      <c r="AX8" s="18">
        <f t="shared" si="17"/>
        <v>38911099</v>
      </c>
      <c r="AY8" s="14"/>
    </row>
    <row r="9" spans="1:51" ht="13.5">
      <c r="A9" s="138">
        <v>40391</v>
      </c>
      <c r="B9" s="139">
        <v>28833177</v>
      </c>
      <c r="C9" s="18">
        <v>0</v>
      </c>
      <c r="D9" s="18">
        <v>2315495</v>
      </c>
      <c r="E9" s="18">
        <f t="shared" si="0"/>
        <v>31148672</v>
      </c>
      <c r="F9" s="18">
        <f t="shared" si="1"/>
        <v>0</v>
      </c>
      <c r="G9" s="18">
        <f t="shared" si="2"/>
        <v>0</v>
      </c>
      <c r="H9" s="18">
        <f t="shared" si="3"/>
        <v>0</v>
      </c>
      <c r="I9" s="18">
        <f t="shared" si="4"/>
        <v>0</v>
      </c>
      <c r="J9" s="18">
        <f t="shared" si="5"/>
        <v>0</v>
      </c>
      <c r="K9" s="18">
        <v>0</v>
      </c>
      <c r="L9" s="18">
        <f t="shared" si="6"/>
        <v>0</v>
      </c>
      <c r="M9" s="18">
        <v>0</v>
      </c>
      <c r="N9" s="18">
        <f t="shared" si="15"/>
        <v>0</v>
      </c>
      <c r="O9" s="18">
        <f t="shared" si="16"/>
        <v>28833177</v>
      </c>
      <c r="P9" s="18">
        <f t="shared" si="7"/>
        <v>0</v>
      </c>
      <c r="Q9" s="18">
        <f t="shared" si="8"/>
        <v>2315495</v>
      </c>
      <c r="R9" s="235">
        <f t="shared" si="9"/>
        <v>31148672</v>
      </c>
      <c r="S9" s="18">
        <v>0</v>
      </c>
      <c r="T9" s="18">
        <v>0</v>
      </c>
      <c r="U9" s="18">
        <v>0</v>
      </c>
      <c r="V9" s="18">
        <f t="shared" si="10"/>
        <v>0</v>
      </c>
      <c r="W9" s="18">
        <v>0</v>
      </c>
      <c r="X9" s="18">
        <v>0</v>
      </c>
      <c r="Y9" s="18">
        <v>0</v>
      </c>
      <c r="Z9" s="18">
        <f t="shared" si="11"/>
        <v>0</v>
      </c>
      <c r="AA9" s="18">
        <v>0</v>
      </c>
      <c r="AB9" s="18">
        <v>0</v>
      </c>
      <c r="AC9" s="18">
        <v>0</v>
      </c>
      <c r="AD9" s="18">
        <f t="shared" si="12"/>
        <v>0</v>
      </c>
      <c r="AE9" s="18">
        <v>0</v>
      </c>
      <c r="AF9" s="18">
        <v>0</v>
      </c>
      <c r="AG9" s="236">
        <f t="shared" si="13"/>
        <v>0</v>
      </c>
      <c r="AH9" s="18">
        <f t="shared" si="18"/>
        <v>66366868</v>
      </c>
      <c r="AI9" s="18">
        <f t="shared" si="17"/>
        <v>0</v>
      </c>
      <c r="AJ9" s="18">
        <f t="shared" si="17"/>
        <v>3692903</v>
      </c>
      <c r="AK9" s="18">
        <f t="shared" si="17"/>
        <v>70059771</v>
      </c>
      <c r="AL9" s="18">
        <f t="shared" si="17"/>
        <v>0</v>
      </c>
      <c r="AM9" s="18">
        <f t="shared" si="17"/>
        <v>0</v>
      </c>
      <c r="AN9" s="18">
        <f t="shared" si="17"/>
        <v>0</v>
      </c>
      <c r="AO9" s="18">
        <f t="shared" si="17"/>
        <v>0</v>
      </c>
      <c r="AP9" s="18">
        <f t="shared" si="17"/>
        <v>0</v>
      </c>
      <c r="AQ9" s="18">
        <f t="shared" si="17"/>
        <v>0</v>
      </c>
      <c r="AR9" s="18">
        <f t="shared" si="17"/>
        <v>0</v>
      </c>
      <c r="AS9" s="18">
        <f t="shared" si="17"/>
        <v>0</v>
      </c>
      <c r="AT9" s="18">
        <f t="shared" si="17"/>
        <v>0</v>
      </c>
      <c r="AU9" s="18">
        <f t="shared" si="17"/>
        <v>66366868</v>
      </c>
      <c r="AV9" s="18">
        <f t="shared" si="17"/>
        <v>0</v>
      </c>
      <c r="AW9" s="18">
        <f t="shared" si="17"/>
        <v>3692903</v>
      </c>
      <c r="AX9" s="18">
        <f t="shared" si="17"/>
        <v>70059771</v>
      </c>
      <c r="AY9" s="14"/>
    </row>
    <row r="10" spans="1:51" ht="13.5">
      <c r="A10" s="138">
        <v>40422</v>
      </c>
      <c r="B10" s="139">
        <v>35676995</v>
      </c>
      <c r="C10" s="18">
        <v>0</v>
      </c>
      <c r="D10" s="18">
        <v>1242409</v>
      </c>
      <c r="E10" s="18">
        <f t="shared" si="0"/>
        <v>36919404</v>
      </c>
      <c r="F10" s="18">
        <f t="shared" si="1"/>
        <v>0</v>
      </c>
      <c r="G10" s="18">
        <f t="shared" si="2"/>
        <v>0</v>
      </c>
      <c r="H10" s="18">
        <f t="shared" si="3"/>
        <v>0</v>
      </c>
      <c r="I10" s="18">
        <f t="shared" si="4"/>
        <v>0</v>
      </c>
      <c r="J10" s="18">
        <f t="shared" si="5"/>
        <v>0</v>
      </c>
      <c r="K10" s="18">
        <v>0</v>
      </c>
      <c r="L10" s="18">
        <f t="shared" si="6"/>
        <v>0</v>
      </c>
      <c r="M10" s="18">
        <v>0</v>
      </c>
      <c r="N10" s="18">
        <f t="shared" si="15"/>
        <v>0</v>
      </c>
      <c r="O10" s="18">
        <f t="shared" si="16"/>
        <v>35676995</v>
      </c>
      <c r="P10" s="18">
        <f t="shared" si="7"/>
        <v>0</v>
      </c>
      <c r="Q10" s="18">
        <f t="shared" si="8"/>
        <v>1242409</v>
      </c>
      <c r="R10" s="235">
        <f t="shared" si="9"/>
        <v>36919404</v>
      </c>
      <c r="S10" s="18">
        <v>0</v>
      </c>
      <c r="T10" s="18">
        <v>0</v>
      </c>
      <c r="U10" s="18">
        <v>0</v>
      </c>
      <c r="V10" s="18">
        <f t="shared" si="10"/>
        <v>0</v>
      </c>
      <c r="W10" s="18">
        <v>0</v>
      </c>
      <c r="X10" s="18">
        <v>0</v>
      </c>
      <c r="Y10" s="18">
        <v>0</v>
      </c>
      <c r="Z10" s="18">
        <f t="shared" si="11"/>
        <v>0</v>
      </c>
      <c r="AA10" s="18">
        <v>0</v>
      </c>
      <c r="AB10" s="18">
        <v>0</v>
      </c>
      <c r="AC10" s="18">
        <v>0</v>
      </c>
      <c r="AD10" s="18">
        <f t="shared" si="12"/>
        <v>0</v>
      </c>
      <c r="AE10" s="18">
        <v>0</v>
      </c>
      <c r="AF10" s="18">
        <v>0</v>
      </c>
      <c r="AG10" s="236">
        <f t="shared" si="13"/>
        <v>0</v>
      </c>
      <c r="AH10" s="18">
        <f t="shared" si="18"/>
        <v>102043863</v>
      </c>
      <c r="AI10" s="18">
        <f t="shared" si="17"/>
        <v>0</v>
      </c>
      <c r="AJ10" s="18">
        <f t="shared" si="17"/>
        <v>4935312</v>
      </c>
      <c r="AK10" s="18">
        <f t="shared" si="17"/>
        <v>106979175</v>
      </c>
      <c r="AL10" s="18">
        <f t="shared" si="17"/>
        <v>0</v>
      </c>
      <c r="AM10" s="18">
        <f t="shared" si="17"/>
        <v>0</v>
      </c>
      <c r="AN10" s="18">
        <f t="shared" si="17"/>
        <v>0</v>
      </c>
      <c r="AO10" s="18">
        <f t="shared" si="17"/>
        <v>0</v>
      </c>
      <c r="AP10" s="18">
        <f t="shared" si="17"/>
        <v>0</v>
      </c>
      <c r="AQ10" s="18">
        <f t="shared" si="17"/>
        <v>0</v>
      </c>
      <c r="AR10" s="18">
        <f t="shared" si="17"/>
        <v>0</v>
      </c>
      <c r="AS10" s="18">
        <f t="shared" si="17"/>
        <v>0</v>
      </c>
      <c r="AT10" s="18">
        <f t="shared" si="17"/>
        <v>0</v>
      </c>
      <c r="AU10" s="18">
        <f t="shared" si="17"/>
        <v>102043863</v>
      </c>
      <c r="AV10" s="18">
        <f t="shared" si="17"/>
        <v>0</v>
      </c>
      <c r="AW10" s="18">
        <f t="shared" si="17"/>
        <v>4935312</v>
      </c>
      <c r="AX10" s="18">
        <f t="shared" si="17"/>
        <v>106979175</v>
      </c>
      <c r="AY10" s="14"/>
    </row>
    <row r="11" spans="1:51" ht="13.5">
      <c r="A11" s="138">
        <v>40452</v>
      </c>
      <c r="B11" s="139">
        <v>36783265</v>
      </c>
      <c r="C11" s="18">
        <v>0</v>
      </c>
      <c r="D11" s="18">
        <v>3599083</v>
      </c>
      <c r="E11" s="18">
        <f t="shared" si="0"/>
        <v>40382348</v>
      </c>
      <c r="F11" s="18">
        <f t="shared" si="1"/>
        <v>0</v>
      </c>
      <c r="G11" s="18">
        <f t="shared" si="2"/>
        <v>0</v>
      </c>
      <c r="H11" s="18">
        <f t="shared" si="3"/>
        <v>0</v>
      </c>
      <c r="I11" s="18">
        <f t="shared" si="4"/>
        <v>0</v>
      </c>
      <c r="J11" s="18">
        <f t="shared" si="5"/>
        <v>0</v>
      </c>
      <c r="K11" s="18">
        <v>0</v>
      </c>
      <c r="L11" s="18">
        <f t="shared" si="6"/>
        <v>0</v>
      </c>
      <c r="M11" s="18">
        <v>0</v>
      </c>
      <c r="N11" s="18">
        <f t="shared" si="15"/>
        <v>0</v>
      </c>
      <c r="O11" s="18">
        <f t="shared" si="16"/>
        <v>36783265</v>
      </c>
      <c r="P11" s="18">
        <f t="shared" si="7"/>
        <v>0</v>
      </c>
      <c r="Q11" s="18">
        <f t="shared" si="8"/>
        <v>3599083</v>
      </c>
      <c r="R11" s="235">
        <f t="shared" si="9"/>
        <v>40382348</v>
      </c>
      <c r="S11" s="18">
        <v>0</v>
      </c>
      <c r="T11" s="18">
        <v>0</v>
      </c>
      <c r="U11" s="18">
        <v>0</v>
      </c>
      <c r="V11" s="18">
        <f t="shared" si="10"/>
        <v>0</v>
      </c>
      <c r="W11" s="18">
        <v>0</v>
      </c>
      <c r="X11" s="18">
        <v>0</v>
      </c>
      <c r="Y11" s="18">
        <v>0</v>
      </c>
      <c r="Z11" s="18">
        <f t="shared" si="11"/>
        <v>0</v>
      </c>
      <c r="AA11" s="18">
        <v>0</v>
      </c>
      <c r="AB11" s="18">
        <v>0</v>
      </c>
      <c r="AC11" s="18">
        <v>0</v>
      </c>
      <c r="AD11" s="18">
        <f t="shared" si="12"/>
        <v>0</v>
      </c>
      <c r="AE11" s="18">
        <v>0</v>
      </c>
      <c r="AF11" s="18">
        <v>0</v>
      </c>
      <c r="AG11" s="236">
        <f t="shared" si="13"/>
        <v>0</v>
      </c>
      <c r="AH11" s="18">
        <f t="shared" si="18"/>
        <v>138827128</v>
      </c>
      <c r="AI11" s="18">
        <f t="shared" si="17"/>
        <v>0</v>
      </c>
      <c r="AJ11" s="18">
        <f t="shared" si="17"/>
        <v>8534395</v>
      </c>
      <c r="AK11" s="18">
        <f t="shared" si="17"/>
        <v>147361523</v>
      </c>
      <c r="AL11" s="18">
        <f t="shared" si="17"/>
        <v>0</v>
      </c>
      <c r="AM11" s="18">
        <f t="shared" si="17"/>
        <v>0</v>
      </c>
      <c r="AN11" s="18">
        <f t="shared" si="17"/>
        <v>0</v>
      </c>
      <c r="AO11" s="18">
        <f t="shared" si="17"/>
        <v>0</v>
      </c>
      <c r="AP11" s="18">
        <f t="shared" si="17"/>
        <v>0</v>
      </c>
      <c r="AQ11" s="18">
        <f t="shared" si="17"/>
        <v>0</v>
      </c>
      <c r="AR11" s="18">
        <f t="shared" si="17"/>
        <v>0</v>
      </c>
      <c r="AS11" s="18">
        <f t="shared" si="17"/>
        <v>0</v>
      </c>
      <c r="AT11" s="18">
        <f t="shared" si="17"/>
        <v>0</v>
      </c>
      <c r="AU11" s="18">
        <f t="shared" si="17"/>
        <v>138827128</v>
      </c>
      <c r="AV11" s="18">
        <f t="shared" si="17"/>
        <v>0</v>
      </c>
      <c r="AW11" s="18">
        <f t="shared" si="17"/>
        <v>8534395</v>
      </c>
      <c r="AX11" s="18">
        <f t="shared" si="17"/>
        <v>147361523</v>
      </c>
      <c r="AY11" s="14"/>
    </row>
    <row r="12" spans="1:51" ht="13.5">
      <c r="A12" s="138">
        <v>40483</v>
      </c>
      <c r="B12" s="139">
        <v>30710824</v>
      </c>
      <c r="C12" s="18">
        <v>0</v>
      </c>
      <c r="D12" s="18">
        <v>1990621</v>
      </c>
      <c r="E12" s="18">
        <f t="shared" si="0"/>
        <v>32701445</v>
      </c>
      <c r="F12" s="18">
        <f t="shared" si="1"/>
        <v>349738</v>
      </c>
      <c r="G12" s="18">
        <f t="shared" si="2"/>
        <v>0</v>
      </c>
      <c r="H12" s="18">
        <f t="shared" si="3"/>
        <v>0</v>
      </c>
      <c r="I12" s="18">
        <f t="shared" si="4"/>
        <v>349738</v>
      </c>
      <c r="J12" s="18">
        <f t="shared" si="5"/>
        <v>0</v>
      </c>
      <c r="K12" s="18">
        <v>0</v>
      </c>
      <c r="L12" s="18">
        <f t="shared" si="6"/>
        <v>0</v>
      </c>
      <c r="M12" s="18">
        <v>0</v>
      </c>
      <c r="N12" s="18">
        <f t="shared" si="15"/>
        <v>0</v>
      </c>
      <c r="O12" s="18">
        <f t="shared" si="16"/>
        <v>31060562</v>
      </c>
      <c r="P12" s="18">
        <f t="shared" si="7"/>
        <v>0</v>
      </c>
      <c r="Q12" s="18">
        <f t="shared" si="8"/>
        <v>1990621</v>
      </c>
      <c r="R12" s="235">
        <f t="shared" si="9"/>
        <v>33051183</v>
      </c>
      <c r="S12" s="18">
        <v>0</v>
      </c>
      <c r="T12" s="18">
        <v>0</v>
      </c>
      <c r="U12" s="18">
        <v>349738</v>
      </c>
      <c r="V12" s="18">
        <f t="shared" si="10"/>
        <v>349738</v>
      </c>
      <c r="W12" s="18">
        <v>0</v>
      </c>
      <c r="X12" s="18">
        <v>0</v>
      </c>
      <c r="Y12" s="18">
        <v>0</v>
      </c>
      <c r="Z12" s="18">
        <f t="shared" si="11"/>
        <v>0</v>
      </c>
      <c r="AA12" s="18">
        <v>0</v>
      </c>
      <c r="AB12" s="18">
        <v>0</v>
      </c>
      <c r="AC12" s="18">
        <v>0</v>
      </c>
      <c r="AD12" s="18">
        <f t="shared" si="12"/>
        <v>0</v>
      </c>
      <c r="AE12" s="18">
        <v>0</v>
      </c>
      <c r="AF12" s="18">
        <v>0</v>
      </c>
      <c r="AG12" s="236">
        <f t="shared" si="13"/>
        <v>0</v>
      </c>
      <c r="AH12" s="18">
        <f t="shared" si="18"/>
        <v>169537952</v>
      </c>
      <c r="AI12" s="18">
        <f t="shared" si="17"/>
        <v>0</v>
      </c>
      <c r="AJ12" s="18">
        <f t="shared" si="17"/>
        <v>10525016</v>
      </c>
      <c r="AK12" s="18">
        <f t="shared" si="17"/>
        <v>180062968</v>
      </c>
      <c r="AL12" s="18">
        <f t="shared" si="17"/>
        <v>349738</v>
      </c>
      <c r="AM12" s="18">
        <f t="shared" si="17"/>
        <v>0</v>
      </c>
      <c r="AN12" s="18">
        <f t="shared" si="17"/>
        <v>0</v>
      </c>
      <c r="AO12" s="18">
        <f t="shared" si="17"/>
        <v>349738</v>
      </c>
      <c r="AP12" s="18">
        <f t="shared" si="17"/>
        <v>0</v>
      </c>
      <c r="AQ12" s="18">
        <f t="shared" si="17"/>
        <v>0</v>
      </c>
      <c r="AR12" s="18">
        <f t="shared" si="17"/>
        <v>0</v>
      </c>
      <c r="AS12" s="18">
        <f t="shared" si="17"/>
        <v>0</v>
      </c>
      <c r="AT12" s="18">
        <f t="shared" si="17"/>
        <v>0</v>
      </c>
      <c r="AU12" s="18">
        <f t="shared" si="17"/>
        <v>169887690</v>
      </c>
      <c r="AV12" s="18">
        <f t="shared" si="17"/>
        <v>0</v>
      </c>
      <c r="AW12" s="18">
        <f t="shared" si="17"/>
        <v>10525016</v>
      </c>
      <c r="AX12" s="18">
        <f t="shared" si="17"/>
        <v>180412706</v>
      </c>
      <c r="AY12" s="14"/>
    </row>
    <row r="13" spans="1:51" ht="14.25" thickBot="1">
      <c r="A13" s="138">
        <v>40513</v>
      </c>
      <c r="B13" s="139">
        <v>32417898</v>
      </c>
      <c r="C13" s="18">
        <v>0</v>
      </c>
      <c r="D13" s="18">
        <v>1962490</v>
      </c>
      <c r="E13" s="18">
        <f t="shared" si="0"/>
        <v>34380388</v>
      </c>
      <c r="F13" s="18">
        <f t="shared" si="1"/>
        <v>609819</v>
      </c>
      <c r="G13" s="18">
        <f t="shared" si="2"/>
        <v>0</v>
      </c>
      <c r="H13" s="18">
        <f t="shared" si="3"/>
        <v>0</v>
      </c>
      <c r="I13" s="18">
        <f t="shared" si="4"/>
        <v>609819</v>
      </c>
      <c r="J13" s="18">
        <f t="shared" si="5"/>
        <v>0</v>
      </c>
      <c r="K13" s="18">
        <v>0</v>
      </c>
      <c r="L13" s="18">
        <f t="shared" si="6"/>
        <v>0</v>
      </c>
      <c r="M13" s="18">
        <v>0</v>
      </c>
      <c r="N13" s="18">
        <f t="shared" si="15"/>
        <v>0</v>
      </c>
      <c r="O13" s="18">
        <f t="shared" si="16"/>
        <v>33027717</v>
      </c>
      <c r="P13" s="18">
        <f t="shared" si="7"/>
        <v>0</v>
      </c>
      <c r="Q13" s="18">
        <f t="shared" si="8"/>
        <v>1962490</v>
      </c>
      <c r="R13" s="235">
        <f t="shared" si="9"/>
        <v>34990207</v>
      </c>
      <c r="S13" s="18">
        <v>0</v>
      </c>
      <c r="T13" s="18">
        <v>240476</v>
      </c>
      <c r="U13" s="18">
        <v>369343</v>
      </c>
      <c r="V13" s="18">
        <f t="shared" si="10"/>
        <v>609819</v>
      </c>
      <c r="W13" s="18">
        <v>0</v>
      </c>
      <c r="X13" s="18">
        <v>0</v>
      </c>
      <c r="Y13" s="18">
        <v>0</v>
      </c>
      <c r="Z13" s="18">
        <f t="shared" si="11"/>
        <v>0</v>
      </c>
      <c r="AA13" s="18">
        <v>0</v>
      </c>
      <c r="AB13" s="18">
        <v>0</v>
      </c>
      <c r="AC13" s="18">
        <v>0</v>
      </c>
      <c r="AD13" s="18">
        <f t="shared" si="12"/>
        <v>0</v>
      </c>
      <c r="AE13" s="18">
        <v>0</v>
      </c>
      <c r="AF13" s="18">
        <v>0</v>
      </c>
      <c r="AG13" s="236">
        <f t="shared" si="13"/>
        <v>0</v>
      </c>
      <c r="AH13" s="18">
        <f t="shared" si="18"/>
        <v>201955850</v>
      </c>
      <c r="AI13" s="18">
        <f t="shared" si="17"/>
        <v>0</v>
      </c>
      <c r="AJ13" s="18">
        <f t="shared" si="17"/>
        <v>12487506</v>
      </c>
      <c r="AK13" s="18">
        <f t="shared" si="17"/>
        <v>214443356</v>
      </c>
      <c r="AL13" s="18">
        <f t="shared" si="17"/>
        <v>959557</v>
      </c>
      <c r="AM13" s="18">
        <f t="shared" si="17"/>
        <v>0</v>
      </c>
      <c r="AN13" s="18">
        <f t="shared" si="17"/>
        <v>0</v>
      </c>
      <c r="AO13" s="18">
        <f t="shared" si="17"/>
        <v>959557</v>
      </c>
      <c r="AP13" s="18">
        <f t="shared" si="17"/>
        <v>0</v>
      </c>
      <c r="AQ13" s="18">
        <f t="shared" si="17"/>
        <v>0</v>
      </c>
      <c r="AR13" s="18">
        <f t="shared" si="17"/>
        <v>0</v>
      </c>
      <c r="AS13" s="18">
        <f t="shared" si="17"/>
        <v>0</v>
      </c>
      <c r="AT13" s="18">
        <f t="shared" si="17"/>
        <v>0</v>
      </c>
      <c r="AU13" s="18">
        <f t="shared" si="17"/>
        <v>202915407</v>
      </c>
      <c r="AV13" s="18">
        <f t="shared" si="17"/>
        <v>0</v>
      </c>
      <c r="AW13" s="18">
        <f t="shared" si="17"/>
        <v>12487506</v>
      </c>
      <c r="AX13" s="18">
        <f t="shared" si="17"/>
        <v>215402913</v>
      </c>
      <c r="AY13" s="14"/>
    </row>
    <row r="14" spans="1:51" ht="13.5">
      <c r="A14" s="141">
        <v>40544</v>
      </c>
      <c r="B14" s="142">
        <v>32877627</v>
      </c>
      <c r="C14" s="143">
        <v>0</v>
      </c>
      <c r="D14" s="143">
        <v>2636424</v>
      </c>
      <c r="E14" s="143">
        <f t="shared" si="0"/>
        <v>35514051</v>
      </c>
      <c r="F14" s="143">
        <f t="shared" si="1"/>
        <v>2152722</v>
      </c>
      <c r="G14" s="143">
        <f t="shared" si="2"/>
        <v>0</v>
      </c>
      <c r="H14" s="143">
        <f t="shared" si="3"/>
        <v>0</v>
      </c>
      <c r="I14" s="143">
        <f t="shared" si="4"/>
        <v>2152722</v>
      </c>
      <c r="J14" s="143">
        <f t="shared" si="5"/>
        <v>0</v>
      </c>
      <c r="K14" s="143">
        <v>0</v>
      </c>
      <c r="L14" s="143">
        <f t="shared" si="6"/>
        <v>0</v>
      </c>
      <c r="M14" s="143">
        <v>0</v>
      </c>
      <c r="N14" s="143">
        <f t="shared" si="15"/>
        <v>0</v>
      </c>
      <c r="O14" s="143">
        <f t="shared" si="16"/>
        <v>35030349</v>
      </c>
      <c r="P14" s="143">
        <f t="shared" si="7"/>
        <v>0</v>
      </c>
      <c r="Q14" s="143">
        <f t="shared" si="8"/>
        <v>2636424</v>
      </c>
      <c r="R14" s="237">
        <f t="shared" si="9"/>
        <v>37666773</v>
      </c>
      <c r="S14" s="143">
        <v>0</v>
      </c>
      <c r="T14" s="143">
        <v>215640</v>
      </c>
      <c r="U14" s="143">
        <v>1937082</v>
      </c>
      <c r="V14" s="143">
        <f t="shared" si="10"/>
        <v>2152722</v>
      </c>
      <c r="W14" s="143">
        <v>0</v>
      </c>
      <c r="X14" s="143">
        <v>0</v>
      </c>
      <c r="Y14" s="143">
        <v>0</v>
      </c>
      <c r="Z14" s="143">
        <f t="shared" si="11"/>
        <v>0</v>
      </c>
      <c r="AA14" s="143">
        <v>0</v>
      </c>
      <c r="AB14" s="143">
        <v>0</v>
      </c>
      <c r="AC14" s="143">
        <v>0</v>
      </c>
      <c r="AD14" s="143">
        <f t="shared" si="12"/>
        <v>0</v>
      </c>
      <c r="AE14" s="143">
        <v>0</v>
      </c>
      <c r="AF14" s="143">
        <v>0</v>
      </c>
      <c r="AG14" s="238">
        <f t="shared" si="13"/>
        <v>0</v>
      </c>
      <c r="AH14" s="143">
        <f t="shared" ref="AH14:AX14" si="19">B14</f>
        <v>32877627</v>
      </c>
      <c r="AI14" s="143">
        <f t="shared" si="19"/>
        <v>0</v>
      </c>
      <c r="AJ14" s="143">
        <f t="shared" si="19"/>
        <v>2636424</v>
      </c>
      <c r="AK14" s="143">
        <f t="shared" si="19"/>
        <v>35514051</v>
      </c>
      <c r="AL14" s="143">
        <f t="shared" si="19"/>
        <v>2152722</v>
      </c>
      <c r="AM14" s="143">
        <f t="shared" si="19"/>
        <v>0</v>
      </c>
      <c r="AN14" s="143">
        <f t="shared" si="19"/>
        <v>0</v>
      </c>
      <c r="AO14" s="143">
        <f t="shared" si="19"/>
        <v>2152722</v>
      </c>
      <c r="AP14" s="143">
        <f t="shared" si="19"/>
        <v>0</v>
      </c>
      <c r="AQ14" s="143">
        <f t="shared" si="19"/>
        <v>0</v>
      </c>
      <c r="AR14" s="143">
        <f t="shared" si="19"/>
        <v>0</v>
      </c>
      <c r="AS14" s="143">
        <f t="shared" si="19"/>
        <v>0</v>
      </c>
      <c r="AT14" s="143">
        <f t="shared" si="19"/>
        <v>0</v>
      </c>
      <c r="AU14" s="143">
        <f t="shared" si="19"/>
        <v>35030349</v>
      </c>
      <c r="AV14" s="143">
        <f t="shared" si="19"/>
        <v>0</v>
      </c>
      <c r="AW14" s="143">
        <f t="shared" si="19"/>
        <v>2636424</v>
      </c>
      <c r="AX14" s="143">
        <f t="shared" si="19"/>
        <v>37666773</v>
      </c>
      <c r="AY14" s="14"/>
    </row>
    <row r="15" spans="1:51" ht="13.5">
      <c r="A15" s="138">
        <v>40575</v>
      </c>
      <c r="B15" s="139">
        <v>41535834</v>
      </c>
      <c r="C15" s="18">
        <v>0</v>
      </c>
      <c r="D15" s="18">
        <v>1336045</v>
      </c>
      <c r="E15" s="18">
        <f t="shared" si="0"/>
        <v>42871879</v>
      </c>
      <c r="F15" s="18">
        <f t="shared" si="1"/>
        <v>236655</v>
      </c>
      <c r="G15" s="18">
        <f t="shared" si="2"/>
        <v>0</v>
      </c>
      <c r="H15" s="18">
        <f t="shared" si="3"/>
        <v>0</v>
      </c>
      <c r="I15" s="18">
        <f t="shared" si="4"/>
        <v>236655</v>
      </c>
      <c r="J15" s="18">
        <f t="shared" si="5"/>
        <v>0</v>
      </c>
      <c r="K15" s="18">
        <v>0</v>
      </c>
      <c r="L15" s="18">
        <f t="shared" si="6"/>
        <v>0</v>
      </c>
      <c r="M15" s="18">
        <v>0</v>
      </c>
      <c r="N15" s="18">
        <f t="shared" si="15"/>
        <v>0</v>
      </c>
      <c r="O15" s="18">
        <f t="shared" si="16"/>
        <v>41772489</v>
      </c>
      <c r="P15" s="18">
        <f t="shared" si="7"/>
        <v>0</v>
      </c>
      <c r="Q15" s="18">
        <f t="shared" si="8"/>
        <v>1336045</v>
      </c>
      <c r="R15" s="235">
        <f t="shared" si="9"/>
        <v>43108534</v>
      </c>
      <c r="S15" s="18">
        <v>0</v>
      </c>
      <c r="T15" s="18">
        <v>236655</v>
      </c>
      <c r="U15" s="18">
        <v>0</v>
      </c>
      <c r="V15" s="18">
        <f t="shared" si="10"/>
        <v>236655</v>
      </c>
      <c r="W15" s="18">
        <v>0</v>
      </c>
      <c r="X15" s="18">
        <v>0</v>
      </c>
      <c r="Y15" s="18">
        <v>0</v>
      </c>
      <c r="Z15" s="18">
        <f t="shared" si="11"/>
        <v>0</v>
      </c>
      <c r="AA15" s="18">
        <v>0</v>
      </c>
      <c r="AB15" s="18">
        <v>0</v>
      </c>
      <c r="AC15" s="18">
        <v>0</v>
      </c>
      <c r="AD15" s="18">
        <f t="shared" si="12"/>
        <v>0</v>
      </c>
      <c r="AE15" s="18">
        <v>0</v>
      </c>
      <c r="AF15" s="18">
        <v>0</v>
      </c>
      <c r="AG15" s="236">
        <f t="shared" si="13"/>
        <v>0</v>
      </c>
      <c r="AH15" s="18">
        <f>AH14+B15</f>
        <v>74413461</v>
      </c>
      <c r="AI15" s="18">
        <f t="shared" ref="AI15:AX25" si="20">AI14+C15</f>
        <v>0</v>
      </c>
      <c r="AJ15" s="18">
        <f t="shared" si="20"/>
        <v>3972469</v>
      </c>
      <c r="AK15" s="18">
        <f t="shared" si="20"/>
        <v>78385930</v>
      </c>
      <c r="AL15" s="18">
        <f t="shared" si="20"/>
        <v>2389377</v>
      </c>
      <c r="AM15" s="18">
        <f t="shared" si="20"/>
        <v>0</v>
      </c>
      <c r="AN15" s="18">
        <f t="shared" si="20"/>
        <v>0</v>
      </c>
      <c r="AO15" s="18">
        <f t="shared" si="20"/>
        <v>2389377</v>
      </c>
      <c r="AP15" s="18">
        <f t="shared" si="20"/>
        <v>0</v>
      </c>
      <c r="AQ15" s="18">
        <f t="shared" si="20"/>
        <v>0</v>
      </c>
      <c r="AR15" s="18">
        <f t="shared" si="20"/>
        <v>0</v>
      </c>
      <c r="AS15" s="18">
        <f t="shared" si="20"/>
        <v>0</v>
      </c>
      <c r="AT15" s="18">
        <f t="shared" si="20"/>
        <v>0</v>
      </c>
      <c r="AU15" s="18">
        <f t="shared" si="20"/>
        <v>76802838</v>
      </c>
      <c r="AV15" s="18">
        <f t="shared" si="20"/>
        <v>0</v>
      </c>
      <c r="AW15" s="18">
        <f t="shared" si="20"/>
        <v>3972469</v>
      </c>
      <c r="AX15" s="18">
        <f t="shared" si="20"/>
        <v>80775307</v>
      </c>
      <c r="AY15" s="14"/>
    </row>
    <row r="16" spans="1:51" ht="13.5">
      <c r="A16" s="138">
        <v>40603</v>
      </c>
      <c r="B16" s="139">
        <v>63342553</v>
      </c>
      <c r="C16" s="18">
        <v>0</v>
      </c>
      <c r="D16" s="18">
        <v>4627645</v>
      </c>
      <c r="E16" s="18">
        <f t="shared" si="0"/>
        <v>67970198</v>
      </c>
      <c r="F16" s="18">
        <f t="shared" si="1"/>
        <v>2386369</v>
      </c>
      <c r="G16" s="18">
        <f t="shared" si="2"/>
        <v>0</v>
      </c>
      <c r="H16" s="18">
        <f t="shared" si="3"/>
        <v>0</v>
      </c>
      <c r="I16" s="18">
        <f t="shared" si="4"/>
        <v>2386369</v>
      </c>
      <c r="J16" s="18">
        <f t="shared" si="5"/>
        <v>0</v>
      </c>
      <c r="K16" s="18">
        <v>0</v>
      </c>
      <c r="L16" s="18">
        <f t="shared" si="6"/>
        <v>0</v>
      </c>
      <c r="M16" s="18">
        <v>0</v>
      </c>
      <c r="N16" s="18">
        <f t="shared" si="15"/>
        <v>0</v>
      </c>
      <c r="O16" s="18">
        <f t="shared" si="16"/>
        <v>65728922</v>
      </c>
      <c r="P16" s="18">
        <f t="shared" si="7"/>
        <v>0</v>
      </c>
      <c r="Q16" s="18">
        <f t="shared" si="8"/>
        <v>4627645</v>
      </c>
      <c r="R16" s="235">
        <f t="shared" si="9"/>
        <v>70356567</v>
      </c>
      <c r="S16" s="18">
        <v>0</v>
      </c>
      <c r="T16" s="18">
        <v>755025</v>
      </c>
      <c r="U16" s="18">
        <v>1631344</v>
      </c>
      <c r="V16" s="18">
        <f t="shared" si="10"/>
        <v>2386369</v>
      </c>
      <c r="W16" s="18">
        <v>0</v>
      </c>
      <c r="X16" s="18">
        <v>0</v>
      </c>
      <c r="Y16" s="18">
        <v>0</v>
      </c>
      <c r="Z16" s="18">
        <f t="shared" si="11"/>
        <v>0</v>
      </c>
      <c r="AA16" s="18">
        <v>0</v>
      </c>
      <c r="AB16" s="18">
        <v>0</v>
      </c>
      <c r="AC16" s="18">
        <v>0</v>
      </c>
      <c r="AD16" s="18">
        <f t="shared" si="12"/>
        <v>0</v>
      </c>
      <c r="AE16" s="18">
        <v>0</v>
      </c>
      <c r="AF16" s="18">
        <v>0</v>
      </c>
      <c r="AG16" s="236">
        <f t="shared" si="13"/>
        <v>0</v>
      </c>
      <c r="AH16" s="18">
        <f t="shared" ref="AH16:AH25" si="21">AH15+B16</f>
        <v>137756014</v>
      </c>
      <c r="AI16" s="18">
        <f t="shared" si="20"/>
        <v>0</v>
      </c>
      <c r="AJ16" s="18">
        <f t="shared" si="20"/>
        <v>8600114</v>
      </c>
      <c r="AK16" s="18">
        <f t="shared" si="20"/>
        <v>146356128</v>
      </c>
      <c r="AL16" s="18">
        <f t="shared" si="20"/>
        <v>4775746</v>
      </c>
      <c r="AM16" s="18">
        <f t="shared" si="20"/>
        <v>0</v>
      </c>
      <c r="AN16" s="18">
        <f t="shared" si="20"/>
        <v>0</v>
      </c>
      <c r="AO16" s="18">
        <f t="shared" si="20"/>
        <v>4775746</v>
      </c>
      <c r="AP16" s="18">
        <f t="shared" si="20"/>
        <v>0</v>
      </c>
      <c r="AQ16" s="18">
        <f t="shared" si="20"/>
        <v>0</v>
      </c>
      <c r="AR16" s="18">
        <f t="shared" si="20"/>
        <v>0</v>
      </c>
      <c r="AS16" s="18">
        <f t="shared" si="20"/>
        <v>0</v>
      </c>
      <c r="AT16" s="18">
        <f t="shared" si="20"/>
        <v>0</v>
      </c>
      <c r="AU16" s="18">
        <f t="shared" si="20"/>
        <v>142531760</v>
      </c>
      <c r="AV16" s="18">
        <f t="shared" si="20"/>
        <v>0</v>
      </c>
      <c r="AW16" s="18">
        <f t="shared" si="20"/>
        <v>8600114</v>
      </c>
      <c r="AX16" s="18">
        <f t="shared" si="20"/>
        <v>151131874</v>
      </c>
      <c r="AY16" s="14"/>
    </row>
    <row r="17" spans="1:51" ht="13.5">
      <c r="A17" s="138">
        <v>40634</v>
      </c>
      <c r="B17" s="139">
        <v>70300597</v>
      </c>
      <c r="C17" s="18">
        <v>0</v>
      </c>
      <c r="D17" s="18">
        <v>2211755</v>
      </c>
      <c r="E17" s="18">
        <f t="shared" si="0"/>
        <v>72512352</v>
      </c>
      <c r="F17" s="18">
        <f t="shared" si="1"/>
        <v>1687259</v>
      </c>
      <c r="G17" s="18">
        <f t="shared" si="2"/>
        <v>0</v>
      </c>
      <c r="H17" s="18">
        <f t="shared" si="3"/>
        <v>0</v>
      </c>
      <c r="I17" s="18">
        <f t="shared" si="4"/>
        <v>1687259</v>
      </c>
      <c r="J17" s="18">
        <f t="shared" si="5"/>
        <v>0</v>
      </c>
      <c r="K17" s="18">
        <v>0</v>
      </c>
      <c r="L17" s="18">
        <f t="shared" si="6"/>
        <v>0</v>
      </c>
      <c r="M17" s="18">
        <v>0</v>
      </c>
      <c r="N17" s="18">
        <f t="shared" si="15"/>
        <v>0</v>
      </c>
      <c r="O17" s="18">
        <f t="shared" si="16"/>
        <v>71987856</v>
      </c>
      <c r="P17" s="18">
        <f t="shared" si="7"/>
        <v>0</v>
      </c>
      <c r="Q17" s="18">
        <f t="shared" si="8"/>
        <v>2211755</v>
      </c>
      <c r="R17" s="235">
        <f t="shared" si="9"/>
        <v>74199611</v>
      </c>
      <c r="S17" s="18">
        <v>0</v>
      </c>
      <c r="T17" s="18">
        <v>391384</v>
      </c>
      <c r="U17" s="18">
        <v>1295875</v>
      </c>
      <c r="V17" s="18">
        <f t="shared" si="10"/>
        <v>1687259</v>
      </c>
      <c r="W17" s="18">
        <v>0</v>
      </c>
      <c r="X17" s="18">
        <v>0</v>
      </c>
      <c r="Y17" s="18">
        <v>0</v>
      </c>
      <c r="Z17" s="18">
        <f t="shared" si="11"/>
        <v>0</v>
      </c>
      <c r="AA17" s="18">
        <v>0</v>
      </c>
      <c r="AB17" s="18">
        <v>0</v>
      </c>
      <c r="AC17" s="18">
        <v>0</v>
      </c>
      <c r="AD17" s="18">
        <f t="shared" si="12"/>
        <v>0</v>
      </c>
      <c r="AE17" s="18">
        <v>0</v>
      </c>
      <c r="AF17" s="18">
        <v>0</v>
      </c>
      <c r="AG17" s="236">
        <f t="shared" si="13"/>
        <v>0</v>
      </c>
      <c r="AH17" s="18">
        <f t="shared" si="21"/>
        <v>208056611</v>
      </c>
      <c r="AI17" s="18">
        <f t="shared" si="20"/>
        <v>0</v>
      </c>
      <c r="AJ17" s="18">
        <f t="shared" si="20"/>
        <v>10811869</v>
      </c>
      <c r="AK17" s="18">
        <f t="shared" si="20"/>
        <v>218868480</v>
      </c>
      <c r="AL17" s="18">
        <f t="shared" si="20"/>
        <v>6463005</v>
      </c>
      <c r="AM17" s="18">
        <f t="shared" si="20"/>
        <v>0</v>
      </c>
      <c r="AN17" s="18">
        <f t="shared" si="20"/>
        <v>0</v>
      </c>
      <c r="AO17" s="18">
        <f t="shared" si="20"/>
        <v>6463005</v>
      </c>
      <c r="AP17" s="18">
        <f t="shared" si="20"/>
        <v>0</v>
      </c>
      <c r="AQ17" s="18">
        <f t="shared" si="20"/>
        <v>0</v>
      </c>
      <c r="AR17" s="18">
        <f t="shared" si="20"/>
        <v>0</v>
      </c>
      <c r="AS17" s="18">
        <f t="shared" si="20"/>
        <v>0</v>
      </c>
      <c r="AT17" s="18">
        <f t="shared" si="20"/>
        <v>0</v>
      </c>
      <c r="AU17" s="18">
        <f t="shared" si="20"/>
        <v>214519616</v>
      </c>
      <c r="AV17" s="18">
        <f t="shared" si="20"/>
        <v>0</v>
      </c>
      <c r="AW17" s="18">
        <f t="shared" si="20"/>
        <v>10811869</v>
      </c>
      <c r="AX17" s="18">
        <f t="shared" si="20"/>
        <v>225331485</v>
      </c>
      <c r="AY17" s="14"/>
    </row>
    <row r="18" spans="1:51" ht="13.5">
      <c r="A18" s="138">
        <v>40664</v>
      </c>
      <c r="B18" s="139">
        <v>77560283</v>
      </c>
      <c r="C18" s="18">
        <v>0</v>
      </c>
      <c r="D18" s="18">
        <v>2249922</v>
      </c>
      <c r="E18" s="18">
        <f t="shared" si="0"/>
        <v>79810205</v>
      </c>
      <c r="F18" s="18">
        <f t="shared" si="1"/>
        <v>3145024</v>
      </c>
      <c r="G18" s="18">
        <f t="shared" si="2"/>
        <v>0</v>
      </c>
      <c r="H18" s="18">
        <f t="shared" si="3"/>
        <v>0</v>
      </c>
      <c r="I18" s="18">
        <f t="shared" si="4"/>
        <v>3145024</v>
      </c>
      <c r="J18" s="18">
        <f t="shared" si="5"/>
        <v>0</v>
      </c>
      <c r="K18" s="18">
        <v>0</v>
      </c>
      <c r="L18" s="18">
        <f t="shared" si="6"/>
        <v>0</v>
      </c>
      <c r="M18" s="18">
        <v>0</v>
      </c>
      <c r="N18" s="18">
        <f t="shared" si="15"/>
        <v>0</v>
      </c>
      <c r="O18" s="18">
        <f t="shared" si="16"/>
        <v>80705307</v>
      </c>
      <c r="P18" s="18">
        <f t="shared" si="7"/>
        <v>0</v>
      </c>
      <c r="Q18" s="18">
        <f t="shared" si="8"/>
        <v>2249922</v>
      </c>
      <c r="R18" s="235">
        <f t="shared" si="9"/>
        <v>82955229</v>
      </c>
      <c r="S18" s="18">
        <v>0</v>
      </c>
      <c r="T18" s="18">
        <v>822133</v>
      </c>
      <c r="U18" s="18">
        <v>2322891</v>
      </c>
      <c r="V18" s="18">
        <f t="shared" si="10"/>
        <v>3145024</v>
      </c>
      <c r="W18" s="18">
        <v>0</v>
      </c>
      <c r="X18" s="18">
        <v>0</v>
      </c>
      <c r="Y18" s="18">
        <v>0</v>
      </c>
      <c r="Z18" s="18">
        <f t="shared" si="11"/>
        <v>0</v>
      </c>
      <c r="AA18" s="18">
        <v>0</v>
      </c>
      <c r="AB18" s="18">
        <v>0</v>
      </c>
      <c r="AC18" s="18">
        <v>0</v>
      </c>
      <c r="AD18" s="18">
        <f t="shared" si="12"/>
        <v>0</v>
      </c>
      <c r="AE18" s="18">
        <v>0</v>
      </c>
      <c r="AF18" s="18">
        <v>0</v>
      </c>
      <c r="AG18" s="236">
        <f t="shared" si="13"/>
        <v>0</v>
      </c>
      <c r="AH18" s="18">
        <f t="shared" si="21"/>
        <v>285616894</v>
      </c>
      <c r="AI18" s="18">
        <f t="shared" si="20"/>
        <v>0</v>
      </c>
      <c r="AJ18" s="18">
        <f t="shared" si="20"/>
        <v>13061791</v>
      </c>
      <c r="AK18" s="18">
        <f t="shared" si="20"/>
        <v>298678685</v>
      </c>
      <c r="AL18" s="18">
        <f t="shared" si="20"/>
        <v>9608029</v>
      </c>
      <c r="AM18" s="18">
        <f t="shared" si="20"/>
        <v>0</v>
      </c>
      <c r="AN18" s="18">
        <f t="shared" si="20"/>
        <v>0</v>
      </c>
      <c r="AO18" s="18">
        <f t="shared" si="20"/>
        <v>9608029</v>
      </c>
      <c r="AP18" s="18">
        <f t="shared" si="20"/>
        <v>0</v>
      </c>
      <c r="AQ18" s="18">
        <f t="shared" si="20"/>
        <v>0</v>
      </c>
      <c r="AR18" s="18">
        <f t="shared" si="20"/>
        <v>0</v>
      </c>
      <c r="AS18" s="18">
        <f t="shared" si="20"/>
        <v>0</v>
      </c>
      <c r="AT18" s="18">
        <f t="shared" si="20"/>
        <v>0</v>
      </c>
      <c r="AU18" s="18">
        <f t="shared" si="20"/>
        <v>295224923</v>
      </c>
      <c r="AV18" s="18">
        <f t="shared" si="20"/>
        <v>0</v>
      </c>
      <c r="AW18" s="18">
        <f t="shared" si="20"/>
        <v>13061791</v>
      </c>
      <c r="AX18" s="18">
        <f t="shared" si="20"/>
        <v>308286714</v>
      </c>
      <c r="AY18" s="14"/>
    </row>
    <row r="19" spans="1:51" ht="13.5">
      <c r="A19" s="138">
        <v>40695</v>
      </c>
      <c r="B19" s="139">
        <v>77783252</v>
      </c>
      <c r="C19" s="18">
        <v>0</v>
      </c>
      <c r="D19" s="18">
        <v>3510101</v>
      </c>
      <c r="E19" s="18">
        <f t="shared" si="0"/>
        <v>81293353</v>
      </c>
      <c r="F19" s="18">
        <f t="shared" si="1"/>
        <v>3743400</v>
      </c>
      <c r="G19" s="18">
        <f t="shared" si="2"/>
        <v>0</v>
      </c>
      <c r="H19" s="18">
        <f t="shared" si="3"/>
        <v>0</v>
      </c>
      <c r="I19" s="18">
        <f t="shared" si="4"/>
        <v>3743400</v>
      </c>
      <c r="J19" s="18">
        <f t="shared" si="5"/>
        <v>0</v>
      </c>
      <c r="K19" s="18">
        <v>0</v>
      </c>
      <c r="L19" s="18">
        <f t="shared" si="6"/>
        <v>0</v>
      </c>
      <c r="M19" s="18">
        <v>0</v>
      </c>
      <c r="N19" s="18">
        <f t="shared" si="15"/>
        <v>0</v>
      </c>
      <c r="O19" s="18">
        <f t="shared" si="16"/>
        <v>81526652</v>
      </c>
      <c r="P19" s="18">
        <f t="shared" si="7"/>
        <v>0</v>
      </c>
      <c r="Q19" s="18">
        <f t="shared" si="8"/>
        <v>3510101</v>
      </c>
      <c r="R19" s="235">
        <f t="shared" si="9"/>
        <v>85036753</v>
      </c>
      <c r="S19" s="18">
        <v>0</v>
      </c>
      <c r="T19" s="18">
        <v>1539698</v>
      </c>
      <c r="U19" s="18">
        <v>2203702</v>
      </c>
      <c r="V19" s="18">
        <f t="shared" si="10"/>
        <v>3743400</v>
      </c>
      <c r="W19" s="18">
        <v>0</v>
      </c>
      <c r="X19" s="18">
        <v>0</v>
      </c>
      <c r="Y19" s="18">
        <v>0</v>
      </c>
      <c r="Z19" s="18">
        <f t="shared" si="11"/>
        <v>0</v>
      </c>
      <c r="AA19" s="18">
        <v>0</v>
      </c>
      <c r="AB19" s="18">
        <v>0</v>
      </c>
      <c r="AC19" s="18">
        <v>0</v>
      </c>
      <c r="AD19" s="18">
        <f t="shared" si="12"/>
        <v>0</v>
      </c>
      <c r="AE19" s="18">
        <v>0</v>
      </c>
      <c r="AF19" s="18">
        <v>0</v>
      </c>
      <c r="AG19" s="236">
        <f t="shared" si="13"/>
        <v>0</v>
      </c>
      <c r="AH19" s="18">
        <f t="shared" si="21"/>
        <v>363400146</v>
      </c>
      <c r="AI19" s="18">
        <f t="shared" si="20"/>
        <v>0</v>
      </c>
      <c r="AJ19" s="18">
        <f t="shared" si="20"/>
        <v>16571892</v>
      </c>
      <c r="AK19" s="18">
        <f t="shared" si="20"/>
        <v>379972038</v>
      </c>
      <c r="AL19" s="18">
        <f t="shared" si="20"/>
        <v>13351429</v>
      </c>
      <c r="AM19" s="18">
        <f t="shared" si="20"/>
        <v>0</v>
      </c>
      <c r="AN19" s="18">
        <f t="shared" si="20"/>
        <v>0</v>
      </c>
      <c r="AO19" s="18">
        <f t="shared" si="20"/>
        <v>13351429</v>
      </c>
      <c r="AP19" s="18">
        <f t="shared" si="20"/>
        <v>0</v>
      </c>
      <c r="AQ19" s="18">
        <f t="shared" si="20"/>
        <v>0</v>
      </c>
      <c r="AR19" s="18">
        <f t="shared" si="20"/>
        <v>0</v>
      </c>
      <c r="AS19" s="18">
        <f t="shared" si="20"/>
        <v>0</v>
      </c>
      <c r="AT19" s="18">
        <f t="shared" si="20"/>
        <v>0</v>
      </c>
      <c r="AU19" s="18">
        <f t="shared" si="20"/>
        <v>376751575</v>
      </c>
      <c r="AV19" s="18">
        <f t="shared" si="20"/>
        <v>0</v>
      </c>
      <c r="AW19" s="18">
        <f t="shared" si="20"/>
        <v>16571892</v>
      </c>
      <c r="AX19" s="18">
        <f t="shared" si="20"/>
        <v>393323467</v>
      </c>
      <c r="AY19" s="14"/>
    </row>
    <row r="20" spans="1:51" ht="13.5">
      <c r="A20" s="138">
        <v>40725</v>
      </c>
      <c r="B20" s="139">
        <v>86877103</v>
      </c>
      <c r="C20" s="18">
        <v>0</v>
      </c>
      <c r="D20" s="18">
        <v>2521122</v>
      </c>
      <c r="E20" s="18">
        <f t="shared" si="0"/>
        <v>89398225</v>
      </c>
      <c r="F20" s="18">
        <f t="shared" si="1"/>
        <v>5655935</v>
      </c>
      <c r="G20" s="18">
        <f t="shared" si="2"/>
        <v>0</v>
      </c>
      <c r="H20" s="18">
        <f t="shared" si="3"/>
        <v>0</v>
      </c>
      <c r="I20" s="18">
        <f t="shared" si="4"/>
        <v>5655935</v>
      </c>
      <c r="J20" s="18">
        <f t="shared" si="5"/>
        <v>0</v>
      </c>
      <c r="K20" s="18">
        <v>0</v>
      </c>
      <c r="L20" s="18">
        <f t="shared" si="6"/>
        <v>0</v>
      </c>
      <c r="M20" s="18">
        <v>0</v>
      </c>
      <c r="N20" s="18">
        <f t="shared" si="15"/>
        <v>0</v>
      </c>
      <c r="O20" s="18">
        <f t="shared" si="16"/>
        <v>92533038</v>
      </c>
      <c r="P20" s="18">
        <f t="shared" si="7"/>
        <v>0</v>
      </c>
      <c r="Q20" s="18">
        <f t="shared" si="8"/>
        <v>2521122</v>
      </c>
      <c r="R20" s="235">
        <f t="shared" si="9"/>
        <v>95054160</v>
      </c>
      <c r="S20" s="18">
        <v>28604</v>
      </c>
      <c r="T20" s="18">
        <v>1458311</v>
      </c>
      <c r="U20" s="18">
        <v>4169020</v>
      </c>
      <c r="V20" s="18">
        <f t="shared" si="10"/>
        <v>5655935</v>
      </c>
      <c r="W20" s="18">
        <v>0</v>
      </c>
      <c r="X20" s="18">
        <v>0</v>
      </c>
      <c r="Y20" s="18">
        <v>0</v>
      </c>
      <c r="Z20" s="18">
        <f t="shared" si="11"/>
        <v>0</v>
      </c>
      <c r="AA20" s="18">
        <v>0</v>
      </c>
      <c r="AB20" s="18">
        <v>0</v>
      </c>
      <c r="AC20" s="18">
        <v>0</v>
      </c>
      <c r="AD20" s="18">
        <f t="shared" si="12"/>
        <v>0</v>
      </c>
      <c r="AE20" s="18">
        <v>0</v>
      </c>
      <c r="AF20" s="18">
        <v>0</v>
      </c>
      <c r="AG20" s="236">
        <f t="shared" si="13"/>
        <v>0</v>
      </c>
      <c r="AH20" s="18">
        <f t="shared" si="21"/>
        <v>450277249</v>
      </c>
      <c r="AI20" s="18">
        <f t="shared" si="20"/>
        <v>0</v>
      </c>
      <c r="AJ20" s="18">
        <f t="shared" si="20"/>
        <v>19093014</v>
      </c>
      <c r="AK20" s="18">
        <f t="shared" si="20"/>
        <v>469370263</v>
      </c>
      <c r="AL20" s="18">
        <f t="shared" si="20"/>
        <v>19007364</v>
      </c>
      <c r="AM20" s="18">
        <f t="shared" si="20"/>
        <v>0</v>
      </c>
      <c r="AN20" s="18">
        <f t="shared" si="20"/>
        <v>0</v>
      </c>
      <c r="AO20" s="18">
        <f t="shared" si="20"/>
        <v>19007364</v>
      </c>
      <c r="AP20" s="18">
        <f t="shared" si="20"/>
        <v>0</v>
      </c>
      <c r="AQ20" s="18">
        <f t="shared" si="20"/>
        <v>0</v>
      </c>
      <c r="AR20" s="18">
        <f t="shared" si="20"/>
        <v>0</v>
      </c>
      <c r="AS20" s="18">
        <f t="shared" si="20"/>
        <v>0</v>
      </c>
      <c r="AT20" s="18">
        <f t="shared" si="20"/>
        <v>0</v>
      </c>
      <c r="AU20" s="18">
        <f t="shared" si="20"/>
        <v>469284613</v>
      </c>
      <c r="AV20" s="18">
        <f t="shared" si="20"/>
        <v>0</v>
      </c>
      <c r="AW20" s="18">
        <f t="shared" si="20"/>
        <v>19093014</v>
      </c>
      <c r="AX20" s="18">
        <f t="shared" si="20"/>
        <v>488377627</v>
      </c>
      <c r="AY20" s="14"/>
    </row>
    <row r="21" spans="1:51" ht="13.5">
      <c r="A21" s="138">
        <v>40756</v>
      </c>
      <c r="B21" s="139">
        <v>100747046</v>
      </c>
      <c r="C21" s="18">
        <v>0</v>
      </c>
      <c r="D21" s="18">
        <v>2583842</v>
      </c>
      <c r="E21" s="18">
        <f t="shared" si="0"/>
        <v>103330888</v>
      </c>
      <c r="F21" s="18">
        <f t="shared" si="1"/>
        <v>7299417</v>
      </c>
      <c r="G21" s="18">
        <f t="shared" si="2"/>
        <v>0</v>
      </c>
      <c r="H21" s="18">
        <f t="shared" si="3"/>
        <v>0</v>
      </c>
      <c r="I21" s="18">
        <f t="shared" si="4"/>
        <v>7299417</v>
      </c>
      <c r="J21" s="18">
        <f t="shared" si="5"/>
        <v>0</v>
      </c>
      <c r="K21" s="18">
        <v>0</v>
      </c>
      <c r="L21" s="18">
        <f t="shared" si="6"/>
        <v>0</v>
      </c>
      <c r="M21" s="18">
        <v>0</v>
      </c>
      <c r="N21" s="18">
        <f t="shared" si="15"/>
        <v>0</v>
      </c>
      <c r="O21" s="18">
        <f t="shared" si="16"/>
        <v>108046463</v>
      </c>
      <c r="P21" s="18">
        <f t="shared" si="7"/>
        <v>0</v>
      </c>
      <c r="Q21" s="18">
        <f t="shared" si="8"/>
        <v>2583842</v>
      </c>
      <c r="R21" s="235">
        <f t="shared" si="9"/>
        <v>110630305</v>
      </c>
      <c r="S21" s="18">
        <v>65973</v>
      </c>
      <c r="T21" s="18">
        <v>1776803</v>
      </c>
      <c r="U21" s="18">
        <v>5456641</v>
      </c>
      <c r="V21" s="18">
        <f t="shared" si="10"/>
        <v>7299417</v>
      </c>
      <c r="W21" s="18">
        <v>0</v>
      </c>
      <c r="X21" s="18">
        <v>0</v>
      </c>
      <c r="Y21" s="18">
        <v>0</v>
      </c>
      <c r="Z21" s="18">
        <f t="shared" si="11"/>
        <v>0</v>
      </c>
      <c r="AA21" s="18">
        <v>0</v>
      </c>
      <c r="AB21" s="18">
        <v>0</v>
      </c>
      <c r="AC21" s="18">
        <v>0</v>
      </c>
      <c r="AD21" s="18">
        <f t="shared" si="12"/>
        <v>0</v>
      </c>
      <c r="AE21" s="18">
        <v>0</v>
      </c>
      <c r="AF21" s="18">
        <v>0</v>
      </c>
      <c r="AG21" s="236">
        <f t="shared" si="13"/>
        <v>0</v>
      </c>
      <c r="AH21" s="18">
        <f t="shared" si="21"/>
        <v>551024295</v>
      </c>
      <c r="AI21" s="18">
        <f t="shared" si="20"/>
        <v>0</v>
      </c>
      <c r="AJ21" s="18">
        <f t="shared" si="20"/>
        <v>21676856</v>
      </c>
      <c r="AK21" s="18">
        <f t="shared" si="20"/>
        <v>572701151</v>
      </c>
      <c r="AL21" s="18">
        <f t="shared" si="20"/>
        <v>26306781</v>
      </c>
      <c r="AM21" s="18">
        <f t="shared" si="20"/>
        <v>0</v>
      </c>
      <c r="AN21" s="18">
        <f t="shared" si="20"/>
        <v>0</v>
      </c>
      <c r="AO21" s="18">
        <f t="shared" si="20"/>
        <v>26306781</v>
      </c>
      <c r="AP21" s="18">
        <f t="shared" si="20"/>
        <v>0</v>
      </c>
      <c r="AQ21" s="18">
        <f t="shared" si="20"/>
        <v>0</v>
      </c>
      <c r="AR21" s="18">
        <f t="shared" si="20"/>
        <v>0</v>
      </c>
      <c r="AS21" s="18">
        <f t="shared" si="20"/>
        <v>0</v>
      </c>
      <c r="AT21" s="18">
        <f t="shared" si="20"/>
        <v>0</v>
      </c>
      <c r="AU21" s="18">
        <f t="shared" si="20"/>
        <v>577331076</v>
      </c>
      <c r="AV21" s="18">
        <f t="shared" si="20"/>
        <v>0</v>
      </c>
      <c r="AW21" s="18">
        <f t="shared" si="20"/>
        <v>21676856</v>
      </c>
      <c r="AX21" s="18">
        <f t="shared" si="20"/>
        <v>599007932</v>
      </c>
      <c r="AY21" s="14"/>
    </row>
    <row r="22" spans="1:51" ht="13.5">
      <c r="A22" s="138">
        <v>40787</v>
      </c>
      <c r="B22" s="139">
        <v>114082130</v>
      </c>
      <c r="C22" s="18">
        <v>0</v>
      </c>
      <c r="D22" s="18">
        <v>4644979</v>
      </c>
      <c r="E22" s="18">
        <f t="shared" si="0"/>
        <v>118727109</v>
      </c>
      <c r="F22" s="18">
        <f t="shared" si="1"/>
        <v>4009508</v>
      </c>
      <c r="G22" s="18">
        <f t="shared" si="2"/>
        <v>0</v>
      </c>
      <c r="H22" s="18">
        <f t="shared" si="3"/>
        <v>0</v>
      </c>
      <c r="I22" s="18">
        <f t="shared" si="4"/>
        <v>4009508</v>
      </c>
      <c r="J22" s="18">
        <f t="shared" si="5"/>
        <v>0</v>
      </c>
      <c r="K22" s="18">
        <v>0</v>
      </c>
      <c r="L22" s="18">
        <f t="shared" si="6"/>
        <v>0</v>
      </c>
      <c r="M22" s="18">
        <v>0</v>
      </c>
      <c r="N22" s="18">
        <f t="shared" si="15"/>
        <v>0</v>
      </c>
      <c r="O22" s="18">
        <f t="shared" si="16"/>
        <v>118091638</v>
      </c>
      <c r="P22" s="18">
        <f t="shared" si="7"/>
        <v>0</v>
      </c>
      <c r="Q22" s="18">
        <f t="shared" si="8"/>
        <v>4644979</v>
      </c>
      <c r="R22" s="235">
        <f t="shared" si="9"/>
        <v>122736617</v>
      </c>
      <c r="S22" s="18">
        <v>15600</v>
      </c>
      <c r="T22" s="18">
        <v>1937964</v>
      </c>
      <c r="U22" s="18">
        <v>2055944</v>
      </c>
      <c r="V22" s="18">
        <f t="shared" si="10"/>
        <v>4009508</v>
      </c>
      <c r="W22" s="18">
        <v>0</v>
      </c>
      <c r="X22" s="18">
        <v>0</v>
      </c>
      <c r="Y22" s="18">
        <v>0</v>
      </c>
      <c r="Z22" s="18">
        <f t="shared" si="11"/>
        <v>0</v>
      </c>
      <c r="AA22" s="18">
        <v>0</v>
      </c>
      <c r="AB22" s="18">
        <v>0</v>
      </c>
      <c r="AC22" s="18">
        <v>0</v>
      </c>
      <c r="AD22" s="18">
        <f t="shared" si="12"/>
        <v>0</v>
      </c>
      <c r="AE22" s="18">
        <v>0</v>
      </c>
      <c r="AF22" s="18">
        <v>0</v>
      </c>
      <c r="AG22" s="236">
        <f t="shared" si="13"/>
        <v>0</v>
      </c>
      <c r="AH22" s="18">
        <f t="shared" si="21"/>
        <v>665106425</v>
      </c>
      <c r="AI22" s="18">
        <f t="shared" si="20"/>
        <v>0</v>
      </c>
      <c r="AJ22" s="18">
        <f t="shared" si="20"/>
        <v>26321835</v>
      </c>
      <c r="AK22" s="18">
        <f t="shared" si="20"/>
        <v>691428260</v>
      </c>
      <c r="AL22" s="18">
        <f t="shared" si="20"/>
        <v>30316289</v>
      </c>
      <c r="AM22" s="18">
        <f t="shared" si="20"/>
        <v>0</v>
      </c>
      <c r="AN22" s="18">
        <f t="shared" si="20"/>
        <v>0</v>
      </c>
      <c r="AO22" s="18">
        <f t="shared" si="20"/>
        <v>30316289</v>
      </c>
      <c r="AP22" s="18">
        <f t="shared" si="20"/>
        <v>0</v>
      </c>
      <c r="AQ22" s="18">
        <f t="shared" si="20"/>
        <v>0</v>
      </c>
      <c r="AR22" s="18">
        <f t="shared" si="20"/>
        <v>0</v>
      </c>
      <c r="AS22" s="18">
        <f t="shared" si="20"/>
        <v>0</v>
      </c>
      <c r="AT22" s="18">
        <f t="shared" si="20"/>
        <v>0</v>
      </c>
      <c r="AU22" s="18">
        <f t="shared" si="20"/>
        <v>695422714</v>
      </c>
      <c r="AV22" s="18">
        <f t="shared" si="20"/>
        <v>0</v>
      </c>
      <c r="AW22" s="18">
        <f t="shared" si="20"/>
        <v>26321835</v>
      </c>
      <c r="AX22" s="18">
        <f t="shared" si="20"/>
        <v>721744549</v>
      </c>
      <c r="AY22" s="14"/>
    </row>
    <row r="23" spans="1:51" ht="13.5">
      <c r="A23" s="138">
        <v>40817</v>
      </c>
      <c r="B23" s="139">
        <v>111790839</v>
      </c>
      <c r="C23" s="18">
        <v>0</v>
      </c>
      <c r="D23" s="18">
        <v>4553366</v>
      </c>
      <c r="E23" s="18">
        <f t="shared" si="0"/>
        <v>116344205</v>
      </c>
      <c r="F23" s="18">
        <f t="shared" si="1"/>
        <v>5768104</v>
      </c>
      <c r="G23" s="18">
        <f t="shared" si="2"/>
        <v>0</v>
      </c>
      <c r="H23" s="18">
        <f t="shared" si="3"/>
        <v>0</v>
      </c>
      <c r="I23" s="18">
        <f t="shared" si="4"/>
        <v>5768104</v>
      </c>
      <c r="J23" s="18">
        <f t="shared" si="5"/>
        <v>0</v>
      </c>
      <c r="K23" s="18">
        <v>0</v>
      </c>
      <c r="L23" s="18">
        <f t="shared" si="6"/>
        <v>0</v>
      </c>
      <c r="M23" s="18">
        <v>0</v>
      </c>
      <c r="N23" s="18">
        <f t="shared" si="15"/>
        <v>0</v>
      </c>
      <c r="O23" s="18">
        <f t="shared" si="16"/>
        <v>117558943</v>
      </c>
      <c r="P23" s="18">
        <f t="shared" si="7"/>
        <v>0</v>
      </c>
      <c r="Q23" s="18">
        <f t="shared" si="8"/>
        <v>4553366</v>
      </c>
      <c r="R23" s="235">
        <f t="shared" si="9"/>
        <v>122112309</v>
      </c>
      <c r="S23" s="18">
        <v>30000</v>
      </c>
      <c r="T23" s="18">
        <v>2410880</v>
      </c>
      <c r="U23" s="18">
        <v>3327224</v>
      </c>
      <c r="V23" s="18">
        <f t="shared" si="10"/>
        <v>5768104</v>
      </c>
      <c r="W23" s="18">
        <v>0</v>
      </c>
      <c r="X23" s="18">
        <v>0</v>
      </c>
      <c r="Y23" s="18">
        <v>0</v>
      </c>
      <c r="Z23" s="18">
        <f t="shared" si="11"/>
        <v>0</v>
      </c>
      <c r="AA23" s="18">
        <v>0</v>
      </c>
      <c r="AB23" s="18">
        <v>0</v>
      </c>
      <c r="AC23" s="18">
        <v>0</v>
      </c>
      <c r="AD23" s="18">
        <f t="shared" si="12"/>
        <v>0</v>
      </c>
      <c r="AE23" s="18">
        <v>0</v>
      </c>
      <c r="AF23" s="18">
        <v>0</v>
      </c>
      <c r="AG23" s="236">
        <f t="shared" si="13"/>
        <v>0</v>
      </c>
      <c r="AH23" s="18">
        <f t="shared" si="21"/>
        <v>776897264</v>
      </c>
      <c r="AI23" s="18">
        <f t="shared" si="20"/>
        <v>0</v>
      </c>
      <c r="AJ23" s="18">
        <f t="shared" si="20"/>
        <v>30875201</v>
      </c>
      <c r="AK23" s="18">
        <f t="shared" si="20"/>
        <v>807772465</v>
      </c>
      <c r="AL23" s="18">
        <f t="shared" si="20"/>
        <v>36084393</v>
      </c>
      <c r="AM23" s="18">
        <f t="shared" si="20"/>
        <v>0</v>
      </c>
      <c r="AN23" s="18">
        <f t="shared" si="20"/>
        <v>0</v>
      </c>
      <c r="AO23" s="18">
        <f t="shared" si="20"/>
        <v>36084393</v>
      </c>
      <c r="AP23" s="18">
        <f t="shared" si="20"/>
        <v>0</v>
      </c>
      <c r="AQ23" s="18">
        <f t="shared" si="20"/>
        <v>0</v>
      </c>
      <c r="AR23" s="18">
        <f t="shared" si="20"/>
        <v>0</v>
      </c>
      <c r="AS23" s="18">
        <f t="shared" si="20"/>
        <v>0</v>
      </c>
      <c r="AT23" s="18">
        <f t="shared" si="20"/>
        <v>0</v>
      </c>
      <c r="AU23" s="18">
        <f t="shared" si="20"/>
        <v>812981657</v>
      </c>
      <c r="AV23" s="18">
        <f t="shared" si="20"/>
        <v>0</v>
      </c>
      <c r="AW23" s="18">
        <f t="shared" si="20"/>
        <v>30875201</v>
      </c>
      <c r="AX23" s="18">
        <f t="shared" si="20"/>
        <v>843856858</v>
      </c>
      <c r="AY23" s="14"/>
    </row>
    <row r="24" spans="1:51" ht="13.5">
      <c r="A24" s="138">
        <v>40848</v>
      </c>
      <c r="B24" s="139">
        <v>105277138</v>
      </c>
      <c r="C24" s="18">
        <v>0</v>
      </c>
      <c r="D24" s="18">
        <v>3194691</v>
      </c>
      <c r="E24" s="18">
        <f t="shared" si="0"/>
        <v>108471829</v>
      </c>
      <c r="F24" s="18">
        <f t="shared" si="1"/>
        <v>3700399</v>
      </c>
      <c r="G24" s="18">
        <f t="shared" si="2"/>
        <v>0</v>
      </c>
      <c r="H24" s="18">
        <f t="shared" si="3"/>
        <v>0</v>
      </c>
      <c r="I24" s="18">
        <f t="shared" si="4"/>
        <v>3700399</v>
      </c>
      <c r="J24" s="18">
        <f t="shared" si="5"/>
        <v>0</v>
      </c>
      <c r="K24" s="18">
        <v>0</v>
      </c>
      <c r="L24" s="18">
        <f t="shared" si="6"/>
        <v>0</v>
      </c>
      <c r="M24" s="18">
        <v>0</v>
      </c>
      <c r="N24" s="18">
        <f t="shared" si="15"/>
        <v>0</v>
      </c>
      <c r="O24" s="18">
        <f t="shared" si="16"/>
        <v>108977537</v>
      </c>
      <c r="P24" s="18">
        <f t="shared" si="7"/>
        <v>0</v>
      </c>
      <c r="Q24" s="18">
        <f t="shared" si="8"/>
        <v>3194691</v>
      </c>
      <c r="R24" s="235">
        <f t="shared" si="9"/>
        <v>112172228</v>
      </c>
      <c r="S24" s="18">
        <v>0</v>
      </c>
      <c r="T24" s="18">
        <v>2186856</v>
      </c>
      <c r="U24" s="18">
        <v>1513543</v>
      </c>
      <c r="V24" s="18">
        <f t="shared" si="10"/>
        <v>3700399</v>
      </c>
      <c r="W24" s="18">
        <v>0</v>
      </c>
      <c r="X24" s="18">
        <v>0</v>
      </c>
      <c r="Y24" s="18">
        <v>0</v>
      </c>
      <c r="Z24" s="18">
        <f t="shared" si="11"/>
        <v>0</v>
      </c>
      <c r="AA24" s="18">
        <v>0</v>
      </c>
      <c r="AB24" s="18">
        <v>0</v>
      </c>
      <c r="AC24" s="18">
        <v>0</v>
      </c>
      <c r="AD24" s="18">
        <f t="shared" si="12"/>
        <v>0</v>
      </c>
      <c r="AE24" s="18">
        <v>0</v>
      </c>
      <c r="AF24" s="18">
        <v>0</v>
      </c>
      <c r="AG24" s="236">
        <f t="shared" si="13"/>
        <v>0</v>
      </c>
      <c r="AH24" s="18">
        <f t="shared" si="21"/>
        <v>882174402</v>
      </c>
      <c r="AI24" s="18">
        <f t="shared" si="20"/>
        <v>0</v>
      </c>
      <c r="AJ24" s="18">
        <f t="shared" si="20"/>
        <v>34069892</v>
      </c>
      <c r="AK24" s="18">
        <f t="shared" si="20"/>
        <v>916244294</v>
      </c>
      <c r="AL24" s="18">
        <f t="shared" si="20"/>
        <v>39784792</v>
      </c>
      <c r="AM24" s="18">
        <f t="shared" si="20"/>
        <v>0</v>
      </c>
      <c r="AN24" s="18">
        <f t="shared" si="20"/>
        <v>0</v>
      </c>
      <c r="AO24" s="18">
        <f t="shared" si="20"/>
        <v>39784792</v>
      </c>
      <c r="AP24" s="18">
        <f t="shared" si="20"/>
        <v>0</v>
      </c>
      <c r="AQ24" s="18">
        <f t="shared" si="20"/>
        <v>0</v>
      </c>
      <c r="AR24" s="18">
        <f t="shared" si="20"/>
        <v>0</v>
      </c>
      <c r="AS24" s="18">
        <f t="shared" si="20"/>
        <v>0</v>
      </c>
      <c r="AT24" s="18">
        <f t="shared" si="20"/>
        <v>0</v>
      </c>
      <c r="AU24" s="18">
        <f t="shared" si="20"/>
        <v>921959194</v>
      </c>
      <c r="AV24" s="18">
        <f t="shared" si="20"/>
        <v>0</v>
      </c>
      <c r="AW24" s="18">
        <f t="shared" si="20"/>
        <v>34069892</v>
      </c>
      <c r="AX24" s="18">
        <f t="shared" si="20"/>
        <v>956029086</v>
      </c>
      <c r="AY24" s="14"/>
    </row>
    <row r="25" spans="1:51" ht="14.25" thickBot="1">
      <c r="A25" s="138">
        <v>40878</v>
      </c>
      <c r="B25" s="139">
        <v>150743545</v>
      </c>
      <c r="C25" s="18">
        <v>0</v>
      </c>
      <c r="D25" s="18">
        <v>10389680</v>
      </c>
      <c r="E25" s="18">
        <f t="shared" si="0"/>
        <v>161133225</v>
      </c>
      <c r="F25" s="18">
        <f t="shared" si="1"/>
        <v>5536882</v>
      </c>
      <c r="G25" s="18">
        <f t="shared" si="2"/>
        <v>0</v>
      </c>
      <c r="H25" s="18">
        <f t="shared" si="3"/>
        <v>0</v>
      </c>
      <c r="I25" s="18">
        <f t="shared" si="4"/>
        <v>5536882</v>
      </c>
      <c r="J25" s="18">
        <f t="shared" si="5"/>
        <v>0</v>
      </c>
      <c r="K25" s="18">
        <v>0</v>
      </c>
      <c r="L25" s="18">
        <f t="shared" si="6"/>
        <v>0</v>
      </c>
      <c r="M25" s="18">
        <v>0</v>
      </c>
      <c r="N25" s="18">
        <f t="shared" si="15"/>
        <v>0</v>
      </c>
      <c r="O25" s="18">
        <f t="shared" si="16"/>
        <v>156280427</v>
      </c>
      <c r="P25" s="18">
        <f t="shared" si="7"/>
        <v>0</v>
      </c>
      <c r="Q25" s="18">
        <f t="shared" si="8"/>
        <v>10389680</v>
      </c>
      <c r="R25" s="235">
        <f t="shared" si="9"/>
        <v>166670107</v>
      </c>
      <c r="S25" s="18">
        <v>0</v>
      </c>
      <c r="T25" s="18">
        <v>1160739</v>
      </c>
      <c r="U25" s="18">
        <v>4376143</v>
      </c>
      <c r="V25" s="18">
        <f t="shared" si="10"/>
        <v>5536882</v>
      </c>
      <c r="W25" s="18">
        <v>0</v>
      </c>
      <c r="X25" s="18">
        <v>0</v>
      </c>
      <c r="Y25" s="18">
        <v>0</v>
      </c>
      <c r="Z25" s="18">
        <f t="shared" si="11"/>
        <v>0</v>
      </c>
      <c r="AA25" s="18">
        <v>0</v>
      </c>
      <c r="AB25" s="18">
        <v>0</v>
      </c>
      <c r="AC25" s="18">
        <v>0</v>
      </c>
      <c r="AD25" s="18">
        <f t="shared" si="12"/>
        <v>0</v>
      </c>
      <c r="AE25" s="18">
        <v>0</v>
      </c>
      <c r="AF25" s="18">
        <v>0</v>
      </c>
      <c r="AG25" s="236">
        <f t="shared" si="13"/>
        <v>0</v>
      </c>
      <c r="AH25" s="18">
        <f t="shared" si="21"/>
        <v>1032917947</v>
      </c>
      <c r="AI25" s="18">
        <f t="shared" si="20"/>
        <v>0</v>
      </c>
      <c r="AJ25" s="18">
        <f t="shared" si="20"/>
        <v>44459572</v>
      </c>
      <c r="AK25" s="18">
        <f t="shared" si="20"/>
        <v>1077377519</v>
      </c>
      <c r="AL25" s="18">
        <f t="shared" si="20"/>
        <v>45321674</v>
      </c>
      <c r="AM25" s="18">
        <f t="shared" si="20"/>
        <v>0</v>
      </c>
      <c r="AN25" s="18">
        <f t="shared" si="20"/>
        <v>0</v>
      </c>
      <c r="AO25" s="18">
        <f t="shared" si="20"/>
        <v>45321674</v>
      </c>
      <c r="AP25" s="18">
        <f t="shared" si="20"/>
        <v>0</v>
      </c>
      <c r="AQ25" s="18">
        <f t="shared" si="20"/>
        <v>0</v>
      </c>
      <c r="AR25" s="18">
        <f t="shared" si="20"/>
        <v>0</v>
      </c>
      <c r="AS25" s="18">
        <f t="shared" si="20"/>
        <v>0</v>
      </c>
      <c r="AT25" s="18">
        <f t="shared" si="20"/>
        <v>0</v>
      </c>
      <c r="AU25" s="18">
        <f t="shared" si="20"/>
        <v>1078239621</v>
      </c>
      <c r="AV25" s="18">
        <f t="shared" si="20"/>
        <v>0</v>
      </c>
      <c r="AW25" s="18">
        <f t="shared" si="20"/>
        <v>44459572</v>
      </c>
      <c r="AX25" s="18">
        <f t="shared" si="20"/>
        <v>1122699193</v>
      </c>
      <c r="AY25" s="14"/>
    </row>
    <row r="26" spans="1:51" ht="13.5">
      <c r="A26" s="141">
        <v>40909</v>
      </c>
      <c r="B26" s="142">
        <v>60117730</v>
      </c>
      <c r="C26" s="143">
        <v>0</v>
      </c>
      <c r="D26" s="143">
        <v>1038381</v>
      </c>
      <c r="E26" s="143">
        <f t="shared" si="0"/>
        <v>61156111</v>
      </c>
      <c r="F26" s="143">
        <f t="shared" si="1"/>
        <v>3704631</v>
      </c>
      <c r="G26" s="143">
        <f t="shared" si="2"/>
        <v>0</v>
      </c>
      <c r="H26" s="143">
        <f t="shared" si="3"/>
        <v>0</v>
      </c>
      <c r="I26" s="143">
        <f t="shared" si="4"/>
        <v>3704631</v>
      </c>
      <c r="J26" s="143">
        <f t="shared" si="5"/>
        <v>0</v>
      </c>
      <c r="K26" s="143">
        <v>0</v>
      </c>
      <c r="L26" s="143">
        <f t="shared" si="6"/>
        <v>0</v>
      </c>
      <c r="M26" s="143">
        <v>0</v>
      </c>
      <c r="N26" s="143">
        <f t="shared" si="15"/>
        <v>0</v>
      </c>
      <c r="O26" s="143">
        <f t="shared" si="16"/>
        <v>63822361</v>
      </c>
      <c r="P26" s="143">
        <f t="shared" si="7"/>
        <v>0</v>
      </c>
      <c r="Q26" s="143">
        <f t="shared" si="8"/>
        <v>1038381</v>
      </c>
      <c r="R26" s="237">
        <f t="shared" si="9"/>
        <v>64860742</v>
      </c>
      <c r="S26" s="143">
        <v>0</v>
      </c>
      <c r="T26" s="143">
        <v>18663</v>
      </c>
      <c r="U26" s="143">
        <v>3685968</v>
      </c>
      <c r="V26" s="143">
        <f t="shared" si="10"/>
        <v>3704631</v>
      </c>
      <c r="W26" s="143">
        <v>0</v>
      </c>
      <c r="X26" s="143">
        <v>0</v>
      </c>
      <c r="Y26" s="143">
        <v>0</v>
      </c>
      <c r="Z26" s="143">
        <f t="shared" si="11"/>
        <v>0</v>
      </c>
      <c r="AA26" s="143">
        <v>0</v>
      </c>
      <c r="AB26" s="143">
        <v>0</v>
      </c>
      <c r="AC26" s="143">
        <v>0</v>
      </c>
      <c r="AD26" s="143">
        <f t="shared" si="12"/>
        <v>0</v>
      </c>
      <c r="AE26" s="143">
        <v>0</v>
      </c>
      <c r="AF26" s="143">
        <v>0</v>
      </c>
      <c r="AG26" s="238">
        <f t="shared" si="13"/>
        <v>0</v>
      </c>
      <c r="AH26" s="143">
        <f t="shared" ref="AH26:AX26" si="22">B26</f>
        <v>60117730</v>
      </c>
      <c r="AI26" s="143">
        <f t="shared" si="22"/>
        <v>0</v>
      </c>
      <c r="AJ26" s="143">
        <f t="shared" si="22"/>
        <v>1038381</v>
      </c>
      <c r="AK26" s="143">
        <f t="shared" si="22"/>
        <v>61156111</v>
      </c>
      <c r="AL26" s="143">
        <f t="shared" si="22"/>
        <v>3704631</v>
      </c>
      <c r="AM26" s="143">
        <f t="shared" si="22"/>
        <v>0</v>
      </c>
      <c r="AN26" s="143">
        <f t="shared" si="22"/>
        <v>0</v>
      </c>
      <c r="AO26" s="143">
        <f t="shared" si="22"/>
        <v>3704631</v>
      </c>
      <c r="AP26" s="143">
        <f t="shared" si="22"/>
        <v>0</v>
      </c>
      <c r="AQ26" s="143">
        <f t="shared" si="22"/>
        <v>0</v>
      </c>
      <c r="AR26" s="143">
        <f t="shared" si="22"/>
        <v>0</v>
      </c>
      <c r="AS26" s="143">
        <f t="shared" si="22"/>
        <v>0</v>
      </c>
      <c r="AT26" s="143">
        <f t="shared" si="22"/>
        <v>0</v>
      </c>
      <c r="AU26" s="143">
        <f t="shared" si="22"/>
        <v>63822361</v>
      </c>
      <c r="AV26" s="143">
        <f t="shared" si="22"/>
        <v>0</v>
      </c>
      <c r="AW26" s="143">
        <f t="shared" si="22"/>
        <v>1038381</v>
      </c>
      <c r="AX26" s="143">
        <f t="shared" si="22"/>
        <v>64860742</v>
      </c>
      <c r="AY26" s="14"/>
    </row>
    <row r="27" spans="1:51" ht="13.5">
      <c r="A27" s="138">
        <v>40940</v>
      </c>
      <c r="B27" s="139">
        <v>72510777</v>
      </c>
      <c r="C27" s="18">
        <v>86797</v>
      </c>
      <c r="D27" s="18">
        <v>4022017</v>
      </c>
      <c r="E27" s="18">
        <f t="shared" si="0"/>
        <v>76619591</v>
      </c>
      <c r="F27" s="18">
        <f t="shared" si="1"/>
        <v>1466603</v>
      </c>
      <c r="G27" s="18">
        <f t="shared" si="2"/>
        <v>0</v>
      </c>
      <c r="H27" s="18">
        <f t="shared" si="3"/>
        <v>0</v>
      </c>
      <c r="I27" s="18">
        <f t="shared" si="4"/>
        <v>1466603</v>
      </c>
      <c r="J27" s="18">
        <f t="shared" si="5"/>
        <v>0</v>
      </c>
      <c r="K27" s="18">
        <v>0</v>
      </c>
      <c r="L27" s="18">
        <f t="shared" si="6"/>
        <v>0</v>
      </c>
      <c r="M27" s="18">
        <v>0</v>
      </c>
      <c r="N27" s="18">
        <f t="shared" si="15"/>
        <v>0</v>
      </c>
      <c r="O27" s="18">
        <f t="shared" si="16"/>
        <v>73977380</v>
      </c>
      <c r="P27" s="18">
        <f t="shared" si="7"/>
        <v>86797</v>
      </c>
      <c r="Q27" s="18">
        <f t="shared" si="8"/>
        <v>4022017</v>
      </c>
      <c r="R27" s="235">
        <f t="shared" si="9"/>
        <v>78086194</v>
      </c>
      <c r="S27" s="18">
        <v>9500</v>
      </c>
      <c r="T27" s="18">
        <v>9705</v>
      </c>
      <c r="U27" s="18">
        <v>1447398</v>
      </c>
      <c r="V27" s="18">
        <f t="shared" si="10"/>
        <v>1466603</v>
      </c>
      <c r="W27" s="18">
        <v>0</v>
      </c>
      <c r="X27" s="18">
        <v>0</v>
      </c>
      <c r="Y27" s="18">
        <v>0</v>
      </c>
      <c r="Z27" s="18">
        <f t="shared" si="11"/>
        <v>0</v>
      </c>
      <c r="AA27" s="18">
        <v>0</v>
      </c>
      <c r="AB27" s="18">
        <v>0</v>
      </c>
      <c r="AC27" s="18">
        <v>0</v>
      </c>
      <c r="AD27" s="18">
        <f t="shared" si="12"/>
        <v>0</v>
      </c>
      <c r="AE27" s="18">
        <v>0</v>
      </c>
      <c r="AF27" s="18">
        <v>0</v>
      </c>
      <c r="AG27" s="236">
        <f t="shared" si="13"/>
        <v>0</v>
      </c>
      <c r="AH27" s="18">
        <f>AH26+B27</f>
        <v>132628507</v>
      </c>
      <c r="AI27" s="18">
        <f t="shared" ref="AI27:AX37" si="23">AI26+C27</f>
        <v>86797</v>
      </c>
      <c r="AJ27" s="18">
        <f t="shared" si="23"/>
        <v>5060398</v>
      </c>
      <c r="AK27" s="18">
        <f t="shared" si="23"/>
        <v>137775702</v>
      </c>
      <c r="AL27" s="18">
        <f t="shared" si="23"/>
        <v>5171234</v>
      </c>
      <c r="AM27" s="18">
        <f t="shared" si="23"/>
        <v>0</v>
      </c>
      <c r="AN27" s="18">
        <f t="shared" si="23"/>
        <v>0</v>
      </c>
      <c r="AO27" s="18">
        <f t="shared" si="23"/>
        <v>5171234</v>
      </c>
      <c r="AP27" s="18">
        <f t="shared" si="23"/>
        <v>0</v>
      </c>
      <c r="AQ27" s="18">
        <f t="shared" si="23"/>
        <v>0</v>
      </c>
      <c r="AR27" s="18">
        <f t="shared" si="23"/>
        <v>0</v>
      </c>
      <c r="AS27" s="18">
        <f t="shared" si="23"/>
        <v>0</v>
      </c>
      <c r="AT27" s="18">
        <f t="shared" si="23"/>
        <v>0</v>
      </c>
      <c r="AU27" s="18">
        <f t="shared" si="23"/>
        <v>137799741</v>
      </c>
      <c r="AV27" s="18">
        <f t="shared" si="23"/>
        <v>86797</v>
      </c>
      <c r="AW27" s="18">
        <f t="shared" si="23"/>
        <v>5060398</v>
      </c>
      <c r="AX27" s="18">
        <f t="shared" si="23"/>
        <v>142946936</v>
      </c>
      <c r="AY27" s="14"/>
    </row>
    <row r="28" spans="1:51" ht="13.5">
      <c r="A28" s="138">
        <v>40969</v>
      </c>
      <c r="B28" s="139">
        <v>95151425</v>
      </c>
      <c r="C28" s="18">
        <v>1129187</v>
      </c>
      <c r="D28" s="18">
        <v>4310074</v>
      </c>
      <c r="E28" s="18">
        <f t="shared" si="0"/>
        <v>100590686</v>
      </c>
      <c r="F28" s="18">
        <f t="shared" si="1"/>
        <v>4704556</v>
      </c>
      <c r="G28" s="18">
        <f t="shared" si="2"/>
        <v>3118428</v>
      </c>
      <c r="H28" s="18">
        <f t="shared" si="3"/>
        <v>0</v>
      </c>
      <c r="I28" s="18">
        <f t="shared" si="4"/>
        <v>7822984</v>
      </c>
      <c r="J28" s="18">
        <f t="shared" si="5"/>
        <v>0</v>
      </c>
      <c r="K28" s="18">
        <v>0</v>
      </c>
      <c r="L28" s="18">
        <f t="shared" si="6"/>
        <v>0</v>
      </c>
      <c r="M28" s="18">
        <v>0</v>
      </c>
      <c r="N28" s="18">
        <f t="shared" si="15"/>
        <v>0</v>
      </c>
      <c r="O28" s="18">
        <f t="shared" si="16"/>
        <v>99855981</v>
      </c>
      <c r="P28" s="18">
        <f t="shared" si="7"/>
        <v>4247615</v>
      </c>
      <c r="Q28" s="18">
        <f t="shared" si="8"/>
        <v>4310074</v>
      </c>
      <c r="R28" s="235">
        <f t="shared" si="9"/>
        <v>108413670</v>
      </c>
      <c r="S28" s="18">
        <v>58000</v>
      </c>
      <c r="T28" s="18">
        <v>1006848</v>
      </c>
      <c r="U28" s="18">
        <v>3639708</v>
      </c>
      <c r="V28" s="18">
        <f t="shared" si="10"/>
        <v>4704556</v>
      </c>
      <c r="W28" s="18">
        <v>0</v>
      </c>
      <c r="X28" s="18">
        <v>0</v>
      </c>
      <c r="Y28" s="18">
        <v>3118428</v>
      </c>
      <c r="Z28" s="18">
        <f t="shared" si="11"/>
        <v>3118428</v>
      </c>
      <c r="AA28" s="18">
        <v>0</v>
      </c>
      <c r="AB28" s="18">
        <v>0</v>
      </c>
      <c r="AC28" s="18">
        <v>0</v>
      </c>
      <c r="AD28" s="18">
        <f t="shared" si="12"/>
        <v>0</v>
      </c>
      <c r="AE28" s="18">
        <v>0</v>
      </c>
      <c r="AF28" s="18">
        <v>0</v>
      </c>
      <c r="AG28" s="236">
        <f t="shared" si="13"/>
        <v>0</v>
      </c>
      <c r="AH28" s="18">
        <f t="shared" ref="AH28:AH37" si="24">AH27+B28</f>
        <v>227779932</v>
      </c>
      <c r="AI28" s="18">
        <f t="shared" si="23"/>
        <v>1215984</v>
      </c>
      <c r="AJ28" s="18">
        <f t="shared" si="23"/>
        <v>9370472</v>
      </c>
      <c r="AK28" s="18">
        <f t="shared" si="23"/>
        <v>238366388</v>
      </c>
      <c r="AL28" s="18">
        <f t="shared" si="23"/>
        <v>9875790</v>
      </c>
      <c r="AM28" s="18">
        <f t="shared" si="23"/>
        <v>3118428</v>
      </c>
      <c r="AN28" s="18">
        <f t="shared" si="23"/>
        <v>0</v>
      </c>
      <c r="AO28" s="18">
        <f t="shared" si="23"/>
        <v>12994218</v>
      </c>
      <c r="AP28" s="18">
        <f t="shared" si="23"/>
        <v>0</v>
      </c>
      <c r="AQ28" s="18">
        <f t="shared" si="23"/>
        <v>0</v>
      </c>
      <c r="AR28" s="18">
        <f t="shared" si="23"/>
        <v>0</v>
      </c>
      <c r="AS28" s="18">
        <f t="shared" si="23"/>
        <v>0</v>
      </c>
      <c r="AT28" s="18">
        <f t="shared" si="23"/>
        <v>0</v>
      </c>
      <c r="AU28" s="18">
        <f t="shared" si="23"/>
        <v>237655722</v>
      </c>
      <c r="AV28" s="18">
        <f t="shared" si="23"/>
        <v>4334412</v>
      </c>
      <c r="AW28" s="18">
        <f t="shared" si="23"/>
        <v>9370472</v>
      </c>
      <c r="AX28" s="18">
        <f t="shared" si="23"/>
        <v>251360606</v>
      </c>
      <c r="AY28" s="14"/>
    </row>
    <row r="29" spans="1:51" ht="13.5">
      <c r="A29" s="138">
        <v>41000</v>
      </c>
      <c r="B29" s="139">
        <v>92581599</v>
      </c>
      <c r="C29" s="18">
        <v>0</v>
      </c>
      <c r="D29" s="18">
        <v>2657742</v>
      </c>
      <c r="E29" s="18">
        <f t="shared" si="0"/>
        <v>95239341</v>
      </c>
      <c r="F29" s="18">
        <f t="shared" si="1"/>
        <v>3182046</v>
      </c>
      <c r="G29" s="18">
        <f t="shared" si="2"/>
        <v>648881</v>
      </c>
      <c r="H29" s="18">
        <f t="shared" si="3"/>
        <v>0</v>
      </c>
      <c r="I29" s="18">
        <f t="shared" si="4"/>
        <v>3830927</v>
      </c>
      <c r="J29" s="18">
        <f t="shared" si="5"/>
        <v>0</v>
      </c>
      <c r="K29" s="18">
        <v>0</v>
      </c>
      <c r="L29" s="18">
        <f t="shared" si="6"/>
        <v>0</v>
      </c>
      <c r="M29" s="18">
        <v>0</v>
      </c>
      <c r="N29" s="18">
        <f t="shared" si="15"/>
        <v>0</v>
      </c>
      <c r="O29" s="18">
        <f t="shared" si="16"/>
        <v>95763645</v>
      </c>
      <c r="P29" s="18">
        <f t="shared" si="7"/>
        <v>648881</v>
      </c>
      <c r="Q29" s="18">
        <f t="shared" si="8"/>
        <v>2657742</v>
      </c>
      <c r="R29" s="235">
        <f t="shared" si="9"/>
        <v>99070268</v>
      </c>
      <c r="S29" s="18">
        <v>133864</v>
      </c>
      <c r="T29" s="18">
        <v>1863128</v>
      </c>
      <c r="U29" s="18">
        <v>1185054</v>
      </c>
      <c r="V29" s="18">
        <f t="shared" si="10"/>
        <v>3182046</v>
      </c>
      <c r="W29" s="18">
        <v>0</v>
      </c>
      <c r="X29" s="18">
        <v>0</v>
      </c>
      <c r="Y29" s="18">
        <v>648881</v>
      </c>
      <c r="Z29" s="18">
        <f t="shared" si="11"/>
        <v>648881</v>
      </c>
      <c r="AA29" s="18">
        <v>0</v>
      </c>
      <c r="AB29" s="18">
        <v>0</v>
      </c>
      <c r="AC29" s="18">
        <v>0</v>
      </c>
      <c r="AD29" s="18">
        <f t="shared" si="12"/>
        <v>0</v>
      </c>
      <c r="AE29" s="18">
        <v>0</v>
      </c>
      <c r="AF29" s="18">
        <v>0</v>
      </c>
      <c r="AG29" s="236">
        <f t="shared" si="13"/>
        <v>0</v>
      </c>
      <c r="AH29" s="18">
        <f t="shared" si="24"/>
        <v>320361531</v>
      </c>
      <c r="AI29" s="18">
        <f t="shared" si="23"/>
        <v>1215984</v>
      </c>
      <c r="AJ29" s="18">
        <f t="shared" si="23"/>
        <v>12028214</v>
      </c>
      <c r="AK29" s="18">
        <f t="shared" si="23"/>
        <v>333605729</v>
      </c>
      <c r="AL29" s="18">
        <f t="shared" si="23"/>
        <v>13057836</v>
      </c>
      <c r="AM29" s="18">
        <f t="shared" si="23"/>
        <v>3767309</v>
      </c>
      <c r="AN29" s="18">
        <f t="shared" si="23"/>
        <v>0</v>
      </c>
      <c r="AO29" s="18">
        <f t="shared" si="23"/>
        <v>16825145</v>
      </c>
      <c r="AP29" s="18">
        <f t="shared" si="23"/>
        <v>0</v>
      </c>
      <c r="AQ29" s="18">
        <f t="shared" si="23"/>
        <v>0</v>
      </c>
      <c r="AR29" s="18">
        <f t="shared" si="23"/>
        <v>0</v>
      </c>
      <c r="AS29" s="18">
        <f t="shared" si="23"/>
        <v>0</v>
      </c>
      <c r="AT29" s="18">
        <f t="shared" si="23"/>
        <v>0</v>
      </c>
      <c r="AU29" s="18">
        <f t="shared" si="23"/>
        <v>333419367</v>
      </c>
      <c r="AV29" s="18">
        <f t="shared" si="23"/>
        <v>4983293</v>
      </c>
      <c r="AW29" s="18">
        <f t="shared" si="23"/>
        <v>12028214</v>
      </c>
      <c r="AX29" s="18">
        <f t="shared" si="23"/>
        <v>350430874</v>
      </c>
      <c r="AY29" s="14"/>
    </row>
    <row r="30" spans="1:51" ht="13.5">
      <c r="A30" s="138">
        <v>41030</v>
      </c>
      <c r="B30" s="139">
        <v>107554758</v>
      </c>
      <c r="C30" s="18">
        <v>4864398</v>
      </c>
      <c r="D30" s="18">
        <v>2132126</v>
      </c>
      <c r="E30" s="18">
        <f t="shared" si="0"/>
        <v>114551282</v>
      </c>
      <c r="F30" s="18">
        <f t="shared" si="1"/>
        <v>3357746</v>
      </c>
      <c r="G30" s="18">
        <f t="shared" si="2"/>
        <v>3437634</v>
      </c>
      <c r="H30" s="18">
        <f t="shared" si="3"/>
        <v>0</v>
      </c>
      <c r="I30" s="18">
        <f t="shared" si="4"/>
        <v>6795380</v>
      </c>
      <c r="J30" s="18">
        <f t="shared" si="5"/>
        <v>0</v>
      </c>
      <c r="K30" s="18">
        <v>0</v>
      </c>
      <c r="L30" s="18">
        <f t="shared" si="6"/>
        <v>0</v>
      </c>
      <c r="M30" s="18">
        <v>0</v>
      </c>
      <c r="N30" s="18">
        <f t="shared" si="15"/>
        <v>0</v>
      </c>
      <c r="O30" s="18">
        <f t="shared" si="16"/>
        <v>110912504</v>
      </c>
      <c r="P30" s="18">
        <f t="shared" si="7"/>
        <v>8302032</v>
      </c>
      <c r="Q30" s="18">
        <f t="shared" si="8"/>
        <v>2132126</v>
      </c>
      <c r="R30" s="235">
        <f t="shared" si="9"/>
        <v>121346662</v>
      </c>
      <c r="S30" s="18">
        <v>138592</v>
      </c>
      <c r="T30" s="18">
        <v>2453173</v>
      </c>
      <c r="U30" s="18">
        <v>765981</v>
      </c>
      <c r="V30" s="18">
        <f t="shared" si="10"/>
        <v>3357746</v>
      </c>
      <c r="W30" s="18">
        <v>0</v>
      </c>
      <c r="X30" s="18">
        <v>0</v>
      </c>
      <c r="Y30" s="18">
        <v>3437634</v>
      </c>
      <c r="Z30" s="18">
        <f t="shared" si="11"/>
        <v>3437634</v>
      </c>
      <c r="AA30" s="18">
        <v>0</v>
      </c>
      <c r="AB30" s="18">
        <v>0</v>
      </c>
      <c r="AC30" s="18">
        <v>0</v>
      </c>
      <c r="AD30" s="18">
        <f t="shared" si="12"/>
        <v>0</v>
      </c>
      <c r="AE30" s="18">
        <v>0</v>
      </c>
      <c r="AF30" s="18">
        <v>0</v>
      </c>
      <c r="AG30" s="236">
        <f t="shared" si="13"/>
        <v>0</v>
      </c>
      <c r="AH30" s="18">
        <f t="shared" si="24"/>
        <v>427916289</v>
      </c>
      <c r="AI30" s="18">
        <f t="shared" si="23"/>
        <v>6080382</v>
      </c>
      <c r="AJ30" s="18">
        <f t="shared" si="23"/>
        <v>14160340</v>
      </c>
      <c r="AK30" s="18">
        <f t="shared" si="23"/>
        <v>448157011</v>
      </c>
      <c r="AL30" s="18">
        <f t="shared" si="23"/>
        <v>16415582</v>
      </c>
      <c r="AM30" s="18">
        <f t="shared" si="23"/>
        <v>7204943</v>
      </c>
      <c r="AN30" s="18">
        <f t="shared" si="23"/>
        <v>0</v>
      </c>
      <c r="AO30" s="18">
        <f t="shared" si="23"/>
        <v>23620525</v>
      </c>
      <c r="AP30" s="18">
        <f t="shared" si="23"/>
        <v>0</v>
      </c>
      <c r="AQ30" s="18">
        <f t="shared" si="23"/>
        <v>0</v>
      </c>
      <c r="AR30" s="18">
        <f t="shared" si="23"/>
        <v>0</v>
      </c>
      <c r="AS30" s="18">
        <f t="shared" si="23"/>
        <v>0</v>
      </c>
      <c r="AT30" s="18">
        <f t="shared" si="23"/>
        <v>0</v>
      </c>
      <c r="AU30" s="18">
        <f t="shared" si="23"/>
        <v>444331871</v>
      </c>
      <c r="AV30" s="18">
        <f t="shared" si="23"/>
        <v>13285325</v>
      </c>
      <c r="AW30" s="18">
        <f t="shared" si="23"/>
        <v>14160340</v>
      </c>
      <c r="AX30" s="18">
        <f t="shared" si="23"/>
        <v>471777536</v>
      </c>
      <c r="AY30" s="14"/>
    </row>
    <row r="31" spans="1:51" ht="13.5">
      <c r="A31" s="138">
        <v>41061</v>
      </c>
      <c r="B31" s="139">
        <v>106613644</v>
      </c>
      <c r="C31" s="18">
        <v>0</v>
      </c>
      <c r="D31" s="18">
        <v>5877535</v>
      </c>
      <c r="E31" s="18">
        <f t="shared" si="0"/>
        <v>112491179</v>
      </c>
      <c r="F31" s="18">
        <f t="shared" si="1"/>
        <v>3082194</v>
      </c>
      <c r="G31" s="18">
        <f t="shared" si="2"/>
        <v>2690200</v>
      </c>
      <c r="H31" s="18">
        <f t="shared" si="3"/>
        <v>0</v>
      </c>
      <c r="I31" s="18">
        <f t="shared" si="4"/>
        <v>5772394</v>
      </c>
      <c r="J31" s="18">
        <f t="shared" si="5"/>
        <v>0</v>
      </c>
      <c r="K31" s="18">
        <v>0</v>
      </c>
      <c r="L31" s="18">
        <f t="shared" si="6"/>
        <v>0</v>
      </c>
      <c r="M31" s="18">
        <v>0</v>
      </c>
      <c r="N31" s="18">
        <f t="shared" si="15"/>
        <v>0</v>
      </c>
      <c r="O31" s="18">
        <f t="shared" si="16"/>
        <v>109695838</v>
      </c>
      <c r="P31" s="18">
        <f t="shared" si="7"/>
        <v>2690200</v>
      </c>
      <c r="Q31" s="18">
        <f t="shared" si="8"/>
        <v>5877535</v>
      </c>
      <c r="R31" s="235">
        <f t="shared" si="9"/>
        <v>118263573</v>
      </c>
      <c r="S31" s="18">
        <v>0</v>
      </c>
      <c r="T31" s="18">
        <v>906500</v>
      </c>
      <c r="U31" s="18">
        <v>2175694</v>
      </c>
      <c r="V31" s="18">
        <f t="shared" si="10"/>
        <v>3082194</v>
      </c>
      <c r="W31" s="18">
        <v>0</v>
      </c>
      <c r="X31" s="18">
        <v>0</v>
      </c>
      <c r="Y31" s="18">
        <v>2690200</v>
      </c>
      <c r="Z31" s="18">
        <f t="shared" si="11"/>
        <v>2690200</v>
      </c>
      <c r="AA31" s="18">
        <v>0</v>
      </c>
      <c r="AB31" s="18">
        <v>0</v>
      </c>
      <c r="AC31" s="18">
        <v>0</v>
      </c>
      <c r="AD31" s="18">
        <f t="shared" si="12"/>
        <v>0</v>
      </c>
      <c r="AE31" s="18">
        <v>0</v>
      </c>
      <c r="AF31" s="18">
        <v>0</v>
      </c>
      <c r="AG31" s="236">
        <f t="shared" si="13"/>
        <v>0</v>
      </c>
      <c r="AH31" s="18">
        <f t="shared" si="24"/>
        <v>534529933</v>
      </c>
      <c r="AI31" s="18">
        <f t="shared" si="23"/>
        <v>6080382</v>
      </c>
      <c r="AJ31" s="18">
        <f t="shared" si="23"/>
        <v>20037875</v>
      </c>
      <c r="AK31" s="18">
        <f t="shared" si="23"/>
        <v>560648190</v>
      </c>
      <c r="AL31" s="18">
        <f t="shared" si="23"/>
        <v>19497776</v>
      </c>
      <c r="AM31" s="18">
        <f t="shared" si="23"/>
        <v>9895143</v>
      </c>
      <c r="AN31" s="18">
        <f t="shared" si="23"/>
        <v>0</v>
      </c>
      <c r="AO31" s="18">
        <f t="shared" si="23"/>
        <v>29392919</v>
      </c>
      <c r="AP31" s="18">
        <f t="shared" si="23"/>
        <v>0</v>
      </c>
      <c r="AQ31" s="18">
        <f t="shared" si="23"/>
        <v>0</v>
      </c>
      <c r="AR31" s="18">
        <f t="shared" si="23"/>
        <v>0</v>
      </c>
      <c r="AS31" s="18">
        <f t="shared" si="23"/>
        <v>0</v>
      </c>
      <c r="AT31" s="18">
        <f t="shared" si="23"/>
        <v>0</v>
      </c>
      <c r="AU31" s="18">
        <f t="shared" si="23"/>
        <v>554027709</v>
      </c>
      <c r="AV31" s="18">
        <f t="shared" si="23"/>
        <v>15975525</v>
      </c>
      <c r="AW31" s="18">
        <f t="shared" si="23"/>
        <v>20037875</v>
      </c>
      <c r="AX31" s="18">
        <f t="shared" si="23"/>
        <v>590041109</v>
      </c>
      <c r="AY31" s="14"/>
    </row>
    <row r="32" spans="1:51" ht="13.5">
      <c r="A32" s="138">
        <v>41091</v>
      </c>
      <c r="B32" s="139">
        <v>97342403</v>
      </c>
      <c r="C32" s="18">
        <v>0</v>
      </c>
      <c r="D32" s="18">
        <v>2650483</v>
      </c>
      <c r="E32" s="18">
        <f t="shared" si="0"/>
        <v>99992886</v>
      </c>
      <c r="F32" s="18">
        <f t="shared" si="1"/>
        <v>5724257</v>
      </c>
      <c r="G32" s="18">
        <f t="shared" si="2"/>
        <v>3085274</v>
      </c>
      <c r="H32" s="18">
        <f t="shared" si="3"/>
        <v>0</v>
      </c>
      <c r="I32" s="18">
        <f t="shared" si="4"/>
        <v>8809531</v>
      </c>
      <c r="J32" s="18">
        <f t="shared" si="5"/>
        <v>0</v>
      </c>
      <c r="K32" s="18">
        <v>0</v>
      </c>
      <c r="L32" s="18">
        <f t="shared" si="6"/>
        <v>0</v>
      </c>
      <c r="M32" s="18">
        <v>0</v>
      </c>
      <c r="N32" s="18">
        <f t="shared" si="15"/>
        <v>0</v>
      </c>
      <c r="O32" s="18">
        <f t="shared" si="16"/>
        <v>103066660</v>
      </c>
      <c r="P32" s="18">
        <f t="shared" si="7"/>
        <v>3085274</v>
      </c>
      <c r="Q32" s="18">
        <f t="shared" si="8"/>
        <v>2650483</v>
      </c>
      <c r="R32" s="235">
        <f t="shared" si="9"/>
        <v>108802417</v>
      </c>
      <c r="S32" s="18">
        <v>227664</v>
      </c>
      <c r="T32" s="18">
        <v>757671</v>
      </c>
      <c r="U32" s="18">
        <v>4738922</v>
      </c>
      <c r="V32" s="18">
        <f t="shared" si="10"/>
        <v>5724257</v>
      </c>
      <c r="W32" s="18">
        <v>0</v>
      </c>
      <c r="X32" s="18">
        <v>0</v>
      </c>
      <c r="Y32" s="18">
        <v>3085274</v>
      </c>
      <c r="Z32" s="18">
        <f t="shared" si="11"/>
        <v>3085274</v>
      </c>
      <c r="AA32" s="18">
        <v>0</v>
      </c>
      <c r="AB32" s="18">
        <v>0</v>
      </c>
      <c r="AC32" s="18">
        <v>0</v>
      </c>
      <c r="AD32" s="18">
        <f t="shared" si="12"/>
        <v>0</v>
      </c>
      <c r="AE32" s="18">
        <v>0</v>
      </c>
      <c r="AF32" s="18">
        <v>0</v>
      </c>
      <c r="AG32" s="236">
        <f t="shared" si="13"/>
        <v>0</v>
      </c>
      <c r="AH32" s="18">
        <f t="shared" si="24"/>
        <v>631872336</v>
      </c>
      <c r="AI32" s="18">
        <f t="shared" si="23"/>
        <v>6080382</v>
      </c>
      <c r="AJ32" s="18">
        <f t="shared" si="23"/>
        <v>22688358</v>
      </c>
      <c r="AK32" s="18">
        <f t="shared" si="23"/>
        <v>660641076</v>
      </c>
      <c r="AL32" s="18">
        <f t="shared" si="23"/>
        <v>25222033</v>
      </c>
      <c r="AM32" s="18">
        <f t="shared" si="23"/>
        <v>12980417</v>
      </c>
      <c r="AN32" s="18">
        <f t="shared" si="23"/>
        <v>0</v>
      </c>
      <c r="AO32" s="18">
        <f t="shared" si="23"/>
        <v>38202450</v>
      </c>
      <c r="AP32" s="18">
        <f t="shared" si="23"/>
        <v>0</v>
      </c>
      <c r="AQ32" s="18">
        <f t="shared" si="23"/>
        <v>0</v>
      </c>
      <c r="AR32" s="18">
        <f t="shared" si="23"/>
        <v>0</v>
      </c>
      <c r="AS32" s="18">
        <f t="shared" si="23"/>
        <v>0</v>
      </c>
      <c r="AT32" s="18">
        <f t="shared" si="23"/>
        <v>0</v>
      </c>
      <c r="AU32" s="18">
        <f t="shared" si="23"/>
        <v>657094369</v>
      </c>
      <c r="AV32" s="18">
        <f t="shared" si="23"/>
        <v>19060799</v>
      </c>
      <c r="AW32" s="18">
        <f t="shared" si="23"/>
        <v>22688358</v>
      </c>
      <c r="AX32" s="18">
        <f t="shared" si="23"/>
        <v>698843526</v>
      </c>
      <c r="AY32" s="14"/>
    </row>
    <row r="33" spans="1:51" ht="13.5">
      <c r="A33" s="138">
        <v>41122</v>
      </c>
      <c r="B33" s="139">
        <v>96254350</v>
      </c>
      <c r="C33" s="18">
        <v>0</v>
      </c>
      <c r="D33" s="18">
        <v>3399417</v>
      </c>
      <c r="E33" s="18">
        <f t="shared" si="0"/>
        <v>99653767</v>
      </c>
      <c r="F33" s="18">
        <f t="shared" si="1"/>
        <v>4247553</v>
      </c>
      <c r="G33" s="18">
        <f t="shared" si="2"/>
        <v>1030821</v>
      </c>
      <c r="H33" s="18">
        <f t="shared" si="3"/>
        <v>0</v>
      </c>
      <c r="I33" s="18">
        <f t="shared" si="4"/>
        <v>5278374</v>
      </c>
      <c r="J33" s="18">
        <f t="shared" si="5"/>
        <v>0</v>
      </c>
      <c r="K33" s="18">
        <v>0</v>
      </c>
      <c r="L33" s="18">
        <f t="shared" si="6"/>
        <v>0</v>
      </c>
      <c r="M33" s="18">
        <v>0</v>
      </c>
      <c r="N33" s="18">
        <f t="shared" si="15"/>
        <v>0</v>
      </c>
      <c r="O33" s="18">
        <f t="shared" si="16"/>
        <v>100501903</v>
      </c>
      <c r="P33" s="18">
        <f t="shared" si="7"/>
        <v>1030821</v>
      </c>
      <c r="Q33" s="18">
        <f t="shared" si="8"/>
        <v>3399417</v>
      </c>
      <c r="R33" s="235">
        <f t="shared" si="9"/>
        <v>104932141</v>
      </c>
      <c r="S33" s="18">
        <v>45870</v>
      </c>
      <c r="T33" s="18">
        <v>358250</v>
      </c>
      <c r="U33" s="18">
        <v>3843433</v>
      </c>
      <c r="V33" s="18">
        <f t="shared" si="10"/>
        <v>4247553</v>
      </c>
      <c r="W33" s="18">
        <v>0</v>
      </c>
      <c r="X33" s="18">
        <v>0</v>
      </c>
      <c r="Y33" s="18">
        <v>1030821</v>
      </c>
      <c r="Z33" s="18">
        <f t="shared" si="11"/>
        <v>1030821</v>
      </c>
      <c r="AA33" s="18">
        <v>0</v>
      </c>
      <c r="AB33" s="18">
        <v>0</v>
      </c>
      <c r="AC33" s="18">
        <v>0</v>
      </c>
      <c r="AD33" s="18">
        <f t="shared" si="12"/>
        <v>0</v>
      </c>
      <c r="AE33" s="18">
        <v>0</v>
      </c>
      <c r="AF33" s="18">
        <v>0</v>
      </c>
      <c r="AG33" s="236">
        <f t="shared" si="13"/>
        <v>0</v>
      </c>
      <c r="AH33" s="18">
        <f t="shared" si="24"/>
        <v>728126686</v>
      </c>
      <c r="AI33" s="18">
        <f t="shared" si="23"/>
        <v>6080382</v>
      </c>
      <c r="AJ33" s="18">
        <f t="shared" si="23"/>
        <v>26087775</v>
      </c>
      <c r="AK33" s="18">
        <f t="shared" si="23"/>
        <v>760294843</v>
      </c>
      <c r="AL33" s="18">
        <f t="shared" si="23"/>
        <v>29469586</v>
      </c>
      <c r="AM33" s="18">
        <f t="shared" si="23"/>
        <v>14011238</v>
      </c>
      <c r="AN33" s="18">
        <f t="shared" si="23"/>
        <v>0</v>
      </c>
      <c r="AO33" s="18">
        <f t="shared" si="23"/>
        <v>43480824</v>
      </c>
      <c r="AP33" s="18">
        <f t="shared" si="23"/>
        <v>0</v>
      </c>
      <c r="AQ33" s="18">
        <f t="shared" si="23"/>
        <v>0</v>
      </c>
      <c r="AR33" s="18">
        <f t="shared" si="23"/>
        <v>0</v>
      </c>
      <c r="AS33" s="18">
        <f t="shared" si="23"/>
        <v>0</v>
      </c>
      <c r="AT33" s="18">
        <f t="shared" si="23"/>
        <v>0</v>
      </c>
      <c r="AU33" s="18">
        <f t="shared" si="23"/>
        <v>757596272</v>
      </c>
      <c r="AV33" s="18">
        <f t="shared" si="23"/>
        <v>20091620</v>
      </c>
      <c r="AW33" s="18">
        <f t="shared" si="23"/>
        <v>26087775</v>
      </c>
      <c r="AX33" s="18">
        <f t="shared" si="23"/>
        <v>803775667</v>
      </c>
      <c r="AY33" s="14"/>
    </row>
    <row r="34" spans="1:51" ht="13.5">
      <c r="A34" s="138">
        <v>41153</v>
      </c>
      <c r="B34" s="139">
        <v>81339106</v>
      </c>
      <c r="C34" s="18">
        <v>0</v>
      </c>
      <c r="D34" s="18">
        <v>4003665</v>
      </c>
      <c r="E34" s="18">
        <f t="shared" ref="E34:E97" si="25">SUM(B34:D34)</f>
        <v>85342771</v>
      </c>
      <c r="F34" s="18">
        <f t="shared" si="1"/>
        <v>2698792</v>
      </c>
      <c r="G34" s="18">
        <f t="shared" si="2"/>
        <v>8813936</v>
      </c>
      <c r="H34" s="18">
        <f t="shared" si="3"/>
        <v>0</v>
      </c>
      <c r="I34" s="18">
        <f t="shared" ref="I34:I97" si="26">SUM(F34:H34)</f>
        <v>11512728</v>
      </c>
      <c r="J34" s="18">
        <f t="shared" si="5"/>
        <v>0</v>
      </c>
      <c r="K34" s="18">
        <v>0</v>
      </c>
      <c r="L34" s="18">
        <f t="shared" ref="L34:L97" si="27">SUM(J34:K34)</f>
        <v>0</v>
      </c>
      <c r="M34" s="18">
        <v>0</v>
      </c>
      <c r="N34" s="18">
        <f t="shared" si="15"/>
        <v>0</v>
      </c>
      <c r="O34" s="18">
        <f t="shared" si="16"/>
        <v>84037898</v>
      </c>
      <c r="P34" s="18">
        <f t="shared" si="7"/>
        <v>8813936</v>
      </c>
      <c r="Q34" s="18">
        <f t="shared" si="8"/>
        <v>4003665</v>
      </c>
      <c r="R34" s="235">
        <f t="shared" si="9"/>
        <v>96855499</v>
      </c>
      <c r="S34" s="18">
        <v>142502</v>
      </c>
      <c r="T34" s="18">
        <v>305963</v>
      </c>
      <c r="U34" s="18">
        <v>2250327</v>
      </c>
      <c r="V34" s="18">
        <f t="shared" si="10"/>
        <v>2698792</v>
      </c>
      <c r="W34" s="18">
        <v>0</v>
      </c>
      <c r="X34" s="18">
        <v>0</v>
      </c>
      <c r="Y34" s="18">
        <v>8813936</v>
      </c>
      <c r="Z34" s="18">
        <f t="shared" si="11"/>
        <v>8813936</v>
      </c>
      <c r="AA34" s="18">
        <v>0</v>
      </c>
      <c r="AB34" s="18">
        <v>0</v>
      </c>
      <c r="AC34" s="18">
        <v>0</v>
      </c>
      <c r="AD34" s="18">
        <f t="shared" si="12"/>
        <v>0</v>
      </c>
      <c r="AE34" s="18">
        <v>0</v>
      </c>
      <c r="AF34" s="18">
        <v>0</v>
      </c>
      <c r="AG34" s="236">
        <f t="shared" si="13"/>
        <v>0</v>
      </c>
      <c r="AH34" s="18">
        <f t="shared" si="24"/>
        <v>809465792</v>
      </c>
      <c r="AI34" s="18">
        <f t="shared" si="23"/>
        <v>6080382</v>
      </c>
      <c r="AJ34" s="18">
        <f t="shared" si="23"/>
        <v>30091440</v>
      </c>
      <c r="AK34" s="18">
        <f t="shared" si="23"/>
        <v>845637614</v>
      </c>
      <c r="AL34" s="18">
        <f t="shared" si="23"/>
        <v>32168378</v>
      </c>
      <c r="AM34" s="18">
        <f t="shared" si="23"/>
        <v>22825174</v>
      </c>
      <c r="AN34" s="18">
        <f t="shared" si="23"/>
        <v>0</v>
      </c>
      <c r="AO34" s="18">
        <f t="shared" si="23"/>
        <v>54993552</v>
      </c>
      <c r="AP34" s="18">
        <f t="shared" si="23"/>
        <v>0</v>
      </c>
      <c r="AQ34" s="18">
        <f t="shared" si="23"/>
        <v>0</v>
      </c>
      <c r="AR34" s="18">
        <f t="shared" si="23"/>
        <v>0</v>
      </c>
      <c r="AS34" s="18">
        <f t="shared" si="23"/>
        <v>0</v>
      </c>
      <c r="AT34" s="18">
        <f t="shared" si="23"/>
        <v>0</v>
      </c>
      <c r="AU34" s="18">
        <f t="shared" si="23"/>
        <v>841634170</v>
      </c>
      <c r="AV34" s="18">
        <f t="shared" si="23"/>
        <v>28905556</v>
      </c>
      <c r="AW34" s="18">
        <f t="shared" si="23"/>
        <v>30091440</v>
      </c>
      <c r="AX34" s="18">
        <f t="shared" si="23"/>
        <v>900631166</v>
      </c>
      <c r="AY34" s="14"/>
    </row>
    <row r="35" spans="1:51" ht="13.5">
      <c r="A35" s="138">
        <v>41183</v>
      </c>
      <c r="B35" s="139">
        <v>80600435</v>
      </c>
      <c r="C35" s="18">
        <v>701526</v>
      </c>
      <c r="D35" s="18">
        <v>1813495</v>
      </c>
      <c r="E35" s="18">
        <f t="shared" si="25"/>
        <v>83115456</v>
      </c>
      <c r="F35" s="18">
        <f t="shared" si="1"/>
        <v>2734414</v>
      </c>
      <c r="G35" s="18">
        <f t="shared" si="2"/>
        <v>12718015</v>
      </c>
      <c r="H35" s="18">
        <f t="shared" si="3"/>
        <v>0</v>
      </c>
      <c r="I35" s="18">
        <f t="shared" si="26"/>
        <v>15452429</v>
      </c>
      <c r="J35" s="18">
        <f t="shared" si="5"/>
        <v>0</v>
      </c>
      <c r="K35" s="18">
        <v>0</v>
      </c>
      <c r="L35" s="18">
        <f t="shared" si="27"/>
        <v>0</v>
      </c>
      <c r="M35" s="18">
        <v>0</v>
      </c>
      <c r="N35" s="18">
        <f t="shared" si="15"/>
        <v>0</v>
      </c>
      <c r="O35" s="18">
        <f t="shared" si="16"/>
        <v>83334849</v>
      </c>
      <c r="P35" s="18">
        <f t="shared" si="7"/>
        <v>13419541</v>
      </c>
      <c r="Q35" s="18">
        <f t="shared" si="8"/>
        <v>1813495</v>
      </c>
      <c r="R35" s="235">
        <f t="shared" si="9"/>
        <v>98567885</v>
      </c>
      <c r="S35" s="18">
        <v>203290</v>
      </c>
      <c r="T35" s="18">
        <v>570293</v>
      </c>
      <c r="U35" s="18">
        <v>1960831</v>
      </c>
      <c r="V35" s="18">
        <f t="shared" si="10"/>
        <v>2734414</v>
      </c>
      <c r="W35" s="18">
        <v>0</v>
      </c>
      <c r="X35" s="18">
        <v>0</v>
      </c>
      <c r="Y35" s="18">
        <v>12718015</v>
      </c>
      <c r="Z35" s="18">
        <f t="shared" si="11"/>
        <v>12718015</v>
      </c>
      <c r="AA35" s="18">
        <v>0</v>
      </c>
      <c r="AB35" s="18">
        <v>0</v>
      </c>
      <c r="AC35" s="18">
        <v>0</v>
      </c>
      <c r="AD35" s="18">
        <f t="shared" si="12"/>
        <v>0</v>
      </c>
      <c r="AE35" s="18">
        <v>0</v>
      </c>
      <c r="AF35" s="18">
        <v>0</v>
      </c>
      <c r="AG35" s="236">
        <f t="shared" si="13"/>
        <v>0</v>
      </c>
      <c r="AH35" s="18">
        <f t="shared" si="24"/>
        <v>890066227</v>
      </c>
      <c r="AI35" s="18">
        <f t="shared" si="23"/>
        <v>6781908</v>
      </c>
      <c r="AJ35" s="18">
        <f t="shared" si="23"/>
        <v>31904935</v>
      </c>
      <c r="AK35" s="18">
        <f t="shared" si="23"/>
        <v>928753070</v>
      </c>
      <c r="AL35" s="18">
        <f t="shared" si="23"/>
        <v>34902792</v>
      </c>
      <c r="AM35" s="18">
        <f t="shared" si="23"/>
        <v>35543189</v>
      </c>
      <c r="AN35" s="18">
        <f t="shared" si="23"/>
        <v>0</v>
      </c>
      <c r="AO35" s="18">
        <f t="shared" si="23"/>
        <v>70445981</v>
      </c>
      <c r="AP35" s="18">
        <f t="shared" si="23"/>
        <v>0</v>
      </c>
      <c r="AQ35" s="18">
        <f t="shared" si="23"/>
        <v>0</v>
      </c>
      <c r="AR35" s="18">
        <f t="shared" si="23"/>
        <v>0</v>
      </c>
      <c r="AS35" s="18">
        <f t="shared" si="23"/>
        <v>0</v>
      </c>
      <c r="AT35" s="18">
        <f t="shared" si="23"/>
        <v>0</v>
      </c>
      <c r="AU35" s="18">
        <f t="shared" si="23"/>
        <v>924969019</v>
      </c>
      <c r="AV35" s="18">
        <f t="shared" si="23"/>
        <v>42325097</v>
      </c>
      <c r="AW35" s="18">
        <f t="shared" si="23"/>
        <v>31904935</v>
      </c>
      <c r="AX35" s="18">
        <f t="shared" si="23"/>
        <v>999199051</v>
      </c>
      <c r="AY35" s="14"/>
    </row>
    <row r="36" spans="1:51" ht="13.5">
      <c r="A36" s="138">
        <v>41214</v>
      </c>
      <c r="B36" s="139">
        <v>67979938</v>
      </c>
      <c r="C36" s="18">
        <v>0</v>
      </c>
      <c r="D36" s="18">
        <v>809682</v>
      </c>
      <c r="E36" s="18">
        <f t="shared" si="25"/>
        <v>68789620</v>
      </c>
      <c r="F36" s="18">
        <f t="shared" si="1"/>
        <v>3675591</v>
      </c>
      <c r="G36" s="18">
        <f t="shared" si="2"/>
        <v>10308273</v>
      </c>
      <c r="H36" s="18">
        <f t="shared" si="3"/>
        <v>0</v>
      </c>
      <c r="I36" s="18">
        <f t="shared" si="26"/>
        <v>13983864</v>
      </c>
      <c r="J36" s="18">
        <f t="shared" si="5"/>
        <v>0</v>
      </c>
      <c r="K36" s="18">
        <v>0</v>
      </c>
      <c r="L36" s="18">
        <f t="shared" si="27"/>
        <v>0</v>
      </c>
      <c r="M36" s="18">
        <v>0</v>
      </c>
      <c r="N36" s="18">
        <f t="shared" si="15"/>
        <v>0</v>
      </c>
      <c r="O36" s="18">
        <f t="shared" si="16"/>
        <v>71655529</v>
      </c>
      <c r="P36" s="18">
        <f t="shared" si="7"/>
        <v>10308273</v>
      </c>
      <c r="Q36" s="18">
        <f t="shared" si="8"/>
        <v>809682</v>
      </c>
      <c r="R36" s="235">
        <f t="shared" si="9"/>
        <v>82773484</v>
      </c>
      <c r="S36" s="18">
        <v>0</v>
      </c>
      <c r="T36" s="18">
        <v>568839</v>
      </c>
      <c r="U36" s="18">
        <v>3106752</v>
      </c>
      <c r="V36" s="18">
        <f t="shared" si="10"/>
        <v>3675591</v>
      </c>
      <c r="W36" s="18">
        <v>0</v>
      </c>
      <c r="X36" s="18">
        <v>0</v>
      </c>
      <c r="Y36" s="18">
        <v>10308273</v>
      </c>
      <c r="Z36" s="18">
        <f t="shared" si="11"/>
        <v>10308273</v>
      </c>
      <c r="AA36" s="18">
        <v>0</v>
      </c>
      <c r="AB36" s="18">
        <v>0</v>
      </c>
      <c r="AC36" s="18">
        <v>0</v>
      </c>
      <c r="AD36" s="18">
        <f t="shared" si="12"/>
        <v>0</v>
      </c>
      <c r="AE36" s="18">
        <v>0</v>
      </c>
      <c r="AF36" s="18">
        <v>0</v>
      </c>
      <c r="AG36" s="236">
        <f t="shared" si="13"/>
        <v>0</v>
      </c>
      <c r="AH36" s="18">
        <f t="shared" si="24"/>
        <v>958046165</v>
      </c>
      <c r="AI36" s="18">
        <f t="shared" si="23"/>
        <v>6781908</v>
      </c>
      <c r="AJ36" s="18">
        <f t="shared" si="23"/>
        <v>32714617</v>
      </c>
      <c r="AK36" s="18">
        <f t="shared" si="23"/>
        <v>997542690</v>
      </c>
      <c r="AL36" s="18">
        <f t="shared" si="23"/>
        <v>38578383</v>
      </c>
      <c r="AM36" s="18">
        <f t="shared" si="23"/>
        <v>45851462</v>
      </c>
      <c r="AN36" s="18">
        <f t="shared" si="23"/>
        <v>0</v>
      </c>
      <c r="AO36" s="18">
        <f t="shared" si="23"/>
        <v>84429845</v>
      </c>
      <c r="AP36" s="18">
        <f t="shared" si="23"/>
        <v>0</v>
      </c>
      <c r="AQ36" s="18">
        <f t="shared" si="23"/>
        <v>0</v>
      </c>
      <c r="AR36" s="18">
        <f t="shared" si="23"/>
        <v>0</v>
      </c>
      <c r="AS36" s="18">
        <f t="shared" si="23"/>
        <v>0</v>
      </c>
      <c r="AT36" s="18">
        <f t="shared" si="23"/>
        <v>0</v>
      </c>
      <c r="AU36" s="18">
        <f t="shared" si="23"/>
        <v>996624548</v>
      </c>
      <c r="AV36" s="18">
        <f t="shared" si="23"/>
        <v>52633370</v>
      </c>
      <c r="AW36" s="18">
        <f t="shared" si="23"/>
        <v>32714617</v>
      </c>
      <c r="AX36" s="18">
        <f t="shared" si="23"/>
        <v>1081972535</v>
      </c>
      <c r="AY36" s="14"/>
    </row>
    <row r="37" spans="1:51" ht="14.25" thickBot="1">
      <c r="A37" s="138">
        <v>41244</v>
      </c>
      <c r="B37" s="139">
        <v>58155836</v>
      </c>
      <c r="C37" s="18">
        <v>0</v>
      </c>
      <c r="D37" s="18">
        <v>732245</v>
      </c>
      <c r="E37" s="18">
        <f t="shared" si="25"/>
        <v>58888081</v>
      </c>
      <c r="F37" s="18">
        <f t="shared" si="1"/>
        <v>1617101</v>
      </c>
      <c r="G37" s="18">
        <f t="shared" si="2"/>
        <v>4421460</v>
      </c>
      <c r="H37" s="18">
        <f t="shared" si="3"/>
        <v>0</v>
      </c>
      <c r="I37" s="18">
        <f t="shared" si="26"/>
        <v>6038561</v>
      </c>
      <c r="J37" s="18">
        <f t="shared" si="5"/>
        <v>0</v>
      </c>
      <c r="K37" s="18">
        <v>0</v>
      </c>
      <c r="L37" s="18">
        <f t="shared" si="27"/>
        <v>0</v>
      </c>
      <c r="M37" s="18">
        <v>0</v>
      </c>
      <c r="N37" s="18">
        <f t="shared" si="15"/>
        <v>0</v>
      </c>
      <c r="O37" s="18">
        <f t="shared" si="16"/>
        <v>59772937</v>
      </c>
      <c r="P37" s="18">
        <f t="shared" si="7"/>
        <v>4421460</v>
      </c>
      <c r="Q37" s="18">
        <f t="shared" si="8"/>
        <v>732245</v>
      </c>
      <c r="R37" s="235">
        <f t="shared" si="9"/>
        <v>64926642</v>
      </c>
      <c r="S37" s="18">
        <v>0</v>
      </c>
      <c r="T37" s="18">
        <v>552904</v>
      </c>
      <c r="U37" s="18">
        <v>1064197</v>
      </c>
      <c r="V37" s="18">
        <f t="shared" si="10"/>
        <v>1617101</v>
      </c>
      <c r="W37" s="18">
        <v>0</v>
      </c>
      <c r="X37" s="18">
        <v>0</v>
      </c>
      <c r="Y37" s="18">
        <v>4421460</v>
      </c>
      <c r="Z37" s="18">
        <f t="shared" si="11"/>
        <v>4421460</v>
      </c>
      <c r="AA37" s="18">
        <v>0</v>
      </c>
      <c r="AB37" s="18">
        <v>0</v>
      </c>
      <c r="AC37" s="18">
        <v>0</v>
      </c>
      <c r="AD37" s="18">
        <f t="shared" si="12"/>
        <v>0</v>
      </c>
      <c r="AE37" s="18">
        <v>0</v>
      </c>
      <c r="AF37" s="18">
        <v>0</v>
      </c>
      <c r="AG37" s="236">
        <f t="shared" si="13"/>
        <v>0</v>
      </c>
      <c r="AH37" s="18">
        <f t="shared" si="24"/>
        <v>1016202001</v>
      </c>
      <c r="AI37" s="18">
        <f t="shared" si="23"/>
        <v>6781908</v>
      </c>
      <c r="AJ37" s="18">
        <f t="shared" si="23"/>
        <v>33446862</v>
      </c>
      <c r="AK37" s="18">
        <f t="shared" si="23"/>
        <v>1056430771</v>
      </c>
      <c r="AL37" s="18">
        <f t="shared" si="23"/>
        <v>40195484</v>
      </c>
      <c r="AM37" s="18">
        <f t="shared" si="23"/>
        <v>50272922</v>
      </c>
      <c r="AN37" s="18">
        <f t="shared" si="23"/>
        <v>0</v>
      </c>
      <c r="AO37" s="18">
        <f t="shared" si="23"/>
        <v>90468406</v>
      </c>
      <c r="AP37" s="18">
        <f t="shared" si="23"/>
        <v>0</v>
      </c>
      <c r="AQ37" s="18">
        <f t="shared" si="23"/>
        <v>0</v>
      </c>
      <c r="AR37" s="18">
        <f t="shared" si="23"/>
        <v>0</v>
      </c>
      <c r="AS37" s="18">
        <f t="shared" si="23"/>
        <v>0</v>
      </c>
      <c r="AT37" s="18">
        <f t="shared" si="23"/>
        <v>0</v>
      </c>
      <c r="AU37" s="18">
        <f t="shared" si="23"/>
        <v>1056397485</v>
      </c>
      <c r="AV37" s="18">
        <f t="shared" si="23"/>
        <v>57054830</v>
      </c>
      <c r="AW37" s="18">
        <f t="shared" si="23"/>
        <v>33446862</v>
      </c>
      <c r="AX37" s="18">
        <f t="shared" si="23"/>
        <v>1146899177</v>
      </c>
      <c r="AY37" s="14"/>
    </row>
    <row r="38" spans="1:51" ht="13.5">
      <c r="A38" s="141">
        <v>41275</v>
      </c>
      <c r="B38" s="142">
        <v>71157810</v>
      </c>
      <c r="C38" s="143">
        <v>0</v>
      </c>
      <c r="D38" s="143">
        <v>975984</v>
      </c>
      <c r="E38" s="143">
        <f t="shared" si="25"/>
        <v>72133794</v>
      </c>
      <c r="F38" s="143">
        <f t="shared" si="1"/>
        <v>874975</v>
      </c>
      <c r="G38" s="143">
        <f t="shared" si="2"/>
        <v>7009715</v>
      </c>
      <c r="H38" s="143">
        <f t="shared" si="3"/>
        <v>0</v>
      </c>
      <c r="I38" s="143">
        <f t="shared" si="26"/>
        <v>7884690</v>
      </c>
      <c r="J38" s="143">
        <f t="shared" si="5"/>
        <v>0</v>
      </c>
      <c r="K38" s="143">
        <v>0</v>
      </c>
      <c r="L38" s="143">
        <f t="shared" si="27"/>
        <v>0</v>
      </c>
      <c r="M38" s="143">
        <v>0</v>
      </c>
      <c r="N38" s="143">
        <f t="shared" si="15"/>
        <v>0</v>
      </c>
      <c r="O38" s="143">
        <f t="shared" si="16"/>
        <v>72032785</v>
      </c>
      <c r="P38" s="143">
        <f t="shared" si="7"/>
        <v>7009715</v>
      </c>
      <c r="Q38" s="143">
        <f t="shared" si="8"/>
        <v>975984</v>
      </c>
      <c r="R38" s="237">
        <f t="shared" si="9"/>
        <v>80018484</v>
      </c>
      <c r="S38" s="143">
        <v>0</v>
      </c>
      <c r="T38" s="143">
        <v>613304</v>
      </c>
      <c r="U38" s="143">
        <v>261671</v>
      </c>
      <c r="V38" s="143">
        <f t="shared" si="10"/>
        <v>874975</v>
      </c>
      <c r="W38" s="143">
        <v>0</v>
      </c>
      <c r="X38" s="143">
        <v>0</v>
      </c>
      <c r="Y38" s="143">
        <v>7009715</v>
      </c>
      <c r="Z38" s="143">
        <f t="shared" si="11"/>
        <v>7009715</v>
      </c>
      <c r="AA38" s="143">
        <v>0</v>
      </c>
      <c r="AB38" s="143">
        <v>0</v>
      </c>
      <c r="AC38" s="143">
        <v>0</v>
      </c>
      <c r="AD38" s="143">
        <f t="shared" si="12"/>
        <v>0</v>
      </c>
      <c r="AE38" s="143">
        <v>0</v>
      </c>
      <c r="AF38" s="143">
        <v>0</v>
      </c>
      <c r="AG38" s="238">
        <f t="shared" si="13"/>
        <v>0</v>
      </c>
      <c r="AH38" s="143">
        <f t="shared" ref="AH38:AX38" si="28">B38</f>
        <v>71157810</v>
      </c>
      <c r="AI38" s="143">
        <f t="shared" si="28"/>
        <v>0</v>
      </c>
      <c r="AJ38" s="143">
        <f t="shared" si="28"/>
        <v>975984</v>
      </c>
      <c r="AK38" s="143">
        <f t="shared" si="28"/>
        <v>72133794</v>
      </c>
      <c r="AL38" s="143">
        <f t="shared" si="28"/>
        <v>874975</v>
      </c>
      <c r="AM38" s="143">
        <f t="shared" si="28"/>
        <v>7009715</v>
      </c>
      <c r="AN38" s="143">
        <f t="shared" si="28"/>
        <v>0</v>
      </c>
      <c r="AO38" s="143">
        <f t="shared" si="28"/>
        <v>7884690</v>
      </c>
      <c r="AP38" s="143">
        <f t="shared" si="28"/>
        <v>0</v>
      </c>
      <c r="AQ38" s="143">
        <f t="shared" si="28"/>
        <v>0</v>
      </c>
      <c r="AR38" s="143">
        <f t="shared" si="28"/>
        <v>0</v>
      </c>
      <c r="AS38" s="143">
        <f t="shared" si="28"/>
        <v>0</v>
      </c>
      <c r="AT38" s="143">
        <f t="shared" si="28"/>
        <v>0</v>
      </c>
      <c r="AU38" s="143">
        <f t="shared" si="28"/>
        <v>72032785</v>
      </c>
      <c r="AV38" s="143">
        <f t="shared" si="28"/>
        <v>7009715</v>
      </c>
      <c r="AW38" s="143">
        <f t="shared" si="28"/>
        <v>975984</v>
      </c>
      <c r="AX38" s="143">
        <f t="shared" si="28"/>
        <v>80018484</v>
      </c>
      <c r="AY38" s="14"/>
    </row>
    <row r="39" spans="1:51" ht="13.5">
      <c r="A39" s="138">
        <v>41306</v>
      </c>
      <c r="B39" s="139">
        <v>74511501</v>
      </c>
      <c r="C39" s="18">
        <v>0</v>
      </c>
      <c r="D39" s="18">
        <v>3073611</v>
      </c>
      <c r="E39" s="18">
        <f t="shared" si="25"/>
        <v>77585112</v>
      </c>
      <c r="F39" s="18">
        <f t="shared" si="1"/>
        <v>709570</v>
      </c>
      <c r="G39" s="18">
        <f t="shared" si="2"/>
        <v>0</v>
      </c>
      <c r="H39" s="18">
        <f t="shared" si="3"/>
        <v>2405892</v>
      </c>
      <c r="I39" s="18">
        <f t="shared" si="26"/>
        <v>3115462</v>
      </c>
      <c r="J39" s="18">
        <f t="shared" si="5"/>
        <v>0</v>
      </c>
      <c r="K39" s="18">
        <v>0</v>
      </c>
      <c r="L39" s="18">
        <f t="shared" si="27"/>
        <v>0</v>
      </c>
      <c r="M39" s="18">
        <v>0</v>
      </c>
      <c r="N39" s="18">
        <f t="shared" si="15"/>
        <v>0</v>
      </c>
      <c r="O39" s="18">
        <f t="shared" si="16"/>
        <v>75221071</v>
      </c>
      <c r="P39" s="18">
        <f t="shared" si="7"/>
        <v>0</v>
      </c>
      <c r="Q39" s="18">
        <f t="shared" si="8"/>
        <v>5479503</v>
      </c>
      <c r="R39" s="235">
        <f t="shared" si="9"/>
        <v>80700574</v>
      </c>
      <c r="S39" s="18">
        <v>70905</v>
      </c>
      <c r="T39" s="18">
        <v>428214</v>
      </c>
      <c r="U39" s="18">
        <v>210451</v>
      </c>
      <c r="V39" s="18">
        <f t="shared" si="10"/>
        <v>709570</v>
      </c>
      <c r="W39" s="18">
        <v>0</v>
      </c>
      <c r="X39" s="18">
        <v>0</v>
      </c>
      <c r="Y39" s="18">
        <v>0</v>
      </c>
      <c r="Z39" s="18">
        <f t="shared" si="11"/>
        <v>0</v>
      </c>
      <c r="AA39" s="18">
        <v>0</v>
      </c>
      <c r="AB39" s="18">
        <v>0</v>
      </c>
      <c r="AC39" s="18">
        <v>2405892</v>
      </c>
      <c r="AD39" s="18">
        <f t="shared" si="12"/>
        <v>2405892</v>
      </c>
      <c r="AE39" s="18">
        <v>0</v>
      </c>
      <c r="AF39" s="18">
        <v>0</v>
      </c>
      <c r="AG39" s="236">
        <f t="shared" si="13"/>
        <v>0</v>
      </c>
      <c r="AH39" s="18">
        <f t="shared" ref="AH39:AX49" si="29">AH38+B39</f>
        <v>145669311</v>
      </c>
      <c r="AI39" s="18">
        <f t="shared" si="29"/>
        <v>0</v>
      </c>
      <c r="AJ39" s="18">
        <f t="shared" si="29"/>
        <v>4049595</v>
      </c>
      <c r="AK39" s="18">
        <f t="shared" si="29"/>
        <v>149718906</v>
      </c>
      <c r="AL39" s="18">
        <f t="shared" si="29"/>
        <v>1584545</v>
      </c>
      <c r="AM39" s="18">
        <f t="shared" si="29"/>
        <v>7009715</v>
      </c>
      <c r="AN39" s="18">
        <f t="shared" si="29"/>
        <v>2405892</v>
      </c>
      <c r="AO39" s="18">
        <f t="shared" si="29"/>
        <v>11000152</v>
      </c>
      <c r="AP39" s="18">
        <f t="shared" si="29"/>
        <v>0</v>
      </c>
      <c r="AQ39" s="18">
        <f t="shared" si="29"/>
        <v>0</v>
      </c>
      <c r="AR39" s="18">
        <f t="shared" si="29"/>
        <v>0</v>
      </c>
      <c r="AS39" s="18">
        <f t="shared" si="29"/>
        <v>0</v>
      </c>
      <c r="AT39" s="18">
        <f t="shared" si="29"/>
        <v>0</v>
      </c>
      <c r="AU39" s="18">
        <f t="shared" si="29"/>
        <v>147253856</v>
      </c>
      <c r="AV39" s="18">
        <f t="shared" si="29"/>
        <v>7009715</v>
      </c>
      <c r="AW39" s="18">
        <f t="shared" si="29"/>
        <v>6455487</v>
      </c>
      <c r="AX39" s="18">
        <f t="shared" si="29"/>
        <v>160719058</v>
      </c>
      <c r="AY39" s="14"/>
    </row>
    <row r="40" spans="1:51" ht="13.5">
      <c r="A40" s="138">
        <v>41334</v>
      </c>
      <c r="B40" s="139">
        <v>101030322</v>
      </c>
      <c r="C40" s="18">
        <v>0</v>
      </c>
      <c r="D40" s="18">
        <v>9369422</v>
      </c>
      <c r="E40" s="18">
        <f t="shared" si="25"/>
        <v>110399744</v>
      </c>
      <c r="F40" s="18">
        <f t="shared" si="1"/>
        <v>1180027</v>
      </c>
      <c r="G40" s="18">
        <f t="shared" si="2"/>
        <v>12720318</v>
      </c>
      <c r="H40" s="18">
        <f t="shared" si="3"/>
        <v>4938884</v>
      </c>
      <c r="I40" s="18">
        <f t="shared" si="26"/>
        <v>18839229</v>
      </c>
      <c r="J40" s="18">
        <f t="shared" si="5"/>
        <v>0</v>
      </c>
      <c r="K40" s="18">
        <v>0</v>
      </c>
      <c r="L40" s="18">
        <f t="shared" si="27"/>
        <v>0</v>
      </c>
      <c r="M40" s="18">
        <v>0</v>
      </c>
      <c r="N40" s="18">
        <f t="shared" si="15"/>
        <v>0</v>
      </c>
      <c r="O40" s="18">
        <f t="shared" si="16"/>
        <v>102210349</v>
      </c>
      <c r="P40" s="18">
        <f t="shared" si="7"/>
        <v>12720318</v>
      </c>
      <c r="Q40" s="18">
        <f t="shared" si="8"/>
        <v>14308306</v>
      </c>
      <c r="R40" s="235">
        <f t="shared" si="9"/>
        <v>129238973</v>
      </c>
      <c r="S40" s="18">
        <v>68357</v>
      </c>
      <c r="T40" s="18">
        <v>592656</v>
      </c>
      <c r="U40" s="18">
        <v>519014</v>
      </c>
      <c r="V40" s="18">
        <f t="shared" si="10"/>
        <v>1180027</v>
      </c>
      <c r="W40" s="18">
        <v>0</v>
      </c>
      <c r="X40" s="18">
        <v>0</v>
      </c>
      <c r="Y40" s="18">
        <v>12720318</v>
      </c>
      <c r="Z40" s="18">
        <f t="shared" si="11"/>
        <v>12720318</v>
      </c>
      <c r="AA40" s="18">
        <v>0</v>
      </c>
      <c r="AB40" s="18">
        <v>0</v>
      </c>
      <c r="AC40" s="18">
        <v>4938884</v>
      </c>
      <c r="AD40" s="18">
        <f t="shared" si="12"/>
        <v>4938884</v>
      </c>
      <c r="AE40" s="18">
        <v>0</v>
      </c>
      <c r="AF40" s="18">
        <v>0</v>
      </c>
      <c r="AG40" s="236">
        <f t="shared" si="13"/>
        <v>0</v>
      </c>
      <c r="AH40" s="18">
        <f t="shared" si="29"/>
        <v>246699633</v>
      </c>
      <c r="AI40" s="18">
        <f t="shared" si="29"/>
        <v>0</v>
      </c>
      <c r="AJ40" s="18">
        <f t="shared" si="29"/>
        <v>13419017</v>
      </c>
      <c r="AK40" s="18">
        <f t="shared" si="29"/>
        <v>260118650</v>
      </c>
      <c r="AL40" s="18">
        <f t="shared" si="29"/>
        <v>2764572</v>
      </c>
      <c r="AM40" s="18">
        <f t="shared" si="29"/>
        <v>19730033</v>
      </c>
      <c r="AN40" s="18">
        <f t="shared" si="29"/>
        <v>7344776</v>
      </c>
      <c r="AO40" s="18">
        <f t="shared" si="29"/>
        <v>29839381</v>
      </c>
      <c r="AP40" s="18">
        <f t="shared" si="29"/>
        <v>0</v>
      </c>
      <c r="AQ40" s="18">
        <f t="shared" si="29"/>
        <v>0</v>
      </c>
      <c r="AR40" s="18">
        <f t="shared" si="29"/>
        <v>0</v>
      </c>
      <c r="AS40" s="18">
        <f t="shared" si="29"/>
        <v>0</v>
      </c>
      <c r="AT40" s="18">
        <f t="shared" si="29"/>
        <v>0</v>
      </c>
      <c r="AU40" s="18">
        <f t="shared" si="29"/>
        <v>249464205</v>
      </c>
      <c r="AV40" s="18">
        <f t="shared" si="29"/>
        <v>19730033</v>
      </c>
      <c r="AW40" s="18">
        <f t="shared" si="29"/>
        <v>20763793</v>
      </c>
      <c r="AX40" s="18">
        <f t="shared" si="29"/>
        <v>289958031</v>
      </c>
      <c r="AY40" s="14"/>
    </row>
    <row r="41" spans="1:51" ht="13.5">
      <c r="A41" s="138">
        <v>41365</v>
      </c>
      <c r="B41" s="139">
        <v>110954540</v>
      </c>
      <c r="C41" s="18">
        <v>0</v>
      </c>
      <c r="D41" s="18">
        <v>4789267</v>
      </c>
      <c r="E41" s="18">
        <f t="shared" si="25"/>
        <v>115743807</v>
      </c>
      <c r="F41" s="18">
        <f t="shared" si="1"/>
        <v>1023827</v>
      </c>
      <c r="G41" s="18">
        <f t="shared" si="2"/>
        <v>8588729</v>
      </c>
      <c r="H41" s="18">
        <f t="shared" si="3"/>
        <v>0</v>
      </c>
      <c r="I41" s="18">
        <f t="shared" si="26"/>
        <v>9612556</v>
      </c>
      <c r="J41" s="18">
        <f t="shared" si="5"/>
        <v>0</v>
      </c>
      <c r="K41" s="18">
        <v>0</v>
      </c>
      <c r="L41" s="18">
        <f t="shared" si="27"/>
        <v>0</v>
      </c>
      <c r="M41" s="18">
        <v>0</v>
      </c>
      <c r="N41" s="18">
        <f t="shared" si="15"/>
        <v>0</v>
      </c>
      <c r="O41" s="18">
        <f t="shared" si="16"/>
        <v>111978367</v>
      </c>
      <c r="P41" s="18">
        <f t="shared" si="7"/>
        <v>8588729</v>
      </c>
      <c r="Q41" s="18">
        <f t="shared" si="8"/>
        <v>4789267</v>
      </c>
      <c r="R41" s="235">
        <f t="shared" si="9"/>
        <v>125356363</v>
      </c>
      <c r="S41" s="18">
        <v>0</v>
      </c>
      <c r="T41" s="18">
        <v>686226</v>
      </c>
      <c r="U41" s="18">
        <v>337601</v>
      </c>
      <c r="V41" s="18">
        <f t="shared" si="10"/>
        <v>1023827</v>
      </c>
      <c r="W41" s="18">
        <v>0</v>
      </c>
      <c r="X41" s="18">
        <v>0</v>
      </c>
      <c r="Y41" s="18">
        <v>8588729</v>
      </c>
      <c r="Z41" s="18">
        <f t="shared" si="11"/>
        <v>8588729</v>
      </c>
      <c r="AA41" s="18">
        <v>0</v>
      </c>
      <c r="AB41" s="18">
        <v>0</v>
      </c>
      <c r="AC41" s="18">
        <v>0</v>
      </c>
      <c r="AD41" s="18">
        <f t="shared" si="12"/>
        <v>0</v>
      </c>
      <c r="AE41" s="18">
        <v>0</v>
      </c>
      <c r="AF41" s="18">
        <v>0</v>
      </c>
      <c r="AG41" s="236">
        <f t="shared" si="13"/>
        <v>0</v>
      </c>
      <c r="AH41" s="18">
        <f t="shared" si="29"/>
        <v>357654173</v>
      </c>
      <c r="AI41" s="18">
        <f t="shared" si="29"/>
        <v>0</v>
      </c>
      <c r="AJ41" s="18">
        <f t="shared" si="29"/>
        <v>18208284</v>
      </c>
      <c r="AK41" s="18">
        <f t="shared" si="29"/>
        <v>375862457</v>
      </c>
      <c r="AL41" s="18">
        <f t="shared" si="29"/>
        <v>3788399</v>
      </c>
      <c r="AM41" s="18">
        <f t="shared" si="29"/>
        <v>28318762</v>
      </c>
      <c r="AN41" s="18">
        <f t="shared" si="29"/>
        <v>7344776</v>
      </c>
      <c r="AO41" s="18">
        <f t="shared" si="29"/>
        <v>39451937</v>
      </c>
      <c r="AP41" s="18">
        <f t="shared" si="29"/>
        <v>0</v>
      </c>
      <c r="AQ41" s="18">
        <f t="shared" si="29"/>
        <v>0</v>
      </c>
      <c r="AR41" s="18">
        <f t="shared" si="29"/>
        <v>0</v>
      </c>
      <c r="AS41" s="18">
        <f t="shared" si="29"/>
        <v>0</v>
      </c>
      <c r="AT41" s="18">
        <f t="shared" si="29"/>
        <v>0</v>
      </c>
      <c r="AU41" s="18">
        <f t="shared" si="29"/>
        <v>361442572</v>
      </c>
      <c r="AV41" s="18">
        <f t="shared" si="29"/>
        <v>28318762</v>
      </c>
      <c r="AW41" s="18">
        <f t="shared" si="29"/>
        <v>25553060</v>
      </c>
      <c r="AX41" s="18">
        <f t="shared" si="29"/>
        <v>415314394</v>
      </c>
      <c r="AY41" s="14"/>
    </row>
    <row r="42" spans="1:51" ht="13.5">
      <c r="A42" s="138">
        <v>41395</v>
      </c>
      <c r="B42" s="139">
        <v>118930694</v>
      </c>
      <c r="C42" s="18">
        <v>0</v>
      </c>
      <c r="D42" s="18">
        <v>10033114</v>
      </c>
      <c r="E42" s="18">
        <f t="shared" si="25"/>
        <v>128963808</v>
      </c>
      <c r="F42" s="18">
        <f t="shared" si="1"/>
        <v>966739</v>
      </c>
      <c r="G42" s="18">
        <f t="shared" si="2"/>
        <v>10289247</v>
      </c>
      <c r="H42" s="18">
        <f t="shared" si="3"/>
        <v>0</v>
      </c>
      <c r="I42" s="18">
        <f t="shared" si="26"/>
        <v>11255986</v>
      </c>
      <c r="J42" s="18">
        <f t="shared" si="5"/>
        <v>0</v>
      </c>
      <c r="K42" s="18">
        <v>0</v>
      </c>
      <c r="L42" s="18">
        <f t="shared" si="27"/>
        <v>0</v>
      </c>
      <c r="M42" s="18">
        <v>0</v>
      </c>
      <c r="N42" s="18">
        <f t="shared" si="15"/>
        <v>0</v>
      </c>
      <c r="O42" s="18">
        <f t="shared" si="16"/>
        <v>119897433</v>
      </c>
      <c r="P42" s="18">
        <f t="shared" si="7"/>
        <v>10289247</v>
      </c>
      <c r="Q42" s="18">
        <f t="shared" si="8"/>
        <v>10033114</v>
      </c>
      <c r="R42" s="235">
        <f t="shared" si="9"/>
        <v>140219794</v>
      </c>
      <c r="S42" s="18">
        <v>0</v>
      </c>
      <c r="T42" s="18">
        <v>705362</v>
      </c>
      <c r="U42" s="18">
        <v>261377</v>
      </c>
      <c r="V42" s="18">
        <f t="shared" si="10"/>
        <v>966739</v>
      </c>
      <c r="W42" s="18">
        <v>0</v>
      </c>
      <c r="X42" s="18">
        <v>0</v>
      </c>
      <c r="Y42" s="18">
        <v>10289247</v>
      </c>
      <c r="Z42" s="18">
        <f t="shared" si="11"/>
        <v>10289247</v>
      </c>
      <c r="AA42" s="18">
        <v>0</v>
      </c>
      <c r="AB42" s="18">
        <v>0</v>
      </c>
      <c r="AC42" s="18">
        <v>0</v>
      </c>
      <c r="AD42" s="18">
        <f t="shared" si="12"/>
        <v>0</v>
      </c>
      <c r="AE42" s="18">
        <v>0</v>
      </c>
      <c r="AF42" s="18">
        <v>0</v>
      </c>
      <c r="AG42" s="236">
        <f t="shared" si="13"/>
        <v>0</v>
      </c>
      <c r="AH42" s="18">
        <f t="shared" si="29"/>
        <v>476584867</v>
      </c>
      <c r="AI42" s="18">
        <f t="shared" si="29"/>
        <v>0</v>
      </c>
      <c r="AJ42" s="18">
        <f t="shared" si="29"/>
        <v>28241398</v>
      </c>
      <c r="AK42" s="18">
        <f t="shared" si="29"/>
        <v>504826265</v>
      </c>
      <c r="AL42" s="18">
        <f t="shared" si="29"/>
        <v>4755138</v>
      </c>
      <c r="AM42" s="18">
        <f t="shared" si="29"/>
        <v>38608009</v>
      </c>
      <c r="AN42" s="18">
        <f t="shared" si="29"/>
        <v>7344776</v>
      </c>
      <c r="AO42" s="18">
        <f t="shared" si="29"/>
        <v>50707923</v>
      </c>
      <c r="AP42" s="18">
        <f t="shared" si="29"/>
        <v>0</v>
      </c>
      <c r="AQ42" s="18">
        <f t="shared" si="29"/>
        <v>0</v>
      </c>
      <c r="AR42" s="18">
        <f t="shared" si="29"/>
        <v>0</v>
      </c>
      <c r="AS42" s="18">
        <f t="shared" si="29"/>
        <v>0</v>
      </c>
      <c r="AT42" s="18">
        <f t="shared" si="29"/>
        <v>0</v>
      </c>
      <c r="AU42" s="18">
        <f t="shared" si="29"/>
        <v>481340005</v>
      </c>
      <c r="AV42" s="18">
        <f t="shared" si="29"/>
        <v>38608009</v>
      </c>
      <c r="AW42" s="18">
        <f t="shared" si="29"/>
        <v>35586174</v>
      </c>
      <c r="AX42" s="18">
        <f t="shared" si="29"/>
        <v>555534188</v>
      </c>
      <c r="AY42" s="14"/>
    </row>
    <row r="43" spans="1:51" ht="13.5">
      <c r="A43" s="138">
        <v>41426</v>
      </c>
      <c r="B43" s="139">
        <v>117472586</v>
      </c>
      <c r="C43" s="18">
        <v>0</v>
      </c>
      <c r="D43" s="18">
        <v>14747164</v>
      </c>
      <c r="E43" s="18">
        <f t="shared" si="25"/>
        <v>132219750</v>
      </c>
      <c r="F43" s="18">
        <f t="shared" si="1"/>
        <v>1599659</v>
      </c>
      <c r="G43" s="18">
        <f t="shared" si="2"/>
        <v>12342494</v>
      </c>
      <c r="H43" s="18">
        <f t="shared" si="3"/>
        <v>4744730</v>
      </c>
      <c r="I43" s="18">
        <f t="shared" si="26"/>
        <v>18686883</v>
      </c>
      <c r="J43" s="18">
        <f t="shared" si="5"/>
        <v>0</v>
      </c>
      <c r="K43" s="18">
        <v>0</v>
      </c>
      <c r="L43" s="18">
        <f t="shared" si="27"/>
        <v>0</v>
      </c>
      <c r="M43" s="18">
        <v>0</v>
      </c>
      <c r="N43" s="18">
        <f t="shared" si="15"/>
        <v>0</v>
      </c>
      <c r="O43" s="18">
        <f t="shared" si="16"/>
        <v>119072245</v>
      </c>
      <c r="P43" s="18">
        <f t="shared" si="7"/>
        <v>12342494</v>
      </c>
      <c r="Q43" s="18">
        <f t="shared" si="8"/>
        <v>19491894</v>
      </c>
      <c r="R43" s="235">
        <f t="shared" si="9"/>
        <v>150906633</v>
      </c>
      <c r="S43" s="18">
        <v>46481</v>
      </c>
      <c r="T43" s="18">
        <v>1093912</v>
      </c>
      <c r="U43" s="18">
        <v>459266</v>
      </c>
      <c r="V43" s="18">
        <f t="shared" si="10"/>
        <v>1599659</v>
      </c>
      <c r="W43" s="18">
        <v>0</v>
      </c>
      <c r="X43" s="18">
        <v>0</v>
      </c>
      <c r="Y43" s="18">
        <v>12342494</v>
      </c>
      <c r="Z43" s="18">
        <f t="shared" si="11"/>
        <v>12342494</v>
      </c>
      <c r="AA43" s="18">
        <v>0</v>
      </c>
      <c r="AB43" s="18">
        <v>0</v>
      </c>
      <c r="AC43" s="18">
        <v>4744730</v>
      </c>
      <c r="AD43" s="18">
        <f t="shared" si="12"/>
        <v>4744730</v>
      </c>
      <c r="AE43" s="18">
        <v>0</v>
      </c>
      <c r="AF43" s="18">
        <v>0</v>
      </c>
      <c r="AG43" s="236">
        <f t="shared" si="13"/>
        <v>0</v>
      </c>
      <c r="AH43" s="18">
        <f t="shared" si="29"/>
        <v>594057453</v>
      </c>
      <c r="AI43" s="18">
        <f t="shared" si="29"/>
        <v>0</v>
      </c>
      <c r="AJ43" s="18">
        <f t="shared" si="29"/>
        <v>42988562</v>
      </c>
      <c r="AK43" s="18">
        <f t="shared" si="29"/>
        <v>637046015</v>
      </c>
      <c r="AL43" s="18">
        <f t="shared" si="29"/>
        <v>6354797</v>
      </c>
      <c r="AM43" s="18">
        <f t="shared" si="29"/>
        <v>50950503</v>
      </c>
      <c r="AN43" s="18">
        <f t="shared" si="29"/>
        <v>12089506</v>
      </c>
      <c r="AO43" s="18">
        <f t="shared" si="29"/>
        <v>69394806</v>
      </c>
      <c r="AP43" s="18">
        <f t="shared" si="29"/>
        <v>0</v>
      </c>
      <c r="AQ43" s="18">
        <f t="shared" si="29"/>
        <v>0</v>
      </c>
      <c r="AR43" s="18">
        <f t="shared" si="29"/>
        <v>0</v>
      </c>
      <c r="AS43" s="18">
        <f t="shared" si="29"/>
        <v>0</v>
      </c>
      <c r="AT43" s="18">
        <f t="shared" si="29"/>
        <v>0</v>
      </c>
      <c r="AU43" s="18">
        <f t="shared" si="29"/>
        <v>600412250</v>
      </c>
      <c r="AV43" s="18">
        <f t="shared" si="29"/>
        <v>50950503</v>
      </c>
      <c r="AW43" s="18">
        <f t="shared" si="29"/>
        <v>55078068</v>
      </c>
      <c r="AX43" s="18">
        <f t="shared" si="29"/>
        <v>706440821</v>
      </c>
      <c r="AY43" s="14"/>
    </row>
    <row r="44" spans="1:51" ht="13.5">
      <c r="A44" s="138">
        <v>41456</v>
      </c>
      <c r="B44" s="139">
        <v>128278779</v>
      </c>
      <c r="C44" s="18">
        <v>0</v>
      </c>
      <c r="D44" s="18">
        <v>6520032</v>
      </c>
      <c r="E44" s="18">
        <f t="shared" si="25"/>
        <v>134798811</v>
      </c>
      <c r="F44" s="18">
        <f t="shared" si="1"/>
        <v>11354803</v>
      </c>
      <c r="G44" s="18">
        <f t="shared" si="2"/>
        <v>16522932</v>
      </c>
      <c r="H44" s="18">
        <f t="shared" si="3"/>
        <v>7236919</v>
      </c>
      <c r="I44" s="18">
        <f t="shared" si="26"/>
        <v>35114654</v>
      </c>
      <c r="J44" s="18">
        <f t="shared" si="5"/>
        <v>0</v>
      </c>
      <c r="K44" s="18">
        <v>0</v>
      </c>
      <c r="L44" s="18">
        <f t="shared" si="27"/>
        <v>0</v>
      </c>
      <c r="M44" s="18">
        <v>0</v>
      </c>
      <c r="N44" s="18">
        <f t="shared" si="15"/>
        <v>0</v>
      </c>
      <c r="O44" s="18">
        <f t="shared" si="16"/>
        <v>139633582</v>
      </c>
      <c r="P44" s="18">
        <f t="shared" si="7"/>
        <v>16522932</v>
      </c>
      <c r="Q44" s="18">
        <f t="shared" si="8"/>
        <v>13756951</v>
      </c>
      <c r="R44" s="235">
        <f t="shared" si="9"/>
        <v>169913465</v>
      </c>
      <c r="S44" s="18">
        <v>58759</v>
      </c>
      <c r="T44" s="18">
        <v>10972434</v>
      </c>
      <c r="U44" s="18">
        <v>323610</v>
      </c>
      <c r="V44" s="18">
        <f t="shared" si="10"/>
        <v>11354803</v>
      </c>
      <c r="W44" s="18">
        <v>0</v>
      </c>
      <c r="X44" s="18">
        <v>0</v>
      </c>
      <c r="Y44" s="18">
        <v>16522932</v>
      </c>
      <c r="Z44" s="18">
        <f t="shared" si="11"/>
        <v>16522932</v>
      </c>
      <c r="AA44" s="18">
        <v>0</v>
      </c>
      <c r="AB44" s="18">
        <v>0</v>
      </c>
      <c r="AC44" s="18">
        <v>7236919</v>
      </c>
      <c r="AD44" s="18">
        <f t="shared" si="12"/>
        <v>7236919</v>
      </c>
      <c r="AE44" s="18">
        <v>0</v>
      </c>
      <c r="AF44" s="18">
        <v>0</v>
      </c>
      <c r="AG44" s="236">
        <f t="shared" si="13"/>
        <v>0</v>
      </c>
      <c r="AH44" s="18">
        <f t="shared" si="29"/>
        <v>722336232</v>
      </c>
      <c r="AI44" s="18">
        <f t="shared" si="29"/>
        <v>0</v>
      </c>
      <c r="AJ44" s="18">
        <f t="shared" si="29"/>
        <v>49508594</v>
      </c>
      <c r="AK44" s="18">
        <f t="shared" si="29"/>
        <v>771844826</v>
      </c>
      <c r="AL44" s="18">
        <f t="shared" si="29"/>
        <v>17709600</v>
      </c>
      <c r="AM44" s="18">
        <f t="shared" si="29"/>
        <v>67473435</v>
      </c>
      <c r="AN44" s="18">
        <f t="shared" si="29"/>
        <v>19326425</v>
      </c>
      <c r="AO44" s="18">
        <f t="shared" si="29"/>
        <v>104509460</v>
      </c>
      <c r="AP44" s="18">
        <f t="shared" si="29"/>
        <v>0</v>
      </c>
      <c r="AQ44" s="18">
        <f t="shared" si="29"/>
        <v>0</v>
      </c>
      <c r="AR44" s="18">
        <f t="shared" si="29"/>
        <v>0</v>
      </c>
      <c r="AS44" s="18">
        <f t="shared" si="29"/>
        <v>0</v>
      </c>
      <c r="AT44" s="18">
        <f t="shared" si="29"/>
        <v>0</v>
      </c>
      <c r="AU44" s="18">
        <f t="shared" si="29"/>
        <v>740045832</v>
      </c>
      <c r="AV44" s="18">
        <f t="shared" si="29"/>
        <v>67473435</v>
      </c>
      <c r="AW44" s="18">
        <f t="shared" si="29"/>
        <v>68835019</v>
      </c>
      <c r="AX44" s="18">
        <f t="shared" si="29"/>
        <v>876354286</v>
      </c>
      <c r="AY44" s="14"/>
    </row>
    <row r="45" spans="1:51" ht="13.5">
      <c r="A45" s="138">
        <v>41487</v>
      </c>
      <c r="B45" s="139">
        <v>129887145</v>
      </c>
      <c r="C45" s="18">
        <v>1511102</v>
      </c>
      <c r="D45" s="18">
        <v>14659918</v>
      </c>
      <c r="E45" s="18">
        <f t="shared" si="25"/>
        <v>146058165</v>
      </c>
      <c r="F45" s="18">
        <f t="shared" si="1"/>
        <v>8889819</v>
      </c>
      <c r="G45" s="18">
        <f t="shared" si="2"/>
        <v>22376937</v>
      </c>
      <c r="H45" s="18">
        <f t="shared" si="3"/>
        <v>2276174</v>
      </c>
      <c r="I45" s="18">
        <f t="shared" si="26"/>
        <v>33542930</v>
      </c>
      <c r="J45" s="18">
        <f t="shared" si="5"/>
        <v>0</v>
      </c>
      <c r="K45" s="18">
        <v>0</v>
      </c>
      <c r="L45" s="18">
        <f t="shared" si="27"/>
        <v>0</v>
      </c>
      <c r="M45" s="18">
        <v>0</v>
      </c>
      <c r="N45" s="18">
        <f t="shared" si="15"/>
        <v>0</v>
      </c>
      <c r="O45" s="18">
        <f t="shared" si="16"/>
        <v>138776964</v>
      </c>
      <c r="P45" s="18">
        <f t="shared" si="7"/>
        <v>23888039</v>
      </c>
      <c r="Q45" s="18">
        <f t="shared" si="8"/>
        <v>16936092</v>
      </c>
      <c r="R45" s="235">
        <f t="shared" si="9"/>
        <v>179601095</v>
      </c>
      <c r="S45" s="18">
        <v>0</v>
      </c>
      <c r="T45" s="18">
        <v>7229572</v>
      </c>
      <c r="U45" s="18">
        <v>1660247</v>
      </c>
      <c r="V45" s="18">
        <f t="shared" si="10"/>
        <v>8889819</v>
      </c>
      <c r="W45" s="18">
        <v>0</v>
      </c>
      <c r="X45" s="18">
        <v>0</v>
      </c>
      <c r="Y45" s="18">
        <v>22376937</v>
      </c>
      <c r="Z45" s="18">
        <f t="shared" si="11"/>
        <v>22376937</v>
      </c>
      <c r="AA45" s="18">
        <v>0</v>
      </c>
      <c r="AB45" s="18">
        <v>0</v>
      </c>
      <c r="AC45" s="18">
        <v>2276174</v>
      </c>
      <c r="AD45" s="18">
        <f t="shared" si="12"/>
        <v>2276174</v>
      </c>
      <c r="AE45" s="18">
        <v>0</v>
      </c>
      <c r="AF45" s="18">
        <v>0</v>
      </c>
      <c r="AG45" s="236">
        <f t="shared" si="13"/>
        <v>0</v>
      </c>
      <c r="AH45" s="18">
        <f t="shared" si="29"/>
        <v>852223377</v>
      </c>
      <c r="AI45" s="18">
        <f t="shared" si="29"/>
        <v>1511102</v>
      </c>
      <c r="AJ45" s="18">
        <f t="shared" si="29"/>
        <v>64168512</v>
      </c>
      <c r="AK45" s="18">
        <f t="shared" si="29"/>
        <v>917902991</v>
      </c>
      <c r="AL45" s="18">
        <f t="shared" si="29"/>
        <v>26599419</v>
      </c>
      <c r="AM45" s="18">
        <f t="shared" si="29"/>
        <v>89850372</v>
      </c>
      <c r="AN45" s="18">
        <f t="shared" si="29"/>
        <v>21602599</v>
      </c>
      <c r="AO45" s="18">
        <f t="shared" si="29"/>
        <v>138052390</v>
      </c>
      <c r="AP45" s="18">
        <f t="shared" si="29"/>
        <v>0</v>
      </c>
      <c r="AQ45" s="18">
        <f t="shared" si="29"/>
        <v>0</v>
      </c>
      <c r="AR45" s="18">
        <f t="shared" si="29"/>
        <v>0</v>
      </c>
      <c r="AS45" s="18">
        <f t="shared" si="29"/>
        <v>0</v>
      </c>
      <c r="AT45" s="18">
        <f t="shared" si="29"/>
        <v>0</v>
      </c>
      <c r="AU45" s="18">
        <f t="shared" si="29"/>
        <v>878822796</v>
      </c>
      <c r="AV45" s="18">
        <f t="shared" si="29"/>
        <v>91361474</v>
      </c>
      <c r="AW45" s="18">
        <f t="shared" si="29"/>
        <v>85771111</v>
      </c>
      <c r="AX45" s="18">
        <f t="shared" si="29"/>
        <v>1055955381</v>
      </c>
      <c r="AY45" s="14"/>
    </row>
    <row r="46" spans="1:51" ht="13.5">
      <c r="A46" s="138">
        <v>41518</v>
      </c>
      <c r="B46" s="139">
        <v>127580018</v>
      </c>
      <c r="C46" s="18">
        <v>0</v>
      </c>
      <c r="D46" s="18">
        <v>10683171</v>
      </c>
      <c r="E46" s="18">
        <f t="shared" si="25"/>
        <v>138263189</v>
      </c>
      <c r="F46" s="18">
        <f t="shared" si="1"/>
        <v>9767985</v>
      </c>
      <c r="G46" s="18">
        <f t="shared" si="2"/>
        <v>19093804</v>
      </c>
      <c r="H46" s="18">
        <f t="shared" si="3"/>
        <v>0</v>
      </c>
      <c r="I46" s="18">
        <f t="shared" si="26"/>
        <v>28861789</v>
      </c>
      <c r="J46" s="18">
        <f t="shared" si="5"/>
        <v>0</v>
      </c>
      <c r="K46" s="18">
        <v>0</v>
      </c>
      <c r="L46" s="18">
        <f t="shared" si="27"/>
        <v>0</v>
      </c>
      <c r="M46" s="18">
        <v>0</v>
      </c>
      <c r="N46" s="18">
        <f t="shared" si="15"/>
        <v>0</v>
      </c>
      <c r="O46" s="18">
        <f t="shared" si="16"/>
        <v>137348003</v>
      </c>
      <c r="P46" s="18">
        <f t="shared" si="7"/>
        <v>19093804</v>
      </c>
      <c r="Q46" s="18">
        <f t="shared" si="8"/>
        <v>10683171</v>
      </c>
      <c r="R46" s="235">
        <f t="shared" si="9"/>
        <v>167124978</v>
      </c>
      <c r="S46" s="18">
        <v>0</v>
      </c>
      <c r="T46" s="18">
        <v>1971496</v>
      </c>
      <c r="U46" s="18">
        <v>7796489</v>
      </c>
      <c r="V46" s="18">
        <f t="shared" si="10"/>
        <v>9767985</v>
      </c>
      <c r="W46" s="18">
        <v>0</v>
      </c>
      <c r="X46" s="18">
        <v>0</v>
      </c>
      <c r="Y46" s="18">
        <v>19093804</v>
      </c>
      <c r="Z46" s="18">
        <f t="shared" si="11"/>
        <v>19093804</v>
      </c>
      <c r="AA46" s="18">
        <v>0</v>
      </c>
      <c r="AB46" s="18">
        <v>0</v>
      </c>
      <c r="AC46" s="18">
        <v>0</v>
      </c>
      <c r="AD46" s="18">
        <f t="shared" si="12"/>
        <v>0</v>
      </c>
      <c r="AE46" s="18">
        <v>0</v>
      </c>
      <c r="AF46" s="18">
        <v>0</v>
      </c>
      <c r="AG46" s="236">
        <f t="shared" si="13"/>
        <v>0</v>
      </c>
      <c r="AH46" s="18">
        <f t="shared" si="29"/>
        <v>979803395</v>
      </c>
      <c r="AI46" s="18">
        <f t="shared" si="29"/>
        <v>1511102</v>
      </c>
      <c r="AJ46" s="18">
        <f t="shared" si="29"/>
        <v>74851683</v>
      </c>
      <c r="AK46" s="18">
        <f t="shared" si="29"/>
        <v>1056166180</v>
      </c>
      <c r="AL46" s="18">
        <f t="shared" si="29"/>
        <v>36367404</v>
      </c>
      <c r="AM46" s="18">
        <f t="shared" si="29"/>
        <v>108944176</v>
      </c>
      <c r="AN46" s="18">
        <f t="shared" si="29"/>
        <v>21602599</v>
      </c>
      <c r="AO46" s="18">
        <f t="shared" si="29"/>
        <v>166914179</v>
      </c>
      <c r="AP46" s="18">
        <f t="shared" si="29"/>
        <v>0</v>
      </c>
      <c r="AQ46" s="18">
        <f t="shared" si="29"/>
        <v>0</v>
      </c>
      <c r="AR46" s="18">
        <f t="shared" si="29"/>
        <v>0</v>
      </c>
      <c r="AS46" s="18">
        <f t="shared" si="29"/>
        <v>0</v>
      </c>
      <c r="AT46" s="18">
        <f t="shared" si="29"/>
        <v>0</v>
      </c>
      <c r="AU46" s="18">
        <f t="shared" si="29"/>
        <v>1016170799</v>
      </c>
      <c r="AV46" s="18">
        <f t="shared" si="29"/>
        <v>110455278</v>
      </c>
      <c r="AW46" s="18">
        <f t="shared" si="29"/>
        <v>96454282</v>
      </c>
      <c r="AX46" s="18">
        <f t="shared" si="29"/>
        <v>1223080359</v>
      </c>
      <c r="AY46" s="14"/>
    </row>
    <row r="47" spans="1:51" ht="13.5">
      <c r="A47" s="138">
        <v>41548</v>
      </c>
      <c r="B47" s="139">
        <v>130088019</v>
      </c>
      <c r="C47" s="18">
        <v>0</v>
      </c>
      <c r="D47" s="18">
        <v>17222306</v>
      </c>
      <c r="E47" s="18">
        <f t="shared" si="25"/>
        <v>147310325</v>
      </c>
      <c r="F47" s="18">
        <f t="shared" si="1"/>
        <v>11053064</v>
      </c>
      <c r="G47" s="18">
        <f t="shared" si="2"/>
        <v>20391826</v>
      </c>
      <c r="H47" s="18">
        <f t="shared" si="3"/>
        <v>0</v>
      </c>
      <c r="I47" s="18">
        <f t="shared" si="26"/>
        <v>31444890</v>
      </c>
      <c r="J47" s="18">
        <f t="shared" si="5"/>
        <v>0</v>
      </c>
      <c r="K47" s="18">
        <v>0</v>
      </c>
      <c r="L47" s="18">
        <f t="shared" si="27"/>
        <v>0</v>
      </c>
      <c r="M47" s="18">
        <v>0</v>
      </c>
      <c r="N47" s="18">
        <f t="shared" si="15"/>
        <v>0</v>
      </c>
      <c r="O47" s="18">
        <f t="shared" si="16"/>
        <v>141141083</v>
      </c>
      <c r="P47" s="18">
        <f t="shared" si="7"/>
        <v>20391826</v>
      </c>
      <c r="Q47" s="18">
        <f t="shared" si="8"/>
        <v>17222306</v>
      </c>
      <c r="R47" s="235">
        <f t="shared" si="9"/>
        <v>178755215</v>
      </c>
      <c r="S47" s="18">
        <v>0</v>
      </c>
      <c r="T47" s="18">
        <v>2016071</v>
      </c>
      <c r="U47" s="18">
        <v>9036993</v>
      </c>
      <c r="V47" s="18">
        <f t="shared" si="10"/>
        <v>11053064</v>
      </c>
      <c r="W47" s="18">
        <v>0</v>
      </c>
      <c r="X47" s="18">
        <v>0</v>
      </c>
      <c r="Y47" s="18">
        <v>20391826</v>
      </c>
      <c r="Z47" s="18">
        <f t="shared" si="11"/>
        <v>20391826</v>
      </c>
      <c r="AA47" s="18">
        <v>0</v>
      </c>
      <c r="AB47" s="18">
        <v>0</v>
      </c>
      <c r="AC47" s="18">
        <v>0</v>
      </c>
      <c r="AD47" s="18">
        <f t="shared" si="12"/>
        <v>0</v>
      </c>
      <c r="AE47" s="18">
        <v>0</v>
      </c>
      <c r="AF47" s="18">
        <v>0</v>
      </c>
      <c r="AG47" s="236">
        <f t="shared" si="13"/>
        <v>0</v>
      </c>
      <c r="AH47" s="18">
        <f t="shared" si="29"/>
        <v>1109891414</v>
      </c>
      <c r="AI47" s="18">
        <f t="shared" si="29"/>
        <v>1511102</v>
      </c>
      <c r="AJ47" s="18">
        <f t="shared" si="29"/>
        <v>92073989</v>
      </c>
      <c r="AK47" s="18">
        <f t="shared" si="29"/>
        <v>1203476505</v>
      </c>
      <c r="AL47" s="18">
        <f t="shared" si="29"/>
        <v>47420468</v>
      </c>
      <c r="AM47" s="18">
        <f t="shared" si="29"/>
        <v>129336002</v>
      </c>
      <c r="AN47" s="18">
        <f t="shared" si="29"/>
        <v>21602599</v>
      </c>
      <c r="AO47" s="18">
        <f t="shared" si="29"/>
        <v>198359069</v>
      </c>
      <c r="AP47" s="18">
        <f t="shared" si="29"/>
        <v>0</v>
      </c>
      <c r="AQ47" s="18">
        <f t="shared" si="29"/>
        <v>0</v>
      </c>
      <c r="AR47" s="18">
        <f t="shared" si="29"/>
        <v>0</v>
      </c>
      <c r="AS47" s="18">
        <f t="shared" si="29"/>
        <v>0</v>
      </c>
      <c r="AT47" s="18">
        <f t="shared" si="29"/>
        <v>0</v>
      </c>
      <c r="AU47" s="18">
        <f t="shared" si="29"/>
        <v>1157311882</v>
      </c>
      <c r="AV47" s="18">
        <f t="shared" si="29"/>
        <v>130847104</v>
      </c>
      <c r="AW47" s="18">
        <f t="shared" si="29"/>
        <v>113676588</v>
      </c>
      <c r="AX47" s="18">
        <f t="shared" si="29"/>
        <v>1401835574</v>
      </c>
      <c r="AY47" s="14"/>
    </row>
    <row r="48" spans="1:51" ht="13.5">
      <c r="A48" s="138">
        <v>41579</v>
      </c>
      <c r="B48" s="139">
        <v>110331788</v>
      </c>
      <c r="C48" s="18">
        <v>1279661</v>
      </c>
      <c r="D48" s="18">
        <v>28108032</v>
      </c>
      <c r="E48" s="18">
        <f t="shared" si="25"/>
        <v>139719481</v>
      </c>
      <c r="F48" s="18">
        <f t="shared" si="1"/>
        <v>11258442</v>
      </c>
      <c r="G48" s="18">
        <f t="shared" si="2"/>
        <v>21846020</v>
      </c>
      <c r="H48" s="18">
        <f t="shared" si="3"/>
        <v>0</v>
      </c>
      <c r="I48" s="18">
        <f t="shared" si="26"/>
        <v>33104462</v>
      </c>
      <c r="J48" s="18">
        <f t="shared" si="5"/>
        <v>0</v>
      </c>
      <c r="K48" s="18">
        <v>0</v>
      </c>
      <c r="L48" s="18">
        <f t="shared" si="27"/>
        <v>0</v>
      </c>
      <c r="M48" s="18">
        <v>0</v>
      </c>
      <c r="N48" s="18">
        <f t="shared" si="15"/>
        <v>0</v>
      </c>
      <c r="O48" s="18">
        <f t="shared" si="16"/>
        <v>121590230</v>
      </c>
      <c r="P48" s="18">
        <f t="shared" si="7"/>
        <v>23125681</v>
      </c>
      <c r="Q48" s="18">
        <f t="shared" si="8"/>
        <v>28108032</v>
      </c>
      <c r="R48" s="235">
        <f t="shared" si="9"/>
        <v>172823943</v>
      </c>
      <c r="S48" s="18">
        <v>0</v>
      </c>
      <c r="T48" s="18">
        <v>1251406</v>
      </c>
      <c r="U48" s="18">
        <v>10007036</v>
      </c>
      <c r="V48" s="18">
        <f t="shared" si="10"/>
        <v>11258442</v>
      </c>
      <c r="W48" s="18">
        <v>0</v>
      </c>
      <c r="X48" s="18">
        <v>0</v>
      </c>
      <c r="Y48" s="18">
        <v>21846020</v>
      </c>
      <c r="Z48" s="18">
        <f t="shared" si="11"/>
        <v>21846020</v>
      </c>
      <c r="AA48" s="18">
        <v>0</v>
      </c>
      <c r="AB48" s="18">
        <v>0</v>
      </c>
      <c r="AC48" s="18">
        <v>0</v>
      </c>
      <c r="AD48" s="18">
        <f t="shared" si="12"/>
        <v>0</v>
      </c>
      <c r="AE48" s="18">
        <v>0</v>
      </c>
      <c r="AF48" s="18">
        <v>0</v>
      </c>
      <c r="AG48" s="236">
        <f t="shared" si="13"/>
        <v>0</v>
      </c>
      <c r="AH48" s="18">
        <f t="shared" si="29"/>
        <v>1220223202</v>
      </c>
      <c r="AI48" s="18">
        <f t="shared" si="29"/>
        <v>2790763</v>
      </c>
      <c r="AJ48" s="18">
        <f t="shared" si="29"/>
        <v>120182021</v>
      </c>
      <c r="AK48" s="18">
        <f t="shared" si="29"/>
        <v>1343195986</v>
      </c>
      <c r="AL48" s="18">
        <f t="shared" si="29"/>
        <v>58678910</v>
      </c>
      <c r="AM48" s="18">
        <f t="shared" si="29"/>
        <v>151182022</v>
      </c>
      <c r="AN48" s="18">
        <f t="shared" si="29"/>
        <v>21602599</v>
      </c>
      <c r="AO48" s="18">
        <f t="shared" si="29"/>
        <v>231463531</v>
      </c>
      <c r="AP48" s="18">
        <f t="shared" si="29"/>
        <v>0</v>
      </c>
      <c r="AQ48" s="18">
        <f t="shared" si="29"/>
        <v>0</v>
      </c>
      <c r="AR48" s="18">
        <f t="shared" si="29"/>
        <v>0</v>
      </c>
      <c r="AS48" s="18">
        <f t="shared" si="29"/>
        <v>0</v>
      </c>
      <c r="AT48" s="18">
        <f t="shared" si="29"/>
        <v>0</v>
      </c>
      <c r="AU48" s="18">
        <f t="shared" si="29"/>
        <v>1278902112</v>
      </c>
      <c r="AV48" s="18">
        <f t="shared" si="29"/>
        <v>153972785</v>
      </c>
      <c r="AW48" s="18">
        <f t="shared" si="29"/>
        <v>141784620</v>
      </c>
      <c r="AX48" s="18">
        <f t="shared" si="29"/>
        <v>1574659517</v>
      </c>
      <c r="AY48" s="14"/>
    </row>
    <row r="49" spans="1:51" ht="14.25" thickBot="1">
      <c r="A49" s="138">
        <v>41609</v>
      </c>
      <c r="B49" s="139">
        <v>158363160</v>
      </c>
      <c r="C49" s="18">
        <v>0</v>
      </c>
      <c r="D49" s="18">
        <v>32842933</v>
      </c>
      <c r="E49" s="18">
        <f t="shared" si="25"/>
        <v>191206093</v>
      </c>
      <c r="F49" s="18">
        <f t="shared" si="1"/>
        <v>13328506</v>
      </c>
      <c r="G49" s="18">
        <f t="shared" si="2"/>
        <v>15110753</v>
      </c>
      <c r="H49" s="18">
        <f t="shared" si="3"/>
        <v>0</v>
      </c>
      <c r="I49" s="18">
        <f t="shared" si="26"/>
        <v>28439259</v>
      </c>
      <c r="J49" s="18">
        <f t="shared" si="5"/>
        <v>0</v>
      </c>
      <c r="K49" s="18">
        <v>0</v>
      </c>
      <c r="L49" s="18">
        <f t="shared" si="27"/>
        <v>0</v>
      </c>
      <c r="M49" s="18">
        <v>0</v>
      </c>
      <c r="N49" s="18">
        <f t="shared" si="15"/>
        <v>0</v>
      </c>
      <c r="O49" s="18">
        <f t="shared" si="16"/>
        <v>171691666</v>
      </c>
      <c r="P49" s="18">
        <f t="shared" si="7"/>
        <v>15110753</v>
      </c>
      <c r="Q49" s="18">
        <f t="shared" si="8"/>
        <v>32842933</v>
      </c>
      <c r="R49" s="235">
        <f t="shared" si="9"/>
        <v>219645352</v>
      </c>
      <c r="S49" s="18">
        <v>258432</v>
      </c>
      <c r="T49" s="18">
        <v>1351606</v>
      </c>
      <c r="U49" s="18">
        <v>11718468</v>
      </c>
      <c r="V49" s="18">
        <f t="shared" si="10"/>
        <v>13328506</v>
      </c>
      <c r="W49" s="18">
        <v>0</v>
      </c>
      <c r="X49" s="18">
        <v>0</v>
      </c>
      <c r="Y49" s="18">
        <v>15110753</v>
      </c>
      <c r="Z49" s="18">
        <f t="shared" si="11"/>
        <v>15110753</v>
      </c>
      <c r="AA49" s="18">
        <v>0</v>
      </c>
      <c r="AB49" s="18">
        <v>0</v>
      </c>
      <c r="AC49" s="18">
        <v>0</v>
      </c>
      <c r="AD49" s="18">
        <f t="shared" si="12"/>
        <v>0</v>
      </c>
      <c r="AE49" s="18">
        <v>0</v>
      </c>
      <c r="AF49" s="18">
        <v>0</v>
      </c>
      <c r="AG49" s="236">
        <f t="shared" si="13"/>
        <v>0</v>
      </c>
      <c r="AH49" s="18">
        <f t="shared" si="29"/>
        <v>1378586362</v>
      </c>
      <c r="AI49" s="18">
        <f t="shared" si="29"/>
        <v>2790763</v>
      </c>
      <c r="AJ49" s="18">
        <f t="shared" si="29"/>
        <v>153024954</v>
      </c>
      <c r="AK49" s="18">
        <f t="shared" si="29"/>
        <v>1534402079</v>
      </c>
      <c r="AL49" s="18">
        <f t="shared" si="29"/>
        <v>72007416</v>
      </c>
      <c r="AM49" s="18">
        <f t="shared" si="29"/>
        <v>166292775</v>
      </c>
      <c r="AN49" s="18">
        <f t="shared" si="29"/>
        <v>21602599</v>
      </c>
      <c r="AO49" s="18">
        <f t="shared" si="29"/>
        <v>259902790</v>
      </c>
      <c r="AP49" s="18">
        <f t="shared" si="29"/>
        <v>0</v>
      </c>
      <c r="AQ49" s="18">
        <f t="shared" si="29"/>
        <v>0</v>
      </c>
      <c r="AR49" s="18">
        <f t="shared" si="29"/>
        <v>0</v>
      </c>
      <c r="AS49" s="18">
        <f t="shared" si="29"/>
        <v>0</v>
      </c>
      <c r="AT49" s="18">
        <f t="shared" si="29"/>
        <v>0</v>
      </c>
      <c r="AU49" s="18">
        <f t="shared" si="29"/>
        <v>1450593778</v>
      </c>
      <c r="AV49" s="18">
        <f t="shared" si="29"/>
        <v>169083538</v>
      </c>
      <c r="AW49" s="18">
        <f t="shared" si="29"/>
        <v>174627553</v>
      </c>
      <c r="AX49" s="18">
        <f t="shared" si="29"/>
        <v>1794304869</v>
      </c>
      <c r="AY49" s="14"/>
    </row>
    <row r="50" spans="1:51" ht="13.5">
      <c r="A50" s="141">
        <v>41640</v>
      </c>
      <c r="B50" s="142">
        <v>56695627</v>
      </c>
      <c r="C50" s="143">
        <v>0</v>
      </c>
      <c r="D50" s="143">
        <v>1981954</v>
      </c>
      <c r="E50" s="143">
        <f t="shared" si="25"/>
        <v>58677581</v>
      </c>
      <c r="F50" s="143">
        <f t="shared" si="1"/>
        <v>10094471</v>
      </c>
      <c r="G50" s="143">
        <f t="shared" si="2"/>
        <v>13410514</v>
      </c>
      <c r="H50" s="143">
        <f t="shared" si="3"/>
        <v>5612400</v>
      </c>
      <c r="I50" s="143">
        <f t="shared" si="26"/>
        <v>29117385</v>
      </c>
      <c r="J50" s="143">
        <f t="shared" si="5"/>
        <v>0</v>
      </c>
      <c r="K50" s="143">
        <v>0</v>
      </c>
      <c r="L50" s="143">
        <f t="shared" si="27"/>
        <v>0</v>
      </c>
      <c r="M50" s="143">
        <v>0</v>
      </c>
      <c r="N50" s="143">
        <f t="shared" si="15"/>
        <v>0</v>
      </c>
      <c r="O50" s="143">
        <f t="shared" si="16"/>
        <v>66790098</v>
      </c>
      <c r="P50" s="143">
        <f t="shared" si="7"/>
        <v>13410514</v>
      </c>
      <c r="Q50" s="143">
        <f t="shared" si="8"/>
        <v>7594354</v>
      </c>
      <c r="R50" s="237">
        <f t="shared" si="9"/>
        <v>87794966</v>
      </c>
      <c r="S50" s="143">
        <v>0</v>
      </c>
      <c r="T50" s="143">
        <v>630860</v>
      </c>
      <c r="U50" s="143">
        <v>9463611</v>
      </c>
      <c r="V50" s="143">
        <f t="shared" si="10"/>
        <v>10094471</v>
      </c>
      <c r="W50" s="143">
        <v>0</v>
      </c>
      <c r="X50" s="143">
        <v>0</v>
      </c>
      <c r="Y50" s="143">
        <v>13410514</v>
      </c>
      <c r="Z50" s="143">
        <f t="shared" si="11"/>
        <v>13410514</v>
      </c>
      <c r="AA50" s="143">
        <v>0</v>
      </c>
      <c r="AB50" s="143">
        <v>0</v>
      </c>
      <c r="AC50" s="143">
        <v>5612400</v>
      </c>
      <c r="AD50" s="143">
        <f t="shared" si="12"/>
        <v>5612400</v>
      </c>
      <c r="AE50" s="143">
        <v>0</v>
      </c>
      <c r="AF50" s="143">
        <v>0</v>
      </c>
      <c r="AG50" s="238">
        <f t="shared" si="13"/>
        <v>0</v>
      </c>
      <c r="AH50" s="143">
        <f t="shared" ref="AH50:AX50" si="30">B50</f>
        <v>56695627</v>
      </c>
      <c r="AI50" s="143">
        <f t="shared" si="30"/>
        <v>0</v>
      </c>
      <c r="AJ50" s="143">
        <f t="shared" si="30"/>
        <v>1981954</v>
      </c>
      <c r="AK50" s="143">
        <f t="shared" si="30"/>
        <v>58677581</v>
      </c>
      <c r="AL50" s="143">
        <f t="shared" si="30"/>
        <v>10094471</v>
      </c>
      <c r="AM50" s="143">
        <f t="shared" si="30"/>
        <v>13410514</v>
      </c>
      <c r="AN50" s="143">
        <f t="shared" si="30"/>
        <v>5612400</v>
      </c>
      <c r="AO50" s="143">
        <f t="shared" si="30"/>
        <v>29117385</v>
      </c>
      <c r="AP50" s="143">
        <f t="shared" si="30"/>
        <v>0</v>
      </c>
      <c r="AQ50" s="143">
        <f t="shared" si="30"/>
        <v>0</v>
      </c>
      <c r="AR50" s="143">
        <f t="shared" si="30"/>
        <v>0</v>
      </c>
      <c r="AS50" s="143">
        <f t="shared" si="30"/>
        <v>0</v>
      </c>
      <c r="AT50" s="143">
        <f t="shared" si="30"/>
        <v>0</v>
      </c>
      <c r="AU50" s="143">
        <f t="shared" si="30"/>
        <v>66790098</v>
      </c>
      <c r="AV50" s="143">
        <f t="shared" si="30"/>
        <v>13410514</v>
      </c>
      <c r="AW50" s="143">
        <f t="shared" si="30"/>
        <v>7594354</v>
      </c>
      <c r="AX50" s="143">
        <f t="shared" si="30"/>
        <v>87794966</v>
      </c>
      <c r="AY50" s="14"/>
    </row>
    <row r="51" spans="1:51" ht="13.5">
      <c r="A51" s="138">
        <v>41671</v>
      </c>
      <c r="B51" s="139">
        <v>69859288</v>
      </c>
      <c r="C51" s="18">
        <v>0</v>
      </c>
      <c r="D51" s="18">
        <v>3782463</v>
      </c>
      <c r="E51" s="18">
        <f t="shared" si="25"/>
        <v>73641751</v>
      </c>
      <c r="F51" s="18">
        <f t="shared" si="1"/>
        <v>11769916</v>
      </c>
      <c r="G51" s="18">
        <f t="shared" si="2"/>
        <v>18928695</v>
      </c>
      <c r="H51" s="18">
        <f t="shared" si="3"/>
        <v>0</v>
      </c>
      <c r="I51" s="18">
        <f t="shared" si="26"/>
        <v>30698611</v>
      </c>
      <c r="J51" s="18">
        <f t="shared" si="5"/>
        <v>0</v>
      </c>
      <c r="K51" s="18">
        <v>0</v>
      </c>
      <c r="L51" s="18">
        <f t="shared" si="27"/>
        <v>0</v>
      </c>
      <c r="M51" s="18">
        <v>0</v>
      </c>
      <c r="N51" s="18">
        <f t="shared" si="15"/>
        <v>0</v>
      </c>
      <c r="O51" s="18">
        <f t="shared" si="16"/>
        <v>81629204</v>
      </c>
      <c r="P51" s="18">
        <f t="shared" si="7"/>
        <v>18928695</v>
      </c>
      <c r="Q51" s="18">
        <f t="shared" si="8"/>
        <v>3782463</v>
      </c>
      <c r="R51" s="235">
        <f t="shared" si="9"/>
        <v>104340362</v>
      </c>
      <c r="S51" s="18">
        <v>0</v>
      </c>
      <c r="T51" s="18">
        <v>890908</v>
      </c>
      <c r="U51" s="18">
        <v>10879008</v>
      </c>
      <c r="V51" s="18">
        <f t="shared" si="10"/>
        <v>11769916</v>
      </c>
      <c r="W51" s="18">
        <v>0</v>
      </c>
      <c r="X51" s="18">
        <v>0</v>
      </c>
      <c r="Y51" s="18">
        <v>18928695</v>
      </c>
      <c r="Z51" s="18">
        <f t="shared" si="11"/>
        <v>18928695</v>
      </c>
      <c r="AA51" s="18">
        <v>0</v>
      </c>
      <c r="AB51" s="18">
        <v>0</v>
      </c>
      <c r="AC51" s="18">
        <v>0</v>
      </c>
      <c r="AD51" s="18">
        <f t="shared" si="12"/>
        <v>0</v>
      </c>
      <c r="AE51" s="18">
        <v>0</v>
      </c>
      <c r="AF51" s="18">
        <v>0</v>
      </c>
      <c r="AG51" s="236">
        <f t="shared" si="13"/>
        <v>0</v>
      </c>
      <c r="AH51" s="18">
        <f t="shared" ref="AH51:AX61" si="31">AH50+B51</f>
        <v>126554915</v>
      </c>
      <c r="AI51" s="18">
        <f t="shared" si="31"/>
        <v>0</v>
      </c>
      <c r="AJ51" s="18">
        <f t="shared" si="31"/>
        <v>5764417</v>
      </c>
      <c r="AK51" s="18">
        <f t="shared" si="31"/>
        <v>132319332</v>
      </c>
      <c r="AL51" s="18">
        <f t="shared" si="31"/>
        <v>21864387</v>
      </c>
      <c r="AM51" s="18">
        <f t="shared" si="31"/>
        <v>32339209</v>
      </c>
      <c r="AN51" s="18">
        <f t="shared" si="31"/>
        <v>5612400</v>
      </c>
      <c r="AO51" s="18">
        <f t="shared" si="31"/>
        <v>59815996</v>
      </c>
      <c r="AP51" s="18">
        <f t="shared" si="31"/>
        <v>0</v>
      </c>
      <c r="AQ51" s="18">
        <f t="shared" si="31"/>
        <v>0</v>
      </c>
      <c r="AR51" s="18">
        <f t="shared" si="31"/>
        <v>0</v>
      </c>
      <c r="AS51" s="18">
        <f t="shared" si="31"/>
        <v>0</v>
      </c>
      <c r="AT51" s="18">
        <f t="shared" si="31"/>
        <v>0</v>
      </c>
      <c r="AU51" s="18">
        <f t="shared" si="31"/>
        <v>148419302</v>
      </c>
      <c r="AV51" s="18">
        <f t="shared" si="31"/>
        <v>32339209</v>
      </c>
      <c r="AW51" s="18">
        <f t="shared" si="31"/>
        <v>11376817</v>
      </c>
      <c r="AX51" s="18">
        <f t="shared" si="31"/>
        <v>192135328</v>
      </c>
      <c r="AY51" s="14"/>
    </row>
    <row r="52" spans="1:51" ht="13.5">
      <c r="A52" s="138">
        <v>41699</v>
      </c>
      <c r="B52" s="139">
        <v>90811260</v>
      </c>
      <c r="C52" s="18">
        <v>0</v>
      </c>
      <c r="D52" s="18">
        <v>13088434</v>
      </c>
      <c r="E52" s="18">
        <f t="shared" si="25"/>
        <v>103899694</v>
      </c>
      <c r="F52" s="18">
        <f t="shared" si="1"/>
        <v>14214810</v>
      </c>
      <c r="G52" s="18">
        <f t="shared" si="2"/>
        <v>22679265</v>
      </c>
      <c r="H52" s="18">
        <f t="shared" si="3"/>
        <v>0</v>
      </c>
      <c r="I52" s="18">
        <f t="shared" si="26"/>
        <v>36894075</v>
      </c>
      <c r="J52" s="18">
        <f t="shared" si="5"/>
        <v>0</v>
      </c>
      <c r="K52" s="18">
        <v>0</v>
      </c>
      <c r="L52" s="18">
        <f t="shared" si="27"/>
        <v>0</v>
      </c>
      <c r="M52" s="18">
        <v>0</v>
      </c>
      <c r="N52" s="18">
        <f t="shared" si="15"/>
        <v>0</v>
      </c>
      <c r="O52" s="18">
        <f t="shared" si="16"/>
        <v>105026070</v>
      </c>
      <c r="P52" s="18">
        <f t="shared" si="7"/>
        <v>22679265</v>
      </c>
      <c r="Q52" s="18">
        <f t="shared" si="8"/>
        <v>13088434</v>
      </c>
      <c r="R52" s="235">
        <f t="shared" si="9"/>
        <v>140793769</v>
      </c>
      <c r="S52" s="18">
        <v>0</v>
      </c>
      <c r="T52" s="18">
        <v>1153647</v>
      </c>
      <c r="U52" s="18">
        <v>13061163</v>
      </c>
      <c r="V52" s="18">
        <f t="shared" si="10"/>
        <v>14214810</v>
      </c>
      <c r="W52" s="18">
        <v>0</v>
      </c>
      <c r="X52" s="18">
        <v>0</v>
      </c>
      <c r="Y52" s="18">
        <v>22679265</v>
      </c>
      <c r="Z52" s="18">
        <f t="shared" si="11"/>
        <v>22679265</v>
      </c>
      <c r="AA52" s="18">
        <v>0</v>
      </c>
      <c r="AB52" s="18">
        <v>0</v>
      </c>
      <c r="AC52" s="18">
        <v>0</v>
      </c>
      <c r="AD52" s="18">
        <f t="shared" si="12"/>
        <v>0</v>
      </c>
      <c r="AE52" s="18">
        <v>0</v>
      </c>
      <c r="AF52" s="18">
        <v>0</v>
      </c>
      <c r="AG52" s="236">
        <f t="shared" si="13"/>
        <v>0</v>
      </c>
      <c r="AH52" s="18">
        <f t="shared" si="31"/>
        <v>217366175</v>
      </c>
      <c r="AI52" s="18">
        <f t="shared" si="31"/>
        <v>0</v>
      </c>
      <c r="AJ52" s="18">
        <f t="shared" si="31"/>
        <v>18852851</v>
      </c>
      <c r="AK52" s="18">
        <f t="shared" si="31"/>
        <v>236219026</v>
      </c>
      <c r="AL52" s="18">
        <f t="shared" si="31"/>
        <v>36079197</v>
      </c>
      <c r="AM52" s="18">
        <f t="shared" si="31"/>
        <v>55018474</v>
      </c>
      <c r="AN52" s="18">
        <f t="shared" si="31"/>
        <v>5612400</v>
      </c>
      <c r="AO52" s="18">
        <f t="shared" si="31"/>
        <v>96710071</v>
      </c>
      <c r="AP52" s="18">
        <f t="shared" si="31"/>
        <v>0</v>
      </c>
      <c r="AQ52" s="18">
        <f t="shared" si="31"/>
        <v>0</v>
      </c>
      <c r="AR52" s="18">
        <f t="shared" si="31"/>
        <v>0</v>
      </c>
      <c r="AS52" s="18">
        <f t="shared" si="31"/>
        <v>0</v>
      </c>
      <c r="AT52" s="18">
        <f t="shared" si="31"/>
        <v>0</v>
      </c>
      <c r="AU52" s="18">
        <f t="shared" si="31"/>
        <v>253445372</v>
      </c>
      <c r="AV52" s="18">
        <f t="shared" si="31"/>
        <v>55018474</v>
      </c>
      <c r="AW52" s="18">
        <f t="shared" si="31"/>
        <v>24465251</v>
      </c>
      <c r="AX52" s="18">
        <f t="shared" si="31"/>
        <v>332929097</v>
      </c>
      <c r="AY52" s="14"/>
    </row>
    <row r="53" spans="1:51" ht="13.5">
      <c r="A53" s="138">
        <v>41730</v>
      </c>
      <c r="B53" s="139">
        <v>103350473</v>
      </c>
      <c r="C53" s="18">
        <v>0</v>
      </c>
      <c r="D53" s="18">
        <v>5759471</v>
      </c>
      <c r="E53" s="18">
        <f t="shared" si="25"/>
        <v>109109944</v>
      </c>
      <c r="F53" s="18">
        <f t="shared" si="1"/>
        <v>12757417</v>
      </c>
      <c r="G53" s="18">
        <f t="shared" si="2"/>
        <v>22278930</v>
      </c>
      <c r="H53" s="18">
        <f t="shared" si="3"/>
        <v>0</v>
      </c>
      <c r="I53" s="18">
        <f t="shared" si="26"/>
        <v>35036347</v>
      </c>
      <c r="J53" s="18">
        <f t="shared" si="5"/>
        <v>0</v>
      </c>
      <c r="K53" s="18">
        <v>0</v>
      </c>
      <c r="L53" s="18">
        <f t="shared" si="27"/>
        <v>0</v>
      </c>
      <c r="M53" s="18">
        <v>0</v>
      </c>
      <c r="N53" s="18">
        <f t="shared" si="15"/>
        <v>0</v>
      </c>
      <c r="O53" s="18">
        <f t="shared" si="16"/>
        <v>116107890</v>
      </c>
      <c r="P53" s="18">
        <f t="shared" si="7"/>
        <v>22278930</v>
      </c>
      <c r="Q53" s="18">
        <f t="shared" si="8"/>
        <v>5759471</v>
      </c>
      <c r="R53" s="235">
        <f t="shared" si="9"/>
        <v>144146291</v>
      </c>
      <c r="S53" s="18">
        <v>0</v>
      </c>
      <c r="T53" s="18">
        <v>945154</v>
      </c>
      <c r="U53" s="18">
        <v>11812263</v>
      </c>
      <c r="V53" s="18">
        <f t="shared" si="10"/>
        <v>12757417</v>
      </c>
      <c r="W53" s="18">
        <v>0</v>
      </c>
      <c r="X53" s="18">
        <v>0</v>
      </c>
      <c r="Y53" s="18">
        <v>22278930</v>
      </c>
      <c r="Z53" s="18">
        <f t="shared" si="11"/>
        <v>22278930</v>
      </c>
      <c r="AA53" s="18">
        <v>0</v>
      </c>
      <c r="AB53" s="18">
        <v>0</v>
      </c>
      <c r="AC53" s="18">
        <v>0</v>
      </c>
      <c r="AD53" s="18">
        <f t="shared" si="12"/>
        <v>0</v>
      </c>
      <c r="AE53" s="18">
        <v>0</v>
      </c>
      <c r="AF53" s="18">
        <v>0</v>
      </c>
      <c r="AG53" s="236">
        <f t="shared" si="13"/>
        <v>0</v>
      </c>
      <c r="AH53" s="18">
        <f t="shared" si="31"/>
        <v>320716648</v>
      </c>
      <c r="AI53" s="18">
        <f t="shared" si="31"/>
        <v>0</v>
      </c>
      <c r="AJ53" s="18">
        <f t="shared" si="31"/>
        <v>24612322</v>
      </c>
      <c r="AK53" s="18">
        <f t="shared" si="31"/>
        <v>345328970</v>
      </c>
      <c r="AL53" s="18">
        <f t="shared" si="31"/>
        <v>48836614</v>
      </c>
      <c r="AM53" s="18">
        <f t="shared" si="31"/>
        <v>77297404</v>
      </c>
      <c r="AN53" s="18">
        <f t="shared" si="31"/>
        <v>5612400</v>
      </c>
      <c r="AO53" s="18">
        <f t="shared" si="31"/>
        <v>131746418</v>
      </c>
      <c r="AP53" s="18">
        <f t="shared" si="31"/>
        <v>0</v>
      </c>
      <c r="AQ53" s="18">
        <f t="shared" si="31"/>
        <v>0</v>
      </c>
      <c r="AR53" s="18">
        <f t="shared" si="31"/>
        <v>0</v>
      </c>
      <c r="AS53" s="18">
        <f t="shared" si="31"/>
        <v>0</v>
      </c>
      <c r="AT53" s="18">
        <f t="shared" si="31"/>
        <v>0</v>
      </c>
      <c r="AU53" s="18">
        <f t="shared" si="31"/>
        <v>369553262</v>
      </c>
      <c r="AV53" s="18">
        <f t="shared" si="31"/>
        <v>77297404</v>
      </c>
      <c r="AW53" s="18">
        <f t="shared" si="31"/>
        <v>30224722</v>
      </c>
      <c r="AX53" s="18">
        <f t="shared" si="31"/>
        <v>477075388</v>
      </c>
      <c r="AY53" s="14"/>
    </row>
    <row r="54" spans="1:51" ht="13.5">
      <c r="A54" s="138">
        <v>41760</v>
      </c>
      <c r="B54" s="139">
        <v>109855624</v>
      </c>
      <c r="C54" s="18">
        <v>0</v>
      </c>
      <c r="D54" s="18">
        <v>4860083</v>
      </c>
      <c r="E54" s="18">
        <f t="shared" si="25"/>
        <v>114715707</v>
      </c>
      <c r="F54" s="18">
        <f t="shared" si="1"/>
        <v>15457184</v>
      </c>
      <c r="G54" s="18">
        <f t="shared" si="2"/>
        <v>19246073</v>
      </c>
      <c r="H54" s="18">
        <f t="shared" si="3"/>
        <v>0</v>
      </c>
      <c r="I54" s="18">
        <f t="shared" si="26"/>
        <v>34703257</v>
      </c>
      <c r="J54" s="18">
        <f t="shared" si="5"/>
        <v>0</v>
      </c>
      <c r="K54" s="18">
        <v>0</v>
      </c>
      <c r="L54" s="18">
        <f t="shared" si="27"/>
        <v>0</v>
      </c>
      <c r="M54" s="18">
        <v>0</v>
      </c>
      <c r="N54" s="18">
        <f t="shared" si="15"/>
        <v>0</v>
      </c>
      <c r="O54" s="18">
        <f t="shared" si="16"/>
        <v>125312808</v>
      </c>
      <c r="P54" s="18">
        <f t="shared" si="7"/>
        <v>19246073</v>
      </c>
      <c r="Q54" s="18">
        <f t="shared" si="8"/>
        <v>4860083</v>
      </c>
      <c r="R54" s="235">
        <f t="shared" si="9"/>
        <v>149418964</v>
      </c>
      <c r="S54" s="18">
        <v>61012</v>
      </c>
      <c r="T54" s="18">
        <v>818082</v>
      </c>
      <c r="U54" s="18">
        <v>14578090</v>
      </c>
      <c r="V54" s="18">
        <f t="shared" si="10"/>
        <v>15457184</v>
      </c>
      <c r="W54" s="18">
        <v>0</v>
      </c>
      <c r="X54" s="18">
        <v>0</v>
      </c>
      <c r="Y54" s="18">
        <v>19246073</v>
      </c>
      <c r="Z54" s="18">
        <f t="shared" si="11"/>
        <v>19246073</v>
      </c>
      <c r="AA54" s="18">
        <v>0</v>
      </c>
      <c r="AB54" s="18">
        <v>0</v>
      </c>
      <c r="AC54" s="18">
        <v>0</v>
      </c>
      <c r="AD54" s="18">
        <f t="shared" si="12"/>
        <v>0</v>
      </c>
      <c r="AE54" s="18">
        <v>0</v>
      </c>
      <c r="AF54" s="18">
        <v>0</v>
      </c>
      <c r="AG54" s="236">
        <f t="shared" si="13"/>
        <v>0</v>
      </c>
      <c r="AH54" s="18">
        <f t="shared" si="31"/>
        <v>430572272</v>
      </c>
      <c r="AI54" s="18">
        <f t="shared" si="31"/>
        <v>0</v>
      </c>
      <c r="AJ54" s="18">
        <f t="shared" si="31"/>
        <v>29472405</v>
      </c>
      <c r="AK54" s="18">
        <f t="shared" si="31"/>
        <v>460044677</v>
      </c>
      <c r="AL54" s="18">
        <f t="shared" si="31"/>
        <v>64293798</v>
      </c>
      <c r="AM54" s="18">
        <f t="shared" si="31"/>
        <v>96543477</v>
      </c>
      <c r="AN54" s="18">
        <f t="shared" si="31"/>
        <v>5612400</v>
      </c>
      <c r="AO54" s="18">
        <f t="shared" si="31"/>
        <v>166449675</v>
      </c>
      <c r="AP54" s="18">
        <f t="shared" si="31"/>
        <v>0</v>
      </c>
      <c r="AQ54" s="18">
        <f t="shared" si="31"/>
        <v>0</v>
      </c>
      <c r="AR54" s="18">
        <f t="shared" si="31"/>
        <v>0</v>
      </c>
      <c r="AS54" s="18">
        <f t="shared" si="31"/>
        <v>0</v>
      </c>
      <c r="AT54" s="18">
        <f t="shared" si="31"/>
        <v>0</v>
      </c>
      <c r="AU54" s="18">
        <f t="shared" si="31"/>
        <v>494866070</v>
      </c>
      <c r="AV54" s="18">
        <f t="shared" si="31"/>
        <v>96543477</v>
      </c>
      <c r="AW54" s="18">
        <f t="shared" si="31"/>
        <v>35084805</v>
      </c>
      <c r="AX54" s="18">
        <f t="shared" si="31"/>
        <v>626494352</v>
      </c>
      <c r="AY54" s="14"/>
    </row>
    <row r="55" spans="1:51" ht="13.5">
      <c r="A55" s="138">
        <v>41791</v>
      </c>
      <c r="B55" s="139">
        <v>113250338</v>
      </c>
      <c r="C55" s="18">
        <v>0</v>
      </c>
      <c r="D55" s="18">
        <v>5538706</v>
      </c>
      <c r="E55" s="18">
        <f t="shared" si="25"/>
        <v>118789044</v>
      </c>
      <c r="F55" s="18">
        <f t="shared" si="1"/>
        <v>14888020</v>
      </c>
      <c r="G55" s="18">
        <f t="shared" si="2"/>
        <v>20264838</v>
      </c>
      <c r="H55" s="18">
        <f t="shared" si="3"/>
        <v>0</v>
      </c>
      <c r="I55" s="18">
        <f t="shared" si="26"/>
        <v>35152858</v>
      </c>
      <c r="J55" s="18">
        <f t="shared" si="5"/>
        <v>0</v>
      </c>
      <c r="K55" s="18">
        <v>0</v>
      </c>
      <c r="L55" s="18">
        <f t="shared" si="27"/>
        <v>0</v>
      </c>
      <c r="M55" s="18">
        <v>0</v>
      </c>
      <c r="N55" s="18">
        <f t="shared" si="15"/>
        <v>0</v>
      </c>
      <c r="O55" s="18">
        <f t="shared" si="16"/>
        <v>128138358</v>
      </c>
      <c r="P55" s="18">
        <f t="shared" si="7"/>
        <v>20264838</v>
      </c>
      <c r="Q55" s="18">
        <f t="shared" si="8"/>
        <v>5538706</v>
      </c>
      <c r="R55" s="235">
        <f t="shared" si="9"/>
        <v>153941902</v>
      </c>
      <c r="S55" s="18">
        <v>28389</v>
      </c>
      <c r="T55" s="18">
        <v>729739</v>
      </c>
      <c r="U55" s="18">
        <v>14129892</v>
      </c>
      <c r="V55" s="18">
        <f t="shared" si="10"/>
        <v>14888020</v>
      </c>
      <c r="W55" s="18">
        <v>0</v>
      </c>
      <c r="X55" s="18">
        <v>0</v>
      </c>
      <c r="Y55" s="18">
        <v>20264838</v>
      </c>
      <c r="Z55" s="18">
        <f t="shared" si="11"/>
        <v>20264838</v>
      </c>
      <c r="AA55" s="18">
        <v>0</v>
      </c>
      <c r="AB55" s="18">
        <v>0</v>
      </c>
      <c r="AC55" s="18">
        <v>0</v>
      </c>
      <c r="AD55" s="18">
        <f t="shared" si="12"/>
        <v>0</v>
      </c>
      <c r="AE55" s="18">
        <v>0</v>
      </c>
      <c r="AF55" s="18">
        <v>0</v>
      </c>
      <c r="AG55" s="236">
        <f t="shared" si="13"/>
        <v>0</v>
      </c>
      <c r="AH55" s="18">
        <f t="shared" si="31"/>
        <v>543822610</v>
      </c>
      <c r="AI55" s="18">
        <f t="shared" si="31"/>
        <v>0</v>
      </c>
      <c r="AJ55" s="18">
        <f t="shared" si="31"/>
        <v>35011111</v>
      </c>
      <c r="AK55" s="18">
        <f t="shared" si="31"/>
        <v>578833721</v>
      </c>
      <c r="AL55" s="18">
        <f t="shared" si="31"/>
        <v>79181818</v>
      </c>
      <c r="AM55" s="18">
        <f t="shared" si="31"/>
        <v>116808315</v>
      </c>
      <c r="AN55" s="18">
        <f t="shared" si="31"/>
        <v>5612400</v>
      </c>
      <c r="AO55" s="18">
        <f t="shared" si="31"/>
        <v>201602533</v>
      </c>
      <c r="AP55" s="18">
        <f t="shared" si="31"/>
        <v>0</v>
      </c>
      <c r="AQ55" s="18">
        <f t="shared" si="31"/>
        <v>0</v>
      </c>
      <c r="AR55" s="18">
        <f t="shared" si="31"/>
        <v>0</v>
      </c>
      <c r="AS55" s="18">
        <f t="shared" si="31"/>
        <v>0</v>
      </c>
      <c r="AT55" s="18">
        <f t="shared" si="31"/>
        <v>0</v>
      </c>
      <c r="AU55" s="18">
        <f t="shared" si="31"/>
        <v>623004428</v>
      </c>
      <c r="AV55" s="18">
        <f t="shared" si="31"/>
        <v>116808315</v>
      </c>
      <c r="AW55" s="18">
        <f t="shared" si="31"/>
        <v>40623511</v>
      </c>
      <c r="AX55" s="18">
        <f t="shared" si="31"/>
        <v>780436254</v>
      </c>
      <c r="AY55" s="14"/>
    </row>
    <row r="56" spans="1:51" ht="13.5">
      <c r="A56" s="138">
        <v>41821</v>
      </c>
      <c r="B56" s="139">
        <v>128017921</v>
      </c>
      <c r="C56" s="18">
        <v>0</v>
      </c>
      <c r="D56" s="18">
        <v>16821335</v>
      </c>
      <c r="E56" s="18">
        <f t="shared" si="25"/>
        <v>144839256</v>
      </c>
      <c r="F56" s="18">
        <f t="shared" si="1"/>
        <v>12613289</v>
      </c>
      <c r="G56" s="18">
        <f t="shared" si="2"/>
        <v>25215033</v>
      </c>
      <c r="H56" s="18">
        <f t="shared" si="3"/>
        <v>0</v>
      </c>
      <c r="I56" s="18">
        <f t="shared" si="26"/>
        <v>37828322</v>
      </c>
      <c r="J56" s="18">
        <f t="shared" si="5"/>
        <v>0</v>
      </c>
      <c r="K56" s="18">
        <v>0</v>
      </c>
      <c r="L56" s="18">
        <f t="shared" si="27"/>
        <v>0</v>
      </c>
      <c r="M56" s="18">
        <v>0</v>
      </c>
      <c r="N56" s="18">
        <f t="shared" si="15"/>
        <v>0</v>
      </c>
      <c r="O56" s="18">
        <f t="shared" si="16"/>
        <v>140631210</v>
      </c>
      <c r="P56" s="18">
        <f t="shared" si="7"/>
        <v>25215033</v>
      </c>
      <c r="Q56" s="18">
        <f t="shared" si="8"/>
        <v>16821335</v>
      </c>
      <c r="R56" s="235">
        <f t="shared" si="9"/>
        <v>182667578</v>
      </c>
      <c r="S56" s="18">
        <v>8646</v>
      </c>
      <c r="T56" s="18">
        <v>344722</v>
      </c>
      <c r="U56" s="18">
        <v>12259921</v>
      </c>
      <c r="V56" s="18">
        <f t="shared" si="10"/>
        <v>12613289</v>
      </c>
      <c r="W56" s="18">
        <v>0</v>
      </c>
      <c r="X56" s="18">
        <v>0</v>
      </c>
      <c r="Y56" s="18">
        <v>25215033</v>
      </c>
      <c r="Z56" s="18">
        <f t="shared" si="11"/>
        <v>25215033</v>
      </c>
      <c r="AA56" s="18">
        <v>0</v>
      </c>
      <c r="AB56" s="18">
        <v>0</v>
      </c>
      <c r="AC56" s="18">
        <v>0</v>
      </c>
      <c r="AD56" s="18">
        <f t="shared" si="12"/>
        <v>0</v>
      </c>
      <c r="AE56" s="18">
        <v>0</v>
      </c>
      <c r="AF56" s="18">
        <v>0</v>
      </c>
      <c r="AG56" s="236">
        <f t="shared" si="13"/>
        <v>0</v>
      </c>
      <c r="AH56" s="18">
        <f t="shared" si="31"/>
        <v>671840531</v>
      </c>
      <c r="AI56" s="18">
        <f t="shared" si="31"/>
        <v>0</v>
      </c>
      <c r="AJ56" s="18">
        <f t="shared" si="31"/>
        <v>51832446</v>
      </c>
      <c r="AK56" s="18">
        <f t="shared" si="31"/>
        <v>723672977</v>
      </c>
      <c r="AL56" s="18">
        <f t="shared" si="31"/>
        <v>91795107</v>
      </c>
      <c r="AM56" s="18">
        <f t="shared" si="31"/>
        <v>142023348</v>
      </c>
      <c r="AN56" s="18">
        <f t="shared" si="31"/>
        <v>5612400</v>
      </c>
      <c r="AO56" s="18">
        <f t="shared" si="31"/>
        <v>239430855</v>
      </c>
      <c r="AP56" s="18">
        <f t="shared" si="31"/>
        <v>0</v>
      </c>
      <c r="AQ56" s="18">
        <f t="shared" si="31"/>
        <v>0</v>
      </c>
      <c r="AR56" s="18">
        <f t="shared" si="31"/>
        <v>0</v>
      </c>
      <c r="AS56" s="18">
        <f t="shared" si="31"/>
        <v>0</v>
      </c>
      <c r="AT56" s="18">
        <f t="shared" si="31"/>
        <v>0</v>
      </c>
      <c r="AU56" s="18">
        <f t="shared" si="31"/>
        <v>763635638</v>
      </c>
      <c r="AV56" s="18">
        <f t="shared" si="31"/>
        <v>142023348</v>
      </c>
      <c r="AW56" s="18">
        <f t="shared" si="31"/>
        <v>57444846</v>
      </c>
      <c r="AX56" s="18">
        <f t="shared" si="31"/>
        <v>963103832</v>
      </c>
      <c r="AY56" s="14"/>
    </row>
    <row r="57" spans="1:51" ht="13.5">
      <c r="A57" s="138">
        <v>41852</v>
      </c>
      <c r="B57" s="139">
        <v>127377367</v>
      </c>
      <c r="C57" s="18">
        <v>0</v>
      </c>
      <c r="D57" s="18">
        <v>7814992</v>
      </c>
      <c r="E57" s="18">
        <f t="shared" si="25"/>
        <v>135192359</v>
      </c>
      <c r="F57" s="18">
        <f t="shared" si="1"/>
        <v>1554513</v>
      </c>
      <c r="G57" s="18">
        <f t="shared" si="2"/>
        <v>8424713</v>
      </c>
      <c r="H57" s="18">
        <f t="shared" si="3"/>
        <v>0</v>
      </c>
      <c r="I57" s="18">
        <f t="shared" si="26"/>
        <v>9979226</v>
      </c>
      <c r="J57" s="18">
        <f t="shared" si="5"/>
        <v>0</v>
      </c>
      <c r="K57" s="18">
        <v>0</v>
      </c>
      <c r="L57" s="18">
        <f t="shared" si="27"/>
        <v>0</v>
      </c>
      <c r="M57" s="18">
        <v>0</v>
      </c>
      <c r="N57" s="18">
        <f t="shared" si="15"/>
        <v>0</v>
      </c>
      <c r="O57" s="18">
        <f t="shared" si="16"/>
        <v>128931880</v>
      </c>
      <c r="P57" s="18">
        <f t="shared" si="7"/>
        <v>8424713</v>
      </c>
      <c r="Q57" s="18">
        <f t="shared" si="8"/>
        <v>7814992</v>
      </c>
      <c r="R57" s="235">
        <f t="shared" si="9"/>
        <v>145171585</v>
      </c>
      <c r="S57" s="18">
        <v>0</v>
      </c>
      <c r="T57" s="18">
        <v>474247</v>
      </c>
      <c r="U57" s="18">
        <v>1080266</v>
      </c>
      <c r="V57" s="18">
        <f t="shared" si="10"/>
        <v>1554513</v>
      </c>
      <c r="W57" s="18">
        <v>0</v>
      </c>
      <c r="X57" s="18">
        <v>0</v>
      </c>
      <c r="Y57" s="18">
        <v>8424713</v>
      </c>
      <c r="Z57" s="18">
        <f t="shared" si="11"/>
        <v>8424713</v>
      </c>
      <c r="AA57" s="18">
        <v>0</v>
      </c>
      <c r="AB57" s="18">
        <v>0</v>
      </c>
      <c r="AC57" s="18">
        <v>0</v>
      </c>
      <c r="AD57" s="18">
        <f t="shared" si="12"/>
        <v>0</v>
      </c>
      <c r="AE57" s="18">
        <v>0</v>
      </c>
      <c r="AF57" s="18">
        <v>0</v>
      </c>
      <c r="AG57" s="236">
        <f t="shared" si="13"/>
        <v>0</v>
      </c>
      <c r="AH57" s="18">
        <f t="shared" si="31"/>
        <v>799217898</v>
      </c>
      <c r="AI57" s="18">
        <f t="shared" si="31"/>
        <v>0</v>
      </c>
      <c r="AJ57" s="18">
        <f t="shared" si="31"/>
        <v>59647438</v>
      </c>
      <c r="AK57" s="18">
        <f t="shared" si="31"/>
        <v>858865336</v>
      </c>
      <c r="AL57" s="18">
        <f t="shared" si="31"/>
        <v>93349620</v>
      </c>
      <c r="AM57" s="18">
        <f t="shared" si="31"/>
        <v>150448061</v>
      </c>
      <c r="AN57" s="18">
        <f t="shared" si="31"/>
        <v>5612400</v>
      </c>
      <c r="AO57" s="18">
        <f t="shared" si="31"/>
        <v>249410081</v>
      </c>
      <c r="AP57" s="18">
        <f t="shared" si="31"/>
        <v>0</v>
      </c>
      <c r="AQ57" s="18">
        <f t="shared" si="31"/>
        <v>0</v>
      </c>
      <c r="AR57" s="18">
        <f t="shared" si="31"/>
        <v>0</v>
      </c>
      <c r="AS57" s="18">
        <f t="shared" si="31"/>
        <v>0</v>
      </c>
      <c r="AT57" s="18">
        <f t="shared" si="31"/>
        <v>0</v>
      </c>
      <c r="AU57" s="18">
        <f t="shared" si="31"/>
        <v>892567518</v>
      </c>
      <c r="AV57" s="18">
        <f t="shared" si="31"/>
        <v>150448061</v>
      </c>
      <c r="AW57" s="18">
        <f t="shared" si="31"/>
        <v>65259838</v>
      </c>
      <c r="AX57" s="18">
        <f t="shared" si="31"/>
        <v>1108275417</v>
      </c>
      <c r="AY57" s="14"/>
    </row>
    <row r="58" spans="1:51" ht="13.5">
      <c r="A58" s="138">
        <v>41883</v>
      </c>
      <c r="B58" s="139">
        <v>124535190</v>
      </c>
      <c r="C58" s="18">
        <v>0</v>
      </c>
      <c r="D58" s="18">
        <v>12406590</v>
      </c>
      <c r="E58" s="18">
        <f t="shared" si="25"/>
        <v>136941780</v>
      </c>
      <c r="F58" s="18">
        <f t="shared" si="1"/>
        <v>5323420</v>
      </c>
      <c r="G58" s="18">
        <f t="shared" si="2"/>
        <v>0</v>
      </c>
      <c r="H58" s="18">
        <f t="shared" si="3"/>
        <v>0</v>
      </c>
      <c r="I58" s="18">
        <f t="shared" si="26"/>
        <v>5323420</v>
      </c>
      <c r="J58" s="18">
        <f t="shared" si="5"/>
        <v>0</v>
      </c>
      <c r="K58" s="18">
        <v>0</v>
      </c>
      <c r="L58" s="18">
        <f t="shared" si="27"/>
        <v>0</v>
      </c>
      <c r="M58" s="18">
        <v>0</v>
      </c>
      <c r="N58" s="18">
        <f t="shared" si="15"/>
        <v>0</v>
      </c>
      <c r="O58" s="18">
        <f t="shared" si="16"/>
        <v>129858610</v>
      </c>
      <c r="P58" s="18">
        <f t="shared" si="7"/>
        <v>0</v>
      </c>
      <c r="Q58" s="18">
        <f t="shared" si="8"/>
        <v>12406590</v>
      </c>
      <c r="R58" s="235">
        <f t="shared" si="9"/>
        <v>142265200</v>
      </c>
      <c r="S58" s="18">
        <v>17718</v>
      </c>
      <c r="T58" s="18">
        <v>368827</v>
      </c>
      <c r="U58" s="18">
        <v>4936875</v>
      </c>
      <c r="V58" s="18">
        <f t="shared" si="10"/>
        <v>5323420</v>
      </c>
      <c r="W58" s="18">
        <v>0</v>
      </c>
      <c r="X58" s="18">
        <v>0</v>
      </c>
      <c r="Y58" s="18">
        <v>0</v>
      </c>
      <c r="Z58" s="18">
        <f t="shared" si="11"/>
        <v>0</v>
      </c>
      <c r="AA58" s="18">
        <v>0</v>
      </c>
      <c r="AB58" s="18">
        <v>0</v>
      </c>
      <c r="AC58" s="18">
        <v>0</v>
      </c>
      <c r="AD58" s="18">
        <f t="shared" si="12"/>
        <v>0</v>
      </c>
      <c r="AE58" s="18">
        <v>0</v>
      </c>
      <c r="AF58" s="18">
        <v>0</v>
      </c>
      <c r="AG58" s="236">
        <f t="shared" si="13"/>
        <v>0</v>
      </c>
      <c r="AH58" s="18">
        <f t="shared" si="31"/>
        <v>923753088</v>
      </c>
      <c r="AI58" s="18">
        <f t="shared" si="31"/>
        <v>0</v>
      </c>
      <c r="AJ58" s="18">
        <f t="shared" si="31"/>
        <v>72054028</v>
      </c>
      <c r="AK58" s="18">
        <f t="shared" si="31"/>
        <v>995807116</v>
      </c>
      <c r="AL58" s="18">
        <f t="shared" si="31"/>
        <v>98673040</v>
      </c>
      <c r="AM58" s="18">
        <f t="shared" si="31"/>
        <v>150448061</v>
      </c>
      <c r="AN58" s="18">
        <f t="shared" si="31"/>
        <v>5612400</v>
      </c>
      <c r="AO58" s="18">
        <f t="shared" si="31"/>
        <v>254733501</v>
      </c>
      <c r="AP58" s="18">
        <f t="shared" si="31"/>
        <v>0</v>
      </c>
      <c r="AQ58" s="18">
        <f t="shared" si="31"/>
        <v>0</v>
      </c>
      <c r="AR58" s="18">
        <f t="shared" si="31"/>
        <v>0</v>
      </c>
      <c r="AS58" s="18">
        <f t="shared" si="31"/>
        <v>0</v>
      </c>
      <c r="AT58" s="18">
        <f t="shared" si="31"/>
        <v>0</v>
      </c>
      <c r="AU58" s="18">
        <f t="shared" si="31"/>
        <v>1022426128</v>
      </c>
      <c r="AV58" s="18">
        <f t="shared" si="31"/>
        <v>150448061</v>
      </c>
      <c r="AW58" s="18">
        <f t="shared" si="31"/>
        <v>77666428</v>
      </c>
      <c r="AX58" s="18">
        <f t="shared" si="31"/>
        <v>1250540617</v>
      </c>
      <c r="AY58" s="14"/>
    </row>
    <row r="59" spans="1:51" ht="13.5">
      <c r="A59" s="138">
        <v>41913</v>
      </c>
      <c r="B59" s="139">
        <v>121329751</v>
      </c>
      <c r="C59" s="18">
        <v>0</v>
      </c>
      <c r="D59" s="18">
        <v>15251830</v>
      </c>
      <c r="E59" s="18">
        <f t="shared" si="25"/>
        <v>136581581</v>
      </c>
      <c r="F59" s="18">
        <f t="shared" si="1"/>
        <v>13879279</v>
      </c>
      <c r="G59" s="18">
        <f t="shared" si="2"/>
        <v>348537</v>
      </c>
      <c r="H59" s="18">
        <f t="shared" si="3"/>
        <v>0</v>
      </c>
      <c r="I59" s="18">
        <f t="shared" si="26"/>
        <v>14227816</v>
      </c>
      <c r="J59" s="18">
        <f t="shared" si="5"/>
        <v>0</v>
      </c>
      <c r="K59" s="18">
        <v>0</v>
      </c>
      <c r="L59" s="18">
        <f t="shared" si="27"/>
        <v>0</v>
      </c>
      <c r="M59" s="18">
        <v>0</v>
      </c>
      <c r="N59" s="18">
        <f t="shared" si="15"/>
        <v>0</v>
      </c>
      <c r="O59" s="18">
        <f t="shared" si="16"/>
        <v>135209030</v>
      </c>
      <c r="P59" s="18">
        <f t="shared" si="7"/>
        <v>348537</v>
      </c>
      <c r="Q59" s="18">
        <f t="shared" si="8"/>
        <v>15251830</v>
      </c>
      <c r="R59" s="235">
        <f t="shared" si="9"/>
        <v>150809397</v>
      </c>
      <c r="S59" s="18">
        <v>33044</v>
      </c>
      <c r="T59" s="18">
        <v>411779</v>
      </c>
      <c r="U59" s="18">
        <v>13434456</v>
      </c>
      <c r="V59" s="18">
        <f t="shared" si="10"/>
        <v>13879279</v>
      </c>
      <c r="W59" s="18">
        <v>0</v>
      </c>
      <c r="X59" s="18">
        <v>0</v>
      </c>
      <c r="Y59" s="18">
        <v>348537</v>
      </c>
      <c r="Z59" s="18">
        <f t="shared" si="11"/>
        <v>348537</v>
      </c>
      <c r="AA59" s="18">
        <v>0</v>
      </c>
      <c r="AB59" s="18">
        <v>0</v>
      </c>
      <c r="AC59" s="18">
        <v>0</v>
      </c>
      <c r="AD59" s="18">
        <f t="shared" si="12"/>
        <v>0</v>
      </c>
      <c r="AE59" s="18">
        <v>0</v>
      </c>
      <c r="AF59" s="18">
        <v>0</v>
      </c>
      <c r="AG59" s="236">
        <f t="shared" si="13"/>
        <v>0</v>
      </c>
      <c r="AH59" s="18">
        <f t="shared" si="31"/>
        <v>1045082839</v>
      </c>
      <c r="AI59" s="18">
        <f t="shared" si="31"/>
        <v>0</v>
      </c>
      <c r="AJ59" s="18">
        <f t="shared" si="31"/>
        <v>87305858</v>
      </c>
      <c r="AK59" s="18">
        <f t="shared" si="31"/>
        <v>1132388697</v>
      </c>
      <c r="AL59" s="18">
        <f t="shared" si="31"/>
        <v>112552319</v>
      </c>
      <c r="AM59" s="18">
        <f t="shared" si="31"/>
        <v>150796598</v>
      </c>
      <c r="AN59" s="18">
        <f t="shared" si="31"/>
        <v>5612400</v>
      </c>
      <c r="AO59" s="18">
        <f t="shared" si="31"/>
        <v>268961317</v>
      </c>
      <c r="AP59" s="18">
        <f t="shared" si="31"/>
        <v>0</v>
      </c>
      <c r="AQ59" s="18">
        <f t="shared" si="31"/>
        <v>0</v>
      </c>
      <c r="AR59" s="18">
        <f t="shared" si="31"/>
        <v>0</v>
      </c>
      <c r="AS59" s="18">
        <f t="shared" si="31"/>
        <v>0</v>
      </c>
      <c r="AT59" s="18">
        <f t="shared" si="31"/>
        <v>0</v>
      </c>
      <c r="AU59" s="18">
        <f t="shared" si="31"/>
        <v>1157635158</v>
      </c>
      <c r="AV59" s="18">
        <f t="shared" si="31"/>
        <v>150796598</v>
      </c>
      <c r="AW59" s="18">
        <f t="shared" si="31"/>
        <v>92918258</v>
      </c>
      <c r="AX59" s="18">
        <f t="shared" si="31"/>
        <v>1401350014</v>
      </c>
      <c r="AY59" s="14"/>
    </row>
    <row r="60" spans="1:51" ht="13.5">
      <c r="A60" s="138">
        <v>41944</v>
      </c>
      <c r="B60" s="139">
        <v>97332075</v>
      </c>
      <c r="C60" s="18">
        <v>0</v>
      </c>
      <c r="D60" s="18">
        <v>25962646</v>
      </c>
      <c r="E60" s="18">
        <f t="shared" si="25"/>
        <v>123294721</v>
      </c>
      <c r="F60" s="18">
        <f t="shared" si="1"/>
        <v>15943396</v>
      </c>
      <c r="G60" s="18">
        <f t="shared" si="2"/>
        <v>9322412</v>
      </c>
      <c r="H60" s="18">
        <f t="shared" si="3"/>
        <v>0</v>
      </c>
      <c r="I60" s="18">
        <f t="shared" si="26"/>
        <v>25265808</v>
      </c>
      <c r="J60" s="18">
        <f t="shared" si="5"/>
        <v>0</v>
      </c>
      <c r="K60" s="18">
        <v>0</v>
      </c>
      <c r="L60" s="18">
        <f t="shared" si="27"/>
        <v>0</v>
      </c>
      <c r="M60" s="18">
        <v>0</v>
      </c>
      <c r="N60" s="18">
        <f t="shared" si="15"/>
        <v>0</v>
      </c>
      <c r="O60" s="18">
        <f t="shared" si="16"/>
        <v>113275471</v>
      </c>
      <c r="P60" s="18">
        <f t="shared" si="7"/>
        <v>9322412</v>
      </c>
      <c r="Q60" s="18">
        <f t="shared" si="8"/>
        <v>25962646</v>
      </c>
      <c r="R60" s="235">
        <f t="shared" si="9"/>
        <v>148560529</v>
      </c>
      <c r="S60" s="18">
        <v>25050</v>
      </c>
      <c r="T60" s="18">
        <v>365512</v>
      </c>
      <c r="U60" s="18">
        <v>15552834</v>
      </c>
      <c r="V60" s="18">
        <f t="shared" si="10"/>
        <v>15943396</v>
      </c>
      <c r="W60" s="18">
        <v>0</v>
      </c>
      <c r="X60" s="18">
        <v>0</v>
      </c>
      <c r="Y60" s="18">
        <v>9322412</v>
      </c>
      <c r="Z60" s="18">
        <f t="shared" si="11"/>
        <v>9322412</v>
      </c>
      <c r="AA60" s="18">
        <v>0</v>
      </c>
      <c r="AB60" s="18">
        <v>0</v>
      </c>
      <c r="AC60" s="18">
        <v>0</v>
      </c>
      <c r="AD60" s="18">
        <f t="shared" si="12"/>
        <v>0</v>
      </c>
      <c r="AE60" s="18">
        <v>0</v>
      </c>
      <c r="AF60" s="18">
        <v>0</v>
      </c>
      <c r="AG60" s="236">
        <f t="shared" si="13"/>
        <v>0</v>
      </c>
      <c r="AH60" s="18">
        <f t="shared" si="31"/>
        <v>1142414914</v>
      </c>
      <c r="AI60" s="18">
        <f t="shared" si="31"/>
        <v>0</v>
      </c>
      <c r="AJ60" s="18">
        <f t="shared" si="31"/>
        <v>113268504</v>
      </c>
      <c r="AK60" s="18">
        <f t="shared" si="31"/>
        <v>1255683418</v>
      </c>
      <c r="AL60" s="18">
        <f t="shared" si="31"/>
        <v>128495715</v>
      </c>
      <c r="AM60" s="18">
        <f t="shared" si="31"/>
        <v>160119010</v>
      </c>
      <c r="AN60" s="18">
        <f t="shared" si="31"/>
        <v>5612400</v>
      </c>
      <c r="AO60" s="18">
        <f t="shared" si="31"/>
        <v>294227125</v>
      </c>
      <c r="AP60" s="18">
        <f t="shared" si="31"/>
        <v>0</v>
      </c>
      <c r="AQ60" s="18">
        <f t="shared" si="31"/>
        <v>0</v>
      </c>
      <c r="AR60" s="18">
        <f t="shared" si="31"/>
        <v>0</v>
      </c>
      <c r="AS60" s="18">
        <f t="shared" si="31"/>
        <v>0</v>
      </c>
      <c r="AT60" s="18">
        <f t="shared" si="31"/>
        <v>0</v>
      </c>
      <c r="AU60" s="18">
        <f t="shared" si="31"/>
        <v>1270910629</v>
      </c>
      <c r="AV60" s="18">
        <f t="shared" si="31"/>
        <v>160119010</v>
      </c>
      <c r="AW60" s="18">
        <f t="shared" si="31"/>
        <v>118880904</v>
      </c>
      <c r="AX60" s="18">
        <f t="shared" si="31"/>
        <v>1549910543</v>
      </c>
      <c r="AY60" s="14"/>
    </row>
    <row r="61" spans="1:51" ht="14.25" thickBot="1">
      <c r="A61" s="138">
        <v>41974</v>
      </c>
      <c r="B61" s="139">
        <v>163494776</v>
      </c>
      <c r="C61" s="18">
        <v>0</v>
      </c>
      <c r="D61" s="18">
        <v>16360522</v>
      </c>
      <c r="E61" s="18">
        <f t="shared" si="25"/>
        <v>179855298</v>
      </c>
      <c r="F61" s="18">
        <f t="shared" si="1"/>
        <v>22040473</v>
      </c>
      <c r="G61" s="18">
        <f t="shared" si="2"/>
        <v>11628154</v>
      </c>
      <c r="H61" s="18">
        <f t="shared" si="3"/>
        <v>0</v>
      </c>
      <c r="I61" s="18">
        <f t="shared" si="26"/>
        <v>33668627</v>
      </c>
      <c r="J61" s="18">
        <f t="shared" si="5"/>
        <v>0</v>
      </c>
      <c r="K61" s="18">
        <v>0</v>
      </c>
      <c r="L61" s="18">
        <f t="shared" si="27"/>
        <v>0</v>
      </c>
      <c r="M61" s="18">
        <v>0</v>
      </c>
      <c r="N61" s="18">
        <f t="shared" si="15"/>
        <v>0</v>
      </c>
      <c r="O61" s="18">
        <f t="shared" si="16"/>
        <v>185535249</v>
      </c>
      <c r="P61" s="18">
        <f t="shared" si="7"/>
        <v>11628154</v>
      </c>
      <c r="Q61" s="18">
        <f t="shared" si="8"/>
        <v>16360522</v>
      </c>
      <c r="R61" s="235">
        <f t="shared" si="9"/>
        <v>213523925</v>
      </c>
      <c r="S61" s="18">
        <v>31434</v>
      </c>
      <c r="T61" s="18">
        <v>322854</v>
      </c>
      <c r="U61" s="18">
        <v>21686185</v>
      </c>
      <c r="V61" s="18">
        <f t="shared" si="10"/>
        <v>22040473</v>
      </c>
      <c r="W61" s="18">
        <v>0</v>
      </c>
      <c r="X61" s="18">
        <v>0</v>
      </c>
      <c r="Y61" s="18">
        <v>11628154</v>
      </c>
      <c r="Z61" s="18">
        <f t="shared" si="11"/>
        <v>11628154</v>
      </c>
      <c r="AA61" s="18">
        <v>0</v>
      </c>
      <c r="AB61" s="18">
        <v>0</v>
      </c>
      <c r="AC61" s="18">
        <v>0</v>
      </c>
      <c r="AD61" s="18">
        <f t="shared" si="12"/>
        <v>0</v>
      </c>
      <c r="AE61" s="18">
        <v>0</v>
      </c>
      <c r="AF61" s="18">
        <v>0</v>
      </c>
      <c r="AG61" s="236">
        <f t="shared" si="13"/>
        <v>0</v>
      </c>
      <c r="AH61" s="18">
        <f t="shared" si="31"/>
        <v>1305909690</v>
      </c>
      <c r="AI61" s="18">
        <f t="shared" si="31"/>
        <v>0</v>
      </c>
      <c r="AJ61" s="18">
        <f t="shared" si="31"/>
        <v>129629026</v>
      </c>
      <c r="AK61" s="18">
        <f t="shared" si="31"/>
        <v>1435538716</v>
      </c>
      <c r="AL61" s="18">
        <f t="shared" si="31"/>
        <v>150536188</v>
      </c>
      <c r="AM61" s="18">
        <f t="shared" si="31"/>
        <v>171747164</v>
      </c>
      <c r="AN61" s="18">
        <f t="shared" si="31"/>
        <v>5612400</v>
      </c>
      <c r="AO61" s="18">
        <f t="shared" si="31"/>
        <v>327895752</v>
      </c>
      <c r="AP61" s="18">
        <f t="shared" si="31"/>
        <v>0</v>
      </c>
      <c r="AQ61" s="18">
        <f t="shared" si="31"/>
        <v>0</v>
      </c>
      <c r="AR61" s="18">
        <f t="shared" si="31"/>
        <v>0</v>
      </c>
      <c r="AS61" s="18">
        <f t="shared" si="31"/>
        <v>0</v>
      </c>
      <c r="AT61" s="18">
        <f t="shared" si="31"/>
        <v>0</v>
      </c>
      <c r="AU61" s="18">
        <f t="shared" si="31"/>
        <v>1456445878</v>
      </c>
      <c r="AV61" s="18">
        <f t="shared" si="31"/>
        <v>171747164</v>
      </c>
      <c r="AW61" s="18">
        <f t="shared" si="31"/>
        <v>135241426</v>
      </c>
      <c r="AX61" s="18">
        <f t="shared" si="31"/>
        <v>1763434468</v>
      </c>
      <c r="AY61" s="14"/>
    </row>
    <row r="62" spans="1:51" ht="13.5">
      <c r="A62" s="141">
        <v>42005</v>
      </c>
      <c r="B62" s="142">
        <v>55879853</v>
      </c>
      <c r="C62" s="143">
        <v>0</v>
      </c>
      <c r="D62" s="143">
        <v>8626445</v>
      </c>
      <c r="E62" s="143">
        <f t="shared" si="25"/>
        <v>64506298</v>
      </c>
      <c r="F62" s="143">
        <f t="shared" si="1"/>
        <v>17338629</v>
      </c>
      <c r="G62" s="143">
        <f t="shared" si="2"/>
        <v>9899510</v>
      </c>
      <c r="H62" s="143">
        <f t="shared" si="3"/>
        <v>0</v>
      </c>
      <c r="I62" s="143">
        <f t="shared" si="26"/>
        <v>27238139</v>
      </c>
      <c r="J62" s="143">
        <f t="shared" si="5"/>
        <v>0</v>
      </c>
      <c r="K62" s="143">
        <v>0</v>
      </c>
      <c r="L62" s="143">
        <f t="shared" si="27"/>
        <v>0</v>
      </c>
      <c r="M62" s="143">
        <v>0</v>
      </c>
      <c r="N62" s="143">
        <f t="shared" si="15"/>
        <v>0</v>
      </c>
      <c r="O62" s="143">
        <f t="shared" si="16"/>
        <v>73218482</v>
      </c>
      <c r="P62" s="143">
        <f t="shared" si="7"/>
        <v>9899510</v>
      </c>
      <c r="Q62" s="143">
        <f t="shared" si="8"/>
        <v>8626445</v>
      </c>
      <c r="R62" s="237">
        <f t="shared" si="9"/>
        <v>91744437</v>
      </c>
      <c r="S62" s="143">
        <v>0</v>
      </c>
      <c r="T62" s="143">
        <v>313748</v>
      </c>
      <c r="U62" s="143">
        <v>17024881</v>
      </c>
      <c r="V62" s="143">
        <f t="shared" si="10"/>
        <v>17338629</v>
      </c>
      <c r="W62" s="143">
        <v>0</v>
      </c>
      <c r="X62" s="143">
        <v>0</v>
      </c>
      <c r="Y62" s="143">
        <v>9899510</v>
      </c>
      <c r="Z62" s="143">
        <f t="shared" si="11"/>
        <v>9899510</v>
      </c>
      <c r="AA62" s="143">
        <v>0</v>
      </c>
      <c r="AB62" s="143">
        <v>0</v>
      </c>
      <c r="AC62" s="143">
        <v>0</v>
      </c>
      <c r="AD62" s="143">
        <f t="shared" si="12"/>
        <v>0</v>
      </c>
      <c r="AE62" s="143">
        <v>0</v>
      </c>
      <c r="AF62" s="143">
        <v>0</v>
      </c>
      <c r="AG62" s="238">
        <f t="shared" si="13"/>
        <v>0</v>
      </c>
      <c r="AH62" s="143">
        <f t="shared" ref="AH62:AX62" si="32">B62</f>
        <v>55879853</v>
      </c>
      <c r="AI62" s="143">
        <f t="shared" si="32"/>
        <v>0</v>
      </c>
      <c r="AJ62" s="143">
        <f t="shared" si="32"/>
        <v>8626445</v>
      </c>
      <c r="AK62" s="143">
        <f t="shared" si="32"/>
        <v>64506298</v>
      </c>
      <c r="AL62" s="143">
        <f t="shared" si="32"/>
        <v>17338629</v>
      </c>
      <c r="AM62" s="143">
        <f t="shared" si="32"/>
        <v>9899510</v>
      </c>
      <c r="AN62" s="143">
        <f t="shared" si="32"/>
        <v>0</v>
      </c>
      <c r="AO62" s="143">
        <f t="shared" si="32"/>
        <v>27238139</v>
      </c>
      <c r="AP62" s="143">
        <f t="shared" si="32"/>
        <v>0</v>
      </c>
      <c r="AQ62" s="143">
        <f t="shared" si="32"/>
        <v>0</v>
      </c>
      <c r="AR62" s="143">
        <f t="shared" si="32"/>
        <v>0</v>
      </c>
      <c r="AS62" s="143">
        <f t="shared" si="32"/>
        <v>0</v>
      </c>
      <c r="AT62" s="143">
        <f t="shared" si="32"/>
        <v>0</v>
      </c>
      <c r="AU62" s="143">
        <f t="shared" si="32"/>
        <v>73218482</v>
      </c>
      <c r="AV62" s="143">
        <f t="shared" si="32"/>
        <v>9899510</v>
      </c>
      <c r="AW62" s="143">
        <f t="shared" si="32"/>
        <v>8626445</v>
      </c>
      <c r="AX62" s="143">
        <f t="shared" si="32"/>
        <v>91744437</v>
      </c>
      <c r="AY62" s="14"/>
    </row>
    <row r="63" spans="1:51" ht="13.5">
      <c r="A63" s="138">
        <v>42036</v>
      </c>
      <c r="B63" s="139">
        <v>62835451</v>
      </c>
      <c r="C63" s="18">
        <v>0</v>
      </c>
      <c r="D63" s="18">
        <v>5025091</v>
      </c>
      <c r="E63" s="18">
        <f t="shared" si="25"/>
        <v>67860542</v>
      </c>
      <c r="F63" s="18">
        <f t="shared" si="1"/>
        <v>13090383</v>
      </c>
      <c r="G63" s="18">
        <f t="shared" si="2"/>
        <v>8259742</v>
      </c>
      <c r="H63" s="18">
        <f t="shared" si="3"/>
        <v>0</v>
      </c>
      <c r="I63" s="18">
        <f t="shared" si="26"/>
        <v>21350125</v>
      </c>
      <c r="J63" s="18">
        <f t="shared" si="5"/>
        <v>0</v>
      </c>
      <c r="K63" s="18">
        <v>0</v>
      </c>
      <c r="L63" s="18">
        <f t="shared" si="27"/>
        <v>0</v>
      </c>
      <c r="M63" s="18">
        <v>0</v>
      </c>
      <c r="N63" s="18">
        <f t="shared" si="15"/>
        <v>0</v>
      </c>
      <c r="O63" s="18">
        <f t="shared" si="16"/>
        <v>75925834</v>
      </c>
      <c r="P63" s="18">
        <f t="shared" si="7"/>
        <v>8259742</v>
      </c>
      <c r="Q63" s="18">
        <f t="shared" si="8"/>
        <v>5025091</v>
      </c>
      <c r="R63" s="235">
        <f t="shared" si="9"/>
        <v>89210667</v>
      </c>
      <c r="S63" s="18">
        <v>0</v>
      </c>
      <c r="T63" s="18">
        <v>357612</v>
      </c>
      <c r="U63" s="18">
        <v>12732771</v>
      </c>
      <c r="V63" s="18">
        <f t="shared" si="10"/>
        <v>13090383</v>
      </c>
      <c r="W63" s="18">
        <v>0</v>
      </c>
      <c r="X63" s="18">
        <v>0</v>
      </c>
      <c r="Y63" s="18">
        <v>8259742</v>
      </c>
      <c r="Z63" s="18">
        <f t="shared" si="11"/>
        <v>8259742</v>
      </c>
      <c r="AA63" s="18">
        <v>0</v>
      </c>
      <c r="AB63" s="18">
        <v>0</v>
      </c>
      <c r="AC63" s="18">
        <v>0</v>
      </c>
      <c r="AD63" s="18">
        <f t="shared" si="12"/>
        <v>0</v>
      </c>
      <c r="AE63" s="18">
        <v>0</v>
      </c>
      <c r="AF63" s="18">
        <v>0</v>
      </c>
      <c r="AG63" s="236">
        <f t="shared" si="13"/>
        <v>0</v>
      </c>
      <c r="AH63" s="18">
        <f t="shared" ref="AH63:AX73" si="33">AH62+B63</f>
        <v>118715304</v>
      </c>
      <c r="AI63" s="18">
        <f t="shared" si="33"/>
        <v>0</v>
      </c>
      <c r="AJ63" s="18">
        <f t="shared" si="33"/>
        <v>13651536</v>
      </c>
      <c r="AK63" s="18">
        <f t="shared" si="33"/>
        <v>132366840</v>
      </c>
      <c r="AL63" s="18">
        <f t="shared" si="33"/>
        <v>30429012</v>
      </c>
      <c r="AM63" s="18">
        <f t="shared" si="33"/>
        <v>18159252</v>
      </c>
      <c r="AN63" s="18">
        <f t="shared" si="33"/>
        <v>0</v>
      </c>
      <c r="AO63" s="18">
        <f t="shared" si="33"/>
        <v>48588264</v>
      </c>
      <c r="AP63" s="18">
        <f t="shared" si="33"/>
        <v>0</v>
      </c>
      <c r="AQ63" s="18">
        <f t="shared" si="33"/>
        <v>0</v>
      </c>
      <c r="AR63" s="18">
        <f t="shared" si="33"/>
        <v>0</v>
      </c>
      <c r="AS63" s="18">
        <f t="shared" si="33"/>
        <v>0</v>
      </c>
      <c r="AT63" s="18">
        <f t="shared" si="33"/>
        <v>0</v>
      </c>
      <c r="AU63" s="18">
        <f t="shared" si="33"/>
        <v>149144316</v>
      </c>
      <c r="AV63" s="18">
        <f t="shared" si="33"/>
        <v>18159252</v>
      </c>
      <c r="AW63" s="18">
        <f t="shared" si="33"/>
        <v>13651536</v>
      </c>
      <c r="AX63" s="18">
        <f t="shared" si="33"/>
        <v>180955104</v>
      </c>
      <c r="AY63" s="14"/>
    </row>
    <row r="64" spans="1:51" ht="13.5">
      <c r="A64" s="138">
        <v>42064</v>
      </c>
      <c r="B64" s="139">
        <v>92371029</v>
      </c>
      <c r="C64" s="18">
        <v>0</v>
      </c>
      <c r="D64" s="18">
        <v>8540515</v>
      </c>
      <c r="E64" s="18">
        <f t="shared" si="25"/>
        <v>100911544</v>
      </c>
      <c r="F64" s="18">
        <f t="shared" si="1"/>
        <v>15408481</v>
      </c>
      <c r="G64" s="18">
        <f t="shared" si="2"/>
        <v>8280245</v>
      </c>
      <c r="H64" s="18">
        <f t="shared" si="3"/>
        <v>0</v>
      </c>
      <c r="I64" s="18">
        <f t="shared" si="26"/>
        <v>23688726</v>
      </c>
      <c r="J64" s="18">
        <f t="shared" si="5"/>
        <v>0</v>
      </c>
      <c r="K64" s="18">
        <v>0</v>
      </c>
      <c r="L64" s="18">
        <f t="shared" si="27"/>
        <v>0</v>
      </c>
      <c r="M64" s="18">
        <v>0</v>
      </c>
      <c r="N64" s="18">
        <f t="shared" si="15"/>
        <v>0</v>
      </c>
      <c r="O64" s="18">
        <f t="shared" si="16"/>
        <v>107779510</v>
      </c>
      <c r="P64" s="18">
        <f t="shared" si="7"/>
        <v>8280245</v>
      </c>
      <c r="Q64" s="18">
        <f t="shared" si="8"/>
        <v>8540515</v>
      </c>
      <c r="R64" s="235">
        <f t="shared" si="9"/>
        <v>124600270</v>
      </c>
      <c r="S64" s="18">
        <v>0</v>
      </c>
      <c r="T64" s="18">
        <v>583782</v>
      </c>
      <c r="U64" s="18">
        <v>14824699</v>
      </c>
      <c r="V64" s="18">
        <f t="shared" si="10"/>
        <v>15408481</v>
      </c>
      <c r="W64" s="18">
        <v>0</v>
      </c>
      <c r="X64" s="18">
        <v>0</v>
      </c>
      <c r="Y64" s="18">
        <v>8280245</v>
      </c>
      <c r="Z64" s="18">
        <f t="shared" si="11"/>
        <v>8280245</v>
      </c>
      <c r="AA64" s="18">
        <v>0</v>
      </c>
      <c r="AB64" s="18">
        <v>0</v>
      </c>
      <c r="AC64" s="18">
        <v>0</v>
      </c>
      <c r="AD64" s="18">
        <f t="shared" si="12"/>
        <v>0</v>
      </c>
      <c r="AE64" s="18">
        <v>0</v>
      </c>
      <c r="AF64" s="18">
        <v>0</v>
      </c>
      <c r="AG64" s="236">
        <f t="shared" si="13"/>
        <v>0</v>
      </c>
      <c r="AH64" s="18">
        <f t="shared" si="33"/>
        <v>211086333</v>
      </c>
      <c r="AI64" s="18">
        <f t="shared" si="33"/>
        <v>0</v>
      </c>
      <c r="AJ64" s="18">
        <f t="shared" si="33"/>
        <v>22192051</v>
      </c>
      <c r="AK64" s="18">
        <f t="shared" si="33"/>
        <v>233278384</v>
      </c>
      <c r="AL64" s="18">
        <f t="shared" si="33"/>
        <v>45837493</v>
      </c>
      <c r="AM64" s="18">
        <f t="shared" si="33"/>
        <v>26439497</v>
      </c>
      <c r="AN64" s="18">
        <f t="shared" si="33"/>
        <v>0</v>
      </c>
      <c r="AO64" s="18">
        <f t="shared" si="33"/>
        <v>72276990</v>
      </c>
      <c r="AP64" s="18">
        <f t="shared" si="33"/>
        <v>0</v>
      </c>
      <c r="AQ64" s="18">
        <f t="shared" si="33"/>
        <v>0</v>
      </c>
      <c r="AR64" s="18">
        <f t="shared" si="33"/>
        <v>0</v>
      </c>
      <c r="AS64" s="18">
        <f t="shared" si="33"/>
        <v>0</v>
      </c>
      <c r="AT64" s="18">
        <f t="shared" si="33"/>
        <v>0</v>
      </c>
      <c r="AU64" s="18">
        <f t="shared" si="33"/>
        <v>256923826</v>
      </c>
      <c r="AV64" s="18">
        <f t="shared" si="33"/>
        <v>26439497</v>
      </c>
      <c r="AW64" s="18">
        <f t="shared" si="33"/>
        <v>22192051</v>
      </c>
      <c r="AX64" s="18">
        <f t="shared" si="33"/>
        <v>305555374</v>
      </c>
      <c r="AY64" s="14"/>
    </row>
    <row r="65" spans="1:51" ht="13.5">
      <c r="A65" s="138">
        <v>42095</v>
      </c>
      <c r="B65" s="139">
        <v>106492710</v>
      </c>
      <c r="C65" s="18">
        <v>0</v>
      </c>
      <c r="D65" s="18">
        <v>12071285</v>
      </c>
      <c r="E65" s="18">
        <f t="shared" si="25"/>
        <v>118563995</v>
      </c>
      <c r="F65" s="18">
        <f t="shared" si="1"/>
        <v>15174584</v>
      </c>
      <c r="G65" s="18">
        <f t="shared" si="2"/>
        <v>10763699</v>
      </c>
      <c r="H65" s="18">
        <f t="shared" si="3"/>
        <v>0</v>
      </c>
      <c r="I65" s="18">
        <f t="shared" si="26"/>
        <v>25938283</v>
      </c>
      <c r="J65" s="18">
        <f t="shared" si="5"/>
        <v>0</v>
      </c>
      <c r="K65" s="18">
        <v>0</v>
      </c>
      <c r="L65" s="18">
        <f t="shared" si="27"/>
        <v>0</v>
      </c>
      <c r="M65" s="18">
        <v>0</v>
      </c>
      <c r="N65" s="18">
        <f t="shared" si="15"/>
        <v>0</v>
      </c>
      <c r="O65" s="18">
        <f t="shared" si="16"/>
        <v>121667294</v>
      </c>
      <c r="P65" s="18">
        <f t="shared" si="7"/>
        <v>10763699</v>
      </c>
      <c r="Q65" s="18">
        <f t="shared" si="8"/>
        <v>12071285</v>
      </c>
      <c r="R65" s="235">
        <f t="shared" si="9"/>
        <v>144502278</v>
      </c>
      <c r="S65" s="18">
        <v>0</v>
      </c>
      <c r="T65" s="18">
        <v>621806</v>
      </c>
      <c r="U65" s="18">
        <v>14552778</v>
      </c>
      <c r="V65" s="18">
        <f t="shared" si="10"/>
        <v>15174584</v>
      </c>
      <c r="W65" s="18">
        <v>0</v>
      </c>
      <c r="X65" s="18">
        <v>0</v>
      </c>
      <c r="Y65" s="18">
        <v>10763699</v>
      </c>
      <c r="Z65" s="18">
        <f t="shared" si="11"/>
        <v>10763699</v>
      </c>
      <c r="AA65" s="18">
        <v>0</v>
      </c>
      <c r="AB65" s="18">
        <v>0</v>
      </c>
      <c r="AC65" s="18">
        <v>0</v>
      </c>
      <c r="AD65" s="18">
        <f t="shared" si="12"/>
        <v>0</v>
      </c>
      <c r="AE65" s="18">
        <v>0</v>
      </c>
      <c r="AF65" s="18">
        <v>0</v>
      </c>
      <c r="AG65" s="236">
        <f t="shared" si="13"/>
        <v>0</v>
      </c>
      <c r="AH65" s="18">
        <f t="shared" si="33"/>
        <v>317579043</v>
      </c>
      <c r="AI65" s="18">
        <f t="shared" si="33"/>
        <v>0</v>
      </c>
      <c r="AJ65" s="18">
        <f t="shared" si="33"/>
        <v>34263336</v>
      </c>
      <c r="AK65" s="18">
        <f t="shared" si="33"/>
        <v>351842379</v>
      </c>
      <c r="AL65" s="18">
        <f t="shared" si="33"/>
        <v>61012077</v>
      </c>
      <c r="AM65" s="18">
        <f t="shared" si="33"/>
        <v>37203196</v>
      </c>
      <c r="AN65" s="18">
        <f t="shared" si="33"/>
        <v>0</v>
      </c>
      <c r="AO65" s="18">
        <f t="shared" si="33"/>
        <v>98215273</v>
      </c>
      <c r="AP65" s="18">
        <f t="shared" si="33"/>
        <v>0</v>
      </c>
      <c r="AQ65" s="18">
        <f t="shared" si="33"/>
        <v>0</v>
      </c>
      <c r="AR65" s="18">
        <f t="shared" si="33"/>
        <v>0</v>
      </c>
      <c r="AS65" s="18">
        <f t="shared" si="33"/>
        <v>0</v>
      </c>
      <c r="AT65" s="18">
        <f t="shared" si="33"/>
        <v>0</v>
      </c>
      <c r="AU65" s="18">
        <f t="shared" si="33"/>
        <v>378591120</v>
      </c>
      <c r="AV65" s="18">
        <f t="shared" si="33"/>
        <v>37203196</v>
      </c>
      <c r="AW65" s="18">
        <f t="shared" si="33"/>
        <v>34263336</v>
      </c>
      <c r="AX65" s="18">
        <f t="shared" si="33"/>
        <v>450057652</v>
      </c>
      <c r="AY65" s="14"/>
    </row>
    <row r="66" spans="1:51" ht="13.5">
      <c r="A66" s="138">
        <v>42125</v>
      </c>
      <c r="B66" s="139">
        <v>121530326</v>
      </c>
      <c r="C66" s="18">
        <v>0</v>
      </c>
      <c r="D66" s="18">
        <v>14419954</v>
      </c>
      <c r="E66" s="18">
        <f t="shared" si="25"/>
        <v>135950280</v>
      </c>
      <c r="F66" s="18">
        <f t="shared" ref="F66:F129" si="34">V66</f>
        <v>15400093</v>
      </c>
      <c r="G66" s="18">
        <f t="shared" ref="G66:G129" si="35">Z66</f>
        <v>18662279</v>
      </c>
      <c r="H66" s="18">
        <f t="shared" ref="H66:H129" si="36">AD66</f>
        <v>0</v>
      </c>
      <c r="I66" s="18">
        <f t="shared" si="26"/>
        <v>34062372</v>
      </c>
      <c r="J66" s="18">
        <f t="shared" ref="J66:J129" si="37">AG66</f>
        <v>0</v>
      </c>
      <c r="K66" s="18">
        <v>0</v>
      </c>
      <c r="L66" s="18">
        <f t="shared" si="27"/>
        <v>0</v>
      </c>
      <c r="M66" s="18">
        <v>0</v>
      </c>
      <c r="N66" s="18">
        <f t="shared" si="15"/>
        <v>0</v>
      </c>
      <c r="O66" s="18">
        <f t="shared" si="16"/>
        <v>136930419</v>
      </c>
      <c r="P66" s="18">
        <f t="shared" ref="P66:P129" si="38">C66+G66</f>
        <v>18662279</v>
      </c>
      <c r="Q66" s="18">
        <f t="shared" ref="Q66:Q129" si="39">D66+H66+K66</f>
        <v>14419954</v>
      </c>
      <c r="R66" s="235">
        <f t="shared" ref="R66:R129" si="40">SUM(O66:Q66)</f>
        <v>170012652</v>
      </c>
      <c r="S66" s="18">
        <v>0</v>
      </c>
      <c r="T66" s="18">
        <v>577621</v>
      </c>
      <c r="U66" s="18">
        <v>14822472</v>
      </c>
      <c r="V66" s="18">
        <f t="shared" ref="V66:V114" si="41">SUM(S66:U66)</f>
        <v>15400093</v>
      </c>
      <c r="W66" s="18">
        <v>0</v>
      </c>
      <c r="X66" s="18">
        <v>0</v>
      </c>
      <c r="Y66" s="18">
        <v>18662279</v>
      </c>
      <c r="Z66" s="18">
        <f t="shared" ref="Z66:Z114" si="42">SUM(W66:Y66)</f>
        <v>18662279</v>
      </c>
      <c r="AA66" s="18">
        <v>0</v>
      </c>
      <c r="AB66" s="18">
        <v>0</v>
      </c>
      <c r="AC66" s="18">
        <v>0</v>
      </c>
      <c r="AD66" s="18">
        <f t="shared" ref="AD66:AD113" si="43">SUM(AA66:AC66)</f>
        <v>0</v>
      </c>
      <c r="AE66" s="18">
        <v>0</v>
      </c>
      <c r="AF66" s="18">
        <v>0</v>
      </c>
      <c r="AG66" s="236">
        <f t="shared" ref="AG66:AG129" si="44">AF66+AE66</f>
        <v>0</v>
      </c>
      <c r="AH66" s="18">
        <f t="shared" si="33"/>
        <v>439109369</v>
      </c>
      <c r="AI66" s="18">
        <f t="shared" si="33"/>
        <v>0</v>
      </c>
      <c r="AJ66" s="18">
        <f t="shared" si="33"/>
        <v>48683290</v>
      </c>
      <c r="AK66" s="18">
        <f t="shared" si="33"/>
        <v>487792659</v>
      </c>
      <c r="AL66" s="18">
        <f t="shared" si="33"/>
        <v>76412170</v>
      </c>
      <c r="AM66" s="18">
        <f t="shared" si="33"/>
        <v>55865475</v>
      </c>
      <c r="AN66" s="18">
        <f t="shared" si="33"/>
        <v>0</v>
      </c>
      <c r="AO66" s="18">
        <f t="shared" si="33"/>
        <v>132277645</v>
      </c>
      <c r="AP66" s="18">
        <f t="shared" si="33"/>
        <v>0</v>
      </c>
      <c r="AQ66" s="18">
        <f t="shared" si="33"/>
        <v>0</v>
      </c>
      <c r="AR66" s="18">
        <f t="shared" si="33"/>
        <v>0</v>
      </c>
      <c r="AS66" s="18">
        <f t="shared" si="33"/>
        <v>0</v>
      </c>
      <c r="AT66" s="18">
        <f t="shared" si="33"/>
        <v>0</v>
      </c>
      <c r="AU66" s="18">
        <f t="shared" si="33"/>
        <v>515521539</v>
      </c>
      <c r="AV66" s="18">
        <f t="shared" si="33"/>
        <v>55865475</v>
      </c>
      <c r="AW66" s="18">
        <f t="shared" si="33"/>
        <v>48683290</v>
      </c>
      <c r="AX66" s="18">
        <f t="shared" si="33"/>
        <v>620070304</v>
      </c>
      <c r="AY66" s="14"/>
    </row>
    <row r="67" spans="1:51" ht="13.5">
      <c r="A67" s="138">
        <v>42156</v>
      </c>
      <c r="B67" s="139">
        <v>130919551</v>
      </c>
      <c r="C67" s="18">
        <v>0</v>
      </c>
      <c r="D67" s="18">
        <v>16633771</v>
      </c>
      <c r="E67" s="18">
        <f t="shared" si="25"/>
        <v>147553322</v>
      </c>
      <c r="F67" s="18">
        <f t="shared" si="34"/>
        <v>13875936</v>
      </c>
      <c r="G67" s="18">
        <f t="shared" si="35"/>
        <v>15264048</v>
      </c>
      <c r="H67" s="18">
        <f t="shared" si="36"/>
        <v>0</v>
      </c>
      <c r="I67" s="18">
        <f t="shared" si="26"/>
        <v>29139984</v>
      </c>
      <c r="J67" s="18">
        <f t="shared" si="37"/>
        <v>0</v>
      </c>
      <c r="K67" s="18">
        <v>0</v>
      </c>
      <c r="L67" s="18">
        <f t="shared" si="27"/>
        <v>0</v>
      </c>
      <c r="M67" s="18">
        <v>0</v>
      </c>
      <c r="N67" s="18">
        <f t="shared" ref="N67:N130" si="45">M67</f>
        <v>0</v>
      </c>
      <c r="O67" s="18">
        <f t="shared" ref="O67:O130" si="46">B67+F67+J67+N67</f>
        <v>144795487</v>
      </c>
      <c r="P67" s="18">
        <f t="shared" si="38"/>
        <v>15264048</v>
      </c>
      <c r="Q67" s="18">
        <f t="shared" si="39"/>
        <v>16633771</v>
      </c>
      <c r="R67" s="235">
        <f t="shared" si="40"/>
        <v>176693306</v>
      </c>
      <c r="S67" s="18">
        <v>0</v>
      </c>
      <c r="T67" s="18">
        <v>500170</v>
      </c>
      <c r="U67" s="18">
        <v>13375766</v>
      </c>
      <c r="V67" s="18">
        <f t="shared" si="41"/>
        <v>13875936</v>
      </c>
      <c r="W67" s="18">
        <v>0</v>
      </c>
      <c r="X67" s="18">
        <v>0</v>
      </c>
      <c r="Y67" s="18">
        <v>15264048</v>
      </c>
      <c r="Z67" s="18">
        <f t="shared" si="42"/>
        <v>15264048</v>
      </c>
      <c r="AA67" s="18">
        <v>0</v>
      </c>
      <c r="AB67" s="18">
        <v>0</v>
      </c>
      <c r="AC67" s="18">
        <v>0</v>
      </c>
      <c r="AD67" s="18">
        <f t="shared" si="43"/>
        <v>0</v>
      </c>
      <c r="AE67" s="18">
        <v>0</v>
      </c>
      <c r="AF67" s="18">
        <v>0</v>
      </c>
      <c r="AG67" s="236">
        <f t="shared" si="44"/>
        <v>0</v>
      </c>
      <c r="AH67" s="18">
        <f t="shared" si="33"/>
        <v>570028920</v>
      </c>
      <c r="AI67" s="18">
        <f t="shared" si="33"/>
        <v>0</v>
      </c>
      <c r="AJ67" s="18">
        <f t="shared" si="33"/>
        <v>65317061</v>
      </c>
      <c r="AK67" s="18">
        <f t="shared" si="33"/>
        <v>635345981</v>
      </c>
      <c r="AL67" s="18">
        <f t="shared" si="33"/>
        <v>90288106</v>
      </c>
      <c r="AM67" s="18">
        <f t="shared" si="33"/>
        <v>71129523</v>
      </c>
      <c r="AN67" s="18">
        <f t="shared" si="33"/>
        <v>0</v>
      </c>
      <c r="AO67" s="18">
        <f t="shared" si="33"/>
        <v>161417629</v>
      </c>
      <c r="AP67" s="18">
        <f t="shared" si="33"/>
        <v>0</v>
      </c>
      <c r="AQ67" s="18">
        <f t="shared" si="33"/>
        <v>0</v>
      </c>
      <c r="AR67" s="18">
        <f t="shared" si="33"/>
        <v>0</v>
      </c>
      <c r="AS67" s="18">
        <f t="shared" si="33"/>
        <v>0</v>
      </c>
      <c r="AT67" s="18">
        <f t="shared" si="33"/>
        <v>0</v>
      </c>
      <c r="AU67" s="18">
        <f t="shared" si="33"/>
        <v>660317026</v>
      </c>
      <c r="AV67" s="18">
        <f t="shared" si="33"/>
        <v>71129523</v>
      </c>
      <c r="AW67" s="18">
        <f t="shared" si="33"/>
        <v>65317061</v>
      </c>
      <c r="AX67" s="18">
        <f t="shared" si="33"/>
        <v>796763610</v>
      </c>
      <c r="AY67" s="14"/>
    </row>
    <row r="68" spans="1:51" ht="13.5">
      <c r="A68" s="138">
        <v>42186</v>
      </c>
      <c r="B68" s="139">
        <v>129173039</v>
      </c>
      <c r="C68" s="18">
        <v>0</v>
      </c>
      <c r="D68" s="18">
        <v>37059083</v>
      </c>
      <c r="E68" s="18">
        <f t="shared" si="25"/>
        <v>166232122</v>
      </c>
      <c r="F68" s="18">
        <f t="shared" si="34"/>
        <v>15045067</v>
      </c>
      <c r="G68" s="18">
        <f t="shared" si="35"/>
        <v>11498106</v>
      </c>
      <c r="H68" s="18">
        <f t="shared" si="36"/>
        <v>0</v>
      </c>
      <c r="I68" s="18">
        <f t="shared" si="26"/>
        <v>26543173</v>
      </c>
      <c r="J68" s="18">
        <f t="shared" si="37"/>
        <v>0</v>
      </c>
      <c r="K68" s="18">
        <v>0</v>
      </c>
      <c r="L68" s="18">
        <f t="shared" si="27"/>
        <v>0</v>
      </c>
      <c r="M68" s="18">
        <v>0</v>
      </c>
      <c r="N68" s="18">
        <f t="shared" si="45"/>
        <v>0</v>
      </c>
      <c r="O68" s="18">
        <f t="shared" si="46"/>
        <v>144218106</v>
      </c>
      <c r="P68" s="18">
        <f t="shared" si="38"/>
        <v>11498106</v>
      </c>
      <c r="Q68" s="18">
        <f t="shared" si="39"/>
        <v>37059083</v>
      </c>
      <c r="R68" s="235">
        <f t="shared" si="40"/>
        <v>192775295</v>
      </c>
      <c r="S68" s="18">
        <v>0</v>
      </c>
      <c r="T68" s="18">
        <v>474873</v>
      </c>
      <c r="U68" s="18">
        <v>14570194</v>
      </c>
      <c r="V68" s="18">
        <f t="shared" si="41"/>
        <v>15045067</v>
      </c>
      <c r="W68" s="18">
        <v>0</v>
      </c>
      <c r="X68" s="18">
        <v>0</v>
      </c>
      <c r="Y68" s="18">
        <v>11498106</v>
      </c>
      <c r="Z68" s="18">
        <f t="shared" si="42"/>
        <v>11498106</v>
      </c>
      <c r="AA68" s="18">
        <v>0</v>
      </c>
      <c r="AB68" s="18">
        <v>0</v>
      </c>
      <c r="AC68" s="18">
        <v>0</v>
      </c>
      <c r="AD68" s="18">
        <f t="shared" si="43"/>
        <v>0</v>
      </c>
      <c r="AE68" s="18">
        <v>0</v>
      </c>
      <c r="AF68" s="18">
        <v>0</v>
      </c>
      <c r="AG68" s="236">
        <f t="shared" si="44"/>
        <v>0</v>
      </c>
      <c r="AH68" s="18">
        <f t="shared" si="33"/>
        <v>699201959</v>
      </c>
      <c r="AI68" s="18">
        <f t="shared" si="33"/>
        <v>0</v>
      </c>
      <c r="AJ68" s="18">
        <f t="shared" si="33"/>
        <v>102376144</v>
      </c>
      <c r="AK68" s="18">
        <f t="shared" si="33"/>
        <v>801578103</v>
      </c>
      <c r="AL68" s="18">
        <f t="shared" si="33"/>
        <v>105333173</v>
      </c>
      <c r="AM68" s="18">
        <f t="shared" si="33"/>
        <v>82627629</v>
      </c>
      <c r="AN68" s="18">
        <f t="shared" si="33"/>
        <v>0</v>
      </c>
      <c r="AO68" s="18">
        <f t="shared" si="33"/>
        <v>187960802</v>
      </c>
      <c r="AP68" s="18">
        <f t="shared" si="33"/>
        <v>0</v>
      </c>
      <c r="AQ68" s="18">
        <f t="shared" si="33"/>
        <v>0</v>
      </c>
      <c r="AR68" s="18">
        <f t="shared" si="33"/>
        <v>0</v>
      </c>
      <c r="AS68" s="18">
        <f t="shared" si="33"/>
        <v>0</v>
      </c>
      <c r="AT68" s="18">
        <f t="shared" si="33"/>
        <v>0</v>
      </c>
      <c r="AU68" s="18">
        <f t="shared" si="33"/>
        <v>804535132</v>
      </c>
      <c r="AV68" s="18">
        <f t="shared" si="33"/>
        <v>82627629</v>
      </c>
      <c r="AW68" s="18">
        <f t="shared" si="33"/>
        <v>102376144</v>
      </c>
      <c r="AX68" s="18">
        <f t="shared" si="33"/>
        <v>989538905</v>
      </c>
      <c r="AY68" s="14"/>
    </row>
    <row r="69" spans="1:51" ht="13.5">
      <c r="A69" s="138">
        <v>42217</v>
      </c>
      <c r="B69" s="139">
        <v>125600893</v>
      </c>
      <c r="C69" s="18">
        <v>0</v>
      </c>
      <c r="D69" s="18">
        <v>30674729</v>
      </c>
      <c r="E69" s="18">
        <f t="shared" si="25"/>
        <v>156275622</v>
      </c>
      <c r="F69" s="18">
        <f t="shared" si="34"/>
        <v>14655372</v>
      </c>
      <c r="G69" s="18">
        <f t="shared" si="35"/>
        <v>14788260</v>
      </c>
      <c r="H69" s="18">
        <f t="shared" si="36"/>
        <v>0</v>
      </c>
      <c r="I69" s="18">
        <f t="shared" si="26"/>
        <v>29443632</v>
      </c>
      <c r="J69" s="18">
        <f t="shared" si="37"/>
        <v>0</v>
      </c>
      <c r="K69" s="18">
        <v>0</v>
      </c>
      <c r="L69" s="18">
        <f t="shared" si="27"/>
        <v>0</v>
      </c>
      <c r="M69" s="18">
        <v>0</v>
      </c>
      <c r="N69" s="18">
        <f t="shared" si="45"/>
        <v>0</v>
      </c>
      <c r="O69" s="18">
        <f t="shared" si="46"/>
        <v>140256265</v>
      </c>
      <c r="P69" s="18">
        <f t="shared" si="38"/>
        <v>14788260</v>
      </c>
      <c r="Q69" s="18">
        <f t="shared" si="39"/>
        <v>30674729</v>
      </c>
      <c r="R69" s="235">
        <f t="shared" si="40"/>
        <v>185719254</v>
      </c>
      <c r="S69" s="18">
        <v>0</v>
      </c>
      <c r="T69" s="18">
        <v>333225</v>
      </c>
      <c r="U69" s="18">
        <v>14322147</v>
      </c>
      <c r="V69" s="18">
        <f t="shared" si="41"/>
        <v>14655372</v>
      </c>
      <c r="W69" s="18">
        <v>0</v>
      </c>
      <c r="X69" s="18">
        <v>0</v>
      </c>
      <c r="Y69" s="18">
        <v>14788260</v>
      </c>
      <c r="Z69" s="18">
        <f t="shared" si="42"/>
        <v>14788260</v>
      </c>
      <c r="AA69" s="18">
        <v>0</v>
      </c>
      <c r="AB69" s="18">
        <v>0</v>
      </c>
      <c r="AC69" s="18">
        <v>0</v>
      </c>
      <c r="AD69" s="18">
        <f t="shared" si="43"/>
        <v>0</v>
      </c>
      <c r="AE69" s="18">
        <v>0</v>
      </c>
      <c r="AF69" s="18">
        <v>0</v>
      </c>
      <c r="AG69" s="236">
        <f t="shared" si="44"/>
        <v>0</v>
      </c>
      <c r="AH69" s="18">
        <f t="shared" si="33"/>
        <v>824802852</v>
      </c>
      <c r="AI69" s="18">
        <f t="shared" si="33"/>
        <v>0</v>
      </c>
      <c r="AJ69" s="18">
        <f t="shared" si="33"/>
        <v>133050873</v>
      </c>
      <c r="AK69" s="18">
        <f t="shared" si="33"/>
        <v>957853725</v>
      </c>
      <c r="AL69" s="18">
        <f t="shared" si="33"/>
        <v>119988545</v>
      </c>
      <c r="AM69" s="18">
        <f t="shared" si="33"/>
        <v>97415889</v>
      </c>
      <c r="AN69" s="18">
        <f t="shared" si="33"/>
        <v>0</v>
      </c>
      <c r="AO69" s="18">
        <f t="shared" si="33"/>
        <v>217404434</v>
      </c>
      <c r="AP69" s="18">
        <f t="shared" si="33"/>
        <v>0</v>
      </c>
      <c r="AQ69" s="18">
        <f t="shared" si="33"/>
        <v>0</v>
      </c>
      <c r="AR69" s="18">
        <f t="shared" si="33"/>
        <v>0</v>
      </c>
      <c r="AS69" s="18">
        <f t="shared" si="33"/>
        <v>0</v>
      </c>
      <c r="AT69" s="18">
        <f t="shared" si="33"/>
        <v>0</v>
      </c>
      <c r="AU69" s="18">
        <f t="shared" si="33"/>
        <v>944791397</v>
      </c>
      <c r="AV69" s="18">
        <f t="shared" si="33"/>
        <v>97415889</v>
      </c>
      <c r="AW69" s="18">
        <f t="shared" si="33"/>
        <v>133050873</v>
      </c>
      <c r="AX69" s="18">
        <f t="shared" si="33"/>
        <v>1175258159</v>
      </c>
      <c r="AY69" s="14"/>
    </row>
    <row r="70" spans="1:51" ht="13.5">
      <c r="A70" s="138">
        <v>42248</v>
      </c>
      <c r="B70" s="139">
        <v>117829158</v>
      </c>
      <c r="C70" s="18">
        <v>0</v>
      </c>
      <c r="D70" s="18">
        <v>21838343</v>
      </c>
      <c r="E70" s="18">
        <f t="shared" si="25"/>
        <v>139667501</v>
      </c>
      <c r="F70" s="18">
        <f t="shared" si="34"/>
        <v>13475904</v>
      </c>
      <c r="G70" s="18">
        <f t="shared" si="35"/>
        <v>8527417</v>
      </c>
      <c r="H70" s="18">
        <f t="shared" si="36"/>
        <v>0</v>
      </c>
      <c r="I70" s="18">
        <f t="shared" si="26"/>
        <v>22003321</v>
      </c>
      <c r="J70" s="18">
        <f t="shared" si="37"/>
        <v>0</v>
      </c>
      <c r="K70" s="18">
        <v>0</v>
      </c>
      <c r="L70" s="18">
        <f t="shared" si="27"/>
        <v>0</v>
      </c>
      <c r="M70" s="18">
        <v>0</v>
      </c>
      <c r="N70" s="18">
        <f t="shared" si="45"/>
        <v>0</v>
      </c>
      <c r="O70" s="18">
        <f t="shared" si="46"/>
        <v>131305062</v>
      </c>
      <c r="P70" s="18">
        <f t="shared" si="38"/>
        <v>8527417</v>
      </c>
      <c r="Q70" s="18">
        <f t="shared" si="39"/>
        <v>21838343</v>
      </c>
      <c r="R70" s="235">
        <f t="shared" si="40"/>
        <v>161670822</v>
      </c>
      <c r="S70" s="18">
        <v>0</v>
      </c>
      <c r="T70" s="18">
        <v>336516</v>
      </c>
      <c r="U70" s="18">
        <v>13139388</v>
      </c>
      <c r="V70" s="18">
        <f t="shared" si="41"/>
        <v>13475904</v>
      </c>
      <c r="W70" s="18">
        <v>0</v>
      </c>
      <c r="X70" s="18">
        <v>0</v>
      </c>
      <c r="Y70" s="18">
        <v>8527417</v>
      </c>
      <c r="Z70" s="18">
        <f t="shared" si="42"/>
        <v>8527417</v>
      </c>
      <c r="AA70" s="18">
        <v>0</v>
      </c>
      <c r="AB70" s="18">
        <v>0</v>
      </c>
      <c r="AC70" s="18">
        <v>0</v>
      </c>
      <c r="AD70" s="18">
        <f t="shared" si="43"/>
        <v>0</v>
      </c>
      <c r="AE70" s="18">
        <v>0</v>
      </c>
      <c r="AF70" s="18">
        <v>0</v>
      </c>
      <c r="AG70" s="236">
        <f t="shared" si="44"/>
        <v>0</v>
      </c>
      <c r="AH70" s="18">
        <f t="shared" si="33"/>
        <v>942632010</v>
      </c>
      <c r="AI70" s="18">
        <f t="shared" si="33"/>
        <v>0</v>
      </c>
      <c r="AJ70" s="18">
        <f t="shared" si="33"/>
        <v>154889216</v>
      </c>
      <c r="AK70" s="18">
        <f t="shared" si="33"/>
        <v>1097521226</v>
      </c>
      <c r="AL70" s="18">
        <f t="shared" si="33"/>
        <v>133464449</v>
      </c>
      <c r="AM70" s="18">
        <f t="shared" si="33"/>
        <v>105943306</v>
      </c>
      <c r="AN70" s="18">
        <f t="shared" si="33"/>
        <v>0</v>
      </c>
      <c r="AO70" s="18">
        <f t="shared" si="33"/>
        <v>239407755</v>
      </c>
      <c r="AP70" s="18">
        <f t="shared" si="33"/>
        <v>0</v>
      </c>
      <c r="AQ70" s="18">
        <f t="shared" si="33"/>
        <v>0</v>
      </c>
      <c r="AR70" s="18">
        <f t="shared" si="33"/>
        <v>0</v>
      </c>
      <c r="AS70" s="18">
        <f t="shared" si="33"/>
        <v>0</v>
      </c>
      <c r="AT70" s="18">
        <f t="shared" si="33"/>
        <v>0</v>
      </c>
      <c r="AU70" s="18">
        <f t="shared" si="33"/>
        <v>1076096459</v>
      </c>
      <c r="AV70" s="18">
        <f t="shared" si="33"/>
        <v>105943306</v>
      </c>
      <c r="AW70" s="18">
        <f t="shared" si="33"/>
        <v>154889216</v>
      </c>
      <c r="AX70" s="18">
        <f t="shared" si="33"/>
        <v>1336928981</v>
      </c>
      <c r="AY70" s="14"/>
    </row>
    <row r="71" spans="1:51" ht="13.5">
      <c r="A71" s="138">
        <v>42278</v>
      </c>
      <c r="B71" s="139">
        <v>105019500</v>
      </c>
      <c r="C71" s="18">
        <v>0</v>
      </c>
      <c r="D71" s="18">
        <v>41794902</v>
      </c>
      <c r="E71" s="18">
        <f t="shared" si="25"/>
        <v>146814402</v>
      </c>
      <c r="F71" s="18">
        <f t="shared" si="34"/>
        <v>13037453</v>
      </c>
      <c r="G71" s="18">
        <f t="shared" si="35"/>
        <v>8855912</v>
      </c>
      <c r="H71" s="18">
        <f t="shared" si="36"/>
        <v>0</v>
      </c>
      <c r="I71" s="18">
        <f t="shared" si="26"/>
        <v>21893365</v>
      </c>
      <c r="J71" s="18">
        <f t="shared" si="37"/>
        <v>0</v>
      </c>
      <c r="K71" s="18">
        <v>0</v>
      </c>
      <c r="L71" s="18">
        <f t="shared" si="27"/>
        <v>0</v>
      </c>
      <c r="M71" s="18">
        <v>0</v>
      </c>
      <c r="N71" s="18">
        <f t="shared" si="45"/>
        <v>0</v>
      </c>
      <c r="O71" s="18">
        <f t="shared" si="46"/>
        <v>118056953</v>
      </c>
      <c r="P71" s="18">
        <f t="shared" si="38"/>
        <v>8855912</v>
      </c>
      <c r="Q71" s="18">
        <f t="shared" si="39"/>
        <v>41794902</v>
      </c>
      <c r="R71" s="235">
        <f t="shared" si="40"/>
        <v>168707767</v>
      </c>
      <c r="S71" s="18">
        <v>0</v>
      </c>
      <c r="T71" s="18">
        <v>47132</v>
      </c>
      <c r="U71" s="18">
        <v>12990321</v>
      </c>
      <c r="V71" s="18">
        <f t="shared" si="41"/>
        <v>13037453</v>
      </c>
      <c r="W71" s="18">
        <v>0</v>
      </c>
      <c r="X71" s="18">
        <v>0</v>
      </c>
      <c r="Y71" s="18">
        <v>8855912</v>
      </c>
      <c r="Z71" s="18">
        <f t="shared" si="42"/>
        <v>8855912</v>
      </c>
      <c r="AA71" s="18">
        <v>0</v>
      </c>
      <c r="AB71" s="18">
        <v>0</v>
      </c>
      <c r="AC71" s="18">
        <v>0</v>
      </c>
      <c r="AD71" s="18">
        <f t="shared" si="43"/>
        <v>0</v>
      </c>
      <c r="AE71" s="18">
        <v>0</v>
      </c>
      <c r="AF71" s="18">
        <v>0</v>
      </c>
      <c r="AG71" s="236">
        <f t="shared" si="44"/>
        <v>0</v>
      </c>
      <c r="AH71" s="18">
        <f t="shared" si="33"/>
        <v>1047651510</v>
      </c>
      <c r="AI71" s="18">
        <f t="shared" si="33"/>
        <v>0</v>
      </c>
      <c r="AJ71" s="18">
        <f t="shared" si="33"/>
        <v>196684118</v>
      </c>
      <c r="AK71" s="18">
        <f t="shared" si="33"/>
        <v>1244335628</v>
      </c>
      <c r="AL71" s="18">
        <f t="shared" si="33"/>
        <v>146501902</v>
      </c>
      <c r="AM71" s="18">
        <f t="shared" si="33"/>
        <v>114799218</v>
      </c>
      <c r="AN71" s="18">
        <f t="shared" si="33"/>
        <v>0</v>
      </c>
      <c r="AO71" s="18">
        <f t="shared" si="33"/>
        <v>261301120</v>
      </c>
      <c r="AP71" s="18">
        <f t="shared" si="33"/>
        <v>0</v>
      </c>
      <c r="AQ71" s="18">
        <f t="shared" si="33"/>
        <v>0</v>
      </c>
      <c r="AR71" s="18">
        <f t="shared" si="33"/>
        <v>0</v>
      </c>
      <c r="AS71" s="18">
        <f t="shared" si="33"/>
        <v>0</v>
      </c>
      <c r="AT71" s="18">
        <f t="shared" si="33"/>
        <v>0</v>
      </c>
      <c r="AU71" s="18">
        <f t="shared" si="33"/>
        <v>1194153412</v>
      </c>
      <c r="AV71" s="18">
        <f t="shared" si="33"/>
        <v>114799218</v>
      </c>
      <c r="AW71" s="18">
        <f t="shared" si="33"/>
        <v>196684118</v>
      </c>
      <c r="AX71" s="18">
        <f t="shared" si="33"/>
        <v>1505636748</v>
      </c>
      <c r="AY71" s="14"/>
    </row>
    <row r="72" spans="1:51" ht="13.5">
      <c r="A72" s="138">
        <v>42309</v>
      </c>
      <c r="B72" s="139">
        <v>96476718</v>
      </c>
      <c r="C72" s="18">
        <v>0</v>
      </c>
      <c r="D72" s="18">
        <v>26419166</v>
      </c>
      <c r="E72" s="18">
        <f t="shared" si="25"/>
        <v>122895884</v>
      </c>
      <c r="F72" s="18">
        <f t="shared" si="34"/>
        <v>12344252</v>
      </c>
      <c r="G72" s="18">
        <f t="shared" si="35"/>
        <v>12838777</v>
      </c>
      <c r="H72" s="18">
        <f t="shared" si="36"/>
        <v>0</v>
      </c>
      <c r="I72" s="18">
        <f t="shared" si="26"/>
        <v>25183029</v>
      </c>
      <c r="J72" s="18">
        <f t="shared" si="37"/>
        <v>0</v>
      </c>
      <c r="K72" s="18">
        <v>0</v>
      </c>
      <c r="L72" s="18">
        <f t="shared" si="27"/>
        <v>0</v>
      </c>
      <c r="M72" s="18">
        <v>0</v>
      </c>
      <c r="N72" s="18">
        <f t="shared" si="45"/>
        <v>0</v>
      </c>
      <c r="O72" s="18">
        <f t="shared" si="46"/>
        <v>108820970</v>
      </c>
      <c r="P72" s="18">
        <f t="shared" si="38"/>
        <v>12838777</v>
      </c>
      <c r="Q72" s="18">
        <f t="shared" si="39"/>
        <v>26419166</v>
      </c>
      <c r="R72" s="235">
        <f t="shared" si="40"/>
        <v>148078913</v>
      </c>
      <c r="S72" s="18">
        <v>0</v>
      </c>
      <c r="T72" s="18">
        <v>80928</v>
      </c>
      <c r="U72" s="18">
        <v>12263324</v>
      </c>
      <c r="V72" s="18">
        <f t="shared" si="41"/>
        <v>12344252</v>
      </c>
      <c r="W72" s="18">
        <v>0</v>
      </c>
      <c r="X72" s="18">
        <v>0</v>
      </c>
      <c r="Y72" s="18">
        <v>12838777</v>
      </c>
      <c r="Z72" s="18">
        <f t="shared" si="42"/>
        <v>12838777</v>
      </c>
      <c r="AA72" s="18">
        <v>0</v>
      </c>
      <c r="AB72" s="18">
        <v>0</v>
      </c>
      <c r="AC72" s="18">
        <v>0</v>
      </c>
      <c r="AD72" s="18">
        <f t="shared" si="43"/>
        <v>0</v>
      </c>
      <c r="AE72" s="18">
        <v>0</v>
      </c>
      <c r="AF72" s="18">
        <v>0</v>
      </c>
      <c r="AG72" s="236">
        <f t="shared" si="44"/>
        <v>0</v>
      </c>
      <c r="AH72" s="18">
        <f t="shared" si="33"/>
        <v>1144128228</v>
      </c>
      <c r="AI72" s="18">
        <f t="shared" si="33"/>
        <v>0</v>
      </c>
      <c r="AJ72" s="18">
        <f t="shared" si="33"/>
        <v>223103284</v>
      </c>
      <c r="AK72" s="18">
        <f t="shared" si="33"/>
        <v>1367231512</v>
      </c>
      <c r="AL72" s="18">
        <f t="shared" si="33"/>
        <v>158846154</v>
      </c>
      <c r="AM72" s="18">
        <f t="shared" si="33"/>
        <v>127637995</v>
      </c>
      <c r="AN72" s="18">
        <f t="shared" si="33"/>
        <v>0</v>
      </c>
      <c r="AO72" s="18">
        <f t="shared" si="33"/>
        <v>286484149</v>
      </c>
      <c r="AP72" s="18">
        <f t="shared" si="33"/>
        <v>0</v>
      </c>
      <c r="AQ72" s="18">
        <f t="shared" si="33"/>
        <v>0</v>
      </c>
      <c r="AR72" s="18">
        <f t="shared" si="33"/>
        <v>0</v>
      </c>
      <c r="AS72" s="18">
        <f t="shared" si="33"/>
        <v>0</v>
      </c>
      <c r="AT72" s="18">
        <f t="shared" si="33"/>
        <v>0</v>
      </c>
      <c r="AU72" s="18">
        <f t="shared" si="33"/>
        <v>1302974382</v>
      </c>
      <c r="AV72" s="18">
        <f t="shared" si="33"/>
        <v>127637995</v>
      </c>
      <c r="AW72" s="18">
        <f t="shared" si="33"/>
        <v>223103284</v>
      </c>
      <c r="AX72" s="18">
        <f t="shared" si="33"/>
        <v>1653715661</v>
      </c>
      <c r="AY72" s="14"/>
    </row>
    <row r="73" spans="1:51" ht="14.25" thickBot="1">
      <c r="A73" s="138">
        <v>42339</v>
      </c>
      <c r="B73" s="139">
        <v>110100066</v>
      </c>
      <c r="C73" s="18">
        <v>0</v>
      </c>
      <c r="D73" s="18">
        <v>38152911</v>
      </c>
      <c r="E73" s="18">
        <f t="shared" si="25"/>
        <v>148252977</v>
      </c>
      <c r="F73" s="18">
        <f t="shared" si="34"/>
        <v>13021687</v>
      </c>
      <c r="G73" s="18">
        <f t="shared" si="35"/>
        <v>8127548</v>
      </c>
      <c r="H73" s="18">
        <f t="shared" si="36"/>
        <v>0</v>
      </c>
      <c r="I73" s="18">
        <f t="shared" si="26"/>
        <v>21149235</v>
      </c>
      <c r="J73" s="18">
        <f t="shared" si="37"/>
        <v>0</v>
      </c>
      <c r="K73" s="18">
        <v>0</v>
      </c>
      <c r="L73" s="18">
        <f t="shared" si="27"/>
        <v>0</v>
      </c>
      <c r="M73" s="18">
        <v>0</v>
      </c>
      <c r="N73" s="18">
        <f t="shared" si="45"/>
        <v>0</v>
      </c>
      <c r="O73" s="18">
        <f t="shared" si="46"/>
        <v>123121753</v>
      </c>
      <c r="P73" s="18">
        <f t="shared" si="38"/>
        <v>8127548</v>
      </c>
      <c r="Q73" s="18">
        <f t="shared" si="39"/>
        <v>38152911</v>
      </c>
      <c r="R73" s="235">
        <f t="shared" si="40"/>
        <v>169402212</v>
      </c>
      <c r="S73" s="18">
        <v>0</v>
      </c>
      <c r="T73" s="18">
        <v>71180</v>
      </c>
      <c r="U73" s="18">
        <v>12950507</v>
      </c>
      <c r="V73" s="18">
        <f t="shared" si="41"/>
        <v>13021687</v>
      </c>
      <c r="W73" s="18">
        <v>0</v>
      </c>
      <c r="X73" s="18">
        <v>0</v>
      </c>
      <c r="Y73" s="18">
        <v>8127548</v>
      </c>
      <c r="Z73" s="18">
        <f t="shared" si="42"/>
        <v>8127548</v>
      </c>
      <c r="AA73" s="18">
        <v>0</v>
      </c>
      <c r="AB73" s="18">
        <v>0</v>
      </c>
      <c r="AC73" s="18">
        <v>0</v>
      </c>
      <c r="AD73" s="18">
        <f t="shared" si="43"/>
        <v>0</v>
      </c>
      <c r="AE73" s="18">
        <v>0</v>
      </c>
      <c r="AF73" s="18">
        <v>0</v>
      </c>
      <c r="AG73" s="236">
        <f t="shared" si="44"/>
        <v>0</v>
      </c>
      <c r="AH73" s="18">
        <f t="shared" si="33"/>
        <v>1254228294</v>
      </c>
      <c r="AI73" s="18">
        <f t="shared" si="33"/>
        <v>0</v>
      </c>
      <c r="AJ73" s="18">
        <f t="shared" si="33"/>
        <v>261256195</v>
      </c>
      <c r="AK73" s="18">
        <f t="shared" si="33"/>
        <v>1515484489</v>
      </c>
      <c r="AL73" s="18">
        <f t="shared" si="33"/>
        <v>171867841</v>
      </c>
      <c r="AM73" s="18">
        <f t="shared" si="33"/>
        <v>135765543</v>
      </c>
      <c r="AN73" s="18">
        <f t="shared" si="33"/>
        <v>0</v>
      </c>
      <c r="AO73" s="18">
        <f t="shared" si="33"/>
        <v>307633384</v>
      </c>
      <c r="AP73" s="18">
        <f t="shared" si="33"/>
        <v>0</v>
      </c>
      <c r="AQ73" s="18">
        <f t="shared" si="33"/>
        <v>0</v>
      </c>
      <c r="AR73" s="18">
        <f t="shared" si="33"/>
        <v>0</v>
      </c>
      <c r="AS73" s="18">
        <f t="shared" si="33"/>
        <v>0</v>
      </c>
      <c r="AT73" s="18">
        <f t="shared" si="33"/>
        <v>0</v>
      </c>
      <c r="AU73" s="18">
        <f t="shared" si="33"/>
        <v>1426096135</v>
      </c>
      <c r="AV73" s="18">
        <f t="shared" si="33"/>
        <v>135765543</v>
      </c>
      <c r="AW73" s="18">
        <f t="shared" si="33"/>
        <v>261256195</v>
      </c>
      <c r="AX73" s="18">
        <f t="shared" si="33"/>
        <v>1823117873</v>
      </c>
      <c r="AY73" s="14"/>
    </row>
    <row r="74" spans="1:51" ht="13.5">
      <c r="A74" s="141">
        <v>42370</v>
      </c>
      <c r="B74" s="142">
        <v>85560071</v>
      </c>
      <c r="C74" s="143">
        <v>0</v>
      </c>
      <c r="D74" s="143">
        <v>20718362</v>
      </c>
      <c r="E74" s="143">
        <f t="shared" si="25"/>
        <v>106278433</v>
      </c>
      <c r="F74" s="143">
        <f t="shared" si="34"/>
        <v>11522833</v>
      </c>
      <c r="G74" s="143">
        <f t="shared" si="35"/>
        <v>8004157</v>
      </c>
      <c r="H74" s="143">
        <f t="shared" si="36"/>
        <v>0</v>
      </c>
      <c r="I74" s="143">
        <f t="shared" si="26"/>
        <v>19526990</v>
      </c>
      <c r="J74" s="143">
        <f t="shared" si="37"/>
        <v>0</v>
      </c>
      <c r="K74" s="143">
        <v>0</v>
      </c>
      <c r="L74" s="143">
        <f t="shared" si="27"/>
        <v>0</v>
      </c>
      <c r="M74" s="143">
        <v>0</v>
      </c>
      <c r="N74" s="143">
        <f t="shared" si="45"/>
        <v>0</v>
      </c>
      <c r="O74" s="143">
        <f t="shared" si="46"/>
        <v>97082904</v>
      </c>
      <c r="P74" s="143">
        <f t="shared" si="38"/>
        <v>8004157</v>
      </c>
      <c r="Q74" s="143">
        <f t="shared" si="39"/>
        <v>20718362</v>
      </c>
      <c r="R74" s="237">
        <f t="shared" si="40"/>
        <v>125805423</v>
      </c>
      <c r="S74" s="143">
        <v>0</v>
      </c>
      <c r="T74" s="143">
        <v>0</v>
      </c>
      <c r="U74" s="143">
        <v>11522833</v>
      </c>
      <c r="V74" s="143">
        <f t="shared" si="41"/>
        <v>11522833</v>
      </c>
      <c r="W74" s="143">
        <v>0</v>
      </c>
      <c r="X74" s="143">
        <v>0</v>
      </c>
      <c r="Y74" s="143">
        <v>8004157</v>
      </c>
      <c r="Z74" s="143">
        <f t="shared" si="42"/>
        <v>8004157</v>
      </c>
      <c r="AA74" s="143">
        <v>0</v>
      </c>
      <c r="AB74" s="143">
        <v>0</v>
      </c>
      <c r="AC74" s="143">
        <v>0</v>
      </c>
      <c r="AD74" s="143">
        <f t="shared" si="43"/>
        <v>0</v>
      </c>
      <c r="AE74" s="143">
        <v>0</v>
      </c>
      <c r="AF74" s="143">
        <v>0</v>
      </c>
      <c r="AG74" s="238">
        <f t="shared" si="44"/>
        <v>0</v>
      </c>
      <c r="AH74" s="143">
        <f t="shared" ref="AH74:AX74" si="47">B74</f>
        <v>85560071</v>
      </c>
      <c r="AI74" s="143">
        <f t="shared" si="47"/>
        <v>0</v>
      </c>
      <c r="AJ74" s="143">
        <f t="shared" si="47"/>
        <v>20718362</v>
      </c>
      <c r="AK74" s="143">
        <f t="shared" si="47"/>
        <v>106278433</v>
      </c>
      <c r="AL74" s="143">
        <f t="shared" si="47"/>
        <v>11522833</v>
      </c>
      <c r="AM74" s="143">
        <f t="shared" si="47"/>
        <v>8004157</v>
      </c>
      <c r="AN74" s="143">
        <f t="shared" si="47"/>
        <v>0</v>
      </c>
      <c r="AO74" s="143">
        <f t="shared" si="47"/>
        <v>19526990</v>
      </c>
      <c r="AP74" s="143">
        <f t="shared" si="47"/>
        <v>0</v>
      </c>
      <c r="AQ74" s="143">
        <f t="shared" si="47"/>
        <v>0</v>
      </c>
      <c r="AR74" s="143">
        <f t="shared" si="47"/>
        <v>0</v>
      </c>
      <c r="AS74" s="143">
        <f t="shared" si="47"/>
        <v>0</v>
      </c>
      <c r="AT74" s="143">
        <f t="shared" si="47"/>
        <v>0</v>
      </c>
      <c r="AU74" s="143">
        <f t="shared" si="47"/>
        <v>97082904</v>
      </c>
      <c r="AV74" s="143">
        <f t="shared" si="47"/>
        <v>8004157</v>
      </c>
      <c r="AW74" s="143">
        <f t="shared" si="47"/>
        <v>20718362</v>
      </c>
      <c r="AX74" s="143">
        <f t="shared" si="47"/>
        <v>125805423</v>
      </c>
      <c r="AY74" s="14"/>
    </row>
    <row r="75" spans="1:51" ht="13.5">
      <c r="A75" s="138">
        <v>42401</v>
      </c>
      <c r="B75" s="139">
        <v>100399613</v>
      </c>
      <c r="C75" s="18">
        <v>0</v>
      </c>
      <c r="D75" s="18">
        <v>13775403</v>
      </c>
      <c r="E75" s="18">
        <f t="shared" si="25"/>
        <v>114175016</v>
      </c>
      <c r="F75" s="18">
        <f t="shared" si="34"/>
        <v>7052579</v>
      </c>
      <c r="G75" s="18">
        <f t="shared" si="35"/>
        <v>12536147</v>
      </c>
      <c r="H75" s="18">
        <f t="shared" si="36"/>
        <v>0</v>
      </c>
      <c r="I75" s="18">
        <f t="shared" si="26"/>
        <v>19588726</v>
      </c>
      <c r="J75" s="18">
        <f t="shared" si="37"/>
        <v>0</v>
      </c>
      <c r="K75" s="18">
        <v>0</v>
      </c>
      <c r="L75" s="18">
        <f t="shared" si="27"/>
        <v>0</v>
      </c>
      <c r="M75" s="18">
        <v>0</v>
      </c>
      <c r="N75" s="18">
        <f t="shared" si="45"/>
        <v>0</v>
      </c>
      <c r="O75" s="18">
        <f t="shared" si="46"/>
        <v>107452192</v>
      </c>
      <c r="P75" s="18">
        <f t="shared" si="38"/>
        <v>12536147</v>
      </c>
      <c r="Q75" s="18">
        <f t="shared" si="39"/>
        <v>13775403</v>
      </c>
      <c r="R75" s="235">
        <f t="shared" si="40"/>
        <v>133763742</v>
      </c>
      <c r="S75" s="18">
        <v>0</v>
      </c>
      <c r="T75" s="18">
        <v>0</v>
      </c>
      <c r="U75" s="18">
        <v>7052579</v>
      </c>
      <c r="V75" s="18">
        <f t="shared" si="41"/>
        <v>7052579</v>
      </c>
      <c r="W75" s="18">
        <v>0</v>
      </c>
      <c r="X75" s="18">
        <v>0</v>
      </c>
      <c r="Y75" s="18">
        <v>12536147</v>
      </c>
      <c r="Z75" s="18">
        <f t="shared" si="42"/>
        <v>12536147</v>
      </c>
      <c r="AA75" s="18">
        <v>0</v>
      </c>
      <c r="AB75" s="18">
        <v>0</v>
      </c>
      <c r="AC75" s="18">
        <v>0</v>
      </c>
      <c r="AD75" s="18">
        <f t="shared" si="43"/>
        <v>0</v>
      </c>
      <c r="AE75" s="18">
        <v>0</v>
      </c>
      <c r="AF75" s="18">
        <v>0</v>
      </c>
      <c r="AG75" s="236">
        <f t="shared" si="44"/>
        <v>0</v>
      </c>
      <c r="AH75" s="18">
        <f t="shared" ref="AH75:AX85" si="48">AH74+B75</f>
        <v>185959684</v>
      </c>
      <c r="AI75" s="18">
        <f t="shared" si="48"/>
        <v>0</v>
      </c>
      <c r="AJ75" s="18">
        <f t="shared" si="48"/>
        <v>34493765</v>
      </c>
      <c r="AK75" s="18">
        <f t="shared" si="48"/>
        <v>220453449</v>
      </c>
      <c r="AL75" s="18">
        <f t="shared" si="48"/>
        <v>18575412</v>
      </c>
      <c r="AM75" s="18">
        <f t="shared" si="48"/>
        <v>20540304</v>
      </c>
      <c r="AN75" s="18">
        <f t="shared" si="48"/>
        <v>0</v>
      </c>
      <c r="AO75" s="18">
        <f t="shared" si="48"/>
        <v>39115716</v>
      </c>
      <c r="AP75" s="18">
        <f t="shared" si="48"/>
        <v>0</v>
      </c>
      <c r="AQ75" s="18">
        <f t="shared" si="48"/>
        <v>0</v>
      </c>
      <c r="AR75" s="18">
        <f t="shared" si="48"/>
        <v>0</v>
      </c>
      <c r="AS75" s="18">
        <f t="shared" si="48"/>
        <v>0</v>
      </c>
      <c r="AT75" s="18">
        <f t="shared" si="48"/>
        <v>0</v>
      </c>
      <c r="AU75" s="18">
        <f t="shared" si="48"/>
        <v>204535096</v>
      </c>
      <c r="AV75" s="18">
        <f t="shared" si="48"/>
        <v>20540304</v>
      </c>
      <c r="AW75" s="18">
        <f t="shared" si="48"/>
        <v>34493765</v>
      </c>
      <c r="AX75" s="18">
        <f t="shared" si="48"/>
        <v>259569165</v>
      </c>
      <c r="AY75" s="14"/>
    </row>
    <row r="76" spans="1:51" ht="13.5">
      <c r="A76" s="138">
        <v>42430</v>
      </c>
      <c r="B76" s="139">
        <v>126575151</v>
      </c>
      <c r="C76" s="18">
        <v>0</v>
      </c>
      <c r="D76" s="18">
        <v>8682557</v>
      </c>
      <c r="E76" s="18">
        <f t="shared" si="25"/>
        <v>135257708</v>
      </c>
      <c r="F76" s="18">
        <f t="shared" si="34"/>
        <v>17471358</v>
      </c>
      <c r="G76" s="18">
        <f t="shared" si="35"/>
        <v>12145761</v>
      </c>
      <c r="H76" s="18">
        <f t="shared" si="36"/>
        <v>0</v>
      </c>
      <c r="I76" s="18">
        <f t="shared" si="26"/>
        <v>29617119</v>
      </c>
      <c r="J76" s="18">
        <f t="shared" si="37"/>
        <v>0</v>
      </c>
      <c r="K76" s="18">
        <v>0</v>
      </c>
      <c r="L76" s="18">
        <f t="shared" si="27"/>
        <v>0</v>
      </c>
      <c r="M76" s="18">
        <v>0</v>
      </c>
      <c r="N76" s="18">
        <f t="shared" si="45"/>
        <v>0</v>
      </c>
      <c r="O76" s="18">
        <f t="shared" si="46"/>
        <v>144046509</v>
      </c>
      <c r="P76" s="18">
        <f t="shared" si="38"/>
        <v>12145761</v>
      </c>
      <c r="Q76" s="18">
        <f t="shared" si="39"/>
        <v>8682557</v>
      </c>
      <c r="R76" s="235">
        <f t="shared" si="40"/>
        <v>164874827</v>
      </c>
      <c r="S76" s="18">
        <v>0</v>
      </c>
      <c r="T76" s="18">
        <v>0</v>
      </c>
      <c r="U76" s="18">
        <v>17471358</v>
      </c>
      <c r="V76" s="18">
        <f t="shared" si="41"/>
        <v>17471358</v>
      </c>
      <c r="W76" s="18">
        <v>0</v>
      </c>
      <c r="X76" s="18">
        <v>0</v>
      </c>
      <c r="Y76" s="18">
        <v>12145761</v>
      </c>
      <c r="Z76" s="18">
        <f t="shared" si="42"/>
        <v>12145761</v>
      </c>
      <c r="AA76" s="18">
        <v>0</v>
      </c>
      <c r="AB76" s="18">
        <v>0</v>
      </c>
      <c r="AC76" s="18">
        <v>0</v>
      </c>
      <c r="AD76" s="18">
        <f t="shared" si="43"/>
        <v>0</v>
      </c>
      <c r="AE76" s="18">
        <v>0</v>
      </c>
      <c r="AF76" s="18">
        <v>0</v>
      </c>
      <c r="AG76" s="236">
        <f t="shared" si="44"/>
        <v>0</v>
      </c>
      <c r="AH76" s="18">
        <f t="shared" si="48"/>
        <v>312534835</v>
      </c>
      <c r="AI76" s="18">
        <f t="shared" si="48"/>
        <v>0</v>
      </c>
      <c r="AJ76" s="18">
        <f t="shared" si="48"/>
        <v>43176322</v>
      </c>
      <c r="AK76" s="18">
        <f t="shared" si="48"/>
        <v>355711157</v>
      </c>
      <c r="AL76" s="18">
        <f t="shared" si="48"/>
        <v>36046770</v>
      </c>
      <c r="AM76" s="18">
        <f t="shared" si="48"/>
        <v>32686065</v>
      </c>
      <c r="AN76" s="18">
        <f t="shared" si="48"/>
        <v>0</v>
      </c>
      <c r="AO76" s="18">
        <f t="shared" si="48"/>
        <v>68732835</v>
      </c>
      <c r="AP76" s="18">
        <f t="shared" si="48"/>
        <v>0</v>
      </c>
      <c r="AQ76" s="18">
        <f t="shared" si="48"/>
        <v>0</v>
      </c>
      <c r="AR76" s="18">
        <f t="shared" si="48"/>
        <v>0</v>
      </c>
      <c r="AS76" s="18">
        <f t="shared" si="48"/>
        <v>0</v>
      </c>
      <c r="AT76" s="18">
        <f t="shared" si="48"/>
        <v>0</v>
      </c>
      <c r="AU76" s="18">
        <f t="shared" si="48"/>
        <v>348581605</v>
      </c>
      <c r="AV76" s="18">
        <f t="shared" si="48"/>
        <v>32686065</v>
      </c>
      <c r="AW76" s="18">
        <f t="shared" si="48"/>
        <v>43176322</v>
      </c>
      <c r="AX76" s="18">
        <f t="shared" si="48"/>
        <v>424443992</v>
      </c>
      <c r="AY76" s="14"/>
    </row>
    <row r="77" spans="1:51" ht="13.5">
      <c r="A77" s="138">
        <v>42461</v>
      </c>
      <c r="B77" s="139">
        <v>126257818</v>
      </c>
      <c r="C77" s="18">
        <v>0</v>
      </c>
      <c r="D77" s="18">
        <v>29184344</v>
      </c>
      <c r="E77" s="18">
        <f t="shared" si="25"/>
        <v>155442162</v>
      </c>
      <c r="F77" s="18">
        <f t="shared" si="34"/>
        <v>20862107</v>
      </c>
      <c r="G77" s="18">
        <f t="shared" si="35"/>
        <v>18209561</v>
      </c>
      <c r="H77" s="18">
        <f t="shared" si="36"/>
        <v>0</v>
      </c>
      <c r="I77" s="18">
        <f t="shared" si="26"/>
        <v>39071668</v>
      </c>
      <c r="J77" s="18">
        <f t="shared" si="37"/>
        <v>0</v>
      </c>
      <c r="K77" s="18">
        <v>0</v>
      </c>
      <c r="L77" s="18">
        <f t="shared" si="27"/>
        <v>0</v>
      </c>
      <c r="M77" s="18">
        <v>0</v>
      </c>
      <c r="N77" s="18">
        <f t="shared" si="45"/>
        <v>0</v>
      </c>
      <c r="O77" s="18">
        <f t="shared" si="46"/>
        <v>147119925</v>
      </c>
      <c r="P77" s="18">
        <f t="shared" si="38"/>
        <v>18209561</v>
      </c>
      <c r="Q77" s="18">
        <f t="shared" si="39"/>
        <v>29184344</v>
      </c>
      <c r="R77" s="235">
        <f t="shared" si="40"/>
        <v>194513830</v>
      </c>
      <c r="S77" s="18">
        <v>0</v>
      </c>
      <c r="T77" s="18">
        <v>0</v>
      </c>
      <c r="U77" s="18">
        <v>20862107</v>
      </c>
      <c r="V77" s="18">
        <f t="shared" si="41"/>
        <v>20862107</v>
      </c>
      <c r="W77" s="18">
        <v>0</v>
      </c>
      <c r="X77" s="18">
        <v>0</v>
      </c>
      <c r="Y77" s="18">
        <v>18209561</v>
      </c>
      <c r="Z77" s="18">
        <f t="shared" si="42"/>
        <v>18209561</v>
      </c>
      <c r="AA77" s="18">
        <v>0</v>
      </c>
      <c r="AB77" s="18">
        <v>0</v>
      </c>
      <c r="AC77" s="18">
        <v>0</v>
      </c>
      <c r="AD77" s="18">
        <f t="shared" si="43"/>
        <v>0</v>
      </c>
      <c r="AE77" s="18">
        <v>0</v>
      </c>
      <c r="AF77" s="18">
        <v>0</v>
      </c>
      <c r="AG77" s="236">
        <f t="shared" si="44"/>
        <v>0</v>
      </c>
      <c r="AH77" s="18">
        <f t="shared" si="48"/>
        <v>438792653</v>
      </c>
      <c r="AI77" s="18">
        <f t="shared" si="48"/>
        <v>0</v>
      </c>
      <c r="AJ77" s="18">
        <f t="shared" si="48"/>
        <v>72360666</v>
      </c>
      <c r="AK77" s="18">
        <f t="shared" si="48"/>
        <v>511153319</v>
      </c>
      <c r="AL77" s="18">
        <f t="shared" si="48"/>
        <v>56908877</v>
      </c>
      <c r="AM77" s="18">
        <f t="shared" si="48"/>
        <v>50895626</v>
      </c>
      <c r="AN77" s="18">
        <f t="shared" si="48"/>
        <v>0</v>
      </c>
      <c r="AO77" s="18">
        <f t="shared" si="48"/>
        <v>107804503</v>
      </c>
      <c r="AP77" s="18">
        <f t="shared" si="48"/>
        <v>0</v>
      </c>
      <c r="AQ77" s="18">
        <f t="shared" si="48"/>
        <v>0</v>
      </c>
      <c r="AR77" s="18">
        <f t="shared" si="48"/>
        <v>0</v>
      </c>
      <c r="AS77" s="18">
        <f t="shared" si="48"/>
        <v>0</v>
      </c>
      <c r="AT77" s="18">
        <f t="shared" si="48"/>
        <v>0</v>
      </c>
      <c r="AU77" s="18">
        <f t="shared" si="48"/>
        <v>495701530</v>
      </c>
      <c r="AV77" s="18">
        <f t="shared" si="48"/>
        <v>50895626</v>
      </c>
      <c r="AW77" s="18">
        <f t="shared" si="48"/>
        <v>72360666</v>
      </c>
      <c r="AX77" s="18">
        <f t="shared" si="48"/>
        <v>618957822</v>
      </c>
      <c r="AY77" s="14"/>
    </row>
    <row r="78" spans="1:51" ht="13.5">
      <c r="A78" s="138">
        <v>42491</v>
      </c>
      <c r="B78" s="139">
        <v>135261004</v>
      </c>
      <c r="C78" s="18">
        <v>0</v>
      </c>
      <c r="D78" s="18">
        <v>33741590</v>
      </c>
      <c r="E78" s="18">
        <f t="shared" si="25"/>
        <v>169002594</v>
      </c>
      <c r="F78" s="18">
        <f t="shared" si="34"/>
        <v>21624392</v>
      </c>
      <c r="G78" s="18">
        <f t="shared" si="35"/>
        <v>15120606</v>
      </c>
      <c r="H78" s="18">
        <f t="shared" si="36"/>
        <v>0</v>
      </c>
      <c r="I78" s="18">
        <f t="shared" si="26"/>
        <v>36744998</v>
      </c>
      <c r="J78" s="18">
        <f t="shared" si="37"/>
        <v>0</v>
      </c>
      <c r="K78" s="18">
        <v>0</v>
      </c>
      <c r="L78" s="18">
        <f t="shared" si="27"/>
        <v>0</v>
      </c>
      <c r="M78" s="18">
        <v>0</v>
      </c>
      <c r="N78" s="18">
        <f t="shared" si="45"/>
        <v>0</v>
      </c>
      <c r="O78" s="18">
        <f t="shared" si="46"/>
        <v>156885396</v>
      </c>
      <c r="P78" s="18">
        <f t="shared" si="38"/>
        <v>15120606</v>
      </c>
      <c r="Q78" s="18">
        <f t="shared" si="39"/>
        <v>33741590</v>
      </c>
      <c r="R78" s="235">
        <f t="shared" si="40"/>
        <v>205747592</v>
      </c>
      <c r="S78" s="18">
        <v>0</v>
      </c>
      <c r="T78" s="18">
        <v>0</v>
      </c>
      <c r="U78" s="18">
        <v>21624392</v>
      </c>
      <c r="V78" s="18">
        <f t="shared" si="41"/>
        <v>21624392</v>
      </c>
      <c r="W78" s="18">
        <v>0</v>
      </c>
      <c r="X78" s="18">
        <v>0</v>
      </c>
      <c r="Y78" s="18">
        <v>15120606</v>
      </c>
      <c r="Z78" s="18">
        <f t="shared" si="42"/>
        <v>15120606</v>
      </c>
      <c r="AA78" s="18">
        <v>0</v>
      </c>
      <c r="AB78" s="18">
        <v>0</v>
      </c>
      <c r="AC78" s="18">
        <v>0</v>
      </c>
      <c r="AD78" s="18">
        <f t="shared" si="43"/>
        <v>0</v>
      </c>
      <c r="AE78" s="18">
        <v>0</v>
      </c>
      <c r="AF78" s="18">
        <v>0</v>
      </c>
      <c r="AG78" s="236">
        <f t="shared" si="44"/>
        <v>0</v>
      </c>
      <c r="AH78" s="18">
        <f t="shared" si="48"/>
        <v>574053657</v>
      </c>
      <c r="AI78" s="18">
        <f t="shared" si="48"/>
        <v>0</v>
      </c>
      <c r="AJ78" s="18">
        <f t="shared" si="48"/>
        <v>106102256</v>
      </c>
      <c r="AK78" s="18">
        <f t="shared" si="48"/>
        <v>680155913</v>
      </c>
      <c r="AL78" s="18">
        <f t="shared" si="48"/>
        <v>78533269</v>
      </c>
      <c r="AM78" s="18">
        <f t="shared" si="48"/>
        <v>66016232</v>
      </c>
      <c r="AN78" s="18">
        <f t="shared" si="48"/>
        <v>0</v>
      </c>
      <c r="AO78" s="18">
        <f t="shared" si="48"/>
        <v>144549501</v>
      </c>
      <c r="AP78" s="18">
        <f t="shared" si="48"/>
        <v>0</v>
      </c>
      <c r="AQ78" s="18">
        <f t="shared" si="48"/>
        <v>0</v>
      </c>
      <c r="AR78" s="18">
        <f t="shared" si="48"/>
        <v>0</v>
      </c>
      <c r="AS78" s="18">
        <f t="shared" si="48"/>
        <v>0</v>
      </c>
      <c r="AT78" s="18">
        <f t="shared" si="48"/>
        <v>0</v>
      </c>
      <c r="AU78" s="18">
        <f t="shared" si="48"/>
        <v>652586926</v>
      </c>
      <c r="AV78" s="18">
        <f t="shared" si="48"/>
        <v>66016232</v>
      </c>
      <c r="AW78" s="18">
        <f t="shared" si="48"/>
        <v>106102256</v>
      </c>
      <c r="AX78" s="18">
        <f t="shared" si="48"/>
        <v>824705414</v>
      </c>
      <c r="AY78" s="14"/>
    </row>
    <row r="79" spans="1:51" ht="13.5">
      <c r="A79" s="138">
        <v>42522</v>
      </c>
      <c r="B79" s="139">
        <v>142561451</v>
      </c>
      <c r="C79" s="18">
        <v>0</v>
      </c>
      <c r="D79" s="18">
        <v>56793626</v>
      </c>
      <c r="E79" s="18">
        <f t="shared" si="25"/>
        <v>199355077</v>
      </c>
      <c r="F79" s="18">
        <f t="shared" si="34"/>
        <v>22043211</v>
      </c>
      <c r="G79" s="18">
        <f t="shared" si="35"/>
        <v>21367049</v>
      </c>
      <c r="H79" s="18">
        <f t="shared" si="36"/>
        <v>0</v>
      </c>
      <c r="I79" s="18">
        <f t="shared" si="26"/>
        <v>43410260</v>
      </c>
      <c r="J79" s="18">
        <f t="shared" si="37"/>
        <v>0</v>
      </c>
      <c r="K79" s="18">
        <v>0</v>
      </c>
      <c r="L79" s="18">
        <f t="shared" si="27"/>
        <v>0</v>
      </c>
      <c r="M79" s="18">
        <v>0</v>
      </c>
      <c r="N79" s="18">
        <f t="shared" si="45"/>
        <v>0</v>
      </c>
      <c r="O79" s="18">
        <f t="shared" si="46"/>
        <v>164604662</v>
      </c>
      <c r="P79" s="18">
        <f t="shared" si="38"/>
        <v>21367049</v>
      </c>
      <c r="Q79" s="18">
        <f t="shared" si="39"/>
        <v>56793626</v>
      </c>
      <c r="R79" s="235">
        <f t="shared" si="40"/>
        <v>242765337</v>
      </c>
      <c r="S79" s="18">
        <v>0</v>
      </c>
      <c r="T79" s="18">
        <v>0</v>
      </c>
      <c r="U79" s="18">
        <v>22043211</v>
      </c>
      <c r="V79" s="18">
        <f t="shared" si="41"/>
        <v>22043211</v>
      </c>
      <c r="W79" s="18">
        <v>0</v>
      </c>
      <c r="X79" s="18">
        <v>0</v>
      </c>
      <c r="Y79" s="18">
        <v>21367049</v>
      </c>
      <c r="Z79" s="18">
        <f t="shared" si="42"/>
        <v>21367049</v>
      </c>
      <c r="AA79" s="18">
        <v>0</v>
      </c>
      <c r="AB79" s="18">
        <v>0</v>
      </c>
      <c r="AC79" s="18">
        <v>0</v>
      </c>
      <c r="AD79" s="18">
        <f t="shared" si="43"/>
        <v>0</v>
      </c>
      <c r="AE79" s="18">
        <v>0</v>
      </c>
      <c r="AF79" s="18">
        <v>0</v>
      </c>
      <c r="AG79" s="236">
        <f t="shared" si="44"/>
        <v>0</v>
      </c>
      <c r="AH79" s="18">
        <f t="shared" si="48"/>
        <v>716615108</v>
      </c>
      <c r="AI79" s="18">
        <f t="shared" si="48"/>
        <v>0</v>
      </c>
      <c r="AJ79" s="18">
        <f t="shared" si="48"/>
        <v>162895882</v>
      </c>
      <c r="AK79" s="18">
        <f t="shared" si="48"/>
        <v>879510990</v>
      </c>
      <c r="AL79" s="18">
        <f t="shared" si="48"/>
        <v>100576480</v>
      </c>
      <c r="AM79" s="18">
        <f t="shared" si="48"/>
        <v>87383281</v>
      </c>
      <c r="AN79" s="18">
        <f t="shared" si="48"/>
        <v>0</v>
      </c>
      <c r="AO79" s="18">
        <f t="shared" si="48"/>
        <v>187959761</v>
      </c>
      <c r="AP79" s="18">
        <f t="shared" si="48"/>
        <v>0</v>
      </c>
      <c r="AQ79" s="18">
        <f t="shared" si="48"/>
        <v>0</v>
      </c>
      <c r="AR79" s="18">
        <f t="shared" si="48"/>
        <v>0</v>
      </c>
      <c r="AS79" s="18">
        <f t="shared" si="48"/>
        <v>0</v>
      </c>
      <c r="AT79" s="18">
        <f t="shared" si="48"/>
        <v>0</v>
      </c>
      <c r="AU79" s="18">
        <f t="shared" si="48"/>
        <v>817191588</v>
      </c>
      <c r="AV79" s="18">
        <f t="shared" si="48"/>
        <v>87383281</v>
      </c>
      <c r="AW79" s="18">
        <f t="shared" si="48"/>
        <v>162895882</v>
      </c>
      <c r="AX79" s="18">
        <f t="shared" si="48"/>
        <v>1067470751</v>
      </c>
      <c r="AY79" s="14"/>
    </row>
    <row r="80" spans="1:51" ht="13.5">
      <c r="A80" s="138">
        <v>42552</v>
      </c>
      <c r="B80" s="139">
        <v>137963278</v>
      </c>
      <c r="C80" s="18">
        <v>0</v>
      </c>
      <c r="D80" s="18">
        <v>26661866</v>
      </c>
      <c r="E80" s="18">
        <f t="shared" si="25"/>
        <v>164625144</v>
      </c>
      <c r="F80" s="18">
        <f t="shared" si="34"/>
        <v>19094815</v>
      </c>
      <c r="G80" s="18">
        <f t="shared" si="35"/>
        <v>20123725</v>
      </c>
      <c r="H80" s="18">
        <f t="shared" si="36"/>
        <v>0</v>
      </c>
      <c r="I80" s="18">
        <f t="shared" si="26"/>
        <v>39218540</v>
      </c>
      <c r="J80" s="18">
        <f t="shared" si="37"/>
        <v>0</v>
      </c>
      <c r="K80" s="18">
        <v>0</v>
      </c>
      <c r="L80" s="18">
        <f t="shared" si="27"/>
        <v>0</v>
      </c>
      <c r="M80" s="18">
        <v>0</v>
      </c>
      <c r="N80" s="18">
        <f t="shared" si="45"/>
        <v>0</v>
      </c>
      <c r="O80" s="18">
        <f t="shared" si="46"/>
        <v>157058093</v>
      </c>
      <c r="P80" s="18">
        <f t="shared" si="38"/>
        <v>20123725</v>
      </c>
      <c r="Q80" s="18">
        <f t="shared" si="39"/>
        <v>26661866</v>
      </c>
      <c r="R80" s="235">
        <f t="shared" si="40"/>
        <v>203843684</v>
      </c>
      <c r="S80" s="18">
        <v>0</v>
      </c>
      <c r="T80" s="18">
        <v>0</v>
      </c>
      <c r="U80" s="18">
        <v>19094815</v>
      </c>
      <c r="V80" s="18">
        <f t="shared" si="41"/>
        <v>19094815</v>
      </c>
      <c r="W80" s="18">
        <v>0</v>
      </c>
      <c r="X80" s="18">
        <v>0</v>
      </c>
      <c r="Y80" s="18">
        <v>20123725</v>
      </c>
      <c r="Z80" s="18">
        <f t="shared" si="42"/>
        <v>20123725</v>
      </c>
      <c r="AA80" s="18">
        <v>0</v>
      </c>
      <c r="AB80" s="18">
        <v>0</v>
      </c>
      <c r="AC80" s="18">
        <v>0</v>
      </c>
      <c r="AD80" s="18">
        <f t="shared" si="43"/>
        <v>0</v>
      </c>
      <c r="AE80" s="18">
        <v>0</v>
      </c>
      <c r="AF80" s="18">
        <v>0</v>
      </c>
      <c r="AG80" s="236">
        <f t="shared" si="44"/>
        <v>0</v>
      </c>
      <c r="AH80" s="18">
        <f t="shared" si="48"/>
        <v>854578386</v>
      </c>
      <c r="AI80" s="18">
        <f t="shared" si="48"/>
        <v>0</v>
      </c>
      <c r="AJ80" s="18">
        <f t="shared" si="48"/>
        <v>189557748</v>
      </c>
      <c r="AK80" s="18">
        <f t="shared" si="48"/>
        <v>1044136134</v>
      </c>
      <c r="AL80" s="18">
        <f t="shared" si="48"/>
        <v>119671295</v>
      </c>
      <c r="AM80" s="18">
        <f t="shared" si="48"/>
        <v>107507006</v>
      </c>
      <c r="AN80" s="18">
        <f t="shared" si="48"/>
        <v>0</v>
      </c>
      <c r="AO80" s="18">
        <f t="shared" si="48"/>
        <v>227178301</v>
      </c>
      <c r="AP80" s="18">
        <f t="shared" si="48"/>
        <v>0</v>
      </c>
      <c r="AQ80" s="18">
        <f t="shared" si="48"/>
        <v>0</v>
      </c>
      <c r="AR80" s="18">
        <f t="shared" si="48"/>
        <v>0</v>
      </c>
      <c r="AS80" s="18">
        <f t="shared" si="48"/>
        <v>0</v>
      </c>
      <c r="AT80" s="18">
        <f t="shared" si="48"/>
        <v>0</v>
      </c>
      <c r="AU80" s="18">
        <f t="shared" si="48"/>
        <v>974249681</v>
      </c>
      <c r="AV80" s="18">
        <f t="shared" si="48"/>
        <v>107507006</v>
      </c>
      <c r="AW80" s="18">
        <f t="shared" si="48"/>
        <v>189557748</v>
      </c>
      <c r="AX80" s="18">
        <f t="shared" si="48"/>
        <v>1271314435</v>
      </c>
      <c r="AY80" s="14"/>
    </row>
    <row r="81" spans="1:51" ht="13.5">
      <c r="A81" s="138">
        <v>42583</v>
      </c>
      <c r="B81" s="139">
        <v>161632981</v>
      </c>
      <c r="C81" s="18">
        <v>0</v>
      </c>
      <c r="D81" s="18">
        <v>61457420</v>
      </c>
      <c r="E81" s="18">
        <f t="shared" si="25"/>
        <v>223090401</v>
      </c>
      <c r="F81" s="18">
        <f t="shared" si="34"/>
        <v>24325149</v>
      </c>
      <c r="G81" s="18">
        <f t="shared" si="35"/>
        <v>15511792</v>
      </c>
      <c r="H81" s="18">
        <f t="shared" si="36"/>
        <v>0</v>
      </c>
      <c r="I81" s="18">
        <f t="shared" si="26"/>
        <v>39836941</v>
      </c>
      <c r="J81" s="18">
        <f t="shared" si="37"/>
        <v>0</v>
      </c>
      <c r="K81" s="18">
        <v>0</v>
      </c>
      <c r="L81" s="18">
        <f t="shared" si="27"/>
        <v>0</v>
      </c>
      <c r="M81" s="18">
        <v>0</v>
      </c>
      <c r="N81" s="18">
        <f t="shared" si="45"/>
        <v>0</v>
      </c>
      <c r="O81" s="18">
        <f t="shared" si="46"/>
        <v>185958130</v>
      </c>
      <c r="P81" s="18">
        <f t="shared" si="38"/>
        <v>15511792</v>
      </c>
      <c r="Q81" s="18">
        <f t="shared" si="39"/>
        <v>61457420</v>
      </c>
      <c r="R81" s="235">
        <f t="shared" si="40"/>
        <v>262927342</v>
      </c>
      <c r="S81" s="18">
        <v>0</v>
      </c>
      <c r="T81" s="18">
        <v>0</v>
      </c>
      <c r="U81" s="18">
        <v>24325149</v>
      </c>
      <c r="V81" s="18">
        <f t="shared" si="41"/>
        <v>24325149</v>
      </c>
      <c r="W81" s="18">
        <v>0</v>
      </c>
      <c r="X81" s="18">
        <v>0</v>
      </c>
      <c r="Y81" s="18">
        <v>15511792</v>
      </c>
      <c r="Z81" s="18">
        <f t="shared" si="42"/>
        <v>15511792</v>
      </c>
      <c r="AA81" s="18">
        <v>0</v>
      </c>
      <c r="AB81" s="18">
        <v>0</v>
      </c>
      <c r="AC81" s="18">
        <v>0</v>
      </c>
      <c r="AD81" s="18">
        <f t="shared" si="43"/>
        <v>0</v>
      </c>
      <c r="AE81" s="18">
        <v>0</v>
      </c>
      <c r="AF81" s="18">
        <v>0</v>
      </c>
      <c r="AG81" s="236">
        <f t="shared" si="44"/>
        <v>0</v>
      </c>
      <c r="AH81" s="18">
        <f t="shared" si="48"/>
        <v>1016211367</v>
      </c>
      <c r="AI81" s="18">
        <f t="shared" si="48"/>
        <v>0</v>
      </c>
      <c r="AJ81" s="18">
        <f t="shared" si="48"/>
        <v>251015168</v>
      </c>
      <c r="AK81" s="18">
        <f t="shared" si="48"/>
        <v>1267226535</v>
      </c>
      <c r="AL81" s="18">
        <f t="shared" si="48"/>
        <v>143996444</v>
      </c>
      <c r="AM81" s="18">
        <f t="shared" si="48"/>
        <v>123018798</v>
      </c>
      <c r="AN81" s="18">
        <f t="shared" si="48"/>
        <v>0</v>
      </c>
      <c r="AO81" s="18">
        <f t="shared" si="48"/>
        <v>267015242</v>
      </c>
      <c r="AP81" s="18">
        <f t="shared" si="48"/>
        <v>0</v>
      </c>
      <c r="AQ81" s="18">
        <f t="shared" si="48"/>
        <v>0</v>
      </c>
      <c r="AR81" s="18">
        <f t="shared" si="48"/>
        <v>0</v>
      </c>
      <c r="AS81" s="18">
        <f t="shared" si="48"/>
        <v>0</v>
      </c>
      <c r="AT81" s="18">
        <f t="shared" si="48"/>
        <v>0</v>
      </c>
      <c r="AU81" s="18">
        <f t="shared" si="48"/>
        <v>1160207811</v>
      </c>
      <c r="AV81" s="18">
        <f t="shared" si="48"/>
        <v>123018798</v>
      </c>
      <c r="AW81" s="18">
        <f t="shared" si="48"/>
        <v>251015168</v>
      </c>
      <c r="AX81" s="18">
        <f t="shared" si="48"/>
        <v>1534241777</v>
      </c>
      <c r="AY81" s="14"/>
    </row>
    <row r="82" spans="1:51" ht="13.5">
      <c r="A82" s="138">
        <v>42614</v>
      </c>
      <c r="B82" s="139">
        <v>146610102</v>
      </c>
      <c r="C82" s="18">
        <v>0</v>
      </c>
      <c r="D82" s="18">
        <v>73263294</v>
      </c>
      <c r="E82" s="18">
        <f t="shared" si="25"/>
        <v>219873396</v>
      </c>
      <c r="F82" s="18">
        <f t="shared" si="34"/>
        <v>18860534</v>
      </c>
      <c r="G82" s="18">
        <f t="shared" si="35"/>
        <v>19321824</v>
      </c>
      <c r="H82" s="18">
        <f t="shared" si="36"/>
        <v>0</v>
      </c>
      <c r="I82" s="18">
        <f t="shared" si="26"/>
        <v>38182358</v>
      </c>
      <c r="J82" s="18">
        <f t="shared" si="37"/>
        <v>230790</v>
      </c>
      <c r="K82" s="18">
        <v>0</v>
      </c>
      <c r="L82" s="18">
        <f t="shared" si="27"/>
        <v>230790</v>
      </c>
      <c r="M82" s="18">
        <v>0</v>
      </c>
      <c r="N82" s="18">
        <f t="shared" si="45"/>
        <v>0</v>
      </c>
      <c r="O82" s="18">
        <f t="shared" si="46"/>
        <v>165701426</v>
      </c>
      <c r="P82" s="18">
        <f t="shared" si="38"/>
        <v>19321824</v>
      </c>
      <c r="Q82" s="18">
        <f t="shared" si="39"/>
        <v>73263294</v>
      </c>
      <c r="R82" s="235">
        <f t="shared" si="40"/>
        <v>258286544</v>
      </c>
      <c r="S82" s="18">
        <v>0</v>
      </c>
      <c r="T82" s="18">
        <v>0</v>
      </c>
      <c r="U82" s="18">
        <v>18860534</v>
      </c>
      <c r="V82" s="18">
        <f t="shared" si="41"/>
        <v>18860534</v>
      </c>
      <c r="W82" s="18">
        <v>0</v>
      </c>
      <c r="X82" s="18">
        <v>0</v>
      </c>
      <c r="Y82" s="18">
        <v>19321824</v>
      </c>
      <c r="Z82" s="18">
        <f t="shared" si="42"/>
        <v>19321824</v>
      </c>
      <c r="AA82" s="18">
        <v>0</v>
      </c>
      <c r="AB82" s="18">
        <v>0</v>
      </c>
      <c r="AC82" s="18">
        <v>0</v>
      </c>
      <c r="AD82" s="18">
        <f t="shared" si="43"/>
        <v>0</v>
      </c>
      <c r="AE82" s="18">
        <v>230790</v>
      </c>
      <c r="AF82" s="18">
        <v>0</v>
      </c>
      <c r="AG82" s="236">
        <f t="shared" si="44"/>
        <v>230790</v>
      </c>
      <c r="AH82" s="18">
        <f t="shared" si="48"/>
        <v>1162821469</v>
      </c>
      <c r="AI82" s="18">
        <f t="shared" si="48"/>
        <v>0</v>
      </c>
      <c r="AJ82" s="18">
        <f t="shared" si="48"/>
        <v>324278462</v>
      </c>
      <c r="AK82" s="18">
        <f t="shared" si="48"/>
        <v>1487099931</v>
      </c>
      <c r="AL82" s="18">
        <f t="shared" si="48"/>
        <v>162856978</v>
      </c>
      <c r="AM82" s="18">
        <f t="shared" si="48"/>
        <v>142340622</v>
      </c>
      <c r="AN82" s="18">
        <f t="shared" si="48"/>
        <v>0</v>
      </c>
      <c r="AO82" s="18">
        <f t="shared" si="48"/>
        <v>305197600</v>
      </c>
      <c r="AP82" s="18">
        <f t="shared" si="48"/>
        <v>230790</v>
      </c>
      <c r="AQ82" s="18">
        <f t="shared" si="48"/>
        <v>0</v>
      </c>
      <c r="AR82" s="18">
        <f t="shared" si="48"/>
        <v>230790</v>
      </c>
      <c r="AS82" s="18">
        <f t="shared" si="48"/>
        <v>0</v>
      </c>
      <c r="AT82" s="18">
        <f t="shared" si="48"/>
        <v>0</v>
      </c>
      <c r="AU82" s="18">
        <f t="shared" si="48"/>
        <v>1325909237</v>
      </c>
      <c r="AV82" s="18">
        <f t="shared" si="48"/>
        <v>142340622</v>
      </c>
      <c r="AW82" s="18">
        <f t="shared" si="48"/>
        <v>324278462</v>
      </c>
      <c r="AX82" s="18">
        <f t="shared" si="48"/>
        <v>1792528321</v>
      </c>
      <c r="AY82" s="14"/>
    </row>
    <row r="83" spans="1:51" ht="13.5">
      <c r="A83" s="138">
        <v>42644</v>
      </c>
      <c r="B83" s="139">
        <v>143064387</v>
      </c>
      <c r="C83" s="18">
        <v>0</v>
      </c>
      <c r="D83" s="18">
        <v>50535806</v>
      </c>
      <c r="E83" s="18">
        <f t="shared" si="25"/>
        <v>193600193</v>
      </c>
      <c r="F83" s="18">
        <f t="shared" si="34"/>
        <v>20108545</v>
      </c>
      <c r="G83" s="18">
        <f t="shared" si="35"/>
        <v>10947378</v>
      </c>
      <c r="H83" s="18">
        <f t="shared" si="36"/>
        <v>0</v>
      </c>
      <c r="I83" s="18">
        <f t="shared" si="26"/>
        <v>31055923</v>
      </c>
      <c r="J83" s="18">
        <f t="shared" si="37"/>
        <v>181093</v>
      </c>
      <c r="K83" s="18">
        <v>0</v>
      </c>
      <c r="L83" s="18">
        <f t="shared" si="27"/>
        <v>181093</v>
      </c>
      <c r="M83" s="18">
        <v>0</v>
      </c>
      <c r="N83" s="18">
        <f t="shared" si="45"/>
        <v>0</v>
      </c>
      <c r="O83" s="18">
        <f t="shared" si="46"/>
        <v>163354025</v>
      </c>
      <c r="P83" s="18">
        <f t="shared" si="38"/>
        <v>10947378</v>
      </c>
      <c r="Q83" s="18">
        <f t="shared" si="39"/>
        <v>50535806</v>
      </c>
      <c r="R83" s="235">
        <f t="shared" si="40"/>
        <v>224837209</v>
      </c>
      <c r="S83" s="18">
        <v>0</v>
      </c>
      <c r="T83" s="18">
        <v>0</v>
      </c>
      <c r="U83" s="18">
        <v>20108545</v>
      </c>
      <c r="V83" s="18">
        <f t="shared" si="41"/>
        <v>20108545</v>
      </c>
      <c r="W83" s="18">
        <v>0</v>
      </c>
      <c r="X83" s="18">
        <v>0</v>
      </c>
      <c r="Y83" s="18">
        <v>10947378</v>
      </c>
      <c r="Z83" s="18">
        <f t="shared" si="42"/>
        <v>10947378</v>
      </c>
      <c r="AA83" s="18">
        <v>0</v>
      </c>
      <c r="AB83" s="18">
        <v>0</v>
      </c>
      <c r="AC83" s="18">
        <v>0</v>
      </c>
      <c r="AD83" s="18">
        <f t="shared" si="43"/>
        <v>0</v>
      </c>
      <c r="AE83" s="18">
        <v>181093</v>
      </c>
      <c r="AF83" s="18">
        <v>0</v>
      </c>
      <c r="AG83" s="236">
        <f t="shared" si="44"/>
        <v>181093</v>
      </c>
      <c r="AH83" s="18">
        <f t="shared" si="48"/>
        <v>1305885856</v>
      </c>
      <c r="AI83" s="18">
        <f t="shared" si="48"/>
        <v>0</v>
      </c>
      <c r="AJ83" s="18">
        <f t="shared" si="48"/>
        <v>374814268</v>
      </c>
      <c r="AK83" s="18">
        <f t="shared" si="48"/>
        <v>1680700124</v>
      </c>
      <c r="AL83" s="18">
        <f t="shared" si="48"/>
        <v>182965523</v>
      </c>
      <c r="AM83" s="18">
        <f t="shared" si="48"/>
        <v>153288000</v>
      </c>
      <c r="AN83" s="18">
        <f t="shared" si="48"/>
        <v>0</v>
      </c>
      <c r="AO83" s="18">
        <f t="shared" si="48"/>
        <v>336253523</v>
      </c>
      <c r="AP83" s="18">
        <f t="shared" si="48"/>
        <v>411883</v>
      </c>
      <c r="AQ83" s="18">
        <f t="shared" si="48"/>
        <v>0</v>
      </c>
      <c r="AR83" s="18">
        <f t="shared" si="48"/>
        <v>411883</v>
      </c>
      <c r="AS83" s="18">
        <f t="shared" si="48"/>
        <v>0</v>
      </c>
      <c r="AT83" s="18">
        <f t="shared" si="48"/>
        <v>0</v>
      </c>
      <c r="AU83" s="18">
        <f t="shared" si="48"/>
        <v>1489263262</v>
      </c>
      <c r="AV83" s="18">
        <f t="shared" si="48"/>
        <v>153288000</v>
      </c>
      <c r="AW83" s="18">
        <f t="shared" si="48"/>
        <v>374814268</v>
      </c>
      <c r="AX83" s="18">
        <f t="shared" si="48"/>
        <v>2017365530</v>
      </c>
      <c r="AY83" s="14"/>
    </row>
    <row r="84" spans="1:51" ht="13.5">
      <c r="A84" s="138">
        <v>42675</v>
      </c>
      <c r="B84" s="139">
        <v>139703517</v>
      </c>
      <c r="C84" s="18">
        <v>0</v>
      </c>
      <c r="D84" s="18">
        <v>65730799</v>
      </c>
      <c r="E84" s="18">
        <f t="shared" si="25"/>
        <v>205434316</v>
      </c>
      <c r="F84" s="18">
        <f t="shared" si="34"/>
        <v>26977711</v>
      </c>
      <c r="G84" s="18">
        <f t="shared" si="35"/>
        <v>14881963</v>
      </c>
      <c r="H84" s="18">
        <f t="shared" si="36"/>
        <v>0</v>
      </c>
      <c r="I84" s="18">
        <f t="shared" si="26"/>
        <v>41859674</v>
      </c>
      <c r="J84" s="18">
        <f t="shared" si="37"/>
        <v>192991</v>
      </c>
      <c r="K84" s="18">
        <v>0</v>
      </c>
      <c r="L84" s="18">
        <f t="shared" si="27"/>
        <v>192991</v>
      </c>
      <c r="M84" s="18">
        <v>0</v>
      </c>
      <c r="N84" s="18">
        <f t="shared" si="45"/>
        <v>0</v>
      </c>
      <c r="O84" s="18">
        <f t="shared" si="46"/>
        <v>166874219</v>
      </c>
      <c r="P84" s="18">
        <f t="shared" si="38"/>
        <v>14881963</v>
      </c>
      <c r="Q84" s="18">
        <f t="shared" si="39"/>
        <v>65730799</v>
      </c>
      <c r="R84" s="235">
        <f t="shared" si="40"/>
        <v>247486981</v>
      </c>
      <c r="S84" s="18">
        <v>0</v>
      </c>
      <c r="T84" s="18">
        <v>0</v>
      </c>
      <c r="U84" s="18">
        <v>26977711</v>
      </c>
      <c r="V84" s="18">
        <f t="shared" si="41"/>
        <v>26977711</v>
      </c>
      <c r="W84" s="18">
        <v>0</v>
      </c>
      <c r="X84" s="18">
        <v>0</v>
      </c>
      <c r="Y84" s="18">
        <v>14881963</v>
      </c>
      <c r="Z84" s="18">
        <f t="shared" si="42"/>
        <v>14881963</v>
      </c>
      <c r="AA84" s="18">
        <v>0</v>
      </c>
      <c r="AB84" s="18">
        <v>0</v>
      </c>
      <c r="AC84" s="18">
        <v>0</v>
      </c>
      <c r="AD84" s="18">
        <f t="shared" si="43"/>
        <v>0</v>
      </c>
      <c r="AE84" s="18">
        <v>192991</v>
      </c>
      <c r="AF84" s="18">
        <v>0</v>
      </c>
      <c r="AG84" s="236">
        <f t="shared" si="44"/>
        <v>192991</v>
      </c>
      <c r="AH84" s="18">
        <f t="shared" si="48"/>
        <v>1445589373</v>
      </c>
      <c r="AI84" s="18">
        <f t="shared" si="48"/>
        <v>0</v>
      </c>
      <c r="AJ84" s="18">
        <f t="shared" si="48"/>
        <v>440545067</v>
      </c>
      <c r="AK84" s="18">
        <f t="shared" si="48"/>
        <v>1886134440</v>
      </c>
      <c r="AL84" s="18">
        <f t="shared" si="48"/>
        <v>209943234</v>
      </c>
      <c r="AM84" s="18">
        <f t="shared" si="48"/>
        <v>168169963</v>
      </c>
      <c r="AN84" s="18">
        <f t="shared" si="48"/>
        <v>0</v>
      </c>
      <c r="AO84" s="18">
        <f t="shared" si="48"/>
        <v>378113197</v>
      </c>
      <c r="AP84" s="18">
        <f t="shared" si="48"/>
        <v>604874</v>
      </c>
      <c r="AQ84" s="18">
        <f t="shared" si="48"/>
        <v>0</v>
      </c>
      <c r="AR84" s="18">
        <f t="shared" si="48"/>
        <v>604874</v>
      </c>
      <c r="AS84" s="18">
        <f t="shared" si="48"/>
        <v>0</v>
      </c>
      <c r="AT84" s="18">
        <f t="shared" si="48"/>
        <v>0</v>
      </c>
      <c r="AU84" s="18">
        <f t="shared" si="48"/>
        <v>1656137481</v>
      </c>
      <c r="AV84" s="18">
        <f t="shared" si="48"/>
        <v>168169963</v>
      </c>
      <c r="AW84" s="18">
        <f t="shared" si="48"/>
        <v>440545067</v>
      </c>
      <c r="AX84" s="18">
        <f t="shared" si="48"/>
        <v>2264852511</v>
      </c>
      <c r="AY84" s="14"/>
    </row>
    <row r="85" spans="1:51" ht="14.25" thickBot="1">
      <c r="A85" s="138">
        <v>42705</v>
      </c>
      <c r="B85" s="139">
        <v>187163249</v>
      </c>
      <c r="C85" s="18">
        <v>0</v>
      </c>
      <c r="D85" s="18">
        <v>121095251</v>
      </c>
      <c r="E85" s="18">
        <f t="shared" si="25"/>
        <v>308258500</v>
      </c>
      <c r="F85" s="18">
        <f t="shared" si="34"/>
        <v>26878185</v>
      </c>
      <c r="G85" s="18">
        <f t="shared" si="35"/>
        <v>15859008</v>
      </c>
      <c r="H85" s="18">
        <f t="shared" si="36"/>
        <v>0</v>
      </c>
      <c r="I85" s="18">
        <f t="shared" si="26"/>
        <v>42737193</v>
      </c>
      <c r="J85" s="18">
        <f t="shared" si="37"/>
        <v>178772</v>
      </c>
      <c r="K85" s="18">
        <v>0</v>
      </c>
      <c r="L85" s="18">
        <f t="shared" si="27"/>
        <v>178772</v>
      </c>
      <c r="M85" s="18">
        <v>0</v>
      </c>
      <c r="N85" s="18">
        <f t="shared" si="45"/>
        <v>0</v>
      </c>
      <c r="O85" s="18">
        <f t="shared" si="46"/>
        <v>214220206</v>
      </c>
      <c r="P85" s="18">
        <f t="shared" si="38"/>
        <v>15859008</v>
      </c>
      <c r="Q85" s="18">
        <f t="shared" si="39"/>
        <v>121095251</v>
      </c>
      <c r="R85" s="235">
        <f t="shared" si="40"/>
        <v>351174465</v>
      </c>
      <c r="S85" s="18">
        <v>0</v>
      </c>
      <c r="T85" s="18">
        <v>0</v>
      </c>
      <c r="U85" s="18">
        <v>26878185</v>
      </c>
      <c r="V85" s="18">
        <f t="shared" si="41"/>
        <v>26878185</v>
      </c>
      <c r="W85" s="18">
        <v>0</v>
      </c>
      <c r="X85" s="18">
        <v>0</v>
      </c>
      <c r="Y85" s="18">
        <v>15859008</v>
      </c>
      <c r="Z85" s="18">
        <f t="shared" si="42"/>
        <v>15859008</v>
      </c>
      <c r="AA85" s="18">
        <v>0</v>
      </c>
      <c r="AB85" s="18">
        <v>0</v>
      </c>
      <c r="AC85" s="18">
        <v>0</v>
      </c>
      <c r="AD85" s="18">
        <f t="shared" si="43"/>
        <v>0</v>
      </c>
      <c r="AE85" s="18">
        <v>178772</v>
      </c>
      <c r="AF85" s="18">
        <v>0</v>
      </c>
      <c r="AG85" s="236">
        <f t="shared" si="44"/>
        <v>178772</v>
      </c>
      <c r="AH85" s="18">
        <f t="shared" si="48"/>
        <v>1632752622</v>
      </c>
      <c r="AI85" s="18">
        <f t="shared" si="48"/>
        <v>0</v>
      </c>
      <c r="AJ85" s="18">
        <f t="shared" si="48"/>
        <v>561640318</v>
      </c>
      <c r="AK85" s="18">
        <f t="shared" si="48"/>
        <v>2194392940</v>
      </c>
      <c r="AL85" s="18">
        <f t="shared" si="48"/>
        <v>236821419</v>
      </c>
      <c r="AM85" s="18">
        <f t="shared" si="48"/>
        <v>184028971</v>
      </c>
      <c r="AN85" s="18">
        <f t="shared" si="48"/>
        <v>0</v>
      </c>
      <c r="AO85" s="18">
        <f t="shared" si="48"/>
        <v>420850390</v>
      </c>
      <c r="AP85" s="18">
        <f t="shared" si="48"/>
        <v>783646</v>
      </c>
      <c r="AQ85" s="18">
        <f t="shared" si="48"/>
        <v>0</v>
      </c>
      <c r="AR85" s="18">
        <f t="shared" si="48"/>
        <v>783646</v>
      </c>
      <c r="AS85" s="18">
        <f t="shared" si="48"/>
        <v>0</v>
      </c>
      <c r="AT85" s="18">
        <f t="shared" si="48"/>
        <v>0</v>
      </c>
      <c r="AU85" s="18">
        <f t="shared" si="48"/>
        <v>1870357687</v>
      </c>
      <c r="AV85" s="18">
        <f t="shared" si="48"/>
        <v>184028971</v>
      </c>
      <c r="AW85" s="18">
        <f t="shared" si="48"/>
        <v>561640318</v>
      </c>
      <c r="AX85" s="18">
        <f t="shared" si="48"/>
        <v>2616026976</v>
      </c>
      <c r="AY85" s="14"/>
    </row>
    <row r="86" spans="1:51" ht="13.5">
      <c r="A86" s="141">
        <v>42736</v>
      </c>
      <c r="B86" s="142">
        <v>65936175</v>
      </c>
      <c r="C86" s="143">
        <v>0</v>
      </c>
      <c r="D86" s="143">
        <v>21190089</v>
      </c>
      <c r="E86" s="143">
        <f t="shared" si="25"/>
        <v>87126264</v>
      </c>
      <c r="F86" s="143">
        <f t="shared" si="34"/>
        <v>18110934</v>
      </c>
      <c r="G86" s="143">
        <f t="shared" si="35"/>
        <v>20440663</v>
      </c>
      <c r="H86" s="143">
        <f t="shared" si="36"/>
        <v>0</v>
      </c>
      <c r="I86" s="143">
        <f t="shared" si="26"/>
        <v>38551597</v>
      </c>
      <c r="J86" s="143">
        <f t="shared" si="37"/>
        <v>210331</v>
      </c>
      <c r="K86" s="143">
        <v>0</v>
      </c>
      <c r="L86" s="143">
        <f t="shared" si="27"/>
        <v>210331</v>
      </c>
      <c r="M86" s="143">
        <v>0</v>
      </c>
      <c r="N86" s="143">
        <f t="shared" si="45"/>
        <v>0</v>
      </c>
      <c r="O86" s="143">
        <f t="shared" si="46"/>
        <v>84257440</v>
      </c>
      <c r="P86" s="143">
        <f t="shared" si="38"/>
        <v>20440663</v>
      </c>
      <c r="Q86" s="143">
        <f t="shared" si="39"/>
        <v>21190089</v>
      </c>
      <c r="R86" s="237">
        <f t="shared" si="40"/>
        <v>125888192</v>
      </c>
      <c r="S86" s="143">
        <v>0</v>
      </c>
      <c r="T86" s="143">
        <v>0</v>
      </c>
      <c r="U86" s="143">
        <v>18110934</v>
      </c>
      <c r="V86" s="143">
        <f t="shared" si="41"/>
        <v>18110934</v>
      </c>
      <c r="W86" s="143">
        <v>0</v>
      </c>
      <c r="X86" s="143">
        <v>0</v>
      </c>
      <c r="Y86" s="143">
        <v>20440663</v>
      </c>
      <c r="Z86" s="143">
        <f t="shared" si="42"/>
        <v>20440663</v>
      </c>
      <c r="AA86" s="143">
        <v>0</v>
      </c>
      <c r="AB86" s="143">
        <v>0</v>
      </c>
      <c r="AC86" s="143">
        <v>0</v>
      </c>
      <c r="AD86" s="143">
        <f t="shared" si="43"/>
        <v>0</v>
      </c>
      <c r="AE86" s="143">
        <v>210331</v>
      </c>
      <c r="AF86" s="143">
        <v>0</v>
      </c>
      <c r="AG86" s="238">
        <f t="shared" si="44"/>
        <v>210331</v>
      </c>
      <c r="AH86" s="143">
        <f t="shared" ref="AH86:AX86" si="49">B86</f>
        <v>65936175</v>
      </c>
      <c r="AI86" s="143">
        <f t="shared" si="49"/>
        <v>0</v>
      </c>
      <c r="AJ86" s="143">
        <f t="shared" si="49"/>
        <v>21190089</v>
      </c>
      <c r="AK86" s="143">
        <f t="shared" si="49"/>
        <v>87126264</v>
      </c>
      <c r="AL86" s="143">
        <f t="shared" si="49"/>
        <v>18110934</v>
      </c>
      <c r="AM86" s="143">
        <f t="shared" si="49"/>
        <v>20440663</v>
      </c>
      <c r="AN86" s="143">
        <f t="shared" si="49"/>
        <v>0</v>
      </c>
      <c r="AO86" s="143">
        <f t="shared" si="49"/>
        <v>38551597</v>
      </c>
      <c r="AP86" s="143">
        <f t="shared" si="49"/>
        <v>210331</v>
      </c>
      <c r="AQ86" s="143">
        <f t="shared" si="49"/>
        <v>0</v>
      </c>
      <c r="AR86" s="143">
        <f t="shared" si="49"/>
        <v>210331</v>
      </c>
      <c r="AS86" s="143">
        <f t="shared" si="49"/>
        <v>0</v>
      </c>
      <c r="AT86" s="143">
        <f t="shared" si="49"/>
        <v>0</v>
      </c>
      <c r="AU86" s="143">
        <f t="shared" si="49"/>
        <v>84257440</v>
      </c>
      <c r="AV86" s="143">
        <f t="shared" si="49"/>
        <v>20440663</v>
      </c>
      <c r="AW86" s="143">
        <f t="shared" si="49"/>
        <v>21190089</v>
      </c>
      <c r="AX86" s="143">
        <f t="shared" si="49"/>
        <v>125888192</v>
      </c>
      <c r="AY86" s="26">
        <f t="shared" ref="AY86:AY149" si="50">AX86/AX74-1</f>
        <v>6.5791281509386401E-4</v>
      </c>
    </row>
    <row r="87" spans="1:51" ht="13.5">
      <c r="A87" s="138">
        <v>42767</v>
      </c>
      <c r="B87" s="139">
        <v>78476257</v>
      </c>
      <c r="C87" s="18">
        <v>0</v>
      </c>
      <c r="D87" s="18">
        <v>29772126</v>
      </c>
      <c r="E87" s="18">
        <f t="shared" si="25"/>
        <v>108248383</v>
      </c>
      <c r="F87" s="18">
        <f t="shared" si="34"/>
        <v>20685125</v>
      </c>
      <c r="G87" s="18">
        <f t="shared" si="35"/>
        <v>9904741</v>
      </c>
      <c r="H87" s="18">
        <f t="shared" si="36"/>
        <v>0</v>
      </c>
      <c r="I87" s="18">
        <f t="shared" si="26"/>
        <v>30589866</v>
      </c>
      <c r="J87" s="18">
        <f t="shared" si="37"/>
        <v>190622</v>
      </c>
      <c r="K87" s="18">
        <v>0</v>
      </c>
      <c r="L87" s="18">
        <f t="shared" si="27"/>
        <v>190622</v>
      </c>
      <c r="M87" s="18">
        <v>0</v>
      </c>
      <c r="N87" s="18">
        <f t="shared" si="45"/>
        <v>0</v>
      </c>
      <c r="O87" s="18">
        <f t="shared" si="46"/>
        <v>99352004</v>
      </c>
      <c r="P87" s="18">
        <f t="shared" si="38"/>
        <v>9904741</v>
      </c>
      <c r="Q87" s="18">
        <f t="shared" si="39"/>
        <v>29772126</v>
      </c>
      <c r="R87" s="235">
        <f t="shared" si="40"/>
        <v>139028871</v>
      </c>
      <c r="S87" s="18">
        <v>0</v>
      </c>
      <c r="T87" s="18">
        <v>0</v>
      </c>
      <c r="U87" s="18">
        <v>20685125</v>
      </c>
      <c r="V87" s="18">
        <f t="shared" si="41"/>
        <v>20685125</v>
      </c>
      <c r="W87" s="18">
        <v>0</v>
      </c>
      <c r="X87" s="18">
        <v>0</v>
      </c>
      <c r="Y87" s="18">
        <v>9904741</v>
      </c>
      <c r="Z87" s="18">
        <f t="shared" si="42"/>
        <v>9904741</v>
      </c>
      <c r="AA87" s="18">
        <v>0</v>
      </c>
      <c r="AB87" s="18">
        <v>0</v>
      </c>
      <c r="AC87" s="18">
        <v>0</v>
      </c>
      <c r="AD87" s="18">
        <f t="shared" si="43"/>
        <v>0</v>
      </c>
      <c r="AE87" s="18">
        <v>190622</v>
      </c>
      <c r="AF87" s="18">
        <v>0</v>
      </c>
      <c r="AG87" s="236">
        <f t="shared" si="44"/>
        <v>190622</v>
      </c>
      <c r="AH87" s="18">
        <f t="shared" ref="AH87:AX97" si="51">AH86+B87</f>
        <v>144412432</v>
      </c>
      <c r="AI87" s="18">
        <f t="shared" si="51"/>
        <v>0</v>
      </c>
      <c r="AJ87" s="18">
        <f t="shared" si="51"/>
        <v>50962215</v>
      </c>
      <c r="AK87" s="18">
        <f t="shared" si="51"/>
        <v>195374647</v>
      </c>
      <c r="AL87" s="18">
        <f t="shared" si="51"/>
        <v>38796059</v>
      </c>
      <c r="AM87" s="18">
        <f t="shared" si="51"/>
        <v>30345404</v>
      </c>
      <c r="AN87" s="18">
        <f t="shared" si="51"/>
        <v>0</v>
      </c>
      <c r="AO87" s="18">
        <f t="shared" si="51"/>
        <v>69141463</v>
      </c>
      <c r="AP87" s="18">
        <f t="shared" si="51"/>
        <v>400953</v>
      </c>
      <c r="AQ87" s="18">
        <f t="shared" si="51"/>
        <v>0</v>
      </c>
      <c r="AR87" s="18">
        <f t="shared" si="51"/>
        <v>400953</v>
      </c>
      <c r="AS87" s="18">
        <f t="shared" si="51"/>
        <v>0</v>
      </c>
      <c r="AT87" s="18">
        <f t="shared" si="51"/>
        <v>0</v>
      </c>
      <c r="AU87" s="18">
        <f t="shared" si="51"/>
        <v>183609444</v>
      </c>
      <c r="AV87" s="18">
        <f t="shared" si="51"/>
        <v>30345404</v>
      </c>
      <c r="AW87" s="18">
        <f t="shared" si="51"/>
        <v>50962215</v>
      </c>
      <c r="AX87" s="18">
        <f t="shared" si="51"/>
        <v>264917063</v>
      </c>
      <c r="AY87" s="26">
        <f t="shared" si="50"/>
        <v>2.0602978786020243E-2</v>
      </c>
    </row>
    <row r="88" spans="1:51" ht="13.5">
      <c r="A88" s="138">
        <v>42795</v>
      </c>
      <c r="B88" s="139">
        <v>111494709</v>
      </c>
      <c r="C88" s="18">
        <v>0</v>
      </c>
      <c r="D88" s="18">
        <v>40549915</v>
      </c>
      <c r="E88" s="18">
        <f t="shared" si="25"/>
        <v>152044624</v>
      </c>
      <c r="F88" s="18">
        <f t="shared" si="34"/>
        <v>15398643</v>
      </c>
      <c r="G88" s="18">
        <f t="shared" si="35"/>
        <v>16616859</v>
      </c>
      <c r="H88" s="18">
        <f t="shared" si="36"/>
        <v>0</v>
      </c>
      <c r="I88" s="18">
        <f t="shared" si="26"/>
        <v>32015502</v>
      </c>
      <c r="J88" s="18">
        <f t="shared" si="37"/>
        <v>184825</v>
      </c>
      <c r="K88" s="18">
        <v>0</v>
      </c>
      <c r="L88" s="18">
        <f t="shared" si="27"/>
        <v>184825</v>
      </c>
      <c r="M88" s="18">
        <v>0</v>
      </c>
      <c r="N88" s="18">
        <f t="shared" si="45"/>
        <v>0</v>
      </c>
      <c r="O88" s="18">
        <f t="shared" si="46"/>
        <v>127078177</v>
      </c>
      <c r="P88" s="18">
        <f t="shared" si="38"/>
        <v>16616859</v>
      </c>
      <c r="Q88" s="18">
        <f t="shared" si="39"/>
        <v>40549915</v>
      </c>
      <c r="R88" s="235">
        <f t="shared" si="40"/>
        <v>184244951</v>
      </c>
      <c r="S88" s="18">
        <v>0</v>
      </c>
      <c r="T88" s="18">
        <v>0</v>
      </c>
      <c r="U88" s="18">
        <v>15398643</v>
      </c>
      <c r="V88" s="18">
        <f t="shared" si="41"/>
        <v>15398643</v>
      </c>
      <c r="W88" s="18">
        <v>0</v>
      </c>
      <c r="X88" s="18">
        <v>0</v>
      </c>
      <c r="Y88" s="18">
        <v>16616859</v>
      </c>
      <c r="Z88" s="18">
        <f t="shared" si="42"/>
        <v>16616859</v>
      </c>
      <c r="AA88" s="18">
        <v>0</v>
      </c>
      <c r="AB88" s="18">
        <v>0</v>
      </c>
      <c r="AC88" s="18">
        <v>0</v>
      </c>
      <c r="AD88" s="18">
        <f t="shared" si="43"/>
        <v>0</v>
      </c>
      <c r="AE88" s="18">
        <v>184825</v>
      </c>
      <c r="AF88" s="18">
        <v>0</v>
      </c>
      <c r="AG88" s="236">
        <f t="shared" si="44"/>
        <v>184825</v>
      </c>
      <c r="AH88" s="18">
        <f t="shared" si="51"/>
        <v>255907141</v>
      </c>
      <c r="AI88" s="18">
        <f t="shared" si="51"/>
        <v>0</v>
      </c>
      <c r="AJ88" s="18">
        <f t="shared" si="51"/>
        <v>91512130</v>
      </c>
      <c r="AK88" s="18">
        <f t="shared" si="51"/>
        <v>347419271</v>
      </c>
      <c r="AL88" s="18">
        <f t="shared" si="51"/>
        <v>54194702</v>
      </c>
      <c r="AM88" s="18">
        <f t="shared" si="51"/>
        <v>46962263</v>
      </c>
      <c r="AN88" s="18">
        <f t="shared" si="51"/>
        <v>0</v>
      </c>
      <c r="AO88" s="18">
        <f t="shared" si="51"/>
        <v>101156965</v>
      </c>
      <c r="AP88" s="18">
        <f t="shared" si="51"/>
        <v>585778</v>
      </c>
      <c r="AQ88" s="18">
        <f t="shared" si="51"/>
        <v>0</v>
      </c>
      <c r="AR88" s="18">
        <f t="shared" si="51"/>
        <v>585778</v>
      </c>
      <c r="AS88" s="18">
        <f t="shared" si="51"/>
        <v>0</v>
      </c>
      <c r="AT88" s="18">
        <f t="shared" si="51"/>
        <v>0</v>
      </c>
      <c r="AU88" s="18">
        <f t="shared" si="51"/>
        <v>310687621</v>
      </c>
      <c r="AV88" s="18">
        <f t="shared" si="51"/>
        <v>46962263</v>
      </c>
      <c r="AW88" s="18">
        <f t="shared" si="51"/>
        <v>91512130</v>
      </c>
      <c r="AX88" s="18">
        <f t="shared" si="51"/>
        <v>449162014</v>
      </c>
      <c r="AY88" s="26">
        <f t="shared" si="50"/>
        <v>5.8236239564912973E-2</v>
      </c>
    </row>
    <row r="89" spans="1:51" ht="13.5">
      <c r="A89" s="138">
        <v>42826</v>
      </c>
      <c r="B89" s="139">
        <v>124324164</v>
      </c>
      <c r="C89" s="18">
        <v>0</v>
      </c>
      <c r="D89" s="18">
        <v>20854252</v>
      </c>
      <c r="E89" s="18">
        <f t="shared" si="25"/>
        <v>145178416</v>
      </c>
      <c r="F89" s="18">
        <f t="shared" si="34"/>
        <v>20068138</v>
      </c>
      <c r="G89" s="18">
        <f t="shared" si="35"/>
        <v>17674969</v>
      </c>
      <c r="H89" s="18">
        <f t="shared" si="36"/>
        <v>0</v>
      </c>
      <c r="I89" s="18">
        <f t="shared" si="26"/>
        <v>37743107</v>
      </c>
      <c r="J89" s="18">
        <f t="shared" si="37"/>
        <v>0</v>
      </c>
      <c r="K89" s="18">
        <v>0</v>
      </c>
      <c r="L89" s="18">
        <f t="shared" si="27"/>
        <v>0</v>
      </c>
      <c r="M89" s="18">
        <v>0</v>
      </c>
      <c r="N89" s="18">
        <f t="shared" si="45"/>
        <v>0</v>
      </c>
      <c r="O89" s="18">
        <f t="shared" si="46"/>
        <v>144392302</v>
      </c>
      <c r="P89" s="18">
        <f t="shared" si="38"/>
        <v>17674969</v>
      </c>
      <c r="Q89" s="18">
        <f t="shared" si="39"/>
        <v>20854252</v>
      </c>
      <c r="R89" s="235">
        <f t="shared" si="40"/>
        <v>182921523</v>
      </c>
      <c r="S89" s="18">
        <v>0</v>
      </c>
      <c r="T89" s="18">
        <v>0</v>
      </c>
      <c r="U89" s="18">
        <v>20068138</v>
      </c>
      <c r="V89" s="18">
        <f t="shared" si="41"/>
        <v>20068138</v>
      </c>
      <c r="W89" s="18">
        <v>0</v>
      </c>
      <c r="X89" s="18">
        <v>0</v>
      </c>
      <c r="Y89" s="18">
        <v>17674969</v>
      </c>
      <c r="Z89" s="18">
        <f t="shared" si="42"/>
        <v>17674969</v>
      </c>
      <c r="AA89" s="18">
        <v>0</v>
      </c>
      <c r="AB89" s="18">
        <v>0</v>
      </c>
      <c r="AC89" s="18">
        <v>0</v>
      </c>
      <c r="AD89" s="18">
        <f t="shared" si="43"/>
        <v>0</v>
      </c>
      <c r="AE89" s="18">
        <v>0</v>
      </c>
      <c r="AF89" s="18">
        <v>0</v>
      </c>
      <c r="AG89" s="236">
        <f t="shared" si="44"/>
        <v>0</v>
      </c>
      <c r="AH89" s="18">
        <f t="shared" si="51"/>
        <v>380231305</v>
      </c>
      <c r="AI89" s="18">
        <f t="shared" si="51"/>
        <v>0</v>
      </c>
      <c r="AJ89" s="18">
        <f t="shared" si="51"/>
        <v>112366382</v>
      </c>
      <c r="AK89" s="18">
        <f t="shared" si="51"/>
        <v>492597687</v>
      </c>
      <c r="AL89" s="18">
        <f t="shared" si="51"/>
        <v>74262840</v>
      </c>
      <c r="AM89" s="18">
        <f t="shared" si="51"/>
        <v>64637232</v>
      </c>
      <c r="AN89" s="18">
        <f t="shared" si="51"/>
        <v>0</v>
      </c>
      <c r="AO89" s="18">
        <f t="shared" si="51"/>
        <v>138900072</v>
      </c>
      <c r="AP89" s="18">
        <f t="shared" si="51"/>
        <v>585778</v>
      </c>
      <c r="AQ89" s="18">
        <f t="shared" si="51"/>
        <v>0</v>
      </c>
      <c r="AR89" s="18">
        <f t="shared" si="51"/>
        <v>585778</v>
      </c>
      <c r="AS89" s="18">
        <f t="shared" si="51"/>
        <v>0</v>
      </c>
      <c r="AT89" s="18">
        <f t="shared" si="51"/>
        <v>0</v>
      </c>
      <c r="AU89" s="18">
        <f t="shared" si="51"/>
        <v>455079923</v>
      </c>
      <c r="AV89" s="18">
        <f t="shared" si="51"/>
        <v>64637232</v>
      </c>
      <c r="AW89" s="18">
        <f t="shared" si="51"/>
        <v>112366382</v>
      </c>
      <c r="AX89" s="18">
        <f t="shared" si="51"/>
        <v>632083537</v>
      </c>
      <c r="AY89" s="26">
        <f t="shared" si="50"/>
        <v>2.1206154173135205E-2</v>
      </c>
    </row>
    <row r="90" spans="1:51" ht="13.5">
      <c r="A90" s="138">
        <v>42856</v>
      </c>
      <c r="B90" s="139">
        <v>147074058</v>
      </c>
      <c r="C90" s="18">
        <v>0</v>
      </c>
      <c r="D90" s="18">
        <v>39031612</v>
      </c>
      <c r="E90" s="18">
        <f t="shared" si="25"/>
        <v>186105670</v>
      </c>
      <c r="F90" s="18">
        <f t="shared" si="34"/>
        <v>24025408</v>
      </c>
      <c r="G90" s="18">
        <f t="shared" si="35"/>
        <v>20849205</v>
      </c>
      <c r="H90" s="18">
        <f t="shared" si="36"/>
        <v>0</v>
      </c>
      <c r="I90" s="18">
        <f t="shared" si="26"/>
        <v>44874613</v>
      </c>
      <c r="J90" s="18">
        <f t="shared" si="37"/>
        <v>134485</v>
      </c>
      <c r="K90" s="18">
        <v>0</v>
      </c>
      <c r="L90" s="18">
        <f t="shared" si="27"/>
        <v>134485</v>
      </c>
      <c r="M90" s="18">
        <v>0</v>
      </c>
      <c r="N90" s="18">
        <f t="shared" si="45"/>
        <v>0</v>
      </c>
      <c r="O90" s="18">
        <f t="shared" si="46"/>
        <v>171233951</v>
      </c>
      <c r="P90" s="18">
        <f t="shared" si="38"/>
        <v>20849205</v>
      </c>
      <c r="Q90" s="18">
        <f t="shared" si="39"/>
        <v>39031612</v>
      </c>
      <c r="R90" s="235">
        <f t="shared" si="40"/>
        <v>231114768</v>
      </c>
      <c r="S90" s="18">
        <v>0</v>
      </c>
      <c r="T90" s="18">
        <v>0</v>
      </c>
      <c r="U90" s="18">
        <v>24025408</v>
      </c>
      <c r="V90" s="18">
        <f t="shared" si="41"/>
        <v>24025408</v>
      </c>
      <c r="W90" s="18">
        <v>0</v>
      </c>
      <c r="X90" s="18">
        <v>0</v>
      </c>
      <c r="Y90" s="18">
        <v>20849205</v>
      </c>
      <c r="Z90" s="18">
        <f t="shared" si="42"/>
        <v>20849205</v>
      </c>
      <c r="AA90" s="18">
        <v>0</v>
      </c>
      <c r="AB90" s="18">
        <v>0</v>
      </c>
      <c r="AC90" s="18">
        <v>0</v>
      </c>
      <c r="AD90" s="18">
        <f t="shared" si="43"/>
        <v>0</v>
      </c>
      <c r="AE90" s="18">
        <v>134485</v>
      </c>
      <c r="AF90" s="18">
        <v>0</v>
      </c>
      <c r="AG90" s="236">
        <f t="shared" si="44"/>
        <v>134485</v>
      </c>
      <c r="AH90" s="18">
        <f t="shared" si="51"/>
        <v>527305363</v>
      </c>
      <c r="AI90" s="18">
        <f t="shared" si="51"/>
        <v>0</v>
      </c>
      <c r="AJ90" s="18">
        <f t="shared" si="51"/>
        <v>151397994</v>
      </c>
      <c r="AK90" s="18">
        <f t="shared" si="51"/>
        <v>678703357</v>
      </c>
      <c r="AL90" s="18">
        <f t="shared" si="51"/>
        <v>98288248</v>
      </c>
      <c r="AM90" s="18">
        <f t="shared" si="51"/>
        <v>85486437</v>
      </c>
      <c r="AN90" s="18">
        <f t="shared" si="51"/>
        <v>0</v>
      </c>
      <c r="AO90" s="18">
        <f t="shared" si="51"/>
        <v>183774685</v>
      </c>
      <c r="AP90" s="18">
        <f t="shared" si="51"/>
        <v>720263</v>
      </c>
      <c r="AQ90" s="18">
        <f t="shared" si="51"/>
        <v>0</v>
      </c>
      <c r="AR90" s="18">
        <f t="shared" si="51"/>
        <v>720263</v>
      </c>
      <c r="AS90" s="18">
        <f t="shared" si="51"/>
        <v>0</v>
      </c>
      <c r="AT90" s="18">
        <f t="shared" si="51"/>
        <v>0</v>
      </c>
      <c r="AU90" s="18">
        <f t="shared" si="51"/>
        <v>626313874</v>
      </c>
      <c r="AV90" s="18">
        <f t="shared" si="51"/>
        <v>85486437</v>
      </c>
      <c r="AW90" s="18">
        <f t="shared" si="51"/>
        <v>151397994</v>
      </c>
      <c r="AX90" s="18">
        <f t="shared" si="51"/>
        <v>863198305</v>
      </c>
      <c r="AY90" s="26">
        <f t="shared" si="50"/>
        <v>4.66747160216896E-2</v>
      </c>
    </row>
    <row r="91" spans="1:51" ht="13.5">
      <c r="A91" s="138">
        <v>42887</v>
      </c>
      <c r="B91" s="139">
        <v>145011076</v>
      </c>
      <c r="C91" s="18">
        <v>0</v>
      </c>
      <c r="D91" s="18">
        <v>83762771</v>
      </c>
      <c r="E91" s="18">
        <f t="shared" si="25"/>
        <v>228773847</v>
      </c>
      <c r="F91" s="18">
        <f t="shared" si="34"/>
        <v>17375071</v>
      </c>
      <c r="G91" s="18">
        <f t="shared" si="35"/>
        <v>16598675</v>
      </c>
      <c r="H91" s="18">
        <f t="shared" si="36"/>
        <v>0</v>
      </c>
      <c r="I91" s="18">
        <f t="shared" si="26"/>
        <v>33973746</v>
      </c>
      <c r="J91" s="18">
        <f t="shared" si="37"/>
        <v>127471</v>
      </c>
      <c r="K91" s="18">
        <v>0</v>
      </c>
      <c r="L91" s="18">
        <f t="shared" si="27"/>
        <v>127471</v>
      </c>
      <c r="M91" s="18">
        <v>0</v>
      </c>
      <c r="N91" s="18">
        <f t="shared" si="45"/>
        <v>0</v>
      </c>
      <c r="O91" s="18">
        <f t="shared" si="46"/>
        <v>162513618</v>
      </c>
      <c r="P91" s="18">
        <f t="shared" si="38"/>
        <v>16598675</v>
      </c>
      <c r="Q91" s="18">
        <f t="shared" si="39"/>
        <v>83762771</v>
      </c>
      <c r="R91" s="235">
        <f t="shared" si="40"/>
        <v>262875064</v>
      </c>
      <c r="S91" s="18">
        <v>0</v>
      </c>
      <c r="T91" s="18">
        <v>0</v>
      </c>
      <c r="U91" s="18">
        <v>17375071</v>
      </c>
      <c r="V91" s="18">
        <f t="shared" si="41"/>
        <v>17375071</v>
      </c>
      <c r="W91" s="18">
        <v>0</v>
      </c>
      <c r="X91" s="18">
        <v>0</v>
      </c>
      <c r="Y91" s="18">
        <v>16598675</v>
      </c>
      <c r="Z91" s="18">
        <f t="shared" si="42"/>
        <v>16598675</v>
      </c>
      <c r="AA91" s="18">
        <v>0</v>
      </c>
      <c r="AB91" s="18">
        <v>0</v>
      </c>
      <c r="AC91" s="18">
        <v>0</v>
      </c>
      <c r="AD91" s="18">
        <f t="shared" si="43"/>
        <v>0</v>
      </c>
      <c r="AE91" s="18">
        <v>127471</v>
      </c>
      <c r="AF91" s="18">
        <v>0</v>
      </c>
      <c r="AG91" s="236">
        <f t="shared" si="44"/>
        <v>127471</v>
      </c>
      <c r="AH91" s="18">
        <f t="shared" si="51"/>
        <v>672316439</v>
      </c>
      <c r="AI91" s="18">
        <f t="shared" si="51"/>
        <v>0</v>
      </c>
      <c r="AJ91" s="18">
        <f t="shared" si="51"/>
        <v>235160765</v>
      </c>
      <c r="AK91" s="18">
        <f t="shared" si="51"/>
        <v>907477204</v>
      </c>
      <c r="AL91" s="18">
        <f t="shared" si="51"/>
        <v>115663319</v>
      </c>
      <c r="AM91" s="18">
        <f t="shared" si="51"/>
        <v>102085112</v>
      </c>
      <c r="AN91" s="18">
        <f t="shared" si="51"/>
        <v>0</v>
      </c>
      <c r="AO91" s="18">
        <f t="shared" si="51"/>
        <v>217748431</v>
      </c>
      <c r="AP91" s="18">
        <f t="shared" si="51"/>
        <v>847734</v>
      </c>
      <c r="AQ91" s="18">
        <f t="shared" si="51"/>
        <v>0</v>
      </c>
      <c r="AR91" s="18">
        <f t="shared" si="51"/>
        <v>847734</v>
      </c>
      <c r="AS91" s="18">
        <f t="shared" si="51"/>
        <v>0</v>
      </c>
      <c r="AT91" s="18">
        <f t="shared" si="51"/>
        <v>0</v>
      </c>
      <c r="AU91" s="18">
        <f t="shared" si="51"/>
        <v>788827492</v>
      </c>
      <c r="AV91" s="18">
        <f t="shared" si="51"/>
        <v>102085112</v>
      </c>
      <c r="AW91" s="18">
        <f t="shared" si="51"/>
        <v>235160765</v>
      </c>
      <c r="AX91" s="18">
        <f t="shared" si="51"/>
        <v>1126073369</v>
      </c>
      <c r="AY91" s="26">
        <f t="shared" si="50"/>
        <v>5.489857023726552E-2</v>
      </c>
    </row>
    <row r="92" spans="1:51" ht="13.5">
      <c r="A92" s="138">
        <v>42917</v>
      </c>
      <c r="B92" s="139">
        <v>150290364</v>
      </c>
      <c r="C92" s="18">
        <v>0</v>
      </c>
      <c r="D92" s="18">
        <v>54630838</v>
      </c>
      <c r="E92" s="18">
        <f t="shared" si="25"/>
        <v>204921202</v>
      </c>
      <c r="F92" s="18">
        <f t="shared" si="34"/>
        <v>19135415</v>
      </c>
      <c r="G92" s="18">
        <f t="shared" si="35"/>
        <v>18588383</v>
      </c>
      <c r="H92" s="18">
        <f t="shared" si="36"/>
        <v>0</v>
      </c>
      <c r="I92" s="18">
        <f t="shared" si="26"/>
        <v>37723798</v>
      </c>
      <c r="J92" s="18">
        <f t="shared" si="37"/>
        <v>120661</v>
      </c>
      <c r="K92" s="18">
        <v>0</v>
      </c>
      <c r="L92" s="18">
        <f t="shared" si="27"/>
        <v>120661</v>
      </c>
      <c r="M92" s="18">
        <v>0</v>
      </c>
      <c r="N92" s="18">
        <f t="shared" si="45"/>
        <v>0</v>
      </c>
      <c r="O92" s="18">
        <f t="shared" si="46"/>
        <v>169546440</v>
      </c>
      <c r="P92" s="18">
        <f t="shared" si="38"/>
        <v>18588383</v>
      </c>
      <c r="Q92" s="18">
        <f t="shared" si="39"/>
        <v>54630838</v>
      </c>
      <c r="R92" s="235">
        <f t="shared" si="40"/>
        <v>242765661</v>
      </c>
      <c r="S92" s="18">
        <v>0</v>
      </c>
      <c r="T92" s="18">
        <v>0</v>
      </c>
      <c r="U92" s="18">
        <v>19135415</v>
      </c>
      <c r="V92" s="18">
        <f t="shared" si="41"/>
        <v>19135415</v>
      </c>
      <c r="W92" s="18">
        <v>0</v>
      </c>
      <c r="X92" s="18">
        <v>0</v>
      </c>
      <c r="Y92" s="18">
        <v>18588383</v>
      </c>
      <c r="Z92" s="18">
        <f t="shared" si="42"/>
        <v>18588383</v>
      </c>
      <c r="AA92" s="18">
        <v>0</v>
      </c>
      <c r="AB92" s="18">
        <v>0</v>
      </c>
      <c r="AC92" s="18">
        <v>0</v>
      </c>
      <c r="AD92" s="18">
        <f t="shared" si="43"/>
        <v>0</v>
      </c>
      <c r="AE92" s="18">
        <v>120661</v>
      </c>
      <c r="AF92" s="18">
        <v>0</v>
      </c>
      <c r="AG92" s="236">
        <f t="shared" si="44"/>
        <v>120661</v>
      </c>
      <c r="AH92" s="18">
        <f t="shared" si="51"/>
        <v>822606803</v>
      </c>
      <c r="AI92" s="18">
        <f t="shared" si="51"/>
        <v>0</v>
      </c>
      <c r="AJ92" s="18">
        <f t="shared" si="51"/>
        <v>289791603</v>
      </c>
      <c r="AK92" s="18">
        <f t="shared" si="51"/>
        <v>1112398406</v>
      </c>
      <c r="AL92" s="18">
        <f t="shared" si="51"/>
        <v>134798734</v>
      </c>
      <c r="AM92" s="18">
        <f t="shared" si="51"/>
        <v>120673495</v>
      </c>
      <c r="AN92" s="18">
        <f t="shared" si="51"/>
        <v>0</v>
      </c>
      <c r="AO92" s="18">
        <f t="shared" si="51"/>
        <v>255472229</v>
      </c>
      <c r="AP92" s="18">
        <f t="shared" si="51"/>
        <v>968395</v>
      </c>
      <c r="AQ92" s="18">
        <f t="shared" si="51"/>
        <v>0</v>
      </c>
      <c r="AR92" s="18">
        <f t="shared" si="51"/>
        <v>968395</v>
      </c>
      <c r="AS92" s="18">
        <f t="shared" si="51"/>
        <v>0</v>
      </c>
      <c r="AT92" s="18">
        <f t="shared" si="51"/>
        <v>0</v>
      </c>
      <c r="AU92" s="18">
        <f t="shared" si="51"/>
        <v>958373932</v>
      </c>
      <c r="AV92" s="18">
        <f t="shared" si="51"/>
        <v>120673495</v>
      </c>
      <c r="AW92" s="18">
        <f t="shared" si="51"/>
        <v>289791603</v>
      </c>
      <c r="AX92" s="18">
        <f t="shared" si="51"/>
        <v>1368839030</v>
      </c>
      <c r="AY92" s="26">
        <f t="shared" si="50"/>
        <v>7.671162406017995E-2</v>
      </c>
    </row>
    <row r="93" spans="1:51" ht="13.5">
      <c r="A93" s="138">
        <v>42948</v>
      </c>
      <c r="B93" s="139">
        <v>157536696</v>
      </c>
      <c r="C93" s="18">
        <v>0</v>
      </c>
      <c r="D93" s="18">
        <v>52041080</v>
      </c>
      <c r="E93" s="18">
        <f t="shared" si="25"/>
        <v>209577776</v>
      </c>
      <c r="F93" s="18">
        <f t="shared" si="34"/>
        <v>24232162</v>
      </c>
      <c r="G93" s="18">
        <f t="shared" si="35"/>
        <v>14587142</v>
      </c>
      <c r="H93" s="18">
        <f t="shared" si="36"/>
        <v>0</v>
      </c>
      <c r="I93" s="18">
        <f t="shared" si="26"/>
        <v>38819304</v>
      </c>
      <c r="J93" s="18">
        <f t="shared" si="37"/>
        <v>174175</v>
      </c>
      <c r="K93" s="18">
        <v>0</v>
      </c>
      <c r="L93" s="18">
        <f t="shared" si="27"/>
        <v>174175</v>
      </c>
      <c r="M93" s="18">
        <v>0</v>
      </c>
      <c r="N93" s="18">
        <f t="shared" si="45"/>
        <v>0</v>
      </c>
      <c r="O93" s="18">
        <f t="shared" si="46"/>
        <v>181943033</v>
      </c>
      <c r="P93" s="18">
        <f t="shared" si="38"/>
        <v>14587142</v>
      </c>
      <c r="Q93" s="18">
        <f t="shared" si="39"/>
        <v>52041080</v>
      </c>
      <c r="R93" s="235">
        <f t="shared" si="40"/>
        <v>248571255</v>
      </c>
      <c r="S93" s="18">
        <v>0</v>
      </c>
      <c r="T93" s="18">
        <v>0</v>
      </c>
      <c r="U93" s="18">
        <v>24232162</v>
      </c>
      <c r="V93" s="18">
        <f t="shared" si="41"/>
        <v>24232162</v>
      </c>
      <c r="W93" s="18">
        <v>0</v>
      </c>
      <c r="X93" s="18">
        <v>0</v>
      </c>
      <c r="Y93" s="18">
        <v>14587142</v>
      </c>
      <c r="Z93" s="18">
        <f t="shared" si="42"/>
        <v>14587142</v>
      </c>
      <c r="AA93" s="18">
        <v>0</v>
      </c>
      <c r="AB93" s="18">
        <v>0</v>
      </c>
      <c r="AC93" s="18">
        <v>0</v>
      </c>
      <c r="AD93" s="18">
        <f t="shared" si="43"/>
        <v>0</v>
      </c>
      <c r="AE93" s="18">
        <v>174175</v>
      </c>
      <c r="AF93" s="18">
        <v>0</v>
      </c>
      <c r="AG93" s="236">
        <f t="shared" si="44"/>
        <v>174175</v>
      </c>
      <c r="AH93" s="18">
        <f t="shared" si="51"/>
        <v>980143499</v>
      </c>
      <c r="AI93" s="18">
        <f t="shared" si="51"/>
        <v>0</v>
      </c>
      <c r="AJ93" s="18">
        <f t="shared" si="51"/>
        <v>341832683</v>
      </c>
      <c r="AK93" s="18">
        <f t="shared" si="51"/>
        <v>1321976182</v>
      </c>
      <c r="AL93" s="18">
        <f t="shared" si="51"/>
        <v>159030896</v>
      </c>
      <c r="AM93" s="18">
        <f t="shared" si="51"/>
        <v>135260637</v>
      </c>
      <c r="AN93" s="18">
        <f t="shared" si="51"/>
        <v>0</v>
      </c>
      <c r="AO93" s="18">
        <f t="shared" si="51"/>
        <v>294291533</v>
      </c>
      <c r="AP93" s="18">
        <f t="shared" si="51"/>
        <v>1142570</v>
      </c>
      <c r="AQ93" s="18">
        <f t="shared" si="51"/>
        <v>0</v>
      </c>
      <c r="AR93" s="18">
        <f t="shared" si="51"/>
        <v>1142570</v>
      </c>
      <c r="AS93" s="18">
        <f t="shared" si="51"/>
        <v>0</v>
      </c>
      <c r="AT93" s="18">
        <f t="shared" si="51"/>
        <v>0</v>
      </c>
      <c r="AU93" s="18">
        <f t="shared" si="51"/>
        <v>1140316965</v>
      </c>
      <c r="AV93" s="18">
        <f t="shared" si="51"/>
        <v>135260637</v>
      </c>
      <c r="AW93" s="18">
        <f t="shared" si="51"/>
        <v>341832683</v>
      </c>
      <c r="AX93" s="18">
        <f t="shared" si="51"/>
        <v>1617410285</v>
      </c>
      <c r="AY93" s="26">
        <f t="shared" si="50"/>
        <v>5.4208214928565424E-2</v>
      </c>
    </row>
    <row r="94" spans="1:51" ht="13.5">
      <c r="A94" s="138">
        <v>42979</v>
      </c>
      <c r="B94" s="139">
        <v>148333215</v>
      </c>
      <c r="C94" s="18">
        <v>0</v>
      </c>
      <c r="D94" s="18">
        <v>27897293</v>
      </c>
      <c r="E94" s="18">
        <f t="shared" si="25"/>
        <v>176230508</v>
      </c>
      <c r="F94" s="18">
        <f t="shared" si="34"/>
        <v>21583936</v>
      </c>
      <c r="G94" s="18">
        <f t="shared" si="35"/>
        <v>16856877</v>
      </c>
      <c r="H94" s="18">
        <f t="shared" si="36"/>
        <v>757255</v>
      </c>
      <c r="I94" s="18">
        <f t="shared" si="26"/>
        <v>39198068</v>
      </c>
      <c r="J94" s="18">
        <f t="shared" si="37"/>
        <v>137952</v>
      </c>
      <c r="K94" s="18">
        <v>0</v>
      </c>
      <c r="L94" s="18">
        <f t="shared" si="27"/>
        <v>137952</v>
      </c>
      <c r="M94" s="18">
        <v>0</v>
      </c>
      <c r="N94" s="18">
        <f t="shared" si="45"/>
        <v>0</v>
      </c>
      <c r="O94" s="18">
        <f t="shared" si="46"/>
        <v>170055103</v>
      </c>
      <c r="P94" s="18">
        <f t="shared" si="38"/>
        <v>16856877</v>
      </c>
      <c r="Q94" s="18">
        <f t="shared" si="39"/>
        <v>28654548</v>
      </c>
      <c r="R94" s="235">
        <f t="shared" si="40"/>
        <v>215566528</v>
      </c>
      <c r="S94" s="18">
        <v>0</v>
      </c>
      <c r="T94" s="18">
        <v>0</v>
      </c>
      <c r="U94" s="18">
        <v>21583936</v>
      </c>
      <c r="V94" s="18">
        <f t="shared" si="41"/>
        <v>21583936</v>
      </c>
      <c r="W94" s="18">
        <v>0</v>
      </c>
      <c r="X94" s="18">
        <v>0</v>
      </c>
      <c r="Y94" s="18">
        <v>16856877</v>
      </c>
      <c r="Z94" s="18">
        <f t="shared" si="42"/>
        <v>16856877</v>
      </c>
      <c r="AA94" s="18">
        <v>0</v>
      </c>
      <c r="AB94" s="18">
        <v>0</v>
      </c>
      <c r="AC94" s="18">
        <v>757255</v>
      </c>
      <c r="AD94" s="18">
        <f t="shared" si="43"/>
        <v>757255</v>
      </c>
      <c r="AE94" s="18">
        <v>137952</v>
      </c>
      <c r="AF94" s="18">
        <v>0</v>
      </c>
      <c r="AG94" s="236">
        <f t="shared" si="44"/>
        <v>137952</v>
      </c>
      <c r="AH94" s="18">
        <f t="shared" si="51"/>
        <v>1128476714</v>
      </c>
      <c r="AI94" s="18">
        <f t="shared" si="51"/>
        <v>0</v>
      </c>
      <c r="AJ94" s="18">
        <f t="shared" si="51"/>
        <v>369729976</v>
      </c>
      <c r="AK94" s="18">
        <f t="shared" si="51"/>
        <v>1498206690</v>
      </c>
      <c r="AL94" s="18">
        <f t="shared" si="51"/>
        <v>180614832</v>
      </c>
      <c r="AM94" s="18">
        <f t="shared" si="51"/>
        <v>152117514</v>
      </c>
      <c r="AN94" s="18">
        <f t="shared" si="51"/>
        <v>757255</v>
      </c>
      <c r="AO94" s="18">
        <f t="shared" si="51"/>
        <v>333489601</v>
      </c>
      <c r="AP94" s="18">
        <f t="shared" si="51"/>
        <v>1280522</v>
      </c>
      <c r="AQ94" s="18">
        <f t="shared" si="51"/>
        <v>0</v>
      </c>
      <c r="AR94" s="18">
        <f t="shared" si="51"/>
        <v>1280522</v>
      </c>
      <c r="AS94" s="18">
        <f t="shared" si="51"/>
        <v>0</v>
      </c>
      <c r="AT94" s="18">
        <f t="shared" si="51"/>
        <v>0</v>
      </c>
      <c r="AU94" s="18">
        <f t="shared" si="51"/>
        <v>1310372068</v>
      </c>
      <c r="AV94" s="18">
        <f t="shared" si="51"/>
        <v>152117514</v>
      </c>
      <c r="AW94" s="18">
        <f t="shared" si="51"/>
        <v>370487231</v>
      </c>
      <c r="AX94" s="18">
        <f t="shared" si="51"/>
        <v>1832976813</v>
      </c>
      <c r="AY94" s="26">
        <f t="shared" si="50"/>
        <v>2.2565050451997859E-2</v>
      </c>
    </row>
    <row r="95" spans="1:51" ht="13.5">
      <c r="A95" s="138">
        <v>43009</v>
      </c>
      <c r="B95" s="139">
        <v>149347918</v>
      </c>
      <c r="C95" s="18">
        <v>0</v>
      </c>
      <c r="D95" s="18">
        <v>36685627</v>
      </c>
      <c r="E95" s="18">
        <f t="shared" si="25"/>
        <v>186033545</v>
      </c>
      <c r="F95" s="18">
        <f t="shared" si="34"/>
        <v>25021680</v>
      </c>
      <c r="G95" s="18">
        <f t="shared" si="35"/>
        <v>16292718</v>
      </c>
      <c r="H95" s="18">
        <f t="shared" si="36"/>
        <v>0</v>
      </c>
      <c r="I95" s="18">
        <f t="shared" si="26"/>
        <v>41314398</v>
      </c>
      <c r="J95" s="18">
        <f t="shared" si="37"/>
        <v>160272</v>
      </c>
      <c r="K95" s="18">
        <v>0</v>
      </c>
      <c r="L95" s="18">
        <f t="shared" si="27"/>
        <v>160272</v>
      </c>
      <c r="M95" s="18">
        <v>0</v>
      </c>
      <c r="N95" s="18">
        <f t="shared" si="45"/>
        <v>0</v>
      </c>
      <c r="O95" s="18">
        <f t="shared" si="46"/>
        <v>174529870</v>
      </c>
      <c r="P95" s="18">
        <f t="shared" si="38"/>
        <v>16292718</v>
      </c>
      <c r="Q95" s="18">
        <f t="shared" si="39"/>
        <v>36685627</v>
      </c>
      <c r="R95" s="235">
        <f t="shared" si="40"/>
        <v>227508215</v>
      </c>
      <c r="S95" s="18">
        <v>0</v>
      </c>
      <c r="T95" s="18">
        <v>0</v>
      </c>
      <c r="U95" s="18">
        <v>25021680</v>
      </c>
      <c r="V95" s="18">
        <f t="shared" si="41"/>
        <v>25021680</v>
      </c>
      <c r="W95" s="18">
        <v>0</v>
      </c>
      <c r="X95" s="18">
        <v>0</v>
      </c>
      <c r="Y95" s="18">
        <v>16292718</v>
      </c>
      <c r="Z95" s="18">
        <f t="shared" si="42"/>
        <v>16292718</v>
      </c>
      <c r="AA95" s="18">
        <v>0</v>
      </c>
      <c r="AB95" s="18">
        <v>0</v>
      </c>
      <c r="AC95" s="18">
        <v>0</v>
      </c>
      <c r="AD95" s="18">
        <f t="shared" si="43"/>
        <v>0</v>
      </c>
      <c r="AE95" s="18">
        <v>160272</v>
      </c>
      <c r="AF95" s="18">
        <v>0</v>
      </c>
      <c r="AG95" s="236">
        <f t="shared" si="44"/>
        <v>160272</v>
      </c>
      <c r="AH95" s="18">
        <f t="shared" si="51"/>
        <v>1277824632</v>
      </c>
      <c r="AI95" s="18">
        <f t="shared" si="51"/>
        <v>0</v>
      </c>
      <c r="AJ95" s="18">
        <f t="shared" si="51"/>
        <v>406415603</v>
      </c>
      <c r="AK95" s="18">
        <f t="shared" si="51"/>
        <v>1684240235</v>
      </c>
      <c r="AL95" s="18">
        <f t="shared" si="51"/>
        <v>205636512</v>
      </c>
      <c r="AM95" s="18">
        <f t="shared" si="51"/>
        <v>168410232</v>
      </c>
      <c r="AN95" s="18">
        <f t="shared" si="51"/>
        <v>757255</v>
      </c>
      <c r="AO95" s="18">
        <f t="shared" si="51"/>
        <v>374803999</v>
      </c>
      <c r="AP95" s="18">
        <f t="shared" si="51"/>
        <v>1440794</v>
      </c>
      <c r="AQ95" s="18">
        <f t="shared" si="51"/>
        <v>0</v>
      </c>
      <c r="AR95" s="18">
        <f t="shared" si="51"/>
        <v>1440794</v>
      </c>
      <c r="AS95" s="18">
        <f t="shared" si="51"/>
        <v>0</v>
      </c>
      <c r="AT95" s="18">
        <f t="shared" si="51"/>
        <v>0</v>
      </c>
      <c r="AU95" s="18">
        <f t="shared" si="51"/>
        <v>1484901938</v>
      </c>
      <c r="AV95" s="18">
        <f t="shared" si="51"/>
        <v>168410232</v>
      </c>
      <c r="AW95" s="18">
        <f t="shared" si="51"/>
        <v>407172858</v>
      </c>
      <c r="AX95" s="18">
        <f t="shared" si="51"/>
        <v>2060485028</v>
      </c>
      <c r="AY95" s="26">
        <f t="shared" si="50"/>
        <v>2.1374162172781874E-2</v>
      </c>
    </row>
    <row r="96" spans="1:51" ht="13.5">
      <c r="A96" s="138">
        <v>43040</v>
      </c>
      <c r="B96" s="139">
        <v>147829945</v>
      </c>
      <c r="C96" s="18">
        <v>0</v>
      </c>
      <c r="D96" s="18">
        <v>24382225</v>
      </c>
      <c r="E96" s="18">
        <f t="shared" si="25"/>
        <v>172212170</v>
      </c>
      <c r="F96" s="18">
        <f t="shared" si="34"/>
        <v>22579304</v>
      </c>
      <c r="G96" s="18">
        <f t="shared" si="35"/>
        <v>11529654</v>
      </c>
      <c r="H96" s="18">
        <f t="shared" si="36"/>
        <v>0</v>
      </c>
      <c r="I96" s="18">
        <f t="shared" si="26"/>
        <v>34108958</v>
      </c>
      <c r="J96" s="18">
        <f t="shared" si="37"/>
        <v>68957</v>
      </c>
      <c r="K96" s="18">
        <v>0</v>
      </c>
      <c r="L96" s="18">
        <f t="shared" si="27"/>
        <v>68957</v>
      </c>
      <c r="M96" s="18">
        <v>0</v>
      </c>
      <c r="N96" s="18">
        <f t="shared" si="45"/>
        <v>0</v>
      </c>
      <c r="O96" s="18">
        <f t="shared" si="46"/>
        <v>170478206</v>
      </c>
      <c r="P96" s="18">
        <f t="shared" si="38"/>
        <v>11529654</v>
      </c>
      <c r="Q96" s="18">
        <f t="shared" si="39"/>
        <v>24382225</v>
      </c>
      <c r="R96" s="235">
        <f t="shared" si="40"/>
        <v>206390085</v>
      </c>
      <c r="S96" s="18">
        <v>0</v>
      </c>
      <c r="T96" s="18">
        <v>0</v>
      </c>
      <c r="U96" s="18">
        <v>22579304</v>
      </c>
      <c r="V96" s="18">
        <f t="shared" si="41"/>
        <v>22579304</v>
      </c>
      <c r="W96" s="18">
        <v>0</v>
      </c>
      <c r="X96" s="18">
        <v>0</v>
      </c>
      <c r="Y96" s="18">
        <v>11529654</v>
      </c>
      <c r="Z96" s="18">
        <f t="shared" si="42"/>
        <v>11529654</v>
      </c>
      <c r="AA96" s="18">
        <v>0</v>
      </c>
      <c r="AB96" s="18">
        <v>0</v>
      </c>
      <c r="AC96" s="18">
        <v>0</v>
      </c>
      <c r="AD96" s="18">
        <f t="shared" si="43"/>
        <v>0</v>
      </c>
      <c r="AE96" s="18">
        <v>68957</v>
      </c>
      <c r="AF96" s="18">
        <v>0</v>
      </c>
      <c r="AG96" s="236">
        <f t="shared" si="44"/>
        <v>68957</v>
      </c>
      <c r="AH96" s="18">
        <f t="shared" si="51"/>
        <v>1425654577</v>
      </c>
      <c r="AI96" s="18">
        <f t="shared" si="51"/>
        <v>0</v>
      </c>
      <c r="AJ96" s="18">
        <f t="shared" si="51"/>
        <v>430797828</v>
      </c>
      <c r="AK96" s="18">
        <f t="shared" si="51"/>
        <v>1856452405</v>
      </c>
      <c r="AL96" s="18">
        <f t="shared" si="51"/>
        <v>228215816</v>
      </c>
      <c r="AM96" s="18">
        <f t="shared" si="51"/>
        <v>179939886</v>
      </c>
      <c r="AN96" s="18">
        <f t="shared" si="51"/>
        <v>757255</v>
      </c>
      <c r="AO96" s="18">
        <f t="shared" si="51"/>
        <v>408912957</v>
      </c>
      <c r="AP96" s="18">
        <f t="shared" si="51"/>
        <v>1509751</v>
      </c>
      <c r="AQ96" s="18">
        <f t="shared" si="51"/>
        <v>0</v>
      </c>
      <c r="AR96" s="18">
        <f t="shared" si="51"/>
        <v>1509751</v>
      </c>
      <c r="AS96" s="18">
        <f t="shared" si="51"/>
        <v>0</v>
      </c>
      <c r="AT96" s="18">
        <f t="shared" si="51"/>
        <v>0</v>
      </c>
      <c r="AU96" s="18">
        <f t="shared" si="51"/>
        <v>1655380144</v>
      </c>
      <c r="AV96" s="18">
        <f t="shared" si="51"/>
        <v>179939886</v>
      </c>
      <c r="AW96" s="18">
        <f t="shared" si="51"/>
        <v>431555083</v>
      </c>
      <c r="AX96" s="18">
        <f t="shared" si="51"/>
        <v>2266875113</v>
      </c>
      <c r="AY96" s="26">
        <f t="shared" si="50"/>
        <v>8.9303916708782793E-4</v>
      </c>
    </row>
    <row r="97" spans="1:51" ht="14.25" thickBot="1">
      <c r="A97" s="138">
        <v>43070</v>
      </c>
      <c r="B97" s="139">
        <v>162595163</v>
      </c>
      <c r="C97" s="18">
        <v>0</v>
      </c>
      <c r="D97" s="18">
        <v>31116816</v>
      </c>
      <c r="E97" s="18">
        <f t="shared" si="25"/>
        <v>193711979</v>
      </c>
      <c r="F97" s="18">
        <f t="shared" si="34"/>
        <v>24979072</v>
      </c>
      <c r="G97" s="18">
        <f t="shared" si="35"/>
        <v>19577357</v>
      </c>
      <c r="H97" s="18">
        <f t="shared" si="36"/>
        <v>0</v>
      </c>
      <c r="I97" s="18">
        <f t="shared" si="26"/>
        <v>44556429</v>
      </c>
      <c r="J97" s="18">
        <f t="shared" si="37"/>
        <v>201266</v>
      </c>
      <c r="K97" s="18">
        <v>0</v>
      </c>
      <c r="L97" s="18">
        <f t="shared" si="27"/>
        <v>201266</v>
      </c>
      <c r="M97" s="18">
        <v>0</v>
      </c>
      <c r="N97" s="18">
        <f t="shared" si="45"/>
        <v>0</v>
      </c>
      <c r="O97" s="18">
        <f t="shared" si="46"/>
        <v>187775501</v>
      </c>
      <c r="P97" s="18">
        <f t="shared" si="38"/>
        <v>19577357</v>
      </c>
      <c r="Q97" s="18">
        <f t="shared" si="39"/>
        <v>31116816</v>
      </c>
      <c r="R97" s="235">
        <f t="shared" si="40"/>
        <v>238469674</v>
      </c>
      <c r="S97" s="18">
        <v>0</v>
      </c>
      <c r="T97" s="18">
        <v>0</v>
      </c>
      <c r="U97" s="18">
        <v>24979072</v>
      </c>
      <c r="V97" s="18">
        <f t="shared" si="41"/>
        <v>24979072</v>
      </c>
      <c r="W97" s="18">
        <v>0</v>
      </c>
      <c r="X97" s="18">
        <v>0</v>
      </c>
      <c r="Y97" s="18">
        <v>19577357</v>
      </c>
      <c r="Z97" s="18">
        <f t="shared" si="42"/>
        <v>19577357</v>
      </c>
      <c r="AA97" s="18">
        <v>0</v>
      </c>
      <c r="AB97" s="18">
        <v>0</v>
      </c>
      <c r="AC97" s="18">
        <v>0</v>
      </c>
      <c r="AD97" s="18">
        <f t="shared" si="43"/>
        <v>0</v>
      </c>
      <c r="AE97" s="18">
        <v>201266</v>
      </c>
      <c r="AF97" s="18">
        <v>0</v>
      </c>
      <c r="AG97" s="236">
        <f t="shared" si="44"/>
        <v>201266</v>
      </c>
      <c r="AH97" s="18">
        <f t="shared" si="51"/>
        <v>1588249740</v>
      </c>
      <c r="AI97" s="18">
        <f t="shared" si="51"/>
        <v>0</v>
      </c>
      <c r="AJ97" s="18">
        <f t="shared" si="51"/>
        <v>461914644</v>
      </c>
      <c r="AK97" s="18">
        <f t="shared" si="51"/>
        <v>2050164384</v>
      </c>
      <c r="AL97" s="18">
        <f t="shared" si="51"/>
        <v>253194888</v>
      </c>
      <c r="AM97" s="18">
        <f t="shared" si="51"/>
        <v>199517243</v>
      </c>
      <c r="AN97" s="18">
        <f t="shared" si="51"/>
        <v>757255</v>
      </c>
      <c r="AO97" s="18">
        <f t="shared" si="51"/>
        <v>453469386</v>
      </c>
      <c r="AP97" s="18">
        <f t="shared" si="51"/>
        <v>1711017</v>
      </c>
      <c r="AQ97" s="18">
        <f t="shared" si="51"/>
        <v>0</v>
      </c>
      <c r="AR97" s="18">
        <f t="shared" si="51"/>
        <v>1711017</v>
      </c>
      <c r="AS97" s="18">
        <f t="shared" si="51"/>
        <v>0</v>
      </c>
      <c r="AT97" s="18">
        <f t="shared" si="51"/>
        <v>0</v>
      </c>
      <c r="AU97" s="18">
        <f t="shared" si="51"/>
        <v>1843155645</v>
      </c>
      <c r="AV97" s="18">
        <f t="shared" si="51"/>
        <v>199517243</v>
      </c>
      <c r="AW97" s="18">
        <f t="shared" si="51"/>
        <v>462671899</v>
      </c>
      <c r="AX97" s="18">
        <f t="shared" si="51"/>
        <v>2505344787</v>
      </c>
      <c r="AY97" s="26">
        <f t="shared" si="50"/>
        <v>-4.2309268985152859E-2</v>
      </c>
    </row>
    <row r="98" spans="1:51" ht="13.5">
      <c r="A98" s="141">
        <v>43101</v>
      </c>
      <c r="B98" s="142">
        <v>110496056</v>
      </c>
      <c r="C98" s="143">
        <v>0</v>
      </c>
      <c r="D98" s="143">
        <v>10696089</v>
      </c>
      <c r="E98" s="143">
        <f t="shared" ref="E98:E114" si="52">SUM(B98:D98)</f>
        <v>121192145</v>
      </c>
      <c r="F98" s="143">
        <f t="shared" si="34"/>
        <v>13358879</v>
      </c>
      <c r="G98" s="143">
        <f t="shared" si="35"/>
        <v>15697294</v>
      </c>
      <c r="H98" s="143">
        <f t="shared" si="36"/>
        <v>0</v>
      </c>
      <c r="I98" s="143">
        <f t="shared" ref="I98:I161" si="53">SUM(F98:H98)</f>
        <v>29056173</v>
      </c>
      <c r="J98" s="143">
        <f t="shared" si="37"/>
        <v>139714</v>
      </c>
      <c r="K98" s="143">
        <v>0</v>
      </c>
      <c r="L98" s="143">
        <f t="shared" ref="L98:L161" si="54">SUM(J98:K98)</f>
        <v>139714</v>
      </c>
      <c r="M98" s="143">
        <v>0</v>
      </c>
      <c r="N98" s="143">
        <f t="shared" si="45"/>
        <v>0</v>
      </c>
      <c r="O98" s="143">
        <f t="shared" si="46"/>
        <v>123994649</v>
      </c>
      <c r="P98" s="143">
        <f t="shared" si="38"/>
        <v>15697294</v>
      </c>
      <c r="Q98" s="143">
        <f t="shared" si="39"/>
        <v>10696089</v>
      </c>
      <c r="R98" s="237">
        <f t="shared" si="40"/>
        <v>150388032</v>
      </c>
      <c r="S98" s="143">
        <v>0</v>
      </c>
      <c r="T98" s="143">
        <v>0</v>
      </c>
      <c r="U98" s="143">
        <v>13358879</v>
      </c>
      <c r="V98" s="143">
        <f t="shared" si="41"/>
        <v>13358879</v>
      </c>
      <c r="W98" s="143">
        <v>0</v>
      </c>
      <c r="X98" s="143">
        <v>0</v>
      </c>
      <c r="Y98" s="143">
        <v>15697294</v>
      </c>
      <c r="Z98" s="143">
        <f t="shared" si="42"/>
        <v>15697294</v>
      </c>
      <c r="AA98" s="143">
        <v>0</v>
      </c>
      <c r="AB98" s="143">
        <v>0</v>
      </c>
      <c r="AC98" s="143">
        <v>0</v>
      </c>
      <c r="AD98" s="143">
        <f t="shared" si="43"/>
        <v>0</v>
      </c>
      <c r="AE98" s="143">
        <v>139714</v>
      </c>
      <c r="AF98" s="143">
        <v>0</v>
      </c>
      <c r="AG98" s="238">
        <f t="shared" si="44"/>
        <v>139714</v>
      </c>
      <c r="AH98" s="143">
        <f t="shared" ref="AH98:AX98" si="55">B98</f>
        <v>110496056</v>
      </c>
      <c r="AI98" s="143">
        <f t="shared" si="55"/>
        <v>0</v>
      </c>
      <c r="AJ98" s="143">
        <f t="shared" si="55"/>
        <v>10696089</v>
      </c>
      <c r="AK98" s="143">
        <f t="shared" si="55"/>
        <v>121192145</v>
      </c>
      <c r="AL98" s="143">
        <f t="shared" si="55"/>
        <v>13358879</v>
      </c>
      <c r="AM98" s="143">
        <f t="shared" si="55"/>
        <v>15697294</v>
      </c>
      <c r="AN98" s="143">
        <f t="shared" si="55"/>
        <v>0</v>
      </c>
      <c r="AO98" s="143">
        <f t="shared" si="55"/>
        <v>29056173</v>
      </c>
      <c r="AP98" s="143">
        <f t="shared" si="55"/>
        <v>139714</v>
      </c>
      <c r="AQ98" s="143">
        <f t="shared" si="55"/>
        <v>0</v>
      </c>
      <c r="AR98" s="143">
        <f t="shared" si="55"/>
        <v>139714</v>
      </c>
      <c r="AS98" s="143">
        <f t="shared" si="55"/>
        <v>0</v>
      </c>
      <c r="AT98" s="143">
        <f t="shared" si="55"/>
        <v>0</v>
      </c>
      <c r="AU98" s="143">
        <f t="shared" si="55"/>
        <v>123994649</v>
      </c>
      <c r="AV98" s="143">
        <f t="shared" si="55"/>
        <v>15697294</v>
      </c>
      <c r="AW98" s="143">
        <f t="shared" si="55"/>
        <v>10696089</v>
      </c>
      <c r="AX98" s="143">
        <f t="shared" si="55"/>
        <v>150388032</v>
      </c>
      <c r="AY98" s="26">
        <f t="shared" si="50"/>
        <v>0.19461586993004087</v>
      </c>
    </row>
    <row r="99" spans="1:51" ht="13.5">
      <c r="A99" s="138">
        <v>43132</v>
      </c>
      <c r="B99" s="139">
        <v>115536272</v>
      </c>
      <c r="C99" s="18">
        <v>0</v>
      </c>
      <c r="D99" s="18">
        <v>11584681</v>
      </c>
      <c r="E99" s="18">
        <f t="shared" si="52"/>
        <v>127120953</v>
      </c>
      <c r="F99" s="18">
        <f t="shared" si="34"/>
        <v>20164577</v>
      </c>
      <c r="G99" s="18">
        <f t="shared" si="35"/>
        <v>12330044</v>
      </c>
      <c r="H99" s="18">
        <f t="shared" si="36"/>
        <v>0</v>
      </c>
      <c r="I99" s="18">
        <f t="shared" si="53"/>
        <v>32494621</v>
      </c>
      <c r="J99" s="18">
        <f t="shared" si="37"/>
        <v>237996</v>
      </c>
      <c r="K99" s="18">
        <v>0</v>
      </c>
      <c r="L99" s="18">
        <f t="shared" si="54"/>
        <v>237996</v>
      </c>
      <c r="M99" s="18">
        <v>0</v>
      </c>
      <c r="N99" s="18">
        <f t="shared" si="45"/>
        <v>0</v>
      </c>
      <c r="O99" s="18">
        <f t="shared" si="46"/>
        <v>135938845</v>
      </c>
      <c r="P99" s="18">
        <f t="shared" si="38"/>
        <v>12330044</v>
      </c>
      <c r="Q99" s="18">
        <f t="shared" si="39"/>
        <v>11584681</v>
      </c>
      <c r="R99" s="235">
        <f t="shared" si="40"/>
        <v>159853570</v>
      </c>
      <c r="S99" s="18">
        <v>0</v>
      </c>
      <c r="T99" s="18">
        <v>0</v>
      </c>
      <c r="U99" s="18">
        <v>20164577</v>
      </c>
      <c r="V99" s="18">
        <f t="shared" si="41"/>
        <v>20164577</v>
      </c>
      <c r="W99" s="18">
        <v>0</v>
      </c>
      <c r="X99" s="18">
        <v>0</v>
      </c>
      <c r="Y99" s="18">
        <v>12330044</v>
      </c>
      <c r="Z99" s="18">
        <f t="shared" si="42"/>
        <v>12330044</v>
      </c>
      <c r="AA99" s="18">
        <v>0</v>
      </c>
      <c r="AB99" s="18">
        <v>0</v>
      </c>
      <c r="AC99" s="18">
        <v>0</v>
      </c>
      <c r="AD99" s="18">
        <f t="shared" si="43"/>
        <v>0</v>
      </c>
      <c r="AE99" s="18">
        <v>237996</v>
      </c>
      <c r="AF99" s="18">
        <v>0</v>
      </c>
      <c r="AG99" s="236">
        <f t="shared" si="44"/>
        <v>237996</v>
      </c>
      <c r="AH99" s="18">
        <f t="shared" ref="AH99:AX109" si="56">AH98+B99</f>
        <v>226032328</v>
      </c>
      <c r="AI99" s="18">
        <f t="shared" si="56"/>
        <v>0</v>
      </c>
      <c r="AJ99" s="18">
        <f t="shared" si="56"/>
        <v>22280770</v>
      </c>
      <c r="AK99" s="18">
        <f t="shared" si="56"/>
        <v>248313098</v>
      </c>
      <c r="AL99" s="18">
        <f t="shared" si="56"/>
        <v>33523456</v>
      </c>
      <c r="AM99" s="18">
        <f t="shared" si="56"/>
        <v>28027338</v>
      </c>
      <c r="AN99" s="18">
        <f t="shared" si="56"/>
        <v>0</v>
      </c>
      <c r="AO99" s="18">
        <f t="shared" si="56"/>
        <v>61550794</v>
      </c>
      <c r="AP99" s="18">
        <f t="shared" si="56"/>
        <v>377710</v>
      </c>
      <c r="AQ99" s="18">
        <f t="shared" si="56"/>
        <v>0</v>
      </c>
      <c r="AR99" s="18">
        <f t="shared" si="56"/>
        <v>377710</v>
      </c>
      <c r="AS99" s="18">
        <f t="shared" si="56"/>
        <v>0</v>
      </c>
      <c r="AT99" s="18">
        <f t="shared" si="56"/>
        <v>0</v>
      </c>
      <c r="AU99" s="18">
        <f t="shared" si="56"/>
        <v>259933494</v>
      </c>
      <c r="AV99" s="18">
        <f t="shared" si="56"/>
        <v>28027338</v>
      </c>
      <c r="AW99" s="18">
        <f t="shared" si="56"/>
        <v>22280770</v>
      </c>
      <c r="AX99" s="18">
        <f t="shared" si="56"/>
        <v>310241602</v>
      </c>
      <c r="AY99" s="26">
        <f t="shared" si="50"/>
        <v>0.17108954208812133</v>
      </c>
    </row>
    <row r="100" spans="1:51" ht="13.5">
      <c r="A100" s="138">
        <v>43160</v>
      </c>
      <c r="B100" s="139">
        <v>145194734</v>
      </c>
      <c r="C100" s="18">
        <v>0</v>
      </c>
      <c r="D100" s="18">
        <v>15643523</v>
      </c>
      <c r="E100" s="18">
        <f t="shared" si="52"/>
        <v>160838257</v>
      </c>
      <c r="F100" s="18">
        <f t="shared" si="34"/>
        <v>22796002</v>
      </c>
      <c r="G100" s="18">
        <f t="shared" si="35"/>
        <v>17342172</v>
      </c>
      <c r="H100" s="18">
        <f t="shared" si="36"/>
        <v>0</v>
      </c>
      <c r="I100" s="18">
        <f t="shared" si="53"/>
        <v>40138174</v>
      </c>
      <c r="J100" s="18">
        <f t="shared" si="37"/>
        <v>103790</v>
      </c>
      <c r="K100" s="18">
        <v>0</v>
      </c>
      <c r="L100" s="18">
        <f t="shared" si="54"/>
        <v>103790</v>
      </c>
      <c r="M100" s="18">
        <v>0</v>
      </c>
      <c r="N100" s="18">
        <f t="shared" si="45"/>
        <v>0</v>
      </c>
      <c r="O100" s="18">
        <f t="shared" si="46"/>
        <v>168094526</v>
      </c>
      <c r="P100" s="18">
        <f t="shared" si="38"/>
        <v>17342172</v>
      </c>
      <c r="Q100" s="18">
        <f t="shared" si="39"/>
        <v>15643523</v>
      </c>
      <c r="R100" s="235">
        <f t="shared" si="40"/>
        <v>201080221</v>
      </c>
      <c r="S100" s="18">
        <v>0</v>
      </c>
      <c r="T100" s="18">
        <v>0</v>
      </c>
      <c r="U100" s="18">
        <v>22796002</v>
      </c>
      <c r="V100" s="18">
        <f t="shared" si="41"/>
        <v>22796002</v>
      </c>
      <c r="W100" s="18">
        <v>0</v>
      </c>
      <c r="X100" s="18">
        <v>0</v>
      </c>
      <c r="Y100" s="18">
        <v>17342172</v>
      </c>
      <c r="Z100" s="18">
        <f t="shared" si="42"/>
        <v>17342172</v>
      </c>
      <c r="AA100" s="18">
        <v>0</v>
      </c>
      <c r="AB100" s="18">
        <v>0</v>
      </c>
      <c r="AC100" s="18">
        <v>0</v>
      </c>
      <c r="AD100" s="18">
        <f t="shared" si="43"/>
        <v>0</v>
      </c>
      <c r="AE100" s="18">
        <v>103790</v>
      </c>
      <c r="AF100" s="18">
        <v>0</v>
      </c>
      <c r="AG100" s="236">
        <f t="shared" si="44"/>
        <v>103790</v>
      </c>
      <c r="AH100" s="18">
        <f t="shared" si="56"/>
        <v>371227062</v>
      </c>
      <c r="AI100" s="18">
        <f t="shared" si="56"/>
        <v>0</v>
      </c>
      <c r="AJ100" s="18">
        <f t="shared" si="56"/>
        <v>37924293</v>
      </c>
      <c r="AK100" s="18">
        <f t="shared" si="56"/>
        <v>409151355</v>
      </c>
      <c r="AL100" s="18">
        <f t="shared" si="56"/>
        <v>56319458</v>
      </c>
      <c r="AM100" s="18">
        <f t="shared" si="56"/>
        <v>45369510</v>
      </c>
      <c r="AN100" s="18">
        <f t="shared" si="56"/>
        <v>0</v>
      </c>
      <c r="AO100" s="18">
        <f t="shared" si="56"/>
        <v>101688968</v>
      </c>
      <c r="AP100" s="18">
        <f t="shared" si="56"/>
        <v>481500</v>
      </c>
      <c r="AQ100" s="18">
        <f t="shared" si="56"/>
        <v>0</v>
      </c>
      <c r="AR100" s="18">
        <f t="shared" si="56"/>
        <v>481500</v>
      </c>
      <c r="AS100" s="18">
        <f t="shared" si="56"/>
        <v>0</v>
      </c>
      <c r="AT100" s="18">
        <f t="shared" si="56"/>
        <v>0</v>
      </c>
      <c r="AU100" s="18">
        <f t="shared" si="56"/>
        <v>428028020</v>
      </c>
      <c r="AV100" s="18">
        <f t="shared" si="56"/>
        <v>45369510</v>
      </c>
      <c r="AW100" s="18">
        <f t="shared" si="56"/>
        <v>37924293</v>
      </c>
      <c r="AX100" s="18">
        <f t="shared" si="56"/>
        <v>511321823</v>
      </c>
      <c r="AY100" s="26">
        <f t="shared" si="50"/>
        <v>0.13839061866883506</v>
      </c>
    </row>
    <row r="101" spans="1:51" ht="13.5">
      <c r="A101" s="138">
        <v>43191</v>
      </c>
      <c r="B101" s="139">
        <v>144637673</v>
      </c>
      <c r="C101" s="18">
        <v>0</v>
      </c>
      <c r="D101" s="18">
        <v>15936188</v>
      </c>
      <c r="E101" s="18">
        <f t="shared" si="52"/>
        <v>160573861</v>
      </c>
      <c r="F101" s="18">
        <f t="shared" si="34"/>
        <v>24720243</v>
      </c>
      <c r="G101" s="18">
        <f t="shared" si="35"/>
        <v>18440208</v>
      </c>
      <c r="H101" s="18">
        <f t="shared" si="36"/>
        <v>0</v>
      </c>
      <c r="I101" s="18">
        <f t="shared" si="53"/>
        <v>43160451</v>
      </c>
      <c r="J101" s="18">
        <f t="shared" si="37"/>
        <v>184634</v>
      </c>
      <c r="K101" s="18">
        <v>0</v>
      </c>
      <c r="L101" s="18">
        <f t="shared" si="54"/>
        <v>184634</v>
      </c>
      <c r="M101" s="18">
        <v>0</v>
      </c>
      <c r="N101" s="18">
        <f t="shared" si="45"/>
        <v>0</v>
      </c>
      <c r="O101" s="18">
        <f t="shared" si="46"/>
        <v>169542550</v>
      </c>
      <c r="P101" s="18">
        <f t="shared" si="38"/>
        <v>18440208</v>
      </c>
      <c r="Q101" s="18">
        <f t="shared" si="39"/>
        <v>15936188</v>
      </c>
      <c r="R101" s="235">
        <f t="shared" si="40"/>
        <v>203918946</v>
      </c>
      <c r="S101" s="18">
        <v>0</v>
      </c>
      <c r="T101" s="18">
        <v>0</v>
      </c>
      <c r="U101" s="18">
        <v>24720243</v>
      </c>
      <c r="V101" s="18">
        <f t="shared" si="41"/>
        <v>24720243</v>
      </c>
      <c r="W101" s="18">
        <v>0</v>
      </c>
      <c r="X101" s="18">
        <v>0</v>
      </c>
      <c r="Y101" s="18">
        <v>18440208</v>
      </c>
      <c r="Z101" s="18">
        <f t="shared" si="42"/>
        <v>18440208</v>
      </c>
      <c r="AA101" s="18">
        <v>0</v>
      </c>
      <c r="AB101" s="18">
        <v>0</v>
      </c>
      <c r="AC101" s="18">
        <v>0</v>
      </c>
      <c r="AD101" s="18">
        <f t="shared" si="43"/>
        <v>0</v>
      </c>
      <c r="AE101" s="18">
        <v>184634</v>
      </c>
      <c r="AF101" s="18">
        <v>0</v>
      </c>
      <c r="AG101" s="236">
        <f t="shared" si="44"/>
        <v>184634</v>
      </c>
      <c r="AH101" s="18">
        <f t="shared" si="56"/>
        <v>515864735</v>
      </c>
      <c r="AI101" s="18">
        <f t="shared" si="56"/>
        <v>0</v>
      </c>
      <c r="AJ101" s="18">
        <f t="shared" si="56"/>
        <v>53860481</v>
      </c>
      <c r="AK101" s="18">
        <f t="shared" si="56"/>
        <v>569725216</v>
      </c>
      <c r="AL101" s="18">
        <f t="shared" si="56"/>
        <v>81039701</v>
      </c>
      <c r="AM101" s="18">
        <f t="shared" si="56"/>
        <v>63809718</v>
      </c>
      <c r="AN101" s="18">
        <f t="shared" si="56"/>
        <v>0</v>
      </c>
      <c r="AO101" s="18">
        <f t="shared" si="56"/>
        <v>144849419</v>
      </c>
      <c r="AP101" s="18">
        <f t="shared" si="56"/>
        <v>666134</v>
      </c>
      <c r="AQ101" s="18">
        <f t="shared" si="56"/>
        <v>0</v>
      </c>
      <c r="AR101" s="18">
        <f t="shared" si="56"/>
        <v>666134</v>
      </c>
      <c r="AS101" s="18">
        <f t="shared" si="56"/>
        <v>0</v>
      </c>
      <c r="AT101" s="18">
        <f t="shared" si="56"/>
        <v>0</v>
      </c>
      <c r="AU101" s="18">
        <f t="shared" si="56"/>
        <v>597570570</v>
      </c>
      <c r="AV101" s="18">
        <f t="shared" si="56"/>
        <v>63809718</v>
      </c>
      <c r="AW101" s="18">
        <f t="shared" si="56"/>
        <v>53860481</v>
      </c>
      <c r="AX101" s="18">
        <f t="shared" si="56"/>
        <v>715240769</v>
      </c>
      <c r="AY101" s="26">
        <f t="shared" si="50"/>
        <v>0.13156050922427354</v>
      </c>
    </row>
    <row r="102" spans="1:51" ht="13.5">
      <c r="A102" s="138">
        <v>43221</v>
      </c>
      <c r="B102" s="139">
        <v>166235446</v>
      </c>
      <c r="C102" s="18">
        <v>0</v>
      </c>
      <c r="D102" s="18">
        <v>16056827</v>
      </c>
      <c r="E102" s="18">
        <f t="shared" si="52"/>
        <v>182292273</v>
      </c>
      <c r="F102" s="18">
        <f t="shared" si="34"/>
        <v>21078019</v>
      </c>
      <c r="G102" s="18">
        <f t="shared" si="35"/>
        <v>24130252</v>
      </c>
      <c r="H102" s="18">
        <f t="shared" si="36"/>
        <v>0</v>
      </c>
      <c r="I102" s="18">
        <f t="shared" si="53"/>
        <v>45208271</v>
      </c>
      <c r="J102" s="18">
        <f t="shared" si="37"/>
        <v>64189</v>
      </c>
      <c r="K102" s="18">
        <v>0</v>
      </c>
      <c r="L102" s="18">
        <f t="shared" si="54"/>
        <v>64189</v>
      </c>
      <c r="M102" s="18">
        <v>0</v>
      </c>
      <c r="N102" s="18">
        <f t="shared" si="45"/>
        <v>0</v>
      </c>
      <c r="O102" s="18">
        <f t="shared" si="46"/>
        <v>187377654</v>
      </c>
      <c r="P102" s="18">
        <f t="shared" si="38"/>
        <v>24130252</v>
      </c>
      <c r="Q102" s="18">
        <f t="shared" si="39"/>
        <v>16056827</v>
      </c>
      <c r="R102" s="235">
        <f t="shared" si="40"/>
        <v>227564733</v>
      </c>
      <c r="S102" s="18">
        <v>0</v>
      </c>
      <c r="T102" s="18">
        <v>0</v>
      </c>
      <c r="U102" s="18">
        <v>21078019</v>
      </c>
      <c r="V102" s="18">
        <f t="shared" si="41"/>
        <v>21078019</v>
      </c>
      <c r="W102" s="18">
        <v>0</v>
      </c>
      <c r="X102" s="18">
        <v>0</v>
      </c>
      <c r="Y102" s="18">
        <v>24130252</v>
      </c>
      <c r="Z102" s="18">
        <f t="shared" si="42"/>
        <v>24130252</v>
      </c>
      <c r="AA102" s="18">
        <v>0</v>
      </c>
      <c r="AB102" s="18">
        <v>0</v>
      </c>
      <c r="AC102" s="18">
        <v>0</v>
      </c>
      <c r="AD102" s="18">
        <f t="shared" si="43"/>
        <v>0</v>
      </c>
      <c r="AE102" s="18">
        <v>64189</v>
      </c>
      <c r="AF102" s="18">
        <v>0</v>
      </c>
      <c r="AG102" s="236">
        <f t="shared" si="44"/>
        <v>64189</v>
      </c>
      <c r="AH102" s="18">
        <f t="shared" si="56"/>
        <v>682100181</v>
      </c>
      <c r="AI102" s="18">
        <f t="shared" si="56"/>
        <v>0</v>
      </c>
      <c r="AJ102" s="18">
        <f t="shared" si="56"/>
        <v>69917308</v>
      </c>
      <c r="AK102" s="18">
        <f t="shared" si="56"/>
        <v>752017489</v>
      </c>
      <c r="AL102" s="18">
        <f t="shared" si="56"/>
        <v>102117720</v>
      </c>
      <c r="AM102" s="18">
        <f t="shared" si="56"/>
        <v>87939970</v>
      </c>
      <c r="AN102" s="18">
        <f t="shared" si="56"/>
        <v>0</v>
      </c>
      <c r="AO102" s="18">
        <f t="shared" si="56"/>
        <v>190057690</v>
      </c>
      <c r="AP102" s="18">
        <f t="shared" si="56"/>
        <v>730323</v>
      </c>
      <c r="AQ102" s="18">
        <f t="shared" si="56"/>
        <v>0</v>
      </c>
      <c r="AR102" s="18">
        <f t="shared" si="56"/>
        <v>730323</v>
      </c>
      <c r="AS102" s="18">
        <f t="shared" si="56"/>
        <v>0</v>
      </c>
      <c r="AT102" s="18">
        <f t="shared" si="56"/>
        <v>0</v>
      </c>
      <c r="AU102" s="18">
        <f t="shared" si="56"/>
        <v>784948224</v>
      </c>
      <c r="AV102" s="18">
        <f t="shared" si="56"/>
        <v>87939970</v>
      </c>
      <c r="AW102" s="18">
        <f t="shared" si="56"/>
        <v>69917308</v>
      </c>
      <c r="AX102" s="18">
        <f t="shared" si="56"/>
        <v>942805502</v>
      </c>
      <c r="AY102" s="26">
        <f t="shared" si="50"/>
        <v>9.2223532575171019E-2</v>
      </c>
    </row>
    <row r="103" spans="1:51" ht="13.5">
      <c r="A103" s="138">
        <v>43252</v>
      </c>
      <c r="B103" s="139">
        <v>160548223</v>
      </c>
      <c r="C103" s="18">
        <v>0</v>
      </c>
      <c r="D103" s="18">
        <v>12234295</v>
      </c>
      <c r="E103" s="18">
        <f t="shared" si="52"/>
        <v>172782518</v>
      </c>
      <c r="F103" s="18">
        <f t="shared" si="34"/>
        <v>11453319</v>
      </c>
      <c r="G103" s="18">
        <f t="shared" si="35"/>
        <v>23114771</v>
      </c>
      <c r="H103" s="18">
        <f t="shared" si="36"/>
        <v>0</v>
      </c>
      <c r="I103" s="18">
        <f t="shared" si="53"/>
        <v>34568090</v>
      </c>
      <c r="J103" s="18">
        <f t="shared" si="37"/>
        <v>140194</v>
      </c>
      <c r="K103" s="18">
        <v>0</v>
      </c>
      <c r="L103" s="18">
        <f t="shared" si="54"/>
        <v>140194</v>
      </c>
      <c r="M103" s="18">
        <v>0</v>
      </c>
      <c r="N103" s="18">
        <f t="shared" si="45"/>
        <v>0</v>
      </c>
      <c r="O103" s="18">
        <f t="shared" si="46"/>
        <v>172141736</v>
      </c>
      <c r="P103" s="18">
        <f t="shared" si="38"/>
        <v>23114771</v>
      </c>
      <c r="Q103" s="18">
        <f t="shared" si="39"/>
        <v>12234295</v>
      </c>
      <c r="R103" s="235">
        <f t="shared" si="40"/>
        <v>207490802</v>
      </c>
      <c r="S103" s="18">
        <v>0</v>
      </c>
      <c r="T103" s="18">
        <v>0</v>
      </c>
      <c r="U103" s="18">
        <v>11453319</v>
      </c>
      <c r="V103" s="18">
        <f t="shared" si="41"/>
        <v>11453319</v>
      </c>
      <c r="W103" s="18">
        <v>0</v>
      </c>
      <c r="X103" s="18">
        <v>0</v>
      </c>
      <c r="Y103" s="18">
        <v>23114771</v>
      </c>
      <c r="Z103" s="18">
        <f t="shared" si="42"/>
        <v>23114771</v>
      </c>
      <c r="AA103" s="18">
        <v>0</v>
      </c>
      <c r="AB103" s="18">
        <v>0</v>
      </c>
      <c r="AC103" s="18">
        <v>0</v>
      </c>
      <c r="AD103" s="18">
        <f t="shared" si="43"/>
        <v>0</v>
      </c>
      <c r="AE103" s="18">
        <v>140194</v>
      </c>
      <c r="AF103" s="18">
        <v>0</v>
      </c>
      <c r="AG103" s="236">
        <f t="shared" si="44"/>
        <v>140194</v>
      </c>
      <c r="AH103" s="18">
        <f t="shared" si="56"/>
        <v>842648404</v>
      </c>
      <c r="AI103" s="18">
        <f t="shared" si="56"/>
        <v>0</v>
      </c>
      <c r="AJ103" s="18">
        <f t="shared" si="56"/>
        <v>82151603</v>
      </c>
      <c r="AK103" s="18">
        <f t="shared" si="56"/>
        <v>924800007</v>
      </c>
      <c r="AL103" s="18">
        <f t="shared" si="56"/>
        <v>113571039</v>
      </c>
      <c r="AM103" s="18">
        <f t="shared" si="56"/>
        <v>111054741</v>
      </c>
      <c r="AN103" s="18">
        <f t="shared" si="56"/>
        <v>0</v>
      </c>
      <c r="AO103" s="18">
        <f t="shared" si="56"/>
        <v>224625780</v>
      </c>
      <c r="AP103" s="18">
        <f t="shared" si="56"/>
        <v>870517</v>
      </c>
      <c r="AQ103" s="18">
        <f t="shared" si="56"/>
        <v>0</v>
      </c>
      <c r="AR103" s="18">
        <f t="shared" si="56"/>
        <v>870517</v>
      </c>
      <c r="AS103" s="18">
        <f t="shared" si="56"/>
        <v>0</v>
      </c>
      <c r="AT103" s="18">
        <f t="shared" si="56"/>
        <v>0</v>
      </c>
      <c r="AU103" s="18">
        <f t="shared" si="56"/>
        <v>957089960</v>
      </c>
      <c r="AV103" s="18">
        <f t="shared" si="56"/>
        <v>111054741</v>
      </c>
      <c r="AW103" s="18">
        <f t="shared" si="56"/>
        <v>82151603</v>
      </c>
      <c r="AX103" s="18">
        <f t="shared" si="56"/>
        <v>1150296304</v>
      </c>
      <c r="AY103" s="26">
        <f t="shared" si="50"/>
        <v>2.1510974033167152E-2</v>
      </c>
    </row>
    <row r="104" spans="1:51" ht="13.5">
      <c r="A104" s="138">
        <v>43282</v>
      </c>
      <c r="B104" s="139">
        <v>169779870</v>
      </c>
      <c r="C104" s="18">
        <v>0</v>
      </c>
      <c r="D104" s="18">
        <v>5311333</v>
      </c>
      <c r="E104" s="18">
        <f t="shared" si="52"/>
        <v>175091203</v>
      </c>
      <c r="F104" s="18">
        <f t="shared" si="34"/>
        <v>8063694</v>
      </c>
      <c r="G104" s="18">
        <f t="shared" si="35"/>
        <v>20010805</v>
      </c>
      <c r="H104" s="18">
        <f t="shared" si="36"/>
        <v>0</v>
      </c>
      <c r="I104" s="18">
        <f t="shared" si="53"/>
        <v>28074499</v>
      </c>
      <c r="J104" s="18">
        <f t="shared" si="37"/>
        <v>82231</v>
      </c>
      <c r="K104" s="18">
        <v>0</v>
      </c>
      <c r="L104" s="18">
        <f t="shared" si="54"/>
        <v>82231</v>
      </c>
      <c r="M104" s="18">
        <v>0</v>
      </c>
      <c r="N104" s="18">
        <f t="shared" si="45"/>
        <v>0</v>
      </c>
      <c r="O104" s="18">
        <f t="shared" si="46"/>
        <v>177925795</v>
      </c>
      <c r="P104" s="18">
        <f t="shared" si="38"/>
        <v>20010805</v>
      </c>
      <c r="Q104" s="18">
        <f t="shared" si="39"/>
        <v>5311333</v>
      </c>
      <c r="R104" s="235">
        <f t="shared" si="40"/>
        <v>203247933</v>
      </c>
      <c r="S104" s="18">
        <v>0</v>
      </c>
      <c r="T104" s="18">
        <v>0</v>
      </c>
      <c r="U104" s="18">
        <v>8063694</v>
      </c>
      <c r="V104" s="18">
        <f t="shared" si="41"/>
        <v>8063694</v>
      </c>
      <c r="W104" s="18">
        <v>0</v>
      </c>
      <c r="X104" s="18">
        <v>0</v>
      </c>
      <c r="Y104" s="18">
        <v>20010805</v>
      </c>
      <c r="Z104" s="18">
        <f t="shared" si="42"/>
        <v>20010805</v>
      </c>
      <c r="AA104" s="18">
        <v>0</v>
      </c>
      <c r="AB104" s="18">
        <v>0</v>
      </c>
      <c r="AC104" s="18">
        <v>0</v>
      </c>
      <c r="AD104" s="18">
        <f t="shared" si="43"/>
        <v>0</v>
      </c>
      <c r="AE104" s="18">
        <v>82231</v>
      </c>
      <c r="AF104" s="18">
        <v>0</v>
      </c>
      <c r="AG104" s="236">
        <f t="shared" si="44"/>
        <v>82231</v>
      </c>
      <c r="AH104" s="18">
        <f t="shared" si="56"/>
        <v>1012428274</v>
      </c>
      <c r="AI104" s="18">
        <f t="shared" si="56"/>
        <v>0</v>
      </c>
      <c r="AJ104" s="18">
        <f t="shared" si="56"/>
        <v>87462936</v>
      </c>
      <c r="AK104" s="18">
        <f t="shared" si="56"/>
        <v>1099891210</v>
      </c>
      <c r="AL104" s="18">
        <f t="shared" si="56"/>
        <v>121634733</v>
      </c>
      <c r="AM104" s="18">
        <f t="shared" si="56"/>
        <v>131065546</v>
      </c>
      <c r="AN104" s="18">
        <f t="shared" si="56"/>
        <v>0</v>
      </c>
      <c r="AO104" s="18">
        <f t="shared" si="56"/>
        <v>252700279</v>
      </c>
      <c r="AP104" s="18">
        <f t="shared" si="56"/>
        <v>952748</v>
      </c>
      <c r="AQ104" s="18">
        <f t="shared" si="56"/>
        <v>0</v>
      </c>
      <c r="AR104" s="18">
        <f t="shared" si="56"/>
        <v>952748</v>
      </c>
      <c r="AS104" s="18">
        <f t="shared" si="56"/>
        <v>0</v>
      </c>
      <c r="AT104" s="18">
        <f t="shared" si="56"/>
        <v>0</v>
      </c>
      <c r="AU104" s="18">
        <f t="shared" si="56"/>
        <v>1135015755</v>
      </c>
      <c r="AV104" s="18">
        <f t="shared" si="56"/>
        <v>131065546</v>
      </c>
      <c r="AW104" s="18">
        <f t="shared" si="56"/>
        <v>87462936</v>
      </c>
      <c r="AX104" s="18">
        <f t="shared" si="56"/>
        <v>1353544237</v>
      </c>
      <c r="AY104" s="26">
        <f t="shared" si="50"/>
        <v>-1.1173551210035271E-2</v>
      </c>
    </row>
    <row r="105" spans="1:51" ht="13.5">
      <c r="A105" s="138">
        <v>43313</v>
      </c>
      <c r="B105" s="139">
        <v>180631297</v>
      </c>
      <c r="C105" s="18">
        <v>0</v>
      </c>
      <c r="D105" s="18">
        <v>13020993</v>
      </c>
      <c r="E105" s="18">
        <f t="shared" si="52"/>
        <v>193652290</v>
      </c>
      <c r="F105" s="18">
        <f t="shared" si="34"/>
        <v>13886150</v>
      </c>
      <c r="G105" s="18">
        <f t="shared" si="35"/>
        <v>21371118</v>
      </c>
      <c r="H105" s="18">
        <f t="shared" si="36"/>
        <v>0</v>
      </c>
      <c r="I105" s="18">
        <f t="shared" si="53"/>
        <v>35257268</v>
      </c>
      <c r="J105" s="18">
        <f t="shared" si="37"/>
        <v>70236</v>
      </c>
      <c r="K105" s="18">
        <v>0</v>
      </c>
      <c r="L105" s="18">
        <f t="shared" si="54"/>
        <v>70236</v>
      </c>
      <c r="M105" s="18">
        <v>0</v>
      </c>
      <c r="N105" s="18">
        <f t="shared" si="45"/>
        <v>0</v>
      </c>
      <c r="O105" s="18">
        <f t="shared" si="46"/>
        <v>194587683</v>
      </c>
      <c r="P105" s="18">
        <f t="shared" si="38"/>
        <v>21371118</v>
      </c>
      <c r="Q105" s="18">
        <f t="shared" si="39"/>
        <v>13020993</v>
      </c>
      <c r="R105" s="235">
        <f t="shared" si="40"/>
        <v>228979794</v>
      </c>
      <c r="S105" s="18">
        <v>0</v>
      </c>
      <c r="T105" s="18">
        <v>0</v>
      </c>
      <c r="U105" s="18">
        <v>13886150</v>
      </c>
      <c r="V105" s="18">
        <f t="shared" si="41"/>
        <v>13886150</v>
      </c>
      <c r="W105" s="18">
        <v>0</v>
      </c>
      <c r="X105" s="18">
        <v>0</v>
      </c>
      <c r="Y105" s="18">
        <v>21371118</v>
      </c>
      <c r="Z105" s="18">
        <f t="shared" si="42"/>
        <v>21371118</v>
      </c>
      <c r="AA105" s="18">
        <v>0</v>
      </c>
      <c r="AB105" s="18">
        <v>0</v>
      </c>
      <c r="AC105" s="18">
        <v>0</v>
      </c>
      <c r="AD105" s="18">
        <f t="shared" si="43"/>
        <v>0</v>
      </c>
      <c r="AE105" s="18">
        <v>70236</v>
      </c>
      <c r="AF105" s="18">
        <v>0</v>
      </c>
      <c r="AG105" s="236">
        <f t="shared" si="44"/>
        <v>70236</v>
      </c>
      <c r="AH105" s="18">
        <f t="shared" si="56"/>
        <v>1193059571</v>
      </c>
      <c r="AI105" s="18">
        <f t="shared" si="56"/>
        <v>0</v>
      </c>
      <c r="AJ105" s="18">
        <f t="shared" si="56"/>
        <v>100483929</v>
      </c>
      <c r="AK105" s="18">
        <f t="shared" si="56"/>
        <v>1293543500</v>
      </c>
      <c r="AL105" s="18">
        <f t="shared" si="56"/>
        <v>135520883</v>
      </c>
      <c r="AM105" s="18">
        <f t="shared" si="56"/>
        <v>152436664</v>
      </c>
      <c r="AN105" s="18">
        <f t="shared" si="56"/>
        <v>0</v>
      </c>
      <c r="AO105" s="18">
        <f t="shared" si="56"/>
        <v>287957547</v>
      </c>
      <c r="AP105" s="18">
        <f t="shared" si="56"/>
        <v>1022984</v>
      </c>
      <c r="AQ105" s="18">
        <f t="shared" si="56"/>
        <v>0</v>
      </c>
      <c r="AR105" s="18">
        <f t="shared" si="56"/>
        <v>1022984</v>
      </c>
      <c r="AS105" s="18">
        <f t="shared" si="56"/>
        <v>0</v>
      </c>
      <c r="AT105" s="18">
        <f t="shared" si="56"/>
        <v>0</v>
      </c>
      <c r="AU105" s="18">
        <f t="shared" si="56"/>
        <v>1329603438</v>
      </c>
      <c r="AV105" s="18">
        <f t="shared" si="56"/>
        <v>152436664</v>
      </c>
      <c r="AW105" s="18">
        <f t="shared" si="56"/>
        <v>100483929</v>
      </c>
      <c r="AX105" s="18">
        <f t="shared" si="56"/>
        <v>1582524031</v>
      </c>
      <c r="AY105" s="26">
        <f t="shared" si="50"/>
        <v>-2.1569204996121361E-2</v>
      </c>
    </row>
    <row r="106" spans="1:51" ht="13.5">
      <c r="A106" s="138">
        <v>43344</v>
      </c>
      <c r="B106" s="139">
        <v>157006356</v>
      </c>
      <c r="C106" s="18">
        <v>0</v>
      </c>
      <c r="D106" s="18">
        <v>11814679</v>
      </c>
      <c r="E106" s="18">
        <f t="shared" si="52"/>
        <v>168821035</v>
      </c>
      <c r="F106" s="18">
        <f t="shared" si="34"/>
        <v>28618283</v>
      </c>
      <c r="G106" s="18">
        <f t="shared" si="35"/>
        <v>16534807</v>
      </c>
      <c r="H106" s="18">
        <f t="shared" si="36"/>
        <v>0</v>
      </c>
      <c r="I106" s="18">
        <f t="shared" si="53"/>
        <v>45153090</v>
      </c>
      <c r="J106" s="18">
        <f t="shared" si="37"/>
        <v>151082</v>
      </c>
      <c r="K106" s="18">
        <v>0</v>
      </c>
      <c r="L106" s="18">
        <f t="shared" si="54"/>
        <v>151082</v>
      </c>
      <c r="M106" s="18">
        <v>0</v>
      </c>
      <c r="N106" s="18">
        <f t="shared" si="45"/>
        <v>0</v>
      </c>
      <c r="O106" s="18">
        <f t="shared" si="46"/>
        <v>185775721</v>
      </c>
      <c r="P106" s="18">
        <f t="shared" si="38"/>
        <v>16534807</v>
      </c>
      <c r="Q106" s="18">
        <f t="shared" si="39"/>
        <v>11814679</v>
      </c>
      <c r="R106" s="235">
        <f t="shared" si="40"/>
        <v>214125207</v>
      </c>
      <c r="S106" s="18">
        <v>0</v>
      </c>
      <c r="T106" s="18">
        <v>0</v>
      </c>
      <c r="U106" s="18">
        <v>28618283</v>
      </c>
      <c r="V106" s="18">
        <f t="shared" si="41"/>
        <v>28618283</v>
      </c>
      <c r="W106" s="18">
        <v>0</v>
      </c>
      <c r="X106" s="18">
        <v>0</v>
      </c>
      <c r="Y106" s="18">
        <v>16534807</v>
      </c>
      <c r="Z106" s="18">
        <f t="shared" si="42"/>
        <v>16534807</v>
      </c>
      <c r="AA106" s="18">
        <v>0</v>
      </c>
      <c r="AB106" s="18">
        <v>0</v>
      </c>
      <c r="AC106" s="18">
        <v>0</v>
      </c>
      <c r="AD106" s="18">
        <f t="shared" si="43"/>
        <v>0</v>
      </c>
      <c r="AE106" s="18">
        <v>151082</v>
      </c>
      <c r="AF106" s="18">
        <v>0</v>
      </c>
      <c r="AG106" s="236">
        <f t="shared" si="44"/>
        <v>151082</v>
      </c>
      <c r="AH106" s="18">
        <f t="shared" si="56"/>
        <v>1350065927</v>
      </c>
      <c r="AI106" s="18">
        <f t="shared" si="56"/>
        <v>0</v>
      </c>
      <c r="AJ106" s="18">
        <f t="shared" si="56"/>
        <v>112298608</v>
      </c>
      <c r="AK106" s="18">
        <f t="shared" si="56"/>
        <v>1462364535</v>
      </c>
      <c r="AL106" s="18">
        <f t="shared" si="56"/>
        <v>164139166</v>
      </c>
      <c r="AM106" s="18">
        <f t="shared" si="56"/>
        <v>168971471</v>
      </c>
      <c r="AN106" s="18">
        <f t="shared" si="56"/>
        <v>0</v>
      </c>
      <c r="AO106" s="18">
        <f t="shared" si="56"/>
        <v>333110637</v>
      </c>
      <c r="AP106" s="18">
        <f t="shared" si="56"/>
        <v>1174066</v>
      </c>
      <c r="AQ106" s="18">
        <f t="shared" si="56"/>
        <v>0</v>
      </c>
      <c r="AR106" s="18">
        <f t="shared" si="56"/>
        <v>1174066</v>
      </c>
      <c r="AS106" s="18">
        <f t="shared" si="56"/>
        <v>0</v>
      </c>
      <c r="AT106" s="18">
        <f t="shared" si="56"/>
        <v>0</v>
      </c>
      <c r="AU106" s="18">
        <f t="shared" si="56"/>
        <v>1515379159</v>
      </c>
      <c r="AV106" s="18">
        <f t="shared" si="56"/>
        <v>168971471</v>
      </c>
      <c r="AW106" s="18">
        <f t="shared" si="56"/>
        <v>112298608</v>
      </c>
      <c r="AX106" s="18">
        <f t="shared" si="56"/>
        <v>1796649238</v>
      </c>
      <c r="AY106" s="26">
        <f t="shared" si="50"/>
        <v>-1.981889500311973E-2</v>
      </c>
    </row>
    <row r="107" spans="1:51" ht="13.5">
      <c r="A107" s="138">
        <v>43374</v>
      </c>
      <c r="B107" s="18">
        <v>170944979</v>
      </c>
      <c r="C107" s="18">
        <v>0</v>
      </c>
      <c r="D107" s="18">
        <v>20321432</v>
      </c>
      <c r="E107" s="18">
        <f t="shared" si="52"/>
        <v>191266411</v>
      </c>
      <c r="F107" s="18">
        <f t="shared" si="34"/>
        <v>35905766</v>
      </c>
      <c r="G107" s="18">
        <f t="shared" si="35"/>
        <v>0</v>
      </c>
      <c r="H107" s="18">
        <f t="shared" si="36"/>
        <v>0</v>
      </c>
      <c r="I107" s="18">
        <f t="shared" si="53"/>
        <v>35905766</v>
      </c>
      <c r="J107" s="18">
        <f t="shared" si="37"/>
        <v>229089</v>
      </c>
      <c r="K107" s="18">
        <v>0</v>
      </c>
      <c r="L107" s="18">
        <f t="shared" si="54"/>
        <v>229089</v>
      </c>
      <c r="M107" s="18">
        <v>0</v>
      </c>
      <c r="N107" s="18">
        <f t="shared" si="45"/>
        <v>0</v>
      </c>
      <c r="O107" s="18">
        <f t="shared" si="46"/>
        <v>207079834</v>
      </c>
      <c r="P107" s="18">
        <f t="shared" si="38"/>
        <v>0</v>
      </c>
      <c r="Q107" s="18">
        <f t="shared" si="39"/>
        <v>20321432</v>
      </c>
      <c r="R107" s="235">
        <f t="shared" si="40"/>
        <v>227401266</v>
      </c>
      <c r="S107" s="18">
        <v>0</v>
      </c>
      <c r="T107" s="18">
        <v>0</v>
      </c>
      <c r="U107" s="18">
        <v>35905766</v>
      </c>
      <c r="V107" s="18">
        <f t="shared" si="41"/>
        <v>35905766</v>
      </c>
      <c r="W107" s="18">
        <v>0</v>
      </c>
      <c r="X107" s="18">
        <v>0</v>
      </c>
      <c r="Y107" s="18">
        <v>0</v>
      </c>
      <c r="Z107" s="18">
        <f t="shared" si="42"/>
        <v>0</v>
      </c>
      <c r="AA107" s="18">
        <v>0</v>
      </c>
      <c r="AB107" s="18">
        <v>0</v>
      </c>
      <c r="AC107" s="18">
        <v>0</v>
      </c>
      <c r="AD107" s="18">
        <f t="shared" si="43"/>
        <v>0</v>
      </c>
      <c r="AE107" s="18">
        <v>229089</v>
      </c>
      <c r="AF107" s="18">
        <v>0</v>
      </c>
      <c r="AG107" s="236">
        <f t="shared" si="44"/>
        <v>229089</v>
      </c>
      <c r="AH107" s="18">
        <f t="shared" si="56"/>
        <v>1521010906</v>
      </c>
      <c r="AI107" s="18">
        <f t="shared" si="56"/>
        <v>0</v>
      </c>
      <c r="AJ107" s="18">
        <f t="shared" si="56"/>
        <v>132620040</v>
      </c>
      <c r="AK107" s="18">
        <f t="shared" si="56"/>
        <v>1653630946</v>
      </c>
      <c r="AL107" s="18">
        <f t="shared" si="56"/>
        <v>200044932</v>
      </c>
      <c r="AM107" s="18">
        <f t="shared" si="56"/>
        <v>168971471</v>
      </c>
      <c r="AN107" s="18">
        <f t="shared" si="56"/>
        <v>0</v>
      </c>
      <c r="AO107" s="18">
        <f t="shared" si="56"/>
        <v>369016403</v>
      </c>
      <c r="AP107" s="18">
        <f t="shared" si="56"/>
        <v>1403155</v>
      </c>
      <c r="AQ107" s="18">
        <f t="shared" si="56"/>
        <v>0</v>
      </c>
      <c r="AR107" s="18">
        <f t="shared" si="56"/>
        <v>1403155</v>
      </c>
      <c r="AS107" s="18">
        <f t="shared" si="56"/>
        <v>0</v>
      </c>
      <c r="AT107" s="18">
        <f t="shared" si="56"/>
        <v>0</v>
      </c>
      <c r="AU107" s="18">
        <f t="shared" si="56"/>
        <v>1722458993</v>
      </c>
      <c r="AV107" s="18">
        <f t="shared" si="56"/>
        <v>168971471</v>
      </c>
      <c r="AW107" s="18">
        <f t="shared" si="56"/>
        <v>132620040</v>
      </c>
      <c r="AX107" s="18">
        <f t="shared" si="56"/>
        <v>2024050504</v>
      </c>
      <c r="AY107" s="26">
        <f t="shared" si="50"/>
        <v>-1.76824987830001E-2</v>
      </c>
    </row>
    <row r="108" spans="1:51" ht="13.5">
      <c r="A108" s="138">
        <v>43405</v>
      </c>
      <c r="B108" s="18">
        <v>150780540</v>
      </c>
      <c r="C108" s="18">
        <v>0</v>
      </c>
      <c r="D108" s="18">
        <v>12920360</v>
      </c>
      <c r="E108" s="18">
        <f t="shared" si="52"/>
        <v>163700900</v>
      </c>
      <c r="F108" s="18">
        <f t="shared" si="34"/>
        <v>36871698</v>
      </c>
      <c r="G108" s="18">
        <f t="shared" si="35"/>
        <v>10690516</v>
      </c>
      <c r="H108" s="18">
        <f t="shared" si="36"/>
        <v>0</v>
      </c>
      <c r="I108" s="18">
        <f t="shared" si="53"/>
        <v>47562214</v>
      </c>
      <c r="J108" s="18">
        <f t="shared" si="37"/>
        <v>152783</v>
      </c>
      <c r="K108" s="18">
        <v>0</v>
      </c>
      <c r="L108" s="18">
        <f t="shared" si="54"/>
        <v>152783</v>
      </c>
      <c r="M108" s="18">
        <v>0</v>
      </c>
      <c r="N108" s="18">
        <f t="shared" si="45"/>
        <v>0</v>
      </c>
      <c r="O108" s="18">
        <f t="shared" si="46"/>
        <v>187805021</v>
      </c>
      <c r="P108" s="18">
        <f t="shared" si="38"/>
        <v>10690516</v>
      </c>
      <c r="Q108" s="18">
        <f t="shared" si="39"/>
        <v>12920360</v>
      </c>
      <c r="R108" s="235">
        <f t="shared" si="40"/>
        <v>211415897</v>
      </c>
      <c r="S108" s="18">
        <v>0</v>
      </c>
      <c r="T108" s="18">
        <v>0</v>
      </c>
      <c r="U108" s="18">
        <v>36871698</v>
      </c>
      <c r="V108" s="18">
        <f t="shared" si="41"/>
        <v>36871698</v>
      </c>
      <c r="W108" s="18">
        <v>0</v>
      </c>
      <c r="X108" s="18">
        <v>0</v>
      </c>
      <c r="Y108" s="18">
        <v>10690516</v>
      </c>
      <c r="Z108" s="18">
        <f t="shared" si="42"/>
        <v>10690516</v>
      </c>
      <c r="AA108" s="18">
        <v>0</v>
      </c>
      <c r="AB108" s="18">
        <v>0</v>
      </c>
      <c r="AC108" s="18">
        <v>0</v>
      </c>
      <c r="AD108" s="18">
        <f t="shared" si="43"/>
        <v>0</v>
      </c>
      <c r="AE108" s="18">
        <v>152783</v>
      </c>
      <c r="AF108" s="18">
        <v>0</v>
      </c>
      <c r="AG108" s="236">
        <f t="shared" si="44"/>
        <v>152783</v>
      </c>
      <c r="AH108" s="18">
        <f t="shared" si="56"/>
        <v>1671791446</v>
      </c>
      <c r="AI108" s="18">
        <f t="shared" si="56"/>
        <v>0</v>
      </c>
      <c r="AJ108" s="18">
        <f t="shared" si="56"/>
        <v>145540400</v>
      </c>
      <c r="AK108" s="18">
        <f t="shared" si="56"/>
        <v>1817331846</v>
      </c>
      <c r="AL108" s="18">
        <f t="shared" si="56"/>
        <v>236916630</v>
      </c>
      <c r="AM108" s="18">
        <f t="shared" si="56"/>
        <v>179661987</v>
      </c>
      <c r="AN108" s="18">
        <f t="shared" si="56"/>
        <v>0</v>
      </c>
      <c r="AO108" s="18">
        <f t="shared" si="56"/>
        <v>416578617</v>
      </c>
      <c r="AP108" s="18">
        <f t="shared" si="56"/>
        <v>1555938</v>
      </c>
      <c r="AQ108" s="18">
        <f t="shared" si="56"/>
        <v>0</v>
      </c>
      <c r="AR108" s="18">
        <f t="shared" si="56"/>
        <v>1555938</v>
      </c>
      <c r="AS108" s="18">
        <f t="shared" si="56"/>
        <v>0</v>
      </c>
      <c r="AT108" s="18">
        <f t="shared" si="56"/>
        <v>0</v>
      </c>
      <c r="AU108" s="18">
        <f t="shared" si="56"/>
        <v>1910264014</v>
      </c>
      <c r="AV108" s="18">
        <f t="shared" si="56"/>
        <v>179661987</v>
      </c>
      <c r="AW108" s="18">
        <f t="shared" si="56"/>
        <v>145540400</v>
      </c>
      <c r="AX108" s="18">
        <f t="shared" si="56"/>
        <v>2235466401</v>
      </c>
      <c r="AY108" s="26">
        <f t="shared" si="50"/>
        <v>-1.3855510530720649E-2</v>
      </c>
    </row>
    <row r="109" spans="1:51" ht="14.25" thickBot="1">
      <c r="A109" s="138">
        <v>43435</v>
      </c>
      <c r="B109" s="18">
        <v>183329377</v>
      </c>
      <c r="C109" s="18">
        <v>0</v>
      </c>
      <c r="D109" s="18">
        <v>29600921</v>
      </c>
      <c r="E109" s="18">
        <f t="shared" si="52"/>
        <v>212930298</v>
      </c>
      <c r="F109" s="18">
        <f t="shared" si="34"/>
        <v>44959932</v>
      </c>
      <c r="G109" s="18">
        <f t="shared" si="35"/>
        <v>23675821</v>
      </c>
      <c r="H109" s="18">
        <f t="shared" si="36"/>
        <v>0</v>
      </c>
      <c r="I109" s="18">
        <f t="shared" si="53"/>
        <v>68635753</v>
      </c>
      <c r="J109" s="18">
        <f t="shared" si="37"/>
        <v>272240</v>
      </c>
      <c r="K109" s="18">
        <v>0</v>
      </c>
      <c r="L109" s="18">
        <f t="shared" si="54"/>
        <v>272240</v>
      </c>
      <c r="M109" s="18">
        <v>0</v>
      </c>
      <c r="N109" s="18">
        <f t="shared" si="45"/>
        <v>0</v>
      </c>
      <c r="O109" s="18">
        <f t="shared" si="46"/>
        <v>228561549</v>
      </c>
      <c r="P109" s="18">
        <f t="shared" si="38"/>
        <v>23675821</v>
      </c>
      <c r="Q109" s="18">
        <f t="shared" si="39"/>
        <v>29600921</v>
      </c>
      <c r="R109" s="235">
        <f t="shared" si="40"/>
        <v>281838291</v>
      </c>
      <c r="S109" s="18">
        <v>0</v>
      </c>
      <c r="T109" s="18">
        <v>0</v>
      </c>
      <c r="U109" s="18">
        <v>44959932</v>
      </c>
      <c r="V109" s="18">
        <f t="shared" si="41"/>
        <v>44959932</v>
      </c>
      <c r="W109" s="18">
        <v>0</v>
      </c>
      <c r="X109" s="18">
        <v>0</v>
      </c>
      <c r="Y109" s="18">
        <v>23675821</v>
      </c>
      <c r="Z109" s="18">
        <f t="shared" si="42"/>
        <v>23675821</v>
      </c>
      <c r="AA109" s="18">
        <v>0</v>
      </c>
      <c r="AB109" s="18">
        <v>0</v>
      </c>
      <c r="AC109" s="18">
        <v>0</v>
      </c>
      <c r="AD109" s="18">
        <f t="shared" si="43"/>
        <v>0</v>
      </c>
      <c r="AE109" s="18">
        <v>272240</v>
      </c>
      <c r="AF109" s="18">
        <v>0</v>
      </c>
      <c r="AG109" s="236">
        <f t="shared" si="44"/>
        <v>272240</v>
      </c>
      <c r="AH109" s="18">
        <f t="shared" si="56"/>
        <v>1855120823</v>
      </c>
      <c r="AI109" s="18">
        <f t="shared" si="56"/>
        <v>0</v>
      </c>
      <c r="AJ109" s="18">
        <f t="shared" si="56"/>
        <v>175141321</v>
      </c>
      <c r="AK109" s="18">
        <f t="shared" si="56"/>
        <v>2030262144</v>
      </c>
      <c r="AL109" s="18">
        <f t="shared" si="56"/>
        <v>281876562</v>
      </c>
      <c r="AM109" s="18">
        <f t="shared" si="56"/>
        <v>203337808</v>
      </c>
      <c r="AN109" s="18">
        <f t="shared" si="56"/>
        <v>0</v>
      </c>
      <c r="AO109" s="18">
        <f t="shared" si="56"/>
        <v>485214370</v>
      </c>
      <c r="AP109" s="18">
        <f t="shared" si="56"/>
        <v>1828178</v>
      </c>
      <c r="AQ109" s="18">
        <f t="shared" si="56"/>
        <v>0</v>
      </c>
      <c r="AR109" s="18">
        <f t="shared" si="56"/>
        <v>1828178</v>
      </c>
      <c r="AS109" s="18">
        <f t="shared" si="56"/>
        <v>0</v>
      </c>
      <c r="AT109" s="18">
        <f t="shared" si="56"/>
        <v>0</v>
      </c>
      <c r="AU109" s="18">
        <f t="shared" si="56"/>
        <v>2138825563</v>
      </c>
      <c r="AV109" s="18">
        <f t="shared" si="56"/>
        <v>203337808</v>
      </c>
      <c r="AW109" s="18">
        <f t="shared" si="56"/>
        <v>175141321</v>
      </c>
      <c r="AX109" s="18">
        <f t="shared" si="56"/>
        <v>2517304692</v>
      </c>
      <c r="AY109" s="26">
        <f t="shared" si="50"/>
        <v>4.7737561161476094E-3</v>
      </c>
    </row>
    <row r="110" spans="1:51" ht="13.5">
      <c r="A110" s="141">
        <v>43466</v>
      </c>
      <c r="B110" s="143">
        <v>107668977</v>
      </c>
      <c r="C110" s="143">
        <v>0</v>
      </c>
      <c r="D110" s="143">
        <v>11809234</v>
      </c>
      <c r="E110" s="143">
        <f t="shared" si="52"/>
        <v>119478211</v>
      </c>
      <c r="F110" s="143">
        <f t="shared" si="34"/>
        <v>33505471</v>
      </c>
      <c r="G110" s="143">
        <f t="shared" si="35"/>
        <v>16293805</v>
      </c>
      <c r="H110" s="143">
        <f t="shared" si="36"/>
        <v>0</v>
      </c>
      <c r="I110" s="143">
        <f t="shared" si="53"/>
        <v>49799276</v>
      </c>
      <c r="J110" s="143">
        <f t="shared" si="37"/>
        <v>194630</v>
      </c>
      <c r="K110" s="143">
        <v>0</v>
      </c>
      <c r="L110" s="143">
        <f t="shared" si="54"/>
        <v>194630</v>
      </c>
      <c r="M110" s="143">
        <v>4815</v>
      </c>
      <c r="N110" s="143">
        <f t="shared" si="45"/>
        <v>4815</v>
      </c>
      <c r="O110" s="143">
        <f t="shared" si="46"/>
        <v>141373893</v>
      </c>
      <c r="P110" s="143">
        <f t="shared" si="38"/>
        <v>16293805</v>
      </c>
      <c r="Q110" s="143">
        <f t="shared" si="39"/>
        <v>11809234</v>
      </c>
      <c r="R110" s="237">
        <f t="shared" si="40"/>
        <v>169476932</v>
      </c>
      <c r="S110" s="143">
        <v>0</v>
      </c>
      <c r="T110" s="143">
        <v>0</v>
      </c>
      <c r="U110" s="143">
        <v>33505471</v>
      </c>
      <c r="V110" s="143">
        <f t="shared" si="41"/>
        <v>33505471</v>
      </c>
      <c r="W110" s="143">
        <v>0</v>
      </c>
      <c r="X110" s="143">
        <v>0</v>
      </c>
      <c r="Y110" s="143">
        <v>16293805</v>
      </c>
      <c r="Z110" s="143">
        <f t="shared" si="42"/>
        <v>16293805</v>
      </c>
      <c r="AA110" s="143">
        <v>0</v>
      </c>
      <c r="AB110" s="143">
        <v>0</v>
      </c>
      <c r="AC110" s="143">
        <v>0</v>
      </c>
      <c r="AD110" s="143">
        <f t="shared" si="43"/>
        <v>0</v>
      </c>
      <c r="AE110" s="143">
        <v>194630</v>
      </c>
      <c r="AF110" s="143">
        <v>0</v>
      </c>
      <c r="AG110" s="238">
        <f t="shared" si="44"/>
        <v>194630</v>
      </c>
      <c r="AH110" s="143">
        <f t="shared" ref="AH110:AX110" si="57">B110</f>
        <v>107668977</v>
      </c>
      <c r="AI110" s="143">
        <f t="shared" si="57"/>
        <v>0</v>
      </c>
      <c r="AJ110" s="143">
        <f t="shared" si="57"/>
        <v>11809234</v>
      </c>
      <c r="AK110" s="143">
        <f t="shared" si="57"/>
        <v>119478211</v>
      </c>
      <c r="AL110" s="143">
        <f t="shared" si="57"/>
        <v>33505471</v>
      </c>
      <c r="AM110" s="143">
        <f t="shared" si="57"/>
        <v>16293805</v>
      </c>
      <c r="AN110" s="143">
        <f t="shared" si="57"/>
        <v>0</v>
      </c>
      <c r="AO110" s="143">
        <f t="shared" si="57"/>
        <v>49799276</v>
      </c>
      <c r="AP110" s="143">
        <f t="shared" si="57"/>
        <v>194630</v>
      </c>
      <c r="AQ110" s="143">
        <f t="shared" si="57"/>
        <v>0</v>
      </c>
      <c r="AR110" s="143">
        <f t="shared" si="57"/>
        <v>194630</v>
      </c>
      <c r="AS110" s="143">
        <f t="shared" si="57"/>
        <v>4815</v>
      </c>
      <c r="AT110" s="143">
        <f t="shared" si="57"/>
        <v>4815</v>
      </c>
      <c r="AU110" s="143">
        <f t="shared" si="57"/>
        <v>141373893</v>
      </c>
      <c r="AV110" s="143">
        <f t="shared" si="57"/>
        <v>16293805</v>
      </c>
      <c r="AW110" s="143">
        <f t="shared" si="57"/>
        <v>11809234</v>
      </c>
      <c r="AX110" s="143">
        <f t="shared" si="57"/>
        <v>169476932</v>
      </c>
      <c r="AY110" s="26">
        <f t="shared" si="50"/>
        <v>0.12693097812464216</v>
      </c>
    </row>
    <row r="111" spans="1:51" ht="13.5">
      <c r="A111" s="138">
        <v>43497</v>
      </c>
      <c r="B111" s="18">
        <v>117330452</v>
      </c>
      <c r="C111" s="18">
        <v>0</v>
      </c>
      <c r="D111" s="18">
        <v>10968228</v>
      </c>
      <c r="E111" s="18">
        <f t="shared" si="52"/>
        <v>128298680</v>
      </c>
      <c r="F111" s="18">
        <f t="shared" si="34"/>
        <v>37825609</v>
      </c>
      <c r="G111" s="18">
        <f t="shared" si="35"/>
        <v>21173236</v>
      </c>
      <c r="H111" s="18">
        <f t="shared" si="36"/>
        <v>0</v>
      </c>
      <c r="I111" s="18">
        <f t="shared" si="53"/>
        <v>58998845</v>
      </c>
      <c r="J111" s="18">
        <f t="shared" si="37"/>
        <v>187609</v>
      </c>
      <c r="K111" s="18">
        <v>0</v>
      </c>
      <c r="L111" s="18">
        <f t="shared" si="54"/>
        <v>187609</v>
      </c>
      <c r="M111" s="18">
        <v>0</v>
      </c>
      <c r="N111" s="18">
        <f t="shared" si="45"/>
        <v>0</v>
      </c>
      <c r="O111" s="18">
        <f t="shared" si="46"/>
        <v>155343670</v>
      </c>
      <c r="P111" s="18">
        <f t="shared" si="38"/>
        <v>21173236</v>
      </c>
      <c r="Q111" s="18">
        <f t="shared" si="39"/>
        <v>10968228</v>
      </c>
      <c r="R111" s="235">
        <f t="shared" si="40"/>
        <v>187485134</v>
      </c>
      <c r="S111" s="18">
        <v>0</v>
      </c>
      <c r="T111" s="18">
        <v>0</v>
      </c>
      <c r="U111" s="18">
        <v>37825609</v>
      </c>
      <c r="V111" s="18">
        <f t="shared" si="41"/>
        <v>37825609</v>
      </c>
      <c r="W111" s="18">
        <v>0</v>
      </c>
      <c r="X111" s="18">
        <v>0</v>
      </c>
      <c r="Y111" s="18">
        <v>21173236</v>
      </c>
      <c r="Z111" s="18">
        <f t="shared" si="42"/>
        <v>21173236</v>
      </c>
      <c r="AA111" s="18">
        <v>0</v>
      </c>
      <c r="AB111" s="18">
        <v>0</v>
      </c>
      <c r="AC111" s="18">
        <v>0</v>
      </c>
      <c r="AD111" s="18">
        <f t="shared" si="43"/>
        <v>0</v>
      </c>
      <c r="AE111" s="18">
        <v>187609</v>
      </c>
      <c r="AF111" s="18">
        <v>0</v>
      </c>
      <c r="AG111" s="236">
        <f t="shared" si="44"/>
        <v>187609</v>
      </c>
      <c r="AH111" s="18">
        <f t="shared" ref="AH111:AX121" si="58">AH110+B111</f>
        <v>224999429</v>
      </c>
      <c r="AI111" s="18">
        <f t="shared" si="58"/>
        <v>0</v>
      </c>
      <c r="AJ111" s="18">
        <f t="shared" si="58"/>
        <v>22777462</v>
      </c>
      <c r="AK111" s="18">
        <f t="shared" si="58"/>
        <v>247776891</v>
      </c>
      <c r="AL111" s="18">
        <f t="shared" si="58"/>
        <v>71331080</v>
      </c>
      <c r="AM111" s="18">
        <f t="shared" si="58"/>
        <v>37467041</v>
      </c>
      <c r="AN111" s="18">
        <f t="shared" si="58"/>
        <v>0</v>
      </c>
      <c r="AO111" s="18">
        <f t="shared" si="58"/>
        <v>108798121</v>
      </c>
      <c r="AP111" s="18">
        <f t="shared" si="58"/>
        <v>382239</v>
      </c>
      <c r="AQ111" s="18">
        <f t="shared" si="58"/>
        <v>0</v>
      </c>
      <c r="AR111" s="18">
        <f t="shared" si="58"/>
        <v>382239</v>
      </c>
      <c r="AS111" s="18">
        <f t="shared" si="58"/>
        <v>4815</v>
      </c>
      <c r="AT111" s="18">
        <f t="shared" si="58"/>
        <v>4815</v>
      </c>
      <c r="AU111" s="18">
        <f t="shared" si="58"/>
        <v>296717563</v>
      </c>
      <c r="AV111" s="18">
        <f t="shared" si="58"/>
        <v>37467041</v>
      </c>
      <c r="AW111" s="18">
        <f t="shared" si="58"/>
        <v>22777462</v>
      </c>
      <c r="AX111" s="18">
        <f t="shared" si="58"/>
        <v>356962066</v>
      </c>
      <c r="AY111" s="26">
        <f t="shared" si="50"/>
        <v>0.15059380720964688</v>
      </c>
    </row>
    <row r="112" spans="1:51" ht="13.5">
      <c r="A112" s="138">
        <v>43525</v>
      </c>
      <c r="B112" s="18">
        <v>147658797</v>
      </c>
      <c r="C112" s="18">
        <v>0</v>
      </c>
      <c r="D112" s="18">
        <v>12055979</v>
      </c>
      <c r="E112" s="18">
        <f t="shared" si="52"/>
        <v>159714776</v>
      </c>
      <c r="F112" s="18">
        <f t="shared" si="34"/>
        <v>32865031</v>
      </c>
      <c r="G112" s="18">
        <f t="shared" si="35"/>
        <v>19249929</v>
      </c>
      <c r="H112" s="18">
        <f t="shared" si="36"/>
        <v>0</v>
      </c>
      <c r="I112" s="18">
        <f t="shared" si="53"/>
        <v>52114960</v>
      </c>
      <c r="J112" s="18">
        <f t="shared" si="37"/>
        <v>183940</v>
      </c>
      <c r="K112" s="18">
        <v>0</v>
      </c>
      <c r="L112" s="18">
        <f t="shared" si="54"/>
        <v>183940</v>
      </c>
      <c r="M112" s="18">
        <v>0</v>
      </c>
      <c r="N112" s="18">
        <f t="shared" si="45"/>
        <v>0</v>
      </c>
      <c r="O112" s="18">
        <f t="shared" si="46"/>
        <v>180707768</v>
      </c>
      <c r="P112" s="18">
        <f t="shared" si="38"/>
        <v>19249929</v>
      </c>
      <c r="Q112" s="18">
        <f t="shared" si="39"/>
        <v>12055979</v>
      </c>
      <c r="R112" s="235">
        <f t="shared" si="40"/>
        <v>212013676</v>
      </c>
      <c r="S112" s="18">
        <v>0</v>
      </c>
      <c r="T112" s="18">
        <v>0</v>
      </c>
      <c r="U112" s="18">
        <v>32865031</v>
      </c>
      <c r="V112" s="18">
        <f t="shared" si="41"/>
        <v>32865031</v>
      </c>
      <c r="W112" s="18">
        <v>0</v>
      </c>
      <c r="X112" s="18">
        <v>0</v>
      </c>
      <c r="Y112" s="18">
        <v>19249929</v>
      </c>
      <c r="Z112" s="18">
        <f t="shared" si="42"/>
        <v>19249929</v>
      </c>
      <c r="AA112" s="18">
        <v>0</v>
      </c>
      <c r="AB112" s="18">
        <v>0</v>
      </c>
      <c r="AC112" s="18">
        <v>0</v>
      </c>
      <c r="AD112" s="18">
        <f t="shared" si="43"/>
        <v>0</v>
      </c>
      <c r="AE112" s="18">
        <v>183940</v>
      </c>
      <c r="AF112" s="18">
        <v>0</v>
      </c>
      <c r="AG112" s="236">
        <f t="shared" si="44"/>
        <v>183940</v>
      </c>
      <c r="AH112" s="18">
        <f t="shared" si="58"/>
        <v>372658226</v>
      </c>
      <c r="AI112" s="18">
        <f t="shared" si="58"/>
        <v>0</v>
      </c>
      <c r="AJ112" s="18">
        <f t="shared" si="58"/>
        <v>34833441</v>
      </c>
      <c r="AK112" s="18">
        <f t="shared" si="58"/>
        <v>407491667</v>
      </c>
      <c r="AL112" s="18">
        <f t="shared" si="58"/>
        <v>104196111</v>
      </c>
      <c r="AM112" s="18">
        <f t="shared" si="58"/>
        <v>56716970</v>
      </c>
      <c r="AN112" s="18">
        <f t="shared" si="58"/>
        <v>0</v>
      </c>
      <c r="AO112" s="18">
        <f t="shared" si="58"/>
        <v>160913081</v>
      </c>
      <c r="AP112" s="18">
        <f t="shared" si="58"/>
        <v>566179</v>
      </c>
      <c r="AQ112" s="18">
        <f t="shared" si="58"/>
        <v>0</v>
      </c>
      <c r="AR112" s="18">
        <f t="shared" si="58"/>
        <v>566179</v>
      </c>
      <c r="AS112" s="18">
        <f t="shared" si="58"/>
        <v>4815</v>
      </c>
      <c r="AT112" s="18">
        <f t="shared" si="58"/>
        <v>4815</v>
      </c>
      <c r="AU112" s="18">
        <f t="shared" si="58"/>
        <v>477425331</v>
      </c>
      <c r="AV112" s="18">
        <f t="shared" si="58"/>
        <v>56716970</v>
      </c>
      <c r="AW112" s="18">
        <f t="shared" si="58"/>
        <v>34833441</v>
      </c>
      <c r="AX112" s="18">
        <f t="shared" si="58"/>
        <v>568975742</v>
      </c>
      <c r="AY112" s="26">
        <f t="shared" si="50"/>
        <v>0.11275466136324086</v>
      </c>
    </row>
    <row r="113" spans="1:51" ht="13.5">
      <c r="A113" s="138">
        <v>43556</v>
      </c>
      <c r="B113" s="18">
        <v>160888556</v>
      </c>
      <c r="C113" s="18">
        <v>0</v>
      </c>
      <c r="D113" s="18">
        <v>21520142</v>
      </c>
      <c r="E113" s="18">
        <f t="shared" si="52"/>
        <v>182408698</v>
      </c>
      <c r="F113" s="18">
        <f t="shared" si="34"/>
        <v>35561760</v>
      </c>
      <c r="G113" s="18">
        <f t="shared" si="35"/>
        <v>24565160</v>
      </c>
      <c r="H113" s="18">
        <f t="shared" si="36"/>
        <v>0</v>
      </c>
      <c r="I113" s="18">
        <f t="shared" si="53"/>
        <v>60126920</v>
      </c>
      <c r="J113" s="18">
        <f t="shared" si="37"/>
        <v>245975</v>
      </c>
      <c r="K113" s="18">
        <v>0</v>
      </c>
      <c r="L113" s="18">
        <f t="shared" si="54"/>
        <v>245975</v>
      </c>
      <c r="M113" s="18">
        <v>0</v>
      </c>
      <c r="N113" s="18">
        <f t="shared" si="45"/>
        <v>0</v>
      </c>
      <c r="O113" s="18">
        <f t="shared" si="46"/>
        <v>196696291</v>
      </c>
      <c r="P113" s="18">
        <f t="shared" si="38"/>
        <v>24565160</v>
      </c>
      <c r="Q113" s="18">
        <f t="shared" si="39"/>
        <v>21520142</v>
      </c>
      <c r="R113" s="235">
        <f t="shared" si="40"/>
        <v>242781593</v>
      </c>
      <c r="S113" s="18">
        <v>0</v>
      </c>
      <c r="T113" s="18">
        <v>0</v>
      </c>
      <c r="U113" s="18">
        <v>35561760</v>
      </c>
      <c r="V113" s="18">
        <f t="shared" si="41"/>
        <v>35561760</v>
      </c>
      <c r="W113" s="18">
        <v>0</v>
      </c>
      <c r="X113" s="18">
        <v>0</v>
      </c>
      <c r="Y113" s="18">
        <v>24565160</v>
      </c>
      <c r="Z113" s="18">
        <f t="shared" si="42"/>
        <v>24565160</v>
      </c>
      <c r="AA113" s="18">
        <v>0</v>
      </c>
      <c r="AB113" s="18">
        <v>0</v>
      </c>
      <c r="AC113" s="18">
        <v>0</v>
      </c>
      <c r="AD113" s="18">
        <f t="shared" si="43"/>
        <v>0</v>
      </c>
      <c r="AE113" s="18">
        <v>245975</v>
      </c>
      <c r="AF113" s="18">
        <v>0</v>
      </c>
      <c r="AG113" s="236">
        <f t="shared" si="44"/>
        <v>245975</v>
      </c>
      <c r="AH113" s="18">
        <f t="shared" si="58"/>
        <v>533546782</v>
      </c>
      <c r="AI113" s="18">
        <f t="shared" si="58"/>
        <v>0</v>
      </c>
      <c r="AJ113" s="18">
        <f t="shared" si="58"/>
        <v>56353583</v>
      </c>
      <c r="AK113" s="18">
        <f t="shared" si="58"/>
        <v>589900365</v>
      </c>
      <c r="AL113" s="18">
        <f t="shared" si="58"/>
        <v>139757871</v>
      </c>
      <c r="AM113" s="18">
        <f t="shared" si="58"/>
        <v>81282130</v>
      </c>
      <c r="AN113" s="18">
        <f t="shared" si="58"/>
        <v>0</v>
      </c>
      <c r="AO113" s="18">
        <f t="shared" si="58"/>
        <v>221040001</v>
      </c>
      <c r="AP113" s="18">
        <f t="shared" si="58"/>
        <v>812154</v>
      </c>
      <c r="AQ113" s="18">
        <f t="shared" si="58"/>
        <v>0</v>
      </c>
      <c r="AR113" s="18">
        <f t="shared" si="58"/>
        <v>812154</v>
      </c>
      <c r="AS113" s="18">
        <f t="shared" si="58"/>
        <v>4815</v>
      </c>
      <c r="AT113" s="18">
        <f t="shared" si="58"/>
        <v>4815</v>
      </c>
      <c r="AU113" s="18">
        <f t="shared" si="58"/>
        <v>674121622</v>
      </c>
      <c r="AV113" s="18">
        <f t="shared" si="58"/>
        <v>81282130</v>
      </c>
      <c r="AW113" s="18">
        <f t="shared" si="58"/>
        <v>56353583</v>
      </c>
      <c r="AX113" s="18">
        <f t="shared" si="58"/>
        <v>811757335</v>
      </c>
      <c r="AY113" s="26">
        <f t="shared" si="50"/>
        <v>0.13494276358846657</v>
      </c>
    </row>
    <row r="114" spans="1:51" ht="13.5">
      <c r="A114" s="138">
        <v>43586</v>
      </c>
      <c r="B114" s="18">
        <v>164042436</v>
      </c>
      <c r="C114" s="18">
        <v>0</v>
      </c>
      <c r="D114" s="18">
        <v>15655745</v>
      </c>
      <c r="E114" s="18">
        <f t="shared" si="52"/>
        <v>179698181</v>
      </c>
      <c r="F114" s="18">
        <f t="shared" si="34"/>
        <v>36914619</v>
      </c>
      <c r="G114" s="18">
        <f t="shared" si="35"/>
        <v>29546118</v>
      </c>
      <c r="H114" s="18">
        <f t="shared" si="36"/>
        <v>0</v>
      </c>
      <c r="I114" s="18">
        <f t="shared" si="53"/>
        <v>66460737</v>
      </c>
      <c r="J114" s="18">
        <f t="shared" si="37"/>
        <v>254288</v>
      </c>
      <c r="K114" s="18">
        <v>0</v>
      </c>
      <c r="L114" s="18">
        <f t="shared" si="54"/>
        <v>254288</v>
      </c>
      <c r="M114" s="18">
        <v>0</v>
      </c>
      <c r="N114" s="18">
        <f t="shared" si="45"/>
        <v>0</v>
      </c>
      <c r="O114" s="18">
        <f t="shared" si="46"/>
        <v>201211343</v>
      </c>
      <c r="P114" s="18">
        <f t="shared" si="38"/>
        <v>29546118</v>
      </c>
      <c r="Q114" s="18">
        <f t="shared" si="39"/>
        <v>15655745</v>
      </c>
      <c r="R114" s="235">
        <f t="shared" si="40"/>
        <v>246413206</v>
      </c>
      <c r="S114" s="18">
        <v>0</v>
      </c>
      <c r="T114" s="18">
        <v>0</v>
      </c>
      <c r="U114" s="18">
        <v>36914619</v>
      </c>
      <c r="V114" s="18">
        <f t="shared" si="41"/>
        <v>36914619</v>
      </c>
      <c r="W114" s="18">
        <v>0</v>
      </c>
      <c r="X114" s="18">
        <v>0</v>
      </c>
      <c r="Y114" s="18">
        <v>29546118</v>
      </c>
      <c r="Z114" s="18">
        <f t="shared" si="42"/>
        <v>29546118</v>
      </c>
      <c r="AA114" s="18">
        <v>0</v>
      </c>
      <c r="AB114" s="18">
        <v>0</v>
      </c>
      <c r="AC114" s="18">
        <v>0</v>
      </c>
      <c r="AD114" s="18">
        <f>SUM(AA114:AC114)</f>
        <v>0</v>
      </c>
      <c r="AE114" s="18">
        <v>254288</v>
      </c>
      <c r="AF114" s="18">
        <v>0</v>
      </c>
      <c r="AG114" s="236">
        <f t="shared" si="44"/>
        <v>254288</v>
      </c>
      <c r="AH114" s="18">
        <f t="shared" si="58"/>
        <v>697589218</v>
      </c>
      <c r="AI114" s="18">
        <f t="shared" si="58"/>
        <v>0</v>
      </c>
      <c r="AJ114" s="18">
        <f t="shared" si="58"/>
        <v>72009328</v>
      </c>
      <c r="AK114" s="18">
        <f t="shared" si="58"/>
        <v>769598546</v>
      </c>
      <c r="AL114" s="18">
        <f t="shared" si="58"/>
        <v>176672490</v>
      </c>
      <c r="AM114" s="18">
        <f t="shared" si="58"/>
        <v>110828248</v>
      </c>
      <c r="AN114" s="18">
        <f t="shared" si="58"/>
        <v>0</v>
      </c>
      <c r="AO114" s="18">
        <f t="shared" si="58"/>
        <v>287500738</v>
      </c>
      <c r="AP114" s="18">
        <f t="shared" si="58"/>
        <v>1066442</v>
      </c>
      <c r="AQ114" s="18">
        <f t="shared" si="58"/>
        <v>0</v>
      </c>
      <c r="AR114" s="18">
        <f t="shared" si="58"/>
        <v>1066442</v>
      </c>
      <c r="AS114" s="18">
        <f t="shared" si="58"/>
        <v>4815</v>
      </c>
      <c r="AT114" s="18">
        <f t="shared" si="58"/>
        <v>4815</v>
      </c>
      <c r="AU114" s="18">
        <f t="shared" si="58"/>
        <v>875332965</v>
      </c>
      <c r="AV114" s="18">
        <f t="shared" si="58"/>
        <v>110828248</v>
      </c>
      <c r="AW114" s="18">
        <f t="shared" si="58"/>
        <v>72009328</v>
      </c>
      <c r="AX114" s="18">
        <f t="shared" si="58"/>
        <v>1058170541</v>
      </c>
      <c r="AY114" s="26">
        <f t="shared" si="50"/>
        <v>0.1223635614718761</v>
      </c>
    </row>
    <row r="115" spans="1:51" ht="13.5">
      <c r="A115" s="138">
        <v>43617</v>
      </c>
      <c r="B115" s="18">
        <v>144102423</v>
      </c>
      <c r="C115" s="18">
        <v>0</v>
      </c>
      <c r="D115" s="18">
        <v>19389140</v>
      </c>
      <c r="E115" s="18">
        <f t="shared" ref="E115:E178" si="59">SUM(B115:D115)</f>
        <v>163491563</v>
      </c>
      <c r="F115" s="18">
        <f t="shared" si="34"/>
        <v>37285265</v>
      </c>
      <c r="G115" s="18">
        <f t="shared" si="35"/>
        <v>28703132</v>
      </c>
      <c r="H115" s="18">
        <f t="shared" si="36"/>
        <v>0</v>
      </c>
      <c r="I115" s="18">
        <f t="shared" si="53"/>
        <v>65988397</v>
      </c>
      <c r="J115" s="18">
        <f t="shared" si="37"/>
        <v>223279</v>
      </c>
      <c r="K115" s="18">
        <v>0</v>
      </c>
      <c r="L115" s="18">
        <f t="shared" si="54"/>
        <v>223279</v>
      </c>
      <c r="M115" s="18">
        <v>0</v>
      </c>
      <c r="N115" s="18">
        <f t="shared" si="45"/>
        <v>0</v>
      </c>
      <c r="O115" s="18">
        <f t="shared" si="46"/>
        <v>181610967</v>
      </c>
      <c r="P115" s="18">
        <f t="shared" si="38"/>
        <v>28703132</v>
      </c>
      <c r="Q115" s="18">
        <f t="shared" si="39"/>
        <v>19389140</v>
      </c>
      <c r="R115" s="235">
        <f t="shared" si="40"/>
        <v>229703239</v>
      </c>
      <c r="S115" s="18">
        <v>0</v>
      </c>
      <c r="T115" s="18">
        <v>0</v>
      </c>
      <c r="U115" s="18">
        <v>37285265</v>
      </c>
      <c r="V115" s="18">
        <f>SUM(S115:U115)</f>
        <v>37285265</v>
      </c>
      <c r="W115" s="18">
        <v>0</v>
      </c>
      <c r="X115" s="18">
        <v>0</v>
      </c>
      <c r="Y115" s="18">
        <v>28703132</v>
      </c>
      <c r="Z115" s="18">
        <f>SUM(W115:Y115)</f>
        <v>28703132</v>
      </c>
      <c r="AA115" s="18">
        <v>0</v>
      </c>
      <c r="AB115" s="18">
        <v>0</v>
      </c>
      <c r="AC115" s="18">
        <v>0</v>
      </c>
      <c r="AD115" s="18">
        <f>SUM(AA115:AC115)</f>
        <v>0</v>
      </c>
      <c r="AE115" s="18">
        <v>223279</v>
      </c>
      <c r="AF115" s="18">
        <v>0</v>
      </c>
      <c r="AG115" s="236">
        <f t="shared" si="44"/>
        <v>223279</v>
      </c>
      <c r="AH115" s="18">
        <f t="shared" si="58"/>
        <v>841691641</v>
      </c>
      <c r="AI115" s="18">
        <f t="shared" si="58"/>
        <v>0</v>
      </c>
      <c r="AJ115" s="18">
        <f t="shared" si="58"/>
        <v>91398468</v>
      </c>
      <c r="AK115" s="18">
        <f t="shared" si="58"/>
        <v>933090109</v>
      </c>
      <c r="AL115" s="18">
        <f t="shared" si="58"/>
        <v>213957755</v>
      </c>
      <c r="AM115" s="18">
        <f t="shared" si="58"/>
        <v>139531380</v>
      </c>
      <c r="AN115" s="18">
        <f t="shared" si="58"/>
        <v>0</v>
      </c>
      <c r="AO115" s="18">
        <f t="shared" si="58"/>
        <v>353489135</v>
      </c>
      <c r="AP115" s="18">
        <f t="shared" si="58"/>
        <v>1289721</v>
      </c>
      <c r="AQ115" s="18">
        <f t="shared" si="58"/>
        <v>0</v>
      </c>
      <c r="AR115" s="18">
        <f t="shared" si="58"/>
        <v>1289721</v>
      </c>
      <c r="AS115" s="18">
        <f t="shared" si="58"/>
        <v>4815</v>
      </c>
      <c r="AT115" s="18">
        <f t="shared" si="58"/>
        <v>4815</v>
      </c>
      <c r="AU115" s="18">
        <f t="shared" si="58"/>
        <v>1056943932</v>
      </c>
      <c r="AV115" s="18">
        <f t="shared" si="58"/>
        <v>139531380</v>
      </c>
      <c r="AW115" s="18">
        <f t="shared" si="58"/>
        <v>91398468</v>
      </c>
      <c r="AX115" s="18">
        <f t="shared" si="58"/>
        <v>1287873780</v>
      </c>
      <c r="AY115" s="26">
        <f t="shared" si="50"/>
        <v>0.11960177175358466</v>
      </c>
    </row>
    <row r="116" spans="1:51" ht="13.5">
      <c r="A116" s="138">
        <v>43647</v>
      </c>
      <c r="B116" s="18">
        <v>169452631</v>
      </c>
      <c r="C116" s="18">
        <v>0</v>
      </c>
      <c r="D116" s="18">
        <v>16326425</v>
      </c>
      <c r="E116" s="18">
        <f t="shared" si="59"/>
        <v>185779056</v>
      </c>
      <c r="F116" s="18">
        <f t="shared" si="34"/>
        <v>43179249</v>
      </c>
      <c r="G116" s="18">
        <f t="shared" si="35"/>
        <v>28383489</v>
      </c>
      <c r="H116" s="18">
        <f t="shared" si="36"/>
        <v>0</v>
      </c>
      <c r="I116" s="18">
        <f t="shared" si="53"/>
        <v>71562738</v>
      </c>
      <c r="J116" s="18">
        <f t="shared" si="37"/>
        <v>146613</v>
      </c>
      <c r="K116" s="18">
        <v>0</v>
      </c>
      <c r="L116" s="18">
        <f t="shared" si="54"/>
        <v>146613</v>
      </c>
      <c r="M116" s="18">
        <v>0</v>
      </c>
      <c r="N116" s="18">
        <f t="shared" si="45"/>
        <v>0</v>
      </c>
      <c r="O116" s="18">
        <f t="shared" si="46"/>
        <v>212778493</v>
      </c>
      <c r="P116" s="18">
        <f t="shared" si="38"/>
        <v>28383489</v>
      </c>
      <c r="Q116" s="18">
        <f t="shared" si="39"/>
        <v>16326425</v>
      </c>
      <c r="R116" s="235">
        <f t="shared" si="40"/>
        <v>257488407</v>
      </c>
      <c r="S116" s="18">
        <v>0</v>
      </c>
      <c r="T116" s="18">
        <v>0</v>
      </c>
      <c r="U116" s="18">
        <v>43179249</v>
      </c>
      <c r="V116" s="18">
        <f>SUM(S116:U116)</f>
        <v>43179249</v>
      </c>
      <c r="W116" s="18">
        <v>0</v>
      </c>
      <c r="X116" s="18">
        <v>0</v>
      </c>
      <c r="Y116" s="18">
        <v>28383489</v>
      </c>
      <c r="Z116" s="18">
        <f>SUM(W116:Y116)</f>
        <v>28383489</v>
      </c>
      <c r="AA116" s="18">
        <v>0</v>
      </c>
      <c r="AB116" s="18">
        <v>0</v>
      </c>
      <c r="AC116" s="18">
        <v>0</v>
      </c>
      <c r="AD116" s="18">
        <f>SUM(AA116:AC116)</f>
        <v>0</v>
      </c>
      <c r="AE116" s="18">
        <v>146613</v>
      </c>
      <c r="AF116" s="18">
        <v>0</v>
      </c>
      <c r="AG116" s="236">
        <f t="shared" si="44"/>
        <v>146613</v>
      </c>
      <c r="AH116" s="18">
        <f t="shared" si="58"/>
        <v>1011144272</v>
      </c>
      <c r="AI116" s="18">
        <f t="shared" si="58"/>
        <v>0</v>
      </c>
      <c r="AJ116" s="18">
        <f t="shared" si="58"/>
        <v>107724893</v>
      </c>
      <c r="AK116" s="18">
        <f t="shared" si="58"/>
        <v>1118869165</v>
      </c>
      <c r="AL116" s="18">
        <f t="shared" si="58"/>
        <v>257137004</v>
      </c>
      <c r="AM116" s="18">
        <f t="shared" si="58"/>
        <v>167914869</v>
      </c>
      <c r="AN116" s="18">
        <f t="shared" si="58"/>
        <v>0</v>
      </c>
      <c r="AO116" s="18">
        <f t="shared" si="58"/>
        <v>425051873</v>
      </c>
      <c r="AP116" s="18">
        <f t="shared" si="58"/>
        <v>1436334</v>
      </c>
      <c r="AQ116" s="18">
        <f t="shared" si="58"/>
        <v>0</v>
      </c>
      <c r="AR116" s="18">
        <f t="shared" si="58"/>
        <v>1436334</v>
      </c>
      <c r="AS116" s="18">
        <f t="shared" si="58"/>
        <v>4815</v>
      </c>
      <c r="AT116" s="18">
        <f t="shared" si="58"/>
        <v>4815</v>
      </c>
      <c r="AU116" s="18">
        <f t="shared" si="58"/>
        <v>1269722425</v>
      </c>
      <c r="AV116" s="18">
        <f t="shared" si="58"/>
        <v>167914869</v>
      </c>
      <c r="AW116" s="18">
        <f t="shared" si="58"/>
        <v>107724893</v>
      </c>
      <c r="AX116" s="18">
        <f t="shared" si="58"/>
        <v>1545362187</v>
      </c>
      <c r="AY116" s="26">
        <f t="shared" si="50"/>
        <v>0.14171531654195957</v>
      </c>
    </row>
    <row r="117" spans="1:51" ht="13.5">
      <c r="A117" s="138">
        <v>43678</v>
      </c>
      <c r="B117" s="18">
        <v>153598697</v>
      </c>
      <c r="C117" s="18">
        <v>0</v>
      </c>
      <c r="D117" s="18">
        <v>8822166</v>
      </c>
      <c r="E117" s="18">
        <f t="shared" si="59"/>
        <v>162420863</v>
      </c>
      <c r="F117" s="18">
        <f t="shared" si="34"/>
        <v>26567329</v>
      </c>
      <c r="G117" s="18">
        <f t="shared" si="35"/>
        <v>25211923</v>
      </c>
      <c r="H117" s="18">
        <f t="shared" si="36"/>
        <v>0</v>
      </c>
      <c r="I117" s="18">
        <f t="shared" si="53"/>
        <v>51779252</v>
      </c>
      <c r="J117" s="18">
        <f t="shared" si="37"/>
        <v>271757</v>
      </c>
      <c r="K117" s="18">
        <v>0</v>
      </c>
      <c r="L117" s="18">
        <f t="shared" si="54"/>
        <v>271757</v>
      </c>
      <c r="M117" s="18">
        <v>0</v>
      </c>
      <c r="N117" s="18">
        <f t="shared" si="45"/>
        <v>0</v>
      </c>
      <c r="O117" s="18">
        <f t="shared" si="46"/>
        <v>180437783</v>
      </c>
      <c r="P117" s="18">
        <f t="shared" si="38"/>
        <v>25211923</v>
      </c>
      <c r="Q117" s="18">
        <f t="shared" si="39"/>
        <v>8822166</v>
      </c>
      <c r="R117" s="235">
        <f t="shared" si="40"/>
        <v>214471872</v>
      </c>
      <c r="S117" s="18">
        <v>0</v>
      </c>
      <c r="T117" s="18">
        <v>0</v>
      </c>
      <c r="U117" s="18">
        <v>26567329</v>
      </c>
      <c r="V117" s="18">
        <f>SUM(S117:U117)</f>
        <v>26567329</v>
      </c>
      <c r="W117" s="18">
        <v>0</v>
      </c>
      <c r="X117" s="18">
        <v>2375605</v>
      </c>
      <c r="Y117" s="18">
        <v>22836318</v>
      </c>
      <c r="Z117" s="18">
        <f>SUM(W117:Y117)</f>
        <v>25211923</v>
      </c>
      <c r="AA117" s="18">
        <v>0</v>
      </c>
      <c r="AB117" s="18">
        <v>0</v>
      </c>
      <c r="AC117" s="18">
        <v>0</v>
      </c>
      <c r="AD117" s="18">
        <f>SUM(AA117:AC117)</f>
        <v>0</v>
      </c>
      <c r="AE117" s="18">
        <v>271757</v>
      </c>
      <c r="AF117" s="18">
        <v>0</v>
      </c>
      <c r="AG117" s="236">
        <f t="shared" si="44"/>
        <v>271757</v>
      </c>
      <c r="AH117" s="18">
        <f t="shared" si="58"/>
        <v>1164742969</v>
      </c>
      <c r="AI117" s="18">
        <f t="shared" si="58"/>
        <v>0</v>
      </c>
      <c r="AJ117" s="18">
        <f t="shared" si="58"/>
        <v>116547059</v>
      </c>
      <c r="AK117" s="18">
        <f t="shared" si="58"/>
        <v>1281290028</v>
      </c>
      <c r="AL117" s="18">
        <f t="shared" si="58"/>
        <v>283704333</v>
      </c>
      <c r="AM117" s="18">
        <f t="shared" si="58"/>
        <v>193126792</v>
      </c>
      <c r="AN117" s="18">
        <f t="shared" si="58"/>
        <v>0</v>
      </c>
      <c r="AO117" s="18">
        <f t="shared" si="58"/>
        <v>476831125</v>
      </c>
      <c r="AP117" s="18">
        <f t="shared" si="58"/>
        <v>1708091</v>
      </c>
      <c r="AQ117" s="18">
        <f t="shared" si="58"/>
        <v>0</v>
      </c>
      <c r="AR117" s="18">
        <f t="shared" si="58"/>
        <v>1708091</v>
      </c>
      <c r="AS117" s="18">
        <f t="shared" si="58"/>
        <v>4815</v>
      </c>
      <c r="AT117" s="18">
        <f t="shared" si="58"/>
        <v>4815</v>
      </c>
      <c r="AU117" s="18">
        <f t="shared" si="58"/>
        <v>1450160208</v>
      </c>
      <c r="AV117" s="18">
        <f t="shared" si="58"/>
        <v>193126792</v>
      </c>
      <c r="AW117" s="18">
        <f t="shared" si="58"/>
        <v>116547059</v>
      </c>
      <c r="AX117" s="18">
        <f t="shared" si="58"/>
        <v>1759834059</v>
      </c>
      <c r="AY117" s="26">
        <f t="shared" si="50"/>
        <v>0.11204255008245112</v>
      </c>
    </row>
    <row r="118" spans="1:51" ht="12" customHeight="1">
      <c r="A118" s="138">
        <v>43709</v>
      </c>
      <c r="B118" s="18">
        <v>143659811</v>
      </c>
      <c r="C118" s="18">
        <v>0</v>
      </c>
      <c r="D118" s="18">
        <v>14859020</v>
      </c>
      <c r="E118" s="18">
        <f t="shared" si="59"/>
        <v>158518831</v>
      </c>
      <c r="F118" s="18">
        <f t="shared" si="34"/>
        <v>37653169</v>
      </c>
      <c r="G118" s="18">
        <f t="shared" si="35"/>
        <v>23093500</v>
      </c>
      <c r="H118" s="18">
        <f t="shared" si="36"/>
        <v>0</v>
      </c>
      <c r="I118" s="18">
        <f t="shared" si="53"/>
        <v>60746669</v>
      </c>
      <c r="J118" s="18">
        <f t="shared" si="37"/>
        <v>275529</v>
      </c>
      <c r="K118" s="18">
        <v>0</v>
      </c>
      <c r="L118" s="18">
        <f t="shared" si="54"/>
        <v>275529</v>
      </c>
      <c r="M118" s="18">
        <v>0</v>
      </c>
      <c r="N118" s="18">
        <f t="shared" si="45"/>
        <v>0</v>
      </c>
      <c r="O118" s="18">
        <f t="shared" si="46"/>
        <v>181588509</v>
      </c>
      <c r="P118" s="18">
        <f t="shared" si="38"/>
        <v>23093500</v>
      </c>
      <c r="Q118" s="18">
        <f t="shared" si="39"/>
        <v>14859020</v>
      </c>
      <c r="R118" s="235">
        <f t="shared" si="40"/>
        <v>219541029</v>
      </c>
      <c r="S118" s="18">
        <v>0</v>
      </c>
      <c r="T118" s="18">
        <v>0</v>
      </c>
      <c r="U118" s="18">
        <v>37653169</v>
      </c>
      <c r="V118" s="18">
        <f>SUM(S118:U118)</f>
        <v>37653169</v>
      </c>
      <c r="W118" s="18">
        <v>0</v>
      </c>
      <c r="X118" s="18">
        <v>0</v>
      </c>
      <c r="Y118" s="18">
        <v>23093500</v>
      </c>
      <c r="Z118" s="18">
        <f>SUM(W118:Y118)</f>
        <v>23093500</v>
      </c>
      <c r="AA118" s="18">
        <v>0</v>
      </c>
      <c r="AB118" s="18">
        <v>0</v>
      </c>
      <c r="AC118" s="18">
        <v>0</v>
      </c>
      <c r="AD118" s="18">
        <f>SUM(AA118:AC118)</f>
        <v>0</v>
      </c>
      <c r="AE118" s="18">
        <v>275529</v>
      </c>
      <c r="AF118" s="18">
        <v>0</v>
      </c>
      <c r="AG118" s="236">
        <f t="shared" si="44"/>
        <v>275529</v>
      </c>
      <c r="AH118" s="18">
        <f t="shared" si="58"/>
        <v>1308402780</v>
      </c>
      <c r="AI118" s="18">
        <f t="shared" si="58"/>
        <v>0</v>
      </c>
      <c r="AJ118" s="18">
        <f t="shared" si="58"/>
        <v>131406079</v>
      </c>
      <c r="AK118" s="18">
        <f t="shared" si="58"/>
        <v>1439808859</v>
      </c>
      <c r="AL118" s="18">
        <f t="shared" si="58"/>
        <v>321357502</v>
      </c>
      <c r="AM118" s="18">
        <f t="shared" si="58"/>
        <v>216220292</v>
      </c>
      <c r="AN118" s="18">
        <f t="shared" si="58"/>
        <v>0</v>
      </c>
      <c r="AO118" s="18">
        <f t="shared" si="58"/>
        <v>537577794</v>
      </c>
      <c r="AP118" s="18">
        <f t="shared" si="58"/>
        <v>1983620</v>
      </c>
      <c r="AQ118" s="18">
        <f t="shared" si="58"/>
        <v>0</v>
      </c>
      <c r="AR118" s="18">
        <f t="shared" si="58"/>
        <v>1983620</v>
      </c>
      <c r="AS118" s="18">
        <f t="shared" si="58"/>
        <v>4815</v>
      </c>
      <c r="AT118" s="18">
        <f t="shared" si="58"/>
        <v>4815</v>
      </c>
      <c r="AU118" s="18">
        <f t="shared" si="58"/>
        <v>1631748717</v>
      </c>
      <c r="AV118" s="18">
        <f t="shared" si="58"/>
        <v>216220292</v>
      </c>
      <c r="AW118" s="18">
        <f t="shared" si="58"/>
        <v>131406079</v>
      </c>
      <c r="AX118" s="18">
        <f t="shared" si="58"/>
        <v>1979375088</v>
      </c>
      <c r="AY118" s="26">
        <f t="shared" si="50"/>
        <v>0.10170368602577495</v>
      </c>
    </row>
    <row r="119" spans="1:51" ht="12" customHeight="1">
      <c r="A119" s="138">
        <v>43739</v>
      </c>
      <c r="B119" s="18">
        <v>146618360</v>
      </c>
      <c r="C119" s="18">
        <v>0</v>
      </c>
      <c r="D119" s="18">
        <v>13781446</v>
      </c>
      <c r="E119" s="18">
        <f t="shared" si="59"/>
        <v>160399806</v>
      </c>
      <c r="F119" s="18">
        <f t="shared" si="34"/>
        <v>46592429</v>
      </c>
      <c r="G119" s="18">
        <f t="shared" si="35"/>
        <v>33053069</v>
      </c>
      <c r="H119" s="18">
        <f t="shared" si="36"/>
        <v>0</v>
      </c>
      <c r="I119" s="18">
        <f t="shared" si="53"/>
        <v>79645498</v>
      </c>
      <c r="J119" s="18">
        <f t="shared" si="37"/>
        <v>216574</v>
      </c>
      <c r="K119" s="18">
        <v>0</v>
      </c>
      <c r="L119" s="18">
        <f t="shared" si="54"/>
        <v>216574</v>
      </c>
      <c r="M119" s="18">
        <v>0</v>
      </c>
      <c r="N119" s="18">
        <f t="shared" si="45"/>
        <v>0</v>
      </c>
      <c r="O119" s="18">
        <f t="shared" si="46"/>
        <v>193427363</v>
      </c>
      <c r="P119" s="18">
        <f t="shared" si="38"/>
        <v>33053069</v>
      </c>
      <c r="Q119" s="18">
        <f t="shared" si="39"/>
        <v>13781446</v>
      </c>
      <c r="R119" s="235">
        <f t="shared" si="40"/>
        <v>240261878</v>
      </c>
      <c r="S119" s="18">
        <v>0</v>
      </c>
      <c r="T119" s="18">
        <v>0</v>
      </c>
      <c r="U119" s="18">
        <v>46592429</v>
      </c>
      <c r="V119" s="18">
        <f>SUM(S119:U119)</f>
        <v>46592429</v>
      </c>
      <c r="W119" s="18">
        <v>0</v>
      </c>
      <c r="X119" s="18">
        <v>0</v>
      </c>
      <c r="Y119" s="18">
        <v>33053069</v>
      </c>
      <c r="Z119" s="18">
        <f>SUM(W119:Y119)</f>
        <v>33053069</v>
      </c>
      <c r="AA119" s="18">
        <v>0</v>
      </c>
      <c r="AB119" s="18">
        <v>0</v>
      </c>
      <c r="AC119" s="18">
        <v>0</v>
      </c>
      <c r="AD119" s="18">
        <f t="shared" ref="AD119:AD182" si="60">SUM(AA119:AC119)</f>
        <v>0</v>
      </c>
      <c r="AE119" s="18">
        <v>216574</v>
      </c>
      <c r="AF119" s="18">
        <v>0</v>
      </c>
      <c r="AG119" s="236">
        <f t="shared" si="44"/>
        <v>216574</v>
      </c>
      <c r="AH119" s="18">
        <f t="shared" si="58"/>
        <v>1455021140</v>
      </c>
      <c r="AI119" s="18">
        <f t="shared" si="58"/>
        <v>0</v>
      </c>
      <c r="AJ119" s="18">
        <f t="shared" si="58"/>
        <v>145187525</v>
      </c>
      <c r="AK119" s="18">
        <f t="shared" si="58"/>
        <v>1600208665</v>
      </c>
      <c r="AL119" s="18">
        <f t="shared" si="58"/>
        <v>367949931</v>
      </c>
      <c r="AM119" s="18">
        <f t="shared" si="58"/>
        <v>249273361</v>
      </c>
      <c r="AN119" s="18">
        <f t="shared" si="58"/>
        <v>0</v>
      </c>
      <c r="AO119" s="18">
        <f t="shared" si="58"/>
        <v>617223292</v>
      </c>
      <c r="AP119" s="18">
        <f t="shared" si="58"/>
        <v>2200194</v>
      </c>
      <c r="AQ119" s="18">
        <f t="shared" si="58"/>
        <v>0</v>
      </c>
      <c r="AR119" s="18">
        <f t="shared" si="58"/>
        <v>2200194</v>
      </c>
      <c r="AS119" s="18">
        <f t="shared" si="58"/>
        <v>4815</v>
      </c>
      <c r="AT119" s="18">
        <f t="shared" si="58"/>
        <v>4815</v>
      </c>
      <c r="AU119" s="18">
        <f t="shared" si="58"/>
        <v>1825176080</v>
      </c>
      <c r="AV119" s="18">
        <f t="shared" si="58"/>
        <v>249273361</v>
      </c>
      <c r="AW119" s="18">
        <f t="shared" si="58"/>
        <v>145187525</v>
      </c>
      <c r="AX119" s="18">
        <f t="shared" si="58"/>
        <v>2219636966</v>
      </c>
      <c r="AY119" s="26">
        <f t="shared" si="50"/>
        <v>9.6631216273247666E-2</v>
      </c>
    </row>
    <row r="120" spans="1:51" ht="12" customHeight="1">
      <c r="A120" s="138">
        <v>43770</v>
      </c>
      <c r="B120" s="18">
        <v>119139678</v>
      </c>
      <c r="C120" s="18">
        <v>0</v>
      </c>
      <c r="D120" s="18">
        <v>15235613</v>
      </c>
      <c r="E120" s="18">
        <f t="shared" si="59"/>
        <v>134375291</v>
      </c>
      <c r="F120" s="18">
        <f t="shared" si="34"/>
        <v>40119894</v>
      </c>
      <c r="G120" s="18">
        <f t="shared" si="35"/>
        <v>24145905</v>
      </c>
      <c r="H120" s="18">
        <f t="shared" si="36"/>
        <v>0</v>
      </c>
      <c r="I120" s="18">
        <f t="shared" si="53"/>
        <v>64265799</v>
      </c>
      <c r="J120" s="18">
        <f t="shared" si="37"/>
        <v>91175</v>
      </c>
      <c r="K120" s="18">
        <v>0</v>
      </c>
      <c r="L120" s="18">
        <f t="shared" si="54"/>
        <v>91175</v>
      </c>
      <c r="M120" s="18">
        <v>0</v>
      </c>
      <c r="N120" s="18">
        <f t="shared" si="45"/>
        <v>0</v>
      </c>
      <c r="O120" s="18">
        <f t="shared" si="46"/>
        <v>159350747</v>
      </c>
      <c r="P120" s="18">
        <f t="shared" si="38"/>
        <v>24145905</v>
      </c>
      <c r="Q120" s="18">
        <f t="shared" si="39"/>
        <v>15235613</v>
      </c>
      <c r="R120" s="235">
        <f t="shared" si="40"/>
        <v>198732265</v>
      </c>
      <c r="S120" s="18">
        <v>0</v>
      </c>
      <c r="T120" s="18">
        <v>0</v>
      </c>
      <c r="U120" s="18">
        <v>40119894</v>
      </c>
      <c r="V120" s="18">
        <f t="shared" ref="V120:V183" si="61">SUM(S120:U120)</f>
        <v>40119894</v>
      </c>
      <c r="W120" s="18">
        <v>0</v>
      </c>
      <c r="X120" s="18">
        <v>0</v>
      </c>
      <c r="Y120" s="18">
        <v>24145905</v>
      </c>
      <c r="Z120" s="18">
        <f t="shared" ref="Z120:Z183" si="62">SUM(W120:Y120)</f>
        <v>24145905</v>
      </c>
      <c r="AA120" s="18">
        <v>0</v>
      </c>
      <c r="AB120" s="18">
        <v>0</v>
      </c>
      <c r="AC120" s="18">
        <v>0</v>
      </c>
      <c r="AD120" s="18">
        <f t="shared" si="60"/>
        <v>0</v>
      </c>
      <c r="AE120" s="18">
        <v>91175</v>
      </c>
      <c r="AF120" s="18">
        <v>0</v>
      </c>
      <c r="AG120" s="236">
        <f t="shared" si="44"/>
        <v>91175</v>
      </c>
      <c r="AH120" s="18">
        <f t="shared" si="58"/>
        <v>1574160818</v>
      </c>
      <c r="AI120" s="18">
        <f t="shared" si="58"/>
        <v>0</v>
      </c>
      <c r="AJ120" s="18">
        <f t="shared" si="58"/>
        <v>160423138</v>
      </c>
      <c r="AK120" s="18">
        <f t="shared" si="58"/>
        <v>1734583956</v>
      </c>
      <c r="AL120" s="18">
        <f t="shared" si="58"/>
        <v>408069825</v>
      </c>
      <c r="AM120" s="18">
        <f t="shared" si="58"/>
        <v>273419266</v>
      </c>
      <c r="AN120" s="18">
        <f t="shared" si="58"/>
        <v>0</v>
      </c>
      <c r="AO120" s="18">
        <f t="shared" si="58"/>
        <v>681489091</v>
      </c>
      <c r="AP120" s="18">
        <f t="shared" si="58"/>
        <v>2291369</v>
      </c>
      <c r="AQ120" s="18">
        <f t="shared" si="58"/>
        <v>0</v>
      </c>
      <c r="AR120" s="18">
        <f t="shared" si="58"/>
        <v>2291369</v>
      </c>
      <c r="AS120" s="18">
        <f t="shared" si="58"/>
        <v>4815</v>
      </c>
      <c r="AT120" s="18">
        <f t="shared" si="58"/>
        <v>4815</v>
      </c>
      <c r="AU120" s="18">
        <f t="shared" si="58"/>
        <v>1984526827</v>
      </c>
      <c r="AV120" s="18">
        <f t="shared" si="58"/>
        <v>273419266</v>
      </c>
      <c r="AW120" s="18">
        <f t="shared" si="58"/>
        <v>160423138</v>
      </c>
      <c r="AX120" s="18">
        <f t="shared" si="58"/>
        <v>2418369231</v>
      </c>
      <c r="AY120" s="26">
        <f t="shared" si="50"/>
        <v>8.1818644162212184E-2</v>
      </c>
    </row>
    <row r="121" spans="1:51" ht="13.5" customHeight="1" thickBot="1">
      <c r="A121" s="138">
        <v>43800</v>
      </c>
      <c r="B121" s="18">
        <v>139601581</v>
      </c>
      <c r="C121" s="18">
        <v>0</v>
      </c>
      <c r="D121" s="18">
        <v>24318415</v>
      </c>
      <c r="E121" s="18">
        <f t="shared" si="59"/>
        <v>163919996</v>
      </c>
      <c r="F121" s="18">
        <f t="shared" si="34"/>
        <v>49773555</v>
      </c>
      <c r="G121" s="18">
        <f t="shared" si="35"/>
        <v>30600380</v>
      </c>
      <c r="H121" s="18">
        <f t="shared" si="36"/>
        <v>0</v>
      </c>
      <c r="I121" s="18">
        <f t="shared" si="53"/>
        <v>80373935</v>
      </c>
      <c r="J121" s="18">
        <f t="shared" si="37"/>
        <v>137333</v>
      </c>
      <c r="K121" s="18">
        <v>0</v>
      </c>
      <c r="L121" s="18">
        <f t="shared" si="54"/>
        <v>137333</v>
      </c>
      <c r="M121" s="18">
        <v>0</v>
      </c>
      <c r="N121" s="18">
        <f t="shared" si="45"/>
        <v>0</v>
      </c>
      <c r="O121" s="18">
        <f t="shared" si="46"/>
        <v>189512469</v>
      </c>
      <c r="P121" s="18">
        <f t="shared" si="38"/>
        <v>30600380</v>
      </c>
      <c r="Q121" s="18">
        <f t="shared" si="39"/>
        <v>24318415</v>
      </c>
      <c r="R121" s="235">
        <f t="shared" si="40"/>
        <v>244431264</v>
      </c>
      <c r="S121" s="18">
        <v>0</v>
      </c>
      <c r="T121" s="18">
        <v>0</v>
      </c>
      <c r="U121" s="18">
        <v>49773555</v>
      </c>
      <c r="V121" s="18">
        <f t="shared" si="61"/>
        <v>49773555</v>
      </c>
      <c r="W121" s="18">
        <v>0</v>
      </c>
      <c r="X121" s="18">
        <v>0</v>
      </c>
      <c r="Y121" s="18">
        <v>30600380</v>
      </c>
      <c r="Z121" s="18">
        <f t="shared" si="62"/>
        <v>30600380</v>
      </c>
      <c r="AA121" s="18">
        <v>0</v>
      </c>
      <c r="AB121" s="18">
        <v>0</v>
      </c>
      <c r="AC121" s="18">
        <v>0</v>
      </c>
      <c r="AD121" s="18">
        <f t="shared" si="60"/>
        <v>0</v>
      </c>
      <c r="AE121" s="18">
        <v>137333</v>
      </c>
      <c r="AF121" s="18">
        <v>0</v>
      </c>
      <c r="AG121" s="236">
        <f t="shared" si="44"/>
        <v>137333</v>
      </c>
      <c r="AH121" s="18">
        <f t="shared" si="58"/>
        <v>1713762399</v>
      </c>
      <c r="AI121" s="18">
        <f t="shared" si="58"/>
        <v>0</v>
      </c>
      <c r="AJ121" s="18">
        <f t="shared" si="58"/>
        <v>184741553</v>
      </c>
      <c r="AK121" s="18">
        <f t="shared" si="58"/>
        <v>1898503952</v>
      </c>
      <c r="AL121" s="18">
        <f t="shared" si="58"/>
        <v>457843380</v>
      </c>
      <c r="AM121" s="18">
        <f t="shared" si="58"/>
        <v>304019646</v>
      </c>
      <c r="AN121" s="18">
        <f t="shared" si="58"/>
        <v>0</v>
      </c>
      <c r="AO121" s="18">
        <f t="shared" si="58"/>
        <v>761863026</v>
      </c>
      <c r="AP121" s="18">
        <f t="shared" si="58"/>
        <v>2428702</v>
      </c>
      <c r="AQ121" s="18">
        <f t="shared" si="58"/>
        <v>0</v>
      </c>
      <c r="AR121" s="18">
        <f t="shared" si="58"/>
        <v>2428702</v>
      </c>
      <c r="AS121" s="18">
        <f t="shared" si="58"/>
        <v>4815</v>
      </c>
      <c r="AT121" s="18">
        <f t="shared" si="58"/>
        <v>4815</v>
      </c>
      <c r="AU121" s="18">
        <f t="shared" si="58"/>
        <v>2174039296</v>
      </c>
      <c r="AV121" s="18">
        <f t="shared" si="58"/>
        <v>304019646</v>
      </c>
      <c r="AW121" s="18">
        <f t="shared" si="58"/>
        <v>184741553</v>
      </c>
      <c r="AX121" s="18">
        <f t="shared" si="58"/>
        <v>2662800495</v>
      </c>
      <c r="AY121" s="26">
        <f t="shared" si="50"/>
        <v>5.7798248842258149E-2</v>
      </c>
    </row>
    <row r="122" spans="1:51" ht="13.5">
      <c r="A122" s="145">
        <v>43831</v>
      </c>
      <c r="B122" s="143">
        <v>118403817</v>
      </c>
      <c r="C122" s="143">
        <v>0</v>
      </c>
      <c r="D122" s="143">
        <v>13737888</v>
      </c>
      <c r="E122" s="143">
        <f t="shared" si="59"/>
        <v>132141705</v>
      </c>
      <c r="F122" s="143">
        <f t="shared" si="34"/>
        <v>37832200</v>
      </c>
      <c r="G122" s="143">
        <f t="shared" si="35"/>
        <v>22255917</v>
      </c>
      <c r="H122" s="143">
        <f t="shared" si="36"/>
        <v>0</v>
      </c>
      <c r="I122" s="143">
        <f t="shared" si="53"/>
        <v>60088117</v>
      </c>
      <c r="J122" s="143">
        <f t="shared" si="37"/>
        <v>41590</v>
      </c>
      <c r="K122" s="143">
        <v>0</v>
      </c>
      <c r="L122" s="143">
        <f t="shared" si="54"/>
        <v>41590</v>
      </c>
      <c r="M122" s="143">
        <v>0</v>
      </c>
      <c r="N122" s="143">
        <f t="shared" si="45"/>
        <v>0</v>
      </c>
      <c r="O122" s="143">
        <f t="shared" si="46"/>
        <v>156277607</v>
      </c>
      <c r="P122" s="143">
        <f t="shared" si="38"/>
        <v>22255917</v>
      </c>
      <c r="Q122" s="143">
        <f t="shared" si="39"/>
        <v>13737888</v>
      </c>
      <c r="R122" s="237">
        <f t="shared" si="40"/>
        <v>192271412</v>
      </c>
      <c r="S122" s="143">
        <v>0</v>
      </c>
      <c r="T122" s="143">
        <v>0</v>
      </c>
      <c r="U122" s="143">
        <v>37832200</v>
      </c>
      <c r="V122" s="143">
        <f t="shared" si="61"/>
        <v>37832200</v>
      </c>
      <c r="W122" s="143">
        <v>0</v>
      </c>
      <c r="X122" s="143">
        <v>0</v>
      </c>
      <c r="Y122" s="143">
        <v>22255917</v>
      </c>
      <c r="Z122" s="143">
        <f t="shared" si="62"/>
        <v>22255917</v>
      </c>
      <c r="AA122" s="143">
        <v>0</v>
      </c>
      <c r="AB122" s="143">
        <v>0</v>
      </c>
      <c r="AC122" s="143">
        <v>0</v>
      </c>
      <c r="AD122" s="143">
        <f t="shared" si="60"/>
        <v>0</v>
      </c>
      <c r="AE122" s="143">
        <v>41590</v>
      </c>
      <c r="AF122" s="143">
        <v>0</v>
      </c>
      <c r="AG122" s="238">
        <f t="shared" si="44"/>
        <v>41590</v>
      </c>
      <c r="AH122" s="143">
        <f t="shared" ref="AH122:AX122" si="63">B122</f>
        <v>118403817</v>
      </c>
      <c r="AI122" s="143">
        <f t="shared" si="63"/>
        <v>0</v>
      </c>
      <c r="AJ122" s="143">
        <f t="shared" si="63"/>
        <v>13737888</v>
      </c>
      <c r="AK122" s="143">
        <f t="shared" si="63"/>
        <v>132141705</v>
      </c>
      <c r="AL122" s="143">
        <f t="shared" si="63"/>
        <v>37832200</v>
      </c>
      <c r="AM122" s="143">
        <f t="shared" si="63"/>
        <v>22255917</v>
      </c>
      <c r="AN122" s="143">
        <f t="shared" si="63"/>
        <v>0</v>
      </c>
      <c r="AO122" s="143">
        <f t="shared" si="63"/>
        <v>60088117</v>
      </c>
      <c r="AP122" s="143">
        <f t="shared" si="63"/>
        <v>41590</v>
      </c>
      <c r="AQ122" s="143">
        <f t="shared" si="63"/>
        <v>0</v>
      </c>
      <c r="AR122" s="143">
        <f t="shared" si="63"/>
        <v>41590</v>
      </c>
      <c r="AS122" s="143">
        <f t="shared" si="63"/>
        <v>0</v>
      </c>
      <c r="AT122" s="143">
        <f t="shared" si="63"/>
        <v>0</v>
      </c>
      <c r="AU122" s="143">
        <f t="shared" si="63"/>
        <v>156277607</v>
      </c>
      <c r="AV122" s="143">
        <f t="shared" si="63"/>
        <v>22255917</v>
      </c>
      <c r="AW122" s="143">
        <f t="shared" si="63"/>
        <v>13737888</v>
      </c>
      <c r="AX122" s="143">
        <f t="shared" si="63"/>
        <v>192271412</v>
      </c>
      <c r="AY122" s="26">
        <f t="shared" si="50"/>
        <v>0.13449901252637741</v>
      </c>
    </row>
    <row r="123" spans="1:51" ht="13.5">
      <c r="A123" s="146">
        <v>43862</v>
      </c>
      <c r="B123" s="18">
        <v>128033003</v>
      </c>
      <c r="C123" s="18">
        <v>0</v>
      </c>
      <c r="D123" s="18">
        <v>11466902</v>
      </c>
      <c r="E123" s="18">
        <f t="shared" si="59"/>
        <v>139499905</v>
      </c>
      <c r="F123" s="18">
        <f t="shared" si="34"/>
        <v>33947857</v>
      </c>
      <c r="G123" s="18">
        <f t="shared" si="35"/>
        <v>28371747</v>
      </c>
      <c r="H123" s="18">
        <f t="shared" si="36"/>
        <v>0</v>
      </c>
      <c r="I123" s="18">
        <f t="shared" si="53"/>
        <v>62319604</v>
      </c>
      <c r="J123" s="18">
        <f t="shared" si="37"/>
        <v>0</v>
      </c>
      <c r="K123" s="18">
        <v>0</v>
      </c>
      <c r="L123" s="18">
        <f t="shared" si="54"/>
        <v>0</v>
      </c>
      <c r="M123" s="18">
        <v>0</v>
      </c>
      <c r="N123" s="18">
        <f t="shared" si="45"/>
        <v>0</v>
      </c>
      <c r="O123" s="18">
        <f t="shared" si="46"/>
        <v>161980860</v>
      </c>
      <c r="P123" s="18">
        <f t="shared" si="38"/>
        <v>28371747</v>
      </c>
      <c r="Q123" s="18">
        <f t="shared" si="39"/>
        <v>11466902</v>
      </c>
      <c r="R123" s="235">
        <f t="shared" si="40"/>
        <v>201819509</v>
      </c>
      <c r="S123" s="18">
        <v>0</v>
      </c>
      <c r="T123" s="18">
        <v>0</v>
      </c>
      <c r="U123" s="18">
        <v>33947857</v>
      </c>
      <c r="V123" s="18">
        <f t="shared" si="61"/>
        <v>33947857</v>
      </c>
      <c r="W123" s="18">
        <v>0</v>
      </c>
      <c r="X123" s="18">
        <v>0</v>
      </c>
      <c r="Y123" s="18">
        <v>28371747</v>
      </c>
      <c r="Z123" s="18">
        <f t="shared" si="62"/>
        <v>28371747</v>
      </c>
      <c r="AA123" s="18">
        <v>0</v>
      </c>
      <c r="AB123" s="18">
        <v>0</v>
      </c>
      <c r="AC123" s="18">
        <v>0</v>
      </c>
      <c r="AD123" s="18">
        <f t="shared" si="60"/>
        <v>0</v>
      </c>
      <c r="AE123" s="18">
        <v>0</v>
      </c>
      <c r="AF123" s="18">
        <v>0</v>
      </c>
      <c r="AG123" s="236">
        <f t="shared" si="44"/>
        <v>0</v>
      </c>
      <c r="AH123" s="18">
        <f t="shared" ref="AH123:AX133" si="64">AH122+B123</f>
        <v>246436820</v>
      </c>
      <c r="AI123" s="18">
        <f t="shared" si="64"/>
        <v>0</v>
      </c>
      <c r="AJ123" s="18">
        <f t="shared" si="64"/>
        <v>25204790</v>
      </c>
      <c r="AK123" s="18">
        <f t="shared" si="64"/>
        <v>271641610</v>
      </c>
      <c r="AL123" s="18">
        <f t="shared" si="64"/>
        <v>71780057</v>
      </c>
      <c r="AM123" s="18">
        <f t="shared" si="64"/>
        <v>50627664</v>
      </c>
      <c r="AN123" s="18">
        <f t="shared" si="64"/>
        <v>0</v>
      </c>
      <c r="AO123" s="18">
        <f t="shared" si="64"/>
        <v>122407721</v>
      </c>
      <c r="AP123" s="18">
        <f t="shared" si="64"/>
        <v>41590</v>
      </c>
      <c r="AQ123" s="18">
        <f t="shared" si="64"/>
        <v>0</v>
      </c>
      <c r="AR123" s="18">
        <f t="shared" si="64"/>
        <v>41590</v>
      </c>
      <c r="AS123" s="18">
        <f t="shared" si="64"/>
        <v>0</v>
      </c>
      <c r="AT123" s="18">
        <f t="shared" si="64"/>
        <v>0</v>
      </c>
      <c r="AU123" s="18">
        <f t="shared" si="64"/>
        <v>318258467</v>
      </c>
      <c r="AV123" s="18">
        <f t="shared" si="64"/>
        <v>50627664</v>
      </c>
      <c r="AW123" s="18">
        <f t="shared" si="64"/>
        <v>25204790</v>
      </c>
      <c r="AX123" s="18">
        <f t="shared" si="64"/>
        <v>394090921</v>
      </c>
      <c r="AY123" s="26">
        <f t="shared" si="50"/>
        <v>0.10401344718797101</v>
      </c>
    </row>
    <row r="124" spans="1:51" ht="12" customHeight="1">
      <c r="A124" s="146">
        <v>43891</v>
      </c>
      <c r="B124" s="18">
        <v>150090658</v>
      </c>
      <c r="C124" s="18">
        <v>0</v>
      </c>
      <c r="D124" s="18">
        <v>18577254</v>
      </c>
      <c r="E124" s="18">
        <f t="shared" si="59"/>
        <v>168667912</v>
      </c>
      <c r="F124" s="18">
        <f t="shared" si="34"/>
        <v>41664100</v>
      </c>
      <c r="G124" s="18">
        <f t="shared" si="35"/>
        <v>28001490</v>
      </c>
      <c r="H124" s="18">
        <f t="shared" si="36"/>
        <v>0</v>
      </c>
      <c r="I124" s="18">
        <f t="shared" si="53"/>
        <v>69665590</v>
      </c>
      <c r="J124" s="18">
        <f t="shared" si="37"/>
        <v>280826</v>
      </c>
      <c r="K124" s="18">
        <v>0</v>
      </c>
      <c r="L124" s="18">
        <f t="shared" si="54"/>
        <v>280826</v>
      </c>
      <c r="M124" s="18">
        <v>0</v>
      </c>
      <c r="N124" s="18">
        <f t="shared" si="45"/>
        <v>0</v>
      </c>
      <c r="O124" s="18">
        <f t="shared" si="46"/>
        <v>192035584</v>
      </c>
      <c r="P124" s="18">
        <f t="shared" si="38"/>
        <v>28001490</v>
      </c>
      <c r="Q124" s="18">
        <f t="shared" si="39"/>
        <v>18577254</v>
      </c>
      <c r="R124" s="235">
        <f t="shared" si="40"/>
        <v>238614328</v>
      </c>
      <c r="S124" s="18">
        <v>0</v>
      </c>
      <c r="T124" s="18">
        <v>77733</v>
      </c>
      <c r="U124" s="18">
        <v>41586367</v>
      </c>
      <c r="V124" s="18">
        <f t="shared" si="61"/>
        <v>41664100</v>
      </c>
      <c r="W124" s="18">
        <v>0</v>
      </c>
      <c r="X124" s="18">
        <v>0</v>
      </c>
      <c r="Y124" s="18">
        <v>28001490</v>
      </c>
      <c r="Z124" s="18">
        <f t="shared" si="62"/>
        <v>28001490</v>
      </c>
      <c r="AA124" s="18">
        <v>0</v>
      </c>
      <c r="AB124" s="18">
        <v>0</v>
      </c>
      <c r="AC124" s="18">
        <v>0</v>
      </c>
      <c r="AD124" s="18">
        <f t="shared" si="60"/>
        <v>0</v>
      </c>
      <c r="AE124" s="18">
        <v>280826</v>
      </c>
      <c r="AF124" s="18">
        <v>0</v>
      </c>
      <c r="AG124" s="236">
        <f t="shared" si="44"/>
        <v>280826</v>
      </c>
      <c r="AH124" s="18">
        <f t="shared" si="64"/>
        <v>396527478</v>
      </c>
      <c r="AI124" s="18">
        <f t="shared" si="64"/>
        <v>0</v>
      </c>
      <c r="AJ124" s="18">
        <f t="shared" si="64"/>
        <v>43782044</v>
      </c>
      <c r="AK124" s="18">
        <f t="shared" si="64"/>
        <v>440309522</v>
      </c>
      <c r="AL124" s="18">
        <f t="shared" si="64"/>
        <v>113444157</v>
      </c>
      <c r="AM124" s="18">
        <f t="shared" si="64"/>
        <v>78629154</v>
      </c>
      <c r="AN124" s="18">
        <f t="shared" si="64"/>
        <v>0</v>
      </c>
      <c r="AO124" s="18">
        <f t="shared" si="64"/>
        <v>192073311</v>
      </c>
      <c r="AP124" s="18">
        <f t="shared" si="64"/>
        <v>322416</v>
      </c>
      <c r="AQ124" s="18">
        <f t="shared" si="64"/>
        <v>0</v>
      </c>
      <c r="AR124" s="18">
        <f t="shared" si="64"/>
        <v>322416</v>
      </c>
      <c r="AS124" s="18">
        <f t="shared" si="64"/>
        <v>0</v>
      </c>
      <c r="AT124" s="18">
        <f t="shared" si="64"/>
        <v>0</v>
      </c>
      <c r="AU124" s="18">
        <f t="shared" si="64"/>
        <v>510294051</v>
      </c>
      <c r="AV124" s="18">
        <f t="shared" si="64"/>
        <v>78629154</v>
      </c>
      <c r="AW124" s="18">
        <f t="shared" si="64"/>
        <v>43782044</v>
      </c>
      <c r="AX124" s="18">
        <f t="shared" si="64"/>
        <v>632705249</v>
      </c>
      <c r="AY124" s="26">
        <f t="shared" si="50"/>
        <v>0.11200742368380268</v>
      </c>
    </row>
    <row r="125" spans="1:51" ht="12" customHeight="1">
      <c r="A125" s="146">
        <v>43922</v>
      </c>
      <c r="B125" s="18">
        <v>149356126</v>
      </c>
      <c r="C125" s="18">
        <v>0</v>
      </c>
      <c r="D125" s="18">
        <v>18683140</v>
      </c>
      <c r="E125" s="18">
        <f t="shared" si="59"/>
        <v>168039266</v>
      </c>
      <c r="F125" s="18">
        <f t="shared" si="34"/>
        <v>35556621</v>
      </c>
      <c r="G125" s="18">
        <f t="shared" si="35"/>
        <v>26769651</v>
      </c>
      <c r="H125" s="18">
        <f t="shared" si="36"/>
        <v>0</v>
      </c>
      <c r="I125" s="18">
        <f t="shared" si="53"/>
        <v>62326272</v>
      </c>
      <c r="J125" s="18">
        <f t="shared" si="37"/>
        <v>1234442</v>
      </c>
      <c r="K125" s="18">
        <v>0</v>
      </c>
      <c r="L125" s="18">
        <f t="shared" si="54"/>
        <v>1234442</v>
      </c>
      <c r="M125" s="18">
        <v>0</v>
      </c>
      <c r="N125" s="18">
        <f t="shared" si="45"/>
        <v>0</v>
      </c>
      <c r="O125" s="18">
        <f t="shared" si="46"/>
        <v>186147189</v>
      </c>
      <c r="P125" s="18">
        <f t="shared" si="38"/>
        <v>26769651</v>
      </c>
      <c r="Q125" s="18">
        <f t="shared" si="39"/>
        <v>18683140</v>
      </c>
      <c r="R125" s="235">
        <f t="shared" si="40"/>
        <v>231599980</v>
      </c>
      <c r="S125" s="18">
        <v>0</v>
      </c>
      <c r="T125" s="18">
        <v>557772</v>
      </c>
      <c r="U125" s="18">
        <v>34998849</v>
      </c>
      <c r="V125" s="18">
        <f t="shared" si="61"/>
        <v>35556621</v>
      </c>
      <c r="W125" s="18">
        <v>0</v>
      </c>
      <c r="X125" s="18">
        <v>2195738</v>
      </c>
      <c r="Y125" s="18">
        <v>24573913</v>
      </c>
      <c r="Z125" s="18">
        <f t="shared" si="62"/>
        <v>26769651</v>
      </c>
      <c r="AA125" s="18">
        <v>0</v>
      </c>
      <c r="AB125" s="18">
        <v>0</v>
      </c>
      <c r="AC125" s="18">
        <v>0</v>
      </c>
      <c r="AD125" s="18">
        <f t="shared" si="60"/>
        <v>0</v>
      </c>
      <c r="AE125" s="18">
        <v>1234442</v>
      </c>
      <c r="AF125" s="18">
        <v>0</v>
      </c>
      <c r="AG125" s="236">
        <f t="shared" si="44"/>
        <v>1234442</v>
      </c>
      <c r="AH125" s="18">
        <f t="shared" si="64"/>
        <v>545883604</v>
      </c>
      <c r="AI125" s="18">
        <f t="shared" si="64"/>
        <v>0</v>
      </c>
      <c r="AJ125" s="18">
        <f t="shared" si="64"/>
        <v>62465184</v>
      </c>
      <c r="AK125" s="18">
        <f t="shared" si="64"/>
        <v>608348788</v>
      </c>
      <c r="AL125" s="18">
        <f t="shared" si="64"/>
        <v>149000778</v>
      </c>
      <c r="AM125" s="18">
        <f t="shared" si="64"/>
        <v>105398805</v>
      </c>
      <c r="AN125" s="18">
        <f t="shared" si="64"/>
        <v>0</v>
      </c>
      <c r="AO125" s="18">
        <f t="shared" si="64"/>
        <v>254399583</v>
      </c>
      <c r="AP125" s="18">
        <f t="shared" si="64"/>
        <v>1556858</v>
      </c>
      <c r="AQ125" s="18">
        <f t="shared" si="64"/>
        <v>0</v>
      </c>
      <c r="AR125" s="18">
        <f t="shared" si="64"/>
        <v>1556858</v>
      </c>
      <c r="AS125" s="18">
        <f t="shared" si="64"/>
        <v>0</v>
      </c>
      <c r="AT125" s="18">
        <f t="shared" si="64"/>
        <v>0</v>
      </c>
      <c r="AU125" s="18">
        <f t="shared" si="64"/>
        <v>696441240</v>
      </c>
      <c r="AV125" s="18">
        <f t="shared" si="64"/>
        <v>105398805</v>
      </c>
      <c r="AW125" s="18">
        <f t="shared" si="64"/>
        <v>62465184</v>
      </c>
      <c r="AX125" s="18">
        <f t="shared" si="64"/>
        <v>864305229</v>
      </c>
      <c r="AY125" s="26">
        <f t="shared" si="50"/>
        <v>6.4733500683427758E-2</v>
      </c>
    </row>
    <row r="126" spans="1:51" ht="12" customHeight="1">
      <c r="A126" s="146">
        <v>43952</v>
      </c>
      <c r="B126" s="18">
        <v>143174223</v>
      </c>
      <c r="C126" s="18">
        <v>0</v>
      </c>
      <c r="D126" s="18">
        <v>18646666</v>
      </c>
      <c r="E126" s="18">
        <f t="shared" si="59"/>
        <v>161820889</v>
      </c>
      <c r="F126" s="18">
        <f t="shared" si="34"/>
        <v>42165050</v>
      </c>
      <c r="G126" s="18">
        <f t="shared" si="35"/>
        <v>32437067</v>
      </c>
      <c r="H126" s="18">
        <f t="shared" si="36"/>
        <v>0</v>
      </c>
      <c r="I126" s="18">
        <f t="shared" si="53"/>
        <v>74602117</v>
      </c>
      <c r="J126" s="18">
        <f t="shared" si="37"/>
        <v>0</v>
      </c>
      <c r="K126" s="18">
        <v>0</v>
      </c>
      <c r="L126" s="18">
        <f t="shared" si="54"/>
        <v>0</v>
      </c>
      <c r="M126" s="18">
        <v>0</v>
      </c>
      <c r="N126" s="18">
        <f t="shared" si="45"/>
        <v>0</v>
      </c>
      <c r="O126" s="18">
        <f t="shared" si="46"/>
        <v>185339273</v>
      </c>
      <c r="P126" s="18">
        <f t="shared" si="38"/>
        <v>32437067</v>
      </c>
      <c r="Q126" s="18">
        <f t="shared" si="39"/>
        <v>18646666</v>
      </c>
      <c r="R126" s="235">
        <f t="shared" si="40"/>
        <v>236423006</v>
      </c>
      <c r="S126" s="18">
        <v>0</v>
      </c>
      <c r="T126" s="18">
        <v>0</v>
      </c>
      <c r="U126" s="18">
        <v>42165050</v>
      </c>
      <c r="V126" s="18">
        <f t="shared" si="61"/>
        <v>42165050</v>
      </c>
      <c r="W126" s="18">
        <v>0</v>
      </c>
      <c r="X126" s="18">
        <v>0</v>
      </c>
      <c r="Y126" s="18">
        <v>32437067</v>
      </c>
      <c r="Z126" s="18">
        <f t="shared" si="62"/>
        <v>32437067</v>
      </c>
      <c r="AA126" s="18">
        <v>0</v>
      </c>
      <c r="AB126" s="18">
        <v>0</v>
      </c>
      <c r="AC126" s="18">
        <v>0</v>
      </c>
      <c r="AD126" s="18">
        <f t="shared" si="60"/>
        <v>0</v>
      </c>
      <c r="AE126" s="18">
        <v>0</v>
      </c>
      <c r="AF126" s="18">
        <v>0</v>
      </c>
      <c r="AG126" s="236">
        <f t="shared" si="44"/>
        <v>0</v>
      </c>
      <c r="AH126" s="18">
        <f t="shared" si="64"/>
        <v>689057827</v>
      </c>
      <c r="AI126" s="18">
        <f t="shared" si="64"/>
        <v>0</v>
      </c>
      <c r="AJ126" s="18">
        <f t="shared" si="64"/>
        <v>81111850</v>
      </c>
      <c r="AK126" s="18">
        <f t="shared" si="64"/>
        <v>770169677</v>
      </c>
      <c r="AL126" s="18">
        <f t="shared" si="64"/>
        <v>191165828</v>
      </c>
      <c r="AM126" s="18">
        <f t="shared" si="64"/>
        <v>137835872</v>
      </c>
      <c r="AN126" s="18">
        <f t="shared" si="64"/>
        <v>0</v>
      </c>
      <c r="AO126" s="18">
        <f t="shared" si="64"/>
        <v>329001700</v>
      </c>
      <c r="AP126" s="18">
        <f t="shared" si="64"/>
        <v>1556858</v>
      </c>
      <c r="AQ126" s="18">
        <f t="shared" si="64"/>
        <v>0</v>
      </c>
      <c r="AR126" s="18">
        <f t="shared" si="64"/>
        <v>1556858</v>
      </c>
      <c r="AS126" s="18">
        <f t="shared" si="64"/>
        <v>0</v>
      </c>
      <c r="AT126" s="18">
        <f t="shared" si="64"/>
        <v>0</v>
      </c>
      <c r="AU126" s="18">
        <f t="shared" si="64"/>
        <v>881780513</v>
      </c>
      <c r="AV126" s="18">
        <f t="shared" si="64"/>
        <v>137835872</v>
      </c>
      <c r="AW126" s="18">
        <f t="shared" si="64"/>
        <v>81111850</v>
      </c>
      <c r="AX126" s="18">
        <f t="shared" si="64"/>
        <v>1100728235</v>
      </c>
      <c r="AY126" s="26">
        <f t="shared" si="50"/>
        <v>4.0218180672259018E-2</v>
      </c>
    </row>
    <row r="127" spans="1:51" ht="12" customHeight="1">
      <c r="A127" s="146">
        <v>43983</v>
      </c>
      <c r="B127" s="18">
        <v>165519330</v>
      </c>
      <c r="C127" s="18">
        <v>0</v>
      </c>
      <c r="D127" s="18">
        <v>16749201</v>
      </c>
      <c r="E127" s="18">
        <f t="shared" si="59"/>
        <v>182268531</v>
      </c>
      <c r="F127" s="18">
        <f t="shared" si="34"/>
        <v>49854880</v>
      </c>
      <c r="G127" s="18">
        <f t="shared" si="35"/>
        <v>17009086</v>
      </c>
      <c r="H127" s="18">
        <f t="shared" si="36"/>
        <v>0</v>
      </c>
      <c r="I127" s="18">
        <f t="shared" si="53"/>
        <v>66863966</v>
      </c>
      <c r="J127" s="18">
        <f t="shared" si="37"/>
        <v>508513</v>
      </c>
      <c r="K127" s="18">
        <v>0</v>
      </c>
      <c r="L127" s="18">
        <f t="shared" si="54"/>
        <v>508513</v>
      </c>
      <c r="M127" s="18">
        <v>0</v>
      </c>
      <c r="N127" s="18">
        <f t="shared" si="45"/>
        <v>0</v>
      </c>
      <c r="O127" s="18">
        <f t="shared" si="46"/>
        <v>215882723</v>
      </c>
      <c r="P127" s="18">
        <f t="shared" si="38"/>
        <v>17009086</v>
      </c>
      <c r="Q127" s="18">
        <f t="shared" si="39"/>
        <v>16749201</v>
      </c>
      <c r="R127" s="235">
        <f t="shared" si="40"/>
        <v>249641010</v>
      </c>
      <c r="S127" s="18">
        <v>0</v>
      </c>
      <c r="T127" s="18">
        <v>105660</v>
      </c>
      <c r="U127" s="18">
        <v>49749220</v>
      </c>
      <c r="V127" s="18">
        <f t="shared" si="61"/>
        <v>49854880</v>
      </c>
      <c r="W127" s="18">
        <v>0</v>
      </c>
      <c r="X127" s="18">
        <v>0</v>
      </c>
      <c r="Y127" s="18">
        <v>17009086</v>
      </c>
      <c r="Z127" s="18">
        <f t="shared" si="62"/>
        <v>17009086</v>
      </c>
      <c r="AA127" s="18">
        <v>0</v>
      </c>
      <c r="AB127" s="18">
        <v>0</v>
      </c>
      <c r="AC127" s="18">
        <v>0</v>
      </c>
      <c r="AD127" s="18">
        <f t="shared" si="60"/>
        <v>0</v>
      </c>
      <c r="AE127" s="18">
        <v>508513</v>
      </c>
      <c r="AF127" s="18">
        <v>0</v>
      </c>
      <c r="AG127" s="236">
        <f t="shared" si="44"/>
        <v>508513</v>
      </c>
      <c r="AH127" s="18">
        <f t="shared" si="64"/>
        <v>854577157</v>
      </c>
      <c r="AI127" s="18">
        <f t="shared" si="64"/>
        <v>0</v>
      </c>
      <c r="AJ127" s="18">
        <f t="shared" si="64"/>
        <v>97861051</v>
      </c>
      <c r="AK127" s="18">
        <f t="shared" si="64"/>
        <v>952438208</v>
      </c>
      <c r="AL127" s="18">
        <f t="shared" si="64"/>
        <v>241020708</v>
      </c>
      <c r="AM127" s="18">
        <f t="shared" si="64"/>
        <v>154844958</v>
      </c>
      <c r="AN127" s="18">
        <f t="shared" si="64"/>
        <v>0</v>
      </c>
      <c r="AO127" s="18">
        <f t="shared" si="64"/>
        <v>395865666</v>
      </c>
      <c r="AP127" s="18">
        <f t="shared" si="64"/>
        <v>2065371</v>
      </c>
      <c r="AQ127" s="18">
        <f t="shared" si="64"/>
        <v>0</v>
      </c>
      <c r="AR127" s="18">
        <f t="shared" si="64"/>
        <v>2065371</v>
      </c>
      <c r="AS127" s="18">
        <f t="shared" si="64"/>
        <v>0</v>
      </c>
      <c r="AT127" s="18">
        <f t="shared" si="64"/>
        <v>0</v>
      </c>
      <c r="AU127" s="18">
        <f t="shared" si="64"/>
        <v>1097663236</v>
      </c>
      <c r="AV127" s="18">
        <f t="shared" si="64"/>
        <v>154844958</v>
      </c>
      <c r="AW127" s="18">
        <f t="shared" si="64"/>
        <v>97861051</v>
      </c>
      <c r="AX127" s="18">
        <f t="shared" si="64"/>
        <v>1350369245</v>
      </c>
      <c r="AY127" s="26">
        <f t="shared" si="50"/>
        <v>4.8526079162819924E-2</v>
      </c>
    </row>
    <row r="128" spans="1:51" ht="12" customHeight="1">
      <c r="A128" s="146">
        <v>44013</v>
      </c>
      <c r="B128" s="18">
        <v>162738265</v>
      </c>
      <c r="C128" s="18">
        <v>0</v>
      </c>
      <c r="D128" s="18">
        <v>19995093</v>
      </c>
      <c r="E128" s="18">
        <f t="shared" si="59"/>
        <v>182733358</v>
      </c>
      <c r="F128" s="18">
        <f t="shared" si="34"/>
        <v>43059759</v>
      </c>
      <c r="G128" s="18">
        <f t="shared" si="35"/>
        <v>21436366</v>
      </c>
      <c r="H128" s="18">
        <f t="shared" si="36"/>
        <v>0</v>
      </c>
      <c r="I128" s="18">
        <f t="shared" si="53"/>
        <v>64496125</v>
      </c>
      <c r="J128" s="18">
        <f t="shared" si="37"/>
        <v>1536725</v>
      </c>
      <c r="K128" s="18">
        <v>0</v>
      </c>
      <c r="L128" s="18">
        <f t="shared" si="54"/>
        <v>1536725</v>
      </c>
      <c r="M128" s="18">
        <v>0</v>
      </c>
      <c r="N128" s="18">
        <f t="shared" si="45"/>
        <v>0</v>
      </c>
      <c r="O128" s="18">
        <f t="shared" si="46"/>
        <v>207334749</v>
      </c>
      <c r="P128" s="18">
        <f t="shared" si="38"/>
        <v>21436366</v>
      </c>
      <c r="Q128" s="18">
        <f t="shared" si="39"/>
        <v>19995093</v>
      </c>
      <c r="R128" s="235">
        <f t="shared" si="40"/>
        <v>248766208</v>
      </c>
      <c r="S128" s="18">
        <v>0</v>
      </c>
      <c r="T128" s="18">
        <v>445024</v>
      </c>
      <c r="U128" s="18">
        <v>42614735</v>
      </c>
      <c r="V128" s="18">
        <f t="shared" si="61"/>
        <v>43059759</v>
      </c>
      <c r="W128" s="18">
        <v>0</v>
      </c>
      <c r="X128" s="18">
        <v>0</v>
      </c>
      <c r="Y128" s="18">
        <v>21436366</v>
      </c>
      <c r="Z128" s="18">
        <f t="shared" si="62"/>
        <v>21436366</v>
      </c>
      <c r="AA128" s="18">
        <v>0</v>
      </c>
      <c r="AB128" s="18">
        <v>0</v>
      </c>
      <c r="AC128" s="18">
        <v>0</v>
      </c>
      <c r="AD128" s="18">
        <f t="shared" si="60"/>
        <v>0</v>
      </c>
      <c r="AE128" s="18">
        <v>1536725</v>
      </c>
      <c r="AF128" s="18">
        <v>0</v>
      </c>
      <c r="AG128" s="236">
        <f t="shared" si="44"/>
        <v>1536725</v>
      </c>
      <c r="AH128" s="18">
        <f t="shared" si="64"/>
        <v>1017315422</v>
      </c>
      <c r="AI128" s="18">
        <f t="shared" si="64"/>
        <v>0</v>
      </c>
      <c r="AJ128" s="18">
        <f t="shared" si="64"/>
        <v>117856144</v>
      </c>
      <c r="AK128" s="18">
        <f t="shared" si="64"/>
        <v>1135171566</v>
      </c>
      <c r="AL128" s="18">
        <f t="shared" si="64"/>
        <v>284080467</v>
      </c>
      <c r="AM128" s="18">
        <f t="shared" si="64"/>
        <v>176281324</v>
      </c>
      <c r="AN128" s="18">
        <f t="shared" si="64"/>
        <v>0</v>
      </c>
      <c r="AO128" s="18">
        <f t="shared" si="64"/>
        <v>460361791</v>
      </c>
      <c r="AP128" s="18">
        <f t="shared" si="64"/>
        <v>3602096</v>
      </c>
      <c r="AQ128" s="18">
        <f t="shared" si="64"/>
        <v>0</v>
      </c>
      <c r="AR128" s="18">
        <f t="shared" si="64"/>
        <v>3602096</v>
      </c>
      <c r="AS128" s="18">
        <f t="shared" si="64"/>
        <v>0</v>
      </c>
      <c r="AT128" s="18">
        <f t="shared" si="64"/>
        <v>0</v>
      </c>
      <c r="AU128" s="18">
        <f t="shared" si="64"/>
        <v>1304997985</v>
      </c>
      <c r="AV128" s="18">
        <f t="shared" si="64"/>
        <v>176281324</v>
      </c>
      <c r="AW128" s="18">
        <f t="shared" si="64"/>
        <v>117856144</v>
      </c>
      <c r="AX128" s="18">
        <f t="shared" si="64"/>
        <v>1599135453</v>
      </c>
      <c r="AY128" s="26">
        <f t="shared" si="50"/>
        <v>3.4796545723944305E-2</v>
      </c>
    </row>
    <row r="129" spans="1:65" ht="12" customHeight="1">
      <c r="A129" s="146">
        <v>44044</v>
      </c>
      <c r="B129" s="18">
        <v>171493499</v>
      </c>
      <c r="C129" s="18">
        <v>0</v>
      </c>
      <c r="D129" s="18">
        <v>16351622</v>
      </c>
      <c r="E129" s="18">
        <f t="shared" si="59"/>
        <v>187845121</v>
      </c>
      <c r="F129" s="18">
        <f t="shared" si="34"/>
        <v>40277987</v>
      </c>
      <c r="G129" s="18">
        <f t="shared" si="35"/>
        <v>23531204</v>
      </c>
      <c r="H129" s="18">
        <f t="shared" si="36"/>
        <v>0</v>
      </c>
      <c r="I129" s="18">
        <f t="shared" si="53"/>
        <v>63809191</v>
      </c>
      <c r="J129" s="18">
        <f t="shared" si="37"/>
        <v>63855</v>
      </c>
      <c r="K129" s="18">
        <v>0</v>
      </c>
      <c r="L129" s="18">
        <f t="shared" si="54"/>
        <v>63855</v>
      </c>
      <c r="M129" s="18">
        <v>0</v>
      </c>
      <c r="N129" s="18">
        <f t="shared" si="45"/>
        <v>0</v>
      </c>
      <c r="O129" s="18">
        <f t="shared" si="46"/>
        <v>211835341</v>
      </c>
      <c r="P129" s="18">
        <f t="shared" si="38"/>
        <v>23531204</v>
      </c>
      <c r="Q129" s="18">
        <f t="shared" si="39"/>
        <v>16351622</v>
      </c>
      <c r="R129" s="235">
        <f t="shared" si="40"/>
        <v>251718167</v>
      </c>
      <c r="S129" s="18">
        <v>0</v>
      </c>
      <c r="T129" s="18">
        <v>0</v>
      </c>
      <c r="U129" s="18">
        <v>40277987</v>
      </c>
      <c r="V129" s="18">
        <f t="shared" si="61"/>
        <v>40277987</v>
      </c>
      <c r="W129" s="18">
        <v>0</v>
      </c>
      <c r="X129" s="18">
        <v>0</v>
      </c>
      <c r="Y129" s="18">
        <v>23531204</v>
      </c>
      <c r="Z129" s="18">
        <f t="shared" si="62"/>
        <v>23531204</v>
      </c>
      <c r="AA129" s="18">
        <v>0</v>
      </c>
      <c r="AB129" s="18">
        <v>0</v>
      </c>
      <c r="AC129" s="18">
        <v>0</v>
      </c>
      <c r="AD129" s="18">
        <f t="shared" si="60"/>
        <v>0</v>
      </c>
      <c r="AE129" s="18">
        <v>63855</v>
      </c>
      <c r="AF129" s="18">
        <v>0</v>
      </c>
      <c r="AG129" s="236">
        <f t="shared" si="44"/>
        <v>63855</v>
      </c>
      <c r="AH129" s="18">
        <f t="shared" si="64"/>
        <v>1188808921</v>
      </c>
      <c r="AI129" s="18">
        <f t="shared" si="64"/>
        <v>0</v>
      </c>
      <c r="AJ129" s="18">
        <f t="shared" si="64"/>
        <v>134207766</v>
      </c>
      <c r="AK129" s="18">
        <f t="shared" si="64"/>
        <v>1323016687</v>
      </c>
      <c r="AL129" s="18">
        <f t="shared" si="64"/>
        <v>324358454</v>
      </c>
      <c r="AM129" s="18">
        <f t="shared" si="64"/>
        <v>199812528</v>
      </c>
      <c r="AN129" s="18">
        <f t="shared" si="64"/>
        <v>0</v>
      </c>
      <c r="AO129" s="18">
        <f t="shared" si="64"/>
        <v>524170982</v>
      </c>
      <c r="AP129" s="18">
        <f t="shared" si="64"/>
        <v>3665951</v>
      </c>
      <c r="AQ129" s="18">
        <f t="shared" si="64"/>
        <v>0</v>
      </c>
      <c r="AR129" s="18">
        <f t="shared" si="64"/>
        <v>3665951</v>
      </c>
      <c r="AS129" s="18">
        <f t="shared" si="64"/>
        <v>0</v>
      </c>
      <c r="AT129" s="18">
        <f t="shared" si="64"/>
        <v>0</v>
      </c>
      <c r="AU129" s="18">
        <f t="shared" si="64"/>
        <v>1516833326</v>
      </c>
      <c r="AV129" s="18">
        <f t="shared" si="64"/>
        <v>199812528</v>
      </c>
      <c r="AW129" s="18">
        <f t="shared" si="64"/>
        <v>134207766</v>
      </c>
      <c r="AX129" s="18">
        <f t="shared" si="64"/>
        <v>1850853620</v>
      </c>
      <c r="AY129" s="26">
        <f t="shared" si="50"/>
        <v>5.1720536112206172E-2</v>
      </c>
      <c r="AZ129" s="14"/>
      <c r="BA129" s="14"/>
      <c r="BB129" s="14"/>
      <c r="BC129" s="14"/>
    </row>
    <row r="130" spans="1:65" ht="12" customHeight="1">
      <c r="A130" s="146">
        <v>44075</v>
      </c>
      <c r="B130" s="18">
        <v>167865219</v>
      </c>
      <c r="C130" s="18">
        <v>0</v>
      </c>
      <c r="D130" s="18">
        <v>14054214</v>
      </c>
      <c r="E130" s="18">
        <f t="shared" si="59"/>
        <v>181919433</v>
      </c>
      <c r="F130" s="18">
        <f t="shared" ref="F130:F184" si="65">V130</f>
        <v>44831236</v>
      </c>
      <c r="G130" s="18">
        <f t="shared" ref="G130:G184" si="66">Z130</f>
        <v>52471547</v>
      </c>
      <c r="H130" s="18">
        <f t="shared" ref="H130:H184" si="67">AD130</f>
        <v>0</v>
      </c>
      <c r="I130" s="18">
        <f t="shared" si="53"/>
        <v>97302783</v>
      </c>
      <c r="J130" s="18">
        <f t="shared" ref="J130:J169" si="68">AG130</f>
        <v>371169</v>
      </c>
      <c r="K130" s="18">
        <v>0</v>
      </c>
      <c r="L130" s="18">
        <f t="shared" si="54"/>
        <v>371169</v>
      </c>
      <c r="M130" s="18">
        <v>0</v>
      </c>
      <c r="N130" s="18">
        <f t="shared" si="45"/>
        <v>0</v>
      </c>
      <c r="O130" s="18">
        <f t="shared" si="46"/>
        <v>213067624</v>
      </c>
      <c r="P130" s="18">
        <f t="shared" ref="P130:P184" si="69">C130+G130</f>
        <v>52471547</v>
      </c>
      <c r="Q130" s="18">
        <f t="shared" ref="Q130:Q184" si="70">D130+H130+K130</f>
        <v>14054214</v>
      </c>
      <c r="R130" s="235">
        <f t="shared" ref="R130:R184" si="71">SUM(O130:Q130)</f>
        <v>279593385</v>
      </c>
      <c r="S130" s="18">
        <v>0</v>
      </c>
      <c r="T130" s="18">
        <v>0</v>
      </c>
      <c r="U130" s="18">
        <v>44831236</v>
      </c>
      <c r="V130" s="18">
        <f t="shared" si="61"/>
        <v>44831236</v>
      </c>
      <c r="W130" s="18">
        <v>0</v>
      </c>
      <c r="X130" s="18">
        <v>0</v>
      </c>
      <c r="Y130" s="18">
        <v>52471547</v>
      </c>
      <c r="Z130" s="18">
        <f t="shared" si="62"/>
        <v>52471547</v>
      </c>
      <c r="AA130" s="18">
        <v>0</v>
      </c>
      <c r="AB130" s="18">
        <v>0</v>
      </c>
      <c r="AC130" s="18">
        <v>0</v>
      </c>
      <c r="AD130" s="18">
        <f t="shared" si="60"/>
        <v>0</v>
      </c>
      <c r="AE130" s="18">
        <v>371169</v>
      </c>
      <c r="AF130" s="18">
        <v>0</v>
      </c>
      <c r="AG130" s="236">
        <f t="shared" ref="AG130:AG184" si="72">AF130+AE130</f>
        <v>371169</v>
      </c>
      <c r="AH130" s="18">
        <f t="shared" si="64"/>
        <v>1356674140</v>
      </c>
      <c r="AI130" s="18">
        <f t="shared" si="64"/>
        <v>0</v>
      </c>
      <c r="AJ130" s="18">
        <f t="shared" si="64"/>
        <v>148261980</v>
      </c>
      <c r="AK130" s="18">
        <f t="shared" si="64"/>
        <v>1504936120</v>
      </c>
      <c r="AL130" s="18">
        <f t="shared" si="64"/>
        <v>369189690</v>
      </c>
      <c r="AM130" s="18">
        <f t="shared" si="64"/>
        <v>252284075</v>
      </c>
      <c r="AN130" s="18">
        <f t="shared" si="64"/>
        <v>0</v>
      </c>
      <c r="AO130" s="18">
        <f t="shared" si="64"/>
        <v>621473765</v>
      </c>
      <c r="AP130" s="18">
        <f t="shared" si="64"/>
        <v>4037120</v>
      </c>
      <c r="AQ130" s="18">
        <f t="shared" si="64"/>
        <v>0</v>
      </c>
      <c r="AR130" s="18">
        <f t="shared" si="64"/>
        <v>4037120</v>
      </c>
      <c r="AS130" s="18">
        <f t="shared" si="64"/>
        <v>0</v>
      </c>
      <c r="AT130" s="18">
        <f t="shared" si="64"/>
        <v>0</v>
      </c>
      <c r="AU130" s="18">
        <f t="shared" si="64"/>
        <v>1729900950</v>
      </c>
      <c r="AV130" s="18">
        <f t="shared" si="64"/>
        <v>252284075</v>
      </c>
      <c r="AW130" s="18">
        <f t="shared" si="64"/>
        <v>148261980</v>
      </c>
      <c r="AX130" s="18">
        <f t="shared" si="64"/>
        <v>2130447005</v>
      </c>
      <c r="AY130" s="26">
        <f t="shared" si="50"/>
        <v>7.6323036455230975E-2</v>
      </c>
      <c r="AZ130" s="14"/>
      <c r="BA130" s="14"/>
      <c r="BB130" s="14"/>
      <c r="BC130" s="14"/>
    </row>
    <row r="131" spans="1:65" ht="12" customHeight="1">
      <c r="A131" s="146">
        <v>44105</v>
      </c>
      <c r="B131" s="18">
        <v>149489760</v>
      </c>
      <c r="C131" s="18">
        <v>0</v>
      </c>
      <c r="D131" s="18">
        <v>15282502</v>
      </c>
      <c r="E131" s="18">
        <f t="shared" si="59"/>
        <v>164772262</v>
      </c>
      <c r="F131" s="18">
        <f t="shared" si="65"/>
        <v>20889246</v>
      </c>
      <c r="G131" s="18">
        <f t="shared" si="66"/>
        <v>29260171</v>
      </c>
      <c r="H131" s="18">
        <f t="shared" si="67"/>
        <v>0</v>
      </c>
      <c r="I131" s="18">
        <f t="shared" si="53"/>
        <v>50149417</v>
      </c>
      <c r="J131" s="18">
        <f t="shared" si="68"/>
        <v>188416</v>
      </c>
      <c r="K131" s="18">
        <v>0</v>
      </c>
      <c r="L131" s="18">
        <f t="shared" si="54"/>
        <v>188416</v>
      </c>
      <c r="M131" s="18">
        <v>0</v>
      </c>
      <c r="N131" s="18">
        <f t="shared" ref="N131:N184" si="73">M131</f>
        <v>0</v>
      </c>
      <c r="O131" s="18">
        <f t="shared" ref="O131:O184" si="74">B131+F131+J131+N131</f>
        <v>170567422</v>
      </c>
      <c r="P131" s="18">
        <f t="shared" si="69"/>
        <v>29260171</v>
      </c>
      <c r="Q131" s="18">
        <f t="shared" si="70"/>
        <v>15282502</v>
      </c>
      <c r="R131" s="235">
        <f t="shared" si="71"/>
        <v>215110095</v>
      </c>
      <c r="S131" s="18">
        <v>0</v>
      </c>
      <c r="T131" s="18">
        <v>0</v>
      </c>
      <c r="U131" s="18">
        <v>20889246</v>
      </c>
      <c r="V131" s="18">
        <f t="shared" si="61"/>
        <v>20889246</v>
      </c>
      <c r="W131" s="18">
        <v>0</v>
      </c>
      <c r="X131" s="18">
        <v>0</v>
      </c>
      <c r="Y131" s="18">
        <v>29260171</v>
      </c>
      <c r="Z131" s="18">
        <f t="shared" si="62"/>
        <v>29260171</v>
      </c>
      <c r="AA131" s="18">
        <v>0</v>
      </c>
      <c r="AB131" s="18">
        <v>0</v>
      </c>
      <c r="AC131" s="18">
        <v>0</v>
      </c>
      <c r="AD131" s="18">
        <f t="shared" si="60"/>
        <v>0</v>
      </c>
      <c r="AE131" s="18">
        <v>188416</v>
      </c>
      <c r="AF131" s="18">
        <v>0</v>
      </c>
      <c r="AG131" s="236">
        <f t="shared" si="72"/>
        <v>188416</v>
      </c>
      <c r="AH131" s="18">
        <f t="shared" si="64"/>
        <v>1506163900</v>
      </c>
      <c r="AI131" s="18">
        <f t="shared" si="64"/>
        <v>0</v>
      </c>
      <c r="AJ131" s="18">
        <f t="shared" si="64"/>
        <v>163544482</v>
      </c>
      <c r="AK131" s="18">
        <f t="shared" si="64"/>
        <v>1669708382</v>
      </c>
      <c r="AL131" s="18">
        <f t="shared" si="64"/>
        <v>390078936</v>
      </c>
      <c r="AM131" s="18">
        <f t="shared" si="64"/>
        <v>281544246</v>
      </c>
      <c r="AN131" s="18">
        <f t="shared" si="64"/>
        <v>0</v>
      </c>
      <c r="AO131" s="18">
        <f t="shared" si="64"/>
        <v>671623182</v>
      </c>
      <c r="AP131" s="18">
        <f t="shared" si="64"/>
        <v>4225536</v>
      </c>
      <c r="AQ131" s="18">
        <f t="shared" si="64"/>
        <v>0</v>
      </c>
      <c r="AR131" s="18">
        <f t="shared" si="64"/>
        <v>4225536</v>
      </c>
      <c r="AS131" s="18">
        <f t="shared" si="64"/>
        <v>0</v>
      </c>
      <c r="AT131" s="18">
        <f t="shared" si="64"/>
        <v>0</v>
      </c>
      <c r="AU131" s="18">
        <f t="shared" si="64"/>
        <v>1900468372</v>
      </c>
      <c r="AV131" s="18">
        <f t="shared" si="64"/>
        <v>281544246</v>
      </c>
      <c r="AW131" s="18">
        <f t="shared" si="64"/>
        <v>163544482</v>
      </c>
      <c r="AX131" s="18">
        <f t="shared" si="64"/>
        <v>2345557100</v>
      </c>
      <c r="AY131" s="26">
        <f t="shared" si="50"/>
        <v>5.673005808103837E-2</v>
      </c>
      <c r="AZ131" s="14"/>
      <c r="BA131" s="14"/>
      <c r="BB131" s="14"/>
      <c r="BC131" s="14"/>
    </row>
    <row r="132" spans="1:65" ht="12" customHeight="1">
      <c r="A132" s="146">
        <v>44136</v>
      </c>
      <c r="B132" s="18">
        <v>142828517</v>
      </c>
      <c r="C132" s="18">
        <v>0</v>
      </c>
      <c r="D132" s="18">
        <v>21944490</v>
      </c>
      <c r="E132" s="18">
        <f t="shared" si="59"/>
        <v>164773007</v>
      </c>
      <c r="F132" s="18">
        <f t="shared" si="65"/>
        <v>43128210</v>
      </c>
      <c r="G132" s="18">
        <f t="shared" si="66"/>
        <v>40715916</v>
      </c>
      <c r="H132" s="18">
        <f t="shared" si="67"/>
        <v>0</v>
      </c>
      <c r="I132" s="18">
        <f t="shared" si="53"/>
        <v>83844126</v>
      </c>
      <c r="J132" s="18">
        <f t="shared" si="68"/>
        <v>188201</v>
      </c>
      <c r="K132" s="18">
        <v>0</v>
      </c>
      <c r="L132" s="18">
        <f t="shared" si="54"/>
        <v>188201</v>
      </c>
      <c r="M132" s="18">
        <v>5865</v>
      </c>
      <c r="N132" s="18">
        <f t="shared" si="73"/>
        <v>5865</v>
      </c>
      <c r="O132" s="18">
        <f t="shared" si="74"/>
        <v>186150793</v>
      </c>
      <c r="P132" s="18">
        <f t="shared" si="69"/>
        <v>40715916</v>
      </c>
      <c r="Q132" s="18">
        <f t="shared" si="70"/>
        <v>21944490</v>
      </c>
      <c r="R132" s="235">
        <f t="shared" si="71"/>
        <v>248811199</v>
      </c>
      <c r="S132" s="18">
        <v>0</v>
      </c>
      <c r="T132" s="18">
        <v>4652</v>
      </c>
      <c r="U132" s="18">
        <v>43123558</v>
      </c>
      <c r="V132" s="18">
        <f t="shared" si="61"/>
        <v>43128210</v>
      </c>
      <c r="W132" s="18">
        <v>0</v>
      </c>
      <c r="X132" s="18">
        <v>0</v>
      </c>
      <c r="Y132" s="18">
        <v>40715916</v>
      </c>
      <c r="Z132" s="18">
        <f t="shared" si="62"/>
        <v>40715916</v>
      </c>
      <c r="AA132" s="18">
        <v>0</v>
      </c>
      <c r="AB132" s="18">
        <v>0</v>
      </c>
      <c r="AC132" s="18">
        <v>0</v>
      </c>
      <c r="AD132" s="18">
        <f t="shared" si="60"/>
        <v>0</v>
      </c>
      <c r="AE132" s="18">
        <v>188201</v>
      </c>
      <c r="AF132" s="18">
        <v>0</v>
      </c>
      <c r="AG132" s="236">
        <f t="shared" si="72"/>
        <v>188201</v>
      </c>
      <c r="AH132" s="18">
        <f t="shared" si="64"/>
        <v>1648992417</v>
      </c>
      <c r="AI132" s="18">
        <f t="shared" si="64"/>
        <v>0</v>
      </c>
      <c r="AJ132" s="18">
        <f t="shared" si="64"/>
        <v>185488972</v>
      </c>
      <c r="AK132" s="18">
        <f t="shared" si="64"/>
        <v>1834481389</v>
      </c>
      <c r="AL132" s="18">
        <f t="shared" si="64"/>
        <v>433207146</v>
      </c>
      <c r="AM132" s="18">
        <f t="shared" si="64"/>
        <v>322260162</v>
      </c>
      <c r="AN132" s="18">
        <f t="shared" si="64"/>
        <v>0</v>
      </c>
      <c r="AO132" s="18">
        <f t="shared" si="64"/>
        <v>755467308</v>
      </c>
      <c r="AP132" s="18">
        <f t="shared" si="64"/>
        <v>4413737</v>
      </c>
      <c r="AQ132" s="18">
        <f t="shared" si="64"/>
        <v>0</v>
      </c>
      <c r="AR132" s="18">
        <f t="shared" si="64"/>
        <v>4413737</v>
      </c>
      <c r="AS132" s="18">
        <f t="shared" si="64"/>
        <v>5865</v>
      </c>
      <c r="AT132" s="18">
        <f t="shared" si="64"/>
        <v>5865</v>
      </c>
      <c r="AU132" s="18">
        <f t="shared" si="64"/>
        <v>2086619165</v>
      </c>
      <c r="AV132" s="18">
        <f t="shared" si="64"/>
        <v>322260162</v>
      </c>
      <c r="AW132" s="18">
        <f t="shared" si="64"/>
        <v>185488972</v>
      </c>
      <c r="AX132" s="18">
        <f t="shared" si="64"/>
        <v>2594368299</v>
      </c>
      <c r="AY132" s="26">
        <f t="shared" si="50"/>
        <v>7.2775929226995606E-2</v>
      </c>
      <c r="AZ132" s="14"/>
      <c r="BA132" s="14"/>
      <c r="BB132" s="14"/>
      <c r="BC132" s="14"/>
    </row>
    <row r="133" spans="1:65" ht="13.5" customHeight="1" thickBot="1">
      <c r="A133" s="138">
        <v>44166</v>
      </c>
      <c r="B133" s="18">
        <v>175881221</v>
      </c>
      <c r="C133" s="18">
        <v>0</v>
      </c>
      <c r="D133" s="18">
        <v>24004702</v>
      </c>
      <c r="E133" s="18">
        <f t="shared" si="59"/>
        <v>199885923</v>
      </c>
      <c r="F133" s="18">
        <f t="shared" si="65"/>
        <v>49704530</v>
      </c>
      <c r="G133" s="18">
        <f t="shared" si="66"/>
        <v>36950805</v>
      </c>
      <c r="H133" s="18">
        <f t="shared" si="67"/>
        <v>0</v>
      </c>
      <c r="I133" s="18">
        <f t="shared" si="53"/>
        <v>86655335</v>
      </c>
      <c r="J133" s="18">
        <f t="shared" si="68"/>
        <v>194662</v>
      </c>
      <c r="K133" s="18">
        <v>0</v>
      </c>
      <c r="L133" s="18">
        <f t="shared" si="54"/>
        <v>194662</v>
      </c>
      <c r="M133" s="18">
        <v>0</v>
      </c>
      <c r="N133" s="18">
        <f t="shared" si="73"/>
        <v>0</v>
      </c>
      <c r="O133" s="18">
        <f t="shared" si="74"/>
        <v>225780413</v>
      </c>
      <c r="P133" s="18">
        <f t="shared" si="69"/>
        <v>36950805</v>
      </c>
      <c r="Q133" s="18">
        <f t="shared" si="70"/>
        <v>24004702</v>
      </c>
      <c r="R133" s="235">
        <f t="shared" si="71"/>
        <v>286735920</v>
      </c>
      <c r="S133" s="18">
        <v>0</v>
      </c>
      <c r="T133" s="18">
        <v>0</v>
      </c>
      <c r="U133" s="18">
        <v>49704530</v>
      </c>
      <c r="V133" s="18">
        <f t="shared" si="61"/>
        <v>49704530</v>
      </c>
      <c r="W133" s="18">
        <v>0</v>
      </c>
      <c r="X133" s="18">
        <v>0</v>
      </c>
      <c r="Y133" s="18">
        <v>36950805</v>
      </c>
      <c r="Z133" s="18">
        <f t="shared" si="62"/>
        <v>36950805</v>
      </c>
      <c r="AA133" s="18">
        <v>0</v>
      </c>
      <c r="AB133" s="18">
        <v>0</v>
      </c>
      <c r="AC133" s="18">
        <v>0</v>
      </c>
      <c r="AD133" s="18">
        <f t="shared" si="60"/>
        <v>0</v>
      </c>
      <c r="AE133" s="18">
        <v>194662</v>
      </c>
      <c r="AF133" s="18">
        <v>0</v>
      </c>
      <c r="AG133" s="236">
        <f t="shared" si="72"/>
        <v>194662</v>
      </c>
      <c r="AH133" s="18">
        <f t="shared" si="64"/>
        <v>1824873638</v>
      </c>
      <c r="AI133" s="18">
        <f t="shared" si="64"/>
        <v>0</v>
      </c>
      <c r="AJ133" s="18">
        <f t="shared" si="64"/>
        <v>209493674</v>
      </c>
      <c r="AK133" s="18">
        <f t="shared" si="64"/>
        <v>2034367312</v>
      </c>
      <c r="AL133" s="18">
        <f t="shared" si="64"/>
        <v>482911676</v>
      </c>
      <c r="AM133" s="18">
        <f t="shared" si="64"/>
        <v>359210967</v>
      </c>
      <c r="AN133" s="18">
        <f t="shared" si="64"/>
        <v>0</v>
      </c>
      <c r="AO133" s="18">
        <f t="shared" si="64"/>
        <v>842122643</v>
      </c>
      <c r="AP133" s="18">
        <f t="shared" si="64"/>
        <v>4608399</v>
      </c>
      <c r="AQ133" s="18">
        <f t="shared" si="64"/>
        <v>0</v>
      </c>
      <c r="AR133" s="18">
        <f t="shared" si="64"/>
        <v>4608399</v>
      </c>
      <c r="AS133" s="18">
        <f t="shared" si="64"/>
        <v>5865</v>
      </c>
      <c r="AT133" s="18">
        <f t="shared" si="64"/>
        <v>5865</v>
      </c>
      <c r="AU133" s="18">
        <f t="shared" si="64"/>
        <v>2312399578</v>
      </c>
      <c r="AV133" s="18">
        <f t="shared" si="64"/>
        <v>359210967</v>
      </c>
      <c r="AW133" s="18">
        <f t="shared" si="64"/>
        <v>209493674</v>
      </c>
      <c r="AX133" s="18">
        <f t="shared" si="64"/>
        <v>2881104219</v>
      </c>
      <c r="AY133" s="26">
        <f t="shared" si="50"/>
        <v>8.1982756278554669E-2</v>
      </c>
      <c r="AZ133" s="14"/>
      <c r="BA133" s="14"/>
      <c r="BB133" s="14"/>
      <c r="BC133" s="14"/>
    </row>
    <row r="134" spans="1:65" ht="13.5">
      <c r="A134" s="145">
        <v>44197</v>
      </c>
      <c r="B134" s="143">
        <v>107302585</v>
      </c>
      <c r="C134" s="143">
        <v>0</v>
      </c>
      <c r="D134" s="143">
        <v>8536219</v>
      </c>
      <c r="E134" s="143">
        <f t="shared" si="59"/>
        <v>115838804</v>
      </c>
      <c r="F134" s="143">
        <f t="shared" si="65"/>
        <v>41671282</v>
      </c>
      <c r="G134" s="143">
        <f t="shared" si="66"/>
        <v>29766577</v>
      </c>
      <c r="H134" s="143">
        <f t="shared" si="67"/>
        <v>2859906</v>
      </c>
      <c r="I134" s="143">
        <f t="shared" si="53"/>
        <v>74297765</v>
      </c>
      <c r="J134" s="143">
        <f t="shared" si="68"/>
        <v>289825</v>
      </c>
      <c r="K134" s="143">
        <v>0</v>
      </c>
      <c r="L134" s="143">
        <f t="shared" si="54"/>
        <v>289825</v>
      </c>
      <c r="M134" s="143">
        <v>0</v>
      </c>
      <c r="N134" s="143">
        <f t="shared" si="73"/>
        <v>0</v>
      </c>
      <c r="O134" s="143">
        <f t="shared" si="74"/>
        <v>149263692</v>
      </c>
      <c r="P134" s="143">
        <f t="shared" si="69"/>
        <v>29766577</v>
      </c>
      <c r="Q134" s="143">
        <f t="shared" si="70"/>
        <v>11396125</v>
      </c>
      <c r="R134" s="237">
        <f t="shared" si="71"/>
        <v>190426394</v>
      </c>
      <c r="S134" s="143">
        <v>0</v>
      </c>
      <c r="T134" s="143">
        <v>0</v>
      </c>
      <c r="U134" s="143">
        <v>41671282</v>
      </c>
      <c r="V134" s="143">
        <f t="shared" si="61"/>
        <v>41671282</v>
      </c>
      <c r="W134" s="143">
        <v>0</v>
      </c>
      <c r="X134" s="143">
        <v>0</v>
      </c>
      <c r="Y134" s="143">
        <v>29766577</v>
      </c>
      <c r="Z134" s="143">
        <f t="shared" si="62"/>
        <v>29766577</v>
      </c>
      <c r="AA134" s="143">
        <v>0</v>
      </c>
      <c r="AB134" s="143">
        <v>0</v>
      </c>
      <c r="AC134" s="143">
        <v>2859906</v>
      </c>
      <c r="AD134" s="143">
        <f t="shared" si="60"/>
        <v>2859906</v>
      </c>
      <c r="AE134" s="143">
        <v>289825</v>
      </c>
      <c r="AF134" s="143">
        <v>0</v>
      </c>
      <c r="AG134" s="238">
        <f t="shared" si="72"/>
        <v>289825</v>
      </c>
      <c r="AH134" s="143">
        <f t="shared" ref="AH134:AX134" si="75">B134</f>
        <v>107302585</v>
      </c>
      <c r="AI134" s="143">
        <f t="shared" si="75"/>
        <v>0</v>
      </c>
      <c r="AJ134" s="143">
        <f t="shared" si="75"/>
        <v>8536219</v>
      </c>
      <c r="AK134" s="143">
        <f t="shared" si="75"/>
        <v>115838804</v>
      </c>
      <c r="AL134" s="143">
        <f t="shared" si="75"/>
        <v>41671282</v>
      </c>
      <c r="AM134" s="143">
        <f t="shared" si="75"/>
        <v>29766577</v>
      </c>
      <c r="AN134" s="143">
        <f t="shared" si="75"/>
        <v>2859906</v>
      </c>
      <c r="AO134" s="143">
        <f t="shared" si="75"/>
        <v>74297765</v>
      </c>
      <c r="AP134" s="143">
        <f t="shared" si="75"/>
        <v>289825</v>
      </c>
      <c r="AQ134" s="143">
        <f t="shared" si="75"/>
        <v>0</v>
      </c>
      <c r="AR134" s="143">
        <f t="shared" si="75"/>
        <v>289825</v>
      </c>
      <c r="AS134" s="143">
        <f t="shared" si="75"/>
        <v>0</v>
      </c>
      <c r="AT134" s="143">
        <f t="shared" si="75"/>
        <v>0</v>
      </c>
      <c r="AU134" s="143">
        <f t="shared" si="75"/>
        <v>149263692</v>
      </c>
      <c r="AV134" s="143">
        <f t="shared" si="75"/>
        <v>29766577</v>
      </c>
      <c r="AW134" s="143">
        <f t="shared" si="75"/>
        <v>11396125</v>
      </c>
      <c r="AX134" s="143">
        <f t="shared" si="75"/>
        <v>190426394</v>
      </c>
      <c r="AY134" s="26">
        <f t="shared" si="50"/>
        <v>-9.5959039402071511E-3</v>
      </c>
      <c r="AZ134" s="14"/>
      <c r="BA134" s="14"/>
      <c r="BB134" s="14"/>
      <c r="BC134" s="14"/>
      <c r="BM134" s="18">
        <f t="shared" ref="BM134:BM169" si="76">R134/31</f>
        <v>6142786.9032258065</v>
      </c>
    </row>
    <row r="135" spans="1:65" ht="13.5">
      <c r="A135" s="146">
        <v>44228</v>
      </c>
      <c r="B135" s="18">
        <v>109881050</v>
      </c>
      <c r="C135" s="18">
        <v>0</v>
      </c>
      <c r="D135" s="18">
        <v>7661613</v>
      </c>
      <c r="E135" s="18">
        <f t="shared" si="59"/>
        <v>117542663</v>
      </c>
      <c r="F135" s="18">
        <f t="shared" si="65"/>
        <v>46693788</v>
      </c>
      <c r="G135" s="18">
        <f t="shared" si="66"/>
        <v>29679663</v>
      </c>
      <c r="H135" s="18">
        <f t="shared" si="67"/>
        <v>0</v>
      </c>
      <c r="I135" s="18">
        <f t="shared" si="53"/>
        <v>76373451</v>
      </c>
      <c r="J135" s="18">
        <f t="shared" si="68"/>
        <v>294725</v>
      </c>
      <c r="K135" s="18">
        <v>0</v>
      </c>
      <c r="L135" s="18">
        <f t="shared" si="54"/>
        <v>294725</v>
      </c>
      <c r="M135" s="18">
        <v>0</v>
      </c>
      <c r="N135" s="18">
        <f t="shared" si="73"/>
        <v>0</v>
      </c>
      <c r="O135" s="18">
        <f t="shared" si="74"/>
        <v>156869563</v>
      </c>
      <c r="P135" s="18">
        <f t="shared" si="69"/>
        <v>29679663</v>
      </c>
      <c r="Q135" s="18">
        <f t="shared" si="70"/>
        <v>7661613</v>
      </c>
      <c r="R135" s="235">
        <f t="shared" si="71"/>
        <v>194210839</v>
      </c>
      <c r="S135" s="18">
        <v>0</v>
      </c>
      <c r="T135" s="18">
        <v>0</v>
      </c>
      <c r="U135" s="18">
        <v>46693788</v>
      </c>
      <c r="V135" s="18">
        <f t="shared" si="61"/>
        <v>46693788</v>
      </c>
      <c r="W135" s="18">
        <v>0</v>
      </c>
      <c r="X135" s="18">
        <v>2208930</v>
      </c>
      <c r="Y135" s="18">
        <v>27470733</v>
      </c>
      <c r="Z135" s="18">
        <f t="shared" si="62"/>
        <v>29679663</v>
      </c>
      <c r="AA135" s="18">
        <v>0</v>
      </c>
      <c r="AB135" s="18">
        <v>0</v>
      </c>
      <c r="AC135" s="18">
        <v>0</v>
      </c>
      <c r="AD135" s="18">
        <f t="shared" si="60"/>
        <v>0</v>
      </c>
      <c r="AE135" s="18">
        <v>294725</v>
      </c>
      <c r="AF135" s="18">
        <v>0</v>
      </c>
      <c r="AG135" s="236">
        <f t="shared" si="72"/>
        <v>294725</v>
      </c>
      <c r="AH135" s="18">
        <f t="shared" ref="AH135:AX145" si="77">AH134+B135</f>
        <v>217183635</v>
      </c>
      <c r="AI135" s="18">
        <f t="shared" si="77"/>
        <v>0</v>
      </c>
      <c r="AJ135" s="18">
        <f t="shared" si="77"/>
        <v>16197832</v>
      </c>
      <c r="AK135" s="18">
        <f t="shared" si="77"/>
        <v>233381467</v>
      </c>
      <c r="AL135" s="18">
        <f t="shared" si="77"/>
        <v>88365070</v>
      </c>
      <c r="AM135" s="18">
        <f t="shared" si="77"/>
        <v>59446240</v>
      </c>
      <c r="AN135" s="18">
        <f t="shared" si="77"/>
        <v>2859906</v>
      </c>
      <c r="AO135" s="18">
        <f t="shared" si="77"/>
        <v>150671216</v>
      </c>
      <c r="AP135" s="18">
        <f t="shared" si="77"/>
        <v>584550</v>
      </c>
      <c r="AQ135" s="18">
        <f t="shared" si="77"/>
        <v>0</v>
      </c>
      <c r="AR135" s="18">
        <f t="shared" si="77"/>
        <v>584550</v>
      </c>
      <c r="AS135" s="18">
        <f t="shared" si="77"/>
        <v>0</v>
      </c>
      <c r="AT135" s="18">
        <f t="shared" si="77"/>
        <v>0</v>
      </c>
      <c r="AU135" s="18">
        <f t="shared" si="77"/>
        <v>306133255</v>
      </c>
      <c r="AV135" s="18">
        <f t="shared" si="77"/>
        <v>59446240</v>
      </c>
      <c r="AW135" s="18">
        <f t="shared" si="77"/>
        <v>19057738</v>
      </c>
      <c r="AX135" s="18">
        <f t="shared" si="77"/>
        <v>384637233</v>
      </c>
      <c r="AY135" s="26">
        <f t="shared" si="50"/>
        <v>-2.3988596276238505E-2</v>
      </c>
      <c r="AZ135" s="14"/>
      <c r="BA135" s="14"/>
      <c r="BB135" s="14"/>
      <c r="BC135" s="14"/>
      <c r="BM135" s="18">
        <f>R135/28</f>
        <v>6936101.3928571427</v>
      </c>
    </row>
    <row r="136" spans="1:65" ht="13.5">
      <c r="A136" s="146">
        <v>44256</v>
      </c>
      <c r="B136" s="18">
        <v>150336910</v>
      </c>
      <c r="C136" s="18">
        <v>0</v>
      </c>
      <c r="D136" s="18">
        <v>15146974</v>
      </c>
      <c r="E136" s="18">
        <f t="shared" si="59"/>
        <v>165483884</v>
      </c>
      <c r="F136" s="18">
        <f t="shared" si="65"/>
        <v>55155941</v>
      </c>
      <c r="G136" s="18">
        <f t="shared" si="66"/>
        <v>38322965</v>
      </c>
      <c r="H136" s="18">
        <f t="shared" si="67"/>
        <v>0</v>
      </c>
      <c r="I136" s="18">
        <f t="shared" si="53"/>
        <v>93478906</v>
      </c>
      <c r="J136" s="18">
        <f t="shared" si="68"/>
        <v>288906</v>
      </c>
      <c r="K136" s="18">
        <v>0</v>
      </c>
      <c r="L136" s="18">
        <f t="shared" si="54"/>
        <v>288906</v>
      </c>
      <c r="M136" s="18">
        <v>0</v>
      </c>
      <c r="N136" s="18">
        <f t="shared" si="73"/>
        <v>0</v>
      </c>
      <c r="O136" s="18">
        <f t="shared" si="74"/>
        <v>205781757</v>
      </c>
      <c r="P136" s="18">
        <f t="shared" si="69"/>
        <v>38322965</v>
      </c>
      <c r="Q136" s="18">
        <f t="shared" si="70"/>
        <v>15146974</v>
      </c>
      <c r="R136" s="235">
        <f t="shared" si="71"/>
        <v>259251696</v>
      </c>
      <c r="S136" s="18">
        <v>0</v>
      </c>
      <c r="T136" s="18">
        <v>0</v>
      </c>
      <c r="U136" s="18">
        <v>55155941</v>
      </c>
      <c r="V136" s="18">
        <f t="shared" si="61"/>
        <v>55155941</v>
      </c>
      <c r="W136" s="18">
        <v>0</v>
      </c>
      <c r="X136" s="18">
        <v>0</v>
      </c>
      <c r="Y136" s="18">
        <v>38322965</v>
      </c>
      <c r="Z136" s="18">
        <f t="shared" si="62"/>
        <v>38322965</v>
      </c>
      <c r="AA136" s="18">
        <v>0</v>
      </c>
      <c r="AB136" s="18">
        <v>0</v>
      </c>
      <c r="AC136" s="18">
        <v>0</v>
      </c>
      <c r="AD136" s="18">
        <f t="shared" si="60"/>
        <v>0</v>
      </c>
      <c r="AE136" s="18">
        <v>288906</v>
      </c>
      <c r="AF136" s="18">
        <v>0</v>
      </c>
      <c r="AG136" s="236">
        <f t="shared" si="72"/>
        <v>288906</v>
      </c>
      <c r="AH136" s="18">
        <f t="shared" si="77"/>
        <v>367520545</v>
      </c>
      <c r="AI136" s="18">
        <f t="shared" si="77"/>
        <v>0</v>
      </c>
      <c r="AJ136" s="18">
        <f t="shared" si="77"/>
        <v>31344806</v>
      </c>
      <c r="AK136" s="18">
        <f t="shared" si="77"/>
        <v>398865351</v>
      </c>
      <c r="AL136" s="18">
        <f t="shared" si="77"/>
        <v>143521011</v>
      </c>
      <c r="AM136" s="18">
        <f t="shared" si="77"/>
        <v>97769205</v>
      </c>
      <c r="AN136" s="18">
        <f t="shared" si="77"/>
        <v>2859906</v>
      </c>
      <c r="AO136" s="18">
        <f t="shared" si="77"/>
        <v>244150122</v>
      </c>
      <c r="AP136" s="18">
        <f t="shared" si="77"/>
        <v>873456</v>
      </c>
      <c r="AQ136" s="18">
        <f t="shared" si="77"/>
        <v>0</v>
      </c>
      <c r="AR136" s="18">
        <f t="shared" si="77"/>
        <v>873456</v>
      </c>
      <c r="AS136" s="18">
        <f t="shared" si="77"/>
        <v>0</v>
      </c>
      <c r="AT136" s="18">
        <f t="shared" si="77"/>
        <v>0</v>
      </c>
      <c r="AU136" s="18">
        <f t="shared" si="77"/>
        <v>511915012</v>
      </c>
      <c r="AV136" s="18">
        <f t="shared" si="77"/>
        <v>97769205</v>
      </c>
      <c r="AW136" s="18">
        <f t="shared" si="77"/>
        <v>34204712</v>
      </c>
      <c r="AX136" s="18">
        <f t="shared" si="77"/>
        <v>643888929</v>
      </c>
      <c r="AY136" s="26">
        <f t="shared" si="50"/>
        <v>1.7675971580251471E-2</v>
      </c>
      <c r="AZ136" s="14"/>
      <c r="BA136" s="14"/>
      <c r="BB136" s="14"/>
      <c r="BC136" s="14"/>
      <c r="BM136" s="18">
        <f t="shared" si="76"/>
        <v>8362957.935483871</v>
      </c>
    </row>
    <row r="137" spans="1:65" ht="13.5">
      <c r="A137" s="146">
        <v>44287</v>
      </c>
      <c r="B137" s="18">
        <v>144396494</v>
      </c>
      <c r="C137" s="18">
        <v>0</v>
      </c>
      <c r="D137" s="18">
        <v>17336621</v>
      </c>
      <c r="E137" s="18">
        <f t="shared" si="59"/>
        <v>161733115</v>
      </c>
      <c r="F137" s="18">
        <f t="shared" si="65"/>
        <v>47578471</v>
      </c>
      <c r="G137" s="18">
        <f t="shared" si="66"/>
        <v>36880618</v>
      </c>
      <c r="H137" s="18">
        <f t="shared" si="67"/>
        <v>0</v>
      </c>
      <c r="I137" s="18">
        <f t="shared" si="53"/>
        <v>84459089</v>
      </c>
      <c r="J137" s="18">
        <f t="shared" si="68"/>
        <v>293289</v>
      </c>
      <c r="K137" s="18">
        <v>0</v>
      </c>
      <c r="L137" s="18">
        <f t="shared" si="54"/>
        <v>293289</v>
      </c>
      <c r="M137" s="18">
        <v>0</v>
      </c>
      <c r="N137" s="18">
        <f t="shared" si="73"/>
        <v>0</v>
      </c>
      <c r="O137" s="18">
        <f t="shared" si="74"/>
        <v>192268254</v>
      </c>
      <c r="P137" s="18">
        <f t="shared" si="69"/>
        <v>36880618</v>
      </c>
      <c r="Q137" s="18">
        <f t="shared" si="70"/>
        <v>17336621</v>
      </c>
      <c r="R137" s="235">
        <f t="shared" si="71"/>
        <v>246485493</v>
      </c>
      <c r="S137" s="18">
        <v>0</v>
      </c>
      <c r="T137" s="18">
        <v>0</v>
      </c>
      <c r="U137" s="18">
        <v>47578471</v>
      </c>
      <c r="V137" s="18">
        <f t="shared" si="61"/>
        <v>47578471</v>
      </c>
      <c r="W137" s="18">
        <v>0</v>
      </c>
      <c r="X137" s="18">
        <v>2097948</v>
      </c>
      <c r="Y137" s="18">
        <v>34782670</v>
      </c>
      <c r="Z137" s="18">
        <f t="shared" si="62"/>
        <v>36880618</v>
      </c>
      <c r="AA137" s="18">
        <v>0</v>
      </c>
      <c r="AB137" s="18">
        <v>0</v>
      </c>
      <c r="AC137" s="18">
        <v>0</v>
      </c>
      <c r="AD137" s="18">
        <f t="shared" si="60"/>
        <v>0</v>
      </c>
      <c r="AE137" s="18">
        <v>293289</v>
      </c>
      <c r="AF137" s="18">
        <v>0</v>
      </c>
      <c r="AG137" s="236">
        <f t="shared" si="72"/>
        <v>293289</v>
      </c>
      <c r="AH137" s="18">
        <f t="shared" si="77"/>
        <v>511917039</v>
      </c>
      <c r="AI137" s="18">
        <f t="shared" si="77"/>
        <v>0</v>
      </c>
      <c r="AJ137" s="18">
        <f t="shared" si="77"/>
        <v>48681427</v>
      </c>
      <c r="AK137" s="18">
        <f t="shared" si="77"/>
        <v>560598466</v>
      </c>
      <c r="AL137" s="18">
        <f t="shared" si="77"/>
        <v>191099482</v>
      </c>
      <c r="AM137" s="18">
        <f t="shared" si="77"/>
        <v>134649823</v>
      </c>
      <c r="AN137" s="18">
        <f t="shared" si="77"/>
        <v>2859906</v>
      </c>
      <c r="AO137" s="18">
        <f t="shared" si="77"/>
        <v>328609211</v>
      </c>
      <c r="AP137" s="18">
        <f t="shared" si="77"/>
        <v>1166745</v>
      </c>
      <c r="AQ137" s="18">
        <f t="shared" si="77"/>
        <v>0</v>
      </c>
      <c r="AR137" s="18">
        <f t="shared" si="77"/>
        <v>1166745</v>
      </c>
      <c r="AS137" s="18">
        <f t="shared" si="77"/>
        <v>0</v>
      </c>
      <c r="AT137" s="18">
        <f t="shared" si="77"/>
        <v>0</v>
      </c>
      <c r="AU137" s="18">
        <f t="shared" si="77"/>
        <v>704183266</v>
      </c>
      <c r="AV137" s="18">
        <f t="shared" si="77"/>
        <v>134649823</v>
      </c>
      <c r="AW137" s="18">
        <f t="shared" si="77"/>
        <v>51541333</v>
      </c>
      <c r="AX137" s="18">
        <f t="shared" si="77"/>
        <v>890374422</v>
      </c>
      <c r="AY137" s="26">
        <f t="shared" si="50"/>
        <v>3.0162021616092716E-2</v>
      </c>
      <c r="AZ137" s="14"/>
      <c r="BA137" s="14"/>
      <c r="BB137" s="14"/>
      <c r="BC137" s="14"/>
      <c r="BM137" s="18">
        <f>R137/30</f>
        <v>8216183.0999999996</v>
      </c>
    </row>
    <row r="138" spans="1:65" ht="13.5">
      <c r="A138" s="146">
        <v>44317</v>
      </c>
      <c r="B138" s="18">
        <v>150501950</v>
      </c>
      <c r="C138" s="18">
        <v>0</v>
      </c>
      <c r="D138" s="18">
        <v>13326443</v>
      </c>
      <c r="E138" s="18">
        <f t="shared" si="59"/>
        <v>163828393</v>
      </c>
      <c r="F138" s="18">
        <f t="shared" si="65"/>
        <v>57822332</v>
      </c>
      <c r="G138" s="18">
        <f t="shared" si="66"/>
        <v>30652398</v>
      </c>
      <c r="H138" s="18">
        <f t="shared" si="67"/>
        <v>0</v>
      </c>
      <c r="I138" s="18">
        <f t="shared" si="53"/>
        <v>88474730</v>
      </c>
      <c r="J138" s="18">
        <f t="shared" si="68"/>
        <v>287496</v>
      </c>
      <c r="K138" s="18">
        <v>0</v>
      </c>
      <c r="L138" s="18">
        <f t="shared" si="54"/>
        <v>287496</v>
      </c>
      <c r="M138" s="18">
        <v>0</v>
      </c>
      <c r="N138" s="18">
        <f t="shared" si="73"/>
        <v>0</v>
      </c>
      <c r="O138" s="18">
        <f t="shared" si="74"/>
        <v>208611778</v>
      </c>
      <c r="P138" s="18">
        <f t="shared" si="69"/>
        <v>30652398</v>
      </c>
      <c r="Q138" s="18">
        <f t="shared" si="70"/>
        <v>13326443</v>
      </c>
      <c r="R138" s="235">
        <f t="shared" si="71"/>
        <v>252590619</v>
      </c>
      <c r="S138" s="18">
        <v>0</v>
      </c>
      <c r="T138" s="18">
        <v>0</v>
      </c>
      <c r="U138" s="18">
        <v>57822332</v>
      </c>
      <c r="V138" s="18">
        <f t="shared" si="61"/>
        <v>57822332</v>
      </c>
      <c r="W138" s="18">
        <v>0</v>
      </c>
      <c r="X138" s="18">
        <v>0</v>
      </c>
      <c r="Y138" s="18">
        <v>30652398</v>
      </c>
      <c r="Z138" s="18">
        <f t="shared" si="62"/>
        <v>30652398</v>
      </c>
      <c r="AA138" s="18">
        <v>0</v>
      </c>
      <c r="AB138" s="18">
        <v>0</v>
      </c>
      <c r="AC138" s="18">
        <v>0</v>
      </c>
      <c r="AD138" s="18">
        <f t="shared" si="60"/>
        <v>0</v>
      </c>
      <c r="AE138" s="18">
        <v>287496</v>
      </c>
      <c r="AF138" s="18">
        <v>0</v>
      </c>
      <c r="AG138" s="236">
        <f t="shared" si="72"/>
        <v>287496</v>
      </c>
      <c r="AH138" s="18">
        <f t="shared" si="77"/>
        <v>662418989</v>
      </c>
      <c r="AI138" s="18">
        <f t="shared" si="77"/>
        <v>0</v>
      </c>
      <c r="AJ138" s="18">
        <f t="shared" si="77"/>
        <v>62007870</v>
      </c>
      <c r="AK138" s="18">
        <f t="shared" si="77"/>
        <v>724426859</v>
      </c>
      <c r="AL138" s="18">
        <f t="shared" si="77"/>
        <v>248921814</v>
      </c>
      <c r="AM138" s="18">
        <f t="shared" si="77"/>
        <v>165302221</v>
      </c>
      <c r="AN138" s="18">
        <f t="shared" si="77"/>
        <v>2859906</v>
      </c>
      <c r="AO138" s="18">
        <f t="shared" si="77"/>
        <v>417083941</v>
      </c>
      <c r="AP138" s="18">
        <f t="shared" si="77"/>
        <v>1454241</v>
      </c>
      <c r="AQ138" s="18">
        <f t="shared" si="77"/>
        <v>0</v>
      </c>
      <c r="AR138" s="18">
        <f t="shared" si="77"/>
        <v>1454241</v>
      </c>
      <c r="AS138" s="18">
        <f t="shared" si="77"/>
        <v>0</v>
      </c>
      <c r="AT138" s="18">
        <f t="shared" si="77"/>
        <v>0</v>
      </c>
      <c r="AU138" s="18">
        <f t="shared" si="77"/>
        <v>912795044</v>
      </c>
      <c r="AV138" s="18">
        <f t="shared" si="77"/>
        <v>165302221</v>
      </c>
      <c r="AW138" s="18">
        <f t="shared" si="77"/>
        <v>64867776</v>
      </c>
      <c r="AX138" s="18">
        <f t="shared" si="77"/>
        <v>1142965041</v>
      </c>
      <c r="AY138" s="26">
        <f t="shared" si="50"/>
        <v>3.8371693081898695E-2</v>
      </c>
      <c r="AZ138" s="14"/>
      <c r="BA138" s="14"/>
      <c r="BB138" s="14"/>
      <c r="BC138" s="14"/>
      <c r="BM138" s="18">
        <f t="shared" si="76"/>
        <v>8148084.4838709673</v>
      </c>
    </row>
    <row r="139" spans="1:65" ht="13.5">
      <c r="A139" s="146">
        <v>44348</v>
      </c>
      <c r="B139" s="18">
        <v>154457118</v>
      </c>
      <c r="C139" s="18">
        <v>0</v>
      </c>
      <c r="D139" s="18">
        <v>17588416</v>
      </c>
      <c r="E139" s="18">
        <f t="shared" si="59"/>
        <v>172045534</v>
      </c>
      <c r="F139" s="18">
        <f t="shared" si="65"/>
        <v>64658005</v>
      </c>
      <c r="G139" s="18">
        <f t="shared" si="66"/>
        <v>35547106</v>
      </c>
      <c r="H139" s="18">
        <f t="shared" si="67"/>
        <v>0</v>
      </c>
      <c r="I139" s="18">
        <f t="shared" si="53"/>
        <v>100205111</v>
      </c>
      <c r="J139" s="18">
        <f t="shared" si="68"/>
        <v>357317</v>
      </c>
      <c r="K139" s="18">
        <v>0</v>
      </c>
      <c r="L139" s="18">
        <f t="shared" si="54"/>
        <v>357317</v>
      </c>
      <c r="M139" s="18">
        <v>0</v>
      </c>
      <c r="N139" s="18">
        <f t="shared" si="73"/>
        <v>0</v>
      </c>
      <c r="O139" s="18">
        <f t="shared" si="74"/>
        <v>219472440</v>
      </c>
      <c r="P139" s="18">
        <f t="shared" si="69"/>
        <v>35547106</v>
      </c>
      <c r="Q139" s="18">
        <f t="shared" si="70"/>
        <v>17588416</v>
      </c>
      <c r="R139" s="235">
        <f t="shared" si="71"/>
        <v>272607962</v>
      </c>
      <c r="S139" s="18">
        <v>0</v>
      </c>
      <c r="T139" s="18">
        <v>0</v>
      </c>
      <c r="U139" s="18">
        <v>64658005</v>
      </c>
      <c r="V139" s="18">
        <f t="shared" si="61"/>
        <v>64658005</v>
      </c>
      <c r="W139" s="18">
        <v>0</v>
      </c>
      <c r="X139" s="18">
        <v>0</v>
      </c>
      <c r="Y139" s="18">
        <v>35547106</v>
      </c>
      <c r="Z139" s="18">
        <f t="shared" si="62"/>
        <v>35547106</v>
      </c>
      <c r="AA139" s="18">
        <v>0</v>
      </c>
      <c r="AB139" s="18">
        <v>0</v>
      </c>
      <c r="AC139" s="18">
        <v>0</v>
      </c>
      <c r="AD139" s="18">
        <f t="shared" si="60"/>
        <v>0</v>
      </c>
      <c r="AE139" s="18">
        <v>357317</v>
      </c>
      <c r="AF139" s="18">
        <v>0</v>
      </c>
      <c r="AG139" s="236">
        <f t="shared" si="72"/>
        <v>357317</v>
      </c>
      <c r="AH139" s="18">
        <f t="shared" si="77"/>
        <v>816876107</v>
      </c>
      <c r="AI139" s="18">
        <f t="shared" si="77"/>
        <v>0</v>
      </c>
      <c r="AJ139" s="18">
        <f t="shared" si="77"/>
        <v>79596286</v>
      </c>
      <c r="AK139" s="18">
        <f t="shared" si="77"/>
        <v>896472393</v>
      </c>
      <c r="AL139" s="18">
        <f t="shared" si="77"/>
        <v>313579819</v>
      </c>
      <c r="AM139" s="18">
        <f t="shared" si="77"/>
        <v>200849327</v>
      </c>
      <c r="AN139" s="18">
        <f t="shared" si="77"/>
        <v>2859906</v>
      </c>
      <c r="AO139" s="18">
        <f t="shared" si="77"/>
        <v>517289052</v>
      </c>
      <c r="AP139" s="18">
        <f t="shared" si="77"/>
        <v>1811558</v>
      </c>
      <c r="AQ139" s="18">
        <f t="shared" si="77"/>
        <v>0</v>
      </c>
      <c r="AR139" s="18">
        <f t="shared" si="77"/>
        <v>1811558</v>
      </c>
      <c r="AS139" s="18">
        <f t="shared" si="77"/>
        <v>0</v>
      </c>
      <c r="AT139" s="18">
        <f t="shared" si="77"/>
        <v>0</v>
      </c>
      <c r="AU139" s="18">
        <f t="shared" si="77"/>
        <v>1132267484</v>
      </c>
      <c r="AV139" s="18">
        <f t="shared" si="77"/>
        <v>200849327</v>
      </c>
      <c r="AW139" s="18">
        <f t="shared" si="77"/>
        <v>82456192</v>
      </c>
      <c r="AX139" s="18">
        <f t="shared" si="77"/>
        <v>1415573003</v>
      </c>
      <c r="AY139" s="26">
        <f t="shared" si="50"/>
        <v>4.8285873098361298E-2</v>
      </c>
      <c r="AZ139" s="14"/>
      <c r="BA139" s="14"/>
      <c r="BB139" s="14"/>
      <c r="BC139" s="14"/>
      <c r="BM139" s="18">
        <f>R139/30</f>
        <v>9086932.0666666664</v>
      </c>
    </row>
    <row r="140" spans="1:65" ht="13.5">
      <c r="A140" s="146">
        <v>44378</v>
      </c>
      <c r="B140" s="18">
        <v>146890338</v>
      </c>
      <c r="C140" s="18">
        <v>0</v>
      </c>
      <c r="D140" s="18">
        <v>15382342</v>
      </c>
      <c r="E140" s="18">
        <f t="shared" si="59"/>
        <v>162272680</v>
      </c>
      <c r="F140" s="18">
        <f t="shared" si="65"/>
        <v>64256004</v>
      </c>
      <c r="G140" s="18">
        <f t="shared" si="66"/>
        <v>2624839</v>
      </c>
      <c r="H140" s="18">
        <f t="shared" si="67"/>
        <v>0</v>
      </c>
      <c r="I140" s="18">
        <f t="shared" si="53"/>
        <v>66880843</v>
      </c>
      <c r="J140" s="18">
        <f t="shared" si="68"/>
        <v>1093159</v>
      </c>
      <c r="K140" s="18">
        <v>0</v>
      </c>
      <c r="L140" s="18">
        <f t="shared" si="54"/>
        <v>1093159</v>
      </c>
      <c r="M140" s="18">
        <v>0</v>
      </c>
      <c r="N140" s="18">
        <f t="shared" si="73"/>
        <v>0</v>
      </c>
      <c r="O140" s="18">
        <f t="shared" si="74"/>
        <v>212239501</v>
      </c>
      <c r="P140" s="18">
        <f t="shared" si="69"/>
        <v>2624839</v>
      </c>
      <c r="Q140" s="18">
        <f t="shared" si="70"/>
        <v>15382342</v>
      </c>
      <c r="R140" s="235">
        <f t="shared" si="71"/>
        <v>230246682</v>
      </c>
      <c r="S140" s="18">
        <v>0</v>
      </c>
      <c r="T140" s="18">
        <v>438506</v>
      </c>
      <c r="U140" s="18">
        <v>63817498</v>
      </c>
      <c r="V140" s="18">
        <f t="shared" si="61"/>
        <v>64256004</v>
      </c>
      <c r="W140" s="18">
        <v>0</v>
      </c>
      <c r="X140" s="18">
        <v>1113842</v>
      </c>
      <c r="Y140" s="18">
        <v>1510997</v>
      </c>
      <c r="Z140" s="18">
        <f t="shared" si="62"/>
        <v>2624839</v>
      </c>
      <c r="AA140" s="18">
        <v>0</v>
      </c>
      <c r="AB140" s="18">
        <v>0</v>
      </c>
      <c r="AC140" s="18">
        <v>0</v>
      </c>
      <c r="AD140" s="18">
        <f t="shared" si="60"/>
        <v>0</v>
      </c>
      <c r="AE140" s="18">
        <v>1093159</v>
      </c>
      <c r="AF140" s="18">
        <v>0</v>
      </c>
      <c r="AG140" s="236">
        <f t="shared" si="72"/>
        <v>1093159</v>
      </c>
      <c r="AH140" s="18">
        <f t="shared" si="77"/>
        <v>963766445</v>
      </c>
      <c r="AI140" s="18">
        <f t="shared" si="77"/>
        <v>0</v>
      </c>
      <c r="AJ140" s="18">
        <f t="shared" si="77"/>
        <v>94978628</v>
      </c>
      <c r="AK140" s="18">
        <f t="shared" si="77"/>
        <v>1058745073</v>
      </c>
      <c r="AL140" s="18">
        <f t="shared" si="77"/>
        <v>377835823</v>
      </c>
      <c r="AM140" s="18">
        <f t="shared" si="77"/>
        <v>203474166</v>
      </c>
      <c r="AN140" s="18">
        <f t="shared" si="77"/>
        <v>2859906</v>
      </c>
      <c r="AO140" s="18">
        <f t="shared" si="77"/>
        <v>584169895</v>
      </c>
      <c r="AP140" s="18">
        <f t="shared" si="77"/>
        <v>2904717</v>
      </c>
      <c r="AQ140" s="18">
        <f t="shared" si="77"/>
        <v>0</v>
      </c>
      <c r="AR140" s="18">
        <f t="shared" si="77"/>
        <v>2904717</v>
      </c>
      <c r="AS140" s="18">
        <f t="shared" si="77"/>
        <v>0</v>
      </c>
      <c r="AT140" s="18">
        <f t="shared" si="77"/>
        <v>0</v>
      </c>
      <c r="AU140" s="18">
        <f t="shared" si="77"/>
        <v>1344506985</v>
      </c>
      <c r="AV140" s="18">
        <f t="shared" si="77"/>
        <v>203474166</v>
      </c>
      <c r="AW140" s="18">
        <f t="shared" si="77"/>
        <v>97838534</v>
      </c>
      <c r="AX140" s="18">
        <f t="shared" si="77"/>
        <v>1645819685</v>
      </c>
      <c r="AY140" s="26">
        <f t="shared" si="50"/>
        <v>2.9193419426990941E-2</v>
      </c>
      <c r="AZ140" s="14"/>
      <c r="BA140" s="14"/>
      <c r="BB140" s="14"/>
      <c r="BC140" s="14"/>
      <c r="BM140" s="18">
        <f t="shared" si="76"/>
        <v>7427312.3225806449</v>
      </c>
    </row>
    <row r="141" spans="1:65" ht="13.5">
      <c r="A141" s="146">
        <v>44409</v>
      </c>
      <c r="B141" s="18">
        <v>154582245</v>
      </c>
      <c r="C141" s="18">
        <v>0</v>
      </c>
      <c r="D141" s="18">
        <v>11048139</v>
      </c>
      <c r="E141" s="18">
        <f t="shared" si="59"/>
        <v>165630384</v>
      </c>
      <c r="F141" s="18">
        <f t="shared" si="65"/>
        <v>74651823</v>
      </c>
      <c r="G141" s="18">
        <f t="shared" si="66"/>
        <v>26736891</v>
      </c>
      <c r="H141" s="18">
        <f t="shared" si="67"/>
        <v>0</v>
      </c>
      <c r="I141" s="18">
        <f t="shared" si="53"/>
        <v>101388714</v>
      </c>
      <c r="J141" s="18">
        <f t="shared" si="68"/>
        <v>722058</v>
      </c>
      <c r="K141" s="18">
        <v>0</v>
      </c>
      <c r="L141" s="18">
        <f t="shared" si="54"/>
        <v>722058</v>
      </c>
      <c r="M141" s="18">
        <v>0</v>
      </c>
      <c r="N141" s="18">
        <f t="shared" si="73"/>
        <v>0</v>
      </c>
      <c r="O141" s="18">
        <f t="shared" si="74"/>
        <v>229956126</v>
      </c>
      <c r="P141" s="18">
        <f t="shared" si="69"/>
        <v>26736891</v>
      </c>
      <c r="Q141" s="18">
        <f t="shared" si="70"/>
        <v>11048139</v>
      </c>
      <c r="R141" s="235">
        <f t="shared" si="71"/>
        <v>267741156</v>
      </c>
      <c r="S141" s="18">
        <v>0</v>
      </c>
      <c r="T141" s="18">
        <v>274606</v>
      </c>
      <c r="U141" s="18">
        <v>74377217</v>
      </c>
      <c r="V141" s="18">
        <f t="shared" si="61"/>
        <v>74651823</v>
      </c>
      <c r="W141" s="18">
        <v>0</v>
      </c>
      <c r="X141" s="18">
        <v>1504235</v>
      </c>
      <c r="Y141" s="18">
        <v>25232656</v>
      </c>
      <c r="Z141" s="18">
        <f t="shared" si="62"/>
        <v>26736891</v>
      </c>
      <c r="AA141" s="18">
        <v>0</v>
      </c>
      <c r="AB141" s="18">
        <v>0</v>
      </c>
      <c r="AC141" s="18">
        <v>0</v>
      </c>
      <c r="AD141" s="18">
        <f t="shared" si="60"/>
        <v>0</v>
      </c>
      <c r="AE141" s="18">
        <v>722058</v>
      </c>
      <c r="AF141" s="18">
        <v>0</v>
      </c>
      <c r="AG141" s="236">
        <f t="shared" si="72"/>
        <v>722058</v>
      </c>
      <c r="AH141" s="18">
        <f t="shared" si="77"/>
        <v>1118348690</v>
      </c>
      <c r="AI141" s="18">
        <f t="shared" si="77"/>
        <v>0</v>
      </c>
      <c r="AJ141" s="18">
        <f t="shared" si="77"/>
        <v>106026767</v>
      </c>
      <c r="AK141" s="18">
        <f t="shared" si="77"/>
        <v>1224375457</v>
      </c>
      <c r="AL141" s="18">
        <f t="shared" si="77"/>
        <v>452487646</v>
      </c>
      <c r="AM141" s="18">
        <f t="shared" si="77"/>
        <v>230211057</v>
      </c>
      <c r="AN141" s="18">
        <f t="shared" si="77"/>
        <v>2859906</v>
      </c>
      <c r="AO141" s="18">
        <f t="shared" si="77"/>
        <v>685558609</v>
      </c>
      <c r="AP141" s="18">
        <f t="shared" si="77"/>
        <v>3626775</v>
      </c>
      <c r="AQ141" s="18">
        <f t="shared" si="77"/>
        <v>0</v>
      </c>
      <c r="AR141" s="18">
        <f t="shared" si="77"/>
        <v>3626775</v>
      </c>
      <c r="AS141" s="18">
        <f t="shared" si="77"/>
        <v>0</v>
      </c>
      <c r="AT141" s="18">
        <f t="shared" si="77"/>
        <v>0</v>
      </c>
      <c r="AU141" s="18">
        <f t="shared" si="77"/>
        <v>1574463111</v>
      </c>
      <c r="AV141" s="18">
        <f t="shared" si="77"/>
        <v>230211057</v>
      </c>
      <c r="AW141" s="18">
        <f t="shared" si="77"/>
        <v>108886673</v>
      </c>
      <c r="AX141" s="18">
        <f t="shared" si="77"/>
        <v>1913560841</v>
      </c>
      <c r="AY141" s="26">
        <f t="shared" si="50"/>
        <v>3.38801622788516E-2</v>
      </c>
      <c r="AZ141" s="14"/>
      <c r="BA141" s="14"/>
      <c r="BB141" s="14"/>
      <c r="BC141" s="14"/>
      <c r="BM141" s="18">
        <f t="shared" si="76"/>
        <v>8636811.4838709682</v>
      </c>
    </row>
    <row r="142" spans="1:65" ht="13.5">
      <c r="A142" s="146">
        <v>44440</v>
      </c>
      <c r="B142" s="18">
        <v>139934774</v>
      </c>
      <c r="C142" s="18">
        <v>0</v>
      </c>
      <c r="D142" s="18">
        <v>11792295</v>
      </c>
      <c r="E142" s="18">
        <f t="shared" si="59"/>
        <v>151727069</v>
      </c>
      <c r="F142" s="18">
        <f t="shared" si="65"/>
        <v>49922849</v>
      </c>
      <c r="G142" s="18">
        <f t="shared" si="66"/>
        <v>42753850</v>
      </c>
      <c r="H142" s="18">
        <f t="shared" si="67"/>
        <v>0</v>
      </c>
      <c r="I142" s="18">
        <f t="shared" si="53"/>
        <v>92676699</v>
      </c>
      <c r="J142" s="18">
        <f t="shared" si="68"/>
        <v>300122</v>
      </c>
      <c r="K142" s="18">
        <v>0</v>
      </c>
      <c r="L142" s="18">
        <f t="shared" si="54"/>
        <v>300122</v>
      </c>
      <c r="M142" s="18">
        <v>0</v>
      </c>
      <c r="N142" s="18">
        <f t="shared" si="73"/>
        <v>0</v>
      </c>
      <c r="O142" s="18">
        <f t="shared" si="74"/>
        <v>190157745</v>
      </c>
      <c r="P142" s="18">
        <f t="shared" si="69"/>
        <v>42753850</v>
      </c>
      <c r="Q142" s="18">
        <f t="shared" si="70"/>
        <v>11792295</v>
      </c>
      <c r="R142" s="235">
        <f t="shared" si="71"/>
        <v>244703890</v>
      </c>
      <c r="S142" s="18">
        <v>0</v>
      </c>
      <c r="T142" s="18">
        <v>0</v>
      </c>
      <c r="U142" s="18">
        <v>49922849</v>
      </c>
      <c r="V142" s="18">
        <f t="shared" si="61"/>
        <v>49922849</v>
      </c>
      <c r="W142" s="18">
        <v>0</v>
      </c>
      <c r="X142" s="18">
        <v>2266248</v>
      </c>
      <c r="Y142" s="18">
        <v>40487602</v>
      </c>
      <c r="Z142" s="18">
        <f t="shared" si="62"/>
        <v>42753850</v>
      </c>
      <c r="AA142" s="18">
        <v>0</v>
      </c>
      <c r="AB142" s="18">
        <v>0</v>
      </c>
      <c r="AC142" s="18">
        <v>0</v>
      </c>
      <c r="AD142" s="18">
        <f t="shared" si="60"/>
        <v>0</v>
      </c>
      <c r="AE142" s="18">
        <v>300122</v>
      </c>
      <c r="AF142" s="18">
        <v>0</v>
      </c>
      <c r="AG142" s="236">
        <f t="shared" si="72"/>
        <v>300122</v>
      </c>
      <c r="AH142" s="18">
        <f t="shared" si="77"/>
        <v>1258283464</v>
      </c>
      <c r="AI142" s="18">
        <f t="shared" si="77"/>
        <v>0</v>
      </c>
      <c r="AJ142" s="18">
        <f t="shared" si="77"/>
        <v>117819062</v>
      </c>
      <c r="AK142" s="18">
        <f t="shared" si="77"/>
        <v>1376102526</v>
      </c>
      <c r="AL142" s="18">
        <f t="shared" si="77"/>
        <v>502410495</v>
      </c>
      <c r="AM142" s="18">
        <f t="shared" si="77"/>
        <v>272964907</v>
      </c>
      <c r="AN142" s="18">
        <f t="shared" si="77"/>
        <v>2859906</v>
      </c>
      <c r="AO142" s="18">
        <f t="shared" si="77"/>
        <v>778235308</v>
      </c>
      <c r="AP142" s="18">
        <f t="shared" si="77"/>
        <v>3926897</v>
      </c>
      <c r="AQ142" s="18">
        <f t="shared" si="77"/>
        <v>0</v>
      </c>
      <c r="AR142" s="18">
        <f t="shared" si="77"/>
        <v>3926897</v>
      </c>
      <c r="AS142" s="18">
        <f t="shared" si="77"/>
        <v>0</v>
      </c>
      <c r="AT142" s="18">
        <f t="shared" si="77"/>
        <v>0</v>
      </c>
      <c r="AU142" s="18">
        <f t="shared" si="77"/>
        <v>1764620856</v>
      </c>
      <c r="AV142" s="18">
        <f t="shared" si="77"/>
        <v>272964907</v>
      </c>
      <c r="AW142" s="18">
        <f t="shared" si="77"/>
        <v>120678968</v>
      </c>
      <c r="AX142" s="18">
        <f t="shared" si="77"/>
        <v>2158264731</v>
      </c>
      <c r="AY142" s="26">
        <f t="shared" si="50"/>
        <v>1.3057225049350585E-2</v>
      </c>
      <c r="AZ142" s="14"/>
      <c r="BA142" s="14"/>
      <c r="BB142" s="14"/>
      <c r="BC142" s="14"/>
      <c r="BM142" s="18">
        <f>R142/30</f>
        <v>8156796.333333333</v>
      </c>
    </row>
    <row r="143" spans="1:65" ht="13.5">
      <c r="A143" s="146">
        <v>44470</v>
      </c>
      <c r="B143" s="18">
        <v>139778878</v>
      </c>
      <c r="C143" s="18">
        <v>0</v>
      </c>
      <c r="D143" s="18">
        <v>17888148</v>
      </c>
      <c r="E143" s="18">
        <f t="shared" si="59"/>
        <v>157667026</v>
      </c>
      <c r="F143" s="18">
        <f t="shared" si="65"/>
        <v>72254487</v>
      </c>
      <c r="G143" s="18">
        <f t="shared" si="66"/>
        <v>42337170</v>
      </c>
      <c r="H143" s="18">
        <f t="shared" si="67"/>
        <v>0</v>
      </c>
      <c r="I143" s="18">
        <f t="shared" si="53"/>
        <v>114591657</v>
      </c>
      <c r="J143" s="18">
        <f t="shared" si="68"/>
        <v>437741</v>
      </c>
      <c r="K143" s="18">
        <v>0</v>
      </c>
      <c r="L143" s="18">
        <f t="shared" si="54"/>
        <v>437741</v>
      </c>
      <c r="M143" s="18">
        <v>0</v>
      </c>
      <c r="N143" s="18">
        <f t="shared" si="73"/>
        <v>0</v>
      </c>
      <c r="O143" s="18">
        <f t="shared" si="74"/>
        <v>212471106</v>
      </c>
      <c r="P143" s="18">
        <f t="shared" si="69"/>
        <v>42337170</v>
      </c>
      <c r="Q143" s="18">
        <f t="shared" si="70"/>
        <v>17888148</v>
      </c>
      <c r="R143" s="235">
        <f t="shared" si="71"/>
        <v>272696424</v>
      </c>
      <c r="S143" s="18">
        <v>0</v>
      </c>
      <c r="T143" s="18">
        <v>0</v>
      </c>
      <c r="U143" s="18">
        <v>72254487</v>
      </c>
      <c r="V143" s="18">
        <f t="shared" si="61"/>
        <v>72254487</v>
      </c>
      <c r="W143" s="18">
        <v>0</v>
      </c>
      <c r="X143" s="18">
        <v>5990105</v>
      </c>
      <c r="Y143" s="18">
        <v>36347065</v>
      </c>
      <c r="Z143" s="18">
        <f t="shared" si="62"/>
        <v>42337170</v>
      </c>
      <c r="AA143" s="18">
        <v>0</v>
      </c>
      <c r="AB143" s="18">
        <v>0</v>
      </c>
      <c r="AC143" s="18">
        <v>0</v>
      </c>
      <c r="AD143" s="18">
        <f t="shared" si="60"/>
        <v>0</v>
      </c>
      <c r="AE143" s="18">
        <v>437741</v>
      </c>
      <c r="AF143" s="18">
        <v>0</v>
      </c>
      <c r="AG143" s="236">
        <f t="shared" si="72"/>
        <v>437741</v>
      </c>
      <c r="AH143" s="18">
        <f t="shared" si="77"/>
        <v>1398062342</v>
      </c>
      <c r="AI143" s="18">
        <f t="shared" si="77"/>
        <v>0</v>
      </c>
      <c r="AJ143" s="18">
        <f t="shared" si="77"/>
        <v>135707210</v>
      </c>
      <c r="AK143" s="18">
        <f t="shared" si="77"/>
        <v>1533769552</v>
      </c>
      <c r="AL143" s="18">
        <f t="shared" si="77"/>
        <v>574664982</v>
      </c>
      <c r="AM143" s="18">
        <f t="shared" si="77"/>
        <v>315302077</v>
      </c>
      <c r="AN143" s="18">
        <f t="shared" si="77"/>
        <v>2859906</v>
      </c>
      <c r="AO143" s="18">
        <f t="shared" si="77"/>
        <v>892826965</v>
      </c>
      <c r="AP143" s="18">
        <f t="shared" si="77"/>
        <v>4364638</v>
      </c>
      <c r="AQ143" s="18">
        <f t="shared" si="77"/>
        <v>0</v>
      </c>
      <c r="AR143" s="18">
        <f t="shared" si="77"/>
        <v>4364638</v>
      </c>
      <c r="AS143" s="18">
        <f t="shared" si="77"/>
        <v>0</v>
      </c>
      <c r="AT143" s="18">
        <f t="shared" si="77"/>
        <v>0</v>
      </c>
      <c r="AU143" s="18">
        <f t="shared" si="77"/>
        <v>1977091962</v>
      </c>
      <c r="AV143" s="18">
        <f t="shared" si="77"/>
        <v>315302077</v>
      </c>
      <c r="AW143" s="18">
        <f t="shared" si="77"/>
        <v>138567116</v>
      </c>
      <c r="AX143" s="18">
        <f t="shared" si="77"/>
        <v>2430961155</v>
      </c>
      <c r="AY143" s="26">
        <f t="shared" si="50"/>
        <v>3.6410989525686777E-2</v>
      </c>
      <c r="AZ143" s="14"/>
      <c r="BA143" s="14"/>
      <c r="BB143" s="14"/>
      <c r="BC143" s="14"/>
      <c r="BM143" s="18">
        <f t="shared" si="76"/>
        <v>8796658.8387096766</v>
      </c>
    </row>
    <row r="144" spans="1:65" ht="13.5">
      <c r="A144" s="146">
        <v>44501</v>
      </c>
      <c r="B144" s="18">
        <v>140856752</v>
      </c>
      <c r="C144" s="18">
        <v>0</v>
      </c>
      <c r="D144" s="18">
        <v>21482583</v>
      </c>
      <c r="E144" s="18">
        <f t="shared" si="59"/>
        <v>162339335</v>
      </c>
      <c r="F144" s="18">
        <f t="shared" si="65"/>
        <v>101107386</v>
      </c>
      <c r="G144" s="18">
        <f t="shared" si="66"/>
        <v>28638303</v>
      </c>
      <c r="H144" s="18">
        <f t="shared" si="67"/>
        <v>0</v>
      </c>
      <c r="I144" s="18">
        <f t="shared" si="53"/>
        <v>129745689</v>
      </c>
      <c r="J144" s="18">
        <f t="shared" si="68"/>
        <v>403482</v>
      </c>
      <c r="K144" s="18">
        <v>0</v>
      </c>
      <c r="L144" s="18">
        <f t="shared" si="54"/>
        <v>403482</v>
      </c>
      <c r="M144" s="18">
        <v>0</v>
      </c>
      <c r="N144" s="18">
        <f t="shared" si="73"/>
        <v>0</v>
      </c>
      <c r="O144" s="18">
        <f t="shared" si="74"/>
        <v>242367620</v>
      </c>
      <c r="P144" s="18">
        <f t="shared" si="69"/>
        <v>28638303</v>
      </c>
      <c r="Q144" s="18">
        <f t="shared" si="70"/>
        <v>21482583</v>
      </c>
      <c r="R144" s="235">
        <f t="shared" si="71"/>
        <v>292488506</v>
      </c>
      <c r="S144" s="18">
        <v>0</v>
      </c>
      <c r="T144" s="18">
        <v>0</v>
      </c>
      <c r="U144" s="18">
        <v>101107386</v>
      </c>
      <c r="V144" s="18">
        <f t="shared" si="61"/>
        <v>101107386</v>
      </c>
      <c r="W144" s="18">
        <v>0</v>
      </c>
      <c r="X144" s="18">
        <v>0</v>
      </c>
      <c r="Y144" s="18">
        <v>28638303</v>
      </c>
      <c r="Z144" s="18">
        <f t="shared" si="62"/>
        <v>28638303</v>
      </c>
      <c r="AA144" s="18">
        <v>0</v>
      </c>
      <c r="AB144" s="18">
        <v>0</v>
      </c>
      <c r="AC144" s="18">
        <v>0</v>
      </c>
      <c r="AD144" s="18">
        <f t="shared" si="60"/>
        <v>0</v>
      </c>
      <c r="AE144" s="18">
        <v>403482</v>
      </c>
      <c r="AF144" s="18">
        <v>0</v>
      </c>
      <c r="AG144" s="236">
        <f t="shared" si="72"/>
        <v>403482</v>
      </c>
      <c r="AH144" s="18">
        <f t="shared" si="77"/>
        <v>1538919094</v>
      </c>
      <c r="AI144" s="18">
        <f t="shared" si="77"/>
        <v>0</v>
      </c>
      <c r="AJ144" s="18">
        <f t="shared" si="77"/>
        <v>157189793</v>
      </c>
      <c r="AK144" s="18">
        <f t="shared" si="77"/>
        <v>1696108887</v>
      </c>
      <c r="AL144" s="18">
        <f t="shared" si="77"/>
        <v>675772368</v>
      </c>
      <c r="AM144" s="18">
        <f t="shared" si="77"/>
        <v>343940380</v>
      </c>
      <c r="AN144" s="18">
        <f t="shared" si="77"/>
        <v>2859906</v>
      </c>
      <c r="AO144" s="18">
        <f t="shared" si="77"/>
        <v>1022572654</v>
      </c>
      <c r="AP144" s="18">
        <f t="shared" si="77"/>
        <v>4768120</v>
      </c>
      <c r="AQ144" s="18">
        <f t="shared" si="77"/>
        <v>0</v>
      </c>
      <c r="AR144" s="18">
        <f t="shared" si="77"/>
        <v>4768120</v>
      </c>
      <c r="AS144" s="18">
        <f t="shared" si="77"/>
        <v>0</v>
      </c>
      <c r="AT144" s="18">
        <f t="shared" si="77"/>
        <v>0</v>
      </c>
      <c r="AU144" s="18">
        <f t="shared" si="77"/>
        <v>2219459582</v>
      </c>
      <c r="AV144" s="18">
        <f t="shared" si="77"/>
        <v>343940380</v>
      </c>
      <c r="AW144" s="18">
        <f t="shared" si="77"/>
        <v>160049699</v>
      </c>
      <c r="AX144" s="18">
        <f t="shared" si="77"/>
        <v>2723449661</v>
      </c>
      <c r="AY144" s="26">
        <f t="shared" si="50"/>
        <v>4.975444775892246E-2</v>
      </c>
      <c r="AZ144" s="14"/>
      <c r="BA144" s="14"/>
      <c r="BB144" s="14"/>
      <c r="BC144" s="14"/>
      <c r="BM144" s="18">
        <f>R144/30</f>
        <v>9749616.8666666672</v>
      </c>
    </row>
    <row r="145" spans="1:74" ht="13.5" customHeight="1" thickBot="1">
      <c r="A145" s="138">
        <v>44531</v>
      </c>
      <c r="B145" s="18">
        <v>165708240</v>
      </c>
      <c r="C145" s="18">
        <v>0</v>
      </c>
      <c r="D145" s="18">
        <v>51260934</v>
      </c>
      <c r="E145" s="18">
        <f t="shared" si="59"/>
        <v>216969174</v>
      </c>
      <c r="F145" s="18">
        <f t="shared" si="65"/>
        <v>107217732</v>
      </c>
      <c r="G145" s="18">
        <f t="shared" si="66"/>
        <v>44988761</v>
      </c>
      <c r="H145" s="18">
        <f t="shared" si="67"/>
        <v>0</v>
      </c>
      <c r="I145" s="18">
        <f t="shared" si="53"/>
        <v>152206493</v>
      </c>
      <c r="J145" s="18">
        <f t="shared" si="68"/>
        <v>308503</v>
      </c>
      <c r="K145" s="18">
        <v>0</v>
      </c>
      <c r="L145" s="18">
        <f t="shared" si="54"/>
        <v>308503</v>
      </c>
      <c r="M145" s="18">
        <v>395432</v>
      </c>
      <c r="N145" s="18">
        <f t="shared" si="73"/>
        <v>395432</v>
      </c>
      <c r="O145" s="18">
        <f t="shared" si="74"/>
        <v>273629907</v>
      </c>
      <c r="P145" s="18">
        <f t="shared" si="69"/>
        <v>44988761</v>
      </c>
      <c r="Q145" s="18">
        <f t="shared" si="70"/>
        <v>51260934</v>
      </c>
      <c r="R145" s="235">
        <f t="shared" si="71"/>
        <v>369879602</v>
      </c>
      <c r="S145" s="18">
        <v>0</v>
      </c>
      <c r="T145" s="18">
        <v>0</v>
      </c>
      <c r="U145" s="18">
        <v>107217732</v>
      </c>
      <c r="V145" s="18">
        <f t="shared" si="61"/>
        <v>107217732</v>
      </c>
      <c r="W145" s="18">
        <v>0</v>
      </c>
      <c r="X145" s="18">
        <v>3111767</v>
      </c>
      <c r="Y145" s="18">
        <v>41876994</v>
      </c>
      <c r="Z145" s="18">
        <f t="shared" si="62"/>
        <v>44988761</v>
      </c>
      <c r="AA145" s="18">
        <v>0</v>
      </c>
      <c r="AB145" s="18">
        <v>0</v>
      </c>
      <c r="AC145" s="18">
        <v>0</v>
      </c>
      <c r="AD145" s="18">
        <f t="shared" si="60"/>
        <v>0</v>
      </c>
      <c r="AE145" s="18">
        <v>308503</v>
      </c>
      <c r="AF145" s="18">
        <v>0</v>
      </c>
      <c r="AG145" s="236">
        <f t="shared" si="72"/>
        <v>308503</v>
      </c>
      <c r="AH145" s="18">
        <f t="shared" si="77"/>
        <v>1704627334</v>
      </c>
      <c r="AI145" s="18">
        <f t="shared" si="77"/>
        <v>0</v>
      </c>
      <c r="AJ145" s="18">
        <f t="shared" si="77"/>
        <v>208450727</v>
      </c>
      <c r="AK145" s="18">
        <f t="shared" si="77"/>
        <v>1913078061</v>
      </c>
      <c r="AL145" s="18">
        <f t="shared" si="77"/>
        <v>782990100</v>
      </c>
      <c r="AM145" s="18">
        <f t="shared" si="77"/>
        <v>388929141</v>
      </c>
      <c r="AN145" s="18">
        <f t="shared" si="77"/>
        <v>2859906</v>
      </c>
      <c r="AO145" s="18">
        <f t="shared" si="77"/>
        <v>1174779147</v>
      </c>
      <c r="AP145" s="18">
        <f t="shared" si="77"/>
        <v>5076623</v>
      </c>
      <c r="AQ145" s="18">
        <f t="shared" si="77"/>
        <v>0</v>
      </c>
      <c r="AR145" s="18">
        <f t="shared" si="77"/>
        <v>5076623</v>
      </c>
      <c r="AS145" s="18">
        <f t="shared" si="77"/>
        <v>395432</v>
      </c>
      <c r="AT145" s="18">
        <f t="shared" si="77"/>
        <v>395432</v>
      </c>
      <c r="AU145" s="18">
        <f t="shared" si="77"/>
        <v>2493089489</v>
      </c>
      <c r="AV145" s="18">
        <f t="shared" si="77"/>
        <v>388929141</v>
      </c>
      <c r="AW145" s="18">
        <f t="shared" si="77"/>
        <v>211310633</v>
      </c>
      <c r="AX145" s="18">
        <f t="shared" si="77"/>
        <v>3093329263</v>
      </c>
      <c r="AY145" s="26">
        <f t="shared" si="50"/>
        <v>7.3661009067440553E-2</v>
      </c>
      <c r="AZ145" s="14"/>
      <c r="BA145" s="14"/>
      <c r="BB145" s="14"/>
      <c r="BC145" s="14"/>
      <c r="BM145" s="18">
        <f t="shared" si="76"/>
        <v>11931600.064516129</v>
      </c>
    </row>
    <row r="146" spans="1:74" ht="13.5">
      <c r="A146" s="145">
        <v>44562</v>
      </c>
      <c r="B146" s="143">
        <v>90715015</v>
      </c>
      <c r="C146" s="143">
        <v>0</v>
      </c>
      <c r="D146" s="143">
        <v>12701046</v>
      </c>
      <c r="E146" s="143">
        <f t="shared" si="59"/>
        <v>103416061</v>
      </c>
      <c r="F146" s="143">
        <f t="shared" si="65"/>
        <v>82989690</v>
      </c>
      <c r="G146" s="143">
        <f t="shared" si="66"/>
        <v>34682153</v>
      </c>
      <c r="H146" s="143">
        <f t="shared" si="67"/>
        <v>0</v>
      </c>
      <c r="I146" s="143">
        <f t="shared" si="53"/>
        <v>117671843</v>
      </c>
      <c r="J146" s="143">
        <f t="shared" si="68"/>
        <v>402120</v>
      </c>
      <c r="K146" s="143">
        <v>0</v>
      </c>
      <c r="L146" s="143">
        <f t="shared" si="54"/>
        <v>402120</v>
      </c>
      <c r="M146" s="143">
        <v>23712</v>
      </c>
      <c r="N146" s="143">
        <f t="shared" si="73"/>
        <v>23712</v>
      </c>
      <c r="O146" s="143">
        <f t="shared" si="74"/>
        <v>174130537</v>
      </c>
      <c r="P146" s="143">
        <f t="shared" si="69"/>
        <v>34682153</v>
      </c>
      <c r="Q146" s="143">
        <f t="shared" si="70"/>
        <v>12701046</v>
      </c>
      <c r="R146" s="237">
        <f t="shared" si="71"/>
        <v>221513736</v>
      </c>
      <c r="S146" s="143">
        <v>0</v>
      </c>
      <c r="T146" s="143">
        <v>0</v>
      </c>
      <c r="U146" s="143">
        <v>82989690</v>
      </c>
      <c r="V146" s="143">
        <f t="shared" si="61"/>
        <v>82989690</v>
      </c>
      <c r="W146" s="143">
        <v>0</v>
      </c>
      <c r="X146" s="143">
        <v>3412127</v>
      </c>
      <c r="Y146" s="143">
        <v>31270026</v>
      </c>
      <c r="Z146" s="143">
        <f t="shared" si="62"/>
        <v>34682153</v>
      </c>
      <c r="AA146" s="143">
        <v>0</v>
      </c>
      <c r="AB146" s="143">
        <v>0</v>
      </c>
      <c r="AC146" s="143">
        <v>0</v>
      </c>
      <c r="AD146" s="143">
        <f t="shared" si="60"/>
        <v>0</v>
      </c>
      <c r="AE146" s="143">
        <v>402120</v>
      </c>
      <c r="AF146" s="143">
        <v>0</v>
      </c>
      <c r="AG146" s="238">
        <f t="shared" si="72"/>
        <v>402120</v>
      </c>
      <c r="AH146" s="143">
        <f t="shared" ref="AH146:AX146" si="78">B146</f>
        <v>90715015</v>
      </c>
      <c r="AI146" s="143">
        <f t="shared" si="78"/>
        <v>0</v>
      </c>
      <c r="AJ146" s="143">
        <f t="shared" si="78"/>
        <v>12701046</v>
      </c>
      <c r="AK146" s="143">
        <f t="shared" si="78"/>
        <v>103416061</v>
      </c>
      <c r="AL146" s="143">
        <f t="shared" si="78"/>
        <v>82989690</v>
      </c>
      <c r="AM146" s="143">
        <f t="shared" si="78"/>
        <v>34682153</v>
      </c>
      <c r="AN146" s="143">
        <f t="shared" si="78"/>
        <v>0</v>
      </c>
      <c r="AO146" s="143">
        <f t="shared" si="78"/>
        <v>117671843</v>
      </c>
      <c r="AP146" s="143">
        <f t="shared" si="78"/>
        <v>402120</v>
      </c>
      <c r="AQ146" s="143">
        <f t="shared" si="78"/>
        <v>0</v>
      </c>
      <c r="AR146" s="143">
        <f t="shared" si="78"/>
        <v>402120</v>
      </c>
      <c r="AS146" s="143">
        <f t="shared" si="78"/>
        <v>23712</v>
      </c>
      <c r="AT146" s="143">
        <f t="shared" si="78"/>
        <v>23712</v>
      </c>
      <c r="AU146" s="143">
        <f t="shared" si="78"/>
        <v>174130537</v>
      </c>
      <c r="AV146" s="143">
        <f t="shared" si="78"/>
        <v>34682153</v>
      </c>
      <c r="AW146" s="143">
        <f t="shared" si="78"/>
        <v>12701046</v>
      </c>
      <c r="AX146" s="143">
        <f t="shared" si="78"/>
        <v>221513736</v>
      </c>
      <c r="AY146" s="26">
        <f t="shared" si="50"/>
        <v>0.16325122451250107</v>
      </c>
      <c r="AZ146" s="14"/>
      <c r="BA146" s="14"/>
      <c r="BB146" s="14"/>
      <c r="BC146" s="14"/>
      <c r="BM146" s="18">
        <f t="shared" si="76"/>
        <v>7145604.3870967738</v>
      </c>
    </row>
    <row r="147" spans="1:74" ht="13.5">
      <c r="A147" s="146">
        <v>44593</v>
      </c>
      <c r="B147" s="18">
        <v>110442650</v>
      </c>
      <c r="C147" s="18">
        <v>0</v>
      </c>
      <c r="D147" s="18">
        <v>6743825</v>
      </c>
      <c r="E147" s="18">
        <f t="shared" si="59"/>
        <v>117186475</v>
      </c>
      <c r="F147" s="18">
        <f t="shared" si="65"/>
        <v>96681669</v>
      </c>
      <c r="G147" s="18">
        <f t="shared" si="66"/>
        <v>30274954</v>
      </c>
      <c r="H147" s="18">
        <f t="shared" si="67"/>
        <v>0</v>
      </c>
      <c r="I147" s="18">
        <f t="shared" si="53"/>
        <v>126956623</v>
      </c>
      <c r="J147" s="18">
        <f t="shared" si="68"/>
        <v>1108870</v>
      </c>
      <c r="K147" s="18">
        <v>1410999</v>
      </c>
      <c r="L147" s="18">
        <f t="shared" si="54"/>
        <v>2519869</v>
      </c>
      <c r="M147" s="18">
        <v>0</v>
      </c>
      <c r="N147" s="18">
        <f t="shared" si="73"/>
        <v>0</v>
      </c>
      <c r="O147" s="18">
        <f t="shared" si="74"/>
        <v>208233189</v>
      </c>
      <c r="P147" s="18">
        <f t="shared" si="69"/>
        <v>30274954</v>
      </c>
      <c r="Q147" s="18">
        <f t="shared" si="70"/>
        <v>8154824</v>
      </c>
      <c r="R147" s="235">
        <f t="shared" si="71"/>
        <v>246662967</v>
      </c>
      <c r="S147" s="18">
        <v>0</v>
      </c>
      <c r="T147" s="18">
        <v>369069</v>
      </c>
      <c r="U147" s="18">
        <v>96312600</v>
      </c>
      <c r="V147" s="18">
        <f t="shared" si="61"/>
        <v>96681669</v>
      </c>
      <c r="W147" s="18">
        <v>0</v>
      </c>
      <c r="X147" s="18">
        <v>618655</v>
      </c>
      <c r="Y147" s="18">
        <v>29656299</v>
      </c>
      <c r="Z147" s="18">
        <f t="shared" si="62"/>
        <v>30274954</v>
      </c>
      <c r="AA147" s="18">
        <v>0</v>
      </c>
      <c r="AB147" s="18">
        <v>0</v>
      </c>
      <c r="AC147" s="18">
        <v>0</v>
      </c>
      <c r="AD147" s="18">
        <f t="shared" si="60"/>
        <v>0</v>
      </c>
      <c r="AE147" s="18">
        <v>1108870</v>
      </c>
      <c r="AF147" s="18">
        <v>0</v>
      </c>
      <c r="AG147" s="236">
        <f t="shared" si="72"/>
        <v>1108870</v>
      </c>
      <c r="AH147" s="18">
        <f t="shared" ref="AH147:AX157" si="79">AH146+B147</f>
        <v>201157665</v>
      </c>
      <c r="AI147" s="18">
        <f t="shared" si="79"/>
        <v>0</v>
      </c>
      <c r="AJ147" s="18">
        <f t="shared" si="79"/>
        <v>19444871</v>
      </c>
      <c r="AK147" s="18">
        <f t="shared" si="79"/>
        <v>220602536</v>
      </c>
      <c r="AL147" s="18">
        <f t="shared" si="79"/>
        <v>179671359</v>
      </c>
      <c r="AM147" s="18">
        <f t="shared" si="79"/>
        <v>64957107</v>
      </c>
      <c r="AN147" s="18">
        <f t="shared" si="79"/>
        <v>0</v>
      </c>
      <c r="AO147" s="18">
        <f t="shared" si="79"/>
        <v>244628466</v>
      </c>
      <c r="AP147" s="18">
        <f t="shared" si="79"/>
        <v>1510990</v>
      </c>
      <c r="AQ147" s="18">
        <f t="shared" si="79"/>
        <v>1410999</v>
      </c>
      <c r="AR147" s="18">
        <f t="shared" si="79"/>
        <v>2921989</v>
      </c>
      <c r="AS147" s="18">
        <f t="shared" si="79"/>
        <v>23712</v>
      </c>
      <c r="AT147" s="18">
        <f t="shared" si="79"/>
        <v>23712</v>
      </c>
      <c r="AU147" s="18">
        <f t="shared" si="79"/>
        <v>382363726</v>
      </c>
      <c r="AV147" s="18">
        <f t="shared" si="79"/>
        <v>64957107</v>
      </c>
      <c r="AW147" s="18">
        <f t="shared" si="79"/>
        <v>20855870</v>
      </c>
      <c r="AX147" s="18">
        <f t="shared" si="79"/>
        <v>468176703</v>
      </c>
      <c r="AY147" s="26">
        <f t="shared" si="50"/>
        <v>0.21719028433214627</v>
      </c>
      <c r="AZ147" s="14"/>
      <c r="BA147" s="14"/>
      <c r="BB147" s="14"/>
      <c r="BC147" s="14"/>
      <c r="BM147" s="18">
        <f>R147/28</f>
        <v>8809391.6785714291</v>
      </c>
    </row>
    <row r="148" spans="1:74" ht="13.5">
      <c r="A148" s="146">
        <v>44621</v>
      </c>
      <c r="B148" s="18">
        <v>135867416</v>
      </c>
      <c r="C148" s="18">
        <v>0</v>
      </c>
      <c r="D148" s="18">
        <v>22680677</v>
      </c>
      <c r="E148" s="18">
        <f t="shared" si="59"/>
        <v>158548093</v>
      </c>
      <c r="F148" s="18">
        <f t="shared" si="65"/>
        <v>105277299</v>
      </c>
      <c r="G148" s="18">
        <f t="shared" si="66"/>
        <v>40479902</v>
      </c>
      <c r="H148" s="18">
        <f t="shared" si="67"/>
        <v>0</v>
      </c>
      <c r="I148" s="18">
        <f t="shared" si="53"/>
        <v>145757201</v>
      </c>
      <c r="J148" s="18">
        <f t="shared" si="68"/>
        <v>1026537</v>
      </c>
      <c r="K148" s="18">
        <v>1895971</v>
      </c>
      <c r="L148" s="18">
        <f t="shared" si="54"/>
        <v>2922508</v>
      </c>
      <c r="M148" s="18">
        <v>0</v>
      </c>
      <c r="N148" s="18">
        <f t="shared" si="73"/>
        <v>0</v>
      </c>
      <c r="O148" s="18">
        <f t="shared" si="74"/>
        <v>242171252</v>
      </c>
      <c r="P148" s="18">
        <f t="shared" si="69"/>
        <v>40479902</v>
      </c>
      <c r="Q148" s="18">
        <f t="shared" si="70"/>
        <v>24576648</v>
      </c>
      <c r="R148" s="235">
        <f t="shared" si="71"/>
        <v>307227802</v>
      </c>
      <c r="S148" s="18">
        <v>0</v>
      </c>
      <c r="T148" s="18">
        <v>247044</v>
      </c>
      <c r="U148" s="18">
        <v>105030255</v>
      </c>
      <c r="V148" s="18">
        <f t="shared" si="61"/>
        <v>105277299</v>
      </c>
      <c r="W148" s="18">
        <v>0</v>
      </c>
      <c r="X148" s="18">
        <v>3223714</v>
      </c>
      <c r="Y148" s="18">
        <v>37256188</v>
      </c>
      <c r="Z148" s="18">
        <f t="shared" si="62"/>
        <v>40479902</v>
      </c>
      <c r="AA148" s="18">
        <v>0</v>
      </c>
      <c r="AB148" s="18">
        <v>0</v>
      </c>
      <c r="AC148" s="18">
        <v>0</v>
      </c>
      <c r="AD148" s="18">
        <f t="shared" si="60"/>
        <v>0</v>
      </c>
      <c r="AE148" s="18">
        <v>1026537</v>
      </c>
      <c r="AF148" s="18">
        <v>0</v>
      </c>
      <c r="AG148" s="236">
        <f t="shared" si="72"/>
        <v>1026537</v>
      </c>
      <c r="AH148" s="18">
        <f t="shared" si="79"/>
        <v>337025081</v>
      </c>
      <c r="AI148" s="18">
        <f t="shared" si="79"/>
        <v>0</v>
      </c>
      <c r="AJ148" s="18">
        <f t="shared" si="79"/>
        <v>42125548</v>
      </c>
      <c r="AK148" s="18">
        <f t="shared" si="79"/>
        <v>379150629</v>
      </c>
      <c r="AL148" s="18">
        <f t="shared" si="79"/>
        <v>284948658</v>
      </c>
      <c r="AM148" s="18">
        <f t="shared" si="79"/>
        <v>105437009</v>
      </c>
      <c r="AN148" s="18">
        <f t="shared" si="79"/>
        <v>0</v>
      </c>
      <c r="AO148" s="18">
        <f t="shared" si="79"/>
        <v>390385667</v>
      </c>
      <c r="AP148" s="18">
        <f t="shared" si="79"/>
        <v>2537527</v>
      </c>
      <c r="AQ148" s="18">
        <f t="shared" si="79"/>
        <v>3306970</v>
      </c>
      <c r="AR148" s="18">
        <f t="shared" si="79"/>
        <v>5844497</v>
      </c>
      <c r="AS148" s="18">
        <f t="shared" si="79"/>
        <v>23712</v>
      </c>
      <c r="AT148" s="18">
        <f t="shared" si="79"/>
        <v>23712</v>
      </c>
      <c r="AU148" s="18">
        <f t="shared" si="79"/>
        <v>624534978</v>
      </c>
      <c r="AV148" s="18">
        <f t="shared" si="79"/>
        <v>105437009</v>
      </c>
      <c r="AW148" s="18">
        <f t="shared" si="79"/>
        <v>45432518</v>
      </c>
      <c r="AX148" s="18">
        <f t="shared" si="79"/>
        <v>775404505</v>
      </c>
      <c r="AY148" s="26">
        <f t="shared" si="50"/>
        <v>0.20425196035634907</v>
      </c>
      <c r="AZ148" s="14"/>
      <c r="BA148" s="14"/>
      <c r="BB148" s="14"/>
      <c r="BC148" s="14"/>
      <c r="BM148" s="18">
        <f t="shared" si="76"/>
        <v>9910574.2580645159</v>
      </c>
    </row>
    <row r="149" spans="1:74" ht="13.5">
      <c r="A149" s="146">
        <v>44652</v>
      </c>
      <c r="B149" s="18">
        <v>144286382</v>
      </c>
      <c r="C149" s="18">
        <v>0</v>
      </c>
      <c r="D149" s="18">
        <v>29873220</v>
      </c>
      <c r="E149" s="18">
        <f t="shared" si="59"/>
        <v>174159602</v>
      </c>
      <c r="F149" s="18">
        <f t="shared" si="65"/>
        <v>101188242</v>
      </c>
      <c r="G149" s="18">
        <f t="shared" si="66"/>
        <v>38095913</v>
      </c>
      <c r="H149" s="18">
        <f t="shared" si="67"/>
        <v>0</v>
      </c>
      <c r="I149" s="18">
        <f t="shared" si="53"/>
        <v>139284155</v>
      </c>
      <c r="J149" s="18">
        <f t="shared" si="68"/>
        <v>408991</v>
      </c>
      <c r="K149" s="18">
        <v>0</v>
      </c>
      <c r="L149" s="18">
        <f t="shared" si="54"/>
        <v>408991</v>
      </c>
      <c r="M149" s="18">
        <v>0</v>
      </c>
      <c r="N149" s="18">
        <f t="shared" si="73"/>
        <v>0</v>
      </c>
      <c r="O149" s="18">
        <f t="shared" si="74"/>
        <v>245883615</v>
      </c>
      <c r="P149" s="18">
        <f t="shared" si="69"/>
        <v>38095913</v>
      </c>
      <c r="Q149" s="18">
        <f t="shared" si="70"/>
        <v>29873220</v>
      </c>
      <c r="R149" s="235">
        <f t="shared" si="71"/>
        <v>313852748</v>
      </c>
      <c r="S149" s="18">
        <v>0</v>
      </c>
      <c r="T149" s="18">
        <v>0</v>
      </c>
      <c r="U149" s="18">
        <v>101188242</v>
      </c>
      <c r="V149" s="18">
        <f t="shared" si="61"/>
        <v>101188242</v>
      </c>
      <c r="W149" s="18">
        <v>0</v>
      </c>
      <c r="X149" s="18">
        <v>0</v>
      </c>
      <c r="Y149" s="18">
        <v>38095913</v>
      </c>
      <c r="Z149" s="18">
        <f t="shared" si="62"/>
        <v>38095913</v>
      </c>
      <c r="AA149" s="18">
        <v>0</v>
      </c>
      <c r="AB149" s="18">
        <v>0</v>
      </c>
      <c r="AC149" s="18">
        <v>0</v>
      </c>
      <c r="AD149" s="18">
        <f t="shared" si="60"/>
        <v>0</v>
      </c>
      <c r="AE149" s="18">
        <v>408991</v>
      </c>
      <c r="AF149" s="18">
        <v>0</v>
      </c>
      <c r="AG149" s="236">
        <f t="shared" si="72"/>
        <v>408991</v>
      </c>
      <c r="AH149" s="18">
        <f t="shared" si="79"/>
        <v>481311463</v>
      </c>
      <c r="AI149" s="18">
        <f t="shared" si="79"/>
        <v>0</v>
      </c>
      <c r="AJ149" s="18">
        <f t="shared" si="79"/>
        <v>71998768</v>
      </c>
      <c r="AK149" s="18">
        <f t="shared" si="79"/>
        <v>553310231</v>
      </c>
      <c r="AL149" s="18">
        <f t="shared" si="79"/>
        <v>386136900</v>
      </c>
      <c r="AM149" s="18">
        <f t="shared" si="79"/>
        <v>143532922</v>
      </c>
      <c r="AN149" s="18">
        <f t="shared" si="79"/>
        <v>0</v>
      </c>
      <c r="AO149" s="18">
        <f t="shared" si="79"/>
        <v>529669822</v>
      </c>
      <c r="AP149" s="18">
        <f t="shared" si="79"/>
        <v>2946518</v>
      </c>
      <c r="AQ149" s="18">
        <f t="shared" si="79"/>
        <v>3306970</v>
      </c>
      <c r="AR149" s="18">
        <f t="shared" si="79"/>
        <v>6253488</v>
      </c>
      <c r="AS149" s="18">
        <f t="shared" si="79"/>
        <v>23712</v>
      </c>
      <c r="AT149" s="18">
        <f t="shared" si="79"/>
        <v>23712</v>
      </c>
      <c r="AU149" s="18">
        <f t="shared" si="79"/>
        <v>870418593</v>
      </c>
      <c r="AV149" s="18">
        <f t="shared" si="79"/>
        <v>143532922</v>
      </c>
      <c r="AW149" s="18">
        <f t="shared" si="79"/>
        <v>75305738</v>
      </c>
      <c r="AX149" s="18">
        <f t="shared" si="79"/>
        <v>1089257253</v>
      </c>
      <c r="AY149" s="26">
        <f t="shared" si="50"/>
        <v>0.22336988359712784</v>
      </c>
      <c r="AZ149" s="14"/>
      <c r="BA149" s="14"/>
      <c r="BB149" s="14"/>
      <c r="BC149" s="14"/>
      <c r="BM149" s="18">
        <f>R149/30</f>
        <v>10461758.266666668</v>
      </c>
    </row>
    <row r="150" spans="1:74" ht="13.5">
      <c r="A150" s="146">
        <v>44682</v>
      </c>
      <c r="B150" s="18">
        <v>139875243</v>
      </c>
      <c r="C150" s="18">
        <v>0</v>
      </c>
      <c r="D150" s="18">
        <v>11776660</v>
      </c>
      <c r="E150" s="18">
        <f t="shared" si="59"/>
        <v>151651903</v>
      </c>
      <c r="F150" s="18">
        <f t="shared" si="65"/>
        <v>127392352</v>
      </c>
      <c r="G150" s="18">
        <f t="shared" si="66"/>
        <v>40896458</v>
      </c>
      <c r="H150" s="18">
        <f t="shared" si="67"/>
        <v>0</v>
      </c>
      <c r="I150" s="18">
        <f t="shared" si="53"/>
        <v>168288810</v>
      </c>
      <c r="J150" s="18">
        <f t="shared" si="68"/>
        <v>202831</v>
      </c>
      <c r="K150" s="18">
        <v>0</v>
      </c>
      <c r="L150" s="18">
        <f t="shared" si="54"/>
        <v>202831</v>
      </c>
      <c r="M150" s="18">
        <v>0</v>
      </c>
      <c r="N150" s="18">
        <f t="shared" si="73"/>
        <v>0</v>
      </c>
      <c r="O150" s="18">
        <f t="shared" si="74"/>
        <v>267470426</v>
      </c>
      <c r="P150" s="18">
        <f t="shared" si="69"/>
        <v>40896458</v>
      </c>
      <c r="Q150" s="18">
        <f t="shared" si="70"/>
        <v>11776660</v>
      </c>
      <c r="R150" s="235">
        <f t="shared" si="71"/>
        <v>320143544</v>
      </c>
      <c r="S150" s="18">
        <v>0</v>
      </c>
      <c r="T150" s="18">
        <v>0</v>
      </c>
      <c r="U150" s="18">
        <v>127392352</v>
      </c>
      <c r="V150" s="18">
        <f t="shared" si="61"/>
        <v>127392352</v>
      </c>
      <c r="W150" s="18">
        <v>0</v>
      </c>
      <c r="X150" s="18">
        <v>2267902</v>
      </c>
      <c r="Y150" s="18">
        <v>38628556</v>
      </c>
      <c r="Z150" s="18">
        <f t="shared" si="62"/>
        <v>40896458</v>
      </c>
      <c r="AA150" s="18">
        <v>0</v>
      </c>
      <c r="AB150" s="18">
        <v>0</v>
      </c>
      <c r="AC150" s="18">
        <v>0</v>
      </c>
      <c r="AD150" s="18">
        <f t="shared" si="60"/>
        <v>0</v>
      </c>
      <c r="AE150" s="18">
        <v>202831</v>
      </c>
      <c r="AF150" s="18">
        <v>0</v>
      </c>
      <c r="AG150" s="236">
        <f t="shared" si="72"/>
        <v>202831</v>
      </c>
      <c r="AH150" s="18">
        <f t="shared" si="79"/>
        <v>621186706</v>
      </c>
      <c r="AI150" s="18">
        <f t="shared" si="79"/>
        <v>0</v>
      </c>
      <c r="AJ150" s="18">
        <f t="shared" si="79"/>
        <v>83775428</v>
      </c>
      <c r="AK150" s="18">
        <f t="shared" si="79"/>
        <v>704962134</v>
      </c>
      <c r="AL150" s="18">
        <f t="shared" si="79"/>
        <v>513529252</v>
      </c>
      <c r="AM150" s="18">
        <f t="shared" si="79"/>
        <v>184429380</v>
      </c>
      <c r="AN150" s="18">
        <f t="shared" si="79"/>
        <v>0</v>
      </c>
      <c r="AO150" s="18">
        <f t="shared" si="79"/>
        <v>697958632</v>
      </c>
      <c r="AP150" s="18">
        <f t="shared" si="79"/>
        <v>3149349</v>
      </c>
      <c r="AQ150" s="18">
        <f t="shared" si="79"/>
        <v>3306970</v>
      </c>
      <c r="AR150" s="18">
        <f t="shared" si="79"/>
        <v>6456319</v>
      </c>
      <c r="AS150" s="18">
        <f t="shared" si="79"/>
        <v>23712</v>
      </c>
      <c r="AT150" s="18">
        <f t="shared" si="79"/>
        <v>23712</v>
      </c>
      <c r="AU150" s="18">
        <f t="shared" si="79"/>
        <v>1137889019</v>
      </c>
      <c r="AV150" s="18">
        <f t="shared" si="79"/>
        <v>184429380</v>
      </c>
      <c r="AW150" s="18">
        <f t="shared" si="79"/>
        <v>87082398</v>
      </c>
      <c r="AX150" s="18">
        <f t="shared" si="79"/>
        <v>1409400797</v>
      </c>
      <c r="AY150" s="26">
        <f t="shared" ref="AY150:AY176" si="80">AX150/AX138-1</f>
        <v>0.23310927844905094</v>
      </c>
      <c r="AZ150" s="14"/>
      <c r="BA150" s="14"/>
      <c r="BB150" s="14"/>
      <c r="BC150" s="14"/>
      <c r="BM150" s="18">
        <f t="shared" si="76"/>
        <v>10327211.096774194</v>
      </c>
    </row>
    <row r="151" spans="1:74" ht="13.5">
      <c r="A151" s="146">
        <v>44713</v>
      </c>
      <c r="B151" s="18">
        <v>142855221</v>
      </c>
      <c r="C151" s="18">
        <v>0</v>
      </c>
      <c r="D151" s="18">
        <v>19314836</v>
      </c>
      <c r="E151" s="18">
        <f t="shared" si="59"/>
        <v>162170057</v>
      </c>
      <c r="F151" s="18">
        <f t="shared" si="65"/>
        <v>111675640</v>
      </c>
      <c r="G151" s="18">
        <f t="shared" si="66"/>
        <v>32117632</v>
      </c>
      <c r="H151" s="18">
        <f t="shared" si="67"/>
        <v>0</v>
      </c>
      <c r="I151" s="18">
        <f t="shared" si="53"/>
        <v>143793272</v>
      </c>
      <c r="J151" s="18">
        <f t="shared" si="68"/>
        <v>802264</v>
      </c>
      <c r="K151" s="18">
        <v>1529485</v>
      </c>
      <c r="L151" s="18">
        <f t="shared" si="54"/>
        <v>2331749</v>
      </c>
      <c r="M151" s="18">
        <v>0</v>
      </c>
      <c r="N151" s="18">
        <f t="shared" si="73"/>
        <v>0</v>
      </c>
      <c r="O151" s="18">
        <f t="shared" si="74"/>
        <v>255333125</v>
      </c>
      <c r="P151" s="18">
        <f t="shared" si="69"/>
        <v>32117632</v>
      </c>
      <c r="Q151" s="18">
        <f t="shared" si="70"/>
        <v>20844321</v>
      </c>
      <c r="R151" s="235">
        <f t="shared" si="71"/>
        <v>308295078</v>
      </c>
      <c r="S151" s="18">
        <v>0</v>
      </c>
      <c r="T151" s="18">
        <v>432306</v>
      </c>
      <c r="U151" s="18">
        <v>111243334</v>
      </c>
      <c r="V151" s="18">
        <f t="shared" si="61"/>
        <v>111675640</v>
      </c>
      <c r="W151" s="18">
        <v>0</v>
      </c>
      <c r="X151" s="18">
        <v>679555</v>
      </c>
      <c r="Y151" s="18">
        <v>31438077</v>
      </c>
      <c r="Z151" s="18">
        <f t="shared" si="62"/>
        <v>32117632</v>
      </c>
      <c r="AA151" s="18">
        <v>0</v>
      </c>
      <c r="AB151" s="18">
        <v>0</v>
      </c>
      <c r="AC151" s="18">
        <v>0</v>
      </c>
      <c r="AD151" s="18">
        <f t="shared" si="60"/>
        <v>0</v>
      </c>
      <c r="AE151" s="18">
        <v>802264</v>
      </c>
      <c r="AF151" s="18">
        <v>0</v>
      </c>
      <c r="AG151" s="236">
        <f t="shared" si="72"/>
        <v>802264</v>
      </c>
      <c r="AH151" s="18">
        <f t="shared" si="79"/>
        <v>764041927</v>
      </c>
      <c r="AI151" s="18">
        <f t="shared" si="79"/>
        <v>0</v>
      </c>
      <c r="AJ151" s="18">
        <f t="shared" si="79"/>
        <v>103090264</v>
      </c>
      <c r="AK151" s="18">
        <f t="shared" si="79"/>
        <v>867132191</v>
      </c>
      <c r="AL151" s="18">
        <f t="shared" si="79"/>
        <v>625204892</v>
      </c>
      <c r="AM151" s="18">
        <f t="shared" si="79"/>
        <v>216547012</v>
      </c>
      <c r="AN151" s="18">
        <f t="shared" si="79"/>
        <v>0</v>
      </c>
      <c r="AO151" s="18">
        <f t="shared" si="79"/>
        <v>841751904</v>
      </c>
      <c r="AP151" s="18">
        <f t="shared" si="79"/>
        <v>3951613</v>
      </c>
      <c r="AQ151" s="18">
        <f t="shared" si="79"/>
        <v>4836455</v>
      </c>
      <c r="AR151" s="18">
        <f t="shared" si="79"/>
        <v>8788068</v>
      </c>
      <c r="AS151" s="18">
        <f t="shared" si="79"/>
        <v>23712</v>
      </c>
      <c r="AT151" s="18">
        <f t="shared" si="79"/>
        <v>23712</v>
      </c>
      <c r="AU151" s="18">
        <f t="shared" si="79"/>
        <v>1393222144</v>
      </c>
      <c r="AV151" s="18">
        <f t="shared" si="79"/>
        <v>216547012</v>
      </c>
      <c r="AW151" s="18">
        <f t="shared" si="79"/>
        <v>107926719</v>
      </c>
      <c r="AX151" s="18">
        <f t="shared" si="79"/>
        <v>1717695875</v>
      </c>
      <c r="AY151" s="26">
        <f t="shared" si="80"/>
        <v>0.21342796970535338</v>
      </c>
      <c r="AZ151" s="14"/>
      <c r="BA151" s="14"/>
      <c r="BB151" s="14"/>
      <c r="BC151" s="14"/>
      <c r="BM151" s="18">
        <f>R151/30</f>
        <v>10276502.6</v>
      </c>
    </row>
    <row r="152" spans="1:74" ht="13.5">
      <c r="A152" s="146">
        <v>44743</v>
      </c>
      <c r="B152" s="18">
        <v>137545866</v>
      </c>
      <c r="C152" s="18">
        <v>0</v>
      </c>
      <c r="D152" s="18">
        <v>8715707</v>
      </c>
      <c r="E152" s="18">
        <f t="shared" si="59"/>
        <v>146261573</v>
      </c>
      <c r="F152" s="18">
        <f t="shared" si="65"/>
        <v>104188807</v>
      </c>
      <c r="G152" s="18">
        <f t="shared" si="66"/>
        <v>13887702</v>
      </c>
      <c r="H152" s="18">
        <f t="shared" si="67"/>
        <v>0</v>
      </c>
      <c r="I152" s="18">
        <f t="shared" si="53"/>
        <v>118076509</v>
      </c>
      <c r="J152" s="18">
        <f t="shared" si="68"/>
        <v>1137973</v>
      </c>
      <c r="K152" s="18">
        <v>0</v>
      </c>
      <c r="L152" s="18">
        <f t="shared" si="54"/>
        <v>1137973</v>
      </c>
      <c r="M152" s="18">
        <v>0</v>
      </c>
      <c r="N152" s="18">
        <f t="shared" si="73"/>
        <v>0</v>
      </c>
      <c r="O152" s="18">
        <f t="shared" si="74"/>
        <v>242872646</v>
      </c>
      <c r="P152" s="18">
        <f t="shared" si="69"/>
        <v>13887702</v>
      </c>
      <c r="Q152" s="18">
        <f t="shared" si="70"/>
        <v>8715707</v>
      </c>
      <c r="R152" s="235">
        <f t="shared" si="71"/>
        <v>265476055</v>
      </c>
      <c r="S152" s="18">
        <v>0</v>
      </c>
      <c r="T152" s="18">
        <v>366519</v>
      </c>
      <c r="U152" s="18">
        <v>103822288</v>
      </c>
      <c r="V152" s="18">
        <f t="shared" si="61"/>
        <v>104188807</v>
      </c>
      <c r="W152" s="18">
        <v>0</v>
      </c>
      <c r="X152" s="18">
        <v>2310609</v>
      </c>
      <c r="Y152" s="18">
        <v>11577093</v>
      </c>
      <c r="Z152" s="18">
        <f t="shared" si="62"/>
        <v>13887702</v>
      </c>
      <c r="AA152" s="18">
        <v>0</v>
      </c>
      <c r="AB152" s="18">
        <v>0</v>
      </c>
      <c r="AC152" s="18">
        <v>0</v>
      </c>
      <c r="AD152" s="18">
        <f t="shared" si="60"/>
        <v>0</v>
      </c>
      <c r="AE152" s="18">
        <v>1137973</v>
      </c>
      <c r="AF152" s="18">
        <v>0</v>
      </c>
      <c r="AG152" s="236">
        <f t="shared" si="72"/>
        <v>1137973</v>
      </c>
      <c r="AH152" s="18">
        <f t="shared" si="79"/>
        <v>901587793</v>
      </c>
      <c r="AI152" s="18">
        <f t="shared" si="79"/>
        <v>0</v>
      </c>
      <c r="AJ152" s="18">
        <f t="shared" si="79"/>
        <v>111805971</v>
      </c>
      <c r="AK152" s="18">
        <f t="shared" si="79"/>
        <v>1013393764</v>
      </c>
      <c r="AL152" s="18">
        <f t="shared" si="79"/>
        <v>729393699</v>
      </c>
      <c r="AM152" s="18">
        <f t="shared" si="79"/>
        <v>230434714</v>
      </c>
      <c r="AN152" s="18">
        <f t="shared" si="79"/>
        <v>0</v>
      </c>
      <c r="AO152" s="18">
        <f t="shared" si="79"/>
        <v>959828413</v>
      </c>
      <c r="AP152" s="18">
        <f t="shared" si="79"/>
        <v>5089586</v>
      </c>
      <c r="AQ152" s="18">
        <f t="shared" si="79"/>
        <v>4836455</v>
      </c>
      <c r="AR152" s="18">
        <f t="shared" si="79"/>
        <v>9926041</v>
      </c>
      <c r="AS152" s="18">
        <f t="shared" si="79"/>
        <v>23712</v>
      </c>
      <c r="AT152" s="18">
        <f t="shared" si="79"/>
        <v>23712</v>
      </c>
      <c r="AU152" s="18">
        <f t="shared" si="79"/>
        <v>1636094790</v>
      </c>
      <c r="AV152" s="18">
        <f t="shared" si="79"/>
        <v>230434714</v>
      </c>
      <c r="AW152" s="18">
        <f t="shared" si="79"/>
        <v>116642426</v>
      </c>
      <c r="AX152" s="18">
        <f t="shared" si="79"/>
        <v>1983171930</v>
      </c>
      <c r="AY152" s="26">
        <f t="shared" si="80"/>
        <v>0.20497521573877631</v>
      </c>
      <c r="AZ152" s="14"/>
      <c r="BA152" s="14"/>
      <c r="BB152" s="14"/>
      <c r="BC152" s="14"/>
      <c r="BM152" s="18">
        <f t="shared" si="76"/>
        <v>8563743.7096774187</v>
      </c>
    </row>
    <row r="153" spans="1:74" ht="13.5">
      <c r="A153" s="146">
        <v>44774</v>
      </c>
      <c r="B153" s="18">
        <v>151833118</v>
      </c>
      <c r="C153" s="18">
        <v>0</v>
      </c>
      <c r="D153" s="18">
        <v>15269993</v>
      </c>
      <c r="E153" s="18">
        <f t="shared" si="59"/>
        <v>167103111</v>
      </c>
      <c r="F153" s="18">
        <f t="shared" si="65"/>
        <v>114997212</v>
      </c>
      <c r="G153" s="18">
        <f t="shared" si="66"/>
        <v>14784167</v>
      </c>
      <c r="H153" s="18">
        <f t="shared" si="67"/>
        <v>0</v>
      </c>
      <c r="I153" s="18">
        <f t="shared" si="53"/>
        <v>129781379</v>
      </c>
      <c r="J153" s="18">
        <f t="shared" si="68"/>
        <v>392568</v>
      </c>
      <c r="K153" s="18">
        <v>1646994</v>
      </c>
      <c r="L153" s="18">
        <f t="shared" si="54"/>
        <v>2039562</v>
      </c>
      <c r="M153" s="18">
        <v>0</v>
      </c>
      <c r="N153" s="18">
        <f t="shared" si="73"/>
        <v>0</v>
      </c>
      <c r="O153" s="18">
        <f t="shared" si="74"/>
        <v>267222898</v>
      </c>
      <c r="P153" s="18">
        <f t="shared" si="69"/>
        <v>14784167</v>
      </c>
      <c r="Q153" s="18">
        <f t="shared" si="70"/>
        <v>16916987</v>
      </c>
      <c r="R153" s="235">
        <f t="shared" si="71"/>
        <v>298924052</v>
      </c>
      <c r="S153" s="18">
        <v>0</v>
      </c>
      <c r="T153" s="18">
        <v>0</v>
      </c>
      <c r="U153" s="18">
        <v>114997212</v>
      </c>
      <c r="V153" s="18">
        <f t="shared" si="61"/>
        <v>114997212</v>
      </c>
      <c r="W153" s="18">
        <v>0</v>
      </c>
      <c r="X153" s="18">
        <v>3347708</v>
      </c>
      <c r="Y153" s="18">
        <v>11436459</v>
      </c>
      <c r="Z153" s="18">
        <f t="shared" si="62"/>
        <v>14784167</v>
      </c>
      <c r="AA153" s="18">
        <v>0</v>
      </c>
      <c r="AB153" s="18">
        <v>0</v>
      </c>
      <c r="AC153" s="18">
        <v>0</v>
      </c>
      <c r="AD153" s="18">
        <f t="shared" si="60"/>
        <v>0</v>
      </c>
      <c r="AE153" s="18">
        <v>392568</v>
      </c>
      <c r="AF153" s="18">
        <v>0</v>
      </c>
      <c r="AG153" s="236">
        <f t="shared" si="72"/>
        <v>392568</v>
      </c>
      <c r="AH153" s="18">
        <f t="shared" si="79"/>
        <v>1053420911</v>
      </c>
      <c r="AI153" s="18">
        <f t="shared" si="79"/>
        <v>0</v>
      </c>
      <c r="AJ153" s="18">
        <f t="shared" si="79"/>
        <v>127075964</v>
      </c>
      <c r="AK153" s="18">
        <f t="shared" si="79"/>
        <v>1180496875</v>
      </c>
      <c r="AL153" s="18">
        <f t="shared" si="79"/>
        <v>844390911</v>
      </c>
      <c r="AM153" s="18">
        <f t="shared" si="79"/>
        <v>245218881</v>
      </c>
      <c r="AN153" s="18">
        <f t="shared" si="79"/>
        <v>0</v>
      </c>
      <c r="AO153" s="18">
        <f t="shared" si="79"/>
        <v>1089609792</v>
      </c>
      <c r="AP153" s="18">
        <f t="shared" si="79"/>
        <v>5482154</v>
      </c>
      <c r="AQ153" s="18">
        <f t="shared" si="79"/>
        <v>6483449</v>
      </c>
      <c r="AR153" s="18">
        <f t="shared" si="79"/>
        <v>11965603</v>
      </c>
      <c r="AS153" s="18">
        <f t="shared" si="79"/>
        <v>23712</v>
      </c>
      <c r="AT153" s="18">
        <f t="shared" si="79"/>
        <v>23712</v>
      </c>
      <c r="AU153" s="18">
        <f t="shared" si="79"/>
        <v>1903317688</v>
      </c>
      <c r="AV153" s="18">
        <f t="shared" si="79"/>
        <v>245218881</v>
      </c>
      <c r="AW153" s="18">
        <f t="shared" si="79"/>
        <v>133559413</v>
      </c>
      <c r="AX153" s="18">
        <f t="shared" si="79"/>
        <v>2282095982</v>
      </c>
      <c r="AY153" s="26">
        <f t="shared" si="80"/>
        <v>0.19259128484642729</v>
      </c>
      <c r="AZ153" s="14"/>
      <c r="BA153" s="14"/>
      <c r="BB153" s="14"/>
      <c r="BC153" s="14"/>
      <c r="BM153" s="18">
        <f t="shared" si="76"/>
        <v>9642711.3548387103</v>
      </c>
    </row>
    <row r="154" spans="1:74" ht="13.5">
      <c r="A154" s="146">
        <v>44805</v>
      </c>
      <c r="B154" s="18">
        <v>141860945</v>
      </c>
      <c r="C154" s="18">
        <v>0</v>
      </c>
      <c r="D154" s="18">
        <v>19091391</v>
      </c>
      <c r="E154" s="18">
        <f t="shared" si="59"/>
        <v>160952336</v>
      </c>
      <c r="F154" s="18">
        <f t="shared" si="65"/>
        <v>118717748</v>
      </c>
      <c r="G154" s="18">
        <f t="shared" si="66"/>
        <v>34372983</v>
      </c>
      <c r="H154" s="18">
        <f t="shared" si="67"/>
        <v>0</v>
      </c>
      <c r="I154" s="18">
        <f t="shared" si="53"/>
        <v>153090731</v>
      </c>
      <c r="J154" s="18">
        <f t="shared" si="68"/>
        <v>393571</v>
      </c>
      <c r="K154" s="18">
        <v>0</v>
      </c>
      <c r="L154" s="18">
        <f t="shared" si="54"/>
        <v>393571</v>
      </c>
      <c r="M154" s="18">
        <v>0</v>
      </c>
      <c r="N154" s="18">
        <f t="shared" si="73"/>
        <v>0</v>
      </c>
      <c r="O154" s="18">
        <f t="shared" si="74"/>
        <v>260972264</v>
      </c>
      <c r="P154" s="18">
        <f t="shared" si="69"/>
        <v>34372983</v>
      </c>
      <c r="Q154" s="18">
        <f t="shared" si="70"/>
        <v>19091391</v>
      </c>
      <c r="R154" s="235">
        <f t="shared" si="71"/>
        <v>314436638</v>
      </c>
      <c r="S154" s="18">
        <v>0</v>
      </c>
      <c r="T154" s="18">
        <v>0</v>
      </c>
      <c r="U154" s="18">
        <v>118717748</v>
      </c>
      <c r="V154" s="18">
        <f t="shared" si="61"/>
        <v>118717748</v>
      </c>
      <c r="W154" s="18">
        <v>0</v>
      </c>
      <c r="X154" s="18">
        <v>0</v>
      </c>
      <c r="Y154" s="18">
        <v>34372983</v>
      </c>
      <c r="Z154" s="18">
        <f t="shared" si="62"/>
        <v>34372983</v>
      </c>
      <c r="AA154" s="18">
        <v>0</v>
      </c>
      <c r="AB154" s="18">
        <v>0</v>
      </c>
      <c r="AC154" s="18">
        <v>0</v>
      </c>
      <c r="AD154" s="18">
        <f t="shared" si="60"/>
        <v>0</v>
      </c>
      <c r="AE154" s="18">
        <v>393571</v>
      </c>
      <c r="AF154" s="18">
        <v>0</v>
      </c>
      <c r="AG154" s="236">
        <f t="shared" si="72"/>
        <v>393571</v>
      </c>
      <c r="AH154" s="18">
        <f t="shared" si="79"/>
        <v>1195281856</v>
      </c>
      <c r="AI154" s="18">
        <f t="shared" si="79"/>
        <v>0</v>
      </c>
      <c r="AJ154" s="18">
        <f t="shared" si="79"/>
        <v>146167355</v>
      </c>
      <c r="AK154" s="18">
        <f t="shared" si="79"/>
        <v>1341449211</v>
      </c>
      <c r="AL154" s="18">
        <f t="shared" si="79"/>
        <v>963108659</v>
      </c>
      <c r="AM154" s="18">
        <f t="shared" si="79"/>
        <v>279591864</v>
      </c>
      <c r="AN154" s="18">
        <f t="shared" si="79"/>
        <v>0</v>
      </c>
      <c r="AO154" s="18">
        <f t="shared" si="79"/>
        <v>1242700523</v>
      </c>
      <c r="AP154" s="18">
        <f t="shared" si="79"/>
        <v>5875725</v>
      </c>
      <c r="AQ154" s="18">
        <f t="shared" si="79"/>
        <v>6483449</v>
      </c>
      <c r="AR154" s="18">
        <f t="shared" si="79"/>
        <v>12359174</v>
      </c>
      <c r="AS154" s="18">
        <f t="shared" si="79"/>
        <v>23712</v>
      </c>
      <c r="AT154" s="18">
        <f t="shared" si="79"/>
        <v>23712</v>
      </c>
      <c r="AU154" s="18">
        <f t="shared" si="79"/>
        <v>2164289952</v>
      </c>
      <c r="AV154" s="18">
        <f t="shared" si="79"/>
        <v>279591864</v>
      </c>
      <c r="AW154" s="18">
        <f t="shared" si="79"/>
        <v>152650804</v>
      </c>
      <c r="AX154" s="18">
        <f t="shared" si="79"/>
        <v>2596532620</v>
      </c>
      <c r="AY154" s="26">
        <f t="shared" si="80"/>
        <v>0.20306493578150397</v>
      </c>
      <c r="AZ154" s="14"/>
      <c r="BA154" s="14"/>
      <c r="BB154" s="14"/>
      <c r="BC154" s="14"/>
      <c r="BM154" s="18">
        <f>R154/30</f>
        <v>10481221.266666668</v>
      </c>
    </row>
    <row r="155" spans="1:74" ht="13.5">
      <c r="A155" s="146">
        <v>44835</v>
      </c>
      <c r="B155" s="18">
        <v>138040230</v>
      </c>
      <c r="C155" s="18">
        <v>0</v>
      </c>
      <c r="D155" s="18">
        <v>17330959</v>
      </c>
      <c r="E155" s="18">
        <f t="shared" si="59"/>
        <v>155371189</v>
      </c>
      <c r="F155" s="18">
        <f t="shared" si="65"/>
        <v>107988833</v>
      </c>
      <c r="G155" s="18">
        <f t="shared" si="66"/>
        <v>34150366</v>
      </c>
      <c r="H155" s="18">
        <f t="shared" si="67"/>
        <v>0</v>
      </c>
      <c r="I155" s="18">
        <f t="shared" si="53"/>
        <v>142139199</v>
      </c>
      <c r="J155" s="18">
        <f t="shared" si="68"/>
        <v>1764631</v>
      </c>
      <c r="K155" s="18">
        <v>0</v>
      </c>
      <c r="L155" s="18">
        <f t="shared" si="54"/>
        <v>1764631</v>
      </c>
      <c r="M155" s="18">
        <v>0</v>
      </c>
      <c r="N155" s="18">
        <f t="shared" si="73"/>
        <v>0</v>
      </c>
      <c r="O155" s="18">
        <f t="shared" si="74"/>
        <v>247793694</v>
      </c>
      <c r="P155" s="18">
        <f t="shared" si="69"/>
        <v>34150366</v>
      </c>
      <c r="Q155" s="18">
        <f t="shared" si="70"/>
        <v>17330959</v>
      </c>
      <c r="R155" s="235">
        <f t="shared" si="71"/>
        <v>299275019</v>
      </c>
      <c r="S155" s="18">
        <v>0</v>
      </c>
      <c r="T155" s="18">
        <v>669177</v>
      </c>
      <c r="U155" s="18">
        <v>107319656</v>
      </c>
      <c r="V155" s="18">
        <f t="shared" si="61"/>
        <v>107988833</v>
      </c>
      <c r="W155" s="18">
        <v>0</v>
      </c>
      <c r="X155" s="18">
        <v>2217285</v>
      </c>
      <c r="Y155" s="18">
        <v>31933081</v>
      </c>
      <c r="Z155" s="18">
        <f t="shared" si="62"/>
        <v>34150366</v>
      </c>
      <c r="AA155" s="18">
        <v>0</v>
      </c>
      <c r="AB155" s="18">
        <v>0</v>
      </c>
      <c r="AC155" s="18">
        <v>0</v>
      </c>
      <c r="AD155" s="18">
        <f t="shared" si="60"/>
        <v>0</v>
      </c>
      <c r="AE155" s="18">
        <v>1764631</v>
      </c>
      <c r="AF155" s="18">
        <v>0</v>
      </c>
      <c r="AG155" s="236">
        <f t="shared" si="72"/>
        <v>1764631</v>
      </c>
      <c r="AH155" s="18">
        <f t="shared" si="79"/>
        <v>1333322086</v>
      </c>
      <c r="AI155" s="18">
        <f t="shared" si="79"/>
        <v>0</v>
      </c>
      <c r="AJ155" s="18">
        <f t="shared" si="79"/>
        <v>163498314</v>
      </c>
      <c r="AK155" s="18">
        <f t="shared" si="79"/>
        <v>1496820400</v>
      </c>
      <c r="AL155" s="18">
        <f t="shared" si="79"/>
        <v>1071097492</v>
      </c>
      <c r="AM155" s="18">
        <f t="shared" si="79"/>
        <v>313742230</v>
      </c>
      <c r="AN155" s="18">
        <f t="shared" si="79"/>
        <v>0</v>
      </c>
      <c r="AO155" s="18">
        <f t="shared" si="79"/>
        <v>1384839722</v>
      </c>
      <c r="AP155" s="18">
        <f t="shared" si="79"/>
        <v>7640356</v>
      </c>
      <c r="AQ155" s="18">
        <f t="shared" si="79"/>
        <v>6483449</v>
      </c>
      <c r="AR155" s="18">
        <f t="shared" si="79"/>
        <v>14123805</v>
      </c>
      <c r="AS155" s="18">
        <f t="shared" si="79"/>
        <v>23712</v>
      </c>
      <c r="AT155" s="18">
        <f t="shared" si="79"/>
        <v>23712</v>
      </c>
      <c r="AU155" s="18">
        <f t="shared" si="79"/>
        <v>2412083646</v>
      </c>
      <c r="AV155" s="18">
        <f t="shared" si="79"/>
        <v>313742230</v>
      </c>
      <c r="AW155" s="18">
        <f t="shared" si="79"/>
        <v>169981763</v>
      </c>
      <c r="AX155" s="18">
        <f t="shared" si="79"/>
        <v>2895807639</v>
      </c>
      <c r="AY155" s="26">
        <f t="shared" si="80"/>
        <v>0.19121921510095041</v>
      </c>
      <c r="AZ155" s="14"/>
      <c r="BA155" s="14"/>
      <c r="BB155" s="14"/>
      <c r="BC155" s="14"/>
      <c r="BM155" s="18">
        <f t="shared" si="76"/>
        <v>9654032.8709677421</v>
      </c>
    </row>
    <row r="156" spans="1:74" ht="13.5">
      <c r="A156" s="146">
        <v>44866</v>
      </c>
      <c r="B156" s="18">
        <v>141295576</v>
      </c>
      <c r="C156" s="18">
        <v>0</v>
      </c>
      <c r="D156" s="18">
        <v>33817396</v>
      </c>
      <c r="E156" s="18">
        <f t="shared" si="59"/>
        <v>175112972</v>
      </c>
      <c r="F156" s="18">
        <f t="shared" si="65"/>
        <v>163685380</v>
      </c>
      <c r="G156" s="18">
        <f t="shared" si="66"/>
        <v>25048257</v>
      </c>
      <c r="H156" s="18">
        <f t="shared" si="67"/>
        <v>0</v>
      </c>
      <c r="I156" s="18">
        <f t="shared" si="53"/>
        <v>188733637</v>
      </c>
      <c r="J156" s="18">
        <f t="shared" si="68"/>
        <v>152226</v>
      </c>
      <c r="K156" s="18">
        <v>0</v>
      </c>
      <c r="L156" s="18">
        <f t="shared" si="54"/>
        <v>152226</v>
      </c>
      <c r="M156" s="18">
        <v>25874</v>
      </c>
      <c r="N156" s="18">
        <f t="shared" si="73"/>
        <v>25874</v>
      </c>
      <c r="O156" s="18">
        <f t="shared" si="74"/>
        <v>305159056</v>
      </c>
      <c r="P156" s="18">
        <f t="shared" si="69"/>
        <v>25048257</v>
      </c>
      <c r="Q156" s="18">
        <f t="shared" si="70"/>
        <v>33817396</v>
      </c>
      <c r="R156" s="235">
        <f t="shared" si="71"/>
        <v>364024709</v>
      </c>
      <c r="S156" s="18">
        <v>0</v>
      </c>
      <c r="T156" s="18">
        <v>14109311</v>
      </c>
      <c r="U156" s="18">
        <v>149576069</v>
      </c>
      <c r="V156" s="18">
        <f t="shared" si="61"/>
        <v>163685380</v>
      </c>
      <c r="W156" s="18">
        <v>0</v>
      </c>
      <c r="X156" s="18">
        <v>2015520</v>
      </c>
      <c r="Y156" s="18">
        <v>23032737</v>
      </c>
      <c r="Z156" s="18">
        <f t="shared" si="62"/>
        <v>25048257</v>
      </c>
      <c r="AA156" s="18">
        <v>0</v>
      </c>
      <c r="AB156" s="18">
        <v>0</v>
      </c>
      <c r="AC156" s="18">
        <v>0</v>
      </c>
      <c r="AD156" s="18">
        <f t="shared" si="60"/>
        <v>0</v>
      </c>
      <c r="AE156" s="18">
        <v>152226</v>
      </c>
      <c r="AF156" s="18">
        <v>0</v>
      </c>
      <c r="AG156" s="236">
        <f t="shared" si="72"/>
        <v>152226</v>
      </c>
      <c r="AH156" s="18">
        <f t="shared" si="79"/>
        <v>1474617662</v>
      </c>
      <c r="AI156" s="18">
        <f t="shared" si="79"/>
        <v>0</v>
      </c>
      <c r="AJ156" s="18">
        <f t="shared" si="79"/>
        <v>197315710</v>
      </c>
      <c r="AK156" s="18">
        <f t="shared" si="79"/>
        <v>1671933372</v>
      </c>
      <c r="AL156" s="18">
        <f t="shared" si="79"/>
        <v>1234782872</v>
      </c>
      <c r="AM156" s="18">
        <f t="shared" si="79"/>
        <v>338790487</v>
      </c>
      <c r="AN156" s="18">
        <f t="shared" si="79"/>
        <v>0</v>
      </c>
      <c r="AO156" s="18">
        <f t="shared" si="79"/>
        <v>1573573359</v>
      </c>
      <c r="AP156" s="18">
        <f t="shared" si="79"/>
        <v>7792582</v>
      </c>
      <c r="AQ156" s="18">
        <f t="shared" si="79"/>
        <v>6483449</v>
      </c>
      <c r="AR156" s="18">
        <f t="shared" si="79"/>
        <v>14276031</v>
      </c>
      <c r="AS156" s="18">
        <f t="shared" si="79"/>
        <v>49586</v>
      </c>
      <c r="AT156" s="18">
        <f t="shared" si="79"/>
        <v>49586</v>
      </c>
      <c r="AU156" s="18">
        <f t="shared" si="79"/>
        <v>2717242702</v>
      </c>
      <c r="AV156" s="18">
        <f t="shared" si="79"/>
        <v>338790487</v>
      </c>
      <c r="AW156" s="18">
        <f t="shared" si="79"/>
        <v>203799159</v>
      </c>
      <c r="AX156" s="18">
        <f t="shared" si="79"/>
        <v>3259832348</v>
      </c>
      <c r="AY156" s="26">
        <f t="shared" si="80"/>
        <v>0.19694973425837081</v>
      </c>
      <c r="AZ156" s="14"/>
      <c r="BA156" s="14"/>
      <c r="BB156" s="14"/>
      <c r="BC156" s="14"/>
      <c r="BE156" s="2" t="s">
        <v>364</v>
      </c>
      <c r="BM156" s="18">
        <f>R156/30</f>
        <v>12134156.966666667</v>
      </c>
      <c r="BO156" s="2" t="s">
        <v>365</v>
      </c>
    </row>
    <row r="157" spans="1:74" ht="14.25" thickBot="1">
      <c r="A157" s="146">
        <v>44896</v>
      </c>
      <c r="B157" s="18">
        <v>145591401</v>
      </c>
      <c r="C157" s="18">
        <v>0</v>
      </c>
      <c r="D157" s="18">
        <v>43008881</v>
      </c>
      <c r="E157" s="18">
        <f t="shared" si="59"/>
        <v>188600282</v>
      </c>
      <c r="F157" s="18">
        <f t="shared" si="65"/>
        <v>144586770</v>
      </c>
      <c r="G157" s="18">
        <f t="shared" si="66"/>
        <v>32669596</v>
      </c>
      <c r="H157" s="18">
        <f t="shared" si="67"/>
        <v>0</v>
      </c>
      <c r="I157" s="18">
        <f t="shared" si="53"/>
        <v>177256366</v>
      </c>
      <c r="J157" s="18">
        <f t="shared" si="68"/>
        <v>100555</v>
      </c>
      <c r="K157" s="18">
        <v>1443291</v>
      </c>
      <c r="L157" s="18">
        <f t="shared" si="54"/>
        <v>1543846</v>
      </c>
      <c r="M157" s="18">
        <v>294289</v>
      </c>
      <c r="N157" s="18">
        <f t="shared" si="73"/>
        <v>294289</v>
      </c>
      <c r="O157" s="18">
        <f t="shared" si="74"/>
        <v>290573015</v>
      </c>
      <c r="P157" s="18">
        <f t="shared" si="69"/>
        <v>32669596</v>
      </c>
      <c r="Q157" s="18">
        <f t="shared" si="70"/>
        <v>44452172</v>
      </c>
      <c r="R157" s="235">
        <f t="shared" si="71"/>
        <v>367694783</v>
      </c>
      <c r="S157" s="18">
        <v>0</v>
      </c>
      <c r="T157" s="18">
        <v>22953301</v>
      </c>
      <c r="U157" s="18">
        <v>121633469</v>
      </c>
      <c r="V157" s="18">
        <f t="shared" si="61"/>
        <v>144586770</v>
      </c>
      <c r="W157" s="18">
        <v>0</v>
      </c>
      <c r="X157" s="18">
        <v>548520</v>
      </c>
      <c r="Y157" s="18">
        <v>32121076</v>
      </c>
      <c r="Z157" s="18">
        <f t="shared" si="62"/>
        <v>32669596</v>
      </c>
      <c r="AA157" s="18">
        <v>0</v>
      </c>
      <c r="AB157" s="18">
        <v>0</v>
      </c>
      <c r="AC157" s="18">
        <v>0</v>
      </c>
      <c r="AD157" s="18">
        <f t="shared" si="60"/>
        <v>0</v>
      </c>
      <c r="AE157" s="18">
        <v>100555</v>
      </c>
      <c r="AF157" s="18">
        <v>0</v>
      </c>
      <c r="AG157" s="236">
        <f t="shared" si="72"/>
        <v>100555</v>
      </c>
      <c r="AH157" s="18">
        <f t="shared" si="79"/>
        <v>1620209063</v>
      </c>
      <c r="AI157" s="18">
        <f t="shared" si="79"/>
        <v>0</v>
      </c>
      <c r="AJ157" s="18">
        <f t="shared" si="79"/>
        <v>240324591</v>
      </c>
      <c r="AK157" s="18">
        <f t="shared" si="79"/>
        <v>1860533654</v>
      </c>
      <c r="AL157" s="18">
        <f t="shared" si="79"/>
        <v>1379369642</v>
      </c>
      <c r="AM157" s="18">
        <f t="shared" si="79"/>
        <v>371460083</v>
      </c>
      <c r="AN157" s="18">
        <f t="shared" si="79"/>
        <v>0</v>
      </c>
      <c r="AO157" s="18">
        <f t="shared" si="79"/>
        <v>1750829725</v>
      </c>
      <c r="AP157" s="18">
        <f t="shared" si="79"/>
        <v>7893137</v>
      </c>
      <c r="AQ157" s="18">
        <f t="shared" si="79"/>
        <v>7926740</v>
      </c>
      <c r="AR157" s="18">
        <f t="shared" si="79"/>
        <v>15819877</v>
      </c>
      <c r="AS157" s="18">
        <f t="shared" si="79"/>
        <v>343875</v>
      </c>
      <c r="AT157" s="18">
        <f t="shared" si="79"/>
        <v>343875</v>
      </c>
      <c r="AU157" s="18">
        <f t="shared" si="79"/>
        <v>3007815717</v>
      </c>
      <c r="AV157" s="18">
        <f t="shared" si="79"/>
        <v>371460083</v>
      </c>
      <c r="AW157" s="18">
        <f t="shared" si="79"/>
        <v>248251331</v>
      </c>
      <c r="AX157" s="18">
        <f t="shared" si="79"/>
        <v>3627527131</v>
      </c>
      <c r="AY157" s="26">
        <f t="shared" si="80"/>
        <v>0.1726935035302124</v>
      </c>
      <c r="AZ157" s="14"/>
      <c r="BA157" s="476" t="s">
        <v>366</v>
      </c>
      <c r="BB157" s="476"/>
      <c r="BC157" s="476"/>
      <c r="BE157" s="239" t="str">
        <f>BO157</f>
        <v>D3</v>
      </c>
      <c r="BF157" s="239" t="str">
        <f>BP157</f>
        <v>D4</v>
      </c>
      <c r="BG157" s="239" t="str">
        <f>BQ157</f>
        <v>D5</v>
      </c>
      <c r="BH157" s="239" t="str">
        <f>BR157</f>
        <v>D6</v>
      </c>
      <c r="BI157" s="239" t="str">
        <f>BS157</f>
        <v>D7</v>
      </c>
      <c r="BJ157" s="239" t="s">
        <v>367</v>
      </c>
      <c r="BK157" s="239" t="s">
        <v>368</v>
      </c>
      <c r="BM157" s="18">
        <f t="shared" si="76"/>
        <v>11861122.032258065</v>
      </c>
      <c r="BO157" s="239" t="s">
        <v>2</v>
      </c>
      <c r="BP157" s="239" t="s">
        <v>5</v>
      </c>
      <c r="BQ157" s="239" t="s">
        <v>23</v>
      </c>
      <c r="BR157" s="239" t="s">
        <v>24</v>
      </c>
      <c r="BS157" s="239" t="s">
        <v>25</v>
      </c>
      <c r="BT157" s="239" t="s">
        <v>369</v>
      </c>
      <c r="BU157" s="239" t="s">
        <v>370</v>
      </c>
    </row>
    <row r="158" spans="1:74" ht="13.5">
      <c r="A158" s="240">
        <v>44927</v>
      </c>
      <c r="B158" s="241">
        <v>119548309</v>
      </c>
      <c r="C158" s="241">
        <v>0</v>
      </c>
      <c r="D158" s="241">
        <v>24582474</v>
      </c>
      <c r="E158" s="241">
        <f t="shared" si="59"/>
        <v>144130783</v>
      </c>
      <c r="F158" s="241">
        <f t="shared" si="65"/>
        <v>144619899</v>
      </c>
      <c r="G158" s="241">
        <f t="shared" si="66"/>
        <v>37899137</v>
      </c>
      <c r="H158" s="241">
        <f t="shared" si="67"/>
        <v>0</v>
      </c>
      <c r="I158" s="241">
        <f t="shared" si="53"/>
        <v>182519036</v>
      </c>
      <c r="J158" s="241">
        <f t="shared" si="68"/>
        <v>100937</v>
      </c>
      <c r="K158" s="241">
        <v>0</v>
      </c>
      <c r="L158" s="241">
        <f t="shared" si="54"/>
        <v>100937</v>
      </c>
      <c r="M158" s="241">
        <v>0</v>
      </c>
      <c r="N158" s="241">
        <f t="shared" si="73"/>
        <v>0</v>
      </c>
      <c r="O158" s="241">
        <f t="shared" si="74"/>
        <v>264269145</v>
      </c>
      <c r="P158" s="241">
        <f t="shared" si="69"/>
        <v>37899137</v>
      </c>
      <c r="Q158" s="241">
        <f t="shared" si="70"/>
        <v>24582474</v>
      </c>
      <c r="R158" s="242">
        <f t="shared" si="71"/>
        <v>326750756</v>
      </c>
      <c r="S158" s="241">
        <v>0</v>
      </c>
      <c r="T158" s="241">
        <v>29440496</v>
      </c>
      <c r="U158" s="241">
        <v>115179403</v>
      </c>
      <c r="V158" s="241">
        <f t="shared" si="61"/>
        <v>144619899</v>
      </c>
      <c r="W158" s="241">
        <v>0</v>
      </c>
      <c r="X158" s="241">
        <v>4367483</v>
      </c>
      <c r="Y158" s="241">
        <v>33531654</v>
      </c>
      <c r="Z158" s="241">
        <f t="shared" si="62"/>
        <v>37899137</v>
      </c>
      <c r="AA158" s="241">
        <v>0</v>
      </c>
      <c r="AB158" s="241">
        <v>0</v>
      </c>
      <c r="AC158" s="241">
        <v>0</v>
      </c>
      <c r="AD158" s="241">
        <f>SUM(AA158:AC158)</f>
        <v>0</v>
      </c>
      <c r="AE158" s="241">
        <v>100937</v>
      </c>
      <c r="AF158" s="241">
        <v>0</v>
      </c>
      <c r="AG158" s="243">
        <f t="shared" si="72"/>
        <v>100937</v>
      </c>
      <c r="AH158" s="241">
        <f t="shared" ref="AH158:AX158" si="81">B158</f>
        <v>119548309</v>
      </c>
      <c r="AI158" s="241">
        <f t="shared" si="81"/>
        <v>0</v>
      </c>
      <c r="AJ158" s="241">
        <f t="shared" si="81"/>
        <v>24582474</v>
      </c>
      <c r="AK158" s="241">
        <f t="shared" si="81"/>
        <v>144130783</v>
      </c>
      <c r="AL158" s="241">
        <f t="shared" si="81"/>
        <v>144619899</v>
      </c>
      <c r="AM158" s="241">
        <f t="shared" si="81"/>
        <v>37899137</v>
      </c>
      <c r="AN158" s="241">
        <f t="shared" si="81"/>
        <v>0</v>
      </c>
      <c r="AO158" s="241">
        <f t="shared" si="81"/>
        <v>182519036</v>
      </c>
      <c r="AP158" s="241">
        <f t="shared" si="81"/>
        <v>100937</v>
      </c>
      <c r="AQ158" s="241">
        <f t="shared" si="81"/>
        <v>0</v>
      </c>
      <c r="AR158" s="241">
        <f t="shared" si="81"/>
        <v>100937</v>
      </c>
      <c r="AS158" s="241">
        <f t="shared" si="81"/>
        <v>0</v>
      </c>
      <c r="AT158" s="241">
        <f t="shared" si="81"/>
        <v>0</v>
      </c>
      <c r="AU158" s="241">
        <f t="shared" si="81"/>
        <v>264269145</v>
      </c>
      <c r="AV158" s="241">
        <f t="shared" si="81"/>
        <v>37899137</v>
      </c>
      <c r="AW158" s="241">
        <f t="shared" si="81"/>
        <v>24582474</v>
      </c>
      <c r="AX158" s="241">
        <f t="shared" si="81"/>
        <v>326750756</v>
      </c>
      <c r="AY158" s="26">
        <f t="shared" si="80"/>
        <v>0.47508123830298277</v>
      </c>
      <c r="AZ158" s="14"/>
      <c r="BA158" s="18">
        <f>AX158-BB158</f>
        <v>0</v>
      </c>
      <c r="BB158" s="18">
        <v>326750756</v>
      </c>
      <c r="BC158" s="14"/>
      <c r="BD158" s="244">
        <v>44927</v>
      </c>
      <c r="BE158" s="18">
        <f t="shared" ref="BE158:BJ158" si="82">BO158-0</f>
        <v>0</v>
      </c>
      <c r="BF158" s="18">
        <f t="shared" si="82"/>
        <v>0</v>
      </c>
      <c r="BG158" s="18">
        <f t="shared" si="82"/>
        <v>0</v>
      </c>
      <c r="BH158" s="18">
        <f t="shared" si="82"/>
        <v>0</v>
      </c>
      <c r="BI158" s="18">
        <f t="shared" si="82"/>
        <v>0</v>
      </c>
      <c r="BJ158" s="18">
        <f t="shared" si="82"/>
        <v>0</v>
      </c>
      <c r="BM158" s="18">
        <f t="shared" si="76"/>
        <v>10540346.967741935</v>
      </c>
      <c r="BO158" s="18">
        <f>'Monthly D3 Gallon Data'!AH160</f>
        <v>0</v>
      </c>
      <c r="BP158" s="18">
        <f t="shared" ref="BP158:BP171" si="83">BA158</f>
        <v>0</v>
      </c>
      <c r="BQ158" s="18">
        <f>'Monthly D5 Gallon Data'!BD160</f>
        <v>0</v>
      </c>
      <c r="BR158" s="18">
        <f>'Monthly D6 Gallon Data'!BB160</f>
        <v>0</v>
      </c>
      <c r="BS158" s="18">
        <f>'Monthly D7 Gallon Data'!Z160</f>
        <v>0</v>
      </c>
      <c r="BT158" s="18">
        <f>SUM(BO158:BS158)</f>
        <v>0</v>
      </c>
      <c r="BV158" s="244">
        <f t="shared" ref="BV158:BV171" si="84">A158</f>
        <v>44927</v>
      </c>
    </row>
    <row r="159" spans="1:74" ht="13.5">
      <c r="A159" s="146">
        <v>44958</v>
      </c>
      <c r="B159" s="18">
        <v>114742607</v>
      </c>
      <c r="C159" s="18">
        <v>0</v>
      </c>
      <c r="D159" s="18">
        <v>40796313</v>
      </c>
      <c r="E159" s="18">
        <f t="shared" si="59"/>
        <v>155538920</v>
      </c>
      <c r="F159" s="18">
        <f t="shared" si="65"/>
        <v>138971779</v>
      </c>
      <c r="G159" s="18">
        <f t="shared" si="66"/>
        <v>27487584</v>
      </c>
      <c r="H159" s="18">
        <f t="shared" si="67"/>
        <v>0</v>
      </c>
      <c r="I159" s="18">
        <f t="shared" si="53"/>
        <v>166459363</v>
      </c>
      <c r="J159" s="18">
        <f t="shared" si="68"/>
        <v>1578596</v>
      </c>
      <c r="K159" s="18">
        <v>1486280</v>
      </c>
      <c r="L159" s="18">
        <f t="shared" si="54"/>
        <v>3064876</v>
      </c>
      <c r="M159" s="18">
        <v>0</v>
      </c>
      <c r="N159" s="18">
        <f t="shared" si="73"/>
        <v>0</v>
      </c>
      <c r="O159" s="18">
        <f t="shared" si="74"/>
        <v>255292982</v>
      </c>
      <c r="P159" s="18">
        <f t="shared" si="69"/>
        <v>27487584</v>
      </c>
      <c r="Q159" s="18">
        <f t="shared" si="70"/>
        <v>42282593</v>
      </c>
      <c r="R159" s="235">
        <f t="shared" si="71"/>
        <v>325063159</v>
      </c>
      <c r="S159" s="18">
        <v>0</v>
      </c>
      <c r="T159" s="18">
        <v>27625299</v>
      </c>
      <c r="U159" s="18">
        <v>111346480</v>
      </c>
      <c r="V159" s="18">
        <f t="shared" si="61"/>
        <v>138971779</v>
      </c>
      <c r="W159" s="18">
        <v>0</v>
      </c>
      <c r="X159" s="18">
        <v>584456</v>
      </c>
      <c r="Y159" s="18">
        <v>26903128</v>
      </c>
      <c r="Z159" s="18">
        <f t="shared" si="62"/>
        <v>27487584</v>
      </c>
      <c r="AA159" s="18">
        <v>0</v>
      </c>
      <c r="AB159" s="18">
        <v>0</v>
      </c>
      <c r="AC159" s="18">
        <v>0</v>
      </c>
      <c r="AD159" s="18">
        <f t="shared" si="60"/>
        <v>0</v>
      </c>
      <c r="AE159" s="18">
        <v>1578596</v>
      </c>
      <c r="AF159" s="18">
        <v>0</v>
      </c>
      <c r="AG159" s="236">
        <f t="shared" si="72"/>
        <v>1578596</v>
      </c>
      <c r="AH159" s="18">
        <f t="shared" ref="AH159:AX169" si="85">AH158+B159</f>
        <v>234290916</v>
      </c>
      <c r="AI159" s="18">
        <f t="shared" si="85"/>
        <v>0</v>
      </c>
      <c r="AJ159" s="18">
        <f t="shared" si="85"/>
        <v>65378787</v>
      </c>
      <c r="AK159" s="18">
        <f t="shared" si="85"/>
        <v>299669703</v>
      </c>
      <c r="AL159" s="18">
        <f t="shared" si="85"/>
        <v>283591678</v>
      </c>
      <c r="AM159" s="18">
        <f t="shared" si="85"/>
        <v>65386721</v>
      </c>
      <c r="AN159" s="18">
        <f t="shared" si="85"/>
        <v>0</v>
      </c>
      <c r="AO159" s="18">
        <f t="shared" si="85"/>
        <v>348978399</v>
      </c>
      <c r="AP159" s="18">
        <f t="shared" si="85"/>
        <v>1679533</v>
      </c>
      <c r="AQ159" s="18">
        <f t="shared" si="85"/>
        <v>1486280</v>
      </c>
      <c r="AR159" s="18">
        <f t="shared" si="85"/>
        <v>3165813</v>
      </c>
      <c r="AS159" s="18">
        <f t="shared" si="85"/>
        <v>0</v>
      </c>
      <c r="AT159" s="18">
        <f t="shared" si="85"/>
        <v>0</v>
      </c>
      <c r="AU159" s="18">
        <f t="shared" si="85"/>
        <v>519562127</v>
      </c>
      <c r="AV159" s="18">
        <f t="shared" si="85"/>
        <v>65386721</v>
      </c>
      <c r="AW159" s="18">
        <f t="shared" si="85"/>
        <v>66865067</v>
      </c>
      <c r="AX159" s="18">
        <f t="shared" si="85"/>
        <v>651813915</v>
      </c>
      <c r="AY159" s="26">
        <f t="shared" si="80"/>
        <v>0.39223910720734856</v>
      </c>
      <c r="AZ159" s="14"/>
      <c r="BA159" s="18">
        <f t="shared" ref="BA159:BA171" si="86">AX159-BB159</f>
        <v>0</v>
      </c>
      <c r="BB159" s="18">
        <v>651813915</v>
      </c>
      <c r="BC159" s="14"/>
      <c r="BD159" s="244">
        <v>44958</v>
      </c>
      <c r="BE159" s="18">
        <f t="shared" ref="BE159:BJ171" si="87">BO159-BO158</f>
        <v>0</v>
      </c>
      <c r="BF159" s="18">
        <f t="shared" si="87"/>
        <v>0</v>
      </c>
      <c r="BG159" s="18">
        <f t="shared" si="87"/>
        <v>0</v>
      </c>
      <c r="BH159" s="18">
        <f t="shared" si="87"/>
        <v>0</v>
      </c>
      <c r="BI159" s="18">
        <f t="shared" si="87"/>
        <v>0</v>
      </c>
      <c r="BJ159" s="18">
        <f t="shared" si="87"/>
        <v>0</v>
      </c>
      <c r="BM159" s="18">
        <f>R159/28</f>
        <v>11609398.535714285</v>
      </c>
      <c r="BO159" s="18">
        <f>'Monthly D3 Gallon Data'!AH161</f>
        <v>0</v>
      </c>
      <c r="BP159" s="18">
        <f t="shared" si="83"/>
        <v>0</v>
      </c>
      <c r="BQ159" s="18">
        <f>'Monthly D5 Gallon Data'!BD161</f>
        <v>0</v>
      </c>
      <c r="BR159" s="18">
        <f>'Monthly D6 Gallon Data'!BB161</f>
        <v>0</v>
      </c>
      <c r="BS159" s="18">
        <f>'Monthly D7 Gallon Data'!Z161</f>
        <v>0</v>
      </c>
      <c r="BT159" s="18">
        <f t="shared" ref="BT159:BT169" si="88">SUM(BO159:BS159)</f>
        <v>0</v>
      </c>
      <c r="BV159" s="244">
        <f t="shared" si="84"/>
        <v>44958</v>
      </c>
    </row>
    <row r="160" spans="1:74" ht="13.5">
      <c r="A160" s="146">
        <v>44986</v>
      </c>
      <c r="B160" s="18">
        <v>130887285</v>
      </c>
      <c r="C160" s="18">
        <v>0</v>
      </c>
      <c r="D160" s="18">
        <v>44788401</v>
      </c>
      <c r="E160" s="18">
        <f t="shared" si="59"/>
        <v>175675686</v>
      </c>
      <c r="F160" s="18">
        <f t="shared" si="65"/>
        <v>174387031</v>
      </c>
      <c r="G160" s="18">
        <f t="shared" si="66"/>
        <v>35663809</v>
      </c>
      <c r="H160" s="18">
        <f t="shared" si="67"/>
        <v>0</v>
      </c>
      <c r="I160" s="18">
        <f t="shared" si="53"/>
        <v>210050840</v>
      </c>
      <c r="J160" s="18">
        <f t="shared" si="68"/>
        <v>797170</v>
      </c>
      <c r="K160" s="18">
        <v>1414636</v>
      </c>
      <c r="L160" s="18">
        <f t="shared" si="54"/>
        <v>2211806</v>
      </c>
      <c r="M160" s="18">
        <v>119100</v>
      </c>
      <c r="N160" s="18">
        <f t="shared" si="73"/>
        <v>119100</v>
      </c>
      <c r="O160" s="18">
        <f t="shared" si="74"/>
        <v>306190586</v>
      </c>
      <c r="P160" s="18">
        <f t="shared" si="69"/>
        <v>35663809</v>
      </c>
      <c r="Q160" s="18">
        <f t="shared" si="70"/>
        <v>46203037</v>
      </c>
      <c r="R160" s="235">
        <f t="shared" si="71"/>
        <v>388057432</v>
      </c>
      <c r="S160" s="18">
        <v>0</v>
      </c>
      <c r="T160" s="18">
        <v>35927540</v>
      </c>
      <c r="U160" s="18">
        <v>138459491</v>
      </c>
      <c r="V160" s="18">
        <f t="shared" si="61"/>
        <v>174387031</v>
      </c>
      <c r="W160" s="18">
        <v>0</v>
      </c>
      <c r="X160" s="18">
        <v>2691061</v>
      </c>
      <c r="Y160" s="18">
        <v>32972748</v>
      </c>
      <c r="Z160" s="18">
        <f t="shared" si="62"/>
        <v>35663809</v>
      </c>
      <c r="AA160" s="18">
        <v>0</v>
      </c>
      <c r="AB160" s="18">
        <v>0</v>
      </c>
      <c r="AC160" s="18">
        <v>0</v>
      </c>
      <c r="AD160" s="18">
        <f t="shared" si="60"/>
        <v>0</v>
      </c>
      <c r="AE160" s="18">
        <v>797170</v>
      </c>
      <c r="AF160" s="18">
        <v>0</v>
      </c>
      <c r="AG160" s="236">
        <f t="shared" si="72"/>
        <v>797170</v>
      </c>
      <c r="AH160" s="18">
        <f t="shared" si="85"/>
        <v>365178201</v>
      </c>
      <c r="AI160" s="18">
        <f t="shared" si="85"/>
        <v>0</v>
      </c>
      <c r="AJ160" s="18">
        <f t="shared" si="85"/>
        <v>110167188</v>
      </c>
      <c r="AK160" s="18">
        <f t="shared" si="85"/>
        <v>475345389</v>
      </c>
      <c r="AL160" s="18">
        <f t="shared" si="85"/>
        <v>457978709</v>
      </c>
      <c r="AM160" s="18">
        <f t="shared" si="85"/>
        <v>101050530</v>
      </c>
      <c r="AN160" s="18">
        <f t="shared" si="85"/>
        <v>0</v>
      </c>
      <c r="AO160" s="18">
        <f t="shared" si="85"/>
        <v>559029239</v>
      </c>
      <c r="AP160" s="18">
        <f t="shared" si="85"/>
        <v>2476703</v>
      </c>
      <c r="AQ160" s="18">
        <f t="shared" si="85"/>
        <v>2900916</v>
      </c>
      <c r="AR160" s="18">
        <f t="shared" si="85"/>
        <v>5377619</v>
      </c>
      <c r="AS160" s="18">
        <f t="shared" si="85"/>
        <v>119100</v>
      </c>
      <c r="AT160" s="18">
        <f t="shared" si="85"/>
        <v>119100</v>
      </c>
      <c r="AU160" s="18">
        <f t="shared" si="85"/>
        <v>825752713</v>
      </c>
      <c r="AV160" s="18">
        <f t="shared" si="85"/>
        <v>101050530</v>
      </c>
      <c r="AW160" s="18">
        <f t="shared" si="85"/>
        <v>113068104</v>
      </c>
      <c r="AX160" s="18">
        <f t="shared" si="85"/>
        <v>1039871347</v>
      </c>
      <c r="AY160" s="26">
        <f t="shared" si="80"/>
        <v>0.34106951957933229</v>
      </c>
      <c r="AZ160" s="14"/>
      <c r="BA160" s="18">
        <f t="shared" si="86"/>
        <v>0</v>
      </c>
      <c r="BB160" s="18">
        <v>1039871347</v>
      </c>
      <c r="BC160" s="14"/>
      <c r="BD160" s="244">
        <v>44986</v>
      </c>
      <c r="BE160" s="18">
        <f t="shared" si="87"/>
        <v>0</v>
      </c>
      <c r="BF160" s="18">
        <f t="shared" si="87"/>
        <v>0</v>
      </c>
      <c r="BG160" s="18">
        <f t="shared" si="87"/>
        <v>0</v>
      </c>
      <c r="BH160" s="18">
        <f t="shared" si="87"/>
        <v>0</v>
      </c>
      <c r="BI160" s="18">
        <f t="shared" si="87"/>
        <v>0</v>
      </c>
      <c r="BJ160" s="18">
        <f t="shared" si="87"/>
        <v>0</v>
      </c>
      <c r="BM160" s="18">
        <f t="shared" si="76"/>
        <v>12517981.677419355</v>
      </c>
      <c r="BO160" s="18">
        <f>'Monthly D3 Gallon Data'!AH162</f>
        <v>0</v>
      </c>
      <c r="BP160" s="18">
        <f t="shared" si="83"/>
        <v>0</v>
      </c>
      <c r="BQ160" s="18">
        <f>'Monthly D5 Gallon Data'!BD162</f>
        <v>0</v>
      </c>
      <c r="BR160" s="18">
        <f>'Monthly D6 Gallon Data'!BB162</f>
        <v>0</v>
      </c>
      <c r="BS160" s="18">
        <f>'Monthly D7 Gallon Data'!Z162</f>
        <v>0</v>
      </c>
      <c r="BT160" s="18">
        <f t="shared" si="88"/>
        <v>0</v>
      </c>
      <c r="BV160" s="244">
        <f t="shared" si="84"/>
        <v>44986</v>
      </c>
    </row>
    <row r="161" spans="1:74" ht="13.5">
      <c r="A161" s="146">
        <v>45017</v>
      </c>
      <c r="B161" s="18">
        <v>133835520</v>
      </c>
      <c r="C161" s="18">
        <v>0</v>
      </c>
      <c r="D161" s="18">
        <v>34964458</v>
      </c>
      <c r="E161" s="18">
        <f t="shared" si="59"/>
        <v>168799978</v>
      </c>
      <c r="F161" s="18">
        <f t="shared" si="65"/>
        <v>169520733</v>
      </c>
      <c r="G161" s="18">
        <f t="shared" si="66"/>
        <v>36446221</v>
      </c>
      <c r="H161" s="18">
        <f t="shared" si="67"/>
        <v>0</v>
      </c>
      <c r="I161" s="18">
        <f t="shared" si="53"/>
        <v>205966954</v>
      </c>
      <c r="J161" s="18">
        <f t="shared" si="68"/>
        <v>913521</v>
      </c>
      <c r="K161" s="18">
        <v>1397929</v>
      </c>
      <c r="L161" s="18">
        <f t="shared" si="54"/>
        <v>2311450</v>
      </c>
      <c r="M161" s="18">
        <v>91448</v>
      </c>
      <c r="N161" s="18">
        <f t="shared" si="73"/>
        <v>91448</v>
      </c>
      <c r="O161" s="18">
        <f t="shared" si="74"/>
        <v>304361222</v>
      </c>
      <c r="P161" s="18">
        <f t="shared" si="69"/>
        <v>36446221</v>
      </c>
      <c r="Q161" s="18">
        <f t="shared" si="70"/>
        <v>36362387</v>
      </c>
      <c r="R161" s="235">
        <f t="shared" si="71"/>
        <v>377169830</v>
      </c>
      <c r="S161" s="18">
        <v>0</v>
      </c>
      <c r="T161" s="18">
        <v>33974667</v>
      </c>
      <c r="U161" s="18">
        <v>135546066</v>
      </c>
      <c r="V161" s="18">
        <f t="shared" si="61"/>
        <v>169520733</v>
      </c>
      <c r="W161" s="18">
        <v>0</v>
      </c>
      <c r="X161" s="18">
        <v>2541127</v>
      </c>
      <c r="Y161" s="18">
        <v>33905094</v>
      </c>
      <c r="Z161" s="18">
        <f t="shared" si="62"/>
        <v>36446221</v>
      </c>
      <c r="AA161" s="18">
        <v>0</v>
      </c>
      <c r="AB161" s="18">
        <v>0</v>
      </c>
      <c r="AC161" s="18">
        <v>0</v>
      </c>
      <c r="AD161" s="18">
        <f t="shared" si="60"/>
        <v>0</v>
      </c>
      <c r="AE161" s="18">
        <v>913521</v>
      </c>
      <c r="AF161" s="18">
        <v>0</v>
      </c>
      <c r="AG161" s="236">
        <f t="shared" si="72"/>
        <v>913521</v>
      </c>
      <c r="AH161" s="18">
        <f t="shared" si="85"/>
        <v>499013721</v>
      </c>
      <c r="AI161" s="18">
        <f t="shared" si="85"/>
        <v>0</v>
      </c>
      <c r="AJ161" s="18">
        <f t="shared" si="85"/>
        <v>145131646</v>
      </c>
      <c r="AK161" s="18">
        <f t="shared" si="85"/>
        <v>644145367</v>
      </c>
      <c r="AL161" s="18">
        <f t="shared" si="85"/>
        <v>627499442</v>
      </c>
      <c r="AM161" s="18">
        <f t="shared" si="85"/>
        <v>137496751</v>
      </c>
      <c r="AN161" s="18">
        <f t="shared" si="85"/>
        <v>0</v>
      </c>
      <c r="AO161" s="18">
        <f t="shared" si="85"/>
        <v>764996193</v>
      </c>
      <c r="AP161" s="18">
        <f t="shared" si="85"/>
        <v>3390224</v>
      </c>
      <c r="AQ161" s="18">
        <f t="shared" si="85"/>
        <v>4298845</v>
      </c>
      <c r="AR161" s="18">
        <f t="shared" si="85"/>
        <v>7689069</v>
      </c>
      <c r="AS161" s="18">
        <f t="shared" si="85"/>
        <v>210548</v>
      </c>
      <c r="AT161" s="18">
        <f t="shared" si="85"/>
        <v>210548</v>
      </c>
      <c r="AU161" s="18">
        <f t="shared" si="85"/>
        <v>1130113935</v>
      </c>
      <c r="AV161" s="18">
        <f t="shared" si="85"/>
        <v>137496751</v>
      </c>
      <c r="AW161" s="18">
        <f t="shared" si="85"/>
        <v>149430491</v>
      </c>
      <c r="AX161" s="18">
        <f t="shared" si="85"/>
        <v>1417041177</v>
      </c>
      <c r="AY161" s="26">
        <f t="shared" si="80"/>
        <v>0.30092425191315209</v>
      </c>
      <c r="AZ161" s="14"/>
      <c r="BA161" s="18">
        <f t="shared" si="86"/>
        <v>0</v>
      </c>
      <c r="BB161" s="18">
        <v>1417041177</v>
      </c>
      <c r="BC161" s="14"/>
      <c r="BD161" s="244">
        <v>45017</v>
      </c>
      <c r="BE161" s="18">
        <f t="shared" si="87"/>
        <v>0</v>
      </c>
      <c r="BF161" s="18">
        <f t="shared" si="87"/>
        <v>0</v>
      </c>
      <c r="BG161" s="18">
        <f t="shared" si="87"/>
        <v>0</v>
      </c>
      <c r="BH161" s="18">
        <f t="shared" si="87"/>
        <v>0</v>
      </c>
      <c r="BI161" s="18">
        <f t="shared" si="87"/>
        <v>0</v>
      </c>
      <c r="BJ161" s="18">
        <f t="shared" si="87"/>
        <v>0</v>
      </c>
      <c r="BM161" s="18">
        <f>R161/30</f>
        <v>12572327.666666666</v>
      </c>
      <c r="BO161" s="18">
        <f>'Monthly D3 Gallon Data'!AH163</f>
        <v>0</v>
      </c>
      <c r="BP161" s="18">
        <f t="shared" si="83"/>
        <v>0</v>
      </c>
      <c r="BQ161" s="18">
        <f>'Monthly D5 Gallon Data'!BD163</f>
        <v>0</v>
      </c>
      <c r="BR161" s="18">
        <f>'Monthly D6 Gallon Data'!BB163</f>
        <v>0</v>
      </c>
      <c r="BS161" s="18">
        <f>'Monthly D7 Gallon Data'!Z163</f>
        <v>0</v>
      </c>
      <c r="BT161" s="18">
        <f t="shared" si="88"/>
        <v>0</v>
      </c>
      <c r="BV161" s="244">
        <f t="shared" si="84"/>
        <v>45017</v>
      </c>
    </row>
    <row r="162" spans="1:74" ht="13.5">
      <c r="A162" s="146">
        <v>45047</v>
      </c>
      <c r="B162" s="18">
        <v>163593533</v>
      </c>
      <c r="C162" s="18">
        <v>0</v>
      </c>
      <c r="D162" s="18">
        <v>39419838</v>
      </c>
      <c r="E162" s="18">
        <f t="shared" si="59"/>
        <v>203013371</v>
      </c>
      <c r="F162" s="18">
        <f t="shared" si="65"/>
        <v>222124396</v>
      </c>
      <c r="G162" s="18">
        <f t="shared" si="66"/>
        <v>42199340</v>
      </c>
      <c r="H162" s="18">
        <f t="shared" si="67"/>
        <v>0</v>
      </c>
      <c r="I162" s="18">
        <f t="shared" ref="I162:I176" si="89">SUM(F162:H162)</f>
        <v>264323736</v>
      </c>
      <c r="J162" s="18">
        <f t="shared" si="68"/>
        <v>1626715</v>
      </c>
      <c r="K162" s="18">
        <v>0</v>
      </c>
      <c r="L162" s="18">
        <f t="shared" ref="L162:L184" si="90">SUM(J162:K162)</f>
        <v>1626715</v>
      </c>
      <c r="M162" s="18">
        <v>0</v>
      </c>
      <c r="N162" s="18">
        <f t="shared" si="73"/>
        <v>0</v>
      </c>
      <c r="O162" s="18">
        <f t="shared" si="74"/>
        <v>387344644</v>
      </c>
      <c r="P162" s="18">
        <f t="shared" si="69"/>
        <v>42199340</v>
      </c>
      <c r="Q162" s="18">
        <f t="shared" si="70"/>
        <v>39419838</v>
      </c>
      <c r="R162" s="235">
        <f t="shared" si="71"/>
        <v>468963822</v>
      </c>
      <c r="S162" s="18">
        <v>0</v>
      </c>
      <c r="T162" s="18">
        <v>54415742</v>
      </c>
      <c r="U162" s="18">
        <v>167708654</v>
      </c>
      <c r="V162" s="18">
        <f t="shared" si="61"/>
        <v>222124396</v>
      </c>
      <c r="W162" s="18">
        <v>0</v>
      </c>
      <c r="X162" s="18">
        <v>0</v>
      </c>
      <c r="Y162" s="18">
        <v>42199340</v>
      </c>
      <c r="Z162" s="18">
        <f t="shared" si="62"/>
        <v>42199340</v>
      </c>
      <c r="AA162" s="18">
        <v>0</v>
      </c>
      <c r="AB162" s="18">
        <v>0</v>
      </c>
      <c r="AC162" s="18">
        <v>0</v>
      </c>
      <c r="AD162" s="18">
        <f t="shared" si="60"/>
        <v>0</v>
      </c>
      <c r="AE162" s="18">
        <v>1626715</v>
      </c>
      <c r="AF162" s="18">
        <v>0</v>
      </c>
      <c r="AG162" s="236">
        <f t="shared" si="72"/>
        <v>1626715</v>
      </c>
      <c r="AH162" s="18">
        <f t="shared" si="85"/>
        <v>662607254</v>
      </c>
      <c r="AI162" s="18">
        <f t="shared" si="85"/>
        <v>0</v>
      </c>
      <c r="AJ162" s="18">
        <f t="shared" si="85"/>
        <v>184551484</v>
      </c>
      <c r="AK162" s="18">
        <f t="shared" si="85"/>
        <v>847158738</v>
      </c>
      <c r="AL162" s="18">
        <f t="shared" si="85"/>
        <v>849623838</v>
      </c>
      <c r="AM162" s="18">
        <f t="shared" si="85"/>
        <v>179696091</v>
      </c>
      <c r="AN162" s="18">
        <f t="shared" si="85"/>
        <v>0</v>
      </c>
      <c r="AO162" s="18">
        <f t="shared" si="85"/>
        <v>1029319929</v>
      </c>
      <c r="AP162" s="18">
        <f t="shared" si="85"/>
        <v>5016939</v>
      </c>
      <c r="AQ162" s="18">
        <f t="shared" si="85"/>
        <v>4298845</v>
      </c>
      <c r="AR162" s="18">
        <f t="shared" si="85"/>
        <v>9315784</v>
      </c>
      <c r="AS162" s="18">
        <f t="shared" si="85"/>
        <v>210548</v>
      </c>
      <c r="AT162" s="18">
        <f t="shared" si="85"/>
        <v>210548</v>
      </c>
      <c r="AU162" s="18">
        <f t="shared" si="85"/>
        <v>1517458579</v>
      </c>
      <c r="AV162" s="18">
        <f t="shared" si="85"/>
        <v>179696091</v>
      </c>
      <c r="AW162" s="18">
        <f t="shared" si="85"/>
        <v>188850329</v>
      </c>
      <c r="AX162" s="18">
        <f t="shared" si="85"/>
        <v>1886004999</v>
      </c>
      <c r="AY162" s="26">
        <f t="shared" si="80"/>
        <v>0.33816087163742403</v>
      </c>
      <c r="AZ162" s="14"/>
      <c r="BA162" s="18">
        <f t="shared" si="86"/>
        <v>1089</v>
      </c>
      <c r="BB162" s="18">
        <v>1886003910</v>
      </c>
      <c r="BC162" s="14"/>
      <c r="BD162" s="244">
        <v>45047</v>
      </c>
      <c r="BE162" s="18">
        <f t="shared" si="87"/>
        <v>0</v>
      </c>
      <c r="BF162" s="18">
        <f t="shared" si="87"/>
        <v>1089</v>
      </c>
      <c r="BG162" s="18">
        <f t="shared" si="87"/>
        <v>0</v>
      </c>
      <c r="BH162" s="18">
        <f t="shared" si="87"/>
        <v>0</v>
      </c>
      <c r="BI162" s="18">
        <f t="shared" si="87"/>
        <v>0</v>
      </c>
      <c r="BJ162" s="18">
        <f t="shared" si="87"/>
        <v>1089</v>
      </c>
      <c r="BM162" s="18">
        <f t="shared" si="76"/>
        <v>15127865.225806452</v>
      </c>
      <c r="BO162" s="18">
        <f>'Monthly D3 Gallon Data'!AH164</f>
        <v>0</v>
      </c>
      <c r="BP162" s="18">
        <f t="shared" si="83"/>
        <v>1089</v>
      </c>
      <c r="BQ162" s="18">
        <f>'Monthly D5 Gallon Data'!BD164</f>
        <v>0</v>
      </c>
      <c r="BR162" s="18">
        <f>'Monthly D6 Gallon Data'!BB164</f>
        <v>0</v>
      </c>
      <c r="BS162" s="18">
        <f>'Monthly D7 Gallon Data'!Z164</f>
        <v>0</v>
      </c>
      <c r="BT162" s="18">
        <f t="shared" si="88"/>
        <v>1089</v>
      </c>
      <c r="BV162" s="244">
        <f t="shared" si="84"/>
        <v>45047</v>
      </c>
    </row>
    <row r="163" spans="1:74" ht="13.5">
      <c r="A163" s="146">
        <v>45078</v>
      </c>
      <c r="B163" s="18">
        <v>153006295</v>
      </c>
      <c r="C163" s="18">
        <v>0</v>
      </c>
      <c r="D163" s="18">
        <v>41179873</v>
      </c>
      <c r="E163" s="18">
        <f t="shared" si="59"/>
        <v>194186168</v>
      </c>
      <c r="F163" s="18">
        <f t="shared" si="65"/>
        <v>192695635</v>
      </c>
      <c r="G163" s="18">
        <f t="shared" si="66"/>
        <v>36166734</v>
      </c>
      <c r="H163" s="18">
        <f t="shared" si="67"/>
        <v>0</v>
      </c>
      <c r="I163" s="18">
        <f t="shared" si="89"/>
        <v>228862369</v>
      </c>
      <c r="J163" s="18">
        <f t="shared" si="68"/>
        <v>1121861</v>
      </c>
      <c r="K163" s="18">
        <v>1310124</v>
      </c>
      <c r="L163" s="18">
        <f t="shared" si="90"/>
        <v>2431985</v>
      </c>
      <c r="M163" s="18">
        <v>0</v>
      </c>
      <c r="N163" s="18">
        <f t="shared" si="73"/>
        <v>0</v>
      </c>
      <c r="O163" s="18">
        <f t="shared" si="74"/>
        <v>346823791</v>
      </c>
      <c r="P163" s="18">
        <f t="shared" si="69"/>
        <v>36166734</v>
      </c>
      <c r="Q163" s="18">
        <f t="shared" si="70"/>
        <v>42489997</v>
      </c>
      <c r="R163" s="235">
        <f t="shared" si="71"/>
        <v>425480522</v>
      </c>
      <c r="S163" s="18">
        <v>0</v>
      </c>
      <c r="T163" s="18">
        <v>41543150</v>
      </c>
      <c r="U163" s="18">
        <v>151152485</v>
      </c>
      <c r="V163" s="18">
        <f t="shared" si="61"/>
        <v>192695635</v>
      </c>
      <c r="W163" s="18">
        <v>0</v>
      </c>
      <c r="X163" s="18">
        <v>4868578</v>
      </c>
      <c r="Y163" s="18">
        <v>31298156</v>
      </c>
      <c r="Z163" s="18">
        <f t="shared" si="62"/>
        <v>36166734</v>
      </c>
      <c r="AA163" s="18">
        <v>0</v>
      </c>
      <c r="AB163" s="18">
        <v>0</v>
      </c>
      <c r="AC163" s="18">
        <v>0</v>
      </c>
      <c r="AD163" s="18">
        <f t="shared" si="60"/>
        <v>0</v>
      </c>
      <c r="AE163" s="18">
        <v>1121861</v>
      </c>
      <c r="AF163" s="18">
        <v>0</v>
      </c>
      <c r="AG163" s="236">
        <f t="shared" si="72"/>
        <v>1121861</v>
      </c>
      <c r="AH163" s="18">
        <f t="shared" si="85"/>
        <v>815613549</v>
      </c>
      <c r="AI163" s="18">
        <f t="shared" si="85"/>
        <v>0</v>
      </c>
      <c r="AJ163" s="18">
        <f t="shared" si="85"/>
        <v>225731357</v>
      </c>
      <c r="AK163" s="18">
        <f t="shared" si="85"/>
        <v>1041344906</v>
      </c>
      <c r="AL163" s="18">
        <f t="shared" si="85"/>
        <v>1042319473</v>
      </c>
      <c r="AM163" s="18">
        <f t="shared" si="85"/>
        <v>215862825</v>
      </c>
      <c r="AN163" s="18">
        <f t="shared" si="85"/>
        <v>0</v>
      </c>
      <c r="AO163" s="18">
        <f t="shared" si="85"/>
        <v>1258182298</v>
      </c>
      <c r="AP163" s="18">
        <f t="shared" si="85"/>
        <v>6138800</v>
      </c>
      <c r="AQ163" s="18">
        <f t="shared" si="85"/>
        <v>5608969</v>
      </c>
      <c r="AR163" s="18">
        <f t="shared" si="85"/>
        <v>11747769</v>
      </c>
      <c r="AS163" s="18">
        <f t="shared" si="85"/>
        <v>210548</v>
      </c>
      <c r="AT163" s="18">
        <f t="shared" si="85"/>
        <v>210548</v>
      </c>
      <c r="AU163" s="18">
        <f t="shared" si="85"/>
        <v>1864282370</v>
      </c>
      <c r="AV163" s="18">
        <f t="shared" si="85"/>
        <v>215862825</v>
      </c>
      <c r="AW163" s="18">
        <f t="shared" si="85"/>
        <v>231340326</v>
      </c>
      <c r="AX163" s="18">
        <f t="shared" si="85"/>
        <v>2311485521</v>
      </c>
      <c r="AY163" s="26">
        <f t="shared" si="80"/>
        <v>0.34568962680893667</v>
      </c>
      <c r="AZ163" s="14"/>
      <c r="BA163" s="18">
        <f t="shared" si="86"/>
        <v>1089</v>
      </c>
      <c r="BB163" s="18">
        <v>2311484432</v>
      </c>
      <c r="BC163" s="14"/>
      <c r="BD163" s="244">
        <v>45078</v>
      </c>
      <c r="BE163" s="18">
        <f t="shared" si="87"/>
        <v>0</v>
      </c>
      <c r="BF163" s="18">
        <f t="shared" si="87"/>
        <v>0</v>
      </c>
      <c r="BG163" s="18">
        <f t="shared" si="87"/>
        <v>29</v>
      </c>
      <c r="BH163" s="18">
        <f t="shared" si="87"/>
        <v>0</v>
      </c>
      <c r="BI163" s="18">
        <f t="shared" si="87"/>
        <v>0</v>
      </c>
      <c r="BJ163" s="18">
        <f t="shared" si="87"/>
        <v>29</v>
      </c>
      <c r="BM163" s="18">
        <f>R163/30</f>
        <v>14182684.066666666</v>
      </c>
      <c r="BO163" s="18">
        <f>'Monthly D3 Gallon Data'!AH165</f>
        <v>0</v>
      </c>
      <c r="BP163" s="18">
        <f t="shared" si="83"/>
        <v>1089</v>
      </c>
      <c r="BQ163" s="18">
        <f>'Monthly D5 Gallon Data'!BD165</f>
        <v>29</v>
      </c>
      <c r="BR163" s="18">
        <f>'Monthly D6 Gallon Data'!BB165</f>
        <v>0</v>
      </c>
      <c r="BS163" s="18">
        <f>'Monthly D7 Gallon Data'!Z165</f>
        <v>0</v>
      </c>
      <c r="BT163" s="18">
        <f t="shared" si="88"/>
        <v>1118</v>
      </c>
      <c r="BV163" s="244">
        <f t="shared" si="84"/>
        <v>45078</v>
      </c>
    </row>
    <row r="164" spans="1:74" ht="13.5">
      <c r="A164" s="146">
        <v>45108</v>
      </c>
      <c r="B164" s="18">
        <v>142593233</v>
      </c>
      <c r="C164" s="18">
        <v>0</v>
      </c>
      <c r="D164" s="18">
        <v>30319251</v>
      </c>
      <c r="E164" s="18">
        <f t="shared" si="59"/>
        <v>172912484</v>
      </c>
      <c r="F164" s="18">
        <f t="shared" si="65"/>
        <v>178359770</v>
      </c>
      <c r="G164" s="18">
        <f t="shared" si="66"/>
        <v>43951303</v>
      </c>
      <c r="H164" s="18">
        <f t="shared" si="67"/>
        <v>0</v>
      </c>
      <c r="I164" s="18">
        <f t="shared" si="89"/>
        <v>222311073</v>
      </c>
      <c r="J164" s="18">
        <f t="shared" si="68"/>
        <v>1770762</v>
      </c>
      <c r="K164" s="18">
        <v>0</v>
      </c>
      <c r="L164" s="18">
        <f t="shared" si="90"/>
        <v>1770762</v>
      </c>
      <c r="M164" s="18">
        <v>0</v>
      </c>
      <c r="N164" s="18">
        <f t="shared" si="73"/>
        <v>0</v>
      </c>
      <c r="O164" s="18">
        <f t="shared" si="74"/>
        <v>322723765</v>
      </c>
      <c r="P164" s="18">
        <f t="shared" si="69"/>
        <v>43951303</v>
      </c>
      <c r="Q164" s="18">
        <f t="shared" si="70"/>
        <v>30319251</v>
      </c>
      <c r="R164" s="235">
        <f t="shared" si="71"/>
        <v>396994319</v>
      </c>
      <c r="S164" s="18">
        <v>0</v>
      </c>
      <c r="T164" s="18">
        <v>40392351</v>
      </c>
      <c r="U164" s="18">
        <v>137967419</v>
      </c>
      <c r="V164" s="18">
        <f t="shared" si="61"/>
        <v>178359770</v>
      </c>
      <c r="W164" s="18">
        <v>0</v>
      </c>
      <c r="X164" s="18">
        <v>2226546</v>
      </c>
      <c r="Y164" s="18">
        <v>41724757</v>
      </c>
      <c r="Z164" s="18">
        <f t="shared" si="62"/>
        <v>43951303</v>
      </c>
      <c r="AA164" s="18">
        <v>0</v>
      </c>
      <c r="AB164" s="18">
        <v>0</v>
      </c>
      <c r="AC164" s="18">
        <v>0</v>
      </c>
      <c r="AD164" s="18">
        <f t="shared" si="60"/>
        <v>0</v>
      </c>
      <c r="AE164" s="18">
        <v>1770762</v>
      </c>
      <c r="AF164" s="18">
        <v>0</v>
      </c>
      <c r="AG164" s="236">
        <f t="shared" si="72"/>
        <v>1770762</v>
      </c>
      <c r="AH164" s="18">
        <f t="shared" si="85"/>
        <v>958206782</v>
      </c>
      <c r="AI164" s="18">
        <f t="shared" si="85"/>
        <v>0</v>
      </c>
      <c r="AJ164" s="18">
        <f t="shared" si="85"/>
        <v>256050608</v>
      </c>
      <c r="AK164" s="18">
        <f t="shared" si="85"/>
        <v>1214257390</v>
      </c>
      <c r="AL164" s="18">
        <f t="shared" si="85"/>
        <v>1220679243</v>
      </c>
      <c r="AM164" s="18">
        <f t="shared" si="85"/>
        <v>259814128</v>
      </c>
      <c r="AN164" s="18">
        <f t="shared" si="85"/>
        <v>0</v>
      </c>
      <c r="AO164" s="18">
        <f t="shared" si="85"/>
        <v>1480493371</v>
      </c>
      <c r="AP164" s="18">
        <f t="shared" si="85"/>
        <v>7909562</v>
      </c>
      <c r="AQ164" s="18">
        <f t="shared" si="85"/>
        <v>5608969</v>
      </c>
      <c r="AR164" s="18">
        <f t="shared" si="85"/>
        <v>13518531</v>
      </c>
      <c r="AS164" s="18">
        <f t="shared" si="85"/>
        <v>210548</v>
      </c>
      <c r="AT164" s="18">
        <f t="shared" si="85"/>
        <v>210548</v>
      </c>
      <c r="AU164" s="18">
        <f t="shared" si="85"/>
        <v>2187006135</v>
      </c>
      <c r="AV164" s="18">
        <f t="shared" si="85"/>
        <v>259814128</v>
      </c>
      <c r="AW164" s="18">
        <f t="shared" si="85"/>
        <v>261659577</v>
      </c>
      <c r="AX164" s="18">
        <f t="shared" si="85"/>
        <v>2708479840</v>
      </c>
      <c r="AY164" s="26">
        <f t="shared" si="80"/>
        <v>0.36573123037295097</v>
      </c>
      <c r="AZ164" s="14"/>
      <c r="BA164" s="18">
        <f t="shared" si="86"/>
        <v>1089</v>
      </c>
      <c r="BB164" s="18">
        <v>2708478751</v>
      </c>
      <c r="BC164" s="14"/>
      <c r="BD164" s="244">
        <v>45108</v>
      </c>
      <c r="BE164" s="18">
        <f t="shared" si="87"/>
        <v>621</v>
      </c>
      <c r="BF164" s="18">
        <f t="shared" si="87"/>
        <v>0</v>
      </c>
      <c r="BG164" s="18">
        <f t="shared" si="87"/>
        <v>0</v>
      </c>
      <c r="BH164" s="18">
        <f t="shared" si="87"/>
        <v>0</v>
      </c>
      <c r="BI164" s="18">
        <f t="shared" si="87"/>
        <v>0</v>
      </c>
      <c r="BJ164" s="18">
        <f t="shared" si="87"/>
        <v>621</v>
      </c>
      <c r="BM164" s="18">
        <f t="shared" si="76"/>
        <v>12806268.35483871</v>
      </c>
      <c r="BO164" s="18">
        <f>'Monthly D3 Gallon Data'!AH166</f>
        <v>621</v>
      </c>
      <c r="BP164" s="18">
        <f t="shared" si="83"/>
        <v>1089</v>
      </c>
      <c r="BQ164" s="18">
        <f>'Monthly D5 Gallon Data'!BD166</f>
        <v>29</v>
      </c>
      <c r="BR164" s="18">
        <f>'Monthly D6 Gallon Data'!BB166</f>
        <v>0</v>
      </c>
      <c r="BS164" s="18">
        <f>'Monthly D7 Gallon Data'!Z166</f>
        <v>0</v>
      </c>
      <c r="BT164" s="18">
        <f t="shared" si="88"/>
        <v>1739</v>
      </c>
      <c r="BV164" s="244">
        <f t="shared" si="84"/>
        <v>45108</v>
      </c>
    </row>
    <row r="165" spans="1:74" ht="13.5">
      <c r="A165" s="146">
        <v>45139</v>
      </c>
      <c r="B165" s="18">
        <v>152345476</v>
      </c>
      <c r="C165" s="18">
        <v>0</v>
      </c>
      <c r="D165" s="18">
        <v>44239929</v>
      </c>
      <c r="E165" s="18">
        <f t="shared" si="59"/>
        <v>196585405</v>
      </c>
      <c r="F165" s="18">
        <f t="shared" si="65"/>
        <v>228402500</v>
      </c>
      <c r="G165" s="18">
        <f t="shared" si="66"/>
        <v>11913351</v>
      </c>
      <c r="H165" s="18">
        <f t="shared" si="67"/>
        <v>0</v>
      </c>
      <c r="I165" s="18">
        <f t="shared" si="89"/>
        <v>240315851</v>
      </c>
      <c r="J165" s="18">
        <f t="shared" si="68"/>
        <v>2038864</v>
      </c>
      <c r="K165" s="18">
        <v>1436324</v>
      </c>
      <c r="L165" s="18">
        <f t="shared" si="90"/>
        <v>3475188</v>
      </c>
      <c r="M165" s="18">
        <v>0</v>
      </c>
      <c r="N165" s="18">
        <f t="shared" si="73"/>
        <v>0</v>
      </c>
      <c r="O165" s="18">
        <f t="shared" si="74"/>
        <v>382786840</v>
      </c>
      <c r="P165" s="18">
        <f t="shared" si="69"/>
        <v>11913351</v>
      </c>
      <c r="Q165" s="18">
        <f t="shared" si="70"/>
        <v>45676253</v>
      </c>
      <c r="R165" s="235">
        <f t="shared" si="71"/>
        <v>440376444</v>
      </c>
      <c r="S165" s="18">
        <v>0</v>
      </c>
      <c r="T165" s="18">
        <v>54002619</v>
      </c>
      <c r="U165" s="18">
        <v>174399881</v>
      </c>
      <c r="V165" s="18">
        <f t="shared" si="61"/>
        <v>228402500</v>
      </c>
      <c r="W165" s="18">
        <v>0</v>
      </c>
      <c r="X165" s="18">
        <v>2926349</v>
      </c>
      <c r="Y165" s="18">
        <v>8987002</v>
      </c>
      <c r="Z165" s="18">
        <f t="shared" si="62"/>
        <v>11913351</v>
      </c>
      <c r="AA165" s="18">
        <v>0</v>
      </c>
      <c r="AB165" s="18">
        <v>0</v>
      </c>
      <c r="AC165" s="18">
        <v>0</v>
      </c>
      <c r="AD165" s="18">
        <f t="shared" si="60"/>
        <v>0</v>
      </c>
      <c r="AE165" s="18">
        <v>2038864</v>
      </c>
      <c r="AF165" s="18">
        <v>0</v>
      </c>
      <c r="AG165" s="236">
        <f t="shared" si="72"/>
        <v>2038864</v>
      </c>
      <c r="AH165" s="18">
        <f t="shared" si="85"/>
        <v>1110552258</v>
      </c>
      <c r="AI165" s="18">
        <f t="shared" si="85"/>
        <v>0</v>
      </c>
      <c r="AJ165" s="18">
        <f t="shared" si="85"/>
        <v>300290537</v>
      </c>
      <c r="AK165" s="18">
        <f t="shared" si="85"/>
        <v>1410842795</v>
      </c>
      <c r="AL165" s="18">
        <f t="shared" si="85"/>
        <v>1449081743</v>
      </c>
      <c r="AM165" s="18">
        <f t="shared" si="85"/>
        <v>271727479</v>
      </c>
      <c r="AN165" s="18">
        <f t="shared" si="85"/>
        <v>0</v>
      </c>
      <c r="AO165" s="18">
        <f t="shared" si="85"/>
        <v>1720809222</v>
      </c>
      <c r="AP165" s="18">
        <f t="shared" si="85"/>
        <v>9948426</v>
      </c>
      <c r="AQ165" s="18">
        <f t="shared" si="85"/>
        <v>7045293</v>
      </c>
      <c r="AR165" s="18">
        <f t="shared" si="85"/>
        <v>16993719</v>
      </c>
      <c r="AS165" s="18">
        <f t="shared" si="85"/>
        <v>210548</v>
      </c>
      <c r="AT165" s="18">
        <f t="shared" si="85"/>
        <v>210548</v>
      </c>
      <c r="AU165" s="18">
        <f t="shared" si="85"/>
        <v>2569792975</v>
      </c>
      <c r="AV165" s="18">
        <f t="shared" si="85"/>
        <v>271727479</v>
      </c>
      <c r="AW165" s="18">
        <f t="shared" si="85"/>
        <v>307335830</v>
      </c>
      <c r="AX165" s="18">
        <f t="shared" si="85"/>
        <v>3148856284</v>
      </c>
      <c r="AY165" s="26">
        <f t="shared" si="80"/>
        <v>0.37980887256125939</v>
      </c>
      <c r="AZ165" s="14"/>
      <c r="BA165" s="18">
        <f t="shared" si="86"/>
        <v>1089</v>
      </c>
      <c r="BB165" s="18">
        <v>3148855195</v>
      </c>
      <c r="BC165" s="14"/>
      <c r="BD165" s="244">
        <v>45139</v>
      </c>
      <c r="BE165" s="18">
        <f t="shared" si="87"/>
        <v>1594</v>
      </c>
      <c r="BF165" s="18">
        <f t="shared" si="87"/>
        <v>0</v>
      </c>
      <c r="BG165" s="18">
        <f t="shared" si="87"/>
        <v>0</v>
      </c>
      <c r="BH165" s="18">
        <f t="shared" si="87"/>
        <v>0</v>
      </c>
      <c r="BI165" s="18">
        <f t="shared" si="87"/>
        <v>0</v>
      </c>
      <c r="BJ165" s="18">
        <f t="shared" si="87"/>
        <v>1594</v>
      </c>
      <c r="BM165" s="18">
        <f t="shared" si="76"/>
        <v>14205691.741935484</v>
      </c>
      <c r="BO165" s="18">
        <f>'Monthly D3 Gallon Data'!AH167</f>
        <v>2215</v>
      </c>
      <c r="BP165" s="18">
        <f t="shared" si="83"/>
        <v>1089</v>
      </c>
      <c r="BQ165" s="18">
        <f>'Monthly D5 Gallon Data'!BD167</f>
        <v>29</v>
      </c>
      <c r="BR165" s="18">
        <f>'Monthly D6 Gallon Data'!BB167</f>
        <v>0</v>
      </c>
      <c r="BS165" s="18">
        <f>'Monthly D7 Gallon Data'!Z167</f>
        <v>0</v>
      </c>
      <c r="BT165" s="18">
        <f t="shared" si="88"/>
        <v>3333</v>
      </c>
      <c r="BV165" s="244">
        <f t="shared" si="84"/>
        <v>45139</v>
      </c>
    </row>
    <row r="166" spans="1:74" ht="13.5">
      <c r="A166" s="146">
        <v>45170</v>
      </c>
      <c r="B166" s="18">
        <v>143870897</v>
      </c>
      <c r="C166" s="18">
        <v>0</v>
      </c>
      <c r="D166" s="18">
        <v>40464493</v>
      </c>
      <c r="E166" s="18">
        <f t="shared" si="59"/>
        <v>184335390</v>
      </c>
      <c r="F166" s="18">
        <f t="shared" si="65"/>
        <v>226606008</v>
      </c>
      <c r="G166" s="18">
        <f t="shared" si="66"/>
        <v>7807521</v>
      </c>
      <c r="H166" s="18">
        <f t="shared" si="67"/>
        <v>0</v>
      </c>
      <c r="I166" s="18">
        <f t="shared" si="89"/>
        <v>234413529</v>
      </c>
      <c r="J166" s="18">
        <f t="shared" si="68"/>
        <v>659302</v>
      </c>
      <c r="K166" s="18">
        <v>1503762</v>
      </c>
      <c r="L166" s="18">
        <f t="shared" si="90"/>
        <v>2163064</v>
      </c>
      <c r="M166" s="18">
        <v>0</v>
      </c>
      <c r="N166" s="18">
        <f t="shared" si="73"/>
        <v>0</v>
      </c>
      <c r="O166" s="18">
        <f t="shared" si="74"/>
        <v>371136207</v>
      </c>
      <c r="P166" s="18">
        <f t="shared" si="69"/>
        <v>7807521</v>
      </c>
      <c r="Q166" s="18">
        <f t="shared" si="70"/>
        <v>41968255</v>
      </c>
      <c r="R166" s="235">
        <f t="shared" si="71"/>
        <v>420911983</v>
      </c>
      <c r="S166" s="18">
        <v>0</v>
      </c>
      <c r="T166" s="18">
        <v>45782234</v>
      </c>
      <c r="U166" s="18">
        <v>180823774</v>
      </c>
      <c r="V166" s="18">
        <f t="shared" si="61"/>
        <v>226606008</v>
      </c>
      <c r="W166" s="18">
        <v>0</v>
      </c>
      <c r="X166" s="18">
        <v>681735</v>
      </c>
      <c r="Y166" s="18">
        <v>7125786</v>
      </c>
      <c r="Z166" s="18">
        <f t="shared" si="62"/>
        <v>7807521</v>
      </c>
      <c r="AA166" s="18">
        <v>0</v>
      </c>
      <c r="AB166" s="18">
        <v>0</v>
      </c>
      <c r="AC166" s="18">
        <v>0</v>
      </c>
      <c r="AD166" s="18">
        <f t="shared" si="60"/>
        <v>0</v>
      </c>
      <c r="AE166" s="18">
        <v>659302</v>
      </c>
      <c r="AF166" s="18">
        <v>0</v>
      </c>
      <c r="AG166" s="236">
        <f t="shared" si="72"/>
        <v>659302</v>
      </c>
      <c r="AH166" s="18">
        <f t="shared" si="85"/>
        <v>1254423155</v>
      </c>
      <c r="AI166" s="18">
        <f t="shared" si="85"/>
        <v>0</v>
      </c>
      <c r="AJ166" s="18">
        <f t="shared" si="85"/>
        <v>340755030</v>
      </c>
      <c r="AK166" s="18">
        <f t="shared" si="85"/>
        <v>1595178185</v>
      </c>
      <c r="AL166" s="18">
        <f t="shared" si="85"/>
        <v>1675687751</v>
      </c>
      <c r="AM166" s="18">
        <f t="shared" si="85"/>
        <v>279535000</v>
      </c>
      <c r="AN166" s="18">
        <f t="shared" si="85"/>
        <v>0</v>
      </c>
      <c r="AO166" s="18">
        <f t="shared" si="85"/>
        <v>1955222751</v>
      </c>
      <c r="AP166" s="18">
        <f t="shared" si="85"/>
        <v>10607728</v>
      </c>
      <c r="AQ166" s="18">
        <f t="shared" si="85"/>
        <v>8549055</v>
      </c>
      <c r="AR166" s="18">
        <f t="shared" si="85"/>
        <v>19156783</v>
      </c>
      <c r="AS166" s="18">
        <f t="shared" si="85"/>
        <v>210548</v>
      </c>
      <c r="AT166" s="18">
        <f t="shared" si="85"/>
        <v>210548</v>
      </c>
      <c r="AU166" s="18">
        <f t="shared" si="85"/>
        <v>2940929182</v>
      </c>
      <c r="AV166" s="18">
        <f t="shared" si="85"/>
        <v>279535000</v>
      </c>
      <c r="AW166" s="18">
        <f t="shared" si="85"/>
        <v>349304085</v>
      </c>
      <c r="AX166" s="18">
        <f t="shared" si="85"/>
        <v>3569768267</v>
      </c>
      <c r="AY166" s="26">
        <f t="shared" si="80"/>
        <v>0.37482126721750952</v>
      </c>
      <c r="AZ166" s="14"/>
      <c r="BA166" s="18">
        <f t="shared" si="86"/>
        <v>1089</v>
      </c>
      <c r="BB166" s="18">
        <v>3569767178</v>
      </c>
      <c r="BC166" s="14"/>
      <c r="BD166" s="244">
        <v>45170</v>
      </c>
      <c r="BE166" s="18">
        <f t="shared" si="87"/>
        <v>0</v>
      </c>
      <c r="BF166" s="18">
        <f t="shared" si="87"/>
        <v>0</v>
      </c>
      <c r="BG166" s="18">
        <f t="shared" si="87"/>
        <v>350</v>
      </c>
      <c r="BH166" s="18">
        <f t="shared" si="87"/>
        <v>7803</v>
      </c>
      <c r="BI166" s="18">
        <f t="shared" si="87"/>
        <v>0</v>
      </c>
      <c r="BJ166" s="18">
        <f t="shared" si="87"/>
        <v>8153</v>
      </c>
      <c r="BM166" s="18">
        <f>R166/30</f>
        <v>14030399.433333334</v>
      </c>
      <c r="BO166" s="18">
        <f>'Monthly D3 Gallon Data'!AH168</f>
        <v>2215</v>
      </c>
      <c r="BP166" s="18">
        <f t="shared" si="83"/>
        <v>1089</v>
      </c>
      <c r="BQ166" s="18">
        <f>'Monthly D5 Gallon Data'!BD168</f>
        <v>379</v>
      </c>
      <c r="BR166" s="18">
        <f>'Monthly D6 Gallon Data'!BB168</f>
        <v>7803</v>
      </c>
      <c r="BS166" s="18">
        <f>'Monthly D7 Gallon Data'!Z168</f>
        <v>0</v>
      </c>
      <c r="BT166" s="18">
        <f t="shared" si="88"/>
        <v>11486</v>
      </c>
      <c r="BV166" s="244">
        <f t="shared" si="84"/>
        <v>45170</v>
      </c>
    </row>
    <row r="167" spans="1:74" ht="13.5">
      <c r="A167" s="146">
        <v>45200</v>
      </c>
      <c r="B167" s="18">
        <v>144087366</v>
      </c>
      <c r="C167" s="18">
        <v>0</v>
      </c>
      <c r="D167" s="18">
        <v>57044013</v>
      </c>
      <c r="E167" s="18">
        <f t="shared" si="59"/>
        <v>201131379</v>
      </c>
      <c r="F167" s="18">
        <f t="shared" si="65"/>
        <v>207126963</v>
      </c>
      <c r="G167" s="18">
        <f t="shared" si="66"/>
        <v>48149722</v>
      </c>
      <c r="H167" s="18">
        <f t="shared" si="67"/>
        <v>0</v>
      </c>
      <c r="I167" s="18">
        <f t="shared" si="89"/>
        <v>255276685</v>
      </c>
      <c r="J167" s="18">
        <f t="shared" si="68"/>
        <v>1465137</v>
      </c>
      <c r="K167" s="18">
        <v>1430740</v>
      </c>
      <c r="L167" s="18">
        <f t="shared" si="90"/>
        <v>2895877</v>
      </c>
      <c r="M167" s="18">
        <v>75400</v>
      </c>
      <c r="N167" s="18">
        <f t="shared" si="73"/>
        <v>75400</v>
      </c>
      <c r="O167" s="18">
        <f t="shared" si="74"/>
        <v>352754866</v>
      </c>
      <c r="P167" s="18">
        <f t="shared" si="69"/>
        <v>48149722</v>
      </c>
      <c r="Q167" s="18">
        <f t="shared" si="70"/>
        <v>58474753</v>
      </c>
      <c r="R167" s="235">
        <f t="shared" si="71"/>
        <v>459379341</v>
      </c>
      <c r="S167" s="18">
        <v>0</v>
      </c>
      <c r="T167" s="18">
        <v>56281754</v>
      </c>
      <c r="U167" s="18">
        <v>150845209</v>
      </c>
      <c r="V167" s="18">
        <f t="shared" si="61"/>
        <v>207126963</v>
      </c>
      <c r="W167" s="18">
        <v>0</v>
      </c>
      <c r="X167" s="18">
        <v>3015445</v>
      </c>
      <c r="Y167" s="18">
        <v>45134277</v>
      </c>
      <c r="Z167" s="18">
        <f t="shared" si="62"/>
        <v>48149722</v>
      </c>
      <c r="AA167" s="18">
        <v>0</v>
      </c>
      <c r="AB167" s="18">
        <v>0</v>
      </c>
      <c r="AC167" s="18">
        <v>0</v>
      </c>
      <c r="AD167" s="18">
        <f t="shared" si="60"/>
        <v>0</v>
      </c>
      <c r="AE167" s="18">
        <v>1465137</v>
      </c>
      <c r="AF167" s="18">
        <v>0</v>
      </c>
      <c r="AG167" s="236">
        <f t="shared" si="72"/>
        <v>1465137</v>
      </c>
      <c r="AH167" s="18">
        <f t="shared" si="85"/>
        <v>1398510521</v>
      </c>
      <c r="AI167" s="18">
        <f t="shared" si="85"/>
        <v>0</v>
      </c>
      <c r="AJ167" s="18">
        <f t="shared" si="85"/>
        <v>397799043</v>
      </c>
      <c r="AK167" s="18">
        <f t="shared" si="85"/>
        <v>1796309564</v>
      </c>
      <c r="AL167" s="18">
        <f t="shared" si="85"/>
        <v>1882814714</v>
      </c>
      <c r="AM167" s="18">
        <f t="shared" si="85"/>
        <v>327684722</v>
      </c>
      <c r="AN167" s="18">
        <f t="shared" si="85"/>
        <v>0</v>
      </c>
      <c r="AO167" s="18">
        <f t="shared" si="85"/>
        <v>2210499436</v>
      </c>
      <c r="AP167" s="18">
        <f t="shared" si="85"/>
        <v>12072865</v>
      </c>
      <c r="AQ167" s="18">
        <f t="shared" si="85"/>
        <v>9979795</v>
      </c>
      <c r="AR167" s="18">
        <f t="shared" si="85"/>
        <v>22052660</v>
      </c>
      <c r="AS167" s="18">
        <f t="shared" si="85"/>
        <v>285948</v>
      </c>
      <c r="AT167" s="18">
        <f t="shared" si="85"/>
        <v>285948</v>
      </c>
      <c r="AU167" s="18">
        <f t="shared" si="85"/>
        <v>3293684048</v>
      </c>
      <c r="AV167" s="18">
        <f t="shared" si="85"/>
        <v>327684722</v>
      </c>
      <c r="AW167" s="18">
        <f t="shared" si="85"/>
        <v>407778838</v>
      </c>
      <c r="AX167" s="18">
        <f t="shared" si="85"/>
        <v>4029147608</v>
      </c>
      <c r="AY167" s="26">
        <f t="shared" si="80"/>
        <v>0.39137267052426616</v>
      </c>
      <c r="AZ167" s="14"/>
      <c r="BA167" s="18">
        <f t="shared" si="86"/>
        <v>1089</v>
      </c>
      <c r="BB167" s="18">
        <v>4029146519</v>
      </c>
      <c r="BC167" s="14"/>
      <c r="BD167" s="244">
        <v>45200</v>
      </c>
      <c r="BE167" s="18">
        <f t="shared" si="87"/>
        <v>0</v>
      </c>
      <c r="BF167" s="18">
        <f t="shared" si="87"/>
        <v>0</v>
      </c>
      <c r="BG167" s="18">
        <f t="shared" si="87"/>
        <v>5</v>
      </c>
      <c r="BH167" s="18">
        <f t="shared" si="87"/>
        <v>0</v>
      </c>
      <c r="BI167" s="18">
        <f t="shared" si="87"/>
        <v>0</v>
      </c>
      <c r="BJ167" s="18">
        <f t="shared" si="87"/>
        <v>5</v>
      </c>
      <c r="BM167" s="18">
        <f t="shared" si="76"/>
        <v>14818688.419354839</v>
      </c>
      <c r="BO167" s="18">
        <f>'Monthly D3 Gallon Data'!AH169</f>
        <v>2215</v>
      </c>
      <c r="BP167" s="18">
        <f t="shared" si="83"/>
        <v>1089</v>
      </c>
      <c r="BQ167" s="18">
        <f>'Monthly D5 Gallon Data'!BD169</f>
        <v>384</v>
      </c>
      <c r="BR167" s="18">
        <f>'Monthly D6 Gallon Data'!BB169</f>
        <v>7803</v>
      </c>
      <c r="BS167" s="18">
        <f>'Monthly D7 Gallon Data'!Z169</f>
        <v>0</v>
      </c>
      <c r="BT167" s="18">
        <f t="shared" si="88"/>
        <v>11491</v>
      </c>
      <c r="BV167" s="244">
        <f t="shared" si="84"/>
        <v>45200</v>
      </c>
    </row>
    <row r="168" spans="1:74" ht="13.5">
      <c r="A168" s="146">
        <v>45231</v>
      </c>
      <c r="B168" s="18">
        <v>135022031</v>
      </c>
      <c r="C168" s="18">
        <v>0</v>
      </c>
      <c r="D168" s="18">
        <v>42541477</v>
      </c>
      <c r="E168" s="18">
        <f t="shared" si="59"/>
        <v>177563508</v>
      </c>
      <c r="F168" s="18">
        <f t="shared" si="65"/>
        <v>201017950</v>
      </c>
      <c r="G168" s="18">
        <f t="shared" si="66"/>
        <v>45362116</v>
      </c>
      <c r="H168" s="18">
        <f t="shared" si="67"/>
        <v>0</v>
      </c>
      <c r="I168" s="18">
        <f t="shared" si="89"/>
        <v>246380066</v>
      </c>
      <c r="J168" s="18">
        <f t="shared" si="68"/>
        <v>0</v>
      </c>
      <c r="K168" s="18">
        <v>0</v>
      </c>
      <c r="L168" s="18">
        <f t="shared" si="90"/>
        <v>0</v>
      </c>
      <c r="M168" s="18">
        <v>124339</v>
      </c>
      <c r="N168" s="18">
        <f t="shared" si="73"/>
        <v>124339</v>
      </c>
      <c r="O168" s="18">
        <f t="shared" si="74"/>
        <v>336164320</v>
      </c>
      <c r="P168" s="18">
        <f t="shared" si="69"/>
        <v>45362116</v>
      </c>
      <c r="Q168" s="18">
        <f t="shared" si="70"/>
        <v>42541477</v>
      </c>
      <c r="R168" s="235">
        <f t="shared" si="71"/>
        <v>424067913</v>
      </c>
      <c r="S168" s="18">
        <v>0</v>
      </c>
      <c r="T168" s="18">
        <v>49803089</v>
      </c>
      <c r="U168" s="18">
        <v>151214861</v>
      </c>
      <c r="V168" s="18">
        <f t="shared" si="61"/>
        <v>201017950</v>
      </c>
      <c r="W168" s="18">
        <v>0</v>
      </c>
      <c r="X168" s="18">
        <v>2321619</v>
      </c>
      <c r="Y168" s="18">
        <v>43040497</v>
      </c>
      <c r="Z168" s="18">
        <f t="shared" si="62"/>
        <v>45362116</v>
      </c>
      <c r="AA168" s="18">
        <v>0</v>
      </c>
      <c r="AB168" s="18">
        <v>0</v>
      </c>
      <c r="AC168" s="18">
        <v>0</v>
      </c>
      <c r="AD168" s="18">
        <f t="shared" si="60"/>
        <v>0</v>
      </c>
      <c r="AE168" s="18">
        <v>0</v>
      </c>
      <c r="AF168" s="18">
        <v>0</v>
      </c>
      <c r="AG168" s="236">
        <f t="shared" si="72"/>
        <v>0</v>
      </c>
      <c r="AH168" s="18">
        <f t="shared" si="85"/>
        <v>1533532552</v>
      </c>
      <c r="AI168" s="18">
        <f t="shared" si="85"/>
        <v>0</v>
      </c>
      <c r="AJ168" s="18">
        <f t="shared" si="85"/>
        <v>440340520</v>
      </c>
      <c r="AK168" s="18">
        <f t="shared" si="85"/>
        <v>1973873072</v>
      </c>
      <c r="AL168" s="18">
        <f t="shared" si="85"/>
        <v>2083832664</v>
      </c>
      <c r="AM168" s="18">
        <f t="shared" si="85"/>
        <v>373046838</v>
      </c>
      <c r="AN168" s="18">
        <f t="shared" si="85"/>
        <v>0</v>
      </c>
      <c r="AO168" s="18">
        <f t="shared" si="85"/>
        <v>2456879502</v>
      </c>
      <c r="AP168" s="18">
        <f t="shared" si="85"/>
        <v>12072865</v>
      </c>
      <c r="AQ168" s="18">
        <f t="shared" si="85"/>
        <v>9979795</v>
      </c>
      <c r="AR168" s="18">
        <f t="shared" si="85"/>
        <v>22052660</v>
      </c>
      <c r="AS168" s="18">
        <f t="shared" si="85"/>
        <v>410287</v>
      </c>
      <c r="AT168" s="18">
        <f t="shared" si="85"/>
        <v>410287</v>
      </c>
      <c r="AU168" s="18">
        <f t="shared" si="85"/>
        <v>3629848368</v>
      </c>
      <c r="AV168" s="18">
        <f t="shared" si="85"/>
        <v>373046838</v>
      </c>
      <c r="AW168" s="18">
        <f t="shared" si="85"/>
        <v>450320315</v>
      </c>
      <c r="AX168" s="18">
        <f t="shared" si="85"/>
        <v>4453215521</v>
      </c>
      <c r="AY168" s="26">
        <f t="shared" si="80"/>
        <v>0.36608728474400665</v>
      </c>
      <c r="AZ168" s="14"/>
      <c r="BA168" s="18">
        <f t="shared" si="86"/>
        <v>1089</v>
      </c>
      <c r="BB168" s="18">
        <v>4453214432</v>
      </c>
      <c r="BC168" s="14"/>
      <c r="BD168" s="244">
        <v>45231</v>
      </c>
      <c r="BE168" s="18">
        <f t="shared" si="87"/>
        <v>0</v>
      </c>
      <c r="BF168" s="18">
        <f t="shared" si="87"/>
        <v>0</v>
      </c>
      <c r="BG168" s="18">
        <f t="shared" si="87"/>
        <v>0</v>
      </c>
      <c r="BH168" s="18">
        <f t="shared" si="87"/>
        <v>8499</v>
      </c>
      <c r="BI168" s="18">
        <f t="shared" si="87"/>
        <v>0</v>
      </c>
      <c r="BJ168" s="18">
        <f t="shared" si="87"/>
        <v>8499</v>
      </c>
      <c r="BM168" s="18">
        <f>R168/30</f>
        <v>14135597.1</v>
      </c>
      <c r="BO168" s="18">
        <f>'Monthly D3 Gallon Data'!AH170</f>
        <v>2215</v>
      </c>
      <c r="BP168" s="18">
        <f t="shared" si="83"/>
        <v>1089</v>
      </c>
      <c r="BQ168" s="18">
        <f>'Monthly D5 Gallon Data'!BD170</f>
        <v>384</v>
      </c>
      <c r="BR168" s="18">
        <f>'Monthly D6 Gallon Data'!BB170</f>
        <v>16302</v>
      </c>
      <c r="BS168" s="18">
        <f>'Monthly D7 Gallon Data'!Z170</f>
        <v>0</v>
      </c>
      <c r="BT168" s="18">
        <f t="shared" si="88"/>
        <v>19990</v>
      </c>
      <c r="BV168" s="244">
        <f t="shared" si="84"/>
        <v>45231</v>
      </c>
    </row>
    <row r="169" spans="1:74" ht="14.25" thickBot="1">
      <c r="A169" s="146">
        <v>45261</v>
      </c>
      <c r="B169" s="18">
        <v>135716325</v>
      </c>
      <c r="C169" s="18">
        <v>0</v>
      </c>
      <c r="D169" s="18">
        <v>64593783</v>
      </c>
      <c r="E169" s="18">
        <f t="shared" si="59"/>
        <v>200310108</v>
      </c>
      <c r="F169" s="18">
        <f t="shared" si="65"/>
        <v>271248613</v>
      </c>
      <c r="G169" s="18">
        <f t="shared" si="66"/>
        <v>48215083</v>
      </c>
      <c r="H169" s="18">
        <f t="shared" si="67"/>
        <v>0</v>
      </c>
      <c r="I169" s="18">
        <f t="shared" si="89"/>
        <v>319463696</v>
      </c>
      <c r="J169" s="18">
        <f t="shared" si="68"/>
        <v>117932</v>
      </c>
      <c r="K169" s="18">
        <v>2304197</v>
      </c>
      <c r="L169" s="18">
        <f t="shared" si="90"/>
        <v>2422129</v>
      </c>
      <c r="M169" s="18">
        <v>345639</v>
      </c>
      <c r="N169" s="18">
        <f t="shared" si="73"/>
        <v>345639</v>
      </c>
      <c r="O169" s="18">
        <f t="shared" si="74"/>
        <v>407428509</v>
      </c>
      <c r="P169" s="18">
        <f t="shared" si="69"/>
        <v>48215083</v>
      </c>
      <c r="Q169" s="18">
        <f t="shared" si="70"/>
        <v>66897980</v>
      </c>
      <c r="R169" s="235">
        <f t="shared" si="71"/>
        <v>522541572</v>
      </c>
      <c r="S169" s="18">
        <v>0</v>
      </c>
      <c r="T169" s="18">
        <v>57399372</v>
      </c>
      <c r="U169" s="18">
        <v>213849241</v>
      </c>
      <c r="V169" s="18">
        <f t="shared" si="61"/>
        <v>271248613</v>
      </c>
      <c r="W169" s="18">
        <v>0</v>
      </c>
      <c r="X169" s="18">
        <v>2236004</v>
      </c>
      <c r="Y169" s="18">
        <v>45979079</v>
      </c>
      <c r="Z169" s="18">
        <f t="shared" si="62"/>
        <v>48215083</v>
      </c>
      <c r="AA169" s="18">
        <v>0</v>
      </c>
      <c r="AB169" s="18">
        <v>0</v>
      </c>
      <c r="AC169" s="18">
        <v>0</v>
      </c>
      <c r="AD169" s="18">
        <f t="shared" si="60"/>
        <v>0</v>
      </c>
      <c r="AE169" s="18">
        <v>117932</v>
      </c>
      <c r="AF169" s="18">
        <v>0</v>
      </c>
      <c r="AG169" s="236">
        <f t="shared" si="72"/>
        <v>117932</v>
      </c>
      <c r="AH169" s="18">
        <f t="shared" si="85"/>
        <v>1669248877</v>
      </c>
      <c r="AI169" s="18">
        <f t="shared" si="85"/>
        <v>0</v>
      </c>
      <c r="AJ169" s="18">
        <f t="shared" si="85"/>
        <v>504934303</v>
      </c>
      <c r="AK169" s="18">
        <f t="shared" si="85"/>
        <v>2174183180</v>
      </c>
      <c r="AL169" s="18">
        <f t="shared" si="85"/>
        <v>2355081277</v>
      </c>
      <c r="AM169" s="18">
        <f t="shared" si="85"/>
        <v>421261921</v>
      </c>
      <c r="AN169" s="18">
        <f t="shared" si="85"/>
        <v>0</v>
      </c>
      <c r="AO169" s="18">
        <f t="shared" si="85"/>
        <v>2776343198</v>
      </c>
      <c r="AP169" s="18">
        <f t="shared" si="85"/>
        <v>12190797</v>
      </c>
      <c r="AQ169" s="18">
        <f t="shared" si="85"/>
        <v>12283992</v>
      </c>
      <c r="AR169" s="18">
        <f t="shared" si="85"/>
        <v>24474789</v>
      </c>
      <c r="AS169" s="18">
        <f t="shared" si="85"/>
        <v>755926</v>
      </c>
      <c r="AT169" s="18">
        <f t="shared" si="85"/>
        <v>755926</v>
      </c>
      <c r="AU169" s="18">
        <f t="shared" si="85"/>
        <v>4037276877</v>
      </c>
      <c r="AV169" s="18">
        <f t="shared" si="85"/>
        <v>421261921</v>
      </c>
      <c r="AW169" s="18">
        <f t="shared" si="85"/>
        <v>517218295</v>
      </c>
      <c r="AX169" s="18">
        <f t="shared" si="85"/>
        <v>4975757093</v>
      </c>
      <c r="AY169" s="26">
        <f t="shared" si="80"/>
        <v>0.37166640339595025</v>
      </c>
      <c r="AZ169" s="14"/>
      <c r="BA169" s="18">
        <f t="shared" si="86"/>
        <v>1089</v>
      </c>
      <c r="BB169" s="18">
        <v>4975756004</v>
      </c>
      <c r="BC169" s="14"/>
      <c r="BD169" s="244">
        <v>45261</v>
      </c>
      <c r="BE169" s="18">
        <f t="shared" si="87"/>
        <v>0</v>
      </c>
      <c r="BF169" s="18">
        <f t="shared" si="87"/>
        <v>0</v>
      </c>
      <c r="BG169" s="18">
        <f t="shared" si="87"/>
        <v>0</v>
      </c>
      <c r="BH169" s="18">
        <f t="shared" si="87"/>
        <v>0</v>
      </c>
      <c r="BI169" s="18">
        <f t="shared" si="87"/>
        <v>0</v>
      </c>
      <c r="BJ169" s="18">
        <f t="shared" si="87"/>
        <v>0</v>
      </c>
      <c r="BM169" s="18">
        <f t="shared" si="76"/>
        <v>16856179.741935484</v>
      </c>
      <c r="BO169" s="18">
        <f>'Monthly D3 Gallon Data'!AH171</f>
        <v>2215</v>
      </c>
      <c r="BP169" s="18">
        <f t="shared" si="83"/>
        <v>1089</v>
      </c>
      <c r="BQ169" s="18">
        <f>'Monthly D5 Gallon Data'!BD171</f>
        <v>384</v>
      </c>
      <c r="BR169" s="18">
        <f>'Monthly D6 Gallon Data'!BB171</f>
        <v>16302</v>
      </c>
      <c r="BS169" s="18">
        <f>'Monthly D7 Gallon Data'!Z171</f>
        <v>0</v>
      </c>
      <c r="BT169" s="18">
        <f t="shared" si="88"/>
        <v>19990</v>
      </c>
      <c r="BV169" s="244">
        <f t="shared" si="84"/>
        <v>45261</v>
      </c>
    </row>
    <row r="170" spans="1:74" ht="13.5">
      <c r="A170" s="240">
        <v>45292</v>
      </c>
      <c r="B170" s="241">
        <v>120715672</v>
      </c>
      <c r="C170" s="241">
        <v>0</v>
      </c>
      <c r="D170" s="241">
        <v>40314733</v>
      </c>
      <c r="E170" s="241">
        <f t="shared" si="59"/>
        <v>161030405</v>
      </c>
      <c r="F170" s="241">
        <f t="shared" si="65"/>
        <v>225009486</v>
      </c>
      <c r="G170" s="241">
        <f t="shared" si="66"/>
        <v>24232960</v>
      </c>
      <c r="H170" s="241">
        <f t="shared" si="67"/>
        <v>0</v>
      </c>
      <c r="I170" s="241">
        <f t="shared" si="89"/>
        <v>249242446</v>
      </c>
      <c r="J170" s="241">
        <v>833897</v>
      </c>
      <c r="K170" s="241">
        <v>8826729</v>
      </c>
      <c r="L170" s="241">
        <f t="shared" si="90"/>
        <v>9660626</v>
      </c>
      <c r="M170" s="241">
        <v>0</v>
      </c>
      <c r="N170" s="241">
        <f t="shared" si="73"/>
        <v>0</v>
      </c>
      <c r="O170" s="241">
        <f t="shared" si="74"/>
        <v>346559055</v>
      </c>
      <c r="P170" s="241">
        <f t="shared" si="69"/>
        <v>24232960</v>
      </c>
      <c r="Q170" s="241">
        <f t="shared" si="70"/>
        <v>49141462</v>
      </c>
      <c r="R170" s="242">
        <f t="shared" si="71"/>
        <v>419933477</v>
      </c>
      <c r="S170" s="241">
        <v>0</v>
      </c>
      <c r="T170" s="241">
        <v>48378427</v>
      </c>
      <c r="U170" s="241">
        <v>176631059</v>
      </c>
      <c r="V170" s="241">
        <f t="shared" si="61"/>
        <v>225009486</v>
      </c>
      <c r="W170" s="241">
        <v>0</v>
      </c>
      <c r="X170" s="241">
        <v>0</v>
      </c>
      <c r="Y170" s="241">
        <v>24232960</v>
      </c>
      <c r="Z170" s="241">
        <f t="shared" si="62"/>
        <v>24232960</v>
      </c>
      <c r="AA170" s="241">
        <v>0</v>
      </c>
      <c r="AB170" s="241">
        <v>0</v>
      </c>
      <c r="AC170" s="241">
        <v>0</v>
      </c>
      <c r="AD170" s="241">
        <f t="shared" si="60"/>
        <v>0</v>
      </c>
      <c r="AE170" s="241">
        <v>833897</v>
      </c>
      <c r="AF170" s="241">
        <v>0</v>
      </c>
      <c r="AG170" s="243">
        <f t="shared" si="72"/>
        <v>833897</v>
      </c>
      <c r="AH170" s="241">
        <f t="shared" ref="AH170:AX170" si="91">B170</f>
        <v>120715672</v>
      </c>
      <c r="AI170" s="241">
        <f t="shared" si="91"/>
        <v>0</v>
      </c>
      <c r="AJ170" s="241">
        <f t="shared" si="91"/>
        <v>40314733</v>
      </c>
      <c r="AK170" s="241">
        <f t="shared" si="91"/>
        <v>161030405</v>
      </c>
      <c r="AL170" s="241">
        <f t="shared" si="91"/>
        <v>225009486</v>
      </c>
      <c r="AM170" s="241">
        <f t="shared" si="91"/>
        <v>24232960</v>
      </c>
      <c r="AN170" s="241">
        <f t="shared" si="91"/>
        <v>0</v>
      </c>
      <c r="AO170" s="241">
        <f t="shared" si="91"/>
        <v>249242446</v>
      </c>
      <c r="AP170" s="241">
        <f t="shared" si="91"/>
        <v>833897</v>
      </c>
      <c r="AQ170" s="241">
        <f t="shared" si="91"/>
        <v>8826729</v>
      </c>
      <c r="AR170" s="241">
        <f t="shared" si="91"/>
        <v>9660626</v>
      </c>
      <c r="AS170" s="241">
        <f t="shared" si="91"/>
        <v>0</v>
      </c>
      <c r="AT170" s="241">
        <f t="shared" si="91"/>
        <v>0</v>
      </c>
      <c r="AU170" s="241">
        <f t="shared" si="91"/>
        <v>346559055</v>
      </c>
      <c r="AV170" s="241">
        <f t="shared" si="91"/>
        <v>24232960</v>
      </c>
      <c r="AW170" s="241">
        <f t="shared" si="91"/>
        <v>49141462</v>
      </c>
      <c r="AX170" s="241">
        <f t="shared" si="91"/>
        <v>419933477</v>
      </c>
      <c r="AY170" s="26">
        <f t="shared" si="80"/>
        <v>0.28517981760997069</v>
      </c>
      <c r="AZ170" s="14"/>
      <c r="BA170" s="18">
        <f t="shared" si="86"/>
        <v>0</v>
      </c>
      <c r="BB170" s="18">
        <v>419933477</v>
      </c>
      <c r="BC170" s="14"/>
      <c r="BD170" s="244">
        <v>45292</v>
      </c>
      <c r="BE170" s="18">
        <f>BO170-0</f>
        <v>0</v>
      </c>
      <c r="BF170" s="18">
        <f>BP170-0</f>
        <v>0</v>
      </c>
      <c r="BG170" s="18">
        <f>BQ170-0</f>
        <v>0</v>
      </c>
      <c r="BH170" s="18">
        <f>BR170-0</f>
        <v>141814</v>
      </c>
      <c r="BI170" s="18">
        <f>BS170-0</f>
        <v>0</v>
      </c>
      <c r="BJ170" s="18"/>
      <c r="BK170" s="18">
        <f>BU170-0</f>
        <v>141814</v>
      </c>
      <c r="BM170" s="18">
        <f>R170/31</f>
        <v>13546241.193548387</v>
      </c>
      <c r="BO170" s="18">
        <f>'Monthly D3 Gallon Data'!AH172</f>
        <v>0</v>
      </c>
      <c r="BP170" s="18">
        <f t="shared" si="83"/>
        <v>0</v>
      </c>
      <c r="BQ170" s="18">
        <f>'Monthly D5 Gallon Data'!BD172</f>
        <v>0</v>
      </c>
      <c r="BR170" s="18">
        <f>'Monthly D6 Gallon Data'!BB172</f>
        <v>141814</v>
      </c>
      <c r="BS170" s="18">
        <f>'Monthly D7 Gallon Data'!Z172</f>
        <v>0</v>
      </c>
      <c r="BU170" s="18">
        <f>SUM(BO170:BS170)</f>
        <v>141814</v>
      </c>
      <c r="BV170" s="244">
        <f t="shared" si="84"/>
        <v>45292</v>
      </c>
    </row>
    <row r="171" spans="1:74" ht="13.5">
      <c r="A171" s="146">
        <v>45323</v>
      </c>
      <c r="B171" s="18">
        <v>125799224</v>
      </c>
      <c r="C171" s="18">
        <v>0</v>
      </c>
      <c r="D171" s="18">
        <v>51955632</v>
      </c>
      <c r="E171" s="18">
        <f t="shared" si="59"/>
        <v>177754856</v>
      </c>
      <c r="F171" s="18">
        <f t="shared" si="65"/>
        <v>226138432</v>
      </c>
      <c r="G171" s="18">
        <f t="shared" si="66"/>
        <v>56213823</v>
      </c>
      <c r="H171" s="18">
        <f t="shared" si="67"/>
        <v>0</v>
      </c>
      <c r="I171" s="18">
        <f t="shared" si="89"/>
        <v>282352255</v>
      </c>
      <c r="J171" s="18">
        <v>1254939</v>
      </c>
      <c r="K171" s="18">
        <v>0</v>
      </c>
      <c r="L171" s="18">
        <f t="shared" si="90"/>
        <v>1254939</v>
      </c>
      <c r="M171" s="18">
        <v>98746</v>
      </c>
      <c r="N171" s="18">
        <f t="shared" si="73"/>
        <v>98746</v>
      </c>
      <c r="O171" s="18">
        <f t="shared" si="74"/>
        <v>353291341</v>
      </c>
      <c r="P171" s="18">
        <f t="shared" si="69"/>
        <v>56213823</v>
      </c>
      <c r="Q171" s="18">
        <f t="shared" si="70"/>
        <v>51955632</v>
      </c>
      <c r="R171" s="235">
        <f t="shared" si="71"/>
        <v>461460796</v>
      </c>
      <c r="S171" s="18">
        <v>0</v>
      </c>
      <c r="T171" s="18">
        <v>45465400</v>
      </c>
      <c r="U171" s="18">
        <v>180673032</v>
      </c>
      <c r="V171" s="18">
        <f t="shared" si="61"/>
        <v>226138432</v>
      </c>
      <c r="W171" s="18">
        <v>0</v>
      </c>
      <c r="X171" s="18">
        <v>0</v>
      </c>
      <c r="Y171" s="18">
        <v>56213823</v>
      </c>
      <c r="Z171" s="18">
        <f t="shared" si="62"/>
        <v>56213823</v>
      </c>
      <c r="AA171" s="18">
        <v>0</v>
      </c>
      <c r="AB171" s="18">
        <v>0</v>
      </c>
      <c r="AC171" s="18">
        <v>0</v>
      </c>
      <c r="AD171" s="18">
        <f t="shared" si="60"/>
        <v>0</v>
      </c>
      <c r="AE171" s="18">
        <v>1254939</v>
      </c>
      <c r="AF171" s="18">
        <v>0</v>
      </c>
      <c r="AG171" s="236">
        <f t="shared" si="72"/>
        <v>1254939</v>
      </c>
      <c r="AH171" s="18">
        <f t="shared" ref="AH171:AX181" si="92">AH170+B171</f>
        <v>246514896</v>
      </c>
      <c r="AI171" s="18">
        <f t="shared" si="92"/>
        <v>0</v>
      </c>
      <c r="AJ171" s="18">
        <f t="shared" si="92"/>
        <v>92270365</v>
      </c>
      <c r="AK171" s="18">
        <f t="shared" si="92"/>
        <v>338785261</v>
      </c>
      <c r="AL171" s="18">
        <f t="shared" si="92"/>
        <v>451147918</v>
      </c>
      <c r="AM171" s="18">
        <f t="shared" si="92"/>
        <v>80446783</v>
      </c>
      <c r="AN171" s="18">
        <f t="shared" si="92"/>
        <v>0</v>
      </c>
      <c r="AO171" s="18">
        <f t="shared" si="92"/>
        <v>531594701</v>
      </c>
      <c r="AP171" s="18">
        <f t="shared" si="92"/>
        <v>2088836</v>
      </c>
      <c r="AQ171" s="18">
        <f t="shared" si="92"/>
        <v>8826729</v>
      </c>
      <c r="AR171" s="18">
        <f t="shared" si="92"/>
        <v>10915565</v>
      </c>
      <c r="AS171" s="18">
        <f t="shared" si="92"/>
        <v>98746</v>
      </c>
      <c r="AT171" s="18">
        <f t="shared" si="92"/>
        <v>98746</v>
      </c>
      <c r="AU171" s="18">
        <f t="shared" si="92"/>
        <v>699850396</v>
      </c>
      <c r="AV171" s="18">
        <f t="shared" si="92"/>
        <v>80446783</v>
      </c>
      <c r="AW171" s="18">
        <f t="shared" si="92"/>
        <v>101097094</v>
      </c>
      <c r="AX171" s="18">
        <f t="shared" si="92"/>
        <v>881394273</v>
      </c>
      <c r="AY171" s="26">
        <f t="shared" si="80"/>
        <v>0.3522176386798983</v>
      </c>
      <c r="AZ171" s="14"/>
      <c r="BA171" s="18">
        <f t="shared" si="86"/>
        <v>652916</v>
      </c>
      <c r="BB171" s="18">
        <v>880741357</v>
      </c>
      <c r="BC171" s="14"/>
      <c r="BD171" s="244">
        <v>45323</v>
      </c>
      <c r="BE171" s="18">
        <f t="shared" si="87"/>
        <v>8712</v>
      </c>
      <c r="BF171" s="18">
        <f t="shared" si="87"/>
        <v>652916</v>
      </c>
      <c r="BG171" s="18">
        <f t="shared" si="87"/>
        <v>507</v>
      </c>
      <c r="BH171" s="18">
        <f t="shared" si="87"/>
        <v>232073</v>
      </c>
      <c r="BI171" s="18">
        <f t="shared" si="87"/>
        <v>0</v>
      </c>
      <c r="BJ171" s="18"/>
      <c r="BK171" s="18">
        <f>BU171-BU170</f>
        <v>894208</v>
      </c>
      <c r="BM171" s="18">
        <f>R171/29</f>
        <v>15912441.241379309</v>
      </c>
      <c r="BO171" s="18">
        <f>'Monthly D3 Gallon Data'!AH173</f>
        <v>8712</v>
      </c>
      <c r="BP171" s="18">
        <f t="shared" si="83"/>
        <v>652916</v>
      </c>
      <c r="BQ171" s="18">
        <f>'Monthly D5 Gallon Data'!BD173</f>
        <v>507</v>
      </c>
      <c r="BR171" s="18">
        <f>'Monthly D6 Gallon Data'!BB173</f>
        <v>373887</v>
      </c>
      <c r="BS171" s="18">
        <f>'Monthly D7 Gallon Data'!Z173</f>
        <v>0</v>
      </c>
      <c r="BU171" s="18">
        <f>SUM(BO171:BS171)</f>
        <v>1036022</v>
      </c>
      <c r="BV171" s="244">
        <f t="shared" si="84"/>
        <v>45323</v>
      </c>
    </row>
    <row r="172" spans="1:74">
      <c r="A172" s="146">
        <v>45352</v>
      </c>
      <c r="B172" s="18">
        <v>133485081</v>
      </c>
      <c r="C172" s="18">
        <v>0</v>
      </c>
      <c r="D172" s="18">
        <v>29890832</v>
      </c>
      <c r="E172" s="18">
        <f t="shared" si="59"/>
        <v>163375913</v>
      </c>
      <c r="F172" s="18">
        <f t="shared" si="65"/>
        <v>209952339</v>
      </c>
      <c r="G172" s="18">
        <f t="shared" si="66"/>
        <v>26633514</v>
      </c>
      <c r="H172" s="18">
        <f t="shared" si="67"/>
        <v>0</v>
      </c>
      <c r="I172" s="18">
        <f t="shared" si="89"/>
        <v>236585853</v>
      </c>
      <c r="J172" s="18">
        <v>2119258</v>
      </c>
      <c r="K172" s="147">
        <v>5663440</v>
      </c>
      <c r="L172" s="18">
        <f t="shared" si="90"/>
        <v>7782698</v>
      </c>
      <c r="M172" s="18">
        <v>0</v>
      </c>
      <c r="N172" s="18">
        <f t="shared" si="73"/>
        <v>0</v>
      </c>
      <c r="O172" s="18">
        <f t="shared" si="74"/>
        <v>345556678</v>
      </c>
      <c r="P172" s="18">
        <f t="shared" si="69"/>
        <v>26633514</v>
      </c>
      <c r="Q172" s="18">
        <f t="shared" si="70"/>
        <v>35554272</v>
      </c>
      <c r="R172" s="235">
        <f t="shared" si="71"/>
        <v>407744464</v>
      </c>
      <c r="S172" s="18">
        <v>0</v>
      </c>
      <c r="T172" s="18">
        <v>45072383</v>
      </c>
      <c r="U172" s="18">
        <v>164879956</v>
      </c>
      <c r="V172" s="18">
        <f t="shared" si="61"/>
        <v>209952339</v>
      </c>
      <c r="W172" s="18">
        <v>0</v>
      </c>
      <c r="X172" s="18">
        <v>0</v>
      </c>
      <c r="Y172" s="18">
        <v>26633514</v>
      </c>
      <c r="Z172" s="18">
        <f t="shared" si="62"/>
        <v>26633514</v>
      </c>
      <c r="AA172" s="18">
        <v>0</v>
      </c>
      <c r="AB172" s="18">
        <v>0</v>
      </c>
      <c r="AC172" s="18">
        <v>0</v>
      </c>
      <c r="AD172" s="18">
        <f t="shared" si="60"/>
        <v>0</v>
      </c>
      <c r="AE172" s="18">
        <v>2119258</v>
      </c>
      <c r="AF172" s="18">
        <v>0</v>
      </c>
      <c r="AG172" s="236">
        <f t="shared" si="72"/>
        <v>2119258</v>
      </c>
      <c r="AH172" s="18">
        <f t="shared" si="92"/>
        <v>379999977</v>
      </c>
      <c r="AI172" s="18">
        <f t="shared" si="92"/>
        <v>0</v>
      </c>
      <c r="AJ172" s="18">
        <f t="shared" si="92"/>
        <v>122161197</v>
      </c>
      <c r="AK172" s="18">
        <f t="shared" si="92"/>
        <v>502161174</v>
      </c>
      <c r="AL172" s="18">
        <f t="shared" si="92"/>
        <v>661100257</v>
      </c>
      <c r="AM172" s="18">
        <f t="shared" si="92"/>
        <v>107080297</v>
      </c>
      <c r="AN172" s="18">
        <f t="shared" si="92"/>
        <v>0</v>
      </c>
      <c r="AO172" s="18">
        <f t="shared" si="92"/>
        <v>768180554</v>
      </c>
      <c r="AP172" s="18">
        <f t="shared" si="92"/>
        <v>4208094</v>
      </c>
      <c r="AQ172" s="18">
        <f t="shared" si="92"/>
        <v>14490169</v>
      </c>
      <c r="AR172" s="18">
        <f t="shared" si="92"/>
        <v>18698263</v>
      </c>
      <c r="AS172" s="18">
        <f t="shared" si="92"/>
        <v>98746</v>
      </c>
      <c r="AT172" s="18">
        <f t="shared" si="92"/>
        <v>98746</v>
      </c>
      <c r="AU172" s="18">
        <f t="shared" si="92"/>
        <v>1045407074</v>
      </c>
      <c r="AV172" s="18">
        <f t="shared" si="92"/>
        <v>107080297</v>
      </c>
      <c r="AW172" s="18">
        <f t="shared" si="92"/>
        <v>136651366</v>
      </c>
      <c r="AX172" s="18">
        <f t="shared" si="92"/>
        <v>1289138737</v>
      </c>
      <c r="AY172" s="26">
        <f t="shared" si="80"/>
        <v>0.239709835951466</v>
      </c>
      <c r="AZ172" s="14"/>
      <c r="BA172" s="18"/>
      <c r="BB172" s="18">
        <v>1283899505</v>
      </c>
      <c r="BC172" s="14"/>
      <c r="BD172" s="244">
        <v>45352</v>
      </c>
      <c r="BE172" s="18">
        <f>BO172-BO171</f>
        <v>6300417</v>
      </c>
      <c r="BF172" s="18">
        <f>BP172-BP171</f>
        <v>-652916</v>
      </c>
      <c r="BG172" s="18">
        <f>BQ172-BQ171</f>
        <v>2026192</v>
      </c>
      <c r="BH172" s="18">
        <f>BR172-BR171</f>
        <v>13460</v>
      </c>
      <c r="BI172" s="18">
        <f>BS172-BS171</f>
        <v>0</v>
      </c>
      <c r="BK172" s="18">
        <f>BU172-BU171</f>
        <v>7687153</v>
      </c>
      <c r="BM172" s="18">
        <f>R172/31</f>
        <v>13153047.225806452</v>
      </c>
      <c r="BO172" s="18">
        <f>'Monthly D3 Gallon Data'!AH174</f>
        <v>6309129</v>
      </c>
      <c r="BP172" s="18">
        <f>BA172</f>
        <v>0</v>
      </c>
      <c r="BQ172" s="18">
        <f>'Monthly D5 Gallon Data'!BD174</f>
        <v>2026699</v>
      </c>
      <c r="BR172" s="18">
        <f>'Monthly D6 Gallon Data'!BB174</f>
        <v>387347</v>
      </c>
      <c r="BS172" s="18">
        <f>'Monthly D7 Gallon Data'!Z174</f>
        <v>0</v>
      </c>
      <c r="BU172" s="18">
        <f>SUM(BO172:BS172)</f>
        <v>8723175</v>
      </c>
      <c r="BV172" s="244">
        <f>A172</f>
        <v>45352</v>
      </c>
    </row>
    <row r="173" spans="1:74">
      <c r="A173" s="146">
        <v>45383</v>
      </c>
      <c r="B173" s="18">
        <v>135031996</v>
      </c>
      <c r="C173" s="18">
        <v>0</v>
      </c>
      <c r="D173" s="18">
        <v>48290339</v>
      </c>
      <c r="E173" s="18">
        <f t="shared" si="59"/>
        <v>183322335</v>
      </c>
      <c r="F173" s="18">
        <f t="shared" si="65"/>
        <v>279120152</v>
      </c>
      <c r="G173" s="18">
        <f t="shared" si="66"/>
        <v>27627664</v>
      </c>
      <c r="H173" s="18">
        <f t="shared" si="67"/>
        <v>0</v>
      </c>
      <c r="I173" s="18">
        <f t="shared" si="89"/>
        <v>306747816</v>
      </c>
      <c r="J173" s="18">
        <v>2743078</v>
      </c>
      <c r="K173" s="147">
        <v>5660163</v>
      </c>
      <c r="L173" s="18">
        <f t="shared" si="90"/>
        <v>8403241</v>
      </c>
      <c r="M173" s="18">
        <v>0</v>
      </c>
      <c r="N173" s="18">
        <f t="shared" si="73"/>
        <v>0</v>
      </c>
      <c r="O173" s="18">
        <f t="shared" si="74"/>
        <v>416895226</v>
      </c>
      <c r="P173" s="18">
        <f t="shared" si="69"/>
        <v>27627664</v>
      </c>
      <c r="Q173" s="18">
        <f t="shared" si="70"/>
        <v>53950502</v>
      </c>
      <c r="R173" s="235">
        <f t="shared" si="71"/>
        <v>498473392</v>
      </c>
      <c r="S173" s="18">
        <v>0</v>
      </c>
      <c r="T173" s="18">
        <v>52475286</v>
      </c>
      <c r="U173" s="18">
        <v>226644866</v>
      </c>
      <c r="V173" s="18">
        <f t="shared" si="61"/>
        <v>279120152</v>
      </c>
      <c r="W173" s="18">
        <v>0</v>
      </c>
      <c r="X173" s="18">
        <v>0</v>
      </c>
      <c r="Y173" s="18">
        <v>27627664</v>
      </c>
      <c r="Z173" s="18">
        <f t="shared" si="62"/>
        <v>27627664</v>
      </c>
      <c r="AA173" s="18">
        <v>0</v>
      </c>
      <c r="AB173" s="18">
        <v>0</v>
      </c>
      <c r="AC173" s="18">
        <v>0</v>
      </c>
      <c r="AD173" s="18">
        <f t="shared" si="60"/>
        <v>0</v>
      </c>
      <c r="AE173" s="18">
        <v>2743078</v>
      </c>
      <c r="AF173" s="18">
        <v>0</v>
      </c>
      <c r="AG173" s="236">
        <f t="shared" si="72"/>
        <v>2743078</v>
      </c>
      <c r="AH173" s="18">
        <f t="shared" si="92"/>
        <v>515031973</v>
      </c>
      <c r="AI173" s="18">
        <f t="shared" si="92"/>
        <v>0</v>
      </c>
      <c r="AJ173" s="18">
        <f t="shared" si="92"/>
        <v>170451536</v>
      </c>
      <c r="AK173" s="18">
        <f t="shared" si="92"/>
        <v>685483509</v>
      </c>
      <c r="AL173" s="18">
        <f t="shared" si="92"/>
        <v>940220409</v>
      </c>
      <c r="AM173" s="18">
        <f t="shared" si="92"/>
        <v>134707961</v>
      </c>
      <c r="AN173" s="18">
        <f t="shared" si="92"/>
        <v>0</v>
      </c>
      <c r="AO173" s="18">
        <f t="shared" si="92"/>
        <v>1074928370</v>
      </c>
      <c r="AP173" s="18">
        <f t="shared" si="92"/>
        <v>6951172</v>
      </c>
      <c r="AQ173" s="18">
        <f t="shared" si="92"/>
        <v>20150332</v>
      </c>
      <c r="AR173" s="18">
        <f t="shared" si="92"/>
        <v>27101504</v>
      </c>
      <c r="AS173" s="18">
        <f t="shared" si="92"/>
        <v>98746</v>
      </c>
      <c r="AT173" s="18">
        <f t="shared" si="92"/>
        <v>98746</v>
      </c>
      <c r="AU173" s="18">
        <f t="shared" si="92"/>
        <v>1462302300</v>
      </c>
      <c r="AV173" s="18">
        <f t="shared" si="92"/>
        <v>134707961</v>
      </c>
      <c r="AW173" s="18">
        <f t="shared" si="92"/>
        <v>190601868</v>
      </c>
      <c r="AX173" s="18">
        <f t="shared" si="92"/>
        <v>1787612129</v>
      </c>
      <c r="AY173" s="26">
        <f t="shared" si="80"/>
        <v>0.26151036258842608</v>
      </c>
      <c r="AZ173" s="14"/>
      <c r="BA173" s="14"/>
      <c r="BB173" s="14"/>
      <c r="BC173" s="14"/>
      <c r="BD173" s="244">
        <v>45383</v>
      </c>
    </row>
    <row r="174" spans="1:74">
      <c r="A174" s="138">
        <v>45413</v>
      </c>
      <c r="B174" s="18">
        <v>142081952</v>
      </c>
      <c r="C174" s="18">
        <v>0</v>
      </c>
      <c r="D174" s="18">
        <v>35451412</v>
      </c>
      <c r="E174" s="18">
        <f t="shared" si="59"/>
        <v>177533364</v>
      </c>
      <c r="F174" s="18">
        <f t="shared" si="65"/>
        <v>218975034</v>
      </c>
      <c r="G174" s="18">
        <f t="shared" si="66"/>
        <v>29680714</v>
      </c>
      <c r="H174" s="18">
        <f t="shared" si="67"/>
        <v>0</v>
      </c>
      <c r="I174" s="18">
        <f t="shared" si="89"/>
        <v>248655748</v>
      </c>
      <c r="J174" s="18">
        <v>3266216</v>
      </c>
      <c r="K174" s="147">
        <v>14789282</v>
      </c>
      <c r="L174" s="18">
        <f t="shared" si="90"/>
        <v>18055498</v>
      </c>
      <c r="M174" s="18">
        <v>0</v>
      </c>
      <c r="N174" s="18">
        <f t="shared" si="73"/>
        <v>0</v>
      </c>
      <c r="O174" s="18">
        <f t="shared" si="74"/>
        <v>364323202</v>
      </c>
      <c r="P174" s="18">
        <f t="shared" si="69"/>
        <v>29680714</v>
      </c>
      <c r="Q174" s="18">
        <f t="shared" si="70"/>
        <v>50240694</v>
      </c>
      <c r="R174" s="235">
        <f t="shared" si="71"/>
        <v>444244610</v>
      </c>
      <c r="S174" s="18">
        <v>0</v>
      </c>
      <c r="T174" s="18">
        <v>2010329</v>
      </c>
      <c r="U174" s="18">
        <v>216964705</v>
      </c>
      <c r="V174" s="18">
        <f t="shared" si="61"/>
        <v>218975034</v>
      </c>
      <c r="W174" s="18">
        <v>0</v>
      </c>
      <c r="X174" s="18">
        <v>0</v>
      </c>
      <c r="Y174" s="18">
        <v>29680714</v>
      </c>
      <c r="Z174" s="18">
        <f t="shared" si="62"/>
        <v>29680714</v>
      </c>
      <c r="AA174" s="18">
        <v>0</v>
      </c>
      <c r="AB174" s="18">
        <v>0</v>
      </c>
      <c r="AC174" s="18">
        <v>0</v>
      </c>
      <c r="AD174" s="18">
        <f t="shared" si="60"/>
        <v>0</v>
      </c>
      <c r="AE174" s="18">
        <v>3266216</v>
      </c>
      <c r="AF174" s="18">
        <v>0</v>
      </c>
      <c r="AG174" s="236">
        <f t="shared" si="72"/>
        <v>3266216</v>
      </c>
      <c r="AH174" s="18">
        <f t="shared" si="92"/>
        <v>657113925</v>
      </c>
      <c r="AI174" s="18">
        <f t="shared" si="92"/>
        <v>0</v>
      </c>
      <c r="AJ174" s="18">
        <f t="shared" si="92"/>
        <v>205902948</v>
      </c>
      <c r="AK174" s="18">
        <f t="shared" si="92"/>
        <v>863016873</v>
      </c>
      <c r="AL174" s="18">
        <f t="shared" si="92"/>
        <v>1159195443</v>
      </c>
      <c r="AM174" s="18">
        <f t="shared" si="92"/>
        <v>164388675</v>
      </c>
      <c r="AN174" s="18">
        <f t="shared" si="92"/>
        <v>0</v>
      </c>
      <c r="AO174" s="18">
        <f t="shared" si="92"/>
        <v>1323584118</v>
      </c>
      <c r="AP174" s="18">
        <f t="shared" si="92"/>
        <v>10217388</v>
      </c>
      <c r="AQ174" s="18">
        <f t="shared" si="92"/>
        <v>34939614</v>
      </c>
      <c r="AR174" s="18">
        <f t="shared" si="92"/>
        <v>45157002</v>
      </c>
      <c r="AS174" s="18">
        <f t="shared" si="92"/>
        <v>98746</v>
      </c>
      <c r="AT174" s="18">
        <f t="shared" si="92"/>
        <v>98746</v>
      </c>
      <c r="AU174" s="18">
        <f t="shared" si="92"/>
        <v>1826625502</v>
      </c>
      <c r="AV174" s="18">
        <f t="shared" si="92"/>
        <v>164388675</v>
      </c>
      <c r="AW174" s="18">
        <f t="shared" si="92"/>
        <v>240842562</v>
      </c>
      <c r="AX174" s="18">
        <f t="shared" si="92"/>
        <v>2231856739</v>
      </c>
      <c r="AY174" s="26">
        <f t="shared" si="80"/>
        <v>0.18337795508674581</v>
      </c>
      <c r="AZ174" s="14"/>
      <c r="BA174" s="14"/>
      <c r="BB174" s="14"/>
      <c r="BC174" s="14"/>
    </row>
    <row r="175" spans="1:74">
      <c r="A175" s="138">
        <v>45444</v>
      </c>
      <c r="B175" s="18">
        <v>132929485</v>
      </c>
      <c r="C175" s="18">
        <v>0</v>
      </c>
      <c r="D175" s="18">
        <v>37513575</v>
      </c>
      <c r="E175" s="18">
        <f t="shared" si="59"/>
        <v>170443060</v>
      </c>
      <c r="F175" s="18">
        <f t="shared" si="65"/>
        <v>276399741</v>
      </c>
      <c r="G175" s="18">
        <f t="shared" si="66"/>
        <v>56471169</v>
      </c>
      <c r="H175" s="18">
        <f t="shared" si="67"/>
        <v>0</v>
      </c>
      <c r="I175" s="18">
        <f t="shared" si="89"/>
        <v>332870910</v>
      </c>
      <c r="J175" s="18">
        <v>2998612</v>
      </c>
      <c r="K175" s="147">
        <v>3270652</v>
      </c>
      <c r="L175" s="18">
        <f t="shared" si="90"/>
        <v>6269264</v>
      </c>
      <c r="M175" s="18">
        <v>0</v>
      </c>
      <c r="N175" s="18">
        <f t="shared" si="73"/>
        <v>0</v>
      </c>
      <c r="O175" s="18">
        <f t="shared" si="74"/>
        <v>412327838</v>
      </c>
      <c r="P175" s="18">
        <f t="shared" si="69"/>
        <v>56471169</v>
      </c>
      <c r="Q175" s="18">
        <f t="shared" si="70"/>
        <v>40784227</v>
      </c>
      <c r="R175" s="235">
        <f t="shared" si="71"/>
        <v>509583234</v>
      </c>
      <c r="S175" s="18">
        <v>0</v>
      </c>
      <c r="T175" s="18">
        <v>43911210</v>
      </c>
      <c r="U175" s="18">
        <v>232488531</v>
      </c>
      <c r="V175" s="18">
        <f t="shared" si="61"/>
        <v>276399741</v>
      </c>
      <c r="W175" s="18">
        <v>0</v>
      </c>
      <c r="X175" s="18">
        <v>0</v>
      </c>
      <c r="Y175" s="18">
        <v>56471169</v>
      </c>
      <c r="Z175" s="18">
        <f t="shared" si="62"/>
        <v>56471169</v>
      </c>
      <c r="AA175" s="18">
        <v>0</v>
      </c>
      <c r="AB175" s="18">
        <v>0</v>
      </c>
      <c r="AC175" s="18">
        <v>0</v>
      </c>
      <c r="AD175" s="18">
        <f t="shared" si="60"/>
        <v>0</v>
      </c>
      <c r="AE175" s="18">
        <v>2998612</v>
      </c>
      <c r="AF175" s="18">
        <v>0</v>
      </c>
      <c r="AG175" s="236">
        <f t="shared" si="72"/>
        <v>2998612</v>
      </c>
      <c r="AH175" s="18">
        <f t="shared" si="92"/>
        <v>790043410</v>
      </c>
      <c r="AI175" s="18">
        <f t="shared" si="92"/>
        <v>0</v>
      </c>
      <c r="AJ175" s="18">
        <f t="shared" si="92"/>
        <v>243416523</v>
      </c>
      <c r="AK175" s="18">
        <f t="shared" si="92"/>
        <v>1033459933</v>
      </c>
      <c r="AL175" s="18">
        <f t="shared" si="92"/>
        <v>1435595184</v>
      </c>
      <c r="AM175" s="18">
        <f t="shared" si="92"/>
        <v>220859844</v>
      </c>
      <c r="AN175" s="18">
        <f t="shared" si="92"/>
        <v>0</v>
      </c>
      <c r="AO175" s="18">
        <f t="shared" si="92"/>
        <v>1656455028</v>
      </c>
      <c r="AP175" s="18">
        <f t="shared" si="92"/>
        <v>13216000</v>
      </c>
      <c r="AQ175" s="18">
        <f t="shared" si="92"/>
        <v>38210266</v>
      </c>
      <c r="AR175" s="18">
        <f t="shared" si="92"/>
        <v>51426266</v>
      </c>
      <c r="AS175" s="18">
        <f t="shared" si="92"/>
        <v>98746</v>
      </c>
      <c r="AT175" s="18">
        <f t="shared" si="92"/>
        <v>98746</v>
      </c>
      <c r="AU175" s="18">
        <f t="shared" si="92"/>
        <v>2238953340</v>
      </c>
      <c r="AV175" s="18">
        <f t="shared" si="92"/>
        <v>220859844</v>
      </c>
      <c r="AW175" s="18">
        <f t="shared" si="92"/>
        <v>281626789</v>
      </c>
      <c r="AX175" s="18">
        <f t="shared" si="92"/>
        <v>2741439973</v>
      </c>
      <c r="AY175" s="26">
        <f t="shared" si="80"/>
        <v>0.18600784997086728</v>
      </c>
      <c r="AZ175" s="14"/>
      <c r="BA175" s="14"/>
      <c r="BB175" s="14"/>
      <c r="BC175" s="14"/>
    </row>
    <row r="176" spans="1:74">
      <c r="A176" s="146">
        <v>45474</v>
      </c>
      <c r="B176" s="18">
        <v>144952117</v>
      </c>
      <c r="C176" s="18">
        <v>0</v>
      </c>
      <c r="D176" s="18">
        <v>22459889</v>
      </c>
      <c r="E176" s="18">
        <f t="shared" si="59"/>
        <v>167412006</v>
      </c>
      <c r="F176" s="18">
        <f t="shared" si="65"/>
        <v>285699486</v>
      </c>
      <c r="G176" s="18">
        <f t="shared" si="66"/>
        <v>22045675</v>
      </c>
      <c r="H176" s="18">
        <f t="shared" si="67"/>
        <v>25177925</v>
      </c>
      <c r="I176" s="18">
        <f t="shared" si="89"/>
        <v>332923086</v>
      </c>
      <c r="J176" s="18">
        <v>3256887</v>
      </c>
      <c r="K176" s="147">
        <v>6937447</v>
      </c>
      <c r="L176" s="18">
        <f t="shared" si="90"/>
        <v>10194334</v>
      </c>
      <c r="M176" s="18">
        <v>0</v>
      </c>
      <c r="N176" s="18">
        <f t="shared" si="73"/>
        <v>0</v>
      </c>
      <c r="O176" s="18">
        <f t="shared" si="74"/>
        <v>433908490</v>
      </c>
      <c r="P176" s="18">
        <f t="shared" si="69"/>
        <v>22045675</v>
      </c>
      <c r="Q176" s="18">
        <f t="shared" si="70"/>
        <v>54575261</v>
      </c>
      <c r="R176" s="235">
        <f t="shared" si="71"/>
        <v>510529426</v>
      </c>
      <c r="S176" s="18">
        <v>0</v>
      </c>
      <c r="T176" s="18">
        <v>53677623</v>
      </c>
      <c r="U176" s="18">
        <v>232021863</v>
      </c>
      <c r="V176" s="18">
        <f t="shared" si="61"/>
        <v>285699486</v>
      </c>
      <c r="W176" s="18">
        <v>0</v>
      </c>
      <c r="X176" s="18">
        <v>0</v>
      </c>
      <c r="Y176" s="18">
        <v>22045675</v>
      </c>
      <c r="Z176" s="18">
        <f t="shared" si="62"/>
        <v>22045675</v>
      </c>
      <c r="AA176" s="18">
        <v>0</v>
      </c>
      <c r="AB176" s="18">
        <v>0</v>
      </c>
      <c r="AC176" s="147">
        <v>25177925</v>
      </c>
      <c r="AD176" s="18">
        <f t="shared" si="60"/>
        <v>25177925</v>
      </c>
      <c r="AE176" s="18">
        <v>3256887</v>
      </c>
      <c r="AF176" s="18">
        <v>0</v>
      </c>
      <c r="AG176" s="236">
        <f t="shared" si="72"/>
        <v>3256887</v>
      </c>
      <c r="AH176" s="18">
        <f t="shared" si="92"/>
        <v>934995527</v>
      </c>
      <c r="AI176" s="18">
        <f t="shared" si="92"/>
        <v>0</v>
      </c>
      <c r="AJ176" s="18">
        <f t="shared" si="92"/>
        <v>265876412</v>
      </c>
      <c r="AK176" s="18">
        <f t="shared" si="92"/>
        <v>1200871939</v>
      </c>
      <c r="AL176" s="18">
        <f t="shared" si="92"/>
        <v>1721294670</v>
      </c>
      <c r="AM176" s="18">
        <f t="shared" si="92"/>
        <v>242905519</v>
      </c>
      <c r="AN176" s="18">
        <f t="shared" si="92"/>
        <v>25177925</v>
      </c>
      <c r="AO176" s="18">
        <f t="shared" si="92"/>
        <v>1989378114</v>
      </c>
      <c r="AP176" s="18">
        <f t="shared" si="92"/>
        <v>16472887</v>
      </c>
      <c r="AQ176" s="18">
        <f t="shared" si="92"/>
        <v>45147713</v>
      </c>
      <c r="AR176" s="18">
        <f t="shared" si="92"/>
        <v>61620600</v>
      </c>
      <c r="AS176" s="18">
        <f t="shared" si="92"/>
        <v>98746</v>
      </c>
      <c r="AT176" s="18">
        <f t="shared" si="92"/>
        <v>98746</v>
      </c>
      <c r="AU176" s="18">
        <f t="shared" si="92"/>
        <v>2672861830</v>
      </c>
      <c r="AV176" s="18">
        <f t="shared" si="92"/>
        <v>242905519</v>
      </c>
      <c r="AW176" s="18">
        <f t="shared" si="92"/>
        <v>336202050</v>
      </c>
      <c r="AX176" s="18">
        <f t="shared" si="92"/>
        <v>3251969399</v>
      </c>
      <c r="AY176" s="26">
        <f t="shared" si="80"/>
        <v>0.20066221316234722</v>
      </c>
      <c r="AZ176" s="14"/>
      <c r="BA176" s="14"/>
      <c r="BB176" s="14"/>
      <c r="BC176" s="14"/>
    </row>
    <row r="177" spans="1:74">
      <c r="A177" s="146">
        <v>45505</v>
      </c>
      <c r="B177" s="18">
        <v>138321175</v>
      </c>
      <c r="C177" s="18">
        <v>0</v>
      </c>
      <c r="D177" s="18">
        <v>24497122</v>
      </c>
      <c r="E177" s="18">
        <f t="shared" si="59"/>
        <v>162818297</v>
      </c>
      <c r="F177" s="18">
        <f t="shared" si="65"/>
        <v>251626126</v>
      </c>
      <c r="G177" s="18">
        <f t="shared" si="66"/>
        <v>22976837</v>
      </c>
      <c r="H177" s="18">
        <f t="shared" si="67"/>
        <v>0</v>
      </c>
      <c r="I177" s="18">
        <f t="shared" ref="I177:I180" si="93">SUM(F177:H177)</f>
        <v>274602963</v>
      </c>
      <c r="J177" s="18">
        <v>4026790</v>
      </c>
      <c r="K177" s="147">
        <v>6991936</v>
      </c>
      <c r="L177" s="18">
        <f t="shared" si="90"/>
        <v>11018726</v>
      </c>
      <c r="M177" s="18">
        <v>0</v>
      </c>
      <c r="N177" s="18">
        <f t="shared" si="73"/>
        <v>0</v>
      </c>
      <c r="O177" s="18">
        <f t="shared" si="74"/>
        <v>393974091</v>
      </c>
      <c r="P177" s="18">
        <f t="shared" si="69"/>
        <v>22976837</v>
      </c>
      <c r="Q177" s="18">
        <f t="shared" si="70"/>
        <v>31489058</v>
      </c>
      <c r="R177" s="235">
        <f t="shared" si="71"/>
        <v>448439986</v>
      </c>
      <c r="S177" s="18">
        <v>0</v>
      </c>
      <c r="T177" s="18">
        <v>48162137</v>
      </c>
      <c r="U177" s="18">
        <v>203463989</v>
      </c>
      <c r="V177" s="18">
        <f t="shared" si="61"/>
        <v>251626126</v>
      </c>
      <c r="W177" s="18">
        <v>0</v>
      </c>
      <c r="X177" s="18">
        <v>0</v>
      </c>
      <c r="Y177" s="18">
        <v>22976837</v>
      </c>
      <c r="Z177" s="18">
        <f t="shared" si="62"/>
        <v>22976837</v>
      </c>
      <c r="AA177" s="18">
        <v>0</v>
      </c>
      <c r="AB177" s="18">
        <v>0</v>
      </c>
      <c r="AC177" s="147">
        <v>0</v>
      </c>
      <c r="AD177" s="18">
        <f t="shared" si="60"/>
        <v>0</v>
      </c>
      <c r="AE177" s="18">
        <v>4026790</v>
      </c>
      <c r="AF177" s="18">
        <v>0</v>
      </c>
      <c r="AG177" s="236">
        <f t="shared" si="72"/>
        <v>4026790</v>
      </c>
      <c r="AH177" s="18">
        <f t="shared" si="92"/>
        <v>1073316702</v>
      </c>
      <c r="AI177" s="18">
        <f t="shared" si="92"/>
        <v>0</v>
      </c>
      <c r="AJ177" s="18">
        <f t="shared" si="92"/>
        <v>290373534</v>
      </c>
      <c r="AK177" s="18">
        <f t="shared" si="92"/>
        <v>1363690236</v>
      </c>
      <c r="AL177" s="18">
        <f t="shared" si="92"/>
        <v>1972920796</v>
      </c>
      <c r="AM177" s="18">
        <f t="shared" si="92"/>
        <v>265882356</v>
      </c>
      <c r="AN177" s="18">
        <f t="shared" si="92"/>
        <v>25177925</v>
      </c>
      <c r="AO177" s="18">
        <f t="shared" si="92"/>
        <v>2263981077</v>
      </c>
      <c r="AP177" s="18">
        <f t="shared" si="92"/>
        <v>20499677</v>
      </c>
      <c r="AQ177" s="18">
        <f t="shared" si="92"/>
        <v>52139649</v>
      </c>
      <c r="AR177" s="18">
        <f t="shared" si="92"/>
        <v>72639326</v>
      </c>
      <c r="AS177" s="18">
        <f t="shared" si="92"/>
        <v>98746</v>
      </c>
      <c r="AT177" s="18">
        <f t="shared" si="92"/>
        <v>98746</v>
      </c>
      <c r="AU177" s="18">
        <f t="shared" si="92"/>
        <v>3066835921</v>
      </c>
      <c r="AV177" s="18">
        <f t="shared" si="92"/>
        <v>265882356</v>
      </c>
      <c r="AW177" s="18">
        <f t="shared" si="92"/>
        <v>367691108</v>
      </c>
      <c r="AX177" s="18">
        <f t="shared" si="92"/>
        <v>3700409385</v>
      </c>
      <c r="AY177" s="26">
        <f>AX177/AX165-1</f>
        <v>0.17515982034574185</v>
      </c>
    </row>
    <row r="178" spans="1:74">
      <c r="A178" s="146">
        <v>45536</v>
      </c>
      <c r="B178" s="18">
        <v>132214867</v>
      </c>
      <c r="C178" s="18">
        <v>0</v>
      </c>
      <c r="D178" s="18">
        <v>26648068</v>
      </c>
      <c r="E178" s="18">
        <f t="shared" si="59"/>
        <v>158862935</v>
      </c>
      <c r="F178" s="18">
        <f t="shared" si="65"/>
        <v>251116801</v>
      </c>
      <c r="G178" s="18">
        <f t="shared" si="66"/>
        <v>18250310</v>
      </c>
      <c r="H178" s="18">
        <f t="shared" si="67"/>
        <v>24555303</v>
      </c>
      <c r="I178" s="18">
        <f t="shared" si="93"/>
        <v>293922414</v>
      </c>
      <c r="J178" s="18">
        <v>9238825</v>
      </c>
      <c r="K178" s="147">
        <v>11456296</v>
      </c>
      <c r="L178" s="18">
        <f t="shared" si="90"/>
        <v>20695121</v>
      </c>
      <c r="M178" s="18">
        <v>0</v>
      </c>
      <c r="N178" s="18">
        <f t="shared" si="73"/>
        <v>0</v>
      </c>
      <c r="O178" s="18">
        <f t="shared" si="74"/>
        <v>392570493</v>
      </c>
      <c r="P178" s="18">
        <f t="shared" si="69"/>
        <v>18250310</v>
      </c>
      <c r="Q178" s="18">
        <f t="shared" si="70"/>
        <v>62659667</v>
      </c>
      <c r="R178" s="235">
        <f t="shared" si="71"/>
        <v>473480470</v>
      </c>
      <c r="S178" s="18">
        <v>0</v>
      </c>
      <c r="T178" s="18">
        <v>34597382</v>
      </c>
      <c r="U178" s="18">
        <v>216519419</v>
      </c>
      <c r="V178" s="18">
        <f t="shared" si="61"/>
        <v>251116801</v>
      </c>
      <c r="W178" s="18">
        <v>0</v>
      </c>
      <c r="X178" s="18">
        <v>0</v>
      </c>
      <c r="Y178" s="18">
        <v>18250310</v>
      </c>
      <c r="Z178" s="18">
        <f t="shared" si="62"/>
        <v>18250310</v>
      </c>
      <c r="AA178" s="18">
        <v>0</v>
      </c>
      <c r="AB178" s="18">
        <v>0</v>
      </c>
      <c r="AC178" s="147">
        <v>24555303</v>
      </c>
      <c r="AD178" s="18">
        <f t="shared" si="60"/>
        <v>24555303</v>
      </c>
      <c r="AE178" s="18">
        <v>9238825</v>
      </c>
      <c r="AF178" s="18">
        <v>0</v>
      </c>
      <c r="AG178" s="236">
        <f t="shared" si="72"/>
        <v>9238825</v>
      </c>
      <c r="AH178" s="18">
        <f t="shared" si="92"/>
        <v>1205531569</v>
      </c>
      <c r="AI178" s="18">
        <f t="shared" si="92"/>
        <v>0</v>
      </c>
      <c r="AJ178" s="18">
        <f t="shared" si="92"/>
        <v>317021602</v>
      </c>
      <c r="AK178" s="18">
        <f t="shared" si="92"/>
        <v>1522553171</v>
      </c>
      <c r="AL178" s="18">
        <f t="shared" si="92"/>
        <v>2224037597</v>
      </c>
      <c r="AM178" s="18">
        <f t="shared" si="92"/>
        <v>284132666</v>
      </c>
      <c r="AN178" s="18">
        <f t="shared" si="92"/>
        <v>49733228</v>
      </c>
      <c r="AO178" s="18">
        <f t="shared" si="92"/>
        <v>2557903491</v>
      </c>
      <c r="AP178" s="18">
        <f t="shared" si="92"/>
        <v>29738502</v>
      </c>
      <c r="AQ178" s="18">
        <f t="shared" si="92"/>
        <v>63595945</v>
      </c>
      <c r="AR178" s="18">
        <f t="shared" si="92"/>
        <v>93334447</v>
      </c>
      <c r="AS178" s="18">
        <f t="shared" si="92"/>
        <v>98746</v>
      </c>
      <c r="AT178" s="18">
        <f t="shared" si="92"/>
        <v>98746</v>
      </c>
      <c r="AU178" s="18">
        <f t="shared" si="92"/>
        <v>3459406414</v>
      </c>
      <c r="AV178" s="18">
        <f t="shared" si="92"/>
        <v>284132666</v>
      </c>
      <c r="AW178" s="18">
        <f t="shared" si="92"/>
        <v>430350775</v>
      </c>
      <c r="AX178" s="18">
        <f t="shared" si="92"/>
        <v>4173889855</v>
      </c>
      <c r="AY178" s="26">
        <f t="shared" ref="AY178:AY184" si="94">AX178/AX166-1</f>
        <v>0.16923271843292453</v>
      </c>
    </row>
    <row r="179" spans="1:74">
      <c r="A179" s="146">
        <v>45566</v>
      </c>
      <c r="B179" s="18">
        <v>147491702</v>
      </c>
      <c r="C179" s="18">
        <v>0</v>
      </c>
      <c r="D179" s="18">
        <v>26663796</v>
      </c>
      <c r="E179" s="18">
        <f t="shared" ref="E179:E180" si="95">SUM(B179:D179)</f>
        <v>174155498</v>
      </c>
      <c r="F179" s="18">
        <f t="shared" si="65"/>
        <v>284446069</v>
      </c>
      <c r="G179" s="18">
        <f t="shared" si="66"/>
        <v>17529275</v>
      </c>
      <c r="H179" s="18">
        <f t="shared" si="67"/>
        <v>0</v>
      </c>
      <c r="I179" s="18">
        <f t="shared" si="93"/>
        <v>301975344</v>
      </c>
      <c r="J179" s="18">
        <v>4385751</v>
      </c>
      <c r="K179" s="147">
        <v>4880590</v>
      </c>
      <c r="L179" s="18">
        <f t="shared" si="90"/>
        <v>9266341</v>
      </c>
      <c r="M179" s="18">
        <v>0</v>
      </c>
      <c r="N179" s="18">
        <f t="shared" si="73"/>
        <v>0</v>
      </c>
      <c r="O179" s="18">
        <f t="shared" si="74"/>
        <v>436323522</v>
      </c>
      <c r="P179" s="18">
        <f t="shared" si="69"/>
        <v>17529275</v>
      </c>
      <c r="Q179" s="18">
        <f t="shared" si="70"/>
        <v>31544386</v>
      </c>
      <c r="R179" s="235">
        <f t="shared" si="71"/>
        <v>485397183</v>
      </c>
      <c r="S179" s="18">
        <v>0</v>
      </c>
      <c r="T179" s="18">
        <v>55284123</v>
      </c>
      <c r="U179" s="18">
        <v>229161946</v>
      </c>
      <c r="V179" s="18">
        <f t="shared" si="61"/>
        <v>284446069</v>
      </c>
      <c r="W179" s="18">
        <v>0</v>
      </c>
      <c r="X179" s="18">
        <v>2116040</v>
      </c>
      <c r="Y179" s="18">
        <v>15413235</v>
      </c>
      <c r="Z179" s="18">
        <f t="shared" si="62"/>
        <v>17529275</v>
      </c>
      <c r="AA179" s="18">
        <v>0</v>
      </c>
      <c r="AB179" s="18">
        <v>0</v>
      </c>
      <c r="AC179" s="147">
        <v>0</v>
      </c>
      <c r="AD179" s="18">
        <f t="shared" si="60"/>
        <v>0</v>
      </c>
      <c r="AE179" s="18">
        <v>4385751</v>
      </c>
      <c r="AF179" s="18">
        <v>0</v>
      </c>
      <c r="AG179" s="236">
        <f t="shared" si="72"/>
        <v>4385751</v>
      </c>
      <c r="AH179" s="18">
        <f t="shared" si="92"/>
        <v>1353023271</v>
      </c>
      <c r="AI179" s="18">
        <f t="shared" si="92"/>
        <v>0</v>
      </c>
      <c r="AJ179" s="18">
        <f t="shared" si="92"/>
        <v>343685398</v>
      </c>
      <c r="AK179" s="18">
        <f t="shared" si="92"/>
        <v>1696708669</v>
      </c>
      <c r="AL179" s="18">
        <f t="shared" si="92"/>
        <v>2508483666</v>
      </c>
      <c r="AM179" s="18">
        <f t="shared" si="92"/>
        <v>301661941</v>
      </c>
      <c r="AN179" s="18">
        <f t="shared" si="92"/>
        <v>49733228</v>
      </c>
      <c r="AO179" s="18">
        <f t="shared" si="92"/>
        <v>2859878835</v>
      </c>
      <c r="AP179" s="18">
        <f t="shared" si="92"/>
        <v>34124253</v>
      </c>
      <c r="AQ179" s="18">
        <f t="shared" si="92"/>
        <v>68476535</v>
      </c>
      <c r="AR179" s="18">
        <f t="shared" si="92"/>
        <v>102600788</v>
      </c>
      <c r="AS179" s="18">
        <f t="shared" si="92"/>
        <v>98746</v>
      </c>
      <c r="AT179" s="18">
        <f t="shared" si="92"/>
        <v>98746</v>
      </c>
      <c r="AU179" s="18">
        <f t="shared" si="92"/>
        <v>3895729936</v>
      </c>
      <c r="AV179" s="18">
        <f t="shared" si="92"/>
        <v>301661941</v>
      </c>
      <c r="AW179" s="18">
        <f t="shared" si="92"/>
        <v>461895161</v>
      </c>
      <c r="AX179" s="18">
        <f t="shared" si="92"/>
        <v>4659287038</v>
      </c>
      <c r="AY179" s="26">
        <f t="shared" si="94"/>
        <v>0.15639522085238045</v>
      </c>
    </row>
    <row r="180" spans="1:74">
      <c r="A180" s="146">
        <v>45597</v>
      </c>
      <c r="B180" s="18">
        <v>133073995</v>
      </c>
      <c r="C180" s="18">
        <v>0</v>
      </c>
      <c r="D180" s="18">
        <v>22975700</v>
      </c>
      <c r="E180" s="18">
        <f t="shared" si="95"/>
        <v>156049695</v>
      </c>
      <c r="F180" s="18">
        <f t="shared" si="65"/>
        <v>254007376</v>
      </c>
      <c r="G180" s="18">
        <f t="shared" si="66"/>
        <v>8083529</v>
      </c>
      <c r="H180" s="18">
        <f t="shared" si="67"/>
        <v>29840946</v>
      </c>
      <c r="I180" s="18">
        <f t="shared" si="93"/>
        <v>291931851</v>
      </c>
      <c r="J180" s="18">
        <v>2385423</v>
      </c>
      <c r="K180" s="147">
        <v>1270291</v>
      </c>
      <c r="L180" s="18">
        <f t="shared" si="90"/>
        <v>3655714</v>
      </c>
      <c r="M180" s="18">
        <v>0</v>
      </c>
      <c r="N180" s="18">
        <f t="shared" si="73"/>
        <v>0</v>
      </c>
      <c r="O180" s="18">
        <f t="shared" si="74"/>
        <v>389466794</v>
      </c>
      <c r="P180" s="18">
        <f t="shared" si="69"/>
        <v>8083529</v>
      </c>
      <c r="Q180" s="18">
        <f t="shared" si="70"/>
        <v>54086937</v>
      </c>
      <c r="R180" s="235">
        <f t="shared" si="71"/>
        <v>451637260</v>
      </c>
      <c r="S180" s="18">
        <v>0</v>
      </c>
      <c r="T180" s="18">
        <v>39534888</v>
      </c>
      <c r="U180" s="18">
        <v>214472488</v>
      </c>
      <c r="V180" s="18">
        <f t="shared" si="61"/>
        <v>254007376</v>
      </c>
      <c r="W180" s="18">
        <v>0</v>
      </c>
      <c r="X180" s="18">
        <v>817680</v>
      </c>
      <c r="Y180" s="18">
        <v>7265849</v>
      </c>
      <c r="Z180" s="18">
        <f t="shared" si="62"/>
        <v>8083529</v>
      </c>
      <c r="AA180" s="18">
        <v>0</v>
      </c>
      <c r="AB180" s="18">
        <v>0</v>
      </c>
      <c r="AC180" s="147">
        <v>29840946</v>
      </c>
      <c r="AD180" s="18">
        <f t="shared" si="60"/>
        <v>29840946</v>
      </c>
      <c r="AE180" s="18">
        <v>2385423</v>
      </c>
      <c r="AF180" s="18">
        <v>0</v>
      </c>
      <c r="AG180" s="236">
        <f t="shared" si="72"/>
        <v>2385423</v>
      </c>
      <c r="AH180" s="18">
        <f t="shared" si="92"/>
        <v>1486097266</v>
      </c>
      <c r="AI180" s="18">
        <f t="shared" si="92"/>
        <v>0</v>
      </c>
      <c r="AJ180" s="18">
        <f t="shared" si="92"/>
        <v>366661098</v>
      </c>
      <c r="AK180" s="18">
        <f t="shared" si="92"/>
        <v>1852758364</v>
      </c>
      <c r="AL180" s="18">
        <f t="shared" si="92"/>
        <v>2762491042</v>
      </c>
      <c r="AM180" s="18">
        <f t="shared" si="92"/>
        <v>309745470</v>
      </c>
      <c r="AN180" s="18">
        <f t="shared" si="92"/>
        <v>79574174</v>
      </c>
      <c r="AO180" s="18">
        <f t="shared" si="92"/>
        <v>3151810686</v>
      </c>
      <c r="AP180" s="18">
        <f t="shared" si="92"/>
        <v>36509676</v>
      </c>
      <c r="AQ180" s="18">
        <f t="shared" si="92"/>
        <v>69746826</v>
      </c>
      <c r="AR180" s="18">
        <f t="shared" si="92"/>
        <v>106256502</v>
      </c>
      <c r="AS180" s="18">
        <f t="shared" si="92"/>
        <v>98746</v>
      </c>
      <c r="AT180" s="18">
        <f t="shared" si="92"/>
        <v>98746</v>
      </c>
      <c r="AU180" s="18">
        <f t="shared" si="92"/>
        <v>4285196730</v>
      </c>
      <c r="AV180" s="18">
        <f t="shared" si="92"/>
        <v>309745470</v>
      </c>
      <c r="AW180" s="18">
        <f t="shared" si="92"/>
        <v>515982098</v>
      </c>
      <c r="AX180" s="18">
        <f t="shared" si="92"/>
        <v>5110924298</v>
      </c>
      <c r="AY180" s="26">
        <f t="shared" si="94"/>
        <v>0.14769300383025419</v>
      </c>
    </row>
    <row r="181" spans="1:74" ht="15.75" thickBot="1">
      <c r="A181" s="146">
        <v>45627</v>
      </c>
      <c r="B181" s="18">
        <v>174669226</v>
      </c>
      <c r="C181" s="18">
        <v>0</v>
      </c>
      <c r="D181" s="18">
        <v>31390220</v>
      </c>
      <c r="E181" s="18">
        <f t="shared" ref="E181:E182" si="96">SUM(B181:D181)</f>
        <v>206059446</v>
      </c>
      <c r="F181" s="18">
        <f t="shared" si="65"/>
        <v>307690828</v>
      </c>
      <c r="G181" s="18">
        <f t="shared" si="66"/>
        <v>4236635</v>
      </c>
      <c r="H181" s="18">
        <f t="shared" si="67"/>
        <v>32902548</v>
      </c>
      <c r="I181" s="18">
        <f t="shared" ref="I181:I184" si="97">SUM(F181:H181)</f>
        <v>344830011</v>
      </c>
      <c r="J181" s="18">
        <v>2161094</v>
      </c>
      <c r="K181" s="147">
        <v>3403591</v>
      </c>
      <c r="L181" s="18">
        <f t="shared" si="90"/>
        <v>5564685</v>
      </c>
      <c r="M181" s="18">
        <v>0</v>
      </c>
      <c r="N181" s="18">
        <f t="shared" si="73"/>
        <v>0</v>
      </c>
      <c r="O181" s="18">
        <f t="shared" si="74"/>
        <v>484521148</v>
      </c>
      <c r="P181" s="18">
        <f t="shared" si="69"/>
        <v>4236635</v>
      </c>
      <c r="Q181" s="18">
        <f t="shared" si="70"/>
        <v>67696359</v>
      </c>
      <c r="R181" s="235">
        <f t="shared" si="71"/>
        <v>556454142</v>
      </c>
      <c r="S181" s="18">
        <v>0</v>
      </c>
      <c r="T181" s="18">
        <v>53407518</v>
      </c>
      <c r="U181" s="18">
        <v>254283310</v>
      </c>
      <c r="V181" s="18">
        <f t="shared" si="61"/>
        <v>307690828</v>
      </c>
      <c r="W181" s="18">
        <v>0</v>
      </c>
      <c r="X181" s="18">
        <v>0</v>
      </c>
      <c r="Y181" s="18">
        <v>4236635</v>
      </c>
      <c r="Z181" s="18">
        <f t="shared" si="62"/>
        <v>4236635</v>
      </c>
      <c r="AA181" s="18">
        <v>0</v>
      </c>
      <c r="AB181" s="18">
        <v>0</v>
      </c>
      <c r="AC181" s="147">
        <v>32902548</v>
      </c>
      <c r="AD181" s="18">
        <f t="shared" si="60"/>
        <v>32902548</v>
      </c>
      <c r="AE181" s="18">
        <v>2161094</v>
      </c>
      <c r="AF181" s="18">
        <v>0</v>
      </c>
      <c r="AG181" s="236">
        <f t="shared" si="72"/>
        <v>2161094</v>
      </c>
      <c r="AH181" s="18">
        <f t="shared" si="92"/>
        <v>1660766492</v>
      </c>
      <c r="AI181" s="18">
        <f t="shared" si="92"/>
        <v>0</v>
      </c>
      <c r="AJ181" s="18">
        <f t="shared" si="92"/>
        <v>398051318</v>
      </c>
      <c r="AK181" s="18">
        <f t="shared" si="92"/>
        <v>2058817810</v>
      </c>
      <c r="AL181" s="18">
        <f t="shared" si="92"/>
        <v>3070181870</v>
      </c>
      <c r="AM181" s="18">
        <f t="shared" si="92"/>
        <v>313982105</v>
      </c>
      <c r="AN181" s="18">
        <f t="shared" si="92"/>
        <v>112476722</v>
      </c>
      <c r="AO181" s="18">
        <f t="shared" si="92"/>
        <v>3496640697</v>
      </c>
      <c r="AP181" s="18">
        <f t="shared" si="92"/>
        <v>38670770</v>
      </c>
      <c r="AQ181" s="18">
        <f t="shared" si="92"/>
        <v>73150417</v>
      </c>
      <c r="AR181" s="18">
        <f t="shared" si="92"/>
        <v>111821187</v>
      </c>
      <c r="AS181" s="18">
        <f t="shared" si="92"/>
        <v>98746</v>
      </c>
      <c r="AT181" s="18">
        <f t="shared" si="92"/>
        <v>98746</v>
      </c>
      <c r="AU181" s="18">
        <f t="shared" si="92"/>
        <v>4769717878</v>
      </c>
      <c r="AV181" s="18">
        <f t="shared" si="92"/>
        <v>313982105</v>
      </c>
      <c r="AW181" s="18">
        <f t="shared" si="92"/>
        <v>583678457</v>
      </c>
      <c r="AX181" s="18">
        <f t="shared" si="92"/>
        <v>5667378440</v>
      </c>
      <c r="AY181" s="26">
        <f t="shared" si="94"/>
        <v>0.13899821355286557</v>
      </c>
    </row>
    <row r="182" spans="1:74" ht="13.5">
      <c r="A182" s="240">
        <v>45658</v>
      </c>
      <c r="B182" s="241">
        <v>65635810</v>
      </c>
      <c r="C182" s="241">
        <v>0</v>
      </c>
      <c r="D182" s="241">
        <v>3135355</v>
      </c>
      <c r="E182" s="241">
        <f t="shared" si="96"/>
        <v>68771165</v>
      </c>
      <c r="F182" s="241">
        <f t="shared" si="65"/>
        <v>211951267</v>
      </c>
      <c r="G182" s="241">
        <f t="shared" si="66"/>
        <v>0</v>
      </c>
      <c r="H182" s="241">
        <f t="shared" si="67"/>
        <v>0</v>
      </c>
      <c r="I182" s="241">
        <f t="shared" si="97"/>
        <v>211951267</v>
      </c>
      <c r="J182" s="241">
        <v>8475344</v>
      </c>
      <c r="K182" s="241">
        <v>7897206</v>
      </c>
      <c r="L182" s="241">
        <f t="shared" si="90"/>
        <v>16372550</v>
      </c>
      <c r="M182" s="241">
        <v>0</v>
      </c>
      <c r="N182" s="241">
        <f t="shared" si="73"/>
        <v>0</v>
      </c>
      <c r="O182" s="241">
        <f t="shared" si="74"/>
        <v>286062421</v>
      </c>
      <c r="P182" s="241">
        <f t="shared" si="69"/>
        <v>0</v>
      </c>
      <c r="Q182" s="241">
        <f t="shared" si="70"/>
        <v>11032561</v>
      </c>
      <c r="R182" s="242">
        <f t="shared" si="71"/>
        <v>297094982</v>
      </c>
      <c r="S182" s="241">
        <v>0</v>
      </c>
      <c r="T182" s="241">
        <v>36068372</v>
      </c>
      <c r="U182" s="241">
        <v>175882895</v>
      </c>
      <c r="V182" s="241">
        <f t="shared" si="61"/>
        <v>211951267</v>
      </c>
      <c r="W182" s="241">
        <v>0</v>
      </c>
      <c r="X182" s="241">
        <v>0</v>
      </c>
      <c r="Y182" s="241">
        <v>0</v>
      </c>
      <c r="Z182" s="241">
        <f t="shared" si="62"/>
        <v>0</v>
      </c>
      <c r="AA182" s="241">
        <v>0</v>
      </c>
      <c r="AB182" s="241">
        <v>0</v>
      </c>
      <c r="AC182" s="241">
        <v>0</v>
      </c>
      <c r="AD182" s="241">
        <f t="shared" si="60"/>
        <v>0</v>
      </c>
      <c r="AE182" s="241">
        <v>8475344</v>
      </c>
      <c r="AF182" s="241">
        <v>0</v>
      </c>
      <c r="AG182" s="243">
        <f t="shared" si="72"/>
        <v>8475344</v>
      </c>
      <c r="AH182" s="241">
        <f t="shared" ref="AH182:AX182" si="98">B182</f>
        <v>65635810</v>
      </c>
      <c r="AI182" s="241">
        <f t="shared" si="98"/>
        <v>0</v>
      </c>
      <c r="AJ182" s="241">
        <f t="shared" si="98"/>
        <v>3135355</v>
      </c>
      <c r="AK182" s="241">
        <f t="shared" si="98"/>
        <v>68771165</v>
      </c>
      <c r="AL182" s="241">
        <f t="shared" si="98"/>
        <v>211951267</v>
      </c>
      <c r="AM182" s="241">
        <f t="shared" si="98"/>
        <v>0</v>
      </c>
      <c r="AN182" s="241">
        <f t="shared" si="98"/>
        <v>0</v>
      </c>
      <c r="AO182" s="241">
        <f t="shared" si="98"/>
        <v>211951267</v>
      </c>
      <c r="AP182" s="241">
        <f t="shared" si="98"/>
        <v>8475344</v>
      </c>
      <c r="AQ182" s="241">
        <f t="shared" si="98"/>
        <v>7897206</v>
      </c>
      <c r="AR182" s="241">
        <f t="shared" si="98"/>
        <v>16372550</v>
      </c>
      <c r="AS182" s="241">
        <f t="shared" si="98"/>
        <v>0</v>
      </c>
      <c r="AT182" s="241">
        <f t="shared" si="98"/>
        <v>0</v>
      </c>
      <c r="AU182" s="241">
        <f t="shared" si="98"/>
        <v>286062421</v>
      </c>
      <c r="AV182" s="241">
        <f t="shared" si="98"/>
        <v>0</v>
      </c>
      <c r="AW182" s="241">
        <f t="shared" si="98"/>
        <v>11032561</v>
      </c>
      <c r="AX182" s="241">
        <f t="shared" si="98"/>
        <v>297094982</v>
      </c>
      <c r="AY182" s="26">
        <f t="shared" si="94"/>
        <v>-0.2925189386603726</v>
      </c>
      <c r="AZ182" s="14"/>
      <c r="BA182" s="18">
        <f t="shared" ref="BA182:BA184" si="99">AX182-BB182</f>
        <v>-122838495</v>
      </c>
      <c r="BB182" s="18">
        <v>419933477</v>
      </c>
      <c r="BC182" s="14"/>
      <c r="BD182" s="244">
        <v>45292</v>
      </c>
      <c r="BE182" s="18">
        <f>BO182-0</f>
        <v>0</v>
      </c>
      <c r="BF182" s="18">
        <f>BP182-0</f>
        <v>-122838495</v>
      </c>
      <c r="BG182" s="18">
        <f>BQ182-0</f>
        <v>3844947</v>
      </c>
      <c r="BH182" s="18">
        <f>BR182-0</f>
        <v>39682742</v>
      </c>
      <c r="BI182" s="18">
        <f>BS182-0</f>
        <v>-31436</v>
      </c>
      <c r="BJ182" s="18"/>
      <c r="BK182" s="18">
        <f>BU182-0</f>
        <v>-79342242</v>
      </c>
      <c r="BM182" s="18">
        <f>R182/31</f>
        <v>9583709.0967741944</v>
      </c>
      <c r="BO182" s="18">
        <f>'Monthly D3 Gallon Data'!AH184</f>
        <v>0</v>
      </c>
      <c r="BP182" s="18">
        <f t="shared" ref="BP182:BP184" si="100">BA182</f>
        <v>-122838495</v>
      </c>
      <c r="BQ182" s="18">
        <f>'Monthly D5 Gallon Data'!BD184</f>
        <v>3844947</v>
      </c>
      <c r="BR182" s="18">
        <f>'Monthly D6 Gallon Data'!BB184</f>
        <v>39682742</v>
      </c>
      <c r="BS182" s="18">
        <f>'Monthly D7 Gallon Data'!Z184</f>
        <v>-31436</v>
      </c>
      <c r="BU182" s="18">
        <f>SUM(BO182:BS182)</f>
        <v>-79342242</v>
      </c>
      <c r="BV182" s="244">
        <f t="shared" ref="BV182:BV184" si="101">A182</f>
        <v>45658</v>
      </c>
    </row>
    <row r="183" spans="1:74" ht="13.5">
      <c r="A183" s="146">
        <v>45689</v>
      </c>
      <c r="B183" s="18">
        <v>73721896</v>
      </c>
      <c r="C183" s="18">
        <v>0</v>
      </c>
      <c r="D183" s="18">
        <v>6409113</v>
      </c>
      <c r="E183" s="18">
        <f t="shared" ref="E183:E184" si="102">SUM(B183:D183)</f>
        <v>80131009</v>
      </c>
      <c r="F183" s="18">
        <f t="shared" si="65"/>
        <v>181467123</v>
      </c>
      <c r="G183" s="18">
        <f t="shared" si="66"/>
        <v>0</v>
      </c>
      <c r="H183" s="18">
        <f t="shared" si="67"/>
        <v>0</v>
      </c>
      <c r="I183" s="18">
        <f t="shared" si="97"/>
        <v>181467123</v>
      </c>
      <c r="J183" s="18">
        <v>15728119</v>
      </c>
      <c r="K183" s="18">
        <v>0</v>
      </c>
      <c r="L183" s="18">
        <f t="shared" si="90"/>
        <v>15728119</v>
      </c>
      <c r="M183" s="18">
        <v>0</v>
      </c>
      <c r="N183" s="18">
        <f t="shared" si="73"/>
        <v>0</v>
      </c>
      <c r="O183" s="18">
        <f t="shared" si="74"/>
        <v>270917138</v>
      </c>
      <c r="P183" s="18">
        <f t="shared" si="69"/>
        <v>0</v>
      </c>
      <c r="Q183" s="18">
        <f t="shared" si="70"/>
        <v>6409113</v>
      </c>
      <c r="R183" s="235">
        <f t="shared" si="71"/>
        <v>277326251</v>
      </c>
      <c r="S183" s="18">
        <v>0</v>
      </c>
      <c r="T183" s="18">
        <v>37563478</v>
      </c>
      <c r="U183" s="18">
        <v>143903645</v>
      </c>
      <c r="V183" s="18">
        <f t="shared" si="61"/>
        <v>181467123</v>
      </c>
      <c r="W183" s="18">
        <v>0</v>
      </c>
      <c r="X183" s="18">
        <v>0</v>
      </c>
      <c r="Y183" s="18">
        <v>0</v>
      </c>
      <c r="Z183" s="18">
        <f t="shared" si="62"/>
        <v>0</v>
      </c>
      <c r="AA183" s="18">
        <v>0</v>
      </c>
      <c r="AB183" s="18">
        <v>0</v>
      </c>
      <c r="AC183" s="18">
        <v>0</v>
      </c>
      <c r="AD183" s="18">
        <f t="shared" ref="AD183:AD184" si="103">SUM(AA183:AC183)</f>
        <v>0</v>
      </c>
      <c r="AE183" s="18">
        <v>15728119</v>
      </c>
      <c r="AF183" s="18">
        <v>0</v>
      </c>
      <c r="AG183" s="236">
        <f t="shared" si="72"/>
        <v>15728119</v>
      </c>
      <c r="AH183" s="18">
        <f t="shared" ref="AH183:AX184" si="104">AH182+B183</f>
        <v>139357706</v>
      </c>
      <c r="AI183" s="18">
        <f t="shared" si="104"/>
        <v>0</v>
      </c>
      <c r="AJ183" s="18">
        <f t="shared" si="104"/>
        <v>9544468</v>
      </c>
      <c r="AK183" s="18">
        <f t="shared" si="104"/>
        <v>148902174</v>
      </c>
      <c r="AL183" s="18">
        <f t="shared" si="104"/>
        <v>393418390</v>
      </c>
      <c r="AM183" s="18">
        <f t="shared" si="104"/>
        <v>0</v>
      </c>
      <c r="AN183" s="18">
        <f t="shared" si="104"/>
        <v>0</v>
      </c>
      <c r="AO183" s="18">
        <f t="shared" si="104"/>
        <v>393418390</v>
      </c>
      <c r="AP183" s="18">
        <f t="shared" si="104"/>
        <v>24203463</v>
      </c>
      <c r="AQ183" s="18">
        <f t="shared" si="104"/>
        <v>7897206</v>
      </c>
      <c r="AR183" s="18">
        <f t="shared" si="104"/>
        <v>32100669</v>
      </c>
      <c r="AS183" s="18">
        <f t="shared" si="104"/>
        <v>0</v>
      </c>
      <c r="AT183" s="18">
        <f t="shared" si="104"/>
        <v>0</v>
      </c>
      <c r="AU183" s="18">
        <f t="shared" si="104"/>
        <v>556979559</v>
      </c>
      <c r="AV183" s="18">
        <f t="shared" si="104"/>
        <v>0</v>
      </c>
      <c r="AW183" s="18">
        <f t="shared" si="104"/>
        <v>17441674</v>
      </c>
      <c r="AX183" s="18">
        <f t="shared" si="104"/>
        <v>574421233</v>
      </c>
      <c r="AY183" s="26">
        <f t="shared" si="94"/>
        <v>-0.34828118289804222</v>
      </c>
      <c r="AZ183" s="14"/>
      <c r="BA183" s="18">
        <f t="shared" si="99"/>
        <v>-306320124</v>
      </c>
      <c r="BB183" s="18">
        <v>880741357</v>
      </c>
      <c r="BC183" s="14"/>
      <c r="BD183" s="244">
        <v>45323</v>
      </c>
      <c r="BE183" s="18">
        <f t="shared" ref="BE183:BI184" si="105">BO183-BO182</f>
        <v>-69739603</v>
      </c>
      <c r="BF183" s="18">
        <f t="shared" si="105"/>
        <v>-183481629</v>
      </c>
      <c r="BG183" s="18">
        <f t="shared" si="105"/>
        <v>5310740</v>
      </c>
      <c r="BH183" s="18">
        <f t="shared" si="105"/>
        <v>-89071985</v>
      </c>
      <c r="BI183" s="18">
        <f t="shared" si="105"/>
        <v>0</v>
      </c>
      <c r="BJ183" s="18"/>
      <c r="BK183" s="18">
        <f>BU183-BU182</f>
        <v>-336982477</v>
      </c>
      <c r="BM183" s="18">
        <f>R183/29</f>
        <v>9562974.1724137925</v>
      </c>
      <c r="BO183" s="18">
        <f>'Monthly D3 Gallon Data'!AH185</f>
        <v>-69739603</v>
      </c>
      <c r="BP183" s="18">
        <f t="shared" si="100"/>
        <v>-306320124</v>
      </c>
      <c r="BQ183" s="18">
        <f>'Monthly D5 Gallon Data'!BD185</f>
        <v>9155687</v>
      </c>
      <c r="BR183" s="18">
        <f>'Monthly D6 Gallon Data'!BB185</f>
        <v>-49389243</v>
      </c>
      <c r="BS183" s="18">
        <f>'Monthly D7 Gallon Data'!Z185</f>
        <v>-31436</v>
      </c>
      <c r="BU183" s="18">
        <f>SUM(BO183:BS183)</f>
        <v>-416324719</v>
      </c>
      <c r="BV183" s="244">
        <f t="shared" si="101"/>
        <v>45689</v>
      </c>
    </row>
    <row r="184" spans="1:74" ht="13.5">
      <c r="A184" s="146">
        <v>45717</v>
      </c>
      <c r="B184" s="18">
        <v>95833393</v>
      </c>
      <c r="C184" s="18">
        <v>0</v>
      </c>
      <c r="D184" s="18">
        <v>3901575</v>
      </c>
      <c r="E184" s="18">
        <f t="shared" si="102"/>
        <v>99734968</v>
      </c>
      <c r="F184" s="18">
        <f t="shared" si="65"/>
        <v>222828169</v>
      </c>
      <c r="G184" s="18">
        <f t="shared" si="66"/>
        <v>7434618</v>
      </c>
      <c r="H184" s="18">
        <f t="shared" si="67"/>
        <v>12677402</v>
      </c>
      <c r="I184" s="18">
        <f t="shared" si="97"/>
        <v>242940189</v>
      </c>
      <c r="J184" s="18">
        <v>3845015</v>
      </c>
      <c r="K184" s="18">
        <v>4981693</v>
      </c>
      <c r="L184" s="18">
        <f t="shared" si="90"/>
        <v>8826708</v>
      </c>
      <c r="M184" s="18">
        <v>0</v>
      </c>
      <c r="N184" s="18">
        <f t="shared" si="73"/>
        <v>0</v>
      </c>
      <c r="O184" s="18">
        <f t="shared" si="74"/>
        <v>322506577</v>
      </c>
      <c r="P184" s="18">
        <f t="shared" si="69"/>
        <v>7434618</v>
      </c>
      <c r="Q184" s="18">
        <f t="shared" si="70"/>
        <v>21560670</v>
      </c>
      <c r="R184" s="235">
        <f t="shared" si="71"/>
        <v>351501865</v>
      </c>
      <c r="S184" s="18">
        <v>0</v>
      </c>
      <c r="T184" s="18">
        <v>36495940</v>
      </c>
      <c r="U184" s="18">
        <v>186332229</v>
      </c>
      <c r="V184" s="18">
        <f t="shared" ref="V184" si="106">SUM(S184:U184)</f>
        <v>222828169</v>
      </c>
      <c r="W184" s="18">
        <v>0</v>
      </c>
      <c r="X184" s="18">
        <v>0</v>
      </c>
      <c r="Y184" s="18">
        <v>7434618</v>
      </c>
      <c r="Z184" s="18">
        <f t="shared" ref="Z184" si="107">SUM(W184:Y184)</f>
        <v>7434618</v>
      </c>
      <c r="AA184" s="18">
        <v>0</v>
      </c>
      <c r="AB184" s="18">
        <v>0</v>
      </c>
      <c r="AC184" s="18">
        <v>12677402</v>
      </c>
      <c r="AD184" s="18">
        <f t="shared" si="103"/>
        <v>12677402</v>
      </c>
      <c r="AE184" s="18">
        <v>3845015</v>
      </c>
      <c r="AF184" s="18">
        <v>0</v>
      </c>
      <c r="AG184" s="236">
        <f t="shared" si="72"/>
        <v>3845015</v>
      </c>
      <c r="AH184" s="18">
        <f t="shared" si="104"/>
        <v>235191099</v>
      </c>
      <c r="AI184" s="18">
        <f t="shared" si="104"/>
        <v>0</v>
      </c>
      <c r="AJ184" s="18">
        <f t="shared" si="104"/>
        <v>13446043</v>
      </c>
      <c r="AK184" s="18">
        <f t="shared" si="104"/>
        <v>248637142</v>
      </c>
      <c r="AL184" s="18">
        <f t="shared" si="104"/>
        <v>616246559</v>
      </c>
      <c r="AM184" s="18">
        <f t="shared" si="104"/>
        <v>7434618</v>
      </c>
      <c r="AN184" s="18">
        <f t="shared" si="104"/>
        <v>12677402</v>
      </c>
      <c r="AO184" s="18">
        <f t="shared" si="104"/>
        <v>636358579</v>
      </c>
      <c r="AP184" s="18">
        <f t="shared" si="104"/>
        <v>28048478</v>
      </c>
      <c r="AQ184" s="18">
        <f t="shared" si="104"/>
        <v>12878899</v>
      </c>
      <c r="AR184" s="18">
        <f t="shared" si="104"/>
        <v>40927377</v>
      </c>
      <c r="AS184" s="18">
        <f t="shared" si="104"/>
        <v>0</v>
      </c>
      <c r="AT184" s="18">
        <f t="shared" si="104"/>
        <v>0</v>
      </c>
      <c r="AU184" s="18">
        <f t="shared" si="104"/>
        <v>879486136</v>
      </c>
      <c r="AV184" s="18">
        <f t="shared" si="104"/>
        <v>7434618</v>
      </c>
      <c r="AW184" s="18">
        <f t="shared" si="104"/>
        <v>39002344</v>
      </c>
      <c r="AX184" s="18">
        <f t="shared" si="104"/>
        <v>925923098</v>
      </c>
      <c r="AY184" s="26">
        <f t="shared" si="94"/>
        <v>-0.28175062045319643</v>
      </c>
      <c r="AZ184" s="14"/>
      <c r="BA184" s="18">
        <f t="shared" si="99"/>
        <v>45181741</v>
      </c>
      <c r="BB184" s="18">
        <v>880741357</v>
      </c>
      <c r="BC184" s="14"/>
      <c r="BD184" s="244">
        <v>45323</v>
      </c>
      <c r="BE184" s="18">
        <f t="shared" si="105"/>
        <v>-380598</v>
      </c>
      <c r="BF184" s="18">
        <f t="shared" si="105"/>
        <v>351501865</v>
      </c>
      <c r="BG184" s="18">
        <f t="shared" si="105"/>
        <v>16811310</v>
      </c>
      <c r="BH184" s="18">
        <f t="shared" si="105"/>
        <v>1214311837</v>
      </c>
      <c r="BI184" s="18">
        <f t="shared" si="105"/>
        <v>54155</v>
      </c>
      <c r="BJ184" s="18"/>
      <c r="BK184" s="18">
        <f>BU184-BU183</f>
        <v>1582298569</v>
      </c>
      <c r="BM184" s="18">
        <f>R184/29</f>
        <v>12120753.965517242</v>
      </c>
      <c r="BO184" s="18">
        <f>'Monthly D3 Gallon Data'!AH186</f>
        <v>-70120201</v>
      </c>
      <c r="BP184" s="18">
        <f t="shared" si="100"/>
        <v>45181741</v>
      </c>
      <c r="BQ184" s="18">
        <f>'Monthly D5 Gallon Data'!BD186</f>
        <v>25966997</v>
      </c>
      <c r="BR184" s="18">
        <f>'Monthly D6 Gallon Data'!BB186</f>
        <v>1164922594</v>
      </c>
      <c r="BS184" s="18">
        <f>'Monthly D7 Gallon Data'!Z186</f>
        <v>22719</v>
      </c>
      <c r="BU184" s="18">
        <f>SUM(BO184:BS184)</f>
        <v>1165973850</v>
      </c>
      <c r="BV184" s="244">
        <f t="shared" si="101"/>
        <v>45717</v>
      </c>
    </row>
    <row r="257" spans="2:2">
      <c r="B257" s="3">
        <v>119541387</v>
      </c>
    </row>
    <row r="258" spans="2:2">
      <c r="B258" s="3">
        <v>114742607</v>
      </c>
    </row>
    <row r="259" spans="2:2">
      <c r="B259" s="3">
        <v>130887285</v>
      </c>
    </row>
    <row r="260" spans="2:2">
      <c r="B260" s="3">
        <v>133814902</v>
      </c>
    </row>
    <row r="261" spans="2:2">
      <c r="B261" s="3">
        <v>163434225</v>
      </c>
    </row>
    <row r="262" spans="2:2">
      <c r="B262" s="3">
        <v>152677077</v>
      </c>
    </row>
    <row r="263" spans="2:2">
      <c r="B263" s="3">
        <v>142587099</v>
      </c>
    </row>
    <row r="264" spans="2:2">
      <c r="B264" s="3">
        <v>151037489</v>
      </c>
    </row>
  </sheetData>
  <mergeCells count="1">
    <mergeCell ref="BA157:BC15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AD3D8-7986-40E5-BE4C-D018D25DEA92}">
  <sheetPr>
    <tabColor theme="0" tint="-0.14999847407452621"/>
  </sheetPr>
  <dimension ref="A1:CH447"/>
  <sheetViews>
    <sheetView zoomScale="109" zoomScaleNormal="110" workbookViewId="0">
      <pane xSplit="1" ySplit="2" topLeftCell="B12"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18.140625" style="40" customWidth="1"/>
    <col min="2" max="44" width="13.42578125" style="40" customWidth="1"/>
    <col min="45" max="45" width="9.140625" style="40"/>
    <col min="46" max="52" width="0" style="40" hidden="1" customWidth="1"/>
    <col min="53" max="53" width="9.140625" style="40"/>
    <col min="54" max="54" width="11.7109375" style="40" bestFit="1" customWidth="1"/>
    <col min="55" max="16384" width="9.140625" style="40"/>
  </cols>
  <sheetData>
    <row r="1" spans="1:86" ht="12" thickBot="1">
      <c r="A1" s="245" t="s">
        <v>371</v>
      </c>
    </row>
    <row r="2" spans="1:86" ht="12" thickBot="1">
      <c r="A2" s="246"/>
      <c r="B2" s="247">
        <v>2010</v>
      </c>
      <c r="C2" s="247">
        <v>2011</v>
      </c>
      <c r="D2" s="247">
        <v>2012</v>
      </c>
      <c r="E2" s="247">
        <v>2013</v>
      </c>
      <c r="F2" s="247">
        <v>2014</v>
      </c>
      <c r="G2" s="247">
        <v>2015</v>
      </c>
      <c r="H2" s="247">
        <v>2016</v>
      </c>
      <c r="I2" s="247">
        <v>2017</v>
      </c>
      <c r="J2" s="247">
        <v>2018</v>
      </c>
      <c r="K2" s="247">
        <v>2019</v>
      </c>
      <c r="L2" s="247">
        <v>2020</v>
      </c>
      <c r="M2" s="247">
        <v>2021</v>
      </c>
      <c r="N2" s="247">
        <v>2022</v>
      </c>
      <c r="O2" s="247">
        <v>2023</v>
      </c>
      <c r="P2" s="247">
        <v>2024</v>
      </c>
      <c r="Q2" s="247">
        <v>2025</v>
      </c>
      <c r="R2" s="247">
        <v>2026</v>
      </c>
      <c r="S2" s="247">
        <v>2027</v>
      </c>
      <c r="T2" s="247">
        <v>2028</v>
      </c>
      <c r="U2" s="247">
        <v>2029</v>
      </c>
      <c r="V2" s="247">
        <v>2030</v>
      </c>
      <c r="W2" s="247">
        <v>2031</v>
      </c>
      <c r="X2" s="247">
        <v>2032</v>
      </c>
      <c r="Y2" s="247">
        <v>2033</v>
      </c>
      <c r="Z2" s="247">
        <v>2034</v>
      </c>
      <c r="AA2" s="247">
        <v>2035</v>
      </c>
      <c r="AB2" s="247">
        <v>2036</v>
      </c>
      <c r="AC2" s="247">
        <v>2037</v>
      </c>
      <c r="AD2" s="247">
        <v>2038</v>
      </c>
      <c r="AE2" s="247">
        <v>2039</v>
      </c>
      <c r="AF2" s="247">
        <v>2040</v>
      </c>
      <c r="AG2" s="247">
        <v>2041</v>
      </c>
      <c r="AH2" s="247">
        <v>2042</v>
      </c>
      <c r="AI2" s="247">
        <v>2043</v>
      </c>
      <c r="AJ2" s="247">
        <v>2044</v>
      </c>
      <c r="AK2" s="247">
        <v>2045</v>
      </c>
      <c r="AL2" s="247">
        <v>2046</v>
      </c>
      <c r="AM2" s="247">
        <v>2047</v>
      </c>
      <c r="AN2" s="247">
        <v>2048</v>
      </c>
      <c r="AO2" s="247">
        <v>2049</v>
      </c>
      <c r="AP2" s="247">
        <v>2050</v>
      </c>
      <c r="AQ2" s="245"/>
      <c r="AR2" s="245"/>
      <c r="AT2" s="247">
        <v>2010</v>
      </c>
      <c r="AU2" s="247">
        <v>2011</v>
      </c>
      <c r="AV2" s="247">
        <v>2012</v>
      </c>
      <c r="AW2" s="247">
        <v>2013</v>
      </c>
      <c r="AX2" s="247">
        <v>2014</v>
      </c>
      <c r="AY2" s="247">
        <v>2015</v>
      </c>
      <c r="AZ2" s="247">
        <v>2016</v>
      </c>
      <c r="BA2" s="247">
        <v>2017</v>
      </c>
      <c r="BB2" s="247">
        <f t="shared" ref="BB2:CH2" si="0">J2</f>
        <v>2018</v>
      </c>
      <c r="BC2" s="247">
        <f t="shared" si="0"/>
        <v>2019</v>
      </c>
      <c r="BD2" s="247">
        <f t="shared" si="0"/>
        <v>2020</v>
      </c>
      <c r="BE2" s="247">
        <f t="shared" si="0"/>
        <v>2021</v>
      </c>
      <c r="BF2" s="247">
        <f t="shared" si="0"/>
        <v>2022</v>
      </c>
      <c r="BG2" s="247">
        <f t="shared" si="0"/>
        <v>2023</v>
      </c>
      <c r="BH2" s="247">
        <f t="shared" si="0"/>
        <v>2024</v>
      </c>
      <c r="BI2" s="247">
        <f t="shared" si="0"/>
        <v>2025</v>
      </c>
      <c r="BJ2" s="247">
        <f t="shared" si="0"/>
        <v>2026</v>
      </c>
      <c r="BK2" s="247">
        <f t="shared" si="0"/>
        <v>2027</v>
      </c>
      <c r="BL2" s="247">
        <f t="shared" si="0"/>
        <v>2028</v>
      </c>
      <c r="BM2" s="247">
        <f t="shared" si="0"/>
        <v>2029</v>
      </c>
      <c r="BN2" s="247">
        <f t="shared" si="0"/>
        <v>2030</v>
      </c>
      <c r="BO2" s="247">
        <f t="shared" si="0"/>
        <v>2031</v>
      </c>
      <c r="BP2" s="247">
        <f t="shared" si="0"/>
        <v>2032</v>
      </c>
      <c r="BQ2" s="247">
        <f t="shared" si="0"/>
        <v>2033</v>
      </c>
      <c r="BR2" s="247">
        <f t="shared" si="0"/>
        <v>2034</v>
      </c>
      <c r="BS2" s="247">
        <f t="shared" si="0"/>
        <v>2035</v>
      </c>
      <c r="BT2" s="247">
        <f t="shared" si="0"/>
        <v>2036</v>
      </c>
      <c r="BU2" s="247">
        <f t="shared" si="0"/>
        <v>2037</v>
      </c>
      <c r="BV2" s="247">
        <f t="shared" si="0"/>
        <v>2038</v>
      </c>
      <c r="BW2" s="247">
        <f t="shared" si="0"/>
        <v>2039</v>
      </c>
      <c r="BX2" s="247">
        <f t="shared" si="0"/>
        <v>2040</v>
      </c>
      <c r="BY2" s="247">
        <f t="shared" si="0"/>
        <v>2041</v>
      </c>
      <c r="BZ2" s="247">
        <f t="shared" si="0"/>
        <v>2042</v>
      </c>
      <c r="CA2" s="247">
        <f t="shared" si="0"/>
        <v>2043</v>
      </c>
      <c r="CB2" s="247">
        <f t="shared" si="0"/>
        <v>2044</v>
      </c>
      <c r="CC2" s="247">
        <f t="shared" si="0"/>
        <v>2045</v>
      </c>
      <c r="CD2" s="247">
        <f t="shared" si="0"/>
        <v>2046</v>
      </c>
      <c r="CE2" s="247">
        <f t="shared" si="0"/>
        <v>2047</v>
      </c>
      <c r="CF2" s="247">
        <f t="shared" si="0"/>
        <v>2048</v>
      </c>
      <c r="CG2" s="247">
        <f t="shared" si="0"/>
        <v>2049</v>
      </c>
      <c r="CH2" s="247">
        <f t="shared" si="0"/>
        <v>2050</v>
      </c>
    </row>
    <row r="3" spans="1:86">
      <c r="A3" s="245" t="s">
        <v>281</v>
      </c>
      <c r="B3" s="248">
        <f>SUM(B4:B6)</f>
        <v>321669248</v>
      </c>
      <c r="C3" s="248">
        <f t="shared" ref="C3:I3" si="1">SUM(C4:C6)</f>
        <v>1616084361</v>
      </c>
      <c r="D3" s="248">
        <f t="shared" si="1"/>
        <v>1584666744</v>
      </c>
      <c r="E3" s="248">
        <f t="shared" si="1"/>
        <v>2301631483</v>
      </c>
      <c r="F3" s="248">
        <f t="shared" si="1"/>
        <v>2153336326</v>
      </c>
      <c r="G3" s="248">
        <f t="shared" si="1"/>
        <v>2273251369</v>
      </c>
      <c r="H3" s="248">
        <f t="shared" si="1"/>
        <v>3291619942</v>
      </c>
      <c r="I3" s="248">
        <f t="shared" si="1"/>
        <v>3075277399</v>
      </c>
      <c r="J3" s="248">
        <f>SUM(J4:J6)</f>
        <v>3045430204</v>
      </c>
      <c r="K3" s="248">
        <f>SUM(K4:K6)</f>
        <v>2847790934</v>
      </c>
      <c r="L3" s="248">
        <f>SUM(L4:L6)</f>
        <v>3051588188</v>
      </c>
      <c r="M3" s="248">
        <f>SUM(M4:M6)</f>
        <v>2869651101</v>
      </c>
      <c r="N3" s="248">
        <f t="shared" ref="N3:AP3" si="2">SUM(N4:N6)</f>
        <v>2790829193</v>
      </c>
      <c r="O3" s="248">
        <f>SUM(O4:O6)</f>
        <v>3261305199</v>
      </c>
      <c r="P3" s="249">
        <f t="shared" si="2"/>
        <v>3088257678</v>
      </c>
      <c r="Q3" s="248">
        <f t="shared" si="2"/>
        <v>2881403678.1638346</v>
      </c>
      <c r="R3" s="248">
        <f t="shared" si="2"/>
        <v>2469460400.9609299</v>
      </c>
      <c r="S3" s="248">
        <f t="shared" si="2"/>
        <v>2497204875.0329628</v>
      </c>
      <c r="T3" s="248">
        <f t="shared" si="2"/>
        <v>2079333964.3511696</v>
      </c>
      <c r="U3" s="248">
        <f t="shared" si="2"/>
        <v>2347400067.4066563</v>
      </c>
      <c r="V3" s="248">
        <f t="shared" si="2"/>
        <v>2386618154.8164024</v>
      </c>
      <c r="W3" s="248">
        <f t="shared" si="2"/>
        <v>2344447509.8067665</v>
      </c>
      <c r="X3" s="248">
        <f t="shared" si="2"/>
        <v>2431705949.7033706</v>
      </c>
      <c r="Y3" s="248">
        <f t="shared" si="2"/>
        <v>2284804889.9208131</v>
      </c>
      <c r="Z3" s="248">
        <f t="shared" si="2"/>
        <v>2230156581.7371907</v>
      </c>
      <c r="AA3" s="248">
        <f t="shared" si="2"/>
        <v>2128502802.8622053</v>
      </c>
      <c r="AB3" s="248">
        <f t="shared" si="2"/>
        <v>1775345567.6035376</v>
      </c>
      <c r="AC3" s="248">
        <f t="shared" si="2"/>
        <v>1443388152.9252653</v>
      </c>
      <c r="AD3" s="248">
        <f t="shared" si="2"/>
        <v>1387417953.5384202</v>
      </c>
      <c r="AE3" s="248">
        <f t="shared" si="2"/>
        <v>1149814153.6298821</v>
      </c>
      <c r="AF3" s="248">
        <f t="shared" si="2"/>
        <v>729096230.22336745</v>
      </c>
      <c r="AG3" s="248">
        <f t="shared" si="2"/>
        <v>796855756.46603584</v>
      </c>
      <c r="AH3" s="248">
        <f t="shared" si="2"/>
        <v>785460797.02718401</v>
      </c>
      <c r="AI3" s="248">
        <f t="shared" si="2"/>
        <v>666039963.42710257</v>
      </c>
      <c r="AJ3" s="248">
        <f t="shared" si="2"/>
        <v>671839908.29299605</v>
      </c>
      <c r="AK3" s="248">
        <f t="shared" si="2"/>
        <v>674024006.93543434</v>
      </c>
      <c r="AL3" s="248">
        <f t="shared" si="2"/>
        <v>672257721.67860746</v>
      </c>
      <c r="AM3" s="248">
        <f t="shared" si="2"/>
        <v>672600200.56970131</v>
      </c>
      <c r="AN3" s="248">
        <f t="shared" si="2"/>
        <v>681803346.57005084</v>
      </c>
      <c r="AO3" s="248">
        <f t="shared" si="2"/>
        <v>691499733.04023266</v>
      </c>
      <c r="AP3" s="248">
        <f t="shared" si="2"/>
        <v>704249670.7300992</v>
      </c>
      <c r="AQ3" s="248"/>
      <c r="AR3" s="245"/>
      <c r="AT3" s="40">
        <f>B3/'D4 Gallon Forecast'!B3</f>
        <v>1.500019650876943</v>
      </c>
      <c r="AU3" s="40">
        <f>C3/'D4 Gallon Forecast'!C3</f>
        <v>1.5000167838103924</v>
      </c>
      <c r="AV3" s="40">
        <f>D3/'D4 Gallon Forecast'!D3</f>
        <v>1.5000194877890394</v>
      </c>
      <c r="AW3" s="40">
        <f>E3/'D4 Gallon Forecast'!E3</f>
        <v>1.5000184857022734</v>
      </c>
      <c r="AX3" s="40">
        <f>F3/'D4 Gallon Forecast'!F3</f>
        <v>1.5000196804166166</v>
      </c>
      <c r="AY3" s="40">
        <f>G3/'D4 Gallon Forecast'!G3</f>
        <v>1.5000162558575683</v>
      </c>
      <c r="AZ3" s="40">
        <f>H3/'D4 Gallon Forecast'!H3</f>
        <v>1.5000139136430142</v>
      </c>
      <c r="BA3" s="250">
        <f>I3/'D4 Gallon Forecast'!I3</f>
        <v>1.5000150344041876</v>
      </c>
      <c r="BB3" s="250">
        <f>J3/'D4 Gallon Forecast'!J3</f>
        <v>1.5000182183370308</v>
      </c>
      <c r="BC3" s="250">
        <f>K3/'D4 Gallon Forecast'!K3</f>
        <v>1.5000184387290652</v>
      </c>
      <c r="BD3" s="250">
        <f>L3/'D4 Gallon Forecast'!L3</f>
        <v>1.500018295614455</v>
      </c>
      <c r="BE3" s="250">
        <f>M3/'D4 Gallon Forecast'!M3</f>
        <v>1.5000177773718142</v>
      </c>
      <c r="BF3" s="250">
        <f>N3/'D4 Gallon Forecast'!N3</f>
        <v>1.5000154321314954</v>
      </c>
      <c r="BG3" s="250">
        <f>O3/'D4 Gallon Forecast'!O3</f>
        <v>1.5000139956008673</v>
      </c>
      <c r="BH3" s="250">
        <f>P3/'D4 Gallon Forecast'!P3</f>
        <v>1.5000150392132074</v>
      </c>
      <c r="BI3" s="250">
        <f>Q3/'D4 Gallon Forecast'!Q3</f>
        <v>1.5000154179378924</v>
      </c>
      <c r="BJ3" s="250">
        <f>R3/'D4 Gallon Forecast'!R3</f>
        <v>1.5000164124421369</v>
      </c>
      <c r="BK3" s="250">
        <f>S3/'D4 Gallon Forecast'!S3</f>
        <v>1.500016083303688</v>
      </c>
      <c r="BL3" s="250">
        <f>T3/'D4 Gallon Forecast'!T3</f>
        <v>1.5000155400330379</v>
      </c>
      <c r="BM3" s="250">
        <f>U3/'D4 Gallon Forecast'!U3</f>
        <v>1.500015906954441</v>
      </c>
      <c r="BN3" s="250">
        <f>V3/'D4 Gallon Forecast'!V3</f>
        <v>1.5000158347283072</v>
      </c>
      <c r="BO3" s="250">
        <f>W3/'D4 Gallon Forecast'!W3</f>
        <v>1.5000159809588565</v>
      </c>
      <c r="BP3" s="250">
        <f>X3/'D4 Gallon Forecast'!X3</f>
        <v>1.5000162441523652</v>
      </c>
      <c r="BQ3" s="250">
        <f>Y3/'D4 Gallon Forecast'!Y3</f>
        <v>1.5000162503877814</v>
      </c>
      <c r="BR3" s="250">
        <f>Z3/'D4 Gallon Forecast'!Z3</f>
        <v>1.5000162648231781</v>
      </c>
      <c r="BS3" s="250">
        <f>AA3/'D4 Gallon Forecast'!AA3</f>
        <v>1.5000163424540836</v>
      </c>
      <c r="BT3" s="250">
        <f>AB3/'D4 Gallon Forecast'!AB3</f>
        <v>1.5000163867286125</v>
      </c>
      <c r="BU3" s="250">
        <f>AC3/'D4 Gallon Forecast'!AC3</f>
        <v>1.5000163113907019</v>
      </c>
      <c r="BV3" s="250">
        <f>AD3/'D4 Gallon Forecast'!AD3</f>
        <v>1.5000165989907173</v>
      </c>
      <c r="BW3" s="250">
        <f>AE3/'D4 Gallon Forecast'!AE3</f>
        <v>1.5000165900731668</v>
      </c>
      <c r="BX3" s="250">
        <f>AF3/'D4 Gallon Forecast'!AF3</f>
        <v>1.5000156471010668</v>
      </c>
      <c r="BY3" s="250">
        <f>AG3/'D4 Gallon Forecast'!AG3</f>
        <v>1.5000158654657703</v>
      </c>
      <c r="BZ3" s="250">
        <f>AH3/'D4 Gallon Forecast'!AH3</f>
        <v>1.500015831611716</v>
      </c>
      <c r="CA3" s="250">
        <f>AI3/'D4 Gallon Forecast'!AI3</f>
        <v>1.5000154037363969</v>
      </c>
      <c r="CB3" s="250">
        <f>AJ3/'D4 Gallon Forecast'!AJ3</f>
        <v>1.5000154279128983</v>
      </c>
      <c r="CC3" s="250">
        <f>AK3/'D4 Gallon Forecast'!AK3</f>
        <v>1.500015436757667</v>
      </c>
      <c r="CD3" s="250">
        <f>AL3/'D4 Gallon Forecast'!AL3</f>
        <v>1.5000154294327077</v>
      </c>
      <c r="CE3" s="250">
        <f>AM3/'D4 Gallon Forecast'!AM3</f>
        <v>1.5000154309441687</v>
      </c>
      <c r="CF3" s="250">
        <f>AN3/'D4 Gallon Forecast'!AN3</f>
        <v>1.5000154686508673</v>
      </c>
      <c r="CG3" s="250">
        <f>AO3/'D4 Gallon Forecast'!AO3</f>
        <v>1.5000155072000432</v>
      </c>
      <c r="CH3" s="250">
        <f>AP3/'D4 Gallon Forecast'!AP3</f>
        <v>1.5000155563063191</v>
      </c>
    </row>
    <row r="4" spans="1:86">
      <c r="A4" s="40" t="s">
        <v>224</v>
      </c>
      <c r="B4" s="42">
        <f>B79</f>
        <v>302937942</v>
      </c>
      <c r="C4" s="42">
        <f t="shared" ref="C4:I4" si="3">C79</f>
        <v>1549394798</v>
      </c>
      <c r="D4" s="42">
        <f t="shared" si="3"/>
        <v>1524323382</v>
      </c>
      <c r="E4" s="42">
        <f t="shared" si="3"/>
        <v>2067907480</v>
      </c>
      <c r="F4" s="42">
        <f t="shared" si="3"/>
        <v>1958892396</v>
      </c>
      <c r="G4" s="42">
        <f t="shared" si="3"/>
        <v>1881366349</v>
      </c>
      <c r="H4" s="42">
        <f t="shared" si="3"/>
        <v>2449158616</v>
      </c>
      <c r="I4" s="42">
        <f t="shared" si="3"/>
        <v>2382404523</v>
      </c>
      <c r="J4" s="42">
        <f>J79</f>
        <v>2782717771</v>
      </c>
      <c r="K4" s="42">
        <f>K79</f>
        <v>2570678271</v>
      </c>
      <c r="L4" s="42">
        <f>L79</f>
        <v>2737347098</v>
      </c>
      <c r="M4" s="42">
        <f>M79</f>
        <v>2556974518</v>
      </c>
      <c r="N4" s="42">
        <f t="shared" ref="N4:AP4" si="4">N79</f>
        <v>2430341972</v>
      </c>
      <c r="O4" s="42">
        <f>O79</f>
        <v>2503903134</v>
      </c>
      <c r="P4" s="251">
        <f t="shared" si="4"/>
        <v>2491180179</v>
      </c>
      <c r="Q4" s="42">
        <f t="shared" si="4"/>
        <v>2371403060.3326731</v>
      </c>
      <c r="R4" s="42">
        <f t="shared" si="4"/>
        <v>2184460093.4594741</v>
      </c>
      <c r="S4" s="42">
        <f t="shared" si="4"/>
        <v>2197204581.116818</v>
      </c>
      <c r="T4" s="42">
        <f t="shared" si="4"/>
        <v>1749333637.6240306</v>
      </c>
      <c r="U4" s="42">
        <f t="shared" si="4"/>
        <v>2017399728.5330896</v>
      </c>
      <c r="V4" s="42">
        <f t="shared" si="4"/>
        <v>2041617790.0079896</v>
      </c>
      <c r="W4" s="42">
        <f t="shared" si="4"/>
        <v>2029447186.4239559</v>
      </c>
      <c r="X4" s="42">
        <f t="shared" si="4"/>
        <v>2146705660.1023247</v>
      </c>
      <c r="Y4" s="42">
        <f t="shared" si="4"/>
        <v>2014804613.5950563</v>
      </c>
      <c r="Z4" s="42">
        <f t="shared" si="4"/>
        <v>1967656311.3364589</v>
      </c>
      <c r="AA4" s="42">
        <f t="shared" si="4"/>
        <v>1888502555.4846745</v>
      </c>
      <c r="AB4" s="42">
        <f t="shared" si="4"/>
        <v>1580345367.6496568</v>
      </c>
      <c r="AC4" s="42">
        <f t="shared" si="4"/>
        <v>1278387983.7733703</v>
      </c>
      <c r="AD4" s="42">
        <f t="shared" si="4"/>
        <v>1252417814.8979027</v>
      </c>
      <c r="AE4" s="42">
        <f t="shared" si="4"/>
        <v>1037314038.016511</v>
      </c>
      <c r="AF4" s="42">
        <f t="shared" si="4"/>
        <v>616596114.66452765</v>
      </c>
      <c r="AG4" s="42">
        <f t="shared" si="4"/>
        <v>684355640.98707163</v>
      </c>
      <c r="AH4" s="42">
        <f t="shared" si="4"/>
        <v>672960681.52402854</v>
      </c>
      <c r="AI4" s="42">
        <f t="shared" si="4"/>
        <v>553539847.88948345</v>
      </c>
      <c r="AJ4" s="42">
        <f t="shared" si="4"/>
        <v>559339792.75460613</v>
      </c>
      <c r="AK4" s="42">
        <f t="shared" si="4"/>
        <v>561523891.41204059</v>
      </c>
      <c r="AL4" s="42">
        <f t="shared" si="4"/>
        <v>559757606.16230297</v>
      </c>
      <c r="AM4" s="42">
        <f t="shared" si="4"/>
        <v>560100085.04592884</v>
      </c>
      <c r="AN4" s="42">
        <f t="shared" si="4"/>
        <v>569303231.04215491</v>
      </c>
      <c r="AO4" s="42">
        <f t="shared" si="4"/>
        <v>578999617.51428139</v>
      </c>
      <c r="AP4" s="42">
        <f t="shared" si="4"/>
        <v>591749555.20663571</v>
      </c>
      <c r="AQ4" s="42"/>
      <c r="AR4" s="245"/>
      <c r="AT4" s="40">
        <f>B4/'D4 Gallon Forecast'!B4</f>
        <v>1.5000206332225583</v>
      </c>
      <c r="AU4" s="40">
        <f>C4/'D4 Gallon Forecast'!C4</f>
        <v>1.5000173077639438</v>
      </c>
      <c r="AV4" s="40">
        <f>D4/'D4 Gallon Forecast'!D4</f>
        <v>1.5000200555598</v>
      </c>
      <c r="AW4" s="40">
        <f>E4/'D4 Gallon Forecast'!E4</f>
        <v>1.5000202649618262</v>
      </c>
      <c r="AX4" s="40">
        <f>F4/'D4 Gallon Forecast'!F4</f>
        <v>1.500021334553387</v>
      </c>
      <c r="AY4" s="40">
        <f>G4/'D4 Gallon Forecast'!G4</f>
        <v>1.5000190619204767</v>
      </c>
      <c r="AZ4" s="40">
        <f>H4/'D4 Gallon Forecast'!H4</f>
        <v>1.5000181797288825</v>
      </c>
      <c r="BA4" s="250">
        <f>I4/'D4 Gallon Forecast'!I4</f>
        <v>1.500018833939806</v>
      </c>
      <c r="BB4" s="250">
        <f>J4/'D4 Gallon Forecast'!J4</f>
        <v>1.5000196949436106</v>
      </c>
      <c r="BC4" s="250">
        <f>K4/'D4 Gallon Forecast'!K4</f>
        <v>1.5000202318011062</v>
      </c>
      <c r="BD4" s="250">
        <f>L4/'D4 Gallon Forecast'!L4</f>
        <v>1.5000200786505087</v>
      </c>
      <c r="BE4" s="250">
        <f>M4/'D4 Gallon Forecast'!M4</f>
        <v>1.5000196623621664</v>
      </c>
      <c r="BF4" s="250">
        <f>N4/'D4 Gallon Forecast'!N4</f>
        <v>1.500017514715013</v>
      </c>
      <c r="BG4" s="250">
        <f>O4/'D4 Gallon Forecast'!O4</f>
        <v>1.5000178634237296</v>
      </c>
      <c r="BH4" s="250">
        <f>P4/'D4 Gallon Forecast'!P4</f>
        <v>1.5000183294883096</v>
      </c>
      <c r="BI4" s="250">
        <f>Q4/'D4 Gallon Forecast'!Q4</f>
        <v>1.5000183429937473</v>
      </c>
      <c r="BJ4" s="250">
        <f>R4/'D4 Gallon Forecast'!R4</f>
        <v>1.5000183425965929</v>
      </c>
      <c r="BK4" s="250">
        <f>S4/'D4 Gallon Forecast'!S4</f>
        <v>1.5000180786434782</v>
      </c>
      <c r="BL4" s="250">
        <f>T4/'D4 Gallon Forecast'!T4</f>
        <v>1.5000181914291717</v>
      </c>
      <c r="BM4" s="250">
        <f>U4/'D4 Gallon Forecast'!U4</f>
        <v>1.5000182570302603</v>
      </c>
      <c r="BN4" s="250">
        <f>V4/'D4 Gallon Forecast'!V4</f>
        <v>1.5000182425386499</v>
      </c>
      <c r="BO4" s="250">
        <f>W4/'D4 Gallon Forecast'!W4</f>
        <v>1.5000182224476304</v>
      </c>
      <c r="BP4" s="250">
        <f>X4/'D4 Gallon Forecast'!X4</f>
        <v>1.5000181984178382</v>
      </c>
      <c r="BQ4" s="250">
        <f>Y4/'D4 Gallon Forecast'!Y4</f>
        <v>1.5000182223727101</v>
      </c>
      <c r="BR4" s="250">
        <f>Z4/'D4 Gallon Forecast'!Z4</f>
        <v>1.5000182285614183</v>
      </c>
      <c r="BS4" s="250">
        <f>AA4/'D4 Gallon Forecast'!AA4</f>
        <v>1.5000182228676497</v>
      </c>
      <c r="BT4" s="250">
        <f>AB4/'D4 Gallon Forecast'!AB4</f>
        <v>1.5000182189334494</v>
      </c>
      <c r="BU4" s="250">
        <f>AC4/'D4 Gallon Forecast'!AC4</f>
        <v>1.5000182182306132</v>
      </c>
      <c r="BV4" s="250">
        <f>AD4/'D4 Gallon Forecast'!AD4</f>
        <v>1.5000182221931679</v>
      </c>
      <c r="BW4" s="250">
        <f>AE4/'D4 Gallon Forecast'!AE4</f>
        <v>1.5000182221572598</v>
      </c>
      <c r="BX4" s="250">
        <f>AF4/'D4 Gallon Forecast'!AF4</f>
        <v>1.5000182208764277</v>
      </c>
      <c r="BY4" s="250">
        <f>AG4/'D4 Gallon Forecast'!AG4</f>
        <v>1.5000182204781833</v>
      </c>
      <c r="BZ4" s="250">
        <f>AH4/'D4 Gallon Forecast'!AH4</f>
        <v>1.5000182207871302</v>
      </c>
      <c r="CA4" s="250">
        <f>AI4/'D4 Gallon Forecast'!AI4</f>
        <v>1.5000182212984341</v>
      </c>
      <c r="CB4" s="250">
        <f>AJ4/'D4 Gallon Forecast'!AJ4</f>
        <v>1.5000182211194872</v>
      </c>
      <c r="CC4" s="250">
        <f>AK4/'D4 Gallon Forecast'!AK4</f>
        <v>1.5000182209119324</v>
      </c>
      <c r="CD4" s="250">
        <f>AL4/'D4 Gallon Forecast'!AL4</f>
        <v>1.5000182209190336</v>
      </c>
      <c r="CE4" s="250">
        <f>AM4/'D4 Gallon Forecast'!AM4</f>
        <v>1.5000182210072031</v>
      </c>
      <c r="CF4" s="250">
        <f>AN4/'D4 Gallon Forecast'!AN4</f>
        <v>1.5000182210512178</v>
      </c>
      <c r="CG4" s="250">
        <f>AO4/'D4 Gallon Forecast'!AO4</f>
        <v>1.500018221001775</v>
      </c>
      <c r="CH4" s="250">
        <f>AP4/'D4 Gallon Forecast'!AP4</f>
        <v>1.5000182209782327</v>
      </c>
    </row>
    <row r="5" spans="1:86">
      <c r="A5" s="40" t="s">
        <v>282</v>
      </c>
      <c r="B5" s="42">
        <f>B95</f>
        <v>0</v>
      </c>
      <c r="C5" s="42">
        <f t="shared" ref="C5:I5" si="5">C95</f>
        <v>0</v>
      </c>
      <c r="D5" s="42">
        <f t="shared" si="5"/>
        <v>10172863</v>
      </c>
      <c r="E5" s="42">
        <f t="shared" si="5"/>
        <v>4186146</v>
      </c>
      <c r="F5" s="42">
        <f t="shared" si="5"/>
        <v>0</v>
      </c>
      <c r="G5" s="42">
        <f t="shared" si="5"/>
        <v>0</v>
      </c>
      <c r="H5" s="42">
        <f t="shared" si="5"/>
        <v>0</v>
      </c>
      <c r="I5" s="42">
        <f t="shared" si="5"/>
        <v>0</v>
      </c>
      <c r="J5" s="42">
        <f>J95</f>
        <v>0</v>
      </c>
      <c r="K5" s="42">
        <f>K95</f>
        <v>0</v>
      </c>
      <c r="L5" s="42">
        <f>L95</f>
        <v>0</v>
      </c>
      <c r="M5" s="42">
        <f>M95</f>
        <v>0</v>
      </c>
      <c r="N5" s="42">
        <f t="shared" ref="N5:AP5" si="6">N95</f>
        <v>0</v>
      </c>
      <c r="O5" s="42">
        <f>O95</f>
        <v>0</v>
      </c>
      <c r="P5" s="251">
        <f t="shared" si="6"/>
        <v>0</v>
      </c>
      <c r="Q5" s="42">
        <f t="shared" si="6"/>
        <v>0</v>
      </c>
      <c r="R5" s="42">
        <f t="shared" si="6"/>
        <v>0</v>
      </c>
      <c r="S5" s="42">
        <f t="shared" si="6"/>
        <v>0</v>
      </c>
      <c r="T5" s="42">
        <f t="shared" si="6"/>
        <v>0</v>
      </c>
      <c r="U5" s="42">
        <f t="shared" si="6"/>
        <v>0</v>
      </c>
      <c r="V5" s="42">
        <f t="shared" si="6"/>
        <v>0</v>
      </c>
      <c r="W5" s="42">
        <f t="shared" si="6"/>
        <v>0</v>
      </c>
      <c r="X5" s="42">
        <f t="shared" si="6"/>
        <v>0</v>
      </c>
      <c r="Y5" s="42">
        <f t="shared" si="6"/>
        <v>0</v>
      </c>
      <c r="Z5" s="42">
        <f t="shared" si="6"/>
        <v>0</v>
      </c>
      <c r="AA5" s="42">
        <f t="shared" si="6"/>
        <v>0</v>
      </c>
      <c r="AB5" s="42">
        <f t="shared" si="6"/>
        <v>0</v>
      </c>
      <c r="AC5" s="42">
        <f t="shared" si="6"/>
        <v>0</v>
      </c>
      <c r="AD5" s="42">
        <f t="shared" si="6"/>
        <v>0</v>
      </c>
      <c r="AE5" s="42">
        <f t="shared" si="6"/>
        <v>0</v>
      </c>
      <c r="AF5" s="42">
        <f t="shared" si="6"/>
        <v>0</v>
      </c>
      <c r="AG5" s="42">
        <f t="shared" si="6"/>
        <v>0</v>
      </c>
      <c r="AH5" s="42">
        <f t="shared" si="6"/>
        <v>0</v>
      </c>
      <c r="AI5" s="42">
        <f t="shared" si="6"/>
        <v>0</v>
      </c>
      <c r="AJ5" s="42">
        <f t="shared" si="6"/>
        <v>0</v>
      </c>
      <c r="AK5" s="42">
        <f t="shared" si="6"/>
        <v>0</v>
      </c>
      <c r="AL5" s="42">
        <f t="shared" si="6"/>
        <v>0</v>
      </c>
      <c r="AM5" s="42">
        <f t="shared" si="6"/>
        <v>0</v>
      </c>
      <c r="AN5" s="42">
        <f t="shared" si="6"/>
        <v>0</v>
      </c>
      <c r="AO5" s="42">
        <f t="shared" si="6"/>
        <v>0</v>
      </c>
      <c r="AP5" s="42">
        <f t="shared" si="6"/>
        <v>0</v>
      </c>
      <c r="AQ5" s="42"/>
      <c r="AR5" s="245"/>
      <c r="AT5" s="40" t="e">
        <f>B5/'D4 Gallon Forecast'!B5</f>
        <v>#DIV/0!</v>
      </c>
      <c r="AU5" s="40" t="e">
        <f>C5/'D4 Gallon Forecast'!C5</f>
        <v>#DIV/0!</v>
      </c>
      <c r="AV5" s="40">
        <f>D5/'D4 Gallon Forecast'!D5</f>
        <v>1.5000001474511302</v>
      </c>
      <c r="AW5" s="40">
        <f>E5/'D4 Gallon Forecast'!E5</f>
        <v>1.5000005374874184</v>
      </c>
      <c r="AX5" s="40" t="e">
        <f>F5/'D4 Gallon Forecast'!F5</f>
        <v>#DIV/0!</v>
      </c>
      <c r="AY5" s="40" t="e">
        <f>G5/'D4 Gallon Forecast'!G5</f>
        <v>#DIV/0!</v>
      </c>
      <c r="AZ5" s="40" t="e">
        <f>H5/'D4 Gallon Forecast'!H5</f>
        <v>#DIV/0!</v>
      </c>
      <c r="BA5" s="250" t="e">
        <f>I5/'D4 Gallon Forecast'!I5</f>
        <v>#DIV/0!</v>
      </c>
      <c r="BB5" s="250" t="e">
        <f>J5/'D4 Gallon Forecast'!J5</f>
        <v>#DIV/0!</v>
      </c>
      <c r="BC5" s="250" t="e">
        <f>K5/'D4 Gallon Forecast'!K5</f>
        <v>#DIV/0!</v>
      </c>
      <c r="BD5" s="250" t="e">
        <f>L5/'D4 Gallon Forecast'!L5</f>
        <v>#DIV/0!</v>
      </c>
      <c r="BE5" s="250" t="e">
        <f>M5/'D4 Gallon Forecast'!M5</f>
        <v>#DIV/0!</v>
      </c>
      <c r="BF5" s="250" t="e">
        <f>N5/'D4 Gallon Forecast'!N5</f>
        <v>#DIV/0!</v>
      </c>
      <c r="BG5" s="250" t="e">
        <f>O5/'D4 Gallon Forecast'!O5</f>
        <v>#DIV/0!</v>
      </c>
      <c r="BH5" s="250" t="e">
        <f>P5/'D4 Gallon Forecast'!P5</f>
        <v>#DIV/0!</v>
      </c>
      <c r="BI5" s="250" t="e">
        <f>Q5/'D4 Gallon Forecast'!Q5</f>
        <v>#DIV/0!</v>
      </c>
      <c r="BJ5" s="250" t="e">
        <f>R5/'D4 Gallon Forecast'!R5</f>
        <v>#DIV/0!</v>
      </c>
      <c r="BK5" s="250" t="e">
        <f>S5/'D4 Gallon Forecast'!S5</f>
        <v>#DIV/0!</v>
      </c>
      <c r="BL5" s="250" t="e">
        <f>T5/'D4 Gallon Forecast'!T5</f>
        <v>#DIV/0!</v>
      </c>
      <c r="BM5" s="250" t="e">
        <f>U5/'D4 Gallon Forecast'!U5</f>
        <v>#DIV/0!</v>
      </c>
      <c r="BN5" s="250" t="e">
        <f>V5/'D4 Gallon Forecast'!V5</f>
        <v>#DIV/0!</v>
      </c>
      <c r="BO5" s="250" t="e">
        <f>W5/'D4 Gallon Forecast'!W5</f>
        <v>#DIV/0!</v>
      </c>
      <c r="BP5" s="250" t="e">
        <f>X5/'D4 Gallon Forecast'!X5</f>
        <v>#DIV/0!</v>
      </c>
      <c r="BQ5" s="250" t="e">
        <f>Y5/'D4 Gallon Forecast'!Y5</f>
        <v>#DIV/0!</v>
      </c>
      <c r="BR5" s="250" t="e">
        <f>Z5/'D4 Gallon Forecast'!Z5</f>
        <v>#DIV/0!</v>
      </c>
      <c r="BS5" s="250" t="e">
        <f>AA5/'D4 Gallon Forecast'!AA5</f>
        <v>#DIV/0!</v>
      </c>
      <c r="BT5" s="250" t="e">
        <f>AB5/'D4 Gallon Forecast'!AB5</f>
        <v>#DIV/0!</v>
      </c>
      <c r="BU5" s="250" t="e">
        <f>AC5/'D4 Gallon Forecast'!AC5</f>
        <v>#DIV/0!</v>
      </c>
      <c r="BV5" s="250" t="e">
        <f>AD5/'D4 Gallon Forecast'!AD5</f>
        <v>#DIV/0!</v>
      </c>
      <c r="BW5" s="250" t="e">
        <f>AE5/'D4 Gallon Forecast'!AE5</f>
        <v>#DIV/0!</v>
      </c>
      <c r="BX5" s="250" t="e">
        <f>AF5/'D4 Gallon Forecast'!AF5</f>
        <v>#DIV/0!</v>
      </c>
      <c r="BY5" s="250" t="e">
        <f>AG5/'D4 Gallon Forecast'!AG5</f>
        <v>#DIV/0!</v>
      </c>
      <c r="BZ5" s="250" t="e">
        <f>AH5/'D4 Gallon Forecast'!AH5</f>
        <v>#DIV/0!</v>
      </c>
      <c r="CA5" s="250" t="e">
        <f>AI5/'D4 Gallon Forecast'!AI5</f>
        <v>#DIV/0!</v>
      </c>
      <c r="CB5" s="250" t="e">
        <f>AJ5/'D4 Gallon Forecast'!AJ5</f>
        <v>#DIV/0!</v>
      </c>
      <c r="CC5" s="250" t="e">
        <f>AK5/'D4 Gallon Forecast'!AK5</f>
        <v>#DIV/0!</v>
      </c>
      <c r="CD5" s="250" t="e">
        <f>AL5/'D4 Gallon Forecast'!AL5</f>
        <v>#DIV/0!</v>
      </c>
      <c r="CE5" s="250" t="e">
        <f>AM5/'D4 Gallon Forecast'!AM5</f>
        <v>#DIV/0!</v>
      </c>
      <c r="CF5" s="250" t="e">
        <f>AN5/'D4 Gallon Forecast'!AN5</f>
        <v>#DIV/0!</v>
      </c>
      <c r="CG5" s="250" t="e">
        <f>AO5/'D4 Gallon Forecast'!AO5</f>
        <v>#DIV/0!</v>
      </c>
      <c r="CH5" s="250" t="e">
        <f>AP5/'D4 Gallon Forecast'!AP5</f>
        <v>#DIV/0!</v>
      </c>
    </row>
    <row r="6" spans="1:86" ht="12" thickBot="1">
      <c r="A6" s="40" t="s">
        <v>225</v>
      </c>
      <c r="B6" s="42">
        <f>B111</f>
        <v>18731306</v>
      </c>
      <c r="C6" s="42">
        <f t="shared" ref="C6:I6" si="7">C111</f>
        <v>66689563</v>
      </c>
      <c r="D6" s="42">
        <f t="shared" si="7"/>
        <v>50170499</v>
      </c>
      <c r="E6" s="42">
        <f t="shared" si="7"/>
        <v>229537857</v>
      </c>
      <c r="F6" s="42">
        <f t="shared" si="7"/>
        <v>194443930</v>
      </c>
      <c r="G6" s="42">
        <f t="shared" si="7"/>
        <v>391885020</v>
      </c>
      <c r="H6" s="42">
        <f t="shared" si="7"/>
        <v>842461326</v>
      </c>
      <c r="I6" s="42">
        <f t="shared" si="7"/>
        <v>692872876</v>
      </c>
      <c r="J6" s="42">
        <f>J111</f>
        <v>262712433</v>
      </c>
      <c r="K6" s="42">
        <f>K111</f>
        <v>277112663</v>
      </c>
      <c r="L6" s="42">
        <f>L111</f>
        <v>314241090</v>
      </c>
      <c r="M6" s="42">
        <f>M111</f>
        <v>312676583</v>
      </c>
      <c r="N6" s="42">
        <f t="shared" ref="N6:AP6" si="8">N111</f>
        <v>360487221</v>
      </c>
      <c r="O6" s="42">
        <f>O111</f>
        <v>757402065</v>
      </c>
      <c r="P6" s="251">
        <f t="shared" si="8"/>
        <v>597077499</v>
      </c>
      <c r="Q6" s="42">
        <f t="shared" si="8"/>
        <v>510000617.83116162</v>
      </c>
      <c r="R6" s="42">
        <f t="shared" si="8"/>
        <v>285000307.50145561</v>
      </c>
      <c r="S6" s="42">
        <f t="shared" si="8"/>
        <v>300000293.91614491</v>
      </c>
      <c r="T6" s="42">
        <f t="shared" si="8"/>
        <v>330000326.72713894</v>
      </c>
      <c r="U6" s="42">
        <f t="shared" si="8"/>
        <v>330000338.87356669</v>
      </c>
      <c r="V6" s="42">
        <f t="shared" si="8"/>
        <v>345000364.80841267</v>
      </c>
      <c r="W6" s="42">
        <f t="shared" si="8"/>
        <v>315000323.38281047</v>
      </c>
      <c r="X6" s="42">
        <f t="shared" si="8"/>
        <v>285000289.60104591</v>
      </c>
      <c r="Y6" s="42">
        <f t="shared" si="8"/>
        <v>270000276.32575661</v>
      </c>
      <c r="Z6" s="42">
        <f t="shared" si="8"/>
        <v>262500270.40073183</v>
      </c>
      <c r="AA6" s="42">
        <f t="shared" si="8"/>
        <v>240000247.37753087</v>
      </c>
      <c r="AB6" s="42">
        <f t="shared" si="8"/>
        <v>195000199.95388073</v>
      </c>
      <c r="AC6" s="42">
        <f t="shared" si="8"/>
        <v>165000169.15189511</v>
      </c>
      <c r="AD6" s="42">
        <f t="shared" si="8"/>
        <v>135000138.64051756</v>
      </c>
      <c r="AE6" s="42">
        <f t="shared" si="8"/>
        <v>112500115.61337116</v>
      </c>
      <c r="AF6" s="42">
        <f t="shared" si="8"/>
        <v>112500115.55883978</v>
      </c>
      <c r="AG6" s="42">
        <f t="shared" si="8"/>
        <v>112500115.47896424</v>
      </c>
      <c r="AH6" s="42">
        <f t="shared" si="8"/>
        <v>112500115.50315547</v>
      </c>
      <c r="AI6" s="42">
        <f t="shared" si="8"/>
        <v>112500115.53761907</v>
      </c>
      <c r="AJ6" s="42">
        <f t="shared" si="8"/>
        <v>112500115.53838994</v>
      </c>
      <c r="AK6" s="42">
        <f t="shared" si="8"/>
        <v>112500115.52339369</v>
      </c>
      <c r="AL6" s="42">
        <f t="shared" si="8"/>
        <v>112500115.51630446</v>
      </c>
      <c r="AM6" s="42">
        <f t="shared" si="8"/>
        <v>112500115.52377251</v>
      </c>
      <c r="AN6" s="42">
        <f t="shared" si="8"/>
        <v>112500115.52789591</v>
      </c>
      <c r="AO6" s="42">
        <f t="shared" si="8"/>
        <v>112500115.52595131</v>
      </c>
      <c r="AP6" s="42">
        <f t="shared" si="8"/>
        <v>112500115.52346355</v>
      </c>
      <c r="AQ6" s="42"/>
      <c r="AR6" s="245"/>
      <c r="AT6" s="40">
        <f>B6/'D4 Gallon Forecast'!B6</f>
        <v>1.5000037637619554</v>
      </c>
      <c r="AU6" s="40">
        <f>C6/'D4 Gallon Forecast'!C6</f>
        <v>1.5000046109305776</v>
      </c>
      <c r="AV6" s="40">
        <f>D6/'D4 Gallon Forecast'!D6</f>
        <v>1.5000061590232292</v>
      </c>
      <c r="AW6" s="40">
        <f>E6/'D4 Gallon Forecast'!E6</f>
        <v>1.5000027838596834</v>
      </c>
      <c r="AX6" s="40">
        <f>F6/'D4 Gallon Forecast'!F6</f>
        <v>1.50000301629976</v>
      </c>
      <c r="AY6" s="40">
        <f>G6/'D4 Gallon Forecast'!G6</f>
        <v>1.5000027846229638</v>
      </c>
      <c r="AZ6" s="40">
        <f>H6/'D4 Gallon Forecast'!H6</f>
        <v>1.5000015116436138</v>
      </c>
      <c r="BA6" s="250">
        <f>I6/'D4 Gallon Forecast'!I6</f>
        <v>1.5000019700609448</v>
      </c>
      <c r="BB6" s="250">
        <f>J6/'D4 Gallon Forecast'!J6</f>
        <v>1.5000025779182058</v>
      </c>
      <c r="BC6" s="250">
        <f>K6/'D4 Gallon Forecast'!K6</f>
        <v>1.5000018052246211</v>
      </c>
      <c r="BD6" s="250">
        <f>L6/'D4 Gallon Forecast'!L6</f>
        <v>1.5000027638066054</v>
      </c>
      <c r="BE6" s="250">
        <f>M6/'D4 Gallon Forecast'!M6</f>
        <v>1.5000023626686607</v>
      </c>
      <c r="BF6" s="250">
        <f>N6/'D4 Gallon Forecast'!N6</f>
        <v>1.5000013918675514</v>
      </c>
      <c r="BG6" s="250">
        <f>O6/'D4 Gallon Forecast'!O6</f>
        <v>1.5000012090681825</v>
      </c>
      <c r="BH6" s="250">
        <f>P6/'D4 Gallon Forecast'!P6</f>
        <v>1.500001311388699</v>
      </c>
      <c r="BI6" s="250">
        <f>Q6/'D4 Gallon Forecast'!Q6</f>
        <v>1.5000018171504754</v>
      </c>
      <c r="BJ6" s="250">
        <f>R6/'D4 Gallon Forecast'!R6</f>
        <v>1.5000016184287137</v>
      </c>
      <c r="BK6" s="250">
        <f>S6/'D4 Gallon Forecast'!S6</f>
        <v>1.5000014695807244</v>
      </c>
      <c r="BL6" s="250">
        <f>T6/'D4 Gallon Forecast'!T6</f>
        <v>1.5000014851233587</v>
      </c>
      <c r="BM6" s="250">
        <f>U6/'D4 Gallon Forecast'!U6</f>
        <v>1.500001540334394</v>
      </c>
      <c r="BN6" s="250">
        <f>V6/'D4 Gallon Forecast'!V6</f>
        <v>1.5000015861235334</v>
      </c>
      <c r="BO6" s="250">
        <f>W6/'D4 Gallon Forecast'!W6</f>
        <v>1.5000015399181452</v>
      </c>
      <c r="BP6" s="250">
        <f>X6/'D4 Gallon Forecast'!X6</f>
        <v>1.5000015242160312</v>
      </c>
      <c r="BQ6" s="250">
        <f>Y6/'D4 Gallon Forecast'!Y6</f>
        <v>1.5000015351430922</v>
      </c>
      <c r="BR6" s="250">
        <f>Z6/'D4 Gallon Forecast'!Z6</f>
        <v>1.500001545147039</v>
      </c>
      <c r="BS6" s="250">
        <f>AA6/'D4 Gallon Forecast'!AA6</f>
        <v>1.5000015461095679</v>
      </c>
      <c r="BT6" s="250">
        <f>AB6/'D4 Gallon Forecast'!AB6</f>
        <v>1.5000015381067748</v>
      </c>
      <c r="BU6" s="250">
        <f>AC6/'D4 Gallon Forecast'!AC6</f>
        <v>1.5000015377445011</v>
      </c>
      <c r="BV6" s="250">
        <f>AD6/'D4 Gallon Forecast'!AD6</f>
        <v>1.5000015404501952</v>
      </c>
      <c r="BW6" s="250">
        <f>AE6/'D4 Gallon Forecast'!AE6</f>
        <v>1.5000015415116155</v>
      </c>
      <c r="BX6" s="250">
        <f>AF6/'D4 Gallon Forecast'!AF6</f>
        <v>1.5000015407845304</v>
      </c>
      <c r="BY6" s="250">
        <f>AG6/'D4 Gallon Forecast'!AG6</f>
        <v>1.5000015397195232</v>
      </c>
      <c r="BZ6" s="250">
        <f>AH6/'D4 Gallon Forecast'!AH6</f>
        <v>1.500001540042073</v>
      </c>
      <c r="CA6" s="250">
        <f>AI6/'D4 Gallon Forecast'!AI6</f>
        <v>1.5000015405015876</v>
      </c>
      <c r="CB6" s="250">
        <f>AJ6/'D4 Gallon Forecast'!AJ6</f>
        <v>1.5000015405118658</v>
      </c>
      <c r="CC6" s="250">
        <f>AK6/'D4 Gallon Forecast'!AK6</f>
        <v>1.5000015403119158</v>
      </c>
      <c r="CD6" s="250">
        <f>AL6/'D4 Gallon Forecast'!AL6</f>
        <v>1.5000015402173927</v>
      </c>
      <c r="CE6" s="250">
        <f>AM6/'D4 Gallon Forecast'!AM6</f>
        <v>1.5000015403169669</v>
      </c>
      <c r="CF6" s="250">
        <f>AN6/'D4 Gallon Forecast'!AN6</f>
        <v>1.5000015403719456</v>
      </c>
      <c r="CG6" s="250">
        <f>AO6/'D4 Gallon Forecast'!AO6</f>
        <v>1.5000015403460174</v>
      </c>
      <c r="CH6" s="250">
        <f>AP6/'D4 Gallon Forecast'!AP6</f>
        <v>1.5000015403128473</v>
      </c>
    </row>
    <row r="7" spans="1:86">
      <c r="A7" s="252" t="s">
        <v>372</v>
      </c>
      <c r="B7" s="253">
        <f>B8+B12+B16</f>
        <v>1607200</v>
      </c>
      <c r="C7" s="253">
        <f t="shared" ref="C7:I7" si="9">C8+C12+C16</f>
        <v>75529663</v>
      </c>
      <c r="D7" s="253">
        <f t="shared" si="9"/>
        <v>152667253</v>
      </c>
      <c r="E7" s="253">
        <f t="shared" si="9"/>
        <v>438842948</v>
      </c>
      <c r="F7" s="253">
        <f t="shared" si="9"/>
        <v>556636135</v>
      </c>
      <c r="G7" s="253">
        <f t="shared" si="9"/>
        <v>522546996</v>
      </c>
      <c r="H7" s="253">
        <f t="shared" si="9"/>
        <v>715445969</v>
      </c>
      <c r="I7" s="253">
        <f t="shared" si="9"/>
        <v>770898438</v>
      </c>
      <c r="J7" s="253">
        <f>J8+J12+J16</f>
        <v>824864952</v>
      </c>
      <c r="K7" s="253">
        <f>K8+K12+K16</f>
        <v>1294930155</v>
      </c>
      <c r="L7" s="253">
        <f>L8+L12+L16</f>
        <v>1431270516</v>
      </c>
      <c r="M7" s="253">
        <f>M8+M12+M16</f>
        <v>1995224653</v>
      </c>
      <c r="N7" s="253">
        <f t="shared" ref="N7:AP7" si="10">N8+N12+N16</f>
        <v>2970432552</v>
      </c>
      <c r="O7" s="253">
        <f>O8+O12+O16</f>
        <v>4664280041</v>
      </c>
      <c r="P7" s="254">
        <f t="shared" si="10"/>
        <v>5891799664</v>
      </c>
      <c r="Q7" s="253">
        <f t="shared" si="10"/>
        <v>4600547426.4500694</v>
      </c>
      <c r="R7" s="253">
        <f t="shared" si="10"/>
        <v>4909856561.0849228</v>
      </c>
      <c r="S7" s="253">
        <f t="shared" si="10"/>
        <v>5318855504.2205648</v>
      </c>
      <c r="T7" s="253">
        <f t="shared" si="10"/>
        <v>5373083082.868535</v>
      </c>
      <c r="U7" s="253">
        <f t="shared" si="10"/>
        <v>5366669217.0322475</v>
      </c>
      <c r="V7" s="253">
        <f t="shared" si="10"/>
        <v>5566585658.1156006</v>
      </c>
      <c r="W7" s="253">
        <f t="shared" si="10"/>
        <v>6015994043.4266329</v>
      </c>
      <c r="X7" s="253">
        <f t="shared" si="10"/>
        <v>7049069521.2717323</v>
      </c>
      <c r="Y7" s="253">
        <f t="shared" si="10"/>
        <v>6994394639.2095814</v>
      </c>
      <c r="Z7" s="253">
        <f t="shared" si="10"/>
        <v>6777370241.3265057</v>
      </c>
      <c r="AA7" s="253">
        <f t="shared" si="10"/>
        <v>7164775669.3696012</v>
      </c>
      <c r="AB7" s="253">
        <f t="shared" si="10"/>
        <v>7595200901.7291765</v>
      </c>
      <c r="AC7" s="253">
        <f t="shared" si="10"/>
        <v>8605510642.447855</v>
      </c>
      <c r="AD7" s="253">
        <f t="shared" si="10"/>
        <v>9485569108.7526188</v>
      </c>
      <c r="AE7" s="253">
        <f t="shared" si="10"/>
        <v>9491643191.4038429</v>
      </c>
      <c r="AF7" s="253">
        <f t="shared" si="10"/>
        <v>8317140072.2824574</v>
      </c>
      <c r="AG7" s="253">
        <f t="shared" si="10"/>
        <v>8810794767.7556572</v>
      </c>
      <c r="AH7" s="253">
        <f t="shared" si="10"/>
        <v>9311161873.5080681</v>
      </c>
      <c r="AI7" s="253">
        <f t="shared" si="10"/>
        <v>10114143569.483053</v>
      </c>
      <c r="AJ7" s="253">
        <f t="shared" si="10"/>
        <v>10312454652.312321</v>
      </c>
      <c r="AK7" s="253">
        <f t="shared" si="10"/>
        <v>10252848010.245729</v>
      </c>
      <c r="AL7" s="253">
        <f t="shared" si="10"/>
        <v>9758656855.7724152</v>
      </c>
      <c r="AM7" s="253">
        <f t="shared" si="10"/>
        <v>10177075522.61697</v>
      </c>
      <c r="AN7" s="253">
        <f t="shared" si="10"/>
        <v>10538917660.613689</v>
      </c>
      <c r="AO7" s="253">
        <f t="shared" si="10"/>
        <v>10917438161.14447</v>
      </c>
      <c r="AP7" s="253">
        <f t="shared" si="10"/>
        <v>11399257163.673294</v>
      </c>
      <c r="AQ7" s="248"/>
      <c r="AR7" s="245"/>
      <c r="AT7" s="40">
        <f>B7/'D4 Gallon Forecast'!B7</f>
        <v>1.674939581494377</v>
      </c>
      <c r="AU7" s="40">
        <f>C7/'D4 Gallon Forecast'!C7</f>
        <v>1.6665241226526628</v>
      </c>
      <c r="AV7" s="40">
        <f>D7/'D4 Gallon Forecast'!D7</f>
        <v>1.6875200940315009</v>
      </c>
      <c r="AW7" s="40">
        <f>E7/'D4 Gallon Forecast'!E7</f>
        <v>1.6884887922903791</v>
      </c>
      <c r="AX7" s="40">
        <f>F7/'D4 Gallon Forecast'!F7</f>
        <v>1.6976009344579737</v>
      </c>
      <c r="AY7" s="40">
        <f>G7/'D4 Gallon Forecast'!G7</f>
        <v>1.6986030228760869</v>
      </c>
      <c r="AZ7" s="40">
        <f>H7/'D4 Gallon Forecast'!H7</f>
        <v>1.700000727099243</v>
      </c>
      <c r="BA7" s="250">
        <f>I7/'D4 Gallon Forecast'!I7</f>
        <v>1.7000010624752517</v>
      </c>
      <c r="BB7" s="250">
        <f>J7/'D4 Gallon Forecast'!J7</f>
        <v>1.700001077874095</v>
      </c>
      <c r="BC7" s="250">
        <f>K7/'D4 Gallon Forecast'!K7</f>
        <v>1.6996889346353448</v>
      </c>
      <c r="BD7" s="250">
        <f>L7/'D4 Gallon Forecast'!L7</f>
        <v>1.6995986604768207</v>
      </c>
      <c r="BE7" s="250">
        <f>M7/'D4 Gallon Forecast'!M7</f>
        <v>1.6983827624921231</v>
      </c>
      <c r="BF7" s="250">
        <f>N7/'D4 Gallon Forecast'!N7</f>
        <v>1.6965856299932307</v>
      </c>
      <c r="BG7" s="250">
        <f>O7/'D4 Gallon Forecast'!O7</f>
        <v>1.6800084529751282</v>
      </c>
      <c r="BH7" s="250">
        <f>P7/'D4 Gallon Forecast'!P7</f>
        <v>1.6849885860606055</v>
      </c>
      <c r="BI7" s="250">
        <f>Q7/'D4 Gallon Forecast'!Q7</f>
        <v>1.6959411876605746</v>
      </c>
      <c r="BJ7" s="250">
        <f>R7/'D4 Gallon Forecast'!R7</f>
        <v>1.7000010965725492</v>
      </c>
      <c r="BK7" s="250">
        <f>S7/'D4 Gallon Forecast'!S7</f>
        <v>1.7000011134402933</v>
      </c>
      <c r="BL7" s="250">
        <f>T7/'D4 Gallon Forecast'!T7</f>
        <v>1.7000011224374418</v>
      </c>
      <c r="BM7" s="250">
        <f>U7/'D4 Gallon Forecast'!U7</f>
        <v>1.7000011303580265</v>
      </c>
      <c r="BN7" s="250">
        <f>V7/'D4 Gallon Forecast'!V7</f>
        <v>1.7000011120902978</v>
      </c>
      <c r="BO7" s="250">
        <f>W7/'D4 Gallon Forecast'!W7</f>
        <v>1.7000011403760176</v>
      </c>
      <c r="BP7" s="250">
        <f>X7/'D4 Gallon Forecast'!X7</f>
        <v>1.7000011546729479</v>
      </c>
      <c r="BQ7" s="250">
        <f>Y7/'D4 Gallon Forecast'!Y7</f>
        <v>1.7000011553263572</v>
      </c>
      <c r="BR7" s="250">
        <f>Z7/'D4 Gallon Forecast'!Z7</f>
        <v>1.7000011546626743</v>
      </c>
      <c r="BS7" s="250">
        <f>AA7/'D4 Gallon Forecast'!AA7</f>
        <v>1.7000011550711671</v>
      </c>
      <c r="BT7" s="250">
        <f>AB7/'D4 Gallon Forecast'!AB7</f>
        <v>1.7000011846019862</v>
      </c>
      <c r="BU7" s="250">
        <f>AC7/'D4 Gallon Forecast'!AC7</f>
        <v>1.7000011909566228</v>
      </c>
      <c r="BV7" s="250">
        <f>AD7/'D4 Gallon Forecast'!AD7</f>
        <v>1.7000011914076829</v>
      </c>
      <c r="BW7" s="250">
        <f>AE7/'D4 Gallon Forecast'!AE7</f>
        <v>1.7000011911416215</v>
      </c>
      <c r="BX7" s="250">
        <f>AF7/'D4 Gallon Forecast'!AF7</f>
        <v>1.7000011898958043</v>
      </c>
      <c r="BY7" s="250">
        <f>AG7/'D4 Gallon Forecast'!AG7</f>
        <v>1.7000011909211818</v>
      </c>
      <c r="BZ7" s="250">
        <f>AH7/'D4 Gallon Forecast'!AH7</f>
        <v>1.700001191269872</v>
      </c>
      <c r="CA7" s="250">
        <f>AI7/'D4 Gallon Forecast'!AI7</f>
        <v>1.7000011919102223</v>
      </c>
      <c r="CB7" s="250">
        <f>AJ7/'D4 Gallon Forecast'!AJ7</f>
        <v>1.7000011920611919</v>
      </c>
      <c r="CC7" s="250">
        <f>AK7/'D4 Gallon Forecast'!AK7</f>
        <v>1.7000011920537526</v>
      </c>
      <c r="CD7" s="250">
        <f>AL7/'D4 Gallon Forecast'!AL7</f>
        <v>1.7000011916758297</v>
      </c>
      <c r="CE7" s="250">
        <f>AM7/'D4 Gallon Forecast'!AM7</f>
        <v>1.700001191998239</v>
      </c>
      <c r="CF7" s="250">
        <f>AN7/'D4 Gallon Forecast'!AN7</f>
        <v>1.700001192275945</v>
      </c>
      <c r="CG7" s="250">
        <f>AO7/'D4 Gallon Forecast'!AO7</f>
        <v>1.70000119256199</v>
      </c>
      <c r="CH7" s="250">
        <f>AP7/'D4 Gallon Forecast'!AP7</f>
        <v>1.7000011929010208</v>
      </c>
    </row>
    <row r="8" spans="1:86">
      <c r="A8" s="40" t="s">
        <v>224</v>
      </c>
      <c r="B8" s="42">
        <f>SUM(B9:B11)</f>
        <v>1607200</v>
      </c>
      <c r="C8" s="42">
        <f t="shared" ref="C8:I8" si="11">SUM(C9:C11)</f>
        <v>75529663</v>
      </c>
      <c r="D8" s="42">
        <f t="shared" si="11"/>
        <v>67203284</v>
      </c>
      <c r="E8" s="42">
        <f t="shared" si="11"/>
        <v>119420806</v>
      </c>
      <c r="F8" s="42">
        <f t="shared" si="11"/>
        <v>255124876</v>
      </c>
      <c r="G8" s="42">
        <f t="shared" si="11"/>
        <v>291745566</v>
      </c>
      <c r="H8" s="42">
        <f t="shared" si="11"/>
        <v>402596712</v>
      </c>
      <c r="I8" s="42">
        <f t="shared" si="11"/>
        <v>430431794</v>
      </c>
      <c r="J8" s="42">
        <f>SUM(J9:J11)</f>
        <v>479190676</v>
      </c>
      <c r="K8" s="42">
        <f>SUM(K9:K11)</f>
        <v>778334312</v>
      </c>
      <c r="L8" s="42">
        <f>SUM(L9:L11)</f>
        <v>820831446</v>
      </c>
      <c r="M8" s="42">
        <f>SUM(M9:M11)</f>
        <v>1331012577</v>
      </c>
      <c r="N8" s="42">
        <f t="shared" ref="N8:AP8" si="12">SUM(N9:N11)</f>
        <v>2341014571</v>
      </c>
      <c r="O8" s="42">
        <f>SUM(O9:O11)</f>
        <v>3950980817</v>
      </c>
      <c r="P8" s="251">
        <f t="shared" si="12"/>
        <v>5167113027</v>
      </c>
      <c r="Q8" s="42">
        <f t="shared" si="12"/>
        <v>4221012040.9187379</v>
      </c>
      <c r="R8" s="42">
        <f t="shared" si="12"/>
        <v>4444477618.2425241</v>
      </c>
      <c r="S8" s="42">
        <f t="shared" si="12"/>
        <v>4889274941.5968122</v>
      </c>
      <c r="T8" s="42">
        <f t="shared" si="12"/>
        <v>4979300900.4634285</v>
      </c>
      <c r="U8" s="42">
        <f t="shared" si="12"/>
        <v>5008685414.845787</v>
      </c>
      <c r="V8" s="42">
        <f t="shared" si="12"/>
        <v>5244400236.0857096</v>
      </c>
      <c r="W8" s="42">
        <f t="shared" si="12"/>
        <v>5693808621.4464035</v>
      </c>
      <c r="X8" s="42">
        <f t="shared" si="12"/>
        <v>6762682479.5093212</v>
      </c>
      <c r="Y8" s="42">
        <f t="shared" si="12"/>
        <v>6722326949.5327749</v>
      </c>
      <c r="Z8" s="42">
        <f t="shared" si="12"/>
        <v>6519621903.7350912</v>
      </c>
      <c r="AA8" s="42">
        <f t="shared" si="12"/>
        <v>6907027331.7747545</v>
      </c>
      <c r="AB8" s="42">
        <f t="shared" si="12"/>
        <v>7487805761.0670795</v>
      </c>
      <c r="AC8" s="42">
        <f t="shared" si="12"/>
        <v>8533913882.0061865</v>
      </c>
      <c r="AD8" s="42">
        <f t="shared" si="12"/>
        <v>9413972348.3107376</v>
      </c>
      <c r="AE8" s="42">
        <f t="shared" si="12"/>
        <v>9420046430.9618397</v>
      </c>
      <c r="AF8" s="42">
        <f t="shared" si="12"/>
        <v>8245543311.8404646</v>
      </c>
      <c r="AG8" s="42">
        <f t="shared" si="12"/>
        <v>8739198007.3138676</v>
      </c>
      <c r="AH8" s="42">
        <f t="shared" si="12"/>
        <v>9239565113.0662022</v>
      </c>
      <c r="AI8" s="42">
        <f t="shared" si="12"/>
        <v>10042546809.041147</v>
      </c>
      <c r="AJ8" s="42">
        <f t="shared" si="12"/>
        <v>10240857891.870409</v>
      </c>
      <c r="AK8" s="42">
        <f t="shared" si="12"/>
        <v>10181251249.803837</v>
      </c>
      <c r="AL8" s="42">
        <f t="shared" si="12"/>
        <v>9687060095.3305416</v>
      </c>
      <c r="AM8" s="42">
        <f t="shared" si="12"/>
        <v>10105478762.175079</v>
      </c>
      <c r="AN8" s="42">
        <f t="shared" si="12"/>
        <v>10467320900.171795</v>
      </c>
      <c r="AO8" s="42">
        <f t="shared" si="12"/>
        <v>10845841400.702578</v>
      </c>
      <c r="AP8" s="42">
        <f t="shared" si="12"/>
        <v>11327660403.231405</v>
      </c>
      <c r="AQ8" s="42"/>
      <c r="AR8" s="245"/>
      <c r="AT8" s="40">
        <f>B8/'D4 Gallon Forecast'!B8</f>
        <v>1.674939581494377</v>
      </c>
      <c r="AU8" s="40">
        <f>C8/'D4 Gallon Forecast'!C8</f>
        <v>1.6665241226526628</v>
      </c>
      <c r="AV8" s="40">
        <f>D8/'D4 Gallon Forecast'!D8</f>
        <v>1.6719113022746535</v>
      </c>
      <c r="AW8" s="40">
        <f>E8/'D4 Gallon Forecast'!E8</f>
        <v>1.6584514850525951</v>
      </c>
      <c r="AX8" s="40">
        <f>F8/'D4 Gallon Forecast'!F8</f>
        <v>1.694774388733691</v>
      </c>
      <c r="AY8" s="40">
        <f>G8/'D4 Gallon Forecast'!G8</f>
        <v>1.6974994525008318</v>
      </c>
      <c r="AZ8" s="40">
        <f>H8/'D4 Gallon Forecast'!H8</f>
        <v>1.7000012655105323</v>
      </c>
      <c r="BA8" s="250">
        <f>I8/'D4 Gallon Forecast'!I8</f>
        <v>1.70000191315079</v>
      </c>
      <c r="BB8" s="250">
        <f>J8/'D4 Gallon Forecast'!J8</f>
        <v>1.7000018469077256</v>
      </c>
      <c r="BC8" s="250">
        <f>K8/'D4 Gallon Forecast'!K8</f>
        <v>1.7000012362306078</v>
      </c>
      <c r="BD8" s="250">
        <f>L8/'D4 Gallon Forecast'!L8</f>
        <v>1.6997548139631231</v>
      </c>
      <c r="BE8" s="250">
        <f>M8/'D4 Gallon Forecast'!M8</f>
        <v>1.6999098417719458</v>
      </c>
      <c r="BF8" s="250">
        <f>N8/'D4 Gallon Forecast'!N8</f>
        <v>1.6971626021910087</v>
      </c>
      <c r="BG8" s="250">
        <f>O8/'D4 Gallon Forecast'!O8</f>
        <v>1.6776409610936753</v>
      </c>
      <c r="BH8" s="250">
        <f>P8/'D4 Gallon Forecast'!P8</f>
        <v>1.6829990032479738</v>
      </c>
      <c r="BI8" s="250">
        <f>Q8/'D4 Gallon Forecast'!Q8</f>
        <v>1.6955771854532409</v>
      </c>
      <c r="BJ8" s="250">
        <f>R8/'D4 Gallon Forecast'!R8</f>
        <v>1.7000012106177416</v>
      </c>
      <c r="BK8" s="250">
        <f>S8/'D4 Gallon Forecast'!S8</f>
        <v>1.7000012106177418</v>
      </c>
      <c r="BL8" s="250">
        <f>T8/'D4 Gallon Forecast'!T8</f>
        <v>1.7000012106177413</v>
      </c>
      <c r="BM8" s="250">
        <f>U8/'D4 Gallon Forecast'!U8</f>
        <v>1.700001210617742</v>
      </c>
      <c r="BN8" s="250">
        <f>V8/'D4 Gallon Forecast'!V8</f>
        <v>1.7000011799350363</v>
      </c>
      <c r="BO8" s="250">
        <f>W8/'D4 Gallon Forecast'!W8</f>
        <v>1.700001204481201</v>
      </c>
      <c r="BP8" s="250">
        <f>X8/'D4 Gallon Forecast'!X8</f>
        <v>1.7000012032538925</v>
      </c>
      <c r="BQ8" s="250">
        <f>Y8/'D4 Gallon Forecast'!Y8</f>
        <v>1.7000012017811226</v>
      </c>
      <c r="BR8" s="250">
        <f>Z8/'D4 Gallon Forecast'!Z8</f>
        <v>1.7000012000137992</v>
      </c>
      <c r="BS8" s="250">
        <f>AA8/'D4 Gallon Forecast'!AA8</f>
        <v>1.7000011978930103</v>
      </c>
      <c r="BT8" s="250">
        <f>AB8/'D4 Gallon Forecast'!AB8</f>
        <v>1.7000012014846051</v>
      </c>
      <c r="BU8" s="250">
        <f>AC8/'D4 Gallon Forecast'!AC8</f>
        <v>1.7000012008852863</v>
      </c>
      <c r="BV8" s="250">
        <f>AD8/'D4 Gallon Forecast'!AD8</f>
        <v>1.7000012004115646</v>
      </c>
      <c r="BW8" s="250">
        <f>AE8/'D4 Gallon Forecast'!AE8</f>
        <v>1.7000012001376532</v>
      </c>
      <c r="BX8" s="250">
        <f>AF8/'D4 Gallon Forecast'!AF8</f>
        <v>1.7000012001624238</v>
      </c>
      <c r="BY8" s="250">
        <f>AG8/'D4 Gallon Forecast'!AG8</f>
        <v>1.7000012006163068</v>
      </c>
      <c r="BZ8" s="250">
        <f>AH8/'D4 Gallon Forecast'!AH8</f>
        <v>1.7000012004426468</v>
      </c>
      <c r="CA8" s="250">
        <f>AI8/'D4 Gallon Forecast'!AI8</f>
        <v>1.7000012003541192</v>
      </c>
      <c r="CB8" s="250">
        <f>AJ8/'D4 Gallon Forecast'!AJ8</f>
        <v>1.7000012003426299</v>
      </c>
      <c r="CC8" s="250">
        <f>AK8/'D4 Gallon Forecast'!AK8</f>
        <v>1.7000012003836256</v>
      </c>
      <c r="CD8" s="250">
        <f>AL8/'D4 Gallon Forecast'!AL8</f>
        <v>1.7000012004278662</v>
      </c>
      <c r="CE8" s="250">
        <f>AM8/'D4 Gallon Forecast'!AM8</f>
        <v>1.7000012003901774</v>
      </c>
      <c r="CF8" s="250">
        <f>AN8/'D4 Gallon Forecast'!AN8</f>
        <v>1.7000012003796838</v>
      </c>
      <c r="CG8" s="250">
        <f>AO8/'D4 Gallon Forecast'!AO8</f>
        <v>1.7000012003847964</v>
      </c>
      <c r="CH8" s="250">
        <f>AP8/'D4 Gallon Forecast'!AP8</f>
        <v>1.7000012003932297</v>
      </c>
    </row>
    <row r="9" spans="1:86">
      <c r="A9" s="40" t="s">
        <v>284</v>
      </c>
      <c r="B9" s="42">
        <f>B159</f>
        <v>0</v>
      </c>
      <c r="C9" s="42">
        <f t="shared" ref="C9:I9" si="13">C159</f>
        <v>210266</v>
      </c>
      <c r="D9" s="42">
        <f t="shared" si="13"/>
        <v>1438924</v>
      </c>
      <c r="E9" s="42">
        <f t="shared" si="13"/>
        <v>754403</v>
      </c>
      <c r="F9" s="42">
        <f t="shared" si="13"/>
        <v>307941</v>
      </c>
      <c r="G9" s="42">
        <f t="shared" si="13"/>
        <v>0</v>
      </c>
      <c r="H9" s="42">
        <f t="shared" si="13"/>
        <v>0</v>
      </c>
      <c r="I9" s="42">
        <f t="shared" si="13"/>
        <v>0</v>
      </c>
      <c r="J9" s="42">
        <f>J159</f>
        <v>0</v>
      </c>
      <c r="K9" s="42">
        <f>K159</f>
        <v>0</v>
      </c>
      <c r="L9" s="42">
        <f>L159</f>
        <v>0</v>
      </c>
      <c r="M9" s="42">
        <f>M159</f>
        <v>0</v>
      </c>
      <c r="N9" s="42">
        <f t="shared" ref="N9:AP9" si="14">N159</f>
        <v>0</v>
      </c>
      <c r="O9" s="42">
        <f>O159</f>
        <v>0</v>
      </c>
      <c r="P9" s="251">
        <f t="shared" si="14"/>
        <v>0</v>
      </c>
      <c r="Q9" s="42">
        <f t="shared" si="14"/>
        <v>0</v>
      </c>
      <c r="R9" s="42">
        <f t="shared" si="14"/>
        <v>0</v>
      </c>
      <c r="S9" s="42">
        <f t="shared" si="14"/>
        <v>0</v>
      </c>
      <c r="T9" s="42">
        <f t="shared" si="14"/>
        <v>0</v>
      </c>
      <c r="U9" s="42">
        <f t="shared" si="14"/>
        <v>0</v>
      </c>
      <c r="V9" s="42">
        <f t="shared" si="14"/>
        <v>0</v>
      </c>
      <c r="W9" s="42">
        <f t="shared" si="14"/>
        <v>0</v>
      </c>
      <c r="X9" s="42">
        <f t="shared" si="14"/>
        <v>0</v>
      </c>
      <c r="Y9" s="42">
        <f t="shared" si="14"/>
        <v>0</v>
      </c>
      <c r="Z9" s="42">
        <f t="shared" si="14"/>
        <v>0</v>
      </c>
      <c r="AA9" s="42">
        <f t="shared" si="14"/>
        <v>0</v>
      </c>
      <c r="AB9" s="42">
        <f t="shared" si="14"/>
        <v>0</v>
      </c>
      <c r="AC9" s="42">
        <f t="shared" si="14"/>
        <v>0</v>
      </c>
      <c r="AD9" s="42">
        <f t="shared" si="14"/>
        <v>0</v>
      </c>
      <c r="AE9" s="42">
        <f t="shared" si="14"/>
        <v>0</v>
      </c>
      <c r="AF9" s="42">
        <f t="shared" si="14"/>
        <v>0</v>
      </c>
      <c r="AG9" s="42">
        <f t="shared" si="14"/>
        <v>0</v>
      </c>
      <c r="AH9" s="42">
        <f t="shared" si="14"/>
        <v>0</v>
      </c>
      <c r="AI9" s="42">
        <f t="shared" si="14"/>
        <v>0</v>
      </c>
      <c r="AJ9" s="42">
        <f t="shared" si="14"/>
        <v>0</v>
      </c>
      <c r="AK9" s="42">
        <f t="shared" si="14"/>
        <v>0</v>
      </c>
      <c r="AL9" s="42">
        <f t="shared" si="14"/>
        <v>0</v>
      </c>
      <c r="AM9" s="42">
        <f t="shared" si="14"/>
        <v>0</v>
      </c>
      <c r="AN9" s="42">
        <f t="shared" si="14"/>
        <v>0</v>
      </c>
      <c r="AO9" s="42">
        <f t="shared" si="14"/>
        <v>0</v>
      </c>
      <c r="AP9" s="42">
        <f t="shared" si="14"/>
        <v>0</v>
      </c>
      <c r="AQ9" s="42"/>
      <c r="AR9" s="245"/>
      <c r="AT9" s="40" t="e">
        <f>B9/'D4 Gallon Forecast'!B9</f>
        <v>#DIV/0!</v>
      </c>
      <c r="AU9" s="40">
        <f>C9/'D4 Gallon Forecast'!C9</f>
        <v>1.5000035669189666</v>
      </c>
      <c r="AV9" s="40">
        <f>D9/'D4 Gallon Forecast'!D9</f>
        <v>1.5000010424463297</v>
      </c>
      <c r="AW9" s="40">
        <f>E9/'D4 Gallon Forecast'!E9</f>
        <v>1.5000039766649302</v>
      </c>
      <c r="AX9" s="40">
        <f>F9/'D4 Gallon Forecast'!F9</f>
        <v>1.5000073066300361</v>
      </c>
      <c r="AY9" s="40" t="e">
        <f>G9/'D4 Gallon Forecast'!G9</f>
        <v>#DIV/0!</v>
      </c>
      <c r="AZ9" s="40" t="e">
        <f>H9/'D4 Gallon Forecast'!H9</f>
        <v>#DIV/0!</v>
      </c>
      <c r="BA9" s="250" t="e">
        <f>I9/'D4 Gallon Forecast'!I9</f>
        <v>#DIV/0!</v>
      </c>
      <c r="BB9" s="250" t="e">
        <f>J9/'D4 Gallon Forecast'!J9</f>
        <v>#DIV/0!</v>
      </c>
      <c r="BC9" s="250" t="e">
        <f>K9/'D4 Gallon Forecast'!K9</f>
        <v>#DIV/0!</v>
      </c>
      <c r="BD9" s="250" t="e">
        <f>L9/'D4 Gallon Forecast'!L9</f>
        <v>#DIV/0!</v>
      </c>
      <c r="BE9" s="250" t="e">
        <f>M9/'D4 Gallon Forecast'!M9</f>
        <v>#DIV/0!</v>
      </c>
      <c r="BF9" s="250" t="e">
        <f>N9/'D4 Gallon Forecast'!N9</f>
        <v>#DIV/0!</v>
      </c>
      <c r="BG9" s="250" t="e">
        <f>O9/'D4 Gallon Forecast'!O9</f>
        <v>#DIV/0!</v>
      </c>
      <c r="BH9" s="250" t="e">
        <f>P9/'D4 Gallon Forecast'!P9</f>
        <v>#DIV/0!</v>
      </c>
      <c r="BI9" s="250" t="e">
        <f>Q9/'D4 Gallon Forecast'!Q9</f>
        <v>#DIV/0!</v>
      </c>
      <c r="BJ9" s="250" t="e">
        <f>R9/'D4 Gallon Forecast'!R9</f>
        <v>#DIV/0!</v>
      </c>
      <c r="BK9" s="250" t="e">
        <f>S9/'D4 Gallon Forecast'!S9</f>
        <v>#DIV/0!</v>
      </c>
      <c r="BL9" s="250" t="e">
        <f>T9/'D4 Gallon Forecast'!T9</f>
        <v>#DIV/0!</v>
      </c>
      <c r="BM9" s="250" t="e">
        <f>U9/'D4 Gallon Forecast'!U9</f>
        <v>#DIV/0!</v>
      </c>
      <c r="BN9" s="250" t="e">
        <f>V9/'D4 Gallon Forecast'!V9</f>
        <v>#DIV/0!</v>
      </c>
      <c r="BO9" s="250" t="e">
        <f>W9/'D4 Gallon Forecast'!W9</f>
        <v>#DIV/0!</v>
      </c>
      <c r="BP9" s="250" t="e">
        <f>X9/'D4 Gallon Forecast'!X9</f>
        <v>#DIV/0!</v>
      </c>
      <c r="BQ9" s="250" t="e">
        <f>Y9/'D4 Gallon Forecast'!Y9</f>
        <v>#DIV/0!</v>
      </c>
      <c r="BR9" s="250" t="e">
        <f>Z9/'D4 Gallon Forecast'!Z9</f>
        <v>#DIV/0!</v>
      </c>
      <c r="BS9" s="250" t="e">
        <f>AA9/'D4 Gallon Forecast'!AA9</f>
        <v>#DIV/0!</v>
      </c>
      <c r="BT9" s="250" t="e">
        <f>AB9/'D4 Gallon Forecast'!AB9</f>
        <v>#DIV/0!</v>
      </c>
      <c r="BU9" s="250" t="e">
        <f>AC9/'D4 Gallon Forecast'!AC9</f>
        <v>#DIV/0!</v>
      </c>
      <c r="BV9" s="250" t="e">
        <f>AD9/'D4 Gallon Forecast'!AD9</f>
        <v>#DIV/0!</v>
      </c>
      <c r="BW9" s="250" t="e">
        <f>AE9/'D4 Gallon Forecast'!AE9</f>
        <v>#DIV/0!</v>
      </c>
      <c r="BX9" s="250" t="e">
        <f>AF9/'D4 Gallon Forecast'!AF9</f>
        <v>#DIV/0!</v>
      </c>
      <c r="BY9" s="250" t="e">
        <f>AG9/'D4 Gallon Forecast'!AG9</f>
        <v>#DIV/0!</v>
      </c>
      <c r="BZ9" s="250" t="e">
        <f>AH9/'D4 Gallon Forecast'!AH9</f>
        <v>#DIV/0!</v>
      </c>
      <c r="CA9" s="250" t="e">
        <f>AI9/'D4 Gallon Forecast'!AI9</f>
        <v>#DIV/0!</v>
      </c>
      <c r="CB9" s="250" t="e">
        <f>AJ9/'D4 Gallon Forecast'!AJ9</f>
        <v>#DIV/0!</v>
      </c>
      <c r="CC9" s="250" t="e">
        <f>AK9/'D4 Gallon Forecast'!AK9</f>
        <v>#DIV/0!</v>
      </c>
      <c r="CD9" s="250" t="e">
        <f>AL9/'D4 Gallon Forecast'!AL9</f>
        <v>#DIV/0!</v>
      </c>
      <c r="CE9" s="250" t="e">
        <f>AM9/'D4 Gallon Forecast'!AM9</f>
        <v>#DIV/0!</v>
      </c>
      <c r="CF9" s="250" t="e">
        <f>AN9/'D4 Gallon Forecast'!AN9</f>
        <v>#DIV/0!</v>
      </c>
      <c r="CG9" s="250" t="e">
        <f>AO9/'D4 Gallon Forecast'!AO9</f>
        <v>#DIV/0!</v>
      </c>
      <c r="CH9" s="250" t="e">
        <f>AP9/'D4 Gallon Forecast'!AP9</f>
        <v>#DIV/0!</v>
      </c>
    </row>
    <row r="10" spans="1:86">
      <c r="A10" s="40" t="s">
        <v>285</v>
      </c>
      <c r="B10" s="42">
        <f>B175</f>
        <v>384763</v>
      </c>
      <c r="C10" s="42">
        <f t="shared" ref="C10:I10" si="15">C175</f>
        <v>23827395</v>
      </c>
      <c r="D10" s="42">
        <f t="shared" si="15"/>
        <v>14995099</v>
      </c>
      <c r="E10" s="42">
        <f t="shared" si="15"/>
        <v>46259621</v>
      </c>
      <c r="F10" s="42">
        <f t="shared" si="15"/>
        <v>11930103</v>
      </c>
      <c r="G10" s="42">
        <f t="shared" si="15"/>
        <v>6877749</v>
      </c>
      <c r="H10" s="42">
        <f t="shared" si="15"/>
        <v>0</v>
      </c>
      <c r="I10" s="42">
        <f t="shared" si="15"/>
        <v>0</v>
      </c>
      <c r="J10" s="42">
        <f>J175</f>
        <v>0</v>
      </c>
      <c r="K10" s="42">
        <f>K175</f>
        <v>0</v>
      </c>
      <c r="L10" s="42">
        <f>L175</f>
        <v>1905344</v>
      </c>
      <c r="M10" s="42">
        <f>M175</f>
        <v>1140980</v>
      </c>
      <c r="N10" s="42">
        <f t="shared" ref="N10:AP10" si="16">N175</f>
        <v>62634763</v>
      </c>
      <c r="O10" s="42">
        <f>O175</f>
        <v>842541295</v>
      </c>
      <c r="P10" s="251">
        <f t="shared" si="16"/>
        <v>835162731</v>
      </c>
      <c r="Q10" s="42">
        <f t="shared" si="16"/>
        <v>176204463</v>
      </c>
      <c r="R10" s="42">
        <f t="shared" si="16"/>
        <v>0</v>
      </c>
      <c r="S10" s="42">
        <f t="shared" si="16"/>
        <v>0</v>
      </c>
      <c r="T10" s="42">
        <f t="shared" si="16"/>
        <v>0</v>
      </c>
      <c r="U10" s="42">
        <f t="shared" si="16"/>
        <v>0</v>
      </c>
      <c r="V10" s="42">
        <f t="shared" si="16"/>
        <v>0</v>
      </c>
      <c r="W10" s="42">
        <f t="shared" si="16"/>
        <v>0</v>
      </c>
      <c r="X10" s="42">
        <f t="shared" si="16"/>
        <v>0</v>
      </c>
      <c r="Y10" s="42">
        <f t="shared" si="16"/>
        <v>0</v>
      </c>
      <c r="Z10" s="42">
        <f t="shared" si="16"/>
        <v>0</v>
      </c>
      <c r="AA10" s="42">
        <f t="shared" si="16"/>
        <v>0</v>
      </c>
      <c r="AB10" s="42">
        <f t="shared" si="16"/>
        <v>0</v>
      </c>
      <c r="AC10" s="42">
        <f t="shared" si="16"/>
        <v>0</v>
      </c>
      <c r="AD10" s="42">
        <f t="shared" si="16"/>
        <v>0</v>
      </c>
      <c r="AE10" s="42">
        <f t="shared" si="16"/>
        <v>0</v>
      </c>
      <c r="AF10" s="42">
        <f t="shared" si="16"/>
        <v>0</v>
      </c>
      <c r="AG10" s="42">
        <f t="shared" si="16"/>
        <v>0</v>
      </c>
      <c r="AH10" s="42">
        <f t="shared" si="16"/>
        <v>0</v>
      </c>
      <c r="AI10" s="42">
        <f t="shared" si="16"/>
        <v>0</v>
      </c>
      <c r="AJ10" s="42">
        <f t="shared" si="16"/>
        <v>0</v>
      </c>
      <c r="AK10" s="42">
        <f t="shared" si="16"/>
        <v>0</v>
      </c>
      <c r="AL10" s="42">
        <f t="shared" si="16"/>
        <v>0</v>
      </c>
      <c r="AM10" s="42">
        <f t="shared" si="16"/>
        <v>0</v>
      </c>
      <c r="AN10" s="42">
        <f t="shared" si="16"/>
        <v>0</v>
      </c>
      <c r="AO10" s="42">
        <f t="shared" si="16"/>
        <v>0</v>
      </c>
      <c r="AP10" s="42">
        <f t="shared" si="16"/>
        <v>0</v>
      </c>
      <c r="AQ10" s="42"/>
      <c r="AR10" s="245"/>
      <c r="AT10" s="40">
        <f>B10/'D4 Gallon Forecast'!B10</f>
        <v>1.6000058217867896</v>
      </c>
      <c r="AU10" s="40">
        <f>C10/'D4 Gallon Forecast'!C10</f>
        <v>1.6000036395165003</v>
      </c>
      <c r="AV10" s="40">
        <f>D10/'D4 Gallon Forecast'!D10</f>
        <v>1.5999999786596943</v>
      </c>
      <c r="AW10" s="40">
        <f>E10/'D4 Gallon Forecast'!E10</f>
        <v>1.6000002282768704</v>
      </c>
      <c r="AX10" s="40">
        <f>F10/'D4 Gallon Forecast'!F10</f>
        <v>1.5999964325618055</v>
      </c>
      <c r="AY10" s="40">
        <f>G10/'D4 Gallon Forecast'!G10</f>
        <v>1.600000046526852</v>
      </c>
      <c r="AZ10" s="40" t="e">
        <f>H10/'D4 Gallon Forecast'!H10</f>
        <v>#DIV/0!</v>
      </c>
      <c r="BA10" s="250" t="e">
        <f>I10/'D4 Gallon Forecast'!I10</f>
        <v>#DIV/0!</v>
      </c>
      <c r="BB10" s="250" t="e">
        <f>J10/'D4 Gallon Forecast'!J10</f>
        <v>#DIV/0!</v>
      </c>
      <c r="BC10" s="250" t="e">
        <f>K10/'D4 Gallon Forecast'!K10</f>
        <v>#DIV/0!</v>
      </c>
      <c r="BD10" s="250">
        <f>L10/'D4 Gallon Forecast'!L10</f>
        <v>1.5999986564117292</v>
      </c>
      <c r="BE10" s="250">
        <f>M10/'D4 Gallon Forecast'!M10</f>
        <v>1.6000011218434131</v>
      </c>
      <c r="BF10" s="250">
        <f>N10/'D4 Gallon Forecast'!N10</f>
        <v>1.599999994891016</v>
      </c>
      <c r="BG10" s="250">
        <f>O10/'D4 Gallon Forecast'!O10</f>
        <v>1.5999999889857031</v>
      </c>
      <c r="BH10" s="250">
        <f>P10/'D4 Gallon Forecast'!P10</f>
        <v>1.600000002682112</v>
      </c>
      <c r="BI10" s="250">
        <f>Q10/'D4 Gallon Forecast'!Q10</f>
        <v>1.5999999909196398</v>
      </c>
      <c r="BJ10" s="250" t="e">
        <f>R10/'D4 Gallon Forecast'!R10</f>
        <v>#DIV/0!</v>
      </c>
      <c r="BK10" s="250" t="e">
        <f>S10/'D4 Gallon Forecast'!S10</f>
        <v>#DIV/0!</v>
      </c>
      <c r="BL10" s="250" t="e">
        <f>T10/'D4 Gallon Forecast'!T10</f>
        <v>#DIV/0!</v>
      </c>
      <c r="BM10" s="250" t="e">
        <f>U10/'D4 Gallon Forecast'!U10</f>
        <v>#DIV/0!</v>
      </c>
      <c r="BN10" s="250" t="e">
        <f>V10/'D4 Gallon Forecast'!V10</f>
        <v>#DIV/0!</v>
      </c>
      <c r="BO10" s="250" t="e">
        <f>W10/'D4 Gallon Forecast'!W10</f>
        <v>#DIV/0!</v>
      </c>
      <c r="BP10" s="250" t="e">
        <f>X10/'D4 Gallon Forecast'!X10</f>
        <v>#DIV/0!</v>
      </c>
      <c r="BQ10" s="250" t="e">
        <f>Y10/'D4 Gallon Forecast'!Y10</f>
        <v>#DIV/0!</v>
      </c>
      <c r="BR10" s="250" t="e">
        <f>Z10/'D4 Gallon Forecast'!Z10</f>
        <v>#DIV/0!</v>
      </c>
      <c r="BS10" s="250" t="e">
        <f>AA10/'D4 Gallon Forecast'!AA10</f>
        <v>#DIV/0!</v>
      </c>
      <c r="BT10" s="250" t="e">
        <f>AB10/'D4 Gallon Forecast'!AB10</f>
        <v>#DIV/0!</v>
      </c>
      <c r="BU10" s="250" t="e">
        <f>AC10/'D4 Gallon Forecast'!AC10</f>
        <v>#DIV/0!</v>
      </c>
      <c r="BV10" s="250" t="e">
        <f>AD10/'D4 Gallon Forecast'!AD10</f>
        <v>#DIV/0!</v>
      </c>
      <c r="BW10" s="250" t="e">
        <f>AE10/'D4 Gallon Forecast'!AE10</f>
        <v>#DIV/0!</v>
      </c>
      <c r="BX10" s="250" t="e">
        <f>AF10/'D4 Gallon Forecast'!AF10</f>
        <v>#DIV/0!</v>
      </c>
      <c r="BY10" s="250" t="e">
        <f>AG10/'D4 Gallon Forecast'!AG10</f>
        <v>#DIV/0!</v>
      </c>
      <c r="BZ10" s="250" t="e">
        <f>AH10/'D4 Gallon Forecast'!AH10</f>
        <v>#DIV/0!</v>
      </c>
      <c r="CA10" s="250" t="e">
        <f>AI10/'D4 Gallon Forecast'!AI10</f>
        <v>#DIV/0!</v>
      </c>
      <c r="CB10" s="250" t="e">
        <f>AJ10/'D4 Gallon Forecast'!AJ10</f>
        <v>#DIV/0!</v>
      </c>
      <c r="CC10" s="250" t="e">
        <f>AK10/'D4 Gallon Forecast'!AK10</f>
        <v>#DIV/0!</v>
      </c>
      <c r="CD10" s="250" t="e">
        <f>AL10/'D4 Gallon Forecast'!AL10</f>
        <v>#DIV/0!</v>
      </c>
      <c r="CE10" s="250" t="e">
        <f>AM10/'D4 Gallon Forecast'!AM10</f>
        <v>#DIV/0!</v>
      </c>
      <c r="CF10" s="250" t="e">
        <f>AN10/'D4 Gallon Forecast'!AN10</f>
        <v>#DIV/0!</v>
      </c>
      <c r="CG10" s="250" t="e">
        <f>AO10/'D4 Gallon Forecast'!AO10</f>
        <v>#DIV/0!</v>
      </c>
      <c r="CH10" s="250" t="e">
        <f>AP10/'D4 Gallon Forecast'!AP10</f>
        <v>#DIV/0!</v>
      </c>
    </row>
    <row r="11" spans="1:86">
      <c r="A11" s="40" t="s">
        <v>286</v>
      </c>
      <c r="B11" s="42">
        <f>B191</f>
        <v>1222437</v>
      </c>
      <c r="C11" s="42">
        <f t="shared" ref="C11:I11" si="17">C191</f>
        <v>51492002</v>
      </c>
      <c r="D11" s="42">
        <f t="shared" si="17"/>
        <v>50769261</v>
      </c>
      <c r="E11" s="42">
        <f t="shared" si="17"/>
        <v>72406782</v>
      </c>
      <c r="F11" s="42">
        <f t="shared" si="17"/>
        <v>242886832</v>
      </c>
      <c r="G11" s="42">
        <f t="shared" si="17"/>
        <v>284867817</v>
      </c>
      <c r="H11" s="42">
        <f t="shared" si="17"/>
        <v>402596712</v>
      </c>
      <c r="I11" s="42">
        <f t="shared" si="17"/>
        <v>430431794</v>
      </c>
      <c r="J11" s="42">
        <f>J191</f>
        <v>479190676</v>
      </c>
      <c r="K11" s="42">
        <f>K191</f>
        <v>778334312</v>
      </c>
      <c r="L11" s="42">
        <f>L191</f>
        <v>818926102</v>
      </c>
      <c r="M11" s="42">
        <f>M191</f>
        <v>1329871597</v>
      </c>
      <c r="N11" s="42">
        <f t="shared" ref="N11:AP11" si="18">N191</f>
        <v>2278379808</v>
      </c>
      <c r="O11" s="42">
        <f>O191</f>
        <v>3108439522</v>
      </c>
      <c r="P11" s="251">
        <f t="shared" si="18"/>
        <v>4331950296</v>
      </c>
      <c r="Q11" s="42">
        <f t="shared" si="18"/>
        <v>4044807577.9187379</v>
      </c>
      <c r="R11" s="42">
        <f t="shared" si="18"/>
        <v>4444477618.2425241</v>
      </c>
      <c r="S11" s="42">
        <f t="shared" si="18"/>
        <v>4889274941.5968122</v>
      </c>
      <c r="T11" s="42">
        <f t="shared" si="18"/>
        <v>4979300900.4634285</v>
      </c>
      <c r="U11" s="42">
        <f t="shared" si="18"/>
        <v>5008685414.845787</v>
      </c>
      <c r="V11" s="42">
        <f t="shared" si="18"/>
        <v>5244400236.0857096</v>
      </c>
      <c r="W11" s="42">
        <f t="shared" si="18"/>
        <v>5693808621.4464035</v>
      </c>
      <c r="X11" s="42">
        <f t="shared" si="18"/>
        <v>6762682479.5093212</v>
      </c>
      <c r="Y11" s="42">
        <f t="shared" si="18"/>
        <v>6722326949.5327749</v>
      </c>
      <c r="Z11" s="42">
        <f t="shared" si="18"/>
        <v>6519621903.7350912</v>
      </c>
      <c r="AA11" s="42">
        <f t="shared" si="18"/>
        <v>6907027331.7747545</v>
      </c>
      <c r="AB11" s="42">
        <f t="shared" si="18"/>
        <v>7487805761.0670795</v>
      </c>
      <c r="AC11" s="42">
        <f t="shared" si="18"/>
        <v>8533913882.0061865</v>
      </c>
      <c r="AD11" s="42">
        <f t="shared" si="18"/>
        <v>9413972348.3107376</v>
      </c>
      <c r="AE11" s="42">
        <f t="shared" si="18"/>
        <v>9420046430.9618397</v>
      </c>
      <c r="AF11" s="42">
        <f t="shared" si="18"/>
        <v>8245543311.8404646</v>
      </c>
      <c r="AG11" s="42">
        <f t="shared" si="18"/>
        <v>8739198007.3138676</v>
      </c>
      <c r="AH11" s="42">
        <f t="shared" si="18"/>
        <v>9239565113.0662022</v>
      </c>
      <c r="AI11" s="42">
        <f t="shared" si="18"/>
        <v>10042546809.041147</v>
      </c>
      <c r="AJ11" s="42">
        <f t="shared" si="18"/>
        <v>10240857891.870409</v>
      </c>
      <c r="AK11" s="42">
        <f t="shared" si="18"/>
        <v>10181251249.803837</v>
      </c>
      <c r="AL11" s="42">
        <f t="shared" si="18"/>
        <v>9687060095.3305416</v>
      </c>
      <c r="AM11" s="42">
        <f t="shared" si="18"/>
        <v>10105478762.175079</v>
      </c>
      <c r="AN11" s="42">
        <f t="shared" si="18"/>
        <v>10467320900.171795</v>
      </c>
      <c r="AO11" s="42">
        <f t="shared" si="18"/>
        <v>10845841400.702578</v>
      </c>
      <c r="AP11" s="42">
        <f t="shared" si="18"/>
        <v>11327660403.231405</v>
      </c>
      <c r="AQ11" s="42"/>
      <c r="AR11" s="245"/>
      <c r="AT11" s="40">
        <f>B11/'D4 Gallon Forecast'!B11</f>
        <v>1.6999990265352583</v>
      </c>
      <c r="AU11" s="40">
        <f>C11/'D4 Gallon Forecast'!C11</f>
        <v>1.7000002211994298</v>
      </c>
      <c r="AV11" s="40">
        <f>D11/'D4 Gallon Forecast'!D11</f>
        <v>1.7000003515907725</v>
      </c>
      <c r="AW11" s="40">
        <f>E11/'D4 Gallon Forecast'!E11</f>
        <v>1.7000000680875473</v>
      </c>
      <c r="AX11" s="40">
        <f>F11/'D4 Gallon Forecast'!F11</f>
        <v>1.7000005123375215</v>
      </c>
      <c r="AY11" s="40">
        <f>G11/'D4 Gallon Forecast'!G11</f>
        <v>1.7000005693168714</v>
      </c>
      <c r="AZ11" s="40">
        <f>H11/'D4 Gallon Forecast'!H11</f>
        <v>1.7000012655105323</v>
      </c>
      <c r="BA11" s="250">
        <f>I11/'D4 Gallon Forecast'!I11</f>
        <v>1.70000191315079</v>
      </c>
      <c r="BB11" s="250">
        <f>J11/'D4 Gallon Forecast'!J11</f>
        <v>1.7000018469077256</v>
      </c>
      <c r="BC11" s="250">
        <f>K11/'D4 Gallon Forecast'!K11</f>
        <v>1.7000012362306078</v>
      </c>
      <c r="BD11" s="250">
        <f>L11/'D4 Gallon Forecast'!L11</f>
        <v>1.7000014167956841</v>
      </c>
      <c r="BE11" s="250">
        <f>M11/'D4 Gallon Forecast'!M11</f>
        <v>1.7000009170664752</v>
      </c>
      <c r="BF11" s="250">
        <f>N11/'D4 Gallon Forecast'!N11</f>
        <v>1.7000006360882138</v>
      </c>
      <c r="BG11" s="250">
        <f>O11/'D4 Gallon Forecast'!O11</f>
        <v>1.7000008111598071</v>
      </c>
      <c r="BH11" s="250">
        <f>P11/'D4 Gallon Forecast'!P11</f>
        <v>1.7000005953994684</v>
      </c>
      <c r="BI11" s="250">
        <f>Q11/'D4 Gallon Forecast'!Q11</f>
        <v>1.7000010572042137</v>
      </c>
      <c r="BJ11" s="250">
        <f>R11/'D4 Gallon Forecast'!R11</f>
        <v>1.7000012106177416</v>
      </c>
      <c r="BK11" s="250">
        <f>S11/'D4 Gallon Forecast'!S11</f>
        <v>1.7000012106177418</v>
      </c>
      <c r="BL11" s="250">
        <f>T11/'D4 Gallon Forecast'!T11</f>
        <v>1.7000012106177413</v>
      </c>
      <c r="BM11" s="250">
        <f>U11/'D4 Gallon Forecast'!U11</f>
        <v>1.700001210617742</v>
      </c>
      <c r="BN11" s="250">
        <f>V11/'D4 Gallon Forecast'!V11</f>
        <v>1.7000011799350363</v>
      </c>
      <c r="BO11" s="250">
        <f>W11/'D4 Gallon Forecast'!W11</f>
        <v>1.700001204481201</v>
      </c>
      <c r="BP11" s="250">
        <f>X11/'D4 Gallon Forecast'!X11</f>
        <v>1.7000012032538925</v>
      </c>
      <c r="BQ11" s="250">
        <f>Y11/'D4 Gallon Forecast'!Y11</f>
        <v>1.7000012017811226</v>
      </c>
      <c r="BR11" s="250">
        <f>Z11/'D4 Gallon Forecast'!Z11</f>
        <v>1.7000012000137992</v>
      </c>
      <c r="BS11" s="250">
        <f>AA11/'D4 Gallon Forecast'!AA11</f>
        <v>1.7000011978930103</v>
      </c>
      <c r="BT11" s="250">
        <f>AB11/'D4 Gallon Forecast'!AB11</f>
        <v>1.7000012014846051</v>
      </c>
      <c r="BU11" s="250">
        <f>AC11/'D4 Gallon Forecast'!AC11</f>
        <v>1.7000012008852863</v>
      </c>
      <c r="BV11" s="250">
        <f>AD11/'D4 Gallon Forecast'!AD11</f>
        <v>1.7000012004115646</v>
      </c>
      <c r="BW11" s="250">
        <f>AE11/'D4 Gallon Forecast'!AE11</f>
        <v>1.7000012001376532</v>
      </c>
      <c r="BX11" s="250">
        <f>AF11/'D4 Gallon Forecast'!AF11</f>
        <v>1.7000012001624238</v>
      </c>
      <c r="BY11" s="250">
        <f>AG11/'D4 Gallon Forecast'!AG11</f>
        <v>1.7000012006163068</v>
      </c>
      <c r="BZ11" s="250">
        <f>AH11/'D4 Gallon Forecast'!AH11</f>
        <v>1.7000012004426468</v>
      </c>
      <c r="CA11" s="250">
        <f>AI11/'D4 Gallon Forecast'!AI11</f>
        <v>1.7000012003541192</v>
      </c>
      <c r="CB11" s="250">
        <f>AJ11/'D4 Gallon Forecast'!AJ11</f>
        <v>1.7000012003426299</v>
      </c>
      <c r="CC11" s="250">
        <f>AK11/'D4 Gallon Forecast'!AK11</f>
        <v>1.7000012003836256</v>
      </c>
      <c r="CD11" s="250">
        <f>AL11/'D4 Gallon Forecast'!AL11</f>
        <v>1.7000012004278662</v>
      </c>
      <c r="CE11" s="250">
        <f>AM11/'D4 Gallon Forecast'!AM11</f>
        <v>1.7000012003901774</v>
      </c>
      <c r="CF11" s="250">
        <f>AN11/'D4 Gallon Forecast'!AN11</f>
        <v>1.7000012003796838</v>
      </c>
      <c r="CG11" s="250">
        <f>AO11/'D4 Gallon Forecast'!AO11</f>
        <v>1.7000012003847964</v>
      </c>
      <c r="CH11" s="250">
        <f>AP11/'D4 Gallon Forecast'!AP11</f>
        <v>1.7000012003932297</v>
      </c>
    </row>
    <row r="12" spans="1:86">
      <c r="A12" s="255" t="s">
        <v>282</v>
      </c>
      <c r="B12" s="256">
        <f>SUM(B13:B15)</f>
        <v>0</v>
      </c>
      <c r="C12" s="256">
        <f t="shared" ref="C12:I12" si="19">SUM(C13:C15)</f>
        <v>0</v>
      </c>
      <c r="D12" s="256">
        <f t="shared" si="19"/>
        <v>85463969</v>
      </c>
      <c r="E12" s="256">
        <f t="shared" si="19"/>
        <v>282697724</v>
      </c>
      <c r="F12" s="256">
        <f t="shared" si="19"/>
        <v>291970178</v>
      </c>
      <c r="G12" s="256">
        <f t="shared" si="19"/>
        <v>230801430</v>
      </c>
      <c r="H12" s="256">
        <f t="shared" si="19"/>
        <v>312849257</v>
      </c>
      <c r="I12" s="256">
        <f t="shared" si="19"/>
        <v>339179310</v>
      </c>
      <c r="J12" s="256">
        <f>SUM(J13:J15)</f>
        <v>345674276</v>
      </c>
      <c r="K12" s="256">
        <f>SUM(K13:K15)</f>
        <v>516595843</v>
      </c>
      <c r="L12" s="256">
        <f>SUM(L13:L15)</f>
        <v>610439070</v>
      </c>
      <c r="M12" s="256">
        <f>SUM(M13:M15)</f>
        <v>659350236</v>
      </c>
      <c r="N12" s="256">
        <f t="shared" ref="N12:AP12" si="20">SUM(N13:N15)</f>
        <v>629417981</v>
      </c>
      <c r="O12" s="256">
        <f>SUM(O13:O15)</f>
        <v>713299224</v>
      </c>
      <c r="P12" s="257">
        <f t="shared" si="20"/>
        <v>533476210</v>
      </c>
      <c r="Q12" s="256">
        <f t="shared" si="20"/>
        <v>357983802.53133196</v>
      </c>
      <c r="R12" s="256">
        <f t="shared" si="20"/>
        <v>465378942.84239835</v>
      </c>
      <c r="S12" s="256">
        <f t="shared" si="20"/>
        <v>429580562.6237523</v>
      </c>
      <c r="T12" s="256">
        <f t="shared" si="20"/>
        <v>393782182.40510637</v>
      </c>
      <c r="U12" s="256">
        <f t="shared" si="20"/>
        <v>357983802.18646038</v>
      </c>
      <c r="V12" s="256">
        <f t="shared" si="20"/>
        <v>322185422.02989119</v>
      </c>
      <c r="W12" s="256">
        <f t="shared" si="20"/>
        <v>322185421.98022968</v>
      </c>
      <c r="X12" s="256">
        <f t="shared" si="20"/>
        <v>286387041.76241136</v>
      </c>
      <c r="Y12" s="256">
        <f t="shared" si="20"/>
        <v>272067689.67680693</v>
      </c>
      <c r="Z12" s="256">
        <f t="shared" si="20"/>
        <v>257748337.59141451</v>
      </c>
      <c r="AA12" s="256">
        <f t="shared" si="20"/>
        <v>257748337.59484699</v>
      </c>
      <c r="AB12" s="256">
        <f t="shared" si="20"/>
        <v>107395140.66209742</v>
      </c>
      <c r="AC12" s="256">
        <f t="shared" si="20"/>
        <v>71596760.441667765</v>
      </c>
      <c r="AD12" s="256">
        <f t="shared" si="20"/>
        <v>71596760.441880748</v>
      </c>
      <c r="AE12" s="256">
        <f t="shared" si="20"/>
        <v>71596760.442003906</v>
      </c>
      <c r="AF12" s="256">
        <f t="shared" si="20"/>
        <v>71596760.44199276</v>
      </c>
      <c r="AG12" s="256">
        <f t="shared" si="20"/>
        <v>71596760.441788703</v>
      </c>
      <c r="AH12" s="256">
        <f t="shared" si="20"/>
        <v>71596760.441866755</v>
      </c>
      <c r="AI12" s="256">
        <f t="shared" si="20"/>
        <v>71596760.441906571</v>
      </c>
      <c r="AJ12" s="256">
        <f t="shared" si="20"/>
        <v>71596760.441911727</v>
      </c>
      <c r="AK12" s="256">
        <f t="shared" si="20"/>
        <v>71596760.441893324</v>
      </c>
      <c r="AL12" s="256">
        <f t="shared" si="20"/>
        <v>71596760.441873431</v>
      </c>
      <c r="AM12" s="256">
        <f t="shared" si="20"/>
        <v>71596760.441890359</v>
      </c>
      <c r="AN12" s="256">
        <f t="shared" si="20"/>
        <v>71596760.441895083</v>
      </c>
      <c r="AO12" s="256">
        <f t="shared" si="20"/>
        <v>71596760.441892788</v>
      </c>
      <c r="AP12" s="256">
        <f t="shared" si="20"/>
        <v>71596760.441889003</v>
      </c>
      <c r="AQ12" s="248"/>
      <c r="AR12" s="245"/>
      <c r="AT12" s="40" t="e">
        <f>B12/'D4 Gallon Forecast'!B12</f>
        <v>#DIV/0!</v>
      </c>
      <c r="AU12" s="40" t="e">
        <f>C12/'D4 Gallon Forecast'!C12</f>
        <v>#DIV/0!</v>
      </c>
      <c r="AV12" s="40">
        <f>D12/'D4 Gallon Forecast'!D12</f>
        <v>1.7000000318262782</v>
      </c>
      <c r="AW12" s="40">
        <f>E12/'D4 Gallon Forecast'!E12</f>
        <v>1.7000000390876873</v>
      </c>
      <c r="AX12" s="40">
        <f>F12/'D4 Gallon Forecast'!F12</f>
        <v>1.69999999534199</v>
      </c>
      <c r="AY12" s="40">
        <f>G12/'D4 Gallon Forecast'!G12</f>
        <v>1.7000000508229103</v>
      </c>
      <c r="AZ12" s="40">
        <f>H12/'D4 Gallon Forecast'!H12</f>
        <v>1.7000000342337402</v>
      </c>
      <c r="BA12" s="250">
        <f>I12/'D4 Gallon Forecast'!I12</f>
        <v>1.6999999844624958</v>
      </c>
      <c r="BB12" s="250">
        <f>J12/'D4 Gallon Forecast'!J12</f>
        <v>1.700000011803019</v>
      </c>
      <c r="BC12" s="250">
        <f>K12/'D4 Gallon Forecast'!K12</f>
        <v>1.6992186189178051</v>
      </c>
      <c r="BD12" s="250">
        <f>L12/'D4 Gallon Forecast'!L12</f>
        <v>1.6993887327499106</v>
      </c>
      <c r="BE12" s="250">
        <f>M12/'D4 Gallon Forecast'!M12</f>
        <v>1.6952965630312593</v>
      </c>
      <c r="BF12" s="250">
        <f>N12/'D4 Gallon Forecast'!N12</f>
        <v>1.6944431173241299</v>
      </c>
      <c r="BG12" s="250">
        <f>O12/'D4 Gallon Forecast'!O12</f>
        <v>1.6932440091113765</v>
      </c>
      <c r="BH12" s="250">
        <f>P12/'D4 Gallon Forecast'!P12</f>
        <v>1.6990656521651131</v>
      </c>
      <c r="BI12" s="250">
        <f>Q12/'D4 Gallon Forecast'!Q12</f>
        <v>1.700000009052824</v>
      </c>
      <c r="BJ12" s="250">
        <f>R12/'D4 Gallon Forecast'!R12</f>
        <v>1.7000000074150909</v>
      </c>
      <c r="BK12" s="250">
        <f>S12/'D4 Gallon Forecast'!S12</f>
        <v>1.7000000074150912</v>
      </c>
      <c r="BL12" s="250">
        <f>T12/'D4 Gallon Forecast'!T12</f>
        <v>1.7000000074150912</v>
      </c>
      <c r="BM12" s="250">
        <f>U12/'D4 Gallon Forecast'!U12</f>
        <v>1.7000000074150916</v>
      </c>
      <c r="BN12" s="250">
        <f>V12/'D4 Gallon Forecast'!V12</f>
        <v>1.7000000077426378</v>
      </c>
      <c r="BO12" s="250">
        <f>W12/'D4 Gallon Forecast'!W12</f>
        <v>1.7000000074806005</v>
      </c>
      <c r="BP12" s="250">
        <f>X12/'D4 Gallon Forecast'!X12</f>
        <v>1.7000000074937023</v>
      </c>
      <c r="BQ12" s="250">
        <f>Y12/'D4 Gallon Forecast'!Y12</f>
        <v>1.7000000075094246</v>
      </c>
      <c r="BR12" s="250">
        <f>Z12/'D4 Gallon Forecast'!Z12</f>
        <v>1.7000000075282917</v>
      </c>
      <c r="BS12" s="250">
        <f>AA12/'D4 Gallon Forecast'!AA12</f>
        <v>1.7000000075509309</v>
      </c>
      <c r="BT12" s="250">
        <f>AB12/'D4 Gallon Forecast'!AB12</f>
        <v>1.7000000075125898</v>
      </c>
      <c r="BU12" s="250">
        <f>AC12/'D4 Gallon Forecast'!AC12</f>
        <v>1.7000000075189881</v>
      </c>
      <c r="BV12" s="250">
        <f>AD12/'D4 Gallon Forecast'!AD12</f>
        <v>1.7000000075240451</v>
      </c>
      <c r="BW12" s="250">
        <f>AE12/'D4 Gallon Forecast'!AE12</f>
        <v>1.7000000075269694</v>
      </c>
      <c r="BX12" s="250">
        <f>AF12/'D4 Gallon Forecast'!AF12</f>
        <v>1.7000000075267048</v>
      </c>
      <c r="BY12" s="250">
        <f>AG12/'D4 Gallon Forecast'!AG12</f>
        <v>1.7000000075218595</v>
      </c>
      <c r="BZ12" s="250">
        <f>AH12/'D4 Gallon Forecast'!AH12</f>
        <v>1.7000000075237129</v>
      </c>
      <c r="CA12" s="250">
        <f>AI12/'D4 Gallon Forecast'!AI12</f>
        <v>1.7000000075246582</v>
      </c>
      <c r="CB12" s="250">
        <f>AJ12/'D4 Gallon Forecast'!AJ12</f>
        <v>1.7000000075247805</v>
      </c>
      <c r="CC12" s="250">
        <f>AK12/'D4 Gallon Forecast'!AK12</f>
        <v>1.7000000075243438</v>
      </c>
      <c r="CD12" s="250">
        <f>AL12/'D4 Gallon Forecast'!AL12</f>
        <v>1.7000000075238713</v>
      </c>
      <c r="CE12" s="250">
        <f>AM12/'D4 Gallon Forecast'!AM12</f>
        <v>1.7000000075242734</v>
      </c>
      <c r="CF12" s="250">
        <f>AN12/'D4 Gallon Forecast'!AN12</f>
        <v>1.7000000075243855</v>
      </c>
      <c r="CG12" s="250">
        <f>AO12/'D4 Gallon Forecast'!AO12</f>
        <v>1.7000000075243309</v>
      </c>
      <c r="CH12" s="250">
        <f>AP12/'D4 Gallon Forecast'!AP12</f>
        <v>1.7000000075242412</v>
      </c>
    </row>
    <row r="13" spans="1:86">
      <c r="A13" s="40" t="s">
        <v>284</v>
      </c>
      <c r="B13" s="42">
        <f>B223</f>
        <v>0</v>
      </c>
      <c r="C13" s="42">
        <f t="shared" ref="C13:I13" si="21">C223</f>
        <v>0</v>
      </c>
      <c r="D13" s="42">
        <f t="shared" si="21"/>
        <v>0</v>
      </c>
      <c r="E13" s="42">
        <f t="shared" si="21"/>
        <v>0</v>
      </c>
      <c r="F13" s="42">
        <f t="shared" si="21"/>
        <v>0</v>
      </c>
      <c r="G13" s="42">
        <f t="shared" si="21"/>
        <v>0</v>
      </c>
      <c r="H13" s="42">
        <f t="shared" si="21"/>
        <v>0</v>
      </c>
      <c r="I13" s="42">
        <f t="shared" si="21"/>
        <v>0</v>
      </c>
      <c r="J13" s="42">
        <f>J223</f>
        <v>0</v>
      </c>
      <c r="K13" s="42">
        <f>K223</f>
        <v>0</v>
      </c>
      <c r="L13" s="42">
        <f>L223</f>
        <v>0</v>
      </c>
      <c r="M13" s="42">
        <f>M223</f>
        <v>0</v>
      </c>
      <c r="N13" s="42">
        <f t="shared" ref="N13:AP13" si="22">N223</f>
        <v>0</v>
      </c>
      <c r="O13" s="42">
        <f>O223</f>
        <v>0</v>
      </c>
      <c r="P13" s="251">
        <f t="shared" si="22"/>
        <v>0</v>
      </c>
      <c r="Q13" s="42">
        <f t="shared" si="22"/>
        <v>0</v>
      </c>
      <c r="R13" s="42">
        <f t="shared" si="22"/>
        <v>0</v>
      </c>
      <c r="S13" s="42">
        <f t="shared" si="22"/>
        <v>0</v>
      </c>
      <c r="T13" s="42">
        <f t="shared" si="22"/>
        <v>0</v>
      </c>
      <c r="U13" s="42">
        <f t="shared" si="22"/>
        <v>0</v>
      </c>
      <c r="V13" s="42">
        <f t="shared" si="22"/>
        <v>0</v>
      </c>
      <c r="W13" s="42">
        <f t="shared" si="22"/>
        <v>0</v>
      </c>
      <c r="X13" s="42">
        <f t="shared" si="22"/>
        <v>0</v>
      </c>
      <c r="Y13" s="42">
        <f t="shared" si="22"/>
        <v>0</v>
      </c>
      <c r="Z13" s="42">
        <f t="shared" si="22"/>
        <v>0</v>
      </c>
      <c r="AA13" s="42">
        <f t="shared" si="22"/>
        <v>0</v>
      </c>
      <c r="AB13" s="42">
        <f t="shared" si="22"/>
        <v>0</v>
      </c>
      <c r="AC13" s="42">
        <f t="shared" si="22"/>
        <v>0</v>
      </c>
      <c r="AD13" s="42">
        <f t="shared" si="22"/>
        <v>0</v>
      </c>
      <c r="AE13" s="42">
        <f t="shared" si="22"/>
        <v>0</v>
      </c>
      <c r="AF13" s="42">
        <f t="shared" si="22"/>
        <v>0</v>
      </c>
      <c r="AG13" s="42">
        <f t="shared" si="22"/>
        <v>0</v>
      </c>
      <c r="AH13" s="42">
        <f t="shared" si="22"/>
        <v>0</v>
      </c>
      <c r="AI13" s="42">
        <f t="shared" si="22"/>
        <v>0</v>
      </c>
      <c r="AJ13" s="42">
        <f t="shared" si="22"/>
        <v>0</v>
      </c>
      <c r="AK13" s="42">
        <f t="shared" si="22"/>
        <v>0</v>
      </c>
      <c r="AL13" s="42">
        <f t="shared" si="22"/>
        <v>0</v>
      </c>
      <c r="AM13" s="42">
        <f t="shared" si="22"/>
        <v>0</v>
      </c>
      <c r="AN13" s="42">
        <f t="shared" si="22"/>
        <v>0</v>
      </c>
      <c r="AO13" s="42">
        <f t="shared" si="22"/>
        <v>0</v>
      </c>
      <c r="AP13" s="42">
        <f t="shared" si="22"/>
        <v>0</v>
      </c>
      <c r="AQ13" s="42"/>
      <c r="AR13" s="245"/>
      <c r="AT13" s="40" t="e">
        <f>B13/'D4 Gallon Forecast'!B13</f>
        <v>#DIV/0!</v>
      </c>
      <c r="AU13" s="40" t="e">
        <f>C13/'D4 Gallon Forecast'!C13</f>
        <v>#DIV/0!</v>
      </c>
      <c r="AV13" s="40" t="e">
        <f>D13/'D4 Gallon Forecast'!D13</f>
        <v>#DIV/0!</v>
      </c>
      <c r="AW13" s="40" t="e">
        <f>E13/'D4 Gallon Forecast'!E13</f>
        <v>#DIV/0!</v>
      </c>
      <c r="AX13" s="40" t="e">
        <f>F13/'D4 Gallon Forecast'!F13</f>
        <v>#DIV/0!</v>
      </c>
      <c r="AY13" s="40" t="e">
        <f>G13/'D4 Gallon Forecast'!G13</f>
        <v>#DIV/0!</v>
      </c>
      <c r="AZ13" s="40" t="e">
        <f>H13/'D4 Gallon Forecast'!H13</f>
        <v>#DIV/0!</v>
      </c>
      <c r="BA13" s="250" t="e">
        <f>I13/'D4 Gallon Forecast'!I13</f>
        <v>#DIV/0!</v>
      </c>
      <c r="BB13" s="250" t="e">
        <f>J13/'D4 Gallon Forecast'!J13</f>
        <v>#DIV/0!</v>
      </c>
      <c r="BC13" s="250" t="e">
        <f>K13/'D4 Gallon Forecast'!K13</f>
        <v>#DIV/0!</v>
      </c>
      <c r="BD13" s="250" t="e">
        <f>L13/'D4 Gallon Forecast'!L13</f>
        <v>#DIV/0!</v>
      </c>
      <c r="BE13" s="250" t="e">
        <f>M13/'D4 Gallon Forecast'!M13</f>
        <v>#DIV/0!</v>
      </c>
      <c r="BF13" s="250" t="e">
        <f>N13/'D4 Gallon Forecast'!N13</f>
        <v>#DIV/0!</v>
      </c>
      <c r="BG13" s="250" t="e">
        <f>O13/'D4 Gallon Forecast'!O13</f>
        <v>#DIV/0!</v>
      </c>
      <c r="BH13" s="250" t="e">
        <f>P13/'D4 Gallon Forecast'!P13</f>
        <v>#DIV/0!</v>
      </c>
      <c r="BI13" s="250" t="e">
        <f>Q13/'D4 Gallon Forecast'!Q13</f>
        <v>#DIV/0!</v>
      </c>
      <c r="BJ13" s="250" t="e">
        <f>R13/'D4 Gallon Forecast'!R13</f>
        <v>#DIV/0!</v>
      </c>
      <c r="BK13" s="250" t="e">
        <f>S13/'D4 Gallon Forecast'!S13</f>
        <v>#DIV/0!</v>
      </c>
      <c r="BL13" s="250" t="e">
        <f>T13/'D4 Gallon Forecast'!T13</f>
        <v>#DIV/0!</v>
      </c>
      <c r="BM13" s="250" t="e">
        <f>U13/'D4 Gallon Forecast'!U13</f>
        <v>#DIV/0!</v>
      </c>
      <c r="BN13" s="250" t="e">
        <f>V13/'D4 Gallon Forecast'!V13</f>
        <v>#DIV/0!</v>
      </c>
      <c r="BO13" s="250" t="e">
        <f>W13/'D4 Gallon Forecast'!W13</f>
        <v>#DIV/0!</v>
      </c>
      <c r="BP13" s="250" t="e">
        <f>X13/'D4 Gallon Forecast'!X13</f>
        <v>#DIV/0!</v>
      </c>
      <c r="BQ13" s="250" t="e">
        <f>Y13/'D4 Gallon Forecast'!Y13</f>
        <v>#DIV/0!</v>
      </c>
      <c r="BR13" s="250" t="e">
        <f>Z13/'D4 Gallon Forecast'!Z13</f>
        <v>#DIV/0!</v>
      </c>
      <c r="BS13" s="250" t="e">
        <f>AA13/'D4 Gallon Forecast'!AA13</f>
        <v>#DIV/0!</v>
      </c>
      <c r="BT13" s="250" t="e">
        <f>AB13/'D4 Gallon Forecast'!AB13</f>
        <v>#DIV/0!</v>
      </c>
      <c r="BU13" s="250" t="e">
        <f>AC13/'D4 Gallon Forecast'!AC13</f>
        <v>#DIV/0!</v>
      </c>
      <c r="BV13" s="250" t="e">
        <f>AD13/'D4 Gallon Forecast'!AD13</f>
        <v>#DIV/0!</v>
      </c>
      <c r="BW13" s="250" t="e">
        <f>AE13/'D4 Gallon Forecast'!AE13</f>
        <v>#DIV/0!</v>
      </c>
      <c r="BX13" s="250" t="e">
        <f>AF13/'D4 Gallon Forecast'!AF13</f>
        <v>#DIV/0!</v>
      </c>
      <c r="BY13" s="250" t="e">
        <f>AG13/'D4 Gallon Forecast'!AG13</f>
        <v>#DIV/0!</v>
      </c>
      <c r="BZ13" s="250" t="e">
        <f>AH13/'D4 Gallon Forecast'!AH13</f>
        <v>#DIV/0!</v>
      </c>
      <c r="CA13" s="250" t="e">
        <f>AI13/'D4 Gallon Forecast'!AI13</f>
        <v>#DIV/0!</v>
      </c>
      <c r="CB13" s="250" t="e">
        <f>AJ13/'D4 Gallon Forecast'!AJ13</f>
        <v>#DIV/0!</v>
      </c>
      <c r="CC13" s="250" t="e">
        <f>AK13/'D4 Gallon Forecast'!AK13</f>
        <v>#DIV/0!</v>
      </c>
      <c r="CD13" s="250" t="e">
        <f>AL13/'D4 Gallon Forecast'!AL13</f>
        <v>#DIV/0!</v>
      </c>
      <c r="CE13" s="250" t="e">
        <f>AM13/'D4 Gallon Forecast'!AM13</f>
        <v>#DIV/0!</v>
      </c>
      <c r="CF13" s="250" t="e">
        <f>AN13/'D4 Gallon Forecast'!AN13</f>
        <v>#DIV/0!</v>
      </c>
      <c r="CG13" s="250" t="e">
        <f>AO13/'D4 Gallon Forecast'!AO13</f>
        <v>#DIV/0!</v>
      </c>
      <c r="CH13" s="250" t="e">
        <f>AP13/'D4 Gallon Forecast'!AP13</f>
        <v>#DIV/0!</v>
      </c>
    </row>
    <row r="14" spans="1:86">
      <c r="A14" s="40" t="s">
        <v>285</v>
      </c>
      <c r="B14" s="42">
        <f>B239</f>
        <v>0</v>
      </c>
      <c r="C14" s="42">
        <f t="shared" ref="C14:I14" si="23">C239</f>
        <v>0</v>
      </c>
      <c r="D14" s="42">
        <f t="shared" si="23"/>
        <v>0</v>
      </c>
      <c r="E14" s="42">
        <f t="shared" si="23"/>
        <v>0</v>
      </c>
      <c r="F14" s="42">
        <f t="shared" si="23"/>
        <v>0</v>
      </c>
      <c r="G14" s="42">
        <f t="shared" si="23"/>
        <v>0</v>
      </c>
      <c r="H14" s="42">
        <f t="shared" si="23"/>
        <v>0</v>
      </c>
      <c r="I14" s="42">
        <f t="shared" si="23"/>
        <v>0</v>
      </c>
      <c r="J14" s="42">
        <f>J239</f>
        <v>0</v>
      </c>
      <c r="K14" s="42">
        <f>K239</f>
        <v>3800968</v>
      </c>
      <c r="L14" s="42">
        <f>L239</f>
        <v>3513181</v>
      </c>
      <c r="M14" s="42">
        <f>M239</f>
        <v>29268920</v>
      </c>
      <c r="N14" s="42">
        <f t="shared" ref="N14:AP14" si="24">N239</f>
        <v>33026552</v>
      </c>
      <c r="O14" s="42">
        <f>O239</f>
        <v>45536645</v>
      </c>
      <c r="P14" s="251">
        <f t="shared" si="24"/>
        <v>4693952</v>
      </c>
      <c r="Q14" s="42">
        <f t="shared" si="24"/>
        <v>0</v>
      </c>
      <c r="R14" s="42">
        <f t="shared" si="24"/>
        <v>0</v>
      </c>
      <c r="S14" s="42">
        <f t="shared" si="24"/>
        <v>0</v>
      </c>
      <c r="T14" s="42">
        <f t="shared" si="24"/>
        <v>0</v>
      </c>
      <c r="U14" s="42">
        <f t="shared" si="24"/>
        <v>0</v>
      </c>
      <c r="V14" s="42">
        <f t="shared" si="24"/>
        <v>0</v>
      </c>
      <c r="W14" s="42">
        <f t="shared" si="24"/>
        <v>0</v>
      </c>
      <c r="X14" s="42">
        <f t="shared" si="24"/>
        <v>0</v>
      </c>
      <c r="Y14" s="42">
        <f t="shared" si="24"/>
        <v>0</v>
      </c>
      <c r="Z14" s="42">
        <f t="shared" si="24"/>
        <v>0</v>
      </c>
      <c r="AA14" s="42">
        <f t="shared" si="24"/>
        <v>0</v>
      </c>
      <c r="AB14" s="42">
        <f t="shared" si="24"/>
        <v>0</v>
      </c>
      <c r="AC14" s="42">
        <f t="shared" si="24"/>
        <v>0</v>
      </c>
      <c r="AD14" s="42">
        <f t="shared" si="24"/>
        <v>0</v>
      </c>
      <c r="AE14" s="42">
        <f t="shared" si="24"/>
        <v>0</v>
      </c>
      <c r="AF14" s="42">
        <f t="shared" si="24"/>
        <v>0</v>
      </c>
      <c r="AG14" s="42">
        <f t="shared" si="24"/>
        <v>0</v>
      </c>
      <c r="AH14" s="42">
        <f t="shared" si="24"/>
        <v>0</v>
      </c>
      <c r="AI14" s="42">
        <f t="shared" si="24"/>
        <v>0</v>
      </c>
      <c r="AJ14" s="42">
        <f t="shared" si="24"/>
        <v>0</v>
      </c>
      <c r="AK14" s="42">
        <f t="shared" si="24"/>
        <v>0</v>
      </c>
      <c r="AL14" s="42">
        <f t="shared" si="24"/>
        <v>0</v>
      </c>
      <c r="AM14" s="42">
        <f t="shared" si="24"/>
        <v>0</v>
      </c>
      <c r="AN14" s="42">
        <f t="shared" si="24"/>
        <v>0</v>
      </c>
      <c r="AO14" s="42">
        <f t="shared" si="24"/>
        <v>0</v>
      </c>
      <c r="AP14" s="42">
        <f t="shared" si="24"/>
        <v>0</v>
      </c>
      <c r="AQ14" s="42"/>
      <c r="AR14" s="245"/>
      <c r="AT14" s="40" t="e">
        <f>B14/'D4 Gallon Forecast'!B14</f>
        <v>#DIV/0!</v>
      </c>
      <c r="AU14" s="40" t="e">
        <f>C14/'D4 Gallon Forecast'!C14</f>
        <v>#DIV/0!</v>
      </c>
      <c r="AV14" s="40" t="e">
        <f>D14/'D4 Gallon Forecast'!D14</f>
        <v>#DIV/0!</v>
      </c>
      <c r="AW14" s="40" t="e">
        <f>E14/'D4 Gallon Forecast'!E14</f>
        <v>#DIV/0!</v>
      </c>
      <c r="AX14" s="40" t="e">
        <f>F14/'D4 Gallon Forecast'!F14</f>
        <v>#DIV/0!</v>
      </c>
      <c r="AY14" s="40" t="e">
        <f>G14/'D4 Gallon Forecast'!G14</f>
        <v>#DIV/0!</v>
      </c>
      <c r="AZ14" s="40" t="e">
        <f>H14/'D4 Gallon Forecast'!H14</f>
        <v>#DIV/0!</v>
      </c>
      <c r="BA14" s="250" t="e">
        <f>I14/'D4 Gallon Forecast'!I14</f>
        <v>#DIV/0!</v>
      </c>
      <c r="BB14" s="250" t="e">
        <f>J14/'D4 Gallon Forecast'!J14</f>
        <v>#DIV/0!</v>
      </c>
      <c r="BC14" s="250">
        <f>K14/'D4 Gallon Forecast'!K14</f>
        <v>1.6</v>
      </c>
      <c r="BD14" s="250">
        <f>L14/'D4 Gallon Forecast'!L14</f>
        <v>1.6000000910855485</v>
      </c>
      <c r="BE14" s="250">
        <f>M14/'D4 Gallon Forecast'!M14</f>
        <v>1.6</v>
      </c>
      <c r="BF14" s="250">
        <f>N14/'D4 Gallon Forecast'!N14</f>
        <v>1.6</v>
      </c>
      <c r="BG14" s="250">
        <f>O14/'D4 Gallon Forecast'!O14</f>
        <v>1.6000000070273073</v>
      </c>
      <c r="BH14" s="250">
        <f>P14/'D4 Gallon Forecast'!P14</f>
        <v>1.6</v>
      </c>
      <c r="BI14" s="250" t="e">
        <f>Q14/'D4 Gallon Forecast'!Q14</f>
        <v>#DIV/0!</v>
      </c>
      <c r="BJ14" s="250" t="e">
        <f>R14/'D4 Gallon Forecast'!R14</f>
        <v>#DIV/0!</v>
      </c>
      <c r="BK14" s="250" t="e">
        <f>S14/'D4 Gallon Forecast'!S14</f>
        <v>#DIV/0!</v>
      </c>
      <c r="BL14" s="250" t="e">
        <f>T14/'D4 Gallon Forecast'!T14</f>
        <v>#DIV/0!</v>
      </c>
      <c r="BM14" s="250" t="e">
        <f>U14/'D4 Gallon Forecast'!U14</f>
        <v>#DIV/0!</v>
      </c>
      <c r="BN14" s="250" t="e">
        <f>V14/'D4 Gallon Forecast'!V14</f>
        <v>#DIV/0!</v>
      </c>
      <c r="BO14" s="250" t="e">
        <f>W14/'D4 Gallon Forecast'!W14</f>
        <v>#DIV/0!</v>
      </c>
      <c r="BP14" s="250" t="e">
        <f>X14/'D4 Gallon Forecast'!X14</f>
        <v>#DIV/0!</v>
      </c>
      <c r="BQ14" s="250" t="e">
        <f>Y14/'D4 Gallon Forecast'!Y14</f>
        <v>#DIV/0!</v>
      </c>
      <c r="BR14" s="250" t="e">
        <f>Z14/'D4 Gallon Forecast'!Z14</f>
        <v>#DIV/0!</v>
      </c>
      <c r="BS14" s="250" t="e">
        <f>AA14/'D4 Gallon Forecast'!AA14</f>
        <v>#DIV/0!</v>
      </c>
      <c r="BT14" s="250" t="e">
        <f>AB14/'D4 Gallon Forecast'!AB14</f>
        <v>#DIV/0!</v>
      </c>
      <c r="BU14" s="250" t="e">
        <f>AC14/'D4 Gallon Forecast'!AC14</f>
        <v>#DIV/0!</v>
      </c>
      <c r="BV14" s="250" t="e">
        <f>AD14/'D4 Gallon Forecast'!AD14</f>
        <v>#DIV/0!</v>
      </c>
      <c r="BW14" s="250" t="e">
        <f>AE14/'D4 Gallon Forecast'!AE14</f>
        <v>#DIV/0!</v>
      </c>
      <c r="BX14" s="250" t="e">
        <f>AF14/'D4 Gallon Forecast'!AF14</f>
        <v>#DIV/0!</v>
      </c>
      <c r="BY14" s="250" t="e">
        <f>AG14/'D4 Gallon Forecast'!AG14</f>
        <v>#DIV/0!</v>
      </c>
      <c r="BZ14" s="250" t="e">
        <f>AH14/'D4 Gallon Forecast'!AH14</f>
        <v>#DIV/0!</v>
      </c>
      <c r="CA14" s="250" t="e">
        <f>AI14/'D4 Gallon Forecast'!AI14</f>
        <v>#DIV/0!</v>
      </c>
      <c r="CB14" s="250" t="e">
        <f>AJ14/'D4 Gallon Forecast'!AJ14</f>
        <v>#DIV/0!</v>
      </c>
      <c r="CC14" s="250" t="e">
        <f>AK14/'D4 Gallon Forecast'!AK14</f>
        <v>#DIV/0!</v>
      </c>
      <c r="CD14" s="250" t="e">
        <f>AL14/'D4 Gallon Forecast'!AL14</f>
        <v>#DIV/0!</v>
      </c>
      <c r="CE14" s="250" t="e">
        <f>AM14/'D4 Gallon Forecast'!AM14</f>
        <v>#DIV/0!</v>
      </c>
      <c r="CF14" s="250" t="e">
        <f>AN14/'D4 Gallon Forecast'!AN14</f>
        <v>#DIV/0!</v>
      </c>
      <c r="CG14" s="250" t="e">
        <f>AO14/'D4 Gallon Forecast'!AO14</f>
        <v>#DIV/0!</v>
      </c>
      <c r="CH14" s="250" t="e">
        <f>AP14/'D4 Gallon Forecast'!AP14</f>
        <v>#DIV/0!</v>
      </c>
    </row>
    <row r="15" spans="1:86">
      <c r="A15" s="40" t="s">
        <v>286</v>
      </c>
      <c r="B15" s="42">
        <f>B255</f>
        <v>0</v>
      </c>
      <c r="C15" s="42">
        <f t="shared" ref="C15:I15" si="25">C255</f>
        <v>0</v>
      </c>
      <c r="D15" s="42">
        <f t="shared" si="25"/>
        <v>85463969</v>
      </c>
      <c r="E15" s="42">
        <f t="shared" si="25"/>
        <v>282697724</v>
      </c>
      <c r="F15" s="42">
        <f t="shared" si="25"/>
        <v>291970178</v>
      </c>
      <c r="G15" s="42">
        <f t="shared" si="25"/>
        <v>230801430</v>
      </c>
      <c r="H15" s="42">
        <f t="shared" si="25"/>
        <v>312849257</v>
      </c>
      <c r="I15" s="42">
        <f t="shared" si="25"/>
        <v>339179310</v>
      </c>
      <c r="J15" s="42">
        <f>J255</f>
        <v>345674276</v>
      </c>
      <c r="K15" s="42">
        <f>K255</f>
        <v>512794875</v>
      </c>
      <c r="L15" s="42">
        <f>L255</f>
        <v>606925889</v>
      </c>
      <c r="M15" s="42">
        <f>M255</f>
        <v>630081316</v>
      </c>
      <c r="N15" s="42">
        <f t="shared" ref="N15:AP15" si="26">N255</f>
        <v>596391429</v>
      </c>
      <c r="O15" s="42">
        <f>O255</f>
        <v>667762579</v>
      </c>
      <c r="P15" s="251">
        <f t="shared" si="26"/>
        <v>528782258</v>
      </c>
      <c r="Q15" s="42">
        <f t="shared" si="26"/>
        <v>357983802.53133196</v>
      </c>
      <c r="R15" s="42">
        <f t="shared" si="26"/>
        <v>465378942.84239835</v>
      </c>
      <c r="S15" s="42">
        <f t="shared" si="26"/>
        <v>429580562.6237523</v>
      </c>
      <c r="T15" s="42">
        <f t="shared" si="26"/>
        <v>393782182.40510637</v>
      </c>
      <c r="U15" s="42">
        <f t="shared" si="26"/>
        <v>357983802.18646038</v>
      </c>
      <c r="V15" s="42">
        <f t="shared" si="26"/>
        <v>322185422.02989119</v>
      </c>
      <c r="W15" s="42">
        <f t="shared" si="26"/>
        <v>322185421.98022968</v>
      </c>
      <c r="X15" s="42">
        <f t="shared" si="26"/>
        <v>286387041.76241136</v>
      </c>
      <c r="Y15" s="42">
        <f t="shared" si="26"/>
        <v>272067689.67680693</v>
      </c>
      <c r="Z15" s="42">
        <f t="shared" si="26"/>
        <v>257748337.59141451</v>
      </c>
      <c r="AA15" s="42">
        <f t="shared" si="26"/>
        <v>257748337.59484699</v>
      </c>
      <c r="AB15" s="42">
        <f t="shared" si="26"/>
        <v>107395140.66209742</v>
      </c>
      <c r="AC15" s="42">
        <f t="shared" si="26"/>
        <v>71596760.441667765</v>
      </c>
      <c r="AD15" s="42">
        <f t="shared" si="26"/>
        <v>71596760.441880748</v>
      </c>
      <c r="AE15" s="42">
        <f t="shared" si="26"/>
        <v>71596760.442003906</v>
      </c>
      <c r="AF15" s="42">
        <f t="shared" si="26"/>
        <v>71596760.44199276</v>
      </c>
      <c r="AG15" s="42">
        <f t="shared" si="26"/>
        <v>71596760.441788703</v>
      </c>
      <c r="AH15" s="42">
        <f t="shared" si="26"/>
        <v>71596760.441866755</v>
      </c>
      <c r="AI15" s="42">
        <f t="shared" si="26"/>
        <v>71596760.441906571</v>
      </c>
      <c r="AJ15" s="42">
        <f t="shared" si="26"/>
        <v>71596760.441911727</v>
      </c>
      <c r="AK15" s="42">
        <f t="shared" si="26"/>
        <v>71596760.441893324</v>
      </c>
      <c r="AL15" s="42">
        <f t="shared" si="26"/>
        <v>71596760.441873431</v>
      </c>
      <c r="AM15" s="42">
        <f t="shared" si="26"/>
        <v>71596760.441890359</v>
      </c>
      <c r="AN15" s="42">
        <f t="shared" si="26"/>
        <v>71596760.441895083</v>
      </c>
      <c r="AO15" s="42">
        <f t="shared" si="26"/>
        <v>71596760.441892788</v>
      </c>
      <c r="AP15" s="42">
        <f t="shared" si="26"/>
        <v>71596760.441889003</v>
      </c>
      <c r="AQ15" s="42"/>
      <c r="AR15" s="245"/>
      <c r="AT15" s="40" t="e">
        <f>B15/'D4 Gallon Forecast'!B15</f>
        <v>#DIV/0!</v>
      </c>
      <c r="AU15" s="40" t="e">
        <f>C15/'D4 Gallon Forecast'!C15</f>
        <v>#DIV/0!</v>
      </c>
      <c r="AV15" s="40">
        <f>D15/'D4 Gallon Forecast'!D15</f>
        <v>1.7000000318262782</v>
      </c>
      <c r="AW15" s="40">
        <f>E15/'D4 Gallon Forecast'!E15</f>
        <v>1.7000000390876873</v>
      </c>
      <c r="AX15" s="40">
        <f>F15/'D4 Gallon Forecast'!F15</f>
        <v>1.69999999534199</v>
      </c>
      <c r="AY15" s="40">
        <f>G15/'D4 Gallon Forecast'!G15</f>
        <v>1.7000000508229103</v>
      </c>
      <c r="AZ15" s="40">
        <f>H15/'D4 Gallon Forecast'!H15</f>
        <v>1.7000000342337402</v>
      </c>
      <c r="BA15" s="250">
        <f>I15/'D4 Gallon Forecast'!I15</f>
        <v>1.6999999844624958</v>
      </c>
      <c r="BB15" s="250">
        <f>J15/'D4 Gallon Forecast'!J15</f>
        <v>1.700000011803019</v>
      </c>
      <c r="BC15" s="250">
        <f>K15/'D4 Gallon Forecast'!K15</f>
        <v>1.7000000175703787</v>
      </c>
      <c r="BD15" s="250">
        <f>L15/'D4 Gallon Forecast'!L15</f>
        <v>1.6999999991596997</v>
      </c>
      <c r="BE15" s="250">
        <f>M15/'D4 Gallon Forecast'!M15</f>
        <v>1.7000000102526449</v>
      </c>
      <c r="BF15" s="250">
        <f>N15/'D4 Gallon Forecast'!N15</f>
        <v>1.6999999982897138</v>
      </c>
      <c r="BG15" s="250">
        <f>O15/'D4 Gallon Forecast'!O15</f>
        <v>1.699999995926696</v>
      </c>
      <c r="BH15" s="250">
        <f>P15/'D4 Gallon Forecast'!P15</f>
        <v>1.7000000112522686</v>
      </c>
      <c r="BI15" s="250">
        <f>Q15/'D4 Gallon Forecast'!Q15</f>
        <v>1.700000009052824</v>
      </c>
      <c r="BJ15" s="250">
        <f>R15/'D4 Gallon Forecast'!R15</f>
        <v>1.7000000074150909</v>
      </c>
      <c r="BK15" s="250">
        <f>S15/'D4 Gallon Forecast'!S15</f>
        <v>1.7000000074150912</v>
      </c>
      <c r="BL15" s="250">
        <f>T15/'D4 Gallon Forecast'!T15</f>
        <v>1.7000000074150912</v>
      </c>
      <c r="BM15" s="250">
        <f>U15/'D4 Gallon Forecast'!U15</f>
        <v>1.7000000074150916</v>
      </c>
      <c r="BN15" s="250">
        <f>V15/'D4 Gallon Forecast'!V15</f>
        <v>1.7000000077426378</v>
      </c>
      <c r="BO15" s="250">
        <f>W15/'D4 Gallon Forecast'!W15</f>
        <v>1.7000000074806005</v>
      </c>
      <c r="BP15" s="250">
        <f>X15/'D4 Gallon Forecast'!X15</f>
        <v>1.7000000074937023</v>
      </c>
      <c r="BQ15" s="250">
        <f>Y15/'D4 Gallon Forecast'!Y15</f>
        <v>1.7000000075094246</v>
      </c>
      <c r="BR15" s="250">
        <f>Z15/'D4 Gallon Forecast'!Z15</f>
        <v>1.7000000075282917</v>
      </c>
      <c r="BS15" s="250">
        <f>AA15/'D4 Gallon Forecast'!AA15</f>
        <v>1.7000000075509309</v>
      </c>
      <c r="BT15" s="250">
        <f>AB15/'D4 Gallon Forecast'!AB15</f>
        <v>1.7000000075125898</v>
      </c>
      <c r="BU15" s="250">
        <f>AC15/'D4 Gallon Forecast'!AC15</f>
        <v>1.7000000075189881</v>
      </c>
      <c r="BV15" s="250">
        <f>AD15/'D4 Gallon Forecast'!AD15</f>
        <v>1.7000000075240451</v>
      </c>
      <c r="BW15" s="250">
        <f>AE15/'D4 Gallon Forecast'!AE15</f>
        <v>1.7000000075269694</v>
      </c>
      <c r="BX15" s="250">
        <f>AF15/'D4 Gallon Forecast'!AF15</f>
        <v>1.7000000075267048</v>
      </c>
      <c r="BY15" s="250">
        <f>AG15/'D4 Gallon Forecast'!AG15</f>
        <v>1.7000000075218595</v>
      </c>
      <c r="BZ15" s="250">
        <f>AH15/'D4 Gallon Forecast'!AH15</f>
        <v>1.7000000075237129</v>
      </c>
      <c r="CA15" s="250">
        <f>AI15/'D4 Gallon Forecast'!AI15</f>
        <v>1.7000000075246582</v>
      </c>
      <c r="CB15" s="250">
        <f>AJ15/'D4 Gallon Forecast'!AJ15</f>
        <v>1.7000000075247805</v>
      </c>
      <c r="CC15" s="250">
        <f>AK15/'D4 Gallon Forecast'!AK15</f>
        <v>1.7000000075243438</v>
      </c>
      <c r="CD15" s="250">
        <f>AL15/'D4 Gallon Forecast'!AL15</f>
        <v>1.7000000075238713</v>
      </c>
      <c r="CE15" s="250">
        <f>AM15/'D4 Gallon Forecast'!AM15</f>
        <v>1.7000000075242734</v>
      </c>
      <c r="CF15" s="250">
        <f>AN15/'D4 Gallon Forecast'!AN15</f>
        <v>1.7000000075243855</v>
      </c>
      <c r="CG15" s="250">
        <f>AO15/'D4 Gallon Forecast'!AO15</f>
        <v>1.7000000075243309</v>
      </c>
      <c r="CH15" s="250">
        <f>AP15/'D4 Gallon Forecast'!AP15</f>
        <v>1.7000000075242412</v>
      </c>
    </row>
    <row r="16" spans="1:86">
      <c r="A16" s="255" t="s">
        <v>225</v>
      </c>
      <c r="B16" s="256">
        <f>SUM(B17:B19)</f>
        <v>0</v>
      </c>
      <c r="C16" s="256">
        <f t="shared" ref="C16:I16" si="27">SUM(C17:C19)</f>
        <v>0</v>
      </c>
      <c r="D16" s="256">
        <f t="shared" si="27"/>
        <v>0</v>
      </c>
      <c r="E16" s="256">
        <f t="shared" si="27"/>
        <v>36724418</v>
      </c>
      <c r="F16" s="256">
        <f t="shared" si="27"/>
        <v>9541081</v>
      </c>
      <c r="G16" s="256">
        <f t="shared" si="27"/>
        <v>0</v>
      </c>
      <c r="H16" s="256">
        <f t="shared" si="27"/>
        <v>0</v>
      </c>
      <c r="I16" s="256">
        <f t="shared" si="27"/>
        <v>1287334</v>
      </c>
      <c r="J16" s="256">
        <f>SUM(J17:J19)</f>
        <v>0</v>
      </c>
      <c r="K16" s="256">
        <f>SUM(K17:K19)</f>
        <v>0</v>
      </c>
      <c r="L16" s="256">
        <f>SUM(L17:L19)</f>
        <v>0</v>
      </c>
      <c r="M16" s="256">
        <f>SUM(M17:M19)</f>
        <v>4861840</v>
      </c>
      <c r="N16" s="256">
        <f t="shared" ref="N16:AP16" si="28">SUM(N17:N19)</f>
        <v>0</v>
      </c>
      <c r="O16" s="256">
        <f>SUM(O17:O19)</f>
        <v>0</v>
      </c>
      <c r="P16" s="257">
        <f t="shared" si="28"/>
        <v>191210427</v>
      </c>
      <c r="Q16" s="256">
        <f t="shared" si="28"/>
        <v>21551583</v>
      </c>
      <c r="R16" s="256">
        <f t="shared" si="28"/>
        <v>0</v>
      </c>
      <c r="S16" s="256">
        <f t="shared" si="28"/>
        <v>0</v>
      </c>
      <c r="T16" s="256">
        <f t="shared" si="28"/>
        <v>0</v>
      </c>
      <c r="U16" s="256">
        <f t="shared" si="28"/>
        <v>0</v>
      </c>
      <c r="V16" s="256">
        <f t="shared" si="28"/>
        <v>0</v>
      </c>
      <c r="W16" s="256">
        <f t="shared" si="28"/>
        <v>0</v>
      </c>
      <c r="X16" s="256">
        <f t="shared" si="28"/>
        <v>0</v>
      </c>
      <c r="Y16" s="256">
        <f t="shared" si="28"/>
        <v>0</v>
      </c>
      <c r="Z16" s="256">
        <f t="shared" si="28"/>
        <v>0</v>
      </c>
      <c r="AA16" s="256">
        <f t="shared" si="28"/>
        <v>0</v>
      </c>
      <c r="AB16" s="256">
        <f t="shared" si="28"/>
        <v>0</v>
      </c>
      <c r="AC16" s="256">
        <f t="shared" si="28"/>
        <v>0</v>
      </c>
      <c r="AD16" s="256">
        <f t="shared" si="28"/>
        <v>0</v>
      </c>
      <c r="AE16" s="256">
        <f t="shared" si="28"/>
        <v>0</v>
      </c>
      <c r="AF16" s="256">
        <f t="shared" si="28"/>
        <v>0</v>
      </c>
      <c r="AG16" s="256">
        <f t="shared" si="28"/>
        <v>0</v>
      </c>
      <c r="AH16" s="256">
        <f t="shared" si="28"/>
        <v>0</v>
      </c>
      <c r="AI16" s="256">
        <f t="shared" si="28"/>
        <v>0</v>
      </c>
      <c r="AJ16" s="256">
        <f t="shared" si="28"/>
        <v>0</v>
      </c>
      <c r="AK16" s="256">
        <f t="shared" si="28"/>
        <v>0</v>
      </c>
      <c r="AL16" s="256">
        <f t="shared" si="28"/>
        <v>0</v>
      </c>
      <c r="AM16" s="256">
        <f t="shared" si="28"/>
        <v>0</v>
      </c>
      <c r="AN16" s="256">
        <f t="shared" si="28"/>
        <v>0</v>
      </c>
      <c r="AO16" s="256">
        <f t="shared" si="28"/>
        <v>0</v>
      </c>
      <c r="AP16" s="256">
        <f t="shared" si="28"/>
        <v>0</v>
      </c>
      <c r="AQ16" s="248"/>
      <c r="AR16" s="245"/>
      <c r="AT16" s="40" t="e">
        <f>B16/'D4 Gallon Forecast'!B16</f>
        <v>#DIV/0!</v>
      </c>
      <c r="AU16" s="40" t="e">
        <f>C16/'D4 Gallon Forecast'!C16</f>
        <v>#DIV/0!</v>
      </c>
      <c r="AV16" s="40" t="e">
        <f>D16/'D4 Gallon Forecast'!D16</f>
        <v>#DIV/0!</v>
      </c>
      <c r="AW16" s="40">
        <f>E16/'D4 Gallon Forecast'!E16</f>
        <v>1.6999999861127821</v>
      </c>
      <c r="AX16" s="40">
        <f>F16/'D4 Gallon Forecast'!F16</f>
        <v>1.7000001781768941</v>
      </c>
      <c r="AY16" s="40" t="e">
        <f>G16/'D4 Gallon Forecast'!G16</f>
        <v>#DIV/0!</v>
      </c>
      <c r="AZ16" s="40" t="e">
        <f>H16/'D4 Gallon Forecast'!H16</f>
        <v>#DIV/0!</v>
      </c>
      <c r="BA16" s="250">
        <f>I16/'D4 Gallon Forecast'!I16</f>
        <v>1.7000006602795623</v>
      </c>
      <c r="BB16" s="250" t="e">
        <f>J16/'D4 Gallon Forecast'!J16</f>
        <v>#DIV/0!</v>
      </c>
      <c r="BC16" s="250" t="e">
        <f>K16/'D4 Gallon Forecast'!K16</f>
        <v>#DIV/0!</v>
      </c>
      <c r="BD16" s="250" t="e">
        <f>L16/'D4 Gallon Forecast'!L16</f>
        <v>#DIV/0!</v>
      </c>
      <c r="BE16" s="250">
        <f>M16/'D4 Gallon Forecast'!M16</f>
        <v>1.6999999300676316</v>
      </c>
      <c r="BF16" s="250" t="e">
        <f>N16/'D4 Gallon Forecast'!N16</f>
        <v>#DIV/0!</v>
      </c>
      <c r="BG16" s="250" t="e">
        <f>O16/'D4 Gallon Forecast'!O16</f>
        <v>#DIV/0!</v>
      </c>
      <c r="BH16" s="250">
        <f>P16/'D4 Gallon Forecast'!P16</f>
        <v>1.6999999964437087</v>
      </c>
      <c r="BI16" s="250">
        <f>Q16/'D4 Gallon Forecast'!Q16</f>
        <v>1.699999968447794</v>
      </c>
      <c r="BJ16" s="250" t="e">
        <f>R16/'D4 Gallon Forecast'!R16</f>
        <v>#DIV/0!</v>
      </c>
      <c r="BK16" s="250" t="e">
        <f>S16/'D4 Gallon Forecast'!S16</f>
        <v>#DIV/0!</v>
      </c>
      <c r="BL16" s="250" t="e">
        <f>T16/'D4 Gallon Forecast'!T16</f>
        <v>#DIV/0!</v>
      </c>
      <c r="BM16" s="250" t="e">
        <f>U16/'D4 Gallon Forecast'!U16</f>
        <v>#DIV/0!</v>
      </c>
      <c r="BN16" s="250" t="e">
        <f>V16/'D4 Gallon Forecast'!V16</f>
        <v>#DIV/0!</v>
      </c>
      <c r="BO16" s="250" t="e">
        <f>W16/'D4 Gallon Forecast'!W16</f>
        <v>#DIV/0!</v>
      </c>
      <c r="BP16" s="250" t="e">
        <f>X16/'D4 Gallon Forecast'!X16</f>
        <v>#DIV/0!</v>
      </c>
      <c r="BQ16" s="250" t="e">
        <f>Y16/'D4 Gallon Forecast'!Y16</f>
        <v>#DIV/0!</v>
      </c>
      <c r="BR16" s="250" t="e">
        <f>Z16/'D4 Gallon Forecast'!Z16</f>
        <v>#DIV/0!</v>
      </c>
      <c r="BS16" s="250" t="e">
        <f>AA16/'D4 Gallon Forecast'!AA16</f>
        <v>#DIV/0!</v>
      </c>
      <c r="BT16" s="250" t="e">
        <f>AB16/'D4 Gallon Forecast'!AB16</f>
        <v>#DIV/0!</v>
      </c>
      <c r="BU16" s="250" t="e">
        <f>AC16/'D4 Gallon Forecast'!AC16</f>
        <v>#DIV/0!</v>
      </c>
      <c r="BV16" s="250" t="e">
        <f>AD16/'D4 Gallon Forecast'!AD16</f>
        <v>#DIV/0!</v>
      </c>
      <c r="BW16" s="250" t="e">
        <f>AE16/'D4 Gallon Forecast'!AE16</f>
        <v>#DIV/0!</v>
      </c>
      <c r="BX16" s="250" t="e">
        <f>AF16/'D4 Gallon Forecast'!AF16</f>
        <v>#DIV/0!</v>
      </c>
      <c r="BY16" s="250" t="e">
        <f>AG16/'D4 Gallon Forecast'!AG16</f>
        <v>#DIV/0!</v>
      </c>
      <c r="BZ16" s="250" t="e">
        <f>AH16/'D4 Gallon Forecast'!AH16</f>
        <v>#DIV/0!</v>
      </c>
      <c r="CA16" s="250" t="e">
        <f>AI16/'D4 Gallon Forecast'!AI16</f>
        <v>#DIV/0!</v>
      </c>
      <c r="CB16" s="250" t="e">
        <f>AJ16/'D4 Gallon Forecast'!AJ16</f>
        <v>#DIV/0!</v>
      </c>
      <c r="CC16" s="250" t="e">
        <f>AK16/'D4 Gallon Forecast'!AK16</f>
        <v>#DIV/0!</v>
      </c>
      <c r="CD16" s="250" t="e">
        <f>AL16/'D4 Gallon Forecast'!AL16</f>
        <v>#DIV/0!</v>
      </c>
      <c r="CE16" s="250" t="e">
        <f>AM16/'D4 Gallon Forecast'!AM16</f>
        <v>#DIV/0!</v>
      </c>
      <c r="CF16" s="250" t="e">
        <f>AN16/'D4 Gallon Forecast'!AN16</f>
        <v>#DIV/0!</v>
      </c>
      <c r="CG16" s="250" t="e">
        <f>AO16/'D4 Gallon Forecast'!AO16</f>
        <v>#DIV/0!</v>
      </c>
      <c r="CH16" s="250" t="e">
        <f>AP16/'D4 Gallon Forecast'!AP16</f>
        <v>#DIV/0!</v>
      </c>
    </row>
    <row r="17" spans="1:86">
      <c r="A17" s="40" t="s">
        <v>284</v>
      </c>
      <c r="B17" s="42">
        <f>B287</f>
        <v>0</v>
      </c>
      <c r="C17" s="42">
        <f t="shared" ref="C17:I17" si="29">C287</f>
        <v>0</v>
      </c>
      <c r="D17" s="42">
        <f t="shared" si="29"/>
        <v>0</v>
      </c>
      <c r="E17" s="42">
        <f t="shared" si="29"/>
        <v>0</v>
      </c>
      <c r="F17" s="42">
        <f t="shared" si="29"/>
        <v>0</v>
      </c>
      <c r="G17" s="42">
        <f t="shared" si="29"/>
        <v>0</v>
      </c>
      <c r="H17" s="42">
        <f t="shared" si="29"/>
        <v>0</v>
      </c>
      <c r="I17" s="42">
        <f t="shared" si="29"/>
        <v>0</v>
      </c>
      <c r="J17" s="42">
        <f>J287</f>
        <v>0</v>
      </c>
      <c r="K17" s="42">
        <f>K287</f>
        <v>0</v>
      </c>
      <c r="L17" s="42">
        <f>L287</f>
        <v>0</v>
      </c>
      <c r="M17" s="42">
        <f>M287</f>
        <v>0</v>
      </c>
      <c r="N17" s="42">
        <f t="shared" ref="N17:AP17" si="30">N287</f>
        <v>0</v>
      </c>
      <c r="O17" s="42">
        <f>O287</f>
        <v>0</v>
      </c>
      <c r="P17" s="251">
        <f t="shared" si="30"/>
        <v>0</v>
      </c>
      <c r="Q17" s="42">
        <f t="shared" si="30"/>
        <v>0</v>
      </c>
      <c r="R17" s="42">
        <f t="shared" si="30"/>
        <v>0</v>
      </c>
      <c r="S17" s="42">
        <f t="shared" si="30"/>
        <v>0</v>
      </c>
      <c r="T17" s="42">
        <f t="shared" si="30"/>
        <v>0</v>
      </c>
      <c r="U17" s="42">
        <f t="shared" si="30"/>
        <v>0</v>
      </c>
      <c r="V17" s="42">
        <f t="shared" si="30"/>
        <v>0</v>
      </c>
      <c r="W17" s="42">
        <f t="shared" si="30"/>
        <v>0</v>
      </c>
      <c r="X17" s="42">
        <f t="shared" si="30"/>
        <v>0</v>
      </c>
      <c r="Y17" s="42">
        <f t="shared" si="30"/>
        <v>0</v>
      </c>
      <c r="Z17" s="42">
        <f t="shared" si="30"/>
        <v>0</v>
      </c>
      <c r="AA17" s="42">
        <f t="shared" si="30"/>
        <v>0</v>
      </c>
      <c r="AB17" s="42">
        <f t="shared" si="30"/>
        <v>0</v>
      </c>
      <c r="AC17" s="42">
        <f t="shared" si="30"/>
        <v>0</v>
      </c>
      <c r="AD17" s="42">
        <f t="shared" si="30"/>
        <v>0</v>
      </c>
      <c r="AE17" s="42">
        <f t="shared" si="30"/>
        <v>0</v>
      </c>
      <c r="AF17" s="42">
        <f t="shared" si="30"/>
        <v>0</v>
      </c>
      <c r="AG17" s="42">
        <f t="shared" si="30"/>
        <v>0</v>
      </c>
      <c r="AH17" s="42">
        <f t="shared" si="30"/>
        <v>0</v>
      </c>
      <c r="AI17" s="42">
        <f t="shared" si="30"/>
        <v>0</v>
      </c>
      <c r="AJ17" s="42">
        <f t="shared" si="30"/>
        <v>0</v>
      </c>
      <c r="AK17" s="42">
        <f t="shared" si="30"/>
        <v>0</v>
      </c>
      <c r="AL17" s="42">
        <f t="shared" si="30"/>
        <v>0</v>
      </c>
      <c r="AM17" s="42">
        <f t="shared" si="30"/>
        <v>0</v>
      </c>
      <c r="AN17" s="42">
        <f t="shared" si="30"/>
        <v>0</v>
      </c>
      <c r="AO17" s="42">
        <f t="shared" si="30"/>
        <v>0</v>
      </c>
      <c r="AP17" s="42">
        <f t="shared" si="30"/>
        <v>0</v>
      </c>
      <c r="AQ17" s="42"/>
      <c r="AR17" s="245"/>
      <c r="AT17" s="40" t="e">
        <f>B17/'D4 Gallon Forecast'!B17</f>
        <v>#DIV/0!</v>
      </c>
      <c r="AU17" s="40" t="e">
        <f>C17/'D4 Gallon Forecast'!C17</f>
        <v>#DIV/0!</v>
      </c>
      <c r="AV17" s="40" t="e">
        <f>D17/'D4 Gallon Forecast'!D17</f>
        <v>#DIV/0!</v>
      </c>
      <c r="AW17" s="40" t="e">
        <f>E17/'D4 Gallon Forecast'!E17</f>
        <v>#DIV/0!</v>
      </c>
      <c r="AX17" s="40" t="e">
        <f>F17/'D4 Gallon Forecast'!F17</f>
        <v>#DIV/0!</v>
      </c>
      <c r="AY17" s="40" t="e">
        <f>G17/'D4 Gallon Forecast'!G17</f>
        <v>#DIV/0!</v>
      </c>
      <c r="AZ17" s="40" t="e">
        <f>H17/'D4 Gallon Forecast'!H17</f>
        <v>#DIV/0!</v>
      </c>
      <c r="BA17" s="250" t="e">
        <f>I17/'D4 Gallon Forecast'!I17</f>
        <v>#DIV/0!</v>
      </c>
      <c r="BB17" s="250" t="e">
        <f>J17/'D4 Gallon Forecast'!J17</f>
        <v>#DIV/0!</v>
      </c>
      <c r="BC17" s="250" t="e">
        <f>K17/'D4 Gallon Forecast'!K17</f>
        <v>#DIV/0!</v>
      </c>
      <c r="BD17" s="250" t="e">
        <f>L17/'D4 Gallon Forecast'!L17</f>
        <v>#DIV/0!</v>
      </c>
      <c r="BE17" s="250" t="e">
        <f>M17/'D4 Gallon Forecast'!M17</f>
        <v>#DIV/0!</v>
      </c>
      <c r="BF17" s="250" t="e">
        <f>N17/'D4 Gallon Forecast'!N17</f>
        <v>#DIV/0!</v>
      </c>
      <c r="BG17" s="250" t="e">
        <f>O17/'D4 Gallon Forecast'!O17</f>
        <v>#DIV/0!</v>
      </c>
      <c r="BH17" s="250" t="e">
        <f>P17/'D4 Gallon Forecast'!P17</f>
        <v>#DIV/0!</v>
      </c>
      <c r="BI17" s="250" t="e">
        <f>Q17/'D4 Gallon Forecast'!Q17</f>
        <v>#DIV/0!</v>
      </c>
      <c r="BJ17" s="250" t="e">
        <f>R17/'D4 Gallon Forecast'!R17</f>
        <v>#DIV/0!</v>
      </c>
      <c r="BK17" s="250" t="e">
        <f>S17/'D4 Gallon Forecast'!S17</f>
        <v>#DIV/0!</v>
      </c>
      <c r="BL17" s="250" t="e">
        <f>T17/'D4 Gallon Forecast'!T17</f>
        <v>#DIV/0!</v>
      </c>
      <c r="BM17" s="250" t="e">
        <f>U17/'D4 Gallon Forecast'!U17</f>
        <v>#DIV/0!</v>
      </c>
      <c r="BN17" s="250" t="e">
        <f>V17/'D4 Gallon Forecast'!V17</f>
        <v>#DIV/0!</v>
      </c>
      <c r="BO17" s="250" t="e">
        <f>W17/'D4 Gallon Forecast'!W17</f>
        <v>#DIV/0!</v>
      </c>
      <c r="BP17" s="250" t="e">
        <f>X17/'D4 Gallon Forecast'!X17</f>
        <v>#DIV/0!</v>
      </c>
      <c r="BQ17" s="250" t="e">
        <f>Y17/'D4 Gallon Forecast'!Y17</f>
        <v>#DIV/0!</v>
      </c>
      <c r="BR17" s="250" t="e">
        <f>Z17/'D4 Gallon Forecast'!Z17</f>
        <v>#DIV/0!</v>
      </c>
      <c r="BS17" s="250" t="e">
        <f>AA17/'D4 Gallon Forecast'!AA17</f>
        <v>#DIV/0!</v>
      </c>
      <c r="BT17" s="250" t="e">
        <f>AB17/'D4 Gallon Forecast'!AB17</f>
        <v>#DIV/0!</v>
      </c>
      <c r="BU17" s="250" t="e">
        <f>AC17/'D4 Gallon Forecast'!AC17</f>
        <v>#DIV/0!</v>
      </c>
      <c r="BV17" s="250" t="e">
        <f>AD17/'D4 Gallon Forecast'!AD17</f>
        <v>#DIV/0!</v>
      </c>
      <c r="BW17" s="250" t="e">
        <f>AE17/'D4 Gallon Forecast'!AE17</f>
        <v>#DIV/0!</v>
      </c>
      <c r="BX17" s="250" t="e">
        <f>AF17/'D4 Gallon Forecast'!AF17</f>
        <v>#DIV/0!</v>
      </c>
      <c r="BY17" s="250" t="e">
        <f>AG17/'D4 Gallon Forecast'!AG17</f>
        <v>#DIV/0!</v>
      </c>
      <c r="BZ17" s="250" t="e">
        <f>AH17/'D4 Gallon Forecast'!AH17</f>
        <v>#DIV/0!</v>
      </c>
      <c r="CA17" s="250" t="e">
        <f>AI17/'D4 Gallon Forecast'!AI17</f>
        <v>#DIV/0!</v>
      </c>
      <c r="CB17" s="250" t="e">
        <f>AJ17/'D4 Gallon Forecast'!AJ17</f>
        <v>#DIV/0!</v>
      </c>
      <c r="CC17" s="250" t="e">
        <f>AK17/'D4 Gallon Forecast'!AK17</f>
        <v>#DIV/0!</v>
      </c>
      <c r="CD17" s="250" t="e">
        <f>AL17/'D4 Gallon Forecast'!AL17</f>
        <v>#DIV/0!</v>
      </c>
      <c r="CE17" s="250" t="e">
        <f>AM17/'D4 Gallon Forecast'!AM17</f>
        <v>#DIV/0!</v>
      </c>
      <c r="CF17" s="250" t="e">
        <f>AN17/'D4 Gallon Forecast'!AN17</f>
        <v>#DIV/0!</v>
      </c>
      <c r="CG17" s="250" t="e">
        <f>AO17/'D4 Gallon Forecast'!AO17</f>
        <v>#DIV/0!</v>
      </c>
      <c r="CH17" s="250" t="e">
        <f>AP17/'D4 Gallon Forecast'!AP17</f>
        <v>#DIV/0!</v>
      </c>
    </row>
    <row r="18" spans="1:86">
      <c r="A18" s="40" t="s">
        <v>285</v>
      </c>
      <c r="B18" s="42">
        <f>B303</f>
        <v>0</v>
      </c>
      <c r="C18" s="42">
        <f t="shared" ref="C18:I18" si="31">C303</f>
        <v>0</v>
      </c>
      <c r="D18" s="42">
        <f t="shared" si="31"/>
        <v>0</v>
      </c>
      <c r="E18" s="42">
        <f t="shared" si="31"/>
        <v>0</v>
      </c>
      <c r="F18" s="42">
        <f t="shared" si="31"/>
        <v>0</v>
      </c>
      <c r="G18" s="42">
        <f t="shared" si="31"/>
        <v>0</v>
      </c>
      <c r="H18" s="42">
        <f t="shared" si="31"/>
        <v>0</v>
      </c>
      <c r="I18" s="42">
        <f t="shared" si="31"/>
        <v>0</v>
      </c>
      <c r="J18" s="42">
        <f>J303</f>
        <v>0</v>
      </c>
      <c r="K18" s="42">
        <f>K303</f>
        <v>0</v>
      </c>
      <c r="L18" s="42">
        <f>L303</f>
        <v>0</v>
      </c>
      <c r="M18" s="42">
        <f>M303</f>
        <v>0</v>
      </c>
      <c r="N18" s="42">
        <f t="shared" ref="N18:AP18" si="32">N303</f>
        <v>0</v>
      </c>
      <c r="O18" s="42">
        <f>O303</f>
        <v>0</v>
      </c>
      <c r="P18" s="251">
        <f t="shared" si="32"/>
        <v>0</v>
      </c>
      <c r="Q18" s="42">
        <f t="shared" si="32"/>
        <v>0</v>
      </c>
      <c r="R18" s="42">
        <f t="shared" si="32"/>
        <v>0</v>
      </c>
      <c r="S18" s="42">
        <f t="shared" si="32"/>
        <v>0</v>
      </c>
      <c r="T18" s="42">
        <f t="shared" si="32"/>
        <v>0</v>
      </c>
      <c r="U18" s="42">
        <f t="shared" si="32"/>
        <v>0</v>
      </c>
      <c r="V18" s="42">
        <f t="shared" si="32"/>
        <v>0</v>
      </c>
      <c r="W18" s="42">
        <f t="shared" si="32"/>
        <v>0</v>
      </c>
      <c r="X18" s="42">
        <f t="shared" si="32"/>
        <v>0</v>
      </c>
      <c r="Y18" s="42">
        <f t="shared" si="32"/>
        <v>0</v>
      </c>
      <c r="Z18" s="42">
        <f t="shared" si="32"/>
        <v>0</v>
      </c>
      <c r="AA18" s="42">
        <f t="shared" si="32"/>
        <v>0</v>
      </c>
      <c r="AB18" s="42">
        <f t="shared" si="32"/>
        <v>0</v>
      </c>
      <c r="AC18" s="42">
        <f t="shared" si="32"/>
        <v>0</v>
      </c>
      <c r="AD18" s="42">
        <f t="shared" si="32"/>
        <v>0</v>
      </c>
      <c r="AE18" s="42">
        <f t="shared" si="32"/>
        <v>0</v>
      </c>
      <c r="AF18" s="42">
        <f t="shared" si="32"/>
        <v>0</v>
      </c>
      <c r="AG18" s="42">
        <f t="shared" si="32"/>
        <v>0</v>
      </c>
      <c r="AH18" s="42">
        <f t="shared" si="32"/>
        <v>0</v>
      </c>
      <c r="AI18" s="42">
        <f t="shared" si="32"/>
        <v>0</v>
      </c>
      <c r="AJ18" s="42">
        <f t="shared" si="32"/>
        <v>0</v>
      </c>
      <c r="AK18" s="42">
        <f t="shared" si="32"/>
        <v>0</v>
      </c>
      <c r="AL18" s="42">
        <f t="shared" si="32"/>
        <v>0</v>
      </c>
      <c r="AM18" s="42">
        <f t="shared" si="32"/>
        <v>0</v>
      </c>
      <c r="AN18" s="42">
        <f t="shared" si="32"/>
        <v>0</v>
      </c>
      <c r="AO18" s="42">
        <f t="shared" si="32"/>
        <v>0</v>
      </c>
      <c r="AP18" s="42">
        <f t="shared" si="32"/>
        <v>0</v>
      </c>
      <c r="AQ18" s="42"/>
      <c r="AR18" s="245"/>
      <c r="AT18" s="40" t="e">
        <f>B18/'D4 Gallon Forecast'!B18</f>
        <v>#DIV/0!</v>
      </c>
      <c r="AU18" s="40" t="e">
        <f>C18/'D4 Gallon Forecast'!C18</f>
        <v>#DIV/0!</v>
      </c>
      <c r="AV18" s="40" t="e">
        <f>D18/'D4 Gallon Forecast'!D18</f>
        <v>#DIV/0!</v>
      </c>
      <c r="AW18" s="40" t="e">
        <f>E18/'D4 Gallon Forecast'!E18</f>
        <v>#DIV/0!</v>
      </c>
      <c r="AX18" s="40" t="e">
        <f>F18/'D4 Gallon Forecast'!F18</f>
        <v>#DIV/0!</v>
      </c>
      <c r="AY18" s="40" t="e">
        <f>G18/'D4 Gallon Forecast'!G18</f>
        <v>#DIV/0!</v>
      </c>
      <c r="AZ18" s="40" t="e">
        <f>H18/'D4 Gallon Forecast'!H18</f>
        <v>#DIV/0!</v>
      </c>
      <c r="BA18" s="250" t="e">
        <f>I18/'D4 Gallon Forecast'!I18</f>
        <v>#DIV/0!</v>
      </c>
      <c r="BB18" s="250" t="e">
        <f>J18/'D4 Gallon Forecast'!J18</f>
        <v>#DIV/0!</v>
      </c>
      <c r="BC18" s="250" t="e">
        <f>K18/'D4 Gallon Forecast'!K18</f>
        <v>#DIV/0!</v>
      </c>
      <c r="BD18" s="250" t="e">
        <f>L18/'D4 Gallon Forecast'!L18</f>
        <v>#DIV/0!</v>
      </c>
      <c r="BE18" s="250" t="e">
        <f>M18/'D4 Gallon Forecast'!M18</f>
        <v>#DIV/0!</v>
      </c>
      <c r="BF18" s="250" t="e">
        <f>N18/'D4 Gallon Forecast'!N18</f>
        <v>#DIV/0!</v>
      </c>
      <c r="BG18" s="250" t="e">
        <f>O18/'D4 Gallon Forecast'!O18</f>
        <v>#DIV/0!</v>
      </c>
      <c r="BH18" s="250" t="e">
        <f>P18/'D4 Gallon Forecast'!P18</f>
        <v>#DIV/0!</v>
      </c>
      <c r="BI18" s="250" t="e">
        <f>Q18/'D4 Gallon Forecast'!Q18</f>
        <v>#DIV/0!</v>
      </c>
      <c r="BJ18" s="250" t="e">
        <f>R18/'D4 Gallon Forecast'!R18</f>
        <v>#DIV/0!</v>
      </c>
      <c r="BK18" s="250" t="e">
        <f>S18/'D4 Gallon Forecast'!S18</f>
        <v>#DIV/0!</v>
      </c>
      <c r="BL18" s="250" t="e">
        <f>T18/'D4 Gallon Forecast'!T18</f>
        <v>#DIV/0!</v>
      </c>
      <c r="BM18" s="250" t="e">
        <f>U18/'D4 Gallon Forecast'!U18</f>
        <v>#DIV/0!</v>
      </c>
      <c r="BN18" s="250" t="e">
        <f>V18/'D4 Gallon Forecast'!V18</f>
        <v>#DIV/0!</v>
      </c>
      <c r="BO18" s="250" t="e">
        <f>W18/'D4 Gallon Forecast'!W18</f>
        <v>#DIV/0!</v>
      </c>
      <c r="BP18" s="250" t="e">
        <f>X18/'D4 Gallon Forecast'!X18</f>
        <v>#DIV/0!</v>
      </c>
      <c r="BQ18" s="250" t="e">
        <f>Y18/'D4 Gallon Forecast'!Y18</f>
        <v>#DIV/0!</v>
      </c>
      <c r="BR18" s="250" t="e">
        <f>Z18/'D4 Gallon Forecast'!Z18</f>
        <v>#DIV/0!</v>
      </c>
      <c r="BS18" s="250" t="e">
        <f>AA18/'D4 Gallon Forecast'!AA18</f>
        <v>#DIV/0!</v>
      </c>
      <c r="BT18" s="250" t="e">
        <f>AB18/'D4 Gallon Forecast'!AB18</f>
        <v>#DIV/0!</v>
      </c>
      <c r="BU18" s="250" t="e">
        <f>AC18/'D4 Gallon Forecast'!AC18</f>
        <v>#DIV/0!</v>
      </c>
      <c r="BV18" s="250" t="e">
        <f>AD18/'D4 Gallon Forecast'!AD18</f>
        <v>#DIV/0!</v>
      </c>
      <c r="BW18" s="250" t="e">
        <f>AE18/'D4 Gallon Forecast'!AE18</f>
        <v>#DIV/0!</v>
      </c>
      <c r="BX18" s="250" t="e">
        <f>AF18/'D4 Gallon Forecast'!AF18</f>
        <v>#DIV/0!</v>
      </c>
      <c r="BY18" s="250" t="e">
        <f>AG18/'D4 Gallon Forecast'!AG18</f>
        <v>#DIV/0!</v>
      </c>
      <c r="BZ18" s="250" t="e">
        <f>AH18/'D4 Gallon Forecast'!AH18</f>
        <v>#DIV/0!</v>
      </c>
      <c r="CA18" s="250" t="e">
        <f>AI18/'D4 Gallon Forecast'!AI18</f>
        <v>#DIV/0!</v>
      </c>
      <c r="CB18" s="250" t="e">
        <f>AJ18/'D4 Gallon Forecast'!AJ18</f>
        <v>#DIV/0!</v>
      </c>
      <c r="CC18" s="250" t="e">
        <f>AK18/'D4 Gallon Forecast'!AK18</f>
        <v>#DIV/0!</v>
      </c>
      <c r="CD18" s="250" t="e">
        <f>AL18/'D4 Gallon Forecast'!AL18</f>
        <v>#DIV/0!</v>
      </c>
      <c r="CE18" s="250" t="e">
        <f>AM18/'D4 Gallon Forecast'!AM18</f>
        <v>#DIV/0!</v>
      </c>
      <c r="CF18" s="250" t="e">
        <f>AN18/'D4 Gallon Forecast'!AN18</f>
        <v>#DIV/0!</v>
      </c>
      <c r="CG18" s="250" t="e">
        <f>AO18/'D4 Gallon Forecast'!AO18</f>
        <v>#DIV/0!</v>
      </c>
      <c r="CH18" s="250" t="e">
        <f>AP18/'D4 Gallon Forecast'!AP18</f>
        <v>#DIV/0!</v>
      </c>
    </row>
    <row r="19" spans="1:86" ht="12" thickBot="1">
      <c r="A19" s="258" t="s">
        <v>286</v>
      </c>
      <c r="B19" s="259">
        <f>B319</f>
        <v>0</v>
      </c>
      <c r="C19" s="259">
        <f t="shared" ref="C19:I19" si="33">C319</f>
        <v>0</v>
      </c>
      <c r="D19" s="259">
        <f t="shared" si="33"/>
        <v>0</v>
      </c>
      <c r="E19" s="259">
        <f t="shared" si="33"/>
        <v>36724418</v>
      </c>
      <c r="F19" s="259">
        <f t="shared" si="33"/>
        <v>9541081</v>
      </c>
      <c r="G19" s="259">
        <f t="shared" si="33"/>
        <v>0</v>
      </c>
      <c r="H19" s="259">
        <f t="shared" si="33"/>
        <v>0</v>
      </c>
      <c r="I19" s="259">
        <f t="shared" si="33"/>
        <v>1287334</v>
      </c>
      <c r="J19" s="259">
        <f>J319</f>
        <v>0</v>
      </c>
      <c r="K19" s="259">
        <f>K319</f>
        <v>0</v>
      </c>
      <c r="L19" s="259">
        <f>L319</f>
        <v>0</v>
      </c>
      <c r="M19" s="259">
        <f>M319</f>
        <v>4861840</v>
      </c>
      <c r="N19" s="259">
        <f t="shared" ref="N19:AP19" si="34">N319</f>
        <v>0</v>
      </c>
      <c r="O19" s="259">
        <f>O319</f>
        <v>0</v>
      </c>
      <c r="P19" s="260">
        <f t="shared" si="34"/>
        <v>191210427</v>
      </c>
      <c r="Q19" s="259">
        <f t="shared" si="34"/>
        <v>21551583</v>
      </c>
      <c r="R19" s="259">
        <f t="shared" si="34"/>
        <v>0</v>
      </c>
      <c r="S19" s="259">
        <f t="shared" si="34"/>
        <v>0</v>
      </c>
      <c r="T19" s="259">
        <f t="shared" si="34"/>
        <v>0</v>
      </c>
      <c r="U19" s="259">
        <f t="shared" si="34"/>
        <v>0</v>
      </c>
      <c r="V19" s="259">
        <f t="shared" si="34"/>
        <v>0</v>
      </c>
      <c r="W19" s="259">
        <f t="shared" si="34"/>
        <v>0</v>
      </c>
      <c r="X19" s="259">
        <f t="shared" si="34"/>
        <v>0</v>
      </c>
      <c r="Y19" s="259">
        <f t="shared" si="34"/>
        <v>0</v>
      </c>
      <c r="Z19" s="259">
        <f t="shared" si="34"/>
        <v>0</v>
      </c>
      <c r="AA19" s="259">
        <f t="shared" si="34"/>
        <v>0</v>
      </c>
      <c r="AB19" s="259">
        <f t="shared" si="34"/>
        <v>0</v>
      </c>
      <c r="AC19" s="259">
        <f t="shared" si="34"/>
        <v>0</v>
      </c>
      <c r="AD19" s="259">
        <f t="shared" si="34"/>
        <v>0</v>
      </c>
      <c r="AE19" s="259">
        <f t="shared" si="34"/>
        <v>0</v>
      </c>
      <c r="AF19" s="259">
        <f t="shared" si="34"/>
        <v>0</v>
      </c>
      <c r="AG19" s="259">
        <f t="shared" si="34"/>
        <v>0</v>
      </c>
      <c r="AH19" s="259">
        <f t="shared" si="34"/>
        <v>0</v>
      </c>
      <c r="AI19" s="259">
        <f t="shared" si="34"/>
        <v>0</v>
      </c>
      <c r="AJ19" s="259">
        <f t="shared" si="34"/>
        <v>0</v>
      </c>
      <c r="AK19" s="259">
        <f t="shared" si="34"/>
        <v>0</v>
      </c>
      <c r="AL19" s="259">
        <f t="shared" si="34"/>
        <v>0</v>
      </c>
      <c r="AM19" s="259">
        <f t="shared" si="34"/>
        <v>0</v>
      </c>
      <c r="AN19" s="259">
        <f t="shared" si="34"/>
        <v>0</v>
      </c>
      <c r="AO19" s="259">
        <f t="shared" si="34"/>
        <v>0</v>
      </c>
      <c r="AP19" s="259">
        <f t="shared" si="34"/>
        <v>0</v>
      </c>
      <c r="AQ19" s="42"/>
      <c r="AR19" s="245"/>
      <c r="AT19" s="40" t="e">
        <f>B19/'D4 Gallon Forecast'!B19</f>
        <v>#DIV/0!</v>
      </c>
      <c r="AU19" s="40" t="e">
        <f>C19/'D4 Gallon Forecast'!C19</f>
        <v>#DIV/0!</v>
      </c>
      <c r="AV19" s="40" t="e">
        <f>D19/'D4 Gallon Forecast'!D19</f>
        <v>#DIV/0!</v>
      </c>
      <c r="AW19" s="40">
        <f>E19/'D4 Gallon Forecast'!E19</f>
        <v>1.6999999861127821</v>
      </c>
      <c r="AX19" s="40">
        <f>F19/'D4 Gallon Forecast'!F19</f>
        <v>1.7000001781768941</v>
      </c>
      <c r="AY19" s="40" t="e">
        <f>G19/'D4 Gallon Forecast'!G19</f>
        <v>#DIV/0!</v>
      </c>
      <c r="AZ19" s="40" t="e">
        <f>H19/'D4 Gallon Forecast'!H19</f>
        <v>#DIV/0!</v>
      </c>
      <c r="BA19" s="250">
        <f>I19/'D4 Gallon Forecast'!I19</f>
        <v>1.7000006602795623</v>
      </c>
      <c r="BB19" s="250" t="e">
        <f>J19/'D4 Gallon Forecast'!J19</f>
        <v>#DIV/0!</v>
      </c>
      <c r="BC19" s="250" t="e">
        <f>K19/'D4 Gallon Forecast'!K19</f>
        <v>#DIV/0!</v>
      </c>
      <c r="BD19" s="250" t="e">
        <f>L19/'D4 Gallon Forecast'!L19</f>
        <v>#DIV/0!</v>
      </c>
      <c r="BE19" s="250">
        <f>M19/'D4 Gallon Forecast'!M19</f>
        <v>1.6999999300676316</v>
      </c>
      <c r="BF19" s="250" t="e">
        <f>N19/'D4 Gallon Forecast'!N19</f>
        <v>#DIV/0!</v>
      </c>
      <c r="BG19" s="250" t="e">
        <f>O19/'D4 Gallon Forecast'!O19</f>
        <v>#DIV/0!</v>
      </c>
      <c r="BH19" s="250">
        <f>P19/'D4 Gallon Forecast'!P19</f>
        <v>1.6999999964437087</v>
      </c>
      <c r="BI19" s="250">
        <f>Q19/'D4 Gallon Forecast'!Q19</f>
        <v>1.699999968447794</v>
      </c>
      <c r="BJ19" s="250" t="e">
        <f>R19/'D4 Gallon Forecast'!R19</f>
        <v>#DIV/0!</v>
      </c>
      <c r="BK19" s="250" t="e">
        <f>S19/'D4 Gallon Forecast'!S19</f>
        <v>#DIV/0!</v>
      </c>
      <c r="BL19" s="250" t="e">
        <f>T19/'D4 Gallon Forecast'!T19</f>
        <v>#DIV/0!</v>
      </c>
      <c r="BM19" s="250" t="e">
        <f>U19/'D4 Gallon Forecast'!U19</f>
        <v>#DIV/0!</v>
      </c>
      <c r="BN19" s="250" t="e">
        <f>V19/'D4 Gallon Forecast'!V19</f>
        <v>#DIV/0!</v>
      </c>
      <c r="BO19" s="250" t="e">
        <f>W19/'D4 Gallon Forecast'!W19</f>
        <v>#DIV/0!</v>
      </c>
      <c r="BP19" s="250" t="e">
        <f>X19/'D4 Gallon Forecast'!X19</f>
        <v>#DIV/0!</v>
      </c>
      <c r="BQ19" s="250" t="e">
        <f>Y19/'D4 Gallon Forecast'!Y19</f>
        <v>#DIV/0!</v>
      </c>
      <c r="BR19" s="250" t="e">
        <f>Z19/'D4 Gallon Forecast'!Z19</f>
        <v>#DIV/0!</v>
      </c>
      <c r="BS19" s="250" t="e">
        <f>AA19/'D4 Gallon Forecast'!AA19</f>
        <v>#DIV/0!</v>
      </c>
      <c r="BT19" s="250" t="e">
        <f>AB19/'D4 Gallon Forecast'!AB19</f>
        <v>#DIV/0!</v>
      </c>
      <c r="BU19" s="250" t="e">
        <f>AC19/'D4 Gallon Forecast'!AC19</f>
        <v>#DIV/0!</v>
      </c>
      <c r="BV19" s="250" t="e">
        <f>AD19/'D4 Gallon Forecast'!AD19</f>
        <v>#DIV/0!</v>
      </c>
      <c r="BW19" s="250" t="e">
        <f>AE19/'D4 Gallon Forecast'!AE19</f>
        <v>#DIV/0!</v>
      </c>
      <c r="BX19" s="250" t="e">
        <f>AF19/'D4 Gallon Forecast'!AF19</f>
        <v>#DIV/0!</v>
      </c>
      <c r="BY19" s="250" t="e">
        <f>AG19/'D4 Gallon Forecast'!AG19</f>
        <v>#DIV/0!</v>
      </c>
      <c r="BZ19" s="250" t="e">
        <f>AH19/'D4 Gallon Forecast'!AH19</f>
        <v>#DIV/0!</v>
      </c>
      <c r="CA19" s="250" t="e">
        <f>AI19/'D4 Gallon Forecast'!AI19</f>
        <v>#DIV/0!</v>
      </c>
      <c r="CB19" s="250" t="e">
        <f>AJ19/'D4 Gallon Forecast'!AJ19</f>
        <v>#DIV/0!</v>
      </c>
      <c r="CC19" s="250" t="e">
        <f>AK19/'D4 Gallon Forecast'!AK19</f>
        <v>#DIV/0!</v>
      </c>
      <c r="CD19" s="250" t="e">
        <f>AL19/'D4 Gallon Forecast'!AL19</f>
        <v>#DIV/0!</v>
      </c>
      <c r="CE19" s="250" t="e">
        <f>AM19/'D4 Gallon Forecast'!AM19</f>
        <v>#DIV/0!</v>
      </c>
      <c r="CF19" s="250" t="e">
        <f>AN19/'D4 Gallon Forecast'!AN19</f>
        <v>#DIV/0!</v>
      </c>
      <c r="CG19" s="250" t="e">
        <f>AO19/'D4 Gallon Forecast'!AO19</f>
        <v>#DIV/0!</v>
      </c>
      <c r="CH19" s="250" t="e">
        <f>AP19/'D4 Gallon Forecast'!AP19</f>
        <v>#DIV/0!</v>
      </c>
    </row>
    <row r="20" spans="1:86">
      <c r="A20" s="245" t="s">
        <v>287</v>
      </c>
      <c r="B20" s="248">
        <f t="shared" ref="B20:AP20" si="35">SUM(B21,B24)</f>
        <v>0</v>
      </c>
      <c r="C20" s="248">
        <f t="shared" si="35"/>
        <v>0</v>
      </c>
      <c r="D20" s="248">
        <f t="shared" si="35"/>
        <v>0</v>
      </c>
      <c r="E20" s="248">
        <f t="shared" si="35"/>
        <v>0</v>
      </c>
      <c r="F20" s="248">
        <f t="shared" si="35"/>
        <v>0</v>
      </c>
      <c r="G20" s="248">
        <f t="shared" si="35"/>
        <v>0</v>
      </c>
      <c r="H20" s="248">
        <f t="shared" si="35"/>
        <v>1253834</v>
      </c>
      <c r="I20" s="248">
        <f t="shared" si="35"/>
        <v>2737627</v>
      </c>
      <c r="J20" s="248">
        <f t="shared" si="35"/>
        <v>2925086</v>
      </c>
      <c r="K20" s="248">
        <f t="shared" si="35"/>
        <v>3885925</v>
      </c>
      <c r="L20" s="248">
        <f t="shared" si="35"/>
        <v>7373440</v>
      </c>
      <c r="M20" s="248">
        <f t="shared" si="35"/>
        <v>8122598</v>
      </c>
      <c r="N20" s="248">
        <f t="shared" si="35"/>
        <v>25311805</v>
      </c>
      <c r="O20" s="248">
        <f>SUM(O21,O24)</f>
        <v>39159653</v>
      </c>
      <c r="P20" s="249">
        <f t="shared" si="35"/>
        <v>178913906</v>
      </c>
      <c r="Q20" s="248">
        <f t="shared" si="35"/>
        <v>319271815.82309878</v>
      </c>
      <c r="R20" s="248">
        <f t="shared" si="35"/>
        <v>811157713.79563105</v>
      </c>
      <c r="S20" s="248">
        <f t="shared" si="35"/>
        <v>2226042042.2034035</v>
      </c>
      <c r="T20" s="248">
        <f t="shared" si="35"/>
        <v>2916695110.8359966</v>
      </c>
      <c r="U20" s="248">
        <f t="shared" si="35"/>
        <v>3801491665.3740807</v>
      </c>
      <c r="V20" s="248">
        <f t="shared" si="35"/>
        <v>5138152140.5466824</v>
      </c>
      <c r="W20" s="248">
        <f t="shared" si="35"/>
        <v>5942398259.7188044</v>
      </c>
      <c r="X20" s="248">
        <f t="shared" si="35"/>
        <v>7444497452.3232536</v>
      </c>
      <c r="Y20" s="248">
        <f t="shared" si="35"/>
        <v>7775093936.6367855</v>
      </c>
      <c r="Z20" s="248">
        <f t="shared" si="35"/>
        <v>8451119543.4903564</v>
      </c>
      <c r="AA20" s="248">
        <f t="shared" si="35"/>
        <v>8828827979.3486595</v>
      </c>
      <c r="AB20" s="248">
        <f t="shared" si="35"/>
        <v>6825822291.2597628</v>
      </c>
      <c r="AC20" s="248">
        <f t="shared" si="35"/>
        <v>7433136967.5910187</v>
      </c>
      <c r="AD20" s="248">
        <f t="shared" si="35"/>
        <v>8349482040.6464491</v>
      </c>
      <c r="AE20" s="248">
        <f t="shared" si="35"/>
        <v>8326145103.950263</v>
      </c>
      <c r="AF20" s="248">
        <f t="shared" si="35"/>
        <v>8272276242.0645161</v>
      </c>
      <c r="AG20" s="248">
        <f t="shared" si="35"/>
        <v>8627750134.2563095</v>
      </c>
      <c r="AH20" s="248">
        <f t="shared" si="35"/>
        <v>8907445041.0885601</v>
      </c>
      <c r="AI20" s="248">
        <f t="shared" si="35"/>
        <v>9112152242.4401302</v>
      </c>
      <c r="AJ20" s="248">
        <f t="shared" si="35"/>
        <v>9216221244.3807487</v>
      </c>
      <c r="AK20" s="248">
        <f t="shared" si="35"/>
        <v>9490043077.8764954</v>
      </c>
      <c r="AL20" s="248">
        <f t="shared" si="35"/>
        <v>10009659582.555069</v>
      </c>
      <c r="AM20" s="248">
        <f t="shared" si="35"/>
        <v>10371096590.410646</v>
      </c>
      <c r="AN20" s="248">
        <f t="shared" si="35"/>
        <v>10382954489.553921</v>
      </c>
      <c r="AO20" s="248">
        <f t="shared" si="35"/>
        <v>10365596776.680565</v>
      </c>
      <c r="AP20" s="248">
        <f t="shared" si="35"/>
        <v>10609277373.519331</v>
      </c>
      <c r="AQ20" s="248"/>
      <c r="AR20" s="245"/>
      <c r="AT20" s="40" t="e">
        <f>B20/'D4 Gallon Forecast'!B20</f>
        <v>#DIV/0!</v>
      </c>
      <c r="AU20" s="40" t="e">
        <f>C20/'D4 Gallon Forecast'!C20</f>
        <v>#DIV/0!</v>
      </c>
      <c r="AV20" s="40" t="e">
        <f>D20/'D4 Gallon Forecast'!D20</f>
        <v>#DIV/0!</v>
      </c>
      <c r="AW20" s="40" t="e">
        <f>E20/'D4 Gallon Forecast'!E20</f>
        <v>#DIV/0!</v>
      </c>
      <c r="AX20" s="40" t="e">
        <f>F20/'D4 Gallon Forecast'!F20</f>
        <v>#DIV/0!</v>
      </c>
      <c r="AY20" s="40" t="e">
        <f>G20/'D4 Gallon Forecast'!G20</f>
        <v>#DIV/0!</v>
      </c>
      <c r="AZ20" s="40">
        <f>H20/'D4 Gallon Forecast'!H20</f>
        <v>1.6000005104345585</v>
      </c>
      <c r="BA20" s="250">
        <f>I20/'D4 Gallon Forecast'!I20</f>
        <v>1.5999998831104543</v>
      </c>
      <c r="BB20" s="250">
        <f>J20/'D4 Gallon Forecast'!J20</f>
        <v>1.6000006563912266</v>
      </c>
      <c r="BC20" s="250">
        <f>K20/'D4 Gallon Forecast'!K20</f>
        <v>1.6000007411366235</v>
      </c>
      <c r="BD20" s="250">
        <f>L20/'D4 Gallon Forecast'!L20</f>
        <v>1.6000003471921593</v>
      </c>
      <c r="BE20" s="250">
        <f>M20/'D4 Gallon Forecast'!M20</f>
        <v>1.6000002363776078</v>
      </c>
      <c r="BF20" s="250">
        <f>N20/'D4 Gallon Forecast'!N20</f>
        <v>1.6000001137809099</v>
      </c>
      <c r="BG20" s="250">
        <f>O20/'D4 Gallon Forecast'!O20</f>
        <v>1.5999996159313161</v>
      </c>
      <c r="BH20" s="250">
        <f>P20/'D4 Gallon Forecast'!P20</f>
        <v>1.6000000608113738</v>
      </c>
      <c r="BI20" s="250">
        <f>Q20/'D4 Gallon Forecast'!Q20</f>
        <v>1.600000281549397</v>
      </c>
      <c r="BJ20" s="250">
        <f>R20/'D4 Gallon Forecast'!R20</f>
        <v>1.6000003900962043</v>
      </c>
      <c r="BK20" s="250">
        <f>S20/'D4 Gallon Forecast'!S20</f>
        <v>1.6000004026648207</v>
      </c>
      <c r="BL20" s="250">
        <f>T20/'D4 Gallon Forecast'!T20</f>
        <v>1.6000004026648205</v>
      </c>
      <c r="BM20" s="250">
        <f>U20/'D4 Gallon Forecast'!U20</f>
        <v>1.6000004039878324</v>
      </c>
      <c r="BN20" s="250">
        <f>V20/'D4 Gallon Forecast'!V20</f>
        <v>1.600000391216609</v>
      </c>
      <c r="BO20" s="250">
        <f>W20/'D4 Gallon Forecast'!W20</f>
        <v>1.6000004029577088</v>
      </c>
      <c r="BP20" s="250">
        <f>X20/'D4 Gallon Forecast'!X20</f>
        <v>1.600000405882795</v>
      </c>
      <c r="BQ20" s="250">
        <f>Y20/'D4 Gallon Forecast'!Y20</f>
        <v>1.6000004055075463</v>
      </c>
      <c r="BR20" s="250">
        <f>Z20/'D4 Gallon Forecast'!Z20</f>
        <v>1.6000004048457204</v>
      </c>
      <c r="BS20" s="250">
        <f>AA20/'D4 Gallon Forecast'!AA20</f>
        <v>1.6000004040989115</v>
      </c>
      <c r="BT20" s="250">
        <f>AB20/'D4 Gallon Forecast'!AB20</f>
        <v>1.6000004037702387</v>
      </c>
      <c r="BU20" s="250">
        <f>AC20/'D4 Gallon Forecast'!AC20</f>
        <v>1.6000004043470943</v>
      </c>
      <c r="BV20" s="250">
        <f>AD20/'D4 Gallon Forecast'!AD20</f>
        <v>1.6000004049624703</v>
      </c>
      <c r="BW20" s="250">
        <f>AE20/'D4 Gallon Forecast'!AE20</f>
        <v>1.6000004056471053</v>
      </c>
      <c r="BX20" s="250">
        <f>AF20/'D4 Gallon Forecast'!AF20</f>
        <v>1.6000004059675093</v>
      </c>
      <c r="BY20" s="250">
        <f>AG20/'D4 Gallon Forecast'!AG20</f>
        <v>1.6000004062792927</v>
      </c>
      <c r="BZ20" s="250">
        <f>AH20/'D4 Gallon Forecast'!AH20</f>
        <v>1.6000004062198954</v>
      </c>
      <c r="CA20" s="250">
        <f>AI20/'D4 Gallon Forecast'!AI20</f>
        <v>1.6000004061896178</v>
      </c>
      <c r="CB20" s="250">
        <f>AJ20/'D4 Gallon Forecast'!AJ20</f>
        <v>1.600000406185683</v>
      </c>
      <c r="CC20" s="250">
        <f>AK20/'D4 Gallon Forecast'!AK20</f>
        <v>1.6000004061997122</v>
      </c>
      <c r="CD20" s="250">
        <f>AL20/'D4 Gallon Forecast'!AL20</f>
        <v>1.6000004062148543</v>
      </c>
      <c r="CE20" s="250">
        <f>AM20/'D4 Gallon Forecast'!AM20</f>
        <v>1.6000004062019539</v>
      </c>
      <c r="CF20" s="250">
        <f>AN20/'D4 Gallon Forecast'!AN20</f>
        <v>1.6000004061983626</v>
      </c>
      <c r="CG20" s="250">
        <f>AO20/'D4 Gallon Forecast'!AO20</f>
        <v>1.6000004062001127</v>
      </c>
      <c r="CH20" s="250">
        <f>AP20/'D4 Gallon Forecast'!AP20</f>
        <v>1.6000004062029993</v>
      </c>
    </row>
    <row r="21" spans="1:86">
      <c r="A21" s="40" t="s">
        <v>224</v>
      </c>
      <c r="B21" s="251">
        <f>B22+B23</f>
        <v>0</v>
      </c>
      <c r="C21" s="251">
        <f t="shared" ref="C21:AP21" si="36">C22+C23</f>
        <v>0</v>
      </c>
      <c r="D21" s="251">
        <f t="shared" si="36"/>
        <v>0</v>
      </c>
      <c r="E21" s="251">
        <f t="shared" si="36"/>
        <v>0</v>
      </c>
      <c r="F21" s="251">
        <f t="shared" si="36"/>
        <v>0</v>
      </c>
      <c r="G21" s="251">
        <f t="shared" si="36"/>
        <v>0</v>
      </c>
      <c r="H21" s="251">
        <f t="shared" si="36"/>
        <v>1253834</v>
      </c>
      <c r="I21" s="251">
        <f t="shared" si="36"/>
        <v>2737627</v>
      </c>
      <c r="J21" s="251">
        <f t="shared" si="36"/>
        <v>2925086</v>
      </c>
      <c r="K21" s="251">
        <f t="shared" si="36"/>
        <v>3885925</v>
      </c>
      <c r="L21" s="251">
        <f t="shared" si="36"/>
        <v>7373440</v>
      </c>
      <c r="M21" s="251">
        <f t="shared" si="36"/>
        <v>8122598</v>
      </c>
      <c r="N21" s="251">
        <f t="shared" si="36"/>
        <v>12629020</v>
      </c>
      <c r="O21" s="251">
        <f>O22+O23</f>
        <v>19505266</v>
      </c>
      <c r="P21" s="251">
        <f t="shared" si="36"/>
        <v>61873238</v>
      </c>
      <c r="Q21" s="251">
        <f t="shared" si="36"/>
        <v>223271810.27852371</v>
      </c>
      <c r="R21" s="251">
        <f t="shared" si="36"/>
        <v>737416115.61521435</v>
      </c>
      <c r="S21" s="251">
        <f t="shared" si="36"/>
        <v>2120040058.5128167</v>
      </c>
      <c r="T21" s="251">
        <f t="shared" si="36"/>
        <v>2777804891.4656472</v>
      </c>
      <c r="U21" s="251">
        <f t="shared" si="36"/>
        <v>3637791095.7694588</v>
      </c>
      <c r="V21" s="251">
        <f t="shared" si="36"/>
        <v>4916892045.237257</v>
      </c>
      <c r="W21" s="251">
        <f t="shared" si="36"/>
        <v>5741447634.7956886</v>
      </c>
      <c r="X21" s="251">
        <f t="shared" si="36"/>
        <v>7262924380.1985302</v>
      </c>
      <c r="Y21" s="251">
        <f t="shared" si="36"/>
        <v>7585457536.5846472</v>
      </c>
      <c r="Z21" s="251">
        <f t="shared" si="36"/>
        <v>8244994717.4845123</v>
      </c>
      <c r="AA21" s="251">
        <f t="shared" si="36"/>
        <v>8613490754.3267784</v>
      </c>
      <c r="AB21" s="251">
        <f t="shared" si="36"/>
        <v>6627011972.726223</v>
      </c>
      <c r="AC21" s="251">
        <f t="shared" si="36"/>
        <v>7234196601.6573105</v>
      </c>
      <c r="AD21" s="251">
        <f t="shared" si="36"/>
        <v>8145836177.7459717</v>
      </c>
      <c r="AE21" s="251">
        <f t="shared" si="36"/>
        <v>8142929233.5612993</v>
      </c>
      <c r="AF21" s="251">
        <f t="shared" si="36"/>
        <v>8098165714.7108603</v>
      </c>
      <c r="AG21" s="251">
        <f t="shared" si="36"/>
        <v>8450293996.5417337</v>
      </c>
      <c r="AH21" s="251">
        <f t="shared" si="36"/>
        <v>8724236119.9491653</v>
      </c>
      <c r="AI21" s="251">
        <f t="shared" si="36"/>
        <v>8924732889.9852467</v>
      </c>
      <c r="AJ21" s="251">
        <f t="shared" si="36"/>
        <v>9026661393.7823391</v>
      </c>
      <c r="AK21" s="251">
        <f t="shared" si="36"/>
        <v>9294851241.6241264</v>
      </c>
      <c r="AL21" s="251">
        <f t="shared" si="36"/>
        <v>9803780239.5290852</v>
      </c>
      <c r="AM21" s="251">
        <f t="shared" si="36"/>
        <v>10157783187.002678</v>
      </c>
      <c r="AN21" s="251">
        <f t="shared" si="36"/>
        <v>10169397192.088419</v>
      </c>
      <c r="AO21" s="251">
        <f t="shared" si="36"/>
        <v>10152396493.806389</v>
      </c>
      <c r="AP21" s="251">
        <f t="shared" si="36"/>
        <v>10391065051.947126</v>
      </c>
      <c r="AQ21" s="251"/>
      <c r="AR21" s="245"/>
      <c r="AT21" s="40" t="e">
        <f>B21/'D4 Gallon Forecast'!B21</f>
        <v>#DIV/0!</v>
      </c>
      <c r="AU21" s="40" t="e">
        <f>C21/'D4 Gallon Forecast'!C21</f>
        <v>#DIV/0!</v>
      </c>
      <c r="AV21" s="40" t="e">
        <f>D21/'D4 Gallon Forecast'!D21</f>
        <v>#DIV/0!</v>
      </c>
      <c r="AW21" s="40" t="e">
        <f>E21/'D4 Gallon Forecast'!E21</f>
        <v>#DIV/0!</v>
      </c>
      <c r="AX21" s="40" t="e">
        <f>F21/'D4 Gallon Forecast'!F21</f>
        <v>#DIV/0!</v>
      </c>
      <c r="AY21" s="40" t="e">
        <f>G21/'D4 Gallon Forecast'!G21</f>
        <v>#DIV/0!</v>
      </c>
      <c r="AZ21" s="40">
        <f>H21/'D4 Gallon Forecast'!H21</f>
        <v>1.6000005104345585</v>
      </c>
      <c r="BA21" s="250">
        <f>I21/'D4 Gallon Forecast'!I21</f>
        <v>1.5999998831104543</v>
      </c>
      <c r="BB21" s="250">
        <f>J21/'D4 Gallon Forecast'!J21</f>
        <v>1.6000006563912266</v>
      </c>
      <c r="BC21" s="250">
        <f>K21/'D4 Gallon Forecast'!K21</f>
        <v>1.6000007411366235</v>
      </c>
      <c r="BD21" s="250">
        <f>L21/'D4 Gallon Forecast'!L21</f>
        <v>1.6000003471921593</v>
      </c>
      <c r="BE21" s="250">
        <f>M21/'D4 Gallon Forecast'!M21</f>
        <v>1.6000002363776078</v>
      </c>
      <c r="BF21" s="250">
        <f>N21/'D4 Gallon Forecast'!N21</f>
        <v>1.6000001013538723</v>
      </c>
      <c r="BG21" s="250">
        <f>O21/'D4 Gallon Forecast'!O21</f>
        <v>1.5999992453323602</v>
      </c>
      <c r="BH21" s="250">
        <f>P21/'D4 Gallon Forecast'!P21</f>
        <v>1.6000001551559486</v>
      </c>
      <c r="BI21" s="250">
        <f>Q21/'D4 Gallon Forecast'!Q21</f>
        <v>1.6000003628737078</v>
      </c>
      <c r="BJ21" s="250">
        <f>R21/'D4 Gallon Forecast'!R21</f>
        <v>1.6000004164902981</v>
      </c>
      <c r="BK21" s="250">
        <f>S21/'D4 Gallon Forecast'!S21</f>
        <v>1.6000004164902981</v>
      </c>
      <c r="BL21" s="250">
        <f>T21/'D4 Gallon Forecast'!T21</f>
        <v>1.6000004164902979</v>
      </c>
      <c r="BM21" s="250">
        <f>U21/'D4 Gallon Forecast'!U21</f>
        <v>1.6000004164902979</v>
      </c>
      <c r="BN21" s="250">
        <f>V21/'D4 Gallon Forecast'!V21</f>
        <v>1.6000004057669801</v>
      </c>
      <c r="BO21" s="250">
        <f>W21/'D4 Gallon Forecast'!W21</f>
        <v>1.6000004143456348</v>
      </c>
      <c r="BP21" s="250">
        <f>X21/'D4 Gallon Forecast'!X21</f>
        <v>1.6000004139167019</v>
      </c>
      <c r="BQ21" s="250">
        <f>Y21/'D4 Gallon Forecast'!Y21</f>
        <v>1.6000004134019823</v>
      </c>
      <c r="BR21" s="250">
        <f>Z21/'D4 Gallon Forecast'!Z21</f>
        <v>1.600000412784319</v>
      </c>
      <c r="BS21" s="250">
        <f>AA21/'D4 Gallon Forecast'!AA21</f>
        <v>1.6000004120431233</v>
      </c>
      <c r="BT21" s="250">
        <f>AB21/'D4 Gallon Forecast'!AB21</f>
        <v>1.6000004132983523</v>
      </c>
      <c r="BU21" s="250">
        <f>AC21/'D4 Gallon Forecast'!AC21</f>
        <v>1.6000004130888956</v>
      </c>
      <c r="BV21" s="250">
        <f>AD21/'D4 Gallon Forecast'!AD21</f>
        <v>1.6000004129233345</v>
      </c>
      <c r="BW21" s="250">
        <f>AE21/'D4 Gallon Forecast'!AE21</f>
        <v>1.6000004128276049</v>
      </c>
      <c r="BX21" s="250">
        <f>AF21/'D4 Gallon Forecast'!AF21</f>
        <v>1.6000004128362619</v>
      </c>
      <c r="BY21" s="250">
        <f>AG21/'D4 Gallon Forecast'!AG21</f>
        <v>1.6000004129948899</v>
      </c>
      <c r="BZ21" s="250">
        <f>AH21/'D4 Gallon Forecast'!AH21</f>
        <v>1.6000004129341974</v>
      </c>
      <c r="CA21" s="250">
        <f>AI21/'D4 Gallon Forecast'!AI21</f>
        <v>1.6000004129032575</v>
      </c>
      <c r="CB21" s="250">
        <f>AJ21/'D4 Gallon Forecast'!AJ21</f>
        <v>1.6000004128992422</v>
      </c>
      <c r="CC21" s="250">
        <f>AK21/'D4 Gallon Forecast'!AK21</f>
        <v>1.6000004129135696</v>
      </c>
      <c r="CD21" s="250">
        <f>AL21/'D4 Gallon Forecast'!AL21</f>
        <v>1.6000004129290306</v>
      </c>
      <c r="CE21" s="250">
        <f>AM21/'D4 Gallon Forecast'!AM21</f>
        <v>1.6000004129158591</v>
      </c>
      <c r="CF21" s="250">
        <f>AN21/'D4 Gallon Forecast'!AN21</f>
        <v>1.6000004129121921</v>
      </c>
      <c r="CG21" s="250">
        <f>AO21/'D4 Gallon Forecast'!AO21</f>
        <v>1.6000004129139791</v>
      </c>
      <c r="CH21" s="250">
        <f>AP21/'D4 Gallon Forecast'!AP21</f>
        <v>1.6000004129169265</v>
      </c>
    </row>
    <row r="22" spans="1:86">
      <c r="A22" s="40" t="s">
        <v>285</v>
      </c>
      <c r="B22" s="251">
        <f>B367</f>
        <v>0</v>
      </c>
      <c r="C22" s="251">
        <f t="shared" ref="C22:AP22" si="37">C367</f>
        <v>0</v>
      </c>
      <c r="D22" s="251">
        <f t="shared" si="37"/>
        <v>0</v>
      </c>
      <c r="E22" s="251">
        <f t="shared" si="37"/>
        <v>0</v>
      </c>
      <c r="F22" s="251">
        <f t="shared" si="37"/>
        <v>0</v>
      </c>
      <c r="G22" s="251">
        <f t="shared" si="37"/>
        <v>0</v>
      </c>
      <c r="H22" s="251">
        <f t="shared" si="37"/>
        <v>1253834</v>
      </c>
      <c r="I22" s="251">
        <f t="shared" si="37"/>
        <v>2737627</v>
      </c>
      <c r="J22" s="251">
        <f t="shared" si="37"/>
        <v>2925086</v>
      </c>
      <c r="K22" s="251">
        <f t="shared" si="37"/>
        <v>3885925</v>
      </c>
      <c r="L22" s="251">
        <f t="shared" si="37"/>
        <v>7373440</v>
      </c>
      <c r="M22" s="251">
        <f t="shared" si="37"/>
        <v>8122598</v>
      </c>
      <c r="N22" s="251">
        <f t="shared" si="37"/>
        <v>12629020</v>
      </c>
      <c r="O22" s="251">
        <f>O367</f>
        <v>19505266</v>
      </c>
      <c r="P22" s="251">
        <f t="shared" si="37"/>
        <v>61873238</v>
      </c>
      <c r="Q22" s="251">
        <f t="shared" si="37"/>
        <v>223271810.27852371</v>
      </c>
      <c r="R22" s="251">
        <f t="shared" si="37"/>
        <v>737416115.61521435</v>
      </c>
      <c r="S22" s="251">
        <f t="shared" si="37"/>
        <v>2120040058.5128167</v>
      </c>
      <c r="T22" s="251">
        <f t="shared" si="37"/>
        <v>2777804891.4656472</v>
      </c>
      <c r="U22" s="251">
        <f t="shared" si="37"/>
        <v>3637791095.7694588</v>
      </c>
      <c r="V22" s="251">
        <f t="shared" si="37"/>
        <v>4916892045.237257</v>
      </c>
      <c r="W22" s="251">
        <f t="shared" si="37"/>
        <v>5741447634.7956886</v>
      </c>
      <c r="X22" s="251">
        <f t="shared" si="37"/>
        <v>7262924380.1985302</v>
      </c>
      <c r="Y22" s="251">
        <f t="shared" si="37"/>
        <v>7585457536.5846472</v>
      </c>
      <c r="Z22" s="251">
        <f t="shared" si="37"/>
        <v>8244994717.4845123</v>
      </c>
      <c r="AA22" s="251">
        <f t="shared" si="37"/>
        <v>8613490754.3267784</v>
      </c>
      <c r="AB22" s="251">
        <f t="shared" si="37"/>
        <v>6627011972.726223</v>
      </c>
      <c r="AC22" s="251">
        <f t="shared" si="37"/>
        <v>7234196601.6573105</v>
      </c>
      <c r="AD22" s="251">
        <f t="shared" si="37"/>
        <v>8145836177.7459717</v>
      </c>
      <c r="AE22" s="251">
        <f t="shared" si="37"/>
        <v>8142929233.5612993</v>
      </c>
      <c r="AF22" s="251">
        <f t="shared" si="37"/>
        <v>8098165714.7108603</v>
      </c>
      <c r="AG22" s="251">
        <f t="shared" si="37"/>
        <v>8450293996.5417337</v>
      </c>
      <c r="AH22" s="251">
        <f t="shared" si="37"/>
        <v>8724236119.9491653</v>
      </c>
      <c r="AI22" s="251">
        <f t="shared" si="37"/>
        <v>8924732889.9852467</v>
      </c>
      <c r="AJ22" s="251">
        <f t="shared" si="37"/>
        <v>9026661393.7823391</v>
      </c>
      <c r="AK22" s="251">
        <f t="shared" si="37"/>
        <v>9294851241.6241264</v>
      </c>
      <c r="AL22" s="251">
        <f t="shared" si="37"/>
        <v>9803780239.5290852</v>
      </c>
      <c r="AM22" s="251">
        <f t="shared" si="37"/>
        <v>10157783187.002678</v>
      </c>
      <c r="AN22" s="251">
        <f t="shared" si="37"/>
        <v>10169397192.088419</v>
      </c>
      <c r="AO22" s="251">
        <f t="shared" si="37"/>
        <v>10152396493.806389</v>
      </c>
      <c r="AP22" s="251">
        <f t="shared" si="37"/>
        <v>10391065051.947126</v>
      </c>
      <c r="AQ22" s="251"/>
      <c r="AR22" s="245"/>
      <c r="BA22" s="250">
        <f>I22/'D4 Gallon Forecast'!I22</f>
        <v>1.5999998831104543</v>
      </c>
      <c r="BB22" s="250">
        <f>J22/'D4 Gallon Forecast'!J22</f>
        <v>1.6000006563912266</v>
      </c>
      <c r="BC22" s="250">
        <f>K22/'D4 Gallon Forecast'!K22</f>
        <v>1.6000007411366235</v>
      </c>
      <c r="BD22" s="250">
        <f>L22/'D4 Gallon Forecast'!L22</f>
        <v>1.6000003471921593</v>
      </c>
      <c r="BE22" s="250">
        <f>M22/'D4 Gallon Forecast'!M22</f>
        <v>1.6000002363776078</v>
      </c>
      <c r="BF22" s="250">
        <f>N22/'D4 Gallon Forecast'!N22</f>
        <v>1.6000001013538723</v>
      </c>
      <c r="BG22" s="250">
        <f>O22/'D4 Gallon Forecast'!O22</f>
        <v>1.5999992453323602</v>
      </c>
      <c r="BH22" s="250">
        <f>P22/'D4 Gallon Forecast'!P22</f>
        <v>1.6000001551559486</v>
      </c>
      <c r="BI22" s="250">
        <f>Q22/'D4 Gallon Forecast'!Q22</f>
        <v>1.6000003628737078</v>
      </c>
      <c r="BJ22" s="250">
        <f>R22/'D4 Gallon Forecast'!R22</f>
        <v>1.6000004164902981</v>
      </c>
      <c r="BK22" s="250">
        <f>S22/'D4 Gallon Forecast'!S22</f>
        <v>1.6000004164902981</v>
      </c>
      <c r="BL22" s="250">
        <f>T22/'D4 Gallon Forecast'!T22</f>
        <v>1.6000004164902979</v>
      </c>
      <c r="BM22" s="250">
        <f>U22/'D4 Gallon Forecast'!U22</f>
        <v>1.6000004164902979</v>
      </c>
      <c r="BN22" s="250">
        <f>V22/'D4 Gallon Forecast'!V22</f>
        <v>1.6000004057669801</v>
      </c>
      <c r="BO22" s="250">
        <f>W22/'D4 Gallon Forecast'!W22</f>
        <v>1.6000004143456348</v>
      </c>
      <c r="BP22" s="250">
        <f>X22/'D4 Gallon Forecast'!X22</f>
        <v>1.6000004139167019</v>
      </c>
      <c r="BQ22" s="250">
        <f>Y22/'D4 Gallon Forecast'!Y22</f>
        <v>1.6000004134019823</v>
      </c>
      <c r="BR22" s="250">
        <f>Z22/'D4 Gallon Forecast'!Z22</f>
        <v>1.600000412784319</v>
      </c>
      <c r="BS22" s="250">
        <f>AA22/'D4 Gallon Forecast'!AA22</f>
        <v>1.6000004120431233</v>
      </c>
      <c r="BT22" s="250">
        <f>AB22/'D4 Gallon Forecast'!AB22</f>
        <v>1.6000004132983523</v>
      </c>
      <c r="BU22" s="250">
        <f>AC22/'D4 Gallon Forecast'!AC22</f>
        <v>1.6000004130888956</v>
      </c>
      <c r="BV22" s="250">
        <f>AD22/'D4 Gallon Forecast'!AD22</f>
        <v>1.6000004129233345</v>
      </c>
      <c r="BW22" s="250">
        <f>AE22/'D4 Gallon Forecast'!AE22</f>
        <v>1.6000004128276049</v>
      </c>
      <c r="BX22" s="250">
        <f>AF22/'D4 Gallon Forecast'!AF22</f>
        <v>1.6000004128362619</v>
      </c>
      <c r="BY22" s="250">
        <f>AG22/'D4 Gallon Forecast'!AG22</f>
        <v>1.6000004129948899</v>
      </c>
      <c r="BZ22" s="250">
        <f>AH22/'D4 Gallon Forecast'!AH22</f>
        <v>1.6000004129341974</v>
      </c>
      <c r="CA22" s="250">
        <f>AI22/'D4 Gallon Forecast'!AI22</f>
        <v>1.6000004129032575</v>
      </c>
      <c r="CB22" s="250">
        <f>AJ22/'D4 Gallon Forecast'!AJ22</f>
        <v>1.6000004128992422</v>
      </c>
      <c r="CC22" s="250">
        <f>AK22/'D4 Gallon Forecast'!AK22</f>
        <v>1.6000004129135696</v>
      </c>
      <c r="CD22" s="250">
        <f>AL22/'D4 Gallon Forecast'!AL22</f>
        <v>1.6000004129290306</v>
      </c>
      <c r="CE22" s="250">
        <f>AM22/'D4 Gallon Forecast'!AM22</f>
        <v>1.6000004129158591</v>
      </c>
      <c r="CF22" s="250">
        <f>AN22/'D4 Gallon Forecast'!AN22</f>
        <v>1.6000004129121921</v>
      </c>
      <c r="CG22" s="250">
        <f>AO22/'D4 Gallon Forecast'!AO22</f>
        <v>1.6000004129139791</v>
      </c>
      <c r="CH22" s="250">
        <f>AP22/'D4 Gallon Forecast'!AP22</f>
        <v>1.6000004129169265</v>
      </c>
    </row>
    <row r="23" spans="1:86">
      <c r="A23" s="40" t="s">
        <v>288</v>
      </c>
      <c r="B23" s="42">
        <f t="shared" ref="B23:J23" si="38">B383</f>
        <v>0</v>
      </c>
      <c r="C23" s="42">
        <f t="shared" si="38"/>
        <v>0</v>
      </c>
      <c r="D23" s="42">
        <f t="shared" si="38"/>
        <v>0</v>
      </c>
      <c r="E23" s="42">
        <f t="shared" si="38"/>
        <v>0</v>
      </c>
      <c r="F23" s="42">
        <f t="shared" si="38"/>
        <v>0</v>
      </c>
      <c r="G23" s="42">
        <f t="shared" si="38"/>
        <v>0</v>
      </c>
      <c r="H23" s="42">
        <f t="shared" si="38"/>
        <v>0</v>
      </c>
      <c r="I23" s="42">
        <f t="shared" si="38"/>
        <v>0</v>
      </c>
      <c r="J23" s="42">
        <f t="shared" si="38"/>
        <v>0</v>
      </c>
      <c r="K23" s="42">
        <f>K383</f>
        <v>0</v>
      </c>
      <c r="L23" s="42">
        <f>L383</f>
        <v>0</v>
      </c>
      <c r="M23" s="42">
        <f>M383</f>
        <v>0</v>
      </c>
      <c r="N23" s="42">
        <f t="shared" ref="N23:AP23" si="39">N383</f>
        <v>0</v>
      </c>
      <c r="O23" s="42">
        <f>O383</f>
        <v>0</v>
      </c>
      <c r="P23" s="251">
        <f t="shared" si="39"/>
        <v>0</v>
      </c>
      <c r="Q23" s="42">
        <f t="shared" si="39"/>
        <v>0</v>
      </c>
      <c r="R23" s="42">
        <f t="shared" si="39"/>
        <v>0</v>
      </c>
      <c r="S23" s="42">
        <f t="shared" si="39"/>
        <v>0</v>
      </c>
      <c r="T23" s="42">
        <f t="shared" si="39"/>
        <v>0</v>
      </c>
      <c r="U23" s="42">
        <f t="shared" si="39"/>
        <v>0</v>
      </c>
      <c r="V23" s="42">
        <f t="shared" si="39"/>
        <v>0</v>
      </c>
      <c r="W23" s="42">
        <f t="shared" si="39"/>
        <v>0</v>
      </c>
      <c r="X23" s="42">
        <f t="shared" si="39"/>
        <v>0</v>
      </c>
      <c r="Y23" s="42">
        <f t="shared" si="39"/>
        <v>0</v>
      </c>
      <c r="Z23" s="42">
        <f t="shared" si="39"/>
        <v>0</v>
      </c>
      <c r="AA23" s="42">
        <f t="shared" si="39"/>
        <v>0</v>
      </c>
      <c r="AB23" s="42">
        <f t="shared" si="39"/>
        <v>0</v>
      </c>
      <c r="AC23" s="42">
        <f t="shared" si="39"/>
        <v>0</v>
      </c>
      <c r="AD23" s="42">
        <f t="shared" si="39"/>
        <v>0</v>
      </c>
      <c r="AE23" s="42">
        <f t="shared" si="39"/>
        <v>0</v>
      </c>
      <c r="AF23" s="42">
        <f t="shared" si="39"/>
        <v>0</v>
      </c>
      <c r="AG23" s="42">
        <f t="shared" si="39"/>
        <v>0</v>
      </c>
      <c r="AH23" s="42">
        <f t="shared" si="39"/>
        <v>0</v>
      </c>
      <c r="AI23" s="42">
        <f t="shared" si="39"/>
        <v>0</v>
      </c>
      <c r="AJ23" s="42">
        <f t="shared" si="39"/>
        <v>0</v>
      </c>
      <c r="AK23" s="42">
        <f t="shared" si="39"/>
        <v>0</v>
      </c>
      <c r="AL23" s="42">
        <f t="shared" si="39"/>
        <v>0</v>
      </c>
      <c r="AM23" s="42">
        <f t="shared" si="39"/>
        <v>0</v>
      </c>
      <c r="AN23" s="42">
        <f t="shared" si="39"/>
        <v>0</v>
      </c>
      <c r="AO23" s="42">
        <f t="shared" si="39"/>
        <v>0</v>
      </c>
      <c r="AP23" s="42">
        <f t="shared" si="39"/>
        <v>0</v>
      </c>
      <c r="AQ23" s="42"/>
      <c r="AR23" s="245"/>
      <c r="AT23" s="40" t="e">
        <f>B23/'D4 Gallon Forecast'!B22</f>
        <v>#DIV/0!</v>
      </c>
      <c r="AU23" s="40" t="e">
        <f>C23/'D4 Gallon Forecast'!C22</f>
        <v>#DIV/0!</v>
      </c>
      <c r="AV23" s="40" t="e">
        <f>D23/'D4 Gallon Forecast'!D22</f>
        <v>#DIV/0!</v>
      </c>
      <c r="AW23" s="40" t="e">
        <f>E23/'D4 Gallon Forecast'!E22</f>
        <v>#DIV/0!</v>
      </c>
      <c r="AX23" s="40" t="e">
        <f>F23/'D4 Gallon Forecast'!F22</f>
        <v>#DIV/0!</v>
      </c>
      <c r="AY23" s="40" t="e">
        <f>G23/'D4 Gallon Forecast'!G22</f>
        <v>#DIV/0!</v>
      </c>
      <c r="AZ23" s="40">
        <f>H23/'D4 Gallon Forecast'!H22</f>
        <v>0</v>
      </c>
      <c r="BA23" s="250" t="e">
        <f>I23/'D4 Gallon Forecast'!I23</f>
        <v>#DIV/0!</v>
      </c>
      <c r="BB23" s="250" t="e">
        <f>J23/'D4 Gallon Forecast'!J23</f>
        <v>#DIV/0!</v>
      </c>
      <c r="BC23" s="250" t="e">
        <f>K23/'D4 Gallon Forecast'!K23</f>
        <v>#DIV/0!</v>
      </c>
      <c r="BD23" s="250" t="e">
        <f>L23/'D4 Gallon Forecast'!L23</f>
        <v>#DIV/0!</v>
      </c>
      <c r="BE23" s="250" t="e">
        <f>M23/'D4 Gallon Forecast'!M23</f>
        <v>#DIV/0!</v>
      </c>
      <c r="BF23" s="250" t="e">
        <f>N23/'D4 Gallon Forecast'!N23</f>
        <v>#DIV/0!</v>
      </c>
      <c r="BG23" s="250" t="e">
        <f>O23/'D4 Gallon Forecast'!O23</f>
        <v>#DIV/0!</v>
      </c>
      <c r="BH23" s="250" t="e">
        <f>P23/'D4 Gallon Forecast'!P23</f>
        <v>#DIV/0!</v>
      </c>
      <c r="BI23" s="250" t="e">
        <f>Q23/'D4 Gallon Forecast'!Q23</f>
        <v>#DIV/0!</v>
      </c>
      <c r="BJ23" s="250" t="e">
        <f>R23/'D4 Gallon Forecast'!R23</f>
        <v>#DIV/0!</v>
      </c>
      <c r="BK23" s="250" t="e">
        <f>S23/'D4 Gallon Forecast'!S23</f>
        <v>#DIV/0!</v>
      </c>
      <c r="BL23" s="250" t="e">
        <f>T23/'D4 Gallon Forecast'!T23</f>
        <v>#DIV/0!</v>
      </c>
      <c r="BM23" s="250" t="e">
        <f>U23/'D4 Gallon Forecast'!U23</f>
        <v>#DIV/0!</v>
      </c>
      <c r="BN23" s="250" t="e">
        <f>V23/'D4 Gallon Forecast'!V23</f>
        <v>#DIV/0!</v>
      </c>
      <c r="BO23" s="250" t="e">
        <f>W23/'D4 Gallon Forecast'!W23</f>
        <v>#DIV/0!</v>
      </c>
      <c r="BP23" s="250" t="e">
        <f>X23/'D4 Gallon Forecast'!X23</f>
        <v>#DIV/0!</v>
      </c>
      <c r="BQ23" s="250" t="e">
        <f>Y23/'D4 Gallon Forecast'!Y23</f>
        <v>#DIV/0!</v>
      </c>
      <c r="BR23" s="250" t="e">
        <f>Z23/'D4 Gallon Forecast'!Z23</f>
        <v>#DIV/0!</v>
      </c>
      <c r="BS23" s="250" t="e">
        <f>AA23/'D4 Gallon Forecast'!AA23</f>
        <v>#DIV/0!</v>
      </c>
      <c r="BT23" s="250" t="e">
        <f>AB23/'D4 Gallon Forecast'!AB23</f>
        <v>#DIV/0!</v>
      </c>
      <c r="BU23" s="250" t="e">
        <f>AC23/'D4 Gallon Forecast'!AC23</f>
        <v>#DIV/0!</v>
      </c>
      <c r="BV23" s="250" t="e">
        <f>AD23/'D4 Gallon Forecast'!AD23</f>
        <v>#DIV/0!</v>
      </c>
      <c r="BW23" s="250" t="e">
        <f>AE23/'D4 Gallon Forecast'!AE23</f>
        <v>#DIV/0!</v>
      </c>
      <c r="BX23" s="250" t="e">
        <f>AF23/'D4 Gallon Forecast'!AF23</f>
        <v>#DIV/0!</v>
      </c>
      <c r="BY23" s="250" t="e">
        <f>AG23/'D4 Gallon Forecast'!AG23</f>
        <v>#DIV/0!</v>
      </c>
      <c r="BZ23" s="250" t="e">
        <f>AH23/'D4 Gallon Forecast'!AH23</f>
        <v>#DIV/0!</v>
      </c>
      <c r="CA23" s="250" t="e">
        <f>AI23/'D4 Gallon Forecast'!AI23</f>
        <v>#DIV/0!</v>
      </c>
      <c r="CB23" s="250" t="e">
        <f>AJ23/'D4 Gallon Forecast'!AJ23</f>
        <v>#DIV/0!</v>
      </c>
      <c r="CC23" s="250" t="e">
        <f>AK23/'D4 Gallon Forecast'!AK23</f>
        <v>#DIV/0!</v>
      </c>
      <c r="CD23" s="250" t="e">
        <f>AL23/'D4 Gallon Forecast'!AL23</f>
        <v>#DIV/0!</v>
      </c>
      <c r="CE23" s="250" t="e">
        <f>AM23/'D4 Gallon Forecast'!AM23</f>
        <v>#DIV/0!</v>
      </c>
      <c r="CF23" s="250" t="e">
        <f>AN23/'D4 Gallon Forecast'!AN23</f>
        <v>#DIV/0!</v>
      </c>
      <c r="CG23" s="250" t="e">
        <f>AO23/'D4 Gallon Forecast'!AO23</f>
        <v>#DIV/0!</v>
      </c>
      <c r="CH23" s="250" t="e">
        <f>AP23/'D4 Gallon Forecast'!AP23</f>
        <v>#DIV/0!</v>
      </c>
    </row>
    <row r="24" spans="1:86" ht="12" thickBot="1">
      <c r="A24" s="255" t="s">
        <v>282</v>
      </c>
      <c r="B24" s="261">
        <f>B415</f>
        <v>0</v>
      </c>
      <c r="C24" s="261">
        <f t="shared" ref="C24:N24" si="40">C415</f>
        <v>0</v>
      </c>
      <c r="D24" s="261">
        <f t="shared" si="40"/>
        <v>0</v>
      </c>
      <c r="E24" s="261">
        <f t="shared" si="40"/>
        <v>0</v>
      </c>
      <c r="F24" s="261">
        <f t="shared" si="40"/>
        <v>0</v>
      </c>
      <c r="G24" s="261">
        <f t="shared" si="40"/>
        <v>0</v>
      </c>
      <c r="H24" s="261">
        <f t="shared" si="40"/>
        <v>0</v>
      </c>
      <c r="I24" s="261">
        <f t="shared" si="40"/>
        <v>0</v>
      </c>
      <c r="J24" s="261">
        <f t="shared" si="40"/>
        <v>0</v>
      </c>
      <c r="K24" s="261">
        <f t="shared" si="40"/>
        <v>0</v>
      </c>
      <c r="L24" s="261">
        <f t="shared" si="40"/>
        <v>0</v>
      </c>
      <c r="M24" s="261">
        <f t="shared" si="40"/>
        <v>0</v>
      </c>
      <c r="N24" s="261">
        <f t="shared" si="40"/>
        <v>12682785</v>
      </c>
      <c r="O24" s="261">
        <f>O415</f>
        <v>19654387</v>
      </c>
      <c r="P24" s="262">
        <f t="shared" ref="P24:AP24" si="41">P415</f>
        <v>117040668</v>
      </c>
      <c r="Q24" s="261">
        <f t="shared" si="41"/>
        <v>96000005.54457505</v>
      </c>
      <c r="R24" s="261">
        <f t="shared" si="41"/>
        <v>73741598.180416718</v>
      </c>
      <c r="S24" s="261">
        <f t="shared" si="41"/>
        <v>106001983.69058657</v>
      </c>
      <c r="T24" s="261">
        <f t="shared" si="41"/>
        <v>138890219.37034923</v>
      </c>
      <c r="U24" s="261">
        <f t="shared" si="41"/>
        <v>163700569.60462174</v>
      </c>
      <c r="V24" s="261">
        <f t="shared" si="41"/>
        <v>221260095.30942494</v>
      </c>
      <c r="W24" s="261">
        <f t="shared" si="41"/>
        <v>200950624.92311573</v>
      </c>
      <c r="X24" s="261">
        <f t="shared" si="41"/>
        <v>181573072.12472364</v>
      </c>
      <c r="Y24" s="261">
        <f t="shared" si="41"/>
        <v>189636400.05213878</v>
      </c>
      <c r="Z24" s="261">
        <f t="shared" si="41"/>
        <v>206124826.00584447</v>
      </c>
      <c r="AA24" s="261">
        <f t="shared" si="41"/>
        <v>215337225.02188048</v>
      </c>
      <c r="AB24" s="261">
        <f t="shared" si="41"/>
        <v>198810318.53353965</v>
      </c>
      <c r="AC24" s="261">
        <f t="shared" si="41"/>
        <v>198940365.93370813</v>
      </c>
      <c r="AD24" s="261">
        <f t="shared" si="41"/>
        <v>203645862.90047735</v>
      </c>
      <c r="AE24" s="261">
        <f t="shared" si="41"/>
        <v>183215870.388964</v>
      </c>
      <c r="AF24" s="261">
        <f t="shared" si="41"/>
        <v>174110527.35365564</v>
      </c>
      <c r="AG24" s="261">
        <f t="shared" si="41"/>
        <v>177456137.71457565</v>
      </c>
      <c r="AH24" s="261">
        <f t="shared" si="41"/>
        <v>183208921.13939506</v>
      </c>
      <c r="AI24" s="261">
        <f t="shared" si="41"/>
        <v>187419352.45488289</v>
      </c>
      <c r="AJ24" s="261">
        <f t="shared" si="41"/>
        <v>189559850.59841001</v>
      </c>
      <c r="AK24" s="261">
        <f t="shared" si="41"/>
        <v>195191836.25236949</v>
      </c>
      <c r="AL24" s="261">
        <f t="shared" si="41"/>
        <v>205879343.02598426</v>
      </c>
      <c r="AM24" s="261">
        <f t="shared" si="41"/>
        <v>213313403.40796819</v>
      </c>
      <c r="AN24" s="261">
        <f t="shared" si="41"/>
        <v>213557297.4655014</v>
      </c>
      <c r="AO24" s="261">
        <f t="shared" si="41"/>
        <v>213200282.8741762</v>
      </c>
      <c r="AP24" s="261">
        <f t="shared" si="41"/>
        <v>218212321.57220551</v>
      </c>
      <c r="AQ24" s="42"/>
      <c r="AR24" s="245"/>
      <c r="AT24" s="40" t="e">
        <f>B24/'D4 Gallon Forecast'!B23</f>
        <v>#DIV/0!</v>
      </c>
      <c r="AU24" s="40" t="e">
        <f>C24/'D4 Gallon Forecast'!C23</f>
        <v>#DIV/0!</v>
      </c>
      <c r="AV24" s="40" t="e">
        <f>D24/'D4 Gallon Forecast'!D23</f>
        <v>#DIV/0!</v>
      </c>
      <c r="AW24" s="40" t="e">
        <f>E24/'D4 Gallon Forecast'!E23</f>
        <v>#DIV/0!</v>
      </c>
      <c r="AX24" s="40" t="e">
        <f>F24/'D4 Gallon Forecast'!F23</f>
        <v>#DIV/0!</v>
      </c>
      <c r="AY24" s="40" t="e">
        <f>G24/'D4 Gallon Forecast'!G23</f>
        <v>#DIV/0!</v>
      </c>
      <c r="AZ24" s="40" t="e">
        <f>H24/'D4 Gallon Forecast'!H23</f>
        <v>#DIV/0!</v>
      </c>
      <c r="BA24" s="250" t="e">
        <f>I24/'D4 Gallon Forecast'!I24</f>
        <v>#DIV/0!</v>
      </c>
      <c r="BB24" s="250" t="e">
        <f>J24/'D4 Gallon Forecast'!J24</f>
        <v>#DIV/0!</v>
      </c>
      <c r="BC24" s="250" t="e">
        <f>K24/'D4 Gallon Forecast'!K24</f>
        <v>#DIV/0!</v>
      </c>
      <c r="BD24" s="250" t="e">
        <f>L24/'D4 Gallon Forecast'!L24</f>
        <v>#DIV/0!</v>
      </c>
      <c r="BE24" s="250" t="e">
        <f>M24/'D4 Gallon Forecast'!M24</f>
        <v>#DIV/0!</v>
      </c>
      <c r="BF24" s="250">
        <f>N24/'D4 Gallon Forecast'!N24</f>
        <v>1.6000001261552668</v>
      </c>
      <c r="BG24" s="250">
        <f>O24/'D4 Gallon Forecast'!O24</f>
        <v>1.5999999837186478</v>
      </c>
      <c r="BH24" s="250">
        <f>P24/'D4 Gallon Forecast'!P24</f>
        <v>1.6000000109363697</v>
      </c>
      <c r="BI24" s="250">
        <f>Q24/'D4 Gallon Forecast'!Q24</f>
        <v>1.6000000924095841</v>
      </c>
      <c r="BJ24" s="250">
        <f>R24/'D4 Gallon Forecast'!R24</f>
        <v>1.6000001261552663</v>
      </c>
      <c r="BK24" s="250">
        <f>S24/'D4 Gallon Forecast'!S24</f>
        <v>1.6000001261552668</v>
      </c>
      <c r="BL24" s="250">
        <f>T24/'D4 Gallon Forecast'!T24</f>
        <v>1.6000001261552668</v>
      </c>
      <c r="BM24" s="250">
        <f>U24/'D4 Gallon Forecast'!U24</f>
        <v>1.6000001261552668</v>
      </c>
      <c r="BN24" s="250">
        <f>V24/'D4 Gallon Forecast'!V24</f>
        <v>1.600000067875027</v>
      </c>
      <c r="BO24" s="250">
        <f>W24/'D4 Gallon Forecast'!W24</f>
        <v>1.6000000775884002</v>
      </c>
      <c r="BP24" s="250">
        <f>X24/'D4 Gallon Forecast'!X24</f>
        <v>1.6000000845265239</v>
      </c>
      <c r="BQ24" s="250">
        <f>Y24/'D4 Gallon Forecast'!Y24</f>
        <v>1.600000089730117</v>
      </c>
      <c r="BR24" s="250">
        <f>Z24/'D4 Gallon Forecast'!Z24</f>
        <v>1.6000000873017739</v>
      </c>
      <c r="BS24" s="250">
        <f>AA24/'D4 Gallon Forecast'!AA24</f>
        <v>1.6000000863304364</v>
      </c>
      <c r="BT24" s="250">
        <f>AB24/'D4 Gallon Forecast'!AB24</f>
        <v>1.6000000861664447</v>
      </c>
      <c r="BU24" s="250">
        <f>AC24/'D4 Gallon Forecast'!AC24</f>
        <v>1.6000000864634172</v>
      </c>
      <c r="BV24" s="250">
        <f>AD24/'D4 Gallon Forecast'!AD24</f>
        <v>1.6000000865279058</v>
      </c>
      <c r="BW24" s="250">
        <f>AE24/'D4 Gallon Forecast'!AE24</f>
        <v>1.6000000865138011</v>
      </c>
      <c r="BX24" s="250">
        <f>AF24/'D4 Gallon Forecast'!AF24</f>
        <v>1.6000000864906441</v>
      </c>
      <c r="BY24" s="250">
        <f>AG24/'D4 Gallon Forecast'!AG24</f>
        <v>1.6000000864889425</v>
      </c>
      <c r="BZ24" s="250">
        <f>AH24/'D4 Gallon Forecast'!AH24</f>
        <v>1.600000086491234</v>
      </c>
      <c r="CA24" s="250">
        <f>AI24/'D4 Gallon Forecast'!AI24</f>
        <v>1.6000000864924884</v>
      </c>
      <c r="CB24" s="250">
        <f>AJ24/'D4 Gallon Forecast'!AJ24</f>
        <v>1.6000000864923911</v>
      </c>
      <c r="CC24" s="250">
        <f>AK24/'D4 Gallon Forecast'!AK24</f>
        <v>1.6000000864922186</v>
      </c>
      <c r="CD24" s="250">
        <f>AL24/'D4 Gallon Forecast'!AL24</f>
        <v>1.6000000864921715</v>
      </c>
      <c r="CE24" s="250">
        <f>AM24/'D4 Gallon Forecast'!AM24</f>
        <v>1.6000000864921859</v>
      </c>
      <c r="CF24" s="250">
        <f>AN24/'D4 Gallon Forecast'!AN24</f>
        <v>1.6000000864921948</v>
      </c>
      <c r="CG24" s="250">
        <f>AO24/'D4 Gallon Forecast'!AO24</f>
        <v>1.6000000864921959</v>
      </c>
      <c r="CH24" s="250">
        <f>AP24/'D4 Gallon Forecast'!AP24</f>
        <v>1.6000000864921948</v>
      </c>
    </row>
    <row r="25" spans="1:86">
      <c r="A25" s="252" t="s">
        <v>289</v>
      </c>
      <c r="B25" s="253">
        <f>B431</f>
        <v>0</v>
      </c>
      <c r="C25" s="253">
        <f t="shared" ref="C25:J25" si="42">C431</f>
        <v>0</v>
      </c>
      <c r="D25" s="253">
        <f t="shared" si="42"/>
        <v>0</v>
      </c>
      <c r="E25" s="253">
        <f t="shared" si="42"/>
        <v>0</v>
      </c>
      <c r="F25" s="253">
        <f t="shared" si="42"/>
        <v>0</v>
      </c>
      <c r="G25" s="253">
        <f t="shared" si="42"/>
        <v>0</v>
      </c>
      <c r="H25" s="253">
        <f t="shared" si="42"/>
        <v>0</v>
      </c>
      <c r="I25" s="253">
        <f t="shared" si="42"/>
        <v>0</v>
      </c>
      <c r="J25" s="253">
        <f t="shared" si="42"/>
        <v>0</v>
      </c>
      <c r="K25" s="253">
        <f>K431</f>
        <v>7704</v>
      </c>
      <c r="L25" s="253">
        <f>L431</f>
        <v>9384</v>
      </c>
      <c r="M25" s="253">
        <f>M431</f>
        <v>632688</v>
      </c>
      <c r="N25" s="253">
        <f t="shared" ref="N25:AP25" si="43">N431</f>
        <v>550200</v>
      </c>
      <c r="O25" s="253">
        <f>O431</f>
        <v>1209481</v>
      </c>
      <c r="P25" s="254">
        <f t="shared" si="43"/>
        <v>157995</v>
      </c>
      <c r="Q25" s="253">
        <f t="shared" si="43"/>
        <v>0</v>
      </c>
      <c r="R25" s="253">
        <f t="shared" si="43"/>
        <v>0</v>
      </c>
      <c r="S25" s="253">
        <f t="shared" si="43"/>
        <v>0</v>
      </c>
      <c r="T25" s="253">
        <f t="shared" si="43"/>
        <v>0</v>
      </c>
      <c r="U25" s="253">
        <f t="shared" si="43"/>
        <v>0</v>
      </c>
      <c r="V25" s="253">
        <f t="shared" si="43"/>
        <v>0</v>
      </c>
      <c r="W25" s="253">
        <f t="shared" si="43"/>
        <v>0</v>
      </c>
      <c r="X25" s="253">
        <f t="shared" si="43"/>
        <v>0</v>
      </c>
      <c r="Y25" s="253">
        <f t="shared" si="43"/>
        <v>0</v>
      </c>
      <c r="Z25" s="253">
        <f t="shared" si="43"/>
        <v>0</v>
      </c>
      <c r="AA25" s="253">
        <f t="shared" si="43"/>
        <v>0</v>
      </c>
      <c r="AB25" s="253">
        <f t="shared" si="43"/>
        <v>0</v>
      </c>
      <c r="AC25" s="253">
        <f t="shared" si="43"/>
        <v>0</v>
      </c>
      <c r="AD25" s="253">
        <f t="shared" si="43"/>
        <v>0</v>
      </c>
      <c r="AE25" s="253">
        <f t="shared" si="43"/>
        <v>0</v>
      </c>
      <c r="AF25" s="253">
        <f t="shared" si="43"/>
        <v>0</v>
      </c>
      <c r="AG25" s="253">
        <f t="shared" si="43"/>
        <v>0</v>
      </c>
      <c r="AH25" s="253">
        <f t="shared" si="43"/>
        <v>0</v>
      </c>
      <c r="AI25" s="253">
        <f t="shared" si="43"/>
        <v>0</v>
      </c>
      <c r="AJ25" s="253">
        <f t="shared" si="43"/>
        <v>0</v>
      </c>
      <c r="AK25" s="253">
        <f t="shared" si="43"/>
        <v>0</v>
      </c>
      <c r="AL25" s="253">
        <f t="shared" si="43"/>
        <v>0</v>
      </c>
      <c r="AM25" s="253">
        <f t="shared" si="43"/>
        <v>0</v>
      </c>
      <c r="AN25" s="253">
        <f t="shared" si="43"/>
        <v>0</v>
      </c>
      <c r="AO25" s="253">
        <f t="shared" si="43"/>
        <v>0</v>
      </c>
      <c r="AP25" s="253">
        <f t="shared" si="43"/>
        <v>0</v>
      </c>
      <c r="AQ25" s="248"/>
      <c r="AR25" s="245"/>
      <c r="AT25" s="40" t="e">
        <f>B25/'D4 Gallon Forecast'!B25</f>
        <v>#DIV/0!</v>
      </c>
      <c r="AU25" s="40" t="e">
        <f>C25/'D4 Gallon Forecast'!C25</f>
        <v>#DIV/0!</v>
      </c>
      <c r="AV25" s="40" t="e">
        <f>D25/'D4 Gallon Forecast'!D25</f>
        <v>#DIV/0!</v>
      </c>
      <c r="AW25" s="40" t="e">
        <f>E25/'D4 Gallon Forecast'!E25</f>
        <v>#DIV/0!</v>
      </c>
      <c r="AX25" s="40" t="e">
        <f>F25/'D4 Gallon Forecast'!F25</f>
        <v>#DIV/0!</v>
      </c>
      <c r="AY25" s="40" t="e">
        <f>G25/'D4 Gallon Forecast'!G25</f>
        <v>#DIV/0!</v>
      </c>
      <c r="AZ25" s="40" t="e">
        <f>H25/'D4 Gallon Forecast'!H25</f>
        <v>#DIV/0!</v>
      </c>
      <c r="BA25" s="250" t="e">
        <f>I25/'D4 Gallon Forecast'!I25</f>
        <v>#DIV/0!</v>
      </c>
      <c r="BB25" s="250" t="e">
        <f>J25/'D4 Gallon Forecast'!J25</f>
        <v>#DIV/0!</v>
      </c>
      <c r="BC25" s="250">
        <f>K25/'D4 Gallon Forecast'!K25</f>
        <v>1.6</v>
      </c>
      <c r="BD25" s="250">
        <f>L25/'D4 Gallon Forecast'!L25</f>
        <v>1.6</v>
      </c>
      <c r="BE25" s="250">
        <f>M25/'D4 Gallon Forecast'!M25</f>
        <v>1.5999919075846163</v>
      </c>
      <c r="BF25" s="250">
        <f>N25/'D4 Gallon Forecast'!N25</f>
        <v>1.6</v>
      </c>
      <c r="BG25" s="250">
        <f>O25/'D4 Gallon Forecast'!O25</f>
        <v>1.5999992062715134</v>
      </c>
      <c r="BH25" s="250">
        <f>P25/'D4 Gallon Forecast'!P25</f>
        <v>1.6000141777894801</v>
      </c>
      <c r="BI25" s="250" t="e">
        <f>Q25/'D4 Gallon Forecast'!Q25</f>
        <v>#DIV/0!</v>
      </c>
      <c r="BJ25" s="250" t="e">
        <f>R25/'D4 Gallon Forecast'!R25</f>
        <v>#DIV/0!</v>
      </c>
      <c r="BK25" s="250" t="e">
        <f>S25/'D4 Gallon Forecast'!S25</f>
        <v>#DIV/0!</v>
      </c>
      <c r="BL25" s="250" t="e">
        <f>T25/'D4 Gallon Forecast'!T25</f>
        <v>#DIV/0!</v>
      </c>
      <c r="BM25" s="250" t="e">
        <f>U25/'D4 Gallon Forecast'!U25</f>
        <v>#DIV/0!</v>
      </c>
      <c r="BN25" s="250" t="e">
        <f>V25/'D4 Gallon Forecast'!V25</f>
        <v>#DIV/0!</v>
      </c>
      <c r="BO25" s="250" t="e">
        <f>W25/'D4 Gallon Forecast'!W25</f>
        <v>#DIV/0!</v>
      </c>
      <c r="BP25" s="250" t="e">
        <f>X25/'D4 Gallon Forecast'!X25</f>
        <v>#DIV/0!</v>
      </c>
      <c r="BQ25" s="250" t="e">
        <f>Y25/'D4 Gallon Forecast'!Y25</f>
        <v>#DIV/0!</v>
      </c>
      <c r="BR25" s="250" t="e">
        <f>Z25/'D4 Gallon Forecast'!Z25</f>
        <v>#DIV/0!</v>
      </c>
      <c r="BS25" s="250" t="e">
        <f>AA25/'D4 Gallon Forecast'!AA25</f>
        <v>#DIV/0!</v>
      </c>
      <c r="BT25" s="250" t="e">
        <f>AB25/'D4 Gallon Forecast'!AB25</f>
        <v>#DIV/0!</v>
      </c>
      <c r="BU25" s="250" t="e">
        <f>AC25/'D4 Gallon Forecast'!AC25</f>
        <v>#DIV/0!</v>
      </c>
      <c r="BV25" s="250" t="e">
        <f>AD25/'D4 Gallon Forecast'!AD25</f>
        <v>#DIV/0!</v>
      </c>
      <c r="BW25" s="250" t="e">
        <f>AE25/'D4 Gallon Forecast'!AE25</f>
        <v>#DIV/0!</v>
      </c>
      <c r="BX25" s="250" t="e">
        <f>AF25/'D4 Gallon Forecast'!AF25</f>
        <v>#DIV/0!</v>
      </c>
      <c r="BY25" s="250" t="e">
        <f>AG25/'D4 Gallon Forecast'!AG25</f>
        <v>#DIV/0!</v>
      </c>
      <c r="BZ25" s="250" t="e">
        <f>AH25/'D4 Gallon Forecast'!AH25</f>
        <v>#DIV/0!</v>
      </c>
      <c r="CA25" s="250" t="e">
        <f>AI25/'D4 Gallon Forecast'!AI25</f>
        <v>#DIV/0!</v>
      </c>
      <c r="CB25" s="250" t="e">
        <f>AJ25/'D4 Gallon Forecast'!AJ25</f>
        <v>#DIV/0!</v>
      </c>
      <c r="CC25" s="250" t="e">
        <f>AK25/'D4 Gallon Forecast'!AK25</f>
        <v>#DIV/0!</v>
      </c>
      <c r="CD25" s="250" t="e">
        <f>AL25/'D4 Gallon Forecast'!AL25</f>
        <v>#DIV/0!</v>
      </c>
      <c r="CE25" s="250" t="e">
        <f>AM25/'D4 Gallon Forecast'!AM25</f>
        <v>#DIV/0!</v>
      </c>
      <c r="CF25" s="250" t="e">
        <f>AN25/'D4 Gallon Forecast'!AN25</f>
        <v>#DIV/0!</v>
      </c>
      <c r="CG25" s="250" t="e">
        <f>AO25/'D4 Gallon Forecast'!AO25</f>
        <v>#DIV/0!</v>
      </c>
      <c r="CH25" s="250" t="e">
        <f>AP25/'D4 Gallon Forecast'!AP25</f>
        <v>#DIV/0!</v>
      </c>
    </row>
    <row r="26" spans="1:86" ht="12" thickBot="1">
      <c r="A26" s="40" t="s">
        <v>260</v>
      </c>
      <c r="B26" s="251">
        <f>B447</f>
        <v>0</v>
      </c>
      <c r="C26" s="251">
        <f t="shared" ref="C26:J26" si="44">C447</f>
        <v>0</v>
      </c>
      <c r="D26" s="251">
        <f t="shared" si="44"/>
        <v>0</v>
      </c>
      <c r="E26" s="251">
        <f t="shared" si="44"/>
        <v>0</v>
      </c>
      <c r="F26" s="251">
        <f t="shared" si="44"/>
        <v>0</v>
      </c>
      <c r="G26" s="251">
        <f t="shared" si="44"/>
        <v>0</v>
      </c>
      <c r="H26" s="251">
        <f t="shared" si="44"/>
        <v>0</v>
      </c>
      <c r="I26" s="251">
        <f t="shared" si="44"/>
        <v>0</v>
      </c>
      <c r="J26" s="251">
        <f t="shared" si="44"/>
        <v>0</v>
      </c>
      <c r="K26" s="251">
        <f>K447</f>
        <v>7704</v>
      </c>
      <c r="L26" s="251">
        <f>L447</f>
        <v>9384</v>
      </c>
      <c r="M26" s="251">
        <f>M447</f>
        <v>632688</v>
      </c>
      <c r="N26" s="251">
        <f t="shared" ref="N26:AP26" si="45">N447</f>
        <v>550200</v>
      </c>
      <c r="O26" s="251">
        <f>O447</f>
        <v>1209481</v>
      </c>
      <c r="P26" s="251">
        <f t="shared" si="45"/>
        <v>157995</v>
      </c>
      <c r="Q26" s="251">
        <f t="shared" si="45"/>
        <v>0</v>
      </c>
      <c r="R26" s="251">
        <f t="shared" si="45"/>
        <v>0</v>
      </c>
      <c r="S26" s="251">
        <f t="shared" si="45"/>
        <v>0</v>
      </c>
      <c r="T26" s="251">
        <f t="shared" si="45"/>
        <v>0</v>
      </c>
      <c r="U26" s="251">
        <f t="shared" si="45"/>
        <v>0</v>
      </c>
      <c r="V26" s="251">
        <f t="shared" si="45"/>
        <v>0</v>
      </c>
      <c r="W26" s="251">
        <f t="shared" si="45"/>
        <v>0</v>
      </c>
      <c r="X26" s="251">
        <f t="shared" si="45"/>
        <v>0</v>
      </c>
      <c r="Y26" s="251">
        <f t="shared" si="45"/>
        <v>0</v>
      </c>
      <c r="Z26" s="251">
        <f t="shared" si="45"/>
        <v>0</v>
      </c>
      <c r="AA26" s="251">
        <f t="shared" si="45"/>
        <v>0</v>
      </c>
      <c r="AB26" s="251">
        <f t="shared" si="45"/>
        <v>0</v>
      </c>
      <c r="AC26" s="251">
        <f t="shared" si="45"/>
        <v>0</v>
      </c>
      <c r="AD26" s="251">
        <f t="shared" si="45"/>
        <v>0</v>
      </c>
      <c r="AE26" s="251">
        <f t="shared" si="45"/>
        <v>0</v>
      </c>
      <c r="AF26" s="251">
        <f t="shared" si="45"/>
        <v>0</v>
      </c>
      <c r="AG26" s="251">
        <f t="shared" si="45"/>
        <v>0</v>
      </c>
      <c r="AH26" s="251">
        <f t="shared" si="45"/>
        <v>0</v>
      </c>
      <c r="AI26" s="251">
        <f t="shared" si="45"/>
        <v>0</v>
      </c>
      <c r="AJ26" s="251">
        <f t="shared" si="45"/>
        <v>0</v>
      </c>
      <c r="AK26" s="251">
        <f t="shared" si="45"/>
        <v>0</v>
      </c>
      <c r="AL26" s="251">
        <f t="shared" si="45"/>
        <v>0</v>
      </c>
      <c r="AM26" s="251">
        <f t="shared" si="45"/>
        <v>0</v>
      </c>
      <c r="AN26" s="251">
        <f t="shared" si="45"/>
        <v>0</v>
      </c>
      <c r="AO26" s="251">
        <f t="shared" si="45"/>
        <v>0</v>
      </c>
      <c r="AP26" s="251">
        <f t="shared" si="45"/>
        <v>0</v>
      </c>
      <c r="AQ26" s="251"/>
      <c r="AR26" s="245"/>
      <c r="AT26" s="40" t="e">
        <f>B26/'D4 Gallon Forecast'!B26</f>
        <v>#DIV/0!</v>
      </c>
      <c r="AU26" s="40" t="e">
        <f>C26/'D4 Gallon Forecast'!C26</f>
        <v>#DIV/0!</v>
      </c>
      <c r="AV26" s="40" t="e">
        <f>D26/'D4 Gallon Forecast'!D26</f>
        <v>#DIV/0!</v>
      </c>
      <c r="AW26" s="40" t="e">
        <f>E26/'D4 Gallon Forecast'!E26</f>
        <v>#DIV/0!</v>
      </c>
      <c r="AX26" s="40" t="e">
        <f>F26/'D4 Gallon Forecast'!F26</f>
        <v>#DIV/0!</v>
      </c>
      <c r="AY26" s="40" t="e">
        <f>G26/'D4 Gallon Forecast'!G26</f>
        <v>#DIV/0!</v>
      </c>
      <c r="AZ26" s="40" t="e">
        <f>H26/'D4 Gallon Forecast'!H26</f>
        <v>#DIV/0!</v>
      </c>
      <c r="BA26" s="250" t="e">
        <f>I26/'D4 Gallon Forecast'!I26</f>
        <v>#DIV/0!</v>
      </c>
      <c r="BB26" s="250" t="e">
        <f>J26/'D4 Gallon Forecast'!J26</f>
        <v>#DIV/0!</v>
      </c>
      <c r="BC26" s="250">
        <f>K26/'D4 Gallon Forecast'!K26</f>
        <v>1.6</v>
      </c>
      <c r="BD26" s="250">
        <f>L26/'D4 Gallon Forecast'!L26</f>
        <v>1.6</v>
      </c>
      <c r="BE26" s="250">
        <f>M26/'D4 Gallon Forecast'!M26</f>
        <v>1.5999919075846163</v>
      </c>
      <c r="BF26" s="250">
        <f>N26/'D4 Gallon Forecast'!N26</f>
        <v>1.6</v>
      </c>
      <c r="BG26" s="250">
        <f>O26/'D4 Gallon Forecast'!O26</f>
        <v>1.5999992062715134</v>
      </c>
      <c r="BH26" s="250">
        <f>P26/'D4 Gallon Forecast'!P26</f>
        <v>1.6000141777894801</v>
      </c>
      <c r="BI26" s="250" t="e">
        <f>Q26/'D4 Gallon Forecast'!Q26</f>
        <v>#DIV/0!</v>
      </c>
      <c r="BJ26" s="250" t="e">
        <f>R26/'D4 Gallon Forecast'!R26</f>
        <v>#DIV/0!</v>
      </c>
      <c r="BK26" s="250" t="e">
        <f>S26/'D4 Gallon Forecast'!S26</f>
        <v>#DIV/0!</v>
      </c>
      <c r="BL26" s="250" t="e">
        <f>T26/'D4 Gallon Forecast'!T26</f>
        <v>#DIV/0!</v>
      </c>
      <c r="BM26" s="250" t="e">
        <f>U26/'D4 Gallon Forecast'!U26</f>
        <v>#DIV/0!</v>
      </c>
      <c r="BN26" s="250" t="e">
        <f>V26/'D4 Gallon Forecast'!V26</f>
        <v>#DIV/0!</v>
      </c>
      <c r="BO26" s="250" t="e">
        <f>W26/'D4 Gallon Forecast'!W26</f>
        <v>#DIV/0!</v>
      </c>
      <c r="BP26" s="250" t="e">
        <f>X26/'D4 Gallon Forecast'!X26</f>
        <v>#DIV/0!</v>
      </c>
      <c r="BQ26" s="250" t="e">
        <f>Y26/'D4 Gallon Forecast'!Y26</f>
        <v>#DIV/0!</v>
      </c>
      <c r="BR26" s="250" t="e">
        <f>Z26/'D4 Gallon Forecast'!Z26</f>
        <v>#DIV/0!</v>
      </c>
      <c r="BS26" s="250" t="e">
        <f>AA26/'D4 Gallon Forecast'!AA26</f>
        <v>#DIV/0!</v>
      </c>
      <c r="BT26" s="250" t="e">
        <f>AB26/'D4 Gallon Forecast'!AB26</f>
        <v>#DIV/0!</v>
      </c>
      <c r="BU26" s="250" t="e">
        <f>AC26/'D4 Gallon Forecast'!AC26</f>
        <v>#DIV/0!</v>
      </c>
      <c r="BV26" s="250" t="e">
        <f>AD26/'D4 Gallon Forecast'!AD26</f>
        <v>#DIV/0!</v>
      </c>
      <c r="BW26" s="250" t="e">
        <f>AE26/'D4 Gallon Forecast'!AE26</f>
        <v>#DIV/0!</v>
      </c>
      <c r="BX26" s="250" t="e">
        <f>AF26/'D4 Gallon Forecast'!AF26</f>
        <v>#DIV/0!</v>
      </c>
      <c r="BY26" s="250" t="e">
        <f>AG26/'D4 Gallon Forecast'!AG26</f>
        <v>#DIV/0!</v>
      </c>
      <c r="BZ26" s="250" t="e">
        <f>AH26/'D4 Gallon Forecast'!AH26</f>
        <v>#DIV/0!</v>
      </c>
      <c r="CA26" s="250" t="e">
        <f>AI26/'D4 Gallon Forecast'!AI26</f>
        <v>#DIV/0!</v>
      </c>
      <c r="CB26" s="250" t="e">
        <f>AJ26/'D4 Gallon Forecast'!AJ26</f>
        <v>#DIV/0!</v>
      </c>
      <c r="CC26" s="250" t="e">
        <f>AK26/'D4 Gallon Forecast'!AK26</f>
        <v>#DIV/0!</v>
      </c>
      <c r="CD26" s="250" t="e">
        <f>AL26/'D4 Gallon Forecast'!AL26</f>
        <v>#DIV/0!</v>
      </c>
      <c r="CE26" s="250" t="e">
        <f>AM26/'D4 Gallon Forecast'!AM26</f>
        <v>#DIV/0!</v>
      </c>
      <c r="CF26" s="250" t="e">
        <f>AN26/'D4 Gallon Forecast'!AN26</f>
        <v>#DIV/0!</v>
      </c>
      <c r="CG26" s="250" t="e">
        <f>AO26/'D4 Gallon Forecast'!AO26</f>
        <v>#DIV/0!</v>
      </c>
      <c r="CH26" s="250" t="e">
        <f>AP26/'D4 Gallon Forecast'!AP26</f>
        <v>#DIV/0!</v>
      </c>
    </row>
    <row r="27" spans="1:86" ht="12" thickBot="1">
      <c r="A27" s="263" t="s">
        <v>373</v>
      </c>
      <c r="B27" s="264">
        <f t="shared" ref="B27:AP27" si="46">B3+B7+B20</f>
        <v>323276448</v>
      </c>
      <c r="C27" s="264">
        <f t="shared" si="46"/>
        <v>1691614024</v>
      </c>
      <c r="D27" s="264">
        <f t="shared" si="46"/>
        <v>1737333997</v>
      </c>
      <c r="E27" s="264">
        <f t="shared" si="46"/>
        <v>2740474431</v>
      </c>
      <c r="F27" s="264">
        <f t="shared" si="46"/>
        <v>2709972461</v>
      </c>
      <c r="G27" s="264">
        <f t="shared" si="46"/>
        <v>2795798365</v>
      </c>
      <c r="H27" s="264">
        <f t="shared" si="46"/>
        <v>4008319745</v>
      </c>
      <c r="I27" s="264">
        <f t="shared" si="46"/>
        <v>3848913464</v>
      </c>
      <c r="J27" s="264">
        <f t="shared" si="46"/>
        <v>3873220242</v>
      </c>
      <c r="K27" s="264">
        <f t="shared" si="46"/>
        <v>4146607014</v>
      </c>
      <c r="L27" s="264">
        <f t="shared" si="46"/>
        <v>4490232144</v>
      </c>
      <c r="M27" s="264">
        <f t="shared" si="46"/>
        <v>4872998352</v>
      </c>
      <c r="N27" s="264">
        <f t="shared" si="46"/>
        <v>5786573550</v>
      </c>
      <c r="O27" s="264">
        <f>O3+O7+O20</f>
        <v>7964744893</v>
      </c>
      <c r="P27" s="265">
        <f t="shared" si="46"/>
        <v>9158971248</v>
      </c>
      <c r="Q27" s="264">
        <f t="shared" si="46"/>
        <v>7801222920.4370031</v>
      </c>
      <c r="R27" s="264">
        <f t="shared" si="46"/>
        <v>8190474675.8414841</v>
      </c>
      <c r="S27" s="264">
        <f t="shared" si="46"/>
        <v>10042102421.456932</v>
      </c>
      <c r="T27" s="264">
        <f t="shared" si="46"/>
        <v>10369112158.055702</v>
      </c>
      <c r="U27" s="264">
        <f t="shared" si="46"/>
        <v>11515560949.812984</v>
      </c>
      <c r="V27" s="264">
        <f t="shared" si="46"/>
        <v>13091355953.478685</v>
      </c>
      <c r="W27" s="264">
        <f t="shared" si="46"/>
        <v>14302839812.952204</v>
      </c>
      <c r="X27" s="264">
        <f t="shared" si="46"/>
        <v>16925272923.298357</v>
      </c>
      <c r="Y27" s="264">
        <f t="shared" si="46"/>
        <v>17054293465.767179</v>
      </c>
      <c r="Z27" s="264">
        <f t="shared" si="46"/>
        <v>17458646366.554054</v>
      </c>
      <c r="AA27" s="264">
        <f t="shared" si="46"/>
        <v>18122106451.580467</v>
      </c>
      <c r="AB27" s="264">
        <f t="shared" si="46"/>
        <v>16196368760.592476</v>
      </c>
      <c r="AC27" s="264">
        <f t="shared" si="46"/>
        <v>17482035762.964138</v>
      </c>
      <c r="AD27" s="264">
        <f t="shared" si="46"/>
        <v>19222469102.937489</v>
      </c>
      <c r="AE27" s="264">
        <f t="shared" si="46"/>
        <v>18967602448.98399</v>
      </c>
      <c r="AF27" s="264">
        <f t="shared" si="46"/>
        <v>17318512544.570343</v>
      </c>
      <c r="AG27" s="264">
        <f t="shared" si="46"/>
        <v>18235400658.478004</v>
      </c>
      <c r="AH27" s="264">
        <f t="shared" si="46"/>
        <v>19004067711.62381</v>
      </c>
      <c r="AI27" s="264">
        <f t="shared" si="46"/>
        <v>19892335775.350288</v>
      </c>
      <c r="AJ27" s="264">
        <f t="shared" si="46"/>
        <v>20200515804.986065</v>
      </c>
      <c r="AK27" s="264">
        <f t="shared" si="46"/>
        <v>20416915095.057659</v>
      </c>
      <c r="AL27" s="264">
        <f t="shared" si="46"/>
        <v>20440574160.006092</v>
      </c>
      <c r="AM27" s="264">
        <f t="shared" si="46"/>
        <v>21220772313.597321</v>
      </c>
      <c r="AN27" s="264">
        <f t="shared" si="46"/>
        <v>21603675496.737663</v>
      </c>
      <c r="AO27" s="264">
        <f t="shared" si="46"/>
        <v>21974534670.865269</v>
      </c>
      <c r="AP27" s="264">
        <f t="shared" si="46"/>
        <v>22712784207.922722</v>
      </c>
      <c r="AQ27" s="248"/>
      <c r="AR27" s="245"/>
      <c r="BA27" s="250">
        <f>I27/'D4 Gallon Forecast'!I27</f>
        <v>1.5362809478246875</v>
      </c>
      <c r="BB27" s="250">
        <f>J27/'D4 Gallon Forecast'!J27</f>
        <v>1.5386378352644805</v>
      </c>
      <c r="BC27" s="250">
        <f>K27/'D4 Gallon Forecast'!K27</f>
        <v>1.5572353324202006</v>
      </c>
      <c r="BD27" s="250">
        <f>L27/'D4 Gallon Forecast'!L27</f>
        <v>1.5585108356678992</v>
      </c>
      <c r="BE27" s="250">
        <f>M27/'D4 Gallon Forecast'!M27</f>
        <v>1.5753248159796689</v>
      </c>
      <c r="BF27" s="250">
        <f>N27/'D4 Gallon Forecast'!N27</f>
        <v>1.5951840857506738</v>
      </c>
      <c r="BG27" s="250">
        <f>O27/'D4 Gallon Forecast'!O27</f>
        <v>1.6007101520701184</v>
      </c>
      <c r="BH27" s="250">
        <f>P27/'D4 Gallon Forecast'!P27</f>
        <v>1.6160860519489149</v>
      </c>
      <c r="BI27" s="250">
        <f>Q27/'D4 Gallon Forecast'!Q27</f>
        <v>1.6141100564726516</v>
      </c>
      <c r="BJ27" s="250">
        <f>R27/'D4 Gallon Forecast'!R27</f>
        <v>1.6246392106210592</v>
      </c>
      <c r="BK27" s="250">
        <f>S27/'D4 Gallon Forecast'!S27</f>
        <v>1.62367513570178</v>
      </c>
      <c r="BL27" s="250">
        <f>T27/'D4 Gallon Forecast'!T27</f>
        <v>1.6278610207615885</v>
      </c>
      <c r="BM27" s="250">
        <f>U27/'D4 Gallon Forecast'!U27</f>
        <v>1.6224331430443559</v>
      </c>
      <c r="BN27" s="250">
        <f>V27/'D4 Gallon Forecast'!V27</f>
        <v>1.6208459431523567</v>
      </c>
      <c r="BO27" s="250">
        <f>W27/'D4 Gallon Forecast'!W27</f>
        <v>1.6836317227174167</v>
      </c>
      <c r="BP27" s="250">
        <f>X27/'D4 Gallon Forecast'!X27</f>
        <v>1.899808979343145</v>
      </c>
      <c r="BQ27" s="250">
        <f>Y27/'D4 Gallon Forecast'!Y27</f>
        <v>1.8604979045385304</v>
      </c>
      <c r="BR27" s="250">
        <f>Z27/'D4 Gallon Forecast'!Z27</f>
        <v>1.7356488463235153</v>
      </c>
      <c r="BS27" s="250">
        <f>AA27/'D4 Gallon Forecast'!AA27</f>
        <v>1.7127262950013598</v>
      </c>
      <c r="BT27" s="250">
        <f>AB27/'D4 Gallon Forecast'!AB27</f>
        <v>1.4210847863753278</v>
      </c>
      <c r="BU27" s="250">
        <f>AC27/'D4 Gallon Forecast'!AC27</f>
        <v>1.4112776178457695</v>
      </c>
      <c r="BV27" s="250">
        <f>AD27/'D4 Gallon Forecast'!AD27</f>
        <v>1.4168540903680353</v>
      </c>
      <c r="BW27" s="250">
        <f>AE27/'D4 Gallon Forecast'!AE27</f>
        <v>1.4139728730147798</v>
      </c>
      <c r="BX27" s="250">
        <f>AF27/'D4 Gallon Forecast'!AF27</f>
        <v>1.3523702980047811</v>
      </c>
      <c r="BY27" s="250">
        <f>AG27/'D4 Gallon Forecast'!AG27</f>
        <v>1.3618825186231054</v>
      </c>
      <c r="BZ27" s="250">
        <f>AH27/'D4 Gallon Forecast'!AH27</f>
        <v>1.3827666084099244</v>
      </c>
      <c r="CA27" s="250">
        <f>AI27/'D4 Gallon Forecast'!AI27</f>
        <v>1.4428049305700292</v>
      </c>
      <c r="CB27" s="250">
        <f>AJ27/'D4 Gallon Forecast'!AJ27</f>
        <v>1.4594014716644255</v>
      </c>
      <c r="CC27" s="250">
        <f>AK27/'D4 Gallon Forecast'!AK27</f>
        <v>1.4771327834963823</v>
      </c>
      <c r="CD27" s="250">
        <f>AL27/'D4 Gallon Forecast'!AL27</f>
        <v>1.4857079865700971</v>
      </c>
      <c r="CE27" s="250">
        <f>AM27/'D4 Gallon Forecast'!AM27</f>
        <v>1.5428231945686004</v>
      </c>
      <c r="CF27" s="250">
        <f>AN27/'D4 Gallon Forecast'!AN27</f>
        <v>1.5640094469184642</v>
      </c>
      <c r="CG27" s="250">
        <f>AO27/'D4 Gallon Forecast'!AO27</f>
        <v>1.5880038877934575</v>
      </c>
      <c r="CH27" s="250">
        <f>AP27/'D4 Gallon Forecast'!AP27</f>
        <v>1.6444457033810056</v>
      </c>
    </row>
    <row r="28" spans="1:86">
      <c r="A28" s="266" t="s">
        <v>374</v>
      </c>
      <c r="B28" s="267"/>
      <c r="C28" s="267">
        <f>'[1]RVO Forecast'!B$10*'[1]RVO Forecast'!B$6</f>
        <v>1208680205.3648555</v>
      </c>
      <c r="D28" s="267">
        <f>'[1]RVO Forecast'!C$10*'[1]RVO Forecast'!C$6</f>
        <v>1517704700.1126668</v>
      </c>
      <c r="E28" s="267">
        <f>'[1]RVO Forecast'!D$10*'[1]RVO Forecast'!D$6</f>
        <v>1973661288.3605723</v>
      </c>
      <c r="F28" s="267">
        <f>'[1]RVO Forecast'!E$10*'[1]RVO Forecast'!E$6</f>
        <v>2525467337.8266377</v>
      </c>
      <c r="G28" s="267">
        <f>'[1]RVO Forecast'!F$10*'[1]RVO Forecast'!F$6</f>
        <v>2679422770.7730336</v>
      </c>
      <c r="H28" s="267">
        <f>'[1]RVO Forecast'!G$10*'[1]RVO Forecast'!G$6</f>
        <v>2927505564.5659151</v>
      </c>
      <c r="I28" s="267">
        <f>'[1]RVO Forecast'!H$10*'[1]RVO Forecast'!H$6</f>
        <v>3090878133.3629088</v>
      </c>
      <c r="J28" s="267">
        <f>'[1]RVO Forecast'!I$10*'[1]RVO Forecast'!I$6</f>
        <v>3247674363.4609728</v>
      </c>
      <c r="K28" s="267">
        <f>'[1]RVO Forecast'!J$10*'[1]RVO Forecast'!J$6</f>
        <v>3286339685.1336045</v>
      </c>
      <c r="L28" s="267">
        <f>'[1]RVO Forecast'!K$10*'[1]RVO Forecast'!K$6</f>
        <v>3801800710.4577413</v>
      </c>
      <c r="M28" s="267">
        <f>'[1]RVO Forecast'!L$10*'[1]RVO Forecast'!L$6</f>
        <v>3843107081.7464805</v>
      </c>
      <c r="N28" s="267">
        <f>'[1]RVO Forecast'!M$10*'[1]RVO Forecast'!M$6</f>
        <v>4419024282.9520884</v>
      </c>
      <c r="O28" s="267">
        <f>'[1]RVO Forecast'!N$10*'[1]RVO Forecast'!N$6</f>
        <v>4552153893.8942194</v>
      </c>
      <c r="P28" s="267">
        <f>'[1]RVO Forecast'!O$10*'[1]RVO Forecast'!O$6</f>
        <v>4944338228.149682</v>
      </c>
      <c r="Q28" s="267">
        <f>'[1]RVO Forecast'!P$10*'[1]RVO Forecast'!P$6</f>
        <v>5696793722.3473635</v>
      </c>
      <c r="R28" s="267">
        <f>'[1]RVO Forecast'!Q$10*'[1]RVO Forecast'!Q$6</f>
        <v>6113117326.0305624</v>
      </c>
      <c r="S28" s="267">
        <f>'[1]RVO Forecast'!R$10*'[1]RVO Forecast'!R$6</f>
        <v>6535791821.4999313</v>
      </c>
      <c r="T28" s="267">
        <f>'[1]RVO Forecast'!S$10*'[1]RVO Forecast'!S$6</f>
        <v>7070217469.0048771</v>
      </c>
      <c r="U28" s="267">
        <f>'[1]RVO Forecast'!T$10*'[1]RVO Forecast'!T$6</f>
        <v>7537301808.5329571</v>
      </c>
      <c r="V28" s="267">
        <f>'[1]RVO Forecast'!U$10*'[1]RVO Forecast'!U$6</f>
        <v>8036246751.1166306</v>
      </c>
      <c r="W28" s="267">
        <f>'[1]RVO Forecast'!V$10*'[1]RVO Forecast'!V$6</f>
        <v>8547517750.8862362</v>
      </c>
      <c r="X28" s="267">
        <f>'[1]RVO Forecast'!W$10*'[1]RVO Forecast'!W$6</f>
        <v>9065930638.1336651</v>
      </c>
      <c r="Y28" s="267">
        <f>'[1]RVO Forecast'!X$10*'[1]RVO Forecast'!X$6</f>
        <v>9633181784.5555496</v>
      </c>
      <c r="Z28" s="267">
        <f>'[1]RVO Forecast'!Y$10*'[1]RVO Forecast'!Y$6</f>
        <v>10073635434.959667</v>
      </c>
      <c r="AA28" s="267">
        <f>'[1]RVO Forecast'!Z$10*'[1]RVO Forecast'!Z$6</f>
        <v>10589349918.083302</v>
      </c>
      <c r="AB28" s="267">
        <f>'[1]RVO Forecast'!AA$10*'[1]RVO Forecast'!AA$6</f>
        <v>11241289137.979778</v>
      </c>
      <c r="AC28" s="267">
        <f>'[1]RVO Forecast'!AB$10*'[1]RVO Forecast'!AB$6</f>
        <v>11894403951.942413</v>
      </c>
      <c r="AD28" s="267">
        <f>'[1]RVO Forecast'!AC$10*'[1]RVO Forecast'!AC$6</f>
        <v>12499510563.757755</v>
      </c>
      <c r="AE28" s="267">
        <f>'[1]RVO Forecast'!AD$10*'[1]RVO Forecast'!AD$6</f>
        <v>13118338812.6989</v>
      </c>
      <c r="AF28" s="267">
        <f>'[1]RVO Forecast'!AE$10*'[1]RVO Forecast'!AE$6</f>
        <v>13772542610.429995</v>
      </c>
      <c r="AG28" s="267">
        <f>'[1]RVO Forecast'!AF$10*'[1]RVO Forecast'!AF$6</f>
        <v>14355922895.899258</v>
      </c>
      <c r="AH28" s="267">
        <f>'[1]RVO Forecast'!AG$10*'[1]RVO Forecast'!AG$6</f>
        <v>15038008625.932291</v>
      </c>
      <c r="AI28" s="267">
        <f>'[1]RVO Forecast'!AH$10*'[1]RVO Forecast'!AH$6</f>
        <v>15741482973.958736</v>
      </c>
      <c r="AJ28" s="267">
        <f>'[1]RVO Forecast'!AI$10*'[1]RVO Forecast'!AI$6</f>
        <v>16418474511.902168</v>
      </c>
      <c r="AK28" s="267">
        <f>'[1]RVO Forecast'!AJ$10*'[1]RVO Forecast'!AJ$6</f>
        <v>17094136472.62566</v>
      </c>
      <c r="AL28" s="267">
        <f>'[1]RVO Forecast'!AK$10*'[1]RVO Forecast'!AK$6</f>
        <v>17767103283.170589</v>
      </c>
      <c r="AM28" s="267">
        <f>'[1]RVO Forecast'!AL$10*'[1]RVO Forecast'!AL$6</f>
        <v>18441417935.900002</v>
      </c>
      <c r="AN28" s="267">
        <f>'[1]RVO Forecast'!AM$10*'[1]RVO Forecast'!AM$6</f>
        <v>19288558345.054417</v>
      </c>
      <c r="AO28" s="267">
        <f>'[1]RVO Forecast'!AN$10*'[1]RVO Forecast'!AN$6</f>
        <v>20135537399.304058</v>
      </c>
      <c r="AP28" s="267">
        <f>'[1]RVO Forecast'!AO$10*'[1]RVO Forecast'!AO$6</f>
        <v>20982747015.029026</v>
      </c>
      <c r="AQ28" s="42"/>
      <c r="AR28" s="245"/>
    </row>
    <row r="29" spans="1:86">
      <c r="A29" s="245" t="s">
        <v>233</v>
      </c>
      <c r="B29" s="42"/>
      <c r="C29" s="42">
        <f>'[1]RVO Forecast'!B$11</f>
        <v>0</v>
      </c>
      <c r="D29" s="42">
        <f>'[1]RVO Forecast'!C$11</f>
        <v>0</v>
      </c>
      <c r="E29" s="42">
        <f>'[1]RVO Forecast'!D$11</f>
        <v>0</v>
      </c>
      <c r="F29" s="42">
        <f>'[1]RVO Forecast'!E$11</f>
        <v>22999321.700926796</v>
      </c>
      <c r="G29" s="42">
        <f>'[1]RVO Forecast'!F$11</f>
        <v>33497302.971663751</v>
      </c>
      <c r="H29" s="42">
        <f>'[1]RVO Forecast'!G$11</f>
        <v>47231150.598640032</v>
      </c>
      <c r="I29" s="42">
        <f>'[1]RVO Forecast'!H$11</f>
        <v>113836824.27434681</v>
      </c>
      <c r="J29" s="42">
        <f>'[1]RVO Forecast'!I$11</f>
        <v>276154506.8253091</v>
      </c>
      <c r="K29" s="42">
        <f>'[1]RVO Forecast'!J$11</f>
        <v>59057153.520498663</v>
      </c>
      <c r="L29" s="42">
        <f>'[1]RVO Forecast'!K$11</f>
        <v>0</v>
      </c>
      <c r="M29" s="42">
        <f>'[1]RVO Forecast'!L$11</f>
        <v>0</v>
      </c>
      <c r="N29" s="42">
        <f>'[1]RVO Forecast'!M$11</f>
        <v>0</v>
      </c>
      <c r="O29" s="42">
        <f>'[1]RVO Forecast'!N$11</f>
        <v>0</v>
      </c>
      <c r="P29" s="42">
        <f>'[1]RVO Forecast'!O$11</f>
        <v>0</v>
      </c>
      <c r="Q29" s="42">
        <f>'[1]RVO Forecast'!P$11</f>
        <v>121068225.98273799</v>
      </c>
      <c r="R29" s="42">
        <f>'[1]RVO Forecast'!Q$11</f>
        <v>233693671.82994759</v>
      </c>
      <c r="S29" s="42">
        <f>'[1]RVO Forecast'!R$11</f>
        <v>223523277.00178465</v>
      </c>
      <c r="T29" s="42">
        <f>'[1]RVO Forecast'!S$11</f>
        <v>152986079.6910294</v>
      </c>
      <c r="U29" s="42">
        <f>'[1]RVO Forecast'!T$11</f>
        <v>152161048.96243858</v>
      </c>
      <c r="V29" s="42">
        <f>'[1]RVO Forecast'!U$11</f>
        <v>156336566.19572368</v>
      </c>
      <c r="W29" s="42">
        <f>'[1]RVO Forecast'!V$11</f>
        <v>158758411.98724443</v>
      </c>
      <c r="X29" s="42">
        <f>'[1]RVO Forecast'!W$11</f>
        <v>161723225.96114331</v>
      </c>
      <c r="Y29" s="42">
        <f>'[1]RVO Forecast'!X$11</f>
        <v>224427832.10291055</v>
      </c>
      <c r="Z29" s="42">
        <f>'[1]RVO Forecast'!Y$11</f>
        <v>260893784.09084246</v>
      </c>
      <c r="AA29" s="42">
        <f>'[1]RVO Forecast'!Z$11</f>
        <v>239517367.4696202</v>
      </c>
      <c r="AB29" s="42">
        <f>'[1]RVO Forecast'!AA$11</f>
        <v>200624215.90876403</v>
      </c>
      <c r="AC29" s="42">
        <f>'[1]RVO Forecast'!AB$11</f>
        <v>154117346.76892403</v>
      </c>
      <c r="AD29" s="42">
        <f>'[1]RVO Forecast'!AC$11</f>
        <v>60766173.010340154</v>
      </c>
      <c r="AE29" s="42">
        <f>'[1]RVO Forecast'!AD$11</f>
        <v>184617282.29226974</v>
      </c>
      <c r="AF29" s="42">
        <f>'[1]RVO Forecast'!AE$11</f>
        <v>377046529.43603516</v>
      </c>
      <c r="AG29" s="42">
        <f>'[1]RVO Forecast'!AF$11</f>
        <v>382813824.88115793</v>
      </c>
      <c r="AH29" s="42">
        <f>'[1]RVO Forecast'!AG$11</f>
        <v>341963890.6480338</v>
      </c>
      <c r="AI29" s="42">
        <f>'[1]RVO Forecast'!AH$11</f>
        <v>337108024.10076708</v>
      </c>
      <c r="AJ29" s="42">
        <f>'[1]RVO Forecast'!AI$11</f>
        <v>342025538.28908676</v>
      </c>
      <c r="AK29" s="42">
        <f>'[1]RVO Forecast'!AJ$11</f>
        <v>350386329.06619382</v>
      </c>
      <c r="AL29" s="42">
        <f>'[1]RVO Forecast'!AK$11</f>
        <v>361513786.29995245</v>
      </c>
      <c r="AM29" s="42">
        <f>'[1]RVO Forecast'!AL$11</f>
        <v>365977446.76659411</v>
      </c>
      <c r="AN29" s="42">
        <f>'[1]RVO Forecast'!AM$11</f>
        <v>364087129.37651169</v>
      </c>
      <c r="AO29" s="42">
        <f>'[1]RVO Forecast'!AN$11</f>
        <v>366282717.32250172</v>
      </c>
      <c r="AP29" s="42">
        <f>'[1]RVO Forecast'!AO$11</f>
        <v>373307441.78973877</v>
      </c>
      <c r="AQ29" s="42"/>
      <c r="AR29" s="245"/>
    </row>
    <row r="30" spans="1:86" ht="12" thickBot="1">
      <c r="A30" s="268" t="s">
        <v>375</v>
      </c>
      <c r="B30" s="269"/>
      <c r="C30" s="269">
        <f>C28-C29</f>
        <v>1208680205.3648555</v>
      </c>
      <c r="D30" s="269">
        <f t="shared" ref="D30:AP30" si="47">D28-D29</f>
        <v>1517704700.1126668</v>
      </c>
      <c r="E30" s="269">
        <f t="shared" si="47"/>
        <v>1973661288.3605723</v>
      </c>
      <c r="F30" s="269">
        <f t="shared" si="47"/>
        <v>2502468016.125711</v>
      </c>
      <c r="G30" s="269">
        <f t="shared" si="47"/>
        <v>2645925467.8013697</v>
      </c>
      <c r="H30" s="269">
        <f t="shared" si="47"/>
        <v>2880274413.9672751</v>
      </c>
      <c r="I30" s="269">
        <f t="shared" si="47"/>
        <v>2977041309.088562</v>
      </c>
      <c r="J30" s="269">
        <f t="shared" si="47"/>
        <v>2971519856.6356635</v>
      </c>
      <c r="K30" s="269">
        <f t="shared" si="47"/>
        <v>3227282531.6131058</v>
      </c>
      <c r="L30" s="269">
        <f t="shared" si="47"/>
        <v>3801800710.4577413</v>
      </c>
      <c r="M30" s="269">
        <f t="shared" si="47"/>
        <v>3843107081.7464805</v>
      </c>
      <c r="N30" s="269">
        <f t="shared" si="47"/>
        <v>4419024282.9520884</v>
      </c>
      <c r="O30" s="269">
        <f>O28-O29</f>
        <v>4552153893.8942194</v>
      </c>
      <c r="P30" s="269">
        <f>P28-P29</f>
        <v>4944338228.149682</v>
      </c>
      <c r="Q30" s="269">
        <f t="shared" si="47"/>
        <v>5575725496.3646259</v>
      </c>
      <c r="R30" s="269">
        <f t="shared" si="47"/>
        <v>5879423654.2006149</v>
      </c>
      <c r="S30" s="269">
        <f t="shared" si="47"/>
        <v>6312268544.498147</v>
      </c>
      <c r="T30" s="269">
        <f t="shared" si="47"/>
        <v>6917231389.3138475</v>
      </c>
      <c r="U30" s="269">
        <f t="shared" si="47"/>
        <v>7385140759.5705185</v>
      </c>
      <c r="V30" s="269">
        <f t="shared" si="47"/>
        <v>7879910184.920907</v>
      </c>
      <c r="W30" s="269">
        <f t="shared" si="47"/>
        <v>8388759338.8989916</v>
      </c>
      <c r="X30" s="269">
        <f t="shared" si="47"/>
        <v>8904207412.1725216</v>
      </c>
      <c r="Y30" s="269">
        <f t="shared" si="47"/>
        <v>9408753952.4526386</v>
      </c>
      <c r="Z30" s="269">
        <f t="shared" si="47"/>
        <v>9812741650.868824</v>
      </c>
      <c r="AA30" s="269">
        <f t="shared" si="47"/>
        <v>10349832550.613682</v>
      </c>
      <c r="AB30" s="269">
        <f t="shared" si="47"/>
        <v>11040664922.071014</v>
      </c>
      <c r="AC30" s="269">
        <f t="shared" si="47"/>
        <v>11740286605.173489</v>
      </c>
      <c r="AD30" s="269">
        <f t="shared" si="47"/>
        <v>12438744390.747416</v>
      </c>
      <c r="AE30" s="269">
        <f t="shared" si="47"/>
        <v>12933721530.40663</v>
      </c>
      <c r="AF30" s="269">
        <f t="shared" si="47"/>
        <v>13395496080.993959</v>
      </c>
      <c r="AG30" s="269">
        <f t="shared" si="47"/>
        <v>13973109071.018099</v>
      </c>
      <c r="AH30" s="269">
        <f t="shared" si="47"/>
        <v>14696044735.284258</v>
      </c>
      <c r="AI30" s="269">
        <f t="shared" si="47"/>
        <v>15404374949.857969</v>
      </c>
      <c r="AJ30" s="269">
        <f t="shared" si="47"/>
        <v>16076448973.613081</v>
      </c>
      <c r="AK30" s="269">
        <f t="shared" si="47"/>
        <v>16743750143.559465</v>
      </c>
      <c r="AL30" s="269">
        <f t="shared" si="47"/>
        <v>17405589496.870636</v>
      </c>
      <c r="AM30" s="269">
        <f t="shared" si="47"/>
        <v>18075440489.133408</v>
      </c>
      <c r="AN30" s="269">
        <f t="shared" si="47"/>
        <v>18924471215.677906</v>
      </c>
      <c r="AO30" s="269">
        <f t="shared" si="47"/>
        <v>19769254681.981556</v>
      </c>
      <c r="AP30" s="269">
        <f t="shared" si="47"/>
        <v>20609439573.239288</v>
      </c>
      <c r="AQ30" s="42"/>
      <c r="AR30" s="245"/>
    </row>
    <row r="31" spans="1:86">
      <c r="A31" s="40" t="s">
        <v>376</v>
      </c>
      <c r="B31" s="42">
        <f>'D4 Gallon Forecast'!B27</f>
        <v>215402913</v>
      </c>
      <c r="C31" s="42">
        <f>'D4 Gallon Forecast'!C27</f>
        <v>1122699193</v>
      </c>
      <c r="D31" s="42">
        <f>'D4 Gallon Forecast'!D27</f>
        <v>1146899177</v>
      </c>
      <c r="E31" s="42">
        <f>'D4 Gallon Forecast'!E27</f>
        <v>1794304869</v>
      </c>
      <c r="F31" s="42">
        <f>'D4 Gallon Forecast'!F27</f>
        <v>1763434468</v>
      </c>
      <c r="G31" s="42">
        <f>'D4 Gallon Forecast'!G27</f>
        <v>1823117873</v>
      </c>
      <c r="H31" s="42">
        <f>'D4 Gallon Forecast'!H27</f>
        <v>2616026976</v>
      </c>
      <c r="I31" s="42">
        <f>'D4 Gallon Forecast'!I27</f>
        <v>2505344787</v>
      </c>
      <c r="J31" s="42">
        <f>'D4 Gallon Forecast'!J27</f>
        <v>2517304692</v>
      </c>
      <c r="K31" s="42">
        <f>'D4 Gallon Forecast'!K27</f>
        <v>2662800495</v>
      </c>
      <c r="L31" s="42">
        <f>'D4 Gallon Forecast'!L27</f>
        <v>2881104219</v>
      </c>
      <c r="M31" s="42">
        <f>'D4 Gallon Forecast'!M27</f>
        <v>3093329263</v>
      </c>
      <c r="N31" s="42">
        <f>'D4 Gallon Forecast'!N27</f>
        <v>3627527131</v>
      </c>
      <c r="O31" s="42">
        <f>'D4 Gallon Forecast'!O27</f>
        <v>4975757093</v>
      </c>
      <c r="P31" s="42">
        <f>'D4 Gallon Forecast'!P27</f>
        <v>5667378440</v>
      </c>
      <c r="Q31" s="42">
        <f>'D4 Gallon Forecast'!Q27</f>
        <v>4833141884.6898079</v>
      </c>
      <c r="R31" s="42">
        <f>'D4 Gallon Forecast'!R27</f>
        <v>5041411423.7157116</v>
      </c>
      <c r="S31" s="42">
        <f>'D4 Gallon Forecast'!S27</f>
        <v>6184797808.7787647</v>
      </c>
      <c r="T31" s="42">
        <f>'D4 Gallon Forecast'!T27</f>
        <v>6369777287.9926529</v>
      </c>
      <c r="U31" s="42">
        <f>'D4 Gallon Forecast'!U27</f>
        <v>7097710620.1153088</v>
      </c>
      <c r="V31" s="42">
        <f>'D4 Gallon Forecast'!V27</f>
        <v>8076866286.2662449</v>
      </c>
      <c r="W31" s="42">
        <f>'D4 Gallon Forecast'!W27</f>
        <v>8495230649.2937317</v>
      </c>
      <c r="X31" s="42">
        <f>'D4 Gallon Forecast'!X27</f>
        <v>8908934059.8601837</v>
      </c>
      <c r="Y31" s="42">
        <f>'D4 Gallon Forecast'!Y27</f>
        <v>9166521189.9269791</v>
      </c>
      <c r="Z31" s="42">
        <f>'D4 Gallon Forecast'!Z27</f>
        <v>10058858624.274889</v>
      </c>
      <c r="AA31" s="42">
        <f>'D4 Gallon Forecast'!AA27</f>
        <v>10580853756.067358</v>
      </c>
      <c r="AB31" s="42">
        <f>'D4 Gallon Forecast'!AB27</f>
        <v>11397186794.113491</v>
      </c>
      <c r="AC31" s="42">
        <f>'D4 Gallon Forecast'!AC27</f>
        <v>12387382568.746052</v>
      </c>
      <c r="AD31" s="42">
        <f>'D4 Gallon Forecast'!AD27</f>
        <v>13567006817.155287</v>
      </c>
      <c r="AE31" s="42">
        <f>'D4 Gallon Forecast'!AE27</f>
        <v>13414403353.11562</v>
      </c>
      <c r="AF31" s="42">
        <f>'D4 Gallon Forecast'!AF27</f>
        <v>12806043263.536032</v>
      </c>
      <c r="AG31" s="42">
        <f>'D4 Gallon Forecast'!AG27</f>
        <v>13389848543.554562</v>
      </c>
      <c r="AH31" s="42">
        <f>'D4 Gallon Forecast'!AH27</f>
        <v>13743510724.11058</v>
      </c>
      <c r="AI31" s="42">
        <f>'D4 Gallon Forecast'!AI27</f>
        <v>13787266285.187384</v>
      </c>
      <c r="AJ31" s="42">
        <f>'D4 Gallon Forecast'!AJ27</f>
        <v>13841644124.113209</v>
      </c>
      <c r="AK31" s="42">
        <f>'D4 Gallon Forecast'!AK27</f>
        <v>13821990360.765467</v>
      </c>
      <c r="AL31" s="42">
        <f>'D4 Gallon Forecast'!AL27</f>
        <v>13758137093.410372</v>
      </c>
      <c r="AM31" s="42">
        <f>'D4 Gallon Forecast'!AM27</f>
        <v>13754506924.904646</v>
      </c>
      <c r="AN31" s="42">
        <f>'D4 Gallon Forecast'!AN27</f>
        <v>13813008316.096136</v>
      </c>
      <c r="AO31" s="42">
        <f>'D4 Gallon Forecast'!AO27</f>
        <v>13837834302.40781</v>
      </c>
      <c r="AP31" s="42">
        <f>'D4 Gallon Forecast'!AP27</f>
        <v>13811817660.640841</v>
      </c>
    </row>
    <row r="32" spans="1:86">
      <c r="A32" s="40" t="s">
        <v>377</v>
      </c>
      <c r="B32" s="57">
        <f>B27/B31</f>
        <v>1.5007988680264506</v>
      </c>
      <c r="C32" s="57">
        <f t="shared" ref="C32:AP32" si="48">C27/C31</f>
        <v>1.5067384340767047</v>
      </c>
      <c r="D32" s="57">
        <f t="shared" si="48"/>
        <v>1.514809698917414</v>
      </c>
      <c r="E32" s="57">
        <f t="shared" si="48"/>
        <v>1.5273181711463104</v>
      </c>
      <c r="F32" s="57">
        <f t="shared" si="48"/>
        <v>1.5367582465786305</v>
      </c>
      <c r="G32" s="57">
        <f t="shared" si="48"/>
        <v>1.5335258385676525</v>
      </c>
      <c r="H32" s="57">
        <f t="shared" si="48"/>
        <v>1.5322165183207959</v>
      </c>
      <c r="I32" s="57">
        <f t="shared" si="48"/>
        <v>1.5362809478246875</v>
      </c>
      <c r="J32" s="57">
        <f t="shared" si="48"/>
        <v>1.5386378352644805</v>
      </c>
      <c r="K32" s="57">
        <f t="shared" si="48"/>
        <v>1.5572353324202006</v>
      </c>
      <c r="L32" s="57">
        <f t="shared" si="48"/>
        <v>1.5585108356678992</v>
      </c>
      <c r="M32" s="57">
        <f t="shared" si="48"/>
        <v>1.5753248159796689</v>
      </c>
      <c r="N32" s="57">
        <f t="shared" si="48"/>
        <v>1.5951840857506738</v>
      </c>
      <c r="O32" s="57">
        <f t="shared" si="48"/>
        <v>1.6007101520701184</v>
      </c>
      <c r="P32" s="57">
        <f t="shared" si="48"/>
        <v>1.6160860519489149</v>
      </c>
      <c r="Q32" s="57">
        <f t="shared" si="48"/>
        <v>1.6141100564726516</v>
      </c>
      <c r="R32" s="57">
        <f t="shared" si="48"/>
        <v>1.6246392106210592</v>
      </c>
      <c r="S32" s="57">
        <f t="shared" si="48"/>
        <v>1.62367513570178</v>
      </c>
      <c r="T32" s="57">
        <f t="shared" si="48"/>
        <v>1.6278610207615885</v>
      </c>
      <c r="U32" s="57">
        <f t="shared" si="48"/>
        <v>1.6224331430443559</v>
      </c>
      <c r="V32" s="57">
        <f t="shared" si="48"/>
        <v>1.6208459431523567</v>
      </c>
      <c r="W32" s="57">
        <f t="shared" si="48"/>
        <v>1.6836317227174167</v>
      </c>
      <c r="X32" s="57">
        <f t="shared" si="48"/>
        <v>1.899808979343145</v>
      </c>
      <c r="Y32" s="57">
        <f t="shared" si="48"/>
        <v>1.8604979045385304</v>
      </c>
      <c r="Z32" s="57">
        <f t="shared" si="48"/>
        <v>1.7356488463235153</v>
      </c>
      <c r="AA32" s="57">
        <f t="shared" si="48"/>
        <v>1.7127262950013598</v>
      </c>
      <c r="AB32" s="57">
        <f t="shared" si="48"/>
        <v>1.4210847863753278</v>
      </c>
      <c r="AC32" s="57">
        <f t="shared" si="48"/>
        <v>1.4112776178457695</v>
      </c>
      <c r="AD32" s="57">
        <f t="shared" si="48"/>
        <v>1.4168540903680353</v>
      </c>
      <c r="AE32" s="57">
        <f t="shared" si="48"/>
        <v>1.4139728730147798</v>
      </c>
      <c r="AF32" s="57">
        <f t="shared" si="48"/>
        <v>1.3523702980047811</v>
      </c>
      <c r="AG32" s="57">
        <f t="shared" si="48"/>
        <v>1.3618825186231054</v>
      </c>
      <c r="AH32" s="57">
        <f t="shared" si="48"/>
        <v>1.3827666084099244</v>
      </c>
      <c r="AI32" s="57">
        <f t="shared" si="48"/>
        <v>1.4428049305700292</v>
      </c>
      <c r="AJ32" s="57">
        <f t="shared" si="48"/>
        <v>1.4594014716644255</v>
      </c>
      <c r="AK32" s="57">
        <f t="shared" si="48"/>
        <v>1.4771327834963823</v>
      </c>
      <c r="AL32" s="57">
        <f t="shared" si="48"/>
        <v>1.4857079865700971</v>
      </c>
      <c r="AM32" s="57">
        <f t="shared" si="48"/>
        <v>1.5428231945686004</v>
      </c>
      <c r="AN32" s="57">
        <f t="shared" si="48"/>
        <v>1.5640094469184642</v>
      </c>
      <c r="AO32" s="57">
        <f t="shared" si="48"/>
        <v>1.5880038877934575</v>
      </c>
      <c r="AP32" s="57">
        <f t="shared" si="48"/>
        <v>1.6444457033810056</v>
      </c>
    </row>
    <row r="33" spans="1:43" ht="12" thickBot="1">
      <c r="A33" s="245" t="s">
        <v>371</v>
      </c>
    </row>
    <row r="34" spans="1:43" ht="12" thickBot="1">
      <c r="A34" s="270"/>
      <c r="B34" s="263">
        <v>2010</v>
      </c>
      <c r="C34" s="263">
        <v>2011</v>
      </c>
      <c r="D34" s="263">
        <v>2012</v>
      </c>
      <c r="E34" s="263">
        <v>2013</v>
      </c>
      <c r="F34" s="263">
        <v>2014</v>
      </c>
      <c r="G34" s="263">
        <v>2015</v>
      </c>
      <c r="H34" s="263">
        <v>2016</v>
      </c>
      <c r="I34" s="263">
        <v>2017</v>
      </c>
      <c r="J34" s="263">
        <v>2018</v>
      </c>
      <c r="K34" s="263">
        <v>2019</v>
      </c>
      <c r="L34" s="263">
        <v>2020</v>
      </c>
      <c r="M34" s="263">
        <v>2021</v>
      </c>
      <c r="N34" s="263">
        <v>2022</v>
      </c>
      <c r="O34" s="263">
        <v>2023</v>
      </c>
      <c r="P34" s="263">
        <v>2024</v>
      </c>
      <c r="Q34" s="263">
        <v>2025</v>
      </c>
      <c r="R34" s="263">
        <v>2026</v>
      </c>
      <c r="S34" s="263">
        <v>2027</v>
      </c>
      <c r="T34" s="263">
        <v>2028</v>
      </c>
      <c r="U34" s="263">
        <v>2029</v>
      </c>
      <c r="V34" s="263">
        <v>2030</v>
      </c>
      <c r="W34" s="263">
        <v>2031</v>
      </c>
      <c r="X34" s="263">
        <v>2032</v>
      </c>
      <c r="Y34" s="263">
        <v>2033</v>
      </c>
      <c r="Z34" s="263">
        <v>2034</v>
      </c>
      <c r="AA34" s="263">
        <v>2035</v>
      </c>
      <c r="AB34" s="263">
        <v>2036</v>
      </c>
      <c r="AC34" s="263">
        <v>2037</v>
      </c>
      <c r="AD34" s="263">
        <v>2038</v>
      </c>
      <c r="AE34" s="263">
        <v>2039</v>
      </c>
      <c r="AF34" s="263">
        <v>2040</v>
      </c>
      <c r="AG34" s="263">
        <v>2041</v>
      </c>
      <c r="AH34" s="263">
        <v>2042</v>
      </c>
      <c r="AI34" s="263">
        <v>2043</v>
      </c>
      <c r="AJ34" s="263">
        <v>2044</v>
      </c>
      <c r="AK34" s="263">
        <v>2045</v>
      </c>
      <c r="AL34" s="263">
        <v>2046</v>
      </c>
      <c r="AM34" s="263">
        <v>2047</v>
      </c>
      <c r="AN34" s="263">
        <v>2048</v>
      </c>
      <c r="AO34" s="263">
        <v>2049</v>
      </c>
      <c r="AP34" s="263">
        <v>2050</v>
      </c>
      <c r="AQ34" s="245"/>
    </row>
    <row r="35" spans="1:43">
      <c r="A35" s="40" t="s">
        <v>43</v>
      </c>
      <c r="B35" s="42">
        <f>B51+B115+B323</f>
        <v>0</v>
      </c>
      <c r="C35" s="42">
        <f t="shared" ref="C35:R46" si="49">C51+C115+C323</f>
        <v>56909734</v>
      </c>
      <c r="D35" s="42">
        <f t="shared" si="49"/>
        <v>98031226</v>
      </c>
      <c r="E35" s="42">
        <f t="shared" si="49"/>
        <v>121544697</v>
      </c>
      <c r="F35" s="42">
        <f t="shared" si="49"/>
        <v>137454114</v>
      </c>
      <c r="G35" s="42">
        <f t="shared" si="49"/>
        <v>143033871</v>
      </c>
      <c r="H35" s="42">
        <f t="shared" si="49"/>
        <v>192615019</v>
      </c>
      <c r="I35" s="42">
        <f t="shared" si="49"/>
        <v>196564702</v>
      </c>
      <c r="J35" s="42">
        <f t="shared" si="49"/>
        <v>231409124</v>
      </c>
      <c r="K35" s="42">
        <f t="shared" si="49"/>
        <v>264189670</v>
      </c>
      <c r="L35" s="42">
        <f>L51+L115+L323</f>
        <v>300431270</v>
      </c>
      <c r="M35" s="42">
        <f>M51+M115+M323</f>
        <v>300530140</v>
      </c>
      <c r="N35" s="42">
        <f>N51+N115+N323</f>
        <v>355470100</v>
      </c>
      <c r="O35" s="42">
        <f>O51+O115+O323</f>
        <v>523261212</v>
      </c>
      <c r="P35" s="42">
        <f t="shared" ref="P35:AP44" si="50">P51+P115+P323</f>
        <v>675878899</v>
      </c>
      <c r="Q35" s="42">
        <f t="shared" si="50"/>
        <v>486064302</v>
      </c>
      <c r="R35" s="43">
        <f t="shared" si="50"/>
        <v>522270874.31891274</v>
      </c>
      <c r="S35" s="43">
        <f t="shared" si="50"/>
        <v>610671984.76785958</v>
      </c>
      <c r="T35" s="43">
        <f t="shared" si="50"/>
        <v>623478730.53465128</v>
      </c>
      <c r="U35" s="43">
        <f t="shared" si="50"/>
        <v>685525804.1476233</v>
      </c>
      <c r="V35" s="43">
        <f t="shared" si="50"/>
        <v>758388839.21755421</v>
      </c>
      <c r="W35" s="43">
        <f t="shared" si="50"/>
        <v>838589590.76702547</v>
      </c>
      <c r="X35" s="43">
        <f t="shared" si="50"/>
        <v>985210524.4537034</v>
      </c>
      <c r="Y35" s="43">
        <f t="shared" si="50"/>
        <v>1019566854.9581754</v>
      </c>
      <c r="Z35" s="43">
        <f t="shared" si="50"/>
        <v>1023475698.7418108</v>
      </c>
      <c r="AA35" s="43">
        <f t="shared" si="50"/>
        <v>1062665027.0401679</v>
      </c>
      <c r="AB35" s="43">
        <f t="shared" si="50"/>
        <v>959171283.02160859</v>
      </c>
      <c r="AC35" s="43">
        <f t="shared" si="50"/>
        <v>1034845534.6372619</v>
      </c>
      <c r="AD35" s="43">
        <f t="shared" si="50"/>
        <v>1137571665.9723887</v>
      </c>
      <c r="AE35" s="43">
        <f t="shared" si="50"/>
        <v>1118587548.8436818</v>
      </c>
      <c r="AF35" s="43">
        <f t="shared" si="50"/>
        <v>1011248746.1853424</v>
      </c>
      <c r="AG35" s="43">
        <f t="shared" si="50"/>
        <v>1065915808.9739113</v>
      </c>
      <c r="AH35" s="43">
        <f t="shared" si="50"/>
        <v>1111976719.5054669</v>
      </c>
      <c r="AI35" s="43">
        <f t="shared" si="50"/>
        <v>1165816353.2054062</v>
      </c>
      <c r="AJ35" s="43">
        <f t="shared" si="50"/>
        <v>1184132594.0381072</v>
      </c>
      <c r="AK35" s="43">
        <f t="shared" si="50"/>
        <v>1194735545.8818002</v>
      </c>
      <c r="AL35" s="43">
        <f t="shared" si="50"/>
        <v>1190045290.1032102</v>
      </c>
      <c r="AM35" s="43">
        <f t="shared" si="50"/>
        <v>1235705008.3631911</v>
      </c>
      <c r="AN35" s="43">
        <f t="shared" si="50"/>
        <v>1260099432.8119285</v>
      </c>
      <c r="AO35" s="43">
        <f t="shared" si="50"/>
        <v>1284070010.0143328</v>
      </c>
      <c r="AP35" s="43">
        <f t="shared" si="50"/>
        <v>1328495633.8666494</v>
      </c>
      <c r="AQ35" s="43"/>
    </row>
    <row r="36" spans="1:43">
      <c r="A36" s="40" t="s">
        <v>44</v>
      </c>
      <c r="B36" s="42">
        <f t="shared" ref="B36:I46" si="51">B52+B116+B324</f>
        <v>0</v>
      </c>
      <c r="C36" s="42">
        <f t="shared" si="51"/>
        <v>64687149</v>
      </c>
      <c r="D36" s="42">
        <f t="shared" si="51"/>
        <v>117421098</v>
      </c>
      <c r="E36" s="42">
        <f t="shared" si="51"/>
        <v>121618369</v>
      </c>
      <c r="F36" s="42">
        <f t="shared" si="51"/>
        <v>162562886</v>
      </c>
      <c r="G36" s="42">
        <f t="shared" si="51"/>
        <v>138051471</v>
      </c>
      <c r="H36" s="42">
        <f t="shared" si="51"/>
        <v>204565220</v>
      </c>
      <c r="I36" s="42">
        <f t="shared" si="51"/>
        <v>214681787</v>
      </c>
      <c r="J36" s="42">
        <f t="shared" si="49"/>
        <v>246305253</v>
      </c>
      <c r="K36" s="42">
        <f t="shared" si="49"/>
        <v>293048418</v>
      </c>
      <c r="L36" s="42">
        <f t="shared" si="49"/>
        <v>315195640</v>
      </c>
      <c r="M36" s="42">
        <f t="shared" si="49"/>
        <v>306401508</v>
      </c>
      <c r="N36" s="42">
        <f t="shared" si="49"/>
        <v>395541068</v>
      </c>
      <c r="O36" s="42">
        <f>O52+O116+O324</f>
        <v>518374085</v>
      </c>
      <c r="P36" s="42">
        <f t="shared" si="50"/>
        <v>744094733</v>
      </c>
      <c r="Q36" s="42">
        <f t="shared" si="50"/>
        <v>450100492</v>
      </c>
      <c r="R36" s="43">
        <f t="shared" si="50"/>
        <v>608371621.75632262</v>
      </c>
      <c r="S36" s="43">
        <f t="shared" si="50"/>
        <v>768129291.37925959</v>
      </c>
      <c r="T36" s="43">
        <f t="shared" si="50"/>
        <v>813146168.38539338</v>
      </c>
      <c r="U36" s="43">
        <f t="shared" si="50"/>
        <v>910086539.24065769</v>
      </c>
      <c r="V36" s="43">
        <f t="shared" si="50"/>
        <v>1040590562.4693376</v>
      </c>
      <c r="W36" s="43">
        <f t="shared" si="50"/>
        <v>1165845995.9537694</v>
      </c>
      <c r="X36" s="43">
        <f t="shared" si="50"/>
        <v>1389101310.6317749</v>
      </c>
      <c r="Y36" s="43">
        <f t="shared" si="50"/>
        <v>1406670988.8912246</v>
      </c>
      <c r="Z36" s="43">
        <f t="shared" si="50"/>
        <v>1452085805.3459668</v>
      </c>
      <c r="AA36" s="43">
        <f t="shared" si="50"/>
        <v>1509192980.8193889</v>
      </c>
      <c r="AB36" s="43">
        <f t="shared" si="50"/>
        <v>1319878435.2462931</v>
      </c>
      <c r="AC36" s="43">
        <f t="shared" si="50"/>
        <v>1428073613.2168012</v>
      </c>
      <c r="AD36" s="43">
        <f t="shared" si="50"/>
        <v>1576055218.1913035</v>
      </c>
      <c r="AE36" s="43">
        <f t="shared" si="50"/>
        <v>1559038470.2127092</v>
      </c>
      <c r="AF36" s="43">
        <f t="shared" si="50"/>
        <v>1443658941.6288776</v>
      </c>
      <c r="AG36" s="43">
        <f t="shared" si="50"/>
        <v>1517964413.0117912</v>
      </c>
      <c r="AH36" s="43">
        <f t="shared" si="50"/>
        <v>1579770822.1734953</v>
      </c>
      <c r="AI36" s="43">
        <f t="shared" si="50"/>
        <v>1648650008.3098154</v>
      </c>
      <c r="AJ36" s="43">
        <f t="shared" si="50"/>
        <v>1673178820.1515255</v>
      </c>
      <c r="AK36" s="43">
        <f t="shared" si="50"/>
        <v>1695862491.2334862</v>
      </c>
      <c r="AL36" s="43">
        <f t="shared" si="50"/>
        <v>1711663632.4180298</v>
      </c>
      <c r="AM36" s="43">
        <f t="shared" si="50"/>
        <v>1776507621.7114964</v>
      </c>
      <c r="AN36" s="43">
        <f t="shared" si="50"/>
        <v>1803790476.0314686</v>
      </c>
      <c r="AO36" s="43">
        <f t="shared" si="50"/>
        <v>1829434343.4963713</v>
      </c>
      <c r="AP36" s="43">
        <f t="shared" si="50"/>
        <v>1888067313.5297365</v>
      </c>
      <c r="AQ36" s="43"/>
    </row>
    <row r="37" spans="1:43">
      <c r="A37" s="40" t="s">
        <v>45</v>
      </c>
      <c r="B37" s="42">
        <f t="shared" si="51"/>
        <v>0</v>
      </c>
      <c r="C37" s="42">
        <f t="shared" si="51"/>
        <v>105937875</v>
      </c>
      <c r="D37" s="42">
        <f t="shared" si="51"/>
        <v>164074403</v>
      </c>
      <c r="E37" s="42">
        <f t="shared" si="51"/>
        <v>197555314</v>
      </c>
      <c r="F37" s="42">
        <f t="shared" si="51"/>
        <v>218456199</v>
      </c>
      <c r="G37" s="42">
        <f t="shared" si="51"/>
        <v>191581539</v>
      </c>
      <c r="H37" s="42">
        <f t="shared" si="51"/>
        <v>253237833</v>
      </c>
      <c r="I37" s="42">
        <f t="shared" si="51"/>
        <v>282791071</v>
      </c>
      <c r="J37" s="42">
        <f t="shared" si="49"/>
        <v>309661019</v>
      </c>
      <c r="K37" s="42">
        <f t="shared" si="49"/>
        <v>328464784</v>
      </c>
      <c r="L37" s="42">
        <f t="shared" si="49"/>
        <v>371877813</v>
      </c>
      <c r="M37" s="42">
        <f t="shared" si="49"/>
        <v>407604979</v>
      </c>
      <c r="N37" s="42">
        <f t="shared" si="49"/>
        <v>489940922</v>
      </c>
      <c r="O37" s="42">
        <f t="shared" si="49"/>
        <v>620279301</v>
      </c>
      <c r="P37" s="42">
        <f t="shared" si="50"/>
        <v>655207368</v>
      </c>
      <c r="Q37" s="42">
        <f t="shared" si="50"/>
        <v>573075653</v>
      </c>
      <c r="R37" s="43">
        <f t="shared" si="50"/>
        <v>594299892.78340542</v>
      </c>
      <c r="S37" s="43">
        <f t="shared" si="50"/>
        <v>675805467.70622087</v>
      </c>
      <c r="T37" s="43">
        <f t="shared" si="50"/>
        <v>667470597.22341394</v>
      </c>
      <c r="U37" s="43">
        <f t="shared" si="50"/>
        <v>718727043.38340187</v>
      </c>
      <c r="V37" s="43">
        <f t="shared" si="50"/>
        <v>781758891.74536228</v>
      </c>
      <c r="W37" s="43">
        <f t="shared" si="50"/>
        <v>855769010.46559274</v>
      </c>
      <c r="X37" s="43">
        <f t="shared" si="50"/>
        <v>995731639.92600751</v>
      </c>
      <c r="Y37" s="43">
        <f t="shared" si="50"/>
        <v>992241968.0716697</v>
      </c>
      <c r="Z37" s="43">
        <f t="shared" si="50"/>
        <v>998362931.31165755</v>
      </c>
      <c r="AA37" s="43">
        <f t="shared" si="50"/>
        <v>1034880535.7763684</v>
      </c>
      <c r="AB37" s="43">
        <f t="shared" si="50"/>
        <v>963479032.37425363</v>
      </c>
      <c r="AC37" s="43">
        <f t="shared" si="50"/>
        <v>1037715067.6649461</v>
      </c>
      <c r="AD37" s="43">
        <f t="shared" si="50"/>
        <v>1135183137.0492756</v>
      </c>
      <c r="AE37" s="43">
        <f t="shared" si="50"/>
        <v>1117242342.4090447</v>
      </c>
      <c r="AF37" s="43">
        <f t="shared" si="50"/>
        <v>996493373.61331069</v>
      </c>
      <c r="AG37" s="43">
        <f t="shared" si="50"/>
        <v>1052324190.0214827</v>
      </c>
      <c r="AH37" s="43">
        <f t="shared" si="50"/>
        <v>1099590397.6071286</v>
      </c>
      <c r="AI37" s="43">
        <f t="shared" si="50"/>
        <v>1158440644.1672935</v>
      </c>
      <c r="AJ37" s="43">
        <f t="shared" si="50"/>
        <v>1177724270.8470151</v>
      </c>
      <c r="AK37" s="43">
        <f t="shared" si="50"/>
        <v>1184251449.9647107</v>
      </c>
      <c r="AL37" s="43">
        <f t="shared" si="50"/>
        <v>1167842900.1309264</v>
      </c>
      <c r="AM37" s="43">
        <f t="shared" si="50"/>
        <v>1213191834.5795317</v>
      </c>
      <c r="AN37" s="43">
        <f t="shared" si="50"/>
        <v>1241232670.5687704</v>
      </c>
      <c r="AO37" s="43">
        <f t="shared" si="50"/>
        <v>1269418487.8911376</v>
      </c>
      <c r="AP37" s="43">
        <f t="shared" si="50"/>
        <v>1315788553.3978214</v>
      </c>
      <c r="AQ37" s="43"/>
    </row>
    <row r="38" spans="1:43">
      <c r="A38" s="40" t="s">
        <v>46</v>
      </c>
      <c r="B38" s="42">
        <f t="shared" si="51"/>
        <v>0</v>
      </c>
      <c r="C38" s="42">
        <f t="shared" si="51"/>
        <v>111598980</v>
      </c>
      <c r="D38" s="42">
        <f t="shared" si="51"/>
        <v>149160357</v>
      </c>
      <c r="E38" s="42">
        <f t="shared" si="51"/>
        <v>189890773</v>
      </c>
      <c r="F38" s="42">
        <f t="shared" si="51"/>
        <v>223134779</v>
      </c>
      <c r="G38" s="42">
        <f t="shared" si="51"/>
        <v>221881255</v>
      </c>
      <c r="H38" s="42">
        <f t="shared" si="51"/>
        <v>299587635</v>
      </c>
      <c r="I38" s="42">
        <f t="shared" si="51"/>
        <v>281933509</v>
      </c>
      <c r="J38" s="42">
        <f t="shared" si="49"/>
        <v>314532092</v>
      </c>
      <c r="K38" s="42">
        <f t="shared" si="49"/>
        <v>376225761</v>
      </c>
      <c r="L38" s="42">
        <f t="shared" si="49"/>
        <v>359716580</v>
      </c>
      <c r="M38" s="42">
        <f t="shared" si="49"/>
        <v>386442773</v>
      </c>
      <c r="N38" s="42">
        <f t="shared" si="49"/>
        <v>498679065</v>
      </c>
      <c r="O38" s="42">
        <f t="shared" si="49"/>
        <v>603393182</v>
      </c>
      <c r="P38" s="42">
        <f t="shared" si="50"/>
        <v>804655132</v>
      </c>
      <c r="Q38" s="43">
        <f t="shared" si="50"/>
        <v>635432494.31469178</v>
      </c>
      <c r="R38" s="43">
        <f t="shared" si="50"/>
        <v>625627986.95914364</v>
      </c>
      <c r="S38" s="43">
        <f t="shared" si="50"/>
        <v>746015386.06968367</v>
      </c>
      <c r="T38" s="43">
        <f t="shared" si="50"/>
        <v>753458621.29301572</v>
      </c>
      <c r="U38" s="43">
        <f t="shared" si="50"/>
        <v>835483513.2295686</v>
      </c>
      <c r="V38" s="43">
        <f t="shared" si="50"/>
        <v>935424604.01067483</v>
      </c>
      <c r="W38" s="43">
        <f t="shared" si="50"/>
        <v>1014449587.0025998</v>
      </c>
      <c r="X38" s="43">
        <f t="shared" si="50"/>
        <v>1189281604.3141642</v>
      </c>
      <c r="Y38" s="43">
        <f t="shared" si="50"/>
        <v>1193163773.5503995</v>
      </c>
      <c r="Z38" s="43">
        <f t="shared" si="50"/>
        <v>1215717328.2363253</v>
      </c>
      <c r="AA38" s="43">
        <f t="shared" si="50"/>
        <v>1258441216.0115507</v>
      </c>
      <c r="AB38" s="43">
        <f t="shared" si="50"/>
        <v>1130589565.1453228</v>
      </c>
      <c r="AC38" s="43">
        <f t="shared" si="50"/>
        <v>1212998508.4534104</v>
      </c>
      <c r="AD38" s="43">
        <f t="shared" si="50"/>
        <v>1329023769.5249376</v>
      </c>
      <c r="AE38" s="43">
        <f t="shared" si="50"/>
        <v>1307899453.6693187</v>
      </c>
      <c r="AF38" s="43">
        <f t="shared" si="50"/>
        <v>1184735779.0165946</v>
      </c>
      <c r="AG38" s="43">
        <f t="shared" si="50"/>
        <v>1248361228.732053</v>
      </c>
      <c r="AH38" s="43">
        <f t="shared" si="50"/>
        <v>1301136908.8195405</v>
      </c>
      <c r="AI38" s="43">
        <f t="shared" si="50"/>
        <v>1362074676.8827784</v>
      </c>
      <c r="AJ38" s="43">
        <f t="shared" si="50"/>
        <v>1383428384.4248805</v>
      </c>
      <c r="AK38" s="43">
        <f t="shared" si="50"/>
        <v>1396537959.0278296</v>
      </c>
      <c r="AL38" s="43">
        <f t="shared" si="50"/>
        <v>1393420194.4296365</v>
      </c>
      <c r="AM38" s="43">
        <f t="shared" si="50"/>
        <v>1446403970.8895664</v>
      </c>
      <c r="AN38" s="43">
        <f t="shared" si="50"/>
        <v>1474033748.553545</v>
      </c>
      <c r="AO38" s="43">
        <f t="shared" si="50"/>
        <v>1501075580.5039792</v>
      </c>
      <c r="AP38" s="43">
        <f t="shared" si="50"/>
        <v>1552254529.1273899</v>
      </c>
      <c r="AQ38" s="43"/>
    </row>
    <row r="39" spans="1:43">
      <c r="A39" s="40" t="s">
        <v>47</v>
      </c>
      <c r="B39" s="42">
        <f t="shared" si="51"/>
        <v>0</v>
      </c>
      <c r="C39" s="42">
        <f t="shared" si="51"/>
        <v>124981237</v>
      </c>
      <c r="D39" s="42">
        <f t="shared" si="51"/>
        <v>183108312</v>
      </c>
      <c r="E39" s="42">
        <f t="shared" si="51"/>
        <v>212512976</v>
      </c>
      <c r="F39" s="42">
        <f t="shared" si="51"/>
        <v>230977843</v>
      </c>
      <c r="G39" s="42">
        <f t="shared" si="51"/>
        <v>261775966</v>
      </c>
      <c r="H39" s="42">
        <f t="shared" si="51"/>
        <v>315973138</v>
      </c>
      <c r="I39" s="42">
        <f t="shared" si="51"/>
        <v>355663453</v>
      </c>
      <c r="J39" s="42">
        <f t="shared" si="49"/>
        <v>350398952</v>
      </c>
      <c r="K39" s="42">
        <f t="shared" si="49"/>
        <v>382941122</v>
      </c>
      <c r="L39" s="42">
        <f t="shared" si="49"/>
        <v>369558138</v>
      </c>
      <c r="M39" s="42">
        <f t="shared" si="49"/>
        <v>396612961</v>
      </c>
      <c r="N39" s="42">
        <f t="shared" si="49"/>
        <v>513669065</v>
      </c>
      <c r="O39" s="42">
        <f t="shared" si="49"/>
        <v>751034882</v>
      </c>
      <c r="P39" s="42">
        <f t="shared" si="50"/>
        <v>717705591</v>
      </c>
      <c r="Q39" s="43">
        <f t="shared" si="50"/>
        <v>635046079.67002547</v>
      </c>
      <c r="R39" s="43">
        <f t="shared" si="50"/>
        <v>687105992.38781273</v>
      </c>
      <c r="S39" s="43">
        <f t="shared" si="50"/>
        <v>841728147.64287281</v>
      </c>
      <c r="T39" s="43">
        <f t="shared" si="50"/>
        <v>866510870.82095051</v>
      </c>
      <c r="U39" s="43">
        <f t="shared" si="50"/>
        <v>961922845.62124813</v>
      </c>
      <c r="V39" s="43">
        <f t="shared" si="50"/>
        <v>1088901172.2096581</v>
      </c>
      <c r="W39" s="43">
        <f t="shared" si="50"/>
        <v>1189722455.0045223</v>
      </c>
      <c r="X39" s="43">
        <f t="shared" si="50"/>
        <v>1405001900.9831686</v>
      </c>
      <c r="Y39" s="43">
        <f t="shared" si="50"/>
        <v>1414769116.2729449</v>
      </c>
      <c r="Z39" s="43">
        <f t="shared" si="50"/>
        <v>1448030964.9092405</v>
      </c>
      <c r="AA39" s="43">
        <f t="shared" si="50"/>
        <v>1501568879.8856449</v>
      </c>
      <c r="AB39" s="43">
        <f t="shared" si="50"/>
        <v>1336847471.9850397</v>
      </c>
      <c r="AC39" s="43">
        <f t="shared" si="50"/>
        <v>1438773329.5328555</v>
      </c>
      <c r="AD39" s="43">
        <f t="shared" si="50"/>
        <v>1580903685.3554218</v>
      </c>
      <c r="AE39" s="43">
        <f t="shared" si="50"/>
        <v>1558359875.141964</v>
      </c>
      <c r="AF39" s="43">
        <f t="shared" si="50"/>
        <v>1421727840.1052184</v>
      </c>
      <c r="AG39" s="43">
        <f t="shared" si="50"/>
        <v>1497045481.5483186</v>
      </c>
      <c r="AH39" s="43">
        <f t="shared" si="50"/>
        <v>1559581311.669806</v>
      </c>
      <c r="AI39" s="43">
        <f t="shared" si="50"/>
        <v>1630692825.7733014</v>
      </c>
      <c r="AJ39" s="43">
        <f t="shared" si="50"/>
        <v>1655825237.4681726</v>
      </c>
      <c r="AK39" s="43">
        <f t="shared" si="50"/>
        <v>1673926416.296555</v>
      </c>
      <c r="AL39" s="43">
        <f t="shared" si="50"/>
        <v>1677017148.8466468</v>
      </c>
      <c r="AM39" s="43">
        <f t="shared" si="50"/>
        <v>1740764525.8848395</v>
      </c>
      <c r="AN39" s="43">
        <f t="shared" si="50"/>
        <v>1771737912.5028849</v>
      </c>
      <c r="AO39" s="43">
        <f t="shared" si="50"/>
        <v>1801684453.8823709</v>
      </c>
      <c r="AP39" s="43">
        <f t="shared" si="50"/>
        <v>1861885543.6664345</v>
      </c>
      <c r="AQ39" s="43"/>
    </row>
    <row r="40" spans="1:43">
      <c r="A40" s="40" t="s">
        <v>48</v>
      </c>
      <c r="B40" s="42">
        <f t="shared" si="51"/>
        <v>0</v>
      </c>
      <c r="C40" s="42">
        <f t="shared" si="51"/>
        <v>128151568</v>
      </c>
      <c r="D40" s="42">
        <f t="shared" si="51"/>
        <v>178461276</v>
      </c>
      <c r="E40" s="42">
        <f t="shared" si="51"/>
        <v>229980991</v>
      </c>
      <c r="F40" s="42">
        <f t="shared" si="51"/>
        <v>237867315</v>
      </c>
      <c r="G40" s="42">
        <f t="shared" si="51"/>
        <v>270820525</v>
      </c>
      <c r="H40" s="42">
        <f t="shared" si="51"/>
        <v>372833110</v>
      </c>
      <c r="I40" s="42">
        <f t="shared" si="51"/>
        <v>401123223</v>
      </c>
      <c r="J40" s="42">
        <f t="shared" si="49"/>
        <v>318167189</v>
      </c>
      <c r="K40" s="42">
        <f t="shared" si="49"/>
        <v>357778073</v>
      </c>
      <c r="L40" s="42">
        <f t="shared" si="49"/>
        <v>387878251</v>
      </c>
      <c r="M40" s="42">
        <f t="shared" si="49"/>
        <v>428992209</v>
      </c>
      <c r="N40" s="42">
        <f t="shared" si="49"/>
        <v>491326034</v>
      </c>
      <c r="O40" s="42">
        <f t="shared" si="49"/>
        <v>679598303</v>
      </c>
      <c r="P40" s="42">
        <f t="shared" si="50"/>
        <v>827187703</v>
      </c>
      <c r="Q40" s="43">
        <f t="shared" si="50"/>
        <v>636059248.21672988</v>
      </c>
      <c r="R40" s="43">
        <f t="shared" si="50"/>
        <v>685494759.18764889</v>
      </c>
      <c r="S40" s="43">
        <f t="shared" si="50"/>
        <v>831208746.42042434</v>
      </c>
      <c r="T40" s="43">
        <f t="shared" si="50"/>
        <v>854242394.16162324</v>
      </c>
      <c r="U40" s="43">
        <f t="shared" si="50"/>
        <v>946693204.23588645</v>
      </c>
      <c r="V40" s="43">
        <f t="shared" si="50"/>
        <v>1068165344.652106</v>
      </c>
      <c r="W40" s="43">
        <f t="shared" si="50"/>
        <v>1164365119.2169647</v>
      </c>
      <c r="X40" s="43">
        <f t="shared" si="50"/>
        <v>1372110969.379813</v>
      </c>
      <c r="Y40" s="43">
        <f t="shared" si="50"/>
        <v>1380735925.4222369</v>
      </c>
      <c r="Z40" s="43">
        <f t="shared" si="50"/>
        <v>1411410010.4311643</v>
      </c>
      <c r="AA40" s="43">
        <f t="shared" si="50"/>
        <v>1463204983.573792</v>
      </c>
      <c r="AB40" s="43">
        <f t="shared" si="50"/>
        <v>1303773079.1219311</v>
      </c>
      <c r="AC40" s="43">
        <f t="shared" si="50"/>
        <v>1402405660.7970731</v>
      </c>
      <c r="AD40" s="43">
        <f t="shared" si="50"/>
        <v>1540344965.277333</v>
      </c>
      <c r="AE40" s="43">
        <f t="shared" si="50"/>
        <v>1518438686.4127145</v>
      </c>
      <c r="AF40" s="43">
        <f t="shared" si="50"/>
        <v>1383584615.0452094</v>
      </c>
      <c r="AG40" s="43">
        <f t="shared" si="50"/>
        <v>1457046952.488466</v>
      </c>
      <c r="AH40" s="43">
        <f t="shared" si="50"/>
        <v>1518169246.7000632</v>
      </c>
      <c r="AI40" s="43">
        <f t="shared" si="50"/>
        <v>1588181768.1879396</v>
      </c>
      <c r="AJ40" s="43">
        <f t="shared" si="50"/>
        <v>1612748896.5174205</v>
      </c>
      <c r="AK40" s="43">
        <f t="shared" si="50"/>
        <v>1629749487.1567764</v>
      </c>
      <c r="AL40" s="43">
        <f t="shared" si="50"/>
        <v>1631084280.4732795</v>
      </c>
      <c r="AM40" s="43">
        <f t="shared" si="50"/>
        <v>1693098147.5162687</v>
      </c>
      <c r="AN40" s="43">
        <f t="shared" si="50"/>
        <v>1723782481.553463</v>
      </c>
      <c r="AO40" s="43">
        <f t="shared" si="50"/>
        <v>1753522565.1967933</v>
      </c>
      <c r="AP40" s="43">
        <f t="shared" si="50"/>
        <v>1812376915.6845598</v>
      </c>
      <c r="AQ40" s="43"/>
    </row>
    <row r="41" spans="1:43">
      <c r="A41" s="40" t="s">
        <v>49</v>
      </c>
      <c r="B41" s="42">
        <f t="shared" si="51"/>
        <v>58367465</v>
      </c>
      <c r="C41" s="42">
        <f t="shared" si="51"/>
        <v>143562659</v>
      </c>
      <c r="D41" s="42">
        <f t="shared" si="51"/>
        <v>164845950</v>
      </c>
      <c r="E41" s="42">
        <f t="shared" si="51"/>
        <v>260786856</v>
      </c>
      <c r="F41" s="42">
        <f t="shared" si="51"/>
        <v>281533772</v>
      </c>
      <c r="G41" s="42">
        <f t="shared" si="51"/>
        <v>294426521</v>
      </c>
      <c r="H41" s="42">
        <f t="shared" si="51"/>
        <v>313611910</v>
      </c>
      <c r="I41" s="42">
        <f t="shared" si="51"/>
        <v>371708336</v>
      </c>
      <c r="J41" s="42">
        <f t="shared" si="49"/>
        <v>310498614</v>
      </c>
      <c r="K41" s="42">
        <f t="shared" si="49"/>
        <v>400563469</v>
      </c>
      <c r="L41" s="42">
        <f t="shared" si="49"/>
        <v>386161311</v>
      </c>
      <c r="M41" s="42">
        <f t="shared" si="49"/>
        <v>358703699</v>
      </c>
      <c r="N41" s="42">
        <f t="shared" si="49"/>
        <v>421678120</v>
      </c>
      <c r="O41" s="42">
        <f t="shared" si="49"/>
        <v>635871764</v>
      </c>
      <c r="P41" s="42">
        <f t="shared" si="50"/>
        <v>828033327</v>
      </c>
      <c r="Q41" s="43">
        <f t="shared" si="50"/>
        <v>614114384.4350934</v>
      </c>
      <c r="R41" s="43">
        <f t="shared" si="50"/>
        <v>649740674.03313565</v>
      </c>
      <c r="S41" s="43">
        <f t="shared" si="50"/>
        <v>810340825.56553698</v>
      </c>
      <c r="T41" s="43">
        <f t="shared" si="50"/>
        <v>842203789.63791525</v>
      </c>
      <c r="U41" s="43">
        <f t="shared" si="50"/>
        <v>939202679.7810986</v>
      </c>
      <c r="V41" s="43">
        <f t="shared" si="50"/>
        <v>1073537423.4796116</v>
      </c>
      <c r="W41" s="43">
        <f t="shared" si="50"/>
        <v>1173425989.1469676</v>
      </c>
      <c r="X41" s="43">
        <f t="shared" si="50"/>
        <v>1392734115.6857886</v>
      </c>
      <c r="Y41" s="43">
        <f t="shared" si="50"/>
        <v>1405099707.021646</v>
      </c>
      <c r="Z41" s="43">
        <f t="shared" si="50"/>
        <v>1441551257.65359</v>
      </c>
      <c r="AA41" s="43">
        <f t="shared" si="50"/>
        <v>1496148008.3494296</v>
      </c>
      <c r="AB41" s="43">
        <f t="shared" si="50"/>
        <v>1329795864.9524121</v>
      </c>
      <c r="AC41" s="43">
        <f t="shared" si="50"/>
        <v>1433668277.0268745</v>
      </c>
      <c r="AD41" s="43">
        <f t="shared" si="50"/>
        <v>1577322790.4526844</v>
      </c>
      <c r="AE41" s="43">
        <f t="shared" si="50"/>
        <v>1555580182.5488951</v>
      </c>
      <c r="AF41" s="43">
        <f t="shared" si="50"/>
        <v>1422550392.3322706</v>
      </c>
      <c r="AG41" s="43">
        <f t="shared" si="50"/>
        <v>1497626273.1920335</v>
      </c>
      <c r="AH41" s="43">
        <f t="shared" si="50"/>
        <v>1559942967.2239413</v>
      </c>
      <c r="AI41" s="43">
        <f t="shared" si="50"/>
        <v>1630145787.8158267</v>
      </c>
      <c r="AJ41" s="43">
        <f t="shared" si="50"/>
        <v>1655112539.6078315</v>
      </c>
      <c r="AK41" s="43">
        <f t="shared" si="50"/>
        <v>1674190624.9699054</v>
      </c>
      <c r="AL41" s="43">
        <f t="shared" si="50"/>
        <v>1680032137.915298</v>
      </c>
      <c r="AM41" s="43">
        <f t="shared" si="50"/>
        <v>1743935833.3392012</v>
      </c>
      <c r="AN41" s="43">
        <f t="shared" si="50"/>
        <v>1774089110.2653041</v>
      </c>
      <c r="AO41" s="43">
        <f t="shared" si="50"/>
        <v>1803070679.6725545</v>
      </c>
      <c r="AP41" s="43">
        <f t="shared" si="50"/>
        <v>1862883567.4275351</v>
      </c>
      <c r="AQ41" s="43"/>
    </row>
    <row r="42" spans="1:43">
      <c r="A42" s="40" t="s">
        <v>50</v>
      </c>
      <c r="B42" s="42">
        <f t="shared" si="51"/>
        <v>46723894</v>
      </c>
      <c r="C42" s="42">
        <f t="shared" si="51"/>
        <v>167216665</v>
      </c>
      <c r="D42" s="42">
        <f t="shared" si="51"/>
        <v>158410872</v>
      </c>
      <c r="E42" s="42">
        <f t="shared" si="51"/>
        <v>275390176</v>
      </c>
      <c r="F42" s="42">
        <f t="shared" si="51"/>
        <v>219708717</v>
      </c>
      <c r="G42" s="42">
        <f t="shared" si="51"/>
        <v>284436817</v>
      </c>
      <c r="H42" s="42">
        <f t="shared" si="51"/>
        <v>402361589</v>
      </c>
      <c r="I42" s="42">
        <f t="shared" si="51"/>
        <v>380641392</v>
      </c>
      <c r="J42" s="42">
        <f t="shared" si="49"/>
        <v>350532095</v>
      </c>
      <c r="K42" s="42">
        <f t="shared" si="49"/>
        <v>331856577</v>
      </c>
      <c r="L42" s="42">
        <f t="shared" si="49"/>
        <v>390349285</v>
      </c>
      <c r="M42" s="42">
        <f t="shared" si="49"/>
        <v>421787072</v>
      </c>
      <c r="N42" s="42">
        <f t="shared" si="49"/>
        <v>474214491</v>
      </c>
      <c r="O42" s="42">
        <f t="shared" si="49"/>
        <v>703285636</v>
      </c>
      <c r="P42" s="42">
        <f t="shared" si="50"/>
        <v>723869192</v>
      </c>
      <c r="Q42" s="43">
        <f t="shared" si="50"/>
        <v>628546335.22668421</v>
      </c>
      <c r="R42" s="43">
        <f t="shared" si="50"/>
        <v>668876645.96695912</v>
      </c>
      <c r="S42" s="43">
        <f t="shared" si="50"/>
        <v>836350512.21501946</v>
      </c>
      <c r="T42" s="43">
        <f t="shared" si="50"/>
        <v>868627090.30308199</v>
      </c>
      <c r="U42" s="43">
        <f t="shared" si="50"/>
        <v>975679146.92112935</v>
      </c>
      <c r="V42" s="43">
        <f t="shared" si="50"/>
        <v>1122339714.1001432</v>
      </c>
      <c r="W42" s="43">
        <f t="shared" si="50"/>
        <v>1228981740.6723819</v>
      </c>
      <c r="X42" s="43">
        <f t="shared" si="50"/>
        <v>1460796034.8091288</v>
      </c>
      <c r="Y42" s="43">
        <f t="shared" si="50"/>
        <v>1474843190.8028026</v>
      </c>
      <c r="Z42" s="43">
        <f t="shared" si="50"/>
        <v>1516507817.469779</v>
      </c>
      <c r="AA42" s="43">
        <f t="shared" si="50"/>
        <v>1574074608.1142597</v>
      </c>
      <c r="AB42" s="43">
        <f t="shared" si="50"/>
        <v>1394223636.8407195</v>
      </c>
      <c r="AC42" s="43">
        <f t="shared" si="50"/>
        <v>1503067469.6926186</v>
      </c>
      <c r="AD42" s="43">
        <f t="shared" si="50"/>
        <v>1654230727.6192207</v>
      </c>
      <c r="AE42" s="43">
        <f t="shared" si="50"/>
        <v>1631749822.1578069</v>
      </c>
      <c r="AF42" s="43">
        <f t="shared" si="50"/>
        <v>1495806918.3241074</v>
      </c>
      <c r="AG42" s="43">
        <f t="shared" si="50"/>
        <v>1574294342.2522113</v>
      </c>
      <c r="AH42" s="43">
        <f t="shared" si="50"/>
        <v>1639207889.3518603</v>
      </c>
      <c r="AI42" s="43">
        <f t="shared" si="50"/>
        <v>1711523221.9400661</v>
      </c>
      <c r="AJ42" s="43">
        <f t="shared" si="50"/>
        <v>1737535774.395577</v>
      </c>
      <c r="AK42" s="43">
        <f t="shared" si="50"/>
        <v>1758589480.4442658</v>
      </c>
      <c r="AL42" s="43">
        <f t="shared" si="50"/>
        <v>1767758409.121949</v>
      </c>
      <c r="AM42" s="43">
        <f t="shared" si="50"/>
        <v>1834842004.0026226</v>
      </c>
      <c r="AN42" s="43">
        <f t="shared" si="50"/>
        <v>1865539769.1378107</v>
      </c>
      <c r="AO42" s="43">
        <f t="shared" si="50"/>
        <v>1894860101.8543758</v>
      </c>
      <c r="AP42" s="43">
        <f t="shared" si="50"/>
        <v>1957063483.0051966</v>
      </c>
      <c r="AQ42" s="43"/>
    </row>
    <row r="43" spans="1:43">
      <c r="A43" s="40" t="s">
        <v>51</v>
      </c>
      <c r="B43" s="42">
        <f t="shared" si="51"/>
        <v>55379939</v>
      </c>
      <c r="C43" s="42">
        <f t="shared" si="51"/>
        <v>184712002</v>
      </c>
      <c r="D43" s="42">
        <f t="shared" si="51"/>
        <v>147528669</v>
      </c>
      <c r="E43" s="42">
        <f t="shared" si="51"/>
        <v>256265422</v>
      </c>
      <c r="F43" s="42">
        <f t="shared" si="51"/>
        <v>214425030</v>
      </c>
      <c r="G43" s="42">
        <f t="shared" si="51"/>
        <v>246876027</v>
      </c>
      <c r="H43" s="42">
        <f t="shared" si="51"/>
        <v>395092445</v>
      </c>
      <c r="I43" s="42">
        <f t="shared" si="51"/>
        <v>331206205</v>
      </c>
      <c r="J43" s="42">
        <f t="shared" si="49"/>
        <v>330236886</v>
      </c>
      <c r="K43" s="42">
        <f t="shared" si="49"/>
        <v>341491438</v>
      </c>
      <c r="L43" s="42">
        <f t="shared" si="49"/>
        <v>438891501</v>
      </c>
      <c r="M43" s="42">
        <f t="shared" si="49"/>
        <v>385397733</v>
      </c>
      <c r="N43" s="42">
        <f t="shared" si="49"/>
        <v>502315281</v>
      </c>
      <c r="O43" s="42">
        <f t="shared" si="49"/>
        <v>673823496</v>
      </c>
      <c r="P43" s="42">
        <f t="shared" si="50"/>
        <v>767617994</v>
      </c>
      <c r="Q43" s="43">
        <f t="shared" si="50"/>
        <v>633501753.78070331</v>
      </c>
      <c r="R43" s="43">
        <f t="shared" si="50"/>
        <v>689587966.29457891</v>
      </c>
      <c r="S43" s="43">
        <f t="shared" si="50"/>
        <v>884937656.79843152</v>
      </c>
      <c r="T43" s="43">
        <f t="shared" si="50"/>
        <v>928592326.17032981</v>
      </c>
      <c r="U43" s="43">
        <f t="shared" si="50"/>
        <v>1057143256.867856</v>
      </c>
      <c r="V43" s="43">
        <f t="shared" si="50"/>
        <v>1227915948.4072711</v>
      </c>
      <c r="W43" s="43">
        <f t="shared" si="50"/>
        <v>1352415407.5467591</v>
      </c>
      <c r="X43" s="43">
        <f t="shared" si="50"/>
        <v>1614787394.7715006</v>
      </c>
      <c r="Y43" s="43">
        <f t="shared" si="50"/>
        <v>1635768057.7955627</v>
      </c>
      <c r="Z43" s="43">
        <f t="shared" si="50"/>
        <v>1691393955.3347182</v>
      </c>
      <c r="AA43" s="43">
        <f t="shared" si="50"/>
        <v>1757046791.2876976</v>
      </c>
      <c r="AB43" s="43">
        <f t="shared" si="50"/>
        <v>1537307190.660346</v>
      </c>
      <c r="AC43" s="43">
        <f t="shared" si="50"/>
        <v>1661003570.2762675</v>
      </c>
      <c r="AD43" s="43">
        <f t="shared" si="50"/>
        <v>1831956965.0629327</v>
      </c>
      <c r="AE43" s="43">
        <f t="shared" si="50"/>
        <v>1810058091.8113427</v>
      </c>
      <c r="AF43" s="43">
        <f t="shared" si="50"/>
        <v>1673432123.1817434</v>
      </c>
      <c r="AG43" s="43">
        <f t="shared" si="50"/>
        <v>1759509230.2447307</v>
      </c>
      <c r="AH43" s="43">
        <f t="shared" si="50"/>
        <v>1830846729.2031803</v>
      </c>
      <c r="AI43" s="43">
        <f t="shared" si="50"/>
        <v>1909071941.8503819</v>
      </c>
      <c r="AJ43" s="43">
        <f t="shared" si="50"/>
        <v>1937466092.9448295</v>
      </c>
      <c r="AK43" s="43">
        <f t="shared" si="50"/>
        <v>1963974661.4404554</v>
      </c>
      <c r="AL43" s="43">
        <f t="shared" si="50"/>
        <v>1982960018.0487876</v>
      </c>
      <c r="AM43" s="43">
        <f t="shared" si="50"/>
        <v>2057970927.8605361</v>
      </c>
      <c r="AN43" s="43">
        <f t="shared" si="50"/>
        <v>2089383187.480967</v>
      </c>
      <c r="AO43" s="43">
        <f t="shared" si="50"/>
        <v>2118867031.6574526</v>
      </c>
      <c r="AP43" s="43">
        <f t="shared" si="50"/>
        <v>2186646618.4782181</v>
      </c>
      <c r="AQ43" s="43"/>
    </row>
    <row r="44" spans="1:43">
      <c r="A44" s="40" t="s">
        <v>52</v>
      </c>
      <c r="B44" s="42">
        <f t="shared" si="51"/>
        <v>60574225</v>
      </c>
      <c r="C44" s="42">
        <f t="shared" si="51"/>
        <v>184076834</v>
      </c>
      <c r="D44" s="42">
        <f t="shared" si="51"/>
        <v>150846522</v>
      </c>
      <c r="E44" s="42">
        <f t="shared" si="51"/>
        <v>274223256</v>
      </c>
      <c r="F44" s="42">
        <f t="shared" si="51"/>
        <v>229014422</v>
      </c>
      <c r="G44" s="42">
        <f t="shared" si="51"/>
        <v>257437803</v>
      </c>
      <c r="H44" s="42">
        <f t="shared" si="51"/>
        <v>343488061</v>
      </c>
      <c r="I44" s="42">
        <f t="shared" si="51"/>
        <v>349544566</v>
      </c>
      <c r="J44" s="42">
        <f t="shared" si="49"/>
        <v>348309562</v>
      </c>
      <c r="K44" s="42">
        <f t="shared" si="49"/>
        <v>376346654</v>
      </c>
      <c r="L44" s="42">
        <f t="shared" si="49"/>
        <v>332717130</v>
      </c>
      <c r="M44" s="42">
        <f t="shared" si="49"/>
        <v>431410685</v>
      </c>
      <c r="N44" s="42">
        <f t="shared" si="49"/>
        <v>477230813</v>
      </c>
      <c r="O44" s="42">
        <f t="shared" si="49"/>
        <v>734373962</v>
      </c>
      <c r="P44" s="42">
        <f t="shared" si="50"/>
        <v>783680518</v>
      </c>
      <c r="Q44" s="43">
        <f t="shared" si="50"/>
        <v>667118347.51505685</v>
      </c>
      <c r="R44" s="43">
        <f t="shared" si="50"/>
        <v>739657390.1497314</v>
      </c>
      <c r="S44" s="43">
        <f t="shared" si="50"/>
        <v>935144437.55441415</v>
      </c>
      <c r="T44" s="43">
        <f t="shared" si="50"/>
        <v>981571115.12367344</v>
      </c>
      <c r="U44" s="43">
        <f t="shared" si="50"/>
        <v>1094282101.5759358</v>
      </c>
      <c r="V44" s="43">
        <f t="shared" si="50"/>
        <v>1267567300.680903</v>
      </c>
      <c r="W44" s="43">
        <f t="shared" si="50"/>
        <v>1394724536.4268713</v>
      </c>
      <c r="X44" s="43">
        <f t="shared" si="50"/>
        <v>1660573667.7701035</v>
      </c>
      <c r="Y44" s="43">
        <f t="shared" si="50"/>
        <v>1679414482.6049118</v>
      </c>
      <c r="Z44" s="43">
        <f t="shared" si="50"/>
        <v>1729771310.5130422</v>
      </c>
      <c r="AA44" s="43">
        <f t="shared" si="50"/>
        <v>1798048803.5178046</v>
      </c>
      <c r="AB44" s="43">
        <f t="shared" ref="AB44:AP44" si="52">AB60+AB124+AB332</f>
        <v>1584258982.6483569</v>
      </c>
      <c r="AC44" s="43">
        <f t="shared" si="52"/>
        <v>1713009802.5015178</v>
      </c>
      <c r="AD44" s="43">
        <f t="shared" si="52"/>
        <v>1888086682.9627616</v>
      </c>
      <c r="AE44" s="43">
        <f t="shared" si="52"/>
        <v>1865676975.5849786</v>
      </c>
      <c r="AF44" s="43">
        <f t="shared" si="52"/>
        <v>1719273767.1354771</v>
      </c>
      <c r="AG44" s="43">
        <f t="shared" si="52"/>
        <v>1808427477.6546385</v>
      </c>
      <c r="AH44" s="43">
        <f t="shared" si="52"/>
        <v>1882914991.0258999</v>
      </c>
      <c r="AI44" s="43">
        <f t="shared" si="52"/>
        <v>1966724390.2627153</v>
      </c>
      <c r="AJ44" s="43">
        <f t="shared" si="52"/>
        <v>1996402292.5502453</v>
      </c>
      <c r="AK44" s="43">
        <f t="shared" si="52"/>
        <v>2021682079.8922606</v>
      </c>
      <c r="AL44" s="43">
        <f t="shared" si="52"/>
        <v>2035203608.0338998</v>
      </c>
      <c r="AM44" s="43">
        <f t="shared" si="52"/>
        <v>2112513317.025629</v>
      </c>
      <c r="AN44" s="43">
        <f t="shared" si="52"/>
        <v>2146786467.8213093</v>
      </c>
      <c r="AO44" s="43">
        <f t="shared" si="52"/>
        <v>2179353441.1052437</v>
      </c>
      <c r="AP44" s="43">
        <f t="shared" si="52"/>
        <v>2250325041.4553566</v>
      </c>
      <c r="AQ44" s="43"/>
    </row>
    <row r="45" spans="1:43">
      <c r="A45" s="40" t="s">
        <v>53</v>
      </c>
      <c r="B45" s="42">
        <f t="shared" si="51"/>
        <v>49647251</v>
      </c>
      <c r="C45" s="42">
        <f t="shared" si="51"/>
        <v>168781284</v>
      </c>
      <c r="D45" s="42">
        <f t="shared" si="51"/>
        <v>126901679</v>
      </c>
      <c r="E45" s="42">
        <f t="shared" si="51"/>
        <v>265734176</v>
      </c>
      <c r="F45" s="42">
        <f t="shared" si="51"/>
        <v>227854215</v>
      </c>
      <c r="G45" s="42">
        <f t="shared" si="51"/>
        <v>227148704</v>
      </c>
      <c r="H45" s="42">
        <f t="shared" si="51"/>
        <v>379624327</v>
      </c>
      <c r="I45" s="42">
        <f t="shared" si="51"/>
        <v>316416677</v>
      </c>
      <c r="J45" s="42">
        <f t="shared" si="49"/>
        <v>326654649</v>
      </c>
      <c r="K45" s="42">
        <f t="shared" si="49"/>
        <v>310962982</v>
      </c>
      <c r="L45" s="42">
        <f t="shared" si="49"/>
        <v>389997936</v>
      </c>
      <c r="M45" s="42">
        <f t="shared" si="49"/>
        <v>464724745</v>
      </c>
      <c r="N45" s="42">
        <f t="shared" si="49"/>
        <v>582150218</v>
      </c>
      <c r="O45" s="42">
        <f t="shared" si="49"/>
        <v>679981373</v>
      </c>
      <c r="P45" s="42">
        <f t="shared" si="49"/>
        <v>732175163</v>
      </c>
      <c r="Q45" s="43">
        <f t="shared" si="49"/>
        <v>687654513.49414086</v>
      </c>
      <c r="R45" s="43">
        <f t="shared" si="49"/>
        <v>796457704.67196274</v>
      </c>
      <c r="S45" s="43">
        <f t="shared" ref="S45:AP46" si="53">S61+S125+S333</f>
        <v>979013786.96030974</v>
      </c>
      <c r="T45" s="43">
        <f t="shared" si="53"/>
        <v>1014571199.7755284</v>
      </c>
      <c r="U45" s="43">
        <f t="shared" si="53"/>
        <v>1114613429.3740592</v>
      </c>
      <c r="V45" s="43">
        <f t="shared" si="53"/>
        <v>1277867344.1717172</v>
      </c>
      <c r="W45" s="43">
        <f t="shared" si="53"/>
        <v>1398734784.6387165</v>
      </c>
      <c r="X45" s="43">
        <f t="shared" si="53"/>
        <v>1662652679.364459</v>
      </c>
      <c r="Y45" s="43">
        <f t="shared" si="53"/>
        <v>1676337900.2849512</v>
      </c>
      <c r="Z45" s="43">
        <f t="shared" si="53"/>
        <v>1713583050.4531679</v>
      </c>
      <c r="AA45" s="43">
        <f t="shared" si="53"/>
        <v>1784394884.3379407</v>
      </c>
      <c r="AB45" s="43">
        <f t="shared" si="53"/>
        <v>1615109413.3927214</v>
      </c>
      <c r="AC45" s="43">
        <f t="shared" si="53"/>
        <v>1756708398.8151612</v>
      </c>
      <c r="AD45" s="43">
        <f t="shared" si="53"/>
        <v>1935139545.8085124</v>
      </c>
      <c r="AE45" s="43">
        <f t="shared" si="53"/>
        <v>1914332615.7044325</v>
      </c>
      <c r="AF45" s="43">
        <f t="shared" si="53"/>
        <v>1748089827.299273</v>
      </c>
      <c r="AG45" s="43">
        <f t="shared" si="53"/>
        <v>1840997360.4429173</v>
      </c>
      <c r="AH45" s="43">
        <f t="shared" si="53"/>
        <v>1920898131.1981444</v>
      </c>
      <c r="AI45" s="43">
        <f t="shared" si="53"/>
        <v>2017474335.5992138</v>
      </c>
      <c r="AJ45" s="43">
        <f t="shared" si="53"/>
        <v>2049353171.4198775</v>
      </c>
      <c r="AK45" s="43">
        <f t="shared" si="53"/>
        <v>2069354498.7510028</v>
      </c>
      <c r="AL45" s="43">
        <f t="shared" si="53"/>
        <v>2065595496.5916805</v>
      </c>
      <c r="AM45" s="43">
        <f t="shared" si="53"/>
        <v>2145457137.6567042</v>
      </c>
      <c r="AN45" s="43">
        <f t="shared" si="53"/>
        <v>2186431836.8192077</v>
      </c>
      <c r="AO45" s="43">
        <f t="shared" si="53"/>
        <v>2226453390.1723208</v>
      </c>
      <c r="AP45" s="43">
        <f t="shared" si="53"/>
        <v>2302909314.8945065</v>
      </c>
      <c r="AQ45" s="43"/>
    </row>
    <row r="46" spans="1:43">
      <c r="A46" s="40" t="s">
        <v>54</v>
      </c>
      <c r="B46" s="42">
        <f t="shared" si="51"/>
        <v>52583674</v>
      </c>
      <c r="C46" s="42">
        <f t="shared" si="51"/>
        <v>250998037</v>
      </c>
      <c r="D46" s="42">
        <f t="shared" si="51"/>
        <v>98543633</v>
      </c>
      <c r="E46" s="42">
        <f t="shared" si="51"/>
        <v>334971425</v>
      </c>
      <c r="F46" s="42">
        <f t="shared" si="51"/>
        <v>326983169</v>
      </c>
      <c r="G46" s="42">
        <f t="shared" si="51"/>
        <v>258327866</v>
      </c>
      <c r="H46" s="42">
        <f t="shared" si="51"/>
        <v>535329458</v>
      </c>
      <c r="I46" s="42">
        <f t="shared" si="51"/>
        <v>366638543</v>
      </c>
      <c r="J46" s="42">
        <f t="shared" si="49"/>
        <v>436514807</v>
      </c>
      <c r="K46" s="42">
        <f t="shared" si="49"/>
        <v>382738066</v>
      </c>
      <c r="L46" s="42">
        <f t="shared" si="49"/>
        <v>447457289</v>
      </c>
      <c r="M46" s="42">
        <f t="shared" si="49"/>
        <v>584389848</v>
      </c>
      <c r="N46" s="42">
        <f t="shared" si="49"/>
        <v>584358373</v>
      </c>
      <c r="O46" s="42">
        <f t="shared" si="49"/>
        <v>841467697</v>
      </c>
      <c r="P46" s="42">
        <f t="shared" si="49"/>
        <v>898865628</v>
      </c>
      <c r="Q46" s="43">
        <f t="shared" si="49"/>
        <v>1154509316.7838778</v>
      </c>
      <c r="R46" s="43">
        <f t="shared" si="49"/>
        <v>922983167.33186996</v>
      </c>
      <c r="S46" s="43">
        <f t="shared" si="53"/>
        <v>1122756178.3768971</v>
      </c>
      <c r="T46" s="43">
        <f t="shared" si="53"/>
        <v>1155239254.6261241</v>
      </c>
      <c r="U46" s="43">
        <f t="shared" si="53"/>
        <v>1276201385.4345188</v>
      </c>
      <c r="V46" s="43">
        <f t="shared" si="53"/>
        <v>1448898808.3343453</v>
      </c>
      <c r="W46" s="43">
        <f t="shared" si="53"/>
        <v>1525815596.1100321</v>
      </c>
      <c r="X46" s="43">
        <f t="shared" si="53"/>
        <v>1797291081.2087452</v>
      </c>
      <c r="Y46" s="43">
        <f t="shared" si="53"/>
        <v>1775681500.0906549</v>
      </c>
      <c r="Z46" s="43">
        <f t="shared" si="53"/>
        <v>1816756236.1535902</v>
      </c>
      <c r="AA46" s="43">
        <f t="shared" si="53"/>
        <v>1882439732.8664215</v>
      </c>
      <c r="AB46" s="43">
        <f t="shared" si="53"/>
        <v>1721934805.2034726</v>
      </c>
      <c r="AC46" s="43">
        <f t="shared" si="53"/>
        <v>1859766530.3493509</v>
      </c>
      <c r="AD46" s="43">
        <f t="shared" si="53"/>
        <v>2036649949.6607156</v>
      </c>
      <c r="AE46" s="43">
        <f t="shared" si="53"/>
        <v>2010638384.487102</v>
      </c>
      <c r="AF46" s="43">
        <f t="shared" si="53"/>
        <v>1817910220.7029157</v>
      </c>
      <c r="AG46" s="43">
        <f t="shared" si="53"/>
        <v>1915887899.9154482</v>
      </c>
      <c r="AH46" s="43">
        <f t="shared" si="53"/>
        <v>2000031597.145288</v>
      </c>
      <c r="AI46" s="43">
        <f t="shared" si="53"/>
        <v>2103539821.355547</v>
      </c>
      <c r="AJ46" s="43">
        <f t="shared" si="53"/>
        <v>2137607730.6205826</v>
      </c>
      <c r="AK46" s="43">
        <f t="shared" si="53"/>
        <v>2154060399.99861</v>
      </c>
      <c r="AL46" s="43">
        <f t="shared" si="53"/>
        <v>2137951043.8927469</v>
      </c>
      <c r="AM46" s="43">
        <f t="shared" si="53"/>
        <v>2220381984.7677317</v>
      </c>
      <c r="AN46" s="43">
        <f t="shared" si="53"/>
        <v>2266768403.1910009</v>
      </c>
      <c r="AO46" s="43">
        <f t="shared" si="53"/>
        <v>2312724585.418335</v>
      </c>
      <c r="AP46" s="43">
        <f t="shared" si="53"/>
        <v>2394087693.3893218</v>
      </c>
      <c r="AQ46" s="43"/>
    </row>
    <row r="47" spans="1:43" ht="12" thickBot="1">
      <c r="A47" s="40" t="s">
        <v>29</v>
      </c>
      <c r="B47" s="42">
        <f>SUM(B35:B46)</f>
        <v>323276448</v>
      </c>
      <c r="C47" s="42">
        <f t="shared" ref="C47:K47" si="54">SUM(C35:C46)</f>
        <v>1691614024</v>
      </c>
      <c r="D47" s="42">
        <f t="shared" si="54"/>
        <v>1737333997</v>
      </c>
      <c r="E47" s="42">
        <f t="shared" si="54"/>
        <v>2740474431</v>
      </c>
      <c r="F47" s="42">
        <f t="shared" si="54"/>
        <v>2709972461</v>
      </c>
      <c r="G47" s="42">
        <f t="shared" si="54"/>
        <v>2795798365</v>
      </c>
      <c r="H47" s="42">
        <f t="shared" si="54"/>
        <v>4008319745</v>
      </c>
      <c r="I47" s="42">
        <f t="shared" si="54"/>
        <v>3848913464</v>
      </c>
      <c r="J47" s="42">
        <f t="shared" si="54"/>
        <v>3873220242</v>
      </c>
      <c r="K47" s="42">
        <f t="shared" si="54"/>
        <v>4146607014</v>
      </c>
      <c r="L47" s="42">
        <f>SUM(L35:L46)</f>
        <v>4490232144</v>
      </c>
      <c r="M47" s="42">
        <f>SUM(M35:M46)</f>
        <v>4872998352</v>
      </c>
      <c r="N47" s="42">
        <f>SUM(N35:N46)</f>
        <v>5786573550</v>
      </c>
      <c r="O47" s="42">
        <f>SUM(O35:O46)</f>
        <v>7964744893</v>
      </c>
      <c r="P47" s="42">
        <f>SUM(P35:P46)</f>
        <v>9158971248</v>
      </c>
      <c r="Q47" s="43">
        <f t="shared" ref="Q47:AP47" si="55">SUM(Q35:Q46)</f>
        <v>7801222920.4370041</v>
      </c>
      <c r="R47" s="43">
        <f t="shared" si="55"/>
        <v>8190474675.8414831</v>
      </c>
      <c r="S47" s="43">
        <f t="shared" si="55"/>
        <v>10042102421.456928</v>
      </c>
      <c r="T47" s="43">
        <f t="shared" si="55"/>
        <v>10369112158.055702</v>
      </c>
      <c r="U47" s="43">
        <f t="shared" si="55"/>
        <v>11515560949.812984</v>
      </c>
      <c r="V47" s="43">
        <f t="shared" si="55"/>
        <v>13091355953.478683</v>
      </c>
      <c r="W47" s="43">
        <f t="shared" si="55"/>
        <v>14302839812.952202</v>
      </c>
      <c r="X47" s="43">
        <f t="shared" si="55"/>
        <v>16925272923.298357</v>
      </c>
      <c r="Y47" s="43">
        <f t="shared" si="55"/>
        <v>17054293465.767179</v>
      </c>
      <c r="Z47" s="43">
        <f t="shared" si="55"/>
        <v>17458646366.554054</v>
      </c>
      <c r="AA47" s="43">
        <f t="shared" si="55"/>
        <v>18122106451.580467</v>
      </c>
      <c r="AB47" s="43">
        <f t="shared" si="55"/>
        <v>16196368760.592478</v>
      </c>
      <c r="AC47" s="43">
        <f t="shared" si="55"/>
        <v>17482035762.964142</v>
      </c>
      <c r="AD47" s="43">
        <f t="shared" si="55"/>
        <v>19222469102.937489</v>
      </c>
      <c r="AE47" s="43">
        <f t="shared" si="55"/>
        <v>18967602448.98399</v>
      </c>
      <c r="AF47" s="43">
        <f t="shared" si="55"/>
        <v>17318512544.570339</v>
      </c>
      <c r="AG47" s="43">
        <f t="shared" si="55"/>
        <v>18235400658.478001</v>
      </c>
      <c r="AH47" s="43">
        <f t="shared" si="55"/>
        <v>19004067711.623814</v>
      </c>
      <c r="AI47" s="43">
        <f t="shared" si="55"/>
        <v>19892335775.350281</v>
      </c>
      <c r="AJ47" s="43">
        <f t="shared" si="55"/>
        <v>20200515804.986065</v>
      </c>
      <c r="AK47" s="43">
        <f t="shared" si="55"/>
        <v>20416915095.057659</v>
      </c>
      <c r="AL47" s="43">
        <f t="shared" si="55"/>
        <v>20440574160.006088</v>
      </c>
      <c r="AM47" s="43">
        <f t="shared" si="55"/>
        <v>21220772313.597317</v>
      </c>
      <c r="AN47" s="43">
        <f t="shared" si="55"/>
        <v>21603675496.737659</v>
      </c>
      <c r="AO47" s="43">
        <f t="shared" si="55"/>
        <v>21974534670.865269</v>
      </c>
      <c r="AP47" s="43">
        <f t="shared" si="55"/>
        <v>22712784207.922722</v>
      </c>
      <c r="AQ47" s="43"/>
    </row>
    <row r="48" spans="1:43">
      <c r="A48" s="271"/>
      <c r="B48" s="271"/>
      <c r="C48" s="272">
        <f t="shared" ref="C48:P48" si="56">C47/B47-1</f>
        <v>4.232716563379217</v>
      </c>
      <c r="D48" s="272">
        <f t="shared" si="56"/>
        <v>2.7027426086176698E-2</v>
      </c>
      <c r="E48" s="272">
        <f t="shared" si="56"/>
        <v>0.57740217812591399</v>
      </c>
      <c r="F48" s="272">
        <f t="shared" si="56"/>
        <v>-1.1130178648983025E-2</v>
      </c>
      <c r="G48" s="272">
        <f t="shared" si="56"/>
        <v>3.1670397111094539E-2</v>
      </c>
      <c r="H48" s="272">
        <f t="shared" si="56"/>
        <v>0.43369414446309684</v>
      </c>
      <c r="I48" s="272">
        <f t="shared" si="56"/>
        <v>-3.9768853569839169E-2</v>
      </c>
      <c r="J48" s="272">
        <f t="shared" si="56"/>
        <v>6.3152310976457571E-3</v>
      </c>
      <c r="K48" s="272">
        <f t="shared" si="56"/>
        <v>7.0583843654300482E-2</v>
      </c>
      <c r="L48" s="272">
        <f>L47/K47-1</f>
        <v>8.2868988751486183E-2</v>
      </c>
      <c r="M48" s="272">
        <f>M47/L47-1</f>
        <v>8.5244191330166474E-2</v>
      </c>
      <c r="N48" s="272">
        <f t="shared" si="56"/>
        <v>0.18747701764049363</v>
      </c>
      <c r="O48" s="272">
        <f t="shared" si="56"/>
        <v>0.37641815561127712</v>
      </c>
      <c r="P48" s="272">
        <f t="shared" si="56"/>
        <v>0.14993905907138005</v>
      </c>
      <c r="Q48" s="271"/>
      <c r="R48" s="271"/>
      <c r="S48" s="271"/>
      <c r="T48" s="271"/>
      <c r="U48" s="271"/>
      <c r="V48" s="271"/>
      <c r="W48" s="271"/>
      <c r="X48" s="271"/>
      <c r="Y48" s="271"/>
      <c r="Z48" s="271"/>
      <c r="AA48" s="271"/>
      <c r="AB48" s="271"/>
      <c r="AC48" s="271"/>
      <c r="AD48" s="271"/>
      <c r="AE48" s="271"/>
      <c r="AF48" s="271"/>
      <c r="AG48" s="271"/>
      <c r="AH48" s="271"/>
      <c r="AI48" s="271"/>
      <c r="AJ48" s="271"/>
      <c r="AK48" s="271"/>
      <c r="AL48" s="271"/>
      <c r="AM48" s="271"/>
      <c r="AN48" s="271"/>
      <c r="AO48" s="271"/>
      <c r="AP48" s="271"/>
    </row>
    <row r="49" spans="1:43" ht="12" thickBot="1">
      <c r="A49" s="245" t="s">
        <v>378</v>
      </c>
    </row>
    <row r="50" spans="1:43" ht="12" thickBot="1">
      <c r="A50" s="270"/>
      <c r="B50" s="263">
        <v>2010</v>
      </c>
      <c r="C50" s="263">
        <v>2011</v>
      </c>
      <c r="D50" s="263">
        <v>2012</v>
      </c>
      <c r="E50" s="263">
        <v>2013</v>
      </c>
      <c r="F50" s="263">
        <v>2014</v>
      </c>
      <c r="G50" s="263">
        <v>2015</v>
      </c>
      <c r="H50" s="263">
        <v>2016</v>
      </c>
      <c r="I50" s="263">
        <v>2017</v>
      </c>
      <c r="J50" s="263">
        <v>2018</v>
      </c>
      <c r="K50" s="263">
        <v>2019</v>
      </c>
      <c r="L50" s="263">
        <v>2020</v>
      </c>
      <c r="M50" s="263">
        <v>2021</v>
      </c>
      <c r="N50" s="263">
        <v>2022</v>
      </c>
      <c r="O50" s="263">
        <v>2023</v>
      </c>
      <c r="P50" s="263">
        <v>2024</v>
      </c>
      <c r="Q50" s="263">
        <v>2025</v>
      </c>
      <c r="R50" s="263">
        <v>2026</v>
      </c>
      <c r="S50" s="263">
        <v>2027</v>
      </c>
      <c r="T50" s="263">
        <v>2028</v>
      </c>
      <c r="U50" s="263">
        <v>2029</v>
      </c>
      <c r="V50" s="263">
        <v>2030</v>
      </c>
      <c r="W50" s="263">
        <v>2031</v>
      </c>
      <c r="X50" s="263">
        <v>2032</v>
      </c>
      <c r="Y50" s="263">
        <v>2033</v>
      </c>
      <c r="Z50" s="263">
        <v>2034</v>
      </c>
      <c r="AA50" s="263">
        <v>2035</v>
      </c>
      <c r="AB50" s="263">
        <v>2036</v>
      </c>
      <c r="AC50" s="263">
        <v>2037</v>
      </c>
      <c r="AD50" s="263">
        <v>2038</v>
      </c>
      <c r="AE50" s="263">
        <v>2039</v>
      </c>
      <c r="AF50" s="263">
        <v>2040</v>
      </c>
      <c r="AG50" s="263">
        <v>2041</v>
      </c>
      <c r="AH50" s="263">
        <v>2042</v>
      </c>
      <c r="AI50" s="263">
        <v>2043</v>
      </c>
      <c r="AJ50" s="263">
        <v>2044</v>
      </c>
      <c r="AK50" s="263">
        <v>2045</v>
      </c>
      <c r="AL50" s="263">
        <v>2046</v>
      </c>
      <c r="AM50" s="263">
        <v>2047</v>
      </c>
      <c r="AN50" s="263">
        <v>2048</v>
      </c>
      <c r="AO50" s="263">
        <v>2049</v>
      </c>
      <c r="AP50" s="263">
        <v>2050</v>
      </c>
      <c r="AQ50" s="245"/>
    </row>
    <row r="51" spans="1:43">
      <c r="A51" s="40" t="s">
        <v>43</v>
      </c>
      <c r="B51" s="42">
        <f>B67+B83+B99</f>
        <v>0</v>
      </c>
      <c r="C51" s="42">
        <f t="shared" ref="C51:R62" si="57">C67+C83+C99</f>
        <v>53271669</v>
      </c>
      <c r="D51" s="42">
        <f t="shared" si="57"/>
        <v>91735219</v>
      </c>
      <c r="E51" s="42">
        <f t="shared" si="57"/>
        <v>108202056</v>
      </c>
      <c r="F51" s="42">
        <f t="shared" si="57"/>
        <v>88017643</v>
      </c>
      <c r="G51" s="42">
        <f t="shared" si="57"/>
        <v>96760380</v>
      </c>
      <c r="H51" s="42">
        <f t="shared" si="57"/>
        <v>159419136</v>
      </c>
      <c r="I51" s="42">
        <f t="shared" si="57"/>
        <v>130690446</v>
      </c>
      <c r="J51" s="42">
        <f t="shared" si="57"/>
        <v>181790071</v>
      </c>
      <c r="K51" s="42">
        <f>K67+K83+K99</f>
        <v>179219456</v>
      </c>
      <c r="L51" s="42">
        <f>L67+L83+L99</f>
        <v>198214877</v>
      </c>
      <c r="M51" s="42">
        <f>M67+M83+M99</f>
        <v>173760178</v>
      </c>
      <c r="N51" s="42">
        <f>N67+N83+N99</f>
        <v>155125743</v>
      </c>
      <c r="O51" s="42">
        <f>O67+O83+O99</f>
        <v>216198063</v>
      </c>
      <c r="P51" s="42">
        <f t="shared" ref="P51:AP60" si="58">P67+P83+P99</f>
        <v>241547475</v>
      </c>
      <c r="Q51" s="42">
        <f t="shared" si="58"/>
        <v>103157836</v>
      </c>
      <c r="R51" s="43">
        <f t="shared" si="58"/>
        <v>162064018.27191967</v>
      </c>
      <c r="S51" s="43">
        <f t="shared" si="58"/>
        <v>152336191.9448795</v>
      </c>
      <c r="T51" s="43">
        <f t="shared" si="58"/>
        <v>128444271.94754463</v>
      </c>
      <c r="U51" s="43">
        <f t="shared" si="58"/>
        <v>142196680.46030021</v>
      </c>
      <c r="V51" s="43">
        <f t="shared" si="58"/>
        <v>133743604.0019851</v>
      </c>
      <c r="W51" s="43">
        <f t="shared" si="58"/>
        <v>143067313.95417032</v>
      </c>
      <c r="X51" s="43">
        <f t="shared" si="58"/>
        <v>146527527.76824969</v>
      </c>
      <c r="Y51" s="43">
        <f t="shared" si="58"/>
        <v>167291053.41333938</v>
      </c>
      <c r="Z51" s="43">
        <f t="shared" si="58"/>
        <v>149463663.7116116</v>
      </c>
      <c r="AA51" s="43">
        <f t="shared" si="58"/>
        <v>144382734.23579073</v>
      </c>
      <c r="AB51" s="43">
        <f t="shared" si="58"/>
        <v>117024615.37162614</v>
      </c>
      <c r="AC51" s="43">
        <f t="shared" si="58"/>
        <v>96431344.383732662</v>
      </c>
      <c r="AD51" s="43">
        <f t="shared" si="58"/>
        <v>95399462.740525141</v>
      </c>
      <c r="AE51" s="43">
        <f t="shared" si="58"/>
        <v>77599251.212296203</v>
      </c>
      <c r="AF51" s="43">
        <f t="shared" si="58"/>
        <v>48426648.447837308</v>
      </c>
      <c r="AG51" s="43">
        <f t="shared" si="58"/>
        <v>52986407.630856223</v>
      </c>
      <c r="AH51" s="43">
        <f t="shared" si="58"/>
        <v>52481602.095260978</v>
      </c>
      <c r="AI51" s="43">
        <f t="shared" si="58"/>
        <v>44275932.489101954</v>
      </c>
      <c r="AJ51" s="43">
        <f t="shared" si="58"/>
        <v>44487691.411828727</v>
      </c>
      <c r="AK51" s="43">
        <f t="shared" si="58"/>
        <v>44653587.419265367</v>
      </c>
      <c r="AL51" s="43">
        <f t="shared" si="58"/>
        <v>44540873.526819244</v>
      </c>
      <c r="AM51" s="43">
        <f t="shared" si="58"/>
        <v>44604974.973246612</v>
      </c>
      <c r="AN51" s="43">
        <f t="shared" si="58"/>
        <v>45239324.350089513</v>
      </c>
      <c r="AO51" s="43">
        <f t="shared" si="58"/>
        <v>45886210.29762964</v>
      </c>
      <c r="AP51" s="43">
        <f t="shared" si="58"/>
        <v>46778917.484030113</v>
      </c>
      <c r="AQ51" s="43"/>
    </row>
    <row r="52" spans="1:43">
      <c r="A52" s="40" t="s">
        <v>44</v>
      </c>
      <c r="B52" s="42">
        <f t="shared" ref="B52:I62" si="59">B68+B84+B100</f>
        <v>0</v>
      </c>
      <c r="C52" s="42">
        <f t="shared" si="59"/>
        <v>64308501</v>
      </c>
      <c r="D52" s="42">
        <f t="shared" si="59"/>
        <v>114930742</v>
      </c>
      <c r="E52" s="42">
        <f t="shared" si="59"/>
        <v>116379087</v>
      </c>
      <c r="F52" s="42">
        <f t="shared" si="59"/>
        <v>110464334</v>
      </c>
      <c r="G52" s="42">
        <f t="shared" si="59"/>
        <v>101792011</v>
      </c>
      <c r="H52" s="42">
        <f t="shared" si="59"/>
        <v>171264385</v>
      </c>
      <c r="I52" s="42">
        <f t="shared" si="59"/>
        <v>162373986</v>
      </c>
      <c r="J52" s="42">
        <f t="shared" si="57"/>
        <v>190683567</v>
      </c>
      <c r="K52" s="42">
        <f t="shared" si="57"/>
        <v>192450159</v>
      </c>
      <c r="L52" s="42">
        <f t="shared" si="57"/>
        <v>209252273</v>
      </c>
      <c r="M52" s="42">
        <f t="shared" si="57"/>
        <v>176315925</v>
      </c>
      <c r="N52" s="42">
        <f t="shared" si="57"/>
        <v>175781747</v>
      </c>
      <c r="O52" s="42">
        <f>O68+O84+O100</f>
        <v>233310207</v>
      </c>
      <c r="P52" s="42">
        <f t="shared" si="58"/>
        <v>266634407</v>
      </c>
      <c r="Q52" s="42">
        <f t="shared" si="58"/>
        <v>120197649</v>
      </c>
      <c r="R52" s="43">
        <f t="shared" si="58"/>
        <v>175105558.06290424</v>
      </c>
      <c r="S52" s="43">
        <f t="shared" si="58"/>
        <v>166706788.3079505</v>
      </c>
      <c r="T52" s="43">
        <f t="shared" si="58"/>
        <v>140555761.70918044</v>
      </c>
      <c r="U52" s="43">
        <f t="shared" si="58"/>
        <v>156388403.77029359</v>
      </c>
      <c r="V52" s="43">
        <f t="shared" si="58"/>
        <v>147545263.57821965</v>
      </c>
      <c r="W52" s="43">
        <f t="shared" si="58"/>
        <v>156484229.46107545</v>
      </c>
      <c r="X52" s="43">
        <f t="shared" si="58"/>
        <v>159911366.42499506</v>
      </c>
      <c r="Y52" s="43">
        <f t="shared" si="58"/>
        <v>149775522.47360122</v>
      </c>
      <c r="Z52" s="43">
        <f t="shared" si="58"/>
        <v>145505291.93523717</v>
      </c>
      <c r="AA52" s="43">
        <f t="shared" si="58"/>
        <v>138328749.9390966</v>
      </c>
      <c r="AB52" s="43">
        <f t="shared" si="58"/>
        <v>116529838.0956566</v>
      </c>
      <c r="AC52" s="43">
        <f t="shared" si="58"/>
        <v>94448184.164365605</v>
      </c>
      <c r="AD52" s="43">
        <f t="shared" si="58"/>
        <v>90593541.879339501</v>
      </c>
      <c r="AE52" s="43">
        <f t="shared" si="58"/>
        <v>75033481.006547987</v>
      </c>
      <c r="AF52" s="43">
        <f t="shared" si="58"/>
        <v>47724583.10554406</v>
      </c>
      <c r="AG52" s="43">
        <f t="shared" si="58"/>
        <v>52225623.708684877</v>
      </c>
      <c r="AH52" s="43">
        <f t="shared" si="58"/>
        <v>51430063.774619184</v>
      </c>
      <c r="AI52" s="43">
        <f t="shared" si="58"/>
        <v>43656095.105039924</v>
      </c>
      <c r="AJ52" s="43">
        <f t="shared" si="58"/>
        <v>44032961.385747373</v>
      </c>
      <c r="AK52" s="43">
        <f t="shared" si="58"/>
        <v>44185397.684608534</v>
      </c>
      <c r="AL52" s="43">
        <f t="shared" si="58"/>
        <v>44078425.793979414</v>
      </c>
      <c r="AM52" s="43">
        <f t="shared" si="58"/>
        <v>44090975.79848782</v>
      </c>
      <c r="AN52" s="43">
        <f t="shared" si="58"/>
        <v>44687867.75001514</v>
      </c>
      <c r="AO52" s="43">
        <f t="shared" si="58"/>
        <v>45319465.842440411</v>
      </c>
      <c r="AP52" s="43">
        <f t="shared" si="58"/>
        <v>46149805.33630769</v>
      </c>
      <c r="AQ52" s="43"/>
    </row>
    <row r="53" spans="1:43">
      <c r="A53" s="40" t="s">
        <v>45</v>
      </c>
      <c r="B53" s="42">
        <f t="shared" si="59"/>
        <v>0</v>
      </c>
      <c r="C53" s="42">
        <f t="shared" si="59"/>
        <v>101956547</v>
      </c>
      <c r="D53" s="42">
        <f t="shared" si="59"/>
        <v>150887615</v>
      </c>
      <c r="E53" s="42">
        <f t="shared" si="59"/>
        <v>165601562</v>
      </c>
      <c r="F53" s="42">
        <f t="shared" si="59"/>
        <v>155851633</v>
      </c>
      <c r="G53" s="42">
        <f t="shared" si="59"/>
        <v>151369041</v>
      </c>
      <c r="H53" s="42">
        <f t="shared" si="59"/>
        <v>202888713</v>
      </c>
      <c r="I53" s="42">
        <f t="shared" si="59"/>
        <v>228068936</v>
      </c>
      <c r="J53" s="42">
        <f t="shared" si="57"/>
        <v>241260013</v>
      </c>
      <c r="K53" s="42">
        <f t="shared" si="57"/>
        <v>239574981</v>
      </c>
      <c r="L53" s="42">
        <f t="shared" si="57"/>
        <v>253004708</v>
      </c>
      <c r="M53" s="42">
        <f t="shared" si="57"/>
        <v>248228552</v>
      </c>
      <c r="N53" s="42">
        <f t="shared" si="57"/>
        <v>237824695</v>
      </c>
      <c r="O53" s="42">
        <f t="shared" si="57"/>
        <v>263515687</v>
      </c>
      <c r="P53" s="42">
        <f t="shared" si="58"/>
        <v>245066198</v>
      </c>
      <c r="Q53" s="42">
        <f t="shared" si="58"/>
        <v>149604103</v>
      </c>
      <c r="R53" s="43">
        <f t="shared" si="58"/>
        <v>191064806.27853993</v>
      </c>
      <c r="S53" s="43">
        <f t="shared" si="58"/>
        <v>188402206.23884481</v>
      </c>
      <c r="T53" s="43">
        <f t="shared" si="58"/>
        <v>152269391.20125565</v>
      </c>
      <c r="U53" s="43">
        <f t="shared" si="58"/>
        <v>167726005.40399131</v>
      </c>
      <c r="V53" s="43">
        <f t="shared" si="58"/>
        <v>164996062.92769524</v>
      </c>
      <c r="W53" s="43">
        <f t="shared" si="58"/>
        <v>172064808.46587437</v>
      </c>
      <c r="X53" s="43">
        <f t="shared" si="58"/>
        <v>177214134.60284474</v>
      </c>
      <c r="Y53" s="43">
        <f t="shared" si="58"/>
        <v>165248373.00678301</v>
      </c>
      <c r="Z53" s="43">
        <f t="shared" si="58"/>
        <v>160731850.78757098</v>
      </c>
      <c r="AA53" s="43">
        <f t="shared" si="58"/>
        <v>153680783.30950838</v>
      </c>
      <c r="AB53" s="43">
        <f t="shared" si="58"/>
        <v>129172928.73248798</v>
      </c>
      <c r="AC53" s="43">
        <f t="shared" si="58"/>
        <v>104591225.92170675</v>
      </c>
      <c r="AD53" s="43">
        <f t="shared" si="58"/>
        <v>100785711.55368873</v>
      </c>
      <c r="AE53" s="43">
        <f t="shared" si="58"/>
        <v>83504484.326986045</v>
      </c>
      <c r="AF53" s="43">
        <f t="shared" si="58"/>
        <v>52281161.823886462</v>
      </c>
      <c r="AG53" s="43">
        <f t="shared" si="58"/>
        <v>57384346.640147001</v>
      </c>
      <c r="AH53" s="43">
        <f t="shared" si="58"/>
        <v>56478856.569450088</v>
      </c>
      <c r="AI53" s="43">
        <f t="shared" si="58"/>
        <v>47584122.771708526</v>
      </c>
      <c r="AJ53" s="43">
        <f t="shared" si="58"/>
        <v>48023432.116685346</v>
      </c>
      <c r="AK53" s="43">
        <f t="shared" si="58"/>
        <v>48197779.69191654</v>
      </c>
      <c r="AL53" s="43">
        <f t="shared" si="58"/>
        <v>48068867.753958881</v>
      </c>
      <c r="AM53" s="43">
        <f t="shared" si="58"/>
        <v>48084820.870575503</v>
      </c>
      <c r="AN53" s="43">
        <f t="shared" si="58"/>
        <v>48769002.883472234</v>
      </c>
      <c r="AO53" s="43">
        <f t="shared" si="58"/>
        <v>49492650.705726795</v>
      </c>
      <c r="AP53" s="43">
        <f t="shared" si="58"/>
        <v>50442301.749420054</v>
      </c>
      <c r="AQ53" s="43"/>
    </row>
    <row r="54" spans="1:43">
      <c r="A54" s="40" t="s">
        <v>46</v>
      </c>
      <c r="B54" s="42">
        <f t="shared" si="59"/>
        <v>0</v>
      </c>
      <c r="C54" s="42">
        <f t="shared" si="59"/>
        <v>108769770</v>
      </c>
      <c r="D54" s="42">
        <f t="shared" si="59"/>
        <v>142860867</v>
      </c>
      <c r="E54" s="42">
        <f t="shared" si="59"/>
        <v>173618054</v>
      </c>
      <c r="F54" s="42">
        <f t="shared" si="59"/>
        <v>163667512</v>
      </c>
      <c r="G54" s="42">
        <f t="shared" si="59"/>
        <v>177848354</v>
      </c>
      <c r="H54" s="42">
        <f t="shared" si="59"/>
        <v>233165754</v>
      </c>
      <c r="I54" s="42">
        <f t="shared" si="59"/>
        <v>217770174</v>
      </c>
      <c r="J54" s="42">
        <f t="shared" si="57"/>
        <v>240863863</v>
      </c>
      <c r="K54" s="42">
        <f t="shared" si="57"/>
        <v>273616407</v>
      </c>
      <c r="L54" s="42">
        <f t="shared" si="57"/>
        <v>252062129</v>
      </c>
      <c r="M54" s="42">
        <f t="shared" si="57"/>
        <v>242602774</v>
      </c>
      <c r="N54" s="42">
        <f t="shared" si="57"/>
        <v>261241582</v>
      </c>
      <c r="O54" s="42">
        <f t="shared" si="57"/>
        <v>253202525</v>
      </c>
      <c r="P54" s="42">
        <f t="shared" si="58"/>
        <v>274986074</v>
      </c>
      <c r="Q54" s="43">
        <f t="shared" si="58"/>
        <v>246411168.68109867</v>
      </c>
      <c r="R54" s="43">
        <f t="shared" si="58"/>
        <v>210291925.87734193</v>
      </c>
      <c r="S54" s="43">
        <f t="shared" si="58"/>
        <v>212822343.20922536</v>
      </c>
      <c r="T54" s="43">
        <f t="shared" si="58"/>
        <v>175075338.20249</v>
      </c>
      <c r="U54" s="43">
        <f t="shared" si="58"/>
        <v>201206804.9683342</v>
      </c>
      <c r="V54" s="43">
        <f t="shared" si="58"/>
        <v>203391900.25871563</v>
      </c>
      <c r="W54" s="43">
        <f t="shared" si="58"/>
        <v>199552786.63814273</v>
      </c>
      <c r="X54" s="43">
        <f t="shared" si="58"/>
        <v>206182452.70742893</v>
      </c>
      <c r="Y54" s="43">
        <f t="shared" si="58"/>
        <v>193561860.70588791</v>
      </c>
      <c r="Z54" s="43">
        <f t="shared" si="58"/>
        <v>189340192.9337126</v>
      </c>
      <c r="AA54" s="43">
        <f t="shared" si="58"/>
        <v>180379058.60215396</v>
      </c>
      <c r="AB54" s="43">
        <f t="shared" si="58"/>
        <v>150368946.74711779</v>
      </c>
      <c r="AC54" s="43">
        <f t="shared" si="58"/>
        <v>122335911.34121567</v>
      </c>
      <c r="AD54" s="43">
        <f t="shared" si="58"/>
        <v>117233855.66138454</v>
      </c>
      <c r="AE54" s="43">
        <f t="shared" si="58"/>
        <v>97195356.274765149</v>
      </c>
      <c r="AF54" s="43">
        <f t="shared" si="58"/>
        <v>62244865.531770647</v>
      </c>
      <c r="AG54" s="43">
        <f t="shared" si="58"/>
        <v>67871989.166474015</v>
      </c>
      <c r="AH54" s="43">
        <f t="shared" si="58"/>
        <v>66926090.206993029</v>
      </c>
      <c r="AI54" s="43">
        <f t="shared" si="58"/>
        <v>57013863.524792269</v>
      </c>
      <c r="AJ54" s="43">
        <f t="shared" si="58"/>
        <v>57497012.808973335</v>
      </c>
      <c r="AK54" s="43">
        <f t="shared" si="58"/>
        <v>57675310.823170356</v>
      </c>
      <c r="AL54" s="43">
        <f t="shared" si="58"/>
        <v>57529271.476238787</v>
      </c>
      <c r="AM54" s="43">
        <f t="shared" si="58"/>
        <v>57557978.87417686</v>
      </c>
      <c r="AN54" s="43">
        <f t="shared" si="58"/>
        <v>58322331.589585043</v>
      </c>
      <c r="AO54" s="43">
        <f t="shared" si="58"/>
        <v>59127292.617490955</v>
      </c>
      <c r="AP54" s="43">
        <f t="shared" si="58"/>
        <v>60185412.086811997</v>
      </c>
      <c r="AQ54" s="43"/>
    </row>
    <row r="55" spans="1:43">
      <c r="A55" s="40" t="s">
        <v>47</v>
      </c>
      <c r="B55" s="42">
        <f t="shared" si="59"/>
        <v>0</v>
      </c>
      <c r="C55" s="42">
        <f t="shared" si="59"/>
        <v>119716882</v>
      </c>
      <c r="D55" s="42">
        <f t="shared" si="59"/>
        <v>171829201</v>
      </c>
      <c r="E55" s="42">
        <f t="shared" si="59"/>
        <v>193448338</v>
      </c>
      <c r="F55" s="42">
        <f t="shared" si="59"/>
        <v>172076318</v>
      </c>
      <c r="G55" s="42">
        <f t="shared" si="59"/>
        <v>203927694</v>
      </c>
      <c r="H55" s="42">
        <f t="shared" si="59"/>
        <v>253506609</v>
      </c>
      <c r="I55" s="42">
        <f t="shared" si="59"/>
        <v>279161399</v>
      </c>
      <c r="J55" s="42">
        <f t="shared" si="57"/>
        <v>273442160</v>
      </c>
      <c r="K55" s="42">
        <f t="shared" si="57"/>
        <v>269550965</v>
      </c>
      <c r="L55" s="42">
        <f t="shared" si="57"/>
        <v>242734467</v>
      </c>
      <c r="M55" s="42">
        <f t="shared" si="57"/>
        <v>245745872</v>
      </c>
      <c r="N55" s="42">
        <f t="shared" si="57"/>
        <v>227480288</v>
      </c>
      <c r="O55" s="42">
        <f t="shared" si="57"/>
        <v>304523196</v>
      </c>
      <c r="P55" s="42">
        <f t="shared" si="58"/>
        <v>266302932</v>
      </c>
      <c r="Q55" s="43">
        <f t="shared" si="58"/>
        <v>245477854.03929749</v>
      </c>
      <c r="R55" s="43">
        <f t="shared" si="58"/>
        <v>215846101.77426052</v>
      </c>
      <c r="S55" s="43">
        <f t="shared" si="58"/>
        <v>218870443.15027505</v>
      </c>
      <c r="T55" s="43">
        <f t="shared" si="58"/>
        <v>183516064.70385244</v>
      </c>
      <c r="U55" s="43">
        <f t="shared" si="58"/>
        <v>204073705.00384188</v>
      </c>
      <c r="V55" s="43">
        <f t="shared" si="58"/>
        <v>207568318.58854967</v>
      </c>
      <c r="W55" s="43">
        <f t="shared" si="58"/>
        <v>204981171.89932975</v>
      </c>
      <c r="X55" s="43">
        <f t="shared" si="58"/>
        <v>213184365.0683493</v>
      </c>
      <c r="Y55" s="43">
        <f t="shared" si="58"/>
        <v>200252811.76005</v>
      </c>
      <c r="Z55" s="43">
        <f t="shared" si="58"/>
        <v>195069830.2517046</v>
      </c>
      <c r="AA55" s="43">
        <f t="shared" si="58"/>
        <v>186430357.02567458</v>
      </c>
      <c r="AB55" s="43">
        <f t="shared" si="58"/>
        <v>155651347.38511536</v>
      </c>
      <c r="AC55" s="43">
        <f t="shared" si="58"/>
        <v>126469184.48872714</v>
      </c>
      <c r="AD55" s="43">
        <f t="shared" si="58"/>
        <v>121789193.53946947</v>
      </c>
      <c r="AE55" s="43">
        <f t="shared" si="58"/>
        <v>100901218.80201843</v>
      </c>
      <c r="AF55" s="43">
        <f t="shared" si="58"/>
        <v>63551655.659611076</v>
      </c>
      <c r="AG55" s="43">
        <f t="shared" si="58"/>
        <v>69579423.842029214</v>
      </c>
      <c r="AH55" s="43">
        <f t="shared" si="58"/>
        <v>68562936.87260437</v>
      </c>
      <c r="AI55" s="43">
        <f t="shared" si="58"/>
        <v>57951192.308588035</v>
      </c>
      <c r="AJ55" s="43">
        <f t="shared" si="58"/>
        <v>58465002.51599972</v>
      </c>
      <c r="AK55" s="43">
        <f t="shared" si="58"/>
        <v>58662360.093881607</v>
      </c>
      <c r="AL55" s="43">
        <f t="shared" si="58"/>
        <v>58506051.572551608</v>
      </c>
      <c r="AM55" s="43">
        <f t="shared" si="58"/>
        <v>58535379.470104516</v>
      </c>
      <c r="AN55" s="43">
        <f t="shared" si="58"/>
        <v>59352303.193902001</v>
      </c>
      <c r="AO55" s="43">
        <f t="shared" si="58"/>
        <v>60213780.869941711</v>
      </c>
      <c r="AP55" s="43">
        <f t="shared" si="58"/>
        <v>61346813.605210036</v>
      </c>
      <c r="AQ55" s="43"/>
    </row>
    <row r="56" spans="1:43">
      <c r="A56" s="40" t="s">
        <v>48</v>
      </c>
      <c r="B56" s="42">
        <f t="shared" si="59"/>
        <v>0</v>
      </c>
      <c r="C56" s="42">
        <f t="shared" si="59"/>
        <v>121941753</v>
      </c>
      <c r="D56" s="42">
        <f t="shared" si="59"/>
        <v>168738851</v>
      </c>
      <c r="E56" s="42">
        <f t="shared" si="59"/>
        <v>198331977</v>
      </c>
      <c r="F56" s="42">
        <f t="shared" si="59"/>
        <v>178186111</v>
      </c>
      <c r="G56" s="42">
        <f t="shared" si="59"/>
        <v>221332568</v>
      </c>
      <c r="H56" s="42">
        <f t="shared" si="59"/>
        <v>299035624</v>
      </c>
      <c r="I56" s="42">
        <f t="shared" si="59"/>
        <v>343163868</v>
      </c>
      <c r="J56" s="42">
        <f t="shared" si="57"/>
        <v>259177078</v>
      </c>
      <c r="K56" s="42">
        <f t="shared" si="57"/>
        <v>245240505</v>
      </c>
      <c r="L56" s="42">
        <f t="shared" si="57"/>
        <v>273406391</v>
      </c>
      <c r="M56" s="42">
        <f t="shared" si="57"/>
        <v>258071727</v>
      </c>
      <c r="N56" s="42">
        <f t="shared" si="57"/>
        <v>243257783</v>
      </c>
      <c r="O56" s="42">
        <f t="shared" si="57"/>
        <v>291282197</v>
      </c>
      <c r="P56" s="42">
        <f t="shared" si="58"/>
        <v>255667327</v>
      </c>
      <c r="Q56" s="43">
        <f t="shared" si="58"/>
        <v>252629303.09320289</v>
      </c>
      <c r="R56" s="43">
        <f t="shared" si="58"/>
        <v>216056915.949395</v>
      </c>
      <c r="S56" s="43">
        <f t="shared" si="58"/>
        <v>217160467.54754674</v>
      </c>
      <c r="T56" s="43">
        <f t="shared" si="58"/>
        <v>180571279.09167966</v>
      </c>
      <c r="U56" s="43">
        <f t="shared" si="58"/>
        <v>202296843.33202264</v>
      </c>
      <c r="V56" s="43">
        <f t="shared" si="58"/>
        <v>207787418.47519621</v>
      </c>
      <c r="W56" s="43">
        <f t="shared" si="58"/>
        <v>203771331.23820716</v>
      </c>
      <c r="X56" s="43">
        <f t="shared" si="58"/>
        <v>211083663.58193943</v>
      </c>
      <c r="Y56" s="43">
        <f t="shared" si="58"/>
        <v>198242267.33778372</v>
      </c>
      <c r="Z56" s="43">
        <f t="shared" si="58"/>
        <v>193464587.87323296</v>
      </c>
      <c r="AA56" s="43">
        <f t="shared" si="58"/>
        <v>184904506.02608088</v>
      </c>
      <c r="AB56" s="43">
        <f t="shared" si="58"/>
        <v>154146509.29225552</v>
      </c>
      <c r="AC56" s="43">
        <f t="shared" si="58"/>
        <v>125288958.75887939</v>
      </c>
      <c r="AD56" s="43">
        <f t="shared" si="58"/>
        <v>120438077.69698329</v>
      </c>
      <c r="AE56" s="43">
        <f t="shared" si="58"/>
        <v>99822570.660098046</v>
      </c>
      <c r="AF56" s="43">
        <f t="shared" si="58"/>
        <v>63290353.914564393</v>
      </c>
      <c r="AG56" s="43">
        <f t="shared" si="58"/>
        <v>69167084.084068373</v>
      </c>
      <c r="AH56" s="43">
        <f t="shared" si="58"/>
        <v>68174367.73182793</v>
      </c>
      <c r="AI56" s="43">
        <f t="shared" si="58"/>
        <v>57803073.609315269</v>
      </c>
      <c r="AJ56" s="43">
        <f t="shared" si="58"/>
        <v>58308522.835620895</v>
      </c>
      <c r="AK56" s="43">
        <f t="shared" si="58"/>
        <v>58498767.952933282</v>
      </c>
      <c r="AL56" s="43">
        <f t="shared" si="58"/>
        <v>58343939.709724724</v>
      </c>
      <c r="AM56" s="43">
        <f t="shared" si="58"/>
        <v>58373545.815615125</v>
      </c>
      <c r="AN56" s="43">
        <f t="shared" si="58"/>
        <v>59173334.137983367</v>
      </c>
      <c r="AO56" s="43">
        <f t="shared" si="58"/>
        <v>60015777.431569129</v>
      </c>
      <c r="AP56" s="43">
        <f t="shared" si="58"/>
        <v>61123150.853651904</v>
      </c>
      <c r="AQ56" s="43"/>
    </row>
    <row r="57" spans="1:43">
      <c r="A57" s="40" t="s">
        <v>49</v>
      </c>
      <c r="B57" s="42">
        <f t="shared" si="59"/>
        <v>58367465</v>
      </c>
      <c r="C57" s="42">
        <f t="shared" si="59"/>
        <v>134099122</v>
      </c>
      <c r="D57" s="42">
        <f t="shared" si="59"/>
        <v>149991047</v>
      </c>
      <c r="E57" s="42">
        <f t="shared" si="59"/>
        <v>202200933</v>
      </c>
      <c r="F57" s="42">
        <f t="shared" si="59"/>
        <v>217261833</v>
      </c>
      <c r="G57" s="42">
        <f t="shared" si="59"/>
        <v>249350610</v>
      </c>
      <c r="H57" s="42">
        <f t="shared" si="59"/>
        <v>246940380</v>
      </c>
      <c r="I57" s="42">
        <f t="shared" si="59"/>
        <v>307384801</v>
      </c>
      <c r="J57" s="42">
        <f t="shared" si="57"/>
        <v>262640333</v>
      </c>
      <c r="K57" s="42">
        <f t="shared" si="57"/>
        <v>278672201</v>
      </c>
      <c r="L57" s="42">
        <f t="shared" si="57"/>
        <v>274103584</v>
      </c>
      <c r="M57" s="42">
        <f t="shared" si="57"/>
        <v>243412375</v>
      </c>
      <c r="N57" s="42">
        <f t="shared" si="57"/>
        <v>219394940</v>
      </c>
      <c r="O57" s="42">
        <f t="shared" si="57"/>
        <v>259371473</v>
      </c>
      <c r="P57" s="42">
        <f t="shared" si="58"/>
        <v>251120764</v>
      </c>
      <c r="Q57" s="43">
        <f t="shared" si="58"/>
        <v>240862968.4480167</v>
      </c>
      <c r="R57" s="43">
        <f t="shared" si="58"/>
        <v>204970817.40615013</v>
      </c>
      <c r="S57" s="43">
        <f t="shared" si="58"/>
        <v>206378894.20043153</v>
      </c>
      <c r="T57" s="43">
        <f t="shared" si="58"/>
        <v>171020501.79793128</v>
      </c>
      <c r="U57" s="43">
        <f t="shared" si="58"/>
        <v>194646824.42366356</v>
      </c>
      <c r="V57" s="43">
        <f t="shared" si="58"/>
        <v>197819066.98220205</v>
      </c>
      <c r="W57" s="43">
        <f t="shared" si="58"/>
        <v>194048228.90109223</v>
      </c>
      <c r="X57" s="43">
        <f t="shared" si="58"/>
        <v>202477104.14060685</v>
      </c>
      <c r="Y57" s="43">
        <f t="shared" si="58"/>
        <v>190433875.43443218</v>
      </c>
      <c r="Z57" s="43">
        <f t="shared" si="58"/>
        <v>185933296.6281943</v>
      </c>
      <c r="AA57" s="43">
        <f t="shared" si="58"/>
        <v>177668575.80608353</v>
      </c>
      <c r="AB57" s="43">
        <f t="shared" si="58"/>
        <v>148246850.26217687</v>
      </c>
      <c r="AC57" s="43">
        <f t="shared" si="58"/>
        <v>120396469.97930025</v>
      </c>
      <c r="AD57" s="43">
        <f t="shared" si="58"/>
        <v>116349682.56097661</v>
      </c>
      <c r="AE57" s="43">
        <f t="shared" si="58"/>
        <v>96404073.893240929</v>
      </c>
      <c r="AF57" s="43">
        <f t="shared" si="58"/>
        <v>60081633.630805045</v>
      </c>
      <c r="AG57" s="43">
        <f t="shared" si="58"/>
        <v>65925007.424559824</v>
      </c>
      <c r="AH57" s="43">
        <f t="shared" si="58"/>
        <v>64948181.584593438</v>
      </c>
      <c r="AI57" s="43">
        <f t="shared" si="58"/>
        <v>54642337.768225454</v>
      </c>
      <c r="AJ57" s="43">
        <f t="shared" si="58"/>
        <v>55141147.928200662</v>
      </c>
      <c r="AK57" s="43">
        <f t="shared" si="58"/>
        <v>55328366.553563081</v>
      </c>
      <c r="AL57" s="43">
        <f t="shared" si="58"/>
        <v>55175928.890240289</v>
      </c>
      <c r="AM57" s="43">
        <f t="shared" si="58"/>
        <v>55206587.211597718</v>
      </c>
      <c r="AN57" s="43">
        <f t="shared" si="58"/>
        <v>56000949.098195106</v>
      </c>
      <c r="AO57" s="43">
        <f t="shared" si="58"/>
        <v>56837486.225210905</v>
      </c>
      <c r="AP57" s="43">
        <f t="shared" si="58"/>
        <v>57937873.127306521</v>
      </c>
      <c r="AQ57" s="43"/>
    </row>
    <row r="58" spans="1:43">
      <c r="A58" s="40" t="s">
        <v>50</v>
      </c>
      <c r="B58" s="42">
        <f t="shared" si="59"/>
        <v>46723894</v>
      </c>
      <c r="C58" s="42">
        <f t="shared" si="59"/>
        <v>154998524</v>
      </c>
      <c r="D58" s="42">
        <f t="shared" si="59"/>
        <v>149482633</v>
      </c>
      <c r="E58" s="42">
        <f t="shared" si="59"/>
        <v>219090152</v>
      </c>
      <c r="F58" s="42">
        <f t="shared" si="59"/>
        <v>202791461</v>
      </c>
      <c r="G58" s="42">
        <f t="shared" si="59"/>
        <v>234415962</v>
      </c>
      <c r="H58" s="42">
        <f t="shared" si="59"/>
        <v>334638767</v>
      </c>
      <c r="I58" s="42">
        <f t="shared" si="59"/>
        <v>314369851</v>
      </c>
      <c r="J58" s="42">
        <f t="shared" si="57"/>
        <v>290482299</v>
      </c>
      <c r="K58" s="42">
        <f t="shared" si="57"/>
        <v>243634522</v>
      </c>
      <c r="L58" s="42">
        <f t="shared" si="57"/>
        <v>281771414</v>
      </c>
      <c r="M58" s="42">
        <f t="shared" si="57"/>
        <v>248448776</v>
      </c>
      <c r="N58" s="42">
        <f t="shared" si="57"/>
        <v>250657504</v>
      </c>
      <c r="O58" s="42">
        <f t="shared" si="57"/>
        <v>294881160</v>
      </c>
      <c r="P58" s="42">
        <f t="shared" si="58"/>
        <v>244230265</v>
      </c>
      <c r="Q58" s="43">
        <f t="shared" si="58"/>
        <v>252828762.09381974</v>
      </c>
      <c r="R58" s="43">
        <f t="shared" si="58"/>
        <v>216645509.4969289</v>
      </c>
      <c r="S58" s="43">
        <f t="shared" si="58"/>
        <v>219166135.40715864</v>
      </c>
      <c r="T58" s="43">
        <f t="shared" si="58"/>
        <v>180216742.55207837</v>
      </c>
      <c r="U58" s="43">
        <f t="shared" si="58"/>
        <v>201383409.23985276</v>
      </c>
      <c r="V58" s="43">
        <f t="shared" si="58"/>
        <v>208026532.15718913</v>
      </c>
      <c r="W58" s="43">
        <f t="shared" si="58"/>
        <v>204105987.21893781</v>
      </c>
      <c r="X58" s="43">
        <f t="shared" si="58"/>
        <v>212205029.72755644</v>
      </c>
      <c r="Y58" s="43">
        <f t="shared" si="58"/>
        <v>199080020.83653873</v>
      </c>
      <c r="Z58" s="43">
        <f t="shared" si="58"/>
        <v>194269410.95322806</v>
      </c>
      <c r="AA58" s="43">
        <f t="shared" si="58"/>
        <v>185982536.95202887</v>
      </c>
      <c r="AB58" s="43">
        <f t="shared" si="58"/>
        <v>155093876.43850014</v>
      </c>
      <c r="AC58" s="43">
        <f t="shared" si="58"/>
        <v>125952302.89015737</v>
      </c>
      <c r="AD58" s="43">
        <f t="shared" si="58"/>
        <v>121444583.4659619</v>
      </c>
      <c r="AE58" s="43">
        <f t="shared" si="58"/>
        <v>100652252.93965134</v>
      </c>
      <c r="AF58" s="43">
        <f t="shared" si="58"/>
        <v>63155553.518441498</v>
      </c>
      <c r="AG58" s="43">
        <f t="shared" si="58"/>
        <v>69183085.212946519</v>
      </c>
      <c r="AH58" s="43">
        <f t="shared" si="58"/>
        <v>68162723.531019568</v>
      </c>
      <c r="AI58" s="43">
        <f t="shared" si="58"/>
        <v>57513737.099778824</v>
      </c>
      <c r="AJ58" s="43">
        <f t="shared" si="58"/>
        <v>58034340.464509025</v>
      </c>
      <c r="AK58" s="43">
        <f t="shared" si="58"/>
        <v>58230582.471367739</v>
      </c>
      <c r="AL58" s="43">
        <f t="shared" si="58"/>
        <v>58070498.335731894</v>
      </c>
      <c r="AM58" s="43">
        <f t="shared" si="58"/>
        <v>58100762.573843941</v>
      </c>
      <c r="AN58" s="43">
        <f t="shared" si="58"/>
        <v>58921971.582882226</v>
      </c>
      <c r="AO58" s="43">
        <f t="shared" si="58"/>
        <v>59787177.611462817</v>
      </c>
      <c r="AP58" s="43">
        <f t="shared" si="58"/>
        <v>60924102.656165592</v>
      </c>
      <c r="AQ58" s="43"/>
    </row>
    <row r="59" spans="1:43">
      <c r="A59" s="40" t="s">
        <v>51</v>
      </c>
      <c r="B59" s="42">
        <f t="shared" si="59"/>
        <v>55379939</v>
      </c>
      <c r="C59" s="42">
        <f t="shared" si="59"/>
        <v>178092753</v>
      </c>
      <c r="D59" s="42">
        <f t="shared" si="59"/>
        <v>128016128</v>
      </c>
      <c r="E59" s="42">
        <f t="shared" si="59"/>
        <v>207397523</v>
      </c>
      <c r="F59" s="42">
        <f t="shared" si="59"/>
        <v>205415647</v>
      </c>
      <c r="G59" s="42">
        <f t="shared" si="59"/>
        <v>209504028</v>
      </c>
      <c r="H59" s="42">
        <f t="shared" si="59"/>
        <v>329813156</v>
      </c>
      <c r="I59" s="42">
        <f t="shared" si="59"/>
        <v>264348723</v>
      </c>
      <c r="J59" s="42">
        <f>J75+J91+J107</f>
        <v>253234868</v>
      </c>
      <c r="K59" s="42">
        <f t="shared" si="57"/>
        <v>237781216</v>
      </c>
      <c r="L59" s="42">
        <f t="shared" si="57"/>
        <v>272882851</v>
      </c>
      <c r="M59" s="42">
        <f t="shared" si="57"/>
        <v>227593748</v>
      </c>
      <c r="N59" s="42">
        <f t="shared" si="57"/>
        <v>241431237</v>
      </c>
      <c r="O59" s="42">
        <f t="shared" si="57"/>
        <v>276505851</v>
      </c>
      <c r="P59" s="42">
        <f t="shared" si="58"/>
        <v>238297305</v>
      </c>
      <c r="Q59" s="43">
        <f t="shared" si="58"/>
        <v>242561699.61035651</v>
      </c>
      <c r="R59" s="43">
        <f t="shared" si="58"/>
        <v>204817588.33261621</v>
      </c>
      <c r="S59" s="43">
        <f t="shared" si="58"/>
        <v>208600837.37781554</v>
      </c>
      <c r="T59" s="43">
        <f t="shared" si="58"/>
        <v>171724854.7147868</v>
      </c>
      <c r="U59" s="43">
        <f t="shared" si="58"/>
        <v>192613127.1681397</v>
      </c>
      <c r="V59" s="43">
        <f t="shared" si="58"/>
        <v>198348443.12520704</v>
      </c>
      <c r="W59" s="43">
        <f t="shared" si="58"/>
        <v>194277232.77111709</v>
      </c>
      <c r="X59" s="43">
        <f t="shared" si="58"/>
        <v>201953965.85524833</v>
      </c>
      <c r="Y59" s="43">
        <f t="shared" si="58"/>
        <v>189484436.32922697</v>
      </c>
      <c r="Z59" s="43">
        <f t="shared" si="58"/>
        <v>184950789.37195596</v>
      </c>
      <c r="AA59" s="43">
        <f t="shared" si="58"/>
        <v>176898056.89543974</v>
      </c>
      <c r="AB59" s="43">
        <f t="shared" si="58"/>
        <v>147487027.10811502</v>
      </c>
      <c r="AC59" s="43">
        <f t="shared" si="58"/>
        <v>119840630.69781803</v>
      </c>
      <c r="AD59" s="43">
        <f t="shared" si="58"/>
        <v>115400187.8627331</v>
      </c>
      <c r="AE59" s="43">
        <f t="shared" si="58"/>
        <v>95644836.788478509</v>
      </c>
      <c r="AF59" s="43">
        <f t="shared" si="58"/>
        <v>60271713.302091494</v>
      </c>
      <c r="AG59" s="43">
        <f t="shared" si="58"/>
        <v>65958527.041090384</v>
      </c>
      <c r="AH59" s="43">
        <f t="shared" si="58"/>
        <v>64998996.125113614</v>
      </c>
      <c r="AI59" s="43">
        <f t="shared" si="58"/>
        <v>54954374.685116775</v>
      </c>
      <c r="AJ59" s="43">
        <f t="shared" si="58"/>
        <v>55444782.419831507</v>
      </c>
      <c r="AK59" s="43">
        <f t="shared" si="58"/>
        <v>55629226.375825658</v>
      </c>
      <c r="AL59" s="43">
        <f t="shared" si="58"/>
        <v>55478739.16054666</v>
      </c>
      <c r="AM59" s="43">
        <f t="shared" si="58"/>
        <v>55507609.876409814</v>
      </c>
      <c r="AN59" s="43">
        <f t="shared" si="58"/>
        <v>56281997.894230142</v>
      </c>
      <c r="AO59" s="43">
        <f t="shared" si="58"/>
        <v>57097933.76359649</v>
      </c>
      <c r="AP59" s="43">
        <f t="shared" si="58"/>
        <v>58170259.554901354</v>
      </c>
      <c r="AQ59" s="43"/>
    </row>
    <row r="60" spans="1:43">
      <c r="A60" s="40" t="s">
        <v>52</v>
      </c>
      <c r="B60" s="42">
        <f t="shared" si="59"/>
        <v>60574225</v>
      </c>
      <c r="C60" s="42">
        <f t="shared" si="59"/>
        <v>174518140</v>
      </c>
      <c r="D60" s="42">
        <f t="shared" si="59"/>
        <v>124675079</v>
      </c>
      <c r="E60" s="42">
        <f t="shared" si="59"/>
        <v>220968546</v>
      </c>
      <c r="F60" s="42">
        <f t="shared" si="59"/>
        <v>204874924</v>
      </c>
      <c r="G60" s="42">
        <f t="shared" si="59"/>
        <v>220223795</v>
      </c>
      <c r="H60" s="42">
        <f t="shared" si="59"/>
        <v>290403218</v>
      </c>
      <c r="I60" s="42">
        <f t="shared" si="59"/>
        <v>279053614</v>
      </c>
      <c r="J60" s="42">
        <f>J76+J92+J108</f>
        <v>286903169</v>
      </c>
      <c r="K60" s="42">
        <f t="shared" si="57"/>
        <v>240602737</v>
      </c>
      <c r="L60" s="42">
        <f t="shared" si="57"/>
        <v>247161595</v>
      </c>
      <c r="M60" s="42">
        <f t="shared" si="57"/>
        <v>236503413</v>
      </c>
      <c r="N60" s="42">
        <f t="shared" si="57"/>
        <v>233059331</v>
      </c>
      <c r="O60" s="42">
        <f t="shared" si="57"/>
        <v>301699806</v>
      </c>
      <c r="P60" s="42">
        <f t="shared" si="58"/>
        <v>261236245</v>
      </c>
      <c r="Q60" s="43">
        <f t="shared" si="58"/>
        <v>243382062.80830199</v>
      </c>
      <c r="R60" s="43">
        <f t="shared" si="58"/>
        <v>211366727.69772106</v>
      </c>
      <c r="S60" s="43">
        <f t="shared" si="58"/>
        <v>215403189.32855952</v>
      </c>
      <c r="T60" s="43">
        <f t="shared" si="58"/>
        <v>180507210.09017807</v>
      </c>
      <c r="U60" s="43">
        <f t="shared" si="58"/>
        <v>200735448.2256586</v>
      </c>
      <c r="V60" s="43">
        <f t="shared" si="58"/>
        <v>204422527.07900441</v>
      </c>
      <c r="W60" s="43">
        <f t="shared" si="58"/>
        <v>201494186.57676134</v>
      </c>
      <c r="X60" s="43">
        <f t="shared" si="58"/>
        <v>209206054.32914338</v>
      </c>
      <c r="Y60" s="43">
        <f t="shared" si="58"/>
        <v>196468408.30148584</v>
      </c>
      <c r="Z60" s="43">
        <f t="shared" si="58"/>
        <v>191458295.20596531</v>
      </c>
      <c r="AA60" s="43">
        <f t="shared" si="58"/>
        <v>182849426.39132687</v>
      </c>
      <c r="AB60" s="43">
        <f t="shared" ref="AB60:AP60" si="60">AB76+AB92+AB108</f>
        <v>152599797.50093177</v>
      </c>
      <c r="AC60" s="43">
        <f t="shared" si="60"/>
        <v>124058120.89002937</v>
      </c>
      <c r="AD60" s="43">
        <f t="shared" si="60"/>
        <v>119243033.91604963</v>
      </c>
      <c r="AE60" s="43">
        <f t="shared" si="60"/>
        <v>98802949.783663139</v>
      </c>
      <c r="AF60" s="43">
        <f t="shared" si="60"/>
        <v>62623741.201218627</v>
      </c>
      <c r="AG60" s="43">
        <f t="shared" si="60"/>
        <v>68458988.847274721</v>
      </c>
      <c r="AH60" s="43">
        <f t="shared" si="60"/>
        <v>67474132.07529594</v>
      </c>
      <c r="AI60" s="43">
        <f t="shared" si="60"/>
        <v>57194741.556251943</v>
      </c>
      <c r="AJ60" s="43">
        <f t="shared" si="60"/>
        <v>57693820.326156475</v>
      </c>
      <c r="AK60" s="43">
        <f t="shared" si="60"/>
        <v>57884946.738439672</v>
      </c>
      <c r="AL60" s="43">
        <f t="shared" si="60"/>
        <v>57732839.417427942</v>
      </c>
      <c r="AM60" s="43">
        <f t="shared" si="60"/>
        <v>57761276.231031753</v>
      </c>
      <c r="AN60" s="43">
        <f t="shared" si="60"/>
        <v>58552758.474543028</v>
      </c>
      <c r="AO60" s="43">
        <f t="shared" si="60"/>
        <v>59387401.145780884</v>
      </c>
      <c r="AP60" s="43">
        <f t="shared" si="60"/>
        <v>60484849.800894767</v>
      </c>
      <c r="AQ60" s="43"/>
    </row>
    <row r="61" spans="1:43">
      <c r="A61" s="40" t="s">
        <v>53</v>
      </c>
      <c r="B61" s="42">
        <f t="shared" si="59"/>
        <v>49052696</v>
      </c>
      <c r="C61" s="42">
        <f t="shared" si="59"/>
        <v>162709289</v>
      </c>
      <c r="D61" s="42">
        <f t="shared" si="59"/>
        <v>103185994</v>
      </c>
      <c r="E61" s="42">
        <f t="shared" si="59"/>
        <v>209581729</v>
      </c>
      <c r="F61" s="42">
        <f t="shared" si="59"/>
        <v>184943881</v>
      </c>
      <c r="G61" s="42">
        <f t="shared" si="59"/>
        <v>184345645</v>
      </c>
      <c r="H61" s="42">
        <f t="shared" si="59"/>
        <v>308154049</v>
      </c>
      <c r="I61" s="42">
        <f t="shared" si="59"/>
        <v>258321053</v>
      </c>
      <c r="J61" s="42">
        <f>J77+J93+J109</f>
        <v>245554395</v>
      </c>
      <c r="K61" s="42">
        <f t="shared" si="57"/>
        <v>201565207</v>
      </c>
      <c r="L61" s="42">
        <f t="shared" si="57"/>
        <v>247162199</v>
      </c>
      <c r="M61" s="42">
        <f t="shared" si="57"/>
        <v>243511443</v>
      </c>
      <c r="N61" s="42">
        <f t="shared" si="57"/>
        <v>262671846</v>
      </c>
      <c r="O61" s="42">
        <f t="shared" si="57"/>
        <v>266347637</v>
      </c>
      <c r="P61" s="42">
        <f t="shared" si="57"/>
        <v>234077029</v>
      </c>
      <c r="Q61" s="43">
        <f t="shared" si="57"/>
        <v>237457526.63026792</v>
      </c>
      <c r="R61" s="43">
        <f t="shared" si="57"/>
        <v>205474786.06423235</v>
      </c>
      <c r="S61" s="43">
        <f t="shared" ref="S61:AP62" si="61">S77+S93+S109</f>
        <v>207254147.71565309</v>
      </c>
      <c r="T61" s="43">
        <f t="shared" si="61"/>
        <v>168589581.18085441</v>
      </c>
      <c r="U61" s="43">
        <f t="shared" si="61"/>
        <v>190049509.18419197</v>
      </c>
      <c r="V61" s="43">
        <f t="shared" si="61"/>
        <v>196153497.51766384</v>
      </c>
      <c r="W61" s="43">
        <f t="shared" si="61"/>
        <v>192554276.91610286</v>
      </c>
      <c r="X61" s="43">
        <f t="shared" si="61"/>
        <v>199185158.82907119</v>
      </c>
      <c r="Y61" s="43">
        <f t="shared" si="61"/>
        <v>186657593.09417716</v>
      </c>
      <c r="Z61" s="43">
        <f t="shared" si="61"/>
        <v>182408494.83042839</v>
      </c>
      <c r="AA61" s="43">
        <f t="shared" si="61"/>
        <v>174423960.39723432</v>
      </c>
      <c r="AB61" s="43">
        <f t="shared" si="61"/>
        <v>145400563.09989551</v>
      </c>
      <c r="AC61" s="43">
        <f t="shared" si="61"/>
        <v>118137011.62999359</v>
      </c>
      <c r="AD61" s="43">
        <f t="shared" si="61"/>
        <v>113547497.52458343</v>
      </c>
      <c r="AE61" s="43">
        <f t="shared" si="61"/>
        <v>94138058.604751661</v>
      </c>
      <c r="AF61" s="43">
        <f t="shared" si="61"/>
        <v>59693770.795952961</v>
      </c>
      <c r="AG61" s="43">
        <f t="shared" si="61"/>
        <v>65226259.014961198</v>
      </c>
      <c r="AH61" s="43">
        <f t="shared" si="61"/>
        <v>64283931.933601387</v>
      </c>
      <c r="AI61" s="43">
        <f t="shared" si="61"/>
        <v>54504495.056208856</v>
      </c>
      <c r="AJ61" s="43">
        <f t="shared" si="61"/>
        <v>54986024.144033507</v>
      </c>
      <c r="AK61" s="43">
        <f t="shared" si="61"/>
        <v>55165207.938390404</v>
      </c>
      <c r="AL61" s="43">
        <f t="shared" si="61"/>
        <v>55017129.433751233</v>
      </c>
      <c r="AM61" s="43">
        <f t="shared" si="61"/>
        <v>55044622.845671512</v>
      </c>
      <c r="AN61" s="43">
        <f t="shared" si="61"/>
        <v>55799573.364741504</v>
      </c>
      <c r="AO61" s="43">
        <f t="shared" si="61"/>
        <v>56594616.173421815</v>
      </c>
      <c r="AP61" s="43">
        <f t="shared" si="61"/>
        <v>57638644.738869213</v>
      </c>
      <c r="AQ61" s="43"/>
    </row>
    <row r="62" spans="1:43">
      <c r="A62" s="40" t="s">
        <v>54</v>
      </c>
      <c r="B62" s="42">
        <f t="shared" si="59"/>
        <v>51571029</v>
      </c>
      <c r="C62" s="42">
        <f t="shared" si="59"/>
        <v>241701411</v>
      </c>
      <c r="D62" s="42">
        <f t="shared" si="59"/>
        <v>88333368</v>
      </c>
      <c r="E62" s="42">
        <f t="shared" si="59"/>
        <v>286811526</v>
      </c>
      <c r="F62" s="42">
        <f t="shared" si="59"/>
        <v>269785029</v>
      </c>
      <c r="G62" s="42">
        <f t="shared" si="59"/>
        <v>222381281</v>
      </c>
      <c r="H62" s="42">
        <f t="shared" si="59"/>
        <v>462390151</v>
      </c>
      <c r="I62" s="42">
        <f t="shared" si="59"/>
        <v>290570548</v>
      </c>
      <c r="J62" s="42">
        <f>J78+J94+J110</f>
        <v>319398388</v>
      </c>
      <c r="K62" s="42">
        <f t="shared" si="57"/>
        <v>245882578</v>
      </c>
      <c r="L62" s="42">
        <f t="shared" si="57"/>
        <v>299831700</v>
      </c>
      <c r="M62" s="42">
        <f t="shared" si="57"/>
        <v>325456318</v>
      </c>
      <c r="N62" s="42">
        <f t="shared" si="57"/>
        <v>282902497</v>
      </c>
      <c r="O62" s="42">
        <f t="shared" si="57"/>
        <v>300467397</v>
      </c>
      <c r="P62" s="42">
        <f t="shared" si="57"/>
        <v>309091657</v>
      </c>
      <c r="Q62" s="43">
        <f t="shared" si="57"/>
        <v>546832744.75947297</v>
      </c>
      <c r="R62" s="43">
        <f t="shared" si="57"/>
        <v>255755645.74891999</v>
      </c>
      <c r="S62" s="43">
        <f t="shared" si="61"/>
        <v>284103230.60462272</v>
      </c>
      <c r="T62" s="43">
        <f t="shared" si="61"/>
        <v>246842967.1593374</v>
      </c>
      <c r="U62" s="43">
        <f t="shared" si="61"/>
        <v>294083306.22636592</v>
      </c>
      <c r="V62" s="43">
        <f t="shared" si="61"/>
        <v>316815520.12477422</v>
      </c>
      <c r="W62" s="43">
        <f t="shared" si="61"/>
        <v>278045955.76595533</v>
      </c>
      <c r="X62" s="43">
        <f t="shared" si="61"/>
        <v>292575126.66793722</v>
      </c>
      <c r="Y62" s="43">
        <f t="shared" si="61"/>
        <v>248308667.22750694</v>
      </c>
      <c r="Z62" s="43">
        <f t="shared" si="61"/>
        <v>257560877.25434849</v>
      </c>
      <c r="AA62" s="43">
        <f t="shared" si="61"/>
        <v>242574057.28178662</v>
      </c>
      <c r="AB62" s="43">
        <f t="shared" si="61"/>
        <v>203623267.56965882</v>
      </c>
      <c r="AC62" s="43">
        <f t="shared" si="61"/>
        <v>165438807.77933946</v>
      </c>
      <c r="AD62" s="43">
        <f t="shared" si="61"/>
        <v>155193125.13672507</v>
      </c>
      <c r="AE62" s="43">
        <f t="shared" si="61"/>
        <v>130115619.33738466</v>
      </c>
      <c r="AF62" s="43">
        <f t="shared" si="61"/>
        <v>85750549.291643947</v>
      </c>
      <c r="AG62" s="43">
        <f t="shared" si="61"/>
        <v>92889013.85294351</v>
      </c>
      <c r="AH62" s="43">
        <f t="shared" si="61"/>
        <v>91538914.526804581</v>
      </c>
      <c r="AI62" s="43">
        <f t="shared" si="61"/>
        <v>78945997.452974692</v>
      </c>
      <c r="AJ62" s="43">
        <f t="shared" si="61"/>
        <v>79725169.935409531</v>
      </c>
      <c r="AK62" s="43">
        <f t="shared" si="61"/>
        <v>79912473.192072093</v>
      </c>
      <c r="AL62" s="43">
        <f t="shared" si="61"/>
        <v>79715156.60763672</v>
      </c>
      <c r="AM62" s="43">
        <f t="shared" si="61"/>
        <v>79731666.028940171</v>
      </c>
      <c r="AN62" s="43">
        <f t="shared" si="61"/>
        <v>80701932.2504116</v>
      </c>
      <c r="AO62" s="43">
        <f t="shared" si="61"/>
        <v>81739940.355961144</v>
      </c>
      <c r="AP62" s="43">
        <f t="shared" si="61"/>
        <v>83067539.736529976</v>
      </c>
      <c r="AQ62" s="43"/>
    </row>
    <row r="63" spans="1:43">
      <c r="A63" s="40" t="s">
        <v>29</v>
      </c>
      <c r="B63" s="42">
        <f>SUM(B51:B62)</f>
        <v>321669248</v>
      </c>
      <c r="C63" s="42">
        <f t="shared" ref="C63:AP63" si="62">SUM(C51:C62)</f>
        <v>1616084361</v>
      </c>
      <c r="D63" s="42">
        <f t="shared" si="62"/>
        <v>1584666744</v>
      </c>
      <c r="E63" s="42">
        <f t="shared" si="62"/>
        <v>2301631483</v>
      </c>
      <c r="F63" s="42">
        <f t="shared" si="62"/>
        <v>2153336326</v>
      </c>
      <c r="G63" s="42">
        <f t="shared" si="62"/>
        <v>2273251369</v>
      </c>
      <c r="H63" s="42">
        <f t="shared" si="62"/>
        <v>3291619942</v>
      </c>
      <c r="I63" s="42">
        <f t="shared" si="62"/>
        <v>3075277399</v>
      </c>
      <c r="J63" s="42">
        <f t="shared" si="62"/>
        <v>3045430204</v>
      </c>
      <c r="K63" s="42">
        <f t="shared" si="62"/>
        <v>2847790934</v>
      </c>
      <c r="L63" s="42">
        <f t="shared" si="62"/>
        <v>3051588188</v>
      </c>
      <c r="M63" s="42">
        <f t="shared" si="62"/>
        <v>2869651101</v>
      </c>
      <c r="N63" s="42">
        <f t="shared" si="62"/>
        <v>2790829193</v>
      </c>
      <c r="O63" s="42">
        <f t="shared" si="62"/>
        <v>3261305199</v>
      </c>
      <c r="P63" s="42">
        <f t="shared" si="62"/>
        <v>3088257678</v>
      </c>
      <c r="Q63" s="43">
        <f t="shared" si="62"/>
        <v>2881403678.1638346</v>
      </c>
      <c r="R63" s="43">
        <f t="shared" si="62"/>
        <v>2469460400.9609299</v>
      </c>
      <c r="S63" s="43">
        <f t="shared" si="62"/>
        <v>2497204875.0329633</v>
      </c>
      <c r="T63" s="43">
        <f t="shared" si="62"/>
        <v>2079333964.3511686</v>
      </c>
      <c r="U63" s="43">
        <f t="shared" si="62"/>
        <v>2347400067.4066563</v>
      </c>
      <c r="V63" s="43">
        <f t="shared" si="62"/>
        <v>2386618154.8164024</v>
      </c>
      <c r="W63" s="43">
        <f t="shared" si="62"/>
        <v>2344447509.8067665</v>
      </c>
      <c r="X63" s="43">
        <f t="shared" si="62"/>
        <v>2431705949.7033706</v>
      </c>
      <c r="Y63" s="43">
        <f t="shared" si="62"/>
        <v>2284804889.9208136</v>
      </c>
      <c r="Z63" s="43">
        <f t="shared" si="62"/>
        <v>2230156581.7371902</v>
      </c>
      <c r="AA63" s="43">
        <f t="shared" si="62"/>
        <v>2128502802.8622053</v>
      </c>
      <c r="AB63" s="43">
        <f t="shared" si="62"/>
        <v>1775345567.6035373</v>
      </c>
      <c r="AC63" s="43">
        <f t="shared" si="62"/>
        <v>1443388152.9252656</v>
      </c>
      <c r="AD63" s="43">
        <f t="shared" si="62"/>
        <v>1387417953.5384202</v>
      </c>
      <c r="AE63" s="43">
        <f t="shared" si="62"/>
        <v>1149814153.6298821</v>
      </c>
      <c r="AF63" s="43">
        <f t="shared" si="62"/>
        <v>729096230.22336745</v>
      </c>
      <c r="AG63" s="43">
        <f t="shared" si="62"/>
        <v>796855756.46603596</v>
      </c>
      <c r="AH63" s="43">
        <f t="shared" si="62"/>
        <v>785460797.02718401</v>
      </c>
      <c r="AI63" s="43">
        <f t="shared" si="62"/>
        <v>666039963.42710245</v>
      </c>
      <c r="AJ63" s="43">
        <f t="shared" si="62"/>
        <v>671839908.29299617</v>
      </c>
      <c r="AK63" s="43">
        <f t="shared" si="62"/>
        <v>674024006.9354341</v>
      </c>
      <c r="AL63" s="43">
        <f t="shared" si="62"/>
        <v>672257721.67860734</v>
      </c>
      <c r="AM63" s="43">
        <f t="shared" si="62"/>
        <v>672600200.56970143</v>
      </c>
      <c r="AN63" s="43">
        <f t="shared" si="62"/>
        <v>681803346.57005084</v>
      </c>
      <c r="AO63" s="43">
        <f t="shared" si="62"/>
        <v>691499733.04023266</v>
      </c>
      <c r="AP63" s="43">
        <f t="shared" si="62"/>
        <v>704249670.7300992</v>
      </c>
      <c r="AQ63" s="43"/>
    </row>
    <row r="64" spans="1:43">
      <c r="Q64" s="40">
        <f>Q63/'D4 Gallon Forecast'!Q81</f>
        <v>1.8226165105012002</v>
      </c>
      <c r="R64" s="40">
        <f>R63/'D4 Gallon Forecast'!R81</f>
        <v>1.6957214777455731</v>
      </c>
      <c r="S64" s="40">
        <f>S63/'D4 Gallon Forecast'!S81</f>
        <v>1.7048264375646314</v>
      </c>
      <c r="T64" s="40">
        <f>T63/'D4 Gallon Forecast'!T81</f>
        <v>1.7829867930851726</v>
      </c>
      <c r="U64" s="40">
        <f>U63/'D4 Gallon Forecast'!U81</f>
        <v>1.7453868501431662</v>
      </c>
      <c r="V64" s="40">
        <f>V63/'D4 Gallon Forecast'!V81</f>
        <v>1.7534970491144308</v>
      </c>
      <c r="W64" s="40">
        <f>W63/'D4 Gallon Forecast'!W81</f>
        <v>1.7328433130988954</v>
      </c>
      <c r="X64" s="40">
        <f>X63/'D4 Gallon Forecast'!X81</f>
        <v>1.6991631622111258</v>
      </c>
      <c r="Y64" s="40">
        <f>Y63/'D4 Gallon Forecast'!Y81</f>
        <v>1.7010329171979537</v>
      </c>
      <c r="Z64" s="40">
        <f>Z63/'D4 Gallon Forecast'!Z81</f>
        <v>1.7001320331597194</v>
      </c>
      <c r="AA64" s="40">
        <f>AA63/'D4 Gallon Forecast'!AA81</f>
        <v>1.6906479593821691</v>
      </c>
      <c r="AB64" s="40">
        <f>AB63/'D4 Gallon Forecast'!AB81</f>
        <v>1.685106781607258</v>
      </c>
      <c r="AC64" s="40">
        <f>AC63/'D4 Gallon Forecast'!AC81</f>
        <v>1.6936239645928635</v>
      </c>
      <c r="AD64" s="40">
        <f>AD63/'D4 Gallon Forecast'!AD81</f>
        <v>1.6617076085549296</v>
      </c>
      <c r="AE64" s="40">
        <f>AE63/'D4 Gallon Forecast'!AE81</f>
        <v>1.6627001267977608</v>
      </c>
      <c r="AF64" s="40">
        <f>AF63/'D4 Gallon Forecast'!AF81</f>
        <v>1.7737017864642139</v>
      </c>
      <c r="AG64" s="40">
        <f>AG63/'D4 Gallon Forecast'!AG81</f>
        <v>1.7466037863996515</v>
      </c>
      <c r="AH64" s="40">
        <f>AH63/'D4 Gallon Forecast'!AH81</f>
        <v>1.750779116227891</v>
      </c>
      <c r="AI64" s="40">
        <f>AI63/'D4 Gallon Forecast'!AI81</f>
        <v>1.8048783390442835</v>
      </c>
      <c r="AJ64" s="40">
        <f>AJ63/'D4 Gallon Forecast'!AJ81</f>
        <v>1.8017171622131842</v>
      </c>
      <c r="AK64" s="40">
        <f>AK63/'D4 Gallon Forecast'!AK81</f>
        <v>1.8005436762321565</v>
      </c>
      <c r="AL64" s="40">
        <f>AL63/'D4 Gallon Forecast'!AL81</f>
        <v>1.8014919682557025</v>
      </c>
      <c r="AM64" s="40">
        <f>AM63/'D4 Gallon Forecast'!AM81</f>
        <v>1.8013076291979486</v>
      </c>
      <c r="AN64" s="40">
        <f>AN63/'D4 Gallon Forecast'!AN81</f>
        <v>1.7964370958454055</v>
      </c>
      <c r="AO64" s="40">
        <f>AO63/'D4 Gallon Forecast'!AO81</f>
        <v>1.7914730303817987</v>
      </c>
      <c r="AP64" s="40">
        <f>AP63/'D4 Gallon Forecast'!AP81</f>
        <v>1.7851932948968332</v>
      </c>
    </row>
    <row r="65" spans="1:43" ht="12" thickBot="1">
      <c r="A65" s="245" t="s">
        <v>379</v>
      </c>
    </row>
    <row r="66" spans="1:43" ht="12" thickBot="1">
      <c r="A66" s="270"/>
      <c r="B66" s="263">
        <v>2010</v>
      </c>
      <c r="C66" s="263">
        <v>2011</v>
      </c>
      <c r="D66" s="263">
        <v>2012</v>
      </c>
      <c r="E66" s="263">
        <v>2013</v>
      </c>
      <c r="F66" s="263">
        <v>2014</v>
      </c>
      <c r="G66" s="263">
        <v>2015</v>
      </c>
      <c r="H66" s="263">
        <v>2016</v>
      </c>
      <c r="I66" s="263">
        <v>2017</v>
      </c>
      <c r="J66" s="263">
        <v>2018</v>
      </c>
      <c r="K66" s="263">
        <v>2019</v>
      </c>
      <c r="L66" s="263">
        <v>2020</v>
      </c>
      <c r="M66" s="263">
        <v>2021</v>
      </c>
      <c r="N66" s="263">
        <v>2022</v>
      </c>
      <c r="O66" s="263">
        <v>2023</v>
      </c>
      <c r="P66" s="263">
        <v>2024</v>
      </c>
      <c r="Q66" s="263">
        <v>2025</v>
      </c>
      <c r="R66" s="263">
        <v>2026</v>
      </c>
      <c r="S66" s="263">
        <v>2027</v>
      </c>
      <c r="T66" s="263">
        <v>2028</v>
      </c>
      <c r="U66" s="263">
        <v>2029</v>
      </c>
      <c r="V66" s="263">
        <v>2030</v>
      </c>
      <c r="W66" s="263">
        <v>2031</v>
      </c>
      <c r="X66" s="263">
        <v>2032</v>
      </c>
      <c r="Y66" s="263">
        <v>2033</v>
      </c>
      <c r="Z66" s="263">
        <v>2034</v>
      </c>
      <c r="AA66" s="263">
        <v>2035</v>
      </c>
      <c r="AB66" s="263">
        <v>2036</v>
      </c>
      <c r="AC66" s="263">
        <v>2037</v>
      </c>
      <c r="AD66" s="263">
        <v>2038</v>
      </c>
      <c r="AE66" s="263">
        <v>2039</v>
      </c>
      <c r="AF66" s="263">
        <v>2040</v>
      </c>
      <c r="AG66" s="263">
        <v>2041</v>
      </c>
      <c r="AH66" s="263">
        <v>2042</v>
      </c>
      <c r="AI66" s="263">
        <v>2043</v>
      </c>
      <c r="AJ66" s="263">
        <v>2044</v>
      </c>
      <c r="AK66" s="263">
        <v>2045</v>
      </c>
      <c r="AL66" s="263">
        <v>2046</v>
      </c>
      <c r="AM66" s="263">
        <v>2047</v>
      </c>
      <c r="AN66" s="263">
        <v>2048</v>
      </c>
      <c r="AO66" s="263">
        <v>2049</v>
      </c>
      <c r="AP66" s="263">
        <v>2050</v>
      </c>
      <c r="AQ66" s="245"/>
    </row>
    <row r="67" spans="1:43">
      <c r="A67" s="40" t="s">
        <v>43</v>
      </c>
      <c r="B67" s="42">
        <f>'Monthly D4 RIN Data'!$B4</f>
        <v>0</v>
      </c>
      <c r="C67" s="42">
        <f>'Monthly D4 RIN Data'!$B16</f>
        <v>49317013</v>
      </c>
      <c r="D67" s="42">
        <f>'Monthly D4 RIN Data'!$B28</f>
        <v>90177628</v>
      </c>
      <c r="E67" s="42">
        <f>'Monthly D4 RIN Data'!$B40</f>
        <v>106738068</v>
      </c>
      <c r="F67" s="42">
        <f>'Monthly D4 RIN Data'!$B52</f>
        <v>85044693</v>
      </c>
      <c r="G67" s="42">
        <f>'Monthly D4 RIN Data'!$B64</f>
        <v>83820702</v>
      </c>
      <c r="H67" s="42">
        <f>'Monthly D4 RIN Data'!$B76</f>
        <v>128341569</v>
      </c>
      <c r="I67" s="42">
        <f>'Monthly D4 RIN Data'!$B88</f>
        <v>98905290</v>
      </c>
      <c r="J67" s="42">
        <f>'Monthly D4 RIN Data'!$B100</f>
        <v>165745904</v>
      </c>
      <c r="K67" s="42">
        <f>'Monthly D4 RIN Data'!$B112</f>
        <v>161505585</v>
      </c>
      <c r="L67" s="42">
        <f>'Monthly D4 RIN Data'!$B124</f>
        <v>177608018</v>
      </c>
      <c r="M67" s="42">
        <f>'Monthly D4 RIN Data'!$B136</f>
        <v>160955805</v>
      </c>
      <c r="N67" s="42">
        <f>'Monthly D4 RIN Data'!$B148</f>
        <v>136074146</v>
      </c>
      <c r="O67" s="42">
        <f>'Monthly D4 RIN Data'!$B160</f>
        <v>179324312</v>
      </c>
      <c r="P67" s="42">
        <f>'Monthly D4 RIN Data'!$B172</f>
        <v>181075326</v>
      </c>
      <c r="Q67" s="42">
        <f>'Monthly D4 RIN Data'!$B184</f>
        <v>98454791</v>
      </c>
      <c r="R67" s="43">
        <f>'D4 Gallon Forecast'!R69*(AVERAGE('D4 RIN Forecast'!BE$4:BI$4))</f>
        <v>147025292.90647858</v>
      </c>
      <c r="S67" s="43">
        <f>'D4 Gallon Forecast'!S69*(AVERAGE('D4 RIN Forecast'!BF$4:BJ$4))</f>
        <v>136064343.06218421</v>
      </c>
      <c r="T67" s="43">
        <f>'D4 Gallon Forecast'!T69*(AVERAGE('D4 RIN Forecast'!BG$4:BK$4))</f>
        <v>110477736.6710293</v>
      </c>
      <c r="U67" s="43">
        <f>'D4 Gallon Forecast'!U69*(AVERAGE('D4 RIN Forecast'!BH$4:BL$4))</f>
        <v>123518231.30529486</v>
      </c>
      <c r="V67" s="43">
        <f>'D4 Gallon Forecast'!V69*(AVERAGE('D4 RIN Forecast'!BI$4:BM$4))</f>
        <v>119460289.69361711</v>
      </c>
      <c r="W67" s="43">
        <f>'D4 Gallon Forecast'!W69*(AVERAGE('D4 RIN Forecast'!BJ$4:BN$4))</f>
        <v>126774707.00439429</v>
      </c>
      <c r="X67" s="43">
        <f>'D4 Gallon Forecast'!X69*(AVERAGE('D4 RIN Forecast'!BK$4:BO$4))</f>
        <v>131838987.5943806</v>
      </c>
      <c r="Y67" s="43">
        <f>'D4 Gallon Forecast'!Y69*(AVERAGE('D4 RIN Forecast'!BL$4:BP$4))</f>
        <v>153511894.27858597</v>
      </c>
      <c r="Z67" s="43">
        <f>'D4 Gallon Forecast'!Z69*(AVERAGE('D4 RIN Forecast'!BM$4:BQ$4))</f>
        <v>136258457.68694684</v>
      </c>
      <c r="AA67" s="43">
        <f>'D4 Gallon Forecast'!AA69*(AVERAGE('D4 RIN Forecast'!BN$4:BR$4))</f>
        <v>132646884.22949441</v>
      </c>
      <c r="AB67" s="43">
        <f>'D4 Gallon Forecast'!AB69*(AVERAGE('D4 RIN Forecast'!BO$4:BS$4))</f>
        <v>107121689.57918423</v>
      </c>
      <c r="AC67" s="43">
        <f>'D4 Gallon Forecast'!AC69*(AVERAGE('D4 RIN Forecast'!BP$4:BT$4))</f>
        <v>88090883.393202141</v>
      </c>
      <c r="AD67" s="43">
        <f>'D4 Gallon Forecast'!AD69*(AVERAGE('D4 RIN Forecast'!BQ$4:BU$4))</f>
        <v>88609099.595082149</v>
      </c>
      <c r="AE67" s="43">
        <f>'D4 Gallon Forecast'!AE69*(AVERAGE('D4 RIN Forecast'!BR$4:BV$4))</f>
        <v>71962994.903315589</v>
      </c>
      <c r="AF67" s="43">
        <f>'D4 Gallon Forecast'!AF69*(AVERAGE('D4 RIN Forecast'!BS$4:BW$4))</f>
        <v>42797552.487386882</v>
      </c>
      <c r="AG67" s="43">
        <f>'D4 Gallon Forecast'!AG69*(AVERAGE('D4 RIN Forecast'!BT$4:BX$4))</f>
        <v>47314672.911256649</v>
      </c>
      <c r="AH67" s="43">
        <f>'D4 Gallon Forecast'!AH69*(AVERAGE('D4 RIN Forecast'!BU$4:BY$4))</f>
        <v>46822558.954876855</v>
      </c>
      <c r="AI67" s="43">
        <f>'D4 Gallon Forecast'!AI69*(AVERAGE('D4 RIN Forecast'!BV$4:BZ$4))</f>
        <v>38624683.782385781</v>
      </c>
      <c r="AJ67" s="43">
        <f>'D4 Gallon Forecast'!AJ69*(AVERAGE('D4 RIN Forecast'!BW$4:CA$4))</f>
        <v>38838215.644597091</v>
      </c>
      <c r="AK67" s="43">
        <f>'D4 Gallon Forecast'!AK69*(AVERAGE('D4 RIN Forecast'!BX$4:CB$4))</f>
        <v>39001467.76038564</v>
      </c>
      <c r="AL67" s="43">
        <f>'D4 Gallon Forecast'!AL69*(AVERAGE('D4 RIN Forecast'!BY$4:CC$4))</f>
        <v>38884149.128255397</v>
      </c>
      <c r="AM67" s="43">
        <f>'D4 Gallon Forecast'!AM69*(AVERAGE('D4 RIN Forecast'!BZ$4:CD$4))</f>
        <v>38951252.638891108</v>
      </c>
      <c r="AN67" s="43">
        <f>'D4 Gallon Forecast'!AN69*(AVERAGE('D4 RIN Forecast'!CA$4:CE$4))</f>
        <v>39586666.176939964</v>
      </c>
      <c r="AO67" s="43">
        <f>'D4 Gallon Forecast'!AO69*(AVERAGE('D4 RIN Forecast'!CB$4:CF$4))</f>
        <v>40233270.231193446</v>
      </c>
      <c r="AP67" s="43">
        <f>'D4 Gallon Forecast'!AP69*(AVERAGE('D4 RIN Forecast'!CC$4:CG$4))</f>
        <v>41125284.557753101</v>
      </c>
      <c r="AQ67" s="43"/>
    </row>
    <row r="68" spans="1:43">
      <c r="A68" s="40" t="s">
        <v>44</v>
      </c>
      <c r="B68" s="42">
        <f>'Monthly D4 RIN Data'!$B5</f>
        <v>0</v>
      </c>
      <c r="C68" s="42">
        <f>'Monthly D4 RIN Data'!$B17</f>
        <v>62304416</v>
      </c>
      <c r="D68" s="42">
        <f>'Monthly D4 RIN Data'!$B29</f>
        <v>108767510</v>
      </c>
      <c r="E68" s="42">
        <f>'Monthly D4 RIN Data'!$B41</f>
        <v>111768645</v>
      </c>
      <c r="F68" s="42">
        <f>'Monthly D4 RIN Data'!$B53</f>
        <v>104790611</v>
      </c>
      <c r="G68" s="42">
        <f>'Monthly D4 RIN Data'!$B65</f>
        <v>94254357</v>
      </c>
      <c r="H68" s="42">
        <f>'Monthly D4 RIN Data'!$B77</f>
        <v>150601259</v>
      </c>
      <c r="I68" s="42">
        <f>'Monthly D4 RIN Data'!$B89</f>
        <v>117715768</v>
      </c>
      <c r="J68" s="42">
        <f>'Monthly D4 RIN Data'!$B101</f>
        <v>173306511</v>
      </c>
      <c r="K68" s="42">
        <f>'Monthly D4 RIN Data'!$B113</f>
        <v>175997796</v>
      </c>
      <c r="L68" s="42">
        <f>'Monthly D4 RIN Data'!$B125</f>
        <v>192051881</v>
      </c>
      <c r="M68" s="42">
        <f>'Monthly D4 RIN Data'!$B137</f>
        <v>164823473</v>
      </c>
      <c r="N68" s="42">
        <f>'Monthly D4 RIN Data'!$B149</f>
        <v>165665990</v>
      </c>
      <c r="O68" s="42">
        <f>'Monthly D4 RIN Data'!$B161</f>
        <v>172115694</v>
      </c>
      <c r="P68" s="42">
        <f>'Monthly D4 RIN Data'!$B173</f>
        <v>188700908</v>
      </c>
      <c r="Q68" s="42">
        <f>'Monthly D4 RIN Data'!$B185</f>
        <v>110583970</v>
      </c>
      <c r="R68" s="43">
        <f>'D4 Gallon Forecast'!R70*(AVERAGE('D4 RIN Forecast'!BE$4:BI$4))</f>
        <v>155973725.93714619</v>
      </c>
      <c r="S68" s="43">
        <f>'D4 Gallon Forecast'!S70*(AVERAGE('D4 RIN Forecast'!BF$4:BJ$4))</f>
        <v>145432871.60241556</v>
      </c>
      <c r="T68" s="43">
        <f>'D4 Gallon Forecast'!T70*(AVERAGE('D4 RIN Forecast'!BG$4:BK$4))</f>
        <v>115073329.150802</v>
      </c>
      <c r="U68" s="43">
        <f>'D4 Gallon Forecast'!U70*(AVERAGE('D4 RIN Forecast'!BH$4:BL$4))</f>
        <v>131347972.97122306</v>
      </c>
      <c r="V68" s="43">
        <f>'D4 Gallon Forecast'!V70*(AVERAGE('D4 RIN Forecast'!BI$4:BM$4))</f>
        <v>127780538.80698068</v>
      </c>
      <c r="W68" s="43">
        <f>'D4 Gallon Forecast'!W70*(AVERAGE('D4 RIN Forecast'!BJ$4:BN$4))</f>
        <v>134554417.36016187</v>
      </c>
      <c r="X68" s="43">
        <f>'D4 Gallon Forecast'!X70*(AVERAGE('D4 RIN Forecast'!BK$4:BO$4))</f>
        <v>139945301.38670301</v>
      </c>
      <c r="Y68" s="43">
        <f>'D4 Gallon Forecast'!Y70*(AVERAGE('D4 RIN Forecast'!BL$4:BP$4))</f>
        <v>130903537.63408956</v>
      </c>
      <c r="Z68" s="43">
        <f>'D4 Gallon Forecast'!Z70*(AVERAGE('D4 RIN Forecast'!BM$4:BQ$4))</f>
        <v>127568128.75580768</v>
      </c>
      <c r="AA68" s="43">
        <f>'D4 Gallon Forecast'!AA70*(AVERAGE('D4 RIN Forecast'!BN$4:BR$4))</f>
        <v>122333663.65547238</v>
      </c>
      <c r="AB68" s="43">
        <f>'D4 Gallon Forecast'!AB70*(AVERAGE('D4 RIN Forecast'!BO$4:BS$4))</f>
        <v>103075177.44993742</v>
      </c>
      <c r="AC68" s="43">
        <f>'D4 Gallon Forecast'!AC70*(AVERAGE('D4 RIN Forecast'!BP$4:BT$4))</f>
        <v>83089207.395473346</v>
      </c>
      <c r="AD68" s="43">
        <f>'D4 Gallon Forecast'!AD70*(AVERAGE('D4 RIN Forecast'!BQ$4:BU$4))</f>
        <v>81341080.351121143</v>
      </c>
      <c r="AE68" s="43">
        <f>'D4 Gallon Forecast'!AE70*(AVERAGE('D4 RIN Forecast'!BR$4:BV$4))</f>
        <v>67364494.34726274</v>
      </c>
      <c r="AF68" s="43">
        <f>'D4 Gallon Forecast'!AF70*(AVERAGE('D4 RIN Forecast'!BS$4:BW$4))</f>
        <v>40061285.954082839</v>
      </c>
      <c r="AG68" s="43">
        <f>'D4 Gallon Forecast'!AG70*(AVERAGE('D4 RIN Forecast'!BT$4:BX$4))</f>
        <v>44507126.401827365</v>
      </c>
      <c r="AH68" s="43">
        <f>'D4 Gallon Forecast'!AH70*(AVERAGE('D4 RIN Forecast'!BU$4:BY$4))</f>
        <v>43724966.229922265</v>
      </c>
      <c r="AI68" s="43">
        <f>'D4 Gallon Forecast'!AI70*(AVERAGE('D4 RIN Forecast'!BV$4:BZ$4))</f>
        <v>35962183.529922336</v>
      </c>
      <c r="AJ68" s="43">
        <f>'D4 Gallon Forecast'!AJ70*(AVERAGE('D4 RIN Forecast'!BW$4:CA$4))</f>
        <v>36343003.338255942</v>
      </c>
      <c r="AK68" s="43">
        <f>'D4 Gallon Forecast'!AK70*(AVERAGE('D4 RIN Forecast'!BX$4:CB$4))</f>
        <v>36491245.359479219</v>
      </c>
      <c r="AL68" s="43">
        <f>'D4 Gallon Forecast'!AL70*(AVERAGE('D4 RIN Forecast'!BY$4:CC$4))</f>
        <v>36378102.434118815</v>
      </c>
      <c r="AM68" s="43">
        <f>'D4 Gallon Forecast'!AM70*(AVERAGE('D4 RIN Forecast'!BZ$4:CD$4))</f>
        <v>36394287.228028052</v>
      </c>
      <c r="AN68" s="43">
        <f>'D4 Gallon Forecast'!AN70*(AVERAGE('D4 RIN Forecast'!CA$4:CE$4))</f>
        <v>36992860.974403173</v>
      </c>
      <c r="AO68" s="43">
        <f>'D4 Gallon Forecast'!AO70*(AVERAGE('D4 RIN Forecast'!CB$4:CF$4))</f>
        <v>37624240.026729591</v>
      </c>
      <c r="AP68" s="43">
        <f>'D4 Gallon Forecast'!AP70*(AVERAGE('D4 RIN Forecast'!CC$4:CG$4))</f>
        <v>38453525.966953129</v>
      </c>
      <c r="AQ68" s="43"/>
    </row>
    <row r="69" spans="1:43">
      <c r="A69" s="40" t="s">
        <v>45</v>
      </c>
      <c r="B69" s="42">
        <f>'Monthly D4 RIN Data'!$B6</f>
        <v>0</v>
      </c>
      <c r="C69" s="42">
        <f>'Monthly D4 RIN Data'!$B18</f>
        <v>95015057</v>
      </c>
      <c r="D69" s="42">
        <f>'Monthly D4 RIN Data'!$B30</f>
        <v>142728693</v>
      </c>
      <c r="E69" s="42">
        <f>'Monthly D4 RIN Data'!$B42</f>
        <v>151547391</v>
      </c>
      <c r="F69" s="42">
        <f>'Monthly D4 RIN Data'!$B54</f>
        <v>136218938</v>
      </c>
      <c r="G69" s="42">
        <f>'Monthly D4 RIN Data'!$B66</f>
        <v>138558203</v>
      </c>
      <c r="H69" s="42">
        <f>'Monthly D4 RIN Data'!$B78</f>
        <v>189864849</v>
      </c>
      <c r="I69" s="42">
        <f>'Monthly D4 RIN Data'!$B90</f>
        <v>167244013</v>
      </c>
      <c r="J69" s="42">
        <f>'Monthly D4 RIN Data'!$B102</f>
        <v>217794664</v>
      </c>
      <c r="K69" s="42">
        <f>'Monthly D4 RIN Data'!$B114</f>
        <v>221490992</v>
      </c>
      <c r="L69" s="42">
        <f>'Monthly D4 RIN Data'!$B126</f>
        <v>225138790</v>
      </c>
      <c r="M69" s="42">
        <f>'Monthly D4 RIN Data'!$B138</f>
        <v>225508051</v>
      </c>
      <c r="N69" s="42">
        <f>'Monthly D4 RIN Data'!$B150</f>
        <v>203803656</v>
      </c>
      <c r="O69" s="42">
        <f>'Monthly D4 RIN Data'!$B162</f>
        <v>196333033</v>
      </c>
      <c r="P69" s="42">
        <f>'Monthly D4 RIN Data'!$B174</f>
        <v>200229907</v>
      </c>
      <c r="Q69" s="42">
        <f>'Monthly D4 RIN Data'!$B186</f>
        <v>143751735</v>
      </c>
      <c r="R69" s="43">
        <f>'D4 Gallon Forecast'!R71*(AVERAGE('D4 RIN Forecast'!BE$4:BI$4))</f>
        <v>171454206.55019936</v>
      </c>
      <c r="S69" s="43">
        <f>'D4 Gallon Forecast'!S71*(AVERAGE('D4 RIN Forecast'!BF$4:BJ$4))</f>
        <v>167903559.56061965</v>
      </c>
      <c r="T69" s="43">
        <f>'D4 Gallon Forecast'!T71*(AVERAGE('D4 RIN Forecast'!BG$4:BK$4))</f>
        <v>130985844.21818021</v>
      </c>
      <c r="U69" s="43">
        <f>'D4 Gallon Forecast'!U71*(AVERAGE('D4 RIN Forecast'!BH$4:BL$4))</f>
        <v>149434475.8915202</v>
      </c>
      <c r="V69" s="43">
        <f>'D4 Gallon Forecast'!V71*(AVERAGE('D4 RIN Forecast'!BI$4:BM$4))</f>
        <v>148181157.1216974</v>
      </c>
      <c r="W69" s="43">
        <f>'D4 Gallon Forecast'!W71*(AVERAGE('D4 RIN Forecast'!BJ$4:BN$4))</f>
        <v>152947036.7031922</v>
      </c>
      <c r="X69" s="43">
        <f>'D4 Gallon Forecast'!X71*(AVERAGE('D4 RIN Forecast'!BK$4:BO$4))</f>
        <v>160324119.62035257</v>
      </c>
      <c r="Y69" s="43">
        <f>'D4 Gallon Forecast'!Y71*(AVERAGE('D4 RIN Forecast'!BL$4:BP$4))</f>
        <v>149704823.05062333</v>
      </c>
      <c r="Z69" s="43">
        <f>'D4 Gallon Forecast'!Z71*(AVERAGE('D4 RIN Forecast'!BM$4:BQ$4))</f>
        <v>146008442.91922241</v>
      </c>
      <c r="AA69" s="43">
        <f>'D4 Gallon Forecast'!AA71*(AVERAGE('D4 RIN Forecast'!BN$4:BR$4))</f>
        <v>140183987.3094036</v>
      </c>
      <c r="AB69" s="43">
        <f>'D4 Gallon Forecast'!AB71*(AVERAGE('D4 RIN Forecast'!BO$4:BS$4))</f>
        <v>117839267.22751288</v>
      </c>
      <c r="AC69" s="43">
        <f>'D4 Gallon Forecast'!AC71*(AVERAGE('D4 RIN Forecast'!BP$4:BT$4))</f>
        <v>95107851.864847764</v>
      </c>
      <c r="AD69" s="43">
        <f>'D4 Gallon Forecast'!AD71*(AVERAGE('D4 RIN Forecast'!BQ$4:BU$4))</f>
        <v>93087339.309807122</v>
      </c>
      <c r="AE69" s="43">
        <f>'D4 Gallon Forecast'!AE71*(AVERAGE('D4 RIN Forecast'!BR$4:BV$4))</f>
        <v>77105731.133139759</v>
      </c>
      <c r="AF69" s="43">
        <f>'D4 Gallon Forecast'!AF71*(AVERAGE('D4 RIN Forecast'!BS$4:BW$4))</f>
        <v>45854928.595149368</v>
      </c>
      <c r="AG69" s="43">
        <f>'D4 Gallon Forecast'!AG71*(AVERAGE('D4 RIN Forecast'!BT$4:BX$4))</f>
        <v>50924910.040613599</v>
      </c>
      <c r="AH69" s="43">
        <f>'D4 Gallon Forecast'!AH71*(AVERAGE('D4 RIN Forecast'!BU$4:BY$4))</f>
        <v>50043650.217586324</v>
      </c>
      <c r="AI69" s="43">
        <f>'D4 Gallon Forecast'!AI71*(AVERAGE('D4 RIN Forecast'!BV$4:BZ$4))</f>
        <v>41157583.999026932</v>
      </c>
      <c r="AJ69" s="43">
        <f>'D4 Gallon Forecast'!AJ71*(AVERAGE('D4 RIN Forecast'!BW$4:CA$4))</f>
        <v>41594198.487345181</v>
      </c>
      <c r="AK69" s="43">
        <f>'D4 Gallon Forecast'!AK71*(AVERAGE('D4 RIN Forecast'!BX$4:CB$4))</f>
        <v>41762449.975482479</v>
      </c>
      <c r="AL69" s="43">
        <f>'D4 Gallon Forecast'!AL71*(AVERAGE('D4 RIN Forecast'!BY$4:CC$4))</f>
        <v>41631718.739986114</v>
      </c>
      <c r="AM69" s="43">
        <f>'D4 Gallon Forecast'!AM71*(AVERAGE('D4 RIN Forecast'!BZ$4:CD$4))</f>
        <v>41652129.373716637</v>
      </c>
      <c r="AN69" s="43">
        <f>'D4 Gallon Forecast'!AN71*(AVERAGE('D4 RIN Forecast'!CA$4:CE$4))</f>
        <v>42336814.357614465</v>
      </c>
      <c r="AO69" s="43">
        <f>'D4 Gallon Forecast'!AO71*(AVERAGE('D4 RIN Forecast'!CB$4:CF$4))</f>
        <v>43059332.229233906</v>
      </c>
      <c r="AP69" s="43">
        <f>'D4 Gallon Forecast'!AP71*(AVERAGE('D4 RIN Forecast'!CC$4:CG$4))</f>
        <v>44008166.303496726</v>
      </c>
      <c r="AQ69" s="43"/>
    </row>
    <row r="70" spans="1:43">
      <c r="A70" s="40" t="s">
        <v>46</v>
      </c>
      <c r="B70" s="42">
        <f>'Monthly D4 RIN Data'!$B7</f>
        <v>0</v>
      </c>
      <c r="C70" s="42">
        <f>'Monthly D4 RIN Data'!$B19</f>
        <v>105452128</v>
      </c>
      <c r="D70" s="42">
        <f>'Monthly D4 RIN Data'!$B31</f>
        <v>138874229</v>
      </c>
      <c r="E70" s="42">
        <f>'Monthly D4 RIN Data'!$B43</f>
        <v>166434137</v>
      </c>
      <c r="F70" s="42">
        <f>'Monthly D4 RIN Data'!$B55</f>
        <v>155028285</v>
      </c>
      <c r="G70" s="42">
        <f>'Monthly D4 RIN Data'!$B67</f>
        <v>159741399</v>
      </c>
      <c r="H70" s="42">
        <f>'Monthly D4 RIN Data'!$B79</f>
        <v>189389185</v>
      </c>
      <c r="I70" s="42">
        <f>'Monthly D4 RIN Data'!$B91</f>
        <v>186488747</v>
      </c>
      <c r="J70" s="42">
        <f>'Monthly D4 RIN Data'!$B103</f>
        <v>216959543</v>
      </c>
      <c r="K70" s="42">
        <f>'Monthly D4 RIN Data'!$B115</f>
        <v>241336169</v>
      </c>
      <c r="L70" s="42">
        <f>'Monthly D4 RIN Data'!$B127</f>
        <v>224037385</v>
      </c>
      <c r="M70" s="42">
        <f>'Monthly D4 RIN Data'!$B139</f>
        <v>216597806</v>
      </c>
      <c r="N70" s="42">
        <f>'Monthly D4 RIN Data'!$B151</f>
        <v>216431723</v>
      </c>
      <c r="O70" s="42">
        <f>'Monthly D4 RIN Data'!$B163</f>
        <v>200755805</v>
      </c>
      <c r="P70" s="42">
        <f>'Monthly D4 RIN Data'!$B175</f>
        <v>202550517</v>
      </c>
      <c r="Q70" s="43">
        <f>'D4 Gallon Forecast'!Q72*(AVERAGE('D4 RIN Forecast'!BD$4:BH$4))</f>
        <v>197690442.53010502</v>
      </c>
      <c r="R70" s="43">
        <f>'D4 Gallon Forecast'!R72*(AVERAGE('D4 RIN Forecast'!BE$4:BI$4))</f>
        <v>182841594.28629079</v>
      </c>
      <c r="S70" s="43">
        <f>'D4 Gallon Forecast'!S72*(AVERAGE('D4 RIN Forecast'!BF$4:BJ$4))</f>
        <v>183435893.04338625</v>
      </c>
      <c r="T70" s="43">
        <f>'D4 Gallon Forecast'!T72*(AVERAGE('D4 RIN Forecast'!BG$4:BK$4))</f>
        <v>144029896.94188493</v>
      </c>
      <c r="U70" s="43">
        <f>'D4 Gallon Forecast'!U72*(AVERAGE('D4 RIN Forecast'!BH$4:BL$4))</f>
        <v>167092024.04841638</v>
      </c>
      <c r="V70" s="43">
        <f>'D4 Gallon Forecast'!V72*(AVERAGE('D4 RIN Forecast'!BI$4:BM$4))</f>
        <v>169832005.06720534</v>
      </c>
      <c r="W70" s="43">
        <f>'D4 Gallon Forecast'!W72*(AVERAGE('D4 RIN Forecast'!BJ$4:BN$4))</f>
        <v>168734910.38926652</v>
      </c>
      <c r="X70" s="43">
        <f>'D4 Gallon Forecast'!X72*(AVERAGE('D4 RIN Forecast'!BK$4:BO$4))</f>
        <v>178223522.81625304</v>
      </c>
      <c r="Y70" s="43">
        <f>'D4 Gallon Forecast'!Y72*(AVERAGE('D4 RIN Forecast'!BL$4:BP$4))</f>
        <v>167067051.16293094</v>
      </c>
      <c r="Z70" s="43">
        <f>'D4 Gallon Forecast'!Z72*(AVERAGE('D4 RIN Forecast'!BM$4:BQ$4))</f>
        <v>163354172.50580755</v>
      </c>
      <c r="AA70" s="43">
        <f>'D4 Gallon Forecast'!AA72*(AVERAGE('D4 RIN Forecast'!BN$4:BR$4))</f>
        <v>156855398.71945849</v>
      </c>
      <c r="AB70" s="43">
        <f>'D4 Gallon Forecast'!AB72*(AVERAGE('D4 RIN Forecast'!BO$4:BS$4))</f>
        <v>131219691.57485074</v>
      </c>
      <c r="AC70" s="43">
        <f>'D4 Gallon Forecast'!AC72*(AVERAGE('D4 RIN Forecast'!BP$4:BT$4))</f>
        <v>106117475.12011802</v>
      </c>
      <c r="AD70" s="43">
        <f>'D4 Gallon Forecast'!AD72*(AVERAGE('D4 RIN Forecast'!BQ$4:BU$4))</f>
        <v>103957701.60751148</v>
      </c>
      <c r="AE70" s="43">
        <f>'D4 Gallon Forecast'!AE72*(AVERAGE('D4 RIN Forecast'!BR$4:BV$4))</f>
        <v>86125409.765403107</v>
      </c>
      <c r="AF70" s="43">
        <f>'D4 Gallon Forecast'!AF72*(AVERAGE('D4 RIN Forecast'!BS$4:BW$4))</f>
        <v>51195646.263571531</v>
      </c>
      <c r="AG70" s="43">
        <f>'D4 Gallon Forecast'!AG72*(AVERAGE('D4 RIN Forecast'!BT$4:BX$4))</f>
        <v>56815268.660348326</v>
      </c>
      <c r="AH70" s="43">
        <f>'D4 Gallon Forecast'!AH72*(AVERAGE('D4 RIN Forecast'!BU$4:BY$4))</f>
        <v>55866594.342413493</v>
      </c>
      <c r="AI70" s="43">
        <f>'D4 Gallon Forecast'!AI72*(AVERAGE('D4 RIN Forecast'!BV$4:BZ$4))</f>
        <v>45953952.716675177</v>
      </c>
      <c r="AJ70" s="43">
        <f>'D4 Gallon Forecast'!AJ72*(AVERAGE('D4 RIN Forecast'!BW$4:CA$4))</f>
        <v>46437954.217697948</v>
      </c>
      <c r="AK70" s="43">
        <f>'D4 Gallon Forecast'!AK72*(AVERAGE('D4 RIN Forecast'!BX$4:CB$4))</f>
        <v>46618429.815510564</v>
      </c>
      <c r="AL70" s="43">
        <f>'D4 Gallon Forecast'!AL72*(AVERAGE('D4 RIN Forecast'!BY$4:CC$4))</f>
        <v>46470858.12068744</v>
      </c>
      <c r="AM70" s="43">
        <f>'D4 Gallon Forecast'!AM72*(AVERAGE('D4 RIN Forecast'!BZ$4:CD$4))</f>
        <v>46499226.948740244</v>
      </c>
      <c r="AN70" s="43">
        <f>'D4 Gallon Forecast'!AN72*(AVERAGE('D4 RIN Forecast'!CA$4:CE$4))</f>
        <v>47263728.451977044</v>
      </c>
      <c r="AO70" s="43">
        <f>'D4 Gallon Forecast'!AO72*(AVERAGE('D4 RIN Forecast'!CB$4:CF$4))</f>
        <v>48068951.013984747</v>
      </c>
      <c r="AP70" s="43">
        <f>'D4 Gallon Forecast'!AP72*(AVERAGE('D4 RIN Forecast'!CC$4:CG$4))</f>
        <v>49127213.880859606</v>
      </c>
      <c r="AQ70" s="43"/>
    </row>
    <row r="71" spans="1:43">
      <c r="A71" s="40" t="s">
        <v>47</v>
      </c>
      <c r="B71" s="42">
        <f>'Monthly D4 RIN Data'!$B8</f>
        <v>0</v>
      </c>
      <c r="C71" s="42">
        <f>'Monthly D4 RIN Data'!$B20</f>
        <v>116341988</v>
      </c>
      <c r="D71" s="42">
        <f>'Monthly D4 RIN Data'!$B32</f>
        <v>161334404</v>
      </c>
      <c r="E71" s="42">
        <f>'Monthly D4 RIN Data'!$B44</f>
        <v>178398624</v>
      </c>
      <c r="F71" s="42">
        <f>'Monthly D4 RIN Data'!$B56</f>
        <v>164786155</v>
      </c>
      <c r="G71" s="42">
        <f>'Monthly D4 RIN Data'!$B68</f>
        <v>182297711</v>
      </c>
      <c r="H71" s="42">
        <f>'Monthly D4 RIN Data'!$B80</f>
        <v>202894147</v>
      </c>
      <c r="I71" s="42">
        <f>'Monthly D4 RIN Data'!$B92</f>
        <v>220613882</v>
      </c>
      <c r="J71" s="42">
        <f>'Monthly D4 RIN Data'!$B104</f>
        <v>249356860</v>
      </c>
      <c r="K71" s="42">
        <f>'Monthly D4 RIN Data'!$B116</f>
        <v>246067317</v>
      </c>
      <c r="L71" s="42">
        <f>'Monthly D4 RIN Data'!$B128</f>
        <v>214764440</v>
      </c>
      <c r="M71" s="42">
        <f>'Monthly D4 RIN Data'!$B140</f>
        <v>225756173</v>
      </c>
      <c r="N71" s="42">
        <f>'Monthly D4 RIN Data'!$B152</f>
        <v>209815286</v>
      </c>
      <c r="O71" s="42">
        <f>'Monthly D4 RIN Data'!$B164</f>
        <v>245393389</v>
      </c>
      <c r="P71" s="42">
        <f>'Monthly D4 RIN Data'!$B176</f>
        <v>213125771</v>
      </c>
      <c r="Q71" s="43">
        <f>'D4 Gallon Forecast'!Q73*(AVERAGE('D4 RIN Forecast'!BD$4:BH$4))</f>
        <v>206729022.10932523</v>
      </c>
      <c r="R71" s="43">
        <f>'D4 Gallon Forecast'!R73*(AVERAGE('D4 RIN Forecast'!BE$4:BI$4))</f>
        <v>194652209.86073989</v>
      </c>
      <c r="S71" s="43">
        <f>'D4 Gallon Forecast'!S73*(AVERAGE('D4 RIN Forecast'!BF$4:BJ$4))</f>
        <v>196171160.73647013</v>
      </c>
      <c r="T71" s="43">
        <f>'D4 Gallon Forecast'!T73*(AVERAGE('D4 RIN Forecast'!BG$4:BK$4))</f>
        <v>157252039.1109075</v>
      </c>
      <c r="U71" s="43">
        <f>'D4 Gallon Forecast'!U73*(AVERAGE('D4 RIN Forecast'!BH$4:BL$4))</f>
        <v>177621964.48764098</v>
      </c>
      <c r="V71" s="43">
        <f>'D4 Gallon Forecast'!V73*(AVERAGE('D4 RIN Forecast'!BI$4:BM$4))</f>
        <v>180959526.09235808</v>
      </c>
      <c r="W71" s="43">
        <f>'D4 Gallon Forecast'!W73*(AVERAGE('D4 RIN Forecast'!BJ$4:BN$4))</f>
        <v>180570111.58400571</v>
      </c>
      <c r="X71" s="43">
        <f>'D4 Gallon Forecast'!X73*(AVERAGE('D4 RIN Forecast'!BK$4:BO$4))</f>
        <v>190941188.00401819</v>
      </c>
      <c r="Y71" s="43">
        <f>'D4 Gallon Forecast'!Y73*(AVERAGE('D4 RIN Forecast'!BL$4:BP$4))</f>
        <v>179060117.11438456</v>
      </c>
      <c r="Z71" s="43">
        <f>'D4 Gallon Forecast'!Z73*(AVERAGE('D4 RIN Forecast'!BM$4:BQ$4))</f>
        <v>174527299.80200651</v>
      </c>
      <c r="AA71" s="43">
        <f>'D4 Gallon Forecast'!AA73*(AVERAGE('D4 RIN Forecast'!BN$4:BR$4))</f>
        <v>167750437.45533058</v>
      </c>
      <c r="AB71" s="43">
        <f>'D4 Gallon Forecast'!AB73*(AVERAGE('D4 RIN Forecast'!BO$4:BS$4))</f>
        <v>140439304.0312399</v>
      </c>
      <c r="AC71" s="43">
        <f>'D4 Gallon Forecast'!AC73*(AVERAGE('D4 RIN Forecast'!BP$4:BT$4))</f>
        <v>113576082.49791758</v>
      </c>
      <c r="AD71" s="43">
        <f>'D4 Gallon Forecast'!AD73*(AVERAGE('D4 RIN Forecast'!BQ$4:BU$4))</f>
        <v>111237105.99008733</v>
      </c>
      <c r="AE71" s="43">
        <f>'D4 Gallon Forecast'!AE73*(AVERAGE('D4 RIN Forecast'!BR$4:BV$4))</f>
        <v>92117795.920653149</v>
      </c>
      <c r="AF71" s="43">
        <f>'D4 Gallon Forecast'!AF73*(AVERAGE('D4 RIN Forecast'!BS$4:BW$4))</f>
        <v>54774588.137817748</v>
      </c>
      <c r="AG71" s="43">
        <f>'D4 Gallon Forecast'!AG73*(AVERAGE('D4 RIN Forecast'!BT$4:BX$4))</f>
        <v>60795404.575046144</v>
      </c>
      <c r="AH71" s="43">
        <f>'D4 Gallon Forecast'!AH73*(AVERAGE('D4 RIN Forecast'!BU$4:BY$4))</f>
        <v>59776519.363871962</v>
      </c>
      <c r="AI71" s="43">
        <f>'D4 Gallon Forecast'!AI73*(AVERAGE('D4 RIN Forecast'!BV$4:BZ$4))</f>
        <v>49165997.168526642</v>
      </c>
      <c r="AJ71" s="43">
        <f>'D4 Gallon Forecast'!AJ73*(AVERAGE('D4 RIN Forecast'!BW$4:CA$4))</f>
        <v>49681778.052212141</v>
      </c>
      <c r="AK71" s="43">
        <f>'D4 Gallon Forecast'!AK73*(AVERAGE('D4 RIN Forecast'!BX$4:CB$4))</f>
        <v>49879175.31360954</v>
      </c>
      <c r="AL71" s="43">
        <f>'D4 Gallon Forecast'!AL73*(AVERAGE('D4 RIN Forecast'!BY$4:CC$4))</f>
        <v>49721643.340584248</v>
      </c>
      <c r="AM71" s="43">
        <f>'D4 Gallon Forecast'!AM73*(AVERAGE('D4 RIN Forecast'!BZ$4:CD$4))</f>
        <v>49750893.445140272</v>
      </c>
      <c r="AN71" s="43">
        <f>'D4 Gallon Forecast'!AN73*(AVERAGE('D4 RIN Forecast'!CA$4:CE$4))</f>
        <v>50568203.465691477</v>
      </c>
      <c r="AO71" s="43">
        <f>'D4 Gallon Forecast'!AO73*(AVERAGE('D4 RIN Forecast'!CB$4:CF$4))</f>
        <v>51429900.224101335</v>
      </c>
      <c r="AP71" s="43">
        <f>'D4 Gallon Forecast'!AP73*(AVERAGE('D4 RIN Forecast'!CC$4:CG$4))</f>
        <v>52562801.722959124</v>
      </c>
      <c r="AQ71" s="43"/>
    </row>
    <row r="72" spans="1:43">
      <c r="A72" s="40" t="s">
        <v>48</v>
      </c>
      <c r="B72" s="42">
        <f>'Monthly D4 RIN Data'!$B9</f>
        <v>0</v>
      </c>
      <c r="C72" s="42">
        <f>'Monthly D4 RIN Data'!$B21</f>
        <v>116676585</v>
      </c>
      <c r="D72" s="42">
        <f>'Monthly D4 RIN Data'!$B33</f>
        <v>159922530</v>
      </c>
      <c r="E72" s="42">
        <f>'Monthly D4 RIN Data'!$B45</f>
        <v>176211189</v>
      </c>
      <c r="F72" s="42">
        <f>'Monthly D4 RIN Data'!$B57</f>
        <v>169878027</v>
      </c>
      <c r="G72" s="42">
        <f>'Monthly D4 RIN Data'!$B69</f>
        <v>196381872</v>
      </c>
      <c r="H72" s="42">
        <f>'Monthly D4 RIN Data'!$B81</f>
        <v>213845120</v>
      </c>
      <c r="I72" s="42">
        <f>'Monthly D4 RIN Data'!$B93</f>
        <v>217519524</v>
      </c>
      <c r="J72" s="42">
        <f>'Monthly D4 RIN Data'!$B105</f>
        <v>240825588</v>
      </c>
      <c r="K72" s="42">
        <f>'Monthly D4 RIN Data'!$B117</f>
        <v>216156767</v>
      </c>
      <c r="L72" s="42">
        <f>'Monthly D4 RIN Data'!$B129</f>
        <v>248282531</v>
      </c>
      <c r="M72" s="42">
        <f>'Monthly D4 RIN Data'!$B141</f>
        <v>231689058</v>
      </c>
      <c r="N72" s="42">
        <f>'Monthly D4 RIN Data'!$B153</f>
        <v>214285517</v>
      </c>
      <c r="O72" s="42">
        <f>'Monthly D4 RIN Data'!$B165</f>
        <v>229512324</v>
      </c>
      <c r="P72" s="42">
        <f>'Monthly D4 RIN Data'!$B177</f>
        <v>199396922</v>
      </c>
      <c r="Q72" s="43">
        <f>'D4 Gallon Forecast'!Q74*(AVERAGE('D4 RIN Forecast'!BD$4:BH$4))</f>
        <v>209397090.81158566</v>
      </c>
      <c r="R72" s="43">
        <f>'D4 Gallon Forecast'!R74*(AVERAGE('D4 RIN Forecast'!BE$4:BI$4))</f>
        <v>191727701.70048448</v>
      </c>
      <c r="S72" s="43">
        <f>'D4 Gallon Forecast'!S74*(AVERAGE('D4 RIN Forecast'!BF$4:BJ$4))</f>
        <v>191513820.21798787</v>
      </c>
      <c r="T72" s="43">
        <f>'D4 Gallon Forecast'!T74*(AVERAGE('D4 RIN Forecast'!BG$4:BK$4))</f>
        <v>152111360.80465287</v>
      </c>
      <c r="U72" s="43">
        <f>'D4 Gallon Forecast'!U74*(AVERAGE('D4 RIN Forecast'!BH$4:BL$4))</f>
        <v>173257556.22604811</v>
      </c>
      <c r="V72" s="43">
        <f>'D4 Gallon Forecast'!V74*(AVERAGE('D4 RIN Forecast'!BI$4:BM$4))</f>
        <v>178161201.60218698</v>
      </c>
      <c r="W72" s="43">
        <f>'D4 Gallon Forecast'!W74*(AVERAGE('D4 RIN Forecast'!BJ$4:BN$4))</f>
        <v>176609756.12739381</v>
      </c>
      <c r="X72" s="43">
        <f>'D4 Gallon Forecast'!X74*(AVERAGE('D4 RIN Forecast'!BK$4:BO$4))</f>
        <v>186465707.59397888</v>
      </c>
      <c r="Y72" s="43">
        <f>'D4 Gallon Forecast'!Y74*(AVERAGE('D4 RIN Forecast'!BL$4:BP$4))</f>
        <v>174875078.93229634</v>
      </c>
      <c r="Z72" s="43">
        <f>'D4 Gallon Forecast'!Z74*(AVERAGE('D4 RIN Forecast'!BM$4:BQ$4))</f>
        <v>170729501.37983507</v>
      </c>
      <c r="AA72" s="43">
        <f>'D4 Gallon Forecast'!AA74*(AVERAGE('D4 RIN Forecast'!BN$4:BR$4))</f>
        <v>164192542.94186324</v>
      </c>
      <c r="AB72" s="43">
        <f>'D4 Gallon Forecast'!AB74*(AVERAGE('D4 RIN Forecast'!BO$4:BS$4))</f>
        <v>137297121.33183873</v>
      </c>
      <c r="AC72" s="43">
        <f>'D4 Gallon Forecast'!AC74*(AVERAGE('D4 RIN Forecast'!BP$4:BT$4))</f>
        <v>111024319.21894071</v>
      </c>
      <c r="AD72" s="43">
        <f>'D4 Gallon Forecast'!AD74*(AVERAGE('D4 RIN Forecast'!BQ$4:BU$4))</f>
        <v>108764509.6278484</v>
      </c>
      <c r="AE72" s="43">
        <f>'D4 Gallon Forecast'!AE74*(AVERAGE('D4 RIN Forecast'!BR$4:BV$4))</f>
        <v>90096858.805491194</v>
      </c>
      <c r="AF72" s="43">
        <f>'D4 Gallon Forecast'!AF74*(AVERAGE('D4 RIN Forecast'!BS$4:BW$4))</f>
        <v>53570185.265228525</v>
      </c>
      <c r="AG72" s="43">
        <f>'D4 Gallon Forecast'!AG74*(AVERAGE('D4 RIN Forecast'!BT$4:BX$4))</f>
        <v>59443103.445611559</v>
      </c>
      <c r="AH72" s="43">
        <f>'D4 Gallon Forecast'!AH74*(AVERAGE('D4 RIN Forecast'!BU$4:BY$4))</f>
        <v>58449414.421610661</v>
      </c>
      <c r="AI72" s="43">
        <f>'D4 Gallon Forecast'!AI74*(AVERAGE('D4 RIN Forecast'!BV$4:BZ$4))</f>
        <v>48078384.662811741</v>
      </c>
      <c r="AJ72" s="43">
        <f>'D4 Gallon Forecast'!AJ74*(AVERAGE('D4 RIN Forecast'!BW$4:CA$4))</f>
        <v>48584622.155796856</v>
      </c>
      <c r="AK72" s="43">
        <f>'D4 Gallon Forecast'!AK74*(AVERAGE('D4 RIN Forecast'!BX$4:CB$4))</f>
        <v>48775229.508065522</v>
      </c>
      <c r="AL72" s="43">
        <f>'D4 Gallon Forecast'!AL74*(AVERAGE('D4 RIN Forecast'!BY$4:CC$4))</f>
        <v>48619727.305750839</v>
      </c>
      <c r="AM72" s="43">
        <f>'D4 Gallon Forecast'!AM74*(AVERAGE('D4 RIN Forecast'!BZ$4:CD$4))</f>
        <v>48649287.058537804</v>
      </c>
      <c r="AN72" s="43">
        <f>'D4 Gallon Forecast'!AN74*(AVERAGE('D4 RIN Forecast'!CA$4:CE$4))</f>
        <v>49449214.291534066</v>
      </c>
      <c r="AO72" s="43">
        <f>'D4 Gallon Forecast'!AO74*(AVERAGE('D4 RIN Forecast'!CB$4:CF$4))</f>
        <v>50291771.405130662</v>
      </c>
      <c r="AP72" s="43">
        <f>'D4 Gallon Forecast'!AP74*(AVERAGE('D4 RIN Forecast'!CC$4:CG$4))</f>
        <v>51399123.75789056</v>
      </c>
      <c r="AQ72" s="43"/>
    </row>
    <row r="73" spans="1:43">
      <c r="A73" s="40" t="s">
        <v>49</v>
      </c>
      <c r="B73" s="42">
        <f>'Monthly D4 RIN Data'!$B10</f>
        <v>56301349</v>
      </c>
      <c r="C73" s="42">
        <f>'Monthly D4 RIN Data'!$B22</f>
        <v>130317412</v>
      </c>
      <c r="D73" s="42">
        <f>'Monthly D4 RIN Data'!$B34</f>
        <v>146015297</v>
      </c>
      <c r="E73" s="42">
        <f>'Monthly D4 RIN Data'!$B46</f>
        <v>192420834</v>
      </c>
      <c r="F73" s="42">
        <f>'Monthly D4 RIN Data'!$B58</f>
        <v>192029810</v>
      </c>
      <c r="G73" s="42">
        <f>'Monthly D4 RIN Data'!$B70</f>
        <v>193761954</v>
      </c>
      <c r="H73" s="42">
        <f>'Monthly D4 RIN Data'!$B82</f>
        <v>206947515</v>
      </c>
      <c r="I73" s="42">
        <f>'Monthly D4 RIN Data'!$B94</f>
        <v>225438450</v>
      </c>
      <c r="J73" s="42">
        <f>'Monthly D4 RIN Data'!$B106</f>
        <v>254673304</v>
      </c>
      <c r="K73" s="42">
        <f>'Monthly D4 RIN Data'!$B118</f>
        <v>254182537</v>
      </c>
      <c r="L73" s="42">
        <f>'Monthly D4 RIN Data'!$B130</f>
        <v>244110863</v>
      </c>
      <c r="M73" s="42">
        <f>'Monthly D4 RIN Data'!$B142</f>
        <v>220338817</v>
      </c>
      <c r="N73" s="42">
        <f>'Monthly D4 RIN Data'!$B154</f>
        <v>206321364</v>
      </c>
      <c r="O73" s="42">
        <f>'Monthly D4 RIN Data'!$B166</f>
        <v>213892540</v>
      </c>
      <c r="P73" s="42">
        <f>'Monthly D4 RIN Data'!$B178</f>
        <v>217430878</v>
      </c>
      <c r="Q73" s="43">
        <f>'D4 Gallon Forecast'!Q75*(AVERAGE('D4 RIN Forecast'!BD$4:BH$4))</f>
        <v>205468590.90320152</v>
      </c>
      <c r="R73" s="43">
        <f>'D4 Gallon Forecast'!R75*(AVERAGE('D4 RIN Forecast'!BE$4:BI$4))</f>
        <v>188044694.61337352</v>
      </c>
      <c r="S73" s="43">
        <f>'D4 Gallon Forecast'!S75*(AVERAGE('D4 RIN Forecast'!BF$4:BJ$4))</f>
        <v>189100226.97983485</v>
      </c>
      <c r="T73" s="43">
        <f>'D4 Gallon Forecast'!T75*(AVERAGE('D4 RIN Forecast'!BG$4:BK$4))</f>
        <v>150978103.43270034</v>
      </c>
      <c r="U73" s="43">
        <f>'D4 Gallon Forecast'!U75*(AVERAGE('D4 RIN Forecast'!BH$4:BL$4))</f>
        <v>174519316.01103902</v>
      </c>
      <c r="V73" s="43">
        <f>'D4 Gallon Forecast'!V75*(AVERAGE('D4 RIN Forecast'!BI$4:BM$4))</f>
        <v>176240531.45137262</v>
      </c>
      <c r="W73" s="43">
        <f>'D4 Gallon Forecast'!W75*(AVERAGE('D4 RIN Forecast'!BJ$4:BN$4))</f>
        <v>175038626.27399057</v>
      </c>
      <c r="X73" s="43">
        <f>'D4 Gallon Forecast'!X75*(AVERAGE('D4 RIN Forecast'!BK$4:BO$4))</f>
        <v>185229904.80688357</v>
      </c>
      <c r="Y73" s="43">
        <f>'D4 Gallon Forecast'!Y75*(AVERAGE('D4 RIN Forecast'!BL$4:BP$4))</f>
        <v>173947011.92416319</v>
      </c>
      <c r="Z73" s="43">
        <f>'D4 Gallon Forecast'!Z75*(AVERAGE('D4 RIN Forecast'!BM$4:BQ$4))</f>
        <v>169886015.92077246</v>
      </c>
      <c r="AA73" s="43">
        <f>'D4 Gallon Forecast'!AA75*(AVERAGE('D4 RIN Forecast'!BN$4:BR$4))</f>
        <v>162989269.15109903</v>
      </c>
      <c r="AB73" s="43">
        <f>'D4 Gallon Forecast'!AB75*(AVERAGE('D4 RIN Forecast'!BO$4:BS$4))</f>
        <v>136387688.65518644</v>
      </c>
      <c r="AC73" s="43">
        <f>'D4 Gallon Forecast'!AC75*(AVERAGE('D4 RIN Forecast'!BP$4:BT$4))</f>
        <v>110342363.03115952</v>
      </c>
      <c r="AD73" s="43">
        <f>'D4 Gallon Forecast'!AD75*(AVERAGE('D4 RIN Forecast'!BQ$4:BU$4))</f>
        <v>108109411.37217495</v>
      </c>
      <c r="AE73" s="43">
        <f>'D4 Gallon Forecast'!AE75*(AVERAGE('D4 RIN Forecast'!BR$4:BV$4))</f>
        <v>89537894.147325501</v>
      </c>
      <c r="AF73" s="43">
        <f>'D4 Gallon Forecast'!AF75*(AVERAGE('D4 RIN Forecast'!BS$4:BW$4))</f>
        <v>53218931.046808161</v>
      </c>
      <c r="AG73" s="43">
        <f>'D4 Gallon Forecast'!AG75*(AVERAGE('D4 RIN Forecast'!BT$4:BX$4))</f>
        <v>59068378.974131078</v>
      </c>
      <c r="AH73" s="43">
        <f>'D4 Gallon Forecast'!AH75*(AVERAGE('D4 RIN Forecast'!BU$4:BY$4))</f>
        <v>58087024.716041863</v>
      </c>
      <c r="AI73" s="43">
        <f>'D4 Gallon Forecast'!AI75*(AVERAGE('D4 RIN Forecast'!BV$4:BZ$4))</f>
        <v>47779464.914814778</v>
      </c>
      <c r="AJ73" s="43">
        <f>'D4 Gallon Forecast'!AJ75*(AVERAGE('D4 RIN Forecast'!BW$4:CA$4))</f>
        <v>48279239.827741198</v>
      </c>
      <c r="AK73" s="43">
        <f>'D4 Gallon Forecast'!AK75*(AVERAGE('D4 RIN Forecast'!BX$4:CB$4))</f>
        <v>48467312.78219413</v>
      </c>
      <c r="AL73" s="43">
        <f>'D4 Gallon Forecast'!AL75*(AVERAGE('D4 RIN Forecast'!BY$4:CC$4))</f>
        <v>48315204.8813968</v>
      </c>
      <c r="AM73" s="43">
        <f>'D4 Gallon Forecast'!AM75*(AVERAGE('D4 RIN Forecast'!BZ$4:CD$4))</f>
        <v>48345044.091070957</v>
      </c>
      <c r="AN73" s="43">
        <f>'D4 Gallon Forecast'!AN75*(AVERAGE('D4 RIN Forecast'!CA$4:CE$4))</f>
        <v>49139328.727273285</v>
      </c>
      <c r="AO73" s="43">
        <f>'D4 Gallon Forecast'!AO75*(AVERAGE('D4 RIN Forecast'!CB$4:CF$4))</f>
        <v>49976116.350786835</v>
      </c>
      <c r="AP73" s="43">
        <f>'D4 Gallon Forecast'!AP75*(AVERAGE('D4 RIN Forecast'!CC$4:CG$4))</f>
        <v>51076610.898089513</v>
      </c>
      <c r="AQ73" s="43"/>
    </row>
    <row r="74" spans="1:43">
      <c r="A74" s="40" t="s">
        <v>50</v>
      </c>
      <c r="B74" s="42">
        <f>'Monthly D4 RIN Data'!$B11</f>
        <v>43250641</v>
      </c>
      <c r="C74" s="42">
        <f>'Monthly D4 RIN Data'!$B23</f>
        <v>151122737</v>
      </c>
      <c r="D74" s="42">
        <f>'Monthly D4 RIN Data'!$B35</f>
        <v>144383483</v>
      </c>
      <c r="E74" s="42">
        <f>'Monthly D4 RIN Data'!$B47</f>
        <v>194833580</v>
      </c>
      <c r="F74" s="42">
        <f>'Monthly D4 RIN Data'!$B59</f>
        <v>191068951</v>
      </c>
      <c r="G74" s="42">
        <f>'Monthly D4 RIN Data'!$B71</f>
        <v>188403778</v>
      </c>
      <c r="H74" s="42">
        <f>'Monthly D4 RIN Data'!$B83</f>
        <v>242452564</v>
      </c>
      <c r="I74" s="42">
        <f>'Monthly D4 RIN Data'!$B95</f>
        <v>236308169</v>
      </c>
      <c r="J74" s="42">
        <f>'Monthly D4 RIN Data'!$B107</f>
        <v>270950774</v>
      </c>
      <c r="K74" s="42">
        <f>'Monthly D4 RIN Data'!$B119</f>
        <v>230401252</v>
      </c>
      <c r="L74" s="42">
        <f>'Monthly D4 RIN Data'!$B131</f>
        <v>257243900</v>
      </c>
      <c r="M74" s="42">
        <f>'Monthly D4 RIN Data'!$B143</f>
        <v>231876527</v>
      </c>
      <c r="N74" s="42">
        <f>'Monthly D4 RIN Data'!$B155</f>
        <v>227752481</v>
      </c>
      <c r="O74" s="42">
        <f>'Monthly D4 RIN Data'!$B167</f>
        <v>228521206</v>
      </c>
      <c r="P74" s="42">
        <f>'Monthly D4 RIN Data'!$B179</f>
        <v>207484540</v>
      </c>
      <c r="Q74" s="43">
        <f>'D4 Gallon Forecast'!Q76*(AVERAGE('D4 RIN Forecast'!BD$4:BH$4))</f>
        <v>214936528.96658182</v>
      </c>
      <c r="R74" s="43">
        <f>'D4 Gallon Forecast'!R76*(AVERAGE('D4 RIN Forecast'!BE$4:BI$4))</f>
        <v>196376522.91640022</v>
      </c>
      <c r="S74" s="43">
        <f>'D4 Gallon Forecast'!S76*(AVERAGE('D4 RIN Forecast'!BF$4:BJ$4))</f>
        <v>197153253.72055966</v>
      </c>
      <c r="T74" s="43">
        <f>'D4 Gallon Forecast'!T76*(AVERAGE('D4 RIN Forecast'!BG$4:BK$4))</f>
        <v>155524823.0781264</v>
      </c>
      <c r="U74" s="43">
        <f>'D4 Gallon Forecast'!U76*(AVERAGE('D4 RIN Forecast'!BH$4:BL$4))</f>
        <v>178272581.4497982</v>
      </c>
      <c r="V74" s="43">
        <f>'D4 Gallon Forecast'!V76*(AVERAGE('D4 RIN Forecast'!BI$4:BM$4))</f>
        <v>182868690.49794906</v>
      </c>
      <c r="W74" s="43">
        <f>'D4 Gallon Forecast'!W76*(AVERAGE('D4 RIN Forecast'!BJ$4:BN$4))</f>
        <v>181274934.3611168</v>
      </c>
      <c r="X74" s="43">
        <f>'D4 Gallon Forecast'!X76*(AVERAGE('D4 RIN Forecast'!BK$4:BO$4))</f>
        <v>191480159.87237859</v>
      </c>
      <c r="Y74" s="43">
        <f>'D4 Gallon Forecast'!Y76*(AVERAGE('D4 RIN Forecast'!BL$4:BP$4))</f>
        <v>179479112.34259173</v>
      </c>
      <c r="Z74" s="43">
        <f>'D4 Gallon Forecast'!Z76*(AVERAGE('D4 RIN Forecast'!BM$4:BQ$4))</f>
        <v>175337893.87074012</v>
      </c>
      <c r="AA74" s="43">
        <f>'D4 Gallon Forecast'!AA76*(AVERAGE('D4 RIN Forecast'!BN$4:BR$4))</f>
        <v>168561836.06597883</v>
      </c>
      <c r="AB74" s="43">
        <f>'D4 Gallon Forecast'!AB76*(AVERAGE('D4 RIN Forecast'!BO$4:BS$4))</f>
        <v>140955978.73841327</v>
      </c>
      <c r="AC74" s="43">
        <f>'D4 Gallon Forecast'!AC76*(AVERAGE('D4 RIN Forecast'!BP$4:BT$4))</f>
        <v>113988532.41720711</v>
      </c>
      <c r="AD74" s="43">
        <f>'D4 Gallon Forecast'!AD76*(AVERAGE('D4 RIN Forecast'!BQ$4:BU$4))</f>
        <v>111663217.219448</v>
      </c>
      <c r="AE74" s="43">
        <f>'D4 Gallon Forecast'!AE76*(AVERAGE('D4 RIN Forecast'!BR$4:BV$4))</f>
        <v>92505419.966959745</v>
      </c>
      <c r="AF74" s="43">
        <f>'D4 Gallon Forecast'!AF76*(AVERAGE('D4 RIN Forecast'!BS$4:BW$4))</f>
        <v>54998398.439127512</v>
      </c>
      <c r="AG74" s="43">
        <f>'D4 Gallon Forecast'!AG76*(AVERAGE('D4 RIN Forecast'!BT$4:BX$4))</f>
        <v>61028862.950099617</v>
      </c>
      <c r="AH74" s="43">
        <f>'D4 Gallon Forecast'!AH76*(AVERAGE('D4 RIN Forecast'!BU$4:BY$4))</f>
        <v>60009191.700481653</v>
      </c>
      <c r="AI74" s="43">
        <f>'D4 Gallon Forecast'!AI76*(AVERAGE('D4 RIN Forecast'!BV$4:BZ$4))</f>
        <v>49361216.255170308</v>
      </c>
      <c r="AJ74" s="43">
        <f>'D4 Gallon Forecast'!AJ76*(AVERAGE('D4 RIN Forecast'!BW$4:CA$4))</f>
        <v>49881487.866508409</v>
      </c>
      <c r="AK74" s="43">
        <f>'D4 Gallon Forecast'!AK76*(AVERAGE('D4 RIN Forecast'!BX$4:CB$4))</f>
        <v>50076525.948306285</v>
      </c>
      <c r="AL74" s="43">
        <f>'D4 Gallon Forecast'!AL76*(AVERAGE('D4 RIN Forecast'!BY$4:CC$4))</f>
        <v>49917061.523920707</v>
      </c>
      <c r="AM74" s="43">
        <f>'D4 Gallon Forecast'!AM76*(AVERAGE('D4 RIN Forecast'!BZ$4:CD$4))</f>
        <v>49947482.852239959</v>
      </c>
      <c r="AN74" s="43">
        <f>'D4 Gallon Forecast'!AN76*(AVERAGE('D4 RIN Forecast'!CA$4:CE$4))</f>
        <v>50768742.283065043</v>
      </c>
      <c r="AO74" s="43">
        <f>'D4 Gallon Forecast'!AO76*(AVERAGE('D4 RIN Forecast'!CB$4:CF$4))</f>
        <v>51633806.620603919</v>
      </c>
      <c r="AP74" s="43">
        <f>'D4 Gallon Forecast'!AP76*(AVERAGE('D4 RIN Forecast'!CC$4:CG$4))</f>
        <v>52770627.986735053</v>
      </c>
      <c r="AQ74" s="43"/>
    </row>
    <row r="75" spans="1:43">
      <c r="A75" s="40" t="s">
        <v>51</v>
      </c>
      <c r="B75" s="42">
        <f>'Monthly D4 RIN Data'!$B12</f>
        <v>53516322</v>
      </c>
      <c r="C75" s="42">
        <f>'Monthly D4 RIN Data'!$B24</f>
        <v>171125259</v>
      </c>
      <c r="D75" s="42">
        <f>'Monthly D4 RIN Data'!$B36</f>
        <v>122010608</v>
      </c>
      <c r="E75" s="42">
        <f>'Monthly D4 RIN Data'!$B48</f>
        <v>191372711</v>
      </c>
      <c r="F75" s="42">
        <f>'Monthly D4 RIN Data'!$B60</f>
        <v>186805724</v>
      </c>
      <c r="G75" s="42">
        <f>'Monthly D4 RIN Data'!$B72</f>
        <v>176746378</v>
      </c>
      <c r="H75" s="42">
        <f>'Monthly D4 RIN Data'!$B84</f>
        <v>219918141</v>
      </c>
      <c r="I75" s="42">
        <f>'Monthly D4 RIN Data'!$B96</f>
        <v>222502704</v>
      </c>
      <c r="J75" s="42">
        <f>'Monthly D4 RIN Data'!$B108</f>
        <v>235512822</v>
      </c>
      <c r="K75" s="42">
        <f>'Monthly D4 RIN Data'!$B120</f>
        <v>215492652</v>
      </c>
      <c r="L75" s="42">
        <f>'Monthly D4 RIN Data'!$B132</f>
        <v>251801474</v>
      </c>
      <c r="M75" s="42">
        <f>'Monthly D4 RIN Data'!$B144</f>
        <v>209905264</v>
      </c>
      <c r="N75" s="42">
        <f>'Monthly D4 RIN Data'!$B156</f>
        <v>212794117</v>
      </c>
      <c r="O75" s="42">
        <f>'Monthly D4 RIN Data'!$B168</f>
        <v>215809067</v>
      </c>
      <c r="P75" s="42">
        <f>'Monthly D4 RIN Data'!$B180</f>
        <v>198325165</v>
      </c>
      <c r="Q75" s="43">
        <f>'D4 Gallon Forecast'!Q77*(AVERAGE('D4 RIN Forecast'!BD$4:BH$4))</f>
        <v>202959207.51878574</v>
      </c>
      <c r="R75" s="43">
        <f>'D4 Gallon Forecast'!R77*(AVERAGE('D4 RIN Forecast'!BE$4:BI$4))</f>
        <v>183861061.75765017</v>
      </c>
      <c r="S75" s="43">
        <f>'D4 Gallon Forecast'!S77*(AVERAGE('D4 RIN Forecast'!BF$4:BJ$4))</f>
        <v>185907488.47208795</v>
      </c>
      <c r="T75" s="43">
        <f>'D4 Gallon Forecast'!T77*(AVERAGE('D4 RIN Forecast'!BG$4:BK$4))</f>
        <v>146946506.90139499</v>
      </c>
      <c r="U75" s="43">
        <f>'D4 Gallon Forecast'!U77*(AVERAGE('D4 RIN Forecast'!BH$4:BL$4))</f>
        <v>168459278.52513635</v>
      </c>
      <c r="V75" s="43">
        <f>'D4 Gallon Forecast'!V77*(AVERAGE('D4 RIN Forecast'!BI$4:BM$4))</f>
        <v>172363443.77839431</v>
      </c>
      <c r="W75" s="43">
        <f>'D4 Gallon Forecast'!W77*(AVERAGE('D4 RIN Forecast'!BJ$4:BN$4))</f>
        <v>170787529.95665842</v>
      </c>
      <c r="X75" s="43">
        <f>'D4 Gallon Forecast'!X77*(AVERAGE('D4 RIN Forecast'!BK$4:BO$4))</f>
        <v>180649292.69840416</v>
      </c>
      <c r="Y75" s="43">
        <f>'D4 Gallon Forecast'!Y77*(AVERAGE('D4 RIN Forecast'!BL$4:BP$4))</f>
        <v>169346041.08754224</v>
      </c>
      <c r="Z75" s="43">
        <f>'D4 Gallon Forecast'!Z77*(AVERAGE('D4 RIN Forecast'!BM$4:BQ$4))</f>
        <v>165399786.12954098</v>
      </c>
      <c r="AA75" s="43">
        <f>'D4 Gallon Forecast'!AA77*(AVERAGE('D4 RIN Forecast'!BN$4:BR$4))</f>
        <v>158953890.6129252</v>
      </c>
      <c r="AB75" s="43">
        <f>'D4 Gallon Forecast'!AB77*(AVERAGE('D4 RIN Forecast'!BO$4:BS$4))</f>
        <v>132934423.50299217</v>
      </c>
      <c r="AC75" s="43">
        <f>'D4 Gallon Forecast'!AC77*(AVERAGE('D4 RIN Forecast'!BP$4:BT$4))</f>
        <v>107524471.9300165</v>
      </c>
      <c r="AD75" s="43">
        <f>'D4 Gallon Forecast'!AD77*(AVERAGE('D4 RIN Forecast'!BQ$4:BU$4))</f>
        <v>105327062.77476777</v>
      </c>
      <c r="AE75" s="43">
        <f>'D4 Gallon Forecast'!AE77*(AVERAGE('D4 RIN Forecast'!BR$4:BV$4))</f>
        <v>87249679.989096269</v>
      </c>
      <c r="AF75" s="43">
        <f>'D4 Gallon Forecast'!AF77*(AVERAGE('D4 RIN Forecast'!BS$4:BW$4))</f>
        <v>51871552.612507425</v>
      </c>
      <c r="AG75" s="43">
        <f>'D4 Gallon Forecast'!AG77*(AVERAGE('D4 RIN Forecast'!BT$4:BX$4))</f>
        <v>57562088.765962556</v>
      </c>
      <c r="AH75" s="43">
        <f>'D4 Gallon Forecast'!AH77*(AVERAGE('D4 RIN Forecast'!BU$4:BY$4))</f>
        <v>56602342.073571011</v>
      </c>
      <c r="AI75" s="43">
        <f>'D4 Gallon Forecast'!AI77*(AVERAGE('D4 RIN Forecast'!BV$4:BZ$4))</f>
        <v>46557925.665182211</v>
      </c>
      <c r="AJ75" s="43">
        <f>'D4 Gallon Forecast'!AJ77*(AVERAGE('D4 RIN Forecast'!BW$4:CA$4))</f>
        <v>47047810.652717195</v>
      </c>
      <c r="AK75" s="43">
        <f>'D4 Gallon Forecast'!AK77*(AVERAGE('D4 RIN Forecast'!BX$4:CB$4))</f>
        <v>47231891.615165226</v>
      </c>
      <c r="AL75" s="43">
        <f>'D4 Gallon Forecast'!AL77*(AVERAGE('D4 RIN Forecast'!BY$4:CC$4))</f>
        <v>47081969.585670739</v>
      </c>
      <c r="AM75" s="43">
        <f>'D4 Gallon Forecast'!AM77*(AVERAGE('D4 RIN Forecast'!BZ$4:CD$4))</f>
        <v>47110774.041584246</v>
      </c>
      <c r="AN75" s="43">
        <f>'D4 Gallon Forecast'!AN77*(AVERAGE('D4 RIN Forecast'!CA$4:CE$4))</f>
        <v>47885125.702747978</v>
      </c>
      <c r="AO75" s="43">
        <f>'D4 Gallon Forecast'!AO77*(AVERAGE('D4 RIN Forecast'!CB$4:CF$4))</f>
        <v>48700976.937804818</v>
      </c>
      <c r="AP75" s="43">
        <f>'D4 Gallon Forecast'!AP77*(AVERAGE('D4 RIN Forecast'!CC$4:CG$4))</f>
        <v>49773305.717374206</v>
      </c>
      <c r="AQ75" s="43"/>
    </row>
    <row r="76" spans="1:43">
      <c r="A76" s="40" t="s">
        <v>52</v>
      </c>
      <c r="B76" s="42">
        <f>'Monthly D4 RIN Data'!$B13</f>
        <v>55175596</v>
      </c>
      <c r="C76" s="42">
        <f>'Monthly D4 RIN Data'!$B25</f>
        <v>167688075</v>
      </c>
      <c r="D76" s="42">
        <f>'Monthly D4 RIN Data'!$B37</f>
        <v>120902540</v>
      </c>
      <c r="E76" s="42">
        <f>'Monthly D4 RIN Data'!$B49</f>
        <v>195135059</v>
      </c>
      <c r="F76" s="42">
        <f>'Monthly D4 RIN Data'!$B61</f>
        <v>181997132</v>
      </c>
      <c r="G76" s="42">
        <f>'Monthly D4 RIN Data'!$B73</f>
        <v>157531358</v>
      </c>
      <c r="H76" s="42">
        <f>'Monthly D4 RIN Data'!$B85</f>
        <v>214599422</v>
      </c>
      <c r="I76" s="42">
        <f>'Monthly D4 RIN Data'!$B97</f>
        <v>224025048</v>
      </c>
      <c r="J76" s="42">
        <f>'Monthly D4 RIN Data'!$B109</f>
        <v>256420992</v>
      </c>
      <c r="K76" s="42">
        <f>'Monthly D4 RIN Data'!$B121</f>
        <v>219930536</v>
      </c>
      <c r="L76" s="42">
        <f>'Monthly D4 RIN Data'!$B133</f>
        <v>224237799</v>
      </c>
      <c r="M76" s="42">
        <f>'Monthly D4 RIN Data'!$B145</f>
        <v>209671156</v>
      </c>
      <c r="N76" s="42">
        <f>'Monthly D4 RIN Data'!$B157</f>
        <v>207062845</v>
      </c>
      <c r="O76" s="42">
        <f>'Monthly D4 RIN Data'!$B169</f>
        <v>216133733</v>
      </c>
      <c r="P76" s="42">
        <f>'Monthly D4 RIN Data'!$B181</f>
        <v>221240506</v>
      </c>
      <c r="Q76" s="43">
        <f>'D4 Gallon Forecast'!Q78*(AVERAGE('D4 RIN Forecast'!BD$4:BH$4))</f>
        <v>201041114.45948476</v>
      </c>
      <c r="R76" s="43">
        <f>'D4 Gallon Forecast'!R78*(AVERAGE('D4 RIN Forecast'!BE$4:BI$4))</f>
        <v>186576589.89855441</v>
      </c>
      <c r="S76" s="43">
        <f>'D4 Gallon Forecast'!S78*(AVERAGE('D4 RIN Forecast'!BF$4:BJ$4))</f>
        <v>189264655.89244571</v>
      </c>
      <c r="T76" s="43">
        <f>'D4 Gallon Forecast'!T78*(AVERAGE('D4 RIN Forecast'!BG$4:BK$4))</f>
        <v>151025677.87070721</v>
      </c>
      <c r="U76" s="43">
        <f>'D4 Gallon Forecast'!U78*(AVERAGE('D4 RIN Forecast'!BH$4:BL$4))</f>
        <v>174175395.80059108</v>
      </c>
      <c r="V76" s="43">
        <f>'D4 Gallon Forecast'!V78*(AVERAGE('D4 RIN Forecast'!BI$4:BM$4))</f>
        <v>175070752.27472469</v>
      </c>
      <c r="W76" s="43">
        <f>'D4 Gallon Forecast'!W78*(AVERAGE('D4 RIN Forecast'!BJ$4:BN$4))</f>
        <v>174486991.80004776</v>
      </c>
      <c r="X76" s="43">
        <f>'D4 Gallon Forecast'!X78*(AVERAGE('D4 RIN Forecast'!BK$4:BO$4))</f>
        <v>184833437.06573504</v>
      </c>
      <c r="Y76" s="43">
        <f>'D4 Gallon Forecast'!Y78*(AVERAGE('D4 RIN Forecast'!BL$4:BP$4))</f>
        <v>173459837.3992973</v>
      </c>
      <c r="Z76" s="43">
        <f>'D4 Gallon Forecast'!Z78*(AVERAGE('D4 RIN Forecast'!BM$4:BQ$4))</f>
        <v>169319910.00452825</v>
      </c>
      <c r="AA76" s="43">
        <f>'D4 Gallon Forecast'!AA78*(AVERAGE('D4 RIN Forecast'!BN$4:BR$4))</f>
        <v>162402150.40112638</v>
      </c>
      <c r="AB76" s="43">
        <f>'D4 Gallon Forecast'!AB78*(AVERAGE('D4 RIN Forecast'!BO$4:BS$4))</f>
        <v>135980534.3963033</v>
      </c>
      <c r="AC76" s="43">
        <f>'D4 Gallon Forecast'!AC78*(AVERAGE('D4 RIN Forecast'!BP$4:BT$4))</f>
        <v>110016836.60934494</v>
      </c>
      <c r="AD76" s="43">
        <f>'D4 Gallon Forecast'!AD78*(AVERAGE('D4 RIN Forecast'!BQ$4:BU$4))</f>
        <v>107768954.24468099</v>
      </c>
      <c r="AE76" s="43">
        <f>'D4 Gallon Forecast'!AE78*(AVERAGE('D4 RIN Forecast'!BR$4:BV$4))</f>
        <v>89248030.060381889</v>
      </c>
      <c r="AF76" s="43">
        <f>'D4 Gallon Forecast'!AF78*(AVERAGE('D4 RIN Forecast'!BS$4:BW$4))</f>
        <v>53048056.764896534</v>
      </c>
      <c r="AG76" s="43">
        <f>'D4 Gallon Forecast'!AG78*(AVERAGE('D4 RIN Forecast'!BT$4:BX$4))</f>
        <v>58886296.467768826</v>
      </c>
      <c r="AH76" s="43">
        <f>'D4 Gallon Forecast'!AH78*(AVERAGE('D4 RIN Forecast'!BU$4:BY$4))</f>
        <v>57906133.163971446</v>
      </c>
      <c r="AI76" s="43">
        <f>'D4 Gallon Forecast'!AI78*(AVERAGE('D4 RIN Forecast'!BV$4:BZ$4))</f>
        <v>47628323.263583191</v>
      </c>
      <c r="AJ76" s="43">
        <f>'D4 Gallon Forecast'!AJ78*(AVERAGE('D4 RIN Forecast'!BW$4:CA$4))</f>
        <v>48126277.57753402</v>
      </c>
      <c r="AK76" s="43">
        <f>'D4 Gallon Forecast'!AK78*(AVERAGE('D4 RIN Forecast'!BX$4:CB$4))</f>
        <v>48314879.384751</v>
      </c>
      <c r="AL76" s="43">
        <f>'D4 Gallon Forecast'!AL78*(AVERAGE('D4 RIN Forecast'!BY$4:CC$4))</f>
        <v>48163895.480265528</v>
      </c>
      <c r="AM76" s="43">
        <f>'D4 Gallon Forecast'!AM78*(AVERAGE('D4 RIN Forecast'!BZ$4:CD$4))</f>
        <v>48193081.982338332</v>
      </c>
      <c r="AN76" s="43">
        <f>'D4 Gallon Forecast'!AN78*(AVERAGE('D4 RIN Forecast'!CA$4:CE$4))</f>
        <v>48984525.158375815</v>
      </c>
      <c r="AO76" s="43">
        <f>'D4 Gallon Forecast'!AO78*(AVERAGE('D4 RIN Forecast'!CB$4:CF$4))</f>
        <v>49818804.824914016</v>
      </c>
      <c r="AP76" s="43">
        <f>'D4 Gallon Forecast'!AP78*(AVERAGE('D4 RIN Forecast'!CC$4:CG$4))</f>
        <v>50916042.765579045</v>
      </c>
      <c r="AQ76" s="43"/>
    </row>
    <row r="77" spans="1:43">
      <c r="A77" s="40" t="s">
        <v>53</v>
      </c>
      <c r="B77" s="42">
        <f>'Monthly D4 RIN Data'!$B14</f>
        <v>46066755</v>
      </c>
      <c r="C77" s="42">
        <f>'Monthly D4 RIN Data'!$B26</f>
        <v>157917245</v>
      </c>
      <c r="D77" s="42">
        <f>'Monthly D4 RIN Data'!$B38</f>
        <v>101971466</v>
      </c>
      <c r="E77" s="42">
        <f>'Monthly D4 RIN Data'!$B50</f>
        <v>165500152</v>
      </c>
      <c r="F77" s="42">
        <f>'Monthly D4 RIN Data'!$B62</f>
        <v>145999885</v>
      </c>
      <c r="G77" s="42">
        <f>'Monthly D4 RIN Data'!$B74</f>
        <v>144716848</v>
      </c>
      <c r="H77" s="42">
        <f>'Monthly D4 RIN Data'!$B86</f>
        <v>209557727</v>
      </c>
      <c r="I77" s="42">
        <f>'Monthly D4 RIN Data'!$B98</f>
        <v>221747652</v>
      </c>
      <c r="J77" s="42">
        <f>'Monthly D4 RIN Data'!$B110</f>
        <v>226173830</v>
      </c>
      <c r="K77" s="42">
        <f>'Monthly D4 RIN Data'!$B122</f>
        <v>178711747</v>
      </c>
      <c r="L77" s="42">
        <f>'Monthly D4 RIN Data'!$B134</f>
        <v>214245415</v>
      </c>
      <c r="M77" s="42">
        <f>'Monthly D4 RIN Data'!$B146</f>
        <v>211287523</v>
      </c>
      <c r="N77" s="42">
        <f>'Monthly D4 RIN Data'!$B158</f>
        <v>211945708</v>
      </c>
      <c r="O77" s="42">
        <f>'Monthly D4 RIN Data'!$B170</f>
        <v>202535379</v>
      </c>
      <c r="P77" s="42">
        <f>'Monthly D4 RIN Data'!$B182</f>
        <v>199613434</v>
      </c>
      <c r="Q77" s="43">
        <f>'D4 Gallon Forecast'!Q79*(AVERAGE('D4 RIN Forecast'!BD$4:BH$4))</f>
        <v>193822902.81184039</v>
      </c>
      <c r="R77" s="43">
        <f>'D4 Gallon Forecast'!R79*(AVERAGE('D4 RIN Forecast'!BE$4:BI$4))</f>
        <v>180220920.04474375</v>
      </c>
      <c r="S77" s="43">
        <f>'D4 Gallon Forecast'!S79*(AVERAGE('D4 RIN Forecast'!BF$4:BJ$4))</f>
        <v>181211100.65695691</v>
      </c>
      <c r="T77" s="43">
        <f>'D4 Gallon Forecast'!T79*(AVERAGE('D4 RIN Forecast'!BG$4:BK$4))</f>
        <v>142560187.60401818</v>
      </c>
      <c r="U77" s="43">
        <f>'D4 Gallon Forecast'!U79*(AVERAGE('D4 RIN Forecast'!BH$4:BL$4))</f>
        <v>164684457.04280213</v>
      </c>
      <c r="V77" s="43">
        <f>'D4 Gallon Forecast'!V79*(AVERAGE('D4 RIN Forecast'!BI$4:BM$4))</f>
        <v>167388561.24414793</v>
      </c>
      <c r="W77" s="43">
        <f>'D4 Gallon Forecast'!W79*(AVERAGE('D4 RIN Forecast'!BJ$4:BN$4))</f>
        <v>166511048.65602127</v>
      </c>
      <c r="X77" s="43">
        <f>'D4 Gallon Forecast'!X79*(AVERAGE('D4 RIN Forecast'!BK$4:BO$4))</f>
        <v>175919719.1355795</v>
      </c>
      <c r="Y77" s="43">
        <f>'D4 Gallon Forecast'!Y79*(AVERAGE('D4 RIN Forecast'!BL$4:BP$4))</f>
        <v>164877921.15940765</v>
      </c>
      <c r="Z77" s="43">
        <f>'D4 Gallon Forecast'!Z79*(AVERAGE('D4 RIN Forecast'!BM$4:BQ$4))</f>
        <v>161133536.16254777</v>
      </c>
      <c r="AA77" s="43">
        <f>'D4 Gallon Forecast'!AA79*(AVERAGE('D4 RIN Forecast'!BN$4:BR$4))</f>
        <v>154748308.06304371</v>
      </c>
      <c r="AB77" s="43">
        <f>'D4 Gallon Forecast'!AB79*(AVERAGE('D4 RIN Forecast'!BO$4:BS$4))</f>
        <v>129482460.7844415</v>
      </c>
      <c r="AC77" s="43">
        <f>'D4 Gallon Forecast'!AC79*(AVERAGE('D4 RIN Forecast'!BP$4:BT$4))</f>
        <v>104711238.28001644</v>
      </c>
      <c r="AD77" s="43">
        <f>'D4 Gallon Forecast'!AD79*(AVERAGE('D4 RIN Forecast'!BQ$4:BU$4))</f>
        <v>102571770.01083402</v>
      </c>
      <c r="AE77" s="43">
        <f>'D4 Gallon Forecast'!AE79*(AVERAGE('D4 RIN Forecast'!BR$4:BV$4))</f>
        <v>84972244.979150802</v>
      </c>
      <c r="AF77" s="43">
        <f>'D4 Gallon Forecast'!AF79*(AVERAGE('D4 RIN Forecast'!BS$4:BW$4))</f>
        <v>50513097.903552137</v>
      </c>
      <c r="AG77" s="43">
        <f>'D4 Gallon Forecast'!AG79*(AVERAGE('D4 RIN Forecast'!BT$4:BX$4))</f>
        <v>56059682.497905128</v>
      </c>
      <c r="AH77" s="43">
        <f>'D4 Gallon Forecast'!AH79*(AVERAGE('D4 RIN Forecast'!BU$4:BY$4))</f>
        <v>55122538.303340852</v>
      </c>
      <c r="AI77" s="43">
        <f>'D4 Gallon Forecast'!AI79*(AVERAGE('D4 RIN Forecast'!BV$4:BZ$4))</f>
        <v>45340998.098684639</v>
      </c>
      <c r="AJ77" s="43">
        <f>'D4 Gallon Forecast'!AJ79*(AVERAGE('D4 RIN Forecast'!BW$4:CA$4))</f>
        <v>45818433.419465743</v>
      </c>
      <c r="AK77" s="43">
        <f>'D4 Gallon Forecast'!AK79*(AVERAGE('D4 RIN Forecast'!BX$4:CB$4))</f>
        <v>45997261.794029549</v>
      </c>
      <c r="AL77" s="43">
        <f>'D4 Gallon Forecast'!AL79*(AVERAGE('D4 RIN Forecast'!BY$4:CC$4))</f>
        <v>45851728.638997406</v>
      </c>
      <c r="AM77" s="43">
        <f>'D4 Gallon Forecast'!AM79*(AVERAGE('D4 RIN Forecast'!BZ$4:CD$4))</f>
        <v>45879457.195378229</v>
      </c>
      <c r="AN77" s="43">
        <f>'D4 Gallon Forecast'!AN79*(AVERAGE('D4 RIN Forecast'!CA$4:CE$4))</f>
        <v>46633653.310441509</v>
      </c>
      <c r="AO77" s="43">
        <f>'D4 Gallon Forecast'!AO79*(AVERAGE('D4 RIN Forecast'!CB$4:CF$4))</f>
        <v>47428211.499766707</v>
      </c>
      <c r="AP77" s="43">
        <f>'D4 Gallon Forecast'!AP79*(AVERAGE('D4 RIN Forecast'!CC$4:CG$4))</f>
        <v>48472477.275396608</v>
      </c>
      <c r="AQ77" s="43"/>
    </row>
    <row r="78" spans="1:43">
      <c r="A78" s="40" t="s">
        <v>54</v>
      </c>
      <c r="B78" s="42">
        <f>'Monthly D4 RIN Data'!$B15</f>
        <v>48627279</v>
      </c>
      <c r="C78" s="42">
        <f>'Monthly D4 RIN Data'!$B27</f>
        <v>226116883</v>
      </c>
      <c r="D78" s="42">
        <f>'Monthly D4 RIN Data'!$B39</f>
        <v>87234994</v>
      </c>
      <c r="E78" s="42">
        <f>'Monthly D4 RIN Data'!$B51</f>
        <v>237547090</v>
      </c>
      <c r="F78" s="42">
        <f>'Monthly D4 RIN Data'!$B63</f>
        <v>245244185</v>
      </c>
      <c r="G78" s="42">
        <f>'Monthly D4 RIN Data'!$B75</f>
        <v>165151789</v>
      </c>
      <c r="H78" s="42">
        <f>'Monthly D4 RIN Data'!$B87</f>
        <v>280747118</v>
      </c>
      <c r="I78" s="42">
        <f>'Monthly D4 RIN Data'!$B99</f>
        <v>243895276</v>
      </c>
      <c r="J78" s="42">
        <f>'Monthly D4 RIN Data'!$B111</f>
        <v>274996979</v>
      </c>
      <c r="K78" s="42">
        <f>'Monthly D4 RIN Data'!$B123</f>
        <v>209404921</v>
      </c>
      <c r="L78" s="42">
        <f>'Monthly D4 RIN Data'!$B135</f>
        <v>263824602</v>
      </c>
      <c r="M78" s="42">
        <f>'Monthly D4 RIN Data'!$B147</f>
        <v>248564865</v>
      </c>
      <c r="N78" s="42">
        <f>'Monthly D4 RIN Data'!$B159</f>
        <v>218389139</v>
      </c>
      <c r="O78" s="42">
        <f>'Monthly D4 RIN Data'!$B171</f>
        <v>203576652</v>
      </c>
      <c r="P78" s="42">
        <f>'Monthly D4 RIN Data'!$B183</f>
        <v>262006305</v>
      </c>
      <c r="Q78" s="43">
        <f>'D4 Gallon Forecast'!Q80*(AVERAGE('D4 RIN Forecast'!BD$4:BH$4))</f>
        <v>386567664.22176313</v>
      </c>
      <c r="R78" s="43">
        <f>'D4 Gallon Forecast'!R80*(AVERAGE('D4 RIN Forecast'!BE$4:BI$4))</f>
        <v>205705572.98741299</v>
      </c>
      <c r="S78" s="43">
        <f>'D4 Gallon Forecast'!S80*(AVERAGE('D4 RIN Forecast'!BF$4:BJ$4))</f>
        <v>234046207.17186934</v>
      </c>
      <c r="T78" s="43">
        <f>'D4 Gallon Forecast'!T80*(AVERAGE('D4 RIN Forecast'!BG$4:BK$4))</f>
        <v>192368131.83962625</v>
      </c>
      <c r="U78" s="43">
        <f>'D4 Gallon Forecast'!U80*(AVERAGE('D4 RIN Forecast'!BH$4:BL$4))</f>
        <v>235016474.77357924</v>
      </c>
      <c r="V78" s="43">
        <f>'D4 Gallon Forecast'!V80*(AVERAGE('D4 RIN Forecast'!BI$4:BM$4))</f>
        <v>243311092.37735528</v>
      </c>
      <c r="W78" s="43">
        <f>'D4 Gallon Forecast'!W80*(AVERAGE('D4 RIN Forecast'!BJ$4:BN$4))</f>
        <v>221157116.20770678</v>
      </c>
      <c r="X78" s="43">
        <f>'D4 Gallon Forecast'!X80*(AVERAGE('D4 RIN Forecast'!BK$4:BO$4))</f>
        <v>240854319.5076575</v>
      </c>
      <c r="Y78" s="43">
        <f>'D4 Gallon Forecast'!Y80*(AVERAGE('D4 RIN Forecast'!BL$4:BP$4))</f>
        <v>198572187.50914362</v>
      </c>
      <c r="Z78" s="43">
        <f>'D4 Gallon Forecast'!Z80*(AVERAGE('D4 RIN Forecast'!BM$4:BQ$4))</f>
        <v>208133166.19870296</v>
      </c>
      <c r="AA78" s="43">
        <f>'D4 Gallon Forecast'!AA80*(AVERAGE('D4 RIN Forecast'!BN$4:BR$4))</f>
        <v>196884186.87947842</v>
      </c>
      <c r="AB78" s="43">
        <f>'D4 Gallon Forecast'!AB80*(AVERAGE('D4 RIN Forecast'!BO$4:BS$4))</f>
        <v>167612030.37775615</v>
      </c>
      <c r="AC78" s="43">
        <f>'D4 Gallon Forecast'!AC80*(AVERAGE('D4 RIN Forecast'!BP$4:BT$4))</f>
        <v>134798722.01512611</v>
      </c>
      <c r="AD78" s="43">
        <f>'D4 Gallon Forecast'!AD80*(AVERAGE('D4 RIN Forecast'!BQ$4:BU$4))</f>
        <v>129980562.7945395</v>
      </c>
      <c r="AE78" s="43">
        <f>'D4 Gallon Forecast'!AE80*(AVERAGE('D4 RIN Forecast'!BR$4:BV$4))</f>
        <v>109027483.9983312</v>
      </c>
      <c r="AF78" s="43">
        <f>'D4 Gallon Forecast'!AF80*(AVERAGE('D4 RIN Forecast'!BS$4:BW$4))</f>
        <v>64691891.194399059</v>
      </c>
      <c r="AG78" s="43">
        <f>'D4 Gallon Forecast'!AG80*(AVERAGE('D4 RIN Forecast'!BT$4:BX$4))</f>
        <v>71949845.296500787</v>
      </c>
      <c r="AH78" s="43">
        <f>'D4 Gallon Forecast'!AH80*(AVERAGE('D4 RIN Forecast'!BU$4:BY$4))</f>
        <v>70549748.036340252</v>
      </c>
      <c r="AI78" s="43">
        <f>'D4 Gallon Forecast'!AI80*(AVERAGE('D4 RIN Forecast'!BV$4:BZ$4))</f>
        <v>57929133.832699716</v>
      </c>
      <c r="AJ78" s="43">
        <f>'D4 Gallon Forecast'!AJ80*(AVERAGE('D4 RIN Forecast'!BW$4:CA$4))</f>
        <v>58706771.514734417</v>
      </c>
      <c r="AK78" s="43">
        <f>'D4 Gallon Forecast'!AK80*(AVERAGE('D4 RIN Forecast'!BX$4:CB$4))</f>
        <v>58908022.155061483</v>
      </c>
      <c r="AL78" s="43">
        <f>'D4 Gallon Forecast'!AL80*(AVERAGE('D4 RIN Forecast'!BY$4:CC$4))</f>
        <v>58721546.982668892</v>
      </c>
      <c r="AM78" s="43">
        <f>'D4 Gallon Forecast'!AM80*(AVERAGE('D4 RIN Forecast'!BZ$4:CD$4))</f>
        <v>58727168.190262981</v>
      </c>
      <c r="AN78" s="43">
        <f>'D4 Gallon Forecast'!AN80*(AVERAGE('D4 RIN Forecast'!CA$4:CE$4))</f>
        <v>59694368.142091148</v>
      </c>
      <c r="AO78" s="43">
        <f>'D4 Gallon Forecast'!AO80*(AVERAGE('D4 RIN Forecast'!CB$4:CF$4))</f>
        <v>60734236.150031403</v>
      </c>
      <c r="AP78" s="43">
        <f>'D4 Gallon Forecast'!AP80*(AVERAGE('D4 RIN Forecast'!CC$4:CG$4))</f>
        <v>62064374.373548985</v>
      </c>
      <c r="AQ78" s="43"/>
    </row>
    <row r="79" spans="1:43">
      <c r="A79" s="40" t="s">
        <v>29</v>
      </c>
      <c r="B79" s="42">
        <f>SUM(B67:B78)</f>
        <v>302937942</v>
      </c>
      <c r="C79" s="42">
        <f t="shared" ref="C79:AP79" si="63">SUM(C67:C78)</f>
        <v>1549394798</v>
      </c>
      <c r="D79" s="42">
        <f t="shared" si="63"/>
        <v>1524323382</v>
      </c>
      <c r="E79" s="42">
        <f t="shared" si="63"/>
        <v>2067907480</v>
      </c>
      <c r="F79" s="42">
        <f t="shared" si="63"/>
        <v>1958892396</v>
      </c>
      <c r="G79" s="42">
        <f t="shared" si="63"/>
        <v>1881366349</v>
      </c>
      <c r="H79" s="42">
        <f t="shared" si="63"/>
        <v>2449158616</v>
      </c>
      <c r="I79" s="42">
        <f t="shared" si="63"/>
        <v>2382404523</v>
      </c>
      <c r="J79" s="42">
        <f t="shared" si="63"/>
        <v>2782717771</v>
      </c>
      <c r="K79" s="42">
        <f t="shared" si="63"/>
        <v>2570678271</v>
      </c>
      <c r="L79" s="42">
        <f t="shared" si="63"/>
        <v>2737347098</v>
      </c>
      <c r="M79" s="42">
        <f t="shared" si="63"/>
        <v>2556974518</v>
      </c>
      <c r="N79" s="42">
        <f t="shared" si="63"/>
        <v>2430341972</v>
      </c>
      <c r="O79" s="42">
        <f t="shared" si="63"/>
        <v>2503903134</v>
      </c>
      <c r="P79" s="42">
        <f t="shared" si="63"/>
        <v>2491180179</v>
      </c>
      <c r="Q79" s="43">
        <f t="shared" si="63"/>
        <v>2371403060.3326731</v>
      </c>
      <c r="R79" s="43">
        <f t="shared" si="63"/>
        <v>2184460093.4594741</v>
      </c>
      <c r="S79" s="43">
        <f t="shared" si="63"/>
        <v>2197204581.116818</v>
      </c>
      <c r="T79" s="43">
        <f t="shared" si="63"/>
        <v>1749333637.6240306</v>
      </c>
      <c r="U79" s="43">
        <f t="shared" si="63"/>
        <v>2017399728.5330896</v>
      </c>
      <c r="V79" s="43">
        <f t="shared" si="63"/>
        <v>2041617790.0079896</v>
      </c>
      <c r="W79" s="43">
        <f t="shared" si="63"/>
        <v>2029447186.4239559</v>
      </c>
      <c r="X79" s="43">
        <f t="shared" si="63"/>
        <v>2146705660.1023247</v>
      </c>
      <c r="Y79" s="43">
        <f t="shared" si="63"/>
        <v>2014804613.5950563</v>
      </c>
      <c r="Z79" s="43">
        <f t="shared" si="63"/>
        <v>1967656311.3364589</v>
      </c>
      <c r="AA79" s="43">
        <f t="shared" si="63"/>
        <v>1888502555.4846745</v>
      </c>
      <c r="AB79" s="43">
        <f t="shared" si="63"/>
        <v>1580345367.6496568</v>
      </c>
      <c r="AC79" s="43">
        <f t="shared" si="63"/>
        <v>1278387983.7733703</v>
      </c>
      <c r="AD79" s="43">
        <f t="shared" si="63"/>
        <v>1252417814.8979027</v>
      </c>
      <c r="AE79" s="43">
        <f t="shared" si="63"/>
        <v>1037314038.016511</v>
      </c>
      <c r="AF79" s="43">
        <f t="shared" si="63"/>
        <v>616596114.66452765</v>
      </c>
      <c r="AG79" s="43">
        <f t="shared" si="63"/>
        <v>684355640.98707163</v>
      </c>
      <c r="AH79" s="43">
        <f t="shared" si="63"/>
        <v>672960681.52402854</v>
      </c>
      <c r="AI79" s="43">
        <f t="shared" si="63"/>
        <v>553539847.88948345</v>
      </c>
      <c r="AJ79" s="43">
        <f t="shared" si="63"/>
        <v>559339792.75460613</v>
      </c>
      <c r="AK79" s="43">
        <f t="shared" si="63"/>
        <v>561523891.41204059</v>
      </c>
      <c r="AL79" s="43">
        <f t="shared" si="63"/>
        <v>559757606.16230297</v>
      </c>
      <c r="AM79" s="43">
        <f t="shared" si="63"/>
        <v>560100085.04592884</v>
      </c>
      <c r="AN79" s="43">
        <f t="shared" si="63"/>
        <v>569303231.04215491</v>
      </c>
      <c r="AO79" s="43">
        <f t="shared" si="63"/>
        <v>578999617.51428139</v>
      </c>
      <c r="AP79" s="43">
        <f t="shared" si="63"/>
        <v>591749555.20663571</v>
      </c>
      <c r="AQ79" s="43"/>
    </row>
    <row r="81" spans="1:43" ht="12" thickBot="1">
      <c r="A81" s="245" t="s">
        <v>380</v>
      </c>
    </row>
    <row r="82" spans="1:43" ht="12" thickBot="1">
      <c r="A82" s="270"/>
      <c r="B82" s="263">
        <v>2010</v>
      </c>
      <c r="C82" s="263">
        <v>2011</v>
      </c>
      <c r="D82" s="263">
        <v>2012</v>
      </c>
      <c r="E82" s="263">
        <v>2013</v>
      </c>
      <c r="F82" s="263">
        <v>2014</v>
      </c>
      <c r="G82" s="263">
        <v>2015</v>
      </c>
      <c r="H82" s="263">
        <v>2016</v>
      </c>
      <c r="I82" s="263">
        <v>2017</v>
      </c>
      <c r="J82" s="263">
        <v>2018</v>
      </c>
      <c r="K82" s="263">
        <v>2019</v>
      </c>
      <c r="L82" s="263">
        <v>2020</v>
      </c>
      <c r="M82" s="263">
        <v>2021</v>
      </c>
      <c r="N82" s="263">
        <v>2022</v>
      </c>
      <c r="O82" s="263">
        <v>2023</v>
      </c>
      <c r="P82" s="263">
        <v>2024</v>
      </c>
      <c r="Q82" s="263">
        <v>2025</v>
      </c>
      <c r="R82" s="263">
        <v>2026</v>
      </c>
      <c r="S82" s="263">
        <v>2027</v>
      </c>
      <c r="T82" s="263">
        <v>2028</v>
      </c>
      <c r="U82" s="263">
        <v>2029</v>
      </c>
      <c r="V82" s="263">
        <v>2030</v>
      </c>
      <c r="W82" s="263">
        <v>2031</v>
      </c>
      <c r="X82" s="263">
        <v>2032</v>
      </c>
      <c r="Y82" s="263">
        <v>2033</v>
      </c>
      <c r="Z82" s="263">
        <v>2034</v>
      </c>
      <c r="AA82" s="263">
        <v>2035</v>
      </c>
      <c r="AB82" s="263">
        <v>2036</v>
      </c>
      <c r="AC82" s="263">
        <v>2037</v>
      </c>
      <c r="AD82" s="263">
        <v>2038</v>
      </c>
      <c r="AE82" s="263">
        <v>2039</v>
      </c>
      <c r="AF82" s="263">
        <v>2040</v>
      </c>
      <c r="AG82" s="263">
        <v>2041</v>
      </c>
      <c r="AH82" s="263">
        <v>2042</v>
      </c>
      <c r="AI82" s="263">
        <v>2043</v>
      </c>
      <c r="AJ82" s="263">
        <v>2044</v>
      </c>
      <c r="AK82" s="263">
        <v>2045</v>
      </c>
      <c r="AL82" s="263">
        <v>2046</v>
      </c>
      <c r="AM82" s="263">
        <v>2047</v>
      </c>
      <c r="AN82" s="263">
        <v>2048</v>
      </c>
      <c r="AO82" s="263">
        <v>2049</v>
      </c>
      <c r="AP82" s="263">
        <v>2050</v>
      </c>
      <c r="AQ82" s="245"/>
    </row>
    <row r="83" spans="1:43">
      <c r="A83" s="40" t="s">
        <v>43</v>
      </c>
      <c r="B83" s="42">
        <f>'Monthly D4 RIN Data'!$C4</f>
        <v>0</v>
      </c>
      <c r="C83" s="42">
        <f>'Monthly D4 RIN Data'!$C16</f>
        <v>0</v>
      </c>
      <c r="D83" s="42">
        <f>'Monthly D4 RIN Data'!$C28</f>
        <v>0</v>
      </c>
      <c r="E83" s="42">
        <f>'Monthly D4 RIN Data'!$C40</f>
        <v>0</v>
      </c>
      <c r="F83" s="42">
        <f>'Monthly D4 RIN Data'!$C52</f>
        <v>0</v>
      </c>
      <c r="G83" s="42">
        <f>'Monthly D4 RIN Data'!$C64</f>
        <v>0</v>
      </c>
      <c r="H83" s="42">
        <f>'Monthly D4 RIN Data'!$C76</f>
        <v>0</v>
      </c>
      <c r="I83" s="42">
        <f>'Monthly D4 RIN Data'!$C88</f>
        <v>0</v>
      </c>
      <c r="J83" s="42">
        <f>'Monthly D4 RIN Data'!$C100</f>
        <v>0</v>
      </c>
      <c r="K83" s="42">
        <f>'Monthly D4 RIN Data'!$C112</f>
        <v>0</v>
      </c>
      <c r="L83" s="42">
        <f>'Monthly D4 RIN Data'!$C124</f>
        <v>0</v>
      </c>
      <c r="M83" s="42">
        <f>'Monthly D4 RIN Data'!$C136</f>
        <v>0</v>
      </c>
      <c r="N83" s="42">
        <f>'Monthly D4 RIN Data'!$C148</f>
        <v>0</v>
      </c>
      <c r="O83" s="42">
        <f>'Monthly D4 RIN Data'!$C160</f>
        <v>0</v>
      </c>
      <c r="P83" s="42">
        <f>'Monthly D4 RIN Data'!$C172</f>
        <v>0</v>
      </c>
      <c r="Q83" s="42">
        <f>'Monthly D4 RIN Data'!$C184</f>
        <v>0</v>
      </c>
      <c r="R83" s="43">
        <f>'D4 Gallon Forecast'!R85</f>
        <v>0</v>
      </c>
      <c r="S83" s="43">
        <f>'D4 Gallon Forecast'!S85</f>
        <v>0</v>
      </c>
      <c r="T83" s="43">
        <f>'D4 Gallon Forecast'!T85</f>
        <v>0</v>
      </c>
      <c r="U83" s="43">
        <f>'D4 Gallon Forecast'!U85</f>
        <v>0</v>
      </c>
      <c r="V83" s="43">
        <f>'D4 Gallon Forecast'!V85</f>
        <v>0</v>
      </c>
      <c r="W83" s="43">
        <f>'D4 Gallon Forecast'!W85</f>
        <v>0</v>
      </c>
      <c r="X83" s="43">
        <f>'D4 Gallon Forecast'!X85</f>
        <v>0</v>
      </c>
      <c r="Y83" s="43">
        <f>'D4 Gallon Forecast'!Y85</f>
        <v>0</v>
      </c>
      <c r="Z83" s="43">
        <f>'D4 Gallon Forecast'!Z85</f>
        <v>0</v>
      </c>
      <c r="AA83" s="43">
        <f>'D4 Gallon Forecast'!AA85</f>
        <v>0</v>
      </c>
      <c r="AB83" s="43">
        <f>'D4 Gallon Forecast'!AB85</f>
        <v>0</v>
      </c>
      <c r="AC83" s="43">
        <f>'D4 Gallon Forecast'!AC85</f>
        <v>0</v>
      </c>
      <c r="AD83" s="43">
        <f>'D4 Gallon Forecast'!AD85</f>
        <v>0</v>
      </c>
      <c r="AE83" s="43">
        <f>'D4 Gallon Forecast'!AE85</f>
        <v>0</v>
      </c>
      <c r="AF83" s="43">
        <f>'D4 Gallon Forecast'!AF85</f>
        <v>0</v>
      </c>
      <c r="AG83" s="43">
        <f>'D4 Gallon Forecast'!AG85</f>
        <v>0</v>
      </c>
      <c r="AH83" s="43">
        <f>'D4 Gallon Forecast'!AH85</f>
        <v>0</v>
      </c>
      <c r="AI83" s="43">
        <f>'D4 Gallon Forecast'!AI85</f>
        <v>0</v>
      </c>
      <c r="AJ83" s="43">
        <f>'D4 Gallon Forecast'!AJ85</f>
        <v>0</v>
      </c>
      <c r="AK83" s="43">
        <f>'D4 Gallon Forecast'!AK85</f>
        <v>0</v>
      </c>
      <c r="AL83" s="43">
        <f>'D4 Gallon Forecast'!AL85</f>
        <v>0</v>
      </c>
      <c r="AM83" s="43">
        <f>'D4 Gallon Forecast'!AM85</f>
        <v>0</v>
      </c>
      <c r="AN83" s="43">
        <f>'D4 Gallon Forecast'!AN85</f>
        <v>0</v>
      </c>
      <c r="AO83" s="43">
        <f>'D4 Gallon Forecast'!AO85</f>
        <v>0</v>
      </c>
      <c r="AP83" s="43">
        <f>'D4 Gallon Forecast'!AP85</f>
        <v>0</v>
      </c>
      <c r="AQ83" s="43"/>
    </row>
    <row r="84" spans="1:43">
      <c r="A84" s="40" t="s">
        <v>44</v>
      </c>
      <c r="B84" s="42">
        <f>'Monthly D4 RIN Data'!$C5</f>
        <v>0</v>
      </c>
      <c r="C84" s="42">
        <f>'Monthly D4 RIN Data'!$C17</f>
        <v>0</v>
      </c>
      <c r="D84" s="42">
        <f>'Monthly D4 RIN Data'!$C29</f>
        <v>130196</v>
      </c>
      <c r="E84" s="42">
        <f>'Monthly D4 RIN Data'!$C41</f>
        <v>0</v>
      </c>
      <c r="F84" s="42">
        <f>'Monthly D4 RIN Data'!$C53</f>
        <v>0</v>
      </c>
      <c r="G84" s="42">
        <f>'Monthly D4 RIN Data'!$C65</f>
        <v>0</v>
      </c>
      <c r="H84" s="42">
        <f>'Monthly D4 RIN Data'!$C77</f>
        <v>0</v>
      </c>
      <c r="I84" s="42">
        <f>'Monthly D4 RIN Data'!$C89</f>
        <v>0</v>
      </c>
      <c r="J84" s="42">
        <f>'Monthly D4 RIN Data'!$C101</f>
        <v>0</v>
      </c>
      <c r="K84" s="42">
        <f>'Monthly D4 RIN Data'!$C113</f>
        <v>0</v>
      </c>
      <c r="L84" s="42">
        <f>'Monthly D4 RIN Data'!$C125</f>
        <v>0</v>
      </c>
      <c r="M84" s="42">
        <f>'Monthly D4 RIN Data'!$C137</f>
        <v>0</v>
      </c>
      <c r="N84" s="42">
        <f>'Monthly D4 RIN Data'!$C149</f>
        <v>0</v>
      </c>
      <c r="O84" s="42">
        <f>'Monthly D4 RIN Data'!$C161</f>
        <v>0</v>
      </c>
      <c r="P84" s="42">
        <f>'Monthly D4 RIN Data'!$C173</f>
        <v>0</v>
      </c>
      <c r="Q84" s="42">
        <f>'Monthly D4 RIN Data'!$C185</f>
        <v>0</v>
      </c>
      <c r="R84" s="43">
        <f>'D4 Gallon Forecast'!R86</f>
        <v>0</v>
      </c>
      <c r="S84" s="43">
        <f>'D4 Gallon Forecast'!S86</f>
        <v>0</v>
      </c>
      <c r="T84" s="43">
        <f>'D4 Gallon Forecast'!T86</f>
        <v>0</v>
      </c>
      <c r="U84" s="43">
        <f>'D4 Gallon Forecast'!U86</f>
        <v>0</v>
      </c>
      <c r="V84" s="43">
        <f>'D4 Gallon Forecast'!V86</f>
        <v>0</v>
      </c>
      <c r="W84" s="43">
        <f>'D4 Gallon Forecast'!W86</f>
        <v>0</v>
      </c>
      <c r="X84" s="43">
        <f>'D4 Gallon Forecast'!X86</f>
        <v>0</v>
      </c>
      <c r="Y84" s="43">
        <f>'D4 Gallon Forecast'!Y86</f>
        <v>0</v>
      </c>
      <c r="Z84" s="43">
        <f>'D4 Gallon Forecast'!Z86</f>
        <v>0</v>
      </c>
      <c r="AA84" s="43">
        <f>'D4 Gallon Forecast'!AA86</f>
        <v>0</v>
      </c>
      <c r="AB84" s="43">
        <f>'D4 Gallon Forecast'!AB86</f>
        <v>0</v>
      </c>
      <c r="AC84" s="43">
        <f>'D4 Gallon Forecast'!AC86</f>
        <v>0</v>
      </c>
      <c r="AD84" s="43">
        <f>'D4 Gallon Forecast'!AD86</f>
        <v>0</v>
      </c>
      <c r="AE84" s="43">
        <f>'D4 Gallon Forecast'!AE86</f>
        <v>0</v>
      </c>
      <c r="AF84" s="43">
        <f>'D4 Gallon Forecast'!AF86</f>
        <v>0</v>
      </c>
      <c r="AG84" s="43">
        <f>'D4 Gallon Forecast'!AG86</f>
        <v>0</v>
      </c>
      <c r="AH84" s="43">
        <f>'D4 Gallon Forecast'!AH86</f>
        <v>0</v>
      </c>
      <c r="AI84" s="43">
        <f>'D4 Gallon Forecast'!AI86</f>
        <v>0</v>
      </c>
      <c r="AJ84" s="43">
        <f>'D4 Gallon Forecast'!AJ86</f>
        <v>0</v>
      </c>
      <c r="AK84" s="43">
        <f>'D4 Gallon Forecast'!AK86</f>
        <v>0</v>
      </c>
      <c r="AL84" s="43">
        <f>'D4 Gallon Forecast'!AL86</f>
        <v>0</v>
      </c>
      <c r="AM84" s="43">
        <f>'D4 Gallon Forecast'!AM86</f>
        <v>0</v>
      </c>
      <c r="AN84" s="43">
        <f>'D4 Gallon Forecast'!AN86</f>
        <v>0</v>
      </c>
      <c r="AO84" s="43">
        <f>'D4 Gallon Forecast'!AO86</f>
        <v>0</v>
      </c>
      <c r="AP84" s="43">
        <f>'D4 Gallon Forecast'!AP86</f>
        <v>0</v>
      </c>
      <c r="AQ84" s="43"/>
    </row>
    <row r="85" spans="1:43">
      <c r="A85" s="40" t="s">
        <v>45</v>
      </c>
      <c r="B85" s="42">
        <f>'Monthly D4 RIN Data'!$C6</f>
        <v>0</v>
      </c>
      <c r="C85" s="42">
        <f>'Monthly D4 RIN Data'!$C18</f>
        <v>0</v>
      </c>
      <c r="D85" s="42">
        <f>'Monthly D4 RIN Data'!$C30</f>
        <v>1693781</v>
      </c>
      <c r="E85" s="42">
        <f>'Monthly D4 RIN Data'!$C42</f>
        <v>0</v>
      </c>
      <c r="F85" s="42">
        <f>'Monthly D4 RIN Data'!$C54</f>
        <v>0</v>
      </c>
      <c r="G85" s="42">
        <f>'Monthly D4 RIN Data'!$C66</f>
        <v>0</v>
      </c>
      <c r="H85" s="42">
        <f>'Monthly D4 RIN Data'!$C78</f>
        <v>0</v>
      </c>
      <c r="I85" s="42">
        <f>'Monthly D4 RIN Data'!$C90</f>
        <v>0</v>
      </c>
      <c r="J85" s="42">
        <f>'Monthly D4 RIN Data'!$C102</f>
        <v>0</v>
      </c>
      <c r="K85" s="42">
        <f>'Monthly D4 RIN Data'!$C114</f>
        <v>0</v>
      </c>
      <c r="L85" s="42">
        <f>'Monthly D4 RIN Data'!$C126</f>
        <v>0</v>
      </c>
      <c r="M85" s="42">
        <f>'Monthly D4 RIN Data'!$C138</f>
        <v>0</v>
      </c>
      <c r="N85" s="42">
        <f>'Monthly D4 RIN Data'!$C150</f>
        <v>0</v>
      </c>
      <c r="O85" s="42">
        <f>'Monthly D4 RIN Data'!$C162</f>
        <v>0</v>
      </c>
      <c r="P85" s="42">
        <f>'Monthly D4 RIN Data'!$C174</f>
        <v>0</v>
      </c>
      <c r="Q85" s="42">
        <f>'Monthly D4 RIN Data'!$C186</f>
        <v>0</v>
      </c>
      <c r="R85" s="43">
        <f>'D4 Gallon Forecast'!R87</f>
        <v>0</v>
      </c>
      <c r="S85" s="43">
        <f>'D4 Gallon Forecast'!S87</f>
        <v>0</v>
      </c>
      <c r="T85" s="43">
        <f>'D4 Gallon Forecast'!T87</f>
        <v>0</v>
      </c>
      <c r="U85" s="43">
        <f>'D4 Gallon Forecast'!U87</f>
        <v>0</v>
      </c>
      <c r="V85" s="43">
        <f>'D4 Gallon Forecast'!V87</f>
        <v>0</v>
      </c>
      <c r="W85" s="43">
        <f>'D4 Gallon Forecast'!W87</f>
        <v>0</v>
      </c>
      <c r="X85" s="43">
        <f>'D4 Gallon Forecast'!X87</f>
        <v>0</v>
      </c>
      <c r="Y85" s="43">
        <f>'D4 Gallon Forecast'!Y87</f>
        <v>0</v>
      </c>
      <c r="Z85" s="43">
        <f>'D4 Gallon Forecast'!Z87</f>
        <v>0</v>
      </c>
      <c r="AA85" s="43">
        <f>'D4 Gallon Forecast'!AA87</f>
        <v>0</v>
      </c>
      <c r="AB85" s="43">
        <f>'D4 Gallon Forecast'!AB87</f>
        <v>0</v>
      </c>
      <c r="AC85" s="43">
        <f>'D4 Gallon Forecast'!AC87</f>
        <v>0</v>
      </c>
      <c r="AD85" s="43">
        <f>'D4 Gallon Forecast'!AD87</f>
        <v>0</v>
      </c>
      <c r="AE85" s="43">
        <f>'D4 Gallon Forecast'!AE87</f>
        <v>0</v>
      </c>
      <c r="AF85" s="43">
        <f>'D4 Gallon Forecast'!AF87</f>
        <v>0</v>
      </c>
      <c r="AG85" s="43">
        <f>'D4 Gallon Forecast'!AG87</f>
        <v>0</v>
      </c>
      <c r="AH85" s="43">
        <f>'D4 Gallon Forecast'!AH87</f>
        <v>0</v>
      </c>
      <c r="AI85" s="43">
        <f>'D4 Gallon Forecast'!AI87</f>
        <v>0</v>
      </c>
      <c r="AJ85" s="43">
        <f>'D4 Gallon Forecast'!AJ87</f>
        <v>0</v>
      </c>
      <c r="AK85" s="43">
        <f>'D4 Gallon Forecast'!AK87</f>
        <v>0</v>
      </c>
      <c r="AL85" s="43">
        <f>'D4 Gallon Forecast'!AL87</f>
        <v>0</v>
      </c>
      <c r="AM85" s="43">
        <f>'D4 Gallon Forecast'!AM87</f>
        <v>0</v>
      </c>
      <c r="AN85" s="43">
        <f>'D4 Gallon Forecast'!AN87</f>
        <v>0</v>
      </c>
      <c r="AO85" s="43">
        <f>'D4 Gallon Forecast'!AO87</f>
        <v>0</v>
      </c>
      <c r="AP85" s="43">
        <f>'D4 Gallon Forecast'!AP87</f>
        <v>0</v>
      </c>
      <c r="AQ85" s="43"/>
    </row>
    <row r="86" spans="1:43">
      <c r="A86" s="40" t="s">
        <v>46</v>
      </c>
      <c r="B86" s="42">
        <f>'Monthly D4 RIN Data'!$C7</f>
        <v>0</v>
      </c>
      <c r="C86" s="42">
        <f>'Monthly D4 RIN Data'!$C19</f>
        <v>0</v>
      </c>
      <c r="D86" s="42">
        <f>'Monthly D4 RIN Data'!$C31</f>
        <v>0</v>
      </c>
      <c r="E86" s="42">
        <f>'Monthly D4 RIN Data'!$C43</f>
        <v>0</v>
      </c>
      <c r="F86" s="42">
        <f>'Monthly D4 RIN Data'!$C55</f>
        <v>0</v>
      </c>
      <c r="G86" s="42">
        <f>'Monthly D4 RIN Data'!$C67</f>
        <v>0</v>
      </c>
      <c r="H86" s="42">
        <f>'Monthly D4 RIN Data'!$C79</f>
        <v>0</v>
      </c>
      <c r="I86" s="42">
        <f>'Monthly D4 RIN Data'!$C91</f>
        <v>0</v>
      </c>
      <c r="J86" s="42">
        <f>'Monthly D4 RIN Data'!$C103</f>
        <v>0</v>
      </c>
      <c r="K86" s="42">
        <f>'Monthly D4 RIN Data'!$C115</f>
        <v>0</v>
      </c>
      <c r="L86" s="42">
        <f>'Monthly D4 RIN Data'!$C127</f>
        <v>0</v>
      </c>
      <c r="M86" s="42">
        <f>'Monthly D4 RIN Data'!$C139</f>
        <v>0</v>
      </c>
      <c r="N86" s="42">
        <f>'Monthly D4 RIN Data'!$C151</f>
        <v>0</v>
      </c>
      <c r="O86" s="42">
        <f>'Monthly D4 RIN Data'!$C163</f>
        <v>0</v>
      </c>
      <c r="P86" s="42">
        <f>'Monthly D4 RIN Data'!$C175</f>
        <v>0</v>
      </c>
      <c r="Q86" s="43">
        <f>'D4 Gallon Forecast'!Q88</f>
        <v>0</v>
      </c>
      <c r="R86" s="43">
        <f>'D4 Gallon Forecast'!R88</f>
        <v>0</v>
      </c>
      <c r="S86" s="43">
        <f>'D4 Gallon Forecast'!S88</f>
        <v>0</v>
      </c>
      <c r="T86" s="43">
        <f>'D4 Gallon Forecast'!T88</f>
        <v>0</v>
      </c>
      <c r="U86" s="43">
        <f>'D4 Gallon Forecast'!U88</f>
        <v>0</v>
      </c>
      <c r="V86" s="43">
        <f>'D4 Gallon Forecast'!V88</f>
        <v>0</v>
      </c>
      <c r="W86" s="43">
        <f>'D4 Gallon Forecast'!W88</f>
        <v>0</v>
      </c>
      <c r="X86" s="43">
        <f>'D4 Gallon Forecast'!X88</f>
        <v>0</v>
      </c>
      <c r="Y86" s="43">
        <f>'D4 Gallon Forecast'!Y88</f>
        <v>0</v>
      </c>
      <c r="Z86" s="43">
        <f>'D4 Gallon Forecast'!Z88</f>
        <v>0</v>
      </c>
      <c r="AA86" s="43">
        <f>'D4 Gallon Forecast'!AA88</f>
        <v>0</v>
      </c>
      <c r="AB86" s="43">
        <f>'D4 Gallon Forecast'!AB88</f>
        <v>0</v>
      </c>
      <c r="AC86" s="43">
        <f>'D4 Gallon Forecast'!AC88</f>
        <v>0</v>
      </c>
      <c r="AD86" s="43">
        <f>'D4 Gallon Forecast'!AD88</f>
        <v>0</v>
      </c>
      <c r="AE86" s="43">
        <f>'D4 Gallon Forecast'!AE88</f>
        <v>0</v>
      </c>
      <c r="AF86" s="43">
        <f>'D4 Gallon Forecast'!AF88</f>
        <v>0</v>
      </c>
      <c r="AG86" s="43">
        <f>'D4 Gallon Forecast'!AG88</f>
        <v>0</v>
      </c>
      <c r="AH86" s="43">
        <f>'D4 Gallon Forecast'!AH88</f>
        <v>0</v>
      </c>
      <c r="AI86" s="43">
        <f>'D4 Gallon Forecast'!AI88</f>
        <v>0</v>
      </c>
      <c r="AJ86" s="43">
        <f>'D4 Gallon Forecast'!AJ88</f>
        <v>0</v>
      </c>
      <c r="AK86" s="43">
        <f>'D4 Gallon Forecast'!AK88</f>
        <v>0</v>
      </c>
      <c r="AL86" s="43">
        <f>'D4 Gallon Forecast'!AL88</f>
        <v>0</v>
      </c>
      <c r="AM86" s="43">
        <f>'D4 Gallon Forecast'!AM88</f>
        <v>0</v>
      </c>
      <c r="AN86" s="43">
        <f>'D4 Gallon Forecast'!AN88</f>
        <v>0</v>
      </c>
      <c r="AO86" s="43">
        <f>'D4 Gallon Forecast'!AO88</f>
        <v>0</v>
      </c>
      <c r="AP86" s="43">
        <f>'D4 Gallon Forecast'!AP88</f>
        <v>0</v>
      </c>
      <c r="AQ86" s="43"/>
    </row>
    <row r="87" spans="1:43">
      <c r="A87" s="40" t="s">
        <v>47</v>
      </c>
      <c r="B87" s="42">
        <f>'Monthly D4 RIN Data'!$C8</f>
        <v>0</v>
      </c>
      <c r="C87" s="42">
        <f>'Monthly D4 RIN Data'!$C20</f>
        <v>0</v>
      </c>
      <c r="D87" s="42">
        <f>'Monthly D4 RIN Data'!$C32</f>
        <v>7296597</v>
      </c>
      <c r="E87" s="42">
        <f>'Monthly D4 RIN Data'!$C44</f>
        <v>0</v>
      </c>
      <c r="F87" s="42">
        <f>'Monthly D4 RIN Data'!$C56</f>
        <v>0</v>
      </c>
      <c r="G87" s="42">
        <f>'Monthly D4 RIN Data'!$C68</f>
        <v>0</v>
      </c>
      <c r="H87" s="42">
        <f>'Monthly D4 RIN Data'!$C80</f>
        <v>0</v>
      </c>
      <c r="I87" s="42">
        <f>'Monthly D4 RIN Data'!$C92</f>
        <v>0</v>
      </c>
      <c r="J87" s="42">
        <f>'Monthly D4 RIN Data'!$C104</f>
        <v>0</v>
      </c>
      <c r="K87" s="42">
        <f>'Monthly D4 RIN Data'!$C116</f>
        <v>0</v>
      </c>
      <c r="L87" s="42">
        <f>'Monthly D4 RIN Data'!$C128</f>
        <v>0</v>
      </c>
      <c r="M87" s="42">
        <f>'Monthly D4 RIN Data'!$C140</f>
        <v>0</v>
      </c>
      <c r="N87" s="42">
        <f>'Monthly D4 RIN Data'!$C152</f>
        <v>0</v>
      </c>
      <c r="O87" s="42">
        <f>'Monthly D4 RIN Data'!$C164</f>
        <v>0</v>
      </c>
      <c r="P87" s="42">
        <f>'Monthly D4 RIN Data'!$C176</f>
        <v>0</v>
      </c>
      <c r="Q87" s="43">
        <f>'D4 Gallon Forecast'!Q89</f>
        <v>0</v>
      </c>
      <c r="R87" s="43">
        <f>'D4 Gallon Forecast'!R89</f>
        <v>0</v>
      </c>
      <c r="S87" s="43">
        <f>'D4 Gallon Forecast'!S89</f>
        <v>0</v>
      </c>
      <c r="T87" s="43">
        <f>'D4 Gallon Forecast'!T89</f>
        <v>0</v>
      </c>
      <c r="U87" s="43">
        <f>'D4 Gallon Forecast'!U89</f>
        <v>0</v>
      </c>
      <c r="V87" s="43">
        <f>'D4 Gallon Forecast'!V89</f>
        <v>0</v>
      </c>
      <c r="W87" s="43">
        <f>'D4 Gallon Forecast'!W89</f>
        <v>0</v>
      </c>
      <c r="X87" s="43">
        <f>'D4 Gallon Forecast'!X89</f>
        <v>0</v>
      </c>
      <c r="Y87" s="43">
        <f>'D4 Gallon Forecast'!Y89</f>
        <v>0</v>
      </c>
      <c r="Z87" s="43">
        <f>'D4 Gallon Forecast'!Z89</f>
        <v>0</v>
      </c>
      <c r="AA87" s="43">
        <f>'D4 Gallon Forecast'!AA89</f>
        <v>0</v>
      </c>
      <c r="AB87" s="43">
        <f>'D4 Gallon Forecast'!AB89</f>
        <v>0</v>
      </c>
      <c r="AC87" s="43">
        <f>'D4 Gallon Forecast'!AC89</f>
        <v>0</v>
      </c>
      <c r="AD87" s="43">
        <f>'D4 Gallon Forecast'!AD89</f>
        <v>0</v>
      </c>
      <c r="AE87" s="43">
        <f>'D4 Gallon Forecast'!AE89</f>
        <v>0</v>
      </c>
      <c r="AF87" s="43">
        <f>'D4 Gallon Forecast'!AF89</f>
        <v>0</v>
      </c>
      <c r="AG87" s="43">
        <f>'D4 Gallon Forecast'!AG89</f>
        <v>0</v>
      </c>
      <c r="AH87" s="43">
        <f>'D4 Gallon Forecast'!AH89</f>
        <v>0</v>
      </c>
      <c r="AI87" s="43">
        <f>'D4 Gallon Forecast'!AI89</f>
        <v>0</v>
      </c>
      <c r="AJ87" s="43">
        <f>'D4 Gallon Forecast'!AJ89</f>
        <v>0</v>
      </c>
      <c r="AK87" s="43">
        <f>'D4 Gallon Forecast'!AK89</f>
        <v>0</v>
      </c>
      <c r="AL87" s="43">
        <f>'D4 Gallon Forecast'!AL89</f>
        <v>0</v>
      </c>
      <c r="AM87" s="43">
        <f>'D4 Gallon Forecast'!AM89</f>
        <v>0</v>
      </c>
      <c r="AN87" s="43">
        <f>'D4 Gallon Forecast'!AN89</f>
        <v>0</v>
      </c>
      <c r="AO87" s="43">
        <f>'D4 Gallon Forecast'!AO89</f>
        <v>0</v>
      </c>
      <c r="AP87" s="43">
        <f>'D4 Gallon Forecast'!AP89</f>
        <v>0</v>
      </c>
      <c r="AQ87" s="43"/>
    </row>
    <row r="88" spans="1:43">
      <c r="A88" s="40" t="s">
        <v>48</v>
      </c>
      <c r="B88" s="42">
        <f>'Monthly D4 RIN Data'!$C9</f>
        <v>0</v>
      </c>
      <c r="C88" s="42">
        <f>'Monthly D4 RIN Data'!$C21</f>
        <v>0</v>
      </c>
      <c r="D88" s="42">
        <f>'Monthly D4 RIN Data'!$C33</f>
        <v>0</v>
      </c>
      <c r="E88" s="42">
        <f>'Monthly D4 RIN Data'!$C45</f>
        <v>0</v>
      </c>
      <c r="F88" s="42">
        <f>'Monthly D4 RIN Data'!$C57</f>
        <v>0</v>
      </c>
      <c r="G88" s="42">
        <f>'Monthly D4 RIN Data'!$C69</f>
        <v>0</v>
      </c>
      <c r="H88" s="42">
        <f>'Monthly D4 RIN Data'!$C81</f>
        <v>0</v>
      </c>
      <c r="I88" s="42">
        <f>'Monthly D4 RIN Data'!$C93</f>
        <v>0</v>
      </c>
      <c r="J88" s="42">
        <f>'Monthly D4 RIN Data'!$C105</f>
        <v>0</v>
      </c>
      <c r="K88" s="42">
        <f>'Monthly D4 RIN Data'!$C117</f>
        <v>0</v>
      </c>
      <c r="L88" s="42">
        <f>'Monthly D4 RIN Data'!$C129</f>
        <v>0</v>
      </c>
      <c r="M88" s="42">
        <f>'Monthly D4 RIN Data'!$C141</f>
        <v>0</v>
      </c>
      <c r="N88" s="42">
        <f>'Monthly D4 RIN Data'!$C153</f>
        <v>0</v>
      </c>
      <c r="O88" s="42">
        <f>'Monthly D4 RIN Data'!$C165</f>
        <v>0</v>
      </c>
      <c r="P88" s="42">
        <f>'Monthly D4 RIN Data'!$C177</f>
        <v>0</v>
      </c>
      <c r="Q88" s="43">
        <f>'D4 Gallon Forecast'!Q90</f>
        <v>0</v>
      </c>
      <c r="R88" s="43">
        <f>'D4 Gallon Forecast'!R90</f>
        <v>0</v>
      </c>
      <c r="S88" s="43">
        <f>'D4 Gallon Forecast'!S90</f>
        <v>0</v>
      </c>
      <c r="T88" s="43">
        <f>'D4 Gallon Forecast'!T90</f>
        <v>0</v>
      </c>
      <c r="U88" s="43">
        <f>'D4 Gallon Forecast'!U90</f>
        <v>0</v>
      </c>
      <c r="V88" s="43">
        <f>'D4 Gallon Forecast'!V90</f>
        <v>0</v>
      </c>
      <c r="W88" s="43">
        <f>'D4 Gallon Forecast'!W90</f>
        <v>0</v>
      </c>
      <c r="X88" s="43">
        <f>'D4 Gallon Forecast'!X90</f>
        <v>0</v>
      </c>
      <c r="Y88" s="43">
        <f>'D4 Gallon Forecast'!Y90</f>
        <v>0</v>
      </c>
      <c r="Z88" s="43">
        <f>'D4 Gallon Forecast'!Z90</f>
        <v>0</v>
      </c>
      <c r="AA88" s="43">
        <f>'D4 Gallon Forecast'!AA90</f>
        <v>0</v>
      </c>
      <c r="AB88" s="43">
        <f>'D4 Gallon Forecast'!AB90</f>
        <v>0</v>
      </c>
      <c r="AC88" s="43">
        <f>'D4 Gallon Forecast'!AC90</f>
        <v>0</v>
      </c>
      <c r="AD88" s="43">
        <f>'D4 Gallon Forecast'!AD90</f>
        <v>0</v>
      </c>
      <c r="AE88" s="43">
        <f>'D4 Gallon Forecast'!AE90</f>
        <v>0</v>
      </c>
      <c r="AF88" s="43">
        <f>'D4 Gallon Forecast'!AF90</f>
        <v>0</v>
      </c>
      <c r="AG88" s="43">
        <f>'D4 Gallon Forecast'!AG90</f>
        <v>0</v>
      </c>
      <c r="AH88" s="43">
        <f>'D4 Gallon Forecast'!AH90</f>
        <v>0</v>
      </c>
      <c r="AI88" s="43">
        <f>'D4 Gallon Forecast'!AI90</f>
        <v>0</v>
      </c>
      <c r="AJ88" s="43">
        <f>'D4 Gallon Forecast'!AJ90</f>
        <v>0</v>
      </c>
      <c r="AK88" s="43">
        <f>'D4 Gallon Forecast'!AK90</f>
        <v>0</v>
      </c>
      <c r="AL88" s="43">
        <f>'D4 Gallon Forecast'!AL90</f>
        <v>0</v>
      </c>
      <c r="AM88" s="43">
        <f>'D4 Gallon Forecast'!AM90</f>
        <v>0</v>
      </c>
      <c r="AN88" s="43">
        <f>'D4 Gallon Forecast'!AN90</f>
        <v>0</v>
      </c>
      <c r="AO88" s="43">
        <f>'D4 Gallon Forecast'!AO90</f>
        <v>0</v>
      </c>
      <c r="AP88" s="43">
        <f>'D4 Gallon Forecast'!AP90</f>
        <v>0</v>
      </c>
      <c r="AQ88" s="43"/>
    </row>
    <row r="89" spans="1:43">
      <c r="A89" s="40" t="s">
        <v>49</v>
      </c>
      <c r="B89" s="42">
        <f>'Monthly D4 RIN Data'!$C10</f>
        <v>0</v>
      </c>
      <c r="C89" s="42">
        <f>'Monthly D4 RIN Data'!$C22</f>
        <v>0</v>
      </c>
      <c r="D89" s="42">
        <f>'Monthly D4 RIN Data'!$C34</f>
        <v>0</v>
      </c>
      <c r="E89" s="42">
        <f>'Monthly D4 RIN Data'!$C46</f>
        <v>0</v>
      </c>
      <c r="F89" s="42">
        <f>'Monthly D4 RIN Data'!$C58</f>
        <v>0</v>
      </c>
      <c r="G89" s="42">
        <f>'Monthly D4 RIN Data'!$C70</f>
        <v>0</v>
      </c>
      <c r="H89" s="42">
        <f>'Monthly D4 RIN Data'!$C82</f>
        <v>0</v>
      </c>
      <c r="I89" s="42">
        <f>'Monthly D4 RIN Data'!$C94</f>
        <v>0</v>
      </c>
      <c r="J89" s="42">
        <f>'Monthly D4 RIN Data'!$C106</f>
        <v>0</v>
      </c>
      <c r="K89" s="42">
        <f>'Monthly D4 RIN Data'!$C118</f>
        <v>0</v>
      </c>
      <c r="L89" s="42">
        <f>'Monthly D4 RIN Data'!$C130</f>
        <v>0</v>
      </c>
      <c r="M89" s="42">
        <f>'Monthly D4 RIN Data'!$C142</f>
        <v>0</v>
      </c>
      <c r="N89" s="42">
        <f>'Monthly D4 RIN Data'!$C154</f>
        <v>0</v>
      </c>
      <c r="O89" s="42">
        <f>'Monthly D4 RIN Data'!$C166</f>
        <v>0</v>
      </c>
      <c r="P89" s="42">
        <f>'Monthly D4 RIN Data'!$C178</f>
        <v>0</v>
      </c>
      <c r="Q89" s="43">
        <f>'D4 Gallon Forecast'!Q91</f>
        <v>0</v>
      </c>
      <c r="R89" s="43">
        <f>'D4 Gallon Forecast'!R91</f>
        <v>0</v>
      </c>
      <c r="S89" s="43">
        <f>'D4 Gallon Forecast'!S91</f>
        <v>0</v>
      </c>
      <c r="T89" s="43">
        <f>'D4 Gallon Forecast'!T91</f>
        <v>0</v>
      </c>
      <c r="U89" s="43">
        <f>'D4 Gallon Forecast'!U91</f>
        <v>0</v>
      </c>
      <c r="V89" s="43">
        <f>'D4 Gallon Forecast'!V91</f>
        <v>0</v>
      </c>
      <c r="W89" s="43">
        <f>'D4 Gallon Forecast'!W91</f>
        <v>0</v>
      </c>
      <c r="X89" s="43">
        <f>'D4 Gallon Forecast'!X91</f>
        <v>0</v>
      </c>
      <c r="Y89" s="43">
        <f>'D4 Gallon Forecast'!Y91</f>
        <v>0</v>
      </c>
      <c r="Z89" s="43">
        <f>'D4 Gallon Forecast'!Z91</f>
        <v>0</v>
      </c>
      <c r="AA89" s="43">
        <f>'D4 Gallon Forecast'!AA91</f>
        <v>0</v>
      </c>
      <c r="AB89" s="43">
        <f>'D4 Gallon Forecast'!AB91</f>
        <v>0</v>
      </c>
      <c r="AC89" s="43">
        <f>'D4 Gallon Forecast'!AC91</f>
        <v>0</v>
      </c>
      <c r="AD89" s="43">
        <f>'D4 Gallon Forecast'!AD91</f>
        <v>0</v>
      </c>
      <c r="AE89" s="43">
        <f>'D4 Gallon Forecast'!AE91</f>
        <v>0</v>
      </c>
      <c r="AF89" s="43">
        <f>'D4 Gallon Forecast'!AF91</f>
        <v>0</v>
      </c>
      <c r="AG89" s="43">
        <f>'D4 Gallon Forecast'!AG91</f>
        <v>0</v>
      </c>
      <c r="AH89" s="43">
        <f>'D4 Gallon Forecast'!AH91</f>
        <v>0</v>
      </c>
      <c r="AI89" s="43">
        <f>'D4 Gallon Forecast'!AI91</f>
        <v>0</v>
      </c>
      <c r="AJ89" s="43">
        <f>'D4 Gallon Forecast'!AJ91</f>
        <v>0</v>
      </c>
      <c r="AK89" s="43">
        <f>'D4 Gallon Forecast'!AK91</f>
        <v>0</v>
      </c>
      <c r="AL89" s="43">
        <f>'D4 Gallon Forecast'!AL91</f>
        <v>0</v>
      </c>
      <c r="AM89" s="43">
        <f>'D4 Gallon Forecast'!AM91</f>
        <v>0</v>
      </c>
      <c r="AN89" s="43">
        <f>'D4 Gallon Forecast'!AN91</f>
        <v>0</v>
      </c>
      <c r="AO89" s="43">
        <f>'D4 Gallon Forecast'!AO91</f>
        <v>0</v>
      </c>
      <c r="AP89" s="43">
        <f>'D4 Gallon Forecast'!AP91</f>
        <v>0</v>
      </c>
      <c r="AQ89" s="43"/>
    </row>
    <row r="90" spans="1:43">
      <c r="A90" s="40" t="s">
        <v>50</v>
      </c>
      <c r="B90" s="42">
        <f>'Monthly D4 RIN Data'!$C11</f>
        <v>0</v>
      </c>
      <c r="C90" s="42">
        <f>'Monthly D4 RIN Data'!$C23</f>
        <v>0</v>
      </c>
      <c r="D90" s="42">
        <f>'Monthly D4 RIN Data'!$C35</f>
        <v>0</v>
      </c>
      <c r="E90" s="42">
        <f>'Monthly D4 RIN Data'!$C47</f>
        <v>2266654</v>
      </c>
      <c r="F90" s="42">
        <f>'Monthly D4 RIN Data'!$C59</f>
        <v>0</v>
      </c>
      <c r="G90" s="42">
        <f>'Monthly D4 RIN Data'!$C71</f>
        <v>0</v>
      </c>
      <c r="H90" s="42">
        <f>'Monthly D4 RIN Data'!$C83</f>
        <v>0</v>
      </c>
      <c r="I90" s="42">
        <f>'Monthly D4 RIN Data'!$C95</f>
        <v>0</v>
      </c>
      <c r="J90" s="42">
        <f>'Monthly D4 RIN Data'!$C107</f>
        <v>0</v>
      </c>
      <c r="K90" s="42">
        <f>'Monthly D4 RIN Data'!$C119</f>
        <v>0</v>
      </c>
      <c r="L90" s="42">
        <f>'Monthly D4 RIN Data'!$C131</f>
        <v>0</v>
      </c>
      <c r="M90" s="42">
        <f>'Monthly D4 RIN Data'!$C143</f>
        <v>0</v>
      </c>
      <c r="N90" s="42">
        <f>'Monthly D4 RIN Data'!$C155</f>
        <v>0</v>
      </c>
      <c r="O90" s="42">
        <f>'Monthly D4 RIN Data'!$C167</f>
        <v>0</v>
      </c>
      <c r="P90" s="42">
        <f>'Monthly D4 RIN Data'!$C179</f>
        <v>0</v>
      </c>
      <c r="Q90" s="43">
        <f>'D4 Gallon Forecast'!Q92</f>
        <v>0</v>
      </c>
      <c r="R90" s="43">
        <f>'D4 Gallon Forecast'!R92</f>
        <v>0</v>
      </c>
      <c r="S90" s="43">
        <f>'D4 Gallon Forecast'!S92</f>
        <v>0</v>
      </c>
      <c r="T90" s="43">
        <f>'D4 Gallon Forecast'!T92</f>
        <v>0</v>
      </c>
      <c r="U90" s="43">
        <f>'D4 Gallon Forecast'!U92</f>
        <v>0</v>
      </c>
      <c r="V90" s="43">
        <f>'D4 Gallon Forecast'!V92</f>
        <v>0</v>
      </c>
      <c r="W90" s="43">
        <f>'D4 Gallon Forecast'!W92</f>
        <v>0</v>
      </c>
      <c r="X90" s="43">
        <f>'D4 Gallon Forecast'!X92</f>
        <v>0</v>
      </c>
      <c r="Y90" s="43">
        <f>'D4 Gallon Forecast'!Y92</f>
        <v>0</v>
      </c>
      <c r="Z90" s="43">
        <f>'D4 Gallon Forecast'!Z92</f>
        <v>0</v>
      </c>
      <c r="AA90" s="43">
        <f>'D4 Gallon Forecast'!AA92</f>
        <v>0</v>
      </c>
      <c r="AB90" s="43">
        <f>'D4 Gallon Forecast'!AB92</f>
        <v>0</v>
      </c>
      <c r="AC90" s="43">
        <f>'D4 Gallon Forecast'!AC92</f>
        <v>0</v>
      </c>
      <c r="AD90" s="43">
        <f>'D4 Gallon Forecast'!AD92</f>
        <v>0</v>
      </c>
      <c r="AE90" s="43">
        <f>'D4 Gallon Forecast'!AE92</f>
        <v>0</v>
      </c>
      <c r="AF90" s="43">
        <f>'D4 Gallon Forecast'!AF92</f>
        <v>0</v>
      </c>
      <c r="AG90" s="43">
        <f>'D4 Gallon Forecast'!AG92</f>
        <v>0</v>
      </c>
      <c r="AH90" s="43">
        <f>'D4 Gallon Forecast'!AH92</f>
        <v>0</v>
      </c>
      <c r="AI90" s="43">
        <f>'D4 Gallon Forecast'!AI92</f>
        <v>0</v>
      </c>
      <c r="AJ90" s="43">
        <f>'D4 Gallon Forecast'!AJ92</f>
        <v>0</v>
      </c>
      <c r="AK90" s="43">
        <f>'D4 Gallon Forecast'!AK92</f>
        <v>0</v>
      </c>
      <c r="AL90" s="43">
        <f>'D4 Gallon Forecast'!AL92</f>
        <v>0</v>
      </c>
      <c r="AM90" s="43">
        <f>'D4 Gallon Forecast'!AM92</f>
        <v>0</v>
      </c>
      <c r="AN90" s="43">
        <f>'D4 Gallon Forecast'!AN92</f>
        <v>0</v>
      </c>
      <c r="AO90" s="43">
        <f>'D4 Gallon Forecast'!AO92</f>
        <v>0</v>
      </c>
      <c r="AP90" s="43">
        <f>'D4 Gallon Forecast'!AP92</f>
        <v>0</v>
      </c>
      <c r="AQ90" s="43"/>
    </row>
    <row r="91" spans="1:43">
      <c r="A91" s="40" t="s">
        <v>51</v>
      </c>
      <c r="B91" s="42">
        <f>'Monthly D4 RIN Data'!$C12</f>
        <v>0</v>
      </c>
      <c r="C91" s="42">
        <f>'Monthly D4 RIN Data'!$C24</f>
        <v>0</v>
      </c>
      <c r="D91" s="42">
        <f>'Monthly D4 RIN Data'!$C36</f>
        <v>0</v>
      </c>
      <c r="E91" s="42">
        <f>'Monthly D4 RIN Data'!$C48</f>
        <v>0</v>
      </c>
      <c r="F91" s="42">
        <f>'Monthly D4 RIN Data'!$C60</f>
        <v>0</v>
      </c>
      <c r="G91" s="42">
        <f>'Monthly D4 RIN Data'!$C72</f>
        <v>0</v>
      </c>
      <c r="H91" s="42">
        <f>'Monthly D4 RIN Data'!$C84</f>
        <v>0</v>
      </c>
      <c r="I91" s="42">
        <f>'Monthly D4 RIN Data'!$C96</f>
        <v>0</v>
      </c>
      <c r="J91" s="42">
        <f>'Monthly D4 RIN Data'!$C108</f>
        <v>0</v>
      </c>
      <c r="K91" s="42">
        <f>'Monthly D4 RIN Data'!$C120</f>
        <v>0</v>
      </c>
      <c r="L91" s="42">
        <f>'Monthly D4 RIN Data'!$C132</f>
        <v>0</v>
      </c>
      <c r="M91" s="42">
        <f>'Monthly D4 RIN Data'!$C144</f>
        <v>0</v>
      </c>
      <c r="N91" s="42">
        <f>'Monthly D4 RIN Data'!$C156</f>
        <v>0</v>
      </c>
      <c r="O91" s="42">
        <f>'Monthly D4 RIN Data'!$C168</f>
        <v>0</v>
      </c>
      <c r="P91" s="42">
        <f>'Monthly D4 RIN Data'!$C180</f>
        <v>0</v>
      </c>
      <c r="Q91" s="43">
        <f>'D4 Gallon Forecast'!Q93</f>
        <v>0</v>
      </c>
      <c r="R91" s="43">
        <f>'D4 Gallon Forecast'!R93</f>
        <v>0</v>
      </c>
      <c r="S91" s="43">
        <f>'D4 Gallon Forecast'!S93</f>
        <v>0</v>
      </c>
      <c r="T91" s="43">
        <f>'D4 Gallon Forecast'!T93</f>
        <v>0</v>
      </c>
      <c r="U91" s="43">
        <f>'D4 Gallon Forecast'!U93</f>
        <v>0</v>
      </c>
      <c r="V91" s="43">
        <f>'D4 Gallon Forecast'!V93</f>
        <v>0</v>
      </c>
      <c r="W91" s="43">
        <f>'D4 Gallon Forecast'!W93</f>
        <v>0</v>
      </c>
      <c r="X91" s="43">
        <f>'D4 Gallon Forecast'!X93</f>
        <v>0</v>
      </c>
      <c r="Y91" s="43">
        <f>'D4 Gallon Forecast'!Y93</f>
        <v>0</v>
      </c>
      <c r="Z91" s="43">
        <f>'D4 Gallon Forecast'!Z93</f>
        <v>0</v>
      </c>
      <c r="AA91" s="43">
        <f>'D4 Gallon Forecast'!AA93</f>
        <v>0</v>
      </c>
      <c r="AB91" s="43">
        <f>'D4 Gallon Forecast'!AB93</f>
        <v>0</v>
      </c>
      <c r="AC91" s="43">
        <f>'D4 Gallon Forecast'!AC93</f>
        <v>0</v>
      </c>
      <c r="AD91" s="43">
        <f>'D4 Gallon Forecast'!AD93</f>
        <v>0</v>
      </c>
      <c r="AE91" s="43">
        <f>'D4 Gallon Forecast'!AE93</f>
        <v>0</v>
      </c>
      <c r="AF91" s="43">
        <f>'D4 Gallon Forecast'!AF93</f>
        <v>0</v>
      </c>
      <c r="AG91" s="43">
        <f>'D4 Gallon Forecast'!AG93</f>
        <v>0</v>
      </c>
      <c r="AH91" s="43">
        <f>'D4 Gallon Forecast'!AH93</f>
        <v>0</v>
      </c>
      <c r="AI91" s="43">
        <f>'D4 Gallon Forecast'!AI93</f>
        <v>0</v>
      </c>
      <c r="AJ91" s="43">
        <f>'D4 Gallon Forecast'!AJ93</f>
        <v>0</v>
      </c>
      <c r="AK91" s="43">
        <f>'D4 Gallon Forecast'!AK93</f>
        <v>0</v>
      </c>
      <c r="AL91" s="43">
        <f>'D4 Gallon Forecast'!AL93</f>
        <v>0</v>
      </c>
      <c r="AM91" s="43">
        <f>'D4 Gallon Forecast'!AM93</f>
        <v>0</v>
      </c>
      <c r="AN91" s="43">
        <f>'D4 Gallon Forecast'!AN93</f>
        <v>0</v>
      </c>
      <c r="AO91" s="43">
        <f>'D4 Gallon Forecast'!AO93</f>
        <v>0</v>
      </c>
      <c r="AP91" s="43">
        <f>'D4 Gallon Forecast'!AP93</f>
        <v>0</v>
      </c>
      <c r="AQ91" s="43"/>
    </row>
    <row r="92" spans="1:43">
      <c r="A92" s="40" t="s">
        <v>52</v>
      </c>
      <c r="B92" s="42">
        <f>'Monthly D4 RIN Data'!$C13</f>
        <v>0</v>
      </c>
      <c r="C92" s="42">
        <f>'Monthly D4 RIN Data'!$C25</f>
        <v>0</v>
      </c>
      <c r="D92" s="42">
        <f>'Monthly D4 RIN Data'!$C37</f>
        <v>1052289</v>
      </c>
      <c r="E92" s="42">
        <f>'Monthly D4 RIN Data'!$C49</f>
        <v>0</v>
      </c>
      <c r="F92" s="42">
        <f>'Monthly D4 RIN Data'!$C61</f>
        <v>0</v>
      </c>
      <c r="G92" s="42">
        <f>'Monthly D4 RIN Data'!$C73</f>
        <v>0</v>
      </c>
      <c r="H92" s="42">
        <f>'Monthly D4 RIN Data'!$C85</f>
        <v>0</v>
      </c>
      <c r="I92" s="42">
        <f>'Monthly D4 RIN Data'!$C97</f>
        <v>0</v>
      </c>
      <c r="J92" s="42">
        <f>'Monthly D4 RIN Data'!$C109</f>
        <v>0</v>
      </c>
      <c r="K92" s="42">
        <f>'Monthly D4 RIN Data'!$C121</f>
        <v>0</v>
      </c>
      <c r="L92" s="42">
        <f>'Monthly D4 RIN Data'!$C133</f>
        <v>0</v>
      </c>
      <c r="M92" s="42">
        <f>'Monthly D4 RIN Data'!$C145</f>
        <v>0</v>
      </c>
      <c r="N92" s="42">
        <f>'Monthly D4 RIN Data'!$C157</f>
        <v>0</v>
      </c>
      <c r="O92" s="42">
        <f>'Monthly D4 RIN Data'!$C169</f>
        <v>0</v>
      </c>
      <c r="P92" s="42">
        <f>'Monthly D4 RIN Data'!$C181</f>
        <v>0</v>
      </c>
      <c r="Q92" s="43">
        <f>'D4 Gallon Forecast'!Q94</f>
        <v>0</v>
      </c>
      <c r="R92" s="43">
        <f>'D4 Gallon Forecast'!R94</f>
        <v>0</v>
      </c>
      <c r="S92" s="43">
        <f>'D4 Gallon Forecast'!S94</f>
        <v>0</v>
      </c>
      <c r="T92" s="43">
        <f>'D4 Gallon Forecast'!T94</f>
        <v>0</v>
      </c>
      <c r="U92" s="43">
        <f>'D4 Gallon Forecast'!U94</f>
        <v>0</v>
      </c>
      <c r="V92" s="43">
        <f>'D4 Gallon Forecast'!V94</f>
        <v>0</v>
      </c>
      <c r="W92" s="43">
        <f>'D4 Gallon Forecast'!W94</f>
        <v>0</v>
      </c>
      <c r="X92" s="43">
        <f>'D4 Gallon Forecast'!X94</f>
        <v>0</v>
      </c>
      <c r="Y92" s="43">
        <f>'D4 Gallon Forecast'!Y94</f>
        <v>0</v>
      </c>
      <c r="Z92" s="43">
        <f>'D4 Gallon Forecast'!Z94</f>
        <v>0</v>
      </c>
      <c r="AA92" s="43">
        <f>'D4 Gallon Forecast'!AA94</f>
        <v>0</v>
      </c>
      <c r="AB92" s="43">
        <f>'D4 Gallon Forecast'!AB94</f>
        <v>0</v>
      </c>
      <c r="AC92" s="43">
        <f>'D4 Gallon Forecast'!AC94</f>
        <v>0</v>
      </c>
      <c r="AD92" s="43">
        <f>'D4 Gallon Forecast'!AD94</f>
        <v>0</v>
      </c>
      <c r="AE92" s="43">
        <f>'D4 Gallon Forecast'!AE94</f>
        <v>0</v>
      </c>
      <c r="AF92" s="43">
        <f>'D4 Gallon Forecast'!AF94</f>
        <v>0</v>
      </c>
      <c r="AG92" s="43">
        <f>'D4 Gallon Forecast'!AG94</f>
        <v>0</v>
      </c>
      <c r="AH92" s="43">
        <f>'D4 Gallon Forecast'!AH94</f>
        <v>0</v>
      </c>
      <c r="AI92" s="43">
        <f>'D4 Gallon Forecast'!AI94</f>
        <v>0</v>
      </c>
      <c r="AJ92" s="43">
        <f>'D4 Gallon Forecast'!AJ94</f>
        <v>0</v>
      </c>
      <c r="AK92" s="43">
        <f>'D4 Gallon Forecast'!AK94</f>
        <v>0</v>
      </c>
      <c r="AL92" s="43">
        <f>'D4 Gallon Forecast'!AL94</f>
        <v>0</v>
      </c>
      <c r="AM92" s="43">
        <f>'D4 Gallon Forecast'!AM94</f>
        <v>0</v>
      </c>
      <c r="AN92" s="43">
        <f>'D4 Gallon Forecast'!AN94</f>
        <v>0</v>
      </c>
      <c r="AO92" s="43">
        <f>'D4 Gallon Forecast'!AO94</f>
        <v>0</v>
      </c>
      <c r="AP92" s="43">
        <f>'D4 Gallon Forecast'!AP94</f>
        <v>0</v>
      </c>
      <c r="AQ92" s="43"/>
    </row>
    <row r="93" spans="1:43">
      <c r="A93" s="40" t="s">
        <v>53</v>
      </c>
      <c r="B93" s="42">
        <f>'Monthly D4 RIN Data'!$C14</f>
        <v>0</v>
      </c>
      <c r="C93" s="42">
        <f>'Monthly D4 RIN Data'!$C26</f>
        <v>0</v>
      </c>
      <c r="D93" s="42">
        <f>'Monthly D4 RIN Data'!$C38</f>
        <v>0</v>
      </c>
      <c r="E93" s="42">
        <f>'Monthly D4 RIN Data'!$C50</f>
        <v>1919492</v>
      </c>
      <c r="F93" s="42">
        <f>'Monthly D4 RIN Data'!$C62</f>
        <v>0</v>
      </c>
      <c r="G93" s="42">
        <f>'Monthly D4 RIN Data'!$C74</f>
        <v>0</v>
      </c>
      <c r="H93" s="42">
        <f>'Monthly D4 RIN Data'!$C86</f>
        <v>0</v>
      </c>
      <c r="I93" s="42">
        <f>'Monthly D4 RIN Data'!$C98</f>
        <v>0</v>
      </c>
      <c r="J93" s="42">
        <f>'Monthly D4 RIN Data'!$C110</f>
        <v>0</v>
      </c>
      <c r="K93" s="42">
        <f>'Monthly D4 RIN Data'!$C122</f>
        <v>0</v>
      </c>
      <c r="L93" s="42">
        <f>'Monthly D4 RIN Data'!$C134</f>
        <v>0</v>
      </c>
      <c r="M93" s="42">
        <f>'Monthly D4 RIN Data'!$C146</f>
        <v>0</v>
      </c>
      <c r="N93" s="42">
        <f>'Monthly D4 RIN Data'!$C158</f>
        <v>0</v>
      </c>
      <c r="O93" s="42">
        <f>'Monthly D4 RIN Data'!$C170</f>
        <v>0</v>
      </c>
      <c r="P93" s="42">
        <f>'Monthly D4 RIN Data'!$C182</f>
        <v>0</v>
      </c>
      <c r="Q93" s="43">
        <f>'D4 Gallon Forecast'!Q95</f>
        <v>0</v>
      </c>
      <c r="R93" s="43">
        <f>'D4 Gallon Forecast'!R95</f>
        <v>0</v>
      </c>
      <c r="S93" s="43">
        <f>'D4 Gallon Forecast'!S95</f>
        <v>0</v>
      </c>
      <c r="T93" s="43">
        <f>'D4 Gallon Forecast'!T95</f>
        <v>0</v>
      </c>
      <c r="U93" s="43">
        <f>'D4 Gallon Forecast'!U95</f>
        <v>0</v>
      </c>
      <c r="V93" s="43">
        <f>'D4 Gallon Forecast'!V95</f>
        <v>0</v>
      </c>
      <c r="W93" s="43">
        <f>'D4 Gallon Forecast'!W95</f>
        <v>0</v>
      </c>
      <c r="X93" s="43">
        <f>'D4 Gallon Forecast'!X95</f>
        <v>0</v>
      </c>
      <c r="Y93" s="43">
        <f>'D4 Gallon Forecast'!Y95</f>
        <v>0</v>
      </c>
      <c r="Z93" s="43">
        <f>'D4 Gallon Forecast'!Z95</f>
        <v>0</v>
      </c>
      <c r="AA93" s="43">
        <f>'D4 Gallon Forecast'!AA95</f>
        <v>0</v>
      </c>
      <c r="AB93" s="43">
        <f>'D4 Gallon Forecast'!AB95</f>
        <v>0</v>
      </c>
      <c r="AC93" s="43">
        <f>'D4 Gallon Forecast'!AC95</f>
        <v>0</v>
      </c>
      <c r="AD93" s="43">
        <f>'D4 Gallon Forecast'!AD95</f>
        <v>0</v>
      </c>
      <c r="AE93" s="43">
        <f>'D4 Gallon Forecast'!AE95</f>
        <v>0</v>
      </c>
      <c r="AF93" s="43">
        <f>'D4 Gallon Forecast'!AF95</f>
        <v>0</v>
      </c>
      <c r="AG93" s="43">
        <f>'D4 Gallon Forecast'!AG95</f>
        <v>0</v>
      </c>
      <c r="AH93" s="43">
        <f>'D4 Gallon Forecast'!AH95</f>
        <v>0</v>
      </c>
      <c r="AI93" s="43">
        <f>'D4 Gallon Forecast'!AI95</f>
        <v>0</v>
      </c>
      <c r="AJ93" s="43">
        <f>'D4 Gallon Forecast'!AJ95</f>
        <v>0</v>
      </c>
      <c r="AK93" s="43">
        <f>'D4 Gallon Forecast'!AK95</f>
        <v>0</v>
      </c>
      <c r="AL93" s="43">
        <f>'D4 Gallon Forecast'!AL95</f>
        <v>0</v>
      </c>
      <c r="AM93" s="43">
        <f>'D4 Gallon Forecast'!AM95</f>
        <v>0</v>
      </c>
      <c r="AN93" s="43">
        <f>'D4 Gallon Forecast'!AN95</f>
        <v>0</v>
      </c>
      <c r="AO93" s="43">
        <f>'D4 Gallon Forecast'!AO95</f>
        <v>0</v>
      </c>
      <c r="AP93" s="43">
        <f>'D4 Gallon Forecast'!AP95</f>
        <v>0</v>
      </c>
      <c r="AQ93" s="43"/>
    </row>
    <row r="94" spans="1:43">
      <c r="A94" s="40" t="s">
        <v>54</v>
      </c>
      <c r="B94" s="42">
        <f>'Monthly D4 RIN Data'!$C15</f>
        <v>0</v>
      </c>
      <c r="C94" s="42">
        <f>'Monthly D4 RIN Data'!$C27</f>
        <v>0</v>
      </c>
      <c r="D94" s="42">
        <f>'Monthly D4 RIN Data'!$C39</f>
        <v>0</v>
      </c>
      <c r="E94" s="42">
        <f>'Monthly D4 RIN Data'!$C51</f>
        <v>0</v>
      </c>
      <c r="F94" s="42">
        <f>'Monthly D4 RIN Data'!$C63</f>
        <v>0</v>
      </c>
      <c r="G94" s="42">
        <f>'Monthly D4 RIN Data'!$C75</f>
        <v>0</v>
      </c>
      <c r="H94" s="42">
        <f>'Monthly D4 RIN Data'!$C87</f>
        <v>0</v>
      </c>
      <c r="I94" s="42">
        <f>'Monthly D4 RIN Data'!$C99</f>
        <v>0</v>
      </c>
      <c r="J94" s="42">
        <f>'Monthly D4 RIN Data'!$C111</f>
        <v>0</v>
      </c>
      <c r="K94" s="42">
        <f>'Monthly D4 RIN Data'!$C123</f>
        <v>0</v>
      </c>
      <c r="L94" s="42">
        <f>'Monthly D4 RIN Data'!$C135</f>
        <v>0</v>
      </c>
      <c r="M94" s="42">
        <f>'Monthly D4 RIN Data'!$C147</f>
        <v>0</v>
      </c>
      <c r="N94" s="42">
        <f>'Monthly D4 RIN Data'!$C159</f>
        <v>0</v>
      </c>
      <c r="O94" s="42">
        <f>'Monthly D4 RIN Data'!$C171</f>
        <v>0</v>
      </c>
      <c r="P94" s="42">
        <f>'Monthly D4 RIN Data'!$C183</f>
        <v>0</v>
      </c>
      <c r="Q94" s="43">
        <f>'D4 Gallon Forecast'!Q96</f>
        <v>0</v>
      </c>
      <c r="R94" s="43">
        <f>'D4 Gallon Forecast'!R96</f>
        <v>0</v>
      </c>
      <c r="S94" s="43">
        <f>'D4 Gallon Forecast'!S96</f>
        <v>0</v>
      </c>
      <c r="T94" s="43">
        <f>'D4 Gallon Forecast'!T96</f>
        <v>0</v>
      </c>
      <c r="U94" s="43">
        <f>'D4 Gallon Forecast'!U96</f>
        <v>0</v>
      </c>
      <c r="V94" s="43">
        <f>'D4 Gallon Forecast'!V96</f>
        <v>0</v>
      </c>
      <c r="W94" s="43">
        <f>'D4 Gallon Forecast'!W96</f>
        <v>0</v>
      </c>
      <c r="X94" s="43">
        <f>'D4 Gallon Forecast'!X96</f>
        <v>0</v>
      </c>
      <c r="Y94" s="43">
        <f>'D4 Gallon Forecast'!Y96</f>
        <v>0</v>
      </c>
      <c r="Z94" s="43">
        <f>'D4 Gallon Forecast'!Z96</f>
        <v>0</v>
      </c>
      <c r="AA94" s="43">
        <f>'D4 Gallon Forecast'!AA96</f>
        <v>0</v>
      </c>
      <c r="AB94" s="43">
        <f>'D4 Gallon Forecast'!AB96</f>
        <v>0</v>
      </c>
      <c r="AC94" s="43">
        <f>'D4 Gallon Forecast'!AC96</f>
        <v>0</v>
      </c>
      <c r="AD94" s="43">
        <f>'D4 Gallon Forecast'!AD96</f>
        <v>0</v>
      </c>
      <c r="AE94" s="43">
        <f>'D4 Gallon Forecast'!AE96</f>
        <v>0</v>
      </c>
      <c r="AF94" s="43">
        <f>'D4 Gallon Forecast'!AF96</f>
        <v>0</v>
      </c>
      <c r="AG94" s="43">
        <f>'D4 Gallon Forecast'!AG96</f>
        <v>0</v>
      </c>
      <c r="AH94" s="43">
        <f>'D4 Gallon Forecast'!AH96</f>
        <v>0</v>
      </c>
      <c r="AI94" s="43">
        <f>'D4 Gallon Forecast'!AI96</f>
        <v>0</v>
      </c>
      <c r="AJ94" s="43">
        <f>'D4 Gallon Forecast'!AJ96</f>
        <v>0</v>
      </c>
      <c r="AK94" s="43">
        <f>'D4 Gallon Forecast'!AK96</f>
        <v>0</v>
      </c>
      <c r="AL94" s="43">
        <f>'D4 Gallon Forecast'!AL96</f>
        <v>0</v>
      </c>
      <c r="AM94" s="43">
        <f>'D4 Gallon Forecast'!AM96</f>
        <v>0</v>
      </c>
      <c r="AN94" s="43">
        <f>'D4 Gallon Forecast'!AN96</f>
        <v>0</v>
      </c>
      <c r="AO94" s="43">
        <f>'D4 Gallon Forecast'!AO96</f>
        <v>0</v>
      </c>
      <c r="AP94" s="43">
        <f>'D4 Gallon Forecast'!AP96</f>
        <v>0</v>
      </c>
      <c r="AQ94" s="43"/>
    </row>
    <row r="95" spans="1:43">
      <c r="A95" s="40" t="s">
        <v>29</v>
      </c>
      <c r="B95" s="42">
        <f>SUM(B83:B94)</f>
        <v>0</v>
      </c>
      <c r="C95" s="42">
        <f t="shared" ref="C95:AP95" si="64">SUM(C83:C94)</f>
        <v>0</v>
      </c>
      <c r="D95" s="42">
        <f t="shared" si="64"/>
        <v>10172863</v>
      </c>
      <c r="E95" s="42">
        <f t="shared" si="64"/>
        <v>4186146</v>
      </c>
      <c r="F95" s="42">
        <f t="shared" si="64"/>
        <v>0</v>
      </c>
      <c r="G95" s="42">
        <f t="shared" si="64"/>
        <v>0</v>
      </c>
      <c r="H95" s="42">
        <f t="shared" si="64"/>
        <v>0</v>
      </c>
      <c r="I95" s="42">
        <f t="shared" si="64"/>
        <v>0</v>
      </c>
      <c r="J95" s="42">
        <f t="shared" si="64"/>
        <v>0</v>
      </c>
      <c r="K95" s="42">
        <f t="shared" si="64"/>
        <v>0</v>
      </c>
      <c r="L95" s="42">
        <f t="shared" si="64"/>
        <v>0</v>
      </c>
      <c r="M95" s="42">
        <f t="shared" si="64"/>
        <v>0</v>
      </c>
      <c r="N95" s="42">
        <f t="shared" si="64"/>
        <v>0</v>
      </c>
      <c r="O95" s="42">
        <f t="shared" si="64"/>
        <v>0</v>
      </c>
      <c r="P95" s="42">
        <f t="shared" si="64"/>
        <v>0</v>
      </c>
      <c r="Q95" s="43">
        <f t="shared" si="64"/>
        <v>0</v>
      </c>
      <c r="R95" s="43">
        <f t="shared" si="64"/>
        <v>0</v>
      </c>
      <c r="S95" s="43">
        <f t="shared" si="64"/>
        <v>0</v>
      </c>
      <c r="T95" s="43">
        <f t="shared" si="64"/>
        <v>0</v>
      </c>
      <c r="U95" s="43">
        <f t="shared" si="64"/>
        <v>0</v>
      </c>
      <c r="V95" s="43">
        <f t="shared" si="64"/>
        <v>0</v>
      </c>
      <c r="W95" s="43">
        <f t="shared" si="64"/>
        <v>0</v>
      </c>
      <c r="X95" s="43">
        <f t="shared" si="64"/>
        <v>0</v>
      </c>
      <c r="Y95" s="43">
        <f t="shared" si="64"/>
        <v>0</v>
      </c>
      <c r="Z95" s="43">
        <f t="shared" si="64"/>
        <v>0</v>
      </c>
      <c r="AA95" s="43">
        <f t="shared" si="64"/>
        <v>0</v>
      </c>
      <c r="AB95" s="43">
        <f t="shared" si="64"/>
        <v>0</v>
      </c>
      <c r="AC95" s="43">
        <f t="shared" si="64"/>
        <v>0</v>
      </c>
      <c r="AD95" s="43">
        <f t="shared" si="64"/>
        <v>0</v>
      </c>
      <c r="AE95" s="43">
        <f t="shared" si="64"/>
        <v>0</v>
      </c>
      <c r="AF95" s="43">
        <f t="shared" si="64"/>
        <v>0</v>
      </c>
      <c r="AG95" s="43">
        <f t="shared" si="64"/>
        <v>0</v>
      </c>
      <c r="AH95" s="43">
        <f t="shared" si="64"/>
        <v>0</v>
      </c>
      <c r="AI95" s="43">
        <f t="shared" si="64"/>
        <v>0</v>
      </c>
      <c r="AJ95" s="43">
        <f t="shared" si="64"/>
        <v>0</v>
      </c>
      <c r="AK95" s="43">
        <f t="shared" si="64"/>
        <v>0</v>
      </c>
      <c r="AL95" s="43">
        <f t="shared" si="64"/>
        <v>0</v>
      </c>
      <c r="AM95" s="43">
        <f t="shared" si="64"/>
        <v>0</v>
      </c>
      <c r="AN95" s="43">
        <f t="shared" si="64"/>
        <v>0</v>
      </c>
      <c r="AO95" s="43">
        <f t="shared" si="64"/>
        <v>0</v>
      </c>
      <c r="AP95" s="43">
        <f t="shared" si="64"/>
        <v>0</v>
      </c>
      <c r="AQ95" s="43"/>
    </row>
    <row r="97" spans="1:43" ht="12" thickBot="1">
      <c r="A97" s="245" t="s">
        <v>381</v>
      </c>
    </row>
    <row r="98" spans="1:43" ht="12" thickBot="1">
      <c r="A98" s="270"/>
      <c r="B98" s="263">
        <v>2010</v>
      </c>
      <c r="C98" s="263">
        <v>2011</v>
      </c>
      <c r="D98" s="263">
        <v>2012</v>
      </c>
      <c r="E98" s="263">
        <v>2013</v>
      </c>
      <c r="F98" s="263">
        <v>2014</v>
      </c>
      <c r="G98" s="263">
        <v>2015</v>
      </c>
      <c r="H98" s="263">
        <v>2016</v>
      </c>
      <c r="I98" s="263">
        <v>2017</v>
      </c>
      <c r="J98" s="263">
        <v>2018</v>
      </c>
      <c r="K98" s="263">
        <v>2019</v>
      </c>
      <c r="L98" s="263">
        <v>2020</v>
      </c>
      <c r="M98" s="263">
        <v>2021</v>
      </c>
      <c r="N98" s="263">
        <v>2022</v>
      </c>
      <c r="O98" s="263">
        <v>2023</v>
      </c>
      <c r="P98" s="263">
        <v>2024</v>
      </c>
      <c r="Q98" s="263">
        <v>2025</v>
      </c>
      <c r="R98" s="263">
        <v>2026</v>
      </c>
      <c r="S98" s="263">
        <v>2027</v>
      </c>
      <c r="T98" s="263">
        <v>2028</v>
      </c>
      <c r="U98" s="263">
        <v>2029</v>
      </c>
      <c r="V98" s="263">
        <v>2030</v>
      </c>
      <c r="W98" s="263">
        <v>2031</v>
      </c>
      <c r="X98" s="263">
        <v>2032</v>
      </c>
      <c r="Y98" s="263">
        <v>2033</v>
      </c>
      <c r="Z98" s="263">
        <v>2034</v>
      </c>
      <c r="AA98" s="263">
        <v>2035</v>
      </c>
      <c r="AB98" s="263">
        <v>2036</v>
      </c>
      <c r="AC98" s="263">
        <v>2037</v>
      </c>
      <c r="AD98" s="263">
        <v>2038</v>
      </c>
      <c r="AE98" s="263">
        <v>2039</v>
      </c>
      <c r="AF98" s="263">
        <v>2040</v>
      </c>
      <c r="AG98" s="263">
        <v>2041</v>
      </c>
      <c r="AH98" s="263">
        <v>2042</v>
      </c>
      <c r="AI98" s="263">
        <v>2043</v>
      </c>
      <c r="AJ98" s="263">
        <v>2044</v>
      </c>
      <c r="AK98" s="263">
        <v>2045</v>
      </c>
      <c r="AL98" s="263">
        <v>2046</v>
      </c>
      <c r="AM98" s="263">
        <v>2047</v>
      </c>
      <c r="AN98" s="263">
        <v>2048</v>
      </c>
      <c r="AO98" s="263">
        <v>2049</v>
      </c>
      <c r="AP98" s="263">
        <v>2050</v>
      </c>
      <c r="AQ98" s="245"/>
    </row>
    <row r="99" spans="1:43">
      <c r="A99" s="40" t="s">
        <v>43</v>
      </c>
      <c r="B99" s="42">
        <f>'Monthly D4 RIN Data'!$D4</f>
        <v>0</v>
      </c>
      <c r="C99" s="42">
        <f>'Monthly D4 RIN Data'!$D16</f>
        <v>3954656</v>
      </c>
      <c r="D99" s="42">
        <f>'Monthly D4 RIN Data'!$D28</f>
        <v>1557591</v>
      </c>
      <c r="E99" s="42">
        <f>'Monthly D4 RIN Data'!$D40</f>
        <v>1463988</v>
      </c>
      <c r="F99" s="42">
        <f>'Monthly D4 RIN Data'!$D52</f>
        <v>2972950</v>
      </c>
      <c r="G99" s="42">
        <f>'Monthly D4 RIN Data'!$D64</f>
        <v>12939678</v>
      </c>
      <c r="H99" s="42">
        <f>'Monthly D4 RIN Data'!$D76</f>
        <v>31077567</v>
      </c>
      <c r="I99" s="42">
        <f>'Monthly D4 RIN Data'!$D88</f>
        <v>31785156</v>
      </c>
      <c r="J99" s="42">
        <f>'Monthly D4 RIN Data'!$D100</f>
        <v>16044167</v>
      </c>
      <c r="K99" s="42">
        <f>'Monthly D4 RIN Data'!$D112</f>
        <v>17713871</v>
      </c>
      <c r="L99" s="42">
        <f>'Monthly D4 RIN Data'!$D124</f>
        <v>20606859</v>
      </c>
      <c r="M99" s="42">
        <f>'Monthly D4 RIN Data'!$D136</f>
        <v>12804373</v>
      </c>
      <c r="N99" s="42">
        <f>'Monthly D4 RIN Data'!$D148</f>
        <v>19051597</v>
      </c>
      <c r="O99" s="42">
        <f>'Monthly D4 RIN Data'!$D160</f>
        <v>36873751</v>
      </c>
      <c r="P99" s="42">
        <f>'Monthly D4 RIN Data'!$D172</f>
        <v>60472149</v>
      </c>
      <c r="Q99" s="42">
        <f>'Monthly D4 RIN Data'!$D184</f>
        <v>4703045</v>
      </c>
      <c r="R99" s="43">
        <f>'D4 Gallon Forecast'!R101*AVERAGE('D4 RIN Forecast'!BE$6:BI$6)</f>
        <v>15038725.365441097</v>
      </c>
      <c r="S99" s="43">
        <f>'D4 Gallon Forecast'!S101*AVERAGE('D4 RIN Forecast'!BF$6:BJ$6)</f>
        <v>16271848.882695293</v>
      </c>
      <c r="T99" s="43">
        <f>'D4 Gallon Forecast'!T101*AVERAGE('D4 RIN Forecast'!BG$6:BK$6)</f>
        <v>17966535.276515331</v>
      </c>
      <c r="U99" s="43">
        <f>'D4 Gallon Forecast'!U101*AVERAGE('D4 RIN Forecast'!BH$6:BL$6)</f>
        <v>18678449.155005354</v>
      </c>
      <c r="V99" s="43">
        <f>'D4 Gallon Forecast'!V101*AVERAGE('D4 RIN Forecast'!BI$6:BM$6)</f>
        <v>14283314.308368001</v>
      </c>
      <c r="W99" s="43">
        <f>'D4 Gallon Forecast'!W101*AVERAGE('D4 RIN Forecast'!BJ$6:BN$6)</f>
        <v>16292606.949776033</v>
      </c>
      <c r="X99" s="43">
        <f>'D4 Gallon Forecast'!X101*AVERAGE('D4 RIN Forecast'!BK$6:BO$6)</f>
        <v>14688540.173869094</v>
      </c>
      <c r="Y99" s="43">
        <f>'D4 Gallon Forecast'!Y101*AVERAGE('D4 RIN Forecast'!BL$6:BP$6)</f>
        <v>13779159.134753419</v>
      </c>
      <c r="Z99" s="43">
        <f>'D4 Gallon Forecast'!Z101*AVERAGE('D4 RIN Forecast'!BM$6:BQ$6)</f>
        <v>13205206.024664767</v>
      </c>
      <c r="AA99" s="43">
        <f>'D4 Gallon Forecast'!AA101*AVERAGE('D4 RIN Forecast'!BN$6:BR$6)</f>
        <v>11735850.006296329</v>
      </c>
      <c r="AB99" s="43">
        <f>'D4 Gallon Forecast'!AB101*AVERAGE('D4 RIN Forecast'!BO$6:BS$6)</f>
        <v>9902925.7924418971</v>
      </c>
      <c r="AC99" s="43">
        <f>'D4 Gallon Forecast'!AC101*AVERAGE('D4 RIN Forecast'!BP$6:BT$6)</f>
        <v>8340460.9905305179</v>
      </c>
      <c r="AD99" s="43">
        <f>'D4 Gallon Forecast'!AD101*AVERAGE('D4 RIN Forecast'!BQ$6:BU$6)</f>
        <v>6790363.1454429859</v>
      </c>
      <c r="AE99" s="43">
        <f>'D4 Gallon Forecast'!AE101*AVERAGE('D4 RIN Forecast'!BR$6:BV$6)</f>
        <v>5636256.3089806139</v>
      </c>
      <c r="AF99" s="43">
        <f>'D4 Gallon Forecast'!AF101*AVERAGE('D4 RIN Forecast'!BS$6:BW$6)</f>
        <v>5629095.960450423</v>
      </c>
      <c r="AG99" s="43">
        <f>'D4 Gallon Forecast'!AG101*AVERAGE('D4 RIN Forecast'!BT$6:BX$6)</f>
        <v>5671734.7195995748</v>
      </c>
      <c r="AH99" s="43">
        <f>'D4 Gallon Forecast'!AH101*AVERAGE('D4 RIN Forecast'!BU$6:BY$6)</f>
        <v>5659043.1403841199</v>
      </c>
      <c r="AI99" s="43">
        <f>'D4 Gallon Forecast'!AI101*AVERAGE('D4 RIN Forecast'!BV$6:BZ$6)</f>
        <v>5651248.7067161724</v>
      </c>
      <c r="AJ99" s="43">
        <f>'D4 Gallon Forecast'!AJ101*AVERAGE('D4 RIN Forecast'!BW$6:CA$6)</f>
        <v>5649475.7672316376</v>
      </c>
      <c r="AK99" s="43">
        <f>'D4 Gallon Forecast'!AK101*AVERAGE('D4 RIN Forecast'!BX$6:CB$6)</f>
        <v>5652119.6588797271</v>
      </c>
      <c r="AL99" s="43">
        <f>'D4 Gallon Forecast'!AL101*AVERAGE('D4 RIN Forecast'!BY$6:CC$6)</f>
        <v>5656724.3985638469</v>
      </c>
      <c r="AM99" s="43">
        <f>'D4 Gallon Forecast'!AM101*AVERAGE('D4 RIN Forecast'!BZ$6:CD$6)</f>
        <v>5653722.3343555052</v>
      </c>
      <c r="AN99" s="43">
        <f>'D4 Gallon Forecast'!AN101*AVERAGE('D4 RIN Forecast'!CA$6:CE$6)</f>
        <v>5652658.1731495466</v>
      </c>
      <c r="AO99" s="43">
        <f>'D4 Gallon Forecast'!AO101*AVERAGE('D4 RIN Forecast'!CB$6:CF$6)</f>
        <v>5652940.0664361948</v>
      </c>
      <c r="AP99" s="43">
        <f>'D4 Gallon Forecast'!AP101*AVERAGE('D4 RIN Forecast'!CC$6:CG$6)</f>
        <v>5653632.9262770135</v>
      </c>
      <c r="AQ99" s="43"/>
    </row>
    <row r="100" spans="1:43">
      <c r="A100" s="40" t="s">
        <v>44</v>
      </c>
      <c r="B100" s="42">
        <f>'Monthly D4 RIN Data'!$D5</f>
        <v>0</v>
      </c>
      <c r="C100" s="42">
        <f>'Monthly D4 RIN Data'!$D17</f>
        <v>2004085</v>
      </c>
      <c r="D100" s="42">
        <f>'Monthly D4 RIN Data'!$D29</f>
        <v>6033036</v>
      </c>
      <c r="E100" s="42">
        <f>'Monthly D4 RIN Data'!$D41</f>
        <v>4610442</v>
      </c>
      <c r="F100" s="42">
        <f>'Monthly D4 RIN Data'!$D53</f>
        <v>5673723</v>
      </c>
      <c r="G100" s="42">
        <f>'Monthly D4 RIN Data'!$D65</f>
        <v>7537654</v>
      </c>
      <c r="H100" s="42">
        <f>'Monthly D4 RIN Data'!$D77</f>
        <v>20663126</v>
      </c>
      <c r="I100" s="42">
        <f>'Monthly D4 RIN Data'!$D89</f>
        <v>44658218</v>
      </c>
      <c r="J100" s="42">
        <f>'Monthly D4 RIN Data'!$D101</f>
        <v>17377056</v>
      </c>
      <c r="K100" s="42">
        <f>'Monthly D4 RIN Data'!$D113</f>
        <v>16452363</v>
      </c>
      <c r="L100" s="42">
        <f>'Monthly D4 RIN Data'!$D125</f>
        <v>17200392</v>
      </c>
      <c r="M100" s="42">
        <f>'Monthly D4 RIN Data'!$D137</f>
        <v>11492452</v>
      </c>
      <c r="N100" s="42">
        <f>'Monthly D4 RIN Data'!$D149</f>
        <v>10115757</v>
      </c>
      <c r="O100" s="42">
        <f>'Monthly D4 RIN Data'!$D161</f>
        <v>61194513</v>
      </c>
      <c r="P100" s="42">
        <f>'Monthly D4 RIN Data'!$D173</f>
        <v>77933499</v>
      </c>
      <c r="Q100" s="42">
        <f>'Monthly D4 RIN Data'!$D185</f>
        <v>9613679</v>
      </c>
      <c r="R100" s="43">
        <f>'D4 Gallon Forecast'!R102*AVERAGE('D4 RIN Forecast'!BE$6:BI$6)</f>
        <v>19131832.125758067</v>
      </c>
      <c r="S100" s="43">
        <f>'D4 Gallon Forecast'!S102*AVERAGE('D4 RIN Forecast'!BF$6:BJ$6)</f>
        <v>21273916.705534924</v>
      </c>
      <c r="T100" s="43">
        <f>'D4 Gallon Forecast'!T102*AVERAGE('D4 RIN Forecast'!BG$6:BK$6)</f>
        <v>25482432.558378432</v>
      </c>
      <c r="U100" s="43">
        <f>'D4 Gallon Forecast'!U102*AVERAGE('D4 RIN Forecast'!BH$6:BL$6)</f>
        <v>25040430.799070533</v>
      </c>
      <c r="V100" s="43">
        <f>'D4 Gallon Forecast'!V102*AVERAGE('D4 RIN Forecast'!BI$6:BM$6)</f>
        <v>19764724.771238968</v>
      </c>
      <c r="W100" s="43">
        <f>'D4 Gallon Forecast'!W102*AVERAGE('D4 RIN Forecast'!BJ$6:BN$6)</f>
        <v>21929812.100913588</v>
      </c>
      <c r="X100" s="43">
        <f>'D4 Gallon Forecast'!X102*AVERAGE('D4 RIN Forecast'!BK$6:BO$6)</f>
        <v>19966065.038292058</v>
      </c>
      <c r="Y100" s="43">
        <f>'D4 Gallon Forecast'!Y102*AVERAGE('D4 RIN Forecast'!BL$6:BP$6)</f>
        <v>18871984.839511655</v>
      </c>
      <c r="Z100" s="43">
        <f>'D4 Gallon Forecast'!Z102*AVERAGE('D4 RIN Forecast'!BM$6:BQ$6)</f>
        <v>17937163.17942949</v>
      </c>
      <c r="AA100" s="43">
        <f>'D4 Gallon Forecast'!AA102*AVERAGE('D4 RIN Forecast'!BN$6:BR$6)</f>
        <v>15995086.283624215</v>
      </c>
      <c r="AB100" s="43">
        <f>'D4 Gallon Forecast'!AB102*AVERAGE('D4 RIN Forecast'!BO$6:BS$6)</f>
        <v>13454660.64571918</v>
      </c>
      <c r="AC100" s="43">
        <f>'D4 Gallon Forecast'!AC102*AVERAGE('D4 RIN Forecast'!BP$6:BT$6)</f>
        <v>11358976.768892258</v>
      </c>
      <c r="AD100" s="43">
        <f>'D4 Gallon Forecast'!AD102*AVERAGE('D4 RIN Forecast'!BQ$6:BU$6)</f>
        <v>9252461.5282183625</v>
      </c>
      <c r="AE100" s="43">
        <f>'D4 Gallon Forecast'!AE102*AVERAGE('D4 RIN Forecast'!BR$6:BV$6)</f>
        <v>7668986.6592852455</v>
      </c>
      <c r="AF100" s="43">
        <f>'D4 Gallon Forecast'!AF102*AVERAGE('D4 RIN Forecast'!BS$6:BW$6)</f>
        <v>7663297.1514612241</v>
      </c>
      <c r="AG100" s="43">
        <f>'D4 Gallon Forecast'!AG102*AVERAGE('D4 RIN Forecast'!BT$6:BX$6)</f>
        <v>7718497.3068575086</v>
      </c>
      <c r="AH100" s="43">
        <f>'D4 Gallon Forecast'!AH102*AVERAGE('D4 RIN Forecast'!BU$6:BY$6)</f>
        <v>7705097.5446969224</v>
      </c>
      <c r="AI100" s="43">
        <f>'D4 Gallon Forecast'!AI102*AVERAGE('D4 RIN Forecast'!BV$6:BZ$6)</f>
        <v>7693911.5751175908</v>
      </c>
      <c r="AJ100" s="43">
        <f>'D4 Gallon Forecast'!AJ102*AVERAGE('D4 RIN Forecast'!BW$6:CA$6)</f>
        <v>7689958.0474914331</v>
      </c>
      <c r="AK100" s="43">
        <f>'D4 Gallon Forecast'!AK102*AVERAGE('D4 RIN Forecast'!BX$6:CB$6)</f>
        <v>7694152.3251293143</v>
      </c>
      <c r="AL100" s="43">
        <f>'D4 Gallon Forecast'!AL102*AVERAGE('D4 RIN Forecast'!BY$6:CC$6)</f>
        <v>7700323.3598605981</v>
      </c>
      <c r="AM100" s="43">
        <f>'D4 Gallon Forecast'!AM102*AVERAGE('D4 RIN Forecast'!BZ$6:CD$6)</f>
        <v>7696688.57045977</v>
      </c>
      <c r="AN100" s="43">
        <f>'D4 Gallon Forecast'!AN102*AVERAGE('D4 RIN Forecast'!CA$6:CE$6)</f>
        <v>7695006.7756119678</v>
      </c>
      <c r="AO100" s="43">
        <f>'D4 Gallon Forecast'!AO102*AVERAGE('D4 RIN Forecast'!CB$6:CF$6)</f>
        <v>7695225.8157108212</v>
      </c>
      <c r="AP100" s="43">
        <f>'D4 Gallon Forecast'!AP102*AVERAGE('D4 RIN Forecast'!CC$6:CG$6)</f>
        <v>7696279.3693545591</v>
      </c>
      <c r="AQ100" s="43"/>
    </row>
    <row r="101" spans="1:43">
      <c r="A101" s="40" t="s">
        <v>45</v>
      </c>
      <c r="B101" s="42">
        <f>'Monthly D4 RIN Data'!$D6</f>
        <v>0</v>
      </c>
      <c r="C101" s="42">
        <f>'Monthly D4 RIN Data'!$D18</f>
        <v>6941490</v>
      </c>
      <c r="D101" s="42">
        <f>'Monthly D4 RIN Data'!$D30</f>
        <v>6465141</v>
      </c>
      <c r="E101" s="42">
        <f>'Monthly D4 RIN Data'!$D42</f>
        <v>14054171</v>
      </c>
      <c r="F101" s="42">
        <f>'Monthly D4 RIN Data'!$D54</f>
        <v>19632695</v>
      </c>
      <c r="G101" s="42">
        <f>'Monthly D4 RIN Data'!$D66</f>
        <v>12810838</v>
      </c>
      <c r="H101" s="42">
        <f>'Monthly D4 RIN Data'!$D78</f>
        <v>13023864</v>
      </c>
      <c r="I101" s="42">
        <f>'Monthly D4 RIN Data'!$D90</f>
        <v>60824923</v>
      </c>
      <c r="J101" s="42">
        <f>'Monthly D4 RIN Data'!$D102</f>
        <v>23465349</v>
      </c>
      <c r="K101" s="42">
        <f>'Monthly D4 RIN Data'!$D114</f>
        <v>18083989</v>
      </c>
      <c r="L101" s="42">
        <f>'Monthly D4 RIN Data'!$D126</f>
        <v>27865918</v>
      </c>
      <c r="M101" s="42">
        <f>'Monthly D4 RIN Data'!$D138</f>
        <v>22720501</v>
      </c>
      <c r="N101" s="42">
        <f>'Monthly D4 RIN Data'!$D150</f>
        <v>34021039</v>
      </c>
      <c r="O101" s="42">
        <f>'Monthly D4 RIN Data'!$D162</f>
        <v>67182654</v>
      </c>
      <c r="P101" s="42">
        <f>'Monthly D4 RIN Data'!$D174</f>
        <v>44836291</v>
      </c>
      <c r="Q101" s="42">
        <f>'Monthly D4 RIN Data'!$D186</f>
        <v>5852368</v>
      </c>
      <c r="R101" s="43">
        <f>'D4 Gallon Forecast'!R103*AVERAGE('D4 RIN Forecast'!BE$6:BI$6)</f>
        <v>19610599.728340574</v>
      </c>
      <c r="S101" s="43">
        <f>'D4 Gallon Forecast'!S103*AVERAGE('D4 RIN Forecast'!BF$6:BJ$6)</f>
        <v>20498646.678225163</v>
      </c>
      <c r="T101" s="43">
        <f>'D4 Gallon Forecast'!T103*AVERAGE('D4 RIN Forecast'!BG$6:BK$6)</f>
        <v>21283546.983075451</v>
      </c>
      <c r="U101" s="43">
        <f>'D4 Gallon Forecast'!U103*AVERAGE('D4 RIN Forecast'!BH$6:BL$6)</f>
        <v>18291529.512471106</v>
      </c>
      <c r="V101" s="43">
        <f>'D4 Gallon Forecast'!V103*AVERAGE('D4 RIN Forecast'!BI$6:BM$6)</f>
        <v>16814905.805997856</v>
      </c>
      <c r="W101" s="43">
        <f>'D4 Gallon Forecast'!W103*AVERAGE('D4 RIN Forecast'!BJ$6:BN$6)</f>
        <v>19117771.762682162</v>
      </c>
      <c r="X101" s="43">
        <f>'D4 Gallon Forecast'!X103*AVERAGE('D4 RIN Forecast'!BK$6:BO$6)</f>
        <v>16890014.982492182</v>
      </c>
      <c r="Y101" s="43">
        <f>'D4 Gallon Forecast'!Y103*AVERAGE('D4 RIN Forecast'!BL$6:BP$6)</f>
        <v>15543549.956159668</v>
      </c>
      <c r="Z101" s="43">
        <f>'D4 Gallon Forecast'!Z103*AVERAGE('D4 RIN Forecast'!BM$6:BQ$6)</f>
        <v>14723407.868348567</v>
      </c>
      <c r="AA101" s="43">
        <f>'D4 Gallon Forecast'!AA103*AVERAGE('D4 RIN Forecast'!BN$6:BR$6)</f>
        <v>13496796.000104789</v>
      </c>
      <c r="AB101" s="43">
        <f>'D4 Gallon Forecast'!AB103*AVERAGE('D4 RIN Forecast'!BO$6:BS$6)</f>
        <v>11333661.504975092</v>
      </c>
      <c r="AC101" s="43">
        <f>'D4 Gallon Forecast'!AC103*AVERAGE('D4 RIN Forecast'!BP$6:BT$6)</f>
        <v>9483374.0568589903</v>
      </c>
      <c r="AD101" s="43">
        <f>'D4 Gallon Forecast'!AD103*AVERAGE('D4 RIN Forecast'!BQ$6:BU$6)</f>
        <v>7698372.2438816065</v>
      </c>
      <c r="AE101" s="43">
        <f>'D4 Gallon Forecast'!AE103*AVERAGE('D4 RIN Forecast'!BR$6:BV$6)</f>
        <v>6398753.1938462872</v>
      </c>
      <c r="AF101" s="43">
        <f>'D4 Gallon Forecast'!AF103*AVERAGE('D4 RIN Forecast'!BS$6:BW$6)</f>
        <v>6426233.2287370926</v>
      </c>
      <c r="AG101" s="43">
        <f>'D4 Gallon Forecast'!AG103*AVERAGE('D4 RIN Forecast'!BT$6:BX$6)</f>
        <v>6459436.5995334033</v>
      </c>
      <c r="AH101" s="43">
        <f>'D4 Gallon Forecast'!AH103*AVERAGE('D4 RIN Forecast'!BU$6:BY$6)</f>
        <v>6435206.3518637614</v>
      </c>
      <c r="AI101" s="43">
        <f>'D4 Gallon Forecast'!AI103*AVERAGE('D4 RIN Forecast'!BV$6:BZ$6)</f>
        <v>6426538.7726815967</v>
      </c>
      <c r="AJ101" s="43">
        <f>'D4 Gallon Forecast'!AJ103*AVERAGE('D4 RIN Forecast'!BW$6:CA$6)</f>
        <v>6429233.6293401616</v>
      </c>
      <c r="AK101" s="43">
        <f>'D4 Gallon Forecast'!AK103*AVERAGE('D4 RIN Forecast'!BX$6:CB$6)</f>
        <v>6435329.7164340587</v>
      </c>
      <c r="AL101" s="43">
        <f>'D4 Gallon Forecast'!AL103*AVERAGE('D4 RIN Forecast'!BY$6:CC$6)</f>
        <v>6437149.0139727639</v>
      </c>
      <c r="AM101" s="43">
        <f>'D4 Gallon Forecast'!AM103*AVERAGE('D4 RIN Forecast'!BZ$6:CD$6)</f>
        <v>6432691.4968588622</v>
      </c>
      <c r="AN101" s="43">
        <f>'D4 Gallon Forecast'!AN103*AVERAGE('D4 RIN Forecast'!CA$6:CE$6)</f>
        <v>6432188.5258577699</v>
      </c>
      <c r="AO101" s="43">
        <f>'D4 Gallon Forecast'!AO103*AVERAGE('D4 RIN Forecast'!CB$6:CF$6)</f>
        <v>6433318.4764928902</v>
      </c>
      <c r="AP101" s="43">
        <f>'D4 Gallon Forecast'!AP103*AVERAGE('D4 RIN Forecast'!CC$6:CG$6)</f>
        <v>6434135.4459233256</v>
      </c>
      <c r="AQ101" s="43"/>
    </row>
    <row r="102" spans="1:43">
      <c r="A102" s="40" t="s">
        <v>46</v>
      </c>
      <c r="B102" s="42">
        <f>'Monthly D4 RIN Data'!$D7</f>
        <v>0</v>
      </c>
      <c r="C102" s="42">
        <f>'Monthly D4 RIN Data'!$D19</f>
        <v>3317642</v>
      </c>
      <c r="D102" s="42">
        <f>'Monthly D4 RIN Data'!$D31</f>
        <v>3986638</v>
      </c>
      <c r="E102" s="42">
        <f>'Monthly D4 RIN Data'!$D43</f>
        <v>7183917</v>
      </c>
      <c r="F102" s="42">
        <f>'Monthly D4 RIN Data'!$D55</f>
        <v>8639227</v>
      </c>
      <c r="G102" s="42">
        <f>'Monthly D4 RIN Data'!$D67</f>
        <v>18106955</v>
      </c>
      <c r="H102" s="42">
        <f>'Monthly D4 RIN Data'!$D79</f>
        <v>43776569</v>
      </c>
      <c r="I102" s="42">
        <f>'Monthly D4 RIN Data'!$D91</f>
        <v>31281427</v>
      </c>
      <c r="J102" s="42">
        <f>'Monthly D4 RIN Data'!$D103</f>
        <v>23904320</v>
      </c>
      <c r="K102" s="42">
        <f>'Monthly D4 RIN Data'!$D115</f>
        <v>32280238</v>
      </c>
      <c r="L102" s="42">
        <f>'Monthly D4 RIN Data'!$D127</f>
        <v>28024744</v>
      </c>
      <c r="M102" s="42">
        <f>'Monthly D4 RIN Data'!$D139</f>
        <v>26004968</v>
      </c>
      <c r="N102" s="42">
        <f>'Monthly D4 RIN Data'!$D151</f>
        <v>44809859</v>
      </c>
      <c r="O102" s="42">
        <f>'Monthly D4 RIN Data'!$D163</f>
        <v>52446720</v>
      </c>
      <c r="P102" s="42">
        <f>'Monthly D4 RIN Data'!$D175</f>
        <v>72435557</v>
      </c>
      <c r="Q102" s="43">
        <f>'D4 Gallon Forecast'!Q104*AVERAGE('D4 RIN Forecast'!BD$6:BH$6)</f>
        <v>48720726.150993653</v>
      </c>
      <c r="R102" s="43">
        <f>'D4 Gallon Forecast'!R104*AVERAGE('D4 RIN Forecast'!BE$6:BI$6)</f>
        <v>27450331.591051131</v>
      </c>
      <c r="S102" s="43">
        <f>'D4 Gallon Forecast'!S104*AVERAGE('D4 RIN Forecast'!BF$6:BJ$6)</f>
        <v>29386450.165839113</v>
      </c>
      <c r="T102" s="43">
        <f>'D4 Gallon Forecast'!T104*AVERAGE('D4 RIN Forecast'!BG$6:BK$6)</f>
        <v>31045441.260605063</v>
      </c>
      <c r="U102" s="43">
        <f>'D4 Gallon Forecast'!U104*AVERAGE('D4 RIN Forecast'!BH$6:BL$6)</f>
        <v>34114780.919917807</v>
      </c>
      <c r="V102" s="43">
        <f>'D4 Gallon Forecast'!V104*AVERAGE('D4 RIN Forecast'!BI$6:BM$6)</f>
        <v>33559895.191510282</v>
      </c>
      <c r="W102" s="43">
        <f>'D4 Gallon Forecast'!W104*AVERAGE('D4 RIN Forecast'!BJ$6:BN$6)</f>
        <v>30817876.248876225</v>
      </c>
      <c r="X102" s="43">
        <f>'D4 Gallon Forecast'!X104*AVERAGE('D4 RIN Forecast'!BK$6:BO$6)</f>
        <v>27958929.891175885</v>
      </c>
      <c r="Y102" s="43">
        <f>'D4 Gallon Forecast'!Y104*AVERAGE('D4 RIN Forecast'!BL$6:BP$6)</f>
        <v>26494809.542956989</v>
      </c>
      <c r="Z102" s="43">
        <f>'D4 Gallon Forecast'!Z104*AVERAGE('D4 RIN Forecast'!BM$6:BQ$6)</f>
        <v>25986020.427905068</v>
      </c>
      <c r="AA102" s="43">
        <f>'D4 Gallon Forecast'!AA104*AVERAGE('D4 RIN Forecast'!BN$6:BR$6)</f>
        <v>23523659.882695451</v>
      </c>
      <c r="AB102" s="43">
        <f>'D4 Gallon Forecast'!AB104*AVERAGE('D4 RIN Forecast'!BO$6:BS$6)</f>
        <v>19149255.172267046</v>
      </c>
      <c r="AC102" s="43">
        <f>'D4 Gallon Forecast'!AC104*AVERAGE('D4 RIN Forecast'!BP$6:BT$6)</f>
        <v>16218436.221097656</v>
      </c>
      <c r="AD102" s="43">
        <f>'D4 Gallon Forecast'!AD104*AVERAGE('D4 RIN Forecast'!BQ$6:BU$6)</f>
        <v>13276154.053873068</v>
      </c>
      <c r="AE102" s="43">
        <f>'D4 Gallon Forecast'!AE104*AVERAGE('D4 RIN Forecast'!BR$6:BV$6)</f>
        <v>11069946.509362038</v>
      </c>
      <c r="AF102" s="43">
        <f>'D4 Gallon Forecast'!AF104*AVERAGE('D4 RIN Forecast'!BS$6:BW$6)</f>
        <v>11049219.26819912</v>
      </c>
      <c r="AG102" s="43">
        <f>'D4 Gallon Forecast'!AG104*AVERAGE('D4 RIN Forecast'!BT$6:BX$6)</f>
        <v>11056720.506125694</v>
      </c>
      <c r="AH102" s="43">
        <f>'D4 Gallon Forecast'!AH104*AVERAGE('D4 RIN Forecast'!BU$6:BY$6)</f>
        <v>11059495.86457954</v>
      </c>
      <c r="AI102" s="43">
        <f>'D4 Gallon Forecast'!AI104*AVERAGE('D4 RIN Forecast'!BV$6:BZ$6)</f>
        <v>11059910.80811709</v>
      </c>
      <c r="AJ102" s="43">
        <f>'D4 Gallon Forecast'!AJ104*AVERAGE('D4 RIN Forecast'!BW$6:CA$6)</f>
        <v>11059058.591275385</v>
      </c>
      <c r="AK102" s="43">
        <f>'D4 Gallon Forecast'!AK104*AVERAGE('D4 RIN Forecast'!BX$6:CB$6)</f>
        <v>11056881.007659795</v>
      </c>
      <c r="AL102" s="43">
        <f>'D4 Gallon Forecast'!AL104*AVERAGE('D4 RIN Forecast'!BY$6:CC$6)</f>
        <v>11058413.355551351</v>
      </c>
      <c r="AM102" s="43">
        <f>'D4 Gallon Forecast'!AM104*AVERAGE('D4 RIN Forecast'!BZ$6:CD$6)</f>
        <v>11058751.925436618</v>
      </c>
      <c r="AN102" s="43">
        <f>'D4 Gallon Forecast'!AN104*AVERAGE('D4 RIN Forecast'!CA$6:CE$6)</f>
        <v>11058603.137607997</v>
      </c>
      <c r="AO102" s="43">
        <f>'D4 Gallon Forecast'!AO104*AVERAGE('D4 RIN Forecast'!CB$6:CF$6)</f>
        <v>11058341.603506207</v>
      </c>
      <c r="AP102" s="43">
        <f>'D4 Gallon Forecast'!AP104*AVERAGE('D4 RIN Forecast'!CC$6:CG$6)</f>
        <v>11058198.205952389</v>
      </c>
      <c r="AQ102" s="43"/>
    </row>
    <row r="103" spans="1:43">
      <c r="A103" s="40" t="s">
        <v>47</v>
      </c>
      <c r="B103" s="42">
        <f>'Monthly D4 RIN Data'!$D8</f>
        <v>0</v>
      </c>
      <c r="C103" s="42">
        <f>'Monthly D4 RIN Data'!$D20</f>
        <v>3374894</v>
      </c>
      <c r="D103" s="42">
        <f>'Monthly D4 RIN Data'!$D32</f>
        <v>3198200</v>
      </c>
      <c r="E103" s="42">
        <f>'Monthly D4 RIN Data'!$D44</f>
        <v>15049714</v>
      </c>
      <c r="F103" s="42">
        <f>'Monthly D4 RIN Data'!$D56</f>
        <v>7290163</v>
      </c>
      <c r="G103" s="42">
        <f>'Monthly D4 RIN Data'!$D68</f>
        <v>21629983</v>
      </c>
      <c r="H103" s="42">
        <f>'Monthly D4 RIN Data'!$D80</f>
        <v>50612462</v>
      </c>
      <c r="I103" s="42">
        <f>'Monthly D4 RIN Data'!$D92</f>
        <v>58547517</v>
      </c>
      <c r="J103" s="42">
        <f>'Monthly D4 RIN Data'!$D104</f>
        <v>24085300</v>
      </c>
      <c r="K103" s="42">
        <f>'Monthly D4 RIN Data'!$D116</f>
        <v>23483648</v>
      </c>
      <c r="L103" s="42">
        <f>'Monthly D4 RIN Data'!$D128</f>
        <v>27970027</v>
      </c>
      <c r="M103" s="42">
        <f>'Monthly D4 RIN Data'!$D140</f>
        <v>19989699</v>
      </c>
      <c r="N103" s="42">
        <f>'Monthly D4 RIN Data'!$D152</f>
        <v>17665002</v>
      </c>
      <c r="O103" s="42">
        <f>'Monthly D4 RIN Data'!$D164</f>
        <v>59129807</v>
      </c>
      <c r="P103" s="42">
        <f>'Monthly D4 RIN Data'!$D176</f>
        <v>53177161</v>
      </c>
      <c r="Q103" s="43">
        <f>'D4 Gallon Forecast'!Q105*AVERAGE('D4 RIN Forecast'!BD$6:BH$6)</f>
        <v>38748831.929972269</v>
      </c>
      <c r="R103" s="43">
        <f>'D4 Gallon Forecast'!R105*AVERAGE('D4 RIN Forecast'!BE$6:BI$6)</f>
        <v>21193891.913520634</v>
      </c>
      <c r="S103" s="43">
        <f>'D4 Gallon Forecast'!S105*AVERAGE('D4 RIN Forecast'!BF$6:BJ$6)</f>
        <v>22699282.413804911</v>
      </c>
      <c r="T103" s="43">
        <f>'D4 Gallon Forecast'!T105*AVERAGE('D4 RIN Forecast'!BG$6:BK$6)</f>
        <v>26264025.592944939</v>
      </c>
      <c r="U103" s="43">
        <f>'D4 Gallon Forecast'!U105*AVERAGE('D4 RIN Forecast'!BH$6:BL$6)</f>
        <v>26451740.516200915</v>
      </c>
      <c r="V103" s="43">
        <f>'D4 Gallon Forecast'!V105*AVERAGE('D4 RIN Forecast'!BI$6:BM$6)</f>
        <v>26608792.49619158</v>
      </c>
      <c r="W103" s="43">
        <f>'D4 Gallon Forecast'!W105*AVERAGE('D4 RIN Forecast'!BJ$6:BN$6)</f>
        <v>24411060.315324042</v>
      </c>
      <c r="X103" s="43">
        <f>'D4 Gallon Forecast'!X105*AVERAGE('D4 RIN Forecast'!BK$6:BO$6)</f>
        <v>22243177.064331111</v>
      </c>
      <c r="Y103" s="43">
        <f>'D4 Gallon Forecast'!Y105*AVERAGE('D4 RIN Forecast'!BL$6:BP$6)</f>
        <v>21192694.64566543</v>
      </c>
      <c r="Z103" s="43">
        <f>'D4 Gallon Forecast'!Z105*AVERAGE('D4 RIN Forecast'!BM$6:BQ$6)</f>
        <v>20542530.449698091</v>
      </c>
      <c r="AA103" s="43">
        <f>'D4 Gallon Forecast'!AA105*AVERAGE('D4 RIN Forecast'!BN$6:BR$6)</f>
        <v>18679919.570343986</v>
      </c>
      <c r="AB103" s="43">
        <f>'D4 Gallon Forecast'!AB105*AVERAGE('D4 RIN Forecast'!BO$6:BS$6)</f>
        <v>15212043.353875458</v>
      </c>
      <c r="AC103" s="43">
        <f>'D4 Gallon Forecast'!AC105*AVERAGE('D4 RIN Forecast'!BP$6:BT$6)</f>
        <v>12893101.990809554</v>
      </c>
      <c r="AD103" s="43">
        <f>'D4 Gallon Forecast'!AD105*AVERAGE('D4 RIN Forecast'!BQ$6:BU$6)</f>
        <v>10552087.549382137</v>
      </c>
      <c r="AE103" s="43">
        <f>'D4 Gallon Forecast'!AE105*AVERAGE('D4 RIN Forecast'!BR$6:BV$6)</f>
        <v>8783422.8813652862</v>
      </c>
      <c r="AF103" s="43">
        <f>'D4 Gallon Forecast'!AF105*AVERAGE('D4 RIN Forecast'!BS$6:BW$6)</f>
        <v>8777067.5217933264</v>
      </c>
      <c r="AG103" s="43">
        <f>'D4 Gallon Forecast'!AG105*AVERAGE('D4 RIN Forecast'!BT$6:BX$6)</f>
        <v>8784019.2669830769</v>
      </c>
      <c r="AH103" s="43">
        <f>'D4 Gallon Forecast'!AH105*AVERAGE('D4 RIN Forecast'!BU$6:BY$6)</f>
        <v>8786417.5087324027</v>
      </c>
      <c r="AI103" s="43">
        <f>'D4 Gallon Forecast'!AI105*AVERAGE('D4 RIN Forecast'!BV$6:BZ$6)</f>
        <v>8785195.1400613952</v>
      </c>
      <c r="AJ103" s="43">
        <f>'D4 Gallon Forecast'!AJ105*AVERAGE('D4 RIN Forecast'!BW$6:CA$6)</f>
        <v>8783224.4637875799</v>
      </c>
      <c r="AK103" s="43">
        <f>'D4 Gallon Forecast'!AK105*AVERAGE('D4 RIN Forecast'!BX$6:CB$6)</f>
        <v>8783184.7802720703</v>
      </c>
      <c r="AL103" s="43">
        <f>'D4 Gallon Forecast'!AL105*AVERAGE('D4 RIN Forecast'!BY$6:CC$6)</f>
        <v>8784408.2319673579</v>
      </c>
      <c r="AM103" s="43">
        <f>'D4 Gallon Forecast'!AM105*AVERAGE('D4 RIN Forecast'!BZ$6:CD$6)</f>
        <v>8784486.0249642432</v>
      </c>
      <c r="AN103" s="43">
        <f>'D4 Gallon Forecast'!AN105*AVERAGE('D4 RIN Forecast'!CA$6:CE$6)</f>
        <v>8784099.7282105274</v>
      </c>
      <c r="AO103" s="43">
        <f>'D4 Gallon Forecast'!AO105*AVERAGE('D4 RIN Forecast'!CB$6:CF$6)</f>
        <v>8783880.6458403785</v>
      </c>
      <c r="AP103" s="43">
        <f>'D4 Gallon Forecast'!AP105*AVERAGE('D4 RIN Forecast'!CC$6:CG$6)</f>
        <v>8784011.8822509162</v>
      </c>
      <c r="AQ103" s="43"/>
    </row>
    <row r="104" spans="1:43">
      <c r="A104" s="40" t="s">
        <v>48</v>
      </c>
      <c r="B104" s="42">
        <f>'Monthly D4 RIN Data'!$D9</f>
        <v>0</v>
      </c>
      <c r="C104" s="42">
        <f>'Monthly D4 RIN Data'!$D21</f>
        <v>5265168</v>
      </c>
      <c r="D104" s="42">
        <f>'Monthly D4 RIN Data'!$D33</f>
        <v>8816321</v>
      </c>
      <c r="E104" s="42">
        <f>'Monthly D4 RIN Data'!$D45</f>
        <v>22120788</v>
      </c>
      <c r="F104" s="42">
        <f>'Monthly D4 RIN Data'!$D57</f>
        <v>8308084</v>
      </c>
      <c r="G104" s="42">
        <f>'Monthly D4 RIN Data'!$D69</f>
        <v>24950696</v>
      </c>
      <c r="H104" s="42">
        <f>'Monthly D4 RIN Data'!$D81</f>
        <v>85190504</v>
      </c>
      <c r="I104" s="42">
        <f>'Monthly D4 RIN Data'!$D93</f>
        <v>125644344</v>
      </c>
      <c r="J104" s="42">
        <f>'Monthly D4 RIN Data'!$D105</f>
        <v>18351490</v>
      </c>
      <c r="K104" s="42">
        <f>'Monthly D4 RIN Data'!$D117</f>
        <v>29083738</v>
      </c>
      <c r="L104" s="42">
        <f>'Monthly D4 RIN Data'!$D129</f>
        <v>25123860</v>
      </c>
      <c r="M104" s="42">
        <f>'Monthly D4 RIN Data'!$D141</f>
        <v>26382669</v>
      </c>
      <c r="N104" s="42">
        <f>'Monthly D4 RIN Data'!$D153</f>
        <v>28972266</v>
      </c>
      <c r="O104" s="42">
        <f>'Monthly D4 RIN Data'!$D165</f>
        <v>61769873</v>
      </c>
      <c r="P104" s="42">
        <f>'Monthly D4 RIN Data'!$D177</f>
        <v>56270405</v>
      </c>
      <c r="Q104" s="43">
        <f>'D4 Gallon Forecast'!Q106*AVERAGE('D4 RIN Forecast'!BD$6:BH$6)</f>
        <v>43232212.281617209</v>
      </c>
      <c r="R104" s="43">
        <f>'D4 Gallon Forecast'!R106*AVERAGE('D4 RIN Forecast'!BE$6:BI$6)</f>
        <v>24329214.248910531</v>
      </c>
      <c r="S104" s="43">
        <f>'D4 Gallon Forecast'!S106*AVERAGE('D4 RIN Forecast'!BF$6:BJ$6)</f>
        <v>25646647.329558868</v>
      </c>
      <c r="T104" s="43">
        <f>'D4 Gallon Forecast'!T106*AVERAGE('D4 RIN Forecast'!BG$6:BK$6)</f>
        <v>28459918.287026804</v>
      </c>
      <c r="U104" s="43">
        <f>'D4 Gallon Forecast'!U106*AVERAGE('D4 RIN Forecast'!BH$6:BL$6)</f>
        <v>29039287.105974533</v>
      </c>
      <c r="V104" s="43">
        <f>'D4 Gallon Forecast'!V106*AVERAGE('D4 RIN Forecast'!BI$6:BM$6)</f>
        <v>29626216.873009242</v>
      </c>
      <c r="W104" s="43">
        <f>'D4 Gallon Forecast'!W106*AVERAGE('D4 RIN Forecast'!BJ$6:BN$6)</f>
        <v>27161575.110813357</v>
      </c>
      <c r="X104" s="43">
        <f>'D4 Gallon Forecast'!X106*AVERAGE('D4 RIN Forecast'!BK$6:BO$6)</f>
        <v>24617955.987960547</v>
      </c>
      <c r="Y104" s="43">
        <f>'D4 Gallon Forecast'!Y106*AVERAGE('D4 RIN Forecast'!BL$6:BP$6)</f>
        <v>23367188.405487377</v>
      </c>
      <c r="Z104" s="43">
        <f>'D4 Gallon Forecast'!Z106*AVERAGE('D4 RIN Forecast'!BM$6:BQ$6)</f>
        <v>22735086.493397888</v>
      </c>
      <c r="AA104" s="43">
        <f>'D4 Gallon Forecast'!AA106*AVERAGE('D4 RIN Forecast'!BN$6:BR$6)</f>
        <v>20711963.084217642</v>
      </c>
      <c r="AB104" s="43">
        <f>'D4 Gallon Forecast'!AB106*AVERAGE('D4 RIN Forecast'!BO$6:BS$6)</f>
        <v>16849387.960416786</v>
      </c>
      <c r="AC104" s="43">
        <f>'D4 Gallon Forecast'!AC106*AVERAGE('D4 RIN Forecast'!BP$6:BT$6)</f>
        <v>14264639.53993869</v>
      </c>
      <c r="AD104" s="43">
        <f>'D4 Gallon Forecast'!AD106*AVERAGE('D4 RIN Forecast'!BQ$6:BU$6)</f>
        <v>11673568.069134889</v>
      </c>
      <c r="AE104" s="43">
        <f>'D4 Gallon Forecast'!AE106*AVERAGE('D4 RIN Forecast'!BR$6:BV$6)</f>
        <v>9725711.8546068575</v>
      </c>
      <c r="AF104" s="43">
        <f>'D4 Gallon Forecast'!AF106*AVERAGE('D4 RIN Forecast'!BS$6:BW$6)</f>
        <v>9720168.6493358668</v>
      </c>
      <c r="AG104" s="43">
        <f>'D4 Gallon Forecast'!AG106*AVERAGE('D4 RIN Forecast'!BT$6:BX$6)</f>
        <v>9723980.6384568159</v>
      </c>
      <c r="AH104" s="43">
        <f>'D4 Gallon Forecast'!AH106*AVERAGE('D4 RIN Forecast'!BU$6:BY$6)</f>
        <v>9724953.3102172688</v>
      </c>
      <c r="AI104" s="43">
        <f>'D4 Gallon Forecast'!AI106*AVERAGE('D4 RIN Forecast'!BV$6:BZ$6)</f>
        <v>9724688.9465035293</v>
      </c>
      <c r="AJ104" s="43">
        <f>'D4 Gallon Forecast'!AJ106*AVERAGE('D4 RIN Forecast'!BW$6:CA$6)</f>
        <v>9723900.6798240375</v>
      </c>
      <c r="AK104" s="43">
        <f>'D4 Gallon Forecast'!AK106*AVERAGE('D4 RIN Forecast'!BX$6:CB$6)</f>
        <v>9723538.4448677618</v>
      </c>
      <c r="AL104" s="43">
        <f>'D4 Gallon Forecast'!AL106*AVERAGE('D4 RIN Forecast'!BY$6:CC$6)</f>
        <v>9724212.4039738867</v>
      </c>
      <c r="AM104" s="43">
        <f>'D4 Gallon Forecast'!AM106*AVERAGE('D4 RIN Forecast'!BZ$6:CD$6)</f>
        <v>9724258.7570773195</v>
      </c>
      <c r="AN104" s="43">
        <f>'D4 Gallon Forecast'!AN106*AVERAGE('D4 RIN Forecast'!CA$6:CE$6)</f>
        <v>9724119.8464492969</v>
      </c>
      <c r="AO104" s="43">
        <f>'D4 Gallon Forecast'!AO106*AVERAGE('D4 RIN Forecast'!CB$6:CF$6)</f>
        <v>9724006.0264384635</v>
      </c>
      <c r="AP104" s="43">
        <f>'D4 Gallon Forecast'!AP106*AVERAGE('D4 RIN Forecast'!CC$6:CG$6)</f>
        <v>9724027.0957613438</v>
      </c>
      <c r="AQ104" s="43"/>
    </row>
    <row r="105" spans="1:43">
      <c r="A105" s="40" t="s">
        <v>49</v>
      </c>
      <c r="B105" s="42">
        <f>'Monthly D4 RIN Data'!$D10</f>
        <v>2066116</v>
      </c>
      <c r="C105" s="42">
        <f>'Monthly D4 RIN Data'!$D22</f>
        <v>3781710</v>
      </c>
      <c r="D105" s="42">
        <f>'Monthly D4 RIN Data'!$D34</f>
        <v>3975750</v>
      </c>
      <c r="E105" s="42">
        <f>'Monthly D4 RIN Data'!$D46</f>
        <v>9780099</v>
      </c>
      <c r="F105" s="42">
        <f>'Monthly D4 RIN Data'!$D58</f>
        <v>25232023</v>
      </c>
      <c r="G105" s="42">
        <f>'Monthly D4 RIN Data'!$D70</f>
        <v>55588656</v>
      </c>
      <c r="H105" s="42">
        <f>'Monthly D4 RIN Data'!$D82</f>
        <v>39992865</v>
      </c>
      <c r="I105" s="42">
        <f>'Monthly D4 RIN Data'!$D94</f>
        <v>81946351</v>
      </c>
      <c r="J105" s="42">
        <f>'Monthly D4 RIN Data'!$D106</f>
        <v>7967029</v>
      </c>
      <c r="K105" s="42">
        <f>'Monthly D4 RIN Data'!$D118</f>
        <v>24489664</v>
      </c>
      <c r="L105" s="42">
        <f>'Monthly D4 RIN Data'!$D130</f>
        <v>29992721</v>
      </c>
      <c r="M105" s="42">
        <f>'Monthly D4 RIN Data'!$D142</f>
        <v>23073558</v>
      </c>
      <c r="N105" s="42">
        <f>'Monthly D4 RIN Data'!$D154</f>
        <v>13073576</v>
      </c>
      <c r="O105" s="42">
        <f>'Monthly D4 RIN Data'!$D166</f>
        <v>45478933</v>
      </c>
      <c r="P105" s="42">
        <f>'Monthly D4 RIN Data'!$D178</f>
        <v>33689886</v>
      </c>
      <c r="Q105" s="43">
        <f>'D4 Gallon Forecast'!Q107*AVERAGE('D4 RIN Forecast'!BD$6:BH$6)</f>
        <v>35394377.544815168</v>
      </c>
      <c r="R105" s="43">
        <f>'D4 Gallon Forecast'!R107*AVERAGE('D4 RIN Forecast'!BE$6:BI$6)</f>
        <v>16926122.792776603</v>
      </c>
      <c r="S105" s="43">
        <f>'D4 Gallon Forecast'!S107*AVERAGE('D4 RIN Forecast'!BF$6:BJ$6)</f>
        <v>17278667.220596656</v>
      </c>
      <c r="T105" s="43">
        <f>'D4 Gallon Forecast'!T107*AVERAGE('D4 RIN Forecast'!BG$6:BK$6)</f>
        <v>20042398.365230959</v>
      </c>
      <c r="U105" s="43">
        <f>'D4 Gallon Forecast'!U107*AVERAGE('D4 RIN Forecast'!BH$6:BL$6)</f>
        <v>20127508.412624523</v>
      </c>
      <c r="V105" s="43">
        <f>'D4 Gallon Forecast'!V107*AVERAGE('D4 RIN Forecast'!BI$6:BM$6)</f>
        <v>21578535.530829415</v>
      </c>
      <c r="W105" s="43">
        <f>'D4 Gallon Forecast'!W107*AVERAGE('D4 RIN Forecast'!BJ$6:BN$6)</f>
        <v>19009602.627101649</v>
      </c>
      <c r="X105" s="43">
        <f>'D4 Gallon Forecast'!X107*AVERAGE('D4 RIN Forecast'!BK$6:BO$6)</f>
        <v>17247199.333723266</v>
      </c>
      <c r="Y105" s="43">
        <f>'D4 Gallon Forecast'!Y107*AVERAGE('D4 RIN Forecast'!BL$6:BP$6)</f>
        <v>16486863.510268986</v>
      </c>
      <c r="Z105" s="43">
        <f>'D4 Gallon Forecast'!Z107*AVERAGE('D4 RIN Forecast'!BM$6:BQ$6)</f>
        <v>16047280.707421837</v>
      </c>
      <c r="AA105" s="43">
        <f>'D4 Gallon Forecast'!AA107*AVERAGE('D4 RIN Forecast'!BN$6:BR$6)</f>
        <v>14679306.654984513</v>
      </c>
      <c r="AB105" s="43">
        <f>'D4 Gallon Forecast'!AB107*AVERAGE('D4 RIN Forecast'!BO$6:BS$6)</f>
        <v>11859161.606990416</v>
      </c>
      <c r="AC105" s="43">
        <f>'D4 Gallon Forecast'!AC107*AVERAGE('D4 RIN Forecast'!BP$6:BT$6)</f>
        <v>10054106.948140725</v>
      </c>
      <c r="AD105" s="43">
        <f>'D4 Gallon Forecast'!AD107*AVERAGE('D4 RIN Forecast'!BQ$6:BU$6)</f>
        <v>8240271.1888016639</v>
      </c>
      <c r="AE105" s="43">
        <f>'D4 Gallon Forecast'!AE107*AVERAGE('D4 RIN Forecast'!BR$6:BV$6)</f>
        <v>6866179.7459154343</v>
      </c>
      <c r="AF105" s="43">
        <f>'D4 Gallon Forecast'!AF107*AVERAGE('D4 RIN Forecast'!BS$6:BW$6)</f>
        <v>6862702.5839968808</v>
      </c>
      <c r="AG105" s="43">
        <f>'D4 Gallon Forecast'!AG107*AVERAGE('D4 RIN Forecast'!BT$6:BX$6)</f>
        <v>6856628.4504287494</v>
      </c>
      <c r="AH105" s="43">
        <f>'D4 Gallon Forecast'!AH107*AVERAGE('D4 RIN Forecast'!BU$6:BY$6)</f>
        <v>6861156.8685515737</v>
      </c>
      <c r="AI105" s="43">
        <f>'D4 Gallon Forecast'!AI107*AVERAGE('D4 RIN Forecast'!BV$6:BZ$6)</f>
        <v>6862872.853410678</v>
      </c>
      <c r="AJ105" s="43">
        <f>'D4 Gallon Forecast'!AJ107*AVERAGE('D4 RIN Forecast'!BW$6:CA$6)</f>
        <v>6861908.1004594611</v>
      </c>
      <c r="AK105" s="43">
        <f>'D4 Gallon Forecast'!AK107*AVERAGE('D4 RIN Forecast'!BX$6:CB$6)</f>
        <v>6861053.7713689497</v>
      </c>
      <c r="AL105" s="43">
        <f>'D4 Gallon Forecast'!AL107*AVERAGE('D4 RIN Forecast'!BY$6:CC$6)</f>
        <v>6860724.0088434881</v>
      </c>
      <c r="AM105" s="43">
        <f>'D4 Gallon Forecast'!AM107*AVERAGE('D4 RIN Forecast'!BZ$6:CD$6)</f>
        <v>6861543.1205267636</v>
      </c>
      <c r="AN105" s="43">
        <f>'D4 Gallon Forecast'!AN107*AVERAGE('D4 RIN Forecast'!CA$6:CE$6)</f>
        <v>6861620.3709218176</v>
      </c>
      <c r="AO105" s="43">
        <f>'D4 Gallon Forecast'!AO107*AVERAGE('D4 RIN Forecast'!CB$6:CF$6)</f>
        <v>6861369.8744240692</v>
      </c>
      <c r="AP105" s="43">
        <f>'D4 Gallon Forecast'!AP107*AVERAGE('D4 RIN Forecast'!CC$6:CG$6)</f>
        <v>6861262.2292170068</v>
      </c>
      <c r="AQ105" s="43"/>
    </row>
    <row r="106" spans="1:43">
      <c r="A106" s="40" t="s">
        <v>50</v>
      </c>
      <c r="B106" s="42">
        <f>'Monthly D4 RIN Data'!$D11</f>
        <v>3473253</v>
      </c>
      <c r="C106" s="42">
        <f>'Monthly D4 RIN Data'!$D23</f>
        <v>3875787</v>
      </c>
      <c r="D106" s="42">
        <f>'Monthly D4 RIN Data'!$D35</f>
        <v>5099150</v>
      </c>
      <c r="E106" s="42">
        <f>'Monthly D4 RIN Data'!$D47</f>
        <v>21989918</v>
      </c>
      <c r="F106" s="42">
        <f>'Monthly D4 RIN Data'!$D59</f>
        <v>11722510</v>
      </c>
      <c r="G106" s="42">
        <f>'Monthly D4 RIN Data'!$D71</f>
        <v>46012184</v>
      </c>
      <c r="H106" s="42">
        <f>'Monthly D4 RIN Data'!$D83</f>
        <v>92186203</v>
      </c>
      <c r="I106" s="42">
        <f>'Monthly D4 RIN Data'!$D95</f>
        <v>78061682</v>
      </c>
      <c r="J106" s="42">
        <f>'Monthly D4 RIN Data'!$D107</f>
        <v>19531525</v>
      </c>
      <c r="K106" s="42">
        <f>'Monthly D4 RIN Data'!$D119</f>
        <v>13233270</v>
      </c>
      <c r="L106" s="42">
        <f>'Monthly D4 RIN Data'!$D131</f>
        <v>24527514</v>
      </c>
      <c r="M106" s="42">
        <f>'Monthly D4 RIN Data'!$D143</f>
        <v>16572249</v>
      </c>
      <c r="N106" s="42">
        <f>'Monthly D4 RIN Data'!$D155</f>
        <v>22905023</v>
      </c>
      <c r="O106" s="42">
        <f>'Monthly D4 RIN Data'!$D167</f>
        <v>66359954</v>
      </c>
      <c r="P106" s="42">
        <f>'Monthly D4 RIN Data'!$D179</f>
        <v>36745725</v>
      </c>
      <c r="Q106" s="43">
        <f>'D4 Gallon Forecast'!Q108*AVERAGE('D4 RIN Forecast'!BD$6:BH$6)</f>
        <v>37892233.127237923</v>
      </c>
      <c r="R106" s="43">
        <f>'D4 Gallon Forecast'!R108*AVERAGE('D4 RIN Forecast'!BE$6:BI$6)</f>
        <v>20268986.580528684</v>
      </c>
      <c r="S106" s="43">
        <f>'D4 Gallon Forecast'!S108*AVERAGE('D4 RIN Forecast'!BF$6:BJ$6)</f>
        <v>22012881.686598979</v>
      </c>
      <c r="T106" s="43">
        <f>'D4 Gallon Forecast'!T108*AVERAGE('D4 RIN Forecast'!BG$6:BK$6)</f>
        <v>24691919.473951969</v>
      </c>
      <c r="U106" s="43">
        <f>'D4 Gallon Forecast'!U108*AVERAGE('D4 RIN Forecast'!BH$6:BL$6)</f>
        <v>23110827.790054571</v>
      </c>
      <c r="V106" s="43">
        <f>'D4 Gallon Forecast'!V108*AVERAGE('D4 RIN Forecast'!BI$6:BM$6)</f>
        <v>25157841.659240067</v>
      </c>
      <c r="W106" s="43">
        <f>'D4 Gallon Forecast'!W108*AVERAGE('D4 RIN Forecast'!BJ$6:BN$6)</f>
        <v>22831052.857821003</v>
      </c>
      <c r="X106" s="43">
        <f>'D4 Gallon Forecast'!X108*AVERAGE('D4 RIN Forecast'!BK$6:BO$6)</f>
        <v>20724869.855177857</v>
      </c>
      <c r="Y106" s="43">
        <f>'D4 Gallon Forecast'!Y108*AVERAGE('D4 RIN Forecast'!BL$6:BP$6)</f>
        <v>19600908.49394701</v>
      </c>
      <c r="Z106" s="43">
        <f>'D4 Gallon Forecast'!Z108*AVERAGE('D4 RIN Forecast'!BM$6:BQ$6)</f>
        <v>18931517.082487948</v>
      </c>
      <c r="AA106" s="43">
        <f>'D4 Gallon Forecast'!AA108*AVERAGE('D4 RIN Forecast'!BN$6:BR$6)</f>
        <v>17420700.886050049</v>
      </c>
      <c r="AB106" s="43">
        <f>'D4 Gallon Forecast'!AB108*AVERAGE('D4 RIN Forecast'!BO$6:BS$6)</f>
        <v>14137897.700086867</v>
      </c>
      <c r="AC106" s="43">
        <f>'D4 Gallon Forecast'!AC108*AVERAGE('D4 RIN Forecast'!BP$6:BT$6)</f>
        <v>11963770.472950267</v>
      </c>
      <c r="AD106" s="43">
        <f>'D4 Gallon Forecast'!AD108*AVERAGE('D4 RIN Forecast'!BQ$6:BU$6)</f>
        <v>9781366.2465139031</v>
      </c>
      <c r="AE106" s="43">
        <f>'D4 Gallon Forecast'!AE108*AVERAGE('D4 RIN Forecast'!BR$6:BV$6)</f>
        <v>8146832.9726915993</v>
      </c>
      <c r="AF106" s="43">
        <f>'D4 Gallon Forecast'!AF108*AVERAGE('D4 RIN Forecast'!BS$6:BW$6)</f>
        <v>8157155.0793139888</v>
      </c>
      <c r="AG106" s="43">
        <f>'D4 Gallon Forecast'!AG108*AVERAGE('D4 RIN Forecast'!BT$6:BX$6)</f>
        <v>8154222.2628468992</v>
      </c>
      <c r="AH106" s="43">
        <f>'D4 Gallon Forecast'!AH108*AVERAGE('D4 RIN Forecast'!BU$6:BY$6)</f>
        <v>8153531.8305379171</v>
      </c>
      <c r="AI106" s="43">
        <f>'D4 Gallon Forecast'!AI108*AVERAGE('D4 RIN Forecast'!BV$6:BZ$6)</f>
        <v>8152520.8446085127</v>
      </c>
      <c r="AJ106" s="43">
        <f>'D4 Gallon Forecast'!AJ108*AVERAGE('D4 RIN Forecast'!BW$6:CA$6)</f>
        <v>8152852.5980006158</v>
      </c>
      <c r="AK106" s="43">
        <f>'D4 Gallon Forecast'!AK108*AVERAGE('D4 RIN Forecast'!BX$6:CB$6)</f>
        <v>8154056.5230614543</v>
      </c>
      <c r="AL106" s="43">
        <f>'D4 Gallon Forecast'!AL108*AVERAGE('D4 RIN Forecast'!BY$6:CC$6)</f>
        <v>8153436.8118111826</v>
      </c>
      <c r="AM106" s="43">
        <f>'D4 Gallon Forecast'!AM108*AVERAGE('D4 RIN Forecast'!BZ$6:CD$6)</f>
        <v>8153279.7216039784</v>
      </c>
      <c r="AN106" s="43">
        <f>'D4 Gallon Forecast'!AN108*AVERAGE('D4 RIN Forecast'!CA$6:CE$6)</f>
        <v>8153229.2998171784</v>
      </c>
      <c r="AO106" s="43">
        <f>'D4 Gallon Forecast'!AO108*AVERAGE('D4 RIN Forecast'!CB$6:CF$6)</f>
        <v>8153370.9908588966</v>
      </c>
      <c r="AP106" s="43">
        <f>'D4 Gallon Forecast'!AP108*AVERAGE('D4 RIN Forecast'!CC$6:CG$6)</f>
        <v>8153474.669430539</v>
      </c>
      <c r="AQ106" s="43"/>
    </row>
    <row r="107" spans="1:43">
      <c r="A107" s="40" t="s">
        <v>51</v>
      </c>
      <c r="B107" s="42">
        <f>'Monthly D4 RIN Data'!$D12</f>
        <v>1863617</v>
      </c>
      <c r="C107" s="42">
        <f>'Monthly D4 RIN Data'!$D24</f>
        <v>6967494</v>
      </c>
      <c r="D107" s="42">
        <f>'Monthly D4 RIN Data'!$D36</f>
        <v>6005520</v>
      </c>
      <c r="E107" s="42">
        <f>'Monthly D4 RIN Data'!$D48</f>
        <v>16024812</v>
      </c>
      <c r="F107" s="42">
        <f>'Monthly D4 RIN Data'!$D60</f>
        <v>18609923</v>
      </c>
      <c r="G107" s="42">
        <f>'Monthly D4 RIN Data'!$D72</f>
        <v>32757650</v>
      </c>
      <c r="H107" s="42">
        <f>'Monthly D4 RIN Data'!$D84</f>
        <v>109895015</v>
      </c>
      <c r="I107" s="42">
        <f>'Monthly D4 RIN Data'!$D96</f>
        <v>41846019</v>
      </c>
      <c r="J107" s="42">
        <f>'Monthly D4 RIN Data'!$D108</f>
        <v>17722046</v>
      </c>
      <c r="K107" s="42">
        <f>'Monthly D4 RIN Data'!$D120</f>
        <v>22288564</v>
      </c>
      <c r="L107" s="42">
        <f>'Monthly D4 RIN Data'!$D132</f>
        <v>21081377</v>
      </c>
      <c r="M107" s="42">
        <f>'Monthly D4 RIN Data'!$D144</f>
        <v>17688484</v>
      </c>
      <c r="N107" s="42">
        <f>'Monthly D4 RIN Data'!$D156</f>
        <v>28637120</v>
      </c>
      <c r="O107" s="42">
        <f>'Monthly D4 RIN Data'!$D168</f>
        <v>60696784</v>
      </c>
      <c r="P107" s="42">
        <f>'Monthly D4 RIN Data'!$D180</f>
        <v>39972140</v>
      </c>
      <c r="Q107" s="43">
        <f>'D4 Gallon Forecast'!Q109*AVERAGE('D4 RIN Forecast'!BD$6:BH$6)</f>
        <v>39602492.091570765</v>
      </c>
      <c r="R107" s="43">
        <f>'D4 Gallon Forecast'!R109*AVERAGE('D4 RIN Forecast'!BE$6:BI$6)</f>
        <v>20956526.574966036</v>
      </c>
      <c r="S107" s="43">
        <f>'D4 Gallon Forecast'!S109*AVERAGE('D4 RIN Forecast'!BF$6:BJ$6)</f>
        <v>22693348.905727588</v>
      </c>
      <c r="T107" s="43">
        <f>'D4 Gallon Forecast'!T109*AVERAGE('D4 RIN Forecast'!BG$6:BK$6)</f>
        <v>24778347.813391797</v>
      </c>
      <c r="U107" s="43">
        <f>'D4 Gallon Forecast'!U109*AVERAGE('D4 RIN Forecast'!BH$6:BL$6)</f>
        <v>24153848.643003345</v>
      </c>
      <c r="V107" s="43">
        <f>'D4 Gallon Forecast'!V109*AVERAGE('D4 RIN Forecast'!BI$6:BM$6)</f>
        <v>25984999.346812725</v>
      </c>
      <c r="W107" s="43">
        <f>'D4 Gallon Forecast'!W109*AVERAGE('D4 RIN Forecast'!BJ$6:BN$6)</f>
        <v>23489702.814458665</v>
      </c>
      <c r="X107" s="43">
        <f>'D4 Gallon Forecast'!X109*AVERAGE('D4 RIN Forecast'!BK$6:BO$6)</f>
        <v>21304673.156844154</v>
      </c>
      <c r="Y107" s="43">
        <f>'D4 Gallon Forecast'!Y109*AVERAGE('D4 RIN Forecast'!BL$6:BP$6)</f>
        <v>20138395.241684727</v>
      </c>
      <c r="Z107" s="43">
        <f>'D4 Gallon Forecast'!Z109*AVERAGE('D4 RIN Forecast'!BM$6:BQ$6)</f>
        <v>19551003.242414977</v>
      </c>
      <c r="AA107" s="43">
        <f>'D4 Gallon Forecast'!AA109*AVERAGE('D4 RIN Forecast'!BN$6:BR$6)</f>
        <v>17944166.282514535</v>
      </c>
      <c r="AB107" s="43">
        <f>'D4 Gallon Forecast'!AB109*AVERAGE('D4 RIN Forecast'!BO$6:BS$6)</f>
        <v>14552603.605122859</v>
      </c>
      <c r="AC107" s="43">
        <f>'D4 Gallon Forecast'!AC109*AVERAGE('D4 RIN Forecast'!BP$6:BT$6)</f>
        <v>12316158.767801523</v>
      </c>
      <c r="AD107" s="43">
        <f>'D4 Gallon Forecast'!AD109*AVERAGE('D4 RIN Forecast'!BQ$6:BU$6)</f>
        <v>10073125.087965325</v>
      </c>
      <c r="AE107" s="43">
        <f>'D4 Gallon Forecast'!AE109*AVERAGE('D4 RIN Forecast'!BR$6:BV$6)</f>
        <v>8395156.7993822377</v>
      </c>
      <c r="AF107" s="43">
        <f>'D4 Gallon Forecast'!AF109*AVERAGE('D4 RIN Forecast'!BS$6:BW$6)</f>
        <v>8400160.6895840727</v>
      </c>
      <c r="AG107" s="43">
        <f>'D4 Gallon Forecast'!AG109*AVERAGE('D4 RIN Forecast'!BT$6:BX$6)</f>
        <v>8396438.2751278244</v>
      </c>
      <c r="AH107" s="43">
        <f>'D4 Gallon Forecast'!AH109*AVERAGE('D4 RIN Forecast'!BU$6:BY$6)</f>
        <v>8396654.0515426025</v>
      </c>
      <c r="AI107" s="43">
        <f>'D4 Gallon Forecast'!AI109*AVERAGE('D4 RIN Forecast'!BV$6:BZ$6)</f>
        <v>8396449.0199345648</v>
      </c>
      <c r="AJ107" s="43">
        <f>'D4 Gallon Forecast'!AJ109*AVERAGE('D4 RIN Forecast'!BW$6:CA$6)</f>
        <v>8396971.7671143096</v>
      </c>
      <c r="AK107" s="43">
        <f>'D4 Gallon Forecast'!AK109*AVERAGE('D4 RIN Forecast'!BX$6:CB$6)</f>
        <v>8397334.7606604323</v>
      </c>
      <c r="AL107" s="43">
        <f>'D4 Gallon Forecast'!AL109*AVERAGE('D4 RIN Forecast'!BY$6:CC$6)</f>
        <v>8396769.5748759173</v>
      </c>
      <c r="AM107" s="43">
        <f>'D4 Gallon Forecast'!AM109*AVERAGE('D4 RIN Forecast'!BZ$6:CD$6)</f>
        <v>8396835.8348255642</v>
      </c>
      <c r="AN107" s="43">
        <f>'D4 Gallon Forecast'!AN109*AVERAGE('D4 RIN Forecast'!CA$6:CE$6)</f>
        <v>8396872.1914821621</v>
      </c>
      <c r="AO107" s="43">
        <f>'D4 Gallon Forecast'!AO109*AVERAGE('D4 RIN Forecast'!CB$6:CF$6)</f>
        <v>8396956.8257916756</v>
      </c>
      <c r="AP107" s="43">
        <f>'D4 Gallon Forecast'!AP109*AVERAGE('D4 RIN Forecast'!CC$6:CG$6)</f>
        <v>8396953.8375271484</v>
      </c>
      <c r="AQ107" s="43"/>
    </row>
    <row r="108" spans="1:43">
      <c r="A108" s="40" t="s">
        <v>52</v>
      </c>
      <c r="B108" s="42">
        <f>'Monthly D4 RIN Data'!$D13</f>
        <v>5398629</v>
      </c>
      <c r="C108" s="42">
        <f>'Monthly D4 RIN Data'!$D25</f>
        <v>6830065</v>
      </c>
      <c r="D108" s="42">
        <f>'Monthly D4 RIN Data'!$D37</f>
        <v>2720250</v>
      </c>
      <c r="E108" s="42">
        <f>'Monthly D4 RIN Data'!$D49</f>
        <v>25833487</v>
      </c>
      <c r="F108" s="42">
        <f>'Monthly D4 RIN Data'!$D61</f>
        <v>22877792</v>
      </c>
      <c r="G108" s="42">
        <f>'Monthly D4 RIN Data'!$D73</f>
        <v>62692437</v>
      </c>
      <c r="H108" s="42">
        <f>'Monthly D4 RIN Data'!$D85</f>
        <v>75803796</v>
      </c>
      <c r="I108" s="42">
        <f>'Monthly D4 RIN Data'!$D97</f>
        <v>55028566</v>
      </c>
      <c r="J108" s="42">
        <f>'Monthly D4 RIN Data'!$D109</f>
        <v>30482177</v>
      </c>
      <c r="K108" s="42">
        <f>'Monthly D4 RIN Data'!$D121</f>
        <v>20672201</v>
      </c>
      <c r="L108" s="42">
        <f>'Monthly D4 RIN Data'!$D133</f>
        <v>22923796</v>
      </c>
      <c r="M108" s="42">
        <f>'Monthly D4 RIN Data'!$D145</f>
        <v>26832257</v>
      </c>
      <c r="N108" s="42">
        <f>'Monthly D4 RIN Data'!$D157</f>
        <v>25996486</v>
      </c>
      <c r="O108" s="42">
        <f>'Monthly D4 RIN Data'!$D169</f>
        <v>85566073</v>
      </c>
      <c r="P108" s="42">
        <f>'Monthly D4 RIN Data'!$D181</f>
        <v>39995739</v>
      </c>
      <c r="Q108" s="43">
        <f>'D4 Gallon Forecast'!Q110*AVERAGE('D4 RIN Forecast'!BD$6:BH$6)</f>
        <v>42340948.348817237</v>
      </c>
      <c r="R108" s="43">
        <f>'D4 Gallon Forecast'!R110*AVERAGE('D4 RIN Forecast'!BE$6:BI$6)</f>
        <v>24790137.799166642</v>
      </c>
      <c r="S108" s="43">
        <f>'D4 Gallon Forecast'!S110*AVERAGE('D4 RIN Forecast'!BF$6:BJ$6)</f>
        <v>26138533.436113797</v>
      </c>
      <c r="T108" s="43">
        <f>'D4 Gallon Forecast'!T110*AVERAGE('D4 RIN Forecast'!BG$6:BK$6)</f>
        <v>29481532.219470866</v>
      </c>
      <c r="U108" s="43">
        <f>'D4 Gallon Forecast'!U110*AVERAGE('D4 RIN Forecast'!BH$6:BL$6)</f>
        <v>26560052.425067522</v>
      </c>
      <c r="V108" s="43">
        <f>'D4 Gallon Forecast'!V110*AVERAGE('D4 RIN Forecast'!BI$6:BM$6)</f>
        <v>29351774.804279722</v>
      </c>
      <c r="W108" s="43">
        <f>'D4 Gallon Forecast'!W110*AVERAGE('D4 RIN Forecast'!BJ$6:BN$6)</f>
        <v>27007194.776713584</v>
      </c>
      <c r="X108" s="43">
        <f>'D4 Gallon Forecast'!X110*AVERAGE('D4 RIN Forecast'!BK$6:BO$6)</f>
        <v>24372617.263408344</v>
      </c>
      <c r="Y108" s="43">
        <f>'D4 Gallon Forecast'!Y110*AVERAGE('D4 RIN Forecast'!BL$6:BP$6)</f>
        <v>23008570.902188547</v>
      </c>
      <c r="Z108" s="43">
        <f>'D4 Gallon Forecast'!Z110*AVERAGE('D4 RIN Forecast'!BM$6:BQ$6)</f>
        <v>22138385.20143706</v>
      </c>
      <c r="AA108" s="43">
        <f>'D4 Gallon Forecast'!AA110*AVERAGE('D4 RIN Forecast'!BN$6:BR$6)</f>
        <v>20447275.990200501</v>
      </c>
      <c r="AB108" s="43">
        <f>'D4 Gallon Forecast'!AB110*AVERAGE('D4 RIN Forecast'!BO$6:BS$6)</f>
        <v>16619263.104628464</v>
      </c>
      <c r="AC108" s="43">
        <f>'D4 Gallon Forecast'!AC110*AVERAGE('D4 RIN Forecast'!BP$6:BT$6)</f>
        <v>14041284.280684423</v>
      </c>
      <c r="AD108" s="43">
        <f>'D4 Gallon Forecast'!AD110*AVERAGE('D4 RIN Forecast'!BQ$6:BU$6)</f>
        <v>11474079.671368638</v>
      </c>
      <c r="AE108" s="43">
        <f>'D4 Gallon Forecast'!AE110*AVERAGE('D4 RIN Forecast'!BR$6:BV$6)</f>
        <v>9554919.7232812457</v>
      </c>
      <c r="AF108" s="43">
        <f>'D4 Gallon Forecast'!AF110*AVERAGE('D4 RIN Forecast'!BS$6:BW$6)</f>
        <v>9575684.4363220911</v>
      </c>
      <c r="AG108" s="43">
        <f>'D4 Gallon Forecast'!AG110*AVERAGE('D4 RIN Forecast'!BT$6:BX$6)</f>
        <v>9572692.3795058895</v>
      </c>
      <c r="AH108" s="43">
        <f>'D4 Gallon Forecast'!AH110*AVERAGE('D4 RIN Forecast'!BU$6:BY$6)</f>
        <v>9567998.9113244973</v>
      </c>
      <c r="AI108" s="43">
        <f>'D4 Gallon Forecast'!AI110*AVERAGE('D4 RIN Forecast'!BV$6:BZ$6)</f>
        <v>9566418.2926687486</v>
      </c>
      <c r="AJ108" s="43">
        <f>'D4 Gallon Forecast'!AJ110*AVERAGE('D4 RIN Forecast'!BW$6:CA$6)</f>
        <v>9567542.7486224528</v>
      </c>
      <c r="AK108" s="43">
        <f>'D4 Gallon Forecast'!AK110*AVERAGE('D4 RIN Forecast'!BX$6:CB$6)</f>
        <v>9570067.3536886722</v>
      </c>
      <c r="AL108" s="43">
        <f>'D4 Gallon Forecast'!AL110*AVERAGE('D4 RIN Forecast'!BY$6:CC$6)</f>
        <v>9568943.9371624123</v>
      </c>
      <c r="AM108" s="43">
        <f>'D4 Gallon Forecast'!AM110*AVERAGE('D4 RIN Forecast'!BZ$6:CD$6)</f>
        <v>9568194.2486934215</v>
      </c>
      <c r="AN108" s="43">
        <f>'D4 Gallon Forecast'!AN110*AVERAGE('D4 RIN Forecast'!CA$6:CE$6)</f>
        <v>9568233.3161672112</v>
      </c>
      <c r="AO108" s="43">
        <f>'D4 Gallon Forecast'!AO110*AVERAGE('D4 RIN Forecast'!CB$6:CF$6)</f>
        <v>9568596.3208668679</v>
      </c>
      <c r="AP108" s="43">
        <f>'D4 Gallon Forecast'!AP110*AVERAGE('D4 RIN Forecast'!CC$6:CG$6)</f>
        <v>9568807.0353157204</v>
      </c>
      <c r="AQ108" s="43"/>
    </row>
    <row r="109" spans="1:43">
      <c r="A109" s="40" t="s">
        <v>53</v>
      </c>
      <c r="B109" s="42">
        <f>'Monthly D4 RIN Data'!$D14</f>
        <v>2985941</v>
      </c>
      <c r="C109" s="42">
        <f>'Monthly D4 RIN Data'!$D26</f>
        <v>4792044</v>
      </c>
      <c r="D109" s="42">
        <f>'Monthly D4 RIN Data'!$D38</f>
        <v>1214528</v>
      </c>
      <c r="E109" s="42">
        <f>'Monthly D4 RIN Data'!$D50</f>
        <v>42162085</v>
      </c>
      <c r="F109" s="42">
        <f>'Monthly D4 RIN Data'!$D62</f>
        <v>38943996</v>
      </c>
      <c r="G109" s="42">
        <f>'Monthly D4 RIN Data'!$D74</f>
        <v>39628797</v>
      </c>
      <c r="H109" s="42">
        <f>'Monthly D4 RIN Data'!$D86</f>
        <v>98596322</v>
      </c>
      <c r="I109" s="42">
        <f>'Monthly D4 RIN Data'!$D98</f>
        <v>36573401</v>
      </c>
      <c r="J109" s="42">
        <f>'Monthly D4 RIN Data'!$D110</f>
        <v>19380565</v>
      </c>
      <c r="K109" s="42">
        <f>'Monthly D4 RIN Data'!$D122</f>
        <v>22853460</v>
      </c>
      <c r="L109" s="42">
        <f>'Monthly D4 RIN Data'!$D134</f>
        <v>32916784</v>
      </c>
      <c r="M109" s="42">
        <f>'Monthly D4 RIN Data'!$D146</f>
        <v>32223920</v>
      </c>
      <c r="N109" s="42">
        <f>'Monthly D4 RIN Data'!$D158</f>
        <v>50726138</v>
      </c>
      <c r="O109" s="42">
        <f>'Monthly D4 RIN Data'!$D170</f>
        <v>63812258</v>
      </c>
      <c r="P109" s="42">
        <f>'Monthly D4 RIN Data'!$D182</f>
        <v>34463595</v>
      </c>
      <c r="Q109" s="43">
        <f>'D4 Gallon Forecast'!Q111*AVERAGE('D4 RIN Forecast'!BD$6:BH$6)</f>
        <v>43634623.818427533</v>
      </c>
      <c r="R109" s="43">
        <f>'D4 Gallon Forecast'!R111*AVERAGE('D4 RIN Forecast'!BE$6:BI$6)</f>
        <v>25253866.019488603</v>
      </c>
      <c r="S109" s="43">
        <f>'D4 Gallon Forecast'!S111*AVERAGE('D4 RIN Forecast'!BF$6:BJ$6)</f>
        <v>26043047.058696184</v>
      </c>
      <c r="T109" s="43">
        <f>'D4 Gallon Forecast'!T111*AVERAGE('D4 RIN Forecast'!BG$6:BK$6)</f>
        <v>26029393.576836217</v>
      </c>
      <c r="U109" s="43">
        <f>'D4 Gallon Forecast'!U111*AVERAGE('D4 RIN Forecast'!BH$6:BL$6)</f>
        <v>25365052.141389836</v>
      </c>
      <c r="V109" s="43">
        <f>'D4 Gallon Forecast'!V111*AVERAGE('D4 RIN Forecast'!BI$6:BM$6)</f>
        <v>28764936.273515925</v>
      </c>
      <c r="W109" s="43">
        <f>'D4 Gallon Forecast'!W111*AVERAGE('D4 RIN Forecast'!BJ$6:BN$6)</f>
        <v>26043228.260081582</v>
      </c>
      <c r="X109" s="43">
        <f>'D4 Gallon Forecast'!X111*AVERAGE('D4 RIN Forecast'!BK$6:BO$6)</f>
        <v>23265439.693491708</v>
      </c>
      <c r="Y109" s="43">
        <f>'D4 Gallon Forecast'!Y111*AVERAGE('D4 RIN Forecast'!BL$6:BP$6)</f>
        <v>21779671.934769507</v>
      </c>
      <c r="Z109" s="43">
        <f>'D4 Gallon Forecast'!Z111*AVERAGE('D4 RIN Forecast'!BM$6:BQ$6)</f>
        <v>21274958.667880617</v>
      </c>
      <c r="AA109" s="43">
        <f>'D4 Gallon Forecast'!AA111*AVERAGE('D4 RIN Forecast'!BN$6:BR$6)</f>
        <v>19675652.334190622</v>
      </c>
      <c r="AB109" s="43">
        <f>'D4 Gallon Forecast'!AB111*AVERAGE('D4 RIN Forecast'!BO$6:BS$6)</f>
        <v>15918102.315454008</v>
      </c>
      <c r="AC109" s="43">
        <f>'D4 Gallon Forecast'!AC111*AVERAGE('D4 RIN Forecast'!BP$6:BT$6)</f>
        <v>13425773.349977143</v>
      </c>
      <c r="AD109" s="43">
        <f>'D4 Gallon Forecast'!AD111*AVERAGE('D4 RIN Forecast'!BQ$6:BU$6)</f>
        <v>10975727.5137494</v>
      </c>
      <c r="AE109" s="43">
        <f>'D4 Gallon Forecast'!AE111*AVERAGE('D4 RIN Forecast'!BR$6:BV$6)</f>
        <v>9165813.6256008595</v>
      </c>
      <c r="AF109" s="43">
        <f>'D4 Gallon Forecast'!AF111*AVERAGE('D4 RIN Forecast'!BS$6:BW$6)</f>
        <v>9180672.8924008217</v>
      </c>
      <c r="AG109" s="43">
        <f>'D4 Gallon Forecast'!AG111*AVERAGE('D4 RIN Forecast'!BT$6:BX$6)</f>
        <v>9166576.5170560721</v>
      </c>
      <c r="AH109" s="43">
        <f>'D4 Gallon Forecast'!AH111*AVERAGE('D4 RIN Forecast'!BU$6:BY$6)</f>
        <v>9161393.6302605346</v>
      </c>
      <c r="AI109" s="43">
        <f>'D4 Gallon Forecast'!AI111*AVERAGE('D4 RIN Forecast'!BV$6:BZ$6)</f>
        <v>9163496.9575242195</v>
      </c>
      <c r="AJ109" s="43">
        <f>'D4 Gallon Forecast'!AJ111*AVERAGE('D4 RIN Forecast'!BW$6:CA$6)</f>
        <v>9167590.7245677616</v>
      </c>
      <c r="AK109" s="43">
        <f>'D4 Gallon Forecast'!AK111*AVERAGE('D4 RIN Forecast'!BX$6:CB$6)</f>
        <v>9167946.1443608571</v>
      </c>
      <c r="AL109" s="43">
        <f>'D4 Gallon Forecast'!AL111*AVERAGE('D4 RIN Forecast'!BY$6:CC$6)</f>
        <v>9165400.7947538253</v>
      </c>
      <c r="AM109" s="43">
        <f>'D4 Gallon Forecast'!AM111*AVERAGE('D4 RIN Forecast'!BZ$6:CD$6)</f>
        <v>9165165.6502932832</v>
      </c>
      <c r="AN109" s="43">
        <f>'D4 Gallon Forecast'!AN111*AVERAGE('D4 RIN Forecast'!CA$6:CE$6)</f>
        <v>9165920.0542999972</v>
      </c>
      <c r="AO109" s="43">
        <f>'D4 Gallon Forecast'!AO111*AVERAGE('D4 RIN Forecast'!CB$6:CF$6)</f>
        <v>9166404.6736551039</v>
      </c>
      <c r="AP109" s="43">
        <f>'D4 Gallon Forecast'!AP111*AVERAGE('D4 RIN Forecast'!CC$6:CG$6)</f>
        <v>9166167.4634726029</v>
      </c>
      <c r="AQ109" s="43"/>
    </row>
    <row r="110" spans="1:43">
      <c r="A110" s="40" t="s">
        <v>54</v>
      </c>
      <c r="B110" s="42">
        <f>'Monthly D4 RIN Data'!$D15</f>
        <v>2943750</v>
      </c>
      <c r="C110" s="42">
        <f>'Monthly D4 RIN Data'!$D27</f>
        <v>15584528</v>
      </c>
      <c r="D110" s="42">
        <f>'Monthly D4 RIN Data'!$D39</f>
        <v>1098374</v>
      </c>
      <c r="E110" s="42">
        <f>'Monthly D4 RIN Data'!$D51</f>
        <v>49264436</v>
      </c>
      <c r="F110" s="42">
        <f>'Monthly D4 RIN Data'!$D63</f>
        <v>24540844</v>
      </c>
      <c r="G110" s="42">
        <f>'Monthly D4 RIN Data'!$D75</f>
        <v>57229492</v>
      </c>
      <c r="H110" s="42">
        <f>'Monthly D4 RIN Data'!$D87</f>
        <v>181643033</v>
      </c>
      <c r="I110" s="42">
        <f>'Monthly D4 RIN Data'!$D99</f>
        <v>46675272</v>
      </c>
      <c r="J110" s="42">
        <f>'Monthly D4 RIN Data'!$D111</f>
        <v>44401409</v>
      </c>
      <c r="K110" s="42">
        <f>'Monthly D4 RIN Data'!$D123</f>
        <v>36477657</v>
      </c>
      <c r="L110" s="42">
        <f>'Monthly D4 RIN Data'!$D135</f>
        <v>36007098</v>
      </c>
      <c r="M110" s="42">
        <f>'Monthly D4 RIN Data'!$D147</f>
        <v>76891453</v>
      </c>
      <c r="N110" s="42">
        <f>'Monthly D4 RIN Data'!$D159</f>
        <v>64513358</v>
      </c>
      <c r="O110" s="42">
        <f>'Monthly D4 RIN Data'!$D171</f>
        <v>96890745</v>
      </c>
      <c r="P110" s="42">
        <f>'Monthly D4 RIN Data'!$D183</f>
        <v>47085352</v>
      </c>
      <c r="Q110" s="43">
        <f>'D4 Gallon Forecast'!Q112*AVERAGE('D4 RIN Forecast'!BD$6:BH$6)</f>
        <v>160265080.53770986</v>
      </c>
      <c r="R110" s="43">
        <f>'D4 Gallon Forecast'!R112*AVERAGE('D4 RIN Forecast'!BE$6:BI$6)</f>
        <v>50050072.761507012</v>
      </c>
      <c r="S110" s="43">
        <f>'D4 Gallon Forecast'!S112*AVERAGE('D4 RIN Forecast'!BF$6:BJ$6)</f>
        <v>50057023.432753399</v>
      </c>
      <c r="T110" s="43">
        <f>'D4 Gallon Forecast'!T112*AVERAGE('D4 RIN Forecast'!BG$6:BK$6)</f>
        <v>54474835.319711149</v>
      </c>
      <c r="U110" s="43">
        <f>'D4 Gallon Forecast'!U112*AVERAGE('D4 RIN Forecast'!BH$6:BL$6)</f>
        <v>59066831.452786684</v>
      </c>
      <c r="V110" s="43">
        <f>'D4 Gallon Forecast'!V112*AVERAGE('D4 RIN Forecast'!BI$6:BM$6)</f>
        <v>73504427.74741897</v>
      </c>
      <c r="W110" s="43">
        <f>'D4 Gallon Forecast'!W112*AVERAGE('D4 RIN Forecast'!BJ$6:BN$6)</f>
        <v>56888839.558248535</v>
      </c>
      <c r="X110" s="43">
        <f>'D4 Gallon Forecast'!X112*AVERAGE('D4 RIN Forecast'!BK$6:BO$6)</f>
        <v>51720807.160279736</v>
      </c>
      <c r="Y110" s="43">
        <f>'D4 Gallon Forecast'!Y112*AVERAGE('D4 RIN Forecast'!BL$6:BP$6)</f>
        <v>49736479.718363315</v>
      </c>
      <c r="Z110" s="43">
        <f>'D4 Gallon Forecast'!Z112*AVERAGE('D4 RIN Forecast'!BM$6:BQ$6)</f>
        <v>49427711.055645533</v>
      </c>
      <c r="AA110" s="43">
        <f>'D4 Gallon Forecast'!AA112*AVERAGE('D4 RIN Forecast'!BN$6:BR$6)</f>
        <v>45689870.402308211</v>
      </c>
      <c r="AB110" s="43">
        <f>'D4 Gallon Forecast'!AB112*AVERAGE('D4 RIN Forecast'!BO$6:BS$6)</f>
        <v>36011237.191902675</v>
      </c>
      <c r="AC110" s="43">
        <f>'D4 Gallon Forecast'!AC112*AVERAGE('D4 RIN Forecast'!BP$6:BT$6)</f>
        <v>30640085.764213357</v>
      </c>
      <c r="AD110" s="43">
        <f>'D4 Gallon Forecast'!AD112*AVERAGE('D4 RIN Forecast'!BQ$6:BU$6)</f>
        <v>25212562.342185561</v>
      </c>
      <c r="AE110" s="43">
        <f>'D4 Gallon Forecast'!AE112*AVERAGE('D4 RIN Forecast'!BR$6:BV$6)</f>
        <v>21088135.339053456</v>
      </c>
      <c r="AF110" s="43">
        <f>'D4 Gallon Forecast'!AF112*AVERAGE('D4 RIN Forecast'!BS$6:BW$6)</f>
        <v>21058658.097244889</v>
      </c>
      <c r="AG110" s="43">
        <f>'D4 Gallon Forecast'!AG112*AVERAGE('D4 RIN Forecast'!BT$6:BX$6)</f>
        <v>20939168.556442723</v>
      </c>
      <c r="AH110" s="43">
        <f>'D4 Gallon Forecast'!AH112*AVERAGE('D4 RIN Forecast'!BU$6:BY$6)</f>
        <v>20989166.49046433</v>
      </c>
      <c r="AI110" s="43">
        <f>'D4 Gallon Forecast'!AI112*AVERAGE('D4 RIN Forecast'!BV$6:BZ$6)</f>
        <v>21016863.620274976</v>
      </c>
      <c r="AJ110" s="43">
        <f>'D4 Gallon Forecast'!AJ112*AVERAGE('D4 RIN Forecast'!BW$6:CA$6)</f>
        <v>21018398.420675118</v>
      </c>
      <c r="AK110" s="43">
        <f>'D4 Gallon Forecast'!AK112*AVERAGE('D4 RIN Forecast'!BX$6:CB$6)</f>
        <v>21004451.037010614</v>
      </c>
      <c r="AL110" s="43">
        <f>'D4 Gallon Forecast'!AL112*AVERAGE('D4 RIN Forecast'!BY$6:CC$6)</f>
        <v>20993609.624967836</v>
      </c>
      <c r="AM110" s="43">
        <f>'D4 Gallon Forecast'!AM112*AVERAGE('D4 RIN Forecast'!BZ$6:CD$6)</f>
        <v>21004497.838677198</v>
      </c>
      <c r="AN110" s="43">
        <f>'D4 Gallon Forecast'!AN112*AVERAGE('D4 RIN Forecast'!CA$6:CE$6)</f>
        <v>21007564.108320445</v>
      </c>
      <c r="AO110" s="43">
        <f>'D4 Gallon Forecast'!AO112*AVERAGE('D4 RIN Forecast'!CB$6:CF$6)</f>
        <v>21005704.205929741</v>
      </c>
      <c r="AP110" s="43">
        <f>'D4 Gallon Forecast'!AP112*AVERAGE('D4 RIN Forecast'!CC$6:CG$6)</f>
        <v>21003165.362980995</v>
      </c>
      <c r="AQ110" s="43"/>
    </row>
    <row r="111" spans="1:43">
      <c r="A111" s="40" t="s">
        <v>29</v>
      </c>
      <c r="B111" s="42">
        <f>SUM(B99:B110)</f>
        <v>18731306</v>
      </c>
      <c r="C111" s="42">
        <f t="shared" ref="C111:AP111" si="65">SUM(C99:C110)</f>
        <v>66689563</v>
      </c>
      <c r="D111" s="42">
        <f t="shared" si="65"/>
        <v>50170499</v>
      </c>
      <c r="E111" s="42">
        <f t="shared" si="65"/>
        <v>229537857</v>
      </c>
      <c r="F111" s="42">
        <f t="shared" si="65"/>
        <v>194443930</v>
      </c>
      <c r="G111" s="42">
        <f t="shared" si="65"/>
        <v>391885020</v>
      </c>
      <c r="H111" s="42">
        <f t="shared" si="65"/>
        <v>842461326</v>
      </c>
      <c r="I111" s="42">
        <f t="shared" si="65"/>
        <v>692872876</v>
      </c>
      <c r="J111" s="42">
        <f t="shared" si="65"/>
        <v>262712433</v>
      </c>
      <c r="K111" s="42">
        <f t="shared" si="65"/>
        <v>277112663</v>
      </c>
      <c r="L111" s="42">
        <f t="shared" si="65"/>
        <v>314241090</v>
      </c>
      <c r="M111" s="42">
        <f t="shared" si="65"/>
        <v>312676583</v>
      </c>
      <c r="N111" s="42">
        <f t="shared" si="65"/>
        <v>360487221</v>
      </c>
      <c r="O111" s="42">
        <f t="shared" si="65"/>
        <v>757402065</v>
      </c>
      <c r="P111" s="42">
        <f t="shared" si="65"/>
        <v>597077499</v>
      </c>
      <c r="Q111" s="43">
        <f t="shared" si="65"/>
        <v>510000617.83116162</v>
      </c>
      <c r="R111" s="43">
        <f t="shared" si="65"/>
        <v>285000307.50145561</v>
      </c>
      <c r="S111" s="43">
        <f t="shared" si="65"/>
        <v>300000293.91614491</v>
      </c>
      <c r="T111" s="43">
        <f t="shared" si="65"/>
        <v>330000326.72713894</v>
      </c>
      <c r="U111" s="43">
        <f t="shared" si="65"/>
        <v>330000338.87356669</v>
      </c>
      <c r="V111" s="43">
        <f t="shared" si="65"/>
        <v>345000364.80841267</v>
      </c>
      <c r="W111" s="43">
        <f t="shared" si="65"/>
        <v>315000323.38281047</v>
      </c>
      <c r="X111" s="43">
        <f t="shared" si="65"/>
        <v>285000289.60104591</v>
      </c>
      <c r="Y111" s="43">
        <f t="shared" si="65"/>
        <v>270000276.32575661</v>
      </c>
      <c r="Z111" s="43">
        <f t="shared" si="65"/>
        <v>262500270.40073183</v>
      </c>
      <c r="AA111" s="43">
        <f t="shared" si="65"/>
        <v>240000247.37753087</v>
      </c>
      <c r="AB111" s="43">
        <f t="shared" si="65"/>
        <v>195000199.95388073</v>
      </c>
      <c r="AC111" s="43">
        <f t="shared" si="65"/>
        <v>165000169.15189511</v>
      </c>
      <c r="AD111" s="43">
        <f t="shared" si="65"/>
        <v>135000138.64051756</v>
      </c>
      <c r="AE111" s="43">
        <f t="shared" si="65"/>
        <v>112500115.61337116</v>
      </c>
      <c r="AF111" s="43">
        <f t="shared" si="65"/>
        <v>112500115.55883978</v>
      </c>
      <c r="AG111" s="43">
        <f t="shared" si="65"/>
        <v>112500115.47896424</v>
      </c>
      <c r="AH111" s="43">
        <f t="shared" si="65"/>
        <v>112500115.50315547</v>
      </c>
      <c r="AI111" s="43">
        <f t="shared" si="65"/>
        <v>112500115.53761907</v>
      </c>
      <c r="AJ111" s="43">
        <f t="shared" si="65"/>
        <v>112500115.53838994</v>
      </c>
      <c r="AK111" s="43">
        <f t="shared" si="65"/>
        <v>112500115.52339369</v>
      </c>
      <c r="AL111" s="43">
        <f t="shared" si="65"/>
        <v>112500115.51630446</v>
      </c>
      <c r="AM111" s="43">
        <f t="shared" si="65"/>
        <v>112500115.52377251</v>
      </c>
      <c r="AN111" s="43">
        <f t="shared" si="65"/>
        <v>112500115.52789591</v>
      </c>
      <c r="AO111" s="43">
        <f t="shared" si="65"/>
        <v>112500115.52595131</v>
      </c>
      <c r="AP111" s="43">
        <f t="shared" si="65"/>
        <v>112500115.52346355</v>
      </c>
      <c r="AQ111" s="43"/>
    </row>
    <row r="113" spans="1:43" ht="12" thickBot="1">
      <c r="A113" s="245" t="s">
        <v>382</v>
      </c>
    </row>
    <row r="114" spans="1:43" ht="12" thickBot="1">
      <c r="A114" s="270"/>
      <c r="B114" s="263">
        <v>2010</v>
      </c>
      <c r="C114" s="263">
        <v>2011</v>
      </c>
      <c r="D114" s="263">
        <v>2012</v>
      </c>
      <c r="E114" s="263">
        <v>2013</v>
      </c>
      <c r="F114" s="263">
        <v>2014</v>
      </c>
      <c r="G114" s="263">
        <v>2015</v>
      </c>
      <c r="H114" s="263">
        <v>2016</v>
      </c>
      <c r="I114" s="263">
        <v>2017</v>
      </c>
      <c r="J114" s="263">
        <v>2018</v>
      </c>
      <c r="K114" s="263">
        <v>2019</v>
      </c>
      <c r="L114" s="263">
        <v>2020</v>
      </c>
      <c r="M114" s="263">
        <v>2021</v>
      </c>
      <c r="N114" s="263">
        <v>2022</v>
      </c>
      <c r="O114" s="263">
        <v>2023</v>
      </c>
      <c r="P114" s="263">
        <v>2024</v>
      </c>
      <c r="Q114" s="263">
        <v>2025</v>
      </c>
      <c r="R114" s="263">
        <v>2026</v>
      </c>
      <c r="S114" s="263">
        <v>2027</v>
      </c>
      <c r="T114" s="263">
        <v>2028</v>
      </c>
      <c r="U114" s="263">
        <v>2029</v>
      </c>
      <c r="V114" s="263">
        <v>2030</v>
      </c>
      <c r="W114" s="263">
        <v>2031</v>
      </c>
      <c r="X114" s="263">
        <v>2032</v>
      </c>
      <c r="Y114" s="263">
        <v>2033</v>
      </c>
      <c r="Z114" s="263">
        <v>2034</v>
      </c>
      <c r="AA114" s="263">
        <v>2035</v>
      </c>
      <c r="AB114" s="263">
        <v>2036</v>
      </c>
      <c r="AC114" s="263">
        <v>2037</v>
      </c>
      <c r="AD114" s="263">
        <v>2038</v>
      </c>
      <c r="AE114" s="263">
        <v>2039</v>
      </c>
      <c r="AF114" s="263">
        <v>2040</v>
      </c>
      <c r="AG114" s="263">
        <v>2041</v>
      </c>
      <c r="AH114" s="263">
        <v>2042</v>
      </c>
      <c r="AI114" s="263">
        <v>2043</v>
      </c>
      <c r="AJ114" s="263">
        <v>2044</v>
      </c>
      <c r="AK114" s="263">
        <v>2045</v>
      </c>
      <c r="AL114" s="263">
        <v>2046</v>
      </c>
      <c r="AM114" s="263">
        <v>2047</v>
      </c>
      <c r="AN114" s="263">
        <v>2048</v>
      </c>
      <c r="AO114" s="263">
        <v>2049</v>
      </c>
      <c r="AP114" s="263">
        <v>2050</v>
      </c>
      <c r="AQ114" s="245"/>
    </row>
    <row r="115" spans="1:43">
      <c r="A115" s="40" t="s">
        <v>43</v>
      </c>
      <c r="B115" s="42">
        <f>B131+B195+B259</f>
        <v>0</v>
      </c>
      <c r="C115" s="42">
        <f t="shared" ref="C115:R126" si="66">C131+C195+C259</f>
        <v>3638065</v>
      </c>
      <c r="D115" s="42">
        <f t="shared" si="66"/>
        <v>6296007</v>
      </c>
      <c r="E115" s="42">
        <f t="shared" si="66"/>
        <v>13342641</v>
      </c>
      <c r="F115" s="42">
        <f t="shared" si="66"/>
        <v>49436471</v>
      </c>
      <c r="G115" s="42">
        <f t="shared" si="66"/>
        <v>46273491</v>
      </c>
      <c r="H115" s="42">
        <f t="shared" si="66"/>
        <v>33195883</v>
      </c>
      <c r="I115" s="42">
        <f t="shared" si="66"/>
        <v>65537727</v>
      </c>
      <c r="J115" s="42">
        <f t="shared" si="66"/>
        <v>49395510</v>
      </c>
      <c r="K115" s="42">
        <f>K131+K195+K259</f>
        <v>84658806</v>
      </c>
      <c r="L115" s="42">
        <f>L131+L195+L259</f>
        <v>102149849</v>
      </c>
      <c r="M115" s="42">
        <f>M131+M195+M259</f>
        <v>126306242</v>
      </c>
      <c r="N115" s="42">
        <f>N131+N195+N259</f>
        <v>199700965</v>
      </c>
      <c r="O115" s="42">
        <f>O131+O195+O259</f>
        <v>306901650</v>
      </c>
      <c r="P115" s="42">
        <f t="shared" ref="P115:AP124" si="67">P131+P195+P259</f>
        <v>418874419</v>
      </c>
      <c r="Q115" s="42">
        <f t="shared" si="67"/>
        <v>356710383</v>
      </c>
      <c r="R115" s="43">
        <f t="shared" si="67"/>
        <v>318314943.73074508</v>
      </c>
      <c r="S115" s="43">
        <f t="shared" si="67"/>
        <v>343393804.02294123</v>
      </c>
      <c r="T115" s="43">
        <f t="shared" si="67"/>
        <v>344862746.03338671</v>
      </c>
      <c r="U115" s="43">
        <f t="shared" si="67"/>
        <v>342275370.59991211</v>
      </c>
      <c r="V115" s="43">
        <f t="shared" si="67"/>
        <v>353717148.60729337</v>
      </c>
      <c r="W115" s="43">
        <f t="shared" si="67"/>
        <v>385757625.14010108</v>
      </c>
      <c r="X115" s="43">
        <f t="shared" si="67"/>
        <v>451336421.50505275</v>
      </c>
      <c r="Y115" s="43">
        <f t="shared" si="67"/>
        <v>447383060.62091249</v>
      </c>
      <c r="Z115" s="43">
        <f t="shared" si="67"/>
        <v>433272441.53782403</v>
      </c>
      <c r="AA115" s="43">
        <f t="shared" si="67"/>
        <v>458153920.2263329</v>
      </c>
      <c r="AB115" s="43">
        <f t="shared" si="67"/>
        <v>486157752.06668508</v>
      </c>
      <c r="AC115" s="43">
        <f t="shared" si="67"/>
        <v>550911910.75172269</v>
      </c>
      <c r="AD115" s="43">
        <f t="shared" si="67"/>
        <v>607131627.54193294</v>
      </c>
      <c r="AE115" s="43">
        <f t="shared" si="67"/>
        <v>607454610.85390484</v>
      </c>
      <c r="AF115" s="43">
        <f t="shared" si="67"/>
        <v>532290072.10203427</v>
      </c>
      <c r="AG115" s="43">
        <f t="shared" si="67"/>
        <v>563994493.07836068</v>
      </c>
      <c r="AH115" s="43">
        <f t="shared" si="67"/>
        <v>595976989.87127447</v>
      </c>
      <c r="AI115" s="43">
        <f t="shared" si="67"/>
        <v>647356760.86433244</v>
      </c>
      <c r="AJ115" s="43">
        <f t="shared" si="67"/>
        <v>660048264.56230676</v>
      </c>
      <c r="AK115" s="43">
        <f t="shared" si="67"/>
        <v>656248046.50533128</v>
      </c>
      <c r="AL115" s="43">
        <f t="shared" si="67"/>
        <v>624631462.58613753</v>
      </c>
      <c r="AM115" s="43">
        <f t="shared" si="67"/>
        <v>651412850.18986499</v>
      </c>
      <c r="AN115" s="43">
        <f t="shared" si="67"/>
        <v>674554982.49694455</v>
      </c>
      <c r="AO115" s="43">
        <f t="shared" si="67"/>
        <v>698783640.49901676</v>
      </c>
      <c r="AP115" s="43">
        <f t="shared" si="67"/>
        <v>729637517.77885306</v>
      </c>
      <c r="AQ115" s="43"/>
    </row>
    <row r="116" spans="1:43">
      <c r="A116" s="40" t="s">
        <v>44</v>
      </c>
      <c r="B116" s="42">
        <f t="shared" ref="B116:I126" si="68">B132+B196+B260</f>
        <v>0</v>
      </c>
      <c r="C116" s="42">
        <f t="shared" si="68"/>
        <v>378648</v>
      </c>
      <c r="D116" s="42">
        <f t="shared" si="68"/>
        <v>2490356</v>
      </c>
      <c r="E116" s="42">
        <f t="shared" si="68"/>
        <v>5239282</v>
      </c>
      <c r="F116" s="42">
        <f t="shared" si="68"/>
        <v>52098552</v>
      </c>
      <c r="G116" s="42">
        <f t="shared" si="68"/>
        <v>36259460</v>
      </c>
      <c r="H116" s="42">
        <f t="shared" si="68"/>
        <v>33300835</v>
      </c>
      <c r="I116" s="42">
        <f t="shared" si="68"/>
        <v>52002806</v>
      </c>
      <c r="J116" s="42">
        <f t="shared" si="66"/>
        <v>55240892</v>
      </c>
      <c r="K116" s="42">
        <f t="shared" si="66"/>
        <v>100298085</v>
      </c>
      <c r="L116" s="42">
        <f t="shared" si="66"/>
        <v>105943367</v>
      </c>
      <c r="M116" s="42">
        <f t="shared" si="66"/>
        <v>129614023</v>
      </c>
      <c r="N116" s="42">
        <f t="shared" si="66"/>
        <v>215727531</v>
      </c>
      <c r="O116" s="42">
        <f>O132+O196+O260</f>
        <v>280160076</v>
      </c>
      <c r="P116" s="42">
        <f t="shared" si="67"/>
        <v>475452422</v>
      </c>
      <c r="Q116" s="42">
        <f t="shared" si="67"/>
        <v>304737852</v>
      </c>
      <c r="R116" s="43">
        <f t="shared" si="67"/>
        <v>353635469.83065057</v>
      </c>
      <c r="S116" s="43">
        <f t="shared" si="67"/>
        <v>383166345.94749361</v>
      </c>
      <c r="T116" s="43">
        <f t="shared" si="67"/>
        <v>386734952.89517099</v>
      </c>
      <c r="U116" s="43">
        <f t="shared" si="67"/>
        <v>387913708.61533964</v>
      </c>
      <c r="V116" s="43">
        <f t="shared" si="67"/>
        <v>393913633.2557863</v>
      </c>
      <c r="W116" s="43">
        <f t="shared" si="67"/>
        <v>429948205.3303352</v>
      </c>
      <c r="X116" s="43">
        <f t="shared" si="67"/>
        <v>502377637.60620046</v>
      </c>
      <c r="Y116" s="43">
        <f t="shared" si="67"/>
        <v>498192458.36856049</v>
      </c>
      <c r="Z116" s="43">
        <f t="shared" si="67"/>
        <v>482473097.78076535</v>
      </c>
      <c r="AA116" s="43">
        <f t="shared" si="67"/>
        <v>509212123.14982331</v>
      </c>
      <c r="AB116" s="43">
        <f t="shared" si="67"/>
        <v>537843160.76411295</v>
      </c>
      <c r="AC116" s="43">
        <f t="shared" si="67"/>
        <v>608663474.67569005</v>
      </c>
      <c r="AD116" s="43">
        <f t="shared" si="67"/>
        <v>670764571.65389681</v>
      </c>
      <c r="AE116" s="43">
        <f t="shared" si="67"/>
        <v>671147492.59905267</v>
      </c>
      <c r="AF116" s="43">
        <f t="shared" si="67"/>
        <v>588069602.21740198</v>
      </c>
      <c r="AG116" s="43">
        <f t="shared" si="67"/>
        <v>623088432.38913178</v>
      </c>
      <c r="AH116" s="43">
        <f t="shared" si="67"/>
        <v>658397769.05389857</v>
      </c>
      <c r="AI116" s="43">
        <f t="shared" si="67"/>
        <v>715063423.86572838</v>
      </c>
      <c r="AJ116" s="43">
        <f t="shared" si="67"/>
        <v>729043327.13824427</v>
      </c>
      <c r="AK116" s="43">
        <f t="shared" si="67"/>
        <v>724820957.15657675</v>
      </c>
      <c r="AL116" s="43">
        <f t="shared" si="67"/>
        <v>689986945.16181934</v>
      </c>
      <c r="AM116" s="43">
        <f t="shared" si="67"/>
        <v>719522225.57417393</v>
      </c>
      <c r="AN116" s="43">
        <f t="shared" si="67"/>
        <v>745049282.78199029</v>
      </c>
      <c r="AO116" s="43">
        <f t="shared" si="67"/>
        <v>771754768.22535157</v>
      </c>
      <c r="AP116" s="43">
        <f t="shared" si="67"/>
        <v>805757532.28844905</v>
      </c>
      <c r="AQ116" s="43"/>
    </row>
    <row r="117" spans="1:43">
      <c r="A117" s="40" t="s">
        <v>45</v>
      </c>
      <c r="B117" s="42">
        <f t="shared" si="68"/>
        <v>0</v>
      </c>
      <c r="C117" s="42">
        <f t="shared" si="68"/>
        <v>3981328</v>
      </c>
      <c r="D117" s="42">
        <f t="shared" si="68"/>
        <v>13186788</v>
      </c>
      <c r="E117" s="42">
        <f t="shared" si="68"/>
        <v>31953752</v>
      </c>
      <c r="F117" s="42">
        <f t="shared" si="68"/>
        <v>62604566</v>
      </c>
      <c r="G117" s="42">
        <f t="shared" si="68"/>
        <v>40212498</v>
      </c>
      <c r="H117" s="42">
        <f t="shared" si="68"/>
        <v>50349120</v>
      </c>
      <c r="I117" s="42">
        <f t="shared" si="68"/>
        <v>54426415</v>
      </c>
      <c r="J117" s="42">
        <f t="shared" si="66"/>
        <v>68234942</v>
      </c>
      <c r="K117" s="42">
        <f t="shared" si="66"/>
        <v>88595498</v>
      </c>
      <c r="L117" s="42">
        <f t="shared" si="66"/>
        <v>118423783</v>
      </c>
      <c r="M117" s="42">
        <f t="shared" si="66"/>
        <v>158914178</v>
      </c>
      <c r="N117" s="42">
        <f t="shared" si="66"/>
        <v>247440215</v>
      </c>
      <c r="O117" s="42">
        <f t="shared" si="66"/>
        <v>353224724</v>
      </c>
      <c r="P117" s="42">
        <f t="shared" si="67"/>
        <v>397688851</v>
      </c>
      <c r="Q117" s="42">
        <f t="shared" si="67"/>
        <v>409348817</v>
      </c>
      <c r="R117" s="43">
        <f t="shared" si="67"/>
        <v>371020751.04920077</v>
      </c>
      <c r="S117" s="43">
        <f t="shared" si="67"/>
        <v>399292963.25679022</v>
      </c>
      <c r="T117" s="43">
        <f t="shared" si="67"/>
        <v>400807663.42267019</v>
      </c>
      <c r="U117" s="43">
        <f t="shared" si="67"/>
        <v>399524674.0136289</v>
      </c>
      <c r="V117" s="43">
        <f t="shared" si="67"/>
        <v>413500632.40233779</v>
      </c>
      <c r="W117" s="43">
        <f t="shared" si="67"/>
        <v>449133029.53983212</v>
      </c>
      <c r="X117" s="43">
        <f t="shared" si="67"/>
        <v>525218431.84959066</v>
      </c>
      <c r="Y117" s="43">
        <f t="shared" si="67"/>
        <v>520748608.00666469</v>
      </c>
      <c r="Z117" s="43">
        <f t="shared" si="67"/>
        <v>504528222.24800897</v>
      </c>
      <c r="AA117" s="43">
        <f t="shared" si="67"/>
        <v>533395836.43560499</v>
      </c>
      <c r="AB117" s="43">
        <f t="shared" si="67"/>
        <v>565089341.97954369</v>
      </c>
      <c r="AC117" s="43">
        <f t="shared" si="67"/>
        <v>640101346.2205894</v>
      </c>
      <c r="AD117" s="43">
        <f t="shared" si="67"/>
        <v>705442106.96175969</v>
      </c>
      <c r="AE117" s="43">
        <f t="shared" si="67"/>
        <v>705880659.13135719</v>
      </c>
      <c r="AF117" s="43">
        <f t="shared" si="67"/>
        <v>618573835.63817036</v>
      </c>
      <c r="AG117" s="43">
        <f t="shared" si="67"/>
        <v>655340904.70024157</v>
      </c>
      <c r="AH117" s="43">
        <f t="shared" si="67"/>
        <v>692501538.39040589</v>
      </c>
      <c r="AI117" s="43">
        <f t="shared" si="67"/>
        <v>752188939.42564607</v>
      </c>
      <c r="AJ117" s="43">
        <f t="shared" si="67"/>
        <v>766936600.6185323</v>
      </c>
      <c r="AK117" s="43">
        <f t="shared" si="67"/>
        <v>762513954.41611445</v>
      </c>
      <c r="AL117" s="43">
        <f t="shared" si="67"/>
        <v>725780077.20344234</v>
      </c>
      <c r="AM117" s="43">
        <f t="shared" si="67"/>
        <v>756886143.45815814</v>
      </c>
      <c r="AN117" s="43">
        <f t="shared" si="67"/>
        <v>783776162.70579255</v>
      </c>
      <c r="AO117" s="43">
        <f t="shared" si="67"/>
        <v>811921685.35325766</v>
      </c>
      <c r="AP117" s="43">
        <f t="shared" si="67"/>
        <v>847750724.4152354</v>
      </c>
      <c r="AQ117" s="43"/>
    </row>
    <row r="118" spans="1:43">
      <c r="A118" s="40" t="s">
        <v>46</v>
      </c>
      <c r="B118" s="42">
        <f t="shared" si="68"/>
        <v>0</v>
      </c>
      <c r="C118" s="42">
        <f t="shared" si="68"/>
        <v>2829210</v>
      </c>
      <c r="D118" s="42">
        <f t="shared" si="68"/>
        <v>6299490</v>
      </c>
      <c r="E118" s="42">
        <f t="shared" si="68"/>
        <v>16272719</v>
      </c>
      <c r="F118" s="42">
        <f t="shared" si="68"/>
        <v>59467267</v>
      </c>
      <c r="G118" s="42">
        <f t="shared" si="68"/>
        <v>44032901</v>
      </c>
      <c r="H118" s="42">
        <f t="shared" si="68"/>
        <v>66421881</v>
      </c>
      <c r="I118" s="42">
        <f t="shared" si="68"/>
        <v>64163335</v>
      </c>
      <c r="J118" s="42">
        <f t="shared" si="66"/>
        <v>73372815</v>
      </c>
      <c r="K118" s="42">
        <f t="shared" si="66"/>
        <v>102215794</v>
      </c>
      <c r="L118" s="42">
        <f t="shared" si="66"/>
        <v>105679344</v>
      </c>
      <c r="M118" s="42">
        <f t="shared" si="66"/>
        <v>143370736</v>
      </c>
      <c r="N118" s="42">
        <f t="shared" si="66"/>
        <v>236783097</v>
      </c>
      <c r="O118" s="42">
        <f t="shared" si="66"/>
        <v>346492337</v>
      </c>
      <c r="P118" s="42">
        <f t="shared" si="67"/>
        <v>516223874</v>
      </c>
      <c r="Q118" s="43">
        <f t="shared" si="67"/>
        <v>367728443.26565629</v>
      </c>
      <c r="R118" s="43">
        <f t="shared" si="67"/>
        <v>364429936.52889293</v>
      </c>
      <c r="S118" s="43">
        <f t="shared" si="67"/>
        <v>393167040.17391068</v>
      </c>
      <c r="T118" s="43">
        <f t="shared" si="67"/>
        <v>394877920.61995685</v>
      </c>
      <c r="U118" s="43">
        <f t="shared" si="67"/>
        <v>394178325.46293169</v>
      </c>
      <c r="V118" s="43">
        <f t="shared" si="67"/>
        <v>408125313.30513501</v>
      </c>
      <c r="W118" s="43">
        <f t="shared" si="67"/>
        <v>440712022.34472001</v>
      </c>
      <c r="X118" s="43">
        <f t="shared" si="67"/>
        <v>514464559.90565914</v>
      </c>
      <c r="Y118" s="43">
        <f t="shared" si="67"/>
        <v>510106677.64020205</v>
      </c>
      <c r="Z118" s="43">
        <f t="shared" si="67"/>
        <v>494249990.7702989</v>
      </c>
      <c r="AA118" s="43">
        <f t="shared" si="67"/>
        <v>522247420.53380001</v>
      </c>
      <c r="AB118" s="43">
        <f t="shared" si="67"/>
        <v>550392301.90283585</v>
      </c>
      <c r="AC118" s="43">
        <f t="shared" si="67"/>
        <v>622632710.89783812</v>
      </c>
      <c r="AD118" s="43">
        <f t="shared" si="67"/>
        <v>686129914.01472414</v>
      </c>
      <c r="AE118" s="43">
        <f t="shared" si="67"/>
        <v>686591444.34411991</v>
      </c>
      <c r="AF118" s="43">
        <f t="shared" si="67"/>
        <v>601812040.98349226</v>
      </c>
      <c r="AG118" s="43">
        <f t="shared" si="67"/>
        <v>637449328.56541443</v>
      </c>
      <c r="AH118" s="43">
        <f t="shared" si="67"/>
        <v>673562545.14748561</v>
      </c>
      <c r="AI118" s="43">
        <f t="shared" si="67"/>
        <v>731527589.01379752</v>
      </c>
      <c r="AJ118" s="43">
        <f t="shared" si="67"/>
        <v>745849145.2693783</v>
      </c>
      <c r="AK118" s="43">
        <f t="shared" si="67"/>
        <v>741547073.8876822</v>
      </c>
      <c r="AL118" s="43">
        <f t="shared" si="67"/>
        <v>705869069.60188365</v>
      </c>
      <c r="AM118" s="43">
        <f t="shared" si="67"/>
        <v>736074205.15354967</v>
      </c>
      <c r="AN118" s="43">
        <f t="shared" si="67"/>
        <v>762193455.06305277</v>
      </c>
      <c r="AO118" s="43">
        <f t="shared" si="67"/>
        <v>789523131.84213746</v>
      </c>
      <c r="AP118" s="43">
        <f t="shared" si="67"/>
        <v>824306441.76921952</v>
      </c>
      <c r="AQ118" s="43"/>
    </row>
    <row r="119" spans="1:43">
      <c r="A119" s="40" t="s">
        <v>47</v>
      </c>
      <c r="B119" s="42">
        <f t="shared" si="68"/>
        <v>0</v>
      </c>
      <c r="C119" s="42">
        <f t="shared" si="68"/>
        <v>5264355</v>
      </c>
      <c r="D119" s="42">
        <f t="shared" si="68"/>
        <v>11279111</v>
      </c>
      <c r="E119" s="42">
        <f t="shared" si="68"/>
        <v>19064638</v>
      </c>
      <c r="F119" s="42">
        <f t="shared" si="68"/>
        <v>58901525</v>
      </c>
      <c r="G119" s="42">
        <f t="shared" si="68"/>
        <v>57848272</v>
      </c>
      <c r="H119" s="42">
        <f t="shared" si="68"/>
        <v>62466529</v>
      </c>
      <c r="I119" s="42">
        <f t="shared" si="68"/>
        <v>76286878</v>
      </c>
      <c r="J119" s="42">
        <f t="shared" si="66"/>
        <v>76854090</v>
      </c>
      <c r="K119" s="42">
        <f t="shared" si="66"/>
        <v>112983297</v>
      </c>
      <c r="L119" s="42">
        <f t="shared" si="66"/>
        <v>126823671</v>
      </c>
      <c r="M119" s="42">
        <f t="shared" si="66"/>
        <v>150407095</v>
      </c>
      <c r="N119" s="42">
        <f t="shared" si="66"/>
        <v>285864247</v>
      </c>
      <c r="O119" s="42">
        <f t="shared" si="66"/>
        <v>443908942</v>
      </c>
      <c r="P119" s="42">
        <f t="shared" si="67"/>
        <v>422513863</v>
      </c>
      <c r="Q119" s="43">
        <f t="shared" si="67"/>
        <v>364455287.45384192</v>
      </c>
      <c r="R119" s="43">
        <f t="shared" si="67"/>
        <v>404410976.6549539</v>
      </c>
      <c r="S119" s="43">
        <f t="shared" si="67"/>
        <v>438411448.41443872</v>
      </c>
      <c r="T119" s="43">
        <f t="shared" si="67"/>
        <v>441285251.13341415</v>
      </c>
      <c r="U119" s="43">
        <f t="shared" si="67"/>
        <v>439325936.05003643</v>
      </c>
      <c r="V119" s="43">
        <f t="shared" si="67"/>
        <v>455090405.21487486</v>
      </c>
      <c r="W119" s="43">
        <f t="shared" si="67"/>
        <v>491474564.18955731</v>
      </c>
      <c r="X119" s="43">
        <f t="shared" si="67"/>
        <v>574188102.10315037</v>
      </c>
      <c r="Y119" s="43">
        <f t="shared" si="67"/>
        <v>569348565.93724513</v>
      </c>
      <c r="Z119" s="43">
        <f t="shared" si="67"/>
        <v>551516070.85145092</v>
      </c>
      <c r="AA119" s="43">
        <f t="shared" si="67"/>
        <v>582820819.43820989</v>
      </c>
      <c r="AB119" s="43">
        <f t="shared" si="67"/>
        <v>614606846.48763978</v>
      </c>
      <c r="AC119" s="43">
        <f t="shared" si="67"/>
        <v>695410393.90937579</v>
      </c>
      <c r="AD119" s="43">
        <f t="shared" si="67"/>
        <v>766343516.65510499</v>
      </c>
      <c r="AE119" s="43">
        <f t="shared" si="67"/>
        <v>766818865.50955784</v>
      </c>
      <c r="AF119" s="43">
        <f t="shared" si="67"/>
        <v>672120275.95719874</v>
      </c>
      <c r="AG119" s="43">
        <f t="shared" si="67"/>
        <v>711935656.43100584</v>
      </c>
      <c r="AH119" s="43">
        <f t="shared" si="67"/>
        <v>752286143.87226546</v>
      </c>
      <c r="AI119" s="43">
        <f t="shared" si="67"/>
        <v>817034661.39268136</v>
      </c>
      <c r="AJ119" s="43">
        <f t="shared" si="67"/>
        <v>833027345.82011795</v>
      </c>
      <c r="AK119" s="43">
        <f t="shared" si="67"/>
        <v>828225378.32944465</v>
      </c>
      <c r="AL119" s="43">
        <f t="shared" si="67"/>
        <v>788373358.42899883</v>
      </c>
      <c r="AM119" s="43">
        <f t="shared" si="67"/>
        <v>822115996.01849997</v>
      </c>
      <c r="AN119" s="43">
        <f t="shared" si="67"/>
        <v>851290134.49898458</v>
      </c>
      <c r="AO119" s="43">
        <f t="shared" si="67"/>
        <v>881815502.88394988</v>
      </c>
      <c r="AP119" s="43">
        <f t="shared" si="67"/>
        <v>920674160.88162971</v>
      </c>
      <c r="AQ119" s="43"/>
    </row>
    <row r="120" spans="1:43">
      <c r="A120" s="40" t="s">
        <v>48</v>
      </c>
      <c r="B120" s="42">
        <f t="shared" si="68"/>
        <v>0</v>
      </c>
      <c r="C120" s="42">
        <f t="shared" si="68"/>
        <v>6209815</v>
      </c>
      <c r="D120" s="42">
        <f t="shared" si="68"/>
        <v>9722425</v>
      </c>
      <c r="E120" s="42">
        <f t="shared" si="68"/>
        <v>31649014</v>
      </c>
      <c r="F120" s="42">
        <f t="shared" si="68"/>
        <v>59681204</v>
      </c>
      <c r="G120" s="42">
        <f t="shared" si="68"/>
        <v>49487957</v>
      </c>
      <c r="H120" s="42">
        <f t="shared" si="68"/>
        <v>73797486</v>
      </c>
      <c r="I120" s="42">
        <f t="shared" si="68"/>
        <v>57755401</v>
      </c>
      <c r="J120" s="42">
        <f t="shared" si="66"/>
        <v>58765801</v>
      </c>
      <c r="K120" s="42">
        <f t="shared" si="66"/>
        <v>112180321</v>
      </c>
      <c r="L120" s="42">
        <f t="shared" si="66"/>
        <v>113658239</v>
      </c>
      <c r="M120" s="42">
        <f t="shared" si="66"/>
        <v>170348774</v>
      </c>
      <c r="N120" s="42">
        <f t="shared" si="66"/>
        <v>244337453</v>
      </c>
      <c r="O120" s="42">
        <f t="shared" si="66"/>
        <v>384424936</v>
      </c>
      <c r="P120" s="42">
        <f t="shared" si="67"/>
        <v>561489557</v>
      </c>
      <c r="Q120" s="43">
        <f t="shared" si="67"/>
        <v>358026237.89610296</v>
      </c>
      <c r="R120" s="43">
        <f t="shared" si="67"/>
        <v>405292940.03122258</v>
      </c>
      <c r="S120" s="43">
        <f t="shared" si="67"/>
        <v>438187813.6922493</v>
      </c>
      <c r="T120" s="43">
        <f t="shared" si="67"/>
        <v>443386011.30058289</v>
      </c>
      <c r="U120" s="43">
        <f t="shared" si="67"/>
        <v>445468250.99309993</v>
      </c>
      <c r="V120" s="43">
        <f t="shared" si="67"/>
        <v>455054704.0231567</v>
      </c>
      <c r="W120" s="43">
        <f t="shared" si="67"/>
        <v>491824263.87063867</v>
      </c>
      <c r="X120" s="43">
        <f t="shared" si="67"/>
        <v>573710626.3123666</v>
      </c>
      <c r="Y120" s="43">
        <f t="shared" si="67"/>
        <v>569178357.42159975</v>
      </c>
      <c r="Z120" s="43">
        <f t="shared" si="67"/>
        <v>551383837.64662898</v>
      </c>
      <c r="AA120" s="43">
        <f t="shared" si="67"/>
        <v>581787105.04887569</v>
      </c>
      <c r="AB120" s="43">
        <f t="shared" si="67"/>
        <v>611218702.76227164</v>
      </c>
      <c r="AC120" s="43">
        <f t="shared" si="67"/>
        <v>690789688.55206323</v>
      </c>
      <c r="AD120" s="43">
        <f t="shared" si="67"/>
        <v>761270050.57010365</v>
      </c>
      <c r="AE120" s="43">
        <f t="shared" si="67"/>
        <v>761777073.00683057</v>
      </c>
      <c r="AF120" s="43">
        <f t="shared" si="67"/>
        <v>667671419.8293581</v>
      </c>
      <c r="AG120" s="43">
        <f t="shared" si="67"/>
        <v>707211983.51415563</v>
      </c>
      <c r="AH120" s="43">
        <f t="shared" si="67"/>
        <v>747264646.58489609</v>
      </c>
      <c r="AI120" s="43">
        <f t="shared" si="67"/>
        <v>811499062.47123122</v>
      </c>
      <c r="AJ120" s="43">
        <f t="shared" si="67"/>
        <v>827348566.04813278</v>
      </c>
      <c r="AK120" s="43">
        <f t="shared" si="67"/>
        <v>822554646.51563466</v>
      </c>
      <c r="AL120" s="43">
        <f t="shared" si="67"/>
        <v>783051988.65057015</v>
      </c>
      <c r="AM120" s="43">
        <f t="shared" si="67"/>
        <v>816521978.16994762</v>
      </c>
      <c r="AN120" s="43">
        <f t="shared" si="67"/>
        <v>845470778.78789532</v>
      </c>
      <c r="AO120" s="43">
        <f t="shared" si="67"/>
        <v>875737430.58109093</v>
      </c>
      <c r="AP120" s="43">
        <f t="shared" si="67"/>
        <v>914259743.45766902</v>
      </c>
      <c r="AQ120" s="43"/>
    </row>
    <row r="121" spans="1:43">
      <c r="A121" s="40" t="s">
        <v>49</v>
      </c>
      <c r="B121" s="42">
        <f t="shared" si="68"/>
        <v>0</v>
      </c>
      <c r="C121" s="42">
        <f t="shared" si="68"/>
        <v>9463537</v>
      </c>
      <c r="D121" s="42">
        <f t="shared" si="68"/>
        <v>14854903</v>
      </c>
      <c r="E121" s="42">
        <f t="shared" si="68"/>
        <v>58585923</v>
      </c>
      <c r="F121" s="42">
        <f t="shared" si="68"/>
        <v>64271939</v>
      </c>
      <c r="G121" s="42">
        <f t="shared" si="68"/>
        <v>45075911</v>
      </c>
      <c r="H121" s="42">
        <f t="shared" si="68"/>
        <v>66671530</v>
      </c>
      <c r="I121" s="42">
        <f t="shared" si="68"/>
        <v>64130477</v>
      </c>
      <c r="J121" s="42">
        <f t="shared" si="66"/>
        <v>47726711</v>
      </c>
      <c r="K121" s="42">
        <f t="shared" si="66"/>
        <v>121656687</v>
      </c>
      <c r="L121" s="42">
        <f t="shared" si="66"/>
        <v>109598967</v>
      </c>
      <c r="M121" s="42">
        <f t="shared" si="66"/>
        <v>113542269</v>
      </c>
      <c r="N121" s="42">
        <f t="shared" si="66"/>
        <v>200462423</v>
      </c>
      <c r="O121" s="42">
        <f t="shared" si="66"/>
        <v>373667076</v>
      </c>
      <c r="P121" s="42">
        <f t="shared" si="67"/>
        <v>560601628</v>
      </c>
      <c r="Q121" s="43">
        <f t="shared" si="67"/>
        <v>343420318.70028341</v>
      </c>
      <c r="R121" s="43">
        <f t="shared" si="67"/>
        <v>374210457.15745926</v>
      </c>
      <c r="S121" s="43">
        <f t="shared" si="67"/>
        <v>412418028.56355721</v>
      </c>
      <c r="T121" s="43">
        <f t="shared" si="67"/>
        <v>420416238.87289613</v>
      </c>
      <c r="U121" s="43">
        <f t="shared" si="67"/>
        <v>416752110.3622967</v>
      </c>
      <c r="V121" s="43">
        <f t="shared" si="67"/>
        <v>432542504.66483927</v>
      </c>
      <c r="W121" s="43">
        <f t="shared" si="67"/>
        <v>467627828.79327995</v>
      </c>
      <c r="X121" s="43">
        <f t="shared" si="67"/>
        <v>549773463.07847941</v>
      </c>
      <c r="Y121" s="43">
        <f t="shared" si="67"/>
        <v>545706393.11939025</v>
      </c>
      <c r="Z121" s="43">
        <f t="shared" si="67"/>
        <v>528371493.82411933</v>
      </c>
      <c r="AA121" s="43">
        <f t="shared" si="67"/>
        <v>558739045.76240528</v>
      </c>
      <c r="AB121" s="43">
        <f t="shared" si="67"/>
        <v>593981025.88112545</v>
      </c>
      <c r="AC121" s="43">
        <f t="shared" si="67"/>
        <v>673555334.4475404</v>
      </c>
      <c r="AD121" s="43">
        <f t="shared" si="67"/>
        <v>742525193.65162885</v>
      </c>
      <c r="AE121" s="43">
        <f t="shared" si="67"/>
        <v>742875747.16012847</v>
      </c>
      <c r="AF121" s="43">
        <f t="shared" si="67"/>
        <v>650867928.4593991</v>
      </c>
      <c r="AG121" s="43">
        <f t="shared" si="67"/>
        <v>689559717.71183681</v>
      </c>
      <c r="AH121" s="43">
        <f t="shared" si="67"/>
        <v>728792950.39063299</v>
      </c>
      <c r="AI121" s="43">
        <f t="shared" si="67"/>
        <v>791690118.9643687</v>
      </c>
      <c r="AJ121" s="43">
        <f t="shared" si="67"/>
        <v>807205563.94367754</v>
      </c>
      <c r="AK121" s="43">
        <f t="shared" si="67"/>
        <v>802544209.43557048</v>
      </c>
      <c r="AL121" s="43">
        <f t="shared" si="67"/>
        <v>763842305.86719489</v>
      </c>
      <c r="AM121" s="43">
        <f t="shared" si="67"/>
        <v>796624512.73972917</v>
      </c>
      <c r="AN121" s="43">
        <f t="shared" si="67"/>
        <v>824963001.96343291</v>
      </c>
      <c r="AO121" s="43">
        <f t="shared" si="67"/>
        <v>854601232.46478724</v>
      </c>
      <c r="AP121" s="43">
        <f t="shared" si="67"/>
        <v>892352993.07064366</v>
      </c>
      <c r="AQ121" s="43"/>
    </row>
    <row r="122" spans="1:43">
      <c r="A122" s="40" t="s">
        <v>50</v>
      </c>
      <c r="B122" s="42">
        <f t="shared" si="68"/>
        <v>0</v>
      </c>
      <c r="C122" s="42">
        <f t="shared" si="68"/>
        <v>12218141</v>
      </c>
      <c r="D122" s="42">
        <f t="shared" si="68"/>
        <v>8928239</v>
      </c>
      <c r="E122" s="42">
        <f t="shared" si="68"/>
        <v>56300024</v>
      </c>
      <c r="F122" s="42">
        <f t="shared" si="68"/>
        <v>16917256</v>
      </c>
      <c r="G122" s="42">
        <f t="shared" si="68"/>
        <v>50020855</v>
      </c>
      <c r="H122" s="42">
        <f t="shared" si="68"/>
        <v>67722822</v>
      </c>
      <c r="I122" s="42">
        <f t="shared" si="68"/>
        <v>65992861</v>
      </c>
      <c r="J122" s="42">
        <f t="shared" si="66"/>
        <v>59937418</v>
      </c>
      <c r="K122" s="42">
        <f t="shared" si="66"/>
        <v>87787243</v>
      </c>
      <c r="L122" s="42">
        <f t="shared" si="66"/>
        <v>108475703</v>
      </c>
      <c r="M122" s="42">
        <f t="shared" si="66"/>
        <v>172183004</v>
      </c>
      <c r="N122" s="42">
        <f t="shared" si="66"/>
        <v>220293687</v>
      </c>
      <c r="O122" s="42">
        <f t="shared" si="66"/>
        <v>402844175</v>
      </c>
      <c r="P122" s="42">
        <f t="shared" si="67"/>
        <v>462008973</v>
      </c>
      <c r="Q122" s="43">
        <f t="shared" si="67"/>
        <v>346723631.30919695</v>
      </c>
      <c r="R122" s="43">
        <f t="shared" si="67"/>
        <v>376647133.54822904</v>
      </c>
      <c r="S122" s="43">
        <f t="shared" si="67"/>
        <v>408361799.6410839</v>
      </c>
      <c r="T122" s="43">
        <f t="shared" si="67"/>
        <v>415165503.98508012</v>
      </c>
      <c r="U122" s="43">
        <f t="shared" si="67"/>
        <v>418654261.41549331</v>
      </c>
      <c r="V122" s="43">
        <f t="shared" si="67"/>
        <v>433944350.79055715</v>
      </c>
      <c r="W122" s="43">
        <f t="shared" si="67"/>
        <v>468920879.32880282</v>
      </c>
      <c r="X122" s="43">
        <f t="shared" si="67"/>
        <v>552076452.96815789</v>
      </c>
      <c r="Y122" s="43">
        <f t="shared" si="67"/>
        <v>548489961.12517035</v>
      </c>
      <c r="Z122" s="43">
        <f t="shared" si="67"/>
        <v>531830892.51540524</v>
      </c>
      <c r="AA122" s="43">
        <f t="shared" si="67"/>
        <v>562344444.91343641</v>
      </c>
      <c r="AB122" s="43">
        <f t="shared" si="67"/>
        <v>600598009.16326857</v>
      </c>
      <c r="AC122" s="43">
        <f t="shared" si="67"/>
        <v>681803130.55414796</v>
      </c>
      <c r="AD122" s="43">
        <f t="shared" si="67"/>
        <v>751828551.58829224</v>
      </c>
      <c r="AE122" s="43">
        <f t="shared" si="67"/>
        <v>752367284.90293288</v>
      </c>
      <c r="AF122" s="43">
        <f t="shared" si="67"/>
        <v>658962625.32949209</v>
      </c>
      <c r="AG122" s="43">
        <f t="shared" si="67"/>
        <v>698172217.28418076</v>
      </c>
      <c r="AH122" s="43">
        <f t="shared" si="67"/>
        <v>737951707.33120298</v>
      </c>
      <c r="AI122" s="43">
        <f t="shared" si="67"/>
        <v>801775741.54906011</v>
      </c>
      <c r="AJ122" s="43">
        <f t="shared" si="67"/>
        <v>817533812.16583216</v>
      </c>
      <c r="AK122" s="43">
        <f t="shared" si="67"/>
        <v>812778825.59758437</v>
      </c>
      <c r="AL122" s="43">
        <f t="shared" si="67"/>
        <v>773508588.35370672</v>
      </c>
      <c r="AM122" s="43">
        <f t="shared" si="67"/>
        <v>806759002.05708027</v>
      </c>
      <c r="AN122" s="43">
        <f t="shared" si="67"/>
        <v>835527126.40745139</v>
      </c>
      <c r="AO122" s="43">
        <f t="shared" si="67"/>
        <v>865605233.47954679</v>
      </c>
      <c r="AP122" s="43">
        <f t="shared" si="67"/>
        <v>903880465.23257422</v>
      </c>
      <c r="AQ122" s="43"/>
    </row>
    <row r="123" spans="1:43">
      <c r="A123" s="40" t="s">
        <v>51</v>
      </c>
      <c r="B123" s="42">
        <f t="shared" si="68"/>
        <v>0</v>
      </c>
      <c r="C123" s="42">
        <f t="shared" si="68"/>
        <v>6619249</v>
      </c>
      <c r="D123" s="42">
        <f t="shared" si="68"/>
        <v>19512541</v>
      </c>
      <c r="E123" s="42">
        <f t="shared" si="68"/>
        <v>48867899</v>
      </c>
      <c r="F123" s="42">
        <f t="shared" si="68"/>
        <v>9009383</v>
      </c>
      <c r="G123" s="42">
        <f t="shared" si="68"/>
        <v>37371999</v>
      </c>
      <c r="H123" s="42">
        <f t="shared" si="68"/>
        <v>64910025</v>
      </c>
      <c r="I123" s="42">
        <f t="shared" si="68"/>
        <v>66636759</v>
      </c>
      <c r="J123" s="42">
        <f>J139+J203+J267</f>
        <v>76760287</v>
      </c>
      <c r="K123" s="42">
        <f t="shared" si="66"/>
        <v>103269375</v>
      </c>
      <c r="L123" s="42">
        <f t="shared" si="66"/>
        <v>165414780</v>
      </c>
      <c r="M123" s="42">
        <f t="shared" si="66"/>
        <v>157323790</v>
      </c>
      <c r="N123" s="42">
        <f t="shared" si="66"/>
        <v>260254330</v>
      </c>
      <c r="O123" s="42">
        <f t="shared" si="66"/>
        <v>393856745</v>
      </c>
      <c r="P123" s="42">
        <f t="shared" si="67"/>
        <v>496208480</v>
      </c>
      <c r="Q123" s="43">
        <f t="shared" si="67"/>
        <v>359642064.29660499</v>
      </c>
      <c r="R123" s="43">
        <f t="shared" si="67"/>
        <v>393256149.52509779</v>
      </c>
      <c r="S123" s="43">
        <f t="shared" si="67"/>
        <v>422835736.54719919</v>
      </c>
      <c r="T123" s="43">
        <f t="shared" si="67"/>
        <v>424535337.93671787</v>
      </c>
      <c r="U123" s="43">
        <f t="shared" si="67"/>
        <v>428993378.07030016</v>
      </c>
      <c r="V123" s="43">
        <f t="shared" si="67"/>
        <v>446340082.3592093</v>
      </c>
      <c r="W123" s="43">
        <f t="shared" si="67"/>
        <v>481684932.75203276</v>
      </c>
      <c r="X123" s="43">
        <f t="shared" si="67"/>
        <v>565314560.21059823</v>
      </c>
      <c r="Y123" s="43">
        <f t="shared" si="67"/>
        <v>561137302.45345998</v>
      </c>
      <c r="Z123" s="43">
        <f t="shared" si="67"/>
        <v>544370889.70612514</v>
      </c>
      <c r="AA123" s="43">
        <f t="shared" si="67"/>
        <v>575660334.21402729</v>
      </c>
      <c r="AB123" s="43">
        <f t="shared" si="67"/>
        <v>612771922.05466473</v>
      </c>
      <c r="AC123" s="43">
        <f t="shared" si="67"/>
        <v>695023548.91286552</v>
      </c>
      <c r="AD123" s="43">
        <f t="shared" si="67"/>
        <v>766228765.89129472</v>
      </c>
      <c r="AE123" s="43">
        <f t="shared" si="67"/>
        <v>766870593.03934121</v>
      </c>
      <c r="AF123" s="43">
        <f t="shared" si="67"/>
        <v>671824604.11565626</v>
      </c>
      <c r="AG123" s="43">
        <f t="shared" si="67"/>
        <v>711715316.33954287</v>
      </c>
      <c r="AH123" s="43">
        <f t="shared" si="67"/>
        <v>752187396.06946683</v>
      </c>
      <c r="AI123" s="43">
        <f t="shared" si="67"/>
        <v>817172877.61280453</v>
      </c>
      <c r="AJ123" s="43">
        <f t="shared" si="67"/>
        <v>833240811.81920791</v>
      </c>
      <c r="AK123" s="43">
        <f t="shared" si="67"/>
        <v>828404291.35438001</v>
      </c>
      <c r="AL123" s="43">
        <f t="shared" si="67"/>
        <v>788399445.1087482</v>
      </c>
      <c r="AM123" s="43">
        <f t="shared" si="67"/>
        <v>822253343.06873047</v>
      </c>
      <c r="AN123" s="43">
        <f t="shared" si="67"/>
        <v>851544172.79762566</v>
      </c>
      <c r="AO123" s="43">
        <f t="shared" si="67"/>
        <v>882187796.02099991</v>
      </c>
      <c r="AP123" s="43">
        <f t="shared" si="67"/>
        <v>921163820.04382002</v>
      </c>
      <c r="AQ123" s="43"/>
    </row>
    <row r="124" spans="1:43">
      <c r="A124" s="40" t="s">
        <v>52</v>
      </c>
      <c r="B124" s="42">
        <f t="shared" si="68"/>
        <v>0</v>
      </c>
      <c r="C124" s="42">
        <f t="shared" si="68"/>
        <v>9558694</v>
      </c>
      <c r="D124" s="42">
        <f t="shared" si="68"/>
        <v>26171443</v>
      </c>
      <c r="E124" s="42">
        <f t="shared" si="68"/>
        <v>53254710</v>
      </c>
      <c r="F124" s="42">
        <f t="shared" si="68"/>
        <v>24139498</v>
      </c>
      <c r="G124" s="42">
        <f t="shared" si="68"/>
        <v>37214008</v>
      </c>
      <c r="H124" s="42">
        <f t="shared" si="68"/>
        <v>52795094</v>
      </c>
      <c r="I124" s="42">
        <f t="shared" si="68"/>
        <v>70234517</v>
      </c>
      <c r="J124" s="42">
        <f>J140+J204+J268</f>
        <v>61039850</v>
      </c>
      <c r="K124" s="42">
        <f t="shared" si="66"/>
        <v>135397399</v>
      </c>
      <c r="L124" s="42">
        <f t="shared" si="66"/>
        <v>85254069</v>
      </c>
      <c r="M124" s="42">
        <f t="shared" si="66"/>
        <v>194206886</v>
      </c>
      <c r="N124" s="42">
        <f t="shared" si="66"/>
        <v>241348072</v>
      </c>
      <c r="O124" s="42">
        <f t="shared" si="66"/>
        <v>428040751</v>
      </c>
      <c r="P124" s="42">
        <f t="shared" si="67"/>
        <v>507618135</v>
      </c>
      <c r="Q124" s="43">
        <f t="shared" si="67"/>
        <v>391378944.169016</v>
      </c>
      <c r="R124" s="43">
        <f t="shared" si="67"/>
        <v>437124100.23277295</v>
      </c>
      <c r="S124" s="43">
        <f t="shared" si="67"/>
        <v>472626341.46359169</v>
      </c>
      <c r="T124" s="43">
        <f t="shared" si="67"/>
        <v>477206393.96216667</v>
      </c>
      <c r="U124" s="43">
        <f t="shared" si="67"/>
        <v>473682544.30212051</v>
      </c>
      <c r="V124" s="43">
        <f t="shared" si="67"/>
        <v>494325042.65274799</v>
      </c>
      <c r="W124" s="43">
        <f t="shared" si="67"/>
        <v>534184929.99333531</v>
      </c>
      <c r="X124" s="43">
        <f t="shared" si="67"/>
        <v>625863562.95373082</v>
      </c>
      <c r="Y124" s="43">
        <f t="shared" si="67"/>
        <v>620878843.65326118</v>
      </c>
      <c r="Z124" s="43">
        <f t="shared" si="67"/>
        <v>601482694.54040933</v>
      </c>
      <c r="AA124" s="43">
        <f t="shared" si="67"/>
        <v>636270732.1262579</v>
      </c>
      <c r="AB124" s="43">
        <f t="shared" ref="AB124:AP124" si="69">AB140+AB204+AB268</f>
        <v>674954026.16877043</v>
      </c>
      <c r="AC124" s="43">
        <f t="shared" si="69"/>
        <v>764903209.55773222</v>
      </c>
      <c r="AD124" s="43">
        <f t="shared" si="69"/>
        <v>843105785.22453129</v>
      </c>
      <c r="AE124" s="43">
        <f t="shared" si="69"/>
        <v>843603374.19228303</v>
      </c>
      <c r="AF124" s="43">
        <f t="shared" si="69"/>
        <v>739272953.28802443</v>
      </c>
      <c r="AG124" s="43">
        <f t="shared" si="69"/>
        <v>783146736.04275429</v>
      </c>
      <c r="AH124" s="43">
        <f t="shared" si="69"/>
        <v>827615318.98537707</v>
      </c>
      <c r="AI124" s="43">
        <f t="shared" si="69"/>
        <v>899002776.2921052</v>
      </c>
      <c r="AJ124" s="43">
        <f t="shared" si="69"/>
        <v>916637368.06134081</v>
      </c>
      <c r="AK124" s="43">
        <f t="shared" si="69"/>
        <v>911355388.17590308</v>
      </c>
      <c r="AL124" s="43">
        <f t="shared" si="69"/>
        <v>867405817.04526615</v>
      </c>
      <c r="AM124" s="43">
        <f t="shared" si="69"/>
        <v>904606102.66095638</v>
      </c>
      <c r="AN124" s="43">
        <f t="shared" si="69"/>
        <v>936772165.92894995</v>
      </c>
      <c r="AO124" s="43">
        <f t="shared" si="69"/>
        <v>970428679.25530541</v>
      </c>
      <c r="AP124" s="43">
        <f t="shared" si="69"/>
        <v>1013278547.8346485</v>
      </c>
      <c r="AQ124" s="43"/>
    </row>
    <row r="125" spans="1:43">
      <c r="A125" s="40" t="s">
        <v>53</v>
      </c>
      <c r="B125" s="42">
        <f t="shared" si="68"/>
        <v>594555</v>
      </c>
      <c r="C125" s="42">
        <f t="shared" si="68"/>
        <v>6071995</v>
      </c>
      <c r="D125" s="42">
        <f t="shared" si="68"/>
        <v>23715685</v>
      </c>
      <c r="E125" s="42">
        <f t="shared" si="68"/>
        <v>56152447</v>
      </c>
      <c r="F125" s="42">
        <f t="shared" si="68"/>
        <v>42910334</v>
      </c>
      <c r="G125" s="42">
        <f t="shared" si="68"/>
        <v>42803059</v>
      </c>
      <c r="H125" s="42">
        <f t="shared" si="68"/>
        <v>71161492</v>
      </c>
      <c r="I125" s="42">
        <f t="shared" si="68"/>
        <v>57985293</v>
      </c>
      <c r="J125" s="42">
        <f>J141+J205+J269</f>
        <v>80855801</v>
      </c>
      <c r="K125" s="42">
        <f t="shared" si="66"/>
        <v>109251895</v>
      </c>
      <c r="L125" s="42">
        <f t="shared" si="66"/>
        <v>142534615</v>
      </c>
      <c r="M125" s="42">
        <f t="shared" si="66"/>
        <v>220567731</v>
      </c>
      <c r="N125" s="42">
        <f t="shared" si="66"/>
        <v>319234810</v>
      </c>
      <c r="O125" s="42">
        <f t="shared" si="66"/>
        <v>413633736</v>
      </c>
      <c r="P125" s="42">
        <f t="shared" si="66"/>
        <v>492248988</v>
      </c>
      <c r="Q125" s="43">
        <f t="shared" si="66"/>
        <v>417998625.76900709</v>
      </c>
      <c r="R125" s="43">
        <f t="shared" si="66"/>
        <v>513919224.05946225</v>
      </c>
      <c r="S125" s="43">
        <f t="shared" ref="S125:AP126" si="70">S141+S205+S269</f>
        <v>558889285.23762584</v>
      </c>
      <c r="T125" s="43">
        <f t="shared" si="70"/>
        <v>566616971.64923549</v>
      </c>
      <c r="U125" s="43">
        <f t="shared" si="70"/>
        <v>563156293.45717812</v>
      </c>
      <c r="V125" s="43">
        <f t="shared" si="70"/>
        <v>589669915.16935861</v>
      </c>
      <c r="W125" s="43">
        <f t="shared" si="70"/>
        <v>637735562.23593915</v>
      </c>
      <c r="X125" s="43">
        <f t="shared" si="70"/>
        <v>750514156.85222924</v>
      </c>
      <c r="Y125" s="43">
        <f t="shared" si="70"/>
        <v>745032999.32028151</v>
      </c>
      <c r="Z125" s="43">
        <f t="shared" si="70"/>
        <v>721906040.81646311</v>
      </c>
      <c r="AA125" s="43">
        <f t="shared" si="70"/>
        <v>764176484.30830979</v>
      </c>
      <c r="AB125" s="43">
        <f t="shared" si="70"/>
        <v>816341499.87271333</v>
      </c>
      <c r="AC125" s="43">
        <f t="shared" si="70"/>
        <v>926866407.6600579</v>
      </c>
      <c r="AD125" s="43">
        <f t="shared" si="70"/>
        <v>1021901951.4516119</v>
      </c>
      <c r="AE125" s="43">
        <f t="shared" si="70"/>
        <v>1022492164.2935653</v>
      </c>
      <c r="AF125" s="43">
        <f t="shared" si="70"/>
        <v>895734054.47432733</v>
      </c>
      <c r="AG125" s="43">
        <f t="shared" si="70"/>
        <v>949030811.42332649</v>
      </c>
      <c r="AH125" s="43">
        <f t="shared" si="70"/>
        <v>1003068198.158608</v>
      </c>
      <c r="AI125" s="43">
        <f t="shared" si="70"/>
        <v>1089804148.1937492</v>
      </c>
      <c r="AJ125" s="43">
        <f t="shared" si="70"/>
        <v>1111226800.9941218</v>
      </c>
      <c r="AK125" s="43">
        <f t="shared" si="70"/>
        <v>1104809296.834321</v>
      </c>
      <c r="AL125" s="43">
        <f t="shared" si="70"/>
        <v>1051411018.7009996</v>
      </c>
      <c r="AM125" s="43">
        <f t="shared" si="70"/>
        <v>1096609270.8979361</v>
      </c>
      <c r="AN125" s="43">
        <f t="shared" si="70"/>
        <v>1135691918.7094166</v>
      </c>
      <c r="AO125" s="43">
        <f t="shared" si="70"/>
        <v>1176581555.1614988</v>
      </c>
      <c r="AP125" s="43">
        <f t="shared" si="70"/>
        <v>1228643186.8691151</v>
      </c>
      <c r="AQ125" s="43"/>
    </row>
    <row r="126" spans="1:43">
      <c r="A126" s="40" t="s">
        <v>54</v>
      </c>
      <c r="B126" s="42">
        <f t="shared" si="68"/>
        <v>1012645</v>
      </c>
      <c r="C126" s="42">
        <f t="shared" si="68"/>
        <v>9296626</v>
      </c>
      <c r="D126" s="42">
        <f t="shared" si="68"/>
        <v>10210265</v>
      </c>
      <c r="E126" s="42">
        <f t="shared" si="68"/>
        <v>48159899</v>
      </c>
      <c r="F126" s="42">
        <f t="shared" si="68"/>
        <v>57198140</v>
      </c>
      <c r="G126" s="42">
        <f t="shared" si="68"/>
        <v>35946585</v>
      </c>
      <c r="H126" s="42">
        <f t="shared" si="68"/>
        <v>72653272</v>
      </c>
      <c r="I126" s="42">
        <f t="shared" si="68"/>
        <v>75745969</v>
      </c>
      <c r="J126" s="42">
        <f>J142+J206+J270</f>
        <v>116680835</v>
      </c>
      <c r="K126" s="42">
        <f t="shared" si="66"/>
        <v>136635755</v>
      </c>
      <c r="L126" s="42">
        <f t="shared" si="66"/>
        <v>147314129</v>
      </c>
      <c r="M126" s="42">
        <f t="shared" si="66"/>
        <v>258439925</v>
      </c>
      <c r="N126" s="42">
        <f t="shared" si="66"/>
        <v>298985722</v>
      </c>
      <c r="O126" s="42">
        <f t="shared" si="66"/>
        <v>537124893</v>
      </c>
      <c r="P126" s="42">
        <f t="shared" si="66"/>
        <v>580870474</v>
      </c>
      <c r="Q126" s="43">
        <f t="shared" si="66"/>
        <v>580376821.59036028</v>
      </c>
      <c r="R126" s="43">
        <f t="shared" si="66"/>
        <v>597594478.7362355</v>
      </c>
      <c r="S126" s="43">
        <f t="shared" si="70"/>
        <v>648104897.25968242</v>
      </c>
      <c r="T126" s="43">
        <f t="shared" si="70"/>
        <v>657188091.05725765</v>
      </c>
      <c r="U126" s="43">
        <f t="shared" si="70"/>
        <v>656744363.68990958</v>
      </c>
      <c r="V126" s="43">
        <f t="shared" si="70"/>
        <v>690361925.6703043</v>
      </c>
      <c r="W126" s="43">
        <f t="shared" si="70"/>
        <v>736990199.9080584</v>
      </c>
      <c r="X126" s="43">
        <f t="shared" si="70"/>
        <v>864231545.92651701</v>
      </c>
      <c r="Y126" s="43">
        <f t="shared" si="70"/>
        <v>858191411.54283345</v>
      </c>
      <c r="Z126" s="43">
        <f t="shared" si="70"/>
        <v>831984569.08900523</v>
      </c>
      <c r="AA126" s="43">
        <f t="shared" si="70"/>
        <v>879967403.21251857</v>
      </c>
      <c r="AB126" s="43">
        <f t="shared" si="70"/>
        <v>931246312.62554574</v>
      </c>
      <c r="AC126" s="43">
        <f t="shared" si="70"/>
        <v>1054849486.3082309</v>
      </c>
      <c r="AD126" s="43">
        <f t="shared" si="70"/>
        <v>1162897073.5477366</v>
      </c>
      <c r="AE126" s="43">
        <f t="shared" si="70"/>
        <v>1163763882.3707702</v>
      </c>
      <c r="AF126" s="43">
        <f t="shared" si="70"/>
        <v>1019940659.8879025</v>
      </c>
      <c r="AG126" s="43">
        <f t="shared" si="70"/>
        <v>1080149170.2757063</v>
      </c>
      <c r="AH126" s="43">
        <f t="shared" si="70"/>
        <v>1141556669.6525555</v>
      </c>
      <c r="AI126" s="43">
        <f t="shared" si="70"/>
        <v>1240027469.8375483</v>
      </c>
      <c r="AJ126" s="43">
        <f t="shared" si="70"/>
        <v>1264357045.8714273</v>
      </c>
      <c r="AK126" s="43">
        <f t="shared" si="70"/>
        <v>1257045942.0371845</v>
      </c>
      <c r="AL126" s="43">
        <f t="shared" si="70"/>
        <v>1196396779.0636456</v>
      </c>
      <c r="AM126" s="43">
        <f t="shared" si="70"/>
        <v>1247689892.6283443</v>
      </c>
      <c r="AN126" s="43">
        <f t="shared" si="70"/>
        <v>1292084478.4721518</v>
      </c>
      <c r="AO126" s="43">
        <f t="shared" si="70"/>
        <v>1338497505.377528</v>
      </c>
      <c r="AP126" s="43">
        <f t="shared" si="70"/>
        <v>1397552030.0314376</v>
      </c>
      <c r="AQ126" s="43"/>
    </row>
    <row r="127" spans="1:43">
      <c r="A127" s="40" t="s">
        <v>29</v>
      </c>
      <c r="B127" s="42">
        <f>SUM(B115:B126)</f>
        <v>1607200</v>
      </c>
      <c r="C127" s="42">
        <f t="shared" ref="C127:AP127" si="71">SUM(C115:C126)</f>
        <v>75529663</v>
      </c>
      <c r="D127" s="42">
        <f t="shared" si="71"/>
        <v>152667253</v>
      </c>
      <c r="E127" s="42">
        <f t="shared" si="71"/>
        <v>438842948</v>
      </c>
      <c r="F127" s="42">
        <f t="shared" si="71"/>
        <v>556636135</v>
      </c>
      <c r="G127" s="42">
        <f t="shared" si="71"/>
        <v>522546996</v>
      </c>
      <c r="H127" s="42">
        <f t="shared" si="71"/>
        <v>715445969</v>
      </c>
      <c r="I127" s="42">
        <f t="shared" si="71"/>
        <v>770898438</v>
      </c>
      <c r="J127" s="42">
        <f t="shared" si="71"/>
        <v>824864952</v>
      </c>
      <c r="K127" s="42">
        <f t="shared" si="71"/>
        <v>1294930155</v>
      </c>
      <c r="L127" s="42">
        <f t="shared" si="71"/>
        <v>1431270516</v>
      </c>
      <c r="M127" s="42">
        <f t="shared" si="71"/>
        <v>1995224653</v>
      </c>
      <c r="N127" s="42">
        <f t="shared" si="71"/>
        <v>2970432552</v>
      </c>
      <c r="O127" s="42">
        <f t="shared" si="71"/>
        <v>4664280041</v>
      </c>
      <c r="P127" s="42">
        <f t="shared" si="71"/>
        <v>5891799664</v>
      </c>
      <c r="Q127" s="43">
        <f t="shared" si="71"/>
        <v>4600547426.4500704</v>
      </c>
      <c r="R127" s="43">
        <f t="shared" si="71"/>
        <v>4909856561.0849228</v>
      </c>
      <c r="S127" s="43">
        <f t="shared" si="71"/>
        <v>5318855504.2205639</v>
      </c>
      <c r="T127" s="43">
        <f t="shared" si="71"/>
        <v>5373083082.868536</v>
      </c>
      <c r="U127" s="43">
        <f t="shared" si="71"/>
        <v>5366669217.0322475</v>
      </c>
      <c r="V127" s="43">
        <f t="shared" si="71"/>
        <v>5566585658.1156006</v>
      </c>
      <c r="W127" s="43">
        <f t="shared" si="71"/>
        <v>6015994043.4266329</v>
      </c>
      <c r="X127" s="43">
        <f t="shared" si="71"/>
        <v>7049069521.2717323</v>
      </c>
      <c r="Y127" s="43">
        <f t="shared" si="71"/>
        <v>6994394639.2095814</v>
      </c>
      <c r="Z127" s="43">
        <f t="shared" si="71"/>
        <v>6777370241.3265047</v>
      </c>
      <c r="AA127" s="43">
        <f t="shared" si="71"/>
        <v>7164775669.3696022</v>
      </c>
      <c r="AB127" s="43">
        <f t="shared" si="71"/>
        <v>7595200901.7291765</v>
      </c>
      <c r="AC127" s="43">
        <f t="shared" si="71"/>
        <v>8605510642.447855</v>
      </c>
      <c r="AD127" s="43">
        <f t="shared" si="71"/>
        <v>9485569108.7526169</v>
      </c>
      <c r="AE127" s="43">
        <f t="shared" si="71"/>
        <v>9491643191.4038429</v>
      </c>
      <c r="AF127" s="43">
        <f t="shared" si="71"/>
        <v>8317140072.2824564</v>
      </c>
      <c r="AG127" s="43">
        <f t="shared" si="71"/>
        <v>8810794767.7556572</v>
      </c>
      <c r="AH127" s="43">
        <f t="shared" si="71"/>
        <v>9311161873.5080681</v>
      </c>
      <c r="AI127" s="43">
        <f t="shared" si="71"/>
        <v>10114143569.483051</v>
      </c>
      <c r="AJ127" s="43">
        <f t="shared" si="71"/>
        <v>10312454652.312321</v>
      </c>
      <c r="AK127" s="43">
        <f t="shared" si="71"/>
        <v>10252848010.245728</v>
      </c>
      <c r="AL127" s="43">
        <f t="shared" si="71"/>
        <v>9758656855.7724133</v>
      </c>
      <c r="AM127" s="43">
        <f t="shared" si="71"/>
        <v>10177075522.61697</v>
      </c>
      <c r="AN127" s="43">
        <f t="shared" si="71"/>
        <v>10538917660.613689</v>
      </c>
      <c r="AO127" s="43">
        <f t="shared" si="71"/>
        <v>10917438161.144468</v>
      </c>
      <c r="AP127" s="43">
        <f t="shared" si="71"/>
        <v>11399257163.673296</v>
      </c>
      <c r="AQ127" s="43"/>
    </row>
    <row r="129" spans="1:43" ht="12" thickBot="1">
      <c r="A129" s="245" t="s">
        <v>383</v>
      </c>
    </row>
    <row r="130" spans="1:43" ht="12" thickBot="1">
      <c r="A130" s="270"/>
      <c r="B130" s="263">
        <v>2010</v>
      </c>
      <c r="C130" s="263">
        <v>2011</v>
      </c>
      <c r="D130" s="263">
        <v>2012</v>
      </c>
      <c r="E130" s="263">
        <v>2013</v>
      </c>
      <c r="F130" s="263">
        <v>2014</v>
      </c>
      <c r="G130" s="263">
        <v>2015</v>
      </c>
      <c r="H130" s="263">
        <v>2016</v>
      </c>
      <c r="I130" s="263">
        <v>2017</v>
      </c>
      <c r="J130" s="263">
        <v>2018</v>
      </c>
      <c r="K130" s="263">
        <v>2019</v>
      </c>
      <c r="L130" s="263">
        <v>2020</v>
      </c>
      <c r="M130" s="263">
        <v>2021</v>
      </c>
      <c r="N130" s="263">
        <v>2022</v>
      </c>
      <c r="O130" s="263">
        <v>2023</v>
      </c>
      <c r="P130" s="263">
        <v>2024</v>
      </c>
      <c r="Q130" s="263">
        <v>2025</v>
      </c>
      <c r="R130" s="263">
        <v>2026</v>
      </c>
      <c r="S130" s="263">
        <v>2027</v>
      </c>
      <c r="T130" s="263">
        <v>2028</v>
      </c>
      <c r="U130" s="263">
        <v>2029</v>
      </c>
      <c r="V130" s="263">
        <v>2030</v>
      </c>
      <c r="W130" s="263">
        <v>2031</v>
      </c>
      <c r="X130" s="263">
        <v>2032</v>
      </c>
      <c r="Y130" s="263">
        <v>2033</v>
      </c>
      <c r="Z130" s="263">
        <v>2034</v>
      </c>
      <c r="AA130" s="263">
        <v>2035</v>
      </c>
      <c r="AB130" s="263">
        <v>2036</v>
      </c>
      <c r="AC130" s="263">
        <v>2037</v>
      </c>
      <c r="AD130" s="263">
        <v>2038</v>
      </c>
      <c r="AE130" s="263">
        <v>2039</v>
      </c>
      <c r="AF130" s="263">
        <v>2040</v>
      </c>
      <c r="AG130" s="263">
        <v>2041</v>
      </c>
      <c r="AH130" s="263">
        <v>2042</v>
      </c>
      <c r="AI130" s="263">
        <v>2043</v>
      </c>
      <c r="AJ130" s="263">
        <v>2044</v>
      </c>
      <c r="AK130" s="263">
        <v>2045</v>
      </c>
      <c r="AL130" s="263">
        <v>2046</v>
      </c>
      <c r="AM130" s="263">
        <v>2047</v>
      </c>
      <c r="AN130" s="263">
        <v>2048</v>
      </c>
      <c r="AO130" s="263">
        <v>2049</v>
      </c>
      <c r="AP130" s="263">
        <v>2050</v>
      </c>
      <c r="AQ130" s="245"/>
    </row>
    <row r="131" spans="1:43">
      <c r="A131" s="40" t="s">
        <v>43</v>
      </c>
      <c r="B131" s="42">
        <f>B147+B163+B179</f>
        <v>0</v>
      </c>
      <c r="C131" s="42">
        <f t="shared" ref="C131:R142" si="72">C147+C163+C179</f>
        <v>3638065</v>
      </c>
      <c r="D131" s="42">
        <f t="shared" si="72"/>
        <v>6296007</v>
      </c>
      <c r="E131" s="42">
        <f t="shared" si="72"/>
        <v>1426125</v>
      </c>
      <c r="F131" s="42">
        <f t="shared" si="72"/>
        <v>17097517</v>
      </c>
      <c r="G131" s="42">
        <f t="shared" si="72"/>
        <v>29444324</v>
      </c>
      <c r="H131" s="42">
        <f t="shared" si="72"/>
        <v>19588815</v>
      </c>
      <c r="I131" s="42">
        <f t="shared" si="72"/>
        <v>30788600</v>
      </c>
      <c r="J131" s="42">
        <f t="shared" si="72"/>
        <v>22710110</v>
      </c>
      <c r="K131" s="42">
        <f t="shared" si="72"/>
        <v>56959337</v>
      </c>
      <c r="L131" s="42">
        <f>L147+L163+L179</f>
        <v>64314791</v>
      </c>
      <c r="M131" s="42">
        <f>M147+M163+M179</f>
        <v>70841221</v>
      </c>
      <c r="N131" s="42">
        <f>N147+N163+N179</f>
        <v>141082518</v>
      </c>
      <c r="O131" s="42">
        <f>O147+O163+O179</f>
        <v>242909865</v>
      </c>
      <c r="P131" s="42">
        <f t="shared" ref="P131:AP140" si="73">P147+P163+P179</f>
        <v>377678387</v>
      </c>
      <c r="Q131" s="42">
        <f t="shared" si="73"/>
        <v>356710383</v>
      </c>
      <c r="R131" s="43">
        <f t="shared" si="73"/>
        <v>284518162.87384647</v>
      </c>
      <c r="S131" s="43">
        <f t="shared" si="73"/>
        <v>312992356.73017842</v>
      </c>
      <c r="T131" s="43">
        <f t="shared" si="73"/>
        <v>318755468.3099404</v>
      </c>
      <c r="U131" s="43">
        <f t="shared" si="73"/>
        <v>320636550.58037251</v>
      </c>
      <c r="V131" s="43">
        <f t="shared" si="73"/>
        <v>335726096.22822291</v>
      </c>
      <c r="W131" s="43">
        <f t="shared" si="73"/>
        <v>364495472.33174974</v>
      </c>
      <c r="X131" s="43">
        <f t="shared" si="73"/>
        <v>432920617.5482977</v>
      </c>
      <c r="Y131" s="43">
        <f t="shared" si="73"/>
        <v>430337213.54968166</v>
      </c>
      <c r="Z131" s="43">
        <f t="shared" si="73"/>
        <v>417360825.27878696</v>
      </c>
      <c r="AA131" s="43">
        <f t="shared" si="73"/>
        <v>442161013.3190605</v>
      </c>
      <c r="AB131" s="43">
        <f t="shared" si="73"/>
        <v>479340188.45108694</v>
      </c>
      <c r="AC131" s="43">
        <f t="shared" si="73"/>
        <v>546307959.76246548</v>
      </c>
      <c r="AD131" s="43">
        <f t="shared" si="73"/>
        <v>602645878.31262314</v>
      </c>
      <c r="AE131" s="43">
        <f t="shared" si="73"/>
        <v>603034717.4486202</v>
      </c>
      <c r="AF131" s="43">
        <f t="shared" si="73"/>
        <v>527847597.96118855</v>
      </c>
      <c r="AG131" s="43">
        <f t="shared" si="73"/>
        <v>559449450.66793716</v>
      </c>
      <c r="AH131" s="43">
        <f t="shared" si="73"/>
        <v>591481005.76157093</v>
      </c>
      <c r="AI131" s="43">
        <f t="shared" si="73"/>
        <v>642884769.39453018</v>
      </c>
      <c r="AJ131" s="43">
        <f t="shared" si="73"/>
        <v>655579873.25387108</v>
      </c>
      <c r="AK131" s="43">
        <f t="shared" si="73"/>
        <v>651764087.96872294</v>
      </c>
      <c r="AL131" s="43">
        <f t="shared" si="73"/>
        <v>620127893.24425793</v>
      </c>
      <c r="AM131" s="43">
        <f t="shared" si="73"/>
        <v>646913428.15483916</v>
      </c>
      <c r="AN131" s="43">
        <f t="shared" si="73"/>
        <v>670077153.83783174</v>
      </c>
      <c r="AO131" s="43">
        <f t="shared" si="73"/>
        <v>694308563.39180601</v>
      </c>
      <c r="AP131" s="43">
        <f t="shared" si="73"/>
        <v>725152741.09101117</v>
      </c>
      <c r="AQ131" s="43"/>
    </row>
    <row r="132" spans="1:43">
      <c r="A132" s="40" t="s">
        <v>44</v>
      </c>
      <c r="B132" s="42">
        <f t="shared" ref="B132:I142" si="74">B148+B164+B180</f>
        <v>0</v>
      </c>
      <c r="C132" s="42">
        <f t="shared" si="74"/>
        <v>378648</v>
      </c>
      <c r="D132" s="42">
        <f t="shared" si="74"/>
        <v>2490356</v>
      </c>
      <c r="E132" s="42">
        <f t="shared" si="74"/>
        <v>1149266</v>
      </c>
      <c r="F132" s="42">
        <f t="shared" si="74"/>
        <v>19919770</v>
      </c>
      <c r="G132" s="42">
        <f t="shared" si="74"/>
        <v>22217898</v>
      </c>
      <c r="H132" s="42">
        <f t="shared" si="74"/>
        <v>11989385</v>
      </c>
      <c r="I132" s="42">
        <f t="shared" si="74"/>
        <v>35164747</v>
      </c>
      <c r="J132" s="42">
        <f t="shared" si="72"/>
        <v>34279817</v>
      </c>
      <c r="K132" s="42">
        <f t="shared" si="72"/>
        <v>64303583</v>
      </c>
      <c r="L132" s="42">
        <f t="shared" si="72"/>
        <v>57711396</v>
      </c>
      <c r="M132" s="42">
        <f t="shared" si="72"/>
        <v>79379488</v>
      </c>
      <c r="N132" s="42">
        <f t="shared" si="72"/>
        <v>164321975</v>
      </c>
      <c r="O132" s="42">
        <f>O148+O164+O180</f>
        <v>233489629</v>
      </c>
      <c r="P132" s="42">
        <f t="shared" si="73"/>
        <v>379888923</v>
      </c>
      <c r="Q132" s="42">
        <f t="shared" si="73"/>
        <v>304737852</v>
      </c>
      <c r="R132" s="43">
        <f t="shared" si="73"/>
        <v>313738612.88221025</v>
      </c>
      <c r="S132" s="43">
        <f t="shared" si="73"/>
        <v>345137149.94989747</v>
      </c>
      <c r="T132" s="43">
        <f t="shared" si="73"/>
        <v>351492141.89366883</v>
      </c>
      <c r="U132" s="43">
        <f t="shared" si="73"/>
        <v>353566414.18715459</v>
      </c>
      <c r="V132" s="43">
        <f t="shared" si="73"/>
        <v>370205679.22654849</v>
      </c>
      <c r="W132" s="43">
        <f t="shared" si="73"/>
        <v>401929714.20919114</v>
      </c>
      <c r="X132" s="43">
        <f t="shared" si="73"/>
        <v>477382226.37806147</v>
      </c>
      <c r="Y132" s="43">
        <f t="shared" si="73"/>
        <v>474533502.84191412</v>
      </c>
      <c r="Z132" s="43">
        <f t="shared" si="73"/>
        <v>460224419.67052931</v>
      </c>
      <c r="AA132" s="43">
        <f t="shared" si="73"/>
        <v>487571624.91177547</v>
      </c>
      <c r="AB132" s="43">
        <f t="shared" si="73"/>
        <v>528569158.13146925</v>
      </c>
      <c r="AC132" s="43">
        <f t="shared" si="73"/>
        <v>602414621.86856234</v>
      </c>
      <c r="AD132" s="43">
        <f t="shared" si="73"/>
        <v>664538530.72577846</v>
      </c>
      <c r="AE132" s="43">
        <f t="shared" si="73"/>
        <v>664967304.23510301</v>
      </c>
      <c r="AF132" s="43">
        <f t="shared" si="73"/>
        <v>582058352.70691884</v>
      </c>
      <c r="AG132" s="43">
        <f t="shared" si="73"/>
        <v>616905763.96733558</v>
      </c>
      <c r="AH132" s="43">
        <f t="shared" si="73"/>
        <v>652227008.70626175</v>
      </c>
      <c r="AI132" s="43">
        <f t="shared" si="73"/>
        <v>708910017.3979789</v>
      </c>
      <c r="AJ132" s="43">
        <f t="shared" si="73"/>
        <v>722908927.81900263</v>
      </c>
      <c r="AK132" s="43">
        <f t="shared" si="73"/>
        <v>718701255.55538857</v>
      </c>
      <c r="AL132" s="43">
        <f t="shared" si="73"/>
        <v>683815975.29956841</v>
      </c>
      <c r="AM132" s="43">
        <f t="shared" si="73"/>
        <v>713352425.56787682</v>
      </c>
      <c r="AN132" s="43">
        <f t="shared" si="73"/>
        <v>738895101.26759434</v>
      </c>
      <c r="AO132" s="43">
        <f t="shared" si="73"/>
        <v>765615113.60303009</v>
      </c>
      <c r="AP132" s="43">
        <f t="shared" si="73"/>
        <v>799627035.47506785</v>
      </c>
      <c r="AQ132" s="43"/>
    </row>
    <row r="133" spans="1:43">
      <c r="A133" s="40" t="s">
        <v>45</v>
      </c>
      <c r="B133" s="42">
        <f t="shared" si="74"/>
        <v>0</v>
      </c>
      <c r="C133" s="42">
        <f t="shared" si="74"/>
        <v>3981328</v>
      </c>
      <c r="D133" s="42">
        <f t="shared" si="74"/>
        <v>7885461</v>
      </c>
      <c r="E133" s="42">
        <f t="shared" si="74"/>
        <v>1933109</v>
      </c>
      <c r="F133" s="42">
        <f t="shared" si="74"/>
        <v>24049816</v>
      </c>
      <c r="G133" s="42">
        <f t="shared" si="74"/>
        <v>26136081</v>
      </c>
      <c r="H133" s="42">
        <f t="shared" si="74"/>
        <v>29701327</v>
      </c>
      <c r="I133" s="42">
        <f t="shared" si="74"/>
        <v>26177755</v>
      </c>
      <c r="J133" s="42">
        <f t="shared" si="72"/>
        <v>38753250</v>
      </c>
      <c r="K133" s="42">
        <f t="shared" si="72"/>
        <v>55870618</v>
      </c>
      <c r="L133" s="42">
        <f t="shared" si="72"/>
        <v>70821250</v>
      </c>
      <c r="M133" s="42">
        <f t="shared" si="72"/>
        <v>93765137</v>
      </c>
      <c r="N133" s="42">
        <f t="shared" si="72"/>
        <v>178946752</v>
      </c>
      <c r="O133" s="42">
        <f t="shared" si="72"/>
        <v>292865355</v>
      </c>
      <c r="P133" s="42">
        <f t="shared" si="73"/>
        <v>352411877</v>
      </c>
      <c r="Q133" s="42">
        <f t="shared" si="73"/>
        <v>375158383</v>
      </c>
      <c r="R133" s="43">
        <f t="shared" si="73"/>
        <v>330447951.18382019</v>
      </c>
      <c r="S133" s="43">
        <f t="shared" si="73"/>
        <v>363518736.28377813</v>
      </c>
      <c r="T133" s="43">
        <f t="shared" si="73"/>
        <v>370212187.39684641</v>
      </c>
      <c r="U133" s="43">
        <f t="shared" si="73"/>
        <v>372396932.91886824</v>
      </c>
      <c r="V133" s="43">
        <f t="shared" si="73"/>
        <v>389922385.04909933</v>
      </c>
      <c r="W133" s="43">
        <f t="shared" si="73"/>
        <v>423336003.68849158</v>
      </c>
      <c r="X133" s="43">
        <f t="shared" si="73"/>
        <v>502807025.21441495</v>
      </c>
      <c r="Y133" s="43">
        <f t="shared" si="73"/>
        <v>499806582.11510646</v>
      </c>
      <c r="Z133" s="43">
        <f t="shared" si="73"/>
        <v>484735414.51522231</v>
      </c>
      <c r="AA133" s="43">
        <f t="shared" si="73"/>
        <v>513539098.76548076</v>
      </c>
      <c r="AB133" s="43">
        <f t="shared" si="73"/>
        <v>556720110.91945696</v>
      </c>
      <c r="AC133" s="43">
        <f t="shared" si="73"/>
        <v>634498494.56171215</v>
      </c>
      <c r="AD133" s="43">
        <f t="shared" si="73"/>
        <v>699931047.51656544</v>
      </c>
      <c r="AE133" s="43">
        <f t="shared" si="73"/>
        <v>700382656.98336518</v>
      </c>
      <c r="AF133" s="43">
        <f t="shared" si="73"/>
        <v>613058075.17432559</v>
      </c>
      <c r="AG133" s="43">
        <f t="shared" si="73"/>
        <v>649761417.32682002</v>
      </c>
      <c r="AH133" s="43">
        <f t="shared" si="73"/>
        <v>686963828.75464916</v>
      </c>
      <c r="AI133" s="43">
        <f t="shared" si="73"/>
        <v>746665705.79502761</v>
      </c>
      <c r="AJ133" s="43">
        <f t="shared" si="73"/>
        <v>761410181.21976554</v>
      </c>
      <c r="AK133" s="43">
        <f t="shared" si="73"/>
        <v>756978413.43067837</v>
      </c>
      <c r="AL133" s="43">
        <f t="shared" si="73"/>
        <v>720235185.42597926</v>
      </c>
      <c r="AM133" s="43">
        <f t="shared" si="73"/>
        <v>751344711.24029028</v>
      </c>
      <c r="AN133" s="43">
        <f t="shared" si="73"/>
        <v>778247758.89255154</v>
      </c>
      <c r="AO133" s="43">
        <f t="shared" si="73"/>
        <v>806390846.70293236</v>
      </c>
      <c r="AP133" s="43">
        <f t="shared" si="73"/>
        <v>842214202.31475401</v>
      </c>
      <c r="AQ133" s="43"/>
    </row>
    <row r="134" spans="1:43">
      <c r="A134" s="40" t="s">
        <v>46</v>
      </c>
      <c r="B134" s="42">
        <f t="shared" si="74"/>
        <v>0</v>
      </c>
      <c r="C134" s="42">
        <f t="shared" si="74"/>
        <v>2829210</v>
      </c>
      <c r="D134" s="42">
        <f t="shared" si="74"/>
        <v>5196392</v>
      </c>
      <c r="E134" s="42">
        <f t="shared" si="74"/>
        <v>1671879</v>
      </c>
      <c r="F134" s="42">
        <f t="shared" si="74"/>
        <v>21593086</v>
      </c>
      <c r="G134" s="42">
        <f t="shared" si="74"/>
        <v>25734613</v>
      </c>
      <c r="H134" s="42">
        <f t="shared" si="74"/>
        <v>35465627</v>
      </c>
      <c r="I134" s="42">
        <f t="shared" si="74"/>
        <v>34115887</v>
      </c>
      <c r="J134" s="42">
        <f t="shared" si="72"/>
        <v>42024462</v>
      </c>
      <c r="K134" s="42">
        <f t="shared" si="72"/>
        <v>60455021</v>
      </c>
      <c r="L134" s="42">
        <f t="shared" si="72"/>
        <v>60390511</v>
      </c>
      <c r="M134" s="42">
        <f t="shared" si="72"/>
        <v>80883480</v>
      </c>
      <c r="N134" s="42">
        <f t="shared" si="72"/>
        <v>172020044</v>
      </c>
      <c r="O134" s="42">
        <f t="shared" si="72"/>
        <v>284787874</v>
      </c>
      <c r="P134" s="42">
        <f t="shared" si="73"/>
        <v>469256845</v>
      </c>
      <c r="Q134" s="43">
        <f t="shared" si="73"/>
        <v>335795818.51513767</v>
      </c>
      <c r="R134" s="43">
        <f t="shared" si="73"/>
        <v>320848683.6426903</v>
      </c>
      <c r="S134" s="43">
        <f t="shared" si="73"/>
        <v>352958786.99887455</v>
      </c>
      <c r="T134" s="43">
        <f t="shared" si="73"/>
        <v>359457798.3286801</v>
      </c>
      <c r="U134" s="43">
        <f t="shared" si="73"/>
        <v>361579078.61601043</v>
      </c>
      <c r="V134" s="43">
        <f t="shared" si="73"/>
        <v>378595429.3789168</v>
      </c>
      <c r="W134" s="43">
        <f t="shared" si="73"/>
        <v>411038407.21485496</v>
      </c>
      <c r="X134" s="43">
        <f t="shared" si="73"/>
        <v>488200854.59268242</v>
      </c>
      <c r="Y134" s="43">
        <f t="shared" si="73"/>
        <v>485287572.13682485</v>
      </c>
      <c r="Z134" s="43">
        <f t="shared" si="73"/>
        <v>470654210.76158267</v>
      </c>
      <c r="AA134" s="43">
        <f t="shared" si="73"/>
        <v>498621169.37835497</v>
      </c>
      <c r="AB134" s="43">
        <f t="shared" si="73"/>
        <v>540547805.20202613</v>
      </c>
      <c r="AC134" s="43">
        <f t="shared" si="73"/>
        <v>616066784.56949627</v>
      </c>
      <c r="AD134" s="43">
        <f t="shared" si="73"/>
        <v>679598570.46114767</v>
      </c>
      <c r="AE134" s="43">
        <f t="shared" si="73"/>
        <v>680037061.00837052</v>
      </c>
      <c r="AF134" s="43">
        <f t="shared" si="73"/>
        <v>595249193.44040656</v>
      </c>
      <c r="AG134" s="43">
        <f t="shared" si="73"/>
        <v>630886330.76483881</v>
      </c>
      <c r="AH134" s="43">
        <f t="shared" si="73"/>
        <v>667008039.77284205</v>
      </c>
      <c r="AI134" s="43">
        <f t="shared" si="73"/>
        <v>724975621.628865</v>
      </c>
      <c r="AJ134" s="43">
        <f t="shared" si="73"/>
        <v>739291780.99399769</v>
      </c>
      <c r="AK134" s="43">
        <f t="shared" si="73"/>
        <v>734988752.76748061</v>
      </c>
      <c r="AL134" s="43">
        <f t="shared" si="73"/>
        <v>699312888.24522483</v>
      </c>
      <c r="AM134" s="43">
        <f t="shared" si="73"/>
        <v>729518705.44128168</v>
      </c>
      <c r="AN134" s="43">
        <f t="shared" si="73"/>
        <v>755640239.54152763</v>
      </c>
      <c r="AO134" s="43">
        <f t="shared" si="73"/>
        <v>782965791.55434179</v>
      </c>
      <c r="AP134" s="43">
        <f t="shared" si="73"/>
        <v>817748505.29349637</v>
      </c>
      <c r="AQ134" s="43"/>
    </row>
    <row r="135" spans="1:43">
      <c r="A135" s="40" t="s">
        <v>47</v>
      </c>
      <c r="B135" s="42">
        <f t="shared" si="74"/>
        <v>0</v>
      </c>
      <c r="C135" s="42">
        <f t="shared" si="74"/>
        <v>5264355</v>
      </c>
      <c r="D135" s="42">
        <f t="shared" si="74"/>
        <v>5435133</v>
      </c>
      <c r="E135" s="42">
        <f t="shared" si="74"/>
        <v>1572918</v>
      </c>
      <c r="F135" s="42">
        <f t="shared" si="74"/>
        <v>26183201</v>
      </c>
      <c r="G135" s="42">
        <f t="shared" si="74"/>
        <v>26122397</v>
      </c>
      <c r="H135" s="42">
        <f t="shared" si="74"/>
        <v>36761498</v>
      </c>
      <c r="I135" s="42">
        <f t="shared" si="74"/>
        <v>40843230</v>
      </c>
      <c r="J135" s="42">
        <f t="shared" si="72"/>
        <v>35832660</v>
      </c>
      <c r="K135" s="42">
        <f t="shared" si="72"/>
        <v>62754896</v>
      </c>
      <c r="L135" s="42">
        <f t="shared" si="72"/>
        <v>71680658</v>
      </c>
      <c r="M135" s="42">
        <f t="shared" si="72"/>
        <v>98298018</v>
      </c>
      <c r="N135" s="42">
        <f t="shared" si="72"/>
        <v>216567060</v>
      </c>
      <c r="O135" s="42">
        <f t="shared" si="72"/>
        <v>372170065</v>
      </c>
      <c r="P135" s="42">
        <f t="shared" si="73"/>
        <v>372056649</v>
      </c>
      <c r="Q135" s="43">
        <f t="shared" si="73"/>
        <v>329587637.48683691</v>
      </c>
      <c r="R135" s="43">
        <f t="shared" si="73"/>
        <v>358418412.90109128</v>
      </c>
      <c r="S135" s="43">
        <f t="shared" si="73"/>
        <v>394288444.07076961</v>
      </c>
      <c r="T135" s="43">
        <f t="shared" si="73"/>
        <v>401548456.17307627</v>
      </c>
      <c r="U135" s="43">
        <f t="shared" si="73"/>
        <v>403918127.46258056</v>
      </c>
      <c r="V135" s="43">
        <f t="shared" si="73"/>
        <v>422927005.30669612</v>
      </c>
      <c r="W135" s="43">
        <f t="shared" si="73"/>
        <v>459168888.84420758</v>
      </c>
      <c r="X135" s="43">
        <f t="shared" si="73"/>
        <v>545366661.609653</v>
      </c>
      <c r="Y135" s="43">
        <f t="shared" si="73"/>
        <v>542112248.77458608</v>
      </c>
      <c r="Z135" s="43">
        <f t="shared" si="73"/>
        <v>525765396.10878778</v>
      </c>
      <c r="AA135" s="43">
        <f t="shared" si="73"/>
        <v>557007141.61726236</v>
      </c>
      <c r="AB135" s="43">
        <f t="shared" si="73"/>
        <v>603843170.67492628</v>
      </c>
      <c r="AC135" s="43">
        <f t="shared" si="73"/>
        <v>688205033.78589427</v>
      </c>
      <c r="AD135" s="43">
        <f t="shared" si="73"/>
        <v>759176064.77013314</v>
      </c>
      <c r="AE135" s="43">
        <f t="shared" si="73"/>
        <v>759665900.30326807</v>
      </c>
      <c r="AF135" s="43">
        <f t="shared" si="73"/>
        <v>664949809.89592659</v>
      </c>
      <c r="AG135" s="43">
        <f t="shared" si="73"/>
        <v>704759872.5558244</v>
      </c>
      <c r="AH135" s="43">
        <f t="shared" si="73"/>
        <v>745111247.74906504</v>
      </c>
      <c r="AI135" s="43">
        <f t="shared" si="73"/>
        <v>809866535.04732168</v>
      </c>
      <c r="AJ135" s="43">
        <f t="shared" si="73"/>
        <v>825859042.98045135</v>
      </c>
      <c r="AK135" s="43">
        <f t="shared" si="73"/>
        <v>821052152.29881656</v>
      </c>
      <c r="AL135" s="43">
        <f t="shared" si="73"/>
        <v>781198827.68558156</v>
      </c>
      <c r="AM135" s="43">
        <f t="shared" si="73"/>
        <v>814941590.58825827</v>
      </c>
      <c r="AN135" s="43">
        <f t="shared" si="73"/>
        <v>844121821.86880255</v>
      </c>
      <c r="AO135" s="43">
        <f t="shared" si="73"/>
        <v>874647055.36169112</v>
      </c>
      <c r="AP135" s="43">
        <f t="shared" si="73"/>
        <v>913502645.83269405</v>
      </c>
      <c r="AQ135" s="43"/>
    </row>
    <row r="136" spans="1:43">
      <c r="A136" s="40" t="s">
        <v>48</v>
      </c>
      <c r="B136" s="42">
        <f t="shared" si="74"/>
        <v>0</v>
      </c>
      <c r="C136" s="42">
        <f t="shared" si="74"/>
        <v>6209815</v>
      </c>
      <c r="D136" s="42">
        <f t="shared" si="74"/>
        <v>5149085</v>
      </c>
      <c r="E136" s="42">
        <f t="shared" si="74"/>
        <v>2600734</v>
      </c>
      <c r="F136" s="42">
        <f t="shared" si="74"/>
        <v>25230980</v>
      </c>
      <c r="G136" s="42">
        <f t="shared" si="74"/>
        <v>23539075</v>
      </c>
      <c r="H136" s="42">
        <f t="shared" si="74"/>
        <v>37473502</v>
      </c>
      <c r="I136" s="42">
        <f t="shared" si="74"/>
        <v>29537654</v>
      </c>
      <c r="J136" s="42">
        <f t="shared" si="72"/>
        <v>19470690</v>
      </c>
      <c r="K136" s="42">
        <f t="shared" si="72"/>
        <v>63384996</v>
      </c>
      <c r="L136" s="42">
        <f t="shared" si="72"/>
        <v>84742792</v>
      </c>
      <c r="M136" s="42">
        <f t="shared" si="72"/>
        <v>109918693</v>
      </c>
      <c r="N136" s="42">
        <f t="shared" si="72"/>
        <v>189805434</v>
      </c>
      <c r="O136" s="42">
        <f t="shared" si="72"/>
        <v>323428347</v>
      </c>
      <c r="P136" s="42">
        <f t="shared" si="73"/>
        <v>465488569</v>
      </c>
      <c r="Q136" s="43">
        <f t="shared" si="73"/>
        <v>323527048.47440714</v>
      </c>
      <c r="R136" s="43">
        <f t="shared" si="73"/>
        <v>355494932.30008692</v>
      </c>
      <c r="S136" s="43">
        <f t="shared" si="73"/>
        <v>391072385.47570193</v>
      </c>
      <c r="T136" s="43">
        <f t="shared" si="73"/>
        <v>398273180.46253633</v>
      </c>
      <c r="U136" s="43">
        <f t="shared" si="73"/>
        <v>400623523.258313</v>
      </c>
      <c r="V136" s="43">
        <f t="shared" si="73"/>
        <v>419477353.02558917</v>
      </c>
      <c r="W136" s="43">
        <f t="shared" si="73"/>
        <v>455423625.51285303</v>
      </c>
      <c r="X136" s="43">
        <f t="shared" si="73"/>
        <v>540918316.32865787</v>
      </c>
      <c r="Y136" s="43">
        <f t="shared" si="73"/>
        <v>537690448.48248816</v>
      </c>
      <c r="Z136" s="43">
        <f t="shared" si="73"/>
        <v>521476930.78201455</v>
      </c>
      <c r="AA136" s="43">
        <f t="shared" si="73"/>
        <v>552463849.43548393</v>
      </c>
      <c r="AB136" s="43">
        <f t="shared" si="73"/>
        <v>598917855.0885191</v>
      </c>
      <c r="AC136" s="43">
        <f t="shared" si="73"/>
        <v>682591611.05601406</v>
      </c>
      <c r="AD136" s="43">
        <f t="shared" si="73"/>
        <v>752983758.74395037</v>
      </c>
      <c r="AE136" s="43">
        <f t="shared" si="73"/>
        <v>753469598.87777746</v>
      </c>
      <c r="AF136" s="43">
        <f t="shared" si="73"/>
        <v>659526071.04797649</v>
      </c>
      <c r="AG136" s="43">
        <f t="shared" si="73"/>
        <v>699011418.39827585</v>
      </c>
      <c r="AH136" s="43">
        <f t="shared" si="73"/>
        <v>739033663.00459588</v>
      </c>
      <c r="AI136" s="43">
        <f t="shared" si="73"/>
        <v>803260766.42776465</v>
      </c>
      <c r="AJ136" s="43">
        <f t="shared" si="73"/>
        <v>819122829.64873385</v>
      </c>
      <c r="AK136" s="43">
        <f t="shared" si="73"/>
        <v>814355146.91834569</v>
      </c>
      <c r="AL136" s="43">
        <f t="shared" si="73"/>
        <v>774826890.4857583</v>
      </c>
      <c r="AM136" s="43">
        <f t="shared" si="73"/>
        <v>808294426.70024157</v>
      </c>
      <c r="AN136" s="43">
        <f t="shared" si="73"/>
        <v>837236646.10134304</v>
      </c>
      <c r="AO136" s="43">
        <f t="shared" si="73"/>
        <v>867512897.05107689</v>
      </c>
      <c r="AP136" s="43">
        <f t="shared" si="73"/>
        <v>906051557.47358406</v>
      </c>
      <c r="AQ136" s="43"/>
    </row>
    <row r="137" spans="1:43">
      <c r="A137" s="40" t="s">
        <v>49</v>
      </c>
      <c r="B137" s="42">
        <f t="shared" si="74"/>
        <v>0</v>
      </c>
      <c r="C137" s="42">
        <f t="shared" si="74"/>
        <v>9463537</v>
      </c>
      <c r="D137" s="42">
        <f t="shared" si="74"/>
        <v>9609937</v>
      </c>
      <c r="E137" s="42">
        <f t="shared" si="74"/>
        <v>18194177</v>
      </c>
      <c r="F137" s="42">
        <f t="shared" si="74"/>
        <v>21406382</v>
      </c>
      <c r="G137" s="42">
        <f t="shared" si="74"/>
        <v>25529130</v>
      </c>
      <c r="H137" s="42">
        <f t="shared" si="74"/>
        <v>32461197</v>
      </c>
      <c r="I137" s="42">
        <f t="shared" si="74"/>
        <v>32530225</v>
      </c>
      <c r="J137" s="42">
        <f t="shared" si="72"/>
        <v>13708343</v>
      </c>
      <c r="K137" s="42">
        <f t="shared" si="72"/>
        <v>73404754</v>
      </c>
      <c r="L137" s="42">
        <f t="shared" si="72"/>
        <v>73157145</v>
      </c>
      <c r="M137" s="42">
        <f t="shared" si="72"/>
        <v>109191427</v>
      </c>
      <c r="N137" s="42">
        <f t="shared" si="72"/>
        <v>177084391</v>
      </c>
      <c r="O137" s="42">
        <f t="shared" si="72"/>
        <v>299172515</v>
      </c>
      <c r="P137" s="42">
        <f t="shared" si="73"/>
        <v>480321507</v>
      </c>
      <c r="Q137" s="43">
        <f t="shared" si="73"/>
        <v>318577520.56043249</v>
      </c>
      <c r="R137" s="43">
        <f t="shared" si="73"/>
        <v>348188359.58191293</v>
      </c>
      <c r="S137" s="43">
        <f t="shared" si="73"/>
        <v>383034580.81823373</v>
      </c>
      <c r="T137" s="43">
        <f t="shared" si="73"/>
        <v>390087376.1363821</v>
      </c>
      <c r="U137" s="43">
        <f t="shared" si="73"/>
        <v>392389411.7722258</v>
      </c>
      <c r="V137" s="43">
        <f t="shared" si="73"/>
        <v>410855734.24841523</v>
      </c>
      <c r="W137" s="43">
        <f t="shared" si="73"/>
        <v>446063194.36449802</v>
      </c>
      <c r="X137" s="43">
        <f t="shared" si="73"/>
        <v>529800692.26781386</v>
      </c>
      <c r="Y137" s="43">
        <f t="shared" si="73"/>
        <v>526639167.56468159</v>
      </c>
      <c r="Z137" s="43">
        <f t="shared" si="73"/>
        <v>510758890.18729627</v>
      </c>
      <c r="AA137" s="43">
        <f t="shared" si="73"/>
        <v>541108927.25995433</v>
      </c>
      <c r="AB137" s="43">
        <f t="shared" si="73"/>
        <v>586608152.57854605</v>
      </c>
      <c r="AC137" s="43">
        <f t="shared" si="73"/>
        <v>668562141.74479973</v>
      </c>
      <c r="AD137" s="43">
        <f t="shared" si="73"/>
        <v>737507502.7161361</v>
      </c>
      <c r="AE137" s="43">
        <f t="shared" si="73"/>
        <v>737983357.26101482</v>
      </c>
      <c r="AF137" s="43">
        <f t="shared" si="73"/>
        <v>645970673.3198992</v>
      </c>
      <c r="AG137" s="43">
        <f t="shared" si="73"/>
        <v>684644468.84342372</v>
      </c>
      <c r="AH137" s="43">
        <f t="shared" si="73"/>
        <v>723844126.6447264</v>
      </c>
      <c r="AI137" s="43">
        <f t="shared" si="73"/>
        <v>786751154.98664773</v>
      </c>
      <c r="AJ137" s="43">
        <f t="shared" si="73"/>
        <v>802287201.41285026</v>
      </c>
      <c r="AK137" s="43">
        <f t="shared" si="73"/>
        <v>797617510.01061225</v>
      </c>
      <c r="AL137" s="43">
        <f t="shared" si="73"/>
        <v>758901687.32547271</v>
      </c>
      <c r="AM137" s="43">
        <f t="shared" si="73"/>
        <v>791681357.23067546</v>
      </c>
      <c r="AN137" s="43">
        <f t="shared" si="73"/>
        <v>820028720.2457484</v>
      </c>
      <c r="AO137" s="43">
        <f t="shared" si="73"/>
        <v>849682696.13865769</v>
      </c>
      <c r="AP137" s="43">
        <f t="shared" si="73"/>
        <v>887429262.2181704</v>
      </c>
      <c r="AQ137" s="43"/>
    </row>
    <row r="138" spans="1:43">
      <c r="A138" s="40" t="s">
        <v>50</v>
      </c>
      <c r="B138" s="42">
        <f t="shared" si="74"/>
        <v>0</v>
      </c>
      <c r="C138" s="42">
        <f t="shared" si="74"/>
        <v>12218141</v>
      </c>
      <c r="D138" s="42">
        <f t="shared" si="74"/>
        <v>7175843</v>
      </c>
      <c r="E138" s="42">
        <f t="shared" si="74"/>
        <v>14389733</v>
      </c>
      <c r="F138" s="42">
        <f t="shared" si="74"/>
        <v>2595244</v>
      </c>
      <c r="G138" s="42">
        <f t="shared" si="74"/>
        <v>24880813</v>
      </c>
      <c r="H138" s="42">
        <f t="shared" si="74"/>
        <v>41352775</v>
      </c>
      <c r="I138" s="42">
        <f t="shared" si="74"/>
        <v>41194720</v>
      </c>
      <c r="J138" s="42">
        <f t="shared" si="72"/>
        <v>23606517</v>
      </c>
      <c r="K138" s="42">
        <f t="shared" si="72"/>
        <v>45164534</v>
      </c>
      <c r="L138" s="42">
        <f t="shared" si="72"/>
        <v>68472656</v>
      </c>
      <c r="M138" s="42">
        <f t="shared" si="72"/>
        <v>126880713</v>
      </c>
      <c r="N138" s="42">
        <f t="shared" si="72"/>
        <v>195495373</v>
      </c>
      <c r="O138" s="42">
        <f t="shared" si="72"/>
        <v>382884112</v>
      </c>
      <c r="P138" s="42">
        <f t="shared" si="73"/>
        <v>422948349</v>
      </c>
      <c r="Q138" s="43">
        <f t="shared" si="73"/>
        <v>323112207.12140292</v>
      </c>
      <c r="R138" s="43">
        <f t="shared" si="73"/>
        <v>353171120.99118602</v>
      </c>
      <c r="S138" s="43">
        <f t="shared" si="73"/>
        <v>388516010.26639193</v>
      </c>
      <c r="T138" s="43">
        <f t="shared" si="73"/>
        <v>395669734.85277021</v>
      </c>
      <c r="U138" s="43">
        <f t="shared" si="73"/>
        <v>398004713.84818751</v>
      </c>
      <c r="V138" s="43">
        <f t="shared" si="73"/>
        <v>416735299.26273602</v>
      </c>
      <c r="W138" s="43">
        <f t="shared" si="73"/>
        <v>452446596.93902791</v>
      </c>
      <c r="X138" s="43">
        <f t="shared" si="73"/>
        <v>537382423.16544652</v>
      </c>
      <c r="Y138" s="43">
        <f t="shared" si="73"/>
        <v>534175655.35509461</v>
      </c>
      <c r="Z138" s="43">
        <f t="shared" si="73"/>
        <v>518068122.72604144</v>
      </c>
      <c r="AA138" s="43">
        <f t="shared" si="73"/>
        <v>548852485.04058075</v>
      </c>
      <c r="AB138" s="43">
        <f t="shared" si="73"/>
        <v>595002828.5767417</v>
      </c>
      <c r="AC138" s="43">
        <f t="shared" si="73"/>
        <v>678129623.10341549</v>
      </c>
      <c r="AD138" s="43">
        <f t="shared" si="73"/>
        <v>748061629.01718724</v>
      </c>
      <c r="AE138" s="43">
        <f t="shared" si="73"/>
        <v>748544293.2947793</v>
      </c>
      <c r="AF138" s="43">
        <f t="shared" si="73"/>
        <v>655214858.69819677</v>
      </c>
      <c r="AG138" s="43">
        <f t="shared" si="73"/>
        <v>694442096.89314246</v>
      </c>
      <c r="AH138" s="43">
        <f t="shared" si="73"/>
        <v>734202722.73594868</v>
      </c>
      <c r="AI138" s="43">
        <f t="shared" si="73"/>
        <v>798009984.25502324</v>
      </c>
      <c r="AJ138" s="43">
        <f t="shared" si="73"/>
        <v>813768359.80411232</v>
      </c>
      <c r="AK138" s="43">
        <f t="shared" si="73"/>
        <v>809031842.62360811</v>
      </c>
      <c r="AL138" s="43">
        <f t="shared" si="73"/>
        <v>769761975.83591628</v>
      </c>
      <c r="AM138" s="43">
        <f t="shared" si="73"/>
        <v>803010740.32661414</v>
      </c>
      <c r="AN138" s="43">
        <f t="shared" si="73"/>
        <v>831763769.24808264</v>
      </c>
      <c r="AO138" s="43">
        <f t="shared" si="73"/>
        <v>861842109.37559211</v>
      </c>
      <c r="AP138" s="43">
        <f t="shared" si="73"/>
        <v>900128848.97790551</v>
      </c>
      <c r="AQ138" s="43"/>
    </row>
    <row r="139" spans="1:43">
      <c r="A139" s="40" t="s">
        <v>51</v>
      </c>
      <c r="B139" s="42">
        <f t="shared" si="74"/>
        <v>0</v>
      </c>
      <c r="C139" s="42">
        <f t="shared" si="74"/>
        <v>6619249</v>
      </c>
      <c r="D139" s="42">
        <f t="shared" si="74"/>
        <v>4528849</v>
      </c>
      <c r="E139" s="42">
        <f t="shared" si="74"/>
        <v>16408431</v>
      </c>
      <c r="F139" s="42">
        <f t="shared" si="74"/>
        <v>9009383</v>
      </c>
      <c r="G139" s="42">
        <f t="shared" si="74"/>
        <v>22875389</v>
      </c>
      <c r="H139" s="42">
        <f t="shared" si="74"/>
        <v>32062923</v>
      </c>
      <c r="I139" s="42">
        <f t="shared" si="74"/>
        <v>36692735</v>
      </c>
      <c r="J139" s="42">
        <f t="shared" si="72"/>
        <v>48651114</v>
      </c>
      <c r="K139" s="42">
        <f t="shared" si="72"/>
        <v>64010424</v>
      </c>
      <c r="L139" s="42">
        <f t="shared" si="72"/>
        <v>76213150</v>
      </c>
      <c r="M139" s="42">
        <f t="shared" si="72"/>
        <v>84868870</v>
      </c>
      <c r="N139" s="42">
        <f t="shared" si="72"/>
        <v>201820259</v>
      </c>
      <c r="O139" s="42">
        <f t="shared" si="72"/>
        <v>380652132</v>
      </c>
      <c r="P139" s="42">
        <f t="shared" si="73"/>
        <v>423438938</v>
      </c>
      <c r="Q139" s="43">
        <f t="shared" si="73"/>
        <v>328970197.45139027</v>
      </c>
      <c r="R139" s="43">
        <f t="shared" si="73"/>
        <v>359607942.5354538</v>
      </c>
      <c r="S139" s="43">
        <f t="shared" si="73"/>
        <v>395597020.2259748</v>
      </c>
      <c r="T139" s="43">
        <f t="shared" si="73"/>
        <v>402881127.071271</v>
      </c>
      <c r="U139" s="43">
        <f t="shared" si="73"/>
        <v>405258662.89596957</v>
      </c>
      <c r="V139" s="43">
        <f t="shared" si="73"/>
        <v>424330627.96634817</v>
      </c>
      <c r="W139" s="43">
        <f t="shared" si="73"/>
        <v>460692792.13934392</v>
      </c>
      <c r="X139" s="43">
        <f t="shared" si="73"/>
        <v>547176640.62364149</v>
      </c>
      <c r="Y139" s="43">
        <f t="shared" si="73"/>
        <v>543911426.94695926</v>
      </c>
      <c r="Z139" s="43">
        <f t="shared" si="73"/>
        <v>527510321.86282915</v>
      </c>
      <c r="AA139" s="43">
        <f t="shared" si="73"/>
        <v>558855753.40074277</v>
      </c>
      <c r="AB139" s="43">
        <f t="shared" si="73"/>
        <v>605847223.25752473</v>
      </c>
      <c r="AC139" s="43">
        <f t="shared" si="73"/>
        <v>690489069.01605892</v>
      </c>
      <c r="AD139" s="43">
        <f t="shared" si="73"/>
        <v>761695640.75796604</v>
      </c>
      <c r="AE139" s="43">
        <f t="shared" si="73"/>
        <v>762187101.97176266</v>
      </c>
      <c r="AF139" s="43">
        <f t="shared" si="73"/>
        <v>667156665.00092149</v>
      </c>
      <c r="AG139" s="43">
        <f t="shared" si="73"/>
        <v>707098850.47475767</v>
      </c>
      <c r="AH139" s="43">
        <f t="shared" si="73"/>
        <v>747584145.00598967</v>
      </c>
      <c r="AI139" s="43">
        <f t="shared" si="73"/>
        <v>812554344.06784523</v>
      </c>
      <c r="AJ139" s="43">
        <f t="shared" si="73"/>
        <v>828599928.40952289</v>
      </c>
      <c r="AK139" s="43">
        <f t="shared" si="73"/>
        <v>823777084.47685766</v>
      </c>
      <c r="AL139" s="43">
        <f t="shared" si="73"/>
        <v>783791493.47063351</v>
      </c>
      <c r="AM139" s="43">
        <f t="shared" si="73"/>
        <v>817646242.85328233</v>
      </c>
      <c r="AN139" s="43">
        <f t="shared" si="73"/>
        <v>846923318.3488456</v>
      </c>
      <c r="AO139" s="43">
        <f t="shared" si="73"/>
        <v>877549859.88989413</v>
      </c>
      <c r="AP139" s="43">
        <f t="shared" si="73"/>
        <v>916534405.44429207</v>
      </c>
      <c r="AQ139" s="43"/>
    </row>
    <row r="140" spans="1:43">
      <c r="A140" s="40" t="s">
        <v>52</v>
      </c>
      <c r="B140" s="42">
        <f t="shared" si="74"/>
        <v>0</v>
      </c>
      <c r="C140" s="42">
        <f t="shared" si="74"/>
        <v>9558694</v>
      </c>
      <c r="D140" s="42">
        <f t="shared" si="74"/>
        <v>4550817</v>
      </c>
      <c r="E140" s="42">
        <f t="shared" si="74"/>
        <v>18588605</v>
      </c>
      <c r="F140" s="42">
        <f t="shared" si="74"/>
        <v>23546985</v>
      </c>
      <c r="G140" s="42">
        <f t="shared" si="74"/>
        <v>22158956</v>
      </c>
      <c r="H140" s="42">
        <f t="shared" si="74"/>
        <v>34184551</v>
      </c>
      <c r="I140" s="42">
        <f t="shared" si="74"/>
        <v>42536897</v>
      </c>
      <c r="J140" s="42">
        <f t="shared" si="72"/>
        <v>61039850</v>
      </c>
      <c r="K140" s="42">
        <f t="shared" si="72"/>
        <v>79207182</v>
      </c>
      <c r="L140" s="42">
        <f t="shared" si="72"/>
        <v>35511779</v>
      </c>
      <c r="M140" s="42">
        <f t="shared" si="72"/>
        <v>122832707</v>
      </c>
      <c r="N140" s="42">
        <f t="shared" si="72"/>
        <v>183514178</v>
      </c>
      <c r="O140" s="42">
        <f t="shared" si="72"/>
        <v>346487768</v>
      </c>
      <c r="P140" s="42">
        <f t="shared" si="73"/>
        <v>478029971</v>
      </c>
      <c r="Q140" s="43">
        <f t="shared" si="73"/>
        <v>359626569.69357473</v>
      </c>
      <c r="R140" s="43">
        <f t="shared" si="73"/>
        <v>395161466.86771733</v>
      </c>
      <c r="S140" s="43">
        <f t="shared" si="73"/>
        <v>434708693.3030746</v>
      </c>
      <c r="T140" s="43">
        <f t="shared" si="73"/>
        <v>442712961.29981005</v>
      </c>
      <c r="U140" s="43">
        <f t="shared" si="73"/>
        <v>445325558.05558336</v>
      </c>
      <c r="V140" s="43">
        <f t="shared" si="73"/>
        <v>466283119.89396697</v>
      </c>
      <c r="W140" s="43">
        <f t="shared" si="73"/>
        <v>506240318.92515665</v>
      </c>
      <c r="X140" s="43">
        <f t="shared" si="73"/>
        <v>601274605.95025802</v>
      </c>
      <c r="Y140" s="43">
        <f t="shared" si="73"/>
        <v>597686568.88684678</v>
      </c>
      <c r="Z140" s="43">
        <f t="shared" si="73"/>
        <v>579663928.18096888</v>
      </c>
      <c r="AA140" s="43">
        <f t="shared" si="73"/>
        <v>614108402.95755804</v>
      </c>
      <c r="AB140" s="43">
        <f t="shared" ref="AB140:AP140" si="75">AB156+AB172+AB188</f>
        <v>665745800.14058983</v>
      </c>
      <c r="AC140" s="43">
        <f t="shared" si="75"/>
        <v>758755970.30677259</v>
      </c>
      <c r="AD140" s="43">
        <f t="shared" si="75"/>
        <v>837002555.02279079</v>
      </c>
      <c r="AE140" s="43">
        <f t="shared" si="75"/>
        <v>837542605.75910985</v>
      </c>
      <c r="AF140" s="43">
        <f t="shared" si="75"/>
        <v>733116750.74125111</v>
      </c>
      <c r="AG140" s="43">
        <f t="shared" si="75"/>
        <v>777007918.6906004</v>
      </c>
      <c r="AH140" s="43">
        <f t="shared" si="75"/>
        <v>821495891.51104474</v>
      </c>
      <c r="AI140" s="43">
        <f t="shared" si="75"/>
        <v>892889529.21257937</v>
      </c>
      <c r="AJ140" s="43">
        <f t="shared" si="75"/>
        <v>910521499.74276841</v>
      </c>
      <c r="AK140" s="43">
        <f t="shared" si="75"/>
        <v>905221833.47436213</v>
      </c>
      <c r="AL140" s="43">
        <f t="shared" si="75"/>
        <v>861282968.59783268</v>
      </c>
      <c r="AM140" s="43">
        <f t="shared" si="75"/>
        <v>898484851.10399425</v>
      </c>
      <c r="AN140" s="43">
        <f t="shared" si="75"/>
        <v>930656476.72731626</v>
      </c>
      <c r="AO140" s="43">
        <f t="shared" si="75"/>
        <v>964310986.67811525</v>
      </c>
      <c r="AP140" s="43">
        <f t="shared" si="75"/>
        <v>1007149835.2803773</v>
      </c>
      <c r="AQ140" s="43"/>
    </row>
    <row r="141" spans="1:43">
      <c r="A141" s="40" t="s">
        <v>53</v>
      </c>
      <c r="B141" s="42">
        <f t="shared" si="74"/>
        <v>594555</v>
      </c>
      <c r="C141" s="42">
        <f t="shared" si="74"/>
        <v>6071995</v>
      </c>
      <c r="D141" s="42">
        <f t="shared" si="74"/>
        <v>6191621</v>
      </c>
      <c r="E141" s="42">
        <f t="shared" si="74"/>
        <v>19014213</v>
      </c>
      <c r="F141" s="42">
        <f t="shared" si="74"/>
        <v>27062234</v>
      </c>
      <c r="G141" s="42">
        <f t="shared" si="74"/>
        <v>20977138</v>
      </c>
      <c r="H141" s="42">
        <f t="shared" si="74"/>
        <v>45862155</v>
      </c>
      <c r="I141" s="42">
        <f t="shared" si="74"/>
        <v>38384881</v>
      </c>
      <c r="J141" s="42">
        <f t="shared" si="72"/>
        <v>62681924</v>
      </c>
      <c r="K141" s="42">
        <f t="shared" si="72"/>
        <v>68203857</v>
      </c>
      <c r="L141" s="42">
        <f t="shared" si="72"/>
        <v>73317558</v>
      </c>
      <c r="M141" s="42">
        <f t="shared" si="72"/>
        <v>171882616</v>
      </c>
      <c r="N141" s="42">
        <f t="shared" si="72"/>
        <v>276854326</v>
      </c>
      <c r="O141" s="42">
        <f t="shared" si="72"/>
        <v>336750302</v>
      </c>
      <c r="P141" s="42">
        <f t="shared" si="72"/>
        <v>427859148</v>
      </c>
      <c r="Q141" s="43">
        <f t="shared" si="72"/>
        <v>389338284.30627984</v>
      </c>
      <c r="R141" s="43">
        <f t="shared" si="72"/>
        <v>480112431.34554082</v>
      </c>
      <c r="S141" s="43">
        <f t="shared" ref="S141:AP142" si="76">S157+S173+S189</f>
        <v>528161435.68636161</v>
      </c>
      <c r="T141" s="43">
        <f t="shared" si="76"/>
        <v>537886444.04690707</v>
      </c>
      <c r="U141" s="43">
        <f t="shared" si="76"/>
        <v>541060691.24889874</v>
      </c>
      <c r="V141" s="43">
        <f t="shared" si="76"/>
        <v>566523664.77477956</v>
      </c>
      <c r="W141" s="43">
        <f t="shared" si="76"/>
        <v>615070776.74064362</v>
      </c>
      <c r="X141" s="43">
        <f t="shared" si="76"/>
        <v>730535330.93029928</v>
      </c>
      <c r="Y141" s="43">
        <f t="shared" si="76"/>
        <v>726175945.35577166</v>
      </c>
      <c r="Z141" s="43">
        <f t="shared" si="76"/>
        <v>704278836.01170015</v>
      </c>
      <c r="AA141" s="43">
        <f t="shared" si="76"/>
        <v>746128110.08817351</v>
      </c>
      <c r="AB141" s="43">
        <f t="shared" si="76"/>
        <v>808866404.14911735</v>
      </c>
      <c r="AC141" s="43">
        <f t="shared" si="76"/>
        <v>921871701.17950118</v>
      </c>
      <c r="AD141" s="43">
        <f t="shared" si="76"/>
        <v>1016939568.8293297</v>
      </c>
      <c r="AE141" s="43">
        <f t="shared" si="76"/>
        <v>1017595718.5144682</v>
      </c>
      <c r="AF141" s="43">
        <f t="shared" si="76"/>
        <v>890720617.19102752</v>
      </c>
      <c r="AG141" s="43">
        <f t="shared" si="76"/>
        <v>944047414.27423525</v>
      </c>
      <c r="AH141" s="43">
        <f t="shared" si="76"/>
        <v>998099316.05950749</v>
      </c>
      <c r="AI141" s="43">
        <f t="shared" si="76"/>
        <v>1084841004.8460836</v>
      </c>
      <c r="AJ141" s="43">
        <f t="shared" si="76"/>
        <v>1106263458.5781317</v>
      </c>
      <c r="AK141" s="43">
        <f t="shared" si="76"/>
        <v>1099824481.4237721</v>
      </c>
      <c r="AL141" s="43">
        <f t="shared" si="76"/>
        <v>1046439733.6302946</v>
      </c>
      <c r="AM141" s="43">
        <f t="shared" si="76"/>
        <v>1091639197.035069</v>
      </c>
      <c r="AN141" s="43">
        <f t="shared" si="76"/>
        <v>1130727009.7228434</v>
      </c>
      <c r="AO141" s="43">
        <f t="shared" si="76"/>
        <v>1171616494.0298493</v>
      </c>
      <c r="AP141" s="43">
        <f t="shared" si="76"/>
        <v>1223664746.4100859</v>
      </c>
      <c r="AQ141" s="43"/>
    </row>
    <row r="142" spans="1:43">
      <c r="A142" s="40" t="s">
        <v>54</v>
      </c>
      <c r="B142" s="42">
        <f t="shared" si="74"/>
        <v>1012645</v>
      </c>
      <c r="C142" s="42">
        <f t="shared" si="74"/>
        <v>9296626</v>
      </c>
      <c r="D142" s="42">
        <f t="shared" si="74"/>
        <v>2693783</v>
      </c>
      <c r="E142" s="42">
        <f t="shared" si="74"/>
        <v>22471616</v>
      </c>
      <c r="F142" s="42">
        <f t="shared" si="74"/>
        <v>37430278</v>
      </c>
      <c r="G142" s="42">
        <f t="shared" si="74"/>
        <v>22129752</v>
      </c>
      <c r="H142" s="42">
        <f t="shared" si="74"/>
        <v>45692957</v>
      </c>
      <c r="I142" s="42">
        <f t="shared" si="74"/>
        <v>42464463</v>
      </c>
      <c r="J142" s="42">
        <f t="shared" si="72"/>
        <v>76431939</v>
      </c>
      <c r="K142" s="42">
        <f t="shared" si="72"/>
        <v>84615110</v>
      </c>
      <c r="L142" s="42">
        <f t="shared" si="72"/>
        <v>84497760</v>
      </c>
      <c r="M142" s="42">
        <f t="shared" si="72"/>
        <v>182270207</v>
      </c>
      <c r="N142" s="42">
        <f t="shared" si="72"/>
        <v>243502261</v>
      </c>
      <c r="O142" s="42">
        <f t="shared" si="72"/>
        <v>455382853</v>
      </c>
      <c r="P142" s="42">
        <f t="shared" si="72"/>
        <v>517733864</v>
      </c>
      <c r="Q142" s="43">
        <f t="shared" si="72"/>
        <v>475870139.30927604</v>
      </c>
      <c r="R142" s="43">
        <f t="shared" si="72"/>
        <v>544769541.1369679</v>
      </c>
      <c r="S142" s="43">
        <f t="shared" si="76"/>
        <v>599289341.78757489</v>
      </c>
      <c r="T142" s="43">
        <f t="shared" si="76"/>
        <v>610324024.49154043</v>
      </c>
      <c r="U142" s="43">
        <f t="shared" si="76"/>
        <v>613925750.00162244</v>
      </c>
      <c r="V142" s="43">
        <f t="shared" si="76"/>
        <v>642817841.72439063</v>
      </c>
      <c r="W142" s="43">
        <f t="shared" si="76"/>
        <v>697902830.53638506</v>
      </c>
      <c r="X142" s="43">
        <f t="shared" si="76"/>
        <v>828917084.90009475</v>
      </c>
      <c r="Y142" s="43">
        <f t="shared" si="76"/>
        <v>823970617.52281916</v>
      </c>
      <c r="Z142" s="43">
        <f t="shared" si="76"/>
        <v>799124607.64933074</v>
      </c>
      <c r="AA142" s="43">
        <f t="shared" si="76"/>
        <v>846609755.60032761</v>
      </c>
      <c r="AB142" s="43">
        <f t="shared" si="76"/>
        <v>917797063.89707565</v>
      </c>
      <c r="AC142" s="43">
        <f t="shared" si="76"/>
        <v>1046020871.051494</v>
      </c>
      <c r="AD142" s="43">
        <f t="shared" si="76"/>
        <v>1153891601.437129</v>
      </c>
      <c r="AE142" s="43">
        <f t="shared" si="76"/>
        <v>1154636115.3042011</v>
      </c>
      <c r="AF142" s="43">
        <f t="shared" si="76"/>
        <v>1010674646.6624259</v>
      </c>
      <c r="AG142" s="43">
        <f t="shared" si="76"/>
        <v>1071183004.4566773</v>
      </c>
      <c r="AH142" s="43">
        <f t="shared" si="76"/>
        <v>1132514117.3600011</v>
      </c>
      <c r="AI142" s="43">
        <f t="shared" si="76"/>
        <v>1230937375.9814792</v>
      </c>
      <c r="AJ142" s="43">
        <f t="shared" si="76"/>
        <v>1255244808.0072002</v>
      </c>
      <c r="AK142" s="43">
        <f t="shared" si="76"/>
        <v>1247938688.8551893</v>
      </c>
      <c r="AL142" s="43">
        <f t="shared" si="76"/>
        <v>1187364576.0840199</v>
      </c>
      <c r="AM142" s="43">
        <f t="shared" si="76"/>
        <v>1238651085.9326577</v>
      </c>
      <c r="AN142" s="43">
        <f t="shared" si="76"/>
        <v>1283002884.3693061</v>
      </c>
      <c r="AO142" s="43">
        <f t="shared" si="76"/>
        <v>1329398986.9255908</v>
      </c>
      <c r="AP142" s="43">
        <f t="shared" si="76"/>
        <v>1388456617.4199669</v>
      </c>
      <c r="AQ142" s="43"/>
    </row>
    <row r="143" spans="1:43">
      <c r="A143" s="40" t="s">
        <v>29</v>
      </c>
      <c r="B143" s="42">
        <f>SUM(B131:B142)</f>
        <v>1607200</v>
      </c>
      <c r="C143" s="42">
        <f t="shared" ref="C143:AP143" si="77">SUM(C131:C142)</f>
        <v>75529663</v>
      </c>
      <c r="D143" s="42">
        <f t="shared" si="77"/>
        <v>67203284</v>
      </c>
      <c r="E143" s="42">
        <f t="shared" si="77"/>
        <v>119420806</v>
      </c>
      <c r="F143" s="42">
        <f t="shared" si="77"/>
        <v>255124876</v>
      </c>
      <c r="G143" s="42">
        <f t="shared" si="77"/>
        <v>291745566</v>
      </c>
      <c r="H143" s="42">
        <f t="shared" si="77"/>
        <v>402596712</v>
      </c>
      <c r="I143" s="42">
        <f t="shared" si="77"/>
        <v>430431794</v>
      </c>
      <c r="J143" s="42">
        <f t="shared" si="77"/>
        <v>479190676</v>
      </c>
      <c r="K143" s="42">
        <f t="shared" si="77"/>
        <v>778334312</v>
      </c>
      <c r="L143" s="42">
        <f t="shared" si="77"/>
        <v>820831446</v>
      </c>
      <c r="M143" s="42">
        <f t="shared" si="77"/>
        <v>1331012577</v>
      </c>
      <c r="N143" s="42">
        <f t="shared" si="77"/>
        <v>2341014571</v>
      </c>
      <c r="O143" s="42">
        <f t="shared" si="77"/>
        <v>3950980817</v>
      </c>
      <c r="P143" s="42">
        <f t="shared" si="77"/>
        <v>5167113027</v>
      </c>
      <c r="Q143" s="43">
        <f t="shared" si="77"/>
        <v>4221012040.9187379</v>
      </c>
      <c r="R143" s="43">
        <f t="shared" si="77"/>
        <v>4444477618.2425241</v>
      </c>
      <c r="S143" s="43">
        <f t="shared" si="77"/>
        <v>4889274941.5968122</v>
      </c>
      <c r="T143" s="43">
        <f t="shared" si="77"/>
        <v>4979300900.4634285</v>
      </c>
      <c r="U143" s="43">
        <f t="shared" si="77"/>
        <v>5008685414.845787</v>
      </c>
      <c r="V143" s="43">
        <f t="shared" si="77"/>
        <v>5244400236.0857096</v>
      </c>
      <c r="W143" s="43">
        <f t="shared" si="77"/>
        <v>5693808621.4464035</v>
      </c>
      <c r="X143" s="43">
        <f t="shared" si="77"/>
        <v>6762682479.5093212</v>
      </c>
      <c r="Y143" s="43">
        <f t="shared" si="77"/>
        <v>6722326949.5327749</v>
      </c>
      <c r="Z143" s="43">
        <f t="shared" si="77"/>
        <v>6519621903.7350912</v>
      </c>
      <c r="AA143" s="43">
        <f t="shared" si="77"/>
        <v>6907027331.7747545</v>
      </c>
      <c r="AB143" s="43">
        <f t="shared" si="77"/>
        <v>7487805761.0670795</v>
      </c>
      <c r="AC143" s="43">
        <f t="shared" si="77"/>
        <v>8533913882.0061865</v>
      </c>
      <c r="AD143" s="43">
        <f t="shared" si="77"/>
        <v>9413972348.3107376</v>
      </c>
      <c r="AE143" s="43">
        <f t="shared" si="77"/>
        <v>9420046430.9618397</v>
      </c>
      <c r="AF143" s="43">
        <f t="shared" si="77"/>
        <v>8245543311.8404646</v>
      </c>
      <c r="AG143" s="43">
        <f t="shared" si="77"/>
        <v>8739198007.3138676</v>
      </c>
      <c r="AH143" s="43">
        <f t="shared" si="77"/>
        <v>9239565113.0662022</v>
      </c>
      <c r="AI143" s="43">
        <f t="shared" si="77"/>
        <v>10042546809.041147</v>
      </c>
      <c r="AJ143" s="43">
        <f t="shared" si="77"/>
        <v>10240857891.870409</v>
      </c>
      <c r="AK143" s="43">
        <f t="shared" si="77"/>
        <v>10181251249.803837</v>
      </c>
      <c r="AL143" s="43">
        <f t="shared" si="77"/>
        <v>9687060095.3305416</v>
      </c>
      <c r="AM143" s="43">
        <f t="shared" si="77"/>
        <v>10105478762.175079</v>
      </c>
      <c r="AN143" s="43">
        <f t="shared" si="77"/>
        <v>10467320900.171795</v>
      </c>
      <c r="AO143" s="43">
        <f t="shared" si="77"/>
        <v>10845841400.702578</v>
      </c>
      <c r="AP143" s="43">
        <f t="shared" si="77"/>
        <v>11327660403.231405</v>
      </c>
      <c r="AQ143" s="43"/>
    </row>
    <row r="145" spans="1:43" ht="12" thickBot="1">
      <c r="A145" s="245" t="s">
        <v>384</v>
      </c>
    </row>
    <row r="146" spans="1:43" ht="12" thickBot="1">
      <c r="A146" s="270"/>
      <c r="B146" s="263">
        <v>2010</v>
      </c>
      <c r="C146" s="263">
        <v>2011</v>
      </c>
      <c r="D146" s="263">
        <v>2012</v>
      </c>
      <c r="E146" s="263">
        <v>2013</v>
      </c>
      <c r="F146" s="263">
        <v>2014</v>
      </c>
      <c r="G146" s="263">
        <v>2015</v>
      </c>
      <c r="H146" s="263">
        <v>2016</v>
      </c>
      <c r="I146" s="263">
        <v>2017</v>
      </c>
      <c r="J146" s="263">
        <v>2018</v>
      </c>
      <c r="K146" s="263">
        <v>2019</v>
      </c>
      <c r="L146" s="263">
        <v>2020</v>
      </c>
      <c r="M146" s="263">
        <v>2021</v>
      </c>
      <c r="N146" s="263">
        <v>2022</v>
      </c>
      <c r="O146" s="263">
        <v>2023</v>
      </c>
      <c r="P146" s="263">
        <v>2024</v>
      </c>
      <c r="Q146" s="263">
        <v>2025</v>
      </c>
      <c r="R146" s="263">
        <v>2026</v>
      </c>
      <c r="S146" s="263">
        <v>2027</v>
      </c>
      <c r="T146" s="263">
        <v>2028</v>
      </c>
      <c r="U146" s="263">
        <v>2029</v>
      </c>
      <c r="V146" s="263">
        <v>2030</v>
      </c>
      <c r="W146" s="263">
        <v>2031</v>
      </c>
      <c r="X146" s="263">
        <v>2032</v>
      </c>
      <c r="Y146" s="263">
        <v>2033</v>
      </c>
      <c r="Z146" s="263">
        <v>2034</v>
      </c>
      <c r="AA146" s="263">
        <v>2035</v>
      </c>
      <c r="AB146" s="263">
        <v>2036</v>
      </c>
      <c r="AC146" s="263">
        <v>2037</v>
      </c>
      <c r="AD146" s="263">
        <v>2038</v>
      </c>
      <c r="AE146" s="263">
        <v>2039</v>
      </c>
      <c r="AF146" s="263">
        <v>2040</v>
      </c>
      <c r="AG146" s="263">
        <v>2041</v>
      </c>
      <c r="AH146" s="263">
        <v>2042</v>
      </c>
      <c r="AI146" s="263">
        <v>2043</v>
      </c>
      <c r="AJ146" s="263">
        <v>2044</v>
      </c>
      <c r="AK146" s="263">
        <v>2045</v>
      </c>
      <c r="AL146" s="263">
        <v>2046</v>
      </c>
      <c r="AM146" s="263">
        <v>2047</v>
      </c>
      <c r="AN146" s="263">
        <v>2048</v>
      </c>
      <c r="AO146" s="263">
        <v>2049</v>
      </c>
      <c r="AP146" s="263">
        <v>2050</v>
      </c>
      <c r="AQ146" s="245"/>
    </row>
    <row r="147" spans="1:43">
      <c r="A147" s="40" t="s">
        <v>43</v>
      </c>
      <c r="B147" s="42">
        <f>'Monthly D4 RIN Data'!$S4</f>
        <v>0</v>
      </c>
      <c r="C147" s="42">
        <f>'Monthly D4 RIN Data'!$S16</f>
        <v>0</v>
      </c>
      <c r="D147" s="42">
        <f>'Monthly D4 RIN Data'!$S28</f>
        <v>0</v>
      </c>
      <c r="E147" s="42">
        <f>'Monthly D4 RIN Data'!$S40</f>
        <v>0</v>
      </c>
      <c r="F147" s="42">
        <f>'Monthly D4 RIN Data'!$S52</f>
        <v>0</v>
      </c>
      <c r="G147" s="42">
        <f>'Monthly D4 RIN Data'!$S64</f>
        <v>0</v>
      </c>
      <c r="H147" s="42">
        <f>'Monthly D4 RIN Data'!$S76</f>
        <v>0</v>
      </c>
      <c r="I147" s="42">
        <f>'Monthly D4 RIN Data'!$S88</f>
        <v>0</v>
      </c>
      <c r="J147" s="42">
        <f>'Monthly D4 RIN Data'!$S100</f>
        <v>0</v>
      </c>
      <c r="K147" s="42">
        <f>'Monthly D4 RIN Data'!$S112</f>
        <v>0</v>
      </c>
      <c r="L147" s="42">
        <f>'Monthly D4 RIN Data'!$S124</f>
        <v>0</v>
      </c>
      <c r="M147" s="42">
        <f>'Monthly D4 RIN Data'!$S136</f>
        <v>0</v>
      </c>
      <c r="N147" s="42">
        <f>'Monthly D4 RIN Data'!$S148</f>
        <v>0</v>
      </c>
      <c r="O147" s="42">
        <f>'Monthly D4 RIN Data'!$S160</f>
        <v>0</v>
      </c>
      <c r="P147" s="42">
        <f>'Monthly D4 RIN Data'!$S172</f>
        <v>0</v>
      </c>
      <c r="Q147" s="42">
        <f>'Monthly D4 RIN Data'!$S184</f>
        <v>0</v>
      </c>
      <c r="R147" s="43">
        <f>'D4 Gallon Forecast'!R149</f>
        <v>0</v>
      </c>
      <c r="S147" s="43">
        <f>'D4 Gallon Forecast'!S149</f>
        <v>0</v>
      </c>
      <c r="T147" s="43">
        <f>'D4 Gallon Forecast'!T149</f>
        <v>0</v>
      </c>
      <c r="U147" s="43">
        <f>'D4 Gallon Forecast'!U149</f>
        <v>0</v>
      </c>
      <c r="V147" s="43">
        <f>'D4 Gallon Forecast'!V149</f>
        <v>0</v>
      </c>
      <c r="W147" s="43">
        <f>'D4 Gallon Forecast'!W149</f>
        <v>0</v>
      </c>
      <c r="X147" s="43">
        <f>'D4 Gallon Forecast'!X149</f>
        <v>0</v>
      </c>
      <c r="Y147" s="43">
        <f>'D4 Gallon Forecast'!Y149</f>
        <v>0</v>
      </c>
      <c r="Z147" s="43">
        <f>'D4 Gallon Forecast'!Z149</f>
        <v>0</v>
      </c>
      <c r="AA147" s="43">
        <f>'D4 Gallon Forecast'!AA149</f>
        <v>0</v>
      </c>
      <c r="AB147" s="43">
        <f>'D4 Gallon Forecast'!AB149</f>
        <v>0</v>
      </c>
      <c r="AC147" s="43">
        <f>'D4 Gallon Forecast'!AC149</f>
        <v>0</v>
      </c>
      <c r="AD147" s="43">
        <f>'D4 Gallon Forecast'!AD149</f>
        <v>0</v>
      </c>
      <c r="AE147" s="43">
        <f>'D4 Gallon Forecast'!AE149</f>
        <v>0</v>
      </c>
      <c r="AF147" s="43">
        <f>'D4 Gallon Forecast'!AF149</f>
        <v>0</v>
      </c>
      <c r="AG147" s="43">
        <f>'D4 Gallon Forecast'!AG149</f>
        <v>0</v>
      </c>
      <c r="AH147" s="43">
        <f>'D4 Gallon Forecast'!AH149</f>
        <v>0</v>
      </c>
      <c r="AI147" s="43">
        <f>'D4 Gallon Forecast'!AI149</f>
        <v>0</v>
      </c>
      <c r="AJ147" s="43">
        <f>'D4 Gallon Forecast'!AJ149</f>
        <v>0</v>
      </c>
      <c r="AK147" s="43">
        <f>'D4 Gallon Forecast'!AK149</f>
        <v>0</v>
      </c>
      <c r="AL147" s="43">
        <f>'D4 Gallon Forecast'!AL149</f>
        <v>0</v>
      </c>
      <c r="AM147" s="43">
        <f>'D4 Gallon Forecast'!AM149</f>
        <v>0</v>
      </c>
      <c r="AN147" s="43">
        <f>'D4 Gallon Forecast'!AN149</f>
        <v>0</v>
      </c>
      <c r="AO147" s="43">
        <f>'D4 Gallon Forecast'!AO149</f>
        <v>0</v>
      </c>
      <c r="AP147" s="43">
        <f>'D4 Gallon Forecast'!AP149</f>
        <v>0</v>
      </c>
      <c r="AQ147" s="43"/>
    </row>
    <row r="148" spans="1:43">
      <c r="A148" s="40" t="s">
        <v>44</v>
      </c>
      <c r="B148" s="42">
        <f>'Monthly D4 RIN Data'!$S5</f>
        <v>0</v>
      </c>
      <c r="C148" s="42">
        <f>'Monthly D4 RIN Data'!$S17</f>
        <v>0</v>
      </c>
      <c r="D148" s="42">
        <f>'Monthly D4 RIN Data'!$S29</f>
        <v>14250</v>
      </c>
      <c r="E148" s="42">
        <f>'Monthly D4 RIN Data'!$S41</f>
        <v>106358</v>
      </c>
      <c r="F148" s="42">
        <f>'Monthly D4 RIN Data'!$S53</f>
        <v>0</v>
      </c>
      <c r="G148" s="42">
        <f>'Monthly D4 RIN Data'!$S65</f>
        <v>0</v>
      </c>
      <c r="H148" s="42">
        <f>'Monthly D4 RIN Data'!$S77</f>
        <v>0</v>
      </c>
      <c r="I148" s="42">
        <f>'Monthly D4 RIN Data'!$S89</f>
        <v>0</v>
      </c>
      <c r="J148" s="42">
        <f>'Monthly D4 RIN Data'!$S101</f>
        <v>0</v>
      </c>
      <c r="K148" s="42">
        <f>'Monthly D4 RIN Data'!$S113</f>
        <v>0</v>
      </c>
      <c r="L148" s="42">
        <f>'Monthly D4 RIN Data'!$S125</f>
        <v>0</v>
      </c>
      <c r="M148" s="42">
        <f>'Monthly D4 RIN Data'!$S137</f>
        <v>0</v>
      </c>
      <c r="N148" s="42">
        <f>'Monthly D4 RIN Data'!$S149</f>
        <v>0</v>
      </c>
      <c r="O148" s="42">
        <f>'Monthly D4 RIN Data'!$S161</f>
        <v>0</v>
      </c>
      <c r="P148" s="42">
        <f>'Monthly D4 RIN Data'!$S173</f>
        <v>0</v>
      </c>
      <c r="Q148" s="42">
        <f>'Monthly D4 RIN Data'!$S185</f>
        <v>0</v>
      </c>
      <c r="R148" s="43">
        <f>'D4 Gallon Forecast'!R150</f>
        <v>0</v>
      </c>
      <c r="S148" s="43">
        <f>'D4 Gallon Forecast'!S150</f>
        <v>0</v>
      </c>
      <c r="T148" s="43">
        <f>'D4 Gallon Forecast'!T150</f>
        <v>0</v>
      </c>
      <c r="U148" s="43">
        <f>'D4 Gallon Forecast'!U150</f>
        <v>0</v>
      </c>
      <c r="V148" s="43">
        <f>'D4 Gallon Forecast'!V150</f>
        <v>0</v>
      </c>
      <c r="W148" s="43">
        <f>'D4 Gallon Forecast'!W150</f>
        <v>0</v>
      </c>
      <c r="X148" s="43">
        <f>'D4 Gallon Forecast'!X150</f>
        <v>0</v>
      </c>
      <c r="Y148" s="43">
        <f>'D4 Gallon Forecast'!Y150</f>
        <v>0</v>
      </c>
      <c r="Z148" s="43">
        <f>'D4 Gallon Forecast'!Z150</f>
        <v>0</v>
      </c>
      <c r="AA148" s="43">
        <f>'D4 Gallon Forecast'!AA150</f>
        <v>0</v>
      </c>
      <c r="AB148" s="43">
        <f>'D4 Gallon Forecast'!AB150</f>
        <v>0</v>
      </c>
      <c r="AC148" s="43">
        <f>'D4 Gallon Forecast'!AC150</f>
        <v>0</v>
      </c>
      <c r="AD148" s="43">
        <f>'D4 Gallon Forecast'!AD150</f>
        <v>0</v>
      </c>
      <c r="AE148" s="43">
        <f>'D4 Gallon Forecast'!AE150</f>
        <v>0</v>
      </c>
      <c r="AF148" s="43">
        <f>'D4 Gallon Forecast'!AF150</f>
        <v>0</v>
      </c>
      <c r="AG148" s="43">
        <f>'D4 Gallon Forecast'!AG150</f>
        <v>0</v>
      </c>
      <c r="AH148" s="43">
        <f>'D4 Gallon Forecast'!AH150</f>
        <v>0</v>
      </c>
      <c r="AI148" s="43">
        <f>'D4 Gallon Forecast'!AI150</f>
        <v>0</v>
      </c>
      <c r="AJ148" s="43">
        <f>'D4 Gallon Forecast'!AJ150</f>
        <v>0</v>
      </c>
      <c r="AK148" s="43">
        <f>'D4 Gallon Forecast'!AK150</f>
        <v>0</v>
      </c>
      <c r="AL148" s="43">
        <f>'D4 Gallon Forecast'!AL150</f>
        <v>0</v>
      </c>
      <c r="AM148" s="43">
        <f>'D4 Gallon Forecast'!AM150</f>
        <v>0</v>
      </c>
      <c r="AN148" s="43">
        <f>'D4 Gallon Forecast'!AN150</f>
        <v>0</v>
      </c>
      <c r="AO148" s="43">
        <f>'D4 Gallon Forecast'!AO150</f>
        <v>0</v>
      </c>
      <c r="AP148" s="43">
        <f>'D4 Gallon Forecast'!AP150</f>
        <v>0</v>
      </c>
      <c r="AQ148" s="43"/>
    </row>
    <row r="149" spans="1:43">
      <c r="A149" s="40" t="s">
        <v>45</v>
      </c>
      <c r="B149" s="42">
        <f>'Monthly D4 RIN Data'!$S6</f>
        <v>0</v>
      </c>
      <c r="C149" s="42">
        <f>'Monthly D4 RIN Data'!$S18</f>
        <v>0</v>
      </c>
      <c r="D149" s="42">
        <f>'Monthly D4 RIN Data'!$S30</f>
        <v>87000</v>
      </c>
      <c r="E149" s="42">
        <f>'Monthly D4 RIN Data'!$S42</f>
        <v>102536</v>
      </c>
      <c r="F149" s="42">
        <f>'Monthly D4 RIN Data'!$S54</f>
        <v>0</v>
      </c>
      <c r="G149" s="42">
        <f>'Monthly D4 RIN Data'!$S66</f>
        <v>0</v>
      </c>
      <c r="H149" s="42">
        <f>'Monthly D4 RIN Data'!$S78</f>
        <v>0</v>
      </c>
      <c r="I149" s="42">
        <f>'Monthly D4 RIN Data'!$S90</f>
        <v>0</v>
      </c>
      <c r="J149" s="42">
        <f>'Monthly D4 RIN Data'!$S102</f>
        <v>0</v>
      </c>
      <c r="K149" s="42">
        <f>'Monthly D4 RIN Data'!$S114</f>
        <v>0</v>
      </c>
      <c r="L149" s="42">
        <f>'Monthly D4 RIN Data'!$S126</f>
        <v>0</v>
      </c>
      <c r="M149" s="42">
        <f>'Monthly D4 RIN Data'!$S138</f>
        <v>0</v>
      </c>
      <c r="N149" s="42">
        <f>'Monthly D4 RIN Data'!$S150</f>
        <v>0</v>
      </c>
      <c r="O149" s="42">
        <f>'Monthly D4 RIN Data'!$S162</f>
        <v>0</v>
      </c>
      <c r="P149" s="42">
        <f>'Monthly D4 RIN Data'!$S174</f>
        <v>0</v>
      </c>
      <c r="Q149" s="42">
        <f>'Monthly D4 RIN Data'!$S186</f>
        <v>0</v>
      </c>
      <c r="R149" s="43">
        <f>'D4 Gallon Forecast'!R151</f>
        <v>0</v>
      </c>
      <c r="S149" s="43">
        <f>'D4 Gallon Forecast'!S151</f>
        <v>0</v>
      </c>
      <c r="T149" s="43">
        <f>'D4 Gallon Forecast'!T151</f>
        <v>0</v>
      </c>
      <c r="U149" s="43">
        <f>'D4 Gallon Forecast'!U151</f>
        <v>0</v>
      </c>
      <c r="V149" s="43">
        <f>'D4 Gallon Forecast'!V151</f>
        <v>0</v>
      </c>
      <c r="W149" s="43">
        <f>'D4 Gallon Forecast'!W151</f>
        <v>0</v>
      </c>
      <c r="X149" s="43">
        <f>'D4 Gallon Forecast'!X151</f>
        <v>0</v>
      </c>
      <c r="Y149" s="43">
        <f>'D4 Gallon Forecast'!Y151</f>
        <v>0</v>
      </c>
      <c r="Z149" s="43">
        <f>'D4 Gallon Forecast'!Z151</f>
        <v>0</v>
      </c>
      <c r="AA149" s="43">
        <f>'D4 Gallon Forecast'!AA151</f>
        <v>0</v>
      </c>
      <c r="AB149" s="43">
        <f>'D4 Gallon Forecast'!AB151</f>
        <v>0</v>
      </c>
      <c r="AC149" s="43">
        <f>'D4 Gallon Forecast'!AC151</f>
        <v>0</v>
      </c>
      <c r="AD149" s="43">
        <f>'D4 Gallon Forecast'!AD151</f>
        <v>0</v>
      </c>
      <c r="AE149" s="43">
        <f>'D4 Gallon Forecast'!AE151</f>
        <v>0</v>
      </c>
      <c r="AF149" s="43">
        <f>'D4 Gallon Forecast'!AF151</f>
        <v>0</v>
      </c>
      <c r="AG149" s="43">
        <f>'D4 Gallon Forecast'!AG151</f>
        <v>0</v>
      </c>
      <c r="AH149" s="43">
        <f>'D4 Gallon Forecast'!AH151</f>
        <v>0</v>
      </c>
      <c r="AI149" s="43">
        <f>'D4 Gallon Forecast'!AI151</f>
        <v>0</v>
      </c>
      <c r="AJ149" s="43">
        <f>'D4 Gallon Forecast'!AJ151</f>
        <v>0</v>
      </c>
      <c r="AK149" s="43">
        <f>'D4 Gallon Forecast'!AK151</f>
        <v>0</v>
      </c>
      <c r="AL149" s="43">
        <f>'D4 Gallon Forecast'!AL151</f>
        <v>0</v>
      </c>
      <c r="AM149" s="43">
        <f>'D4 Gallon Forecast'!AM151</f>
        <v>0</v>
      </c>
      <c r="AN149" s="43">
        <f>'D4 Gallon Forecast'!AN151</f>
        <v>0</v>
      </c>
      <c r="AO149" s="43">
        <f>'D4 Gallon Forecast'!AO151</f>
        <v>0</v>
      </c>
      <c r="AP149" s="43">
        <f>'D4 Gallon Forecast'!AP151</f>
        <v>0</v>
      </c>
      <c r="AQ149" s="43"/>
    </row>
    <row r="150" spans="1:43">
      <c r="A150" s="40" t="s">
        <v>46</v>
      </c>
      <c r="B150" s="42">
        <f>'Monthly D4 RIN Data'!$S7</f>
        <v>0</v>
      </c>
      <c r="C150" s="42">
        <f>'Monthly D4 RIN Data'!$S19</f>
        <v>0</v>
      </c>
      <c r="D150" s="42">
        <f>'Monthly D4 RIN Data'!$S31</f>
        <v>200797</v>
      </c>
      <c r="E150" s="42">
        <f>'Monthly D4 RIN Data'!$S43</f>
        <v>0</v>
      </c>
      <c r="F150" s="42">
        <f>'Monthly D4 RIN Data'!$S55</f>
        <v>0</v>
      </c>
      <c r="G150" s="42">
        <f>'Monthly D4 RIN Data'!$S67</f>
        <v>0</v>
      </c>
      <c r="H150" s="42">
        <f>'Monthly D4 RIN Data'!$S79</f>
        <v>0</v>
      </c>
      <c r="I150" s="42">
        <f>'Monthly D4 RIN Data'!$S91</f>
        <v>0</v>
      </c>
      <c r="J150" s="42">
        <f>'Monthly D4 RIN Data'!$S103</f>
        <v>0</v>
      </c>
      <c r="K150" s="42">
        <f>'Monthly D4 RIN Data'!$S115</f>
        <v>0</v>
      </c>
      <c r="L150" s="42">
        <f>'Monthly D4 RIN Data'!$S127</f>
        <v>0</v>
      </c>
      <c r="M150" s="42">
        <f>'Monthly D4 RIN Data'!$S139</f>
        <v>0</v>
      </c>
      <c r="N150" s="42">
        <f>'Monthly D4 RIN Data'!$S151</f>
        <v>0</v>
      </c>
      <c r="O150" s="42">
        <f>'Monthly D4 RIN Data'!$S163</f>
        <v>0</v>
      </c>
      <c r="P150" s="42">
        <f>'Monthly D4 RIN Data'!$S175</f>
        <v>0</v>
      </c>
      <c r="Q150" s="43">
        <f>'D4 Gallon Forecast'!Q152</f>
        <v>0</v>
      </c>
      <c r="R150" s="43">
        <f>'D4 Gallon Forecast'!R152</f>
        <v>0</v>
      </c>
      <c r="S150" s="43">
        <f>'D4 Gallon Forecast'!S152</f>
        <v>0</v>
      </c>
      <c r="T150" s="43">
        <f>'D4 Gallon Forecast'!T152</f>
        <v>0</v>
      </c>
      <c r="U150" s="43">
        <f>'D4 Gallon Forecast'!U152</f>
        <v>0</v>
      </c>
      <c r="V150" s="43">
        <f>'D4 Gallon Forecast'!V152</f>
        <v>0</v>
      </c>
      <c r="W150" s="43">
        <f>'D4 Gallon Forecast'!W152</f>
        <v>0</v>
      </c>
      <c r="X150" s="43">
        <f>'D4 Gallon Forecast'!X152</f>
        <v>0</v>
      </c>
      <c r="Y150" s="43">
        <f>'D4 Gallon Forecast'!Y152</f>
        <v>0</v>
      </c>
      <c r="Z150" s="43">
        <f>'D4 Gallon Forecast'!Z152</f>
        <v>0</v>
      </c>
      <c r="AA150" s="43">
        <f>'D4 Gallon Forecast'!AA152</f>
        <v>0</v>
      </c>
      <c r="AB150" s="43">
        <f>'D4 Gallon Forecast'!AB152</f>
        <v>0</v>
      </c>
      <c r="AC150" s="43">
        <f>'D4 Gallon Forecast'!AC152</f>
        <v>0</v>
      </c>
      <c r="AD150" s="43">
        <f>'D4 Gallon Forecast'!AD152</f>
        <v>0</v>
      </c>
      <c r="AE150" s="43">
        <f>'D4 Gallon Forecast'!AE152</f>
        <v>0</v>
      </c>
      <c r="AF150" s="43">
        <f>'D4 Gallon Forecast'!AF152</f>
        <v>0</v>
      </c>
      <c r="AG150" s="43">
        <f>'D4 Gallon Forecast'!AG152</f>
        <v>0</v>
      </c>
      <c r="AH150" s="43">
        <f>'D4 Gallon Forecast'!AH152</f>
        <v>0</v>
      </c>
      <c r="AI150" s="43">
        <f>'D4 Gallon Forecast'!AI152</f>
        <v>0</v>
      </c>
      <c r="AJ150" s="43">
        <f>'D4 Gallon Forecast'!AJ152</f>
        <v>0</v>
      </c>
      <c r="AK150" s="43">
        <f>'D4 Gallon Forecast'!AK152</f>
        <v>0</v>
      </c>
      <c r="AL150" s="43">
        <f>'D4 Gallon Forecast'!AL152</f>
        <v>0</v>
      </c>
      <c r="AM150" s="43">
        <f>'D4 Gallon Forecast'!AM152</f>
        <v>0</v>
      </c>
      <c r="AN150" s="43">
        <f>'D4 Gallon Forecast'!AN152</f>
        <v>0</v>
      </c>
      <c r="AO150" s="43">
        <f>'D4 Gallon Forecast'!AO152</f>
        <v>0</v>
      </c>
      <c r="AP150" s="43">
        <f>'D4 Gallon Forecast'!AP152</f>
        <v>0</v>
      </c>
      <c r="AQ150" s="43"/>
    </row>
    <row r="151" spans="1:43">
      <c r="A151" s="40" t="s">
        <v>47</v>
      </c>
      <c r="B151" s="42">
        <f>'Monthly D4 RIN Data'!$S8</f>
        <v>0</v>
      </c>
      <c r="C151" s="42">
        <f>'Monthly D4 RIN Data'!$S20</f>
        <v>0</v>
      </c>
      <c r="D151" s="42">
        <f>'Monthly D4 RIN Data'!$S32</f>
        <v>207888</v>
      </c>
      <c r="E151" s="42">
        <f>'Monthly D4 RIN Data'!$S44</f>
        <v>0</v>
      </c>
      <c r="F151" s="42">
        <f>'Monthly D4 RIN Data'!$S56</f>
        <v>91518</v>
      </c>
      <c r="G151" s="42">
        <f>'Monthly D4 RIN Data'!$S68</f>
        <v>0</v>
      </c>
      <c r="H151" s="42">
        <f>'Monthly D4 RIN Data'!$S80</f>
        <v>0</v>
      </c>
      <c r="I151" s="42">
        <f>'Monthly D4 RIN Data'!$S92</f>
        <v>0</v>
      </c>
      <c r="J151" s="42">
        <f>'Monthly D4 RIN Data'!$S104</f>
        <v>0</v>
      </c>
      <c r="K151" s="42">
        <f>'Monthly D4 RIN Data'!$S116</f>
        <v>0</v>
      </c>
      <c r="L151" s="42">
        <f>'Monthly D4 RIN Data'!$S128</f>
        <v>0</v>
      </c>
      <c r="M151" s="42">
        <f>'Monthly D4 RIN Data'!$S140</f>
        <v>0</v>
      </c>
      <c r="N151" s="42">
        <f>'Monthly D4 RIN Data'!$S152</f>
        <v>0</v>
      </c>
      <c r="O151" s="42">
        <f>'Monthly D4 RIN Data'!$S164</f>
        <v>0</v>
      </c>
      <c r="P151" s="42">
        <f>'Monthly D4 RIN Data'!$S176</f>
        <v>0</v>
      </c>
      <c r="Q151" s="43">
        <f>'D4 Gallon Forecast'!Q153</f>
        <v>0</v>
      </c>
      <c r="R151" s="43">
        <f>'D4 Gallon Forecast'!R153</f>
        <v>0</v>
      </c>
      <c r="S151" s="43">
        <f>'D4 Gallon Forecast'!S153</f>
        <v>0</v>
      </c>
      <c r="T151" s="43">
        <f>'D4 Gallon Forecast'!T153</f>
        <v>0</v>
      </c>
      <c r="U151" s="43">
        <f>'D4 Gallon Forecast'!U153</f>
        <v>0</v>
      </c>
      <c r="V151" s="43">
        <f>'D4 Gallon Forecast'!V153</f>
        <v>0</v>
      </c>
      <c r="W151" s="43">
        <f>'D4 Gallon Forecast'!W153</f>
        <v>0</v>
      </c>
      <c r="X151" s="43">
        <f>'D4 Gallon Forecast'!X153</f>
        <v>0</v>
      </c>
      <c r="Y151" s="43">
        <f>'D4 Gallon Forecast'!Y153</f>
        <v>0</v>
      </c>
      <c r="Z151" s="43">
        <f>'D4 Gallon Forecast'!Z153</f>
        <v>0</v>
      </c>
      <c r="AA151" s="43">
        <f>'D4 Gallon Forecast'!AA153</f>
        <v>0</v>
      </c>
      <c r="AB151" s="43">
        <f>'D4 Gallon Forecast'!AB153</f>
        <v>0</v>
      </c>
      <c r="AC151" s="43">
        <f>'D4 Gallon Forecast'!AC153</f>
        <v>0</v>
      </c>
      <c r="AD151" s="43">
        <f>'D4 Gallon Forecast'!AD153</f>
        <v>0</v>
      </c>
      <c r="AE151" s="43">
        <f>'D4 Gallon Forecast'!AE153</f>
        <v>0</v>
      </c>
      <c r="AF151" s="43">
        <f>'D4 Gallon Forecast'!AF153</f>
        <v>0</v>
      </c>
      <c r="AG151" s="43">
        <f>'D4 Gallon Forecast'!AG153</f>
        <v>0</v>
      </c>
      <c r="AH151" s="43">
        <f>'D4 Gallon Forecast'!AH153</f>
        <v>0</v>
      </c>
      <c r="AI151" s="43">
        <f>'D4 Gallon Forecast'!AI153</f>
        <v>0</v>
      </c>
      <c r="AJ151" s="43">
        <f>'D4 Gallon Forecast'!AJ153</f>
        <v>0</v>
      </c>
      <c r="AK151" s="43">
        <f>'D4 Gallon Forecast'!AK153</f>
        <v>0</v>
      </c>
      <c r="AL151" s="43">
        <f>'D4 Gallon Forecast'!AL153</f>
        <v>0</v>
      </c>
      <c r="AM151" s="43">
        <f>'D4 Gallon Forecast'!AM153</f>
        <v>0</v>
      </c>
      <c r="AN151" s="43">
        <f>'D4 Gallon Forecast'!AN153</f>
        <v>0</v>
      </c>
      <c r="AO151" s="43">
        <f>'D4 Gallon Forecast'!AO153</f>
        <v>0</v>
      </c>
      <c r="AP151" s="43">
        <f>'D4 Gallon Forecast'!AP153</f>
        <v>0</v>
      </c>
      <c r="AQ151" s="43"/>
    </row>
    <row r="152" spans="1:43">
      <c r="A152" s="40" t="s">
        <v>48</v>
      </c>
      <c r="B152" s="42">
        <f>'Monthly D4 RIN Data'!$S9</f>
        <v>0</v>
      </c>
      <c r="C152" s="42">
        <f>'Monthly D4 RIN Data'!$S21</f>
        <v>0</v>
      </c>
      <c r="D152" s="42">
        <f>'Monthly D4 RIN Data'!$S33</f>
        <v>0</v>
      </c>
      <c r="E152" s="42">
        <f>'Monthly D4 RIN Data'!$S45</f>
        <v>69722</v>
      </c>
      <c r="F152" s="42">
        <f>'Monthly D4 RIN Data'!$S57</f>
        <v>42584</v>
      </c>
      <c r="G152" s="42">
        <f>'Monthly D4 RIN Data'!$S69</f>
        <v>0</v>
      </c>
      <c r="H152" s="42">
        <f>'Monthly D4 RIN Data'!$S81</f>
        <v>0</v>
      </c>
      <c r="I152" s="42">
        <f>'Monthly D4 RIN Data'!$S93</f>
        <v>0</v>
      </c>
      <c r="J152" s="42">
        <f>'Monthly D4 RIN Data'!$S105</f>
        <v>0</v>
      </c>
      <c r="K152" s="42">
        <f>'Monthly D4 RIN Data'!$S117</f>
        <v>0</v>
      </c>
      <c r="L152" s="42">
        <f>'Monthly D4 RIN Data'!$S129</f>
        <v>0</v>
      </c>
      <c r="M152" s="42">
        <f>'Monthly D4 RIN Data'!$S141</f>
        <v>0</v>
      </c>
      <c r="N152" s="42">
        <f>'Monthly D4 RIN Data'!$S153</f>
        <v>0</v>
      </c>
      <c r="O152" s="42">
        <f>'Monthly D4 RIN Data'!$S165</f>
        <v>0</v>
      </c>
      <c r="P152" s="42">
        <f>'Monthly D4 RIN Data'!$S177</f>
        <v>0</v>
      </c>
      <c r="Q152" s="43">
        <f>'D4 Gallon Forecast'!Q154</f>
        <v>0</v>
      </c>
      <c r="R152" s="43">
        <f>'D4 Gallon Forecast'!R154</f>
        <v>0</v>
      </c>
      <c r="S152" s="43">
        <f>'D4 Gallon Forecast'!S154</f>
        <v>0</v>
      </c>
      <c r="T152" s="43">
        <f>'D4 Gallon Forecast'!T154</f>
        <v>0</v>
      </c>
      <c r="U152" s="43">
        <f>'D4 Gallon Forecast'!U154</f>
        <v>0</v>
      </c>
      <c r="V152" s="43">
        <f>'D4 Gallon Forecast'!V154</f>
        <v>0</v>
      </c>
      <c r="W152" s="43">
        <f>'D4 Gallon Forecast'!W154</f>
        <v>0</v>
      </c>
      <c r="X152" s="43">
        <f>'D4 Gallon Forecast'!X154</f>
        <v>0</v>
      </c>
      <c r="Y152" s="43">
        <f>'D4 Gallon Forecast'!Y154</f>
        <v>0</v>
      </c>
      <c r="Z152" s="43">
        <f>'D4 Gallon Forecast'!Z154</f>
        <v>0</v>
      </c>
      <c r="AA152" s="43">
        <f>'D4 Gallon Forecast'!AA154</f>
        <v>0</v>
      </c>
      <c r="AB152" s="43">
        <f>'D4 Gallon Forecast'!AB154</f>
        <v>0</v>
      </c>
      <c r="AC152" s="43">
        <f>'D4 Gallon Forecast'!AC154</f>
        <v>0</v>
      </c>
      <c r="AD152" s="43">
        <f>'D4 Gallon Forecast'!AD154</f>
        <v>0</v>
      </c>
      <c r="AE152" s="43">
        <f>'D4 Gallon Forecast'!AE154</f>
        <v>0</v>
      </c>
      <c r="AF152" s="43">
        <f>'D4 Gallon Forecast'!AF154</f>
        <v>0</v>
      </c>
      <c r="AG152" s="43">
        <f>'D4 Gallon Forecast'!AG154</f>
        <v>0</v>
      </c>
      <c r="AH152" s="43">
        <f>'D4 Gallon Forecast'!AH154</f>
        <v>0</v>
      </c>
      <c r="AI152" s="43">
        <f>'D4 Gallon Forecast'!AI154</f>
        <v>0</v>
      </c>
      <c r="AJ152" s="43">
        <f>'D4 Gallon Forecast'!AJ154</f>
        <v>0</v>
      </c>
      <c r="AK152" s="43">
        <f>'D4 Gallon Forecast'!AK154</f>
        <v>0</v>
      </c>
      <c r="AL152" s="43">
        <f>'D4 Gallon Forecast'!AL154</f>
        <v>0</v>
      </c>
      <c r="AM152" s="43">
        <f>'D4 Gallon Forecast'!AM154</f>
        <v>0</v>
      </c>
      <c r="AN152" s="43">
        <f>'D4 Gallon Forecast'!AN154</f>
        <v>0</v>
      </c>
      <c r="AO152" s="43">
        <f>'D4 Gallon Forecast'!AO154</f>
        <v>0</v>
      </c>
      <c r="AP152" s="43">
        <f>'D4 Gallon Forecast'!AP154</f>
        <v>0</v>
      </c>
      <c r="AQ152" s="43"/>
    </row>
    <row r="153" spans="1:43">
      <c r="A153" s="40" t="s">
        <v>49</v>
      </c>
      <c r="B153" s="42">
        <f>'Monthly D4 RIN Data'!$S10</f>
        <v>0</v>
      </c>
      <c r="C153" s="42">
        <f>'Monthly D4 RIN Data'!$S22</f>
        <v>42906</v>
      </c>
      <c r="D153" s="42">
        <f>'Monthly D4 RIN Data'!$S34</f>
        <v>341496</v>
      </c>
      <c r="E153" s="42">
        <f>'Monthly D4 RIN Data'!$S46</f>
        <v>88139</v>
      </c>
      <c r="F153" s="42">
        <f>'Monthly D4 RIN Data'!$S58</f>
        <v>12969</v>
      </c>
      <c r="G153" s="42">
        <f>'Monthly D4 RIN Data'!$S70</f>
        <v>0</v>
      </c>
      <c r="H153" s="42">
        <f>'Monthly D4 RIN Data'!$S82</f>
        <v>0</v>
      </c>
      <c r="I153" s="42">
        <f>'Monthly D4 RIN Data'!$S94</f>
        <v>0</v>
      </c>
      <c r="J153" s="42">
        <f>'Monthly D4 RIN Data'!$S106</f>
        <v>0</v>
      </c>
      <c r="K153" s="42">
        <f>'Monthly D4 RIN Data'!$S118</f>
        <v>0</v>
      </c>
      <c r="L153" s="42">
        <f>'Monthly D4 RIN Data'!$S130</f>
        <v>0</v>
      </c>
      <c r="M153" s="42">
        <f>'Monthly D4 RIN Data'!$S142</f>
        <v>0</v>
      </c>
      <c r="N153" s="42">
        <f>'Monthly D4 RIN Data'!$S154</f>
        <v>0</v>
      </c>
      <c r="O153" s="42">
        <f>'Monthly D4 RIN Data'!$S166</f>
        <v>0</v>
      </c>
      <c r="P153" s="42">
        <f>'Monthly D4 RIN Data'!$S178</f>
        <v>0</v>
      </c>
      <c r="Q153" s="43">
        <f>'D4 Gallon Forecast'!Q155</f>
        <v>0</v>
      </c>
      <c r="R153" s="43">
        <f>'D4 Gallon Forecast'!R155</f>
        <v>0</v>
      </c>
      <c r="S153" s="43">
        <f>'D4 Gallon Forecast'!S155</f>
        <v>0</v>
      </c>
      <c r="T153" s="43">
        <f>'D4 Gallon Forecast'!T155</f>
        <v>0</v>
      </c>
      <c r="U153" s="43">
        <f>'D4 Gallon Forecast'!U155</f>
        <v>0</v>
      </c>
      <c r="V153" s="43">
        <f>'D4 Gallon Forecast'!V155</f>
        <v>0</v>
      </c>
      <c r="W153" s="43">
        <f>'D4 Gallon Forecast'!W155</f>
        <v>0</v>
      </c>
      <c r="X153" s="43">
        <f>'D4 Gallon Forecast'!X155</f>
        <v>0</v>
      </c>
      <c r="Y153" s="43">
        <f>'D4 Gallon Forecast'!Y155</f>
        <v>0</v>
      </c>
      <c r="Z153" s="43">
        <f>'D4 Gallon Forecast'!Z155</f>
        <v>0</v>
      </c>
      <c r="AA153" s="43">
        <f>'D4 Gallon Forecast'!AA155</f>
        <v>0</v>
      </c>
      <c r="AB153" s="43">
        <f>'D4 Gallon Forecast'!AB155</f>
        <v>0</v>
      </c>
      <c r="AC153" s="43">
        <f>'D4 Gallon Forecast'!AC155</f>
        <v>0</v>
      </c>
      <c r="AD153" s="43">
        <f>'D4 Gallon Forecast'!AD155</f>
        <v>0</v>
      </c>
      <c r="AE153" s="43">
        <f>'D4 Gallon Forecast'!AE155</f>
        <v>0</v>
      </c>
      <c r="AF153" s="43">
        <f>'D4 Gallon Forecast'!AF155</f>
        <v>0</v>
      </c>
      <c r="AG153" s="43">
        <f>'D4 Gallon Forecast'!AG155</f>
        <v>0</v>
      </c>
      <c r="AH153" s="43">
        <f>'D4 Gallon Forecast'!AH155</f>
        <v>0</v>
      </c>
      <c r="AI153" s="43">
        <f>'D4 Gallon Forecast'!AI155</f>
        <v>0</v>
      </c>
      <c r="AJ153" s="43">
        <f>'D4 Gallon Forecast'!AJ155</f>
        <v>0</v>
      </c>
      <c r="AK153" s="43">
        <f>'D4 Gallon Forecast'!AK155</f>
        <v>0</v>
      </c>
      <c r="AL153" s="43">
        <f>'D4 Gallon Forecast'!AL155</f>
        <v>0</v>
      </c>
      <c r="AM153" s="43">
        <f>'D4 Gallon Forecast'!AM155</f>
        <v>0</v>
      </c>
      <c r="AN153" s="43">
        <f>'D4 Gallon Forecast'!AN155</f>
        <v>0</v>
      </c>
      <c r="AO153" s="43">
        <f>'D4 Gallon Forecast'!AO155</f>
        <v>0</v>
      </c>
      <c r="AP153" s="43">
        <f>'D4 Gallon Forecast'!AP155</f>
        <v>0</v>
      </c>
      <c r="AQ153" s="43"/>
    </row>
    <row r="154" spans="1:43">
      <c r="A154" s="40" t="s">
        <v>50</v>
      </c>
      <c r="B154" s="42">
        <f>'Monthly D4 RIN Data'!$S11</f>
        <v>0</v>
      </c>
      <c r="C154" s="42">
        <f>'Monthly D4 RIN Data'!$S23</f>
        <v>98960</v>
      </c>
      <c r="D154" s="42">
        <f>'Monthly D4 RIN Data'!$S35</f>
        <v>68805</v>
      </c>
      <c r="E154" s="42">
        <f>'Monthly D4 RIN Data'!$S47</f>
        <v>0</v>
      </c>
      <c r="F154" s="42">
        <f>'Monthly D4 RIN Data'!$S59</f>
        <v>0</v>
      </c>
      <c r="G154" s="42">
        <f>'Monthly D4 RIN Data'!$S71</f>
        <v>0</v>
      </c>
      <c r="H154" s="42">
        <f>'Monthly D4 RIN Data'!$S83</f>
        <v>0</v>
      </c>
      <c r="I154" s="42">
        <f>'Monthly D4 RIN Data'!$S95</f>
        <v>0</v>
      </c>
      <c r="J154" s="42">
        <f>'Monthly D4 RIN Data'!$S107</f>
        <v>0</v>
      </c>
      <c r="K154" s="42">
        <f>'Monthly D4 RIN Data'!$S119</f>
        <v>0</v>
      </c>
      <c r="L154" s="42">
        <f>'Monthly D4 RIN Data'!$S131</f>
        <v>0</v>
      </c>
      <c r="M154" s="42">
        <f>'Monthly D4 RIN Data'!$S143</f>
        <v>0</v>
      </c>
      <c r="N154" s="42">
        <f>'Monthly D4 RIN Data'!$S155</f>
        <v>0</v>
      </c>
      <c r="O154" s="42">
        <f>'Monthly D4 RIN Data'!$S167</f>
        <v>0</v>
      </c>
      <c r="P154" s="42">
        <f>'Monthly D4 RIN Data'!$S179</f>
        <v>0</v>
      </c>
      <c r="Q154" s="43">
        <f>'D4 Gallon Forecast'!Q156</f>
        <v>0</v>
      </c>
      <c r="R154" s="43">
        <f>'D4 Gallon Forecast'!R156</f>
        <v>0</v>
      </c>
      <c r="S154" s="43">
        <f>'D4 Gallon Forecast'!S156</f>
        <v>0</v>
      </c>
      <c r="T154" s="43">
        <f>'D4 Gallon Forecast'!T156</f>
        <v>0</v>
      </c>
      <c r="U154" s="43">
        <f>'D4 Gallon Forecast'!U156</f>
        <v>0</v>
      </c>
      <c r="V154" s="43">
        <f>'D4 Gallon Forecast'!V156</f>
        <v>0</v>
      </c>
      <c r="W154" s="43">
        <f>'D4 Gallon Forecast'!W156</f>
        <v>0</v>
      </c>
      <c r="X154" s="43">
        <f>'D4 Gallon Forecast'!X156</f>
        <v>0</v>
      </c>
      <c r="Y154" s="43">
        <f>'D4 Gallon Forecast'!Y156</f>
        <v>0</v>
      </c>
      <c r="Z154" s="43">
        <f>'D4 Gallon Forecast'!Z156</f>
        <v>0</v>
      </c>
      <c r="AA154" s="43">
        <f>'D4 Gallon Forecast'!AA156</f>
        <v>0</v>
      </c>
      <c r="AB154" s="43">
        <f>'D4 Gallon Forecast'!AB156</f>
        <v>0</v>
      </c>
      <c r="AC154" s="43">
        <f>'D4 Gallon Forecast'!AC156</f>
        <v>0</v>
      </c>
      <c r="AD154" s="43">
        <f>'D4 Gallon Forecast'!AD156</f>
        <v>0</v>
      </c>
      <c r="AE154" s="43">
        <f>'D4 Gallon Forecast'!AE156</f>
        <v>0</v>
      </c>
      <c r="AF154" s="43">
        <f>'D4 Gallon Forecast'!AF156</f>
        <v>0</v>
      </c>
      <c r="AG154" s="43">
        <f>'D4 Gallon Forecast'!AG156</f>
        <v>0</v>
      </c>
      <c r="AH154" s="43">
        <f>'D4 Gallon Forecast'!AH156</f>
        <v>0</v>
      </c>
      <c r="AI154" s="43">
        <f>'D4 Gallon Forecast'!AI156</f>
        <v>0</v>
      </c>
      <c r="AJ154" s="43">
        <f>'D4 Gallon Forecast'!AJ156</f>
        <v>0</v>
      </c>
      <c r="AK154" s="43">
        <f>'D4 Gallon Forecast'!AK156</f>
        <v>0</v>
      </c>
      <c r="AL154" s="43">
        <f>'D4 Gallon Forecast'!AL156</f>
        <v>0</v>
      </c>
      <c r="AM154" s="43">
        <f>'D4 Gallon Forecast'!AM156</f>
        <v>0</v>
      </c>
      <c r="AN154" s="43">
        <f>'D4 Gallon Forecast'!AN156</f>
        <v>0</v>
      </c>
      <c r="AO154" s="43">
        <f>'D4 Gallon Forecast'!AO156</f>
        <v>0</v>
      </c>
      <c r="AP154" s="43">
        <f>'D4 Gallon Forecast'!AP156</f>
        <v>0</v>
      </c>
      <c r="AQ154" s="43"/>
    </row>
    <row r="155" spans="1:43">
      <c r="A155" s="40" t="s">
        <v>51</v>
      </c>
      <c r="B155" s="42">
        <f>'Monthly D4 RIN Data'!$S12</f>
        <v>0</v>
      </c>
      <c r="C155" s="42">
        <f>'Monthly D4 RIN Data'!$S24</f>
        <v>23400</v>
      </c>
      <c r="D155" s="42">
        <f>'Monthly D4 RIN Data'!$S36</f>
        <v>213753</v>
      </c>
      <c r="E155" s="42">
        <f>'Monthly D4 RIN Data'!$S48</f>
        <v>0</v>
      </c>
      <c r="F155" s="42">
        <f>'Monthly D4 RIN Data'!$S60</f>
        <v>26577</v>
      </c>
      <c r="G155" s="42">
        <f>'Monthly D4 RIN Data'!$S72</f>
        <v>0</v>
      </c>
      <c r="H155" s="42">
        <f>'Monthly D4 RIN Data'!$S84</f>
        <v>0</v>
      </c>
      <c r="I155" s="42">
        <f>'Monthly D4 RIN Data'!$S96</f>
        <v>0</v>
      </c>
      <c r="J155" s="42">
        <f>'Monthly D4 RIN Data'!$S108</f>
        <v>0</v>
      </c>
      <c r="K155" s="42">
        <f>'Monthly D4 RIN Data'!$S120</f>
        <v>0</v>
      </c>
      <c r="L155" s="42">
        <f>'Monthly D4 RIN Data'!$S132</f>
        <v>0</v>
      </c>
      <c r="M155" s="42">
        <f>'Monthly D4 RIN Data'!$S144</f>
        <v>0</v>
      </c>
      <c r="N155" s="42">
        <f>'Monthly D4 RIN Data'!$S156</f>
        <v>0</v>
      </c>
      <c r="O155" s="42">
        <f>'Monthly D4 RIN Data'!$S168</f>
        <v>0</v>
      </c>
      <c r="P155" s="42">
        <f>'Monthly D4 RIN Data'!$S180</f>
        <v>0</v>
      </c>
      <c r="Q155" s="43">
        <f>'D4 Gallon Forecast'!Q157</f>
        <v>0</v>
      </c>
      <c r="R155" s="43">
        <f>'D4 Gallon Forecast'!R157</f>
        <v>0</v>
      </c>
      <c r="S155" s="43">
        <f>'D4 Gallon Forecast'!S157</f>
        <v>0</v>
      </c>
      <c r="T155" s="43">
        <f>'D4 Gallon Forecast'!T157</f>
        <v>0</v>
      </c>
      <c r="U155" s="43">
        <f>'D4 Gallon Forecast'!U157</f>
        <v>0</v>
      </c>
      <c r="V155" s="43">
        <f>'D4 Gallon Forecast'!V157</f>
        <v>0</v>
      </c>
      <c r="W155" s="43">
        <f>'D4 Gallon Forecast'!W157</f>
        <v>0</v>
      </c>
      <c r="X155" s="43">
        <f>'D4 Gallon Forecast'!X157</f>
        <v>0</v>
      </c>
      <c r="Y155" s="43">
        <f>'D4 Gallon Forecast'!Y157</f>
        <v>0</v>
      </c>
      <c r="Z155" s="43">
        <f>'D4 Gallon Forecast'!Z157</f>
        <v>0</v>
      </c>
      <c r="AA155" s="43">
        <f>'D4 Gallon Forecast'!AA157</f>
        <v>0</v>
      </c>
      <c r="AB155" s="43">
        <f>'D4 Gallon Forecast'!AB157</f>
        <v>0</v>
      </c>
      <c r="AC155" s="43">
        <f>'D4 Gallon Forecast'!AC157</f>
        <v>0</v>
      </c>
      <c r="AD155" s="43">
        <f>'D4 Gallon Forecast'!AD157</f>
        <v>0</v>
      </c>
      <c r="AE155" s="43">
        <f>'D4 Gallon Forecast'!AE157</f>
        <v>0</v>
      </c>
      <c r="AF155" s="43">
        <f>'D4 Gallon Forecast'!AF157</f>
        <v>0</v>
      </c>
      <c r="AG155" s="43">
        <f>'D4 Gallon Forecast'!AG157</f>
        <v>0</v>
      </c>
      <c r="AH155" s="43">
        <f>'D4 Gallon Forecast'!AH157</f>
        <v>0</v>
      </c>
      <c r="AI155" s="43">
        <f>'D4 Gallon Forecast'!AI157</f>
        <v>0</v>
      </c>
      <c r="AJ155" s="43">
        <f>'D4 Gallon Forecast'!AJ157</f>
        <v>0</v>
      </c>
      <c r="AK155" s="43">
        <f>'D4 Gallon Forecast'!AK157</f>
        <v>0</v>
      </c>
      <c r="AL155" s="43">
        <f>'D4 Gallon Forecast'!AL157</f>
        <v>0</v>
      </c>
      <c r="AM155" s="43">
        <f>'D4 Gallon Forecast'!AM157</f>
        <v>0</v>
      </c>
      <c r="AN155" s="43">
        <f>'D4 Gallon Forecast'!AN157</f>
        <v>0</v>
      </c>
      <c r="AO155" s="43">
        <f>'D4 Gallon Forecast'!AO157</f>
        <v>0</v>
      </c>
      <c r="AP155" s="43">
        <f>'D4 Gallon Forecast'!AP157</f>
        <v>0</v>
      </c>
      <c r="AQ155" s="43"/>
    </row>
    <row r="156" spans="1:43">
      <c r="A156" s="40" t="s">
        <v>52</v>
      </c>
      <c r="B156" s="42">
        <f>'Monthly D4 RIN Data'!$S13</f>
        <v>0</v>
      </c>
      <c r="C156" s="42">
        <f>'Monthly D4 RIN Data'!$S25</f>
        <v>45000</v>
      </c>
      <c r="D156" s="42">
        <f>'Monthly D4 RIN Data'!$S37</f>
        <v>304935</v>
      </c>
      <c r="E156" s="42">
        <f>'Monthly D4 RIN Data'!$S49</f>
        <v>0</v>
      </c>
      <c r="F156" s="42">
        <f>'Monthly D4 RIN Data'!$S61</f>
        <v>49566</v>
      </c>
      <c r="G156" s="42">
        <f>'Monthly D4 RIN Data'!$S73</f>
        <v>0</v>
      </c>
      <c r="H156" s="42">
        <f>'Monthly D4 RIN Data'!$S85</f>
        <v>0</v>
      </c>
      <c r="I156" s="42">
        <f>'Monthly D4 RIN Data'!$S97</f>
        <v>0</v>
      </c>
      <c r="J156" s="42">
        <f>'Monthly D4 RIN Data'!$S109</f>
        <v>0</v>
      </c>
      <c r="K156" s="42">
        <f>'Monthly D4 RIN Data'!$S121</f>
        <v>0</v>
      </c>
      <c r="L156" s="42">
        <f>'Monthly D4 RIN Data'!$S133</f>
        <v>0</v>
      </c>
      <c r="M156" s="42">
        <f>'Monthly D4 RIN Data'!$S145</f>
        <v>0</v>
      </c>
      <c r="N156" s="42">
        <f>'Monthly D4 RIN Data'!$S157</f>
        <v>0</v>
      </c>
      <c r="O156" s="42">
        <f>'Monthly D4 RIN Data'!$S169</f>
        <v>0</v>
      </c>
      <c r="P156" s="42">
        <f>'Monthly D4 RIN Data'!$S181</f>
        <v>0</v>
      </c>
      <c r="Q156" s="43">
        <f>'D4 Gallon Forecast'!Q158</f>
        <v>0</v>
      </c>
      <c r="R156" s="43">
        <f>'D4 Gallon Forecast'!R158</f>
        <v>0</v>
      </c>
      <c r="S156" s="43">
        <f>'D4 Gallon Forecast'!S158</f>
        <v>0</v>
      </c>
      <c r="T156" s="43">
        <f>'D4 Gallon Forecast'!T158</f>
        <v>0</v>
      </c>
      <c r="U156" s="43">
        <f>'D4 Gallon Forecast'!U158</f>
        <v>0</v>
      </c>
      <c r="V156" s="43">
        <f>'D4 Gallon Forecast'!V158</f>
        <v>0</v>
      </c>
      <c r="W156" s="43">
        <f>'D4 Gallon Forecast'!W158</f>
        <v>0</v>
      </c>
      <c r="X156" s="43">
        <f>'D4 Gallon Forecast'!X158</f>
        <v>0</v>
      </c>
      <c r="Y156" s="43">
        <f>'D4 Gallon Forecast'!Y158</f>
        <v>0</v>
      </c>
      <c r="Z156" s="43">
        <f>'D4 Gallon Forecast'!Z158</f>
        <v>0</v>
      </c>
      <c r="AA156" s="43">
        <f>'D4 Gallon Forecast'!AA158</f>
        <v>0</v>
      </c>
      <c r="AB156" s="43">
        <f>'D4 Gallon Forecast'!AB158</f>
        <v>0</v>
      </c>
      <c r="AC156" s="43">
        <f>'D4 Gallon Forecast'!AC158</f>
        <v>0</v>
      </c>
      <c r="AD156" s="43">
        <f>'D4 Gallon Forecast'!AD158</f>
        <v>0</v>
      </c>
      <c r="AE156" s="43">
        <f>'D4 Gallon Forecast'!AE158</f>
        <v>0</v>
      </c>
      <c r="AF156" s="43">
        <f>'D4 Gallon Forecast'!AF158</f>
        <v>0</v>
      </c>
      <c r="AG156" s="43">
        <f>'D4 Gallon Forecast'!AG158</f>
        <v>0</v>
      </c>
      <c r="AH156" s="43">
        <f>'D4 Gallon Forecast'!AH158</f>
        <v>0</v>
      </c>
      <c r="AI156" s="43">
        <f>'D4 Gallon Forecast'!AI158</f>
        <v>0</v>
      </c>
      <c r="AJ156" s="43">
        <f>'D4 Gallon Forecast'!AJ158</f>
        <v>0</v>
      </c>
      <c r="AK156" s="43">
        <f>'D4 Gallon Forecast'!AK158</f>
        <v>0</v>
      </c>
      <c r="AL156" s="43">
        <f>'D4 Gallon Forecast'!AL158</f>
        <v>0</v>
      </c>
      <c r="AM156" s="43">
        <f>'D4 Gallon Forecast'!AM158</f>
        <v>0</v>
      </c>
      <c r="AN156" s="43">
        <f>'D4 Gallon Forecast'!AN158</f>
        <v>0</v>
      </c>
      <c r="AO156" s="43">
        <f>'D4 Gallon Forecast'!AO158</f>
        <v>0</v>
      </c>
      <c r="AP156" s="43">
        <f>'D4 Gallon Forecast'!AP158</f>
        <v>0</v>
      </c>
      <c r="AQ156" s="43"/>
    </row>
    <row r="157" spans="1:43">
      <c r="A157" s="40" t="s">
        <v>53</v>
      </c>
      <c r="B157" s="42">
        <f>'Monthly D4 RIN Data'!$S14</f>
        <v>0</v>
      </c>
      <c r="C157" s="42">
        <f>'Monthly D4 RIN Data'!$S26</f>
        <v>0</v>
      </c>
      <c r="D157" s="42">
        <f>'Monthly D4 RIN Data'!$S38</f>
        <v>0</v>
      </c>
      <c r="E157" s="42">
        <f>'Monthly D4 RIN Data'!$S50</f>
        <v>0</v>
      </c>
      <c r="F157" s="42">
        <f>'Monthly D4 RIN Data'!$S62</f>
        <v>37575</v>
      </c>
      <c r="G157" s="42">
        <f>'Monthly D4 RIN Data'!$S74</f>
        <v>0</v>
      </c>
      <c r="H157" s="42">
        <f>'Monthly D4 RIN Data'!$S86</f>
        <v>0</v>
      </c>
      <c r="I157" s="42">
        <f>'Monthly D4 RIN Data'!$S98</f>
        <v>0</v>
      </c>
      <c r="J157" s="42">
        <f>'Monthly D4 RIN Data'!$S110</f>
        <v>0</v>
      </c>
      <c r="K157" s="42">
        <f>'Monthly D4 RIN Data'!$S122</f>
        <v>0</v>
      </c>
      <c r="L157" s="42">
        <f>'Monthly D4 RIN Data'!$S134</f>
        <v>0</v>
      </c>
      <c r="M157" s="42">
        <f>'Monthly D4 RIN Data'!$S146</f>
        <v>0</v>
      </c>
      <c r="N157" s="42">
        <f>'Monthly D4 RIN Data'!$S158</f>
        <v>0</v>
      </c>
      <c r="O157" s="42">
        <f>'Monthly D4 RIN Data'!$S170</f>
        <v>0</v>
      </c>
      <c r="P157" s="42">
        <f>'Monthly D4 RIN Data'!$S182</f>
        <v>0</v>
      </c>
      <c r="Q157" s="43">
        <f>'D4 Gallon Forecast'!Q159</f>
        <v>0</v>
      </c>
      <c r="R157" s="43">
        <f>'D4 Gallon Forecast'!R159</f>
        <v>0</v>
      </c>
      <c r="S157" s="43">
        <f>'D4 Gallon Forecast'!S159</f>
        <v>0</v>
      </c>
      <c r="T157" s="43">
        <f>'D4 Gallon Forecast'!T159</f>
        <v>0</v>
      </c>
      <c r="U157" s="43">
        <f>'D4 Gallon Forecast'!U159</f>
        <v>0</v>
      </c>
      <c r="V157" s="43">
        <f>'D4 Gallon Forecast'!V159</f>
        <v>0</v>
      </c>
      <c r="W157" s="43">
        <f>'D4 Gallon Forecast'!W159</f>
        <v>0</v>
      </c>
      <c r="X157" s="43">
        <f>'D4 Gallon Forecast'!X159</f>
        <v>0</v>
      </c>
      <c r="Y157" s="43">
        <f>'D4 Gallon Forecast'!Y159</f>
        <v>0</v>
      </c>
      <c r="Z157" s="43">
        <f>'D4 Gallon Forecast'!Z159</f>
        <v>0</v>
      </c>
      <c r="AA157" s="43">
        <f>'D4 Gallon Forecast'!AA159</f>
        <v>0</v>
      </c>
      <c r="AB157" s="43">
        <f>'D4 Gallon Forecast'!AB159</f>
        <v>0</v>
      </c>
      <c r="AC157" s="43">
        <f>'D4 Gallon Forecast'!AC159</f>
        <v>0</v>
      </c>
      <c r="AD157" s="43">
        <f>'D4 Gallon Forecast'!AD159</f>
        <v>0</v>
      </c>
      <c r="AE157" s="43">
        <f>'D4 Gallon Forecast'!AE159</f>
        <v>0</v>
      </c>
      <c r="AF157" s="43">
        <f>'D4 Gallon Forecast'!AF159</f>
        <v>0</v>
      </c>
      <c r="AG157" s="43">
        <f>'D4 Gallon Forecast'!AG159</f>
        <v>0</v>
      </c>
      <c r="AH157" s="43">
        <f>'D4 Gallon Forecast'!AH159</f>
        <v>0</v>
      </c>
      <c r="AI157" s="43">
        <f>'D4 Gallon Forecast'!AI159</f>
        <v>0</v>
      </c>
      <c r="AJ157" s="43">
        <f>'D4 Gallon Forecast'!AJ159</f>
        <v>0</v>
      </c>
      <c r="AK157" s="43">
        <f>'D4 Gallon Forecast'!AK159</f>
        <v>0</v>
      </c>
      <c r="AL157" s="43">
        <f>'D4 Gallon Forecast'!AL159</f>
        <v>0</v>
      </c>
      <c r="AM157" s="43">
        <f>'D4 Gallon Forecast'!AM159</f>
        <v>0</v>
      </c>
      <c r="AN157" s="43">
        <f>'D4 Gallon Forecast'!AN159</f>
        <v>0</v>
      </c>
      <c r="AO157" s="43">
        <f>'D4 Gallon Forecast'!AO159</f>
        <v>0</v>
      </c>
      <c r="AP157" s="43">
        <f>'D4 Gallon Forecast'!AP159</f>
        <v>0</v>
      </c>
      <c r="AQ157" s="43"/>
    </row>
    <row r="158" spans="1:43">
      <c r="A158" s="40" t="s">
        <v>54</v>
      </c>
      <c r="B158" s="42">
        <f>'Monthly D4 RIN Data'!$S15</f>
        <v>0</v>
      </c>
      <c r="C158" s="42">
        <f>'Monthly D4 RIN Data'!$S27</f>
        <v>0</v>
      </c>
      <c r="D158" s="42">
        <f>'Monthly D4 RIN Data'!$S39</f>
        <v>0</v>
      </c>
      <c r="E158" s="42">
        <f>'Monthly D4 RIN Data'!$S51</f>
        <v>387648</v>
      </c>
      <c r="F158" s="42">
        <f>'Monthly D4 RIN Data'!$S63</f>
        <v>47152</v>
      </c>
      <c r="G158" s="42">
        <f>'Monthly D4 RIN Data'!$S75</f>
        <v>0</v>
      </c>
      <c r="H158" s="42">
        <f>'Monthly D4 RIN Data'!$S87</f>
        <v>0</v>
      </c>
      <c r="I158" s="42">
        <f>'Monthly D4 RIN Data'!$S99</f>
        <v>0</v>
      </c>
      <c r="J158" s="42">
        <f>'Monthly D4 RIN Data'!$S111</f>
        <v>0</v>
      </c>
      <c r="K158" s="42">
        <f>'Monthly D4 RIN Data'!$S123</f>
        <v>0</v>
      </c>
      <c r="L158" s="42">
        <f>'Monthly D4 RIN Data'!$S135</f>
        <v>0</v>
      </c>
      <c r="M158" s="42">
        <f>'Monthly D4 RIN Data'!$S147</f>
        <v>0</v>
      </c>
      <c r="N158" s="42">
        <f>'Monthly D4 RIN Data'!$S159</f>
        <v>0</v>
      </c>
      <c r="O158" s="42">
        <f>'Monthly D4 RIN Data'!$S171</f>
        <v>0</v>
      </c>
      <c r="P158" s="42">
        <f>'Monthly D4 RIN Data'!$S183</f>
        <v>0</v>
      </c>
      <c r="Q158" s="43">
        <f>'D4 Gallon Forecast'!Q160</f>
        <v>0</v>
      </c>
      <c r="R158" s="43">
        <f>'D4 Gallon Forecast'!R160</f>
        <v>0</v>
      </c>
      <c r="S158" s="43">
        <f>'D4 Gallon Forecast'!S160</f>
        <v>0</v>
      </c>
      <c r="T158" s="43">
        <f>'D4 Gallon Forecast'!T160</f>
        <v>0</v>
      </c>
      <c r="U158" s="43">
        <f>'D4 Gallon Forecast'!U160</f>
        <v>0</v>
      </c>
      <c r="V158" s="43">
        <f>'D4 Gallon Forecast'!V160</f>
        <v>0</v>
      </c>
      <c r="W158" s="43">
        <f>'D4 Gallon Forecast'!W160</f>
        <v>0</v>
      </c>
      <c r="X158" s="43">
        <f>'D4 Gallon Forecast'!X160</f>
        <v>0</v>
      </c>
      <c r="Y158" s="43">
        <f>'D4 Gallon Forecast'!Y160</f>
        <v>0</v>
      </c>
      <c r="Z158" s="43">
        <f>'D4 Gallon Forecast'!Z160</f>
        <v>0</v>
      </c>
      <c r="AA158" s="43">
        <f>'D4 Gallon Forecast'!AA160</f>
        <v>0</v>
      </c>
      <c r="AB158" s="43">
        <f>'D4 Gallon Forecast'!AB160</f>
        <v>0</v>
      </c>
      <c r="AC158" s="43">
        <f>'D4 Gallon Forecast'!AC160</f>
        <v>0</v>
      </c>
      <c r="AD158" s="43">
        <f>'D4 Gallon Forecast'!AD160</f>
        <v>0</v>
      </c>
      <c r="AE158" s="43">
        <f>'D4 Gallon Forecast'!AE160</f>
        <v>0</v>
      </c>
      <c r="AF158" s="43">
        <f>'D4 Gallon Forecast'!AF160</f>
        <v>0</v>
      </c>
      <c r="AG158" s="43">
        <f>'D4 Gallon Forecast'!AG160</f>
        <v>0</v>
      </c>
      <c r="AH158" s="43">
        <f>'D4 Gallon Forecast'!AH160</f>
        <v>0</v>
      </c>
      <c r="AI158" s="43">
        <f>'D4 Gallon Forecast'!AI160</f>
        <v>0</v>
      </c>
      <c r="AJ158" s="43">
        <f>'D4 Gallon Forecast'!AJ160</f>
        <v>0</v>
      </c>
      <c r="AK158" s="43">
        <f>'D4 Gallon Forecast'!AK160</f>
        <v>0</v>
      </c>
      <c r="AL158" s="43">
        <f>'D4 Gallon Forecast'!AL160</f>
        <v>0</v>
      </c>
      <c r="AM158" s="43">
        <f>'D4 Gallon Forecast'!AM160</f>
        <v>0</v>
      </c>
      <c r="AN158" s="43">
        <f>'D4 Gallon Forecast'!AN160</f>
        <v>0</v>
      </c>
      <c r="AO158" s="43">
        <f>'D4 Gallon Forecast'!AO160</f>
        <v>0</v>
      </c>
      <c r="AP158" s="43">
        <f>'D4 Gallon Forecast'!AP160</f>
        <v>0</v>
      </c>
      <c r="AQ158" s="43"/>
    </row>
    <row r="159" spans="1:43">
      <c r="A159" s="40" t="s">
        <v>29</v>
      </c>
      <c r="B159" s="42">
        <f>SUM(B147:B158)</f>
        <v>0</v>
      </c>
      <c r="C159" s="42">
        <f t="shared" ref="C159:AP159" si="78">SUM(C147:C158)</f>
        <v>210266</v>
      </c>
      <c r="D159" s="42">
        <f t="shared" si="78"/>
        <v>1438924</v>
      </c>
      <c r="E159" s="42">
        <f t="shared" si="78"/>
        <v>754403</v>
      </c>
      <c r="F159" s="42">
        <f t="shared" si="78"/>
        <v>307941</v>
      </c>
      <c r="G159" s="42">
        <f t="shared" si="78"/>
        <v>0</v>
      </c>
      <c r="H159" s="42">
        <f t="shared" si="78"/>
        <v>0</v>
      </c>
      <c r="I159" s="42">
        <f t="shared" si="78"/>
        <v>0</v>
      </c>
      <c r="J159" s="42">
        <f t="shared" si="78"/>
        <v>0</v>
      </c>
      <c r="K159" s="42">
        <f t="shared" si="78"/>
        <v>0</v>
      </c>
      <c r="L159" s="42">
        <f t="shared" si="78"/>
        <v>0</v>
      </c>
      <c r="M159" s="42">
        <f t="shared" si="78"/>
        <v>0</v>
      </c>
      <c r="N159" s="42">
        <f t="shared" si="78"/>
        <v>0</v>
      </c>
      <c r="O159" s="42">
        <f t="shared" si="78"/>
        <v>0</v>
      </c>
      <c r="P159" s="42">
        <f t="shared" si="78"/>
        <v>0</v>
      </c>
      <c r="Q159" s="43">
        <f t="shared" si="78"/>
        <v>0</v>
      </c>
      <c r="R159" s="43">
        <f t="shared" si="78"/>
        <v>0</v>
      </c>
      <c r="S159" s="43">
        <f t="shared" si="78"/>
        <v>0</v>
      </c>
      <c r="T159" s="43">
        <f t="shared" si="78"/>
        <v>0</v>
      </c>
      <c r="U159" s="43">
        <f t="shared" si="78"/>
        <v>0</v>
      </c>
      <c r="V159" s="43">
        <f t="shared" si="78"/>
        <v>0</v>
      </c>
      <c r="W159" s="43">
        <f t="shared" si="78"/>
        <v>0</v>
      </c>
      <c r="X159" s="43">
        <f t="shared" si="78"/>
        <v>0</v>
      </c>
      <c r="Y159" s="43">
        <f t="shared" si="78"/>
        <v>0</v>
      </c>
      <c r="Z159" s="43">
        <f t="shared" si="78"/>
        <v>0</v>
      </c>
      <c r="AA159" s="43">
        <f t="shared" si="78"/>
        <v>0</v>
      </c>
      <c r="AB159" s="43">
        <f t="shared" si="78"/>
        <v>0</v>
      </c>
      <c r="AC159" s="43">
        <f t="shared" si="78"/>
        <v>0</v>
      </c>
      <c r="AD159" s="43">
        <f t="shared" si="78"/>
        <v>0</v>
      </c>
      <c r="AE159" s="43">
        <f t="shared" si="78"/>
        <v>0</v>
      </c>
      <c r="AF159" s="43">
        <f t="shared" si="78"/>
        <v>0</v>
      </c>
      <c r="AG159" s="43">
        <f t="shared" si="78"/>
        <v>0</v>
      </c>
      <c r="AH159" s="43">
        <f t="shared" si="78"/>
        <v>0</v>
      </c>
      <c r="AI159" s="43">
        <f t="shared" si="78"/>
        <v>0</v>
      </c>
      <c r="AJ159" s="43">
        <f t="shared" si="78"/>
        <v>0</v>
      </c>
      <c r="AK159" s="43">
        <f t="shared" si="78"/>
        <v>0</v>
      </c>
      <c r="AL159" s="43">
        <f t="shared" si="78"/>
        <v>0</v>
      </c>
      <c r="AM159" s="43">
        <f t="shared" si="78"/>
        <v>0</v>
      </c>
      <c r="AN159" s="43">
        <f t="shared" si="78"/>
        <v>0</v>
      </c>
      <c r="AO159" s="43">
        <f t="shared" si="78"/>
        <v>0</v>
      </c>
      <c r="AP159" s="43">
        <f t="shared" si="78"/>
        <v>0</v>
      </c>
      <c r="AQ159" s="43"/>
    </row>
    <row r="161" spans="1:43" ht="12" thickBot="1">
      <c r="A161" s="245" t="s">
        <v>385</v>
      </c>
    </row>
    <row r="162" spans="1:43" ht="12" thickBot="1">
      <c r="A162" s="270"/>
      <c r="B162" s="263">
        <v>2010</v>
      </c>
      <c r="C162" s="263">
        <v>2011</v>
      </c>
      <c r="D162" s="263">
        <v>2012</v>
      </c>
      <c r="E162" s="263">
        <v>2013</v>
      </c>
      <c r="F162" s="263">
        <v>2014</v>
      </c>
      <c r="G162" s="263">
        <v>2015</v>
      </c>
      <c r="H162" s="263">
        <v>2016</v>
      </c>
      <c r="I162" s="263">
        <v>2017</v>
      </c>
      <c r="J162" s="263">
        <v>2018</v>
      </c>
      <c r="K162" s="263">
        <v>2019</v>
      </c>
      <c r="L162" s="263">
        <v>2020</v>
      </c>
      <c r="M162" s="263">
        <v>2021</v>
      </c>
      <c r="N162" s="263">
        <v>2022</v>
      </c>
      <c r="O162" s="263">
        <v>2023</v>
      </c>
      <c r="P162" s="263">
        <v>2024</v>
      </c>
      <c r="Q162" s="263">
        <v>2025</v>
      </c>
      <c r="R162" s="263">
        <v>2026</v>
      </c>
      <c r="S162" s="263">
        <v>2027</v>
      </c>
      <c r="T162" s="263">
        <v>2028</v>
      </c>
      <c r="U162" s="263">
        <v>2029</v>
      </c>
      <c r="V162" s="263">
        <v>2030</v>
      </c>
      <c r="W162" s="263">
        <v>2031</v>
      </c>
      <c r="X162" s="263">
        <v>2032</v>
      </c>
      <c r="Y162" s="263">
        <v>2033</v>
      </c>
      <c r="Z162" s="263">
        <v>2034</v>
      </c>
      <c r="AA162" s="263">
        <v>2035</v>
      </c>
      <c r="AB162" s="263">
        <v>2036</v>
      </c>
      <c r="AC162" s="263">
        <v>2037</v>
      </c>
      <c r="AD162" s="263">
        <v>2038</v>
      </c>
      <c r="AE162" s="263">
        <v>2039</v>
      </c>
      <c r="AF162" s="263">
        <v>2040</v>
      </c>
      <c r="AG162" s="263">
        <v>2041</v>
      </c>
      <c r="AH162" s="263">
        <v>2042</v>
      </c>
      <c r="AI162" s="263">
        <v>2043</v>
      </c>
      <c r="AJ162" s="263">
        <v>2044</v>
      </c>
      <c r="AK162" s="263">
        <v>2045</v>
      </c>
      <c r="AL162" s="263">
        <v>2046</v>
      </c>
      <c r="AM162" s="263">
        <v>2047</v>
      </c>
      <c r="AN162" s="263">
        <v>2048</v>
      </c>
      <c r="AO162" s="263">
        <v>2049</v>
      </c>
      <c r="AP162" s="263">
        <v>2050</v>
      </c>
      <c r="AQ162" s="245"/>
    </row>
    <row r="163" spans="1:43">
      <c r="A163" s="40" t="s">
        <v>43</v>
      </c>
      <c r="B163" s="42">
        <f>'Monthly D4 RIN Data'!$T4</f>
        <v>0</v>
      </c>
      <c r="C163" s="42">
        <f>'Monthly D4 RIN Data'!$T16</f>
        <v>345024</v>
      </c>
      <c r="D163" s="42">
        <f>'Monthly D4 RIN Data'!$T28</f>
        <v>29861</v>
      </c>
      <c r="E163" s="42">
        <f>'Monthly D4 RIN Data'!$T40</f>
        <v>981285</v>
      </c>
      <c r="F163" s="42">
        <f>'Monthly D4 RIN Data'!$T52</f>
        <v>1009378</v>
      </c>
      <c r="G163" s="42">
        <f>'Monthly D4 RIN Data'!$T64</f>
        <v>501996</v>
      </c>
      <c r="H163" s="42">
        <f>'Monthly D4 RIN Data'!$T76</f>
        <v>0</v>
      </c>
      <c r="I163" s="42">
        <f>'Monthly D4 RIN Data'!$T88</f>
        <v>0</v>
      </c>
      <c r="J163" s="42">
        <f>'Monthly D4 RIN Data'!$T100</f>
        <v>0</v>
      </c>
      <c r="K163" s="42">
        <f>'Monthly D4 RIN Data'!$T112</f>
        <v>0</v>
      </c>
      <c r="L163" s="42">
        <f>'Monthly D4 RIN Data'!$T124</f>
        <v>0</v>
      </c>
      <c r="M163" s="42">
        <f>'Monthly D4 RIN Data'!$T136</f>
        <v>0</v>
      </c>
      <c r="N163" s="42">
        <f>'Monthly D4 RIN Data'!$T148</f>
        <v>0</v>
      </c>
      <c r="O163" s="42">
        <f>'Monthly D4 RIN Data'!$T160</f>
        <v>47104794</v>
      </c>
      <c r="P163" s="42">
        <f>'Monthly D4 RIN Data'!$T172</f>
        <v>77405483</v>
      </c>
      <c r="Q163" s="42">
        <f>'Monthly D4 RIN Data'!$T184</f>
        <v>57709397</v>
      </c>
      <c r="R163" s="43">
        <f>'D4 Gallon Forecast'!R165*AVERAGE('D4 RIN Forecast'!$BD$10:$BF$10)</f>
        <v>0</v>
      </c>
      <c r="S163" s="43">
        <f>'D4 Gallon Forecast'!S165*AVERAGE('D4 RIN Forecast'!$BD$10:$BF$10)</f>
        <v>0</v>
      </c>
      <c r="T163" s="43">
        <f>'D4 Gallon Forecast'!T165*AVERAGE('D4 RIN Forecast'!$BD$10:$BF$10)</f>
        <v>0</v>
      </c>
      <c r="U163" s="43">
        <f>'D4 Gallon Forecast'!U165*AVERAGE('D4 RIN Forecast'!$BD$10:$BF$10)</f>
        <v>0</v>
      </c>
      <c r="V163" s="43">
        <f>'D4 Gallon Forecast'!V165*AVERAGE('D4 RIN Forecast'!$BD$10:$BH$10)</f>
        <v>0</v>
      </c>
      <c r="W163" s="43">
        <f>'D4 Gallon Forecast'!W165*AVERAGE('D4 RIN Forecast'!$BD$10:$BH$10)</f>
        <v>0</v>
      </c>
      <c r="X163" s="43">
        <f>'D4 Gallon Forecast'!X165*AVERAGE('D4 RIN Forecast'!$BD$10:$BH$10)</f>
        <v>0</v>
      </c>
      <c r="Y163" s="43">
        <f>'D4 Gallon Forecast'!Y165*AVERAGE('D4 RIN Forecast'!$BD$10:$BH$10)</f>
        <v>0</v>
      </c>
      <c r="Z163" s="43">
        <f>'D4 Gallon Forecast'!Z165*AVERAGE('D4 RIN Forecast'!$BD$10:$BH$10)</f>
        <v>0</v>
      </c>
      <c r="AA163" s="43">
        <f>'D4 Gallon Forecast'!AA165*AVERAGE('D4 RIN Forecast'!$BD$10:$BH$10)</f>
        <v>0</v>
      </c>
      <c r="AB163" s="43">
        <f>'D4 Gallon Forecast'!AB165*AVERAGE('D4 RIN Forecast'!$BD$10:$BH$10)</f>
        <v>0</v>
      </c>
      <c r="AC163" s="43">
        <f>'D4 Gallon Forecast'!AC165*AVERAGE('D4 RIN Forecast'!$BD$10:$BH$10)</f>
        <v>0</v>
      </c>
      <c r="AD163" s="43">
        <f>'D4 Gallon Forecast'!AD165*AVERAGE('D4 RIN Forecast'!$BD$10:$BH$10)</f>
        <v>0</v>
      </c>
      <c r="AE163" s="43">
        <f>'D4 Gallon Forecast'!AE165*AVERAGE('D4 RIN Forecast'!$BD$10:$BH$10)</f>
        <v>0</v>
      </c>
      <c r="AF163" s="43">
        <f>'D4 Gallon Forecast'!AF165*AVERAGE('D4 RIN Forecast'!$BD$10:$BH$10)</f>
        <v>0</v>
      </c>
      <c r="AG163" s="43">
        <f>'D4 Gallon Forecast'!AG165*AVERAGE('D4 RIN Forecast'!$BD$10:$BH$10)</f>
        <v>0</v>
      </c>
      <c r="AH163" s="43">
        <f>'D4 Gallon Forecast'!AH165*AVERAGE('D4 RIN Forecast'!$BD$10:$BH$10)</f>
        <v>0</v>
      </c>
      <c r="AI163" s="43">
        <f>'D4 Gallon Forecast'!AI165*AVERAGE('D4 RIN Forecast'!$BD$10:$BH$10)</f>
        <v>0</v>
      </c>
      <c r="AJ163" s="43">
        <f>'D4 Gallon Forecast'!AJ165*AVERAGE('D4 RIN Forecast'!$BD$10:$BH$10)</f>
        <v>0</v>
      </c>
      <c r="AK163" s="43">
        <f>'D4 Gallon Forecast'!AK165*AVERAGE('D4 RIN Forecast'!$BD$10:$BH$10)</f>
        <v>0</v>
      </c>
      <c r="AL163" s="43">
        <f>'D4 Gallon Forecast'!AL165*AVERAGE('D4 RIN Forecast'!$BD$10:$BH$10)</f>
        <v>0</v>
      </c>
      <c r="AM163" s="43">
        <f>'D4 Gallon Forecast'!AM165*AVERAGE('D4 RIN Forecast'!$BD$10:$BH$10)</f>
        <v>0</v>
      </c>
      <c r="AN163" s="43">
        <f>'D4 Gallon Forecast'!AN165*AVERAGE('D4 RIN Forecast'!$BD$10:$BH$10)</f>
        <v>0</v>
      </c>
      <c r="AO163" s="43">
        <f>'D4 Gallon Forecast'!AO165*AVERAGE('D4 RIN Forecast'!$BD$10:$BH$10)</f>
        <v>0</v>
      </c>
      <c r="AP163" s="43">
        <f>'D4 Gallon Forecast'!AP165*AVERAGE('D4 RIN Forecast'!$BD$10:$BH$10)</f>
        <v>0</v>
      </c>
      <c r="AQ163" s="43"/>
    </row>
    <row r="164" spans="1:43">
      <c r="A164" s="40" t="s">
        <v>44</v>
      </c>
      <c r="B164" s="42">
        <f>'Monthly D4 RIN Data'!$T5</f>
        <v>0</v>
      </c>
      <c r="C164" s="42">
        <f>'Monthly D4 RIN Data'!$T17</f>
        <v>378648</v>
      </c>
      <c r="D164" s="42">
        <f>'Monthly D4 RIN Data'!$T29</f>
        <v>15528</v>
      </c>
      <c r="E164" s="42">
        <f>'Monthly D4 RIN Data'!$T41</f>
        <v>685141</v>
      </c>
      <c r="F164" s="42">
        <f>'Monthly D4 RIN Data'!$T53</f>
        <v>1425456</v>
      </c>
      <c r="G164" s="42">
        <f>'Monthly D4 RIN Data'!$T65</f>
        <v>572182</v>
      </c>
      <c r="H164" s="42">
        <f>'Monthly D4 RIN Data'!$T77</f>
        <v>0</v>
      </c>
      <c r="I164" s="42">
        <f>'Monthly D4 RIN Data'!$T89</f>
        <v>0</v>
      </c>
      <c r="J164" s="42">
        <f>'Monthly D4 RIN Data'!$T101</f>
        <v>0</v>
      </c>
      <c r="K164" s="42">
        <f>'Monthly D4 RIN Data'!$T113</f>
        <v>0</v>
      </c>
      <c r="L164" s="42">
        <f>'Monthly D4 RIN Data'!$T125</f>
        <v>0</v>
      </c>
      <c r="M164" s="42">
        <f>'Monthly D4 RIN Data'!$T137</f>
        <v>0</v>
      </c>
      <c r="N164" s="42">
        <f>'Monthly D4 RIN Data'!$T149</f>
        <v>590510</v>
      </c>
      <c r="O164" s="42">
        <f>'Monthly D4 RIN Data'!$T161</f>
        <v>44200479</v>
      </c>
      <c r="P164" s="42">
        <f>'Monthly D4 RIN Data'!$T173</f>
        <v>72744639</v>
      </c>
      <c r="Q164" s="42">
        <f>'Monthly D4 RIN Data'!$T185</f>
        <v>60101565</v>
      </c>
      <c r="R164" s="43">
        <f>'D4 Gallon Forecast'!R166*AVERAGE('D4 RIN Forecast'!$BD$10:$BF$10)</f>
        <v>0</v>
      </c>
      <c r="S164" s="43">
        <f>'D4 Gallon Forecast'!S166*AVERAGE('D4 RIN Forecast'!$BD$10:$BF$10)</f>
        <v>0</v>
      </c>
      <c r="T164" s="43">
        <f>'D4 Gallon Forecast'!T166*AVERAGE('D4 RIN Forecast'!$BD$10:$BF$10)</f>
        <v>0</v>
      </c>
      <c r="U164" s="43">
        <f>'D4 Gallon Forecast'!U166*AVERAGE('D4 RIN Forecast'!$BD$10:$BF$10)</f>
        <v>0</v>
      </c>
      <c r="V164" s="43">
        <f>'D4 Gallon Forecast'!V166*AVERAGE('D4 RIN Forecast'!$BD$10:$BH$10)</f>
        <v>0</v>
      </c>
      <c r="W164" s="43">
        <f>'D4 Gallon Forecast'!W166*AVERAGE('D4 RIN Forecast'!$BD$10:$BH$10)</f>
        <v>0</v>
      </c>
      <c r="X164" s="43">
        <f>'D4 Gallon Forecast'!X166*AVERAGE('D4 RIN Forecast'!$BD$10:$BH$10)</f>
        <v>0</v>
      </c>
      <c r="Y164" s="43">
        <f>'D4 Gallon Forecast'!Y166*AVERAGE('D4 RIN Forecast'!$BD$10:$BH$10)</f>
        <v>0</v>
      </c>
      <c r="Z164" s="43">
        <f>'D4 Gallon Forecast'!Z166*AVERAGE('D4 RIN Forecast'!$BD$10:$BH$10)</f>
        <v>0</v>
      </c>
      <c r="AA164" s="43">
        <f>'D4 Gallon Forecast'!AA166*AVERAGE('D4 RIN Forecast'!$BD$10:$BH$10)</f>
        <v>0</v>
      </c>
      <c r="AB164" s="43">
        <f>'D4 Gallon Forecast'!AB166*AVERAGE('D4 RIN Forecast'!$BD$10:$BH$10)</f>
        <v>0</v>
      </c>
      <c r="AC164" s="43">
        <f>'D4 Gallon Forecast'!AC166*AVERAGE('D4 RIN Forecast'!$BD$10:$BH$10)</f>
        <v>0</v>
      </c>
      <c r="AD164" s="43">
        <f>'D4 Gallon Forecast'!AD166*AVERAGE('D4 RIN Forecast'!$BD$10:$BH$10)</f>
        <v>0</v>
      </c>
      <c r="AE164" s="43">
        <f>'D4 Gallon Forecast'!AE166*AVERAGE('D4 RIN Forecast'!$BD$10:$BH$10)</f>
        <v>0</v>
      </c>
      <c r="AF164" s="43">
        <f>'D4 Gallon Forecast'!AF166*AVERAGE('D4 RIN Forecast'!$BD$10:$BH$10)</f>
        <v>0</v>
      </c>
      <c r="AG164" s="43">
        <f>'D4 Gallon Forecast'!AG166*AVERAGE('D4 RIN Forecast'!$BD$10:$BH$10)</f>
        <v>0</v>
      </c>
      <c r="AH164" s="43">
        <f>'D4 Gallon Forecast'!AH166*AVERAGE('D4 RIN Forecast'!$BD$10:$BH$10)</f>
        <v>0</v>
      </c>
      <c r="AI164" s="43">
        <f>'D4 Gallon Forecast'!AI166*AVERAGE('D4 RIN Forecast'!$BD$10:$BH$10)</f>
        <v>0</v>
      </c>
      <c r="AJ164" s="43">
        <f>'D4 Gallon Forecast'!AJ166*AVERAGE('D4 RIN Forecast'!$BD$10:$BH$10)</f>
        <v>0</v>
      </c>
      <c r="AK164" s="43">
        <f>'D4 Gallon Forecast'!AK166*AVERAGE('D4 RIN Forecast'!$BD$10:$BH$10)</f>
        <v>0</v>
      </c>
      <c r="AL164" s="43">
        <f>'D4 Gallon Forecast'!AL166*AVERAGE('D4 RIN Forecast'!$BD$10:$BH$10)</f>
        <v>0</v>
      </c>
      <c r="AM164" s="43">
        <f>'D4 Gallon Forecast'!AM166*AVERAGE('D4 RIN Forecast'!$BD$10:$BH$10)</f>
        <v>0</v>
      </c>
      <c r="AN164" s="43">
        <f>'D4 Gallon Forecast'!AN166*AVERAGE('D4 RIN Forecast'!$BD$10:$BH$10)</f>
        <v>0</v>
      </c>
      <c r="AO164" s="43">
        <f>'D4 Gallon Forecast'!AO166*AVERAGE('D4 RIN Forecast'!$BD$10:$BH$10)</f>
        <v>0</v>
      </c>
      <c r="AP164" s="43">
        <f>'D4 Gallon Forecast'!AP166*AVERAGE('D4 RIN Forecast'!$BD$10:$BH$10)</f>
        <v>0</v>
      </c>
      <c r="AQ164" s="43"/>
    </row>
    <row r="165" spans="1:43">
      <c r="A165" s="40" t="s">
        <v>45</v>
      </c>
      <c r="B165" s="42">
        <f>'Monthly D4 RIN Data'!$T6</f>
        <v>0</v>
      </c>
      <c r="C165" s="42">
        <f>'Monthly D4 RIN Data'!$T18</f>
        <v>1208043</v>
      </c>
      <c r="D165" s="42">
        <f>'Monthly D4 RIN Data'!$T30</f>
        <v>1610957</v>
      </c>
      <c r="E165" s="42">
        <f>'Monthly D4 RIN Data'!$T42</f>
        <v>948249</v>
      </c>
      <c r="F165" s="42">
        <f>'Monthly D4 RIN Data'!$T54</f>
        <v>1845838</v>
      </c>
      <c r="G165" s="42">
        <f>'Monthly D4 RIN Data'!$T66</f>
        <v>934051</v>
      </c>
      <c r="H165" s="42">
        <f>'Monthly D4 RIN Data'!$T78</f>
        <v>0</v>
      </c>
      <c r="I165" s="42">
        <f>'Monthly D4 RIN Data'!$T90</f>
        <v>0</v>
      </c>
      <c r="J165" s="42">
        <f>'Monthly D4 RIN Data'!$T102</f>
        <v>0</v>
      </c>
      <c r="K165" s="42">
        <f>'Monthly D4 RIN Data'!$T114</f>
        <v>0</v>
      </c>
      <c r="L165" s="42">
        <f>'Monthly D4 RIN Data'!$T126</f>
        <v>124373</v>
      </c>
      <c r="M165" s="42">
        <f>'Monthly D4 RIN Data'!$T138</f>
        <v>0</v>
      </c>
      <c r="N165" s="42">
        <f>'Monthly D4 RIN Data'!$T150</f>
        <v>395270</v>
      </c>
      <c r="O165" s="42">
        <f>'Monthly D4 RIN Data'!$T162</f>
        <v>57484063</v>
      </c>
      <c r="P165" s="42">
        <f>'Monthly D4 RIN Data'!$T174</f>
        <v>72115811</v>
      </c>
      <c r="Q165" s="42">
        <f>'Monthly D4 RIN Data'!$T186</f>
        <v>58393501</v>
      </c>
      <c r="R165" s="43">
        <f>'D4 Gallon Forecast'!R167*AVERAGE('D4 RIN Forecast'!$BD$10:$BF$10)</f>
        <v>0</v>
      </c>
      <c r="S165" s="43">
        <f>'D4 Gallon Forecast'!S167*AVERAGE('D4 RIN Forecast'!$BD$10:$BF$10)</f>
        <v>0</v>
      </c>
      <c r="T165" s="43">
        <f>'D4 Gallon Forecast'!T167*AVERAGE('D4 RIN Forecast'!$BD$10:$BF$10)</f>
        <v>0</v>
      </c>
      <c r="U165" s="43">
        <f>'D4 Gallon Forecast'!U167*AVERAGE('D4 RIN Forecast'!$BD$10:$BF$10)</f>
        <v>0</v>
      </c>
      <c r="V165" s="43">
        <f>'D4 Gallon Forecast'!V167*AVERAGE('D4 RIN Forecast'!$BD$10:$BH$10)</f>
        <v>0</v>
      </c>
      <c r="W165" s="43">
        <f>'D4 Gallon Forecast'!W167*AVERAGE('D4 RIN Forecast'!$BD$10:$BH$10)</f>
        <v>0</v>
      </c>
      <c r="X165" s="43">
        <f>'D4 Gallon Forecast'!X167*AVERAGE('D4 RIN Forecast'!$BD$10:$BH$10)</f>
        <v>0</v>
      </c>
      <c r="Y165" s="43">
        <f>'D4 Gallon Forecast'!Y167*AVERAGE('D4 RIN Forecast'!$BD$10:$BH$10)</f>
        <v>0</v>
      </c>
      <c r="Z165" s="43">
        <f>'D4 Gallon Forecast'!Z167*AVERAGE('D4 RIN Forecast'!$BD$10:$BH$10)</f>
        <v>0</v>
      </c>
      <c r="AA165" s="43">
        <f>'D4 Gallon Forecast'!AA167*AVERAGE('D4 RIN Forecast'!$BD$10:$BH$10)</f>
        <v>0</v>
      </c>
      <c r="AB165" s="43">
        <f>'D4 Gallon Forecast'!AB167*AVERAGE('D4 RIN Forecast'!$BD$10:$BH$10)</f>
        <v>0</v>
      </c>
      <c r="AC165" s="43">
        <f>'D4 Gallon Forecast'!AC167*AVERAGE('D4 RIN Forecast'!$BD$10:$BH$10)</f>
        <v>0</v>
      </c>
      <c r="AD165" s="43">
        <f>'D4 Gallon Forecast'!AD167*AVERAGE('D4 RIN Forecast'!$BD$10:$BH$10)</f>
        <v>0</v>
      </c>
      <c r="AE165" s="43">
        <f>'D4 Gallon Forecast'!AE167*AVERAGE('D4 RIN Forecast'!$BD$10:$BH$10)</f>
        <v>0</v>
      </c>
      <c r="AF165" s="43">
        <f>'D4 Gallon Forecast'!AF167*AVERAGE('D4 RIN Forecast'!$BD$10:$BH$10)</f>
        <v>0</v>
      </c>
      <c r="AG165" s="43">
        <f>'D4 Gallon Forecast'!AG167*AVERAGE('D4 RIN Forecast'!$BD$10:$BH$10)</f>
        <v>0</v>
      </c>
      <c r="AH165" s="43">
        <f>'D4 Gallon Forecast'!AH167*AVERAGE('D4 RIN Forecast'!$BD$10:$BH$10)</f>
        <v>0</v>
      </c>
      <c r="AI165" s="43">
        <f>'D4 Gallon Forecast'!AI167*AVERAGE('D4 RIN Forecast'!$BD$10:$BH$10)</f>
        <v>0</v>
      </c>
      <c r="AJ165" s="43">
        <f>'D4 Gallon Forecast'!AJ167*AVERAGE('D4 RIN Forecast'!$BD$10:$BH$10)</f>
        <v>0</v>
      </c>
      <c r="AK165" s="43">
        <f>'D4 Gallon Forecast'!AK167*AVERAGE('D4 RIN Forecast'!$BD$10:$BH$10)</f>
        <v>0</v>
      </c>
      <c r="AL165" s="43">
        <f>'D4 Gallon Forecast'!AL167*AVERAGE('D4 RIN Forecast'!$BD$10:$BH$10)</f>
        <v>0</v>
      </c>
      <c r="AM165" s="43">
        <f>'D4 Gallon Forecast'!AM167*AVERAGE('D4 RIN Forecast'!$BD$10:$BH$10)</f>
        <v>0</v>
      </c>
      <c r="AN165" s="43">
        <f>'D4 Gallon Forecast'!AN167*AVERAGE('D4 RIN Forecast'!$BD$10:$BH$10)</f>
        <v>0</v>
      </c>
      <c r="AO165" s="43">
        <f>'D4 Gallon Forecast'!AO167*AVERAGE('D4 RIN Forecast'!$BD$10:$BH$10)</f>
        <v>0</v>
      </c>
      <c r="AP165" s="43">
        <f>'D4 Gallon Forecast'!AP167*AVERAGE('D4 RIN Forecast'!$BD$10:$BH$10)</f>
        <v>0</v>
      </c>
      <c r="AQ165" s="43"/>
    </row>
    <row r="166" spans="1:43">
      <c r="A166" s="40" t="s">
        <v>46</v>
      </c>
      <c r="B166" s="42">
        <f>'Monthly D4 RIN Data'!$T7</f>
        <v>0</v>
      </c>
      <c r="C166" s="42">
        <f>'Monthly D4 RIN Data'!$T19</f>
        <v>626221</v>
      </c>
      <c r="D166" s="42">
        <f>'Monthly D4 RIN Data'!$T31</f>
        <v>2981002</v>
      </c>
      <c r="E166" s="42">
        <f>'Monthly D4 RIN Data'!$T43</f>
        <v>1097958</v>
      </c>
      <c r="F166" s="42">
        <f>'Monthly D4 RIN Data'!$T55</f>
        <v>1512241</v>
      </c>
      <c r="G166" s="42">
        <f>'Monthly D4 RIN Data'!$T67</f>
        <v>994890</v>
      </c>
      <c r="H166" s="42">
        <f>'Monthly D4 RIN Data'!$T79</f>
        <v>0</v>
      </c>
      <c r="I166" s="42">
        <f>'Monthly D4 RIN Data'!$T91</f>
        <v>0</v>
      </c>
      <c r="J166" s="42">
        <f>'Monthly D4 RIN Data'!$T103</f>
        <v>0</v>
      </c>
      <c r="K166" s="42">
        <f>'Monthly D4 RIN Data'!$T115</f>
        <v>0</v>
      </c>
      <c r="L166" s="42">
        <f>'Monthly D4 RIN Data'!$T127</f>
        <v>892434</v>
      </c>
      <c r="M166" s="42">
        <f>'Monthly D4 RIN Data'!$T139</f>
        <v>0</v>
      </c>
      <c r="N166" s="42">
        <f>'Monthly D4 RIN Data'!$T151</f>
        <v>0</v>
      </c>
      <c r="O166" s="42">
        <f>'Monthly D4 RIN Data'!$T163</f>
        <v>54359466</v>
      </c>
      <c r="P166" s="42">
        <f>'Monthly D4 RIN Data'!$T175</f>
        <v>83960460</v>
      </c>
      <c r="Q166" s="43">
        <f>'D4 Gallon Forecast'!Q168*AVERAGE('D4 RIN Forecast'!$BD$10:$BF$10)</f>
        <v>0</v>
      </c>
      <c r="R166" s="43">
        <f>'D4 Gallon Forecast'!R168*AVERAGE('D4 RIN Forecast'!$BD$10:$BF$10)</f>
        <v>0</v>
      </c>
      <c r="S166" s="43">
        <f>'D4 Gallon Forecast'!S168*AVERAGE('D4 RIN Forecast'!$BD$10:$BF$10)</f>
        <v>0</v>
      </c>
      <c r="T166" s="43">
        <f>'D4 Gallon Forecast'!T168*AVERAGE('D4 RIN Forecast'!$BD$10:$BF$10)</f>
        <v>0</v>
      </c>
      <c r="U166" s="43">
        <f>'D4 Gallon Forecast'!U168*AVERAGE('D4 RIN Forecast'!$BD$10:$BF$10)</f>
        <v>0</v>
      </c>
      <c r="V166" s="43">
        <f>'D4 Gallon Forecast'!V168*AVERAGE('D4 RIN Forecast'!$BD$10:$BH$10)</f>
        <v>0</v>
      </c>
      <c r="W166" s="43">
        <f>'D4 Gallon Forecast'!W168*AVERAGE('D4 RIN Forecast'!$BD$10:$BH$10)</f>
        <v>0</v>
      </c>
      <c r="X166" s="43">
        <f>'D4 Gallon Forecast'!X168*AVERAGE('D4 RIN Forecast'!$BD$10:$BH$10)</f>
        <v>0</v>
      </c>
      <c r="Y166" s="43">
        <f>'D4 Gallon Forecast'!Y168*AVERAGE('D4 RIN Forecast'!$BD$10:$BH$10)</f>
        <v>0</v>
      </c>
      <c r="Z166" s="43">
        <f>'D4 Gallon Forecast'!Z168*AVERAGE('D4 RIN Forecast'!$BD$10:$BH$10)</f>
        <v>0</v>
      </c>
      <c r="AA166" s="43">
        <f>'D4 Gallon Forecast'!AA168*AVERAGE('D4 RIN Forecast'!$BD$10:$BH$10)</f>
        <v>0</v>
      </c>
      <c r="AB166" s="43">
        <f>'D4 Gallon Forecast'!AB168*AVERAGE('D4 RIN Forecast'!$BD$10:$BH$10)</f>
        <v>0</v>
      </c>
      <c r="AC166" s="43">
        <f>'D4 Gallon Forecast'!AC168*AVERAGE('D4 RIN Forecast'!$BD$10:$BH$10)</f>
        <v>0</v>
      </c>
      <c r="AD166" s="43">
        <f>'D4 Gallon Forecast'!AD168*AVERAGE('D4 RIN Forecast'!$BD$10:$BH$10)</f>
        <v>0</v>
      </c>
      <c r="AE166" s="43">
        <f>'D4 Gallon Forecast'!AE168*AVERAGE('D4 RIN Forecast'!$BD$10:$BH$10)</f>
        <v>0</v>
      </c>
      <c r="AF166" s="43">
        <f>'D4 Gallon Forecast'!AF168*AVERAGE('D4 RIN Forecast'!$BD$10:$BH$10)</f>
        <v>0</v>
      </c>
      <c r="AG166" s="43">
        <f>'D4 Gallon Forecast'!AG168*AVERAGE('D4 RIN Forecast'!$BD$10:$BH$10)</f>
        <v>0</v>
      </c>
      <c r="AH166" s="43">
        <f>'D4 Gallon Forecast'!AH168*AVERAGE('D4 RIN Forecast'!$BD$10:$BH$10)</f>
        <v>0</v>
      </c>
      <c r="AI166" s="43">
        <f>'D4 Gallon Forecast'!AI168*AVERAGE('D4 RIN Forecast'!$BD$10:$BH$10)</f>
        <v>0</v>
      </c>
      <c r="AJ166" s="43">
        <f>'D4 Gallon Forecast'!AJ168*AVERAGE('D4 RIN Forecast'!$BD$10:$BH$10)</f>
        <v>0</v>
      </c>
      <c r="AK166" s="43">
        <f>'D4 Gallon Forecast'!AK168*AVERAGE('D4 RIN Forecast'!$BD$10:$BH$10)</f>
        <v>0</v>
      </c>
      <c r="AL166" s="43">
        <f>'D4 Gallon Forecast'!AL168*AVERAGE('D4 RIN Forecast'!$BD$10:$BH$10)</f>
        <v>0</v>
      </c>
      <c r="AM166" s="43">
        <f>'D4 Gallon Forecast'!AM168*AVERAGE('D4 RIN Forecast'!$BD$10:$BH$10)</f>
        <v>0</v>
      </c>
      <c r="AN166" s="43">
        <f>'D4 Gallon Forecast'!AN168*AVERAGE('D4 RIN Forecast'!$BD$10:$BH$10)</f>
        <v>0</v>
      </c>
      <c r="AO166" s="43">
        <f>'D4 Gallon Forecast'!AO168*AVERAGE('D4 RIN Forecast'!$BD$10:$BH$10)</f>
        <v>0</v>
      </c>
      <c r="AP166" s="43">
        <f>'D4 Gallon Forecast'!AP168*AVERAGE('D4 RIN Forecast'!$BD$10:$BH$10)</f>
        <v>0</v>
      </c>
      <c r="AQ166" s="43"/>
    </row>
    <row r="167" spans="1:43">
      <c r="A167" s="40" t="s">
        <v>47</v>
      </c>
      <c r="B167" s="42">
        <f>'Monthly D4 RIN Data'!$T8</f>
        <v>0</v>
      </c>
      <c r="C167" s="42">
        <f>'Monthly D4 RIN Data'!$T20</f>
        <v>1315440</v>
      </c>
      <c r="D167" s="42">
        <f>'Monthly D4 RIN Data'!$T32</f>
        <v>3925078</v>
      </c>
      <c r="E167" s="42">
        <f>'Monthly D4 RIN Data'!$T44</f>
        <v>1128577</v>
      </c>
      <c r="F167" s="42">
        <f>'Monthly D4 RIN Data'!$T56</f>
        <v>1308927</v>
      </c>
      <c r="G167" s="42">
        <f>'Monthly D4 RIN Data'!$T68</f>
        <v>924193</v>
      </c>
      <c r="H167" s="42">
        <f>'Monthly D4 RIN Data'!$T80</f>
        <v>0</v>
      </c>
      <c r="I167" s="42">
        <f>'Monthly D4 RIN Data'!$T92</f>
        <v>0</v>
      </c>
      <c r="J167" s="42">
        <f>'Monthly D4 RIN Data'!$T104</f>
        <v>0</v>
      </c>
      <c r="K167" s="42">
        <f>'Monthly D4 RIN Data'!$T116</f>
        <v>0</v>
      </c>
      <c r="L167" s="42">
        <f>'Monthly D4 RIN Data'!$T128</f>
        <v>0</v>
      </c>
      <c r="M167" s="42">
        <f>'Monthly D4 RIN Data'!$T140</f>
        <v>0</v>
      </c>
      <c r="N167" s="42">
        <f>'Monthly D4 RIN Data'!$T152</f>
        <v>0</v>
      </c>
      <c r="O167" s="42">
        <f>'Monthly D4 RIN Data'!$T164</f>
        <v>87065185</v>
      </c>
      <c r="P167" s="42">
        <f>'Monthly D4 RIN Data'!$T176</f>
        <v>3216527</v>
      </c>
      <c r="Q167" s="43">
        <f>'D4 Gallon Forecast'!Q169*AVERAGE('D4 RIN Forecast'!$BD$10:$BF$10)</f>
        <v>0</v>
      </c>
      <c r="R167" s="43">
        <f>'D4 Gallon Forecast'!R169*AVERAGE('D4 RIN Forecast'!$BD$10:$BF$10)</f>
        <v>0</v>
      </c>
      <c r="S167" s="43">
        <f>'D4 Gallon Forecast'!S169*AVERAGE('D4 RIN Forecast'!$BD$10:$BF$10)</f>
        <v>0</v>
      </c>
      <c r="T167" s="43">
        <f>'D4 Gallon Forecast'!T169*AVERAGE('D4 RIN Forecast'!$BD$10:$BF$10)</f>
        <v>0</v>
      </c>
      <c r="U167" s="43">
        <f>'D4 Gallon Forecast'!U169*AVERAGE('D4 RIN Forecast'!$BD$10:$BF$10)</f>
        <v>0</v>
      </c>
      <c r="V167" s="43">
        <f>'D4 Gallon Forecast'!V169*AVERAGE('D4 RIN Forecast'!$BD$10:$BH$10)</f>
        <v>0</v>
      </c>
      <c r="W167" s="43">
        <f>'D4 Gallon Forecast'!W169*AVERAGE('D4 RIN Forecast'!$BD$10:$BH$10)</f>
        <v>0</v>
      </c>
      <c r="X167" s="43">
        <f>'D4 Gallon Forecast'!X169*AVERAGE('D4 RIN Forecast'!$BD$10:$BH$10)</f>
        <v>0</v>
      </c>
      <c r="Y167" s="43">
        <f>'D4 Gallon Forecast'!Y169*AVERAGE('D4 RIN Forecast'!$BD$10:$BH$10)</f>
        <v>0</v>
      </c>
      <c r="Z167" s="43">
        <f>'D4 Gallon Forecast'!Z169*AVERAGE('D4 RIN Forecast'!$BD$10:$BH$10)</f>
        <v>0</v>
      </c>
      <c r="AA167" s="43">
        <f>'D4 Gallon Forecast'!AA169*AVERAGE('D4 RIN Forecast'!$BD$10:$BH$10)</f>
        <v>0</v>
      </c>
      <c r="AB167" s="43">
        <f>'D4 Gallon Forecast'!AB169*AVERAGE('D4 RIN Forecast'!$BD$10:$BH$10)</f>
        <v>0</v>
      </c>
      <c r="AC167" s="43">
        <f>'D4 Gallon Forecast'!AC169*AVERAGE('D4 RIN Forecast'!$BD$10:$BH$10)</f>
        <v>0</v>
      </c>
      <c r="AD167" s="43">
        <f>'D4 Gallon Forecast'!AD169*AVERAGE('D4 RIN Forecast'!$BD$10:$BH$10)</f>
        <v>0</v>
      </c>
      <c r="AE167" s="43">
        <f>'D4 Gallon Forecast'!AE169*AVERAGE('D4 RIN Forecast'!$BD$10:$BH$10)</f>
        <v>0</v>
      </c>
      <c r="AF167" s="43">
        <f>'D4 Gallon Forecast'!AF169*AVERAGE('D4 RIN Forecast'!$BD$10:$BH$10)</f>
        <v>0</v>
      </c>
      <c r="AG167" s="43">
        <f>'D4 Gallon Forecast'!AG169*AVERAGE('D4 RIN Forecast'!$BD$10:$BH$10)</f>
        <v>0</v>
      </c>
      <c r="AH167" s="43">
        <f>'D4 Gallon Forecast'!AH169*AVERAGE('D4 RIN Forecast'!$BD$10:$BH$10)</f>
        <v>0</v>
      </c>
      <c r="AI167" s="43">
        <f>'D4 Gallon Forecast'!AI169*AVERAGE('D4 RIN Forecast'!$BD$10:$BH$10)</f>
        <v>0</v>
      </c>
      <c r="AJ167" s="43">
        <f>'D4 Gallon Forecast'!AJ169*AVERAGE('D4 RIN Forecast'!$BD$10:$BH$10)</f>
        <v>0</v>
      </c>
      <c r="AK167" s="43">
        <f>'D4 Gallon Forecast'!AK169*AVERAGE('D4 RIN Forecast'!$BD$10:$BH$10)</f>
        <v>0</v>
      </c>
      <c r="AL167" s="43">
        <f>'D4 Gallon Forecast'!AL169*AVERAGE('D4 RIN Forecast'!$BD$10:$BH$10)</f>
        <v>0</v>
      </c>
      <c r="AM167" s="43">
        <f>'D4 Gallon Forecast'!AM169*AVERAGE('D4 RIN Forecast'!$BD$10:$BH$10)</f>
        <v>0</v>
      </c>
      <c r="AN167" s="43">
        <f>'D4 Gallon Forecast'!AN169*AVERAGE('D4 RIN Forecast'!$BD$10:$BH$10)</f>
        <v>0</v>
      </c>
      <c r="AO167" s="43">
        <f>'D4 Gallon Forecast'!AO169*AVERAGE('D4 RIN Forecast'!$BD$10:$BH$10)</f>
        <v>0</v>
      </c>
      <c r="AP167" s="43">
        <f>'D4 Gallon Forecast'!AP169*AVERAGE('D4 RIN Forecast'!$BD$10:$BH$10)</f>
        <v>0</v>
      </c>
      <c r="AQ167" s="43"/>
    </row>
    <row r="168" spans="1:43">
      <c r="A168" s="40" t="s">
        <v>48</v>
      </c>
      <c r="B168" s="42">
        <f>'Monthly D4 RIN Data'!$T9</f>
        <v>0</v>
      </c>
      <c r="C168" s="42">
        <f>'Monthly D4 RIN Data'!$T21</f>
        <v>2463521</v>
      </c>
      <c r="D168" s="42">
        <f>'Monthly D4 RIN Data'!$T33</f>
        <v>1450405</v>
      </c>
      <c r="E168" s="42">
        <f>'Monthly D4 RIN Data'!$T45</f>
        <v>1750259</v>
      </c>
      <c r="F168" s="42">
        <f>'Monthly D4 RIN Data'!$T57</f>
        <v>1167579</v>
      </c>
      <c r="G168" s="42">
        <f>'Monthly D4 RIN Data'!$T69</f>
        <v>800273</v>
      </c>
      <c r="H168" s="42">
        <f>'Monthly D4 RIN Data'!$T81</f>
        <v>0</v>
      </c>
      <c r="I168" s="42">
        <f>'Monthly D4 RIN Data'!$T93</f>
        <v>0</v>
      </c>
      <c r="J168" s="42">
        <f>'Monthly D4 RIN Data'!$T105</f>
        <v>0</v>
      </c>
      <c r="K168" s="42">
        <f>'Monthly D4 RIN Data'!$T117</f>
        <v>0</v>
      </c>
      <c r="L168" s="42">
        <f>'Monthly D4 RIN Data'!$T129</f>
        <v>169056</v>
      </c>
      <c r="M168" s="42">
        <f>'Monthly D4 RIN Data'!$T141</f>
        <v>0</v>
      </c>
      <c r="N168" s="42">
        <f>'Monthly D4 RIN Data'!$T153</f>
        <v>691690</v>
      </c>
      <c r="O168" s="42">
        <f>'Monthly D4 RIN Data'!$T165</f>
        <v>66469040</v>
      </c>
      <c r="P168" s="42">
        <f>'Monthly D4 RIN Data'!$T177</f>
        <v>70257935</v>
      </c>
      <c r="Q168" s="43">
        <f>'D4 Gallon Forecast'!Q170*AVERAGE('D4 RIN Forecast'!$BD$10:$BF$10)</f>
        <v>0</v>
      </c>
      <c r="R168" s="43">
        <f>'D4 Gallon Forecast'!R170*AVERAGE('D4 RIN Forecast'!$BD$10:$BF$10)</f>
        <v>0</v>
      </c>
      <c r="S168" s="43">
        <f>'D4 Gallon Forecast'!S170*AVERAGE('D4 RIN Forecast'!$BD$10:$BF$10)</f>
        <v>0</v>
      </c>
      <c r="T168" s="43">
        <f>'D4 Gallon Forecast'!T170*AVERAGE('D4 RIN Forecast'!$BD$10:$BF$10)</f>
        <v>0</v>
      </c>
      <c r="U168" s="43">
        <f>'D4 Gallon Forecast'!U170*AVERAGE('D4 RIN Forecast'!$BD$10:$BF$10)</f>
        <v>0</v>
      </c>
      <c r="V168" s="43">
        <f>'D4 Gallon Forecast'!V170*AVERAGE('D4 RIN Forecast'!$BD$10:$BH$10)</f>
        <v>0</v>
      </c>
      <c r="W168" s="43">
        <f>'D4 Gallon Forecast'!W170*AVERAGE('D4 RIN Forecast'!$BD$10:$BH$10)</f>
        <v>0</v>
      </c>
      <c r="X168" s="43">
        <f>'D4 Gallon Forecast'!X170*AVERAGE('D4 RIN Forecast'!$BD$10:$BH$10)</f>
        <v>0</v>
      </c>
      <c r="Y168" s="43">
        <f>'D4 Gallon Forecast'!Y170*AVERAGE('D4 RIN Forecast'!$BD$10:$BH$10)</f>
        <v>0</v>
      </c>
      <c r="Z168" s="43">
        <f>'D4 Gallon Forecast'!Z170*AVERAGE('D4 RIN Forecast'!$BD$10:$BH$10)</f>
        <v>0</v>
      </c>
      <c r="AA168" s="43">
        <f>'D4 Gallon Forecast'!AA170*AVERAGE('D4 RIN Forecast'!$BD$10:$BH$10)</f>
        <v>0</v>
      </c>
      <c r="AB168" s="43">
        <f>'D4 Gallon Forecast'!AB170*AVERAGE('D4 RIN Forecast'!$BD$10:$BH$10)</f>
        <v>0</v>
      </c>
      <c r="AC168" s="43">
        <f>'D4 Gallon Forecast'!AC170*AVERAGE('D4 RIN Forecast'!$BD$10:$BH$10)</f>
        <v>0</v>
      </c>
      <c r="AD168" s="43">
        <f>'D4 Gallon Forecast'!AD170*AVERAGE('D4 RIN Forecast'!$BD$10:$BH$10)</f>
        <v>0</v>
      </c>
      <c r="AE168" s="43">
        <f>'D4 Gallon Forecast'!AE170*AVERAGE('D4 RIN Forecast'!$BD$10:$BH$10)</f>
        <v>0</v>
      </c>
      <c r="AF168" s="43">
        <f>'D4 Gallon Forecast'!AF170*AVERAGE('D4 RIN Forecast'!$BD$10:$BH$10)</f>
        <v>0</v>
      </c>
      <c r="AG168" s="43">
        <f>'D4 Gallon Forecast'!AG170*AVERAGE('D4 RIN Forecast'!$BD$10:$BH$10)</f>
        <v>0</v>
      </c>
      <c r="AH168" s="43">
        <f>'D4 Gallon Forecast'!AH170*AVERAGE('D4 RIN Forecast'!$BD$10:$BH$10)</f>
        <v>0</v>
      </c>
      <c r="AI168" s="43">
        <f>'D4 Gallon Forecast'!AI170*AVERAGE('D4 RIN Forecast'!$BD$10:$BH$10)</f>
        <v>0</v>
      </c>
      <c r="AJ168" s="43">
        <f>'D4 Gallon Forecast'!AJ170*AVERAGE('D4 RIN Forecast'!$BD$10:$BH$10)</f>
        <v>0</v>
      </c>
      <c r="AK168" s="43">
        <f>'D4 Gallon Forecast'!AK170*AVERAGE('D4 RIN Forecast'!$BD$10:$BH$10)</f>
        <v>0</v>
      </c>
      <c r="AL168" s="43">
        <f>'D4 Gallon Forecast'!AL170*AVERAGE('D4 RIN Forecast'!$BD$10:$BH$10)</f>
        <v>0</v>
      </c>
      <c r="AM168" s="43">
        <f>'D4 Gallon Forecast'!AM170*AVERAGE('D4 RIN Forecast'!$BD$10:$BH$10)</f>
        <v>0</v>
      </c>
      <c r="AN168" s="43">
        <f>'D4 Gallon Forecast'!AN170*AVERAGE('D4 RIN Forecast'!$BD$10:$BH$10)</f>
        <v>0</v>
      </c>
      <c r="AO168" s="43">
        <f>'D4 Gallon Forecast'!AO170*AVERAGE('D4 RIN Forecast'!$BD$10:$BH$10)</f>
        <v>0</v>
      </c>
      <c r="AP168" s="43">
        <f>'D4 Gallon Forecast'!AP170*AVERAGE('D4 RIN Forecast'!$BD$10:$BH$10)</f>
        <v>0</v>
      </c>
      <c r="AQ168" s="43"/>
    </row>
    <row r="169" spans="1:43">
      <c r="A169" s="40" t="s">
        <v>49</v>
      </c>
      <c r="B169" s="42">
        <f>'Monthly D4 RIN Data'!$T10</f>
        <v>0</v>
      </c>
      <c r="C169" s="42">
        <f>'Monthly D4 RIN Data'!$T22</f>
        <v>2333297</v>
      </c>
      <c r="D169" s="42">
        <f>'Monthly D4 RIN Data'!$T34</f>
        <v>1212270</v>
      </c>
      <c r="E169" s="42">
        <f>'Monthly D4 RIN Data'!$T46</f>
        <v>17555901</v>
      </c>
      <c r="F169" s="42">
        <f>'Monthly D4 RIN Data'!$T58</f>
        <v>551546</v>
      </c>
      <c r="G169" s="42">
        <f>'Monthly D4 RIN Data'!$T70</f>
        <v>759797</v>
      </c>
      <c r="H169" s="42">
        <f>'Monthly D4 RIN Data'!$T82</f>
        <v>0</v>
      </c>
      <c r="I169" s="42">
        <f>'Monthly D4 RIN Data'!$T94</f>
        <v>0</v>
      </c>
      <c r="J169" s="42">
        <f>'Monthly D4 RIN Data'!$T106</f>
        <v>0</v>
      </c>
      <c r="K169" s="42">
        <f>'Monthly D4 RIN Data'!$T118</f>
        <v>0</v>
      </c>
      <c r="L169" s="42">
        <f>'Monthly D4 RIN Data'!$T130</f>
        <v>712038</v>
      </c>
      <c r="M169" s="42">
        <f>'Monthly D4 RIN Data'!$T142</f>
        <v>701610</v>
      </c>
      <c r="N169" s="42">
        <f>'Monthly D4 RIN Data'!$T154</f>
        <v>586430</v>
      </c>
      <c r="O169" s="42">
        <f>'Monthly D4 RIN Data'!$T166</f>
        <v>64627762</v>
      </c>
      <c r="P169" s="42">
        <f>'Monthly D4 RIN Data'!$T178</f>
        <v>85884199</v>
      </c>
      <c r="Q169" s="43">
        <f>'D4 Gallon Forecast'!Q171*AVERAGE('D4 RIN Forecast'!$BD$10:$BF$10)</f>
        <v>0</v>
      </c>
      <c r="R169" s="43">
        <f>'D4 Gallon Forecast'!R171*AVERAGE('D4 RIN Forecast'!$BD$10:$BF$10)</f>
        <v>0</v>
      </c>
      <c r="S169" s="43">
        <f>'D4 Gallon Forecast'!S171*AVERAGE('D4 RIN Forecast'!$BD$10:$BF$10)</f>
        <v>0</v>
      </c>
      <c r="T169" s="43">
        <f>'D4 Gallon Forecast'!T171*AVERAGE('D4 RIN Forecast'!$BD$10:$BF$10)</f>
        <v>0</v>
      </c>
      <c r="U169" s="43">
        <f>'D4 Gallon Forecast'!U171*AVERAGE('D4 RIN Forecast'!$BD$10:$BF$10)</f>
        <v>0</v>
      </c>
      <c r="V169" s="43">
        <f>'D4 Gallon Forecast'!V171*AVERAGE('D4 RIN Forecast'!$BD$10:$BH$10)</f>
        <v>0</v>
      </c>
      <c r="W169" s="43">
        <f>'D4 Gallon Forecast'!W171*AVERAGE('D4 RIN Forecast'!$BD$10:$BH$10)</f>
        <v>0</v>
      </c>
      <c r="X169" s="43">
        <f>'D4 Gallon Forecast'!X171*AVERAGE('D4 RIN Forecast'!$BD$10:$BH$10)</f>
        <v>0</v>
      </c>
      <c r="Y169" s="43">
        <f>'D4 Gallon Forecast'!Y171*AVERAGE('D4 RIN Forecast'!$BD$10:$BH$10)</f>
        <v>0</v>
      </c>
      <c r="Z169" s="43">
        <f>'D4 Gallon Forecast'!Z171*AVERAGE('D4 RIN Forecast'!$BD$10:$BH$10)</f>
        <v>0</v>
      </c>
      <c r="AA169" s="43">
        <f>'D4 Gallon Forecast'!AA171*AVERAGE('D4 RIN Forecast'!$BD$10:$BH$10)</f>
        <v>0</v>
      </c>
      <c r="AB169" s="43">
        <f>'D4 Gallon Forecast'!AB171*AVERAGE('D4 RIN Forecast'!$BD$10:$BH$10)</f>
        <v>0</v>
      </c>
      <c r="AC169" s="43">
        <f>'D4 Gallon Forecast'!AC171*AVERAGE('D4 RIN Forecast'!$BD$10:$BH$10)</f>
        <v>0</v>
      </c>
      <c r="AD169" s="43">
        <f>'D4 Gallon Forecast'!AD171*AVERAGE('D4 RIN Forecast'!$BD$10:$BH$10)</f>
        <v>0</v>
      </c>
      <c r="AE169" s="43">
        <f>'D4 Gallon Forecast'!AE171*AVERAGE('D4 RIN Forecast'!$BD$10:$BH$10)</f>
        <v>0</v>
      </c>
      <c r="AF169" s="43">
        <f>'D4 Gallon Forecast'!AF171*AVERAGE('D4 RIN Forecast'!$BD$10:$BH$10)</f>
        <v>0</v>
      </c>
      <c r="AG169" s="43">
        <f>'D4 Gallon Forecast'!AG171*AVERAGE('D4 RIN Forecast'!$BD$10:$BH$10)</f>
        <v>0</v>
      </c>
      <c r="AH169" s="43">
        <f>'D4 Gallon Forecast'!AH171*AVERAGE('D4 RIN Forecast'!$BD$10:$BH$10)</f>
        <v>0</v>
      </c>
      <c r="AI169" s="43">
        <f>'D4 Gallon Forecast'!AI171*AVERAGE('D4 RIN Forecast'!$BD$10:$BH$10)</f>
        <v>0</v>
      </c>
      <c r="AJ169" s="43">
        <f>'D4 Gallon Forecast'!AJ171*AVERAGE('D4 RIN Forecast'!$BD$10:$BH$10)</f>
        <v>0</v>
      </c>
      <c r="AK169" s="43">
        <f>'D4 Gallon Forecast'!AK171*AVERAGE('D4 RIN Forecast'!$BD$10:$BH$10)</f>
        <v>0</v>
      </c>
      <c r="AL169" s="43">
        <f>'D4 Gallon Forecast'!AL171*AVERAGE('D4 RIN Forecast'!$BD$10:$BH$10)</f>
        <v>0</v>
      </c>
      <c r="AM169" s="43">
        <f>'D4 Gallon Forecast'!AM171*AVERAGE('D4 RIN Forecast'!$BD$10:$BH$10)</f>
        <v>0</v>
      </c>
      <c r="AN169" s="43">
        <f>'D4 Gallon Forecast'!AN171*AVERAGE('D4 RIN Forecast'!$BD$10:$BH$10)</f>
        <v>0</v>
      </c>
      <c r="AO169" s="43">
        <f>'D4 Gallon Forecast'!AO171*AVERAGE('D4 RIN Forecast'!$BD$10:$BH$10)</f>
        <v>0</v>
      </c>
      <c r="AP169" s="43">
        <f>'D4 Gallon Forecast'!AP171*AVERAGE('D4 RIN Forecast'!$BD$10:$BH$10)</f>
        <v>0</v>
      </c>
      <c r="AQ169" s="43"/>
    </row>
    <row r="170" spans="1:43">
      <c r="A170" s="40" t="s">
        <v>50</v>
      </c>
      <c r="B170" s="42">
        <f>'Monthly D4 RIN Data'!$T11</f>
        <v>0</v>
      </c>
      <c r="C170" s="42">
        <f>'Monthly D4 RIN Data'!$T23</f>
        <v>2842891</v>
      </c>
      <c r="D170" s="42">
        <f>'Monthly D4 RIN Data'!$T35</f>
        <v>573201</v>
      </c>
      <c r="E170" s="42">
        <f>'Monthly D4 RIN Data'!$T47</f>
        <v>11567314</v>
      </c>
      <c r="F170" s="42">
        <f>'Monthly D4 RIN Data'!$T59</f>
        <v>758792</v>
      </c>
      <c r="G170" s="42">
        <f>'Monthly D4 RIN Data'!$T71</f>
        <v>533160</v>
      </c>
      <c r="H170" s="42">
        <f>'Monthly D4 RIN Data'!$T83</f>
        <v>0</v>
      </c>
      <c r="I170" s="42">
        <f>'Monthly D4 RIN Data'!$T95</f>
        <v>0</v>
      </c>
      <c r="J170" s="42">
        <f>'Monthly D4 RIN Data'!$T107</f>
        <v>0</v>
      </c>
      <c r="K170" s="42">
        <f>'Monthly D4 RIN Data'!$T119</f>
        <v>0</v>
      </c>
      <c r="L170" s="42">
        <f>'Monthly D4 RIN Data'!$T131</f>
        <v>0</v>
      </c>
      <c r="M170" s="42">
        <f>'Monthly D4 RIN Data'!$T143</f>
        <v>439370</v>
      </c>
      <c r="N170" s="42">
        <f>'Monthly D4 RIN Data'!$T155</f>
        <v>0</v>
      </c>
      <c r="O170" s="42">
        <f>'Monthly D4 RIN Data'!$T167</f>
        <v>86404191</v>
      </c>
      <c r="P170" s="42">
        <f>'Monthly D4 RIN Data'!$T179</f>
        <v>77059418</v>
      </c>
      <c r="Q170" s="43">
        <f>'D4 Gallon Forecast'!Q172*AVERAGE('D4 RIN Forecast'!$BD$10:$BF$10)</f>
        <v>0</v>
      </c>
      <c r="R170" s="43">
        <f>'D4 Gallon Forecast'!R172*AVERAGE('D4 RIN Forecast'!$BD$10:$BF$10)</f>
        <v>0</v>
      </c>
      <c r="S170" s="43">
        <f>'D4 Gallon Forecast'!S172*AVERAGE('D4 RIN Forecast'!$BD$10:$BF$10)</f>
        <v>0</v>
      </c>
      <c r="T170" s="43">
        <f>'D4 Gallon Forecast'!T172*AVERAGE('D4 RIN Forecast'!$BD$10:$BF$10)</f>
        <v>0</v>
      </c>
      <c r="U170" s="43">
        <f>'D4 Gallon Forecast'!U172*AVERAGE('D4 RIN Forecast'!$BD$10:$BF$10)</f>
        <v>0</v>
      </c>
      <c r="V170" s="43">
        <f>'D4 Gallon Forecast'!V172*AVERAGE('D4 RIN Forecast'!$BD$10:$BH$10)</f>
        <v>0</v>
      </c>
      <c r="W170" s="43">
        <f>'D4 Gallon Forecast'!W172*AVERAGE('D4 RIN Forecast'!$BD$10:$BH$10)</f>
        <v>0</v>
      </c>
      <c r="X170" s="43">
        <f>'D4 Gallon Forecast'!X172*AVERAGE('D4 RIN Forecast'!$BD$10:$BH$10)</f>
        <v>0</v>
      </c>
      <c r="Y170" s="43">
        <f>'D4 Gallon Forecast'!Y172*AVERAGE('D4 RIN Forecast'!$BD$10:$BH$10)</f>
        <v>0</v>
      </c>
      <c r="Z170" s="43">
        <f>'D4 Gallon Forecast'!Z172*AVERAGE('D4 RIN Forecast'!$BD$10:$BH$10)</f>
        <v>0</v>
      </c>
      <c r="AA170" s="43">
        <f>'D4 Gallon Forecast'!AA172*AVERAGE('D4 RIN Forecast'!$BD$10:$BH$10)</f>
        <v>0</v>
      </c>
      <c r="AB170" s="43">
        <f>'D4 Gallon Forecast'!AB172*AVERAGE('D4 RIN Forecast'!$BD$10:$BH$10)</f>
        <v>0</v>
      </c>
      <c r="AC170" s="43">
        <f>'D4 Gallon Forecast'!AC172*AVERAGE('D4 RIN Forecast'!$BD$10:$BH$10)</f>
        <v>0</v>
      </c>
      <c r="AD170" s="43">
        <f>'D4 Gallon Forecast'!AD172*AVERAGE('D4 RIN Forecast'!$BD$10:$BH$10)</f>
        <v>0</v>
      </c>
      <c r="AE170" s="43">
        <f>'D4 Gallon Forecast'!AE172*AVERAGE('D4 RIN Forecast'!$BD$10:$BH$10)</f>
        <v>0</v>
      </c>
      <c r="AF170" s="43">
        <f>'D4 Gallon Forecast'!AF172*AVERAGE('D4 RIN Forecast'!$BD$10:$BH$10)</f>
        <v>0</v>
      </c>
      <c r="AG170" s="43">
        <f>'D4 Gallon Forecast'!AG172*AVERAGE('D4 RIN Forecast'!$BD$10:$BH$10)</f>
        <v>0</v>
      </c>
      <c r="AH170" s="43">
        <f>'D4 Gallon Forecast'!AH172*AVERAGE('D4 RIN Forecast'!$BD$10:$BH$10)</f>
        <v>0</v>
      </c>
      <c r="AI170" s="43">
        <f>'D4 Gallon Forecast'!AI172*AVERAGE('D4 RIN Forecast'!$BD$10:$BH$10)</f>
        <v>0</v>
      </c>
      <c r="AJ170" s="43">
        <f>'D4 Gallon Forecast'!AJ172*AVERAGE('D4 RIN Forecast'!$BD$10:$BH$10)</f>
        <v>0</v>
      </c>
      <c r="AK170" s="43">
        <f>'D4 Gallon Forecast'!AK172*AVERAGE('D4 RIN Forecast'!$BD$10:$BH$10)</f>
        <v>0</v>
      </c>
      <c r="AL170" s="43">
        <f>'D4 Gallon Forecast'!AL172*AVERAGE('D4 RIN Forecast'!$BD$10:$BH$10)</f>
        <v>0</v>
      </c>
      <c r="AM170" s="43">
        <f>'D4 Gallon Forecast'!AM172*AVERAGE('D4 RIN Forecast'!$BD$10:$BH$10)</f>
        <v>0</v>
      </c>
      <c r="AN170" s="43">
        <f>'D4 Gallon Forecast'!AN172*AVERAGE('D4 RIN Forecast'!$BD$10:$BH$10)</f>
        <v>0</v>
      </c>
      <c r="AO170" s="43">
        <f>'D4 Gallon Forecast'!AO172*AVERAGE('D4 RIN Forecast'!$BD$10:$BH$10)</f>
        <v>0</v>
      </c>
      <c r="AP170" s="43">
        <f>'D4 Gallon Forecast'!AP172*AVERAGE('D4 RIN Forecast'!$BD$10:$BH$10)</f>
        <v>0</v>
      </c>
      <c r="AQ170" s="43"/>
    </row>
    <row r="171" spans="1:43">
      <c r="A171" s="40" t="s">
        <v>51</v>
      </c>
      <c r="B171" s="42">
        <f>'Monthly D4 RIN Data'!$T12</f>
        <v>0</v>
      </c>
      <c r="C171" s="42">
        <f>'Monthly D4 RIN Data'!$T24</f>
        <v>3100743</v>
      </c>
      <c r="D171" s="42">
        <f>'Monthly D4 RIN Data'!$T36</f>
        <v>489539</v>
      </c>
      <c r="E171" s="42">
        <f>'Monthly D4 RIN Data'!$T48</f>
        <v>3154399</v>
      </c>
      <c r="F171" s="42">
        <f>'Monthly D4 RIN Data'!$T60</f>
        <v>590118</v>
      </c>
      <c r="G171" s="42">
        <f>'Monthly D4 RIN Data'!$T72</f>
        <v>538426</v>
      </c>
      <c r="H171" s="42">
        <f>'Monthly D4 RIN Data'!$T84</f>
        <v>0</v>
      </c>
      <c r="I171" s="42">
        <f>'Monthly D4 RIN Data'!$T96</f>
        <v>0</v>
      </c>
      <c r="J171" s="42">
        <f>'Monthly D4 RIN Data'!$T108</f>
        <v>0</v>
      </c>
      <c r="K171" s="42">
        <f>'Monthly D4 RIN Data'!$T120</f>
        <v>0</v>
      </c>
      <c r="L171" s="42">
        <f>'Monthly D4 RIN Data'!$T132</f>
        <v>0</v>
      </c>
      <c r="M171" s="42">
        <f>'Monthly D4 RIN Data'!$T144</f>
        <v>0</v>
      </c>
      <c r="N171" s="42">
        <f>'Monthly D4 RIN Data'!$T156</f>
        <v>0</v>
      </c>
      <c r="O171" s="42">
        <f>'Monthly D4 RIN Data'!$T168</f>
        <v>73251573</v>
      </c>
      <c r="P171" s="42">
        <f>'Monthly D4 RIN Data'!$T180</f>
        <v>55355811</v>
      </c>
      <c r="Q171" s="43">
        <f>'D4 Gallon Forecast'!Q173*AVERAGE('D4 RIN Forecast'!$BD$10:$BF$10)</f>
        <v>0</v>
      </c>
      <c r="R171" s="43">
        <f>'D4 Gallon Forecast'!R173*AVERAGE('D4 RIN Forecast'!$BD$10:$BF$10)</f>
        <v>0</v>
      </c>
      <c r="S171" s="43">
        <f>'D4 Gallon Forecast'!S173*AVERAGE('D4 RIN Forecast'!$BD$10:$BF$10)</f>
        <v>0</v>
      </c>
      <c r="T171" s="43">
        <f>'D4 Gallon Forecast'!T173*AVERAGE('D4 RIN Forecast'!$BD$10:$BF$10)</f>
        <v>0</v>
      </c>
      <c r="U171" s="43">
        <f>'D4 Gallon Forecast'!U173*AVERAGE('D4 RIN Forecast'!$BD$10:$BF$10)</f>
        <v>0</v>
      </c>
      <c r="V171" s="43">
        <f>'D4 Gallon Forecast'!V173*AVERAGE('D4 RIN Forecast'!$BD$10:$BH$10)</f>
        <v>0</v>
      </c>
      <c r="W171" s="43">
        <f>'D4 Gallon Forecast'!W173*AVERAGE('D4 RIN Forecast'!$BD$10:$BH$10)</f>
        <v>0</v>
      </c>
      <c r="X171" s="43">
        <f>'D4 Gallon Forecast'!X173*AVERAGE('D4 RIN Forecast'!$BD$10:$BH$10)</f>
        <v>0</v>
      </c>
      <c r="Y171" s="43">
        <f>'D4 Gallon Forecast'!Y173*AVERAGE('D4 RIN Forecast'!$BD$10:$BH$10)</f>
        <v>0</v>
      </c>
      <c r="Z171" s="43">
        <f>'D4 Gallon Forecast'!Z173*AVERAGE('D4 RIN Forecast'!$BD$10:$BH$10)</f>
        <v>0</v>
      </c>
      <c r="AA171" s="43">
        <f>'D4 Gallon Forecast'!AA173*AVERAGE('D4 RIN Forecast'!$BD$10:$BH$10)</f>
        <v>0</v>
      </c>
      <c r="AB171" s="43">
        <f>'D4 Gallon Forecast'!AB173*AVERAGE('D4 RIN Forecast'!$BD$10:$BH$10)</f>
        <v>0</v>
      </c>
      <c r="AC171" s="43">
        <f>'D4 Gallon Forecast'!AC173*AVERAGE('D4 RIN Forecast'!$BD$10:$BH$10)</f>
        <v>0</v>
      </c>
      <c r="AD171" s="43">
        <f>'D4 Gallon Forecast'!AD173*AVERAGE('D4 RIN Forecast'!$BD$10:$BH$10)</f>
        <v>0</v>
      </c>
      <c r="AE171" s="43">
        <f>'D4 Gallon Forecast'!AE173*AVERAGE('D4 RIN Forecast'!$BD$10:$BH$10)</f>
        <v>0</v>
      </c>
      <c r="AF171" s="43">
        <f>'D4 Gallon Forecast'!AF173*AVERAGE('D4 RIN Forecast'!$BD$10:$BH$10)</f>
        <v>0</v>
      </c>
      <c r="AG171" s="43">
        <f>'D4 Gallon Forecast'!AG173*AVERAGE('D4 RIN Forecast'!$BD$10:$BH$10)</f>
        <v>0</v>
      </c>
      <c r="AH171" s="43">
        <f>'D4 Gallon Forecast'!AH173*AVERAGE('D4 RIN Forecast'!$BD$10:$BH$10)</f>
        <v>0</v>
      </c>
      <c r="AI171" s="43">
        <f>'D4 Gallon Forecast'!AI173*AVERAGE('D4 RIN Forecast'!$BD$10:$BH$10)</f>
        <v>0</v>
      </c>
      <c r="AJ171" s="43">
        <f>'D4 Gallon Forecast'!AJ173*AVERAGE('D4 RIN Forecast'!$BD$10:$BH$10)</f>
        <v>0</v>
      </c>
      <c r="AK171" s="43">
        <f>'D4 Gallon Forecast'!AK173*AVERAGE('D4 RIN Forecast'!$BD$10:$BH$10)</f>
        <v>0</v>
      </c>
      <c r="AL171" s="43">
        <f>'D4 Gallon Forecast'!AL173*AVERAGE('D4 RIN Forecast'!$BD$10:$BH$10)</f>
        <v>0</v>
      </c>
      <c r="AM171" s="43">
        <f>'D4 Gallon Forecast'!AM173*AVERAGE('D4 RIN Forecast'!$BD$10:$BH$10)</f>
        <v>0</v>
      </c>
      <c r="AN171" s="43">
        <f>'D4 Gallon Forecast'!AN173*AVERAGE('D4 RIN Forecast'!$BD$10:$BH$10)</f>
        <v>0</v>
      </c>
      <c r="AO171" s="43">
        <f>'D4 Gallon Forecast'!AO173*AVERAGE('D4 RIN Forecast'!$BD$10:$BH$10)</f>
        <v>0</v>
      </c>
      <c r="AP171" s="43">
        <f>'D4 Gallon Forecast'!AP173*AVERAGE('D4 RIN Forecast'!$BD$10:$BH$10)</f>
        <v>0</v>
      </c>
      <c r="AQ171" s="43"/>
    </row>
    <row r="172" spans="1:43">
      <c r="A172" s="40" t="s">
        <v>52</v>
      </c>
      <c r="B172" s="42">
        <f>'Monthly D4 RIN Data'!$T13</f>
        <v>0</v>
      </c>
      <c r="C172" s="42">
        <f>'Monthly D4 RIN Data'!$T25</f>
        <v>3857413</v>
      </c>
      <c r="D172" s="42">
        <f>'Monthly D4 RIN Data'!$T37</f>
        <v>912469</v>
      </c>
      <c r="E172" s="42">
        <f>'Monthly D4 RIN Data'!$T49</f>
        <v>3225716</v>
      </c>
      <c r="F172" s="42">
        <f>'Monthly D4 RIN Data'!$T61</f>
        <v>658842</v>
      </c>
      <c r="G172" s="42">
        <f>'Monthly D4 RIN Data'!$T73</f>
        <v>75410</v>
      </c>
      <c r="H172" s="42">
        <f>'Monthly D4 RIN Data'!$T85</f>
        <v>0</v>
      </c>
      <c r="I172" s="42">
        <f>'Monthly D4 RIN Data'!$T97</f>
        <v>0</v>
      </c>
      <c r="J172" s="42">
        <f>'Monthly D4 RIN Data'!$T109</f>
        <v>0</v>
      </c>
      <c r="K172" s="42">
        <f>'Monthly D4 RIN Data'!$T121</f>
        <v>0</v>
      </c>
      <c r="L172" s="42">
        <f>'Monthly D4 RIN Data'!$T133</f>
        <v>0</v>
      </c>
      <c r="M172" s="42">
        <f>'Monthly D4 RIN Data'!$T145</f>
        <v>0</v>
      </c>
      <c r="N172" s="42">
        <f>'Monthly D4 RIN Data'!$T157</f>
        <v>1070683</v>
      </c>
      <c r="O172" s="42">
        <f>'Monthly D4 RIN Data'!$T169</f>
        <v>90050806</v>
      </c>
      <c r="P172" s="42">
        <f>'Monthly D4 RIN Data'!$T181</f>
        <v>88454597</v>
      </c>
      <c r="Q172" s="43">
        <f>'D4 Gallon Forecast'!Q174*AVERAGE('D4 RIN Forecast'!$BD$10:$BF$10)</f>
        <v>0</v>
      </c>
      <c r="R172" s="43">
        <f>'D4 Gallon Forecast'!R174*AVERAGE('D4 RIN Forecast'!$BD$10:$BF$10)</f>
        <v>0</v>
      </c>
      <c r="S172" s="43">
        <f>'D4 Gallon Forecast'!S174*AVERAGE('D4 RIN Forecast'!$BD$10:$BF$10)</f>
        <v>0</v>
      </c>
      <c r="T172" s="43">
        <f>'D4 Gallon Forecast'!T174*AVERAGE('D4 RIN Forecast'!$BD$10:$BF$10)</f>
        <v>0</v>
      </c>
      <c r="U172" s="43">
        <f>'D4 Gallon Forecast'!U174*AVERAGE('D4 RIN Forecast'!$BD$10:$BF$10)</f>
        <v>0</v>
      </c>
      <c r="V172" s="43">
        <f>'D4 Gallon Forecast'!V174*AVERAGE('D4 RIN Forecast'!$BD$10:$BH$10)</f>
        <v>0</v>
      </c>
      <c r="W172" s="43">
        <f>'D4 Gallon Forecast'!W174*AVERAGE('D4 RIN Forecast'!$BD$10:$BH$10)</f>
        <v>0</v>
      </c>
      <c r="X172" s="43">
        <f>'D4 Gallon Forecast'!X174*AVERAGE('D4 RIN Forecast'!$BD$10:$BH$10)</f>
        <v>0</v>
      </c>
      <c r="Y172" s="43">
        <f>'D4 Gallon Forecast'!Y174*AVERAGE('D4 RIN Forecast'!$BD$10:$BH$10)</f>
        <v>0</v>
      </c>
      <c r="Z172" s="43">
        <f>'D4 Gallon Forecast'!Z174*AVERAGE('D4 RIN Forecast'!$BD$10:$BH$10)</f>
        <v>0</v>
      </c>
      <c r="AA172" s="43">
        <f>'D4 Gallon Forecast'!AA174*AVERAGE('D4 RIN Forecast'!$BD$10:$BH$10)</f>
        <v>0</v>
      </c>
      <c r="AB172" s="43">
        <f>'D4 Gallon Forecast'!AB174*AVERAGE('D4 RIN Forecast'!$BD$10:$BH$10)</f>
        <v>0</v>
      </c>
      <c r="AC172" s="43">
        <f>'D4 Gallon Forecast'!AC174*AVERAGE('D4 RIN Forecast'!$BD$10:$BH$10)</f>
        <v>0</v>
      </c>
      <c r="AD172" s="43">
        <f>'D4 Gallon Forecast'!AD174*AVERAGE('D4 RIN Forecast'!$BD$10:$BH$10)</f>
        <v>0</v>
      </c>
      <c r="AE172" s="43">
        <f>'D4 Gallon Forecast'!AE174*AVERAGE('D4 RIN Forecast'!$BD$10:$BH$10)</f>
        <v>0</v>
      </c>
      <c r="AF172" s="43">
        <f>'D4 Gallon Forecast'!AF174*AVERAGE('D4 RIN Forecast'!$BD$10:$BH$10)</f>
        <v>0</v>
      </c>
      <c r="AG172" s="43">
        <f>'D4 Gallon Forecast'!AG174*AVERAGE('D4 RIN Forecast'!$BD$10:$BH$10)</f>
        <v>0</v>
      </c>
      <c r="AH172" s="43">
        <f>'D4 Gallon Forecast'!AH174*AVERAGE('D4 RIN Forecast'!$BD$10:$BH$10)</f>
        <v>0</v>
      </c>
      <c r="AI172" s="43">
        <f>'D4 Gallon Forecast'!AI174*AVERAGE('D4 RIN Forecast'!$BD$10:$BH$10)</f>
        <v>0</v>
      </c>
      <c r="AJ172" s="43">
        <f>'D4 Gallon Forecast'!AJ174*AVERAGE('D4 RIN Forecast'!$BD$10:$BH$10)</f>
        <v>0</v>
      </c>
      <c r="AK172" s="43">
        <f>'D4 Gallon Forecast'!AK174*AVERAGE('D4 RIN Forecast'!$BD$10:$BH$10)</f>
        <v>0</v>
      </c>
      <c r="AL172" s="43">
        <f>'D4 Gallon Forecast'!AL174*AVERAGE('D4 RIN Forecast'!$BD$10:$BH$10)</f>
        <v>0</v>
      </c>
      <c r="AM172" s="43">
        <f>'D4 Gallon Forecast'!AM174*AVERAGE('D4 RIN Forecast'!$BD$10:$BH$10)</f>
        <v>0</v>
      </c>
      <c r="AN172" s="43">
        <f>'D4 Gallon Forecast'!AN174*AVERAGE('D4 RIN Forecast'!$BD$10:$BH$10)</f>
        <v>0</v>
      </c>
      <c r="AO172" s="43">
        <f>'D4 Gallon Forecast'!AO174*AVERAGE('D4 RIN Forecast'!$BD$10:$BH$10)</f>
        <v>0</v>
      </c>
      <c r="AP172" s="43">
        <f>'D4 Gallon Forecast'!AP174*AVERAGE('D4 RIN Forecast'!$BD$10:$BH$10)</f>
        <v>0</v>
      </c>
      <c r="AQ172" s="43"/>
    </row>
    <row r="173" spans="1:43">
      <c r="A173" s="40" t="s">
        <v>53</v>
      </c>
      <c r="B173" s="42">
        <f>'Monthly D4 RIN Data'!$T14</f>
        <v>0</v>
      </c>
      <c r="C173" s="42">
        <f>'Monthly D4 RIN Data'!$T26</f>
        <v>3498972</v>
      </c>
      <c r="D173" s="42">
        <f>'Monthly D4 RIN Data'!$T38</f>
        <v>910142</v>
      </c>
      <c r="E173" s="42">
        <f>'Monthly D4 RIN Data'!$T50</f>
        <v>2002249</v>
      </c>
      <c r="F173" s="42">
        <f>'Monthly D4 RIN Data'!$T62</f>
        <v>584820</v>
      </c>
      <c r="G173" s="42">
        <f>'Monthly D4 RIN Data'!$T74</f>
        <v>129484</v>
      </c>
      <c r="H173" s="42">
        <f>'Monthly D4 RIN Data'!$T86</f>
        <v>0</v>
      </c>
      <c r="I173" s="42">
        <f>'Monthly D4 RIN Data'!$T98</f>
        <v>0</v>
      </c>
      <c r="J173" s="42">
        <f>'Monthly D4 RIN Data'!$T110</f>
        <v>0</v>
      </c>
      <c r="K173" s="42">
        <f>'Monthly D4 RIN Data'!$T122</f>
        <v>0</v>
      </c>
      <c r="L173" s="42">
        <f>'Monthly D4 RIN Data'!$T134</f>
        <v>7443</v>
      </c>
      <c r="M173" s="42">
        <f>'Monthly D4 RIN Data'!$T146</f>
        <v>0</v>
      </c>
      <c r="N173" s="42">
        <f>'Monthly D4 RIN Data'!$T158</f>
        <v>22574898</v>
      </c>
      <c r="O173" s="42">
        <f>'Monthly D4 RIN Data'!$T170</f>
        <v>79684941</v>
      </c>
      <c r="P173" s="42">
        <f>'Monthly D4 RIN Data'!$T182</f>
        <v>63255820</v>
      </c>
      <c r="Q173" s="43">
        <f>'D4 Gallon Forecast'!Q175*AVERAGE('D4 RIN Forecast'!$BD$10:$BF$10)</f>
        <v>0</v>
      </c>
      <c r="R173" s="43">
        <f>'D4 Gallon Forecast'!R175*AVERAGE('D4 RIN Forecast'!$BD$10:$BF$10)</f>
        <v>0</v>
      </c>
      <c r="S173" s="43">
        <f>'D4 Gallon Forecast'!S175*AVERAGE('D4 RIN Forecast'!$BD$10:$BF$10)</f>
        <v>0</v>
      </c>
      <c r="T173" s="43">
        <f>'D4 Gallon Forecast'!T175*AVERAGE('D4 RIN Forecast'!$BD$10:$BF$10)</f>
        <v>0</v>
      </c>
      <c r="U173" s="43">
        <f>'D4 Gallon Forecast'!U175*AVERAGE('D4 RIN Forecast'!$BD$10:$BF$10)</f>
        <v>0</v>
      </c>
      <c r="V173" s="43">
        <f>'D4 Gallon Forecast'!V175*AVERAGE('D4 RIN Forecast'!$BD$10:$BH$10)</f>
        <v>0</v>
      </c>
      <c r="W173" s="43">
        <f>'D4 Gallon Forecast'!W175*AVERAGE('D4 RIN Forecast'!$BD$10:$BH$10)</f>
        <v>0</v>
      </c>
      <c r="X173" s="43">
        <f>'D4 Gallon Forecast'!X175*AVERAGE('D4 RIN Forecast'!$BD$10:$BH$10)</f>
        <v>0</v>
      </c>
      <c r="Y173" s="43">
        <f>'D4 Gallon Forecast'!Y175*AVERAGE('D4 RIN Forecast'!$BD$10:$BH$10)</f>
        <v>0</v>
      </c>
      <c r="Z173" s="43">
        <f>'D4 Gallon Forecast'!Z175*AVERAGE('D4 RIN Forecast'!$BD$10:$BH$10)</f>
        <v>0</v>
      </c>
      <c r="AA173" s="43">
        <f>'D4 Gallon Forecast'!AA175*AVERAGE('D4 RIN Forecast'!$BD$10:$BH$10)</f>
        <v>0</v>
      </c>
      <c r="AB173" s="43">
        <f>'D4 Gallon Forecast'!AB175*AVERAGE('D4 RIN Forecast'!$BD$10:$BH$10)</f>
        <v>0</v>
      </c>
      <c r="AC173" s="43">
        <f>'D4 Gallon Forecast'!AC175*AVERAGE('D4 RIN Forecast'!$BD$10:$BH$10)</f>
        <v>0</v>
      </c>
      <c r="AD173" s="43">
        <f>'D4 Gallon Forecast'!AD175*AVERAGE('D4 RIN Forecast'!$BD$10:$BH$10)</f>
        <v>0</v>
      </c>
      <c r="AE173" s="43">
        <f>'D4 Gallon Forecast'!AE175*AVERAGE('D4 RIN Forecast'!$BD$10:$BH$10)</f>
        <v>0</v>
      </c>
      <c r="AF173" s="43">
        <f>'D4 Gallon Forecast'!AF175*AVERAGE('D4 RIN Forecast'!$BD$10:$BH$10)</f>
        <v>0</v>
      </c>
      <c r="AG173" s="43">
        <f>'D4 Gallon Forecast'!AG175*AVERAGE('D4 RIN Forecast'!$BD$10:$BH$10)</f>
        <v>0</v>
      </c>
      <c r="AH173" s="43">
        <f>'D4 Gallon Forecast'!AH175*AVERAGE('D4 RIN Forecast'!$BD$10:$BH$10)</f>
        <v>0</v>
      </c>
      <c r="AI173" s="43">
        <f>'D4 Gallon Forecast'!AI175*AVERAGE('D4 RIN Forecast'!$BD$10:$BH$10)</f>
        <v>0</v>
      </c>
      <c r="AJ173" s="43">
        <f>'D4 Gallon Forecast'!AJ175*AVERAGE('D4 RIN Forecast'!$BD$10:$BH$10)</f>
        <v>0</v>
      </c>
      <c r="AK173" s="43">
        <f>'D4 Gallon Forecast'!AK175*AVERAGE('D4 RIN Forecast'!$BD$10:$BH$10)</f>
        <v>0</v>
      </c>
      <c r="AL173" s="43">
        <f>'D4 Gallon Forecast'!AL175*AVERAGE('D4 RIN Forecast'!$BD$10:$BH$10)</f>
        <v>0</v>
      </c>
      <c r="AM173" s="43">
        <f>'D4 Gallon Forecast'!AM175*AVERAGE('D4 RIN Forecast'!$BD$10:$BH$10)</f>
        <v>0</v>
      </c>
      <c r="AN173" s="43">
        <f>'D4 Gallon Forecast'!AN175*AVERAGE('D4 RIN Forecast'!$BD$10:$BH$10)</f>
        <v>0</v>
      </c>
      <c r="AO173" s="43">
        <f>'D4 Gallon Forecast'!AO175*AVERAGE('D4 RIN Forecast'!$BD$10:$BH$10)</f>
        <v>0</v>
      </c>
      <c r="AP173" s="43">
        <f>'D4 Gallon Forecast'!AP175*AVERAGE('D4 RIN Forecast'!$BD$10:$BH$10)</f>
        <v>0</v>
      </c>
      <c r="AQ173" s="43"/>
    </row>
    <row r="174" spans="1:43">
      <c r="A174" s="40" t="s">
        <v>54</v>
      </c>
      <c r="B174" s="42">
        <f>'Monthly D4 RIN Data'!$T15</f>
        <v>384763</v>
      </c>
      <c r="C174" s="42">
        <f>'Monthly D4 RIN Data'!$T27</f>
        <v>1857182</v>
      </c>
      <c r="D174" s="42">
        <f>'Monthly D4 RIN Data'!$T39</f>
        <v>884647</v>
      </c>
      <c r="E174" s="42">
        <f>'Monthly D4 RIN Data'!$T51</f>
        <v>2162573</v>
      </c>
      <c r="F174" s="42">
        <f>'Monthly D4 RIN Data'!$T63</f>
        <v>516566</v>
      </c>
      <c r="G174" s="42">
        <f>'Monthly D4 RIN Data'!$T75</f>
        <v>113887</v>
      </c>
      <c r="H174" s="42">
        <f>'Monthly D4 RIN Data'!$T87</f>
        <v>0</v>
      </c>
      <c r="I174" s="42">
        <f>'Monthly D4 RIN Data'!$T99</f>
        <v>0</v>
      </c>
      <c r="J174" s="42">
        <f>'Monthly D4 RIN Data'!$T111</f>
        <v>0</v>
      </c>
      <c r="K174" s="42">
        <f>'Monthly D4 RIN Data'!$T123</f>
        <v>0</v>
      </c>
      <c r="L174" s="42">
        <f>'Monthly D4 RIN Data'!$T135</f>
        <v>0</v>
      </c>
      <c r="M174" s="42">
        <f>'Monthly D4 RIN Data'!$T147</f>
        <v>0</v>
      </c>
      <c r="N174" s="42">
        <f>'Monthly D4 RIN Data'!$T159</f>
        <v>36725282</v>
      </c>
      <c r="O174" s="42">
        <f>'Monthly D4 RIN Data'!$T171</f>
        <v>91838995</v>
      </c>
      <c r="P174" s="42">
        <f>'Monthly D4 RIN Data'!$T183</f>
        <v>85452031</v>
      </c>
      <c r="Q174" s="43">
        <f>'D4 Gallon Forecast'!Q176*AVERAGE('D4 RIN Forecast'!$BD$10:$BF$10)</f>
        <v>0</v>
      </c>
      <c r="R174" s="43">
        <f>'D4 Gallon Forecast'!R176*AVERAGE('D4 RIN Forecast'!$BD$10:$BF$10)</f>
        <v>0</v>
      </c>
      <c r="S174" s="43">
        <f>'D4 Gallon Forecast'!S176*AVERAGE('D4 RIN Forecast'!$BD$10:$BF$10)</f>
        <v>0</v>
      </c>
      <c r="T174" s="43">
        <f>'D4 Gallon Forecast'!T176*AVERAGE('D4 RIN Forecast'!$BD$10:$BF$10)</f>
        <v>0</v>
      </c>
      <c r="U174" s="43">
        <f>'D4 Gallon Forecast'!U176*AVERAGE('D4 RIN Forecast'!$BD$10:$BF$10)</f>
        <v>0</v>
      </c>
      <c r="V174" s="43">
        <f>'D4 Gallon Forecast'!V176*AVERAGE('D4 RIN Forecast'!$BD$10:$BH$10)</f>
        <v>0</v>
      </c>
      <c r="W174" s="43">
        <f>'D4 Gallon Forecast'!W176*AVERAGE('D4 RIN Forecast'!$BD$10:$BH$10)</f>
        <v>0</v>
      </c>
      <c r="X174" s="43">
        <f>'D4 Gallon Forecast'!X176*AVERAGE('D4 RIN Forecast'!$BD$10:$BH$10)</f>
        <v>0</v>
      </c>
      <c r="Y174" s="43">
        <f>'D4 Gallon Forecast'!Y176*AVERAGE('D4 RIN Forecast'!$BD$10:$BH$10)</f>
        <v>0</v>
      </c>
      <c r="Z174" s="43">
        <f>'D4 Gallon Forecast'!Z176*AVERAGE('D4 RIN Forecast'!$BD$10:$BH$10)</f>
        <v>0</v>
      </c>
      <c r="AA174" s="43">
        <f>'D4 Gallon Forecast'!AA176*AVERAGE('D4 RIN Forecast'!$BD$10:$BH$10)</f>
        <v>0</v>
      </c>
      <c r="AB174" s="43">
        <f>'D4 Gallon Forecast'!AB176*AVERAGE('D4 RIN Forecast'!$BD$10:$BH$10)</f>
        <v>0</v>
      </c>
      <c r="AC174" s="43">
        <f>'D4 Gallon Forecast'!AC176*AVERAGE('D4 RIN Forecast'!$BD$10:$BH$10)</f>
        <v>0</v>
      </c>
      <c r="AD174" s="43">
        <f>'D4 Gallon Forecast'!AD176*AVERAGE('D4 RIN Forecast'!$BD$10:$BH$10)</f>
        <v>0</v>
      </c>
      <c r="AE174" s="43">
        <f>'D4 Gallon Forecast'!AE176*AVERAGE('D4 RIN Forecast'!$BD$10:$BH$10)</f>
        <v>0</v>
      </c>
      <c r="AF174" s="43">
        <f>'D4 Gallon Forecast'!AF176*AVERAGE('D4 RIN Forecast'!$BD$10:$BH$10)</f>
        <v>0</v>
      </c>
      <c r="AG174" s="43">
        <f>'D4 Gallon Forecast'!AG176*AVERAGE('D4 RIN Forecast'!$BD$10:$BH$10)</f>
        <v>0</v>
      </c>
      <c r="AH174" s="43">
        <f>'D4 Gallon Forecast'!AH176*AVERAGE('D4 RIN Forecast'!$BD$10:$BH$10)</f>
        <v>0</v>
      </c>
      <c r="AI174" s="43">
        <f>'D4 Gallon Forecast'!AI176*AVERAGE('D4 RIN Forecast'!$BD$10:$BH$10)</f>
        <v>0</v>
      </c>
      <c r="AJ174" s="43">
        <f>'D4 Gallon Forecast'!AJ176*AVERAGE('D4 RIN Forecast'!$BD$10:$BH$10)</f>
        <v>0</v>
      </c>
      <c r="AK174" s="43">
        <f>'D4 Gallon Forecast'!AK176*AVERAGE('D4 RIN Forecast'!$BD$10:$BH$10)</f>
        <v>0</v>
      </c>
      <c r="AL174" s="43">
        <f>'D4 Gallon Forecast'!AL176*AVERAGE('D4 RIN Forecast'!$BD$10:$BH$10)</f>
        <v>0</v>
      </c>
      <c r="AM174" s="43">
        <f>'D4 Gallon Forecast'!AM176*AVERAGE('D4 RIN Forecast'!$BD$10:$BH$10)</f>
        <v>0</v>
      </c>
      <c r="AN174" s="43">
        <f>'D4 Gallon Forecast'!AN176*AVERAGE('D4 RIN Forecast'!$BD$10:$BH$10)</f>
        <v>0</v>
      </c>
      <c r="AO174" s="43">
        <f>'D4 Gallon Forecast'!AO176*AVERAGE('D4 RIN Forecast'!$BD$10:$BH$10)</f>
        <v>0</v>
      </c>
      <c r="AP174" s="43">
        <f>'D4 Gallon Forecast'!AP176*AVERAGE('D4 RIN Forecast'!$BD$10:$BH$10)</f>
        <v>0</v>
      </c>
      <c r="AQ174" s="43"/>
    </row>
    <row r="175" spans="1:43">
      <c r="A175" s="40" t="s">
        <v>29</v>
      </c>
      <c r="B175" s="42">
        <f>SUM(B163:B174)</f>
        <v>384763</v>
      </c>
      <c r="C175" s="42">
        <f t="shared" ref="C175:AP175" si="79">SUM(C163:C174)</f>
        <v>23827395</v>
      </c>
      <c r="D175" s="42">
        <f t="shared" si="79"/>
        <v>14995099</v>
      </c>
      <c r="E175" s="42">
        <f t="shared" si="79"/>
        <v>46259621</v>
      </c>
      <c r="F175" s="42">
        <f t="shared" si="79"/>
        <v>11930103</v>
      </c>
      <c r="G175" s="42">
        <f t="shared" si="79"/>
        <v>6877749</v>
      </c>
      <c r="H175" s="42">
        <f t="shared" si="79"/>
        <v>0</v>
      </c>
      <c r="I175" s="42">
        <f t="shared" si="79"/>
        <v>0</v>
      </c>
      <c r="J175" s="42">
        <f t="shared" si="79"/>
        <v>0</v>
      </c>
      <c r="K175" s="42">
        <f t="shared" si="79"/>
        <v>0</v>
      </c>
      <c r="L175" s="42">
        <f t="shared" si="79"/>
        <v>1905344</v>
      </c>
      <c r="M175" s="42">
        <f t="shared" si="79"/>
        <v>1140980</v>
      </c>
      <c r="N175" s="42">
        <f t="shared" si="79"/>
        <v>62634763</v>
      </c>
      <c r="O175" s="42">
        <f t="shared" si="79"/>
        <v>842541295</v>
      </c>
      <c r="P175" s="42">
        <f t="shared" si="79"/>
        <v>835162731</v>
      </c>
      <c r="Q175" s="43">
        <f t="shared" si="79"/>
        <v>176204463</v>
      </c>
      <c r="R175" s="43">
        <f t="shared" si="79"/>
        <v>0</v>
      </c>
      <c r="S175" s="43">
        <f t="shared" si="79"/>
        <v>0</v>
      </c>
      <c r="T175" s="43">
        <f t="shared" si="79"/>
        <v>0</v>
      </c>
      <c r="U175" s="43">
        <f t="shared" si="79"/>
        <v>0</v>
      </c>
      <c r="V175" s="43">
        <f t="shared" si="79"/>
        <v>0</v>
      </c>
      <c r="W175" s="43">
        <f t="shared" si="79"/>
        <v>0</v>
      </c>
      <c r="X175" s="43">
        <f t="shared" si="79"/>
        <v>0</v>
      </c>
      <c r="Y175" s="43">
        <f t="shared" si="79"/>
        <v>0</v>
      </c>
      <c r="Z175" s="43">
        <f t="shared" si="79"/>
        <v>0</v>
      </c>
      <c r="AA175" s="43">
        <f t="shared" si="79"/>
        <v>0</v>
      </c>
      <c r="AB175" s="43">
        <f t="shared" si="79"/>
        <v>0</v>
      </c>
      <c r="AC175" s="43">
        <f t="shared" si="79"/>
        <v>0</v>
      </c>
      <c r="AD175" s="43">
        <f t="shared" si="79"/>
        <v>0</v>
      </c>
      <c r="AE175" s="43">
        <f t="shared" si="79"/>
        <v>0</v>
      </c>
      <c r="AF175" s="43">
        <f t="shared" si="79"/>
        <v>0</v>
      </c>
      <c r="AG175" s="43">
        <f t="shared" si="79"/>
        <v>0</v>
      </c>
      <c r="AH175" s="43">
        <f t="shared" si="79"/>
        <v>0</v>
      </c>
      <c r="AI175" s="43">
        <f t="shared" si="79"/>
        <v>0</v>
      </c>
      <c r="AJ175" s="43">
        <f t="shared" si="79"/>
        <v>0</v>
      </c>
      <c r="AK175" s="43">
        <f t="shared" si="79"/>
        <v>0</v>
      </c>
      <c r="AL175" s="43">
        <f t="shared" si="79"/>
        <v>0</v>
      </c>
      <c r="AM175" s="43">
        <f t="shared" si="79"/>
        <v>0</v>
      </c>
      <c r="AN175" s="43">
        <f t="shared" si="79"/>
        <v>0</v>
      </c>
      <c r="AO175" s="43">
        <f t="shared" si="79"/>
        <v>0</v>
      </c>
      <c r="AP175" s="43">
        <f t="shared" si="79"/>
        <v>0</v>
      </c>
      <c r="AQ175" s="43"/>
    </row>
    <row r="177" spans="1:43" ht="12" thickBot="1">
      <c r="A177" s="245" t="s">
        <v>386</v>
      </c>
    </row>
    <row r="178" spans="1:43" ht="12" thickBot="1">
      <c r="A178" s="270"/>
      <c r="B178" s="263">
        <v>2010</v>
      </c>
      <c r="C178" s="263">
        <v>2011</v>
      </c>
      <c r="D178" s="263">
        <v>2012</v>
      </c>
      <c r="E178" s="263">
        <v>2013</v>
      </c>
      <c r="F178" s="263">
        <v>2014</v>
      </c>
      <c r="G178" s="263">
        <v>2015</v>
      </c>
      <c r="H178" s="263">
        <v>2016</v>
      </c>
      <c r="I178" s="263">
        <v>2017</v>
      </c>
      <c r="J178" s="263">
        <v>2018</v>
      </c>
      <c r="K178" s="263">
        <v>2019</v>
      </c>
      <c r="L178" s="263">
        <v>2020</v>
      </c>
      <c r="M178" s="263">
        <v>2021</v>
      </c>
      <c r="N178" s="263">
        <v>2022</v>
      </c>
      <c r="O178" s="263">
        <v>2023</v>
      </c>
      <c r="P178" s="263">
        <v>2024</v>
      </c>
      <c r="Q178" s="263">
        <v>2025</v>
      </c>
      <c r="R178" s="263">
        <v>2026</v>
      </c>
      <c r="S178" s="263">
        <v>2027</v>
      </c>
      <c r="T178" s="263">
        <v>2028</v>
      </c>
      <c r="U178" s="263">
        <v>2029</v>
      </c>
      <c r="V178" s="263">
        <v>2030</v>
      </c>
      <c r="W178" s="263">
        <v>2031</v>
      </c>
      <c r="X178" s="263">
        <v>2032</v>
      </c>
      <c r="Y178" s="263">
        <v>2033</v>
      </c>
      <c r="Z178" s="263">
        <v>2034</v>
      </c>
      <c r="AA178" s="263">
        <v>2035</v>
      </c>
      <c r="AB178" s="263">
        <v>2036</v>
      </c>
      <c r="AC178" s="263">
        <v>2037</v>
      </c>
      <c r="AD178" s="263">
        <v>2038</v>
      </c>
      <c r="AE178" s="263">
        <v>2039</v>
      </c>
      <c r="AF178" s="263">
        <v>2040</v>
      </c>
      <c r="AG178" s="263">
        <v>2041</v>
      </c>
      <c r="AH178" s="263">
        <v>2042</v>
      </c>
      <c r="AI178" s="263">
        <v>2043</v>
      </c>
      <c r="AJ178" s="263">
        <v>2044</v>
      </c>
      <c r="AK178" s="263">
        <v>2045</v>
      </c>
      <c r="AL178" s="263">
        <v>2046</v>
      </c>
      <c r="AM178" s="263">
        <v>2047</v>
      </c>
      <c r="AN178" s="263">
        <v>2048</v>
      </c>
      <c r="AO178" s="263">
        <v>2049</v>
      </c>
      <c r="AP178" s="263">
        <v>2050</v>
      </c>
      <c r="AQ178" s="245"/>
    </row>
    <row r="179" spans="1:43">
      <c r="A179" s="40" t="s">
        <v>43</v>
      </c>
      <c r="B179" s="42">
        <f>'Monthly D4 RIN Data'!$U4</f>
        <v>0</v>
      </c>
      <c r="C179" s="42">
        <f>'Monthly D4 RIN Data'!$U16</f>
        <v>3293041</v>
      </c>
      <c r="D179" s="42">
        <f>'Monthly D4 RIN Data'!$U28</f>
        <v>6266146</v>
      </c>
      <c r="E179" s="42">
        <f>'Monthly D4 RIN Data'!$U40</f>
        <v>444840</v>
      </c>
      <c r="F179" s="42">
        <f>'Monthly D4 RIN Data'!$U52</f>
        <v>16088139</v>
      </c>
      <c r="G179" s="42">
        <f>'Monthly D4 RIN Data'!$U64</f>
        <v>28942328</v>
      </c>
      <c r="H179" s="42">
        <f>'Monthly D4 RIN Data'!$U76</f>
        <v>19588815</v>
      </c>
      <c r="I179" s="42">
        <f>'Monthly D4 RIN Data'!$U88</f>
        <v>30788600</v>
      </c>
      <c r="J179" s="42">
        <f>'Monthly D4 RIN Data'!$U100</f>
        <v>22710110</v>
      </c>
      <c r="K179" s="42">
        <f>'Monthly D4 RIN Data'!$U112</f>
        <v>56959337</v>
      </c>
      <c r="L179" s="42">
        <f>'Monthly D4 RIN Data'!$U124</f>
        <v>64314791</v>
      </c>
      <c r="M179" s="42">
        <f>'Monthly D4 RIN Data'!$U136</f>
        <v>70841221</v>
      </c>
      <c r="N179" s="42">
        <f>'Monthly D4 RIN Data'!$U148</f>
        <v>141082518</v>
      </c>
      <c r="O179" s="42">
        <f>'Monthly D4 RIN Data'!$U160</f>
        <v>195805071</v>
      </c>
      <c r="P179" s="42">
        <f>'Monthly D4 RIN Data'!$U172</f>
        <v>300272904</v>
      </c>
      <c r="Q179" s="42">
        <f>'Monthly D4 RIN Data'!$U184</f>
        <v>299000986</v>
      </c>
      <c r="R179" s="43">
        <f>'D4 Gallon Forecast'!R181*AVERAGE('D4 RIN Forecast'!$BB$11:$BF$11)</f>
        <v>284518162.87384647</v>
      </c>
      <c r="S179" s="43">
        <f>'D4 Gallon Forecast'!S181*AVERAGE('D4 RIN Forecast'!$BB$11:$BF$11)</f>
        <v>312992356.73017842</v>
      </c>
      <c r="T179" s="43">
        <f>'D4 Gallon Forecast'!T181*AVERAGE('D4 RIN Forecast'!$BB$11:$BF$11)</f>
        <v>318755468.3099404</v>
      </c>
      <c r="U179" s="43">
        <f>'D4 Gallon Forecast'!U181*AVERAGE('D4 RIN Forecast'!$BB$11:$BF$11)</f>
        <v>320636550.58037251</v>
      </c>
      <c r="V179" s="43">
        <f>'D4 Gallon Forecast'!V181*AVERAGE('D4 RIN Forecast'!BI$11:BM$11)</f>
        <v>335726096.22822291</v>
      </c>
      <c r="W179" s="43">
        <f>'D4 Gallon Forecast'!W181*AVERAGE('D4 RIN Forecast'!BJ$11:BN$11)</f>
        <v>364495472.33174974</v>
      </c>
      <c r="X179" s="43">
        <f>'D4 Gallon Forecast'!X181*AVERAGE('D4 RIN Forecast'!BK$11:BO$11)</f>
        <v>432920617.5482977</v>
      </c>
      <c r="Y179" s="43">
        <f>'D4 Gallon Forecast'!Y181*AVERAGE('D4 RIN Forecast'!BL$11:BP$11)</f>
        <v>430337213.54968166</v>
      </c>
      <c r="Z179" s="43">
        <f>'D4 Gallon Forecast'!Z181*AVERAGE('D4 RIN Forecast'!BM$11:BQ$11)</f>
        <v>417360825.27878696</v>
      </c>
      <c r="AA179" s="43">
        <f>'D4 Gallon Forecast'!AA181*AVERAGE('D4 RIN Forecast'!BN$11:BR$11)</f>
        <v>442161013.3190605</v>
      </c>
      <c r="AB179" s="43">
        <f>'D4 Gallon Forecast'!AB181*AVERAGE('D4 RIN Forecast'!BO$11:BS$11)</f>
        <v>479340188.45108694</v>
      </c>
      <c r="AC179" s="43">
        <f>'D4 Gallon Forecast'!AC181*AVERAGE('D4 RIN Forecast'!BP$11:BT$11)</f>
        <v>546307959.76246548</v>
      </c>
      <c r="AD179" s="43">
        <f>'D4 Gallon Forecast'!AD181*AVERAGE('D4 RIN Forecast'!BQ$11:BU$11)</f>
        <v>602645878.31262314</v>
      </c>
      <c r="AE179" s="43">
        <f>'D4 Gallon Forecast'!AE181*AVERAGE('D4 RIN Forecast'!BR$11:BV$11)</f>
        <v>603034717.4486202</v>
      </c>
      <c r="AF179" s="43">
        <f>'D4 Gallon Forecast'!AF181*AVERAGE('D4 RIN Forecast'!BS$11:BW$11)</f>
        <v>527847597.96118855</v>
      </c>
      <c r="AG179" s="43">
        <f>'D4 Gallon Forecast'!AG181*AVERAGE('D4 RIN Forecast'!BT$11:BX$11)</f>
        <v>559449450.66793716</v>
      </c>
      <c r="AH179" s="43">
        <f>'D4 Gallon Forecast'!AH181*AVERAGE('D4 RIN Forecast'!BU$11:BY$11)</f>
        <v>591481005.76157093</v>
      </c>
      <c r="AI179" s="43">
        <f>'D4 Gallon Forecast'!AI181*AVERAGE('D4 RIN Forecast'!BV$11:BZ$11)</f>
        <v>642884769.39453018</v>
      </c>
      <c r="AJ179" s="43">
        <f>'D4 Gallon Forecast'!AJ181*AVERAGE('D4 RIN Forecast'!BW$11:CA$11)</f>
        <v>655579873.25387108</v>
      </c>
      <c r="AK179" s="43">
        <f>'D4 Gallon Forecast'!AK181*AVERAGE('D4 RIN Forecast'!BX$11:CB$11)</f>
        <v>651764087.96872294</v>
      </c>
      <c r="AL179" s="43">
        <f>'D4 Gallon Forecast'!AL181*AVERAGE('D4 RIN Forecast'!BY$11:CC$11)</f>
        <v>620127893.24425793</v>
      </c>
      <c r="AM179" s="43">
        <f>'D4 Gallon Forecast'!AM181*AVERAGE('D4 RIN Forecast'!BZ$11:CD$11)</f>
        <v>646913428.15483916</v>
      </c>
      <c r="AN179" s="43">
        <f>'D4 Gallon Forecast'!AN181*AVERAGE('D4 RIN Forecast'!CA$11:CE$11)</f>
        <v>670077153.83783174</v>
      </c>
      <c r="AO179" s="43">
        <f>'D4 Gallon Forecast'!AO181*AVERAGE('D4 RIN Forecast'!CB$11:CF$11)</f>
        <v>694308563.39180601</v>
      </c>
      <c r="AP179" s="43">
        <f>'D4 Gallon Forecast'!AP181*AVERAGE('D4 RIN Forecast'!CC$11:CG$11)</f>
        <v>725152741.09101117</v>
      </c>
      <c r="AQ179" s="43"/>
    </row>
    <row r="180" spans="1:43">
      <c r="A180" s="40" t="s">
        <v>44</v>
      </c>
      <c r="B180" s="42">
        <f>'Monthly D4 RIN Data'!$U5</f>
        <v>0</v>
      </c>
      <c r="C180" s="42">
        <f>'Monthly D4 RIN Data'!$U17</f>
        <v>0</v>
      </c>
      <c r="D180" s="42">
        <f>'Monthly D4 RIN Data'!$U29</f>
        <v>2460578</v>
      </c>
      <c r="E180" s="42">
        <f>'Monthly D4 RIN Data'!$U41</f>
        <v>357767</v>
      </c>
      <c r="F180" s="42">
        <f>'Monthly D4 RIN Data'!$U53</f>
        <v>18494314</v>
      </c>
      <c r="G180" s="42">
        <f>'Monthly D4 RIN Data'!$U65</f>
        <v>21645716</v>
      </c>
      <c r="H180" s="42">
        <f>'Monthly D4 RIN Data'!$U77</f>
        <v>11989385</v>
      </c>
      <c r="I180" s="42">
        <f>'Monthly D4 RIN Data'!$U89</f>
        <v>35164747</v>
      </c>
      <c r="J180" s="42">
        <f>'Monthly D4 RIN Data'!$U101</f>
        <v>34279817</v>
      </c>
      <c r="K180" s="42">
        <f>'Monthly D4 RIN Data'!$U113</f>
        <v>64303583</v>
      </c>
      <c r="L180" s="42">
        <f>'Monthly D4 RIN Data'!$U125</f>
        <v>57711396</v>
      </c>
      <c r="M180" s="42">
        <f>'Monthly D4 RIN Data'!$U137</f>
        <v>79379488</v>
      </c>
      <c r="N180" s="42">
        <f>'Monthly D4 RIN Data'!$U149</f>
        <v>163731465</v>
      </c>
      <c r="O180" s="42">
        <f>'Monthly D4 RIN Data'!$U161</f>
        <v>189289150</v>
      </c>
      <c r="P180" s="42">
        <f>'Monthly D4 RIN Data'!$U173</f>
        <v>307144284</v>
      </c>
      <c r="Q180" s="42">
        <f>'Monthly D4 RIN Data'!$U185</f>
        <v>244636287</v>
      </c>
      <c r="R180" s="43">
        <f>'D4 Gallon Forecast'!R182*AVERAGE('D4 RIN Forecast'!$BB$11:$BF$11)</f>
        <v>313738612.88221025</v>
      </c>
      <c r="S180" s="43">
        <f>'D4 Gallon Forecast'!S182*AVERAGE('D4 RIN Forecast'!$BB$11:$BF$11)</f>
        <v>345137149.94989747</v>
      </c>
      <c r="T180" s="43">
        <f>'D4 Gallon Forecast'!T182*AVERAGE('D4 RIN Forecast'!$BB$11:$BF$11)</f>
        <v>351492141.89366883</v>
      </c>
      <c r="U180" s="43">
        <f>'D4 Gallon Forecast'!U182*AVERAGE('D4 RIN Forecast'!$BB$11:$BF$11)</f>
        <v>353566414.18715459</v>
      </c>
      <c r="V180" s="43">
        <f>'D4 Gallon Forecast'!V182*AVERAGE('D4 RIN Forecast'!BI$11:BM$11)</f>
        <v>370205679.22654849</v>
      </c>
      <c r="W180" s="43">
        <f>'D4 Gallon Forecast'!W182*AVERAGE('D4 RIN Forecast'!BJ$11:BN$11)</f>
        <v>401929714.20919114</v>
      </c>
      <c r="X180" s="43">
        <f>'D4 Gallon Forecast'!X182*AVERAGE('D4 RIN Forecast'!BK$11:BO$11)</f>
        <v>477382226.37806147</v>
      </c>
      <c r="Y180" s="43">
        <f>'D4 Gallon Forecast'!Y182*AVERAGE('D4 RIN Forecast'!BL$11:BP$11)</f>
        <v>474533502.84191412</v>
      </c>
      <c r="Z180" s="43">
        <f>'D4 Gallon Forecast'!Z182*AVERAGE('D4 RIN Forecast'!BM$11:BQ$11)</f>
        <v>460224419.67052931</v>
      </c>
      <c r="AA180" s="43">
        <f>'D4 Gallon Forecast'!AA182*AVERAGE('D4 RIN Forecast'!BN$11:BR$11)</f>
        <v>487571624.91177547</v>
      </c>
      <c r="AB180" s="43">
        <f>'D4 Gallon Forecast'!AB182*AVERAGE('D4 RIN Forecast'!BO$11:BS$11)</f>
        <v>528569158.13146925</v>
      </c>
      <c r="AC180" s="43">
        <f>'D4 Gallon Forecast'!AC182*AVERAGE('D4 RIN Forecast'!BP$11:BT$11)</f>
        <v>602414621.86856234</v>
      </c>
      <c r="AD180" s="43">
        <f>'D4 Gallon Forecast'!AD182*AVERAGE('D4 RIN Forecast'!BQ$11:BU$11)</f>
        <v>664538530.72577846</v>
      </c>
      <c r="AE180" s="43">
        <f>'D4 Gallon Forecast'!AE182*AVERAGE('D4 RIN Forecast'!BR$11:BV$11)</f>
        <v>664967304.23510301</v>
      </c>
      <c r="AF180" s="43">
        <f>'D4 Gallon Forecast'!AF182*AVERAGE('D4 RIN Forecast'!BS$11:BW$11)</f>
        <v>582058352.70691884</v>
      </c>
      <c r="AG180" s="43">
        <f>'D4 Gallon Forecast'!AG182*AVERAGE('D4 RIN Forecast'!BT$11:BX$11)</f>
        <v>616905763.96733558</v>
      </c>
      <c r="AH180" s="43">
        <f>'D4 Gallon Forecast'!AH182*AVERAGE('D4 RIN Forecast'!BU$11:BY$11)</f>
        <v>652227008.70626175</v>
      </c>
      <c r="AI180" s="43">
        <f>'D4 Gallon Forecast'!AI182*AVERAGE('D4 RIN Forecast'!BV$11:BZ$11)</f>
        <v>708910017.3979789</v>
      </c>
      <c r="AJ180" s="43">
        <f>'D4 Gallon Forecast'!AJ182*AVERAGE('D4 RIN Forecast'!BW$11:CA$11)</f>
        <v>722908927.81900263</v>
      </c>
      <c r="AK180" s="43">
        <f>'D4 Gallon Forecast'!AK182*AVERAGE('D4 RIN Forecast'!BX$11:CB$11)</f>
        <v>718701255.55538857</v>
      </c>
      <c r="AL180" s="43">
        <f>'D4 Gallon Forecast'!AL182*AVERAGE('D4 RIN Forecast'!BY$11:CC$11)</f>
        <v>683815975.29956841</v>
      </c>
      <c r="AM180" s="43">
        <f>'D4 Gallon Forecast'!AM182*AVERAGE('D4 RIN Forecast'!BZ$11:CD$11)</f>
        <v>713352425.56787682</v>
      </c>
      <c r="AN180" s="43">
        <f>'D4 Gallon Forecast'!AN182*AVERAGE('D4 RIN Forecast'!CA$11:CE$11)</f>
        <v>738895101.26759434</v>
      </c>
      <c r="AO180" s="43">
        <f>'D4 Gallon Forecast'!AO182*AVERAGE('D4 RIN Forecast'!CB$11:CF$11)</f>
        <v>765615113.60303009</v>
      </c>
      <c r="AP180" s="43">
        <f>'D4 Gallon Forecast'!AP182*AVERAGE('D4 RIN Forecast'!CC$11:CG$11)</f>
        <v>799627035.47506785</v>
      </c>
      <c r="AQ180" s="43"/>
    </row>
    <row r="181" spans="1:43">
      <c r="A181" s="40" t="s">
        <v>45</v>
      </c>
      <c r="B181" s="42">
        <f>'Monthly D4 RIN Data'!$U6</f>
        <v>0</v>
      </c>
      <c r="C181" s="42">
        <f>'Monthly D4 RIN Data'!$U18</f>
        <v>2773285</v>
      </c>
      <c r="D181" s="42">
        <f>'Monthly D4 RIN Data'!$U30</f>
        <v>6187504</v>
      </c>
      <c r="E181" s="42">
        <f>'Monthly D4 RIN Data'!$U42</f>
        <v>882324</v>
      </c>
      <c r="F181" s="42">
        <f>'Monthly D4 RIN Data'!$U54</f>
        <v>22203978</v>
      </c>
      <c r="G181" s="42">
        <f>'Monthly D4 RIN Data'!$U66</f>
        <v>25202030</v>
      </c>
      <c r="H181" s="42">
        <f>'Monthly D4 RIN Data'!$U78</f>
        <v>29701327</v>
      </c>
      <c r="I181" s="42">
        <f>'Monthly D4 RIN Data'!$U90</f>
        <v>26177755</v>
      </c>
      <c r="J181" s="42">
        <f>'Monthly D4 RIN Data'!$U102</f>
        <v>38753250</v>
      </c>
      <c r="K181" s="42">
        <f>'Monthly D4 RIN Data'!$U114</f>
        <v>55870618</v>
      </c>
      <c r="L181" s="42">
        <f>'Monthly D4 RIN Data'!$U126</f>
        <v>70696877</v>
      </c>
      <c r="M181" s="42">
        <f>'Monthly D4 RIN Data'!$U138</f>
        <v>93765137</v>
      </c>
      <c r="N181" s="42">
        <f>'Monthly D4 RIN Data'!$U150</f>
        <v>178551482</v>
      </c>
      <c r="O181" s="42">
        <f>'Monthly D4 RIN Data'!$U162</f>
        <v>235381292</v>
      </c>
      <c r="P181" s="42">
        <f>'Monthly D4 RIN Data'!$U174</f>
        <v>280296066</v>
      </c>
      <c r="Q181" s="42">
        <f>'Monthly D4 RIN Data'!$U186</f>
        <v>316764882</v>
      </c>
      <c r="R181" s="43">
        <f>'D4 Gallon Forecast'!R183*AVERAGE('D4 RIN Forecast'!$BB$11:$BF$11)</f>
        <v>330447951.18382019</v>
      </c>
      <c r="S181" s="43">
        <f>'D4 Gallon Forecast'!S183*AVERAGE('D4 RIN Forecast'!$BB$11:$BF$11)</f>
        <v>363518736.28377813</v>
      </c>
      <c r="T181" s="43">
        <f>'D4 Gallon Forecast'!T183*AVERAGE('D4 RIN Forecast'!$BB$11:$BF$11)</f>
        <v>370212187.39684641</v>
      </c>
      <c r="U181" s="43">
        <f>'D4 Gallon Forecast'!U183*AVERAGE('D4 RIN Forecast'!$BB$11:$BF$11)</f>
        <v>372396932.91886824</v>
      </c>
      <c r="V181" s="43">
        <f>'D4 Gallon Forecast'!V183*AVERAGE('D4 RIN Forecast'!BI$11:BM$11)</f>
        <v>389922385.04909933</v>
      </c>
      <c r="W181" s="43">
        <f>'D4 Gallon Forecast'!W183*AVERAGE('D4 RIN Forecast'!BJ$11:BN$11)</f>
        <v>423336003.68849158</v>
      </c>
      <c r="X181" s="43">
        <f>'D4 Gallon Forecast'!X183*AVERAGE('D4 RIN Forecast'!BK$11:BO$11)</f>
        <v>502807025.21441495</v>
      </c>
      <c r="Y181" s="43">
        <f>'D4 Gallon Forecast'!Y183*AVERAGE('D4 RIN Forecast'!BL$11:BP$11)</f>
        <v>499806582.11510646</v>
      </c>
      <c r="Z181" s="43">
        <f>'D4 Gallon Forecast'!Z183*AVERAGE('D4 RIN Forecast'!BM$11:BQ$11)</f>
        <v>484735414.51522231</v>
      </c>
      <c r="AA181" s="43">
        <f>'D4 Gallon Forecast'!AA183*AVERAGE('D4 RIN Forecast'!BN$11:BR$11)</f>
        <v>513539098.76548076</v>
      </c>
      <c r="AB181" s="43">
        <f>'D4 Gallon Forecast'!AB183*AVERAGE('D4 RIN Forecast'!BO$11:BS$11)</f>
        <v>556720110.91945696</v>
      </c>
      <c r="AC181" s="43">
        <f>'D4 Gallon Forecast'!AC183*AVERAGE('D4 RIN Forecast'!BP$11:BT$11)</f>
        <v>634498494.56171215</v>
      </c>
      <c r="AD181" s="43">
        <f>'D4 Gallon Forecast'!AD183*AVERAGE('D4 RIN Forecast'!BQ$11:BU$11)</f>
        <v>699931047.51656544</v>
      </c>
      <c r="AE181" s="43">
        <f>'D4 Gallon Forecast'!AE183*AVERAGE('D4 RIN Forecast'!BR$11:BV$11)</f>
        <v>700382656.98336518</v>
      </c>
      <c r="AF181" s="43">
        <f>'D4 Gallon Forecast'!AF183*AVERAGE('D4 RIN Forecast'!BS$11:BW$11)</f>
        <v>613058075.17432559</v>
      </c>
      <c r="AG181" s="43">
        <f>'D4 Gallon Forecast'!AG183*AVERAGE('D4 RIN Forecast'!BT$11:BX$11)</f>
        <v>649761417.32682002</v>
      </c>
      <c r="AH181" s="43">
        <f>'D4 Gallon Forecast'!AH183*AVERAGE('D4 RIN Forecast'!BU$11:BY$11)</f>
        <v>686963828.75464916</v>
      </c>
      <c r="AI181" s="43">
        <f>'D4 Gallon Forecast'!AI183*AVERAGE('D4 RIN Forecast'!BV$11:BZ$11)</f>
        <v>746665705.79502761</v>
      </c>
      <c r="AJ181" s="43">
        <f>'D4 Gallon Forecast'!AJ183*AVERAGE('D4 RIN Forecast'!BW$11:CA$11)</f>
        <v>761410181.21976554</v>
      </c>
      <c r="AK181" s="43">
        <f>'D4 Gallon Forecast'!AK183*AVERAGE('D4 RIN Forecast'!BX$11:CB$11)</f>
        <v>756978413.43067837</v>
      </c>
      <c r="AL181" s="43">
        <f>'D4 Gallon Forecast'!AL183*AVERAGE('D4 RIN Forecast'!BY$11:CC$11)</f>
        <v>720235185.42597926</v>
      </c>
      <c r="AM181" s="43">
        <f>'D4 Gallon Forecast'!AM183*AVERAGE('D4 RIN Forecast'!BZ$11:CD$11)</f>
        <v>751344711.24029028</v>
      </c>
      <c r="AN181" s="43">
        <f>'D4 Gallon Forecast'!AN183*AVERAGE('D4 RIN Forecast'!CA$11:CE$11)</f>
        <v>778247758.89255154</v>
      </c>
      <c r="AO181" s="43">
        <f>'D4 Gallon Forecast'!AO183*AVERAGE('D4 RIN Forecast'!CB$11:CF$11)</f>
        <v>806390846.70293236</v>
      </c>
      <c r="AP181" s="43">
        <f>'D4 Gallon Forecast'!AP183*AVERAGE('D4 RIN Forecast'!CC$11:CG$11)</f>
        <v>842214202.31475401</v>
      </c>
      <c r="AQ181" s="43"/>
    </row>
    <row r="182" spans="1:43">
      <c r="A182" s="40" t="s">
        <v>46</v>
      </c>
      <c r="B182" s="42">
        <f>'Monthly D4 RIN Data'!$U7</f>
        <v>0</v>
      </c>
      <c r="C182" s="42">
        <f>'Monthly D4 RIN Data'!$U19</f>
        <v>2202989</v>
      </c>
      <c r="D182" s="42">
        <f>'Monthly D4 RIN Data'!$U31</f>
        <v>2014593</v>
      </c>
      <c r="E182" s="42">
        <f>'Monthly D4 RIN Data'!$U43</f>
        <v>573921</v>
      </c>
      <c r="F182" s="42">
        <f>'Monthly D4 RIN Data'!$U55</f>
        <v>20080845</v>
      </c>
      <c r="G182" s="42">
        <f>'Monthly D4 RIN Data'!$U67</f>
        <v>24739723</v>
      </c>
      <c r="H182" s="42">
        <f>'Monthly D4 RIN Data'!$U79</f>
        <v>35465627</v>
      </c>
      <c r="I182" s="42">
        <f>'Monthly D4 RIN Data'!$U91</f>
        <v>34115887</v>
      </c>
      <c r="J182" s="42">
        <f>'Monthly D4 RIN Data'!$U103</f>
        <v>42024462</v>
      </c>
      <c r="K182" s="42">
        <f>'Monthly D4 RIN Data'!$U115</f>
        <v>60455021</v>
      </c>
      <c r="L182" s="42">
        <f>'Monthly D4 RIN Data'!$U127</f>
        <v>59498077</v>
      </c>
      <c r="M182" s="42">
        <f>'Monthly D4 RIN Data'!$U139</f>
        <v>80883480</v>
      </c>
      <c r="N182" s="42">
        <f>'Monthly D4 RIN Data'!$U151</f>
        <v>172020044</v>
      </c>
      <c r="O182" s="42">
        <f>'Monthly D4 RIN Data'!$U163</f>
        <v>230428408</v>
      </c>
      <c r="P182" s="42">
        <f>'Monthly D4 RIN Data'!$U175</f>
        <v>385296385</v>
      </c>
      <c r="Q182" s="43">
        <f>'D4 Gallon Forecast'!Q184*AVERAGE('D4 RIN Forecast'!$BB$11:$BF$11)</f>
        <v>335795818.51513767</v>
      </c>
      <c r="R182" s="43">
        <f>'D4 Gallon Forecast'!R184*AVERAGE('D4 RIN Forecast'!$BB$11:$BF$11)</f>
        <v>320848683.6426903</v>
      </c>
      <c r="S182" s="43">
        <f>'D4 Gallon Forecast'!S184*AVERAGE('D4 RIN Forecast'!$BB$11:$BF$11)</f>
        <v>352958786.99887455</v>
      </c>
      <c r="T182" s="43">
        <f>'D4 Gallon Forecast'!T184*AVERAGE('D4 RIN Forecast'!$BB$11:$BF$11)</f>
        <v>359457798.3286801</v>
      </c>
      <c r="U182" s="43">
        <f>'D4 Gallon Forecast'!U184*AVERAGE('D4 RIN Forecast'!$BB$11:$BF$11)</f>
        <v>361579078.61601043</v>
      </c>
      <c r="V182" s="43">
        <f>'D4 Gallon Forecast'!V184*AVERAGE('D4 RIN Forecast'!BI$11:BM$11)</f>
        <v>378595429.3789168</v>
      </c>
      <c r="W182" s="43">
        <f>'D4 Gallon Forecast'!W184*AVERAGE('D4 RIN Forecast'!BJ$11:BN$11)</f>
        <v>411038407.21485496</v>
      </c>
      <c r="X182" s="43">
        <f>'D4 Gallon Forecast'!X184*AVERAGE('D4 RIN Forecast'!BK$11:BO$11)</f>
        <v>488200854.59268242</v>
      </c>
      <c r="Y182" s="43">
        <f>'D4 Gallon Forecast'!Y184*AVERAGE('D4 RIN Forecast'!BL$11:BP$11)</f>
        <v>485287572.13682485</v>
      </c>
      <c r="Z182" s="43">
        <f>'D4 Gallon Forecast'!Z184*AVERAGE('D4 RIN Forecast'!BM$11:BQ$11)</f>
        <v>470654210.76158267</v>
      </c>
      <c r="AA182" s="43">
        <f>'D4 Gallon Forecast'!AA184*AVERAGE('D4 RIN Forecast'!BN$11:BR$11)</f>
        <v>498621169.37835497</v>
      </c>
      <c r="AB182" s="43">
        <f>'D4 Gallon Forecast'!AB184*AVERAGE('D4 RIN Forecast'!BO$11:BS$11)</f>
        <v>540547805.20202613</v>
      </c>
      <c r="AC182" s="43">
        <f>'D4 Gallon Forecast'!AC184*AVERAGE('D4 RIN Forecast'!BP$11:BT$11)</f>
        <v>616066784.56949627</v>
      </c>
      <c r="AD182" s="43">
        <f>'D4 Gallon Forecast'!AD184*AVERAGE('D4 RIN Forecast'!BQ$11:BU$11)</f>
        <v>679598570.46114767</v>
      </c>
      <c r="AE182" s="43">
        <f>'D4 Gallon Forecast'!AE184*AVERAGE('D4 RIN Forecast'!BR$11:BV$11)</f>
        <v>680037061.00837052</v>
      </c>
      <c r="AF182" s="43">
        <f>'D4 Gallon Forecast'!AF184*AVERAGE('D4 RIN Forecast'!BS$11:BW$11)</f>
        <v>595249193.44040656</v>
      </c>
      <c r="AG182" s="43">
        <f>'D4 Gallon Forecast'!AG184*AVERAGE('D4 RIN Forecast'!BT$11:BX$11)</f>
        <v>630886330.76483881</v>
      </c>
      <c r="AH182" s="43">
        <f>'D4 Gallon Forecast'!AH184*AVERAGE('D4 RIN Forecast'!BU$11:BY$11)</f>
        <v>667008039.77284205</v>
      </c>
      <c r="AI182" s="43">
        <f>'D4 Gallon Forecast'!AI184*AVERAGE('D4 RIN Forecast'!BV$11:BZ$11)</f>
        <v>724975621.628865</v>
      </c>
      <c r="AJ182" s="43">
        <f>'D4 Gallon Forecast'!AJ184*AVERAGE('D4 RIN Forecast'!BW$11:CA$11)</f>
        <v>739291780.99399769</v>
      </c>
      <c r="AK182" s="43">
        <f>'D4 Gallon Forecast'!AK184*AVERAGE('D4 RIN Forecast'!BX$11:CB$11)</f>
        <v>734988752.76748061</v>
      </c>
      <c r="AL182" s="43">
        <f>'D4 Gallon Forecast'!AL184*AVERAGE('D4 RIN Forecast'!BY$11:CC$11)</f>
        <v>699312888.24522483</v>
      </c>
      <c r="AM182" s="43">
        <f>'D4 Gallon Forecast'!AM184*AVERAGE('D4 RIN Forecast'!BZ$11:CD$11)</f>
        <v>729518705.44128168</v>
      </c>
      <c r="AN182" s="43">
        <f>'D4 Gallon Forecast'!AN184*AVERAGE('D4 RIN Forecast'!CA$11:CE$11)</f>
        <v>755640239.54152763</v>
      </c>
      <c r="AO182" s="43">
        <f>'D4 Gallon Forecast'!AO184*AVERAGE('D4 RIN Forecast'!CB$11:CF$11)</f>
        <v>782965791.55434179</v>
      </c>
      <c r="AP182" s="43">
        <f>'D4 Gallon Forecast'!AP184*AVERAGE('D4 RIN Forecast'!CC$11:CG$11)</f>
        <v>817748505.29349637</v>
      </c>
      <c r="AQ182" s="43"/>
    </row>
    <row r="183" spans="1:43">
      <c r="A183" s="40" t="s">
        <v>47</v>
      </c>
      <c r="B183" s="42">
        <f>'Monthly D4 RIN Data'!$U8</f>
        <v>0</v>
      </c>
      <c r="C183" s="42">
        <f>'Monthly D4 RIN Data'!$U20</f>
        <v>3948915</v>
      </c>
      <c r="D183" s="42">
        <f>'Monthly D4 RIN Data'!$U32</f>
        <v>1302167</v>
      </c>
      <c r="E183" s="42">
        <f>'Monthly D4 RIN Data'!$U44</f>
        <v>444341</v>
      </c>
      <c r="F183" s="42">
        <f>'Monthly D4 RIN Data'!$U56</f>
        <v>24782756</v>
      </c>
      <c r="G183" s="42">
        <f>'Monthly D4 RIN Data'!$U68</f>
        <v>25198204</v>
      </c>
      <c r="H183" s="42">
        <f>'Monthly D4 RIN Data'!$U80</f>
        <v>36761498</v>
      </c>
      <c r="I183" s="42">
        <f>'Monthly D4 RIN Data'!$U92</f>
        <v>40843230</v>
      </c>
      <c r="J183" s="42">
        <f>'Monthly D4 RIN Data'!$U104</f>
        <v>35832660</v>
      </c>
      <c r="K183" s="42">
        <f>'Monthly D4 RIN Data'!$U116</f>
        <v>62754896</v>
      </c>
      <c r="L183" s="42">
        <f>'Monthly D4 RIN Data'!$U128</f>
        <v>71680658</v>
      </c>
      <c r="M183" s="42">
        <f>'Monthly D4 RIN Data'!$U140</f>
        <v>98298018</v>
      </c>
      <c r="N183" s="42">
        <f>'Monthly D4 RIN Data'!$U152</f>
        <v>216567060</v>
      </c>
      <c r="O183" s="42">
        <f>'Monthly D4 RIN Data'!$U164</f>
        <v>285104880</v>
      </c>
      <c r="P183" s="42">
        <f>'Monthly D4 RIN Data'!$U176</f>
        <v>368840122</v>
      </c>
      <c r="Q183" s="43">
        <f>'D4 Gallon Forecast'!Q185*AVERAGE('D4 RIN Forecast'!$BB$11:$BF$11)</f>
        <v>329587637.48683691</v>
      </c>
      <c r="R183" s="43">
        <f>'D4 Gallon Forecast'!R185*AVERAGE('D4 RIN Forecast'!$BB$11:$BF$11)</f>
        <v>358418412.90109128</v>
      </c>
      <c r="S183" s="43">
        <f>'D4 Gallon Forecast'!S185*AVERAGE('D4 RIN Forecast'!$BB$11:$BF$11)</f>
        <v>394288444.07076961</v>
      </c>
      <c r="T183" s="43">
        <f>'D4 Gallon Forecast'!T185*AVERAGE('D4 RIN Forecast'!$BB$11:$BF$11)</f>
        <v>401548456.17307627</v>
      </c>
      <c r="U183" s="43">
        <f>'D4 Gallon Forecast'!U185*AVERAGE('D4 RIN Forecast'!$BB$11:$BF$11)</f>
        <v>403918127.46258056</v>
      </c>
      <c r="V183" s="43">
        <f>'D4 Gallon Forecast'!V185*AVERAGE('D4 RIN Forecast'!BI$11:BM$11)</f>
        <v>422927005.30669612</v>
      </c>
      <c r="W183" s="43">
        <f>'D4 Gallon Forecast'!W185*AVERAGE('D4 RIN Forecast'!BJ$11:BN$11)</f>
        <v>459168888.84420758</v>
      </c>
      <c r="X183" s="43">
        <f>'D4 Gallon Forecast'!X185*AVERAGE('D4 RIN Forecast'!BK$11:BO$11)</f>
        <v>545366661.609653</v>
      </c>
      <c r="Y183" s="43">
        <f>'D4 Gallon Forecast'!Y185*AVERAGE('D4 RIN Forecast'!BL$11:BP$11)</f>
        <v>542112248.77458608</v>
      </c>
      <c r="Z183" s="43">
        <f>'D4 Gallon Forecast'!Z185*AVERAGE('D4 RIN Forecast'!BM$11:BQ$11)</f>
        <v>525765396.10878778</v>
      </c>
      <c r="AA183" s="43">
        <f>'D4 Gallon Forecast'!AA185*AVERAGE('D4 RIN Forecast'!BN$11:BR$11)</f>
        <v>557007141.61726236</v>
      </c>
      <c r="AB183" s="43">
        <f>'D4 Gallon Forecast'!AB185*AVERAGE('D4 RIN Forecast'!BO$11:BS$11)</f>
        <v>603843170.67492628</v>
      </c>
      <c r="AC183" s="43">
        <f>'D4 Gallon Forecast'!AC185*AVERAGE('D4 RIN Forecast'!BP$11:BT$11)</f>
        <v>688205033.78589427</v>
      </c>
      <c r="AD183" s="43">
        <f>'D4 Gallon Forecast'!AD185*AVERAGE('D4 RIN Forecast'!BQ$11:BU$11)</f>
        <v>759176064.77013314</v>
      </c>
      <c r="AE183" s="43">
        <f>'D4 Gallon Forecast'!AE185*AVERAGE('D4 RIN Forecast'!BR$11:BV$11)</f>
        <v>759665900.30326807</v>
      </c>
      <c r="AF183" s="43">
        <f>'D4 Gallon Forecast'!AF185*AVERAGE('D4 RIN Forecast'!BS$11:BW$11)</f>
        <v>664949809.89592659</v>
      </c>
      <c r="AG183" s="43">
        <f>'D4 Gallon Forecast'!AG185*AVERAGE('D4 RIN Forecast'!BT$11:BX$11)</f>
        <v>704759872.5558244</v>
      </c>
      <c r="AH183" s="43">
        <f>'D4 Gallon Forecast'!AH185*AVERAGE('D4 RIN Forecast'!BU$11:BY$11)</f>
        <v>745111247.74906504</v>
      </c>
      <c r="AI183" s="43">
        <f>'D4 Gallon Forecast'!AI185*AVERAGE('D4 RIN Forecast'!BV$11:BZ$11)</f>
        <v>809866535.04732168</v>
      </c>
      <c r="AJ183" s="43">
        <f>'D4 Gallon Forecast'!AJ185*AVERAGE('D4 RIN Forecast'!BW$11:CA$11)</f>
        <v>825859042.98045135</v>
      </c>
      <c r="AK183" s="43">
        <f>'D4 Gallon Forecast'!AK185*AVERAGE('D4 RIN Forecast'!BX$11:CB$11)</f>
        <v>821052152.29881656</v>
      </c>
      <c r="AL183" s="43">
        <f>'D4 Gallon Forecast'!AL185*AVERAGE('D4 RIN Forecast'!BY$11:CC$11)</f>
        <v>781198827.68558156</v>
      </c>
      <c r="AM183" s="43">
        <f>'D4 Gallon Forecast'!AM185*AVERAGE('D4 RIN Forecast'!BZ$11:CD$11)</f>
        <v>814941590.58825827</v>
      </c>
      <c r="AN183" s="43">
        <f>'D4 Gallon Forecast'!AN185*AVERAGE('D4 RIN Forecast'!CA$11:CE$11)</f>
        <v>844121821.86880255</v>
      </c>
      <c r="AO183" s="43">
        <f>'D4 Gallon Forecast'!AO185*AVERAGE('D4 RIN Forecast'!CB$11:CF$11)</f>
        <v>874647055.36169112</v>
      </c>
      <c r="AP183" s="43">
        <f>'D4 Gallon Forecast'!AP185*AVERAGE('D4 RIN Forecast'!CC$11:CG$11)</f>
        <v>913502645.83269405</v>
      </c>
      <c r="AQ183" s="43"/>
    </row>
    <row r="184" spans="1:43">
      <c r="A184" s="40" t="s">
        <v>48</v>
      </c>
      <c r="B184" s="42">
        <f>'Monthly D4 RIN Data'!$U9</f>
        <v>0</v>
      </c>
      <c r="C184" s="42">
        <f>'Monthly D4 RIN Data'!$U21</f>
        <v>3746294</v>
      </c>
      <c r="D184" s="42">
        <f>'Monthly D4 RIN Data'!$U33</f>
        <v>3698680</v>
      </c>
      <c r="E184" s="42">
        <f>'Monthly D4 RIN Data'!$U45</f>
        <v>780753</v>
      </c>
      <c r="F184" s="42">
        <f>'Monthly D4 RIN Data'!$U57</f>
        <v>24020817</v>
      </c>
      <c r="G184" s="42">
        <f>'Monthly D4 RIN Data'!$U69</f>
        <v>22738802</v>
      </c>
      <c r="H184" s="42">
        <f>'Monthly D4 RIN Data'!$U81</f>
        <v>37473502</v>
      </c>
      <c r="I184" s="42">
        <f>'Monthly D4 RIN Data'!$U93</f>
        <v>29537654</v>
      </c>
      <c r="J184" s="42">
        <f>'Monthly D4 RIN Data'!$U105</f>
        <v>19470690</v>
      </c>
      <c r="K184" s="42">
        <f>'Monthly D4 RIN Data'!$U117</f>
        <v>63384996</v>
      </c>
      <c r="L184" s="42">
        <f>'Monthly D4 RIN Data'!$U129</f>
        <v>84573736</v>
      </c>
      <c r="M184" s="42">
        <f>'Monthly D4 RIN Data'!$U141</f>
        <v>109918693</v>
      </c>
      <c r="N184" s="42">
        <f>'Monthly D4 RIN Data'!$U153</f>
        <v>189113744</v>
      </c>
      <c r="O184" s="42">
        <f>'Monthly D4 RIN Data'!$U165</f>
        <v>256959307</v>
      </c>
      <c r="P184" s="42">
        <f>'Monthly D4 RIN Data'!$U177</f>
        <v>395230634</v>
      </c>
      <c r="Q184" s="43">
        <f>'D4 Gallon Forecast'!Q186*AVERAGE('D4 RIN Forecast'!$BB$11:$BF$11)</f>
        <v>323527048.47440714</v>
      </c>
      <c r="R184" s="43">
        <f>'D4 Gallon Forecast'!R186*AVERAGE('D4 RIN Forecast'!$BB$11:$BF$11)</f>
        <v>355494932.30008692</v>
      </c>
      <c r="S184" s="43">
        <f>'D4 Gallon Forecast'!S186*AVERAGE('D4 RIN Forecast'!$BB$11:$BF$11)</f>
        <v>391072385.47570193</v>
      </c>
      <c r="T184" s="43">
        <f>'D4 Gallon Forecast'!T186*AVERAGE('D4 RIN Forecast'!$BB$11:$BF$11)</f>
        <v>398273180.46253633</v>
      </c>
      <c r="U184" s="43">
        <f>'D4 Gallon Forecast'!U186*AVERAGE('D4 RIN Forecast'!$BB$11:$BF$11)</f>
        <v>400623523.258313</v>
      </c>
      <c r="V184" s="43">
        <f>'D4 Gallon Forecast'!V186*AVERAGE('D4 RIN Forecast'!BI$11:BM$11)</f>
        <v>419477353.02558917</v>
      </c>
      <c r="W184" s="43">
        <f>'D4 Gallon Forecast'!W186*AVERAGE('D4 RIN Forecast'!BJ$11:BN$11)</f>
        <v>455423625.51285303</v>
      </c>
      <c r="X184" s="43">
        <f>'D4 Gallon Forecast'!X186*AVERAGE('D4 RIN Forecast'!BK$11:BO$11)</f>
        <v>540918316.32865787</v>
      </c>
      <c r="Y184" s="43">
        <f>'D4 Gallon Forecast'!Y186*AVERAGE('D4 RIN Forecast'!BL$11:BP$11)</f>
        <v>537690448.48248816</v>
      </c>
      <c r="Z184" s="43">
        <f>'D4 Gallon Forecast'!Z186*AVERAGE('D4 RIN Forecast'!BM$11:BQ$11)</f>
        <v>521476930.78201455</v>
      </c>
      <c r="AA184" s="43">
        <f>'D4 Gallon Forecast'!AA186*AVERAGE('D4 RIN Forecast'!BN$11:BR$11)</f>
        <v>552463849.43548393</v>
      </c>
      <c r="AB184" s="43">
        <f>'D4 Gallon Forecast'!AB186*AVERAGE('D4 RIN Forecast'!BO$11:BS$11)</f>
        <v>598917855.0885191</v>
      </c>
      <c r="AC184" s="43">
        <f>'D4 Gallon Forecast'!AC186*AVERAGE('D4 RIN Forecast'!BP$11:BT$11)</f>
        <v>682591611.05601406</v>
      </c>
      <c r="AD184" s="43">
        <f>'D4 Gallon Forecast'!AD186*AVERAGE('D4 RIN Forecast'!BQ$11:BU$11)</f>
        <v>752983758.74395037</v>
      </c>
      <c r="AE184" s="43">
        <f>'D4 Gallon Forecast'!AE186*AVERAGE('D4 RIN Forecast'!BR$11:BV$11)</f>
        <v>753469598.87777746</v>
      </c>
      <c r="AF184" s="43">
        <f>'D4 Gallon Forecast'!AF186*AVERAGE('D4 RIN Forecast'!BS$11:BW$11)</f>
        <v>659526071.04797649</v>
      </c>
      <c r="AG184" s="43">
        <f>'D4 Gallon Forecast'!AG186*AVERAGE('D4 RIN Forecast'!BT$11:BX$11)</f>
        <v>699011418.39827585</v>
      </c>
      <c r="AH184" s="43">
        <f>'D4 Gallon Forecast'!AH186*AVERAGE('D4 RIN Forecast'!BU$11:BY$11)</f>
        <v>739033663.00459588</v>
      </c>
      <c r="AI184" s="43">
        <f>'D4 Gallon Forecast'!AI186*AVERAGE('D4 RIN Forecast'!BV$11:BZ$11)</f>
        <v>803260766.42776465</v>
      </c>
      <c r="AJ184" s="43">
        <f>'D4 Gallon Forecast'!AJ186*AVERAGE('D4 RIN Forecast'!BW$11:CA$11)</f>
        <v>819122829.64873385</v>
      </c>
      <c r="AK184" s="43">
        <f>'D4 Gallon Forecast'!AK186*AVERAGE('D4 RIN Forecast'!BX$11:CB$11)</f>
        <v>814355146.91834569</v>
      </c>
      <c r="AL184" s="43">
        <f>'D4 Gallon Forecast'!AL186*AVERAGE('D4 RIN Forecast'!BY$11:CC$11)</f>
        <v>774826890.4857583</v>
      </c>
      <c r="AM184" s="43">
        <f>'D4 Gallon Forecast'!AM186*AVERAGE('D4 RIN Forecast'!BZ$11:CD$11)</f>
        <v>808294426.70024157</v>
      </c>
      <c r="AN184" s="43">
        <f>'D4 Gallon Forecast'!AN186*AVERAGE('D4 RIN Forecast'!CA$11:CE$11)</f>
        <v>837236646.10134304</v>
      </c>
      <c r="AO184" s="43">
        <f>'D4 Gallon Forecast'!AO186*AVERAGE('D4 RIN Forecast'!CB$11:CF$11)</f>
        <v>867512897.05107689</v>
      </c>
      <c r="AP184" s="43">
        <f>'D4 Gallon Forecast'!AP186*AVERAGE('D4 RIN Forecast'!CC$11:CG$11)</f>
        <v>906051557.47358406</v>
      </c>
      <c r="AQ184" s="43"/>
    </row>
    <row r="185" spans="1:43">
      <c r="A185" s="40" t="s">
        <v>49</v>
      </c>
      <c r="B185" s="42">
        <f>'Monthly D4 RIN Data'!$U10</f>
        <v>0</v>
      </c>
      <c r="C185" s="42">
        <f>'Monthly D4 RIN Data'!$U22</f>
        <v>7087334</v>
      </c>
      <c r="D185" s="42">
        <f>'Monthly D4 RIN Data'!$U34</f>
        <v>8056171</v>
      </c>
      <c r="E185" s="42">
        <f>'Monthly D4 RIN Data'!$U46</f>
        <v>550137</v>
      </c>
      <c r="F185" s="42">
        <f>'Monthly D4 RIN Data'!$U58</f>
        <v>20841867</v>
      </c>
      <c r="G185" s="42">
        <f>'Monthly D4 RIN Data'!$U70</f>
        <v>24769333</v>
      </c>
      <c r="H185" s="42">
        <f>'Monthly D4 RIN Data'!$U82</f>
        <v>32461197</v>
      </c>
      <c r="I185" s="42">
        <f>'Monthly D4 RIN Data'!$U94</f>
        <v>32530225</v>
      </c>
      <c r="J185" s="42">
        <f>'Monthly D4 RIN Data'!$U106</f>
        <v>13708343</v>
      </c>
      <c r="K185" s="42">
        <f>'Monthly D4 RIN Data'!$U118</f>
        <v>73404754</v>
      </c>
      <c r="L185" s="42">
        <f>'Monthly D4 RIN Data'!$U130</f>
        <v>72445107</v>
      </c>
      <c r="M185" s="42">
        <f>'Monthly D4 RIN Data'!$U142</f>
        <v>108489817</v>
      </c>
      <c r="N185" s="42">
        <f>'Monthly D4 RIN Data'!$U154</f>
        <v>176497961</v>
      </c>
      <c r="O185" s="42">
        <f>'Monthly D4 RIN Data'!$U166</f>
        <v>234544753</v>
      </c>
      <c r="P185" s="42">
        <f>'Monthly D4 RIN Data'!$U178</f>
        <v>394437308</v>
      </c>
      <c r="Q185" s="43">
        <f>'D4 Gallon Forecast'!Q187*AVERAGE('D4 RIN Forecast'!$BB$11:$BF$11)</f>
        <v>318577520.56043249</v>
      </c>
      <c r="R185" s="43">
        <f>'D4 Gallon Forecast'!R187*AVERAGE('D4 RIN Forecast'!$BB$11:$BF$11)</f>
        <v>348188359.58191293</v>
      </c>
      <c r="S185" s="43">
        <f>'D4 Gallon Forecast'!S187*AVERAGE('D4 RIN Forecast'!$BB$11:$BF$11)</f>
        <v>383034580.81823373</v>
      </c>
      <c r="T185" s="43">
        <f>'D4 Gallon Forecast'!T187*AVERAGE('D4 RIN Forecast'!$BB$11:$BF$11)</f>
        <v>390087376.1363821</v>
      </c>
      <c r="U185" s="43">
        <f>'D4 Gallon Forecast'!U187*AVERAGE('D4 RIN Forecast'!$BB$11:$BF$11)</f>
        <v>392389411.7722258</v>
      </c>
      <c r="V185" s="43">
        <f>'D4 Gallon Forecast'!V187*AVERAGE('D4 RIN Forecast'!BI$11:BM$11)</f>
        <v>410855734.24841523</v>
      </c>
      <c r="W185" s="43">
        <f>'D4 Gallon Forecast'!W187*AVERAGE('D4 RIN Forecast'!BJ$11:BN$11)</f>
        <v>446063194.36449802</v>
      </c>
      <c r="X185" s="43">
        <f>'D4 Gallon Forecast'!X187*AVERAGE('D4 RIN Forecast'!BK$11:BO$11)</f>
        <v>529800692.26781386</v>
      </c>
      <c r="Y185" s="43">
        <f>'D4 Gallon Forecast'!Y187*AVERAGE('D4 RIN Forecast'!BL$11:BP$11)</f>
        <v>526639167.56468159</v>
      </c>
      <c r="Z185" s="43">
        <f>'D4 Gallon Forecast'!Z187*AVERAGE('D4 RIN Forecast'!BM$11:BQ$11)</f>
        <v>510758890.18729627</v>
      </c>
      <c r="AA185" s="43">
        <f>'D4 Gallon Forecast'!AA187*AVERAGE('D4 RIN Forecast'!BN$11:BR$11)</f>
        <v>541108927.25995433</v>
      </c>
      <c r="AB185" s="43">
        <f>'D4 Gallon Forecast'!AB187*AVERAGE('D4 RIN Forecast'!BO$11:BS$11)</f>
        <v>586608152.57854605</v>
      </c>
      <c r="AC185" s="43">
        <f>'D4 Gallon Forecast'!AC187*AVERAGE('D4 RIN Forecast'!BP$11:BT$11)</f>
        <v>668562141.74479973</v>
      </c>
      <c r="AD185" s="43">
        <f>'D4 Gallon Forecast'!AD187*AVERAGE('D4 RIN Forecast'!BQ$11:BU$11)</f>
        <v>737507502.7161361</v>
      </c>
      <c r="AE185" s="43">
        <f>'D4 Gallon Forecast'!AE187*AVERAGE('D4 RIN Forecast'!BR$11:BV$11)</f>
        <v>737983357.26101482</v>
      </c>
      <c r="AF185" s="43">
        <f>'D4 Gallon Forecast'!AF187*AVERAGE('D4 RIN Forecast'!BS$11:BW$11)</f>
        <v>645970673.3198992</v>
      </c>
      <c r="AG185" s="43">
        <f>'D4 Gallon Forecast'!AG187*AVERAGE('D4 RIN Forecast'!BT$11:BX$11)</f>
        <v>684644468.84342372</v>
      </c>
      <c r="AH185" s="43">
        <f>'D4 Gallon Forecast'!AH187*AVERAGE('D4 RIN Forecast'!BU$11:BY$11)</f>
        <v>723844126.6447264</v>
      </c>
      <c r="AI185" s="43">
        <f>'D4 Gallon Forecast'!AI187*AVERAGE('D4 RIN Forecast'!BV$11:BZ$11)</f>
        <v>786751154.98664773</v>
      </c>
      <c r="AJ185" s="43">
        <f>'D4 Gallon Forecast'!AJ187*AVERAGE('D4 RIN Forecast'!BW$11:CA$11)</f>
        <v>802287201.41285026</v>
      </c>
      <c r="AK185" s="43">
        <f>'D4 Gallon Forecast'!AK187*AVERAGE('D4 RIN Forecast'!BX$11:CB$11)</f>
        <v>797617510.01061225</v>
      </c>
      <c r="AL185" s="43">
        <f>'D4 Gallon Forecast'!AL187*AVERAGE('D4 RIN Forecast'!BY$11:CC$11)</f>
        <v>758901687.32547271</v>
      </c>
      <c r="AM185" s="43">
        <f>'D4 Gallon Forecast'!AM187*AVERAGE('D4 RIN Forecast'!BZ$11:CD$11)</f>
        <v>791681357.23067546</v>
      </c>
      <c r="AN185" s="43">
        <f>'D4 Gallon Forecast'!AN187*AVERAGE('D4 RIN Forecast'!CA$11:CE$11)</f>
        <v>820028720.2457484</v>
      </c>
      <c r="AO185" s="43">
        <f>'D4 Gallon Forecast'!AO187*AVERAGE('D4 RIN Forecast'!CB$11:CF$11)</f>
        <v>849682696.13865769</v>
      </c>
      <c r="AP185" s="43">
        <f>'D4 Gallon Forecast'!AP187*AVERAGE('D4 RIN Forecast'!CC$11:CG$11)</f>
        <v>887429262.2181704</v>
      </c>
      <c r="AQ185" s="43"/>
    </row>
    <row r="186" spans="1:43">
      <c r="A186" s="40" t="s">
        <v>50</v>
      </c>
      <c r="B186" s="42">
        <f>'Monthly D4 RIN Data'!$U11</f>
        <v>0</v>
      </c>
      <c r="C186" s="42">
        <f>'Monthly D4 RIN Data'!$U23</f>
        <v>9276290</v>
      </c>
      <c r="D186" s="42">
        <f>'Monthly D4 RIN Data'!$U35</f>
        <v>6533837</v>
      </c>
      <c r="E186" s="42">
        <f>'Monthly D4 RIN Data'!$U47</f>
        <v>2822419</v>
      </c>
      <c r="F186" s="42">
        <f>'Monthly D4 RIN Data'!$U59</f>
        <v>1836452</v>
      </c>
      <c r="G186" s="42">
        <f>'Monthly D4 RIN Data'!$U71</f>
        <v>24347653</v>
      </c>
      <c r="H186" s="42">
        <f>'Monthly D4 RIN Data'!$U83</f>
        <v>41352775</v>
      </c>
      <c r="I186" s="42">
        <f>'Monthly D4 RIN Data'!$U95</f>
        <v>41194720</v>
      </c>
      <c r="J186" s="42">
        <f>'Monthly D4 RIN Data'!$U107</f>
        <v>23606517</v>
      </c>
      <c r="K186" s="42">
        <f>'Monthly D4 RIN Data'!$U119</f>
        <v>45164534</v>
      </c>
      <c r="L186" s="42">
        <f>'Monthly D4 RIN Data'!$U131</f>
        <v>68472656</v>
      </c>
      <c r="M186" s="42">
        <f>'Monthly D4 RIN Data'!$U143</f>
        <v>126441343</v>
      </c>
      <c r="N186" s="42">
        <f>'Monthly D4 RIN Data'!$U155</f>
        <v>195495373</v>
      </c>
      <c r="O186" s="42">
        <f>'Monthly D4 RIN Data'!$U167</f>
        <v>296479921</v>
      </c>
      <c r="P186" s="42">
        <f>'Monthly D4 RIN Data'!$U179</f>
        <v>345888931</v>
      </c>
      <c r="Q186" s="43">
        <f>'D4 Gallon Forecast'!Q188*AVERAGE('D4 RIN Forecast'!$BB$11:$BF$11)</f>
        <v>323112207.12140292</v>
      </c>
      <c r="R186" s="43">
        <f>'D4 Gallon Forecast'!R188*AVERAGE('D4 RIN Forecast'!$BB$11:$BF$11)</f>
        <v>353171120.99118602</v>
      </c>
      <c r="S186" s="43">
        <f>'D4 Gallon Forecast'!S188*AVERAGE('D4 RIN Forecast'!$BB$11:$BF$11)</f>
        <v>388516010.26639193</v>
      </c>
      <c r="T186" s="43">
        <f>'D4 Gallon Forecast'!T188*AVERAGE('D4 RIN Forecast'!$BB$11:$BF$11)</f>
        <v>395669734.85277021</v>
      </c>
      <c r="U186" s="43">
        <f>'D4 Gallon Forecast'!U188*AVERAGE('D4 RIN Forecast'!$BB$11:$BF$11)</f>
        <v>398004713.84818751</v>
      </c>
      <c r="V186" s="43">
        <f>'D4 Gallon Forecast'!V188*AVERAGE('D4 RIN Forecast'!BI$11:BM$11)</f>
        <v>416735299.26273602</v>
      </c>
      <c r="W186" s="43">
        <f>'D4 Gallon Forecast'!W188*AVERAGE('D4 RIN Forecast'!BJ$11:BN$11)</f>
        <v>452446596.93902791</v>
      </c>
      <c r="X186" s="43">
        <f>'D4 Gallon Forecast'!X188*AVERAGE('D4 RIN Forecast'!BK$11:BO$11)</f>
        <v>537382423.16544652</v>
      </c>
      <c r="Y186" s="43">
        <f>'D4 Gallon Forecast'!Y188*AVERAGE('D4 RIN Forecast'!BL$11:BP$11)</f>
        <v>534175655.35509461</v>
      </c>
      <c r="Z186" s="43">
        <f>'D4 Gallon Forecast'!Z188*AVERAGE('D4 RIN Forecast'!BM$11:BQ$11)</f>
        <v>518068122.72604144</v>
      </c>
      <c r="AA186" s="43">
        <f>'D4 Gallon Forecast'!AA188*AVERAGE('D4 RIN Forecast'!BN$11:BR$11)</f>
        <v>548852485.04058075</v>
      </c>
      <c r="AB186" s="43">
        <f>'D4 Gallon Forecast'!AB188*AVERAGE('D4 RIN Forecast'!BO$11:BS$11)</f>
        <v>595002828.5767417</v>
      </c>
      <c r="AC186" s="43">
        <f>'D4 Gallon Forecast'!AC188*AVERAGE('D4 RIN Forecast'!BP$11:BT$11)</f>
        <v>678129623.10341549</v>
      </c>
      <c r="AD186" s="43">
        <f>'D4 Gallon Forecast'!AD188*AVERAGE('D4 RIN Forecast'!BQ$11:BU$11)</f>
        <v>748061629.01718724</v>
      </c>
      <c r="AE186" s="43">
        <f>'D4 Gallon Forecast'!AE188*AVERAGE('D4 RIN Forecast'!BR$11:BV$11)</f>
        <v>748544293.2947793</v>
      </c>
      <c r="AF186" s="43">
        <f>'D4 Gallon Forecast'!AF188*AVERAGE('D4 RIN Forecast'!BS$11:BW$11)</f>
        <v>655214858.69819677</v>
      </c>
      <c r="AG186" s="43">
        <f>'D4 Gallon Forecast'!AG188*AVERAGE('D4 RIN Forecast'!BT$11:BX$11)</f>
        <v>694442096.89314246</v>
      </c>
      <c r="AH186" s="43">
        <f>'D4 Gallon Forecast'!AH188*AVERAGE('D4 RIN Forecast'!BU$11:BY$11)</f>
        <v>734202722.73594868</v>
      </c>
      <c r="AI186" s="43">
        <f>'D4 Gallon Forecast'!AI188*AVERAGE('D4 RIN Forecast'!BV$11:BZ$11)</f>
        <v>798009984.25502324</v>
      </c>
      <c r="AJ186" s="43">
        <f>'D4 Gallon Forecast'!AJ188*AVERAGE('D4 RIN Forecast'!BW$11:CA$11)</f>
        <v>813768359.80411232</v>
      </c>
      <c r="AK186" s="43">
        <f>'D4 Gallon Forecast'!AK188*AVERAGE('D4 RIN Forecast'!BX$11:CB$11)</f>
        <v>809031842.62360811</v>
      </c>
      <c r="AL186" s="43">
        <f>'D4 Gallon Forecast'!AL188*AVERAGE('D4 RIN Forecast'!BY$11:CC$11)</f>
        <v>769761975.83591628</v>
      </c>
      <c r="AM186" s="43">
        <f>'D4 Gallon Forecast'!AM188*AVERAGE('D4 RIN Forecast'!BZ$11:CD$11)</f>
        <v>803010740.32661414</v>
      </c>
      <c r="AN186" s="43">
        <f>'D4 Gallon Forecast'!AN188*AVERAGE('D4 RIN Forecast'!CA$11:CE$11)</f>
        <v>831763769.24808264</v>
      </c>
      <c r="AO186" s="43">
        <f>'D4 Gallon Forecast'!AO188*AVERAGE('D4 RIN Forecast'!CB$11:CF$11)</f>
        <v>861842109.37559211</v>
      </c>
      <c r="AP186" s="43">
        <f>'D4 Gallon Forecast'!AP188*AVERAGE('D4 RIN Forecast'!CC$11:CG$11)</f>
        <v>900128848.97790551</v>
      </c>
      <c r="AQ186" s="43"/>
    </row>
    <row r="187" spans="1:43">
      <c r="A187" s="40" t="s">
        <v>51</v>
      </c>
      <c r="B187" s="42">
        <f>'Monthly D4 RIN Data'!$U12</f>
        <v>0</v>
      </c>
      <c r="C187" s="42">
        <f>'Monthly D4 RIN Data'!$U24</f>
        <v>3495106</v>
      </c>
      <c r="D187" s="42">
        <f>'Monthly D4 RIN Data'!$U36</f>
        <v>3825557</v>
      </c>
      <c r="E187" s="42">
        <f>'Monthly D4 RIN Data'!$U48</f>
        <v>13254032</v>
      </c>
      <c r="F187" s="42">
        <f>'Monthly D4 RIN Data'!$U60</f>
        <v>8392688</v>
      </c>
      <c r="G187" s="42">
        <f>'Monthly D4 RIN Data'!$U72</f>
        <v>22336963</v>
      </c>
      <c r="H187" s="42">
        <f>'Monthly D4 RIN Data'!$U84</f>
        <v>32062923</v>
      </c>
      <c r="I187" s="42">
        <f>'Monthly D4 RIN Data'!$U96</f>
        <v>36692735</v>
      </c>
      <c r="J187" s="42">
        <f>'Monthly D4 RIN Data'!$U108</f>
        <v>48651114</v>
      </c>
      <c r="K187" s="42">
        <f>'Monthly D4 RIN Data'!$U120</f>
        <v>64010424</v>
      </c>
      <c r="L187" s="42">
        <f>'Monthly D4 RIN Data'!$U132</f>
        <v>76213150</v>
      </c>
      <c r="M187" s="42">
        <f>'Monthly D4 RIN Data'!$U144</f>
        <v>84868870</v>
      </c>
      <c r="N187" s="42">
        <f>'Monthly D4 RIN Data'!$U156</f>
        <v>201820259</v>
      </c>
      <c r="O187" s="42">
        <f>'Monthly D4 RIN Data'!$U168</f>
        <v>307400559</v>
      </c>
      <c r="P187" s="42">
        <f>'Monthly D4 RIN Data'!$U180</f>
        <v>368083127</v>
      </c>
      <c r="Q187" s="43">
        <f>'D4 Gallon Forecast'!Q189*AVERAGE('D4 RIN Forecast'!$BB$11:$BF$11)</f>
        <v>328970197.45139027</v>
      </c>
      <c r="R187" s="43">
        <f>'D4 Gallon Forecast'!R189*AVERAGE('D4 RIN Forecast'!$BB$11:$BF$11)</f>
        <v>359607942.5354538</v>
      </c>
      <c r="S187" s="43">
        <f>'D4 Gallon Forecast'!S189*AVERAGE('D4 RIN Forecast'!$BB$11:$BF$11)</f>
        <v>395597020.2259748</v>
      </c>
      <c r="T187" s="43">
        <f>'D4 Gallon Forecast'!T189*AVERAGE('D4 RIN Forecast'!$BB$11:$BF$11)</f>
        <v>402881127.071271</v>
      </c>
      <c r="U187" s="43">
        <f>'D4 Gallon Forecast'!U189*AVERAGE('D4 RIN Forecast'!$BB$11:$BF$11)</f>
        <v>405258662.89596957</v>
      </c>
      <c r="V187" s="43">
        <f>'D4 Gallon Forecast'!V189*AVERAGE('D4 RIN Forecast'!BI$11:BM$11)</f>
        <v>424330627.96634817</v>
      </c>
      <c r="W187" s="43">
        <f>'D4 Gallon Forecast'!W189*AVERAGE('D4 RIN Forecast'!BJ$11:BN$11)</f>
        <v>460692792.13934392</v>
      </c>
      <c r="X187" s="43">
        <f>'D4 Gallon Forecast'!X189*AVERAGE('D4 RIN Forecast'!BK$11:BO$11)</f>
        <v>547176640.62364149</v>
      </c>
      <c r="Y187" s="43">
        <f>'D4 Gallon Forecast'!Y189*AVERAGE('D4 RIN Forecast'!BL$11:BP$11)</f>
        <v>543911426.94695926</v>
      </c>
      <c r="Z187" s="43">
        <f>'D4 Gallon Forecast'!Z189*AVERAGE('D4 RIN Forecast'!BM$11:BQ$11)</f>
        <v>527510321.86282915</v>
      </c>
      <c r="AA187" s="43">
        <f>'D4 Gallon Forecast'!AA189*AVERAGE('D4 RIN Forecast'!BN$11:BR$11)</f>
        <v>558855753.40074277</v>
      </c>
      <c r="AB187" s="43">
        <f>'D4 Gallon Forecast'!AB189*AVERAGE('D4 RIN Forecast'!BO$11:BS$11)</f>
        <v>605847223.25752473</v>
      </c>
      <c r="AC187" s="43">
        <f>'D4 Gallon Forecast'!AC189*AVERAGE('D4 RIN Forecast'!BP$11:BT$11)</f>
        <v>690489069.01605892</v>
      </c>
      <c r="AD187" s="43">
        <f>'D4 Gallon Forecast'!AD189*AVERAGE('D4 RIN Forecast'!BQ$11:BU$11)</f>
        <v>761695640.75796604</v>
      </c>
      <c r="AE187" s="43">
        <f>'D4 Gallon Forecast'!AE189*AVERAGE('D4 RIN Forecast'!BR$11:BV$11)</f>
        <v>762187101.97176266</v>
      </c>
      <c r="AF187" s="43">
        <f>'D4 Gallon Forecast'!AF189*AVERAGE('D4 RIN Forecast'!BS$11:BW$11)</f>
        <v>667156665.00092149</v>
      </c>
      <c r="AG187" s="43">
        <f>'D4 Gallon Forecast'!AG189*AVERAGE('D4 RIN Forecast'!BT$11:BX$11)</f>
        <v>707098850.47475767</v>
      </c>
      <c r="AH187" s="43">
        <f>'D4 Gallon Forecast'!AH189*AVERAGE('D4 RIN Forecast'!BU$11:BY$11)</f>
        <v>747584145.00598967</v>
      </c>
      <c r="AI187" s="43">
        <f>'D4 Gallon Forecast'!AI189*AVERAGE('D4 RIN Forecast'!BV$11:BZ$11)</f>
        <v>812554344.06784523</v>
      </c>
      <c r="AJ187" s="43">
        <f>'D4 Gallon Forecast'!AJ189*AVERAGE('D4 RIN Forecast'!BW$11:CA$11)</f>
        <v>828599928.40952289</v>
      </c>
      <c r="AK187" s="43">
        <f>'D4 Gallon Forecast'!AK189*AVERAGE('D4 RIN Forecast'!BX$11:CB$11)</f>
        <v>823777084.47685766</v>
      </c>
      <c r="AL187" s="43">
        <f>'D4 Gallon Forecast'!AL189*AVERAGE('D4 RIN Forecast'!BY$11:CC$11)</f>
        <v>783791493.47063351</v>
      </c>
      <c r="AM187" s="43">
        <f>'D4 Gallon Forecast'!AM189*AVERAGE('D4 RIN Forecast'!BZ$11:CD$11)</f>
        <v>817646242.85328233</v>
      </c>
      <c r="AN187" s="43">
        <f>'D4 Gallon Forecast'!AN189*AVERAGE('D4 RIN Forecast'!CA$11:CE$11)</f>
        <v>846923318.3488456</v>
      </c>
      <c r="AO187" s="43">
        <f>'D4 Gallon Forecast'!AO189*AVERAGE('D4 RIN Forecast'!CB$11:CF$11)</f>
        <v>877549859.88989413</v>
      </c>
      <c r="AP187" s="43">
        <f>'D4 Gallon Forecast'!AP189*AVERAGE('D4 RIN Forecast'!CC$11:CG$11)</f>
        <v>916534405.44429207</v>
      </c>
      <c r="AQ187" s="43"/>
    </row>
    <row r="188" spans="1:43">
      <c r="A188" s="40" t="s">
        <v>52</v>
      </c>
      <c r="B188" s="42">
        <f>'Monthly D4 RIN Data'!$U13</f>
        <v>0</v>
      </c>
      <c r="C188" s="42">
        <f>'Monthly D4 RIN Data'!$U25</f>
        <v>5656281</v>
      </c>
      <c r="D188" s="42">
        <f>'Monthly D4 RIN Data'!$U37</f>
        <v>3333413</v>
      </c>
      <c r="E188" s="42">
        <f>'Monthly D4 RIN Data'!$U49</f>
        <v>15362889</v>
      </c>
      <c r="F188" s="42">
        <f>'Monthly D4 RIN Data'!$U61</f>
        <v>22838577</v>
      </c>
      <c r="G188" s="42">
        <f>'Monthly D4 RIN Data'!$U73</f>
        <v>22083546</v>
      </c>
      <c r="H188" s="42">
        <f>'Monthly D4 RIN Data'!$U85</f>
        <v>34184551</v>
      </c>
      <c r="I188" s="42">
        <f>'Monthly D4 RIN Data'!$U97</f>
        <v>42536897</v>
      </c>
      <c r="J188" s="42">
        <f>'Monthly D4 RIN Data'!$U109</f>
        <v>61039850</v>
      </c>
      <c r="K188" s="42">
        <f>'Monthly D4 RIN Data'!$U121</f>
        <v>79207182</v>
      </c>
      <c r="L188" s="42">
        <f>'Monthly D4 RIN Data'!$U133</f>
        <v>35511779</v>
      </c>
      <c r="M188" s="42">
        <f>'Monthly D4 RIN Data'!$U145</f>
        <v>122832707</v>
      </c>
      <c r="N188" s="42">
        <f>'Monthly D4 RIN Data'!$U157</f>
        <v>182443495</v>
      </c>
      <c r="O188" s="42">
        <f>'Monthly D4 RIN Data'!$U169</f>
        <v>256436962</v>
      </c>
      <c r="P188" s="42">
        <f>'Monthly D4 RIN Data'!$U181</f>
        <v>389575374</v>
      </c>
      <c r="Q188" s="43">
        <f>'D4 Gallon Forecast'!Q190*AVERAGE('D4 RIN Forecast'!$BB$11:$BF$11)</f>
        <v>359626569.69357473</v>
      </c>
      <c r="R188" s="43">
        <f>'D4 Gallon Forecast'!R190*AVERAGE('D4 RIN Forecast'!$BB$11:$BF$11)</f>
        <v>395161466.86771733</v>
      </c>
      <c r="S188" s="43">
        <f>'D4 Gallon Forecast'!S190*AVERAGE('D4 RIN Forecast'!$BB$11:$BF$11)</f>
        <v>434708693.3030746</v>
      </c>
      <c r="T188" s="43">
        <f>'D4 Gallon Forecast'!T190*AVERAGE('D4 RIN Forecast'!$BB$11:$BF$11)</f>
        <v>442712961.29981005</v>
      </c>
      <c r="U188" s="43">
        <f>'D4 Gallon Forecast'!U190*AVERAGE('D4 RIN Forecast'!$BB$11:$BF$11)</f>
        <v>445325558.05558336</v>
      </c>
      <c r="V188" s="43">
        <f>'D4 Gallon Forecast'!V190*AVERAGE('D4 RIN Forecast'!BI$11:BM$11)</f>
        <v>466283119.89396697</v>
      </c>
      <c r="W188" s="43">
        <f>'D4 Gallon Forecast'!W190*AVERAGE('D4 RIN Forecast'!BJ$11:BN$11)</f>
        <v>506240318.92515665</v>
      </c>
      <c r="X188" s="43">
        <f>'D4 Gallon Forecast'!X190*AVERAGE('D4 RIN Forecast'!BK$11:BO$11)</f>
        <v>601274605.95025802</v>
      </c>
      <c r="Y188" s="43">
        <f>'D4 Gallon Forecast'!Y190*AVERAGE('D4 RIN Forecast'!BL$11:BP$11)</f>
        <v>597686568.88684678</v>
      </c>
      <c r="Z188" s="43">
        <f>'D4 Gallon Forecast'!Z190*AVERAGE('D4 RIN Forecast'!BM$11:BQ$11)</f>
        <v>579663928.18096888</v>
      </c>
      <c r="AA188" s="43">
        <f>'D4 Gallon Forecast'!AA190*AVERAGE('D4 RIN Forecast'!BN$11:BR$11)</f>
        <v>614108402.95755804</v>
      </c>
      <c r="AB188" s="43">
        <f>'D4 Gallon Forecast'!AB190*AVERAGE('D4 RIN Forecast'!BO$11:BS$11)</f>
        <v>665745800.14058983</v>
      </c>
      <c r="AC188" s="43">
        <f>'D4 Gallon Forecast'!AC190*AVERAGE('D4 RIN Forecast'!BP$11:BT$11)</f>
        <v>758755970.30677259</v>
      </c>
      <c r="AD188" s="43">
        <f>'D4 Gallon Forecast'!AD190*AVERAGE('D4 RIN Forecast'!BQ$11:BU$11)</f>
        <v>837002555.02279079</v>
      </c>
      <c r="AE188" s="43">
        <f>'D4 Gallon Forecast'!AE190*AVERAGE('D4 RIN Forecast'!BR$11:BV$11)</f>
        <v>837542605.75910985</v>
      </c>
      <c r="AF188" s="43">
        <f>'D4 Gallon Forecast'!AF190*AVERAGE('D4 RIN Forecast'!BS$11:BW$11)</f>
        <v>733116750.74125111</v>
      </c>
      <c r="AG188" s="43">
        <f>'D4 Gallon Forecast'!AG190*AVERAGE('D4 RIN Forecast'!BT$11:BX$11)</f>
        <v>777007918.6906004</v>
      </c>
      <c r="AH188" s="43">
        <f>'D4 Gallon Forecast'!AH190*AVERAGE('D4 RIN Forecast'!BU$11:BY$11)</f>
        <v>821495891.51104474</v>
      </c>
      <c r="AI188" s="43">
        <f>'D4 Gallon Forecast'!AI190*AVERAGE('D4 RIN Forecast'!BV$11:BZ$11)</f>
        <v>892889529.21257937</v>
      </c>
      <c r="AJ188" s="43">
        <f>'D4 Gallon Forecast'!AJ190*AVERAGE('D4 RIN Forecast'!BW$11:CA$11)</f>
        <v>910521499.74276841</v>
      </c>
      <c r="AK188" s="43">
        <f>'D4 Gallon Forecast'!AK190*AVERAGE('D4 RIN Forecast'!BX$11:CB$11)</f>
        <v>905221833.47436213</v>
      </c>
      <c r="AL188" s="43">
        <f>'D4 Gallon Forecast'!AL190*AVERAGE('D4 RIN Forecast'!BY$11:CC$11)</f>
        <v>861282968.59783268</v>
      </c>
      <c r="AM188" s="43">
        <f>'D4 Gallon Forecast'!AM190*AVERAGE('D4 RIN Forecast'!BZ$11:CD$11)</f>
        <v>898484851.10399425</v>
      </c>
      <c r="AN188" s="43">
        <f>'D4 Gallon Forecast'!AN190*AVERAGE('D4 RIN Forecast'!CA$11:CE$11)</f>
        <v>930656476.72731626</v>
      </c>
      <c r="AO188" s="43">
        <f>'D4 Gallon Forecast'!AO190*AVERAGE('D4 RIN Forecast'!CB$11:CF$11)</f>
        <v>964310986.67811525</v>
      </c>
      <c r="AP188" s="43">
        <f>'D4 Gallon Forecast'!AP190*AVERAGE('D4 RIN Forecast'!CC$11:CG$11)</f>
        <v>1007149835.2803773</v>
      </c>
      <c r="AQ188" s="43"/>
    </row>
    <row r="189" spans="1:43">
      <c r="A189" s="40" t="s">
        <v>53</v>
      </c>
      <c r="B189" s="42">
        <f>'Monthly D4 RIN Data'!$U14</f>
        <v>594555</v>
      </c>
      <c r="C189" s="42">
        <f>'Monthly D4 RIN Data'!$U26</f>
        <v>2573023</v>
      </c>
      <c r="D189" s="42">
        <f>'Monthly D4 RIN Data'!$U38</f>
        <v>5281479</v>
      </c>
      <c r="E189" s="42">
        <f>'Monthly D4 RIN Data'!$U50</f>
        <v>17011964</v>
      </c>
      <c r="F189" s="42">
        <f>'Monthly D4 RIN Data'!$U62</f>
        <v>26439839</v>
      </c>
      <c r="G189" s="42">
        <f>'Monthly D4 RIN Data'!$U74</f>
        <v>20847654</v>
      </c>
      <c r="H189" s="42">
        <f>'Monthly D4 RIN Data'!$U86</f>
        <v>45862155</v>
      </c>
      <c r="I189" s="42">
        <f>'Monthly D4 RIN Data'!$U98</f>
        <v>38384881</v>
      </c>
      <c r="J189" s="42">
        <f>'Monthly D4 RIN Data'!$U110</f>
        <v>62681924</v>
      </c>
      <c r="K189" s="42">
        <f>'Monthly D4 RIN Data'!$U122</f>
        <v>68203857</v>
      </c>
      <c r="L189" s="42">
        <f>'Monthly D4 RIN Data'!$U134</f>
        <v>73310115</v>
      </c>
      <c r="M189" s="42">
        <f>'Monthly D4 RIN Data'!$U146</f>
        <v>171882616</v>
      </c>
      <c r="N189" s="42">
        <f>'Monthly D4 RIN Data'!$U158</f>
        <v>254279428</v>
      </c>
      <c r="O189" s="42">
        <f>'Monthly D4 RIN Data'!$U170</f>
        <v>257065361</v>
      </c>
      <c r="P189" s="42">
        <f>'Monthly D4 RIN Data'!$U182</f>
        <v>364603328</v>
      </c>
      <c r="Q189" s="43">
        <f>'D4 Gallon Forecast'!Q191*AVERAGE('D4 RIN Forecast'!$BB$11:$BF$11)</f>
        <v>389338284.30627984</v>
      </c>
      <c r="R189" s="43">
        <f>'D4 Gallon Forecast'!R191*AVERAGE('D4 RIN Forecast'!$BB$11:$BF$11)</f>
        <v>480112431.34554082</v>
      </c>
      <c r="S189" s="43">
        <f>'D4 Gallon Forecast'!S191*AVERAGE('D4 RIN Forecast'!$BB$11:$BF$11)</f>
        <v>528161435.68636161</v>
      </c>
      <c r="T189" s="43">
        <f>'D4 Gallon Forecast'!T191*AVERAGE('D4 RIN Forecast'!$BB$11:$BF$11)</f>
        <v>537886444.04690707</v>
      </c>
      <c r="U189" s="43">
        <f>'D4 Gallon Forecast'!U191*AVERAGE('D4 RIN Forecast'!$BB$11:$BF$11)</f>
        <v>541060691.24889874</v>
      </c>
      <c r="V189" s="43">
        <f>'D4 Gallon Forecast'!V191*AVERAGE('D4 RIN Forecast'!BI$11:BM$11)</f>
        <v>566523664.77477956</v>
      </c>
      <c r="W189" s="43">
        <f>'D4 Gallon Forecast'!W191*AVERAGE('D4 RIN Forecast'!BJ$11:BN$11)</f>
        <v>615070776.74064362</v>
      </c>
      <c r="X189" s="43">
        <f>'D4 Gallon Forecast'!X191*AVERAGE('D4 RIN Forecast'!BK$11:BO$11)</f>
        <v>730535330.93029928</v>
      </c>
      <c r="Y189" s="43">
        <f>'D4 Gallon Forecast'!Y191*AVERAGE('D4 RIN Forecast'!BL$11:BP$11)</f>
        <v>726175945.35577166</v>
      </c>
      <c r="Z189" s="43">
        <f>'D4 Gallon Forecast'!Z191*AVERAGE('D4 RIN Forecast'!BM$11:BQ$11)</f>
        <v>704278836.01170015</v>
      </c>
      <c r="AA189" s="43">
        <f>'D4 Gallon Forecast'!AA191*AVERAGE('D4 RIN Forecast'!BN$11:BR$11)</f>
        <v>746128110.08817351</v>
      </c>
      <c r="AB189" s="43">
        <f>'D4 Gallon Forecast'!AB191*AVERAGE('D4 RIN Forecast'!BO$11:BS$11)</f>
        <v>808866404.14911735</v>
      </c>
      <c r="AC189" s="43">
        <f>'D4 Gallon Forecast'!AC191*AVERAGE('D4 RIN Forecast'!BP$11:BT$11)</f>
        <v>921871701.17950118</v>
      </c>
      <c r="AD189" s="43">
        <f>'D4 Gallon Forecast'!AD191*AVERAGE('D4 RIN Forecast'!BQ$11:BU$11)</f>
        <v>1016939568.8293297</v>
      </c>
      <c r="AE189" s="43">
        <f>'D4 Gallon Forecast'!AE191*AVERAGE('D4 RIN Forecast'!BR$11:BV$11)</f>
        <v>1017595718.5144682</v>
      </c>
      <c r="AF189" s="43">
        <f>'D4 Gallon Forecast'!AF191*AVERAGE('D4 RIN Forecast'!BS$11:BW$11)</f>
        <v>890720617.19102752</v>
      </c>
      <c r="AG189" s="43">
        <f>'D4 Gallon Forecast'!AG191*AVERAGE('D4 RIN Forecast'!BT$11:BX$11)</f>
        <v>944047414.27423525</v>
      </c>
      <c r="AH189" s="43">
        <f>'D4 Gallon Forecast'!AH191*AVERAGE('D4 RIN Forecast'!BU$11:BY$11)</f>
        <v>998099316.05950749</v>
      </c>
      <c r="AI189" s="43">
        <f>'D4 Gallon Forecast'!AI191*AVERAGE('D4 RIN Forecast'!BV$11:BZ$11)</f>
        <v>1084841004.8460836</v>
      </c>
      <c r="AJ189" s="43">
        <f>'D4 Gallon Forecast'!AJ191*AVERAGE('D4 RIN Forecast'!BW$11:CA$11)</f>
        <v>1106263458.5781317</v>
      </c>
      <c r="AK189" s="43">
        <f>'D4 Gallon Forecast'!AK191*AVERAGE('D4 RIN Forecast'!BX$11:CB$11)</f>
        <v>1099824481.4237721</v>
      </c>
      <c r="AL189" s="43">
        <f>'D4 Gallon Forecast'!AL191*AVERAGE('D4 RIN Forecast'!BY$11:CC$11)</f>
        <v>1046439733.6302946</v>
      </c>
      <c r="AM189" s="43">
        <f>'D4 Gallon Forecast'!AM191*AVERAGE('D4 RIN Forecast'!BZ$11:CD$11)</f>
        <v>1091639197.035069</v>
      </c>
      <c r="AN189" s="43">
        <f>'D4 Gallon Forecast'!AN191*AVERAGE('D4 RIN Forecast'!CA$11:CE$11)</f>
        <v>1130727009.7228434</v>
      </c>
      <c r="AO189" s="43">
        <f>'D4 Gallon Forecast'!AO191*AVERAGE('D4 RIN Forecast'!CB$11:CF$11)</f>
        <v>1171616494.0298493</v>
      </c>
      <c r="AP189" s="43">
        <f>'D4 Gallon Forecast'!AP191*AVERAGE('D4 RIN Forecast'!CC$11:CG$11)</f>
        <v>1223664746.4100859</v>
      </c>
      <c r="AQ189" s="43"/>
    </row>
    <row r="190" spans="1:43">
      <c r="A190" s="40" t="s">
        <v>54</v>
      </c>
      <c r="B190" s="42">
        <f>'Monthly D4 RIN Data'!$U15</f>
        <v>627882</v>
      </c>
      <c r="C190" s="42">
        <f>'Monthly D4 RIN Data'!$U27</f>
        <v>7439444</v>
      </c>
      <c r="D190" s="42">
        <f>'Monthly D4 RIN Data'!$U39</f>
        <v>1809136</v>
      </c>
      <c r="E190" s="42">
        <f>'Monthly D4 RIN Data'!$U51</f>
        <v>19921395</v>
      </c>
      <c r="F190" s="42">
        <f>'Monthly D4 RIN Data'!$U63</f>
        <v>36866560</v>
      </c>
      <c r="G190" s="42">
        <f>'Monthly D4 RIN Data'!$U75</f>
        <v>22015865</v>
      </c>
      <c r="H190" s="42">
        <f>'Monthly D4 RIN Data'!$U87</f>
        <v>45692957</v>
      </c>
      <c r="I190" s="42">
        <f>'Monthly D4 RIN Data'!$U99</f>
        <v>42464463</v>
      </c>
      <c r="J190" s="42">
        <f>'Monthly D4 RIN Data'!$U111</f>
        <v>76431939</v>
      </c>
      <c r="K190" s="42">
        <f>'Monthly D4 RIN Data'!$U123</f>
        <v>84615110</v>
      </c>
      <c r="L190" s="42">
        <f>'Monthly D4 RIN Data'!$U135</f>
        <v>84497760</v>
      </c>
      <c r="M190" s="42">
        <f>'Monthly D4 RIN Data'!$U147</f>
        <v>182270207</v>
      </c>
      <c r="N190" s="42">
        <f>'Monthly D4 RIN Data'!$U159</f>
        <v>206776979</v>
      </c>
      <c r="O190" s="42">
        <f>'Monthly D4 RIN Data'!$U171</f>
        <v>363543858</v>
      </c>
      <c r="P190" s="42">
        <f>'Monthly D4 RIN Data'!$U183</f>
        <v>432281833</v>
      </c>
      <c r="Q190" s="43">
        <f>'D4 Gallon Forecast'!Q192*AVERAGE('D4 RIN Forecast'!$BB$11:$BF$11)</f>
        <v>475870139.30927604</v>
      </c>
      <c r="R190" s="43">
        <f>'D4 Gallon Forecast'!R192*AVERAGE('D4 RIN Forecast'!$BB$11:$BF$11)</f>
        <v>544769541.1369679</v>
      </c>
      <c r="S190" s="43">
        <f>'D4 Gallon Forecast'!S192*AVERAGE('D4 RIN Forecast'!$BB$11:$BF$11)</f>
        <v>599289341.78757489</v>
      </c>
      <c r="T190" s="43">
        <f>'D4 Gallon Forecast'!T192*AVERAGE('D4 RIN Forecast'!$BB$11:$BF$11)</f>
        <v>610324024.49154043</v>
      </c>
      <c r="U190" s="43">
        <f>'D4 Gallon Forecast'!U192*AVERAGE('D4 RIN Forecast'!$BB$11:$BF$11)</f>
        <v>613925750.00162244</v>
      </c>
      <c r="V190" s="43">
        <f>'D4 Gallon Forecast'!V192*AVERAGE('D4 RIN Forecast'!BI$11:BM$11)</f>
        <v>642817841.72439063</v>
      </c>
      <c r="W190" s="43">
        <f>'D4 Gallon Forecast'!W192*AVERAGE('D4 RIN Forecast'!BJ$11:BN$11)</f>
        <v>697902830.53638506</v>
      </c>
      <c r="X190" s="43">
        <f>'D4 Gallon Forecast'!X192*AVERAGE('D4 RIN Forecast'!BK$11:BO$11)</f>
        <v>828917084.90009475</v>
      </c>
      <c r="Y190" s="43">
        <f>'D4 Gallon Forecast'!Y192*AVERAGE('D4 RIN Forecast'!BL$11:BP$11)</f>
        <v>823970617.52281916</v>
      </c>
      <c r="Z190" s="43">
        <f>'D4 Gallon Forecast'!Z192*AVERAGE('D4 RIN Forecast'!BM$11:BQ$11)</f>
        <v>799124607.64933074</v>
      </c>
      <c r="AA190" s="43">
        <f>'D4 Gallon Forecast'!AA192*AVERAGE('D4 RIN Forecast'!BN$11:BR$11)</f>
        <v>846609755.60032761</v>
      </c>
      <c r="AB190" s="43">
        <f>'D4 Gallon Forecast'!AB192*AVERAGE('D4 RIN Forecast'!BO$11:BS$11)</f>
        <v>917797063.89707565</v>
      </c>
      <c r="AC190" s="43">
        <f>'D4 Gallon Forecast'!AC192*AVERAGE('D4 RIN Forecast'!BP$11:BT$11)</f>
        <v>1046020871.051494</v>
      </c>
      <c r="AD190" s="43">
        <f>'D4 Gallon Forecast'!AD192*AVERAGE('D4 RIN Forecast'!BQ$11:BU$11)</f>
        <v>1153891601.437129</v>
      </c>
      <c r="AE190" s="43">
        <f>'D4 Gallon Forecast'!AE192*AVERAGE('D4 RIN Forecast'!BR$11:BV$11)</f>
        <v>1154636115.3042011</v>
      </c>
      <c r="AF190" s="43">
        <f>'D4 Gallon Forecast'!AF192*AVERAGE('D4 RIN Forecast'!BS$11:BW$11)</f>
        <v>1010674646.6624259</v>
      </c>
      <c r="AG190" s="43">
        <f>'D4 Gallon Forecast'!AG192*AVERAGE('D4 RIN Forecast'!BT$11:BX$11)</f>
        <v>1071183004.4566773</v>
      </c>
      <c r="AH190" s="43">
        <f>'D4 Gallon Forecast'!AH192*AVERAGE('D4 RIN Forecast'!BU$11:BY$11)</f>
        <v>1132514117.3600011</v>
      </c>
      <c r="AI190" s="43">
        <f>'D4 Gallon Forecast'!AI192*AVERAGE('D4 RIN Forecast'!BV$11:BZ$11)</f>
        <v>1230937375.9814792</v>
      </c>
      <c r="AJ190" s="43">
        <f>'D4 Gallon Forecast'!AJ192*AVERAGE('D4 RIN Forecast'!BW$11:CA$11)</f>
        <v>1255244808.0072002</v>
      </c>
      <c r="AK190" s="43">
        <f>'D4 Gallon Forecast'!AK192*AVERAGE('D4 RIN Forecast'!BX$11:CB$11)</f>
        <v>1247938688.8551893</v>
      </c>
      <c r="AL190" s="43">
        <f>'D4 Gallon Forecast'!AL192*AVERAGE('D4 RIN Forecast'!BY$11:CC$11)</f>
        <v>1187364576.0840199</v>
      </c>
      <c r="AM190" s="43">
        <f>'D4 Gallon Forecast'!AM192*AVERAGE('D4 RIN Forecast'!BZ$11:CD$11)</f>
        <v>1238651085.9326577</v>
      </c>
      <c r="AN190" s="43">
        <f>'D4 Gallon Forecast'!AN192*AVERAGE('D4 RIN Forecast'!CA$11:CE$11)</f>
        <v>1283002884.3693061</v>
      </c>
      <c r="AO190" s="43">
        <f>'D4 Gallon Forecast'!AO192*AVERAGE('D4 RIN Forecast'!CB$11:CF$11)</f>
        <v>1329398986.9255908</v>
      </c>
      <c r="AP190" s="43">
        <f>'D4 Gallon Forecast'!AP192*AVERAGE('D4 RIN Forecast'!CC$11:CG$11)</f>
        <v>1388456617.4199669</v>
      </c>
      <c r="AQ190" s="43"/>
    </row>
    <row r="191" spans="1:43">
      <c r="A191" s="40" t="s">
        <v>29</v>
      </c>
      <c r="B191" s="42">
        <f>SUM(B179:B190)</f>
        <v>1222437</v>
      </c>
      <c r="C191" s="42">
        <f t="shared" ref="C191:AP191" si="80">SUM(C179:C190)</f>
        <v>51492002</v>
      </c>
      <c r="D191" s="42">
        <f t="shared" si="80"/>
        <v>50769261</v>
      </c>
      <c r="E191" s="42">
        <f t="shared" si="80"/>
        <v>72406782</v>
      </c>
      <c r="F191" s="42">
        <f t="shared" si="80"/>
        <v>242886832</v>
      </c>
      <c r="G191" s="42">
        <f t="shared" si="80"/>
        <v>284867817</v>
      </c>
      <c r="H191" s="42">
        <f t="shared" si="80"/>
        <v>402596712</v>
      </c>
      <c r="I191" s="42">
        <f t="shared" si="80"/>
        <v>430431794</v>
      </c>
      <c r="J191" s="42">
        <f t="shared" si="80"/>
        <v>479190676</v>
      </c>
      <c r="K191" s="42">
        <f t="shared" si="80"/>
        <v>778334312</v>
      </c>
      <c r="L191" s="42">
        <f t="shared" si="80"/>
        <v>818926102</v>
      </c>
      <c r="M191" s="42">
        <f t="shared" si="80"/>
        <v>1329871597</v>
      </c>
      <c r="N191" s="42">
        <f t="shared" si="80"/>
        <v>2278379808</v>
      </c>
      <c r="O191" s="42">
        <f t="shared" si="80"/>
        <v>3108439522</v>
      </c>
      <c r="P191" s="42">
        <f t="shared" si="80"/>
        <v>4331950296</v>
      </c>
      <c r="Q191" s="43">
        <f t="shared" si="80"/>
        <v>4044807577.9187379</v>
      </c>
      <c r="R191" s="43">
        <f t="shared" si="80"/>
        <v>4444477618.2425241</v>
      </c>
      <c r="S191" s="43">
        <f t="shared" si="80"/>
        <v>4889274941.5968122</v>
      </c>
      <c r="T191" s="43">
        <f t="shared" si="80"/>
        <v>4979300900.4634285</v>
      </c>
      <c r="U191" s="43">
        <f t="shared" si="80"/>
        <v>5008685414.845787</v>
      </c>
      <c r="V191" s="43">
        <f t="shared" si="80"/>
        <v>5244400236.0857096</v>
      </c>
      <c r="W191" s="43">
        <f t="shared" si="80"/>
        <v>5693808621.4464035</v>
      </c>
      <c r="X191" s="43">
        <f t="shared" si="80"/>
        <v>6762682479.5093212</v>
      </c>
      <c r="Y191" s="43">
        <f t="shared" si="80"/>
        <v>6722326949.5327749</v>
      </c>
      <c r="Z191" s="43">
        <f t="shared" si="80"/>
        <v>6519621903.7350912</v>
      </c>
      <c r="AA191" s="43">
        <f t="shared" si="80"/>
        <v>6907027331.7747545</v>
      </c>
      <c r="AB191" s="43">
        <f t="shared" si="80"/>
        <v>7487805761.0670795</v>
      </c>
      <c r="AC191" s="43">
        <f t="shared" si="80"/>
        <v>8533913882.0061865</v>
      </c>
      <c r="AD191" s="43">
        <f t="shared" si="80"/>
        <v>9413972348.3107376</v>
      </c>
      <c r="AE191" s="43">
        <f t="shared" si="80"/>
        <v>9420046430.9618397</v>
      </c>
      <c r="AF191" s="43">
        <f t="shared" si="80"/>
        <v>8245543311.8404646</v>
      </c>
      <c r="AG191" s="43">
        <f t="shared" si="80"/>
        <v>8739198007.3138676</v>
      </c>
      <c r="AH191" s="43">
        <f t="shared" si="80"/>
        <v>9239565113.0662022</v>
      </c>
      <c r="AI191" s="43">
        <f t="shared" si="80"/>
        <v>10042546809.041147</v>
      </c>
      <c r="AJ191" s="43">
        <f t="shared" si="80"/>
        <v>10240857891.870409</v>
      </c>
      <c r="AK191" s="43">
        <f t="shared" si="80"/>
        <v>10181251249.803837</v>
      </c>
      <c r="AL191" s="43">
        <f t="shared" si="80"/>
        <v>9687060095.3305416</v>
      </c>
      <c r="AM191" s="43">
        <f t="shared" si="80"/>
        <v>10105478762.175079</v>
      </c>
      <c r="AN191" s="43">
        <f t="shared" si="80"/>
        <v>10467320900.171795</v>
      </c>
      <c r="AO191" s="43">
        <f t="shared" si="80"/>
        <v>10845841400.702578</v>
      </c>
      <c r="AP191" s="43">
        <f t="shared" si="80"/>
        <v>11327660403.231405</v>
      </c>
      <c r="AQ191" s="43"/>
    </row>
    <row r="193" spans="1:43" ht="12" thickBot="1">
      <c r="A193" s="245" t="s">
        <v>387</v>
      </c>
    </row>
    <row r="194" spans="1:43" ht="12" thickBot="1">
      <c r="A194" s="270"/>
      <c r="B194" s="263">
        <v>2010</v>
      </c>
      <c r="C194" s="263">
        <v>2011</v>
      </c>
      <c r="D194" s="263">
        <v>2012</v>
      </c>
      <c r="E194" s="263">
        <v>2013</v>
      </c>
      <c r="F194" s="263">
        <v>2014</v>
      </c>
      <c r="G194" s="263">
        <v>2015</v>
      </c>
      <c r="H194" s="263">
        <v>2016</v>
      </c>
      <c r="I194" s="263">
        <v>2017</v>
      </c>
      <c r="J194" s="263">
        <v>2018</v>
      </c>
      <c r="K194" s="263">
        <v>2019</v>
      </c>
      <c r="L194" s="263">
        <v>2020</v>
      </c>
      <c r="M194" s="263">
        <v>2021</v>
      </c>
      <c r="N194" s="263">
        <v>2022</v>
      </c>
      <c r="O194" s="263">
        <v>2023</v>
      </c>
      <c r="P194" s="263">
        <v>2024</v>
      </c>
      <c r="Q194" s="263">
        <v>2025</v>
      </c>
      <c r="R194" s="263">
        <v>2026</v>
      </c>
      <c r="S194" s="263">
        <v>2027</v>
      </c>
      <c r="T194" s="263">
        <v>2028</v>
      </c>
      <c r="U194" s="263">
        <v>2029</v>
      </c>
      <c r="V194" s="263">
        <v>2030</v>
      </c>
      <c r="W194" s="263">
        <v>2031</v>
      </c>
      <c r="X194" s="263">
        <v>2032</v>
      </c>
      <c r="Y194" s="263">
        <v>2033</v>
      </c>
      <c r="Z194" s="263">
        <v>2034</v>
      </c>
      <c r="AA194" s="263">
        <v>2035</v>
      </c>
      <c r="AB194" s="263">
        <v>2036</v>
      </c>
      <c r="AC194" s="263">
        <v>2037</v>
      </c>
      <c r="AD194" s="263">
        <v>2038</v>
      </c>
      <c r="AE194" s="263">
        <v>2039</v>
      </c>
      <c r="AF194" s="263">
        <v>2040</v>
      </c>
      <c r="AG194" s="263">
        <v>2041</v>
      </c>
      <c r="AH194" s="263">
        <v>2042</v>
      </c>
      <c r="AI194" s="263">
        <v>2043</v>
      </c>
      <c r="AJ194" s="263">
        <v>2044</v>
      </c>
      <c r="AK194" s="263">
        <v>2045</v>
      </c>
      <c r="AL194" s="263">
        <v>2046</v>
      </c>
      <c r="AM194" s="263">
        <v>2047</v>
      </c>
      <c r="AN194" s="263">
        <v>2048</v>
      </c>
      <c r="AO194" s="263">
        <v>2049</v>
      </c>
      <c r="AP194" s="263">
        <v>2050</v>
      </c>
      <c r="AQ194" s="245"/>
    </row>
    <row r="195" spans="1:43">
      <c r="A195" s="40" t="s">
        <v>43</v>
      </c>
      <c r="B195" s="42">
        <f>B211+B227+B243</f>
        <v>0</v>
      </c>
      <c r="C195" s="42">
        <f t="shared" ref="C195:R206" si="81">C211+C227+C243</f>
        <v>0</v>
      </c>
      <c r="D195" s="42">
        <f t="shared" si="81"/>
        <v>0</v>
      </c>
      <c r="E195" s="42">
        <f t="shared" si="81"/>
        <v>11916516</v>
      </c>
      <c r="F195" s="42">
        <f t="shared" si="81"/>
        <v>22797873</v>
      </c>
      <c r="G195" s="42">
        <f t="shared" si="81"/>
        <v>16829167</v>
      </c>
      <c r="H195" s="42">
        <f t="shared" si="81"/>
        <v>13607068</v>
      </c>
      <c r="I195" s="42">
        <f t="shared" si="81"/>
        <v>34749127</v>
      </c>
      <c r="J195" s="42">
        <f t="shared" si="81"/>
        <v>26685400</v>
      </c>
      <c r="K195" s="42">
        <f t="shared" si="81"/>
        <v>27699469</v>
      </c>
      <c r="L195" s="42">
        <f>L211+L227+L243</f>
        <v>37835058</v>
      </c>
      <c r="M195" s="42">
        <f>M211+M227+M243</f>
        <v>50603181</v>
      </c>
      <c r="N195" s="42">
        <f>N211+N227+N243</f>
        <v>58618447</v>
      </c>
      <c r="O195" s="42">
        <f>O211+O227+O243</f>
        <v>63991785</v>
      </c>
      <c r="P195" s="42">
        <f t="shared" ref="P195:AP204" si="82">P211+P227+P243</f>
        <v>41196032</v>
      </c>
      <c r="Q195" s="42">
        <f t="shared" si="82"/>
        <v>0</v>
      </c>
      <c r="R195" s="43">
        <f t="shared" si="82"/>
        <v>33796780.856898621</v>
      </c>
      <c r="S195" s="43">
        <f t="shared" si="82"/>
        <v>30401447.29276279</v>
      </c>
      <c r="T195" s="43">
        <f t="shared" si="82"/>
        <v>26107277.72344628</v>
      </c>
      <c r="U195" s="43">
        <f t="shared" si="82"/>
        <v>21638820.019539598</v>
      </c>
      <c r="V195" s="43">
        <f t="shared" si="82"/>
        <v>17991052.379070446</v>
      </c>
      <c r="W195" s="43">
        <f t="shared" si="82"/>
        <v>21262152.808351364</v>
      </c>
      <c r="X195" s="43">
        <f t="shared" si="82"/>
        <v>18415803.956755068</v>
      </c>
      <c r="Y195" s="43">
        <f t="shared" si="82"/>
        <v>17045847.07123084</v>
      </c>
      <c r="Z195" s="43">
        <f t="shared" si="82"/>
        <v>15911616.259037089</v>
      </c>
      <c r="AA195" s="43">
        <f t="shared" si="82"/>
        <v>15992906.907272408</v>
      </c>
      <c r="AB195" s="43">
        <f t="shared" si="82"/>
        <v>6817563.6155981179</v>
      </c>
      <c r="AC195" s="43">
        <f t="shared" si="82"/>
        <v>4603950.9892572463</v>
      </c>
      <c r="AD195" s="43">
        <f t="shared" si="82"/>
        <v>4485749.2293098541</v>
      </c>
      <c r="AE195" s="43">
        <f t="shared" si="82"/>
        <v>4419893.4052846422</v>
      </c>
      <c r="AF195" s="43">
        <f t="shared" si="82"/>
        <v>4442474.1408456936</v>
      </c>
      <c r="AG195" s="43">
        <f t="shared" si="82"/>
        <v>4545042.4104235284</v>
      </c>
      <c r="AH195" s="43">
        <f t="shared" si="82"/>
        <v>4495984.1097034914</v>
      </c>
      <c r="AI195" s="43">
        <f t="shared" si="82"/>
        <v>4471991.4698022995</v>
      </c>
      <c r="AJ195" s="43">
        <f t="shared" si="82"/>
        <v>4468391.3084357353</v>
      </c>
      <c r="AK195" s="43">
        <f t="shared" si="82"/>
        <v>4483958.5366083626</v>
      </c>
      <c r="AL195" s="43">
        <f t="shared" si="82"/>
        <v>4503569.3418796547</v>
      </c>
      <c r="AM195" s="43">
        <f t="shared" si="82"/>
        <v>4499422.035025795</v>
      </c>
      <c r="AN195" s="43">
        <f t="shared" si="82"/>
        <v>4477828.659112772</v>
      </c>
      <c r="AO195" s="43">
        <f t="shared" si="82"/>
        <v>4475077.1072107954</v>
      </c>
      <c r="AP195" s="43">
        <f t="shared" si="82"/>
        <v>4484776.6878419118</v>
      </c>
      <c r="AQ195" s="43"/>
    </row>
    <row r="196" spans="1:43">
      <c r="A196" s="40" t="s">
        <v>44</v>
      </c>
      <c r="B196" s="42">
        <f t="shared" ref="B196:I206" si="83">B212+B228+B244</f>
        <v>0</v>
      </c>
      <c r="C196" s="42">
        <f t="shared" si="83"/>
        <v>0</v>
      </c>
      <c r="D196" s="42">
        <f t="shared" si="83"/>
        <v>0</v>
      </c>
      <c r="E196" s="42">
        <f t="shared" si="83"/>
        <v>0</v>
      </c>
      <c r="F196" s="42">
        <f t="shared" si="83"/>
        <v>32178782</v>
      </c>
      <c r="G196" s="42">
        <f t="shared" si="83"/>
        <v>14041562</v>
      </c>
      <c r="H196" s="42">
        <f t="shared" si="83"/>
        <v>21311450</v>
      </c>
      <c r="I196" s="42">
        <f t="shared" si="83"/>
        <v>16838059</v>
      </c>
      <c r="J196" s="42">
        <f t="shared" si="81"/>
        <v>20961075</v>
      </c>
      <c r="K196" s="42">
        <f t="shared" si="81"/>
        <v>35994502</v>
      </c>
      <c r="L196" s="42">
        <f t="shared" si="81"/>
        <v>48231971</v>
      </c>
      <c r="M196" s="42">
        <f t="shared" si="81"/>
        <v>50234535</v>
      </c>
      <c r="N196" s="42">
        <f t="shared" si="81"/>
        <v>51405556</v>
      </c>
      <c r="O196" s="42">
        <f>O212+O228+O244</f>
        <v>46670447</v>
      </c>
      <c r="P196" s="42">
        <f t="shared" si="82"/>
        <v>95563499</v>
      </c>
      <c r="Q196" s="42">
        <f t="shared" si="82"/>
        <v>0</v>
      </c>
      <c r="R196" s="43">
        <f t="shared" si="82"/>
        <v>39896856.948440313</v>
      </c>
      <c r="S196" s="43">
        <f t="shared" si="82"/>
        <v>38029195.99759613</v>
      </c>
      <c r="T196" s="43">
        <f t="shared" si="82"/>
        <v>35242811.001502149</v>
      </c>
      <c r="U196" s="43">
        <f t="shared" si="82"/>
        <v>34347294.428185038</v>
      </c>
      <c r="V196" s="43">
        <f t="shared" si="82"/>
        <v>23707954.029237788</v>
      </c>
      <c r="W196" s="43">
        <f t="shared" si="82"/>
        <v>28018491.121144079</v>
      </c>
      <c r="X196" s="43">
        <f t="shared" si="82"/>
        <v>24995411.228138987</v>
      </c>
      <c r="Y196" s="43">
        <f t="shared" si="82"/>
        <v>23658955.526646353</v>
      </c>
      <c r="Z196" s="43">
        <f t="shared" si="82"/>
        <v>22248678.110236067</v>
      </c>
      <c r="AA196" s="43">
        <f t="shared" si="82"/>
        <v>21640498.23804782</v>
      </c>
      <c r="AB196" s="43">
        <f t="shared" si="82"/>
        <v>9274002.6326437481</v>
      </c>
      <c r="AC196" s="43">
        <f t="shared" si="82"/>
        <v>6248852.8071276918</v>
      </c>
      <c r="AD196" s="43">
        <f t="shared" si="82"/>
        <v>6226040.9281183779</v>
      </c>
      <c r="AE196" s="43">
        <f t="shared" si="82"/>
        <v>6180188.3639496574</v>
      </c>
      <c r="AF196" s="43">
        <f t="shared" si="82"/>
        <v>6011249.5104831737</v>
      </c>
      <c r="AG196" s="43">
        <f t="shared" si="82"/>
        <v>6182668.421796212</v>
      </c>
      <c r="AH196" s="43">
        <f t="shared" si="82"/>
        <v>6170760.3476368114</v>
      </c>
      <c r="AI196" s="43">
        <f t="shared" si="82"/>
        <v>6153406.46774951</v>
      </c>
      <c r="AJ196" s="43">
        <f t="shared" si="82"/>
        <v>6134399.3192416225</v>
      </c>
      <c r="AK196" s="43">
        <f t="shared" si="82"/>
        <v>6119701.6011881726</v>
      </c>
      <c r="AL196" s="43">
        <f t="shared" si="82"/>
        <v>6170969.8622509502</v>
      </c>
      <c r="AM196" s="43">
        <f t="shared" si="82"/>
        <v>6169800.0062971506</v>
      </c>
      <c r="AN196" s="43">
        <f t="shared" si="82"/>
        <v>6154181.514395901</v>
      </c>
      <c r="AO196" s="43">
        <f t="shared" si="82"/>
        <v>6139654.6223214865</v>
      </c>
      <c r="AP196" s="43">
        <f t="shared" si="82"/>
        <v>6130496.8133811485</v>
      </c>
      <c r="AQ196" s="43"/>
    </row>
    <row r="197" spans="1:43">
      <c r="A197" s="40" t="s">
        <v>45</v>
      </c>
      <c r="B197" s="42">
        <f t="shared" si="83"/>
        <v>0</v>
      </c>
      <c r="C197" s="42">
        <f t="shared" si="83"/>
        <v>0</v>
      </c>
      <c r="D197" s="42">
        <f t="shared" si="83"/>
        <v>5301327</v>
      </c>
      <c r="E197" s="42">
        <f t="shared" si="83"/>
        <v>21624540</v>
      </c>
      <c r="F197" s="42">
        <f t="shared" si="83"/>
        <v>38554750</v>
      </c>
      <c r="G197" s="42">
        <f t="shared" si="83"/>
        <v>14076417</v>
      </c>
      <c r="H197" s="42">
        <f t="shared" si="83"/>
        <v>20647793</v>
      </c>
      <c r="I197" s="42">
        <f t="shared" si="83"/>
        <v>28248660</v>
      </c>
      <c r="J197" s="42">
        <f t="shared" si="81"/>
        <v>29481692</v>
      </c>
      <c r="K197" s="42">
        <f t="shared" si="81"/>
        <v>32724880</v>
      </c>
      <c r="L197" s="42">
        <f t="shared" si="81"/>
        <v>47602533</v>
      </c>
      <c r="M197" s="42">
        <f t="shared" si="81"/>
        <v>65149041</v>
      </c>
      <c r="N197" s="42">
        <f t="shared" si="81"/>
        <v>68493463</v>
      </c>
      <c r="O197" s="42">
        <f t="shared" si="81"/>
        <v>60359369</v>
      </c>
      <c r="P197" s="42">
        <f t="shared" si="82"/>
        <v>45276974</v>
      </c>
      <c r="Q197" s="42">
        <f t="shared" si="82"/>
        <v>12638851</v>
      </c>
      <c r="R197" s="43">
        <f t="shared" si="82"/>
        <v>40572799.865380593</v>
      </c>
      <c r="S197" s="43">
        <f t="shared" si="82"/>
        <v>35774226.973012097</v>
      </c>
      <c r="T197" s="43">
        <f t="shared" si="82"/>
        <v>30595476.025823757</v>
      </c>
      <c r="U197" s="43">
        <f t="shared" si="82"/>
        <v>27127741.094760638</v>
      </c>
      <c r="V197" s="43">
        <f t="shared" si="82"/>
        <v>23578247.353238445</v>
      </c>
      <c r="W197" s="43">
        <f t="shared" si="82"/>
        <v>25797025.85134051</v>
      </c>
      <c r="X197" s="43">
        <f t="shared" si="82"/>
        <v>22411406.635175716</v>
      </c>
      <c r="Y197" s="43">
        <f t="shared" si="82"/>
        <v>20942025.891558237</v>
      </c>
      <c r="Z197" s="43">
        <f t="shared" si="82"/>
        <v>19792807.732786648</v>
      </c>
      <c r="AA197" s="43">
        <f t="shared" si="82"/>
        <v>19856737.670124229</v>
      </c>
      <c r="AB197" s="43">
        <f t="shared" si="82"/>
        <v>8369231.0600867784</v>
      </c>
      <c r="AC197" s="43">
        <f t="shared" si="82"/>
        <v>5602851.6588772656</v>
      </c>
      <c r="AD197" s="43">
        <f t="shared" si="82"/>
        <v>5511059.4451943021</v>
      </c>
      <c r="AE197" s="43">
        <f t="shared" si="82"/>
        <v>5498002.1479920158</v>
      </c>
      <c r="AF197" s="43">
        <f t="shared" si="82"/>
        <v>5515760.4638447929</v>
      </c>
      <c r="AG197" s="43">
        <f t="shared" si="82"/>
        <v>5579487.3734216094</v>
      </c>
      <c r="AH197" s="43">
        <f t="shared" si="82"/>
        <v>5537709.6357567767</v>
      </c>
      <c r="AI197" s="43">
        <f t="shared" si="82"/>
        <v>5523233.6306185005</v>
      </c>
      <c r="AJ197" s="43">
        <f t="shared" si="82"/>
        <v>5526419.3987667663</v>
      </c>
      <c r="AK197" s="43">
        <f t="shared" si="82"/>
        <v>5535540.985436053</v>
      </c>
      <c r="AL197" s="43">
        <f t="shared" si="82"/>
        <v>5544891.7774630934</v>
      </c>
      <c r="AM197" s="43">
        <f t="shared" si="82"/>
        <v>5541432.2178678922</v>
      </c>
      <c r="AN197" s="43">
        <f t="shared" si="82"/>
        <v>5528403.8132410403</v>
      </c>
      <c r="AO197" s="43">
        <f t="shared" si="82"/>
        <v>5530838.6503253048</v>
      </c>
      <c r="AP197" s="43">
        <f t="shared" si="82"/>
        <v>5536522.1004813761</v>
      </c>
      <c r="AQ197" s="43"/>
    </row>
    <row r="198" spans="1:43">
      <c r="A198" s="40" t="s">
        <v>46</v>
      </c>
      <c r="B198" s="42">
        <f t="shared" si="83"/>
        <v>0</v>
      </c>
      <c r="C198" s="42">
        <f t="shared" si="83"/>
        <v>0</v>
      </c>
      <c r="D198" s="42">
        <f t="shared" si="83"/>
        <v>1103098</v>
      </c>
      <c r="E198" s="42">
        <f t="shared" si="83"/>
        <v>14600840</v>
      </c>
      <c r="F198" s="42">
        <f t="shared" si="83"/>
        <v>37874181</v>
      </c>
      <c r="G198" s="42">
        <f t="shared" si="83"/>
        <v>18298288</v>
      </c>
      <c r="H198" s="42">
        <f t="shared" si="83"/>
        <v>30956254</v>
      </c>
      <c r="I198" s="42">
        <f t="shared" si="83"/>
        <v>30047448</v>
      </c>
      <c r="J198" s="42">
        <f t="shared" si="81"/>
        <v>31348353</v>
      </c>
      <c r="K198" s="42">
        <f t="shared" si="81"/>
        <v>41760773</v>
      </c>
      <c r="L198" s="42">
        <f t="shared" si="81"/>
        <v>45288833</v>
      </c>
      <c r="M198" s="42">
        <f t="shared" si="81"/>
        <v>62487256</v>
      </c>
      <c r="N198" s="42">
        <f t="shared" si="81"/>
        <v>64763053</v>
      </c>
      <c r="O198" s="42">
        <f t="shared" si="81"/>
        <v>61704463</v>
      </c>
      <c r="P198" s="42">
        <f t="shared" si="82"/>
        <v>46967029</v>
      </c>
      <c r="Q198" s="43">
        <f t="shared" si="82"/>
        <v>31932624.750518605</v>
      </c>
      <c r="R198" s="43">
        <f t="shared" si="82"/>
        <v>43581252.886202626</v>
      </c>
      <c r="S198" s="43">
        <f t="shared" si="82"/>
        <v>40208253.175036125</v>
      </c>
      <c r="T198" s="43">
        <f t="shared" si="82"/>
        <v>35420122.291276731</v>
      </c>
      <c r="U198" s="43">
        <f t="shared" si="82"/>
        <v>32599246.846921284</v>
      </c>
      <c r="V198" s="43">
        <f t="shared" si="82"/>
        <v>29529883.926218193</v>
      </c>
      <c r="W198" s="43">
        <f t="shared" si="82"/>
        <v>29673615.129865061</v>
      </c>
      <c r="X198" s="43">
        <f t="shared" si="82"/>
        <v>26263705.312976733</v>
      </c>
      <c r="Y198" s="43">
        <f t="shared" si="82"/>
        <v>24819105.503377199</v>
      </c>
      <c r="Z198" s="43">
        <f t="shared" si="82"/>
        <v>23595780.008716214</v>
      </c>
      <c r="AA198" s="43">
        <f t="shared" si="82"/>
        <v>23626251.155445062</v>
      </c>
      <c r="AB198" s="43">
        <f t="shared" si="82"/>
        <v>9844496.7008096818</v>
      </c>
      <c r="AC198" s="43">
        <f t="shared" si="82"/>
        <v>6565926.3283418445</v>
      </c>
      <c r="AD198" s="43">
        <f t="shared" si="82"/>
        <v>6531343.553576488</v>
      </c>
      <c r="AE198" s="43">
        <f t="shared" si="82"/>
        <v>6554383.3357494073</v>
      </c>
      <c r="AF198" s="43">
        <f t="shared" si="82"/>
        <v>6562847.543085658</v>
      </c>
      <c r="AG198" s="43">
        <f t="shared" si="82"/>
        <v>6562997.8005755739</v>
      </c>
      <c r="AH198" s="43">
        <f t="shared" si="82"/>
        <v>6554505.374643622</v>
      </c>
      <c r="AI198" s="43">
        <f t="shared" si="82"/>
        <v>6551967.384932491</v>
      </c>
      <c r="AJ198" s="43">
        <f t="shared" si="82"/>
        <v>6557364.2753806477</v>
      </c>
      <c r="AK198" s="43">
        <f t="shared" si="82"/>
        <v>6558321.1202015737</v>
      </c>
      <c r="AL198" s="43">
        <f t="shared" si="82"/>
        <v>6556181.3566588582</v>
      </c>
      <c r="AM198" s="43">
        <f t="shared" si="82"/>
        <v>6555499.7122679614</v>
      </c>
      <c r="AN198" s="43">
        <f t="shared" si="82"/>
        <v>6553215.5215250971</v>
      </c>
      <c r="AO198" s="43">
        <f t="shared" si="82"/>
        <v>6557340.2877956163</v>
      </c>
      <c r="AP198" s="43">
        <f t="shared" si="82"/>
        <v>6557936.4757232061</v>
      </c>
      <c r="AQ198" s="43"/>
    </row>
    <row r="199" spans="1:43">
      <c r="A199" s="40" t="s">
        <v>47</v>
      </c>
      <c r="B199" s="42">
        <f t="shared" si="83"/>
        <v>0</v>
      </c>
      <c r="C199" s="42">
        <f t="shared" si="83"/>
        <v>0</v>
      </c>
      <c r="D199" s="42">
        <f t="shared" si="83"/>
        <v>5843978</v>
      </c>
      <c r="E199" s="42">
        <f t="shared" si="83"/>
        <v>17491720</v>
      </c>
      <c r="F199" s="42">
        <f t="shared" si="83"/>
        <v>32718324</v>
      </c>
      <c r="G199" s="42">
        <f t="shared" si="83"/>
        <v>31725875</v>
      </c>
      <c r="H199" s="42">
        <f t="shared" si="83"/>
        <v>25705031</v>
      </c>
      <c r="I199" s="42">
        <f t="shared" si="83"/>
        <v>35443648</v>
      </c>
      <c r="J199" s="42">
        <f t="shared" si="81"/>
        <v>41021430</v>
      </c>
      <c r="K199" s="42">
        <f t="shared" si="81"/>
        <v>50228401</v>
      </c>
      <c r="L199" s="42">
        <f t="shared" si="81"/>
        <v>55143013</v>
      </c>
      <c r="M199" s="42">
        <f t="shared" si="81"/>
        <v>52109077</v>
      </c>
      <c r="N199" s="42">
        <f t="shared" si="81"/>
        <v>69297187</v>
      </c>
      <c r="O199" s="42">
        <f t="shared" si="81"/>
        <v>71738877</v>
      </c>
      <c r="P199" s="42">
        <f t="shared" si="82"/>
        <v>50457214</v>
      </c>
      <c r="Q199" s="43">
        <f t="shared" si="82"/>
        <v>34867649.967005022</v>
      </c>
      <c r="R199" s="43">
        <f t="shared" si="82"/>
        <v>45992563.753862604</v>
      </c>
      <c r="S199" s="43">
        <f t="shared" si="82"/>
        <v>44123004.343669139</v>
      </c>
      <c r="T199" s="43">
        <f t="shared" si="82"/>
        <v>39736794.960337877</v>
      </c>
      <c r="U199" s="43">
        <f t="shared" si="82"/>
        <v>35407808.587455891</v>
      </c>
      <c r="V199" s="43">
        <f t="shared" si="82"/>
        <v>32163399.908178765</v>
      </c>
      <c r="W199" s="43">
        <f t="shared" si="82"/>
        <v>32305675.345349703</v>
      </c>
      <c r="X199" s="43">
        <f t="shared" si="82"/>
        <v>28821440.493497372</v>
      </c>
      <c r="Y199" s="43">
        <f t="shared" si="82"/>
        <v>27236317.162659034</v>
      </c>
      <c r="Z199" s="43">
        <f t="shared" si="82"/>
        <v>25750674.742663182</v>
      </c>
      <c r="AA199" s="43">
        <f t="shared" si="82"/>
        <v>25813677.820947479</v>
      </c>
      <c r="AB199" s="43">
        <f t="shared" si="82"/>
        <v>10763675.812713506</v>
      </c>
      <c r="AC199" s="43">
        <f t="shared" si="82"/>
        <v>7205360.1234815158</v>
      </c>
      <c r="AD199" s="43">
        <f t="shared" si="82"/>
        <v>7167451.8849719157</v>
      </c>
      <c r="AE199" s="43">
        <f t="shared" si="82"/>
        <v>7152965.2062897654</v>
      </c>
      <c r="AF199" s="43">
        <f t="shared" si="82"/>
        <v>7170466.0612721154</v>
      </c>
      <c r="AG199" s="43">
        <f t="shared" si="82"/>
        <v>7175783.8751814654</v>
      </c>
      <c r="AH199" s="43">
        <f t="shared" si="82"/>
        <v>7174896.1232003691</v>
      </c>
      <c r="AI199" s="43">
        <f t="shared" si="82"/>
        <v>7168126.3453596495</v>
      </c>
      <c r="AJ199" s="43">
        <f t="shared" si="82"/>
        <v>7168302.8396665612</v>
      </c>
      <c r="AK199" s="43">
        <f t="shared" si="82"/>
        <v>7173226.0306281233</v>
      </c>
      <c r="AL199" s="43">
        <f t="shared" si="82"/>
        <v>7174530.7434173133</v>
      </c>
      <c r="AM199" s="43">
        <f t="shared" si="82"/>
        <v>7174405.4302417478</v>
      </c>
      <c r="AN199" s="43">
        <f t="shared" si="82"/>
        <v>7168312.6301819822</v>
      </c>
      <c r="AO199" s="43">
        <f t="shared" si="82"/>
        <v>7168447.5222587837</v>
      </c>
      <c r="AP199" s="43">
        <f t="shared" si="82"/>
        <v>7171515.0489356034</v>
      </c>
      <c r="AQ199" s="43"/>
    </row>
    <row r="200" spans="1:43">
      <c r="A200" s="40" t="s">
        <v>48</v>
      </c>
      <c r="B200" s="42">
        <f t="shared" si="83"/>
        <v>0</v>
      </c>
      <c r="C200" s="42">
        <f t="shared" si="83"/>
        <v>0</v>
      </c>
      <c r="D200" s="42">
        <f t="shared" si="83"/>
        <v>4573340</v>
      </c>
      <c r="E200" s="42">
        <f t="shared" si="83"/>
        <v>20982239</v>
      </c>
      <c r="F200" s="42">
        <f t="shared" si="83"/>
        <v>34450224</v>
      </c>
      <c r="G200" s="42">
        <f t="shared" si="83"/>
        <v>25948882</v>
      </c>
      <c r="H200" s="42">
        <f t="shared" si="83"/>
        <v>36323984</v>
      </c>
      <c r="I200" s="42">
        <f t="shared" si="83"/>
        <v>28217747</v>
      </c>
      <c r="J200" s="42">
        <f t="shared" si="81"/>
        <v>39295111</v>
      </c>
      <c r="K200" s="42">
        <f t="shared" si="81"/>
        <v>48795325</v>
      </c>
      <c r="L200" s="42">
        <f t="shared" si="81"/>
        <v>28915447</v>
      </c>
      <c r="M200" s="42">
        <f t="shared" si="81"/>
        <v>60430081</v>
      </c>
      <c r="N200" s="42">
        <f t="shared" si="81"/>
        <v>54532019</v>
      </c>
      <c r="O200" s="42">
        <f t="shared" si="81"/>
        <v>60996589</v>
      </c>
      <c r="P200" s="42">
        <f t="shared" si="82"/>
        <v>96000988</v>
      </c>
      <c r="Q200" s="43">
        <f t="shared" si="82"/>
        <v>34499189.421695851</v>
      </c>
      <c r="R200" s="43">
        <f t="shared" si="82"/>
        <v>49798007.731135696</v>
      </c>
      <c r="S200" s="43">
        <f t="shared" si="82"/>
        <v>47115428.216547355</v>
      </c>
      <c r="T200" s="43">
        <f t="shared" si="82"/>
        <v>45112830.838046551</v>
      </c>
      <c r="U200" s="43">
        <f t="shared" si="82"/>
        <v>44844727.734786943</v>
      </c>
      <c r="V200" s="43">
        <f t="shared" si="82"/>
        <v>35577350.997567557</v>
      </c>
      <c r="W200" s="43">
        <f t="shared" si="82"/>
        <v>36400638.357785664</v>
      </c>
      <c r="X200" s="43">
        <f t="shared" si="82"/>
        <v>32792309.98370878</v>
      </c>
      <c r="Y200" s="43">
        <f t="shared" si="82"/>
        <v>31487908.939111609</v>
      </c>
      <c r="Z200" s="43">
        <f t="shared" si="82"/>
        <v>29906906.864614468</v>
      </c>
      <c r="AA200" s="43">
        <f t="shared" si="82"/>
        <v>29323255.613391709</v>
      </c>
      <c r="AB200" s="43">
        <f t="shared" si="82"/>
        <v>12300847.673752507</v>
      </c>
      <c r="AC200" s="43">
        <f t="shared" si="82"/>
        <v>8198077.4960491331</v>
      </c>
      <c r="AD200" s="43">
        <f t="shared" si="82"/>
        <v>8286291.8261532681</v>
      </c>
      <c r="AE200" s="43">
        <f t="shared" si="82"/>
        <v>8307474.129053114</v>
      </c>
      <c r="AF200" s="43">
        <f t="shared" si="82"/>
        <v>8145348.7813816192</v>
      </c>
      <c r="AG200" s="43">
        <f t="shared" si="82"/>
        <v>8200565.115879721</v>
      </c>
      <c r="AH200" s="43">
        <f t="shared" si="82"/>
        <v>8230983.5803001896</v>
      </c>
      <c r="AI200" s="43">
        <f t="shared" si="82"/>
        <v>8238296.0434666043</v>
      </c>
      <c r="AJ200" s="43">
        <f t="shared" si="82"/>
        <v>8225736.3993988773</v>
      </c>
      <c r="AK200" s="43">
        <f t="shared" si="82"/>
        <v>8199499.5972889671</v>
      </c>
      <c r="AL200" s="43">
        <f t="shared" si="82"/>
        <v>8225098.1648118636</v>
      </c>
      <c r="AM200" s="43">
        <f t="shared" si="82"/>
        <v>8227551.4697060566</v>
      </c>
      <c r="AN200" s="43">
        <f t="shared" si="82"/>
        <v>8234132.6865522526</v>
      </c>
      <c r="AO200" s="43">
        <f t="shared" si="82"/>
        <v>8224533.5300140623</v>
      </c>
      <c r="AP200" s="43">
        <f t="shared" si="82"/>
        <v>8208185.9840849238</v>
      </c>
      <c r="AQ200" s="43"/>
    </row>
    <row r="201" spans="1:43">
      <c r="A201" s="40" t="s">
        <v>49</v>
      </c>
      <c r="B201" s="42">
        <f t="shared" si="83"/>
        <v>0</v>
      </c>
      <c r="C201" s="42">
        <f t="shared" si="83"/>
        <v>0</v>
      </c>
      <c r="D201" s="42">
        <f t="shared" si="83"/>
        <v>5244966</v>
      </c>
      <c r="E201" s="42">
        <f t="shared" si="83"/>
        <v>28088984</v>
      </c>
      <c r="F201" s="42">
        <f t="shared" si="83"/>
        <v>42865557</v>
      </c>
      <c r="G201" s="42">
        <f t="shared" si="83"/>
        <v>19546781</v>
      </c>
      <c r="H201" s="42">
        <f t="shared" si="83"/>
        <v>34210333</v>
      </c>
      <c r="I201" s="42">
        <f t="shared" si="83"/>
        <v>31600252</v>
      </c>
      <c r="J201" s="42">
        <f t="shared" si="81"/>
        <v>34018368</v>
      </c>
      <c r="K201" s="42">
        <f t="shared" si="81"/>
        <v>48251933</v>
      </c>
      <c r="L201" s="42">
        <f t="shared" si="81"/>
        <v>36441822</v>
      </c>
      <c r="M201" s="42">
        <f t="shared" si="81"/>
        <v>4350842</v>
      </c>
      <c r="N201" s="42">
        <f t="shared" si="81"/>
        <v>23378032</v>
      </c>
      <c r="O201" s="42">
        <f t="shared" si="81"/>
        <v>74494561</v>
      </c>
      <c r="P201" s="42">
        <f t="shared" si="82"/>
        <v>37477648</v>
      </c>
      <c r="Q201" s="43">
        <f t="shared" si="82"/>
        <v>24842798.139850907</v>
      </c>
      <c r="R201" s="43">
        <f t="shared" si="82"/>
        <v>26022097.575546306</v>
      </c>
      <c r="S201" s="43">
        <f t="shared" si="82"/>
        <v>29383447.745323453</v>
      </c>
      <c r="T201" s="43">
        <f t="shared" si="82"/>
        <v>30328862.736514028</v>
      </c>
      <c r="U201" s="43">
        <f t="shared" si="82"/>
        <v>24362698.590070911</v>
      </c>
      <c r="V201" s="43">
        <f t="shared" si="82"/>
        <v>21686770.416424029</v>
      </c>
      <c r="W201" s="43">
        <f t="shared" si="82"/>
        <v>21564634.428781934</v>
      </c>
      <c r="X201" s="43">
        <f t="shared" si="82"/>
        <v>19972770.810665525</v>
      </c>
      <c r="Y201" s="43">
        <f t="shared" si="82"/>
        <v>19067225.55470863</v>
      </c>
      <c r="Z201" s="43">
        <f t="shared" si="82"/>
        <v>17612603.636823058</v>
      </c>
      <c r="AA201" s="43">
        <f t="shared" si="82"/>
        <v>17630118.502450977</v>
      </c>
      <c r="AB201" s="43">
        <f t="shared" si="82"/>
        <v>7372873.3025794616</v>
      </c>
      <c r="AC201" s="43">
        <f t="shared" si="82"/>
        <v>4993192.7027406506</v>
      </c>
      <c r="AD201" s="43">
        <f t="shared" si="82"/>
        <v>5017690.935492794</v>
      </c>
      <c r="AE201" s="43">
        <f t="shared" si="82"/>
        <v>4892389.8991137119</v>
      </c>
      <c r="AF201" s="43">
        <f t="shared" si="82"/>
        <v>4897255.139499926</v>
      </c>
      <c r="AG201" s="43">
        <f t="shared" si="82"/>
        <v>4915248.8684131103</v>
      </c>
      <c r="AH201" s="43">
        <f t="shared" si="82"/>
        <v>4948823.7459066091</v>
      </c>
      <c r="AI201" s="43">
        <f t="shared" si="82"/>
        <v>4938963.9777209274</v>
      </c>
      <c r="AJ201" s="43">
        <f t="shared" si="82"/>
        <v>4918362.5308272364</v>
      </c>
      <c r="AK201" s="43">
        <f t="shared" si="82"/>
        <v>4926699.4249582598</v>
      </c>
      <c r="AL201" s="43">
        <f t="shared" si="82"/>
        <v>4940618.5417222222</v>
      </c>
      <c r="AM201" s="43">
        <f t="shared" si="82"/>
        <v>4943155.509053722</v>
      </c>
      <c r="AN201" s="43">
        <f t="shared" si="82"/>
        <v>4934281.7176844608</v>
      </c>
      <c r="AO201" s="43">
        <f t="shared" si="82"/>
        <v>4918536.3261295706</v>
      </c>
      <c r="AP201" s="43">
        <f t="shared" si="82"/>
        <v>4923730.852473272</v>
      </c>
      <c r="AQ201" s="43"/>
    </row>
    <row r="202" spans="1:43">
      <c r="A202" s="40" t="s">
        <v>50</v>
      </c>
      <c r="B202" s="42">
        <f t="shared" si="83"/>
        <v>0</v>
      </c>
      <c r="C202" s="42">
        <f t="shared" si="83"/>
        <v>0</v>
      </c>
      <c r="D202" s="42">
        <f t="shared" si="83"/>
        <v>1752396</v>
      </c>
      <c r="E202" s="42">
        <f t="shared" si="83"/>
        <v>38040795</v>
      </c>
      <c r="F202" s="42">
        <f t="shared" si="83"/>
        <v>14322012</v>
      </c>
      <c r="G202" s="42">
        <f t="shared" si="83"/>
        <v>25140042</v>
      </c>
      <c r="H202" s="42">
        <f t="shared" si="83"/>
        <v>26370047</v>
      </c>
      <c r="I202" s="42">
        <f t="shared" si="83"/>
        <v>24798141</v>
      </c>
      <c r="J202" s="42">
        <f t="shared" si="81"/>
        <v>36330901</v>
      </c>
      <c r="K202" s="42">
        <f t="shared" si="81"/>
        <v>42622709</v>
      </c>
      <c r="L202" s="42">
        <f t="shared" si="81"/>
        <v>40003047</v>
      </c>
      <c r="M202" s="42">
        <f t="shared" si="81"/>
        <v>45302291</v>
      </c>
      <c r="N202" s="42">
        <f t="shared" si="81"/>
        <v>24798314</v>
      </c>
      <c r="O202" s="42">
        <f t="shared" si="81"/>
        <v>19960063</v>
      </c>
      <c r="P202" s="42">
        <f t="shared" si="82"/>
        <v>39060624</v>
      </c>
      <c r="Q202" s="43">
        <f t="shared" si="82"/>
        <v>23611424.187794033</v>
      </c>
      <c r="R202" s="43">
        <f t="shared" si="82"/>
        <v>23476012.557043031</v>
      </c>
      <c r="S202" s="43">
        <f t="shared" si="82"/>
        <v>19845789.374691956</v>
      </c>
      <c r="T202" s="43">
        <f t="shared" si="82"/>
        <v>19495769.13230991</v>
      </c>
      <c r="U202" s="43">
        <f t="shared" si="82"/>
        <v>20649547.567305811</v>
      </c>
      <c r="V202" s="43">
        <f t="shared" si="82"/>
        <v>17209051.52782115</v>
      </c>
      <c r="W202" s="43">
        <f t="shared" si="82"/>
        <v>16474282.389774922</v>
      </c>
      <c r="X202" s="43">
        <f t="shared" si="82"/>
        <v>14694029.802711355</v>
      </c>
      <c r="Y202" s="43">
        <f t="shared" si="82"/>
        <v>14314305.770075742</v>
      </c>
      <c r="Z202" s="43">
        <f t="shared" si="82"/>
        <v>13762769.789363809</v>
      </c>
      <c r="AA202" s="43">
        <f t="shared" si="82"/>
        <v>13491959.872855645</v>
      </c>
      <c r="AB202" s="43">
        <f t="shared" si="82"/>
        <v>5595180.586526922</v>
      </c>
      <c r="AC202" s="43">
        <f t="shared" si="82"/>
        <v>3673507.4507324784</v>
      </c>
      <c r="AD202" s="43">
        <f t="shared" si="82"/>
        <v>3766922.571104961</v>
      </c>
      <c r="AE202" s="43">
        <f t="shared" si="82"/>
        <v>3822991.6081536408</v>
      </c>
      <c r="AF202" s="43">
        <f t="shared" si="82"/>
        <v>3747766.6312953816</v>
      </c>
      <c r="AG202" s="43">
        <f t="shared" si="82"/>
        <v>3730120.3910382874</v>
      </c>
      <c r="AH202" s="43">
        <f t="shared" si="82"/>
        <v>3748984.5952543477</v>
      </c>
      <c r="AI202" s="43">
        <f t="shared" si="82"/>
        <v>3765757.2940368089</v>
      </c>
      <c r="AJ202" s="43">
        <f t="shared" si="82"/>
        <v>3765452.3617198253</v>
      </c>
      <c r="AK202" s="43">
        <f t="shared" si="82"/>
        <v>3746982.973976254</v>
      </c>
      <c r="AL202" s="43">
        <f t="shared" si="82"/>
        <v>3746612.5177904484</v>
      </c>
      <c r="AM202" s="43">
        <f t="shared" si="82"/>
        <v>3748261.7304661106</v>
      </c>
      <c r="AN202" s="43">
        <f t="shared" si="82"/>
        <v>3763357.1593686948</v>
      </c>
      <c r="AO202" s="43">
        <f t="shared" si="82"/>
        <v>3763124.1039546728</v>
      </c>
      <c r="AP202" s="43">
        <f t="shared" si="82"/>
        <v>3751616.2546686986</v>
      </c>
      <c r="AQ202" s="43"/>
    </row>
    <row r="203" spans="1:43">
      <c r="A203" s="40" t="s">
        <v>51</v>
      </c>
      <c r="B203" s="42">
        <f t="shared" si="83"/>
        <v>0</v>
      </c>
      <c r="C203" s="42">
        <f t="shared" si="83"/>
        <v>0</v>
      </c>
      <c r="D203" s="42">
        <f t="shared" si="83"/>
        <v>14983692</v>
      </c>
      <c r="E203" s="42">
        <f t="shared" si="83"/>
        <v>32459468</v>
      </c>
      <c r="F203" s="42">
        <f t="shared" si="83"/>
        <v>0</v>
      </c>
      <c r="G203" s="42">
        <f t="shared" si="83"/>
        <v>14496610</v>
      </c>
      <c r="H203" s="42">
        <f t="shared" si="83"/>
        <v>32847102</v>
      </c>
      <c r="I203" s="42">
        <f t="shared" si="83"/>
        <v>28656690</v>
      </c>
      <c r="J203" s="42">
        <f t="shared" si="81"/>
        <v>28109173</v>
      </c>
      <c r="K203" s="42">
        <f t="shared" si="81"/>
        <v>39258951</v>
      </c>
      <c r="L203" s="42">
        <f t="shared" si="81"/>
        <v>89201630</v>
      </c>
      <c r="M203" s="42">
        <f t="shared" si="81"/>
        <v>72454920</v>
      </c>
      <c r="N203" s="42">
        <f t="shared" si="81"/>
        <v>58434071</v>
      </c>
      <c r="O203" s="42">
        <f t="shared" si="81"/>
        <v>13204613</v>
      </c>
      <c r="P203" s="42">
        <f t="shared" si="82"/>
        <v>31025527</v>
      </c>
      <c r="Q203" s="43">
        <f t="shared" si="82"/>
        <v>30671866.845214706</v>
      </c>
      <c r="R203" s="43">
        <f t="shared" si="82"/>
        <v>33648206.989643991</v>
      </c>
      <c r="S203" s="43">
        <f t="shared" si="82"/>
        <v>27238716.32122441</v>
      </c>
      <c r="T203" s="43">
        <f t="shared" si="82"/>
        <v>21654210.865446854</v>
      </c>
      <c r="U203" s="43">
        <f t="shared" si="82"/>
        <v>23734715.174330577</v>
      </c>
      <c r="V203" s="43">
        <f t="shared" si="82"/>
        <v>22009454.392861106</v>
      </c>
      <c r="W203" s="43">
        <f t="shared" si="82"/>
        <v>20992140.612688866</v>
      </c>
      <c r="X203" s="43">
        <f t="shared" si="82"/>
        <v>18137919.586956732</v>
      </c>
      <c r="Y203" s="43">
        <f t="shared" si="82"/>
        <v>17225875.506500721</v>
      </c>
      <c r="Z203" s="43">
        <f t="shared" si="82"/>
        <v>16860567.84329601</v>
      </c>
      <c r="AA203" s="43">
        <f t="shared" si="82"/>
        <v>16804580.813284528</v>
      </c>
      <c r="AB203" s="43">
        <f t="shared" si="82"/>
        <v>6924698.7971400572</v>
      </c>
      <c r="AC203" s="43">
        <f t="shared" si="82"/>
        <v>4534479.8968066284</v>
      </c>
      <c r="AD203" s="43">
        <f t="shared" si="82"/>
        <v>4533125.1333286511</v>
      </c>
      <c r="AE203" s="43">
        <f t="shared" si="82"/>
        <v>4683491.067578583</v>
      </c>
      <c r="AF203" s="43">
        <f t="shared" si="82"/>
        <v>4667939.1147347353</v>
      </c>
      <c r="AG203" s="43">
        <f t="shared" si="82"/>
        <v>4616465.8647852102</v>
      </c>
      <c r="AH203" s="43">
        <f t="shared" si="82"/>
        <v>4603251.0634772051</v>
      </c>
      <c r="AI203" s="43">
        <f t="shared" si="82"/>
        <v>4618533.5449593216</v>
      </c>
      <c r="AJ203" s="43">
        <f t="shared" si="82"/>
        <v>4640883.409685011</v>
      </c>
      <c r="AK203" s="43">
        <f t="shared" si="82"/>
        <v>4627206.8775223903</v>
      </c>
      <c r="AL203" s="43">
        <f t="shared" si="82"/>
        <v>4607951.638114702</v>
      </c>
      <c r="AM203" s="43">
        <f t="shared" si="82"/>
        <v>4607100.2154481933</v>
      </c>
      <c r="AN203" s="43">
        <f t="shared" si="82"/>
        <v>4620854.4487800971</v>
      </c>
      <c r="AO203" s="43">
        <f t="shared" si="82"/>
        <v>4637936.1311057536</v>
      </c>
      <c r="AP203" s="43">
        <f t="shared" si="82"/>
        <v>4629414.5995280026</v>
      </c>
      <c r="AQ203" s="43"/>
    </row>
    <row r="204" spans="1:43">
      <c r="A204" s="40" t="s">
        <v>52</v>
      </c>
      <c r="B204" s="42">
        <f t="shared" si="83"/>
        <v>0</v>
      </c>
      <c r="C204" s="42">
        <f t="shared" si="83"/>
        <v>0</v>
      </c>
      <c r="D204" s="42">
        <f t="shared" si="83"/>
        <v>21620626</v>
      </c>
      <c r="E204" s="42">
        <f t="shared" si="83"/>
        <v>34666105</v>
      </c>
      <c r="F204" s="42">
        <f t="shared" si="83"/>
        <v>592513</v>
      </c>
      <c r="G204" s="42">
        <f t="shared" si="83"/>
        <v>15055052</v>
      </c>
      <c r="H204" s="42">
        <f t="shared" si="83"/>
        <v>18610543</v>
      </c>
      <c r="I204" s="42">
        <f t="shared" si="83"/>
        <v>27697620</v>
      </c>
      <c r="J204" s="42">
        <f t="shared" si="81"/>
        <v>0</v>
      </c>
      <c r="K204" s="42">
        <f t="shared" si="81"/>
        <v>56190217</v>
      </c>
      <c r="L204" s="42">
        <f t="shared" si="81"/>
        <v>49742290</v>
      </c>
      <c r="M204" s="42">
        <f t="shared" si="81"/>
        <v>71374179</v>
      </c>
      <c r="N204" s="42">
        <f t="shared" si="81"/>
        <v>57833894</v>
      </c>
      <c r="O204" s="42">
        <f t="shared" si="81"/>
        <v>81552983</v>
      </c>
      <c r="P204" s="42">
        <f t="shared" si="82"/>
        <v>29588164</v>
      </c>
      <c r="Q204" s="43">
        <f t="shared" si="82"/>
        <v>31752374.475441303</v>
      </c>
      <c r="R204" s="43">
        <f t="shared" si="82"/>
        <v>41962633.365055621</v>
      </c>
      <c r="S204" s="43">
        <f t="shared" si="82"/>
        <v>37917648.160517111</v>
      </c>
      <c r="T204" s="43">
        <f t="shared" si="82"/>
        <v>34493432.66235663</v>
      </c>
      <c r="U204" s="43">
        <f t="shared" si="82"/>
        <v>28356986.246537123</v>
      </c>
      <c r="V204" s="43">
        <f t="shared" si="82"/>
        <v>28041922.758781001</v>
      </c>
      <c r="W204" s="43">
        <f t="shared" si="82"/>
        <v>27944611.068178669</v>
      </c>
      <c r="X204" s="43">
        <f t="shared" si="82"/>
        <v>24588957.003472846</v>
      </c>
      <c r="Y204" s="43">
        <f t="shared" si="82"/>
        <v>23192274.766414426</v>
      </c>
      <c r="Z204" s="43">
        <f t="shared" si="82"/>
        <v>21818766.35944045</v>
      </c>
      <c r="AA204" s="43">
        <f t="shared" si="82"/>
        <v>22162329.168699849</v>
      </c>
      <c r="AB204" s="43">
        <f t="shared" ref="AB204:AP204" si="84">AB220+AB236+AB252</f>
        <v>9208226.0281805452</v>
      </c>
      <c r="AC204" s="43">
        <f t="shared" si="84"/>
        <v>6147239.250959646</v>
      </c>
      <c r="AD204" s="43">
        <f t="shared" si="84"/>
        <v>6103230.2017404977</v>
      </c>
      <c r="AE204" s="43">
        <f t="shared" si="84"/>
        <v>6060768.4331731889</v>
      </c>
      <c r="AF204" s="43">
        <f t="shared" si="84"/>
        <v>6156202.5467733387</v>
      </c>
      <c r="AG204" s="43">
        <f t="shared" si="84"/>
        <v>6138817.3521538386</v>
      </c>
      <c r="AH204" s="43">
        <f t="shared" si="84"/>
        <v>6119427.4743323531</v>
      </c>
      <c r="AI204" s="43">
        <f t="shared" si="84"/>
        <v>6113247.079525888</v>
      </c>
      <c r="AJ204" s="43">
        <f t="shared" si="84"/>
        <v>6115868.3185723964</v>
      </c>
      <c r="AK204" s="43">
        <f t="shared" si="84"/>
        <v>6133554.7015409712</v>
      </c>
      <c r="AL204" s="43">
        <f t="shared" si="84"/>
        <v>6122848.4474334633</v>
      </c>
      <c r="AM204" s="43">
        <f t="shared" si="84"/>
        <v>6121251.5569621492</v>
      </c>
      <c r="AN204" s="43">
        <f t="shared" si="84"/>
        <v>6115689.2016336741</v>
      </c>
      <c r="AO204" s="43">
        <f t="shared" si="84"/>
        <v>6117692.577190117</v>
      </c>
      <c r="AP204" s="43">
        <f t="shared" si="84"/>
        <v>6128712.5542711914</v>
      </c>
      <c r="AQ204" s="43"/>
    </row>
    <row r="205" spans="1:43">
      <c r="A205" s="40" t="s">
        <v>53</v>
      </c>
      <c r="B205" s="42">
        <f t="shared" si="83"/>
        <v>0</v>
      </c>
      <c r="C205" s="42">
        <f t="shared" si="83"/>
        <v>0</v>
      </c>
      <c r="D205" s="42">
        <f t="shared" si="83"/>
        <v>17524064</v>
      </c>
      <c r="E205" s="42">
        <f t="shared" si="83"/>
        <v>37138234</v>
      </c>
      <c r="F205" s="42">
        <f t="shared" si="83"/>
        <v>15848100</v>
      </c>
      <c r="G205" s="42">
        <f t="shared" si="83"/>
        <v>21825921</v>
      </c>
      <c r="H205" s="42">
        <f t="shared" si="83"/>
        <v>25299337</v>
      </c>
      <c r="I205" s="42">
        <f t="shared" si="83"/>
        <v>19600412</v>
      </c>
      <c r="J205" s="42">
        <f t="shared" si="81"/>
        <v>18173877</v>
      </c>
      <c r="K205" s="42">
        <f t="shared" si="81"/>
        <v>41048038</v>
      </c>
      <c r="L205" s="42">
        <f t="shared" si="81"/>
        <v>69217057</v>
      </c>
      <c r="M205" s="42">
        <f t="shared" si="81"/>
        <v>48685115</v>
      </c>
      <c r="N205" s="42">
        <f t="shared" si="81"/>
        <v>42380484</v>
      </c>
      <c r="O205" s="42">
        <f t="shared" si="81"/>
        <v>76883434</v>
      </c>
      <c r="P205" s="42">
        <f t="shared" si="81"/>
        <v>13660232</v>
      </c>
      <c r="Q205" s="43">
        <f t="shared" si="81"/>
        <v>28660341.462727264</v>
      </c>
      <c r="R205" s="43">
        <f t="shared" si="81"/>
        <v>33806792.713921428</v>
      </c>
      <c r="S205" s="43">
        <f t="shared" ref="S205:AP206" si="85">S221+S237+S253</f>
        <v>30727849.551264275</v>
      </c>
      <c r="T205" s="43">
        <f t="shared" si="85"/>
        <v>28730527.602328412</v>
      </c>
      <c r="U205" s="43">
        <f t="shared" si="85"/>
        <v>22095602.20827936</v>
      </c>
      <c r="V205" s="43">
        <f t="shared" si="85"/>
        <v>23146250.394579101</v>
      </c>
      <c r="W205" s="43">
        <f t="shared" si="85"/>
        <v>22664785.495295495</v>
      </c>
      <c r="X205" s="43">
        <f t="shared" si="85"/>
        <v>19978825.921929911</v>
      </c>
      <c r="Y205" s="43">
        <f t="shared" si="85"/>
        <v>18857053.9645098</v>
      </c>
      <c r="Z205" s="43">
        <f t="shared" si="85"/>
        <v>17627204.804763</v>
      </c>
      <c r="AA205" s="43">
        <f t="shared" si="85"/>
        <v>18048374.220136326</v>
      </c>
      <c r="AB205" s="43">
        <f t="shared" si="85"/>
        <v>7475095.7235960187</v>
      </c>
      <c r="AC205" s="43">
        <f t="shared" si="85"/>
        <v>4994706.4805567693</v>
      </c>
      <c r="AD205" s="43">
        <f t="shared" si="85"/>
        <v>4962382.6222820999</v>
      </c>
      <c r="AE205" s="43">
        <f t="shared" si="85"/>
        <v>4896445.7790970253</v>
      </c>
      <c r="AF205" s="43">
        <f t="shared" si="85"/>
        <v>5013437.2832997562</v>
      </c>
      <c r="AG205" s="43">
        <f t="shared" si="85"/>
        <v>4983397.1490911851</v>
      </c>
      <c r="AH205" s="43">
        <f t="shared" si="85"/>
        <v>4968882.0991005292</v>
      </c>
      <c r="AI205" s="43">
        <f t="shared" si="85"/>
        <v>4963143.3476654841</v>
      </c>
      <c r="AJ205" s="43">
        <f t="shared" si="85"/>
        <v>4963342.4159899959</v>
      </c>
      <c r="AK205" s="43">
        <f t="shared" si="85"/>
        <v>4984815.4105489757</v>
      </c>
      <c r="AL205" s="43">
        <f t="shared" si="85"/>
        <v>4971285.0707050618</v>
      </c>
      <c r="AM205" s="43">
        <f t="shared" si="85"/>
        <v>4970073.862867035</v>
      </c>
      <c r="AN205" s="43">
        <f t="shared" si="85"/>
        <v>4964908.9865733357</v>
      </c>
      <c r="AO205" s="43">
        <f t="shared" si="85"/>
        <v>4965061.131649496</v>
      </c>
      <c r="AP205" s="43">
        <f t="shared" si="85"/>
        <v>4978440.4590290841</v>
      </c>
      <c r="AQ205" s="43"/>
    </row>
    <row r="206" spans="1:43">
      <c r="A206" s="40" t="s">
        <v>54</v>
      </c>
      <c r="B206" s="42">
        <f t="shared" si="83"/>
        <v>0</v>
      </c>
      <c r="C206" s="42">
        <f t="shared" si="83"/>
        <v>0</v>
      </c>
      <c r="D206" s="42">
        <f t="shared" si="83"/>
        <v>7516482</v>
      </c>
      <c r="E206" s="42">
        <f t="shared" si="83"/>
        <v>25688283</v>
      </c>
      <c r="F206" s="42">
        <f t="shared" si="83"/>
        <v>19767862</v>
      </c>
      <c r="G206" s="42">
        <f t="shared" si="83"/>
        <v>13816833</v>
      </c>
      <c r="H206" s="42">
        <f t="shared" si="83"/>
        <v>26960315</v>
      </c>
      <c r="I206" s="42">
        <f t="shared" si="83"/>
        <v>33281506</v>
      </c>
      <c r="J206" s="42">
        <f t="shared" si="81"/>
        <v>40248896</v>
      </c>
      <c r="K206" s="42">
        <f t="shared" si="81"/>
        <v>52020645</v>
      </c>
      <c r="L206" s="42">
        <f t="shared" si="81"/>
        <v>62816369</v>
      </c>
      <c r="M206" s="42">
        <f t="shared" si="81"/>
        <v>76169718</v>
      </c>
      <c r="N206" s="42">
        <f t="shared" si="81"/>
        <v>55483461</v>
      </c>
      <c r="O206" s="42">
        <f t="shared" si="81"/>
        <v>81742040</v>
      </c>
      <c r="P206" s="42">
        <f t="shared" si="81"/>
        <v>7202279</v>
      </c>
      <c r="Q206" s="43">
        <f t="shared" si="81"/>
        <v>104506682.28108422</v>
      </c>
      <c r="R206" s="43">
        <f t="shared" si="81"/>
        <v>52824937.599267565</v>
      </c>
      <c r="S206" s="43">
        <f t="shared" si="85"/>
        <v>48815555.472107477</v>
      </c>
      <c r="T206" s="43">
        <f t="shared" si="85"/>
        <v>46864066.565717205</v>
      </c>
      <c r="U206" s="43">
        <f t="shared" si="85"/>
        <v>42818613.688287117</v>
      </c>
      <c r="V206" s="43">
        <f t="shared" si="85"/>
        <v>47544083.945913635</v>
      </c>
      <c r="W206" s="43">
        <f t="shared" si="85"/>
        <v>39087369.371673405</v>
      </c>
      <c r="X206" s="43">
        <f t="shared" si="85"/>
        <v>35314461.026422322</v>
      </c>
      <c r="Y206" s="43">
        <f t="shared" si="85"/>
        <v>34220794.020014316</v>
      </c>
      <c r="Z206" s="43">
        <f t="shared" si="85"/>
        <v>32859961.43967453</v>
      </c>
      <c r="AA206" s="43">
        <f t="shared" si="85"/>
        <v>33357647.612190992</v>
      </c>
      <c r="AB206" s="43">
        <f t="shared" si="85"/>
        <v>13449248.728470085</v>
      </c>
      <c r="AC206" s="43">
        <f t="shared" si="85"/>
        <v>8828615.2567368969</v>
      </c>
      <c r="AD206" s="43">
        <f t="shared" si="85"/>
        <v>9005472.1106075402</v>
      </c>
      <c r="AE206" s="43">
        <f t="shared" si="85"/>
        <v>9127767.0665691514</v>
      </c>
      <c r="AF206" s="43">
        <f t="shared" si="85"/>
        <v>9266013.2254765648</v>
      </c>
      <c r="AG206" s="43">
        <f t="shared" si="85"/>
        <v>8966165.8190289624</v>
      </c>
      <c r="AH206" s="43">
        <f t="shared" si="85"/>
        <v>9042552.2925544642</v>
      </c>
      <c r="AI206" s="43">
        <f t="shared" si="85"/>
        <v>9090093.8560690954</v>
      </c>
      <c r="AJ206" s="43">
        <f t="shared" si="85"/>
        <v>9112237.8642270584</v>
      </c>
      <c r="AK206" s="43">
        <f t="shared" si="85"/>
        <v>9107253.1819952279</v>
      </c>
      <c r="AL206" s="43">
        <f t="shared" si="85"/>
        <v>9032202.9796257913</v>
      </c>
      <c r="AM206" s="43">
        <f t="shared" si="85"/>
        <v>9038806.6956865434</v>
      </c>
      <c r="AN206" s="43">
        <f t="shared" si="85"/>
        <v>9081594.1028457712</v>
      </c>
      <c r="AO206" s="43">
        <f t="shared" si="85"/>
        <v>9098518.4519371297</v>
      </c>
      <c r="AP206" s="43">
        <f t="shared" si="85"/>
        <v>9095412.611470582</v>
      </c>
      <c r="AQ206" s="43"/>
    </row>
    <row r="207" spans="1:43">
      <c r="A207" s="40" t="s">
        <v>29</v>
      </c>
      <c r="B207" s="42">
        <f>SUM(B195:B206)</f>
        <v>0</v>
      </c>
      <c r="C207" s="42">
        <f t="shared" ref="C207:AP207" si="86">SUM(C195:C206)</f>
        <v>0</v>
      </c>
      <c r="D207" s="42">
        <f t="shared" si="86"/>
        <v>85463969</v>
      </c>
      <c r="E207" s="42">
        <f t="shared" si="86"/>
        <v>282697724</v>
      </c>
      <c r="F207" s="42">
        <f t="shared" si="86"/>
        <v>291970178</v>
      </c>
      <c r="G207" s="42">
        <f t="shared" si="86"/>
        <v>230801430</v>
      </c>
      <c r="H207" s="42">
        <f t="shared" si="86"/>
        <v>312849257</v>
      </c>
      <c r="I207" s="42">
        <f t="shared" si="86"/>
        <v>339179310</v>
      </c>
      <c r="J207" s="42">
        <f t="shared" si="86"/>
        <v>345674276</v>
      </c>
      <c r="K207" s="42">
        <f t="shared" si="86"/>
        <v>516595843</v>
      </c>
      <c r="L207" s="42">
        <f t="shared" si="86"/>
        <v>610439070</v>
      </c>
      <c r="M207" s="42">
        <f t="shared" si="86"/>
        <v>659350236</v>
      </c>
      <c r="N207" s="42">
        <f t="shared" si="86"/>
        <v>629417981</v>
      </c>
      <c r="O207" s="42">
        <f t="shared" si="86"/>
        <v>713299224</v>
      </c>
      <c r="P207" s="42">
        <f t="shared" si="86"/>
        <v>533476210</v>
      </c>
      <c r="Q207" s="43">
        <f t="shared" si="86"/>
        <v>357983802.53133196</v>
      </c>
      <c r="R207" s="43">
        <f t="shared" si="86"/>
        <v>465378942.84239835</v>
      </c>
      <c r="S207" s="43">
        <f t="shared" si="86"/>
        <v>429580562.6237523</v>
      </c>
      <c r="T207" s="43">
        <f t="shared" si="86"/>
        <v>393782182.40510637</v>
      </c>
      <c r="U207" s="43">
        <f t="shared" si="86"/>
        <v>357983802.18646038</v>
      </c>
      <c r="V207" s="43">
        <f t="shared" si="86"/>
        <v>322185422.02989119</v>
      </c>
      <c r="W207" s="43">
        <f t="shared" si="86"/>
        <v>322185421.98022968</v>
      </c>
      <c r="X207" s="43">
        <f t="shared" si="86"/>
        <v>286387041.76241136</v>
      </c>
      <c r="Y207" s="43">
        <f t="shared" si="86"/>
        <v>272067689.67680693</v>
      </c>
      <c r="Z207" s="43">
        <f t="shared" si="86"/>
        <v>257748337.59141451</v>
      </c>
      <c r="AA207" s="43">
        <f t="shared" si="86"/>
        <v>257748337.59484699</v>
      </c>
      <c r="AB207" s="43">
        <f t="shared" si="86"/>
        <v>107395140.66209742</v>
      </c>
      <c r="AC207" s="43">
        <f t="shared" si="86"/>
        <v>71596760.441667765</v>
      </c>
      <c r="AD207" s="43">
        <f t="shared" si="86"/>
        <v>71596760.441880748</v>
      </c>
      <c r="AE207" s="43">
        <f t="shared" si="86"/>
        <v>71596760.442003906</v>
      </c>
      <c r="AF207" s="43">
        <f t="shared" si="86"/>
        <v>71596760.44199276</v>
      </c>
      <c r="AG207" s="43">
        <f t="shared" si="86"/>
        <v>71596760.441788703</v>
      </c>
      <c r="AH207" s="43">
        <f t="shared" si="86"/>
        <v>71596760.441866755</v>
      </c>
      <c r="AI207" s="43">
        <f t="shared" si="86"/>
        <v>71596760.441906571</v>
      </c>
      <c r="AJ207" s="43">
        <f t="shared" si="86"/>
        <v>71596760.441911727</v>
      </c>
      <c r="AK207" s="43">
        <f t="shared" si="86"/>
        <v>71596760.441893324</v>
      </c>
      <c r="AL207" s="43">
        <f t="shared" si="86"/>
        <v>71596760.441873431</v>
      </c>
      <c r="AM207" s="43">
        <f t="shared" si="86"/>
        <v>71596760.441890359</v>
      </c>
      <c r="AN207" s="43">
        <f t="shared" si="86"/>
        <v>71596760.441895083</v>
      </c>
      <c r="AO207" s="43">
        <f t="shared" si="86"/>
        <v>71596760.441892788</v>
      </c>
      <c r="AP207" s="43">
        <f t="shared" si="86"/>
        <v>71596760.441889003</v>
      </c>
      <c r="AQ207" s="43"/>
    </row>
    <row r="209" spans="1:43" ht="12" thickBot="1">
      <c r="A209" s="245" t="s">
        <v>388</v>
      </c>
    </row>
    <row r="210" spans="1:43" ht="12" thickBot="1">
      <c r="A210" s="270"/>
      <c r="B210" s="263">
        <v>2010</v>
      </c>
      <c r="C210" s="263">
        <v>2011</v>
      </c>
      <c r="D210" s="263">
        <v>2012</v>
      </c>
      <c r="E210" s="263">
        <v>2013</v>
      </c>
      <c r="F210" s="263">
        <v>2014</v>
      </c>
      <c r="G210" s="263">
        <v>2015</v>
      </c>
      <c r="H210" s="263">
        <v>2016</v>
      </c>
      <c r="I210" s="263">
        <v>2017</v>
      </c>
      <c r="J210" s="263">
        <v>2018</v>
      </c>
      <c r="K210" s="263">
        <v>2019</v>
      </c>
      <c r="L210" s="263">
        <v>2020</v>
      </c>
      <c r="M210" s="263">
        <v>2021</v>
      </c>
      <c r="N210" s="263">
        <v>2022</v>
      </c>
      <c r="O210" s="263">
        <v>2023</v>
      </c>
      <c r="P210" s="263">
        <v>2024</v>
      </c>
      <c r="Q210" s="263">
        <v>2025</v>
      </c>
      <c r="R210" s="263">
        <v>2026</v>
      </c>
      <c r="S210" s="263">
        <v>2027</v>
      </c>
      <c r="T210" s="263">
        <v>2028</v>
      </c>
      <c r="U210" s="263">
        <v>2029</v>
      </c>
      <c r="V210" s="263">
        <v>2030</v>
      </c>
      <c r="W210" s="263">
        <v>2031</v>
      </c>
      <c r="X210" s="263">
        <v>2032</v>
      </c>
      <c r="Y210" s="263">
        <v>2033</v>
      </c>
      <c r="Z210" s="263">
        <v>2034</v>
      </c>
      <c r="AA210" s="263">
        <v>2035</v>
      </c>
      <c r="AB210" s="263">
        <v>2036</v>
      </c>
      <c r="AC210" s="263">
        <v>2037</v>
      </c>
      <c r="AD210" s="263">
        <v>2038</v>
      </c>
      <c r="AE210" s="263">
        <v>2039</v>
      </c>
      <c r="AF210" s="263">
        <v>2040</v>
      </c>
      <c r="AG210" s="263">
        <v>2041</v>
      </c>
      <c r="AH210" s="263">
        <v>2042</v>
      </c>
      <c r="AI210" s="263">
        <v>2043</v>
      </c>
      <c r="AJ210" s="263">
        <v>2044</v>
      </c>
      <c r="AK210" s="263">
        <v>2045</v>
      </c>
      <c r="AL210" s="263">
        <v>2046</v>
      </c>
      <c r="AM210" s="263">
        <v>2047</v>
      </c>
      <c r="AN210" s="263">
        <v>2048</v>
      </c>
      <c r="AO210" s="263">
        <v>2049</v>
      </c>
      <c r="AP210" s="263">
        <v>2050</v>
      </c>
      <c r="AQ210" s="245"/>
    </row>
    <row r="211" spans="1:43">
      <c r="A211" s="40" t="s">
        <v>43</v>
      </c>
      <c r="B211" s="42">
        <f>'Monthly D4 RIN Data'!$W4</f>
        <v>0</v>
      </c>
      <c r="C211" s="42">
        <f>'Monthly D4 RIN Data'!$W16</f>
        <v>0</v>
      </c>
      <c r="D211" s="42">
        <f>'Monthly D4 RIN Data'!$W28</f>
        <v>0</v>
      </c>
      <c r="E211" s="42">
        <f>'Monthly D4 RIN Data'!$W40</f>
        <v>0</v>
      </c>
      <c r="F211" s="42">
        <f>'Monthly D4 RIN Data'!$W52</f>
        <v>0</v>
      </c>
      <c r="G211" s="42">
        <f>'Monthly D4 RIN Data'!$W64</f>
        <v>0</v>
      </c>
      <c r="H211" s="42">
        <f>'Monthly D4 RIN Data'!$W76</f>
        <v>0</v>
      </c>
      <c r="I211" s="42">
        <f>'Monthly D4 RIN Data'!$W88</f>
        <v>0</v>
      </c>
      <c r="J211" s="42">
        <f>'Monthly D4 RIN Data'!$W100</f>
        <v>0</v>
      </c>
      <c r="K211" s="42">
        <f>'Monthly D4 RIN Data'!$W112</f>
        <v>0</v>
      </c>
      <c r="L211" s="42">
        <f>'Monthly D4 RIN Data'!$W124</f>
        <v>0</v>
      </c>
      <c r="M211" s="42">
        <f>'Monthly D4 RIN Data'!$W136</f>
        <v>0</v>
      </c>
      <c r="N211" s="42">
        <f>'Monthly D4 RIN Data'!$W148</f>
        <v>0</v>
      </c>
      <c r="O211" s="42">
        <f>'Monthly D4 RIN Data'!$W160</f>
        <v>0</v>
      </c>
      <c r="P211" s="42">
        <f>'Monthly D4 RIN Data'!$W172</f>
        <v>0</v>
      </c>
      <c r="Q211" s="42">
        <f>'Monthly D4 RIN Data'!$W184</f>
        <v>0</v>
      </c>
      <c r="R211" s="43">
        <f>'D4 Gallon Forecast'!R213</f>
        <v>0</v>
      </c>
      <c r="S211" s="43">
        <f>'D4 Gallon Forecast'!S213</f>
        <v>0</v>
      </c>
      <c r="T211" s="43">
        <f>'D4 Gallon Forecast'!T213</f>
        <v>0</v>
      </c>
      <c r="U211" s="43">
        <f>'D4 Gallon Forecast'!U213</f>
        <v>0</v>
      </c>
      <c r="V211" s="43">
        <f>'D4 Gallon Forecast'!V213</f>
        <v>0</v>
      </c>
      <c r="W211" s="43">
        <f>'D4 Gallon Forecast'!W213</f>
        <v>0</v>
      </c>
      <c r="X211" s="43">
        <f>'D4 Gallon Forecast'!X213</f>
        <v>0</v>
      </c>
      <c r="Y211" s="43">
        <f>'D4 Gallon Forecast'!Y213</f>
        <v>0</v>
      </c>
      <c r="Z211" s="43">
        <f>'D4 Gallon Forecast'!Z213</f>
        <v>0</v>
      </c>
      <c r="AA211" s="43">
        <f>'D4 Gallon Forecast'!AA213</f>
        <v>0</v>
      </c>
      <c r="AB211" s="43">
        <f>'D4 Gallon Forecast'!AB213</f>
        <v>0</v>
      </c>
      <c r="AC211" s="43">
        <f>'D4 Gallon Forecast'!AC213</f>
        <v>0</v>
      </c>
      <c r="AD211" s="43">
        <f>'D4 Gallon Forecast'!AD213</f>
        <v>0</v>
      </c>
      <c r="AE211" s="43">
        <f>'D4 Gallon Forecast'!AE213</f>
        <v>0</v>
      </c>
      <c r="AF211" s="43">
        <f>'D4 Gallon Forecast'!AF213</f>
        <v>0</v>
      </c>
      <c r="AG211" s="43">
        <f>'D4 Gallon Forecast'!AG213</f>
        <v>0</v>
      </c>
      <c r="AH211" s="43">
        <f>'D4 Gallon Forecast'!AH213</f>
        <v>0</v>
      </c>
      <c r="AI211" s="43">
        <f>'D4 Gallon Forecast'!AI213</f>
        <v>0</v>
      </c>
      <c r="AJ211" s="43">
        <f>'D4 Gallon Forecast'!AJ213</f>
        <v>0</v>
      </c>
      <c r="AK211" s="43">
        <f>'D4 Gallon Forecast'!AK213</f>
        <v>0</v>
      </c>
      <c r="AL211" s="43">
        <f>'D4 Gallon Forecast'!AL213</f>
        <v>0</v>
      </c>
      <c r="AM211" s="43">
        <f>'D4 Gallon Forecast'!AM213</f>
        <v>0</v>
      </c>
      <c r="AN211" s="43">
        <f>'D4 Gallon Forecast'!AN213</f>
        <v>0</v>
      </c>
      <c r="AO211" s="43">
        <f>'D4 Gallon Forecast'!AO213</f>
        <v>0</v>
      </c>
      <c r="AP211" s="43">
        <f>'D4 Gallon Forecast'!AP213</f>
        <v>0</v>
      </c>
      <c r="AQ211" s="43"/>
    </row>
    <row r="212" spans="1:43">
      <c r="A212" s="40" t="s">
        <v>44</v>
      </c>
      <c r="B212" s="42">
        <f>'Monthly D4 RIN Data'!$W5</f>
        <v>0</v>
      </c>
      <c r="C212" s="42">
        <f>'Monthly D4 RIN Data'!$W17</f>
        <v>0</v>
      </c>
      <c r="D212" s="42">
        <f>'Monthly D4 RIN Data'!$W29</f>
        <v>0</v>
      </c>
      <c r="E212" s="42">
        <f>'Monthly D4 RIN Data'!$W41</f>
        <v>0</v>
      </c>
      <c r="F212" s="42">
        <f>'Monthly D4 RIN Data'!$W53</f>
        <v>0</v>
      </c>
      <c r="G212" s="42">
        <f>'Monthly D4 RIN Data'!$W65</f>
        <v>0</v>
      </c>
      <c r="H212" s="42">
        <f>'Monthly D4 RIN Data'!$W77</f>
        <v>0</v>
      </c>
      <c r="I212" s="42">
        <f>'Monthly D4 RIN Data'!$W89</f>
        <v>0</v>
      </c>
      <c r="J212" s="42">
        <f>'Monthly D4 RIN Data'!$W101</f>
        <v>0</v>
      </c>
      <c r="K212" s="42">
        <f>'Monthly D4 RIN Data'!$W113</f>
        <v>0</v>
      </c>
      <c r="L212" s="42">
        <f>'Monthly D4 RIN Data'!$W125</f>
        <v>0</v>
      </c>
      <c r="M212" s="42">
        <f>'Monthly D4 RIN Data'!$W137</f>
        <v>0</v>
      </c>
      <c r="N212" s="42">
        <f>'Monthly D4 RIN Data'!$W149</f>
        <v>0</v>
      </c>
      <c r="O212" s="42">
        <f>'Monthly D4 RIN Data'!$W161</f>
        <v>0</v>
      </c>
      <c r="P212" s="42">
        <f>'Monthly D4 RIN Data'!$W173</f>
        <v>0</v>
      </c>
      <c r="Q212" s="42">
        <f>'Monthly D4 RIN Data'!$W185</f>
        <v>0</v>
      </c>
      <c r="R212" s="43">
        <f>'D4 Gallon Forecast'!R214</f>
        <v>0</v>
      </c>
      <c r="S212" s="43">
        <f>'D4 Gallon Forecast'!S214</f>
        <v>0</v>
      </c>
      <c r="T212" s="43">
        <f>'D4 Gallon Forecast'!T214</f>
        <v>0</v>
      </c>
      <c r="U212" s="43">
        <f>'D4 Gallon Forecast'!U214</f>
        <v>0</v>
      </c>
      <c r="V212" s="43">
        <f>'D4 Gallon Forecast'!V214</f>
        <v>0</v>
      </c>
      <c r="W212" s="43">
        <f>'D4 Gallon Forecast'!W214</f>
        <v>0</v>
      </c>
      <c r="X212" s="43">
        <f>'D4 Gallon Forecast'!X214</f>
        <v>0</v>
      </c>
      <c r="Y212" s="43">
        <f>'D4 Gallon Forecast'!Y214</f>
        <v>0</v>
      </c>
      <c r="Z212" s="43">
        <f>'D4 Gallon Forecast'!Z214</f>
        <v>0</v>
      </c>
      <c r="AA212" s="43">
        <f>'D4 Gallon Forecast'!AA214</f>
        <v>0</v>
      </c>
      <c r="AB212" s="43">
        <f>'D4 Gallon Forecast'!AB214</f>
        <v>0</v>
      </c>
      <c r="AC212" s="43">
        <f>'D4 Gallon Forecast'!AC214</f>
        <v>0</v>
      </c>
      <c r="AD212" s="43">
        <f>'D4 Gallon Forecast'!AD214</f>
        <v>0</v>
      </c>
      <c r="AE212" s="43">
        <f>'D4 Gallon Forecast'!AE214</f>
        <v>0</v>
      </c>
      <c r="AF212" s="43">
        <f>'D4 Gallon Forecast'!AF214</f>
        <v>0</v>
      </c>
      <c r="AG212" s="43">
        <f>'D4 Gallon Forecast'!AG214</f>
        <v>0</v>
      </c>
      <c r="AH212" s="43">
        <f>'D4 Gallon Forecast'!AH214</f>
        <v>0</v>
      </c>
      <c r="AI212" s="43">
        <f>'D4 Gallon Forecast'!AI214</f>
        <v>0</v>
      </c>
      <c r="AJ212" s="43">
        <f>'D4 Gallon Forecast'!AJ214</f>
        <v>0</v>
      </c>
      <c r="AK212" s="43">
        <f>'D4 Gallon Forecast'!AK214</f>
        <v>0</v>
      </c>
      <c r="AL212" s="43">
        <f>'D4 Gallon Forecast'!AL214</f>
        <v>0</v>
      </c>
      <c r="AM212" s="43">
        <f>'D4 Gallon Forecast'!AM214</f>
        <v>0</v>
      </c>
      <c r="AN212" s="43">
        <f>'D4 Gallon Forecast'!AN214</f>
        <v>0</v>
      </c>
      <c r="AO212" s="43">
        <f>'D4 Gallon Forecast'!AO214</f>
        <v>0</v>
      </c>
      <c r="AP212" s="43">
        <f>'D4 Gallon Forecast'!AP214</f>
        <v>0</v>
      </c>
      <c r="AQ212" s="43"/>
    </row>
    <row r="213" spans="1:43">
      <c r="A213" s="40" t="s">
        <v>45</v>
      </c>
      <c r="B213" s="42">
        <f>'Monthly D4 RIN Data'!$W6</f>
        <v>0</v>
      </c>
      <c r="C213" s="42">
        <f>'Monthly D4 RIN Data'!$W18</f>
        <v>0</v>
      </c>
      <c r="D213" s="42">
        <f>'Monthly D4 RIN Data'!$W30</f>
        <v>0</v>
      </c>
      <c r="E213" s="42">
        <f>'Monthly D4 RIN Data'!$W42</f>
        <v>0</v>
      </c>
      <c r="F213" s="42">
        <f>'Monthly D4 RIN Data'!$W54</f>
        <v>0</v>
      </c>
      <c r="G213" s="42">
        <f>'Monthly D4 RIN Data'!$W66</f>
        <v>0</v>
      </c>
      <c r="H213" s="42">
        <f>'Monthly D4 RIN Data'!$W78</f>
        <v>0</v>
      </c>
      <c r="I213" s="42">
        <f>'Monthly D4 RIN Data'!$W90</f>
        <v>0</v>
      </c>
      <c r="J213" s="42">
        <f>'Monthly D4 RIN Data'!$W102</f>
        <v>0</v>
      </c>
      <c r="K213" s="42">
        <f>'Monthly D4 RIN Data'!$W114</f>
        <v>0</v>
      </c>
      <c r="L213" s="42">
        <f>'Monthly D4 RIN Data'!$W126</f>
        <v>0</v>
      </c>
      <c r="M213" s="42">
        <f>'Monthly D4 RIN Data'!$W138</f>
        <v>0</v>
      </c>
      <c r="N213" s="42">
        <f>'Monthly D4 RIN Data'!$W150</f>
        <v>0</v>
      </c>
      <c r="O213" s="42">
        <f>'Monthly D4 RIN Data'!$W162</f>
        <v>0</v>
      </c>
      <c r="P213" s="42">
        <f>'Monthly D4 RIN Data'!$W174</f>
        <v>0</v>
      </c>
      <c r="Q213" s="42">
        <f>'Monthly D4 RIN Data'!$W186</f>
        <v>0</v>
      </c>
      <c r="R213" s="43">
        <f>'D4 Gallon Forecast'!R215</f>
        <v>0</v>
      </c>
      <c r="S213" s="43">
        <f>'D4 Gallon Forecast'!S215</f>
        <v>0</v>
      </c>
      <c r="T213" s="43">
        <f>'D4 Gallon Forecast'!T215</f>
        <v>0</v>
      </c>
      <c r="U213" s="43">
        <f>'D4 Gallon Forecast'!U215</f>
        <v>0</v>
      </c>
      <c r="V213" s="43">
        <f>'D4 Gallon Forecast'!V215</f>
        <v>0</v>
      </c>
      <c r="W213" s="43">
        <f>'D4 Gallon Forecast'!W215</f>
        <v>0</v>
      </c>
      <c r="X213" s="43">
        <f>'D4 Gallon Forecast'!X215</f>
        <v>0</v>
      </c>
      <c r="Y213" s="43">
        <f>'D4 Gallon Forecast'!Y215</f>
        <v>0</v>
      </c>
      <c r="Z213" s="43">
        <f>'D4 Gallon Forecast'!Z215</f>
        <v>0</v>
      </c>
      <c r="AA213" s="43">
        <f>'D4 Gallon Forecast'!AA215</f>
        <v>0</v>
      </c>
      <c r="AB213" s="43">
        <f>'D4 Gallon Forecast'!AB215</f>
        <v>0</v>
      </c>
      <c r="AC213" s="43">
        <f>'D4 Gallon Forecast'!AC215</f>
        <v>0</v>
      </c>
      <c r="AD213" s="43">
        <f>'D4 Gallon Forecast'!AD215</f>
        <v>0</v>
      </c>
      <c r="AE213" s="43">
        <f>'D4 Gallon Forecast'!AE215</f>
        <v>0</v>
      </c>
      <c r="AF213" s="43">
        <f>'D4 Gallon Forecast'!AF215</f>
        <v>0</v>
      </c>
      <c r="AG213" s="43">
        <f>'D4 Gallon Forecast'!AG215</f>
        <v>0</v>
      </c>
      <c r="AH213" s="43">
        <f>'D4 Gallon Forecast'!AH215</f>
        <v>0</v>
      </c>
      <c r="AI213" s="43">
        <f>'D4 Gallon Forecast'!AI215</f>
        <v>0</v>
      </c>
      <c r="AJ213" s="43">
        <f>'D4 Gallon Forecast'!AJ215</f>
        <v>0</v>
      </c>
      <c r="AK213" s="43">
        <f>'D4 Gallon Forecast'!AK215</f>
        <v>0</v>
      </c>
      <c r="AL213" s="43">
        <f>'D4 Gallon Forecast'!AL215</f>
        <v>0</v>
      </c>
      <c r="AM213" s="43">
        <f>'D4 Gallon Forecast'!AM215</f>
        <v>0</v>
      </c>
      <c r="AN213" s="43">
        <f>'D4 Gallon Forecast'!AN215</f>
        <v>0</v>
      </c>
      <c r="AO213" s="43">
        <f>'D4 Gallon Forecast'!AO215</f>
        <v>0</v>
      </c>
      <c r="AP213" s="43">
        <f>'D4 Gallon Forecast'!AP215</f>
        <v>0</v>
      </c>
      <c r="AQ213" s="43"/>
    </row>
    <row r="214" spans="1:43">
      <c r="A214" s="40" t="s">
        <v>46</v>
      </c>
      <c r="B214" s="42">
        <f>'Monthly D4 RIN Data'!$W7</f>
        <v>0</v>
      </c>
      <c r="C214" s="42">
        <f>'Monthly D4 RIN Data'!$W19</f>
        <v>0</v>
      </c>
      <c r="D214" s="42">
        <f>'Monthly D4 RIN Data'!$W31</f>
        <v>0</v>
      </c>
      <c r="E214" s="42">
        <f>'Monthly D4 RIN Data'!$W43</f>
        <v>0</v>
      </c>
      <c r="F214" s="42">
        <f>'Monthly D4 RIN Data'!$W55</f>
        <v>0</v>
      </c>
      <c r="G214" s="42">
        <f>'Monthly D4 RIN Data'!$W67</f>
        <v>0</v>
      </c>
      <c r="H214" s="42">
        <f>'Monthly D4 RIN Data'!$W79</f>
        <v>0</v>
      </c>
      <c r="I214" s="42">
        <f>'Monthly D4 RIN Data'!$W91</f>
        <v>0</v>
      </c>
      <c r="J214" s="42">
        <f>'Monthly D4 RIN Data'!$W103</f>
        <v>0</v>
      </c>
      <c r="K214" s="42">
        <f>'Monthly D4 RIN Data'!$W115</f>
        <v>0</v>
      </c>
      <c r="L214" s="42">
        <f>'Monthly D4 RIN Data'!$W127</f>
        <v>0</v>
      </c>
      <c r="M214" s="42">
        <f>'Monthly D4 RIN Data'!$W139</f>
        <v>0</v>
      </c>
      <c r="N214" s="42">
        <f>'Monthly D4 RIN Data'!$W151</f>
        <v>0</v>
      </c>
      <c r="O214" s="42">
        <f>'Monthly D4 RIN Data'!$W163</f>
        <v>0</v>
      </c>
      <c r="P214" s="42">
        <f>'Monthly D4 RIN Data'!$W175</f>
        <v>0</v>
      </c>
      <c r="Q214" s="43">
        <f>'D4 Gallon Forecast'!Q216</f>
        <v>0</v>
      </c>
      <c r="R214" s="43">
        <f>'D4 Gallon Forecast'!R216</f>
        <v>0</v>
      </c>
      <c r="S214" s="43">
        <f>'D4 Gallon Forecast'!S216</f>
        <v>0</v>
      </c>
      <c r="T214" s="43">
        <f>'D4 Gallon Forecast'!T216</f>
        <v>0</v>
      </c>
      <c r="U214" s="43">
        <f>'D4 Gallon Forecast'!U216</f>
        <v>0</v>
      </c>
      <c r="V214" s="43">
        <f>'D4 Gallon Forecast'!V216</f>
        <v>0</v>
      </c>
      <c r="W214" s="43">
        <f>'D4 Gallon Forecast'!W216</f>
        <v>0</v>
      </c>
      <c r="X214" s="43">
        <f>'D4 Gallon Forecast'!X216</f>
        <v>0</v>
      </c>
      <c r="Y214" s="43">
        <f>'D4 Gallon Forecast'!Y216</f>
        <v>0</v>
      </c>
      <c r="Z214" s="43">
        <f>'D4 Gallon Forecast'!Z216</f>
        <v>0</v>
      </c>
      <c r="AA214" s="43">
        <f>'D4 Gallon Forecast'!AA216</f>
        <v>0</v>
      </c>
      <c r="AB214" s="43">
        <f>'D4 Gallon Forecast'!AB216</f>
        <v>0</v>
      </c>
      <c r="AC214" s="43">
        <f>'D4 Gallon Forecast'!AC216</f>
        <v>0</v>
      </c>
      <c r="AD214" s="43">
        <f>'D4 Gallon Forecast'!AD216</f>
        <v>0</v>
      </c>
      <c r="AE214" s="43">
        <f>'D4 Gallon Forecast'!AE216</f>
        <v>0</v>
      </c>
      <c r="AF214" s="43">
        <f>'D4 Gallon Forecast'!AF216</f>
        <v>0</v>
      </c>
      <c r="AG214" s="43">
        <f>'D4 Gallon Forecast'!AG216</f>
        <v>0</v>
      </c>
      <c r="AH214" s="43">
        <f>'D4 Gallon Forecast'!AH216</f>
        <v>0</v>
      </c>
      <c r="AI214" s="43">
        <f>'D4 Gallon Forecast'!AI216</f>
        <v>0</v>
      </c>
      <c r="AJ214" s="43">
        <f>'D4 Gallon Forecast'!AJ216</f>
        <v>0</v>
      </c>
      <c r="AK214" s="43">
        <f>'D4 Gallon Forecast'!AK216</f>
        <v>0</v>
      </c>
      <c r="AL214" s="43">
        <f>'D4 Gallon Forecast'!AL216</f>
        <v>0</v>
      </c>
      <c r="AM214" s="43">
        <f>'D4 Gallon Forecast'!AM216</f>
        <v>0</v>
      </c>
      <c r="AN214" s="43">
        <f>'D4 Gallon Forecast'!AN216</f>
        <v>0</v>
      </c>
      <c r="AO214" s="43">
        <f>'D4 Gallon Forecast'!AO216</f>
        <v>0</v>
      </c>
      <c r="AP214" s="43">
        <f>'D4 Gallon Forecast'!AP216</f>
        <v>0</v>
      </c>
      <c r="AQ214" s="43"/>
    </row>
    <row r="215" spans="1:43">
      <c r="A215" s="40" t="s">
        <v>47</v>
      </c>
      <c r="B215" s="42">
        <f>'Monthly D4 RIN Data'!$W8</f>
        <v>0</v>
      </c>
      <c r="C215" s="42">
        <f>'Monthly D4 RIN Data'!$W20</f>
        <v>0</v>
      </c>
      <c r="D215" s="42">
        <f>'Monthly D4 RIN Data'!$W32</f>
        <v>0</v>
      </c>
      <c r="E215" s="42">
        <f>'Monthly D4 RIN Data'!$W44</f>
        <v>0</v>
      </c>
      <c r="F215" s="42">
        <f>'Monthly D4 RIN Data'!$W56</f>
        <v>0</v>
      </c>
      <c r="G215" s="42">
        <f>'Monthly D4 RIN Data'!$W68</f>
        <v>0</v>
      </c>
      <c r="H215" s="42">
        <f>'Monthly D4 RIN Data'!$W80</f>
        <v>0</v>
      </c>
      <c r="I215" s="42">
        <f>'Monthly D4 RIN Data'!$W92</f>
        <v>0</v>
      </c>
      <c r="J215" s="42">
        <f>'Monthly D4 RIN Data'!$W104</f>
        <v>0</v>
      </c>
      <c r="K215" s="42">
        <f>'Monthly D4 RIN Data'!$W116</f>
        <v>0</v>
      </c>
      <c r="L215" s="42">
        <f>'Monthly D4 RIN Data'!$W128</f>
        <v>0</v>
      </c>
      <c r="M215" s="42">
        <f>'Monthly D4 RIN Data'!$W140</f>
        <v>0</v>
      </c>
      <c r="N215" s="42">
        <f>'Monthly D4 RIN Data'!$W152</f>
        <v>0</v>
      </c>
      <c r="O215" s="42">
        <f>'Monthly D4 RIN Data'!$W164</f>
        <v>0</v>
      </c>
      <c r="P215" s="42">
        <f>'Monthly D4 RIN Data'!$W176</f>
        <v>0</v>
      </c>
      <c r="Q215" s="43">
        <f>'D4 Gallon Forecast'!Q217</f>
        <v>0</v>
      </c>
      <c r="R215" s="43">
        <f>'D4 Gallon Forecast'!R217</f>
        <v>0</v>
      </c>
      <c r="S215" s="43">
        <f>'D4 Gallon Forecast'!S217</f>
        <v>0</v>
      </c>
      <c r="T215" s="43">
        <f>'D4 Gallon Forecast'!T217</f>
        <v>0</v>
      </c>
      <c r="U215" s="43">
        <f>'D4 Gallon Forecast'!U217</f>
        <v>0</v>
      </c>
      <c r="V215" s="43">
        <f>'D4 Gallon Forecast'!V217</f>
        <v>0</v>
      </c>
      <c r="W215" s="43">
        <f>'D4 Gallon Forecast'!W217</f>
        <v>0</v>
      </c>
      <c r="X215" s="43">
        <f>'D4 Gallon Forecast'!X217</f>
        <v>0</v>
      </c>
      <c r="Y215" s="43">
        <f>'D4 Gallon Forecast'!Y217</f>
        <v>0</v>
      </c>
      <c r="Z215" s="43">
        <f>'D4 Gallon Forecast'!Z217</f>
        <v>0</v>
      </c>
      <c r="AA215" s="43">
        <f>'D4 Gallon Forecast'!AA217</f>
        <v>0</v>
      </c>
      <c r="AB215" s="43">
        <f>'D4 Gallon Forecast'!AB217</f>
        <v>0</v>
      </c>
      <c r="AC215" s="43">
        <f>'D4 Gallon Forecast'!AC217</f>
        <v>0</v>
      </c>
      <c r="AD215" s="43">
        <f>'D4 Gallon Forecast'!AD217</f>
        <v>0</v>
      </c>
      <c r="AE215" s="43">
        <f>'D4 Gallon Forecast'!AE217</f>
        <v>0</v>
      </c>
      <c r="AF215" s="43">
        <f>'D4 Gallon Forecast'!AF217</f>
        <v>0</v>
      </c>
      <c r="AG215" s="43">
        <f>'D4 Gallon Forecast'!AG217</f>
        <v>0</v>
      </c>
      <c r="AH215" s="43">
        <f>'D4 Gallon Forecast'!AH217</f>
        <v>0</v>
      </c>
      <c r="AI215" s="43">
        <f>'D4 Gallon Forecast'!AI217</f>
        <v>0</v>
      </c>
      <c r="AJ215" s="43">
        <f>'D4 Gallon Forecast'!AJ217</f>
        <v>0</v>
      </c>
      <c r="AK215" s="43">
        <f>'D4 Gallon Forecast'!AK217</f>
        <v>0</v>
      </c>
      <c r="AL215" s="43">
        <f>'D4 Gallon Forecast'!AL217</f>
        <v>0</v>
      </c>
      <c r="AM215" s="43">
        <f>'D4 Gallon Forecast'!AM217</f>
        <v>0</v>
      </c>
      <c r="AN215" s="43">
        <f>'D4 Gallon Forecast'!AN217</f>
        <v>0</v>
      </c>
      <c r="AO215" s="43">
        <f>'D4 Gallon Forecast'!AO217</f>
        <v>0</v>
      </c>
      <c r="AP215" s="43">
        <f>'D4 Gallon Forecast'!AP217</f>
        <v>0</v>
      </c>
      <c r="AQ215" s="43"/>
    </row>
    <row r="216" spans="1:43">
      <c r="A216" s="40" t="s">
        <v>48</v>
      </c>
      <c r="B216" s="42">
        <f>'Monthly D4 RIN Data'!$W9</f>
        <v>0</v>
      </c>
      <c r="C216" s="42">
        <f>'Monthly D4 RIN Data'!$W21</f>
        <v>0</v>
      </c>
      <c r="D216" s="42">
        <f>'Monthly D4 RIN Data'!$W33</f>
        <v>0</v>
      </c>
      <c r="E216" s="42">
        <f>'Monthly D4 RIN Data'!$W45</f>
        <v>0</v>
      </c>
      <c r="F216" s="42">
        <f>'Monthly D4 RIN Data'!$W57</f>
        <v>0</v>
      </c>
      <c r="G216" s="42">
        <f>'Monthly D4 RIN Data'!$W69</f>
        <v>0</v>
      </c>
      <c r="H216" s="42">
        <f>'Monthly D4 RIN Data'!$W81</f>
        <v>0</v>
      </c>
      <c r="I216" s="42">
        <f>'Monthly D4 RIN Data'!$W93</f>
        <v>0</v>
      </c>
      <c r="J216" s="42">
        <f>'Monthly D4 RIN Data'!$W105</f>
        <v>0</v>
      </c>
      <c r="K216" s="42">
        <f>'Monthly D4 RIN Data'!$W117</f>
        <v>0</v>
      </c>
      <c r="L216" s="42">
        <f>'Monthly D4 RIN Data'!$W129</f>
        <v>0</v>
      </c>
      <c r="M216" s="42">
        <f>'Monthly D4 RIN Data'!$W141</f>
        <v>0</v>
      </c>
      <c r="N216" s="42">
        <f>'Monthly D4 RIN Data'!$W153</f>
        <v>0</v>
      </c>
      <c r="O216" s="42">
        <f>'Monthly D4 RIN Data'!$W165</f>
        <v>0</v>
      </c>
      <c r="P216" s="42">
        <f>'Monthly D4 RIN Data'!$W177</f>
        <v>0</v>
      </c>
      <c r="Q216" s="43">
        <f>'D4 Gallon Forecast'!Q218</f>
        <v>0</v>
      </c>
      <c r="R216" s="43">
        <f>'D4 Gallon Forecast'!R218</f>
        <v>0</v>
      </c>
      <c r="S216" s="43">
        <f>'D4 Gallon Forecast'!S218</f>
        <v>0</v>
      </c>
      <c r="T216" s="43">
        <f>'D4 Gallon Forecast'!T218</f>
        <v>0</v>
      </c>
      <c r="U216" s="43">
        <f>'D4 Gallon Forecast'!U218</f>
        <v>0</v>
      </c>
      <c r="V216" s="43">
        <f>'D4 Gallon Forecast'!V218</f>
        <v>0</v>
      </c>
      <c r="W216" s="43">
        <f>'D4 Gallon Forecast'!W218</f>
        <v>0</v>
      </c>
      <c r="X216" s="43">
        <f>'D4 Gallon Forecast'!X218</f>
        <v>0</v>
      </c>
      <c r="Y216" s="43">
        <f>'D4 Gallon Forecast'!Y218</f>
        <v>0</v>
      </c>
      <c r="Z216" s="43">
        <f>'D4 Gallon Forecast'!Z218</f>
        <v>0</v>
      </c>
      <c r="AA216" s="43">
        <f>'D4 Gallon Forecast'!AA218</f>
        <v>0</v>
      </c>
      <c r="AB216" s="43">
        <f>'D4 Gallon Forecast'!AB218</f>
        <v>0</v>
      </c>
      <c r="AC216" s="43">
        <f>'D4 Gallon Forecast'!AC218</f>
        <v>0</v>
      </c>
      <c r="AD216" s="43">
        <f>'D4 Gallon Forecast'!AD218</f>
        <v>0</v>
      </c>
      <c r="AE216" s="43">
        <f>'D4 Gallon Forecast'!AE218</f>
        <v>0</v>
      </c>
      <c r="AF216" s="43">
        <f>'D4 Gallon Forecast'!AF218</f>
        <v>0</v>
      </c>
      <c r="AG216" s="43">
        <f>'D4 Gallon Forecast'!AG218</f>
        <v>0</v>
      </c>
      <c r="AH216" s="43">
        <f>'D4 Gallon Forecast'!AH218</f>
        <v>0</v>
      </c>
      <c r="AI216" s="43">
        <f>'D4 Gallon Forecast'!AI218</f>
        <v>0</v>
      </c>
      <c r="AJ216" s="43">
        <f>'D4 Gallon Forecast'!AJ218</f>
        <v>0</v>
      </c>
      <c r="AK216" s="43">
        <f>'D4 Gallon Forecast'!AK218</f>
        <v>0</v>
      </c>
      <c r="AL216" s="43">
        <f>'D4 Gallon Forecast'!AL218</f>
        <v>0</v>
      </c>
      <c r="AM216" s="43">
        <f>'D4 Gallon Forecast'!AM218</f>
        <v>0</v>
      </c>
      <c r="AN216" s="43">
        <f>'D4 Gallon Forecast'!AN218</f>
        <v>0</v>
      </c>
      <c r="AO216" s="43">
        <f>'D4 Gallon Forecast'!AO218</f>
        <v>0</v>
      </c>
      <c r="AP216" s="43">
        <f>'D4 Gallon Forecast'!AP218</f>
        <v>0</v>
      </c>
      <c r="AQ216" s="43"/>
    </row>
    <row r="217" spans="1:43">
      <c r="A217" s="40" t="s">
        <v>49</v>
      </c>
      <c r="B217" s="42">
        <f>'Monthly D4 RIN Data'!$W10</f>
        <v>0</v>
      </c>
      <c r="C217" s="42">
        <f>'Monthly D4 RIN Data'!$W22</f>
        <v>0</v>
      </c>
      <c r="D217" s="42">
        <f>'Monthly D4 RIN Data'!$W34</f>
        <v>0</v>
      </c>
      <c r="E217" s="42">
        <f>'Monthly D4 RIN Data'!$W46</f>
        <v>0</v>
      </c>
      <c r="F217" s="42">
        <f>'Monthly D4 RIN Data'!$W58</f>
        <v>0</v>
      </c>
      <c r="G217" s="42">
        <f>'Monthly D4 RIN Data'!$W70</f>
        <v>0</v>
      </c>
      <c r="H217" s="42">
        <f>'Monthly D4 RIN Data'!$W82</f>
        <v>0</v>
      </c>
      <c r="I217" s="42">
        <f>'Monthly D4 RIN Data'!$W94</f>
        <v>0</v>
      </c>
      <c r="J217" s="42">
        <f>'Monthly D4 RIN Data'!$W106</f>
        <v>0</v>
      </c>
      <c r="K217" s="42">
        <f>'Monthly D4 RIN Data'!$W118</f>
        <v>0</v>
      </c>
      <c r="L217" s="42">
        <f>'Monthly D4 RIN Data'!$W130</f>
        <v>0</v>
      </c>
      <c r="M217" s="42">
        <f>'Monthly D4 RIN Data'!$W142</f>
        <v>0</v>
      </c>
      <c r="N217" s="42">
        <f>'Monthly D4 RIN Data'!$W154</f>
        <v>0</v>
      </c>
      <c r="O217" s="42">
        <f>'Monthly D4 RIN Data'!$W166</f>
        <v>0</v>
      </c>
      <c r="P217" s="42">
        <f>'Monthly D4 RIN Data'!$W178</f>
        <v>0</v>
      </c>
      <c r="Q217" s="43">
        <f>'D4 Gallon Forecast'!Q219</f>
        <v>0</v>
      </c>
      <c r="R217" s="43">
        <f>'D4 Gallon Forecast'!R219</f>
        <v>0</v>
      </c>
      <c r="S217" s="43">
        <f>'D4 Gallon Forecast'!S219</f>
        <v>0</v>
      </c>
      <c r="T217" s="43">
        <f>'D4 Gallon Forecast'!T219</f>
        <v>0</v>
      </c>
      <c r="U217" s="43">
        <f>'D4 Gallon Forecast'!U219</f>
        <v>0</v>
      </c>
      <c r="V217" s="43">
        <f>'D4 Gallon Forecast'!V219</f>
        <v>0</v>
      </c>
      <c r="W217" s="43">
        <f>'D4 Gallon Forecast'!W219</f>
        <v>0</v>
      </c>
      <c r="X217" s="43">
        <f>'D4 Gallon Forecast'!X219</f>
        <v>0</v>
      </c>
      <c r="Y217" s="43">
        <f>'D4 Gallon Forecast'!Y219</f>
        <v>0</v>
      </c>
      <c r="Z217" s="43">
        <f>'D4 Gallon Forecast'!Z219</f>
        <v>0</v>
      </c>
      <c r="AA217" s="43">
        <f>'D4 Gallon Forecast'!AA219</f>
        <v>0</v>
      </c>
      <c r="AB217" s="43">
        <f>'D4 Gallon Forecast'!AB219</f>
        <v>0</v>
      </c>
      <c r="AC217" s="43">
        <f>'D4 Gallon Forecast'!AC219</f>
        <v>0</v>
      </c>
      <c r="AD217" s="43">
        <f>'D4 Gallon Forecast'!AD219</f>
        <v>0</v>
      </c>
      <c r="AE217" s="43">
        <f>'D4 Gallon Forecast'!AE219</f>
        <v>0</v>
      </c>
      <c r="AF217" s="43">
        <f>'D4 Gallon Forecast'!AF219</f>
        <v>0</v>
      </c>
      <c r="AG217" s="43">
        <f>'D4 Gallon Forecast'!AG219</f>
        <v>0</v>
      </c>
      <c r="AH217" s="43">
        <f>'D4 Gallon Forecast'!AH219</f>
        <v>0</v>
      </c>
      <c r="AI217" s="43">
        <f>'D4 Gallon Forecast'!AI219</f>
        <v>0</v>
      </c>
      <c r="AJ217" s="43">
        <f>'D4 Gallon Forecast'!AJ219</f>
        <v>0</v>
      </c>
      <c r="AK217" s="43">
        <f>'D4 Gallon Forecast'!AK219</f>
        <v>0</v>
      </c>
      <c r="AL217" s="43">
        <f>'D4 Gallon Forecast'!AL219</f>
        <v>0</v>
      </c>
      <c r="AM217" s="43">
        <f>'D4 Gallon Forecast'!AM219</f>
        <v>0</v>
      </c>
      <c r="AN217" s="43">
        <f>'D4 Gallon Forecast'!AN219</f>
        <v>0</v>
      </c>
      <c r="AO217" s="43">
        <f>'D4 Gallon Forecast'!AO219</f>
        <v>0</v>
      </c>
      <c r="AP217" s="43">
        <f>'D4 Gallon Forecast'!AP219</f>
        <v>0</v>
      </c>
      <c r="AQ217" s="43"/>
    </row>
    <row r="218" spans="1:43">
      <c r="A218" s="40" t="s">
        <v>50</v>
      </c>
      <c r="B218" s="42">
        <f>'Monthly D4 RIN Data'!$W11</f>
        <v>0</v>
      </c>
      <c r="C218" s="42">
        <f>'Monthly D4 RIN Data'!$W23</f>
        <v>0</v>
      </c>
      <c r="D218" s="42">
        <f>'Monthly D4 RIN Data'!$W35</f>
        <v>0</v>
      </c>
      <c r="E218" s="42">
        <f>'Monthly D4 RIN Data'!$W47</f>
        <v>0</v>
      </c>
      <c r="F218" s="42">
        <f>'Monthly D4 RIN Data'!$W59</f>
        <v>0</v>
      </c>
      <c r="G218" s="42">
        <f>'Monthly D4 RIN Data'!$W71</f>
        <v>0</v>
      </c>
      <c r="H218" s="42">
        <f>'Monthly D4 RIN Data'!$W83</f>
        <v>0</v>
      </c>
      <c r="I218" s="42">
        <f>'Monthly D4 RIN Data'!$W95</f>
        <v>0</v>
      </c>
      <c r="J218" s="42">
        <f>'Monthly D4 RIN Data'!$W107</f>
        <v>0</v>
      </c>
      <c r="K218" s="42">
        <f>'Monthly D4 RIN Data'!$W119</f>
        <v>0</v>
      </c>
      <c r="L218" s="42">
        <f>'Monthly D4 RIN Data'!$W131</f>
        <v>0</v>
      </c>
      <c r="M218" s="42">
        <f>'Monthly D4 RIN Data'!$W143</f>
        <v>0</v>
      </c>
      <c r="N218" s="42">
        <f>'Monthly D4 RIN Data'!$W155</f>
        <v>0</v>
      </c>
      <c r="O218" s="42">
        <f>'Monthly D4 RIN Data'!$W167</f>
        <v>0</v>
      </c>
      <c r="P218" s="42">
        <f>'Monthly D4 RIN Data'!$W179</f>
        <v>0</v>
      </c>
      <c r="Q218" s="43">
        <f>'D4 Gallon Forecast'!Q220</f>
        <v>0</v>
      </c>
      <c r="R218" s="43">
        <f>'D4 Gallon Forecast'!R220</f>
        <v>0</v>
      </c>
      <c r="S218" s="43">
        <f>'D4 Gallon Forecast'!S220</f>
        <v>0</v>
      </c>
      <c r="T218" s="43">
        <f>'D4 Gallon Forecast'!T220</f>
        <v>0</v>
      </c>
      <c r="U218" s="43">
        <f>'D4 Gallon Forecast'!U220</f>
        <v>0</v>
      </c>
      <c r="V218" s="43">
        <f>'D4 Gallon Forecast'!V220</f>
        <v>0</v>
      </c>
      <c r="W218" s="43">
        <f>'D4 Gallon Forecast'!W220</f>
        <v>0</v>
      </c>
      <c r="X218" s="43">
        <f>'D4 Gallon Forecast'!X220</f>
        <v>0</v>
      </c>
      <c r="Y218" s="43">
        <f>'D4 Gallon Forecast'!Y220</f>
        <v>0</v>
      </c>
      <c r="Z218" s="43">
        <f>'D4 Gallon Forecast'!Z220</f>
        <v>0</v>
      </c>
      <c r="AA218" s="43">
        <f>'D4 Gallon Forecast'!AA220</f>
        <v>0</v>
      </c>
      <c r="AB218" s="43">
        <f>'D4 Gallon Forecast'!AB220</f>
        <v>0</v>
      </c>
      <c r="AC218" s="43">
        <f>'D4 Gallon Forecast'!AC220</f>
        <v>0</v>
      </c>
      <c r="AD218" s="43">
        <f>'D4 Gallon Forecast'!AD220</f>
        <v>0</v>
      </c>
      <c r="AE218" s="43">
        <f>'D4 Gallon Forecast'!AE220</f>
        <v>0</v>
      </c>
      <c r="AF218" s="43">
        <f>'D4 Gallon Forecast'!AF220</f>
        <v>0</v>
      </c>
      <c r="AG218" s="43">
        <f>'D4 Gallon Forecast'!AG220</f>
        <v>0</v>
      </c>
      <c r="AH218" s="43">
        <f>'D4 Gallon Forecast'!AH220</f>
        <v>0</v>
      </c>
      <c r="AI218" s="43">
        <f>'D4 Gallon Forecast'!AI220</f>
        <v>0</v>
      </c>
      <c r="AJ218" s="43">
        <f>'D4 Gallon Forecast'!AJ220</f>
        <v>0</v>
      </c>
      <c r="AK218" s="43">
        <f>'D4 Gallon Forecast'!AK220</f>
        <v>0</v>
      </c>
      <c r="AL218" s="43">
        <f>'D4 Gallon Forecast'!AL220</f>
        <v>0</v>
      </c>
      <c r="AM218" s="43">
        <f>'D4 Gallon Forecast'!AM220</f>
        <v>0</v>
      </c>
      <c r="AN218" s="43">
        <f>'D4 Gallon Forecast'!AN220</f>
        <v>0</v>
      </c>
      <c r="AO218" s="43">
        <f>'D4 Gallon Forecast'!AO220</f>
        <v>0</v>
      </c>
      <c r="AP218" s="43">
        <f>'D4 Gallon Forecast'!AP220</f>
        <v>0</v>
      </c>
      <c r="AQ218" s="43"/>
    </row>
    <row r="219" spans="1:43">
      <c r="A219" s="40" t="s">
        <v>51</v>
      </c>
      <c r="B219" s="42">
        <f>'Monthly D4 RIN Data'!$W12</f>
        <v>0</v>
      </c>
      <c r="C219" s="42">
        <f>'Monthly D4 RIN Data'!$W24</f>
        <v>0</v>
      </c>
      <c r="D219" s="42">
        <f>'Monthly D4 RIN Data'!$W36</f>
        <v>0</v>
      </c>
      <c r="E219" s="42">
        <f>'Monthly D4 RIN Data'!$W48</f>
        <v>0</v>
      </c>
      <c r="F219" s="42">
        <f>'Monthly D4 RIN Data'!$W60</f>
        <v>0</v>
      </c>
      <c r="G219" s="42">
        <f>'Monthly D4 RIN Data'!$W72</f>
        <v>0</v>
      </c>
      <c r="H219" s="42">
        <f>'Monthly D4 RIN Data'!$W84</f>
        <v>0</v>
      </c>
      <c r="I219" s="42">
        <f>'Monthly D4 RIN Data'!$W96</f>
        <v>0</v>
      </c>
      <c r="J219" s="42">
        <f>'Monthly D4 RIN Data'!$W108</f>
        <v>0</v>
      </c>
      <c r="K219" s="42">
        <f>'Monthly D4 RIN Data'!$W120</f>
        <v>0</v>
      </c>
      <c r="L219" s="42">
        <f>'Monthly D4 RIN Data'!$W132</f>
        <v>0</v>
      </c>
      <c r="M219" s="42">
        <f>'Monthly D4 RIN Data'!$W144</f>
        <v>0</v>
      </c>
      <c r="N219" s="42">
        <f>'Monthly D4 RIN Data'!$W156</f>
        <v>0</v>
      </c>
      <c r="O219" s="42">
        <f>'Monthly D4 RIN Data'!$W168</f>
        <v>0</v>
      </c>
      <c r="P219" s="42">
        <f>'Monthly D4 RIN Data'!$W180</f>
        <v>0</v>
      </c>
      <c r="Q219" s="43">
        <f>'D4 Gallon Forecast'!Q221</f>
        <v>0</v>
      </c>
      <c r="R219" s="43">
        <f>'D4 Gallon Forecast'!R221</f>
        <v>0</v>
      </c>
      <c r="S219" s="43">
        <f>'D4 Gallon Forecast'!S221</f>
        <v>0</v>
      </c>
      <c r="T219" s="43">
        <f>'D4 Gallon Forecast'!T221</f>
        <v>0</v>
      </c>
      <c r="U219" s="43">
        <f>'D4 Gallon Forecast'!U221</f>
        <v>0</v>
      </c>
      <c r="V219" s="43">
        <f>'D4 Gallon Forecast'!V221</f>
        <v>0</v>
      </c>
      <c r="W219" s="43">
        <f>'D4 Gallon Forecast'!W221</f>
        <v>0</v>
      </c>
      <c r="X219" s="43">
        <f>'D4 Gallon Forecast'!X221</f>
        <v>0</v>
      </c>
      <c r="Y219" s="43">
        <f>'D4 Gallon Forecast'!Y221</f>
        <v>0</v>
      </c>
      <c r="Z219" s="43">
        <f>'D4 Gallon Forecast'!Z221</f>
        <v>0</v>
      </c>
      <c r="AA219" s="43">
        <f>'D4 Gallon Forecast'!AA221</f>
        <v>0</v>
      </c>
      <c r="AB219" s="43">
        <f>'D4 Gallon Forecast'!AB221</f>
        <v>0</v>
      </c>
      <c r="AC219" s="43">
        <f>'D4 Gallon Forecast'!AC221</f>
        <v>0</v>
      </c>
      <c r="AD219" s="43">
        <f>'D4 Gallon Forecast'!AD221</f>
        <v>0</v>
      </c>
      <c r="AE219" s="43">
        <f>'D4 Gallon Forecast'!AE221</f>
        <v>0</v>
      </c>
      <c r="AF219" s="43">
        <f>'D4 Gallon Forecast'!AF221</f>
        <v>0</v>
      </c>
      <c r="AG219" s="43">
        <f>'D4 Gallon Forecast'!AG221</f>
        <v>0</v>
      </c>
      <c r="AH219" s="43">
        <f>'D4 Gallon Forecast'!AH221</f>
        <v>0</v>
      </c>
      <c r="AI219" s="43">
        <f>'D4 Gallon Forecast'!AI221</f>
        <v>0</v>
      </c>
      <c r="AJ219" s="43">
        <f>'D4 Gallon Forecast'!AJ221</f>
        <v>0</v>
      </c>
      <c r="AK219" s="43">
        <f>'D4 Gallon Forecast'!AK221</f>
        <v>0</v>
      </c>
      <c r="AL219" s="43">
        <f>'D4 Gallon Forecast'!AL221</f>
        <v>0</v>
      </c>
      <c r="AM219" s="43">
        <f>'D4 Gallon Forecast'!AM221</f>
        <v>0</v>
      </c>
      <c r="AN219" s="43">
        <f>'D4 Gallon Forecast'!AN221</f>
        <v>0</v>
      </c>
      <c r="AO219" s="43">
        <f>'D4 Gallon Forecast'!AO221</f>
        <v>0</v>
      </c>
      <c r="AP219" s="43">
        <f>'D4 Gallon Forecast'!AP221</f>
        <v>0</v>
      </c>
      <c r="AQ219" s="43"/>
    </row>
    <row r="220" spans="1:43">
      <c r="A220" s="40" t="s">
        <v>52</v>
      </c>
      <c r="B220" s="42">
        <f>'Monthly D4 RIN Data'!$W13</f>
        <v>0</v>
      </c>
      <c r="C220" s="42">
        <f>'Monthly D4 RIN Data'!$W25</f>
        <v>0</v>
      </c>
      <c r="D220" s="42">
        <f>'Monthly D4 RIN Data'!$W37</f>
        <v>0</v>
      </c>
      <c r="E220" s="42">
        <f>'Monthly D4 RIN Data'!$W49</f>
        <v>0</v>
      </c>
      <c r="F220" s="42">
        <f>'Monthly D4 RIN Data'!$W61</f>
        <v>0</v>
      </c>
      <c r="G220" s="42">
        <f>'Monthly D4 RIN Data'!$W73</f>
        <v>0</v>
      </c>
      <c r="H220" s="42">
        <f>'Monthly D4 RIN Data'!$W85</f>
        <v>0</v>
      </c>
      <c r="I220" s="42">
        <f>'Monthly D4 RIN Data'!$W97</f>
        <v>0</v>
      </c>
      <c r="J220" s="42">
        <f>'Monthly D4 RIN Data'!$W109</f>
        <v>0</v>
      </c>
      <c r="K220" s="42">
        <f>'Monthly D4 RIN Data'!$W121</f>
        <v>0</v>
      </c>
      <c r="L220" s="42">
        <f>'Monthly D4 RIN Data'!$W133</f>
        <v>0</v>
      </c>
      <c r="M220" s="42">
        <f>'Monthly D4 RIN Data'!$W145</f>
        <v>0</v>
      </c>
      <c r="N220" s="42">
        <f>'Monthly D4 RIN Data'!$W157</f>
        <v>0</v>
      </c>
      <c r="O220" s="42">
        <f>'Monthly D4 RIN Data'!$W169</f>
        <v>0</v>
      </c>
      <c r="P220" s="42">
        <f>'Monthly D4 RIN Data'!$W181</f>
        <v>0</v>
      </c>
      <c r="Q220" s="43">
        <f>'D4 Gallon Forecast'!Q222</f>
        <v>0</v>
      </c>
      <c r="R220" s="43">
        <f>'D4 Gallon Forecast'!R222</f>
        <v>0</v>
      </c>
      <c r="S220" s="43">
        <f>'D4 Gallon Forecast'!S222</f>
        <v>0</v>
      </c>
      <c r="T220" s="43">
        <f>'D4 Gallon Forecast'!T222</f>
        <v>0</v>
      </c>
      <c r="U220" s="43">
        <f>'D4 Gallon Forecast'!U222</f>
        <v>0</v>
      </c>
      <c r="V220" s="43">
        <f>'D4 Gallon Forecast'!V222</f>
        <v>0</v>
      </c>
      <c r="W220" s="43">
        <f>'D4 Gallon Forecast'!W222</f>
        <v>0</v>
      </c>
      <c r="X220" s="43">
        <f>'D4 Gallon Forecast'!X222</f>
        <v>0</v>
      </c>
      <c r="Y220" s="43">
        <f>'D4 Gallon Forecast'!Y222</f>
        <v>0</v>
      </c>
      <c r="Z220" s="43">
        <f>'D4 Gallon Forecast'!Z222</f>
        <v>0</v>
      </c>
      <c r="AA220" s="43">
        <f>'D4 Gallon Forecast'!AA222</f>
        <v>0</v>
      </c>
      <c r="AB220" s="43">
        <f>'D4 Gallon Forecast'!AB222</f>
        <v>0</v>
      </c>
      <c r="AC220" s="43">
        <f>'D4 Gallon Forecast'!AC222</f>
        <v>0</v>
      </c>
      <c r="AD220" s="43">
        <f>'D4 Gallon Forecast'!AD222</f>
        <v>0</v>
      </c>
      <c r="AE220" s="43">
        <f>'D4 Gallon Forecast'!AE222</f>
        <v>0</v>
      </c>
      <c r="AF220" s="43">
        <f>'D4 Gallon Forecast'!AF222</f>
        <v>0</v>
      </c>
      <c r="AG220" s="43">
        <f>'D4 Gallon Forecast'!AG222</f>
        <v>0</v>
      </c>
      <c r="AH220" s="43">
        <f>'D4 Gallon Forecast'!AH222</f>
        <v>0</v>
      </c>
      <c r="AI220" s="43">
        <f>'D4 Gallon Forecast'!AI222</f>
        <v>0</v>
      </c>
      <c r="AJ220" s="43">
        <f>'D4 Gallon Forecast'!AJ222</f>
        <v>0</v>
      </c>
      <c r="AK220" s="43">
        <f>'D4 Gallon Forecast'!AK222</f>
        <v>0</v>
      </c>
      <c r="AL220" s="43">
        <f>'D4 Gallon Forecast'!AL222</f>
        <v>0</v>
      </c>
      <c r="AM220" s="43">
        <f>'D4 Gallon Forecast'!AM222</f>
        <v>0</v>
      </c>
      <c r="AN220" s="43">
        <f>'D4 Gallon Forecast'!AN222</f>
        <v>0</v>
      </c>
      <c r="AO220" s="43">
        <f>'D4 Gallon Forecast'!AO222</f>
        <v>0</v>
      </c>
      <c r="AP220" s="43">
        <f>'D4 Gallon Forecast'!AP222</f>
        <v>0</v>
      </c>
      <c r="AQ220" s="43"/>
    </row>
    <row r="221" spans="1:43">
      <c r="A221" s="40" t="s">
        <v>53</v>
      </c>
      <c r="B221" s="42">
        <f>'Monthly D4 RIN Data'!$W14</f>
        <v>0</v>
      </c>
      <c r="C221" s="42">
        <f>'Monthly D4 RIN Data'!$W26</f>
        <v>0</v>
      </c>
      <c r="D221" s="42">
        <f>'Monthly D4 RIN Data'!$W38</f>
        <v>0</v>
      </c>
      <c r="E221" s="42">
        <f>'Monthly D4 RIN Data'!$W50</f>
        <v>0</v>
      </c>
      <c r="F221" s="42">
        <f>'Monthly D4 RIN Data'!$W62</f>
        <v>0</v>
      </c>
      <c r="G221" s="42">
        <f>'Monthly D4 RIN Data'!$W74</f>
        <v>0</v>
      </c>
      <c r="H221" s="42">
        <f>'Monthly D4 RIN Data'!$W86</f>
        <v>0</v>
      </c>
      <c r="I221" s="42">
        <f>'Monthly D4 RIN Data'!$W98</f>
        <v>0</v>
      </c>
      <c r="J221" s="42">
        <f>'Monthly D4 RIN Data'!$W110</f>
        <v>0</v>
      </c>
      <c r="K221" s="42">
        <f>'Monthly D4 RIN Data'!$W122</f>
        <v>0</v>
      </c>
      <c r="L221" s="42">
        <f>'Monthly D4 RIN Data'!$W134</f>
        <v>0</v>
      </c>
      <c r="M221" s="42">
        <f>'Monthly D4 RIN Data'!$W146</f>
        <v>0</v>
      </c>
      <c r="N221" s="42">
        <f>'Monthly D4 RIN Data'!$W158</f>
        <v>0</v>
      </c>
      <c r="O221" s="42">
        <f>'Monthly D4 RIN Data'!$W170</f>
        <v>0</v>
      </c>
      <c r="P221" s="42">
        <f>'Monthly D4 RIN Data'!$W182</f>
        <v>0</v>
      </c>
      <c r="Q221" s="43">
        <f>'D4 Gallon Forecast'!Q223</f>
        <v>0</v>
      </c>
      <c r="R221" s="43">
        <f>'D4 Gallon Forecast'!R223</f>
        <v>0</v>
      </c>
      <c r="S221" s="43">
        <f>'D4 Gallon Forecast'!S223</f>
        <v>0</v>
      </c>
      <c r="T221" s="43">
        <f>'D4 Gallon Forecast'!T223</f>
        <v>0</v>
      </c>
      <c r="U221" s="43">
        <f>'D4 Gallon Forecast'!U223</f>
        <v>0</v>
      </c>
      <c r="V221" s="43">
        <f>'D4 Gallon Forecast'!V223</f>
        <v>0</v>
      </c>
      <c r="W221" s="43">
        <f>'D4 Gallon Forecast'!W223</f>
        <v>0</v>
      </c>
      <c r="X221" s="43">
        <f>'D4 Gallon Forecast'!X223</f>
        <v>0</v>
      </c>
      <c r="Y221" s="43">
        <f>'D4 Gallon Forecast'!Y223</f>
        <v>0</v>
      </c>
      <c r="Z221" s="43">
        <f>'D4 Gallon Forecast'!Z223</f>
        <v>0</v>
      </c>
      <c r="AA221" s="43">
        <f>'D4 Gallon Forecast'!AA223</f>
        <v>0</v>
      </c>
      <c r="AB221" s="43">
        <f>'D4 Gallon Forecast'!AB223</f>
        <v>0</v>
      </c>
      <c r="AC221" s="43">
        <f>'D4 Gallon Forecast'!AC223</f>
        <v>0</v>
      </c>
      <c r="AD221" s="43">
        <f>'D4 Gallon Forecast'!AD223</f>
        <v>0</v>
      </c>
      <c r="AE221" s="43">
        <f>'D4 Gallon Forecast'!AE223</f>
        <v>0</v>
      </c>
      <c r="AF221" s="43">
        <f>'D4 Gallon Forecast'!AF223</f>
        <v>0</v>
      </c>
      <c r="AG221" s="43">
        <f>'D4 Gallon Forecast'!AG223</f>
        <v>0</v>
      </c>
      <c r="AH221" s="43">
        <f>'D4 Gallon Forecast'!AH223</f>
        <v>0</v>
      </c>
      <c r="AI221" s="43">
        <f>'D4 Gallon Forecast'!AI223</f>
        <v>0</v>
      </c>
      <c r="AJ221" s="43">
        <f>'D4 Gallon Forecast'!AJ223</f>
        <v>0</v>
      </c>
      <c r="AK221" s="43">
        <f>'D4 Gallon Forecast'!AK223</f>
        <v>0</v>
      </c>
      <c r="AL221" s="43">
        <f>'D4 Gallon Forecast'!AL223</f>
        <v>0</v>
      </c>
      <c r="AM221" s="43">
        <f>'D4 Gallon Forecast'!AM223</f>
        <v>0</v>
      </c>
      <c r="AN221" s="43">
        <f>'D4 Gallon Forecast'!AN223</f>
        <v>0</v>
      </c>
      <c r="AO221" s="43">
        <f>'D4 Gallon Forecast'!AO223</f>
        <v>0</v>
      </c>
      <c r="AP221" s="43">
        <f>'D4 Gallon Forecast'!AP223</f>
        <v>0</v>
      </c>
      <c r="AQ221" s="43"/>
    </row>
    <row r="222" spans="1:43">
      <c r="A222" s="40" t="s">
        <v>54</v>
      </c>
      <c r="B222" s="42">
        <f>'Monthly D4 RIN Data'!$W15</f>
        <v>0</v>
      </c>
      <c r="C222" s="42">
        <f>'Monthly D4 RIN Data'!$W27</f>
        <v>0</v>
      </c>
      <c r="D222" s="42">
        <f>'Monthly D4 RIN Data'!$W39</f>
        <v>0</v>
      </c>
      <c r="E222" s="42">
        <f>'Monthly D4 RIN Data'!$W51</f>
        <v>0</v>
      </c>
      <c r="F222" s="42">
        <f>'Monthly D4 RIN Data'!$W63</f>
        <v>0</v>
      </c>
      <c r="G222" s="42">
        <f>'Monthly D4 RIN Data'!$W75</f>
        <v>0</v>
      </c>
      <c r="H222" s="42">
        <f>'Monthly D4 RIN Data'!$W87</f>
        <v>0</v>
      </c>
      <c r="I222" s="42">
        <f>'Monthly D4 RIN Data'!$W99</f>
        <v>0</v>
      </c>
      <c r="J222" s="42">
        <f>'Monthly D4 RIN Data'!$W111</f>
        <v>0</v>
      </c>
      <c r="K222" s="42">
        <f>'Monthly D4 RIN Data'!$W123</f>
        <v>0</v>
      </c>
      <c r="L222" s="42">
        <f>'Monthly D4 RIN Data'!$W135</f>
        <v>0</v>
      </c>
      <c r="M222" s="42">
        <f>'Monthly D4 RIN Data'!$W147</f>
        <v>0</v>
      </c>
      <c r="N222" s="42">
        <f>'Monthly D4 RIN Data'!$W159</f>
        <v>0</v>
      </c>
      <c r="O222" s="42">
        <f>'Monthly D4 RIN Data'!$W171</f>
        <v>0</v>
      </c>
      <c r="P222" s="42">
        <f>'Monthly D4 RIN Data'!$W183</f>
        <v>0</v>
      </c>
      <c r="Q222" s="43">
        <f>'D4 Gallon Forecast'!Q224</f>
        <v>0</v>
      </c>
      <c r="R222" s="43">
        <f>'D4 Gallon Forecast'!R224</f>
        <v>0</v>
      </c>
      <c r="S222" s="43">
        <f>'D4 Gallon Forecast'!S224</f>
        <v>0</v>
      </c>
      <c r="T222" s="43">
        <f>'D4 Gallon Forecast'!T224</f>
        <v>0</v>
      </c>
      <c r="U222" s="43">
        <f>'D4 Gallon Forecast'!U224</f>
        <v>0</v>
      </c>
      <c r="V222" s="43">
        <f>'D4 Gallon Forecast'!V224</f>
        <v>0</v>
      </c>
      <c r="W222" s="43">
        <f>'D4 Gallon Forecast'!W224</f>
        <v>0</v>
      </c>
      <c r="X222" s="43">
        <f>'D4 Gallon Forecast'!X224</f>
        <v>0</v>
      </c>
      <c r="Y222" s="43">
        <f>'D4 Gallon Forecast'!Y224</f>
        <v>0</v>
      </c>
      <c r="Z222" s="43">
        <f>'D4 Gallon Forecast'!Z224</f>
        <v>0</v>
      </c>
      <c r="AA222" s="43">
        <f>'D4 Gallon Forecast'!AA224</f>
        <v>0</v>
      </c>
      <c r="AB222" s="43">
        <f>'D4 Gallon Forecast'!AB224</f>
        <v>0</v>
      </c>
      <c r="AC222" s="43">
        <f>'D4 Gallon Forecast'!AC224</f>
        <v>0</v>
      </c>
      <c r="AD222" s="43">
        <f>'D4 Gallon Forecast'!AD224</f>
        <v>0</v>
      </c>
      <c r="AE222" s="43">
        <f>'D4 Gallon Forecast'!AE224</f>
        <v>0</v>
      </c>
      <c r="AF222" s="43">
        <f>'D4 Gallon Forecast'!AF224</f>
        <v>0</v>
      </c>
      <c r="AG222" s="43">
        <f>'D4 Gallon Forecast'!AG224</f>
        <v>0</v>
      </c>
      <c r="AH222" s="43">
        <f>'D4 Gallon Forecast'!AH224</f>
        <v>0</v>
      </c>
      <c r="AI222" s="43">
        <f>'D4 Gallon Forecast'!AI224</f>
        <v>0</v>
      </c>
      <c r="AJ222" s="43">
        <f>'D4 Gallon Forecast'!AJ224</f>
        <v>0</v>
      </c>
      <c r="AK222" s="43">
        <f>'D4 Gallon Forecast'!AK224</f>
        <v>0</v>
      </c>
      <c r="AL222" s="43">
        <f>'D4 Gallon Forecast'!AL224</f>
        <v>0</v>
      </c>
      <c r="AM222" s="43">
        <f>'D4 Gallon Forecast'!AM224</f>
        <v>0</v>
      </c>
      <c r="AN222" s="43">
        <f>'D4 Gallon Forecast'!AN224</f>
        <v>0</v>
      </c>
      <c r="AO222" s="43">
        <f>'D4 Gallon Forecast'!AO224</f>
        <v>0</v>
      </c>
      <c r="AP222" s="43">
        <f>'D4 Gallon Forecast'!AP224</f>
        <v>0</v>
      </c>
      <c r="AQ222" s="43"/>
    </row>
    <row r="223" spans="1:43">
      <c r="A223" s="40" t="s">
        <v>29</v>
      </c>
      <c r="B223" s="42">
        <f>SUM(B211:B222)</f>
        <v>0</v>
      </c>
      <c r="C223" s="42">
        <f t="shared" ref="C223:AP223" si="87">SUM(C211:C222)</f>
        <v>0</v>
      </c>
      <c r="D223" s="42">
        <f t="shared" si="87"/>
        <v>0</v>
      </c>
      <c r="E223" s="42">
        <f t="shared" si="87"/>
        <v>0</v>
      </c>
      <c r="F223" s="42">
        <f t="shared" si="87"/>
        <v>0</v>
      </c>
      <c r="G223" s="42">
        <f t="shared" si="87"/>
        <v>0</v>
      </c>
      <c r="H223" s="42">
        <f t="shared" si="87"/>
        <v>0</v>
      </c>
      <c r="I223" s="42">
        <f t="shared" si="87"/>
        <v>0</v>
      </c>
      <c r="J223" s="42">
        <f t="shared" si="87"/>
        <v>0</v>
      </c>
      <c r="K223" s="42">
        <f t="shared" si="87"/>
        <v>0</v>
      </c>
      <c r="L223" s="42">
        <f t="shared" si="87"/>
        <v>0</v>
      </c>
      <c r="M223" s="42">
        <f t="shared" si="87"/>
        <v>0</v>
      </c>
      <c r="N223" s="42">
        <f t="shared" si="87"/>
        <v>0</v>
      </c>
      <c r="O223" s="42">
        <f t="shared" si="87"/>
        <v>0</v>
      </c>
      <c r="P223" s="42">
        <f t="shared" si="87"/>
        <v>0</v>
      </c>
      <c r="Q223" s="43">
        <f t="shared" si="87"/>
        <v>0</v>
      </c>
      <c r="R223" s="43">
        <f t="shared" si="87"/>
        <v>0</v>
      </c>
      <c r="S223" s="43">
        <f t="shared" si="87"/>
        <v>0</v>
      </c>
      <c r="T223" s="43">
        <f t="shared" si="87"/>
        <v>0</v>
      </c>
      <c r="U223" s="43">
        <f t="shared" si="87"/>
        <v>0</v>
      </c>
      <c r="V223" s="43">
        <f t="shared" si="87"/>
        <v>0</v>
      </c>
      <c r="W223" s="43">
        <f t="shared" si="87"/>
        <v>0</v>
      </c>
      <c r="X223" s="43">
        <f t="shared" si="87"/>
        <v>0</v>
      </c>
      <c r="Y223" s="43">
        <f t="shared" si="87"/>
        <v>0</v>
      </c>
      <c r="Z223" s="43">
        <f t="shared" si="87"/>
        <v>0</v>
      </c>
      <c r="AA223" s="43">
        <f t="shared" si="87"/>
        <v>0</v>
      </c>
      <c r="AB223" s="43">
        <f t="shared" si="87"/>
        <v>0</v>
      </c>
      <c r="AC223" s="43">
        <f t="shared" si="87"/>
        <v>0</v>
      </c>
      <c r="AD223" s="43">
        <f t="shared" si="87"/>
        <v>0</v>
      </c>
      <c r="AE223" s="43">
        <f t="shared" si="87"/>
        <v>0</v>
      </c>
      <c r="AF223" s="43">
        <f t="shared" si="87"/>
        <v>0</v>
      </c>
      <c r="AG223" s="43">
        <f t="shared" si="87"/>
        <v>0</v>
      </c>
      <c r="AH223" s="43">
        <f t="shared" si="87"/>
        <v>0</v>
      </c>
      <c r="AI223" s="43">
        <f t="shared" si="87"/>
        <v>0</v>
      </c>
      <c r="AJ223" s="43">
        <f t="shared" si="87"/>
        <v>0</v>
      </c>
      <c r="AK223" s="43">
        <f t="shared" si="87"/>
        <v>0</v>
      </c>
      <c r="AL223" s="43">
        <f t="shared" si="87"/>
        <v>0</v>
      </c>
      <c r="AM223" s="43">
        <f t="shared" si="87"/>
        <v>0</v>
      </c>
      <c r="AN223" s="43">
        <f t="shared" si="87"/>
        <v>0</v>
      </c>
      <c r="AO223" s="43">
        <f t="shared" si="87"/>
        <v>0</v>
      </c>
      <c r="AP223" s="43">
        <f t="shared" si="87"/>
        <v>0</v>
      </c>
      <c r="AQ223" s="43"/>
    </row>
    <row r="225" spans="1:43" ht="12" thickBot="1">
      <c r="A225" s="245" t="s">
        <v>389</v>
      </c>
    </row>
    <row r="226" spans="1:43" ht="12" thickBot="1">
      <c r="A226" s="270"/>
      <c r="B226" s="263">
        <v>2010</v>
      </c>
      <c r="C226" s="263">
        <v>2011</v>
      </c>
      <c r="D226" s="263">
        <v>2012</v>
      </c>
      <c r="E226" s="263">
        <v>2013</v>
      </c>
      <c r="F226" s="263">
        <v>2014</v>
      </c>
      <c r="G226" s="263">
        <v>2015</v>
      </c>
      <c r="H226" s="263">
        <v>2016</v>
      </c>
      <c r="I226" s="263">
        <v>2017</v>
      </c>
      <c r="J226" s="263">
        <v>2018</v>
      </c>
      <c r="K226" s="263">
        <v>2019</v>
      </c>
      <c r="L226" s="263">
        <v>2020</v>
      </c>
      <c r="M226" s="263">
        <v>2021</v>
      </c>
      <c r="N226" s="263">
        <v>2022</v>
      </c>
      <c r="O226" s="263">
        <v>2023</v>
      </c>
      <c r="P226" s="263">
        <v>2024</v>
      </c>
      <c r="Q226" s="263">
        <v>2025</v>
      </c>
      <c r="R226" s="263">
        <v>2026</v>
      </c>
      <c r="S226" s="263">
        <v>2027</v>
      </c>
      <c r="T226" s="263">
        <v>2028</v>
      </c>
      <c r="U226" s="263">
        <v>2029</v>
      </c>
      <c r="V226" s="263">
        <v>2030</v>
      </c>
      <c r="W226" s="263">
        <v>2031</v>
      </c>
      <c r="X226" s="263">
        <v>2032</v>
      </c>
      <c r="Y226" s="263">
        <v>2033</v>
      </c>
      <c r="Z226" s="263">
        <v>2034</v>
      </c>
      <c r="AA226" s="263">
        <v>2035</v>
      </c>
      <c r="AB226" s="263">
        <v>2036</v>
      </c>
      <c r="AC226" s="263">
        <v>2037</v>
      </c>
      <c r="AD226" s="263">
        <v>2038</v>
      </c>
      <c r="AE226" s="263">
        <v>2039</v>
      </c>
      <c r="AF226" s="263">
        <v>2040</v>
      </c>
      <c r="AG226" s="263">
        <v>2041</v>
      </c>
      <c r="AH226" s="263">
        <v>2042</v>
      </c>
      <c r="AI226" s="263">
        <v>2043</v>
      </c>
      <c r="AJ226" s="263">
        <v>2044</v>
      </c>
      <c r="AK226" s="263">
        <v>2045</v>
      </c>
      <c r="AL226" s="263">
        <v>2046</v>
      </c>
      <c r="AM226" s="263">
        <v>2047</v>
      </c>
      <c r="AN226" s="263">
        <v>2048</v>
      </c>
      <c r="AO226" s="263">
        <v>2049</v>
      </c>
      <c r="AP226" s="263">
        <v>2050</v>
      </c>
      <c r="AQ226" s="245"/>
    </row>
    <row r="227" spans="1:43">
      <c r="A227" s="40" t="s">
        <v>43</v>
      </c>
      <c r="B227" s="42">
        <f>'Monthly D4 RIN Data'!$X4</f>
        <v>0</v>
      </c>
      <c r="C227" s="42">
        <f>'Monthly D4 RIN Data'!$X16</f>
        <v>0</v>
      </c>
      <c r="D227" s="42">
        <f>'Monthly D4 RIN Data'!$X28</f>
        <v>0</v>
      </c>
      <c r="E227" s="42">
        <f>'Monthly D4 RIN Data'!$X40</f>
        <v>0</v>
      </c>
      <c r="F227" s="42">
        <f>'Monthly D4 RIN Data'!$X52</f>
        <v>0</v>
      </c>
      <c r="G227" s="42">
        <f>'Monthly D4 RIN Data'!$X64</f>
        <v>0</v>
      </c>
      <c r="H227" s="42">
        <f>'Monthly D4 RIN Data'!$X76</f>
        <v>0</v>
      </c>
      <c r="I227" s="42">
        <f>'Monthly D4 RIN Data'!$X88</f>
        <v>0</v>
      </c>
      <c r="J227" s="42">
        <f>'Monthly D4 RIN Data'!$X100</f>
        <v>0</v>
      </c>
      <c r="K227" s="42">
        <f>'Monthly D4 RIN Data'!$X112</f>
        <v>0</v>
      </c>
      <c r="L227" s="42">
        <f>'Monthly D4 RIN Data'!$X124</f>
        <v>0</v>
      </c>
      <c r="M227" s="42">
        <f>'Monthly D4 RIN Data'!$X136</f>
        <v>0</v>
      </c>
      <c r="N227" s="42">
        <f>'Monthly D4 RIN Data'!$X148</f>
        <v>5459403</v>
      </c>
      <c r="O227" s="42">
        <f>'Monthly D4 RIN Data'!$X160</f>
        <v>6987973</v>
      </c>
      <c r="P227" s="42">
        <f>'Monthly D4 RIN Data'!$X172</f>
        <v>0</v>
      </c>
      <c r="Q227" s="42">
        <f>'Monthly D4 RIN Data'!$X184</f>
        <v>0</v>
      </c>
      <c r="R227" s="43">
        <f>'D4 Gallon Forecast'!R229*AVERAGE('D4 RIN Forecast'!$BC$14:$BF$14)</f>
        <v>0</v>
      </c>
      <c r="S227" s="43">
        <f>'D4 Gallon Forecast'!S229*AVERAGE('D4 RIN Forecast'!$BC$14:$BF$14)</f>
        <v>0</v>
      </c>
      <c r="T227" s="43">
        <f>'D4 Gallon Forecast'!T229*AVERAGE('D4 RIN Forecast'!$BC$14:$BF$14)</f>
        <v>0</v>
      </c>
      <c r="U227" s="43">
        <f>'D4 Gallon Forecast'!U229*AVERAGE('D4 RIN Forecast'!$BC$14:$BF$14)</f>
        <v>0</v>
      </c>
      <c r="V227" s="43">
        <f>'D4 Gallon Forecast'!V229*AVERAGE('D4 RIN Forecast'!$BD$14:$BH$14)</f>
        <v>0</v>
      </c>
      <c r="W227" s="43">
        <f>'D4 Gallon Forecast'!W229*AVERAGE('D4 RIN Forecast'!$BD$14:$BH$14)</f>
        <v>0</v>
      </c>
      <c r="X227" s="43">
        <f>'D4 Gallon Forecast'!X229*AVERAGE('D4 RIN Forecast'!$BD$14:$BH$14)</f>
        <v>0</v>
      </c>
      <c r="Y227" s="43">
        <f>'D4 Gallon Forecast'!Y229*AVERAGE('D4 RIN Forecast'!$BD$14:$BH$14)</f>
        <v>0</v>
      </c>
      <c r="Z227" s="43">
        <f>'D4 Gallon Forecast'!Z229*AVERAGE('D4 RIN Forecast'!$BD$14:$BH$14)</f>
        <v>0</v>
      </c>
      <c r="AA227" s="43">
        <f>'D4 Gallon Forecast'!AA229*AVERAGE('D4 RIN Forecast'!$BD$14:$BH$14)</f>
        <v>0</v>
      </c>
      <c r="AB227" s="43">
        <f>'D4 Gallon Forecast'!AB229*AVERAGE('D4 RIN Forecast'!$BD$14:$BH$14)</f>
        <v>0</v>
      </c>
      <c r="AC227" s="43">
        <f>'D4 Gallon Forecast'!AC229*AVERAGE('D4 RIN Forecast'!$BD$14:$BH$14)</f>
        <v>0</v>
      </c>
      <c r="AD227" s="43">
        <f>'D4 Gallon Forecast'!AD229*AVERAGE('D4 RIN Forecast'!$BD$14:$BH$14)</f>
        <v>0</v>
      </c>
      <c r="AE227" s="43">
        <f>'D4 Gallon Forecast'!AE229*AVERAGE('D4 RIN Forecast'!$BD$14:$BH$14)</f>
        <v>0</v>
      </c>
      <c r="AF227" s="43">
        <f>'D4 Gallon Forecast'!AF229*AVERAGE('D4 RIN Forecast'!$BD$14:$BH$14)</f>
        <v>0</v>
      </c>
      <c r="AG227" s="43">
        <f>'D4 Gallon Forecast'!AG229*AVERAGE('D4 RIN Forecast'!$BD$14:$BH$14)</f>
        <v>0</v>
      </c>
      <c r="AH227" s="43">
        <f>'D4 Gallon Forecast'!AH229*AVERAGE('D4 RIN Forecast'!$BD$14:$BH$14)</f>
        <v>0</v>
      </c>
      <c r="AI227" s="43">
        <f>'D4 Gallon Forecast'!AI229*AVERAGE('D4 RIN Forecast'!$BD$14:$BH$14)</f>
        <v>0</v>
      </c>
      <c r="AJ227" s="43">
        <f>'D4 Gallon Forecast'!AJ229*AVERAGE('D4 RIN Forecast'!$BD$14:$BH$14)</f>
        <v>0</v>
      </c>
      <c r="AK227" s="43">
        <f>'D4 Gallon Forecast'!AK229*AVERAGE('D4 RIN Forecast'!$BD$14:$BH$14)</f>
        <v>0</v>
      </c>
      <c r="AL227" s="43">
        <f>'D4 Gallon Forecast'!AL229*AVERAGE('D4 RIN Forecast'!$BD$14:$BH$14)</f>
        <v>0</v>
      </c>
      <c r="AM227" s="43">
        <f>'D4 Gallon Forecast'!AM229*AVERAGE('D4 RIN Forecast'!$BD$14:$BH$14)</f>
        <v>0</v>
      </c>
      <c r="AN227" s="43">
        <f>'D4 Gallon Forecast'!AN229*AVERAGE('D4 RIN Forecast'!$BD$14:$BH$14)</f>
        <v>0</v>
      </c>
      <c r="AO227" s="43">
        <f>'D4 Gallon Forecast'!AO229*AVERAGE('D4 RIN Forecast'!$BD$14:$BH$14)</f>
        <v>0</v>
      </c>
      <c r="AP227" s="43">
        <f>'D4 Gallon Forecast'!AP229*AVERAGE('D4 RIN Forecast'!$BD$14:$BH$14)</f>
        <v>0</v>
      </c>
      <c r="AQ227" s="43"/>
    </row>
    <row r="228" spans="1:43">
      <c r="A228" s="40" t="s">
        <v>44</v>
      </c>
      <c r="B228" s="42">
        <f>'Monthly D4 RIN Data'!$X5</f>
        <v>0</v>
      </c>
      <c r="C228" s="42">
        <f>'Monthly D4 RIN Data'!$X17</f>
        <v>0</v>
      </c>
      <c r="D228" s="42">
        <f>'Monthly D4 RIN Data'!$X29</f>
        <v>0</v>
      </c>
      <c r="E228" s="42">
        <f>'Monthly D4 RIN Data'!$X41</f>
        <v>0</v>
      </c>
      <c r="F228" s="42">
        <f>'Monthly D4 RIN Data'!$X53</f>
        <v>0</v>
      </c>
      <c r="G228" s="42">
        <f>'Monthly D4 RIN Data'!$X65</f>
        <v>0</v>
      </c>
      <c r="H228" s="42">
        <f>'Monthly D4 RIN Data'!$X77</f>
        <v>0</v>
      </c>
      <c r="I228" s="42">
        <f>'Monthly D4 RIN Data'!$X89</f>
        <v>0</v>
      </c>
      <c r="J228" s="42">
        <f>'Monthly D4 RIN Data'!$X101</f>
        <v>0</v>
      </c>
      <c r="K228" s="42">
        <f>'Monthly D4 RIN Data'!$X113</f>
        <v>0</v>
      </c>
      <c r="L228" s="42">
        <f>'Monthly D4 RIN Data'!$X125</f>
        <v>0</v>
      </c>
      <c r="M228" s="42">
        <f>'Monthly D4 RIN Data'!$X137</f>
        <v>3534288</v>
      </c>
      <c r="N228" s="42">
        <f>'Monthly D4 RIN Data'!$X149</f>
        <v>989848</v>
      </c>
      <c r="O228" s="42">
        <f>'Monthly D4 RIN Data'!$X161</f>
        <v>935130</v>
      </c>
      <c r="P228" s="42">
        <f>'Monthly D4 RIN Data'!$X173</f>
        <v>0</v>
      </c>
      <c r="Q228" s="42">
        <f>'Monthly D4 RIN Data'!$X185</f>
        <v>0</v>
      </c>
      <c r="R228" s="43">
        <f>'D4 Gallon Forecast'!R230*AVERAGE('D4 RIN Forecast'!$BC$14:$BF$14)</f>
        <v>0</v>
      </c>
      <c r="S228" s="43">
        <f>'D4 Gallon Forecast'!S230*AVERAGE('D4 RIN Forecast'!$BC$14:$BF$14)</f>
        <v>0</v>
      </c>
      <c r="T228" s="43">
        <f>'D4 Gallon Forecast'!T230*AVERAGE('D4 RIN Forecast'!$BC$14:$BF$14)</f>
        <v>0</v>
      </c>
      <c r="U228" s="43">
        <f>'D4 Gallon Forecast'!U230*AVERAGE('D4 RIN Forecast'!$BC$14:$BF$14)</f>
        <v>0</v>
      </c>
      <c r="V228" s="43">
        <f>'D4 Gallon Forecast'!V230*AVERAGE('D4 RIN Forecast'!$BD$14:$BH$14)</f>
        <v>0</v>
      </c>
      <c r="W228" s="43">
        <f>'D4 Gallon Forecast'!W230*AVERAGE('D4 RIN Forecast'!$BD$14:$BH$14)</f>
        <v>0</v>
      </c>
      <c r="X228" s="43">
        <f>'D4 Gallon Forecast'!X230*AVERAGE('D4 RIN Forecast'!$BD$14:$BH$14)</f>
        <v>0</v>
      </c>
      <c r="Y228" s="43">
        <f>'D4 Gallon Forecast'!Y230*AVERAGE('D4 RIN Forecast'!$BD$14:$BH$14)</f>
        <v>0</v>
      </c>
      <c r="Z228" s="43">
        <f>'D4 Gallon Forecast'!Z230*AVERAGE('D4 RIN Forecast'!$BD$14:$BH$14)</f>
        <v>0</v>
      </c>
      <c r="AA228" s="43">
        <f>'D4 Gallon Forecast'!AA230*AVERAGE('D4 RIN Forecast'!$BD$14:$BH$14)</f>
        <v>0</v>
      </c>
      <c r="AB228" s="43">
        <f>'D4 Gallon Forecast'!AB230*AVERAGE('D4 RIN Forecast'!$BD$14:$BH$14)</f>
        <v>0</v>
      </c>
      <c r="AC228" s="43">
        <f>'D4 Gallon Forecast'!AC230*AVERAGE('D4 RIN Forecast'!$BD$14:$BH$14)</f>
        <v>0</v>
      </c>
      <c r="AD228" s="43">
        <f>'D4 Gallon Forecast'!AD230*AVERAGE('D4 RIN Forecast'!$BD$14:$BH$14)</f>
        <v>0</v>
      </c>
      <c r="AE228" s="43">
        <f>'D4 Gallon Forecast'!AE230*AVERAGE('D4 RIN Forecast'!$BD$14:$BH$14)</f>
        <v>0</v>
      </c>
      <c r="AF228" s="43">
        <f>'D4 Gallon Forecast'!AF230*AVERAGE('D4 RIN Forecast'!$BD$14:$BH$14)</f>
        <v>0</v>
      </c>
      <c r="AG228" s="43">
        <f>'D4 Gallon Forecast'!AG230*AVERAGE('D4 RIN Forecast'!$BD$14:$BH$14)</f>
        <v>0</v>
      </c>
      <c r="AH228" s="43">
        <f>'D4 Gallon Forecast'!AH230*AVERAGE('D4 RIN Forecast'!$BD$14:$BH$14)</f>
        <v>0</v>
      </c>
      <c r="AI228" s="43">
        <f>'D4 Gallon Forecast'!AI230*AVERAGE('D4 RIN Forecast'!$BD$14:$BH$14)</f>
        <v>0</v>
      </c>
      <c r="AJ228" s="43">
        <f>'D4 Gallon Forecast'!AJ230*AVERAGE('D4 RIN Forecast'!$BD$14:$BH$14)</f>
        <v>0</v>
      </c>
      <c r="AK228" s="43">
        <f>'D4 Gallon Forecast'!AK230*AVERAGE('D4 RIN Forecast'!$BD$14:$BH$14)</f>
        <v>0</v>
      </c>
      <c r="AL228" s="43">
        <f>'D4 Gallon Forecast'!AL230*AVERAGE('D4 RIN Forecast'!$BD$14:$BH$14)</f>
        <v>0</v>
      </c>
      <c r="AM228" s="43">
        <f>'D4 Gallon Forecast'!AM230*AVERAGE('D4 RIN Forecast'!$BD$14:$BH$14)</f>
        <v>0</v>
      </c>
      <c r="AN228" s="43">
        <f>'D4 Gallon Forecast'!AN230*AVERAGE('D4 RIN Forecast'!$BD$14:$BH$14)</f>
        <v>0</v>
      </c>
      <c r="AO228" s="43">
        <f>'D4 Gallon Forecast'!AO230*AVERAGE('D4 RIN Forecast'!$BD$14:$BH$14)</f>
        <v>0</v>
      </c>
      <c r="AP228" s="43">
        <f>'D4 Gallon Forecast'!AP230*AVERAGE('D4 RIN Forecast'!$BD$14:$BH$14)</f>
        <v>0</v>
      </c>
      <c r="AQ228" s="43"/>
    </row>
    <row r="229" spans="1:43">
      <c r="A229" s="40" t="s">
        <v>45</v>
      </c>
      <c r="B229" s="42">
        <f>'Monthly D4 RIN Data'!$X6</f>
        <v>0</v>
      </c>
      <c r="C229" s="42">
        <f>'Monthly D4 RIN Data'!$X18</f>
        <v>0</v>
      </c>
      <c r="D229" s="42">
        <f>'Monthly D4 RIN Data'!$X30</f>
        <v>0</v>
      </c>
      <c r="E229" s="42">
        <f>'Monthly D4 RIN Data'!$X42</f>
        <v>0</v>
      </c>
      <c r="F229" s="42">
        <f>'Monthly D4 RIN Data'!$X54</f>
        <v>0</v>
      </c>
      <c r="G229" s="42">
        <f>'Monthly D4 RIN Data'!$X66</f>
        <v>0</v>
      </c>
      <c r="H229" s="42">
        <f>'Monthly D4 RIN Data'!$X78</f>
        <v>0</v>
      </c>
      <c r="I229" s="42">
        <f>'Monthly D4 RIN Data'!$X90</f>
        <v>0</v>
      </c>
      <c r="J229" s="42">
        <f>'Monthly D4 RIN Data'!$X102</f>
        <v>0</v>
      </c>
      <c r="K229" s="42">
        <f>'Monthly D4 RIN Data'!$X114</f>
        <v>0</v>
      </c>
      <c r="L229" s="42">
        <f>'Monthly D4 RIN Data'!$X126</f>
        <v>0</v>
      </c>
      <c r="M229" s="42">
        <f>'Monthly D4 RIN Data'!$X138</f>
        <v>0</v>
      </c>
      <c r="N229" s="42">
        <f>'Monthly D4 RIN Data'!$X150</f>
        <v>5157943</v>
      </c>
      <c r="O229" s="42">
        <f>'Monthly D4 RIN Data'!$X162</f>
        <v>4305698</v>
      </c>
      <c r="P229" s="42">
        <f>'Monthly D4 RIN Data'!$X174</f>
        <v>0</v>
      </c>
      <c r="Q229" s="42">
        <f>'Monthly D4 RIN Data'!$X186</f>
        <v>0</v>
      </c>
      <c r="R229" s="43">
        <f>'D4 Gallon Forecast'!R231*AVERAGE('D4 RIN Forecast'!$BC$14:$BF$14)</f>
        <v>0</v>
      </c>
      <c r="S229" s="43">
        <f>'D4 Gallon Forecast'!S231*AVERAGE('D4 RIN Forecast'!$BC$14:$BF$14)</f>
        <v>0</v>
      </c>
      <c r="T229" s="43">
        <f>'D4 Gallon Forecast'!T231*AVERAGE('D4 RIN Forecast'!$BC$14:$BF$14)</f>
        <v>0</v>
      </c>
      <c r="U229" s="43">
        <f>'D4 Gallon Forecast'!U231*AVERAGE('D4 RIN Forecast'!$BC$14:$BF$14)</f>
        <v>0</v>
      </c>
      <c r="V229" s="43">
        <f>'D4 Gallon Forecast'!V231*AVERAGE('D4 RIN Forecast'!$BD$14:$BH$14)</f>
        <v>0</v>
      </c>
      <c r="W229" s="43">
        <f>'D4 Gallon Forecast'!W231*AVERAGE('D4 RIN Forecast'!$BD$14:$BH$14)</f>
        <v>0</v>
      </c>
      <c r="X229" s="43">
        <f>'D4 Gallon Forecast'!X231*AVERAGE('D4 RIN Forecast'!$BD$14:$BH$14)</f>
        <v>0</v>
      </c>
      <c r="Y229" s="43">
        <f>'D4 Gallon Forecast'!Y231*AVERAGE('D4 RIN Forecast'!$BD$14:$BH$14)</f>
        <v>0</v>
      </c>
      <c r="Z229" s="43">
        <f>'D4 Gallon Forecast'!Z231*AVERAGE('D4 RIN Forecast'!$BD$14:$BH$14)</f>
        <v>0</v>
      </c>
      <c r="AA229" s="43">
        <f>'D4 Gallon Forecast'!AA231*AVERAGE('D4 RIN Forecast'!$BD$14:$BH$14)</f>
        <v>0</v>
      </c>
      <c r="AB229" s="43">
        <f>'D4 Gallon Forecast'!AB231*AVERAGE('D4 RIN Forecast'!$BD$14:$BH$14)</f>
        <v>0</v>
      </c>
      <c r="AC229" s="43">
        <f>'D4 Gallon Forecast'!AC231*AVERAGE('D4 RIN Forecast'!$BD$14:$BH$14)</f>
        <v>0</v>
      </c>
      <c r="AD229" s="43">
        <f>'D4 Gallon Forecast'!AD231*AVERAGE('D4 RIN Forecast'!$BD$14:$BH$14)</f>
        <v>0</v>
      </c>
      <c r="AE229" s="43">
        <f>'D4 Gallon Forecast'!AE231*AVERAGE('D4 RIN Forecast'!$BD$14:$BH$14)</f>
        <v>0</v>
      </c>
      <c r="AF229" s="43">
        <f>'D4 Gallon Forecast'!AF231*AVERAGE('D4 RIN Forecast'!$BD$14:$BH$14)</f>
        <v>0</v>
      </c>
      <c r="AG229" s="43">
        <f>'D4 Gallon Forecast'!AG231*AVERAGE('D4 RIN Forecast'!$BD$14:$BH$14)</f>
        <v>0</v>
      </c>
      <c r="AH229" s="43">
        <f>'D4 Gallon Forecast'!AH231*AVERAGE('D4 RIN Forecast'!$BD$14:$BH$14)</f>
        <v>0</v>
      </c>
      <c r="AI229" s="43">
        <f>'D4 Gallon Forecast'!AI231*AVERAGE('D4 RIN Forecast'!$BD$14:$BH$14)</f>
        <v>0</v>
      </c>
      <c r="AJ229" s="43">
        <f>'D4 Gallon Forecast'!AJ231*AVERAGE('D4 RIN Forecast'!$BD$14:$BH$14)</f>
        <v>0</v>
      </c>
      <c r="AK229" s="43">
        <f>'D4 Gallon Forecast'!AK231*AVERAGE('D4 RIN Forecast'!$BD$14:$BH$14)</f>
        <v>0</v>
      </c>
      <c r="AL229" s="43">
        <f>'D4 Gallon Forecast'!AL231*AVERAGE('D4 RIN Forecast'!$BD$14:$BH$14)</f>
        <v>0</v>
      </c>
      <c r="AM229" s="43">
        <f>'D4 Gallon Forecast'!AM231*AVERAGE('D4 RIN Forecast'!$BD$14:$BH$14)</f>
        <v>0</v>
      </c>
      <c r="AN229" s="43">
        <f>'D4 Gallon Forecast'!AN231*AVERAGE('D4 RIN Forecast'!$BD$14:$BH$14)</f>
        <v>0</v>
      </c>
      <c r="AO229" s="43">
        <f>'D4 Gallon Forecast'!AO231*AVERAGE('D4 RIN Forecast'!$BD$14:$BH$14)</f>
        <v>0</v>
      </c>
      <c r="AP229" s="43">
        <f>'D4 Gallon Forecast'!AP231*AVERAGE('D4 RIN Forecast'!$BD$14:$BH$14)</f>
        <v>0</v>
      </c>
      <c r="AQ229" s="43"/>
    </row>
    <row r="230" spans="1:43">
      <c r="A230" s="40" t="s">
        <v>46</v>
      </c>
      <c r="B230" s="42">
        <f>'Monthly D4 RIN Data'!$X7</f>
        <v>0</v>
      </c>
      <c r="C230" s="42">
        <f>'Monthly D4 RIN Data'!$X19</f>
        <v>0</v>
      </c>
      <c r="D230" s="42">
        <f>'Monthly D4 RIN Data'!$X31</f>
        <v>0</v>
      </c>
      <c r="E230" s="42">
        <f>'Monthly D4 RIN Data'!$X43</f>
        <v>0</v>
      </c>
      <c r="F230" s="42">
        <f>'Monthly D4 RIN Data'!$X55</f>
        <v>0</v>
      </c>
      <c r="G230" s="42">
        <f>'Monthly D4 RIN Data'!$X67</f>
        <v>0</v>
      </c>
      <c r="H230" s="42">
        <f>'Monthly D4 RIN Data'!$X79</f>
        <v>0</v>
      </c>
      <c r="I230" s="42">
        <f>'Monthly D4 RIN Data'!$X91</f>
        <v>0</v>
      </c>
      <c r="J230" s="42">
        <f>'Monthly D4 RIN Data'!$X103</f>
        <v>0</v>
      </c>
      <c r="K230" s="42">
        <f>'Monthly D4 RIN Data'!$X115</f>
        <v>0</v>
      </c>
      <c r="L230" s="42">
        <f>'Monthly D4 RIN Data'!$X127</f>
        <v>3513181</v>
      </c>
      <c r="M230" s="42">
        <f>'Monthly D4 RIN Data'!$X139</f>
        <v>3356717</v>
      </c>
      <c r="N230" s="42">
        <f>'Monthly D4 RIN Data'!$X151</f>
        <v>0</v>
      </c>
      <c r="O230" s="42">
        <f>'Monthly D4 RIN Data'!$X163</f>
        <v>4065803</v>
      </c>
      <c r="P230" s="42">
        <f>'Monthly D4 RIN Data'!$X175</f>
        <v>0</v>
      </c>
      <c r="Q230" s="43">
        <f>'D4 Gallon Forecast'!Q232*AVERAGE('D4 RIN Forecast'!$BC$14:$BF$14)</f>
        <v>0</v>
      </c>
      <c r="R230" s="43">
        <f>'D4 Gallon Forecast'!R232*AVERAGE('D4 RIN Forecast'!$BC$14:$BF$14)</f>
        <v>0</v>
      </c>
      <c r="S230" s="43">
        <f>'D4 Gallon Forecast'!S232*AVERAGE('D4 RIN Forecast'!$BC$14:$BF$14)</f>
        <v>0</v>
      </c>
      <c r="T230" s="43">
        <f>'D4 Gallon Forecast'!T232*AVERAGE('D4 RIN Forecast'!$BC$14:$BF$14)</f>
        <v>0</v>
      </c>
      <c r="U230" s="43">
        <f>'D4 Gallon Forecast'!U232*AVERAGE('D4 RIN Forecast'!$BC$14:$BF$14)</f>
        <v>0</v>
      </c>
      <c r="V230" s="43">
        <f>'D4 Gallon Forecast'!V232*AVERAGE('D4 RIN Forecast'!$BD$14:$BH$14)</f>
        <v>0</v>
      </c>
      <c r="W230" s="43">
        <f>'D4 Gallon Forecast'!W232*AVERAGE('D4 RIN Forecast'!$BD$14:$BH$14)</f>
        <v>0</v>
      </c>
      <c r="X230" s="43">
        <f>'D4 Gallon Forecast'!X232*AVERAGE('D4 RIN Forecast'!$BD$14:$BH$14)</f>
        <v>0</v>
      </c>
      <c r="Y230" s="43">
        <f>'D4 Gallon Forecast'!Y232*AVERAGE('D4 RIN Forecast'!$BD$14:$BH$14)</f>
        <v>0</v>
      </c>
      <c r="Z230" s="43">
        <f>'D4 Gallon Forecast'!Z232*AVERAGE('D4 RIN Forecast'!$BD$14:$BH$14)</f>
        <v>0</v>
      </c>
      <c r="AA230" s="43">
        <f>'D4 Gallon Forecast'!AA232*AVERAGE('D4 RIN Forecast'!$BD$14:$BH$14)</f>
        <v>0</v>
      </c>
      <c r="AB230" s="43">
        <f>'D4 Gallon Forecast'!AB232*AVERAGE('D4 RIN Forecast'!$BD$14:$BH$14)</f>
        <v>0</v>
      </c>
      <c r="AC230" s="43">
        <f>'D4 Gallon Forecast'!AC232*AVERAGE('D4 RIN Forecast'!$BD$14:$BH$14)</f>
        <v>0</v>
      </c>
      <c r="AD230" s="43">
        <f>'D4 Gallon Forecast'!AD232*AVERAGE('D4 RIN Forecast'!$BD$14:$BH$14)</f>
        <v>0</v>
      </c>
      <c r="AE230" s="43">
        <f>'D4 Gallon Forecast'!AE232*AVERAGE('D4 RIN Forecast'!$BD$14:$BH$14)</f>
        <v>0</v>
      </c>
      <c r="AF230" s="43">
        <f>'D4 Gallon Forecast'!AF232*AVERAGE('D4 RIN Forecast'!$BD$14:$BH$14)</f>
        <v>0</v>
      </c>
      <c r="AG230" s="43">
        <f>'D4 Gallon Forecast'!AG232*AVERAGE('D4 RIN Forecast'!$BD$14:$BH$14)</f>
        <v>0</v>
      </c>
      <c r="AH230" s="43">
        <f>'D4 Gallon Forecast'!AH232*AVERAGE('D4 RIN Forecast'!$BD$14:$BH$14)</f>
        <v>0</v>
      </c>
      <c r="AI230" s="43">
        <f>'D4 Gallon Forecast'!AI232*AVERAGE('D4 RIN Forecast'!$BD$14:$BH$14)</f>
        <v>0</v>
      </c>
      <c r="AJ230" s="43">
        <f>'D4 Gallon Forecast'!AJ232*AVERAGE('D4 RIN Forecast'!$BD$14:$BH$14)</f>
        <v>0</v>
      </c>
      <c r="AK230" s="43">
        <f>'D4 Gallon Forecast'!AK232*AVERAGE('D4 RIN Forecast'!$BD$14:$BH$14)</f>
        <v>0</v>
      </c>
      <c r="AL230" s="43">
        <f>'D4 Gallon Forecast'!AL232*AVERAGE('D4 RIN Forecast'!$BD$14:$BH$14)</f>
        <v>0</v>
      </c>
      <c r="AM230" s="43">
        <f>'D4 Gallon Forecast'!AM232*AVERAGE('D4 RIN Forecast'!$BD$14:$BH$14)</f>
        <v>0</v>
      </c>
      <c r="AN230" s="43">
        <f>'D4 Gallon Forecast'!AN232*AVERAGE('D4 RIN Forecast'!$BD$14:$BH$14)</f>
        <v>0</v>
      </c>
      <c r="AO230" s="43">
        <f>'D4 Gallon Forecast'!AO232*AVERAGE('D4 RIN Forecast'!$BD$14:$BH$14)</f>
        <v>0</v>
      </c>
      <c r="AP230" s="43">
        <f>'D4 Gallon Forecast'!AP232*AVERAGE('D4 RIN Forecast'!$BD$14:$BH$14)</f>
        <v>0</v>
      </c>
      <c r="AQ230" s="43"/>
    </row>
    <row r="231" spans="1:43">
      <c r="A231" s="40" t="s">
        <v>47</v>
      </c>
      <c r="B231" s="42">
        <f>'Monthly D4 RIN Data'!$X8</f>
        <v>0</v>
      </c>
      <c r="C231" s="42">
        <f>'Monthly D4 RIN Data'!$X20</f>
        <v>0</v>
      </c>
      <c r="D231" s="42">
        <f>'Monthly D4 RIN Data'!$X32</f>
        <v>0</v>
      </c>
      <c r="E231" s="42">
        <f>'Monthly D4 RIN Data'!$X44</f>
        <v>0</v>
      </c>
      <c r="F231" s="42">
        <f>'Monthly D4 RIN Data'!$X56</f>
        <v>0</v>
      </c>
      <c r="G231" s="42">
        <f>'Monthly D4 RIN Data'!$X68</f>
        <v>0</v>
      </c>
      <c r="H231" s="42">
        <f>'Monthly D4 RIN Data'!$X80</f>
        <v>0</v>
      </c>
      <c r="I231" s="42">
        <f>'Monthly D4 RIN Data'!$X92</f>
        <v>0</v>
      </c>
      <c r="J231" s="42">
        <f>'Monthly D4 RIN Data'!$X104</f>
        <v>0</v>
      </c>
      <c r="K231" s="42">
        <f>'Monthly D4 RIN Data'!$X116</f>
        <v>0</v>
      </c>
      <c r="L231" s="42">
        <f>'Monthly D4 RIN Data'!$X128</f>
        <v>0</v>
      </c>
      <c r="M231" s="42">
        <f>'Monthly D4 RIN Data'!$X140</f>
        <v>0</v>
      </c>
      <c r="N231" s="42">
        <f>'Monthly D4 RIN Data'!$X152</f>
        <v>3628643</v>
      </c>
      <c r="O231" s="42">
        <f>'Monthly D4 RIN Data'!$X164</f>
        <v>0</v>
      </c>
      <c r="P231" s="42">
        <f>'Monthly D4 RIN Data'!$X176</f>
        <v>0</v>
      </c>
      <c r="Q231" s="43">
        <f>'D4 Gallon Forecast'!Q233*AVERAGE('D4 RIN Forecast'!$BC$14:$BF$14)</f>
        <v>0</v>
      </c>
      <c r="R231" s="43">
        <f>'D4 Gallon Forecast'!R233*AVERAGE('D4 RIN Forecast'!$BC$14:$BF$14)</f>
        <v>0</v>
      </c>
      <c r="S231" s="43">
        <f>'D4 Gallon Forecast'!S233*AVERAGE('D4 RIN Forecast'!$BC$14:$BF$14)</f>
        <v>0</v>
      </c>
      <c r="T231" s="43">
        <f>'D4 Gallon Forecast'!T233*AVERAGE('D4 RIN Forecast'!$BC$14:$BF$14)</f>
        <v>0</v>
      </c>
      <c r="U231" s="43">
        <f>'D4 Gallon Forecast'!U233*AVERAGE('D4 RIN Forecast'!$BC$14:$BF$14)</f>
        <v>0</v>
      </c>
      <c r="V231" s="43">
        <f>'D4 Gallon Forecast'!V233*AVERAGE('D4 RIN Forecast'!$BD$14:$BH$14)</f>
        <v>0</v>
      </c>
      <c r="W231" s="43">
        <f>'D4 Gallon Forecast'!W233*AVERAGE('D4 RIN Forecast'!$BD$14:$BH$14)</f>
        <v>0</v>
      </c>
      <c r="X231" s="43">
        <f>'D4 Gallon Forecast'!X233*AVERAGE('D4 RIN Forecast'!$BD$14:$BH$14)</f>
        <v>0</v>
      </c>
      <c r="Y231" s="43">
        <f>'D4 Gallon Forecast'!Y233*AVERAGE('D4 RIN Forecast'!$BD$14:$BH$14)</f>
        <v>0</v>
      </c>
      <c r="Z231" s="43">
        <f>'D4 Gallon Forecast'!Z233*AVERAGE('D4 RIN Forecast'!$BD$14:$BH$14)</f>
        <v>0</v>
      </c>
      <c r="AA231" s="43">
        <f>'D4 Gallon Forecast'!AA233*AVERAGE('D4 RIN Forecast'!$BD$14:$BH$14)</f>
        <v>0</v>
      </c>
      <c r="AB231" s="43">
        <f>'D4 Gallon Forecast'!AB233*AVERAGE('D4 RIN Forecast'!$BD$14:$BH$14)</f>
        <v>0</v>
      </c>
      <c r="AC231" s="43">
        <f>'D4 Gallon Forecast'!AC233*AVERAGE('D4 RIN Forecast'!$BD$14:$BH$14)</f>
        <v>0</v>
      </c>
      <c r="AD231" s="43">
        <f>'D4 Gallon Forecast'!AD233*AVERAGE('D4 RIN Forecast'!$BD$14:$BH$14)</f>
        <v>0</v>
      </c>
      <c r="AE231" s="43">
        <f>'D4 Gallon Forecast'!AE233*AVERAGE('D4 RIN Forecast'!$BD$14:$BH$14)</f>
        <v>0</v>
      </c>
      <c r="AF231" s="43">
        <f>'D4 Gallon Forecast'!AF233*AVERAGE('D4 RIN Forecast'!$BD$14:$BH$14)</f>
        <v>0</v>
      </c>
      <c r="AG231" s="43">
        <f>'D4 Gallon Forecast'!AG233*AVERAGE('D4 RIN Forecast'!$BD$14:$BH$14)</f>
        <v>0</v>
      </c>
      <c r="AH231" s="43">
        <f>'D4 Gallon Forecast'!AH233*AVERAGE('D4 RIN Forecast'!$BD$14:$BH$14)</f>
        <v>0</v>
      </c>
      <c r="AI231" s="43">
        <f>'D4 Gallon Forecast'!AI233*AVERAGE('D4 RIN Forecast'!$BD$14:$BH$14)</f>
        <v>0</v>
      </c>
      <c r="AJ231" s="43">
        <f>'D4 Gallon Forecast'!AJ233*AVERAGE('D4 RIN Forecast'!$BD$14:$BH$14)</f>
        <v>0</v>
      </c>
      <c r="AK231" s="43">
        <f>'D4 Gallon Forecast'!AK233*AVERAGE('D4 RIN Forecast'!$BD$14:$BH$14)</f>
        <v>0</v>
      </c>
      <c r="AL231" s="43">
        <f>'D4 Gallon Forecast'!AL233*AVERAGE('D4 RIN Forecast'!$BD$14:$BH$14)</f>
        <v>0</v>
      </c>
      <c r="AM231" s="43">
        <f>'D4 Gallon Forecast'!AM233*AVERAGE('D4 RIN Forecast'!$BD$14:$BH$14)</f>
        <v>0</v>
      </c>
      <c r="AN231" s="43">
        <f>'D4 Gallon Forecast'!AN233*AVERAGE('D4 RIN Forecast'!$BD$14:$BH$14)</f>
        <v>0</v>
      </c>
      <c r="AO231" s="43">
        <f>'D4 Gallon Forecast'!AO233*AVERAGE('D4 RIN Forecast'!$BD$14:$BH$14)</f>
        <v>0</v>
      </c>
      <c r="AP231" s="43">
        <f>'D4 Gallon Forecast'!AP233*AVERAGE('D4 RIN Forecast'!$BD$14:$BH$14)</f>
        <v>0</v>
      </c>
      <c r="AQ231" s="43"/>
    </row>
    <row r="232" spans="1:43">
      <c r="A232" s="40" t="s">
        <v>48</v>
      </c>
      <c r="B232" s="42">
        <f>'Monthly D4 RIN Data'!$X9</f>
        <v>0</v>
      </c>
      <c r="C232" s="42">
        <f>'Monthly D4 RIN Data'!$X21</f>
        <v>0</v>
      </c>
      <c r="D232" s="42">
        <f>'Monthly D4 RIN Data'!$X33</f>
        <v>0</v>
      </c>
      <c r="E232" s="42">
        <f>'Monthly D4 RIN Data'!$X45</f>
        <v>0</v>
      </c>
      <c r="F232" s="42">
        <f>'Monthly D4 RIN Data'!$X57</f>
        <v>0</v>
      </c>
      <c r="G232" s="42">
        <f>'Monthly D4 RIN Data'!$X69</f>
        <v>0</v>
      </c>
      <c r="H232" s="42">
        <f>'Monthly D4 RIN Data'!$X81</f>
        <v>0</v>
      </c>
      <c r="I232" s="42">
        <f>'Monthly D4 RIN Data'!$X93</f>
        <v>0</v>
      </c>
      <c r="J232" s="42">
        <f>'Monthly D4 RIN Data'!$X105</f>
        <v>0</v>
      </c>
      <c r="K232" s="42">
        <f>'Monthly D4 RIN Data'!$X117</f>
        <v>0</v>
      </c>
      <c r="L232" s="42">
        <f>'Monthly D4 RIN Data'!$X129</f>
        <v>0</v>
      </c>
      <c r="M232" s="42">
        <f>'Monthly D4 RIN Data'!$X141</f>
        <v>0</v>
      </c>
      <c r="N232" s="42">
        <f>'Monthly D4 RIN Data'!$X153</f>
        <v>1087288</v>
      </c>
      <c r="O232" s="42">
        <f>'Monthly D4 RIN Data'!$X165</f>
        <v>7789724</v>
      </c>
      <c r="P232" s="42">
        <f>'Monthly D4 RIN Data'!$X177</f>
        <v>0</v>
      </c>
      <c r="Q232" s="43">
        <f>'D4 Gallon Forecast'!Q234*AVERAGE('D4 RIN Forecast'!$BC$14:$BF$14)</f>
        <v>0</v>
      </c>
      <c r="R232" s="43">
        <f>'D4 Gallon Forecast'!R234*AVERAGE('D4 RIN Forecast'!$BC$14:$BF$14)</f>
        <v>0</v>
      </c>
      <c r="S232" s="43">
        <f>'D4 Gallon Forecast'!S234*AVERAGE('D4 RIN Forecast'!$BC$14:$BF$14)</f>
        <v>0</v>
      </c>
      <c r="T232" s="43">
        <f>'D4 Gallon Forecast'!T234*AVERAGE('D4 RIN Forecast'!$BC$14:$BF$14)</f>
        <v>0</v>
      </c>
      <c r="U232" s="43">
        <f>'D4 Gallon Forecast'!U234*AVERAGE('D4 RIN Forecast'!$BC$14:$BF$14)</f>
        <v>0</v>
      </c>
      <c r="V232" s="43">
        <f>'D4 Gallon Forecast'!V234*AVERAGE('D4 RIN Forecast'!$BD$14:$BH$14)</f>
        <v>0</v>
      </c>
      <c r="W232" s="43">
        <f>'D4 Gallon Forecast'!W234*AVERAGE('D4 RIN Forecast'!$BD$14:$BH$14)</f>
        <v>0</v>
      </c>
      <c r="X232" s="43">
        <f>'D4 Gallon Forecast'!X234*AVERAGE('D4 RIN Forecast'!$BD$14:$BH$14)</f>
        <v>0</v>
      </c>
      <c r="Y232" s="43">
        <f>'D4 Gallon Forecast'!Y234*AVERAGE('D4 RIN Forecast'!$BD$14:$BH$14)</f>
        <v>0</v>
      </c>
      <c r="Z232" s="43">
        <f>'D4 Gallon Forecast'!Z234*AVERAGE('D4 RIN Forecast'!$BD$14:$BH$14)</f>
        <v>0</v>
      </c>
      <c r="AA232" s="43">
        <f>'D4 Gallon Forecast'!AA234*AVERAGE('D4 RIN Forecast'!$BD$14:$BH$14)</f>
        <v>0</v>
      </c>
      <c r="AB232" s="43">
        <f>'D4 Gallon Forecast'!AB234*AVERAGE('D4 RIN Forecast'!$BD$14:$BH$14)</f>
        <v>0</v>
      </c>
      <c r="AC232" s="43">
        <f>'D4 Gallon Forecast'!AC234*AVERAGE('D4 RIN Forecast'!$BD$14:$BH$14)</f>
        <v>0</v>
      </c>
      <c r="AD232" s="43">
        <f>'D4 Gallon Forecast'!AD234*AVERAGE('D4 RIN Forecast'!$BD$14:$BH$14)</f>
        <v>0</v>
      </c>
      <c r="AE232" s="43">
        <f>'D4 Gallon Forecast'!AE234*AVERAGE('D4 RIN Forecast'!$BD$14:$BH$14)</f>
        <v>0</v>
      </c>
      <c r="AF232" s="43">
        <f>'D4 Gallon Forecast'!AF234*AVERAGE('D4 RIN Forecast'!$BD$14:$BH$14)</f>
        <v>0</v>
      </c>
      <c r="AG232" s="43">
        <f>'D4 Gallon Forecast'!AG234*AVERAGE('D4 RIN Forecast'!$BD$14:$BH$14)</f>
        <v>0</v>
      </c>
      <c r="AH232" s="43">
        <f>'D4 Gallon Forecast'!AH234*AVERAGE('D4 RIN Forecast'!$BD$14:$BH$14)</f>
        <v>0</v>
      </c>
      <c r="AI232" s="43">
        <f>'D4 Gallon Forecast'!AI234*AVERAGE('D4 RIN Forecast'!$BD$14:$BH$14)</f>
        <v>0</v>
      </c>
      <c r="AJ232" s="43">
        <f>'D4 Gallon Forecast'!AJ234*AVERAGE('D4 RIN Forecast'!$BD$14:$BH$14)</f>
        <v>0</v>
      </c>
      <c r="AK232" s="43">
        <f>'D4 Gallon Forecast'!AK234*AVERAGE('D4 RIN Forecast'!$BD$14:$BH$14)</f>
        <v>0</v>
      </c>
      <c r="AL232" s="43">
        <f>'D4 Gallon Forecast'!AL234*AVERAGE('D4 RIN Forecast'!$BD$14:$BH$14)</f>
        <v>0</v>
      </c>
      <c r="AM232" s="43">
        <f>'D4 Gallon Forecast'!AM234*AVERAGE('D4 RIN Forecast'!$BD$14:$BH$14)</f>
        <v>0</v>
      </c>
      <c r="AN232" s="43">
        <f>'D4 Gallon Forecast'!AN234*AVERAGE('D4 RIN Forecast'!$BD$14:$BH$14)</f>
        <v>0</v>
      </c>
      <c r="AO232" s="43">
        <f>'D4 Gallon Forecast'!AO234*AVERAGE('D4 RIN Forecast'!$BD$14:$BH$14)</f>
        <v>0</v>
      </c>
      <c r="AP232" s="43">
        <f>'D4 Gallon Forecast'!AP234*AVERAGE('D4 RIN Forecast'!$BD$14:$BH$14)</f>
        <v>0</v>
      </c>
      <c r="AQ232" s="43"/>
    </row>
    <row r="233" spans="1:43">
      <c r="A233" s="40" t="s">
        <v>49</v>
      </c>
      <c r="B233" s="42">
        <f>'Monthly D4 RIN Data'!$X10</f>
        <v>0</v>
      </c>
      <c r="C233" s="42">
        <f>'Monthly D4 RIN Data'!$X22</f>
        <v>0</v>
      </c>
      <c r="D233" s="42">
        <f>'Monthly D4 RIN Data'!$X34</f>
        <v>0</v>
      </c>
      <c r="E233" s="42">
        <f>'Monthly D4 RIN Data'!$X46</f>
        <v>0</v>
      </c>
      <c r="F233" s="42">
        <f>'Monthly D4 RIN Data'!$X58</f>
        <v>0</v>
      </c>
      <c r="G233" s="42">
        <f>'Monthly D4 RIN Data'!$X70</f>
        <v>0</v>
      </c>
      <c r="H233" s="42">
        <f>'Monthly D4 RIN Data'!$X82</f>
        <v>0</v>
      </c>
      <c r="I233" s="42">
        <f>'Monthly D4 RIN Data'!$X94</f>
        <v>0</v>
      </c>
      <c r="J233" s="42">
        <f>'Monthly D4 RIN Data'!$X106</f>
        <v>0</v>
      </c>
      <c r="K233" s="42">
        <f>'Monthly D4 RIN Data'!$X118</f>
        <v>0</v>
      </c>
      <c r="L233" s="42">
        <f>'Monthly D4 RIN Data'!$X130</f>
        <v>0</v>
      </c>
      <c r="M233" s="42">
        <f>'Monthly D4 RIN Data'!$X142</f>
        <v>1782147</v>
      </c>
      <c r="N233" s="42">
        <f>'Monthly D4 RIN Data'!$X154</f>
        <v>3696974</v>
      </c>
      <c r="O233" s="42">
        <f>'Monthly D4 RIN Data'!$X166</f>
        <v>3562474</v>
      </c>
      <c r="P233" s="42">
        <f>'Monthly D4 RIN Data'!$X178</f>
        <v>0</v>
      </c>
      <c r="Q233" s="43">
        <f>'D4 Gallon Forecast'!Q235*AVERAGE('D4 RIN Forecast'!$BC$14:$BF$14)</f>
        <v>0</v>
      </c>
      <c r="R233" s="43">
        <f>'D4 Gallon Forecast'!R235*AVERAGE('D4 RIN Forecast'!$BC$14:$BF$14)</f>
        <v>0</v>
      </c>
      <c r="S233" s="43">
        <f>'D4 Gallon Forecast'!S235*AVERAGE('D4 RIN Forecast'!$BC$14:$BF$14)</f>
        <v>0</v>
      </c>
      <c r="T233" s="43">
        <f>'D4 Gallon Forecast'!T235*AVERAGE('D4 RIN Forecast'!$BC$14:$BF$14)</f>
        <v>0</v>
      </c>
      <c r="U233" s="43">
        <f>'D4 Gallon Forecast'!U235*AVERAGE('D4 RIN Forecast'!$BC$14:$BF$14)</f>
        <v>0</v>
      </c>
      <c r="V233" s="43">
        <f>'D4 Gallon Forecast'!V235*AVERAGE('D4 RIN Forecast'!$BD$14:$BH$14)</f>
        <v>0</v>
      </c>
      <c r="W233" s="43">
        <f>'D4 Gallon Forecast'!W235*AVERAGE('D4 RIN Forecast'!$BD$14:$BH$14)</f>
        <v>0</v>
      </c>
      <c r="X233" s="43">
        <f>'D4 Gallon Forecast'!X235*AVERAGE('D4 RIN Forecast'!$BD$14:$BH$14)</f>
        <v>0</v>
      </c>
      <c r="Y233" s="43">
        <f>'D4 Gallon Forecast'!Y235*AVERAGE('D4 RIN Forecast'!$BD$14:$BH$14)</f>
        <v>0</v>
      </c>
      <c r="Z233" s="43">
        <f>'D4 Gallon Forecast'!Z235*AVERAGE('D4 RIN Forecast'!$BD$14:$BH$14)</f>
        <v>0</v>
      </c>
      <c r="AA233" s="43">
        <f>'D4 Gallon Forecast'!AA235*AVERAGE('D4 RIN Forecast'!$BD$14:$BH$14)</f>
        <v>0</v>
      </c>
      <c r="AB233" s="43">
        <f>'D4 Gallon Forecast'!AB235*AVERAGE('D4 RIN Forecast'!$BD$14:$BH$14)</f>
        <v>0</v>
      </c>
      <c r="AC233" s="43">
        <f>'D4 Gallon Forecast'!AC235*AVERAGE('D4 RIN Forecast'!$BD$14:$BH$14)</f>
        <v>0</v>
      </c>
      <c r="AD233" s="43">
        <f>'D4 Gallon Forecast'!AD235*AVERAGE('D4 RIN Forecast'!$BD$14:$BH$14)</f>
        <v>0</v>
      </c>
      <c r="AE233" s="43">
        <f>'D4 Gallon Forecast'!AE235*AVERAGE('D4 RIN Forecast'!$BD$14:$BH$14)</f>
        <v>0</v>
      </c>
      <c r="AF233" s="43">
        <f>'D4 Gallon Forecast'!AF235*AVERAGE('D4 RIN Forecast'!$BD$14:$BH$14)</f>
        <v>0</v>
      </c>
      <c r="AG233" s="43">
        <f>'D4 Gallon Forecast'!AG235*AVERAGE('D4 RIN Forecast'!$BD$14:$BH$14)</f>
        <v>0</v>
      </c>
      <c r="AH233" s="43">
        <f>'D4 Gallon Forecast'!AH235*AVERAGE('D4 RIN Forecast'!$BD$14:$BH$14)</f>
        <v>0</v>
      </c>
      <c r="AI233" s="43">
        <f>'D4 Gallon Forecast'!AI235*AVERAGE('D4 RIN Forecast'!$BD$14:$BH$14)</f>
        <v>0</v>
      </c>
      <c r="AJ233" s="43">
        <f>'D4 Gallon Forecast'!AJ235*AVERAGE('D4 RIN Forecast'!$BD$14:$BH$14)</f>
        <v>0</v>
      </c>
      <c r="AK233" s="43">
        <f>'D4 Gallon Forecast'!AK235*AVERAGE('D4 RIN Forecast'!$BD$14:$BH$14)</f>
        <v>0</v>
      </c>
      <c r="AL233" s="43">
        <f>'D4 Gallon Forecast'!AL235*AVERAGE('D4 RIN Forecast'!$BD$14:$BH$14)</f>
        <v>0</v>
      </c>
      <c r="AM233" s="43">
        <f>'D4 Gallon Forecast'!AM235*AVERAGE('D4 RIN Forecast'!$BD$14:$BH$14)</f>
        <v>0</v>
      </c>
      <c r="AN233" s="43">
        <f>'D4 Gallon Forecast'!AN235*AVERAGE('D4 RIN Forecast'!$BD$14:$BH$14)</f>
        <v>0</v>
      </c>
      <c r="AO233" s="43">
        <f>'D4 Gallon Forecast'!AO235*AVERAGE('D4 RIN Forecast'!$BD$14:$BH$14)</f>
        <v>0</v>
      </c>
      <c r="AP233" s="43">
        <f>'D4 Gallon Forecast'!AP235*AVERAGE('D4 RIN Forecast'!$BD$14:$BH$14)</f>
        <v>0</v>
      </c>
      <c r="AQ233" s="43"/>
    </row>
    <row r="234" spans="1:43">
      <c r="A234" s="40" t="s">
        <v>50</v>
      </c>
      <c r="B234" s="42">
        <f>'Monthly D4 RIN Data'!$X11</f>
        <v>0</v>
      </c>
      <c r="C234" s="42">
        <f>'Monthly D4 RIN Data'!$X23</f>
        <v>0</v>
      </c>
      <c r="D234" s="42">
        <f>'Monthly D4 RIN Data'!$X35</f>
        <v>0</v>
      </c>
      <c r="E234" s="42">
        <f>'Monthly D4 RIN Data'!$X47</f>
        <v>0</v>
      </c>
      <c r="F234" s="42">
        <f>'Monthly D4 RIN Data'!$X59</f>
        <v>0</v>
      </c>
      <c r="G234" s="42">
        <f>'Monthly D4 RIN Data'!$X71</f>
        <v>0</v>
      </c>
      <c r="H234" s="42">
        <f>'Monthly D4 RIN Data'!$X83</f>
        <v>0</v>
      </c>
      <c r="I234" s="42">
        <f>'Monthly D4 RIN Data'!$X95</f>
        <v>0</v>
      </c>
      <c r="J234" s="42">
        <f>'Monthly D4 RIN Data'!$X107</f>
        <v>0</v>
      </c>
      <c r="K234" s="42">
        <f>'Monthly D4 RIN Data'!$X119</f>
        <v>3800968</v>
      </c>
      <c r="L234" s="42">
        <f>'Monthly D4 RIN Data'!$X131</f>
        <v>0</v>
      </c>
      <c r="M234" s="42">
        <f>'Monthly D4 RIN Data'!$X143</f>
        <v>2406776</v>
      </c>
      <c r="N234" s="42">
        <f>'Monthly D4 RIN Data'!$X155</f>
        <v>5356333</v>
      </c>
      <c r="O234" s="42">
        <f>'Monthly D4 RIN Data'!$X167</f>
        <v>4682159</v>
      </c>
      <c r="P234" s="42">
        <f>'Monthly D4 RIN Data'!$X179</f>
        <v>0</v>
      </c>
      <c r="Q234" s="43">
        <f>'D4 Gallon Forecast'!Q236*AVERAGE('D4 RIN Forecast'!$BC$14:$BF$14)</f>
        <v>0</v>
      </c>
      <c r="R234" s="43">
        <f>'D4 Gallon Forecast'!R236*AVERAGE('D4 RIN Forecast'!$BC$14:$BF$14)</f>
        <v>0</v>
      </c>
      <c r="S234" s="43">
        <f>'D4 Gallon Forecast'!S236*AVERAGE('D4 RIN Forecast'!$BC$14:$BF$14)</f>
        <v>0</v>
      </c>
      <c r="T234" s="43">
        <f>'D4 Gallon Forecast'!T236*AVERAGE('D4 RIN Forecast'!$BC$14:$BF$14)</f>
        <v>0</v>
      </c>
      <c r="U234" s="43">
        <f>'D4 Gallon Forecast'!U236*AVERAGE('D4 RIN Forecast'!$BC$14:$BF$14)</f>
        <v>0</v>
      </c>
      <c r="V234" s="43">
        <f>'D4 Gallon Forecast'!V236*AVERAGE('D4 RIN Forecast'!$BD$14:$BH$14)</f>
        <v>0</v>
      </c>
      <c r="W234" s="43">
        <f>'D4 Gallon Forecast'!W236*AVERAGE('D4 RIN Forecast'!$BD$14:$BH$14)</f>
        <v>0</v>
      </c>
      <c r="X234" s="43">
        <f>'D4 Gallon Forecast'!X236*AVERAGE('D4 RIN Forecast'!$BD$14:$BH$14)</f>
        <v>0</v>
      </c>
      <c r="Y234" s="43">
        <f>'D4 Gallon Forecast'!Y236*AVERAGE('D4 RIN Forecast'!$BD$14:$BH$14)</f>
        <v>0</v>
      </c>
      <c r="Z234" s="43">
        <f>'D4 Gallon Forecast'!Z236*AVERAGE('D4 RIN Forecast'!$BD$14:$BH$14)</f>
        <v>0</v>
      </c>
      <c r="AA234" s="43">
        <f>'D4 Gallon Forecast'!AA236*AVERAGE('D4 RIN Forecast'!$BD$14:$BH$14)</f>
        <v>0</v>
      </c>
      <c r="AB234" s="43">
        <f>'D4 Gallon Forecast'!AB236*AVERAGE('D4 RIN Forecast'!$BD$14:$BH$14)</f>
        <v>0</v>
      </c>
      <c r="AC234" s="43">
        <f>'D4 Gallon Forecast'!AC236*AVERAGE('D4 RIN Forecast'!$BD$14:$BH$14)</f>
        <v>0</v>
      </c>
      <c r="AD234" s="43">
        <f>'D4 Gallon Forecast'!AD236*AVERAGE('D4 RIN Forecast'!$BD$14:$BH$14)</f>
        <v>0</v>
      </c>
      <c r="AE234" s="43">
        <f>'D4 Gallon Forecast'!AE236*AVERAGE('D4 RIN Forecast'!$BD$14:$BH$14)</f>
        <v>0</v>
      </c>
      <c r="AF234" s="43">
        <f>'D4 Gallon Forecast'!AF236*AVERAGE('D4 RIN Forecast'!$BD$14:$BH$14)</f>
        <v>0</v>
      </c>
      <c r="AG234" s="43">
        <f>'D4 Gallon Forecast'!AG236*AVERAGE('D4 RIN Forecast'!$BD$14:$BH$14)</f>
        <v>0</v>
      </c>
      <c r="AH234" s="43">
        <f>'D4 Gallon Forecast'!AH236*AVERAGE('D4 RIN Forecast'!$BD$14:$BH$14)</f>
        <v>0</v>
      </c>
      <c r="AI234" s="43">
        <f>'D4 Gallon Forecast'!AI236*AVERAGE('D4 RIN Forecast'!$BD$14:$BH$14)</f>
        <v>0</v>
      </c>
      <c r="AJ234" s="43">
        <f>'D4 Gallon Forecast'!AJ236*AVERAGE('D4 RIN Forecast'!$BD$14:$BH$14)</f>
        <v>0</v>
      </c>
      <c r="AK234" s="43">
        <f>'D4 Gallon Forecast'!AK236*AVERAGE('D4 RIN Forecast'!$BD$14:$BH$14)</f>
        <v>0</v>
      </c>
      <c r="AL234" s="43">
        <f>'D4 Gallon Forecast'!AL236*AVERAGE('D4 RIN Forecast'!$BD$14:$BH$14)</f>
        <v>0</v>
      </c>
      <c r="AM234" s="43">
        <f>'D4 Gallon Forecast'!AM236*AVERAGE('D4 RIN Forecast'!$BD$14:$BH$14)</f>
        <v>0</v>
      </c>
      <c r="AN234" s="43">
        <f>'D4 Gallon Forecast'!AN236*AVERAGE('D4 RIN Forecast'!$BD$14:$BH$14)</f>
        <v>0</v>
      </c>
      <c r="AO234" s="43">
        <f>'D4 Gallon Forecast'!AO236*AVERAGE('D4 RIN Forecast'!$BD$14:$BH$14)</f>
        <v>0</v>
      </c>
      <c r="AP234" s="43">
        <f>'D4 Gallon Forecast'!AP236*AVERAGE('D4 RIN Forecast'!$BD$14:$BH$14)</f>
        <v>0</v>
      </c>
      <c r="AQ234" s="43"/>
    </row>
    <row r="235" spans="1:43">
      <c r="A235" s="40" t="s">
        <v>51</v>
      </c>
      <c r="B235" s="42">
        <f>'Monthly D4 RIN Data'!$X12</f>
        <v>0</v>
      </c>
      <c r="C235" s="42">
        <f>'Monthly D4 RIN Data'!$X24</f>
        <v>0</v>
      </c>
      <c r="D235" s="42">
        <f>'Monthly D4 RIN Data'!$X36</f>
        <v>0</v>
      </c>
      <c r="E235" s="42">
        <f>'Monthly D4 RIN Data'!$X48</f>
        <v>0</v>
      </c>
      <c r="F235" s="42">
        <f>'Monthly D4 RIN Data'!$X60</f>
        <v>0</v>
      </c>
      <c r="G235" s="42">
        <f>'Monthly D4 RIN Data'!$X72</f>
        <v>0</v>
      </c>
      <c r="H235" s="42">
        <f>'Monthly D4 RIN Data'!$X84</f>
        <v>0</v>
      </c>
      <c r="I235" s="42">
        <f>'Monthly D4 RIN Data'!$X96</f>
        <v>0</v>
      </c>
      <c r="J235" s="42">
        <f>'Monthly D4 RIN Data'!$X108</f>
        <v>0</v>
      </c>
      <c r="K235" s="42">
        <f>'Monthly D4 RIN Data'!$X120</f>
        <v>0</v>
      </c>
      <c r="L235" s="42">
        <f>'Monthly D4 RIN Data'!$X132</f>
        <v>0</v>
      </c>
      <c r="M235" s="42">
        <f>'Monthly D4 RIN Data'!$X144</f>
        <v>3625997</v>
      </c>
      <c r="N235" s="42">
        <f>'Monthly D4 RIN Data'!$X156</f>
        <v>0</v>
      </c>
      <c r="O235" s="42">
        <f>'Monthly D4 RIN Data'!$X168</f>
        <v>1090776</v>
      </c>
      <c r="P235" s="42">
        <f>'Monthly D4 RIN Data'!$X180</f>
        <v>0</v>
      </c>
      <c r="Q235" s="43">
        <f>'D4 Gallon Forecast'!Q237*AVERAGE('D4 RIN Forecast'!$BC$14:$BF$14)</f>
        <v>0</v>
      </c>
      <c r="R235" s="43">
        <f>'D4 Gallon Forecast'!R237*AVERAGE('D4 RIN Forecast'!$BC$14:$BF$14)</f>
        <v>0</v>
      </c>
      <c r="S235" s="43">
        <f>'D4 Gallon Forecast'!S237*AVERAGE('D4 RIN Forecast'!$BC$14:$BF$14)</f>
        <v>0</v>
      </c>
      <c r="T235" s="43">
        <f>'D4 Gallon Forecast'!T237*AVERAGE('D4 RIN Forecast'!$BC$14:$BF$14)</f>
        <v>0</v>
      </c>
      <c r="U235" s="43">
        <f>'D4 Gallon Forecast'!U237*AVERAGE('D4 RIN Forecast'!$BC$14:$BF$14)</f>
        <v>0</v>
      </c>
      <c r="V235" s="43">
        <f>'D4 Gallon Forecast'!V237*AVERAGE('D4 RIN Forecast'!$BD$14:$BH$14)</f>
        <v>0</v>
      </c>
      <c r="W235" s="43">
        <f>'D4 Gallon Forecast'!W237*AVERAGE('D4 RIN Forecast'!$BD$14:$BH$14)</f>
        <v>0</v>
      </c>
      <c r="X235" s="43">
        <f>'D4 Gallon Forecast'!X237*AVERAGE('D4 RIN Forecast'!$BD$14:$BH$14)</f>
        <v>0</v>
      </c>
      <c r="Y235" s="43">
        <f>'D4 Gallon Forecast'!Y237*AVERAGE('D4 RIN Forecast'!$BD$14:$BH$14)</f>
        <v>0</v>
      </c>
      <c r="Z235" s="43">
        <f>'D4 Gallon Forecast'!Z237*AVERAGE('D4 RIN Forecast'!$BD$14:$BH$14)</f>
        <v>0</v>
      </c>
      <c r="AA235" s="43">
        <f>'D4 Gallon Forecast'!AA237*AVERAGE('D4 RIN Forecast'!$BD$14:$BH$14)</f>
        <v>0</v>
      </c>
      <c r="AB235" s="43">
        <f>'D4 Gallon Forecast'!AB237*AVERAGE('D4 RIN Forecast'!$BD$14:$BH$14)</f>
        <v>0</v>
      </c>
      <c r="AC235" s="43">
        <f>'D4 Gallon Forecast'!AC237*AVERAGE('D4 RIN Forecast'!$BD$14:$BH$14)</f>
        <v>0</v>
      </c>
      <c r="AD235" s="43">
        <f>'D4 Gallon Forecast'!AD237*AVERAGE('D4 RIN Forecast'!$BD$14:$BH$14)</f>
        <v>0</v>
      </c>
      <c r="AE235" s="43">
        <f>'D4 Gallon Forecast'!AE237*AVERAGE('D4 RIN Forecast'!$BD$14:$BH$14)</f>
        <v>0</v>
      </c>
      <c r="AF235" s="43">
        <f>'D4 Gallon Forecast'!AF237*AVERAGE('D4 RIN Forecast'!$BD$14:$BH$14)</f>
        <v>0</v>
      </c>
      <c r="AG235" s="43">
        <f>'D4 Gallon Forecast'!AG237*AVERAGE('D4 RIN Forecast'!$BD$14:$BH$14)</f>
        <v>0</v>
      </c>
      <c r="AH235" s="43">
        <f>'D4 Gallon Forecast'!AH237*AVERAGE('D4 RIN Forecast'!$BD$14:$BH$14)</f>
        <v>0</v>
      </c>
      <c r="AI235" s="43">
        <f>'D4 Gallon Forecast'!AI237*AVERAGE('D4 RIN Forecast'!$BD$14:$BH$14)</f>
        <v>0</v>
      </c>
      <c r="AJ235" s="43">
        <f>'D4 Gallon Forecast'!AJ237*AVERAGE('D4 RIN Forecast'!$BD$14:$BH$14)</f>
        <v>0</v>
      </c>
      <c r="AK235" s="43">
        <f>'D4 Gallon Forecast'!AK237*AVERAGE('D4 RIN Forecast'!$BD$14:$BH$14)</f>
        <v>0</v>
      </c>
      <c r="AL235" s="43">
        <f>'D4 Gallon Forecast'!AL237*AVERAGE('D4 RIN Forecast'!$BD$14:$BH$14)</f>
        <v>0</v>
      </c>
      <c r="AM235" s="43">
        <f>'D4 Gallon Forecast'!AM237*AVERAGE('D4 RIN Forecast'!$BD$14:$BH$14)</f>
        <v>0</v>
      </c>
      <c r="AN235" s="43">
        <f>'D4 Gallon Forecast'!AN237*AVERAGE('D4 RIN Forecast'!$BD$14:$BH$14)</f>
        <v>0</v>
      </c>
      <c r="AO235" s="43">
        <f>'D4 Gallon Forecast'!AO237*AVERAGE('D4 RIN Forecast'!$BD$14:$BH$14)</f>
        <v>0</v>
      </c>
      <c r="AP235" s="43">
        <f>'D4 Gallon Forecast'!AP237*AVERAGE('D4 RIN Forecast'!$BD$14:$BH$14)</f>
        <v>0</v>
      </c>
      <c r="AQ235" s="43"/>
    </row>
    <row r="236" spans="1:43">
      <c r="A236" s="40" t="s">
        <v>52</v>
      </c>
      <c r="B236" s="42">
        <f>'Monthly D4 RIN Data'!$X13</f>
        <v>0</v>
      </c>
      <c r="C236" s="42">
        <f>'Monthly D4 RIN Data'!$X25</f>
        <v>0</v>
      </c>
      <c r="D236" s="42">
        <f>'Monthly D4 RIN Data'!$X37</f>
        <v>0</v>
      </c>
      <c r="E236" s="42">
        <f>'Monthly D4 RIN Data'!$X49</f>
        <v>0</v>
      </c>
      <c r="F236" s="42">
        <f>'Monthly D4 RIN Data'!$X61</f>
        <v>0</v>
      </c>
      <c r="G236" s="42">
        <f>'Monthly D4 RIN Data'!$X73</f>
        <v>0</v>
      </c>
      <c r="H236" s="42">
        <f>'Monthly D4 RIN Data'!$X85</f>
        <v>0</v>
      </c>
      <c r="I236" s="42">
        <f>'Monthly D4 RIN Data'!$X97</f>
        <v>0</v>
      </c>
      <c r="J236" s="42">
        <f>'Monthly D4 RIN Data'!$X109</f>
        <v>0</v>
      </c>
      <c r="K236" s="42">
        <f>'Monthly D4 RIN Data'!$X121</f>
        <v>0</v>
      </c>
      <c r="L236" s="42">
        <f>'Monthly D4 RIN Data'!$X133</f>
        <v>0</v>
      </c>
      <c r="M236" s="42">
        <f>'Monthly D4 RIN Data'!$X145</f>
        <v>9584168</v>
      </c>
      <c r="N236" s="42">
        <f>'Monthly D4 RIN Data'!$X157</f>
        <v>3547656</v>
      </c>
      <c r="O236" s="42">
        <f>'Monthly D4 RIN Data'!$X169</f>
        <v>4824712</v>
      </c>
      <c r="P236" s="42">
        <f>'Monthly D4 RIN Data'!$X181</f>
        <v>3385664</v>
      </c>
      <c r="Q236" s="43">
        <f>'D4 Gallon Forecast'!Q238*AVERAGE('D4 RIN Forecast'!$BC$14:$BF$14)</f>
        <v>0</v>
      </c>
      <c r="R236" s="43">
        <f>'D4 Gallon Forecast'!R238*AVERAGE('D4 RIN Forecast'!$BC$14:$BF$14)</f>
        <v>0</v>
      </c>
      <c r="S236" s="43">
        <f>'D4 Gallon Forecast'!S238*AVERAGE('D4 RIN Forecast'!$BC$14:$BF$14)</f>
        <v>0</v>
      </c>
      <c r="T236" s="43">
        <f>'D4 Gallon Forecast'!T238*AVERAGE('D4 RIN Forecast'!$BC$14:$BF$14)</f>
        <v>0</v>
      </c>
      <c r="U236" s="43">
        <f>'D4 Gallon Forecast'!U238*AVERAGE('D4 RIN Forecast'!$BC$14:$BF$14)</f>
        <v>0</v>
      </c>
      <c r="V236" s="43">
        <f>'D4 Gallon Forecast'!V238*AVERAGE('D4 RIN Forecast'!$BD$14:$BH$14)</f>
        <v>0</v>
      </c>
      <c r="W236" s="43">
        <f>'D4 Gallon Forecast'!W238*AVERAGE('D4 RIN Forecast'!$BD$14:$BH$14)</f>
        <v>0</v>
      </c>
      <c r="X236" s="43">
        <f>'D4 Gallon Forecast'!X238*AVERAGE('D4 RIN Forecast'!$BD$14:$BH$14)</f>
        <v>0</v>
      </c>
      <c r="Y236" s="43">
        <f>'D4 Gallon Forecast'!Y238*AVERAGE('D4 RIN Forecast'!$BD$14:$BH$14)</f>
        <v>0</v>
      </c>
      <c r="Z236" s="43">
        <f>'D4 Gallon Forecast'!Z238*AVERAGE('D4 RIN Forecast'!$BD$14:$BH$14)</f>
        <v>0</v>
      </c>
      <c r="AA236" s="43">
        <f>'D4 Gallon Forecast'!AA238*AVERAGE('D4 RIN Forecast'!$BD$14:$BH$14)</f>
        <v>0</v>
      </c>
      <c r="AB236" s="43">
        <f>'D4 Gallon Forecast'!AB238*AVERAGE('D4 RIN Forecast'!$BD$14:$BH$14)</f>
        <v>0</v>
      </c>
      <c r="AC236" s="43">
        <f>'D4 Gallon Forecast'!AC238*AVERAGE('D4 RIN Forecast'!$BD$14:$BH$14)</f>
        <v>0</v>
      </c>
      <c r="AD236" s="43">
        <f>'D4 Gallon Forecast'!AD238*AVERAGE('D4 RIN Forecast'!$BD$14:$BH$14)</f>
        <v>0</v>
      </c>
      <c r="AE236" s="43">
        <f>'D4 Gallon Forecast'!AE238*AVERAGE('D4 RIN Forecast'!$BD$14:$BH$14)</f>
        <v>0</v>
      </c>
      <c r="AF236" s="43">
        <f>'D4 Gallon Forecast'!AF238*AVERAGE('D4 RIN Forecast'!$BD$14:$BH$14)</f>
        <v>0</v>
      </c>
      <c r="AG236" s="43">
        <f>'D4 Gallon Forecast'!AG238*AVERAGE('D4 RIN Forecast'!$BD$14:$BH$14)</f>
        <v>0</v>
      </c>
      <c r="AH236" s="43">
        <f>'D4 Gallon Forecast'!AH238*AVERAGE('D4 RIN Forecast'!$BD$14:$BH$14)</f>
        <v>0</v>
      </c>
      <c r="AI236" s="43">
        <f>'D4 Gallon Forecast'!AI238*AVERAGE('D4 RIN Forecast'!$BD$14:$BH$14)</f>
        <v>0</v>
      </c>
      <c r="AJ236" s="43">
        <f>'D4 Gallon Forecast'!AJ238*AVERAGE('D4 RIN Forecast'!$BD$14:$BH$14)</f>
        <v>0</v>
      </c>
      <c r="AK236" s="43">
        <f>'D4 Gallon Forecast'!AK238*AVERAGE('D4 RIN Forecast'!$BD$14:$BH$14)</f>
        <v>0</v>
      </c>
      <c r="AL236" s="43">
        <f>'D4 Gallon Forecast'!AL238*AVERAGE('D4 RIN Forecast'!$BD$14:$BH$14)</f>
        <v>0</v>
      </c>
      <c r="AM236" s="43">
        <f>'D4 Gallon Forecast'!AM238*AVERAGE('D4 RIN Forecast'!$BD$14:$BH$14)</f>
        <v>0</v>
      </c>
      <c r="AN236" s="43">
        <f>'D4 Gallon Forecast'!AN238*AVERAGE('D4 RIN Forecast'!$BD$14:$BH$14)</f>
        <v>0</v>
      </c>
      <c r="AO236" s="43">
        <f>'D4 Gallon Forecast'!AO238*AVERAGE('D4 RIN Forecast'!$BD$14:$BH$14)</f>
        <v>0</v>
      </c>
      <c r="AP236" s="43">
        <f>'D4 Gallon Forecast'!AP238*AVERAGE('D4 RIN Forecast'!$BD$14:$BH$14)</f>
        <v>0</v>
      </c>
      <c r="AQ236" s="43"/>
    </row>
    <row r="237" spans="1:43">
      <c r="A237" s="40" t="s">
        <v>53</v>
      </c>
      <c r="B237" s="42">
        <f>'Monthly D4 RIN Data'!$X14</f>
        <v>0</v>
      </c>
      <c r="C237" s="42">
        <f>'Monthly D4 RIN Data'!$X26</f>
        <v>0</v>
      </c>
      <c r="D237" s="42">
        <f>'Monthly D4 RIN Data'!$X38</f>
        <v>0</v>
      </c>
      <c r="E237" s="42">
        <f>'Monthly D4 RIN Data'!$X50</f>
        <v>0</v>
      </c>
      <c r="F237" s="42">
        <f>'Monthly D4 RIN Data'!$X62</f>
        <v>0</v>
      </c>
      <c r="G237" s="42">
        <f>'Monthly D4 RIN Data'!$X74</f>
        <v>0</v>
      </c>
      <c r="H237" s="42">
        <f>'Monthly D4 RIN Data'!$X86</f>
        <v>0</v>
      </c>
      <c r="I237" s="42">
        <f>'Monthly D4 RIN Data'!$X98</f>
        <v>0</v>
      </c>
      <c r="J237" s="42">
        <f>'Monthly D4 RIN Data'!$X110</f>
        <v>0</v>
      </c>
      <c r="K237" s="42">
        <f>'Monthly D4 RIN Data'!$X122</f>
        <v>0</v>
      </c>
      <c r="L237" s="42">
        <f>'Monthly D4 RIN Data'!$X134</f>
        <v>0</v>
      </c>
      <c r="M237" s="42">
        <f>'Monthly D4 RIN Data'!$X146</f>
        <v>0</v>
      </c>
      <c r="N237" s="42">
        <f>'Monthly D4 RIN Data'!$X158</f>
        <v>3224832</v>
      </c>
      <c r="O237" s="42">
        <f>'Monthly D4 RIN Data'!$X170</f>
        <v>3714590</v>
      </c>
      <c r="P237" s="42">
        <f>'Monthly D4 RIN Data'!$X182</f>
        <v>1308288</v>
      </c>
      <c r="Q237" s="43">
        <f>'D4 Gallon Forecast'!Q239*AVERAGE('D4 RIN Forecast'!$BC$14:$BF$14)</f>
        <v>0</v>
      </c>
      <c r="R237" s="43">
        <f>'D4 Gallon Forecast'!R239*AVERAGE('D4 RIN Forecast'!$BC$14:$BF$14)</f>
        <v>0</v>
      </c>
      <c r="S237" s="43">
        <f>'D4 Gallon Forecast'!S239*AVERAGE('D4 RIN Forecast'!$BC$14:$BF$14)</f>
        <v>0</v>
      </c>
      <c r="T237" s="43">
        <f>'D4 Gallon Forecast'!T239*AVERAGE('D4 RIN Forecast'!$BC$14:$BF$14)</f>
        <v>0</v>
      </c>
      <c r="U237" s="43">
        <f>'D4 Gallon Forecast'!U239*AVERAGE('D4 RIN Forecast'!$BC$14:$BF$14)</f>
        <v>0</v>
      </c>
      <c r="V237" s="43">
        <f>'D4 Gallon Forecast'!V239*AVERAGE('D4 RIN Forecast'!$BD$14:$BH$14)</f>
        <v>0</v>
      </c>
      <c r="W237" s="43">
        <f>'D4 Gallon Forecast'!W239*AVERAGE('D4 RIN Forecast'!$BD$14:$BH$14)</f>
        <v>0</v>
      </c>
      <c r="X237" s="43">
        <f>'D4 Gallon Forecast'!X239*AVERAGE('D4 RIN Forecast'!$BD$14:$BH$14)</f>
        <v>0</v>
      </c>
      <c r="Y237" s="43">
        <f>'D4 Gallon Forecast'!Y239*AVERAGE('D4 RIN Forecast'!$BD$14:$BH$14)</f>
        <v>0</v>
      </c>
      <c r="Z237" s="43">
        <f>'D4 Gallon Forecast'!Z239*AVERAGE('D4 RIN Forecast'!$BD$14:$BH$14)</f>
        <v>0</v>
      </c>
      <c r="AA237" s="43">
        <f>'D4 Gallon Forecast'!AA239*AVERAGE('D4 RIN Forecast'!$BD$14:$BH$14)</f>
        <v>0</v>
      </c>
      <c r="AB237" s="43">
        <f>'D4 Gallon Forecast'!AB239*AVERAGE('D4 RIN Forecast'!$BD$14:$BH$14)</f>
        <v>0</v>
      </c>
      <c r="AC237" s="43">
        <f>'D4 Gallon Forecast'!AC239*AVERAGE('D4 RIN Forecast'!$BD$14:$BH$14)</f>
        <v>0</v>
      </c>
      <c r="AD237" s="43">
        <f>'D4 Gallon Forecast'!AD239*AVERAGE('D4 RIN Forecast'!$BD$14:$BH$14)</f>
        <v>0</v>
      </c>
      <c r="AE237" s="43">
        <f>'D4 Gallon Forecast'!AE239*AVERAGE('D4 RIN Forecast'!$BD$14:$BH$14)</f>
        <v>0</v>
      </c>
      <c r="AF237" s="43">
        <f>'D4 Gallon Forecast'!AF239*AVERAGE('D4 RIN Forecast'!$BD$14:$BH$14)</f>
        <v>0</v>
      </c>
      <c r="AG237" s="43">
        <f>'D4 Gallon Forecast'!AG239*AVERAGE('D4 RIN Forecast'!$BD$14:$BH$14)</f>
        <v>0</v>
      </c>
      <c r="AH237" s="43">
        <f>'D4 Gallon Forecast'!AH239*AVERAGE('D4 RIN Forecast'!$BD$14:$BH$14)</f>
        <v>0</v>
      </c>
      <c r="AI237" s="43">
        <f>'D4 Gallon Forecast'!AI239*AVERAGE('D4 RIN Forecast'!$BD$14:$BH$14)</f>
        <v>0</v>
      </c>
      <c r="AJ237" s="43">
        <f>'D4 Gallon Forecast'!AJ239*AVERAGE('D4 RIN Forecast'!$BD$14:$BH$14)</f>
        <v>0</v>
      </c>
      <c r="AK237" s="43">
        <f>'D4 Gallon Forecast'!AK239*AVERAGE('D4 RIN Forecast'!$BD$14:$BH$14)</f>
        <v>0</v>
      </c>
      <c r="AL237" s="43">
        <f>'D4 Gallon Forecast'!AL239*AVERAGE('D4 RIN Forecast'!$BD$14:$BH$14)</f>
        <v>0</v>
      </c>
      <c r="AM237" s="43">
        <f>'D4 Gallon Forecast'!AM239*AVERAGE('D4 RIN Forecast'!$BD$14:$BH$14)</f>
        <v>0</v>
      </c>
      <c r="AN237" s="43">
        <f>'D4 Gallon Forecast'!AN239*AVERAGE('D4 RIN Forecast'!$BD$14:$BH$14)</f>
        <v>0</v>
      </c>
      <c r="AO237" s="43">
        <f>'D4 Gallon Forecast'!AO239*AVERAGE('D4 RIN Forecast'!$BD$14:$BH$14)</f>
        <v>0</v>
      </c>
      <c r="AP237" s="43">
        <f>'D4 Gallon Forecast'!AP239*AVERAGE('D4 RIN Forecast'!$BD$14:$BH$14)</f>
        <v>0</v>
      </c>
      <c r="AQ237" s="43"/>
    </row>
    <row r="238" spans="1:43">
      <c r="A238" s="40" t="s">
        <v>54</v>
      </c>
      <c r="B238" s="42">
        <f>'Monthly D4 RIN Data'!$X15</f>
        <v>0</v>
      </c>
      <c r="C238" s="42">
        <f>'Monthly D4 RIN Data'!$X27</f>
        <v>0</v>
      </c>
      <c r="D238" s="42">
        <f>'Monthly D4 RIN Data'!$X39</f>
        <v>0</v>
      </c>
      <c r="E238" s="42">
        <f>'Monthly D4 RIN Data'!$X51</f>
        <v>0</v>
      </c>
      <c r="F238" s="42">
        <f>'Monthly D4 RIN Data'!$X63</f>
        <v>0</v>
      </c>
      <c r="G238" s="42">
        <f>'Monthly D4 RIN Data'!$X75</f>
        <v>0</v>
      </c>
      <c r="H238" s="42">
        <f>'Monthly D4 RIN Data'!$X87</f>
        <v>0</v>
      </c>
      <c r="I238" s="42">
        <f>'Monthly D4 RIN Data'!$X99</f>
        <v>0</v>
      </c>
      <c r="J238" s="42">
        <f>'Monthly D4 RIN Data'!$X111</f>
        <v>0</v>
      </c>
      <c r="K238" s="42">
        <f>'Monthly D4 RIN Data'!$X123</f>
        <v>0</v>
      </c>
      <c r="L238" s="42">
        <f>'Monthly D4 RIN Data'!$X135</f>
        <v>0</v>
      </c>
      <c r="M238" s="42">
        <f>'Monthly D4 RIN Data'!$X147</f>
        <v>4978827</v>
      </c>
      <c r="N238" s="42">
        <f>'Monthly D4 RIN Data'!$X159</f>
        <v>877632</v>
      </c>
      <c r="O238" s="42">
        <f>'Monthly D4 RIN Data'!$X171</f>
        <v>3577606</v>
      </c>
      <c r="P238" s="42">
        <f>'Monthly D4 RIN Data'!$X183</f>
        <v>0</v>
      </c>
      <c r="Q238" s="43">
        <f>'D4 Gallon Forecast'!Q240*AVERAGE('D4 RIN Forecast'!$BC$14:$BF$14)</f>
        <v>0</v>
      </c>
      <c r="R238" s="43">
        <f>'D4 Gallon Forecast'!R240*AVERAGE('D4 RIN Forecast'!$BC$14:$BF$14)</f>
        <v>0</v>
      </c>
      <c r="S238" s="43">
        <f>'D4 Gallon Forecast'!S240*AVERAGE('D4 RIN Forecast'!$BC$14:$BF$14)</f>
        <v>0</v>
      </c>
      <c r="T238" s="43">
        <f>'D4 Gallon Forecast'!T240*AVERAGE('D4 RIN Forecast'!$BC$14:$BF$14)</f>
        <v>0</v>
      </c>
      <c r="U238" s="43">
        <f>'D4 Gallon Forecast'!U240*AVERAGE('D4 RIN Forecast'!$BC$14:$BF$14)</f>
        <v>0</v>
      </c>
      <c r="V238" s="43">
        <f>'D4 Gallon Forecast'!V240*AVERAGE('D4 RIN Forecast'!$BD$14:$BH$14)</f>
        <v>0</v>
      </c>
      <c r="W238" s="43">
        <f>'D4 Gallon Forecast'!W240*AVERAGE('D4 RIN Forecast'!$BD$14:$BH$14)</f>
        <v>0</v>
      </c>
      <c r="X238" s="43">
        <f>'D4 Gallon Forecast'!X240*AVERAGE('D4 RIN Forecast'!$BD$14:$BH$14)</f>
        <v>0</v>
      </c>
      <c r="Y238" s="43">
        <f>'D4 Gallon Forecast'!Y240*AVERAGE('D4 RIN Forecast'!$BD$14:$BH$14)</f>
        <v>0</v>
      </c>
      <c r="Z238" s="43">
        <f>'D4 Gallon Forecast'!Z240*AVERAGE('D4 RIN Forecast'!$BD$14:$BH$14)</f>
        <v>0</v>
      </c>
      <c r="AA238" s="43">
        <f>'D4 Gallon Forecast'!AA240*AVERAGE('D4 RIN Forecast'!$BD$14:$BH$14)</f>
        <v>0</v>
      </c>
      <c r="AB238" s="43">
        <f>'D4 Gallon Forecast'!AB240*AVERAGE('D4 RIN Forecast'!$BD$14:$BH$14)</f>
        <v>0</v>
      </c>
      <c r="AC238" s="43">
        <f>'D4 Gallon Forecast'!AC240*AVERAGE('D4 RIN Forecast'!$BD$14:$BH$14)</f>
        <v>0</v>
      </c>
      <c r="AD238" s="43">
        <f>'D4 Gallon Forecast'!AD240*AVERAGE('D4 RIN Forecast'!$BD$14:$BH$14)</f>
        <v>0</v>
      </c>
      <c r="AE238" s="43">
        <f>'D4 Gallon Forecast'!AE240*AVERAGE('D4 RIN Forecast'!$BD$14:$BH$14)</f>
        <v>0</v>
      </c>
      <c r="AF238" s="43">
        <f>'D4 Gallon Forecast'!AF240*AVERAGE('D4 RIN Forecast'!$BD$14:$BH$14)</f>
        <v>0</v>
      </c>
      <c r="AG238" s="43">
        <f>'D4 Gallon Forecast'!AG240*AVERAGE('D4 RIN Forecast'!$BD$14:$BH$14)</f>
        <v>0</v>
      </c>
      <c r="AH238" s="43">
        <f>'D4 Gallon Forecast'!AH240*AVERAGE('D4 RIN Forecast'!$BD$14:$BH$14)</f>
        <v>0</v>
      </c>
      <c r="AI238" s="43">
        <f>'D4 Gallon Forecast'!AI240*AVERAGE('D4 RIN Forecast'!$BD$14:$BH$14)</f>
        <v>0</v>
      </c>
      <c r="AJ238" s="43">
        <f>'D4 Gallon Forecast'!AJ240*AVERAGE('D4 RIN Forecast'!$BD$14:$BH$14)</f>
        <v>0</v>
      </c>
      <c r="AK238" s="43">
        <f>'D4 Gallon Forecast'!AK240*AVERAGE('D4 RIN Forecast'!$BD$14:$BH$14)</f>
        <v>0</v>
      </c>
      <c r="AL238" s="43">
        <f>'D4 Gallon Forecast'!AL240*AVERAGE('D4 RIN Forecast'!$BD$14:$BH$14)</f>
        <v>0</v>
      </c>
      <c r="AM238" s="43">
        <f>'D4 Gallon Forecast'!AM240*AVERAGE('D4 RIN Forecast'!$BD$14:$BH$14)</f>
        <v>0</v>
      </c>
      <c r="AN238" s="43">
        <f>'D4 Gallon Forecast'!AN240*AVERAGE('D4 RIN Forecast'!$BD$14:$BH$14)</f>
        <v>0</v>
      </c>
      <c r="AO238" s="43">
        <f>'D4 Gallon Forecast'!AO240*AVERAGE('D4 RIN Forecast'!$BD$14:$BH$14)</f>
        <v>0</v>
      </c>
      <c r="AP238" s="43">
        <f>'D4 Gallon Forecast'!AP240*AVERAGE('D4 RIN Forecast'!$BD$14:$BH$14)</f>
        <v>0</v>
      </c>
      <c r="AQ238" s="43"/>
    </row>
    <row r="239" spans="1:43">
      <c r="A239" s="40" t="s">
        <v>29</v>
      </c>
      <c r="B239" s="42">
        <f t="shared" ref="B239:P239" si="88">SUM(B227:B238)</f>
        <v>0</v>
      </c>
      <c r="C239" s="42">
        <f t="shared" si="88"/>
        <v>0</v>
      </c>
      <c r="D239" s="42">
        <f t="shared" si="88"/>
        <v>0</v>
      </c>
      <c r="E239" s="42">
        <f t="shared" si="88"/>
        <v>0</v>
      </c>
      <c r="F239" s="42">
        <f t="shared" si="88"/>
        <v>0</v>
      </c>
      <c r="G239" s="42">
        <f t="shared" si="88"/>
        <v>0</v>
      </c>
      <c r="H239" s="42">
        <f t="shared" si="88"/>
        <v>0</v>
      </c>
      <c r="I239" s="42">
        <f t="shared" si="88"/>
        <v>0</v>
      </c>
      <c r="J239" s="42">
        <f t="shared" si="88"/>
        <v>0</v>
      </c>
      <c r="K239" s="42">
        <f t="shared" si="88"/>
        <v>3800968</v>
      </c>
      <c r="L239" s="42">
        <f t="shared" si="88"/>
        <v>3513181</v>
      </c>
      <c r="M239" s="42">
        <f t="shared" si="88"/>
        <v>29268920</v>
      </c>
      <c r="N239" s="42">
        <f t="shared" si="88"/>
        <v>33026552</v>
      </c>
      <c r="O239" s="42">
        <f t="shared" si="88"/>
        <v>45536645</v>
      </c>
      <c r="P239" s="42">
        <f t="shared" si="88"/>
        <v>4693952</v>
      </c>
      <c r="Q239" s="43">
        <f t="shared" ref="Q239:AP239" si="89">SUM(Q227:Q238)</f>
        <v>0</v>
      </c>
      <c r="R239" s="43">
        <f t="shared" si="89"/>
        <v>0</v>
      </c>
      <c r="S239" s="43">
        <f t="shared" si="89"/>
        <v>0</v>
      </c>
      <c r="T239" s="43">
        <f t="shared" si="89"/>
        <v>0</v>
      </c>
      <c r="U239" s="43">
        <f t="shared" si="89"/>
        <v>0</v>
      </c>
      <c r="V239" s="43">
        <f t="shared" si="89"/>
        <v>0</v>
      </c>
      <c r="W239" s="43">
        <f t="shared" si="89"/>
        <v>0</v>
      </c>
      <c r="X239" s="43">
        <f t="shared" si="89"/>
        <v>0</v>
      </c>
      <c r="Y239" s="43">
        <f t="shared" si="89"/>
        <v>0</v>
      </c>
      <c r="Z239" s="43">
        <f t="shared" si="89"/>
        <v>0</v>
      </c>
      <c r="AA239" s="43">
        <f t="shared" si="89"/>
        <v>0</v>
      </c>
      <c r="AB239" s="43">
        <f t="shared" si="89"/>
        <v>0</v>
      </c>
      <c r="AC239" s="43">
        <f t="shared" si="89"/>
        <v>0</v>
      </c>
      <c r="AD239" s="43">
        <f t="shared" si="89"/>
        <v>0</v>
      </c>
      <c r="AE239" s="43">
        <f t="shared" si="89"/>
        <v>0</v>
      </c>
      <c r="AF239" s="43">
        <f t="shared" si="89"/>
        <v>0</v>
      </c>
      <c r="AG239" s="43">
        <f t="shared" si="89"/>
        <v>0</v>
      </c>
      <c r="AH239" s="43">
        <f t="shared" si="89"/>
        <v>0</v>
      </c>
      <c r="AI239" s="43">
        <f t="shared" si="89"/>
        <v>0</v>
      </c>
      <c r="AJ239" s="43">
        <f t="shared" si="89"/>
        <v>0</v>
      </c>
      <c r="AK239" s="43">
        <f t="shared" si="89"/>
        <v>0</v>
      </c>
      <c r="AL239" s="43">
        <f t="shared" si="89"/>
        <v>0</v>
      </c>
      <c r="AM239" s="43">
        <f t="shared" si="89"/>
        <v>0</v>
      </c>
      <c r="AN239" s="43">
        <f t="shared" si="89"/>
        <v>0</v>
      </c>
      <c r="AO239" s="43">
        <f t="shared" si="89"/>
        <v>0</v>
      </c>
      <c r="AP239" s="43">
        <f t="shared" si="89"/>
        <v>0</v>
      </c>
      <c r="AQ239" s="43"/>
    </row>
    <row r="241" spans="1:43" ht="12" thickBot="1">
      <c r="A241" s="245" t="s">
        <v>390</v>
      </c>
    </row>
    <row r="242" spans="1:43" ht="12" thickBot="1">
      <c r="A242" s="270"/>
      <c r="B242" s="263">
        <v>2010</v>
      </c>
      <c r="C242" s="263">
        <v>2011</v>
      </c>
      <c r="D242" s="263">
        <v>2012</v>
      </c>
      <c r="E242" s="263">
        <v>2013</v>
      </c>
      <c r="F242" s="263">
        <v>2014</v>
      </c>
      <c r="G242" s="263">
        <v>2015</v>
      </c>
      <c r="H242" s="263">
        <v>2016</v>
      </c>
      <c r="I242" s="263">
        <v>2017</v>
      </c>
      <c r="J242" s="263">
        <v>2018</v>
      </c>
      <c r="K242" s="263">
        <v>2019</v>
      </c>
      <c r="L242" s="263">
        <v>2020</v>
      </c>
      <c r="M242" s="263">
        <v>2021</v>
      </c>
      <c r="N242" s="263">
        <v>2022</v>
      </c>
      <c r="O242" s="263">
        <v>2023</v>
      </c>
      <c r="P242" s="263">
        <v>2024</v>
      </c>
      <c r="Q242" s="263">
        <v>2025</v>
      </c>
      <c r="R242" s="263">
        <v>2026</v>
      </c>
      <c r="S242" s="263">
        <v>2027</v>
      </c>
      <c r="T242" s="263">
        <v>2028</v>
      </c>
      <c r="U242" s="263">
        <v>2029</v>
      </c>
      <c r="V242" s="263">
        <v>2030</v>
      </c>
      <c r="W242" s="263">
        <v>2031</v>
      </c>
      <c r="X242" s="263">
        <v>2032</v>
      </c>
      <c r="Y242" s="263">
        <v>2033</v>
      </c>
      <c r="Z242" s="263">
        <v>2034</v>
      </c>
      <c r="AA242" s="263">
        <v>2035</v>
      </c>
      <c r="AB242" s="263">
        <v>2036</v>
      </c>
      <c r="AC242" s="263">
        <v>2037</v>
      </c>
      <c r="AD242" s="263">
        <v>2038</v>
      </c>
      <c r="AE242" s="263">
        <v>2039</v>
      </c>
      <c r="AF242" s="263">
        <v>2040</v>
      </c>
      <c r="AG242" s="263">
        <v>2041</v>
      </c>
      <c r="AH242" s="263">
        <v>2042</v>
      </c>
      <c r="AI242" s="263">
        <v>2043</v>
      </c>
      <c r="AJ242" s="263">
        <v>2044</v>
      </c>
      <c r="AK242" s="263">
        <v>2045</v>
      </c>
      <c r="AL242" s="263">
        <v>2046</v>
      </c>
      <c r="AM242" s="263">
        <v>2047</v>
      </c>
      <c r="AN242" s="263">
        <v>2048</v>
      </c>
      <c r="AO242" s="263">
        <v>2049</v>
      </c>
      <c r="AP242" s="263">
        <v>2050</v>
      </c>
      <c r="AQ242" s="245"/>
    </row>
    <row r="243" spans="1:43">
      <c r="A243" s="40" t="s">
        <v>43</v>
      </c>
      <c r="B243" s="42">
        <f>'Monthly D4 RIN Data'!$Y4</f>
        <v>0</v>
      </c>
      <c r="C243" s="42">
        <f>'Monthly D4 RIN Data'!$Y16</f>
        <v>0</v>
      </c>
      <c r="D243" s="42">
        <f>'Monthly D4 RIN Data'!$Y28</f>
        <v>0</v>
      </c>
      <c r="E243" s="42">
        <f>'Monthly D4 RIN Data'!$Y40</f>
        <v>11916516</v>
      </c>
      <c r="F243" s="42">
        <f>'Monthly D4 RIN Data'!$Y52</f>
        <v>22797873</v>
      </c>
      <c r="G243" s="42">
        <f>'Monthly D4 RIN Data'!$Y64</f>
        <v>16829167</v>
      </c>
      <c r="H243" s="42">
        <f>'Monthly D4 RIN Data'!$Y76</f>
        <v>13607068</v>
      </c>
      <c r="I243" s="42">
        <f>'Monthly D4 RIN Data'!$Y88</f>
        <v>34749127</v>
      </c>
      <c r="J243" s="42">
        <f>'Monthly D4 RIN Data'!$Y100</f>
        <v>26685400</v>
      </c>
      <c r="K243" s="42">
        <f>'Monthly D4 RIN Data'!$Y112</f>
        <v>27699469</v>
      </c>
      <c r="L243" s="42">
        <f>'Monthly D4 RIN Data'!$Y124</f>
        <v>37835058</v>
      </c>
      <c r="M243" s="42">
        <f>'Monthly D4 RIN Data'!$Y136</f>
        <v>50603181</v>
      </c>
      <c r="N243" s="42">
        <f>'Monthly D4 RIN Data'!$Y148</f>
        <v>53159044</v>
      </c>
      <c r="O243" s="42">
        <f>'Monthly D4 RIN Data'!$Y160</f>
        <v>57003812</v>
      </c>
      <c r="P243" s="42">
        <f>'Monthly D4 RIN Data'!$Y172</f>
        <v>41196032</v>
      </c>
      <c r="Q243" s="42">
        <f>'Monthly D4 RIN Data'!$Y184</f>
        <v>0</v>
      </c>
      <c r="R243" s="43">
        <f>'D4 Gallon Forecast'!R245*AVERAGE('D4 RIN Forecast'!$BB$15:$BF$15)</f>
        <v>33796780.856898621</v>
      </c>
      <c r="S243" s="43">
        <f>'D4 Gallon Forecast'!S245*AVERAGE('D4 RIN Forecast'!$BB$15:$BF$15)</f>
        <v>30401447.29276279</v>
      </c>
      <c r="T243" s="43">
        <f>'D4 Gallon Forecast'!T245*AVERAGE('D4 RIN Forecast'!$BB$15:$BF$15)</f>
        <v>26107277.72344628</v>
      </c>
      <c r="U243" s="43">
        <f>'D4 Gallon Forecast'!U245*AVERAGE('D4 RIN Forecast'!$BB$15:$BF$15)</f>
        <v>21638820.019539598</v>
      </c>
      <c r="V243" s="43">
        <f>'D4 Gallon Forecast'!V245*AVERAGE('D4 RIN Forecast'!BI$15:BM$15)</f>
        <v>17991052.379070446</v>
      </c>
      <c r="W243" s="43">
        <f>'D4 Gallon Forecast'!W245*AVERAGE('D4 RIN Forecast'!BJ$15:BN$15)</f>
        <v>21262152.808351364</v>
      </c>
      <c r="X243" s="43">
        <f>'D4 Gallon Forecast'!X245*AVERAGE('D4 RIN Forecast'!BK$15:BO$15)</f>
        <v>18415803.956755068</v>
      </c>
      <c r="Y243" s="43">
        <f>'D4 Gallon Forecast'!Y245*AVERAGE('D4 RIN Forecast'!BL$15:BP$15)</f>
        <v>17045847.07123084</v>
      </c>
      <c r="Z243" s="43">
        <f>'D4 Gallon Forecast'!Z245*AVERAGE('D4 RIN Forecast'!BM$15:BQ$15)</f>
        <v>15911616.259037089</v>
      </c>
      <c r="AA243" s="43">
        <f>'D4 Gallon Forecast'!AA245*AVERAGE('D4 RIN Forecast'!BN$15:BR$15)</f>
        <v>15992906.907272408</v>
      </c>
      <c r="AB243" s="43">
        <f>'D4 Gallon Forecast'!AB245*AVERAGE('D4 RIN Forecast'!BO$15:BS$15)</f>
        <v>6817563.6155981179</v>
      </c>
      <c r="AC243" s="43">
        <f>'D4 Gallon Forecast'!AC245*AVERAGE('D4 RIN Forecast'!BP$15:BT$15)</f>
        <v>4603950.9892572463</v>
      </c>
      <c r="AD243" s="43">
        <f>'D4 Gallon Forecast'!AD245*AVERAGE('D4 RIN Forecast'!BQ$15:BU$15)</f>
        <v>4485749.2293098541</v>
      </c>
      <c r="AE243" s="43">
        <f>'D4 Gallon Forecast'!AE245*AVERAGE('D4 RIN Forecast'!BR$15:BV$15)</f>
        <v>4419893.4052846422</v>
      </c>
      <c r="AF243" s="43">
        <f>'D4 Gallon Forecast'!AF245*AVERAGE('D4 RIN Forecast'!BS$15:BW$15)</f>
        <v>4442474.1408456936</v>
      </c>
      <c r="AG243" s="43">
        <f>'D4 Gallon Forecast'!AG245*AVERAGE('D4 RIN Forecast'!BT$15:BX$15)</f>
        <v>4545042.4104235284</v>
      </c>
      <c r="AH243" s="43">
        <f>'D4 Gallon Forecast'!AH245*AVERAGE('D4 RIN Forecast'!BU$15:BY$15)</f>
        <v>4495984.1097034914</v>
      </c>
      <c r="AI243" s="43">
        <f>'D4 Gallon Forecast'!AI245*AVERAGE('D4 RIN Forecast'!BV$15:BZ$15)</f>
        <v>4471991.4698022995</v>
      </c>
      <c r="AJ243" s="43">
        <f>'D4 Gallon Forecast'!AJ245*AVERAGE('D4 RIN Forecast'!BW$15:CA$15)</f>
        <v>4468391.3084357353</v>
      </c>
      <c r="AK243" s="43">
        <f>'D4 Gallon Forecast'!AK245*AVERAGE('D4 RIN Forecast'!BX$15:CB$15)</f>
        <v>4483958.5366083626</v>
      </c>
      <c r="AL243" s="43">
        <f>'D4 Gallon Forecast'!AL245*AVERAGE('D4 RIN Forecast'!BY$15:CC$15)</f>
        <v>4503569.3418796547</v>
      </c>
      <c r="AM243" s="43">
        <f>'D4 Gallon Forecast'!AM245*AVERAGE('D4 RIN Forecast'!BZ$15:CD$15)</f>
        <v>4499422.035025795</v>
      </c>
      <c r="AN243" s="43">
        <f>'D4 Gallon Forecast'!AN245*AVERAGE('D4 RIN Forecast'!CA$15:CE$15)</f>
        <v>4477828.659112772</v>
      </c>
      <c r="AO243" s="43">
        <f>'D4 Gallon Forecast'!AO245*AVERAGE('D4 RIN Forecast'!CB$15:CF$15)</f>
        <v>4475077.1072107954</v>
      </c>
      <c r="AP243" s="43">
        <f>'D4 Gallon Forecast'!AP245*AVERAGE('D4 RIN Forecast'!CC$15:CG$15)</f>
        <v>4484776.6878419118</v>
      </c>
      <c r="AQ243" s="43"/>
    </row>
    <row r="244" spans="1:43">
      <c r="A244" s="40" t="s">
        <v>44</v>
      </c>
      <c r="B244" s="42">
        <f>'Monthly D4 RIN Data'!$Y5</f>
        <v>0</v>
      </c>
      <c r="C244" s="42">
        <f>'Monthly D4 RIN Data'!$Y17</f>
        <v>0</v>
      </c>
      <c r="D244" s="42">
        <f>'Monthly D4 RIN Data'!$Y29</f>
        <v>0</v>
      </c>
      <c r="E244" s="42">
        <f>'Monthly D4 RIN Data'!$Y41</f>
        <v>0</v>
      </c>
      <c r="F244" s="42">
        <f>'Monthly D4 RIN Data'!$Y53</f>
        <v>32178782</v>
      </c>
      <c r="G244" s="42">
        <f>'Monthly D4 RIN Data'!$Y65</f>
        <v>14041562</v>
      </c>
      <c r="H244" s="42">
        <f>'Monthly D4 RIN Data'!$Y77</f>
        <v>21311450</v>
      </c>
      <c r="I244" s="42">
        <f>'Monthly D4 RIN Data'!$Y89</f>
        <v>16838059</v>
      </c>
      <c r="J244" s="42">
        <f>'Monthly D4 RIN Data'!$Y101</f>
        <v>20961075</v>
      </c>
      <c r="K244" s="42">
        <f>'Monthly D4 RIN Data'!$Y113</f>
        <v>35994502</v>
      </c>
      <c r="L244" s="42">
        <f>'Monthly D4 RIN Data'!$Y125</f>
        <v>48231971</v>
      </c>
      <c r="M244" s="42">
        <f>'Monthly D4 RIN Data'!$Y137</f>
        <v>46700247</v>
      </c>
      <c r="N244" s="42">
        <f>'Monthly D4 RIN Data'!$Y149</f>
        <v>50415708</v>
      </c>
      <c r="O244" s="42">
        <f>'Monthly D4 RIN Data'!$Y161</f>
        <v>45735317</v>
      </c>
      <c r="P244" s="42">
        <f>'Monthly D4 RIN Data'!$Y173</f>
        <v>95563499</v>
      </c>
      <c r="Q244" s="42">
        <f>'Monthly D4 RIN Data'!$Y185</f>
        <v>0</v>
      </c>
      <c r="R244" s="43">
        <f>'D4 Gallon Forecast'!R246*AVERAGE('D4 RIN Forecast'!$BB$15:$BF$15)</f>
        <v>39896856.948440313</v>
      </c>
      <c r="S244" s="43">
        <f>'D4 Gallon Forecast'!S246*AVERAGE('D4 RIN Forecast'!$BB$15:$BF$15)</f>
        <v>38029195.99759613</v>
      </c>
      <c r="T244" s="43">
        <f>'D4 Gallon Forecast'!T246*AVERAGE('D4 RIN Forecast'!$BB$15:$BF$15)</f>
        <v>35242811.001502149</v>
      </c>
      <c r="U244" s="43">
        <f>'D4 Gallon Forecast'!U246*AVERAGE('D4 RIN Forecast'!$BB$15:$BF$15)</f>
        <v>34347294.428185038</v>
      </c>
      <c r="V244" s="43">
        <f>'D4 Gallon Forecast'!V246*AVERAGE('D4 RIN Forecast'!BI$15:BM$15)</f>
        <v>23707954.029237788</v>
      </c>
      <c r="W244" s="43">
        <f>'D4 Gallon Forecast'!W246*AVERAGE('D4 RIN Forecast'!BJ$15:BN$15)</f>
        <v>28018491.121144079</v>
      </c>
      <c r="X244" s="43">
        <f>'D4 Gallon Forecast'!X246*AVERAGE('D4 RIN Forecast'!BK$15:BO$15)</f>
        <v>24995411.228138987</v>
      </c>
      <c r="Y244" s="43">
        <f>'D4 Gallon Forecast'!Y246*AVERAGE('D4 RIN Forecast'!BL$15:BP$15)</f>
        <v>23658955.526646353</v>
      </c>
      <c r="Z244" s="43">
        <f>'D4 Gallon Forecast'!Z246*AVERAGE('D4 RIN Forecast'!BM$15:BQ$15)</f>
        <v>22248678.110236067</v>
      </c>
      <c r="AA244" s="43">
        <f>'D4 Gallon Forecast'!AA246*AVERAGE('D4 RIN Forecast'!BN$15:BR$15)</f>
        <v>21640498.23804782</v>
      </c>
      <c r="AB244" s="43">
        <f>'D4 Gallon Forecast'!AB246*AVERAGE('D4 RIN Forecast'!BO$15:BS$15)</f>
        <v>9274002.6326437481</v>
      </c>
      <c r="AC244" s="43">
        <f>'D4 Gallon Forecast'!AC246*AVERAGE('D4 RIN Forecast'!BP$15:BT$15)</f>
        <v>6248852.8071276918</v>
      </c>
      <c r="AD244" s="43">
        <f>'D4 Gallon Forecast'!AD246*AVERAGE('D4 RIN Forecast'!BQ$15:BU$15)</f>
        <v>6226040.9281183779</v>
      </c>
      <c r="AE244" s="43">
        <f>'D4 Gallon Forecast'!AE246*AVERAGE('D4 RIN Forecast'!BR$15:BV$15)</f>
        <v>6180188.3639496574</v>
      </c>
      <c r="AF244" s="43">
        <f>'D4 Gallon Forecast'!AF246*AVERAGE('D4 RIN Forecast'!BS$15:BW$15)</f>
        <v>6011249.5104831737</v>
      </c>
      <c r="AG244" s="43">
        <f>'D4 Gallon Forecast'!AG246*AVERAGE('D4 RIN Forecast'!BT$15:BX$15)</f>
        <v>6182668.421796212</v>
      </c>
      <c r="AH244" s="43">
        <f>'D4 Gallon Forecast'!AH246*AVERAGE('D4 RIN Forecast'!BU$15:BY$15)</f>
        <v>6170760.3476368114</v>
      </c>
      <c r="AI244" s="43">
        <f>'D4 Gallon Forecast'!AI246*AVERAGE('D4 RIN Forecast'!BV$15:BZ$15)</f>
        <v>6153406.46774951</v>
      </c>
      <c r="AJ244" s="43">
        <f>'D4 Gallon Forecast'!AJ246*AVERAGE('D4 RIN Forecast'!BW$15:CA$15)</f>
        <v>6134399.3192416225</v>
      </c>
      <c r="AK244" s="43">
        <f>'D4 Gallon Forecast'!AK246*AVERAGE('D4 RIN Forecast'!BX$15:CB$15)</f>
        <v>6119701.6011881726</v>
      </c>
      <c r="AL244" s="43">
        <f>'D4 Gallon Forecast'!AL246*AVERAGE('D4 RIN Forecast'!BY$15:CC$15)</f>
        <v>6170969.8622509502</v>
      </c>
      <c r="AM244" s="43">
        <f>'D4 Gallon Forecast'!AM246*AVERAGE('D4 RIN Forecast'!BZ$15:CD$15)</f>
        <v>6169800.0062971506</v>
      </c>
      <c r="AN244" s="43">
        <f>'D4 Gallon Forecast'!AN246*AVERAGE('D4 RIN Forecast'!CA$15:CE$15)</f>
        <v>6154181.514395901</v>
      </c>
      <c r="AO244" s="43">
        <f>'D4 Gallon Forecast'!AO246*AVERAGE('D4 RIN Forecast'!CB$15:CF$15)</f>
        <v>6139654.6223214865</v>
      </c>
      <c r="AP244" s="43">
        <f>'D4 Gallon Forecast'!AP246*AVERAGE('D4 RIN Forecast'!CC$15:CG$15)</f>
        <v>6130496.8133811485</v>
      </c>
      <c r="AQ244" s="43"/>
    </row>
    <row r="245" spans="1:43">
      <c r="A245" s="40" t="s">
        <v>45</v>
      </c>
      <c r="B245" s="42">
        <f>'Monthly D4 RIN Data'!$Y6</f>
        <v>0</v>
      </c>
      <c r="C245" s="42">
        <f>'Monthly D4 RIN Data'!$Y18</f>
        <v>0</v>
      </c>
      <c r="D245" s="42">
        <f>'Monthly D4 RIN Data'!$Y30</f>
        <v>5301327</v>
      </c>
      <c r="E245" s="42">
        <f>'Monthly D4 RIN Data'!$Y42</f>
        <v>21624540</v>
      </c>
      <c r="F245" s="42">
        <f>'Monthly D4 RIN Data'!$Y54</f>
        <v>38554750</v>
      </c>
      <c r="G245" s="42">
        <f>'Monthly D4 RIN Data'!$Y66</f>
        <v>14076417</v>
      </c>
      <c r="H245" s="42">
        <f>'Monthly D4 RIN Data'!$Y78</f>
        <v>20647793</v>
      </c>
      <c r="I245" s="42">
        <f>'Monthly D4 RIN Data'!$Y90</f>
        <v>28248660</v>
      </c>
      <c r="J245" s="42">
        <f>'Monthly D4 RIN Data'!$Y102</f>
        <v>29481692</v>
      </c>
      <c r="K245" s="42">
        <f>'Monthly D4 RIN Data'!$Y114</f>
        <v>32724880</v>
      </c>
      <c r="L245" s="42">
        <f>'Monthly D4 RIN Data'!$Y126</f>
        <v>47602533</v>
      </c>
      <c r="M245" s="42">
        <f>'Monthly D4 RIN Data'!$Y138</f>
        <v>65149041</v>
      </c>
      <c r="N245" s="42">
        <f>'Monthly D4 RIN Data'!$Y150</f>
        <v>63335520</v>
      </c>
      <c r="O245" s="42">
        <f>'Monthly D4 RIN Data'!$Y162</f>
        <v>56053671</v>
      </c>
      <c r="P245" s="42">
        <f>'Monthly D4 RIN Data'!$Y174</f>
        <v>45276974</v>
      </c>
      <c r="Q245" s="42">
        <f>'Monthly D4 RIN Data'!$Y186</f>
        <v>12638851</v>
      </c>
      <c r="R245" s="43">
        <f>'D4 Gallon Forecast'!R247*AVERAGE('D4 RIN Forecast'!$BB$15:$BF$15)</f>
        <v>40572799.865380593</v>
      </c>
      <c r="S245" s="43">
        <f>'D4 Gallon Forecast'!S247*AVERAGE('D4 RIN Forecast'!$BB$15:$BF$15)</f>
        <v>35774226.973012097</v>
      </c>
      <c r="T245" s="43">
        <f>'D4 Gallon Forecast'!T247*AVERAGE('D4 RIN Forecast'!$BB$15:$BF$15)</f>
        <v>30595476.025823757</v>
      </c>
      <c r="U245" s="43">
        <f>'D4 Gallon Forecast'!U247*AVERAGE('D4 RIN Forecast'!$BB$15:$BF$15)</f>
        <v>27127741.094760638</v>
      </c>
      <c r="V245" s="43">
        <f>'D4 Gallon Forecast'!V247*AVERAGE('D4 RIN Forecast'!BI$15:BM$15)</f>
        <v>23578247.353238445</v>
      </c>
      <c r="W245" s="43">
        <f>'D4 Gallon Forecast'!W247*AVERAGE('D4 RIN Forecast'!BJ$15:BN$15)</f>
        <v>25797025.85134051</v>
      </c>
      <c r="X245" s="43">
        <f>'D4 Gallon Forecast'!X247*AVERAGE('D4 RIN Forecast'!BK$15:BO$15)</f>
        <v>22411406.635175716</v>
      </c>
      <c r="Y245" s="43">
        <f>'D4 Gallon Forecast'!Y247*AVERAGE('D4 RIN Forecast'!BL$15:BP$15)</f>
        <v>20942025.891558237</v>
      </c>
      <c r="Z245" s="43">
        <f>'D4 Gallon Forecast'!Z247*AVERAGE('D4 RIN Forecast'!BM$15:BQ$15)</f>
        <v>19792807.732786648</v>
      </c>
      <c r="AA245" s="43">
        <f>'D4 Gallon Forecast'!AA247*AVERAGE('D4 RIN Forecast'!BN$15:BR$15)</f>
        <v>19856737.670124229</v>
      </c>
      <c r="AB245" s="43">
        <f>'D4 Gallon Forecast'!AB247*AVERAGE('D4 RIN Forecast'!BO$15:BS$15)</f>
        <v>8369231.0600867784</v>
      </c>
      <c r="AC245" s="43">
        <f>'D4 Gallon Forecast'!AC247*AVERAGE('D4 RIN Forecast'!BP$15:BT$15)</f>
        <v>5602851.6588772656</v>
      </c>
      <c r="AD245" s="43">
        <f>'D4 Gallon Forecast'!AD247*AVERAGE('D4 RIN Forecast'!BQ$15:BU$15)</f>
        <v>5511059.4451943021</v>
      </c>
      <c r="AE245" s="43">
        <f>'D4 Gallon Forecast'!AE247*AVERAGE('D4 RIN Forecast'!BR$15:BV$15)</f>
        <v>5498002.1479920158</v>
      </c>
      <c r="AF245" s="43">
        <f>'D4 Gallon Forecast'!AF247*AVERAGE('D4 RIN Forecast'!BS$15:BW$15)</f>
        <v>5515760.4638447929</v>
      </c>
      <c r="AG245" s="43">
        <f>'D4 Gallon Forecast'!AG247*AVERAGE('D4 RIN Forecast'!BT$15:BX$15)</f>
        <v>5579487.3734216094</v>
      </c>
      <c r="AH245" s="43">
        <f>'D4 Gallon Forecast'!AH247*AVERAGE('D4 RIN Forecast'!BU$15:BY$15)</f>
        <v>5537709.6357567767</v>
      </c>
      <c r="AI245" s="43">
        <f>'D4 Gallon Forecast'!AI247*AVERAGE('D4 RIN Forecast'!BV$15:BZ$15)</f>
        <v>5523233.6306185005</v>
      </c>
      <c r="AJ245" s="43">
        <f>'D4 Gallon Forecast'!AJ247*AVERAGE('D4 RIN Forecast'!BW$15:CA$15)</f>
        <v>5526419.3987667663</v>
      </c>
      <c r="AK245" s="43">
        <f>'D4 Gallon Forecast'!AK247*AVERAGE('D4 RIN Forecast'!BX$15:CB$15)</f>
        <v>5535540.985436053</v>
      </c>
      <c r="AL245" s="43">
        <f>'D4 Gallon Forecast'!AL247*AVERAGE('D4 RIN Forecast'!BY$15:CC$15)</f>
        <v>5544891.7774630934</v>
      </c>
      <c r="AM245" s="43">
        <f>'D4 Gallon Forecast'!AM247*AVERAGE('D4 RIN Forecast'!BZ$15:CD$15)</f>
        <v>5541432.2178678922</v>
      </c>
      <c r="AN245" s="43">
        <f>'D4 Gallon Forecast'!AN247*AVERAGE('D4 RIN Forecast'!CA$15:CE$15)</f>
        <v>5528403.8132410403</v>
      </c>
      <c r="AO245" s="43">
        <f>'D4 Gallon Forecast'!AO247*AVERAGE('D4 RIN Forecast'!CB$15:CF$15)</f>
        <v>5530838.6503253048</v>
      </c>
      <c r="AP245" s="43">
        <f>'D4 Gallon Forecast'!AP247*AVERAGE('D4 RIN Forecast'!CC$15:CG$15)</f>
        <v>5536522.1004813761</v>
      </c>
      <c r="AQ245" s="43"/>
    </row>
    <row r="246" spans="1:43">
      <c r="A246" s="40" t="s">
        <v>46</v>
      </c>
      <c r="B246" s="42">
        <f>'Monthly D4 RIN Data'!$Y7</f>
        <v>0</v>
      </c>
      <c r="C246" s="42">
        <f>'Monthly D4 RIN Data'!$Y19</f>
        <v>0</v>
      </c>
      <c r="D246" s="42">
        <f>'Monthly D4 RIN Data'!$Y31</f>
        <v>1103098</v>
      </c>
      <c r="E246" s="42">
        <f>'Monthly D4 RIN Data'!$Y43</f>
        <v>14600840</v>
      </c>
      <c r="F246" s="42">
        <f>'Monthly D4 RIN Data'!$Y55</f>
        <v>37874181</v>
      </c>
      <c r="G246" s="42">
        <f>'Monthly D4 RIN Data'!$Y67</f>
        <v>18298288</v>
      </c>
      <c r="H246" s="42">
        <f>'Monthly D4 RIN Data'!$Y79</f>
        <v>30956254</v>
      </c>
      <c r="I246" s="42">
        <f>'Monthly D4 RIN Data'!$Y91</f>
        <v>30047448</v>
      </c>
      <c r="J246" s="42">
        <f>'Monthly D4 RIN Data'!$Y103</f>
        <v>31348353</v>
      </c>
      <c r="K246" s="42">
        <f>'Monthly D4 RIN Data'!$Y115</f>
        <v>41760773</v>
      </c>
      <c r="L246" s="42">
        <f>'Monthly D4 RIN Data'!$Y127</f>
        <v>41775652</v>
      </c>
      <c r="M246" s="42">
        <f>'Monthly D4 RIN Data'!$Y139</f>
        <v>59130539</v>
      </c>
      <c r="N246" s="42">
        <f>'Monthly D4 RIN Data'!$Y151</f>
        <v>64763053</v>
      </c>
      <c r="O246" s="42">
        <f>'Monthly D4 RIN Data'!$Y163</f>
        <v>57638660</v>
      </c>
      <c r="P246" s="42">
        <f>'Monthly D4 RIN Data'!$Y175</f>
        <v>46967029</v>
      </c>
      <c r="Q246" s="43">
        <f>'D4 Gallon Forecast'!Q248*AVERAGE('D4 RIN Forecast'!$BB$15:$BF$15)</f>
        <v>31932624.750518605</v>
      </c>
      <c r="R246" s="43">
        <f>'D4 Gallon Forecast'!R248*AVERAGE('D4 RIN Forecast'!$BB$15:$BF$15)</f>
        <v>43581252.886202626</v>
      </c>
      <c r="S246" s="43">
        <f>'D4 Gallon Forecast'!S248*AVERAGE('D4 RIN Forecast'!$BB$15:$BF$15)</f>
        <v>40208253.175036125</v>
      </c>
      <c r="T246" s="43">
        <f>'D4 Gallon Forecast'!T248*AVERAGE('D4 RIN Forecast'!$BB$15:$BF$15)</f>
        <v>35420122.291276731</v>
      </c>
      <c r="U246" s="43">
        <f>'D4 Gallon Forecast'!U248*AVERAGE('D4 RIN Forecast'!$BB$15:$BF$15)</f>
        <v>32599246.846921284</v>
      </c>
      <c r="V246" s="43">
        <f>'D4 Gallon Forecast'!V248*AVERAGE('D4 RIN Forecast'!BI$15:BM$15)</f>
        <v>29529883.926218193</v>
      </c>
      <c r="W246" s="43">
        <f>'D4 Gallon Forecast'!W248*AVERAGE('D4 RIN Forecast'!BJ$15:BN$15)</f>
        <v>29673615.129865061</v>
      </c>
      <c r="X246" s="43">
        <f>'D4 Gallon Forecast'!X248*AVERAGE('D4 RIN Forecast'!BK$15:BO$15)</f>
        <v>26263705.312976733</v>
      </c>
      <c r="Y246" s="43">
        <f>'D4 Gallon Forecast'!Y248*AVERAGE('D4 RIN Forecast'!BL$15:BP$15)</f>
        <v>24819105.503377199</v>
      </c>
      <c r="Z246" s="43">
        <f>'D4 Gallon Forecast'!Z248*AVERAGE('D4 RIN Forecast'!BM$15:BQ$15)</f>
        <v>23595780.008716214</v>
      </c>
      <c r="AA246" s="43">
        <f>'D4 Gallon Forecast'!AA248*AVERAGE('D4 RIN Forecast'!BN$15:BR$15)</f>
        <v>23626251.155445062</v>
      </c>
      <c r="AB246" s="43">
        <f>'D4 Gallon Forecast'!AB248*AVERAGE('D4 RIN Forecast'!BO$15:BS$15)</f>
        <v>9844496.7008096818</v>
      </c>
      <c r="AC246" s="43">
        <f>'D4 Gallon Forecast'!AC248*AVERAGE('D4 RIN Forecast'!BP$15:BT$15)</f>
        <v>6565926.3283418445</v>
      </c>
      <c r="AD246" s="43">
        <f>'D4 Gallon Forecast'!AD248*AVERAGE('D4 RIN Forecast'!BQ$15:BU$15)</f>
        <v>6531343.553576488</v>
      </c>
      <c r="AE246" s="43">
        <f>'D4 Gallon Forecast'!AE248*AVERAGE('D4 RIN Forecast'!BR$15:BV$15)</f>
        <v>6554383.3357494073</v>
      </c>
      <c r="AF246" s="43">
        <f>'D4 Gallon Forecast'!AF248*AVERAGE('D4 RIN Forecast'!BS$15:BW$15)</f>
        <v>6562847.543085658</v>
      </c>
      <c r="AG246" s="43">
        <f>'D4 Gallon Forecast'!AG248*AVERAGE('D4 RIN Forecast'!BT$15:BX$15)</f>
        <v>6562997.8005755739</v>
      </c>
      <c r="AH246" s="43">
        <f>'D4 Gallon Forecast'!AH248*AVERAGE('D4 RIN Forecast'!BU$15:BY$15)</f>
        <v>6554505.374643622</v>
      </c>
      <c r="AI246" s="43">
        <f>'D4 Gallon Forecast'!AI248*AVERAGE('D4 RIN Forecast'!BV$15:BZ$15)</f>
        <v>6551967.384932491</v>
      </c>
      <c r="AJ246" s="43">
        <f>'D4 Gallon Forecast'!AJ248*AVERAGE('D4 RIN Forecast'!BW$15:CA$15)</f>
        <v>6557364.2753806477</v>
      </c>
      <c r="AK246" s="43">
        <f>'D4 Gallon Forecast'!AK248*AVERAGE('D4 RIN Forecast'!BX$15:CB$15)</f>
        <v>6558321.1202015737</v>
      </c>
      <c r="AL246" s="43">
        <f>'D4 Gallon Forecast'!AL248*AVERAGE('D4 RIN Forecast'!BY$15:CC$15)</f>
        <v>6556181.3566588582</v>
      </c>
      <c r="AM246" s="43">
        <f>'D4 Gallon Forecast'!AM248*AVERAGE('D4 RIN Forecast'!BZ$15:CD$15)</f>
        <v>6555499.7122679614</v>
      </c>
      <c r="AN246" s="43">
        <f>'D4 Gallon Forecast'!AN248*AVERAGE('D4 RIN Forecast'!CA$15:CE$15)</f>
        <v>6553215.5215250971</v>
      </c>
      <c r="AO246" s="43">
        <f>'D4 Gallon Forecast'!AO248*AVERAGE('D4 RIN Forecast'!CB$15:CF$15)</f>
        <v>6557340.2877956163</v>
      </c>
      <c r="AP246" s="43">
        <f>'D4 Gallon Forecast'!AP248*AVERAGE('D4 RIN Forecast'!CC$15:CG$15)</f>
        <v>6557936.4757232061</v>
      </c>
      <c r="AQ246" s="43"/>
    </row>
    <row r="247" spans="1:43">
      <c r="A247" s="40" t="s">
        <v>47</v>
      </c>
      <c r="B247" s="42">
        <f>'Monthly D4 RIN Data'!$Y8</f>
        <v>0</v>
      </c>
      <c r="C247" s="42">
        <f>'Monthly D4 RIN Data'!$Y20</f>
        <v>0</v>
      </c>
      <c r="D247" s="42">
        <f>'Monthly D4 RIN Data'!$Y32</f>
        <v>5843978</v>
      </c>
      <c r="E247" s="42">
        <f>'Monthly D4 RIN Data'!$Y44</f>
        <v>17491720</v>
      </c>
      <c r="F247" s="42">
        <f>'Monthly D4 RIN Data'!$Y56</f>
        <v>32718324</v>
      </c>
      <c r="G247" s="42">
        <f>'Monthly D4 RIN Data'!$Y68</f>
        <v>31725875</v>
      </c>
      <c r="H247" s="42">
        <f>'Monthly D4 RIN Data'!$Y80</f>
        <v>25705031</v>
      </c>
      <c r="I247" s="42">
        <f>'Monthly D4 RIN Data'!$Y92</f>
        <v>35443648</v>
      </c>
      <c r="J247" s="42">
        <f>'Monthly D4 RIN Data'!$Y104</f>
        <v>41021430</v>
      </c>
      <c r="K247" s="42">
        <f>'Monthly D4 RIN Data'!$Y116</f>
        <v>50228401</v>
      </c>
      <c r="L247" s="42">
        <f>'Monthly D4 RIN Data'!$Y128</f>
        <v>55143013</v>
      </c>
      <c r="M247" s="42">
        <f>'Monthly D4 RIN Data'!$Y140</f>
        <v>52109077</v>
      </c>
      <c r="N247" s="42">
        <f>'Monthly D4 RIN Data'!$Y152</f>
        <v>65668544</v>
      </c>
      <c r="O247" s="42">
        <f>'Monthly D4 RIN Data'!$Y164</f>
        <v>71738877</v>
      </c>
      <c r="P247" s="42">
        <f>'Monthly D4 RIN Data'!$Y176</f>
        <v>50457214</v>
      </c>
      <c r="Q247" s="43">
        <f>'D4 Gallon Forecast'!Q249*AVERAGE('D4 RIN Forecast'!$BB$15:$BF$15)</f>
        <v>34867649.967005022</v>
      </c>
      <c r="R247" s="43">
        <f>'D4 Gallon Forecast'!R249*AVERAGE('D4 RIN Forecast'!$BB$15:$BF$15)</f>
        <v>45992563.753862604</v>
      </c>
      <c r="S247" s="43">
        <f>'D4 Gallon Forecast'!S249*AVERAGE('D4 RIN Forecast'!$BB$15:$BF$15)</f>
        <v>44123004.343669139</v>
      </c>
      <c r="T247" s="43">
        <f>'D4 Gallon Forecast'!T249*AVERAGE('D4 RIN Forecast'!$BB$15:$BF$15)</f>
        <v>39736794.960337877</v>
      </c>
      <c r="U247" s="43">
        <f>'D4 Gallon Forecast'!U249*AVERAGE('D4 RIN Forecast'!$BB$15:$BF$15)</f>
        <v>35407808.587455891</v>
      </c>
      <c r="V247" s="43">
        <f>'D4 Gallon Forecast'!V249*AVERAGE('D4 RIN Forecast'!BI$15:BM$15)</f>
        <v>32163399.908178765</v>
      </c>
      <c r="W247" s="43">
        <f>'D4 Gallon Forecast'!W249*AVERAGE('D4 RIN Forecast'!BJ$15:BN$15)</f>
        <v>32305675.345349703</v>
      </c>
      <c r="X247" s="43">
        <f>'D4 Gallon Forecast'!X249*AVERAGE('D4 RIN Forecast'!BK$15:BO$15)</f>
        <v>28821440.493497372</v>
      </c>
      <c r="Y247" s="43">
        <f>'D4 Gallon Forecast'!Y249*AVERAGE('D4 RIN Forecast'!BL$15:BP$15)</f>
        <v>27236317.162659034</v>
      </c>
      <c r="Z247" s="43">
        <f>'D4 Gallon Forecast'!Z249*AVERAGE('D4 RIN Forecast'!BM$15:BQ$15)</f>
        <v>25750674.742663182</v>
      </c>
      <c r="AA247" s="43">
        <f>'D4 Gallon Forecast'!AA249*AVERAGE('D4 RIN Forecast'!BN$15:BR$15)</f>
        <v>25813677.820947479</v>
      </c>
      <c r="AB247" s="43">
        <f>'D4 Gallon Forecast'!AB249*AVERAGE('D4 RIN Forecast'!BO$15:BS$15)</f>
        <v>10763675.812713506</v>
      </c>
      <c r="AC247" s="43">
        <f>'D4 Gallon Forecast'!AC249*AVERAGE('D4 RIN Forecast'!BP$15:BT$15)</f>
        <v>7205360.1234815158</v>
      </c>
      <c r="AD247" s="43">
        <f>'D4 Gallon Forecast'!AD249*AVERAGE('D4 RIN Forecast'!BQ$15:BU$15)</f>
        <v>7167451.8849719157</v>
      </c>
      <c r="AE247" s="43">
        <f>'D4 Gallon Forecast'!AE249*AVERAGE('D4 RIN Forecast'!BR$15:BV$15)</f>
        <v>7152965.2062897654</v>
      </c>
      <c r="AF247" s="43">
        <f>'D4 Gallon Forecast'!AF249*AVERAGE('D4 RIN Forecast'!BS$15:BW$15)</f>
        <v>7170466.0612721154</v>
      </c>
      <c r="AG247" s="43">
        <f>'D4 Gallon Forecast'!AG249*AVERAGE('D4 RIN Forecast'!BT$15:BX$15)</f>
        <v>7175783.8751814654</v>
      </c>
      <c r="AH247" s="43">
        <f>'D4 Gallon Forecast'!AH249*AVERAGE('D4 RIN Forecast'!BU$15:BY$15)</f>
        <v>7174896.1232003691</v>
      </c>
      <c r="AI247" s="43">
        <f>'D4 Gallon Forecast'!AI249*AVERAGE('D4 RIN Forecast'!BV$15:BZ$15)</f>
        <v>7168126.3453596495</v>
      </c>
      <c r="AJ247" s="43">
        <f>'D4 Gallon Forecast'!AJ249*AVERAGE('D4 RIN Forecast'!BW$15:CA$15)</f>
        <v>7168302.8396665612</v>
      </c>
      <c r="AK247" s="43">
        <f>'D4 Gallon Forecast'!AK249*AVERAGE('D4 RIN Forecast'!BX$15:CB$15)</f>
        <v>7173226.0306281233</v>
      </c>
      <c r="AL247" s="43">
        <f>'D4 Gallon Forecast'!AL249*AVERAGE('D4 RIN Forecast'!BY$15:CC$15)</f>
        <v>7174530.7434173133</v>
      </c>
      <c r="AM247" s="43">
        <f>'D4 Gallon Forecast'!AM249*AVERAGE('D4 RIN Forecast'!BZ$15:CD$15)</f>
        <v>7174405.4302417478</v>
      </c>
      <c r="AN247" s="43">
        <f>'D4 Gallon Forecast'!AN249*AVERAGE('D4 RIN Forecast'!CA$15:CE$15)</f>
        <v>7168312.6301819822</v>
      </c>
      <c r="AO247" s="43">
        <f>'D4 Gallon Forecast'!AO249*AVERAGE('D4 RIN Forecast'!CB$15:CF$15)</f>
        <v>7168447.5222587837</v>
      </c>
      <c r="AP247" s="43">
        <f>'D4 Gallon Forecast'!AP249*AVERAGE('D4 RIN Forecast'!CC$15:CG$15)</f>
        <v>7171515.0489356034</v>
      </c>
      <c r="AQ247" s="43"/>
    </row>
    <row r="248" spans="1:43">
      <c r="A248" s="40" t="s">
        <v>48</v>
      </c>
      <c r="B248" s="42">
        <f>'Monthly D4 RIN Data'!$Y9</f>
        <v>0</v>
      </c>
      <c r="C248" s="42">
        <f>'Monthly D4 RIN Data'!$Y21</f>
        <v>0</v>
      </c>
      <c r="D248" s="42">
        <f>'Monthly D4 RIN Data'!$Y33</f>
        <v>4573340</v>
      </c>
      <c r="E248" s="42">
        <f>'Monthly D4 RIN Data'!$Y45</f>
        <v>20982239</v>
      </c>
      <c r="F248" s="42">
        <f>'Monthly D4 RIN Data'!$Y57</f>
        <v>34450224</v>
      </c>
      <c r="G248" s="42">
        <f>'Monthly D4 RIN Data'!$Y69</f>
        <v>25948882</v>
      </c>
      <c r="H248" s="42">
        <f>'Monthly D4 RIN Data'!$Y81</f>
        <v>36323984</v>
      </c>
      <c r="I248" s="42">
        <f>'Monthly D4 RIN Data'!$Y93</f>
        <v>28217747</v>
      </c>
      <c r="J248" s="42">
        <f>'Monthly D4 RIN Data'!$Y105</f>
        <v>39295111</v>
      </c>
      <c r="K248" s="42">
        <f>'Monthly D4 RIN Data'!$Y117</f>
        <v>48795325</v>
      </c>
      <c r="L248" s="42">
        <f>'Monthly D4 RIN Data'!$Y129</f>
        <v>28915447</v>
      </c>
      <c r="M248" s="42">
        <f>'Monthly D4 RIN Data'!$Y141</f>
        <v>60430081</v>
      </c>
      <c r="N248" s="42">
        <f>'Monthly D4 RIN Data'!$Y153</f>
        <v>53444731</v>
      </c>
      <c r="O248" s="42">
        <f>'Monthly D4 RIN Data'!$Y165</f>
        <v>53206865</v>
      </c>
      <c r="P248" s="42">
        <f>'Monthly D4 RIN Data'!$Y177</f>
        <v>96000988</v>
      </c>
      <c r="Q248" s="43">
        <f>'D4 Gallon Forecast'!Q250*AVERAGE('D4 RIN Forecast'!$BB$15:$BF$15)</f>
        <v>34499189.421695851</v>
      </c>
      <c r="R248" s="43">
        <f>'D4 Gallon Forecast'!R250*AVERAGE('D4 RIN Forecast'!$BB$15:$BF$15)</f>
        <v>49798007.731135696</v>
      </c>
      <c r="S248" s="43">
        <f>'D4 Gallon Forecast'!S250*AVERAGE('D4 RIN Forecast'!$BB$15:$BF$15)</f>
        <v>47115428.216547355</v>
      </c>
      <c r="T248" s="43">
        <f>'D4 Gallon Forecast'!T250*AVERAGE('D4 RIN Forecast'!$BB$15:$BF$15)</f>
        <v>45112830.838046551</v>
      </c>
      <c r="U248" s="43">
        <f>'D4 Gallon Forecast'!U250*AVERAGE('D4 RIN Forecast'!$BB$15:$BF$15)</f>
        <v>44844727.734786943</v>
      </c>
      <c r="V248" s="43">
        <f>'D4 Gallon Forecast'!V250*AVERAGE('D4 RIN Forecast'!BI$15:BM$15)</f>
        <v>35577350.997567557</v>
      </c>
      <c r="W248" s="43">
        <f>'D4 Gallon Forecast'!W250*AVERAGE('D4 RIN Forecast'!BJ$15:BN$15)</f>
        <v>36400638.357785664</v>
      </c>
      <c r="X248" s="43">
        <f>'D4 Gallon Forecast'!X250*AVERAGE('D4 RIN Forecast'!BK$15:BO$15)</f>
        <v>32792309.98370878</v>
      </c>
      <c r="Y248" s="43">
        <f>'D4 Gallon Forecast'!Y250*AVERAGE('D4 RIN Forecast'!BL$15:BP$15)</f>
        <v>31487908.939111609</v>
      </c>
      <c r="Z248" s="43">
        <f>'D4 Gallon Forecast'!Z250*AVERAGE('D4 RIN Forecast'!BM$15:BQ$15)</f>
        <v>29906906.864614468</v>
      </c>
      <c r="AA248" s="43">
        <f>'D4 Gallon Forecast'!AA250*AVERAGE('D4 RIN Forecast'!BN$15:BR$15)</f>
        <v>29323255.613391709</v>
      </c>
      <c r="AB248" s="43">
        <f>'D4 Gallon Forecast'!AB250*AVERAGE('D4 RIN Forecast'!BO$15:BS$15)</f>
        <v>12300847.673752507</v>
      </c>
      <c r="AC248" s="43">
        <f>'D4 Gallon Forecast'!AC250*AVERAGE('D4 RIN Forecast'!BP$15:BT$15)</f>
        <v>8198077.4960491331</v>
      </c>
      <c r="AD248" s="43">
        <f>'D4 Gallon Forecast'!AD250*AVERAGE('D4 RIN Forecast'!BQ$15:BU$15)</f>
        <v>8286291.8261532681</v>
      </c>
      <c r="AE248" s="43">
        <f>'D4 Gallon Forecast'!AE250*AVERAGE('D4 RIN Forecast'!BR$15:BV$15)</f>
        <v>8307474.129053114</v>
      </c>
      <c r="AF248" s="43">
        <f>'D4 Gallon Forecast'!AF250*AVERAGE('D4 RIN Forecast'!BS$15:BW$15)</f>
        <v>8145348.7813816192</v>
      </c>
      <c r="AG248" s="43">
        <f>'D4 Gallon Forecast'!AG250*AVERAGE('D4 RIN Forecast'!BT$15:BX$15)</f>
        <v>8200565.115879721</v>
      </c>
      <c r="AH248" s="43">
        <f>'D4 Gallon Forecast'!AH250*AVERAGE('D4 RIN Forecast'!BU$15:BY$15)</f>
        <v>8230983.5803001896</v>
      </c>
      <c r="AI248" s="43">
        <f>'D4 Gallon Forecast'!AI250*AVERAGE('D4 RIN Forecast'!BV$15:BZ$15)</f>
        <v>8238296.0434666043</v>
      </c>
      <c r="AJ248" s="43">
        <f>'D4 Gallon Forecast'!AJ250*AVERAGE('D4 RIN Forecast'!BW$15:CA$15)</f>
        <v>8225736.3993988773</v>
      </c>
      <c r="AK248" s="43">
        <f>'D4 Gallon Forecast'!AK250*AVERAGE('D4 RIN Forecast'!BX$15:CB$15)</f>
        <v>8199499.5972889671</v>
      </c>
      <c r="AL248" s="43">
        <f>'D4 Gallon Forecast'!AL250*AVERAGE('D4 RIN Forecast'!BY$15:CC$15)</f>
        <v>8225098.1648118636</v>
      </c>
      <c r="AM248" s="43">
        <f>'D4 Gallon Forecast'!AM250*AVERAGE('D4 RIN Forecast'!BZ$15:CD$15)</f>
        <v>8227551.4697060566</v>
      </c>
      <c r="AN248" s="43">
        <f>'D4 Gallon Forecast'!AN250*AVERAGE('D4 RIN Forecast'!CA$15:CE$15)</f>
        <v>8234132.6865522526</v>
      </c>
      <c r="AO248" s="43">
        <f>'D4 Gallon Forecast'!AO250*AVERAGE('D4 RIN Forecast'!CB$15:CF$15)</f>
        <v>8224533.5300140623</v>
      </c>
      <c r="AP248" s="43">
        <f>'D4 Gallon Forecast'!AP250*AVERAGE('D4 RIN Forecast'!CC$15:CG$15)</f>
        <v>8208185.9840849238</v>
      </c>
      <c r="AQ248" s="43"/>
    </row>
    <row r="249" spans="1:43">
      <c r="A249" s="40" t="s">
        <v>49</v>
      </c>
      <c r="B249" s="42">
        <f>'Monthly D4 RIN Data'!$Y10</f>
        <v>0</v>
      </c>
      <c r="C249" s="42">
        <f>'Monthly D4 RIN Data'!$Y22</f>
        <v>0</v>
      </c>
      <c r="D249" s="42">
        <f>'Monthly D4 RIN Data'!$Y34</f>
        <v>5244966</v>
      </c>
      <c r="E249" s="42">
        <f>'Monthly D4 RIN Data'!$Y46</f>
        <v>28088984</v>
      </c>
      <c r="F249" s="42">
        <f>'Monthly D4 RIN Data'!$Y58</f>
        <v>42865557</v>
      </c>
      <c r="G249" s="42">
        <f>'Monthly D4 RIN Data'!$Y70</f>
        <v>19546781</v>
      </c>
      <c r="H249" s="42">
        <f>'Monthly D4 RIN Data'!$Y82</f>
        <v>34210333</v>
      </c>
      <c r="I249" s="42">
        <f>'Monthly D4 RIN Data'!$Y94</f>
        <v>31600252</v>
      </c>
      <c r="J249" s="42">
        <f>'Monthly D4 RIN Data'!$Y106</f>
        <v>34018368</v>
      </c>
      <c r="K249" s="42">
        <f>'Monthly D4 RIN Data'!$Y118</f>
        <v>48251933</v>
      </c>
      <c r="L249" s="42">
        <f>'Monthly D4 RIN Data'!$Y130</f>
        <v>36441822</v>
      </c>
      <c r="M249" s="42">
        <f>'Monthly D4 RIN Data'!$Y142</f>
        <v>2568695</v>
      </c>
      <c r="N249" s="42">
        <f>'Monthly D4 RIN Data'!$Y154</f>
        <v>19681058</v>
      </c>
      <c r="O249" s="42">
        <f>'Monthly D4 RIN Data'!$Y166</f>
        <v>70932087</v>
      </c>
      <c r="P249" s="42">
        <f>'Monthly D4 RIN Data'!$Y178</f>
        <v>37477648</v>
      </c>
      <c r="Q249" s="43">
        <f>'D4 Gallon Forecast'!Q251*AVERAGE('D4 RIN Forecast'!$BB$15:$BF$15)</f>
        <v>24842798.139850907</v>
      </c>
      <c r="R249" s="43">
        <f>'D4 Gallon Forecast'!R251*AVERAGE('D4 RIN Forecast'!$BB$15:$BF$15)</f>
        <v>26022097.575546306</v>
      </c>
      <c r="S249" s="43">
        <f>'D4 Gallon Forecast'!S251*AVERAGE('D4 RIN Forecast'!$BB$15:$BF$15)</f>
        <v>29383447.745323453</v>
      </c>
      <c r="T249" s="43">
        <f>'D4 Gallon Forecast'!T251*AVERAGE('D4 RIN Forecast'!$BB$15:$BF$15)</f>
        <v>30328862.736514028</v>
      </c>
      <c r="U249" s="43">
        <f>'D4 Gallon Forecast'!U251*AVERAGE('D4 RIN Forecast'!$BB$15:$BF$15)</f>
        <v>24362698.590070911</v>
      </c>
      <c r="V249" s="43">
        <f>'D4 Gallon Forecast'!V251*AVERAGE('D4 RIN Forecast'!BI$15:BM$15)</f>
        <v>21686770.416424029</v>
      </c>
      <c r="W249" s="43">
        <f>'D4 Gallon Forecast'!W251*AVERAGE('D4 RIN Forecast'!BJ$15:BN$15)</f>
        <v>21564634.428781934</v>
      </c>
      <c r="X249" s="43">
        <f>'D4 Gallon Forecast'!X251*AVERAGE('D4 RIN Forecast'!BK$15:BO$15)</f>
        <v>19972770.810665525</v>
      </c>
      <c r="Y249" s="43">
        <f>'D4 Gallon Forecast'!Y251*AVERAGE('D4 RIN Forecast'!BL$15:BP$15)</f>
        <v>19067225.55470863</v>
      </c>
      <c r="Z249" s="43">
        <f>'D4 Gallon Forecast'!Z251*AVERAGE('D4 RIN Forecast'!BM$15:BQ$15)</f>
        <v>17612603.636823058</v>
      </c>
      <c r="AA249" s="43">
        <f>'D4 Gallon Forecast'!AA251*AVERAGE('D4 RIN Forecast'!BN$15:BR$15)</f>
        <v>17630118.502450977</v>
      </c>
      <c r="AB249" s="43">
        <f>'D4 Gallon Forecast'!AB251*AVERAGE('D4 RIN Forecast'!BO$15:BS$15)</f>
        <v>7372873.3025794616</v>
      </c>
      <c r="AC249" s="43">
        <f>'D4 Gallon Forecast'!AC251*AVERAGE('D4 RIN Forecast'!BP$15:BT$15)</f>
        <v>4993192.7027406506</v>
      </c>
      <c r="AD249" s="43">
        <f>'D4 Gallon Forecast'!AD251*AVERAGE('D4 RIN Forecast'!BQ$15:BU$15)</f>
        <v>5017690.935492794</v>
      </c>
      <c r="AE249" s="43">
        <f>'D4 Gallon Forecast'!AE251*AVERAGE('D4 RIN Forecast'!BR$15:BV$15)</f>
        <v>4892389.8991137119</v>
      </c>
      <c r="AF249" s="43">
        <f>'D4 Gallon Forecast'!AF251*AVERAGE('D4 RIN Forecast'!BS$15:BW$15)</f>
        <v>4897255.139499926</v>
      </c>
      <c r="AG249" s="43">
        <f>'D4 Gallon Forecast'!AG251*AVERAGE('D4 RIN Forecast'!BT$15:BX$15)</f>
        <v>4915248.8684131103</v>
      </c>
      <c r="AH249" s="43">
        <f>'D4 Gallon Forecast'!AH251*AVERAGE('D4 RIN Forecast'!BU$15:BY$15)</f>
        <v>4948823.7459066091</v>
      </c>
      <c r="AI249" s="43">
        <f>'D4 Gallon Forecast'!AI251*AVERAGE('D4 RIN Forecast'!BV$15:BZ$15)</f>
        <v>4938963.9777209274</v>
      </c>
      <c r="AJ249" s="43">
        <f>'D4 Gallon Forecast'!AJ251*AVERAGE('D4 RIN Forecast'!BW$15:CA$15)</f>
        <v>4918362.5308272364</v>
      </c>
      <c r="AK249" s="43">
        <f>'D4 Gallon Forecast'!AK251*AVERAGE('D4 RIN Forecast'!BX$15:CB$15)</f>
        <v>4926699.4249582598</v>
      </c>
      <c r="AL249" s="43">
        <f>'D4 Gallon Forecast'!AL251*AVERAGE('D4 RIN Forecast'!BY$15:CC$15)</f>
        <v>4940618.5417222222</v>
      </c>
      <c r="AM249" s="43">
        <f>'D4 Gallon Forecast'!AM251*AVERAGE('D4 RIN Forecast'!BZ$15:CD$15)</f>
        <v>4943155.509053722</v>
      </c>
      <c r="AN249" s="43">
        <f>'D4 Gallon Forecast'!AN251*AVERAGE('D4 RIN Forecast'!CA$15:CE$15)</f>
        <v>4934281.7176844608</v>
      </c>
      <c r="AO249" s="43">
        <f>'D4 Gallon Forecast'!AO251*AVERAGE('D4 RIN Forecast'!CB$15:CF$15)</f>
        <v>4918536.3261295706</v>
      </c>
      <c r="AP249" s="43">
        <f>'D4 Gallon Forecast'!AP251*AVERAGE('D4 RIN Forecast'!CC$15:CG$15)</f>
        <v>4923730.852473272</v>
      </c>
      <c r="AQ249" s="43"/>
    </row>
    <row r="250" spans="1:43">
      <c r="A250" s="40" t="s">
        <v>50</v>
      </c>
      <c r="B250" s="42">
        <f>'Monthly D4 RIN Data'!$Y11</f>
        <v>0</v>
      </c>
      <c r="C250" s="42">
        <f>'Monthly D4 RIN Data'!$Y23</f>
        <v>0</v>
      </c>
      <c r="D250" s="42">
        <f>'Monthly D4 RIN Data'!$Y35</f>
        <v>1752396</v>
      </c>
      <c r="E250" s="42">
        <f>'Monthly D4 RIN Data'!$Y47</f>
        <v>38040795</v>
      </c>
      <c r="F250" s="42">
        <f>'Monthly D4 RIN Data'!$Y59</f>
        <v>14322012</v>
      </c>
      <c r="G250" s="42">
        <f>'Monthly D4 RIN Data'!$Y71</f>
        <v>25140042</v>
      </c>
      <c r="H250" s="42">
        <f>'Monthly D4 RIN Data'!$Y83</f>
        <v>26370047</v>
      </c>
      <c r="I250" s="42">
        <f>'Monthly D4 RIN Data'!$Y95</f>
        <v>24798141</v>
      </c>
      <c r="J250" s="42">
        <f>'Monthly D4 RIN Data'!$Y107</f>
        <v>36330901</v>
      </c>
      <c r="K250" s="42">
        <f>'Monthly D4 RIN Data'!$Y119</f>
        <v>38821741</v>
      </c>
      <c r="L250" s="42">
        <f>'Monthly D4 RIN Data'!$Y131</f>
        <v>40003047</v>
      </c>
      <c r="M250" s="42">
        <f>'Monthly D4 RIN Data'!$Y143</f>
        <v>42895515</v>
      </c>
      <c r="N250" s="42">
        <f>'Monthly D4 RIN Data'!$Y155</f>
        <v>19441981</v>
      </c>
      <c r="O250" s="42">
        <f>'Monthly D4 RIN Data'!$Y167</f>
        <v>15277904</v>
      </c>
      <c r="P250" s="42">
        <f>'Monthly D4 RIN Data'!$Y179</f>
        <v>39060624</v>
      </c>
      <c r="Q250" s="43">
        <f>'D4 Gallon Forecast'!Q252*AVERAGE('D4 RIN Forecast'!$BB$15:$BF$15)</f>
        <v>23611424.187794033</v>
      </c>
      <c r="R250" s="43">
        <f>'D4 Gallon Forecast'!R252*AVERAGE('D4 RIN Forecast'!$BB$15:$BF$15)</f>
        <v>23476012.557043031</v>
      </c>
      <c r="S250" s="43">
        <f>'D4 Gallon Forecast'!S252*AVERAGE('D4 RIN Forecast'!$BB$15:$BF$15)</f>
        <v>19845789.374691956</v>
      </c>
      <c r="T250" s="43">
        <f>'D4 Gallon Forecast'!T252*AVERAGE('D4 RIN Forecast'!$BB$15:$BF$15)</f>
        <v>19495769.13230991</v>
      </c>
      <c r="U250" s="43">
        <f>'D4 Gallon Forecast'!U252*AVERAGE('D4 RIN Forecast'!$BB$15:$BF$15)</f>
        <v>20649547.567305811</v>
      </c>
      <c r="V250" s="43">
        <f>'D4 Gallon Forecast'!V252*AVERAGE('D4 RIN Forecast'!BI$15:BM$15)</f>
        <v>17209051.52782115</v>
      </c>
      <c r="W250" s="43">
        <f>'D4 Gallon Forecast'!W252*AVERAGE('D4 RIN Forecast'!BJ$15:BN$15)</f>
        <v>16474282.389774922</v>
      </c>
      <c r="X250" s="43">
        <f>'D4 Gallon Forecast'!X252*AVERAGE('D4 RIN Forecast'!BK$15:BO$15)</f>
        <v>14694029.802711355</v>
      </c>
      <c r="Y250" s="43">
        <f>'D4 Gallon Forecast'!Y252*AVERAGE('D4 RIN Forecast'!BL$15:BP$15)</f>
        <v>14314305.770075742</v>
      </c>
      <c r="Z250" s="43">
        <f>'D4 Gallon Forecast'!Z252*AVERAGE('D4 RIN Forecast'!BM$15:BQ$15)</f>
        <v>13762769.789363809</v>
      </c>
      <c r="AA250" s="43">
        <f>'D4 Gallon Forecast'!AA252*AVERAGE('D4 RIN Forecast'!BN$15:BR$15)</f>
        <v>13491959.872855645</v>
      </c>
      <c r="AB250" s="43">
        <f>'D4 Gallon Forecast'!AB252*AVERAGE('D4 RIN Forecast'!BO$15:BS$15)</f>
        <v>5595180.586526922</v>
      </c>
      <c r="AC250" s="43">
        <f>'D4 Gallon Forecast'!AC252*AVERAGE('D4 RIN Forecast'!BP$15:BT$15)</f>
        <v>3673507.4507324784</v>
      </c>
      <c r="AD250" s="43">
        <f>'D4 Gallon Forecast'!AD252*AVERAGE('D4 RIN Forecast'!BQ$15:BU$15)</f>
        <v>3766922.571104961</v>
      </c>
      <c r="AE250" s="43">
        <f>'D4 Gallon Forecast'!AE252*AVERAGE('D4 RIN Forecast'!BR$15:BV$15)</f>
        <v>3822991.6081536408</v>
      </c>
      <c r="AF250" s="43">
        <f>'D4 Gallon Forecast'!AF252*AVERAGE('D4 RIN Forecast'!BS$15:BW$15)</f>
        <v>3747766.6312953816</v>
      </c>
      <c r="AG250" s="43">
        <f>'D4 Gallon Forecast'!AG252*AVERAGE('D4 RIN Forecast'!BT$15:BX$15)</f>
        <v>3730120.3910382874</v>
      </c>
      <c r="AH250" s="43">
        <f>'D4 Gallon Forecast'!AH252*AVERAGE('D4 RIN Forecast'!BU$15:BY$15)</f>
        <v>3748984.5952543477</v>
      </c>
      <c r="AI250" s="43">
        <f>'D4 Gallon Forecast'!AI252*AVERAGE('D4 RIN Forecast'!BV$15:BZ$15)</f>
        <v>3765757.2940368089</v>
      </c>
      <c r="AJ250" s="43">
        <f>'D4 Gallon Forecast'!AJ252*AVERAGE('D4 RIN Forecast'!BW$15:CA$15)</f>
        <v>3765452.3617198253</v>
      </c>
      <c r="AK250" s="43">
        <f>'D4 Gallon Forecast'!AK252*AVERAGE('D4 RIN Forecast'!BX$15:CB$15)</f>
        <v>3746982.973976254</v>
      </c>
      <c r="AL250" s="43">
        <f>'D4 Gallon Forecast'!AL252*AVERAGE('D4 RIN Forecast'!BY$15:CC$15)</f>
        <v>3746612.5177904484</v>
      </c>
      <c r="AM250" s="43">
        <f>'D4 Gallon Forecast'!AM252*AVERAGE('D4 RIN Forecast'!BZ$15:CD$15)</f>
        <v>3748261.7304661106</v>
      </c>
      <c r="AN250" s="43">
        <f>'D4 Gallon Forecast'!AN252*AVERAGE('D4 RIN Forecast'!CA$15:CE$15)</f>
        <v>3763357.1593686948</v>
      </c>
      <c r="AO250" s="43">
        <f>'D4 Gallon Forecast'!AO252*AVERAGE('D4 RIN Forecast'!CB$15:CF$15)</f>
        <v>3763124.1039546728</v>
      </c>
      <c r="AP250" s="43">
        <f>'D4 Gallon Forecast'!AP252*AVERAGE('D4 RIN Forecast'!CC$15:CG$15)</f>
        <v>3751616.2546686986</v>
      </c>
      <c r="AQ250" s="43"/>
    </row>
    <row r="251" spans="1:43">
      <c r="A251" s="40" t="s">
        <v>51</v>
      </c>
      <c r="B251" s="42">
        <f>'Monthly D4 RIN Data'!$Y12</f>
        <v>0</v>
      </c>
      <c r="C251" s="42">
        <f>'Monthly D4 RIN Data'!$Y24</f>
        <v>0</v>
      </c>
      <c r="D251" s="42">
        <f>'Monthly D4 RIN Data'!$Y36</f>
        <v>14983692</v>
      </c>
      <c r="E251" s="42">
        <f>'Monthly D4 RIN Data'!$Y48</f>
        <v>32459468</v>
      </c>
      <c r="F251" s="42">
        <f>'Monthly D4 RIN Data'!$Y60</f>
        <v>0</v>
      </c>
      <c r="G251" s="42">
        <f>'Monthly D4 RIN Data'!$Y72</f>
        <v>14496610</v>
      </c>
      <c r="H251" s="42">
        <f>'Monthly D4 RIN Data'!$Y84</f>
        <v>32847102</v>
      </c>
      <c r="I251" s="42">
        <f>'Monthly D4 RIN Data'!$Y96</f>
        <v>28656690</v>
      </c>
      <c r="J251" s="42">
        <f>'Monthly D4 RIN Data'!$Y108</f>
        <v>28109173</v>
      </c>
      <c r="K251" s="42">
        <f>'Monthly D4 RIN Data'!$Y120</f>
        <v>39258951</v>
      </c>
      <c r="L251" s="42">
        <f>'Monthly D4 RIN Data'!$Y132</f>
        <v>89201630</v>
      </c>
      <c r="M251" s="42">
        <f>'Monthly D4 RIN Data'!$Y144</f>
        <v>68828923</v>
      </c>
      <c r="N251" s="42">
        <f>'Monthly D4 RIN Data'!$Y156</f>
        <v>58434071</v>
      </c>
      <c r="O251" s="42">
        <f>'Monthly D4 RIN Data'!$Y168</f>
        <v>12113837</v>
      </c>
      <c r="P251" s="42">
        <f>'Monthly D4 RIN Data'!$Y180</f>
        <v>31025527</v>
      </c>
      <c r="Q251" s="43">
        <f>'D4 Gallon Forecast'!Q253*AVERAGE('D4 RIN Forecast'!$BB$15:$BF$15)</f>
        <v>30671866.845214706</v>
      </c>
      <c r="R251" s="43">
        <f>'D4 Gallon Forecast'!R253*AVERAGE('D4 RIN Forecast'!$BB$15:$BF$15)</f>
        <v>33648206.989643991</v>
      </c>
      <c r="S251" s="43">
        <f>'D4 Gallon Forecast'!S253*AVERAGE('D4 RIN Forecast'!$BB$15:$BF$15)</f>
        <v>27238716.32122441</v>
      </c>
      <c r="T251" s="43">
        <f>'D4 Gallon Forecast'!T253*AVERAGE('D4 RIN Forecast'!$BB$15:$BF$15)</f>
        <v>21654210.865446854</v>
      </c>
      <c r="U251" s="43">
        <f>'D4 Gallon Forecast'!U253*AVERAGE('D4 RIN Forecast'!$BB$15:$BF$15)</f>
        <v>23734715.174330577</v>
      </c>
      <c r="V251" s="43">
        <f>'D4 Gallon Forecast'!V253*AVERAGE('D4 RIN Forecast'!BI$15:BM$15)</f>
        <v>22009454.392861106</v>
      </c>
      <c r="W251" s="43">
        <f>'D4 Gallon Forecast'!W253*AVERAGE('D4 RIN Forecast'!BJ$15:BN$15)</f>
        <v>20992140.612688866</v>
      </c>
      <c r="X251" s="43">
        <f>'D4 Gallon Forecast'!X253*AVERAGE('D4 RIN Forecast'!BK$15:BO$15)</f>
        <v>18137919.586956732</v>
      </c>
      <c r="Y251" s="43">
        <f>'D4 Gallon Forecast'!Y253*AVERAGE('D4 RIN Forecast'!BL$15:BP$15)</f>
        <v>17225875.506500721</v>
      </c>
      <c r="Z251" s="43">
        <f>'D4 Gallon Forecast'!Z253*AVERAGE('D4 RIN Forecast'!BM$15:BQ$15)</f>
        <v>16860567.84329601</v>
      </c>
      <c r="AA251" s="43">
        <f>'D4 Gallon Forecast'!AA253*AVERAGE('D4 RIN Forecast'!BN$15:BR$15)</f>
        <v>16804580.813284528</v>
      </c>
      <c r="AB251" s="43">
        <f>'D4 Gallon Forecast'!AB253*AVERAGE('D4 RIN Forecast'!BO$15:BS$15)</f>
        <v>6924698.7971400572</v>
      </c>
      <c r="AC251" s="43">
        <f>'D4 Gallon Forecast'!AC253*AVERAGE('D4 RIN Forecast'!BP$15:BT$15)</f>
        <v>4534479.8968066284</v>
      </c>
      <c r="AD251" s="43">
        <f>'D4 Gallon Forecast'!AD253*AVERAGE('D4 RIN Forecast'!BQ$15:BU$15)</f>
        <v>4533125.1333286511</v>
      </c>
      <c r="AE251" s="43">
        <f>'D4 Gallon Forecast'!AE253*AVERAGE('D4 RIN Forecast'!BR$15:BV$15)</f>
        <v>4683491.067578583</v>
      </c>
      <c r="AF251" s="43">
        <f>'D4 Gallon Forecast'!AF253*AVERAGE('D4 RIN Forecast'!BS$15:BW$15)</f>
        <v>4667939.1147347353</v>
      </c>
      <c r="AG251" s="43">
        <f>'D4 Gallon Forecast'!AG253*AVERAGE('D4 RIN Forecast'!BT$15:BX$15)</f>
        <v>4616465.8647852102</v>
      </c>
      <c r="AH251" s="43">
        <f>'D4 Gallon Forecast'!AH253*AVERAGE('D4 RIN Forecast'!BU$15:BY$15)</f>
        <v>4603251.0634772051</v>
      </c>
      <c r="AI251" s="43">
        <f>'D4 Gallon Forecast'!AI253*AVERAGE('D4 RIN Forecast'!BV$15:BZ$15)</f>
        <v>4618533.5449593216</v>
      </c>
      <c r="AJ251" s="43">
        <f>'D4 Gallon Forecast'!AJ253*AVERAGE('D4 RIN Forecast'!BW$15:CA$15)</f>
        <v>4640883.409685011</v>
      </c>
      <c r="AK251" s="43">
        <f>'D4 Gallon Forecast'!AK253*AVERAGE('D4 RIN Forecast'!BX$15:CB$15)</f>
        <v>4627206.8775223903</v>
      </c>
      <c r="AL251" s="43">
        <f>'D4 Gallon Forecast'!AL253*AVERAGE('D4 RIN Forecast'!BY$15:CC$15)</f>
        <v>4607951.638114702</v>
      </c>
      <c r="AM251" s="43">
        <f>'D4 Gallon Forecast'!AM253*AVERAGE('D4 RIN Forecast'!BZ$15:CD$15)</f>
        <v>4607100.2154481933</v>
      </c>
      <c r="AN251" s="43">
        <f>'D4 Gallon Forecast'!AN253*AVERAGE('D4 RIN Forecast'!CA$15:CE$15)</f>
        <v>4620854.4487800971</v>
      </c>
      <c r="AO251" s="43">
        <f>'D4 Gallon Forecast'!AO253*AVERAGE('D4 RIN Forecast'!CB$15:CF$15)</f>
        <v>4637936.1311057536</v>
      </c>
      <c r="AP251" s="43">
        <f>'D4 Gallon Forecast'!AP253*AVERAGE('D4 RIN Forecast'!CC$15:CG$15)</f>
        <v>4629414.5995280026</v>
      </c>
      <c r="AQ251" s="43"/>
    </row>
    <row r="252" spans="1:43">
      <c r="A252" s="40" t="s">
        <v>52</v>
      </c>
      <c r="B252" s="42">
        <f>'Monthly D4 RIN Data'!$Y13</f>
        <v>0</v>
      </c>
      <c r="C252" s="42">
        <f>'Monthly D4 RIN Data'!$Y25</f>
        <v>0</v>
      </c>
      <c r="D252" s="42">
        <f>'Monthly D4 RIN Data'!$Y37</f>
        <v>21620626</v>
      </c>
      <c r="E252" s="42">
        <f>'Monthly D4 RIN Data'!$Y49</f>
        <v>34666105</v>
      </c>
      <c r="F252" s="42">
        <f>'Monthly D4 RIN Data'!$Y61</f>
        <v>592513</v>
      </c>
      <c r="G252" s="42">
        <f>'Monthly D4 RIN Data'!$Y73</f>
        <v>15055052</v>
      </c>
      <c r="H252" s="42">
        <f>'Monthly D4 RIN Data'!$Y85</f>
        <v>18610543</v>
      </c>
      <c r="I252" s="42">
        <f>'Monthly D4 RIN Data'!$Y97</f>
        <v>27697620</v>
      </c>
      <c r="J252" s="42">
        <f>'Monthly D4 RIN Data'!$Y109</f>
        <v>0</v>
      </c>
      <c r="K252" s="42">
        <f>'Monthly D4 RIN Data'!$Y121</f>
        <v>56190217</v>
      </c>
      <c r="L252" s="42">
        <f>'Monthly D4 RIN Data'!$Y133</f>
        <v>49742290</v>
      </c>
      <c r="M252" s="42">
        <f>'Monthly D4 RIN Data'!$Y145</f>
        <v>61790011</v>
      </c>
      <c r="N252" s="42">
        <f>'Monthly D4 RIN Data'!$Y157</f>
        <v>54286238</v>
      </c>
      <c r="O252" s="42">
        <f>'Monthly D4 RIN Data'!$Y169</f>
        <v>76728271</v>
      </c>
      <c r="P252" s="42">
        <f>'Monthly D4 RIN Data'!$Y181</f>
        <v>26202500</v>
      </c>
      <c r="Q252" s="43">
        <f>'D4 Gallon Forecast'!Q254*AVERAGE('D4 RIN Forecast'!$BB$15:$BF$15)</f>
        <v>31752374.475441303</v>
      </c>
      <c r="R252" s="43">
        <f>'D4 Gallon Forecast'!R254*AVERAGE('D4 RIN Forecast'!$BB$15:$BF$15)</f>
        <v>41962633.365055621</v>
      </c>
      <c r="S252" s="43">
        <f>'D4 Gallon Forecast'!S254*AVERAGE('D4 RIN Forecast'!$BB$15:$BF$15)</f>
        <v>37917648.160517111</v>
      </c>
      <c r="T252" s="43">
        <f>'D4 Gallon Forecast'!T254*AVERAGE('D4 RIN Forecast'!$BB$15:$BF$15)</f>
        <v>34493432.66235663</v>
      </c>
      <c r="U252" s="43">
        <f>'D4 Gallon Forecast'!U254*AVERAGE('D4 RIN Forecast'!$BB$15:$BF$15)</f>
        <v>28356986.246537123</v>
      </c>
      <c r="V252" s="43">
        <f>'D4 Gallon Forecast'!V254*AVERAGE('D4 RIN Forecast'!BI$15:BM$15)</f>
        <v>28041922.758781001</v>
      </c>
      <c r="W252" s="43">
        <f>'D4 Gallon Forecast'!W254*AVERAGE('D4 RIN Forecast'!BJ$15:BN$15)</f>
        <v>27944611.068178669</v>
      </c>
      <c r="X252" s="43">
        <f>'D4 Gallon Forecast'!X254*AVERAGE('D4 RIN Forecast'!BK$15:BO$15)</f>
        <v>24588957.003472846</v>
      </c>
      <c r="Y252" s="43">
        <f>'D4 Gallon Forecast'!Y254*AVERAGE('D4 RIN Forecast'!BL$15:BP$15)</f>
        <v>23192274.766414426</v>
      </c>
      <c r="Z252" s="43">
        <f>'D4 Gallon Forecast'!Z254*AVERAGE('D4 RIN Forecast'!BM$15:BQ$15)</f>
        <v>21818766.35944045</v>
      </c>
      <c r="AA252" s="43">
        <f>'D4 Gallon Forecast'!AA254*AVERAGE('D4 RIN Forecast'!BN$15:BR$15)</f>
        <v>22162329.168699849</v>
      </c>
      <c r="AB252" s="43">
        <f>'D4 Gallon Forecast'!AB254*AVERAGE('D4 RIN Forecast'!BO$15:BS$15)</f>
        <v>9208226.0281805452</v>
      </c>
      <c r="AC252" s="43">
        <f>'D4 Gallon Forecast'!AC254*AVERAGE('D4 RIN Forecast'!BP$15:BT$15)</f>
        <v>6147239.250959646</v>
      </c>
      <c r="AD252" s="43">
        <f>'D4 Gallon Forecast'!AD254*AVERAGE('D4 RIN Forecast'!BQ$15:BU$15)</f>
        <v>6103230.2017404977</v>
      </c>
      <c r="AE252" s="43">
        <f>'D4 Gallon Forecast'!AE254*AVERAGE('D4 RIN Forecast'!BR$15:BV$15)</f>
        <v>6060768.4331731889</v>
      </c>
      <c r="AF252" s="43">
        <f>'D4 Gallon Forecast'!AF254*AVERAGE('D4 RIN Forecast'!BS$15:BW$15)</f>
        <v>6156202.5467733387</v>
      </c>
      <c r="AG252" s="43">
        <f>'D4 Gallon Forecast'!AG254*AVERAGE('D4 RIN Forecast'!BT$15:BX$15)</f>
        <v>6138817.3521538386</v>
      </c>
      <c r="AH252" s="43">
        <f>'D4 Gallon Forecast'!AH254*AVERAGE('D4 RIN Forecast'!BU$15:BY$15)</f>
        <v>6119427.4743323531</v>
      </c>
      <c r="AI252" s="43">
        <f>'D4 Gallon Forecast'!AI254*AVERAGE('D4 RIN Forecast'!BV$15:BZ$15)</f>
        <v>6113247.079525888</v>
      </c>
      <c r="AJ252" s="43">
        <f>'D4 Gallon Forecast'!AJ254*AVERAGE('D4 RIN Forecast'!BW$15:CA$15)</f>
        <v>6115868.3185723964</v>
      </c>
      <c r="AK252" s="43">
        <f>'D4 Gallon Forecast'!AK254*AVERAGE('D4 RIN Forecast'!BX$15:CB$15)</f>
        <v>6133554.7015409712</v>
      </c>
      <c r="AL252" s="43">
        <f>'D4 Gallon Forecast'!AL254*AVERAGE('D4 RIN Forecast'!BY$15:CC$15)</f>
        <v>6122848.4474334633</v>
      </c>
      <c r="AM252" s="43">
        <f>'D4 Gallon Forecast'!AM254*AVERAGE('D4 RIN Forecast'!BZ$15:CD$15)</f>
        <v>6121251.5569621492</v>
      </c>
      <c r="AN252" s="43">
        <f>'D4 Gallon Forecast'!AN254*AVERAGE('D4 RIN Forecast'!CA$15:CE$15)</f>
        <v>6115689.2016336741</v>
      </c>
      <c r="AO252" s="43">
        <f>'D4 Gallon Forecast'!AO254*AVERAGE('D4 RIN Forecast'!CB$15:CF$15)</f>
        <v>6117692.577190117</v>
      </c>
      <c r="AP252" s="43">
        <f>'D4 Gallon Forecast'!AP254*AVERAGE('D4 RIN Forecast'!CC$15:CG$15)</f>
        <v>6128712.5542711914</v>
      </c>
      <c r="AQ252" s="43"/>
    </row>
    <row r="253" spans="1:43">
      <c r="A253" s="40" t="s">
        <v>53</v>
      </c>
      <c r="B253" s="42">
        <f>'Monthly D4 RIN Data'!$Y14</f>
        <v>0</v>
      </c>
      <c r="C253" s="42">
        <f>'Monthly D4 RIN Data'!$Y26</f>
        <v>0</v>
      </c>
      <c r="D253" s="42">
        <f>'Monthly D4 RIN Data'!$Y38</f>
        <v>17524064</v>
      </c>
      <c r="E253" s="42">
        <f>'Monthly D4 RIN Data'!$Y50</f>
        <v>37138234</v>
      </c>
      <c r="F253" s="42">
        <f>'Monthly D4 RIN Data'!$Y62</f>
        <v>15848100</v>
      </c>
      <c r="G253" s="42">
        <f>'Monthly D4 RIN Data'!$Y74</f>
        <v>21825921</v>
      </c>
      <c r="H253" s="42">
        <f>'Monthly D4 RIN Data'!$Y86</f>
        <v>25299337</v>
      </c>
      <c r="I253" s="42">
        <f>'Monthly D4 RIN Data'!$Y98</f>
        <v>19600412</v>
      </c>
      <c r="J253" s="42">
        <f>'Monthly D4 RIN Data'!$Y110</f>
        <v>18173877</v>
      </c>
      <c r="K253" s="42">
        <f>'Monthly D4 RIN Data'!$Y122</f>
        <v>41048038</v>
      </c>
      <c r="L253" s="42">
        <f>'Monthly D4 RIN Data'!$Y134</f>
        <v>69217057</v>
      </c>
      <c r="M253" s="42">
        <f>'Monthly D4 RIN Data'!$Y146</f>
        <v>48685115</v>
      </c>
      <c r="N253" s="42">
        <f>'Monthly D4 RIN Data'!$Y158</f>
        <v>39155652</v>
      </c>
      <c r="O253" s="42">
        <f>'Monthly D4 RIN Data'!$Y170</f>
        <v>73168844</v>
      </c>
      <c r="P253" s="42">
        <f>'Monthly D4 RIN Data'!$Y182</f>
        <v>12351944</v>
      </c>
      <c r="Q253" s="43">
        <f>'D4 Gallon Forecast'!Q255*AVERAGE('D4 RIN Forecast'!$BB$15:$BF$15)</f>
        <v>28660341.462727264</v>
      </c>
      <c r="R253" s="43">
        <f>'D4 Gallon Forecast'!R255*AVERAGE('D4 RIN Forecast'!$BB$15:$BF$15)</f>
        <v>33806792.713921428</v>
      </c>
      <c r="S253" s="43">
        <f>'D4 Gallon Forecast'!S255*AVERAGE('D4 RIN Forecast'!$BB$15:$BF$15)</f>
        <v>30727849.551264275</v>
      </c>
      <c r="T253" s="43">
        <f>'D4 Gallon Forecast'!T255*AVERAGE('D4 RIN Forecast'!$BB$15:$BF$15)</f>
        <v>28730527.602328412</v>
      </c>
      <c r="U253" s="43">
        <f>'D4 Gallon Forecast'!U255*AVERAGE('D4 RIN Forecast'!$BB$15:$BF$15)</f>
        <v>22095602.20827936</v>
      </c>
      <c r="V253" s="43">
        <f>'D4 Gallon Forecast'!V255*AVERAGE('D4 RIN Forecast'!BI$15:BM$15)</f>
        <v>23146250.394579101</v>
      </c>
      <c r="W253" s="43">
        <f>'D4 Gallon Forecast'!W255*AVERAGE('D4 RIN Forecast'!BJ$15:BN$15)</f>
        <v>22664785.495295495</v>
      </c>
      <c r="X253" s="43">
        <f>'D4 Gallon Forecast'!X255*AVERAGE('D4 RIN Forecast'!BK$15:BO$15)</f>
        <v>19978825.921929911</v>
      </c>
      <c r="Y253" s="43">
        <f>'D4 Gallon Forecast'!Y255*AVERAGE('D4 RIN Forecast'!BL$15:BP$15)</f>
        <v>18857053.9645098</v>
      </c>
      <c r="Z253" s="43">
        <f>'D4 Gallon Forecast'!Z255*AVERAGE('D4 RIN Forecast'!BM$15:BQ$15)</f>
        <v>17627204.804763</v>
      </c>
      <c r="AA253" s="43">
        <f>'D4 Gallon Forecast'!AA255*AVERAGE('D4 RIN Forecast'!BN$15:BR$15)</f>
        <v>18048374.220136326</v>
      </c>
      <c r="AB253" s="43">
        <f>'D4 Gallon Forecast'!AB255*AVERAGE('D4 RIN Forecast'!BO$15:BS$15)</f>
        <v>7475095.7235960187</v>
      </c>
      <c r="AC253" s="43">
        <f>'D4 Gallon Forecast'!AC255*AVERAGE('D4 RIN Forecast'!BP$15:BT$15)</f>
        <v>4994706.4805567693</v>
      </c>
      <c r="AD253" s="43">
        <f>'D4 Gallon Forecast'!AD255*AVERAGE('D4 RIN Forecast'!BQ$15:BU$15)</f>
        <v>4962382.6222820999</v>
      </c>
      <c r="AE253" s="43">
        <f>'D4 Gallon Forecast'!AE255*AVERAGE('D4 RIN Forecast'!BR$15:BV$15)</f>
        <v>4896445.7790970253</v>
      </c>
      <c r="AF253" s="43">
        <f>'D4 Gallon Forecast'!AF255*AVERAGE('D4 RIN Forecast'!BS$15:BW$15)</f>
        <v>5013437.2832997562</v>
      </c>
      <c r="AG253" s="43">
        <f>'D4 Gallon Forecast'!AG255*AVERAGE('D4 RIN Forecast'!BT$15:BX$15)</f>
        <v>4983397.1490911851</v>
      </c>
      <c r="AH253" s="43">
        <f>'D4 Gallon Forecast'!AH255*AVERAGE('D4 RIN Forecast'!BU$15:BY$15)</f>
        <v>4968882.0991005292</v>
      </c>
      <c r="AI253" s="43">
        <f>'D4 Gallon Forecast'!AI255*AVERAGE('D4 RIN Forecast'!BV$15:BZ$15)</f>
        <v>4963143.3476654841</v>
      </c>
      <c r="AJ253" s="43">
        <f>'D4 Gallon Forecast'!AJ255*AVERAGE('D4 RIN Forecast'!BW$15:CA$15)</f>
        <v>4963342.4159899959</v>
      </c>
      <c r="AK253" s="43">
        <f>'D4 Gallon Forecast'!AK255*AVERAGE('D4 RIN Forecast'!BX$15:CB$15)</f>
        <v>4984815.4105489757</v>
      </c>
      <c r="AL253" s="43">
        <f>'D4 Gallon Forecast'!AL255*AVERAGE('D4 RIN Forecast'!BY$15:CC$15)</f>
        <v>4971285.0707050618</v>
      </c>
      <c r="AM253" s="43">
        <f>'D4 Gallon Forecast'!AM255*AVERAGE('D4 RIN Forecast'!BZ$15:CD$15)</f>
        <v>4970073.862867035</v>
      </c>
      <c r="AN253" s="43">
        <f>'D4 Gallon Forecast'!AN255*AVERAGE('D4 RIN Forecast'!CA$15:CE$15)</f>
        <v>4964908.9865733357</v>
      </c>
      <c r="AO253" s="43">
        <f>'D4 Gallon Forecast'!AO255*AVERAGE('D4 RIN Forecast'!CB$15:CF$15)</f>
        <v>4965061.131649496</v>
      </c>
      <c r="AP253" s="43">
        <f>'D4 Gallon Forecast'!AP255*AVERAGE('D4 RIN Forecast'!CC$15:CG$15)</f>
        <v>4978440.4590290841</v>
      </c>
      <c r="AQ253" s="43"/>
    </row>
    <row r="254" spans="1:43">
      <c r="A254" s="40" t="s">
        <v>54</v>
      </c>
      <c r="B254" s="42">
        <f>'Monthly D4 RIN Data'!$Y15</f>
        <v>0</v>
      </c>
      <c r="C254" s="42">
        <f>'Monthly D4 RIN Data'!$Y27</f>
        <v>0</v>
      </c>
      <c r="D254" s="42">
        <f>'Monthly D4 RIN Data'!$Y39</f>
        <v>7516482</v>
      </c>
      <c r="E254" s="42">
        <f>'Monthly D4 RIN Data'!$Y51</f>
        <v>25688283</v>
      </c>
      <c r="F254" s="42">
        <f>'Monthly D4 RIN Data'!$Y63</f>
        <v>19767862</v>
      </c>
      <c r="G254" s="42">
        <f>'Monthly D4 RIN Data'!$Y75</f>
        <v>13816833</v>
      </c>
      <c r="H254" s="42">
        <f>'Monthly D4 RIN Data'!$Y87</f>
        <v>26960315</v>
      </c>
      <c r="I254" s="42">
        <f>'Monthly D4 RIN Data'!$Y99</f>
        <v>33281506</v>
      </c>
      <c r="J254" s="42">
        <f>'Monthly D4 RIN Data'!$Y111</f>
        <v>40248896</v>
      </c>
      <c r="K254" s="42">
        <f>'Monthly D4 RIN Data'!$Y123</f>
        <v>52020645</v>
      </c>
      <c r="L254" s="42">
        <f>'Monthly D4 RIN Data'!$Y135</f>
        <v>62816369</v>
      </c>
      <c r="M254" s="42">
        <f>'Monthly D4 RIN Data'!$Y147</f>
        <v>71190891</v>
      </c>
      <c r="N254" s="42">
        <f>'Monthly D4 RIN Data'!$Y159</f>
        <v>54605829</v>
      </c>
      <c r="O254" s="42">
        <f>'Monthly D4 RIN Data'!$Y171</f>
        <v>78164434</v>
      </c>
      <c r="P254" s="42">
        <f>'Monthly D4 RIN Data'!$Y183</f>
        <v>7202279</v>
      </c>
      <c r="Q254" s="43">
        <f>'D4 Gallon Forecast'!Q256*AVERAGE('D4 RIN Forecast'!$BB$15:$BF$15)</f>
        <v>104506682.28108422</v>
      </c>
      <c r="R254" s="43">
        <f>'D4 Gallon Forecast'!R256*AVERAGE('D4 RIN Forecast'!$BB$15:$BF$15)</f>
        <v>52824937.599267565</v>
      </c>
      <c r="S254" s="43">
        <f>'D4 Gallon Forecast'!S256*AVERAGE('D4 RIN Forecast'!$BB$15:$BF$15)</f>
        <v>48815555.472107477</v>
      </c>
      <c r="T254" s="43">
        <f>'D4 Gallon Forecast'!T256*AVERAGE('D4 RIN Forecast'!$BB$15:$BF$15)</f>
        <v>46864066.565717205</v>
      </c>
      <c r="U254" s="43">
        <f>'D4 Gallon Forecast'!U256*AVERAGE('D4 RIN Forecast'!$BB$15:$BF$15)</f>
        <v>42818613.688287117</v>
      </c>
      <c r="V254" s="43">
        <f>'D4 Gallon Forecast'!V256*AVERAGE('D4 RIN Forecast'!BI$15:BM$15)</f>
        <v>47544083.945913635</v>
      </c>
      <c r="W254" s="43">
        <f>'D4 Gallon Forecast'!W256*AVERAGE('D4 RIN Forecast'!BJ$15:BN$15)</f>
        <v>39087369.371673405</v>
      </c>
      <c r="X254" s="43">
        <f>'D4 Gallon Forecast'!X256*AVERAGE('D4 RIN Forecast'!BK$15:BO$15)</f>
        <v>35314461.026422322</v>
      </c>
      <c r="Y254" s="43">
        <f>'D4 Gallon Forecast'!Y256*AVERAGE('D4 RIN Forecast'!BL$15:BP$15)</f>
        <v>34220794.020014316</v>
      </c>
      <c r="Z254" s="43">
        <f>'D4 Gallon Forecast'!Z256*AVERAGE('D4 RIN Forecast'!BM$15:BQ$15)</f>
        <v>32859961.43967453</v>
      </c>
      <c r="AA254" s="43">
        <f>'D4 Gallon Forecast'!AA256*AVERAGE('D4 RIN Forecast'!BN$15:BR$15)</f>
        <v>33357647.612190992</v>
      </c>
      <c r="AB254" s="43">
        <f>'D4 Gallon Forecast'!AB256*AVERAGE('D4 RIN Forecast'!BO$15:BS$15)</f>
        <v>13449248.728470085</v>
      </c>
      <c r="AC254" s="43">
        <f>'D4 Gallon Forecast'!AC256*AVERAGE('D4 RIN Forecast'!BP$15:BT$15)</f>
        <v>8828615.2567368969</v>
      </c>
      <c r="AD254" s="43">
        <f>'D4 Gallon Forecast'!AD256*AVERAGE('D4 RIN Forecast'!BQ$15:BU$15)</f>
        <v>9005472.1106075402</v>
      </c>
      <c r="AE254" s="43">
        <f>'D4 Gallon Forecast'!AE256*AVERAGE('D4 RIN Forecast'!BR$15:BV$15)</f>
        <v>9127767.0665691514</v>
      </c>
      <c r="AF254" s="43">
        <f>'D4 Gallon Forecast'!AF256*AVERAGE('D4 RIN Forecast'!BS$15:BW$15)</f>
        <v>9266013.2254765648</v>
      </c>
      <c r="AG254" s="43">
        <f>'D4 Gallon Forecast'!AG256*AVERAGE('D4 RIN Forecast'!BT$15:BX$15)</f>
        <v>8966165.8190289624</v>
      </c>
      <c r="AH254" s="43">
        <f>'D4 Gallon Forecast'!AH256*AVERAGE('D4 RIN Forecast'!BU$15:BY$15)</f>
        <v>9042552.2925544642</v>
      </c>
      <c r="AI254" s="43">
        <f>'D4 Gallon Forecast'!AI256*AVERAGE('D4 RIN Forecast'!BV$15:BZ$15)</f>
        <v>9090093.8560690954</v>
      </c>
      <c r="AJ254" s="43">
        <f>'D4 Gallon Forecast'!AJ256*AVERAGE('D4 RIN Forecast'!BW$15:CA$15)</f>
        <v>9112237.8642270584</v>
      </c>
      <c r="AK254" s="43">
        <f>'D4 Gallon Forecast'!AK256*AVERAGE('D4 RIN Forecast'!BX$15:CB$15)</f>
        <v>9107253.1819952279</v>
      </c>
      <c r="AL254" s="43">
        <f>'D4 Gallon Forecast'!AL256*AVERAGE('D4 RIN Forecast'!BY$15:CC$15)</f>
        <v>9032202.9796257913</v>
      </c>
      <c r="AM254" s="43">
        <f>'D4 Gallon Forecast'!AM256*AVERAGE('D4 RIN Forecast'!BZ$15:CD$15)</f>
        <v>9038806.6956865434</v>
      </c>
      <c r="AN254" s="43">
        <f>'D4 Gallon Forecast'!AN256*AVERAGE('D4 RIN Forecast'!CA$15:CE$15)</f>
        <v>9081594.1028457712</v>
      </c>
      <c r="AO254" s="43">
        <f>'D4 Gallon Forecast'!AO256*AVERAGE('D4 RIN Forecast'!CB$15:CF$15)</f>
        <v>9098518.4519371297</v>
      </c>
      <c r="AP254" s="43">
        <f>'D4 Gallon Forecast'!AP256*AVERAGE('D4 RIN Forecast'!CC$15:CG$15)</f>
        <v>9095412.611470582</v>
      </c>
      <c r="AQ254" s="43"/>
    </row>
    <row r="255" spans="1:43">
      <c r="A255" s="40" t="s">
        <v>29</v>
      </c>
      <c r="B255" s="42">
        <f t="shared" ref="B255:P255" si="90">SUM(B243:B254)</f>
        <v>0</v>
      </c>
      <c r="C255" s="42">
        <f t="shared" si="90"/>
        <v>0</v>
      </c>
      <c r="D255" s="42">
        <f t="shared" si="90"/>
        <v>85463969</v>
      </c>
      <c r="E255" s="42">
        <f t="shared" si="90"/>
        <v>282697724</v>
      </c>
      <c r="F255" s="42">
        <f t="shared" si="90"/>
        <v>291970178</v>
      </c>
      <c r="G255" s="42">
        <f t="shared" si="90"/>
        <v>230801430</v>
      </c>
      <c r="H255" s="42">
        <f t="shared" si="90"/>
        <v>312849257</v>
      </c>
      <c r="I255" s="42">
        <f t="shared" si="90"/>
        <v>339179310</v>
      </c>
      <c r="J255" s="42">
        <f t="shared" si="90"/>
        <v>345674276</v>
      </c>
      <c r="K255" s="42">
        <f t="shared" si="90"/>
        <v>512794875</v>
      </c>
      <c r="L255" s="42">
        <f t="shared" si="90"/>
        <v>606925889</v>
      </c>
      <c r="M255" s="42">
        <f t="shared" si="90"/>
        <v>630081316</v>
      </c>
      <c r="N255" s="42">
        <f t="shared" si="90"/>
        <v>596391429</v>
      </c>
      <c r="O255" s="42">
        <f t="shared" si="90"/>
        <v>667762579</v>
      </c>
      <c r="P255" s="42">
        <f t="shared" si="90"/>
        <v>528782258</v>
      </c>
      <c r="Q255" s="43">
        <f t="shared" ref="Q255:U255" si="91">SUM(Q243:Q254)</f>
        <v>357983802.53133196</v>
      </c>
      <c r="R255" s="43">
        <f t="shared" si="91"/>
        <v>465378942.84239835</v>
      </c>
      <c r="S255" s="43">
        <f t="shared" si="91"/>
        <v>429580562.6237523</v>
      </c>
      <c r="T255" s="43">
        <f t="shared" si="91"/>
        <v>393782182.40510637</v>
      </c>
      <c r="U255" s="43">
        <f t="shared" si="91"/>
        <v>357983802.18646038</v>
      </c>
      <c r="V255" s="43">
        <f>'D4 Gallon Forecast'!V257*AVERAGE('D4 RIN Forecast'!BI$15:BM$15)</f>
        <v>322185422.02989119</v>
      </c>
      <c r="W255" s="43">
        <f t="shared" ref="W255:AP255" si="92">SUM(W243:W254)</f>
        <v>322185421.98022968</v>
      </c>
      <c r="X255" s="43">
        <f t="shared" si="92"/>
        <v>286387041.76241136</v>
      </c>
      <c r="Y255" s="43">
        <f t="shared" si="92"/>
        <v>272067689.67680693</v>
      </c>
      <c r="Z255" s="43">
        <f t="shared" si="92"/>
        <v>257748337.59141451</v>
      </c>
      <c r="AA255" s="43">
        <f t="shared" si="92"/>
        <v>257748337.59484699</v>
      </c>
      <c r="AB255" s="43">
        <f t="shared" si="92"/>
        <v>107395140.66209742</v>
      </c>
      <c r="AC255" s="43">
        <f t="shared" si="92"/>
        <v>71596760.441667765</v>
      </c>
      <c r="AD255" s="43">
        <f t="shared" si="92"/>
        <v>71596760.441880748</v>
      </c>
      <c r="AE255" s="43">
        <f t="shared" si="92"/>
        <v>71596760.442003906</v>
      </c>
      <c r="AF255" s="43">
        <f t="shared" si="92"/>
        <v>71596760.44199276</v>
      </c>
      <c r="AG255" s="43">
        <f t="shared" si="92"/>
        <v>71596760.441788703</v>
      </c>
      <c r="AH255" s="43">
        <f t="shared" si="92"/>
        <v>71596760.441866755</v>
      </c>
      <c r="AI255" s="43">
        <f t="shared" si="92"/>
        <v>71596760.441906571</v>
      </c>
      <c r="AJ255" s="43">
        <f t="shared" si="92"/>
        <v>71596760.441911727</v>
      </c>
      <c r="AK255" s="43">
        <f t="shared" si="92"/>
        <v>71596760.441893324</v>
      </c>
      <c r="AL255" s="43">
        <f t="shared" si="92"/>
        <v>71596760.441873431</v>
      </c>
      <c r="AM255" s="43">
        <f t="shared" si="92"/>
        <v>71596760.441890359</v>
      </c>
      <c r="AN255" s="43">
        <f t="shared" si="92"/>
        <v>71596760.441895083</v>
      </c>
      <c r="AO255" s="43">
        <f t="shared" si="92"/>
        <v>71596760.441892788</v>
      </c>
      <c r="AP255" s="43">
        <f t="shared" si="92"/>
        <v>71596760.441889003</v>
      </c>
      <c r="AQ255" s="43"/>
    </row>
    <row r="257" spans="1:43" ht="12" thickBot="1">
      <c r="A257" s="245" t="s">
        <v>391</v>
      </c>
    </row>
    <row r="258" spans="1:43" ht="12" thickBot="1">
      <c r="A258" s="270"/>
      <c r="B258" s="263">
        <v>2010</v>
      </c>
      <c r="C258" s="263">
        <v>2011</v>
      </c>
      <c r="D258" s="263">
        <v>2012</v>
      </c>
      <c r="E258" s="263">
        <v>2013</v>
      </c>
      <c r="F258" s="263">
        <v>2014</v>
      </c>
      <c r="G258" s="263">
        <v>2015</v>
      </c>
      <c r="H258" s="263">
        <v>2016</v>
      </c>
      <c r="I258" s="263">
        <v>2017</v>
      </c>
      <c r="J258" s="263">
        <v>2018</v>
      </c>
      <c r="K258" s="263">
        <v>2019</v>
      </c>
      <c r="L258" s="263">
        <v>2020</v>
      </c>
      <c r="M258" s="263">
        <v>2021</v>
      </c>
      <c r="N258" s="263">
        <v>2022</v>
      </c>
      <c r="O258" s="263">
        <v>2023</v>
      </c>
      <c r="P258" s="263">
        <v>2024</v>
      </c>
      <c r="Q258" s="263">
        <v>2025</v>
      </c>
      <c r="R258" s="263">
        <v>2026</v>
      </c>
      <c r="S258" s="263">
        <v>2027</v>
      </c>
      <c r="T258" s="263">
        <v>2028</v>
      </c>
      <c r="U258" s="263">
        <v>2029</v>
      </c>
      <c r="V258" s="263">
        <v>2030</v>
      </c>
      <c r="W258" s="263">
        <v>2031</v>
      </c>
      <c r="X258" s="263">
        <v>2032</v>
      </c>
      <c r="Y258" s="263">
        <v>2033</v>
      </c>
      <c r="Z258" s="263">
        <v>2034</v>
      </c>
      <c r="AA258" s="263">
        <v>2035</v>
      </c>
      <c r="AB258" s="263">
        <v>2036</v>
      </c>
      <c r="AC258" s="263">
        <v>2037</v>
      </c>
      <c r="AD258" s="263">
        <v>2038</v>
      </c>
      <c r="AE258" s="263">
        <v>2039</v>
      </c>
      <c r="AF258" s="263">
        <v>2040</v>
      </c>
      <c r="AG258" s="263">
        <v>2041</v>
      </c>
      <c r="AH258" s="263">
        <v>2042</v>
      </c>
      <c r="AI258" s="263">
        <v>2043</v>
      </c>
      <c r="AJ258" s="263">
        <v>2044</v>
      </c>
      <c r="AK258" s="263">
        <v>2045</v>
      </c>
      <c r="AL258" s="263">
        <v>2046</v>
      </c>
      <c r="AM258" s="263">
        <v>2047</v>
      </c>
      <c r="AN258" s="263">
        <v>2048</v>
      </c>
      <c r="AO258" s="263">
        <v>2049</v>
      </c>
      <c r="AP258" s="263">
        <v>2050</v>
      </c>
      <c r="AQ258" s="245"/>
    </row>
    <row r="259" spans="1:43">
      <c r="A259" s="40" t="s">
        <v>43</v>
      </c>
      <c r="B259" s="42">
        <f>B275+B291+B307</f>
        <v>0</v>
      </c>
      <c r="C259" s="42">
        <f t="shared" ref="C259:AP266" si="93">C275+C291+C307</f>
        <v>0</v>
      </c>
      <c r="D259" s="42">
        <f t="shared" si="93"/>
        <v>0</v>
      </c>
      <c r="E259" s="42">
        <f t="shared" si="93"/>
        <v>0</v>
      </c>
      <c r="F259" s="42">
        <f t="shared" si="93"/>
        <v>9541081</v>
      </c>
      <c r="G259" s="42">
        <f t="shared" si="93"/>
        <v>0</v>
      </c>
      <c r="H259" s="42">
        <f t="shared" si="93"/>
        <v>0</v>
      </c>
      <c r="I259" s="42">
        <f t="shared" si="93"/>
        <v>0</v>
      </c>
      <c r="J259" s="42">
        <f t="shared" si="93"/>
        <v>0</v>
      </c>
      <c r="K259" s="42">
        <f t="shared" si="93"/>
        <v>0</v>
      </c>
      <c r="L259" s="42">
        <f t="shared" si="93"/>
        <v>0</v>
      </c>
      <c r="M259" s="42">
        <f t="shared" si="93"/>
        <v>4861840</v>
      </c>
      <c r="N259" s="42">
        <f t="shared" si="93"/>
        <v>0</v>
      </c>
      <c r="O259" s="42">
        <f t="shared" si="93"/>
        <v>0</v>
      </c>
      <c r="P259" s="42">
        <f t="shared" si="93"/>
        <v>0</v>
      </c>
      <c r="Q259" s="42">
        <f t="shared" si="93"/>
        <v>0</v>
      </c>
      <c r="R259" s="43">
        <f t="shared" si="93"/>
        <v>0</v>
      </c>
      <c r="S259" s="43">
        <f t="shared" si="93"/>
        <v>0</v>
      </c>
      <c r="T259" s="43">
        <f t="shared" si="93"/>
        <v>0</v>
      </c>
      <c r="U259" s="43">
        <f t="shared" si="93"/>
        <v>0</v>
      </c>
      <c r="V259" s="43">
        <f t="shared" si="93"/>
        <v>0</v>
      </c>
      <c r="W259" s="43">
        <f t="shared" si="93"/>
        <v>0</v>
      </c>
      <c r="X259" s="43">
        <f t="shared" si="93"/>
        <v>0</v>
      </c>
      <c r="Y259" s="43">
        <f t="shared" si="93"/>
        <v>0</v>
      </c>
      <c r="Z259" s="43">
        <f t="shared" si="93"/>
        <v>0</v>
      </c>
      <c r="AA259" s="43">
        <f t="shared" si="93"/>
        <v>0</v>
      </c>
      <c r="AB259" s="43">
        <f t="shared" si="93"/>
        <v>0</v>
      </c>
      <c r="AC259" s="43">
        <f t="shared" si="93"/>
        <v>0</v>
      </c>
      <c r="AD259" s="43">
        <f t="shared" si="93"/>
        <v>0</v>
      </c>
      <c r="AE259" s="43">
        <f t="shared" si="93"/>
        <v>0</v>
      </c>
      <c r="AF259" s="43">
        <f t="shared" si="93"/>
        <v>0</v>
      </c>
      <c r="AG259" s="43">
        <f t="shared" si="93"/>
        <v>0</v>
      </c>
      <c r="AH259" s="43">
        <f t="shared" si="93"/>
        <v>0</v>
      </c>
      <c r="AI259" s="43">
        <f t="shared" si="93"/>
        <v>0</v>
      </c>
      <c r="AJ259" s="43">
        <f t="shared" si="93"/>
        <v>0</v>
      </c>
      <c r="AK259" s="43">
        <f t="shared" si="93"/>
        <v>0</v>
      </c>
      <c r="AL259" s="43">
        <f t="shared" si="93"/>
        <v>0</v>
      </c>
      <c r="AM259" s="43">
        <f t="shared" si="93"/>
        <v>0</v>
      </c>
      <c r="AN259" s="43">
        <f t="shared" si="93"/>
        <v>0</v>
      </c>
      <c r="AO259" s="43">
        <f t="shared" si="93"/>
        <v>0</v>
      </c>
      <c r="AP259" s="43">
        <f t="shared" si="93"/>
        <v>0</v>
      </c>
      <c r="AQ259" s="43"/>
    </row>
    <row r="260" spans="1:43">
      <c r="A260" s="40" t="s">
        <v>44</v>
      </c>
      <c r="B260" s="42">
        <f t="shared" ref="B260:K270" si="94">B276+B292+B308</f>
        <v>0</v>
      </c>
      <c r="C260" s="42">
        <f t="shared" si="94"/>
        <v>0</v>
      </c>
      <c r="D260" s="42">
        <f t="shared" si="94"/>
        <v>0</v>
      </c>
      <c r="E260" s="42">
        <f t="shared" si="94"/>
        <v>4090016</v>
      </c>
      <c r="F260" s="42">
        <f t="shared" si="94"/>
        <v>0</v>
      </c>
      <c r="G260" s="42">
        <f t="shared" si="94"/>
        <v>0</v>
      </c>
      <c r="H260" s="42">
        <f t="shared" si="94"/>
        <v>0</v>
      </c>
      <c r="I260" s="42">
        <f t="shared" si="94"/>
        <v>0</v>
      </c>
      <c r="J260" s="42">
        <f t="shared" si="93"/>
        <v>0</v>
      </c>
      <c r="K260" s="42">
        <f t="shared" si="93"/>
        <v>0</v>
      </c>
      <c r="L260" s="42">
        <f t="shared" si="93"/>
        <v>0</v>
      </c>
      <c r="M260" s="42">
        <f>M276+M292+M308</f>
        <v>0</v>
      </c>
      <c r="N260" s="42">
        <f>N276+N292+N308</f>
        <v>0</v>
      </c>
      <c r="O260" s="42">
        <f t="shared" si="93"/>
        <v>0</v>
      </c>
      <c r="P260" s="42">
        <f>P276+P292+P308</f>
        <v>0</v>
      </c>
      <c r="Q260" s="42">
        <f t="shared" si="93"/>
        <v>0</v>
      </c>
      <c r="R260" s="43">
        <f t="shared" si="93"/>
        <v>0</v>
      </c>
      <c r="S260" s="43">
        <f t="shared" si="93"/>
        <v>0</v>
      </c>
      <c r="T260" s="43">
        <f t="shared" si="93"/>
        <v>0</v>
      </c>
      <c r="U260" s="43">
        <f t="shared" si="93"/>
        <v>0</v>
      </c>
      <c r="V260" s="43">
        <f t="shared" si="93"/>
        <v>0</v>
      </c>
      <c r="W260" s="43">
        <f t="shared" si="93"/>
        <v>0</v>
      </c>
      <c r="X260" s="43">
        <f t="shared" si="93"/>
        <v>0</v>
      </c>
      <c r="Y260" s="43">
        <f t="shared" si="93"/>
        <v>0</v>
      </c>
      <c r="Z260" s="43">
        <f t="shared" si="93"/>
        <v>0</v>
      </c>
      <c r="AA260" s="43">
        <f t="shared" si="93"/>
        <v>0</v>
      </c>
      <c r="AB260" s="43">
        <f t="shared" si="93"/>
        <v>0</v>
      </c>
      <c r="AC260" s="43">
        <f t="shared" si="93"/>
        <v>0</v>
      </c>
      <c r="AD260" s="43">
        <f t="shared" si="93"/>
        <v>0</v>
      </c>
      <c r="AE260" s="43">
        <f t="shared" si="93"/>
        <v>0</v>
      </c>
      <c r="AF260" s="43">
        <f t="shared" si="93"/>
        <v>0</v>
      </c>
      <c r="AG260" s="43">
        <f t="shared" si="93"/>
        <v>0</v>
      </c>
      <c r="AH260" s="43">
        <f t="shared" si="93"/>
        <v>0</v>
      </c>
      <c r="AI260" s="43">
        <f t="shared" si="93"/>
        <v>0</v>
      </c>
      <c r="AJ260" s="43">
        <f t="shared" si="93"/>
        <v>0</v>
      </c>
      <c r="AK260" s="43">
        <f t="shared" si="93"/>
        <v>0</v>
      </c>
      <c r="AL260" s="43">
        <f t="shared" si="93"/>
        <v>0</v>
      </c>
      <c r="AM260" s="43">
        <f t="shared" si="93"/>
        <v>0</v>
      </c>
      <c r="AN260" s="43">
        <f t="shared" si="93"/>
        <v>0</v>
      </c>
      <c r="AO260" s="43">
        <f t="shared" si="93"/>
        <v>0</v>
      </c>
      <c r="AP260" s="43">
        <f t="shared" si="93"/>
        <v>0</v>
      </c>
      <c r="AQ260" s="43"/>
    </row>
    <row r="261" spans="1:43">
      <c r="A261" s="40" t="s">
        <v>45</v>
      </c>
      <c r="B261" s="42">
        <f t="shared" si="94"/>
        <v>0</v>
      </c>
      <c r="C261" s="42">
        <f t="shared" si="94"/>
        <v>0</v>
      </c>
      <c r="D261" s="42">
        <f t="shared" si="94"/>
        <v>0</v>
      </c>
      <c r="E261" s="42">
        <f t="shared" si="94"/>
        <v>8396103</v>
      </c>
      <c r="F261" s="42">
        <f t="shared" si="94"/>
        <v>0</v>
      </c>
      <c r="G261" s="42">
        <f t="shared" si="94"/>
        <v>0</v>
      </c>
      <c r="H261" s="42">
        <f t="shared" si="94"/>
        <v>0</v>
      </c>
      <c r="I261" s="42">
        <f t="shared" si="94"/>
        <v>0</v>
      </c>
      <c r="J261" s="42">
        <f t="shared" si="93"/>
        <v>0</v>
      </c>
      <c r="K261" s="42">
        <f t="shared" si="93"/>
        <v>0</v>
      </c>
      <c r="L261" s="42">
        <f t="shared" si="93"/>
        <v>0</v>
      </c>
      <c r="M261" s="42">
        <f t="shared" si="93"/>
        <v>0</v>
      </c>
      <c r="N261" s="42">
        <f t="shared" si="93"/>
        <v>0</v>
      </c>
      <c r="O261" s="42">
        <f t="shared" si="93"/>
        <v>0</v>
      </c>
      <c r="P261" s="42">
        <f t="shared" si="93"/>
        <v>0</v>
      </c>
      <c r="Q261" s="42">
        <f t="shared" si="93"/>
        <v>21551583</v>
      </c>
      <c r="R261" s="43">
        <f t="shared" si="93"/>
        <v>0</v>
      </c>
      <c r="S261" s="43">
        <f t="shared" si="93"/>
        <v>0</v>
      </c>
      <c r="T261" s="43">
        <f t="shared" si="93"/>
        <v>0</v>
      </c>
      <c r="U261" s="43">
        <f t="shared" si="93"/>
        <v>0</v>
      </c>
      <c r="V261" s="43">
        <f t="shared" si="93"/>
        <v>0</v>
      </c>
      <c r="W261" s="43">
        <f t="shared" si="93"/>
        <v>0</v>
      </c>
      <c r="X261" s="43">
        <f t="shared" si="93"/>
        <v>0</v>
      </c>
      <c r="Y261" s="43">
        <f t="shared" si="93"/>
        <v>0</v>
      </c>
      <c r="Z261" s="43">
        <f t="shared" si="93"/>
        <v>0</v>
      </c>
      <c r="AA261" s="43">
        <f t="shared" si="93"/>
        <v>0</v>
      </c>
      <c r="AB261" s="43">
        <f t="shared" si="93"/>
        <v>0</v>
      </c>
      <c r="AC261" s="43">
        <f t="shared" si="93"/>
        <v>0</v>
      </c>
      <c r="AD261" s="43">
        <f t="shared" si="93"/>
        <v>0</v>
      </c>
      <c r="AE261" s="43">
        <f t="shared" si="93"/>
        <v>0</v>
      </c>
      <c r="AF261" s="43">
        <f t="shared" si="93"/>
        <v>0</v>
      </c>
      <c r="AG261" s="43">
        <f t="shared" si="93"/>
        <v>0</v>
      </c>
      <c r="AH261" s="43">
        <f t="shared" si="93"/>
        <v>0</v>
      </c>
      <c r="AI261" s="43">
        <f t="shared" si="93"/>
        <v>0</v>
      </c>
      <c r="AJ261" s="43">
        <f t="shared" si="93"/>
        <v>0</v>
      </c>
      <c r="AK261" s="43">
        <f t="shared" si="93"/>
        <v>0</v>
      </c>
      <c r="AL261" s="43">
        <f t="shared" si="93"/>
        <v>0</v>
      </c>
      <c r="AM261" s="43">
        <f t="shared" si="93"/>
        <v>0</v>
      </c>
      <c r="AN261" s="43">
        <f t="shared" si="93"/>
        <v>0</v>
      </c>
      <c r="AO261" s="43">
        <f t="shared" si="93"/>
        <v>0</v>
      </c>
      <c r="AP261" s="43">
        <f t="shared" si="93"/>
        <v>0</v>
      </c>
      <c r="AQ261" s="43"/>
    </row>
    <row r="262" spans="1:43">
      <c r="A262" s="40" t="s">
        <v>46</v>
      </c>
      <c r="B262" s="42">
        <f t="shared" si="94"/>
        <v>0</v>
      </c>
      <c r="C262" s="42">
        <f t="shared" si="94"/>
        <v>0</v>
      </c>
      <c r="D262" s="42">
        <f t="shared" si="94"/>
        <v>0</v>
      </c>
      <c r="E262" s="42">
        <f t="shared" si="94"/>
        <v>0</v>
      </c>
      <c r="F262" s="42">
        <f t="shared" si="94"/>
        <v>0</v>
      </c>
      <c r="G262" s="42">
        <f t="shared" si="94"/>
        <v>0</v>
      </c>
      <c r="H262" s="42">
        <f t="shared" si="94"/>
        <v>0</v>
      </c>
      <c r="I262" s="42">
        <f t="shared" si="94"/>
        <v>0</v>
      </c>
      <c r="J262" s="42">
        <f t="shared" si="93"/>
        <v>0</v>
      </c>
      <c r="K262" s="42">
        <f t="shared" si="93"/>
        <v>0</v>
      </c>
      <c r="L262" s="42">
        <f t="shared" si="93"/>
        <v>0</v>
      </c>
      <c r="M262" s="42">
        <f t="shared" si="93"/>
        <v>0</v>
      </c>
      <c r="N262" s="42">
        <f t="shared" si="93"/>
        <v>0</v>
      </c>
      <c r="O262" s="42">
        <f t="shared" si="93"/>
        <v>0</v>
      </c>
      <c r="P262" s="42">
        <f t="shared" si="93"/>
        <v>0</v>
      </c>
      <c r="Q262" s="43">
        <f t="shared" si="93"/>
        <v>0</v>
      </c>
      <c r="R262" s="43">
        <f t="shared" si="93"/>
        <v>0</v>
      </c>
      <c r="S262" s="43">
        <f t="shared" si="93"/>
        <v>0</v>
      </c>
      <c r="T262" s="43">
        <f t="shared" si="93"/>
        <v>0</v>
      </c>
      <c r="U262" s="43">
        <f t="shared" si="93"/>
        <v>0</v>
      </c>
      <c r="V262" s="43">
        <f t="shared" si="93"/>
        <v>0</v>
      </c>
      <c r="W262" s="43">
        <f t="shared" si="93"/>
        <v>0</v>
      </c>
      <c r="X262" s="43">
        <f t="shared" si="93"/>
        <v>0</v>
      </c>
      <c r="Y262" s="43">
        <f t="shared" si="93"/>
        <v>0</v>
      </c>
      <c r="Z262" s="43">
        <f t="shared" si="93"/>
        <v>0</v>
      </c>
      <c r="AA262" s="43">
        <f t="shared" si="93"/>
        <v>0</v>
      </c>
      <c r="AB262" s="43">
        <f t="shared" si="93"/>
        <v>0</v>
      </c>
      <c r="AC262" s="43">
        <f t="shared" si="93"/>
        <v>0</v>
      </c>
      <c r="AD262" s="43">
        <f t="shared" si="93"/>
        <v>0</v>
      </c>
      <c r="AE262" s="43">
        <f t="shared" si="93"/>
        <v>0</v>
      </c>
      <c r="AF262" s="43">
        <f t="shared" si="93"/>
        <v>0</v>
      </c>
      <c r="AG262" s="43">
        <f t="shared" si="93"/>
        <v>0</v>
      </c>
      <c r="AH262" s="43">
        <f t="shared" si="93"/>
        <v>0</v>
      </c>
      <c r="AI262" s="43">
        <f t="shared" si="93"/>
        <v>0</v>
      </c>
      <c r="AJ262" s="43">
        <f t="shared" si="93"/>
        <v>0</v>
      </c>
      <c r="AK262" s="43">
        <f t="shared" si="93"/>
        <v>0</v>
      </c>
      <c r="AL262" s="43">
        <f t="shared" si="93"/>
        <v>0</v>
      </c>
      <c r="AM262" s="43">
        <f t="shared" si="93"/>
        <v>0</v>
      </c>
      <c r="AN262" s="43">
        <f t="shared" si="93"/>
        <v>0</v>
      </c>
      <c r="AO262" s="43">
        <f t="shared" si="93"/>
        <v>0</v>
      </c>
      <c r="AP262" s="43">
        <f t="shared" si="93"/>
        <v>0</v>
      </c>
      <c r="AQ262" s="43"/>
    </row>
    <row r="263" spans="1:43">
      <c r="A263" s="40" t="s">
        <v>47</v>
      </c>
      <c r="B263" s="42">
        <f t="shared" si="94"/>
        <v>0</v>
      </c>
      <c r="C263" s="42">
        <f t="shared" si="94"/>
        <v>0</v>
      </c>
      <c r="D263" s="42">
        <f t="shared" si="94"/>
        <v>0</v>
      </c>
      <c r="E263" s="42">
        <f t="shared" si="94"/>
        <v>0</v>
      </c>
      <c r="F263" s="42">
        <f t="shared" si="94"/>
        <v>0</v>
      </c>
      <c r="G263" s="42">
        <f t="shared" si="94"/>
        <v>0</v>
      </c>
      <c r="H263" s="42">
        <f t="shared" si="94"/>
        <v>0</v>
      </c>
      <c r="I263" s="42">
        <f t="shared" si="94"/>
        <v>0</v>
      </c>
      <c r="J263" s="42">
        <f t="shared" si="93"/>
        <v>0</v>
      </c>
      <c r="K263" s="42">
        <f t="shared" si="93"/>
        <v>0</v>
      </c>
      <c r="L263" s="42">
        <f t="shared" si="93"/>
        <v>0</v>
      </c>
      <c r="M263" s="42">
        <f t="shared" si="93"/>
        <v>0</v>
      </c>
      <c r="N263" s="42">
        <f t="shared" si="93"/>
        <v>0</v>
      </c>
      <c r="O263" s="42">
        <f t="shared" si="93"/>
        <v>0</v>
      </c>
      <c r="P263" s="42">
        <f t="shared" si="93"/>
        <v>0</v>
      </c>
      <c r="Q263" s="43">
        <f t="shared" si="93"/>
        <v>0</v>
      </c>
      <c r="R263" s="43">
        <f t="shared" si="93"/>
        <v>0</v>
      </c>
      <c r="S263" s="43">
        <f t="shared" si="93"/>
        <v>0</v>
      </c>
      <c r="T263" s="43">
        <f t="shared" si="93"/>
        <v>0</v>
      </c>
      <c r="U263" s="43">
        <f t="shared" si="93"/>
        <v>0</v>
      </c>
      <c r="V263" s="43">
        <f t="shared" si="93"/>
        <v>0</v>
      </c>
      <c r="W263" s="43">
        <f t="shared" si="93"/>
        <v>0</v>
      </c>
      <c r="X263" s="43">
        <f t="shared" si="93"/>
        <v>0</v>
      </c>
      <c r="Y263" s="43">
        <f t="shared" si="93"/>
        <v>0</v>
      </c>
      <c r="Z263" s="43">
        <f t="shared" si="93"/>
        <v>0</v>
      </c>
      <c r="AA263" s="43">
        <f t="shared" si="93"/>
        <v>0</v>
      </c>
      <c r="AB263" s="43">
        <f t="shared" si="93"/>
        <v>0</v>
      </c>
      <c r="AC263" s="43">
        <f t="shared" si="93"/>
        <v>0</v>
      </c>
      <c r="AD263" s="43">
        <f t="shared" si="93"/>
        <v>0</v>
      </c>
      <c r="AE263" s="43">
        <f t="shared" si="93"/>
        <v>0</v>
      </c>
      <c r="AF263" s="43">
        <f t="shared" si="93"/>
        <v>0</v>
      </c>
      <c r="AG263" s="43">
        <f t="shared" si="93"/>
        <v>0</v>
      </c>
      <c r="AH263" s="43">
        <f t="shared" si="93"/>
        <v>0</v>
      </c>
      <c r="AI263" s="43">
        <f t="shared" si="93"/>
        <v>0</v>
      </c>
      <c r="AJ263" s="43">
        <f t="shared" si="93"/>
        <v>0</v>
      </c>
      <c r="AK263" s="43">
        <f t="shared" si="93"/>
        <v>0</v>
      </c>
      <c r="AL263" s="43">
        <f t="shared" si="93"/>
        <v>0</v>
      </c>
      <c r="AM263" s="43">
        <f t="shared" si="93"/>
        <v>0</v>
      </c>
      <c r="AN263" s="43">
        <f t="shared" si="93"/>
        <v>0</v>
      </c>
      <c r="AO263" s="43">
        <f t="shared" si="93"/>
        <v>0</v>
      </c>
      <c r="AP263" s="43">
        <f t="shared" si="93"/>
        <v>0</v>
      </c>
      <c r="AQ263" s="43"/>
    </row>
    <row r="264" spans="1:43">
      <c r="A264" s="40" t="s">
        <v>48</v>
      </c>
      <c r="B264" s="42">
        <f t="shared" si="94"/>
        <v>0</v>
      </c>
      <c r="C264" s="42">
        <f t="shared" si="94"/>
        <v>0</v>
      </c>
      <c r="D264" s="42">
        <f t="shared" si="94"/>
        <v>0</v>
      </c>
      <c r="E264" s="42">
        <f t="shared" si="94"/>
        <v>8066041</v>
      </c>
      <c r="F264" s="42">
        <f t="shared" si="94"/>
        <v>0</v>
      </c>
      <c r="G264" s="42">
        <f t="shared" si="94"/>
        <v>0</v>
      </c>
      <c r="H264" s="42">
        <f t="shared" si="94"/>
        <v>0</v>
      </c>
      <c r="I264" s="42">
        <f t="shared" si="94"/>
        <v>0</v>
      </c>
      <c r="J264" s="42">
        <f t="shared" si="93"/>
        <v>0</v>
      </c>
      <c r="K264" s="42">
        <f t="shared" si="93"/>
        <v>0</v>
      </c>
      <c r="L264" s="42">
        <f t="shared" si="93"/>
        <v>0</v>
      </c>
      <c r="M264" s="42">
        <f t="shared" si="93"/>
        <v>0</v>
      </c>
      <c r="N264" s="42">
        <f t="shared" si="93"/>
        <v>0</v>
      </c>
      <c r="O264" s="42">
        <f t="shared" si="93"/>
        <v>0</v>
      </c>
      <c r="P264" s="42">
        <f t="shared" si="93"/>
        <v>0</v>
      </c>
      <c r="Q264" s="43">
        <f t="shared" si="93"/>
        <v>0</v>
      </c>
      <c r="R264" s="43">
        <f t="shared" si="93"/>
        <v>0</v>
      </c>
      <c r="S264" s="43">
        <f t="shared" si="93"/>
        <v>0</v>
      </c>
      <c r="T264" s="43">
        <f t="shared" si="93"/>
        <v>0</v>
      </c>
      <c r="U264" s="43">
        <f t="shared" si="93"/>
        <v>0</v>
      </c>
      <c r="V264" s="43">
        <f t="shared" si="93"/>
        <v>0</v>
      </c>
      <c r="W264" s="43">
        <f t="shared" si="93"/>
        <v>0</v>
      </c>
      <c r="X264" s="43">
        <f t="shared" si="93"/>
        <v>0</v>
      </c>
      <c r="Y264" s="43">
        <f t="shared" si="93"/>
        <v>0</v>
      </c>
      <c r="Z264" s="43">
        <f t="shared" si="93"/>
        <v>0</v>
      </c>
      <c r="AA264" s="43">
        <f t="shared" si="93"/>
        <v>0</v>
      </c>
      <c r="AB264" s="43">
        <f t="shared" si="93"/>
        <v>0</v>
      </c>
      <c r="AC264" s="43">
        <f t="shared" si="93"/>
        <v>0</v>
      </c>
      <c r="AD264" s="43">
        <f t="shared" si="93"/>
        <v>0</v>
      </c>
      <c r="AE264" s="43">
        <f t="shared" si="93"/>
        <v>0</v>
      </c>
      <c r="AF264" s="43">
        <f t="shared" si="93"/>
        <v>0</v>
      </c>
      <c r="AG264" s="43">
        <f t="shared" si="93"/>
        <v>0</v>
      </c>
      <c r="AH264" s="43">
        <f t="shared" si="93"/>
        <v>0</v>
      </c>
      <c r="AI264" s="43">
        <f t="shared" si="93"/>
        <v>0</v>
      </c>
      <c r="AJ264" s="43">
        <f t="shared" si="93"/>
        <v>0</v>
      </c>
      <c r="AK264" s="43">
        <f t="shared" si="93"/>
        <v>0</v>
      </c>
      <c r="AL264" s="43">
        <f t="shared" si="93"/>
        <v>0</v>
      </c>
      <c r="AM264" s="43">
        <f t="shared" si="93"/>
        <v>0</v>
      </c>
      <c r="AN264" s="43">
        <f t="shared" si="93"/>
        <v>0</v>
      </c>
      <c r="AO264" s="43">
        <f t="shared" si="93"/>
        <v>0</v>
      </c>
      <c r="AP264" s="43">
        <f t="shared" si="93"/>
        <v>0</v>
      </c>
      <c r="AQ264" s="43"/>
    </row>
    <row r="265" spans="1:43">
      <c r="A265" s="40" t="s">
        <v>49</v>
      </c>
      <c r="B265" s="42">
        <f t="shared" si="94"/>
        <v>0</v>
      </c>
      <c r="C265" s="42">
        <f t="shared" si="94"/>
        <v>0</v>
      </c>
      <c r="D265" s="42">
        <f t="shared" si="94"/>
        <v>0</v>
      </c>
      <c r="E265" s="42">
        <f t="shared" si="94"/>
        <v>12302762</v>
      </c>
      <c r="F265" s="42">
        <f t="shared" si="94"/>
        <v>0</v>
      </c>
      <c r="G265" s="42">
        <f t="shared" si="94"/>
        <v>0</v>
      </c>
      <c r="H265" s="42">
        <f t="shared" si="94"/>
        <v>0</v>
      </c>
      <c r="I265" s="42">
        <f t="shared" si="94"/>
        <v>0</v>
      </c>
      <c r="J265" s="42">
        <f t="shared" si="93"/>
        <v>0</v>
      </c>
      <c r="K265" s="42">
        <f t="shared" si="93"/>
        <v>0</v>
      </c>
      <c r="L265" s="42">
        <f t="shared" si="93"/>
        <v>0</v>
      </c>
      <c r="M265" s="42">
        <f t="shared" si="93"/>
        <v>0</v>
      </c>
      <c r="N265" s="42">
        <f t="shared" si="93"/>
        <v>0</v>
      </c>
      <c r="O265" s="42">
        <f t="shared" si="93"/>
        <v>0</v>
      </c>
      <c r="P265" s="42">
        <f t="shared" si="93"/>
        <v>42802473</v>
      </c>
      <c r="Q265" s="43">
        <f t="shared" si="93"/>
        <v>0</v>
      </c>
      <c r="R265" s="43">
        <f t="shared" si="93"/>
        <v>0</v>
      </c>
      <c r="S265" s="43">
        <f t="shared" si="93"/>
        <v>0</v>
      </c>
      <c r="T265" s="43">
        <f t="shared" si="93"/>
        <v>0</v>
      </c>
      <c r="U265" s="43">
        <f t="shared" si="93"/>
        <v>0</v>
      </c>
      <c r="V265" s="43">
        <f t="shared" si="93"/>
        <v>0</v>
      </c>
      <c r="W265" s="43">
        <f t="shared" si="93"/>
        <v>0</v>
      </c>
      <c r="X265" s="43">
        <f t="shared" si="93"/>
        <v>0</v>
      </c>
      <c r="Y265" s="43">
        <f t="shared" si="93"/>
        <v>0</v>
      </c>
      <c r="Z265" s="43">
        <f t="shared" si="93"/>
        <v>0</v>
      </c>
      <c r="AA265" s="43">
        <f t="shared" si="93"/>
        <v>0</v>
      </c>
      <c r="AB265" s="43">
        <f t="shared" si="93"/>
        <v>0</v>
      </c>
      <c r="AC265" s="43">
        <f t="shared" si="93"/>
        <v>0</v>
      </c>
      <c r="AD265" s="43">
        <f t="shared" si="93"/>
        <v>0</v>
      </c>
      <c r="AE265" s="43">
        <f t="shared" si="93"/>
        <v>0</v>
      </c>
      <c r="AF265" s="43">
        <f t="shared" si="93"/>
        <v>0</v>
      </c>
      <c r="AG265" s="43">
        <f t="shared" si="93"/>
        <v>0</v>
      </c>
      <c r="AH265" s="43">
        <f t="shared" si="93"/>
        <v>0</v>
      </c>
      <c r="AI265" s="43">
        <f t="shared" si="93"/>
        <v>0</v>
      </c>
      <c r="AJ265" s="43">
        <f t="shared" si="93"/>
        <v>0</v>
      </c>
      <c r="AK265" s="43">
        <f t="shared" si="93"/>
        <v>0</v>
      </c>
      <c r="AL265" s="43">
        <f t="shared" si="93"/>
        <v>0</v>
      </c>
      <c r="AM265" s="43">
        <f t="shared" si="93"/>
        <v>0</v>
      </c>
      <c r="AN265" s="43">
        <f t="shared" si="93"/>
        <v>0</v>
      </c>
      <c r="AO265" s="43">
        <f t="shared" si="93"/>
        <v>0</v>
      </c>
      <c r="AP265" s="43">
        <f t="shared" si="93"/>
        <v>0</v>
      </c>
      <c r="AQ265" s="43"/>
    </row>
    <row r="266" spans="1:43">
      <c r="A266" s="40" t="s">
        <v>50</v>
      </c>
      <c r="B266" s="42">
        <f t="shared" si="94"/>
        <v>0</v>
      </c>
      <c r="C266" s="42">
        <f t="shared" si="94"/>
        <v>0</v>
      </c>
      <c r="D266" s="42">
        <f t="shared" si="94"/>
        <v>0</v>
      </c>
      <c r="E266" s="42">
        <f t="shared" si="94"/>
        <v>3869496</v>
      </c>
      <c r="F266" s="42">
        <f t="shared" si="94"/>
        <v>0</v>
      </c>
      <c r="G266" s="42">
        <f t="shared" si="94"/>
        <v>0</v>
      </c>
      <c r="H266" s="42">
        <f t="shared" si="94"/>
        <v>0</v>
      </c>
      <c r="I266" s="42">
        <f t="shared" si="94"/>
        <v>0</v>
      </c>
      <c r="J266" s="42">
        <f t="shared" si="93"/>
        <v>0</v>
      </c>
      <c r="K266" s="42">
        <f t="shared" si="93"/>
        <v>0</v>
      </c>
      <c r="L266" s="42">
        <f t="shared" si="93"/>
        <v>0</v>
      </c>
      <c r="M266" s="42">
        <f t="shared" si="93"/>
        <v>0</v>
      </c>
      <c r="N266" s="42">
        <f t="shared" si="93"/>
        <v>0</v>
      </c>
      <c r="O266" s="42">
        <f t="shared" si="93"/>
        <v>0</v>
      </c>
      <c r="P266" s="42">
        <f t="shared" si="93"/>
        <v>0</v>
      </c>
      <c r="Q266" s="43">
        <f t="shared" si="93"/>
        <v>0</v>
      </c>
      <c r="R266" s="43">
        <f t="shared" si="93"/>
        <v>0</v>
      </c>
      <c r="S266" s="43">
        <f t="shared" si="93"/>
        <v>0</v>
      </c>
      <c r="T266" s="43">
        <f t="shared" si="93"/>
        <v>0</v>
      </c>
      <c r="U266" s="43">
        <f t="shared" si="93"/>
        <v>0</v>
      </c>
      <c r="V266" s="43">
        <f t="shared" si="93"/>
        <v>0</v>
      </c>
      <c r="W266" s="43">
        <f t="shared" si="93"/>
        <v>0</v>
      </c>
      <c r="X266" s="43">
        <f t="shared" si="93"/>
        <v>0</v>
      </c>
      <c r="Y266" s="43">
        <f t="shared" si="93"/>
        <v>0</v>
      </c>
      <c r="Z266" s="43">
        <f t="shared" si="93"/>
        <v>0</v>
      </c>
      <c r="AA266" s="43">
        <f t="shared" si="93"/>
        <v>0</v>
      </c>
      <c r="AB266" s="43">
        <f t="shared" si="93"/>
        <v>0</v>
      </c>
      <c r="AC266" s="43">
        <f t="shared" si="93"/>
        <v>0</v>
      </c>
      <c r="AD266" s="43">
        <f t="shared" ref="AD266:AP266" si="95">AD282+AD298+AD314</f>
        <v>0</v>
      </c>
      <c r="AE266" s="43">
        <f t="shared" si="95"/>
        <v>0</v>
      </c>
      <c r="AF266" s="43">
        <f t="shared" si="95"/>
        <v>0</v>
      </c>
      <c r="AG266" s="43">
        <f t="shared" si="95"/>
        <v>0</v>
      </c>
      <c r="AH266" s="43">
        <f t="shared" si="95"/>
        <v>0</v>
      </c>
      <c r="AI266" s="43">
        <f t="shared" si="95"/>
        <v>0</v>
      </c>
      <c r="AJ266" s="43">
        <f t="shared" si="95"/>
        <v>0</v>
      </c>
      <c r="AK266" s="43">
        <f t="shared" si="95"/>
        <v>0</v>
      </c>
      <c r="AL266" s="43">
        <f t="shared" si="95"/>
        <v>0</v>
      </c>
      <c r="AM266" s="43">
        <f t="shared" si="95"/>
        <v>0</v>
      </c>
      <c r="AN266" s="43">
        <f t="shared" si="95"/>
        <v>0</v>
      </c>
      <c r="AO266" s="43">
        <f t="shared" si="95"/>
        <v>0</v>
      </c>
      <c r="AP266" s="43">
        <f t="shared" si="95"/>
        <v>0</v>
      </c>
      <c r="AQ266" s="43"/>
    </row>
    <row r="267" spans="1:43">
      <c r="A267" s="40" t="s">
        <v>51</v>
      </c>
      <c r="B267" s="42">
        <f t="shared" si="94"/>
        <v>0</v>
      </c>
      <c r="C267" s="42">
        <f t="shared" si="94"/>
        <v>0</v>
      </c>
      <c r="D267" s="42">
        <f t="shared" si="94"/>
        <v>0</v>
      </c>
      <c r="E267" s="42">
        <f t="shared" si="94"/>
        <v>0</v>
      </c>
      <c r="F267" s="42">
        <f t="shared" si="94"/>
        <v>0</v>
      </c>
      <c r="G267" s="42">
        <f t="shared" si="94"/>
        <v>0</v>
      </c>
      <c r="H267" s="42">
        <f t="shared" si="94"/>
        <v>0</v>
      </c>
      <c r="I267" s="42">
        <f t="shared" si="94"/>
        <v>1287334</v>
      </c>
      <c r="J267" s="42">
        <f t="shared" si="94"/>
        <v>0</v>
      </c>
      <c r="K267" s="42">
        <f>K283+K299+K315</f>
        <v>0</v>
      </c>
      <c r="L267" s="42">
        <f>L283+L299+L315</f>
        <v>0</v>
      </c>
      <c r="M267" s="42">
        <f t="shared" ref="M267:AP270" si="96">M283+M299+M315</f>
        <v>0</v>
      </c>
      <c r="N267" s="42">
        <f t="shared" si="96"/>
        <v>0</v>
      </c>
      <c r="O267" s="42">
        <f t="shared" si="96"/>
        <v>0</v>
      </c>
      <c r="P267" s="42">
        <f t="shared" si="96"/>
        <v>41744015</v>
      </c>
      <c r="Q267" s="43">
        <f t="shared" si="96"/>
        <v>0</v>
      </c>
      <c r="R267" s="43">
        <f t="shared" si="96"/>
        <v>0</v>
      </c>
      <c r="S267" s="43">
        <f t="shared" si="96"/>
        <v>0</v>
      </c>
      <c r="T267" s="43">
        <f t="shared" si="96"/>
        <v>0</v>
      </c>
      <c r="U267" s="43">
        <f t="shared" si="96"/>
        <v>0</v>
      </c>
      <c r="V267" s="43">
        <f t="shared" si="96"/>
        <v>0</v>
      </c>
      <c r="W267" s="43">
        <f t="shared" si="96"/>
        <v>0</v>
      </c>
      <c r="X267" s="43">
        <f t="shared" si="96"/>
        <v>0</v>
      </c>
      <c r="Y267" s="43">
        <f t="shared" si="96"/>
        <v>0</v>
      </c>
      <c r="Z267" s="43">
        <f t="shared" si="96"/>
        <v>0</v>
      </c>
      <c r="AA267" s="43">
        <f t="shared" si="96"/>
        <v>0</v>
      </c>
      <c r="AB267" s="43">
        <f t="shared" si="96"/>
        <v>0</v>
      </c>
      <c r="AC267" s="43">
        <f t="shared" si="96"/>
        <v>0</v>
      </c>
      <c r="AD267" s="43">
        <f t="shared" si="96"/>
        <v>0</v>
      </c>
      <c r="AE267" s="43">
        <f t="shared" si="96"/>
        <v>0</v>
      </c>
      <c r="AF267" s="43">
        <f t="shared" si="96"/>
        <v>0</v>
      </c>
      <c r="AG267" s="43">
        <f t="shared" si="96"/>
        <v>0</v>
      </c>
      <c r="AH267" s="43">
        <f t="shared" si="96"/>
        <v>0</v>
      </c>
      <c r="AI267" s="43">
        <f t="shared" si="96"/>
        <v>0</v>
      </c>
      <c r="AJ267" s="43">
        <f t="shared" si="96"/>
        <v>0</v>
      </c>
      <c r="AK267" s="43">
        <f t="shared" si="96"/>
        <v>0</v>
      </c>
      <c r="AL267" s="43">
        <f t="shared" si="96"/>
        <v>0</v>
      </c>
      <c r="AM267" s="43">
        <f t="shared" si="96"/>
        <v>0</v>
      </c>
      <c r="AN267" s="43">
        <f t="shared" si="96"/>
        <v>0</v>
      </c>
      <c r="AO267" s="43">
        <f t="shared" si="96"/>
        <v>0</v>
      </c>
      <c r="AP267" s="43">
        <f t="shared" si="96"/>
        <v>0</v>
      </c>
      <c r="AQ267" s="43"/>
    </row>
    <row r="268" spans="1:43">
      <c r="A268" s="40" t="s">
        <v>52</v>
      </c>
      <c r="B268" s="42">
        <f t="shared" si="94"/>
        <v>0</v>
      </c>
      <c r="C268" s="42">
        <f t="shared" si="94"/>
        <v>0</v>
      </c>
      <c r="D268" s="42">
        <f t="shared" si="94"/>
        <v>0</v>
      </c>
      <c r="E268" s="42">
        <f t="shared" si="94"/>
        <v>0</v>
      </c>
      <c r="F268" s="42">
        <f t="shared" si="94"/>
        <v>0</v>
      </c>
      <c r="G268" s="42">
        <f t="shared" si="94"/>
        <v>0</v>
      </c>
      <c r="H268" s="42">
        <f t="shared" si="94"/>
        <v>0</v>
      </c>
      <c r="I268" s="42">
        <f t="shared" si="94"/>
        <v>0</v>
      </c>
      <c r="J268" s="42">
        <f t="shared" si="94"/>
        <v>0</v>
      </c>
      <c r="K268" s="42">
        <f t="shared" si="94"/>
        <v>0</v>
      </c>
      <c r="L268" s="42">
        <f>L284+L300+L316</f>
        <v>0</v>
      </c>
      <c r="M268" s="42">
        <f t="shared" si="96"/>
        <v>0</v>
      </c>
      <c r="N268" s="42">
        <f t="shared" si="96"/>
        <v>0</v>
      </c>
      <c r="O268" s="42">
        <f t="shared" si="96"/>
        <v>0</v>
      </c>
      <c r="P268" s="42">
        <f t="shared" si="96"/>
        <v>0</v>
      </c>
      <c r="Q268" s="43">
        <f t="shared" si="96"/>
        <v>0</v>
      </c>
      <c r="R268" s="43">
        <f t="shared" si="96"/>
        <v>0</v>
      </c>
      <c r="S268" s="43">
        <f t="shared" si="96"/>
        <v>0</v>
      </c>
      <c r="T268" s="43">
        <f t="shared" si="96"/>
        <v>0</v>
      </c>
      <c r="U268" s="43">
        <f t="shared" si="96"/>
        <v>0</v>
      </c>
      <c r="V268" s="43">
        <f t="shared" si="96"/>
        <v>0</v>
      </c>
      <c r="W268" s="43">
        <f t="shared" si="96"/>
        <v>0</v>
      </c>
      <c r="X268" s="43">
        <f t="shared" si="96"/>
        <v>0</v>
      </c>
      <c r="Y268" s="43">
        <f t="shared" si="96"/>
        <v>0</v>
      </c>
      <c r="Z268" s="43">
        <f t="shared" si="96"/>
        <v>0</v>
      </c>
      <c r="AA268" s="43">
        <f t="shared" si="96"/>
        <v>0</v>
      </c>
      <c r="AB268" s="43">
        <f t="shared" si="96"/>
        <v>0</v>
      </c>
      <c r="AC268" s="43">
        <f t="shared" si="96"/>
        <v>0</v>
      </c>
      <c r="AD268" s="43">
        <f t="shared" si="96"/>
        <v>0</v>
      </c>
      <c r="AE268" s="43">
        <f t="shared" si="96"/>
        <v>0</v>
      </c>
      <c r="AF268" s="43">
        <f t="shared" si="96"/>
        <v>0</v>
      </c>
      <c r="AG268" s="43">
        <f t="shared" si="96"/>
        <v>0</v>
      </c>
      <c r="AH268" s="43">
        <f t="shared" si="96"/>
        <v>0</v>
      </c>
      <c r="AI268" s="43">
        <f t="shared" si="96"/>
        <v>0</v>
      </c>
      <c r="AJ268" s="43">
        <f t="shared" si="96"/>
        <v>0</v>
      </c>
      <c r="AK268" s="43">
        <f t="shared" si="96"/>
        <v>0</v>
      </c>
      <c r="AL268" s="43">
        <f t="shared" si="96"/>
        <v>0</v>
      </c>
      <c r="AM268" s="43">
        <f t="shared" si="96"/>
        <v>0</v>
      </c>
      <c r="AN268" s="43">
        <f t="shared" si="96"/>
        <v>0</v>
      </c>
      <c r="AO268" s="43">
        <f t="shared" si="96"/>
        <v>0</v>
      </c>
      <c r="AP268" s="43">
        <f t="shared" si="96"/>
        <v>0</v>
      </c>
      <c r="AQ268" s="43"/>
    </row>
    <row r="269" spans="1:43">
      <c r="A269" s="40" t="s">
        <v>53</v>
      </c>
      <c r="B269" s="42">
        <f t="shared" si="94"/>
        <v>0</v>
      </c>
      <c r="C269" s="42">
        <f t="shared" si="94"/>
        <v>0</v>
      </c>
      <c r="D269" s="42">
        <f t="shared" si="94"/>
        <v>0</v>
      </c>
      <c r="E269" s="42">
        <f t="shared" si="94"/>
        <v>0</v>
      </c>
      <c r="F269" s="42">
        <f t="shared" si="94"/>
        <v>0</v>
      </c>
      <c r="G269" s="42">
        <f t="shared" si="94"/>
        <v>0</v>
      </c>
      <c r="H269" s="42">
        <f t="shared" si="94"/>
        <v>0</v>
      </c>
      <c r="I269" s="42">
        <f t="shared" si="94"/>
        <v>0</v>
      </c>
      <c r="J269" s="42">
        <f t="shared" si="94"/>
        <v>0</v>
      </c>
      <c r="K269" s="42">
        <f t="shared" si="94"/>
        <v>0</v>
      </c>
      <c r="L269" s="42">
        <f>L285+L301+L317</f>
        <v>0</v>
      </c>
      <c r="M269" s="42">
        <f t="shared" si="96"/>
        <v>0</v>
      </c>
      <c r="N269" s="42">
        <f t="shared" si="96"/>
        <v>0</v>
      </c>
      <c r="O269" s="42">
        <f t="shared" si="96"/>
        <v>0</v>
      </c>
      <c r="P269" s="42">
        <f t="shared" si="96"/>
        <v>50729608</v>
      </c>
      <c r="Q269" s="43">
        <f t="shared" si="96"/>
        <v>0</v>
      </c>
      <c r="R269" s="43">
        <f t="shared" si="96"/>
        <v>0</v>
      </c>
      <c r="S269" s="43">
        <f t="shared" si="96"/>
        <v>0</v>
      </c>
      <c r="T269" s="43">
        <f t="shared" si="96"/>
        <v>0</v>
      </c>
      <c r="U269" s="43">
        <f t="shared" si="96"/>
        <v>0</v>
      </c>
      <c r="V269" s="43">
        <f t="shared" si="96"/>
        <v>0</v>
      </c>
      <c r="W269" s="43">
        <f t="shared" si="96"/>
        <v>0</v>
      </c>
      <c r="X269" s="43">
        <f t="shared" si="96"/>
        <v>0</v>
      </c>
      <c r="Y269" s="43">
        <f t="shared" si="96"/>
        <v>0</v>
      </c>
      <c r="Z269" s="43">
        <f t="shared" si="96"/>
        <v>0</v>
      </c>
      <c r="AA269" s="43">
        <f t="shared" si="96"/>
        <v>0</v>
      </c>
      <c r="AB269" s="43">
        <f t="shared" si="96"/>
        <v>0</v>
      </c>
      <c r="AC269" s="43">
        <f t="shared" si="96"/>
        <v>0</v>
      </c>
      <c r="AD269" s="43">
        <f t="shared" si="96"/>
        <v>0</v>
      </c>
      <c r="AE269" s="43">
        <f t="shared" si="96"/>
        <v>0</v>
      </c>
      <c r="AF269" s="43">
        <f t="shared" si="96"/>
        <v>0</v>
      </c>
      <c r="AG269" s="43">
        <f t="shared" si="96"/>
        <v>0</v>
      </c>
      <c r="AH269" s="43">
        <f t="shared" si="96"/>
        <v>0</v>
      </c>
      <c r="AI269" s="43">
        <f t="shared" si="96"/>
        <v>0</v>
      </c>
      <c r="AJ269" s="43">
        <f t="shared" si="96"/>
        <v>0</v>
      </c>
      <c r="AK269" s="43">
        <f t="shared" si="96"/>
        <v>0</v>
      </c>
      <c r="AL269" s="43">
        <f t="shared" si="96"/>
        <v>0</v>
      </c>
      <c r="AM269" s="43">
        <f t="shared" si="96"/>
        <v>0</v>
      </c>
      <c r="AN269" s="43">
        <f t="shared" si="96"/>
        <v>0</v>
      </c>
      <c r="AO269" s="43">
        <f t="shared" si="96"/>
        <v>0</v>
      </c>
      <c r="AP269" s="43">
        <f t="shared" si="96"/>
        <v>0</v>
      </c>
      <c r="AQ269" s="43"/>
    </row>
    <row r="270" spans="1:43">
      <c r="A270" s="40" t="s">
        <v>54</v>
      </c>
      <c r="B270" s="42">
        <f t="shared" si="94"/>
        <v>0</v>
      </c>
      <c r="C270" s="42">
        <f t="shared" si="94"/>
        <v>0</v>
      </c>
      <c r="D270" s="42">
        <f t="shared" si="94"/>
        <v>0</v>
      </c>
      <c r="E270" s="42">
        <f t="shared" si="94"/>
        <v>0</v>
      </c>
      <c r="F270" s="42">
        <f t="shared" si="94"/>
        <v>0</v>
      </c>
      <c r="G270" s="42">
        <f t="shared" si="94"/>
        <v>0</v>
      </c>
      <c r="H270" s="42">
        <f t="shared" si="94"/>
        <v>0</v>
      </c>
      <c r="I270" s="42">
        <f t="shared" si="94"/>
        <v>0</v>
      </c>
      <c r="J270" s="42">
        <f t="shared" si="94"/>
        <v>0</v>
      </c>
      <c r="K270" s="42">
        <f t="shared" si="94"/>
        <v>0</v>
      </c>
      <c r="L270" s="42">
        <f>L286+L302+L318</f>
        <v>0</v>
      </c>
      <c r="M270" s="42">
        <f>M286+M302+M318</f>
        <v>0</v>
      </c>
      <c r="N270" s="42">
        <f t="shared" si="96"/>
        <v>0</v>
      </c>
      <c r="O270" s="42">
        <f t="shared" si="96"/>
        <v>0</v>
      </c>
      <c r="P270" s="42">
        <f t="shared" si="96"/>
        <v>55934331</v>
      </c>
      <c r="Q270" s="43">
        <f t="shared" si="96"/>
        <v>0</v>
      </c>
      <c r="R270" s="43">
        <f t="shared" si="96"/>
        <v>0</v>
      </c>
      <c r="S270" s="43">
        <f t="shared" si="96"/>
        <v>0</v>
      </c>
      <c r="T270" s="43">
        <f t="shared" si="96"/>
        <v>0</v>
      </c>
      <c r="U270" s="43">
        <f t="shared" si="96"/>
        <v>0</v>
      </c>
      <c r="V270" s="43">
        <f t="shared" si="96"/>
        <v>0</v>
      </c>
      <c r="W270" s="43">
        <f t="shared" si="96"/>
        <v>0</v>
      </c>
      <c r="X270" s="43">
        <f t="shared" si="96"/>
        <v>0</v>
      </c>
      <c r="Y270" s="43">
        <f t="shared" si="96"/>
        <v>0</v>
      </c>
      <c r="Z270" s="43">
        <f t="shared" si="96"/>
        <v>0</v>
      </c>
      <c r="AA270" s="43">
        <f t="shared" si="96"/>
        <v>0</v>
      </c>
      <c r="AB270" s="43">
        <f t="shared" si="96"/>
        <v>0</v>
      </c>
      <c r="AC270" s="43">
        <f t="shared" si="96"/>
        <v>0</v>
      </c>
      <c r="AD270" s="43">
        <f t="shared" si="96"/>
        <v>0</v>
      </c>
      <c r="AE270" s="43">
        <f t="shared" si="96"/>
        <v>0</v>
      </c>
      <c r="AF270" s="43">
        <f t="shared" si="96"/>
        <v>0</v>
      </c>
      <c r="AG270" s="43">
        <f t="shared" si="96"/>
        <v>0</v>
      </c>
      <c r="AH270" s="43">
        <f t="shared" si="96"/>
        <v>0</v>
      </c>
      <c r="AI270" s="43">
        <f t="shared" si="96"/>
        <v>0</v>
      </c>
      <c r="AJ270" s="43">
        <f t="shared" si="96"/>
        <v>0</v>
      </c>
      <c r="AK270" s="43">
        <f t="shared" si="96"/>
        <v>0</v>
      </c>
      <c r="AL270" s="43">
        <f t="shared" si="96"/>
        <v>0</v>
      </c>
      <c r="AM270" s="43">
        <f t="shared" si="96"/>
        <v>0</v>
      </c>
      <c r="AN270" s="43">
        <f t="shared" si="96"/>
        <v>0</v>
      </c>
      <c r="AO270" s="43">
        <f t="shared" si="96"/>
        <v>0</v>
      </c>
      <c r="AP270" s="43">
        <f t="shared" si="96"/>
        <v>0</v>
      </c>
      <c r="AQ270" s="43"/>
    </row>
    <row r="271" spans="1:43">
      <c r="A271" s="40" t="s">
        <v>29</v>
      </c>
      <c r="B271" s="42">
        <f>SUM(B259:B270)</f>
        <v>0</v>
      </c>
      <c r="C271" s="42">
        <f t="shared" ref="C271:AP271" si="97">SUM(C259:C270)</f>
        <v>0</v>
      </c>
      <c r="D271" s="42">
        <f t="shared" si="97"/>
        <v>0</v>
      </c>
      <c r="E271" s="42">
        <f t="shared" si="97"/>
        <v>36724418</v>
      </c>
      <c r="F271" s="42">
        <f t="shared" si="97"/>
        <v>9541081</v>
      </c>
      <c r="G271" s="42">
        <f t="shared" si="97"/>
        <v>0</v>
      </c>
      <c r="H271" s="42">
        <f t="shared" si="97"/>
        <v>0</v>
      </c>
      <c r="I271" s="42">
        <f t="shared" si="97"/>
        <v>1287334</v>
      </c>
      <c r="J271" s="42">
        <f t="shared" si="97"/>
        <v>0</v>
      </c>
      <c r="K271" s="42">
        <f t="shared" si="97"/>
        <v>0</v>
      </c>
      <c r="L271" s="42">
        <f t="shared" si="97"/>
        <v>0</v>
      </c>
      <c r="M271" s="42">
        <f t="shared" si="97"/>
        <v>4861840</v>
      </c>
      <c r="N271" s="42">
        <f t="shared" si="97"/>
        <v>0</v>
      </c>
      <c r="O271" s="42">
        <f t="shared" si="97"/>
        <v>0</v>
      </c>
      <c r="P271" s="42">
        <f t="shared" si="97"/>
        <v>191210427</v>
      </c>
      <c r="Q271" s="43">
        <f t="shared" si="97"/>
        <v>21551583</v>
      </c>
      <c r="R271" s="43">
        <f t="shared" si="97"/>
        <v>0</v>
      </c>
      <c r="S271" s="43">
        <f t="shared" si="97"/>
        <v>0</v>
      </c>
      <c r="T271" s="43">
        <f t="shared" si="97"/>
        <v>0</v>
      </c>
      <c r="U271" s="43">
        <f t="shared" si="97"/>
        <v>0</v>
      </c>
      <c r="V271" s="43">
        <f t="shared" si="97"/>
        <v>0</v>
      </c>
      <c r="W271" s="43">
        <f t="shared" si="97"/>
        <v>0</v>
      </c>
      <c r="X271" s="43">
        <f t="shared" si="97"/>
        <v>0</v>
      </c>
      <c r="Y271" s="43">
        <f t="shared" si="97"/>
        <v>0</v>
      </c>
      <c r="Z271" s="43">
        <f t="shared" si="97"/>
        <v>0</v>
      </c>
      <c r="AA271" s="43">
        <f t="shared" si="97"/>
        <v>0</v>
      </c>
      <c r="AB271" s="43">
        <f t="shared" si="97"/>
        <v>0</v>
      </c>
      <c r="AC271" s="43">
        <f t="shared" si="97"/>
        <v>0</v>
      </c>
      <c r="AD271" s="43">
        <f t="shared" si="97"/>
        <v>0</v>
      </c>
      <c r="AE271" s="43">
        <f t="shared" si="97"/>
        <v>0</v>
      </c>
      <c r="AF271" s="43">
        <f t="shared" si="97"/>
        <v>0</v>
      </c>
      <c r="AG271" s="43">
        <f t="shared" si="97"/>
        <v>0</v>
      </c>
      <c r="AH271" s="43">
        <f t="shared" si="97"/>
        <v>0</v>
      </c>
      <c r="AI271" s="43">
        <f t="shared" si="97"/>
        <v>0</v>
      </c>
      <c r="AJ271" s="43">
        <f t="shared" si="97"/>
        <v>0</v>
      </c>
      <c r="AK271" s="43">
        <f t="shared" si="97"/>
        <v>0</v>
      </c>
      <c r="AL271" s="43">
        <f t="shared" si="97"/>
        <v>0</v>
      </c>
      <c r="AM271" s="43">
        <f t="shared" si="97"/>
        <v>0</v>
      </c>
      <c r="AN271" s="43">
        <f t="shared" si="97"/>
        <v>0</v>
      </c>
      <c r="AO271" s="43">
        <f t="shared" si="97"/>
        <v>0</v>
      </c>
      <c r="AP271" s="43">
        <f t="shared" si="97"/>
        <v>0</v>
      </c>
      <c r="AQ271" s="43"/>
    </row>
    <row r="273" spans="1:43" ht="12" thickBot="1">
      <c r="A273" s="245" t="s">
        <v>392</v>
      </c>
    </row>
    <row r="274" spans="1:43" ht="12" thickBot="1">
      <c r="A274" s="270"/>
      <c r="B274" s="263">
        <v>2010</v>
      </c>
      <c r="C274" s="263">
        <v>2011</v>
      </c>
      <c r="D274" s="263">
        <v>2012</v>
      </c>
      <c r="E274" s="263">
        <v>2013</v>
      </c>
      <c r="F274" s="263">
        <v>2014</v>
      </c>
      <c r="G274" s="263">
        <v>2015</v>
      </c>
      <c r="H274" s="263">
        <v>2016</v>
      </c>
      <c r="I274" s="263">
        <v>2017</v>
      </c>
      <c r="J274" s="263">
        <v>2018</v>
      </c>
      <c r="K274" s="263">
        <v>2019</v>
      </c>
      <c r="L274" s="263">
        <v>2020</v>
      </c>
      <c r="M274" s="263">
        <v>2021</v>
      </c>
      <c r="N274" s="263">
        <v>2022</v>
      </c>
      <c r="O274" s="263">
        <v>2023</v>
      </c>
      <c r="P274" s="263">
        <v>2024</v>
      </c>
      <c r="Q274" s="263">
        <v>2025</v>
      </c>
      <c r="R274" s="263">
        <v>2026</v>
      </c>
      <c r="S274" s="263">
        <v>2027</v>
      </c>
      <c r="T274" s="263">
        <v>2028</v>
      </c>
      <c r="U274" s="263">
        <v>2029</v>
      </c>
      <c r="V274" s="263">
        <v>2030</v>
      </c>
      <c r="W274" s="263">
        <v>2031</v>
      </c>
      <c r="X274" s="263">
        <v>2032</v>
      </c>
      <c r="Y274" s="263">
        <v>2033</v>
      </c>
      <c r="Z274" s="263">
        <v>2034</v>
      </c>
      <c r="AA274" s="263">
        <v>2035</v>
      </c>
      <c r="AB274" s="263">
        <v>2036</v>
      </c>
      <c r="AC274" s="263">
        <v>2037</v>
      </c>
      <c r="AD274" s="263">
        <v>2038</v>
      </c>
      <c r="AE274" s="263">
        <v>2039</v>
      </c>
      <c r="AF274" s="263">
        <v>2040</v>
      </c>
      <c r="AG274" s="263">
        <v>2041</v>
      </c>
      <c r="AH274" s="263">
        <v>2042</v>
      </c>
      <c r="AI274" s="263">
        <v>2043</v>
      </c>
      <c r="AJ274" s="263">
        <v>2044</v>
      </c>
      <c r="AK274" s="263">
        <v>2045</v>
      </c>
      <c r="AL274" s="263">
        <v>2046</v>
      </c>
      <c r="AM274" s="263">
        <v>2047</v>
      </c>
      <c r="AN274" s="263">
        <v>2048</v>
      </c>
      <c r="AO274" s="263">
        <v>2049</v>
      </c>
      <c r="AP274" s="263">
        <v>2050</v>
      </c>
      <c r="AQ274" s="245"/>
    </row>
    <row r="275" spans="1:43">
      <c r="A275" s="40" t="s">
        <v>43</v>
      </c>
      <c r="B275" s="42">
        <f>'Monthly D4 RIN Data'!$AA4</f>
        <v>0</v>
      </c>
      <c r="C275" s="42">
        <f>'Monthly D4 RIN Data'!$AA16</f>
        <v>0</v>
      </c>
      <c r="D275" s="42">
        <f>'Monthly D4 RIN Data'!$AA28</f>
        <v>0</v>
      </c>
      <c r="E275" s="42">
        <f>'Monthly D4 RIN Data'!$AA40</f>
        <v>0</v>
      </c>
      <c r="F275" s="42">
        <f>'Monthly D4 RIN Data'!$AA52</f>
        <v>0</v>
      </c>
      <c r="G275" s="42">
        <f>'Monthly D4 RIN Data'!$AA64</f>
        <v>0</v>
      </c>
      <c r="H275" s="42">
        <f>'Monthly D4 RIN Data'!$AA76</f>
        <v>0</v>
      </c>
      <c r="I275" s="42">
        <f>'Monthly D4 RIN Data'!$AA88</f>
        <v>0</v>
      </c>
      <c r="J275" s="42">
        <f>'Monthly D4 RIN Data'!$AA100</f>
        <v>0</v>
      </c>
      <c r="K275" s="42">
        <f>'Monthly D4 RIN Data'!$AA112</f>
        <v>0</v>
      </c>
      <c r="L275" s="42">
        <f>'Monthly D4 RIN Data'!$AA124</f>
        <v>0</v>
      </c>
      <c r="M275" s="42">
        <f>'Monthly D4 RIN Data'!$AA136</f>
        <v>0</v>
      </c>
      <c r="N275" s="42">
        <f>'Monthly D4 RIN Data'!$AA148</f>
        <v>0</v>
      </c>
      <c r="O275" s="42">
        <f>'Monthly D4 RIN Data'!$AA160</f>
        <v>0</v>
      </c>
      <c r="P275" s="42">
        <f>'Monthly D4 RIN Data'!$AA172</f>
        <v>0</v>
      </c>
      <c r="Q275" s="42">
        <f>'Monthly D4 RIN Data'!$AA184</f>
        <v>0</v>
      </c>
      <c r="R275" s="43">
        <f>'D4 Gallon Forecast'!R277</f>
        <v>0</v>
      </c>
      <c r="S275" s="43">
        <f>'D4 Gallon Forecast'!S277</f>
        <v>0</v>
      </c>
      <c r="T275" s="43">
        <f>'D4 Gallon Forecast'!T277</f>
        <v>0</v>
      </c>
      <c r="U275" s="43">
        <f>'D4 Gallon Forecast'!U277</f>
        <v>0</v>
      </c>
      <c r="V275" s="43">
        <f>'D4 Gallon Forecast'!V277</f>
        <v>0</v>
      </c>
      <c r="W275" s="43">
        <f>'D4 Gallon Forecast'!W277</f>
        <v>0</v>
      </c>
      <c r="X275" s="43">
        <f>'D4 Gallon Forecast'!X277</f>
        <v>0</v>
      </c>
      <c r="Y275" s="43">
        <f>'D4 Gallon Forecast'!Y277</f>
        <v>0</v>
      </c>
      <c r="Z275" s="43">
        <f>'D4 Gallon Forecast'!Z277</f>
        <v>0</v>
      </c>
      <c r="AA275" s="43">
        <f>'D4 Gallon Forecast'!AA277</f>
        <v>0</v>
      </c>
      <c r="AB275" s="43">
        <f>'D4 Gallon Forecast'!AB277</f>
        <v>0</v>
      </c>
      <c r="AC275" s="43">
        <f>'D4 Gallon Forecast'!AC277</f>
        <v>0</v>
      </c>
      <c r="AD275" s="43">
        <f>'D4 Gallon Forecast'!AD277</f>
        <v>0</v>
      </c>
      <c r="AE275" s="43">
        <f>'D4 Gallon Forecast'!AE277</f>
        <v>0</v>
      </c>
      <c r="AF275" s="43">
        <f>'D4 Gallon Forecast'!AF277</f>
        <v>0</v>
      </c>
      <c r="AG275" s="43">
        <f>'D4 Gallon Forecast'!AG277</f>
        <v>0</v>
      </c>
      <c r="AH275" s="43">
        <f>'D4 Gallon Forecast'!AH277</f>
        <v>0</v>
      </c>
      <c r="AI275" s="43">
        <f>'D4 Gallon Forecast'!AI277</f>
        <v>0</v>
      </c>
      <c r="AJ275" s="43">
        <f>'D4 Gallon Forecast'!AJ277</f>
        <v>0</v>
      </c>
      <c r="AK275" s="43">
        <f>'D4 Gallon Forecast'!AK277</f>
        <v>0</v>
      </c>
      <c r="AL275" s="43">
        <f>'D4 Gallon Forecast'!AL277</f>
        <v>0</v>
      </c>
      <c r="AM275" s="43">
        <f>'D4 Gallon Forecast'!AM277</f>
        <v>0</v>
      </c>
      <c r="AN275" s="43">
        <f>'D4 Gallon Forecast'!AN277</f>
        <v>0</v>
      </c>
      <c r="AO275" s="43">
        <f>'D4 Gallon Forecast'!AO277</f>
        <v>0</v>
      </c>
      <c r="AP275" s="43">
        <f>'D4 Gallon Forecast'!AP277</f>
        <v>0</v>
      </c>
      <c r="AQ275" s="43"/>
    </row>
    <row r="276" spans="1:43">
      <c r="A276" s="40" t="s">
        <v>44</v>
      </c>
      <c r="B276" s="42">
        <f>'Monthly D4 RIN Data'!$AA5</f>
        <v>0</v>
      </c>
      <c r="C276" s="42">
        <f>'Monthly D4 RIN Data'!$AA17</f>
        <v>0</v>
      </c>
      <c r="D276" s="42">
        <f>'Monthly D4 RIN Data'!$AA29</f>
        <v>0</v>
      </c>
      <c r="E276" s="42">
        <f>'Monthly D4 RIN Data'!$AA41</f>
        <v>0</v>
      </c>
      <c r="F276" s="42">
        <f>'Monthly D4 RIN Data'!$AA53</f>
        <v>0</v>
      </c>
      <c r="G276" s="42">
        <f>'Monthly D4 RIN Data'!$AA65</f>
        <v>0</v>
      </c>
      <c r="H276" s="42">
        <f>'Monthly D4 RIN Data'!$AA77</f>
        <v>0</v>
      </c>
      <c r="I276" s="42">
        <f>'Monthly D4 RIN Data'!$AA89</f>
        <v>0</v>
      </c>
      <c r="J276" s="42">
        <f>'Monthly D4 RIN Data'!$AA101</f>
        <v>0</v>
      </c>
      <c r="K276" s="42">
        <f>'Monthly D4 RIN Data'!$AA113</f>
        <v>0</v>
      </c>
      <c r="L276" s="42">
        <f>'Monthly D4 RIN Data'!$AA125</f>
        <v>0</v>
      </c>
      <c r="M276" s="42">
        <f>'Monthly D4 RIN Data'!$AA137</f>
        <v>0</v>
      </c>
      <c r="N276" s="42">
        <f>'Monthly D4 RIN Data'!$AA149</f>
        <v>0</v>
      </c>
      <c r="O276" s="42">
        <f>'Monthly D4 RIN Data'!$AA161</f>
        <v>0</v>
      </c>
      <c r="P276" s="42">
        <f>'Monthly D4 RIN Data'!$AA173</f>
        <v>0</v>
      </c>
      <c r="Q276" s="42">
        <f>'Monthly D4 RIN Data'!$AA185</f>
        <v>0</v>
      </c>
      <c r="R276" s="43">
        <f>'D4 Gallon Forecast'!R278</f>
        <v>0</v>
      </c>
      <c r="S276" s="43">
        <f>'D4 Gallon Forecast'!S278</f>
        <v>0</v>
      </c>
      <c r="T276" s="43">
        <f>'D4 Gallon Forecast'!T278</f>
        <v>0</v>
      </c>
      <c r="U276" s="43">
        <f>'D4 Gallon Forecast'!U278</f>
        <v>0</v>
      </c>
      <c r="V276" s="43">
        <f>'D4 Gallon Forecast'!V278</f>
        <v>0</v>
      </c>
      <c r="W276" s="43">
        <f>'D4 Gallon Forecast'!W278</f>
        <v>0</v>
      </c>
      <c r="X276" s="43">
        <f>'D4 Gallon Forecast'!X278</f>
        <v>0</v>
      </c>
      <c r="Y276" s="43">
        <f>'D4 Gallon Forecast'!Y278</f>
        <v>0</v>
      </c>
      <c r="Z276" s="43">
        <f>'D4 Gallon Forecast'!Z278</f>
        <v>0</v>
      </c>
      <c r="AA276" s="43">
        <f>'D4 Gallon Forecast'!AA278</f>
        <v>0</v>
      </c>
      <c r="AB276" s="43">
        <f>'D4 Gallon Forecast'!AB278</f>
        <v>0</v>
      </c>
      <c r="AC276" s="43">
        <f>'D4 Gallon Forecast'!AC278</f>
        <v>0</v>
      </c>
      <c r="AD276" s="43">
        <f>'D4 Gallon Forecast'!AD278</f>
        <v>0</v>
      </c>
      <c r="AE276" s="43">
        <f>'D4 Gallon Forecast'!AE278</f>
        <v>0</v>
      </c>
      <c r="AF276" s="43">
        <f>'D4 Gallon Forecast'!AF278</f>
        <v>0</v>
      </c>
      <c r="AG276" s="43">
        <f>'D4 Gallon Forecast'!AG278</f>
        <v>0</v>
      </c>
      <c r="AH276" s="43">
        <f>'D4 Gallon Forecast'!AH278</f>
        <v>0</v>
      </c>
      <c r="AI276" s="43">
        <f>'D4 Gallon Forecast'!AI278</f>
        <v>0</v>
      </c>
      <c r="AJ276" s="43">
        <f>'D4 Gallon Forecast'!AJ278</f>
        <v>0</v>
      </c>
      <c r="AK276" s="43">
        <f>'D4 Gallon Forecast'!AK278</f>
        <v>0</v>
      </c>
      <c r="AL276" s="43">
        <f>'D4 Gallon Forecast'!AL278</f>
        <v>0</v>
      </c>
      <c r="AM276" s="43">
        <f>'D4 Gallon Forecast'!AM278</f>
        <v>0</v>
      </c>
      <c r="AN276" s="43">
        <f>'D4 Gallon Forecast'!AN278</f>
        <v>0</v>
      </c>
      <c r="AO276" s="43">
        <f>'D4 Gallon Forecast'!AO278</f>
        <v>0</v>
      </c>
      <c r="AP276" s="43">
        <f>'D4 Gallon Forecast'!AP278</f>
        <v>0</v>
      </c>
      <c r="AQ276" s="43"/>
    </row>
    <row r="277" spans="1:43">
      <c r="A277" s="40" t="s">
        <v>45</v>
      </c>
      <c r="B277" s="42">
        <f>'Monthly D4 RIN Data'!$AA6</f>
        <v>0</v>
      </c>
      <c r="C277" s="42">
        <f>'Monthly D4 RIN Data'!$AA18</f>
        <v>0</v>
      </c>
      <c r="D277" s="42">
        <f>'Monthly D4 RIN Data'!$AA30</f>
        <v>0</v>
      </c>
      <c r="E277" s="42">
        <f>'Monthly D4 RIN Data'!$AA42</f>
        <v>0</v>
      </c>
      <c r="F277" s="42">
        <f>'Monthly D4 RIN Data'!$AA54</f>
        <v>0</v>
      </c>
      <c r="G277" s="42">
        <f>'Monthly D4 RIN Data'!$AA66</f>
        <v>0</v>
      </c>
      <c r="H277" s="42">
        <f>'Monthly D4 RIN Data'!$AA78</f>
        <v>0</v>
      </c>
      <c r="I277" s="42">
        <f>'Monthly D4 RIN Data'!$AA90</f>
        <v>0</v>
      </c>
      <c r="J277" s="42">
        <f>'Monthly D4 RIN Data'!$AA102</f>
        <v>0</v>
      </c>
      <c r="K277" s="42">
        <f>'Monthly D4 RIN Data'!$AA114</f>
        <v>0</v>
      </c>
      <c r="L277" s="42">
        <f>'Monthly D4 RIN Data'!$AA126</f>
        <v>0</v>
      </c>
      <c r="M277" s="42">
        <f>'Monthly D4 RIN Data'!$AA138</f>
        <v>0</v>
      </c>
      <c r="N277" s="42">
        <f>'Monthly D4 RIN Data'!$AA150</f>
        <v>0</v>
      </c>
      <c r="O277" s="42">
        <f>'Monthly D4 RIN Data'!$AA162</f>
        <v>0</v>
      </c>
      <c r="P277" s="42">
        <f>'Monthly D4 RIN Data'!$AA174</f>
        <v>0</v>
      </c>
      <c r="Q277" s="42">
        <f>'Monthly D4 RIN Data'!$AA186</f>
        <v>0</v>
      </c>
      <c r="R277" s="43">
        <f>'D4 Gallon Forecast'!R279</f>
        <v>0</v>
      </c>
      <c r="S277" s="43">
        <f>'D4 Gallon Forecast'!S279</f>
        <v>0</v>
      </c>
      <c r="T277" s="43">
        <f>'D4 Gallon Forecast'!T279</f>
        <v>0</v>
      </c>
      <c r="U277" s="43">
        <f>'D4 Gallon Forecast'!U279</f>
        <v>0</v>
      </c>
      <c r="V277" s="43">
        <f>'D4 Gallon Forecast'!V279</f>
        <v>0</v>
      </c>
      <c r="W277" s="43">
        <f>'D4 Gallon Forecast'!W279</f>
        <v>0</v>
      </c>
      <c r="X277" s="43">
        <f>'D4 Gallon Forecast'!X279</f>
        <v>0</v>
      </c>
      <c r="Y277" s="43">
        <f>'D4 Gallon Forecast'!Y279</f>
        <v>0</v>
      </c>
      <c r="Z277" s="43">
        <f>'D4 Gallon Forecast'!Z279</f>
        <v>0</v>
      </c>
      <c r="AA277" s="43">
        <f>'D4 Gallon Forecast'!AA279</f>
        <v>0</v>
      </c>
      <c r="AB277" s="43">
        <f>'D4 Gallon Forecast'!AB279</f>
        <v>0</v>
      </c>
      <c r="AC277" s="43">
        <f>'D4 Gallon Forecast'!AC279</f>
        <v>0</v>
      </c>
      <c r="AD277" s="43">
        <f>'D4 Gallon Forecast'!AD279</f>
        <v>0</v>
      </c>
      <c r="AE277" s="43">
        <f>'D4 Gallon Forecast'!AE279</f>
        <v>0</v>
      </c>
      <c r="AF277" s="43">
        <f>'D4 Gallon Forecast'!AF279</f>
        <v>0</v>
      </c>
      <c r="AG277" s="43">
        <f>'D4 Gallon Forecast'!AG279</f>
        <v>0</v>
      </c>
      <c r="AH277" s="43">
        <f>'D4 Gallon Forecast'!AH279</f>
        <v>0</v>
      </c>
      <c r="AI277" s="43">
        <f>'D4 Gallon Forecast'!AI279</f>
        <v>0</v>
      </c>
      <c r="AJ277" s="43">
        <f>'D4 Gallon Forecast'!AJ279</f>
        <v>0</v>
      </c>
      <c r="AK277" s="43">
        <f>'D4 Gallon Forecast'!AK279</f>
        <v>0</v>
      </c>
      <c r="AL277" s="43">
        <f>'D4 Gallon Forecast'!AL279</f>
        <v>0</v>
      </c>
      <c r="AM277" s="43">
        <f>'D4 Gallon Forecast'!AM279</f>
        <v>0</v>
      </c>
      <c r="AN277" s="43">
        <f>'D4 Gallon Forecast'!AN279</f>
        <v>0</v>
      </c>
      <c r="AO277" s="43">
        <f>'D4 Gallon Forecast'!AO279</f>
        <v>0</v>
      </c>
      <c r="AP277" s="43">
        <f>'D4 Gallon Forecast'!AP279</f>
        <v>0</v>
      </c>
      <c r="AQ277" s="43"/>
    </row>
    <row r="278" spans="1:43">
      <c r="A278" s="40" t="s">
        <v>46</v>
      </c>
      <c r="B278" s="42">
        <f>'Monthly D4 RIN Data'!$AA7</f>
        <v>0</v>
      </c>
      <c r="C278" s="42">
        <f>'Monthly D4 RIN Data'!$AA19</f>
        <v>0</v>
      </c>
      <c r="D278" s="42">
        <f>'Monthly D4 RIN Data'!$AA31</f>
        <v>0</v>
      </c>
      <c r="E278" s="42">
        <f>'Monthly D4 RIN Data'!$AA43</f>
        <v>0</v>
      </c>
      <c r="F278" s="42">
        <f>'Monthly D4 RIN Data'!$AA55</f>
        <v>0</v>
      </c>
      <c r="G278" s="42">
        <f>'Monthly D4 RIN Data'!$AA67</f>
        <v>0</v>
      </c>
      <c r="H278" s="42">
        <f>'Monthly D4 RIN Data'!$AA79</f>
        <v>0</v>
      </c>
      <c r="I278" s="42">
        <f>'Monthly D4 RIN Data'!$AA91</f>
        <v>0</v>
      </c>
      <c r="J278" s="42">
        <f>'Monthly D4 RIN Data'!$AA103</f>
        <v>0</v>
      </c>
      <c r="K278" s="42">
        <f>'Monthly D4 RIN Data'!$AA115</f>
        <v>0</v>
      </c>
      <c r="L278" s="42">
        <f>'Monthly D4 RIN Data'!$AA127</f>
        <v>0</v>
      </c>
      <c r="M278" s="42">
        <f>'Monthly D4 RIN Data'!$AA139</f>
        <v>0</v>
      </c>
      <c r="N278" s="42">
        <f>'Monthly D4 RIN Data'!$AA151</f>
        <v>0</v>
      </c>
      <c r="O278" s="42">
        <f>'Monthly D4 RIN Data'!$AA163</f>
        <v>0</v>
      </c>
      <c r="P278" s="42">
        <f>'Monthly D4 RIN Data'!$AA175</f>
        <v>0</v>
      </c>
      <c r="Q278" s="43">
        <f>'D4 Gallon Forecast'!Q280</f>
        <v>0</v>
      </c>
      <c r="R278" s="43">
        <f>'D4 Gallon Forecast'!R280</f>
        <v>0</v>
      </c>
      <c r="S278" s="43">
        <f>'D4 Gallon Forecast'!S280</f>
        <v>0</v>
      </c>
      <c r="T278" s="43">
        <f>'D4 Gallon Forecast'!T280</f>
        <v>0</v>
      </c>
      <c r="U278" s="43">
        <f>'D4 Gallon Forecast'!U280</f>
        <v>0</v>
      </c>
      <c r="V278" s="43">
        <f>'D4 Gallon Forecast'!V280</f>
        <v>0</v>
      </c>
      <c r="W278" s="43">
        <f>'D4 Gallon Forecast'!W280</f>
        <v>0</v>
      </c>
      <c r="X278" s="43">
        <f>'D4 Gallon Forecast'!X280</f>
        <v>0</v>
      </c>
      <c r="Y278" s="43">
        <f>'D4 Gallon Forecast'!Y280</f>
        <v>0</v>
      </c>
      <c r="Z278" s="43">
        <f>'D4 Gallon Forecast'!Z280</f>
        <v>0</v>
      </c>
      <c r="AA278" s="43">
        <f>'D4 Gallon Forecast'!AA280</f>
        <v>0</v>
      </c>
      <c r="AB278" s="43">
        <f>'D4 Gallon Forecast'!AB280</f>
        <v>0</v>
      </c>
      <c r="AC278" s="43">
        <f>'D4 Gallon Forecast'!AC280</f>
        <v>0</v>
      </c>
      <c r="AD278" s="43">
        <f>'D4 Gallon Forecast'!AD280</f>
        <v>0</v>
      </c>
      <c r="AE278" s="43">
        <f>'D4 Gallon Forecast'!AE280</f>
        <v>0</v>
      </c>
      <c r="AF278" s="43">
        <f>'D4 Gallon Forecast'!AF280</f>
        <v>0</v>
      </c>
      <c r="AG278" s="43">
        <f>'D4 Gallon Forecast'!AG280</f>
        <v>0</v>
      </c>
      <c r="AH278" s="43">
        <f>'D4 Gallon Forecast'!AH280</f>
        <v>0</v>
      </c>
      <c r="AI278" s="43">
        <f>'D4 Gallon Forecast'!AI280</f>
        <v>0</v>
      </c>
      <c r="AJ278" s="43">
        <f>'D4 Gallon Forecast'!AJ280</f>
        <v>0</v>
      </c>
      <c r="AK278" s="43">
        <f>'D4 Gallon Forecast'!AK280</f>
        <v>0</v>
      </c>
      <c r="AL278" s="43">
        <f>'D4 Gallon Forecast'!AL280</f>
        <v>0</v>
      </c>
      <c r="AM278" s="43">
        <f>'D4 Gallon Forecast'!AM280</f>
        <v>0</v>
      </c>
      <c r="AN278" s="43">
        <f>'D4 Gallon Forecast'!AN280</f>
        <v>0</v>
      </c>
      <c r="AO278" s="43">
        <f>'D4 Gallon Forecast'!AO280</f>
        <v>0</v>
      </c>
      <c r="AP278" s="43">
        <f>'D4 Gallon Forecast'!AP280</f>
        <v>0</v>
      </c>
      <c r="AQ278" s="43"/>
    </row>
    <row r="279" spans="1:43">
      <c r="A279" s="40" t="s">
        <v>47</v>
      </c>
      <c r="B279" s="42">
        <f>'Monthly D4 RIN Data'!$AA8</f>
        <v>0</v>
      </c>
      <c r="C279" s="42">
        <f>'Monthly D4 RIN Data'!$AA20</f>
        <v>0</v>
      </c>
      <c r="D279" s="42">
        <f>'Monthly D4 RIN Data'!$AA32</f>
        <v>0</v>
      </c>
      <c r="E279" s="42">
        <f>'Monthly D4 RIN Data'!$AA44</f>
        <v>0</v>
      </c>
      <c r="F279" s="42">
        <f>'Monthly D4 RIN Data'!$AA56</f>
        <v>0</v>
      </c>
      <c r="G279" s="42">
        <f>'Monthly D4 RIN Data'!$AA68</f>
        <v>0</v>
      </c>
      <c r="H279" s="42">
        <f>'Monthly D4 RIN Data'!$AA80</f>
        <v>0</v>
      </c>
      <c r="I279" s="42">
        <f>'Monthly D4 RIN Data'!$AA92</f>
        <v>0</v>
      </c>
      <c r="J279" s="42">
        <f>'Monthly D4 RIN Data'!$AA104</f>
        <v>0</v>
      </c>
      <c r="K279" s="42">
        <f>'Monthly D4 RIN Data'!$AA116</f>
        <v>0</v>
      </c>
      <c r="L279" s="42">
        <f>'Monthly D4 RIN Data'!$AA128</f>
        <v>0</v>
      </c>
      <c r="M279" s="42">
        <f>'Monthly D4 RIN Data'!$AA140</f>
        <v>0</v>
      </c>
      <c r="N279" s="42">
        <f>'Monthly D4 RIN Data'!$AA152</f>
        <v>0</v>
      </c>
      <c r="O279" s="42">
        <f>'Monthly D4 RIN Data'!$AA164</f>
        <v>0</v>
      </c>
      <c r="P279" s="42">
        <f>'Monthly D4 RIN Data'!$AA176</f>
        <v>0</v>
      </c>
      <c r="Q279" s="43">
        <f>'D4 Gallon Forecast'!Q281</f>
        <v>0</v>
      </c>
      <c r="R279" s="43">
        <f>'D4 Gallon Forecast'!R281</f>
        <v>0</v>
      </c>
      <c r="S279" s="43">
        <f>'D4 Gallon Forecast'!S281</f>
        <v>0</v>
      </c>
      <c r="T279" s="43">
        <f>'D4 Gallon Forecast'!T281</f>
        <v>0</v>
      </c>
      <c r="U279" s="43">
        <f>'D4 Gallon Forecast'!U281</f>
        <v>0</v>
      </c>
      <c r="V279" s="43">
        <f>'D4 Gallon Forecast'!V281</f>
        <v>0</v>
      </c>
      <c r="W279" s="43">
        <f>'D4 Gallon Forecast'!W281</f>
        <v>0</v>
      </c>
      <c r="X279" s="43">
        <f>'D4 Gallon Forecast'!X281</f>
        <v>0</v>
      </c>
      <c r="Y279" s="43">
        <f>'D4 Gallon Forecast'!Y281</f>
        <v>0</v>
      </c>
      <c r="Z279" s="43">
        <f>'D4 Gallon Forecast'!Z281</f>
        <v>0</v>
      </c>
      <c r="AA279" s="43">
        <f>'D4 Gallon Forecast'!AA281</f>
        <v>0</v>
      </c>
      <c r="AB279" s="43">
        <f>'D4 Gallon Forecast'!AB281</f>
        <v>0</v>
      </c>
      <c r="AC279" s="43">
        <f>'D4 Gallon Forecast'!AC281</f>
        <v>0</v>
      </c>
      <c r="AD279" s="43">
        <f>'D4 Gallon Forecast'!AD281</f>
        <v>0</v>
      </c>
      <c r="AE279" s="43">
        <f>'D4 Gallon Forecast'!AE281</f>
        <v>0</v>
      </c>
      <c r="AF279" s="43">
        <f>'D4 Gallon Forecast'!AF281</f>
        <v>0</v>
      </c>
      <c r="AG279" s="43">
        <f>'D4 Gallon Forecast'!AG281</f>
        <v>0</v>
      </c>
      <c r="AH279" s="43">
        <f>'D4 Gallon Forecast'!AH281</f>
        <v>0</v>
      </c>
      <c r="AI279" s="43">
        <f>'D4 Gallon Forecast'!AI281</f>
        <v>0</v>
      </c>
      <c r="AJ279" s="43">
        <f>'D4 Gallon Forecast'!AJ281</f>
        <v>0</v>
      </c>
      <c r="AK279" s="43">
        <f>'D4 Gallon Forecast'!AK281</f>
        <v>0</v>
      </c>
      <c r="AL279" s="43">
        <f>'D4 Gallon Forecast'!AL281</f>
        <v>0</v>
      </c>
      <c r="AM279" s="43">
        <f>'D4 Gallon Forecast'!AM281</f>
        <v>0</v>
      </c>
      <c r="AN279" s="43">
        <f>'D4 Gallon Forecast'!AN281</f>
        <v>0</v>
      </c>
      <c r="AO279" s="43">
        <f>'D4 Gallon Forecast'!AO281</f>
        <v>0</v>
      </c>
      <c r="AP279" s="43">
        <f>'D4 Gallon Forecast'!AP281</f>
        <v>0</v>
      </c>
      <c r="AQ279" s="43"/>
    </row>
    <row r="280" spans="1:43">
      <c r="A280" s="40" t="s">
        <v>48</v>
      </c>
      <c r="B280" s="42">
        <f>'Monthly D4 RIN Data'!$AA9</f>
        <v>0</v>
      </c>
      <c r="C280" s="42">
        <f>'Monthly D4 RIN Data'!$AA21</f>
        <v>0</v>
      </c>
      <c r="D280" s="42">
        <f>'Monthly D4 RIN Data'!$AA33</f>
        <v>0</v>
      </c>
      <c r="E280" s="42">
        <f>'Monthly D4 RIN Data'!$AA45</f>
        <v>0</v>
      </c>
      <c r="F280" s="42">
        <f>'Monthly D4 RIN Data'!$AA57</f>
        <v>0</v>
      </c>
      <c r="G280" s="42">
        <f>'Monthly D4 RIN Data'!$AA69</f>
        <v>0</v>
      </c>
      <c r="H280" s="42">
        <f>'Monthly D4 RIN Data'!$AA81</f>
        <v>0</v>
      </c>
      <c r="I280" s="42">
        <f>'Monthly D4 RIN Data'!$AA93</f>
        <v>0</v>
      </c>
      <c r="J280" s="42">
        <f>'Monthly D4 RIN Data'!$AA105</f>
        <v>0</v>
      </c>
      <c r="K280" s="42">
        <f>'Monthly D4 RIN Data'!$AA117</f>
        <v>0</v>
      </c>
      <c r="L280" s="42">
        <f>'Monthly D4 RIN Data'!$AA129</f>
        <v>0</v>
      </c>
      <c r="M280" s="42">
        <f>'Monthly D4 RIN Data'!$AA141</f>
        <v>0</v>
      </c>
      <c r="N280" s="42">
        <f>'Monthly D4 RIN Data'!$AA153</f>
        <v>0</v>
      </c>
      <c r="O280" s="42">
        <f>'Monthly D4 RIN Data'!$AA165</f>
        <v>0</v>
      </c>
      <c r="P280" s="42">
        <f>'Monthly D4 RIN Data'!$AA177</f>
        <v>0</v>
      </c>
      <c r="Q280" s="43">
        <f>'D4 Gallon Forecast'!Q282</f>
        <v>0</v>
      </c>
      <c r="R280" s="43">
        <f>'D4 Gallon Forecast'!R282</f>
        <v>0</v>
      </c>
      <c r="S280" s="43">
        <f>'D4 Gallon Forecast'!S282</f>
        <v>0</v>
      </c>
      <c r="T280" s="43">
        <f>'D4 Gallon Forecast'!T282</f>
        <v>0</v>
      </c>
      <c r="U280" s="43">
        <f>'D4 Gallon Forecast'!U282</f>
        <v>0</v>
      </c>
      <c r="V280" s="43">
        <f>'D4 Gallon Forecast'!V282</f>
        <v>0</v>
      </c>
      <c r="W280" s="43">
        <f>'D4 Gallon Forecast'!W282</f>
        <v>0</v>
      </c>
      <c r="X280" s="43">
        <f>'D4 Gallon Forecast'!X282</f>
        <v>0</v>
      </c>
      <c r="Y280" s="43">
        <f>'D4 Gallon Forecast'!Y282</f>
        <v>0</v>
      </c>
      <c r="Z280" s="43">
        <f>'D4 Gallon Forecast'!Z282</f>
        <v>0</v>
      </c>
      <c r="AA280" s="43">
        <f>'D4 Gallon Forecast'!AA282</f>
        <v>0</v>
      </c>
      <c r="AB280" s="43">
        <f>'D4 Gallon Forecast'!AB282</f>
        <v>0</v>
      </c>
      <c r="AC280" s="43">
        <f>'D4 Gallon Forecast'!AC282</f>
        <v>0</v>
      </c>
      <c r="AD280" s="43">
        <f>'D4 Gallon Forecast'!AD282</f>
        <v>0</v>
      </c>
      <c r="AE280" s="43">
        <f>'D4 Gallon Forecast'!AE282</f>
        <v>0</v>
      </c>
      <c r="AF280" s="43">
        <f>'D4 Gallon Forecast'!AF282</f>
        <v>0</v>
      </c>
      <c r="AG280" s="43">
        <f>'D4 Gallon Forecast'!AG282</f>
        <v>0</v>
      </c>
      <c r="AH280" s="43">
        <f>'D4 Gallon Forecast'!AH282</f>
        <v>0</v>
      </c>
      <c r="AI280" s="43">
        <f>'D4 Gallon Forecast'!AI282</f>
        <v>0</v>
      </c>
      <c r="AJ280" s="43">
        <f>'D4 Gallon Forecast'!AJ282</f>
        <v>0</v>
      </c>
      <c r="AK280" s="43">
        <f>'D4 Gallon Forecast'!AK282</f>
        <v>0</v>
      </c>
      <c r="AL280" s="43">
        <f>'D4 Gallon Forecast'!AL282</f>
        <v>0</v>
      </c>
      <c r="AM280" s="43">
        <f>'D4 Gallon Forecast'!AM282</f>
        <v>0</v>
      </c>
      <c r="AN280" s="43">
        <f>'D4 Gallon Forecast'!AN282</f>
        <v>0</v>
      </c>
      <c r="AO280" s="43">
        <f>'D4 Gallon Forecast'!AO282</f>
        <v>0</v>
      </c>
      <c r="AP280" s="43">
        <f>'D4 Gallon Forecast'!AP282</f>
        <v>0</v>
      </c>
      <c r="AQ280" s="43"/>
    </row>
    <row r="281" spans="1:43">
      <c r="A281" s="40" t="s">
        <v>49</v>
      </c>
      <c r="B281" s="42">
        <f>'Monthly D4 RIN Data'!$AA10</f>
        <v>0</v>
      </c>
      <c r="C281" s="42">
        <f>'Monthly D4 RIN Data'!$AA22</f>
        <v>0</v>
      </c>
      <c r="D281" s="42">
        <f>'Monthly D4 RIN Data'!$AA34</f>
        <v>0</v>
      </c>
      <c r="E281" s="42">
        <f>'Monthly D4 RIN Data'!$AA46</f>
        <v>0</v>
      </c>
      <c r="F281" s="42">
        <f>'Monthly D4 RIN Data'!$AA58</f>
        <v>0</v>
      </c>
      <c r="G281" s="42">
        <f>'Monthly D4 RIN Data'!$AA70</f>
        <v>0</v>
      </c>
      <c r="H281" s="42">
        <f>'Monthly D4 RIN Data'!$AA82</f>
        <v>0</v>
      </c>
      <c r="I281" s="42">
        <f>'Monthly D4 RIN Data'!$AA94</f>
        <v>0</v>
      </c>
      <c r="J281" s="42">
        <f>'Monthly D4 RIN Data'!$AA106</f>
        <v>0</v>
      </c>
      <c r="K281" s="42">
        <f>'Monthly D4 RIN Data'!$AA118</f>
        <v>0</v>
      </c>
      <c r="L281" s="42">
        <f>'Monthly D4 RIN Data'!$AA130</f>
        <v>0</v>
      </c>
      <c r="M281" s="42">
        <f>'Monthly D4 RIN Data'!$AA142</f>
        <v>0</v>
      </c>
      <c r="N281" s="42">
        <f>'Monthly D4 RIN Data'!$AA154</f>
        <v>0</v>
      </c>
      <c r="O281" s="42">
        <f>'Monthly D4 RIN Data'!$AA166</f>
        <v>0</v>
      </c>
      <c r="P281" s="42">
        <f>'Monthly D4 RIN Data'!$AA178</f>
        <v>0</v>
      </c>
      <c r="Q281" s="43">
        <f>'D4 Gallon Forecast'!Q283</f>
        <v>0</v>
      </c>
      <c r="R281" s="43">
        <f>'D4 Gallon Forecast'!R283</f>
        <v>0</v>
      </c>
      <c r="S281" s="43">
        <f>'D4 Gallon Forecast'!S283</f>
        <v>0</v>
      </c>
      <c r="T281" s="43">
        <f>'D4 Gallon Forecast'!T283</f>
        <v>0</v>
      </c>
      <c r="U281" s="43">
        <f>'D4 Gallon Forecast'!U283</f>
        <v>0</v>
      </c>
      <c r="V281" s="43">
        <f>'D4 Gallon Forecast'!V283</f>
        <v>0</v>
      </c>
      <c r="W281" s="43">
        <f>'D4 Gallon Forecast'!W283</f>
        <v>0</v>
      </c>
      <c r="X281" s="43">
        <f>'D4 Gallon Forecast'!X283</f>
        <v>0</v>
      </c>
      <c r="Y281" s="43">
        <f>'D4 Gallon Forecast'!Y283</f>
        <v>0</v>
      </c>
      <c r="Z281" s="43">
        <f>'D4 Gallon Forecast'!Z283</f>
        <v>0</v>
      </c>
      <c r="AA281" s="43">
        <f>'D4 Gallon Forecast'!AA283</f>
        <v>0</v>
      </c>
      <c r="AB281" s="43">
        <f>'D4 Gallon Forecast'!AB283</f>
        <v>0</v>
      </c>
      <c r="AC281" s="43">
        <f>'D4 Gallon Forecast'!AC283</f>
        <v>0</v>
      </c>
      <c r="AD281" s="43">
        <f>'D4 Gallon Forecast'!AD283</f>
        <v>0</v>
      </c>
      <c r="AE281" s="43">
        <f>'D4 Gallon Forecast'!AE283</f>
        <v>0</v>
      </c>
      <c r="AF281" s="43">
        <f>'D4 Gallon Forecast'!AF283</f>
        <v>0</v>
      </c>
      <c r="AG281" s="43">
        <f>'D4 Gallon Forecast'!AG283</f>
        <v>0</v>
      </c>
      <c r="AH281" s="43">
        <f>'D4 Gallon Forecast'!AH283</f>
        <v>0</v>
      </c>
      <c r="AI281" s="43">
        <f>'D4 Gallon Forecast'!AI283</f>
        <v>0</v>
      </c>
      <c r="AJ281" s="43">
        <f>'D4 Gallon Forecast'!AJ283</f>
        <v>0</v>
      </c>
      <c r="AK281" s="43">
        <f>'D4 Gallon Forecast'!AK283</f>
        <v>0</v>
      </c>
      <c r="AL281" s="43">
        <f>'D4 Gallon Forecast'!AL283</f>
        <v>0</v>
      </c>
      <c r="AM281" s="43">
        <f>'D4 Gallon Forecast'!AM283</f>
        <v>0</v>
      </c>
      <c r="AN281" s="43">
        <f>'D4 Gallon Forecast'!AN283</f>
        <v>0</v>
      </c>
      <c r="AO281" s="43">
        <f>'D4 Gallon Forecast'!AO283</f>
        <v>0</v>
      </c>
      <c r="AP281" s="43">
        <f>'D4 Gallon Forecast'!AP283</f>
        <v>0</v>
      </c>
      <c r="AQ281" s="43"/>
    </row>
    <row r="282" spans="1:43">
      <c r="A282" s="40" t="s">
        <v>50</v>
      </c>
      <c r="B282" s="42">
        <f>'Monthly D4 RIN Data'!$AA11</f>
        <v>0</v>
      </c>
      <c r="C282" s="42">
        <f>'Monthly D4 RIN Data'!$AA23</f>
        <v>0</v>
      </c>
      <c r="D282" s="42">
        <f>'Monthly D4 RIN Data'!$AA35</f>
        <v>0</v>
      </c>
      <c r="E282" s="42">
        <f>'Monthly D4 RIN Data'!$AA47</f>
        <v>0</v>
      </c>
      <c r="F282" s="42">
        <f>'Monthly D4 RIN Data'!$AA59</f>
        <v>0</v>
      </c>
      <c r="G282" s="42">
        <f>'Monthly D4 RIN Data'!$AA71</f>
        <v>0</v>
      </c>
      <c r="H282" s="42">
        <f>'Monthly D4 RIN Data'!$AA83</f>
        <v>0</v>
      </c>
      <c r="I282" s="42">
        <f>'Monthly D4 RIN Data'!$AA95</f>
        <v>0</v>
      </c>
      <c r="J282" s="42">
        <f>'Monthly D4 RIN Data'!$AA107</f>
        <v>0</v>
      </c>
      <c r="K282" s="42">
        <f>'Monthly D4 RIN Data'!$AA119</f>
        <v>0</v>
      </c>
      <c r="L282" s="42">
        <f>'Monthly D4 RIN Data'!$AA131</f>
        <v>0</v>
      </c>
      <c r="M282" s="42">
        <f>'Monthly D4 RIN Data'!$AA143</f>
        <v>0</v>
      </c>
      <c r="N282" s="42">
        <f>'Monthly D4 RIN Data'!$AA155</f>
        <v>0</v>
      </c>
      <c r="O282" s="42">
        <f>'Monthly D4 RIN Data'!$AA167</f>
        <v>0</v>
      </c>
      <c r="P282" s="42">
        <f>'Monthly D4 RIN Data'!$AA179</f>
        <v>0</v>
      </c>
      <c r="Q282" s="43">
        <f>'D4 Gallon Forecast'!Q284</f>
        <v>0</v>
      </c>
      <c r="R282" s="43">
        <f>'D4 Gallon Forecast'!R284</f>
        <v>0</v>
      </c>
      <c r="S282" s="43">
        <f>'D4 Gallon Forecast'!S284</f>
        <v>0</v>
      </c>
      <c r="T282" s="43">
        <f>'D4 Gallon Forecast'!T284</f>
        <v>0</v>
      </c>
      <c r="U282" s="43">
        <f>'D4 Gallon Forecast'!U284</f>
        <v>0</v>
      </c>
      <c r="V282" s="43">
        <f>'D4 Gallon Forecast'!V284</f>
        <v>0</v>
      </c>
      <c r="W282" s="43">
        <f>'D4 Gallon Forecast'!W284</f>
        <v>0</v>
      </c>
      <c r="X282" s="43">
        <f>'D4 Gallon Forecast'!X284</f>
        <v>0</v>
      </c>
      <c r="Y282" s="43">
        <f>'D4 Gallon Forecast'!Y284</f>
        <v>0</v>
      </c>
      <c r="Z282" s="43">
        <f>'D4 Gallon Forecast'!Z284</f>
        <v>0</v>
      </c>
      <c r="AA282" s="43">
        <f>'D4 Gallon Forecast'!AA284</f>
        <v>0</v>
      </c>
      <c r="AB282" s="43">
        <f>'D4 Gallon Forecast'!AB284</f>
        <v>0</v>
      </c>
      <c r="AC282" s="43">
        <f>'D4 Gallon Forecast'!AC284</f>
        <v>0</v>
      </c>
      <c r="AD282" s="43">
        <f>'D4 Gallon Forecast'!AD284</f>
        <v>0</v>
      </c>
      <c r="AE282" s="43">
        <f>'D4 Gallon Forecast'!AE284</f>
        <v>0</v>
      </c>
      <c r="AF282" s="43">
        <f>'D4 Gallon Forecast'!AF284</f>
        <v>0</v>
      </c>
      <c r="AG282" s="43">
        <f>'D4 Gallon Forecast'!AG284</f>
        <v>0</v>
      </c>
      <c r="AH282" s="43">
        <f>'D4 Gallon Forecast'!AH284</f>
        <v>0</v>
      </c>
      <c r="AI282" s="43">
        <f>'D4 Gallon Forecast'!AI284</f>
        <v>0</v>
      </c>
      <c r="AJ282" s="43">
        <f>'D4 Gallon Forecast'!AJ284</f>
        <v>0</v>
      </c>
      <c r="AK282" s="43">
        <f>'D4 Gallon Forecast'!AK284</f>
        <v>0</v>
      </c>
      <c r="AL282" s="43">
        <f>'D4 Gallon Forecast'!AL284</f>
        <v>0</v>
      </c>
      <c r="AM282" s="43">
        <f>'D4 Gallon Forecast'!AM284</f>
        <v>0</v>
      </c>
      <c r="AN282" s="43">
        <f>'D4 Gallon Forecast'!AN284</f>
        <v>0</v>
      </c>
      <c r="AO282" s="43">
        <f>'D4 Gallon Forecast'!AO284</f>
        <v>0</v>
      </c>
      <c r="AP282" s="43">
        <f>'D4 Gallon Forecast'!AP284</f>
        <v>0</v>
      </c>
      <c r="AQ282" s="43"/>
    </row>
    <row r="283" spans="1:43">
      <c r="A283" s="40" t="s">
        <v>51</v>
      </c>
      <c r="B283" s="42">
        <f>'Monthly D4 RIN Data'!$AA12</f>
        <v>0</v>
      </c>
      <c r="C283" s="42">
        <f>'Monthly D4 RIN Data'!$AA24</f>
        <v>0</v>
      </c>
      <c r="D283" s="42">
        <f>'Monthly D4 RIN Data'!$AA36</f>
        <v>0</v>
      </c>
      <c r="E283" s="42">
        <f>'Monthly D4 RIN Data'!$AA48</f>
        <v>0</v>
      </c>
      <c r="F283" s="42">
        <f>'Monthly D4 RIN Data'!$AA60</f>
        <v>0</v>
      </c>
      <c r="G283" s="42">
        <f>'Monthly D4 RIN Data'!$AA72</f>
        <v>0</v>
      </c>
      <c r="H283" s="42">
        <f>'Monthly D4 RIN Data'!$AA84</f>
        <v>0</v>
      </c>
      <c r="I283" s="42">
        <f>'Monthly D4 RIN Data'!$AA96</f>
        <v>0</v>
      </c>
      <c r="J283" s="42">
        <f>'Monthly D4 RIN Data'!$AA108</f>
        <v>0</v>
      </c>
      <c r="K283" s="42">
        <f>'Monthly D4 RIN Data'!$AA120</f>
        <v>0</v>
      </c>
      <c r="L283" s="42">
        <f>'Monthly D4 RIN Data'!$AA132</f>
        <v>0</v>
      </c>
      <c r="M283" s="42">
        <f>'Monthly D4 RIN Data'!$AA144</f>
        <v>0</v>
      </c>
      <c r="N283" s="42">
        <f>'Monthly D4 RIN Data'!$AA156</f>
        <v>0</v>
      </c>
      <c r="O283" s="42">
        <f>'Monthly D4 RIN Data'!$AA168</f>
        <v>0</v>
      </c>
      <c r="P283" s="42">
        <f>'Monthly D4 RIN Data'!$AA180</f>
        <v>0</v>
      </c>
      <c r="Q283" s="43">
        <f>'D4 Gallon Forecast'!Q285</f>
        <v>0</v>
      </c>
      <c r="R283" s="43">
        <f>'D4 Gallon Forecast'!R285</f>
        <v>0</v>
      </c>
      <c r="S283" s="43">
        <f>'D4 Gallon Forecast'!S285</f>
        <v>0</v>
      </c>
      <c r="T283" s="43">
        <f>'D4 Gallon Forecast'!T285</f>
        <v>0</v>
      </c>
      <c r="U283" s="43">
        <f>'D4 Gallon Forecast'!U285</f>
        <v>0</v>
      </c>
      <c r="V283" s="43">
        <f>'D4 Gallon Forecast'!V285</f>
        <v>0</v>
      </c>
      <c r="W283" s="43">
        <f>'D4 Gallon Forecast'!W285</f>
        <v>0</v>
      </c>
      <c r="X283" s="43">
        <f>'D4 Gallon Forecast'!X285</f>
        <v>0</v>
      </c>
      <c r="Y283" s="43">
        <f>'D4 Gallon Forecast'!Y285</f>
        <v>0</v>
      </c>
      <c r="Z283" s="43">
        <f>'D4 Gallon Forecast'!Z285</f>
        <v>0</v>
      </c>
      <c r="AA283" s="43">
        <f>'D4 Gallon Forecast'!AA285</f>
        <v>0</v>
      </c>
      <c r="AB283" s="43">
        <f>'D4 Gallon Forecast'!AB285</f>
        <v>0</v>
      </c>
      <c r="AC283" s="43">
        <f>'D4 Gallon Forecast'!AC285</f>
        <v>0</v>
      </c>
      <c r="AD283" s="43">
        <f>'D4 Gallon Forecast'!AD285</f>
        <v>0</v>
      </c>
      <c r="AE283" s="43">
        <f>'D4 Gallon Forecast'!AE285</f>
        <v>0</v>
      </c>
      <c r="AF283" s="43">
        <f>'D4 Gallon Forecast'!AF285</f>
        <v>0</v>
      </c>
      <c r="AG283" s="43">
        <f>'D4 Gallon Forecast'!AG285</f>
        <v>0</v>
      </c>
      <c r="AH283" s="43">
        <f>'D4 Gallon Forecast'!AH285</f>
        <v>0</v>
      </c>
      <c r="AI283" s="43">
        <f>'D4 Gallon Forecast'!AI285</f>
        <v>0</v>
      </c>
      <c r="AJ283" s="43">
        <f>'D4 Gallon Forecast'!AJ285</f>
        <v>0</v>
      </c>
      <c r="AK283" s="43">
        <f>'D4 Gallon Forecast'!AK285</f>
        <v>0</v>
      </c>
      <c r="AL283" s="43">
        <f>'D4 Gallon Forecast'!AL285</f>
        <v>0</v>
      </c>
      <c r="AM283" s="43">
        <f>'D4 Gallon Forecast'!AM285</f>
        <v>0</v>
      </c>
      <c r="AN283" s="43">
        <f>'D4 Gallon Forecast'!AN285</f>
        <v>0</v>
      </c>
      <c r="AO283" s="43">
        <f>'D4 Gallon Forecast'!AO285</f>
        <v>0</v>
      </c>
      <c r="AP283" s="43">
        <f>'D4 Gallon Forecast'!AP285</f>
        <v>0</v>
      </c>
      <c r="AQ283" s="43"/>
    </row>
    <row r="284" spans="1:43">
      <c r="A284" s="40" t="s">
        <v>52</v>
      </c>
      <c r="B284" s="42">
        <f>'Monthly D4 RIN Data'!$AA13</f>
        <v>0</v>
      </c>
      <c r="C284" s="42">
        <f>'Monthly D4 RIN Data'!$AA25</f>
        <v>0</v>
      </c>
      <c r="D284" s="42">
        <f>'Monthly D4 RIN Data'!$AA37</f>
        <v>0</v>
      </c>
      <c r="E284" s="42">
        <f>'Monthly D4 RIN Data'!$AA49</f>
        <v>0</v>
      </c>
      <c r="F284" s="42">
        <f>'Monthly D4 RIN Data'!$AA61</f>
        <v>0</v>
      </c>
      <c r="G284" s="42">
        <f>'Monthly D4 RIN Data'!$AA73</f>
        <v>0</v>
      </c>
      <c r="H284" s="42">
        <f>'Monthly D4 RIN Data'!$AA85</f>
        <v>0</v>
      </c>
      <c r="I284" s="42">
        <f>'Monthly D4 RIN Data'!$AA97</f>
        <v>0</v>
      </c>
      <c r="J284" s="42">
        <f>'Monthly D4 RIN Data'!$AA109</f>
        <v>0</v>
      </c>
      <c r="K284" s="42">
        <f>'Monthly D4 RIN Data'!$AA121</f>
        <v>0</v>
      </c>
      <c r="L284" s="42">
        <f>'Monthly D4 RIN Data'!$AA133</f>
        <v>0</v>
      </c>
      <c r="M284" s="42">
        <f>'Monthly D4 RIN Data'!$AA145</f>
        <v>0</v>
      </c>
      <c r="N284" s="42">
        <f>'Monthly D4 RIN Data'!$AA157</f>
        <v>0</v>
      </c>
      <c r="O284" s="42">
        <f>'Monthly D4 RIN Data'!$AA169</f>
        <v>0</v>
      </c>
      <c r="P284" s="42">
        <f>'Monthly D4 RIN Data'!$AA181</f>
        <v>0</v>
      </c>
      <c r="Q284" s="43">
        <f>'D4 Gallon Forecast'!Q286</f>
        <v>0</v>
      </c>
      <c r="R284" s="43">
        <f>'D4 Gallon Forecast'!R286</f>
        <v>0</v>
      </c>
      <c r="S284" s="43">
        <f>'D4 Gallon Forecast'!S286</f>
        <v>0</v>
      </c>
      <c r="T284" s="43">
        <f>'D4 Gallon Forecast'!T286</f>
        <v>0</v>
      </c>
      <c r="U284" s="43">
        <f>'D4 Gallon Forecast'!U286</f>
        <v>0</v>
      </c>
      <c r="V284" s="43">
        <f>'D4 Gallon Forecast'!V286</f>
        <v>0</v>
      </c>
      <c r="W284" s="43">
        <f>'D4 Gallon Forecast'!W286</f>
        <v>0</v>
      </c>
      <c r="X284" s="43">
        <f>'D4 Gallon Forecast'!X286</f>
        <v>0</v>
      </c>
      <c r="Y284" s="43">
        <f>'D4 Gallon Forecast'!Y286</f>
        <v>0</v>
      </c>
      <c r="Z284" s="43">
        <f>'D4 Gallon Forecast'!Z286</f>
        <v>0</v>
      </c>
      <c r="AA284" s="43">
        <f>'D4 Gallon Forecast'!AA286</f>
        <v>0</v>
      </c>
      <c r="AB284" s="43">
        <f>'D4 Gallon Forecast'!AB286</f>
        <v>0</v>
      </c>
      <c r="AC284" s="43">
        <f>'D4 Gallon Forecast'!AC286</f>
        <v>0</v>
      </c>
      <c r="AD284" s="43">
        <f>'D4 Gallon Forecast'!AD286</f>
        <v>0</v>
      </c>
      <c r="AE284" s="43">
        <f>'D4 Gallon Forecast'!AE286</f>
        <v>0</v>
      </c>
      <c r="AF284" s="43">
        <f>'D4 Gallon Forecast'!AF286</f>
        <v>0</v>
      </c>
      <c r="AG284" s="43">
        <f>'D4 Gallon Forecast'!AG286</f>
        <v>0</v>
      </c>
      <c r="AH284" s="43">
        <f>'D4 Gallon Forecast'!AH286</f>
        <v>0</v>
      </c>
      <c r="AI284" s="43">
        <f>'D4 Gallon Forecast'!AI286</f>
        <v>0</v>
      </c>
      <c r="AJ284" s="43">
        <f>'D4 Gallon Forecast'!AJ286</f>
        <v>0</v>
      </c>
      <c r="AK284" s="43">
        <f>'D4 Gallon Forecast'!AK286</f>
        <v>0</v>
      </c>
      <c r="AL284" s="43">
        <f>'D4 Gallon Forecast'!AL286</f>
        <v>0</v>
      </c>
      <c r="AM284" s="43">
        <f>'D4 Gallon Forecast'!AM286</f>
        <v>0</v>
      </c>
      <c r="AN284" s="43">
        <f>'D4 Gallon Forecast'!AN286</f>
        <v>0</v>
      </c>
      <c r="AO284" s="43">
        <f>'D4 Gallon Forecast'!AO286</f>
        <v>0</v>
      </c>
      <c r="AP284" s="43">
        <f>'D4 Gallon Forecast'!AP286</f>
        <v>0</v>
      </c>
      <c r="AQ284" s="43"/>
    </row>
    <row r="285" spans="1:43">
      <c r="A285" s="40" t="s">
        <v>53</v>
      </c>
      <c r="B285" s="42">
        <f>'Monthly D4 RIN Data'!$AA14</f>
        <v>0</v>
      </c>
      <c r="C285" s="42">
        <f>'Monthly D4 RIN Data'!$AA26</f>
        <v>0</v>
      </c>
      <c r="D285" s="42">
        <f>'Monthly D4 RIN Data'!$AA38</f>
        <v>0</v>
      </c>
      <c r="E285" s="42">
        <f>'Monthly D4 RIN Data'!$AA50</f>
        <v>0</v>
      </c>
      <c r="F285" s="42">
        <f>'Monthly D4 RIN Data'!$AA62</f>
        <v>0</v>
      </c>
      <c r="G285" s="42">
        <f>'Monthly D4 RIN Data'!$AA74</f>
        <v>0</v>
      </c>
      <c r="H285" s="42">
        <f>'Monthly D4 RIN Data'!$AA86</f>
        <v>0</v>
      </c>
      <c r="I285" s="42">
        <f>'Monthly D4 RIN Data'!$AA98</f>
        <v>0</v>
      </c>
      <c r="J285" s="42">
        <f>'Monthly D4 RIN Data'!$AA110</f>
        <v>0</v>
      </c>
      <c r="K285" s="42">
        <f>'Monthly D4 RIN Data'!$AA122</f>
        <v>0</v>
      </c>
      <c r="L285" s="42">
        <f>'Monthly D4 RIN Data'!$AA134</f>
        <v>0</v>
      </c>
      <c r="M285" s="42">
        <f>'Monthly D4 RIN Data'!$AA146</f>
        <v>0</v>
      </c>
      <c r="N285" s="42">
        <f>'Monthly D4 RIN Data'!$AA158</f>
        <v>0</v>
      </c>
      <c r="O285" s="42">
        <f>'Monthly D4 RIN Data'!$AA170</f>
        <v>0</v>
      </c>
      <c r="P285" s="42">
        <f>'Monthly D4 RIN Data'!$AA182</f>
        <v>0</v>
      </c>
      <c r="Q285" s="43">
        <f>'D4 Gallon Forecast'!Q287</f>
        <v>0</v>
      </c>
      <c r="R285" s="43">
        <f>'D4 Gallon Forecast'!R287</f>
        <v>0</v>
      </c>
      <c r="S285" s="43">
        <f>'D4 Gallon Forecast'!S287</f>
        <v>0</v>
      </c>
      <c r="T285" s="43">
        <f>'D4 Gallon Forecast'!T287</f>
        <v>0</v>
      </c>
      <c r="U285" s="43">
        <f>'D4 Gallon Forecast'!U287</f>
        <v>0</v>
      </c>
      <c r="V285" s="43">
        <f>'D4 Gallon Forecast'!V287</f>
        <v>0</v>
      </c>
      <c r="W285" s="43">
        <f>'D4 Gallon Forecast'!W287</f>
        <v>0</v>
      </c>
      <c r="X285" s="43">
        <f>'D4 Gallon Forecast'!X287</f>
        <v>0</v>
      </c>
      <c r="Y285" s="43">
        <f>'D4 Gallon Forecast'!Y287</f>
        <v>0</v>
      </c>
      <c r="Z285" s="43">
        <f>'D4 Gallon Forecast'!Z287</f>
        <v>0</v>
      </c>
      <c r="AA285" s="43">
        <f>'D4 Gallon Forecast'!AA287</f>
        <v>0</v>
      </c>
      <c r="AB285" s="43">
        <f>'D4 Gallon Forecast'!AB287</f>
        <v>0</v>
      </c>
      <c r="AC285" s="43">
        <f>'D4 Gallon Forecast'!AC287</f>
        <v>0</v>
      </c>
      <c r="AD285" s="43">
        <f>'D4 Gallon Forecast'!AD287</f>
        <v>0</v>
      </c>
      <c r="AE285" s="43">
        <f>'D4 Gallon Forecast'!AE287</f>
        <v>0</v>
      </c>
      <c r="AF285" s="43">
        <f>'D4 Gallon Forecast'!AF287</f>
        <v>0</v>
      </c>
      <c r="AG285" s="43">
        <f>'D4 Gallon Forecast'!AG287</f>
        <v>0</v>
      </c>
      <c r="AH285" s="43">
        <f>'D4 Gallon Forecast'!AH287</f>
        <v>0</v>
      </c>
      <c r="AI285" s="43">
        <f>'D4 Gallon Forecast'!AI287</f>
        <v>0</v>
      </c>
      <c r="AJ285" s="43">
        <f>'D4 Gallon Forecast'!AJ287</f>
        <v>0</v>
      </c>
      <c r="AK285" s="43">
        <f>'D4 Gallon Forecast'!AK287</f>
        <v>0</v>
      </c>
      <c r="AL285" s="43">
        <f>'D4 Gallon Forecast'!AL287</f>
        <v>0</v>
      </c>
      <c r="AM285" s="43">
        <f>'D4 Gallon Forecast'!AM287</f>
        <v>0</v>
      </c>
      <c r="AN285" s="43">
        <f>'D4 Gallon Forecast'!AN287</f>
        <v>0</v>
      </c>
      <c r="AO285" s="43">
        <f>'D4 Gallon Forecast'!AO287</f>
        <v>0</v>
      </c>
      <c r="AP285" s="43">
        <f>'D4 Gallon Forecast'!AP287</f>
        <v>0</v>
      </c>
      <c r="AQ285" s="43"/>
    </row>
    <row r="286" spans="1:43">
      <c r="A286" s="40" t="s">
        <v>54</v>
      </c>
      <c r="B286" s="42">
        <f>'Monthly D4 RIN Data'!$AA15</f>
        <v>0</v>
      </c>
      <c r="C286" s="42">
        <f>'Monthly D4 RIN Data'!$AA27</f>
        <v>0</v>
      </c>
      <c r="D286" s="42">
        <f>'Monthly D4 RIN Data'!$AA39</f>
        <v>0</v>
      </c>
      <c r="E286" s="42">
        <f>'Monthly D4 RIN Data'!$AA51</f>
        <v>0</v>
      </c>
      <c r="F286" s="42">
        <f>'Monthly D4 RIN Data'!$AA63</f>
        <v>0</v>
      </c>
      <c r="G286" s="42">
        <f>'Monthly D4 RIN Data'!$AA75</f>
        <v>0</v>
      </c>
      <c r="H286" s="42">
        <f>'Monthly D4 RIN Data'!$AA87</f>
        <v>0</v>
      </c>
      <c r="I286" s="42">
        <f>'Monthly D4 RIN Data'!$AA99</f>
        <v>0</v>
      </c>
      <c r="J286" s="42">
        <f>'Monthly D4 RIN Data'!$AA111</f>
        <v>0</v>
      </c>
      <c r="K286" s="42">
        <f>'Monthly D4 RIN Data'!$AA123</f>
        <v>0</v>
      </c>
      <c r="L286" s="42">
        <f>'Monthly D4 RIN Data'!$AA135</f>
        <v>0</v>
      </c>
      <c r="M286" s="42">
        <f>'Monthly D4 RIN Data'!$AA147</f>
        <v>0</v>
      </c>
      <c r="N286" s="42">
        <f>'Monthly D4 RIN Data'!$AA159</f>
        <v>0</v>
      </c>
      <c r="O286" s="42">
        <f>'Monthly D4 RIN Data'!$AA171</f>
        <v>0</v>
      </c>
      <c r="P286" s="42">
        <f>'Monthly D4 RIN Data'!$AA183</f>
        <v>0</v>
      </c>
      <c r="Q286" s="43">
        <f>'D4 Gallon Forecast'!Q288</f>
        <v>0</v>
      </c>
      <c r="R286" s="43">
        <f>'D4 Gallon Forecast'!R288</f>
        <v>0</v>
      </c>
      <c r="S286" s="43">
        <f>'D4 Gallon Forecast'!S288</f>
        <v>0</v>
      </c>
      <c r="T286" s="43">
        <f>'D4 Gallon Forecast'!T288</f>
        <v>0</v>
      </c>
      <c r="U286" s="43">
        <f>'D4 Gallon Forecast'!U288</f>
        <v>0</v>
      </c>
      <c r="V286" s="43">
        <f>'D4 Gallon Forecast'!V288</f>
        <v>0</v>
      </c>
      <c r="W286" s="43">
        <f>'D4 Gallon Forecast'!W288</f>
        <v>0</v>
      </c>
      <c r="X286" s="43">
        <f>'D4 Gallon Forecast'!X288</f>
        <v>0</v>
      </c>
      <c r="Y286" s="43">
        <f>'D4 Gallon Forecast'!Y288</f>
        <v>0</v>
      </c>
      <c r="Z286" s="43">
        <f>'D4 Gallon Forecast'!Z288</f>
        <v>0</v>
      </c>
      <c r="AA286" s="43">
        <f>'D4 Gallon Forecast'!AA288</f>
        <v>0</v>
      </c>
      <c r="AB286" s="43">
        <f>'D4 Gallon Forecast'!AB288</f>
        <v>0</v>
      </c>
      <c r="AC286" s="43">
        <f>'D4 Gallon Forecast'!AC288</f>
        <v>0</v>
      </c>
      <c r="AD286" s="43">
        <f>'D4 Gallon Forecast'!AD288</f>
        <v>0</v>
      </c>
      <c r="AE286" s="43">
        <f>'D4 Gallon Forecast'!AE288</f>
        <v>0</v>
      </c>
      <c r="AF286" s="43">
        <f>'D4 Gallon Forecast'!AF288</f>
        <v>0</v>
      </c>
      <c r="AG286" s="43">
        <f>'D4 Gallon Forecast'!AG288</f>
        <v>0</v>
      </c>
      <c r="AH286" s="43">
        <f>'D4 Gallon Forecast'!AH288</f>
        <v>0</v>
      </c>
      <c r="AI286" s="43">
        <f>'D4 Gallon Forecast'!AI288</f>
        <v>0</v>
      </c>
      <c r="AJ286" s="43">
        <f>'D4 Gallon Forecast'!AJ288</f>
        <v>0</v>
      </c>
      <c r="AK286" s="43">
        <f>'D4 Gallon Forecast'!AK288</f>
        <v>0</v>
      </c>
      <c r="AL286" s="43">
        <f>'D4 Gallon Forecast'!AL288</f>
        <v>0</v>
      </c>
      <c r="AM286" s="43">
        <f>'D4 Gallon Forecast'!AM288</f>
        <v>0</v>
      </c>
      <c r="AN286" s="43">
        <f>'D4 Gallon Forecast'!AN288</f>
        <v>0</v>
      </c>
      <c r="AO286" s="43">
        <f>'D4 Gallon Forecast'!AO288</f>
        <v>0</v>
      </c>
      <c r="AP286" s="43">
        <f>'D4 Gallon Forecast'!AP288</f>
        <v>0</v>
      </c>
      <c r="AQ286" s="43"/>
    </row>
    <row r="287" spans="1:43">
      <c r="A287" s="40" t="s">
        <v>29</v>
      </c>
      <c r="B287" s="42">
        <f>SUM(B275:B286)</f>
        <v>0</v>
      </c>
      <c r="C287" s="42">
        <f t="shared" ref="C287:AP287" si="98">SUM(C275:C286)</f>
        <v>0</v>
      </c>
      <c r="D287" s="42">
        <f t="shared" si="98"/>
        <v>0</v>
      </c>
      <c r="E287" s="42">
        <f t="shared" si="98"/>
        <v>0</v>
      </c>
      <c r="F287" s="42">
        <f t="shared" si="98"/>
        <v>0</v>
      </c>
      <c r="G287" s="42">
        <f t="shared" si="98"/>
        <v>0</v>
      </c>
      <c r="H287" s="42">
        <f t="shared" si="98"/>
        <v>0</v>
      </c>
      <c r="I287" s="42">
        <f t="shared" si="98"/>
        <v>0</v>
      </c>
      <c r="J287" s="42">
        <f t="shared" si="98"/>
        <v>0</v>
      </c>
      <c r="K287" s="42">
        <f t="shared" si="98"/>
        <v>0</v>
      </c>
      <c r="L287" s="42">
        <f t="shared" si="98"/>
        <v>0</v>
      </c>
      <c r="M287" s="42">
        <f t="shared" si="98"/>
        <v>0</v>
      </c>
      <c r="N287" s="42">
        <f t="shared" si="98"/>
        <v>0</v>
      </c>
      <c r="O287" s="42">
        <f t="shared" si="98"/>
        <v>0</v>
      </c>
      <c r="P287" s="42">
        <f t="shared" si="98"/>
        <v>0</v>
      </c>
      <c r="Q287" s="43">
        <f t="shared" si="98"/>
        <v>0</v>
      </c>
      <c r="R287" s="43">
        <f t="shared" si="98"/>
        <v>0</v>
      </c>
      <c r="S287" s="43">
        <f t="shared" si="98"/>
        <v>0</v>
      </c>
      <c r="T287" s="43">
        <f t="shared" si="98"/>
        <v>0</v>
      </c>
      <c r="U287" s="43">
        <f t="shared" si="98"/>
        <v>0</v>
      </c>
      <c r="V287" s="43">
        <f t="shared" si="98"/>
        <v>0</v>
      </c>
      <c r="W287" s="43">
        <f t="shared" si="98"/>
        <v>0</v>
      </c>
      <c r="X287" s="43">
        <f t="shared" si="98"/>
        <v>0</v>
      </c>
      <c r="Y287" s="43">
        <f t="shared" si="98"/>
        <v>0</v>
      </c>
      <c r="Z287" s="43">
        <f t="shared" si="98"/>
        <v>0</v>
      </c>
      <c r="AA287" s="43">
        <f t="shared" si="98"/>
        <v>0</v>
      </c>
      <c r="AB287" s="43">
        <f t="shared" si="98"/>
        <v>0</v>
      </c>
      <c r="AC287" s="43">
        <f t="shared" si="98"/>
        <v>0</v>
      </c>
      <c r="AD287" s="43">
        <f t="shared" si="98"/>
        <v>0</v>
      </c>
      <c r="AE287" s="43">
        <f t="shared" si="98"/>
        <v>0</v>
      </c>
      <c r="AF287" s="43">
        <f t="shared" si="98"/>
        <v>0</v>
      </c>
      <c r="AG287" s="43">
        <f t="shared" si="98"/>
        <v>0</v>
      </c>
      <c r="AH287" s="43">
        <f t="shared" si="98"/>
        <v>0</v>
      </c>
      <c r="AI287" s="43">
        <f t="shared" si="98"/>
        <v>0</v>
      </c>
      <c r="AJ287" s="43">
        <f t="shared" si="98"/>
        <v>0</v>
      </c>
      <c r="AK287" s="43">
        <f t="shared" si="98"/>
        <v>0</v>
      </c>
      <c r="AL287" s="43">
        <f t="shared" si="98"/>
        <v>0</v>
      </c>
      <c r="AM287" s="43">
        <f t="shared" si="98"/>
        <v>0</v>
      </c>
      <c r="AN287" s="43">
        <f t="shared" si="98"/>
        <v>0</v>
      </c>
      <c r="AO287" s="43">
        <f t="shared" si="98"/>
        <v>0</v>
      </c>
      <c r="AP287" s="43">
        <f t="shared" si="98"/>
        <v>0</v>
      </c>
      <c r="AQ287" s="43"/>
    </row>
    <row r="289" spans="1:43" ht="12" thickBot="1">
      <c r="A289" s="245" t="s">
        <v>393</v>
      </c>
    </row>
    <row r="290" spans="1:43" ht="12" thickBot="1">
      <c r="A290" s="270"/>
      <c r="B290" s="263">
        <v>2010</v>
      </c>
      <c r="C290" s="263">
        <v>2011</v>
      </c>
      <c r="D290" s="263">
        <v>2012</v>
      </c>
      <c r="E290" s="263">
        <v>2013</v>
      </c>
      <c r="F290" s="263">
        <v>2014</v>
      </c>
      <c r="G290" s="263">
        <v>2015</v>
      </c>
      <c r="H290" s="263">
        <v>2016</v>
      </c>
      <c r="I290" s="263">
        <v>2017</v>
      </c>
      <c r="J290" s="263">
        <v>2018</v>
      </c>
      <c r="K290" s="263">
        <v>2019</v>
      </c>
      <c r="L290" s="263">
        <v>2020</v>
      </c>
      <c r="M290" s="263">
        <v>2021</v>
      </c>
      <c r="N290" s="263">
        <v>2022</v>
      </c>
      <c r="O290" s="263">
        <v>2023</v>
      </c>
      <c r="P290" s="263">
        <v>2024</v>
      </c>
      <c r="Q290" s="263">
        <v>2025</v>
      </c>
      <c r="R290" s="263">
        <v>2026</v>
      </c>
      <c r="S290" s="263">
        <v>2027</v>
      </c>
      <c r="T290" s="263">
        <v>2028</v>
      </c>
      <c r="U290" s="263">
        <v>2029</v>
      </c>
      <c r="V290" s="263">
        <v>2030</v>
      </c>
      <c r="W290" s="263">
        <v>2031</v>
      </c>
      <c r="X290" s="263">
        <v>2032</v>
      </c>
      <c r="Y290" s="263">
        <v>2033</v>
      </c>
      <c r="Z290" s="263">
        <v>2034</v>
      </c>
      <c r="AA290" s="263">
        <v>2035</v>
      </c>
      <c r="AB290" s="263">
        <v>2036</v>
      </c>
      <c r="AC290" s="263">
        <v>2037</v>
      </c>
      <c r="AD290" s="263">
        <v>2038</v>
      </c>
      <c r="AE290" s="263">
        <v>2039</v>
      </c>
      <c r="AF290" s="263">
        <v>2040</v>
      </c>
      <c r="AG290" s="263">
        <v>2041</v>
      </c>
      <c r="AH290" s="263">
        <v>2042</v>
      </c>
      <c r="AI290" s="263">
        <v>2043</v>
      </c>
      <c r="AJ290" s="263">
        <v>2044</v>
      </c>
      <c r="AK290" s="263">
        <v>2045</v>
      </c>
      <c r="AL290" s="263">
        <v>2046</v>
      </c>
      <c r="AM290" s="263">
        <v>2047</v>
      </c>
      <c r="AN290" s="263">
        <v>2048</v>
      </c>
      <c r="AO290" s="263">
        <v>2049</v>
      </c>
      <c r="AP290" s="263">
        <v>2050</v>
      </c>
      <c r="AQ290" s="245"/>
    </row>
    <row r="291" spans="1:43">
      <c r="A291" s="40" t="s">
        <v>43</v>
      </c>
      <c r="B291" s="42">
        <f>'Monthly D4 RIN Data'!$AB4</f>
        <v>0</v>
      </c>
      <c r="C291" s="42">
        <f>'Monthly D4 RIN Data'!$AB16</f>
        <v>0</v>
      </c>
      <c r="D291" s="42">
        <f>'Monthly D4 RIN Data'!$AB28</f>
        <v>0</v>
      </c>
      <c r="E291" s="42">
        <f>'Monthly D4 RIN Data'!$AB40</f>
        <v>0</v>
      </c>
      <c r="F291" s="42">
        <f>'Monthly D4 RIN Data'!$AB52</f>
        <v>0</v>
      </c>
      <c r="G291" s="42">
        <f>'Monthly D4 RIN Data'!$AB64</f>
        <v>0</v>
      </c>
      <c r="H291" s="42">
        <f>'Monthly D4 RIN Data'!$AB76</f>
        <v>0</v>
      </c>
      <c r="I291" s="42">
        <f>'Monthly D4 RIN Data'!$AB88</f>
        <v>0</v>
      </c>
      <c r="J291" s="42">
        <f>'Monthly D4 RIN Data'!$AB100</f>
        <v>0</v>
      </c>
      <c r="K291" s="42">
        <f>'Monthly D4 RIN Data'!$AB112</f>
        <v>0</v>
      </c>
      <c r="L291" s="42">
        <f>'Monthly D4 RIN Data'!$AB124</f>
        <v>0</v>
      </c>
      <c r="M291" s="42">
        <f>'Monthly D4 RIN Data'!$AB136</f>
        <v>0</v>
      </c>
      <c r="N291" s="42">
        <f>'Monthly D4 RIN Data'!$AB148</f>
        <v>0</v>
      </c>
      <c r="O291" s="42">
        <f>'Monthly D4 RIN Data'!$AB160</f>
        <v>0</v>
      </c>
      <c r="P291" s="42">
        <f>'Monthly D4 RIN Data'!$AB172</f>
        <v>0</v>
      </c>
      <c r="Q291" s="42">
        <f>'Monthly D4 RIN Data'!$AB184</f>
        <v>0</v>
      </c>
      <c r="R291" s="43">
        <f>'D4 Gallon Forecast'!R293</f>
        <v>0</v>
      </c>
      <c r="S291" s="43">
        <f>'D4 Gallon Forecast'!S293</f>
        <v>0</v>
      </c>
      <c r="T291" s="43">
        <f>'D4 Gallon Forecast'!T293</f>
        <v>0</v>
      </c>
      <c r="U291" s="43">
        <f>'D4 Gallon Forecast'!U293</f>
        <v>0</v>
      </c>
      <c r="V291" s="43">
        <f>'D4 Gallon Forecast'!V293</f>
        <v>0</v>
      </c>
      <c r="W291" s="43">
        <f>'D4 Gallon Forecast'!W293</f>
        <v>0</v>
      </c>
      <c r="X291" s="43">
        <f>'D4 Gallon Forecast'!X293</f>
        <v>0</v>
      </c>
      <c r="Y291" s="43">
        <f>'D4 Gallon Forecast'!Y293</f>
        <v>0</v>
      </c>
      <c r="Z291" s="43">
        <f>'D4 Gallon Forecast'!Z293</f>
        <v>0</v>
      </c>
      <c r="AA291" s="43">
        <f>'D4 Gallon Forecast'!AA293</f>
        <v>0</v>
      </c>
      <c r="AB291" s="43">
        <f>'D4 Gallon Forecast'!AB293</f>
        <v>0</v>
      </c>
      <c r="AC291" s="43">
        <f>'D4 Gallon Forecast'!AC293</f>
        <v>0</v>
      </c>
      <c r="AD291" s="43">
        <f>'D4 Gallon Forecast'!AD293</f>
        <v>0</v>
      </c>
      <c r="AE291" s="43">
        <f>'D4 Gallon Forecast'!AE293</f>
        <v>0</v>
      </c>
      <c r="AF291" s="43">
        <f>'D4 Gallon Forecast'!AF293</f>
        <v>0</v>
      </c>
      <c r="AG291" s="43">
        <f>'D4 Gallon Forecast'!AG293</f>
        <v>0</v>
      </c>
      <c r="AH291" s="43">
        <f>'D4 Gallon Forecast'!AH293</f>
        <v>0</v>
      </c>
      <c r="AI291" s="43">
        <f>'D4 Gallon Forecast'!AI293</f>
        <v>0</v>
      </c>
      <c r="AJ291" s="43">
        <f>'D4 Gallon Forecast'!AJ293</f>
        <v>0</v>
      </c>
      <c r="AK291" s="43">
        <f>'D4 Gallon Forecast'!AK293</f>
        <v>0</v>
      </c>
      <c r="AL291" s="43">
        <f>'D4 Gallon Forecast'!AL293</f>
        <v>0</v>
      </c>
      <c r="AM291" s="43">
        <f>'D4 Gallon Forecast'!AM293</f>
        <v>0</v>
      </c>
      <c r="AN291" s="43">
        <f>'D4 Gallon Forecast'!AN293</f>
        <v>0</v>
      </c>
      <c r="AO291" s="43">
        <f>'D4 Gallon Forecast'!AO293</f>
        <v>0</v>
      </c>
      <c r="AP291" s="43">
        <f>'D4 Gallon Forecast'!AP293</f>
        <v>0</v>
      </c>
      <c r="AQ291" s="43"/>
    </row>
    <row r="292" spans="1:43">
      <c r="A292" s="40" t="s">
        <v>44</v>
      </c>
      <c r="B292" s="42">
        <f>'Monthly D4 RIN Data'!$AB5</f>
        <v>0</v>
      </c>
      <c r="C292" s="42">
        <f>'Monthly D4 RIN Data'!$AB17</f>
        <v>0</v>
      </c>
      <c r="D292" s="42">
        <f>'Monthly D4 RIN Data'!$AB29</f>
        <v>0</v>
      </c>
      <c r="E292" s="42">
        <f>'Monthly D4 RIN Data'!$AB41</f>
        <v>0</v>
      </c>
      <c r="F292" s="42">
        <f>'Monthly D4 RIN Data'!$AB53</f>
        <v>0</v>
      </c>
      <c r="G292" s="42">
        <f>'Monthly D4 RIN Data'!$AB65</f>
        <v>0</v>
      </c>
      <c r="H292" s="42">
        <f>'Monthly D4 RIN Data'!$AB77</f>
        <v>0</v>
      </c>
      <c r="I292" s="42">
        <f>'Monthly D4 RIN Data'!$AB89</f>
        <v>0</v>
      </c>
      <c r="J292" s="42">
        <f>'Monthly D4 RIN Data'!$AB101</f>
        <v>0</v>
      </c>
      <c r="K292" s="42">
        <f>'Monthly D4 RIN Data'!$AB113</f>
        <v>0</v>
      </c>
      <c r="L292" s="42">
        <f>'Monthly D4 RIN Data'!$AB125</f>
        <v>0</v>
      </c>
      <c r="M292" s="42">
        <f>'Monthly D4 RIN Data'!$AB137</f>
        <v>0</v>
      </c>
      <c r="N292" s="42">
        <f>'Monthly D4 RIN Data'!$AB149</f>
        <v>0</v>
      </c>
      <c r="O292" s="42">
        <f>'Monthly D4 RIN Data'!$AB161</f>
        <v>0</v>
      </c>
      <c r="P292" s="42">
        <f>'Monthly D4 RIN Data'!$AB173</f>
        <v>0</v>
      </c>
      <c r="Q292" s="42">
        <f>'Monthly D4 RIN Data'!$AB185</f>
        <v>0</v>
      </c>
      <c r="R292" s="43">
        <f>'D4 Gallon Forecast'!R294</f>
        <v>0</v>
      </c>
      <c r="S292" s="43">
        <f>'D4 Gallon Forecast'!S294</f>
        <v>0</v>
      </c>
      <c r="T292" s="43">
        <f>'D4 Gallon Forecast'!T294</f>
        <v>0</v>
      </c>
      <c r="U292" s="43">
        <f>'D4 Gallon Forecast'!U294</f>
        <v>0</v>
      </c>
      <c r="V292" s="43">
        <f>'D4 Gallon Forecast'!V294</f>
        <v>0</v>
      </c>
      <c r="W292" s="43">
        <f>'D4 Gallon Forecast'!W294</f>
        <v>0</v>
      </c>
      <c r="X292" s="43">
        <f>'D4 Gallon Forecast'!X294</f>
        <v>0</v>
      </c>
      <c r="Y292" s="43">
        <f>'D4 Gallon Forecast'!Y294</f>
        <v>0</v>
      </c>
      <c r="Z292" s="43">
        <f>'D4 Gallon Forecast'!Z294</f>
        <v>0</v>
      </c>
      <c r="AA292" s="43">
        <f>'D4 Gallon Forecast'!AA294</f>
        <v>0</v>
      </c>
      <c r="AB292" s="43">
        <f>'D4 Gallon Forecast'!AB294</f>
        <v>0</v>
      </c>
      <c r="AC292" s="43">
        <f>'D4 Gallon Forecast'!AC294</f>
        <v>0</v>
      </c>
      <c r="AD292" s="43">
        <f>'D4 Gallon Forecast'!AD294</f>
        <v>0</v>
      </c>
      <c r="AE292" s="43">
        <f>'D4 Gallon Forecast'!AE294</f>
        <v>0</v>
      </c>
      <c r="AF292" s="43">
        <f>'D4 Gallon Forecast'!AF294</f>
        <v>0</v>
      </c>
      <c r="AG292" s="43">
        <f>'D4 Gallon Forecast'!AG294</f>
        <v>0</v>
      </c>
      <c r="AH292" s="43">
        <f>'D4 Gallon Forecast'!AH294</f>
        <v>0</v>
      </c>
      <c r="AI292" s="43">
        <f>'D4 Gallon Forecast'!AI294</f>
        <v>0</v>
      </c>
      <c r="AJ292" s="43">
        <f>'D4 Gallon Forecast'!AJ294</f>
        <v>0</v>
      </c>
      <c r="AK292" s="43">
        <f>'D4 Gallon Forecast'!AK294</f>
        <v>0</v>
      </c>
      <c r="AL292" s="43">
        <f>'D4 Gallon Forecast'!AL294</f>
        <v>0</v>
      </c>
      <c r="AM292" s="43">
        <f>'D4 Gallon Forecast'!AM294</f>
        <v>0</v>
      </c>
      <c r="AN292" s="43">
        <f>'D4 Gallon Forecast'!AN294</f>
        <v>0</v>
      </c>
      <c r="AO292" s="43">
        <f>'D4 Gallon Forecast'!AO294</f>
        <v>0</v>
      </c>
      <c r="AP292" s="43">
        <f>'D4 Gallon Forecast'!AP294</f>
        <v>0</v>
      </c>
      <c r="AQ292" s="43"/>
    </row>
    <row r="293" spans="1:43">
      <c r="A293" s="40" t="s">
        <v>45</v>
      </c>
      <c r="B293" s="42">
        <f>'Monthly D4 RIN Data'!$AB6</f>
        <v>0</v>
      </c>
      <c r="C293" s="42">
        <f>'Monthly D4 RIN Data'!$AB18</f>
        <v>0</v>
      </c>
      <c r="D293" s="42">
        <f>'Monthly D4 RIN Data'!$AB30</f>
        <v>0</v>
      </c>
      <c r="E293" s="42">
        <f>'Monthly D4 RIN Data'!$AB42</f>
        <v>0</v>
      </c>
      <c r="F293" s="42">
        <f>'Monthly D4 RIN Data'!$AB54</f>
        <v>0</v>
      </c>
      <c r="G293" s="42">
        <f>'Monthly D4 RIN Data'!$AB66</f>
        <v>0</v>
      </c>
      <c r="H293" s="42">
        <f>'Monthly D4 RIN Data'!$AB78</f>
        <v>0</v>
      </c>
      <c r="I293" s="42">
        <f>'Monthly D4 RIN Data'!$AB90</f>
        <v>0</v>
      </c>
      <c r="J293" s="42">
        <f>'Monthly D4 RIN Data'!$AB102</f>
        <v>0</v>
      </c>
      <c r="K293" s="42">
        <f>'Monthly D4 RIN Data'!$AB114</f>
        <v>0</v>
      </c>
      <c r="L293" s="42">
        <f>'Monthly D4 RIN Data'!$AB126</f>
        <v>0</v>
      </c>
      <c r="M293" s="42">
        <f>'Monthly D4 RIN Data'!$AB138</f>
        <v>0</v>
      </c>
      <c r="N293" s="42">
        <f>'Monthly D4 RIN Data'!$AB150</f>
        <v>0</v>
      </c>
      <c r="O293" s="42">
        <f>'Monthly D4 RIN Data'!$AB162</f>
        <v>0</v>
      </c>
      <c r="P293" s="42">
        <f>'Monthly D4 RIN Data'!$AB174</f>
        <v>0</v>
      </c>
      <c r="Q293" s="42">
        <f>'Monthly D4 RIN Data'!$AB186</f>
        <v>0</v>
      </c>
      <c r="R293" s="43">
        <f>'D4 Gallon Forecast'!R295</f>
        <v>0</v>
      </c>
      <c r="S293" s="43">
        <f>'D4 Gallon Forecast'!S295</f>
        <v>0</v>
      </c>
      <c r="T293" s="43">
        <f>'D4 Gallon Forecast'!T295</f>
        <v>0</v>
      </c>
      <c r="U293" s="43">
        <f>'D4 Gallon Forecast'!U295</f>
        <v>0</v>
      </c>
      <c r="V293" s="43">
        <f>'D4 Gallon Forecast'!V295</f>
        <v>0</v>
      </c>
      <c r="W293" s="43">
        <f>'D4 Gallon Forecast'!W295</f>
        <v>0</v>
      </c>
      <c r="X293" s="43">
        <f>'D4 Gallon Forecast'!X295</f>
        <v>0</v>
      </c>
      <c r="Y293" s="43">
        <f>'D4 Gallon Forecast'!Y295</f>
        <v>0</v>
      </c>
      <c r="Z293" s="43">
        <f>'D4 Gallon Forecast'!Z295</f>
        <v>0</v>
      </c>
      <c r="AA293" s="43">
        <f>'D4 Gallon Forecast'!AA295</f>
        <v>0</v>
      </c>
      <c r="AB293" s="43">
        <f>'D4 Gallon Forecast'!AB295</f>
        <v>0</v>
      </c>
      <c r="AC293" s="43">
        <f>'D4 Gallon Forecast'!AC295</f>
        <v>0</v>
      </c>
      <c r="AD293" s="43">
        <f>'D4 Gallon Forecast'!AD295</f>
        <v>0</v>
      </c>
      <c r="AE293" s="43">
        <f>'D4 Gallon Forecast'!AE295</f>
        <v>0</v>
      </c>
      <c r="AF293" s="43">
        <f>'D4 Gallon Forecast'!AF295</f>
        <v>0</v>
      </c>
      <c r="AG293" s="43">
        <f>'D4 Gallon Forecast'!AG295</f>
        <v>0</v>
      </c>
      <c r="AH293" s="43">
        <f>'D4 Gallon Forecast'!AH295</f>
        <v>0</v>
      </c>
      <c r="AI293" s="43">
        <f>'D4 Gallon Forecast'!AI295</f>
        <v>0</v>
      </c>
      <c r="AJ293" s="43">
        <f>'D4 Gallon Forecast'!AJ295</f>
        <v>0</v>
      </c>
      <c r="AK293" s="43">
        <f>'D4 Gallon Forecast'!AK295</f>
        <v>0</v>
      </c>
      <c r="AL293" s="43">
        <f>'D4 Gallon Forecast'!AL295</f>
        <v>0</v>
      </c>
      <c r="AM293" s="43">
        <f>'D4 Gallon Forecast'!AM295</f>
        <v>0</v>
      </c>
      <c r="AN293" s="43">
        <f>'D4 Gallon Forecast'!AN295</f>
        <v>0</v>
      </c>
      <c r="AO293" s="43">
        <f>'D4 Gallon Forecast'!AO295</f>
        <v>0</v>
      </c>
      <c r="AP293" s="43">
        <f>'D4 Gallon Forecast'!AP295</f>
        <v>0</v>
      </c>
      <c r="AQ293" s="43"/>
    </row>
    <row r="294" spans="1:43">
      <c r="A294" s="40" t="s">
        <v>46</v>
      </c>
      <c r="B294" s="42">
        <f>'Monthly D4 RIN Data'!$AB7</f>
        <v>0</v>
      </c>
      <c r="C294" s="42">
        <f>'Monthly D4 RIN Data'!$AB19</f>
        <v>0</v>
      </c>
      <c r="D294" s="42">
        <f>'Monthly D4 RIN Data'!$AB31</f>
        <v>0</v>
      </c>
      <c r="E294" s="42">
        <f>'Monthly D4 RIN Data'!$AB43</f>
        <v>0</v>
      </c>
      <c r="F294" s="42">
        <f>'Monthly D4 RIN Data'!$AB55</f>
        <v>0</v>
      </c>
      <c r="G294" s="42">
        <f>'Monthly D4 RIN Data'!$AB67</f>
        <v>0</v>
      </c>
      <c r="H294" s="42">
        <f>'Monthly D4 RIN Data'!$AB79</f>
        <v>0</v>
      </c>
      <c r="I294" s="42">
        <f>'Monthly D4 RIN Data'!$AB91</f>
        <v>0</v>
      </c>
      <c r="J294" s="42">
        <f>'Monthly D4 RIN Data'!$AB103</f>
        <v>0</v>
      </c>
      <c r="K294" s="42">
        <f>'Monthly D4 RIN Data'!$AB115</f>
        <v>0</v>
      </c>
      <c r="L294" s="42">
        <f>'Monthly D4 RIN Data'!$AB127</f>
        <v>0</v>
      </c>
      <c r="M294" s="42">
        <f>'Monthly D4 RIN Data'!$AB139</f>
        <v>0</v>
      </c>
      <c r="N294" s="42">
        <f>'Monthly D4 RIN Data'!$AB151</f>
        <v>0</v>
      </c>
      <c r="O294" s="42">
        <f>'Monthly D4 RIN Data'!$AB163</f>
        <v>0</v>
      </c>
      <c r="P294" s="42">
        <f>'Monthly D4 RIN Data'!$AB175</f>
        <v>0</v>
      </c>
      <c r="Q294" s="43">
        <f>'D4 Gallon Forecast'!Q296</f>
        <v>0</v>
      </c>
      <c r="R294" s="43">
        <f>'D4 Gallon Forecast'!R296</f>
        <v>0</v>
      </c>
      <c r="S294" s="43">
        <f>'D4 Gallon Forecast'!S296</f>
        <v>0</v>
      </c>
      <c r="T294" s="43">
        <f>'D4 Gallon Forecast'!T296</f>
        <v>0</v>
      </c>
      <c r="U294" s="43">
        <f>'D4 Gallon Forecast'!U296</f>
        <v>0</v>
      </c>
      <c r="V294" s="43">
        <f>'D4 Gallon Forecast'!V296</f>
        <v>0</v>
      </c>
      <c r="W294" s="43">
        <f>'D4 Gallon Forecast'!W296</f>
        <v>0</v>
      </c>
      <c r="X294" s="43">
        <f>'D4 Gallon Forecast'!X296</f>
        <v>0</v>
      </c>
      <c r="Y294" s="43">
        <f>'D4 Gallon Forecast'!Y296</f>
        <v>0</v>
      </c>
      <c r="Z294" s="43">
        <f>'D4 Gallon Forecast'!Z296</f>
        <v>0</v>
      </c>
      <c r="AA294" s="43">
        <f>'D4 Gallon Forecast'!AA296</f>
        <v>0</v>
      </c>
      <c r="AB294" s="43">
        <f>'D4 Gallon Forecast'!AB296</f>
        <v>0</v>
      </c>
      <c r="AC294" s="43">
        <f>'D4 Gallon Forecast'!AC296</f>
        <v>0</v>
      </c>
      <c r="AD294" s="43">
        <f>'D4 Gallon Forecast'!AD296</f>
        <v>0</v>
      </c>
      <c r="AE294" s="43">
        <f>'D4 Gallon Forecast'!AE296</f>
        <v>0</v>
      </c>
      <c r="AF294" s="43">
        <f>'D4 Gallon Forecast'!AF296</f>
        <v>0</v>
      </c>
      <c r="AG294" s="43">
        <f>'D4 Gallon Forecast'!AG296</f>
        <v>0</v>
      </c>
      <c r="AH294" s="43">
        <f>'D4 Gallon Forecast'!AH296</f>
        <v>0</v>
      </c>
      <c r="AI294" s="43">
        <f>'D4 Gallon Forecast'!AI296</f>
        <v>0</v>
      </c>
      <c r="AJ294" s="43">
        <f>'D4 Gallon Forecast'!AJ296</f>
        <v>0</v>
      </c>
      <c r="AK294" s="43">
        <f>'D4 Gallon Forecast'!AK296</f>
        <v>0</v>
      </c>
      <c r="AL294" s="43">
        <f>'D4 Gallon Forecast'!AL296</f>
        <v>0</v>
      </c>
      <c r="AM294" s="43">
        <f>'D4 Gallon Forecast'!AM296</f>
        <v>0</v>
      </c>
      <c r="AN294" s="43">
        <f>'D4 Gallon Forecast'!AN296</f>
        <v>0</v>
      </c>
      <c r="AO294" s="43">
        <f>'D4 Gallon Forecast'!AO296</f>
        <v>0</v>
      </c>
      <c r="AP294" s="43">
        <f>'D4 Gallon Forecast'!AP296</f>
        <v>0</v>
      </c>
      <c r="AQ294" s="43"/>
    </row>
    <row r="295" spans="1:43">
      <c r="A295" s="40" t="s">
        <v>47</v>
      </c>
      <c r="B295" s="42">
        <f>'Monthly D4 RIN Data'!$AB8</f>
        <v>0</v>
      </c>
      <c r="C295" s="42">
        <f>'Monthly D4 RIN Data'!$AB20</f>
        <v>0</v>
      </c>
      <c r="D295" s="42">
        <f>'Monthly D4 RIN Data'!$AB32</f>
        <v>0</v>
      </c>
      <c r="E295" s="42">
        <f>'Monthly D4 RIN Data'!$AB44</f>
        <v>0</v>
      </c>
      <c r="F295" s="42">
        <f>'Monthly D4 RIN Data'!$AB56</f>
        <v>0</v>
      </c>
      <c r="G295" s="42">
        <f>'Monthly D4 RIN Data'!$AB68</f>
        <v>0</v>
      </c>
      <c r="H295" s="42">
        <f>'Monthly D4 RIN Data'!$AB80</f>
        <v>0</v>
      </c>
      <c r="I295" s="42">
        <f>'Monthly D4 RIN Data'!$AB92</f>
        <v>0</v>
      </c>
      <c r="J295" s="42">
        <f>'Monthly D4 RIN Data'!$AB104</f>
        <v>0</v>
      </c>
      <c r="K295" s="42">
        <f>'Monthly D4 RIN Data'!$AB116</f>
        <v>0</v>
      </c>
      <c r="L295" s="42">
        <f>'Monthly D4 RIN Data'!$AB128</f>
        <v>0</v>
      </c>
      <c r="M295" s="42">
        <f>'Monthly D4 RIN Data'!$AB140</f>
        <v>0</v>
      </c>
      <c r="N295" s="42">
        <f>'Monthly D4 RIN Data'!$AB152</f>
        <v>0</v>
      </c>
      <c r="O295" s="42">
        <f>'Monthly D4 RIN Data'!$AB164</f>
        <v>0</v>
      </c>
      <c r="P295" s="42">
        <f>'Monthly D4 RIN Data'!$AB176</f>
        <v>0</v>
      </c>
      <c r="Q295" s="43">
        <f>'D4 Gallon Forecast'!Q297</f>
        <v>0</v>
      </c>
      <c r="R295" s="43">
        <f>'D4 Gallon Forecast'!R297</f>
        <v>0</v>
      </c>
      <c r="S295" s="43">
        <f>'D4 Gallon Forecast'!S297</f>
        <v>0</v>
      </c>
      <c r="T295" s="43">
        <f>'D4 Gallon Forecast'!T297</f>
        <v>0</v>
      </c>
      <c r="U295" s="43">
        <f>'D4 Gallon Forecast'!U297</f>
        <v>0</v>
      </c>
      <c r="V295" s="43">
        <f>'D4 Gallon Forecast'!V297</f>
        <v>0</v>
      </c>
      <c r="W295" s="43">
        <f>'D4 Gallon Forecast'!W297</f>
        <v>0</v>
      </c>
      <c r="X295" s="43">
        <f>'D4 Gallon Forecast'!X297</f>
        <v>0</v>
      </c>
      <c r="Y295" s="43">
        <f>'D4 Gallon Forecast'!Y297</f>
        <v>0</v>
      </c>
      <c r="Z295" s="43">
        <f>'D4 Gallon Forecast'!Z297</f>
        <v>0</v>
      </c>
      <c r="AA295" s="43">
        <f>'D4 Gallon Forecast'!AA297</f>
        <v>0</v>
      </c>
      <c r="AB295" s="43">
        <f>'D4 Gallon Forecast'!AB297</f>
        <v>0</v>
      </c>
      <c r="AC295" s="43">
        <f>'D4 Gallon Forecast'!AC297</f>
        <v>0</v>
      </c>
      <c r="AD295" s="43">
        <f>'D4 Gallon Forecast'!AD297</f>
        <v>0</v>
      </c>
      <c r="AE295" s="43">
        <f>'D4 Gallon Forecast'!AE297</f>
        <v>0</v>
      </c>
      <c r="AF295" s="43">
        <f>'D4 Gallon Forecast'!AF297</f>
        <v>0</v>
      </c>
      <c r="AG295" s="43">
        <f>'D4 Gallon Forecast'!AG297</f>
        <v>0</v>
      </c>
      <c r="AH295" s="43">
        <f>'D4 Gallon Forecast'!AH297</f>
        <v>0</v>
      </c>
      <c r="AI295" s="43">
        <f>'D4 Gallon Forecast'!AI297</f>
        <v>0</v>
      </c>
      <c r="AJ295" s="43">
        <f>'D4 Gallon Forecast'!AJ297</f>
        <v>0</v>
      </c>
      <c r="AK295" s="43">
        <f>'D4 Gallon Forecast'!AK297</f>
        <v>0</v>
      </c>
      <c r="AL295" s="43">
        <f>'D4 Gallon Forecast'!AL297</f>
        <v>0</v>
      </c>
      <c r="AM295" s="43">
        <f>'D4 Gallon Forecast'!AM297</f>
        <v>0</v>
      </c>
      <c r="AN295" s="43">
        <f>'D4 Gallon Forecast'!AN297</f>
        <v>0</v>
      </c>
      <c r="AO295" s="43">
        <f>'D4 Gallon Forecast'!AO297</f>
        <v>0</v>
      </c>
      <c r="AP295" s="43">
        <f>'D4 Gallon Forecast'!AP297</f>
        <v>0</v>
      </c>
      <c r="AQ295" s="43"/>
    </row>
    <row r="296" spans="1:43">
      <c r="A296" s="40" t="s">
        <v>48</v>
      </c>
      <c r="B296" s="42">
        <f>'Monthly D4 RIN Data'!$AB9</f>
        <v>0</v>
      </c>
      <c r="C296" s="42">
        <f>'Monthly D4 RIN Data'!$AB21</f>
        <v>0</v>
      </c>
      <c r="D296" s="42">
        <f>'Monthly D4 RIN Data'!$AB33</f>
        <v>0</v>
      </c>
      <c r="E296" s="42">
        <f>'Monthly D4 RIN Data'!$AB45</f>
        <v>0</v>
      </c>
      <c r="F296" s="42">
        <f>'Monthly D4 RIN Data'!$AB57</f>
        <v>0</v>
      </c>
      <c r="G296" s="42">
        <f>'Monthly D4 RIN Data'!$AB69</f>
        <v>0</v>
      </c>
      <c r="H296" s="42">
        <f>'Monthly D4 RIN Data'!$AB81</f>
        <v>0</v>
      </c>
      <c r="I296" s="42">
        <f>'Monthly D4 RIN Data'!$AB93</f>
        <v>0</v>
      </c>
      <c r="J296" s="42">
        <f>'Monthly D4 RIN Data'!$AB105</f>
        <v>0</v>
      </c>
      <c r="K296" s="42">
        <f>'Monthly D4 RIN Data'!$AB117</f>
        <v>0</v>
      </c>
      <c r="L296" s="42">
        <f>'Monthly D4 RIN Data'!$AB129</f>
        <v>0</v>
      </c>
      <c r="M296" s="42">
        <f>'Monthly D4 RIN Data'!$AB141</f>
        <v>0</v>
      </c>
      <c r="N296" s="42">
        <f>'Monthly D4 RIN Data'!$AB153</f>
        <v>0</v>
      </c>
      <c r="O296" s="42">
        <f>'Monthly D4 RIN Data'!$AB165</f>
        <v>0</v>
      </c>
      <c r="P296" s="42">
        <f>'Monthly D4 RIN Data'!$AB177</f>
        <v>0</v>
      </c>
      <c r="Q296" s="43">
        <f>'D4 Gallon Forecast'!Q298</f>
        <v>0</v>
      </c>
      <c r="R296" s="43">
        <f>'D4 Gallon Forecast'!R298</f>
        <v>0</v>
      </c>
      <c r="S296" s="43">
        <f>'D4 Gallon Forecast'!S298</f>
        <v>0</v>
      </c>
      <c r="T296" s="43">
        <f>'D4 Gallon Forecast'!T298</f>
        <v>0</v>
      </c>
      <c r="U296" s="43">
        <f>'D4 Gallon Forecast'!U298</f>
        <v>0</v>
      </c>
      <c r="V296" s="43">
        <f>'D4 Gallon Forecast'!V298</f>
        <v>0</v>
      </c>
      <c r="W296" s="43">
        <f>'D4 Gallon Forecast'!W298</f>
        <v>0</v>
      </c>
      <c r="X296" s="43">
        <f>'D4 Gallon Forecast'!X298</f>
        <v>0</v>
      </c>
      <c r="Y296" s="43">
        <f>'D4 Gallon Forecast'!Y298</f>
        <v>0</v>
      </c>
      <c r="Z296" s="43">
        <f>'D4 Gallon Forecast'!Z298</f>
        <v>0</v>
      </c>
      <c r="AA296" s="43">
        <f>'D4 Gallon Forecast'!AA298</f>
        <v>0</v>
      </c>
      <c r="AB296" s="43">
        <f>'D4 Gallon Forecast'!AB298</f>
        <v>0</v>
      </c>
      <c r="AC296" s="43">
        <f>'D4 Gallon Forecast'!AC298</f>
        <v>0</v>
      </c>
      <c r="AD296" s="43">
        <f>'D4 Gallon Forecast'!AD298</f>
        <v>0</v>
      </c>
      <c r="AE296" s="43">
        <f>'D4 Gallon Forecast'!AE298</f>
        <v>0</v>
      </c>
      <c r="AF296" s="43">
        <f>'D4 Gallon Forecast'!AF298</f>
        <v>0</v>
      </c>
      <c r="AG296" s="43">
        <f>'D4 Gallon Forecast'!AG298</f>
        <v>0</v>
      </c>
      <c r="AH296" s="43">
        <f>'D4 Gallon Forecast'!AH298</f>
        <v>0</v>
      </c>
      <c r="AI296" s="43">
        <f>'D4 Gallon Forecast'!AI298</f>
        <v>0</v>
      </c>
      <c r="AJ296" s="43">
        <f>'D4 Gallon Forecast'!AJ298</f>
        <v>0</v>
      </c>
      <c r="AK296" s="43">
        <f>'D4 Gallon Forecast'!AK298</f>
        <v>0</v>
      </c>
      <c r="AL296" s="43">
        <f>'D4 Gallon Forecast'!AL298</f>
        <v>0</v>
      </c>
      <c r="AM296" s="43">
        <f>'D4 Gallon Forecast'!AM298</f>
        <v>0</v>
      </c>
      <c r="AN296" s="43">
        <f>'D4 Gallon Forecast'!AN298</f>
        <v>0</v>
      </c>
      <c r="AO296" s="43">
        <f>'D4 Gallon Forecast'!AO298</f>
        <v>0</v>
      </c>
      <c r="AP296" s="43">
        <f>'D4 Gallon Forecast'!AP298</f>
        <v>0</v>
      </c>
      <c r="AQ296" s="43"/>
    </row>
    <row r="297" spans="1:43">
      <c r="A297" s="40" t="s">
        <v>49</v>
      </c>
      <c r="B297" s="42">
        <f>'Monthly D4 RIN Data'!$AB10</f>
        <v>0</v>
      </c>
      <c r="C297" s="42">
        <f>'Monthly D4 RIN Data'!$AB22</f>
        <v>0</v>
      </c>
      <c r="D297" s="42">
        <f>'Monthly D4 RIN Data'!$AB34</f>
        <v>0</v>
      </c>
      <c r="E297" s="42">
        <f>'Monthly D4 RIN Data'!$AB46</f>
        <v>0</v>
      </c>
      <c r="F297" s="42">
        <f>'Monthly D4 RIN Data'!$AB58</f>
        <v>0</v>
      </c>
      <c r="G297" s="42">
        <f>'Monthly D4 RIN Data'!$AB70</f>
        <v>0</v>
      </c>
      <c r="H297" s="42">
        <f>'Monthly D4 RIN Data'!$AB82</f>
        <v>0</v>
      </c>
      <c r="I297" s="42">
        <f>'Monthly D4 RIN Data'!$AB94</f>
        <v>0</v>
      </c>
      <c r="J297" s="42">
        <f>'Monthly D4 RIN Data'!$AB106</f>
        <v>0</v>
      </c>
      <c r="K297" s="42">
        <f>'Monthly D4 RIN Data'!$AB118</f>
        <v>0</v>
      </c>
      <c r="L297" s="42">
        <f>'Monthly D4 RIN Data'!$AB130</f>
        <v>0</v>
      </c>
      <c r="M297" s="42">
        <f>'Monthly D4 RIN Data'!$AB142</f>
        <v>0</v>
      </c>
      <c r="N297" s="42">
        <f>'Monthly D4 RIN Data'!$AB154</f>
        <v>0</v>
      </c>
      <c r="O297" s="42">
        <f>'Monthly D4 RIN Data'!$AB166</f>
        <v>0</v>
      </c>
      <c r="P297" s="42">
        <f>'Monthly D4 RIN Data'!$AB178</f>
        <v>0</v>
      </c>
      <c r="Q297" s="43">
        <f>'D4 Gallon Forecast'!Q299</f>
        <v>0</v>
      </c>
      <c r="R297" s="43">
        <f>'D4 Gallon Forecast'!R299</f>
        <v>0</v>
      </c>
      <c r="S297" s="43">
        <f>'D4 Gallon Forecast'!S299</f>
        <v>0</v>
      </c>
      <c r="T297" s="43">
        <f>'D4 Gallon Forecast'!T299</f>
        <v>0</v>
      </c>
      <c r="U297" s="43">
        <f>'D4 Gallon Forecast'!U299</f>
        <v>0</v>
      </c>
      <c r="V297" s="43">
        <f>'D4 Gallon Forecast'!V299</f>
        <v>0</v>
      </c>
      <c r="W297" s="43">
        <f>'D4 Gallon Forecast'!W299</f>
        <v>0</v>
      </c>
      <c r="X297" s="43">
        <f>'D4 Gallon Forecast'!X299</f>
        <v>0</v>
      </c>
      <c r="Y297" s="43">
        <f>'D4 Gallon Forecast'!Y299</f>
        <v>0</v>
      </c>
      <c r="Z297" s="43">
        <f>'D4 Gallon Forecast'!Z299</f>
        <v>0</v>
      </c>
      <c r="AA297" s="43">
        <f>'D4 Gallon Forecast'!AA299</f>
        <v>0</v>
      </c>
      <c r="AB297" s="43">
        <f>'D4 Gallon Forecast'!AB299</f>
        <v>0</v>
      </c>
      <c r="AC297" s="43">
        <f>'D4 Gallon Forecast'!AC299</f>
        <v>0</v>
      </c>
      <c r="AD297" s="43">
        <f>'D4 Gallon Forecast'!AD299</f>
        <v>0</v>
      </c>
      <c r="AE297" s="43">
        <f>'D4 Gallon Forecast'!AE299</f>
        <v>0</v>
      </c>
      <c r="AF297" s="43">
        <f>'D4 Gallon Forecast'!AF299</f>
        <v>0</v>
      </c>
      <c r="AG297" s="43">
        <f>'D4 Gallon Forecast'!AG299</f>
        <v>0</v>
      </c>
      <c r="AH297" s="43">
        <f>'D4 Gallon Forecast'!AH299</f>
        <v>0</v>
      </c>
      <c r="AI297" s="43">
        <f>'D4 Gallon Forecast'!AI299</f>
        <v>0</v>
      </c>
      <c r="AJ297" s="43">
        <f>'D4 Gallon Forecast'!AJ299</f>
        <v>0</v>
      </c>
      <c r="AK297" s="43">
        <f>'D4 Gallon Forecast'!AK299</f>
        <v>0</v>
      </c>
      <c r="AL297" s="43">
        <f>'D4 Gallon Forecast'!AL299</f>
        <v>0</v>
      </c>
      <c r="AM297" s="43">
        <f>'D4 Gallon Forecast'!AM299</f>
        <v>0</v>
      </c>
      <c r="AN297" s="43">
        <f>'D4 Gallon Forecast'!AN299</f>
        <v>0</v>
      </c>
      <c r="AO297" s="43">
        <f>'D4 Gallon Forecast'!AO299</f>
        <v>0</v>
      </c>
      <c r="AP297" s="43">
        <f>'D4 Gallon Forecast'!AP299</f>
        <v>0</v>
      </c>
      <c r="AQ297" s="43"/>
    </row>
    <row r="298" spans="1:43">
      <c r="A298" s="40" t="s">
        <v>50</v>
      </c>
      <c r="B298" s="42">
        <f>'Monthly D4 RIN Data'!$AB11</f>
        <v>0</v>
      </c>
      <c r="C298" s="42">
        <f>'Monthly D4 RIN Data'!$AB23</f>
        <v>0</v>
      </c>
      <c r="D298" s="42">
        <f>'Monthly D4 RIN Data'!$AB35</f>
        <v>0</v>
      </c>
      <c r="E298" s="42">
        <f>'Monthly D4 RIN Data'!$AB47</f>
        <v>0</v>
      </c>
      <c r="F298" s="42">
        <f>'Monthly D4 RIN Data'!$AB59</f>
        <v>0</v>
      </c>
      <c r="G298" s="42">
        <f>'Monthly D4 RIN Data'!$AB71</f>
        <v>0</v>
      </c>
      <c r="H298" s="42">
        <f>'Monthly D4 RIN Data'!$AB83</f>
        <v>0</v>
      </c>
      <c r="I298" s="42">
        <f>'Monthly D4 RIN Data'!$AB95</f>
        <v>0</v>
      </c>
      <c r="J298" s="42">
        <f>'Monthly D4 RIN Data'!$AB107</f>
        <v>0</v>
      </c>
      <c r="K298" s="42">
        <f>'Monthly D4 RIN Data'!$AB119</f>
        <v>0</v>
      </c>
      <c r="L298" s="42">
        <f>'Monthly D4 RIN Data'!$AB131</f>
        <v>0</v>
      </c>
      <c r="M298" s="42">
        <f>'Monthly D4 RIN Data'!$AB143</f>
        <v>0</v>
      </c>
      <c r="N298" s="42">
        <f>'Monthly D4 RIN Data'!$AB155</f>
        <v>0</v>
      </c>
      <c r="O298" s="42">
        <f>'Monthly D4 RIN Data'!$AB167</f>
        <v>0</v>
      </c>
      <c r="P298" s="42">
        <f>'Monthly D4 RIN Data'!$AB179</f>
        <v>0</v>
      </c>
      <c r="Q298" s="43">
        <f>'D4 Gallon Forecast'!Q300</f>
        <v>0</v>
      </c>
      <c r="R298" s="43">
        <f>'D4 Gallon Forecast'!R300</f>
        <v>0</v>
      </c>
      <c r="S298" s="43">
        <f>'D4 Gallon Forecast'!S300</f>
        <v>0</v>
      </c>
      <c r="T298" s="43">
        <f>'D4 Gallon Forecast'!T300</f>
        <v>0</v>
      </c>
      <c r="U298" s="43">
        <f>'D4 Gallon Forecast'!U300</f>
        <v>0</v>
      </c>
      <c r="V298" s="43">
        <f>'D4 Gallon Forecast'!V300</f>
        <v>0</v>
      </c>
      <c r="W298" s="43">
        <f>'D4 Gallon Forecast'!W300</f>
        <v>0</v>
      </c>
      <c r="X298" s="43">
        <f>'D4 Gallon Forecast'!X300</f>
        <v>0</v>
      </c>
      <c r="Y298" s="43">
        <f>'D4 Gallon Forecast'!Y300</f>
        <v>0</v>
      </c>
      <c r="Z298" s="43">
        <f>'D4 Gallon Forecast'!Z300</f>
        <v>0</v>
      </c>
      <c r="AA298" s="43">
        <f>'D4 Gallon Forecast'!AA300</f>
        <v>0</v>
      </c>
      <c r="AB298" s="43">
        <f>'D4 Gallon Forecast'!AB300</f>
        <v>0</v>
      </c>
      <c r="AC298" s="43">
        <f>'D4 Gallon Forecast'!AC300</f>
        <v>0</v>
      </c>
      <c r="AD298" s="43">
        <f>'D4 Gallon Forecast'!AD300</f>
        <v>0</v>
      </c>
      <c r="AE298" s="43">
        <f>'D4 Gallon Forecast'!AE300</f>
        <v>0</v>
      </c>
      <c r="AF298" s="43">
        <f>'D4 Gallon Forecast'!AF300</f>
        <v>0</v>
      </c>
      <c r="AG298" s="43">
        <f>'D4 Gallon Forecast'!AG300</f>
        <v>0</v>
      </c>
      <c r="AH298" s="43">
        <f>'D4 Gallon Forecast'!AH300</f>
        <v>0</v>
      </c>
      <c r="AI298" s="43">
        <f>'D4 Gallon Forecast'!AI300</f>
        <v>0</v>
      </c>
      <c r="AJ298" s="43">
        <f>'D4 Gallon Forecast'!AJ300</f>
        <v>0</v>
      </c>
      <c r="AK298" s="43">
        <f>'D4 Gallon Forecast'!AK300</f>
        <v>0</v>
      </c>
      <c r="AL298" s="43">
        <f>'D4 Gallon Forecast'!AL300</f>
        <v>0</v>
      </c>
      <c r="AM298" s="43">
        <f>'D4 Gallon Forecast'!AM300</f>
        <v>0</v>
      </c>
      <c r="AN298" s="43">
        <f>'D4 Gallon Forecast'!AN300</f>
        <v>0</v>
      </c>
      <c r="AO298" s="43">
        <f>'D4 Gallon Forecast'!AO300</f>
        <v>0</v>
      </c>
      <c r="AP298" s="43">
        <f>'D4 Gallon Forecast'!AP300</f>
        <v>0</v>
      </c>
      <c r="AQ298" s="43"/>
    </row>
    <row r="299" spans="1:43">
      <c r="A299" s="40" t="s">
        <v>51</v>
      </c>
      <c r="B299" s="42">
        <f>'Monthly D4 RIN Data'!$AB12</f>
        <v>0</v>
      </c>
      <c r="C299" s="42">
        <f>'Monthly D4 RIN Data'!$AB24</f>
        <v>0</v>
      </c>
      <c r="D299" s="42">
        <f>'Monthly D4 RIN Data'!$AB36</f>
        <v>0</v>
      </c>
      <c r="E299" s="42">
        <f>'Monthly D4 RIN Data'!$AB48</f>
        <v>0</v>
      </c>
      <c r="F299" s="42">
        <f>'Monthly D4 RIN Data'!$AB60</f>
        <v>0</v>
      </c>
      <c r="G299" s="42">
        <f>'Monthly D4 RIN Data'!$AB72</f>
        <v>0</v>
      </c>
      <c r="H299" s="42">
        <f>'Monthly D4 RIN Data'!$AB84</f>
        <v>0</v>
      </c>
      <c r="I299" s="42">
        <f>'Monthly D4 RIN Data'!$AB96</f>
        <v>0</v>
      </c>
      <c r="J299" s="42">
        <f>'Monthly D4 RIN Data'!$AB108</f>
        <v>0</v>
      </c>
      <c r="K299" s="42">
        <f>'Monthly D4 RIN Data'!$AB120</f>
        <v>0</v>
      </c>
      <c r="L299" s="42">
        <f>'Monthly D4 RIN Data'!$AB132</f>
        <v>0</v>
      </c>
      <c r="M299" s="42">
        <f>'Monthly D4 RIN Data'!$AB144</f>
        <v>0</v>
      </c>
      <c r="N299" s="42">
        <f>'Monthly D4 RIN Data'!$AB156</f>
        <v>0</v>
      </c>
      <c r="O299" s="42">
        <f>'Monthly D4 RIN Data'!$AB168</f>
        <v>0</v>
      </c>
      <c r="P299" s="42">
        <f>'Monthly D4 RIN Data'!$AB180</f>
        <v>0</v>
      </c>
      <c r="Q299" s="43">
        <f>'D4 Gallon Forecast'!Q301</f>
        <v>0</v>
      </c>
      <c r="R299" s="43">
        <f>'D4 Gallon Forecast'!R301</f>
        <v>0</v>
      </c>
      <c r="S299" s="43">
        <f>'D4 Gallon Forecast'!S301</f>
        <v>0</v>
      </c>
      <c r="T299" s="43">
        <f>'D4 Gallon Forecast'!T301</f>
        <v>0</v>
      </c>
      <c r="U299" s="43">
        <f>'D4 Gallon Forecast'!U301</f>
        <v>0</v>
      </c>
      <c r="V299" s="43">
        <f>'D4 Gallon Forecast'!V301</f>
        <v>0</v>
      </c>
      <c r="W299" s="43">
        <f>'D4 Gallon Forecast'!W301</f>
        <v>0</v>
      </c>
      <c r="X299" s="43">
        <f>'D4 Gallon Forecast'!X301</f>
        <v>0</v>
      </c>
      <c r="Y299" s="43">
        <f>'D4 Gallon Forecast'!Y301</f>
        <v>0</v>
      </c>
      <c r="Z299" s="43">
        <f>'D4 Gallon Forecast'!Z301</f>
        <v>0</v>
      </c>
      <c r="AA299" s="43">
        <f>'D4 Gallon Forecast'!AA301</f>
        <v>0</v>
      </c>
      <c r="AB299" s="43">
        <f>'D4 Gallon Forecast'!AB301</f>
        <v>0</v>
      </c>
      <c r="AC299" s="43">
        <f>'D4 Gallon Forecast'!AC301</f>
        <v>0</v>
      </c>
      <c r="AD299" s="43">
        <f>'D4 Gallon Forecast'!AD301</f>
        <v>0</v>
      </c>
      <c r="AE299" s="43">
        <f>'D4 Gallon Forecast'!AE301</f>
        <v>0</v>
      </c>
      <c r="AF299" s="43">
        <f>'D4 Gallon Forecast'!AF301</f>
        <v>0</v>
      </c>
      <c r="AG299" s="43">
        <f>'D4 Gallon Forecast'!AG301</f>
        <v>0</v>
      </c>
      <c r="AH299" s="43">
        <f>'D4 Gallon Forecast'!AH301</f>
        <v>0</v>
      </c>
      <c r="AI299" s="43">
        <f>'D4 Gallon Forecast'!AI301</f>
        <v>0</v>
      </c>
      <c r="AJ299" s="43">
        <f>'D4 Gallon Forecast'!AJ301</f>
        <v>0</v>
      </c>
      <c r="AK299" s="43">
        <f>'D4 Gallon Forecast'!AK301</f>
        <v>0</v>
      </c>
      <c r="AL299" s="43">
        <f>'D4 Gallon Forecast'!AL301</f>
        <v>0</v>
      </c>
      <c r="AM299" s="43">
        <f>'D4 Gallon Forecast'!AM301</f>
        <v>0</v>
      </c>
      <c r="AN299" s="43">
        <f>'D4 Gallon Forecast'!AN301</f>
        <v>0</v>
      </c>
      <c r="AO299" s="43">
        <f>'D4 Gallon Forecast'!AO301</f>
        <v>0</v>
      </c>
      <c r="AP299" s="43">
        <f>'D4 Gallon Forecast'!AP301</f>
        <v>0</v>
      </c>
      <c r="AQ299" s="43"/>
    </row>
    <row r="300" spans="1:43">
      <c r="A300" s="40" t="s">
        <v>52</v>
      </c>
      <c r="B300" s="42">
        <f>'Monthly D4 RIN Data'!$AB13</f>
        <v>0</v>
      </c>
      <c r="C300" s="42">
        <f>'Monthly D4 RIN Data'!$AB25</f>
        <v>0</v>
      </c>
      <c r="D300" s="42">
        <f>'Monthly D4 RIN Data'!$AB37</f>
        <v>0</v>
      </c>
      <c r="E300" s="42">
        <f>'Monthly D4 RIN Data'!$AB49</f>
        <v>0</v>
      </c>
      <c r="F300" s="42">
        <f>'Monthly D4 RIN Data'!$AB61</f>
        <v>0</v>
      </c>
      <c r="G300" s="42">
        <f>'Monthly D4 RIN Data'!$AB73</f>
        <v>0</v>
      </c>
      <c r="H300" s="42">
        <f>'Monthly D4 RIN Data'!$AB85</f>
        <v>0</v>
      </c>
      <c r="I300" s="42">
        <f>'Monthly D4 RIN Data'!$AB97</f>
        <v>0</v>
      </c>
      <c r="J300" s="42">
        <f>'Monthly D4 RIN Data'!$AB109</f>
        <v>0</v>
      </c>
      <c r="K300" s="42">
        <f>'Monthly D4 RIN Data'!$AB121</f>
        <v>0</v>
      </c>
      <c r="L300" s="42">
        <f>'Monthly D4 RIN Data'!$AB133</f>
        <v>0</v>
      </c>
      <c r="M300" s="42">
        <f>'Monthly D4 RIN Data'!$AB145</f>
        <v>0</v>
      </c>
      <c r="N300" s="42">
        <f>'Monthly D4 RIN Data'!$AB157</f>
        <v>0</v>
      </c>
      <c r="O300" s="42">
        <f>'Monthly D4 RIN Data'!$AB169</f>
        <v>0</v>
      </c>
      <c r="P300" s="42">
        <f>'Monthly D4 RIN Data'!$AB181</f>
        <v>0</v>
      </c>
      <c r="Q300" s="43">
        <f>'D4 Gallon Forecast'!Q302</f>
        <v>0</v>
      </c>
      <c r="R300" s="43">
        <f>'D4 Gallon Forecast'!R302</f>
        <v>0</v>
      </c>
      <c r="S300" s="43">
        <f>'D4 Gallon Forecast'!S302</f>
        <v>0</v>
      </c>
      <c r="T300" s="43">
        <f>'D4 Gallon Forecast'!T302</f>
        <v>0</v>
      </c>
      <c r="U300" s="43">
        <f>'D4 Gallon Forecast'!U302</f>
        <v>0</v>
      </c>
      <c r="V300" s="43">
        <f>'D4 Gallon Forecast'!V302</f>
        <v>0</v>
      </c>
      <c r="W300" s="43">
        <f>'D4 Gallon Forecast'!W302</f>
        <v>0</v>
      </c>
      <c r="X300" s="43">
        <f>'D4 Gallon Forecast'!X302</f>
        <v>0</v>
      </c>
      <c r="Y300" s="43">
        <f>'D4 Gallon Forecast'!Y302</f>
        <v>0</v>
      </c>
      <c r="Z300" s="43">
        <f>'D4 Gallon Forecast'!Z302</f>
        <v>0</v>
      </c>
      <c r="AA300" s="43">
        <f>'D4 Gallon Forecast'!AA302</f>
        <v>0</v>
      </c>
      <c r="AB300" s="43">
        <f>'D4 Gallon Forecast'!AB302</f>
        <v>0</v>
      </c>
      <c r="AC300" s="43">
        <f>'D4 Gallon Forecast'!AC302</f>
        <v>0</v>
      </c>
      <c r="AD300" s="43">
        <f>'D4 Gallon Forecast'!AD302</f>
        <v>0</v>
      </c>
      <c r="AE300" s="43">
        <f>'D4 Gallon Forecast'!AE302</f>
        <v>0</v>
      </c>
      <c r="AF300" s="43">
        <f>'D4 Gallon Forecast'!AF302</f>
        <v>0</v>
      </c>
      <c r="AG300" s="43">
        <f>'D4 Gallon Forecast'!AG302</f>
        <v>0</v>
      </c>
      <c r="AH300" s="43">
        <f>'D4 Gallon Forecast'!AH302</f>
        <v>0</v>
      </c>
      <c r="AI300" s="43">
        <f>'D4 Gallon Forecast'!AI302</f>
        <v>0</v>
      </c>
      <c r="AJ300" s="43">
        <f>'D4 Gallon Forecast'!AJ302</f>
        <v>0</v>
      </c>
      <c r="AK300" s="43">
        <f>'D4 Gallon Forecast'!AK302</f>
        <v>0</v>
      </c>
      <c r="AL300" s="43">
        <f>'D4 Gallon Forecast'!AL302</f>
        <v>0</v>
      </c>
      <c r="AM300" s="43">
        <f>'D4 Gallon Forecast'!AM302</f>
        <v>0</v>
      </c>
      <c r="AN300" s="43">
        <f>'D4 Gallon Forecast'!AN302</f>
        <v>0</v>
      </c>
      <c r="AO300" s="43">
        <f>'D4 Gallon Forecast'!AO302</f>
        <v>0</v>
      </c>
      <c r="AP300" s="43">
        <f>'D4 Gallon Forecast'!AP302</f>
        <v>0</v>
      </c>
      <c r="AQ300" s="43"/>
    </row>
    <row r="301" spans="1:43">
      <c r="A301" s="40" t="s">
        <v>53</v>
      </c>
      <c r="B301" s="42">
        <f>'Monthly D4 RIN Data'!$AB14</f>
        <v>0</v>
      </c>
      <c r="C301" s="42">
        <f>'Monthly D4 RIN Data'!$AB26</f>
        <v>0</v>
      </c>
      <c r="D301" s="42">
        <f>'Monthly D4 RIN Data'!$AB38</f>
        <v>0</v>
      </c>
      <c r="E301" s="42">
        <f>'Monthly D4 RIN Data'!$AB50</f>
        <v>0</v>
      </c>
      <c r="F301" s="42">
        <f>'Monthly D4 RIN Data'!$AB62</f>
        <v>0</v>
      </c>
      <c r="G301" s="42">
        <f>'Monthly D4 RIN Data'!$AB74</f>
        <v>0</v>
      </c>
      <c r="H301" s="42">
        <f>'Monthly D4 RIN Data'!$AB86</f>
        <v>0</v>
      </c>
      <c r="I301" s="42">
        <f>'Monthly D4 RIN Data'!$AB98</f>
        <v>0</v>
      </c>
      <c r="J301" s="42">
        <f>'Monthly D4 RIN Data'!$AB110</f>
        <v>0</v>
      </c>
      <c r="K301" s="42">
        <f>'Monthly D4 RIN Data'!$AB122</f>
        <v>0</v>
      </c>
      <c r="L301" s="42">
        <f>'Monthly D4 RIN Data'!$AB134</f>
        <v>0</v>
      </c>
      <c r="M301" s="42">
        <f>'Monthly D4 RIN Data'!$AB146</f>
        <v>0</v>
      </c>
      <c r="N301" s="42">
        <f>'Monthly D4 RIN Data'!$AB158</f>
        <v>0</v>
      </c>
      <c r="O301" s="42">
        <f>'Monthly D4 RIN Data'!$AB170</f>
        <v>0</v>
      </c>
      <c r="P301" s="42">
        <f>'Monthly D4 RIN Data'!$AB182</f>
        <v>0</v>
      </c>
      <c r="Q301" s="43">
        <f>'D4 Gallon Forecast'!Q303</f>
        <v>0</v>
      </c>
      <c r="R301" s="43">
        <f>'D4 Gallon Forecast'!R303</f>
        <v>0</v>
      </c>
      <c r="S301" s="43">
        <f>'D4 Gallon Forecast'!S303</f>
        <v>0</v>
      </c>
      <c r="T301" s="43">
        <f>'D4 Gallon Forecast'!T303</f>
        <v>0</v>
      </c>
      <c r="U301" s="43">
        <f>'D4 Gallon Forecast'!U303</f>
        <v>0</v>
      </c>
      <c r="V301" s="43">
        <f>'D4 Gallon Forecast'!V303</f>
        <v>0</v>
      </c>
      <c r="W301" s="43">
        <f>'D4 Gallon Forecast'!W303</f>
        <v>0</v>
      </c>
      <c r="X301" s="43">
        <f>'D4 Gallon Forecast'!X303</f>
        <v>0</v>
      </c>
      <c r="Y301" s="43">
        <f>'D4 Gallon Forecast'!Y303</f>
        <v>0</v>
      </c>
      <c r="Z301" s="43">
        <f>'D4 Gallon Forecast'!Z303</f>
        <v>0</v>
      </c>
      <c r="AA301" s="43">
        <f>'D4 Gallon Forecast'!AA303</f>
        <v>0</v>
      </c>
      <c r="AB301" s="43">
        <f>'D4 Gallon Forecast'!AB303</f>
        <v>0</v>
      </c>
      <c r="AC301" s="43">
        <f>'D4 Gallon Forecast'!AC303</f>
        <v>0</v>
      </c>
      <c r="AD301" s="43">
        <f>'D4 Gallon Forecast'!AD303</f>
        <v>0</v>
      </c>
      <c r="AE301" s="43">
        <f>'D4 Gallon Forecast'!AE303</f>
        <v>0</v>
      </c>
      <c r="AF301" s="43">
        <f>'D4 Gallon Forecast'!AF303</f>
        <v>0</v>
      </c>
      <c r="AG301" s="43">
        <f>'D4 Gallon Forecast'!AG303</f>
        <v>0</v>
      </c>
      <c r="AH301" s="43">
        <f>'D4 Gallon Forecast'!AH303</f>
        <v>0</v>
      </c>
      <c r="AI301" s="43">
        <f>'D4 Gallon Forecast'!AI303</f>
        <v>0</v>
      </c>
      <c r="AJ301" s="43">
        <f>'D4 Gallon Forecast'!AJ303</f>
        <v>0</v>
      </c>
      <c r="AK301" s="43">
        <f>'D4 Gallon Forecast'!AK303</f>
        <v>0</v>
      </c>
      <c r="AL301" s="43">
        <f>'D4 Gallon Forecast'!AL303</f>
        <v>0</v>
      </c>
      <c r="AM301" s="43">
        <f>'D4 Gallon Forecast'!AM303</f>
        <v>0</v>
      </c>
      <c r="AN301" s="43">
        <f>'D4 Gallon Forecast'!AN303</f>
        <v>0</v>
      </c>
      <c r="AO301" s="43">
        <f>'D4 Gallon Forecast'!AO303</f>
        <v>0</v>
      </c>
      <c r="AP301" s="43">
        <f>'D4 Gallon Forecast'!AP303</f>
        <v>0</v>
      </c>
      <c r="AQ301" s="43"/>
    </row>
    <row r="302" spans="1:43">
      <c r="A302" s="40" t="s">
        <v>54</v>
      </c>
      <c r="B302" s="42">
        <f>'Monthly D4 RIN Data'!$AB15</f>
        <v>0</v>
      </c>
      <c r="C302" s="42">
        <f>'Monthly D4 RIN Data'!$AB27</f>
        <v>0</v>
      </c>
      <c r="D302" s="42">
        <f>'Monthly D4 RIN Data'!$AB39</f>
        <v>0</v>
      </c>
      <c r="E302" s="42">
        <f>'Monthly D4 RIN Data'!$AB51</f>
        <v>0</v>
      </c>
      <c r="F302" s="42">
        <f>'Monthly D4 RIN Data'!$AB63</f>
        <v>0</v>
      </c>
      <c r="G302" s="42">
        <f>'Monthly D4 RIN Data'!$AB75</f>
        <v>0</v>
      </c>
      <c r="H302" s="42">
        <f>'Monthly D4 RIN Data'!$AB87</f>
        <v>0</v>
      </c>
      <c r="I302" s="42">
        <f>'Monthly D4 RIN Data'!$AB99</f>
        <v>0</v>
      </c>
      <c r="J302" s="42">
        <f>'Monthly D4 RIN Data'!$AB111</f>
        <v>0</v>
      </c>
      <c r="K302" s="42">
        <f>'Monthly D4 RIN Data'!$AB123</f>
        <v>0</v>
      </c>
      <c r="L302" s="42">
        <f>'Monthly D4 RIN Data'!$AB135</f>
        <v>0</v>
      </c>
      <c r="M302" s="42">
        <f>'Monthly D4 RIN Data'!$AB147</f>
        <v>0</v>
      </c>
      <c r="N302" s="42">
        <f>'Monthly D4 RIN Data'!$AB159</f>
        <v>0</v>
      </c>
      <c r="O302" s="42">
        <f>'Monthly D4 RIN Data'!$AB171</f>
        <v>0</v>
      </c>
      <c r="P302" s="42">
        <f>'Monthly D4 RIN Data'!$AB183</f>
        <v>0</v>
      </c>
      <c r="Q302" s="43">
        <f>'D4 Gallon Forecast'!Q304</f>
        <v>0</v>
      </c>
      <c r="R302" s="43">
        <f>'D4 Gallon Forecast'!R304</f>
        <v>0</v>
      </c>
      <c r="S302" s="43">
        <f>'D4 Gallon Forecast'!S304</f>
        <v>0</v>
      </c>
      <c r="T302" s="43">
        <f>'D4 Gallon Forecast'!T304</f>
        <v>0</v>
      </c>
      <c r="U302" s="43">
        <f>'D4 Gallon Forecast'!U304</f>
        <v>0</v>
      </c>
      <c r="V302" s="43">
        <f>'D4 Gallon Forecast'!V304</f>
        <v>0</v>
      </c>
      <c r="W302" s="43">
        <f>'D4 Gallon Forecast'!W304</f>
        <v>0</v>
      </c>
      <c r="X302" s="43">
        <f>'D4 Gallon Forecast'!X304</f>
        <v>0</v>
      </c>
      <c r="Y302" s="43">
        <f>'D4 Gallon Forecast'!Y304</f>
        <v>0</v>
      </c>
      <c r="Z302" s="43">
        <f>'D4 Gallon Forecast'!Z304</f>
        <v>0</v>
      </c>
      <c r="AA302" s="43">
        <f>'D4 Gallon Forecast'!AA304</f>
        <v>0</v>
      </c>
      <c r="AB302" s="43">
        <f>'D4 Gallon Forecast'!AB304</f>
        <v>0</v>
      </c>
      <c r="AC302" s="43">
        <f>'D4 Gallon Forecast'!AC304</f>
        <v>0</v>
      </c>
      <c r="AD302" s="43">
        <f>'D4 Gallon Forecast'!AD304</f>
        <v>0</v>
      </c>
      <c r="AE302" s="43">
        <f>'D4 Gallon Forecast'!AE304</f>
        <v>0</v>
      </c>
      <c r="AF302" s="43">
        <f>'D4 Gallon Forecast'!AF304</f>
        <v>0</v>
      </c>
      <c r="AG302" s="43">
        <f>'D4 Gallon Forecast'!AG304</f>
        <v>0</v>
      </c>
      <c r="AH302" s="43">
        <f>'D4 Gallon Forecast'!AH304</f>
        <v>0</v>
      </c>
      <c r="AI302" s="43">
        <f>'D4 Gallon Forecast'!AI304</f>
        <v>0</v>
      </c>
      <c r="AJ302" s="43">
        <f>'D4 Gallon Forecast'!AJ304</f>
        <v>0</v>
      </c>
      <c r="AK302" s="43">
        <f>'D4 Gallon Forecast'!AK304</f>
        <v>0</v>
      </c>
      <c r="AL302" s="43">
        <f>'D4 Gallon Forecast'!AL304</f>
        <v>0</v>
      </c>
      <c r="AM302" s="43">
        <f>'D4 Gallon Forecast'!AM304</f>
        <v>0</v>
      </c>
      <c r="AN302" s="43">
        <f>'D4 Gallon Forecast'!AN304</f>
        <v>0</v>
      </c>
      <c r="AO302" s="43">
        <f>'D4 Gallon Forecast'!AO304</f>
        <v>0</v>
      </c>
      <c r="AP302" s="43">
        <f>'D4 Gallon Forecast'!AP304</f>
        <v>0</v>
      </c>
      <c r="AQ302" s="43"/>
    </row>
    <row r="303" spans="1:43">
      <c r="A303" s="40" t="s">
        <v>29</v>
      </c>
      <c r="B303" s="42">
        <f t="shared" ref="B303:AP303" si="99">SUM(B291:B302)</f>
        <v>0</v>
      </c>
      <c r="C303" s="42">
        <f t="shared" si="99"/>
        <v>0</v>
      </c>
      <c r="D303" s="42">
        <f t="shared" si="99"/>
        <v>0</v>
      </c>
      <c r="E303" s="42">
        <f t="shared" si="99"/>
        <v>0</v>
      </c>
      <c r="F303" s="42">
        <f t="shared" si="99"/>
        <v>0</v>
      </c>
      <c r="G303" s="42">
        <f t="shared" si="99"/>
        <v>0</v>
      </c>
      <c r="H303" s="42">
        <f t="shared" si="99"/>
        <v>0</v>
      </c>
      <c r="I303" s="42">
        <f t="shared" si="99"/>
        <v>0</v>
      </c>
      <c r="J303" s="42">
        <f t="shared" si="99"/>
        <v>0</v>
      </c>
      <c r="K303" s="42">
        <f t="shared" si="99"/>
        <v>0</v>
      </c>
      <c r="L303" s="42">
        <f t="shared" si="99"/>
        <v>0</v>
      </c>
      <c r="M303" s="42">
        <f t="shared" si="99"/>
        <v>0</v>
      </c>
      <c r="N303" s="42">
        <f t="shared" si="99"/>
        <v>0</v>
      </c>
      <c r="O303" s="42">
        <f t="shared" si="99"/>
        <v>0</v>
      </c>
      <c r="P303" s="42">
        <f t="shared" si="99"/>
        <v>0</v>
      </c>
      <c r="Q303" s="43">
        <f t="shared" si="99"/>
        <v>0</v>
      </c>
      <c r="R303" s="43">
        <f t="shared" si="99"/>
        <v>0</v>
      </c>
      <c r="S303" s="43">
        <f t="shared" si="99"/>
        <v>0</v>
      </c>
      <c r="T303" s="43">
        <f t="shared" si="99"/>
        <v>0</v>
      </c>
      <c r="U303" s="43">
        <f t="shared" si="99"/>
        <v>0</v>
      </c>
      <c r="V303" s="43">
        <f t="shared" si="99"/>
        <v>0</v>
      </c>
      <c r="W303" s="43">
        <f t="shared" si="99"/>
        <v>0</v>
      </c>
      <c r="X303" s="43">
        <f t="shared" si="99"/>
        <v>0</v>
      </c>
      <c r="Y303" s="43">
        <f t="shared" si="99"/>
        <v>0</v>
      </c>
      <c r="Z303" s="43">
        <f t="shared" si="99"/>
        <v>0</v>
      </c>
      <c r="AA303" s="43">
        <f t="shared" si="99"/>
        <v>0</v>
      </c>
      <c r="AB303" s="43">
        <f t="shared" si="99"/>
        <v>0</v>
      </c>
      <c r="AC303" s="43">
        <f t="shared" si="99"/>
        <v>0</v>
      </c>
      <c r="AD303" s="43">
        <f t="shared" si="99"/>
        <v>0</v>
      </c>
      <c r="AE303" s="43">
        <f t="shared" si="99"/>
        <v>0</v>
      </c>
      <c r="AF303" s="43">
        <f t="shared" si="99"/>
        <v>0</v>
      </c>
      <c r="AG303" s="43">
        <f t="shared" si="99"/>
        <v>0</v>
      </c>
      <c r="AH303" s="43">
        <f t="shared" si="99"/>
        <v>0</v>
      </c>
      <c r="AI303" s="43">
        <f t="shared" si="99"/>
        <v>0</v>
      </c>
      <c r="AJ303" s="43">
        <f t="shared" si="99"/>
        <v>0</v>
      </c>
      <c r="AK303" s="43">
        <f t="shared" si="99"/>
        <v>0</v>
      </c>
      <c r="AL303" s="43">
        <f t="shared" si="99"/>
        <v>0</v>
      </c>
      <c r="AM303" s="43">
        <f t="shared" si="99"/>
        <v>0</v>
      </c>
      <c r="AN303" s="43">
        <f t="shared" si="99"/>
        <v>0</v>
      </c>
      <c r="AO303" s="43">
        <f t="shared" si="99"/>
        <v>0</v>
      </c>
      <c r="AP303" s="43">
        <f t="shared" si="99"/>
        <v>0</v>
      </c>
      <c r="AQ303" s="43"/>
    </row>
    <row r="305" spans="1:43" ht="12" thickBot="1">
      <c r="A305" s="245" t="s">
        <v>394</v>
      </c>
    </row>
    <row r="306" spans="1:43" ht="12" thickBot="1">
      <c r="A306" s="270"/>
      <c r="B306" s="263">
        <v>2010</v>
      </c>
      <c r="C306" s="263">
        <v>2011</v>
      </c>
      <c r="D306" s="263">
        <v>2012</v>
      </c>
      <c r="E306" s="263">
        <v>2013</v>
      </c>
      <c r="F306" s="263">
        <v>2014</v>
      </c>
      <c r="G306" s="263">
        <v>2015</v>
      </c>
      <c r="H306" s="263">
        <v>2016</v>
      </c>
      <c r="I306" s="263">
        <v>2017</v>
      </c>
      <c r="J306" s="263">
        <v>2018</v>
      </c>
      <c r="K306" s="263">
        <v>2019</v>
      </c>
      <c r="L306" s="263">
        <v>2020</v>
      </c>
      <c r="M306" s="263">
        <v>2021</v>
      </c>
      <c r="N306" s="263">
        <v>2022</v>
      </c>
      <c r="O306" s="263">
        <v>2023</v>
      </c>
      <c r="P306" s="263">
        <v>2024</v>
      </c>
      <c r="Q306" s="263">
        <v>2025</v>
      </c>
      <c r="R306" s="263">
        <v>2026</v>
      </c>
      <c r="S306" s="263">
        <v>2027</v>
      </c>
      <c r="T306" s="263">
        <v>2028</v>
      </c>
      <c r="U306" s="263">
        <v>2029</v>
      </c>
      <c r="V306" s="263">
        <v>2030</v>
      </c>
      <c r="W306" s="263">
        <v>2031</v>
      </c>
      <c r="X306" s="263">
        <v>2032</v>
      </c>
      <c r="Y306" s="263">
        <v>2033</v>
      </c>
      <c r="Z306" s="263">
        <v>2034</v>
      </c>
      <c r="AA306" s="263">
        <v>2035</v>
      </c>
      <c r="AB306" s="263">
        <v>2036</v>
      </c>
      <c r="AC306" s="263">
        <v>2037</v>
      </c>
      <c r="AD306" s="263">
        <v>2038</v>
      </c>
      <c r="AE306" s="263">
        <v>2039</v>
      </c>
      <c r="AF306" s="263">
        <v>2040</v>
      </c>
      <c r="AG306" s="263">
        <v>2041</v>
      </c>
      <c r="AH306" s="263">
        <v>2042</v>
      </c>
      <c r="AI306" s="263">
        <v>2043</v>
      </c>
      <c r="AJ306" s="263">
        <v>2044</v>
      </c>
      <c r="AK306" s="263">
        <v>2045</v>
      </c>
      <c r="AL306" s="263">
        <v>2046</v>
      </c>
      <c r="AM306" s="263">
        <v>2047</v>
      </c>
      <c r="AN306" s="263">
        <v>2048</v>
      </c>
      <c r="AO306" s="263">
        <v>2049</v>
      </c>
      <c r="AP306" s="263">
        <v>2050</v>
      </c>
      <c r="AQ306" s="245"/>
    </row>
    <row r="307" spans="1:43">
      <c r="A307" s="40" t="s">
        <v>43</v>
      </c>
      <c r="B307" s="42">
        <f>'Monthly D4 RIN Data'!$AC4</f>
        <v>0</v>
      </c>
      <c r="C307" s="42">
        <f>'Monthly D4 RIN Data'!$AC16</f>
        <v>0</v>
      </c>
      <c r="D307" s="42">
        <f>'Monthly D4 RIN Data'!$AC28</f>
        <v>0</v>
      </c>
      <c r="E307" s="42">
        <f>'Monthly D4 RIN Data'!$AC40</f>
        <v>0</v>
      </c>
      <c r="F307" s="42">
        <f>'Monthly D4 RIN Data'!$AC52</f>
        <v>9541081</v>
      </c>
      <c r="G307" s="42">
        <f>'Monthly D4 RIN Data'!$AC64</f>
        <v>0</v>
      </c>
      <c r="H307" s="42">
        <f>'Monthly D4 RIN Data'!$AC76</f>
        <v>0</v>
      </c>
      <c r="I307" s="42">
        <f>'Monthly D4 RIN Data'!$AC88</f>
        <v>0</v>
      </c>
      <c r="J307" s="42">
        <f>'Monthly D4 RIN Data'!$AC100</f>
        <v>0</v>
      </c>
      <c r="K307" s="42">
        <f>'Monthly D4 RIN Data'!$AC112</f>
        <v>0</v>
      </c>
      <c r="L307" s="42">
        <f>'Monthly D4 RIN Data'!$AC124</f>
        <v>0</v>
      </c>
      <c r="M307" s="42">
        <f>'Monthly D4 RIN Data'!$AC136</f>
        <v>4861840</v>
      </c>
      <c r="N307" s="42">
        <f>'Monthly D4 RIN Data'!$AC148</f>
        <v>0</v>
      </c>
      <c r="O307" s="42">
        <f>'Monthly D4 RIN Data'!$AC160</f>
        <v>0</v>
      </c>
      <c r="P307" s="42">
        <f>'Monthly D4 RIN Data'!$AC172</f>
        <v>0</v>
      </c>
      <c r="Q307" s="42">
        <f>'Monthly D4 RIN Data'!$AC184</f>
        <v>0</v>
      </c>
      <c r="R307" s="43">
        <f>'D4 Gallon Forecast'!R309</f>
        <v>0</v>
      </c>
      <c r="S307" s="43">
        <f>'D4 Gallon Forecast'!S309</f>
        <v>0</v>
      </c>
      <c r="T307" s="43">
        <f>'D4 Gallon Forecast'!T309</f>
        <v>0</v>
      </c>
      <c r="U307" s="43">
        <f>'D4 Gallon Forecast'!U309</f>
        <v>0</v>
      </c>
      <c r="V307" s="43">
        <f>'D4 Gallon Forecast'!V309</f>
        <v>0</v>
      </c>
      <c r="W307" s="43">
        <f>'D4 Gallon Forecast'!W309</f>
        <v>0</v>
      </c>
      <c r="X307" s="43">
        <f>'D4 Gallon Forecast'!X309</f>
        <v>0</v>
      </c>
      <c r="Y307" s="43">
        <f>'D4 Gallon Forecast'!Y309</f>
        <v>0</v>
      </c>
      <c r="Z307" s="43">
        <f>'D4 Gallon Forecast'!Z309</f>
        <v>0</v>
      </c>
      <c r="AA307" s="43">
        <f>'D4 Gallon Forecast'!AA309</f>
        <v>0</v>
      </c>
      <c r="AB307" s="43">
        <f>'D4 Gallon Forecast'!AB309</f>
        <v>0</v>
      </c>
      <c r="AC307" s="43">
        <f>'D4 Gallon Forecast'!AC309</f>
        <v>0</v>
      </c>
      <c r="AD307" s="43">
        <f>'D4 Gallon Forecast'!AD309</f>
        <v>0</v>
      </c>
      <c r="AE307" s="43">
        <f>'D4 Gallon Forecast'!AE309</f>
        <v>0</v>
      </c>
      <c r="AF307" s="43">
        <f>'D4 Gallon Forecast'!AF309</f>
        <v>0</v>
      </c>
      <c r="AG307" s="43">
        <f>'D4 Gallon Forecast'!AG309</f>
        <v>0</v>
      </c>
      <c r="AH307" s="43">
        <f>'D4 Gallon Forecast'!AH309</f>
        <v>0</v>
      </c>
      <c r="AI307" s="43">
        <f>'D4 Gallon Forecast'!AI309</f>
        <v>0</v>
      </c>
      <c r="AJ307" s="43">
        <f>'D4 Gallon Forecast'!AJ309</f>
        <v>0</v>
      </c>
      <c r="AK307" s="43">
        <f>'D4 Gallon Forecast'!AK309</f>
        <v>0</v>
      </c>
      <c r="AL307" s="43">
        <f>'D4 Gallon Forecast'!AL309</f>
        <v>0</v>
      </c>
      <c r="AM307" s="43">
        <f>'D4 Gallon Forecast'!AM309</f>
        <v>0</v>
      </c>
      <c r="AN307" s="43">
        <f>'D4 Gallon Forecast'!AN309</f>
        <v>0</v>
      </c>
      <c r="AO307" s="43">
        <f>'D4 Gallon Forecast'!AO309</f>
        <v>0</v>
      </c>
      <c r="AP307" s="43">
        <f>'D4 Gallon Forecast'!AP309</f>
        <v>0</v>
      </c>
      <c r="AQ307" s="43"/>
    </row>
    <row r="308" spans="1:43">
      <c r="A308" s="40" t="s">
        <v>44</v>
      </c>
      <c r="B308" s="42">
        <f>'Monthly D4 RIN Data'!$AC5</f>
        <v>0</v>
      </c>
      <c r="C308" s="42">
        <f>'Monthly D4 RIN Data'!$AC17</f>
        <v>0</v>
      </c>
      <c r="D308" s="42">
        <f>'Monthly D4 RIN Data'!$AC29</f>
        <v>0</v>
      </c>
      <c r="E308" s="42">
        <f>'Monthly D4 RIN Data'!$AC41</f>
        <v>4090016</v>
      </c>
      <c r="F308" s="42">
        <f>'Monthly D4 RIN Data'!$AC53</f>
        <v>0</v>
      </c>
      <c r="G308" s="42">
        <f>'Monthly D4 RIN Data'!$AC65</f>
        <v>0</v>
      </c>
      <c r="H308" s="42">
        <f>'Monthly D4 RIN Data'!$AC77</f>
        <v>0</v>
      </c>
      <c r="I308" s="42">
        <f>'Monthly D4 RIN Data'!$AC89</f>
        <v>0</v>
      </c>
      <c r="J308" s="42">
        <f>'Monthly D4 RIN Data'!$AC101</f>
        <v>0</v>
      </c>
      <c r="K308" s="42">
        <f>'Monthly D4 RIN Data'!$AC113</f>
        <v>0</v>
      </c>
      <c r="L308" s="42">
        <f>'Monthly D4 RIN Data'!$AC125</f>
        <v>0</v>
      </c>
      <c r="M308" s="42">
        <f>'Monthly D4 RIN Data'!$AC137</f>
        <v>0</v>
      </c>
      <c r="N308" s="42">
        <f>'Monthly D4 RIN Data'!$AC149</f>
        <v>0</v>
      </c>
      <c r="O308" s="42">
        <f>'Monthly D4 RIN Data'!$AC161</f>
        <v>0</v>
      </c>
      <c r="P308" s="42">
        <f>'Monthly D4 RIN Data'!$AC173</f>
        <v>0</v>
      </c>
      <c r="Q308" s="42">
        <f>'Monthly D4 RIN Data'!$AC185</f>
        <v>0</v>
      </c>
      <c r="R308" s="43">
        <f>'D4 Gallon Forecast'!R310</f>
        <v>0</v>
      </c>
      <c r="S308" s="43">
        <f>'D4 Gallon Forecast'!S310</f>
        <v>0</v>
      </c>
      <c r="T308" s="43">
        <f>'D4 Gallon Forecast'!T310</f>
        <v>0</v>
      </c>
      <c r="U308" s="43">
        <f>'D4 Gallon Forecast'!U310</f>
        <v>0</v>
      </c>
      <c r="V308" s="43">
        <f>'D4 Gallon Forecast'!V310</f>
        <v>0</v>
      </c>
      <c r="W308" s="43">
        <f>'D4 Gallon Forecast'!W310</f>
        <v>0</v>
      </c>
      <c r="X308" s="43">
        <f>'D4 Gallon Forecast'!X310</f>
        <v>0</v>
      </c>
      <c r="Y308" s="43">
        <f>'D4 Gallon Forecast'!Y310</f>
        <v>0</v>
      </c>
      <c r="Z308" s="43">
        <f>'D4 Gallon Forecast'!Z310</f>
        <v>0</v>
      </c>
      <c r="AA308" s="43">
        <f>'D4 Gallon Forecast'!AA310</f>
        <v>0</v>
      </c>
      <c r="AB308" s="43">
        <f>'D4 Gallon Forecast'!AB310</f>
        <v>0</v>
      </c>
      <c r="AC308" s="43">
        <f>'D4 Gallon Forecast'!AC310</f>
        <v>0</v>
      </c>
      <c r="AD308" s="43">
        <f>'D4 Gallon Forecast'!AD310</f>
        <v>0</v>
      </c>
      <c r="AE308" s="43">
        <f>'D4 Gallon Forecast'!AE310</f>
        <v>0</v>
      </c>
      <c r="AF308" s="43">
        <f>'D4 Gallon Forecast'!AF310</f>
        <v>0</v>
      </c>
      <c r="AG308" s="43">
        <f>'D4 Gallon Forecast'!AG310</f>
        <v>0</v>
      </c>
      <c r="AH308" s="43">
        <f>'D4 Gallon Forecast'!AH310</f>
        <v>0</v>
      </c>
      <c r="AI308" s="43">
        <f>'D4 Gallon Forecast'!AI310</f>
        <v>0</v>
      </c>
      <c r="AJ308" s="43">
        <f>'D4 Gallon Forecast'!AJ310</f>
        <v>0</v>
      </c>
      <c r="AK308" s="43">
        <f>'D4 Gallon Forecast'!AK310</f>
        <v>0</v>
      </c>
      <c r="AL308" s="43">
        <f>'D4 Gallon Forecast'!AL310</f>
        <v>0</v>
      </c>
      <c r="AM308" s="43">
        <f>'D4 Gallon Forecast'!AM310</f>
        <v>0</v>
      </c>
      <c r="AN308" s="43">
        <f>'D4 Gallon Forecast'!AN310</f>
        <v>0</v>
      </c>
      <c r="AO308" s="43">
        <f>'D4 Gallon Forecast'!AO310</f>
        <v>0</v>
      </c>
      <c r="AP308" s="43">
        <f>'D4 Gallon Forecast'!AP310</f>
        <v>0</v>
      </c>
      <c r="AQ308" s="43"/>
    </row>
    <row r="309" spans="1:43">
      <c r="A309" s="40" t="s">
        <v>45</v>
      </c>
      <c r="B309" s="42">
        <f>'Monthly D4 RIN Data'!$AC6</f>
        <v>0</v>
      </c>
      <c r="C309" s="42">
        <f>'Monthly D4 RIN Data'!$AC18</f>
        <v>0</v>
      </c>
      <c r="D309" s="42">
        <f>'Monthly D4 RIN Data'!$AC30</f>
        <v>0</v>
      </c>
      <c r="E309" s="42">
        <f>'Monthly D4 RIN Data'!$AC42</f>
        <v>8396103</v>
      </c>
      <c r="F309" s="42">
        <f>'Monthly D4 RIN Data'!$AC54</f>
        <v>0</v>
      </c>
      <c r="G309" s="42">
        <f>'Monthly D4 RIN Data'!$AC66</f>
        <v>0</v>
      </c>
      <c r="H309" s="42">
        <f>'Monthly D4 RIN Data'!$AC78</f>
        <v>0</v>
      </c>
      <c r="I309" s="42">
        <f>'Monthly D4 RIN Data'!$AC90</f>
        <v>0</v>
      </c>
      <c r="J309" s="42">
        <f>'Monthly D4 RIN Data'!$AC102</f>
        <v>0</v>
      </c>
      <c r="K309" s="42">
        <f>'Monthly D4 RIN Data'!$AC114</f>
        <v>0</v>
      </c>
      <c r="L309" s="42">
        <f>'Monthly D4 RIN Data'!$AC126</f>
        <v>0</v>
      </c>
      <c r="M309" s="42">
        <f>'Monthly D4 RIN Data'!$AC138</f>
        <v>0</v>
      </c>
      <c r="N309" s="42">
        <f>'Monthly D4 RIN Data'!$AC150</f>
        <v>0</v>
      </c>
      <c r="O309" s="42">
        <f>'Monthly D4 RIN Data'!$AC162</f>
        <v>0</v>
      </c>
      <c r="P309" s="42">
        <f>'Monthly D4 RIN Data'!$AC174</f>
        <v>0</v>
      </c>
      <c r="Q309" s="42">
        <f>'Monthly D4 RIN Data'!$AC186</f>
        <v>21551583</v>
      </c>
      <c r="R309" s="43">
        <f>'D4 Gallon Forecast'!R311</f>
        <v>0</v>
      </c>
      <c r="S309" s="43">
        <f>'D4 Gallon Forecast'!S311</f>
        <v>0</v>
      </c>
      <c r="T309" s="43">
        <f>'D4 Gallon Forecast'!T311</f>
        <v>0</v>
      </c>
      <c r="U309" s="43">
        <f>'D4 Gallon Forecast'!U311</f>
        <v>0</v>
      </c>
      <c r="V309" s="43">
        <f>'D4 Gallon Forecast'!V311</f>
        <v>0</v>
      </c>
      <c r="W309" s="43">
        <f>'D4 Gallon Forecast'!W311</f>
        <v>0</v>
      </c>
      <c r="X309" s="43">
        <f>'D4 Gallon Forecast'!X311</f>
        <v>0</v>
      </c>
      <c r="Y309" s="43">
        <f>'D4 Gallon Forecast'!Y311</f>
        <v>0</v>
      </c>
      <c r="Z309" s="43">
        <f>'D4 Gallon Forecast'!Z311</f>
        <v>0</v>
      </c>
      <c r="AA309" s="43">
        <f>'D4 Gallon Forecast'!AA311</f>
        <v>0</v>
      </c>
      <c r="AB309" s="43">
        <f>'D4 Gallon Forecast'!AB311</f>
        <v>0</v>
      </c>
      <c r="AC309" s="43">
        <f>'D4 Gallon Forecast'!AC311</f>
        <v>0</v>
      </c>
      <c r="AD309" s="43">
        <f>'D4 Gallon Forecast'!AD311</f>
        <v>0</v>
      </c>
      <c r="AE309" s="43">
        <f>'D4 Gallon Forecast'!AE311</f>
        <v>0</v>
      </c>
      <c r="AF309" s="43">
        <f>'D4 Gallon Forecast'!AF311</f>
        <v>0</v>
      </c>
      <c r="AG309" s="43">
        <f>'D4 Gallon Forecast'!AG311</f>
        <v>0</v>
      </c>
      <c r="AH309" s="43">
        <f>'D4 Gallon Forecast'!AH311</f>
        <v>0</v>
      </c>
      <c r="AI309" s="43">
        <f>'D4 Gallon Forecast'!AI311</f>
        <v>0</v>
      </c>
      <c r="AJ309" s="43">
        <f>'D4 Gallon Forecast'!AJ311</f>
        <v>0</v>
      </c>
      <c r="AK309" s="43">
        <f>'D4 Gallon Forecast'!AK311</f>
        <v>0</v>
      </c>
      <c r="AL309" s="43">
        <f>'D4 Gallon Forecast'!AL311</f>
        <v>0</v>
      </c>
      <c r="AM309" s="43">
        <f>'D4 Gallon Forecast'!AM311</f>
        <v>0</v>
      </c>
      <c r="AN309" s="43">
        <f>'D4 Gallon Forecast'!AN311</f>
        <v>0</v>
      </c>
      <c r="AO309" s="43">
        <f>'D4 Gallon Forecast'!AO311</f>
        <v>0</v>
      </c>
      <c r="AP309" s="43">
        <f>'D4 Gallon Forecast'!AP311</f>
        <v>0</v>
      </c>
      <c r="AQ309" s="43"/>
    </row>
    <row r="310" spans="1:43">
      <c r="A310" s="40" t="s">
        <v>46</v>
      </c>
      <c r="B310" s="42">
        <f>'Monthly D4 RIN Data'!$AC7</f>
        <v>0</v>
      </c>
      <c r="C310" s="42">
        <f>'Monthly D4 RIN Data'!$AC19</f>
        <v>0</v>
      </c>
      <c r="D310" s="42">
        <f>'Monthly D4 RIN Data'!$AC31</f>
        <v>0</v>
      </c>
      <c r="E310" s="42">
        <f>'Monthly D4 RIN Data'!$AC43</f>
        <v>0</v>
      </c>
      <c r="F310" s="42">
        <f>'Monthly D4 RIN Data'!$AC55</f>
        <v>0</v>
      </c>
      <c r="G310" s="42">
        <f>'Monthly D4 RIN Data'!$AC67</f>
        <v>0</v>
      </c>
      <c r="H310" s="42">
        <f>'Monthly D4 RIN Data'!$AC79</f>
        <v>0</v>
      </c>
      <c r="I310" s="42">
        <f>'Monthly D4 RIN Data'!$AC91</f>
        <v>0</v>
      </c>
      <c r="J310" s="42">
        <f>'Monthly D4 RIN Data'!$AC103</f>
        <v>0</v>
      </c>
      <c r="K310" s="42">
        <f>'Monthly D4 RIN Data'!$AC115</f>
        <v>0</v>
      </c>
      <c r="L310" s="42">
        <f>'Monthly D4 RIN Data'!$AC127</f>
        <v>0</v>
      </c>
      <c r="M310" s="42">
        <f>'Monthly D4 RIN Data'!$AC139</f>
        <v>0</v>
      </c>
      <c r="N310" s="42">
        <f>'Monthly D4 RIN Data'!$AC151</f>
        <v>0</v>
      </c>
      <c r="O310" s="42">
        <f>'Monthly D4 RIN Data'!$AC163</f>
        <v>0</v>
      </c>
      <c r="P310" s="42">
        <f>'Monthly D4 RIN Data'!$AC175</f>
        <v>0</v>
      </c>
      <c r="Q310" s="43">
        <f>'D4 Gallon Forecast'!Q312</f>
        <v>0</v>
      </c>
      <c r="R310" s="43">
        <f>'D4 Gallon Forecast'!R312</f>
        <v>0</v>
      </c>
      <c r="S310" s="43">
        <f>'D4 Gallon Forecast'!S312</f>
        <v>0</v>
      </c>
      <c r="T310" s="43">
        <f>'D4 Gallon Forecast'!T312</f>
        <v>0</v>
      </c>
      <c r="U310" s="43">
        <f>'D4 Gallon Forecast'!U312</f>
        <v>0</v>
      </c>
      <c r="V310" s="43">
        <f>'D4 Gallon Forecast'!V312</f>
        <v>0</v>
      </c>
      <c r="W310" s="43">
        <f>'D4 Gallon Forecast'!W312</f>
        <v>0</v>
      </c>
      <c r="X310" s="43">
        <f>'D4 Gallon Forecast'!X312</f>
        <v>0</v>
      </c>
      <c r="Y310" s="43">
        <f>'D4 Gallon Forecast'!Y312</f>
        <v>0</v>
      </c>
      <c r="Z310" s="43">
        <f>'D4 Gallon Forecast'!Z312</f>
        <v>0</v>
      </c>
      <c r="AA310" s="43">
        <f>'D4 Gallon Forecast'!AA312</f>
        <v>0</v>
      </c>
      <c r="AB310" s="43">
        <f>'D4 Gallon Forecast'!AB312</f>
        <v>0</v>
      </c>
      <c r="AC310" s="43">
        <f>'D4 Gallon Forecast'!AC312</f>
        <v>0</v>
      </c>
      <c r="AD310" s="43">
        <f>'D4 Gallon Forecast'!AD312</f>
        <v>0</v>
      </c>
      <c r="AE310" s="43">
        <f>'D4 Gallon Forecast'!AE312</f>
        <v>0</v>
      </c>
      <c r="AF310" s="43">
        <f>'D4 Gallon Forecast'!AF312</f>
        <v>0</v>
      </c>
      <c r="AG310" s="43">
        <f>'D4 Gallon Forecast'!AG312</f>
        <v>0</v>
      </c>
      <c r="AH310" s="43">
        <f>'D4 Gallon Forecast'!AH312</f>
        <v>0</v>
      </c>
      <c r="AI310" s="43">
        <f>'D4 Gallon Forecast'!AI312</f>
        <v>0</v>
      </c>
      <c r="AJ310" s="43">
        <f>'D4 Gallon Forecast'!AJ312</f>
        <v>0</v>
      </c>
      <c r="AK310" s="43">
        <f>'D4 Gallon Forecast'!AK312</f>
        <v>0</v>
      </c>
      <c r="AL310" s="43">
        <f>'D4 Gallon Forecast'!AL312</f>
        <v>0</v>
      </c>
      <c r="AM310" s="43">
        <f>'D4 Gallon Forecast'!AM312</f>
        <v>0</v>
      </c>
      <c r="AN310" s="43">
        <f>'D4 Gallon Forecast'!AN312</f>
        <v>0</v>
      </c>
      <c r="AO310" s="43">
        <f>'D4 Gallon Forecast'!AO312</f>
        <v>0</v>
      </c>
      <c r="AP310" s="43">
        <f>'D4 Gallon Forecast'!AP312</f>
        <v>0</v>
      </c>
      <c r="AQ310" s="43"/>
    </row>
    <row r="311" spans="1:43">
      <c r="A311" s="40" t="s">
        <v>47</v>
      </c>
      <c r="B311" s="42">
        <f>'Monthly D4 RIN Data'!$AC8</f>
        <v>0</v>
      </c>
      <c r="C311" s="42">
        <f>'Monthly D4 RIN Data'!$AC20</f>
        <v>0</v>
      </c>
      <c r="D311" s="42">
        <f>'Monthly D4 RIN Data'!$AC32</f>
        <v>0</v>
      </c>
      <c r="E311" s="42">
        <f>'Monthly D4 RIN Data'!$AC44</f>
        <v>0</v>
      </c>
      <c r="F311" s="42">
        <f>'Monthly D4 RIN Data'!$AC56</f>
        <v>0</v>
      </c>
      <c r="G311" s="42">
        <f>'Monthly D4 RIN Data'!$AC68</f>
        <v>0</v>
      </c>
      <c r="H311" s="42">
        <f>'Monthly D4 RIN Data'!$AC80</f>
        <v>0</v>
      </c>
      <c r="I311" s="42">
        <f>'Monthly D4 RIN Data'!$AC92</f>
        <v>0</v>
      </c>
      <c r="J311" s="42">
        <f>'Monthly D4 RIN Data'!$AC104</f>
        <v>0</v>
      </c>
      <c r="K311" s="42">
        <f>'Monthly D4 RIN Data'!$AC116</f>
        <v>0</v>
      </c>
      <c r="L311" s="42">
        <f>'Monthly D4 RIN Data'!$AC128</f>
        <v>0</v>
      </c>
      <c r="M311" s="42">
        <f>'Monthly D4 RIN Data'!$AC140</f>
        <v>0</v>
      </c>
      <c r="N311" s="42">
        <f>'Monthly D4 RIN Data'!$AC152</f>
        <v>0</v>
      </c>
      <c r="O311" s="42">
        <f>'Monthly D4 RIN Data'!$AC164</f>
        <v>0</v>
      </c>
      <c r="P311" s="42">
        <f>'Monthly D4 RIN Data'!$AC176</f>
        <v>0</v>
      </c>
      <c r="Q311" s="43">
        <f>'D4 Gallon Forecast'!Q313</f>
        <v>0</v>
      </c>
      <c r="R311" s="43">
        <f>'D4 Gallon Forecast'!R313</f>
        <v>0</v>
      </c>
      <c r="S311" s="43">
        <f>'D4 Gallon Forecast'!S313</f>
        <v>0</v>
      </c>
      <c r="T311" s="43">
        <f>'D4 Gallon Forecast'!T313</f>
        <v>0</v>
      </c>
      <c r="U311" s="43">
        <f>'D4 Gallon Forecast'!U313</f>
        <v>0</v>
      </c>
      <c r="V311" s="43">
        <f>'D4 Gallon Forecast'!V313</f>
        <v>0</v>
      </c>
      <c r="W311" s="43">
        <f>'D4 Gallon Forecast'!W313</f>
        <v>0</v>
      </c>
      <c r="X311" s="43">
        <f>'D4 Gallon Forecast'!X313</f>
        <v>0</v>
      </c>
      <c r="Y311" s="43">
        <f>'D4 Gallon Forecast'!Y313</f>
        <v>0</v>
      </c>
      <c r="Z311" s="43">
        <f>'D4 Gallon Forecast'!Z313</f>
        <v>0</v>
      </c>
      <c r="AA311" s="43">
        <f>'D4 Gallon Forecast'!AA313</f>
        <v>0</v>
      </c>
      <c r="AB311" s="43">
        <f>'D4 Gallon Forecast'!AB313</f>
        <v>0</v>
      </c>
      <c r="AC311" s="43">
        <f>'D4 Gallon Forecast'!AC313</f>
        <v>0</v>
      </c>
      <c r="AD311" s="43">
        <f>'D4 Gallon Forecast'!AD313</f>
        <v>0</v>
      </c>
      <c r="AE311" s="43">
        <f>'D4 Gallon Forecast'!AE313</f>
        <v>0</v>
      </c>
      <c r="AF311" s="43">
        <f>'D4 Gallon Forecast'!AF313</f>
        <v>0</v>
      </c>
      <c r="AG311" s="43">
        <f>'D4 Gallon Forecast'!AG313</f>
        <v>0</v>
      </c>
      <c r="AH311" s="43">
        <f>'D4 Gallon Forecast'!AH313</f>
        <v>0</v>
      </c>
      <c r="AI311" s="43">
        <f>'D4 Gallon Forecast'!AI313</f>
        <v>0</v>
      </c>
      <c r="AJ311" s="43">
        <f>'D4 Gallon Forecast'!AJ313</f>
        <v>0</v>
      </c>
      <c r="AK311" s="43">
        <f>'D4 Gallon Forecast'!AK313</f>
        <v>0</v>
      </c>
      <c r="AL311" s="43">
        <f>'D4 Gallon Forecast'!AL313</f>
        <v>0</v>
      </c>
      <c r="AM311" s="43">
        <f>'D4 Gallon Forecast'!AM313</f>
        <v>0</v>
      </c>
      <c r="AN311" s="43">
        <f>'D4 Gallon Forecast'!AN313</f>
        <v>0</v>
      </c>
      <c r="AO311" s="43">
        <f>'D4 Gallon Forecast'!AO313</f>
        <v>0</v>
      </c>
      <c r="AP311" s="43">
        <f>'D4 Gallon Forecast'!AP313</f>
        <v>0</v>
      </c>
      <c r="AQ311" s="43"/>
    </row>
    <row r="312" spans="1:43">
      <c r="A312" s="40" t="s">
        <v>48</v>
      </c>
      <c r="B312" s="42">
        <f>'Monthly D4 RIN Data'!$AC9</f>
        <v>0</v>
      </c>
      <c r="C312" s="42">
        <f>'Monthly D4 RIN Data'!$AC21</f>
        <v>0</v>
      </c>
      <c r="D312" s="42">
        <f>'Monthly D4 RIN Data'!$AC33</f>
        <v>0</v>
      </c>
      <c r="E312" s="42">
        <f>'Monthly D4 RIN Data'!$AC45</f>
        <v>8066041</v>
      </c>
      <c r="F312" s="42">
        <f>'Monthly D4 RIN Data'!$AC57</f>
        <v>0</v>
      </c>
      <c r="G312" s="42">
        <f>'Monthly D4 RIN Data'!$AC69</f>
        <v>0</v>
      </c>
      <c r="H312" s="42">
        <f>'Monthly D4 RIN Data'!$AC81</f>
        <v>0</v>
      </c>
      <c r="I312" s="42">
        <f>'Monthly D4 RIN Data'!$AC93</f>
        <v>0</v>
      </c>
      <c r="J312" s="42">
        <f>'Monthly D4 RIN Data'!$AC105</f>
        <v>0</v>
      </c>
      <c r="K312" s="42">
        <f>'Monthly D4 RIN Data'!$AC117</f>
        <v>0</v>
      </c>
      <c r="L312" s="42">
        <f>'Monthly D4 RIN Data'!$AC129</f>
        <v>0</v>
      </c>
      <c r="M312" s="42">
        <f>'Monthly D4 RIN Data'!$AC141</f>
        <v>0</v>
      </c>
      <c r="N312" s="42">
        <f>'Monthly D4 RIN Data'!$AC153</f>
        <v>0</v>
      </c>
      <c r="O312" s="42">
        <f>'Monthly D4 RIN Data'!$AC165</f>
        <v>0</v>
      </c>
      <c r="P312" s="42">
        <f>'Monthly D4 RIN Data'!$AC177</f>
        <v>0</v>
      </c>
      <c r="Q312" s="43">
        <f>'D4 Gallon Forecast'!Q314</f>
        <v>0</v>
      </c>
      <c r="R312" s="43">
        <f>'D4 Gallon Forecast'!R314</f>
        <v>0</v>
      </c>
      <c r="S312" s="43">
        <f>'D4 Gallon Forecast'!S314</f>
        <v>0</v>
      </c>
      <c r="T312" s="43">
        <f>'D4 Gallon Forecast'!T314</f>
        <v>0</v>
      </c>
      <c r="U312" s="43">
        <f>'D4 Gallon Forecast'!U314</f>
        <v>0</v>
      </c>
      <c r="V312" s="43">
        <f>'D4 Gallon Forecast'!V314</f>
        <v>0</v>
      </c>
      <c r="W312" s="43">
        <f>'D4 Gallon Forecast'!W314</f>
        <v>0</v>
      </c>
      <c r="X312" s="43">
        <f>'D4 Gallon Forecast'!X314</f>
        <v>0</v>
      </c>
      <c r="Y312" s="43">
        <f>'D4 Gallon Forecast'!Y314</f>
        <v>0</v>
      </c>
      <c r="Z312" s="43">
        <f>'D4 Gallon Forecast'!Z314</f>
        <v>0</v>
      </c>
      <c r="AA312" s="43">
        <f>'D4 Gallon Forecast'!AA314</f>
        <v>0</v>
      </c>
      <c r="AB312" s="43">
        <f>'D4 Gallon Forecast'!AB314</f>
        <v>0</v>
      </c>
      <c r="AC312" s="43">
        <f>'D4 Gallon Forecast'!AC314</f>
        <v>0</v>
      </c>
      <c r="AD312" s="43">
        <f>'D4 Gallon Forecast'!AD314</f>
        <v>0</v>
      </c>
      <c r="AE312" s="43">
        <f>'D4 Gallon Forecast'!AE314</f>
        <v>0</v>
      </c>
      <c r="AF312" s="43">
        <f>'D4 Gallon Forecast'!AF314</f>
        <v>0</v>
      </c>
      <c r="AG312" s="43">
        <f>'D4 Gallon Forecast'!AG314</f>
        <v>0</v>
      </c>
      <c r="AH312" s="43">
        <f>'D4 Gallon Forecast'!AH314</f>
        <v>0</v>
      </c>
      <c r="AI312" s="43">
        <f>'D4 Gallon Forecast'!AI314</f>
        <v>0</v>
      </c>
      <c r="AJ312" s="43">
        <f>'D4 Gallon Forecast'!AJ314</f>
        <v>0</v>
      </c>
      <c r="AK312" s="43">
        <f>'D4 Gallon Forecast'!AK314</f>
        <v>0</v>
      </c>
      <c r="AL312" s="43">
        <f>'D4 Gallon Forecast'!AL314</f>
        <v>0</v>
      </c>
      <c r="AM312" s="43">
        <f>'D4 Gallon Forecast'!AM314</f>
        <v>0</v>
      </c>
      <c r="AN312" s="43">
        <f>'D4 Gallon Forecast'!AN314</f>
        <v>0</v>
      </c>
      <c r="AO312" s="43">
        <f>'D4 Gallon Forecast'!AO314</f>
        <v>0</v>
      </c>
      <c r="AP312" s="43">
        <f>'D4 Gallon Forecast'!AP314</f>
        <v>0</v>
      </c>
      <c r="AQ312" s="43"/>
    </row>
    <row r="313" spans="1:43">
      <c r="A313" s="40" t="s">
        <v>49</v>
      </c>
      <c r="B313" s="42">
        <f>'Monthly D4 RIN Data'!$AC10</f>
        <v>0</v>
      </c>
      <c r="C313" s="42">
        <f>'Monthly D4 RIN Data'!$AC22</f>
        <v>0</v>
      </c>
      <c r="D313" s="42">
        <f>'Monthly D4 RIN Data'!$AC34</f>
        <v>0</v>
      </c>
      <c r="E313" s="42">
        <f>'Monthly D4 RIN Data'!$AC46</f>
        <v>12302762</v>
      </c>
      <c r="F313" s="42">
        <f>'Monthly D4 RIN Data'!$AC58</f>
        <v>0</v>
      </c>
      <c r="G313" s="42">
        <f>'Monthly D4 RIN Data'!$AC70</f>
        <v>0</v>
      </c>
      <c r="H313" s="42">
        <f>'Monthly D4 RIN Data'!$AC82</f>
        <v>0</v>
      </c>
      <c r="I313" s="42">
        <f>'Monthly D4 RIN Data'!$AC94</f>
        <v>0</v>
      </c>
      <c r="J313" s="42">
        <f>'Monthly D4 RIN Data'!$AC106</f>
        <v>0</v>
      </c>
      <c r="K313" s="42">
        <f>'Monthly D4 RIN Data'!$AC118</f>
        <v>0</v>
      </c>
      <c r="L313" s="42">
        <f>'Monthly D4 RIN Data'!$AC130</f>
        <v>0</v>
      </c>
      <c r="M313" s="42">
        <f>'Monthly D4 RIN Data'!$AC142</f>
        <v>0</v>
      </c>
      <c r="N313" s="42">
        <f>'Monthly D4 RIN Data'!$AC154</f>
        <v>0</v>
      </c>
      <c r="O313" s="42">
        <f>'Monthly D4 RIN Data'!$AC166</f>
        <v>0</v>
      </c>
      <c r="P313" s="42">
        <f>'Monthly D4 RIN Data'!$AC178</f>
        <v>42802473</v>
      </c>
      <c r="Q313" s="43">
        <f>'D4 Gallon Forecast'!Q315</f>
        <v>0</v>
      </c>
      <c r="R313" s="43">
        <f>'D4 Gallon Forecast'!R315</f>
        <v>0</v>
      </c>
      <c r="S313" s="43">
        <f>'D4 Gallon Forecast'!S315</f>
        <v>0</v>
      </c>
      <c r="T313" s="43">
        <f>'D4 Gallon Forecast'!T315</f>
        <v>0</v>
      </c>
      <c r="U313" s="43">
        <f>'D4 Gallon Forecast'!U315</f>
        <v>0</v>
      </c>
      <c r="V313" s="43">
        <f>'D4 Gallon Forecast'!V315</f>
        <v>0</v>
      </c>
      <c r="W313" s="43">
        <f>'D4 Gallon Forecast'!W315</f>
        <v>0</v>
      </c>
      <c r="X313" s="43">
        <f>'D4 Gallon Forecast'!X315</f>
        <v>0</v>
      </c>
      <c r="Y313" s="43">
        <f>'D4 Gallon Forecast'!Y315</f>
        <v>0</v>
      </c>
      <c r="Z313" s="43">
        <f>'D4 Gallon Forecast'!Z315</f>
        <v>0</v>
      </c>
      <c r="AA313" s="43">
        <f>'D4 Gallon Forecast'!AA315</f>
        <v>0</v>
      </c>
      <c r="AB313" s="43">
        <f>'D4 Gallon Forecast'!AB315</f>
        <v>0</v>
      </c>
      <c r="AC313" s="43">
        <f>'D4 Gallon Forecast'!AC315</f>
        <v>0</v>
      </c>
      <c r="AD313" s="43">
        <f>'D4 Gallon Forecast'!AD315</f>
        <v>0</v>
      </c>
      <c r="AE313" s="43">
        <f>'D4 Gallon Forecast'!AE315</f>
        <v>0</v>
      </c>
      <c r="AF313" s="43">
        <f>'D4 Gallon Forecast'!AF315</f>
        <v>0</v>
      </c>
      <c r="AG313" s="43">
        <f>'D4 Gallon Forecast'!AG315</f>
        <v>0</v>
      </c>
      <c r="AH313" s="43">
        <f>'D4 Gallon Forecast'!AH315</f>
        <v>0</v>
      </c>
      <c r="AI313" s="43">
        <f>'D4 Gallon Forecast'!AI315</f>
        <v>0</v>
      </c>
      <c r="AJ313" s="43">
        <f>'D4 Gallon Forecast'!AJ315</f>
        <v>0</v>
      </c>
      <c r="AK313" s="43">
        <f>'D4 Gallon Forecast'!AK315</f>
        <v>0</v>
      </c>
      <c r="AL313" s="43">
        <f>'D4 Gallon Forecast'!AL315</f>
        <v>0</v>
      </c>
      <c r="AM313" s="43">
        <f>'D4 Gallon Forecast'!AM315</f>
        <v>0</v>
      </c>
      <c r="AN313" s="43">
        <f>'D4 Gallon Forecast'!AN315</f>
        <v>0</v>
      </c>
      <c r="AO313" s="43">
        <f>'D4 Gallon Forecast'!AO315</f>
        <v>0</v>
      </c>
      <c r="AP313" s="43">
        <f>'D4 Gallon Forecast'!AP315</f>
        <v>0</v>
      </c>
      <c r="AQ313" s="43"/>
    </row>
    <row r="314" spans="1:43">
      <c r="A314" s="40" t="s">
        <v>50</v>
      </c>
      <c r="B314" s="42">
        <f>'Monthly D4 RIN Data'!$AC11</f>
        <v>0</v>
      </c>
      <c r="C314" s="42">
        <f>'Monthly D4 RIN Data'!$AC23</f>
        <v>0</v>
      </c>
      <c r="D314" s="42">
        <f>'Monthly D4 RIN Data'!$AC35</f>
        <v>0</v>
      </c>
      <c r="E314" s="42">
        <f>'Monthly D4 RIN Data'!$AC47</f>
        <v>3869496</v>
      </c>
      <c r="F314" s="42">
        <f>'Monthly D4 RIN Data'!$AC59</f>
        <v>0</v>
      </c>
      <c r="G314" s="42">
        <f>'Monthly D4 RIN Data'!$AC71</f>
        <v>0</v>
      </c>
      <c r="H314" s="42">
        <f>'Monthly D4 RIN Data'!$AC83</f>
        <v>0</v>
      </c>
      <c r="I314" s="42">
        <f>'Monthly D4 RIN Data'!$AC95</f>
        <v>0</v>
      </c>
      <c r="J314" s="42">
        <f>'Monthly D4 RIN Data'!$AC107</f>
        <v>0</v>
      </c>
      <c r="K314" s="42">
        <f>'Monthly D4 RIN Data'!$AC119</f>
        <v>0</v>
      </c>
      <c r="L314" s="42">
        <f>'Monthly D4 RIN Data'!$AC131</f>
        <v>0</v>
      </c>
      <c r="M314" s="42">
        <f>'Monthly D4 RIN Data'!$AC143</f>
        <v>0</v>
      </c>
      <c r="N314" s="42">
        <f>'Monthly D4 RIN Data'!$AC155</f>
        <v>0</v>
      </c>
      <c r="O314" s="42">
        <f>'Monthly D4 RIN Data'!$AC167</f>
        <v>0</v>
      </c>
      <c r="P314" s="42">
        <f>'Monthly D4 RIN Data'!$AC179</f>
        <v>0</v>
      </c>
      <c r="Q314" s="43">
        <f>'D4 Gallon Forecast'!Q316</f>
        <v>0</v>
      </c>
      <c r="R314" s="43">
        <f>'D4 Gallon Forecast'!R316</f>
        <v>0</v>
      </c>
      <c r="S314" s="43">
        <f>'D4 Gallon Forecast'!S316</f>
        <v>0</v>
      </c>
      <c r="T314" s="43">
        <f>'D4 Gallon Forecast'!T316</f>
        <v>0</v>
      </c>
      <c r="U314" s="43">
        <f>'D4 Gallon Forecast'!U316</f>
        <v>0</v>
      </c>
      <c r="V314" s="43">
        <f>'D4 Gallon Forecast'!V316</f>
        <v>0</v>
      </c>
      <c r="W314" s="43">
        <f>'D4 Gallon Forecast'!W316</f>
        <v>0</v>
      </c>
      <c r="X314" s="43">
        <f>'D4 Gallon Forecast'!X316</f>
        <v>0</v>
      </c>
      <c r="Y314" s="43">
        <f>'D4 Gallon Forecast'!Y316</f>
        <v>0</v>
      </c>
      <c r="Z314" s="43">
        <f>'D4 Gallon Forecast'!Z316</f>
        <v>0</v>
      </c>
      <c r="AA314" s="43">
        <f>'D4 Gallon Forecast'!AA316</f>
        <v>0</v>
      </c>
      <c r="AB314" s="43">
        <f>'D4 Gallon Forecast'!AB316</f>
        <v>0</v>
      </c>
      <c r="AC314" s="43">
        <f>'D4 Gallon Forecast'!AC316</f>
        <v>0</v>
      </c>
      <c r="AD314" s="43">
        <f>'D4 Gallon Forecast'!AD316</f>
        <v>0</v>
      </c>
      <c r="AE314" s="43">
        <f>'D4 Gallon Forecast'!AE316</f>
        <v>0</v>
      </c>
      <c r="AF314" s="43">
        <f>'D4 Gallon Forecast'!AF316</f>
        <v>0</v>
      </c>
      <c r="AG314" s="43">
        <f>'D4 Gallon Forecast'!AG316</f>
        <v>0</v>
      </c>
      <c r="AH314" s="43">
        <f>'D4 Gallon Forecast'!AH316</f>
        <v>0</v>
      </c>
      <c r="AI314" s="43">
        <f>'D4 Gallon Forecast'!AI316</f>
        <v>0</v>
      </c>
      <c r="AJ314" s="43">
        <f>'D4 Gallon Forecast'!AJ316</f>
        <v>0</v>
      </c>
      <c r="AK314" s="43">
        <f>'D4 Gallon Forecast'!AK316</f>
        <v>0</v>
      </c>
      <c r="AL314" s="43">
        <f>'D4 Gallon Forecast'!AL316</f>
        <v>0</v>
      </c>
      <c r="AM314" s="43">
        <f>'D4 Gallon Forecast'!AM316</f>
        <v>0</v>
      </c>
      <c r="AN314" s="43">
        <f>'D4 Gallon Forecast'!AN316</f>
        <v>0</v>
      </c>
      <c r="AO314" s="43">
        <f>'D4 Gallon Forecast'!AO316</f>
        <v>0</v>
      </c>
      <c r="AP314" s="43">
        <f>'D4 Gallon Forecast'!AP316</f>
        <v>0</v>
      </c>
      <c r="AQ314" s="43"/>
    </row>
    <row r="315" spans="1:43">
      <c r="A315" s="40" t="s">
        <v>51</v>
      </c>
      <c r="B315" s="42">
        <f>'Monthly D4 RIN Data'!$AC12</f>
        <v>0</v>
      </c>
      <c r="C315" s="42">
        <f>'Monthly D4 RIN Data'!$AC24</f>
        <v>0</v>
      </c>
      <c r="D315" s="42">
        <f>'Monthly D4 RIN Data'!$AC36</f>
        <v>0</v>
      </c>
      <c r="E315" s="42">
        <f>'Monthly D4 RIN Data'!$AC48</f>
        <v>0</v>
      </c>
      <c r="F315" s="42">
        <f>'Monthly D4 RIN Data'!$AC60</f>
        <v>0</v>
      </c>
      <c r="G315" s="42">
        <f>'Monthly D4 RIN Data'!$AC72</f>
        <v>0</v>
      </c>
      <c r="H315" s="42">
        <f>'Monthly D4 RIN Data'!$AC84</f>
        <v>0</v>
      </c>
      <c r="I315" s="42">
        <f>'Monthly D4 RIN Data'!$AC96</f>
        <v>1287334</v>
      </c>
      <c r="J315" s="42">
        <f>'Monthly D4 RIN Data'!$AC108</f>
        <v>0</v>
      </c>
      <c r="K315" s="42">
        <f>'Monthly D4 RIN Data'!$AC120</f>
        <v>0</v>
      </c>
      <c r="L315" s="42">
        <f>'Monthly D4 RIN Data'!$AC132</f>
        <v>0</v>
      </c>
      <c r="M315" s="42">
        <f>'Monthly D4 RIN Data'!$AC144</f>
        <v>0</v>
      </c>
      <c r="N315" s="42">
        <f>'Monthly D4 RIN Data'!$AC156</f>
        <v>0</v>
      </c>
      <c r="O315" s="42">
        <f>'Monthly D4 RIN Data'!$AC168</f>
        <v>0</v>
      </c>
      <c r="P315" s="42">
        <f>'Monthly D4 RIN Data'!$AC180</f>
        <v>41744015</v>
      </c>
      <c r="Q315" s="43">
        <f>'D4 Gallon Forecast'!Q317</f>
        <v>0</v>
      </c>
      <c r="R315" s="43">
        <f>'D4 Gallon Forecast'!R317</f>
        <v>0</v>
      </c>
      <c r="S315" s="43">
        <f>'D4 Gallon Forecast'!S317</f>
        <v>0</v>
      </c>
      <c r="T315" s="43">
        <f>'D4 Gallon Forecast'!T317</f>
        <v>0</v>
      </c>
      <c r="U315" s="43">
        <f>'D4 Gallon Forecast'!U317</f>
        <v>0</v>
      </c>
      <c r="V315" s="43">
        <f>'D4 Gallon Forecast'!V317</f>
        <v>0</v>
      </c>
      <c r="W315" s="43">
        <f>'D4 Gallon Forecast'!W317</f>
        <v>0</v>
      </c>
      <c r="X315" s="43">
        <f>'D4 Gallon Forecast'!X317</f>
        <v>0</v>
      </c>
      <c r="Y315" s="43">
        <f>'D4 Gallon Forecast'!Y317</f>
        <v>0</v>
      </c>
      <c r="Z315" s="43">
        <f>'D4 Gallon Forecast'!Z317</f>
        <v>0</v>
      </c>
      <c r="AA315" s="43">
        <f>'D4 Gallon Forecast'!AA317</f>
        <v>0</v>
      </c>
      <c r="AB315" s="43">
        <f>'D4 Gallon Forecast'!AB317</f>
        <v>0</v>
      </c>
      <c r="AC315" s="43">
        <f>'D4 Gallon Forecast'!AC317</f>
        <v>0</v>
      </c>
      <c r="AD315" s="43">
        <f>'D4 Gallon Forecast'!AD317</f>
        <v>0</v>
      </c>
      <c r="AE315" s="43">
        <f>'D4 Gallon Forecast'!AE317</f>
        <v>0</v>
      </c>
      <c r="AF315" s="43">
        <f>'D4 Gallon Forecast'!AF317</f>
        <v>0</v>
      </c>
      <c r="AG315" s="43">
        <f>'D4 Gallon Forecast'!AG317</f>
        <v>0</v>
      </c>
      <c r="AH315" s="43">
        <f>'D4 Gallon Forecast'!AH317</f>
        <v>0</v>
      </c>
      <c r="AI315" s="43">
        <f>'D4 Gallon Forecast'!AI317</f>
        <v>0</v>
      </c>
      <c r="AJ315" s="43">
        <f>'D4 Gallon Forecast'!AJ317</f>
        <v>0</v>
      </c>
      <c r="AK315" s="43">
        <f>'D4 Gallon Forecast'!AK317</f>
        <v>0</v>
      </c>
      <c r="AL315" s="43">
        <f>'D4 Gallon Forecast'!AL317</f>
        <v>0</v>
      </c>
      <c r="AM315" s="43">
        <f>'D4 Gallon Forecast'!AM317</f>
        <v>0</v>
      </c>
      <c r="AN315" s="43">
        <f>'D4 Gallon Forecast'!AN317</f>
        <v>0</v>
      </c>
      <c r="AO315" s="43">
        <f>'D4 Gallon Forecast'!AO317</f>
        <v>0</v>
      </c>
      <c r="AP315" s="43">
        <f>'D4 Gallon Forecast'!AP317</f>
        <v>0</v>
      </c>
      <c r="AQ315" s="43"/>
    </row>
    <row r="316" spans="1:43">
      <c r="A316" s="40" t="s">
        <v>52</v>
      </c>
      <c r="B316" s="42">
        <f>'Monthly D4 RIN Data'!$AC13</f>
        <v>0</v>
      </c>
      <c r="C316" s="42">
        <f>'Monthly D4 RIN Data'!$AC25</f>
        <v>0</v>
      </c>
      <c r="D316" s="42">
        <f>'Monthly D4 RIN Data'!$AC37</f>
        <v>0</v>
      </c>
      <c r="E316" s="42">
        <f>'Monthly D4 RIN Data'!$AC49</f>
        <v>0</v>
      </c>
      <c r="F316" s="42">
        <f>'Monthly D4 RIN Data'!$AC61</f>
        <v>0</v>
      </c>
      <c r="G316" s="42">
        <f>'Monthly D4 RIN Data'!$AC73</f>
        <v>0</v>
      </c>
      <c r="H316" s="42">
        <f>'Monthly D4 RIN Data'!$AC85</f>
        <v>0</v>
      </c>
      <c r="I316" s="42">
        <f>'Monthly D4 RIN Data'!$AC97</f>
        <v>0</v>
      </c>
      <c r="J316" s="42">
        <f>'Monthly D4 RIN Data'!$AC109</f>
        <v>0</v>
      </c>
      <c r="K316" s="42">
        <f>'Monthly D4 RIN Data'!$AC121</f>
        <v>0</v>
      </c>
      <c r="L316" s="42">
        <f>'Monthly D4 RIN Data'!$AC133</f>
        <v>0</v>
      </c>
      <c r="M316" s="42">
        <f>'Monthly D4 RIN Data'!$AC145</f>
        <v>0</v>
      </c>
      <c r="N316" s="42">
        <f>'Monthly D4 RIN Data'!$AC157</f>
        <v>0</v>
      </c>
      <c r="O316" s="42">
        <f>'Monthly D4 RIN Data'!$AC169</f>
        <v>0</v>
      </c>
      <c r="P316" s="42">
        <f>'Monthly D4 RIN Data'!$AC181</f>
        <v>0</v>
      </c>
      <c r="Q316" s="43">
        <f>'D4 Gallon Forecast'!Q318</f>
        <v>0</v>
      </c>
      <c r="R316" s="43">
        <f>'D4 Gallon Forecast'!R318</f>
        <v>0</v>
      </c>
      <c r="S316" s="43">
        <f>'D4 Gallon Forecast'!S318</f>
        <v>0</v>
      </c>
      <c r="T316" s="43">
        <f>'D4 Gallon Forecast'!T318</f>
        <v>0</v>
      </c>
      <c r="U316" s="43">
        <f>'D4 Gallon Forecast'!U318</f>
        <v>0</v>
      </c>
      <c r="V316" s="43">
        <f>'D4 Gallon Forecast'!V318</f>
        <v>0</v>
      </c>
      <c r="W316" s="43">
        <f>'D4 Gallon Forecast'!W318</f>
        <v>0</v>
      </c>
      <c r="X316" s="43">
        <f>'D4 Gallon Forecast'!X318</f>
        <v>0</v>
      </c>
      <c r="Y316" s="43">
        <f>'D4 Gallon Forecast'!Y318</f>
        <v>0</v>
      </c>
      <c r="Z316" s="43">
        <f>'D4 Gallon Forecast'!Z318</f>
        <v>0</v>
      </c>
      <c r="AA316" s="43">
        <f>'D4 Gallon Forecast'!AA318</f>
        <v>0</v>
      </c>
      <c r="AB316" s="43">
        <f>'D4 Gallon Forecast'!AB318</f>
        <v>0</v>
      </c>
      <c r="AC316" s="43">
        <f>'D4 Gallon Forecast'!AC318</f>
        <v>0</v>
      </c>
      <c r="AD316" s="43">
        <f>'D4 Gallon Forecast'!AD318</f>
        <v>0</v>
      </c>
      <c r="AE316" s="43">
        <f>'D4 Gallon Forecast'!AE318</f>
        <v>0</v>
      </c>
      <c r="AF316" s="43">
        <f>'D4 Gallon Forecast'!AF318</f>
        <v>0</v>
      </c>
      <c r="AG316" s="43">
        <f>'D4 Gallon Forecast'!AG318</f>
        <v>0</v>
      </c>
      <c r="AH316" s="43">
        <f>'D4 Gallon Forecast'!AH318</f>
        <v>0</v>
      </c>
      <c r="AI316" s="43">
        <f>'D4 Gallon Forecast'!AI318</f>
        <v>0</v>
      </c>
      <c r="AJ316" s="43">
        <f>'D4 Gallon Forecast'!AJ318</f>
        <v>0</v>
      </c>
      <c r="AK316" s="43">
        <f>'D4 Gallon Forecast'!AK318</f>
        <v>0</v>
      </c>
      <c r="AL316" s="43">
        <f>'D4 Gallon Forecast'!AL318</f>
        <v>0</v>
      </c>
      <c r="AM316" s="43">
        <f>'D4 Gallon Forecast'!AM318</f>
        <v>0</v>
      </c>
      <c r="AN316" s="43">
        <f>'D4 Gallon Forecast'!AN318</f>
        <v>0</v>
      </c>
      <c r="AO316" s="43">
        <f>'D4 Gallon Forecast'!AO318</f>
        <v>0</v>
      </c>
      <c r="AP316" s="43">
        <f>'D4 Gallon Forecast'!AP318</f>
        <v>0</v>
      </c>
      <c r="AQ316" s="43"/>
    </row>
    <row r="317" spans="1:43">
      <c r="A317" s="40" t="s">
        <v>53</v>
      </c>
      <c r="B317" s="42">
        <f>'Monthly D4 RIN Data'!$AC14</f>
        <v>0</v>
      </c>
      <c r="C317" s="42">
        <f>'Monthly D4 RIN Data'!$AC26</f>
        <v>0</v>
      </c>
      <c r="D317" s="42">
        <f>'Monthly D4 RIN Data'!$AC38</f>
        <v>0</v>
      </c>
      <c r="E317" s="42">
        <f>'Monthly D4 RIN Data'!$AC50</f>
        <v>0</v>
      </c>
      <c r="F317" s="42">
        <f>'Monthly D4 RIN Data'!$AC62</f>
        <v>0</v>
      </c>
      <c r="G317" s="42">
        <f>'Monthly D4 RIN Data'!$AC74</f>
        <v>0</v>
      </c>
      <c r="H317" s="42">
        <f>'Monthly D4 RIN Data'!$AC86</f>
        <v>0</v>
      </c>
      <c r="I317" s="42">
        <f>'Monthly D4 RIN Data'!$AC98</f>
        <v>0</v>
      </c>
      <c r="J317" s="42">
        <f>'Monthly D4 RIN Data'!$AC110</f>
        <v>0</v>
      </c>
      <c r="K317" s="42">
        <f>'Monthly D4 RIN Data'!$AC122</f>
        <v>0</v>
      </c>
      <c r="L317" s="42">
        <f>'Monthly D4 RIN Data'!$AC134</f>
        <v>0</v>
      </c>
      <c r="M317" s="42">
        <f>'Monthly D4 RIN Data'!$AC146</f>
        <v>0</v>
      </c>
      <c r="N317" s="42">
        <f>'Monthly D4 RIN Data'!$AC158</f>
        <v>0</v>
      </c>
      <c r="O317" s="42">
        <f>'Monthly D4 RIN Data'!$AC170</f>
        <v>0</v>
      </c>
      <c r="P317" s="42">
        <f>'Monthly D4 RIN Data'!$AC182</f>
        <v>50729608</v>
      </c>
      <c r="Q317" s="43">
        <f>'D4 Gallon Forecast'!Q319</f>
        <v>0</v>
      </c>
      <c r="R317" s="43">
        <f>'D4 Gallon Forecast'!R319</f>
        <v>0</v>
      </c>
      <c r="S317" s="43">
        <f>'D4 Gallon Forecast'!S319</f>
        <v>0</v>
      </c>
      <c r="T317" s="43">
        <f>'D4 Gallon Forecast'!T319</f>
        <v>0</v>
      </c>
      <c r="U317" s="43">
        <f>'D4 Gallon Forecast'!U319</f>
        <v>0</v>
      </c>
      <c r="V317" s="43">
        <f>'D4 Gallon Forecast'!V319</f>
        <v>0</v>
      </c>
      <c r="W317" s="43">
        <f>'D4 Gallon Forecast'!W319</f>
        <v>0</v>
      </c>
      <c r="X317" s="43">
        <f>'D4 Gallon Forecast'!X319</f>
        <v>0</v>
      </c>
      <c r="Y317" s="43">
        <f>'D4 Gallon Forecast'!Y319</f>
        <v>0</v>
      </c>
      <c r="Z317" s="43">
        <f>'D4 Gallon Forecast'!Z319</f>
        <v>0</v>
      </c>
      <c r="AA317" s="43">
        <f>'D4 Gallon Forecast'!AA319</f>
        <v>0</v>
      </c>
      <c r="AB317" s="43">
        <f>'D4 Gallon Forecast'!AB319</f>
        <v>0</v>
      </c>
      <c r="AC317" s="43">
        <f>'D4 Gallon Forecast'!AC319</f>
        <v>0</v>
      </c>
      <c r="AD317" s="43">
        <f>'D4 Gallon Forecast'!AD319</f>
        <v>0</v>
      </c>
      <c r="AE317" s="43">
        <f>'D4 Gallon Forecast'!AE319</f>
        <v>0</v>
      </c>
      <c r="AF317" s="43">
        <f>'D4 Gallon Forecast'!AF319</f>
        <v>0</v>
      </c>
      <c r="AG317" s="43">
        <f>'D4 Gallon Forecast'!AG319</f>
        <v>0</v>
      </c>
      <c r="AH317" s="43">
        <f>'D4 Gallon Forecast'!AH319</f>
        <v>0</v>
      </c>
      <c r="AI317" s="43">
        <f>'D4 Gallon Forecast'!AI319</f>
        <v>0</v>
      </c>
      <c r="AJ317" s="43">
        <f>'D4 Gallon Forecast'!AJ319</f>
        <v>0</v>
      </c>
      <c r="AK317" s="43">
        <f>'D4 Gallon Forecast'!AK319</f>
        <v>0</v>
      </c>
      <c r="AL317" s="43">
        <f>'D4 Gallon Forecast'!AL319</f>
        <v>0</v>
      </c>
      <c r="AM317" s="43">
        <f>'D4 Gallon Forecast'!AM319</f>
        <v>0</v>
      </c>
      <c r="AN317" s="43">
        <f>'D4 Gallon Forecast'!AN319</f>
        <v>0</v>
      </c>
      <c r="AO317" s="43">
        <f>'D4 Gallon Forecast'!AO319</f>
        <v>0</v>
      </c>
      <c r="AP317" s="43">
        <f>'D4 Gallon Forecast'!AP319</f>
        <v>0</v>
      </c>
      <c r="AQ317" s="43"/>
    </row>
    <row r="318" spans="1:43">
      <c r="A318" s="40" t="s">
        <v>54</v>
      </c>
      <c r="B318" s="42">
        <f>'Monthly D4 RIN Data'!$AC15</f>
        <v>0</v>
      </c>
      <c r="C318" s="42">
        <f>'Monthly D4 RIN Data'!$AC27</f>
        <v>0</v>
      </c>
      <c r="D318" s="42">
        <f>'Monthly D4 RIN Data'!$AC39</f>
        <v>0</v>
      </c>
      <c r="E318" s="42">
        <f>'Monthly D4 RIN Data'!$AC51</f>
        <v>0</v>
      </c>
      <c r="F318" s="42">
        <f>'Monthly D4 RIN Data'!$AC63</f>
        <v>0</v>
      </c>
      <c r="G318" s="42">
        <f>'Monthly D4 RIN Data'!$AC75</f>
        <v>0</v>
      </c>
      <c r="H318" s="42">
        <f>'Monthly D4 RIN Data'!$AC87</f>
        <v>0</v>
      </c>
      <c r="I318" s="42">
        <f>'Monthly D4 RIN Data'!$AC99</f>
        <v>0</v>
      </c>
      <c r="J318" s="42">
        <f>'Monthly D4 RIN Data'!$AC111</f>
        <v>0</v>
      </c>
      <c r="K318" s="42">
        <f>'Monthly D4 RIN Data'!$AC123</f>
        <v>0</v>
      </c>
      <c r="L318" s="42">
        <f>'Monthly D4 RIN Data'!$AC135</f>
        <v>0</v>
      </c>
      <c r="M318" s="42">
        <f>'Monthly D4 RIN Data'!$AC147</f>
        <v>0</v>
      </c>
      <c r="N318" s="42">
        <f>'Monthly D4 RIN Data'!$AC159</f>
        <v>0</v>
      </c>
      <c r="O318" s="42">
        <f>'Monthly D4 RIN Data'!$AC171</f>
        <v>0</v>
      </c>
      <c r="P318" s="42">
        <f>'Monthly D4 RIN Data'!$AC183</f>
        <v>55934331</v>
      </c>
      <c r="Q318" s="43">
        <f>'D4 Gallon Forecast'!Q320</f>
        <v>0</v>
      </c>
      <c r="R318" s="43">
        <f>'D4 Gallon Forecast'!R320</f>
        <v>0</v>
      </c>
      <c r="S318" s="43">
        <f>'D4 Gallon Forecast'!S320</f>
        <v>0</v>
      </c>
      <c r="T318" s="43">
        <f>'D4 Gallon Forecast'!T320</f>
        <v>0</v>
      </c>
      <c r="U318" s="43">
        <f>'D4 Gallon Forecast'!U320</f>
        <v>0</v>
      </c>
      <c r="V318" s="43">
        <f>'D4 Gallon Forecast'!V320</f>
        <v>0</v>
      </c>
      <c r="W318" s="43">
        <f>'D4 Gallon Forecast'!W320</f>
        <v>0</v>
      </c>
      <c r="X318" s="43">
        <f>'D4 Gallon Forecast'!X320</f>
        <v>0</v>
      </c>
      <c r="Y318" s="43">
        <f>'D4 Gallon Forecast'!Y320</f>
        <v>0</v>
      </c>
      <c r="Z318" s="43">
        <f>'D4 Gallon Forecast'!Z320</f>
        <v>0</v>
      </c>
      <c r="AA318" s="43">
        <f>'D4 Gallon Forecast'!AA320</f>
        <v>0</v>
      </c>
      <c r="AB318" s="43">
        <f>'D4 Gallon Forecast'!AB320</f>
        <v>0</v>
      </c>
      <c r="AC318" s="43">
        <f>'D4 Gallon Forecast'!AC320</f>
        <v>0</v>
      </c>
      <c r="AD318" s="43">
        <f>'D4 Gallon Forecast'!AD320</f>
        <v>0</v>
      </c>
      <c r="AE318" s="43">
        <f>'D4 Gallon Forecast'!AE320</f>
        <v>0</v>
      </c>
      <c r="AF318" s="43">
        <f>'D4 Gallon Forecast'!AF320</f>
        <v>0</v>
      </c>
      <c r="AG318" s="43">
        <f>'D4 Gallon Forecast'!AG320</f>
        <v>0</v>
      </c>
      <c r="AH318" s="43">
        <f>'D4 Gallon Forecast'!AH320</f>
        <v>0</v>
      </c>
      <c r="AI318" s="43">
        <f>'D4 Gallon Forecast'!AI320</f>
        <v>0</v>
      </c>
      <c r="AJ318" s="43">
        <f>'D4 Gallon Forecast'!AJ320</f>
        <v>0</v>
      </c>
      <c r="AK318" s="43">
        <f>'D4 Gallon Forecast'!AK320</f>
        <v>0</v>
      </c>
      <c r="AL318" s="43">
        <f>'D4 Gallon Forecast'!AL320</f>
        <v>0</v>
      </c>
      <c r="AM318" s="43">
        <f>'D4 Gallon Forecast'!AM320</f>
        <v>0</v>
      </c>
      <c r="AN318" s="43">
        <f>'D4 Gallon Forecast'!AN320</f>
        <v>0</v>
      </c>
      <c r="AO318" s="43">
        <f>'D4 Gallon Forecast'!AO320</f>
        <v>0</v>
      </c>
      <c r="AP318" s="43">
        <f>'D4 Gallon Forecast'!AP320</f>
        <v>0</v>
      </c>
      <c r="AQ318" s="43"/>
    </row>
    <row r="319" spans="1:43">
      <c r="A319" s="40" t="s">
        <v>29</v>
      </c>
      <c r="B319" s="42">
        <f t="shared" ref="B319:AP319" si="100">SUM(B307:B318)</f>
        <v>0</v>
      </c>
      <c r="C319" s="42">
        <f t="shared" si="100"/>
        <v>0</v>
      </c>
      <c r="D319" s="42">
        <f t="shared" si="100"/>
        <v>0</v>
      </c>
      <c r="E319" s="42">
        <f t="shared" si="100"/>
        <v>36724418</v>
      </c>
      <c r="F319" s="42">
        <f t="shared" si="100"/>
        <v>9541081</v>
      </c>
      <c r="G319" s="42">
        <f t="shared" si="100"/>
        <v>0</v>
      </c>
      <c r="H319" s="42">
        <f t="shared" si="100"/>
        <v>0</v>
      </c>
      <c r="I319" s="42">
        <f t="shared" si="100"/>
        <v>1287334</v>
      </c>
      <c r="J319" s="42">
        <f t="shared" si="100"/>
        <v>0</v>
      </c>
      <c r="K319" s="42">
        <f t="shared" si="100"/>
        <v>0</v>
      </c>
      <c r="L319" s="42">
        <f t="shared" si="100"/>
        <v>0</v>
      </c>
      <c r="M319" s="42">
        <f t="shared" si="100"/>
        <v>4861840</v>
      </c>
      <c r="N319" s="42">
        <f t="shared" si="100"/>
        <v>0</v>
      </c>
      <c r="O319" s="42">
        <f t="shared" si="100"/>
        <v>0</v>
      </c>
      <c r="P319" s="42">
        <f t="shared" si="100"/>
        <v>191210427</v>
      </c>
      <c r="Q319" s="43">
        <f t="shared" si="100"/>
        <v>21551583</v>
      </c>
      <c r="R319" s="43">
        <f t="shared" si="100"/>
        <v>0</v>
      </c>
      <c r="S319" s="43">
        <f t="shared" si="100"/>
        <v>0</v>
      </c>
      <c r="T319" s="43">
        <f t="shared" si="100"/>
        <v>0</v>
      </c>
      <c r="U319" s="43">
        <f t="shared" si="100"/>
        <v>0</v>
      </c>
      <c r="V319" s="43">
        <f t="shared" si="100"/>
        <v>0</v>
      </c>
      <c r="W319" s="43">
        <f t="shared" si="100"/>
        <v>0</v>
      </c>
      <c r="X319" s="43">
        <f t="shared" si="100"/>
        <v>0</v>
      </c>
      <c r="Y319" s="43">
        <f t="shared" si="100"/>
        <v>0</v>
      </c>
      <c r="Z319" s="43">
        <f t="shared" si="100"/>
        <v>0</v>
      </c>
      <c r="AA319" s="43">
        <f t="shared" si="100"/>
        <v>0</v>
      </c>
      <c r="AB319" s="43">
        <f t="shared" si="100"/>
        <v>0</v>
      </c>
      <c r="AC319" s="43">
        <f t="shared" si="100"/>
        <v>0</v>
      </c>
      <c r="AD319" s="43">
        <f t="shared" si="100"/>
        <v>0</v>
      </c>
      <c r="AE319" s="43">
        <f t="shared" si="100"/>
        <v>0</v>
      </c>
      <c r="AF319" s="43">
        <f t="shared" si="100"/>
        <v>0</v>
      </c>
      <c r="AG319" s="43">
        <f t="shared" si="100"/>
        <v>0</v>
      </c>
      <c r="AH319" s="43">
        <f t="shared" si="100"/>
        <v>0</v>
      </c>
      <c r="AI319" s="43">
        <f t="shared" si="100"/>
        <v>0</v>
      </c>
      <c r="AJ319" s="43">
        <f t="shared" si="100"/>
        <v>0</v>
      </c>
      <c r="AK319" s="43">
        <f t="shared" si="100"/>
        <v>0</v>
      </c>
      <c r="AL319" s="43">
        <f t="shared" si="100"/>
        <v>0</v>
      </c>
      <c r="AM319" s="43">
        <f t="shared" si="100"/>
        <v>0</v>
      </c>
      <c r="AN319" s="43">
        <f t="shared" si="100"/>
        <v>0</v>
      </c>
      <c r="AO319" s="43">
        <f t="shared" si="100"/>
        <v>0</v>
      </c>
      <c r="AP319" s="43">
        <f t="shared" si="100"/>
        <v>0</v>
      </c>
      <c r="AQ319" s="43"/>
    </row>
    <row r="321" spans="1:43" ht="12" thickBot="1">
      <c r="A321" s="245" t="s">
        <v>395</v>
      </c>
    </row>
    <row r="322" spans="1:43" ht="12" thickBot="1">
      <c r="A322" s="270"/>
      <c r="B322" s="263">
        <v>2010</v>
      </c>
      <c r="C322" s="263">
        <v>2011</v>
      </c>
      <c r="D322" s="263">
        <v>2012</v>
      </c>
      <c r="E322" s="263">
        <v>2013</v>
      </c>
      <c r="F322" s="263">
        <v>2014</v>
      </c>
      <c r="G322" s="263">
        <v>2015</v>
      </c>
      <c r="H322" s="263">
        <v>2016</v>
      </c>
      <c r="I322" s="263">
        <v>2017</v>
      </c>
      <c r="J322" s="263">
        <v>2018</v>
      </c>
      <c r="K322" s="263">
        <v>2019</v>
      </c>
      <c r="L322" s="263">
        <v>2020</v>
      </c>
      <c r="M322" s="263">
        <v>2021</v>
      </c>
      <c r="N322" s="263">
        <v>2022</v>
      </c>
      <c r="O322" s="263">
        <v>2023</v>
      </c>
      <c r="P322" s="263">
        <v>2024</v>
      </c>
      <c r="Q322" s="263">
        <v>2025</v>
      </c>
      <c r="R322" s="263">
        <v>2026</v>
      </c>
      <c r="S322" s="263">
        <v>2027</v>
      </c>
      <c r="T322" s="263">
        <v>2028</v>
      </c>
      <c r="U322" s="263">
        <v>2029</v>
      </c>
      <c r="V322" s="263">
        <v>2030</v>
      </c>
      <c r="W322" s="263">
        <v>2031</v>
      </c>
      <c r="X322" s="263">
        <v>2032</v>
      </c>
      <c r="Y322" s="263">
        <v>2033</v>
      </c>
      <c r="Z322" s="263">
        <v>2034</v>
      </c>
      <c r="AA322" s="263">
        <v>2035</v>
      </c>
      <c r="AB322" s="263">
        <v>2036</v>
      </c>
      <c r="AC322" s="263">
        <v>2037</v>
      </c>
      <c r="AD322" s="263">
        <v>2038</v>
      </c>
      <c r="AE322" s="263">
        <v>2039</v>
      </c>
      <c r="AF322" s="263">
        <v>2040</v>
      </c>
      <c r="AG322" s="263">
        <v>2041</v>
      </c>
      <c r="AH322" s="263">
        <v>2042</v>
      </c>
      <c r="AI322" s="263">
        <v>2043</v>
      </c>
      <c r="AJ322" s="263">
        <v>2044</v>
      </c>
      <c r="AK322" s="263">
        <v>2045</v>
      </c>
      <c r="AL322" s="263">
        <v>2046</v>
      </c>
      <c r="AM322" s="263">
        <v>2047</v>
      </c>
      <c r="AN322" s="263">
        <v>2048</v>
      </c>
      <c r="AO322" s="263">
        <v>2049</v>
      </c>
      <c r="AP322" s="263">
        <v>2050</v>
      </c>
      <c r="AQ322" s="245"/>
    </row>
    <row r="323" spans="1:43">
      <c r="A323" s="40" t="s">
        <v>43</v>
      </c>
      <c r="B323" s="42">
        <f t="shared" ref="B323:AP329" si="101">B339+B387+B403</f>
        <v>0</v>
      </c>
      <c r="C323" s="42">
        <f t="shared" si="101"/>
        <v>0</v>
      </c>
      <c r="D323" s="42">
        <f t="shared" si="101"/>
        <v>0</v>
      </c>
      <c r="E323" s="42">
        <f t="shared" si="101"/>
        <v>0</v>
      </c>
      <c r="F323" s="42">
        <f t="shared" si="101"/>
        <v>0</v>
      </c>
      <c r="G323" s="42">
        <f t="shared" si="101"/>
        <v>0</v>
      </c>
      <c r="H323" s="42">
        <f t="shared" si="101"/>
        <v>0</v>
      </c>
      <c r="I323" s="42">
        <f t="shared" si="101"/>
        <v>336529</v>
      </c>
      <c r="J323" s="42">
        <f t="shared" si="101"/>
        <v>223543</v>
      </c>
      <c r="K323" s="42">
        <f t="shared" si="101"/>
        <v>311408</v>
      </c>
      <c r="L323" s="42">
        <f t="shared" si="101"/>
        <v>66544</v>
      </c>
      <c r="M323" s="42">
        <f t="shared" si="101"/>
        <v>463720</v>
      </c>
      <c r="N323" s="42">
        <f t="shared" si="101"/>
        <v>643392</v>
      </c>
      <c r="O323" s="42">
        <f t="shared" si="101"/>
        <v>161499</v>
      </c>
      <c r="P323" s="42">
        <f t="shared" si="101"/>
        <v>15457005</v>
      </c>
      <c r="Q323" s="42">
        <f t="shared" si="101"/>
        <v>26196083</v>
      </c>
      <c r="R323" s="43">
        <f t="shared" si="101"/>
        <v>41891912.316247985</v>
      </c>
      <c r="S323" s="42">
        <f t="shared" si="101"/>
        <v>114941988.8000388</v>
      </c>
      <c r="T323" s="42">
        <f t="shared" si="101"/>
        <v>150171712.55371988</v>
      </c>
      <c r="U323" s="42">
        <f t="shared" si="101"/>
        <v>201053753.08741096</v>
      </c>
      <c r="V323" s="42">
        <f t="shared" si="101"/>
        <v>270928086.60827577</v>
      </c>
      <c r="W323" s="42">
        <f t="shared" si="101"/>
        <v>309764651.67275399</v>
      </c>
      <c r="X323" s="42">
        <f t="shared" si="101"/>
        <v>387346575.18040091</v>
      </c>
      <c r="Y323" s="42">
        <f t="shared" si="101"/>
        <v>404892740.92392355</v>
      </c>
      <c r="Z323" s="42">
        <f t="shared" si="101"/>
        <v>440739593.49237514</v>
      </c>
      <c r="AA323" s="42">
        <f t="shared" si="101"/>
        <v>460128372.5780443</v>
      </c>
      <c r="AB323" s="42">
        <f t="shared" si="101"/>
        <v>355988915.58329743</v>
      </c>
      <c r="AC323" s="42">
        <f t="shared" si="101"/>
        <v>387502279.50180656</v>
      </c>
      <c r="AD323" s="42">
        <f t="shared" si="101"/>
        <v>435040575.6899308</v>
      </c>
      <c r="AE323" s="42">
        <f t="shared" si="101"/>
        <v>433533686.7774806</v>
      </c>
      <c r="AF323" s="42">
        <f t="shared" si="101"/>
        <v>430532025.63547087</v>
      </c>
      <c r="AG323" s="42">
        <f t="shared" si="101"/>
        <v>448934908.26469439</v>
      </c>
      <c r="AH323" s="42">
        <f t="shared" si="101"/>
        <v>463518127.53893137</v>
      </c>
      <c r="AI323" s="42">
        <f t="shared" si="101"/>
        <v>474183659.85197175</v>
      </c>
      <c r="AJ323" s="42">
        <f t="shared" si="101"/>
        <v>479596638.06397158</v>
      </c>
      <c r="AK323" s="42">
        <f t="shared" si="101"/>
        <v>493833911.95720351</v>
      </c>
      <c r="AL323" s="42">
        <f t="shared" si="101"/>
        <v>520872953.99025339</v>
      </c>
      <c r="AM323" s="42">
        <f t="shared" si="101"/>
        <v>539687183.20007956</v>
      </c>
      <c r="AN323" s="42">
        <f t="shared" si="101"/>
        <v>540305125.96489441</v>
      </c>
      <c r="AO323" s="42">
        <f t="shared" si="101"/>
        <v>539400159.2176863</v>
      </c>
      <c r="AP323" s="42">
        <f t="shared" si="101"/>
        <v>552079198.6037662</v>
      </c>
      <c r="AQ323" s="42"/>
    </row>
    <row r="324" spans="1:43">
      <c r="A324" s="40" t="s">
        <v>44</v>
      </c>
      <c r="B324" s="42">
        <f t="shared" si="101"/>
        <v>0</v>
      </c>
      <c r="C324" s="42">
        <f t="shared" si="101"/>
        <v>0</v>
      </c>
      <c r="D324" s="42">
        <f t="shared" si="101"/>
        <v>0</v>
      </c>
      <c r="E324" s="42">
        <f t="shared" si="101"/>
        <v>0</v>
      </c>
      <c r="F324" s="42">
        <f t="shared" si="101"/>
        <v>0</v>
      </c>
      <c r="G324" s="42">
        <f t="shared" si="101"/>
        <v>0</v>
      </c>
      <c r="H324" s="42">
        <f t="shared" si="101"/>
        <v>0</v>
      </c>
      <c r="I324" s="42">
        <f t="shared" si="101"/>
        <v>304995</v>
      </c>
      <c r="J324" s="42">
        <f t="shared" si="101"/>
        <v>380794</v>
      </c>
      <c r="K324" s="42">
        <f t="shared" si="101"/>
        <v>300174</v>
      </c>
      <c r="L324" s="42">
        <f t="shared" si="101"/>
        <v>0</v>
      </c>
      <c r="M324" s="42">
        <f t="shared" si="101"/>
        <v>471560</v>
      </c>
      <c r="N324" s="42">
        <f t="shared" si="101"/>
        <v>4031790</v>
      </c>
      <c r="O324" s="42">
        <f t="shared" si="101"/>
        <v>4903802</v>
      </c>
      <c r="P324" s="42">
        <f t="shared" si="101"/>
        <v>2007904</v>
      </c>
      <c r="Q324" s="42">
        <f t="shared" si="101"/>
        <v>25164991</v>
      </c>
      <c r="R324" s="43">
        <f t="shared" si="101"/>
        <v>79630593.862767786</v>
      </c>
      <c r="S324" s="42">
        <f t="shared" si="101"/>
        <v>218256157.12381548</v>
      </c>
      <c r="T324" s="42">
        <f t="shared" si="101"/>
        <v>285855453.78104192</v>
      </c>
      <c r="U324" s="42">
        <f t="shared" si="101"/>
        <v>365784426.85502446</v>
      </c>
      <c r="V324" s="42">
        <f t="shared" si="101"/>
        <v>499131665.63533163</v>
      </c>
      <c r="W324" s="42">
        <f t="shared" si="101"/>
        <v>579413561.16235876</v>
      </c>
      <c r="X324" s="42">
        <f t="shared" si="101"/>
        <v>726812306.60057926</v>
      </c>
      <c r="Y324" s="42">
        <f t="shared" si="101"/>
        <v>758703008.04906297</v>
      </c>
      <c r="Z324" s="42">
        <f t="shared" si="101"/>
        <v>824107415.62996423</v>
      </c>
      <c r="AA324" s="42">
        <f t="shared" si="101"/>
        <v>861652107.73046911</v>
      </c>
      <c r="AB324" s="42">
        <f t="shared" si="101"/>
        <v>665505436.38652349</v>
      </c>
      <c r="AC324" s="42">
        <f t="shared" si="101"/>
        <v>724961954.37674534</v>
      </c>
      <c r="AD324" s="42">
        <f t="shared" si="101"/>
        <v>814697104.65806723</v>
      </c>
      <c r="AE324" s="42">
        <f t="shared" si="101"/>
        <v>812857496.60710859</v>
      </c>
      <c r="AF324" s="42">
        <f t="shared" si="101"/>
        <v>807864756.30593169</v>
      </c>
      <c r="AG324" s="42">
        <f t="shared" si="101"/>
        <v>842650356.91397452</v>
      </c>
      <c r="AH324" s="42">
        <f t="shared" si="101"/>
        <v>869942989.3449775</v>
      </c>
      <c r="AI324" s="42">
        <f t="shared" si="101"/>
        <v>889930489.33904707</v>
      </c>
      <c r="AJ324" s="42">
        <f t="shared" si="101"/>
        <v>900102531.62753403</v>
      </c>
      <c r="AK324" s="42">
        <f t="shared" si="101"/>
        <v>926856136.39230096</v>
      </c>
      <c r="AL324" s="42">
        <f t="shared" si="101"/>
        <v>977598261.46223092</v>
      </c>
      <c r="AM324" s="42">
        <f t="shared" si="101"/>
        <v>1012894420.3388348</v>
      </c>
      <c r="AN324" s="42">
        <f t="shared" si="101"/>
        <v>1014053325.4994632</v>
      </c>
      <c r="AO324" s="42">
        <f t="shared" si="101"/>
        <v>1012360109.4285794</v>
      </c>
      <c r="AP324" s="42">
        <f t="shared" si="101"/>
        <v>1036159975.9049797</v>
      </c>
      <c r="AQ324" s="42"/>
    </row>
    <row r="325" spans="1:43">
      <c r="A325" s="40" t="s">
        <v>45</v>
      </c>
      <c r="B325" s="42">
        <f t="shared" si="101"/>
        <v>0</v>
      </c>
      <c r="C325" s="42">
        <f t="shared" si="101"/>
        <v>0</v>
      </c>
      <c r="D325" s="42">
        <f t="shared" si="101"/>
        <v>0</v>
      </c>
      <c r="E325" s="42">
        <f t="shared" si="101"/>
        <v>0</v>
      </c>
      <c r="F325" s="42">
        <f t="shared" si="101"/>
        <v>0</v>
      </c>
      <c r="G325" s="42">
        <f t="shared" si="101"/>
        <v>0</v>
      </c>
      <c r="H325" s="42">
        <f t="shared" si="101"/>
        <v>0</v>
      </c>
      <c r="I325" s="42">
        <f t="shared" si="101"/>
        <v>295720</v>
      </c>
      <c r="J325" s="42">
        <f t="shared" si="101"/>
        <v>166064</v>
      </c>
      <c r="K325" s="42">
        <f t="shared" si="101"/>
        <v>294305</v>
      </c>
      <c r="L325" s="42">
        <f t="shared" si="101"/>
        <v>449322</v>
      </c>
      <c r="M325" s="42">
        <f t="shared" si="101"/>
        <v>462249</v>
      </c>
      <c r="N325" s="42">
        <f t="shared" si="101"/>
        <v>4676012</v>
      </c>
      <c r="O325" s="42">
        <f t="shared" si="101"/>
        <v>3538890</v>
      </c>
      <c r="P325" s="42">
        <f t="shared" si="101"/>
        <v>12452319</v>
      </c>
      <c r="Q325" s="42">
        <f t="shared" si="101"/>
        <v>14122733</v>
      </c>
      <c r="R325" s="43">
        <f t="shared" si="101"/>
        <v>32214335.455664739</v>
      </c>
      <c r="S325" s="42">
        <f t="shared" si="101"/>
        <v>88110298.210585877</v>
      </c>
      <c r="T325" s="42">
        <f t="shared" si="101"/>
        <v>114393542.5994882</v>
      </c>
      <c r="U325" s="42">
        <f t="shared" si="101"/>
        <v>151476363.96578175</v>
      </c>
      <c r="V325" s="42">
        <f t="shared" si="101"/>
        <v>203262196.41532919</v>
      </c>
      <c r="W325" s="42">
        <f t="shared" si="101"/>
        <v>234571172.45988619</v>
      </c>
      <c r="X325" s="42">
        <f t="shared" si="101"/>
        <v>293299073.47357219</v>
      </c>
      <c r="Y325" s="42">
        <f t="shared" si="101"/>
        <v>306244987.05822194</v>
      </c>
      <c r="Z325" s="42">
        <f t="shared" si="101"/>
        <v>333102858.27607763</v>
      </c>
      <c r="AA325" s="42">
        <f t="shared" si="101"/>
        <v>347803916.03125507</v>
      </c>
      <c r="AB325" s="42">
        <f t="shared" si="101"/>
        <v>269216761.66222203</v>
      </c>
      <c r="AC325" s="42">
        <f t="shared" si="101"/>
        <v>293022495.52264982</v>
      </c>
      <c r="AD325" s="42">
        <f t="shared" si="101"/>
        <v>328955318.53382713</v>
      </c>
      <c r="AE325" s="42">
        <f t="shared" si="101"/>
        <v>327857198.95070148</v>
      </c>
      <c r="AF325" s="42">
        <f t="shared" si="101"/>
        <v>325638376.15125382</v>
      </c>
      <c r="AG325" s="42">
        <f t="shared" si="101"/>
        <v>339598938.68109423</v>
      </c>
      <c r="AH325" s="42">
        <f t="shared" si="101"/>
        <v>350610002.64727253</v>
      </c>
      <c r="AI325" s="42">
        <f t="shared" si="101"/>
        <v>358667581.96993893</v>
      </c>
      <c r="AJ325" s="42">
        <f t="shared" si="101"/>
        <v>362764238.11179739</v>
      </c>
      <c r="AK325" s="42">
        <f t="shared" si="101"/>
        <v>373539715.85667962</v>
      </c>
      <c r="AL325" s="42">
        <f t="shared" si="101"/>
        <v>393993955.17352509</v>
      </c>
      <c r="AM325" s="42">
        <f t="shared" si="101"/>
        <v>408220870.25079799</v>
      </c>
      <c r="AN325" s="42">
        <f t="shared" si="101"/>
        <v>408687504.97950554</v>
      </c>
      <c r="AO325" s="42">
        <f t="shared" si="101"/>
        <v>408004151.83215308</v>
      </c>
      <c r="AP325" s="42">
        <f t="shared" si="101"/>
        <v>417595527.23316604</v>
      </c>
      <c r="AQ325" s="42"/>
    </row>
    <row r="326" spans="1:43">
      <c r="A326" s="40" t="s">
        <v>46</v>
      </c>
      <c r="B326" s="42">
        <f t="shared" si="101"/>
        <v>0</v>
      </c>
      <c r="C326" s="42">
        <f t="shared" si="101"/>
        <v>0</v>
      </c>
      <c r="D326" s="42">
        <f t="shared" si="101"/>
        <v>0</v>
      </c>
      <c r="E326" s="42">
        <f t="shared" si="101"/>
        <v>0</v>
      </c>
      <c r="F326" s="42">
        <f t="shared" si="101"/>
        <v>0</v>
      </c>
      <c r="G326" s="42">
        <f t="shared" si="101"/>
        <v>0</v>
      </c>
      <c r="H326" s="42">
        <f t="shared" si="101"/>
        <v>0</v>
      </c>
      <c r="I326" s="42">
        <f t="shared" si="101"/>
        <v>0</v>
      </c>
      <c r="J326" s="42">
        <f t="shared" si="101"/>
        <v>295414</v>
      </c>
      <c r="K326" s="42">
        <f t="shared" si="101"/>
        <v>393560</v>
      </c>
      <c r="L326" s="42">
        <f t="shared" si="101"/>
        <v>1975107</v>
      </c>
      <c r="M326" s="42">
        <f t="shared" si="101"/>
        <v>469263</v>
      </c>
      <c r="N326" s="42">
        <f t="shared" si="101"/>
        <v>654386</v>
      </c>
      <c r="O326" s="42">
        <f t="shared" si="101"/>
        <v>3698320</v>
      </c>
      <c r="P326" s="42">
        <f t="shared" si="101"/>
        <v>13445184</v>
      </c>
      <c r="Q326" s="43">
        <f t="shared" si="101"/>
        <v>21292882.367936801</v>
      </c>
      <c r="R326" s="43">
        <f t="shared" si="101"/>
        <v>50906124.552908778</v>
      </c>
      <c r="S326" s="42">
        <f t="shared" si="101"/>
        <v>140026002.68654767</v>
      </c>
      <c r="T326" s="42">
        <f t="shared" si="101"/>
        <v>183505362.47056893</v>
      </c>
      <c r="U326" s="42">
        <f t="shared" si="101"/>
        <v>240098382.79830274</v>
      </c>
      <c r="V326" s="42">
        <f t="shared" si="101"/>
        <v>323907390.44682419</v>
      </c>
      <c r="W326" s="42">
        <f t="shared" si="101"/>
        <v>374184778.01973712</v>
      </c>
      <c r="X326" s="42">
        <f t="shared" si="101"/>
        <v>468634591.70107591</v>
      </c>
      <c r="Y326" s="42">
        <f t="shared" si="101"/>
        <v>489495235.20430964</v>
      </c>
      <c r="Z326" s="42">
        <f t="shared" si="101"/>
        <v>532127144.53231394</v>
      </c>
      <c r="AA326" s="42">
        <f t="shared" si="101"/>
        <v>555814736.87559676</v>
      </c>
      <c r="AB326" s="42">
        <f t="shared" si="101"/>
        <v>429828316.49536914</v>
      </c>
      <c r="AC326" s="42">
        <f t="shared" si="101"/>
        <v>468029886.21435672</v>
      </c>
      <c r="AD326" s="42">
        <f t="shared" si="101"/>
        <v>525659999.84882879</v>
      </c>
      <c r="AE326" s="42">
        <f t="shared" si="101"/>
        <v>524112653.05043364</v>
      </c>
      <c r="AF326" s="42">
        <f t="shared" si="101"/>
        <v>520678872.50133175</v>
      </c>
      <c r="AG326" s="42">
        <f t="shared" si="101"/>
        <v>543039911.00016463</v>
      </c>
      <c r="AH326" s="42">
        <f t="shared" si="101"/>
        <v>560648273.46506202</v>
      </c>
      <c r="AI326" s="42">
        <f t="shared" si="101"/>
        <v>573533224.34418857</v>
      </c>
      <c r="AJ326" s="42">
        <f t="shared" si="101"/>
        <v>580082226.34652877</v>
      </c>
      <c r="AK326" s="42">
        <f t="shared" si="101"/>
        <v>597315574.31697702</v>
      </c>
      <c r="AL326" s="42">
        <f t="shared" si="101"/>
        <v>630021853.3515141</v>
      </c>
      <c r="AM326" s="42">
        <f t="shared" si="101"/>
        <v>652771786.86183977</v>
      </c>
      <c r="AN326" s="42">
        <f t="shared" si="101"/>
        <v>653517961.90090716</v>
      </c>
      <c r="AO326" s="42">
        <f t="shared" si="101"/>
        <v>652425156.04435086</v>
      </c>
      <c r="AP326" s="42">
        <f t="shared" si="101"/>
        <v>667762675.27135837</v>
      </c>
      <c r="AQ326" s="42"/>
    </row>
    <row r="327" spans="1:43">
      <c r="A327" s="40" t="s">
        <v>47</v>
      </c>
      <c r="B327" s="42">
        <f t="shared" si="101"/>
        <v>0</v>
      </c>
      <c r="C327" s="42">
        <f t="shared" si="101"/>
        <v>0</v>
      </c>
      <c r="D327" s="42">
        <f t="shared" si="101"/>
        <v>0</v>
      </c>
      <c r="E327" s="42">
        <f t="shared" si="101"/>
        <v>0</v>
      </c>
      <c r="F327" s="42">
        <f t="shared" si="101"/>
        <v>0</v>
      </c>
      <c r="G327" s="42">
        <f t="shared" si="101"/>
        <v>0</v>
      </c>
      <c r="H327" s="42">
        <f t="shared" si="101"/>
        <v>0</v>
      </c>
      <c r="I327" s="42">
        <f t="shared" si="101"/>
        <v>215176</v>
      </c>
      <c r="J327" s="42">
        <f t="shared" si="101"/>
        <v>102702</v>
      </c>
      <c r="K327" s="42">
        <f t="shared" si="101"/>
        <v>406860</v>
      </c>
      <c r="L327" s="42">
        <f t="shared" si="101"/>
        <v>0</v>
      </c>
      <c r="M327" s="42">
        <f t="shared" si="101"/>
        <v>459994</v>
      </c>
      <c r="N327" s="42">
        <f t="shared" si="101"/>
        <v>324530</v>
      </c>
      <c r="O327" s="42">
        <f t="shared" si="101"/>
        <v>2602744</v>
      </c>
      <c r="P327" s="42">
        <f t="shared" si="101"/>
        <v>28888796</v>
      </c>
      <c r="Q327" s="43">
        <f t="shared" si="101"/>
        <v>25112938.176886126</v>
      </c>
      <c r="R327" s="43">
        <f t="shared" si="101"/>
        <v>66848913.958598234</v>
      </c>
      <c r="S327" s="42">
        <f t="shared" si="101"/>
        <v>184446256.07815915</v>
      </c>
      <c r="T327" s="42">
        <f t="shared" si="101"/>
        <v>241709554.98368388</v>
      </c>
      <c r="U327" s="42">
        <f t="shared" si="101"/>
        <v>318523204.56736982</v>
      </c>
      <c r="V327" s="42">
        <f t="shared" si="101"/>
        <v>426242448.40623361</v>
      </c>
      <c r="W327" s="42">
        <f t="shared" si="101"/>
        <v>493266718.91563511</v>
      </c>
      <c r="X327" s="42">
        <f t="shared" si="101"/>
        <v>617629433.81166875</v>
      </c>
      <c r="Y327" s="42">
        <f t="shared" si="101"/>
        <v>645167738.57564974</v>
      </c>
      <c r="Z327" s="42">
        <f t="shared" si="101"/>
        <v>701445063.80608499</v>
      </c>
      <c r="AA327" s="42">
        <f t="shared" si="101"/>
        <v>732317703.42176032</v>
      </c>
      <c r="AB327" s="42">
        <f t="shared" si="101"/>
        <v>566589278.11228442</v>
      </c>
      <c r="AC327" s="42">
        <f t="shared" si="101"/>
        <v>616893751.13475275</v>
      </c>
      <c r="AD327" s="42">
        <f t="shared" si="101"/>
        <v>692770975.16084731</v>
      </c>
      <c r="AE327" s="42">
        <f t="shared" si="101"/>
        <v>690639790.83038759</v>
      </c>
      <c r="AF327" s="42">
        <f t="shared" si="101"/>
        <v>686055908.48840868</v>
      </c>
      <c r="AG327" s="42">
        <f t="shared" si="101"/>
        <v>715530401.27528358</v>
      </c>
      <c r="AH327" s="42">
        <f t="shared" si="101"/>
        <v>738732230.92493618</v>
      </c>
      <c r="AI327" s="42">
        <f t="shared" si="101"/>
        <v>755706972.07203197</v>
      </c>
      <c r="AJ327" s="42">
        <f t="shared" si="101"/>
        <v>764332889.13205492</v>
      </c>
      <c r="AK327" s="42">
        <f t="shared" si="101"/>
        <v>787038677.87322891</v>
      </c>
      <c r="AL327" s="42">
        <f t="shared" si="101"/>
        <v>830137738.84509635</v>
      </c>
      <c r="AM327" s="42">
        <f t="shared" si="101"/>
        <v>860113150.39623511</v>
      </c>
      <c r="AN327" s="42">
        <f t="shared" si="101"/>
        <v>861095474.80999815</v>
      </c>
      <c r="AO327" s="42">
        <f t="shared" si="101"/>
        <v>859655170.12847948</v>
      </c>
      <c r="AP327" s="42">
        <f t="shared" si="101"/>
        <v>879864569.17959476</v>
      </c>
      <c r="AQ327" s="42"/>
    </row>
    <row r="328" spans="1:43">
      <c r="A328" s="40" t="s">
        <v>48</v>
      </c>
      <c r="B328" s="42">
        <f t="shared" si="101"/>
        <v>0</v>
      </c>
      <c r="C328" s="42">
        <f t="shared" si="101"/>
        <v>0</v>
      </c>
      <c r="D328" s="42">
        <f t="shared" si="101"/>
        <v>0</v>
      </c>
      <c r="E328" s="42">
        <f t="shared" si="101"/>
        <v>0</v>
      </c>
      <c r="F328" s="42">
        <f t="shared" si="101"/>
        <v>0</v>
      </c>
      <c r="G328" s="42">
        <f t="shared" si="101"/>
        <v>0</v>
      </c>
      <c r="H328" s="42">
        <f t="shared" si="101"/>
        <v>0</v>
      </c>
      <c r="I328" s="42">
        <f t="shared" si="101"/>
        <v>203954</v>
      </c>
      <c r="J328" s="42">
        <f t="shared" si="101"/>
        <v>224310</v>
      </c>
      <c r="K328" s="42">
        <f t="shared" si="101"/>
        <v>357247</v>
      </c>
      <c r="L328" s="42">
        <f t="shared" si="101"/>
        <v>813621</v>
      </c>
      <c r="M328" s="42">
        <f t="shared" si="101"/>
        <v>571708</v>
      </c>
      <c r="N328" s="42">
        <f t="shared" si="101"/>
        <v>3730798</v>
      </c>
      <c r="O328" s="42">
        <f t="shared" si="101"/>
        <v>3891170</v>
      </c>
      <c r="P328" s="42">
        <f t="shared" si="101"/>
        <v>10030819</v>
      </c>
      <c r="Q328" s="43">
        <f t="shared" si="101"/>
        <v>25403707.227424078</v>
      </c>
      <c r="R328" s="43">
        <f t="shared" si="101"/>
        <v>64144903.207031354</v>
      </c>
      <c r="S328" s="42">
        <f t="shared" si="101"/>
        <v>175860465.1806283</v>
      </c>
      <c r="T328" s="42">
        <f t="shared" si="101"/>
        <v>230285103.7693606</v>
      </c>
      <c r="U328" s="42">
        <f t="shared" si="101"/>
        <v>298928109.91076386</v>
      </c>
      <c r="V328" s="42">
        <f t="shared" si="101"/>
        <v>405323222.15375322</v>
      </c>
      <c r="W328" s="42">
        <f t="shared" si="101"/>
        <v>468769524.10811877</v>
      </c>
      <c r="X328" s="42">
        <f t="shared" si="101"/>
        <v>587316679.48550689</v>
      </c>
      <c r="Y328" s="42">
        <f t="shared" si="101"/>
        <v>613315300.66285348</v>
      </c>
      <c r="Z328" s="42">
        <f t="shared" si="101"/>
        <v>666561584.91130245</v>
      </c>
      <c r="AA328" s="42">
        <f t="shared" si="101"/>
        <v>696513372.49883556</v>
      </c>
      <c r="AB328" s="42">
        <f t="shared" si="101"/>
        <v>538407867.06740379</v>
      </c>
      <c r="AC328" s="42">
        <f t="shared" si="101"/>
        <v>586327013.48613048</v>
      </c>
      <c r="AD328" s="42">
        <f t="shared" si="101"/>
        <v>658636837.01024604</v>
      </c>
      <c r="AE328" s="42">
        <f t="shared" si="101"/>
        <v>656839042.74578571</v>
      </c>
      <c r="AF328" s="42">
        <f t="shared" si="101"/>
        <v>652622841.30128694</v>
      </c>
      <c r="AG328" s="42">
        <f t="shared" si="101"/>
        <v>680667884.89024198</v>
      </c>
      <c r="AH328" s="42">
        <f t="shared" si="101"/>
        <v>702730232.38333929</v>
      </c>
      <c r="AI328" s="42">
        <f t="shared" si="101"/>
        <v>718879632.10739315</v>
      </c>
      <c r="AJ328" s="42">
        <f t="shared" si="101"/>
        <v>727091807.63366687</v>
      </c>
      <c r="AK328" s="42">
        <f t="shared" si="101"/>
        <v>748696072.68820846</v>
      </c>
      <c r="AL328" s="42">
        <f t="shared" si="101"/>
        <v>789688352.11298466</v>
      </c>
      <c r="AM328" s="42">
        <f t="shared" si="101"/>
        <v>818202623.53070593</v>
      </c>
      <c r="AN328" s="42">
        <f t="shared" si="101"/>
        <v>819138368.62758434</v>
      </c>
      <c r="AO328" s="42">
        <f t="shared" si="101"/>
        <v>817769357.18413329</v>
      </c>
      <c r="AP328" s="42">
        <f t="shared" si="101"/>
        <v>836994021.37323892</v>
      </c>
      <c r="AQ328" s="42"/>
    </row>
    <row r="329" spans="1:43">
      <c r="A329" s="40" t="s">
        <v>49</v>
      </c>
      <c r="B329" s="42">
        <f t="shared" si="101"/>
        <v>0</v>
      </c>
      <c r="C329" s="42">
        <f t="shared" si="101"/>
        <v>0</v>
      </c>
      <c r="D329" s="42">
        <f t="shared" si="101"/>
        <v>0</v>
      </c>
      <c r="E329" s="42">
        <f t="shared" si="101"/>
        <v>0</v>
      </c>
      <c r="F329" s="42">
        <f t="shared" si="101"/>
        <v>0</v>
      </c>
      <c r="G329" s="42">
        <f t="shared" si="101"/>
        <v>0</v>
      </c>
      <c r="H329" s="42">
        <f t="shared" si="101"/>
        <v>0</v>
      </c>
      <c r="I329" s="42">
        <f t="shared" si="101"/>
        <v>193058</v>
      </c>
      <c r="J329" s="42">
        <f t="shared" si="101"/>
        <v>131570</v>
      </c>
      <c r="K329" s="42">
        <f t="shared" ref="C329:AP334" si="102">K345+K393+K409</f>
        <v>234581</v>
      </c>
      <c r="L329" s="42">
        <f t="shared" si="102"/>
        <v>2458760</v>
      </c>
      <c r="M329" s="42">
        <f t="shared" si="102"/>
        <v>1749055</v>
      </c>
      <c r="N329" s="42">
        <f t="shared" si="102"/>
        <v>1820757</v>
      </c>
      <c r="O329" s="42">
        <f t="shared" si="102"/>
        <v>2833215</v>
      </c>
      <c r="P329" s="42">
        <f t="shared" si="102"/>
        <v>16310935</v>
      </c>
      <c r="Q329" s="43">
        <f t="shared" si="102"/>
        <v>29831097.286793232</v>
      </c>
      <c r="R329" s="43">
        <f t="shared" si="102"/>
        <v>70559399.469526246</v>
      </c>
      <c r="S329" s="42">
        <f t="shared" si="102"/>
        <v>191543902.80154827</v>
      </c>
      <c r="T329" s="42">
        <f t="shared" si="102"/>
        <v>250767048.96708784</v>
      </c>
      <c r="U329" s="42">
        <f t="shared" si="102"/>
        <v>327803744.99513835</v>
      </c>
      <c r="V329" s="42">
        <f t="shared" si="102"/>
        <v>443175851.83257031</v>
      </c>
      <c r="W329" s="42">
        <f t="shared" si="102"/>
        <v>511749931.45259547</v>
      </c>
      <c r="X329" s="42">
        <f t="shared" si="102"/>
        <v>640483548.46670222</v>
      </c>
      <c r="Y329" s="42">
        <f t="shared" si="102"/>
        <v>668959438.46782362</v>
      </c>
      <c r="Z329" s="42">
        <f t="shared" si="102"/>
        <v>727246467.2012763</v>
      </c>
      <c r="AA329" s="42">
        <f t="shared" si="102"/>
        <v>759740386.78094077</v>
      </c>
      <c r="AB329" s="42">
        <f t="shared" si="102"/>
        <v>587567988.80910969</v>
      </c>
      <c r="AC329" s="42">
        <f t="shared" si="102"/>
        <v>639716472.600034</v>
      </c>
      <c r="AD329" s="42">
        <f t="shared" si="102"/>
        <v>718447914.24007881</v>
      </c>
      <c r="AE329" s="42">
        <f t="shared" si="102"/>
        <v>716300361.49552572</v>
      </c>
      <c r="AF329" s="42">
        <f t="shared" si="102"/>
        <v>711600830.24206662</v>
      </c>
      <c r="AG329" s="42">
        <f t="shared" si="102"/>
        <v>742141548.05563688</v>
      </c>
      <c r="AH329" s="42">
        <f t="shared" si="102"/>
        <v>766201835.24871492</v>
      </c>
      <c r="AI329" s="42">
        <f t="shared" si="102"/>
        <v>783813331.08323252</v>
      </c>
      <c r="AJ329" s="42">
        <f t="shared" si="102"/>
        <v>792765827.73595333</v>
      </c>
      <c r="AK329" s="42">
        <f t="shared" si="102"/>
        <v>816318048.98077178</v>
      </c>
      <c r="AL329" s="42">
        <f t="shared" si="102"/>
        <v>861013903.1578629</v>
      </c>
      <c r="AM329" s="42">
        <f t="shared" si="102"/>
        <v>892104733.38787436</v>
      </c>
      <c r="AN329" s="42">
        <f t="shared" si="102"/>
        <v>893125159.20367599</v>
      </c>
      <c r="AO329" s="42">
        <f t="shared" si="102"/>
        <v>891631960.98255646</v>
      </c>
      <c r="AP329" s="42">
        <f t="shared" si="102"/>
        <v>912592701.22958481</v>
      </c>
      <c r="AQ329" s="42"/>
    </row>
    <row r="330" spans="1:43">
      <c r="A330" s="40" t="s">
        <v>50</v>
      </c>
      <c r="B330" s="42">
        <f t="shared" ref="B330:B334" si="103">B346+B394+B410</f>
        <v>0</v>
      </c>
      <c r="C330" s="42">
        <f t="shared" si="102"/>
        <v>0</v>
      </c>
      <c r="D330" s="42">
        <f t="shared" si="102"/>
        <v>0</v>
      </c>
      <c r="E330" s="42">
        <f t="shared" si="102"/>
        <v>0</v>
      </c>
      <c r="F330" s="42">
        <f t="shared" si="102"/>
        <v>0</v>
      </c>
      <c r="G330" s="42">
        <f t="shared" si="102"/>
        <v>0</v>
      </c>
      <c r="H330" s="42">
        <f t="shared" si="102"/>
        <v>0</v>
      </c>
      <c r="I330" s="42">
        <f t="shared" si="102"/>
        <v>278680</v>
      </c>
      <c r="J330" s="42">
        <f t="shared" si="102"/>
        <v>112378</v>
      </c>
      <c r="K330" s="42">
        <f t="shared" si="102"/>
        <v>434812</v>
      </c>
      <c r="L330" s="42">
        <f t="shared" si="102"/>
        <v>102168</v>
      </c>
      <c r="M330" s="42">
        <f t="shared" si="102"/>
        <v>1155292</v>
      </c>
      <c r="N330" s="42">
        <f t="shared" si="102"/>
        <v>3263300</v>
      </c>
      <c r="O330" s="42">
        <f t="shared" si="102"/>
        <v>5560301</v>
      </c>
      <c r="P330" s="42">
        <f t="shared" si="102"/>
        <v>17629954</v>
      </c>
      <c r="Q330" s="43">
        <f t="shared" si="102"/>
        <v>28993941.823667526</v>
      </c>
      <c r="R330" s="43">
        <f t="shared" si="102"/>
        <v>75584002.921801165</v>
      </c>
      <c r="S330" s="42">
        <f t="shared" si="102"/>
        <v>208822577.1667769</v>
      </c>
      <c r="T330" s="42">
        <f t="shared" si="102"/>
        <v>273244843.7659235</v>
      </c>
      <c r="U330" s="42">
        <f t="shared" si="102"/>
        <v>355641476.26578331</v>
      </c>
      <c r="V330" s="42">
        <f t="shared" si="102"/>
        <v>480368831.15239692</v>
      </c>
      <c r="W330" s="42">
        <f t="shared" si="102"/>
        <v>555954874.12464118</v>
      </c>
      <c r="X330" s="42">
        <f t="shared" si="102"/>
        <v>696514552.11341453</v>
      </c>
      <c r="Y330" s="42">
        <f t="shared" si="102"/>
        <v>727273208.84109354</v>
      </c>
      <c r="Z330" s="42">
        <f t="shared" si="102"/>
        <v>790407514.00114572</v>
      </c>
      <c r="AA330" s="42">
        <f t="shared" si="102"/>
        <v>825747626.24879432</v>
      </c>
      <c r="AB330" s="42">
        <f t="shared" si="102"/>
        <v>638531751.23895073</v>
      </c>
      <c r="AC330" s="42">
        <f t="shared" si="102"/>
        <v>695312036.24831331</v>
      </c>
      <c r="AD330" s="42">
        <f t="shared" si="102"/>
        <v>780957592.56496668</v>
      </c>
      <c r="AE330" s="42">
        <f t="shared" si="102"/>
        <v>778730284.3152225</v>
      </c>
      <c r="AF330" s="42">
        <f t="shared" si="102"/>
        <v>773688739.47617388</v>
      </c>
      <c r="AG330" s="42">
        <f t="shared" si="102"/>
        <v>806939039.75508404</v>
      </c>
      <c r="AH330" s="42">
        <f t="shared" si="102"/>
        <v>833093458.48963773</v>
      </c>
      <c r="AI330" s="42">
        <f t="shared" si="102"/>
        <v>852233743.29122722</v>
      </c>
      <c r="AJ330" s="42">
        <f t="shared" si="102"/>
        <v>861967621.76523578</v>
      </c>
      <c r="AK330" s="42">
        <f t="shared" si="102"/>
        <v>887580072.37531376</v>
      </c>
      <c r="AL330" s="42">
        <f t="shared" si="102"/>
        <v>936179322.43251038</v>
      </c>
      <c r="AM330" s="42">
        <f t="shared" si="102"/>
        <v>969982239.37169838</v>
      </c>
      <c r="AN330" s="42">
        <f t="shared" si="102"/>
        <v>971090671.14747715</v>
      </c>
      <c r="AO330" s="42">
        <f t="shared" si="102"/>
        <v>969467690.76336634</v>
      </c>
      <c r="AP330" s="42">
        <f t="shared" si="102"/>
        <v>992258915.11645663</v>
      </c>
      <c r="AQ330" s="42"/>
    </row>
    <row r="331" spans="1:43">
      <c r="A331" s="40" t="s">
        <v>51</v>
      </c>
      <c r="B331" s="42">
        <f t="shared" si="103"/>
        <v>0</v>
      </c>
      <c r="C331" s="42">
        <f t="shared" si="102"/>
        <v>0</v>
      </c>
      <c r="D331" s="42">
        <f t="shared" si="102"/>
        <v>0</v>
      </c>
      <c r="E331" s="42">
        <f t="shared" si="102"/>
        <v>0</v>
      </c>
      <c r="F331" s="42">
        <f t="shared" si="102"/>
        <v>0</v>
      </c>
      <c r="G331" s="42">
        <f t="shared" si="102"/>
        <v>0</v>
      </c>
      <c r="H331" s="42">
        <f t="shared" si="102"/>
        <v>369264</v>
      </c>
      <c r="I331" s="42">
        <f t="shared" si="102"/>
        <v>220723</v>
      </c>
      <c r="J331" s="42">
        <f t="shared" si="102"/>
        <v>241731</v>
      </c>
      <c r="K331" s="42">
        <f t="shared" si="102"/>
        <v>440847</v>
      </c>
      <c r="L331" s="42">
        <f t="shared" si="102"/>
        <v>593870</v>
      </c>
      <c r="M331" s="42">
        <f t="shared" si="102"/>
        <v>480195</v>
      </c>
      <c r="N331" s="42">
        <f t="shared" si="102"/>
        <v>629714</v>
      </c>
      <c r="O331" s="42">
        <f t="shared" si="102"/>
        <v>3460900</v>
      </c>
      <c r="P331" s="42">
        <f t="shared" si="102"/>
        <v>33112209</v>
      </c>
      <c r="Q331" s="43">
        <f t="shared" si="102"/>
        <v>31297989.873741832</v>
      </c>
      <c r="R331" s="43">
        <f t="shared" si="102"/>
        <v>91514228.436864942</v>
      </c>
      <c r="S331" s="42">
        <f t="shared" si="102"/>
        <v>253501082.87341678</v>
      </c>
      <c r="T331" s="42">
        <f t="shared" si="102"/>
        <v>332332133.51882523</v>
      </c>
      <c r="U331" s="42">
        <f t="shared" si="102"/>
        <v>435536751.62941623</v>
      </c>
      <c r="V331" s="42">
        <f t="shared" si="102"/>
        <v>583227422.92285478</v>
      </c>
      <c r="W331" s="42">
        <f t="shared" si="102"/>
        <v>676453242.0236094</v>
      </c>
      <c r="X331" s="42">
        <f t="shared" si="102"/>
        <v>847518868.70565403</v>
      </c>
      <c r="Y331" s="42">
        <f t="shared" si="102"/>
        <v>885146319.0128758</v>
      </c>
      <c r="Z331" s="42">
        <f t="shared" si="102"/>
        <v>962072276.25663698</v>
      </c>
      <c r="AA331" s="42">
        <f t="shared" si="102"/>
        <v>1004488400.1782305</v>
      </c>
      <c r="AB331" s="42">
        <f t="shared" si="102"/>
        <v>777048241.49756634</v>
      </c>
      <c r="AC331" s="42">
        <f t="shared" si="102"/>
        <v>846139390.66558409</v>
      </c>
      <c r="AD331" s="42">
        <f t="shared" si="102"/>
        <v>950328011.30890489</v>
      </c>
      <c r="AE331" s="42">
        <f t="shared" si="102"/>
        <v>947542661.98352289</v>
      </c>
      <c r="AF331" s="42">
        <f t="shared" si="102"/>
        <v>941335805.76399565</v>
      </c>
      <c r="AG331" s="42">
        <f t="shared" si="102"/>
        <v>981835386.86409748</v>
      </c>
      <c r="AH331" s="42">
        <f t="shared" si="102"/>
        <v>1013660337.0085998</v>
      </c>
      <c r="AI331" s="42">
        <f t="shared" si="102"/>
        <v>1036944689.5524607</v>
      </c>
      <c r="AJ331" s="42">
        <f t="shared" si="102"/>
        <v>1048780498.7057899</v>
      </c>
      <c r="AK331" s="42">
        <f t="shared" si="102"/>
        <v>1079941143.7102497</v>
      </c>
      <c r="AL331" s="42">
        <f t="shared" si="102"/>
        <v>1139081833.7794929</v>
      </c>
      <c r="AM331" s="42">
        <f t="shared" si="102"/>
        <v>1180209974.915396</v>
      </c>
      <c r="AN331" s="42">
        <f t="shared" si="102"/>
        <v>1181557016.7891111</v>
      </c>
      <c r="AO331" s="42">
        <f t="shared" si="102"/>
        <v>1179581301.8728561</v>
      </c>
      <c r="AP331" s="42">
        <f t="shared" si="102"/>
        <v>1207312538.8794966</v>
      </c>
      <c r="AQ331" s="42"/>
    </row>
    <row r="332" spans="1:43">
      <c r="A332" s="40" t="s">
        <v>52</v>
      </c>
      <c r="B332" s="42">
        <f t="shared" si="103"/>
        <v>0</v>
      </c>
      <c r="C332" s="42">
        <f t="shared" si="102"/>
        <v>0</v>
      </c>
      <c r="D332" s="42">
        <f t="shared" si="102"/>
        <v>0</v>
      </c>
      <c r="E332" s="42">
        <f t="shared" si="102"/>
        <v>0</v>
      </c>
      <c r="F332" s="42">
        <f t="shared" si="102"/>
        <v>0</v>
      </c>
      <c r="G332" s="42">
        <f t="shared" si="102"/>
        <v>0</v>
      </c>
      <c r="H332" s="42">
        <f t="shared" si="102"/>
        <v>289749</v>
      </c>
      <c r="I332" s="42">
        <f t="shared" si="102"/>
        <v>256435</v>
      </c>
      <c r="J332" s="42">
        <f t="shared" si="102"/>
        <v>366543</v>
      </c>
      <c r="K332" s="42">
        <f t="shared" si="102"/>
        <v>346518</v>
      </c>
      <c r="L332" s="42">
        <f t="shared" si="102"/>
        <v>301466</v>
      </c>
      <c r="M332" s="42">
        <f t="shared" si="102"/>
        <v>700386</v>
      </c>
      <c r="N332" s="42">
        <f t="shared" si="102"/>
        <v>2823410</v>
      </c>
      <c r="O332" s="42">
        <f t="shared" si="102"/>
        <v>4633405</v>
      </c>
      <c r="P332" s="42">
        <f t="shared" si="102"/>
        <v>14826138</v>
      </c>
      <c r="Q332" s="43">
        <f t="shared" si="102"/>
        <v>32357340.53773883</v>
      </c>
      <c r="R332" s="43">
        <f t="shared" si="102"/>
        <v>91166562.219237328</v>
      </c>
      <c r="S332" s="42">
        <f t="shared" si="102"/>
        <v>247114906.76226294</v>
      </c>
      <c r="T332" s="42">
        <f t="shared" si="102"/>
        <v>323857511.07132864</v>
      </c>
      <c r="U332" s="42">
        <f t="shared" si="102"/>
        <v>419864109.0481568</v>
      </c>
      <c r="V332" s="42">
        <f t="shared" si="102"/>
        <v>568819730.94915044</v>
      </c>
      <c r="W332" s="42">
        <f t="shared" si="102"/>
        <v>659045419.85677481</v>
      </c>
      <c r="X332" s="42">
        <f t="shared" si="102"/>
        <v>825504050.48722923</v>
      </c>
      <c r="Y332" s="42">
        <f t="shared" si="102"/>
        <v>862067230.65016496</v>
      </c>
      <c r="Z332" s="42">
        <f t="shared" si="102"/>
        <v>936830320.7666676</v>
      </c>
      <c r="AA332" s="42">
        <f t="shared" si="102"/>
        <v>978928645.00021982</v>
      </c>
      <c r="AB332" s="42">
        <f t="shared" si="102"/>
        <v>756705158.97865486</v>
      </c>
      <c r="AC332" s="42">
        <f t="shared" si="102"/>
        <v>824048472.05375636</v>
      </c>
      <c r="AD332" s="42">
        <f t="shared" si="102"/>
        <v>925737863.82218075</v>
      </c>
      <c r="AE332" s="42">
        <f t="shared" si="102"/>
        <v>923270651.60903239</v>
      </c>
      <c r="AF332" s="42">
        <f t="shared" si="102"/>
        <v>917377072.64623404</v>
      </c>
      <c r="AG332" s="42">
        <f t="shared" si="102"/>
        <v>956821752.76460958</v>
      </c>
      <c r="AH332" s="42">
        <f t="shared" si="102"/>
        <v>987825539.96522689</v>
      </c>
      <c r="AI332" s="42">
        <f t="shared" si="102"/>
        <v>1010526872.414358</v>
      </c>
      <c r="AJ332" s="42">
        <f t="shared" si="102"/>
        <v>1022071104.162748</v>
      </c>
      <c r="AK332" s="42">
        <f t="shared" si="102"/>
        <v>1052441744.9779178</v>
      </c>
      <c r="AL332" s="42">
        <f t="shared" si="102"/>
        <v>1110064951.5712056</v>
      </c>
      <c r="AM332" s="42">
        <f t="shared" si="102"/>
        <v>1150145938.133641</v>
      </c>
      <c r="AN332" s="42">
        <f t="shared" si="102"/>
        <v>1151461543.4178164</v>
      </c>
      <c r="AO332" s="42">
        <f t="shared" si="102"/>
        <v>1149537360.7041574</v>
      </c>
      <c r="AP332" s="42">
        <f t="shared" si="102"/>
        <v>1176561643.8198135</v>
      </c>
      <c r="AQ332" s="42"/>
    </row>
    <row r="333" spans="1:43">
      <c r="A333" s="40" t="s">
        <v>53</v>
      </c>
      <c r="B333" s="42">
        <f t="shared" si="103"/>
        <v>0</v>
      </c>
      <c r="C333" s="42">
        <f t="shared" si="102"/>
        <v>0</v>
      </c>
      <c r="D333" s="42">
        <f t="shared" si="102"/>
        <v>0</v>
      </c>
      <c r="E333" s="42">
        <f t="shared" si="102"/>
        <v>0</v>
      </c>
      <c r="F333" s="42">
        <f t="shared" si="102"/>
        <v>0</v>
      </c>
      <c r="G333" s="42">
        <f t="shared" si="102"/>
        <v>0</v>
      </c>
      <c r="H333" s="42">
        <f t="shared" si="102"/>
        <v>308786</v>
      </c>
      <c r="I333" s="42">
        <f t="shared" si="102"/>
        <v>110331</v>
      </c>
      <c r="J333" s="42">
        <f t="shared" si="102"/>
        <v>244453</v>
      </c>
      <c r="K333" s="42">
        <f t="shared" si="102"/>
        <v>145880</v>
      </c>
      <c r="L333" s="42">
        <f t="shared" si="102"/>
        <v>301122</v>
      </c>
      <c r="M333" s="42">
        <f t="shared" si="102"/>
        <v>645571</v>
      </c>
      <c r="N333" s="42">
        <f t="shared" si="102"/>
        <v>243562</v>
      </c>
      <c r="O333" s="42">
        <f t="shared" si="102"/>
        <v>0</v>
      </c>
      <c r="P333" s="42">
        <f t="shared" si="102"/>
        <v>5849146</v>
      </c>
      <c r="Q333" s="43">
        <f t="shared" si="102"/>
        <v>32198361.094865799</v>
      </c>
      <c r="R333" s="43">
        <f t="shared" si="102"/>
        <v>77063694.54826802</v>
      </c>
      <c r="S333" s="42">
        <f t="shared" si="102"/>
        <v>212870354.00703087</v>
      </c>
      <c r="T333" s="42">
        <f t="shared" si="102"/>
        <v>279364646.94543856</v>
      </c>
      <c r="U333" s="42">
        <f t="shared" si="102"/>
        <v>361407626.73268902</v>
      </c>
      <c r="V333" s="42">
        <f t="shared" si="102"/>
        <v>492043931.4846946</v>
      </c>
      <c r="W333" s="42">
        <f t="shared" si="102"/>
        <v>568444945.48667443</v>
      </c>
      <c r="X333" s="42">
        <f t="shared" si="102"/>
        <v>712953363.68315876</v>
      </c>
      <c r="Y333" s="42">
        <f t="shared" si="102"/>
        <v>744647307.8704927</v>
      </c>
      <c r="Z333" s="42">
        <f t="shared" si="102"/>
        <v>809268514.80627656</v>
      </c>
      <c r="AA333" s="42">
        <f t="shared" si="102"/>
        <v>845794439.63239658</v>
      </c>
      <c r="AB333" s="42">
        <f t="shared" si="102"/>
        <v>653367350.42011261</v>
      </c>
      <c r="AC333" s="42">
        <f t="shared" si="102"/>
        <v>711704979.52510965</v>
      </c>
      <c r="AD333" s="42">
        <f t="shared" si="102"/>
        <v>799690096.83231711</v>
      </c>
      <c r="AE333" s="42">
        <f t="shared" si="102"/>
        <v>797702392.80611551</v>
      </c>
      <c r="AF333" s="42">
        <f t="shared" si="102"/>
        <v>792662002.02899277</v>
      </c>
      <c r="AG333" s="42">
        <f t="shared" si="102"/>
        <v>826740290.00462961</v>
      </c>
      <c r="AH333" s="42">
        <f t="shared" si="102"/>
        <v>853546001.10593498</v>
      </c>
      <c r="AI333" s="42">
        <f t="shared" si="102"/>
        <v>873165692.3492558</v>
      </c>
      <c r="AJ333" s="42">
        <f t="shared" si="102"/>
        <v>883140346.28172219</v>
      </c>
      <c r="AK333" s="42">
        <f t="shared" si="102"/>
        <v>909379993.97829115</v>
      </c>
      <c r="AL333" s="42">
        <f t="shared" si="102"/>
        <v>959167348.45692956</v>
      </c>
      <c r="AM333" s="42">
        <f t="shared" si="102"/>
        <v>993803243.91309667</v>
      </c>
      <c r="AN333" s="42">
        <f t="shared" si="102"/>
        <v>994940344.7450496</v>
      </c>
      <c r="AO333" s="42">
        <f t="shared" si="102"/>
        <v>993277218.83740008</v>
      </c>
      <c r="AP333" s="42">
        <f t="shared" si="102"/>
        <v>1016627483.2865224</v>
      </c>
      <c r="AQ333" s="42"/>
    </row>
    <row r="334" spans="1:43">
      <c r="A334" s="40" t="s">
        <v>54</v>
      </c>
      <c r="B334" s="42">
        <f t="shared" si="103"/>
        <v>0</v>
      </c>
      <c r="C334" s="42">
        <f t="shared" si="102"/>
        <v>0</v>
      </c>
      <c r="D334" s="42">
        <f t="shared" si="102"/>
        <v>0</v>
      </c>
      <c r="E334" s="42">
        <f t="shared" si="102"/>
        <v>0</v>
      </c>
      <c r="F334" s="42">
        <f t="shared" si="102"/>
        <v>0</v>
      </c>
      <c r="G334" s="42">
        <f t="shared" si="102"/>
        <v>0</v>
      </c>
      <c r="H334" s="42">
        <f t="shared" si="102"/>
        <v>286035</v>
      </c>
      <c r="I334" s="42">
        <f t="shared" si="102"/>
        <v>322026</v>
      </c>
      <c r="J334" s="42">
        <f t="shared" si="102"/>
        <v>435584</v>
      </c>
      <c r="K334" s="42">
        <f t="shared" si="102"/>
        <v>219733</v>
      </c>
      <c r="L334" s="42">
        <f t="shared" si="102"/>
        <v>311460</v>
      </c>
      <c r="M334" s="42">
        <f t="shared" si="102"/>
        <v>493605</v>
      </c>
      <c r="N334" s="42">
        <f t="shared" si="102"/>
        <v>2470154</v>
      </c>
      <c r="O334" s="42">
        <f t="shared" si="102"/>
        <v>3875407</v>
      </c>
      <c r="P334" s="42">
        <f t="shared" si="102"/>
        <v>8903497</v>
      </c>
      <c r="Q334" s="43">
        <f t="shared" si="102"/>
        <v>27299750.434044592</v>
      </c>
      <c r="R334" s="43">
        <f t="shared" si="102"/>
        <v>69633042.846714467</v>
      </c>
      <c r="S334" s="42">
        <f t="shared" si="102"/>
        <v>190548050.51259202</v>
      </c>
      <c r="T334" s="42">
        <f t="shared" si="102"/>
        <v>251208196.40952909</v>
      </c>
      <c r="U334" s="42">
        <f t="shared" si="102"/>
        <v>325373715.51824319</v>
      </c>
      <c r="V334" s="42">
        <f t="shared" si="102"/>
        <v>441721362.53926694</v>
      </c>
      <c r="W334" s="42">
        <f t="shared" si="102"/>
        <v>510779440.43601835</v>
      </c>
      <c r="X334" s="42">
        <f t="shared" si="102"/>
        <v>640484408.61429095</v>
      </c>
      <c r="Y334" s="42">
        <f t="shared" si="102"/>
        <v>669181421.32031453</v>
      </c>
      <c r="Z334" s="42">
        <f t="shared" si="102"/>
        <v>727210789.81023657</v>
      </c>
      <c r="AA334" s="42">
        <f t="shared" si="102"/>
        <v>759898272.37211633</v>
      </c>
      <c r="AB334" s="42">
        <f t="shared" si="102"/>
        <v>587065225.008268</v>
      </c>
      <c r="AC334" s="42">
        <f t="shared" si="102"/>
        <v>639478236.26178038</v>
      </c>
      <c r="AD334" s="42">
        <f t="shared" si="102"/>
        <v>718559750.97625399</v>
      </c>
      <c r="AE334" s="42">
        <f t="shared" si="102"/>
        <v>716758882.778947</v>
      </c>
      <c r="AF334" s="42">
        <f t="shared" si="102"/>
        <v>712219011.52336931</v>
      </c>
      <c r="AG334" s="42">
        <f t="shared" si="102"/>
        <v>742849715.78679848</v>
      </c>
      <c r="AH334" s="42">
        <f t="shared" si="102"/>
        <v>766936012.96592796</v>
      </c>
      <c r="AI334" s="42">
        <f t="shared" si="102"/>
        <v>784566354.0650239</v>
      </c>
      <c r="AJ334" s="42">
        <f t="shared" si="102"/>
        <v>793525514.81374574</v>
      </c>
      <c r="AK334" s="42">
        <f t="shared" si="102"/>
        <v>817101984.76935327</v>
      </c>
      <c r="AL334" s="42">
        <f t="shared" si="102"/>
        <v>861839108.22146463</v>
      </c>
      <c r="AM334" s="42">
        <f t="shared" si="102"/>
        <v>892960426.11044741</v>
      </c>
      <c r="AN334" s="42">
        <f t="shared" si="102"/>
        <v>893981992.46843743</v>
      </c>
      <c r="AO334" s="42">
        <f t="shared" si="102"/>
        <v>892487139.68484604</v>
      </c>
      <c r="AP334" s="42">
        <f t="shared" si="102"/>
        <v>913468123.62135422</v>
      </c>
      <c r="AQ334" s="42"/>
    </row>
    <row r="335" spans="1:43">
      <c r="A335" s="40" t="s">
        <v>29</v>
      </c>
      <c r="B335" s="42">
        <f>SUM(B323:B334)</f>
        <v>0</v>
      </c>
      <c r="C335" s="42">
        <f t="shared" ref="C335:J335" si="104">SUM(C323:C334)</f>
        <v>0</v>
      </c>
      <c r="D335" s="42">
        <f t="shared" si="104"/>
        <v>0</v>
      </c>
      <c r="E335" s="42">
        <f t="shared" si="104"/>
        <v>0</v>
      </c>
      <c r="F335" s="42">
        <f t="shared" si="104"/>
        <v>0</v>
      </c>
      <c r="G335" s="42">
        <f t="shared" si="104"/>
        <v>0</v>
      </c>
      <c r="H335" s="42">
        <f t="shared" si="104"/>
        <v>1253834</v>
      </c>
      <c r="I335" s="42">
        <f t="shared" si="104"/>
        <v>2737627</v>
      </c>
      <c r="J335" s="42">
        <f t="shared" si="104"/>
        <v>2925086</v>
      </c>
      <c r="K335" s="42">
        <f>SUM(K323:K334)</f>
        <v>3885925</v>
      </c>
      <c r="L335" s="42">
        <f>SUM(L323:L334)</f>
        <v>7373440</v>
      </c>
      <c r="M335" s="42">
        <f t="shared" ref="M335:AP335" si="105">SUM(M323:M334)</f>
        <v>8122598</v>
      </c>
      <c r="N335" s="42">
        <f t="shared" si="105"/>
        <v>25311805</v>
      </c>
      <c r="O335" s="42">
        <f t="shared" si="105"/>
        <v>39159653</v>
      </c>
      <c r="P335" s="42">
        <f t="shared" si="105"/>
        <v>178913906</v>
      </c>
      <c r="Q335" s="43">
        <f t="shared" si="105"/>
        <v>319271815.82309884</v>
      </c>
      <c r="R335" s="43">
        <f t="shared" si="105"/>
        <v>811157713.79563117</v>
      </c>
      <c r="S335" s="43">
        <f t="shared" si="105"/>
        <v>2226042042.203403</v>
      </c>
      <c r="T335" s="43">
        <f t="shared" si="105"/>
        <v>2916695110.8359962</v>
      </c>
      <c r="U335" s="43">
        <f t="shared" si="105"/>
        <v>3801491665.3740811</v>
      </c>
      <c r="V335" s="43">
        <f t="shared" si="105"/>
        <v>5138152140.5466814</v>
      </c>
      <c r="W335" s="43">
        <f t="shared" si="105"/>
        <v>5942398259.7188044</v>
      </c>
      <c r="X335" s="43">
        <f t="shared" si="105"/>
        <v>7444497452.3232546</v>
      </c>
      <c r="Y335" s="43">
        <f t="shared" si="105"/>
        <v>7775093936.6367855</v>
      </c>
      <c r="Z335" s="43">
        <f t="shared" si="105"/>
        <v>8451119543.4903574</v>
      </c>
      <c r="AA335" s="43">
        <f t="shared" si="105"/>
        <v>8828827979.3486595</v>
      </c>
      <c r="AB335" s="43">
        <f t="shared" si="105"/>
        <v>6825822291.2597628</v>
      </c>
      <c r="AC335" s="43">
        <f t="shared" si="105"/>
        <v>7433136967.5910187</v>
      </c>
      <c r="AD335" s="43">
        <f t="shared" si="105"/>
        <v>8349482040.64645</v>
      </c>
      <c r="AE335" s="43">
        <f t="shared" si="105"/>
        <v>8326145103.950263</v>
      </c>
      <c r="AF335" s="43">
        <f t="shared" si="105"/>
        <v>8272276242.0645161</v>
      </c>
      <c r="AG335" s="43">
        <f t="shared" si="105"/>
        <v>8627750134.2563095</v>
      </c>
      <c r="AH335" s="43">
        <f t="shared" si="105"/>
        <v>8907445041.088562</v>
      </c>
      <c r="AI335" s="43">
        <f t="shared" si="105"/>
        <v>9112152242.4401302</v>
      </c>
      <c r="AJ335" s="43">
        <f t="shared" si="105"/>
        <v>9216221244.3807487</v>
      </c>
      <c r="AK335" s="43">
        <f t="shared" si="105"/>
        <v>9490043077.8764973</v>
      </c>
      <c r="AL335" s="43">
        <f t="shared" si="105"/>
        <v>10009659582.555071</v>
      </c>
      <c r="AM335" s="43">
        <f t="shared" si="105"/>
        <v>10371096590.410646</v>
      </c>
      <c r="AN335" s="43">
        <f t="shared" si="105"/>
        <v>10382954489.553921</v>
      </c>
      <c r="AO335" s="43">
        <f t="shared" si="105"/>
        <v>10365596776.680567</v>
      </c>
      <c r="AP335" s="43">
        <f t="shared" si="105"/>
        <v>10609277373.519333</v>
      </c>
      <c r="AQ335" s="43"/>
    </row>
    <row r="337" spans="1:43" ht="12" thickBot="1">
      <c r="A337" s="245" t="s">
        <v>396</v>
      </c>
    </row>
    <row r="338" spans="1:43" ht="12" thickBot="1">
      <c r="A338" s="270"/>
      <c r="B338" s="263">
        <f>B2</f>
        <v>2010</v>
      </c>
      <c r="C338" s="263">
        <f t="shared" ref="C338:AP338" si="106">C2</f>
        <v>2011</v>
      </c>
      <c r="D338" s="263">
        <f t="shared" si="106"/>
        <v>2012</v>
      </c>
      <c r="E338" s="263">
        <f t="shared" si="106"/>
        <v>2013</v>
      </c>
      <c r="F338" s="263">
        <f t="shared" si="106"/>
        <v>2014</v>
      </c>
      <c r="G338" s="263">
        <f t="shared" si="106"/>
        <v>2015</v>
      </c>
      <c r="H338" s="263">
        <f t="shared" si="106"/>
        <v>2016</v>
      </c>
      <c r="I338" s="263">
        <f t="shared" si="106"/>
        <v>2017</v>
      </c>
      <c r="J338" s="263">
        <f t="shared" si="106"/>
        <v>2018</v>
      </c>
      <c r="K338" s="263">
        <f t="shared" si="106"/>
        <v>2019</v>
      </c>
      <c r="L338" s="263">
        <f t="shared" si="106"/>
        <v>2020</v>
      </c>
      <c r="M338" s="263">
        <f t="shared" si="106"/>
        <v>2021</v>
      </c>
      <c r="N338" s="263">
        <f t="shared" si="106"/>
        <v>2022</v>
      </c>
      <c r="O338" s="263">
        <f t="shared" si="106"/>
        <v>2023</v>
      </c>
      <c r="P338" s="263">
        <f t="shared" si="106"/>
        <v>2024</v>
      </c>
      <c r="Q338" s="263">
        <f t="shared" si="106"/>
        <v>2025</v>
      </c>
      <c r="R338" s="263">
        <f t="shared" si="106"/>
        <v>2026</v>
      </c>
      <c r="S338" s="263">
        <f t="shared" si="106"/>
        <v>2027</v>
      </c>
      <c r="T338" s="263">
        <f t="shared" si="106"/>
        <v>2028</v>
      </c>
      <c r="U338" s="263">
        <f t="shared" si="106"/>
        <v>2029</v>
      </c>
      <c r="V338" s="263">
        <f t="shared" si="106"/>
        <v>2030</v>
      </c>
      <c r="W338" s="263">
        <f t="shared" si="106"/>
        <v>2031</v>
      </c>
      <c r="X338" s="263">
        <f t="shared" si="106"/>
        <v>2032</v>
      </c>
      <c r="Y338" s="263">
        <f t="shared" si="106"/>
        <v>2033</v>
      </c>
      <c r="Z338" s="263">
        <f t="shared" si="106"/>
        <v>2034</v>
      </c>
      <c r="AA338" s="263">
        <f t="shared" si="106"/>
        <v>2035</v>
      </c>
      <c r="AB338" s="263">
        <f t="shared" si="106"/>
        <v>2036</v>
      </c>
      <c r="AC338" s="263">
        <f t="shared" si="106"/>
        <v>2037</v>
      </c>
      <c r="AD338" s="263">
        <f t="shared" si="106"/>
        <v>2038</v>
      </c>
      <c r="AE338" s="263">
        <f t="shared" si="106"/>
        <v>2039</v>
      </c>
      <c r="AF338" s="263">
        <f t="shared" si="106"/>
        <v>2040</v>
      </c>
      <c r="AG338" s="263">
        <f t="shared" si="106"/>
        <v>2041</v>
      </c>
      <c r="AH338" s="263">
        <f t="shared" si="106"/>
        <v>2042</v>
      </c>
      <c r="AI338" s="263">
        <f t="shared" si="106"/>
        <v>2043</v>
      </c>
      <c r="AJ338" s="263">
        <f t="shared" si="106"/>
        <v>2044</v>
      </c>
      <c r="AK338" s="263">
        <f t="shared" si="106"/>
        <v>2045</v>
      </c>
      <c r="AL338" s="263">
        <f t="shared" si="106"/>
        <v>2046</v>
      </c>
      <c r="AM338" s="263">
        <f t="shared" si="106"/>
        <v>2047</v>
      </c>
      <c r="AN338" s="263">
        <f t="shared" si="106"/>
        <v>2048</v>
      </c>
      <c r="AO338" s="263">
        <f t="shared" si="106"/>
        <v>2049</v>
      </c>
      <c r="AP338" s="263">
        <f t="shared" si="106"/>
        <v>2050</v>
      </c>
      <c r="AQ338" s="245"/>
    </row>
    <row r="339" spans="1:43">
      <c r="A339" s="40" t="s">
        <v>43</v>
      </c>
      <c r="B339" s="42">
        <f t="shared" ref="B339:AP345" si="107">B355+B371</f>
        <v>0</v>
      </c>
      <c r="C339" s="42">
        <f t="shared" si="107"/>
        <v>0</v>
      </c>
      <c r="D339" s="42">
        <f t="shared" si="107"/>
        <v>0</v>
      </c>
      <c r="E339" s="42">
        <f t="shared" si="107"/>
        <v>0</v>
      </c>
      <c r="F339" s="42">
        <f t="shared" si="107"/>
        <v>0</v>
      </c>
      <c r="G339" s="42">
        <f t="shared" si="107"/>
        <v>0</v>
      </c>
      <c r="H339" s="42">
        <f t="shared" si="107"/>
        <v>0</v>
      </c>
      <c r="I339" s="42">
        <f t="shared" si="107"/>
        <v>336529</v>
      </c>
      <c r="J339" s="42">
        <f t="shared" si="107"/>
        <v>223543</v>
      </c>
      <c r="K339" s="42">
        <f t="shared" si="107"/>
        <v>311408</v>
      </c>
      <c r="L339" s="42">
        <f t="shared" si="107"/>
        <v>66544</v>
      </c>
      <c r="M339" s="42">
        <f t="shared" si="107"/>
        <v>463720</v>
      </c>
      <c r="N339" s="42">
        <f t="shared" si="107"/>
        <v>643392</v>
      </c>
      <c r="O339" s="42">
        <f t="shared" si="107"/>
        <v>161499</v>
      </c>
      <c r="P339" s="42">
        <f t="shared" si="107"/>
        <v>1334237</v>
      </c>
      <c r="Q339" s="42">
        <f t="shared" si="107"/>
        <v>13560554</v>
      </c>
      <c r="R339" s="43">
        <f t="shared" si="107"/>
        <v>38229011.838695146</v>
      </c>
      <c r="S339" s="42">
        <f t="shared" si="107"/>
        <v>109521895.04585029</v>
      </c>
      <c r="T339" s="42">
        <f t="shared" si="107"/>
        <v>143020679.85842079</v>
      </c>
      <c r="U339" s="42">
        <f t="shared" si="107"/>
        <v>187816578.28863072</v>
      </c>
      <c r="V339" s="42">
        <f t="shared" si="107"/>
        <v>254818825.33232737</v>
      </c>
      <c r="W339" s="42">
        <f t="shared" si="107"/>
        <v>296746609.35139257</v>
      </c>
      <c r="X339" s="42">
        <f t="shared" si="107"/>
        <v>375340334.67418796</v>
      </c>
      <c r="Y339" s="42">
        <f t="shared" si="107"/>
        <v>392020840.3427006</v>
      </c>
      <c r="Z339" s="42">
        <f t="shared" si="107"/>
        <v>426258272.23958808</v>
      </c>
      <c r="AA339" s="42">
        <f t="shared" si="107"/>
        <v>445373909.43993503</v>
      </c>
      <c r="AB339" s="42">
        <f t="shared" si="107"/>
        <v>342556719.12266922</v>
      </c>
      <c r="AC339" s="42">
        <f t="shared" si="107"/>
        <v>373949181.85529208</v>
      </c>
      <c r="AD339" s="42">
        <f t="shared" si="107"/>
        <v>421093495.94412446</v>
      </c>
      <c r="AE339" s="42">
        <f t="shared" si="107"/>
        <v>420965067.60923606</v>
      </c>
      <c r="AF339" s="42">
        <f t="shared" si="107"/>
        <v>418647433.69378662</v>
      </c>
      <c r="AG339" s="42">
        <f t="shared" si="107"/>
        <v>436832273.78734803</v>
      </c>
      <c r="AH339" s="42">
        <f t="shared" si="107"/>
        <v>450998364.44287449</v>
      </c>
      <c r="AI339" s="42">
        <f t="shared" si="107"/>
        <v>461367695.04078084</v>
      </c>
      <c r="AJ339" s="42">
        <f t="shared" si="107"/>
        <v>466638810.18337339</v>
      </c>
      <c r="AK339" s="42">
        <f t="shared" si="107"/>
        <v>480500611.83596313</v>
      </c>
      <c r="AL339" s="42">
        <f t="shared" si="107"/>
        <v>506807690.39461768</v>
      </c>
      <c r="AM339" s="42">
        <f t="shared" si="107"/>
        <v>525109420.94796383</v>
      </c>
      <c r="AN339" s="42">
        <f t="shared" si="107"/>
        <v>525710551.85164994</v>
      </c>
      <c r="AO339" s="42">
        <f t="shared" si="107"/>
        <v>524831589.92529982</v>
      </c>
      <c r="AP339" s="42">
        <f t="shared" si="107"/>
        <v>537169122.61324692</v>
      </c>
      <c r="AQ339" s="42"/>
    </row>
    <row r="340" spans="1:43">
      <c r="A340" s="40" t="s">
        <v>44</v>
      </c>
      <c r="B340" s="42">
        <f t="shared" si="107"/>
        <v>0</v>
      </c>
      <c r="C340" s="42">
        <f t="shared" si="107"/>
        <v>0</v>
      </c>
      <c r="D340" s="42">
        <f t="shared" si="107"/>
        <v>0</v>
      </c>
      <c r="E340" s="42">
        <f t="shared" si="107"/>
        <v>0</v>
      </c>
      <c r="F340" s="42">
        <f t="shared" si="107"/>
        <v>0</v>
      </c>
      <c r="G340" s="42">
        <f t="shared" si="107"/>
        <v>0</v>
      </c>
      <c r="H340" s="42">
        <f t="shared" si="107"/>
        <v>0</v>
      </c>
      <c r="I340" s="42">
        <f t="shared" si="107"/>
        <v>304995</v>
      </c>
      <c r="J340" s="42">
        <f t="shared" si="107"/>
        <v>380794</v>
      </c>
      <c r="K340" s="42">
        <f t="shared" si="107"/>
        <v>300174</v>
      </c>
      <c r="L340" s="42">
        <f t="shared" si="107"/>
        <v>0</v>
      </c>
      <c r="M340" s="42">
        <f t="shared" si="107"/>
        <v>471560</v>
      </c>
      <c r="N340" s="42">
        <f t="shared" si="107"/>
        <v>1774192</v>
      </c>
      <c r="O340" s="42">
        <f t="shared" si="107"/>
        <v>2525754</v>
      </c>
      <c r="P340" s="42">
        <f>P356+P372</f>
        <v>2007904</v>
      </c>
      <c r="Q340" s="42">
        <f t="shared" si="107"/>
        <v>25164991</v>
      </c>
      <c r="R340" s="43">
        <f t="shared" si="107"/>
        <v>72391450.160343915</v>
      </c>
      <c r="S340" s="42">
        <f t="shared" si="107"/>
        <v>207817294.29100034</v>
      </c>
      <c r="T340" s="42">
        <f t="shared" si="107"/>
        <v>272243291.6677109</v>
      </c>
      <c r="U340" s="42">
        <f t="shared" si="107"/>
        <v>356150301.89133877</v>
      </c>
      <c r="V340" s="42">
        <f t="shared" si="107"/>
        <v>483474783.66001105</v>
      </c>
      <c r="W340" s="42">
        <f t="shared" si="107"/>
        <v>563253652.11745155</v>
      </c>
      <c r="X340" s="42">
        <f t="shared" si="107"/>
        <v>712496781.04442477</v>
      </c>
      <c r="Y340" s="42">
        <f t="shared" si="107"/>
        <v>744187256.0562892</v>
      </c>
      <c r="Z340" s="42">
        <f t="shared" si="107"/>
        <v>808971493.91495168</v>
      </c>
      <c r="AA340" s="42">
        <f t="shared" si="107"/>
        <v>845325565.2869935</v>
      </c>
      <c r="AB340" s="42">
        <f t="shared" si="107"/>
        <v>650208097.56540596</v>
      </c>
      <c r="AC340" s="42">
        <f t="shared" si="107"/>
        <v>709794639.56696272</v>
      </c>
      <c r="AD340" s="42">
        <f t="shared" si="107"/>
        <v>799266379.06108844</v>
      </c>
      <c r="AE340" s="42">
        <f t="shared" si="107"/>
        <v>799001050.92660832</v>
      </c>
      <c r="AF340" s="42">
        <f t="shared" si="107"/>
        <v>794618044.57849383</v>
      </c>
      <c r="AG340" s="42">
        <f t="shared" si="107"/>
        <v>829138592.71110213</v>
      </c>
      <c r="AH340" s="42">
        <f t="shared" si="107"/>
        <v>856024401.01624906</v>
      </c>
      <c r="AI340" s="42">
        <f t="shared" si="107"/>
        <v>875702927.7572192</v>
      </c>
      <c r="AJ340" s="42">
        <f t="shared" si="107"/>
        <v>885706482.54763389</v>
      </c>
      <c r="AK340" s="42">
        <f t="shared" si="107"/>
        <v>912019991.68471122</v>
      </c>
      <c r="AL340" s="42">
        <f t="shared" si="107"/>
        <v>961952631.03425324</v>
      </c>
      <c r="AM340" s="42">
        <f t="shared" si="107"/>
        <v>996689643.54765046</v>
      </c>
      <c r="AN340" s="42">
        <f t="shared" si="107"/>
        <v>997830184.18097699</v>
      </c>
      <c r="AO340" s="42">
        <f t="shared" si="107"/>
        <v>996161998.27709746</v>
      </c>
      <c r="AP340" s="42">
        <f t="shared" si="107"/>
        <v>1019579821.6619543</v>
      </c>
      <c r="AQ340" s="42"/>
    </row>
    <row r="341" spans="1:43">
      <c r="A341" s="40" t="s">
        <v>45</v>
      </c>
      <c r="B341" s="42">
        <f t="shared" si="107"/>
        <v>0</v>
      </c>
      <c r="C341" s="42">
        <f t="shared" si="107"/>
        <v>0</v>
      </c>
      <c r="D341" s="42">
        <f t="shared" si="107"/>
        <v>0</v>
      </c>
      <c r="E341" s="42">
        <f t="shared" si="107"/>
        <v>0</v>
      </c>
      <c r="F341" s="42">
        <f t="shared" si="107"/>
        <v>0</v>
      </c>
      <c r="G341" s="42">
        <f t="shared" si="107"/>
        <v>0</v>
      </c>
      <c r="H341" s="42">
        <f t="shared" si="107"/>
        <v>0</v>
      </c>
      <c r="I341" s="42">
        <f t="shared" si="107"/>
        <v>295720</v>
      </c>
      <c r="J341" s="42">
        <f t="shared" si="107"/>
        <v>166064</v>
      </c>
      <c r="K341" s="42">
        <f t="shared" si="107"/>
        <v>294305</v>
      </c>
      <c r="L341" s="42">
        <f t="shared" si="107"/>
        <v>449322</v>
      </c>
      <c r="M341" s="42">
        <f t="shared" si="107"/>
        <v>462249</v>
      </c>
      <c r="N341" s="42">
        <f t="shared" si="107"/>
        <v>1642458</v>
      </c>
      <c r="O341" s="42">
        <f>O357+O373</f>
        <v>1275472</v>
      </c>
      <c r="P341" s="42">
        <f t="shared" si="107"/>
        <v>3390815</v>
      </c>
      <c r="Q341" s="42">
        <f t="shared" si="107"/>
        <v>6152024</v>
      </c>
      <c r="R341" s="43">
        <f t="shared" si="107"/>
        <v>29285759.98825657</v>
      </c>
      <c r="S341" s="42">
        <f t="shared" si="107"/>
        <v>83914570.449466705</v>
      </c>
      <c r="T341" s="42">
        <f t="shared" si="107"/>
        <v>108946231.98852743</v>
      </c>
      <c r="U341" s="42">
        <f t="shared" si="107"/>
        <v>142361456.93573612</v>
      </c>
      <c r="V341" s="42">
        <f t="shared" si="107"/>
        <v>191915885.61788052</v>
      </c>
      <c r="W341" s="42">
        <f t="shared" si="107"/>
        <v>225136805.80014393</v>
      </c>
      <c r="X341" s="42">
        <f t="shared" si="107"/>
        <v>284657861.33832717</v>
      </c>
      <c r="Y341" s="42">
        <f t="shared" si="107"/>
        <v>297042403.56946254</v>
      </c>
      <c r="Z341" s="42">
        <f t="shared" si="107"/>
        <v>322821740.35991496</v>
      </c>
      <c r="AA341" s="42">
        <f t="shared" si="107"/>
        <v>337267928.09656632</v>
      </c>
      <c r="AB341" s="42">
        <f t="shared" si="107"/>
        <v>259593550.67058337</v>
      </c>
      <c r="AC341" s="42">
        <f t="shared" si="107"/>
        <v>283334311.03107357</v>
      </c>
      <c r="AD341" s="42">
        <f t="shared" si="107"/>
        <v>318997366.46489173</v>
      </c>
      <c r="AE341" s="42">
        <f t="shared" si="107"/>
        <v>318885642.99047327</v>
      </c>
      <c r="AF341" s="42">
        <f t="shared" si="107"/>
        <v>317145378.17495555</v>
      </c>
      <c r="AG341" s="42">
        <f t="shared" si="107"/>
        <v>330948663.12358493</v>
      </c>
      <c r="AH341" s="42">
        <f t="shared" si="107"/>
        <v>341666012.25573456</v>
      </c>
      <c r="AI341" s="42">
        <f t="shared" si="107"/>
        <v>349513206.30519569</v>
      </c>
      <c r="AJ341" s="42">
        <f t="shared" si="107"/>
        <v>353507614.86496818</v>
      </c>
      <c r="AK341" s="42">
        <f t="shared" si="107"/>
        <v>364013363.22822857</v>
      </c>
      <c r="AL341" s="42">
        <f t="shared" si="107"/>
        <v>383945009.26110381</v>
      </c>
      <c r="AM341" s="42">
        <f t="shared" si="107"/>
        <v>397806552.92063844</v>
      </c>
      <c r="AN341" s="42">
        <f t="shared" si="107"/>
        <v>398261156.30979872</v>
      </c>
      <c r="AO341" s="42">
        <f t="shared" si="107"/>
        <v>397596100.96859992</v>
      </c>
      <c r="AP341" s="42">
        <f t="shared" si="107"/>
        <v>406943354.27653676</v>
      </c>
      <c r="AQ341" s="42"/>
    </row>
    <row r="342" spans="1:43">
      <c r="A342" s="40" t="s">
        <v>46</v>
      </c>
      <c r="B342" s="42">
        <f t="shared" si="107"/>
        <v>0</v>
      </c>
      <c r="C342" s="42">
        <f t="shared" si="107"/>
        <v>0</v>
      </c>
      <c r="D342" s="42">
        <f t="shared" si="107"/>
        <v>0</v>
      </c>
      <c r="E342" s="42">
        <f t="shared" si="107"/>
        <v>0</v>
      </c>
      <c r="F342" s="42">
        <f t="shared" si="107"/>
        <v>0</v>
      </c>
      <c r="G342" s="42">
        <f t="shared" si="107"/>
        <v>0</v>
      </c>
      <c r="H342" s="42">
        <f t="shared" si="107"/>
        <v>0</v>
      </c>
      <c r="I342" s="42">
        <f t="shared" si="107"/>
        <v>0</v>
      </c>
      <c r="J342" s="42">
        <f t="shared" si="107"/>
        <v>295414</v>
      </c>
      <c r="K342" s="42">
        <f t="shared" si="107"/>
        <v>393560</v>
      </c>
      <c r="L342" s="42">
        <f t="shared" si="107"/>
        <v>1975107</v>
      </c>
      <c r="M342" s="42">
        <f t="shared" si="107"/>
        <v>469263</v>
      </c>
      <c r="N342" s="42">
        <f t="shared" si="107"/>
        <v>654386</v>
      </c>
      <c r="O342" s="42">
        <f t="shared" si="107"/>
        <v>1461634</v>
      </c>
      <c r="P342" s="42">
        <f t="shared" si="107"/>
        <v>4388923</v>
      </c>
      <c r="Q342" s="43">
        <f t="shared" si="107"/>
        <v>13447163.372252712</v>
      </c>
      <c r="R342" s="43">
        <f t="shared" si="107"/>
        <v>46278295.811519742</v>
      </c>
      <c r="S342" s="42">
        <f t="shared" si="107"/>
        <v>133369527.52147733</v>
      </c>
      <c r="T342" s="42">
        <f t="shared" si="107"/>
        <v>174767013.38688031</v>
      </c>
      <c r="U342" s="42">
        <f t="shared" si="107"/>
        <v>228729427.3486968</v>
      </c>
      <c r="V342" s="42">
        <f t="shared" si="107"/>
        <v>308895910.70072824</v>
      </c>
      <c r="W342" s="42">
        <f t="shared" si="107"/>
        <v>360931789.23014539</v>
      </c>
      <c r="X342" s="42">
        <f t="shared" si="107"/>
        <v>456608103.88181126</v>
      </c>
      <c r="Y342" s="42">
        <f t="shared" si="107"/>
        <v>476858397.18959522</v>
      </c>
      <c r="Z342" s="42">
        <f t="shared" si="107"/>
        <v>518280243.60465932</v>
      </c>
      <c r="AA342" s="42">
        <f t="shared" si="107"/>
        <v>541429114.09479022</v>
      </c>
      <c r="AB342" s="42">
        <f t="shared" si="107"/>
        <v>416592830.90959996</v>
      </c>
      <c r="AC342" s="42">
        <f t="shared" si="107"/>
        <v>454760664.87692833</v>
      </c>
      <c r="AD342" s="42">
        <f t="shared" si="107"/>
        <v>512059898.64126098</v>
      </c>
      <c r="AE342" s="42">
        <f t="shared" si="107"/>
        <v>511871974.08208424</v>
      </c>
      <c r="AF342" s="42">
        <f t="shared" si="107"/>
        <v>509059698.65993488</v>
      </c>
      <c r="AG342" s="42">
        <f t="shared" si="107"/>
        <v>531200284.40249521</v>
      </c>
      <c r="AH342" s="42">
        <f t="shared" si="107"/>
        <v>548419188.02999151</v>
      </c>
      <c r="AI342" s="42">
        <f t="shared" si="107"/>
        <v>561021076.12214541</v>
      </c>
      <c r="AJ342" s="42">
        <f t="shared" si="107"/>
        <v>567428155.48274457</v>
      </c>
      <c r="AK342" s="42">
        <f t="shared" si="107"/>
        <v>584287702.53550994</v>
      </c>
      <c r="AL342" s="42">
        <f t="shared" si="107"/>
        <v>616280291.48303056</v>
      </c>
      <c r="AM342" s="42">
        <f t="shared" si="107"/>
        <v>638532966.35983646</v>
      </c>
      <c r="AN342" s="42">
        <f t="shared" si="107"/>
        <v>639262809.68620288</v>
      </c>
      <c r="AO342" s="42">
        <f t="shared" si="107"/>
        <v>638194197.09850788</v>
      </c>
      <c r="AP342" s="42">
        <f t="shared" si="107"/>
        <v>653197395.59144092</v>
      </c>
      <c r="AQ342" s="42"/>
    </row>
    <row r="343" spans="1:43">
      <c r="A343" s="40" t="s">
        <v>47</v>
      </c>
      <c r="B343" s="42">
        <f t="shared" si="107"/>
        <v>0</v>
      </c>
      <c r="C343" s="42">
        <f t="shared" si="107"/>
        <v>0</v>
      </c>
      <c r="D343" s="42">
        <f t="shared" si="107"/>
        <v>0</v>
      </c>
      <c r="E343" s="42">
        <f t="shared" si="107"/>
        <v>0</v>
      </c>
      <c r="F343" s="42">
        <f t="shared" si="107"/>
        <v>0</v>
      </c>
      <c r="G343" s="42">
        <f t="shared" si="107"/>
        <v>0</v>
      </c>
      <c r="H343" s="42">
        <f t="shared" si="107"/>
        <v>0</v>
      </c>
      <c r="I343" s="42">
        <f t="shared" si="107"/>
        <v>215176</v>
      </c>
      <c r="J343" s="42">
        <f t="shared" si="107"/>
        <v>102702</v>
      </c>
      <c r="K343" s="42">
        <f t="shared" si="107"/>
        <v>406860</v>
      </c>
      <c r="L343" s="42">
        <f t="shared" si="107"/>
        <v>0</v>
      </c>
      <c r="M343" s="42">
        <f t="shared" si="107"/>
        <v>459994</v>
      </c>
      <c r="N343" s="42">
        <f t="shared" si="107"/>
        <v>324530</v>
      </c>
      <c r="O343" s="42">
        <f t="shared" si="107"/>
        <v>2602744</v>
      </c>
      <c r="P343" s="42">
        <f t="shared" si="107"/>
        <v>5225945</v>
      </c>
      <c r="Q343" s="43">
        <f t="shared" si="107"/>
        <v>17561873.335574798</v>
      </c>
      <c r="R343" s="43">
        <f t="shared" si="107"/>
        <v>60917195.524193831</v>
      </c>
      <c r="S343" s="42">
        <f t="shared" si="107"/>
        <v>175739293.02756551</v>
      </c>
      <c r="T343" s="42">
        <f t="shared" si="107"/>
        <v>230199578.16407347</v>
      </c>
      <c r="U343" s="42">
        <f t="shared" si="107"/>
        <v>300861483.60737789</v>
      </c>
      <c r="V343" s="42">
        <f t="shared" si="107"/>
        <v>406592504.6328007</v>
      </c>
      <c r="W343" s="42">
        <f t="shared" si="107"/>
        <v>475142085.78747231</v>
      </c>
      <c r="X343" s="42">
        <f t="shared" si="107"/>
        <v>601095330.49564528</v>
      </c>
      <c r="Y343" s="42">
        <f t="shared" si="107"/>
        <v>627701540.07862461</v>
      </c>
      <c r="Z343" s="42">
        <f t="shared" si="107"/>
        <v>682184063.24811935</v>
      </c>
      <c r="AA343" s="42">
        <f t="shared" si="107"/>
        <v>712705366.55126822</v>
      </c>
      <c r="AB343" s="42">
        <f t="shared" si="107"/>
        <v>548381757.72891402</v>
      </c>
      <c r="AC343" s="42">
        <f t="shared" si="107"/>
        <v>598618359.22885346</v>
      </c>
      <c r="AD343" s="42">
        <f t="shared" si="107"/>
        <v>674033874.73905706</v>
      </c>
      <c r="AE343" s="42">
        <f t="shared" si="107"/>
        <v>673785657.64850497</v>
      </c>
      <c r="AF343" s="42">
        <f t="shared" si="107"/>
        <v>670091522.70115852</v>
      </c>
      <c r="AG343" s="42">
        <f t="shared" si="107"/>
        <v>699234788.57329571</v>
      </c>
      <c r="AH343" s="42">
        <f t="shared" si="107"/>
        <v>721898764.24106526</v>
      </c>
      <c r="AI343" s="42">
        <f t="shared" si="107"/>
        <v>738485933.95668948</v>
      </c>
      <c r="AJ343" s="42">
        <f t="shared" si="107"/>
        <v>746920423.82218516</v>
      </c>
      <c r="AK343" s="42">
        <f t="shared" si="107"/>
        <v>769114098.87781882</v>
      </c>
      <c r="AL343" s="42">
        <f t="shared" si="107"/>
        <v>811226360.29394102</v>
      </c>
      <c r="AM343" s="42">
        <f t="shared" si="107"/>
        <v>840517815.44228697</v>
      </c>
      <c r="AN343" s="42">
        <f t="shared" si="107"/>
        <v>841478506.75862193</v>
      </c>
      <c r="AO343" s="42">
        <f t="shared" si="107"/>
        <v>840072055.33941555</v>
      </c>
      <c r="AP343" s="42">
        <f t="shared" si="107"/>
        <v>859821250.24643254</v>
      </c>
      <c r="AQ343" s="42"/>
    </row>
    <row r="344" spans="1:43">
      <c r="A344" s="40" t="s">
        <v>48</v>
      </c>
      <c r="B344" s="42">
        <f t="shared" si="107"/>
        <v>0</v>
      </c>
      <c r="C344" s="42">
        <f t="shared" si="107"/>
        <v>0</v>
      </c>
      <c r="D344" s="42">
        <f t="shared" si="107"/>
        <v>0</v>
      </c>
      <c r="E344" s="42">
        <f t="shared" si="107"/>
        <v>0</v>
      </c>
      <c r="F344" s="42">
        <f t="shared" si="107"/>
        <v>0</v>
      </c>
      <c r="G344" s="42">
        <f t="shared" si="107"/>
        <v>0</v>
      </c>
      <c r="H344" s="42">
        <f t="shared" si="107"/>
        <v>0</v>
      </c>
      <c r="I344" s="42">
        <f t="shared" si="107"/>
        <v>203954</v>
      </c>
      <c r="J344" s="42">
        <f t="shared" si="107"/>
        <v>224310</v>
      </c>
      <c r="K344" s="42">
        <f t="shared" si="107"/>
        <v>357247</v>
      </c>
      <c r="L344" s="42">
        <f t="shared" si="107"/>
        <v>813621</v>
      </c>
      <c r="M344" s="42">
        <f t="shared" si="107"/>
        <v>571708</v>
      </c>
      <c r="N344" s="42">
        <f t="shared" si="107"/>
        <v>1283622</v>
      </c>
      <c r="O344" s="42">
        <f t="shared" si="107"/>
        <v>1794972</v>
      </c>
      <c r="P344" s="42">
        <f t="shared" si="107"/>
        <v>4797776</v>
      </c>
      <c r="Q344" s="43">
        <f t="shared" si="107"/>
        <v>17284117.797514718</v>
      </c>
      <c r="R344" s="43">
        <f t="shared" si="107"/>
        <v>58313549.331986554</v>
      </c>
      <c r="S344" s="42">
        <f t="shared" si="107"/>
        <v>167470920.66554758</v>
      </c>
      <c r="T344" s="42">
        <f t="shared" si="107"/>
        <v>219319148.34212959</v>
      </c>
      <c r="U344" s="42">
        <f t="shared" si="107"/>
        <v>287061947.19957834</v>
      </c>
      <c r="V344" s="42">
        <f t="shared" si="107"/>
        <v>388041014.01815987</v>
      </c>
      <c r="W344" s="42">
        <f t="shared" si="107"/>
        <v>453251071.536017</v>
      </c>
      <c r="X344" s="42">
        <f t="shared" si="107"/>
        <v>573324526.06013024</v>
      </c>
      <c r="Y344" s="42">
        <f t="shared" si="107"/>
        <v>598748010.51103127</v>
      </c>
      <c r="Z344" s="42">
        <f t="shared" si="107"/>
        <v>650791629.70080006</v>
      </c>
      <c r="AA344" s="42">
        <f t="shared" si="107"/>
        <v>679896839.30414259</v>
      </c>
      <c r="AB344" s="42">
        <f t="shared" si="107"/>
        <v>523108380.55889446</v>
      </c>
      <c r="AC344" s="42">
        <f t="shared" si="107"/>
        <v>571028406.0716151</v>
      </c>
      <c r="AD344" s="42">
        <f t="shared" si="107"/>
        <v>642982248.59431279</v>
      </c>
      <c r="AE344" s="42">
        <f t="shared" si="107"/>
        <v>642753083.90732372</v>
      </c>
      <c r="AF344" s="42">
        <f t="shared" si="107"/>
        <v>639223460.55318165</v>
      </c>
      <c r="AG344" s="42">
        <f t="shared" si="107"/>
        <v>667019244.64401245</v>
      </c>
      <c r="AH344" s="42">
        <f t="shared" si="107"/>
        <v>688640778.81462204</v>
      </c>
      <c r="AI344" s="42">
        <f t="shared" si="107"/>
        <v>704466247.71931517</v>
      </c>
      <c r="AJ344" s="42">
        <f t="shared" si="107"/>
        <v>712512409.37115574</v>
      </c>
      <c r="AK344" s="42">
        <f t="shared" si="107"/>
        <v>733682327.93620336</v>
      </c>
      <c r="AL344" s="42">
        <f t="shared" si="107"/>
        <v>773854128.38273215</v>
      </c>
      <c r="AM344" s="42">
        <f t="shared" si="107"/>
        <v>801796744.7812438</v>
      </c>
      <c r="AN344" s="42">
        <f t="shared" si="107"/>
        <v>802713495.68715298</v>
      </c>
      <c r="AO344" s="42">
        <f t="shared" si="107"/>
        <v>801371691.72250438</v>
      </c>
      <c r="AP344" s="42">
        <f t="shared" si="107"/>
        <v>820210862.80681169</v>
      </c>
      <c r="AQ344" s="42"/>
    </row>
    <row r="345" spans="1:43">
      <c r="A345" s="40" t="s">
        <v>49</v>
      </c>
      <c r="B345" s="42">
        <f t="shared" si="107"/>
        <v>0</v>
      </c>
      <c r="C345" s="42">
        <f t="shared" si="107"/>
        <v>0</v>
      </c>
      <c r="D345" s="42">
        <f t="shared" si="107"/>
        <v>0</v>
      </c>
      <c r="E345" s="42">
        <f t="shared" si="107"/>
        <v>0</v>
      </c>
      <c r="F345" s="42">
        <f t="shared" si="107"/>
        <v>0</v>
      </c>
      <c r="G345" s="42">
        <f t="shared" si="107"/>
        <v>0</v>
      </c>
      <c r="H345" s="42">
        <f t="shared" si="107"/>
        <v>0</v>
      </c>
      <c r="I345" s="42">
        <f t="shared" si="107"/>
        <v>193058</v>
      </c>
      <c r="J345" s="42">
        <f t="shared" si="107"/>
        <v>131570</v>
      </c>
      <c r="K345" s="42">
        <f t="shared" si="107"/>
        <v>234581</v>
      </c>
      <c r="L345" s="42">
        <f t="shared" si="107"/>
        <v>2458760</v>
      </c>
      <c r="M345" s="42">
        <f t="shared" ref="C345:AP350" si="108">M361+M377</f>
        <v>1749055</v>
      </c>
      <c r="N345" s="42">
        <f t="shared" si="108"/>
        <v>1820757</v>
      </c>
      <c r="O345" s="42">
        <f t="shared" si="108"/>
        <v>2833215</v>
      </c>
      <c r="P345" s="42">
        <f t="shared" si="108"/>
        <v>5211020</v>
      </c>
      <c r="Q345" s="43">
        <f t="shared" si="108"/>
        <v>17493691.92406626</v>
      </c>
      <c r="R345" s="43">
        <f t="shared" si="108"/>
        <v>63963091.467660837</v>
      </c>
      <c r="S345" s="42">
        <f t="shared" si="108"/>
        <v>182365623.28706172</v>
      </c>
      <c r="T345" s="42">
        <f t="shared" si="108"/>
        <v>238825762.98471066</v>
      </c>
      <c r="U345" s="42">
        <f t="shared" si="108"/>
        <v>312053869.12050009</v>
      </c>
      <c r="V345" s="42">
        <f t="shared" si="108"/>
        <v>421826591.27277583</v>
      </c>
      <c r="W345" s="42">
        <f t="shared" si="108"/>
        <v>493238391.94502503</v>
      </c>
      <c r="X345" s="42">
        <f t="shared" si="108"/>
        <v>623714064.7225827</v>
      </c>
      <c r="Y345" s="42">
        <f t="shared" si="108"/>
        <v>651317267.40882456</v>
      </c>
      <c r="Z345" s="42">
        <f t="shared" si="108"/>
        <v>707859324.01416421</v>
      </c>
      <c r="AA345" s="42">
        <f t="shared" si="108"/>
        <v>739562808.41082311</v>
      </c>
      <c r="AB345" s="42">
        <f t="shared" si="108"/>
        <v>569062410.96083772</v>
      </c>
      <c r="AC345" s="42">
        <f t="shared" si="108"/>
        <v>621160011.91868067</v>
      </c>
      <c r="AD345" s="42">
        <f t="shared" si="108"/>
        <v>699418827.38111126</v>
      </c>
      <c r="AE345" s="42">
        <f t="shared" si="108"/>
        <v>699166351.68864536</v>
      </c>
      <c r="AF345" s="42">
        <f t="shared" si="108"/>
        <v>695337615.55659735</v>
      </c>
      <c r="AG345" s="42">
        <f t="shared" si="108"/>
        <v>725577579.26641297</v>
      </c>
      <c r="AH345" s="42">
        <f t="shared" si="108"/>
        <v>749090806.43459117</v>
      </c>
      <c r="AI345" s="42">
        <f t="shared" si="108"/>
        <v>766304218.51972771</v>
      </c>
      <c r="AJ345" s="42">
        <f t="shared" si="108"/>
        <v>775057595.18435705</v>
      </c>
      <c r="AK345" s="42">
        <f t="shared" si="108"/>
        <v>798087632.41203785</v>
      </c>
      <c r="AL345" s="42">
        <f t="shared" si="108"/>
        <v>841785684.52433968</v>
      </c>
      <c r="AM345" s="42">
        <f t="shared" si="108"/>
        <v>872180065.37113905</v>
      </c>
      <c r="AN345" s="42">
        <f t="shared" si="108"/>
        <v>873177341.37308156</v>
      </c>
      <c r="AO345" s="42">
        <f t="shared" si="108"/>
        <v>871718071.44350767</v>
      </c>
      <c r="AP345" s="42">
        <f t="shared" si="108"/>
        <v>892211181.5145582</v>
      </c>
      <c r="AQ345" s="42"/>
    </row>
    <row r="346" spans="1:43">
      <c r="A346" s="40" t="s">
        <v>50</v>
      </c>
      <c r="B346" s="42">
        <f t="shared" ref="B346:B350" si="109">B362+B378</f>
        <v>0</v>
      </c>
      <c r="C346" s="42">
        <f t="shared" si="108"/>
        <v>0</v>
      </c>
      <c r="D346" s="42">
        <f t="shared" si="108"/>
        <v>0</v>
      </c>
      <c r="E346" s="42">
        <f t="shared" si="108"/>
        <v>0</v>
      </c>
      <c r="F346" s="42">
        <f t="shared" si="108"/>
        <v>0</v>
      </c>
      <c r="G346" s="42">
        <f t="shared" si="108"/>
        <v>0</v>
      </c>
      <c r="H346" s="42">
        <f t="shared" si="108"/>
        <v>0</v>
      </c>
      <c r="I346" s="42">
        <f t="shared" si="108"/>
        <v>278680</v>
      </c>
      <c r="J346" s="42">
        <f t="shared" si="108"/>
        <v>112378</v>
      </c>
      <c r="K346" s="42">
        <f t="shared" si="108"/>
        <v>434812</v>
      </c>
      <c r="L346" s="42">
        <f t="shared" si="108"/>
        <v>102168</v>
      </c>
      <c r="M346" s="42">
        <f t="shared" si="108"/>
        <v>1155292</v>
      </c>
      <c r="N346" s="42">
        <f t="shared" si="108"/>
        <v>628109</v>
      </c>
      <c r="O346" s="42">
        <f t="shared" si="108"/>
        <v>3262183</v>
      </c>
      <c r="P346" s="42">
        <f t="shared" si="108"/>
        <v>6442857</v>
      </c>
      <c r="Q346" s="43">
        <f t="shared" si="108"/>
        <v>18832635.584172253</v>
      </c>
      <c r="R346" s="43">
        <f t="shared" si="108"/>
        <v>68712731.06241627</v>
      </c>
      <c r="S346" s="42">
        <f t="shared" si="108"/>
        <v>198985313.31523335</v>
      </c>
      <c r="T346" s="42">
        <f t="shared" si="108"/>
        <v>260233186.78762928</v>
      </c>
      <c r="U346" s="42">
        <f t="shared" si="108"/>
        <v>339917647.65042788</v>
      </c>
      <c r="V346" s="42">
        <f t="shared" si="108"/>
        <v>459095255.63743979</v>
      </c>
      <c r="W346" s="42">
        <f t="shared" si="108"/>
        <v>536899944.87021422</v>
      </c>
      <c r="X346" s="42">
        <f t="shared" si="108"/>
        <v>679270591.00075531</v>
      </c>
      <c r="Y346" s="42">
        <f t="shared" si="108"/>
        <v>709215410.71706498</v>
      </c>
      <c r="Z346" s="42">
        <f t="shared" si="108"/>
        <v>770733563.55145836</v>
      </c>
      <c r="AA346" s="42">
        <f t="shared" si="108"/>
        <v>805215739.54434299</v>
      </c>
      <c r="AB346" s="42">
        <f t="shared" si="108"/>
        <v>619611072.10533917</v>
      </c>
      <c r="AC346" s="42">
        <f t="shared" si="108"/>
        <v>676365047.1089325</v>
      </c>
      <c r="AD346" s="42">
        <f t="shared" si="108"/>
        <v>761552567.99426329</v>
      </c>
      <c r="AE346" s="42">
        <f t="shared" si="108"/>
        <v>761269792.95717692</v>
      </c>
      <c r="AF346" s="42">
        <f t="shared" si="108"/>
        <v>757101252.44255626</v>
      </c>
      <c r="AG346" s="42">
        <f t="shared" si="108"/>
        <v>790035914.93307042</v>
      </c>
      <c r="AH346" s="42">
        <f t="shared" si="108"/>
        <v>815639145.59885573</v>
      </c>
      <c r="AI346" s="42">
        <f t="shared" si="108"/>
        <v>834377070.62621677</v>
      </c>
      <c r="AJ346" s="42">
        <f t="shared" si="108"/>
        <v>843907500.88311613</v>
      </c>
      <c r="AK346" s="42">
        <f t="shared" si="108"/>
        <v>868984394.57525909</v>
      </c>
      <c r="AL346" s="42">
        <f t="shared" si="108"/>
        <v>916565503.31879425</v>
      </c>
      <c r="AM346" s="42">
        <f t="shared" si="108"/>
        <v>949659554.20593536</v>
      </c>
      <c r="AN346" s="42">
        <f t="shared" si="108"/>
        <v>950744690.9196769</v>
      </c>
      <c r="AO346" s="42">
        <f t="shared" si="108"/>
        <v>949155912.63784909</v>
      </c>
      <c r="AP346" s="42">
        <f t="shared" si="108"/>
        <v>971469758.79648471</v>
      </c>
      <c r="AQ346" s="42"/>
    </row>
    <row r="347" spans="1:43">
      <c r="A347" s="40" t="s">
        <v>51</v>
      </c>
      <c r="B347" s="42">
        <f t="shared" si="109"/>
        <v>0</v>
      </c>
      <c r="C347" s="42">
        <f t="shared" si="108"/>
        <v>0</v>
      </c>
      <c r="D347" s="42">
        <f t="shared" si="108"/>
        <v>0</v>
      </c>
      <c r="E347" s="42">
        <f t="shared" si="108"/>
        <v>0</v>
      </c>
      <c r="F347" s="42">
        <f t="shared" si="108"/>
        <v>0</v>
      </c>
      <c r="G347" s="42">
        <f t="shared" si="108"/>
        <v>0</v>
      </c>
      <c r="H347" s="42">
        <f t="shared" si="108"/>
        <v>369264</v>
      </c>
      <c r="I347" s="42">
        <f t="shared" si="108"/>
        <v>220723</v>
      </c>
      <c r="J347" s="42">
        <f t="shared" si="108"/>
        <v>241731</v>
      </c>
      <c r="K347" s="42">
        <f t="shared" si="108"/>
        <v>440847</v>
      </c>
      <c r="L347" s="42">
        <f t="shared" si="108"/>
        <v>593870</v>
      </c>
      <c r="M347" s="42">
        <f t="shared" si="108"/>
        <v>480195</v>
      </c>
      <c r="N347" s="42">
        <f t="shared" si="108"/>
        <v>629714</v>
      </c>
      <c r="O347" s="42">
        <f t="shared" si="108"/>
        <v>1054881</v>
      </c>
      <c r="P347" s="42">
        <f t="shared" si="108"/>
        <v>14782136</v>
      </c>
      <c r="Q347" s="43">
        <f t="shared" si="108"/>
        <v>19764698.956756774</v>
      </c>
      <c r="R347" s="43">
        <f t="shared" si="108"/>
        <v>83194754.49682866</v>
      </c>
      <c r="S347" s="42">
        <f t="shared" si="108"/>
        <v>241498176.25733224</v>
      </c>
      <c r="T347" s="42">
        <f t="shared" si="108"/>
        <v>316506796.56236291</v>
      </c>
      <c r="U347" s="42">
        <f t="shared" si="108"/>
        <v>415212187.88776433</v>
      </c>
      <c r="V347" s="42">
        <f t="shared" si="108"/>
        <v>557209741.90343034</v>
      </c>
      <c r="W347" s="42">
        <f t="shared" si="108"/>
        <v>652893634.51288402</v>
      </c>
      <c r="X347" s="42">
        <f t="shared" si="108"/>
        <v>826159842.30206776</v>
      </c>
      <c r="Y347" s="42">
        <f t="shared" si="108"/>
        <v>862741184.48734951</v>
      </c>
      <c r="Z347" s="42">
        <f t="shared" si="108"/>
        <v>937593246.94478154</v>
      </c>
      <c r="AA347" s="42">
        <f t="shared" si="108"/>
        <v>979105716.57566261</v>
      </c>
      <c r="AB347" s="42">
        <f t="shared" si="108"/>
        <v>753601015.68919921</v>
      </c>
      <c r="AC347" s="42">
        <f t="shared" si="108"/>
        <v>822648728.19931829</v>
      </c>
      <c r="AD347" s="42">
        <f t="shared" si="108"/>
        <v>926265393.40990698</v>
      </c>
      <c r="AE347" s="42">
        <f t="shared" si="108"/>
        <v>925893651.35577619</v>
      </c>
      <c r="AF347" s="42">
        <f t="shared" si="108"/>
        <v>920784122.18127286</v>
      </c>
      <c r="AG347" s="42">
        <f t="shared" si="108"/>
        <v>960882255.50610852</v>
      </c>
      <c r="AH347" s="42">
        <f t="shared" si="108"/>
        <v>992022609.98671114</v>
      </c>
      <c r="AI347" s="42">
        <f t="shared" si="108"/>
        <v>1014808673.8838902</v>
      </c>
      <c r="AJ347" s="42">
        <f t="shared" si="108"/>
        <v>1026393783.5689936</v>
      </c>
      <c r="AK347" s="42">
        <f t="shared" si="108"/>
        <v>1056891764.0527793</v>
      </c>
      <c r="AL347" s="42">
        <f t="shared" si="108"/>
        <v>1114768581.2200396</v>
      </c>
      <c r="AM347" s="42">
        <f t="shared" si="108"/>
        <v>1155018024.5069363</v>
      </c>
      <c r="AN347" s="42">
        <f t="shared" si="108"/>
        <v>1156336492.2849414</v>
      </c>
      <c r="AO347" s="42">
        <f t="shared" si="108"/>
        <v>1154403423.8175795</v>
      </c>
      <c r="AP347" s="42">
        <f t="shared" si="108"/>
        <v>1181542901.1736948</v>
      </c>
      <c r="AQ347" s="42"/>
    </row>
    <row r="348" spans="1:43">
      <c r="A348" s="40" t="s">
        <v>52</v>
      </c>
      <c r="B348" s="42">
        <f t="shared" si="109"/>
        <v>0</v>
      </c>
      <c r="C348" s="42">
        <f t="shared" si="108"/>
        <v>0</v>
      </c>
      <c r="D348" s="42">
        <f t="shared" si="108"/>
        <v>0</v>
      </c>
      <c r="E348" s="42">
        <f t="shared" si="108"/>
        <v>0</v>
      </c>
      <c r="F348" s="42">
        <f t="shared" si="108"/>
        <v>0</v>
      </c>
      <c r="G348" s="42">
        <f t="shared" si="108"/>
        <v>0</v>
      </c>
      <c r="H348" s="42">
        <f t="shared" si="108"/>
        <v>289749</v>
      </c>
      <c r="I348" s="42">
        <f t="shared" si="108"/>
        <v>256435</v>
      </c>
      <c r="J348" s="42">
        <f t="shared" si="108"/>
        <v>366543</v>
      </c>
      <c r="K348" s="42">
        <f t="shared" si="108"/>
        <v>346518</v>
      </c>
      <c r="L348" s="42">
        <f t="shared" si="108"/>
        <v>301466</v>
      </c>
      <c r="M348" s="42">
        <f t="shared" si="108"/>
        <v>700386</v>
      </c>
      <c r="N348" s="42">
        <f t="shared" si="108"/>
        <v>2823410</v>
      </c>
      <c r="O348" s="42">
        <f t="shared" si="108"/>
        <v>2344221</v>
      </c>
      <c r="P348" s="42">
        <f t="shared" si="108"/>
        <v>7017194</v>
      </c>
      <c r="Q348" s="43">
        <f t="shared" si="108"/>
        <v>23686927.11749972</v>
      </c>
      <c r="R348" s="43">
        <f t="shared" si="108"/>
        <v>82878694.29377155</v>
      </c>
      <c r="S348" s="42">
        <f t="shared" si="108"/>
        <v>235179913.22111005</v>
      </c>
      <c r="T348" s="42">
        <f t="shared" si="108"/>
        <v>308435727.49500567</v>
      </c>
      <c r="U348" s="42">
        <f t="shared" si="108"/>
        <v>403815325.00644654</v>
      </c>
      <c r="V348" s="42">
        <f t="shared" si="108"/>
        <v>545725635.13822401</v>
      </c>
      <c r="W348" s="42">
        <f t="shared" si="108"/>
        <v>637685672.75240564</v>
      </c>
      <c r="X348" s="42">
        <f t="shared" si="108"/>
        <v>806302275.28069174</v>
      </c>
      <c r="Y348" s="42">
        <f t="shared" si="108"/>
        <v>842164435.72704375</v>
      </c>
      <c r="Z348" s="42">
        <f t="shared" si="108"/>
        <v>915378987.78028131</v>
      </c>
      <c r="AA348" s="42">
        <f t="shared" si="108"/>
        <v>956305844.73207736</v>
      </c>
      <c r="AB348" s="42">
        <f t="shared" si="108"/>
        <v>735788432.55493069</v>
      </c>
      <c r="AC348" s="42">
        <f t="shared" si="108"/>
        <v>803161772.94712758</v>
      </c>
      <c r="AD348" s="42">
        <f t="shared" si="108"/>
        <v>904385086.03830087</v>
      </c>
      <c r="AE348" s="42">
        <f t="shared" si="108"/>
        <v>904063402.94593799</v>
      </c>
      <c r="AF348" s="42">
        <f t="shared" si="108"/>
        <v>899096940.36622047</v>
      </c>
      <c r="AG348" s="42">
        <f t="shared" si="108"/>
        <v>938192990.57721305</v>
      </c>
      <c r="AH348" s="42">
        <f t="shared" si="108"/>
        <v>968601913.44971299</v>
      </c>
      <c r="AI348" s="42">
        <f t="shared" si="108"/>
        <v>990863980.90252805</v>
      </c>
      <c r="AJ348" s="42">
        <f t="shared" si="108"/>
        <v>1002181027.6632202</v>
      </c>
      <c r="AK348" s="42">
        <f t="shared" si="108"/>
        <v>1031957041.7227371</v>
      </c>
      <c r="AL348" s="42">
        <f t="shared" si="108"/>
        <v>1088460361.788451</v>
      </c>
      <c r="AM348" s="42">
        <f t="shared" si="108"/>
        <v>1127762752.1540396</v>
      </c>
      <c r="AN348" s="42">
        <f t="shared" si="108"/>
        <v>1129052621.8345478</v>
      </c>
      <c r="AO348" s="42">
        <f t="shared" si="108"/>
        <v>1127165203.0628133</v>
      </c>
      <c r="AP348" s="42">
        <f t="shared" si="108"/>
        <v>1153663260.2650132</v>
      </c>
      <c r="AQ348" s="42"/>
    </row>
    <row r="349" spans="1:43">
      <c r="A349" s="40" t="s">
        <v>53</v>
      </c>
      <c r="B349" s="42">
        <f t="shared" si="109"/>
        <v>0</v>
      </c>
      <c r="C349" s="42">
        <f t="shared" si="108"/>
        <v>0</v>
      </c>
      <c r="D349" s="42">
        <f t="shared" si="108"/>
        <v>0</v>
      </c>
      <c r="E349" s="42">
        <f t="shared" si="108"/>
        <v>0</v>
      </c>
      <c r="F349" s="42">
        <f t="shared" si="108"/>
        <v>0</v>
      </c>
      <c r="G349" s="42">
        <f t="shared" si="108"/>
        <v>0</v>
      </c>
      <c r="H349" s="42">
        <f t="shared" si="108"/>
        <v>308786</v>
      </c>
      <c r="I349" s="42">
        <f t="shared" si="108"/>
        <v>110331</v>
      </c>
      <c r="J349" s="42">
        <f t="shared" si="108"/>
        <v>244453</v>
      </c>
      <c r="K349" s="42">
        <f t="shared" si="108"/>
        <v>145880</v>
      </c>
      <c r="L349" s="42">
        <f t="shared" si="108"/>
        <v>301122</v>
      </c>
      <c r="M349" s="42">
        <f t="shared" si="108"/>
        <v>645571</v>
      </c>
      <c r="N349" s="42">
        <f t="shared" si="108"/>
        <v>243562</v>
      </c>
      <c r="O349" s="42">
        <f t="shared" si="108"/>
        <v>0</v>
      </c>
      <c r="P349" s="42">
        <f t="shared" si="108"/>
        <v>3816680</v>
      </c>
      <c r="Q349" s="43">
        <f t="shared" si="108"/>
        <v>26208865.083135203</v>
      </c>
      <c r="R349" s="43">
        <f t="shared" si="108"/>
        <v>70057905.290485635</v>
      </c>
      <c r="S349" s="42">
        <f t="shared" si="108"/>
        <v>202787005.57269162</v>
      </c>
      <c r="T349" s="42">
        <f t="shared" si="108"/>
        <v>266061570.81848237</v>
      </c>
      <c r="U349" s="42">
        <f t="shared" si="108"/>
        <v>349580046.88875067</v>
      </c>
      <c r="V349" s="42">
        <f t="shared" si="108"/>
        <v>473599944.01595289</v>
      </c>
      <c r="W349" s="42">
        <f t="shared" si="108"/>
        <v>551119020.80934763</v>
      </c>
      <c r="X349" s="42">
        <f t="shared" si="108"/>
        <v>697439745.9532634</v>
      </c>
      <c r="Y349" s="42">
        <f t="shared" si="108"/>
        <v>728659534.80497861</v>
      </c>
      <c r="Z349" s="42">
        <f t="shared" si="108"/>
        <v>792233837.35660362</v>
      </c>
      <c r="AA349" s="42">
        <f t="shared" si="108"/>
        <v>827631960.16852844</v>
      </c>
      <c r="AB349" s="42">
        <f t="shared" si="108"/>
        <v>636555192.84927821</v>
      </c>
      <c r="AC349" s="42">
        <f t="shared" si="108"/>
        <v>694948595.72820461</v>
      </c>
      <c r="AD349" s="42">
        <f t="shared" si="108"/>
        <v>782581796.69298983</v>
      </c>
      <c r="AE349" s="42">
        <f t="shared" si="108"/>
        <v>782320521.46131337</v>
      </c>
      <c r="AF349" s="42">
        <f t="shared" si="108"/>
        <v>777997467.35532331</v>
      </c>
      <c r="AG349" s="42">
        <f t="shared" si="108"/>
        <v>811798709.85082006</v>
      </c>
      <c r="AH349" s="42">
        <f t="shared" si="108"/>
        <v>838134230.2321074</v>
      </c>
      <c r="AI349" s="42">
        <f t="shared" si="108"/>
        <v>857404058.59113324</v>
      </c>
      <c r="AJ349" s="42">
        <f t="shared" si="108"/>
        <v>867194941.47995937</v>
      </c>
      <c r="AK349" s="42">
        <f t="shared" si="108"/>
        <v>892954438.52274382</v>
      </c>
      <c r="AL349" s="42">
        <f t="shared" si="108"/>
        <v>941845297.09751105</v>
      </c>
      <c r="AM349" s="42">
        <f t="shared" si="108"/>
        <v>975858147.92378044</v>
      </c>
      <c r="AN349" s="42">
        <f t="shared" si="108"/>
        <v>976974565.0471704</v>
      </c>
      <c r="AO349" s="42">
        <f t="shared" si="108"/>
        <v>975340371.71786857</v>
      </c>
      <c r="AP349" s="42">
        <f t="shared" si="108"/>
        <v>998268434.04767716</v>
      </c>
      <c r="AQ349" s="42"/>
    </row>
    <row r="350" spans="1:43">
      <c r="A350" s="40" t="s">
        <v>54</v>
      </c>
      <c r="B350" s="42">
        <f t="shared" si="109"/>
        <v>0</v>
      </c>
      <c r="C350" s="42">
        <f t="shared" si="108"/>
        <v>0</v>
      </c>
      <c r="D350" s="42">
        <f t="shared" si="108"/>
        <v>0</v>
      </c>
      <c r="E350" s="42">
        <f t="shared" si="108"/>
        <v>0</v>
      </c>
      <c r="F350" s="42">
        <f t="shared" si="108"/>
        <v>0</v>
      </c>
      <c r="G350" s="42">
        <f t="shared" si="108"/>
        <v>0</v>
      </c>
      <c r="H350" s="42">
        <f t="shared" si="108"/>
        <v>286035</v>
      </c>
      <c r="I350" s="42">
        <f t="shared" si="108"/>
        <v>322026</v>
      </c>
      <c r="J350" s="42">
        <f t="shared" si="108"/>
        <v>435584</v>
      </c>
      <c r="K350" s="42">
        <f t="shared" si="108"/>
        <v>219733</v>
      </c>
      <c r="L350" s="42">
        <f t="shared" si="108"/>
        <v>311460</v>
      </c>
      <c r="M350" s="42">
        <f t="shared" si="108"/>
        <v>493605</v>
      </c>
      <c r="N350" s="42">
        <f t="shared" si="108"/>
        <v>160888</v>
      </c>
      <c r="O350" s="42">
        <f t="shared" si="108"/>
        <v>188691</v>
      </c>
      <c r="P350" s="42">
        <f t="shared" si="108"/>
        <v>3457751</v>
      </c>
      <c r="Q350" s="43">
        <f t="shared" si="108"/>
        <v>24114268.10755131</v>
      </c>
      <c r="R350" s="43">
        <f t="shared" si="108"/>
        <v>63193676.349055596</v>
      </c>
      <c r="S350" s="42">
        <f t="shared" si="108"/>
        <v>181390525.85847983</v>
      </c>
      <c r="T350" s="42">
        <f t="shared" si="108"/>
        <v>239245903.40971366</v>
      </c>
      <c r="U350" s="42">
        <f t="shared" si="108"/>
        <v>314230823.94421059</v>
      </c>
      <c r="V350" s="42">
        <f t="shared" si="108"/>
        <v>425695953.30752617</v>
      </c>
      <c r="W350" s="42">
        <f t="shared" si="108"/>
        <v>495148956.08318865</v>
      </c>
      <c r="X350" s="42">
        <f t="shared" si="108"/>
        <v>626514923.44464231</v>
      </c>
      <c r="Y350" s="42">
        <f t="shared" si="108"/>
        <v>654801255.6916827</v>
      </c>
      <c r="Z350" s="42">
        <f t="shared" si="108"/>
        <v>711888314.76919127</v>
      </c>
      <c r="AA350" s="42">
        <f t="shared" si="108"/>
        <v>743669962.12164855</v>
      </c>
      <c r="AB350" s="42">
        <f t="shared" si="108"/>
        <v>571952512.010571</v>
      </c>
      <c r="AC350" s="42">
        <f t="shared" si="108"/>
        <v>624426883.12432241</v>
      </c>
      <c r="AD350" s="42">
        <f t="shared" si="108"/>
        <v>703199242.78466439</v>
      </c>
      <c r="AE350" s="42">
        <f t="shared" si="108"/>
        <v>702953035.98821938</v>
      </c>
      <c r="AF350" s="42">
        <f t="shared" si="108"/>
        <v>699062778.44737923</v>
      </c>
      <c r="AG350" s="42">
        <f t="shared" si="108"/>
        <v>729432699.16627049</v>
      </c>
      <c r="AH350" s="42">
        <f t="shared" si="108"/>
        <v>753099905.44665051</v>
      </c>
      <c r="AI350" s="42">
        <f t="shared" si="108"/>
        <v>770417800.56040514</v>
      </c>
      <c r="AJ350" s="42">
        <f t="shared" si="108"/>
        <v>779212648.73063123</v>
      </c>
      <c r="AK350" s="42">
        <f t="shared" si="108"/>
        <v>802357874.24013412</v>
      </c>
      <c r="AL350" s="42">
        <f t="shared" si="108"/>
        <v>846288700.73027217</v>
      </c>
      <c r="AM350" s="42">
        <f t="shared" si="108"/>
        <v>876851498.84122825</v>
      </c>
      <c r="AN350" s="42">
        <f t="shared" si="108"/>
        <v>877854776.15459776</v>
      </c>
      <c r="AO350" s="42">
        <f t="shared" si="108"/>
        <v>876385877.79534554</v>
      </c>
      <c r="AP350" s="42">
        <f t="shared" si="108"/>
        <v>896987708.9532752</v>
      </c>
      <c r="AQ350" s="42"/>
    </row>
    <row r="351" spans="1:43">
      <c r="A351" s="40" t="s">
        <v>29</v>
      </c>
      <c r="B351" s="42">
        <f>SUM(B339:B350)</f>
        <v>0</v>
      </c>
      <c r="C351" s="42">
        <f t="shared" ref="C351:AP351" si="110">SUM(C339:C350)</f>
        <v>0</v>
      </c>
      <c r="D351" s="42">
        <f t="shared" si="110"/>
        <v>0</v>
      </c>
      <c r="E351" s="42">
        <f t="shared" si="110"/>
        <v>0</v>
      </c>
      <c r="F351" s="42">
        <f t="shared" si="110"/>
        <v>0</v>
      </c>
      <c r="G351" s="42">
        <f t="shared" si="110"/>
        <v>0</v>
      </c>
      <c r="H351" s="42">
        <f t="shared" si="110"/>
        <v>1253834</v>
      </c>
      <c r="I351" s="42">
        <f t="shared" si="110"/>
        <v>2737627</v>
      </c>
      <c r="J351" s="42">
        <f t="shared" si="110"/>
        <v>2925086</v>
      </c>
      <c r="K351" s="42">
        <f t="shared" si="110"/>
        <v>3885925</v>
      </c>
      <c r="L351" s="42">
        <f t="shared" si="110"/>
        <v>7373440</v>
      </c>
      <c r="M351" s="42">
        <f t="shared" si="110"/>
        <v>8122598</v>
      </c>
      <c r="N351" s="42">
        <f t="shared" si="110"/>
        <v>12629020</v>
      </c>
      <c r="O351" s="42">
        <f t="shared" si="110"/>
        <v>19505266</v>
      </c>
      <c r="P351" s="42">
        <f t="shared" si="110"/>
        <v>61873238</v>
      </c>
      <c r="Q351" s="43">
        <f t="shared" si="110"/>
        <v>223271810.27852371</v>
      </c>
      <c r="R351" s="43">
        <f t="shared" si="110"/>
        <v>737416115.61521435</v>
      </c>
      <c r="S351" s="42">
        <f t="shared" si="110"/>
        <v>2120040058.5128167</v>
      </c>
      <c r="T351" s="42">
        <f t="shared" si="110"/>
        <v>2777804891.4656472</v>
      </c>
      <c r="U351" s="42">
        <f t="shared" si="110"/>
        <v>3637791095.7694588</v>
      </c>
      <c r="V351" s="42">
        <f t="shared" si="110"/>
        <v>4916892045.237257</v>
      </c>
      <c r="W351" s="42">
        <f t="shared" si="110"/>
        <v>5741447634.7956886</v>
      </c>
      <c r="X351" s="42">
        <f t="shared" si="110"/>
        <v>7262924380.1985302</v>
      </c>
      <c r="Y351" s="42">
        <f t="shared" si="110"/>
        <v>7585457536.5846472</v>
      </c>
      <c r="Z351" s="42">
        <f t="shared" si="110"/>
        <v>8244994717.4845123</v>
      </c>
      <c r="AA351" s="42">
        <f t="shared" si="110"/>
        <v>8613490754.3267784</v>
      </c>
      <c r="AB351" s="42">
        <f t="shared" si="110"/>
        <v>6627011972.726223</v>
      </c>
      <c r="AC351" s="42">
        <f t="shared" si="110"/>
        <v>7234196601.6573105</v>
      </c>
      <c r="AD351" s="42">
        <f t="shared" si="110"/>
        <v>8145836177.7459717</v>
      </c>
      <c r="AE351" s="42">
        <f t="shared" si="110"/>
        <v>8142929233.5612993</v>
      </c>
      <c r="AF351" s="42">
        <f t="shared" si="110"/>
        <v>8098165714.7108603</v>
      </c>
      <c r="AG351" s="42">
        <f t="shared" si="110"/>
        <v>8450293996.5417337</v>
      </c>
      <c r="AH351" s="42">
        <f t="shared" si="110"/>
        <v>8724236119.9491653</v>
      </c>
      <c r="AI351" s="42">
        <f t="shared" si="110"/>
        <v>8924732889.9852467</v>
      </c>
      <c r="AJ351" s="42">
        <f t="shared" si="110"/>
        <v>9026661393.7823391</v>
      </c>
      <c r="AK351" s="42">
        <f t="shared" si="110"/>
        <v>9294851241.6241264</v>
      </c>
      <c r="AL351" s="42">
        <f t="shared" si="110"/>
        <v>9803780239.5290852</v>
      </c>
      <c r="AM351" s="42">
        <f t="shared" si="110"/>
        <v>10157783187.002678</v>
      </c>
      <c r="AN351" s="42">
        <f t="shared" si="110"/>
        <v>10169397192.088419</v>
      </c>
      <c r="AO351" s="42">
        <f t="shared" si="110"/>
        <v>10152396493.806389</v>
      </c>
      <c r="AP351" s="42">
        <f t="shared" si="110"/>
        <v>10391065051.947126</v>
      </c>
      <c r="AQ351" s="42"/>
    </row>
    <row r="353" spans="1:43" ht="12" thickBot="1">
      <c r="A353" s="245" t="s">
        <v>397</v>
      </c>
    </row>
    <row r="354" spans="1:43" ht="12" thickBot="1">
      <c r="A354" s="270"/>
      <c r="B354" s="263">
        <v>2010</v>
      </c>
      <c r="C354" s="263">
        <v>2011</v>
      </c>
      <c r="D354" s="263">
        <v>2012</v>
      </c>
      <c r="E354" s="263">
        <v>2013</v>
      </c>
      <c r="F354" s="263">
        <v>2014</v>
      </c>
      <c r="G354" s="263">
        <v>2015</v>
      </c>
      <c r="H354" s="263">
        <v>2016</v>
      </c>
      <c r="I354" s="263">
        <v>2017</v>
      </c>
      <c r="J354" s="263">
        <v>2018</v>
      </c>
      <c r="K354" s="263">
        <v>2019</v>
      </c>
      <c r="L354" s="263">
        <v>2020</v>
      </c>
      <c r="M354" s="263">
        <v>2021</v>
      </c>
      <c r="N354" s="263">
        <v>2022</v>
      </c>
      <c r="O354" s="263">
        <v>2023</v>
      </c>
      <c r="P354" s="263">
        <v>2024</v>
      </c>
      <c r="Q354" s="263">
        <v>2025</v>
      </c>
      <c r="R354" s="263">
        <v>2026</v>
      </c>
      <c r="S354" s="263">
        <v>2027</v>
      </c>
      <c r="T354" s="263">
        <v>2028</v>
      </c>
      <c r="U354" s="263">
        <v>2029</v>
      </c>
      <c r="V354" s="263">
        <v>2030</v>
      </c>
      <c r="W354" s="263">
        <v>2031</v>
      </c>
      <c r="X354" s="263">
        <v>2032</v>
      </c>
      <c r="Y354" s="263">
        <v>2033</v>
      </c>
      <c r="Z354" s="263">
        <v>2034</v>
      </c>
      <c r="AA354" s="263">
        <v>2035</v>
      </c>
      <c r="AB354" s="263">
        <v>2036</v>
      </c>
      <c r="AC354" s="263">
        <v>2037</v>
      </c>
      <c r="AD354" s="263">
        <v>2038</v>
      </c>
      <c r="AE354" s="263">
        <v>2039</v>
      </c>
      <c r="AF354" s="263">
        <v>2040</v>
      </c>
      <c r="AG354" s="263">
        <v>2041</v>
      </c>
      <c r="AH354" s="263">
        <v>2042</v>
      </c>
      <c r="AI354" s="263">
        <v>2043</v>
      </c>
      <c r="AJ354" s="263">
        <v>2044</v>
      </c>
      <c r="AK354" s="263">
        <v>2045</v>
      </c>
      <c r="AL354" s="263">
        <v>2046</v>
      </c>
      <c r="AM354" s="263">
        <v>2047</v>
      </c>
      <c r="AN354" s="263">
        <v>2048</v>
      </c>
      <c r="AO354" s="263">
        <v>2049</v>
      </c>
      <c r="AP354" s="263">
        <v>2050</v>
      </c>
      <c r="AQ354" s="245"/>
    </row>
    <row r="355" spans="1:43">
      <c r="A355" s="40" t="s">
        <v>43</v>
      </c>
      <c r="B355" s="42">
        <f>'Monthly D4 RIN Data'!$AE4</f>
        <v>0</v>
      </c>
      <c r="C355" s="42">
        <f>'Monthly D4 RIN Data'!$AE16</f>
        <v>0</v>
      </c>
      <c r="D355" s="42">
        <f>'Monthly D4 RIN Data'!$AE28</f>
        <v>0</v>
      </c>
      <c r="E355" s="42">
        <f>'Monthly D4 RIN Data'!$AE40</f>
        <v>0</v>
      </c>
      <c r="F355" s="42">
        <f>'Monthly D4 RIN Data'!$AE52</f>
        <v>0</v>
      </c>
      <c r="G355" s="42">
        <f>'Monthly D4 RIN Data'!$AE64</f>
        <v>0</v>
      </c>
      <c r="H355" s="42">
        <f>'Monthly D4 RIN Data'!$AE76</f>
        <v>0</v>
      </c>
      <c r="I355" s="42">
        <f>'Monthly D4 RIN Data'!$AE88</f>
        <v>336529</v>
      </c>
      <c r="J355" s="42">
        <f>'Monthly D4 RIN Data'!$AE100</f>
        <v>223543</v>
      </c>
      <c r="K355" s="42">
        <f>'Monthly D4 RIN Data'!$AE112</f>
        <v>311408</v>
      </c>
      <c r="L355" s="42">
        <f>'Monthly D4 RIN Data'!$AE124</f>
        <v>66544</v>
      </c>
      <c r="M355" s="42">
        <f>'Monthly D4 RIN Data'!$AE136</f>
        <v>463720</v>
      </c>
      <c r="N355" s="42">
        <f>'Monthly D4 RIN Data'!$AE148</f>
        <v>643392</v>
      </c>
      <c r="O355" s="42">
        <f>'Monthly D4 RIN Data'!$AE160</f>
        <v>161499</v>
      </c>
      <c r="P355" s="42">
        <f>'Monthly D4 RIN Data'!$AE172</f>
        <v>1334237</v>
      </c>
      <c r="Q355" s="42">
        <f>'Monthly D4 RIN Data'!$AE184</f>
        <v>13560554</v>
      </c>
      <c r="R355" s="43">
        <f>'D4 Gallon Forecast'!R341*AVERAGE('D4 RIN Forecast'!$BB$22:$BF$22)</f>
        <v>38229011.838695146</v>
      </c>
      <c r="S355" s="43">
        <f>'D4 Gallon Forecast'!S341*AVERAGE('D4 RIN Forecast'!$BB$22:$BF$22)</f>
        <v>109521895.04585029</v>
      </c>
      <c r="T355" s="43">
        <f>'D4 Gallon Forecast'!T341*AVERAGE('D4 RIN Forecast'!$BB$22:$BF$22)</f>
        <v>143020679.85842079</v>
      </c>
      <c r="U355" s="43">
        <f>'D4 Gallon Forecast'!U341*AVERAGE('D4 RIN Forecast'!$BB$22:$BF$22)</f>
        <v>187816578.28863072</v>
      </c>
      <c r="V355" s="43">
        <f>'D4 Gallon Forecast'!V341*AVERAGE('D4 RIN Forecast'!BI$22:BM$22)</f>
        <v>254818825.33232737</v>
      </c>
      <c r="W355" s="43">
        <f>'D4 Gallon Forecast'!W341*AVERAGE('D4 RIN Forecast'!BJ$22:BN$22)</f>
        <v>296746609.35139257</v>
      </c>
      <c r="X355" s="43">
        <f>'D4 Gallon Forecast'!X341*AVERAGE('D4 RIN Forecast'!BK$22:BO$22)</f>
        <v>375340334.67418796</v>
      </c>
      <c r="Y355" s="43">
        <f>'D4 Gallon Forecast'!Y341*AVERAGE('D4 RIN Forecast'!BL$22:BP$22)</f>
        <v>392020840.3427006</v>
      </c>
      <c r="Z355" s="43">
        <f>'D4 Gallon Forecast'!Z341*AVERAGE('D4 RIN Forecast'!BM$22:BQ$22)</f>
        <v>426258272.23958808</v>
      </c>
      <c r="AA355" s="43">
        <f>'D4 Gallon Forecast'!AA341*AVERAGE('D4 RIN Forecast'!BN$22:BR$22)</f>
        <v>445373909.43993503</v>
      </c>
      <c r="AB355" s="43">
        <f>'D4 Gallon Forecast'!AB341*AVERAGE('D4 RIN Forecast'!BO$22:BS$22)</f>
        <v>342556719.12266922</v>
      </c>
      <c r="AC355" s="43">
        <f>'D4 Gallon Forecast'!AC341*AVERAGE('D4 RIN Forecast'!BP$22:BT$22)</f>
        <v>373949181.85529208</v>
      </c>
      <c r="AD355" s="43">
        <f>'D4 Gallon Forecast'!AD341*AVERAGE('D4 RIN Forecast'!BQ$22:BU$22)</f>
        <v>421093495.94412446</v>
      </c>
      <c r="AE355" s="43">
        <f>'D4 Gallon Forecast'!AE341*AVERAGE('D4 RIN Forecast'!BR$22:BV$22)</f>
        <v>420965067.60923606</v>
      </c>
      <c r="AF355" s="43">
        <f>'D4 Gallon Forecast'!AF341*AVERAGE('D4 RIN Forecast'!BS$22:BW$22)</f>
        <v>418647433.69378662</v>
      </c>
      <c r="AG355" s="43">
        <f>'D4 Gallon Forecast'!AG341*AVERAGE('D4 RIN Forecast'!BT$22:BX$22)</f>
        <v>436832273.78734803</v>
      </c>
      <c r="AH355" s="43">
        <f>'D4 Gallon Forecast'!AH341*AVERAGE('D4 RIN Forecast'!BU$22:BY$22)</f>
        <v>450998364.44287449</v>
      </c>
      <c r="AI355" s="43">
        <f>'D4 Gallon Forecast'!AI341*AVERAGE('D4 RIN Forecast'!BV$22:BZ$22)</f>
        <v>461367695.04078084</v>
      </c>
      <c r="AJ355" s="43">
        <f>'D4 Gallon Forecast'!AJ341*AVERAGE('D4 RIN Forecast'!BW$22:CA$22)</f>
        <v>466638810.18337339</v>
      </c>
      <c r="AK355" s="43">
        <f>'D4 Gallon Forecast'!AK341*AVERAGE('D4 RIN Forecast'!BX$22:CB$22)</f>
        <v>480500611.83596313</v>
      </c>
      <c r="AL355" s="43">
        <f>'D4 Gallon Forecast'!AL341*AVERAGE('D4 RIN Forecast'!BY$22:CC$22)</f>
        <v>506807690.39461768</v>
      </c>
      <c r="AM355" s="43">
        <f>'D4 Gallon Forecast'!AM341*AVERAGE('D4 RIN Forecast'!BZ$22:CD$22)</f>
        <v>525109420.94796383</v>
      </c>
      <c r="AN355" s="43">
        <f>'D4 Gallon Forecast'!AN341*AVERAGE('D4 RIN Forecast'!CA$22:CE$22)</f>
        <v>525710551.85164994</v>
      </c>
      <c r="AO355" s="43">
        <f>'D4 Gallon Forecast'!AO341*AVERAGE('D4 RIN Forecast'!CB$22:CF$22)</f>
        <v>524831589.92529982</v>
      </c>
      <c r="AP355" s="43">
        <f>'D4 Gallon Forecast'!AP341*AVERAGE('D4 RIN Forecast'!CC$22:CG$22)</f>
        <v>537169122.61324692</v>
      </c>
      <c r="AQ355" s="43"/>
    </row>
    <row r="356" spans="1:43">
      <c r="A356" s="40" t="s">
        <v>44</v>
      </c>
      <c r="B356" s="42">
        <f>'Monthly D4 RIN Data'!$AE5</f>
        <v>0</v>
      </c>
      <c r="C356" s="42">
        <f>'Monthly D4 RIN Data'!$AE17</f>
        <v>0</v>
      </c>
      <c r="D356" s="42">
        <f>'Monthly D4 RIN Data'!$AE29</f>
        <v>0</v>
      </c>
      <c r="E356" s="42">
        <f>'Monthly D4 RIN Data'!$AE41</f>
        <v>0</v>
      </c>
      <c r="F356" s="42">
        <f>'Monthly D4 RIN Data'!$AE53</f>
        <v>0</v>
      </c>
      <c r="G356" s="42">
        <f>'Monthly D4 RIN Data'!$AE65</f>
        <v>0</v>
      </c>
      <c r="H356" s="42">
        <f>'Monthly D4 RIN Data'!$AE77</f>
        <v>0</v>
      </c>
      <c r="I356" s="42">
        <f>'Monthly D4 RIN Data'!$AE89</f>
        <v>304995</v>
      </c>
      <c r="J356" s="42">
        <f>'Monthly D4 RIN Data'!$AE101</f>
        <v>380794</v>
      </c>
      <c r="K356" s="42">
        <f>'Monthly D4 RIN Data'!$AE113</f>
        <v>300174</v>
      </c>
      <c r="L356" s="42">
        <f>'Monthly D4 RIN Data'!$AE125</f>
        <v>0</v>
      </c>
      <c r="M356" s="42">
        <f>'Monthly D4 RIN Data'!$AE137</f>
        <v>471560</v>
      </c>
      <c r="N356" s="42">
        <f>'Monthly D4 RIN Data'!$AE149</f>
        <v>1774192</v>
      </c>
      <c r="O356" s="42">
        <f>'Monthly D4 RIN Data'!$AE161</f>
        <v>2525754</v>
      </c>
      <c r="P356" s="42">
        <f>'Monthly D4 RIN Data'!$AE173</f>
        <v>2007904</v>
      </c>
      <c r="Q356" s="42">
        <f>'Monthly D4 RIN Data'!$AE185</f>
        <v>25164991</v>
      </c>
      <c r="R356" s="43">
        <f>'D4 Gallon Forecast'!R342*AVERAGE('D4 RIN Forecast'!$BB$22:$BF$22)</f>
        <v>72391450.160343915</v>
      </c>
      <c r="S356" s="43">
        <f>'D4 Gallon Forecast'!S342*AVERAGE('D4 RIN Forecast'!$BB$22:$BF$22)</f>
        <v>207817294.29100034</v>
      </c>
      <c r="T356" s="43">
        <f>'D4 Gallon Forecast'!T342*AVERAGE('D4 RIN Forecast'!$BB$22:$BF$22)</f>
        <v>272243291.6677109</v>
      </c>
      <c r="U356" s="43">
        <f>'D4 Gallon Forecast'!U342*AVERAGE('D4 RIN Forecast'!$BB$22:$BF$22)</f>
        <v>356150301.89133877</v>
      </c>
      <c r="V356" s="43">
        <f>'D4 Gallon Forecast'!V342*AVERAGE('D4 RIN Forecast'!BI$22:BM$22)</f>
        <v>483474783.66001105</v>
      </c>
      <c r="W356" s="43">
        <f>'D4 Gallon Forecast'!W342*AVERAGE('D4 RIN Forecast'!BJ$22:BN$22)</f>
        <v>563253652.11745155</v>
      </c>
      <c r="X356" s="43">
        <f>'D4 Gallon Forecast'!X342*AVERAGE('D4 RIN Forecast'!BK$22:BO$22)</f>
        <v>712496781.04442477</v>
      </c>
      <c r="Y356" s="43">
        <f>'D4 Gallon Forecast'!Y342*AVERAGE('D4 RIN Forecast'!BL$22:BP$22)</f>
        <v>744187256.0562892</v>
      </c>
      <c r="Z356" s="43">
        <f>'D4 Gallon Forecast'!Z342*AVERAGE('D4 RIN Forecast'!BM$22:BQ$22)</f>
        <v>808971493.91495168</v>
      </c>
      <c r="AA356" s="43">
        <f>'D4 Gallon Forecast'!AA342*AVERAGE('D4 RIN Forecast'!BN$22:BR$22)</f>
        <v>845325565.2869935</v>
      </c>
      <c r="AB356" s="43">
        <f>'D4 Gallon Forecast'!AB342*AVERAGE('D4 RIN Forecast'!BO$22:BS$22)</f>
        <v>650208097.56540596</v>
      </c>
      <c r="AC356" s="43">
        <f>'D4 Gallon Forecast'!AC342*AVERAGE('D4 RIN Forecast'!BP$22:BT$22)</f>
        <v>709794639.56696272</v>
      </c>
      <c r="AD356" s="43">
        <f>'D4 Gallon Forecast'!AD342*AVERAGE('D4 RIN Forecast'!BQ$22:BU$22)</f>
        <v>799266379.06108844</v>
      </c>
      <c r="AE356" s="43">
        <f>'D4 Gallon Forecast'!AE342*AVERAGE('D4 RIN Forecast'!BR$22:BV$22)</f>
        <v>799001050.92660832</v>
      </c>
      <c r="AF356" s="43">
        <f>'D4 Gallon Forecast'!AF342*AVERAGE('D4 RIN Forecast'!BS$22:BW$22)</f>
        <v>794618044.57849383</v>
      </c>
      <c r="AG356" s="43">
        <f>'D4 Gallon Forecast'!AG342*AVERAGE('D4 RIN Forecast'!BT$22:BX$22)</f>
        <v>829138592.71110213</v>
      </c>
      <c r="AH356" s="43">
        <f>'D4 Gallon Forecast'!AH342*AVERAGE('D4 RIN Forecast'!BU$22:BY$22)</f>
        <v>856024401.01624906</v>
      </c>
      <c r="AI356" s="43">
        <f>'D4 Gallon Forecast'!AI342*AVERAGE('D4 RIN Forecast'!BV$22:BZ$22)</f>
        <v>875702927.7572192</v>
      </c>
      <c r="AJ356" s="43">
        <f>'D4 Gallon Forecast'!AJ342*AVERAGE('D4 RIN Forecast'!BW$22:CA$22)</f>
        <v>885706482.54763389</v>
      </c>
      <c r="AK356" s="43">
        <f>'D4 Gallon Forecast'!AK342*AVERAGE('D4 RIN Forecast'!BX$22:CB$22)</f>
        <v>912019991.68471122</v>
      </c>
      <c r="AL356" s="43">
        <f>'D4 Gallon Forecast'!AL342*AVERAGE('D4 RIN Forecast'!BY$22:CC$22)</f>
        <v>961952631.03425324</v>
      </c>
      <c r="AM356" s="43">
        <f>'D4 Gallon Forecast'!AM342*AVERAGE('D4 RIN Forecast'!BZ$22:CD$22)</f>
        <v>996689643.54765046</v>
      </c>
      <c r="AN356" s="43">
        <f>'D4 Gallon Forecast'!AN342*AVERAGE('D4 RIN Forecast'!CA$22:CE$22)</f>
        <v>997830184.18097699</v>
      </c>
      <c r="AO356" s="43">
        <f>'D4 Gallon Forecast'!AO342*AVERAGE('D4 RIN Forecast'!CB$22:CF$22)</f>
        <v>996161998.27709746</v>
      </c>
      <c r="AP356" s="43">
        <f>'D4 Gallon Forecast'!AP342*AVERAGE('D4 RIN Forecast'!CC$22:CG$22)</f>
        <v>1019579821.6619543</v>
      </c>
      <c r="AQ356" s="43"/>
    </row>
    <row r="357" spans="1:43">
      <c r="A357" s="40" t="s">
        <v>45</v>
      </c>
      <c r="B357" s="42">
        <f>'Monthly D4 RIN Data'!$AE6</f>
        <v>0</v>
      </c>
      <c r="C357" s="42">
        <f>'Monthly D4 RIN Data'!$AE18</f>
        <v>0</v>
      </c>
      <c r="D357" s="42">
        <f>'Monthly D4 RIN Data'!$AE30</f>
        <v>0</v>
      </c>
      <c r="E357" s="42">
        <f>'Monthly D4 RIN Data'!$AE42</f>
        <v>0</v>
      </c>
      <c r="F357" s="42">
        <f>'Monthly D4 RIN Data'!$AE54</f>
        <v>0</v>
      </c>
      <c r="G357" s="42">
        <f>'Monthly D4 RIN Data'!$AE66</f>
        <v>0</v>
      </c>
      <c r="H357" s="42">
        <f>'Monthly D4 RIN Data'!$AE78</f>
        <v>0</v>
      </c>
      <c r="I357" s="42">
        <f>'Monthly D4 RIN Data'!$AE90</f>
        <v>295720</v>
      </c>
      <c r="J357" s="42">
        <f>'Monthly D4 RIN Data'!$AE102</f>
        <v>166064</v>
      </c>
      <c r="K357" s="42">
        <f>'Monthly D4 RIN Data'!$AE114</f>
        <v>294305</v>
      </c>
      <c r="L357" s="42">
        <f>'Monthly D4 RIN Data'!$AE126</f>
        <v>449322</v>
      </c>
      <c r="M357" s="42">
        <f>'Monthly D4 RIN Data'!$AE138</f>
        <v>462249</v>
      </c>
      <c r="N357" s="42">
        <f>'Monthly D4 RIN Data'!$AE150</f>
        <v>1642458</v>
      </c>
      <c r="O357" s="42">
        <f>'Monthly D4 RIN Data'!$AE162</f>
        <v>1275472</v>
      </c>
      <c r="P357" s="42">
        <f>'Monthly D4 RIN Data'!$AE174</f>
        <v>3390815</v>
      </c>
      <c r="Q357" s="42">
        <f>'Monthly D4 RIN Data'!$AE186</f>
        <v>6152024</v>
      </c>
      <c r="R357" s="43">
        <f>'D4 Gallon Forecast'!R343*AVERAGE('D4 RIN Forecast'!$BB$22:$BF$22)</f>
        <v>29285759.98825657</v>
      </c>
      <c r="S357" s="43">
        <f>'D4 Gallon Forecast'!S343*AVERAGE('D4 RIN Forecast'!$BB$22:$BF$22)</f>
        <v>83914570.449466705</v>
      </c>
      <c r="T357" s="43">
        <f>'D4 Gallon Forecast'!T343*AVERAGE('D4 RIN Forecast'!$BB$22:$BF$22)</f>
        <v>108946231.98852743</v>
      </c>
      <c r="U357" s="43">
        <f>'D4 Gallon Forecast'!U343*AVERAGE('D4 RIN Forecast'!$BB$22:$BF$22)</f>
        <v>142361456.93573612</v>
      </c>
      <c r="V357" s="43">
        <f>'D4 Gallon Forecast'!V343*AVERAGE('D4 RIN Forecast'!BI$22:BM$22)</f>
        <v>191915885.61788052</v>
      </c>
      <c r="W357" s="43">
        <f>'D4 Gallon Forecast'!W343*AVERAGE('D4 RIN Forecast'!BJ$22:BN$22)</f>
        <v>225136805.80014393</v>
      </c>
      <c r="X357" s="43">
        <f>'D4 Gallon Forecast'!X343*AVERAGE('D4 RIN Forecast'!BK$22:BO$22)</f>
        <v>284657861.33832717</v>
      </c>
      <c r="Y357" s="43">
        <f>'D4 Gallon Forecast'!Y343*AVERAGE('D4 RIN Forecast'!BL$22:BP$22)</f>
        <v>297042403.56946254</v>
      </c>
      <c r="Z357" s="43">
        <f>'D4 Gallon Forecast'!Z343*AVERAGE('D4 RIN Forecast'!BM$22:BQ$22)</f>
        <v>322821740.35991496</v>
      </c>
      <c r="AA357" s="43">
        <f>'D4 Gallon Forecast'!AA343*AVERAGE('D4 RIN Forecast'!BN$22:BR$22)</f>
        <v>337267928.09656632</v>
      </c>
      <c r="AB357" s="43">
        <f>'D4 Gallon Forecast'!AB343*AVERAGE('D4 RIN Forecast'!BO$22:BS$22)</f>
        <v>259593550.67058337</v>
      </c>
      <c r="AC357" s="43">
        <f>'D4 Gallon Forecast'!AC343*AVERAGE('D4 RIN Forecast'!BP$22:BT$22)</f>
        <v>283334311.03107357</v>
      </c>
      <c r="AD357" s="43">
        <f>'D4 Gallon Forecast'!AD343*AVERAGE('D4 RIN Forecast'!BQ$22:BU$22)</f>
        <v>318997366.46489173</v>
      </c>
      <c r="AE357" s="43">
        <f>'D4 Gallon Forecast'!AE343*AVERAGE('D4 RIN Forecast'!BR$22:BV$22)</f>
        <v>318885642.99047327</v>
      </c>
      <c r="AF357" s="43">
        <f>'D4 Gallon Forecast'!AF343*AVERAGE('D4 RIN Forecast'!BS$22:BW$22)</f>
        <v>317145378.17495555</v>
      </c>
      <c r="AG357" s="43">
        <f>'D4 Gallon Forecast'!AG343*AVERAGE('D4 RIN Forecast'!BT$22:BX$22)</f>
        <v>330948663.12358493</v>
      </c>
      <c r="AH357" s="43">
        <f>'D4 Gallon Forecast'!AH343*AVERAGE('D4 RIN Forecast'!BU$22:BY$22)</f>
        <v>341666012.25573456</v>
      </c>
      <c r="AI357" s="43">
        <f>'D4 Gallon Forecast'!AI343*AVERAGE('D4 RIN Forecast'!BV$22:BZ$22)</f>
        <v>349513206.30519569</v>
      </c>
      <c r="AJ357" s="43">
        <f>'D4 Gallon Forecast'!AJ343*AVERAGE('D4 RIN Forecast'!BW$22:CA$22)</f>
        <v>353507614.86496818</v>
      </c>
      <c r="AK357" s="43">
        <f>'D4 Gallon Forecast'!AK343*AVERAGE('D4 RIN Forecast'!BX$22:CB$22)</f>
        <v>364013363.22822857</v>
      </c>
      <c r="AL357" s="43">
        <f>'D4 Gallon Forecast'!AL343*AVERAGE('D4 RIN Forecast'!BY$22:CC$22)</f>
        <v>383945009.26110381</v>
      </c>
      <c r="AM357" s="43">
        <f>'D4 Gallon Forecast'!AM343*AVERAGE('D4 RIN Forecast'!BZ$22:CD$22)</f>
        <v>397806552.92063844</v>
      </c>
      <c r="AN357" s="43">
        <f>'D4 Gallon Forecast'!AN343*AVERAGE('D4 RIN Forecast'!CA$22:CE$22)</f>
        <v>398261156.30979872</v>
      </c>
      <c r="AO357" s="43">
        <f>'D4 Gallon Forecast'!AO343*AVERAGE('D4 RIN Forecast'!CB$22:CF$22)</f>
        <v>397596100.96859992</v>
      </c>
      <c r="AP357" s="43">
        <f>'D4 Gallon Forecast'!AP343*AVERAGE('D4 RIN Forecast'!CC$22:CG$22)</f>
        <v>406943354.27653676</v>
      </c>
      <c r="AQ357" s="43"/>
    </row>
    <row r="358" spans="1:43">
      <c r="A358" s="40" t="s">
        <v>46</v>
      </c>
      <c r="B358" s="42">
        <f>'Monthly D4 RIN Data'!$AE7</f>
        <v>0</v>
      </c>
      <c r="C358" s="42">
        <f>'Monthly D4 RIN Data'!$AE19</f>
        <v>0</v>
      </c>
      <c r="D358" s="42">
        <f>'Monthly D4 RIN Data'!$AE31</f>
        <v>0</v>
      </c>
      <c r="E358" s="42">
        <f>'Monthly D4 RIN Data'!$AE43</f>
        <v>0</v>
      </c>
      <c r="F358" s="42">
        <f>'Monthly D4 RIN Data'!$AE55</f>
        <v>0</v>
      </c>
      <c r="G358" s="42">
        <f>'Monthly D4 RIN Data'!$AE67</f>
        <v>0</v>
      </c>
      <c r="H358" s="42">
        <f>'Monthly D4 RIN Data'!$AE79</f>
        <v>0</v>
      </c>
      <c r="I358" s="42">
        <f>'Monthly D4 RIN Data'!$AE91</f>
        <v>0</v>
      </c>
      <c r="J358" s="42">
        <f>'Monthly D4 RIN Data'!$AE103</f>
        <v>295414</v>
      </c>
      <c r="K358" s="42">
        <f>'Monthly D4 RIN Data'!$AE115</f>
        <v>393560</v>
      </c>
      <c r="L358" s="42">
        <f>'Monthly D4 RIN Data'!$AE127</f>
        <v>1975107</v>
      </c>
      <c r="M358" s="42">
        <f>'Monthly D4 RIN Data'!$AE139</f>
        <v>469263</v>
      </c>
      <c r="N358" s="42">
        <f>'Monthly D4 RIN Data'!$AE151</f>
        <v>654386</v>
      </c>
      <c r="O358" s="42">
        <f>'Monthly D4 RIN Data'!$AE163</f>
        <v>1461634</v>
      </c>
      <c r="P358" s="42">
        <f>'Monthly D4 RIN Data'!$AE175</f>
        <v>4388923</v>
      </c>
      <c r="Q358" s="43">
        <f>'D4 Gallon Forecast'!Q344*AVERAGE('D4 RIN Forecast'!$BB$22:$BF$22)</f>
        <v>13447163.372252712</v>
      </c>
      <c r="R358" s="43">
        <f>'D4 Gallon Forecast'!R344*AVERAGE('D4 RIN Forecast'!$BB$22:$BF$22)</f>
        <v>46278295.811519742</v>
      </c>
      <c r="S358" s="43">
        <f>'D4 Gallon Forecast'!S344*AVERAGE('D4 RIN Forecast'!$BB$22:$BF$22)</f>
        <v>133369527.52147733</v>
      </c>
      <c r="T358" s="43">
        <f>'D4 Gallon Forecast'!T344*AVERAGE('D4 RIN Forecast'!$BB$22:$BF$22)</f>
        <v>174767013.38688031</v>
      </c>
      <c r="U358" s="43">
        <f>'D4 Gallon Forecast'!U344*AVERAGE('D4 RIN Forecast'!$BB$22:$BF$22)</f>
        <v>228729427.3486968</v>
      </c>
      <c r="V358" s="43">
        <f>'D4 Gallon Forecast'!V344*AVERAGE('D4 RIN Forecast'!BI$22:BM$22)</f>
        <v>308895910.70072824</v>
      </c>
      <c r="W358" s="43">
        <f>'D4 Gallon Forecast'!W344*AVERAGE('D4 RIN Forecast'!BJ$22:BN$22)</f>
        <v>360931789.23014539</v>
      </c>
      <c r="X358" s="43">
        <f>'D4 Gallon Forecast'!X344*AVERAGE('D4 RIN Forecast'!BK$22:BO$22)</f>
        <v>456608103.88181126</v>
      </c>
      <c r="Y358" s="43">
        <f>'D4 Gallon Forecast'!Y344*AVERAGE('D4 RIN Forecast'!BL$22:BP$22)</f>
        <v>476858397.18959522</v>
      </c>
      <c r="Z358" s="43">
        <f>'D4 Gallon Forecast'!Z344*AVERAGE('D4 RIN Forecast'!BM$22:BQ$22)</f>
        <v>518280243.60465932</v>
      </c>
      <c r="AA358" s="43">
        <f>'D4 Gallon Forecast'!AA344*AVERAGE('D4 RIN Forecast'!BN$22:BR$22)</f>
        <v>541429114.09479022</v>
      </c>
      <c r="AB358" s="43">
        <f>'D4 Gallon Forecast'!AB344*AVERAGE('D4 RIN Forecast'!BO$22:BS$22)</f>
        <v>416592830.90959996</v>
      </c>
      <c r="AC358" s="43">
        <f>'D4 Gallon Forecast'!AC344*AVERAGE('D4 RIN Forecast'!BP$22:BT$22)</f>
        <v>454760664.87692833</v>
      </c>
      <c r="AD358" s="43">
        <f>'D4 Gallon Forecast'!AD344*AVERAGE('D4 RIN Forecast'!BQ$22:BU$22)</f>
        <v>512059898.64126098</v>
      </c>
      <c r="AE358" s="43">
        <f>'D4 Gallon Forecast'!AE344*AVERAGE('D4 RIN Forecast'!BR$22:BV$22)</f>
        <v>511871974.08208424</v>
      </c>
      <c r="AF358" s="43">
        <f>'D4 Gallon Forecast'!AF344*AVERAGE('D4 RIN Forecast'!BS$22:BW$22)</f>
        <v>509059698.65993488</v>
      </c>
      <c r="AG358" s="43">
        <f>'D4 Gallon Forecast'!AG344*AVERAGE('D4 RIN Forecast'!BT$22:BX$22)</f>
        <v>531200284.40249521</v>
      </c>
      <c r="AH358" s="43">
        <f>'D4 Gallon Forecast'!AH344*AVERAGE('D4 RIN Forecast'!BU$22:BY$22)</f>
        <v>548419188.02999151</v>
      </c>
      <c r="AI358" s="43">
        <f>'D4 Gallon Forecast'!AI344*AVERAGE('D4 RIN Forecast'!BV$22:BZ$22)</f>
        <v>561021076.12214541</v>
      </c>
      <c r="AJ358" s="43">
        <f>'D4 Gallon Forecast'!AJ344*AVERAGE('D4 RIN Forecast'!BW$22:CA$22)</f>
        <v>567428155.48274457</v>
      </c>
      <c r="AK358" s="43">
        <f>'D4 Gallon Forecast'!AK344*AVERAGE('D4 RIN Forecast'!BX$22:CB$22)</f>
        <v>584287702.53550994</v>
      </c>
      <c r="AL358" s="43">
        <f>'D4 Gallon Forecast'!AL344*AVERAGE('D4 RIN Forecast'!BY$22:CC$22)</f>
        <v>616280291.48303056</v>
      </c>
      <c r="AM358" s="43">
        <f>'D4 Gallon Forecast'!AM344*AVERAGE('D4 RIN Forecast'!BZ$22:CD$22)</f>
        <v>638532966.35983646</v>
      </c>
      <c r="AN358" s="43">
        <f>'D4 Gallon Forecast'!AN344*AVERAGE('D4 RIN Forecast'!CA$22:CE$22)</f>
        <v>639262809.68620288</v>
      </c>
      <c r="AO358" s="43">
        <f>'D4 Gallon Forecast'!AO344*AVERAGE('D4 RIN Forecast'!CB$22:CF$22)</f>
        <v>638194197.09850788</v>
      </c>
      <c r="AP358" s="43">
        <f>'D4 Gallon Forecast'!AP344*AVERAGE('D4 RIN Forecast'!CC$22:CG$22)</f>
        <v>653197395.59144092</v>
      </c>
      <c r="AQ358" s="43"/>
    </row>
    <row r="359" spans="1:43">
      <c r="A359" s="40" t="s">
        <v>47</v>
      </c>
      <c r="B359" s="42">
        <f>'Monthly D4 RIN Data'!$AE8</f>
        <v>0</v>
      </c>
      <c r="C359" s="42">
        <f>'Monthly D4 RIN Data'!$AE20</f>
        <v>0</v>
      </c>
      <c r="D359" s="42">
        <f>'Monthly D4 RIN Data'!$AE32</f>
        <v>0</v>
      </c>
      <c r="E359" s="42">
        <f>'Monthly D4 RIN Data'!$AE44</f>
        <v>0</v>
      </c>
      <c r="F359" s="42">
        <f>'Monthly D4 RIN Data'!$AE56</f>
        <v>0</v>
      </c>
      <c r="G359" s="42">
        <f>'Monthly D4 RIN Data'!$AE68</f>
        <v>0</v>
      </c>
      <c r="H359" s="42">
        <f>'Monthly D4 RIN Data'!$AE80</f>
        <v>0</v>
      </c>
      <c r="I359" s="42">
        <f>'Monthly D4 RIN Data'!$AE92</f>
        <v>215176</v>
      </c>
      <c r="J359" s="42">
        <f>'Monthly D4 RIN Data'!$AE104</f>
        <v>102702</v>
      </c>
      <c r="K359" s="42">
        <f>'Monthly D4 RIN Data'!$AE116</f>
        <v>406860</v>
      </c>
      <c r="L359" s="42">
        <f>'Monthly D4 RIN Data'!$AE128</f>
        <v>0</v>
      </c>
      <c r="M359" s="42">
        <f>'Monthly D4 RIN Data'!$AE140</f>
        <v>459994</v>
      </c>
      <c r="N359" s="42">
        <f>'Monthly D4 RIN Data'!$AE152</f>
        <v>324530</v>
      </c>
      <c r="O359" s="42">
        <f>'Monthly D4 RIN Data'!$AE164</f>
        <v>2602744</v>
      </c>
      <c r="P359" s="42">
        <f>'Monthly D4 RIN Data'!$AE176</f>
        <v>5225945</v>
      </c>
      <c r="Q359" s="43">
        <f>'D4 Gallon Forecast'!Q345*AVERAGE('D4 RIN Forecast'!$BB$22:$BF$22)</f>
        <v>17561873.335574798</v>
      </c>
      <c r="R359" s="43">
        <f>'D4 Gallon Forecast'!R345*AVERAGE('D4 RIN Forecast'!$BB$22:$BF$22)</f>
        <v>60917195.524193831</v>
      </c>
      <c r="S359" s="43">
        <f>'D4 Gallon Forecast'!S345*AVERAGE('D4 RIN Forecast'!$BB$22:$BF$22)</f>
        <v>175739293.02756551</v>
      </c>
      <c r="T359" s="43">
        <f>'D4 Gallon Forecast'!T345*AVERAGE('D4 RIN Forecast'!$BB$22:$BF$22)</f>
        <v>230199578.16407347</v>
      </c>
      <c r="U359" s="43">
        <f>'D4 Gallon Forecast'!U345*AVERAGE('D4 RIN Forecast'!$BB$22:$BF$22)</f>
        <v>300861483.60737789</v>
      </c>
      <c r="V359" s="43">
        <f>'D4 Gallon Forecast'!V345*AVERAGE('D4 RIN Forecast'!BI$22:BM$22)</f>
        <v>406592504.6328007</v>
      </c>
      <c r="W359" s="43">
        <f>'D4 Gallon Forecast'!W345*AVERAGE('D4 RIN Forecast'!BJ$22:BN$22)</f>
        <v>475142085.78747231</v>
      </c>
      <c r="X359" s="43">
        <f>'D4 Gallon Forecast'!X345*AVERAGE('D4 RIN Forecast'!BK$22:BO$22)</f>
        <v>601095330.49564528</v>
      </c>
      <c r="Y359" s="43">
        <f>'D4 Gallon Forecast'!Y345*AVERAGE('D4 RIN Forecast'!BL$22:BP$22)</f>
        <v>627701540.07862461</v>
      </c>
      <c r="Z359" s="43">
        <f>'D4 Gallon Forecast'!Z345*AVERAGE('D4 RIN Forecast'!BM$22:BQ$22)</f>
        <v>682184063.24811935</v>
      </c>
      <c r="AA359" s="43">
        <f>'D4 Gallon Forecast'!AA345*AVERAGE('D4 RIN Forecast'!BN$22:BR$22)</f>
        <v>712705366.55126822</v>
      </c>
      <c r="AB359" s="43">
        <f>'D4 Gallon Forecast'!AB345*AVERAGE('D4 RIN Forecast'!BO$22:BS$22)</f>
        <v>548381757.72891402</v>
      </c>
      <c r="AC359" s="43">
        <f>'D4 Gallon Forecast'!AC345*AVERAGE('D4 RIN Forecast'!BP$22:BT$22)</f>
        <v>598618359.22885346</v>
      </c>
      <c r="AD359" s="43">
        <f>'D4 Gallon Forecast'!AD345*AVERAGE('D4 RIN Forecast'!BQ$22:BU$22)</f>
        <v>674033874.73905706</v>
      </c>
      <c r="AE359" s="43">
        <f>'D4 Gallon Forecast'!AE345*AVERAGE('D4 RIN Forecast'!BR$22:BV$22)</f>
        <v>673785657.64850497</v>
      </c>
      <c r="AF359" s="43">
        <f>'D4 Gallon Forecast'!AF345*AVERAGE('D4 RIN Forecast'!BS$22:BW$22)</f>
        <v>670091522.70115852</v>
      </c>
      <c r="AG359" s="43">
        <f>'D4 Gallon Forecast'!AG345*AVERAGE('D4 RIN Forecast'!BT$22:BX$22)</f>
        <v>699234788.57329571</v>
      </c>
      <c r="AH359" s="43">
        <f>'D4 Gallon Forecast'!AH345*AVERAGE('D4 RIN Forecast'!BU$22:BY$22)</f>
        <v>721898764.24106526</v>
      </c>
      <c r="AI359" s="43">
        <f>'D4 Gallon Forecast'!AI345*AVERAGE('D4 RIN Forecast'!BV$22:BZ$22)</f>
        <v>738485933.95668948</v>
      </c>
      <c r="AJ359" s="43">
        <f>'D4 Gallon Forecast'!AJ345*AVERAGE('D4 RIN Forecast'!BW$22:CA$22)</f>
        <v>746920423.82218516</v>
      </c>
      <c r="AK359" s="43">
        <f>'D4 Gallon Forecast'!AK345*AVERAGE('D4 RIN Forecast'!BX$22:CB$22)</f>
        <v>769114098.87781882</v>
      </c>
      <c r="AL359" s="43">
        <f>'D4 Gallon Forecast'!AL345*AVERAGE('D4 RIN Forecast'!BY$22:CC$22)</f>
        <v>811226360.29394102</v>
      </c>
      <c r="AM359" s="43">
        <f>'D4 Gallon Forecast'!AM345*AVERAGE('D4 RIN Forecast'!BZ$22:CD$22)</f>
        <v>840517815.44228697</v>
      </c>
      <c r="AN359" s="43">
        <f>'D4 Gallon Forecast'!AN345*AVERAGE('D4 RIN Forecast'!CA$22:CE$22)</f>
        <v>841478506.75862193</v>
      </c>
      <c r="AO359" s="43">
        <f>'D4 Gallon Forecast'!AO345*AVERAGE('D4 RIN Forecast'!CB$22:CF$22)</f>
        <v>840072055.33941555</v>
      </c>
      <c r="AP359" s="43">
        <f>'D4 Gallon Forecast'!AP345*AVERAGE('D4 RIN Forecast'!CC$22:CG$22)</f>
        <v>859821250.24643254</v>
      </c>
      <c r="AQ359" s="43"/>
    </row>
    <row r="360" spans="1:43">
      <c r="A360" s="40" t="s">
        <v>48</v>
      </c>
      <c r="B360" s="42">
        <f>'Monthly D4 RIN Data'!$AE9</f>
        <v>0</v>
      </c>
      <c r="C360" s="42">
        <f>'Monthly D4 RIN Data'!$AE21</f>
        <v>0</v>
      </c>
      <c r="D360" s="42">
        <f>'Monthly D4 RIN Data'!$AE33</f>
        <v>0</v>
      </c>
      <c r="E360" s="42">
        <f>'Monthly D4 RIN Data'!$AE45</f>
        <v>0</v>
      </c>
      <c r="F360" s="42">
        <f>'Monthly D4 RIN Data'!$AE57</f>
        <v>0</v>
      </c>
      <c r="G360" s="42">
        <f>'Monthly D4 RIN Data'!$AE69</f>
        <v>0</v>
      </c>
      <c r="H360" s="42">
        <f>'Monthly D4 RIN Data'!$AE81</f>
        <v>0</v>
      </c>
      <c r="I360" s="42">
        <f>'Monthly D4 RIN Data'!$AE93</f>
        <v>203954</v>
      </c>
      <c r="J360" s="42">
        <f>'Monthly D4 RIN Data'!$AE105</f>
        <v>224310</v>
      </c>
      <c r="K360" s="42">
        <f>'Monthly D4 RIN Data'!$AE117</f>
        <v>357247</v>
      </c>
      <c r="L360" s="42">
        <f>'Monthly D4 RIN Data'!$AE129</f>
        <v>813621</v>
      </c>
      <c r="M360" s="42">
        <f>'Monthly D4 RIN Data'!$AE141</f>
        <v>571708</v>
      </c>
      <c r="N360" s="42">
        <f>'Monthly D4 RIN Data'!$AE153</f>
        <v>1283622</v>
      </c>
      <c r="O360" s="42">
        <f>'Monthly D4 RIN Data'!$AE165</f>
        <v>1794972</v>
      </c>
      <c r="P360" s="42">
        <f>'Monthly D4 RIN Data'!$AE177</f>
        <v>4797776</v>
      </c>
      <c r="Q360" s="43">
        <f>'D4 Gallon Forecast'!Q346*AVERAGE('D4 RIN Forecast'!$BB$22:$BF$22)</f>
        <v>17284117.797514718</v>
      </c>
      <c r="R360" s="43">
        <f>'D4 Gallon Forecast'!R346*AVERAGE('D4 RIN Forecast'!$BB$22:$BF$22)</f>
        <v>58313549.331986554</v>
      </c>
      <c r="S360" s="43">
        <f>'D4 Gallon Forecast'!S346*AVERAGE('D4 RIN Forecast'!$BB$22:$BF$22)</f>
        <v>167470920.66554758</v>
      </c>
      <c r="T360" s="43">
        <f>'D4 Gallon Forecast'!T346*AVERAGE('D4 RIN Forecast'!$BB$22:$BF$22)</f>
        <v>219319148.34212959</v>
      </c>
      <c r="U360" s="43">
        <f>'D4 Gallon Forecast'!U346*AVERAGE('D4 RIN Forecast'!$BB$22:$BF$22)</f>
        <v>287061947.19957834</v>
      </c>
      <c r="V360" s="43">
        <f>'D4 Gallon Forecast'!V346*AVERAGE('D4 RIN Forecast'!BI$22:BM$22)</f>
        <v>388041014.01815987</v>
      </c>
      <c r="W360" s="43">
        <f>'D4 Gallon Forecast'!W346*AVERAGE('D4 RIN Forecast'!BJ$22:BN$22)</f>
        <v>453251071.536017</v>
      </c>
      <c r="X360" s="43">
        <f>'D4 Gallon Forecast'!X346*AVERAGE('D4 RIN Forecast'!BK$22:BO$22)</f>
        <v>573324526.06013024</v>
      </c>
      <c r="Y360" s="43">
        <f>'D4 Gallon Forecast'!Y346*AVERAGE('D4 RIN Forecast'!BL$22:BP$22)</f>
        <v>598748010.51103127</v>
      </c>
      <c r="Z360" s="43">
        <f>'D4 Gallon Forecast'!Z346*AVERAGE('D4 RIN Forecast'!BM$22:BQ$22)</f>
        <v>650791629.70080006</v>
      </c>
      <c r="AA360" s="43">
        <f>'D4 Gallon Forecast'!AA346*AVERAGE('D4 RIN Forecast'!BN$22:BR$22)</f>
        <v>679896839.30414259</v>
      </c>
      <c r="AB360" s="43">
        <f>'D4 Gallon Forecast'!AB346*AVERAGE('D4 RIN Forecast'!BO$22:BS$22)</f>
        <v>523108380.55889446</v>
      </c>
      <c r="AC360" s="43">
        <f>'D4 Gallon Forecast'!AC346*AVERAGE('D4 RIN Forecast'!BP$22:BT$22)</f>
        <v>571028406.0716151</v>
      </c>
      <c r="AD360" s="43">
        <f>'D4 Gallon Forecast'!AD346*AVERAGE('D4 RIN Forecast'!BQ$22:BU$22)</f>
        <v>642982248.59431279</v>
      </c>
      <c r="AE360" s="43">
        <f>'D4 Gallon Forecast'!AE346*AVERAGE('D4 RIN Forecast'!BR$22:BV$22)</f>
        <v>642753083.90732372</v>
      </c>
      <c r="AF360" s="43">
        <f>'D4 Gallon Forecast'!AF346*AVERAGE('D4 RIN Forecast'!BS$22:BW$22)</f>
        <v>639223460.55318165</v>
      </c>
      <c r="AG360" s="43">
        <f>'D4 Gallon Forecast'!AG346*AVERAGE('D4 RIN Forecast'!BT$22:BX$22)</f>
        <v>667019244.64401245</v>
      </c>
      <c r="AH360" s="43">
        <f>'D4 Gallon Forecast'!AH346*AVERAGE('D4 RIN Forecast'!BU$22:BY$22)</f>
        <v>688640778.81462204</v>
      </c>
      <c r="AI360" s="43">
        <f>'D4 Gallon Forecast'!AI346*AVERAGE('D4 RIN Forecast'!BV$22:BZ$22)</f>
        <v>704466247.71931517</v>
      </c>
      <c r="AJ360" s="43">
        <f>'D4 Gallon Forecast'!AJ346*AVERAGE('D4 RIN Forecast'!BW$22:CA$22)</f>
        <v>712512409.37115574</v>
      </c>
      <c r="AK360" s="43">
        <f>'D4 Gallon Forecast'!AK346*AVERAGE('D4 RIN Forecast'!BX$22:CB$22)</f>
        <v>733682327.93620336</v>
      </c>
      <c r="AL360" s="43">
        <f>'D4 Gallon Forecast'!AL346*AVERAGE('D4 RIN Forecast'!BY$22:CC$22)</f>
        <v>773854128.38273215</v>
      </c>
      <c r="AM360" s="43">
        <f>'D4 Gallon Forecast'!AM346*AVERAGE('D4 RIN Forecast'!BZ$22:CD$22)</f>
        <v>801796744.7812438</v>
      </c>
      <c r="AN360" s="43">
        <f>'D4 Gallon Forecast'!AN346*AVERAGE('D4 RIN Forecast'!CA$22:CE$22)</f>
        <v>802713495.68715298</v>
      </c>
      <c r="AO360" s="43">
        <f>'D4 Gallon Forecast'!AO346*AVERAGE('D4 RIN Forecast'!CB$22:CF$22)</f>
        <v>801371691.72250438</v>
      </c>
      <c r="AP360" s="43">
        <f>'D4 Gallon Forecast'!AP346*AVERAGE('D4 RIN Forecast'!CC$22:CG$22)</f>
        <v>820210862.80681169</v>
      </c>
      <c r="AQ360" s="43"/>
    </row>
    <row r="361" spans="1:43">
      <c r="A361" s="40" t="s">
        <v>49</v>
      </c>
      <c r="B361" s="42">
        <f>'Monthly D4 RIN Data'!$AE10</f>
        <v>0</v>
      </c>
      <c r="C361" s="42">
        <f>'Monthly D4 RIN Data'!$AE22</f>
        <v>0</v>
      </c>
      <c r="D361" s="42">
        <f>'Monthly D4 RIN Data'!$AE34</f>
        <v>0</v>
      </c>
      <c r="E361" s="42">
        <f>'Monthly D4 RIN Data'!$AE46</f>
        <v>0</v>
      </c>
      <c r="F361" s="42">
        <f>'Monthly D4 RIN Data'!$AE58</f>
        <v>0</v>
      </c>
      <c r="G361" s="42">
        <f>'Monthly D4 RIN Data'!$AE70</f>
        <v>0</v>
      </c>
      <c r="H361" s="42">
        <f>'Monthly D4 RIN Data'!$AE82</f>
        <v>0</v>
      </c>
      <c r="I361" s="42">
        <f>'Monthly D4 RIN Data'!$AE94</f>
        <v>193058</v>
      </c>
      <c r="J361" s="42">
        <f>'Monthly D4 RIN Data'!$AE106</f>
        <v>131570</v>
      </c>
      <c r="K361" s="42">
        <f>'Monthly D4 RIN Data'!$AE118</f>
        <v>234581</v>
      </c>
      <c r="L361" s="42">
        <f>'Monthly D4 RIN Data'!$AE130</f>
        <v>2458760</v>
      </c>
      <c r="M361" s="42">
        <f>'Monthly D4 RIN Data'!$AE142</f>
        <v>1749055</v>
      </c>
      <c r="N361" s="42">
        <f>'Monthly D4 RIN Data'!$AE154</f>
        <v>1820757</v>
      </c>
      <c r="O361" s="42">
        <f>'Monthly D4 RIN Data'!$AE166</f>
        <v>2833215</v>
      </c>
      <c r="P361" s="42">
        <f>'Monthly D4 RIN Data'!$AE178</f>
        <v>5211020</v>
      </c>
      <c r="Q361" s="43">
        <f>'D4 Gallon Forecast'!Q347*AVERAGE('D4 RIN Forecast'!$BB$22:$BF$22)</f>
        <v>17493691.92406626</v>
      </c>
      <c r="R361" s="43">
        <f>'D4 Gallon Forecast'!R347*AVERAGE('D4 RIN Forecast'!$BB$22:$BF$22)</f>
        <v>63963091.467660837</v>
      </c>
      <c r="S361" s="43">
        <f>'D4 Gallon Forecast'!S347*AVERAGE('D4 RIN Forecast'!$BB$22:$BF$22)</f>
        <v>182365623.28706172</v>
      </c>
      <c r="T361" s="43">
        <f>'D4 Gallon Forecast'!T347*AVERAGE('D4 RIN Forecast'!$BB$22:$BF$22)</f>
        <v>238825762.98471066</v>
      </c>
      <c r="U361" s="43">
        <f>'D4 Gallon Forecast'!U347*AVERAGE('D4 RIN Forecast'!$BB$22:$BF$22)</f>
        <v>312053869.12050009</v>
      </c>
      <c r="V361" s="43">
        <f>'D4 Gallon Forecast'!V347*AVERAGE('D4 RIN Forecast'!BI$22:BM$22)</f>
        <v>421826591.27277583</v>
      </c>
      <c r="W361" s="43">
        <f>'D4 Gallon Forecast'!W347*AVERAGE('D4 RIN Forecast'!BJ$22:BN$22)</f>
        <v>493238391.94502503</v>
      </c>
      <c r="X361" s="43">
        <f>'D4 Gallon Forecast'!X347*AVERAGE('D4 RIN Forecast'!BK$22:BO$22)</f>
        <v>623714064.7225827</v>
      </c>
      <c r="Y361" s="43">
        <f>'D4 Gallon Forecast'!Y347*AVERAGE('D4 RIN Forecast'!BL$22:BP$22)</f>
        <v>651317267.40882456</v>
      </c>
      <c r="Z361" s="43">
        <f>'D4 Gallon Forecast'!Z347*AVERAGE('D4 RIN Forecast'!BM$22:BQ$22)</f>
        <v>707859324.01416421</v>
      </c>
      <c r="AA361" s="43">
        <f>'D4 Gallon Forecast'!AA347*AVERAGE('D4 RIN Forecast'!BN$22:BR$22)</f>
        <v>739562808.41082311</v>
      </c>
      <c r="AB361" s="43">
        <f>'D4 Gallon Forecast'!AB347*AVERAGE('D4 RIN Forecast'!BO$22:BS$22)</f>
        <v>569062410.96083772</v>
      </c>
      <c r="AC361" s="43">
        <f>'D4 Gallon Forecast'!AC347*AVERAGE('D4 RIN Forecast'!BP$22:BT$22)</f>
        <v>621160011.91868067</v>
      </c>
      <c r="AD361" s="43">
        <f>'D4 Gallon Forecast'!AD347*AVERAGE('D4 RIN Forecast'!BQ$22:BU$22)</f>
        <v>699418827.38111126</v>
      </c>
      <c r="AE361" s="43">
        <f>'D4 Gallon Forecast'!AE347*AVERAGE('D4 RIN Forecast'!BR$22:BV$22)</f>
        <v>699166351.68864536</v>
      </c>
      <c r="AF361" s="43">
        <f>'D4 Gallon Forecast'!AF347*AVERAGE('D4 RIN Forecast'!BS$22:BW$22)</f>
        <v>695337615.55659735</v>
      </c>
      <c r="AG361" s="43">
        <f>'D4 Gallon Forecast'!AG347*AVERAGE('D4 RIN Forecast'!BT$22:BX$22)</f>
        <v>725577579.26641297</v>
      </c>
      <c r="AH361" s="43">
        <f>'D4 Gallon Forecast'!AH347*AVERAGE('D4 RIN Forecast'!BU$22:BY$22)</f>
        <v>749090806.43459117</v>
      </c>
      <c r="AI361" s="43">
        <f>'D4 Gallon Forecast'!AI347*AVERAGE('D4 RIN Forecast'!BV$22:BZ$22)</f>
        <v>766304218.51972771</v>
      </c>
      <c r="AJ361" s="43">
        <f>'D4 Gallon Forecast'!AJ347*AVERAGE('D4 RIN Forecast'!BW$22:CA$22)</f>
        <v>775057595.18435705</v>
      </c>
      <c r="AK361" s="43">
        <f>'D4 Gallon Forecast'!AK347*AVERAGE('D4 RIN Forecast'!BX$22:CB$22)</f>
        <v>798087632.41203785</v>
      </c>
      <c r="AL361" s="43">
        <f>'D4 Gallon Forecast'!AL347*AVERAGE('D4 RIN Forecast'!BY$22:CC$22)</f>
        <v>841785684.52433968</v>
      </c>
      <c r="AM361" s="43">
        <f>'D4 Gallon Forecast'!AM347*AVERAGE('D4 RIN Forecast'!BZ$22:CD$22)</f>
        <v>872180065.37113905</v>
      </c>
      <c r="AN361" s="43">
        <f>'D4 Gallon Forecast'!AN347*AVERAGE('D4 RIN Forecast'!CA$22:CE$22)</f>
        <v>873177341.37308156</v>
      </c>
      <c r="AO361" s="43">
        <f>'D4 Gallon Forecast'!AO347*AVERAGE('D4 RIN Forecast'!CB$22:CF$22)</f>
        <v>871718071.44350767</v>
      </c>
      <c r="AP361" s="43">
        <f>'D4 Gallon Forecast'!AP347*AVERAGE('D4 RIN Forecast'!CC$22:CG$22)</f>
        <v>892211181.5145582</v>
      </c>
      <c r="AQ361" s="43"/>
    </row>
    <row r="362" spans="1:43">
      <c r="A362" s="40" t="s">
        <v>50</v>
      </c>
      <c r="B362" s="42">
        <f>'Monthly D4 RIN Data'!$AE11</f>
        <v>0</v>
      </c>
      <c r="C362" s="42">
        <f>'Monthly D4 RIN Data'!$AE23</f>
        <v>0</v>
      </c>
      <c r="D362" s="42">
        <f>'Monthly D4 RIN Data'!$AE35</f>
        <v>0</v>
      </c>
      <c r="E362" s="42">
        <f>'Monthly D4 RIN Data'!$AE47</f>
        <v>0</v>
      </c>
      <c r="F362" s="42">
        <f>'Monthly D4 RIN Data'!$AE59</f>
        <v>0</v>
      </c>
      <c r="G362" s="42">
        <f>'Monthly D4 RIN Data'!$AE71</f>
        <v>0</v>
      </c>
      <c r="H362" s="42">
        <f>'Monthly D4 RIN Data'!$AE83</f>
        <v>0</v>
      </c>
      <c r="I362" s="42">
        <f>'Monthly D4 RIN Data'!$AE95</f>
        <v>278680</v>
      </c>
      <c r="J362" s="42">
        <f>'Monthly D4 RIN Data'!$AE107</f>
        <v>112378</v>
      </c>
      <c r="K362" s="42">
        <f>'Monthly D4 RIN Data'!$AE119</f>
        <v>434812</v>
      </c>
      <c r="L362" s="42">
        <f>'Monthly D4 RIN Data'!$AE131</f>
        <v>102168</v>
      </c>
      <c r="M362" s="42">
        <f>'Monthly D4 RIN Data'!$AE143</f>
        <v>1155292</v>
      </c>
      <c r="N362" s="42">
        <f>'Monthly D4 RIN Data'!$AE155</f>
        <v>628109</v>
      </c>
      <c r="O362" s="42">
        <f>'Monthly D4 RIN Data'!$AE167</f>
        <v>3262183</v>
      </c>
      <c r="P362" s="42">
        <f>'Monthly D4 RIN Data'!$AE179</f>
        <v>6442857</v>
      </c>
      <c r="Q362" s="43">
        <f>'D4 Gallon Forecast'!Q348*AVERAGE('D4 RIN Forecast'!$BB$22:$BF$22)</f>
        <v>18832635.584172253</v>
      </c>
      <c r="R362" s="43">
        <f>'D4 Gallon Forecast'!R348*AVERAGE('D4 RIN Forecast'!$BB$22:$BF$22)</f>
        <v>68712731.06241627</v>
      </c>
      <c r="S362" s="43">
        <f>'D4 Gallon Forecast'!S348*AVERAGE('D4 RIN Forecast'!$BB$22:$BF$22)</f>
        <v>198985313.31523335</v>
      </c>
      <c r="T362" s="43">
        <f>'D4 Gallon Forecast'!T348*AVERAGE('D4 RIN Forecast'!$BB$22:$BF$22)</f>
        <v>260233186.78762928</v>
      </c>
      <c r="U362" s="43">
        <f>'D4 Gallon Forecast'!U348*AVERAGE('D4 RIN Forecast'!$BB$22:$BF$22)</f>
        <v>339917647.65042788</v>
      </c>
      <c r="V362" s="43">
        <f>'D4 Gallon Forecast'!V348*AVERAGE('D4 RIN Forecast'!BI$22:BM$22)</f>
        <v>459095255.63743979</v>
      </c>
      <c r="W362" s="43">
        <f>'D4 Gallon Forecast'!W348*AVERAGE('D4 RIN Forecast'!BJ$22:BN$22)</f>
        <v>536899944.87021422</v>
      </c>
      <c r="X362" s="43">
        <f>'D4 Gallon Forecast'!X348*AVERAGE('D4 RIN Forecast'!BK$22:BO$22)</f>
        <v>679270591.00075531</v>
      </c>
      <c r="Y362" s="43">
        <f>'D4 Gallon Forecast'!Y348*AVERAGE('D4 RIN Forecast'!BL$22:BP$22)</f>
        <v>709215410.71706498</v>
      </c>
      <c r="Z362" s="43">
        <f>'D4 Gallon Forecast'!Z348*AVERAGE('D4 RIN Forecast'!BM$22:BQ$22)</f>
        <v>770733563.55145836</v>
      </c>
      <c r="AA362" s="43">
        <f>'D4 Gallon Forecast'!AA348*AVERAGE('D4 RIN Forecast'!BN$22:BR$22)</f>
        <v>805215739.54434299</v>
      </c>
      <c r="AB362" s="43">
        <f>'D4 Gallon Forecast'!AB348*AVERAGE('D4 RIN Forecast'!BO$22:BS$22)</f>
        <v>619611072.10533917</v>
      </c>
      <c r="AC362" s="43">
        <f>'D4 Gallon Forecast'!AC348*AVERAGE('D4 RIN Forecast'!BP$22:BT$22)</f>
        <v>676365047.1089325</v>
      </c>
      <c r="AD362" s="43">
        <f>'D4 Gallon Forecast'!AD348*AVERAGE('D4 RIN Forecast'!BQ$22:BU$22)</f>
        <v>761552567.99426329</v>
      </c>
      <c r="AE362" s="43">
        <f>'D4 Gallon Forecast'!AE348*AVERAGE('D4 RIN Forecast'!BR$22:BV$22)</f>
        <v>761269792.95717692</v>
      </c>
      <c r="AF362" s="43">
        <f>'D4 Gallon Forecast'!AF348*AVERAGE('D4 RIN Forecast'!BS$22:BW$22)</f>
        <v>757101252.44255626</v>
      </c>
      <c r="AG362" s="43">
        <f>'D4 Gallon Forecast'!AG348*AVERAGE('D4 RIN Forecast'!BT$22:BX$22)</f>
        <v>790035914.93307042</v>
      </c>
      <c r="AH362" s="43">
        <f>'D4 Gallon Forecast'!AH348*AVERAGE('D4 RIN Forecast'!BU$22:BY$22)</f>
        <v>815639145.59885573</v>
      </c>
      <c r="AI362" s="43">
        <f>'D4 Gallon Forecast'!AI348*AVERAGE('D4 RIN Forecast'!BV$22:BZ$22)</f>
        <v>834377070.62621677</v>
      </c>
      <c r="AJ362" s="43">
        <f>'D4 Gallon Forecast'!AJ348*AVERAGE('D4 RIN Forecast'!BW$22:CA$22)</f>
        <v>843907500.88311613</v>
      </c>
      <c r="AK362" s="43">
        <f>'D4 Gallon Forecast'!AK348*AVERAGE('D4 RIN Forecast'!BX$22:CB$22)</f>
        <v>868984394.57525909</v>
      </c>
      <c r="AL362" s="43">
        <f>'D4 Gallon Forecast'!AL348*AVERAGE('D4 RIN Forecast'!BY$22:CC$22)</f>
        <v>916565503.31879425</v>
      </c>
      <c r="AM362" s="43">
        <f>'D4 Gallon Forecast'!AM348*AVERAGE('D4 RIN Forecast'!BZ$22:CD$22)</f>
        <v>949659554.20593536</v>
      </c>
      <c r="AN362" s="43">
        <f>'D4 Gallon Forecast'!AN348*AVERAGE('D4 RIN Forecast'!CA$22:CE$22)</f>
        <v>950744690.9196769</v>
      </c>
      <c r="AO362" s="43">
        <f>'D4 Gallon Forecast'!AO348*AVERAGE('D4 RIN Forecast'!CB$22:CF$22)</f>
        <v>949155912.63784909</v>
      </c>
      <c r="AP362" s="43">
        <f>'D4 Gallon Forecast'!AP348*AVERAGE('D4 RIN Forecast'!CC$22:CG$22)</f>
        <v>971469758.79648471</v>
      </c>
      <c r="AQ362" s="43"/>
    </row>
    <row r="363" spans="1:43">
      <c r="A363" s="40" t="s">
        <v>51</v>
      </c>
      <c r="B363" s="42">
        <f>'Monthly D4 RIN Data'!$AE12</f>
        <v>0</v>
      </c>
      <c r="C363" s="42">
        <f>'Monthly D4 RIN Data'!$AE24</f>
        <v>0</v>
      </c>
      <c r="D363" s="42">
        <f>'Monthly D4 RIN Data'!$AE36</f>
        <v>0</v>
      </c>
      <c r="E363" s="42">
        <f>'Monthly D4 RIN Data'!$AE48</f>
        <v>0</v>
      </c>
      <c r="F363" s="42">
        <f>'Monthly D4 RIN Data'!$AE60</f>
        <v>0</v>
      </c>
      <c r="G363" s="42">
        <f>'Monthly D4 RIN Data'!$AE72</f>
        <v>0</v>
      </c>
      <c r="H363" s="42">
        <f>'Monthly D4 RIN Data'!$AE84</f>
        <v>369264</v>
      </c>
      <c r="I363" s="42">
        <f>'Monthly D4 RIN Data'!$AE96</f>
        <v>220723</v>
      </c>
      <c r="J363" s="42">
        <f>'Monthly D4 RIN Data'!$AE108</f>
        <v>241731</v>
      </c>
      <c r="K363" s="42">
        <f>'Monthly D4 RIN Data'!$AE120</f>
        <v>440847</v>
      </c>
      <c r="L363" s="42">
        <f>'Monthly D4 RIN Data'!$AE132</f>
        <v>593870</v>
      </c>
      <c r="M363" s="42">
        <f>'Monthly D4 RIN Data'!$AE144</f>
        <v>480195</v>
      </c>
      <c r="N363" s="42">
        <f>'Monthly D4 RIN Data'!$AE156</f>
        <v>629714</v>
      </c>
      <c r="O363" s="42">
        <f>'Monthly D4 RIN Data'!$AE168</f>
        <v>1054881</v>
      </c>
      <c r="P363" s="42">
        <f>'Monthly D4 RIN Data'!$AE180</f>
        <v>14782136</v>
      </c>
      <c r="Q363" s="43">
        <f>'D4 Gallon Forecast'!Q349*AVERAGE('D4 RIN Forecast'!$BB$22:$BF$22)</f>
        <v>19764698.956756774</v>
      </c>
      <c r="R363" s="43">
        <f>'D4 Gallon Forecast'!R349*AVERAGE('D4 RIN Forecast'!$BB$22:$BF$22)</f>
        <v>83194754.49682866</v>
      </c>
      <c r="S363" s="43">
        <f>'D4 Gallon Forecast'!S349*AVERAGE('D4 RIN Forecast'!$BB$22:$BF$22)</f>
        <v>241498176.25733224</v>
      </c>
      <c r="T363" s="43">
        <f>'D4 Gallon Forecast'!T349*AVERAGE('D4 RIN Forecast'!$BB$22:$BF$22)</f>
        <v>316506796.56236291</v>
      </c>
      <c r="U363" s="43">
        <f>'D4 Gallon Forecast'!U349*AVERAGE('D4 RIN Forecast'!$BB$22:$BF$22)</f>
        <v>415212187.88776433</v>
      </c>
      <c r="V363" s="43">
        <f>'D4 Gallon Forecast'!V349*AVERAGE('D4 RIN Forecast'!BI$22:BM$22)</f>
        <v>557209741.90343034</v>
      </c>
      <c r="W363" s="43">
        <f>'D4 Gallon Forecast'!W349*AVERAGE('D4 RIN Forecast'!BJ$22:BN$22)</f>
        <v>652893634.51288402</v>
      </c>
      <c r="X363" s="43">
        <f>'D4 Gallon Forecast'!X349*AVERAGE('D4 RIN Forecast'!BK$22:BO$22)</f>
        <v>826159842.30206776</v>
      </c>
      <c r="Y363" s="43">
        <f>'D4 Gallon Forecast'!Y349*AVERAGE('D4 RIN Forecast'!BL$22:BP$22)</f>
        <v>862741184.48734951</v>
      </c>
      <c r="Z363" s="43">
        <f>'D4 Gallon Forecast'!Z349*AVERAGE('D4 RIN Forecast'!BM$22:BQ$22)</f>
        <v>937593246.94478154</v>
      </c>
      <c r="AA363" s="43">
        <f>'D4 Gallon Forecast'!AA349*AVERAGE('D4 RIN Forecast'!BN$22:BR$22)</f>
        <v>979105716.57566261</v>
      </c>
      <c r="AB363" s="43">
        <f>'D4 Gallon Forecast'!AB349*AVERAGE('D4 RIN Forecast'!BO$22:BS$22)</f>
        <v>753601015.68919921</v>
      </c>
      <c r="AC363" s="43">
        <f>'D4 Gallon Forecast'!AC349*AVERAGE('D4 RIN Forecast'!BP$22:BT$22)</f>
        <v>822648728.19931829</v>
      </c>
      <c r="AD363" s="43">
        <f>'D4 Gallon Forecast'!AD349*AVERAGE('D4 RIN Forecast'!BQ$22:BU$22)</f>
        <v>926265393.40990698</v>
      </c>
      <c r="AE363" s="43">
        <f>'D4 Gallon Forecast'!AE349*AVERAGE('D4 RIN Forecast'!BR$22:BV$22)</f>
        <v>925893651.35577619</v>
      </c>
      <c r="AF363" s="43">
        <f>'D4 Gallon Forecast'!AF349*AVERAGE('D4 RIN Forecast'!BS$22:BW$22)</f>
        <v>920784122.18127286</v>
      </c>
      <c r="AG363" s="43">
        <f>'D4 Gallon Forecast'!AG349*AVERAGE('D4 RIN Forecast'!BT$22:BX$22)</f>
        <v>960882255.50610852</v>
      </c>
      <c r="AH363" s="43">
        <f>'D4 Gallon Forecast'!AH349*AVERAGE('D4 RIN Forecast'!BU$22:BY$22)</f>
        <v>992022609.98671114</v>
      </c>
      <c r="AI363" s="43">
        <f>'D4 Gallon Forecast'!AI349*AVERAGE('D4 RIN Forecast'!BV$22:BZ$22)</f>
        <v>1014808673.8838902</v>
      </c>
      <c r="AJ363" s="43">
        <f>'D4 Gallon Forecast'!AJ349*AVERAGE('D4 RIN Forecast'!BW$22:CA$22)</f>
        <v>1026393783.5689936</v>
      </c>
      <c r="AK363" s="43">
        <f>'D4 Gallon Forecast'!AK349*AVERAGE('D4 RIN Forecast'!BX$22:CB$22)</f>
        <v>1056891764.0527793</v>
      </c>
      <c r="AL363" s="43">
        <f>'D4 Gallon Forecast'!AL349*AVERAGE('D4 RIN Forecast'!BY$22:CC$22)</f>
        <v>1114768581.2200396</v>
      </c>
      <c r="AM363" s="43">
        <f>'D4 Gallon Forecast'!AM349*AVERAGE('D4 RIN Forecast'!BZ$22:CD$22)</f>
        <v>1155018024.5069363</v>
      </c>
      <c r="AN363" s="43">
        <f>'D4 Gallon Forecast'!AN349*AVERAGE('D4 RIN Forecast'!CA$22:CE$22)</f>
        <v>1156336492.2849414</v>
      </c>
      <c r="AO363" s="43">
        <f>'D4 Gallon Forecast'!AO349*AVERAGE('D4 RIN Forecast'!CB$22:CF$22)</f>
        <v>1154403423.8175795</v>
      </c>
      <c r="AP363" s="43">
        <f>'D4 Gallon Forecast'!AP349*AVERAGE('D4 RIN Forecast'!CC$22:CG$22)</f>
        <v>1181542901.1736948</v>
      </c>
      <c r="AQ363" s="43"/>
    </row>
    <row r="364" spans="1:43">
      <c r="A364" s="40" t="s">
        <v>52</v>
      </c>
      <c r="B364" s="42">
        <f>'Monthly D4 RIN Data'!$AE13</f>
        <v>0</v>
      </c>
      <c r="C364" s="42">
        <f>'Monthly D4 RIN Data'!$AE25</f>
        <v>0</v>
      </c>
      <c r="D364" s="42">
        <f>'Monthly D4 RIN Data'!$AE37</f>
        <v>0</v>
      </c>
      <c r="E364" s="42">
        <f>'Monthly D4 RIN Data'!$AE49</f>
        <v>0</v>
      </c>
      <c r="F364" s="42">
        <f>'Monthly D4 RIN Data'!$AE61</f>
        <v>0</v>
      </c>
      <c r="G364" s="42">
        <f>'Monthly D4 RIN Data'!$AE73</f>
        <v>0</v>
      </c>
      <c r="H364" s="42">
        <f>'Monthly D4 RIN Data'!$AE85</f>
        <v>289749</v>
      </c>
      <c r="I364" s="42">
        <f>'Monthly D4 RIN Data'!$AE97</f>
        <v>256435</v>
      </c>
      <c r="J364" s="42">
        <f>'Monthly D4 RIN Data'!$AE109</f>
        <v>366543</v>
      </c>
      <c r="K364" s="42">
        <f>'Monthly D4 RIN Data'!$AE121</f>
        <v>346518</v>
      </c>
      <c r="L364" s="42">
        <f>'Monthly D4 RIN Data'!$AE133</f>
        <v>301466</v>
      </c>
      <c r="M364" s="42">
        <f>'Monthly D4 RIN Data'!$AE145</f>
        <v>700386</v>
      </c>
      <c r="N364" s="42">
        <f>'Monthly D4 RIN Data'!$AE157</f>
        <v>2823410</v>
      </c>
      <c r="O364" s="42">
        <f>'Monthly D4 RIN Data'!$AE169</f>
        <v>2344221</v>
      </c>
      <c r="P364" s="42">
        <f>'Monthly D4 RIN Data'!$AE181</f>
        <v>7017194</v>
      </c>
      <c r="Q364" s="43">
        <f>'D4 Gallon Forecast'!Q350*AVERAGE('D4 RIN Forecast'!$BB$22:$BF$22)</f>
        <v>23686927.11749972</v>
      </c>
      <c r="R364" s="43">
        <f>'D4 Gallon Forecast'!R350*AVERAGE('D4 RIN Forecast'!$BB$22:$BF$22)</f>
        <v>82878694.29377155</v>
      </c>
      <c r="S364" s="43">
        <f>'D4 Gallon Forecast'!S350*AVERAGE('D4 RIN Forecast'!$BB$22:$BF$22)</f>
        <v>235179913.22111005</v>
      </c>
      <c r="T364" s="43">
        <f>'D4 Gallon Forecast'!T350*AVERAGE('D4 RIN Forecast'!$BB$22:$BF$22)</f>
        <v>308435727.49500567</v>
      </c>
      <c r="U364" s="43">
        <f>'D4 Gallon Forecast'!U350*AVERAGE('D4 RIN Forecast'!$BB$22:$BF$22)</f>
        <v>403815325.00644654</v>
      </c>
      <c r="V364" s="43">
        <f>'D4 Gallon Forecast'!V350*AVERAGE('D4 RIN Forecast'!BI$22:BM$22)</f>
        <v>545725635.13822401</v>
      </c>
      <c r="W364" s="43">
        <f>'D4 Gallon Forecast'!W350*AVERAGE('D4 RIN Forecast'!BJ$22:BN$22)</f>
        <v>637685672.75240564</v>
      </c>
      <c r="X364" s="43">
        <f>'D4 Gallon Forecast'!X350*AVERAGE('D4 RIN Forecast'!BK$22:BO$22)</f>
        <v>806302275.28069174</v>
      </c>
      <c r="Y364" s="43">
        <f>'D4 Gallon Forecast'!Y350*AVERAGE('D4 RIN Forecast'!BL$22:BP$22)</f>
        <v>842164435.72704375</v>
      </c>
      <c r="Z364" s="43">
        <f>'D4 Gallon Forecast'!Z350*AVERAGE('D4 RIN Forecast'!BM$22:BQ$22)</f>
        <v>915378987.78028131</v>
      </c>
      <c r="AA364" s="43">
        <f>'D4 Gallon Forecast'!AA350*AVERAGE('D4 RIN Forecast'!BN$22:BR$22)</f>
        <v>956305844.73207736</v>
      </c>
      <c r="AB364" s="43">
        <f>'D4 Gallon Forecast'!AB350*AVERAGE('D4 RIN Forecast'!BO$22:BS$22)</f>
        <v>735788432.55493069</v>
      </c>
      <c r="AC364" s="43">
        <f>'D4 Gallon Forecast'!AC350*AVERAGE('D4 RIN Forecast'!BP$22:BT$22)</f>
        <v>803161772.94712758</v>
      </c>
      <c r="AD364" s="43">
        <f>'D4 Gallon Forecast'!AD350*AVERAGE('D4 RIN Forecast'!BQ$22:BU$22)</f>
        <v>904385086.03830087</v>
      </c>
      <c r="AE364" s="43">
        <f>'D4 Gallon Forecast'!AE350*AVERAGE('D4 RIN Forecast'!BR$22:BV$22)</f>
        <v>904063402.94593799</v>
      </c>
      <c r="AF364" s="43">
        <f>'D4 Gallon Forecast'!AF350*AVERAGE('D4 RIN Forecast'!BS$22:BW$22)</f>
        <v>899096940.36622047</v>
      </c>
      <c r="AG364" s="43">
        <f>'D4 Gallon Forecast'!AG350*AVERAGE('D4 RIN Forecast'!BT$22:BX$22)</f>
        <v>938192990.57721305</v>
      </c>
      <c r="AH364" s="43">
        <f>'D4 Gallon Forecast'!AH350*AVERAGE('D4 RIN Forecast'!BU$22:BY$22)</f>
        <v>968601913.44971299</v>
      </c>
      <c r="AI364" s="43">
        <f>'D4 Gallon Forecast'!AI350*AVERAGE('D4 RIN Forecast'!BV$22:BZ$22)</f>
        <v>990863980.90252805</v>
      </c>
      <c r="AJ364" s="43">
        <f>'D4 Gallon Forecast'!AJ350*AVERAGE('D4 RIN Forecast'!BW$22:CA$22)</f>
        <v>1002181027.6632202</v>
      </c>
      <c r="AK364" s="43">
        <f>'D4 Gallon Forecast'!AK350*AVERAGE('D4 RIN Forecast'!BX$22:CB$22)</f>
        <v>1031957041.7227371</v>
      </c>
      <c r="AL364" s="43">
        <f>'D4 Gallon Forecast'!AL350*AVERAGE('D4 RIN Forecast'!BY$22:CC$22)</f>
        <v>1088460361.788451</v>
      </c>
      <c r="AM364" s="43">
        <f>'D4 Gallon Forecast'!AM350*AVERAGE('D4 RIN Forecast'!BZ$22:CD$22)</f>
        <v>1127762752.1540396</v>
      </c>
      <c r="AN364" s="43">
        <f>'D4 Gallon Forecast'!AN350*AVERAGE('D4 RIN Forecast'!CA$22:CE$22)</f>
        <v>1129052621.8345478</v>
      </c>
      <c r="AO364" s="43">
        <f>'D4 Gallon Forecast'!AO350*AVERAGE('D4 RIN Forecast'!CB$22:CF$22)</f>
        <v>1127165203.0628133</v>
      </c>
      <c r="AP364" s="43">
        <f>'D4 Gallon Forecast'!AP350*AVERAGE('D4 RIN Forecast'!CC$22:CG$22)</f>
        <v>1153663260.2650132</v>
      </c>
      <c r="AQ364" s="43"/>
    </row>
    <row r="365" spans="1:43">
      <c r="A365" s="40" t="s">
        <v>53</v>
      </c>
      <c r="B365" s="42">
        <f>'Monthly D4 RIN Data'!$AE14</f>
        <v>0</v>
      </c>
      <c r="C365" s="42">
        <f>'Monthly D4 RIN Data'!$AE26</f>
        <v>0</v>
      </c>
      <c r="D365" s="42">
        <f>'Monthly D4 RIN Data'!$AE38</f>
        <v>0</v>
      </c>
      <c r="E365" s="42">
        <f>'Monthly D4 RIN Data'!$AE50</f>
        <v>0</v>
      </c>
      <c r="F365" s="42">
        <f>'Monthly D4 RIN Data'!$AE62</f>
        <v>0</v>
      </c>
      <c r="G365" s="42">
        <f>'Monthly D4 RIN Data'!$AE74</f>
        <v>0</v>
      </c>
      <c r="H365" s="42">
        <f>'Monthly D4 RIN Data'!$AE86</f>
        <v>308786</v>
      </c>
      <c r="I365" s="42">
        <f>'Monthly D4 RIN Data'!$AE98</f>
        <v>110331</v>
      </c>
      <c r="J365" s="42">
        <f>'Monthly D4 RIN Data'!$AE110</f>
        <v>244453</v>
      </c>
      <c r="K365" s="42">
        <f>'Monthly D4 RIN Data'!$AE122</f>
        <v>145880</v>
      </c>
      <c r="L365" s="42">
        <f>'Monthly D4 RIN Data'!$AE134</f>
        <v>301122</v>
      </c>
      <c r="M365" s="42">
        <f>'Monthly D4 RIN Data'!$AE146</f>
        <v>645571</v>
      </c>
      <c r="N365" s="42">
        <f>'Monthly D4 RIN Data'!$AE158</f>
        <v>243562</v>
      </c>
      <c r="O365" s="42">
        <f>'Monthly D4 RIN Data'!$AE170</f>
        <v>0</v>
      </c>
      <c r="P365" s="42">
        <f>'Monthly D4 RIN Data'!$AE182</f>
        <v>3816680</v>
      </c>
      <c r="Q365" s="43">
        <f>'D4 Gallon Forecast'!Q351*AVERAGE('D4 RIN Forecast'!$BB$22:$BF$22)</f>
        <v>26208865.083135203</v>
      </c>
      <c r="R365" s="43">
        <f>'D4 Gallon Forecast'!R351*AVERAGE('D4 RIN Forecast'!$BB$22:$BF$22)</f>
        <v>70057905.290485635</v>
      </c>
      <c r="S365" s="43">
        <f>'D4 Gallon Forecast'!S351*AVERAGE('D4 RIN Forecast'!$BB$22:$BF$22)</f>
        <v>202787005.57269162</v>
      </c>
      <c r="T365" s="43">
        <f>'D4 Gallon Forecast'!T351*AVERAGE('D4 RIN Forecast'!$BB$22:$BF$22)</f>
        <v>266061570.81848237</v>
      </c>
      <c r="U365" s="43">
        <f>'D4 Gallon Forecast'!U351*AVERAGE('D4 RIN Forecast'!$BB$22:$BF$22)</f>
        <v>349580046.88875067</v>
      </c>
      <c r="V365" s="43">
        <f>'D4 Gallon Forecast'!V351*AVERAGE('D4 RIN Forecast'!BI$22:BM$22)</f>
        <v>473599944.01595289</v>
      </c>
      <c r="W365" s="43">
        <f>'D4 Gallon Forecast'!W351*AVERAGE('D4 RIN Forecast'!BJ$22:BN$22)</f>
        <v>551119020.80934763</v>
      </c>
      <c r="X365" s="43">
        <f>'D4 Gallon Forecast'!X351*AVERAGE('D4 RIN Forecast'!BK$22:BO$22)</f>
        <v>697439745.9532634</v>
      </c>
      <c r="Y365" s="43">
        <f>'D4 Gallon Forecast'!Y351*AVERAGE('D4 RIN Forecast'!BL$22:BP$22)</f>
        <v>728659534.80497861</v>
      </c>
      <c r="Z365" s="43">
        <f>'D4 Gallon Forecast'!Z351*AVERAGE('D4 RIN Forecast'!BM$22:BQ$22)</f>
        <v>792233837.35660362</v>
      </c>
      <c r="AA365" s="43">
        <f>'D4 Gallon Forecast'!AA351*AVERAGE('D4 RIN Forecast'!BN$22:BR$22)</f>
        <v>827631960.16852844</v>
      </c>
      <c r="AB365" s="43">
        <f>'D4 Gallon Forecast'!AB351*AVERAGE('D4 RIN Forecast'!BO$22:BS$22)</f>
        <v>636555192.84927821</v>
      </c>
      <c r="AC365" s="43">
        <f>'D4 Gallon Forecast'!AC351*AVERAGE('D4 RIN Forecast'!BP$22:BT$22)</f>
        <v>694948595.72820461</v>
      </c>
      <c r="AD365" s="43">
        <f>'D4 Gallon Forecast'!AD351*AVERAGE('D4 RIN Forecast'!BQ$22:BU$22)</f>
        <v>782581796.69298983</v>
      </c>
      <c r="AE365" s="43">
        <f>'D4 Gallon Forecast'!AE351*AVERAGE('D4 RIN Forecast'!BR$22:BV$22)</f>
        <v>782320521.46131337</v>
      </c>
      <c r="AF365" s="43">
        <f>'D4 Gallon Forecast'!AF351*AVERAGE('D4 RIN Forecast'!BS$22:BW$22)</f>
        <v>777997467.35532331</v>
      </c>
      <c r="AG365" s="43">
        <f>'D4 Gallon Forecast'!AG351*AVERAGE('D4 RIN Forecast'!BT$22:BX$22)</f>
        <v>811798709.85082006</v>
      </c>
      <c r="AH365" s="43">
        <f>'D4 Gallon Forecast'!AH351*AVERAGE('D4 RIN Forecast'!BU$22:BY$22)</f>
        <v>838134230.2321074</v>
      </c>
      <c r="AI365" s="43">
        <f>'D4 Gallon Forecast'!AI351*AVERAGE('D4 RIN Forecast'!BV$22:BZ$22)</f>
        <v>857404058.59113324</v>
      </c>
      <c r="AJ365" s="43">
        <f>'D4 Gallon Forecast'!AJ351*AVERAGE('D4 RIN Forecast'!BW$22:CA$22)</f>
        <v>867194941.47995937</v>
      </c>
      <c r="AK365" s="43">
        <f>'D4 Gallon Forecast'!AK351*AVERAGE('D4 RIN Forecast'!BX$22:CB$22)</f>
        <v>892954438.52274382</v>
      </c>
      <c r="AL365" s="43">
        <f>'D4 Gallon Forecast'!AL351*AVERAGE('D4 RIN Forecast'!BY$22:CC$22)</f>
        <v>941845297.09751105</v>
      </c>
      <c r="AM365" s="43">
        <f>'D4 Gallon Forecast'!AM351*AVERAGE('D4 RIN Forecast'!BZ$22:CD$22)</f>
        <v>975858147.92378044</v>
      </c>
      <c r="AN365" s="43">
        <f>'D4 Gallon Forecast'!AN351*AVERAGE('D4 RIN Forecast'!CA$22:CE$22)</f>
        <v>976974565.0471704</v>
      </c>
      <c r="AO365" s="43">
        <f>'D4 Gallon Forecast'!AO351*AVERAGE('D4 RIN Forecast'!CB$22:CF$22)</f>
        <v>975340371.71786857</v>
      </c>
      <c r="AP365" s="43">
        <f>'D4 Gallon Forecast'!AP351*AVERAGE('D4 RIN Forecast'!CC$22:CG$22)</f>
        <v>998268434.04767716</v>
      </c>
      <c r="AQ365" s="43"/>
    </row>
    <row r="366" spans="1:43">
      <c r="A366" s="40" t="s">
        <v>54</v>
      </c>
      <c r="B366" s="42">
        <f>'Monthly D4 RIN Data'!$AE15</f>
        <v>0</v>
      </c>
      <c r="C366" s="42">
        <f>'Monthly D4 RIN Data'!$AE27</f>
        <v>0</v>
      </c>
      <c r="D366" s="42">
        <f>'Monthly D4 RIN Data'!$AE39</f>
        <v>0</v>
      </c>
      <c r="E366" s="42">
        <f>'Monthly D4 RIN Data'!$AE51</f>
        <v>0</v>
      </c>
      <c r="F366" s="42">
        <f>'Monthly D4 RIN Data'!$AE63</f>
        <v>0</v>
      </c>
      <c r="G366" s="42">
        <f>'Monthly D4 RIN Data'!$AE75</f>
        <v>0</v>
      </c>
      <c r="H366" s="42">
        <f>'Monthly D4 RIN Data'!$AE87</f>
        <v>286035</v>
      </c>
      <c r="I366" s="42">
        <f>'Monthly D4 RIN Data'!$AE99</f>
        <v>322026</v>
      </c>
      <c r="J366" s="42">
        <f>'Monthly D4 RIN Data'!$AE111</f>
        <v>435584</v>
      </c>
      <c r="K366" s="42">
        <f>'Monthly D4 RIN Data'!$AE123</f>
        <v>219733</v>
      </c>
      <c r="L366" s="42">
        <f>'Monthly D4 RIN Data'!$AE135</f>
        <v>311460</v>
      </c>
      <c r="M366" s="42">
        <f>'Monthly D4 RIN Data'!$AE147</f>
        <v>493605</v>
      </c>
      <c r="N366" s="42">
        <f>'Monthly D4 RIN Data'!$AE159</f>
        <v>160888</v>
      </c>
      <c r="O366" s="42">
        <f>'Monthly D4 RIN Data'!$AE171</f>
        <v>188691</v>
      </c>
      <c r="P366" s="42">
        <f>'Monthly D4 RIN Data'!$AE183</f>
        <v>3457751</v>
      </c>
      <c r="Q366" s="43">
        <f>'D4 Gallon Forecast'!Q352*AVERAGE('D4 RIN Forecast'!$BB$22:$BF$22)</f>
        <v>24114268.10755131</v>
      </c>
      <c r="R366" s="43">
        <f>'D4 Gallon Forecast'!R352*AVERAGE('D4 RIN Forecast'!$BB$22:$BF$22)</f>
        <v>63193676.349055596</v>
      </c>
      <c r="S366" s="43">
        <f>'D4 Gallon Forecast'!S352*AVERAGE('D4 RIN Forecast'!$BB$22:$BF$22)</f>
        <v>181390525.85847983</v>
      </c>
      <c r="T366" s="43">
        <f>'D4 Gallon Forecast'!T352*AVERAGE('D4 RIN Forecast'!$BB$22:$BF$22)</f>
        <v>239245903.40971366</v>
      </c>
      <c r="U366" s="43">
        <f>'D4 Gallon Forecast'!U352*AVERAGE('D4 RIN Forecast'!$BB$22:$BF$22)</f>
        <v>314230823.94421059</v>
      </c>
      <c r="V366" s="43">
        <f>'D4 Gallon Forecast'!V352*AVERAGE('D4 RIN Forecast'!BI$22:BM$22)</f>
        <v>425695953.30752617</v>
      </c>
      <c r="W366" s="43">
        <f>'D4 Gallon Forecast'!W352*AVERAGE('D4 RIN Forecast'!BJ$22:BN$22)</f>
        <v>495148956.08318865</v>
      </c>
      <c r="X366" s="43">
        <f>'D4 Gallon Forecast'!X352*AVERAGE('D4 RIN Forecast'!BK$22:BO$22)</f>
        <v>626514923.44464231</v>
      </c>
      <c r="Y366" s="43">
        <f>'D4 Gallon Forecast'!Y352*AVERAGE('D4 RIN Forecast'!BL$22:BP$22)</f>
        <v>654801255.6916827</v>
      </c>
      <c r="Z366" s="43">
        <f>'D4 Gallon Forecast'!Z352*AVERAGE('D4 RIN Forecast'!BM$22:BQ$22)</f>
        <v>711888314.76919127</v>
      </c>
      <c r="AA366" s="43">
        <f>'D4 Gallon Forecast'!AA352*AVERAGE('D4 RIN Forecast'!BN$22:BR$22)</f>
        <v>743669962.12164855</v>
      </c>
      <c r="AB366" s="43">
        <f>'D4 Gallon Forecast'!AB352*AVERAGE('D4 RIN Forecast'!BO$22:BS$22)</f>
        <v>571952512.010571</v>
      </c>
      <c r="AC366" s="43">
        <f>'D4 Gallon Forecast'!AC352*AVERAGE('D4 RIN Forecast'!BP$22:BT$22)</f>
        <v>624426883.12432241</v>
      </c>
      <c r="AD366" s="43">
        <f>'D4 Gallon Forecast'!AD352*AVERAGE('D4 RIN Forecast'!BQ$22:BU$22)</f>
        <v>703199242.78466439</v>
      </c>
      <c r="AE366" s="43">
        <f>'D4 Gallon Forecast'!AE352*AVERAGE('D4 RIN Forecast'!BR$22:BV$22)</f>
        <v>702953035.98821938</v>
      </c>
      <c r="AF366" s="43">
        <f>'D4 Gallon Forecast'!AF352*AVERAGE('D4 RIN Forecast'!BS$22:BW$22)</f>
        <v>699062778.44737923</v>
      </c>
      <c r="AG366" s="43">
        <f>'D4 Gallon Forecast'!AG352*AVERAGE('D4 RIN Forecast'!BT$22:BX$22)</f>
        <v>729432699.16627049</v>
      </c>
      <c r="AH366" s="43">
        <f>'D4 Gallon Forecast'!AH352*AVERAGE('D4 RIN Forecast'!BU$22:BY$22)</f>
        <v>753099905.44665051</v>
      </c>
      <c r="AI366" s="43">
        <f>'D4 Gallon Forecast'!AI352*AVERAGE('D4 RIN Forecast'!BV$22:BZ$22)</f>
        <v>770417800.56040514</v>
      </c>
      <c r="AJ366" s="43">
        <f>'D4 Gallon Forecast'!AJ352*AVERAGE('D4 RIN Forecast'!BW$22:CA$22)</f>
        <v>779212648.73063123</v>
      </c>
      <c r="AK366" s="43">
        <f>'D4 Gallon Forecast'!AK352*AVERAGE('D4 RIN Forecast'!BX$22:CB$22)</f>
        <v>802357874.24013412</v>
      </c>
      <c r="AL366" s="43">
        <f>'D4 Gallon Forecast'!AL352*AVERAGE('D4 RIN Forecast'!BY$22:CC$22)</f>
        <v>846288700.73027217</v>
      </c>
      <c r="AM366" s="43">
        <f>'D4 Gallon Forecast'!AM352*AVERAGE('D4 RIN Forecast'!BZ$22:CD$22)</f>
        <v>876851498.84122825</v>
      </c>
      <c r="AN366" s="43">
        <f>'D4 Gallon Forecast'!AN352*AVERAGE('D4 RIN Forecast'!CA$22:CE$22)</f>
        <v>877854776.15459776</v>
      </c>
      <c r="AO366" s="43">
        <f>'D4 Gallon Forecast'!AO352*AVERAGE('D4 RIN Forecast'!CB$22:CF$22)</f>
        <v>876385877.79534554</v>
      </c>
      <c r="AP366" s="43">
        <f>'D4 Gallon Forecast'!AP352*AVERAGE('D4 RIN Forecast'!CC$22:CG$22)</f>
        <v>896987708.9532752</v>
      </c>
      <c r="AQ366" s="43"/>
    </row>
    <row r="367" spans="1:43">
      <c r="A367" s="40" t="s">
        <v>29</v>
      </c>
      <c r="B367" s="42">
        <f t="shared" ref="B367:P367" si="111">SUM(B355:B366)</f>
        <v>0</v>
      </c>
      <c r="C367" s="42">
        <f t="shared" si="111"/>
        <v>0</v>
      </c>
      <c r="D367" s="42">
        <f t="shared" si="111"/>
        <v>0</v>
      </c>
      <c r="E367" s="42">
        <f t="shared" si="111"/>
        <v>0</v>
      </c>
      <c r="F367" s="42">
        <f t="shared" si="111"/>
        <v>0</v>
      </c>
      <c r="G367" s="42">
        <f t="shared" si="111"/>
        <v>0</v>
      </c>
      <c r="H367" s="42">
        <f t="shared" si="111"/>
        <v>1253834</v>
      </c>
      <c r="I367" s="42">
        <f t="shared" si="111"/>
        <v>2737627</v>
      </c>
      <c r="J367" s="42">
        <f t="shared" si="111"/>
        <v>2925086</v>
      </c>
      <c r="K367" s="42">
        <f t="shared" si="111"/>
        <v>3885925</v>
      </c>
      <c r="L367" s="42">
        <f t="shared" si="111"/>
        <v>7373440</v>
      </c>
      <c r="M367" s="42">
        <f t="shared" si="111"/>
        <v>8122598</v>
      </c>
      <c r="N367" s="42">
        <f t="shared" si="111"/>
        <v>12629020</v>
      </c>
      <c r="O367" s="42">
        <f t="shared" si="111"/>
        <v>19505266</v>
      </c>
      <c r="P367" s="42">
        <f t="shared" si="111"/>
        <v>61873238</v>
      </c>
      <c r="Q367" s="43">
        <f t="shared" ref="Q367:AP367" si="112">SUM(Q355:Q366)</f>
        <v>223271810.27852371</v>
      </c>
      <c r="R367" s="43">
        <f t="shared" si="112"/>
        <v>737416115.61521435</v>
      </c>
      <c r="S367" s="43">
        <f t="shared" si="112"/>
        <v>2120040058.5128167</v>
      </c>
      <c r="T367" s="43">
        <f t="shared" si="112"/>
        <v>2777804891.4656472</v>
      </c>
      <c r="U367" s="43">
        <f t="shared" si="112"/>
        <v>3637791095.7694588</v>
      </c>
      <c r="V367" s="43">
        <f t="shared" si="112"/>
        <v>4916892045.237257</v>
      </c>
      <c r="W367" s="43">
        <f t="shared" si="112"/>
        <v>5741447634.7956886</v>
      </c>
      <c r="X367" s="43">
        <f t="shared" si="112"/>
        <v>7262924380.1985302</v>
      </c>
      <c r="Y367" s="43">
        <f t="shared" si="112"/>
        <v>7585457536.5846472</v>
      </c>
      <c r="Z367" s="43">
        <f t="shared" si="112"/>
        <v>8244994717.4845123</v>
      </c>
      <c r="AA367" s="43">
        <f t="shared" si="112"/>
        <v>8613490754.3267784</v>
      </c>
      <c r="AB367" s="43">
        <f t="shared" si="112"/>
        <v>6627011972.726223</v>
      </c>
      <c r="AC367" s="43">
        <f t="shared" si="112"/>
        <v>7234196601.6573105</v>
      </c>
      <c r="AD367" s="43">
        <f t="shared" si="112"/>
        <v>8145836177.7459717</v>
      </c>
      <c r="AE367" s="43">
        <f t="shared" si="112"/>
        <v>8142929233.5612993</v>
      </c>
      <c r="AF367" s="43">
        <f t="shared" si="112"/>
        <v>8098165714.7108603</v>
      </c>
      <c r="AG367" s="43">
        <f t="shared" si="112"/>
        <v>8450293996.5417337</v>
      </c>
      <c r="AH367" s="43">
        <f t="shared" si="112"/>
        <v>8724236119.9491653</v>
      </c>
      <c r="AI367" s="43">
        <f t="shared" si="112"/>
        <v>8924732889.9852467</v>
      </c>
      <c r="AJ367" s="43">
        <f t="shared" si="112"/>
        <v>9026661393.7823391</v>
      </c>
      <c r="AK367" s="43">
        <f t="shared" si="112"/>
        <v>9294851241.6241264</v>
      </c>
      <c r="AL367" s="43">
        <f t="shared" si="112"/>
        <v>9803780239.5290852</v>
      </c>
      <c r="AM367" s="43">
        <f t="shared" si="112"/>
        <v>10157783187.002678</v>
      </c>
      <c r="AN367" s="43">
        <f t="shared" si="112"/>
        <v>10169397192.088419</v>
      </c>
      <c r="AO367" s="43">
        <f t="shared" si="112"/>
        <v>10152396493.806389</v>
      </c>
      <c r="AP367" s="43">
        <f t="shared" si="112"/>
        <v>10391065051.947126</v>
      </c>
      <c r="AQ367" s="43"/>
    </row>
    <row r="369" spans="1:43" ht="12" thickBot="1">
      <c r="A369" s="245" t="s">
        <v>329</v>
      </c>
    </row>
    <row r="370" spans="1:43" ht="12" thickBot="1">
      <c r="A370" s="270"/>
      <c r="B370" s="263">
        <v>2010</v>
      </c>
      <c r="C370" s="263">
        <v>2011</v>
      </c>
      <c r="D370" s="263">
        <v>2012</v>
      </c>
      <c r="E370" s="263">
        <v>2013</v>
      </c>
      <c r="F370" s="263">
        <v>2014</v>
      </c>
      <c r="G370" s="263">
        <v>2015</v>
      </c>
      <c r="H370" s="263">
        <v>2016</v>
      </c>
      <c r="I370" s="263">
        <v>2017</v>
      </c>
      <c r="J370" s="263">
        <v>2018</v>
      </c>
      <c r="K370" s="263">
        <v>2019</v>
      </c>
      <c r="L370" s="263">
        <v>2020</v>
      </c>
      <c r="M370" s="263">
        <v>2021</v>
      </c>
      <c r="N370" s="263">
        <v>2022</v>
      </c>
      <c r="O370" s="263">
        <v>2023</v>
      </c>
      <c r="P370" s="263">
        <v>2024</v>
      </c>
      <c r="Q370" s="263">
        <v>2025</v>
      </c>
      <c r="R370" s="263">
        <v>2026</v>
      </c>
      <c r="S370" s="263">
        <v>2027</v>
      </c>
      <c r="T370" s="263">
        <v>2028</v>
      </c>
      <c r="U370" s="263">
        <v>2029</v>
      </c>
      <c r="V370" s="263">
        <v>2030</v>
      </c>
      <c r="W370" s="263">
        <v>2031</v>
      </c>
      <c r="X370" s="263">
        <v>2032</v>
      </c>
      <c r="Y370" s="263">
        <v>2033</v>
      </c>
      <c r="Z370" s="263">
        <v>2034</v>
      </c>
      <c r="AA370" s="263">
        <v>2035</v>
      </c>
      <c r="AB370" s="263">
        <v>2036</v>
      </c>
      <c r="AC370" s="263">
        <v>2037</v>
      </c>
      <c r="AD370" s="263">
        <v>2038</v>
      </c>
      <c r="AE370" s="263">
        <v>2039</v>
      </c>
      <c r="AF370" s="263">
        <v>2040</v>
      </c>
      <c r="AG370" s="263">
        <v>2041</v>
      </c>
      <c r="AH370" s="263">
        <v>2042</v>
      </c>
      <c r="AI370" s="263">
        <v>2043</v>
      </c>
      <c r="AJ370" s="263">
        <v>2044</v>
      </c>
      <c r="AK370" s="263">
        <v>2045</v>
      </c>
      <c r="AL370" s="263">
        <v>2046</v>
      </c>
      <c r="AM370" s="263">
        <v>2047</v>
      </c>
      <c r="AN370" s="263">
        <v>2048</v>
      </c>
      <c r="AO370" s="263">
        <v>2049</v>
      </c>
      <c r="AP370" s="263">
        <v>2050</v>
      </c>
      <c r="AQ370" s="245"/>
    </row>
    <row r="371" spans="1:43">
      <c r="A371" s="40" t="s">
        <v>43</v>
      </c>
      <c r="B371" s="42">
        <f>'Monthly D4 RIN Data'!$AF4</f>
        <v>0</v>
      </c>
      <c r="C371" s="42">
        <f>'Monthly D4 RIN Data'!$AF16</f>
        <v>0</v>
      </c>
      <c r="D371" s="42">
        <f>'Monthly D4 RIN Data'!$AF28</f>
        <v>0</v>
      </c>
      <c r="E371" s="42">
        <f>'Monthly D4 RIN Data'!$AF40</f>
        <v>0</v>
      </c>
      <c r="F371" s="42">
        <f>'Monthly D4 RIN Data'!$AF52</f>
        <v>0</v>
      </c>
      <c r="G371" s="42">
        <f>'Monthly D4 RIN Data'!$AF64</f>
        <v>0</v>
      </c>
      <c r="H371" s="42">
        <f>'Monthly D4 RIN Data'!$AF76</f>
        <v>0</v>
      </c>
      <c r="I371" s="42">
        <f>'Monthly D4 RIN Data'!$AF88</f>
        <v>0</v>
      </c>
      <c r="J371" s="42">
        <f>'Monthly D4 RIN Data'!$AF100</f>
        <v>0</v>
      </c>
      <c r="K371" s="42">
        <f>'Monthly D4 RIN Data'!$AF112</f>
        <v>0</v>
      </c>
      <c r="L371" s="42">
        <f>'Monthly D4 RIN Data'!$AF124</f>
        <v>0</v>
      </c>
      <c r="M371" s="42">
        <f>'Monthly D4 RIN Data'!$AF136</f>
        <v>0</v>
      </c>
      <c r="N371" s="42">
        <f>'Monthly D4 RIN Data'!$AF148</f>
        <v>0</v>
      </c>
      <c r="O371" s="42">
        <f>'Monthly D4 RIN Data'!$AF160</f>
        <v>0</v>
      </c>
      <c r="P371" s="42">
        <f>'Monthly D4 RIN Data'!$AF172</f>
        <v>0</v>
      </c>
      <c r="Q371" s="42">
        <f>'Monthly D4 RIN Data'!$AF184</f>
        <v>0</v>
      </c>
      <c r="R371" s="43">
        <f>'D4 Gallon Forecast'!R357</f>
        <v>0</v>
      </c>
      <c r="S371" s="43">
        <f>'D4 Gallon Forecast'!S357</f>
        <v>0</v>
      </c>
      <c r="T371" s="43">
        <f>'D4 Gallon Forecast'!T357</f>
        <v>0</v>
      </c>
      <c r="U371" s="43">
        <f>'D4 Gallon Forecast'!U357</f>
        <v>0</v>
      </c>
      <c r="V371" s="43">
        <f>'D4 Gallon Forecast'!V357</f>
        <v>0</v>
      </c>
      <c r="W371" s="43">
        <f>'D4 Gallon Forecast'!W357</f>
        <v>0</v>
      </c>
      <c r="X371" s="43">
        <f>'D4 Gallon Forecast'!X357</f>
        <v>0</v>
      </c>
      <c r="Y371" s="43">
        <f>'D4 Gallon Forecast'!Y357</f>
        <v>0</v>
      </c>
      <c r="Z371" s="43">
        <f>'D4 Gallon Forecast'!Z357</f>
        <v>0</v>
      </c>
      <c r="AA371" s="43">
        <f>'D4 Gallon Forecast'!AA357</f>
        <v>0</v>
      </c>
      <c r="AB371" s="43">
        <f>'D4 Gallon Forecast'!AB357</f>
        <v>0</v>
      </c>
      <c r="AC371" s="43">
        <f>'D4 Gallon Forecast'!AC357</f>
        <v>0</v>
      </c>
      <c r="AD371" s="43">
        <f>'D4 Gallon Forecast'!AD357</f>
        <v>0</v>
      </c>
      <c r="AE371" s="43">
        <f>'D4 Gallon Forecast'!AE357</f>
        <v>0</v>
      </c>
      <c r="AF371" s="43">
        <f>'D4 Gallon Forecast'!AF357</f>
        <v>0</v>
      </c>
      <c r="AG371" s="43">
        <f>'D4 Gallon Forecast'!AG357</f>
        <v>0</v>
      </c>
      <c r="AH371" s="43">
        <f>'D4 Gallon Forecast'!AH357</f>
        <v>0</v>
      </c>
      <c r="AI371" s="43">
        <f>'D4 Gallon Forecast'!AI357</f>
        <v>0</v>
      </c>
      <c r="AJ371" s="43">
        <f>'D4 Gallon Forecast'!AJ357</f>
        <v>0</v>
      </c>
      <c r="AK371" s="43">
        <f>'D4 Gallon Forecast'!AK357</f>
        <v>0</v>
      </c>
      <c r="AL371" s="43">
        <f>'D4 Gallon Forecast'!AL357</f>
        <v>0</v>
      </c>
      <c r="AM371" s="43">
        <f>'D4 Gallon Forecast'!AM357</f>
        <v>0</v>
      </c>
      <c r="AN371" s="43">
        <f>'D4 Gallon Forecast'!AN357</f>
        <v>0</v>
      </c>
      <c r="AO371" s="43">
        <f>'D4 Gallon Forecast'!AO357</f>
        <v>0</v>
      </c>
      <c r="AP371" s="43">
        <f>'D4 Gallon Forecast'!AP357</f>
        <v>0</v>
      </c>
      <c r="AQ371" s="43"/>
    </row>
    <row r="372" spans="1:43">
      <c r="A372" s="40" t="s">
        <v>44</v>
      </c>
      <c r="B372" s="42">
        <f>'Monthly D4 RIN Data'!$AF5</f>
        <v>0</v>
      </c>
      <c r="C372" s="42">
        <f>'Monthly D4 RIN Data'!$AF17</f>
        <v>0</v>
      </c>
      <c r="D372" s="42">
        <f>'Monthly D4 RIN Data'!$AF29</f>
        <v>0</v>
      </c>
      <c r="E372" s="42">
        <f>'Monthly D4 RIN Data'!$AF41</f>
        <v>0</v>
      </c>
      <c r="F372" s="42">
        <f>'Monthly D4 RIN Data'!$AF53</f>
        <v>0</v>
      </c>
      <c r="G372" s="42">
        <f>'Monthly D4 RIN Data'!$AF65</f>
        <v>0</v>
      </c>
      <c r="H372" s="42">
        <f>'Monthly D4 RIN Data'!$AF77</f>
        <v>0</v>
      </c>
      <c r="I372" s="42">
        <f>'Monthly D4 RIN Data'!$AF89</f>
        <v>0</v>
      </c>
      <c r="J372" s="42">
        <f>'Monthly D4 RIN Data'!$AF101</f>
        <v>0</v>
      </c>
      <c r="K372" s="42">
        <f>'Monthly D4 RIN Data'!$AF113</f>
        <v>0</v>
      </c>
      <c r="L372" s="42">
        <f>'Monthly D4 RIN Data'!$AF125</f>
        <v>0</v>
      </c>
      <c r="M372" s="42">
        <f>'Monthly D4 RIN Data'!$AF137</f>
        <v>0</v>
      </c>
      <c r="N372" s="42">
        <f>'Monthly D4 RIN Data'!$AF149</f>
        <v>0</v>
      </c>
      <c r="O372" s="42">
        <f>'Monthly D4 RIN Data'!$AF161</f>
        <v>0</v>
      </c>
      <c r="P372" s="42">
        <f>'Monthly D4 RIN Data'!$AF173</f>
        <v>0</v>
      </c>
      <c r="Q372" s="42">
        <f>'Monthly D4 RIN Data'!$AF185</f>
        <v>0</v>
      </c>
      <c r="R372" s="43">
        <f>'D4 Gallon Forecast'!R358</f>
        <v>0</v>
      </c>
      <c r="S372" s="43">
        <f>'D4 Gallon Forecast'!S358</f>
        <v>0</v>
      </c>
      <c r="T372" s="43">
        <f>'D4 Gallon Forecast'!T358</f>
        <v>0</v>
      </c>
      <c r="U372" s="43">
        <f>'D4 Gallon Forecast'!U358</f>
        <v>0</v>
      </c>
      <c r="V372" s="43">
        <f>'D4 Gallon Forecast'!V358</f>
        <v>0</v>
      </c>
      <c r="W372" s="43">
        <f>'D4 Gallon Forecast'!W358</f>
        <v>0</v>
      </c>
      <c r="X372" s="43">
        <f>'D4 Gallon Forecast'!X358</f>
        <v>0</v>
      </c>
      <c r="Y372" s="43">
        <f>'D4 Gallon Forecast'!Y358</f>
        <v>0</v>
      </c>
      <c r="Z372" s="43">
        <f>'D4 Gallon Forecast'!Z358</f>
        <v>0</v>
      </c>
      <c r="AA372" s="43">
        <f>'D4 Gallon Forecast'!AA358</f>
        <v>0</v>
      </c>
      <c r="AB372" s="43">
        <f>'D4 Gallon Forecast'!AB358</f>
        <v>0</v>
      </c>
      <c r="AC372" s="43">
        <f>'D4 Gallon Forecast'!AC358</f>
        <v>0</v>
      </c>
      <c r="AD372" s="43">
        <f>'D4 Gallon Forecast'!AD358</f>
        <v>0</v>
      </c>
      <c r="AE372" s="43">
        <f>'D4 Gallon Forecast'!AE358</f>
        <v>0</v>
      </c>
      <c r="AF372" s="43">
        <f>'D4 Gallon Forecast'!AF358</f>
        <v>0</v>
      </c>
      <c r="AG372" s="43">
        <f>'D4 Gallon Forecast'!AG358</f>
        <v>0</v>
      </c>
      <c r="AH372" s="43">
        <f>'D4 Gallon Forecast'!AH358</f>
        <v>0</v>
      </c>
      <c r="AI372" s="43">
        <f>'D4 Gallon Forecast'!AI358</f>
        <v>0</v>
      </c>
      <c r="AJ372" s="43">
        <f>'D4 Gallon Forecast'!AJ358</f>
        <v>0</v>
      </c>
      <c r="AK372" s="43">
        <f>'D4 Gallon Forecast'!AK358</f>
        <v>0</v>
      </c>
      <c r="AL372" s="43">
        <f>'D4 Gallon Forecast'!AL358</f>
        <v>0</v>
      </c>
      <c r="AM372" s="43">
        <f>'D4 Gallon Forecast'!AM358</f>
        <v>0</v>
      </c>
      <c r="AN372" s="43">
        <f>'D4 Gallon Forecast'!AN358</f>
        <v>0</v>
      </c>
      <c r="AO372" s="43">
        <f>'D4 Gallon Forecast'!AO358</f>
        <v>0</v>
      </c>
      <c r="AP372" s="43">
        <f>'D4 Gallon Forecast'!AP358</f>
        <v>0</v>
      </c>
      <c r="AQ372" s="43"/>
    </row>
    <row r="373" spans="1:43">
      <c r="A373" s="40" t="s">
        <v>45</v>
      </c>
      <c r="B373" s="42">
        <f>'Monthly D4 RIN Data'!$AF6</f>
        <v>0</v>
      </c>
      <c r="C373" s="42">
        <f>'Monthly D4 RIN Data'!$AF18</f>
        <v>0</v>
      </c>
      <c r="D373" s="42">
        <f>'Monthly D4 RIN Data'!$AF30</f>
        <v>0</v>
      </c>
      <c r="E373" s="42">
        <f>'Monthly D4 RIN Data'!$AF42</f>
        <v>0</v>
      </c>
      <c r="F373" s="42">
        <f>'Monthly D4 RIN Data'!$AF54</f>
        <v>0</v>
      </c>
      <c r="G373" s="42">
        <f>'Monthly D4 RIN Data'!$AF66</f>
        <v>0</v>
      </c>
      <c r="H373" s="42">
        <f>'Monthly D4 RIN Data'!$AF78</f>
        <v>0</v>
      </c>
      <c r="I373" s="42">
        <f>'Monthly D4 RIN Data'!$AF90</f>
        <v>0</v>
      </c>
      <c r="J373" s="42">
        <f>'Monthly D4 RIN Data'!$AF102</f>
        <v>0</v>
      </c>
      <c r="K373" s="42">
        <v>0</v>
      </c>
      <c r="L373" s="42">
        <f>'Monthly D4 RIN Data'!$AF126</f>
        <v>0</v>
      </c>
      <c r="M373" s="42">
        <f>'Monthly D4 RIN Data'!$AF138</f>
        <v>0</v>
      </c>
      <c r="N373" s="42">
        <f>'Monthly D4 RIN Data'!$AF150</f>
        <v>0</v>
      </c>
      <c r="O373" s="42">
        <f>'Monthly D4 RIN Data'!$AF162</f>
        <v>0</v>
      </c>
      <c r="P373" s="42">
        <f>'Monthly D4 RIN Data'!$AF174</f>
        <v>0</v>
      </c>
      <c r="Q373" s="42">
        <f>'Monthly D4 RIN Data'!$AF186</f>
        <v>0</v>
      </c>
      <c r="R373" s="43">
        <f>'D4 Gallon Forecast'!R359</f>
        <v>0</v>
      </c>
      <c r="S373" s="43">
        <f>'D4 Gallon Forecast'!S359</f>
        <v>0</v>
      </c>
      <c r="T373" s="43">
        <f>'D4 Gallon Forecast'!T359</f>
        <v>0</v>
      </c>
      <c r="U373" s="43">
        <f>'D4 Gallon Forecast'!U359</f>
        <v>0</v>
      </c>
      <c r="V373" s="43">
        <f>'D4 Gallon Forecast'!V359</f>
        <v>0</v>
      </c>
      <c r="W373" s="43">
        <f>'D4 Gallon Forecast'!W359</f>
        <v>0</v>
      </c>
      <c r="X373" s="43">
        <f>'D4 Gallon Forecast'!X359</f>
        <v>0</v>
      </c>
      <c r="Y373" s="43">
        <f>'D4 Gallon Forecast'!Y359</f>
        <v>0</v>
      </c>
      <c r="Z373" s="43">
        <f>'D4 Gallon Forecast'!Z359</f>
        <v>0</v>
      </c>
      <c r="AA373" s="43">
        <f>'D4 Gallon Forecast'!AA359</f>
        <v>0</v>
      </c>
      <c r="AB373" s="43">
        <f>'D4 Gallon Forecast'!AB359</f>
        <v>0</v>
      </c>
      <c r="AC373" s="43">
        <f>'D4 Gallon Forecast'!AC359</f>
        <v>0</v>
      </c>
      <c r="AD373" s="43">
        <f>'D4 Gallon Forecast'!AD359</f>
        <v>0</v>
      </c>
      <c r="AE373" s="43">
        <f>'D4 Gallon Forecast'!AE359</f>
        <v>0</v>
      </c>
      <c r="AF373" s="43">
        <f>'D4 Gallon Forecast'!AF359</f>
        <v>0</v>
      </c>
      <c r="AG373" s="43">
        <f>'D4 Gallon Forecast'!AG359</f>
        <v>0</v>
      </c>
      <c r="AH373" s="43">
        <f>'D4 Gallon Forecast'!AH359</f>
        <v>0</v>
      </c>
      <c r="AI373" s="43">
        <f>'D4 Gallon Forecast'!AI359</f>
        <v>0</v>
      </c>
      <c r="AJ373" s="43">
        <f>'D4 Gallon Forecast'!AJ359</f>
        <v>0</v>
      </c>
      <c r="AK373" s="43">
        <f>'D4 Gallon Forecast'!AK359</f>
        <v>0</v>
      </c>
      <c r="AL373" s="43">
        <f>'D4 Gallon Forecast'!AL359</f>
        <v>0</v>
      </c>
      <c r="AM373" s="43">
        <f>'D4 Gallon Forecast'!AM359</f>
        <v>0</v>
      </c>
      <c r="AN373" s="43">
        <f>'D4 Gallon Forecast'!AN359</f>
        <v>0</v>
      </c>
      <c r="AO373" s="43">
        <f>'D4 Gallon Forecast'!AO359</f>
        <v>0</v>
      </c>
      <c r="AP373" s="43">
        <f>'D4 Gallon Forecast'!AP359</f>
        <v>0</v>
      </c>
      <c r="AQ373" s="43"/>
    </row>
    <row r="374" spans="1:43">
      <c r="A374" s="40" t="s">
        <v>46</v>
      </c>
      <c r="B374" s="42">
        <f>'Monthly D4 RIN Data'!$AF7</f>
        <v>0</v>
      </c>
      <c r="C374" s="42">
        <f>'Monthly D4 RIN Data'!$AF19</f>
        <v>0</v>
      </c>
      <c r="D374" s="42">
        <f>'Monthly D4 RIN Data'!$AF31</f>
        <v>0</v>
      </c>
      <c r="E374" s="42">
        <f>'Monthly D4 RIN Data'!$AF43</f>
        <v>0</v>
      </c>
      <c r="F374" s="42">
        <f>'Monthly D4 RIN Data'!$AF55</f>
        <v>0</v>
      </c>
      <c r="G374" s="42">
        <f>'Monthly D4 RIN Data'!$AF67</f>
        <v>0</v>
      </c>
      <c r="H374" s="42">
        <f>'Monthly D4 RIN Data'!$AF79</f>
        <v>0</v>
      </c>
      <c r="I374" s="42">
        <f>'Monthly D4 RIN Data'!$AF91</f>
        <v>0</v>
      </c>
      <c r="J374" s="42">
        <f>'Monthly D4 RIN Data'!$AF103</f>
        <v>0</v>
      </c>
      <c r="K374" s="42">
        <v>0</v>
      </c>
      <c r="L374" s="42">
        <f>'Monthly D4 RIN Data'!$AF127</f>
        <v>0</v>
      </c>
      <c r="M374" s="42">
        <f>'Monthly D4 RIN Data'!$AF139</f>
        <v>0</v>
      </c>
      <c r="N374" s="42">
        <f>'Monthly D4 RIN Data'!$AF151</f>
        <v>0</v>
      </c>
      <c r="O374" s="42">
        <f>'Monthly D4 RIN Data'!$AF163</f>
        <v>0</v>
      </c>
      <c r="P374" s="42">
        <f>'Monthly D4 RIN Data'!$AF175</f>
        <v>0</v>
      </c>
      <c r="Q374" s="43">
        <f>'D4 Gallon Forecast'!Q360</f>
        <v>0</v>
      </c>
      <c r="R374" s="43">
        <f>'D4 Gallon Forecast'!R360</f>
        <v>0</v>
      </c>
      <c r="S374" s="43">
        <f>'D4 Gallon Forecast'!S360</f>
        <v>0</v>
      </c>
      <c r="T374" s="43">
        <f>'D4 Gallon Forecast'!T360</f>
        <v>0</v>
      </c>
      <c r="U374" s="43">
        <f>'D4 Gallon Forecast'!U360</f>
        <v>0</v>
      </c>
      <c r="V374" s="43">
        <f>'D4 Gallon Forecast'!V360</f>
        <v>0</v>
      </c>
      <c r="W374" s="43">
        <f>'D4 Gallon Forecast'!W360</f>
        <v>0</v>
      </c>
      <c r="X374" s="43">
        <f>'D4 Gallon Forecast'!X360</f>
        <v>0</v>
      </c>
      <c r="Y374" s="43">
        <f>'D4 Gallon Forecast'!Y360</f>
        <v>0</v>
      </c>
      <c r="Z374" s="43">
        <f>'D4 Gallon Forecast'!Z360</f>
        <v>0</v>
      </c>
      <c r="AA374" s="43">
        <f>'D4 Gallon Forecast'!AA360</f>
        <v>0</v>
      </c>
      <c r="AB374" s="43">
        <f>'D4 Gallon Forecast'!AB360</f>
        <v>0</v>
      </c>
      <c r="AC374" s="43">
        <f>'D4 Gallon Forecast'!AC360</f>
        <v>0</v>
      </c>
      <c r="AD374" s="43">
        <f>'D4 Gallon Forecast'!AD360</f>
        <v>0</v>
      </c>
      <c r="AE374" s="43">
        <f>'D4 Gallon Forecast'!AE360</f>
        <v>0</v>
      </c>
      <c r="AF374" s="43">
        <f>'D4 Gallon Forecast'!AF360</f>
        <v>0</v>
      </c>
      <c r="AG374" s="43">
        <f>'D4 Gallon Forecast'!AG360</f>
        <v>0</v>
      </c>
      <c r="AH374" s="43">
        <f>'D4 Gallon Forecast'!AH360</f>
        <v>0</v>
      </c>
      <c r="AI374" s="43">
        <f>'D4 Gallon Forecast'!AI360</f>
        <v>0</v>
      </c>
      <c r="AJ374" s="43">
        <f>'D4 Gallon Forecast'!AJ360</f>
        <v>0</v>
      </c>
      <c r="AK374" s="43">
        <f>'D4 Gallon Forecast'!AK360</f>
        <v>0</v>
      </c>
      <c r="AL374" s="43">
        <f>'D4 Gallon Forecast'!AL360</f>
        <v>0</v>
      </c>
      <c r="AM374" s="43">
        <f>'D4 Gallon Forecast'!AM360</f>
        <v>0</v>
      </c>
      <c r="AN374" s="43">
        <f>'D4 Gallon Forecast'!AN360</f>
        <v>0</v>
      </c>
      <c r="AO374" s="43">
        <f>'D4 Gallon Forecast'!AO360</f>
        <v>0</v>
      </c>
      <c r="AP374" s="43">
        <f>'D4 Gallon Forecast'!AP360</f>
        <v>0</v>
      </c>
      <c r="AQ374" s="43"/>
    </row>
    <row r="375" spans="1:43">
      <c r="A375" s="40" t="s">
        <v>47</v>
      </c>
      <c r="B375" s="42">
        <f>'Monthly D4 RIN Data'!$AF8</f>
        <v>0</v>
      </c>
      <c r="C375" s="42">
        <f>'Monthly D4 RIN Data'!$AF20</f>
        <v>0</v>
      </c>
      <c r="D375" s="42">
        <f>'Monthly D4 RIN Data'!$AF32</f>
        <v>0</v>
      </c>
      <c r="E375" s="42">
        <f>'Monthly D4 RIN Data'!$AF44</f>
        <v>0</v>
      </c>
      <c r="F375" s="42">
        <f>'Monthly D4 RIN Data'!$AF56</f>
        <v>0</v>
      </c>
      <c r="G375" s="42">
        <f>'Monthly D4 RIN Data'!$AF68</f>
        <v>0</v>
      </c>
      <c r="H375" s="42">
        <f>'Monthly D4 RIN Data'!$AF80</f>
        <v>0</v>
      </c>
      <c r="I375" s="42">
        <f>'Monthly D4 RIN Data'!$AF92</f>
        <v>0</v>
      </c>
      <c r="J375" s="42">
        <f>'Monthly D4 RIN Data'!$AF104</f>
        <v>0</v>
      </c>
      <c r="K375" s="42">
        <v>0</v>
      </c>
      <c r="L375" s="42">
        <f>'Monthly D4 RIN Data'!$AF128</f>
        <v>0</v>
      </c>
      <c r="M375" s="42">
        <f>'Monthly D4 RIN Data'!$AF140</f>
        <v>0</v>
      </c>
      <c r="N375" s="42">
        <f>'Monthly D4 RIN Data'!$AF152</f>
        <v>0</v>
      </c>
      <c r="O375" s="42">
        <f>'Monthly D4 RIN Data'!$AF164</f>
        <v>0</v>
      </c>
      <c r="P375" s="42">
        <f>'Monthly D4 RIN Data'!$AF176</f>
        <v>0</v>
      </c>
      <c r="Q375" s="43">
        <f>'D4 Gallon Forecast'!Q361</f>
        <v>0</v>
      </c>
      <c r="R375" s="43">
        <f>'D4 Gallon Forecast'!R361</f>
        <v>0</v>
      </c>
      <c r="S375" s="43">
        <f>'D4 Gallon Forecast'!S361</f>
        <v>0</v>
      </c>
      <c r="T375" s="43">
        <f>'D4 Gallon Forecast'!T361</f>
        <v>0</v>
      </c>
      <c r="U375" s="43">
        <f>'D4 Gallon Forecast'!U361</f>
        <v>0</v>
      </c>
      <c r="V375" s="43">
        <f>'D4 Gallon Forecast'!V361</f>
        <v>0</v>
      </c>
      <c r="W375" s="43">
        <f>'D4 Gallon Forecast'!W361</f>
        <v>0</v>
      </c>
      <c r="X375" s="43">
        <f>'D4 Gallon Forecast'!X361</f>
        <v>0</v>
      </c>
      <c r="Y375" s="43">
        <f>'D4 Gallon Forecast'!Y361</f>
        <v>0</v>
      </c>
      <c r="Z375" s="43">
        <f>'D4 Gallon Forecast'!Z361</f>
        <v>0</v>
      </c>
      <c r="AA375" s="43">
        <f>'D4 Gallon Forecast'!AA361</f>
        <v>0</v>
      </c>
      <c r="AB375" s="43">
        <f>'D4 Gallon Forecast'!AB361</f>
        <v>0</v>
      </c>
      <c r="AC375" s="43">
        <f>'D4 Gallon Forecast'!AC361</f>
        <v>0</v>
      </c>
      <c r="AD375" s="43">
        <f>'D4 Gallon Forecast'!AD361</f>
        <v>0</v>
      </c>
      <c r="AE375" s="43">
        <f>'D4 Gallon Forecast'!AE361</f>
        <v>0</v>
      </c>
      <c r="AF375" s="43">
        <f>'D4 Gallon Forecast'!AF361</f>
        <v>0</v>
      </c>
      <c r="AG375" s="43">
        <f>'D4 Gallon Forecast'!AG361</f>
        <v>0</v>
      </c>
      <c r="AH375" s="43">
        <f>'D4 Gallon Forecast'!AH361</f>
        <v>0</v>
      </c>
      <c r="AI375" s="43">
        <f>'D4 Gallon Forecast'!AI361</f>
        <v>0</v>
      </c>
      <c r="AJ375" s="43">
        <f>'D4 Gallon Forecast'!AJ361</f>
        <v>0</v>
      </c>
      <c r="AK375" s="43">
        <f>'D4 Gallon Forecast'!AK361</f>
        <v>0</v>
      </c>
      <c r="AL375" s="43">
        <f>'D4 Gallon Forecast'!AL361</f>
        <v>0</v>
      </c>
      <c r="AM375" s="43">
        <f>'D4 Gallon Forecast'!AM361</f>
        <v>0</v>
      </c>
      <c r="AN375" s="43">
        <f>'D4 Gallon Forecast'!AN361</f>
        <v>0</v>
      </c>
      <c r="AO375" s="43">
        <f>'D4 Gallon Forecast'!AO361</f>
        <v>0</v>
      </c>
      <c r="AP375" s="43">
        <f>'D4 Gallon Forecast'!AP361</f>
        <v>0</v>
      </c>
      <c r="AQ375" s="43"/>
    </row>
    <row r="376" spans="1:43">
      <c r="A376" s="40" t="s">
        <v>48</v>
      </c>
      <c r="B376" s="42">
        <f>'Monthly D4 RIN Data'!$AF9</f>
        <v>0</v>
      </c>
      <c r="C376" s="42">
        <f>'Monthly D4 RIN Data'!$AF21</f>
        <v>0</v>
      </c>
      <c r="D376" s="42">
        <f>'Monthly D4 RIN Data'!$AF33</f>
        <v>0</v>
      </c>
      <c r="E376" s="42">
        <f>'Monthly D4 RIN Data'!$AF45</f>
        <v>0</v>
      </c>
      <c r="F376" s="42">
        <f>'Monthly D4 RIN Data'!$AF57</f>
        <v>0</v>
      </c>
      <c r="G376" s="42">
        <f>'Monthly D4 RIN Data'!$AF69</f>
        <v>0</v>
      </c>
      <c r="H376" s="42">
        <f>'Monthly D4 RIN Data'!$AF81</f>
        <v>0</v>
      </c>
      <c r="I376" s="42">
        <f>'Monthly D4 RIN Data'!$AF93</f>
        <v>0</v>
      </c>
      <c r="J376" s="42">
        <f>'Monthly D4 RIN Data'!$AF105</f>
        <v>0</v>
      </c>
      <c r="K376" s="42">
        <v>0</v>
      </c>
      <c r="L376" s="42">
        <f>'Monthly D4 RIN Data'!$AF129</f>
        <v>0</v>
      </c>
      <c r="M376" s="42">
        <f>'Monthly D4 RIN Data'!$AF141</f>
        <v>0</v>
      </c>
      <c r="N376" s="42">
        <f>'Monthly D4 RIN Data'!$AF153</f>
        <v>0</v>
      </c>
      <c r="O376" s="42">
        <f>'Monthly D4 RIN Data'!$AF165</f>
        <v>0</v>
      </c>
      <c r="P376" s="42">
        <f>'Monthly D4 RIN Data'!$AF177</f>
        <v>0</v>
      </c>
      <c r="Q376" s="43">
        <f>'D4 Gallon Forecast'!Q362</f>
        <v>0</v>
      </c>
      <c r="R376" s="43">
        <f>'D4 Gallon Forecast'!R362</f>
        <v>0</v>
      </c>
      <c r="S376" s="43">
        <f>'D4 Gallon Forecast'!S362</f>
        <v>0</v>
      </c>
      <c r="T376" s="43">
        <f>'D4 Gallon Forecast'!T362</f>
        <v>0</v>
      </c>
      <c r="U376" s="43">
        <f>'D4 Gallon Forecast'!U362</f>
        <v>0</v>
      </c>
      <c r="V376" s="43">
        <f>'D4 Gallon Forecast'!V362</f>
        <v>0</v>
      </c>
      <c r="W376" s="43">
        <f>'D4 Gallon Forecast'!W362</f>
        <v>0</v>
      </c>
      <c r="X376" s="43">
        <f>'D4 Gallon Forecast'!X362</f>
        <v>0</v>
      </c>
      <c r="Y376" s="43">
        <f>'D4 Gallon Forecast'!Y362</f>
        <v>0</v>
      </c>
      <c r="Z376" s="43">
        <f>'D4 Gallon Forecast'!Z362</f>
        <v>0</v>
      </c>
      <c r="AA376" s="43">
        <f>'D4 Gallon Forecast'!AA362</f>
        <v>0</v>
      </c>
      <c r="AB376" s="43">
        <f>'D4 Gallon Forecast'!AB362</f>
        <v>0</v>
      </c>
      <c r="AC376" s="43">
        <f>'D4 Gallon Forecast'!AC362</f>
        <v>0</v>
      </c>
      <c r="AD376" s="43">
        <f>'D4 Gallon Forecast'!AD362</f>
        <v>0</v>
      </c>
      <c r="AE376" s="43">
        <f>'D4 Gallon Forecast'!AE362</f>
        <v>0</v>
      </c>
      <c r="AF376" s="43">
        <f>'D4 Gallon Forecast'!AF362</f>
        <v>0</v>
      </c>
      <c r="AG376" s="43">
        <f>'D4 Gallon Forecast'!AG362</f>
        <v>0</v>
      </c>
      <c r="AH376" s="43">
        <f>'D4 Gallon Forecast'!AH362</f>
        <v>0</v>
      </c>
      <c r="AI376" s="43">
        <f>'D4 Gallon Forecast'!AI362</f>
        <v>0</v>
      </c>
      <c r="AJ376" s="43">
        <f>'D4 Gallon Forecast'!AJ362</f>
        <v>0</v>
      </c>
      <c r="AK376" s="43">
        <f>'D4 Gallon Forecast'!AK362</f>
        <v>0</v>
      </c>
      <c r="AL376" s="43">
        <f>'D4 Gallon Forecast'!AL362</f>
        <v>0</v>
      </c>
      <c r="AM376" s="43">
        <f>'D4 Gallon Forecast'!AM362</f>
        <v>0</v>
      </c>
      <c r="AN376" s="43">
        <f>'D4 Gallon Forecast'!AN362</f>
        <v>0</v>
      </c>
      <c r="AO376" s="43">
        <f>'D4 Gallon Forecast'!AO362</f>
        <v>0</v>
      </c>
      <c r="AP376" s="43">
        <f>'D4 Gallon Forecast'!AP362</f>
        <v>0</v>
      </c>
      <c r="AQ376" s="43"/>
    </row>
    <row r="377" spans="1:43">
      <c r="A377" s="40" t="s">
        <v>49</v>
      </c>
      <c r="B377" s="42">
        <f>'Monthly D4 RIN Data'!$AF10</f>
        <v>0</v>
      </c>
      <c r="C377" s="42">
        <f>'Monthly D4 RIN Data'!$AF22</f>
        <v>0</v>
      </c>
      <c r="D377" s="42">
        <f>'Monthly D4 RIN Data'!$AF34</f>
        <v>0</v>
      </c>
      <c r="E377" s="42">
        <f>'Monthly D4 RIN Data'!$AF46</f>
        <v>0</v>
      </c>
      <c r="F377" s="42">
        <f>'Monthly D4 RIN Data'!$AF58</f>
        <v>0</v>
      </c>
      <c r="G377" s="42">
        <f>'Monthly D4 RIN Data'!$AF70</f>
        <v>0</v>
      </c>
      <c r="H377" s="42">
        <f>'Monthly D4 RIN Data'!$AF82</f>
        <v>0</v>
      </c>
      <c r="I377" s="42">
        <f>'Monthly D4 RIN Data'!$AF94</f>
        <v>0</v>
      </c>
      <c r="J377" s="42">
        <f>'Monthly D4 RIN Data'!$AF106</f>
        <v>0</v>
      </c>
      <c r="K377" s="42">
        <v>0</v>
      </c>
      <c r="L377" s="42">
        <f>'Monthly D4 RIN Data'!$AF130</f>
        <v>0</v>
      </c>
      <c r="M377" s="42">
        <f>'Monthly D4 RIN Data'!$AF142</f>
        <v>0</v>
      </c>
      <c r="N377" s="42">
        <f>'Monthly D4 RIN Data'!$AF154</f>
        <v>0</v>
      </c>
      <c r="O377" s="42">
        <f>'Monthly D4 RIN Data'!$AF166</f>
        <v>0</v>
      </c>
      <c r="P377" s="42">
        <f>'Monthly D4 RIN Data'!$AF178</f>
        <v>0</v>
      </c>
      <c r="Q377" s="43">
        <f>'D4 Gallon Forecast'!Q363</f>
        <v>0</v>
      </c>
      <c r="R377" s="43">
        <f>'D4 Gallon Forecast'!R363</f>
        <v>0</v>
      </c>
      <c r="S377" s="43">
        <f>'D4 Gallon Forecast'!S363</f>
        <v>0</v>
      </c>
      <c r="T377" s="43">
        <f>'D4 Gallon Forecast'!T363</f>
        <v>0</v>
      </c>
      <c r="U377" s="43">
        <f>'D4 Gallon Forecast'!U363</f>
        <v>0</v>
      </c>
      <c r="V377" s="43">
        <f>'D4 Gallon Forecast'!V363</f>
        <v>0</v>
      </c>
      <c r="W377" s="43">
        <f>'D4 Gallon Forecast'!W363</f>
        <v>0</v>
      </c>
      <c r="X377" s="43">
        <f>'D4 Gallon Forecast'!X363</f>
        <v>0</v>
      </c>
      <c r="Y377" s="43">
        <f>'D4 Gallon Forecast'!Y363</f>
        <v>0</v>
      </c>
      <c r="Z377" s="43">
        <f>'D4 Gallon Forecast'!Z363</f>
        <v>0</v>
      </c>
      <c r="AA377" s="43">
        <f>'D4 Gallon Forecast'!AA363</f>
        <v>0</v>
      </c>
      <c r="AB377" s="43">
        <f>'D4 Gallon Forecast'!AB363</f>
        <v>0</v>
      </c>
      <c r="AC377" s="43">
        <f>'D4 Gallon Forecast'!AC363</f>
        <v>0</v>
      </c>
      <c r="AD377" s="43">
        <f>'D4 Gallon Forecast'!AD363</f>
        <v>0</v>
      </c>
      <c r="AE377" s="43">
        <f>'D4 Gallon Forecast'!AE363</f>
        <v>0</v>
      </c>
      <c r="AF377" s="43">
        <f>'D4 Gallon Forecast'!AF363</f>
        <v>0</v>
      </c>
      <c r="AG377" s="43">
        <f>'D4 Gallon Forecast'!AG363</f>
        <v>0</v>
      </c>
      <c r="AH377" s="43">
        <f>'D4 Gallon Forecast'!AH363</f>
        <v>0</v>
      </c>
      <c r="AI377" s="43">
        <f>'D4 Gallon Forecast'!AI363</f>
        <v>0</v>
      </c>
      <c r="AJ377" s="43">
        <f>'D4 Gallon Forecast'!AJ363</f>
        <v>0</v>
      </c>
      <c r="AK377" s="43">
        <f>'D4 Gallon Forecast'!AK363</f>
        <v>0</v>
      </c>
      <c r="AL377" s="43">
        <f>'D4 Gallon Forecast'!AL363</f>
        <v>0</v>
      </c>
      <c r="AM377" s="43">
        <f>'D4 Gallon Forecast'!AM363</f>
        <v>0</v>
      </c>
      <c r="AN377" s="43">
        <f>'D4 Gallon Forecast'!AN363</f>
        <v>0</v>
      </c>
      <c r="AO377" s="43">
        <f>'D4 Gallon Forecast'!AO363</f>
        <v>0</v>
      </c>
      <c r="AP377" s="43">
        <f>'D4 Gallon Forecast'!AP363</f>
        <v>0</v>
      </c>
      <c r="AQ377" s="43"/>
    </row>
    <row r="378" spans="1:43">
      <c r="A378" s="40" t="s">
        <v>50</v>
      </c>
      <c r="B378" s="42">
        <f>'Monthly D4 RIN Data'!$AF11</f>
        <v>0</v>
      </c>
      <c r="C378" s="42">
        <f>'Monthly D4 RIN Data'!$AF23</f>
        <v>0</v>
      </c>
      <c r="D378" s="42">
        <f>'Monthly D4 RIN Data'!$AF35</f>
        <v>0</v>
      </c>
      <c r="E378" s="42">
        <f>'Monthly D4 RIN Data'!$AF47</f>
        <v>0</v>
      </c>
      <c r="F378" s="42">
        <f>'Monthly D4 RIN Data'!$AF59</f>
        <v>0</v>
      </c>
      <c r="G378" s="42">
        <f>'Monthly D4 RIN Data'!$AF71</f>
        <v>0</v>
      </c>
      <c r="H378" s="42">
        <f>'Monthly D4 RIN Data'!$AF83</f>
        <v>0</v>
      </c>
      <c r="I378" s="42">
        <f>'Monthly D4 RIN Data'!$AF95</f>
        <v>0</v>
      </c>
      <c r="J378" s="42">
        <f>'Monthly D4 RIN Data'!$AF107</f>
        <v>0</v>
      </c>
      <c r="K378" s="42">
        <v>0</v>
      </c>
      <c r="L378" s="42">
        <f>'Monthly D4 RIN Data'!$AF131</f>
        <v>0</v>
      </c>
      <c r="M378" s="42">
        <f>'Monthly D4 RIN Data'!$AF143</f>
        <v>0</v>
      </c>
      <c r="N378" s="42">
        <f>'Monthly D4 RIN Data'!$AF155</f>
        <v>0</v>
      </c>
      <c r="O378" s="42">
        <f>'Monthly D4 RIN Data'!$AF167</f>
        <v>0</v>
      </c>
      <c r="P378" s="42">
        <f>'Monthly D4 RIN Data'!$AF179</f>
        <v>0</v>
      </c>
      <c r="Q378" s="43">
        <f>'D4 Gallon Forecast'!Q364</f>
        <v>0</v>
      </c>
      <c r="R378" s="43">
        <f>'D4 Gallon Forecast'!R364</f>
        <v>0</v>
      </c>
      <c r="S378" s="43">
        <f>'D4 Gallon Forecast'!S364</f>
        <v>0</v>
      </c>
      <c r="T378" s="43">
        <f>'D4 Gallon Forecast'!T364</f>
        <v>0</v>
      </c>
      <c r="U378" s="43">
        <f>'D4 Gallon Forecast'!U364</f>
        <v>0</v>
      </c>
      <c r="V378" s="43">
        <f>'D4 Gallon Forecast'!V364</f>
        <v>0</v>
      </c>
      <c r="W378" s="43">
        <f>'D4 Gallon Forecast'!W364</f>
        <v>0</v>
      </c>
      <c r="X378" s="43">
        <f>'D4 Gallon Forecast'!X364</f>
        <v>0</v>
      </c>
      <c r="Y378" s="43">
        <f>'D4 Gallon Forecast'!Y364</f>
        <v>0</v>
      </c>
      <c r="Z378" s="43">
        <f>'D4 Gallon Forecast'!Z364</f>
        <v>0</v>
      </c>
      <c r="AA378" s="43">
        <f>'D4 Gallon Forecast'!AA364</f>
        <v>0</v>
      </c>
      <c r="AB378" s="43">
        <f>'D4 Gallon Forecast'!AB364</f>
        <v>0</v>
      </c>
      <c r="AC378" s="43">
        <f>'D4 Gallon Forecast'!AC364</f>
        <v>0</v>
      </c>
      <c r="AD378" s="43">
        <f>'D4 Gallon Forecast'!AD364</f>
        <v>0</v>
      </c>
      <c r="AE378" s="43">
        <f>'D4 Gallon Forecast'!AE364</f>
        <v>0</v>
      </c>
      <c r="AF378" s="43">
        <f>'D4 Gallon Forecast'!AF364</f>
        <v>0</v>
      </c>
      <c r="AG378" s="43">
        <f>'D4 Gallon Forecast'!AG364</f>
        <v>0</v>
      </c>
      <c r="AH378" s="43">
        <f>'D4 Gallon Forecast'!AH364</f>
        <v>0</v>
      </c>
      <c r="AI378" s="43">
        <f>'D4 Gallon Forecast'!AI364</f>
        <v>0</v>
      </c>
      <c r="AJ378" s="43">
        <f>'D4 Gallon Forecast'!AJ364</f>
        <v>0</v>
      </c>
      <c r="AK378" s="43">
        <f>'D4 Gallon Forecast'!AK364</f>
        <v>0</v>
      </c>
      <c r="AL378" s="43">
        <f>'D4 Gallon Forecast'!AL364</f>
        <v>0</v>
      </c>
      <c r="AM378" s="43">
        <f>'D4 Gallon Forecast'!AM364</f>
        <v>0</v>
      </c>
      <c r="AN378" s="43">
        <f>'D4 Gallon Forecast'!AN364</f>
        <v>0</v>
      </c>
      <c r="AO378" s="43">
        <f>'D4 Gallon Forecast'!AO364</f>
        <v>0</v>
      </c>
      <c r="AP378" s="43">
        <f>'D4 Gallon Forecast'!AP364</f>
        <v>0</v>
      </c>
      <c r="AQ378" s="43"/>
    </row>
    <row r="379" spans="1:43">
      <c r="A379" s="40" t="s">
        <v>51</v>
      </c>
      <c r="B379" s="42">
        <f>'Monthly D4 RIN Data'!$AF12</f>
        <v>0</v>
      </c>
      <c r="C379" s="42">
        <f>'Monthly D4 RIN Data'!$AF24</f>
        <v>0</v>
      </c>
      <c r="D379" s="42">
        <f>'Monthly D4 RIN Data'!$AF36</f>
        <v>0</v>
      </c>
      <c r="E379" s="42">
        <f>'Monthly D4 RIN Data'!$AF48</f>
        <v>0</v>
      </c>
      <c r="F379" s="42">
        <f>'Monthly D4 RIN Data'!$AF60</f>
        <v>0</v>
      </c>
      <c r="G379" s="42">
        <f>'Monthly D4 RIN Data'!$AF72</f>
        <v>0</v>
      </c>
      <c r="H379" s="42">
        <f>'Monthly D4 RIN Data'!$AF84</f>
        <v>0</v>
      </c>
      <c r="I379" s="42">
        <f>'Monthly D4 RIN Data'!$AF96</f>
        <v>0</v>
      </c>
      <c r="J379" s="42">
        <f>'Monthly D4 RIN Data'!$AF108</f>
        <v>0</v>
      </c>
      <c r="K379" s="42">
        <v>0</v>
      </c>
      <c r="L379" s="42">
        <f>'Monthly D4 RIN Data'!$AF132</f>
        <v>0</v>
      </c>
      <c r="M379" s="42">
        <f>'Monthly D4 RIN Data'!$AF144</f>
        <v>0</v>
      </c>
      <c r="N379" s="42">
        <f>'Monthly D4 RIN Data'!$AF156</f>
        <v>0</v>
      </c>
      <c r="O379" s="42">
        <f>'Monthly D4 RIN Data'!$AF168</f>
        <v>0</v>
      </c>
      <c r="P379" s="42">
        <f>'Monthly D4 RIN Data'!$AF180</f>
        <v>0</v>
      </c>
      <c r="Q379" s="43">
        <f>'D4 Gallon Forecast'!Q365</f>
        <v>0</v>
      </c>
      <c r="R379" s="43">
        <f>'D4 Gallon Forecast'!R365</f>
        <v>0</v>
      </c>
      <c r="S379" s="43">
        <f>'D4 Gallon Forecast'!S365</f>
        <v>0</v>
      </c>
      <c r="T379" s="43">
        <f>'D4 Gallon Forecast'!T365</f>
        <v>0</v>
      </c>
      <c r="U379" s="43">
        <f>'D4 Gallon Forecast'!U365</f>
        <v>0</v>
      </c>
      <c r="V379" s="43">
        <f>'D4 Gallon Forecast'!V365</f>
        <v>0</v>
      </c>
      <c r="W379" s="43">
        <f>'D4 Gallon Forecast'!W365</f>
        <v>0</v>
      </c>
      <c r="X379" s="43">
        <f>'D4 Gallon Forecast'!X365</f>
        <v>0</v>
      </c>
      <c r="Y379" s="43">
        <f>'D4 Gallon Forecast'!Y365</f>
        <v>0</v>
      </c>
      <c r="Z379" s="43">
        <f>'D4 Gallon Forecast'!Z365</f>
        <v>0</v>
      </c>
      <c r="AA379" s="43">
        <f>'D4 Gallon Forecast'!AA365</f>
        <v>0</v>
      </c>
      <c r="AB379" s="43">
        <f>'D4 Gallon Forecast'!AB365</f>
        <v>0</v>
      </c>
      <c r="AC379" s="43">
        <f>'D4 Gallon Forecast'!AC365</f>
        <v>0</v>
      </c>
      <c r="AD379" s="43">
        <f>'D4 Gallon Forecast'!AD365</f>
        <v>0</v>
      </c>
      <c r="AE379" s="43">
        <f>'D4 Gallon Forecast'!AE365</f>
        <v>0</v>
      </c>
      <c r="AF379" s="43">
        <f>'D4 Gallon Forecast'!AF365</f>
        <v>0</v>
      </c>
      <c r="AG379" s="43">
        <f>'D4 Gallon Forecast'!AG365</f>
        <v>0</v>
      </c>
      <c r="AH379" s="43">
        <f>'D4 Gallon Forecast'!AH365</f>
        <v>0</v>
      </c>
      <c r="AI379" s="43">
        <f>'D4 Gallon Forecast'!AI365</f>
        <v>0</v>
      </c>
      <c r="AJ379" s="43">
        <f>'D4 Gallon Forecast'!AJ365</f>
        <v>0</v>
      </c>
      <c r="AK379" s="43">
        <f>'D4 Gallon Forecast'!AK365</f>
        <v>0</v>
      </c>
      <c r="AL379" s="43">
        <f>'D4 Gallon Forecast'!AL365</f>
        <v>0</v>
      </c>
      <c r="AM379" s="43">
        <f>'D4 Gallon Forecast'!AM365</f>
        <v>0</v>
      </c>
      <c r="AN379" s="43">
        <f>'D4 Gallon Forecast'!AN365</f>
        <v>0</v>
      </c>
      <c r="AO379" s="43">
        <f>'D4 Gallon Forecast'!AO365</f>
        <v>0</v>
      </c>
      <c r="AP379" s="43">
        <f>'D4 Gallon Forecast'!AP365</f>
        <v>0</v>
      </c>
      <c r="AQ379" s="43"/>
    </row>
    <row r="380" spans="1:43">
      <c r="A380" s="40" t="s">
        <v>52</v>
      </c>
      <c r="B380" s="42">
        <f>'Monthly D4 RIN Data'!$AF13</f>
        <v>0</v>
      </c>
      <c r="C380" s="42">
        <f>'Monthly D4 RIN Data'!$AF25</f>
        <v>0</v>
      </c>
      <c r="D380" s="42">
        <f>'Monthly D4 RIN Data'!$AF37</f>
        <v>0</v>
      </c>
      <c r="E380" s="42">
        <f>'Monthly D4 RIN Data'!$AF49</f>
        <v>0</v>
      </c>
      <c r="F380" s="42">
        <f>'Monthly D4 RIN Data'!$AF61</f>
        <v>0</v>
      </c>
      <c r="G380" s="42">
        <f>'Monthly D4 RIN Data'!$AF73</f>
        <v>0</v>
      </c>
      <c r="H380" s="42">
        <f>'Monthly D4 RIN Data'!$AF85</f>
        <v>0</v>
      </c>
      <c r="I380" s="42">
        <f>'Monthly D4 RIN Data'!$AF97</f>
        <v>0</v>
      </c>
      <c r="J380" s="42">
        <f>'Monthly D4 RIN Data'!$AF109</f>
        <v>0</v>
      </c>
      <c r="K380" s="42">
        <v>0</v>
      </c>
      <c r="L380" s="42">
        <f>'Monthly D4 RIN Data'!$AF133</f>
        <v>0</v>
      </c>
      <c r="M380" s="42">
        <f>'Monthly D4 RIN Data'!$AF145</f>
        <v>0</v>
      </c>
      <c r="N380" s="42">
        <f>'Monthly D4 RIN Data'!$AF157</f>
        <v>0</v>
      </c>
      <c r="O380" s="42">
        <f>'Monthly D4 RIN Data'!$AF169</f>
        <v>0</v>
      </c>
      <c r="P380" s="42">
        <f>'Monthly D4 RIN Data'!$AF181</f>
        <v>0</v>
      </c>
      <c r="Q380" s="43">
        <f>'D4 Gallon Forecast'!Q366</f>
        <v>0</v>
      </c>
      <c r="R380" s="43">
        <f>'D4 Gallon Forecast'!R366</f>
        <v>0</v>
      </c>
      <c r="S380" s="43">
        <f>'D4 Gallon Forecast'!S366</f>
        <v>0</v>
      </c>
      <c r="T380" s="43">
        <f>'D4 Gallon Forecast'!T366</f>
        <v>0</v>
      </c>
      <c r="U380" s="43">
        <f>'D4 Gallon Forecast'!U366</f>
        <v>0</v>
      </c>
      <c r="V380" s="43">
        <f>'D4 Gallon Forecast'!V366</f>
        <v>0</v>
      </c>
      <c r="W380" s="43">
        <f>'D4 Gallon Forecast'!W366</f>
        <v>0</v>
      </c>
      <c r="X380" s="43">
        <f>'D4 Gallon Forecast'!X366</f>
        <v>0</v>
      </c>
      <c r="Y380" s="43">
        <f>'D4 Gallon Forecast'!Y366</f>
        <v>0</v>
      </c>
      <c r="Z380" s="43">
        <f>'D4 Gallon Forecast'!Z366</f>
        <v>0</v>
      </c>
      <c r="AA380" s="43">
        <f>'D4 Gallon Forecast'!AA366</f>
        <v>0</v>
      </c>
      <c r="AB380" s="43">
        <f>'D4 Gallon Forecast'!AB366</f>
        <v>0</v>
      </c>
      <c r="AC380" s="43">
        <f>'D4 Gallon Forecast'!AC366</f>
        <v>0</v>
      </c>
      <c r="AD380" s="43">
        <f>'D4 Gallon Forecast'!AD366</f>
        <v>0</v>
      </c>
      <c r="AE380" s="43">
        <f>'D4 Gallon Forecast'!AE366</f>
        <v>0</v>
      </c>
      <c r="AF380" s="43">
        <f>'D4 Gallon Forecast'!AF366</f>
        <v>0</v>
      </c>
      <c r="AG380" s="43">
        <f>'D4 Gallon Forecast'!AG366</f>
        <v>0</v>
      </c>
      <c r="AH380" s="43">
        <f>'D4 Gallon Forecast'!AH366</f>
        <v>0</v>
      </c>
      <c r="AI380" s="43">
        <f>'D4 Gallon Forecast'!AI366</f>
        <v>0</v>
      </c>
      <c r="AJ380" s="43">
        <f>'D4 Gallon Forecast'!AJ366</f>
        <v>0</v>
      </c>
      <c r="AK380" s="43">
        <f>'D4 Gallon Forecast'!AK366</f>
        <v>0</v>
      </c>
      <c r="AL380" s="43">
        <f>'D4 Gallon Forecast'!AL366</f>
        <v>0</v>
      </c>
      <c r="AM380" s="43">
        <f>'D4 Gallon Forecast'!AM366</f>
        <v>0</v>
      </c>
      <c r="AN380" s="43">
        <f>'D4 Gallon Forecast'!AN366</f>
        <v>0</v>
      </c>
      <c r="AO380" s="43">
        <f>'D4 Gallon Forecast'!AO366</f>
        <v>0</v>
      </c>
      <c r="AP380" s="43">
        <f>'D4 Gallon Forecast'!AP366</f>
        <v>0</v>
      </c>
      <c r="AQ380" s="43"/>
    </row>
    <row r="381" spans="1:43">
      <c r="A381" s="40" t="s">
        <v>53</v>
      </c>
      <c r="B381" s="42">
        <f>'Monthly D4 RIN Data'!$AF14</f>
        <v>0</v>
      </c>
      <c r="C381" s="42">
        <f>'Monthly D4 RIN Data'!$AF26</f>
        <v>0</v>
      </c>
      <c r="D381" s="42">
        <f>'Monthly D4 RIN Data'!$AF38</f>
        <v>0</v>
      </c>
      <c r="E381" s="42">
        <f>'Monthly D4 RIN Data'!$AF50</f>
        <v>0</v>
      </c>
      <c r="F381" s="42">
        <f>'Monthly D4 RIN Data'!$AF62</f>
        <v>0</v>
      </c>
      <c r="G381" s="42">
        <f>'Monthly D4 RIN Data'!$AF74</f>
        <v>0</v>
      </c>
      <c r="H381" s="42">
        <f>'Monthly D4 RIN Data'!$AF86</f>
        <v>0</v>
      </c>
      <c r="I381" s="42">
        <f>'Monthly D4 RIN Data'!$AF98</f>
        <v>0</v>
      </c>
      <c r="J381" s="42">
        <f>'Monthly D4 RIN Data'!$AF110</f>
        <v>0</v>
      </c>
      <c r="K381" s="42">
        <v>0</v>
      </c>
      <c r="L381" s="42">
        <f>'Monthly D4 RIN Data'!$AF134</f>
        <v>0</v>
      </c>
      <c r="M381" s="42">
        <f>'Monthly D4 RIN Data'!$AF146</f>
        <v>0</v>
      </c>
      <c r="N381" s="42">
        <f>'Monthly D4 RIN Data'!$AF158</f>
        <v>0</v>
      </c>
      <c r="O381" s="42">
        <f>'Monthly D4 RIN Data'!$AF170</f>
        <v>0</v>
      </c>
      <c r="P381" s="42">
        <f>'Monthly D4 RIN Data'!$AF182</f>
        <v>0</v>
      </c>
      <c r="Q381" s="43">
        <f>'D4 Gallon Forecast'!Q367</f>
        <v>0</v>
      </c>
      <c r="R381" s="43">
        <f>'D4 Gallon Forecast'!R367</f>
        <v>0</v>
      </c>
      <c r="S381" s="43">
        <f>'D4 Gallon Forecast'!S367</f>
        <v>0</v>
      </c>
      <c r="T381" s="43">
        <f>'D4 Gallon Forecast'!T367</f>
        <v>0</v>
      </c>
      <c r="U381" s="43">
        <f>'D4 Gallon Forecast'!U367</f>
        <v>0</v>
      </c>
      <c r="V381" s="43">
        <f>'D4 Gallon Forecast'!V367</f>
        <v>0</v>
      </c>
      <c r="W381" s="43">
        <f>'D4 Gallon Forecast'!W367</f>
        <v>0</v>
      </c>
      <c r="X381" s="43">
        <f>'D4 Gallon Forecast'!X367</f>
        <v>0</v>
      </c>
      <c r="Y381" s="43">
        <f>'D4 Gallon Forecast'!Y367</f>
        <v>0</v>
      </c>
      <c r="Z381" s="43">
        <f>'D4 Gallon Forecast'!Z367</f>
        <v>0</v>
      </c>
      <c r="AA381" s="43">
        <f>'D4 Gallon Forecast'!AA367</f>
        <v>0</v>
      </c>
      <c r="AB381" s="43">
        <f>'D4 Gallon Forecast'!AB367</f>
        <v>0</v>
      </c>
      <c r="AC381" s="43">
        <f>'D4 Gallon Forecast'!AC367</f>
        <v>0</v>
      </c>
      <c r="AD381" s="43">
        <f>'D4 Gallon Forecast'!AD367</f>
        <v>0</v>
      </c>
      <c r="AE381" s="43">
        <f>'D4 Gallon Forecast'!AE367</f>
        <v>0</v>
      </c>
      <c r="AF381" s="43">
        <f>'D4 Gallon Forecast'!AF367</f>
        <v>0</v>
      </c>
      <c r="AG381" s="43">
        <f>'D4 Gallon Forecast'!AG367</f>
        <v>0</v>
      </c>
      <c r="AH381" s="43">
        <f>'D4 Gallon Forecast'!AH367</f>
        <v>0</v>
      </c>
      <c r="AI381" s="43">
        <f>'D4 Gallon Forecast'!AI367</f>
        <v>0</v>
      </c>
      <c r="AJ381" s="43">
        <f>'D4 Gallon Forecast'!AJ367</f>
        <v>0</v>
      </c>
      <c r="AK381" s="43">
        <f>'D4 Gallon Forecast'!AK367</f>
        <v>0</v>
      </c>
      <c r="AL381" s="43">
        <f>'D4 Gallon Forecast'!AL367</f>
        <v>0</v>
      </c>
      <c r="AM381" s="43">
        <f>'D4 Gallon Forecast'!AM367</f>
        <v>0</v>
      </c>
      <c r="AN381" s="43">
        <f>'D4 Gallon Forecast'!AN367</f>
        <v>0</v>
      </c>
      <c r="AO381" s="43">
        <f>'D4 Gallon Forecast'!AO367</f>
        <v>0</v>
      </c>
      <c r="AP381" s="43">
        <f>'D4 Gallon Forecast'!AP367</f>
        <v>0</v>
      </c>
      <c r="AQ381" s="43"/>
    </row>
    <row r="382" spans="1:43">
      <c r="A382" s="40" t="s">
        <v>54</v>
      </c>
      <c r="B382" s="42">
        <f>'Monthly D4 RIN Data'!$AF15</f>
        <v>0</v>
      </c>
      <c r="C382" s="42">
        <f>'Monthly D4 RIN Data'!$AF27</f>
        <v>0</v>
      </c>
      <c r="D382" s="42">
        <f>'Monthly D4 RIN Data'!$AF39</f>
        <v>0</v>
      </c>
      <c r="E382" s="42">
        <f>'Monthly D4 RIN Data'!$AF51</f>
        <v>0</v>
      </c>
      <c r="F382" s="42">
        <f>'Monthly D4 RIN Data'!$AF63</f>
        <v>0</v>
      </c>
      <c r="G382" s="42">
        <f>'Monthly D4 RIN Data'!$AF75</f>
        <v>0</v>
      </c>
      <c r="H382" s="42">
        <f>'Monthly D4 RIN Data'!$AF87</f>
        <v>0</v>
      </c>
      <c r="I382" s="42">
        <f>'Monthly D4 RIN Data'!$AF99</f>
        <v>0</v>
      </c>
      <c r="J382" s="42">
        <f>'Monthly D4 RIN Data'!$AF111</f>
        <v>0</v>
      </c>
      <c r="K382" s="42">
        <v>0</v>
      </c>
      <c r="L382" s="42">
        <f>'Monthly D4 RIN Data'!$AF135</f>
        <v>0</v>
      </c>
      <c r="M382" s="42">
        <f>'Monthly D4 RIN Data'!$AF147</f>
        <v>0</v>
      </c>
      <c r="N382" s="42">
        <f>'Monthly D4 RIN Data'!$AF159</f>
        <v>0</v>
      </c>
      <c r="O382" s="42">
        <f>'Monthly D4 RIN Data'!$AF171</f>
        <v>0</v>
      </c>
      <c r="P382" s="42">
        <f>'Monthly D4 RIN Data'!$AF183</f>
        <v>0</v>
      </c>
      <c r="Q382" s="43">
        <f>'D4 Gallon Forecast'!Q368</f>
        <v>0</v>
      </c>
      <c r="R382" s="43">
        <f>'D4 Gallon Forecast'!R368</f>
        <v>0</v>
      </c>
      <c r="S382" s="43">
        <f>'D4 Gallon Forecast'!S368</f>
        <v>0</v>
      </c>
      <c r="T382" s="43">
        <f>'D4 Gallon Forecast'!T368</f>
        <v>0</v>
      </c>
      <c r="U382" s="43">
        <f>'D4 Gallon Forecast'!U368</f>
        <v>0</v>
      </c>
      <c r="V382" s="43">
        <f>'D4 Gallon Forecast'!V368</f>
        <v>0</v>
      </c>
      <c r="W382" s="43">
        <f>'D4 Gallon Forecast'!W368</f>
        <v>0</v>
      </c>
      <c r="X382" s="43">
        <f>'D4 Gallon Forecast'!X368</f>
        <v>0</v>
      </c>
      <c r="Y382" s="43">
        <f>'D4 Gallon Forecast'!Y368</f>
        <v>0</v>
      </c>
      <c r="Z382" s="43">
        <f>'D4 Gallon Forecast'!Z368</f>
        <v>0</v>
      </c>
      <c r="AA382" s="43">
        <f>'D4 Gallon Forecast'!AA368</f>
        <v>0</v>
      </c>
      <c r="AB382" s="43">
        <f>'D4 Gallon Forecast'!AB368</f>
        <v>0</v>
      </c>
      <c r="AC382" s="43">
        <f>'D4 Gallon Forecast'!AC368</f>
        <v>0</v>
      </c>
      <c r="AD382" s="43">
        <f>'D4 Gallon Forecast'!AD368</f>
        <v>0</v>
      </c>
      <c r="AE382" s="43">
        <f>'D4 Gallon Forecast'!AE368</f>
        <v>0</v>
      </c>
      <c r="AF382" s="43">
        <f>'D4 Gallon Forecast'!AF368</f>
        <v>0</v>
      </c>
      <c r="AG382" s="43">
        <f>'D4 Gallon Forecast'!AG368</f>
        <v>0</v>
      </c>
      <c r="AH382" s="43">
        <f>'D4 Gallon Forecast'!AH368</f>
        <v>0</v>
      </c>
      <c r="AI382" s="43">
        <f>'D4 Gallon Forecast'!AI368</f>
        <v>0</v>
      </c>
      <c r="AJ382" s="43">
        <f>'D4 Gallon Forecast'!AJ368</f>
        <v>0</v>
      </c>
      <c r="AK382" s="43">
        <f>'D4 Gallon Forecast'!AK368</f>
        <v>0</v>
      </c>
      <c r="AL382" s="43">
        <f>'D4 Gallon Forecast'!AL368</f>
        <v>0</v>
      </c>
      <c r="AM382" s="43">
        <f>'D4 Gallon Forecast'!AM368</f>
        <v>0</v>
      </c>
      <c r="AN382" s="43">
        <f>'D4 Gallon Forecast'!AN368</f>
        <v>0</v>
      </c>
      <c r="AO382" s="43">
        <f>'D4 Gallon Forecast'!AO368</f>
        <v>0</v>
      </c>
      <c r="AP382" s="43">
        <f>'D4 Gallon Forecast'!AP368</f>
        <v>0</v>
      </c>
      <c r="AQ382" s="43"/>
    </row>
    <row r="383" spans="1:43">
      <c r="A383" s="40" t="s">
        <v>29</v>
      </c>
      <c r="B383" s="42">
        <f t="shared" ref="B383:AP383" si="113">SUM(B371:B382)</f>
        <v>0</v>
      </c>
      <c r="C383" s="42">
        <f t="shared" si="113"/>
        <v>0</v>
      </c>
      <c r="D383" s="42">
        <f t="shared" si="113"/>
        <v>0</v>
      </c>
      <c r="E383" s="42">
        <f t="shared" si="113"/>
        <v>0</v>
      </c>
      <c r="F383" s="42">
        <f t="shared" si="113"/>
        <v>0</v>
      </c>
      <c r="G383" s="42">
        <f t="shared" si="113"/>
        <v>0</v>
      </c>
      <c r="H383" s="42">
        <f t="shared" si="113"/>
        <v>0</v>
      </c>
      <c r="I383" s="42">
        <f t="shared" si="113"/>
        <v>0</v>
      </c>
      <c r="J383" s="42">
        <f t="shared" si="113"/>
        <v>0</v>
      </c>
      <c r="K383" s="42">
        <f t="shared" si="113"/>
        <v>0</v>
      </c>
      <c r="L383" s="42">
        <f t="shared" si="113"/>
        <v>0</v>
      </c>
      <c r="M383" s="42">
        <f t="shared" si="113"/>
        <v>0</v>
      </c>
      <c r="N383" s="42">
        <f t="shared" si="113"/>
        <v>0</v>
      </c>
      <c r="O383" s="42">
        <f t="shared" si="113"/>
        <v>0</v>
      </c>
      <c r="P383" s="42">
        <f t="shared" si="113"/>
        <v>0</v>
      </c>
      <c r="Q383" s="43">
        <f t="shared" si="113"/>
        <v>0</v>
      </c>
      <c r="R383" s="43">
        <f t="shared" si="113"/>
        <v>0</v>
      </c>
      <c r="S383" s="43">
        <f t="shared" si="113"/>
        <v>0</v>
      </c>
      <c r="T383" s="43">
        <f t="shared" si="113"/>
        <v>0</v>
      </c>
      <c r="U383" s="43">
        <f t="shared" si="113"/>
        <v>0</v>
      </c>
      <c r="V383" s="43">
        <f t="shared" si="113"/>
        <v>0</v>
      </c>
      <c r="W383" s="43">
        <f t="shared" si="113"/>
        <v>0</v>
      </c>
      <c r="X383" s="43">
        <f t="shared" si="113"/>
        <v>0</v>
      </c>
      <c r="Y383" s="43">
        <f t="shared" si="113"/>
        <v>0</v>
      </c>
      <c r="Z383" s="43">
        <f t="shared" si="113"/>
        <v>0</v>
      </c>
      <c r="AA383" s="43">
        <f t="shared" si="113"/>
        <v>0</v>
      </c>
      <c r="AB383" s="43">
        <f t="shared" si="113"/>
        <v>0</v>
      </c>
      <c r="AC383" s="43">
        <f t="shared" si="113"/>
        <v>0</v>
      </c>
      <c r="AD383" s="43">
        <f t="shared" si="113"/>
        <v>0</v>
      </c>
      <c r="AE383" s="43">
        <f t="shared" si="113"/>
        <v>0</v>
      </c>
      <c r="AF383" s="43">
        <f t="shared" si="113"/>
        <v>0</v>
      </c>
      <c r="AG383" s="43">
        <f t="shared" si="113"/>
        <v>0</v>
      </c>
      <c r="AH383" s="43">
        <f t="shared" si="113"/>
        <v>0</v>
      </c>
      <c r="AI383" s="43">
        <f t="shared" si="113"/>
        <v>0</v>
      </c>
      <c r="AJ383" s="43">
        <f t="shared" si="113"/>
        <v>0</v>
      </c>
      <c r="AK383" s="43">
        <f t="shared" si="113"/>
        <v>0</v>
      </c>
      <c r="AL383" s="43">
        <f t="shared" si="113"/>
        <v>0</v>
      </c>
      <c r="AM383" s="43">
        <f t="shared" si="113"/>
        <v>0</v>
      </c>
      <c r="AN383" s="43">
        <f t="shared" si="113"/>
        <v>0</v>
      </c>
      <c r="AO383" s="43">
        <f t="shared" si="113"/>
        <v>0</v>
      </c>
      <c r="AP383" s="43">
        <f t="shared" si="113"/>
        <v>0</v>
      </c>
      <c r="AQ383" s="43"/>
    </row>
    <row r="385" spans="1:43" ht="12" thickBot="1">
      <c r="A385" s="245" t="s">
        <v>398</v>
      </c>
    </row>
    <row r="386" spans="1:43" ht="12" thickBot="1">
      <c r="A386" s="270"/>
      <c r="B386" s="263">
        <v>2010</v>
      </c>
      <c r="C386" s="263">
        <v>2011</v>
      </c>
      <c r="D386" s="263">
        <v>2012</v>
      </c>
      <c r="E386" s="263">
        <v>2013</v>
      </c>
      <c r="F386" s="263">
        <v>2014</v>
      </c>
      <c r="G386" s="263">
        <v>2015</v>
      </c>
      <c r="H386" s="263">
        <v>2016</v>
      </c>
      <c r="I386" s="263">
        <v>2017</v>
      </c>
      <c r="J386" s="263">
        <v>2018</v>
      </c>
      <c r="K386" s="263">
        <v>2019</v>
      </c>
      <c r="L386" s="263">
        <v>2020</v>
      </c>
      <c r="M386" s="263">
        <v>2021</v>
      </c>
      <c r="N386" s="263">
        <v>2022</v>
      </c>
      <c r="O386" s="263">
        <v>2023</v>
      </c>
      <c r="P386" s="263">
        <v>2024</v>
      </c>
      <c r="Q386" s="263">
        <v>2025</v>
      </c>
      <c r="R386" s="263">
        <v>2026</v>
      </c>
      <c r="S386" s="263">
        <v>2027</v>
      </c>
      <c r="T386" s="263">
        <v>2028</v>
      </c>
      <c r="U386" s="263">
        <v>2029</v>
      </c>
      <c r="V386" s="263">
        <v>2030</v>
      </c>
      <c r="W386" s="263">
        <v>2030</v>
      </c>
      <c r="X386" s="263">
        <v>2030</v>
      </c>
      <c r="Y386" s="263">
        <v>2030</v>
      </c>
      <c r="Z386" s="263">
        <v>2030</v>
      </c>
      <c r="AA386" s="263">
        <v>2030</v>
      </c>
      <c r="AB386" s="263">
        <v>2030</v>
      </c>
      <c r="AC386" s="263">
        <v>2030</v>
      </c>
      <c r="AD386" s="263">
        <v>2030</v>
      </c>
      <c r="AE386" s="263">
        <v>2030</v>
      </c>
      <c r="AF386" s="263">
        <v>2030</v>
      </c>
      <c r="AG386" s="263">
        <v>2030</v>
      </c>
      <c r="AH386" s="263">
        <v>2030</v>
      </c>
      <c r="AI386" s="263">
        <v>2030</v>
      </c>
      <c r="AJ386" s="263">
        <v>2030</v>
      </c>
      <c r="AK386" s="263">
        <v>2030</v>
      </c>
      <c r="AL386" s="263">
        <v>2030</v>
      </c>
      <c r="AM386" s="263">
        <v>2030</v>
      </c>
      <c r="AN386" s="263">
        <v>2030</v>
      </c>
      <c r="AO386" s="263">
        <v>2030</v>
      </c>
      <c r="AP386" s="263">
        <v>2030</v>
      </c>
      <c r="AQ386" s="245"/>
    </row>
    <row r="387" spans="1:43">
      <c r="A387" s="40" t="s">
        <v>43</v>
      </c>
      <c r="B387" s="42">
        <f>'Monthly D4 RIN Data'!$K4</f>
        <v>0</v>
      </c>
      <c r="C387" s="42">
        <f>'Monthly D4 RIN Data'!$K16</f>
        <v>0</v>
      </c>
      <c r="D387" s="42">
        <f>'Monthly D4 RIN Data'!$K28</f>
        <v>0</v>
      </c>
      <c r="E387" s="42">
        <f>'Monthly D4 RIN Data'!$K40</f>
        <v>0</v>
      </c>
      <c r="F387" s="42">
        <f>'Monthly D4 RIN Data'!$K52</f>
        <v>0</v>
      </c>
      <c r="G387" s="42">
        <f>'Monthly D4 RIN Data'!$K64</f>
        <v>0</v>
      </c>
      <c r="H387" s="42">
        <f>'Monthly D4 RIN Data'!$K76</f>
        <v>0</v>
      </c>
      <c r="I387" s="42">
        <f>'Monthly D4 RIN Data'!$K88</f>
        <v>0</v>
      </c>
      <c r="J387" s="42">
        <f>'Monthly D4 RIN Data'!$K100</f>
        <v>0</v>
      </c>
      <c r="K387" s="42">
        <f>'Monthly D4 RIN Data'!$K112</f>
        <v>0</v>
      </c>
      <c r="L387" s="42">
        <f>'Monthly D4 RIN Data'!$K124</f>
        <v>0</v>
      </c>
      <c r="M387" s="42">
        <f>'Monthly D4 RIN Data'!$K136</f>
        <v>0</v>
      </c>
      <c r="N387" s="42">
        <f>'Monthly D4 RIN Data'!$K148</f>
        <v>0</v>
      </c>
      <c r="O387" s="42">
        <f>'Monthly D4 RIN Data'!$K160</f>
        <v>0</v>
      </c>
      <c r="P387" s="42">
        <f>'Monthly D4 RIN Data'!$K172</f>
        <v>0</v>
      </c>
      <c r="Q387" s="42">
        <f>'Monthly D4 RIN Data'!$K184</f>
        <v>0</v>
      </c>
      <c r="R387" s="43">
        <v>0</v>
      </c>
      <c r="S387" s="43">
        <v>0</v>
      </c>
      <c r="T387" s="43">
        <v>0</v>
      </c>
      <c r="U387" s="43">
        <v>0</v>
      </c>
      <c r="V387" s="43">
        <v>0</v>
      </c>
      <c r="W387" s="43">
        <v>0</v>
      </c>
      <c r="X387" s="43">
        <v>0</v>
      </c>
      <c r="Y387" s="43">
        <v>0</v>
      </c>
      <c r="Z387" s="43">
        <v>0</v>
      </c>
      <c r="AA387" s="43">
        <v>0</v>
      </c>
      <c r="AB387" s="43">
        <v>0</v>
      </c>
      <c r="AC387" s="43">
        <v>0</v>
      </c>
      <c r="AD387" s="43">
        <v>0</v>
      </c>
      <c r="AE387" s="43">
        <v>0</v>
      </c>
      <c r="AF387" s="43">
        <v>0</v>
      </c>
      <c r="AG387" s="43">
        <v>0</v>
      </c>
      <c r="AH387" s="43">
        <v>0</v>
      </c>
      <c r="AI387" s="43">
        <v>0</v>
      </c>
      <c r="AJ387" s="43">
        <v>0</v>
      </c>
      <c r="AK387" s="43">
        <v>0</v>
      </c>
      <c r="AL387" s="43">
        <v>0</v>
      </c>
      <c r="AM387" s="43">
        <v>0</v>
      </c>
      <c r="AN387" s="43">
        <v>0</v>
      </c>
      <c r="AO387" s="43">
        <v>0</v>
      </c>
      <c r="AP387" s="43">
        <v>0</v>
      </c>
      <c r="AQ387" s="43"/>
    </row>
    <row r="388" spans="1:43">
      <c r="A388" s="40" t="s">
        <v>44</v>
      </c>
      <c r="B388" s="42">
        <f>'Monthly D4 RIN Data'!$K5</f>
        <v>0</v>
      </c>
      <c r="C388" s="42">
        <f>'Monthly D4 RIN Data'!$K17</f>
        <v>0</v>
      </c>
      <c r="D388" s="42">
        <f>'Monthly D4 RIN Data'!$K29</f>
        <v>0</v>
      </c>
      <c r="E388" s="42">
        <f>'Monthly D4 RIN Data'!$K41</f>
        <v>0</v>
      </c>
      <c r="F388" s="42">
        <f>'Monthly D4 RIN Data'!$K53</f>
        <v>0</v>
      </c>
      <c r="G388" s="42">
        <f>'Monthly D4 RIN Data'!$K65</f>
        <v>0</v>
      </c>
      <c r="H388" s="42">
        <f>'Monthly D4 RIN Data'!$K77</f>
        <v>0</v>
      </c>
      <c r="I388" s="42">
        <f>'Monthly D4 RIN Data'!$K89</f>
        <v>0</v>
      </c>
      <c r="J388" s="42">
        <f>'Monthly D4 RIN Data'!$K101</f>
        <v>0</v>
      </c>
      <c r="K388" s="42">
        <f>'Monthly D4 RIN Data'!$K113</f>
        <v>0</v>
      </c>
      <c r="L388" s="42">
        <f>'Monthly D4 RIN Data'!$K125</f>
        <v>0</v>
      </c>
      <c r="M388" s="42">
        <f>'Monthly D4 RIN Data'!$K137</f>
        <v>0</v>
      </c>
      <c r="N388" s="42">
        <f>'Monthly D4 RIN Data'!$K149</f>
        <v>0</v>
      </c>
      <c r="O388" s="42">
        <f>'Monthly D4 RIN Data'!$K161</f>
        <v>0</v>
      </c>
      <c r="P388" s="42">
        <f>'Monthly D4 RIN Data'!$K173</f>
        <v>0</v>
      </c>
      <c r="Q388" s="42">
        <f>'Monthly D4 RIN Data'!$K185</f>
        <v>0</v>
      </c>
      <c r="R388" s="43">
        <v>0</v>
      </c>
      <c r="S388" s="43">
        <v>0</v>
      </c>
      <c r="T388" s="43">
        <v>0</v>
      </c>
      <c r="U388" s="43">
        <v>0</v>
      </c>
      <c r="V388" s="43">
        <v>0</v>
      </c>
      <c r="W388" s="43">
        <v>0</v>
      </c>
      <c r="X388" s="43">
        <v>0</v>
      </c>
      <c r="Y388" s="43">
        <v>0</v>
      </c>
      <c r="Z388" s="43">
        <v>0</v>
      </c>
      <c r="AA388" s="43">
        <v>0</v>
      </c>
      <c r="AB388" s="43">
        <v>0</v>
      </c>
      <c r="AC388" s="43">
        <v>0</v>
      </c>
      <c r="AD388" s="43">
        <v>0</v>
      </c>
      <c r="AE388" s="43">
        <v>0</v>
      </c>
      <c r="AF388" s="43">
        <v>0</v>
      </c>
      <c r="AG388" s="43">
        <v>0</v>
      </c>
      <c r="AH388" s="43">
        <v>0</v>
      </c>
      <c r="AI388" s="43">
        <v>0</v>
      </c>
      <c r="AJ388" s="43">
        <v>0</v>
      </c>
      <c r="AK388" s="43">
        <v>0</v>
      </c>
      <c r="AL388" s="43">
        <v>0</v>
      </c>
      <c r="AM388" s="43">
        <v>0</v>
      </c>
      <c r="AN388" s="43">
        <v>0</v>
      </c>
      <c r="AO388" s="43">
        <v>0</v>
      </c>
      <c r="AP388" s="43">
        <v>0</v>
      </c>
      <c r="AQ388" s="43"/>
    </row>
    <row r="389" spans="1:43">
      <c r="A389" s="40" t="s">
        <v>45</v>
      </c>
      <c r="B389" s="42">
        <f>'Monthly D4 RIN Data'!$K6</f>
        <v>0</v>
      </c>
      <c r="C389" s="42">
        <f>'Monthly D4 RIN Data'!$K18</f>
        <v>0</v>
      </c>
      <c r="D389" s="42">
        <f>'Monthly D4 RIN Data'!$K30</f>
        <v>0</v>
      </c>
      <c r="E389" s="42">
        <f>'Monthly D4 RIN Data'!$K42</f>
        <v>0</v>
      </c>
      <c r="F389" s="42">
        <f>'Monthly D4 RIN Data'!$K54</f>
        <v>0</v>
      </c>
      <c r="G389" s="42">
        <f>'Monthly D4 RIN Data'!$K66</f>
        <v>0</v>
      </c>
      <c r="H389" s="42">
        <f>'Monthly D4 RIN Data'!$K78</f>
        <v>0</v>
      </c>
      <c r="I389" s="42">
        <f>'Monthly D4 RIN Data'!$K90</f>
        <v>0</v>
      </c>
      <c r="J389" s="42">
        <f>'Monthly D4 RIN Data'!$K102</f>
        <v>0</v>
      </c>
      <c r="K389" s="42">
        <f>'Monthly D4 RIN Data'!$K114</f>
        <v>0</v>
      </c>
      <c r="L389" s="42">
        <f>'Monthly D4 RIN Data'!$K126</f>
        <v>0</v>
      </c>
      <c r="M389" s="42">
        <f>'Monthly D4 RIN Data'!$K138</f>
        <v>0</v>
      </c>
      <c r="N389" s="42">
        <f>'Monthly D4 RIN Data'!$K150</f>
        <v>0</v>
      </c>
      <c r="O389" s="42">
        <f>'Monthly D4 RIN Data'!$K162</f>
        <v>0</v>
      </c>
      <c r="P389" s="42">
        <f>'Monthly D4 RIN Data'!$K174</f>
        <v>0</v>
      </c>
      <c r="Q389" s="42">
        <f>'Monthly D4 RIN Data'!$K186</f>
        <v>0</v>
      </c>
      <c r="R389" s="43">
        <v>0</v>
      </c>
      <c r="S389" s="43">
        <v>0</v>
      </c>
      <c r="T389" s="43">
        <v>0</v>
      </c>
      <c r="U389" s="43">
        <v>0</v>
      </c>
      <c r="V389" s="43">
        <v>0</v>
      </c>
      <c r="W389" s="43">
        <v>0</v>
      </c>
      <c r="X389" s="43">
        <v>0</v>
      </c>
      <c r="Y389" s="43">
        <v>0</v>
      </c>
      <c r="Z389" s="43">
        <v>0</v>
      </c>
      <c r="AA389" s="43">
        <v>0</v>
      </c>
      <c r="AB389" s="43">
        <v>0</v>
      </c>
      <c r="AC389" s="43">
        <v>0</v>
      </c>
      <c r="AD389" s="43">
        <v>0</v>
      </c>
      <c r="AE389" s="43">
        <v>0</v>
      </c>
      <c r="AF389" s="43">
        <v>0</v>
      </c>
      <c r="AG389" s="43">
        <v>0</v>
      </c>
      <c r="AH389" s="43">
        <v>0</v>
      </c>
      <c r="AI389" s="43">
        <v>0</v>
      </c>
      <c r="AJ389" s="43">
        <v>0</v>
      </c>
      <c r="AK389" s="43">
        <v>0</v>
      </c>
      <c r="AL389" s="43">
        <v>0</v>
      </c>
      <c r="AM389" s="43">
        <v>0</v>
      </c>
      <c r="AN389" s="43">
        <v>0</v>
      </c>
      <c r="AO389" s="43">
        <v>0</v>
      </c>
      <c r="AP389" s="43">
        <v>0</v>
      </c>
      <c r="AQ389" s="43"/>
    </row>
    <row r="390" spans="1:43">
      <c r="A390" s="40" t="s">
        <v>46</v>
      </c>
      <c r="B390" s="42">
        <f>'Monthly D4 RIN Data'!$K7</f>
        <v>0</v>
      </c>
      <c r="C390" s="42">
        <f>'Monthly D4 RIN Data'!$K19</f>
        <v>0</v>
      </c>
      <c r="D390" s="42">
        <f>'Monthly D4 RIN Data'!$K31</f>
        <v>0</v>
      </c>
      <c r="E390" s="42">
        <f>'Monthly D4 RIN Data'!$K43</f>
        <v>0</v>
      </c>
      <c r="F390" s="42">
        <f>'Monthly D4 RIN Data'!$K55</f>
        <v>0</v>
      </c>
      <c r="G390" s="42">
        <f>'Monthly D4 RIN Data'!$K67</f>
        <v>0</v>
      </c>
      <c r="H390" s="42">
        <f>'Monthly D4 RIN Data'!$K79</f>
        <v>0</v>
      </c>
      <c r="I390" s="42">
        <f>'Monthly D4 RIN Data'!$K91</f>
        <v>0</v>
      </c>
      <c r="J390" s="42">
        <f>'Monthly D4 RIN Data'!$K103</f>
        <v>0</v>
      </c>
      <c r="K390" s="42">
        <f>'Monthly D4 RIN Data'!$K115</f>
        <v>0</v>
      </c>
      <c r="L390" s="42">
        <f>'Monthly D4 RIN Data'!$K127</f>
        <v>0</v>
      </c>
      <c r="M390" s="42">
        <f>'Monthly D4 RIN Data'!$K139</f>
        <v>0</v>
      </c>
      <c r="N390" s="42">
        <f>'Monthly D4 RIN Data'!$K151</f>
        <v>0</v>
      </c>
      <c r="O390" s="42">
        <f>'Monthly D4 RIN Data'!$K163</f>
        <v>0</v>
      </c>
      <c r="P390" s="42">
        <f>'Monthly D4 RIN Data'!$K175</f>
        <v>0</v>
      </c>
      <c r="Q390" s="43">
        <v>0</v>
      </c>
      <c r="R390" s="43">
        <v>0</v>
      </c>
      <c r="S390" s="43">
        <v>0</v>
      </c>
      <c r="T390" s="43">
        <v>0</v>
      </c>
      <c r="U390" s="43">
        <v>0</v>
      </c>
      <c r="V390" s="43">
        <v>0</v>
      </c>
      <c r="W390" s="43">
        <v>0</v>
      </c>
      <c r="X390" s="43">
        <v>0</v>
      </c>
      <c r="Y390" s="43">
        <v>0</v>
      </c>
      <c r="Z390" s="43">
        <v>0</v>
      </c>
      <c r="AA390" s="43">
        <v>0</v>
      </c>
      <c r="AB390" s="43">
        <v>0</v>
      </c>
      <c r="AC390" s="43">
        <v>0</v>
      </c>
      <c r="AD390" s="43">
        <v>0</v>
      </c>
      <c r="AE390" s="43">
        <v>0</v>
      </c>
      <c r="AF390" s="43">
        <v>0</v>
      </c>
      <c r="AG390" s="43">
        <v>0</v>
      </c>
      <c r="AH390" s="43">
        <v>0</v>
      </c>
      <c r="AI390" s="43">
        <v>0</v>
      </c>
      <c r="AJ390" s="43">
        <v>0</v>
      </c>
      <c r="AK390" s="43">
        <v>0</v>
      </c>
      <c r="AL390" s="43">
        <v>0</v>
      </c>
      <c r="AM390" s="43">
        <v>0</v>
      </c>
      <c r="AN390" s="43">
        <v>0</v>
      </c>
      <c r="AO390" s="43">
        <v>0</v>
      </c>
      <c r="AP390" s="43">
        <v>0</v>
      </c>
      <c r="AQ390" s="43"/>
    </row>
    <row r="391" spans="1:43">
      <c r="A391" s="40" t="s">
        <v>47</v>
      </c>
      <c r="B391" s="42">
        <f>'Monthly D4 RIN Data'!$K8</f>
        <v>0</v>
      </c>
      <c r="C391" s="42">
        <f>'Monthly D4 RIN Data'!$K20</f>
        <v>0</v>
      </c>
      <c r="D391" s="42">
        <f>'Monthly D4 RIN Data'!$K32</f>
        <v>0</v>
      </c>
      <c r="E391" s="42">
        <f>'Monthly D4 RIN Data'!$K44</f>
        <v>0</v>
      </c>
      <c r="F391" s="42">
        <f>'Monthly D4 RIN Data'!$K56</f>
        <v>0</v>
      </c>
      <c r="G391" s="42">
        <f>'Monthly D4 RIN Data'!$K68</f>
        <v>0</v>
      </c>
      <c r="H391" s="42">
        <f>'Monthly D4 RIN Data'!$K80</f>
        <v>0</v>
      </c>
      <c r="I391" s="42">
        <f>'Monthly D4 RIN Data'!$K92</f>
        <v>0</v>
      </c>
      <c r="J391" s="42">
        <f>'Monthly D4 RIN Data'!$K104</f>
        <v>0</v>
      </c>
      <c r="K391" s="42">
        <f>'Monthly D4 RIN Data'!$K116</f>
        <v>0</v>
      </c>
      <c r="L391" s="42">
        <f>'Monthly D4 RIN Data'!$K128</f>
        <v>0</v>
      </c>
      <c r="M391" s="42">
        <f>'Monthly D4 RIN Data'!$K140</f>
        <v>0</v>
      </c>
      <c r="N391" s="42">
        <f>'Monthly D4 RIN Data'!$K152</f>
        <v>0</v>
      </c>
      <c r="O391" s="42">
        <f>'Monthly D4 RIN Data'!$K164</f>
        <v>0</v>
      </c>
      <c r="P391" s="42">
        <f>'Monthly D4 RIN Data'!$K176</f>
        <v>0</v>
      </c>
      <c r="Q391" s="43">
        <v>0</v>
      </c>
      <c r="R391" s="43">
        <v>0</v>
      </c>
      <c r="S391" s="43">
        <v>0</v>
      </c>
      <c r="T391" s="43">
        <v>0</v>
      </c>
      <c r="U391" s="43">
        <v>0</v>
      </c>
      <c r="V391" s="43">
        <v>0</v>
      </c>
      <c r="W391" s="43">
        <v>0</v>
      </c>
      <c r="X391" s="43">
        <v>0</v>
      </c>
      <c r="Y391" s="43">
        <v>0</v>
      </c>
      <c r="Z391" s="43">
        <v>0</v>
      </c>
      <c r="AA391" s="43">
        <v>0</v>
      </c>
      <c r="AB391" s="43">
        <v>0</v>
      </c>
      <c r="AC391" s="43">
        <v>0</v>
      </c>
      <c r="AD391" s="43">
        <v>0</v>
      </c>
      <c r="AE391" s="43">
        <v>0</v>
      </c>
      <c r="AF391" s="43">
        <v>0</v>
      </c>
      <c r="AG391" s="43">
        <v>0</v>
      </c>
      <c r="AH391" s="43">
        <v>0</v>
      </c>
      <c r="AI391" s="43">
        <v>0</v>
      </c>
      <c r="AJ391" s="43">
        <v>0</v>
      </c>
      <c r="AK391" s="43">
        <v>0</v>
      </c>
      <c r="AL391" s="43">
        <v>0</v>
      </c>
      <c r="AM391" s="43">
        <v>0</v>
      </c>
      <c r="AN391" s="43">
        <v>0</v>
      </c>
      <c r="AO391" s="43">
        <v>0</v>
      </c>
      <c r="AP391" s="43">
        <v>0</v>
      </c>
      <c r="AQ391" s="43"/>
    </row>
    <row r="392" spans="1:43">
      <c r="A392" s="40" t="s">
        <v>48</v>
      </c>
      <c r="B392" s="42">
        <f>'Monthly D4 RIN Data'!$K9</f>
        <v>0</v>
      </c>
      <c r="C392" s="42">
        <f>'Monthly D4 RIN Data'!$K21</f>
        <v>0</v>
      </c>
      <c r="D392" s="42">
        <f>'Monthly D4 RIN Data'!$K33</f>
        <v>0</v>
      </c>
      <c r="E392" s="42">
        <f>'Monthly D4 RIN Data'!$K45</f>
        <v>0</v>
      </c>
      <c r="F392" s="42">
        <f>'Monthly D4 RIN Data'!$K57</f>
        <v>0</v>
      </c>
      <c r="G392" s="42">
        <f>'Monthly D4 RIN Data'!$K69</f>
        <v>0</v>
      </c>
      <c r="H392" s="42">
        <f>'Monthly D4 RIN Data'!$K81</f>
        <v>0</v>
      </c>
      <c r="I392" s="42">
        <f>'Monthly D4 RIN Data'!$K93</f>
        <v>0</v>
      </c>
      <c r="J392" s="42">
        <f>'Monthly D4 RIN Data'!$K105</f>
        <v>0</v>
      </c>
      <c r="K392" s="42">
        <f>'Monthly D4 RIN Data'!$K117</f>
        <v>0</v>
      </c>
      <c r="L392" s="42">
        <f>'Monthly D4 RIN Data'!$K129</f>
        <v>0</v>
      </c>
      <c r="M392" s="42">
        <f>'Monthly D4 RIN Data'!$K141</f>
        <v>0</v>
      </c>
      <c r="N392" s="42">
        <f>'Monthly D4 RIN Data'!$K153</f>
        <v>0</v>
      </c>
      <c r="O392" s="42">
        <f>'Monthly D4 RIN Data'!$K165</f>
        <v>0</v>
      </c>
      <c r="P392" s="42">
        <f>'Monthly D4 RIN Data'!$K177</f>
        <v>0</v>
      </c>
      <c r="Q392" s="43">
        <v>0</v>
      </c>
      <c r="R392" s="43">
        <v>0</v>
      </c>
      <c r="S392" s="43">
        <v>0</v>
      </c>
      <c r="T392" s="43">
        <v>0</v>
      </c>
      <c r="U392" s="43">
        <v>0</v>
      </c>
      <c r="V392" s="43">
        <v>0</v>
      </c>
      <c r="W392" s="43">
        <v>0</v>
      </c>
      <c r="X392" s="43">
        <v>0</v>
      </c>
      <c r="Y392" s="43">
        <v>0</v>
      </c>
      <c r="Z392" s="43">
        <v>0</v>
      </c>
      <c r="AA392" s="43">
        <v>0</v>
      </c>
      <c r="AB392" s="43">
        <v>0</v>
      </c>
      <c r="AC392" s="43">
        <v>0</v>
      </c>
      <c r="AD392" s="43">
        <v>0</v>
      </c>
      <c r="AE392" s="43">
        <v>0</v>
      </c>
      <c r="AF392" s="43">
        <v>0</v>
      </c>
      <c r="AG392" s="43">
        <v>0</v>
      </c>
      <c r="AH392" s="43">
        <v>0</v>
      </c>
      <c r="AI392" s="43">
        <v>0</v>
      </c>
      <c r="AJ392" s="43">
        <v>0</v>
      </c>
      <c r="AK392" s="43">
        <v>0</v>
      </c>
      <c r="AL392" s="43">
        <v>0</v>
      </c>
      <c r="AM392" s="43">
        <v>0</v>
      </c>
      <c r="AN392" s="43">
        <v>0</v>
      </c>
      <c r="AO392" s="43">
        <v>0</v>
      </c>
      <c r="AP392" s="43">
        <v>0</v>
      </c>
      <c r="AQ392" s="43"/>
    </row>
    <row r="393" spans="1:43">
      <c r="A393" s="40" t="s">
        <v>49</v>
      </c>
      <c r="B393" s="42">
        <f>'Monthly D4 RIN Data'!$K10</f>
        <v>0</v>
      </c>
      <c r="C393" s="42">
        <f>'Monthly D4 RIN Data'!$K22</f>
        <v>0</v>
      </c>
      <c r="D393" s="42">
        <f>'Monthly D4 RIN Data'!$K34</f>
        <v>0</v>
      </c>
      <c r="E393" s="42">
        <f>'Monthly D4 RIN Data'!$K46</f>
        <v>0</v>
      </c>
      <c r="F393" s="42">
        <f>'Monthly D4 RIN Data'!$K58</f>
        <v>0</v>
      </c>
      <c r="G393" s="42">
        <f>'Monthly D4 RIN Data'!$K70</f>
        <v>0</v>
      </c>
      <c r="H393" s="42">
        <f>'Monthly D4 RIN Data'!$K82</f>
        <v>0</v>
      </c>
      <c r="I393" s="42">
        <f>'Monthly D4 RIN Data'!$K94</f>
        <v>0</v>
      </c>
      <c r="J393" s="42">
        <f>'Monthly D4 RIN Data'!$K106</f>
        <v>0</v>
      </c>
      <c r="K393" s="42">
        <f>'Monthly D4 RIN Data'!$K118</f>
        <v>0</v>
      </c>
      <c r="L393" s="42">
        <f>'Monthly D4 RIN Data'!$K130</f>
        <v>0</v>
      </c>
      <c r="M393" s="42">
        <f>'Monthly D4 RIN Data'!$K142</f>
        <v>0</v>
      </c>
      <c r="N393" s="42">
        <f>'Monthly D4 RIN Data'!$K154</f>
        <v>0</v>
      </c>
      <c r="O393" s="42">
        <f>'Monthly D4 RIN Data'!$K166</f>
        <v>0</v>
      </c>
      <c r="P393" s="42">
        <f>'Monthly D4 RIN Data'!$K178</f>
        <v>0</v>
      </c>
      <c r="Q393" s="43">
        <v>0</v>
      </c>
      <c r="R393" s="43">
        <v>0</v>
      </c>
      <c r="S393" s="43">
        <v>0</v>
      </c>
      <c r="T393" s="43">
        <v>0</v>
      </c>
      <c r="U393" s="43">
        <v>0</v>
      </c>
      <c r="V393" s="43">
        <v>0</v>
      </c>
      <c r="W393" s="43">
        <v>0</v>
      </c>
      <c r="X393" s="43">
        <v>0</v>
      </c>
      <c r="Y393" s="43">
        <v>0</v>
      </c>
      <c r="Z393" s="43">
        <v>0</v>
      </c>
      <c r="AA393" s="43">
        <v>0</v>
      </c>
      <c r="AB393" s="43">
        <v>0</v>
      </c>
      <c r="AC393" s="43">
        <v>0</v>
      </c>
      <c r="AD393" s="43">
        <v>0</v>
      </c>
      <c r="AE393" s="43">
        <v>0</v>
      </c>
      <c r="AF393" s="43">
        <v>0</v>
      </c>
      <c r="AG393" s="43">
        <v>0</v>
      </c>
      <c r="AH393" s="43">
        <v>0</v>
      </c>
      <c r="AI393" s="43">
        <v>0</v>
      </c>
      <c r="AJ393" s="43">
        <v>0</v>
      </c>
      <c r="AK393" s="43">
        <v>0</v>
      </c>
      <c r="AL393" s="43">
        <v>0</v>
      </c>
      <c r="AM393" s="43">
        <v>0</v>
      </c>
      <c r="AN393" s="43">
        <v>0</v>
      </c>
      <c r="AO393" s="43">
        <v>0</v>
      </c>
      <c r="AP393" s="43">
        <v>0</v>
      </c>
      <c r="AQ393" s="43"/>
    </row>
    <row r="394" spans="1:43">
      <c r="A394" s="40" t="s">
        <v>50</v>
      </c>
      <c r="B394" s="42">
        <f>'Monthly D4 RIN Data'!$K11</f>
        <v>0</v>
      </c>
      <c r="C394" s="42">
        <f>'Monthly D4 RIN Data'!$K23</f>
        <v>0</v>
      </c>
      <c r="D394" s="42">
        <f>'Monthly D4 RIN Data'!$K35</f>
        <v>0</v>
      </c>
      <c r="E394" s="42">
        <f>'Monthly D4 RIN Data'!$K47</f>
        <v>0</v>
      </c>
      <c r="F394" s="42">
        <f>'Monthly D4 RIN Data'!$K59</f>
        <v>0</v>
      </c>
      <c r="G394" s="42">
        <f>'Monthly D4 RIN Data'!$K71</f>
        <v>0</v>
      </c>
      <c r="H394" s="42">
        <f>'Monthly D4 RIN Data'!$K83</f>
        <v>0</v>
      </c>
      <c r="I394" s="42">
        <f>'Monthly D4 RIN Data'!$K95</f>
        <v>0</v>
      </c>
      <c r="J394" s="42">
        <f>'Monthly D4 RIN Data'!$K107</f>
        <v>0</v>
      </c>
      <c r="K394" s="42">
        <f>'Monthly D4 RIN Data'!$K119</f>
        <v>0</v>
      </c>
      <c r="L394" s="42">
        <f>'Monthly D4 RIN Data'!$K131</f>
        <v>0</v>
      </c>
      <c r="M394" s="42">
        <f>'Monthly D4 RIN Data'!$K143</f>
        <v>0</v>
      </c>
      <c r="N394" s="42">
        <f>'Monthly D4 RIN Data'!$K155</f>
        <v>0</v>
      </c>
      <c r="O394" s="42">
        <f>'Monthly D4 RIN Data'!$K167</f>
        <v>0</v>
      </c>
      <c r="P394" s="42">
        <f>'Monthly D4 RIN Data'!$K179</f>
        <v>0</v>
      </c>
      <c r="Q394" s="43">
        <v>0</v>
      </c>
      <c r="R394" s="43">
        <v>0</v>
      </c>
      <c r="S394" s="43">
        <v>0</v>
      </c>
      <c r="T394" s="43">
        <v>0</v>
      </c>
      <c r="U394" s="43">
        <v>0</v>
      </c>
      <c r="V394" s="43">
        <v>0</v>
      </c>
      <c r="W394" s="43">
        <v>0</v>
      </c>
      <c r="X394" s="43">
        <v>0</v>
      </c>
      <c r="Y394" s="43">
        <v>0</v>
      </c>
      <c r="Z394" s="43">
        <v>0</v>
      </c>
      <c r="AA394" s="43">
        <v>0</v>
      </c>
      <c r="AB394" s="43">
        <v>0</v>
      </c>
      <c r="AC394" s="43">
        <v>0</v>
      </c>
      <c r="AD394" s="43">
        <v>0</v>
      </c>
      <c r="AE394" s="43">
        <v>0</v>
      </c>
      <c r="AF394" s="43">
        <v>0</v>
      </c>
      <c r="AG394" s="43">
        <v>0</v>
      </c>
      <c r="AH394" s="43">
        <v>0</v>
      </c>
      <c r="AI394" s="43">
        <v>0</v>
      </c>
      <c r="AJ394" s="43">
        <v>0</v>
      </c>
      <c r="AK394" s="43">
        <v>0</v>
      </c>
      <c r="AL394" s="43">
        <v>0</v>
      </c>
      <c r="AM394" s="43">
        <v>0</v>
      </c>
      <c r="AN394" s="43">
        <v>0</v>
      </c>
      <c r="AO394" s="43">
        <v>0</v>
      </c>
      <c r="AP394" s="43">
        <v>0</v>
      </c>
      <c r="AQ394" s="43"/>
    </row>
    <row r="395" spans="1:43">
      <c r="A395" s="40" t="s">
        <v>51</v>
      </c>
      <c r="B395" s="42">
        <f>'Monthly D4 RIN Data'!$K12</f>
        <v>0</v>
      </c>
      <c r="C395" s="42">
        <f>'Monthly D4 RIN Data'!$K24</f>
        <v>0</v>
      </c>
      <c r="D395" s="42">
        <f>'Monthly D4 RIN Data'!$K36</f>
        <v>0</v>
      </c>
      <c r="E395" s="42">
        <f>'Monthly D4 RIN Data'!$K48</f>
        <v>0</v>
      </c>
      <c r="F395" s="42">
        <f>'Monthly D4 RIN Data'!$K60</f>
        <v>0</v>
      </c>
      <c r="G395" s="42">
        <f>'Monthly D4 RIN Data'!$K72</f>
        <v>0</v>
      </c>
      <c r="H395" s="42">
        <f>'Monthly D4 RIN Data'!$K84</f>
        <v>0</v>
      </c>
      <c r="I395" s="42">
        <f>'Monthly D4 RIN Data'!$K96</f>
        <v>0</v>
      </c>
      <c r="J395" s="42">
        <f>'Monthly D4 RIN Data'!$K108</f>
        <v>0</v>
      </c>
      <c r="K395" s="42">
        <f>'Monthly D4 RIN Data'!$K120</f>
        <v>0</v>
      </c>
      <c r="L395" s="42">
        <f>'Monthly D4 RIN Data'!$K132</f>
        <v>0</v>
      </c>
      <c r="M395" s="42">
        <f>'Monthly D4 RIN Data'!$K144</f>
        <v>0</v>
      </c>
      <c r="N395" s="42">
        <f>'Monthly D4 RIN Data'!$K156</f>
        <v>0</v>
      </c>
      <c r="O395" s="42">
        <f>'Monthly D4 RIN Data'!$K168</f>
        <v>0</v>
      </c>
      <c r="P395" s="42">
        <f>'Monthly D4 RIN Data'!$K180</f>
        <v>0</v>
      </c>
      <c r="Q395" s="43">
        <v>0</v>
      </c>
      <c r="R395" s="43">
        <v>0</v>
      </c>
      <c r="S395" s="43">
        <v>0</v>
      </c>
      <c r="T395" s="43">
        <v>0</v>
      </c>
      <c r="U395" s="43">
        <v>0</v>
      </c>
      <c r="V395" s="43">
        <v>0</v>
      </c>
      <c r="W395" s="43">
        <v>0</v>
      </c>
      <c r="X395" s="43">
        <v>0</v>
      </c>
      <c r="Y395" s="43">
        <v>0</v>
      </c>
      <c r="Z395" s="43">
        <v>0</v>
      </c>
      <c r="AA395" s="43">
        <v>0</v>
      </c>
      <c r="AB395" s="43">
        <v>0</v>
      </c>
      <c r="AC395" s="43">
        <v>0</v>
      </c>
      <c r="AD395" s="43">
        <v>0</v>
      </c>
      <c r="AE395" s="43">
        <v>0</v>
      </c>
      <c r="AF395" s="43">
        <v>0</v>
      </c>
      <c r="AG395" s="43">
        <v>0</v>
      </c>
      <c r="AH395" s="43">
        <v>0</v>
      </c>
      <c r="AI395" s="43">
        <v>0</v>
      </c>
      <c r="AJ395" s="43">
        <v>0</v>
      </c>
      <c r="AK395" s="43">
        <v>0</v>
      </c>
      <c r="AL395" s="43">
        <v>0</v>
      </c>
      <c r="AM395" s="43">
        <v>0</v>
      </c>
      <c r="AN395" s="43">
        <v>0</v>
      </c>
      <c r="AO395" s="43">
        <v>0</v>
      </c>
      <c r="AP395" s="43">
        <v>0</v>
      </c>
      <c r="AQ395" s="43"/>
    </row>
    <row r="396" spans="1:43">
      <c r="A396" s="40" t="s">
        <v>52</v>
      </c>
      <c r="B396" s="42">
        <f>'Monthly D4 RIN Data'!$K13</f>
        <v>0</v>
      </c>
      <c r="C396" s="42">
        <f>'Monthly D4 RIN Data'!$K25</f>
        <v>0</v>
      </c>
      <c r="D396" s="42">
        <f>'Monthly D4 RIN Data'!$K37</f>
        <v>0</v>
      </c>
      <c r="E396" s="42">
        <f>'Monthly D4 RIN Data'!$K49</f>
        <v>0</v>
      </c>
      <c r="F396" s="42">
        <f>'Monthly D4 RIN Data'!$K61</f>
        <v>0</v>
      </c>
      <c r="G396" s="42">
        <f>'Monthly D4 RIN Data'!$K73</f>
        <v>0</v>
      </c>
      <c r="H396" s="42">
        <f>'Monthly D4 RIN Data'!$K85</f>
        <v>0</v>
      </c>
      <c r="I396" s="42">
        <f>'Monthly D4 RIN Data'!$K97</f>
        <v>0</v>
      </c>
      <c r="J396" s="42">
        <f>'Monthly D4 RIN Data'!$K109</f>
        <v>0</v>
      </c>
      <c r="K396" s="42">
        <f>'Monthly D4 RIN Data'!$K121</f>
        <v>0</v>
      </c>
      <c r="L396" s="42">
        <f>'Monthly D4 RIN Data'!$K133</f>
        <v>0</v>
      </c>
      <c r="M396" s="42">
        <f>'Monthly D4 RIN Data'!$K145</f>
        <v>0</v>
      </c>
      <c r="N396" s="42">
        <f>'Monthly D4 RIN Data'!$K157</f>
        <v>0</v>
      </c>
      <c r="O396" s="42">
        <f>'Monthly D4 RIN Data'!$K169</f>
        <v>0</v>
      </c>
      <c r="P396" s="42">
        <f>'Monthly D4 RIN Data'!$K181</f>
        <v>0</v>
      </c>
      <c r="Q396" s="43">
        <v>0</v>
      </c>
      <c r="R396" s="43">
        <v>0</v>
      </c>
      <c r="S396" s="43">
        <v>0</v>
      </c>
      <c r="T396" s="43">
        <v>0</v>
      </c>
      <c r="U396" s="43">
        <v>0</v>
      </c>
      <c r="V396" s="43">
        <v>0</v>
      </c>
      <c r="W396" s="43">
        <v>0</v>
      </c>
      <c r="X396" s="43">
        <v>0</v>
      </c>
      <c r="Y396" s="43">
        <v>0</v>
      </c>
      <c r="Z396" s="43">
        <v>0</v>
      </c>
      <c r="AA396" s="43">
        <v>0</v>
      </c>
      <c r="AB396" s="43">
        <v>0</v>
      </c>
      <c r="AC396" s="43">
        <v>0</v>
      </c>
      <c r="AD396" s="43">
        <v>0</v>
      </c>
      <c r="AE396" s="43">
        <v>0</v>
      </c>
      <c r="AF396" s="43">
        <v>0</v>
      </c>
      <c r="AG396" s="43">
        <v>0</v>
      </c>
      <c r="AH396" s="43">
        <v>0</v>
      </c>
      <c r="AI396" s="43">
        <v>0</v>
      </c>
      <c r="AJ396" s="43">
        <v>0</v>
      </c>
      <c r="AK396" s="43">
        <v>0</v>
      </c>
      <c r="AL396" s="43">
        <v>0</v>
      </c>
      <c r="AM396" s="43">
        <v>0</v>
      </c>
      <c r="AN396" s="43">
        <v>0</v>
      </c>
      <c r="AO396" s="43">
        <v>0</v>
      </c>
      <c r="AP396" s="43">
        <v>0</v>
      </c>
      <c r="AQ396" s="43"/>
    </row>
    <row r="397" spans="1:43">
      <c r="A397" s="40" t="s">
        <v>53</v>
      </c>
      <c r="B397" s="42">
        <f>'Monthly D4 RIN Data'!$K14</f>
        <v>0</v>
      </c>
      <c r="C397" s="42">
        <f>'Monthly D4 RIN Data'!$K26</f>
        <v>0</v>
      </c>
      <c r="D397" s="42">
        <f>'Monthly D4 RIN Data'!$K38</f>
        <v>0</v>
      </c>
      <c r="E397" s="42">
        <f>'Monthly D4 RIN Data'!$K50</f>
        <v>0</v>
      </c>
      <c r="F397" s="42">
        <f>'Monthly D4 RIN Data'!$K62</f>
        <v>0</v>
      </c>
      <c r="G397" s="42">
        <f>'Monthly D4 RIN Data'!$K74</f>
        <v>0</v>
      </c>
      <c r="H397" s="42">
        <f>'Monthly D4 RIN Data'!$K86</f>
        <v>0</v>
      </c>
      <c r="I397" s="42">
        <f>'Monthly D4 RIN Data'!$K98</f>
        <v>0</v>
      </c>
      <c r="J397" s="42">
        <f>'Monthly D4 RIN Data'!$K110</f>
        <v>0</v>
      </c>
      <c r="K397" s="42">
        <f>'Monthly D4 RIN Data'!$K122</f>
        <v>0</v>
      </c>
      <c r="L397" s="42">
        <f>'Monthly D4 RIN Data'!$K134</f>
        <v>0</v>
      </c>
      <c r="M397" s="42">
        <f>'Monthly D4 RIN Data'!$K146</f>
        <v>0</v>
      </c>
      <c r="N397" s="42">
        <f>'Monthly D4 RIN Data'!$K158</f>
        <v>0</v>
      </c>
      <c r="O397" s="42">
        <f>'Monthly D4 RIN Data'!$K170</f>
        <v>0</v>
      </c>
      <c r="P397" s="42">
        <f>'Monthly D4 RIN Data'!$K182</f>
        <v>0</v>
      </c>
      <c r="Q397" s="43">
        <v>0</v>
      </c>
      <c r="R397" s="43">
        <v>0</v>
      </c>
      <c r="S397" s="43">
        <v>0</v>
      </c>
      <c r="T397" s="43">
        <v>0</v>
      </c>
      <c r="U397" s="43">
        <v>0</v>
      </c>
      <c r="V397" s="43">
        <v>0</v>
      </c>
      <c r="W397" s="43">
        <v>0</v>
      </c>
      <c r="X397" s="43">
        <v>0</v>
      </c>
      <c r="Y397" s="43">
        <v>0</v>
      </c>
      <c r="Z397" s="43">
        <v>0</v>
      </c>
      <c r="AA397" s="43">
        <v>0</v>
      </c>
      <c r="AB397" s="43">
        <v>0</v>
      </c>
      <c r="AC397" s="43">
        <v>0</v>
      </c>
      <c r="AD397" s="43">
        <v>0</v>
      </c>
      <c r="AE397" s="43">
        <v>0</v>
      </c>
      <c r="AF397" s="43">
        <v>0</v>
      </c>
      <c r="AG397" s="43">
        <v>0</v>
      </c>
      <c r="AH397" s="43">
        <v>0</v>
      </c>
      <c r="AI397" s="43">
        <v>0</v>
      </c>
      <c r="AJ397" s="43">
        <v>0</v>
      </c>
      <c r="AK397" s="43">
        <v>0</v>
      </c>
      <c r="AL397" s="43">
        <v>0</v>
      </c>
      <c r="AM397" s="43">
        <v>0</v>
      </c>
      <c r="AN397" s="43">
        <v>0</v>
      </c>
      <c r="AO397" s="43">
        <v>0</v>
      </c>
      <c r="AP397" s="43">
        <v>0</v>
      </c>
      <c r="AQ397" s="43"/>
    </row>
    <row r="398" spans="1:43">
      <c r="A398" s="40" t="s">
        <v>54</v>
      </c>
      <c r="B398" s="42">
        <f>'Monthly D4 RIN Data'!$K15</f>
        <v>0</v>
      </c>
      <c r="C398" s="42">
        <f>'Monthly D4 RIN Data'!$K27</f>
        <v>0</v>
      </c>
      <c r="D398" s="42">
        <f>'Monthly D4 RIN Data'!$K39</f>
        <v>0</v>
      </c>
      <c r="E398" s="42">
        <f>'Monthly D4 RIN Data'!$K51</f>
        <v>0</v>
      </c>
      <c r="F398" s="42">
        <f>'Monthly D4 RIN Data'!$K63</f>
        <v>0</v>
      </c>
      <c r="G398" s="42">
        <f>'Monthly D4 RIN Data'!$K75</f>
        <v>0</v>
      </c>
      <c r="H398" s="42">
        <f>'Monthly D4 RIN Data'!$K87</f>
        <v>0</v>
      </c>
      <c r="I398" s="42">
        <f>'Monthly D4 RIN Data'!$K99</f>
        <v>0</v>
      </c>
      <c r="J398" s="42">
        <f>'Monthly D4 RIN Data'!$K111</f>
        <v>0</v>
      </c>
      <c r="K398" s="42">
        <f>'Monthly D4 RIN Data'!$K123</f>
        <v>0</v>
      </c>
      <c r="L398" s="42">
        <f>'Monthly D4 RIN Data'!$K135</f>
        <v>0</v>
      </c>
      <c r="M398" s="42">
        <f>'Monthly D4 RIN Data'!$K147</f>
        <v>0</v>
      </c>
      <c r="N398" s="42">
        <f>'Monthly D4 RIN Data'!$K159</f>
        <v>0</v>
      </c>
      <c r="O398" s="42">
        <f>'Monthly D4 RIN Data'!$K171</f>
        <v>0</v>
      </c>
      <c r="P398" s="42">
        <f>'Monthly D4 RIN Data'!$K183</f>
        <v>0</v>
      </c>
      <c r="Q398" s="43">
        <v>0</v>
      </c>
      <c r="R398" s="43">
        <v>0</v>
      </c>
      <c r="S398" s="43">
        <v>0</v>
      </c>
      <c r="T398" s="43">
        <v>0</v>
      </c>
      <c r="U398" s="43">
        <v>0</v>
      </c>
      <c r="V398" s="43">
        <v>0</v>
      </c>
      <c r="W398" s="43">
        <v>0</v>
      </c>
      <c r="X398" s="43">
        <v>0</v>
      </c>
      <c r="Y398" s="43">
        <v>0</v>
      </c>
      <c r="Z398" s="43">
        <v>0</v>
      </c>
      <c r="AA398" s="43">
        <v>0</v>
      </c>
      <c r="AB398" s="43">
        <v>0</v>
      </c>
      <c r="AC398" s="43">
        <v>0</v>
      </c>
      <c r="AD398" s="43">
        <v>0</v>
      </c>
      <c r="AE398" s="43">
        <v>0</v>
      </c>
      <c r="AF398" s="43">
        <v>0</v>
      </c>
      <c r="AG398" s="43">
        <v>0</v>
      </c>
      <c r="AH398" s="43">
        <v>0</v>
      </c>
      <c r="AI398" s="43">
        <v>0</v>
      </c>
      <c r="AJ398" s="43">
        <v>0</v>
      </c>
      <c r="AK398" s="43">
        <v>0</v>
      </c>
      <c r="AL398" s="43">
        <v>0</v>
      </c>
      <c r="AM398" s="43">
        <v>0</v>
      </c>
      <c r="AN398" s="43">
        <v>0</v>
      </c>
      <c r="AO398" s="43">
        <v>0</v>
      </c>
      <c r="AP398" s="43">
        <v>0</v>
      </c>
      <c r="AQ398" s="43"/>
    </row>
    <row r="399" spans="1:43">
      <c r="A399" s="40" t="s">
        <v>29</v>
      </c>
      <c r="B399" s="42">
        <f t="shared" ref="B399:AP399" si="114">SUM(B387:B398)</f>
        <v>0</v>
      </c>
      <c r="C399" s="42">
        <f t="shared" si="114"/>
        <v>0</v>
      </c>
      <c r="D399" s="42">
        <f t="shared" si="114"/>
        <v>0</v>
      </c>
      <c r="E399" s="42">
        <f t="shared" si="114"/>
        <v>0</v>
      </c>
      <c r="F399" s="42">
        <f t="shared" si="114"/>
        <v>0</v>
      </c>
      <c r="G399" s="42">
        <f t="shared" si="114"/>
        <v>0</v>
      </c>
      <c r="H399" s="42">
        <f t="shared" si="114"/>
        <v>0</v>
      </c>
      <c r="I399" s="42">
        <f t="shared" si="114"/>
        <v>0</v>
      </c>
      <c r="J399" s="42">
        <f t="shared" si="114"/>
        <v>0</v>
      </c>
      <c r="K399" s="42">
        <f t="shared" si="114"/>
        <v>0</v>
      </c>
      <c r="L399" s="42">
        <f t="shared" si="114"/>
        <v>0</v>
      </c>
      <c r="M399" s="42">
        <f t="shared" si="114"/>
        <v>0</v>
      </c>
      <c r="N399" s="42">
        <f t="shared" si="114"/>
        <v>0</v>
      </c>
      <c r="O399" s="42">
        <f t="shared" si="114"/>
        <v>0</v>
      </c>
      <c r="P399" s="42">
        <f t="shared" si="114"/>
        <v>0</v>
      </c>
      <c r="Q399" s="43">
        <f t="shared" si="114"/>
        <v>0</v>
      </c>
      <c r="R399" s="43">
        <f t="shared" si="114"/>
        <v>0</v>
      </c>
      <c r="S399" s="43">
        <f t="shared" si="114"/>
        <v>0</v>
      </c>
      <c r="T399" s="43">
        <f t="shared" si="114"/>
        <v>0</v>
      </c>
      <c r="U399" s="43">
        <f t="shared" si="114"/>
        <v>0</v>
      </c>
      <c r="V399" s="43">
        <f t="shared" si="114"/>
        <v>0</v>
      </c>
      <c r="W399" s="43">
        <f t="shared" si="114"/>
        <v>0</v>
      </c>
      <c r="X399" s="43">
        <f t="shared" si="114"/>
        <v>0</v>
      </c>
      <c r="Y399" s="43">
        <f t="shared" si="114"/>
        <v>0</v>
      </c>
      <c r="Z399" s="43">
        <f t="shared" si="114"/>
        <v>0</v>
      </c>
      <c r="AA399" s="43">
        <f t="shared" si="114"/>
        <v>0</v>
      </c>
      <c r="AB399" s="43">
        <f t="shared" si="114"/>
        <v>0</v>
      </c>
      <c r="AC399" s="43">
        <f t="shared" si="114"/>
        <v>0</v>
      </c>
      <c r="AD399" s="43">
        <f t="shared" si="114"/>
        <v>0</v>
      </c>
      <c r="AE399" s="43">
        <f t="shared" si="114"/>
        <v>0</v>
      </c>
      <c r="AF399" s="43">
        <f t="shared" si="114"/>
        <v>0</v>
      </c>
      <c r="AG399" s="43">
        <f t="shared" si="114"/>
        <v>0</v>
      </c>
      <c r="AH399" s="43">
        <f t="shared" si="114"/>
        <v>0</v>
      </c>
      <c r="AI399" s="43">
        <f t="shared" si="114"/>
        <v>0</v>
      </c>
      <c r="AJ399" s="43">
        <f t="shared" si="114"/>
        <v>0</v>
      </c>
      <c r="AK399" s="43">
        <f t="shared" si="114"/>
        <v>0</v>
      </c>
      <c r="AL399" s="43">
        <f t="shared" si="114"/>
        <v>0</v>
      </c>
      <c r="AM399" s="43">
        <f t="shared" si="114"/>
        <v>0</v>
      </c>
      <c r="AN399" s="43">
        <f t="shared" si="114"/>
        <v>0</v>
      </c>
      <c r="AO399" s="43">
        <f t="shared" si="114"/>
        <v>0</v>
      </c>
      <c r="AP399" s="43">
        <f t="shared" si="114"/>
        <v>0</v>
      </c>
      <c r="AQ399" s="43"/>
    </row>
    <row r="401" spans="1:43" ht="12" thickBot="1">
      <c r="A401" s="245" t="s">
        <v>330</v>
      </c>
    </row>
    <row r="402" spans="1:43" ht="12" thickBot="1">
      <c r="A402" s="270"/>
      <c r="B402" s="263">
        <f>B2</f>
        <v>2010</v>
      </c>
      <c r="C402" s="263">
        <f t="shared" ref="C402:AP402" si="115">C2</f>
        <v>2011</v>
      </c>
      <c r="D402" s="263">
        <f t="shared" si="115"/>
        <v>2012</v>
      </c>
      <c r="E402" s="263">
        <f t="shared" si="115"/>
        <v>2013</v>
      </c>
      <c r="F402" s="263">
        <f t="shared" si="115"/>
        <v>2014</v>
      </c>
      <c r="G402" s="263">
        <f t="shared" si="115"/>
        <v>2015</v>
      </c>
      <c r="H402" s="263">
        <f t="shared" si="115"/>
        <v>2016</v>
      </c>
      <c r="I402" s="263">
        <f t="shared" si="115"/>
        <v>2017</v>
      </c>
      <c r="J402" s="263">
        <f t="shared" si="115"/>
        <v>2018</v>
      </c>
      <c r="K402" s="263">
        <f t="shared" si="115"/>
        <v>2019</v>
      </c>
      <c r="L402" s="263">
        <f t="shared" si="115"/>
        <v>2020</v>
      </c>
      <c r="M402" s="263">
        <f t="shared" si="115"/>
        <v>2021</v>
      </c>
      <c r="N402" s="263">
        <f t="shared" si="115"/>
        <v>2022</v>
      </c>
      <c r="O402" s="263">
        <f t="shared" si="115"/>
        <v>2023</v>
      </c>
      <c r="P402" s="263">
        <f t="shared" si="115"/>
        <v>2024</v>
      </c>
      <c r="Q402" s="263">
        <f t="shared" si="115"/>
        <v>2025</v>
      </c>
      <c r="R402" s="263">
        <f t="shared" si="115"/>
        <v>2026</v>
      </c>
      <c r="S402" s="263">
        <f t="shared" si="115"/>
        <v>2027</v>
      </c>
      <c r="T402" s="263">
        <f t="shared" si="115"/>
        <v>2028</v>
      </c>
      <c r="U402" s="263">
        <f t="shared" si="115"/>
        <v>2029</v>
      </c>
      <c r="V402" s="263">
        <f t="shared" si="115"/>
        <v>2030</v>
      </c>
      <c r="W402" s="263">
        <f t="shared" si="115"/>
        <v>2031</v>
      </c>
      <c r="X402" s="263">
        <f t="shared" si="115"/>
        <v>2032</v>
      </c>
      <c r="Y402" s="263">
        <f t="shared" si="115"/>
        <v>2033</v>
      </c>
      <c r="Z402" s="263">
        <f t="shared" si="115"/>
        <v>2034</v>
      </c>
      <c r="AA402" s="263">
        <f t="shared" si="115"/>
        <v>2035</v>
      </c>
      <c r="AB402" s="263">
        <f t="shared" si="115"/>
        <v>2036</v>
      </c>
      <c r="AC402" s="263">
        <f t="shared" si="115"/>
        <v>2037</v>
      </c>
      <c r="AD402" s="263">
        <f t="shared" si="115"/>
        <v>2038</v>
      </c>
      <c r="AE402" s="263">
        <f t="shared" si="115"/>
        <v>2039</v>
      </c>
      <c r="AF402" s="263">
        <f t="shared" si="115"/>
        <v>2040</v>
      </c>
      <c r="AG402" s="263">
        <f t="shared" si="115"/>
        <v>2041</v>
      </c>
      <c r="AH402" s="263">
        <f t="shared" si="115"/>
        <v>2042</v>
      </c>
      <c r="AI402" s="263">
        <f t="shared" si="115"/>
        <v>2043</v>
      </c>
      <c r="AJ402" s="263">
        <f t="shared" si="115"/>
        <v>2044</v>
      </c>
      <c r="AK402" s="263">
        <f t="shared" si="115"/>
        <v>2045</v>
      </c>
      <c r="AL402" s="263">
        <f t="shared" si="115"/>
        <v>2046</v>
      </c>
      <c r="AM402" s="263">
        <f t="shared" si="115"/>
        <v>2047</v>
      </c>
      <c r="AN402" s="263">
        <f t="shared" si="115"/>
        <v>2048</v>
      </c>
      <c r="AO402" s="263">
        <f t="shared" si="115"/>
        <v>2049</v>
      </c>
      <c r="AP402" s="263">
        <f t="shared" si="115"/>
        <v>2050</v>
      </c>
      <c r="AQ402" s="245"/>
    </row>
    <row r="403" spans="1:43">
      <c r="A403" s="40" t="s">
        <v>43</v>
      </c>
      <c r="B403" s="42">
        <f>'Monthly D4 RIN Data'!$AH4</f>
        <v>0</v>
      </c>
      <c r="C403" s="42">
        <f>'Monthly D4 RIN Data'!$AH16</f>
        <v>0</v>
      </c>
      <c r="D403" s="42">
        <f>'Monthly D4 RIN Data'!$AH28</f>
        <v>0</v>
      </c>
      <c r="E403" s="42">
        <f>'Monthly D4 RIN Data'!$AH40</f>
        <v>0</v>
      </c>
      <c r="F403" s="42">
        <f>'Monthly D4 RIN Data'!$AH52</f>
        <v>0</v>
      </c>
      <c r="G403" s="42">
        <f>'Monthly D4 RIN Data'!$AH64</f>
        <v>0</v>
      </c>
      <c r="H403" s="42">
        <f>'Monthly D4 RIN Data'!$AH76</f>
        <v>0</v>
      </c>
      <c r="I403" s="42">
        <f>'Monthly D4 RIN Data'!$AH88</f>
        <v>0</v>
      </c>
      <c r="J403" s="42">
        <f>'Monthly D4 RIN Data'!$AH100</f>
        <v>0</v>
      </c>
      <c r="K403" s="42">
        <f>'Monthly D4 RIN Data'!$AH112</f>
        <v>0</v>
      </c>
      <c r="L403" s="42">
        <f>'Monthly D4 RIN Data'!$AH124</f>
        <v>0</v>
      </c>
      <c r="M403" s="42">
        <f>'Monthly D4 RIN Data'!$AH136</f>
        <v>0</v>
      </c>
      <c r="N403" s="42">
        <f>'Monthly D4 RIN Data'!$AH148</f>
        <v>0</v>
      </c>
      <c r="O403" s="42">
        <f>'Monthly D4 RIN Data'!$AH160</f>
        <v>0</v>
      </c>
      <c r="P403" s="42">
        <f>'Monthly D4 RIN Data'!$AH172</f>
        <v>14122768</v>
      </c>
      <c r="Q403" s="42">
        <f>'Monthly D4 RIN Data'!$AH184</f>
        <v>12635529</v>
      </c>
      <c r="R403" s="43">
        <f>'D4 Gallon Forecast'!R373*AVERAGE('D4 RIN Forecast'!$BF$24)</f>
        <v>3662900.4775528354</v>
      </c>
      <c r="S403" s="43">
        <f>'D4 Gallon Forecast'!S373*AVERAGE('D4 RIN Forecast'!$BF$24)</f>
        <v>5420093.7541885013</v>
      </c>
      <c r="T403" s="43">
        <f>'D4 Gallon Forecast'!T373*AVERAGE('D4 RIN Forecast'!$BF$24)</f>
        <v>7151032.6952990796</v>
      </c>
      <c r="U403" s="43">
        <f>'D4 Gallon Forecast'!U373*AVERAGE('D4 RIN Forecast'!$BF$24)</f>
        <v>13237174.798780225</v>
      </c>
      <c r="V403" s="43">
        <f>'D4 Gallon Forecast'!V373*AVERAGE('D4 RIN Forecast'!$BF$24:BJ$24)</f>
        <v>16109261.275948416</v>
      </c>
      <c r="W403" s="43">
        <f>'D4 Gallon Forecast'!W373*AVERAGE('D4 RIN Forecast'!$BF$24:BK$24)</f>
        <v>13018042.321361419</v>
      </c>
      <c r="X403" s="43">
        <f>'D4 Gallon Forecast'!X373*AVERAGE('D4 RIN Forecast'!$BF$24:BL$24)</f>
        <v>12006240.506212959</v>
      </c>
      <c r="Y403" s="43">
        <f>'D4 Gallon Forecast'!Y373*AVERAGE('D4 RIN Forecast'!$BF$24:BM$24)</f>
        <v>12871900.581222938</v>
      </c>
      <c r="Z403" s="43">
        <f>'D4 Gallon Forecast'!Z373*AVERAGE('D4 RIN Forecast'!$BF$24:BN$24)</f>
        <v>14481321.252787074</v>
      </c>
      <c r="AA403" s="43">
        <f>'D4 Gallon Forecast'!AA373*AVERAGE('D4 RIN Forecast'!$BF$24:BO$24)</f>
        <v>14754463.138109261</v>
      </c>
      <c r="AB403" s="43">
        <f>'D4 Gallon Forecast'!AB373*AVERAGE('D4 RIN Forecast'!$BF$24:BP$24)</f>
        <v>13432196.460628239</v>
      </c>
      <c r="AC403" s="43">
        <f>'D4 Gallon Forecast'!AC373*AVERAGE('D4 RIN Forecast'!$BF$24:BQ$24)</f>
        <v>13553097.64651446</v>
      </c>
      <c r="AD403" s="43">
        <f>'D4 Gallon Forecast'!AD373*AVERAGE('D4 RIN Forecast'!$BF$24:BR$24)</f>
        <v>13947079.745806314</v>
      </c>
      <c r="AE403" s="43">
        <f>'D4 Gallon Forecast'!AE373*AVERAGE('D4 RIN Forecast'!$BF$24:BS$24)</f>
        <v>12568619.168244565</v>
      </c>
      <c r="AF403" s="43">
        <f>'D4 Gallon Forecast'!AF373*AVERAGE('D4 RIN Forecast'!$BF$24:BT$24)</f>
        <v>11884591.941684224</v>
      </c>
      <c r="AG403" s="43">
        <f>'D4 Gallon Forecast'!AG373*AVERAGE('D4 RIN Forecast'!$BF$24:BU$24)</f>
        <v>12102634.477346357</v>
      </c>
      <c r="AH403" s="43">
        <f>'D4 Gallon Forecast'!AH373*AVERAGE('D4 RIN Forecast'!$BF$24:BV$24)</f>
        <v>12519763.096056888</v>
      </c>
      <c r="AI403" s="43">
        <f>'D4 Gallon Forecast'!AI373*AVERAGE('D4 RIN Forecast'!$BF$24:BW$24)</f>
        <v>12815964.811190918</v>
      </c>
      <c r="AJ403" s="43">
        <f>'D4 Gallon Forecast'!AJ373*AVERAGE('D4 RIN Forecast'!$BF$24:BX$24)</f>
        <v>12957827.880598206</v>
      </c>
      <c r="AK403" s="43">
        <f>'D4 Gallon Forecast'!AK373*AVERAGE('D4 RIN Forecast'!$BF$24:BY$24)</f>
        <v>13333300.121240405</v>
      </c>
      <c r="AL403" s="43">
        <f>'D4 Gallon Forecast'!AL373*AVERAGE('D4 RIN Forecast'!$BF$24:BZ$24)</f>
        <v>14065263.595635712</v>
      </c>
      <c r="AM403" s="43">
        <f>'D4 Gallon Forecast'!AM373*AVERAGE('D4 RIN Forecast'!$BF$24:CA$24)</f>
        <v>14577762.252115762</v>
      </c>
      <c r="AN403" s="43">
        <f>'D4 Gallon Forecast'!AN373*AVERAGE('D4 RIN Forecast'!$BF$24:CB$24)</f>
        <v>14594574.113244476</v>
      </c>
      <c r="AO403" s="43">
        <f>'D4 Gallon Forecast'!AO373*AVERAGE('D4 RIN Forecast'!$BF$24:CC$24)</f>
        <v>14568569.292386508</v>
      </c>
      <c r="AP403" s="43">
        <f>'D4 Gallon Forecast'!AP373*AVERAGE('D4 RIN Forecast'!$BF$24:CD$24)</f>
        <v>14910075.990519285</v>
      </c>
      <c r="AQ403" s="43"/>
    </row>
    <row r="404" spans="1:43">
      <c r="A404" s="40" t="s">
        <v>44</v>
      </c>
      <c r="B404" s="42">
        <f>'Monthly D4 RIN Data'!$AH5</f>
        <v>0</v>
      </c>
      <c r="C404" s="42">
        <f>'Monthly D4 RIN Data'!$AH17</f>
        <v>0</v>
      </c>
      <c r="D404" s="42">
        <f>'Monthly D4 RIN Data'!$AH29</f>
        <v>0</v>
      </c>
      <c r="E404" s="42">
        <f>'Monthly D4 RIN Data'!$AH41</f>
        <v>0</v>
      </c>
      <c r="F404" s="42">
        <f>'Monthly D4 RIN Data'!$AH53</f>
        <v>0</v>
      </c>
      <c r="G404" s="42">
        <f>'Monthly D4 RIN Data'!$AH65</f>
        <v>0</v>
      </c>
      <c r="H404" s="42">
        <f>'Monthly D4 RIN Data'!$AH77</f>
        <v>0</v>
      </c>
      <c r="I404" s="42">
        <f>'Monthly D4 RIN Data'!$AH89</f>
        <v>0</v>
      </c>
      <c r="J404" s="42">
        <f>'Monthly D4 RIN Data'!$AH101</f>
        <v>0</v>
      </c>
      <c r="K404" s="42">
        <f>'Monthly D4 RIN Data'!$AH113</f>
        <v>0</v>
      </c>
      <c r="L404" s="42">
        <f>'Monthly D4 RIN Data'!$AH125</f>
        <v>0</v>
      </c>
      <c r="M404" s="42">
        <f>'Monthly D4 RIN Data'!$AH137</f>
        <v>0</v>
      </c>
      <c r="N404" s="42">
        <f>'Monthly D4 RIN Data'!$AH149</f>
        <v>2257598</v>
      </c>
      <c r="O404" s="42">
        <f>'Monthly D4 RIN Data'!$AH161</f>
        <v>2378048</v>
      </c>
      <c r="P404" s="42">
        <f>'Monthly D4 RIN Data'!$AH173</f>
        <v>0</v>
      </c>
      <c r="Q404" s="42">
        <f>'Monthly D4 RIN Data'!$AH185</f>
        <v>0</v>
      </c>
      <c r="R404" s="43">
        <f>'D4 Gallon Forecast'!R374*AVERAGE('D4 RIN Forecast'!$BF$24)</f>
        <v>7239143.7024238631</v>
      </c>
      <c r="S404" s="43">
        <f>'D4 Gallon Forecast'!S374*AVERAGE('D4 RIN Forecast'!$BF$24)</f>
        <v>10438862.832815146</v>
      </c>
      <c r="T404" s="43">
        <f>'D4 Gallon Forecast'!T374*AVERAGE('D4 RIN Forecast'!$BF$24)</f>
        <v>13612162.113331046</v>
      </c>
      <c r="U404" s="43">
        <f>'D4 Gallon Forecast'!U374*AVERAGE('D4 RIN Forecast'!$BF$24)</f>
        <v>9634124.9636857118</v>
      </c>
      <c r="V404" s="43">
        <f>'D4 Gallon Forecast'!V374*AVERAGE('D4 RIN Forecast'!$BF$24:BJ$24)</f>
        <v>15656881.975320602</v>
      </c>
      <c r="W404" s="43">
        <f>'D4 Gallon Forecast'!W374*AVERAGE('D4 RIN Forecast'!$BF$24:BK$24)</f>
        <v>16159909.044907248</v>
      </c>
      <c r="X404" s="43">
        <f>'D4 Gallon Forecast'!X374*AVERAGE('D4 RIN Forecast'!$BF$24:BL$24)</f>
        <v>14315525.55615445</v>
      </c>
      <c r="Y404" s="43">
        <f>'D4 Gallon Forecast'!Y374*AVERAGE('D4 RIN Forecast'!$BF$24:BM$24)</f>
        <v>14515751.992773749</v>
      </c>
      <c r="Z404" s="43">
        <f>'D4 Gallon Forecast'!Z374*AVERAGE('D4 RIN Forecast'!$BF$24:BN$24)</f>
        <v>15135921.715012506</v>
      </c>
      <c r="AA404" s="43">
        <f>'D4 Gallon Forecast'!AA374*AVERAGE('D4 RIN Forecast'!$BF$24:BO$24)</f>
        <v>16326542.443475589</v>
      </c>
      <c r="AB404" s="43">
        <f>'D4 Gallon Forecast'!AB374*AVERAGE('D4 RIN Forecast'!$BF$24:BP$24)</f>
        <v>15297338.821117548</v>
      </c>
      <c r="AC404" s="43">
        <f>'D4 Gallon Forecast'!AC374*AVERAGE('D4 RIN Forecast'!$BF$24:BQ$24)</f>
        <v>15167314.809782611</v>
      </c>
      <c r="AD404" s="43">
        <f>'D4 Gallon Forecast'!AD374*AVERAGE('D4 RIN Forecast'!$BF$24:BR$24)</f>
        <v>15430725.5969788</v>
      </c>
      <c r="AE404" s="43">
        <f>'D4 Gallon Forecast'!AE374*AVERAGE('D4 RIN Forecast'!$BF$24:BS$24)</f>
        <v>13856445.680500273</v>
      </c>
      <c r="AF404" s="43">
        <f>'D4 Gallon Forecast'!AF374*AVERAGE('D4 RIN Forecast'!$BF$24:BT$24)</f>
        <v>13246711.72743788</v>
      </c>
      <c r="AG404" s="43">
        <f>'D4 Gallon Forecast'!AG374*AVERAGE('D4 RIN Forecast'!$BF$24:BU$24)</f>
        <v>13511764.202872453</v>
      </c>
      <c r="AH404" s="43">
        <f>'D4 Gallon Forecast'!AH374*AVERAGE('D4 RIN Forecast'!$BF$24:BV$24)</f>
        <v>13918588.328728426</v>
      </c>
      <c r="AI404" s="43">
        <f>'D4 Gallon Forecast'!AI374*AVERAGE('D4 RIN Forecast'!$BF$24:BW$24)</f>
        <v>14227561.581827929</v>
      </c>
      <c r="AJ404" s="43">
        <f>'D4 Gallon Forecast'!AJ374*AVERAGE('D4 RIN Forecast'!$BF$24:BX$24)</f>
        <v>14396049.07990011</v>
      </c>
      <c r="AK404" s="43">
        <f>'D4 Gallon Forecast'!AK374*AVERAGE('D4 RIN Forecast'!$BF$24:BY$24)</f>
        <v>14836144.707589772</v>
      </c>
      <c r="AL404" s="43">
        <f>'D4 Gallon Forecast'!AL374*AVERAGE('D4 RIN Forecast'!$BF$24:BZ$24)</f>
        <v>15645630.427977635</v>
      </c>
      <c r="AM404" s="43">
        <f>'D4 Gallon Forecast'!AM374*AVERAGE('D4 RIN Forecast'!$BF$24:CA$24)</f>
        <v>16204776.79118434</v>
      </c>
      <c r="AN404" s="43">
        <f>'D4 Gallon Forecast'!AN374*AVERAGE('D4 RIN Forecast'!$BF$24:CB$24)</f>
        <v>16223141.31848621</v>
      </c>
      <c r="AO404" s="43">
        <f>'D4 Gallon Forecast'!AO374*AVERAGE('D4 RIN Forecast'!$BF$24:CC$24)</f>
        <v>16198111.15148202</v>
      </c>
      <c r="AP404" s="43">
        <f>'D4 Gallon Forecast'!AP374*AVERAGE('D4 RIN Forecast'!$BF$24:CD$24)</f>
        <v>16580154.243025426</v>
      </c>
      <c r="AQ404" s="43"/>
    </row>
    <row r="405" spans="1:43">
      <c r="A405" s="40" t="s">
        <v>45</v>
      </c>
      <c r="B405" s="42">
        <f>'Monthly D4 RIN Data'!$AH6</f>
        <v>0</v>
      </c>
      <c r="C405" s="42">
        <f>'Monthly D4 RIN Data'!$AH18</f>
        <v>0</v>
      </c>
      <c r="D405" s="42">
        <f>'Monthly D4 RIN Data'!$AH30</f>
        <v>0</v>
      </c>
      <c r="E405" s="42">
        <f>'Monthly D4 RIN Data'!$AH42</f>
        <v>0</v>
      </c>
      <c r="F405" s="42">
        <f>'Monthly D4 RIN Data'!$AH54</f>
        <v>0</v>
      </c>
      <c r="G405" s="42">
        <f>'Monthly D4 RIN Data'!$AH66</f>
        <v>0</v>
      </c>
      <c r="H405" s="42">
        <f>'Monthly D4 RIN Data'!$AH78</f>
        <v>0</v>
      </c>
      <c r="I405" s="42">
        <f>'Monthly D4 RIN Data'!$AH90</f>
        <v>0</v>
      </c>
      <c r="J405" s="42">
        <f>'Monthly D4 RIN Data'!$AH102</f>
        <v>0</v>
      </c>
      <c r="K405" s="42">
        <f>'Monthly D4 RIN Data'!$AH114</f>
        <v>0</v>
      </c>
      <c r="L405" s="42">
        <f>'Monthly D4 RIN Data'!$AH126</f>
        <v>0</v>
      </c>
      <c r="M405" s="42">
        <f>'Monthly D4 RIN Data'!$AH138</f>
        <v>0</v>
      </c>
      <c r="N405" s="42">
        <f>'Monthly D4 RIN Data'!$AH150</f>
        <v>3033554</v>
      </c>
      <c r="O405" s="42">
        <f>'Monthly D4 RIN Data'!$AH162</f>
        <v>2263418</v>
      </c>
      <c r="P405" s="42">
        <f>'Monthly D4 RIN Data'!$AH174</f>
        <v>9061504</v>
      </c>
      <c r="Q405" s="42">
        <f>'Monthly D4 RIN Data'!$AH186</f>
        <v>7970709</v>
      </c>
      <c r="R405" s="43">
        <f>'D4 Gallon Forecast'!R375*AVERAGE('D4 RIN Forecast'!$BF$24)</f>
        <v>2928575.4674081681</v>
      </c>
      <c r="S405" s="43">
        <f>'D4 Gallon Forecast'!S375*AVERAGE('D4 RIN Forecast'!$BF$24)</f>
        <v>4195727.7611191766</v>
      </c>
      <c r="T405" s="43">
        <f>'D4 Gallon Forecast'!T375*AVERAGE('D4 RIN Forecast'!$BF$24)</f>
        <v>5447310.6109607648</v>
      </c>
      <c r="U405" s="43">
        <f>'D4 Gallon Forecast'!U375*AVERAGE('D4 RIN Forecast'!$BF$24)</f>
        <v>9114907.0300456192</v>
      </c>
      <c r="V405" s="43">
        <f>'D4 Gallon Forecast'!V375*AVERAGE('D4 RIN Forecast'!$BF$24:BJ$24)</f>
        <v>11346310.797448654</v>
      </c>
      <c r="W405" s="43">
        <f>'D4 Gallon Forecast'!W375*AVERAGE('D4 RIN Forecast'!$BF$24:BK$24)</f>
        <v>9434366.6597422678</v>
      </c>
      <c r="X405" s="43">
        <f>'D4 Gallon Forecast'!X375*AVERAGE('D4 RIN Forecast'!$BF$24:BL$24)</f>
        <v>8641212.1352450065</v>
      </c>
      <c r="Y405" s="43">
        <f>'D4 Gallon Forecast'!Y375*AVERAGE('D4 RIN Forecast'!$BF$24:BM$24)</f>
        <v>9202583.4887593873</v>
      </c>
      <c r="Z405" s="43">
        <f>'D4 Gallon Forecast'!Z375*AVERAGE('D4 RIN Forecast'!$BF$24:BN$24)</f>
        <v>10281117.916162649</v>
      </c>
      <c r="AA405" s="43">
        <f>'D4 Gallon Forecast'!AA375*AVERAGE('D4 RIN Forecast'!$BF$24:BO$24)</f>
        <v>10535987.934688749</v>
      </c>
      <c r="AB405" s="43">
        <f>'D4 Gallon Forecast'!AB375*AVERAGE('D4 RIN Forecast'!$BF$24:BP$24)</f>
        <v>9623210.9916386344</v>
      </c>
      <c r="AC405" s="43">
        <f>'D4 Gallon Forecast'!AC375*AVERAGE('D4 RIN Forecast'!$BF$24:BQ$24)</f>
        <v>9688184.4915762506</v>
      </c>
      <c r="AD405" s="43">
        <f>'D4 Gallon Forecast'!AD375*AVERAGE('D4 RIN Forecast'!$BF$24:BR$24)</f>
        <v>9957952.0689354129</v>
      </c>
      <c r="AE405" s="43">
        <f>'D4 Gallon Forecast'!AE375*AVERAGE('D4 RIN Forecast'!$BF$24:BS$24)</f>
        <v>8971555.9602282196</v>
      </c>
      <c r="AF405" s="43">
        <f>'D4 Gallon Forecast'!AF375*AVERAGE('D4 RIN Forecast'!$BF$24:BT$24)</f>
        <v>8492997.9762982875</v>
      </c>
      <c r="AG405" s="43">
        <f>'D4 Gallon Forecast'!AG375*AVERAGE('D4 RIN Forecast'!$BF$24:BU$24)</f>
        <v>8650275.5575092919</v>
      </c>
      <c r="AH405" s="43">
        <f>'D4 Gallon Forecast'!AH375*AVERAGE('D4 RIN Forecast'!$BF$24:BV$24)</f>
        <v>8943990.3915379439</v>
      </c>
      <c r="AI405" s="43">
        <f>'D4 Gallon Forecast'!AI375*AVERAGE('D4 RIN Forecast'!$BF$24:BW$24)</f>
        <v>9154375.6647432186</v>
      </c>
      <c r="AJ405" s="43">
        <f>'D4 Gallon Forecast'!AJ375*AVERAGE('D4 RIN Forecast'!$BF$24:BX$24)</f>
        <v>9256623.2468291987</v>
      </c>
      <c r="AK405" s="43">
        <f>'D4 Gallon Forecast'!AK375*AVERAGE('D4 RIN Forecast'!$BF$24:BY$24)</f>
        <v>9526352.6284510382</v>
      </c>
      <c r="AL405" s="43">
        <f>'D4 Gallon Forecast'!AL375*AVERAGE('D4 RIN Forecast'!$BF$24:BZ$24)</f>
        <v>10048945.912421305</v>
      </c>
      <c r="AM405" s="43">
        <f>'D4 Gallon Forecast'!AM375*AVERAGE('D4 RIN Forecast'!$BF$24:CA$24)</f>
        <v>10414317.330159528</v>
      </c>
      <c r="AN405" s="43">
        <f>'D4 Gallon Forecast'!AN375*AVERAGE('D4 RIN Forecast'!$BF$24:CB$24)</f>
        <v>10426348.669706838</v>
      </c>
      <c r="AO405" s="43">
        <f>'D4 Gallon Forecast'!AO375*AVERAGE('D4 RIN Forecast'!$BF$24:CC$24)</f>
        <v>10408050.863553187</v>
      </c>
      <c r="AP405" s="43">
        <f>'D4 Gallon Forecast'!AP375*AVERAGE('D4 RIN Forecast'!$BF$24:CD$24)</f>
        <v>10652172.956629286</v>
      </c>
      <c r="AQ405" s="43"/>
    </row>
    <row r="406" spans="1:43">
      <c r="A406" s="40" t="s">
        <v>46</v>
      </c>
      <c r="B406" s="42">
        <f>'Monthly D4 RIN Data'!$AH7</f>
        <v>0</v>
      </c>
      <c r="C406" s="42">
        <f>'Monthly D4 RIN Data'!$AH19</f>
        <v>0</v>
      </c>
      <c r="D406" s="42">
        <f>'Monthly D4 RIN Data'!$AH31</f>
        <v>0</v>
      </c>
      <c r="E406" s="42">
        <f>'Monthly D4 RIN Data'!$AH43</f>
        <v>0</v>
      </c>
      <c r="F406" s="42">
        <f>'Monthly D4 RIN Data'!$AH55</f>
        <v>0</v>
      </c>
      <c r="G406" s="42">
        <f>'Monthly D4 RIN Data'!$AH67</f>
        <v>0</v>
      </c>
      <c r="H406" s="42">
        <f>'Monthly D4 RIN Data'!$AH79</f>
        <v>0</v>
      </c>
      <c r="I406" s="42">
        <f>'Monthly D4 RIN Data'!$AH91</f>
        <v>0</v>
      </c>
      <c r="J406" s="42">
        <f>'Monthly D4 RIN Data'!$AH103</f>
        <v>0</v>
      </c>
      <c r="K406" s="42">
        <f>'Monthly D4 RIN Data'!$AH115</f>
        <v>0</v>
      </c>
      <c r="L406" s="42">
        <f>'Monthly D4 RIN Data'!$AH127</f>
        <v>0</v>
      </c>
      <c r="M406" s="42">
        <f>'Monthly D4 RIN Data'!$AH139</f>
        <v>0</v>
      </c>
      <c r="N406" s="42">
        <f>'Monthly D4 RIN Data'!$AH151</f>
        <v>0</v>
      </c>
      <c r="O406" s="42">
        <f>'Monthly D4 RIN Data'!$AH163</f>
        <v>2236686</v>
      </c>
      <c r="P406" s="42">
        <f>'Monthly D4 RIN Data'!$AH175</f>
        <v>9056261</v>
      </c>
      <c r="Q406" s="43">
        <f>'D4 Gallon Forecast'!Q376*AVERAGE('D4 RIN Forecast'!$BF$24)</f>
        <v>7845718.9956840882</v>
      </c>
      <c r="R406" s="43">
        <f>'D4 Gallon Forecast'!R376*AVERAGE('D4 RIN Forecast'!$BF$24)</f>
        <v>4627828.7413890399</v>
      </c>
      <c r="S406" s="43">
        <f>'D4 Gallon Forecast'!S376*AVERAGE('D4 RIN Forecast'!$BF$24)</f>
        <v>6656475.1650703317</v>
      </c>
      <c r="T406" s="43">
        <f>'D4 Gallon Forecast'!T376*AVERAGE('D4 RIN Forecast'!$BF$24)</f>
        <v>8738349.0836886056</v>
      </c>
      <c r="U406" s="43">
        <f>'D4 Gallon Forecast'!U376*AVERAGE('D4 RIN Forecast'!$BF$24)</f>
        <v>11368955.449605949</v>
      </c>
      <c r="V406" s="43">
        <f>'D4 Gallon Forecast'!V376*AVERAGE('D4 RIN Forecast'!$BF$24:BJ$24)</f>
        <v>15011479.746095965</v>
      </c>
      <c r="W406" s="43">
        <f>'D4 Gallon Forecast'!W376*AVERAGE('D4 RIN Forecast'!$BF$24:BK$24)</f>
        <v>13252988.78959175</v>
      </c>
      <c r="X406" s="43">
        <f>'D4 Gallon Forecast'!X376*AVERAGE('D4 RIN Forecast'!$BF$24:BL$24)</f>
        <v>12026487.819264637</v>
      </c>
      <c r="Y406" s="43">
        <f>'D4 Gallon Forecast'!Y376*AVERAGE('D4 RIN Forecast'!$BF$24:BM$24)</f>
        <v>12636838.014714433</v>
      </c>
      <c r="Z406" s="43">
        <f>'D4 Gallon Forecast'!Z376*AVERAGE('D4 RIN Forecast'!$BF$24:BN$24)</f>
        <v>13846900.927654626</v>
      </c>
      <c r="AA406" s="43">
        <f>'D4 Gallon Forecast'!AA376*AVERAGE('D4 RIN Forecast'!$BF$24:BO$24)</f>
        <v>14385622.780806579</v>
      </c>
      <c r="AB406" s="43">
        <f>'D4 Gallon Forecast'!AB376*AVERAGE('D4 RIN Forecast'!$BF$24:BP$24)</f>
        <v>13235485.585769191</v>
      </c>
      <c r="AC406" s="43">
        <f>'D4 Gallon Forecast'!AC376*AVERAGE('D4 RIN Forecast'!$BF$24:BQ$24)</f>
        <v>13269221.337428385</v>
      </c>
      <c r="AD406" s="43">
        <f>'D4 Gallon Forecast'!AD376*AVERAGE('D4 RIN Forecast'!$BF$24:BR$24)</f>
        <v>13600101.207567805</v>
      </c>
      <c r="AE406" s="43">
        <f>'D4 Gallon Forecast'!AE376*AVERAGE('D4 RIN Forecast'!$BF$24:BS$24)</f>
        <v>12240678.968349388</v>
      </c>
      <c r="AF406" s="43">
        <f>'D4 Gallon Forecast'!AF376*AVERAGE('D4 RIN Forecast'!$BF$24:BT$24)</f>
        <v>11619173.841396857</v>
      </c>
      <c r="AG406" s="43">
        <f>'D4 Gallon Forecast'!AG376*AVERAGE('D4 RIN Forecast'!$BF$24:BU$24)</f>
        <v>11839626.597669447</v>
      </c>
      <c r="AH406" s="43">
        <f>'D4 Gallon Forecast'!AH376*AVERAGE('D4 RIN Forecast'!$BF$24:BV$24)</f>
        <v>12229085.435070511</v>
      </c>
      <c r="AI406" s="43">
        <f>'D4 Gallon Forecast'!AI376*AVERAGE('D4 RIN Forecast'!$BF$24:BW$24)</f>
        <v>12512148.222043108</v>
      </c>
      <c r="AJ406" s="43">
        <f>'D4 Gallon Forecast'!AJ376*AVERAGE('D4 RIN Forecast'!$BF$24:BX$24)</f>
        <v>12654070.863784187</v>
      </c>
      <c r="AK406" s="43">
        <f>'D4 Gallon Forecast'!AK376*AVERAGE('D4 RIN Forecast'!$BF$24:BY$24)</f>
        <v>13027871.781467108</v>
      </c>
      <c r="AL406" s="43">
        <f>'D4 Gallon Forecast'!AL376*AVERAGE('D4 RIN Forecast'!$BF$24:BZ$24)</f>
        <v>13741561.868483583</v>
      </c>
      <c r="AM406" s="43">
        <f>'D4 Gallon Forecast'!AM376*AVERAGE('D4 RIN Forecast'!$BF$24:CA$24)</f>
        <v>14238820.502003275</v>
      </c>
      <c r="AN406" s="43">
        <f>'D4 Gallon Forecast'!AN376*AVERAGE('D4 RIN Forecast'!$BF$24:CB$24)</f>
        <v>14255152.214704307</v>
      </c>
      <c r="AO406" s="43">
        <f>'D4 Gallon Forecast'!AO376*AVERAGE('D4 RIN Forecast'!$BF$24:CC$24)</f>
        <v>14230958.945842981</v>
      </c>
      <c r="AP406" s="43">
        <f>'D4 Gallon Forecast'!AP376*AVERAGE('D4 RIN Forecast'!$BF$24:CD$24)</f>
        <v>14565279.679917412</v>
      </c>
      <c r="AQ406" s="43"/>
    </row>
    <row r="407" spans="1:43">
      <c r="A407" s="40" t="s">
        <v>47</v>
      </c>
      <c r="B407" s="42">
        <f>'Monthly D4 RIN Data'!$AH8</f>
        <v>0</v>
      </c>
      <c r="C407" s="42">
        <f>'Monthly D4 RIN Data'!$AH20</f>
        <v>0</v>
      </c>
      <c r="D407" s="42">
        <f>'Monthly D4 RIN Data'!$AH32</f>
        <v>0</v>
      </c>
      <c r="E407" s="42">
        <f>'Monthly D4 RIN Data'!$AH44</f>
        <v>0</v>
      </c>
      <c r="F407" s="42">
        <f>'Monthly D4 RIN Data'!$AH56</f>
        <v>0</v>
      </c>
      <c r="G407" s="42">
        <f>'Monthly D4 RIN Data'!$AH68</f>
        <v>0</v>
      </c>
      <c r="H407" s="42">
        <f>'Monthly D4 RIN Data'!$AH80</f>
        <v>0</v>
      </c>
      <c r="I407" s="42">
        <f>'Monthly D4 RIN Data'!$AH92</f>
        <v>0</v>
      </c>
      <c r="J407" s="42">
        <f>'Monthly D4 RIN Data'!$AH104</f>
        <v>0</v>
      </c>
      <c r="K407" s="42">
        <f>'Monthly D4 RIN Data'!$AH116</f>
        <v>0</v>
      </c>
      <c r="L407" s="42">
        <f>'Monthly D4 RIN Data'!$AH128</f>
        <v>0</v>
      </c>
      <c r="M407" s="42">
        <f>'Monthly D4 RIN Data'!$AH140</f>
        <v>0</v>
      </c>
      <c r="N407" s="42">
        <f>'Monthly D4 RIN Data'!$AH152</f>
        <v>0</v>
      </c>
      <c r="O407" s="42">
        <f>'Monthly D4 RIN Data'!$AH164</f>
        <v>0</v>
      </c>
      <c r="P407" s="42">
        <f>'Monthly D4 RIN Data'!$AH176</f>
        <v>23662851</v>
      </c>
      <c r="Q407" s="43">
        <f>'D4 Gallon Forecast'!Q377*AVERAGE('D4 RIN Forecast'!$BF$24)</f>
        <v>7551064.84131133</v>
      </c>
      <c r="R407" s="43">
        <f>'D4 Gallon Forecast'!R377*AVERAGE('D4 RIN Forecast'!$BF$24)</f>
        <v>5931718.434404403</v>
      </c>
      <c r="S407" s="43">
        <f>'D4 Gallon Forecast'!S377*AVERAGE('D4 RIN Forecast'!$BF$24)</f>
        <v>8706963.0505936425</v>
      </c>
      <c r="T407" s="43">
        <f>'D4 Gallon Forecast'!T377*AVERAGE('D4 RIN Forecast'!$BF$24)</f>
        <v>11509976.819610415</v>
      </c>
      <c r="U407" s="43">
        <f>'D4 Gallon Forecast'!U377*AVERAGE('D4 RIN Forecast'!$BF$24)</f>
        <v>17661720.959991913</v>
      </c>
      <c r="V407" s="43">
        <f>'D4 Gallon Forecast'!V377*AVERAGE('D4 RIN Forecast'!$BF$24:BJ$24)</f>
        <v>19649943.77343291</v>
      </c>
      <c r="W407" s="43">
        <f>'D4 Gallon Forecast'!W377*AVERAGE('D4 RIN Forecast'!$BF$24:BK$24)</f>
        <v>18124633.128162812</v>
      </c>
      <c r="X407" s="43">
        <f>'D4 Gallon Forecast'!X377*AVERAGE('D4 RIN Forecast'!$BF$24:BL$24)</f>
        <v>16534103.316023471</v>
      </c>
      <c r="Y407" s="43">
        <f>'D4 Gallon Forecast'!Y377*AVERAGE('D4 RIN Forecast'!$BF$24:BM$24)</f>
        <v>17466198.49702511</v>
      </c>
      <c r="Z407" s="43">
        <f>'D4 Gallon Forecast'!Z377*AVERAGE('D4 RIN Forecast'!$BF$24:BN$24)</f>
        <v>19261000.557965681</v>
      </c>
      <c r="AA407" s="43">
        <f>'D4 Gallon Forecast'!AA377*AVERAGE('D4 RIN Forecast'!$BF$24:BO$24)</f>
        <v>19612336.870492041</v>
      </c>
      <c r="AB407" s="43">
        <f>'D4 Gallon Forecast'!AB377*AVERAGE('D4 RIN Forecast'!$BF$24:BP$24)</f>
        <v>18207520.383370414</v>
      </c>
      <c r="AC407" s="43">
        <f>'D4 Gallon Forecast'!AC377*AVERAGE('D4 RIN Forecast'!$BF$24:BQ$24)</f>
        <v>18275391.905899238</v>
      </c>
      <c r="AD407" s="43">
        <f>'D4 Gallon Forecast'!AD377*AVERAGE('D4 RIN Forecast'!$BF$24:BR$24)</f>
        <v>18737100.421790209</v>
      </c>
      <c r="AE407" s="43">
        <f>'D4 Gallon Forecast'!AE377*AVERAGE('D4 RIN Forecast'!$BF$24:BS$24)</f>
        <v>16854133.181882646</v>
      </c>
      <c r="AF407" s="43">
        <f>'D4 Gallon Forecast'!AF377*AVERAGE('D4 RIN Forecast'!$BF$24:BT$24)</f>
        <v>15964385.78725017</v>
      </c>
      <c r="AG407" s="43">
        <f>'D4 Gallon Forecast'!AG377*AVERAGE('D4 RIN Forecast'!$BF$24:BU$24)</f>
        <v>16295612.701987848</v>
      </c>
      <c r="AH407" s="43">
        <f>'D4 Gallon Forecast'!AH377*AVERAGE('D4 RIN Forecast'!$BF$24:BV$24)</f>
        <v>16833466.683870863</v>
      </c>
      <c r="AI407" s="43">
        <f>'D4 Gallon Forecast'!AI377*AVERAGE('D4 RIN Forecast'!$BF$24:BW$24)</f>
        <v>17221038.115342483</v>
      </c>
      <c r="AJ407" s="43">
        <f>'D4 Gallon Forecast'!AJ377*AVERAGE('D4 RIN Forecast'!$BF$24:BX$24)</f>
        <v>17412465.309869796</v>
      </c>
      <c r="AK407" s="43">
        <f>'D4 Gallon Forecast'!AK377*AVERAGE('D4 RIN Forecast'!$BF$24:BY$24)</f>
        <v>17924578.995410044</v>
      </c>
      <c r="AL407" s="43">
        <f>'D4 Gallon Forecast'!AL377*AVERAGE('D4 RIN Forecast'!$BF$24:BZ$24)</f>
        <v>18911378.55115534</v>
      </c>
      <c r="AM407" s="43">
        <f>'D4 Gallon Forecast'!AM377*AVERAGE('D4 RIN Forecast'!$BF$24:CA$24)</f>
        <v>19595334.953948177</v>
      </c>
      <c r="AN407" s="43">
        <f>'D4 Gallon Forecast'!AN377*AVERAGE('D4 RIN Forecast'!$BF$24:CB$24)</f>
        <v>19616968.051376231</v>
      </c>
      <c r="AO407" s="43">
        <f>'D4 Gallon Forecast'!AO377*AVERAGE('D4 RIN Forecast'!$BF$24:CC$24)</f>
        <v>19583114.789063871</v>
      </c>
      <c r="AP407" s="43">
        <f>'D4 Gallon Forecast'!AP377*AVERAGE('D4 RIN Forecast'!$BF$24:CD$24)</f>
        <v>20043318.933162209</v>
      </c>
      <c r="AQ407" s="43"/>
    </row>
    <row r="408" spans="1:43">
      <c r="A408" s="40" t="s">
        <v>48</v>
      </c>
      <c r="B408" s="42">
        <f>'Monthly D4 RIN Data'!$AH9</f>
        <v>0</v>
      </c>
      <c r="C408" s="42">
        <f>'Monthly D4 RIN Data'!$AH21</f>
        <v>0</v>
      </c>
      <c r="D408" s="42">
        <f>'Monthly D4 RIN Data'!$AH33</f>
        <v>0</v>
      </c>
      <c r="E408" s="42">
        <f>'Monthly D4 RIN Data'!$AH45</f>
        <v>0</v>
      </c>
      <c r="F408" s="42">
        <f>'Monthly D4 RIN Data'!$AH57</f>
        <v>0</v>
      </c>
      <c r="G408" s="42">
        <f>'Monthly D4 RIN Data'!$AH69</f>
        <v>0</v>
      </c>
      <c r="H408" s="42">
        <f>'Monthly D4 RIN Data'!$AH81</f>
        <v>0</v>
      </c>
      <c r="I408" s="42">
        <f>'Monthly D4 RIN Data'!$AH93</f>
        <v>0</v>
      </c>
      <c r="J408" s="42">
        <f>'Monthly D4 RIN Data'!$AH105</f>
        <v>0</v>
      </c>
      <c r="K408" s="42">
        <f>'Monthly D4 RIN Data'!$AH117</f>
        <v>0</v>
      </c>
      <c r="L408" s="42">
        <f>'Monthly D4 RIN Data'!$AH129</f>
        <v>0</v>
      </c>
      <c r="M408" s="42">
        <f>'Monthly D4 RIN Data'!$AH141</f>
        <v>0</v>
      </c>
      <c r="N408" s="42">
        <f>'Monthly D4 RIN Data'!$AH153</f>
        <v>2447176</v>
      </c>
      <c r="O408" s="42">
        <f>'Monthly D4 RIN Data'!$AH165</f>
        <v>2096198</v>
      </c>
      <c r="P408" s="42">
        <f>'Monthly D4 RIN Data'!$AH177</f>
        <v>5233043</v>
      </c>
      <c r="Q408" s="43">
        <f>'D4 Gallon Forecast'!Q378*AVERAGE('D4 RIN Forecast'!$BF$24)</f>
        <v>8119589.4299093606</v>
      </c>
      <c r="R408" s="43">
        <f>'D4 Gallon Forecast'!R378*AVERAGE('D4 RIN Forecast'!$BF$24)</f>
        <v>5831353.8750447966</v>
      </c>
      <c r="S408" s="43">
        <f>'D4 Gallon Forecast'!S378*AVERAGE('D4 RIN Forecast'!$BF$24)</f>
        <v>8389544.5150807351</v>
      </c>
      <c r="T408" s="43">
        <f>'D4 Gallon Forecast'!T378*AVERAGE('D4 RIN Forecast'!$BF$24)</f>
        <v>10965955.427231004</v>
      </c>
      <c r="U408" s="43">
        <f>'D4 Gallon Forecast'!U378*AVERAGE('D4 RIN Forecast'!$BF$24)</f>
        <v>11866162.7111855</v>
      </c>
      <c r="V408" s="43">
        <f>'D4 Gallon Forecast'!V378*AVERAGE('D4 RIN Forecast'!$BF$24:BJ$24)</f>
        <v>17282208.135593347</v>
      </c>
      <c r="W408" s="43">
        <f>'D4 Gallon Forecast'!W378*AVERAGE('D4 RIN Forecast'!$BF$24:BK$24)</f>
        <v>15518452.572101748</v>
      </c>
      <c r="X408" s="43">
        <f>'D4 Gallon Forecast'!X378*AVERAGE('D4 RIN Forecast'!$BF$24:BL$24)</f>
        <v>13992153.425376672</v>
      </c>
      <c r="Y408" s="43">
        <f>'D4 Gallon Forecast'!Y378*AVERAGE('D4 RIN Forecast'!$BF$24:BM$24)</f>
        <v>14567290.151822161</v>
      </c>
      <c r="Z408" s="43">
        <f>'D4 Gallon Forecast'!Z378*AVERAGE('D4 RIN Forecast'!$BF$24:BN$24)</f>
        <v>15769955.210502407</v>
      </c>
      <c r="AA408" s="43">
        <f>'D4 Gallon Forecast'!AA378*AVERAGE('D4 RIN Forecast'!$BF$24:BO$24)</f>
        <v>16616533.194692962</v>
      </c>
      <c r="AB408" s="43">
        <f>'D4 Gallon Forecast'!AB378*AVERAGE('D4 RIN Forecast'!$BF$24:BP$24)</f>
        <v>15299486.508509345</v>
      </c>
      <c r="AC408" s="43">
        <f>'D4 Gallon Forecast'!AC378*AVERAGE('D4 RIN Forecast'!$BF$24:BQ$24)</f>
        <v>15298607.414515417</v>
      </c>
      <c r="AD408" s="43">
        <f>'D4 Gallon Forecast'!AD378*AVERAGE('D4 RIN Forecast'!$BF$24:BR$24)</f>
        <v>15654588.415933196</v>
      </c>
      <c r="AE408" s="43">
        <f>'D4 Gallon Forecast'!AE378*AVERAGE('D4 RIN Forecast'!$BF$24:BS$24)</f>
        <v>14085958.838462019</v>
      </c>
      <c r="AF408" s="43">
        <f>'D4 Gallon Forecast'!AF378*AVERAGE('D4 RIN Forecast'!$BF$24:BT$24)</f>
        <v>13399380.748105291</v>
      </c>
      <c r="AG408" s="43">
        <f>'D4 Gallon Forecast'!AG378*AVERAGE('D4 RIN Forecast'!$BF$24:BU$24)</f>
        <v>13648640.246229529</v>
      </c>
      <c r="AH408" s="43">
        <f>'D4 Gallon Forecast'!AH378*AVERAGE('D4 RIN Forecast'!$BF$24:BV$24)</f>
        <v>14089453.568717275</v>
      </c>
      <c r="AI408" s="43">
        <f>'D4 Gallon Forecast'!AI378*AVERAGE('D4 RIN Forecast'!$BF$24:BW$24)</f>
        <v>14413384.388077985</v>
      </c>
      <c r="AJ408" s="43">
        <f>'D4 Gallon Forecast'!AJ378*AVERAGE('D4 RIN Forecast'!$BF$24:BX$24)</f>
        <v>14579398.262511076</v>
      </c>
      <c r="AK408" s="43">
        <f>'D4 Gallon Forecast'!AK378*AVERAGE('D4 RIN Forecast'!$BF$24:BY$24)</f>
        <v>15013744.752005054</v>
      </c>
      <c r="AL408" s="43">
        <f>'D4 Gallon Forecast'!AL378*AVERAGE('D4 RIN Forecast'!$BF$24:BZ$24)</f>
        <v>15834223.730252502</v>
      </c>
      <c r="AM408" s="43">
        <f>'D4 Gallon Forecast'!AM378*AVERAGE('D4 RIN Forecast'!$BF$24:CA$24)</f>
        <v>16405878.749462161</v>
      </c>
      <c r="AN408" s="43">
        <f>'D4 Gallon Forecast'!AN378*AVERAGE('D4 RIN Forecast'!$BF$24:CB$24)</f>
        <v>16424872.940431373</v>
      </c>
      <c r="AO408" s="43">
        <f>'D4 Gallon Forecast'!AO378*AVERAGE('D4 RIN Forecast'!$BF$24:CC$24)</f>
        <v>16397665.461628927</v>
      </c>
      <c r="AP408" s="43">
        <f>'D4 Gallon Forecast'!AP378*AVERAGE('D4 RIN Forecast'!$BF$24:CD$24)</f>
        <v>16783158.566427201</v>
      </c>
      <c r="AQ408" s="43"/>
    </row>
    <row r="409" spans="1:43">
      <c r="A409" s="40" t="s">
        <v>49</v>
      </c>
      <c r="B409" s="42">
        <f>'Monthly D4 RIN Data'!$AH10</f>
        <v>0</v>
      </c>
      <c r="C409" s="42">
        <f>'Monthly D4 RIN Data'!$AH22</f>
        <v>0</v>
      </c>
      <c r="D409" s="42">
        <f>'Monthly D4 RIN Data'!$AH34</f>
        <v>0</v>
      </c>
      <c r="E409" s="42">
        <f>'Monthly D4 RIN Data'!$AH46</f>
        <v>0</v>
      </c>
      <c r="F409" s="42">
        <f>'Monthly D4 RIN Data'!$AH58</f>
        <v>0</v>
      </c>
      <c r="G409" s="42">
        <f>'Monthly D4 RIN Data'!$AH70</f>
        <v>0</v>
      </c>
      <c r="H409" s="42">
        <f>'Monthly D4 RIN Data'!$AH82</f>
        <v>0</v>
      </c>
      <c r="I409" s="42">
        <f>'Monthly D4 RIN Data'!$AH94</f>
        <v>0</v>
      </c>
      <c r="J409" s="42">
        <f>'Monthly D4 RIN Data'!$AH106</f>
        <v>0</v>
      </c>
      <c r="K409" s="42">
        <f>'Monthly D4 RIN Data'!$AH118</f>
        <v>0</v>
      </c>
      <c r="L409" s="42">
        <f>'Monthly D4 RIN Data'!$AH130</f>
        <v>0</v>
      </c>
      <c r="M409" s="42">
        <f>'Monthly D4 RIN Data'!$AH142</f>
        <v>0</v>
      </c>
      <c r="N409" s="42">
        <f>'Monthly D4 RIN Data'!$AH154</f>
        <v>0</v>
      </c>
      <c r="O409" s="42">
        <f>'Monthly D4 RIN Data'!$AH166</f>
        <v>0</v>
      </c>
      <c r="P409" s="42">
        <f>'Monthly D4 RIN Data'!$AH178</f>
        <v>11099915</v>
      </c>
      <c r="Q409" s="43">
        <f>'D4 Gallon Forecast'!Q379*AVERAGE('D4 RIN Forecast'!$BF$24)</f>
        <v>12337405.36272697</v>
      </c>
      <c r="R409" s="43">
        <f>'D4 Gallon Forecast'!R379*AVERAGE('D4 RIN Forecast'!$BF$24)</f>
        <v>6596308.0018654102</v>
      </c>
      <c r="S409" s="43">
        <f>'D4 Gallon Forecast'!S379*AVERAGE('D4 RIN Forecast'!$BF$24)</f>
        <v>9178279.5144865606</v>
      </c>
      <c r="T409" s="43">
        <f>'D4 Gallon Forecast'!T379*AVERAGE('D4 RIN Forecast'!$BF$24)</f>
        <v>11941285.982377181</v>
      </c>
      <c r="U409" s="43">
        <f>'D4 Gallon Forecast'!U379*AVERAGE('D4 RIN Forecast'!$BF$24)</f>
        <v>15749875.87463828</v>
      </c>
      <c r="V409" s="43">
        <f>'D4 Gallon Forecast'!V379*AVERAGE('D4 RIN Forecast'!$BF$24:BJ$24)</f>
        <v>21349260.559794515</v>
      </c>
      <c r="W409" s="43">
        <f>'D4 Gallon Forecast'!W379*AVERAGE('D4 RIN Forecast'!$BF$24:BK$24)</f>
        <v>18511539.507570442</v>
      </c>
      <c r="X409" s="43">
        <f>'D4 Gallon Forecast'!X379*AVERAGE('D4 RIN Forecast'!$BF$24:BL$24)</f>
        <v>16769483.744119486</v>
      </c>
      <c r="Y409" s="43">
        <f>'D4 Gallon Forecast'!Y379*AVERAGE('D4 RIN Forecast'!$BF$24:BM$24)</f>
        <v>17642171.058999069</v>
      </c>
      <c r="Z409" s="43">
        <f>'D4 Gallon Forecast'!Z379*AVERAGE('D4 RIN Forecast'!$BF$24:BN$24)</f>
        <v>19387143.187112078</v>
      </c>
      <c r="AA409" s="43">
        <f>'D4 Gallon Forecast'!AA379*AVERAGE('D4 RIN Forecast'!$BF$24:BO$24)</f>
        <v>20177578.370117657</v>
      </c>
      <c r="AB409" s="43">
        <f>'D4 Gallon Forecast'!AB379*AVERAGE('D4 RIN Forecast'!$BF$24:BP$24)</f>
        <v>18505577.848272022</v>
      </c>
      <c r="AC409" s="43">
        <f>'D4 Gallon Forecast'!AC379*AVERAGE('D4 RIN Forecast'!$BF$24:BQ$24)</f>
        <v>18556460.681353349</v>
      </c>
      <c r="AD409" s="43">
        <f>'D4 Gallon Forecast'!AD379*AVERAGE('D4 RIN Forecast'!$BF$24:BR$24)</f>
        <v>19029086.858967517</v>
      </c>
      <c r="AE409" s="43">
        <f>'D4 Gallon Forecast'!AE379*AVERAGE('D4 RIN Forecast'!$BF$24:BS$24)</f>
        <v>17134009.80688037</v>
      </c>
      <c r="AF409" s="43">
        <f>'D4 Gallon Forecast'!AF379*AVERAGE('D4 RIN Forecast'!$BF$24:BT$24)</f>
        <v>16263214.685469229</v>
      </c>
      <c r="AG409" s="43">
        <f>'D4 Gallon Forecast'!AG379*AVERAGE('D4 RIN Forecast'!$BF$24:BU$24)</f>
        <v>16563968.789223926</v>
      </c>
      <c r="AH409" s="43">
        <f>'D4 Gallon Forecast'!AH379*AVERAGE('D4 RIN Forecast'!$BF$24:BV$24)</f>
        <v>17111028.814123694</v>
      </c>
      <c r="AI409" s="43">
        <f>'D4 Gallon Forecast'!AI379*AVERAGE('D4 RIN Forecast'!$BF$24:BW$24)</f>
        <v>17509112.563504808</v>
      </c>
      <c r="AJ409" s="43">
        <f>'D4 Gallon Forecast'!AJ379*AVERAGE('D4 RIN Forecast'!$BF$24:BX$24)</f>
        <v>17708232.551596262</v>
      </c>
      <c r="AK409" s="43">
        <f>'D4 Gallon Forecast'!AK379*AVERAGE('D4 RIN Forecast'!$BF$24:BY$24)</f>
        <v>18230416.568733953</v>
      </c>
      <c r="AL409" s="43">
        <f>'D4 Gallon Forecast'!AL379*AVERAGE('D4 RIN Forecast'!$BF$24:BZ$24)</f>
        <v>19228218.633523192</v>
      </c>
      <c r="AM409" s="43">
        <f>'D4 Gallon Forecast'!AM379*AVERAGE('D4 RIN Forecast'!$BF$24:CA$24)</f>
        <v>19924668.016735304</v>
      </c>
      <c r="AN409" s="43">
        <f>'D4 Gallon Forecast'!AN379*AVERAGE('D4 RIN Forecast'!$BF$24:CB$24)</f>
        <v>19947817.830594443</v>
      </c>
      <c r="AO409" s="43">
        <f>'D4 Gallon Forecast'!AO379*AVERAGE('D4 RIN Forecast'!$BF$24:CC$24)</f>
        <v>19913889.53904878</v>
      </c>
      <c r="AP409" s="43">
        <f>'D4 Gallon Forecast'!AP379*AVERAGE('D4 RIN Forecast'!$BF$24:CD$24)</f>
        <v>20381519.715026647</v>
      </c>
      <c r="AQ409" s="43"/>
    </row>
    <row r="410" spans="1:43">
      <c r="A410" s="40" t="s">
        <v>50</v>
      </c>
      <c r="B410" s="42">
        <f>'Monthly D4 RIN Data'!$AH11</f>
        <v>0</v>
      </c>
      <c r="C410" s="42">
        <f>'Monthly D4 RIN Data'!$AH23</f>
        <v>0</v>
      </c>
      <c r="D410" s="42">
        <f>'Monthly D4 RIN Data'!$AH35</f>
        <v>0</v>
      </c>
      <c r="E410" s="42">
        <f>'Monthly D4 RIN Data'!$AH47</f>
        <v>0</v>
      </c>
      <c r="F410" s="42">
        <f>'Monthly D4 RIN Data'!$AH59</f>
        <v>0</v>
      </c>
      <c r="G410" s="42">
        <f>'Monthly D4 RIN Data'!$AH71</f>
        <v>0</v>
      </c>
      <c r="H410" s="42">
        <f>'Monthly D4 RIN Data'!$AH83</f>
        <v>0</v>
      </c>
      <c r="I410" s="42">
        <f>'Monthly D4 RIN Data'!$AH95</f>
        <v>0</v>
      </c>
      <c r="J410" s="42">
        <f>'Monthly D4 RIN Data'!$AH107</f>
        <v>0</v>
      </c>
      <c r="K410" s="42">
        <f>'Monthly D4 RIN Data'!$AH119</f>
        <v>0</v>
      </c>
      <c r="L410" s="42">
        <f>'Monthly D4 RIN Data'!$AH131</f>
        <v>0</v>
      </c>
      <c r="M410" s="42">
        <f>'Monthly D4 RIN Data'!$AH143</f>
        <v>0</v>
      </c>
      <c r="N410" s="42">
        <f>'Monthly D4 RIN Data'!$AH155</f>
        <v>2635191</v>
      </c>
      <c r="O410" s="42">
        <f>'Monthly D4 RIN Data'!$AH167</f>
        <v>2298118</v>
      </c>
      <c r="P410" s="42">
        <f>'Monthly D4 RIN Data'!$AH179</f>
        <v>11187097</v>
      </c>
      <c r="Q410" s="43">
        <f>'D4 Gallon Forecast'!Q380*AVERAGE('D4 RIN Forecast'!$BF$24)</f>
        <v>10161306.239495274</v>
      </c>
      <c r="R410" s="43">
        <f>'D4 Gallon Forecast'!R380*AVERAGE('D4 RIN Forecast'!$BF$24)</f>
        <v>6871271.8593848953</v>
      </c>
      <c r="S410" s="43">
        <f>'D4 Gallon Forecast'!S380*AVERAGE('D4 RIN Forecast'!$BF$24)</f>
        <v>9837263.8515435457</v>
      </c>
      <c r="T410" s="43">
        <f>'D4 Gallon Forecast'!T380*AVERAGE('D4 RIN Forecast'!$BF$24)</f>
        <v>13011656.978294253</v>
      </c>
      <c r="U410" s="43">
        <f>'D4 Gallon Forecast'!U380*AVERAGE('D4 RIN Forecast'!$BF$24)</f>
        <v>15723828.615355438</v>
      </c>
      <c r="V410" s="43">
        <f>'D4 Gallon Forecast'!V380*AVERAGE('D4 RIN Forecast'!$BF$24:BJ$24)</f>
        <v>21273575.514957134</v>
      </c>
      <c r="W410" s="43">
        <f>'D4 Gallon Forecast'!W380*AVERAGE('D4 RIN Forecast'!$BF$24:BK$24)</f>
        <v>19054929.254426979</v>
      </c>
      <c r="X410" s="43">
        <f>'D4 Gallon Forecast'!X380*AVERAGE('D4 RIN Forecast'!$BF$24:BL$24)</f>
        <v>17243961.112659205</v>
      </c>
      <c r="Y410" s="43">
        <f>'D4 Gallon Forecast'!Y380*AVERAGE('D4 RIN Forecast'!$BF$24:BM$24)</f>
        <v>18057798.124028623</v>
      </c>
      <c r="Z410" s="43">
        <f>'D4 Gallon Forecast'!Z380*AVERAGE('D4 RIN Forecast'!$BF$24:BN$24)</f>
        <v>19673950.449687351</v>
      </c>
      <c r="AA410" s="43">
        <f>'D4 Gallon Forecast'!AA380*AVERAGE('D4 RIN Forecast'!$BF$24:BO$24)</f>
        <v>20531886.704451326</v>
      </c>
      <c r="AB410" s="43">
        <f>'D4 Gallon Forecast'!AB380*AVERAGE('D4 RIN Forecast'!$BF$24:BP$24)</f>
        <v>18920679.133611523</v>
      </c>
      <c r="AC410" s="43">
        <f>'D4 Gallon Forecast'!AC380*AVERAGE('D4 RIN Forecast'!$BF$24:BQ$24)</f>
        <v>18946989.139380828</v>
      </c>
      <c r="AD410" s="43">
        <f>'D4 Gallon Forecast'!AD380*AVERAGE('D4 RIN Forecast'!$BF$24:BR$24)</f>
        <v>19405024.570703395</v>
      </c>
      <c r="AE410" s="43">
        <f>'D4 Gallon Forecast'!AE380*AVERAGE('D4 RIN Forecast'!$BF$24:BS$24)</f>
        <v>17460491.358045567</v>
      </c>
      <c r="AF410" s="43">
        <f>'D4 Gallon Forecast'!AF380*AVERAGE('D4 RIN Forecast'!$BF$24:BT$24)</f>
        <v>16587487.033617662</v>
      </c>
      <c r="AG410" s="43">
        <f>'D4 Gallon Forecast'!AG380*AVERAGE('D4 RIN Forecast'!$BF$24:BU$24)</f>
        <v>16903124.822013646</v>
      </c>
      <c r="AH410" s="43">
        <f>'D4 Gallon Forecast'!AH380*AVERAGE('D4 RIN Forecast'!$BF$24:BV$24)</f>
        <v>17454312.890782036</v>
      </c>
      <c r="AI410" s="43">
        <f>'D4 Gallon Forecast'!AI380*AVERAGE('D4 RIN Forecast'!$BF$24:BW$24)</f>
        <v>17856672.665010463</v>
      </c>
      <c r="AJ410" s="43">
        <f>'D4 Gallon Forecast'!AJ380*AVERAGE('D4 RIN Forecast'!$BF$24:BX$24)</f>
        <v>18060120.882119682</v>
      </c>
      <c r="AK410" s="43">
        <f>'D4 Gallon Forecast'!AK380*AVERAGE('D4 RIN Forecast'!$BF$24:BY$24)</f>
        <v>18595677.800054658</v>
      </c>
      <c r="AL410" s="43">
        <f>'D4 Gallon Forecast'!AL380*AVERAGE('D4 RIN Forecast'!$BF$24:BZ$24)</f>
        <v>19613819.113716088</v>
      </c>
      <c r="AM410" s="43">
        <f>'D4 Gallon Forecast'!AM380*AVERAGE('D4 RIN Forecast'!$BF$24:CA$24)</f>
        <v>20322685.16576305</v>
      </c>
      <c r="AN410" s="43">
        <f>'D4 Gallon Forecast'!AN380*AVERAGE('D4 RIN Forecast'!$BF$24:CB$24)</f>
        <v>20345980.227800209</v>
      </c>
      <c r="AO410" s="43">
        <f>'D4 Gallon Forecast'!AO380*AVERAGE('D4 RIN Forecast'!$BF$24:CC$24)</f>
        <v>20311778.125517242</v>
      </c>
      <c r="AP410" s="43">
        <f>'D4 Gallon Forecast'!AP380*AVERAGE('D4 RIN Forecast'!$BF$24:CD$24)</f>
        <v>20789156.319971971</v>
      </c>
      <c r="AQ410" s="43"/>
    </row>
    <row r="411" spans="1:43">
      <c r="A411" s="40" t="s">
        <v>51</v>
      </c>
      <c r="B411" s="42">
        <f>'Monthly D4 RIN Data'!$AH12</f>
        <v>0</v>
      </c>
      <c r="C411" s="42">
        <f>'Monthly D4 RIN Data'!$AH24</f>
        <v>0</v>
      </c>
      <c r="D411" s="42">
        <f>'Monthly D4 RIN Data'!$AH36</f>
        <v>0</v>
      </c>
      <c r="E411" s="42">
        <f>'Monthly D4 RIN Data'!$AH48</f>
        <v>0</v>
      </c>
      <c r="F411" s="42">
        <f>'Monthly D4 RIN Data'!$AH60</f>
        <v>0</v>
      </c>
      <c r="G411" s="42">
        <f>'Monthly D4 RIN Data'!$AH72</f>
        <v>0</v>
      </c>
      <c r="H411" s="42">
        <f>'Monthly D4 RIN Data'!$AH84</f>
        <v>0</v>
      </c>
      <c r="I411" s="42">
        <f>'Monthly D4 RIN Data'!$AH96</f>
        <v>0</v>
      </c>
      <c r="J411" s="42">
        <f>'Monthly D4 RIN Data'!$AH108</f>
        <v>0</v>
      </c>
      <c r="K411" s="42">
        <f>'Monthly D4 RIN Data'!$AH120</f>
        <v>0</v>
      </c>
      <c r="L411" s="42">
        <f>'Monthly D4 RIN Data'!$AH132</f>
        <v>0</v>
      </c>
      <c r="M411" s="42">
        <f>'Monthly D4 RIN Data'!$AH144</f>
        <v>0</v>
      </c>
      <c r="N411" s="42">
        <f>'Monthly D4 RIN Data'!$AH156</f>
        <v>0</v>
      </c>
      <c r="O411" s="42">
        <f>'Monthly D4 RIN Data'!$AH168</f>
        <v>2406019</v>
      </c>
      <c r="P411" s="42">
        <f>'Monthly D4 RIN Data'!$AH180</f>
        <v>18330073</v>
      </c>
      <c r="Q411" s="43">
        <f>'D4 Gallon Forecast'!Q381*AVERAGE('D4 RIN Forecast'!$BF$24)</f>
        <v>11533290.916985057</v>
      </c>
      <c r="R411" s="43">
        <f>'D4 Gallon Forecast'!R381*AVERAGE('D4 RIN Forecast'!$BF$24)</f>
        <v>8319473.9400362819</v>
      </c>
      <c r="S411" s="43">
        <f>'D4 Gallon Forecast'!S381*AVERAGE('D4 RIN Forecast'!$BF$24)</f>
        <v>12002906.616084555</v>
      </c>
      <c r="T411" s="43">
        <f>'D4 Gallon Forecast'!T381*AVERAGE('D4 RIN Forecast'!$BF$24)</f>
        <v>15825336.956462312</v>
      </c>
      <c r="U411" s="43">
        <f>'D4 Gallon Forecast'!U381*AVERAGE('D4 RIN Forecast'!$BF$24)</f>
        <v>20324563.7416519</v>
      </c>
      <c r="V411" s="43">
        <f>'D4 Gallon Forecast'!V381*AVERAGE('D4 RIN Forecast'!$BF$24:BJ$24)</f>
        <v>26017681.019424453</v>
      </c>
      <c r="W411" s="43">
        <f>'D4 Gallon Forecast'!W381*AVERAGE('D4 RIN Forecast'!$BF$24:BK$24)</f>
        <v>23559607.510725372</v>
      </c>
      <c r="X411" s="43">
        <f>'D4 Gallon Forecast'!X381*AVERAGE('D4 RIN Forecast'!$BF$24:BL$24)</f>
        <v>21359026.403586313</v>
      </c>
      <c r="Y411" s="43">
        <f>'D4 Gallon Forecast'!Y381*AVERAGE('D4 RIN Forecast'!$BF$24:BM$24)</f>
        <v>22405134.525526226</v>
      </c>
      <c r="Z411" s="43">
        <f>'D4 Gallon Forecast'!Z381*AVERAGE('D4 RIN Forecast'!$BF$24:BN$24)</f>
        <v>24479029.311855488</v>
      </c>
      <c r="AA411" s="43">
        <f>'D4 Gallon Forecast'!AA381*AVERAGE('D4 RIN Forecast'!$BF$24:BO$24)</f>
        <v>25382683.602567859</v>
      </c>
      <c r="AB411" s="43">
        <f>'D4 Gallon Forecast'!AB381*AVERAGE('D4 RIN Forecast'!$BF$24:BP$24)</f>
        <v>23447225.808367152</v>
      </c>
      <c r="AC411" s="43">
        <f>'D4 Gallon Forecast'!AC381*AVERAGE('D4 RIN Forecast'!$BF$24:BQ$24)</f>
        <v>23490662.466265798</v>
      </c>
      <c r="AD411" s="43">
        <f>'D4 Gallon Forecast'!AD381*AVERAGE('D4 RIN Forecast'!$BF$24:BR$24)</f>
        <v>24062617.898997936</v>
      </c>
      <c r="AE411" s="43">
        <f>'D4 Gallon Forecast'!AE381*AVERAGE('D4 RIN Forecast'!$BF$24:BS$24)</f>
        <v>21649010.627746757</v>
      </c>
      <c r="AF411" s="43">
        <f>'D4 Gallon Forecast'!AF381*AVERAGE('D4 RIN Forecast'!$BF$24:BT$24)</f>
        <v>20551683.582722805</v>
      </c>
      <c r="AG411" s="43">
        <f>'D4 Gallon Forecast'!AG381*AVERAGE('D4 RIN Forecast'!$BF$24:BU$24)</f>
        <v>20953131.35798898</v>
      </c>
      <c r="AH411" s="43">
        <f>'D4 Gallon Forecast'!AH381*AVERAGE('D4 RIN Forecast'!$BF$24:BV$24)</f>
        <v>21637727.021888554</v>
      </c>
      <c r="AI411" s="43">
        <f>'D4 Gallon Forecast'!AI381*AVERAGE('D4 RIN Forecast'!$BF$24:BW$24)</f>
        <v>22136015.668570492</v>
      </c>
      <c r="AJ411" s="43">
        <f>'D4 Gallon Forecast'!AJ381*AVERAGE('D4 RIN Forecast'!$BF$24:BX$24)</f>
        <v>22386715.136796381</v>
      </c>
      <c r="AK411" s="43">
        <f>'D4 Gallon Forecast'!AK381*AVERAGE('D4 RIN Forecast'!$BF$24:BY$24)</f>
        <v>23049379.657470293</v>
      </c>
      <c r="AL411" s="43">
        <f>'D4 Gallon Forecast'!AL381*AVERAGE('D4 RIN Forecast'!$BF$24:BZ$24)</f>
        <v>24313252.559453238</v>
      </c>
      <c r="AM411" s="43">
        <f>'D4 Gallon Forecast'!AM381*AVERAGE('D4 RIN Forecast'!$BF$24:CA$24)</f>
        <v>25191950.408459745</v>
      </c>
      <c r="AN411" s="43">
        <f>'D4 Gallon Forecast'!AN381*AVERAGE('D4 RIN Forecast'!$BF$24:CB$24)</f>
        <v>25220524.504169758</v>
      </c>
      <c r="AO411" s="43">
        <f>'D4 Gallon Forecast'!AO381*AVERAGE('D4 RIN Forecast'!$BF$24:CC$24)</f>
        <v>25177878.055276524</v>
      </c>
      <c r="AP411" s="43">
        <f>'D4 Gallon Forecast'!AP381*AVERAGE('D4 RIN Forecast'!$BF$24:CD$24)</f>
        <v>25769637.705801617</v>
      </c>
      <c r="AQ411" s="43"/>
    </row>
    <row r="412" spans="1:43">
      <c r="A412" s="40" t="s">
        <v>52</v>
      </c>
      <c r="B412" s="42">
        <f>'Monthly D4 RIN Data'!$AH13</f>
        <v>0</v>
      </c>
      <c r="C412" s="42">
        <f>'Monthly D4 RIN Data'!$AH25</f>
        <v>0</v>
      </c>
      <c r="D412" s="42">
        <f>'Monthly D4 RIN Data'!$AH37</f>
        <v>0</v>
      </c>
      <c r="E412" s="42">
        <f>'Monthly D4 RIN Data'!$AH49</f>
        <v>0</v>
      </c>
      <c r="F412" s="42">
        <f>'Monthly D4 RIN Data'!$AH61</f>
        <v>0</v>
      </c>
      <c r="G412" s="42">
        <f>'Monthly D4 RIN Data'!$AH73</f>
        <v>0</v>
      </c>
      <c r="H412" s="42">
        <f>'Monthly D4 RIN Data'!$AH85</f>
        <v>0</v>
      </c>
      <c r="I412" s="42">
        <f>'Monthly D4 RIN Data'!$AH97</f>
        <v>0</v>
      </c>
      <c r="J412" s="42">
        <f>'Monthly D4 RIN Data'!$AH109</f>
        <v>0</v>
      </c>
      <c r="K412" s="42">
        <f>'Monthly D4 RIN Data'!$AH121</f>
        <v>0</v>
      </c>
      <c r="L412" s="42">
        <f>'Monthly D4 RIN Data'!$AH133</f>
        <v>0</v>
      </c>
      <c r="M412" s="42">
        <f>'Monthly D4 RIN Data'!$AH145</f>
        <v>0</v>
      </c>
      <c r="N412" s="42">
        <f>'Monthly D4 RIN Data'!$AH157</f>
        <v>0</v>
      </c>
      <c r="O412" s="42">
        <f>'Monthly D4 RIN Data'!$AH169</f>
        <v>2289184</v>
      </c>
      <c r="P412" s="42">
        <f>'Monthly D4 RIN Data'!$AH181</f>
        <v>7808944</v>
      </c>
      <c r="Q412" s="43">
        <f>'D4 Gallon Forecast'!Q382*AVERAGE('D4 RIN Forecast'!$BF$24)</f>
        <v>8670413.4202391095</v>
      </c>
      <c r="R412" s="43">
        <f>'D4 Gallon Forecast'!R382*AVERAGE('D4 RIN Forecast'!$BF$24)</f>
        <v>8287867.9254657803</v>
      </c>
      <c r="S412" s="43">
        <f>'D4 Gallon Forecast'!S382*AVERAGE('D4 RIN Forecast'!$BF$24)</f>
        <v>11934993.541152904</v>
      </c>
      <c r="T412" s="43">
        <f>'D4 Gallon Forecast'!T382*AVERAGE('D4 RIN Forecast'!$BF$24)</f>
        <v>15421783.576322995</v>
      </c>
      <c r="U412" s="43">
        <f>'D4 Gallon Forecast'!U382*AVERAGE('D4 RIN Forecast'!$BF$24)</f>
        <v>16048784.041710237</v>
      </c>
      <c r="V412" s="43">
        <f>'D4 Gallon Forecast'!V382*AVERAGE('D4 RIN Forecast'!$BF$24:BJ$24)</f>
        <v>23094095.810926441</v>
      </c>
      <c r="W412" s="43">
        <f>'D4 Gallon Forecast'!W382*AVERAGE('D4 RIN Forecast'!$BF$24:BK$24)</f>
        <v>21359747.104369182</v>
      </c>
      <c r="X412" s="43">
        <f>'D4 Gallon Forecast'!X382*AVERAGE('D4 RIN Forecast'!$BF$24:BL$24)</f>
        <v>19201775.206537474</v>
      </c>
      <c r="Y412" s="43">
        <f>'D4 Gallon Forecast'!Y382*AVERAGE('D4 RIN Forecast'!$BF$24:BM$24)</f>
        <v>19902794.923121203</v>
      </c>
      <c r="Z412" s="43">
        <f>'D4 Gallon Forecast'!Z382*AVERAGE('D4 RIN Forecast'!$BF$24:BN$24)</f>
        <v>21451332.986386329</v>
      </c>
      <c r="AA412" s="43">
        <f>'D4 Gallon Forecast'!AA382*AVERAGE('D4 RIN Forecast'!$BF$24:BO$24)</f>
        <v>22622800.268142518</v>
      </c>
      <c r="AB412" s="43">
        <f>'D4 Gallon Forecast'!AB382*AVERAGE('D4 RIN Forecast'!$BF$24:BP$24)</f>
        <v>20916726.423724167</v>
      </c>
      <c r="AC412" s="43">
        <f>'D4 Gallon Forecast'!AC382*AVERAGE('D4 RIN Forecast'!$BF$24:BQ$24)</f>
        <v>20886699.106628813</v>
      </c>
      <c r="AD412" s="43">
        <f>'D4 Gallon Forecast'!AD382*AVERAGE('D4 RIN Forecast'!$BF$24:BR$24)</f>
        <v>21352777.783879858</v>
      </c>
      <c r="AE412" s="43">
        <f>'D4 Gallon Forecast'!AE382*AVERAGE('D4 RIN Forecast'!$BF$24:BS$24)</f>
        <v>19207248.663094372</v>
      </c>
      <c r="AF412" s="43">
        <f>'D4 Gallon Forecast'!AF382*AVERAGE('D4 RIN Forecast'!$BF$24:BT$24)</f>
        <v>18280132.28001361</v>
      </c>
      <c r="AG412" s="43">
        <f>'D4 Gallon Forecast'!AG382*AVERAGE('D4 RIN Forecast'!$BF$24:BU$24)</f>
        <v>18628762.187396511</v>
      </c>
      <c r="AH412" s="43">
        <f>'D4 Gallon Forecast'!AH382*AVERAGE('D4 RIN Forecast'!$BF$24:BV$24)</f>
        <v>19223626.515513875</v>
      </c>
      <c r="AI412" s="43">
        <f>'D4 Gallon Forecast'!AI382*AVERAGE('D4 RIN Forecast'!$BF$24:BW$24)</f>
        <v>19662891.511830028</v>
      </c>
      <c r="AJ412" s="43">
        <f>'D4 Gallon Forecast'!AJ382*AVERAGE('D4 RIN Forecast'!$BF$24:BX$24)</f>
        <v>19890076.499527805</v>
      </c>
      <c r="AK412" s="43">
        <f>'D4 Gallon Forecast'!AK382*AVERAGE('D4 RIN Forecast'!$BF$24:BY$24)</f>
        <v>20484703.255180724</v>
      </c>
      <c r="AL412" s="43">
        <f>'D4 Gallon Forecast'!AL382*AVERAGE('D4 RIN Forecast'!$BF$24:BZ$24)</f>
        <v>21604589.782754682</v>
      </c>
      <c r="AM412" s="43">
        <f>'D4 Gallon Forecast'!AM382*AVERAGE('D4 RIN Forecast'!$BF$24:CA$24)</f>
        <v>22383185.979601432</v>
      </c>
      <c r="AN412" s="43">
        <f>'D4 Gallon Forecast'!AN382*AVERAGE('D4 RIN Forecast'!$BF$24:CB$24)</f>
        <v>22408921.583268695</v>
      </c>
      <c r="AO412" s="43">
        <f>'D4 Gallon Forecast'!AO382*AVERAGE('D4 RIN Forecast'!$BF$24:CC$24)</f>
        <v>22372157.641344111</v>
      </c>
      <c r="AP412" s="43">
        <f>'D4 Gallon Forecast'!AP382*AVERAGE('D4 RIN Forecast'!$BF$24:CD$24)</f>
        <v>22898383.55480019</v>
      </c>
      <c r="AQ412" s="43"/>
    </row>
    <row r="413" spans="1:43">
      <c r="A413" s="40" t="s">
        <v>53</v>
      </c>
      <c r="B413" s="42">
        <f>'Monthly D4 RIN Data'!$AH14</f>
        <v>0</v>
      </c>
      <c r="C413" s="42">
        <f>'Monthly D4 RIN Data'!$AH26</f>
        <v>0</v>
      </c>
      <c r="D413" s="42">
        <f>'Monthly D4 RIN Data'!$AH38</f>
        <v>0</v>
      </c>
      <c r="E413" s="42">
        <f>'Monthly D4 RIN Data'!$AH50</f>
        <v>0</v>
      </c>
      <c r="F413" s="42">
        <f>'Monthly D4 RIN Data'!$AH62</f>
        <v>0</v>
      </c>
      <c r="G413" s="42">
        <f>'Monthly D4 RIN Data'!$AH74</f>
        <v>0</v>
      </c>
      <c r="H413" s="42">
        <f>'Monthly D4 RIN Data'!$AH86</f>
        <v>0</v>
      </c>
      <c r="I413" s="42">
        <f>'Monthly D4 RIN Data'!$AH98</f>
        <v>0</v>
      </c>
      <c r="J413" s="42">
        <f>'Monthly D4 RIN Data'!$AH110</f>
        <v>0</v>
      </c>
      <c r="K413" s="42">
        <f>'Monthly D4 RIN Data'!$AH122</f>
        <v>0</v>
      </c>
      <c r="L413" s="42">
        <f>'Monthly D4 RIN Data'!$AH134</f>
        <v>0</v>
      </c>
      <c r="M413" s="42">
        <f>'Monthly D4 RIN Data'!$AH146</f>
        <v>0</v>
      </c>
      <c r="N413" s="42">
        <f>'Monthly D4 RIN Data'!$AH158</f>
        <v>0</v>
      </c>
      <c r="O413" s="42">
        <f>'Monthly D4 RIN Data'!$AH170</f>
        <v>0</v>
      </c>
      <c r="P413" s="42">
        <f>'Monthly D4 RIN Data'!$AH182</f>
        <v>2032466</v>
      </c>
      <c r="Q413" s="43">
        <f>'D4 Gallon Forecast'!Q383*AVERAGE('D4 RIN Forecast'!$BF$24)</f>
        <v>5989496.0117305946</v>
      </c>
      <c r="R413" s="43">
        <f>'D4 Gallon Forecast'!R383*AVERAGE('D4 RIN Forecast'!$BF$24)</f>
        <v>7005789.2577823875</v>
      </c>
      <c r="S413" s="43">
        <f>'D4 Gallon Forecast'!S383*AVERAGE('D4 RIN Forecast'!$BF$24)</f>
        <v>10083348.434339264</v>
      </c>
      <c r="T413" s="43">
        <f>'D4 Gallon Forecast'!T383*AVERAGE('D4 RIN Forecast'!$BF$24)</f>
        <v>13303076.12695617</v>
      </c>
      <c r="U413" s="43">
        <f>'D4 Gallon Forecast'!U383*AVERAGE('D4 RIN Forecast'!$BF$24)</f>
        <v>11827579.843938377</v>
      </c>
      <c r="V413" s="43">
        <f>'D4 Gallon Forecast'!V383*AVERAGE('D4 RIN Forecast'!$BF$24:BJ$24)</f>
        <v>18443987.468741726</v>
      </c>
      <c r="W413" s="43">
        <f>'D4 Gallon Forecast'!W383*AVERAGE('D4 RIN Forecast'!$BF$24:BK$24)</f>
        <v>17325924.677326813</v>
      </c>
      <c r="X413" s="43">
        <f>'D4 Gallon Forecast'!X383*AVERAGE('D4 RIN Forecast'!$BF$24:BL$24)</f>
        <v>15513617.729895389</v>
      </c>
      <c r="Y413" s="43">
        <f>'D4 Gallon Forecast'!Y383*AVERAGE('D4 RIN Forecast'!$BF$24:BM$24)</f>
        <v>15987773.065514047</v>
      </c>
      <c r="Z413" s="43">
        <f>'D4 Gallon Forecast'!Z383*AVERAGE('D4 RIN Forecast'!$BF$24:BN$24)</f>
        <v>17034677.44967299</v>
      </c>
      <c r="AA413" s="43">
        <f>'D4 Gallon Forecast'!AA383*AVERAGE('D4 RIN Forecast'!$BF$24:BO$24)</f>
        <v>18162479.463868186</v>
      </c>
      <c r="AB413" s="43">
        <f>'D4 Gallon Forecast'!AB383*AVERAGE('D4 RIN Forecast'!$BF$24:BP$24)</f>
        <v>16812157.570834387</v>
      </c>
      <c r="AC413" s="43">
        <f>'D4 Gallon Forecast'!AC383*AVERAGE('D4 RIN Forecast'!$BF$24:BQ$24)</f>
        <v>16756383.796905031</v>
      </c>
      <c r="AD413" s="43">
        <f>'D4 Gallon Forecast'!AD383*AVERAGE('D4 RIN Forecast'!$BF$24:BR$24)</f>
        <v>17108300.13932731</v>
      </c>
      <c r="AE413" s="43">
        <f>'D4 Gallon Forecast'!AE383*AVERAGE('D4 RIN Forecast'!$BF$24:BS$24)</f>
        <v>15381871.34480216</v>
      </c>
      <c r="AF413" s="43">
        <f>'D4 Gallon Forecast'!AF383*AVERAGE('D4 RIN Forecast'!$BF$24:BT$24)</f>
        <v>14664534.673669487</v>
      </c>
      <c r="AG413" s="43">
        <f>'D4 Gallon Forecast'!AG383*AVERAGE('D4 RIN Forecast'!$BF$24:BU$24)</f>
        <v>14941580.153809598</v>
      </c>
      <c r="AH413" s="43">
        <f>'D4 Gallon Forecast'!AH383*AVERAGE('D4 RIN Forecast'!$BF$24:BV$24)</f>
        <v>15411770.873827577</v>
      </c>
      <c r="AI413" s="43">
        <f>'D4 Gallon Forecast'!AI383*AVERAGE('D4 RIN Forecast'!$BF$24:BW$24)</f>
        <v>15761633.758122616</v>
      </c>
      <c r="AJ413" s="43">
        <f>'D4 Gallon Forecast'!AJ383*AVERAGE('D4 RIN Forecast'!$BF$24:BX$24)</f>
        <v>15945404.801762814</v>
      </c>
      <c r="AK413" s="43">
        <f>'D4 Gallon Forecast'!AK383*AVERAGE('D4 RIN Forecast'!$BF$24:BY$24)</f>
        <v>16425555.455547292</v>
      </c>
      <c r="AL413" s="43">
        <f>'D4 Gallon Forecast'!AL383*AVERAGE('D4 RIN Forecast'!$BF$24:BZ$24)</f>
        <v>17322051.359418519</v>
      </c>
      <c r="AM413" s="43">
        <f>'D4 Gallon Forecast'!AM383*AVERAGE('D4 RIN Forecast'!$BF$24:CA$24)</f>
        <v>17945095.989316221</v>
      </c>
      <c r="AN413" s="43">
        <f>'D4 Gallon Forecast'!AN383*AVERAGE('D4 RIN Forecast'!$BF$24:CB$24)</f>
        <v>17965779.697879158</v>
      </c>
      <c r="AO413" s="43">
        <f>'D4 Gallon Forecast'!AO383*AVERAGE('D4 RIN Forecast'!$BF$24:CC$24)</f>
        <v>17936847.119531557</v>
      </c>
      <c r="AP413" s="43">
        <f>'D4 Gallon Forecast'!AP383*AVERAGE('D4 RIN Forecast'!$BF$24:CD$24)</f>
        <v>18359049.23884524</v>
      </c>
      <c r="AQ413" s="43"/>
    </row>
    <row r="414" spans="1:43">
      <c r="A414" s="40" t="s">
        <v>54</v>
      </c>
      <c r="B414" s="42">
        <f>'Monthly D4 RIN Data'!$AH15</f>
        <v>0</v>
      </c>
      <c r="C414" s="42">
        <f>'Monthly D4 RIN Data'!$AH27</f>
        <v>0</v>
      </c>
      <c r="D414" s="42">
        <f>'Monthly D4 RIN Data'!$AH39</f>
        <v>0</v>
      </c>
      <c r="E414" s="42">
        <f>'Monthly D4 RIN Data'!$AH51</f>
        <v>0</v>
      </c>
      <c r="F414" s="42">
        <f>'Monthly D4 RIN Data'!$AH63</f>
        <v>0</v>
      </c>
      <c r="G414" s="42">
        <f>'Monthly D4 RIN Data'!$AH75</f>
        <v>0</v>
      </c>
      <c r="H414" s="42">
        <f>'Monthly D4 RIN Data'!$AH87</f>
        <v>0</v>
      </c>
      <c r="I414" s="42">
        <f>'Monthly D4 RIN Data'!$AH99</f>
        <v>0</v>
      </c>
      <c r="J414" s="42">
        <f>'Monthly D4 RIN Data'!$AH111</f>
        <v>0</v>
      </c>
      <c r="K414" s="42">
        <f>'Monthly D4 RIN Data'!$AH123</f>
        <v>0</v>
      </c>
      <c r="L414" s="42">
        <f>'Monthly D4 RIN Data'!$AH135</f>
        <v>0</v>
      </c>
      <c r="M414" s="42">
        <f>'Monthly D4 RIN Data'!$AH147</f>
        <v>0</v>
      </c>
      <c r="N414" s="42">
        <f>'Monthly D4 RIN Data'!$AH159</f>
        <v>2309266</v>
      </c>
      <c r="O414" s="42">
        <f>'Monthly D4 RIN Data'!$AH171</f>
        <v>3686716</v>
      </c>
      <c r="P414" s="42">
        <f>'Monthly D4 RIN Data'!$AH183</f>
        <v>5445746</v>
      </c>
      <c r="Q414" s="43">
        <f>'D4 Gallon Forecast'!Q384*AVERAGE('D4 RIN Forecast'!$BF$24)</f>
        <v>3185482.3264932823</v>
      </c>
      <c r="R414" s="43">
        <f>'D4 Gallon Forecast'!R384*AVERAGE('D4 RIN Forecast'!$BF$24)</f>
        <v>6439366.4976588665</v>
      </c>
      <c r="S414" s="43">
        <f>'D4 Gallon Forecast'!S384*AVERAGE('D4 RIN Forecast'!$BF$24)</f>
        <v>9157524.6541121863</v>
      </c>
      <c r="T414" s="43">
        <f>'D4 Gallon Forecast'!T384*AVERAGE('D4 RIN Forecast'!$BF$24)</f>
        <v>11962292.999815419</v>
      </c>
      <c r="U414" s="43">
        <f>'D4 Gallon Forecast'!U384*AVERAGE('D4 RIN Forecast'!$BF$24)</f>
        <v>11142891.574032605</v>
      </c>
      <c r="V414" s="43">
        <f>'D4 Gallon Forecast'!V384*AVERAGE('D4 RIN Forecast'!$BF$24:BJ$24)</f>
        <v>16025409.231740765</v>
      </c>
      <c r="W414" s="43">
        <f>'D4 Gallon Forecast'!W384*AVERAGE('D4 RIN Forecast'!$BF$24:BK$24)</f>
        <v>15630484.352829695</v>
      </c>
      <c r="X414" s="43">
        <f>'D4 Gallon Forecast'!X384*AVERAGE('D4 RIN Forecast'!$BF$24:BL$24)</f>
        <v>13969485.169648595</v>
      </c>
      <c r="Y414" s="43">
        <f>'D4 Gallon Forecast'!Y384*AVERAGE('D4 RIN Forecast'!$BF$24:BM$24)</f>
        <v>14380165.628631812</v>
      </c>
      <c r="Z414" s="43">
        <f>'D4 Gallon Forecast'!Z384*AVERAGE('D4 RIN Forecast'!$BF$24:BN$24)</f>
        <v>15322475.041045308</v>
      </c>
      <c r="AA414" s="43">
        <f>'D4 Gallon Forecast'!AA384*AVERAGE('D4 RIN Forecast'!$BF$24:BO$24)</f>
        <v>16228310.250467744</v>
      </c>
      <c r="AB414" s="43">
        <f>'D4 Gallon Forecast'!AB384*AVERAGE('D4 RIN Forecast'!$BF$24:BP$24)</f>
        <v>15112712.997696998</v>
      </c>
      <c r="AC414" s="43">
        <f>'D4 Gallon Forecast'!AC384*AVERAGE('D4 RIN Forecast'!$BF$24:BQ$24)</f>
        <v>15051353.137457931</v>
      </c>
      <c r="AD414" s="43">
        <f>'D4 Gallon Forecast'!AD384*AVERAGE('D4 RIN Forecast'!$BF$24:BR$24)</f>
        <v>15360508.191589635</v>
      </c>
      <c r="AE414" s="43">
        <f>'D4 Gallon Forecast'!AE384*AVERAGE('D4 RIN Forecast'!$BF$24:BS$24)</f>
        <v>13805846.790727643</v>
      </c>
      <c r="AF414" s="43">
        <f>'D4 Gallon Forecast'!AF384*AVERAGE('D4 RIN Forecast'!$BF$24:BT$24)</f>
        <v>13156233.075990131</v>
      </c>
      <c r="AG414" s="43">
        <f>'D4 Gallon Forecast'!AG384*AVERAGE('D4 RIN Forecast'!$BF$24:BU$24)</f>
        <v>13417016.620528035</v>
      </c>
      <c r="AH414" s="43">
        <f>'D4 Gallon Forecast'!AH384*AVERAGE('D4 RIN Forecast'!$BF$24:BV$24)</f>
        <v>13836107.519277422</v>
      </c>
      <c r="AI414" s="43">
        <f>'D4 Gallon Forecast'!AI384*AVERAGE('D4 RIN Forecast'!$BF$24:BW$24)</f>
        <v>14148553.504618797</v>
      </c>
      <c r="AJ414" s="43">
        <f>'D4 Gallon Forecast'!AJ384*AVERAGE('D4 RIN Forecast'!$BF$24:BX$24)</f>
        <v>14312866.083114479</v>
      </c>
      <c r="AK414" s="43">
        <f>'D4 Gallon Forecast'!AK384*AVERAGE('D4 RIN Forecast'!$BF$24:BY$24)</f>
        <v>14744110.529219141</v>
      </c>
      <c r="AL414" s="43">
        <f>'D4 Gallon Forecast'!AL384*AVERAGE('D4 RIN Forecast'!$BF$24:BZ$24)</f>
        <v>15550407.49119246</v>
      </c>
      <c r="AM414" s="43">
        <f>'D4 Gallon Forecast'!AM384*AVERAGE('D4 RIN Forecast'!$BF$24:CA$24)</f>
        <v>16108927.269219194</v>
      </c>
      <c r="AN414" s="43">
        <f>'D4 Gallon Forecast'!AN384*AVERAGE('D4 RIN Forecast'!$BF$24:CB$24)</f>
        <v>16127216.313839715</v>
      </c>
      <c r="AO414" s="43">
        <f>'D4 Gallon Forecast'!AO384*AVERAGE('D4 RIN Forecast'!$BF$24:CC$24)</f>
        <v>16101261.889500489</v>
      </c>
      <c r="AP414" s="43">
        <f>'D4 Gallon Forecast'!AP384*AVERAGE('D4 RIN Forecast'!$BF$24:CD$24)</f>
        <v>16480414.668079061</v>
      </c>
      <c r="AQ414" s="43"/>
    </row>
    <row r="415" spans="1:43">
      <c r="A415" s="40" t="s">
        <v>29</v>
      </c>
      <c r="B415" s="42">
        <f t="shared" ref="B415:P415" si="116">SUM(B403:B414)</f>
        <v>0</v>
      </c>
      <c r="C415" s="42">
        <f t="shared" si="116"/>
        <v>0</v>
      </c>
      <c r="D415" s="42">
        <f t="shared" si="116"/>
        <v>0</v>
      </c>
      <c r="E415" s="42">
        <f t="shared" si="116"/>
        <v>0</v>
      </c>
      <c r="F415" s="42">
        <f t="shared" si="116"/>
        <v>0</v>
      </c>
      <c r="G415" s="42">
        <f t="shared" si="116"/>
        <v>0</v>
      </c>
      <c r="H415" s="42">
        <f t="shared" si="116"/>
        <v>0</v>
      </c>
      <c r="I415" s="42">
        <f t="shared" si="116"/>
        <v>0</v>
      </c>
      <c r="J415" s="42">
        <f t="shared" si="116"/>
        <v>0</v>
      </c>
      <c r="K415" s="42">
        <f t="shared" si="116"/>
        <v>0</v>
      </c>
      <c r="L415" s="42">
        <f t="shared" si="116"/>
        <v>0</v>
      </c>
      <c r="M415" s="42">
        <f t="shared" si="116"/>
        <v>0</v>
      </c>
      <c r="N415" s="42">
        <f t="shared" si="116"/>
        <v>12682785</v>
      </c>
      <c r="O415" s="42">
        <f t="shared" si="116"/>
        <v>19654387</v>
      </c>
      <c r="P415" s="42">
        <f t="shared" si="116"/>
        <v>117040668</v>
      </c>
      <c r="Q415" s="43">
        <f t="shared" ref="Q415:AP415" si="117">SUM(Q403:Q414)</f>
        <v>96000005.54457505</v>
      </c>
      <c r="R415" s="43">
        <f t="shared" si="117"/>
        <v>73741598.180416718</v>
      </c>
      <c r="S415" s="43">
        <f t="shared" si="117"/>
        <v>106001983.69058657</v>
      </c>
      <c r="T415" s="43">
        <f t="shared" si="117"/>
        <v>138890219.37034923</v>
      </c>
      <c r="U415" s="43">
        <f t="shared" si="117"/>
        <v>163700569.60462174</v>
      </c>
      <c r="V415" s="43">
        <f t="shared" si="117"/>
        <v>221260095.30942494</v>
      </c>
      <c r="W415" s="43">
        <f t="shared" si="117"/>
        <v>200950624.92311573</v>
      </c>
      <c r="X415" s="43">
        <f t="shared" si="117"/>
        <v>181573072.12472364</v>
      </c>
      <c r="Y415" s="43">
        <f t="shared" si="117"/>
        <v>189636400.05213878</v>
      </c>
      <c r="Z415" s="43">
        <f t="shared" si="117"/>
        <v>206124826.00584447</v>
      </c>
      <c r="AA415" s="43">
        <f t="shared" si="117"/>
        <v>215337225.02188048</v>
      </c>
      <c r="AB415" s="43">
        <f t="shared" si="117"/>
        <v>198810318.53353965</v>
      </c>
      <c r="AC415" s="43">
        <f t="shared" si="117"/>
        <v>198940365.93370813</v>
      </c>
      <c r="AD415" s="43">
        <f t="shared" si="117"/>
        <v>203645862.90047735</v>
      </c>
      <c r="AE415" s="43">
        <f t="shared" si="117"/>
        <v>183215870.388964</v>
      </c>
      <c r="AF415" s="43">
        <f t="shared" si="117"/>
        <v>174110527.35365564</v>
      </c>
      <c r="AG415" s="43">
        <f t="shared" si="117"/>
        <v>177456137.71457565</v>
      </c>
      <c r="AH415" s="43">
        <f t="shared" si="117"/>
        <v>183208921.13939506</v>
      </c>
      <c r="AI415" s="43">
        <f t="shared" si="117"/>
        <v>187419352.45488289</v>
      </c>
      <c r="AJ415" s="43">
        <f t="shared" si="117"/>
        <v>189559850.59841001</v>
      </c>
      <c r="AK415" s="43">
        <f t="shared" si="117"/>
        <v>195191836.25236949</v>
      </c>
      <c r="AL415" s="43">
        <f t="shared" si="117"/>
        <v>205879343.02598426</v>
      </c>
      <c r="AM415" s="43">
        <f t="shared" si="117"/>
        <v>213313403.40796819</v>
      </c>
      <c r="AN415" s="43">
        <f t="shared" si="117"/>
        <v>213557297.4655014</v>
      </c>
      <c r="AO415" s="43">
        <f t="shared" si="117"/>
        <v>213200282.8741762</v>
      </c>
      <c r="AP415" s="43">
        <f t="shared" si="117"/>
        <v>218212321.57220551</v>
      </c>
      <c r="AQ415" s="43"/>
    </row>
    <row r="417" spans="1:43" ht="12" thickBot="1">
      <c r="A417" s="245" t="s">
        <v>332</v>
      </c>
    </row>
    <row r="418" spans="1:43" ht="12" thickBot="1">
      <c r="A418" s="270"/>
      <c r="B418" s="263">
        <v>2010</v>
      </c>
      <c r="C418" s="263">
        <v>2011</v>
      </c>
      <c r="D418" s="263">
        <v>2012</v>
      </c>
      <c r="E418" s="263">
        <v>2013</v>
      </c>
      <c r="F418" s="263">
        <v>2014</v>
      </c>
      <c r="G418" s="263">
        <v>2015</v>
      </c>
      <c r="H418" s="263">
        <v>2016</v>
      </c>
      <c r="I418" s="263">
        <v>2017</v>
      </c>
      <c r="J418" s="263">
        <v>2018</v>
      </c>
      <c r="K418" s="263">
        <v>2019</v>
      </c>
      <c r="L418" s="263">
        <v>2020</v>
      </c>
      <c r="M418" s="263">
        <v>2021</v>
      </c>
      <c r="N418" s="263">
        <v>2022</v>
      </c>
      <c r="O418" s="263">
        <v>2023</v>
      </c>
      <c r="P418" s="263">
        <v>2024</v>
      </c>
      <c r="Q418" s="263">
        <v>2025</v>
      </c>
      <c r="R418" s="263">
        <v>2026</v>
      </c>
      <c r="S418" s="263">
        <v>2027</v>
      </c>
      <c r="T418" s="263">
        <v>2028</v>
      </c>
      <c r="U418" s="263">
        <v>2029</v>
      </c>
      <c r="V418" s="263">
        <v>2030</v>
      </c>
      <c r="W418" s="263">
        <v>2031</v>
      </c>
      <c r="X418" s="263">
        <v>2032</v>
      </c>
      <c r="Y418" s="263">
        <v>2033</v>
      </c>
      <c r="Z418" s="263">
        <v>2034</v>
      </c>
      <c r="AA418" s="263">
        <v>2035</v>
      </c>
      <c r="AB418" s="263">
        <v>2036</v>
      </c>
      <c r="AC418" s="263">
        <v>2037</v>
      </c>
      <c r="AD418" s="263">
        <v>2038</v>
      </c>
      <c r="AE418" s="263">
        <v>2039</v>
      </c>
      <c r="AF418" s="263">
        <v>2040</v>
      </c>
      <c r="AG418" s="263">
        <v>2041</v>
      </c>
      <c r="AH418" s="263">
        <v>2042</v>
      </c>
      <c r="AI418" s="263">
        <v>2043</v>
      </c>
      <c r="AJ418" s="263">
        <v>2044</v>
      </c>
      <c r="AK418" s="263">
        <v>2045</v>
      </c>
      <c r="AL418" s="263">
        <v>2046</v>
      </c>
      <c r="AM418" s="263">
        <v>2047</v>
      </c>
      <c r="AN418" s="263">
        <v>2048</v>
      </c>
      <c r="AO418" s="263">
        <v>2049</v>
      </c>
      <c r="AP418" s="263">
        <v>2050</v>
      </c>
      <c r="AQ418" s="245"/>
    </row>
    <row r="419" spans="1:43">
      <c r="A419" s="40" t="s">
        <v>43</v>
      </c>
      <c r="B419" s="42">
        <f>B435</f>
        <v>0</v>
      </c>
      <c r="C419" s="42">
        <f t="shared" ref="C419:AP427" si="118">C435</f>
        <v>0</v>
      </c>
      <c r="D419" s="42">
        <f t="shared" si="118"/>
        <v>0</v>
      </c>
      <c r="E419" s="42">
        <f t="shared" si="118"/>
        <v>0</v>
      </c>
      <c r="F419" s="42">
        <f t="shared" si="118"/>
        <v>0</v>
      </c>
      <c r="G419" s="42">
        <f t="shared" si="118"/>
        <v>0</v>
      </c>
      <c r="H419" s="42">
        <f t="shared" si="118"/>
        <v>0</v>
      </c>
      <c r="I419" s="42">
        <f t="shared" si="118"/>
        <v>0</v>
      </c>
      <c r="J419" s="42">
        <f t="shared" si="118"/>
        <v>0</v>
      </c>
      <c r="K419" s="42">
        <f t="shared" si="118"/>
        <v>7704</v>
      </c>
      <c r="L419" s="42">
        <f t="shared" si="118"/>
        <v>0</v>
      </c>
      <c r="M419" s="42">
        <f t="shared" si="118"/>
        <v>0</v>
      </c>
      <c r="N419" s="42">
        <f t="shared" si="118"/>
        <v>37939</v>
      </c>
      <c r="O419" s="42">
        <f t="shared" si="118"/>
        <v>0</v>
      </c>
      <c r="P419" s="42">
        <f t="shared" si="118"/>
        <v>0</v>
      </c>
      <c r="Q419" s="42">
        <f t="shared" si="118"/>
        <v>0</v>
      </c>
      <c r="R419" s="43">
        <f t="shared" si="118"/>
        <v>0</v>
      </c>
      <c r="S419" s="43">
        <f t="shared" si="118"/>
        <v>0</v>
      </c>
      <c r="T419" s="43">
        <f t="shared" si="118"/>
        <v>0</v>
      </c>
      <c r="U419" s="43">
        <f t="shared" si="118"/>
        <v>0</v>
      </c>
      <c r="V419" s="43">
        <f t="shared" si="118"/>
        <v>0</v>
      </c>
      <c r="W419" s="43">
        <f t="shared" si="118"/>
        <v>0</v>
      </c>
      <c r="X419" s="43">
        <f t="shared" si="118"/>
        <v>0</v>
      </c>
      <c r="Y419" s="43">
        <f t="shared" si="118"/>
        <v>0</v>
      </c>
      <c r="Z419" s="43">
        <f t="shared" si="118"/>
        <v>0</v>
      </c>
      <c r="AA419" s="43">
        <f t="shared" si="118"/>
        <v>0</v>
      </c>
      <c r="AB419" s="43">
        <f t="shared" si="118"/>
        <v>0</v>
      </c>
      <c r="AC419" s="43">
        <f t="shared" si="118"/>
        <v>0</v>
      </c>
      <c r="AD419" s="43">
        <f t="shared" si="118"/>
        <v>0</v>
      </c>
      <c r="AE419" s="43">
        <f t="shared" si="118"/>
        <v>0</v>
      </c>
      <c r="AF419" s="43">
        <f t="shared" si="118"/>
        <v>0</v>
      </c>
      <c r="AG419" s="43">
        <f t="shared" si="118"/>
        <v>0</v>
      </c>
      <c r="AH419" s="43">
        <f t="shared" si="118"/>
        <v>0</v>
      </c>
      <c r="AI419" s="43">
        <f t="shared" si="118"/>
        <v>0</v>
      </c>
      <c r="AJ419" s="43">
        <f t="shared" si="118"/>
        <v>0</v>
      </c>
      <c r="AK419" s="43">
        <f t="shared" si="118"/>
        <v>0</v>
      </c>
      <c r="AL419" s="43">
        <f t="shared" si="118"/>
        <v>0</v>
      </c>
      <c r="AM419" s="43">
        <f t="shared" si="118"/>
        <v>0</v>
      </c>
      <c r="AN419" s="43">
        <f t="shared" si="118"/>
        <v>0</v>
      </c>
      <c r="AO419" s="43">
        <f t="shared" si="118"/>
        <v>0</v>
      </c>
      <c r="AP419" s="43">
        <f t="shared" si="118"/>
        <v>0</v>
      </c>
      <c r="AQ419" s="43"/>
    </row>
    <row r="420" spans="1:43">
      <c r="A420" s="40" t="s">
        <v>44</v>
      </c>
      <c r="B420" s="42">
        <f t="shared" ref="B420:Q430" si="119">B436</f>
        <v>0</v>
      </c>
      <c r="C420" s="42">
        <f t="shared" si="119"/>
        <v>0</v>
      </c>
      <c r="D420" s="42">
        <f t="shared" si="119"/>
        <v>0</v>
      </c>
      <c r="E420" s="42">
        <f t="shared" si="119"/>
        <v>0</v>
      </c>
      <c r="F420" s="42">
        <f t="shared" si="119"/>
        <v>0</v>
      </c>
      <c r="G420" s="42">
        <f t="shared" si="119"/>
        <v>0</v>
      </c>
      <c r="H420" s="42">
        <f t="shared" si="119"/>
        <v>0</v>
      </c>
      <c r="I420" s="42">
        <f t="shared" si="119"/>
        <v>0</v>
      </c>
      <c r="J420" s="42">
        <f t="shared" si="119"/>
        <v>0</v>
      </c>
      <c r="K420" s="42">
        <f t="shared" si="119"/>
        <v>0</v>
      </c>
      <c r="L420" s="42">
        <f t="shared" si="119"/>
        <v>0</v>
      </c>
      <c r="M420" s="42">
        <f t="shared" si="118"/>
        <v>0</v>
      </c>
      <c r="N420" s="42">
        <f t="shared" si="118"/>
        <v>0</v>
      </c>
      <c r="O420" s="42">
        <f t="shared" si="118"/>
        <v>0</v>
      </c>
      <c r="P420" s="42">
        <f t="shared" si="118"/>
        <v>157995</v>
      </c>
      <c r="Q420" s="42">
        <f t="shared" si="118"/>
        <v>0</v>
      </c>
      <c r="R420" s="43">
        <f t="shared" si="118"/>
        <v>0</v>
      </c>
      <c r="S420" s="43">
        <f t="shared" si="118"/>
        <v>0</v>
      </c>
      <c r="T420" s="43">
        <f t="shared" si="118"/>
        <v>0</v>
      </c>
      <c r="U420" s="43">
        <f t="shared" si="118"/>
        <v>0</v>
      </c>
      <c r="V420" s="43">
        <f t="shared" si="118"/>
        <v>0</v>
      </c>
      <c r="W420" s="43">
        <f t="shared" si="118"/>
        <v>0</v>
      </c>
      <c r="X420" s="43">
        <f t="shared" si="118"/>
        <v>0</v>
      </c>
      <c r="Y420" s="43">
        <f t="shared" si="118"/>
        <v>0</v>
      </c>
      <c r="Z420" s="43">
        <f t="shared" si="118"/>
        <v>0</v>
      </c>
      <c r="AA420" s="43">
        <f t="shared" si="118"/>
        <v>0</v>
      </c>
      <c r="AB420" s="43">
        <f t="shared" si="118"/>
        <v>0</v>
      </c>
      <c r="AC420" s="43">
        <f t="shared" si="118"/>
        <v>0</v>
      </c>
      <c r="AD420" s="43">
        <f t="shared" si="118"/>
        <v>0</v>
      </c>
      <c r="AE420" s="43">
        <f t="shared" si="118"/>
        <v>0</v>
      </c>
      <c r="AF420" s="43">
        <f t="shared" si="118"/>
        <v>0</v>
      </c>
      <c r="AG420" s="43">
        <f t="shared" si="118"/>
        <v>0</v>
      </c>
      <c r="AH420" s="43">
        <f t="shared" si="118"/>
        <v>0</v>
      </c>
      <c r="AI420" s="43">
        <f t="shared" si="118"/>
        <v>0</v>
      </c>
      <c r="AJ420" s="43">
        <f t="shared" si="118"/>
        <v>0</v>
      </c>
      <c r="AK420" s="43">
        <f t="shared" si="118"/>
        <v>0</v>
      </c>
      <c r="AL420" s="43">
        <f t="shared" si="118"/>
        <v>0</v>
      </c>
      <c r="AM420" s="43">
        <f t="shared" si="118"/>
        <v>0</v>
      </c>
      <c r="AN420" s="43">
        <f t="shared" si="118"/>
        <v>0</v>
      </c>
      <c r="AO420" s="43">
        <f t="shared" si="118"/>
        <v>0</v>
      </c>
      <c r="AP420" s="43">
        <f t="shared" si="118"/>
        <v>0</v>
      </c>
      <c r="AQ420" s="43"/>
    </row>
    <row r="421" spans="1:43">
      <c r="A421" s="40" t="s">
        <v>45</v>
      </c>
      <c r="B421" s="42">
        <f t="shared" si="119"/>
        <v>0</v>
      </c>
      <c r="C421" s="42">
        <f t="shared" si="119"/>
        <v>0</v>
      </c>
      <c r="D421" s="42">
        <f t="shared" si="119"/>
        <v>0</v>
      </c>
      <c r="E421" s="42">
        <f t="shared" si="119"/>
        <v>0</v>
      </c>
      <c r="F421" s="42">
        <f t="shared" si="119"/>
        <v>0</v>
      </c>
      <c r="G421" s="42">
        <f t="shared" si="119"/>
        <v>0</v>
      </c>
      <c r="H421" s="42">
        <f t="shared" si="119"/>
        <v>0</v>
      </c>
      <c r="I421" s="42">
        <f t="shared" si="119"/>
        <v>0</v>
      </c>
      <c r="J421" s="42">
        <f t="shared" si="119"/>
        <v>0</v>
      </c>
      <c r="K421" s="42">
        <f t="shared" si="119"/>
        <v>0</v>
      </c>
      <c r="L421" s="42">
        <f t="shared" si="119"/>
        <v>0</v>
      </c>
      <c r="M421" s="42">
        <f t="shared" si="118"/>
        <v>0</v>
      </c>
      <c r="N421" s="42">
        <f t="shared" si="118"/>
        <v>0</v>
      </c>
      <c r="O421" s="42">
        <f t="shared" si="118"/>
        <v>190560</v>
      </c>
      <c r="P421" s="42">
        <f t="shared" si="118"/>
        <v>0</v>
      </c>
      <c r="Q421" s="42">
        <f t="shared" si="118"/>
        <v>0</v>
      </c>
      <c r="R421" s="43">
        <f t="shared" si="118"/>
        <v>0</v>
      </c>
      <c r="S421" s="43">
        <f t="shared" si="118"/>
        <v>0</v>
      </c>
      <c r="T421" s="43">
        <f t="shared" si="118"/>
        <v>0</v>
      </c>
      <c r="U421" s="43">
        <f t="shared" si="118"/>
        <v>0</v>
      </c>
      <c r="V421" s="43">
        <f t="shared" si="118"/>
        <v>0</v>
      </c>
      <c r="W421" s="43">
        <f t="shared" si="118"/>
        <v>0</v>
      </c>
      <c r="X421" s="43">
        <f t="shared" si="118"/>
        <v>0</v>
      </c>
      <c r="Y421" s="43">
        <f t="shared" si="118"/>
        <v>0</v>
      </c>
      <c r="Z421" s="43">
        <f t="shared" si="118"/>
        <v>0</v>
      </c>
      <c r="AA421" s="43">
        <f t="shared" si="118"/>
        <v>0</v>
      </c>
      <c r="AB421" s="43">
        <f t="shared" si="118"/>
        <v>0</v>
      </c>
      <c r="AC421" s="43">
        <f t="shared" si="118"/>
        <v>0</v>
      </c>
      <c r="AD421" s="43">
        <f t="shared" si="118"/>
        <v>0</v>
      </c>
      <c r="AE421" s="43">
        <f t="shared" si="118"/>
        <v>0</v>
      </c>
      <c r="AF421" s="43">
        <f t="shared" si="118"/>
        <v>0</v>
      </c>
      <c r="AG421" s="43">
        <f t="shared" si="118"/>
        <v>0</v>
      </c>
      <c r="AH421" s="43">
        <f t="shared" si="118"/>
        <v>0</v>
      </c>
      <c r="AI421" s="43">
        <f t="shared" si="118"/>
        <v>0</v>
      </c>
      <c r="AJ421" s="43">
        <f t="shared" si="118"/>
        <v>0</v>
      </c>
      <c r="AK421" s="43">
        <f t="shared" si="118"/>
        <v>0</v>
      </c>
      <c r="AL421" s="43">
        <f t="shared" si="118"/>
        <v>0</v>
      </c>
      <c r="AM421" s="43">
        <f t="shared" si="118"/>
        <v>0</v>
      </c>
      <c r="AN421" s="43">
        <f t="shared" si="118"/>
        <v>0</v>
      </c>
      <c r="AO421" s="43">
        <f t="shared" si="118"/>
        <v>0</v>
      </c>
      <c r="AP421" s="43">
        <f t="shared" si="118"/>
        <v>0</v>
      </c>
      <c r="AQ421" s="43"/>
    </row>
    <row r="422" spans="1:43">
      <c r="A422" s="40" t="s">
        <v>46</v>
      </c>
      <c r="B422" s="42">
        <f t="shared" si="119"/>
        <v>0</v>
      </c>
      <c r="C422" s="42">
        <f t="shared" si="119"/>
        <v>0</v>
      </c>
      <c r="D422" s="42">
        <f t="shared" si="119"/>
        <v>0</v>
      </c>
      <c r="E422" s="42">
        <f t="shared" si="119"/>
        <v>0</v>
      </c>
      <c r="F422" s="42">
        <f t="shared" si="119"/>
        <v>0</v>
      </c>
      <c r="G422" s="42">
        <f t="shared" si="119"/>
        <v>0</v>
      </c>
      <c r="H422" s="42">
        <f t="shared" si="119"/>
        <v>0</v>
      </c>
      <c r="I422" s="42">
        <f t="shared" si="119"/>
        <v>0</v>
      </c>
      <c r="J422" s="42">
        <f t="shared" si="119"/>
        <v>0</v>
      </c>
      <c r="K422" s="42">
        <f t="shared" si="119"/>
        <v>0</v>
      </c>
      <c r="L422" s="42">
        <f t="shared" si="119"/>
        <v>0</v>
      </c>
      <c r="M422" s="42">
        <f t="shared" si="118"/>
        <v>0</v>
      </c>
      <c r="N422" s="42">
        <f t="shared" si="118"/>
        <v>0</v>
      </c>
      <c r="O422" s="42">
        <f t="shared" si="118"/>
        <v>146317</v>
      </c>
      <c r="P422" s="42">
        <f t="shared" si="118"/>
        <v>0</v>
      </c>
      <c r="Q422" s="43">
        <f t="shared" si="118"/>
        <v>0</v>
      </c>
      <c r="R422" s="43">
        <f t="shared" si="118"/>
        <v>0</v>
      </c>
      <c r="S422" s="43">
        <f t="shared" si="118"/>
        <v>0</v>
      </c>
      <c r="T422" s="43">
        <f t="shared" si="118"/>
        <v>0</v>
      </c>
      <c r="U422" s="43">
        <f t="shared" si="118"/>
        <v>0</v>
      </c>
      <c r="V422" s="43">
        <f t="shared" si="118"/>
        <v>0</v>
      </c>
      <c r="W422" s="43">
        <f t="shared" si="118"/>
        <v>0</v>
      </c>
      <c r="X422" s="43">
        <f t="shared" si="118"/>
        <v>0</v>
      </c>
      <c r="Y422" s="43">
        <f t="shared" si="118"/>
        <v>0</v>
      </c>
      <c r="Z422" s="43">
        <f t="shared" si="118"/>
        <v>0</v>
      </c>
      <c r="AA422" s="43">
        <f t="shared" si="118"/>
        <v>0</v>
      </c>
      <c r="AB422" s="43">
        <f t="shared" si="118"/>
        <v>0</v>
      </c>
      <c r="AC422" s="43">
        <f t="shared" si="118"/>
        <v>0</v>
      </c>
      <c r="AD422" s="43">
        <f t="shared" si="118"/>
        <v>0</v>
      </c>
      <c r="AE422" s="43">
        <f t="shared" si="118"/>
        <v>0</v>
      </c>
      <c r="AF422" s="43">
        <f t="shared" si="118"/>
        <v>0</v>
      </c>
      <c r="AG422" s="43">
        <f t="shared" si="118"/>
        <v>0</v>
      </c>
      <c r="AH422" s="43">
        <f t="shared" si="118"/>
        <v>0</v>
      </c>
      <c r="AI422" s="43">
        <f t="shared" si="118"/>
        <v>0</v>
      </c>
      <c r="AJ422" s="43">
        <f t="shared" si="118"/>
        <v>0</v>
      </c>
      <c r="AK422" s="43">
        <f t="shared" si="118"/>
        <v>0</v>
      </c>
      <c r="AL422" s="43">
        <f t="shared" si="118"/>
        <v>0</v>
      </c>
      <c r="AM422" s="43">
        <f t="shared" si="118"/>
        <v>0</v>
      </c>
      <c r="AN422" s="43">
        <f t="shared" si="118"/>
        <v>0</v>
      </c>
      <c r="AO422" s="43">
        <f t="shared" si="118"/>
        <v>0</v>
      </c>
      <c r="AP422" s="43">
        <f t="shared" si="118"/>
        <v>0</v>
      </c>
      <c r="AQ422" s="43"/>
    </row>
    <row r="423" spans="1:43">
      <c r="A423" s="40" t="s">
        <v>47</v>
      </c>
      <c r="B423" s="42">
        <f t="shared" si="119"/>
        <v>0</v>
      </c>
      <c r="C423" s="42">
        <f t="shared" si="119"/>
        <v>0</v>
      </c>
      <c r="D423" s="42">
        <f t="shared" si="119"/>
        <v>0</v>
      </c>
      <c r="E423" s="42">
        <f t="shared" si="119"/>
        <v>0</v>
      </c>
      <c r="F423" s="42">
        <f t="shared" si="119"/>
        <v>0</v>
      </c>
      <c r="G423" s="42">
        <f t="shared" si="119"/>
        <v>0</v>
      </c>
      <c r="H423" s="42">
        <f t="shared" si="119"/>
        <v>0</v>
      </c>
      <c r="I423" s="42">
        <f t="shared" si="119"/>
        <v>0</v>
      </c>
      <c r="J423" s="42">
        <f t="shared" si="119"/>
        <v>0</v>
      </c>
      <c r="K423" s="42">
        <f t="shared" si="119"/>
        <v>0</v>
      </c>
      <c r="L423" s="42">
        <f t="shared" si="119"/>
        <v>0</v>
      </c>
      <c r="M423" s="42">
        <f t="shared" si="118"/>
        <v>0</v>
      </c>
      <c r="N423" s="42">
        <f t="shared" si="118"/>
        <v>0</v>
      </c>
      <c r="O423" s="42">
        <f t="shared" si="118"/>
        <v>0</v>
      </c>
      <c r="P423" s="42">
        <f t="shared" si="118"/>
        <v>0</v>
      </c>
      <c r="Q423" s="43">
        <f t="shared" si="118"/>
        <v>0</v>
      </c>
      <c r="R423" s="43">
        <f t="shared" si="118"/>
        <v>0</v>
      </c>
      <c r="S423" s="43">
        <f t="shared" si="118"/>
        <v>0</v>
      </c>
      <c r="T423" s="43">
        <f t="shared" si="118"/>
        <v>0</v>
      </c>
      <c r="U423" s="43">
        <f t="shared" si="118"/>
        <v>0</v>
      </c>
      <c r="V423" s="43">
        <f t="shared" si="118"/>
        <v>0</v>
      </c>
      <c r="W423" s="43">
        <f t="shared" si="118"/>
        <v>0</v>
      </c>
      <c r="X423" s="43">
        <f t="shared" si="118"/>
        <v>0</v>
      </c>
      <c r="Y423" s="43">
        <f t="shared" si="118"/>
        <v>0</v>
      </c>
      <c r="Z423" s="43">
        <f t="shared" si="118"/>
        <v>0</v>
      </c>
      <c r="AA423" s="43">
        <f t="shared" si="118"/>
        <v>0</v>
      </c>
      <c r="AB423" s="43">
        <f t="shared" si="118"/>
        <v>0</v>
      </c>
      <c r="AC423" s="43">
        <f t="shared" si="118"/>
        <v>0</v>
      </c>
      <c r="AD423" s="43">
        <f t="shared" si="118"/>
        <v>0</v>
      </c>
      <c r="AE423" s="43">
        <f t="shared" si="118"/>
        <v>0</v>
      </c>
      <c r="AF423" s="43">
        <f t="shared" si="118"/>
        <v>0</v>
      </c>
      <c r="AG423" s="43">
        <f t="shared" si="118"/>
        <v>0</v>
      </c>
      <c r="AH423" s="43">
        <f t="shared" si="118"/>
        <v>0</v>
      </c>
      <c r="AI423" s="43">
        <f t="shared" si="118"/>
        <v>0</v>
      </c>
      <c r="AJ423" s="43">
        <f t="shared" si="118"/>
        <v>0</v>
      </c>
      <c r="AK423" s="43">
        <f t="shared" si="118"/>
        <v>0</v>
      </c>
      <c r="AL423" s="43">
        <f t="shared" si="118"/>
        <v>0</v>
      </c>
      <c r="AM423" s="43">
        <f t="shared" si="118"/>
        <v>0</v>
      </c>
      <c r="AN423" s="43">
        <f t="shared" si="118"/>
        <v>0</v>
      </c>
      <c r="AO423" s="43">
        <f t="shared" si="118"/>
        <v>0</v>
      </c>
      <c r="AP423" s="43">
        <f t="shared" si="118"/>
        <v>0</v>
      </c>
      <c r="AQ423" s="43"/>
    </row>
    <row r="424" spans="1:43">
      <c r="A424" s="40" t="s">
        <v>48</v>
      </c>
      <c r="B424" s="42">
        <f t="shared" si="119"/>
        <v>0</v>
      </c>
      <c r="C424" s="42">
        <f t="shared" si="119"/>
        <v>0</v>
      </c>
      <c r="D424" s="42">
        <f t="shared" si="119"/>
        <v>0</v>
      </c>
      <c r="E424" s="42">
        <f t="shared" si="119"/>
        <v>0</v>
      </c>
      <c r="F424" s="42">
        <f t="shared" si="119"/>
        <v>0</v>
      </c>
      <c r="G424" s="42">
        <f t="shared" si="119"/>
        <v>0</v>
      </c>
      <c r="H424" s="42">
        <f t="shared" si="119"/>
        <v>0</v>
      </c>
      <c r="I424" s="42">
        <f t="shared" si="119"/>
        <v>0</v>
      </c>
      <c r="J424" s="42">
        <f t="shared" si="119"/>
        <v>0</v>
      </c>
      <c r="K424" s="42">
        <f t="shared" si="119"/>
        <v>0</v>
      </c>
      <c r="L424" s="42">
        <f t="shared" si="119"/>
        <v>0</v>
      </c>
      <c r="M424" s="42">
        <f t="shared" si="118"/>
        <v>0</v>
      </c>
      <c r="N424" s="42">
        <f t="shared" si="118"/>
        <v>0</v>
      </c>
      <c r="O424" s="42">
        <f t="shared" si="118"/>
        <v>0</v>
      </c>
      <c r="P424" s="42">
        <f t="shared" si="118"/>
        <v>0</v>
      </c>
      <c r="Q424" s="43">
        <f t="shared" si="118"/>
        <v>0</v>
      </c>
      <c r="R424" s="43">
        <f t="shared" si="118"/>
        <v>0</v>
      </c>
      <c r="S424" s="43">
        <f t="shared" si="118"/>
        <v>0</v>
      </c>
      <c r="T424" s="43">
        <f t="shared" si="118"/>
        <v>0</v>
      </c>
      <c r="U424" s="43">
        <f t="shared" si="118"/>
        <v>0</v>
      </c>
      <c r="V424" s="43">
        <f t="shared" si="118"/>
        <v>0</v>
      </c>
      <c r="W424" s="43">
        <f t="shared" si="118"/>
        <v>0</v>
      </c>
      <c r="X424" s="43">
        <f t="shared" si="118"/>
        <v>0</v>
      </c>
      <c r="Y424" s="43">
        <f t="shared" si="118"/>
        <v>0</v>
      </c>
      <c r="Z424" s="43">
        <f t="shared" si="118"/>
        <v>0</v>
      </c>
      <c r="AA424" s="43">
        <f t="shared" si="118"/>
        <v>0</v>
      </c>
      <c r="AB424" s="43">
        <f t="shared" si="118"/>
        <v>0</v>
      </c>
      <c r="AC424" s="43">
        <f t="shared" si="118"/>
        <v>0</v>
      </c>
      <c r="AD424" s="43">
        <f t="shared" si="118"/>
        <v>0</v>
      </c>
      <c r="AE424" s="43">
        <f t="shared" si="118"/>
        <v>0</v>
      </c>
      <c r="AF424" s="43">
        <f t="shared" si="118"/>
        <v>0</v>
      </c>
      <c r="AG424" s="43">
        <f t="shared" si="118"/>
        <v>0</v>
      </c>
      <c r="AH424" s="43">
        <f t="shared" si="118"/>
        <v>0</v>
      </c>
      <c r="AI424" s="43">
        <f t="shared" si="118"/>
        <v>0</v>
      </c>
      <c r="AJ424" s="43">
        <f t="shared" si="118"/>
        <v>0</v>
      </c>
      <c r="AK424" s="43">
        <f t="shared" si="118"/>
        <v>0</v>
      </c>
      <c r="AL424" s="43">
        <f t="shared" si="118"/>
        <v>0</v>
      </c>
      <c r="AM424" s="43">
        <f t="shared" si="118"/>
        <v>0</v>
      </c>
      <c r="AN424" s="43">
        <f t="shared" si="118"/>
        <v>0</v>
      </c>
      <c r="AO424" s="43">
        <f t="shared" si="118"/>
        <v>0</v>
      </c>
      <c r="AP424" s="43">
        <f t="shared" si="118"/>
        <v>0</v>
      </c>
      <c r="AQ424" s="43"/>
    </row>
    <row r="425" spans="1:43">
      <c r="A425" s="40" t="s">
        <v>49</v>
      </c>
      <c r="B425" s="42">
        <f t="shared" si="119"/>
        <v>0</v>
      </c>
      <c r="C425" s="42">
        <f t="shared" si="119"/>
        <v>0</v>
      </c>
      <c r="D425" s="42">
        <f t="shared" si="119"/>
        <v>0</v>
      </c>
      <c r="E425" s="42">
        <f t="shared" si="119"/>
        <v>0</v>
      </c>
      <c r="F425" s="42">
        <f t="shared" si="119"/>
        <v>0</v>
      </c>
      <c r="G425" s="42">
        <f t="shared" si="119"/>
        <v>0</v>
      </c>
      <c r="H425" s="42">
        <f t="shared" si="119"/>
        <v>0</v>
      </c>
      <c r="I425" s="42">
        <f t="shared" si="119"/>
        <v>0</v>
      </c>
      <c r="J425" s="42">
        <f t="shared" si="119"/>
        <v>0</v>
      </c>
      <c r="K425" s="42">
        <f t="shared" si="119"/>
        <v>0</v>
      </c>
      <c r="L425" s="42">
        <f t="shared" si="119"/>
        <v>0</v>
      </c>
      <c r="M425" s="42">
        <f t="shared" si="118"/>
        <v>0</v>
      </c>
      <c r="N425" s="42">
        <f t="shared" si="118"/>
        <v>0</v>
      </c>
      <c r="O425" s="42">
        <f t="shared" si="118"/>
        <v>0</v>
      </c>
      <c r="P425" s="42">
        <f t="shared" si="118"/>
        <v>0</v>
      </c>
      <c r="Q425" s="43">
        <f t="shared" si="118"/>
        <v>0</v>
      </c>
      <c r="R425" s="43">
        <f t="shared" si="118"/>
        <v>0</v>
      </c>
      <c r="S425" s="43">
        <f t="shared" si="118"/>
        <v>0</v>
      </c>
      <c r="T425" s="43">
        <f t="shared" si="118"/>
        <v>0</v>
      </c>
      <c r="U425" s="43">
        <f t="shared" si="118"/>
        <v>0</v>
      </c>
      <c r="V425" s="43">
        <f t="shared" si="118"/>
        <v>0</v>
      </c>
      <c r="W425" s="43">
        <f t="shared" si="118"/>
        <v>0</v>
      </c>
      <c r="X425" s="43">
        <f t="shared" si="118"/>
        <v>0</v>
      </c>
      <c r="Y425" s="43">
        <f t="shared" si="118"/>
        <v>0</v>
      </c>
      <c r="Z425" s="43">
        <f t="shared" si="118"/>
        <v>0</v>
      </c>
      <c r="AA425" s="43">
        <f t="shared" si="118"/>
        <v>0</v>
      </c>
      <c r="AB425" s="43">
        <f t="shared" si="118"/>
        <v>0</v>
      </c>
      <c r="AC425" s="43">
        <f t="shared" si="118"/>
        <v>0</v>
      </c>
      <c r="AD425" s="43">
        <f t="shared" si="118"/>
        <v>0</v>
      </c>
      <c r="AE425" s="43">
        <f t="shared" si="118"/>
        <v>0</v>
      </c>
      <c r="AF425" s="43">
        <f t="shared" si="118"/>
        <v>0</v>
      </c>
      <c r="AG425" s="43">
        <f t="shared" si="118"/>
        <v>0</v>
      </c>
      <c r="AH425" s="43">
        <f t="shared" si="118"/>
        <v>0</v>
      </c>
      <c r="AI425" s="43">
        <f t="shared" si="118"/>
        <v>0</v>
      </c>
      <c r="AJ425" s="43">
        <f t="shared" si="118"/>
        <v>0</v>
      </c>
      <c r="AK425" s="43">
        <f t="shared" si="118"/>
        <v>0</v>
      </c>
      <c r="AL425" s="43">
        <f t="shared" si="118"/>
        <v>0</v>
      </c>
      <c r="AM425" s="43">
        <f t="shared" si="118"/>
        <v>0</v>
      </c>
      <c r="AN425" s="43">
        <f t="shared" si="118"/>
        <v>0</v>
      </c>
      <c r="AO425" s="43">
        <f t="shared" si="118"/>
        <v>0</v>
      </c>
      <c r="AP425" s="43">
        <f t="shared" si="118"/>
        <v>0</v>
      </c>
      <c r="AQ425" s="43"/>
    </row>
    <row r="426" spans="1:43">
      <c r="A426" s="40" t="s">
        <v>50</v>
      </c>
      <c r="B426" s="42">
        <f t="shared" si="119"/>
        <v>0</v>
      </c>
      <c r="C426" s="42">
        <f t="shared" si="119"/>
        <v>0</v>
      </c>
      <c r="D426" s="42">
        <f t="shared" si="119"/>
        <v>0</v>
      </c>
      <c r="E426" s="42">
        <f t="shared" si="119"/>
        <v>0</v>
      </c>
      <c r="F426" s="42">
        <f t="shared" si="119"/>
        <v>0</v>
      </c>
      <c r="G426" s="42">
        <f t="shared" si="119"/>
        <v>0</v>
      </c>
      <c r="H426" s="42">
        <f t="shared" si="119"/>
        <v>0</v>
      </c>
      <c r="I426" s="42">
        <f t="shared" si="119"/>
        <v>0</v>
      </c>
      <c r="J426" s="42">
        <f t="shared" si="119"/>
        <v>0</v>
      </c>
      <c r="K426" s="42">
        <f t="shared" si="119"/>
        <v>0</v>
      </c>
      <c r="L426" s="42">
        <f t="shared" si="119"/>
        <v>0</v>
      </c>
      <c r="M426" s="42">
        <f t="shared" si="118"/>
        <v>0</v>
      </c>
      <c r="N426" s="42">
        <f t="shared" si="118"/>
        <v>0</v>
      </c>
      <c r="O426" s="42">
        <f t="shared" si="118"/>
        <v>0</v>
      </c>
      <c r="P426" s="42">
        <f t="shared" si="118"/>
        <v>0</v>
      </c>
      <c r="Q426" s="43">
        <f t="shared" si="118"/>
        <v>0</v>
      </c>
      <c r="R426" s="43">
        <f t="shared" si="118"/>
        <v>0</v>
      </c>
      <c r="S426" s="43">
        <f t="shared" si="118"/>
        <v>0</v>
      </c>
      <c r="T426" s="43">
        <f t="shared" si="118"/>
        <v>0</v>
      </c>
      <c r="U426" s="43">
        <f t="shared" si="118"/>
        <v>0</v>
      </c>
      <c r="V426" s="43">
        <f t="shared" si="118"/>
        <v>0</v>
      </c>
      <c r="W426" s="43">
        <f t="shared" si="118"/>
        <v>0</v>
      </c>
      <c r="X426" s="43">
        <f t="shared" si="118"/>
        <v>0</v>
      </c>
      <c r="Y426" s="43">
        <f t="shared" si="118"/>
        <v>0</v>
      </c>
      <c r="Z426" s="43">
        <f t="shared" si="118"/>
        <v>0</v>
      </c>
      <c r="AA426" s="43">
        <f t="shared" si="118"/>
        <v>0</v>
      </c>
      <c r="AB426" s="43">
        <f t="shared" si="118"/>
        <v>0</v>
      </c>
      <c r="AC426" s="43">
        <f t="shared" si="118"/>
        <v>0</v>
      </c>
      <c r="AD426" s="43">
        <f t="shared" si="118"/>
        <v>0</v>
      </c>
      <c r="AE426" s="43">
        <f t="shared" si="118"/>
        <v>0</v>
      </c>
      <c r="AF426" s="43">
        <f t="shared" si="118"/>
        <v>0</v>
      </c>
      <c r="AG426" s="43">
        <f t="shared" si="118"/>
        <v>0</v>
      </c>
      <c r="AH426" s="43">
        <f t="shared" si="118"/>
        <v>0</v>
      </c>
      <c r="AI426" s="43">
        <f t="shared" si="118"/>
        <v>0</v>
      </c>
      <c r="AJ426" s="43">
        <f t="shared" si="118"/>
        <v>0</v>
      </c>
      <c r="AK426" s="43">
        <f t="shared" si="118"/>
        <v>0</v>
      </c>
      <c r="AL426" s="43">
        <f t="shared" si="118"/>
        <v>0</v>
      </c>
      <c r="AM426" s="43">
        <f t="shared" si="118"/>
        <v>0</v>
      </c>
      <c r="AN426" s="43">
        <f t="shared" si="118"/>
        <v>0</v>
      </c>
      <c r="AO426" s="43">
        <f t="shared" si="118"/>
        <v>0</v>
      </c>
      <c r="AP426" s="43">
        <f t="shared" si="118"/>
        <v>0</v>
      </c>
      <c r="AQ426" s="43"/>
    </row>
    <row r="427" spans="1:43">
      <c r="A427" s="40" t="s">
        <v>51</v>
      </c>
      <c r="B427" s="42">
        <f t="shared" si="119"/>
        <v>0</v>
      </c>
      <c r="C427" s="42">
        <f t="shared" si="119"/>
        <v>0</v>
      </c>
      <c r="D427" s="42">
        <f t="shared" si="119"/>
        <v>0</v>
      </c>
      <c r="E427" s="42">
        <f t="shared" si="119"/>
        <v>0</v>
      </c>
      <c r="F427" s="42">
        <f t="shared" si="119"/>
        <v>0</v>
      </c>
      <c r="G427" s="42">
        <f t="shared" si="119"/>
        <v>0</v>
      </c>
      <c r="H427" s="42">
        <f t="shared" si="119"/>
        <v>0</v>
      </c>
      <c r="I427" s="42">
        <f t="shared" si="119"/>
        <v>0</v>
      </c>
      <c r="J427" s="42">
        <f t="shared" si="119"/>
        <v>0</v>
      </c>
      <c r="K427" s="42">
        <f t="shared" si="119"/>
        <v>0</v>
      </c>
      <c r="L427" s="42">
        <f t="shared" si="119"/>
        <v>0</v>
      </c>
      <c r="M427" s="42">
        <f t="shared" si="118"/>
        <v>0</v>
      </c>
      <c r="N427" s="42">
        <f t="shared" si="118"/>
        <v>0</v>
      </c>
      <c r="O427" s="42">
        <f t="shared" si="118"/>
        <v>0</v>
      </c>
      <c r="P427" s="42">
        <f t="shared" si="118"/>
        <v>0</v>
      </c>
      <c r="Q427" s="43">
        <f t="shared" si="118"/>
        <v>0</v>
      </c>
      <c r="R427" s="43">
        <f t="shared" ref="R427:AP430" si="120">R443</f>
        <v>0</v>
      </c>
      <c r="S427" s="43">
        <f t="shared" si="120"/>
        <v>0</v>
      </c>
      <c r="T427" s="43">
        <f t="shared" si="120"/>
        <v>0</v>
      </c>
      <c r="U427" s="43">
        <f t="shared" si="120"/>
        <v>0</v>
      </c>
      <c r="V427" s="43">
        <f t="shared" si="120"/>
        <v>0</v>
      </c>
      <c r="W427" s="43">
        <f t="shared" si="120"/>
        <v>0</v>
      </c>
      <c r="X427" s="43">
        <f t="shared" si="120"/>
        <v>0</v>
      </c>
      <c r="Y427" s="43">
        <f t="shared" si="120"/>
        <v>0</v>
      </c>
      <c r="Z427" s="43">
        <f t="shared" si="120"/>
        <v>0</v>
      </c>
      <c r="AA427" s="43">
        <f t="shared" si="120"/>
        <v>0</v>
      </c>
      <c r="AB427" s="43">
        <f t="shared" si="120"/>
        <v>0</v>
      </c>
      <c r="AC427" s="43">
        <f t="shared" si="120"/>
        <v>0</v>
      </c>
      <c r="AD427" s="43">
        <f t="shared" si="120"/>
        <v>0</v>
      </c>
      <c r="AE427" s="43">
        <f t="shared" si="120"/>
        <v>0</v>
      </c>
      <c r="AF427" s="43">
        <f t="shared" si="120"/>
        <v>0</v>
      </c>
      <c r="AG427" s="43">
        <f t="shared" si="120"/>
        <v>0</v>
      </c>
      <c r="AH427" s="43">
        <f t="shared" si="120"/>
        <v>0</v>
      </c>
      <c r="AI427" s="43">
        <f t="shared" si="120"/>
        <v>0</v>
      </c>
      <c r="AJ427" s="43">
        <f t="shared" si="120"/>
        <v>0</v>
      </c>
      <c r="AK427" s="43">
        <f t="shared" si="120"/>
        <v>0</v>
      </c>
      <c r="AL427" s="43">
        <f t="shared" si="120"/>
        <v>0</v>
      </c>
      <c r="AM427" s="43">
        <f t="shared" si="120"/>
        <v>0</v>
      </c>
      <c r="AN427" s="43">
        <f t="shared" si="120"/>
        <v>0</v>
      </c>
      <c r="AO427" s="43">
        <f t="shared" si="120"/>
        <v>0</v>
      </c>
      <c r="AP427" s="43">
        <f t="shared" si="120"/>
        <v>0</v>
      </c>
      <c r="AQ427" s="43"/>
    </row>
    <row r="428" spans="1:43">
      <c r="A428" s="40" t="s">
        <v>52</v>
      </c>
      <c r="B428" s="42">
        <f t="shared" si="119"/>
        <v>0</v>
      </c>
      <c r="C428" s="42">
        <f t="shared" si="119"/>
        <v>0</v>
      </c>
      <c r="D428" s="42">
        <f t="shared" si="119"/>
        <v>0</v>
      </c>
      <c r="E428" s="42">
        <f t="shared" si="119"/>
        <v>0</v>
      </c>
      <c r="F428" s="42">
        <f t="shared" si="119"/>
        <v>0</v>
      </c>
      <c r="G428" s="42">
        <f t="shared" si="119"/>
        <v>0</v>
      </c>
      <c r="H428" s="42">
        <f t="shared" si="119"/>
        <v>0</v>
      </c>
      <c r="I428" s="42">
        <f t="shared" si="119"/>
        <v>0</v>
      </c>
      <c r="J428" s="42">
        <f t="shared" si="119"/>
        <v>0</v>
      </c>
      <c r="K428" s="42">
        <f t="shared" si="119"/>
        <v>0</v>
      </c>
      <c r="L428" s="42">
        <f t="shared" si="119"/>
        <v>0</v>
      </c>
      <c r="M428" s="42">
        <f t="shared" si="119"/>
        <v>0</v>
      </c>
      <c r="N428" s="42">
        <f t="shared" si="119"/>
        <v>0</v>
      </c>
      <c r="O428" s="42">
        <f t="shared" si="119"/>
        <v>120640</v>
      </c>
      <c r="P428" s="42">
        <f t="shared" si="119"/>
        <v>0</v>
      </c>
      <c r="Q428" s="43">
        <f t="shared" si="119"/>
        <v>0</v>
      </c>
      <c r="R428" s="43">
        <f t="shared" si="120"/>
        <v>0</v>
      </c>
      <c r="S428" s="43">
        <f t="shared" si="120"/>
        <v>0</v>
      </c>
      <c r="T428" s="43">
        <f t="shared" si="120"/>
        <v>0</v>
      </c>
      <c r="U428" s="43">
        <f t="shared" si="120"/>
        <v>0</v>
      </c>
      <c r="V428" s="43">
        <f t="shared" si="120"/>
        <v>0</v>
      </c>
      <c r="W428" s="43">
        <f t="shared" si="120"/>
        <v>0</v>
      </c>
      <c r="X428" s="43">
        <f t="shared" si="120"/>
        <v>0</v>
      </c>
      <c r="Y428" s="43">
        <f t="shared" si="120"/>
        <v>0</v>
      </c>
      <c r="Z428" s="43">
        <f t="shared" si="120"/>
        <v>0</v>
      </c>
      <c r="AA428" s="43">
        <f t="shared" si="120"/>
        <v>0</v>
      </c>
      <c r="AB428" s="43">
        <f t="shared" si="120"/>
        <v>0</v>
      </c>
      <c r="AC428" s="43">
        <f t="shared" si="120"/>
        <v>0</v>
      </c>
      <c r="AD428" s="43">
        <f t="shared" si="120"/>
        <v>0</v>
      </c>
      <c r="AE428" s="43">
        <f t="shared" si="120"/>
        <v>0</v>
      </c>
      <c r="AF428" s="43">
        <f t="shared" si="120"/>
        <v>0</v>
      </c>
      <c r="AG428" s="43">
        <f t="shared" si="120"/>
        <v>0</v>
      </c>
      <c r="AH428" s="43">
        <f t="shared" si="120"/>
        <v>0</v>
      </c>
      <c r="AI428" s="43">
        <f t="shared" si="120"/>
        <v>0</v>
      </c>
      <c r="AJ428" s="43">
        <f t="shared" si="120"/>
        <v>0</v>
      </c>
      <c r="AK428" s="43">
        <f t="shared" si="120"/>
        <v>0</v>
      </c>
      <c r="AL428" s="43">
        <f t="shared" si="120"/>
        <v>0</v>
      </c>
      <c r="AM428" s="43">
        <f t="shared" si="120"/>
        <v>0</v>
      </c>
      <c r="AN428" s="43">
        <f t="shared" si="120"/>
        <v>0</v>
      </c>
      <c r="AO428" s="43">
        <f t="shared" si="120"/>
        <v>0</v>
      </c>
      <c r="AP428" s="43">
        <f t="shared" si="120"/>
        <v>0</v>
      </c>
      <c r="AQ428" s="43"/>
    </row>
    <row r="429" spans="1:43">
      <c r="A429" s="40" t="s">
        <v>53</v>
      </c>
      <c r="B429" s="42">
        <f t="shared" si="119"/>
        <v>0</v>
      </c>
      <c r="C429" s="42">
        <f t="shared" si="119"/>
        <v>0</v>
      </c>
      <c r="D429" s="42">
        <f t="shared" si="119"/>
        <v>0</v>
      </c>
      <c r="E429" s="42">
        <f t="shared" si="119"/>
        <v>0</v>
      </c>
      <c r="F429" s="42">
        <f t="shared" si="119"/>
        <v>0</v>
      </c>
      <c r="G429" s="42">
        <f t="shared" si="119"/>
        <v>0</v>
      </c>
      <c r="H429" s="42">
        <f t="shared" si="119"/>
        <v>0</v>
      </c>
      <c r="I429" s="42">
        <f t="shared" si="119"/>
        <v>0</v>
      </c>
      <c r="J429" s="42">
        <f t="shared" si="119"/>
        <v>0</v>
      </c>
      <c r="K429" s="42">
        <f t="shared" si="119"/>
        <v>0</v>
      </c>
      <c r="L429" s="42">
        <f t="shared" si="119"/>
        <v>9384</v>
      </c>
      <c r="M429" s="42">
        <f t="shared" si="119"/>
        <v>0</v>
      </c>
      <c r="N429" s="42">
        <f t="shared" si="119"/>
        <v>41398</v>
      </c>
      <c r="O429" s="42">
        <f t="shared" si="119"/>
        <v>198943</v>
      </c>
      <c r="P429" s="42">
        <f t="shared" si="119"/>
        <v>0</v>
      </c>
      <c r="Q429" s="43">
        <f t="shared" si="119"/>
        <v>0</v>
      </c>
      <c r="R429" s="43">
        <f t="shared" si="120"/>
        <v>0</v>
      </c>
      <c r="S429" s="43">
        <f t="shared" si="120"/>
        <v>0</v>
      </c>
      <c r="T429" s="43">
        <f t="shared" si="120"/>
        <v>0</v>
      </c>
      <c r="U429" s="43">
        <f t="shared" si="120"/>
        <v>0</v>
      </c>
      <c r="V429" s="43">
        <f t="shared" si="120"/>
        <v>0</v>
      </c>
      <c r="W429" s="43">
        <f t="shared" si="120"/>
        <v>0</v>
      </c>
      <c r="X429" s="43">
        <f t="shared" si="120"/>
        <v>0</v>
      </c>
      <c r="Y429" s="43">
        <f t="shared" si="120"/>
        <v>0</v>
      </c>
      <c r="Z429" s="43">
        <f t="shared" si="120"/>
        <v>0</v>
      </c>
      <c r="AA429" s="43">
        <f t="shared" si="120"/>
        <v>0</v>
      </c>
      <c r="AB429" s="43">
        <f t="shared" si="120"/>
        <v>0</v>
      </c>
      <c r="AC429" s="43">
        <f t="shared" si="120"/>
        <v>0</v>
      </c>
      <c r="AD429" s="43">
        <f t="shared" si="120"/>
        <v>0</v>
      </c>
      <c r="AE429" s="43">
        <f t="shared" si="120"/>
        <v>0</v>
      </c>
      <c r="AF429" s="43">
        <f t="shared" si="120"/>
        <v>0</v>
      </c>
      <c r="AG429" s="43">
        <f t="shared" si="120"/>
        <v>0</v>
      </c>
      <c r="AH429" s="43">
        <f t="shared" si="120"/>
        <v>0</v>
      </c>
      <c r="AI429" s="43">
        <f t="shared" si="120"/>
        <v>0</v>
      </c>
      <c r="AJ429" s="43">
        <f t="shared" si="120"/>
        <v>0</v>
      </c>
      <c r="AK429" s="43">
        <f t="shared" si="120"/>
        <v>0</v>
      </c>
      <c r="AL429" s="43">
        <f t="shared" si="120"/>
        <v>0</v>
      </c>
      <c r="AM429" s="43">
        <f t="shared" si="120"/>
        <v>0</v>
      </c>
      <c r="AN429" s="43">
        <f t="shared" si="120"/>
        <v>0</v>
      </c>
      <c r="AO429" s="43">
        <f t="shared" si="120"/>
        <v>0</v>
      </c>
      <c r="AP429" s="43">
        <f t="shared" si="120"/>
        <v>0</v>
      </c>
      <c r="AQ429" s="43"/>
    </row>
    <row r="430" spans="1:43">
      <c r="A430" s="40" t="s">
        <v>54</v>
      </c>
      <c r="B430" s="42">
        <f t="shared" si="119"/>
        <v>0</v>
      </c>
      <c r="C430" s="42">
        <f t="shared" si="119"/>
        <v>0</v>
      </c>
      <c r="D430" s="42">
        <f t="shared" si="119"/>
        <v>0</v>
      </c>
      <c r="E430" s="42">
        <f t="shared" si="119"/>
        <v>0</v>
      </c>
      <c r="F430" s="42">
        <f t="shared" si="119"/>
        <v>0</v>
      </c>
      <c r="G430" s="42">
        <f t="shared" si="119"/>
        <v>0</v>
      </c>
      <c r="H430" s="42">
        <f t="shared" si="119"/>
        <v>0</v>
      </c>
      <c r="I430" s="42">
        <f t="shared" si="119"/>
        <v>0</v>
      </c>
      <c r="J430" s="42">
        <f t="shared" si="119"/>
        <v>0</v>
      </c>
      <c r="K430" s="42">
        <f t="shared" si="119"/>
        <v>0</v>
      </c>
      <c r="L430" s="42">
        <f t="shared" si="119"/>
        <v>0</v>
      </c>
      <c r="M430" s="42">
        <f t="shared" si="119"/>
        <v>632688</v>
      </c>
      <c r="N430" s="42">
        <f t="shared" si="119"/>
        <v>470863</v>
      </c>
      <c r="O430" s="42">
        <f t="shared" si="119"/>
        <v>553021</v>
      </c>
      <c r="P430" s="42">
        <f t="shared" si="119"/>
        <v>0</v>
      </c>
      <c r="Q430" s="43">
        <f t="shared" si="119"/>
        <v>0</v>
      </c>
      <c r="R430" s="43">
        <f t="shared" si="120"/>
        <v>0</v>
      </c>
      <c r="S430" s="43">
        <f t="shared" si="120"/>
        <v>0</v>
      </c>
      <c r="T430" s="43">
        <f t="shared" si="120"/>
        <v>0</v>
      </c>
      <c r="U430" s="43">
        <f t="shared" si="120"/>
        <v>0</v>
      </c>
      <c r="V430" s="43">
        <f t="shared" si="120"/>
        <v>0</v>
      </c>
      <c r="W430" s="43">
        <f t="shared" si="120"/>
        <v>0</v>
      </c>
      <c r="X430" s="43">
        <f t="shared" si="120"/>
        <v>0</v>
      </c>
      <c r="Y430" s="43">
        <f t="shared" si="120"/>
        <v>0</v>
      </c>
      <c r="Z430" s="43">
        <f t="shared" si="120"/>
        <v>0</v>
      </c>
      <c r="AA430" s="43">
        <f t="shared" si="120"/>
        <v>0</v>
      </c>
      <c r="AB430" s="43">
        <f t="shared" si="120"/>
        <v>0</v>
      </c>
      <c r="AC430" s="43">
        <f t="shared" si="120"/>
        <v>0</v>
      </c>
      <c r="AD430" s="43">
        <f t="shared" si="120"/>
        <v>0</v>
      </c>
      <c r="AE430" s="43">
        <f t="shared" si="120"/>
        <v>0</v>
      </c>
      <c r="AF430" s="43">
        <f t="shared" si="120"/>
        <v>0</v>
      </c>
      <c r="AG430" s="43">
        <f t="shared" si="120"/>
        <v>0</v>
      </c>
      <c r="AH430" s="43">
        <f t="shared" si="120"/>
        <v>0</v>
      </c>
      <c r="AI430" s="43">
        <f t="shared" si="120"/>
        <v>0</v>
      </c>
      <c r="AJ430" s="43">
        <f t="shared" si="120"/>
        <v>0</v>
      </c>
      <c r="AK430" s="43">
        <f t="shared" si="120"/>
        <v>0</v>
      </c>
      <c r="AL430" s="43">
        <f t="shared" si="120"/>
        <v>0</v>
      </c>
      <c r="AM430" s="43">
        <f t="shared" si="120"/>
        <v>0</v>
      </c>
      <c r="AN430" s="43">
        <f t="shared" si="120"/>
        <v>0</v>
      </c>
      <c r="AO430" s="43">
        <f t="shared" si="120"/>
        <v>0</v>
      </c>
      <c r="AP430" s="43">
        <f t="shared" si="120"/>
        <v>0</v>
      </c>
      <c r="AQ430" s="43"/>
    </row>
    <row r="431" spans="1:43">
      <c r="A431" s="40" t="s">
        <v>29</v>
      </c>
      <c r="B431" s="42">
        <f>SUM(B419:B430)</f>
        <v>0</v>
      </c>
      <c r="C431" s="42">
        <f t="shared" ref="C431:AP431" si="121">SUM(C419:C430)</f>
        <v>0</v>
      </c>
      <c r="D431" s="42">
        <f t="shared" si="121"/>
        <v>0</v>
      </c>
      <c r="E431" s="42">
        <f t="shared" si="121"/>
        <v>0</v>
      </c>
      <c r="F431" s="42">
        <f t="shared" si="121"/>
        <v>0</v>
      </c>
      <c r="G431" s="42">
        <f t="shared" si="121"/>
        <v>0</v>
      </c>
      <c r="H431" s="42">
        <f t="shared" si="121"/>
        <v>0</v>
      </c>
      <c r="I431" s="42">
        <f t="shared" si="121"/>
        <v>0</v>
      </c>
      <c r="J431" s="42">
        <f t="shared" si="121"/>
        <v>0</v>
      </c>
      <c r="K431" s="42">
        <f t="shared" si="121"/>
        <v>7704</v>
      </c>
      <c r="L431" s="42">
        <f t="shared" si="121"/>
        <v>9384</v>
      </c>
      <c r="M431" s="42">
        <f t="shared" si="121"/>
        <v>632688</v>
      </c>
      <c r="N431" s="42">
        <f t="shared" si="121"/>
        <v>550200</v>
      </c>
      <c r="O431" s="42">
        <f t="shared" si="121"/>
        <v>1209481</v>
      </c>
      <c r="P431" s="42">
        <f t="shared" si="121"/>
        <v>157995</v>
      </c>
      <c r="Q431" s="43">
        <f t="shared" si="121"/>
        <v>0</v>
      </c>
      <c r="R431" s="43">
        <f t="shared" si="121"/>
        <v>0</v>
      </c>
      <c r="S431" s="43">
        <f t="shared" si="121"/>
        <v>0</v>
      </c>
      <c r="T431" s="43">
        <f t="shared" si="121"/>
        <v>0</v>
      </c>
      <c r="U431" s="43">
        <f t="shared" si="121"/>
        <v>0</v>
      </c>
      <c r="V431" s="43">
        <f t="shared" si="121"/>
        <v>0</v>
      </c>
      <c r="W431" s="43">
        <f t="shared" si="121"/>
        <v>0</v>
      </c>
      <c r="X431" s="43">
        <f t="shared" si="121"/>
        <v>0</v>
      </c>
      <c r="Y431" s="43">
        <f t="shared" si="121"/>
        <v>0</v>
      </c>
      <c r="Z431" s="43">
        <f t="shared" si="121"/>
        <v>0</v>
      </c>
      <c r="AA431" s="43">
        <f t="shared" si="121"/>
        <v>0</v>
      </c>
      <c r="AB431" s="43">
        <f t="shared" si="121"/>
        <v>0</v>
      </c>
      <c r="AC431" s="43">
        <f t="shared" si="121"/>
        <v>0</v>
      </c>
      <c r="AD431" s="43">
        <f t="shared" si="121"/>
        <v>0</v>
      </c>
      <c r="AE431" s="43">
        <f t="shared" si="121"/>
        <v>0</v>
      </c>
      <c r="AF431" s="43">
        <f t="shared" si="121"/>
        <v>0</v>
      </c>
      <c r="AG431" s="43">
        <f t="shared" si="121"/>
        <v>0</v>
      </c>
      <c r="AH431" s="43">
        <f t="shared" si="121"/>
        <v>0</v>
      </c>
      <c r="AI431" s="43">
        <f t="shared" si="121"/>
        <v>0</v>
      </c>
      <c r="AJ431" s="43">
        <f t="shared" si="121"/>
        <v>0</v>
      </c>
      <c r="AK431" s="43">
        <f t="shared" si="121"/>
        <v>0</v>
      </c>
      <c r="AL431" s="43">
        <f t="shared" si="121"/>
        <v>0</v>
      </c>
      <c r="AM431" s="43">
        <f t="shared" si="121"/>
        <v>0</v>
      </c>
      <c r="AN431" s="43">
        <f t="shared" si="121"/>
        <v>0</v>
      </c>
      <c r="AO431" s="43">
        <f t="shared" si="121"/>
        <v>0</v>
      </c>
      <c r="AP431" s="43">
        <f t="shared" si="121"/>
        <v>0</v>
      </c>
      <c r="AQ431" s="43"/>
    </row>
    <row r="433" spans="1:43" ht="12" thickBot="1">
      <c r="A433" s="245" t="s">
        <v>333</v>
      </c>
    </row>
    <row r="434" spans="1:43" ht="12" thickBot="1">
      <c r="A434" s="270"/>
      <c r="B434" s="263">
        <v>2010</v>
      </c>
      <c r="C434" s="263">
        <v>2011</v>
      </c>
      <c r="D434" s="263">
        <v>2012</v>
      </c>
      <c r="E434" s="263">
        <v>2013</v>
      </c>
      <c r="F434" s="263">
        <v>2014</v>
      </c>
      <c r="G434" s="263">
        <v>2015</v>
      </c>
      <c r="H434" s="263">
        <v>2016</v>
      </c>
      <c r="I434" s="263">
        <v>2017</v>
      </c>
      <c r="J434" s="263">
        <v>2018</v>
      </c>
      <c r="K434" s="263">
        <v>2019</v>
      </c>
      <c r="L434" s="263">
        <v>2020</v>
      </c>
      <c r="M434" s="263">
        <v>2021</v>
      </c>
      <c r="N434" s="263">
        <v>2022</v>
      </c>
      <c r="O434" s="263">
        <v>2023</v>
      </c>
      <c r="P434" s="263">
        <v>2024</v>
      </c>
      <c r="Q434" s="263">
        <v>2025</v>
      </c>
      <c r="R434" s="263">
        <v>2026</v>
      </c>
      <c r="S434" s="263">
        <v>2027</v>
      </c>
      <c r="T434" s="263">
        <v>2028</v>
      </c>
      <c r="U434" s="263">
        <v>2029</v>
      </c>
      <c r="V434" s="263">
        <v>2030</v>
      </c>
      <c r="W434" s="263">
        <v>2031</v>
      </c>
      <c r="X434" s="263">
        <v>2032</v>
      </c>
      <c r="Y434" s="263">
        <v>2033</v>
      </c>
      <c r="Z434" s="263">
        <v>2034</v>
      </c>
      <c r="AA434" s="263">
        <v>2035</v>
      </c>
      <c r="AB434" s="263">
        <v>2036</v>
      </c>
      <c r="AC434" s="263">
        <v>2037</v>
      </c>
      <c r="AD434" s="263">
        <v>2038</v>
      </c>
      <c r="AE434" s="263">
        <v>2039</v>
      </c>
      <c r="AF434" s="263">
        <v>2040</v>
      </c>
      <c r="AG434" s="263">
        <v>2041</v>
      </c>
      <c r="AH434" s="263">
        <v>2042</v>
      </c>
      <c r="AI434" s="263">
        <v>2043</v>
      </c>
      <c r="AJ434" s="263">
        <v>2044</v>
      </c>
      <c r="AK434" s="263">
        <v>2045</v>
      </c>
      <c r="AL434" s="263">
        <v>2046</v>
      </c>
      <c r="AM434" s="263">
        <v>2047</v>
      </c>
      <c r="AN434" s="263">
        <v>2048</v>
      </c>
      <c r="AO434" s="263">
        <v>2049</v>
      </c>
      <c r="AP434" s="263">
        <v>2050</v>
      </c>
      <c r="AQ434" s="245"/>
    </row>
    <row r="435" spans="1:43">
      <c r="A435" s="40" t="s">
        <v>43</v>
      </c>
      <c r="B435" s="42">
        <f>'Monthly D4 RIN Data'!$M4</f>
        <v>0</v>
      </c>
      <c r="C435" s="42">
        <f>'Monthly D4 RIN Data'!$M16</f>
        <v>0</v>
      </c>
      <c r="D435" s="42">
        <f>'Monthly D4 RIN Data'!$M28</f>
        <v>0</v>
      </c>
      <c r="E435" s="42">
        <f>'Monthly D4 RIN Data'!$M40</f>
        <v>0</v>
      </c>
      <c r="F435" s="42">
        <f>'Monthly D4 RIN Data'!$M52</f>
        <v>0</v>
      </c>
      <c r="G435" s="42">
        <f>'Monthly D4 RIN Data'!$M64</f>
        <v>0</v>
      </c>
      <c r="H435" s="42">
        <f>'Monthly D4 RIN Data'!$M76</f>
        <v>0</v>
      </c>
      <c r="I435" s="42">
        <f>'Monthly D4 RIN Data'!$M88</f>
        <v>0</v>
      </c>
      <c r="J435" s="42">
        <f>'Monthly D4 RIN Data'!$M100</f>
        <v>0</v>
      </c>
      <c r="K435" s="42">
        <f>'Monthly D4 RIN Data'!$M112</f>
        <v>7704</v>
      </c>
      <c r="L435" s="42">
        <f>'Monthly D4 RIN Data'!$M124</f>
        <v>0</v>
      </c>
      <c r="M435" s="42">
        <f>'Monthly D4 RIN Data'!$M136</f>
        <v>0</v>
      </c>
      <c r="N435" s="42">
        <f>'Monthly D4 RIN Data'!$M148</f>
        <v>37939</v>
      </c>
      <c r="O435" s="42">
        <f>'Monthly D4 RIN Data'!$M160</f>
        <v>0</v>
      </c>
      <c r="P435" s="42">
        <f>'Monthly D4 RIN Data'!$M172</f>
        <v>0</v>
      </c>
      <c r="Q435" s="42">
        <f>'Monthly D4 RIN Data'!$M184</f>
        <v>0</v>
      </c>
      <c r="R435" s="43">
        <f>'D4 Gallon Forecast'!R405*AVERAGE('D4 RIN Forecast'!$BC$26:$BF$26)</f>
        <v>0</v>
      </c>
      <c r="S435" s="43">
        <f>'D4 Gallon Forecast'!S405*AVERAGE('D4 RIN Forecast'!$BC$26:$BF$26)</f>
        <v>0</v>
      </c>
      <c r="T435" s="43">
        <f>'D4 Gallon Forecast'!T405*AVERAGE('D4 RIN Forecast'!$BC$26:$BF$26)</f>
        <v>0</v>
      </c>
      <c r="U435" s="43">
        <f>'D4 Gallon Forecast'!U405*AVERAGE('D4 RIN Forecast'!$BC$26:$BF$26)</f>
        <v>0</v>
      </c>
      <c r="V435" s="43">
        <f>'D4 Gallon Forecast'!V405*AVERAGE('D4 RIN Forecast'!$BC$26:$BG$26)</f>
        <v>0</v>
      </c>
      <c r="W435" s="43">
        <f>'D4 Gallon Forecast'!W405*AVERAGE('D4 RIN Forecast'!$BC$26:$BG$26)</f>
        <v>0</v>
      </c>
      <c r="X435" s="43">
        <f>'D4 Gallon Forecast'!X405*AVERAGE('D4 RIN Forecast'!$BC$26:$BG$26)</f>
        <v>0</v>
      </c>
      <c r="Y435" s="43">
        <f>'D4 Gallon Forecast'!Y405*AVERAGE('D4 RIN Forecast'!$BC$26:$BG$26)</f>
        <v>0</v>
      </c>
      <c r="Z435" s="43">
        <f>'D4 Gallon Forecast'!Z405*AVERAGE('D4 RIN Forecast'!$BC$26:$BG$26)</f>
        <v>0</v>
      </c>
      <c r="AA435" s="43">
        <f>'D4 Gallon Forecast'!AA405*AVERAGE('D4 RIN Forecast'!$BC$26:$BG$26)</f>
        <v>0</v>
      </c>
      <c r="AB435" s="43">
        <f>'D4 Gallon Forecast'!AB405*AVERAGE('D4 RIN Forecast'!$BC$26:$BG$26)</f>
        <v>0</v>
      </c>
      <c r="AC435" s="43">
        <f>'D4 Gallon Forecast'!AC405*AVERAGE('D4 RIN Forecast'!$BC$26:$BG$26)</f>
        <v>0</v>
      </c>
      <c r="AD435" s="43">
        <f>'D4 Gallon Forecast'!AD405*AVERAGE('D4 RIN Forecast'!$BC$26:$BG$26)</f>
        <v>0</v>
      </c>
      <c r="AE435" s="43">
        <f>'D4 Gallon Forecast'!AE405*AVERAGE('D4 RIN Forecast'!$BC$26:$BG$26)</f>
        <v>0</v>
      </c>
      <c r="AF435" s="43">
        <f>'D4 Gallon Forecast'!AF405*AVERAGE('D4 RIN Forecast'!$BC$26:$BG$26)</f>
        <v>0</v>
      </c>
      <c r="AG435" s="43">
        <f>'D4 Gallon Forecast'!AG405*AVERAGE('D4 RIN Forecast'!$BC$26:$BG$26)</f>
        <v>0</v>
      </c>
      <c r="AH435" s="43">
        <f>'D4 Gallon Forecast'!AH405*AVERAGE('D4 RIN Forecast'!$BC$26:$BG$26)</f>
        <v>0</v>
      </c>
      <c r="AI435" s="43">
        <f>'D4 Gallon Forecast'!AI405*AVERAGE('D4 RIN Forecast'!$BC$26:$BG$26)</f>
        <v>0</v>
      </c>
      <c r="AJ435" s="43">
        <f>'D4 Gallon Forecast'!AJ405*AVERAGE('D4 RIN Forecast'!$BC$26:$BG$26)</f>
        <v>0</v>
      </c>
      <c r="AK435" s="43">
        <f>'D4 Gallon Forecast'!AK405*AVERAGE('D4 RIN Forecast'!$BC$26:$BG$26)</f>
        <v>0</v>
      </c>
      <c r="AL435" s="43">
        <f>'D4 Gallon Forecast'!AL405*AVERAGE('D4 RIN Forecast'!$BC$26:$BG$26)</f>
        <v>0</v>
      </c>
      <c r="AM435" s="43">
        <f>'D4 Gallon Forecast'!AM405*AVERAGE('D4 RIN Forecast'!$BC$26:$BG$26)</f>
        <v>0</v>
      </c>
      <c r="AN435" s="43">
        <f>'D4 Gallon Forecast'!AN405*AVERAGE('D4 RIN Forecast'!$BC$26:$BG$26)</f>
        <v>0</v>
      </c>
      <c r="AO435" s="43">
        <f>'D4 Gallon Forecast'!AO405*AVERAGE('D4 RIN Forecast'!$BC$26:$BG$26)</f>
        <v>0</v>
      </c>
      <c r="AP435" s="43">
        <f>'D4 Gallon Forecast'!AP405*AVERAGE('D4 RIN Forecast'!$BC$26:$BG$26)</f>
        <v>0</v>
      </c>
      <c r="AQ435" s="43"/>
    </row>
    <row r="436" spans="1:43">
      <c r="A436" s="40" t="s">
        <v>44</v>
      </c>
      <c r="B436" s="42">
        <f>'Monthly D4 RIN Data'!$M5</f>
        <v>0</v>
      </c>
      <c r="C436" s="42">
        <f>'Monthly D4 RIN Data'!$M17</f>
        <v>0</v>
      </c>
      <c r="D436" s="42">
        <f>'Monthly D4 RIN Data'!$M29</f>
        <v>0</v>
      </c>
      <c r="E436" s="42">
        <f>'Monthly D4 RIN Data'!$M41</f>
        <v>0</v>
      </c>
      <c r="F436" s="42">
        <f>'Monthly D4 RIN Data'!$M53</f>
        <v>0</v>
      </c>
      <c r="G436" s="42">
        <f>'Monthly D4 RIN Data'!$M65</f>
        <v>0</v>
      </c>
      <c r="H436" s="42">
        <f>'Monthly D4 RIN Data'!$M77</f>
        <v>0</v>
      </c>
      <c r="I436" s="42">
        <f>'Monthly D4 RIN Data'!$M89</f>
        <v>0</v>
      </c>
      <c r="J436" s="42">
        <f>'Monthly D4 RIN Data'!$M101</f>
        <v>0</v>
      </c>
      <c r="K436" s="42">
        <f>'Monthly D4 RIN Data'!$M113</f>
        <v>0</v>
      </c>
      <c r="L436" s="42">
        <f>'Monthly D4 RIN Data'!$M125</f>
        <v>0</v>
      </c>
      <c r="M436" s="42">
        <f>'Monthly D4 RIN Data'!$M137</f>
        <v>0</v>
      </c>
      <c r="N436" s="42">
        <f>'Monthly D4 RIN Data'!$M149</f>
        <v>0</v>
      </c>
      <c r="O436" s="42">
        <f>'Monthly D4 RIN Data'!$M161</f>
        <v>0</v>
      </c>
      <c r="P436" s="42">
        <f>'Monthly D4 RIN Data'!$M173</f>
        <v>157995</v>
      </c>
      <c r="Q436" s="42">
        <f>'Monthly D4 RIN Data'!$M185</f>
        <v>0</v>
      </c>
      <c r="R436" s="43">
        <f>'D4 Gallon Forecast'!R406*AVERAGE('D4 RIN Forecast'!$BC$26:$BF$26)</f>
        <v>0</v>
      </c>
      <c r="S436" s="43">
        <f>'D4 Gallon Forecast'!S406*AVERAGE('D4 RIN Forecast'!$BC$26:$BF$26)</f>
        <v>0</v>
      </c>
      <c r="T436" s="43">
        <f>'D4 Gallon Forecast'!T406*AVERAGE('D4 RIN Forecast'!$BC$26:$BF$26)</f>
        <v>0</v>
      </c>
      <c r="U436" s="43">
        <f>'D4 Gallon Forecast'!U406*AVERAGE('D4 RIN Forecast'!$BC$26:$BF$26)</f>
        <v>0</v>
      </c>
      <c r="V436" s="43">
        <f>'D4 Gallon Forecast'!V406*AVERAGE('D4 RIN Forecast'!$BC$26:$BG$26)</f>
        <v>0</v>
      </c>
      <c r="W436" s="43">
        <f>'D4 Gallon Forecast'!W406*AVERAGE('D4 RIN Forecast'!$BC$26:$BG$26)</f>
        <v>0</v>
      </c>
      <c r="X436" s="43">
        <f>'D4 Gallon Forecast'!X406*AVERAGE('D4 RIN Forecast'!$BC$26:$BG$26)</f>
        <v>0</v>
      </c>
      <c r="Y436" s="43">
        <f>'D4 Gallon Forecast'!Y406*AVERAGE('D4 RIN Forecast'!$BC$26:$BG$26)</f>
        <v>0</v>
      </c>
      <c r="Z436" s="43">
        <f>'D4 Gallon Forecast'!Z406*AVERAGE('D4 RIN Forecast'!$BC$26:$BG$26)</f>
        <v>0</v>
      </c>
      <c r="AA436" s="43">
        <f>'D4 Gallon Forecast'!AA406*AVERAGE('D4 RIN Forecast'!$BC$26:$BG$26)</f>
        <v>0</v>
      </c>
      <c r="AB436" s="43">
        <f>'D4 Gallon Forecast'!AB406*AVERAGE('D4 RIN Forecast'!$BC$26:$BG$26)</f>
        <v>0</v>
      </c>
      <c r="AC436" s="43">
        <f>'D4 Gallon Forecast'!AC406*AVERAGE('D4 RIN Forecast'!$BC$26:$BG$26)</f>
        <v>0</v>
      </c>
      <c r="AD436" s="43">
        <f>'D4 Gallon Forecast'!AD406*AVERAGE('D4 RIN Forecast'!$BC$26:$BG$26)</f>
        <v>0</v>
      </c>
      <c r="AE436" s="43">
        <f>'D4 Gallon Forecast'!AE406*AVERAGE('D4 RIN Forecast'!$BC$26:$BG$26)</f>
        <v>0</v>
      </c>
      <c r="AF436" s="43">
        <f>'D4 Gallon Forecast'!AF406*AVERAGE('D4 RIN Forecast'!$BC$26:$BG$26)</f>
        <v>0</v>
      </c>
      <c r="AG436" s="43">
        <f>'D4 Gallon Forecast'!AG406*AVERAGE('D4 RIN Forecast'!$BC$26:$BG$26)</f>
        <v>0</v>
      </c>
      <c r="AH436" s="43">
        <f>'D4 Gallon Forecast'!AH406*AVERAGE('D4 RIN Forecast'!$BC$26:$BG$26)</f>
        <v>0</v>
      </c>
      <c r="AI436" s="43">
        <f>'D4 Gallon Forecast'!AI406*AVERAGE('D4 RIN Forecast'!$BC$26:$BG$26)</f>
        <v>0</v>
      </c>
      <c r="AJ436" s="43">
        <f>'D4 Gallon Forecast'!AJ406*AVERAGE('D4 RIN Forecast'!$BC$26:$BG$26)</f>
        <v>0</v>
      </c>
      <c r="AK436" s="43">
        <f>'D4 Gallon Forecast'!AK406*AVERAGE('D4 RIN Forecast'!$BC$26:$BG$26)</f>
        <v>0</v>
      </c>
      <c r="AL436" s="43">
        <f>'D4 Gallon Forecast'!AL406*AVERAGE('D4 RIN Forecast'!$BC$26:$BG$26)</f>
        <v>0</v>
      </c>
      <c r="AM436" s="43">
        <f>'D4 Gallon Forecast'!AM406*AVERAGE('D4 RIN Forecast'!$BC$26:$BG$26)</f>
        <v>0</v>
      </c>
      <c r="AN436" s="43">
        <f>'D4 Gallon Forecast'!AN406*AVERAGE('D4 RIN Forecast'!$BC$26:$BG$26)</f>
        <v>0</v>
      </c>
      <c r="AO436" s="43">
        <f>'D4 Gallon Forecast'!AO406*AVERAGE('D4 RIN Forecast'!$BC$26:$BG$26)</f>
        <v>0</v>
      </c>
      <c r="AP436" s="43">
        <f>'D4 Gallon Forecast'!AP406*AVERAGE('D4 RIN Forecast'!$BC$26:$BG$26)</f>
        <v>0</v>
      </c>
      <c r="AQ436" s="43"/>
    </row>
    <row r="437" spans="1:43">
      <c r="A437" s="40" t="s">
        <v>45</v>
      </c>
      <c r="B437" s="42">
        <f>'Monthly D4 RIN Data'!$M6</f>
        <v>0</v>
      </c>
      <c r="C437" s="42">
        <f>'Monthly D4 RIN Data'!$M18</f>
        <v>0</v>
      </c>
      <c r="D437" s="42">
        <f>'Monthly D4 RIN Data'!$M30</f>
        <v>0</v>
      </c>
      <c r="E437" s="42">
        <f>'Monthly D4 RIN Data'!$M42</f>
        <v>0</v>
      </c>
      <c r="F437" s="42">
        <f>'Monthly D4 RIN Data'!$M54</f>
        <v>0</v>
      </c>
      <c r="G437" s="42">
        <f>'Monthly D4 RIN Data'!$M66</f>
        <v>0</v>
      </c>
      <c r="H437" s="42">
        <f>'Monthly D4 RIN Data'!$M78</f>
        <v>0</v>
      </c>
      <c r="I437" s="42">
        <f>'Monthly D4 RIN Data'!$M90</f>
        <v>0</v>
      </c>
      <c r="J437" s="42">
        <f>'Monthly D4 RIN Data'!$M102</f>
        <v>0</v>
      </c>
      <c r="K437" s="42">
        <f>'Monthly D4 RIN Data'!$M114</f>
        <v>0</v>
      </c>
      <c r="L437" s="42">
        <f>'Monthly D4 RIN Data'!$M126</f>
        <v>0</v>
      </c>
      <c r="M437" s="42">
        <f>'Monthly D4 RIN Data'!$M138</f>
        <v>0</v>
      </c>
      <c r="N437" s="42">
        <f>'Monthly D4 RIN Data'!$M150</f>
        <v>0</v>
      </c>
      <c r="O437" s="42">
        <f>'Monthly D4 RIN Data'!$M162</f>
        <v>190560</v>
      </c>
      <c r="P437" s="42">
        <f>'Monthly D4 RIN Data'!$M174</f>
        <v>0</v>
      </c>
      <c r="Q437" s="42">
        <f>'Monthly D4 RIN Data'!$M186</f>
        <v>0</v>
      </c>
      <c r="R437" s="43">
        <f>'D4 Gallon Forecast'!R407*AVERAGE('D4 RIN Forecast'!$BC$26:$BF$26)</f>
        <v>0</v>
      </c>
      <c r="S437" s="43">
        <f>'D4 Gallon Forecast'!S407*AVERAGE('D4 RIN Forecast'!$BC$26:$BF$26)</f>
        <v>0</v>
      </c>
      <c r="T437" s="43">
        <f>'D4 Gallon Forecast'!T407*AVERAGE('D4 RIN Forecast'!$BC$26:$BF$26)</f>
        <v>0</v>
      </c>
      <c r="U437" s="43">
        <f>'D4 Gallon Forecast'!U407*AVERAGE('D4 RIN Forecast'!$BC$26:$BF$26)</f>
        <v>0</v>
      </c>
      <c r="V437" s="43">
        <f>'D4 Gallon Forecast'!V407*AVERAGE('D4 RIN Forecast'!$BC$26:$BG$26)</f>
        <v>0</v>
      </c>
      <c r="W437" s="43">
        <f>'D4 Gallon Forecast'!W407*AVERAGE('D4 RIN Forecast'!$BC$26:$BG$26)</f>
        <v>0</v>
      </c>
      <c r="X437" s="43">
        <f>'D4 Gallon Forecast'!X407*AVERAGE('D4 RIN Forecast'!$BC$26:$BG$26)</f>
        <v>0</v>
      </c>
      <c r="Y437" s="43">
        <f>'D4 Gallon Forecast'!Y407*AVERAGE('D4 RIN Forecast'!$BC$26:$BG$26)</f>
        <v>0</v>
      </c>
      <c r="Z437" s="43">
        <f>'D4 Gallon Forecast'!Z407*AVERAGE('D4 RIN Forecast'!$BC$26:$BG$26)</f>
        <v>0</v>
      </c>
      <c r="AA437" s="43">
        <f>'D4 Gallon Forecast'!AA407*AVERAGE('D4 RIN Forecast'!$BC$26:$BG$26)</f>
        <v>0</v>
      </c>
      <c r="AB437" s="43">
        <f>'D4 Gallon Forecast'!AB407*AVERAGE('D4 RIN Forecast'!$BC$26:$BG$26)</f>
        <v>0</v>
      </c>
      <c r="AC437" s="43">
        <f>'D4 Gallon Forecast'!AC407*AVERAGE('D4 RIN Forecast'!$BC$26:$BG$26)</f>
        <v>0</v>
      </c>
      <c r="AD437" s="43">
        <f>'D4 Gallon Forecast'!AD407*AVERAGE('D4 RIN Forecast'!$BC$26:$BG$26)</f>
        <v>0</v>
      </c>
      <c r="AE437" s="43">
        <f>'D4 Gallon Forecast'!AE407*AVERAGE('D4 RIN Forecast'!$BC$26:$BG$26)</f>
        <v>0</v>
      </c>
      <c r="AF437" s="43">
        <f>'D4 Gallon Forecast'!AF407*AVERAGE('D4 RIN Forecast'!$BC$26:$BG$26)</f>
        <v>0</v>
      </c>
      <c r="AG437" s="43">
        <f>'D4 Gallon Forecast'!AG407*AVERAGE('D4 RIN Forecast'!$BC$26:$BG$26)</f>
        <v>0</v>
      </c>
      <c r="AH437" s="43">
        <f>'D4 Gallon Forecast'!AH407*AVERAGE('D4 RIN Forecast'!$BC$26:$BG$26)</f>
        <v>0</v>
      </c>
      <c r="AI437" s="43">
        <f>'D4 Gallon Forecast'!AI407*AVERAGE('D4 RIN Forecast'!$BC$26:$BG$26)</f>
        <v>0</v>
      </c>
      <c r="AJ437" s="43">
        <f>'D4 Gallon Forecast'!AJ407*AVERAGE('D4 RIN Forecast'!$BC$26:$BG$26)</f>
        <v>0</v>
      </c>
      <c r="AK437" s="43">
        <f>'D4 Gallon Forecast'!AK407*AVERAGE('D4 RIN Forecast'!$BC$26:$BG$26)</f>
        <v>0</v>
      </c>
      <c r="AL437" s="43">
        <f>'D4 Gallon Forecast'!AL407*AVERAGE('D4 RIN Forecast'!$BC$26:$BG$26)</f>
        <v>0</v>
      </c>
      <c r="AM437" s="43">
        <f>'D4 Gallon Forecast'!AM407*AVERAGE('D4 RIN Forecast'!$BC$26:$BG$26)</f>
        <v>0</v>
      </c>
      <c r="AN437" s="43">
        <f>'D4 Gallon Forecast'!AN407*AVERAGE('D4 RIN Forecast'!$BC$26:$BG$26)</f>
        <v>0</v>
      </c>
      <c r="AO437" s="43">
        <f>'D4 Gallon Forecast'!AO407*AVERAGE('D4 RIN Forecast'!$BC$26:$BG$26)</f>
        <v>0</v>
      </c>
      <c r="AP437" s="43">
        <f>'D4 Gallon Forecast'!AP407*AVERAGE('D4 RIN Forecast'!$BC$26:$BG$26)</f>
        <v>0</v>
      </c>
      <c r="AQ437" s="43"/>
    </row>
    <row r="438" spans="1:43">
      <c r="A438" s="40" t="s">
        <v>46</v>
      </c>
      <c r="B438" s="42">
        <f>'Monthly D4 RIN Data'!$M7</f>
        <v>0</v>
      </c>
      <c r="C438" s="42">
        <f>'Monthly D4 RIN Data'!$M19</f>
        <v>0</v>
      </c>
      <c r="D438" s="42">
        <f>'Monthly D4 RIN Data'!$M31</f>
        <v>0</v>
      </c>
      <c r="E438" s="42">
        <f>'Monthly D4 RIN Data'!$M43</f>
        <v>0</v>
      </c>
      <c r="F438" s="42">
        <f>'Monthly D4 RIN Data'!$M55</f>
        <v>0</v>
      </c>
      <c r="G438" s="42">
        <f>'Monthly D4 RIN Data'!$M67</f>
        <v>0</v>
      </c>
      <c r="H438" s="42">
        <f>'Monthly D4 RIN Data'!$M79</f>
        <v>0</v>
      </c>
      <c r="I438" s="42">
        <f>'Monthly D4 RIN Data'!$M91</f>
        <v>0</v>
      </c>
      <c r="J438" s="42">
        <f>'Monthly D4 RIN Data'!$M103</f>
        <v>0</v>
      </c>
      <c r="K438" s="42">
        <f>'Monthly D4 RIN Data'!$M115</f>
        <v>0</v>
      </c>
      <c r="L438" s="42">
        <f>'Monthly D4 RIN Data'!$M127</f>
        <v>0</v>
      </c>
      <c r="M438" s="42">
        <f>'Monthly D4 RIN Data'!$M139</f>
        <v>0</v>
      </c>
      <c r="N438" s="42">
        <f>'Monthly D4 RIN Data'!$M151</f>
        <v>0</v>
      </c>
      <c r="O438" s="42">
        <f>'Monthly D4 RIN Data'!$M163</f>
        <v>146317</v>
      </c>
      <c r="P438" s="42">
        <f>'Monthly D4 RIN Data'!$M175</f>
        <v>0</v>
      </c>
      <c r="Q438" s="43">
        <f>'D4 Gallon Forecast'!Q408*AVERAGE('D4 RIN Forecast'!$BC$26:$BF$26)</f>
        <v>0</v>
      </c>
      <c r="R438" s="43">
        <f>'D4 Gallon Forecast'!R408*AVERAGE('D4 RIN Forecast'!$BC$26:$BF$26)</f>
        <v>0</v>
      </c>
      <c r="S438" s="43">
        <f>'D4 Gallon Forecast'!S408*AVERAGE('D4 RIN Forecast'!$BC$26:$BF$26)</f>
        <v>0</v>
      </c>
      <c r="T438" s="43">
        <f>'D4 Gallon Forecast'!T408*AVERAGE('D4 RIN Forecast'!$BC$26:$BF$26)</f>
        <v>0</v>
      </c>
      <c r="U438" s="43">
        <f>'D4 Gallon Forecast'!U408*AVERAGE('D4 RIN Forecast'!$BC$26:$BF$26)</f>
        <v>0</v>
      </c>
      <c r="V438" s="43">
        <f>'D4 Gallon Forecast'!V408*AVERAGE('D4 RIN Forecast'!$BC$26:$BG$26)</f>
        <v>0</v>
      </c>
      <c r="W438" s="43">
        <f>'D4 Gallon Forecast'!W408*AVERAGE('D4 RIN Forecast'!$BC$26:$BG$26)</f>
        <v>0</v>
      </c>
      <c r="X438" s="43">
        <f>'D4 Gallon Forecast'!X408*AVERAGE('D4 RIN Forecast'!$BC$26:$BG$26)</f>
        <v>0</v>
      </c>
      <c r="Y438" s="43">
        <f>'D4 Gallon Forecast'!Y408*AVERAGE('D4 RIN Forecast'!$BC$26:$BG$26)</f>
        <v>0</v>
      </c>
      <c r="Z438" s="43">
        <f>'D4 Gallon Forecast'!Z408*AVERAGE('D4 RIN Forecast'!$BC$26:$BG$26)</f>
        <v>0</v>
      </c>
      <c r="AA438" s="43">
        <f>'D4 Gallon Forecast'!AA408*AVERAGE('D4 RIN Forecast'!$BC$26:$BG$26)</f>
        <v>0</v>
      </c>
      <c r="AB438" s="43">
        <f>'D4 Gallon Forecast'!AB408*AVERAGE('D4 RIN Forecast'!$BC$26:$BG$26)</f>
        <v>0</v>
      </c>
      <c r="AC438" s="43">
        <f>'D4 Gallon Forecast'!AC408*AVERAGE('D4 RIN Forecast'!$BC$26:$BG$26)</f>
        <v>0</v>
      </c>
      <c r="AD438" s="43">
        <f>'D4 Gallon Forecast'!AD408*AVERAGE('D4 RIN Forecast'!$BC$26:$BG$26)</f>
        <v>0</v>
      </c>
      <c r="AE438" s="43">
        <f>'D4 Gallon Forecast'!AE408*AVERAGE('D4 RIN Forecast'!$BC$26:$BG$26)</f>
        <v>0</v>
      </c>
      <c r="AF438" s="43">
        <f>'D4 Gallon Forecast'!AF408*AVERAGE('D4 RIN Forecast'!$BC$26:$BG$26)</f>
        <v>0</v>
      </c>
      <c r="AG438" s="43">
        <f>'D4 Gallon Forecast'!AG408*AVERAGE('D4 RIN Forecast'!$BC$26:$BG$26)</f>
        <v>0</v>
      </c>
      <c r="AH438" s="43">
        <f>'D4 Gallon Forecast'!AH408*AVERAGE('D4 RIN Forecast'!$BC$26:$BG$26)</f>
        <v>0</v>
      </c>
      <c r="AI438" s="43">
        <f>'D4 Gallon Forecast'!AI408*AVERAGE('D4 RIN Forecast'!$BC$26:$BG$26)</f>
        <v>0</v>
      </c>
      <c r="AJ438" s="43">
        <f>'D4 Gallon Forecast'!AJ408*AVERAGE('D4 RIN Forecast'!$BC$26:$BG$26)</f>
        <v>0</v>
      </c>
      <c r="AK438" s="43">
        <f>'D4 Gallon Forecast'!AK408*AVERAGE('D4 RIN Forecast'!$BC$26:$BG$26)</f>
        <v>0</v>
      </c>
      <c r="AL438" s="43">
        <f>'D4 Gallon Forecast'!AL408*AVERAGE('D4 RIN Forecast'!$BC$26:$BG$26)</f>
        <v>0</v>
      </c>
      <c r="AM438" s="43">
        <f>'D4 Gallon Forecast'!AM408*AVERAGE('D4 RIN Forecast'!$BC$26:$BG$26)</f>
        <v>0</v>
      </c>
      <c r="AN438" s="43">
        <f>'D4 Gallon Forecast'!AN408*AVERAGE('D4 RIN Forecast'!$BC$26:$BG$26)</f>
        <v>0</v>
      </c>
      <c r="AO438" s="43">
        <f>'D4 Gallon Forecast'!AO408*AVERAGE('D4 RIN Forecast'!$BC$26:$BG$26)</f>
        <v>0</v>
      </c>
      <c r="AP438" s="43">
        <f>'D4 Gallon Forecast'!AP408*AVERAGE('D4 RIN Forecast'!$BC$26:$BG$26)</f>
        <v>0</v>
      </c>
      <c r="AQ438" s="43"/>
    </row>
    <row r="439" spans="1:43">
      <c r="A439" s="40" t="s">
        <v>47</v>
      </c>
      <c r="B439" s="42">
        <f>'Monthly D4 RIN Data'!$M8</f>
        <v>0</v>
      </c>
      <c r="C439" s="42">
        <f>'Monthly D4 RIN Data'!$M20</f>
        <v>0</v>
      </c>
      <c r="D439" s="42">
        <f>'Monthly D4 RIN Data'!$M32</f>
        <v>0</v>
      </c>
      <c r="E439" s="42">
        <f>'Monthly D4 RIN Data'!$M44</f>
        <v>0</v>
      </c>
      <c r="F439" s="42">
        <f>'Monthly D4 RIN Data'!$M56</f>
        <v>0</v>
      </c>
      <c r="G439" s="42">
        <f>'Monthly D4 RIN Data'!$M68</f>
        <v>0</v>
      </c>
      <c r="H439" s="42">
        <f>'Monthly D4 RIN Data'!$M80</f>
        <v>0</v>
      </c>
      <c r="I439" s="42">
        <f>'Monthly D4 RIN Data'!$M92</f>
        <v>0</v>
      </c>
      <c r="J439" s="42">
        <f>'Monthly D4 RIN Data'!$M104</f>
        <v>0</v>
      </c>
      <c r="K439" s="42">
        <f>'Monthly D4 RIN Data'!$M116</f>
        <v>0</v>
      </c>
      <c r="L439" s="42">
        <f>'Monthly D4 RIN Data'!$M128</f>
        <v>0</v>
      </c>
      <c r="M439" s="42">
        <f>'Monthly D4 RIN Data'!$M140</f>
        <v>0</v>
      </c>
      <c r="N439" s="42">
        <f>'Monthly D4 RIN Data'!$M152</f>
        <v>0</v>
      </c>
      <c r="O439" s="42">
        <f>'Monthly D4 RIN Data'!$M164</f>
        <v>0</v>
      </c>
      <c r="P439" s="42">
        <f>'Monthly D4 RIN Data'!$M176</f>
        <v>0</v>
      </c>
      <c r="Q439" s="43">
        <f>'D4 Gallon Forecast'!Q409*AVERAGE('D4 RIN Forecast'!$BC$26:$BF$26)</f>
        <v>0</v>
      </c>
      <c r="R439" s="43">
        <f>'D4 Gallon Forecast'!R409*AVERAGE('D4 RIN Forecast'!$BC$26:$BF$26)</f>
        <v>0</v>
      </c>
      <c r="S439" s="43">
        <f>'D4 Gallon Forecast'!S409*AVERAGE('D4 RIN Forecast'!$BC$26:$BF$26)</f>
        <v>0</v>
      </c>
      <c r="T439" s="43">
        <f>'D4 Gallon Forecast'!T409*AVERAGE('D4 RIN Forecast'!$BC$26:$BF$26)</f>
        <v>0</v>
      </c>
      <c r="U439" s="43">
        <f>'D4 Gallon Forecast'!U409*AVERAGE('D4 RIN Forecast'!$BC$26:$BF$26)</f>
        <v>0</v>
      </c>
      <c r="V439" s="43">
        <f>'D4 Gallon Forecast'!V409*AVERAGE('D4 RIN Forecast'!$BC$26:$BG$26)</f>
        <v>0</v>
      </c>
      <c r="W439" s="43">
        <f>'D4 Gallon Forecast'!W409*AVERAGE('D4 RIN Forecast'!$BC$26:$BG$26)</f>
        <v>0</v>
      </c>
      <c r="X439" s="43">
        <f>'D4 Gallon Forecast'!X409*AVERAGE('D4 RIN Forecast'!$BC$26:$BG$26)</f>
        <v>0</v>
      </c>
      <c r="Y439" s="43">
        <f>'D4 Gallon Forecast'!Y409*AVERAGE('D4 RIN Forecast'!$BC$26:$BG$26)</f>
        <v>0</v>
      </c>
      <c r="Z439" s="43">
        <f>'D4 Gallon Forecast'!Z409*AVERAGE('D4 RIN Forecast'!$BC$26:$BG$26)</f>
        <v>0</v>
      </c>
      <c r="AA439" s="43">
        <f>'D4 Gallon Forecast'!AA409*AVERAGE('D4 RIN Forecast'!$BC$26:$BG$26)</f>
        <v>0</v>
      </c>
      <c r="AB439" s="43">
        <f>'D4 Gallon Forecast'!AB409*AVERAGE('D4 RIN Forecast'!$BC$26:$BG$26)</f>
        <v>0</v>
      </c>
      <c r="AC439" s="43">
        <f>'D4 Gallon Forecast'!AC409*AVERAGE('D4 RIN Forecast'!$BC$26:$BG$26)</f>
        <v>0</v>
      </c>
      <c r="AD439" s="43">
        <f>'D4 Gallon Forecast'!AD409*AVERAGE('D4 RIN Forecast'!$BC$26:$BG$26)</f>
        <v>0</v>
      </c>
      <c r="AE439" s="43">
        <f>'D4 Gallon Forecast'!AE409*AVERAGE('D4 RIN Forecast'!$BC$26:$BG$26)</f>
        <v>0</v>
      </c>
      <c r="AF439" s="43">
        <f>'D4 Gallon Forecast'!AF409*AVERAGE('D4 RIN Forecast'!$BC$26:$BG$26)</f>
        <v>0</v>
      </c>
      <c r="AG439" s="43">
        <f>'D4 Gallon Forecast'!AG409*AVERAGE('D4 RIN Forecast'!$BC$26:$BG$26)</f>
        <v>0</v>
      </c>
      <c r="AH439" s="43">
        <f>'D4 Gallon Forecast'!AH409*AVERAGE('D4 RIN Forecast'!$BC$26:$BG$26)</f>
        <v>0</v>
      </c>
      <c r="AI439" s="43">
        <f>'D4 Gallon Forecast'!AI409*AVERAGE('D4 RIN Forecast'!$BC$26:$BG$26)</f>
        <v>0</v>
      </c>
      <c r="AJ439" s="43">
        <f>'D4 Gallon Forecast'!AJ409*AVERAGE('D4 RIN Forecast'!$BC$26:$BG$26)</f>
        <v>0</v>
      </c>
      <c r="AK439" s="43">
        <f>'D4 Gallon Forecast'!AK409*AVERAGE('D4 RIN Forecast'!$BC$26:$BG$26)</f>
        <v>0</v>
      </c>
      <c r="AL439" s="43">
        <f>'D4 Gallon Forecast'!AL409*AVERAGE('D4 RIN Forecast'!$BC$26:$BG$26)</f>
        <v>0</v>
      </c>
      <c r="AM439" s="43">
        <f>'D4 Gallon Forecast'!AM409*AVERAGE('D4 RIN Forecast'!$BC$26:$BG$26)</f>
        <v>0</v>
      </c>
      <c r="AN439" s="43">
        <f>'D4 Gallon Forecast'!AN409*AVERAGE('D4 RIN Forecast'!$BC$26:$BG$26)</f>
        <v>0</v>
      </c>
      <c r="AO439" s="43">
        <f>'D4 Gallon Forecast'!AO409*AVERAGE('D4 RIN Forecast'!$BC$26:$BG$26)</f>
        <v>0</v>
      </c>
      <c r="AP439" s="43">
        <f>'D4 Gallon Forecast'!AP409*AVERAGE('D4 RIN Forecast'!$BC$26:$BG$26)</f>
        <v>0</v>
      </c>
      <c r="AQ439" s="43"/>
    </row>
    <row r="440" spans="1:43">
      <c r="A440" s="40" t="s">
        <v>48</v>
      </c>
      <c r="B440" s="42">
        <f>'Monthly D4 RIN Data'!$M9</f>
        <v>0</v>
      </c>
      <c r="C440" s="42">
        <f>'Monthly D4 RIN Data'!$M21</f>
        <v>0</v>
      </c>
      <c r="D440" s="42">
        <f>'Monthly D4 RIN Data'!$M33</f>
        <v>0</v>
      </c>
      <c r="E440" s="42">
        <f>'Monthly D4 RIN Data'!$M45</f>
        <v>0</v>
      </c>
      <c r="F440" s="42">
        <f>'Monthly D4 RIN Data'!$M57</f>
        <v>0</v>
      </c>
      <c r="G440" s="42">
        <f>'Monthly D4 RIN Data'!$M69</f>
        <v>0</v>
      </c>
      <c r="H440" s="42">
        <f>'Monthly D4 RIN Data'!$M81</f>
        <v>0</v>
      </c>
      <c r="I440" s="42">
        <f>'Monthly D4 RIN Data'!$M93</f>
        <v>0</v>
      </c>
      <c r="J440" s="42">
        <f>'Monthly D4 RIN Data'!$M105</f>
        <v>0</v>
      </c>
      <c r="K440" s="42">
        <f>'Monthly D4 RIN Data'!$M117</f>
        <v>0</v>
      </c>
      <c r="L440" s="42">
        <f>'Monthly D4 RIN Data'!$M129</f>
        <v>0</v>
      </c>
      <c r="M440" s="42">
        <f>'Monthly D4 RIN Data'!$M141</f>
        <v>0</v>
      </c>
      <c r="N440" s="42">
        <f>'Monthly D4 RIN Data'!$M153</f>
        <v>0</v>
      </c>
      <c r="O440" s="42">
        <f>'Monthly D4 RIN Data'!$M165</f>
        <v>0</v>
      </c>
      <c r="P440" s="42">
        <f>'Monthly D4 RIN Data'!$M177</f>
        <v>0</v>
      </c>
      <c r="Q440" s="43">
        <f>'D4 Gallon Forecast'!Q410*AVERAGE('D4 RIN Forecast'!$BC$26:$BF$26)</f>
        <v>0</v>
      </c>
      <c r="R440" s="43">
        <f>'D4 Gallon Forecast'!R410*AVERAGE('D4 RIN Forecast'!$BC$26:$BF$26)</f>
        <v>0</v>
      </c>
      <c r="S440" s="43">
        <f>'D4 Gallon Forecast'!S410*AVERAGE('D4 RIN Forecast'!$BC$26:$BF$26)</f>
        <v>0</v>
      </c>
      <c r="T440" s="43">
        <f>'D4 Gallon Forecast'!T410*AVERAGE('D4 RIN Forecast'!$BC$26:$BF$26)</f>
        <v>0</v>
      </c>
      <c r="U440" s="43">
        <f>'D4 Gallon Forecast'!U410*AVERAGE('D4 RIN Forecast'!$BC$26:$BF$26)</f>
        <v>0</v>
      </c>
      <c r="V440" s="43">
        <f>'D4 Gallon Forecast'!V410*AVERAGE('D4 RIN Forecast'!$BC$26:$BG$26)</f>
        <v>0</v>
      </c>
      <c r="W440" s="43">
        <f>'D4 Gallon Forecast'!W410*AVERAGE('D4 RIN Forecast'!$BC$26:$BG$26)</f>
        <v>0</v>
      </c>
      <c r="X440" s="43">
        <f>'D4 Gallon Forecast'!X410*AVERAGE('D4 RIN Forecast'!$BC$26:$BG$26)</f>
        <v>0</v>
      </c>
      <c r="Y440" s="43">
        <f>'D4 Gallon Forecast'!Y410*AVERAGE('D4 RIN Forecast'!$BC$26:$BG$26)</f>
        <v>0</v>
      </c>
      <c r="Z440" s="43">
        <f>'D4 Gallon Forecast'!Z410*AVERAGE('D4 RIN Forecast'!$BC$26:$BG$26)</f>
        <v>0</v>
      </c>
      <c r="AA440" s="43">
        <f>'D4 Gallon Forecast'!AA410*AVERAGE('D4 RIN Forecast'!$BC$26:$BG$26)</f>
        <v>0</v>
      </c>
      <c r="AB440" s="43">
        <f>'D4 Gallon Forecast'!AB410*AVERAGE('D4 RIN Forecast'!$BC$26:$BG$26)</f>
        <v>0</v>
      </c>
      <c r="AC440" s="43">
        <f>'D4 Gallon Forecast'!AC410*AVERAGE('D4 RIN Forecast'!$BC$26:$BG$26)</f>
        <v>0</v>
      </c>
      <c r="AD440" s="43">
        <f>'D4 Gallon Forecast'!AD410*AVERAGE('D4 RIN Forecast'!$BC$26:$BG$26)</f>
        <v>0</v>
      </c>
      <c r="AE440" s="43">
        <f>'D4 Gallon Forecast'!AE410*AVERAGE('D4 RIN Forecast'!$BC$26:$BG$26)</f>
        <v>0</v>
      </c>
      <c r="AF440" s="43">
        <f>'D4 Gallon Forecast'!AF410*AVERAGE('D4 RIN Forecast'!$BC$26:$BG$26)</f>
        <v>0</v>
      </c>
      <c r="AG440" s="43">
        <f>'D4 Gallon Forecast'!AG410*AVERAGE('D4 RIN Forecast'!$BC$26:$BG$26)</f>
        <v>0</v>
      </c>
      <c r="AH440" s="43">
        <f>'D4 Gallon Forecast'!AH410*AVERAGE('D4 RIN Forecast'!$BC$26:$BG$26)</f>
        <v>0</v>
      </c>
      <c r="AI440" s="43">
        <f>'D4 Gallon Forecast'!AI410*AVERAGE('D4 RIN Forecast'!$BC$26:$BG$26)</f>
        <v>0</v>
      </c>
      <c r="AJ440" s="43">
        <f>'D4 Gallon Forecast'!AJ410*AVERAGE('D4 RIN Forecast'!$BC$26:$BG$26)</f>
        <v>0</v>
      </c>
      <c r="AK440" s="43">
        <f>'D4 Gallon Forecast'!AK410*AVERAGE('D4 RIN Forecast'!$BC$26:$BG$26)</f>
        <v>0</v>
      </c>
      <c r="AL440" s="43">
        <f>'D4 Gallon Forecast'!AL410*AVERAGE('D4 RIN Forecast'!$BC$26:$BG$26)</f>
        <v>0</v>
      </c>
      <c r="AM440" s="43">
        <f>'D4 Gallon Forecast'!AM410*AVERAGE('D4 RIN Forecast'!$BC$26:$BG$26)</f>
        <v>0</v>
      </c>
      <c r="AN440" s="43">
        <f>'D4 Gallon Forecast'!AN410*AVERAGE('D4 RIN Forecast'!$BC$26:$BG$26)</f>
        <v>0</v>
      </c>
      <c r="AO440" s="43">
        <f>'D4 Gallon Forecast'!AO410*AVERAGE('D4 RIN Forecast'!$BC$26:$BG$26)</f>
        <v>0</v>
      </c>
      <c r="AP440" s="43">
        <f>'D4 Gallon Forecast'!AP410*AVERAGE('D4 RIN Forecast'!$BC$26:$BG$26)</f>
        <v>0</v>
      </c>
      <c r="AQ440" s="43"/>
    </row>
    <row r="441" spans="1:43">
      <c r="A441" s="40" t="s">
        <v>49</v>
      </c>
      <c r="B441" s="42">
        <f>'Monthly D4 RIN Data'!$M10</f>
        <v>0</v>
      </c>
      <c r="C441" s="42">
        <f>'Monthly D4 RIN Data'!$M22</f>
        <v>0</v>
      </c>
      <c r="D441" s="42">
        <f>'Monthly D4 RIN Data'!$M34</f>
        <v>0</v>
      </c>
      <c r="E441" s="42">
        <f>'Monthly D4 RIN Data'!$M46</f>
        <v>0</v>
      </c>
      <c r="F441" s="42">
        <f>'Monthly D4 RIN Data'!$M58</f>
        <v>0</v>
      </c>
      <c r="G441" s="42">
        <f>'Monthly D4 RIN Data'!$M70</f>
        <v>0</v>
      </c>
      <c r="H441" s="42">
        <f>'Monthly D4 RIN Data'!$M82</f>
        <v>0</v>
      </c>
      <c r="I441" s="42">
        <f>'Monthly D4 RIN Data'!$M94</f>
        <v>0</v>
      </c>
      <c r="J441" s="42">
        <f>'Monthly D4 RIN Data'!$M106</f>
        <v>0</v>
      </c>
      <c r="K441" s="42">
        <f>'Monthly D4 RIN Data'!$M118</f>
        <v>0</v>
      </c>
      <c r="L441" s="42">
        <f>'Monthly D4 RIN Data'!$M130</f>
        <v>0</v>
      </c>
      <c r="M441" s="42">
        <f>'Monthly D4 RIN Data'!$M142</f>
        <v>0</v>
      </c>
      <c r="N441" s="42">
        <f>'Monthly D4 RIN Data'!$M154</f>
        <v>0</v>
      </c>
      <c r="O441" s="42">
        <f>'Monthly D4 RIN Data'!$M166</f>
        <v>0</v>
      </c>
      <c r="P441" s="42">
        <f>'Monthly D4 RIN Data'!$M178</f>
        <v>0</v>
      </c>
      <c r="Q441" s="43">
        <f>'D4 Gallon Forecast'!Q411*AVERAGE('D4 RIN Forecast'!$BC$26:$BF$26)</f>
        <v>0</v>
      </c>
      <c r="R441" s="43">
        <f>'D4 Gallon Forecast'!R411*AVERAGE('D4 RIN Forecast'!$BC$26:$BF$26)</f>
        <v>0</v>
      </c>
      <c r="S441" s="43">
        <f>'D4 Gallon Forecast'!S411*AVERAGE('D4 RIN Forecast'!$BC$26:$BF$26)</f>
        <v>0</v>
      </c>
      <c r="T441" s="43">
        <f>'D4 Gallon Forecast'!T411*AVERAGE('D4 RIN Forecast'!$BC$26:$BF$26)</f>
        <v>0</v>
      </c>
      <c r="U441" s="43">
        <f>'D4 Gallon Forecast'!U411*AVERAGE('D4 RIN Forecast'!$BC$26:$BF$26)</f>
        <v>0</v>
      </c>
      <c r="V441" s="43">
        <f>'D4 Gallon Forecast'!V411*AVERAGE('D4 RIN Forecast'!$BC$26:$BG$26)</f>
        <v>0</v>
      </c>
      <c r="W441" s="43">
        <f>'D4 Gallon Forecast'!W411*AVERAGE('D4 RIN Forecast'!$BC$26:$BG$26)</f>
        <v>0</v>
      </c>
      <c r="X441" s="43">
        <f>'D4 Gallon Forecast'!X411*AVERAGE('D4 RIN Forecast'!$BC$26:$BG$26)</f>
        <v>0</v>
      </c>
      <c r="Y441" s="43">
        <f>'D4 Gallon Forecast'!Y411*AVERAGE('D4 RIN Forecast'!$BC$26:$BG$26)</f>
        <v>0</v>
      </c>
      <c r="Z441" s="43">
        <f>'D4 Gallon Forecast'!Z411*AVERAGE('D4 RIN Forecast'!$BC$26:$BG$26)</f>
        <v>0</v>
      </c>
      <c r="AA441" s="43">
        <f>'D4 Gallon Forecast'!AA411*AVERAGE('D4 RIN Forecast'!$BC$26:$BG$26)</f>
        <v>0</v>
      </c>
      <c r="AB441" s="43">
        <f>'D4 Gallon Forecast'!AB411*AVERAGE('D4 RIN Forecast'!$BC$26:$BG$26)</f>
        <v>0</v>
      </c>
      <c r="AC441" s="43">
        <f>'D4 Gallon Forecast'!AC411*AVERAGE('D4 RIN Forecast'!$BC$26:$BG$26)</f>
        <v>0</v>
      </c>
      <c r="AD441" s="43">
        <f>'D4 Gallon Forecast'!AD411*AVERAGE('D4 RIN Forecast'!$BC$26:$BG$26)</f>
        <v>0</v>
      </c>
      <c r="AE441" s="43">
        <f>'D4 Gallon Forecast'!AE411*AVERAGE('D4 RIN Forecast'!$BC$26:$BG$26)</f>
        <v>0</v>
      </c>
      <c r="AF441" s="43">
        <f>'D4 Gallon Forecast'!AF411*AVERAGE('D4 RIN Forecast'!$BC$26:$BG$26)</f>
        <v>0</v>
      </c>
      <c r="AG441" s="43">
        <f>'D4 Gallon Forecast'!AG411*AVERAGE('D4 RIN Forecast'!$BC$26:$BG$26)</f>
        <v>0</v>
      </c>
      <c r="AH441" s="43">
        <f>'D4 Gallon Forecast'!AH411*AVERAGE('D4 RIN Forecast'!$BC$26:$BG$26)</f>
        <v>0</v>
      </c>
      <c r="AI441" s="43">
        <f>'D4 Gallon Forecast'!AI411*AVERAGE('D4 RIN Forecast'!$BC$26:$BG$26)</f>
        <v>0</v>
      </c>
      <c r="AJ441" s="43">
        <f>'D4 Gallon Forecast'!AJ411*AVERAGE('D4 RIN Forecast'!$BC$26:$BG$26)</f>
        <v>0</v>
      </c>
      <c r="AK441" s="43">
        <f>'D4 Gallon Forecast'!AK411*AVERAGE('D4 RIN Forecast'!$BC$26:$BG$26)</f>
        <v>0</v>
      </c>
      <c r="AL441" s="43">
        <f>'D4 Gallon Forecast'!AL411*AVERAGE('D4 RIN Forecast'!$BC$26:$BG$26)</f>
        <v>0</v>
      </c>
      <c r="AM441" s="43">
        <f>'D4 Gallon Forecast'!AM411*AVERAGE('D4 RIN Forecast'!$BC$26:$BG$26)</f>
        <v>0</v>
      </c>
      <c r="AN441" s="43">
        <f>'D4 Gallon Forecast'!AN411*AVERAGE('D4 RIN Forecast'!$BC$26:$BG$26)</f>
        <v>0</v>
      </c>
      <c r="AO441" s="43">
        <f>'D4 Gallon Forecast'!AO411*AVERAGE('D4 RIN Forecast'!$BC$26:$BG$26)</f>
        <v>0</v>
      </c>
      <c r="AP441" s="43">
        <f>'D4 Gallon Forecast'!AP411*AVERAGE('D4 RIN Forecast'!$BC$26:$BG$26)</f>
        <v>0</v>
      </c>
      <c r="AQ441" s="43"/>
    </row>
    <row r="442" spans="1:43">
      <c r="A442" s="40" t="s">
        <v>50</v>
      </c>
      <c r="B442" s="42">
        <f>'Monthly D4 RIN Data'!$M11</f>
        <v>0</v>
      </c>
      <c r="C442" s="42">
        <f>'Monthly D4 RIN Data'!$M23</f>
        <v>0</v>
      </c>
      <c r="D442" s="42">
        <f>'Monthly D4 RIN Data'!$M35</f>
        <v>0</v>
      </c>
      <c r="E442" s="42">
        <f>'Monthly D4 RIN Data'!$M47</f>
        <v>0</v>
      </c>
      <c r="F442" s="42">
        <f>'Monthly D4 RIN Data'!$M59</f>
        <v>0</v>
      </c>
      <c r="G442" s="42">
        <f>'Monthly D4 RIN Data'!$M71</f>
        <v>0</v>
      </c>
      <c r="H442" s="42">
        <f>'Monthly D4 RIN Data'!$M83</f>
        <v>0</v>
      </c>
      <c r="I442" s="42">
        <f>'Monthly D4 RIN Data'!$M95</f>
        <v>0</v>
      </c>
      <c r="J442" s="42">
        <f>'Monthly D4 RIN Data'!$M107</f>
        <v>0</v>
      </c>
      <c r="K442" s="42">
        <f>'Monthly D4 RIN Data'!$M119</f>
        <v>0</v>
      </c>
      <c r="L442" s="42">
        <f>'Monthly D4 RIN Data'!$M131</f>
        <v>0</v>
      </c>
      <c r="M442" s="42">
        <f>'Monthly D4 RIN Data'!$M143</f>
        <v>0</v>
      </c>
      <c r="N442" s="42">
        <f>'Monthly D4 RIN Data'!$M155</f>
        <v>0</v>
      </c>
      <c r="O442" s="42">
        <f>'Monthly D4 RIN Data'!$M167</f>
        <v>0</v>
      </c>
      <c r="P442" s="42">
        <f>'Monthly D4 RIN Data'!$M179</f>
        <v>0</v>
      </c>
      <c r="Q442" s="43">
        <f>'D4 Gallon Forecast'!Q412*AVERAGE('D4 RIN Forecast'!$BC$26:$BF$26)</f>
        <v>0</v>
      </c>
      <c r="R442" s="43">
        <f>'D4 Gallon Forecast'!R412*AVERAGE('D4 RIN Forecast'!$BC$26:$BF$26)</f>
        <v>0</v>
      </c>
      <c r="S442" s="43">
        <f>'D4 Gallon Forecast'!S412*AVERAGE('D4 RIN Forecast'!$BC$26:$BF$26)</f>
        <v>0</v>
      </c>
      <c r="T442" s="43">
        <f>'D4 Gallon Forecast'!T412*AVERAGE('D4 RIN Forecast'!$BC$26:$BF$26)</f>
        <v>0</v>
      </c>
      <c r="U442" s="43">
        <f>'D4 Gallon Forecast'!U412*AVERAGE('D4 RIN Forecast'!$BC$26:$BF$26)</f>
        <v>0</v>
      </c>
      <c r="V442" s="43">
        <f>'D4 Gallon Forecast'!V412*AVERAGE('D4 RIN Forecast'!$BC$26:$BG$26)</f>
        <v>0</v>
      </c>
      <c r="W442" s="43">
        <f>'D4 Gallon Forecast'!W412*AVERAGE('D4 RIN Forecast'!$BC$26:$BG$26)</f>
        <v>0</v>
      </c>
      <c r="X442" s="43">
        <f>'D4 Gallon Forecast'!X412*AVERAGE('D4 RIN Forecast'!$BC$26:$BG$26)</f>
        <v>0</v>
      </c>
      <c r="Y442" s="43">
        <f>'D4 Gallon Forecast'!Y412*AVERAGE('D4 RIN Forecast'!$BC$26:$BG$26)</f>
        <v>0</v>
      </c>
      <c r="Z442" s="43">
        <f>'D4 Gallon Forecast'!Z412*AVERAGE('D4 RIN Forecast'!$BC$26:$BG$26)</f>
        <v>0</v>
      </c>
      <c r="AA442" s="43">
        <f>'D4 Gallon Forecast'!AA412*AVERAGE('D4 RIN Forecast'!$BC$26:$BG$26)</f>
        <v>0</v>
      </c>
      <c r="AB442" s="43">
        <f>'D4 Gallon Forecast'!AB412*AVERAGE('D4 RIN Forecast'!$BC$26:$BG$26)</f>
        <v>0</v>
      </c>
      <c r="AC442" s="43">
        <f>'D4 Gallon Forecast'!AC412*AVERAGE('D4 RIN Forecast'!$BC$26:$BG$26)</f>
        <v>0</v>
      </c>
      <c r="AD442" s="43">
        <f>'D4 Gallon Forecast'!AD412*AVERAGE('D4 RIN Forecast'!$BC$26:$BG$26)</f>
        <v>0</v>
      </c>
      <c r="AE442" s="43">
        <f>'D4 Gallon Forecast'!AE412*AVERAGE('D4 RIN Forecast'!$BC$26:$BG$26)</f>
        <v>0</v>
      </c>
      <c r="AF442" s="43">
        <f>'D4 Gallon Forecast'!AF412*AVERAGE('D4 RIN Forecast'!$BC$26:$BG$26)</f>
        <v>0</v>
      </c>
      <c r="AG442" s="43">
        <f>'D4 Gallon Forecast'!AG412*AVERAGE('D4 RIN Forecast'!$BC$26:$BG$26)</f>
        <v>0</v>
      </c>
      <c r="AH442" s="43">
        <f>'D4 Gallon Forecast'!AH412*AVERAGE('D4 RIN Forecast'!$BC$26:$BG$26)</f>
        <v>0</v>
      </c>
      <c r="AI442" s="43">
        <f>'D4 Gallon Forecast'!AI412*AVERAGE('D4 RIN Forecast'!$BC$26:$BG$26)</f>
        <v>0</v>
      </c>
      <c r="AJ442" s="43">
        <f>'D4 Gallon Forecast'!AJ412*AVERAGE('D4 RIN Forecast'!$BC$26:$BG$26)</f>
        <v>0</v>
      </c>
      <c r="AK442" s="43">
        <f>'D4 Gallon Forecast'!AK412*AVERAGE('D4 RIN Forecast'!$BC$26:$BG$26)</f>
        <v>0</v>
      </c>
      <c r="AL442" s="43">
        <f>'D4 Gallon Forecast'!AL412*AVERAGE('D4 RIN Forecast'!$BC$26:$BG$26)</f>
        <v>0</v>
      </c>
      <c r="AM442" s="43">
        <f>'D4 Gallon Forecast'!AM412*AVERAGE('D4 RIN Forecast'!$BC$26:$BG$26)</f>
        <v>0</v>
      </c>
      <c r="AN442" s="43">
        <f>'D4 Gallon Forecast'!AN412*AVERAGE('D4 RIN Forecast'!$BC$26:$BG$26)</f>
        <v>0</v>
      </c>
      <c r="AO442" s="43">
        <f>'D4 Gallon Forecast'!AO412*AVERAGE('D4 RIN Forecast'!$BC$26:$BG$26)</f>
        <v>0</v>
      </c>
      <c r="AP442" s="43">
        <f>'D4 Gallon Forecast'!AP412*AVERAGE('D4 RIN Forecast'!$BC$26:$BG$26)</f>
        <v>0</v>
      </c>
      <c r="AQ442" s="43"/>
    </row>
    <row r="443" spans="1:43">
      <c r="A443" s="40" t="s">
        <v>51</v>
      </c>
      <c r="B443" s="42">
        <f>'Monthly D4 RIN Data'!$M12</f>
        <v>0</v>
      </c>
      <c r="C443" s="42">
        <f>'Monthly D4 RIN Data'!$M24</f>
        <v>0</v>
      </c>
      <c r="D443" s="42">
        <f>'Monthly D4 RIN Data'!$M36</f>
        <v>0</v>
      </c>
      <c r="E443" s="42">
        <f>'Monthly D4 RIN Data'!$M48</f>
        <v>0</v>
      </c>
      <c r="F443" s="42">
        <f>'Monthly D4 RIN Data'!$M60</f>
        <v>0</v>
      </c>
      <c r="G443" s="42">
        <f>'Monthly D4 RIN Data'!$M72</f>
        <v>0</v>
      </c>
      <c r="H443" s="42">
        <f>'Monthly D4 RIN Data'!$M84</f>
        <v>0</v>
      </c>
      <c r="I443" s="42">
        <f>'Monthly D4 RIN Data'!$M96</f>
        <v>0</v>
      </c>
      <c r="J443" s="42">
        <f>'Monthly D4 RIN Data'!$M108</f>
        <v>0</v>
      </c>
      <c r="K443" s="42">
        <f>'Monthly D4 RIN Data'!$M120</f>
        <v>0</v>
      </c>
      <c r="L443" s="42">
        <f>'Monthly D4 RIN Data'!$M132</f>
        <v>0</v>
      </c>
      <c r="M443" s="42">
        <f>'Monthly D4 RIN Data'!$M144</f>
        <v>0</v>
      </c>
      <c r="N443" s="42">
        <f>'Monthly D4 RIN Data'!$M156</f>
        <v>0</v>
      </c>
      <c r="O443" s="42">
        <f>'Monthly D4 RIN Data'!$M168</f>
        <v>0</v>
      </c>
      <c r="P443" s="42">
        <f>'Monthly D4 RIN Data'!$M180</f>
        <v>0</v>
      </c>
      <c r="Q443" s="43">
        <f>'D4 Gallon Forecast'!Q413*AVERAGE('D4 RIN Forecast'!$BC$26:$BF$26)</f>
        <v>0</v>
      </c>
      <c r="R443" s="43">
        <f>'D4 Gallon Forecast'!R413*AVERAGE('D4 RIN Forecast'!$BC$26:$BF$26)</f>
        <v>0</v>
      </c>
      <c r="S443" s="43">
        <f>'D4 Gallon Forecast'!S413*AVERAGE('D4 RIN Forecast'!$BC$26:$BF$26)</f>
        <v>0</v>
      </c>
      <c r="T443" s="43">
        <f>'D4 Gallon Forecast'!T413*AVERAGE('D4 RIN Forecast'!$BC$26:$BF$26)</f>
        <v>0</v>
      </c>
      <c r="U443" s="43">
        <f>'D4 Gallon Forecast'!U413*AVERAGE('D4 RIN Forecast'!$BC$26:$BF$26)</f>
        <v>0</v>
      </c>
      <c r="V443" s="43">
        <f>'D4 Gallon Forecast'!V413*AVERAGE('D4 RIN Forecast'!$BC$26:$BG$26)</f>
        <v>0</v>
      </c>
      <c r="W443" s="43">
        <f>'D4 Gallon Forecast'!W413*AVERAGE('D4 RIN Forecast'!$BC$26:$BG$26)</f>
        <v>0</v>
      </c>
      <c r="X443" s="43">
        <f>'D4 Gallon Forecast'!X413*AVERAGE('D4 RIN Forecast'!$BC$26:$BG$26)</f>
        <v>0</v>
      </c>
      <c r="Y443" s="43">
        <f>'D4 Gallon Forecast'!Y413*AVERAGE('D4 RIN Forecast'!$BC$26:$BG$26)</f>
        <v>0</v>
      </c>
      <c r="Z443" s="43">
        <f>'D4 Gallon Forecast'!Z413*AVERAGE('D4 RIN Forecast'!$BC$26:$BG$26)</f>
        <v>0</v>
      </c>
      <c r="AA443" s="43">
        <f>'D4 Gallon Forecast'!AA413*AVERAGE('D4 RIN Forecast'!$BC$26:$BG$26)</f>
        <v>0</v>
      </c>
      <c r="AB443" s="43">
        <f>'D4 Gallon Forecast'!AB413*AVERAGE('D4 RIN Forecast'!$BC$26:$BG$26)</f>
        <v>0</v>
      </c>
      <c r="AC443" s="43">
        <f>'D4 Gallon Forecast'!AC413*AVERAGE('D4 RIN Forecast'!$BC$26:$BG$26)</f>
        <v>0</v>
      </c>
      <c r="AD443" s="43">
        <f>'D4 Gallon Forecast'!AD413*AVERAGE('D4 RIN Forecast'!$BC$26:$BG$26)</f>
        <v>0</v>
      </c>
      <c r="AE443" s="43">
        <f>'D4 Gallon Forecast'!AE413*AVERAGE('D4 RIN Forecast'!$BC$26:$BG$26)</f>
        <v>0</v>
      </c>
      <c r="AF443" s="43">
        <f>'D4 Gallon Forecast'!AF413*AVERAGE('D4 RIN Forecast'!$BC$26:$BG$26)</f>
        <v>0</v>
      </c>
      <c r="AG443" s="43">
        <f>'D4 Gallon Forecast'!AG413*AVERAGE('D4 RIN Forecast'!$BC$26:$BG$26)</f>
        <v>0</v>
      </c>
      <c r="AH443" s="43">
        <f>'D4 Gallon Forecast'!AH413*AVERAGE('D4 RIN Forecast'!$BC$26:$BG$26)</f>
        <v>0</v>
      </c>
      <c r="AI443" s="43">
        <f>'D4 Gallon Forecast'!AI413*AVERAGE('D4 RIN Forecast'!$BC$26:$BG$26)</f>
        <v>0</v>
      </c>
      <c r="AJ443" s="43">
        <f>'D4 Gallon Forecast'!AJ413*AVERAGE('D4 RIN Forecast'!$BC$26:$BG$26)</f>
        <v>0</v>
      </c>
      <c r="AK443" s="43">
        <f>'D4 Gallon Forecast'!AK413*AVERAGE('D4 RIN Forecast'!$BC$26:$BG$26)</f>
        <v>0</v>
      </c>
      <c r="AL443" s="43">
        <f>'D4 Gallon Forecast'!AL413*AVERAGE('D4 RIN Forecast'!$BC$26:$BG$26)</f>
        <v>0</v>
      </c>
      <c r="AM443" s="43">
        <f>'D4 Gallon Forecast'!AM413*AVERAGE('D4 RIN Forecast'!$BC$26:$BG$26)</f>
        <v>0</v>
      </c>
      <c r="AN443" s="43">
        <f>'D4 Gallon Forecast'!AN413*AVERAGE('D4 RIN Forecast'!$BC$26:$BG$26)</f>
        <v>0</v>
      </c>
      <c r="AO443" s="43">
        <f>'D4 Gallon Forecast'!AO413*AVERAGE('D4 RIN Forecast'!$BC$26:$BG$26)</f>
        <v>0</v>
      </c>
      <c r="AP443" s="43">
        <f>'D4 Gallon Forecast'!AP413*AVERAGE('D4 RIN Forecast'!$BC$26:$BG$26)</f>
        <v>0</v>
      </c>
      <c r="AQ443" s="43"/>
    </row>
    <row r="444" spans="1:43">
      <c r="A444" s="40" t="s">
        <v>52</v>
      </c>
      <c r="B444" s="42">
        <f>'Monthly D4 RIN Data'!$M13</f>
        <v>0</v>
      </c>
      <c r="C444" s="42">
        <f>'Monthly D4 RIN Data'!$M25</f>
        <v>0</v>
      </c>
      <c r="D444" s="42">
        <f>'Monthly D4 RIN Data'!$M37</f>
        <v>0</v>
      </c>
      <c r="E444" s="42">
        <f>'Monthly D4 RIN Data'!$M49</f>
        <v>0</v>
      </c>
      <c r="F444" s="42">
        <f>'Monthly D4 RIN Data'!$M61</f>
        <v>0</v>
      </c>
      <c r="G444" s="42">
        <f>'Monthly D4 RIN Data'!$M73</f>
        <v>0</v>
      </c>
      <c r="H444" s="42">
        <f>'Monthly D4 RIN Data'!$M85</f>
        <v>0</v>
      </c>
      <c r="I444" s="42">
        <f>'Monthly D4 RIN Data'!$M97</f>
        <v>0</v>
      </c>
      <c r="J444" s="42">
        <f>'Monthly D4 RIN Data'!$M109</f>
        <v>0</v>
      </c>
      <c r="K444" s="42">
        <f>'Monthly D4 RIN Data'!$M121</f>
        <v>0</v>
      </c>
      <c r="L444" s="42">
        <f>'Monthly D4 RIN Data'!$M133</f>
        <v>0</v>
      </c>
      <c r="M444" s="42">
        <f>'Monthly D4 RIN Data'!$M145</f>
        <v>0</v>
      </c>
      <c r="N444" s="42">
        <f>'Monthly D4 RIN Data'!$M157</f>
        <v>0</v>
      </c>
      <c r="O444" s="42">
        <f>'Monthly D4 RIN Data'!$M169</f>
        <v>120640</v>
      </c>
      <c r="P444" s="42">
        <f>'Monthly D4 RIN Data'!$M181</f>
        <v>0</v>
      </c>
      <c r="Q444" s="43">
        <f>'D4 Gallon Forecast'!Q414*AVERAGE('D4 RIN Forecast'!$BC$26:$BF$26)</f>
        <v>0</v>
      </c>
      <c r="R444" s="43">
        <f>'D4 Gallon Forecast'!R414*AVERAGE('D4 RIN Forecast'!$BC$26:$BF$26)</f>
        <v>0</v>
      </c>
      <c r="S444" s="43">
        <f>'D4 Gallon Forecast'!S414*AVERAGE('D4 RIN Forecast'!$BC$26:$BF$26)</f>
        <v>0</v>
      </c>
      <c r="T444" s="43">
        <f>'D4 Gallon Forecast'!T414*AVERAGE('D4 RIN Forecast'!$BC$26:$BF$26)</f>
        <v>0</v>
      </c>
      <c r="U444" s="43">
        <f>'D4 Gallon Forecast'!U414*AVERAGE('D4 RIN Forecast'!$BC$26:$BF$26)</f>
        <v>0</v>
      </c>
      <c r="V444" s="43">
        <f>'D4 Gallon Forecast'!V414*AVERAGE('D4 RIN Forecast'!$BC$26:$BG$26)</f>
        <v>0</v>
      </c>
      <c r="W444" s="43">
        <f>'D4 Gallon Forecast'!W414*AVERAGE('D4 RIN Forecast'!$BC$26:$BG$26)</f>
        <v>0</v>
      </c>
      <c r="X444" s="43">
        <f>'D4 Gallon Forecast'!X414*AVERAGE('D4 RIN Forecast'!$BC$26:$BG$26)</f>
        <v>0</v>
      </c>
      <c r="Y444" s="43">
        <f>'D4 Gallon Forecast'!Y414*AVERAGE('D4 RIN Forecast'!$BC$26:$BG$26)</f>
        <v>0</v>
      </c>
      <c r="Z444" s="43">
        <f>'D4 Gallon Forecast'!Z414*AVERAGE('D4 RIN Forecast'!$BC$26:$BG$26)</f>
        <v>0</v>
      </c>
      <c r="AA444" s="43">
        <f>'D4 Gallon Forecast'!AA414*AVERAGE('D4 RIN Forecast'!$BC$26:$BG$26)</f>
        <v>0</v>
      </c>
      <c r="AB444" s="43">
        <f>'D4 Gallon Forecast'!AB414*AVERAGE('D4 RIN Forecast'!$BC$26:$BG$26)</f>
        <v>0</v>
      </c>
      <c r="AC444" s="43">
        <f>'D4 Gallon Forecast'!AC414*AVERAGE('D4 RIN Forecast'!$BC$26:$BG$26)</f>
        <v>0</v>
      </c>
      <c r="AD444" s="43">
        <f>'D4 Gallon Forecast'!AD414*AVERAGE('D4 RIN Forecast'!$BC$26:$BG$26)</f>
        <v>0</v>
      </c>
      <c r="AE444" s="43">
        <f>'D4 Gallon Forecast'!AE414*AVERAGE('D4 RIN Forecast'!$BC$26:$BG$26)</f>
        <v>0</v>
      </c>
      <c r="AF444" s="43">
        <f>'D4 Gallon Forecast'!AF414*AVERAGE('D4 RIN Forecast'!$BC$26:$BG$26)</f>
        <v>0</v>
      </c>
      <c r="AG444" s="43">
        <f>'D4 Gallon Forecast'!AG414*AVERAGE('D4 RIN Forecast'!$BC$26:$BG$26)</f>
        <v>0</v>
      </c>
      <c r="AH444" s="43">
        <f>'D4 Gallon Forecast'!AH414*AVERAGE('D4 RIN Forecast'!$BC$26:$BG$26)</f>
        <v>0</v>
      </c>
      <c r="AI444" s="43">
        <f>'D4 Gallon Forecast'!AI414*AVERAGE('D4 RIN Forecast'!$BC$26:$BG$26)</f>
        <v>0</v>
      </c>
      <c r="AJ444" s="43">
        <f>'D4 Gallon Forecast'!AJ414*AVERAGE('D4 RIN Forecast'!$BC$26:$BG$26)</f>
        <v>0</v>
      </c>
      <c r="AK444" s="43">
        <f>'D4 Gallon Forecast'!AK414*AVERAGE('D4 RIN Forecast'!$BC$26:$BG$26)</f>
        <v>0</v>
      </c>
      <c r="AL444" s="43">
        <f>'D4 Gallon Forecast'!AL414*AVERAGE('D4 RIN Forecast'!$BC$26:$BG$26)</f>
        <v>0</v>
      </c>
      <c r="AM444" s="43">
        <f>'D4 Gallon Forecast'!AM414*AVERAGE('D4 RIN Forecast'!$BC$26:$BG$26)</f>
        <v>0</v>
      </c>
      <c r="AN444" s="43">
        <f>'D4 Gallon Forecast'!AN414*AVERAGE('D4 RIN Forecast'!$BC$26:$BG$26)</f>
        <v>0</v>
      </c>
      <c r="AO444" s="43">
        <f>'D4 Gallon Forecast'!AO414*AVERAGE('D4 RIN Forecast'!$BC$26:$BG$26)</f>
        <v>0</v>
      </c>
      <c r="AP444" s="43">
        <f>'D4 Gallon Forecast'!AP414*AVERAGE('D4 RIN Forecast'!$BC$26:$BG$26)</f>
        <v>0</v>
      </c>
      <c r="AQ444" s="43"/>
    </row>
    <row r="445" spans="1:43">
      <c r="A445" s="40" t="s">
        <v>53</v>
      </c>
      <c r="B445" s="42">
        <f>'Monthly D4 RIN Data'!$M14</f>
        <v>0</v>
      </c>
      <c r="C445" s="42">
        <f>'Monthly D4 RIN Data'!$M26</f>
        <v>0</v>
      </c>
      <c r="D445" s="42">
        <f>'Monthly D4 RIN Data'!$M38</f>
        <v>0</v>
      </c>
      <c r="E445" s="42">
        <f>'Monthly D4 RIN Data'!$M50</f>
        <v>0</v>
      </c>
      <c r="F445" s="42">
        <f>'Monthly D4 RIN Data'!$M62</f>
        <v>0</v>
      </c>
      <c r="G445" s="42">
        <f>'Monthly D4 RIN Data'!$M74</f>
        <v>0</v>
      </c>
      <c r="H445" s="42">
        <f>'Monthly D4 RIN Data'!$M86</f>
        <v>0</v>
      </c>
      <c r="I445" s="42">
        <f>'Monthly D4 RIN Data'!$M98</f>
        <v>0</v>
      </c>
      <c r="J445" s="42">
        <f>'Monthly D4 RIN Data'!$M110</f>
        <v>0</v>
      </c>
      <c r="K445" s="42">
        <f>'Monthly D4 RIN Data'!$M122</f>
        <v>0</v>
      </c>
      <c r="L445" s="42">
        <f>'Monthly D4 RIN Data'!$M134</f>
        <v>9384</v>
      </c>
      <c r="M445" s="42">
        <f>'Monthly D4 RIN Data'!$M146</f>
        <v>0</v>
      </c>
      <c r="N445" s="42">
        <f>'Monthly D4 RIN Data'!$M158</f>
        <v>41398</v>
      </c>
      <c r="O445" s="42">
        <f>'Monthly D4 RIN Data'!$M170</f>
        <v>198943</v>
      </c>
      <c r="P445" s="42">
        <f>'Monthly D4 RIN Data'!$M182</f>
        <v>0</v>
      </c>
      <c r="Q445" s="43">
        <f>'D4 Gallon Forecast'!Q415*AVERAGE('D4 RIN Forecast'!$BC$26:$BF$26)</f>
        <v>0</v>
      </c>
      <c r="R445" s="43">
        <f>'D4 Gallon Forecast'!R415*AVERAGE('D4 RIN Forecast'!$BC$26:$BF$26)</f>
        <v>0</v>
      </c>
      <c r="S445" s="43">
        <f>'D4 Gallon Forecast'!S415*AVERAGE('D4 RIN Forecast'!$BC$26:$BF$26)</f>
        <v>0</v>
      </c>
      <c r="T445" s="43">
        <f>'D4 Gallon Forecast'!T415*AVERAGE('D4 RIN Forecast'!$BC$26:$BF$26)</f>
        <v>0</v>
      </c>
      <c r="U445" s="43">
        <f>'D4 Gallon Forecast'!U415*AVERAGE('D4 RIN Forecast'!$BC$26:$BF$26)</f>
        <v>0</v>
      </c>
      <c r="V445" s="43">
        <f>'D4 Gallon Forecast'!V415*AVERAGE('D4 RIN Forecast'!$BC$26:$BG$26)</f>
        <v>0</v>
      </c>
      <c r="W445" s="43">
        <f>'D4 Gallon Forecast'!W415*AVERAGE('D4 RIN Forecast'!$BC$26:$BG$26)</f>
        <v>0</v>
      </c>
      <c r="X445" s="43">
        <f>'D4 Gallon Forecast'!X415*AVERAGE('D4 RIN Forecast'!$BC$26:$BG$26)</f>
        <v>0</v>
      </c>
      <c r="Y445" s="43">
        <f>'D4 Gallon Forecast'!Y415*AVERAGE('D4 RIN Forecast'!$BC$26:$BG$26)</f>
        <v>0</v>
      </c>
      <c r="Z445" s="43">
        <f>'D4 Gallon Forecast'!Z415*AVERAGE('D4 RIN Forecast'!$BC$26:$BG$26)</f>
        <v>0</v>
      </c>
      <c r="AA445" s="43">
        <f>'D4 Gallon Forecast'!AA415*AVERAGE('D4 RIN Forecast'!$BC$26:$BG$26)</f>
        <v>0</v>
      </c>
      <c r="AB445" s="43">
        <f>'D4 Gallon Forecast'!AB415*AVERAGE('D4 RIN Forecast'!$BC$26:$BG$26)</f>
        <v>0</v>
      </c>
      <c r="AC445" s="43">
        <f>'D4 Gallon Forecast'!AC415*AVERAGE('D4 RIN Forecast'!$BC$26:$BG$26)</f>
        <v>0</v>
      </c>
      <c r="AD445" s="43">
        <f>'D4 Gallon Forecast'!AD415*AVERAGE('D4 RIN Forecast'!$BC$26:$BG$26)</f>
        <v>0</v>
      </c>
      <c r="AE445" s="43">
        <f>'D4 Gallon Forecast'!AE415*AVERAGE('D4 RIN Forecast'!$BC$26:$BG$26)</f>
        <v>0</v>
      </c>
      <c r="AF445" s="43">
        <f>'D4 Gallon Forecast'!AF415*AVERAGE('D4 RIN Forecast'!$BC$26:$BG$26)</f>
        <v>0</v>
      </c>
      <c r="AG445" s="43">
        <f>'D4 Gallon Forecast'!AG415*AVERAGE('D4 RIN Forecast'!$BC$26:$BG$26)</f>
        <v>0</v>
      </c>
      <c r="AH445" s="43">
        <f>'D4 Gallon Forecast'!AH415*AVERAGE('D4 RIN Forecast'!$BC$26:$BG$26)</f>
        <v>0</v>
      </c>
      <c r="AI445" s="43">
        <f>'D4 Gallon Forecast'!AI415*AVERAGE('D4 RIN Forecast'!$BC$26:$BG$26)</f>
        <v>0</v>
      </c>
      <c r="AJ445" s="43">
        <f>'D4 Gallon Forecast'!AJ415*AVERAGE('D4 RIN Forecast'!$BC$26:$BG$26)</f>
        <v>0</v>
      </c>
      <c r="AK445" s="43">
        <f>'D4 Gallon Forecast'!AK415*AVERAGE('D4 RIN Forecast'!$BC$26:$BG$26)</f>
        <v>0</v>
      </c>
      <c r="AL445" s="43">
        <f>'D4 Gallon Forecast'!AL415*AVERAGE('D4 RIN Forecast'!$BC$26:$BG$26)</f>
        <v>0</v>
      </c>
      <c r="AM445" s="43">
        <f>'D4 Gallon Forecast'!AM415*AVERAGE('D4 RIN Forecast'!$BC$26:$BG$26)</f>
        <v>0</v>
      </c>
      <c r="AN445" s="43">
        <f>'D4 Gallon Forecast'!AN415*AVERAGE('D4 RIN Forecast'!$BC$26:$BG$26)</f>
        <v>0</v>
      </c>
      <c r="AO445" s="43">
        <f>'D4 Gallon Forecast'!AO415*AVERAGE('D4 RIN Forecast'!$BC$26:$BG$26)</f>
        <v>0</v>
      </c>
      <c r="AP445" s="43">
        <f>'D4 Gallon Forecast'!AP415*AVERAGE('D4 RIN Forecast'!$BC$26:$BG$26)</f>
        <v>0</v>
      </c>
      <c r="AQ445" s="43"/>
    </row>
    <row r="446" spans="1:43">
      <c r="A446" s="40" t="s">
        <v>54</v>
      </c>
      <c r="B446" s="42">
        <f>'Monthly D4 RIN Data'!$M15</f>
        <v>0</v>
      </c>
      <c r="C446" s="42">
        <f>'Monthly D4 RIN Data'!$M27</f>
        <v>0</v>
      </c>
      <c r="D446" s="42">
        <f>'Monthly D4 RIN Data'!$M39</f>
        <v>0</v>
      </c>
      <c r="E446" s="42">
        <f>'Monthly D4 RIN Data'!$M51</f>
        <v>0</v>
      </c>
      <c r="F446" s="42">
        <f>'Monthly D4 RIN Data'!$M63</f>
        <v>0</v>
      </c>
      <c r="G446" s="42">
        <f>'Monthly D4 RIN Data'!$M75</f>
        <v>0</v>
      </c>
      <c r="H446" s="42">
        <f>'Monthly D4 RIN Data'!$M87</f>
        <v>0</v>
      </c>
      <c r="I446" s="42">
        <f>'Monthly D4 RIN Data'!$M99</f>
        <v>0</v>
      </c>
      <c r="J446" s="42">
        <f>'Monthly D4 RIN Data'!$M111</f>
        <v>0</v>
      </c>
      <c r="K446" s="42">
        <f>'Monthly D4 RIN Data'!$M123</f>
        <v>0</v>
      </c>
      <c r="L446" s="42">
        <f>'Monthly D4 RIN Data'!$M135</f>
        <v>0</v>
      </c>
      <c r="M446" s="42">
        <f>'Monthly D4 RIN Data'!$M147</f>
        <v>632688</v>
      </c>
      <c r="N446" s="42">
        <f>'Monthly D4 RIN Data'!$M159</f>
        <v>470863</v>
      </c>
      <c r="O446" s="42">
        <f>'Monthly D4 RIN Data'!$M171</f>
        <v>553021</v>
      </c>
      <c r="P446" s="42">
        <f>'Monthly D4 RIN Data'!$M183</f>
        <v>0</v>
      </c>
      <c r="Q446" s="43">
        <f>'D4 Gallon Forecast'!Q416*AVERAGE('D4 RIN Forecast'!$BC$26:$BF$26)</f>
        <v>0</v>
      </c>
      <c r="R446" s="43">
        <f>'D4 Gallon Forecast'!R416*AVERAGE('D4 RIN Forecast'!$BC$26:$BF$26)</f>
        <v>0</v>
      </c>
      <c r="S446" s="43">
        <f>'D4 Gallon Forecast'!S416*AVERAGE('D4 RIN Forecast'!$BC$26:$BF$26)</f>
        <v>0</v>
      </c>
      <c r="T446" s="43">
        <f>'D4 Gallon Forecast'!T416*AVERAGE('D4 RIN Forecast'!$BC$26:$BF$26)</f>
        <v>0</v>
      </c>
      <c r="U446" s="43">
        <f>'D4 Gallon Forecast'!U416*AVERAGE('D4 RIN Forecast'!$BC$26:$BF$26)</f>
        <v>0</v>
      </c>
      <c r="V446" s="43">
        <f>'D4 Gallon Forecast'!V416*AVERAGE('D4 RIN Forecast'!$BC$26:$BG$26)</f>
        <v>0</v>
      </c>
      <c r="W446" s="43">
        <f>'D4 Gallon Forecast'!W416*AVERAGE('D4 RIN Forecast'!$BC$26:$BG$26)</f>
        <v>0</v>
      </c>
      <c r="X446" s="43">
        <f>'D4 Gallon Forecast'!X416*AVERAGE('D4 RIN Forecast'!$BC$26:$BG$26)</f>
        <v>0</v>
      </c>
      <c r="Y446" s="43">
        <f>'D4 Gallon Forecast'!Y416*AVERAGE('D4 RIN Forecast'!$BC$26:$BG$26)</f>
        <v>0</v>
      </c>
      <c r="Z446" s="43">
        <f>'D4 Gallon Forecast'!Z416*AVERAGE('D4 RIN Forecast'!$BC$26:$BG$26)</f>
        <v>0</v>
      </c>
      <c r="AA446" s="43">
        <f>'D4 Gallon Forecast'!AA416*AVERAGE('D4 RIN Forecast'!$BC$26:$BG$26)</f>
        <v>0</v>
      </c>
      <c r="AB446" s="43">
        <f>'D4 Gallon Forecast'!AB416*AVERAGE('D4 RIN Forecast'!$BC$26:$BG$26)</f>
        <v>0</v>
      </c>
      <c r="AC446" s="43">
        <f>'D4 Gallon Forecast'!AC416*AVERAGE('D4 RIN Forecast'!$BC$26:$BG$26)</f>
        <v>0</v>
      </c>
      <c r="AD446" s="43">
        <f>'D4 Gallon Forecast'!AD416*AVERAGE('D4 RIN Forecast'!$BC$26:$BG$26)</f>
        <v>0</v>
      </c>
      <c r="AE446" s="43">
        <f>'D4 Gallon Forecast'!AE416*AVERAGE('D4 RIN Forecast'!$BC$26:$BG$26)</f>
        <v>0</v>
      </c>
      <c r="AF446" s="43">
        <f>'D4 Gallon Forecast'!AF416*AVERAGE('D4 RIN Forecast'!$BC$26:$BG$26)</f>
        <v>0</v>
      </c>
      <c r="AG446" s="43">
        <f>'D4 Gallon Forecast'!AG416*AVERAGE('D4 RIN Forecast'!$BC$26:$BG$26)</f>
        <v>0</v>
      </c>
      <c r="AH446" s="43">
        <f>'D4 Gallon Forecast'!AH416*AVERAGE('D4 RIN Forecast'!$BC$26:$BG$26)</f>
        <v>0</v>
      </c>
      <c r="AI446" s="43">
        <f>'D4 Gallon Forecast'!AI416*AVERAGE('D4 RIN Forecast'!$BC$26:$BG$26)</f>
        <v>0</v>
      </c>
      <c r="AJ446" s="43">
        <f>'D4 Gallon Forecast'!AJ416*AVERAGE('D4 RIN Forecast'!$BC$26:$BG$26)</f>
        <v>0</v>
      </c>
      <c r="AK446" s="43">
        <f>'D4 Gallon Forecast'!AK416*AVERAGE('D4 RIN Forecast'!$BC$26:$BG$26)</f>
        <v>0</v>
      </c>
      <c r="AL446" s="43">
        <f>'D4 Gallon Forecast'!AL416*AVERAGE('D4 RIN Forecast'!$BC$26:$BG$26)</f>
        <v>0</v>
      </c>
      <c r="AM446" s="43">
        <f>'D4 Gallon Forecast'!AM416*AVERAGE('D4 RIN Forecast'!$BC$26:$BG$26)</f>
        <v>0</v>
      </c>
      <c r="AN446" s="43">
        <f>'D4 Gallon Forecast'!AN416*AVERAGE('D4 RIN Forecast'!$BC$26:$BG$26)</f>
        <v>0</v>
      </c>
      <c r="AO446" s="43">
        <f>'D4 Gallon Forecast'!AO416*AVERAGE('D4 RIN Forecast'!$BC$26:$BG$26)</f>
        <v>0</v>
      </c>
      <c r="AP446" s="43">
        <f>'D4 Gallon Forecast'!AP416*AVERAGE('D4 RIN Forecast'!$BC$26:$BG$26)</f>
        <v>0</v>
      </c>
      <c r="AQ446" s="43"/>
    </row>
    <row r="447" spans="1:43">
      <c r="A447" s="40" t="s">
        <v>29</v>
      </c>
      <c r="B447" s="42">
        <f>SUM(B435:B446)</f>
        <v>0</v>
      </c>
      <c r="C447" s="42">
        <f t="shared" ref="C447:AP447" si="122">SUM(C435:C446)</f>
        <v>0</v>
      </c>
      <c r="D447" s="42">
        <f t="shared" si="122"/>
        <v>0</v>
      </c>
      <c r="E447" s="42">
        <f t="shared" si="122"/>
        <v>0</v>
      </c>
      <c r="F447" s="42">
        <f t="shared" si="122"/>
        <v>0</v>
      </c>
      <c r="G447" s="42">
        <f t="shared" si="122"/>
        <v>0</v>
      </c>
      <c r="H447" s="42">
        <f t="shared" si="122"/>
        <v>0</v>
      </c>
      <c r="I447" s="42">
        <f t="shared" si="122"/>
        <v>0</v>
      </c>
      <c r="J447" s="42">
        <f t="shared" si="122"/>
        <v>0</v>
      </c>
      <c r="K447" s="42">
        <f t="shared" si="122"/>
        <v>7704</v>
      </c>
      <c r="L447" s="42">
        <f t="shared" si="122"/>
        <v>9384</v>
      </c>
      <c r="M447" s="42">
        <f t="shared" si="122"/>
        <v>632688</v>
      </c>
      <c r="N447" s="42">
        <f t="shared" si="122"/>
        <v>550200</v>
      </c>
      <c r="O447" s="42">
        <f t="shared" si="122"/>
        <v>1209481</v>
      </c>
      <c r="P447" s="42">
        <f t="shared" si="122"/>
        <v>157995</v>
      </c>
      <c r="Q447" s="43">
        <f t="shared" si="122"/>
        <v>0</v>
      </c>
      <c r="R447" s="43">
        <f t="shared" si="122"/>
        <v>0</v>
      </c>
      <c r="S447" s="43">
        <f t="shared" si="122"/>
        <v>0</v>
      </c>
      <c r="T447" s="43">
        <f t="shared" si="122"/>
        <v>0</v>
      </c>
      <c r="U447" s="43">
        <f t="shared" si="122"/>
        <v>0</v>
      </c>
      <c r="V447" s="43">
        <f t="shared" si="122"/>
        <v>0</v>
      </c>
      <c r="W447" s="43">
        <f t="shared" si="122"/>
        <v>0</v>
      </c>
      <c r="X447" s="43">
        <f t="shared" si="122"/>
        <v>0</v>
      </c>
      <c r="Y447" s="43">
        <f t="shared" si="122"/>
        <v>0</v>
      </c>
      <c r="Z447" s="43">
        <f t="shared" si="122"/>
        <v>0</v>
      </c>
      <c r="AA447" s="43">
        <f t="shared" si="122"/>
        <v>0</v>
      </c>
      <c r="AB447" s="43">
        <f t="shared" si="122"/>
        <v>0</v>
      </c>
      <c r="AC447" s="43">
        <f t="shared" si="122"/>
        <v>0</v>
      </c>
      <c r="AD447" s="43">
        <f t="shared" si="122"/>
        <v>0</v>
      </c>
      <c r="AE447" s="43">
        <f t="shared" si="122"/>
        <v>0</v>
      </c>
      <c r="AF447" s="43">
        <f t="shared" si="122"/>
        <v>0</v>
      </c>
      <c r="AG447" s="43">
        <f t="shared" si="122"/>
        <v>0</v>
      </c>
      <c r="AH447" s="43">
        <f t="shared" si="122"/>
        <v>0</v>
      </c>
      <c r="AI447" s="43">
        <f t="shared" si="122"/>
        <v>0</v>
      </c>
      <c r="AJ447" s="43">
        <f t="shared" si="122"/>
        <v>0</v>
      </c>
      <c r="AK447" s="43">
        <f t="shared" si="122"/>
        <v>0</v>
      </c>
      <c r="AL447" s="43">
        <f t="shared" si="122"/>
        <v>0</v>
      </c>
      <c r="AM447" s="43">
        <f t="shared" si="122"/>
        <v>0</v>
      </c>
      <c r="AN447" s="43">
        <f t="shared" si="122"/>
        <v>0</v>
      </c>
      <c r="AO447" s="43">
        <f t="shared" si="122"/>
        <v>0</v>
      </c>
      <c r="AP447" s="43">
        <f t="shared" si="122"/>
        <v>0</v>
      </c>
      <c r="AQ447" s="43"/>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A71B-EBC4-4E1E-9CC7-6F5705D48A3C}">
  <sheetPr>
    <tabColor theme="0" tint="-0.34998626667073579"/>
  </sheetPr>
  <dimension ref="A1:BE186"/>
  <sheetViews>
    <sheetView zoomScale="110" zoomScaleNormal="110" workbookViewId="0">
      <pane xSplit="1" ySplit="3" topLeftCell="B167" activePane="bottomRight" state="frozen"/>
      <selection activeCell="A9" sqref="A9"/>
      <selection pane="topRight" activeCell="A9" sqref="A9"/>
      <selection pane="bottomLeft" activeCell="A9" sqref="A9"/>
      <selection pane="bottomRight" activeCell="A9" sqref="A9"/>
    </sheetView>
  </sheetViews>
  <sheetFormatPr defaultColWidth="9.140625" defaultRowHeight="15"/>
  <cols>
    <col min="1" max="1" width="9.140625" style="2"/>
    <col min="2" max="18" width="10.7109375" style="299" customWidth="1"/>
    <col min="19" max="33" width="11.42578125" style="299" customWidth="1"/>
    <col min="34" max="34" width="11.42578125" style="2" customWidth="1"/>
    <col min="35" max="36" width="13" style="2" customWidth="1"/>
    <col min="37" max="37" width="12.85546875" customWidth="1"/>
    <col min="38" max="54" width="12.85546875" style="2" customWidth="1"/>
    <col min="55" max="66" width="11.42578125" style="2" customWidth="1"/>
    <col min="67" max="16384" width="9.140625" style="2"/>
  </cols>
  <sheetData>
    <row r="1" spans="1:57" ht="37.5" customHeight="1">
      <c r="B1" s="499" t="s">
        <v>371</v>
      </c>
      <c r="C1" s="499"/>
      <c r="D1" s="499"/>
      <c r="E1" s="499"/>
      <c r="F1" s="499"/>
      <c r="G1" s="499"/>
      <c r="H1" s="499"/>
      <c r="I1" s="499"/>
      <c r="J1" s="499"/>
      <c r="K1" s="499"/>
      <c r="L1" s="499"/>
      <c r="M1" s="499"/>
      <c r="N1" s="499"/>
      <c r="O1" s="499"/>
      <c r="P1" s="499"/>
      <c r="Q1" s="499"/>
      <c r="R1" s="499"/>
      <c r="S1" s="499" t="s">
        <v>399</v>
      </c>
      <c r="T1" s="499"/>
      <c r="U1" s="499"/>
      <c r="V1" s="499"/>
      <c r="W1" s="499"/>
      <c r="X1" s="499"/>
      <c r="Y1" s="499"/>
      <c r="Z1" s="499"/>
      <c r="AA1" s="499"/>
      <c r="AB1" s="499"/>
      <c r="AC1" s="499"/>
      <c r="AD1" s="499"/>
      <c r="AE1" s="499" t="s">
        <v>400</v>
      </c>
      <c r="AF1" s="499"/>
      <c r="AG1" s="499"/>
      <c r="AH1" s="273" t="s">
        <v>401</v>
      </c>
      <c r="AI1" s="520" t="s">
        <v>402</v>
      </c>
      <c r="AJ1" s="520"/>
    </row>
    <row r="2" spans="1:57" ht="76.5" customHeight="1">
      <c r="B2" s="521" t="s">
        <v>281</v>
      </c>
      <c r="C2" s="521"/>
      <c r="D2" s="521"/>
      <c r="E2" s="521"/>
      <c r="F2" s="522" t="s">
        <v>372</v>
      </c>
      <c r="G2" s="522"/>
      <c r="H2" s="522"/>
      <c r="I2" s="522"/>
      <c r="J2" s="523" t="s">
        <v>403</v>
      </c>
      <c r="K2" s="523"/>
      <c r="L2" s="523"/>
      <c r="M2" s="524" t="s">
        <v>404</v>
      </c>
      <c r="N2" s="524"/>
      <c r="O2" s="525" t="s">
        <v>405</v>
      </c>
      <c r="P2" s="525"/>
      <c r="Q2" s="525"/>
      <c r="R2" s="525"/>
      <c r="S2" s="526" t="s">
        <v>260</v>
      </c>
      <c r="T2" s="526"/>
      <c r="U2" s="526"/>
      <c r="V2" s="526"/>
      <c r="W2" s="510" t="s">
        <v>406</v>
      </c>
      <c r="X2" s="510"/>
      <c r="Y2" s="510"/>
      <c r="Z2" s="510"/>
      <c r="AA2" s="511" t="s">
        <v>261</v>
      </c>
      <c r="AB2" s="511"/>
      <c r="AC2" s="511"/>
      <c r="AD2" s="511"/>
      <c r="AE2" s="512" t="s">
        <v>260</v>
      </c>
      <c r="AF2" s="512"/>
      <c r="AG2" s="512"/>
      <c r="AH2" s="513" t="s">
        <v>341</v>
      </c>
      <c r="AI2" s="514" t="s">
        <v>343</v>
      </c>
      <c r="AJ2" s="514" t="s">
        <v>344</v>
      </c>
      <c r="AK2" s="515" t="s">
        <v>281</v>
      </c>
      <c r="AL2" s="515"/>
      <c r="AM2" s="515"/>
      <c r="AN2" s="515"/>
      <c r="AO2" s="516" t="s">
        <v>372</v>
      </c>
      <c r="AP2" s="516"/>
      <c r="AQ2" s="516"/>
      <c r="AR2" s="516"/>
      <c r="AS2" s="517" t="s">
        <v>287</v>
      </c>
      <c r="AT2" s="517"/>
      <c r="AU2" s="517"/>
      <c r="AV2" s="517"/>
      <c r="AW2" s="518" t="s">
        <v>404</v>
      </c>
      <c r="AX2" s="518"/>
      <c r="AY2" s="519" t="s">
        <v>405</v>
      </c>
      <c r="AZ2" s="519"/>
      <c r="BA2" s="519"/>
      <c r="BB2" s="519"/>
      <c r="BE2" s="509" t="s">
        <v>407</v>
      </c>
    </row>
    <row r="3" spans="1:57" ht="39" thickBot="1">
      <c r="B3" s="282" t="s">
        <v>260</v>
      </c>
      <c r="C3" s="282" t="s">
        <v>408</v>
      </c>
      <c r="D3" s="282" t="s">
        <v>261</v>
      </c>
      <c r="E3" s="282" t="s">
        <v>262</v>
      </c>
      <c r="F3" s="283" t="s">
        <v>260</v>
      </c>
      <c r="G3" s="283" t="s">
        <v>408</v>
      </c>
      <c r="H3" s="283" t="s">
        <v>261</v>
      </c>
      <c r="I3" s="283" t="s">
        <v>262</v>
      </c>
      <c r="J3" s="284" t="s">
        <v>260</v>
      </c>
      <c r="K3" s="284" t="s">
        <v>261</v>
      </c>
      <c r="L3" s="284" t="s">
        <v>262</v>
      </c>
      <c r="M3" s="274" t="s">
        <v>260</v>
      </c>
      <c r="N3" s="274" t="s">
        <v>262</v>
      </c>
      <c r="O3" s="285" t="s">
        <v>260</v>
      </c>
      <c r="P3" s="285" t="s">
        <v>408</v>
      </c>
      <c r="Q3" s="285" t="s">
        <v>261</v>
      </c>
      <c r="R3" s="285" t="s">
        <v>262</v>
      </c>
      <c r="S3" s="275" t="s">
        <v>409</v>
      </c>
      <c r="T3" s="275" t="s">
        <v>410</v>
      </c>
      <c r="U3" s="275" t="s">
        <v>411</v>
      </c>
      <c r="V3" s="275" t="s">
        <v>262</v>
      </c>
      <c r="W3" s="276" t="s">
        <v>409</v>
      </c>
      <c r="X3" s="276" t="s">
        <v>410</v>
      </c>
      <c r="Y3" s="276" t="s">
        <v>411</v>
      </c>
      <c r="Z3" s="276" t="s">
        <v>262</v>
      </c>
      <c r="AA3" s="277" t="s">
        <v>409</v>
      </c>
      <c r="AB3" s="277" t="s">
        <v>410</v>
      </c>
      <c r="AC3" s="277" t="s">
        <v>411</v>
      </c>
      <c r="AD3" s="277" t="s">
        <v>262</v>
      </c>
      <c r="AE3" s="278" t="s">
        <v>410</v>
      </c>
      <c r="AF3" s="286" t="s">
        <v>412</v>
      </c>
      <c r="AG3" s="278" t="s">
        <v>262</v>
      </c>
      <c r="AH3" s="513"/>
      <c r="AI3" s="514"/>
      <c r="AJ3" s="514"/>
      <c r="AK3" s="287" t="s">
        <v>260</v>
      </c>
      <c r="AL3" s="287" t="s">
        <v>408</v>
      </c>
      <c r="AM3" s="287" t="s">
        <v>261</v>
      </c>
      <c r="AN3" s="287" t="s">
        <v>262</v>
      </c>
      <c r="AO3" s="288" t="s">
        <v>260</v>
      </c>
      <c r="AP3" s="288" t="s">
        <v>408</v>
      </c>
      <c r="AQ3" s="288" t="s">
        <v>261</v>
      </c>
      <c r="AR3" s="288" t="s">
        <v>262</v>
      </c>
      <c r="AS3" s="167" t="s">
        <v>260</v>
      </c>
      <c r="AT3" s="167" t="s">
        <v>408</v>
      </c>
      <c r="AU3" s="167" t="s">
        <v>261</v>
      </c>
      <c r="AV3" s="167" t="s">
        <v>262</v>
      </c>
      <c r="AW3" s="281" t="s">
        <v>260</v>
      </c>
      <c r="AX3" s="281" t="s">
        <v>262</v>
      </c>
      <c r="AY3" s="289" t="s">
        <v>260</v>
      </c>
      <c r="AZ3" s="289" t="s">
        <v>408</v>
      </c>
      <c r="BA3" s="289" t="s">
        <v>261</v>
      </c>
      <c r="BB3" s="289" t="s">
        <v>262</v>
      </c>
      <c r="BE3" s="509"/>
    </row>
    <row r="4" spans="1:57" s="294" customFormat="1" ht="13.5" hidden="1" thickBot="1">
      <c r="A4" s="170">
        <v>40179</v>
      </c>
      <c r="B4" s="290">
        <v>0</v>
      </c>
      <c r="C4" s="290">
        <v>0</v>
      </c>
      <c r="D4" s="290">
        <v>0</v>
      </c>
      <c r="E4" s="291">
        <f t="shared" ref="E4:E67" si="0">SUM(B4:D4)</f>
        <v>0</v>
      </c>
      <c r="F4" s="290">
        <f>V4</f>
        <v>0</v>
      </c>
      <c r="G4" s="290">
        <f>Z4</f>
        <v>0</v>
      </c>
      <c r="H4" s="290">
        <f>AD4</f>
        <v>0</v>
      </c>
      <c r="I4" s="291">
        <f t="shared" ref="I4:I67" si="1">SUM(F4:H4)</f>
        <v>0</v>
      </c>
      <c r="J4" s="290">
        <f>AG4</f>
        <v>0</v>
      </c>
      <c r="K4" s="290">
        <v>0</v>
      </c>
      <c r="L4" s="291">
        <f t="shared" ref="L4:L67" si="2">SUM(J4:K4,AH4)</f>
        <v>0</v>
      </c>
      <c r="M4" s="290">
        <f>AJ4</f>
        <v>0</v>
      </c>
      <c r="N4" s="291">
        <f>SUM(M4)</f>
        <v>0</v>
      </c>
      <c r="O4" s="291">
        <f t="shared" ref="O4:O67" si="3">B4+F4+J4+M4</f>
        <v>0</v>
      </c>
      <c r="P4" s="291">
        <f>C4+G4+AH4</f>
        <v>0</v>
      </c>
      <c r="Q4" s="291">
        <f t="shared" ref="Q4:Q67" si="4">D4+H4+K4</f>
        <v>0</v>
      </c>
      <c r="R4" s="291">
        <f>SUM(O4:Q4)</f>
        <v>0</v>
      </c>
      <c r="S4" s="290">
        <v>0</v>
      </c>
      <c r="T4" s="290">
        <v>0</v>
      </c>
      <c r="U4" s="290">
        <v>0</v>
      </c>
      <c r="V4" s="292">
        <f>SUM(S4:U4)</f>
        <v>0</v>
      </c>
      <c r="W4" s="290">
        <v>0</v>
      </c>
      <c r="X4" s="290">
        <v>0</v>
      </c>
      <c r="Y4" s="290">
        <v>0</v>
      </c>
      <c r="Z4" s="292">
        <f>SUM(W4:Y4)</f>
        <v>0</v>
      </c>
      <c r="AA4" s="290">
        <v>0</v>
      </c>
      <c r="AB4" s="290">
        <v>0</v>
      </c>
      <c r="AC4" s="290">
        <v>0</v>
      </c>
      <c r="AD4" s="292">
        <f>SUM(AA4:AC4)</f>
        <v>0</v>
      </c>
      <c r="AE4" s="292">
        <v>0</v>
      </c>
      <c r="AF4" s="292">
        <v>0</v>
      </c>
      <c r="AG4" s="292">
        <f>AF4+AE4</f>
        <v>0</v>
      </c>
      <c r="AH4" s="292">
        <v>0</v>
      </c>
      <c r="AI4" s="292">
        <f t="shared" ref="AI4:AI39" si="5">SUM(AE4:AG4)</f>
        <v>0</v>
      </c>
      <c r="AJ4" s="292">
        <f>AI4</f>
        <v>0</v>
      </c>
      <c r="AK4" s="292">
        <f>B4</f>
        <v>0</v>
      </c>
      <c r="AL4" s="292">
        <f>C4</f>
        <v>0</v>
      </c>
      <c r="AM4" s="292">
        <f>D4</f>
        <v>0</v>
      </c>
      <c r="AN4" s="292">
        <f>SUM(AK4:AM4)</f>
        <v>0</v>
      </c>
      <c r="AO4" s="292">
        <f>F4</f>
        <v>0</v>
      </c>
      <c r="AP4" s="292">
        <f>G4</f>
        <v>0</v>
      </c>
      <c r="AQ4" s="292">
        <f>H4</f>
        <v>0</v>
      </c>
      <c r="AR4" s="292">
        <f>SUM(AO4:AQ4)</f>
        <v>0</v>
      </c>
      <c r="AS4" s="292">
        <f>J4</f>
        <v>0</v>
      </c>
      <c r="AT4" s="292">
        <f>AH4</f>
        <v>0</v>
      </c>
      <c r="AU4" s="292">
        <f>K4</f>
        <v>0</v>
      </c>
      <c r="AV4" s="292">
        <f>SUM(AS4:AU4)</f>
        <v>0</v>
      </c>
      <c r="AW4" s="292">
        <f>M4</f>
        <v>0</v>
      </c>
      <c r="AX4" s="292">
        <f>AW4</f>
        <v>0</v>
      </c>
      <c r="AY4" s="292">
        <f>AK4+AO4+AS4+AW4</f>
        <v>0</v>
      </c>
      <c r="AZ4" s="292">
        <f>AL4+AP4+AT4</f>
        <v>0</v>
      </c>
      <c r="BA4" s="292">
        <f>AM4+AQ4+AU4</f>
        <v>0</v>
      </c>
      <c r="BB4" s="292">
        <f>SUM(AY4:BA4)</f>
        <v>0</v>
      </c>
      <c r="BC4" s="293"/>
      <c r="BD4" s="293"/>
    </row>
    <row r="5" spans="1:57" s="294" customFormat="1" ht="13.5" hidden="1" thickBot="1">
      <c r="A5" s="170">
        <v>40210</v>
      </c>
      <c r="B5" s="290">
        <v>0</v>
      </c>
      <c r="C5" s="290">
        <v>0</v>
      </c>
      <c r="D5" s="290">
        <v>0</v>
      </c>
      <c r="E5" s="291">
        <f t="shared" si="0"/>
        <v>0</v>
      </c>
      <c r="F5" s="290">
        <f t="shared" ref="F5:F68" si="6">V5</f>
        <v>0</v>
      </c>
      <c r="G5" s="290">
        <f t="shared" ref="G5:G68" si="7">Z5</f>
        <v>0</v>
      </c>
      <c r="H5" s="290">
        <f t="shared" ref="H5:H68" si="8">AD5</f>
        <v>0</v>
      </c>
      <c r="I5" s="291">
        <f t="shared" si="1"/>
        <v>0</v>
      </c>
      <c r="J5" s="290">
        <f t="shared" ref="J5:J68" si="9">AG5</f>
        <v>0</v>
      </c>
      <c r="K5" s="290">
        <v>0</v>
      </c>
      <c r="L5" s="291">
        <f t="shared" si="2"/>
        <v>0</v>
      </c>
      <c r="M5" s="290">
        <f t="shared" ref="M5:M68" si="10">AJ5</f>
        <v>0</v>
      </c>
      <c r="N5" s="291">
        <f t="shared" ref="N5:N68" si="11">SUM(M5)</f>
        <v>0</v>
      </c>
      <c r="O5" s="291">
        <f t="shared" si="3"/>
        <v>0</v>
      </c>
      <c r="P5" s="291">
        <f t="shared" ref="P5:P68" si="12">C5+G5+AH5</f>
        <v>0</v>
      </c>
      <c r="Q5" s="291">
        <f t="shared" si="4"/>
        <v>0</v>
      </c>
      <c r="R5" s="291">
        <f t="shared" ref="R5:R68" si="13">SUM(O5:Q5)</f>
        <v>0</v>
      </c>
      <c r="S5" s="290">
        <v>0</v>
      </c>
      <c r="T5" s="290">
        <v>0</v>
      </c>
      <c r="U5" s="290">
        <v>0</v>
      </c>
      <c r="V5" s="292">
        <f t="shared" ref="V5:V68" si="14">SUM(S5:U5)</f>
        <v>0</v>
      </c>
      <c r="W5" s="290">
        <v>0</v>
      </c>
      <c r="X5" s="290">
        <v>0</v>
      </c>
      <c r="Y5" s="290">
        <v>0</v>
      </c>
      <c r="Z5" s="292">
        <f t="shared" ref="Z5:Z68" si="15">SUM(W5:Y5)</f>
        <v>0</v>
      </c>
      <c r="AA5" s="290">
        <v>0</v>
      </c>
      <c r="AB5" s="290">
        <v>0</v>
      </c>
      <c r="AC5" s="290">
        <v>0</v>
      </c>
      <c r="AD5" s="292">
        <f t="shared" ref="AD5:AD68" si="16">SUM(AA5:AC5)</f>
        <v>0</v>
      </c>
      <c r="AE5" s="292">
        <v>0</v>
      </c>
      <c r="AF5" s="292">
        <v>0</v>
      </c>
      <c r="AG5" s="292">
        <f t="shared" ref="AG5:AG68" si="17">AF5+AE5</f>
        <v>0</v>
      </c>
      <c r="AH5" s="292">
        <v>0</v>
      </c>
      <c r="AI5" s="292">
        <f t="shared" si="5"/>
        <v>0</v>
      </c>
      <c r="AJ5" s="292">
        <f t="shared" ref="AJ5:AJ68" si="18">AI5</f>
        <v>0</v>
      </c>
      <c r="AK5" s="292">
        <f>AK4+B5</f>
        <v>0</v>
      </c>
      <c r="AL5" s="292">
        <f>AL4+C5</f>
        <v>0</v>
      </c>
      <c r="AM5" s="292">
        <f>AM4+D5</f>
        <v>0</v>
      </c>
      <c r="AN5" s="292">
        <f>SUM(AK5:AM5)</f>
        <v>0</v>
      </c>
      <c r="AO5" s="292">
        <f>AO4+F5</f>
        <v>0</v>
      </c>
      <c r="AP5" s="292">
        <f>AP4+G5</f>
        <v>0</v>
      </c>
      <c r="AQ5" s="292">
        <f>AQ4+H5</f>
        <v>0</v>
      </c>
      <c r="AR5" s="292">
        <f>SUM(AO5:AQ5)</f>
        <v>0</v>
      </c>
      <c r="AS5" s="292">
        <f>AS4+J5</f>
        <v>0</v>
      </c>
      <c r="AT5" s="292">
        <f>AT4+AH5</f>
        <v>0</v>
      </c>
      <c r="AU5" s="292">
        <f>AU4+K5</f>
        <v>0</v>
      </c>
      <c r="AV5" s="292">
        <f>SUM(AS5:AU5)</f>
        <v>0</v>
      </c>
      <c r="AW5" s="292">
        <f>AW4+M5</f>
        <v>0</v>
      </c>
      <c r="AX5" s="292">
        <f>AW5</f>
        <v>0</v>
      </c>
      <c r="AY5" s="292">
        <f>AK5+AO5+AS5+AW5</f>
        <v>0</v>
      </c>
      <c r="AZ5" s="292">
        <f>AL5+AP5+AT5</f>
        <v>0</v>
      </c>
      <c r="BA5" s="292">
        <f>AM5+AQ5+AU5</f>
        <v>0</v>
      </c>
      <c r="BB5" s="292">
        <f>SUM(AY5:BA5)</f>
        <v>0</v>
      </c>
      <c r="BC5" s="293"/>
      <c r="BD5" s="293"/>
    </row>
    <row r="6" spans="1:57" s="294" customFormat="1" ht="13.5" hidden="1" thickBot="1">
      <c r="A6" s="170">
        <v>40238</v>
      </c>
      <c r="B6" s="290">
        <v>0</v>
      </c>
      <c r="C6" s="290">
        <v>0</v>
      </c>
      <c r="D6" s="290">
        <v>0</v>
      </c>
      <c r="E6" s="291">
        <f t="shared" si="0"/>
        <v>0</v>
      </c>
      <c r="F6" s="290">
        <f t="shared" si="6"/>
        <v>0</v>
      </c>
      <c r="G6" s="290">
        <f t="shared" si="7"/>
        <v>0</v>
      </c>
      <c r="H6" s="290">
        <f t="shared" si="8"/>
        <v>0</v>
      </c>
      <c r="I6" s="291">
        <f t="shared" si="1"/>
        <v>0</v>
      </c>
      <c r="J6" s="290">
        <f t="shared" si="9"/>
        <v>0</v>
      </c>
      <c r="K6" s="290">
        <v>0</v>
      </c>
      <c r="L6" s="291">
        <f t="shared" si="2"/>
        <v>0</v>
      </c>
      <c r="M6" s="290">
        <f t="shared" si="10"/>
        <v>0</v>
      </c>
      <c r="N6" s="291">
        <f t="shared" si="11"/>
        <v>0</v>
      </c>
      <c r="O6" s="291">
        <f t="shared" si="3"/>
        <v>0</v>
      </c>
      <c r="P6" s="291">
        <f t="shared" si="12"/>
        <v>0</v>
      </c>
      <c r="Q6" s="291">
        <f t="shared" si="4"/>
        <v>0</v>
      </c>
      <c r="R6" s="291">
        <f t="shared" si="13"/>
        <v>0</v>
      </c>
      <c r="S6" s="290">
        <v>0</v>
      </c>
      <c r="T6" s="290">
        <v>0</v>
      </c>
      <c r="U6" s="290">
        <v>0</v>
      </c>
      <c r="V6" s="292">
        <f t="shared" si="14"/>
        <v>0</v>
      </c>
      <c r="W6" s="290">
        <v>0</v>
      </c>
      <c r="X6" s="290">
        <v>0</v>
      </c>
      <c r="Y6" s="290">
        <v>0</v>
      </c>
      <c r="Z6" s="292">
        <f t="shared" si="15"/>
        <v>0</v>
      </c>
      <c r="AA6" s="290">
        <v>0</v>
      </c>
      <c r="AB6" s="290">
        <v>0</v>
      </c>
      <c r="AC6" s="290">
        <v>0</v>
      </c>
      <c r="AD6" s="292">
        <f t="shared" si="16"/>
        <v>0</v>
      </c>
      <c r="AE6" s="292">
        <v>0</v>
      </c>
      <c r="AF6" s="292">
        <v>0</v>
      </c>
      <c r="AG6" s="292">
        <f t="shared" si="17"/>
        <v>0</v>
      </c>
      <c r="AH6" s="292">
        <v>0</v>
      </c>
      <c r="AI6" s="292">
        <f t="shared" si="5"/>
        <v>0</v>
      </c>
      <c r="AJ6" s="292">
        <f t="shared" si="18"/>
        <v>0</v>
      </c>
      <c r="AK6" s="292">
        <f t="shared" ref="AK6:AM15" si="19">AK5+B6</f>
        <v>0</v>
      </c>
      <c r="AL6" s="292">
        <f t="shared" si="19"/>
        <v>0</v>
      </c>
      <c r="AM6" s="292">
        <f t="shared" si="19"/>
        <v>0</v>
      </c>
      <c r="AN6" s="292">
        <f t="shared" ref="AN6:AN15" si="20">SUM(AK6:AM6)</f>
        <v>0</v>
      </c>
      <c r="AO6" s="292">
        <f t="shared" ref="AO6:AQ15" si="21">AO5+F6</f>
        <v>0</v>
      </c>
      <c r="AP6" s="292">
        <f t="shared" si="21"/>
        <v>0</v>
      </c>
      <c r="AQ6" s="292">
        <f t="shared" si="21"/>
        <v>0</v>
      </c>
      <c r="AR6" s="292">
        <f t="shared" ref="AR6:AR15" si="22">SUM(AO6:AQ6)</f>
        <v>0</v>
      </c>
      <c r="AS6" s="292">
        <f t="shared" ref="AS6:AS15" si="23">AS5+J6</f>
        <v>0</v>
      </c>
      <c r="AT6" s="292">
        <f t="shared" ref="AT6:AT15" si="24">AT5+AH6</f>
        <v>0</v>
      </c>
      <c r="AU6" s="292">
        <f t="shared" ref="AU6:AU15" si="25">AU5+K6</f>
        <v>0</v>
      </c>
      <c r="AV6" s="292">
        <f t="shared" ref="AV6:AV15" si="26">SUM(AS6:AU6)</f>
        <v>0</v>
      </c>
      <c r="AW6" s="292">
        <f t="shared" ref="AW6:AW15" si="27">AW5+M6</f>
        <v>0</v>
      </c>
      <c r="AX6" s="292">
        <f t="shared" ref="AX6:AX15" si="28">AW6</f>
        <v>0</v>
      </c>
      <c r="AY6" s="292">
        <f t="shared" ref="AY6:AY15" si="29">AK6+AO6+AS6+AW6</f>
        <v>0</v>
      </c>
      <c r="AZ6" s="292">
        <f t="shared" ref="AZ6:BA15" si="30">AL6+AP6+AT6</f>
        <v>0</v>
      </c>
      <c r="BA6" s="292">
        <f t="shared" si="30"/>
        <v>0</v>
      </c>
      <c r="BB6" s="292">
        <f t="shared" ref="BB6:BB15" si="31">SUM(AY6:BA6)</f>
        <v>0</v>
      </c>
      <c r="BC6" s="293"/>
      <c r="BD6" s="293"/>
    </row>
    <row r="7" spans="1:57" s="294" customFormat="1" ht="13.5" hidden="1" thickBot="1">
      <c r="A7" s="170">
        <v>40269</v>
      </c>
      <c r="B7" s="290">
        <v>0</v>
      </c>
      <c r="C7" s="290">
        <v>0</v>
      </c>
      <c r="D7" s="290">
        <v>0</v>
      </c>
      <c r="E7" s="291">
        <f t="shared" si="0"/>
        <v>0</v>
      </c>
      <c r="F7" s="290">
        <f t="shared" si="6"/>
        <v>0</v>
      </c>
      <c r="G7" s="290">
        <f t="shared" si="7"/>
        <v>0</v>
      </c>
      <c r="H7" s="290">
        <f t="shared" si="8"/>
        <v>0</v>
      </c>
      <c r="I7" s="291">
        <f t="shared" si="1"/>
        <v>0</v>
      </c>
      <c r="J7" s="290">
        <f t="shared" si="9"/>
        <v>0</v>
      </c>
      <c r="K7" s="290">
        <v>0</v>
      </c>
      <c r="L7" s="291">
        <f t="shared" si="2"/>
        <v>0</v>
      </c>
      <c r="M7" s="290">
        <f t="shared" si="10"/>
        <v>0</v>
      </c>
      <c r="N7" s="291">
        <f t="shared" si="11"/>
        <v>0</v>
      </c>
      <c r="O7" s="291">
        <f t="shared" si="3"/>
        <v>0</v>
      </c>
      <c r="P7" s="291">
        <f t="shared" si="12"/>
        <v>0</v>
      </c>
      <c r="Q7" s="291">
        <f t="shared" si="4"/>
        <v>0</v>
      </c>
      <c r="R7" s="291">
        <f t="shared" si="13"/>
        <v>0</v>
      </c>
      <c r="S7" s="290">
        <v>0</v>
      </c>
      <c r="T7" s="290">
        <v>0</v>
      </c>
      <c r="U7" s="290">
        <v>0</v>
      </c>
      <c r="V7" s="292">
        <f t="shared" si="14"/>
        <v>0</v>
      </c>
      <c r="W7" s="290">
        <v>0</v>
      </c>
      <c r="X7" s="290">
        <v>0</v>
      </c>
      <c r="Y7" s="290">
        <v>0</v>
      </c>
      <c r="Z7" s="292">
        <f t="shared" si="15"/>
        <v>0</v>
      </c>
      <c r="AA7" s="290">
        <v>0</v>
      </c>
      <c r="AB7" s="290">
        <v>0</v>
      </c>
      <c r="AC7" s="290">
        <v>0</v>
      </c>
      <c r="AD7" s="292">
        <f t="shared" si="16"/>
        <v>0</v>
      </c>
      <c r="AE7" s="292">
        <v>0</v>
      </c>
      <c r="AF7" s="292">
        <v>0</v>
      </c>
      <c r="AG7" s="292">
        <f t="shared" si="17"/>
        <v>0</v>
      </c>
      <c r="AH7" s="292">
        <v>0</v>
      </c>
      <c r="AI7" s="292">
        <f t="shared" si="5"/>
        <v>0</v>
      </c>
      <c r="AJ7" s="292">
        <f t="shared" si="18"/>
        <v>0</v>
      </c>
      <c r="AK7" s="292">
        <f t="shared" si="19"/>
        <v>0</v>
      </c>
      <c r="AL7" s="292">
        <f t="shared" si="19"/>
        <v>0</v>
      </c>
      <c r="AM7" s="292">
        <f t="shared" si="19"/>
        <v>0</v>
      </c>
      <c r="AN7" s="292">
        <f t="shared" si="20"/>
        <v>0</v>
      </c>
      <c r="AO7" s="292">
        <f t="shared" si="21"/>
        <v>0</v>
      </c>
      <c r="AP7" s="292">
        <f t="shared" si="21"/>
        <v>0</v>
      </c>
      <c r="AQ7" s="292">
        <f t="shared" si="21"/>
        <v>0</v>
      </c>
      <c r="AR7" s="292">
        <f t="shared" si="22"/>
        <v>0</v>
      </c>
      <c r="AS7" s="292">
        <f t="shared" si="23"/>
        <v>0</v>
      </c>
      <c r="AT7" s="292">
        <f t="shared" si="24"/>
        <v>0</v>
      </c>
      <c r="AU7" s="292">
        <f t="shared" si="25"/>
        <v>0</v>
      </c>
      <c r="AV7" s="292">
        <f t="shared" si="26"/>
        <v>0</v>
      </c>
      <c r="AW7" s="292">
        <f t="shared" si="27"/>
        <v>0</v>
      </c>
      <c r="AX7" s="292">
        <f t="shared" si="28"/>
        <v>0</v>
      </c>
      <c r="AY7" s="292">
        <f t="shared" si="29"/>
        <v>0</v>
      </c>
      <c r="AZ7" s="292">
        <f t="shared" si="30"/>
        <v>0</v>
      </c>
      <c r="BA7" s="292">
        <f t="shared" si="30"/>
        <v>0</v>
      </c>
      <c r="BB7" s="292">
        <f t="shared" si="31"/>
        <v>0</v>
      </c>
      <c r="BC7" s="293"/>
      <c r="BD7" s="293"/>
    </row>
    <row r="8" spans="1:57" s="294" customFormat="1" ht="13.5" hidden="1" thickBot="1">
      <c r="A8" s="170">
        <v>40299</v>
      </c>
      <c r="B8" s="290">
        <v>0</v>
      </c>
      <c r="C8" s="290">
        <v>0</v>
      </c>
      <c r="D8" s="290">
        <v>0</v>
      </c>
      <c r="E8" s="291">
        <f t="shared" si="0"/>
        <v>0</v>
      </c>
      <c r="F8" s="290">
        <f t="shared" si="6"/>
        <v>0</v>
      </c>
      <c r="G8" s="290">
        <f t="shared" si="7"/>
        <v>0</v>
      </c>
      <c r="H8" s="290">
        <f t="shared" si="8"/>
        <v>0</v>
      </c>
      <c r="I8" s="291">
        <f t="shared" si="1"/>
        <v>0</v>
      </c>
      <c r="J8" s="290">
        <f t="shared" si="9"/>
        <v>0</v>
      </c>
      <c r="K8" s="290">
        <v>0</v>
      </c>
      <c r="L8" s="291">
        <f t="shared" si="2"/>
        <v>0</v>
      </c>
      <c r="M8" s="290">
        <f t="shared" si="10"/>
        <v>0</v>
      </c>
      <c r="N8" s="291">
        <f t="shared" si="11"/>
        <v>0</v>
      </c>
      <c r="O8" s="291">
        <f t="shared" si="3"/>
        <v>0</v>
      </c>
      <c r="P8" s="291">
        <f t="shared" si="12"/>
        <v>0</v>
      </c>
      <c r="Q8" s="291">
        <f t="shared" si="4"/>
        <v>0</v>
      </c>
      <c r="R8" s="291">
        <f t="shared" si="13"/>
        <v>0</v>
      </c>
      <c r="S8" s="290">
        <v>0</v>
      </c>
      <c r="T8" s="290">
        <v>0</v>
      </c>
      <c r="U8" s="290">
        <v>0</v>
      </c>
      <c r="V8" s="292">
        <f t="shared" si="14"/>
        <v>0</v>
      </c>
      <c r="W8" s="290">
        <v>0</v>
      </c>
      <c r="X8" s="290">
        <v>0</v>
      </c>
      <c r="Y8" s="290">
        <v>0</v>
      </c>
      <c r="Z8" s="292">
        <f t="shared" si="15"/>
        <v>0</v>
      </c>
      <c r="AA8" s="290">
        <v>0</v>
      </c>
      <c r="AB8" s="290">
        <v>0</v>
      </c>
      <c r="AC8" s="290">
        <v>0</v>
      </c>
      <c r="AD8" s="292">
        <f t="shared" si="16"/>
        <v>0</v>
      </c>
      <c r="AE8" s="292">
        <v>0</v>
      </c>
      <c r="AF8" s="292">
        <v>0</v>
      </c>
      <c r="AG8" s="292">
        <f t="shared" si="17"/>
        <v>0</v>
      </c>
      <c r="AH8" s="292">
        <v>0</v>
      </c>
      <c r="AI8" s="292">
        <f t="shared" si="5"/>
        <v>0</v>
      </c>
      <c r="AJ8" s="292">
        <f t="shared" si="18"/>
        <v>0</v>
      </c>
      <c r="AK8" s="292">
        <f t="shared" si="19"/>
        <v>0</v>
      </c>
      <c r="AL8" s="292">
        <f t="shared" si="19"/>
        <v>0</v>
      </c>
      <c r="AM8" s="292">
        <f t="shared" si="19"/>
        <v>0</v>
      </c>
      <c r="AN8" s="292">
        <f t="shared" si="20"/>
        <v>0</v>
      </c>
      <c r="AO8" s="292">
        <f t="shared" si="21"/>
        <v>0</v>
      </c>
      <c r="AP8" s="292">
        <f t="shared" si="21"/>
        <v>0</v>
      </c>
      <c r="AQ8" s="292">
        <f t="shared" si="21"/>
        <v>0</v>
      </c>
      <c r="AR8" s="292">
        <f t="shared" si="22"/>
        <v>0</v>
      </c>
      <c r="AS8" s="292">
        <f t="shared" si="23"/>
        <v>0</v>
      </c>
      <c r="AT8" s="292">
        <f t="shared" si="24"/>
        <v>0</v>
      </c>
      <c r="AU8" s="292">
        <f t="shared" si="25"/>
        <v>0</v>
      </c>
      <c r="AV8" s="292">
        <f t="shared" si="26"/>
        <v>0</v>
      </c>
      <c r="AW8" s="292">
        <f t="shared" si="27"/>
        <v>0</v>
      </c>
      <c r="AX8" s="292">
        <f t="shared" si="28"/>
        <v>0</v>
      </c>
      <c r="AY8" s="292">
        <f t="shared" si="29"/>
        <v>0</v>
      </c>
      <c r="AZ8" s="292">
        <f t="shared" si="30"/>
        <v>0</v>
      </c>
      <c r="BA8" s="292">
        <f t="shared" si="30"/>
        <v>0</v>
      </c>
      <c r="BB8" s="292">
        <f t="shared" si="31"/>
        <v>0</v>
      </c>
      <c r="BC8" s="293"/>
      <c r="BD8" s="293"/>
    </row>
    <row r="9" spans="1:57" s="294" customFormat="1" ht="13.5" hidden="1" thickBot="1">
      <c r="A9" s="170">
        <v>40330</v>
      </c>
      <c r="B9" s="290">
        <v>0</v>
      </c>
      <c r="C9" s="290">
        <v>0</v>
      </c>
      <c r="D9" s="290">
        <v>0</v>
      </c>
      <c r="E9" s="291">
        <f t="shared" si="0"/>
        <v>0</v>
      </c>
      <c r="F9" s="290">
        <f t="shared" si="6"/>
        <v>0</v>
      </c>
      <c r="G9" s="290">
        <f t="shared" si="7"/>
        <v>0</v>
      </c>
      <c r="H9" s="290">
        <f t="shared" si="8"/>
        <v>0</v>
      </c>
      <c r="I9" s="291">
        <f t="shared" si="1"/>
        <v>0</v>
      </c>
      <c r="J9" s="290">
        <f t="shared" si="9"/>
        <v>0</v>
      </c>
      <c r="K9" s="290">
        <v>0</v>
      </c>
      <c r="L9" s="291">
        <f t="shared" si="2"/>
        <v>0</v>
      </c>
      <c r="M9" s="290">
        <f t="shared" si="10"/>
        <v>0</v>
      </c>
      <c r="N9" s="291">
        <f t="shared" si="11"/>
        <v>0</v>
      </c>
      <c r="O9" s="291">
        <f t="shared" si="3"/>
        <v>0</v>
      </c>
      <c r="P9" s="291">
        <f t="shared" si="12"/>
        <v>0</v>
      </c>
      <c r="Q9" s="291">
        <f t="shared" si="4"/>
        <v>0</v>
      </c>
      <c r="R9" s="291">
        <f t="shared" si="13"/>
        <v>0</v>
      </c>
      <c r="S9" s="290">
        <v>0</v>
      </c>
      <c r="T9" s="290">
        <v>0</v>
      </c>
      <c r="U9" s="290">
        <v>0</v>
      </c>
      <c r="V9" s="292">
        <f t="shared" si="14"/>
        <v>0</v>
      </c>
      <c r="W9" s="290">
        <v>0</v>
      </c>
      <c r="X9" s="290">
        <v>0</v>
      </c>
      <c r="Y9" s="290">
        <v>0</v>
      </c>
      <c r="Z9" s="292">
        <f t="shared" si="15"/>
        <v>0</v>
      </c>
      <c r="AA9" s="290">
        <v>0</v>
      </c>
      <c r="AB9" s="290">
        <v>0</v>
      </c>
      <c r="AC9" s="290">
        <v>0</v>
      </c>
      <c r="AD9" s="292">
        <f t="shared" si="16"/>
        <v>0</v>
      </c>
      <c r="AE9" s="292">
        <v>0</v>
      </c>
      <c r="AF9" s="292">
        <v>0</v>
      </c>
      <c r="AG9" s="292">
        <f t="shared" si="17"/>
        <v>0</v>
      </c>
      <c r="AH9" s="292">
        <v>0</v>
      </c>
      <c r="AI9" s="292">
        <f t="shared" si="5"/>
        <v>0</v>
      </c>
      <c r="AJ9" s="292">
        <f t="shared" si="18"/>
        <v>0</v>
      </c>
      <c r="AK9" s="292">
        <f t="shared" si="19"/>
        <v>0</v>
      </c>
      <c r="AL9" s="292">
        <f t="shared" si="19"/>
        <v>0</v>
      </c>
      <c r="AM9" s="292">
        <f t="shared" si="19"/>
        <v>0</v>
      </c>
      <c r="AN9" s="292">
        <f t="shared" si="20"/>
        <v>0</v>
      </c>
      <c r="AO9" s="292">
        <f t="shared" si="21"/>
        <v>0</v>
      </c>
      <c r="AP9" s="292">
        <f t="shared" si="21"/>
        <v>0</v>
      </c>
      <c r="AQ9" s="292">
        <f t="shared" si="21"/>
        <v>0</v>
      </c>
      <c r="AR9" s="292">
        <f t="shared" si="22"/>
        <v>0</v>
      </c>
      <c r="AS9" s="292">
        <f t="shared" si="23"/>
        <v>0</v>
      </c>
      <c r="AT9" s="292">
        <f t="shared" si="24"/>
        <v>0</v>
      </c>
      <c r="AU9" s="292">
        <f t="shared" si="25"/>
        <v>0</v>
      </c>
      <c r="AV9" s="292">
        <f t="shared" si="26"/>
        <v>0</v>
      </c>
      <c r="AW9" s="292">
        <f t="shared" si="27"/>
        <v>0</v>
      </c>
      <c r="AX9" s="292">
        <f t="shared" si="28"/>
        <v>0</v>
      </c>
      <c r="AY9" s="292">
        <f t="shared" si="29"/>
        <v>0</v>
      </c>
      <c r="AZ9" s="292">
        <f t="shared" si="30"/>
        <v>0</v>
      </c>
      <c r="BA9" s="292">
        <f t="shared" si="30"/>
        <v>0</v>
      </c>
      <c r="BB9" s="292">
        <f t="shared" si="31"/>
        <v>0</v>
      </c>
      <c r="BC9" s="293"/>
      <c r="BD9" s="293"/>
    </row>
    <row r="10" spans="1:57" s="294" customFormat="1" ht="13.5" hidden="1" thickBot="1">
      <c r="A10" s="170">
        <v>40360</v>
      </c>
      <c r="B10" s="290">
        <v>56301349</v>
      </c>
      <c r="C10" s="290">
        <v>0</v>
      </c>
      <c r="D10" s="290">
        <v>2066116</v>
      </c>
      <c r="E10" s="291">
        <f t="shared" si="0"/>
        <v>58367465</v>
      </c>
      <c r="F10" s="290">
        <f t="shared" si="6"/>
        <v>0</v>
      </c>
      <c r="G10" s="290">
        <f t="shared" si="7"/>
        <v>0</v>
      </c>
      <c r="H10" s="290">
        <f t="shared" si="8"/>
        <v>0</v>
      </c>
      <c r="I10" s="291">
        <f t="shared" si="1"/>
        <v>0</v>
      </c>
      <c r="J10" s="290">
        <f t="shared" si="9"/>
        <v>0</v>
      </c>
      <c r="K10" s="290">
        <v>0</v>
      </c>
      <c r="L10" s="291">
        <f t="shared" si="2"/>
        <v>0</v>
      </c>
      <c r="M10" s="290">
        <f t="shared" si="10"/>
        <v>0</v>
      </c>
      <c r="N10" s="291">
        <f t="shared" si="11"/>
        <v>0</v>
      </c>
      <c r="O10" s="291">
        <f t="shared" si="3"/>
        <v>56301349</v>
      </c>
      <c r="P10" s="291">
        <f t="shared" si="12"/>
        <v>0</v>
      </c>
      <c r="Q10" s="291">
        <f t="shared" si="4"/>
        <v>2066116</v>
      </c>
      <c r="R10" s="291">
        <f t="shared" si="13"/>
        <v>58367465</v>
      </c>
      <c r="S10" s="290">
        <v>0</v>
      </c>
      <c r="T10" s="290">
        <v>0</v>
      </c>
      <c r="U10" s="290">
        <v>0</v>
      </c>
      <c r="V10" s="292">
        <f t="shared" si="14"/>
        <v>0</v>
      </c>
      <c r="W10" s="290">
        <v>0</v>
      </c>
      <c r="X10" s="290">
        <v>0</v>
      </c>
      <c r="Y10" s="290">
        <v>0</v>
      </c>
      <c r="Z10" s="292">
        <f t="shared" si="15"/>
        <v>0</v>
      </c>
      <c r="AA10" s="290">
        <v>0</v>
      </c>
      <c r="AB10" s="290">
        <v>0</v>
      </c>
      <c r="AC10" s="290">
        <v>0</v>
      </c>
      <c r="AD10" s="292">
        <f t="shared" si="16"/>
        <v>0</v>
      </c>
      <c r="AE10" s="292">
        <v>0</v>
      </c>
      <c r="AF10" s="292">
        <v>0</v>
      </c>
      <c r="AG10" s="292">
        <f t="shared" si="17"/>
        <v>0</v>
      </c>
      <c r="AH10" s="292">
        <v>0</v>
      </c>
      <c r="AI10" s="292">
        <f t="shared" si="5"/>
        <v>0</v>
      </c>
      <c r="AJ10" s="292">
        <f t="shared" si="18"/>
        <v>0</v>
      </c>
      <c r="AK10" s="292">
        <f t="shared" si="19"/>
        <v>56301349</v>
      </c>
      <c r="AL10" s="292">
        <f t="shared" si="19"/>
        <v>0</v>
      </c>
      <c r="AM10" s="292">
        <f t="shared" si="19"/>
        <v>2066116</v>
      </c>
      <c r="AN10" s="292">
        <f t="shared" si="20"/>
        <v>58367465</v>
      </c>
      <c r="AO10" s="292">
        <f t="shared" si="21"/>
        <v>0</v>
      </c>
      <c r="AP10" s="292">
        <f t="shared" si="21"/>
        <v>0</v>
      </c>
      <c r="AQ10" s="292">
        <f t="shared" si="21"/>
        <v>0</v>
      </c>
      <c r="AR10" s="292">
        <f t="shared" si="22"/>
        <v>0</v>
      </c>
      <c r="AS10" s="292">
        <f t="shared" si="23"/>
        <v>0</v>
      </c>
      <c r="AT10" s="292">
        <f t="shared" si="24"/>
        <v>0</v>
      </c>
      <c r="AU10" s="292">
        <f t="shared" si="25"/>
        <v>0</v>
      </c>
      <c r="AV10" s="292">
        <f t="shared" si="26"/>
        <v>0</v>
      </c>
      <c r="AW10" s="292">
        <f t="shared" si="27"/>
        <v>0</v>
      </c>
      <c r="AX10" s="292">
        <f t="shared" si="28"/>
        <v>0</v>
      </c>
      <c r="AY10" s="292">
        <f t="shared" si="29"/>
        <v>56301349</v>
      </c>
      <c r="AZ10" s="292">
        <f t="shared" si="30"/>
        <v>0</v>
      </c>
      <c r="BA10" s="292">
        <f t="shared" si="30"/>
        <v>2066116</v>
      </c>
      <c r="BB10" s="292">
        <f t="shared" si="31"/>
        <v>58367465</v>
      </c>
      <c r="BC10" s="293"/>
      <c r="BD10" s="293"/>
      <c r="BE10" s="5">
        <f>BB10/'Monthly D4 Gallon Data'!AX8</f>
        <v>1.5000209837301177</v>
      </c>
    </row>
    <row r="11" spans="1:57" s="294" customFormat="1" ht="13.5" hidden="1" thickBot="1">
      <c r="A11" s="170">
        <v>40391</v>
      </c>
      <c r="B11" s="290">
        <v>43250641</v>
      </c>
      <c r="C11" s="290">
        <v>0</v>
      </c>
      <c r="D11" s="290">
        <v>3473253</v>
      </c>
      <c r="E11" s="291">
        <f t="shared" si="0"/>
        <v>46723894</v>
      </c>
      <c r="F11" s="290">
        <f t="shared" si="6"/>
        <v>0</v>
      </c>
      <c r="G11" s="290">
        <f t="shared" si="7"/>
        <v>0</v>
      </c>
      <c r="H11" s="290">
        <f t="shared" si="8"/>
        <v>0</v>
      </c>
      <c r="I11" s="291">
        <f t="shared" si="1"/>
        <v>0</v>
      </c>
      <c r="J11" s="290">
        <f t="shared" si="9"/>
        <v>0</v>
      </c>
      <c r="K11" s="290">
        <v>0</v>
      </c>
      <c r="L11" s="291">
        <f t="shared" si="2"/>
        <v>0</v>
      </c>
      <c r="M11" s="290">
        <f t="shared" si="10"/>
        <v>0</v>
      </c>
      <c r="N11" s="291">
        <f t="shared" si="11"/>
        <v>0</v>
      </c>
      <c r="O11" s="291">
        <f t="shared" si="3"/>
        <v>43250641</v>
      </c>
      <c r="P11" s="291">
        <f t="shared" si="12"/>
        <v>0</v>
      </c>
      <c r="Q11" s="291">
        <f t="shared" si="4"/>
        <v>3473253</v>
      </c>
      <c r="R11" s="291">
        <f t="shared" si="13"/>
        <v>46723894</v>
      </c>
      <c r="S11" s="290">
        <v>0</v>
      </c>
      <c r="T11" s="290">
        <v>0</v>
      </c>
      <c r="U11" s="290">
        <v>0</v>
      </c>
      <c r="V11" s="292">
        <f t="shared" si="14"/>
        <v>0</v>
      </c>
      <c r="W11" s="290">
        <v>0</v>
      </c>
      <c r="X11" s="290">
        <v>0</v>
      </c>
      <c r="Y11" s="290">
        <v>0</v>
      </c>
      <c r="Z11" s="292">
        <f t="shared" si="15"/>
        <v>0</v>
      </c>
      <c r="AA11" s="290">
        <v>0</v>
      </c>
      <c r="AB11" s="290">
        <v>0</v>
      </c>
      <c r="AC11" s="290">
        <v>0</v>
      </c>
      <c r="AD11" s="292">
        <f t="shared" si="16"/>
        <v>0</v>
      </c>
      <c r="AE11" s="292">
        <v>0</v>
      </c>
      <c r="AF11" s="292">
        <v>0</v>
      </c>
      <c r="AG11" s="292">
        <f t="shared" si="17"/>
        <v>0</v>
      </c>
      <c r="AH11" s="292">
        <v>0</v>
      </c>
      <c r="AI11" s="292">
        <f t="shared" si="5"/>
        <v>0</v>
      </c>
      <c r="AJ11" s="292">
        <f t="shared" si="18"/>
        <v>0</v>
      </c>
      <c r="AK11" s="292">
        <f t="shared" si="19"/>
        <v>99551990</v>
      </c>
      <c r="AL11" s="292">
        <f t="shared" si="19"/>
        <v>0</v>
      </c>
      <c r="AM11" s="292">
        <f t="shared" si="19"/>
        <v>5539369</v>
      </c>
      <c r="AN11" s="292">
        <f t="shared" si="20"/>
        <v>105091359</v>
      </c>
      <c r="AO11" s="292">
        <f t="shared" si="21"/>
        <v>0</v>
      </c>
      <c r="AP11" s="292">
        <f t="shared" si="21"/>
        <v>0</v>
      </c>
      <c r="AQ11" s="292">
        <f t="shared" si="21"/>
        <v>0</v>
      </c>
      <c r="AR11" s="292">
        <f t="shared" si="22"/>
        <v>0</v>
      </c>
      <c r="AS11" s="292">
        <f t="shared" si="23"/>
        <v>0</v>
      </c>
      <c r="AT11" s="292">
        <f t="shared" si="24"/>
        <v>0</v>
      </c>
      <c r="AU11" s="292">
        <f t="shared" si="25"/>
        <v>0</v>
      </c>
      <c r="AV11" s="292">
        <f t="shared" si="26"/>
        <v>0</v>
      </c>
      <c r="AW11" s="292">
        <f t="shared" si="27"/>
        <v>0</v>
      </c>
      <c r="AX11" s="292">
        <f t="shared" si="28"/>
        <v>0</v>
      </c>
      <c r="AY11" s="292">
        <f t="shared" si="29"/>
        <v>99551990</v>
      </c>
      <c r="AZ11" s="292">
        <f t="shared" si="30"/>
        <v>0</v>
      </c>
      <c r="BA11" s="292">
        <f t="shared" si="30"/>
        <v>5539369</v>
      </c>
      <c r="BB11" s="292">
        <f t="shared" si="31"/>
        <v>105091359</v>
      </c>
      <c r="BC11" s="293"/>
      <c r="BD11" s="293"/>
      <c r="BE11" s="5">
        <f>BB11/'Monthly D4 Gallon Data'!AX9</f>
        <v>1.500024300678916</v>
      </c>
    </row>
    <row r="12" spans="1:57" s="294" customFormat="1" ht="13.5" hidden="1" thickBot="1">
      <c r="A12" s="170">
        <v>40422</v>
      </c>
      <c r="B12" s="290">
        <v>53516322</v>
      </c>
      <c r="C12" s="290">
        <v>0</v>
      </c>
      <c r="D12" s="290">
        <v>1863617</v>
      </c>
      <c r="E12" s="291">
        <f t="shared" si="0"/>
        <v>55379939</v>
      </c>
      <c r="F12" s="290">
        <f t="shared" si="6"/>
        <v>0</v>
      </c>
      <c r="G12" s="290">
        <f t="shared" si="7"/>
        <v>0</v>
      </c>
      <c r="H12" s="290">
        <f t="shared" si="8"/>
        <v>0</v>
      </c>
      <c r="I12" s="291">
        <f t="shared" si="1"/>
        <v>0</v>
      </c>
      <c r="J12" s="290">
        <f t="shared" si="9"/>
        <v>0</v>
      </c>
      <c r="K12" s="290">
        <v>0</v>
      </c>
      <c r="L12" s="291">
        <f t="shared" si="2"/>
        <v>0</v>
      </c>
      <c r="M12" s="290">
        <f t="shared" si="10"/>
        <v>0</v>
      </c>
      <c r="N12" s="291">
        <f t="shared" si="11"/>
        <v>0</v>
      </c>
      <c r="O12" s="291">
        <f t="shared" si="3"/>
        <v>53516322</v>
      </c>
      <c r="P12" s="291">
        <f t="shared" si="12"/>
        <v>0</v>
      </c>
      <c r="Q12" s="291">
        <f t="shared" si="4"/>
        <v>1863617</v>
      </c>
      <c r="R12" s="291">
        <f t="shared" si="13"/>
        <v>55379939</v>
      </c>
      <c r="S12" s="290">
        <v>0</v>
      </c>
      <c r="T12" s="290">
        <v>0</v>
      </c>
      <c r="U12" s="290">
        <v>0</v>
      </c>
      <c r="V12" s="292">
        <f t="shared" si="14"/>
        <v>0</v>
      </c>
      <c r="W12" s="290">
        <v>0</v>
      </c>
      <c r="X12" s="290">
        <v>0</v>
      </c>
      <c r="Y12" s="290">
        <v>0</v>
      </c>
      <c r="Z12" s="292">
        <f t="shared" si="15"/>
        <v>0</v>
      </c>
      <c r="AA12" s="290">
        <v>0</v>
      </c>
      <c r="AB12" s="290">
        <v>0</v>
      </c>
      <c r="AC12" s="290">
        <v>0</v>
      </c>
      <c r="AD12" s="292">
        <f t="shared" si="16"/>
        <v>0</v>
      </c>
      <c r="AE12" s="292">
        <v>0</v>
      </c>
      <c r="AF12" s="292">
        <v>0</v>
      </c>
      <c r="AG12" s="292">
        <f t="shared" si="17"/>
        <v>0</v>
      </c>
      <c r="AH12" s="292">
        <v>0</v>
      </c>
      <c r="AI12" s="292">
        <f t="shared" si="5"/>
        <v>0</v>
      </c>
      <c r="AJ12" s="292">
        <f t="shared" si="18"/>
        <v>0</v>
      </c>
      <c r="AK12" s="292">
        <f t="shared" si="19"/>
        <v>153068312</v>
      </c>
      <c r="AL12" s="292">
        <f t="shared" si="19"/>
        <v>0</v>
      </c>
      <c r="AM12" s="292">
        <f t="shared" si="19"/>
        <v>7402986</v>
      </c>
      <c r="AN12" s="292">
        <f t="shared" si="20"/>
        <v>160471298</v>
      </c>
      <c r="AO12" s="292">
        <f t="shared" si="21"/>
        <v>0</v>
      </c>
      <c r="AP12" s="292">
        <f t="shared" si="21"/>
        <v>0</v>
      </c>
      <c r="AQ12" s="292">
        <f t="shared" si="21"/>
        <v>0</v>
      </c>
      <c r="AR12" s="292">
        <f t="shared" si="22"/>
        <v>0</v>
      </c>
      <c r="AS12" s="292">
        <f t="shared" si="23"/>
        <v>0</v>
      </c>
      <c r="AT12" s="292">
        <f t="shared" si="24"/>
        <v>0</v>
      </c>
      <c r="AU12" s="292">
        <f t="shared" si="25"/>
        <v>0</v>
      </c>
      <c r="AV12" s="292">
        <f t="shared" si="26"/>
        <v>0</v>
      </c>
      <c r="AW12" s="292">
        <f t="shared" si="27"/>
        <v>0</v>
      </c>
      <c r="AX12" s="292">
        <f t="shared" si="28"/>
        <v>0</v>
      </c>
      <c r="AY12" s="292">
        <f t="shared" si="29"/>
        <v>153068312</v>
      </c>
      <c r="AZ12" s="292">
        <f t="shared" si="30"/>
        <v>0</v>
      </c>
      <c r="BA12" s="292">
        <f t="shared" si="30"/>
        <v>7402986</v>
      </c>
      <c r="BB12" s="292">
        <f t="shared" si="31"/>
        <v>160471298</v>
      </c>
      <c r="BC12" s="293"/>
      <c r="BD12" s="293"/>
      <c r="BE12" s="5">
        <f>BB12/'Monthly D4 Gallon Data'!AX10</f>
        <v>1.5000237008744925</v>
      </c>
    </row>
    <row r="13" spans="1:57" s="294" customFormat="1" ht="13.5" hidden="1" thickBot="1">
      <c r="A13" s="170">
        <v>40452</v>
      </c>
      <c r="B13" s="290">
        <v>55175596</v>
      </c>
      <c r="C13" s="290">
        <v>0</v>
      </c>
      <c r="D13" s="290">
        <v>5398629</v>
      </c>
      <c r="E13" s="291">
        <f t="shared" si="0"/>
        <v>60574225</v>
      </c>
      <c r="F13" s="290">
        <f t="shared" si="6"/>
        <v>0</v>
      </c>
      <c r="G13" s="290">
        <f t="shared" si="7"/>
        <v>0</v>
      </c>
      <c r="H13" s="290">
        <f t="shared" si="8"/>
        <v>0</v>
      </c>
      <c r="I13" s="291">
        <f t="shared" si="1"/>
        <v>0</v>
      </c>
      <c r="J13" s="290">
        <f t="shared" si="9"/>
        <v>0</v>
      </c>
      <c r="K13" s="290">
        <v>0</v>
      </c>
      <c r="L13" s="291">
        <f t="shared" si="2"/>
        <v>0</v>
      </c>
      <c r="M13" s="290">
        <f t="shared" si="10"/>
        <v>0</v>
      </c>
      <c r="N13" s="291">
        <f t="shared" si="11"/>
        <v>0</v>
      </c>
      <c r="O13" s="291">
        <f t="shared" si="3"/>
        <v>55175596</v>
      </c>
      <c r="P13" s="291">
        <f t="shared" si="12"/>
        <v>0</v>
      </c>
      <c r="Q13" s="291">
        <f t="shared" si="4"/>
        <v>5398629</v>
      </c>
      <c r="R13" s="291">
        <f t="shared" si="13"/>
        <v>60574225</v>
      </c>
      <c r="S13" s="290">
        <v>0</v>
      </c>
      <c r="T13" s="290">
        <v>0</v>
      </c>
      <c r="U13" s="290">
        <v>0</v>
      </c>
      <c r="V13" s="292">
        <f t="shared" si="14"/>
        <v>0</v>
      </c>
      <c r="W13" s="290">
        <v>0</v>
      </c>
      <c r="X13" s="290">
        <v>0</v>
      </c>
      <c r="Y13" s="290">
        <v>0</v>
      </c>
      <c r="Z13" s="292">
        <f t="shared" si="15"/>
        <v>0</v>
      </c>
      <c r="AA13" s="290">
        <v>0</v>
      </c>
      <c r="AB13" s="290">
        <v>0</v>
      </c>
      <c r="AC13" s="290">
        <v>0</v>
      </c>
      <c r="AD13" s="292">
        <f t="shared" si="16"/>
        <v>0</v>
      </c>
      <c r="AE13" s="292">
        <v>0</v>
      </c>
      <c r="AF13" s="292">
        <v>0</v>
      </c>
      <c r="AG13" s="292">
        <f t="shared" si="17"/>
        <v>0</v>
      </c>
      <c r="AH13" s="292">
        <v>0</v>
      </c>
      <c r="AI13" s="292">
        <f t="shared" si="5"/>
        <v>0</v>
      </c>
      <c r="AJ13" s="292">
        <f t="shared" si="18"/>
        <v>0</v>
      </c>
      <c r="AK13" s="292">
        <f t="shared" si="19"/>
        <v>208243908</v>
      </c>
      <c r="AL13" s="292">
        <f t="shared" si="19"/>
        <v>0</v>
      </c>
      <c r="AM13" s="292">
        <f t="shared" si="19"/>
        <v>12801615</v>
      </c>
      <c r="AN13" s="292">
        <f t="shared" si="20"/>
        <v>221045523</v>
      </c>
      <c r="AO13" s="292">
        <f t="shared" si="21"/>
        <v>0</v>
      </c>
      <c r="AP13" s="292">
        <f t="shared" si="21"/>
        <v>0</v>
      </c>
      <c r="AQ13" s="292">
        <f t="shared" si="21"/>
        <v>0</v>
      </c>
      <c r="AR13" s="292">
        <f t="shared" si="22"/>
        <v>0</v>
      </c>
      <c r="AS13" s="292">
        <f t="shared" si="23"/>
        <v>0</v>
      </c>
      <c r="AT13" s="292">
        <f t="shared" si="24"/>
        <v>0</v>
      </c>
      <c r="AU13" s="292">
        <f t="shared" si="25"/>
        <v>0</v>
      </c>
      <c r="AV13" s="292">
        <f t="shared" si="26"/>
        <v>0</v>
      </c>
      <c r="AW13" s="292">
        <f t="shared" si="27"/>
        <v>0</v>
      </c>
      <c r="AX13" s="292">
        <f t="shared" si="28"/>
        <v>0</v>
      </c>
      <c r="AY13" s="292">
        <f t="shared" si="29"/>
        <v>208243908</v>
      </c>
      <c r="AZ13" s="292">
        <f t="shared" si="30"/>
        <v>0</v>
      </c>
      <c r="BA13" s="292">
        <f t="shared" si="30"/>
        <v>12801615</v>
      </c>
      <c r="BB13" s="292">
        <f t="shared" si="31"/>
        <v>221045523</v>
      </c>
      <c r="BC13" s="293"/>
      <c r="BD13" s="293"/>
      <c r="BE13" s="5">
        <f>BB13/'Monthly D4 Gallon Data'!AX11</f>
        <v>1.5000219765643981</v>
      </c>
    </row>
    <row r="14" spans="1:57" s="294" customFormat="1" ht="13.5" hidden="1" thickBot="1">
      <c r="A14" s="170">
        <v>40483</v>
      </c>
      <c r="B14" s="290">
        <v>46066755</v>
      </c>
      <c r="C14" s="290">
        <v>0</v>
      </c>
      <c r="D14" s="290">
        <v>2985941</v>
      </c>
      <c r="E14" s="291">
        <f t="shared" si="0"/>
        <v>49052696</v>
      </c>
      <c r="F14" s="290">
        <f t="shared" si="6"/>
        <v>594555</v>
      </c>
      <c r="G14" s="290">
        <f t="shared" si="7"/>
        <v>0</v>
      </c>
      <c r="H14" s="290">
        <f t="shared" si="8"/>
        <v>0</v>
      </c>
      <c r="I14" s="291">
        <f t="shared" si="1"/>
        <v>594555</v>
      </c>
      <c r="J14" s="290">
        <f t="shared" si="9"/>
        <v>0</v>
      </c>
      <c r="K14" s="290">
        <v>0</v>
      </c>
      <c r="L14" s="291">
        <f t="shared" si="2"/>
        <v>0</v>
      </c>
      <c r="M14" s="290">
        <f t="shared" si="10"/>
        <v>0</v>
      </c>
      <c r="N14" s="291">
        <f t="shared" si="11"/>
        <v>0</v>
      </c>
      <c r="O14" s="291">
        <f t="shared" si="3"/>
        <v>46661310</v>
      </c>
      <c r="P14" s="291">
        <f t="shared" si="12"/>
        <v>0</v>
      </c>
      <c r="Q14" s="291">
        <f t="shared" si="4"/>
        <v>2985941</v>
      </c>
      <c r="R14" s="291">
        <f t="shared" si="13"/>
        <v>49647251</v>
      </c>
      <c r="S14" s="290">
        <v>0</v>
      </c>
      <c r="T14" s="290">
        <v>0</v>
      </c>
      <c r="U14" s="292">
        <v>594555</v>
      </c>
      <c r="V14" s="292">
        <f t="shared" si="14"/>
        <v>594555</v>
      </c>
      <c r="W14" s="290">
        <v>0</v>
      </c>
      <c r="X14" s="290">
        <v>0</v>
      </c>
      <c r="Y14" s="290">
        <v>0</v>
      </c>
      <c r="Z14" s="292">
        <f t="shared" si="15"/>
        <v>0</v>
      </c>
      <c r="AA14" s="290">
        <v>0</v>
      </c>
      <c r="AB14" s="290">
        <v>0</v>
      </c>
      <c r="AC14" s="290">
        <v>0</v>
      </c>
      <c r="AD14" s="292">
        <f t="shared" si="16"/>
        <v>0</v>
      </c>
      <c r="AE14" s="292">
        <v>0</v>
      </c>
      <c r="AF14" s="292">
        <v>0</v>
      </c>
      <c r="AG14" s="292">
        <f t="shared" si="17"/>
        <v>0</v>
      </c>
      <c r="AH14" s="292">
        <v>0</v>
      </c>
      <c r="AI14" s="292">
        <f t="shared" si="5"/>
        <v>0</v>
      </c>
      <c r="AJ14" s="292">
        <f t="shared" si="18"/>
        <v>0</v>
      </c>
      <c r="AK14" s="292">
        <f t="shared" si="19"/>
        <v>254310663</v>
      </c>
      <c r="AL14" s="292">
        <f t="shared" si="19"/>
        <v>0</v>
      </c>
      <c r="AM14" s="292">
        <f t="shared" si="19"/>
        <v>15787556</v>
      </c>
      <c r="AN14" s="292">
        <f t="shared" si="20"/>
        <v>270098219</v>
      </c>
      <c r="AO14" s="292">
        <f t="shared" si="21"/>
        <v>594555</v>
      </c>
      <c r="AP14" s="292">
        <f t="shared" si="21"/>
        <v>0</v>
      </c>
      <c r="AQ14" s="292">
        <f t="shared" si="21"/>
        <v>0</v>
      </c>
      <c r="AR14" s="292">
        <f t="shared" si="22"/>
        <v>594555</v>
      </c>
      <c r="AS14" s="292">
        <f t="shared" si="23"/>
        <v>0</v>
      </c>
      <c r="AT14" s="292">
        <f t="shared" si="24"/>
        <v>0</v>
      </c>
      <c r="AU14" s="292">
        <f t="shared" si="25"/>
        <v>0</v>
      </c>
      <c r="AV14" s="292">
        <f t="shared" si="26"/>
        <v>0</v>
      </c>
      <c r="AW14" s="292">
        <f t="shared" si="27"/>
        <v>0</v>
      </c>
      <c r="AX14" s="292">
        <f t="shared" si="28"/>
        <v>0</v>
      </c>
      <c r="AY14" s="292">
        <f t="shared" si="29"/>
        <v>254905218</v>
      </c>
      <c r="AZ14" s="292">
        <f t="shared" si="30"/>
        <v>0</v>
      </c>
      <c r="BA14" s="292">
        <f t="shared" si="30"/>
        <v>15787556</v>
      </c>
      <c r="BB14" s="292">
        <f t="shared" si="31"/>
        <v>270692774</v>
      </c>
      <c r="BC14" s="293"/>
      <c r="BD14" s="293"/>
      <c r="BE14" s="5">
        <f>BB14/'Monthly D4 Gallon Data'!AX12</f>
        <v>1.5004085909558942</v>
      </c>
    </row>
    <row r="15" spans="1:57" s="294" customFormat="1" ht="13.5" hidden="1" thickBot="1">
      <c r="A15" s="170">
        <v>40513</v>
      </c>
      <c r="B15" s="290">
        <v>48627279</v>
      </c>
      <c r="C15" s="290">
        <v>0</v>
      </c>
      <c r="D15" s="290">
        <v>2943750</v>
      </c>
      <c r="E15" s="291">
        <f t="shared" si="0"/>
        <v>51571029</v>
      </c>
      <c r="F15" s="290">
        <f t="shared" si="6"/>
        <v>1012645</v>
      </c>
      <c r="G15" s="290">
        <f t="shared" si="7"/>
        <v>0</v>
      </c>
      <c r="H15" s="290">
        <f t="shared" si="8"/>
        <v>0</v>
      </c>
      <c r="I15" s="291">
        <f t="shared" si="1"/>
        <v>1012645</v>
      </c>
      <c r="J15" s="290">
        <f t="shared" si="9"/>
        <v>0</v>
      </c>
      <c r="K15" s="290">
        <v>0</v>
      </c>
      <c r="L15" s="291">
        <f t="shared" si="2"/>
        <v>0</v>
      </c>
      <c r="M15" s="290">
        <f t="shared" si="10"/>
        <v>0</v>
      </c>
      <c r="N15" s="291">
        <f t="shared" si="11"/>
        <v>0</v>
      </c>
      <c r="O15" s="291">
        <f t="shared" si="3"/>
        <v>49639924</v>
      </c>
      <c r="P15" s="291">
        <f t="shared" si="12"/>
        <v>0</v>
      </c>
      <c r="Q15" s="291">
        <f t="shared" si="4"/>
        <v>2943750</v>
      </c>
      <c r="R15" s="291">
        <f t="shared" si="13"/>
        <v>52583674</v>
      </c>
      <c r="S15" s="290">
        <v>0</v>
      </c>
      <c r="T15" s="292">
        <v>384763</v>
      </c>
      <c r="U15" s="292">
        <v>627882</v>
      </c>
      <c r="V15" s="292">
        <f t="shared" si="14"/>
        <v>1012645</v>
      </c>
      <c r="W15" s="290">
        <v>0</v>
      </c>
      <c r="X15" s="290">
        <v>0</v>
      </c>
      <c r="Y15" s="290">
        <v>0</v>
      </c>
      <c r="Z15" s="292">
        <f t="shared" si="15"/>
        <v>0</v>
      </c>
      <c r="AA15" s="290">
        <v>0</v>
      </c>
      <c r="AB15" s="290">
        <v>0</v>
      </c>
      <c r="AC15" s="290">
        <v>0</v>
      </c>
      <c r="AD15" s="292">
        <f t="shared" si="16"/>
        <v>0</v>
      </c>
      <c r="AE15" s="292">
        <v>0</v>
      </c>
      <c r="AF15" s="292">
        <v>0</v>
      </c>
      <c r="AG15" s="292">
        <f t="shared" si="17"/>
        <v>0</v>
      </c>
      <c r="AH15" s="292">
        <v>0</v>
      </c>
      <c r="AI15" s="292">
        <f t="shared" si="5"/>
        <v>0</v>
      </c>
      <c r="AJ15" s="292">
        <f t="shared" si="18"/>
        <v>0</v>
      </c>
      <c r="AK15" s="292">
        <f t="shared" si="19"/>
        <v>302937942</v>
      </c>
      <c r="AL15" s="292">
        <f t="shared" si="19"/>
        <v>0</v>
      </c>
      <c r="AM15" s="292">
        <f t="shared" si="19"/>
        <v>18731306</v>
      </c>
      <c r="AN15" s="292">
        <f t="shared" si="20"/>
        <v>321669248</v>
      </c>
      <c r="AO15" s="292">
        <f t="shared" si="21"/>
        <v>1607200</v>
      </c>
      <c r="AP15" s="292">
        <f t="shared" si="21"/>
        <v>0</v>
      </c>
      <c r="AQ15" s="292">
        <f t="shared" si="21"/>
        <v>0</v>
      </c>
      <c r="AR15" s="292">
        <f t="shared" si="22"/>
        <v>1607200</v>
      </c>
      <c r="AS15" s="292">
        <f t="shared" si="23"/>
        <v>0</v>
      </c>
      <c r="AT15" s="292">
        <f t="shared" si="24"/>
        <v>0</v>
      </c>
      <c r="AU15" s="292">
        <f t="shared" si="25"/>
        <v>0</v>
      </c>
      <c r="AV15" s="292">
        <f t="shared" si="26"/>
        <v>0</v>
      </c>
      <c r="AW15" s="292">
        <f t="shared" si="27"/>
        <v>0</v>
      </c>
      <c r="AX15" s="292">
        <f t="shared" si="28"/>
        <v>0</v>
      </c>
      <c r="AY15" s="292">
        <f t="shared" si="29"/>
        <v>304545142</v>
      </c>
      <c r="AZ15" s="292">
        <f t="shared" si="30"/>
        <v>0</v>
      </c>
      <c r="BA15" s="292">
        <f t="shared" si="30"/>
        <v>18731306</v>
      </c>
      <c r="BB15" s="292">
        <f t="shared" si="31"/>
        <v>323276448</v>
      </c>
      <c r="BC15" s="293"/>
      <c r="BD15" s="293"/>
      <c r="BE15" s="5">
        <f>BB15/'Monthly D4 Gallon Data'!AX13</f>
        <v>1.5007988680264506</v>
      </c>
    </row>
    <row r="16" spans="1:57" s="294" customFormat="1" ht="13.5" hidden="1" thickBot="1">
      <c r="A16" s="171">
        <v>40544</v>
      </c>
      <c r="B16" s="295">
        <v>49317013</v>
      </c>
      <c r="C16" s="295">
        <v>0</v>
      </c>
      <c r="D16" s="295">
        <v>3954656</v>
      </c>
      <c r="E16" s="296">
        <f t="shared" si="0"/>
        <v>53271669</v>
      </c>
      <c r="F16" s="295">
        <f t="shared" si="6"/>
        <v>3638065</v>
      </c>
      <c r="G16" s="295">
        <f t="shared" si="7"/>
        <v>0</v>
      </c>
      <c r="H16" s="295">
        <f t="shared" si="8"/>
        <v>0</v>
      </c>
      <c r="I16" s="296">
        <f t="shared" si="1"/>
        <v>3638065</v>
      </c>
      <c r="J16" s="295">
        <f t="shared" si="9"/>
        <v>0</v>
      </c>
      <c r="K16" s="295">
        <v>0</v>
      </c>
      <c r="L16" s="296">
        <f t="shared" si="2"/>
        <v>0</v>
      </c>
      <c r="M16" s="295">
        <f t="shared" si="10"/>
        <v>0</v>
      </c>
      <c r="N16" s="296">
        <f t="shared" si="11"/>
        <v>0</v>
      </c>
      <c r="O16" s="296">
        <f t="shared" si="3"/>
        <v>52955078</v>
      </c>
      <c r="P16" s="296">
        <f t="shared" si="12"/>
        <v>0</v>
      </c>
      <c r="Q16" s="296">
        <f t="shared" si="4"/>
        <v>3954656</v>
      </c>
      <c r="R16" s="296">
        <f t="shared" si="13"/>
        <v>56909734</v>
      </c>
      <c r="S16" s="295">
        <v>0</v>
      </c>
      <c r="T16" s="297">
        <v>345024</v>
      </c>
      <c r="U16" s="297">
        <v>3293041</v>
      </c>
      <c r="V16" s="297">
        <f t="shared" si="14"/>
        <v>3638065</v>
      </c>
      <c r="W16" s="295">
        <v>0</v>
      </c>
      <c r="X16" s="295">
        <v>0</v>
      </c>
      <c r="Y16" s="295">
        <v>0</v>
      </c>
      <c r="Z16" s="297">
        <f t="shared" si="15"/>
        <v>0</v>
      </c>
      <c r="AA16" s="295">
        <v>0</v>
      </c>
      <c r="AB16" s="295">
        <v>0</v>
      </c>
      <c r="AC16" s="295">
        <v>0</v>
      </c>
      <c r="AD16" s="297">
        <f t="shared" si="16"/>
        <v>0</v>
      </c>
      <c r="AE16" s="297">
        <v>0</v>
      </c>
      <c r="AF16" s="297">
        <v>0</v>
      </c>
      <c r="AG16" s="297">
        <f t="shared" si="17"/>
        <v>0</v>
      </c>
      <c r="AH16" s="297">
        <v>0</v>
      </c>
      <c r="AI16" s="297">
        <f t="shared" si="5"/>
        <v>0</v>
      </c>
      <c r="AJ16" s="297">
        <f t="shared" si="18"/>
        <v>0</v>
      </c>
      <c r="AK16" s="297">
        <f>B16</f>
        <v>49317013</v>
      </c>
      <c r="AL16" s="297">
        <f>C16</f>
        <v>0</v>
      </c>
      <c r="AM16" s="297">
        <f>D16</f>
        <v>3954656</v>
      </c>
      <c r="AN16" s="297">
        <f>SUM(AK16:AM16)</f>
        <v>53271669</v>
      </c>
      <c r="AO16" s="297">
        <f>F16</f>
        <v>3638065</v>
      </c>
      <c r="AP16" s="297">
        <f>G16</f>
        <v>0</v>
      </c>
      <c r="AQ16" s="297">
        <f>H16</f>
        <v>0</v>
      </c>
      <c r="AR16" s="297">
        <f>SUM(AO16:AQ16)</f>
        <v>3638065</v>
      </c>
      <c r="AS16" s="297">
        <f>J16</f>
        <v>0</v>
      </c>
      <c r="AT16" s="297">
        <f>AH16</f>
        <v>0</v>
      </c>
      <c r="AU16" s="297">
        <f>K16</f>
        <v>0</v>
      </c>
      <c r="AV16" s="297">
        <f>SUM(AS16:AU16)</f>
        <v>0</v>
      </c>
      <c r="AW16" s="297">
        <f>M16</f>
        <v>0</v>
      </c>
      <c r="AX16" s="297">
        <f>AW16</f>
        <v>0</v>
      </c>
      <c r="AY16" s="297">
        <f>AK16+AO16+AS16+AW16</f>
        <v>52955078</v>
      </c>
      <c r="AZ16" s="297">
        <f>AL16+AP16+AT16</f>
        <v>0</v>
      </c>
      <c r="BA16" s="297">
        <f>AM16+AQ16+AU16</f>
        <v>3954656</v>
      </c>
      <c r="BB16" s="297">
        <f>SUM(AY16:BA16)</f>
        <v>56909734</v>
      </c>
      <c r="BC16" s="293"/>
      <c r="BD16" s="293"/>
      <c r="BE16" s="5">
        <f>BB16/'Monthly D4 Gallon Data'!AX14</f>
        <v>1.5108736285956856</v>
      </c>
    </row>
    <row r="17" spans="1:57" s="294" customFormat="1" ht="13.5" hidden="1" thickBot="1">
      <c r="A17" s="170">
        <v>40575</v>
      </c>
      <c r="B17" s="290">
        <v>62304416</v>
      </c>
      <c r="C17" s="290">
        <v>0</v>
      </c>
      <c r="D17" s="290">
        <v>2004085</v>
      </c>
      <c r="E17" s="291">
        <f t="shared" si="0"/>
        <v>64308501</v>
      </c>
      <c r="F17" s="290">
        <f t="shared" si="6"/>
        <v>378648</v>
      </c>
      <c r="G17" s="290">
        <f t="shared" si="7"/>
        <v>0</v>
      </c>
      <c r="H17" s="290">
        <f t="shared" si="8"/>
        <v>0</v>
      </c>
      <c r="I17" s="291">
        <f t="shared" si="1"/>
        <v>378648</v>
      </c>
      <c r="J17" s="290">
        <f t="shared" si="9"/>
        <v>0</v>
      </c>
      <c r="K17" s="290">
        <v>0</v>
      </c>
      <c r="L17" s="291">
        <f t="shared" si="2"/>
        <v>0</v>
      </c>
      <c r="M17" s="290">
        <f t="shared" si="10"/>
        <v>0</v>
      </c>
      <c r="N17" s="291">
        <f t="shared" si="11"/>
        <v>0</v>
      </c>
      <c r="O17" s="291">
        <f t="shared" si="3"/>
        <v>62683064</v>
      </c>
      <c r="P17" s="291">
        <f t="shared" si="12"/>
        <v>0</v>
      </c>
      <c r="Q17" s="291">
        <f t="shared" si="4"/>
        <v>2004085</v>
      </c>
      <c r="R17" s="291">
        <f t="shared" si="13"/>
        <v>64687149</v>
      </c>
      <c r="S17" s="290">
        <v>0</v>
      </c>
      <c r="T17" s="292">
        <v>378648</v>
      </c>
      <c r="U17" s="292">
        <v>0</v>
      </c>
      <c r="V17" s="292">
        <f t="shared" si="14"/>
        <v>378648</v>
      </c>
      <c r="W17" s="290">
        <v>0</v>
      </c>
      <c r="X17" s="290">
        <v>0</v>
      </c>
      <c r="Y17" s="290">
        <v>0</v>
      </c>
      <c r="Z17" s="292">
        <f t="shared" si="15"/>
        <v>0</v>
      </c>
      <c r="AA17" s="290">
        <v>0</v>
      </c>
      <c r="AB17" s="290">
        <v>0</v>
      </c>
      <c r="AC17" s="290">
        <v>0</v>
      </c>
      <c r="AD17" s="292">
        <f t="shared" si="16"/>
        <v>0</v>
      </c>
      <c r="AE17" s="292">
        <v>0</v>
      </c>
      <c r="AF17" s="292">
        <v>0</v>
      </c>
      <c r="AG17" s="292">
        <f t="shared" si="17"/>
        <v>0</v>
      </c>
      <c r="AH17" s="292">
        <v>0</v>
      </c>
      <c r="AI17" s="292">
        <f t="shared" si="5"/>
        <v>0</v>
      </c>
      <c r="AJ17" s="292">
        <f t="shared" si="18"/>
        <v>0</v>
      </c>
      <c r="AK17" s="292">
        <f>AK16+B17</f>
        <v>111621429</v>
      </c>
      <c r="AL17" s="292">
        <f t="shared" ref="AL17:AM27" si="32">AL16+C17</f>
        <v>0</v>
      </c>
      <c r="AM17" s="292">
        <f t="shared" si="32"/>
        <v>5958741</v>
      </c>
      <c r="AN17" s="292">
        <f>SUM(AK17:AM17)</f>
        <v>117580170</v>
      </c>
      <c r="AO17" s="292">
        <f>AO16+F17</f>
        <v>4016713</v>
      </c>
      <c r="AP17" s="292">
        <f t="shared" ref="AP17:AQ27" si="33">AP16+G17</f>
        <v>0</v>
      </c>
      <c r="AQ17" s="292">
        <f t="shared" si="33"/>
        <v>0</v>
      </c>
      <c r="AR17" s="292">
        <f>SUM(AO17:AQ17)</f>
        <v>4016713</v>
      </c>
      <c r="AS17" s="292">
        <f>AS16+J17</f>
        <v>0</v>
      </c>
      <c r="AT17" s="292">
        <f>AT16+AH17</f>
        <v>0</v>
      </c>
      <c r="AU17" s="292">
        <f>AU16+K17</f>
        <v>0</v>
      </c>
      <c r="AV17" s="292">
        <f>SUM(AS17:AU17)</f>
        <v>0</v>
      </c>
      <c r="AW17" s="292">
        <f>AW16+M17</f>
        <v>0</v>
      </c>
      <c r="AX17" s="292">
        <f>AW17</f>
        <v>0</v>
      </c>
      <c r="AY17" s="292">
        <f>AK17+AO17+AS17+AW17</f>
        <v>115638142</v>
      </c>
      <c r="AZ17" s="292">
        <f>AL17+AP17+AT17</f>
        <v>0</v>
      </c>
      <c r="BA17" s="292">
        <f>AM17+AQ17+AU17</f>
        <v>5958741</v>
      </c>
      <c r="BB17" s="292">
        <f>SUM(AY17:BA17)</f>
        <v>121596883</v>
      </c>
      <c r="BC17" s="293"/>
      <c r="BD17" s="293"/>
      <c r="BE17" s="5">
        <f>BB17/'Monthly D4 Gallon Data'!AX15</f>
        <v>1.505371969678803</v>
      </c>
    </row>
    <row r="18" spans="1:57" s="294" customFormat="1" ht="13.5" hidden="1" thickBot="1">
      <c r="A18" s="170">
        <v>40603</v>
      </c>
      <c r="B18" s="290">
        <v>95015057</v>
      </c>
      <c r="C18" s="290">
        <v>0</v>
      </c>
      <c r="D18" s="290">
        <v>6941490</v>
      </c>
      <c r="E18" s="291">
        <f t="shared" si="0"/>
        <v>101956547</v>
      </c>
      <c r="F18" s="290">
        <f t="shared" si="6"/>
        <v>3981328</v>
      </c>
      <c r="G18" s="290">
        <f t="shared" si="7"/>
        <v>0</v>
      </c>
      <c r="H18" s="290">
        <f t="shared" si="8"/>
        <v>0</v>
      </c>
      <c r="I18" s="291">
        <f t="shared" si="1"/>
        <v>3981328</v>
      </c>
      <c r="J18" s="290">
        <f t="shared" si="9"/>
        <v>0</v>
      </c>
      <c r="K18" s="290">
        <v>0</v>
      </c>
      <c r="L18" s="291">
        <f t="shared" si="2"/>
        <v>0</v>
      </c>
      <c r="M18" s="290">
        <f t="shared" si="10"/>
        <v>0</v>
      </c>
      <c r="N18" s="291">
        <f t="shared" si="11"/>
        <v>0</v>
      </c>
      <c r="O18" s="291">
        <f t="shared" si="3"/>
        <v>98996385</v>
      </c>
      <c r="P18" s="291">
        <f t="shared" si="12"/>
        <v>0</v>
      </c>
      <c r="Q18" s="291">
        <f t="shared" si="4"/>
        <v>6941490</v>
      </c>
      <c r="R18" s="291">
        <f t="shared" si="13"/>
        <v>105937875</v>
      </c>
      <c r="S18" s="290">
        <v>0</v>
      </c>
      <c r="T18" s="292">
        <v>1208043</v>
      </c>
      <c r="U18" s="292">
        <v>2773285</v>
      </c>
      <c r="V18" s="292">
        <f t="shared" si="14"/>
        <v>3981328</v>
      </c>
      <c r="W18" s="290">
        <v>0</v>
      </c>
      <c r="X18" s="290">
        <v>0</v>
      </c>
      <c r="Y18" s="290">
        <v>0</v>
      </c>
      <c r="Z18" s="292">
        <f t="shared" si="15"/>
        <v>0</v>
      </c>
      <c r="AA18" s="290">
        <v>0</v>
      </c>
      <c r="AB18" s="290">
        <v>0</v>
      </c>
      <c r="AC18" s="290">
        <v>0</v>
      </c>
      <c r="AD18" s="292">
        <f t="shared" si="16"/>
        <v>0</v>
      </c>
      <c r="AE18" s="292">
        <v>0</v>
      </c>
      <c r="AF18" s="292">
        <v>0</v>
      </c>
      <c r="AG18" s="292">
        <f t="shared" si="17"/>
        <v>0</v>
      </c>
      <c r="AH18" s="292">
        <v>0</v>
      </c>
      <c r="AI18" s="292">
        <f t="shared" si="5"/>
        <v>0</v>
      </c>
      <c r="AJ18" s="292">
        <f t="shared" si="18"/>
        <v>0</v>
      </c>
      <c r="AK18" s="292">
        <f t="shared" ref="AK18:AK27" si="34">AK17+B18</f>
        <v>206636486</v>
      </c>
      <c r="AL18" s="292">
        <f t="shared" si="32"/>
        <v>0</v>
      </c>
      <c r="AM18" s="292">
        <f t="shared" si="32"/>
        <v>12900231</v>
      </c>
      <c r="AN18" s="292">
        <f t="shared" ref="AN18:AN27" si="35">SUM(AK18:AM18)</f>
        <v>219536717</v>
      </c>
      <c r="AO18" s="292">
        <f t="shared" ref="AO18:AO27" si="36">AO17+F18</f>
        <v>7998041</v>
      </c>
      <c r="AP18" s="292">
        <f t="shared" si="33"/>
        <v>0</v>
      </c>
      <c r="AQ18" s="292">
        <f t="shared" si="33"/>
        <v>0</v>
      </c>
      <c r="AR18" s="292">
        <f t="shared" ref="AR18:AR27" si="37">SUM(AO18:AQ18)</f>
        <v>7998041</v>
      </c>
      <c r="AS18" s="292">
        <f t="shared" ref="AS18:AS27" si="38">AS17+J18</f>
        <v>0</v>
      </c>
      <c r="AT18" s="292">
        <f t="shared" ref="AT18:AT27" si="39">AT17+AH18</f>
        <v>0</v>
      </c>
      <c r="AU18" s="292">
        <f t="shared" ref="AU18:AU27" si="40">AU17+K18</f>
        <v>0</v>
      </c>
      <c r="AV18" s="292">
        <f t="shared" ref="AV18:AV27" si="41">SUM(AS18:AU18)</f>
        <v>0</v>
      </c>
      <c r="AW18" s="292">
        <f t="shared" ref="AW18:AW27" si="42">AW17+M18</f>
        <v>0</v>
      </c>
      <c r="AX18" s="292">
        <f t="shared" ref="AX18:AX27" si="43">AW18</f>
        <v>0</v>
      </c>
      <c r="AY18" s="292">
        <f t="shared" ref="AY18:AY27" si="44">AK18+AO18+AS18+AW18</f>
        <v>214634527</v>
      </c>
      <c r="AZ18" s="292">
        <f t="shared" ref="AZ18:BA27" si="45">AL18+AP18+AT18</f>
        <v>0</v>
      </c>
      <c r="BA18" s="292">
        <f t="shared" si="45"/>
        <v>12900231</v>
      </c>
      <c r="BB18" s="292">
        <f t="shared" ref="BB18:BB27" si="46">SUM(AY18:BA18)</f>
        <v>227534758</v>
      </c>
      <c r="BC18" s="293"/>
      <c r="BD18" s="293"/>
      <c r="BE18" s="5">
        <f>BB18/'Monthly D4 Gallon Data'!AX16</f>
        <v>1.5055378589429784</v>
      </c>
    </row>
    <row r="19" spans="1:57" s="294" customFormat="1" ht="13.5" hidden="1" thickBot="1">
      <c r="A19" s="170">
        <v>40634</v>
      </c>
      <c r="B19" s="290">
        <v>105452128</v>
      </c>
      <c r="C19" s="290">
        <v>0</v>
      </c>
      <c r="D19" s="290">
        <v>3317642</v>
      </c>
      <c r="E19" s="291">
        <f t="shared" si="0"/>
        <v>108769770</v>
      </c>
      <c r="F19" s="290">
        <f t="shared" si="6"/>
        <v>2829210</v>
      </c>
      <c r="G19" s="290">
        <f t="shared" si="7"/>
        <v>0</v>
      </c>
      <c r="H19" s="290">
        <f t="shared" si="8"/>
        <v>0</v>
      </c>
      <c r="I19" s="291">
        <f t="shared" si="1"/>
        <v>2829210</v>
      </c>
      <c r="J19" s="290">
        <f t="shared" si="9"/>
        <v>0</v>
      </c>
      <c r="K19" s="290">
        <v>0</v>
      </c>
      <c r="L19" s="291">
        <f t="shared" si="2"/>
        <v>0</v>
      </c>
      <c r="M19" s="290">
        <f t="shared" si="10"/>
        <v>0</v>
      </c>
      <c r="N19" s="291">
        <f t="shared" si="11"/>
        <v>0</v>
      </c>
      <c r="O19" s="291">
        <f t="shared" si="3"/>
        <v>108281338</v>
      </c>
      <c r="P19" s="291">
        <f t="shared" si="12"/>
        <v>0</v>
      </c>
      <c r="Q19" s="291">
        <f t="shared" si="4"/>
        <v>3317642</v>
      </c>
      <c r="R19" s="291">
        <f t="shared" si="13"/>
        <v>111598980</v>
      </c>
      <c r="S19" s="290">
        <v>0</v>
      </c>
      <c r="T19" s="292">
        <v>626221</v>
      </c>
      <c r="U19" s="292">
        <v>2202989</v>
      </c>
      <c r="V19" s="292">
        <f t="shared" si="14"/>
        <v>2829210</v>
      </c>
      <c r="W19" s="290">
        <v>0</v>
      </c>
      <c r="X19" s="290">
        <v>0</v>
      </c>
      <c r="Y19" s="290">
        <v>0</v>
      </c>
      <c r="Z19" s="292">
        <f t="shared" si="15"/>
        <v>0</v>
      </c>
      <c r="AA19" s="290">
        <v>0</v>
      </c>
      <c r="AB19" s="290">
        <v>0</v>
      </c>
      <c r="AC19" s="290">
        <v>0</v>
      </c>
      <c r="AD19" s="292">
        <f t="shared" si="16"/>
        <v>0</v>
      </c>
      <c r="AE19" s="292">
        <v>0</v>
      </c>
      <c r="AF19" s="292">
        <v>0</v>
      </c>
      <c r="AG19" s="292">
        <f t="shared" si="17"/>
        <v>0</v>
      </c>
      <c r="AH19" s="292">
        <v>0</v>
      </c>
      <c r="AI19" s="292">
        <f t="shared" si="5"/>
        <v>0</v>
      </c>
      <c r="AJ19" s="292">
        <f t="shared" si="18"/>
        <v>0</v>
      </c>
      <c r="AK19" s="292">
        <f t="shared" si="34"/>
        <v>312088614</v>
      </c>
      <c r="AL19" s="292">
        <f t="shared" si="32"/>
        <v>0</v>
      </c>
      <c r="AM19" s="292">
        <f t="shared" si="32"/>
        <v>16217873</v>
      </c>
      <c r="AN19" s="292">
        <f t="shared" si="35"/>
        <v>328306487</v>
      </c>
      <c r="AO19" s="292">
        <f t="shared" si="36"/>
        <v>10827251</v>
      </c>
      <c r="AP19" s="292">
        <f t="shared" si="33"/>
        <v>0</v>
      </c>
      <c r="AQ19" s="292">
        <f t="shared" si="33"/>
        <v>0</v>
      </c>
      <c r="AR19" s="292">
        <f t="shared" si="37"/>
        <v>10827251</v>
      </c>
      <c r="AS19" s="292">
        <f t="shared" si="38"/>
        <v>0</v>
      </c>
      <c r="AT19" s="292">
        <f t="shared" si="39"/>
        <v>0</v>
      </c>
      <c r="AU19" s="292">
        <f t="shared" si="40"/>
        <v>0</v>
      </c>
      <c r="AV19" s="292">
        <f t="shared" si="41"/>
        <v>0</v>
      </c>
      <c r="AW19" s="292">
        <f t="shared" si="42"/>
        <v>0</v>
      </c>
      <c r="AX19" s="292">
        <f t="shared" si="43"/>
        <v>0</v>
      </c>
      <c r="AY19" s="292">
        <f t="shared" si="44"/>
        <v>322915865</v>
      </c>
      <c r="AZ19" s="292">
        <f t="shared" si="45"/>
        <v>0</v>
      </c>
      <c r="BA19" s="292">
        <f t="shared" si="45"/>
        <v>16217873</v>
      </c>
      <c r="BB19" s="292">
        <f t="shared" si="46"/>
        <v>339133738</v>
      </c>
      <c r="BC19" s="293"/>
      <c r="BD19" s="293"/>
      <c r="BE19" s="5">
        <f>BB19/'Monthly D4 Gallon Data'!AX17</f>
        <v>1.5050437270228791</v>
      </c>
    </row>
    <row r="20" spans="1:57" s="294" customFormat="1" ht="13.5" hidden="1" thickBot="1">
      <c r="A20" s="170">
        <v>40664</v>
      </c>
      <c r="B20" s="290">
        <v>116341988</v>
      </c>
      <c r="C20" s="290">
        <v>0</v>
      </c>
      <c r="D20" s="290">
        <v>3374894</v>
      </c>
      <c r="E20" s="291">
        <f t="shared" si="0"/>
        <v>119716882</v>
      </c>
      <c r="F20" s="290">
        <f t="shared" si="6"/>
        <v>5264355</v>
      </c>
      <c r="G20" s="290">
        <f t="shared" si="7"/>
        <v>0</v>
      </c>
      <c r="H20" s="290">
        <f t="shared" si="8"/>
        <v>0</v>
      </c>
      <c r="I20" s="291">
        <f t="shared" si="1"/>
        <v>5264355</v>
      </c>
      <c r="J20" s="290">
        <f t="shared" si="9"/>
        <v>0</v>
      </c>
      <c r="K20" s="290">
        <v>0</v>
      </c>
      <c r="L20" s="291">
        <f t="shared" si="2"/>
        <v>0</v>
      </c>
      <c r="M20" s="290">
        <f t="shared" si="10"/>
        <v>0</v>
      </c>
      <c r="N20" s="291">
        <f t="shared" si="11"/>
        <v>0</v>
      </c>
      <c r="O20" s="291">
        <f t="shared" si="3"/>
        <v>121606343</v>
      </c>
      <c r="P20" s="291">
        <f t="shared" si="12"/>
        <v>0</v>
      </c>
      <c r="Q20" s="291">
        <f t="shared" si="4"/>
        <v>3374894</v>
      </c>
      <c r="R20" s="291">
        <f t="shared" si="13"/>
        <v>124981237</v>
      </c>
      <c r="S20" s="290">
        <v>0</v>
      </c>
      <c r="T20" s="292">
        <v>1315440</v>
      </c>
      <c r="U20" s="292">
        <v>3948915</v>
      </c>
      <c r="V20" s="292">
        <f t="shared" si="14"/>
        <v>5264355</v>
      </c>
      <c r="W20" s="290">
        <v>0</v>
      </c>
      <c r="X20" s="290">
        <v>0</v>
      </c>
      <c r="Y20" s="290">
        <v>0</v>
      </c>
      <c r="Z20" s="292">
        <f t="shared" si="15"/>
        <v>0</v>
      </c>
      <c r="AA20" s="290">
        <v>0</v>
      </c>
      <c r="AB20" s="290">
        <v>0</v>
      </c>
      <c r="AC20" s="290">
        <v>0</v>
      </c>
      <c r="AD20" s="292">
        <f t="shared" si="16"/>
        <v>0</v>
      </c>
      <c r="AE20" s="292">
        <v>0</v>
      </c>
      <c r="AF20" s="292">
        <v>0</v>
      </c>
      <c r="AG20" s="292">
        <f t="shared" si="17"/>
        <v>0</v>
      </c>
      <c r="AH20" s="292">
        <v>0</v>
      </c>
      <c r="AI20" s="292">
        <f t="shared" si="5"/>
        <v>0</v>
      </c>
      <c r="AJ20" s="292">
        <f t="shared" si="18"/>
        <v>0</v>
      </c>
      <c r="AK20" s="292">
        <f t="shared" si="34"/>
        <v>428430602</v>
      </c>
      <c r="AL20" s="292">
        <f t="shared" si="32"/>
        <v>0</v>
      </c>
      <c r="AM20" s="292">
        <f t="shared" si="32"/>
        <v>19592767</v>
      </c>
      <c r="AN20" s="292">
        <f t="shared" si="35"/>
        <v>448023369</v>
      </c>
      <c r="AO20" s="292">
        <f t="shared" si="36"/>
        <v>16091606</v>
      </c>
      <c r="AP20" s="292">
        <f t="shared" si="33"/>
        <v>0</v>
      </c>
      <c r="AQ20" s="292">
        <f t="shared" si="33"/>
        <v>0</v>
      </c>
      <c r="AR20" s="292">
        <f t="shared" si="37"/>
        <v>16091606</v>
      </c>
      <c r="AS20" s="292">
        <f t="shared" si="38"/>
        <v>0</v>
      </c>
      <c r="AT20" s="292">
        <f t="shared" si="39"/>
        <v>0</v>
      </c>
      <c r="AU20" s="292">
        <f t="shared" si="40"/>
        <v>0</v>
      </c>
      <c r="AV20" s="292">
        <f t="shared" si="41"/>
        <v>0</v>
      </c>
      <c r="AW20" s="292">
        <f t="shared" si="42"/>
        <v>0</v>
      </c>
      <c r="AX20" s="292">
        <f t="shared" si="43"/>
        <v>0</v>
      </c>
      <c r="AY20" s="292">
        <f t="shared" si="44"/>
        <v>444522208</v>
      </c>
      <c r="AZ20" s="292">
        <f t="shared" si="45"/>
        <v>0</v>
      </c>
      <c r="BA20" s="292">
        <f t="shared" si="45"/>
        <v>19592767</v>
      </c>
      <c r="BB20" s="292">
        <f t="shared" si="46"/>
        <v>464114975</v>
      </c>
      <c r="BC20" s="293"/>
      <c r="BD20" s="293"/>
      <c r="BE20" s="5">
        <f>BB20/'Monthly D4 Gallon Data'!AX18</f>
        <v>1.5054653798671325</v>
      </c>
    </row>
    <row r="21" spans="1:57" s="294" customFormat="1" ht="13.5" hidden="1" thickBot="1">
      <c r="A21" s="170">
        <v>40695</v>
      </c>
      <c r="B21" s="290">
        <v>116676585</v>
      </c>
      <c r="C21" s="290">
        <v>0</v>
      </c>
      <c r="D21" s="290">
        <v>5265168</v>
      </c>
      <c r="E21" s="291">
        <f t="shared" si="0"/>
        <v>121941753</v>
      </c>
      <c r="F21" s="290">
        <f t="shared" si="6"/>
        <v>6209815</v>
      </c>
      <c r="G21" s="290">
        <f t="shared" si="7"/>
        <v>0</v>
      </c>
      <c r="H21" s="290">
        <f t="shared" si="8"/>
        <v>0</v>
      </c>
      <c r="I21" s="291">
        <f t="shared" si="1"/>
        <v>6209815</v>
      </c>
      <c r="J21" s="290">
        <f t="shared" si="9"/>
        <v>0</v>
      </c>
      <c r="K21" s="290">
        <v>0</v>
      </c>
      <c r="L21" s="291">
        <f t="shared" si="2"/>
        <v>0</v>
      </c>
      <c r="M21" s="290">
        <f t="shared" si="10"/>
        <v>0</v>
      </c>
      <c r="N21" s="291">
        <f t="shared" si="11"/>
        <v>0</v>
      </c>
      <c r="O21" s="291">
        <f t="shared" si="3"/>
        <v>122886400</v>
      </c>
      <c r="P21" s="291">
        <f t="shared" si="12"/>
        <v>0</v>
      </c>
      <c r="Q21" s="291">
        <f t="shared" si="4"/>
        <v>5265168</v>
      </c>
      <c r="R21" s="291">
        <f t="shared" si="13"/>
        <v>128151568</v>
      </c>
      <c r="S21" s="290">
        <v>0</v>
      </c>
      <c r="T21" s="292">
        <v>2463521</v>
      </c>
      <c r="U21" s="292">
        <v>3746294</v>
      </c>
      <c r="V21" s="292">
        <f t="shared" si="14"/>
        <v>6209815</v>
      </c>
      <c r="W21" s="290">
        <v>0</v>
      </c>
      <c r="X21" s="290">
        <v>0</v>
      </c>
      <c r="Y21" s="290">
        <v>0</v>
      </c>
      <c r="Z21" s="292">
        <f t="shared" si="15"/>
        <v>0</v>
      </c>
      <c r="AA21" s="290">
        <v>0</v>
      </c>
      <c r="AB21" s="290">
        <v>0</v>
      </c>
      <c r="AC21" s="290">
        <v>0</v>
      </c>
      <c r="AD21" s="292">
        <f t="shared" si="16"/>
        <v>0</v>
      </c>
      <c r="AE21" s="292">
        <v>0</v>
      </c>
      <c r="AF21" s="292">
        <v>0</v>
      </c>
      <c r="AG21" s="292">
        <f t="shared" si="17"/>
        <v>0</v>
      </c>
      <c r="AH21" s="292">
        <v>0</v>
      </c>
      <c r="AI21" s="292">
        <f t="shared" si="5"/>
        <v>0</v>
      </c>
      <c r="AJ21" s="292">
        <f t="shared" si="18"/>
        <v>0</v>
      </c>
      <c r="AK21" s="292">
        <f t="shared" si="34"/>
        <v>545107187</v>
      </c>
      <c r="AL21" s="292">
        <f t="shared" si="32"/>
        <v>0</v>
      </c>
      <c r="AM21" s="292">
        <f t="shared" si="32"/>
        <v>24857935</v>
      </c>
      <c r="AN21" s="292">
        <f t="shared" si="35"/>
        <v>569965122</v>
      </c>
      <c r="AO21" s="292">
        <f t="shared" si="36"/>
        <v>22301421</v>
      </c>
      <c r="AP21" s="292">
        <f t="shared" si="33"/>
        <v>0</v>
      </c>
      <c r="AQ21" s="292">
        <f t="shared" si="33"/>
        <v>0</v>
      </c>
      <c r="AR21" s="292">
        <f t="shared" si="37"/>
        <v>22301421</v>
      </c>
      <c r="AS21" s="292">
        <f t="shared" si="38"/>
        <v>0</v>
      </c>
      <c r="AT21" s="292">
        <f t="shared" si="39"/>
        <v>0</v>
      </c>
      <c r="AU21" s="292">
        <f t="shared" si="40"/>
        <v>0</v>
      </c>
      <c r="AV21" s="292">
        <f t="shared" si="41"/>
        <v>0</v>
      </c>
      <c r="AW21" s="292">
        <f t="shared" si="42"/>
        <v>0</v>
      </c>
      <c r="AX21" s="292">
        <f t="shared" si="43"/>
        <v>0</v>
      </c>
      <c r="AY21" s="292">
        <f t="shared" si="44"/>
        <v>567408608</v>
      </c>
      <c r="AZ21" s="292">
        <f t="shared" si="45"/>
        <v>0</v>
      </c>
      <c r="BA21" s="292">
        <f t="shared" si="45"/>
        <v>24857935</v>
      </c>
      <c r="BB21" s="292">
        <f t="shared" si="46"/>
        <v>592266543</v>
      </c>
      <c r="BC21" s="293"/>
      <c r="BD21" s="293"/>
      <c r="BE21" s="5">
        <f>BB21/'Monthly D4 Gallon Data'!AX19</f>
        <v>1.505800168795929</v>
      </c>
    </row>
    <row r="22" spans="1:57" s="294" customFormat="1" ht="13.5" hidden="1" thickBot="1">
      <c r="A22" s="170">
        <v>40725</v>
      </c>
      <c r="B22" s="290">
        <v>130317412</v>
      </c>
      <c r="C22" s="290">
        <v>0</v>
      </c>
      <c r="D22" s="290">
        <v>3781710</v>
      </c>
      <c r="E22" s="291">
        <f t="shared" si="0"/>
        <v>134099122</v>
      </c>
      <c r="F22" s="290">
        <f t="shared" si="6"/>
        <v>9463537</v>
      </c>
      <c r="G22" s="290">
        <f t="shared" si="7"/>
        <v>0</v>
      </c>
      <c r="H22" s="290">
        <f t="shared" si="8"/>
        <v>0</v>
      </c>
      <c r="I22" s="291">
        <f t="shared" si="1"/>
        <v>9463537</v>
      </c>
      <c r="J22" s="290">
        <f t="shared" si="9"/>
        <v>0</v>
      </c>
      <c r="K22" s="290">
        <v>0</v>
      </c>
      <c r="L22" s="291">
        <f t="shared" si="2"/>
        <v>0</v>
      </c>
      <c r="M22" s="290">
        <f t="shared" si="10"/>
        <v>0</v>
      </c>
      <c r="N22" s="291">
        <f t="shared" si="11"/>
        <v>0</v>
      </c>
      <c r="O22" s="291">
        <f t="shared" si="3"/>
        <v>139780949</v>
      </c>
      <c r="P22" s="291">
        <f t="shared" si="12"/>
        <v>0</v>
      </c>
      <c r="Q22" s="291">
        <f t="shared" si="4"/>
        <v>3781710</v>
      </c>
      <c r="R22" s="291">
        <f t="shared" si="13"/>
        <v>143562659</v>
      </c>
      <c r="S22" s="292">
        <v>42906</v>
      </c>
      <c r="T22" s="292">
        <v>2333297</v>
      </c>
      <c r="U22" s="292">
        <v>7087334</v>
      </c>
      <c r="V22" s="292">
        <f t="shared" si="14"/>
        <v>9463537</v>
      </c>
      <c r="W22" s="290">
        <v>0</v>
      </c>
      <c r="X22" s="290">
        <v>0</v>
      </c>
      <c r="Y22" s="290">
        <v>0</v>
      </c>
      <c r="Z22" s="292">
        <f t="shared" si="15"/>
        <v>0</v>
      </c>
      <c r="AA22" s="290">
        <v>0</v>
      </c>
      <c r="AB22" s="290">
        <v>0</v>
      </c>
      <c r="AC22" s="290">
        <v>0</v>
      </c>
      <c r="AD22" s="292">
        <f t="shared" si="16"/>
        <v>0</v>
      </c>
      <c r="AE22" s="292">
        <v>0</v>
      </c>
      <c r="AF22" s="292">
        <v>0</v>
      </c>
      <c r="AG22" s="292">
        <f t="shared" si="17"/>
        <v>0</v>
      </c>
      <c r="AH22" s="292">
        <v>0</v>
      </c>
      <c r="AI22" s="292">
        <f t="shared" si="5"/>
        <v>0</v>
      </c>
      <c r="AJ22" s="292">
        <f t="shared" si="18"/>
        <v>0</v>
      </c>
      <c r="AK22" s="292">
        <f t="shared" si="34"/>
        <v>675424599</v>
      </c>
      <c r="AL22" s="292">
        <f t="shared" si="32"/>
        <v>0</v>
      </c>
      <c r="AM22" s="292">
        <f t="shared" si="32"/>
        <v>28639645</v>
      </c>
      <c r="AN22" s="292">
        <f t="shared" si="35"/>
        <v>704064244</v>
      </c>
      <c r="AO22" s="292">
        <f t="shared" si="36"/>
        <v>31764958</v>
      </c>
      <c r="AP22" s="292">
        <f t="shared" si="33"/>
        <v>0</v>
      </c>
      <c r="AQ22" s="292">
        <f t="shared" si="33"/>
        <v>0</v>
      </c>
      <c r="AR22" s="292">
        <f t="shared" si="37"/>
        <v>31764958</v>
      </c>
      <c r="AS22" s="292">
        <f t="shared" si="38"/>
        <v>0</v>
      </c>
      <c r="AT22" s="292">
        <f t="shared" si="39"/>
        <v>0</v>
      </c>
      <c r="AU22" s="292">
        <f t="shared" si="40"/>
        <v>0</v>
      </c>
      <c r="AV22" s="292">
        <f t="shared" si="41"/>
        <v>0</v>
      </c>
      <c r="AW22" s="292">
        <f t="shared" si="42"/>
        <v>0</v>
      </c>
      <c r="AX22" s="292">
        <f t="shared" si="43"/>
        <v>0</v>
      </c>
      <c r="AY22" s="292">
        <f t="shared" si="44"/>
        <v>707189557</v>
      </c>
      <c r="AZ22" s="292">
        <f t="shared" si="45"/>
        <v>0</v>
      </c>
      <c r="BA22" s="292">
        <f t="shared" si="45"/>
        <v>28639645</v>
      </c>
      <c r="BB22" s="292">
        <f t="shared" si="46"/>
        <v>735829202</v>
      </c>
      <c r="BC22" s="293"/>
      <c r="BD22" s="293"/>
      <c r="BE22" s="5">
        <f>BB22/'Monthly D4 Gallon Data'!AX20</f>
        <v>1.5066808168917205</v>
      </c>
    </row>
    <row r="23" spans="1:57" s="294" customFormat="1" ht="13.5" hidden="1" thickBot="1">
      <c r="A23" s="170">
        <v>40756</v>
      </c>
      <c r="B23" s="290">
        <v>151122737</v>
      </c>
      <c r="C23" s="290">
        <v>0</v>
      </c>
      <c r="D23" s="290">
        <v>3875787</v>
      </c>
      <c r="E23" s="291">
        <f t="shared" si="0"/>
        <v>154998524</v>
      </c>
      <c r="F23" s="290">
        <f t="shared" si="6"/>
        <v>12218141</v>
      </c>
      <c r="G23" s="290">
        <f t="shared" si="7"/>
        <v>0</v>
      </c>
      <c r="H23" s="290">
        <f t="shared" si="8"/>
        <v>0</v>
      </c>
      <c r="I23" s="291">
        <f t="shared" si="1"/>
        <v>12218141</v>
      </c>
      <c r="J23" s="290">
        <f t="shared" si="9"/>
        <v>0</v>
      </c>
      <c r="K23" s="290">
        <v>0</v>
      </c>
      <c r="L23" s="291">
        <f t="shared" si="2"/>
        <v>0</v>
      </c>
      <c r="M23" s="290">
        <f t="shared" si="10"/>
        <v>0</v>
      </c>
      <c r="N23" s="291">
        <f t="shared" si="11"/>
        <v>0</v>
      </c>
      <c r="O23" s="291">
        <f t="shared" si="3"/>
        <v>163340878</v>
      </c>
      <c r="P23" s="291">
        <f t="shared" si="12"/>
        <v>0</v>
      </c>
      <c r="Q23" s="291">
        <f t="shared" si="4"/>
        <v>3875787</v>
      </c>
      <c r="R23" s="291">
        <f t="shared" si="13"/>
        <v>167216665</v>
      </c>
      <c r="S23" s="292">
        <v>98960</v>
      </c>
      <c r="T23" s="292">
        <v>2842891</v>
      </c>
      <c r="U23" s="292">
        <v>9276290</v>
      </c>
      <c r="V23" s="292">
        <f t="shared" si="14"/>
        <v>12218141</v>
      </c>
      <c r="W23" s="290">
        <v>0</v>
      </c>
      <c r="X23" s="290">
        <v>0</v>
      </c>
      <c r="Y23" s="290">
        <v>0</v>
      </c>
      <c r="Z23" s="292">
        <f t="shared" si="15"/>
        <v>0</v>
      </c>
      <c r="AA23" s="290">
        <v>0</v>
      </c>
      <c r="AB23" s="290">
        <v>0</v>
      </c>
      <c r="AC23" s="290">
        <v>0</v>
      </c>
      <c r="AD23" s="292">
        <f t="shared" si="16"/>
        <v>0</v>
      </c>
      <c r="AE23" s="292">
        <v>0</v>
      </c>
      <c r="AF23" s="292">
        <v>0</v>
      </c>
      <c r="AG23" s="292">
        <f t="shared" si="17"/>
        <v>0</v>
      </c>
      <c r="AH23" s="292">
        <v>0</v>
      </c>
      <c r="AI23" s="292">
        <f t="shared" si="5"/>
        <v>0</v>
      </c>
      <c r="AJ23" s="292">
        <f t="shared" si="18"/>
        <v>0</v>
      </c>
      <c r="AK23" s="292">
        <f t="shared" si="34"/>
        <v>826547336</v>
      </c>
      <c r="AL23" s="292">
        <f t="shared" si="32"/>
        <v>0</v>
      </c>
      <c r="AM23" s="292">
        <f t="shared" si="32"/>
        <v>32515432</v>
      </c>
      <c r="AN23" s="292">
        <f t="shared" si="35"/>
        <v>859062768</v>
      </c>
      <c r="AO23" s="292">
        <f t="shared" si="36"/>
        <v>43983099</v>
      </c>
      <c r="AP23" s="292">
        <f t="shared" si="33"/>
        <v>0</v>
      </c>
      <c r="AQ23" s="292">
        <f t="shared" si="33"/>
        <v>0</v>
      </c>
      <c r="AR23" s="292">
        <f t="shared" si="37"/>
        <v>43983099</v>
      </c>
      <c r="AS23" s="292">
        <f t="shared" si="38"/>
        <v>0</v>
      </c>
      <c r="AT23" s="292">
        <f t="shared" si="39"/>
        <v>0</v>
      </c>
      <c r="AU23" s="292">
        <f t="shared" si="40"/>
        <v>0</v>
      </c>
      <c r="AV23" s="292">
        <f t="shared" si="41"/>
        <v>0</v>
      </c>
      <c r="AW23" s="292">
        <f t="shared" si="42"/>
        <v>0</v>
      </c>
      <c r="AX23" s="292">
        <f t="shared" si="43"/>
        <v>0</v>
      </c>
      <c r="AY23" s="292">
        <f t="shared" si="44"/>
        <v>870530435</v>
      </c>
      <c r="AZ23" s="292">
        <f t="shared" si="45"/>
        <v>0</v>
      </c>
      <c r="BA23" s="292">
        <f t="shared" si="45"/>
        <v>32515432</v>
      </c>
      <c r="BB23" s="292">
        <f t="shared" si="46"/>
        <v>903045867</v>
      </c>
      <c r="BC23" s="293"/>
      <c r="BD23" s="293"/>
      <c r="BE23" s="5">
        <f>BB23/'Monthly D4 Gallon Data'!AX21</f>
        <v>1.5075691301530212</v>
      </c>
    </row>
    <row r="24" spans="1:57" s="294" customFormat="1" ht="13.5" hidden="1" thickBot="1">
      <c r="A24" s="170">
        <v>40787</v>
      </c>
      <c r="B24" s="290">
        <v>171125259</v>
      </c>
      <c r="C24" s="290">
        <v>0</v>
      </c>
      <c r="D24" s="290">
        <v>6967494</v>
      </c>
      <c r="E24" s="291">
        <f t="shared" si="0"/>
        <v>178092753</v>
      </c>
      <c r="F24" s="290">
        <f t="shared" si="6"/>
        <v>6619249</v>
      </c>
      <c r="G24" s="290">
        <f t="shared" si="7"/>
        <v>0</v>
      </c>
      <c r="H24" s="290">
        <f t="shared" si="8"/>
        <v>0</v>
      </c>
      <c r="I24" s="291">
        <f t="shared" si="1"/>
        <v>6619249</v>
      </c>
      <c r="J24" s="290">
        <f t="shared" si="9"/>
        <v>0</v>
      </c>
      <c r="K24" s="290">
        <v>0</v>
      </c>
      <c r="L24" s="291">
        <f t="shared" si="2"/>
        <v>0</v>
      </c>
      <c r="M24" s="290">
        <f t="shared" si="10"/>
        <v>0</v>
      </c>
      <c r="N24" s="291">
        <f t="shared" si="11"/>
        <v>0</v>
      </c>
      <c r="O24" s="291">
        <f t="shared" si="3"/>
        <v>177744508</v>
      </c>
      <c r="P24" s="291">
        <f t="shared" si="12"/>
        <v>0</v>
      </c>
      <c r="Q24" s="291">
        <f t="shared" si="4"/>
        <v>6967494</v>
      </c>
      <c r="R24" s="291">
        <f t="shared" si="13"/>
        <v>184712002</v>
      </c>
      <c r="S24" s="292">
        <v>23400</v>
      </c>
      <c r="T24" s="292">
        <v>3100743</v>
      </c>
      <c r="U24" s="292">
        <v>3495106</v>
      </c>
      <c r="V24" s="292">
        <f t="shared" si="14"/>
        <v>6619249</v>
      </c>
      <c r="W24" s="290">
        <v>0</v>
      </c>
      <c r="X24" s="290">
        <v>0</v>
      </c>
      <c r="Y24" s="290">
        <v>0</v>
      </c>
      <c r="Z24" s="292">
        <f t="shared" si="15"/>
        <v>0</v>
      </c>
      <c r="AA24" s="290">
        <v>0</v>
      </c>
      <c r="AB24" s="290">
        <v>0</v>
      </c>
      <c r="AC24" s="290">
        <v>0</v>
      </c>
      <c r="AD24" s="292">
        <f t="shared" si="16"/>
        <v>0</v>
      </c>
      <c r="AE24" s="292">
        <v>0</v>
      </c>
      <c r="AF24" s="292">
        <v>0</v>
      </c>
      <c r="AG24" s="292">
        <f t="shared" si="17"/>
        <v>0</v>
      </c>
      <c r="AH24" s="292">
        <v>0</v>
      </c>
      <c r="AI24" s="292">
        <f t="shared" si="5"/>
        <v>0</v>
      </c>
      <c r="AJ24" s="292">
        <f t="shared" si="18"/>
        <v>0</v>
      </c>
      <c r="AK24" s="292">
        <f t="shared" si="34"/>
        <v>997672595</v>
      </c>
      <c r="AL24" s="292">
        <f t="shared" si="32"/>
        <v>0</v>
      </c>
      <c r="AM24" s="292">
        <f t="shared" si="32"/>
        <v>39482926</v>
      </c>
      <c r="AN24" s="292">
        <f t="shared" si="35"/>
        <v>1037155521</v>
      </c>
      <c r="AO24" s="292">
        <f t="shared" si="36"/>
        <v>50602348</v>
      </c>
      <c r="AP24" s="292">
        <f t="shared" si="33"/>
        <v>0</v>
      </c>
      <c r="AQ24" s="292">
        <f t="shared" si="33"/>
        <v>0</v>
      </c>
      <c r="AR24" s="292">
        <f t="shared" si="37"/>
        <v>50602348</v>
      </c>
      <c r="AS24" s="292">
        <f t="shared" si="38"/>
        <v>0</v>
      </c>
      <c r="AT24" s="292">
        <f t="shared" si="39"/>
        <v>0</v>
      </c>
      <c r="AU24" s="292">
        <f t="shared" si="40"/>
        <v>0</v>
      </c>
      <c r="AV24" s="292">
        <f t="shared" si="41"/>
        <v>0</v>
      </c>
      <c r="AW24" s="292">
        <f t="shared" si="42"/>
        <v>0</v>
      </c>
      <c r="AX24" s="292">
        <f t="shared" si="43"/>
        <v>0</v>
      </c>
      <c r="AY24" s="292">
        <f t="shared" si="44"/>
        <v>1048274943</v>
      </c>
      <c r="AZ24" s="292">
        <f t="shared" si="45"/>
        <v>0</v>
      </c>
      <c r="BA24" s="292">
        <f t="shared" si="45"/>
        <v>39482926</v>
      </c>
      <c r="BB24" s="292">
        <f t="shared" si="46"/>
        <v>1087757869</v>
      </c>
      <c r="BC24" s="293"/>
      <c r="BD24" s="293"/>
      <c r="BE24" s="5">
        <f>BB24/'Monthly D4 Gallon Data'!AX22</f>
        <v>1.5071230818537156</v>
      </c>
    </row>
    <row r="25" spans="1:57" s="294" customFormat="1" ht="13.5" hidden="1" thickBot="1">
      <c r="A25" s="170">
        <v>40817</v>
      </c>
      <c r="B25" s="290">
        <v>167688075</v>
      </c>
      <c r="C25" s="290">
        <v>0</v>
      </c>
      <c r="D25" s="290">
        <v>6830065</v>
      </c>
      <c r="E25" s="291">
        <f t="shared" si="0"/>
        <v>174518140</v>
      </c>
      <c r="F25" s="290">
        <f t="shared" si="6"/>
        <v>9558694</v>
      </c>
      <c r="G25" s="290">
        <f t="shared" si="7"/>
        <v>0</v>
      </c>
      <c r="H25" s="290">
        <f t="shared" si="8"/>
        <v>0</v>
      </c>
      <c r="I25" s="291">
        <f t="shared" si="1"/>
        <v>9558694</v>
      </c>
      <c r="J25" s="290">
        <f t="shared" si="9"/>
        <v>0</v>
      </c>
      <c r="K25" s="290">
        <v>0</v>
      </c>
      <c r="L25" s="291">
        <f t="shared" si="2"/>
        <v>0</v>
      </c>
      <c r="M25" s="290">
        <f t="shared" si="10"/>
        <v>0</v>
      </c>
      <c r="N25" s="291">
        <f t="shared" si="11"/>
        <v>0</v>
      </c>
      <c r="O25" s="291">
        <f t="shared" si="3"/>
        <v>177246769</v>
      </c>
      <c r="P25" s="291">
        <f t="shared" si="12"/>
        <v>0</v>
      </c>
      <c r="Q25" s="291">
        <f t="shared" si="4"/>
        <v>6830065</v>
      </c>
      <c r="R25" s="291">
        <f t="shared" si="13"/>
        <v>184076834</v>
      </c>
      <c r="S25" s="292">
        <v>45000</v>
      </c>
      <c r="T25" s="292">
        <v>3857413</v>
      </c>
      <c r="U25" s="292">
        <v>5656281</v>
      </c>
      <c r="V25" s="292">
        <f t="shared" si="14"/>
        <v>9558694</v>
      </c>
      <c r="W25" s="290">
        <v>0</v>
      </c>
      <c r="X25" s="290">
        <v>0</v>
      </c>
      <c r="Y25" s="290">
        <v>0</v>
      </c>
      <c r="Z25" s="292">
        <f t="shared" si="15"/>
        <v>0</v>
      </c>
      <c r="AA25" s="290">
        <v>0</v>
      </c>
      <c r="AB25" s="290">
        <v>0</v>
      </c>
      <c r="AC25" s="290">
        <v>0</v>
      </c>
      <c r="AD25" s="292">
        <f t="shared" si="16"/>
        <v>0</v>
      </c>
      <c r="AE25" s="292">
        <v>0</v>
      </c>
      <c r="AF25" s="292">
        <v>0</v>
      </c>
      <c r="AG25" s="292">
        <f t="shared" si="17"/>
        <v>0</v>
      </c>
      <c r="AH25" s="292">
        <v>0</v>
      </c>
      <c r="AI25" s="292">
        <f t="shared" si="5"/>
        <v>0</v>
      </c>
      <c r="AJ25" s="292">
        <f t="shared" si="18"/>
        <v>0</v>
      </c>
      <c r="AK25" s="292">
        <f t="shared" si="34"/>
        <v>1165360670</v>
      </c>
      <c r="AL25" s="292">
        <f t="shared" si="32"/>
        <v>0</v>
      </c>
      <c r="AM25" s="292">
        <f t="shared" si="32"/>
        <v>46312991</v>
      </c>
      <c r="AN25" s="292">
        <f t="shared" si="35"/>
        <v>1211673661</v>
      </c>
      <c r="AO25" s="292">
        <f t="shared" si="36"/>
        <v>60161042</v>
      </c>
      <c r="AP25" s="292">
        <f t="shared" si="33"/>
        <v>0</v>
      </c>
      <c r="AQ25" s="292">
        <f t="shared" si="33"/>
        <v>0</v>
      </c>
      <c r="AR25" s="292">
        <f t="shared" si="37"/>
        <v>60161042</v>
      </c>
      <c r="AS25" s="292">
        <f t="shared" si="38"/>
        <v>0</v>
      </c>
      <c r="AT25" s="292">
        <f t="shared" si="39"/>
        <v>0</v>
      </c>
      <c r="AU25" s="292">
        <f t="shared" si="40"/>
        <v>0</v>
      </c>
      <c r="AV25" s="292">
        <f t="shared" si="41"/>
        <v>0</v>
      </c>
      <c r="AW25" s="292">
        <f t="shared" si="42"/>
        <v>0</v>
      </c>
      <c r="AX25" s="292">
        <f t="shared" si="43"/>
        <v>0</v>
      </c>
      <c r="AY25" s="292">
        <f t="shared" si="44"/>
        <v>1225521712</v>
      </c>
      <c r="AZ25" s="292">
        <f t="shared" si="45"/>
        <v>0</v>
      </c>
      <c r="BA25" s="292">
        <f t="shared" si="45"/>
        <v>46312991</v>
      </c>
      <c r="BB25" s="292">
        <f t="shared" si="46"/>
        <v>1271834703</v>
      </c>
      <c r="BC25" s="293"/>
      <c r="BD25" s="293"/>
      <c r="BE25" s="5">
        <f>BB25/'Monthly D4 Gallon Data'!AX23</f>
        <v>1.5071687703224188</v>
      </c>
    </row>
    <row r="26" spans="1:57" s="294" customFormat="1" ht="13.5" hidden="1" thickBot="1">
      <c r="A26" s="170">
        <v>40848</v>
      </c>
      <c r="B26" s="290">
        <v>157917245</v>
      </c>
      <c r="C26" s="290">
        <v>0</v>
      </c>
      <c r="D26" s="290">
        <v>4792044</v>
      </c>
      <c r="E26" s="291">
        <f t="shared" si="0"/>
        <v>162709289</v>
      </c>
      <c r="F26" s="290">
        <f t="shared" si="6"/>
        <v>6071995</v>
      </c>
      <c r="G26" s="290">
        <f t="shared" si="7"/>
        <v>0</v>
      </c>
      <c r="H26" s="290">
        <f t="shared" si="8"/>
        <v>0</v>
      </c>
      <c r="I26" s="291">
        <f t="shared" si="1"/>
        <v>6071995</v>
      </c>
      <c r="J26" s="290">
        <f t="shared" si="9"/>
        <v>0</v>
      </c>
      <c r="K26" s="290">
        <v>0</v>
      </c>
      <c r="L26" s="291">
        <f t="shared" si="2"/>
        <v>0</v>
      </c>
      <c r="M26" s="290">
        <f t="shared" si="10"/>
        <v>0</v>
      </c>
      <c r="N26" s="291">
        <f t="shared" si="11"/>
        <v>0</v>
      </c>
      <c r="O26" s="291">
        <f t="shared" si="3"/>
        <v>163989240</v>
      </c>
      <c r="P26" s="291">
        <f t="shared" si="12"/>
        <v>0</v>
      </c>
      <c r="Q26" s="291">
        <f t="shared" si="4"/>
        <v>4792044</v>
      </c>
      <c r="R26" s="291">
        <f t="shared" si="13"/>
        <v>168781284</v>
      </c>
      <c r="S26" s="292">
        <v>0</v>
      </c>
      <c r="T26" s="292">
        <v>3498972</v>
      </c>
      <c r="U26" s="292">
        <v>2573023</v>
      </c>
      <c r="V26" s="292">
        <f t="shared" si="14"/>
        <v>6071995</v>
      </c>
      <c r="W26" s="290">
        <v>0</v>
      </c>
      <c r="X26" s="290">
        <v>0</v>
      </c>
      <c r="Y26" s="290">
        <v>0</v>
      </c>
      <c r="Z26" s="292">
        <f t="shared" si="15"/>
        <v>0</v>
      </c>
      <c r="AA26" s="290">
        <v>0</v>
      </c>
      <c r="AB26" s="290">
        <v>0</v>
      </c>
      <c r="AC26" s="290">
        <v>0</v>
      </c>
      <c r="AD26" s="292">
        <f t="shared" si="16"/>
        <v>0</v>
      </c>
      <c r="AE26" s="292">
        <v>0</v>
      </c>
      <c r="AF26" s="292">
        <v>0</v>
      </c>
      <c r="AG26" s="292">
        <f t="shared" si="17"/>
        <v>0</v>
      </c>
      <c r="AH26" s="292">
        <v>0</v>
      </c>
      <c r="AI26" s="292">
        <f t="shared" si="5"/>
        <v>0</v>
      </c>
      <c r="AJ26" s="292">
        <f t="shared" si="18"/>
        <v>0</v>
      </c>
      <c r="AK26" s="292">
        <f t="shared" si="34"/>
        <v>1323277915</v>
      </c>
      <c r="AL26" s="292">
        <f t="shared" si="32"/>
        <v>0</v>
      </c>
      <c r="AM26" s="292">
        <f t="shared" si="32"/>
        <v>51105035</v>
      </c>
      <c r="AN26" s="292">
        <f t="shared" si="35"/>
        <v>1374382950</v>
      </c>
      <c r="AO26" s="292">
        <f t="shared" si="36"/>
        <v>66233037</v>
      </c>
      <c r="AP26" s="292">
        <f t="shared" si="33"/>
        <v>0</v>
      </c>
      <c r="AQ26" s="292">
        <f t="shared" si="33"/>
        <v>0</v>
      </c>
      <c r="AR26" s="292">
        <f t="shared" si="37"/>
        <v>66233037</v>
      </c>
      <c r="AS26" s="292">
        <f t="shared" si="38"/>
        <v>0</v>
      </c>
      <c r="AT26" s="292">
        <f t="shared" si="39"/>
        <v>0</v>
      </c>
      <c r="AU26" s="292">
        <f t="shared" si="40"/>
        <v>0</v>
      </c>
      <c r="AV26" s="292">
        <f t="shared" si="41"/>
        <v>0</v>
      </c>
      <c r="AW26" s="292">
        <f t="shared" si="42"/>
        <v>0</v>
      </c>
      <c r="AX26" s="292">
        <f t="shared" si="43"/>
        <v>0</v>
      </c>
      <c r="AY26" s="292">
        <f t="shared" si="44"/>
        <v>1389510952</v>
      </c>
      <c r="AZ26" s="292">
        <f t="shared" si="45"/>
        <v>0</v>
      </c>
      <c r="BA26" s="292">
        <f t="shared" si="45"/>
        <v>51105035</v>
      </c>
      <c r="BB26" s="292">
        <f t="shared" si="46"/>
        <v>1440615987</v>
      </c>
      <c r="BC26" s="293"/>
      <c r="BD26" s="293"/>
      <c r="BE26" s="5">
        <f>BB26/'Monthly D4 Gallon Data'!AX24</f>
        <v>1.5068746423056003</v>
      </c>
    </row>
    <row r="27" spans="1:57" s="294" customFormat="1" ht="13.5" hidden="1" thickBot="1">
      <c r="A27" s="170">
        <v>40878</v>
      </c>
      <c r="B27" s="290">
        <v>226116883</v>
      </c>
      <c r="C27" s="290">
        <v>0</v>
      </c>
      <c r="D27" s="290">
        <v>15584528</v>
      </c>
      <c r="E27" s="291">
        <f t="shared" si="0"/>
        <v>241701411</v>
      </c>
      <c r="F27" s="290">
        <f t="shared" si="6"/>
        <v>9296626</v>
      </c>
      <c r="G27" s="290">
        <f t="shared" si="7"/>
        <v>0</v>
      </c>
      <c r="H27" s="290">
        <f t="shared" si="8"/>
        <v>0</v>
      </c>
      <c r="I27" s="291">
        <f t="shared" si="1"/>
        <v>9296626</v>
      </c>
      <c r="J27" s="290">
        <f t="shared" si="9"/>
        <v>0</v>
      </c>
      <c r="K27" s="290">
        <v>0</v>
      </c>
      <c r="L27" s="291">
        <f t="shared" si="2"/>
        <v>0</v>
      </c>
      <c r="M27" s="290">
        <f t="shared" si="10"/>
        <v>0</v>
      </c>
      <c r="N27" s="291">
        <f t="shared" si="11"/>
        <v>0</v>
      </c>
      <c r="O27" s="291">
        <f t="shared" si="3"/>
        <v>235413509</v>
      </c>
      <c r="P27" s="298">
        <f t="shared" si="12"/>
        <v>0</v>
      </c>
      <c r="Q27" s="291">
        <f t="shared" si="4"/>
        <v>15584528</v>
      </c>
      <c r="R27" s="291">
        <f t="shared" si="13"/>
        <v>250998037</v>
      </c>
      <c r="S27" s="292">
        <v>0</v>
      </c>
      <c r="T27" s="292">
        <v>1857182</v>
      </c>
      <c r="U27" s="292">
        <v>7439444</v>
      </c>
      <c r="V27" s="292">
        <f t="shared" si="14"/>
        <v>9296626</v>
      </c>
      <c r="W27" s="290">
        <v>0</v>
      </c>
      <c r="X27" s="290">
        <v>0</v>
      </c>
      <c r="Y27" s="290">
        <v>0</v>
      </c>
      <c r="Z27" s="292">
        <f t="shared" si="15"/>
        <v>0</v>
      </c>
      <c r="AA27" s="290">
        <v>0</v>
      </c>
      <c r="AB27" s="290">
        <v>0</v>
      </c>
      <c r="AC27" s="290">
        <v>0</v>
      </c>
      <c r="AD27" s="292">
        <f t="shared" si="16"/>
        <v>0</v>
      </c>
      <c r="AE27" s="292">
        <v>0</v>
      </c>
      <c r="AF27" s="292">
        <v>0</v>
      </c>
      <c r="AG27" s="292">
        <f t="shared" si="17"/>
        <v>0</v>
      </c>
      <c r="AH27" s="292">
        <v>0</v>
      </c>
      <c r="AI27" s="292">
        <f t="shared" si="5"/>
        <v>0</v>
      </c>
      <c r="AJ27" s="292">
        <f t="shared" si="18"/>
        <v>0</v>
      </c>
      <c r="AK27" s="292">
        <f t="shared" si="34"/>
        <v>1549394798</v>
      </c>
      <c r="AL27" s="292">
        <f t="shared" si="32"/>
        <v>0</v>
      </c>
      <c r="AM27" s="292">
        <f t="shared" si="32"/>
        <v>66689563</v>
      </c>
      <c r="AN27" s="292">
        <f t="shared" si="35"/>
        <v>1616084361</v>
      </c>
      <c r="AO27" s="292">
        <f t="shared" si="36"/>
        <v>75529663</v>
      </c>
      <c r="AP27" s="292">
        <f t="shared" si="33"/>
        <v>0</v>
      </c>
      <c r="AQ27" s="292">
        <f t="shared" si="33"/>
        <v>0</v>
      </c>
      <c r="AR27" s="292">
        <f t="shared" si="37"/>
        <v>75529663</v>
      </c>
      <c r="AS27" s="292">
        <f t="shared" si="38"/>
        <v>0</v>
      </c>
      <c r="AT27" s="292">
        <f t="shared" si="39"/>
        <v>0</v>
      </c>
      <c r="AU27" s="292">
        <f t="shared" si="40"/>
        <v>0</v>
      </c>
      <c r="AV27" s="292">
        <f t="shared" si="41"/>
        <v>0</v>
      </c>
      <c r="AW27" s="292">
        <f t="shared" si="42"/>
        <v>0</v>
      </c>
      <c r="AX27" s="292">
        <f t="shared" si="43"/>
        <v>0</v>
      </c>
      <c r="AY27" s="292">
        <f t="shared" si="44"/>
        <v>1624924461</v>
      </c>
      <c r="AZ27" s="292">
        <f t="shared" si="45"/>
        <v>0</v>
      </c>
      <c r="BA27" s="292">
        <f t="shared" si="45"/>
        <v>66689563</v>
      </c>
      <c r="BB27" s="292">
        <f t="shared" si="46"/>
        <v>1691614024</v>
      </c>
      <c r="BC27" s="293"/>
      <c r="BD27" s="293"/>
      <c r="BE27" s="5">
        <f>BB27/'Monthly D4 Gallon Data'!AX25</f>
        <v>1.5067384340767047</v>
      </c>
    </row>
    <row r="28" spans="1:57" s="294" customFormat="1" ht="13.5" hidden="1" thickBot="1">
      <c r="A28" s="171">
        <v>40909</v>
      </c>
      <c r="B28" s="295">
        <v>90177628</v>
      </c>
      <c r="C28" s="295">
        <v>0</v>
      </c>
      <c r="D28" s="295">
        <v>1557591</v>
      </c>
      <c r="E28" s="296">
        <f t="shared" si="0"/>
        <v>91735219</v>
      </c>
      <c r="F28" s="295">
        <f t="shared" si="6"/>
        <v>6296007</v>
      </c>
      <c r="G28" s="295">
        <f t="shared" si="7"/>
        <v>0</v>
      </c>
      <c r="H28" s="295">
        <f t="shared" si="8"/>
        <v>0</v>
      </c>
      <c r="I28" s="296">
        <f t="shared" si="1"/>
        <v>6296007</v>
      </c>
      <c r="J28" s="295">
        <f t="shared" si="9"/>
        <v>0</v>
      </c>
      <c r="K28" s="295">
        <v>0</v>
      </c>
      <c r="L28" s="296">
        <f t="shared" si="2"/>
        <v>0</v>
      </c>
      <c r="M28" s="295">
        <f t="shared" si="10"/>
        <v>0</v>
      </c>
      <c r="N28" s="296">
        <f t="shared" si="11"/>
        <v>0</v>
      </c>
      <c r="O28" s="296">
        <f t="shared" si="3"/>
        <v>96473635</v>
      </c>
      <c r="P28" s="296">
        <f t="shared" si="12"/>
        <v>0</v>
      </c>
      <c r="Q28" s="296">
        <f t="shared" si="4"/>
        <v>1557591</v>
      </c>
      <c r="R28" s="296">
        <f t="shared" si="13"/>
        <v>98031226</v>
      </c>
      <c r="S28" s="297">
        <v>0</v>
      </c>
      <c r="T28" s="297">
        <v>29861</v>
      </c>
      <c r="U28" s="297">
        <v>6266146</v>
      </c>
      <c r="V28" s="297">
        <f t="shared" si="14"/>
        <v>6296007</v>
      </c>
      <c r="W28" s="295">
        <v>0</v>
      </c>
      <c r="X28" s="295">
        <v>0</v>
      </c>
      <c r="Y28" s="295">
        <v>0</v>
      </c>
      <c r="Z28" s="297">
        <f t="shared" si="15"/>
        <v>0</v>
      </c>
      <c r="AA28" s="295">
        <v>0</v>
      </c>
      <c r="AB28" s="295">
        <v>0</v>
      </c>
      <c r="AC28" s="295">
        <v>0</v>
      </c>
      <c r="AD28" s="297">
        <f t="shared" si="16"/>
        <v>0</v>
      </c>
      <c r="AE28" s="297">
        <v>0</v>
      </c>
      <c r="AF28" s="297">
        <v>0</v>
      </c>
      <c r="AG28" s="297">
        <f t="shared" si="17"/>
        <v>0</v>
      </c>
      <c r="AH28" s="297">
        <v>0</v>
      </c>
      <c r="AI28" s="297">
        <f t="shared" si="5"/>
        <v>0</v>
      </c>
      <c r="AJ28" s="297">
        <f t="shared" si="18"/>
        <v>0</v>
      </c>
      <c r="AK28" s="297">
        <f>B28</f>
        <v>90177628</v>
      </c>
      <c r="AL28" s="297">
        <f>C28</f>
        <v>0</v>
      </c>
      <c r="AM28" s="297">
        <f>D28</f>
        <v>1557591</v>
      </c>
      <c r="AN28" s="297">
        <f>SUM(AK28:AM28)</f>
        <v>91735219</v>
      </c>
      <c r="AO28" s="297">
        <f>F28</f>
        <v>6296007</v>
      </c>
      <c r="AP28" s="297">
        <f>G28</f>
        <v>0</v>
      </c>
      <c r="AQ28" s="297">
        <f>H28</f>
        <v>0</v>
      </c>
      <c r="AR28" s="297">
        <f>SUM(AO28:AQ28)</f>
        <v>6296007</v>
      </c>
      <c r="AS28" s="297">
        <f>J28</f>
        <v>0</v>
      </c>
      <c r="AT28" s="297">
        <f>AH28</f>
        <v>0</v>
      </c>
      <c r="AU28" s="297">
        <f>K28</f>
        <v>0</v>
      </c>
      <c r="AV28" s="297">
        <f>SUM(AS28:AU28)</f>
        <v>0</v>
      </c>
      <c r="AW28" s="297">
        <f>M28</f>
        <v>0</v>
      </c>
      <c r="AX28" s="297">
        <f>AW28</f>
        <v>0</v>
      </c>
      <c r="AY28" s="297">
        <f>AK28+AO28+AS28+AW28</f>
        <v>96473635</v>
      </c>
      <c r="AZ28" s="297">
        <f>AL28+AP28+AT28</f>
        <v>0</v>
      </c>
      <c r="BA28" s="297">
        <f>AM28+AQ28+AU28</f>
        <v>1557591</v>
      </c>
      <c r="BB28" s="297">
        <f>SUM(AY28:BA28)</f>
        <v>98031226</v>
      </c>
      <c r="BC28" s="293"/>
      <c r="BD28" s="293"/>
      <c r="BE28" s="5">
        <f>BB28/'Monthly D4 Gallon Data'!AX26</f>
        <v>1.511410800696668</v>
      </c>
    </row>
    <row r="29" spans="1:57" s="294" customFormat="1" ht="13.5" hidden="1" thickBot="1">
      <c r="A29" s="170">
        <v>40940</v>
      </c>
      <c r="B29" s="290">
        <v>108767510</v>
      </c>
      <c r="C29" s="290">
        <v>130196</v>
      </c>
      <c r="D29" s="290">
        <v>6033036</v>
      </c>
      <c r="E29" s="291">
        <f t="shared" si="0"/>
        <v>114930742</v>
      </c>
      <c r="F29" s="290">
        <f t="shared" si="6"/>
        <v>2490356</v>
      </c>
      <c r="G29" s="290">
        <f t="shared" si="7"/>
        <v>0</v>
      </c>
      <c r="H29" s="290">
        <f t="shared" si="8"/>
        <v>0</v>
      </c>
      <c r="I29" s="291">
        <f t="shared" si="1"/>
        <v>2490356</v>
      </c>
      <c r="J29" s="290">
        <f t="shared" si="9"/>
        <v>0</v>
      </c>
      <c r="K29" s="290">
        <v>0</v>
      </c>
      <c r="L29" s="291">
        <f t="shared" si="2"/>
        <v>0</v>
      </c>
      <c r="M29" s="290">
        <f t="shared" si="10"/>
        <v>0</v>
      </c>
      <c r="N29" s="291">
        <f t="shared" si="11"/>
        <v>0</v>
      </c>
      <c r="O29" s="291">
        <f t="shared" si="3"/>
        <v>111257866</v>
      </c>
      <c r="P29" s="291">
        <f t="shared" si="12"/>
        <v>130196</v>
      </c>
      <c r="Q29" s="291">
        <f t="shared" si="4"/>
        <v>6033036</v>
      </c>
      <c r="R29" s="291">
        <f t="shared" si="13"/>
        <v>117421098</v>
      </c>
      <c r="S29" s="292">
        <v>14250</v>
      </c>
      <c r="T29" s="292">
        <v>15528</v>
      </c>
      <c r="U29" s="292">
        <v>2460578</v>
      </c>
      <c r="V29" s="292">
        <f t="shared" si="14"/>
        <v>2490356</v>
      </c>
      <c r="W29" s="290">
        <v>0</v>
      </c>
      <c r="X29" s="290">
        <v>0</v>
      </c>
      <c r="Y29" s="290">
        <v>0</v>
      </c>
      <c r="Z29" s="292">
        <f t="shared" si="15"/>
        <v>0</v>
      </c>
      <c r="AA29" s="290">
        <v>0</v>
      </c>
      <c r="AB29" s="290">
        <v>0</v>
      </c>
      <c r="AC29" s="290">
        <v>0</v>
      </c>
      <c r="AD29" s="292">
        <f t="shared" si="16"/>
        <v>0</v>
      </c>
      <c r="AE29" s="292">
        <v>0</v>
      </c>
      <c r="AF29" s="292">
        <v>0</v>
      </c>
      <c r="AG29" s="292">
        <f t="shared" si="17"/>
        <v>0</v>
      </c>
      <c r="AH29" s="292">
        <v>0</v>
      </c>
      <c r="AI29" s="292">
        <f t="shared" si="5"/>
        <v>0</v>
      </c>
      <c r="AJ29" s="292">
        <f t="shared" si="18"/>
        <v>0</v>
      </c>
      <c r="AK29" s="292">
        <f>AK28+B29</f>
        <v>198945138</v>
      </c>
      <c r="AL29" s="292">
        <f t="shared" ref="AL29:AM39" si="47">AL28+C29</f>
        <v>130196</v>
      </c>
      <c r="AM29" s="292">
        <f t="shared" si="47"/>
        <v>7590627</v>
      </c>
      <c r="AN29" s="292">
        <f>SUM(AK29:AM29)</f>
        <v>206665961</v>
      </c>
      <c r="AO29" s="292">
        <f>AO28+F29</f>
        <v>8786363</v>
      </c>
      <c r="AP29" s="292">
        <f t="shared" ref="AP29:AQ39" si="48">AP28+G29</f>
        <v>0</v>
      </c>
      <c r="AQ29" s="292">
        <f t="shared" si="48"/>
        <v>0</v>
      </c>
      <c r="AR29" s="292">
        <f>SUM(AO29:AQ29)</f>
        <v>8786363</v>
      </c>
      <c r="AS29" s="292">
        <f>AS28+J29</f>
        <v>0</v>
      </c>
      <c r="AT29" s="292">
        <f>AT28+AH29</f>
        <v>0</v>
      </c>
      <c r="AU29" s="292">
        <f>AU28+K29</f>
        <v>0</v>
      </c>
      <c r="AV29" s="292">
        <f>SUM(AS29:AU29)</f>
        <v>0</v>
      </c>
      <c r="AW29" s="292">
        <f>AW28+M29</f>
        <v>0</v>
      </c>
      <c r="AX29" s="292">
        <f>AW29</f>
        <v>0</v>
      </c>
      <c r="AY29" s="292">
        <f>AK29+AO29+AS29+AW29</f>
        <v>207731501</v>
      </c>
      <c r="AZ29" s="292">
        <f>AL29+AP29+AT29</f>
        <v>130196</v>
      </c>
      <c r="BA29" s="292">
        <f>AM29+AQ29+AU29</f>
        <v>7590627</v>
      </c>
      <c r="BB29" s="292">
        <f>SUM(AY29:BA29)</f>
        <v>215452324</v>
      </c>
      <c r="BC29" s="293"/>
      <c r="BD29" s="293"/>
      <c r="BE29" s="5">
        <f>BB29/'Monthly D4 Gallon Data'!AX27</f>
        <v>1.5072189025443679</v>
      </c>
    </row>
    <row r="30" spans="1:57" s="294" customFormat="1" ht="13.5" hidden="1" thickBot="1">
      <c r="A30" s="170">
        <v>40969</v>
      </c>
      <c r="B30" s="290">
        <v>142728693</v>
      </c>
      <c r="C30" s="290">
        <v>1693781</v>
      </c>
      <c r="D30" s="290">
        <v>6465141</v>
      </c>
      <c r="E30" s="291">
        <f t="shared" si="0"/>
        <v>150887615</v>
      </c>
      <c r="F30" s="290">
        <f t="shared" si="6"/>
        <v>7885461</v>
      </c>
      <c r="G30" s="290">
        <f t="shared" si="7"/>
        <v>5301327</v>
      </c>
      <c r="H30" s="290">
        <f t="shared" si="8"/>
        <v>0</v>
      </c>
      <c r="I30" s="291">
        <f t="shared" si="1"/>
        <v>13186788</v>
      </c>
      <c r="J30" s="290">
        <f t="shared" si="9"/>
        <v>0</v>
      </c>
      <c r="K30" s="290">
        <v>0</v>
      </c>
      <c r="L30" s="291">
        <f t="shared" si="2"/>
        <v>0</v>
      </c>
      <c r="M30" s="290">
        <f t="shared" si="10"/>
        <v>0</v>
      </c>
      <c r="N30" s="291">
        <f t="shared" si="11"/>
        <v>0</v>
      </c>
      <c r="O30" s="291">
        <f t="shared" si="3"/>
        <v>150614154</v>
      </c>
      <c r="P30" s="291">
        <f t="shared" si="12"/>
        <v>6995108</v>
      </c>
      <c r="Q30" s="291">
        <f t="shared" si="4"/>
        <v>6465141</v>
      </c>
      <c r="R30" s="291">
        <f t="shared" si="13"/>
        <v>164074403</v>
      </c>
      <c r="S30" s="292">
        <v>87000</v>
      </c>
      <c r="T30" s="292">
        <v>1610957</v>
      </c>
      <c r="U30" s="292">
        <v>6187504</v>
      </c>
      <c r="V30" s="292">
        <f t="shared" si="14"/>
        <v>7885461</v>
      </c>
      <c r="W30" s="290">
        <v>0</v>
      </c>
      <c r="X30" s="290">
        <v>0</v>
      </c>
      <c r="Y30" s="292">
        <v>5301327</v>
      </c>
      <c r="Z30" s="292">
        <f t="shared" si="15"/>
        <v>5301327</v>
      </c>
      <c r="AA30" s="290">
        <v>0</v>
      </c>
      <c r="AB30" s="290">
        <v>0</v>
      </c>
      <c r="AC30" s="290">
        <v>0</v>
      </c>
      <c r="AD30" s="292">
        <f t="shared" si="16"/>
        <v>0</v>
      </c>
      <c r="AE30" s="292">
        <v>0</v>
      </c>
      <c r="AF30" s="292">
        <v>0</v>
      </c>
      <c r="AG30" s="292">
        <f t="shared" si="17"/>
        <v>0</v>
      </c>
      <c r="AH30" s="292">
        <v>0</v>
      </c>
      <c r="AI30" s="292">
        <f t="shared" si="5"/>
        <v>0</v>
      </c>
      <c r="AJ30" s="292">
        <f t="shared" si="18"/>
        <v>0</v>
      </c>
      <c r="AK30" s="292">
        <f t="shared" ref="AK30:AK39" si="49">AK29+B30</f>
        <v>341673831</v>
      </c>
      <c r="AL30" s="292">
        <f t="shared" si="47"/>
        <v>1823977</v>
      </c>
      <c r="AM30" s="292">
        <f t="shared" si="47"/>
        <v>14055768</v>
      </c>
      <c r="AN30" s="292">
        <f t="shared" ref="AN30:AN39" si="50">SUM(AK30:AM30)</f>
        <v>357553576</v>
      </c>
      <c r="AO30" s="292">
        <f t="shared" ref="AO30:AO39" si="51">AO29+F30</f>
        <v>16671824</v>
      </c>
      <c r="AP30" s="292">
        <f t="shared" si="48"/>
        <v>5301327</v>
      </c>
      <c r="AQ30" s="292">
        <f t="shared" si="48"/>
        <v>0</v>
      </c>
      <c r="AR30" s="292">
        <f t="shared" ref="AR30:AR39" si="52">SUM(AO30:AQ30)</f>
        <v>21973151</v>
      </c>
      <c r="AS30" s="292">
        <f t="shared" ref="AS30:AS39" si="53">AS29+J30</f>
        <v>0</v>
      </c>
      <c r="AT30" s="292">
        <f t="shared" ref="AT30:AT39" si="54">AT29+AH30</f>
        <v>0</v>
      </c>
      <c r="AU30" s="292">
        <f t="shared" ref="AU30:AU39" si="55">AU29+K30</f>
        <v>0</v>
      </c>
      <c r="AV30" s="292">
        <f t="shared" ref="AV30:AV39" si="56">SUM(AS30:AU30)</f>
        <v>0</v>
      </c>
      <c r="AW30" s="292">
        <f t="shared" ref="AW30:AW39" si="57">AW29+M30</f>
        <v>0</v>
      </c>
      <c r="AX30" s="292">
        <f t="shared" ref="AX30:AX39" si="58">AW30</f>
        <v>0</v>
      </c>
      <c r="AY30" s="292">
        <f t="shared" ref="AY30:AY39" si="59">AK30+AO30+AS30+AW30</f>
        <v>358345655</v>
      </c>
      <c r="AZ30" s="292">
        <f t="shared" ref="AZ30:BA39" si="60">AL30+AP30+AT30</f>
        <v>7125304</v>
      </c>
      <c r="BA30" s="292">
        <f t="shared" si="60"/>
        <v>14055768</v>
      </c>
      <c r="BB30" s="292">
        <f t="shared" ref="BB30:BB39" si="61">SUM(AY30:BA30)</f>
        <v>379526727</v>
      </c>
      <c r="BC30" s="293"/>
      <c r="BD30" s="293"/>
      <c r="BE30" s="5">
        <f>BB30/'Monthly D4 Gallon Data'!AX28</f>
        <v>1.5098894494231128</v>
      </c>
    </row>
    <row r="31" spans="1:57" s="294" customFormat="1" ht="13.5" hidden="1" thickBot="1">
      <c r="A31" s="170">
        <v>41000</v>
      </c>
      <c r="B31" s="290">
        <v>138874229</v>
      </c>
      <c r="C31" s="290">
        <v>0</v>
      </c>
      <c r="D31" s="290">
        <v>3986638</v>
      </c>
      <c r="E31" s="291">
        <f t="shared" si="0"/>
        <v>142860867</v>
      </c>
      <c r="F31" s="290">
        <f t="shared" si="6"/>
        <v>5196392</v>
      </c>
      <c r="G31" s="290">
        <f t="shared" si="7"/>
        <v>1103098</v>
      </c>
      <c r="H31" s="290">
        <f t="shared" si="8"/>
        <v>0</v>
      </c>
      <c r="I31" s="291">
        <f t="shared" si="1"/>
        <v>6299490</v>
      </c>
      <c r="J31" s="290">
        <f t="shared" si="9"/>
        <v>0</v>
      </c>
      <c r="K31" s="290">
        <v>0</v>
      </c>
      <c r="L31" s="291">
        <f t="shared" si="2"/>
        <v>0</v>
      </c>
      <c r="M31" s="290">
        <f t="shared" si="10"/>
        <v>0</v>
      </c>
      <c r="N31" s="291">
        <f t="shared" si="11"/>
        <v>0</v>
      </c>
      <c r="O31" s="291">
        <f t="shared" si="3"/>
        <v>144070621</v>
      </c>
      <c r="P31" s="291">
        <f t="shared" si="12"/>
        <v>1103098</v>
      </c>
      <c r="Q31" s="291">
        <f t="shared" si="4"/>
        <v>3986638</v>
      </c>
      <c r="R31" s="291">
        <f t="shared" si="13"/>
        <v>149160357</v>
      </c>
      <c r="S31" s="292">
        <v>200797</v>
      </c>
      <c r="T31" s="292">
        <v>2981002</v>
      </c>
      <c r="U31" s="292">
        <v>2014593</v>
      </c>
      <c r="V31" s="292">
        <f t="shared" si="14"/>
        <v>5196392</v>
      </c>
      <c r="W31" s="290">
        <v>0</v>
      </c>
      <c r="X31" s="290">
        <v>0</v>
      </c>
      <c r="Y31" s="292">
        <v>1103098</v>
      </c>
      <c r="Z31" s="292">
        <f t="shared" si="15"/>
        <v>1103098</v>
      </c>
      <c r="AA31" s="290">
        <v>0</v>
      </c>
      <c r="AB31" s="290">
        <v>0</v>
      </c>
      <c r="AC31" s="290">
        <v>0</v>
      </c>
      <c r="AD31" s="292">
        <f t="shared" si="16"/>
        <v>0</v>
      </c>
      <c r="AE31" s="292">
        <v>0</v>
      </c>
      <c r="AF31" s="292">
        <v>0</v>
      </c>
      <c r="AG31" s="292">
        <f t="shared" si="17"/>
        <v>0</v>
      </c>
      <c r="AH31" s="292">
        <v>0</v>
      </c>
      <c r="AI31" s="292">
        <f t="shared" si="5"/>
        <v>0</v>
      </c>
      <c r="AJ31" s="292">
        <f t="shared" si="18"/>
        <v>0</v>
      </c>
      <c r="AK31" s="292">
        <f t="shared" si="49"/>
        <v>480548060</v>
      </c>
      <c r="AL31" s="292">
        <f t="shared" si="47"/>
        <v>1823977</v>
      </c>
      <c r="AM31" s="292">
        <f t="shared" si="47"/>
        <v>18042406</v>
      </c>
      <c r="AN31" s="292">
        <f t="shared" si="50"/>
        <v>500414443</v>
      </c>
      <c r="AO31" s="292">
        <f t="shared" si="51"/>
        <v>21868216</v>
      </c>
      <c r="AP31" s="292">
        <f t="shared" si="48"/>
        <v>6404425</v>
      </c>
      <c r="AQ31" s="292">
        <f t="shared" si="48"/>
        <v>0</v>
      </c>
      <c r="AR31" s="292">
        <f t="shared" si="52"/>
        <v>28272641</v>
      </c>
      <c r="AS31" s="292">
        <f t="shared" si="53"/>
        <v>0</v>
      </c>
      <c r="AT31" s="292">
        <f t="shared" si="54"/>
        <v>0</v>
      </c>
      <c r="AU31" s="292">
        <f t="shared" si="55"/>
        <v>0</v>
      </c>
      <c r="AV31" s="292">
        <f t="shared" si="56"/>
        <v>0</v>
      </c>
      <c r="AW31" s="292">
        <f t="shared" si="57"/>
        <v>0</v>
      </c>
      <c r="AX31" s="292">
        <f t="shared" si="58"/>
        <v>0</v>
      </c>
      <c r="AY31" s="292">
        <f t="shared" si="59"/>
        <v>502416276</v>
      </c>
      <c r="AZ31" s="292">
        <f t="shared" si="60"/>
        <v>8228402</v>
      </c>
      <c r="BA31" s="292">
        <f t="shared" si="60"/>
        <v>18042406</v>
      </c>
      <c r="BB31" s="292">
        <f t="shared" si="61"/>
        <v>528687084</v>
      </c>
      <c r="BC31" s="293"/>
      <c r="BD31" s="293"/>
      <c r="BE31" s="5">
        <f>BB31/'Monthly D4 Gallon Data'!AX29</f>
        <v>1.5086772405789795</v>
      </c>
    </row>
    <row r="32" spans="1:57" s="294" customFormat="1" ht="13.5" hidden="1" thickBot="1">
      <c r="A32" s="170">
        <v>41030</v>
      </c>
      <c r="B32" s="290">
        <v>161334404</v>
      </c>
      <c r="C32" s="290">
        <v>7296597</v>
      </c>
      <c r="D32" s="290">
        <v>3198200</v>
      </c>
      <c r="E32" s="291">
        <f t="shared" si="0"/>
        <v>171829201</v>
      </c>
      <c r="F32" s="290">
        <f t="shared" si="6"/>
        <v>5435133</v>
      </c>
      <c r="G32" s="290">
        <f t="shared" si="7"/>
        <v>5843978</v>
      </c>
      <c r="H32" s="290">
        <f t="shared" si="8"/>
        <v>0</v>
      </c>
      <c r="I32" s="291">
        <f t="shared" si="1"/>
        <v>11279111</v>
      </c>
      <c r="J32" s="290">
        <f t="shared" si="9"/>
        <v>0</v>
      </c>
      <c r="K32" s="290">
        <v>0</v>
      </c>
      <c r="L32" s="291">
        <f t="shared" si="2"/>
        <v>0</v>
      </c>
      <c r="M32" s="290">
        <f t="shared" si="10"/>
        <v>0</v>
      </c>
      <c r="N32" s="291">
        <f t="shared" si="11"/>
        <v>0</v>
      </c>
      <c r="O32" s="291">
        <f t="shared" si="3"/>
        <v>166769537</v>
      </c>
      <c r="P32" s="291">
        <f t="shared" si="12"/>
        <v>13140575</v>
      </c>
      <c r="Q32" s="291">
        <f t="shared" si="4"/>
        <v>3198200</v>
      </c>
      <c r="R32" s="291">
        <f t="shared" si="13"/>
        <v>183108312</v>
      </c>
      <c r="S32" s="292">
        <v>207888</v>
      </c>
      <c r="T32" s="292">
        <v>3925078</v>
      </c>
      <c r="U32" s="292">
        <v>1302167</v>
      </c>
      <c r="V32" s="292">
        <f t="shared" si="14"/>
        <v>5435133</v>
      </c>
      <c r="W32" s="290">
        <v>0</v>
      </c>
      <c r="X32" s="290">
        <v>0</v>
      </c>
      <c r="Y32" s="292">
        <v>5843978</v>
      </c>
      <c r="Z32" s="292">
        <f t="shared" si="15"/>
        <v>5843978</v>
      </c>
      <c r="AA32" s="290">
        <v>0</v>
      </c>
      <c r="AB32" s="290">
        <v>0</v>
      </c>
      <c r="AC32" s="290">
        <v>0</v>
      </c>
      <c r="AD32" s="292">
        <f t="shared" si="16"/>
        <v>0</v>
      </c>
      <c r="AE32" s="292">
        <v>0</v>
      </c>
      <c r="AF32" s="292">
        <v>0</v>
      </c>
      <c r="AG32" s="292">
        <f t="shared" si="17"/>
        <v>0</v>
      </c>
      <c r="AH32" s="292">
        <v>0</v>
      </c>
      <c r="AI32" s="292">
        <f t="shared" si="5"/>
        <v>0</v>
      </c>
      <c r="AJ32" s="292">
        <f t="shared" si="18"/>
        <v>0</v>
      </c>
      <c r="AK32" s="292">
        <f t="shared" si="49"/>
        <v>641882464</v>
      </c>
      <c r="AL32" s="292">
        <f t="shared" si="47"/>
        <v>9120574</v>
      </c>
      <c r="AM32" s="292">
        <f t="shared" si="47"/>
        <v>21240606</v>
      </c>
      <c r="AN32" s="292">
        <f t="shared" si="50"/>
        <v>672243644</v>
      </c>
      <c r="AO32" s="292">
        <f t="shared" si="51"/>
        <v>27303349</v>
      </c>
      <c r="AP32" s="292">
        <f t="shared" si="48"/>
        <v>12248403</v>
      </c>
      <c r="AQ32" s="292">
        <f t="shared" si="48"/>
        <v>0</v>
      </c>
      <c r="AR32" s="292">
        <f t="shared" si="52"/>
        <v>39551752</v>
      </c>
      <c r="AS32" s="292">
        <f t="shared" si="53"/>
        <v>0</v>
      </c>
      <c r="AT32" s="292">
        <f t="shared" si="54"/>
        <v>0</v>
      </c>
      <c r="AU32" s="292">
        <f t="shared" si="55"/>
        <v>0</v>
      </c>
      <c r="AV32" s="292">
        <f t="shared" si="56"/>
        <v>0</v>
      </c>
      <c r="AW32" s="292">
        <f t="shared" si="57"/>
        <v>0</v>
      </c>
      <c r="AX32" s="292">
        <f t="shared" si="58"/>
        <v>0</v>
      </c>
      <c r="AY32" s="292">
        <f t="shared" si="59"/>
        <v>669185813</v>
      </c>
      <c r="AZ32" s="292">
        <f t="shared" si="60"/>
        <v>21368977</v>
      </c>
      <c r="BA32" s="292">
        <f t="shared" si="60"/>
        <v>21240606</v>
      </c>
      <c r="BB32" s="292">
        <f t="shared" si="61"/>
        <v>711795396</v>
      </c>
      <c r="BC32" s="293"/>
      <c r="BD32" s="293"/>
      <c r="BE32" s="5">
        <f>BB32/'Monthly D4 Gallon Data'!AX30</f>
        <v>1.5087522013765404</v>
      </c>
    </row>
    <row r="33" spans="1:57" s="294" customFormat="1" ht="13.5" hidden="1" thickBot="1">
      <c r="A33" s="170">
        <v>41061</v>
      </c>
      <c r="B33" s="290">
        <v>159922530</v>
      </c>
      <c r="C33" s="290">
        <v>0</v>
      </c>
      <c r="D33" s="290">
        <v>8816321</v>
      </c>
      <c r="E33" s="291">
        <f t="shared" si="0"/>
        <v>168738851</v>
      </c>
      <c r="F33" s="290">
        <f t="shared" si="6"/>
        <v>5149085</v>
      </c>
      <c r="G33" s="290">
        <f t="shared" si="7"/>
        <v>4573340</v>
      </c>
      <c r="H33" s="290">
        <f t="shared" si="8"/>
        <v>0</v>
      </c>
      <c r="I33" s="291">
        <f t="shared" si="1"/>
        <v>9722425</v>
      </c>
      <c r="J33" s="290">
        <f t="shared" si="9"/>
        <v>0</v>
      </c>
      <c r="K33" s="290">
        <v>0</v>
      </c>
      <c r="L33" s="291">
        <f t="shared" si="2"/>
        <v>0</v>
      </c>
      <c r="M33" s="290">
        <f t="shared" si="10"/>
        <v>0</v>
      </c>
      <c r="N33" s="291">
        <f t="shared" si="11"/>
        <v>0</v>
      </c>
      <c r="O33" s="291">
        <f t="shared" si="3"/>
        <v>165071615</v>
      </c>
      <c r="P33" s="291">
        <f t="shared" si="12"/>
        <v>4573340</v>
      </c>
      <c r="Q33" s="291">
        <f t="shared" si="4"/>
        <v>8816321</v>
      </c>
      <c r="R33" s="291">
        <f t="shared" si="13"/>
        <v>178461276</v>
      </c>
      <c r="S33" s="292">
        <v>0</v>
      </c>
      <c r="T33" s="292">
        <v>1450405</v>
      </c>
      <c r="U33" s="292">
        <v>3698680</v>
      </c>
      <c r="V33" s="292">
        <f t="shared" si="14"/>
        <v>5149085</v>
      </c>
      <c r="W33" s="290">
        <v>0</v>
      </c>
      <c r="X33" s="290">
        <v>0</v>
      </c>
      <c r="Y33" s="292">
        <v>4573340</v>
      </c>
      <c r="Z33" s="292">
        <f t="shared" si="15"/>
        <v>4573340</v>
      </c>
      <c r="AA33" s="290">
        <v>0</v>
      </c>
      <c r="AB33" s="290">
        <v>0</v>
      </c>
      <c r="AC33" s="290">
        <v>0</v>
      </c>
      <c r="AD33" s="292">
        <f t="shared" si="16"/>
        <v>0</v>
      </c>
      <c r="AE33" s="292">
        <v>0</v>
      </c>
      <c r="AF33" s="292">
        <v>0</v>
      </c>
      <c r="AG33" s="292">
        <f t="shared" si="17"/>
        <v>0</v>
      </c>
      <c r="AH33" s="292">
        <v>0</v>
      </c>
      <c r="AI33" s="292">
        <f t="shared" si="5"/>
        <v>0</v>
      </c>
      <c r="AJ33" s="292">
        <f t="shared" si="18"/>
        <v>0</v>
      </c>
      <c r="AK33" s="292">
        <f t="shared" si="49"/>
        <v>801804994</v>
      </c>
      <c r="AL33" s="292">
        <f t="shared" si="47"/>
        <v>9120574</v>
      </c>
      <c r="AM33" s="292">
        <f t="shared" si="47"/>
        <v>30056927</v>
      </c>
      <c r="AN33" s="292">
        <f t="shared" si="50"/>
        <v>840982495</v>
      </c>
      <c r="AO33" s="292">
        <f t="shared" si="51"/>
        <v>32452434</v>
      </c>
      <c r="AP33" s="292">
        <f t="shared" si="48"/>
        <v>16821743</v>
      </c>
      <c r="AQ33" s="292">
        <f t="shared" si="48"/>
        <v>0</v>
      </c>
      <c r="AR33" s="292">
        <f t="shared" si="52"/>
        <v>49274177</v>
      </c>
      <c r="AS33" s="292">
        <f t="shared" si="53"/>
        <v>0</v>
      </c>
      <c r="AT33" s="292">
        <f t="shared" si="54"/>
        <v>0</v>
      </c>
      <c r="AU33" s="292">
        <f t="shared" si="55"/>
        <v>0</v>
      </c>
      <c r="AV33" s="292">
        <f t="shared" si="56"/>
        <v>0</v>
      </c>
      <c r="AW33" s="292">
        <f t="shared" si="57"/>
        <v>0</v>
      </c>
      <c r="AX33" s="292">
        <f t="shared" si="58"/>
        <v>0</v>
      </c>
      <c r="AY33" s="292">
        <f t="shared" si="59"/>
        <v>834257428</v>
      </c>
      <c r="AZ33" s="292">
        <f t="shared" si="60"/>
        <v>25942317</v>
      </c>
      <c r="BA33" s="292">
        <f t="shared" si="60"/>
        <v>30056927</v>
      </c>
      <c r="BB33" s="292">
        <f t="shared" si="61"/>
        <v>890256672</v>
      </c>
      <c r="BC33" s="293"/>
      <c r="BD33" s="293"/>
      <c r="BE33" s="5">
        <f>BB33/'Monthly D4 Gallon Data'!AX31</f>
        <v>1.5088044856888099</v>
      </c>
    </row>
    <row r="34" spans="1:57" s="294" customFormat="1" ht="13.5" hidden="1" thickBot="1">
      <c r="A34" s="170">
        <v>41091</v>
      </c>
      <c r="B34" s="290">
        <v>146015297</v>
      </c>
      <c r="C34" s="290">
        <v>0</v>
      </c>
      <c r="D34" s="290">
        <v>3975750</v>
      </c>
      <c r="E34" s="291">
        <f t="shared" si="0"/>
        <v>149991047</v>
      </c>
      <c r="F34" s="290">
        <f t="shared" si="6"/>
        <v>9609937</v>
      </c>
      <c r="G34" s="290">
        <f t="shared" si="7"/>
        <v>5244966</v>
      </c>
      <c r="H34" s="290">
        <f t="shared" si="8"/>
        <v>0</v>
      </c>
      <c r="I34" s="291">
        <f t="shared" si="1"/>
        <v>14854903</v>
      </c>
      <c r="J34" s="290">
        <f t="shared" si="9"/>
        <v>0</v>
      </c>
      <c r="K34" s="290">
        <v>0</v>
      </c>
      <c r="L34" s="291">
        <f t="shared" si="2"/>
        <v>0</v>
      </c>
      <c r="M34" s="290">
        <f t="shared" si="10"/>
        <v>0</v>
      </c>
      <c r="N34" s="291">
        <f t="shared" si="11"/>
        <v>0</v>
      </c>
      <c r="O34" s="291">
        <f t="shared" si="3"/>
        <v>155625234</v>
      </c>
      <c r="P34" s="291">
        <f t="shared" si="12"/>
        <v>5244966</v>
      </c>
      <c r="Q34" s="291">
        <f t="shared" si="4"/>
        <v>3975750</v>
      </c>
      <c r="R34" s="291">
        <f t="shared" si="13"/>
        <v>164845950</v>
      </c>
      <c r="S34" s="292">
        <v>341496</v>
      </c>
      <c r="T34" s="292">
        <v>1212270</v>
      </c>
      <c r="U34" s="292">
        <v>8056171</v>
      </c>
      <c r="V34" s="292">
        <f t="shared" si="14"/>
        <v>9609937</v>
      </c>
      <c r="W34" s="290">
        <v>0</v>
      </c>
      <c r="X34" s="290">
        <v>0</v>
      </c>
      <c r="Y34" s="292">
        <v>5244966</v>
      </c>
      <c r="Z34" s="292">
        <f t="shared" si="15"/>
        <v>5244966</v>
      </c>
      <c r="AA34" s="290">
        <v>0</v>
      </c>
      <c r="AB34" s="290">
        <v>0</v>
      </c>
      <c r="AC34" s="290">
        <v>0</v>
      </c>
      <c r="AD34" s="292">
        <f t="shared" si="16"/>
        <v>0</v>
      </c>
      <c r="AE34" s="292">
        <v>0</v>
      </c>
      <c r="AF34" s="292">
        <v>0</v>
      </c>
      <c r="AG34" s="292">
        <f t="shared" si="17"/>
        <v>0</v>
      </c>
      <c r="AH34" s="292">
        <v>0</v>
      </c>
      <c r="AI34" s="292">
        <f t="shared" si="5"/>
        <v>0</v>
      </c>
      <c r="AJ34" s="292">
        <f t="shared" si="18"/>
        <v>0</v>
      </c>
      <c r="AK34" s="292">
        <f t="shared" si="49"/>
        <v>947820291</v>
      </c>
      <c r="AL34" s="292">
        <f t="shared" si="47"/>
        <v>9120574</v>
      </c>
      <c r="AM34" s="292">
        <f t="shared" si="47"/>
        <v>34032677</v>
      </c>
      <c r="AN34" s="292">
        <f t="shared" si="50"/>
        <v>990973542</v>
      </c>
      <c r="AO34" s="292">
        <f t="shared" si="51"/>
        <v>42062371</v>
      </c>
      <c r="AP34" s="292">
        <f t="shared" si="48"/>
        <v>22066709</v>
      </c>
      <c r="AQ34" s="292">
        <f t="shared" si="48"/>
        <v>0</v>
      </c>
      <c r="AR34" s="292">
        <f t="shared" si="52"/>
        <v>64129080</v>
      </c>
      <c r="AS34" s="292">
        <f t="shared" si="53"/>
        <v>0</v>
      </c>
      <c r="AT34" s="292">
        <f t="shared" si="54"/>
        <v>0</v>
      </c>
      <c r="AU34" s="292">
        <f t="shared" si="55"/>
        <v>0</v>
      </c>
      <c r="AV34" s="292">
        <f t="shared" si="56"/>
        <v>0</v>
      </c>
      <c r="AW34" s="292">
        <f t="shared" si="57"/>
        <v>0</v>
      </c>
      <c r="AX34" s="292">
        <f t="shared" si="58"/>
        <v>0</v>
      </c>
      <c r="AY34" s="292">
        <f t="shared" si="59"/>
        <v>989882662</v>
      </c>
      <c r="AZ34" s="292">
        <f t="shared" si="60"/>
        <v>31187283</v>
      </c>
      <c r="BA34" s="292">
        <f t="shared" si="60"/>
        <v>34032677</v>
      </c>
      <c r="BB34" s="292">
        <f t="shared" si="61"/>
        <v>1055102622</v>
      </c>
      <c r="BC34" s="293"/>
      <c r="BD34" s="293"/>
      <c r="BE34" s="5">
        <f>BB34/'Monthly D4 Gallon Data'!AX32</f>
        <v>1.5097837824142626</v>
      </c>
    </row>
    <row r="35" spans="1:57" s="294" customFormat="1" ht="13.5" hidden="1" thickBot="1">
      <c r="A35" s="170">
        <v>41122</v>
      </c>
      <c r="B35" s="290">
        <v>144383483</v>
      </c>
      <c r="C35" s="290">
        <v>0</v>
      </c>
      <c r="D35" s="290">
        <v>5099150</v>
      </c>
      <c r="E35" s="291">
        <f t="shared" si="0"/>
        <v>149482633</v>
      </c>
      <c r="F35" s="290">
        <f t="shared" si="6"/>
        <v>7175843</v>
      </c>
      <c r="G35" s="290">
        <f t="shared" si="7"/>
        <v>1752396</v>
      </c>
      <c r="H35" s="290">
        <f t="shared" si="8"/>
        <v>0</v>
      </c>
      <c r="I35" s="291">
        <f t="shared" si="1"/>
        <v>8928239</v>
      </c>
      <c r="J35" s="290">
        <f t="shared" si="9"/>
        <v>0</v>
      </c>
      <c r="K35" s="290">
        <v>0</v>
      </c>
      <c r="L35" s="291">
        <f t="shared" si="2"/>
        <v>0</v>
      </c>
      <c r="M35" s="290">
        <f t="shared" si="10"/>
        <v>0</v>
      </c>
      <c r="N35" s="291">
        <f t="shared" si="11"/>
        <v>0</v>
      </c>
      <c r="O35" s="291">
        <f t="shared" si="3"/>
        <v>151559326</v>
      </c>
      <c r="P35" s="291">
        <f t="shared" si="12"/>
        <v>1752396</v>
      </c>
      <c r="Q35" s="291">
        <f t="shared" si="4"/>
        <v>5099150</v>
      </c>
      <c r="R35" s="291">
        <f t="shared" si="13"/>
        <v>158410872</v>
      </c>
      <c r="S35" s="292">
        <v>68805</v>
      </c>
      <c r="T35" s="292">
        <v>573201</v>
      </c>
      <c r="U35" s="292">
        <v>6533837</v>
      </c>
      <c r="V35" s="292">
        <f t="shared" si="14"/>
        <v>7175843</v>
      </c>
      <c r="W35" s="290">
        <v>0</v>
      </c>
      <c r="X35" s="290">
        <v>0</v>
      </c>
      <c r="Y35" s="292">
        <v>1752396</v>
      </c>
      <c r="Z35" s="292">
        <f t="shared" si="15"/>
        <v>1752396</v>
      </c>
      <c r="AA35" s="290">
        <v>0</v>
      </c>
      <c r="AB35" s="290">
        <v>0</v>
      </c>
      <c r="AC35" s="290">
        <v>0</v>
      </c>
      <c r="AD35" s="292">
        <f t="shared" si="16"/>
        <v>0</v>
      </c>
      <c r="AE35" s="292">
        <v>0</v>
      </c>
      <c r="AF35" s="292">
        <v>0</v>
      </c>
      <c r="AG35" s="292">
        <f t="shared" si="17"/>
        <v>0</v>
      </c>
      <c r="AH35" s="292">
        <v>0</v>
      </c>
      <c r="AI35" s="292">
        <f t="shared" si="5"/>
        <v>0</v>
      </c>
      <c r="AJ35" s="292">
        <f t="shared" si="18"/>
        <v>0</v>
      </c>
      <c r="AK35" s="292">
        <f t="shared" si="49"/>
        <v>1092203774</v>
      </c>
      <c r="AL35" s="292">
        <f t="shared" si="47"/>
        <v>9120574</v>
      </c>
      <c r="AM35" s="292">
        <f t="shared" si="47"/>
        <v>39131827</v>
      </c>
      <c r="AN35" s="292">
        <f t="shared" si="50"/>
        <v>1140456175</v>
      </c>
      <c r="AO35" s="292">
        <f t="shared" si="51"/>
        <v>49238214</v>
      </c>
      <c r="AP35" s="292">
        <f t="shared" si="48"/>
        <v>23819105</v>
      </c>
      <c r="AQ35" s="292">
        <f t="shared" si="48"/>
        <v>0</v>
      </c>
      <c r="AR35" s="292">
        <f t="shared" si="52"/>
        <v>73057319</v>
      </c>
      <c r="AS35" s="292">
        <f t="shared" si="53"/>
        <v>0</v>
      </c>
      <c r="AT35" s="292">
        <f t="shared" si="54"/>
        <v>0</v>
      </c>
      <c r="AU35" s="292">
        <f t="shared" si="55"/>
        <v>0</v>
      </c>
      <c r="AV35" s="292">
        <f t="shared" si="56"/>
        <v>0</v>
      </c>
      <c r="AW35" s="292">
        <f t="shared" si="57"/>
        <v>0</v>
      </c>
      <c r="AX35" s="292">
        <f t="shared" si="58"/>
        <v>0</v>
      </c>
      <c r="AY35" s="292">
        <f t="shared" si="59"/>
        <v>1141441988</v>
      </c>
      <c r="AZ35" s="292">
        <f t="shared" si="60"/>
        <v>32939679</v>
      </c>
      <c r="BA35" s="292">
        <f t="shared" si="60"/>
        <v>39131827</v>
      </c>
      <c r="BB35" s="292">
        <f t="shared" si="61"/>
        <v>1213513494</v>
      </c>
      <c r="BC35" s="293"/>
      <c r="BD35" s="293"/>
      <c r="BE35" s="5">
        <f>BB35/'Monthly D4 Gallon Data'!AX33</f>
        <v>1.5097663985391585</v>
      </c>
    </row>
    <row r="36" spans="1:57" s="294" customFormat="1" ht="13.5" hidden="1" thickBot="1">
      <c r="A36" s="170">
        <v>41153</v>
      </c>
      <c r="B36" s="290">
        <v>122010608</v>
      </c>
      <c r="C36" s="290">
        <v>0</v>
      </c>
      <c r="D36" s="290">
        <v>6005520</v>
      </c>
      <c r="E36" s="291">
        <f t="shared" si="0"/>
        <v>128016128</v>
      </c>
      <c r="F36" s="290">
        <f t="shared" si="6"/>
        <v>4528849</v>
      </c>
      <c r="G36" s="290">
        <f t="shared" si="7"/>
        <v>14983692</v>
      </c>
      <c r="H36" s="290">
        <f t="shared" si="8"/>
        <v>0</v>
      </c>
      <c r="I36" s="291">
        <f t="shared" si="1"/>
        <v>19512541</v>
      </c>
      <c r="J36" s="290">
        <f t="shared" si="9"/>
        <v>0</v>
      </c>
      <c r="K36" s="290">
        <v>0</v>
      </c>
      <c r="L36" s="291">
        <f t="shared" si="2"/>
        <v>0</v>
      </c>
      <c r="M36" s="290">
        <f t="shared" si="10"/>
        <v>0</v>
      </c>
      <c r="N36" s="291">
        <f t="shared" si="11"/>
        <v>0</v>
      </c>
      <c r="O36" s="291">
        <f t="shared" si="3"/>
        <v>126539457</v>
      </c>
      <c r="P36" s="291">
        <f t="shared" si="12"/>
        <v>14983692</v>
      </c>
      <c r="Q36" s="291">
        <f t="shared" si="4"/>
        <v>6005520</v>
      </c>
      <c r="R36" s="291">
        <f t="shared" si="13"/>
        <v>147528669</v>
      </c>
      <c r="S36" s="292">
        <v>213753</v>
      </c>
      <c r="T36" s="292">
        <v>489539</v>
      </c>
      <c r="U36" s="292">
        <v>3825557</v>
      </c>
      <c r="V36" s="292">
        <f t="shared" si="14"/>
        <v>4528849</v>
      </c>
      <c r="W36" s="290">
        <v>0</v>
      </c>
      <c r="X36" s="290">
        <v>0</v>
      </c>
      <c r="Y36" s="292">
        <v>14983692</v>
      </c>
      <c r="Z36" s="292">
        <f t="shared" si="15"/>
        <v>14983692</v>
      </c>
      <c r="AA36" s="290">
        <v>0</v>
      </c>
      <c r="AB36" s="290">
        <v>0</v>
      </c>
      <c r="AC36" s="290">
        <v>0</v>
      </c>
      <c r="AD36" s="292">
        <f t="shared" si="16"/>
        <v>0</v>
      </c>
      <c r="AE36" s="292">
        <v>0</v>
      </c>
      <c r="AF36" s="292">
        <v>0</v>
      </c>
      <c r="AG36" s="292">
        <f t="shared" si="17"/>
        <v>0</v>
      </c>
      <c r="AH36" s="292">
        <v>0</v>
      </c>
      <c r="AI36" s="292">
        <f t="shared" si="5"/>
        <v>0</v>
      </c>
      <c r="AJ36" s="292">
        <f t="shared" si="18"/>
        <v>0</v>
      </c>
      <c r="AK36" s="292">
        <f t="shared" si="49"/>
        <v>1214214382</v>
      </c>
      <c r="AL36" s="292">
        <f t="shared" si="47"/>
        <v>9120574</v>
      </c>
      <c r="AM36" s="292">
        <f t="shared" si="47"/>
        <v>45137347</v>
      </c>
      <c r="AN36" s="292">
        <f t="shared" si="50"/>
        <v>1268472303</v>
      </c>
      <c r="AO36" s="292">
        <f t="shared" si="51"/>
        <v>53767063</v>
      </c>
      <c r="AP36" s="292">
        <f t="shared" si="48"/>
        <v>38802797</v>
      </c>
      <c r="AQ36" s="292">
        <f t="shared" si="48"/>
        <v>0</v>
      </c>
      <c r="AR36" s="292">
        <f t="shared" si="52"/>
        <v>92569860</v>
      </c>
      <c r="AS36" s="292">
        <f t="shared" si="53"/>
        <v>0</v>
      </c>
      <c r="AT36" s="292">
        <f t="shared" si="54"/>
        <v>0</v>
      </c>
      <c r="AU36" s="292">
        <f t="shared" si="55"/>
        <v>0</v>
      </c>
      <c r="AV36" s="292">
        <f t="shared" si="56"/>
        <v>0</v>
      </c>
      <c r="AW36" s="292">
        <f t="shared" si="57"/>
        <v>0</v>
      </c>
      <c r="AX36" s="292">
        <f t="shared" si="58"/>
        <v>0</v>
      </c>
      <c r="AY36" s="292">
        <f t="shared" si="59"/>
        <v>1267981445</v>
      </c>
      <c r="AZ36" s="292">
        <f t="shared" si="60"/>
        <v>47923371</v>
      </c>
      <c r="BA36" s="292">
        <f t="shared" si="60"/>
        <v>45137347</v>
      </c>
      <c r="BB36" s="292">
        <f t="shared" si="61"/>
        <v>1361042163</v>
      </c>
      <c r="BC36" s="293"/>
      <c r="BD36" s="293"/>
      <c r="BE36" s="5">
        <f>BB36/'Monthly D4 Gallon Data'!AX34</f>
        <v>1.5112092656584792</v>
      </c>
    </row>
    <row r="37" spans="1:57" s="294" customFormat="1" ht="13.5" hidden="1" thickBot="1">
      <c r="A37" s="170">
        <v>41183</v>
      </c>
      <c r="B37" s="290">
        <v>120902540</v>
      </c>
      <c r="C37" s="290">
        <v>1052289</v>
      </c>
      <c r="D37" s="290">
        <v>2720250</v>
      </c>
      <c r="E37" s="291">
        <f t="shared" si="0"/>
        <v>124675079</v>
      </c>
      <c r="F37" s="290">
        <f t="shared" si="6"/>
        <v>4550817</v>
      </c>
      <c r="G37" s="290">
        <f t="shared" si="7"/>
        <v>21620626</v>
      </c>
      <c r="H37" s="290">
        <f t="shared" si="8"/>
        <v>0</v>
      </c>
      <c r="I37" s="291">
        <f t="shared" si="1"/>
        <v>26171443</v>
      </c>
      <c r="J37" s="290">
        <f t="shared" si="9"/>
        <v>0</v>
      </c>
      <c r="K37" s="290">
        <v>0</v>
      </c>
      <c r="L37" s="291">
        <f t="shared" si="2"/>
        <v>0</v>
      </c>
      <c r="M37" s="290">
        <f t="shared" si="10"/>
        <v>0</v>
      </c>
      <c r="N37" s="291">
        <f t="shared" si="11"/>
        <v>0</v>
      </c>
      <c r="O37" s="291">
        <f t="shared" si="3"/>
        <v>125453357</v>
      </c>
      <c r="P37" s="291">
        <f t="shared" si="12"/>
        <v>22672915</v>
      </c>
      <c r="Q37" s="291">
        <f t="shared" si="4"/>
        <v>2720250</v>
      </c>
      <c r="R37" s="291">
        <f t="shared" si="13"/>
        <v>150846522</v>
      </c>
      <c r="S37" s="292">
        <v>304935</v>
      </c>
      <c r="T37" s="292">
        <v>912469</v>
      </c>
      <c r="U37" s="292">
        <v>3333413</v>
      </c>
      <c r="V37" s="292">
        <f t="shared" si="14"/>
        <v>4550817</v>
      </c>
      <c r="W37" s="290">
        <v>0</v>
      </c>
      <c r="X37" s="290">
        <v>0</v>
      </c>
      <c r="Y37" s="292">
        <v>21620626</v>
      </c>
      <c r="Z37" s="292">
        <f t="shared" si="15"/>
        <v>21620626</v>
      </c>
      <c r="AA37" s="290">
        <v>0</v>
      </c>
      <c r="AB37" s="290">
        <v>0</v>
      </c>
      <c r="AC37" s="290">
        <v>0</v>
      </c>
      <c r="AD37" s="292">
        <f t="shared" si="16"/>
        <v>0</v>
      </c>
      <c r="AE37" s="292">
        <v>0</v>
      </c>
      <c r="AF37" s="292">
        <v>0</v>
      </c>
      <c r="AG37" s="292">
        <f t="shared" si="17"/>
        <v>0</v>
      </c>
      <c r="AH37" s="292">
        <v>0</v>
      </c>
      <c r="AI37" s="292">
        <f t="shared" si="5"/>
        <v>0</v>
      </c>
      <c r="AJ37" s="292">
        <f t="shared" si="18"/>
        <v>0</v>
      </c>
      <c r="AK37" s="292">
        <f t="shared" si="49"/>
        <v>1335116922</v>
      </c>
      <c r="AL37" s="292">
        <f t="shared" si="47"/>
        <v>10172863</v>
      </c>
      <c r="AM37" s="292">
        <f t="shared" si="47"/>
        <v>47857597</v>
      </c>
      <c r="AN37" s="292">
        <f t="shared" si="50"/>
        <v>1393147382</v>
      </c>
      <c r="AO37" s="292">
        <f t="shared" si="51"/>
        <v>58317880</v>
      </c>
      <c r="AP37" s="292">
        <f t="shared" si="48"/>
        <v>60423423</v>
      </c>
      <c r="AQ37" s="292">
        <f t="shared" si="48"/>
        <v>0</v>
      </c>
      <c r="AR37" s="292">
        <f t="shared" si="52"/>
        <v>118741303</v>
      </c>
      <c r="AS37" s="292">
        <f t="shared" si="53"/>
        <v>0</v>
      </c>
      <c r="AT37" s="292">
        <f t="shared" si="54"/>
        <v>0</v>
      </c>
      <c r="AU37" s="292">
        <f t="shared" si="55"/>
        <v>0</v>
      </c>
      <c r="AV37" s="292">
        <f t="shared" si="56"/>
        <v>0</v>
      </c>
      <c r="AW37" s="292">
        <f t="shared" si="57"/>
        <v>0</v>
      </c>
      <c r="AX37" s="292">
        <f t="shared" si="58"/>
        <v>0</v>
      </c>
      <c r="AY37" s="292">
        <f t="shared" si="59"/>
        <v>1393434802</v>
      </c>
      <c r="AZ37" s="292">
        <f t="shared" si="60"/>
        <v>70596286</v>
      </c>
      <c r="BA37" s="292">
        <f t="shared" si="60"/>
        <v>47857597</v>
      </c>
      <c r="BB37" s="292">
        <f t="shared" si="61"/>
        <v>1511888685</v>
      </c>
      <c r="BC37" s="293"/>
      <c r="BD37" s="293"/>
      <c r="BE37" s="5">
        <f>BB37/'Monthly D4 Gallon Data'!AX35</f>
        <v>1.5131006014136017</v>
      </c>
    </row>
    <row r="38" spans="1:57" s="294" customFormat="1" ht="13.5" hidden="1" thickBot="1">
      <c r="A38" s="170">
        <v>41214</v>
      </c>
      <c r="B38" s="290">
        <v>101971466</v>
      </c>
      <c r="C38" s="290">
        <v>0</v>
      </c>
      <c r="D38" s="290">
        <v>1214528</v>
      </c>
      <c r="E38" s="291">
        <f t="shared" si="0"/>
        <v>103185994</v>
      </c>
      <c r="F38" s="290">
        <f t="shared" si="6"/>
        <v>6191621</v>
      </c>
      <c r="G38" s="290">
        <f t="shared" si="7"/>
        <v>17524064</v>
      </c>
      <c r="H38" s="290">
        <f t="shared" si="8"/>
        <v>0</v>
      </c>
      <c r="I38" s="291">
        <f t="shared" si="1"/>
        <v>23715685</v>
      </c>
      <c r="J38" s="290">
        <f t="shared" si="9"/>
        <v>0</v>
      </c>
      <c r="K38" s="290">
        <v>0</v>
      </c>
      <c r="L38" s="291">
        <f t="shared" si="2"/>
        <v>0</v>
      </c>
      <c r="M38" s="290">
        <f t="shared" si="10"/>
        <v>0</v>
      </c>
      <c r="N38" s="291">
        <f t="shared" si="11"/>
        <v>0</v>
      </c>
      <c r="O38" s="291">
        <f t="shared" si="3"/>
        <v>108163087</v>
      </c>
      <c r="P38" s="291">
        <f t="shared" si="12"/>
        <v>17524064</v>
      </c>
      <c r="Q38" s="291">
        <f t="shared" si="4"/>
        <v>1214528</v>
      </c>
      <c r="R38" s="291">
        <f t="shared" si="13"/>
        <v>126901679</v>
      </c>
      <c r="S38" s="292">
        <v>0</v>
      </c>
      <c r="T38" s="292">
        <v>910142</v>
      </c>
      <c r="U38" s="292">
        <v>5281479</v>
      </c>
      <c r="V38" s="292">
        <f t="shared" si="14"/>
        <v>6191621</v>
      </c>
      <c r="W38" s="290">
        <v>0</v>
      </c>
      <c r="X38" s="290">
        <v>0</v>
      </c>
      <c r="Y38" s="292">
        <v>17524064</v>
      </c>
      <c r="Z38" s="292">
        <f t="shared" si="15"/>
        <v>17524064</v>
      </c>
      <c r="AA38" s="290">
        <v>0</v>
      </c>
      <c r="AB38" s="290">
        <v>0</v>
      </c>
      <c r="AC38" s="290">
        <v>0</v>
      </c>
      <c r="AD38" s="292">
        <f t="shared" si="16"/>
        <v>0</v>
      </c>
      <c r="AE38" s="292">
        <v>0</v>
      </c>
      <c r="AF38" s="292">
        <v>0</v>
      </c>
      <c r="AG38" s="292">
        <f t="shared" si="17"/>
        <v>0</v>
      </c>
      <c r="AH38" s="292">
        <v>0</v>
      </c>
      <c r="AI38" s="292">
        <f t="shared" si="5"/>
        <v>0</v>
      </c>
      <c r="AJ38" s="292">
        <f t="shared" si="18"/>
        <v>0</v>
      </c>
      <c r="AK38" s="292">
        <f t="shared" si="49"/>
        <v>1437088388</v>
      </c>
      <c r="AL38" s="292">
        <f t="shared" si="47"/>
        <v>10172863</v>
      </c>
      <c r="AM38" s="292">
        <f t="shared" si="47"/>
        <v>49072125</v>
      </c>
      <c r="AN38" s="292">
        <f t="shared" si="50"/>
        <v>1496333376</v>
      </c>
      <c r="AO38" s="292">
        <f t="shared" si="51"/>
        <v>64509501</v>
      </c>
      <c r="AP38" s="292">
        <f t="shared" si="48"/>
        <v>77947487</v>
      </c>
      <c r="AQ38" s="292">
        <f t="shared" si="48"/>
        <v>0</v>
      </c>
      <c r="AR38" s="292">
        <f t="shared" si="52"/>
        <v>142456988</v>
      </c>
      <c r="AS38" s="292">
        <f t="shared" si="53"/>
        <v>0</v>
      </c>
      <c r="AT38" s="292">
        <f t="shared" si="54"/>
        <v>0</v>
      </c>
      <c r="AU38" s="292">
        <f t="shared" si="55"/>
        <v>0</v>
      </c>
      <c r="AV38" s="292">
        <f t="shared" si="56"/>
        <v>0</v>
      </c>
      <c r="AW38" s="292">
        <f t="shared" si="57"/>
        <v>0</v>
      </c>
      <c r="AX38" s="292">
        <f t="shared" si="58"/>
        <v>0</v>
      </c>
      <c r="AY38" s="292">
        <f t="shared" si="59"/>
        <v>1501597889</v>
      </c>
      <c r="AZ38" s="292">
        <f t="shared" si="60"/>
        <v>88120350</v>
      </c>
      <c r="BA38" s="292">
        <f t="shared" si="60"/>
        <v>49072125</v>
      </c>
      <c r="BB38" s="292">
        <f t="shared" si="61"/>
        <v>1638790364</v>
      </c>
      <c r="BC38" s="293"/>
      <c r="BD38" s="293"/>
      <c r="BE38" s="5">
        <f>BB38/'Monthly D4 Gallon Data'!AX36</f>
        <v>1.5146321288090736</v>
      </c>
    </row>
    <row r="39" spans="1:57" s="294" customFormat="1" ht="13.5" hidden="1" thickBot="1">
      <c r="A39" s="170">
        <v>41244</v>
      </c>
      <c r="B39" s="290">
        <v>87234994</v>
      </c>
      <c r="C39" s="290">
        <v>0</v>
      </c>
      <c r="D39" s="290">
        <v>1098374</v>
      </c>
      <c r="E39" s="291">
        <f t="shared" si="0"/>
        <v>88333368</v>
      </c>
      <c r="F39" s="290">
        <f t="shared" si="6"/>
        <v>2693783</v>
      </c>
      <c r="G39" s="290">
        <f t="shared" si="7"/>
        <v>7516482</v>
      </c>
      <c r="H39" s="290">
        <f t="shared" si="8"/>
        <v>0</v>
      </c>
      <c r="I39" s="291">
        <f t="shared" si="1"/>
        <v>10210265</v>
      </c>
      <c r="J39" s="290">
        <f t="shared" si="9"/>
        <v>0</v>
      </c>
      <c r="K39" s="290">
        <v>0</v>
      </c>
      <c r="L39" s="291">
        <f t="shared" si="2"/>
        <v>0</v>
      </c>
      <c r="M39" s="290">
        <f t="shared" si="10"/>
        <v>0</v>
      </c>
      <c r="N39" s="291">
        <f t="shared" si="11"/>
        <v>0</v>
      </c>
      <c r="O39" s="291">
        <f t="shared" si="3"/>
        <v>89928777</v>
      </c>
      <c r="P39" s="298">
        <f t="shared" si="12"/>
        <v>7516482</v>
      </c>
      <c r="Q39" s="291">
        <f t="shared" si="4"/>
        <v>1098374</v>
      </c>
      <c r="R39" s="291">
        <f t="shared" si="13"/>
        <v>98543633</v>
      </c>
      <c r="S39" s="292"/>
      <c r="T39" s="292">
        <v>884647</v>
      </c>
      <c r="U39" s="292">
        <v>1809136</v>
      </c>
      <c r="V39" s="292">
        <f t="shared" si="14"/>
        <v>2693783</v>
      </c>
      <c r="W39" s="290">
        <v>0</v>
      </c>
      <c r="X39" s="290">
        <v>0</v>
      </c>
      <c r="Y39" s="292">
        <v>7516482</v>
      </c>
      <c r="Z39" s="292">
        <f t="shared" si="15"/>
        <v>7516482</v>
      </c>
      <c r="AA39" s="290">
        <v>0</v>
      </c>
      <c r="AB39" s="290">
        <v>0</v>
      </c>
      <c r="AC39" s="290">
        <v>0</v>
      </c>
      <c r="AD39" s="292">
        <f t="shared" si="16"/>
        <v>0</v>
      </c>
      <c r="AE39" s="292">
        <v>0</v>
      </c>
      <c r="AF39" s="292">
        <v>0</v>
      </c>
      <c r="AG39" s="292">
        <f t="shared" si="17"/>
        <v>0</v>
      </c>
      <c r="AH39" s="292">
        <v>0</v>
      </c>
      <c r="AI39" s="292">
        <f t="shared" si="5"/>
        <v>0</v>
      </c>
      <c r="AJ39" s="292">
        <f t="shared" si="18"/>
        <v>0</v>
      </c>
      <c r="AK39" s="292">
        <f t="shared" si="49"/>
        <v>1524323382</v>
      </c>
      <c r="AL39" s="292">
        <f t="shared" si="47"/>
        <v>10172863</v>
      </c>
      <c r="AM39" s="292">
        <f t="shared" si="47"/>
        <v>50170499</v>
      </c>
      <c r="AN39" s="292">
        <f t="shared" si="50"/>
        <v>1584666744</v>
      </c>
      <c r="AO39" s="292">
        <f t="shared" si="51"/>
        <v>67203284</v>
      </c>
      <c r="AP39" s="292">
        <f t="shared" si="48"/>
        <v>85463969</v>
      </c>
      <c r="AQ39" s="292">
        <f t="shared" si="48"/>
        <v>0</v>
      </c>
      <c r="AR39" s="292">
        <f t="shared" si="52"/>
        <v>152667253</v>
      </c>
      <c r="AS39" s="292">
        <f t="shared" si="53"/>
        <v>0</v>
      </c>
      <c r="AT39" s="292">
        <f t="shared" si="54"/>
        <v>0</v>
      </c>
      <c r="AU39" s="292">
        <f t="shared" si="55"/>
        <v>0</v>
      </c>
      <c r="AV39" s="292">
        <f t="shared" si="56"/>
        <v>0</v>
      </c>
      <c r="AW39" s="292">
        <f t="shared" si="57"/>
        <v>0</v>
      </c>
      <c r="AX39" s="292">
        <f t="shared" si="58"/>
        <v>0</v>
      </c>
      <c r="AY39" s="292">
        <f t="shared" si="59"/>
        <v>1591526666</v>
      </c>
      <c r="AZ39" s="292">
        <f t="shared" si="60"/>
        <v>95636832</v>
      </c>
      <c r="BA39" s="292">
        <f t="shared" si="60"/>
        <v>50170499</v>
      </c>
      <c r="BB39" s="292">
        <f t="shared" si="61"/>
        <v>1737333997</v>
      </c>
      <c r="BC39" s="293"/>
      <c r="BD39" s="293"/>
      <c r="BE39" s="5">
        <f>BB39/'Monthly D4 Gallon Data'!AX37</f>
        <v>1.514809698917414</v>
      </c>
    </row>
    <row r="40" spans="1:57" s="294" customFormat="1" ht="13.5" hidden="1" thickBot="1">
      <c r="A40" s="171">
        <v>41275</v>
      </c>
      <c r="B40" s="295">
        <v>106738068</v>
      </c>
      <c r="C40" s="295">
        <v>0</v>
      </c>
      <c r="D40" s="295">
        <v>1463988</v>
      </c>
      <c r="E40" s="296">
        <f t="shared" si="0"/>
        <v>108202056</v>
      </c>
      <c r="F40" s="295">
        <f t="shared" si="6"/>
        <v>1426125</v>
      </c>
      <c r="G40" s="295">
        <f t="shared" si="7"/>
        <v>11916516</v>
      </c>
      <c r="H40" s="295">
        <f t="shared" si="8"/>
        <v>0</v>
      </c>
      <c r="I40" s="296">
        <f t="shared" si="1"/>
        <v>13342641</v>
      </c>
      <c r="J40" s="295">
        <f t="shared" si="9"/>
        <v>0</v>
      </c>
      <c r="K40" s="295">
        <v>0</v>
      </c>
      <c r="L40" s="296">
        <f t="shared" si="2"/>
        <v>0</v>
      </c>
      <c r="M40" s="295">
        <f t="shared" si="10"/>
        <v>0</v>
      </c>
      <c r="N40" s="296">
        <f t="shared" si="11"/>
        <v>0</v>
      </c>
      <c r="O40" s="296">
        <f t="shared" si="3"/>
        <v>108164193</v>
      </c>
      <c r="P40" s="296">
        <f t="shared" si="12"/>
        <v>11916516</v>
      </c>
      <c r="Q40" s="296">
        <f t="shared" si="4"/>
        <v>1463988</v>
      </c>
      <c r="R40" s="296">
        <f t="shared" si="13"/>
        <v>121544697</v>
      </c>
      <c r="S40" s="297">
        <v>0</v>
      </c>
      <c r="T40" s="297">
        <v>981285</v>
      </c>
      <c r="U40" s="297">
        <v>444840</v>
      </c>
      <c r="V40" s="297">
        <f t="shared" si="14"/>
        <v>1426125</v>
      </c>
      <c r="W40" s="295">
        <v>0</v>
      </c>
      <c r="X40" s="295">
        <v>0</v>
      </c>
      <c r="Y40" s="297">
        <v>11916516</v>
      </c>
      <c r="Z40" s="297">
        <f t="shared" si="15"/>
        <v>11916516</v>
      </c>
      <c r="AA40" s="295">
        <v>0</v>
      </c>
      <c r="AB40" s="295">
        <v>0</v>
      </c>
      <c r="AC40" s="295">
        <v>0</v>
      </c>
      <c r="AD40" s="297">
        <f t="shared" si="16"/>
        <v>0</v>
      </c>
      <c r="AE40" s="295">
        <v>0</v>
      </c>
      <c r="AF40" s="295">
        <v>0</v>
      </c>
      <c r="AG40" s="297">
        <f t="shared" si="17"/>
        <v>0</v>
      </c>
      <c r="AH40" s="297">
        <v>0</v>
      </c>
      <c r="AI40" s="297">
        <v>0</v>
      </c>
      <c r="AJ40" s="297">
        <f t="shared" si="18"/>
        <v>0</v>
      </c>
      <c r="AK40" s="297">
        <f>B40</f>
        <v>106738068</v>
      </c>
      <c r="AL40" s="297">
        <f>C40</f>
        <v>0</v>
      </c>
      <c r="AM40" s="297">
        <f>D40</f>
        <v>1463988</v>
      </c>
      <c r="AN40" s="297">
        <f>SUM(AK40:AM40)</f>
        <v>108202056</v>
      </c>
      <c r="AO40" s="297">
        <f>F40</f>
        <v>1426125</v>
      </c>
      <c r="AP40" s="297">
        <f>G40</f>
        <v>11916516</v>
      </c>
      <c r="AQ40" s="297">
        <f>H40</f>
        <v>0</v>
      </c>
      <c r="AR40" s="297">
        <f>SUM(AO40:AQ40)</f>
        <v>13342641</v>
      </c>
      <c r="AS40" s="297">
        <f>J40</f>
        <v>0</v>
      </c>
      <c r="AT40" s="297">
        <f>AH40</f>
        <v>0</v>
      </c>
      <c r="AU40" s="297">
        <f>K40</f>
        <v>0</v>
      </c>
      <c r="AV40" s="297">
        <f>SUM(AS40:AU40)</f>
        <v>0</v>
      </c>
      <c r="AW40" s="297">
        <f>M40</f>
        <v>0</v>
      </c>
      <c r="AX40" s="297">
        <f>AW40</f>
        <v>0</v>
      </c>
      <c r="AY40" s="297">
        <f>AK40+AO40+AS40+AW40</f>
        <v>108164193</v>
      </c>
      <c r="AZ40" s="297">
        <f>AL40+AP40+AT40</f>
        <v>11916516</v>
      </c>
      <c r="BA40" s="297">
        <f>AM40+AQ40+AU40</f>
        <v>1463988</v>
      </c>
      <c r="BB40" s="297">
        <f>SUM(AY40:BA40)</f>
        <v>121544697</v>
      </c>
      <c r="BC40" s="293"/>
      <c r="BD40" s="293"/>
      <c r="BE40" s="5">
        <f>BB40/'Monthly D4 Gallon Data'!AX38</f>
        <v>1.5189577573101736</v>
      </c>
    </row>
    <row r="41" spans="1:57" s="294" customFormat="1" ht="13.5" hidden="1" thickBot="1">
      <c r="A41" s="170">
        <v>41306</v>
      </c>
      <c r="B41" s="290">
        <v>111768645</v>
      </c>
      <c r="C41" s="290">
        <v>0</v>
      </c>
      <c r="D41" s="290">
        <v>4610442</v>
      </c>
      <c r="E41" s="291">
        <f t="shared" si="0"/>
        <v>116379087</v>
      </c>
      <c r="F41" s="290">
        <f t="shared" si="6"/>
        <v>1149266</v>
      </c>
      <c r="G41" s="290">
        <f t="shared" si="7"/>
        <v>0</v>
      </c>
      <c r="H41" s="290">
        <f t="shared" si="8"/>
        <v>4090016</v>
      </c>
      <c r="I41" s="291">
        <f t="shared" si="1"/>
        <v>5239282</v>
      </c>
      <c r="J41" s="290">
        <f t="shared" si="9"/>
        <v>0</v>
      </c>
      <c r="K41" s="290">
        <v>0</v>
      </c>
      <c r="L41" s="291">
        <f t="shared" si="2"/>
        <v>0</v>
      </c>
      <c r="M41" s="290">
        <f t="shared" si="10"/>
        <v>0</v>
      </c>
      <c r="N41" s="291">
        <f t="shared" si="11"/>
        <v>0</v>
      </c>
      <c r="O41" s="291">
        <f t="shared" si="3"/>
        <v>112917911</v>
      </c>
      <c r="P41" s="291">
        <f t="shared" si="12"/>
        <v>0</v>
      </c>
      <c r="Q41" s="291">
        <f t="shared" si="4"/>
        <v>8700458</v>
      </c>
      <c r="R41" s="291">
        <f t="shared" si="13"/>
        <v>121618369</v>
      </c>
      <c r="S41" s="292">
        <v>106358</v>
      </c>
      <c r="T41" s="292">
        <v>685141</v>
      </c>
      <c r="U41" s="292">
        <v>357767</v>
      </c>
      <c r="V41" s="292">
        <f t="shared" si="14"/>
        <v>1149266</v>
      </c>
      <c r="W41" s="290">
        <v>0</v>
      </c>
      <c r="X41" s="290">
        <v>0</v>
      </c>
      <c r="Y41" s="292">
        <v>0</v>
      </c>
      <c r="Z41" s="292">
        <f t="shared" si="15"/>
        <v>0</v>
      </c>
      <c r="AA41" s="290">
        <v>0</v>
      </c>
      <c r="AB41" s="290">
        <v>0</v>
      </c>
      <c r="AC41" s="292">
        <v>4090016</v>
      </c>
      <c r="AD41" s="292">
        <f t="shared" si="16"/>
        <v>4090016</v>
      </c>
      <c r="AE41" s="290">
        <v>0</v>
      </c>
      <c r="AF41" s="290">
        <v>0</v>
      </c>
      <c r="AG41" s="292">
        <f t="shared" si="17"/>
        <v>0</v>
      </c>
      <c r="AH41" s="292">
        <v>0</v>
      </c>
      <c r="AI41" s="292">
        <v>0</v>
      </c>
      <c r="AJ41" s="292">
        <f t="shared" si="18"/>
        <v>0</v>
      </c>
      <c r="AK41" s="292">
        <f>AK40+B41</f>
        <v>218506713</v>
      </c>
      <c r="AL41" s="292">
        <f t="shared" ref="AL41:AM51" si="62">AL40+C41</f>
        <v>0</v>
      </c>
      <c r="AM41" s="292">
        <f t="shared" si="62"/>
        <v>6074430</v>
      </c>
      <c r="AN41" s="292">
        <f>SUM(AK41:AM41)</f>
        <v>224581143</v>
      </c>
      <c r="AO41" s="292">
        <f>AO40+F41</f>
        <v>2575391</v>
      </c>
      <c r="AP41" s="292">
        <f t="shared" ref="AP41:AQ51" si="63">AP40+G41</f>
        <v>11916516</v>
      </c>
      <c r="AQ41" s="292">
        <f t="shared" si="63"/>
        <v>4090016</v>
      </c>
      <c r="AR41" s="292">
        <f>SUM(AO41:AQ41)</f>
        <v>18581923</v>
      </c>
      <c r="AS41" s="292">
        <f>AS40+J41</f>
        <v>0</v>
      </c>
      <c r="AT41" s="292">
        <f>AT40+AH41</f>
        <v>0</v>
      </c>
      <c r="AU41" s="292">
        <f>AU40+K41</f>
        <v>0</v>
      </c>
      <c r="AV41" s="292">
        <f>SUM(AS41:AU41)</f>
        <v>0</v>
      </c>
      <c r="AW41" s="292">
        <f>AW40+M41</f>
        <v>0</v>
      </c>
      <c r="AX41" s="292">
        <f>AW41</f>
        <v>0</v>
      </c>
      <c r="AY41" s="292">
        <f>AK41+AO41+AS41+AW41</f>
        <v>221082104</v>
      </c>
      <c r="AZ41" s="292">
        <f>AL41+AP41+AT41</f>
        <v>11916516</v>
      </c>
      <c r="BA41" s="292">
        <f>AM41+AQ41+AU41</f>
        <v>10164446</v>
      </c>
      <c r="BB41" s="292">
        <f>SUM(AY41:BA41)</f>
        <v>243163066</v>
      </c>
      <c r="BC41" s="293"/>
      <c r="BD41" s="293"/>
      <c r="BE41" s="5">
        <f>BB41/'Monthly D4 Gallon Data'!AX39</f>
        <v>1.5129697064302106</v>
      </c>
    </row>
    <row r="42" spans="1:57" s="294" customFormat="1" ht="13.5" hidden="1" thickBot="1">
      <c r="A42" s="170">
        <v>41334</v>
      </c>
      <c r="B42" s="290">
        <v>151547391</v>
      </c>
      <c r="C42" s="290">
        <v>0</v>
      </c>
      <c r="D42" s="290">
        <v>14054171</v>
      </c>
      <c r="E42" s="291">
        <f t="shared" si="0"/>
        <v>165601562</v>
      </c>
      <c r="F42" s="290">
        <f t="shared" si="6"/>
        <v>1933109</v>
      </c>
      <c r="G42" s="290">
        <f t="shared" si="7"/>
        <v>21624540</v>
      </c>
      <c r="H42" s="290">
        <f t="shared" si="8"/>
        <v>8396103</v>
      </c>
      <c r="I42" s="291">
        <f t="shared" si="1"/>
        <v>31953752</v>
      </c>
      <c r="J42" s="290">
        <f t="shared" si="9"/>
        <v>0</v>
      </c>
      <c r="K42" s="290">
        <v>0</v>
      </c>
      <c r="L42" s="291">
        <f t="shared" si="2"/>
        <v>0</v>
      </c>
      <c r="M42" s="290">
        <f t="shared" si="10"/>
        <v>0</v>
      </c>
      <c r="N42" s="291">
        <f t="shared" si="11"/>
        <v>0</v>
      </c>
      <c r="O42" s="291">
        <f t="shared" si="3"/>
        <v>153480500</v>
      </c>
      <c r="P42" s="291">
        <f t="shared" si="12"/>
        <v>21624540</v>
      </c>
      <c r="Q42" s="291">
        <f t="shared" si="4"/>
        <v>22450274</v>
      </c>
      <c r="R42" s="291">
        <f t="shared" si="13"/>
        <v>197555314</v>
      </c>
      <c r="S42" s="292">
        <v>102536</v>
      </c>
      <c r="T42" s="292">
        <v>948249</v>
      </c>
      <c r="U42" s="292">
        <v>882324</v>
      </c>
      <c r="V42" s="292">
        <f t="shared" si="14"/>
        <v>1933109</v>
      </c>
      <c r="W42" s="290">
        <v>0</v>
      </c>
      <c r="X42" s="290">
        <v>0</v>
      </c>
      <c r="Y42" s="292">
        <v>21624540</v>
      </c>
      <c r="Z42" s="292">
        <f t="shared" si="15"/>
        <v>21624540</v>
      </c>
      <c r="AA42" s="290">
        <v>0</v>
      </c>
      <c r="AB42" s="290">
        <v>0</v>
      </c>
      <c r="AC42" s="292">
        <v>8396103</v>
      </c>
      <c r="AD42" s="292">
        <f t="shared" si="16"/>
        <v>8396103</v>
      </c>
      <c r="AE42" s="290">
        <v>0</v>
      </c>
      <c r="AF42" s="290">
        <v>0</v>
      </c>
      <c r="AG42" s="292">
        <f t="shared" si="17"/>
        <v>0</v>
      </c>
      <c r="AH42" s="292">
        <v>0</v>
      </c>
      <c r="AI42" s="292">
        <v>0</v>
      </c>
      <c r="AJ42" s="292">
        <f t="shared" si="18"/>
        <v>0</v>
      </c>
      <c r="AK42" s="292">
        <f t="shared" ref="AK42:AK51" si="64">AK41+B42</f>
        <v>370054104</v>
      </c>
      <c r="AL42" s="292">
        <f t="shared" si="62"/>
        <v>0</v>
      </c>
      <c r="AM42" s="292">
        <f t="shared" si="62"/>
        <v>20128601</v>
      </c>
      <c r="AN42" s="292">
        <f t="shared" ref="AN42:AN51" si="65">SUM(AK42:AM42)</f>
        <v>390182705</v>
      </c>
      <c r="AO42" s="292">
        <f t="shared" ref="AO42:AO51" si="66">AO41+F42</f>
        <v>4508500</v>
      </c>
      <c r="AP42" s="292">
        <f t="shared" si="63"/>
        <v>33541056</v>
      </c>
      <c r="AQ42" s="292">
        <f t="shared" si="63"/>
        <v>12486119</v>
      </c>
      <c r="AR42" s="292">
        <f t="shared" ref="AR42:AR51" si="67">SUM(AO42:AQ42)</f>
        <v>50535675</v>
      </c>
      <c r="AS42" s="292">
        <f t="shared" ref="AS42:AS51" si="68">AS41+J42</f>
        <v>0</v>
      </c>
      <c r="AT42" s="292">
        <f t="shared" ref="AT42:AT51" si="69">AT41+AH42</f>
        <v>0</v>
      </c>
      <c r="AU42" s="292">
        <f t="shared" ref="AU42:AU51" si="70">AU41+K42</f>
        <v>0</v>
      </c>
      <c r="AV42" s="292">
        <f t="shared" ref="AV42:AV51" si="71">SUM(AS42:AU42)</f>
        <v>0</v>
      </c>
      <c r="AW42" s="292">
        <f t="shared" ref="AW42:AW51" si="72">AW41+M42</f>
        <v>0</v>
      </c>
      <c r="AX42" s="292">
        <f t="shared" ref="AX42:AX51" si="73">AW42</f>
        <v>0</v>
      </c>
      <c r="AY42" s="292">
        <f t="shared" ref="AY42:AY51" si="74">AK42+AO42+AS42+AW42</f>
        <v>374562604</v>
      </c>
      <c r="AZ42" s="292">
        <f t="shared" ref="AZ42:BA51" si="75">AL42+AP42+AT42</f>
        <v>33541056</v>
      </c>
      <c r="BA42" s="292">
        <f t="shared" si="75"/>
        <v>32614720</v>
      </c>
      <c r="BB42" s="292">
        <f t="shared" ref="BB42:BB51" si="76">SUM(AY42:BA42)</f>
        <v>440718380</v>
      </c>
      <c r="BC42" s="293"/>
      <c r="BD42" s="293"/>
      <c r="BE42" s="5">
        <f>BB42/'Monthly D4 Gallon Data'!AX40</f>
        <v>1.519938518274736</v>
      </c>
    </row>
    <row r="43" spans="1:57" s="294" customFormat="1" ht="13.5" hidden="1" thickBot="1">
      <c r="A43" s="170">
        <v>41365</v>
      </c>
      <c r="B43" s="290">
        <v>166434137</v>
      </c>
      <c r="C43" s="290">
        <v>0</v>
      </c>
      <c r="D43" s="290">
        <v>7183917</v>
      </c>
      <c r="E43" s="291">
        <f t="shared" si="0"/>
        <v>173618054</v>
      </c>
      <c r="F43" s="290">
        <f t="shared" si="6"/>
        <v>1671879</v>
      </c>
      <c r="G43" s="290">
        <f t="shared" si="7"/>
        <v>14600840</v>
      </c>
      <c r="H43" s="290">
        <f t="shared" si="8"/>
        <v>0</v>
      </c>
      <c r="I43" s="291">
        <f t="shared" si="1"/>
        <v>16272719</v>
      </c>
      <c r="J43" s="290">
        <f t="shared" si="9"/>
        <v>0</v>
      </c>
      <c r="K43" s="290">
        <v>0</v>
      </c>
      <c r="L43" s="291">
        <f t="shared" si="2"/>
        <v>0</v>
      </c>
      <c r="M43" s="290">
        <f t="shared" si="10"/>
        <v>0</v>
      </c>
      <c r="N43" s="291">
        <f t="shared" si="11"/>
        <v>0</v>
      </c>
      <c r="O43" s="291">
        <f t="shared" si="3"/>
        <v>168106016</v>
      </c>
      <c r="P43" s="291">
        <f t="shared" si="12"/>
        <v>14600840</v>
      </c>
      <c r="Q43" s="291">
        <f t="shared" si="4"/>
        <v>7183917</v>
      </c>
      <c r="R43" s="291">
        <f t="shared" si="13"/>
        <v>189890773</v>
      </c>
      <c r="S43" s="292">
        <v>0</v>
      </c>
      <c r="T43" s="292">
        <v>1097958</v>
      </c>
      <c r="U43" s="292">
        <v>573921</v>
      </c>
      <c r="V43" s="292">
        <f t="shared" si="14"/>
        <v>1671879</v>
      </c>
      <c r="W43" s="290">
        <v>0</v>
      </c>
      <c r="X43" s="290">
        <v>0</v>
      </c>
      <c r="Y43" s="292">
        <v>14600840</v>
      </c>
      <c r="Z43" s="292">
        <f t="shared" si="15"/>
        <v>14600840</v>
      </c>
      <c r="AA43" s="290">
        <v>0</v>
      </c>
      <c r="AB43" s="290">
        <v>0</v>
      </c>
      <c r="AC43" s="292">
        <v>0</v>
      </c>
      <c r="AD43" s="292">
        <f t="shared" si="16"/>
        <v>0</v>
      </c>
      <c r="AE43" s="290">
        <v>0</v>
      </c>
      <c r="AF43" s="290">
        <v>0</v>
      </c>
      <c r="AG43" s="292">
        <f t="shared" si="17"/>
        <v>0</v>
      </c>
      <c r="AH43" s="292">
        <v>0</v>
      </c>
      <c r="AI43" s="292">
        <v>0</v>
      </c>
      <c r="AJ43" s="292">
        <f t="shared" si="18"/>
        <v>0</v>
      </c>
      <c r="AK43" s="292">
        <f t="shared" si="64"/>
        <v>536488241</v>
      </c>
      <c r="AL43" s="292">
        <f t="shared" si="62"/>
        <v>0</v>
      </c>
      <c r="AM43" s="292">
        <f t="shared" si="62"/>
        <v>27312518</v>
      </c>
      <c r="AN43" s="292">
        <f t="shared" si="65"/>
        <v>563800759</v>
      </c>
      <c r="AO43" s="292">
        <f t="shared" si="66"/>
        <v>6180379</v>
      </c>
      <c r="AP43" s="292">
        <f t="shared" si="63"/>
        <v>48141896</v>
      </c>
      <c r="AQ43" s="292">
        <f t="shared" si="63"/>
        <v>12486119</v>
      </c>
      <c r="AR43" s="292">
        <f t="shared" si="67"/>
        <v>66808394</v>
      </c>
      <c r="AS43" s="292">
        <f t="shared" si="68"/>
        <v>0</v>
      </c>
      <c r="AT43" s="292">
        <f t="shared" si="69"/>
        <v>0</v>
      </c>
      <c r="AU43" s="292">
        <f t="shared" si="70"/>
        <v>0</v>
      </c>
      <c r="AV43" s="292">
        <f t="shared" si="71"/>
        <v>0</v>
      </c>
      <c r="AW43" s="292">
        <f t="shared" si="72"/>
        <v>0</v>
      </c>
      <c r="AX43" s="292">
        <f t="shared" si="73"/>
        <v>0</v>
      </c>
      <c r="AY43" s="292">
        <f t="shared" si="74"/>
        <v>542668620</v>
      </c>
      <c r="AZ43" s="292">
        <f t="shared" si="75"/>
        <v>48141896</v>
      </c>
      <c r="BA43" s="292">
        <f t="shared" si="75"/>
        <v>39798637</v>
      </c>
      <c r="BB43" s="292">
        <f t="shared" si="76"/>
        <v>630609153</v>
      </c>
      <c r="BC43" s="293"/>
      <c r="BD43" s="293"/>
      <c r="BE43" s="5">
        <f>BB43/'Monthly D4 Gallon Data'!AX41</f>
        <v>1.5183898321617044</v>
      </c>
    </row>
    <row r="44" spans="1:57" s="294" customFormat="1" ht="13.5" hidden="1" thickBot="1">
      <c r="A44" s="170">
        <v>41395</v>
      </c>
      <c r="B44" s="290">
        <v>178398624</v>
      </c>
      <c r="C44" s="290">
        <v>0</v>
      </c>
      <c r="D44" s="290">
        <v>15049714</v>
      </c>
      <c r="E44" s="291">
        <f t="shared" si="0"/>
        <v>193448338</v>
      </c>
      <c r="F44" s="290">
        <f t="shared" si="6"/>
        <v>1572918</v>
      </c>
      <c r="G44" s="290">
        <f t="shared" si="7"/>
        <v>17491720</v>
      </c>
      <c r="H44" s="290">
        <f t="shared" si="8"/>
        <v>0</v>
      </c>
      <c r="I44" s="291">
        <f t="shared" si="1"/>
        <v>19064638</v>
      </c>
      <c r="J44" s="290">
        <f t="shared" si="9"/>
        <v>0</v>
      </c>
      <c r="K44" s="290">
        <v>0</v>
      </c>
      <c r="L44" s="291">
        <f t="shared" si="2"/>
        <v>0</v>
      </c>
      <c r="M44" s="290">
        <f t="shared" si="10"/>
        <v>0</v>
      </c>
      <c r="N44" s="291">
        <f t="shared" si="11"/>
        <v>0</v>
      </c>
      <c r="O44" s="291">
        <f t="shared" si="3"/>
        <v>179971542</v>
      </c>
      <c r="P44" s="291">
        <f t="shared" si="12"/>
        <v>17491720</v>
      </c>
      <c r="Q44" s="291">
        <f t="shared" si="4"/>
        <v>15049714</v>
      </c>
      <c r="R44" s="291">
        <f t="shared" si="13"/>
        <v>212512976</v>
      </c>
      <c r="S44" s="292">
        <v>0</v>
      </c>
      <c r="T44" s="292">
        <v>1128577</v>
      </c>
      <c r="U44" s="292">
        <v>444341</v>
      </c>
      <c r="V44" s="292">
        <f t="shared" si="14"/>
        <v>1572918</v>
      </c>
      <c r="W44" s="290">
        <v>0</v>
      </c>
      <c r="X44" s="290">
        <v>0</v>
      </c>
      <c r="Y44" s="292">
        <v>17491720</v>
      </c>
      <c r="Z44" s="292">
        <f t="shared" si="15"/>
        <v>17491720</v>
      </c>
      <c r="AA44" s="290">
        <v>0</v>
      </c>
      <c r="AB44" s="290">
        <v>0</v>
      </c>
      <c r="AC44" s="292">
        <v>0</v>
      </c>
      <c r="AD44" s="292">
        <f t="shared" si="16"/>
        <v>0</v>
      </c>
      <c r="AE44" s="290">
        <v>0</v>
      </c>
      <c r="AF44" s="290">
        <v>0</v>
      </c>
      <c r="AG44" s="292">
        <f t="shared" si="17"/>
        <v>0</v>
      </c>
      <c r="AH44" s="292">
        <v>0</v>
      </c>
      <c r="AI44" s="292">
        <v>0</v>
      </c>
      <c r="AJ44" s="292">
        <f t="shared" si="18"/>
        <v>0</v>
      </c>
      <c r="AK44" s="292">
        <f t="shared" si="64"/>
        <v>714886865</v>
      </c>
      <c r="AL44" s="292">
        <f t="shared" si="62"/>
        <v>0</v>
      </c>
      <c r="AM44" s="292">
        <f t="shared" si="62"/>
        <v>42362232</v>
      </c>
      <c r="AN44" s="292">
        <f t="shared" si="65"/>
        <v>757249097</v>
      </c>
      <c r="AO44" s="292">
        <f t="shared" si="66"/>
        <v>7753297</v>
      </c>
      <c r="AP44" s="292">
        <f t="shared" si="63"/>
        <v>65633616</v>
      </c>
      <c r="AQ44" s="292">
        <f t="shared" si="63"/>
        <v>12486119</v>
      </c>
      <c r="AR44" s="292">
        <f t="shared" si="67"/>
        <v>85873032</v>
      </c>
      <c r="AS44" s="292">
        <f t="shared" si="68"/>
        <v>0</v>
      </c>
      <c r="AT44" s="292">
        <f t="shared" si="69"/>
        <v>0</v>
      </c>
      <c r="AU44" s="292">
        <f t="shared" si="70"/>
        <v>0</v>
      </c>
      <c r="AV44" s="292">
        <f t="shared" si="71"/>
        <v>0</v>
      </c>
      <c r="AW44" s="292">
        <f t="shared" si="72"/>
        <v>0</v>
      </c>
      <c r="AX44" s="292">
        <f t="shared" si="73"/>
        <v>0</v>
      </c>
      <c r="AY44" s="292">
        <f t="shared" si="74"/>
        <v>722640162</v>
      </c>
      <c r="AZ44" s="292">
        <f t="shared" si="75"/>
        <v>65633616</v>
      </c>
      <c r="BA44" s="292">
        <f t="shared" si="75"/>
        <v>54848351</v>
      </c>
      <c r="BB44" s="292">
        <f t="shared" si="76"/>
        <v>843122129</v>
      </c>
      <c r="BC44" s="293"/>
      <c r="BD44" s="293"/>
      <c r="BE44" s="5">
        <f>BB44/'Monthly D4 Gallon Data'!AX42</f>
        <v>1.5176782045320314</v>
      </c>
    </row>
    <row r="45" spans="1:57" s="294" customFormat="1" ht="13.5" hidden="1" thickBot="1">
      <c r="A45" s="170">
        <v>41426</v>
      </c>
      <c r="B45" s="290">
        <v>176211189</v>
      </c>
      <c r="C45" s="290">
        <v>0</v>
      </c>
      <c r="D45" s="290">
        <v>22120788</v>
      </c>
      <c r="E45" s="291">
        <f t="shared" si="0"/>
        <v>198331977</v>
      </c>
      <c r="F45" s="290">
        <f t="shared" si="6"/>
        <v>2600734</v>
      </c>
      <c r="G45" s="290">
        <f t="shared" si="7"/>
        <v>20982239</v>
      </c>
      <c r="H45" s="290">
        <f t="shared" si="8"/>
        <v>8066041</v>
      </c>
      <c r="I45" s="291">
        <f t="shared" si="1"/>
        <v>31649014</v>
      </c>
      <c r="J45" s="290">
        <f t="shared" si="9"/>
        <v>0</v>
      </c>
      <c r="K45" s="290">
        <v>0</v>
      </c>
      <c r="L45" s="291">
        <f t="shared" si="2"/>
        <v>0</v>
      </c>
      <c r="M45" s="290">
        <f t="shared" si="10"/>
        <v>0</v>
      </c>
      <c r="N45" s="291">
        <f t="shared" si="11"/>
        <v>0</v>
      </c>
      <c r="O45" s="291">
        <f t="shared" si="3"/>
        <v>178811923</v>
      </c>
      <c r="P45" s="291">
        <f t="shared" si="12"/>
        <v>20982239</v>
      </c>
      <c r="Q45" s="291">
        <f t="shared" si="4"/>
        <v>30186829</v>
      </c>
      <c r="R45" s="291">
        <f t="shared" si="13"/>
        <v>229980991</v>
      </c>
      <c r="S45" s="292">
        <v>69722</v>
      </c>
      <c r="T45" s="292">
        <v>1750259</v>
      </c>
      <c r="U45" s="292">
        <v>780753</v>
      </c>
      <c r="V45" s="292">
        <f t="shared" si="14"/>
        <v>2600734</v>
      </c>
      <c r="W45" s="290">
        <v>0</v>
      </c>
      <c r="X45" s="290">
        <v>0</v>
      </c>
      <c r="Y45" s="292">
        <v>20982239</v>
      </c>
      <c r="Z45" s="292">
        <f t="shared" si="15"/>
        <v>20982239</v>
      </c>
      <c r="AA45" s="290">
        <v>0</v>
      </c>
      <c r="AB45" s="290">
        <v>0</v>
      </c>
      <c r="AC45" s="292">
        <v>8066041</v>
      </c>
      <c r="AD45" s="292">
        <f t="shared" si="16"/>
        <v>8066041</v>
      </c>
      <c r="AE45" s="290">
        <v>0</v>
      </c>
      <c r="AF45" s="290">
        <v>0</v>
      </c>
      <c r="AG45" s="292">
        <f t="shared" si="17"/>
        <v>0</v>
      </c>
      <c r="AH45" s="292">
        <v>0</v>
      </c>
      <c r="AI45" s="292">
        <v>0</v>
      </c>
      <c r="AJ45" s="292">
        <f t="shared" si="18"/>
        <v>0</v>
      </c>
      <c r="AK45" s="292">
        <f t="shared" si="64"/>
        <v>891098054</v>
      </c>
      <c r="AL45" s="292">
        <f t="shared" si="62"/>
        <v>0</v>
      </c>
      <c r="AM45" s="292">
        <f t="shared" si="62"/>
        <v>64483020</v>
      </c>
      <c r="AN45" s="292">
        <f t="shared" si="65"/>
        <v>955581074</v>
      </c>
      <c r="AO45" s="292">
        <f t="shared" si="66"/>
        <v>10354031</v>
      </c>
      <c r="AP45" s="292">
        <f t="shared" si="63"/>
        <v>86615855</v>
      </c>
      <c r="AQ45" s="292">
        <f t="shared" si="63"/>
        <v>20552160</v>
      </c>
      <c r="AR45" s="292">
        <f t="shared" si="67"/>
        <v>117522046</v>
      </c>
      <c r="AS45" s="292">
        <f t="shared" si="68"/>
        <v>0</v>
      </c>
      <c r="AT45" s="292">
        <f t="shared" si="69"/>
        <v>0</v>
      </c>
      <c r="AU45" s="292">
        <f t="shared" si="70"/>
        <v>0</v>
      </c>
      <c r="AV45" s="292">
        <f t="shared" si="71"/>
        <v>0</v>
      </c>
      <c r="AW45" s="292">
        <f t="shared" si="72"/>
        <v>0</v>
      </c>
      <c r="AX45" s="292">
        <f t="shared" si="73"/>
        <v>0</v>
      </c>
      <c r="AY45" s="292">
        <f t="shared" si="74"/>
        <v>901452085</v>
      </c>
      <c r="AZ45" s="292">
        <f t="shared" si="75"/>
        <v>86615855</v>
      </c>
      <c r="BA45" s="292">
        <f t="shared" si="75"/>
        <v>85035180</v>
      </c>
      <c r="BB45" s="292">
        <f t="shared" si="76"/>
        <v>1073103120</v>
      </c>
      <c r="BC45" s="293"/>
      <c r="BD45" s="293"/>
      <c r="BE45" s="5">
        <f>BB45/'Monthly D4 Gallon Data'!AX43</f>
        <v>1.5190276214233662</v>
      </c>
    </row>
    <row r="46" spans="1:57" s="294" customFormat="1" ht="13.5" hidden="1" thickBot="1">
      <c r="A46" s="170">
        <v>41456</v>
      </c>
      <c r="B46" s="290">
        <v>192420834</v>
      </c>
      <c r="C46" s="290">
        <v>0</v>
      </c>
      <c r="D46" s="290">
        <v>9780099</v>
      </c>
      <c r="E46" s="291">
        <f t="shared" si="0"/>
        <v>202200933</v>
      </c>
      <c r="F46" s="290">
        <f t="shared" si="6"/>
        <v>18194177</v>
      </c>
      <c r="G46" s="290">
        <f t="shared" si="7"/>
        <v>28088984</v>
      </c>
      <c r="H46" s="290">
        <f t="shared" si="8"/>
        <v>12302762</v>
      </c>
      <c r="I46" s="291">
        <f t="shared" si="1"/>
        <v>58585923</v>
      </c>
      <c r="J46" s="290">
        <f t="shared" si="9"/>
        <v>0</v>
      </c>
      <c r="K46" s="290">
        <v>0</v>
      </c>
      <c r="L46" s="291">
        <f t="shared" si="2"/>
        <v>0</v>
      </c>
      <c r="M46" s="290">
        <f t="shared" si="10"/>
        <v>0</v>
      </c>
      <c r="N46" s="291">
        <f t="shared" si="11"/>
        <v>0</v>
      </c>
      <c r="O46" s="291">
        <f t="shared" si="3"/>
        <v>210615011</v>
      </c>
      <c r="P46" s="291">
        <f t="shared" si="12"/>
        <v>28088984</v>
      </c>
      <c r="Q46" s="291">
        <f t="shared" si="4"/>
        <v>22082861</v>
      </c>
      <c r="R46" s="291">
        <f t="shared" si="13"/>
        <v>260786856</v>
      </c>
      <c r="S46" s="292">
        <v>88139</v>
      </c>
      <c r="T46" s="292">
        <v>17555901</v>
      </c>
      <c r="U46" s="292">
        <v>550137</v>
      </c>
      <c r="V46" s="292">
        <f t="shared" si="14"/>
        <v>18194177</v>
      </c>
      <c r="W46" s="290">
        <v>0</v>
      </c>
      <c r="X46" s="290">
        <v>0</v>
      </c>
      <c r="Y46" s="292">
        <v>28088984</v>
      </c>
      <c r="Z46" s="292">
        <f t="shared" si="15"/>
        <v>28088984</v>
      </c>
      <c r="AA46" s="290">
        <v>0</v>
      </c>
      <c r="AB46" s="290">
        <v>0</v>
      </c>
      <c r="AC46" s="292">
        <v>12302762</v>
      </c>
      <c r="AD46" s="292">
        <f t="shared" si="16"/>
        <v>12302762</v>
      </c>
      <c r="AE46" s="290">
        <v>0</v>
      </c>
      <c r="AF46" s="290">
        <v>0</v>
      </c>
      <c r="AG46" s="292">
        <f t="shared" si="17"/>
        <v>0</v>
      </c>
      <c r="AH46" s="292">
        <v>0</v>
      </c>
      <c r="AI46" s="292">
        <v>0</v>
      </c>
      <c r="AJ46" s="292">
        <f t="shared" si="18"/>
        <v>0</v>
      </c>
      <c r="AK46" s="292">
        <f t="shared" si="64"/>
        <v>1083518888</v>
      </c>
      <c r="AL46" s="292">
        <f t="shared" si="62"/>
        <v>0</v>
      </c>
      <c r="AM46" s="292">
        <f t="shared" si="62"/>
        <v>74263119</v>
      </c>
      <c r="AN46" s="292">
        <f t="shared" si="65"/>
        <v>1157782007</v>
      </c>
      <c r="AO46" s="292">
        <f t="shared" si="66"/>
        <v>28548208</v>
      </c>
      <c r="AP46" s="292">
        <f t="shared" si="63"/>
        <v>114704839</v>
      </c>
      <c r="AQ46" s="292">
        <f t="shared" si="63"/>
        <v>32854922</v>
      </c>
      <c r="AR46" s="292">
        <f t="shared" si="67"/>
        <v>176107969</v>
      </c>
      <c r="AS46" s="292">
        <f t="shared" si="68"/>
        <v>0</v>
      </c>
      <c r="AT46" s="292">
        <f t="shared" si="69"/>
        <v>0</v>
      </c>
      <c r="AU46" s="292">
        <f t="shared" si="70"/>
        <v>0</v>
      </c>
      <c r="AV46" s="292">
        <f t="shared" si="71"/>
        <v>0</v>
      </c>
      <c r="AW46" s="292">
        <f t="shared" si="72"/>
        <v>0</v>
      </c>
      <c r="AX46" s="292">
        <f t="shared" si="73"/>
        <v>0</v>
      </c>
      <c r="AY46" s="292">
        <f t="shared" si="74"/>
        <v>1112067096</v>
      </c>
      <c r="AZ46" s="292">
        <f t="shared" si="75"/>
        <v>114704839</v>
      </c>
      <c r="BA46" s="292">
        <f t="shared" si="75"/>
        <v>107118041</v>
      </c>
      <c r="BB46" s="292">
        <f t="shared" si="76"/>
        <v>1333889976</v>
      </c>
      <c r="BC46" s="293"/>
      <c r="BD46" s="293"/>
      <c r="BE46" s="5">
        <f>BB46/'Monthly D4 Gallon Data'!AX44</f>
        <v>1.5220898640073519</v>
      </c>
    </row>
    <row r="47" spans="1:57" s="294" customFormat="1" ht="13.5" hidden="1" thickBot="1">
      <c r="A47" s="170">
        <v>41487</v>
      </c>
      <c r="B47" s="290">
        <v>194833580</v>
      </c>
      <c r="C47" s="290">
        <v>2266654</v>
      </c>
      <c r="D47" s="290">
        <v>21989918</v>
      </c>
      <c r="E47" s="291">
        <f t="shared" si="0"/>
        <v>219090152</v>
      </c>
      <c r="F47" s="290">
        <f t="shared" si="6"/>
        <v>14389733</v>
      </c>
      <c r="G47" s="290">
        <f t="shared" si="7"/>
        <v>38040795</v>
      </c>
      <c r="H47" s="290">
        <f t="shared" si="8"/>
        <v>3869496</v>
      </c>
      <c r="I47" s="291">
        <f t="shared" si="1"/>
        <v>56300024</v>
      </c>
      <c r="J47" s="290">
        <f t="shared" si="9"/>
        <v>0</v>
      </c>
      <c r="K47" s="290">
        <v>0</v>
      </c>
      <c r="L47" s="291">
        <f t="shared" si="2"/>
        <v>0</v>
      </c>
      <c r="M47" s="290">
        <f t="shared" si="10"/>
        <v>0</v>
      </c>
      <c r="N47" s="291">
        <f t="shared" si="11"/>
        <v>0</v>
      </c>
      <c r="O47" s="291">
        <f t="shared" si="3"/>
        <v>209223313</v>
      </c>
      <c r="P47" s="291">
        <f t="shared" si="12"/>
        <v>40307449</v>
      </c>
      <c r="Q47" s="291">
        <f t="shared" si="4"/>
        <v>25859414</v>
      </c>
      <c r="R47" s="291">
        <f t="shared" si="13"/>
        <v>275390176</v>
      </c>
      <c r="S47" s="292">
        <v>0</v>
      </c>
      <c r="T47" s="292">
        <v>11567314</v>
      </c>
      <c r="U47" s="292">
        <v>2822419</v>
      </c>
      <c r="V47" s="292">
        <f t="shared" si="14"/>
        <v>14389733</v>
      </c>
      <c r="W47" s="290">
        <v>0</v>
      </c>
      <c r="X47" s="290">
        <v>0</v>
      </c>
      <c r="Y47" s="292">
        <v>38040795</v>
      </c>
      <c r="Z47" s="292">
        <f t="shared" si="15"/>
        <v>38040795</v>
      </c>
      <c r="AA47" s="290">
        <v>0</v>
      </c>
      <c r="AB47" s="290">
        <v>0</v>
      </c>
      <c r="AC47" s="292">
        <v>3869496</v>
      </c>
      <c r="AD47" s="292">
        <f t="shared" si="16"/>
        <v>3869496</v>
      </c>
      <c r="AE47" s="290">
        <v>0</v>
      </c>
      <c r="AF47" s="290">
        <v>0</v>
      </c>
      <c r="AG47" s="292">
        <f t="shared" si="17"/>
        <v>0</v>
      </c>
      <c r="AH47" s="292">
        <v>0</v>
      </c>
      <c r="AI47" s="292">
        <v>0</v>
      </c>
      <c r="AJ47" s="292">
        <f t="shared" si="18"/>
        <v>0</v>
      </c>
      <c r="AK47" s="292">
        <f t="shared" si="64"/>
        <v>1278352468</v>
      </c>
      <c r="AL47" s="292">
        <f t="shared" si="62"/>
        <v>2266654</v>
      </c>
      <c r="AM47" s="292">
        <f t="shared" si="62"/>
        <v>96253037</v>
      </c>
      <c r="AN47" s="292">
        <f t="shared" si="65"/>
        <v>1376872159</v>
      </c>
      <c r="AO47" s="292">
        <f t="shared" si="66"/>
        <v>42937941</v>
      </c>
      <c r="AP47" s="292">
        <f t="shared" si="63"/>
        <v>152745634</v>
      </c>
      <c r="AQ47" s="292">
        <f t="shared" si="63"/>
        <v>36724418</v>
      </c>
      <c r="AR47" s="292">
        <f t="shared" si="67"/>
        <v>232407993</v>
      </c>
      <c r="AS47" s="292">
        <f t="shared" si="68"/>
        <v>0</v>
      </c>
      <c r="AT47" s="292">
        <f t="shared" si="69"/>
        <v>0</v>
      </c>
      <c r="AU47" s="292">
        <f t="shared" si="70"/>
        <v>0</v>
      </c>
      <c r="AV47" s="292">
        <f t="shared" si="71"/>
        <v>0</v>
      </c>
      <c r="AW47" s="292">
        <f t="shared" si="72"/>
        <v>0</v>
      </c>
      <c r="AX47" s="292">
        <f t="shared" si="73"/>
        <v>0</v>
      </c>
      <c r="AY47" s="292">
        <f t="shared" si="74"/>
        <v>1321290409</v>
      </c>
      <c r="AZ47" s="292">
        <f t="shared" si="75"/>
        <v>155012288</v>
      </c>
      <c r="BA47" s="292">
        <f t="shared" si="75"/>
        <v>132977455</v>
      </c>
      <c r="BB47" s="292">
        <f t="shared" si="76"/>
        <v>1609280152</v>
      </c>
      <c r="BC47" s="293"/>
      <c r="BD47" s="293"/>
      <c r="BE47" s="5">
        <f>BB47/'Monthly D4 Gallon Data'!AX45</f>
        <v>1.5240039313744451</v>
      </c>
    </row>
    <row r="48" spans="1:57" s="294" customFormat="1" ht="13.5" hidden="1" thickBot="1">
      <c r="A48" s="170">
        <v>41518</v>
      </c>
      <c r="B48" s="290">
        <v>191372711</v>
      </c>
      <c r="C48" s="290">
        <v>0</v>
      </c>
      <c r="D48" s="290">
        <v>16024812</v>
      </c>
      <c r="E48" s="291">
        <f t="shared" si="0"/>
        <v>207397523</v>
      </c>
      <c r="F48" s="290">
        <f t="shared" si="6"/>
        <v>16408431</v>
      </c>
      <c r="G48" s="290">
        <f t="shared" si="7"/>
        <v>32459468</v>
      </c>
      <c r="H48" s="290">
        <f t="shared" si="8"/>
        <v>0</v>
      </c>
      <c r="I48" s="291">
        <f t="shared" si="1"/>
        <v>48867899</v>
      </c>
      <c r="J48" s="290">
        <f t="shared" si="9"/>
        <v>0</v>
      </c>
      <c r="K48" s="290">
        <v>0</v>
      </c>
      <c r="L48" s="291">
        <f t="shared" si="2"/>
        <v>0</v>
      </c>
      <c r="M48" s="290">
        <f t="shared" si="10"/>
        <v>0</v>
      </c>
      <c r="N48" s="291">
        <f t="shared" si="11"/>
        <v>0</v>
      </c>
      <c r="O48" s="291">
        <f t="shared" si="3"/>
        <v>207781142</v>
      </c>
      <c r="P48" s="291">
        <f t="shared" si="12"/>
        <v>32459468</v>
      </c>
      <c r="Q48" s="291">
        <f t="shared" si="4"/>
        <v>16024812</v>
      </c>
      <c r="R48" s="291">
        <f t="shared" si="13"/>
        <v>256265422</v>
      </c>
      <c r="S48" s="292">
        <v>0</v>
      </c>
      <c r="T48" s="292">
        <v>3154399</v>
      </c>
      <c r="U48" s="292">
        <v>13254032</v>
      </c>
      <c r="V48" s="292">
        <f t="shared" si="14"/>
        <v>16408431</v>
      </c>
      <c r="W48" s="290">
        <v>0</v>
      </c>
      <c r="X48" s="290">
        <v>0</v>
      </c>
      <c r="Y48" s="292">
        <v>32459468</v>
      </c>
      <c r="Z48" s="292">
        <f t="shared" si="15"/>
        <v>32459468</v>
      </c>
      <c r="AA48" s="290">
        <v>0</v>
      </c>
      <c r="AB48" s="290">
        <v>0</v>
      </c>
      <c r="AC48" s="292">
        <v>0</v>
      </c>
      <c r="AD48" s="292">
        <f t="shared" si="16"/>
        <v>0</v>
      </c>
      <c r="AE48" s="290">
        <v>0</v>
      </c>
      <c r="AF48" s="290">
        <v>0</v>
      </c>
      <c r="AG48" s="292">
        <f t="shared" si="17"/>
        <v>0</v>
      </c>
      <c r="AH48" s="292">
        <v>0</v>
      </c>
      <c r="AI48" s="292">
        <v>0</v>
      </c>
      <c r="AJ48" s="292">
        <f t="shared" si="18"/>
        <v>0</v>
      </c>
      <c r="AK48" s="292">
        <f t="shared" si="64"/>
        <v>1469725179</v>
      </c>
      <c r="AL48" s="292">
        <f t="shared" si="62"/>
        <v>2266654</v>
      </c>
      <c r="AM48" s="292">
        <f t="shared" si="62"/>
        <v>112277849</v>
      </c>
      <c r="AN48" s="292">
        <f t="shared" si="65"/>
        <v>1584269682</v>
      </c>
      <c r="AO48" s="292">
        <f t="shared" si="66"/>
        <v>59346372</v>
      </c>
      <c r="AP48" s="292">
        <f t="shared" si="63"/>
        <v>185205102</v>
      </c>
      <c r="AQ48" s="292">
        <f t="shared" si="63"/>
        <v>36724418</v>
      </c>
      <c r="AR48" s="292">
        <f t="shared" si="67"/>
        <v>281275892</v>
      </c>
      <c r="AS48" s="292">
        <f t="shared" si="68"/>
        <v>0</v>
      </c>
      <c r="AT48" s="292">
        <f t="shared" si="69"/>
        <v>0</v>
      </c>
      <c r="AU48" s="292">
        <f t="shared" si="70"/>
        <v>0</v>
      </c>
      <c r="AV48" s="292">
        <f t="shared" si="71"/>
        <v>0</v>
      </c>
      <c r="AW48" s="292">
        <f t="shared" si="72"/>
        <v>0</v>
      </c>
      <c r="AX48" s="292">
        <f t="shared" si="73"/>
        <v>0</v>
      </c>
      <c r="AY48" s="292">
        <f t="shared" si="74"/>
        <v>1529071551</v>
      </c>
      <c r="AZ48" s="292">
        <f t="shared" si="75"/>
        <v>187471756</v>
      </c>
      <c r="BA48" s="292">
        <f t="shared" si="75"/>
        <v>149002267</v>
      </c>
      <c r="BB48" s="292">
        <f t="shared" si="76"/>
        <v>1865545574</v>
      </c>
      <c r="BC48" s="293"/>
      <c r="BD48" s="293"/>
      <c r="BE48" s="5">
        <f>BB48/'Monthly D4 Gallon Data'!AX46</f>
        <v>1.5252845491896252</v>
      </c>
    </row>
    <row r="49" spans="1:57" s="294" customFormat="1" ht="13.5" hidden="1" thickBot="1">
      <c r="A49" s="170">
        <v>41548</v>
      </c>
      <c r="B49" s="290">
        <v>195135059</v>
      </c>
      <c r="C49" s="290">
        <v>0</v>
      </c>
      <c r="D49" s="290">
        <v>25833487</v>
      </c>
      <c r="E49" s="291">
        <f t="shared" si="0"/>
        <v>220968546</v>
      </c>
      <c r="F49" s="290">
        <f t="shared" si="6"/>
        <v>18588605</v>
      </c>
      <c r="G49" s="290">
        <f t="shared" si="7"/>
        <v>34666105</v>
      </c>
      <c r="H49" s="290">
        <f t="shared" si="8"/>
        <v>0</v>
      </c>
      <c r="I49" s="291">
        <f t="shared" si="1"/>
        <v>53254710</v>
      </c>
      <c r="J49" s="290">
        <f t="shared" si="9"/>
        <v>0</v>
      </c>
      <c r="K49" s="290">
        <v>0</v>
      </c>
      <c r="L49" s="291">
        <f t="shared" si="2"/>
        <v>0</v>
      </c>
      <c r="M49" s="290">
        <f t="shared" si="10"/>
        <v>0</v>
      </c>
      <c r="N49" s="291">
        <f t="shared" si="11"/>
        <v>0</v>
      </c>
      <c r="O49" s="291">
        <f t="shared" si="3"/>
        <v>213723664</v>
      </c>
      <c r="P49" s="291">
        <f t="shared" si="12"/>
        <v>34666105</v>
      </c>
      <c r="Q49" s="291">
        <f t="shared" si="4"/>
        <v>25833487</v>
      </c>
      <c r="R49" s="291">
        <f t="shared" si="13"/>
        <v>274223256</v>
      </c>
      <c r="S49" s="292">
        <v>0</v>
      </c>
      <c r="T49" s="292">
        <v>3225716</v>
      </c>
      <c r="U49" s="292">
        <v>15362889</v>
      </c>
      <c r="V49" s="292">
        <f t="shared" si="14"/>
        <v>18588605</v>
      </c>
      <c r="W49" s="290">
        <v>0</v>
      </c>
      <c r="X49" s="290">
        <v>0</v>
      </c>
      <c r="Y49" s="292">
        <v>34666105</v>
      </c>
      <c r="Z49" s="292">
        <f t="shared" si="15"/>
        <v>34666105</v>
      </c>
      <c r="AA49" s="290">
        <v>0</v>
      </c>
      <c r="AB49" s="290">
        <v>0</v>
      </c>
      <c r="AC49" s="292">
        <v>0</v>
      </c>
      <c r="AD49" s="292">
        <f t="shared" si="16"/>
        <v>0</v>
      </c>
      <c r="AE49" s="290">
        <v>0</v>
      </c>
      <c r="AF49" s="290">
        <v>0</v>
      </c>
      <c r="AG49" s="292">
        <f t="shared" si="17"/>
        <v>0</v>
      </c>
      <c r="AH49" s="292">
        <v>0</v>
      </c>
      <c r="AI49" s="292">
        <v>0</v>
      </c>
      <c r="AJ49" s="292">
        <f t="shared" si="18"/>
        <v>0</v>
      </c>
      <c r="AK49" s="292">
        <f t="shared" si="64"/>
        <v>1664860238</v>
      </c>
      <c r="AL49" s="292">
        <f t="shared" si="62"/>
        <v>2266654</v>
      </c>
      <c r="AM49" s="292">
        <f t="shared" si="62"/>
        <v>138111336</v>
      </c>
      <c r="AN49" s="292">
        <f t="shared" si="65"/>
        <v>1805238228</v>
      </c>
      <c r="AO49" s="292">
        <f t="shared" si="66"/>
        <v>77934977</v>
      </c>
      <c r="AP49" s="292">
        <f t="shared" si="63"/>
        <v>219871207</v>
      </c>
      <c r="AQ49" s="292">
        <f t="shared" si="63"/>
        <v>36724418</v>
      </c>
      <c r="AR49" s="292">
        <f t="shared" si="67"/>
        <v>334530602</v>
      </c>
      <c r="AS49" s="292">
        <f t="shared" si="68"/>
        <v>0</v>
      </c>
      <c r="AT49" s="292">
        <f t="shared" si="69"/>
        <v>0</v>
      </c>
      <c r="AU49" s="292">
        <f t="shared" si="70"/>
        <v>0</v>
      </c>
      <c r="AV49" s="292">
        <f t="shared" si="71"/>
        <v>0</v>
      </c>
      <c r="AW49" s="292">
        <f t="shared" si="72"/>
        <v>0</v>
      </c>
      <c r="AX49" s="292">
        <f t="shared" si="73"/>
        <v>0</v>
      </c>
      <c r="AY49" s="292">
        <f t="shared" si="74"/>
        <v>1742795215</v>
      </c>
      <c r="AZ49" s="292">
        <f t="shared" si="75"/>
        <v>222137861</v>
      </c>
      <c r="BA49" s="292">
        <f t="shared" si="75"/>
        <v>174835754</v>
      </c>
      <c r="BB49" s="292">
        <f t="shared" si="76"/>
        <v>2139768830</v>
      </c>
      <c r="BC49" s="293"/>
      <c r="BD49" s="293"/>
      <c r="BE49" s="5">
        <f>BB49/'Monthly D4 Gallon Data'!AX47</f>
        <v>1.5264050004768961</v>
      </c>
    </row>
    <row r="50" spans="1:57" s="294" customFormat="1" ht="13.5" hidden="1" thickBot="1">
      <c r="A50" s="170">
        <v>41579</v>
      </c>
      <c r="B50" s="290">
        <v>165500152</v>
      </c>
      <c r="C50" s="290">
        <v>1919492</v>
      </c>
      <c r="D50" s="290">
        <v>42162085</v>
      </c>
      <c r="E50" s="291">
        <f t="shared" si="0"/>
        <v>209581729</v>
      </c>
      <c r="F50" s="290">
        <f t="shared" si="6"/>
        <v>19014213</v>
      </c>
      <c r="G50" s="290">
        <f t="shared" si="7"/>
        <v>37138234</v>
      </c>
      <c r="H50" s="290">
        <f t="shared" si="8"/>
        <v>0</v>
      </c>
      <c r="I50" s="291">
        <f t="shared" si="1"/>
        <v>56152447</v>
      </c>
      <c r="J50" s="290">
        <f t="shared" si="9"/>
        <v>0</v>
      </c>
      <c r="K50" s="290">
        <v>0</v>
      </c>
      <c r="L50" s="291">
        <f t="shared" si="2"/>
        <v>0</v>
      </c>
      <c r="M50" s="290">
        <f t="shared" si="10"/>
        <v>0</v>
      </c>
      <c r="N50" s="291">
        <f t="shared" si="11"/>
        <v>0</v>
      </c>
      <c r="O50" s="291">
        <f t="shared" si="3"/>
        <v>184514365</v>
      </c>
      <c r="P50" s="291">
        <f t="shared" si="12"/>
        <v>39057726</v>
      </c>
      <c r="Q50" s="291">
        <f t="shared" si="4"/>
        <v>42162085</v>
      </c>
      <c r="R50" s="291">
        <f t="shared" si="13"/>
        <v>265734176</v>
      </c>
      <c r="S50" s="292">
        <v>0</v>
      </c>
      <c r="T50" s="292">
        <v>2002249</v>
      </c>
      <c r="U50" s="292">
        <v>17011964</v>
      </c>
      <c r="V50" s="292">
        <f t="shared" si="14"/>
        <v>19014213</v>
      </c>
      <c r="W50" s="290">
        <v>0</v>
      </c>
      <c r="X50" s="290">
        <v>0</v>
      </c>
      <c r="Y50" s="292">
        <v>37138234</v>
      </c>
      <c r="Z50" s="292">
        <f t="shared" si="15"/>
        <v>37138234</v>
      </c>
      <c r="AA50" s="290">
        <v>0</v>
      </c>
      <c r="AB50" s="290">
        <v>0</v>
      </c>
      <c r="AC50" s="292">
        <v>0</v>
      </c>
      <c r="AD50" s="292">
        <f t="shared" si="16"/>
        <v>0</v>
      </c>
      <c r="AE50" s="290">
        <v>0</v>
      </c>
      <c r="AF50" s="290">
        <v>0</v>
      </c>
      <c r="AG50" s="292">
        <f t="shared" si="17"/>
        <v>0</v>
      </c>
      <c r="AH50" s="292">
        <v>0</v>
      </c>
      <c r="AI50" s="292">
        <v>0</v>
      </c>
      <c r="AJ50" s="292">
        <f t="shared" si="18"/>
        <v>0</v>
      </c>
      <c r="AK50" s="292">
        <f t="shared" si="64"/>
        <v>1830360390</v>
      </c>
      <c r="AL50" s="292">
        <f t="shared" si="62"/>
        <v>4186146</v>
      </c>
      <c r="AM50" s="292">
        <f t="shared" si="62"/>
        <v>180273421</v>
      </c>
      <c r="AN50" s="292">
        <f t="shared" si="65"/>
        <v>2014819957</v>
      </c>
      <c r="AO50" s="292">
        <f t="shared" si="66"/>
        <v>96949190</v>
      </c>
      <c r="AP50" s="292">
        <f t="shared" si="63"/>
        <v>257009441</v>
      </c>
      <c r="AQ50" s="292">
        <f t="shared" si="63"/>
        <v>36724418</v>
      </c>
      <c r="AR50" s="292">
        <f t="shared" si="67"/>
        <v>390683049</v>
      </c>
      <c r="AS50" s="292">
        <f t="shared" si="68"/>
        <v>0</v>
      </c>
      <c r="AT50" s="292">
        <f t="shared" si="69"/>
        <v>0</v>
      </c>
      <c r="AU50" s="292">
        <f t="shared" si="70"/>
        <v>0</v>
      </c>
      <c r="AV50" s="292">
        <f t="shared" si="71"/>
        <v>0</v>
      </c>
      <c r="AW50" s="292">
        <f t="shared" si="72"/>
        <v>0</v>
      </c>
      <c r="AX50" s="292">
        <f t="shared" si="73"/>
        <v>0</v>
      </c>
      <c r="AY50" s="292">
        <f t="shared" si="74"/>
        <v>1927309580</v>
      </c>
      <c r="AZ50" s="292">
        <f t="shared" si="75"/>
        <v>261195587</v>
      </c>
      <c r="BA50" s="292">
        <f t="shared" si="75"/>
        <v>216997839</v>
      </c>
      <c r="BB50" s="292">
        <f t="shared" si="76"/>
        <v>2405503006</v>
      </c>
      <c r="BC50" s="293"/>
      <c r="BD50" s="293"/>
      <c r="BE50" s="5">
        <f>BB50/'Monthly D4 Gallon Data'!AX48</f>
        <v>1.5276337392498038</v>
      </c>
    </row>
    <row r="51" spans="1:57" s="294" customFormat="1" ht="13.5" hidden="1" thickBot="1">
      <c r="A51" s="170">
        <v>41609</v>
      </c>
      <c r="B51" s="290">
        <v>237547090</v>
      </c>
      <c r="C51" s="290">
        <v>0</v>
      </c>
      <c r="D51" s="290">
        <v>49264436</v>
      </c>
      <c r="E51" s="291">
        <f t="shared" si="0"/>
        <v>286811526</v>
      </c>
      <c r="F51" s="290">
        <f t="shared" si="6"/>
        <v>22471616</v>
      </c>
      <c r="G51" s="290">
        <f t="shared" si="7"/>
        <v>25688283</v>
      </c>
      <c r="H51" s="290">
        <f t="shared" si="8"/>
        <v>0</v>
      </c>
      <c r="I51" s="291">
        <f t="shared" si="1"/>
        <v>48159899</v>
      </c>
      <c r="J51" s="290">
        <f t="shared" si="9"/>
        <v>0</v>
      </c>
      <c r="K51" s="290">
        <v>0</v>
      </c>
      <c r="L51" s="291">
        <f t="shared" si="2"/>
        <v>0</v>
      </c>
      <c r="M51" s="290">
        <f t="shared" si="10"/>
        <v>0</v>
      </c>
      <c r="N51" s="291">
        <f t="shared" si="11"/>
        <v>0</v>
      </c>
      <c r="O51" s="291">
        <f t="shared" si="3"/>
        <v>260018706</v>
      </c>
      <c r="P51" s="298">
        <f t="shared" si="12"/>
        <v>25688283</v>
      </c>
      <c r="Q51" s="291">
        <f t="shared" si="4"/>
        <v>49264436</v>
      </c>
      <c r="R51" s="291">
        <f t="shared" si="13"/>
        <v>334971425</v>
      </c>
      <c r="S51" s="292">
        <v>387648</v>
      </c>
      <c r="T51" s="292">
        <v>2162573</v>
      </c>
      <c r="U51" s="292">
        <v>19921395</v>
      </c>
      <c r="V51" s="292">
        <f t="shared" si="14"/>
        <v>22471616</v>
      </c>
      <c r="W51" s="290">
        <v>0</v>
      </c>
      <c r="X51" s="290">
        <v>0</v>
      </c>
      <c r="Y51" s="292">
        <v>25688283</v>
      </c>
      <c r="Z51" s="292">
        <f t="shared" si="15"/>
        <v>25688283</v>
      </c>
      <c r="AA51" s="290">
        <v>0</v>
      </c>
      <c r="AB51" s="290">
        <v>0</v>
      </c>
      <c r="AC51" s="292">
        <v>0</v>
      </c>
      <c r="AD51" s="292">
        <f t="shared" si="16"/>
        <v>0</v>
      </c>
      <c r="AE51" s="290">
        <v>0</v>
      </c>
      <c r="AF51" s="290">
        <v>0</v>
      </c>
      <c r="AG51" s="292">
        <f t="shared" si="17"/>
        <v>0</v>
      </c>
      <c r="AH51" s="292">
        <v>0</v>
      </c>
      <c r="AI51" s="292">
        <v>0</v>
      </c>
      <c r="AJ51" s="292">
        <f t="shared" si="18"/>
        <v>0</v>
      </c>
      <c r="AK51" s="292">
        <f t="shared" si="64"/>
        <v>2067907480</v>
      </c>
      <c r="AL51" s="292">
        <f t="shared" si="62"/>
        <v>4186146</v>
      </c>
      <c r="AM51" s="292">
        <f t="shared" si="62"/>
        <v>229537857</v>
      </c>
      <c r="AN51" s="292">
        <f t="shared" si="65"/>
        <v>2301631483</v>
      </c>
      <c r="AO51" s="292">
        <f t="shared" si="66"/>
        <v>119420806</v>
      </c>
      <c r="AP51" s="292">
        <f t="shared" si="63"/>
        <v>282697724</v>
      </c>
      <c r="AQ51" s="292">
        <f t="shared" si="63"/>
        <v>36724418</v>
      </c>
      <c r="AR51" s="292">
        <f t="shared" si="67"/>
        <v>438842948</v>
      </c>
      <c r="AS51" s="292">
        <f t="shared" si="68"/>
        <v>0</v>
      </c>
      <c r="AT51" s="292">
        <f t="shared" si="69"/>
        <v>0</v>
      </c>
      <c r="AU51" s="292">
        <f t="shared" si="70"/>
        <v>0</v>
      </c>
      <c r="AV51" s="292">
        <f t="shared" si="71"/>
        <v>0</v>
      </c>
      <c r="AW51" s="292">
        <f t="shared" si="72"/>
        <v>0</v>
      </c>
      <c r="AX51" s="292">
        <f t="shared" si="73"/>
        <v>0</v>
      </c>
      <c r="AY51" s="292">
        <f t="shared" si="74"/>
        <v>2187328286</v>
      </c>
      <c r="AZ51" s="292">
        <f t="shared" si="75"/>
        <v>286883870</v>
      </c>
      <c r="BA51" s="292">
        <f t="shared" si="75"/>
        <v>266262275</v>
      </c>
      <c r="BB51" s="292">
        <f t="shared" si="76"/>
        <v>2740474431</v>
      </c>
      <c r="BC51" s="293"/>
      <c r="BD51" s="293"/>
      <c r="BE51" s="5">
        <f>BB51/'Monthly D4 Gallon Data'!AX49</f>
        <v>1.5273181711463104</v>
      </c>
    </row>
    <row r="52" spans="1:57" s="294" customFormat="1" ht="13.5" hidden="1" thickBot="1">
      <c r="A52" s="171">
        <v>41640</v>
      </c>
      <c r="B52" s="295">
        <v>85044693</v>
      </c>
      <c r="C52" s="295">
        <v>0</v>
      </c>
      <c r="D52" s="295">
        <v>2972950</v>
      </c>
      <c r="E52" s="296">
        <f t="shared" si="0"/>
        <v>88017643</v>
      </c>
      <c r="F52" s="295">
        <f t="shared" si="6"/>
        <v>17097517</v>
      </c>
      <c r="G52" s="295">
        <f t="shared" si="7"/>
        <v>22797873</v>
      </c>
      <c r="H52" s="295">
        <f t="shared" si="8"/>
        <v>9541081</v>
      </c>
      <c r="I52" s="296">
        <f t="shared" si="1"/>
        <v>49436471</v>
      </c>
      <c r="J52" s="295">
        <f t="shared" si="9"/>
        <v>0</v>
      </c>
      <c r="K52" s="295">
        <v>0</v>
      </c>
      <c r="L52" s="296">
        <f t="shared" si="2"/>
        <v>0</v>
      </c>
      <c r="M52" s="295">
        <f t="shared" si="10"/>
        <v>0</v>
      </c>
      <c r="N52" s="296">
        <f t="shared" si="11"/>
        <v>0</v>
      </c>
      <c r="O52" s="296">
        <f t="shared" si="3"/>
        <v>102142210</v>
      </c>
      <c r="P52" s="296">
        <f t="shared" si="12"/>
        <v>22797873</v>
      </c>
      <c r="Q52" s="296">
        <f t="shared" si="4"/>
        <v>12514031</v>
      </c>
      <c r="R52" s="296">
        <f t="shared" si="13"/>
        <v>137454114</v>
      </c>
      <c r="S52" s="297">
        <v>0</v>
      </c>
      <c r="T52" s="297">
        <v>1009378</v>
      </c>
      <c r="U52" s="297">
        <v>16088139</v>
      </c>
      <c r="V52" s="297">
        <f t="shared" si="14"/>
        <v>17097517</v>
      </c>
      <c r="W52" s="295">
        <v>0</v>
      </c>
      <c r="X52" s="295">
        <v>0</v>
      </c>
      <c r="Y52" s="297">
        <v>22797873</v>
      </c>
      <c r="Z52" s="297">
        <f t="shared" si="15"/>
        <v>22797873</v>
      </c>
      <c r="AA52" s="295">
        <v>0</v>
      </c>
      <c r="AB52" s="295">
        <v>0</v>
      </c>
      <c r="AC52" s="297">
        <v>9541081</v>
      </c>
      <c r="AD52" s="297">
        <f t="shared" si="16"/>
        <v>9541081</v>
      </c>
      <c r="AE52" s="295">
        <v>0</v>
      </c>
      <c r="AF52" s="295">
        <v>0</v>
      </c>
      <c r="AG52" s="297">
        <f t="shared" si="17"/>
        <v>0</v>
      </c>
      <c r="AH52" s="297">
        <v>0</v>
      </c>
      <c r="AI52" s="297">
        <v>0</v>
      </c>
      <c r="AJ52" s="297">
        <f t="shared" si="18"/>
        <v>0</v>
      </c>
      <c r="AK52" s="297">
        <f>B52</f>
        <v>85044693</v>
      </c>
      <c r="AL52" s="297">
        <f>C52</f>
        <v>0</v>
      </c>
      <c r="AM52" s="297">
        <f>D52</f>
        <v>2972950</v>
      </c>
      <c r="AN52" s="297">
        <f>SUM(AK52:AM52)</f>
        <v>88017643</v>
      </c>
      <c r="AO52" s="297">
        <f>F52</f>
        <v>17097517</v>
      </c>
      <c r="AP52" s="297">
        <f>G52</f>
        <v>22797873</v>
      </c>
      <c r="AQ52" s="297">
        <f>H52</f>
        <v>9541081</v>
      </c>
      <c r="AR52" s="297">
        <f>SUM(AO52:AQ52)</f>
        <v>49436471</v>
      </c>
      <c r="AS52" s="297">
        <f>J52</f>
        <v>0</v>
      </c>
      <c r="AT52" s="297">
        <f>AH52</f>
        <v>0</v>
      </c>
      <c r="AU52" s="297">
        <f>K52</f>
        <v>0</v>
      </c>
      <c r="AV52" s="297">
        <f>SUM(AS52:AU52)</f>
        <v>0</v>
      </c>
      <c r="AW52" s="297">
        <f>M52</f>
        <v>0</v>
      </c>
      <c r="AX52" s="297">
        <f>AW52</f>
        <v>0</v>
      </c>
      <c r="AY52" s="297">
        <f>AK52+AO52+AS52+AW52</f>
        <v>102142210</v>
      </c>
      <c r="AZ52" s="297">
        <f>AL52+AP52+AT52</f>
        <v>22797873</v>
      </c>
      <c r="BA52" s="297">
        <f>AM52+AQ52+AU52</f>
        <v>12514031</v>
      </c>
      <c r="BB52" s="297">
        <f>SUM(AY52:BA52)</f>
        <v>137454114</v>
      </c>
      <c r="BC52" s="83">
        <f t="shared" ref="BC52:BC115" si="77">BB52/BB40-1</f>
        <v>0.13089355103661982</v>
      </c>
      <c r="BD52" s="293"/>
      <c r="BE52" s="5">
        <f>BB52/'Monthly D4 Gallon Data'!AX50</f>
        <v>1.565626370878713</v>
      </c>
    </row>
    <row r="53" spans="1:57" s="294" customFormat="1" ht="13.5" hidden="1" thickBot="1">
      <c r="A53" s="170">
        <v>41671</v>
      </c>
      <c r="B53" s="290">
        <v>104790611</v>
      </c>
      <c r="C53" s="290">
        <v>0</v>
      </c>
      <c r="D53" s="290">
        <v>5673723</v>
      </c>
      <c r="E53" s="291">
        <f t="shared" si="0"/>
        <v>110464334</v>
      </c>
      <c r="F53" s="290">
        <f t="shared" si="6"/>
        <v>19919770</v>
      </c>
      <c r="G53" s="290">
        <f t="shared" si="7"/>
        <v>32178782</v>
      </c>
      <c r="H53" s="290">
        <f t="shared" si="8"/>
        <v>0</v>
      </c>
      <c r="I53" s="291">
        <f t="shared" si="1"/>
        <v>52098552</v>
      </c>
      <c r="J53" s="290">
        <f t="shared" si="9"/>
        <v>0</v>
      </c>
      <c r="K53" s="290">
        <v>0</v>
      </c>
      <c r="L53" s="291">
        <f t="shared" si="2"/>
        <v>0</v>
      </c>
      <c r="M53" s="290">
        <f t="shared" si="10"/>
        <v>0</v>
      </c>
      <c r="N53" s="291">
        <f t="shared" si="11"/>
        <v>0</v>
      </c>
      <c r="O53" s="291">
        <f t="shared" si="3"/>
        <v>124710381</v>
      </c>
      <c r="P53" s="291">
        <f t="shared" si="12"/>
        <v>32178782</v>
      </c>
      <c r="Q53" s="291">
        <f t="shared" si="4"/>
        <v>5673723</v>
      </c>
      <c r="R53" s="291">
        <f t="shared" si="13"/>
        <v>162562886</v>
      </c>
      <c r="S53" s="292">
        <v>0</v>
      </c>
      <c r="T53" s="292">
        <v>1425456</v>
      </c>
      <c r="U53" s="292">
        <v>18494314</v>
      </c>
      <c r="V53" s="292">
        <f t="shared" si="14"/>
        <v>19919770</v>
      </c>
      <c r="W53" s="290">
        <v>0</v>
      </c>
      <c r="X53" s="290">
        <v>0</v>
      </c>
      <c r="Y53" s="292">
        <v>32178782</v>
      </c>
      <c r="Z53" s="292">
        <f t="shared" si="15"/>
        <v>32178782</v>
      </c>
      <c r="AA53" s="290">
        <v>0</v>
      </c>
      <c r="AB53" s="290">
        <v>0</v>
      </c>
      <c r="AC53" s="292">
        <v>0</v>
      </c>
      <c r="AD53" s="292">
        <f t="shared" si="16"/>
        <v>0</v>
      </c>
      <c r="AE53" s="290">
        <v>0</v>
      </c>
      <c r="AF53" s="290">
        <v>0</v>
      </c>
      <c r="AG53" s="292">
        <f t="shared" si="17"/>
        <v>0</v>
      </c>
      <c r="AH53" s="292">
        <v>0</v>
      </c>
      <c r="AI53" s="292">
        <v>0</v>
      </c>
      <c r="AJ53" s="292">
        <f t="shared" si="18"/>
        <v>0</v>
      </c>
      <c r="AK53" s="292">
        <f>AK52+B53</f>
        <v>189835304</v>
      </c>
      <c r="AL53" s="292">
        <f t="shared" ref="AL53:AM63" si="78">AL52+C53</f>
        <v>0</v>
      </c>
      <c r="AM53" s="292">
        <f t="shared" si="78"/>
        <v>8646673</v>
      </c>
      <c r="AN53" s="292">
        <f>SUM(AK53:AM53)</f>
        <v>198481977</v>
      </c>
      <c r="AO53" s="292">
        <f>AO52+F53</f>
        <v>37017287</v>
      </c>
      <c r="AP53" s="292">
        <f t="shared" ref="AP53:AQ63" si="79">AP52+G53</f>
        <v>54976655</v>
      </c>
      <c r="AQ53" s="292">
        <f t="shared" si="79"/>
        <v>9541081</v>
      </c>
      <c r="AR53" s="292">
        <f>SUM(AO53:AQ53)</f>
        <v>101535023</v>
      </c>
      <c r="AS53" s="292">
        <f>AS52+J53</f>
        <v>0</v>
      </c>
      <c r="AT53" s="292">
        <f>AT52+AH53</f>
        <v>0</v>
      </c>
      <c r="AU53" s="292">
        <f>AU52+K53</f>
        <v>0</v>
      </c>
      <c r="AV53" s="292">
        <f>SUM(AS53:AU53)</f>
        <v>0</v>
      </c>
      <c r="AW53" s="292">
        <f>AW52+M53</f>
        <v>0</v>
      </c>
      <c r="AX53" s="292">
        <f>AW53</f>
        <v>0</v>
      </c>
      <c r="AY53" s="292">
        <f>AK53+AO53+AS53+AW53</f>
        <v>226852591</v>
      </c>
      <c r="AZ53" s="292">
        <f>AL53+AP53+AT53</f>
        <v>54976655</v>
      </c>
      <c r="BA53" s="292">
        <f>AM53+AQ53+AU53</f>
        <v>18187754</v>
      </c>
      <c r="BB53" s="292">
        <f>SUM(AY53:BA53)</f>
        <v>300017000</v>
      </c>
      <c r="BC53" s="83">
        <f t="shared" si="77"/>
        <v>0.2338099076279947</v>
      </c>
      <c r="BD53" s="293"/>
      <c r="BE53" s="5">
        <f>BB53/'Monthly D4 Gallon Data'!AX51</f>
        <v>1.5614879529078587</v>
      </c>
    </row>
    <row r="54" spans="1:57" s="294" customFormat="1" ht="13.5" hidden="1" thickBot="1">
      <c r="A54" s="170">
        <v>41699</v>
      </c>
      <c r="B54" s="290">
        <v>136218938</v>
      </c>
      <c r="C54" s="290">
        <v>0</v>
      </c>
      <c r="D54" s="290">
        <v>19632695</v>
      </c>
      <c r="E54" s="291">
        <f t="shared" si="0"/>
        <v>155851633</v>
      </c>
      <c r="F54" s="290">
        <f t="shared" si="6"/>
        <v>24049816</v>
      </c>
      <c r="G54" s="290">
        <f t="shared" si="7"/>
        <v>38554750</v>
      </c>
      <c r="H54" s="290">
        <f t="shared" si="8"/>
        <v>0</v>
      </c>
      <c r="I54" s="291">
        <f t="shared" si="1"/>
        <v>62604566</v>
      </c>
      <c r="J54" s="290">
        <f t="shared" si="9"/>
        <v>0</v>
      </c>
      <c r="K54" s="290">
        <v>0</v>
      </c>
      <c r="L54" s="291">
        <f t="shared" si="2"/>
        <v>0</v>
      </c>
      <c r="M54" s="290">
        <f t="shared" si="10"/>
        <v>0</v>
      </c>
      <c r="N54" s="291">
        <f t="shared" si="11"/>
        <v>0</v>
      </c>
      <c r="O54" s="291">
        <f t="shared" si="3"/>
        <v>160268754</v>
      </c>
      <c r="P54" s="291">
        <f t="shared" si="12"/>
        <v>38554750</v>
      </c>
      <c r="Q54" s="291">
        <f t="shared" si="4"/>
        <v>19632695</v>
      </c>
      <c r="R54" s="291">
        <f t="shared" si="13"/>
        <v>218456199</v>
      </c>
      <c r="S54" s="292">
        <v>0</v>
      </c>
      <c r="T54" s="292">
        <v>1845838</v>
      </c>
      <c r="U54" s="292">
        <v>22203978</v>
      </c>
      <c r="V54" s="292">
        <f t="shared" si="14"/>
        <v>24049816</v>
      </c>
      <c r="W54" s="290">
        <v>0</v>
      </c>
      <c r="X54" s="290">
        <v>0</v>
      </c>
      <c r="Y54" s="292">
        <v>38554750</v>
      </c>
      <c r="Z54" s="292">
        <f t="shared" si="15"/>
        <v>38554750</v>
      </c>
      <c r="AA54" s="290">
        <v>0</v>
      </c>
      <c r="AB54" s="290">
        <v>0</v>
      </c>
      <c r="AC54" s="292">
        <v>0</v>
      </c>
      <c r="AD54" s="292">
        <f t="shared" si="16"/>
        <v>0</v>
      </c>
      <c r="AE54" s="290">
        <v>0</v>
      </c>
      <c r="AF54" s="290">
        <v>0</v>
      </c>
      <c r="AG54" s="292">
        <f t="shared" si="17"/>
        <v>0</v>
      </c>
      <c r="AH54" s="292">
        <v>0</v>
      </c>
      <c r="AI54" s="292">
        <v>0</v>
      </c>
      <c r="AJ54" s="292">
        <f t="shared" si="18"/>
        <v>0</v>
      </c>
      <c r="AK54" s="292">
        <f t="shared" ref="AK54:AK63" si="80">AK53+B54</f>
        <v>326054242</v>
      </c>
      <c r="AL54" s="292">
        <f t="shared" si="78"/>
        <v>0</v>
      </c>
      <c r="AM54" s="292">
        <f t="shared" si="78"/>
        <v>28279368</v>
      </c>
      <c r="AN54" s="292">
        <f t="shared" ref="AN54:AN63" si="81">SUM(AK54:AM54)</f>
        <v>354333610</v>
      </c>
      <c r="AO54" s="292">
        <f t="shared" ref="AO54:AO63" si="82">AO53+F54</f>
        <v>61067103</v>
      </c>
      <c r="AP54" s="292">
        <f t="shared" si="79"/>
        <v>93531405</v>
      </c>
      <c r="AQ54" s="292">
        <f t="shared" si="79"/>
        <v>9541081</v>
      </c>
      <c r="AR54" s="292">
        <f t="shared" ref="AR54:AR63" si="83">SUM(AO54:AQ54)</f>
        <v>164139589</v>
      </c>
      <c r="AS54" s="292">
        <f t="shared" ref="AS54:AS63" si="84">AS53+J54</f>
        <v>0</v>
      </c>
      <c r="AT54" s="292">
        <f t="shared" ref="AT54:AT63" si="85">AT53+AH54</f>
        <v>0</v>
      </c>
      <c r="AU54" s="292">
        <f t="shared" ref="AU54:AU63" si="86">AU53+K54</f>
        <v>0</v>
      </c>
      <c r="AV54" s="292">
        <f t="shared" ref="AV54:AV63" si="87">SUM(AS54:AU54)</f>
        <v>0</v>
      </c>
      <c r="AW54" s="292">
        <f t="shared" ref="AW54:AW63" si="88">AW53+M54</f>
        <v>0</v>
      </c>
      <c r="AX54" s="292">
        <f t="shared" ref="AX54:AX63" si="89">AW54</f>
        <v>0</v>
      </c>
      <c r="AY54" s="292">
        <f t="shared" ref="AY54:AY63" si="90">AK54+AO54+AS54+AW54</f>
        <v>387121345</v>
      </c>
      <c r="AZ54" s="292">
        <f t="shared" ref="AZ54:BA63" si="91">AL54+AP54+AT54</f>
        <v>93531405</v>
      </c>
      <c r="BA54" s="292">
        <f t="shared" si="91"/>
        <v>37820449</v>
      </c>
      <c r="BB54" s="292">
        <f t="shared" ref="BB54:BB63" si="92">SUM(AY54:BA54)</f>
        <v>518473199</v>
      </c>
      <c r="BC54" s="83">
        <f t="shared" si="77"/>
        <v>0.17642744784095465</v>
      </c>
      <c r="BD54" s="293"/>
      <c r="BE54" s="5">
        <f>BB54/'Monthly D4 Gallon Data'!AX52</f>
        <v>1.5573081586197315</v>
      </c>
    </row>
    <row r="55" spans="1:57" s="294" customFormat="1" ht="13.5" hidden="1" thickBot="1">
      <c r="A55" s="170">
        <v>41730</v>
      </c>
      <c r="B55" s="290">
        <v>155028285</v>
      </c>
      <c r="C55" s="290">
        <v>0</v>
      </c>
      <c r="D55" s="290">
        <v>8639227</v>
      </c>
      <c r="E55" s="291">
        <f t="shared" si="0"/>
        <v>163667512</v>
      </c>
      <c r="F55" s="290">
        <f t="shared" si="6"/>
        <v>21593086</v>
      </c>
      <c r="G55" s="290">
        <f t="shared" si="7"/>
        <v>37874181</v>
      </c>
      <c r="H55" s="290">
        <f t="shared" si="8"/>
        <v>0</v>
      </c>
      <c r="I55" s="291">
        <f t="shared" si="1"/>
        <v>59467267</v>
      </c>
      <c r="J55" s="290">
        <f t="shared" si="9"/>
        <v>0</v>
      </c>
      <c r="K55" s="290">
        <v>0</v>
      </c>
      <c r="L55" s="291">
        <f t="shared" si="2"/>
        <v>0</v>
      </c>
      <c r="M55" s="290">
        <f t="shared" si="10"/>
        <v>0</v>
      </c>
      <c r="N55" s="291">
        <f t="shared" si="11"/>
        <v>0</v>
      </c>
      <c r="O55" s="291">
        <f t="shared" si="3"/>
        <v>176621371</v>
      </c>
      <c r="P55" s="291">
        <f t="shared" si="12"/>
        <v>37874181</v>
      </c>
      <c r="Q55" s="291">
        <f t="shared" si="4"/>
        <v>8639227</v>
      </c>
      <c r="R55" s="291">
        <f t="shared" si="13"/>
        <v>223134779</v>
      </c>
      <c r="S55" s="292">
        <v>0</v>
      </c>
      <c r="T55" s="292">
        <v>1512241</v>
      </c>
      <c r="U55" s="292">
        <v>20080845</v>
      </c>
      <c r="V55" s="292">
        <f t="shared" si="14"/>
        <v>21593086</v>
      </c>
      <c r="W55" s="290">
        <v>0</v>
      </c>
      <c r="X55" s="290">
        <v>0</v>
      </c>
      <c r="Y55" s="292">
        <v>37874181</v>
      </c>
      <c r="Z55" s="292">
        <f t="shared" si="15"/>
        <v>37874181</v>
      </c>
      <c r="AA55" s="290">
        <v>0</v>
      </c>
      <c r="AB55" s="290">
        <v>0</v>
      </c>
      <c r="AC55" s="292">
        <v>0</v>
      </c>
      <c r="AD55" s="292">
        <f t="shared" si="16"/>
        <v>0</v>
      </c>
      <c r="AE55" s="290">
        <v>0</v>
      </c>
      <c r="AF55" s="290">
        <v>0</v>
      </c>
      <c r="AG55" s="292">
        <f t="shared" si="17"/>
        <v>0</v>
      </c>
      <c r="AH55" s="292">
        <v>0</v>
      </c>
      <c r="AI55" s="292">
        <v>0</v>
      </c>
      <c r="AJ55" s="292">
        <f t="shared" si="18"/>
        <v>0</v>
      </c>
      <c r="AK55" s="292">
        <f t="shared" si="80"/>
        <v>481082527</v>
      </c>
      <c r="AL55" s="292">
        <f t="shared" si="78"/>
        <v>0</v>
      </c>
      <c r="AM55" s="292">
        <f t="shared" si="78"/>
        <v>36918595</v>
      </c>
      <c r="AN55" s="292">
        <f t="shared" si="81"/>
        <v>518001122</v>
      </c>
      <c r="AO55" s="292">
        <f t="shared" si="82"/>
        <v>82660189</v>
      </c>
      <c r="AP55" s="292">
        <f t="shared" si="79"/>
        <v>131405586</v>
      </c>
      <c r="AQ55" s="292">
        <f t="shared" si="79"/>
        <v>9541081</v>
      </c>
      <c r="AR55" s="292">
        <f t="shared" si="83"/>
        <v>223606856</v>
      </c>
      <c r="AS55" s="292">
        <f t="shared" si="84"/>
        <v>0</v>
      </c>
      <c r="AT55" s="292">
        <f t="shared" si="85"/>
        <v>0</v>
      </c>
      <c r="AU55" s="292">
        <f t="shared" si="86"/>
        <v>0</v>
      </c>
      <c r="AV55" s="292">
        <f t="shared" si="87"/>
        <v>0</v>
      </c>
      <c r="AW55" s="292">
        <f t="shared" si="88"/>
        <v>0</v>
      </c>
      <c r="AX55" s="292">
        <f t="shared" si="89"/>
        <v>0</v>
      </c>
      <c r="AY55" s="292">
        <f t="shared" si="90"/>
        <v>563742716</v>
      </c>
      <c r="AZ55" s="292">
        <f t="shared" si="91"/>
        <v>131405586</v>
      </c>
      <c r="BA55" s="292">
        <f t="shared" si="91"/>
        <v>46459676</v>
      </c>
      <c r="BB55" s="292">
        <f t="shared" si="92"/>
        <v>741607978</v>
      </c>
      <c r="BC55" s="83">
        <f t="shared" si="77"/>
        <v>0.17601841722712841</v>
      </c>
      <c r="BD55" s="293"/>
      <c r="BE55" s="5">
        <f>BB55/'Monthly D4 Gallon Data'!AX53</f>
        <v>1.5544880256954274</v>
      </c>
    </row>
    <row r="56" spans="1:57" s="294" customFormat="1" ht="13.5" hidden="1" thickBot="1">
      <c r="A56" s="170">
        <v>41760</v>
      </c>
      <c r="B56" s="290">
        <v>164786155</v>
      </c>
      <c r="C56" s="290">
        <v>0</v>
      </c>
      <c r="D56" s="290">
        <v>7290163</v>
      </c>
      <c r="E56" s="291">
        <f t="shared" si="0"/>
        <v>172076318</v>
      </c>
      <c r="F56" s="290">
        <f t="shared" si="6"/>
        <v>26183201</v>
      </c>
      <c r="G56" s="290">
        <f t="shared" si="7"/>
        <v>32718324</v>
      </c>
      <c r="H56" s="290">
        <f t="shared" si="8"/>
        <v>0</v>
      </c>
      <c r="I56" s="291">
        <f t="shared" si="1"/>
        <v>58901525</v>
      </c>
      <c r="J56" s="290">
        <f t="shared" si="9"/>
        <v>0</v>
      </c>
      <c r="K56" s="290">
        <v>0</v>
      </c>
      <c r="L56" s="291">
        <f t="shared" si="2"/>
        <v>0</v>
      </c>
      <c r="M56" s="290">
        <f t="shared" si="10"/>
        <v>0</v>
      </c>
      <c r="N56" s="291">
        <f t="shared" si="11"/>
        <v>0</v>
      </c>
      <c r="O56" s="291">
        <f t="shared" si="3"/>
        <v>190969356</v>
      </c>
      <c r="P56" s="291">
        <f t="shared" si="12"/>
        <v>32718324</v>
      </c>
      <c r="Q56" s="291">
        <f t="shared" si="4"/>
        <v>7290163</v>
      </c>
      <c r="R56" s="291">
        <f t="shared" si="13"/>
        <v>230977843</v>
      </c>
      <c r="S56" s="292">
        <v>91518</v>
      </c>
      <c r="T56" s="292">
        <v>1308927</v>
      </c>
      <c r="U56" s="292">
        <v>24782756</v>
      </c>
      <c r="V56" s="292">
        <f t="shared" si="14"/>
        <v>26183201</v>
      </c>
      <c r="W56" s="290">
        <v>0</v>
      </c>
      <c r="X56" s="290">
        <v>0</v>
      </c>
      <c r="Y56" s="292">
        <v>32718324</v>
      </c>
      <c r="Z56" s="292">
        <f t="shared" si="15"/>
        <v>32718324</v>
      </c>
      <c r="AA56" s="290">
        <v>0</v>
      </c>
      <c r="AB56" s="290">
        <v>0</v>
      </c>
      <c r="AC56" s="292">
        <v>0</v>
      </c>
      <c r="AD56" s="292">
        <f t="shared" si="16"/>
        <v>0</v>
      </c>
      <c r="AE56" s="290">
        <v>0</v>
      </c>
      <c r="AF56" s="290">
        <v>0</v>
      </c>
      <c r="AG56" s="292">
        <f t="shared" si="17"/>
        <v>0</v>
      </c>
      <c r="AH56" s="292">
        <v>0</v>
      </c>
      <c r="AI56" s="292">
        <v>0</v>
      </c>
      <c r="AJ56" s="292">
        <f t="shared" si="18"/>
        <v>0</v>
      </c>
      <c r="AK56" s="292">
        <f t="shared" si="80"/>
        <v>645868682</v>
      </c>
      <c r="AL56" s="292">
        <f t="shared" si="78"/>
        <v>0</v>
      </c>
      <c r="AM56" s="292">
        <f t="shared" si="78"/>
        <v>44208758</v>
      </c>
      <c r="AN56" s="292">
        <f t="shared" si="81"/>
        <v>690077440</v>
      </c>
      <c r="AO56" s="292">
        <f t="shared" si="82"/>
        <v>108843390</v>
      </c>
      <c r="AP56" s="292">
        <f t="shared" si="79"/>
        <v>164123910</v>
      </c>
      <c r="AQ56" s="292">
        <f t="shared" si="79"/>
        <v>9541081</v>
      </c>
      <c r="AR56" s="292">
        <f t="shared" si="83"/>
        <v>282508381</v>
      </c>
      <c r="AS56" s="292">
        <f t="shared" si="84"/>
        <v>0</v>
      </c>
      <c r="AT56" s="292">
        <f t="shared" si="85"/>
        <v>0</v>
      </c>
      <c r="AU56" s="292">
        <f t="shared" si="86"/>
        <v>0</v>
      </c>
      <c r="AV56" s="292">
        <f t="shared" si="87"/>
        <v>0</v>
      </c>
      <c r="AW56" s="292">
        <f t="shared" si="88"/>
        <v>0</v>
      </c>
      <c r="AX56" s="292">
        <f t="shared" si="89"/>
        <v>0</v>
      </c>
      <c r="AY56" s="292">
        <f t="shared" si="90"/>
        <v>754712072</v>
      </c>
      <c r="AZ56" s="292">
        <f t="shared" si="91"/>
        <v>164123910</v>
      </c>
      <c r="BA56" s="292">
        <f t="shared" si="91"/>
        <v>53749839</v>
      </c>
      <c r="BB56" s="292">
        <f t="shared" si="92"/>
        <v>972585821</v>
      </c>
      <c r="BC56" s="83">
        <f t="shared" si="77"/>
        <v>0.15355271501834822</v>
      </c>
      <c r="BD56" s="293"/>
      <c r="BE56" s="5">
        <f>BB56/'Monthly D4 Gallon Data'!AX54</f>
        <v>1.5524255213078122</v>
      </c>
    </row>
    <row r="57" spans="1:57" s="294" customFormat="1" ht="13.5" hidden="1" thickBot="1">
      <c r="A57" s="170">
        <v>41791</v>
      </c>
      <c r="B57" s="290">
        <v>169878027</v>
      </c>
      <c r="C57" s="290">
        <v>0</v>
      </c>
      <c r="D57" s="290">
        <v>8308084</v>
      </c>
      <c r="E57" s="291">
        <f t="shared" si="0"/>
        <v>178186111</v>
      </c>
      <c r="F57" s="290">
        <f t="shared" si="6"/>
        <v>25230980</v>
      </c>
      <c r="G57" s="290">
        <f t="shared" si="7"/>
        <v>34450224</v>
      </c>
      <c r="H57" s="290">
        <f t="shared" si="8"/>
        <v>0</v>
      </c>
      <c r="I57" s="291">
        <f t="shared" si="1"/>
        <v>59681204</v>
      </c>
      <c r="J57" s="290">
        <f t="shared" si="9"/>
        <v>0</v>
      </c>
      <c r="K57" s="290">
        <v>0</v>
      </c>
      <c r="L57" s="291">
        <f t="shared" si="2"/>
        <v>0</v>
      </c>
      <c r="M57" s="290">
        <f t="shared" si="10"/>
        <v>0</v>
      </c>
      <c r="N57" s="291">
        <f t="shared" si="11"/>
        <v>0</v>
      </c>
      <c r="O57" s="291">
        <f t="shared" si="3"/>
        <v>195109007</v>
      </c>
      <c r="P57" s="291">
        <f t="shared" si="12"/>
        <v>34450224</v>
      </c>
      <c r="Q57" s="291">
        <f t="shared" si="4"/>
        <v>8308084</v>
      </c>
      <c r="R57" s="291">
        <f t="shared" si="13"/>
        <v>237867315</v>
      </c>
      <c r="S57" s="292">
        <v>42584</v>
      </c>
      <c r="T57" s="292">
        <v>1167579</v>
      </c>
      <c r="U57" s="292">
        <v>24020817</v>
      </c>
      <c r="V57" s="292">
        <f t="shared" si="14"/>
        <v>25230980</v>
      </c>
      <c r="W57" s="290">
        <v>0</v>
      </c>
      <c r="X57" s="290">
        <v>0</v>
      </c>
      <c r="Y57" s="292">
        <v>34450224</v>
      </c>
      <c r="Z57" s="292">
        <f t="shared" si="15"/>
        <v>34450224</v>
      </c>
      <c r="AA57" s="290">
        <v>0</v>
      </c>
      <c r="AB57" s="290">
        <v>0</v>
      </c>
      <c r="AC57" s="292">
        <v>0</v>
      </c>
      <c r="AD57" s="292">
        <f t="shared" si="16"/>
        <v>0</v>
      </c>
      <c r="AE57" s="290">
        <v>0</v>
      </c>
      <c r="AF57" s="290">
        <v>0</v>
      </c>
      <c r="AG57" s="292">
        <f t="shared" si="17"/>
        <v>0</v>
      </c>
      <c r="AH57" s="292">
        <v>0</v>
      </c>
      <c r="AI57" s="292">
        <v>0</v>
      </c>
      <c r="AJ57" s="292">
        <f t="shared" si="18"/>
        <v>0</v>
      </c>
      <c r="AK57" s="292">
        <f t="shared" si="80"/>
        <v>815746709</v>
      </c>
      <c r="AL57" s="292">
        <f t="shared" si="78"/>
        <v>0</v>
      </c>
      <c r="AM57" s="292">
        <f t="shared" si="78"/>
        <v>52516842</v>
      </c>
      <c r="AN57" s="292">
        <f t="shared" si="81"/>
        <v>868263551</v>
      </c>
      <c r="AO57" s="292">
        <f t="shared" si="82"/>
        <v>134074370</v>
      </c>
      <c r="AP57" s="292">
        <f t="shared" si="79"/>
        <v>198574134</v>
      </c>
      <c r="AQ57" s="292">
        <f t="shared" si="79"/>
        <v>9541081</v>
      </c>
      <c r="AR57" s="292">
        <f t="shared" si="83"/>
        <v>342189585</v>
      </c>
      <c r="AS57" s="292">
        <f t="shared" si="84"/>
        <v>0</v>
      </c>
      <c r="AT57" s="292">
        <f t="shared" si="85"/>
        <v>0</v>
      </c>
      <c r="AU57" s="292">
        <f t="shared" si="86"/>
        <v>0</v>
      </c>
      <c r="AV57" s="292">
        <f t="shared" si="87"/>
        <v>0</v>
      </c>
      <c r="AW57" s="292">
        <f t="shared" si="88"/>
        <v>0</v>
      </c>
      <c r="AX57" s="292">
        <f t="shared" si="89"/>
        <v>0</v>
      </c>
      <c r="AY57" s="292">
        <f t="shared" si="90"/>
        <v>949821079</v>
      </c>
      <c r="AZ57" s="292">
        <f t="shared" si="91"/>
        <v>198574134</v>
      </c>
      <c r="BA57" s="292">
        <f t="shared" si="91"/>
        <v>62057923</v>
      </c>
      <c r="BB57" s="292">
        <f t="shared" si="92"/>
        <v>1210453136</v>
      </c>
      <c r="BC57" s="83">
        <f t="shared" si="77"/>
        <v>0.12799330599281089</v>
      </c>
      <c r="BD57" s="293"/>
      <c r="BE57" s="5">
        <f>BB57/'Monthly D4 Gallon Data'!AX55</f>
        <v>1.5509955230757386</v>
      </c>
    </row>
    <row r="58" spans="1:57" s="294" customFormat="1" ht="13.5" hidden="1" thickBot="1">
      <c r="A58" s="170">
        <v>41821</v>
      </c>
      <c r="B58" s="290">
        <v>192029810</v>
      </c>
      <c r="C58" s="290">
        <v>0</v>
      </c>
      <c r="D58" s="290">
        <v>25232023</v>
      </c>
      <c r="E58" s="291">
        <f t="shared" si="0"/>
        <v>217261833</v>
      </c>
      <c r="F58" s="290">
        <f t="shared" si="6"/>
        <v>21406382</v>
      </c>
      <c r="G58" s="290">
        <f t="shared" si="7"/>
        <v>42865557</v>
      </c>
      <c r="H58" s="290">
        <f t="shared" si="8"/>
        <v>0</v>
      </c>
      <c r="I58" s="291">
        <f t="shared" si="1"/>
        <v>64271939</v>
      </c>
      <c r="J58" s="290">
        <f t="shared" si="9"/>
        <v>0</v>
      </c>
      <c r="K58" s="290">
        <v>0</v>
      </c>
      <c r="L58" s="291">
        <f t="shared" si="2"/>
        <v>0</v>
      </c>
      <c r="M58" s="290">
        <f t="shared" si="10"/>
        <v>0</v>
      </c>
      <c r="N58" s="291">
        <f t="shared" si="11"/>
        <v>0</v>
      </c>
      <c r="O58" s="291">
        <f t="shared" si="3"/>
        <v>213436192</v>
      </c>
      <c r="P58" s="291">
        <f t="shared" si="12"/>
        <v>42865557</v>
      </c>
      <c r="Q58" s="291">
        <f t="shared" si="4"/>
        <v>25232023</v>
      </c>
      <c r="R58" s="291">
        <f t="shared" si="13"/>
        <v>281533772</v>
      </c>
      <c r="S58" s="292">
        <v>12969</v>
      </c>
      <c r="T58" s="292">
        <v>551546</v>
      </c>
      <c r="U58" s="292">
        <v>20841867</v>
      </c>
      <c r="V58" s="292">
        <f t="shared" si="14"/>
        <v>21406382</v>
      </c>
      <c r="W58" s="290">
        <v>0</v>
      </c>
      <c r="X58" s="290">
        <v>0</v>
      </c>
      <c r="Y58" s="292">
        <v>42865557</v>
      </c>
      <c r="Z58" s="292">
        <f t="shared" si="15"/>
        <v>42865557</v>
      </c>
      <c r="AA58" s="290">
        <v>0</v>
      </c>
      <c r="AB58" s="290">
        <v>0</v>
      </c>
      <c r="AC58" s="292">
        <v>0</v>
      </c>
      <c r="AD58" s="292">
        <f t="shared" si="16"/>
        <v>0</v>
      </c>
      <c r="AE58" s="290">
        <v>0</v>
      </c>
      <c r="AF58" s="290">
        <v>0</v>
      </c>
      <c r="AG58" s="292">
        <f t="shared" si="17"/>
        <v>0</v>
      </c>
      <c r="AH58" s="292">
        <v>0</v>
      </c>
      <c r="AI58" s="292">
        <v>0</v>
      </c>
      <c r="AJ58" s="292">
        <f t="shared" si="18"/>
        <v>0</v>
      </c>
      <c r="AK58" s="292">
        <f t="shared" si="80"/>
        <v>1007776519</v>
      </c>
      <c r="AL58" s="292">
        <f t="shared" si="78"/>
        <v>0</v>
      </c>
      <c r="AM58" s="292">
        <f t="shared" si="78"/>
        <v>77748865</v>
      </c>
      <c r="AN58" s="292">
        <f t="shared" si="81"/>
        <v>1085525384</v>
      </c>
      <c r="AO58" s="292">
        <f t="shared" si="82"/>
        <v>155480752</v>
      </c>
      <c r="AP58" s="292">
        <f t="shared" si="79"/>
        <v>241439691</v>
      </c>
      <c r="AQ58" s="292">
        <f t="shared" si="79"/>
        <v>9541081</v>
      </c>
      <c r="AR58" s="292">
        <f t="shared" si="83"/>
        <v>406461524</v>
      </c>
      <c r="AS58" s="292">
        <f t="shared" si="84"/>
        <v>0</v>
      </c>
      <c r="AT58" s="292">
        <f t="shared" si="85"/>
        <v>0</v>
      </c>
      <c r="AU58" s="292">
        <f t="shared" si="86"/>
        <v>0</v>
      </c>
      <c r="AV58" s="292">
        <f t="shared" si="87"/>
        <v>0</v>
      </c>
      <c r="AW58" s="292">
        <f t="shared" si="88"/>
        <v>0</v>
      </c>
      <c r="AX58" s="292">
        <f t="shared" si="89"/>
        <v>0</v>
      </c>
      <c r="AY58" s="292">
        <f t="shared" si="90"/>
        <v>1163257271</v>
      </c>
      <c r="AZ58" s="292">
        <f t="shared" si="91"/>
        <v>241439691</v>
      </c>
      <c r="BA58" s="292">
        <f t="shared" si="91"/>
        <v>87289946</v>
      </c>
      <c r="BB58" s="292">
        <f t="shared" si="92"/>
        <v>1491986908</v>
      </c>
      <c r="BC58" s="83">
        <f t="shared" si="77"/>
        <v>0.11852321769003238</v>
      </c>
      <c r="BD58" s="293"/>
      <c r="BE58" s="5">
        <f>BB58/'Monthly D4 Gallon Data'!AX56</f>
        <v>1.5491444000401402</v>
      </c>
    </row>
    <row r="59" spans="1:57" s="294" customFormat="1" ht="13.5" hidden="1" thickBot="1">
      <c r="A59" s="170">
        <v>41852</v>
      </c>
      <c r="B59" s="290">
        <v>191068951</v>
      </c>
      <c r="C59" s="290">
        <v>0</v>
      </c>
      <c r="D59" s="290">
        <v>11722510</v>
      </c>
      <c r="E59" s="291">
        <f t="shared" si="0"/>
        <v>202791461</v>
      </c>
      <c r="F59" s="290">
        <f t="shared" si="6"/>
        <v>2595244</v>
      </c>
      <c r="G59" s="290">
        <f t="shared" si="7"/>
        <v>14322012</v>
      </c>
      <c r="H59" s="290">
        <f t="shared" si="8"/>
        <v>0</v>
      </c>
      <c r="I59" s="291">
        <f t="shared" si="1"/>
        <v>16917256</v>
      </c>
      <c r="J59" s="290">
        <f t="shared" si="9"/>
        <v>0</v>
      </c>
      <c r="K59" s="290">
        <v>0</v>
      </c>
      <c r="L59" s="291">
        <f t="shared" si="2"/>
        <v>0</v>
      </c>
      <c r="M59" s="290">
        <f t="shared" si="10"/>
        <v>0</v>
      </c>
      <c r="N59" s="291">
        <f t="shared" si="11"/>
        <v>0</v>
      </c>
      <c r="O59" s="291">
        <f t="shared" si="3"/>
        <v>193664195</v>
      </c>
      <c r="P59" s="291">
        <f t="shared" si="12"/>
        <v>14322012</v>
      </c>
      <c r="Q59" s="291">
        <f t="shared" si="4"/>
        <v>11722510</v>
      </c>
      <c r="R59" s="291">
        <f t="shared" si="13"/>
        <v>219708717</v>
      </c>
      <c r="S59" s="292">
        <v>0</v>
      </c>
      <c r="T59" s="292">
        <v>758792</v>
      </c>
      <c r="U59" s="292">
        <v>1836452</v>
      </c>
      <c r="V59" s="292">
        <f t="shared" si="14"/>
        <v>2595244</v>
      </c>
      <c r="W59" s="290">
        <v>0</v>
      </c>
      <c r="X59" s="290">
        <v>0</v>
      </c>
      <c r="Y59" s="292">
        <v>14322012</v>
      </c>
      <c r="Z59" s="292">
        <f t="shared" si="15"/>
        <v>14322012</v>
      </c>
      <c r="AA59" s="290">
        <v>0</v>
      </c>
      <c r="AB59" s="290">
        <v>0</v>
      </c>
      <c r="AC59" s="292">
        <v>0</v>
      </c>
      <c r="AD59" s="292">
        <f t="shared" si="16"/>
        <v>0</v>
      </c>
      <c r="AE59" s="290">
        <v>0</v>
      </c>
      <c r="AF59" s="290">
        <v>0</v>
      </c>
      <c r="AG59" s="292">
        <f t="shared" si="17"/>
        <v>0</v>
      </c>
      <c r="AH59" s="292">
        <v>0</v>
      </c>
      <c r="AI59" s="292">
        <v>0</v>
      </c>
      <c r="AJ59" s="292">
        <f t="shared" si="18"/>
        <v>0</v>
      </c>
      <c r="AK59" s="292">
        <f t="shared" si="80"/>
        <v>1198845470</v>
      </c>
      <c r="AL59" s="292">
        <f t="shared" si="78"/>
        <v>0</v>
      </c>
      <c r="AM59" s="292">
        <f t="shared" si="78"/>
        <v>89471375</v>
      </c>
      <c r="AN59" s="292">
        <f t="shared" si="81"/>
        <v>1288316845</v>
      </c>
      <c r="AO59" s="292">
        <f t="shared" si="82"/>
        <v>158075996</v>
      </c>
      <c r="AP59" s="292">
        <f t="shared" si="79"/>
        <v>255761703</v>
      </c>
      <c r="AQ59" s="292">
        <f t="shared" si="79"/>
        <v>9541081</v>
      </c>
      <c r="AR59" s="292">
        <f t="shared" si="83"/>
        <v>423378780</v>
      </c>
      <c r="AS59" s="292">
        <f t="shared" si="84"/>
        <v>0</v>
      </c>
      <c r="AT59" s="292">
        <f t="shared" si="85"/>
        <v>0</v>
      </c>
      <c r="AU59" s="292">
        <f t="shared" si="86"/>
        <v>0</v>
      </c>
      <c r="AV59" s="292">
        <f t="shared" si="87"/>
        <v>0</v>
      </c>
      <c r="AW59" s="292">
        <f t="shared" si="88"/>
        <v>0</v>
      </c>
      <c r="AX59" s="292">
        <f t="shared" si="89"/>
        <v>0</v>
      </c>
      <c r="AY59" s="292">
        <f t="shared" si="90"/>
        <v>1356921466</v>
      </c>
      <c r="AZ59" s="292">
        <f t="shared" si="91"/>
        <v>255761703</v>
      </c>
      <c r="BA59" s="292">
        <f t="shared" si="91"/>
        <v>99012456</v>
      </c>
      <c r="BB59" s="292">
        <f t="shared" si="92"/>
        <v>1711695625</v>
      </c>
      <c r="BC59" s="83">
        <f t="shared" si="77"/>
        <v>6.3640549392670387E-2</v>
      </c>
      <c r="BD59" s="293"/>
      <c r="BE59" s="5">
        <f>BB59/'Monthly D4 Gallon Data'!AX57</f>
        <v>1.5444677367593367</v>
      </c>
    </row>
    <row r="60" spans="1:57" s="294" customFormat="1" ht="13.5" hidden="1" thickBot="1">
      <c r="A60" s="170">
        <v>41883</v>
      </c>
      <c r="B60" s="290">
        <v>186805724</v>
      </c>
      <c r="C60" s="290">
        <v>0</v>
      </c>
      <c r="D60" s="290">
        <v>18609923</v>
      </c>
      <c r="E60" s="291">
        <f t="shared" si="0"/>
        <v>205415647</v>
      </c>
      <c r="F60" s="290">
        <f t="shared" si="6"/>
        <v>9009383</v>
      </c>
      <c r="G60" s="290">
        <f t="shared" si="7"/>
        <v>0</v>
      </c>
      <c r="H60" s="290">
        <f t="shared" si="8"/>
        <v>0</v>
      </c>
      <c r="I60" s="291">
        <f t="shared" si="1"/>
        <v>9009383</v>
      </c>
      <c r="J60" s="290">
        <f t="shared" si="9"/>
        <v>0</v>
      </c>
      <c r="K60" s="290">
        <v>0</v>
      </c>
      <c r="L60" s="291">
        <f t="shared" si="2"/>
        <v>0</v>
      </c>
      <c r="M60" s="290">
        <f t="shared" si="10"/>
        <v>0</v>
      </c>
      <c r="N60" s="291">
        <f t="shared" si="11"/>
        <v>0</v>
      </c>
      <c r="O60" s="291">
        <f t="shared" si="3"/>
        <v>195815107</v>
      </c>
      <c r="P60" s="291">
        <f t="shared" si="12"/>
        <v>0</v>
      </c>
      <c r="Q60" s="291">
        <f t="shared" si="4"/>
        <v>18609923</v>
      </c>
      <c r="R60" s="291">
        <f t="shared" si="13"/>
        <v>214425030</v>
      </c>
      <c r="S60" s="292">
        <v>26577</v>
      </c>
      <c r="T60" s="292">
        <v>590118</v>
      </c>
      <c r="U60" s="292">
        <v>8392688</v>
      </c>
      <c r="V60" s="292">
        <f t="shared" si="14"/>
        <v>9009383</v>
      </c>
      <c r="W60" s="290">
        <v>0</v>
      </c>
      <c r="X60" s="290">
        <v>0</v>
      </c>
      <c r="Y60" s="292">
        <v>0</v>
      </c>
      <c r="Z60" s="292">
        <f t="shared" si="15"/>
        <v>0</v>
      </c>
      <c r="AA60" s="290">
        <v>0</v>
      </c>
      <c r="AB60" s="290">
        <v>0</v>
      </c>
      <c r="AC60" s="292">
        <v>0</v>
      </c>
      <c r="AD60" s="292">
        <f t="shared" si="16"/>
        <v>0</v>
      </c>
      <c r="AE60" s="290">
        <v>0</v>
      </c>
      <c r="AF60" s="290">
        <v>0</v>
      </c>
      <c r="AG60" s="292">
        <f t="shared" si="17"/>
        <v>0</v>
      </c>
      <c r="AH60" s="292">
        <v>0</v>
      </c>
      <c r="AI60" s="292">
        <v>0</v>
      </c>
      <c r="AJ60" s="292">
        <f t="shared" si="18"/>
        <v>0</v>
      </c>
      <c r="AK60" s="292">
        <f t="shared" si="80"/>
        <v>1385651194</v>
      </c>
      <c r="AL60" s="292">
        <f t="shared" si="78"/>
        <v>0</v>
      </c>
      <c r="AM60" s="292">
        <f t="shared" si="78"/>
        <v>108081298</v>
      </c>
      <c r="AN60" s="292">
        <f t="shared" si="81"/>
        <v>1493732492</v>
      </c>
      <c r="AO60" s="292">
        <f t="shared" si="82"/>
        <v>167085379</v>
      </c>
      <c r="AP60" s="292">
        <f t="shared" si="79"/>
        <v>255761703</v>
      </c>
      <c r="AQ60" s="292">
        <f t="shared" si="79"/>
        <v>9541081</v>
      </c>
      <c r="AR60" s="292">
        <f t="shared" si="83"/>
        <v>432388163</v>
      </c>
      <c r="AS60" s="292">
        <f t="shared" si="84"/>
        <v>0</v>
      </c>
      <c r="AT60" s="292">
        <f t="shared" si="85"/>
        <v>0</v>
      </c>
      <c r="AU60" s="292">
        <f t="shared" si="86"/>
        <v>0</v>
      </c>
      <c r="AV60" s="292">
        <f t="shared" si="87"/>
        <v>0</v>
      </c>
      <c r="AW60" s="292">
        <f t="shared" si="88"/>
        <v>0</v>
      </c>
      <c r="AX60" s="292">
        <f t="shared" si="89"/>
        <v>0</v>
      </c>
      <c r="AY60" s="292">
        <f t="shared" si="90"/>
        <v>1552736573</v>
      </c>
      <c r="AZ60" s="292">
        <f t="shared" si="91"/>
        <v>255761703</v>
      </c>
      <c r="BA60" s="292">
        <f t="shared" si="91"/>
        <v>117622379</v>
      </c>
      <c r="BB60" s="292">
        <f t="shared" si="92"/>
        <v>1926120655</v>
      </c>
      <c r="BC60" s="83">
        <f t="shared" si="77"/>
        <v>3.247043751931411E-2</v>
      </c>
      <c r="BD60" s="293"/>
      <c r="BE60" s="5">
        <f>BB60/'Monthly D4 Gallon Data'!AX58</f>
        <v>1.540230384216301</v>
      </c>
    </row>
    <row r="61" spans="1:57" s="294" customFormat="1" ht="13.5" hidden="1" thickBot="1">
      <c r="A61" s="170">
        <v>41913</v>
      </c>
      <c r="B61" s="290">
        <v>181997132</v>
      </c>
      <c r="C61" s="290">
        <v>0</v>
      </c>
      <c r="D61" s="290">
        <v>22877792</v>
      </c>
      <c r="E61" s="291">
        <f t="shared" si="0"/>
        <v>204874924</v>
      </c>
      <c r="F61" s="290">
        <f t="shared" si="6"/>
        <v>23546985</v>
      </c>
      <c r="G61" s="290">
        <f t="shared" si="7"/>
        <v>592513</v>
      </c>
      <c r="H61" s="290">
        <f t="shared" si="8"/>
        <v>0</v>
      </c>
      <c r="I61" s="291">
        <f t="shared" si="1"/>
        <v>24139498</v>
      </c>
      <c r="J61" s="290">
        <f t="shared" si="9"/>
        <v>0</v>
      </c>
      <c r="K61" s="290">
        <v>0</v>
      </c>
      <c r="L61" s="291">
        <f t="shared" si="2"/>
        <v>0</v>
      </c>
      <c r="M61" s="290">
        <f t="shared" si="10"/>
        <v>0</v>
      </c>
      <c r="N61" s="291">
        <f t="shared" si="11"/>
        <v>0</v>
      </c>
      <c r="O61" s="291">
        <f t="shared" si="3"/>
        <v>205544117</v>
      </c>
      <c r="P61" s="291">
        <f t="shared" si="12"/>
        <v>592513</v>
      </c>
      <c r="Q61" s="291">
        <f t="shared" si="4"/>
        <v>22877792</v>
      </c>
      <c r="R61" s="291">
        <f t="shared" si="13"/>
        <v>229014422</v>
      </c>
      <c r="S61" s="292">
        <v>49566</v>
      </c>
      <c r="T61" s="292">
        <v>658842</v>
      </c>
      <c r="U61" s="292">
        <v>22838577</v>
      </c>
      <c r="V61" s="292">
        <f t="shared" si="14"/>
        <v>23546985</v>
      </c>
      <c r="W61" s="290">
        <v>0</v>
      </c>
      <c r="X61" s="290">
        <v>0</v>
      </c>
      <c r="Y61" s="292">
        <v>592513</v>
      </c>
      <c r="Z61" s="292">
        <f t="shared" si="15"/>
        <v>592513</v>
      </c>
      <c r="AA61" s="290">
        <v>0</v>
      </c>
      <c r="AB61" s="290">
        <v>0</v>
      </c>
      <c r="AC61" s="292">
        <v>0</v>
      </c>
      <c r="AD61" s="292">
        <f t="shared" si="16"/>
        <v>0</v>
      </c>
      <c r="AE61" s="290">
        <v>0</v>
      </c>
      <c r="AF61" s="290">
        <v>0</v>
      </c>
      <c r="AG61" s="292">
        <f t="shared" si="17"/>
        <v>0</v>
      </c>
      <c r="AH61" s="292">
        <v>0</v>
      </c>
      <c r="AI61" s="292">
        <v>0</v>
      </c>
      <c r="AJ61" s="292">
        <f t="shared" si="18"/>
        <v>0</v>
      </c>
      <c r="AK61" s="292">
        <f t="shared" si="80"/>
        <v>1567648326</v>
      </c>
      <c r="AL61" s="292">
        <f t="shared" si="78"/>
        <v>0</v>
      </c>
      <c r="AM61" s="292">
        <f t="shared" si="78"/>
        <v>130959090</v>
      </c>
      <c r="AN61" s="292">
        <f t="shared" si="81"/>
        <v>1698607416</v>
      </c>
      <c r="AO61" s="292">
        <f t="shared" si="82"/>
        <v>190632364</v>
      </c>
      <c r="AP61" s="292">
        <f t="shared" si="79"/>
        <v>256354216</v>
      </c>
      <c r="AQ61" s="292">
        <f t="shared" si="79"/>
        <v>9541081</v>
      </c>
      <c r="AR61" s="292">
        <f t="shared" si="83"/>
        <v>456527661</v>
      </c>
      <c r="AS61" s="292">
        <f t="shared" si="84"/>
        <v>0</v>
      </c>
      <c r="AT61" s="292">
        <f t="shared" si="85"/>
        <v>0</v>
      </c>
      <c r="AU61" s="292">
        <f t="shared" si="86"/>
        <v>0</v>
      </c>
      <c r="AV61" s="292">
        <f t="shared" si="87"/>
        <v>0</v>
      </c>
      <c r="AW61" s="292">
        <f t="shared" si="88"/>
        <v>0</v>
      </c>
      <c r="AX61" s="292">
        <f t="shared" si="89"/>
        <v>0</v>
      </c>
      <c r="AY61" s="292">
        <f t="shared" si="90"/>
        <v>1758280690</v>
      </c>
      <c r="AZ61" s="292">
        <f t="shared" si="91"/>
        <v>256354216</v>
      </c>
      <c r="BA61" s="292">
        <f t="shared" si="91"/>
        <v>140500171</v>
      </c>
      <c r="BB61" s="292">
        <f t="shared" si="92"/>
        <v>2155135077</v>
      </c>
      <c r="BC61" s="83">
        <f t="shared" si="77"/>
        <v>7.1812649967426534E-3</v>
      </c>
      <c r="BD61" s="293"/>
      <c r="BE61" s="5">
        <f>BB61/'Monthly D4 Gallon Data'!AX59</f>
        <v>1.5378992082416321</v>
      </c>
    </row>
    <row r="62" spans="1:57" s="294" customFormat="1" ht="13.5" hidden="1" thickBot="1">
      <c r="A62" s="170">
        <v>41944</v>
      </c>
      <c r="B62" s="290">
        <v>145999885</v>
      </c>
      <c r="C62" s="290">
        <v>0</v>
      </c>
      <c r="D62" s="290">
        <v>38943996</v>
      </c>
      <c r="E62" s="291">
        <f t="shared" si="0"/>
        <v>184943881</v>
      </c>
      <c r="F62" s="290">
        <f t="shared" si="6"/>
        <v>27062234</v>
      </c>
      <c r="G62" s="290">
        <f t="shared" si="7"/>
        <v>15848100</v>
      </c>
      <c r="H62" s="290">
        <f t="shared" si="8"/>
        <v>0</v>
      </c>
      <c r="I62" s="291">
        <f t="shared" si="1"/>
        <v>42910334</v>
      </c>
      <c r="J62" s="290">
        <f t="shared" si="9"/>
        <v>0</v>
      </c>
      <c r="K62" s="290">
        <v>0</v>
      </c>
      <c r="L62" s="291">
        <f t="shared" si="2"/>
        <v>0</v>
      </c>
      <c r="M62" s="290">
        <f t="shared" si="10"/>
        <v>0</v>
      </c>
      <c r="N62" s="291">
        <f t="shared" si="11"/>
        <v>0</v>
      </c>
      <c r="O62" s="291">
        <f t="shared" si="3"/>
        <v>173062119</v>
      </c>
      <c r="P62" s="291">
        <f t="shared" si="12"/>
        <v>15848100</v>
      </c>
      <c r="Q62" s="291">
        <f t="shared" si="4"/>
        <v>38943996</v>
      </c>
      <c r="R62" s="291">
        <f t="shared" si="13"/>
        <v>227854215</v>
      </c>
      <c r="S62" s="292">
        <v>37575</v>
      </c>
      <c r="T62" s="292">
        <v>584820</v>
      </c>
      <c r="U62" s="292">
        <v>26439839</v>
      </c>
      <c r="V62" s="292">
        <f t="shared" si="14"/>
        <v>27062234</v>
      </c>
      <c r="W62" s="290">
        <v>0</v>
      </c>
      <c r="X62" s="290">
        <v>0</v>
      </c>
      <c r="Y62" s="292">
        <v>15848100</v>
      </c>
      <c r="Z62" s="292">
        <f t="shared" si="15"/>
        <v>15848100</v>
      </c>
      <c r="AA62" s="290">
        <v>0</v>
      </c>
      <c r="AB62" s="290">
        <v>0</v>
      </c>
      <c r="AC62" s="292">
        <v>0</v>
      </c>
      <c r="AD62" s="292">
        <f t="shared" si="16"/>
        <v>0</v>
      </c>
      <c r="AE62" s="290">
        <v>0</v>
      </c>
      <c r="AF62" s="290">
        <v>0</v>
      </c>
      <c r="AG62" s="292">
        <f t="shared" si="17"/>
        <v>0</v>
      </c>
      <c r="AH62" s="292">
        <v>0</v>
      </c>
      <c r="AI62" s="292">
        <v>0</v>
      </c>
      <c r="AJ62" s="292">
        <f t="shared" si="18"/>
        <v>0</v>
      </c>
      <c r="AK62" s="292">
        <f t="shared" si="80"/>
        <v>1713648211</v>
      </c>
      <c r="AL62" s="292">
        <f t="shared" si="78"/>
        <v>0</v>
      </c>
      <c r="AM62" s="292">
        <f t="shared" si="78"/>
        <v>169903086</v>
      </c>
      <c r="AN62" s="292">
        <f t="shared" si="81"/>
        <v>1883551297</v>
      </c>
      <c r="AO62" s="292">
        <f t="shared" si="82"/>
        <v>217694598</v>
      </c>
      <c r="AP62" s="292">
        <f t="shared" si="79"/>
        <v>272202316</v>
      </c>
      <c r="AQ62" s="292">
        <f t="shared" si="79"/>
        <v>9541081</v>
      </c>
      <c r="AR62" s="292">
        <f t="shared" si="83"/>
        <v>499437995</v>
      </c>
      <c r="AS62" s="292">
        <f t="shared" si="84"/>
        <v>0</v>
      </c>
      <c r="AT62" s="292">
        <f t="shared" si="85"/>
        <v>0</v>
      </c>
      <c r="AU62" s="292">
        <f t="shared" si="86"/>
        <v>0</v>
      </c>
      <c r="AV62" s="292">
        <f t="shared" si="87"/>
        <v>0</v>
      </c>
      <c r="AW62" s="292">
        <f t="shared" si="88"/>
        <v>0</v>
      </c>
      <c r="AX62" s="292">
        <f t="shared" si="89"/>
        <v>0</v>
      </c>
      <c r="AY62" s="292">
        <f t="shared" si="90"/>
        <v>1931342809</v>
      </c>
      <c r="AZ62" s="292">
        <f t="shared" si="91"/>
        <v>272202316</v>
      </c>
      <c r="BA62" s="292">
        <f t="shared" si="91"/>
        <v>179444167</v>
      </c>
      <c r="BB62" s="292">
        <f t="shared" si="92"/>
        <v>2382989292</v>
      </c>
      <c r="BC62" s="83">
        <f t="shared" si="77"/>
        <v>-9.359254153432528E-3</v>
      </c>
      <c r="BD62" s="293"/>
      <c r="BE62" s="5">
        <f>BB62/'Monthly D4 Gallon Data'!AX60</f>
        <v>1.5375011820924172</v>
      </c>
    </row>
    <row r="63" spans="1:57" s="294" customFormat="1" ht="13.5" hidden="1" thickBot="1">
      <c r="A63" s="170">
        <v>41974</v>
      </c>
      <c r="B63" s="290">
        <v>245244185</v>
      </c>
      <c r="C63" s="290">
        <v>0</v>
      </c>
      <c r="D63" s="290">
        <v>24540844</v>
      </c>
      <c r="E63" s="291">
        <f t="shared" si="0"/>
        <v>269785029</v>
      </c>
      <c r="F63" s="290">
        <f t="shared" si="6"/>
        <v>37430278</v>
      </c>
      <c r="G63" s="290">
        <f t="shared" si="7"/>
        <v>19767862</v>
      </c>
      <c r="H63" s="290">
        <f t="shared" si="8"/>
        <v>0</v>
      </c>
      <c r="I63" s="291">
        <f t="shared" si="1"/>
        <v>57198140</v>
      </c>
      <c r="J63" s="290">
        <f t="shared" si="9"/>
        <v>0</v>
      </c>
      <c r="K63" s="290">
        <v>0</v>
      </c>
      <c r="L63" s="291">
        <f t="shared" si="2"/>
        <v>0</v>
      </c>
      <c r="M63" s="290">
        <f t="shared" si="10"/>
        <v>0</v>
      </c>
      <c r="N63" s="291">
        <f t="shared" si="11"/>
        <v>0</v>
      </c>
      <c r="O63" s="291">
        <f t="shared" si="3"/>
        <v>282674463</v>
      </c>
      <c r="P63" s="298">
        <f t="shared" si="12"/>
        <v>19767862</v>
      </c>
      <c r="Q63" s="291">
        <f t="shared" si="4"/>
        <v>24540844</v>
      </c>
      <c r="R63" s="291">
        <f t="shared" si="13"/>
        <v>326983169</v>
      </c>
      <c r="S63" s="292">
        <v>47152</v>
      </c>
      <c r="T63" s="292">
        <v>516566</v>
      </c>
      <c r="U63" s="292">
        <v>36866560</v>
      </c>
      <c r="V63" s="292">
        <f t="shared" si="14"/>
        <v>37430278</v>
      </c>
      <c r="W63" s="290">
        <v>0</v>
      </c>
      <c r="X63" s="290">
        <v>0</v>
      </c>
      <c r="Y63" s="292">
        <v>19767862</v>
      </c>
      <c r="Z63" s="292">
        <f t="shared" si="15"/>
        <v>19767862</v>
      </c>
      <c r="AA63" s="290">
        <v>0</v>
      </c>
      <c r="AB63" s="290">
        <v>0</v>
      </c>
      <c r="AC63" s="292">
        <v>0</v>
      </c>
      <c r="AD63" s="292">
        <f t="shared" si="16"/>
        <v>0</v>
      </c>
      <c r="AE63" s="290">
        <v>0</v>
      </c>
      <c r="AF63" s="290">
        <v>0</v>
      </c>
      <c r="AG63" s="292">
        <f t="shared" si="17"/>
        <v>0</v>
      </c>
      <c r="AH63" s="292">
        <v>0</v>
      </c>
      <c r="AI63" s="292">
        <v>0</v>
      </c>
      <c r="AJ63" s="292">
        <f t="shared" si="18"/>
        <v>0</v>
      </c>
      <c r="AK63" s="292">
        <f t="shared" si="80"/>
        <v>1958892396</v>
      </c>
      <c r="AL63" s="292">
        <f t="shared" si="78"/>
        <v>0</v>
      </c>
      <c r="AM63" s="292">
        <f t="shared" si="78"/>
        <v>194443930</v>
      </c>
      <c r="AN63" s="292">
        <f t="shared" si="81"/>
        <v>2153336326</v>
      </c>
      <c r="AO63" s="292">
        <f t="shared" si="82"/>
        <v>255124876</v>
      </c>
      <c r="AP63" s="292">
        <f t="shared" si="79"/>
        <v>291970178</v>
      </c>
      <c r="AQ63" s="292">
        <f t="shared" si="79"/>
        <v>9541081</v>
      </c>
      <c r="AR63" s="292">
        <f t="shared" si="83"/>
        <v>556636135</v>
      </c>
      <c r="AS63" s="292">
        <f t="shared" si="84"/>
        <v>0</v>
      </c>
      <c r="AT63" s="292">
        <f t="shared" si="85"/>
        <v>0</v>
      </c>
      <c r="AU63" s="292">
        <f t="shared" si="86"/>
        <v>0</v>
      </c>
      <c r="AV63" s="292">
        <f t="shared" si="87"/>
        <v>0</v>
      </c>
      <c r="AW63" s="292">
        <f t="shared" si="88"/>
        <v>0</v>
      </c>
      <c r="AX63" s="292">
        <f t="shared" si="89"/>
        <v>0</v>
      </c>
      <c r="AY63" s="292">
        <f t="shared" si="90"/>
        <v>2214017272</v>
      </c>
      <c r="AZ63" s="292">
        <f t="shared" si="91"/>
        <v>291970178</v>
      </c>
      <c r="BA63" s="292">
        <f t="shared" si="91"/>
        <v>203985011</v>
      </c>
      <c r="BB63" s="292">
        <f t="shared" si="92"/>
        <v>2709972461</v>
      </c>
      <c r="BC63" s="83">
        <f t="shared" si="77"/>
        <v>-1.1130178648983025E-2</v>
      </c>
      <c r="BD63" s="293"/>
      <c r="BE63" s="5">
        <f>BB63/'Monthly D4 Gallon Data'!AX61</f>
        <v>1.5367582465786305</v>
      </c>
    </row>
    <row r="64" spans="1:57" s="294" customFormat="1" ht="13.5" hidden="1" thickBot="1">
      <c r="A64" s="171">
        <v>42005</v>
      </c>
      <c r="B64" s="295">
        <v>83820702</v>
      </c>
      <c r="C64" s="295">
        <v>0</v>
      </c>
      <c r="D64" s="295">
        <v>12939678</v>
      </c>
      <c r="E64" s="296">
        <f t="shared" si="0"/>
        <v>96760380</v>
      </c>
      <c r="F64" s="295">
        <f t="shared" si="6"/>
        <v>29444324</v>
      </c>
      <c r="G64" s="295">
        <f t="shared" si="7"/>
        <v>16829167</v>
      </c>
      <c r="H64" s="295">
        <f t="shared" si="8"/>
        <v>0</v>
      </c>
      <c r="I64" s="296">
        <f t="shared" si="1"/>
        <v>46273491</v>
      </c>
      <c r="J64" s="295">
        <f t="shared" si="9"/>
        <v>0</v>
      </c>
      <c r="K64" s="295">
        <v>0</v>
      </c>
      <c r="L64" s="296">
        <f t="shared" si="2"/>
        <v>0</v>
      </c>
      <c r="M64" s="295">
        <f t="shared" si="10"/>
        <v>0</v>
      </c>
      <c r="N64" s="296">
        <f t="shared" si="11"/>
        <v>0</v>
      </c>
      <c r="O64" s="296">
        <f t="shared" si="3"/>
        <v>113265026</v>
      </c>
      <c r="P64" s="296">
        <f t="shared" si="12"/>
        <v>16829167</v>
      </c>
      <c r="Q64" s="296">
        <f t="shared" si="4"/>
        <v>12939678</v>
      </c>
      <c r="R64" s="296">
        <f t="shared" si="13"/>
        <v>143033871</v>
      </c>
      <c r="S64" s="297">
        <v>0</v>
      </c>
      <c r="T64" s="297">
        <v>501996</v>
      </c>
      <c r="U64" s="297">
        <v>28942328</v>
      </c>
      <c r="V64" s="297">
        <f t="shared" si="14"/>
        <v>29444324</v>
      </c>
      <c r="W64" s="295">
        <v>0</v>
      </c>
      <c r="X64" s="295">
        <v>0</v>
      </c>
      <c r="Y64" s="297">
        <v>16829167</v>
      </c>
      <c r="Z64" s="297">
        <f t="shared" si="15"/>
        <v>16829167</v>
      </c>
      <c r="AA64" s="295">
        <v>0</v>
      </c>
      <c r="AB64" s="295">
        <v>0</v>
      </c>
      <c r="AC64" s="295">
        <v>0</v>
      </c>
      <c r="AD64" s="297">
        <f t="shared" si="16"/>
        <v>0</v>
      </c>
      <c r="AE64" s="295">
        <v>0</v>
      </c>
      <c r="AF64" s="295">
        <v>0</v>
      </c>
      <c r="AG64" s="297">
        <f t="shared" si="17"/>
        <v>0</v>
      </c>
      <c r="AH64" s="297">
        <v>0</v>
      </c>
      <c r="AI64" s="297">
        <v>0</v>
      </c>
      <c r="AJ64" s="297">
        <f t="shared" si="18"/>
        <v>0</v>
      </c>
      <c r="AK64" s="297">
        <f>B64</f>
        <v>83820702</v>
      </c>
      <c r="AL64" s="297">
        <f>C64</f>
        <v>0</v>
      </c>
      <c r="AM64" s="297">
        <f>D64</f>
        <v>12939678</v>
      </c>
      <c r="AN64" s="297">
        <f>SUM(AK64:AM64)</f>
        <v>96760380</v>
      </c>
      <c r="AO64" s="297">
        <f>F64</f>
        <v>29444324</v>
      </c>
      <c r="AP64" s="297">
        <f>G64</f>
        <v>16829167</v>
      </c>
      <c r="AQ64" s="297">
        <f>H64</f>
        <v>0</v>
      </c>
      <c r="AR64" s="297">
        <f>SUM(AO64:AQ64)</f>
        <v>46273491</v>
      </c>
      <c r="AS64" s="297">
        <f>J64</f>
        <v>0</v>
      </c>
      <c r="AT64" s="297">
        <f>AH64</f>
        <v>0</v>
      </c>
      <c r="AU64" s="297">
        <f>K64</f>
        <v>0</v>
      </c>
      <c r="AV64" s="297">
        <f>SUM(AS64:AU64)</f>
        <v>0</v>
      </c>
      <c r="AW64" s="297">
        <f>M64</f>
        <v>0</v>
      </c>
      <c r="AX64" s="297">
        <f>AW64</f>
        <v>0</v>
      </c>
      <c r="AY64" s="297">
        <f>AK64+AO64+AS64+AW64</f>
        <v>113265026</v>
      </c>
      <c r="AZ64" s="297">
        <f>AL64+AP64+AT64</f>
        <v>16829167</v>
      </c>
      <c r="BA64" s="297">
        <f>AM64+AQ64+AU64</f>
        <v>12939678</v>
      </c>
      <c r="BB64" s="297">
        <f>SUM(AY64:BA64)</f>
        <v>143033871</v>
      </c>
      <c r="BC64" s="83">
        <f t="shared" si="77"/>
        <v>4.0593597656887859E-2</v>
      </c>
      <c r="BD64" s="293"/>
      <c r="BE64" s="5">
        <f>BB64/'Monthly D4 Gallon Data'!AX62</f>
        <v>1.5590468008430856</v>
      </c>
    </row>
    <row r="65" spans="1:57" s="294" customFormat="1" ht="13.5" hidden="1" thickBot="1">
      <c r="A65" s="170">
        <v>42036</v>
      </c>
      <c r="B65" s="290">
        <v>94254357</v>
      </c>
      <c r="C65" s="290">
        <v>0</v>
      </c>
      <c r="D65" s="290">
        <v>7537654</v>
      </c>
      <c r="E65" s="291">
        <f t="shared" si="0"/>
        <v>101792011</v>
      </c>
      <c r="F65" s="290">
        <f t="shared" si="6"/>
        <v>22217898</v>
      </c>
      <c r="G65" s="290">
        <f t="shared" si="7"/>
        <v>14041562</v>
      </c>
      <c r="H65" s="290">
        <f t="shared" si="8"/>
        <v>0</v>
      </c>
      <c r="I65" s="291">
        <f t="shared" si="1"/>
        <v>36259460</v>
      </c>
      <c r="J65" s="290">
        <f t="shared" si="9"/>
        <v>0</v>
      </c>
      <c r="K65" s="290">
        <v>0</v>
      </c>
      <c r="L65" s="291">
        <f t="shared" si="2"/>
        <v>0</v>
      </c>
      <c r="M65" s="290">
        <f t="shared" si="10"/>
        <v>0</v>
      </c>
      <c r="N65" s="291">
        <f t="shared" si="11"/>
        <v>0</v>
      </c>
      <c r="O65" s="291">
        <f t="shared" si="3"/>
        <v>116472255</v>
      </c>
      <c r="P65" s="291">
        <f t="shared" si="12"/>
        <v>14041562</v>
      </c>
      <c r="Q65" s="291">
        <f t="shared" si="4"/>
        <v>7537654</v>
      </c>
      <c r="R65" s="291">
        <f t="shared" si="13"/>
        <v>138051471</v>
      </c>
      <c r="S65" s="292">
        <v>0</v>
      </c>
      <c r="T65" s="292">
        <v>572182</v>
      </c>
      <c r="U65" s="292">
        <v>21645716</v>
      </c>
      <c r="V65" s="292">
        <f t="shared" si="14"/>
        <v>22217898</v>
      </c>
      <c r="W65" s="290">
        <v>0</v>
      </c>
      <c r="X65" s="290">
        <v>0</v>
      </c>
      <c r="Y65" s="292">
        <v>14041562</v>
      </c>
      <c r="Z65" s="292">
        <f t="shared" si="15"/>
        <v>14041562</v>
      </c>
      <c r="AA65" s="290">
        <v>0</v>
      </c>
      <c r="AB65" s="290">
        <v>0</v>
      </c>
      <c r="AC65" s="290">
        <v>0</v>
      </c>
      <c r="AD65" s="292">
        <f t="shared" si="16"/>
        <v>0</v>
      </c>
      <c r="AE65" s="290">
        <v>0</v>
      </c>
      <c r="AF65" s="290">
        <v>0</v>
      </c>
      <c r="AG65" s="292">
        <f t="shared" si="17"/>
        <v>0</v>
      </c>
      <c r="AH65" s="292">
        <v>0</v>
      </c>
      <c r="AI65" s="292">
        <v>0</v>
      </c>
      <c r="AJ65" s="292">
        <f t="shared" si="18"/>
        <v>0</v>
      </c>
      <c r="AK65" s="292">
        <f>AK64+B65</f>
        <v>178075059</v>
      </c>
      <c r="AL65" s="292">
        <f t="shared" ref="AL65:AM75" si="93">AL64+C65</f>
        <v>0</v>
      </c>
      <c r="AM65" s="292">
        <f t="shared" si="93"/>
        <v>20477332</v>
      </c>
      <c r="AN65" s="292">
        <f>SUM(AK65:AM65)</f>
        <v>198552391</v>
      </c>
      <c r="AO65" s="292">
        <f>AO64+F65</f>
        <v>51662222</v>
      </c>
      <c r="AP65" s="292">
        <f t="shared" ref="AP65:AQ75" si="94">AP64+G65</f>
        <v>30870729</v>
      </c>
      <c r="AQ65" s="292">
        <f t="shared" si="94"/>
        <v>0</v>
      </c>
      <c r="AR65" s="292">
        <f>SUM(AO65:AQ65)</f>
        <v>82532951</v>
      </c>
      <c r="AS65" s="292">
        <f>AS64+J65</f>
        <v>0</v>
      </c>
      <c r="AT65" s="292">
        <f>AT64+AH65</f>
        <v>0</v>
      </c>
      <c r="AU65" s="292">
        <f>AU64+K65</f>
        <v>0</v>
      </c>
      <c r="AV65" s="292">
        <f>SUM(AS65:AU65)</f>
        <v>0</v>
      </c>
      <c r="AW65" s="292">
        <f>AW64+M65</f>
        <v>0</v>
      </c>
      <c r="AX65" s="292">
        <f>AW65</f>
        <v>0</v>
      </c>
      <c r="AY65" s="292">
        <f>AK65+AO65+AS65+AW65</f>
        <v>229737281</v>
      </c>
      <c r="AZ65" s="292">
        <f>AL65+AP65+AT65</f>
        <v>30870729</v>
      </c>
      <c r="BA65" s="292">
        <f>AM65+AQ65+AU65</f>
        <v>20477332</v>
      </c>
      <c r="BB65" s="292">
        <f>SUM(AY65:BA65)</f>
        <v>281085342</v>
      </c>
      <c r="BC65" s="83">
        <f t="shared" si="77"/>
        <v>-6.3101950889449587E-2</v>
      </c>
      <c r="BD65" s="293"/>
      <c r="BE65" s="5">
        <f>BB65/'Monthly D4 Gallon Data'!AX63</f>
        <v>1.553342988324883</v>
      </c>
    </row>
    <row r="66" spans="1:57" s="294" customFormat="1" ht="13.5" hidden="1" thickBot="1">
      <c r="A66" s="170">
        <v>42064</v>
      </c>
      <c r="B66" s="290">
        <v>138558203</v>
      </c>
      <c r="C66" s="290">
        <v>0</v>
      </c>
      <c r="D66" s="290">
        <v>12810838</v>
      </c>
      <c r="E66" s="291">
        <f t="shared" si="0"/>
        <v>151369041</v>
      </c>
      <c r="F66" s="290">
        <f t="shared" si="6"/>
        <v>26136081</v>
      </c>
      <c r="G66" s="290">
        <f t="shared" si="7"/>
        <v>14076417</v>
      </c>
      <c r="H66" s="290">
        <f t="shared" si="8"/>
        <v>0</v>
      </c>
      <c r="I66" s="291">
        <f t="shared" si="1"/>
        <v>40212498</v>
      </c>
      <c r="J66" s="290">
        <f t="shared" si="9"/>
        <v>0</v>
      </c>
      <c r="K66" s="290">
        <v>0</v>
      </c>
      <c r="L66" s="291">
        <f t="shared" si="2"/>
        <v>0</v>
      </c>
      <c r="M66" s="290">
        <f t="shared" si="10"/>
        <v>0</v>
      </c>
      <c r="N66" s="291">
        <f t="shared" si="11"/>
        <v>0</v>
      </c>
      <c r="O66" s="291">
        <f t="shared" si="3"/>
        <v>164694284</v>
      </c>
      <c r="P66" s="291">
        <f t="shared" si="12"/>
        <v>14076417</v>
      </c>
      <c r="Q66" s="291">
        <f t="shared" si="4"/>
        <v>12810838</v>
      </c>
      <c r="R66" s="291">
        <f t="shared" si="13"/>
        <v>191581539</v>
      </c>
      <c r="S66" s="292">
        <v>0</v>
      </c>
      <c r="T66" s="292">
        <v>934051</v>
      </c>
      <c r="U66" s="292">
        <v>25202030</v>
      </c>
      <c r="V66" s="292">
        <f t="shared" si="14"/>
        <v>26136081</v>
      </c>
      <c r="W66" s="290">
        <v>0</v>
      </c>
      <c r="X66" s="290">
        <v>0</v>
      </c>
      <c r="Y66" s="292">
        <v>14076417</v>
      </c>
      <c r="Z66" s="292">
        <f t="shared" si="15"/>
        <v>14076417</v>
      </c>
      <c r="AA66" s="290">
        <v>0</v>
      </c>
      <c r="AB66" s="290">
        <v>0</v>
      </c>
      <c r="AC66" s="290">
        <v>0</v>
      </c>
      <c r="AD66" s="292">
        <f t="shared" si="16"/>
        <v>0</v>
      </c>
      <c r="AE66" s="290">
        <v>0</v>
      </c>
      <c r="AF66" s="290">
        <v>0</v>
      </c>
      <c r="AG66" s="292">
        <f t="shared" si="17"/>
        <v>0</v>
      </c>
      <c r="AH66" s="292">
        <v>0</v>
      </c>
      <c r="AI66" s="292">
        <v>0</v>
      </c>
      <c r="AJ66" s="292">
        <f t="shared" si="18"/>
        <v>0</v>
      </c>
      <c r="AK66" s="292">
        <f t="shared" ref="AK66:AK75" si="95">AK65+B66</f>
        <v>316633262</v>
      </c>
      <c r="AL66" s="292">
        <f t="shared" si="93"/>
        <v>0</v>
      </c>
      <c r="AM66" s="292">
        <f t="shared" si="93"/>
        <v>33288170</v>
      </c>
      <c r="AN66" s="292">
        <f t="shared" ref="AN66:AN75" si="96">SUM(AK66:AM66)</f>
        <v>349921432</v>
      </c>
      <c r="AO66" s="292">
        <f t="shared" ref="AO66:AO75" si="97">AO65+F66</f>
        <v>77798303</v>
      </c>
      <c r="AP66" s="292">
        <f t="shared" si="94"/>
        <v>44947146</v>
      </c>
      <c r="AQ66" s="292">
        <f t="shared" si="94"/>
        <v>0</v>
      </c>
      <c r="AR66" s="292">
        <f t="shared" ref="AR66:AR75" si="98">SUM(AO66:AQ66)</f>
        <v>122745449</v>
      </c>
      <c r="AS66" s="292">
        <f t="shared" ref="AS66:AS75" si="99">AS65+J66</f>
        <v>0</v>
      </c>
      <c r="AT66" s="292">
        <f t="shared" ref="AT66:AT75" si="100">AT65+AH66</f>
        <v>0</v>
      </c>
      <c r="AU66" s="292">
        <f t="shared" ref="AU66:AU75" si="101">AU65+K66</f>
        <v>0</v>
      </c>
      <c r="AV66" s="292">
        <f t="shared" ref="AV66:AV75" si="102">SUM(AS66:AU66)</f>
        <v>0</v>
      </c>
      <c r="AW66" s="292">
        <f t="shared" ref="AW66:AW75" si="103">AW65+M66</f>
        <v>0</v>
      </c>
      <c r="AX66" s="292">
        <f t="shared" ref="AX66:AX75" si="104">AW66</f>
        <v>0</v>
      </c>
      <c r="AY66" s="292">
        <f t="shared" ref="AY66:AY75" si="105">AK66+AO66+AS66+AW66</f>
        <v>394431565</v>
      </c>
      <c r="AZ66" s="292">
        <f t="shared" ref="AZ66:BA75" si="106">AL66+AP66+AT66</f>
        <v>44947146</v>
      </c>
      <c r="BA66" s="292">
        <f t="shared" si="106"/>
        <v>33288170</v>
      </c>
      <c r="BB66" s="292">
        <f t="shared" ref="BB66:BB75" si="107">SUM(AY66:BA66)</f>
        <v>472666881</v>
      </c>
      <c r="BC66" s="83">
        <f t="shared" si="77"/>
        <v>-8.8348477970218053E-2</v>
      </c>
      <c r="BD66" s="293"/>
      <c r="BE66" s="5">
        <f>BB66/'Monthly D4 Gallon Data'!AX64</f>
        <v>1.5469107115098555</v>
      </c>
    </row>
    <row r="67" spans="1:57" s="294" customFormat="1" ht="13.5" hidden="1" thickBot="1">
      <c r="A67" s="170">
        <v>42095</v>
      </c>
      <c r="B67" s="290">
        <v>159741399</v>
      </c>
      <c r="C67" s="290">
        <v>0</v>
      </c>
      <c r="D67" s="290">
        <v>18106955</v>
      </c>
      <c r="E67" s="291">
        <f t="shared" si="0"/>
        <v>177848354</v>
      </c>
      <c r="F67" s="290">
        <f t="shared" si="6"/>
        <v>25734613</v>
      </c>
      <c r="G67" s="290">
        <f t="shared" si="7"/>
        <v>18298288</v>
      </c>
      <c r="H67" s="290">
        <f t="shared" si="8"/>
        <v>0</v>
      </c>
      <c r="I67" s="291">
        <f t="shared" si="1"/>
        <v>44032901</v>
      </c>
      <c r="J67" s="290">
        <f t="shared" si="9"/>
        <v>0</v>
      </c>
      <c r="K67" s="290">
        <v>0</v>
      </c>
      <c r="L67" s="291">
        <f t="shared" si="2"/>
        <v>0</v>
      </c>
      <c r="M67" s="290">
        <f t="shared" si="10"/>
        <v>0</v>
      </c>
      <c r="N67" s="291">
        <f t="shared" si="11"/>
        <v>0</v>
      </c>
      <c r="O67" s="291">
        <f t="shared" si="3"/>
        <v>185476012</v>
      </c>
      <c r="P67" s="291">
        <f t="shared" si="12"/>
        <v>18298288</v>
      </c>
      <c r="Q67" s="291">
        <f t="shared" si="4"/>
        <v>18106955</v>
      </c>
      <c r="R67" s="291">
        <f t="shared" si="13"/>
        <v>221881255</v>
      </c>
      <c r="S67" s="292">
        <v>0</v>
      </c>
      <c r="T67" s="292">
        <v>994890</v>
      </c>
      <c r="U67" s="292">
        <v>24739723</v>
      </c>
      <c r="V67" s="292">
        <f t="shared" si="14"/>
        <v>25734613</v>
      </c>
      <c r="W67" s="290">
        <v>0</v>
      </c>
      <c r="X67" s="290">
        <v>0</v>
      </c>
      <c r="Y67" s="292">
        <v>18298288</v>
      </c>
      <c r="Z67" s="292">
        <f t="shared" si="15"/>
        <v>18298288</v>
      </c>
      <c r="AA67" s="290">
        <v>0</v>
      </c>
      <c r="AB67" s="290">
        <v>0</v>
      </c>
      <c r="AC67" s="290">
        <v>0</v>
      </c>
      <c r="AD67" s="292">
        <f t="shared" si="16"/>
        <v>0</v>
      </c>
      <c r="AE67" s="290">
        <v>0</v>
      </c>
      <c r="AF67" s="290">
        <v>0</v>
      </c>
      <c r="AG67" s="292">
        <f t="shared" si="17"/>
        <v>0</v>
      </c>
      <c r="AH67" s="292">
        <v>0</v>
      </c>
      <c r="AI67" s="292">
        <v>0</v>
      </c>
      <c r="AJ67" s="292">
        <f t="shared" si="18"/>
        <v>0</v>
      </c>
      <c r="AK67" s="292">
        <f t="shared" si="95"/>
        <v>476374661</v>
      </c>
      <c r="AL67" s="292">
        <f t="shared" si="93"/>
        <v>0</v>
      </c>
      <c r="AM67" s="292">
        <f t="shared" si="93"/>
        <v>51395125</v>
      </c>
      <c r="AN67" s="292">
        <f t="shared" si="96"/>
        <v>527769786</v>
      </c>
      <c r="AO67" s="292">
        <f t="shared" si="97"/>
        <v>103532916</v>
      </c>
      <c r="AP67" s="292">
        <f t="shared" si="94"/>
        <v>63245434</v>
      </c>
      <c r="AQ67" s="292">
        <f t="shared" si="94"/>
        <v>0</v>
      </c>
      <c r="AR67" s="292">
        <f t="shared" si="98"/>
        <v>166778350</v>
      </c>
      <c r="AS67" s="292">
        <f t="shared" si="99"/>
        <v>0</v>
      </c>
      <c r="AT67" s="292">
        <f t="shared" si="100"/>
        <v>0</v>
      </c>
      <c r="AU67" s="292">
        <f t="shared" si="101"/>
        <v>0</v>
      </c>
      <c r="AV67" s="292">
        <f t="shared" si="102"/>
        <v>0</v>
      </c>
      <c r="AW67" s="292">
        <f t="shared" si="103"/>
        <v>0</v>
      </c>
      <c r="AX67" s="292">
        <f t="shared" si="104"/>
        <v>0</v>
      </c>
      <c r="AY67" s="292">
        <f t="shared" si="105"/>
        <v>579907577</v>
      </c>
      <c r="AZ67" s="292">
        <f t="shared" si="106"/>
        <v>63245434</v>
      </c>
      <c r="BA67" s="292">
        <f t="shared" si="106"/>
        <v>51395125</v>
      </c>
      <c r="BB67" s="292">
        <f t="shared" si="107"/>
        <v>694548136</v>
      </c>
      <c r="BC67" s="83">
        <f t="shared" si="77"/>
        <v>-6.3456493721808394E-2</v>
      </c>
      <c r="BD67" s="293"/>
      <c r="BE67" s="5">
        <f>BB67/'Monthly D4 Gallon Data'!AX65</f>
        <v>1.5432425888405958</v>
      </c>
    </row>
    <row r="68" spans="1:57" s="294" customFormat="1" ht="13.5" hidden="1" thickBot="1">
      <c r="A68" s="170">
        <v>42125</v>
      </c>
      <c r="B68" s="290">
        <v>182297711</v>
      </c>
      <c r="C68" s="290">
        <v>0</v>
      </c>
      <c r="D68" s="290">
        <v>21629983</v>
      </c>
      <c r="E68" s="291">
        <f t="shared" ref="E68:E99" si="108">SUM(B68:D68)</f>
        <v>203927694</v>
      </c>
      <c r="F68" s="290">
        <f t="shared" si="6"/>
        <v>26122397</v>
      </c>
      <c r="G68" s="290">
        <f t="shared" si="7"/>
        <v>31725875</v>
      </c>
      <c r="H68" s="290">
        <f t="shared" si="8"/>
        <v>0</v>
      </c>
      <c r="I68" s="291">
        <f t="shared" ref="I68:I99" si="109">SUM(F68:H68)</f>
        <v>57848272</v>
      </c>
      <c r="J68" s="290">
        <f t="shared" si="9"/>
        <v>0</v>
      </c>
      <c r="K68" s="290">
        <v>0</v>
      </c>
      <c r="L68" s="291">
        <f t="shared" ref="L68:L131" si="110">SUM(J68:K68,AH68)</f>
        <v>0</v>
      </c>
      <c r="M68" s="290">
        <f t="shared" si="10"/>
        <v>0</v>
      </c>
      <c r="N68" s="291">
        <f t="shared" si="11"/>
        <v>0</v>
      </c>
      <c r="O68" s="291">
        <f t="shared" ref="O68:O131" si="111">B68+F68+J68+M68</f>
        <v>208420108</v>
      </c>
      <c r="P68" s="291">
        <f t="shared" si="12"/>
        <v>31725875</v>
      </c>
      <c r="Q68" s="291">
        <f t="shared" ref="Q68:Q131" si="112">D68+H68+K68</f>
        <v>21629983</v>
      </c>
      <c r="R68" s="291">
        <f t="shared" si="13"/>
        <v>261775966</v>
      </c>
      <c r="S68" s="292">
        <v>0</v>
      </c>
      <c r="T68" s="292">
        <v>924193</v>
      </c>
      <c r="U68" s="292">
        <v>25198204</v>
      </c>
      <c r="V68" s="292">
        <f t="shared" si="14"/>
        <v>26122397</v>
      </c>
      <c r="W68" s="290">
        <v>0</v>
      </c>
      <c r="X68" s="290">
        <v>0</v>
      </c>
      <c r="Y68" s="292">
        <v>31725875</v>
      </c>
      <c r="Z68" s="292">
        <f t="shared" si="15"/>
        <v>31725875</v>
      </c>
      <c r="AA68" s="290">
        <v>0</v>
      </c>
      <c r="AB68" s="290">
        <v>0</v>
      </c>
      <c r="AC68" s="290">
        <v>0</v>
      </c>
      <c r="AD68" s="292">
        <f t="shared" si="16"/>
        <v>0</v>
      </c>
      <c r="AE68" s="290">
        <v>0</v>
      </c>
      <c r="AF68" s="290">
        <v>0</v>
      </c>
      <c r="AG68" s="292">
        <f t="shared" si="17"/>
        <v>0</v>
      </c>
      <c r="AH68" s="292">
        <v>0</v>
      </c>
      <c r="AI68" s="292">
        <v>0</v>
      </c>
      <c r="AJ68" s="292">
        <f t="shared" si="18"/>
        <v>0</v>
      </c>
      <c r="AK68" s="292">
        <f t="shared" si="95"/>
        <v>658672372</v>
      </c>
      <c r="AL68" s="292">
        <f t="shared" si="93"/>
        <v>0</v>
      </c>
      <c r="AM68" s="292">
        <f t="shared" si="93"/>
        <v>73025108</v>
      </c>
      <c r="AN68" s="292">
        <f t="shared" si="96"/>
        <v>731697480</v>
      </c>
      <c r="AO68" s="292">
        <f t="shared" si="97"/>
        <v>129655313</v>
      </c>
      <c r="AP68" s="292">
        <f t="shared" si="94"/>
        <v>94971309</v>
      </c>
      <c r="AQ68" s="292">
        <f t="shared" si="94"/>
        <v>0</v>
      </c>
      <c r="AR68" s="292">
        <f t="shared" si="98"/>
        <v>224626622</v>
      </c>
      <c r="AS68" s="292">
        <f t="shared" si="99"/>
        <v>0</v>
      </c>
      <c r="AT68" s="292">
        <f t="shared" si="100"/>
        <v>0</v>
      </c>
      <c r="AU68" s="292">
        <f t="shared" si="101"/>
        <v>0</v>
      </c>
      <c r="AV68" s="292">
        <f t="shared" si="102"/>
        <v>0</v>
      </c>
      <c r="AW68" s="292">
        <f t="shared" si="103"/>
        <v>0</v>
      </c>
      <c r="AX68" s="292">
        <f t="shared" si="104"/>
        <v>0</v>
      </c>
      <c r="AY68" s="292">
        <f t="shared" si="105"/>
        <v>788327685</v>
      </c>
      <c r="AZ68" s="292">
        <f t="shared" si="106"/>
        <v>94971309</v>
      </c>
      <c r="BA68" s="292">
        <f t="shared" si="106"/>
        <v>73025108</v>
      </c>
      <c r="BB68" s="292">
        <f t="shared" si="107"/>
        <v>956324102</v>
      </c>
      <c r="BC68" s="83">
        <f t="shared" si="77"/>
        <v>-1.6720086442633786E-2</v>
      </c>
      <c r="BD68" s="293"/>
      <c r="BE68" s="5">
        <f>BB68/'Monthly D4 Gallon Data'!AX66</f>
        <v>1.5422833440512578</v>
      </c>
    </row>
    <row r="69" spans="1:57" s="294" customFormat="1" ht="13.5" hidden="1" thickBot="1">
      <c r="A69" s="170">
        <v>42156</v>
      </c>
      <c r="B69" s="290">
        <v>196381872</v>
      </c>
      <c r="C69" s="290">
        <v>0</v>
      </c>
      <c r="D69" s="290">
        <v>24950696</v>
      </c>
      <c r="E69" s="291">
        <f t="shared" si="108"/>
        <v>221332568</v>
      </c>
      <c r="F69" s="290">
        <f t="shared" ref="F69:F132" si="113">V69</f>
        <v>23539075</v>
      </c>
      <c r="G69" s="290">
        <f t="shared" ref="G69:G132" si="114">Z69</f>
        <v>25948882</v>
      </c>
      <c r="H69" s="290">
        <f t="shared" ref="H69:H132" si="115">AD69</f>
        <v>0</v>
      </c>
      <c r="I69" s="291">
        <f t="shared" si="109"/>
        <v>49487957</v>
      </c>
      <c r="J69" s="290">
        <f t="shared" ref="J69:J132" si="116">AG69</f>
        <v>0</v>
      </c>
      <c r="K69" s="290">
        <v>0</v>
      </c>
      <c r="L69" s="291">
        <f t="shared" si="110"/>
        <v>0</v>
      </c>
      <c r="M69" s="290">
        <f t="shared" ref="M69:M132" si="117">AJ69</f>
        <v>0</v>
      </c>
      <c r="N69" s="291">
        <f t="shared" ref="N69:N114" si="118">SUM(M69)</f>
        <v>0</v>
      </c>
      <c r="O69" s="291">
        <f t="shared" si="111"/>
        <v>219920947</v>
      </c>
      <c r="P69" s="291">
        <f t="shared" ref="P69:P132" si="119">C69+G69+AH69</f>
        <v>25948882</v>
      </c>
      <c r="Q69" s="291">
        <f t="shared" si="112"/>
        <v>24950696</v>
      </c>
      <c r="R69" s="291">
        <f t="shared" ref="R69:R99" si="120">SUM(O69:Q69)</f>
        <v>270820525</v>
      </c>
      <c r="S69" s="292">
        <v>0</v>
      </c>
      <c r="T69" s="292">
        <v>800273</v>
      </c>
      <c r="U69" s="292">
        <v>22738802</v>
      </c>
      <c r="V69" s="292">
        <f t="shared" ref="V69:V132" si="121">SUM(S69:U69)</f>
        <v>23539075</v>
      </c>
      <c r="W69" s="290">
        <v>0</v>
      </c>
      <c r="X69" s="290">
        <v>0</v>
      </c>
      <c r="Y69" s="292">
        <v>25948882</v>
      </c>
      <c r="Z69" s="292">
        <f t="shared" ref="Z69:Z132" si="122">SUM(W69:Y69)</f>
        <v>25948882</v>
      </c>
      <c r="AA69" s="290">
        <v>0</v>
      </c>
      <c r="AB69" s="290">
        <v>0</v>
      </c>
      <c r="AC69" s="290">
        <v>0</v>
      </c>
      <c r="AD69" s="292">
        <f t="shared" ref="AD69:AD132" si="123">SUM(AA69:AC69)</f>
        <v>0</v>
      </c>
      <c r="AE69" s="290">
        <v>0</v>
      </c>
      <c r="AF69" s="290">
        <v>0</v>
      </c>
      <c r="AG69" s="292">
        <f t="shared" ref="AG69:AG132" si="124">AF69+AE69</f>
        <v>0</v>
      </c>
      <c r="AH69" s="292">
        <v>0</v>
      </c>
      <c r="AI69" s="292">
        <v>0</v>
      </c>
      <c r="AJ69" s="292">
        <f t="shared" ref="AJ69:AJ134" si="125">AI69</f>
        <v>0</v>
      </c>
      <c r="AK69" s="292">
        <f t="shared" si="95"/>
        <v>855054244</v>
      </c>
      <c r="AL69" s="292">
        <f t="shared" si="93"/>
        <v>0</v>
      </c>
      <c r="AM69" s="292">
        <f t="shared" si="93"/>
        <v>97975804</v>
      </c>
      <c r="AN69" s="292">
        <f t="shared" si="96"/>
        <v>953030048</v>
      </c>
      <c r="AO69" s="292">
        <f t="shared" si="97"/>
        <v>153194388</v>
      </c>
      <c r="AP69" s="292">
        <f t="shared" si="94"/>
        <v>120920191</v>
      </c>
      <c r="AQ69" s="292">
        <f t="shared" si="94"/>
        <v>0</v>
      </c>
      <c r="AR69" s="292">
        <f t="shared" si="98"/>
        <v>274114579</v>
      </c>
      <c r="AS69" s="292">
        <f t="shared" si="99"/>
        <v>0</v>
      </c>
      <c r="AT69" s="292">
        <f t="shared" si="100"/>
        <v>0</v>
      </c>
      <c r="AU69" s="292">
        <f t="shared" si="101"/>
        <v>0</v>
      </c>
      <c r="AV69" s="292">
        <f t="shared" si="102"/>
        <v>0</v>
      </c>
      <c r="AW69" s="292">
        <f t="shared" si="103"/>
        <v>0</v>
      </c>
      <c r="AX69" s="292">
        <f t="shared" si="104"/>
        <v>0</v>
      </c>
      <c r="AY69" s="292">
        <f t="shared" si="105"/>
        <v>1008248632</v>
      </c>
      <c r="AZ69" s="292">
        <f t="shared" si="106"/>
        <v>120920191</v>
      </c>
      <c r="BA69" s="292">
        <f t="shared" si="106"/>
        <v>97975804</v>
      </c>
      <c r="BB69" s="292">
        <f t="shared" si="107"/>
        <v>1227144627</v>
      </c>
      <c r="BC69" s="83">
        <f t="shared" si="77"/>
        <v>1.3789456612221862E-2</v>
      </c>
      <c r="BD69" s="293"/>
      <c r="BE69" s="5">
        <f>BB69/'Monthly D4 Gallon Data'!AX67</f>
        <v>1.5401614877968637</v>
      </c>
    </row>
    <row r="70" spans="1:57" s="294" customFormat="1" ht="13.5" hidden="1" thickBot="1">
      <c r="A70" s="170">
        <v>42186</v>
      </c>
      <c r="B70" s="290">
        <v>193761954</v>
      </c>
      <c r="C70" s="290">
        <v>0</v>
      </c>
      <c r="D70" s="290">
        <v>55588656</v>
      </c>
      <c r="E70" s="291">
        <f t="shared" si="108"/>
        <v>249350610</v>
      </c>
      <c r="F70" s="290">
        <f t="shared" si="113"/>
        <v>25529130</v>
      </c>
      <c r="G70" s="290">
        <f t="shared" si="114"/>
        <v>19546781</v>
      </c>
      <c r="H70" s="290">
        <f t="shared" si="115"/>
        <v>0</v>
      </c>
      <c r="I70" s="291">
        <f t="shared" si="109"/>
        <v>45075911</v>
      </c>
      <c r="J70" s="290">
        <f t="shared" si="116"/>
        <v>0</v>
      </c>
      <c r="K70" s="290">
        <v>0</v>
      </c>
      <c r="L70" s="291">
        <f t="shared" si="110"/>
        <v>0</v>
      </c>
      <c r="M70" s="290">
        <f t="shared" si="117"/>
        <v>0</v>
      </c>
      <c r="N70" s="291">
        <f t="shared" si="118"/>
        <v>0</v>
      </c>
      <c r="O70" s="291">
        <f t="shared" si="111"/>
        <v>219291084</v>
      </c>
      <c r="P70" s="291">
        <f t="shared" si="119"/>
        <v>19546781</v>
      </c>
      <c r="Q70" s="291">
        <f t="shared" si="112"/>
        <v>55588656</v>
      </c>
      <c r="R70" s="291">
        <f t="shared" si="120"/>
        <v>294426521</v>
      </c>
      <c r="S70" s="292">
        <v>0</v>
      </c>
      <c r="T70" s="292">
        <v>759797</v>
      </c>
      <c r="U70" s="292">
        <v>24769333</v>
      </c>
      <c r="V70" s="292">
        <f t="shared" si="121"/>
        <v>25529130</v>
      </c>
      <c r="W70" s="290">
        <v>0</v>
      </c>
      <c r="X70" s="290">
        <v>0</v>
      </c>
      <c r="Y70" s="292">
        <v>19546781</v>
      </c>
      <c r="Z70" s="292">
        <f t="shared" si="122"/>
        <v>19546781</v>
      </c>
      <c r="AA70" s="290">
        <v>0</v>
      </c>
      <c r="AB70" s="290">
        <v>0</v>
      </c>
      <c r="AC70" s="290">
        <v>0</v>
      </c>
      <c r="AD70" s="292">
        <f t="shared" si="123"/>
        <v>0</v>
      </c>
      <c r="AE70" s="290">
        <v>0</v>
      </c>
      <c r="AF70" s="290">
        <v>0</v>
      </c>
      <c r="AG70" s="292">
        <f t="shared" si="124"/>
        <v>0</v>
      </c>
      <c r="AH70" s="292">
        <v>0</v>
      </c>
      <c r="AI70" s="292">
        <v>0</v>
      </c>
      <c r="AJ70" s="292">
        <f t="shared" si="125"/>
        <v>0</v>
      </c>
      <c r="AK70" s="292">
        <f t="shared" si="95"/>
        <v>1048816198</v>
      </c>
      <c r="AL70" s="292">
        <f t="shared" si="93"/>
        <v>0</v>
      </c>
      <c r="AM70" s="292">
        <f t="shared" si="93"/>
        <v>153564460</v>
      </c>
      <c r="AN70" s="292">
        <f t="shared" si="96"/>
        <v>1202380658</v>
      </c>
      <c r="AO70" s="292">
        <f t="shared" si="97"/>
        <v>178723518</v>
      </c>
      <c r="AP70" s="292">
        <f t="shared" si="94"/>
        <v>140466972</v>
      </c>
      <c r="AQ70" s="292">
        <f t="shared" si="94"/>
        <v>0</v>
      </c>
      <c r="AR70" s="292">
        <f t="shared" si="98"/>
        <v>319190490</v>
      </c>
      <c r="AS70" s="292">
        <f t="shared" si="99"/>
        <v>0</v>
      </c>
      <c r="AT70" s="292">
        <f t="shared" si="100"/>
        <v>0</v>
      </c>
      <c r="AU70" s="292">
        <f t="shared" si="101"/>
        <v>0</v>
      </c>
      <c r="AV70" s="292">
        <f t="shared" si="102"/>
        <v>0</v>
      </c>
      <c r="AW70" s="292">
        <f t="shared" si="103"/>
        <v>0</v>
      </c>
      <c r="AX70" s="292">
        <f t="shared" si="104"/>
        <v>0</v>
      </c>
      <c r="AY70" s="292">
        <f t="shared" si="105"/>
        <v>1227539716</v>
      </c>
      <c r="AZ70" s="292">
        <f t="shared" si="106"/>
        <v>140466972</v>
      </c>
      <c r="BA70" s="292">
        <f t="shared" si="106"/>
        <v>153564460</v>
      </c>
      <c r="BB70" s="292">
        <f t="shared" si="107"/>
        <v>1521571148</v>
      </c>
      <c r="BC70" s="83">
        <f t="shared" si="77"/>
        <v>1.9828753081793105E-2</v>
      </c>
      <c r="BD70" s="293"/>
      <c r="BE70" s="5">
        <f>BB70/'Monthly D4 Gallon Data'!AX68</f>
        <v>1.5376567210361476</v>
      </c>
    </row>
    <row r="71" spans="1:57" s="294" customFormat="1" ht="13.5" hidden="1" thickBot="1">
      <c r="A71" s="170">
        <v>42217</v>
      </c>
      <c r="B71" s="290">
        <v>188403778</v>
      </c>
      <c r="C71" s="290">
        <v>0</v>
      </c>
      <c r="D71" s="290">
        <v>46012184</v>
      </c>
      <c r="E71" s="291">
        <f t="shared" si="108"/>
        <v>234415962</v>
      </c>
      <c r="F71" s="290">
        <f t="shared" si="113"/>
        <v>24880813</v>
      </c>
      <c r="G71" s="290">
        <f t="shared" si="114"/>
        <v>25140042</v>
      </c>
      <c r="H71" s="290">
        <f t="shared" si="115"/>
        <v>0</v>
      </c>
      <c r="I71" s="291">
        <f t="shared" si="109"/>
        <v>50020855</v>
      </c>
      <c r="J71" s="290">
        <f t="shared" si="116"/>
        <v>0</v>
      </c>
      <c r="K71" s="290">
        <v>0</v>
      </c>
      <c r="L71" s="291">
        <f t="shared" si="110"/>
        <v>0</v>
      </c>
      <c r="M71" s="290">
        <f t="shared" si="117"/>
        <v>0</v>
      </c>
      <c r="N71" s="291">
        <f t="shared" si="118"/>
        <v>0</v>
      </c>
      <c r="O71" s="291">
        <f t="shared" si="111"/>
        <v>213284591</v>
      </c>
      <c r="P71" s="291">
        <f t="shared" si="119"/>
        <v>25140042</v>
      </c>
      <c r="Q71" s="291">
        <f t="shared" si="112"/>
        <v>46012184</v>
      </c>
      <c r="R71" s="291">
        <f t="shared" si="120"/>
        <v>284436817</v>
      </c>
      <c r="S71" s="292">
        <v>0</v>
      </c>
      <c r="T71" s="292">
        <v>533160</v>
      </c>
      <c r="U71" s="292">
        <v>24347653</v>
      </c>
      <c r="V71" s="292">
        <f t="shared" si="121"/>
        <v>24880813</v>
      </c>
      <c r="W71" s="290">
        <v>0</v>
      </c>
      <c r="X71" s="290">
        <v>0</v>
      </c>
      <c r="Y71" s="292">
        <v>25140042</v>
      </c>
      <c r="Z71" s="292">
        <f t="shared" si="122"/>
        <v>25140042</v>
      </c>
      <c r="AA71" s="290">
        <v>0</v>
      </c>
      <c r="AB71" s="290">
        <v>0</v>
      </c>
      <c r="AC71" s="290">
        <v>0</v>
      </c>
      <c r="AD71" s="292">
        <f t="shared" si="123"/>
        <v>0</v>
      </c>
      <c r="AE71" s="290">
        <v>0</v>
      </c>
      <c r="AF71" s="290">
        <v>0</v>
      </c>
      <c r="AG71" s="292">
        <f t="shared" si="124"/>
        <v>0</v>
      </c>
      <c r="AH71" s="292">
        <v>0</v>
      </c>
      <c r="AI71" s="292">
        <v>0</v>
      </c>
      <c r="AJ71" s="292">
        <f t="shared" si="125"/>
        <v>0</v>
      </c>
      <c r="AK71" s="292">
        <f t="shared" si="95"/>
        <v>1237219976</v>
      </c>
      <c r="AL71" s="292">
        <f t="shared" si="93"/>
        <v>0</v>
      </c>
      <c r="AM71" s="292">
        <f t="shared" si="93"/>
        <v>199576644</v>
      </c>
      <c r="AN71" s="292">
        <f t="shared" si="96"/>
        <v>1436796620</v>
      </c>
      <c r="AO71" s="292">
        <f t="shared" si="97"/>
        <v>203604331</v>
      </c>
      <c r="AP71" s="292">
        <f t="shared" si="94"/>
        <v>165607014</v>
      </c>
      <c r="AQ71" s="292">
        <f t="shared" si="94"/>
        <v>0</v>
      </c>
      <c r="AR71" s="292">
        <f t="shared" si="98"/>
        <v>369211345</v>
      </c>
      <c r="AS71" s="292">
        <f t="shared" si="99"/>
        <v>0</v>
      </c>
      <c r="AT71" s="292">
        <f t="shared" si="100"/>
        <v>0</v>
      </c>
      <c r="AU71" s="292">
        <f t="shared" si="101"/>
        <v>0</v>
      </c>
      <c r="AV71" s="292">
        <f t="shared" si="102"/>
        <v>0</v>
      </c>
      <c r="AW71" s="292">
        <f t="shared" si="103"/>
        <v>0</v>
      </c>
      <c r="AX71" s="292">
        <f t="shared" si="104"/>
        <v>0</v>
      </c>
      <c r="AY71" s="292">
        <f t="shared" si="105"/>
        <v>1440824307</v>
      </c>
      <c r="AZ71" s="292">
        <f t="shared" si="106"/>
        <v>165607014</v>
      </c>
      <c r="BA71" s="292">
        <f t="shared" si="106"/>
        <v>199576644</v>
      </c>
      <c r="BB71" s="292">
        <f t="shared" si="107"/>
        <v>1806007965</v>
      </c>
      <c r="BC71" s="83">
        <f t="shared" si="77"/>
        <v>5.5098779609254356E-2</v>
      </c>
      <c r="BD71" s="293"/>
      <c r="BE71" s="5">
        <f>BB71/'Monthly D4 Gallon Data'!AX69</f>
        <v>1.5366904293918626</v>
      </c>
    </row>
    <row r="72" spans="1:57" s="294" customFormat="1" ht="13.5" hidden="1" thickBot="1">
      <c r="A72" s="170">
        <v>42248</v>
      </c>
      <c r="B72" s="290">
        <v>176746378</v>
      </c>
      <c r="C72" s="290">
        <v>0</v>
      </c>
      <c r="D72" s="290">
        <v>32757650</v>
      </c>
      <c r="E72" s="291">
        <f t="shared" si="108"/>
        <v>209504028</v>
      </c>
      <c r="F72" s="290">
        <f t="shared" si="113"/>
        <v>22875389</v>
      </c>
      <c r="G72" s="290">
        <f t="shared" si="114"/>
        <v>14496610</v>
      </c>
      <c r="H72" s="290">
        <f t="shared" si="115"/>
        <v>0</v>
      </c>
      <c r="I72" s="291">
        <f t="shared" si="109"/>
        <v>37371999</v>
      </c>
      <c r="J72" s="290">
        <f t="shared" si="116"/>
        <v>0</v>
      </c>
      <c r="K72" s="290">
        <v>0</v>
      </c>
      <c r="L72" s="291">
        <f t="shared" si="110"/>
        <v>0</v>
      </c>
      <c r="M72" s="290">
        <f t="shared" si="117"/>
        <v>0</v>
      </c>
      <c r="N72" s="291">
        <f t="shared" si="118"/>
        <v>0</v>
      </c>
      <c r="O72" s="291">
        <f t="shared" si="111"/>
        <v>199621767</v>
      </c>
      <c r="P72" s="291">
        <f t="shared" si="119"/>
        <v>14496610</v>
      </c>
      <c r="Q72" s="291">
        <f t="shared" si="112"/>
        <v>32757650</v>
      </c>
      <c r="R72" s="291">
        <f t="shared" si="120"/>
        <v>246876027</v>
      </c>
      <c r="S72" s="292">
        <v>0</v>
      </c>
      <c r="T72" s="292">
        <v>538426</v>
      </c>
      <c r="U72" s="292">
        <v>22336963</v>
      </c>
      <c r="V72" s="292">
        <f t="shared" si="121"/>
        <v>22875389</v>
      </c>
      <c r="W72" s="290">
        <v>0</v>
      </c>
      <c r="X72" s="290">
        <v>0</v>
      </c>
      <c r="Y72" s="292">
        <v>14496610</v>
      </c>
      <c r="Z72" s="292">
        <f t="shared" si="122"/>
        <v>14496610</v>
      </c>
      <c r="AA72" s="290">
        <v>0</v>
      </c>
      <c r="AB72" s="290">
        <v>0</v>
      </c>
      <c r="AC72" s="290">
        <v>0</v>
      </c>
      <c r="AD72" s="292">
        <f t="shared" si="123"/>
        <v>0</v>
      </c>
      <c r="AE72" s="290">
        <v>0</v>
      </c>
      <c r="AF72" s="290">
        <v>0</v>
      </c>
      <c r="AG72" s="292">
        <f t="shared" si="124"/>
        <v>0</v>
      </c>
      <c r="AH72" s="292">
        <v>0</v>
      </c>
      <c r="AI72" s="292">
        <v>0</v>
      </c>
      <c r="AJ72" s="292">
        <f t="shared" si="125"/>
        <v>0</v>
      </c>
      <c r="AK72" s="292">
        <f t="shared" si="95"/>
        <v>1413966354</v>
      </c>
      <c r="AL72" s="292">
        <f t="shared" si="93"/>
        <v>0</v>
      </c>
      <c r="AM72" s="292">
        <f t="shared" si="93"/>
        <v>232334294</v>
      </c>
      <c r="AN72" s="292">
        <f t="shared" si="96"/>
        <v>1646300648</v>
      </c>
      <c r="AO72" s="292">
        <f t="shared" si="97"/>
        <v>226479720</v>
      </c>
      <c r="AP72" s="292">
        <f t="shared" si="94"/>
        <v>180103624</v>
      </c>
      <c r="AQ72" s="292">
        <f t="shared" si="94"/>
        <v>0</v>
      </c>
      <c r="AR72" s="292">
        <f t="shared" si="98"/>
        <v>406583344</v>
      </c>
      <c r="AS72" s="292">
        <f t="shared" si="99"/>
        <v>0</v>
      </c>
      <c r="AT72" s="292">
        <f t="shared" si="100"/>
        <v>0</v>
      </c>
      <c r="AU72" s="292">
        <f t="shared" si="101"/>
        <v>0</v>
      </c>
      <c r="AV72" s="292">
        <f t="shared" si="102"/>
        <v>0</v>
      </c>
      <c r="AW72" s="292">
        <f t="shared" si="103"/>
        <v>0</v>
      </c>
      <c r="AX72" s="292">
        <f t="shared" si="104"/>
        <v>0</v>
      </c>
      <c r="AY72" s="292">
        <f t="shared" si="105"/>
        <v>1640446074</v>
      </c>
      <c r="AZ72" s="292">
        <f t="shared" si="106"/>
        <v>180103624</v>
      </c>
      <c r="BA72" s="292">
        <f t="shared" si="106"/>
        <v>232334294</v>
      </c>
      <c r="BB72" s="292">
        <f t="shared" si="107"/>
        <v>2052883992</v>
      </c>
      <c r="BC72" s="83">
        <f t="shared" si="77"/>
        <v>6.5812770695821143E-2</v>
      </c>
      <c r="BD72" s="293"/>
      <c r="BE72" s="5">
        <f>BB72/'Monthly D4 Gallon Data'!AX70</f>
        <v>1.5355220966670031</v>
      </c>
    </row>
    <row r="73" spans="1:57" s="294" customFormat="1" ht="13.5" hidden="1" thickBot="1">
      <c r="A73" s="170">
        <v>42278</v>
      </c>
      <c r="B73" s="290">
        <v>157531358</v>
      </c>
      <c r="C73" s="290">
        <v>0</v>
      </c>
      <c r="D73" s="290">
        <v>62692437</v>
      </c>
      <c r="E73" s="291">
        <f t="shared" si="108"/>
        <v>220223795</v>
      </c>
      <c r="F73" s="290">
        <f t="shared" si="113"/>
        <v>22158956</v>
      </c>
      <c r="G73" s="290">
        <f t="shared" si="114"/>
        <v>15055052</v>
      </c>
      <c r="H73" s="290">
        <f t="shared" si="115"/>
        <v>0</v>
      </c>
      <c r="I73" s="291">
        <f t="shared" si="109"/>
        <v>37214008</v>
      </c>
      <c r="J73" s="290">
        <f t="shared" si="116"/>
        <v>0</v>
      </c>
      <c r="K73" s="290">
        <v>0</v>
      </c>
      <c r="L73" s="291">
        <f t="shared" si="110"/>
        <v>0</v>
      </c>
      <c r="M73" s="290">
        <f t="shared" si="117"/>
        <v>0</v>
      </c>
      <c r="N73" s="291">
        <f t="shared" si="118"/>
        <v>0</v>
      </c>
      <c r="O73" s="291">
        <f t="shared" si="111"/>
        <v>179690314</v>
      </c>
      <c r="P73" s="291">
        <f t="shared" si="119"/>
        <v>15055052</v>
      </c>
      <c r="Q73" s="291">
        <f t="shared" si="112"/>
        <v>62692437</v>
      </c>
      <c r="R73" s="291">
        <f t="shared" si="120"/>
        <v>257437803</v>
      </c>
      <c r="S73" s="292">
        <v>0</v>
      </c>
      <c r="T73" s="292">
        <v>75410</v>
      </c>
      <c r="U73" s="292">
        <v>22083546</v>
      </c>
      <c r="V73" s="292">
        <f t="shared" si="121"/>
        <v>22158956</v>
      </c>
      <c r="W73" s="290">
        <v>0</v>
      </c>
      <c r="X73" s="290">
        <v>0</v>
      </c>
      <c r="Y73" s="292">
        <v>15055052</v>
      </c>
      <c r="Z73" s="292">
        <f t="shared" si="122"/>
        <v>15055052</v>
      </c>
      <c r="AA73" s="290">
        <v>0</v>
      </c>
      <c r="AB73" s="290">
        <v>0</v>
      </c>
      <c r="AC73" s="290">
        <v>0</v>
      </c>
      <c r="AD73" s="292">
        <f t="shared" si="123"/>
        <v>0</v>
      </c>
      <c r="AE73" s="290">
        <v>0</v>
      </c>
      <c r="AF73" s="290">
        <v>0</v>
      </c>
      <c r="AG73" s="292">
        <f t="shared" si="124"/>
        <v>0</v>
      </c>
      <c r="AH73" s="292">
        <v>0</v>
      </c>
      <c r="AI73" s="292">
        <v>0</v>
      </c>
      <c r="AJ73" s="292">
        <f t="shared" si="125"/>
        <v>0</v>
      </c>
      <c r="AK73" s="292">
        <f t="shared" si="95"/>
        <v>1571497712</v>
      </c>
      <c r="AL73" s="292">
        <f t="shared" si="93"/>
        <v>0</v>
      </c>
      <c r="AM73" s="292">
        <f t="shared" si="93"/>
        <v>295026731</v>
      </c>
      <c r="AN73" s="292">
        <f t="shared" si="96"/>
        <v>1866524443</v>
      </c>
      <c r="AO73" s="292">
        <f t="shared" si="97"/>
        <v>248638676</v>
      </c>
      <c r="AP73" s="292">
        <f t="shared" si="94"/>
        <v>195158676</v>
      </c>
      <c r="AQ73" s="292">
        <f t="shared" si="94"/>
        <v>0</v>
      </c>
      <c r="AR73" s="292">
        <f t="shared" si="98"/>
        <v>443797352</v>
      </c>
      <c r="AS73" s="292">
        <f t="shared" si="99"/>
        <v>0</v>
      </c>
      <c r="AT73" s="292">
        <f t="shared" si="100"/>
        <v>0</v>
      </c>
      <c r="AU73" s="292">
        <f t="shared" si="101"/>
        <v>0</v>
      </c>
      <c r="AV73" s="292">
        <f t="shared" si="102"/>
        <v>0</v>
      </c>
      <c r="AW73" s="292">
        <f t="shared" si="103"/>
        <v>0</v>
      </c>
      <c r="AX73" s="292">
        <f t="shared" si="104"/>
        <v>0</v>
      </c>
      <c r="AY73" s="292">
        <f t="shared" si="105"/>
        <v>1820136388</v>
      </c>
      <c r="AZ73" s="292">
        <f t="shared" si="106"/>
        <v>195158676</v>
      </c>
      <c r="BA73" s="292">
        <f t="shared" si="106"/>
        <v>295026731</v>
      </c>
      <c r="BB73" s="292">
        <f t="shared" si="107"/>
        <v>2310321795</v>
      </c>
      <c r="BC73" s="83">
        <f t="shared" si="77"/>
        <v>7.2007884636179575E-2</v>
      </c>
      <c r="BD73" s="293"/>
      <c r="BE73" s="5">
        <f>BB73/'Monthly D4 Gallon Data'!AX71</f>
        <v>1.5344483309595736</v>
      </c>
    </row>
    <row r="74" spans="1:57" s="294" customFormat="1" ht="13.5" hidden="1" thickBot="1">
      <c r="A74" s="170">
        <v>42309</v>
      </c>
      <c r="B74" s="290">
        <v>144716848</v>
      </c>
      <c r="C74" s="290">
        <v>0</v>
      </c>
      <c r="D74" s="290">
        <v>39628797</v>
      </c>
      <c r="E74" s="291">
        <f t="shared" si="108"/>
        <v>184345645</v>
      </c>
      <c r="F74" s="290">
        <f t="shared" si="113"/>
        <v>20977138</v>
      </c>
      <c r="G74" s="290">
        <f t="shared" si="114"/>
        <v>21825921</v>
      </c>
      <c r="H74" s="290">
        <f t="shared" si="115"/>
        <v>0</v>
      </c>
      <c r="I74" s="291">
        <f t="shared" si="109"/>
        <v>42803059</v>
      </c>
      <c r="J74" s="290">
        <f t="shared" si="116"/>
        <v>0</v>
      </c>
      <c r="K74" s="290">
        <v>0</v>
      </c>
      <c r="L74" s="291">
        <f t="shared" si="110"/>
        <v>0</v>
      </c>
      <c r="M74" s="290">
        <f t="shared" si="117"/>
        <v>0</v>
      </c>
      <c r="N74" s="291">
        <f t="shared" si="118"/>
        <v>0</v>
      </c>
      <c r="O74" s="291">
        <f t="shared" si="111"/>
        <v>165693986</v>
      </c>
      <c r="P74" s="291">
        <f t="shared" si="119"/>
        <v>21825921</v>
      </c>
      <c r="Q74" s="291">
        <f t="shared" si="112"/>
        <v>39628797</v>
      </c>
      <c r="R74" s="291">
        <f t="shared" si="120"/>
        <v>227148704</v>
      </c>
      <c r="S74" s="292">
        <v>0</v>
      </c>
      <c r="T74" s="292">
        <v>129484</v>
      </c>
      <c r="U74" s="292">
        <v>20847654</v>
      </c>
      <c r="V74" s="292">
        <f t="shared" si="121"/>
        <v>20977138</v>
      </c>
      <c r="W74" s="290">
        <v>0</v>
      </c>
      <c r="X74" s="290">
        <v>0</v>
      </c>
      <c r="Y74" s="292">
        <v>21825921</v>
      </c>
      <c r="Z74" s="292">
        <f t="shared" si="122"/>
        <v>21825921</v>
      </c>
      <c r="AA74" s="290">
        <v>0</v>
      </c>
      <c r="AB74" s="290">
        <v>0</v>
      </c>
      <c r="AC74" s="290">
        <v>0</v>
      </c>
      <c r="AD74" s="292">
        <f t="shared" si="123"/>
        <v>0</v>
      </c>
      <c r="AE74" s="290">
        <v>0</v>
      </c>
      <c r="AF74" s="290">
        <v>0</v>
      </c>
      <c r="AG74" s="292">
        <f t="shared" si="124"/>
        <v>0</v>
      </c>
      <c r="AH74" s="292">
        <v>0</v>
      </c>
      <c r="AI74" s="292">
        <v>0</v>
      </c>
      <c r="AJ74" s="292">
        <f t="shared" si="125"/>
        <v>0</v>
      </c>
      <c r="AK74" s="292">
        <f t="shared" si="95"/>
        <v>1716214560</v>
      </c>
      <c r="AL74" s="292">
        <f t="shared" si="93"/>
        <v>0</v>
      </c>
      <c r="AM74" s="292">
        <f t="shared" si="93"/>
        <v>334655528</v>
      </c>
      <c r="AN74" s="292">
        <f t="shared" si="96"/>
        <v>2050870088</v>
      </c>
      <c r="AO74" s="292">
        <f t="shared" si="97"/>
        <v>269615814</v>
      </c>
      <c r="AP74" s="292">
        <f t="shared" si="94"/>
        <v>216984597</v>
      </c>
      <c r="AQ74" s="292">
        <f t="shared" si="94"/>
        <v>0</v>
      </c>
      <c r="AR74" s="292">
        <f t="shared" si="98"/>
        <v>486600411</v>
      </c>
      <c r="AS74" s="292">
        <f t="shared" si="99"/>
        <v>0</v>
      </c>
      <c r="AT74" s="292">
        <f t="shared" si="100"/>
        <v>0</v>
      </c>
      <c r="AU74" s="292">
        <f t="shared" si="101"/>
        <v>0</v>
      </c>
      <c r="AV74" s="292">
        <f t="shared" si="102"/>
        <v>0</v>
      </c>
      <c r="AW74" s="292">
        <f t="shared" si="103"/>
        <v>0</v>
      </c>
      <c r="AX74" s="292">
        <f t="shared" si="104"/>
        <v>0</v>
      </c>
      <c r="AY74" s="292">
        <f t="shared" si="105"/>
        <v>1985830374</v>
      </c>
      <c r="AZ74" s="292">
        <f t="shared" si="106"/>
        <v>216984597</v>
      </c>
      <c r="BA74" s="292">
        <f t="shared" si="106"/>
        <v>334655528</v>
      </c>
      <c r="BB74" s="292">
        <f t="shared" si="107"/>
        <v>2537470499</v>
      </c>
      <c r="BC74" s="83">
        <f t="shared" si="77"/>
        <v>6.4826647571859963E-2</v>
      </c>
      <c r="BD74" s="293"/>
      <c r="BE74" s="5">
        <f>BB74/'Monthly D4 Gallon Data'!AX72</f>
        <v>1.5344055564338035</v>
      </c>
    </row>
    <row r="75" spans="1:57" s="294" customFormat="1" ht="13.5" hidden="1" thickBot="1">
      <c r="A75" s="170">
        <v>42339</v>
      </c>
      <c r="B75" s="290">
        <v>165151789</v>
      </c>
      <c r="C75" s="290">
        <v>0</v>
      </c>
      <c r="D75" s="290">
        <v>57229492</v>
      </c>
      <c r="E75" s="291">
        <f t="shared" si="108"/>
        <v>222381281</v>
      </c>
      <c r="F75" s="290">
        <f t="shared" si="113"/>
        <v>22129752</v>
      </c>
      <c r="G75" s="290">
        <f t="shared" si="114"/>
        <v>13816833</v>
      </c>
      <c r="H75" s="290">
        <f t="shared" si="115"/>
        <v>0</v>
      </c>
      <c r="I75" s="291">
        <f t="shared" si="109"/>
        <v>35946585</v>
      </c>
      <c r="J75" s="290">
        <f t="shared" si="116"/>
        <v>0</v>
      </c>
      <c r="K75" s="290">
        <v>0</v>
      </c>
      <c r="L75" s="291">
        <f t="shared" si="110"/>
        <v>0</v>
      </c>
      <c r="M75" s="290">
        <f t="shared" si="117"/>
        <v>0</v>
      </c>
      <c r="N75" s="291">
        <f t="shared" si="118"/>
        <v>0</v>
      </c>
      <c r="O75" s="291">
        <f t="shared" si="111"/>
        <v>187281541</v>
      </c>
      <c r="P75" s="298">
        <f t="shared" si="119"/>
        <v>13816833</v>
      </c>
      <c r="Q75" s="291">
        <f t="shared" si="112"/>
        <v>57229492</v>
      </c>
      <c r="R75" s="291">
        <f t="shared" si="120"/>
        <v>258327866</v>
      </c>
      <c r="S75" s="292">
        <v>0</v>
      </c>
      <c r="T75" s="292">
        <v>113887</v>
      </c>
      <c r="U75" s="292">
        <v>22015865</v>
      </c>
      <c r="V75" s="292">
        <f t="shared" si="121"/>
        <v>22129752</v>
      </c>
      <c r="W75" s="290">
        <v>0</v>
      </c>
      <c r="X75" s="290">
        <v>0</v>
      </c>
      <c r="Y75" s="292">
        <v>13816833</v>
      </c>
      <c r="Z75" s="292">
        <f t="shared" si="122"/>
        <v>13816833</v>
      </c>
      <c r="AA75" s="290">
        <v>0</v>
      </c>
      <c r="AB75" s="290">
        <v>0</v>
      </c>
      <c r="AC75" s="290">
        <v>0</v>
      </c>
      <c r="AD75" s="292">
        <f t="shared" si="123"/>
        <v>0</v>
      </c>
      <c r="AE75" s="290">
        <v>0</v>
      </c>
      <c r="AF75" s="290">
        <v>0</v>
      </c>
      <c r="AG75" s="292">
        <f t="shared" si="124"/>
        <v>0</v>
      </c>
      <c r="AH75" s="292">
        <v>0</v>
      </c>
      <c r="AI75" s="292">
        <v>0</v>
      </c>
      <c r="AJ75" s="292">
        <f t="shared" si="125"/>
        <v>0</v>
      </c>
      <c r="AK75" s="292">
        <f t="shared" si="95"/>
        <v>1881366349</v>
      </c>
      <c r="AL75" s="292">
        <f t="shared" si="93"/>
        <v>0</v>
      </c>
      <c r="AM75" s="292">
        <f t="shared" si="93"/>
        <v>391885020</v>
      </c>
      <c r="AN75" s="292">
        <f t="shared" si="96"/>
        <v>2273251369</v>
      </c>
      <c r="AO75" s="292">
        <f t="shared" si="97"/>
        <v>291745566</v>
      </c>
      <c r="AP75" s="292">
        <f t="shared" si="94"/>
        <v>230801430</v>
      </c>
      <c r="AQ75" s="292">
        <f t="shared" si="94"/>
        <v>0</v>
      </c>
      <c r="AR75" s="292">
        <f t="shared" si="98"/>
        <v>522546996</v>
      </c>
      <c r="AS75" s="292">
        <f t="shared" si="99"/>
        <v>0</v>
      </c>
      <c r="AT75" s="292">
        <f t="shared" si="100"/>
        <v>0</v>
      </c>
      <c r="AU75" s="292">
        <f t="shared" si="101"/>
        <v>0</v>
      </c>
      <c r="AV75" s="292">
        <f t="shared" si="102"/>
        <v>0</v>
      </c>
      <c r="AW75" s="292">
        <f t="shared" si="103"/>
        <v>0</v>
      </c>
      <c r="AX75" s="292">
        <f t="shared" si="104"/>
        <v>0</v>
      </c>
      <c r="AY75" s="292">
        <f t="shared" si="105"/>
        <v>2173111915</v>
      </c>
      <c r="AZ75" s="292">
        <f t="shared" si="106"/>
        <v>230801430</v>
      </c>
      <c r="BA75" s="292">
        <f t="shared" si="106"/>
        <v>391885020</v>
      </c>
      <c r="BB75" s="292">
        <f t="shared" si="107"/>
        <v>2795798365</v>
      </c>
      <c r="BC75" s="83">
        <f t="shared" si="77"/>
        <v>3.1670397111094539E-2</v>
      </c>
      <c r="BD75" s="293"/>
      <c r="BE75" s="5">
        <f>BB75/'Monthly D4 Gallon Data'!AX73</f>
        <v>1.5335258385676525</v>
      </c>
    </row>
    <row r="76" spans="1:57" s="294" customFormat="1" ht="12.75">
      <c r="A76" s="171">
        <v>42370</v>
      </c>
      <c r="B76" s="295">
        <v>128341569</v>
      </c>
      <c r="C76" s="295">
        <v>0</v>
      </c>
      <c r="D76" s="295">
        <v>31077567</v>
      </c>
      <c r="E76" s="296">
        <f t="shared" si="108"/>
        <v>159419136</v>
      </c>
      <c r="F76" s="295">
        <f t="shared" si="113"/>
        <v>19588815</v>
      </c>
      <c r="G76" s="295">
        <f t="shared" si="114"/>
        <v>13607068</v>
      </c>
      <c r="H76" s="295">
        <f t="shared" si="115"/>
        <v>0</v>
      </c>
      <c r="I76" s="296">
        <f t="shared" si="109"/>
        <v>33195883</v>
      </c>
      <c r="J76" s="295">
        <f t="shared" si="116"/>
        <v>0</v>
      </c>
      <c r="K76" s="295">
        <v>0</v>
      </c>
      <c r="L76" s="296">
        <f t="shared" si="110"/>
        <v>0</v>
      </c>
      <c r="M76" s="295">
        <f t="shared" si="117"/>
        <v>0</v>
      </c>
      <c r="N76" s="296">
        <f t="shared" si="118"/>
        <v>0</v>
      </c>
      <c r="O76" s="296">
        <f t="shared" si="111"/>
        <v>147930384</v>
      </c>
      <c r="P76" s="296">
        <f t="shared" si="119"/>
        <v>13607068</v>
      </c>
      <c r="Q76" s="296">
        <f t="shared" si="112"/>
        <v>31077567</v>
      </c>
      <c r="R76" s="296">
        <f t="shared" si="120"/>
        <v>192615019</v>
      </c>
      <c r="S76" s="295">
        <v>0</v>
      </c>
      <c r="T76" s="295">
        <v>0</v>
      </c>
      <c r="U76" s="297">
        <v>19588815</v>
      </c>
      <c r="V76" s="297">
        <f t="shared" si="121"/>
        <v>19588815</v>
      </c>
      <c r="W76" s="295">
        <v>0</v>
      </c>
      <c r="X76" s="295">
        <v>0</v>
      </c>
      <c r="Y76" s="297">
        <v>13607068</v>
      </c>
      <c r="Z76" s="297">
        <f t="shared" si="122"/>
        <v>13607068</v>
      </c>
      <c r="AA76" s="295">
        <v>0</v>
      </c>
      <c r="AB76" s="295">
        <v>0</v>
      </c>
      <c r="AC76" s="295">
        <v>0</v>
      </c>
      <c r="AD76" s="297">
        <f t="shared" si="123"/>
        <v>0</v>
      </c>
      <c r="AE76" s="295">
        <v>0</v>
      </c>
      <c r="AF76" s="297">
        <v>0</v>
      </c>
      <c r="AG76" s="297">
        <f t="shared" si="124"/>
        <v>0</v>
      </c>
      <c r="AH76" s="297">
        <v>0</v>
      </c>
      <c r="AI76" s="297">
        <v>0</v>
      </c>
      <c r="AJ76" s="297">
        <f t="shared" si="125"/>
        <v>0</v>
      </c>
      <c r="AK76" s="297">
        <f>B76</f>
        <v>128341569</v>
      </c>
      <c r="AL76" s="297">
        <f>C76</f>
        <v>0</v>
      </c>
      <c r="AM76" s="297">
        <f>D76</f>
        <v>31077567</v>
      </c>
      <c r="AN76" s="297">
        <f>SUM(AK76:AM76)</f>
        <v>159419136</v>
      </c>
      <c r="AO76" s="297">
        <f>F76</f>
        <v>19588815</v>
      </c>
      <c r="AP76" s="297">
        <f>G76</f>
        <v>13607068</v>
      </c>
      <c r="AQ76" s="297">
        <f>H76</f>
        <v>0</v>
      </c>
      <c r="AR76" s="297">
        <f>SUM(AO76:AQ76)</f>
        <v>33195883</v>
      </c>
      <c r="AS76" s="297">
        <f>J76</f>
        <v>0</v>
      </c>
      <c r="AT76" s="297">
        <f>AH76</f>
        <v>0</v>
      </c>
      <c r="AU76" s="297">
        <f>K76</f>
        <v>0</v>
      </c>
      <c r="AV76" s="297">
        <f>SUM(AS76:AU76)</f>
        <v>0</v>
      </c>
      <c r="AW76" s="297">
        <f>M76</f>
        <v>0</v>
      </c>
      <c r="AX76" s="297">
        <f>AW76</f>
        <v>0</v>
      </c>
      <c r="AY76" s="297">
        <f>AK76+AO76+AS76+AW76</f>
        <v>147930384</v>
      </c>
      <c r="AZ76" s="297">
        <f>AL76+AP76+AT76</f>
        <v>13607068</v>
      </c>
      <c r="BA76" s="297">
        <f>AM76+AQ76+AU76</f>
        <v>31077567</v>
      </c>
      <c r="BB76" s="297">
        <f>SUM(AY76:BA76)</f>
        <v>192615019</v>
      </c>
      <c r="BC76" s="83">
        <f t="shared" si="77"/>
        <v>0.34663920967363038</v>
      </c>
      <c r="BD76" s="293"/>
      <c r="BE76" s="5">
        <f>BB76/'Monthly D4 Gallon Data'!AX74</f>
        <v>1.5310549768589865</v>
      </c>
    </row>
    <row r="77" spans="1:57" s="294" customFormat="1" ht="12.75">
      <c r="A77" s="170">
        <v>42401</v>
      </c>
      <c r="B77" s="290">
        <v>150601259</v>
      </c>
      <c r="C77" s="290">
        <v>0</v>
      </c>
      <c r="D77" s="290">
        <v>20663126</v>
      </c>
      <c r="E77" s="291">
        <f t="shared" si="108"/>
        <v>171264385</v>
      </c>
      <c r="F77" s="290">
        <f t="shared" si="113"/>
        <v>11989385</v>
      </c>
      <c r="G77" s="290">
        <f t="shared" si="114"/>
        <v>21311450</v>
      </c>
      <c r="H77" s="290">
        <f t="shared" si="115"/>
        <v>0</v>
      </c>
      <c r="I77" s="291">
        <f t="shared" si="109"/>
        <v>33300835</v>
      </c>
      <c r="J77" s="290">
        <f t="shared" si="116"/>
        <v>0</v>
      </c>
      <c r="K77" s="290">
        <v>0</v>
      </c>
      <c r="L77" s="291">
        <f t="shared" si="110"/>
        <v>0</v>
      </c>
      <c r="M77" s="290">
        <f t="shared" si="117"/>
        <v>0</v>
      </c>
      <c r="N77" s="291">
        <f t="shared" si="118"/>
        <v>0</v>
      </c>
      <c r="O77" s="291">
        <f t="shared" si="111"/>
        <v>162590644</v>
      </c>
      <c r="P77" s="291">
        <f t="shared" si="119"/>
        <v>21311450</v>
      </c>
      <c r="Q77" s="291">
        <f t="shared" si="112"/>
        <v>20663126</v>
      </c>
      <c r="R77" s="291">
        <f t="shared" si="120"/>
        <v>204565220</v>
      </c>
      <c r="S77" s="290">
        <v>0</v>
      </c>
      <c r="T77" s="290">
        <v>0</v>
      </c>
      <c r="U77" s="292">
        <v>11989385</v>
      </c>
      <c r="V77" s="292">
        <f t="shared" si="121"/>
        <v>11989385</v>
      </c>
      <c r="W77" s="290">
        <v>0</v>
      </c>
      <c r="X77" s="290">
        <v>0</v>
      </c>
      <c r="Y77" s="292">
        <v>21311450</v>
      </c>
      <c r="Z77" s="292">
        <f t="shared" si="122"/>
        <v>21311450</v>
      </c>
      <c r="AA77" s="290">
        <v>0</v>
      </c>
      <c r="AB77" s="290">
        <v>0</v>
      </c>
      <c r="AC77" s="290">
        <v>0</v>
      </c>
      <c r="AD77" s="292">
        <f t="shared" si="123"/>
        <v>0</v>
      </c>
      <c r="AE77" s="290">
        <v>0</v>
      </c>
      <c r="AF77" s="292">
        <v>0</v>
      </c>
      <c r="AG77" s="292">
        <f t="shared" si="124"/>
        <v>0</v>
      </c>
      <c r="AH77" s="292">
        <v>0</v>
      </c>
      <c r="AI77" s="292">
        <v>0</v>
      </c>
      <c r="AJ77" s="292">
        <f t="shared" si="125"/>
        <v>0</v>
      </c>
      <c r="AK77" s="292">
        <f>AK76+B77</f>
        <v>278942828</v>
      </c>
      <c r="AL77" s="292">
        <f t="shared" ref="AL77:AM87" si="126">AL76+C77</f>
        <v>0</v>
      </c>
      <c r="AM77" s="292">
        <f t="shared" si="126"/>
        <v>51740693</v>
      </c>
      <c r="AN77" s="292">
        <f>SUM(AK77:AM77)</f>
        <v>330683521</v>
      </c>
      <c r="AO77" s="292">
        <f>AO76+F77</f>
        <v>31578200</v>
      </c>
      <c r="AP77" s="292">
        <f t="shared" ref="AP77:AQ87" si="127">AP76+G77</f>
        <v>34918518</v>
      </c>
      <c r="AQ77" s="292">
        <f t="shared" si="127"/>
        <v>0</v>
      </c>
      <c r="AR77" s="292">
        <f>SUM(AO77:AQ77)</f>
        <v>66496718</v>
      </c>
      <c r="AS77" s="292">
        <f>AS76+J77</f>
        <v>0</v>
      </c>
      <c r="AT77" s="292">
        <f>AT76+AH77</f>
        <v>0</v>
      </c>
      <c r="AU77" s="292">
        <f>AU76+K77</f>
        <v>0</v>
      </c>
      <c r="AV77" s="292">
        <f>SUM(AS77:AU77)</f>
        <v>0</v>
      </c>
      <c r="AW77" s="292">
        <f>AW76+M77</f>
        <v>0</v>
      </c>
      <c r="AX77" s="292">
        <f>AW77</f>
        <v>0</v>
      </c>
      <c r="AY77" s="292">
        <f>AK77+AO77+AS77+AW77</f>
        <v>310521028</v>
      </c>
      <c r="AZ77" s="292">
        <f>AL77+AP77+AT77</f>
        <v>34918518</v>
      </c>
      <c r="BA77" s="292">
        <f>AM77+AQ77+AU77</f>
        <v>51740693</v>
      </c>
      <c r="BB77" s="292">
        <f>SUM(AY77:BA77)</f>
        <v>397180239</v>
      </c>
      <c r="BC77" s="83">
        <f t="shared" si="77"/>
        <v>0.41302366097766852</v>
      </c>
      <c r="BD77" s="293"/>
      <c r="BE77" s="5">
        <f>BB77/'Monthly D4 Gallon Data'!AX75</f>
        <v>1.5301518537458021</v>
      </c>
    </row>
    <row r="78" spans="1:57" s="294" customFormat="1" ht="12.75">
      <c r="A78" s="170">
        <v>42430</v>
      </c>
      <c r="B78" s="290">
        <v>189864849</v>
      </c>
      <c r="C78" s="290">
        <v>0</v>
      </c>
      <c r="D78" s="290">
        <v>13023864</v>
      </c>
      <c r="E78" s="291">
        <f t="shared" si="108"/>
        <v>202888713</v>
      </c>
      <c r="F78" s="290">
        <f t="shared" si="113"/>
        <v>29701327</v>
      </c>
      <c r="G78" s="290">
        <f t="shared" si="114"/>
        <v>20647793</v>
      </c>
      <c r="H78" s="290">
        <f t="shared" si="115"/>
        <v>0</v>
      </c>
      <c r="I78" s="291">
        <f t="shared" si="109"/>
        <v>50349120</v>
      </c>
      <c r="J78" s="290">
        <f t="shared" si="116"/>
        <v>0</v>
      </c>
      <c r="K78" s="290">
        <v>0</v>
      </c>
      <c r="L78" s="291">
        <f t="shared" si="110"/>
        <v>0</v>
      </c>
      <c r="M78" s="290">
        <f t="shared" si="117"/>
        <v>0</v>
      </c>
      <c r="N78" s="291">
        <f t="shared" si="118"/>
        <v>0</v>
      </c>
      <c r="O78" s="291">
        <f t="shared" si="111"/>
        <v>219566176</v>
      </c>
      <c r="P78" s="291">
        <f t="shared" si="119"/>
        <v>20647793</v>
      </c>
      <c r="Q78" s="291">
        <f t="shared" si="112"/>
        <v>13023864</v>
      </c>
      <c r="R78" s="291">
        <f t="shared" si="120"/>
        <v>253237833</v>
      </c>
      <c r="S78" s="290">
        <v>0</v>
      </c>
      <c r="T78" s="290">
        <v>0</v>
      </c>
      <c r="U78" s="292">
        <v>29701327</v>
      </c>
      <c r="V78" s="292">
        <f t="shared" si="121"/>
        <v>29701327</v>
      </c>
      <c r="W78" s="290">
        <v>0</v>
      </c>
      <c r="X78" s="290">
        <v>0</v>
      </c>
      <c r="Y78" s="292">
        <v>20647793</v>
      </c>
      <c r="Z78" s="292">
        <f t="shared" si="122"/>
        <v>20647793</v>
      </c>
      <c r="AA78" s="290">
        <v>0</v>
      </c>
      <c r="AB78" s="290">
        <v>0</v>
      </c>
      <c r="AC78" s="290">
        <v>0</v>
      </c>
      <c r="AD78" s="292">
        <f t="shared" si="123"/>
        <v>0</v>
      </c>
      <c r="AE78" s="290">
        <v>0</v>
      </c>
      <c r="AF78" s="292">
        <v>0</v>
      </c>
      <c r="AG78" s="292">
        <f t="shared" si="124"/>
        <v>0</v>
      </c>
      <c r="AH78" s="292">
        <v>0</v>
      </c>
      <c r="AI78" s="292">
        <v>0</v>
      </c>
      <c r="AJ78" s="292">
        <f t="shared" si="125"/>
        <v>0</v>
      </c>
      <c r="AK78" s="292">
        <f t="shared" ref="AK78:AK87" si="128">AK77+B78</f>
        <v>468807677</v>
      </c>
      <c r="AL78" s="292">
        <f t="shared" si="126"/>
        <v>0</v>
      </c>
      <c r="AM78" s="292">
        <f t="shared" si="126"/>
        <v>64764557</v>
      </c>
      <c r="AN78" s="292">
        <f t="shared" ref="AN78:AN87" si="129">SUM(AK78:AM78)</f>
        <v>533572234</v>
      </c>
      <c r="AO78" s="292">
        <f t="shared" ref="AO78:AO87" si="130">AO77+F78</f>
        <v>61279527</v>
      </c>
      <c r="AP78" s="292">
        <f t="shared" si="127"/>
        <v>55566311</v>
      </c>
      <c r="AQ78" s="292">
        <f t="shared" si="127"/>
        <v>0</v>
      </c>
      <c r="AR78" s="292">
        <f t="shared" ref="AR78:AR87" si="131">SUM(AO78:AQ78)</f>
        <v>116845838</v>
      </c>
      <c r="AS78" s="292">
        <f t="shared" ref="AS78:AS87" si="132">AS77+J78</f>
        <v>0</v>
      </c>
      <c r="AT78" s="292">
        <f t="shared" ref="AT78:AT87" si="133">AT77+AH78</f>
        <v>0</v>
      </c>
      <c r="AU78" s="292">
        <f t="shared" ref="AU78:AU87" si="134">AU77+K78</f>
        <v>0</v>
      </c>
      <c r="AV78" s="292">
        <f t="shared" ref="AV78:AV87" si="135">SUM(AS78:AU78)</f>
        <v>0</v>
      </c>
      <c r="AW78" s="292">
        <f t="shared" ref="AW78:AW87" si="136">AW77+M78</f>
        <v>0</v>
      </c>
      <c r="AX78" s="292">
        <f t="shared" ref="AX78:AX87" si="137">AW78</f>
        <v>0</v>
      </c>
      <c r="AY78" s="292">
        <f t="shared" ref="AY78:AY87" si="138">AK78+AO78+AS78+AW78</f>
        <v>530087204</v>
      </c>
      <c r="AZ78" s="292">
        <f t="shared" ref="AZ78:BA87" si="139">AL78+AP78+AT78</f>
        <v>55566311</v>
      </c>
      <c r="BA78" s="292">
        <f t="shared" si="139"/>
        <v>64764557</v>
      </c>
      <c r="BB78" s="292">
        <f t="shared" ref="BB78:BB87" si="140">SUM(AY78:BA78)</f>
        <v>650418072</v>
      </c>
      <c r="BC78" s="83">
        <f t="shared" si="77"/>
        <v>0.37606017714619622</v>
      </c>
      <c r="BD78" s="293"/>
      <c r="BE78" s="5">
        <f>BB78/'Monthly D4 Gallon Data'!AX76</f>
        <v>1.5324002324433892</v>
      </c>
    </row>
    <row r="79" spans="1:57" s="294" customFormat="1" ht="12.75">
      <c r="A79" s="170">
        <v>42461</v>
      </c>
      <c r="B79" s="290">
        <v>189389185</v>
      </c>
      <c r="C79" s="290">
        <v>0</v>
      </c>
      <c r="D79" s="290">
        <v>43776569</v>
      </c>
      <c r="E79" s="291">
        <f t="shared" si="108"/>
        <v>233165754</v>
      </c>
      <c r="F79" s="290">
        <f t="shared" si="113"/>
        <v>35465627</v>
      </c>
      <c r="G79" s="290">
        <f t="shared" si="114"/>
        <v>30956254</v>
      </c>
      <c r="H79" s="290">
        <f t="shared" si="115"/>
        <v>0</v>
      </c>
      <c r="I79" s="291">
        <f t="shared" si="109"/>
        <v>66421881</v>
      </c>
      <c r="J79" s="290">
        <f t="shared" si="116"/>
        <v>0</v>
      </c>
      <c r="K79" s="290">
        <v>0</v>
      </c>
      <c r="L79" s="291">
        <f t="shared" si="110"/>
        <v>0</v>
      </c>
      <c r="M79" s="290">
        <f t="shared" si="117"/>
        <v>0</v>
      </c>
      <c r="N79" s="291">
        <f t="shared" si="118"/>
        <v>0</v>
      </c>
      <c r="O79" s="291">
        <f t="shared" si="111"/>
        <v>224854812</v>
      </c>
      <c r="P79" s="291">
        <f t="shared" si="119"/>
        <v>30956254</v>
      </c>
      <c r="Q79" s="291">
        <f t="shared" si="112"/>
        <v>43776569</v>
      </c>
      <c r="R79" s="291">
        <f t="shared" si="120"/>
        <v>299587635</v>
      </c>
      <c r="S79" s="290">
        <v>0</v>
      </c>
      <c r="T79" s="290">
        <v>0</v>
      </c>
      <c r="U79" s="292">
        <v>35465627</v>
      </c>
      <c r="V79" s="292">
        <f t="shared" si="121"/>
        <v>35465627</v>
      </c>
      <c r="W79" s="290">
        <v>0</v>
      </c>
      <c r="X79" s="290">
        <v>0</v>
      </c>
      <c r="Y79" s="292">
        <v>30956254</v>
      </c>
      <c r="Z79" s="292">
        <f t="shared" si="122"/>
        <v>30956254</v>
      </c>
      <c r="AA79" s="290">
        <v>0</v>
      </c>
      <c r="AB79" s="290">
        <v>0</v>
      </c>
      <c r="AC79" s="290">
        <v>0</v>
      </c>
      <c r="AD79" s="292">
        <f t="shared" si="123"/>
        <v>0</v>
      </c>
      <c r="AE79" s="290">
        <v>0</v>
      </c>
      <c r="AF79" s="292">
        <v>0</v>
      </c>
      <c r="AG79" s="292">
        <f t="shared" si="124"/>
        <v>0</v>
      </c>
      <c r="AH79" s="292">
        <v>0</v>
      </c>
      <c r="AI79" s="292">
        <v>0</v>
      </c>
      <c r="AJ79" s="292">
        <f t="shared" si="125"/>
        <v>0</v>
      </c>
      <c r="AK79" s="292">
        <f t="shared" si="128"/>
        <v>658196862</v>
      </c>
      <c r="AL79" s="292">
        <f t="shared" si="126"/>
        <v>0</v>
      </c>
      <c r="AM79" s="292">
        <f t="shared" si="126"/>
        <v>108541126</v>
      </c>
      <c r="AN79" s="292">
        <f t="shared" si="129"/>
        <v>766737988</v>
      </c>
      <c r="AO79" s="292">
        <f t="shared" si="130"/>
        <v>96745154</v>
      </c>
      <c r="AP79" s="292">
        <f t="shared" si="127"/>
        <v>86522565</v>
      </c>
      <c r="AQ79" s="292">
        <f t="shared" si="127"/>
        <v>0</v>
      </c>
      <c r="AR79" s="292">
        <f t="shared" si="131"/>
        <v>183267719</v>
      </c>
      <c r="AS79" s="292">
        <f t="shared" si="132"/>
        <v>0</v>
      </c>
      <c r="AT79" s="292">
        <f t="shared" si="133"/>
        <v>0</v>
      </c>
      <c r="AU79" s="292">
        <f t="shared" si="134"/>
        <v>0</v>
      </c>
      <c r="AV79" s="292">
        <f t="shared" si="135"/>
        <v>0</v>
      </c>
      <c r="AW79" s="292">
        <f t="shared" si="136"/>
        <v>0</v>
      </c>
      <c r="AX79" s="292">
        <f t="shared" si="137"/>
        <v>0</v>
      </c>
      <c r="AY79" s="292">
        <f t="shared" si="138"/>
        <v>754942016</v>
      </c>
      <c r="AZ79" s="292">
        <f t="shared" si="139"/>
        <v>86522565</v>
      </c>
      <c r="BA79" s="292">
        <f t="shared" si="139"/>
        <v>108541126</v>
      </c>
      <c r="BB79" s="292">
        <f t="shared" si="140"/>
        <v>950005707</v>
      </c>
      <c r="BC79" s="83">
        <f t="shared" si="77"/>
        <v>0.36780398327928121</v>
      </c>
      <c r="BD79" s="293"/>
      <c r="BE79" s="5">
        <f>BB79/'Monthly D4 Gallon Data'!AX77</f>
        <v>1.5348472435978036</v>
      </c>
    </row>
    <row r="80" spans="1:57" s="294" customFormat="1" ht="12.75">
      <c r="A80" s="170">
        <v>42491</v>
      </c>
      <c r="B80" s="290">
        <v>202894147</v>
      </c>
      <c r="C80" s="290">
        <v>0</v>
      </c>
      <c r="D80" s="290">
        <v>50612462</v>
      </c>
      <c r="E80" s="291">
        <f t="shared" si="108"/>
        <v>253506609</v>
      </c>
      <c r="F80" s="290">
        <f t="shared" si="113"/>
        <v>36761498</v>
      </c>
      <c r="G80" s="290">
        <f t="shared" si="114"/>
        <v>25705031</v>
      </c>
      <c r="H80" s="290">
        <f t="shared" si="115"/>
        <v>0</v>
      </c>
      <c r="I80" s="291">
        <f t="shared" si="109"/>
        <v>62466529</v>
      </c>
      <c r="J80" s="290">
        <f t="shared" si="116"/>
        <v>0</v>
      </c>
      <c r="K80" s="290">
        <v>0</v>
      </c>
      <c r="L80" s="291">
        <f t="shared" si="110"/>
        <v>0</v>
      </c>
      <c r="M80" s="290">
        <f t="shared" si="117"/>
        <v>0</v>
      </c>
      <c r="N80" s="291">
        <f t="shared" si="118"/>
        <v>0</v>
      </c>
      <c r="O80" s="291">
        <f t="shared" si="111"/>
        <v>239655645</v>
      </c>
      <c r="P80" s="291">
        <f t="shared" si="119"/>
        <v>25705031</v>
      </c>
      <c r="Q80" s="291">
        <f t="shared" si="112"/>
        <v>50612462</v>
      </c>
      <c r="R80" s="291">
        <f t="shared" si="120"/>
        <v>315973138</v>
      </c>
      <c r="S80" s="290">
        <v>0</v>
      </c>
      <c r="T80" s="290">
        <v>0</v>
      </c>
      <c r="U80" s="292">
        <v>36761498</v>
      </c>
      <c r="V80" s="292">
        <f t="shared" si="121"/>
        <v>36761498</v>
      </c>
      <c r="W80" s="290">
        <v>0</v>
      </c>
      <c r="X80" s="290">
        <v>0</v>
      </c>
      <c r="Y80" s="292">
        <v>25705031</v>
      </c>
      <c r="Z80" s="292">
        <f t="shared" si="122"/>
        <v>25705031</v>
      </c>
      <c r="AA80" s="290">
        <v>0</v>
      </c>
      <c r="AB80" s="290">
        <v>0</v>
      </c>
      <c r="AC80" s="290">
        <v>0</v>
      </c>
      <c r="AD80" s="292">
        <f t="shared" si="123"/>
        <v>0</v>
      </c>
      <c r="AE80" s="290">
        <v>0</v>
      </c>
      <c r="AF80" s="292">
        <v>0</v>
      </c>
      <c r="AG80" s="292">
        <f t="shared" si="124"/>
        <v>0</v>
      </c>
      <c r="AH80" s="292">
        <v>0</v>
      </c>
      <c r="AI80" s="292">
        <v>0</v>
      </c>
      <c r="AJ80" s="292">
        <f t="shared" si="125"/>
        <v>0</v>
      </c>
      <c r="AK80" s="292">
        <f t="shared" si="128"/>
        <v>861091009</v>
      </c>
      <c r="AL80" s="292">
        <f t="shared" si="126"/>
        <v>0</v>
      </c>
      <c r="AM80" s="292">
        <f t="shared" si="126"/>
        <v>159153588</v>
      </c>
      <c r="AN80" s="292">
        <f t="shared" si="129"/>
        <v>1020244597</v>
      </c>
      <c r="AO80" s="292">
        <f t="shared" si="130"/>
        <v>133506652</v>
      </c>
      <c r="AP80" s="292">
        <f t="shared" si="127"/>
        <v>112227596</v>
      </c>
      <c r="AQ80" s="292">
        <f t="shared" si="127"/>
        <v>0</v>
      </c>
      <c r="AR80" s="292">
        <f t="shared" si="131"/>
        <v>245734248</v>
      </c>
      <c r="AS80" s="292">
        <f t="shared" si="132"/>
        <v>0</v>
      </c>
      <c r="AT80" s="292">
        <f t="shared" si="133"/>
        <v>0</v>
      </c>
      <c r="AU80" s="292">
        <f t="shared" si="134"/>
        <v>0</v>
      </c>
      <c r="AV80" s="292">
        <f t="shared" si="135"/>
        <v>0</v>
      </c>
      <c r="AW80" s="292">
        <f t="shared" si="136"/>
        <v>0</v>
      </c>
      <c r="AX80" s="292">
        <f t="shared" si="137"/>
        <v>0</v>
      </c>
      <c r="AY80" s="292">
        <f t="shared" si="138"/>
        <v>994597661</v>
      </c>
      <c r="AZ80" s="292">
        <f t="shared" si="139"/>
        <v>112227596</v>
      </c>
      <c r="BA80" s="292">
        <f t="shared" si="139"/>
        <v>159153588</v>
      </c>
      <c r="BB80" s="292">
        <f t="shared" si="140"/>
        <v>1265978845</v>
      </c>
      <c r="BC80" s="83">
        <f t="shared" si="77"/>
        <v>0.32379686170452704</v>
      </c>
      <c r="BD80" s="293"/>
      <c r="BE80" s="5">
        <f>BB80/'Monthly D4 Gallon Data'!AX78</f>
        <v>1.5350679448795277</v>
      </c>
    </row>
    <row r="81" spans="1:57" s="294" customFormat="1" ht="12.75">
      <c r="A81" s="170">
        <v>42522</v>
      </c>
      <c r="B81" s="290">
        <v>213845120</v>
      </c>
      <c r="C81" s="290">
        <v>0</v>
      </c>
      <c r="D81" s="290">
        <v>85190504</v>
      </c>
      <c r="E81" s="291">
        <f t="shared" si="108"/>
        <v>299035624</v>
      </c>
      <c r="F81" s="290">
        <f t="shared" si="113"/>
        <v>37473502</v>
      </c>
      <c r="G81" s="290">
        <f t="shared" si="114"/>
        <v>36323984</v>
      </c>
      <c r="H81" s="290">
        <f t="shared" si="115"/>
        <v>0</v>
      </c>
      <c r="I81" s="291">
        <f t="shared" si="109"/>
        <v>73797486</v>
      </c>
      <c r="J81" s="290">
        <f t="shared" si="116"/>
        <v>0</v>
      </c>
      <c r="K81" s="290">
        <v>0</v>
      </c>
      <c r="L81" s="291">
        <f t="shared" si="110"/>
        <v>0</v>
      </c>
      <c r="M81" s="290">
        <f t="shared" si="117"/>
        <v>0</v>
      </c>
      <c r="N81" s="291">
        <f t="shared" si="118"/>
        <v>0</v>
      </c>
      <c r="O81" s="291">
        <f t="shared" si="111"/>
        <v>251318622</v>
      </c>
      <c r="P81" s="291">
        <f t="shared" si="119"/>
        <v>36323984</v>
      </c>
      <c r="Q81" s="291">
        <f t="shared" si="112"/>
        <v>85190504</v>
      </c>
      <c r="R81" s="291">
        <f t="shared" si="120"/>
        <v>372833110</v>
      </c>
      <c r="S81" s="290">
        <v>0</v>
      </c>
      <c r="T81" s="290">
        <v>0</v>
      </c>
      <c r="U81" s="292">
        <v>37473502</v>
      </c>
      <c r="V81" s="292">
        <f t="shared" si="121"/>
        <v>37473502</v>
      </c>
      <c r="W81" s="290">
        <v>0</v>
      </c>
      <c r="X81" s="290">
        <v>0</v>
      </c>
      <c r="Y81" s="292">
        <v>36323984</v>
      </c>
      <c r="Z81" s="292">
        <f t="shared" si="122"/>
        <v>36323984</v>
      </c>
      <c r="AA81" s="290">
        <v>0</v>
      </c>
      <c r="AB81" s="290">
        <v>0</v>
      </c>
      <c r="AC81" s="290">
        <v>0</v>
      </c>
      <c r="AD81" s="292">
        <f t="shared" si="123"/>
        <v>0</v>
      </c>
      <c r="AE81" s="290">
        <v>0</v>
      </c>
      <c r="AF81" s="292">
        <v>0</v>
      </c>
      <c r="AG81" s="292">
        <f t="shared" si="124"/>
        <v>0</v>
      </c>
      <c r="AH81" s="292">
        <v>0</v>
      </c>
      <c r="AI81" s="292">
        <v>0</v>
      </c>
      <c r="AJ81" s="292">
        <f t="shared" si="125"/>
        <v>0</v>
      </c>
      <c r="AK81" s="292">
        <f t="shared" si="128"/>
        <v>1074936129</v>
      </c>
      <c r="AL81" s="292">
        <f t="shared" si="126"/>
        <v>0</v>
      </c>
      <c r="AM81" s="292">
        <f t="shared" si="126"/>
        <v>244344092</v>
      </c>
      <c r="AN81" s="292">
        <f t="shared" si="129"/>
        <v>1319280221</v>
      </c>
      <c r="AO81" s="292">
        <f t="shared" si="130"/>
        <v>170980154</v>
      </c>
      <c r="AP81" s="292">
        <f t="shared" si="127"/>
        <v>148551580</v>
      </c>
      <c r="AQ81" s="292">
        <f t="shared" si="127"/>
        <v>0</v>
      </c>
      <c r="AR81" s="292">
        <f t="shared" si="131"/>
        <v>319531734</v>
      </c>
      <c r="AS81" s="292">
        <f t="shared" si="132"/>
        <v>0</v>
      </c>
      <c r="AT81" s="292">
        <f t="shared" si="133"/>
        <v>0</v>
      </c>
      <c r="AU81" s="292">
        <f t="shared" si="134"/>
        <v>0</v>
      </c>
      <c r="AV81" s="292">
        <f t="shared" si="135"/>
        <v>0</v>
      </c>
      <c r="AW81" s="292">
        <f t="shared" si="136"/>
        <v>0</v>
      </c>
      <c r="AX81" s="292">
        <f t="shared" si="137"/>
        <v>0</v>
      </c>
      <c r="AY81" s="292">
        <f t="shared" si="138"/>
        <v>1245916283</v>
      </c>
      <c r="AZ81" s="292">
        <f t="shared" si="139"/>
        <v>148551580</v>
      </c>
      <c r="BA81" s="292">
        <f t="shared" si="139"/>
        <v>244344092</v>
      </c>
      <c r="BB81" s="292">
        <f t="shared" si="140"/>
        <v>1638811955</v>
      </c>
      <c r="BC81" s="83">
        <f t="shared" si="77"/>
        <v>0.33546765307232196</v>
      </c>
      <c r="BD81" s="293"/>
      <c r="BE81" s="5">
        <f>BB81/'Monthly D4 Gallon Data'!AX79</f>
        <v>1.5352289076443275</v>
      </c>
    </row>
    <row r="82" spans="1:57" s="294" customFormat="1" ht="12.75">
      <c r="A82" s="170">
        <v>42552</v>
      </c>
      <c r="B82" s="290">
        <v>206947515</v>
      </c>
      <c r="C82" s="290">
        <v>0</v>
      </c>
      <c r="D82" s="290">
        <v>39992865</v>
      </c>
      <c r="E82" s="291">
        <f t="shared" si="108"/>
        <v>246940380</v>
      </c>
      <c r="F82" s="290">
        <f t="shared" si="113"/>
        <v>32461197</v>
      </c>
      <c r="G82" s="290">
        <f t="shared" si="114"/>
        <v>34210333</v>
      </c>
      <c r="H82" s="290">
        <f t="shared" si="115"/>
        <v>0</v>
      </c>
      <c r="I82" s="291">
        <f t="shared" si="109"/>
        <v>66671530</v>
      </c>
      <c r="J82" s="290">
        <f t="shared" si="116"/>
        <v>0</v>
      </c>
      <c r="K82" s="290">
        <v>0</v>
      </c>
      <c r="L82" s="291">
        <f t="shared" si="110"/>
        <v>0</v>
      </c>
      <c r="M82" s="290">
        <f t="shared" si="117"/>
        <v>0</v>
      </c>
      <c r="N82" s="291">
        <f t="shared" si="118"/>
        <v>0</v>
      </c>
      <c r="O82" s="291">
        <f t="shared" si="111"/>
        <v>239408712</v>
      </c>
      <c r="P82" s="291">
        <f t="shared" si="119"/>
        <v>34210333</v>
      </c>
      <c r="Q82" s="291">
        <f t="shared" si="112"/>
        <v>39992865</v>
      </c>
      <c r="R82" s="291">
        <f t="shared" si="120"/>
        <v>313611910</v>
      </c>
      <c r="S82" s="290">
        <v>0</v>
      </c>
      <c r="T82" s="290">
        <v>0</v>
      </c>
      <c r="U82" s="292">
        <v>32461197</v>
      </c>
      <c r="V82" s="292">
        <f t="shared" si="121"/>
        <v>32461197</v>
      </c>
      <c r="W82" s="290">
        <v>0</v>
      </c>
      <c r="X82" s="290">
        <v>0</v>
      </c>
      <c r="Y82" s="292">
        <v>34210333</v>
      </c>
      <c r="Z82" s="292">
        <f t="shared" si="122"/>
        <v>34210333</v>
      </c>
      <c r="AA82" s="290">
        <v>0</v>
      </c>
      <c r="AB82" s="290">
        <v>0</v>
      </c>
      <c r="AC82" s="290">
        <v>0</v>
      </c>
      <c r="AD82" s="292">
        <f t="shared" si="123"/>
        <v>0</v>
      </c>
      <c r="AE82" s="290">
        <v>0</v>
      </c>
      <c r="AF82" s="292">
        <v>0</v>
      </c>
      <c r="AG82" s="292">
        <f t="shared" si="124"/>
        <v>0</v>
      </c>
      <c r="AH82" s="292">
        <v>0</v>
      </c>
      <c r="AI82" s="292">
        <v>0</v>
      </c>
      <c r="AJ82" s="292">
        <f t="shared" si="125"/>
        <v>0</v>
      </c>
      <c r="AK82" s="292">
        <f t="shared" si="128"/>
        <v>1281883644</v>
      </c>
      <c r="AL82" s="292">
        <f t="shared" si="126"/>
        <v>0</v>
      </c>
      <c r="AM82" s="292">
        <f t="shared" si="126"/>
        <v>284336957</v>
      </c>
      <c r="AN82" s="292">
        <f t="shared" si="129"/>
        <v>1566220601</v>
      </c>
      <c r="AO82" s="292">
        <f t="shared" si="130"/>
        <v>203441351</v>
      </c>
      <c r="AP82" s="292">
        <f t="shared" si="127"/>
        <v>182761913</v>
      </c>
      <c r="AQ82" s="292">
        <f t="shared" si="127"/>
        <v>0</v>
      </c>
      <c r="AR82" s="292">
        <f t="shared" si="131"/>
        <v>386203264</v>
      </c>
      <c r="AS82" s="292">
        <f t="shared" si="132"/>
        <v>0</v>
      </c>
      <c r="AT82" s="292">
        <f t="shared" si="133"/>
        <v>0</v>
      </c>
      <c r="AU82" s="292">
        <f t="shared" si="134"/>
        <v>0</v>
      </c>
      <c r="AV82" s="292">
        <f t="shared" si="135"/>
        <v>0</v>
      </c>
      <c r="AW82" s="292">
        <f t="shared" si="136"/>
        <v>0</v>
      </c>
      <c r="AX82" s="292">
        <f t="shared" si="137"/>
        <v>0</v>
      </c>
      <c r="AY82" s="292">
        <f t="shared" si="138"/>
        <v>1485324995</v>
      </c>
      <c r="AZ82" s="292">
        <f t="shared" si="139"/>
        <v>182761913</v>
      </c>
      <c r="BA82" s="292">
        <f t="shared" si="139"/>
        <v>284336957</v>
      </c>
      <c r="BB82" s="292">
        <f t="shared" si="140"/>
        <v>1952423865</v>
      </c>
      <c r="BC82" s="83">
        <f t="shared" si="77"/>
        <v>0.2831630433886223</v>
      </c>
      <c r="BD82" s="293"/>
      <c r="BE82" s="5">
        <f>BB82/'Monthly D4 Gallon Data'!AX80</f>
        <v>1.5357521406574763</v>
      </c>
    </row>
    <row r="83" spans="1:57" s="294" customFormat="1" ht="12.75">
      <c r="A83" s="170">
        <v>42583</v>
      </c>
      <c r="B83" s="290">
        <v>242452564</v>
      </c>
      <c r="C83" s="290">
        <v>0</v>
      </c>
      <c r="D83" s="290">
        <v>92186203</v>
      </c>
      <c r="E83" s="291">
        <f t="shared" si="108"/>
        <v>334638767</v>
      </c>
      <c r="F83" s="290">
        <f t="shared" si="113"/>
        <v>41352775</v>
      </c>
      <c r="G83" s="290">
        <f t="shared" si="114"/>
        <v>26370047</v>
      </c>
      <c r="H83" s="290">
        <f t="shared" si="115"/>
        <v>0</v>
      </c>
      <c r="I83" s="291">
        <f t="shared" si="109"/>
        <v>67722822</v>
      </c>
      <c r="J83" s="290">
        <f t="shared" si="116"/>
        <v>0</v>
      </c>
      <c r="K83" s="290">
        <v>0</v>
      </c>
      <c r="L83" s="291">
        <f t="shared" si="110"/>
        <v>0</v>
      </c>
      <c r="M83" s="290">
        <f t="shared" si="117"/>
        <v>0</v>
      </c>
      <c r="N83" s="291">
        <f t="shared" si="118"/>
        <v>0</v>
      </c>
      <c r="O83" s="291">
        <f t="shared" si="111"/>
        <v>283805339</v>
      </c>
      <c r="P83" s="291">
        <f t="shared" si="119"/>
        <v>26370047</v>
      </c>
      <c r="Q83" s="291">
        <f t="shared" si="112"/>
        <v>92186203</v>
      </c>
      <c r="R83" s="291">
        <f t="shared" si="120"/>
        <v>402361589</v>
      </c>
      <c r="S83" s="290">
        <v>0</v>
      </c>
      <c r="T83" s="290">
        <v>0</v>
      </c>
      <c r="U83" s="292">
        <v>41352775</v>
      </c>
      <c r="V83" s="292">
        <f t="shared" si="121"/>
        <v>41352775</v>
      </c>
      <c r="W83" s="290">
        <v>0</v>
      </c>
      <c r="X83" s="290">
        <v>0</v>
      </c>
      <c r="Y83" s="292">
        <v>26370047</v>
      </c>
      <c r="Z83" s="292">
        <f t="shared" si="122"/>
        <v>26370047</v>
      </c>
      <c r="AA83" s="290">
        <v>0</v>
      </c>
      <c r="AB83" s="290">
        <v>0</v>
      </c>
      <c r="AC83" s="290">
        <v>0</v>
      </c>
      <c r="AD83" s="292">
        <f t="shared" si="123"/>
        <v>0</v>
      </c>
      <c r="AE83" s="290">
        <v>0</v>
      </c>
      <c r="AF83" s="292">
        <v>0</v>
      </c>
      <c r="AG83" s="292">
        <f t="shared" si="124"/>
        <v>0</v>
      </c>
      <c r="AH83" s="292">
        <v>0</v>
      </c>
      <c r="AI83" s="292">
        <v>0</v>
      </c>
      <c r="AJ83" s="292">
        <f t="shared" si="125"/>
        <v>0</v>
      </c>
      <c r="AK83" s="292">
        <f t="shared" si="128"/>
        <v>1524336208</v>
      </c>
      <c r="AL83" s="292">
        <f t="shared" si="126"/>
        <v>0</v>
      </c>
      <c r="AM83" s="292">
        <f t="shared" si="126"/>
        <v>376523160</v>
      </c>
      <c r="AN83" s="292">
        <f t="shared" si="129"/>
        <v>1900859368</v>
      </c>
      <c r="AO83" s="292">
        <f t="shared" si="130"/>
        <v>244794126</v>
      </c>
      <c r="AP83" s="292">
        <f t="shared" si="127"/>
        <v>209131960</v>
      </c>
      <c r="AQ83" s="292">
        <f t="shared" si="127"/>
        <v>0</v>
      </c>
      <c r="AR83" s="292">
        <f t="shared" si="131"/>
        <v>453926086</v>
      </c>
      <c r="AS83" s="292">
        <f t="shared" si="132"/>
        <v>0</v>
      </c>
      <c r="AT83" s="292">
        <f t="shared" si="133"/>
        <v>0</v>
      </c>
      <c r="AU83" s="292">
        <f t="shared" si="134"/>
        <v>0</v>
      </c>
      <c r="AV83" s="292">
        <f t="shared" si="135"/>
        <v>0</v>
      </c>
      <c r="AW83" s="292">
        <f t="shared" si="136"/>
        <v>0</v>
      </c>
      <c r="AX83" s="292">
        <f t="shared" si="137"/>
        <v>0</v>
      </c>
      <c r="AY83" s="292">
        <f t="shared" si="138"/>
        <v>1769130334</v>
      </c>
      <c r="AZ83" s="292">
        <f t="shared" si="139"/>
        <v>209131960</v>
      </c>
      <c r="BA83" s="292">
        <f t="shared" si="139"/>
        <v>376523160</v>
      </c>
      <c r="BB83" s="292">
        <f t="shared" si="140"/>
        <v>2354785454</v>
      </c>
      <c r="BC83" s="83">
        <f t="shared" si="77"/>
        <v>0.30386216430667856</v>
      </c>
      <c r="BD83" s="293"/>
      <c r="BE83" s="5">
        <f>BB83/'Monthly D4 Gallon Data'!AX81</f>
        <v>1.5348203192618448</v>
      </c>
    </row>
    <row r="84" spans="1:57" s="294" customFormat="1" ht="12.75">
      <c r="A84" s="170">
        <v>42614</v>
      </c>
      <c r="B84" s="290">
        <v>219918141</v>
      </c>
      <c r="C84" s="290">
        <v>0</v>
      </c>
      <c r="D84" s="290">
        <v>109895015</v>
      </c>
      <c r="E84" s="291">
        <f t="shared" si="108"/>
        <v>329813156</v>
      </c>
      <c r="F84" s="290">
        <f t="shared" si="113"/>
        <v>32062923</v>
      </c>
      <c r="G84" s="290">
        <f t="shared" si="114"/>
        <v>32847102</v>
      </c>
      <c r="H84" s="290">
        <f t="shared" si="115"/>
        <v>0</v>
      </c>
      <c r="I84" s="291">
        <f t="shared" si="109"/>
        <v>64910025</v>
      </c>
      <c r="J84" s="290">
        <f t="shared" si="116"/>
        <v>369264</v>
      </c>
      <c r="K84" s="290">
        <v>0</v>
      </c>
      <c r="L84" s="291">
        <f t="shared" si="110"/>
        <v>369264</v>
      </c>
      <c r="M84" s="290">
        <f t="shared" si="117"/>
        <v>0</v>
      </c>
      <c r="N84" s="291">
        <f t="shared" si="118"/>
        <v>0</v>
      </c>
      <c r="O84" s="291">
        <f t="shared" si="111"/>
        <v>252350328</v>
      </c>
      <c r="P84" s="291">
        <f t="shared" si="119"/>
        <v>32847102</v>
      </c>
      <c r="Q84" s="291">
        <f t="shared" si="112"/>
        <v>109895015</v>
      </c>
      <c r="R84" s="291">
        <f t="shared" si="120"/>
        <v>395092445</v>
      </c>
      <c r="S84" s="290">
        <v>0</v>
      </c>
      <c r="T84" s="290">
        <v>0</v>
      </c>
      <c r="U84" s="292">
        <v>32062923</v>
      </c>
      <c r="V84" s="292">
        <f t="shared" si="121"/>
        <v>32062923</v>
      </c>
      <c r="W84" s="290">
        <v>0</v>
      </c>
      <c r="X84" s="290">
        <v>0</v>
      </c>
      <c r="Y84" s="292">
        <v>32847102</v>
      </c>
      <c r="Z84" s="292">
        <f t="shared" si="122"/>
        <v>32847102</v>
      </c>
      <c r="AA84" s="290">
        <v>0</v>
      </c>
      <c r="AB84" s="290">
        <v>0</v>
      </c>
      <c r="AC84" s="290">
        <v>0</v>
      </c>
      <c r="AD84" s="292">
        <f t="shared" si="123"/>
        <v>0</v>
      </c>
      <c r="AE84" s="292">
        <v>369264</v>
      </c>
      <c r="AF84" s="292">
        <v>0</v>
      </c>
      <c r="AG84" s="292">
        <f t="shared" si="124"/>
        <v>369264</v>
      </c>
      <c r="AH84" s="292">
        <v>0</v>
      </c>
      <c r="AI84" s="292">
        <v>0</v>
      </c>
      <c r="AJ84" s="292">
        <f t="shared" si="125"/>
        <v>0</v>
      </c>
      <c r="AK84" s="292">
        <f t="shared" si="128"/>
        <v>1744254349</v>
      </c>
      <c r="AL84" s="292">
        <f t="shared" si="126"/>
        <v>0</v>
      </c>
      <c r="AM84" s="292">
        <f t="shared" si="126"/>
        <v>486418175</v>
      </c>
      <c r="AN84" s="292">
        <f t="shared" si="129"/>
        <v>2230672524</v>
      </c>
      <c r="AO84" s="292">
        <f t="shared" si="130"/>
        <v>276857049</v>
      </c>
      <c r="AP84" s="292">
        <f t="shared" si="127"/>
        <v>241979062</v>
      </c>
      <c r="AQ84" s="292">
        <f t="shared" si="127"/>
        <v>0</v>
      </c>
      <c r="AR84" s="292">
        <f t="shared" si="131"/>
        <v>518836111</v>
      </c>
      <c r="AS84" s="292">
        <f t="shared" si="132"/>
        <v>369264</v>
      </c>
      <c r="AT84" s="292">
        <f t="shared" si="133"/>
        <v>0</v>
      </c>
      <c r="AU84" s="292">
        <f t="shared" si="134"/>
        <v>0</v>
      </c>
      <c r="AV84" s="292">
        <f t="shared" si="135"/>
        <v>369264</v>
      </c>
      <c r="AW84" s="292">
        <f t="shared" si="136"/>
        <v>0</v>
      </c>
      <c r="AX84" s="292">
        <f t="shared" si="137"/>
        <v>0</v>
      </c>
      <c r="AY84" s="292">
        <f t="shared" si="138"/>
        <v>2021480662</v>
      </c>
      <c r="AZ84" s="292">
        <f t="shared" si="139"/>
        <v>241979062</v>
      </c>
      <c r="BA84" s="292">
        <f t="shared" si="139"/>
        <v>486418175</v>
      </c>
      <c r="BB84" s="292">
        <f t="shared" si="140"/>
        <v>2749877899</v>
      </c>
      <c r="BC84" s="83">
        <f t="shared" si="77"/>
        <v>0.33951938332421849</v>
      </c>
      <c r="BD84" s="293"/>
      <c r="BE84" s="5">
        <f>BB84/'Monthly D4 Gallon Data'!AX82</f>
        <v>1.5340777977030355</v>
      </c>
    </row>
    <row r="85" spans="1:57" s="294" customFormat="1" ht="12.75">
      <c r="A85" s="170">
        <v>42644</v>
      </c>
      <c r="B85" s="290">
        <v>214599422</v>
      </c>
      <c r="C85" s="290">
        <v>0</v>
      </c>
      <c r="D85" s="290">
        <v>75803796</v>
      </c>
      <c r="E85" s="291">
        <f t="shared" si="108"/>
        <v>290403218</v>
      </c>
      <c r="F85" s="290">
        <f t="shared" si="113"/>
        <v>34184551</v>
      </c>
      <c r="G85" s="290">
        <f t="shared" si="114"/>
        <v>18610543</v>
      </c>
      <c r="H85" s="290">
        <f t="shared" si="115"/>
        <v>0</v>
      </c>
      <c r="I85" s="291">
        <f t="shared" si="109"/>
        <v>52795094</v>
      </c>
      <c r="J85" s="290">
        <f t="shared" si="116"/>
        <v>289749</v>
      </c>
      <c r="K85" s="290">
        <v>0</v>
      </c>
      <c r="L85" s="291">
        <f t="shared" si="110"/>
        <v>289749</v>
      </c>
      <c r="M85" s="290">
        <f t="shared" si="117"/>
        <v>0</v>
      </c>
      <c r="N85" s="291">
        <f t="shared" si="118"/>
        <v>0</v>
      </c>
      <c r="O85" s="291">
        <f t="shared" si="111"/>
        <v>249073722</v>
      </c>
      <c r="P85" s="291">
        <f t="shared" si="119"/>
        <v>18610543</v>
      </c>
      <c r="Q85" s="291">
        <f t="shared" si="112"/>
        <v>75803796</v>
      </c>
      <c r="R85" s="291">
        <f t="shared" si="120"/>
        <v>343488061</v>
      </c>
      <c r="S85" s="290">
        <v>0</v>
      </c>
      <c r="T85" s="290">
        <v>0</v>
      </c>
      <c r="U85" s="292">
        <v>34184551</v>
      </c>
      <c r="V85" s="292">
        <f t="shared" si="121"/>
        <v>34184551</v>
      </c>
      <c r="W85" s="290">
        <v>0</v>
      </c>
      <c r="X85" s="290">
        <v>0</v>
      </c>
      <c r="Y85" s="292">
        <v>18610543</v>
      </c>
      <c r="Z85" s="292">
        <f t="shared" si="122"/>
        <v>18610543</v>
      </c>
      <c r="AA85" s="290">
        <v>0</v>
      </c>
      <c r="AB85" s="290">
        <v>0</v>
      </c>
      <c r="AC85" s="290">
        <v>0</v>
      </c>
      <c r="AD85" s="292">
        <f t="shared" si="123"/>
        <v>0</v>
      </c>
      <c r="AE85" s="292">
        <v>289749</v>
      </c>
      <c r="AF85" s="292">
        <v>0</v>
      </c>
      <c r="AG85" s="292">
        <f t="shared" si="124"/>
        <v>289749</v>
      </c>
      <c r="AH85" s="292">
        <v>0</v>
      </c>
      <c r="AI85" s="292">
        <v>0</v>
      </c>
      <c r="AJ85" s="292">
        <f t="shared" si="125"/>
        <v>0</v>
      </c>
      <c r="AK85" s="292">
        <f t="shared" si="128"/>
        <v>1958853771</v>
      </c>
      <c r="AL85" s="292">
        <f t="shared" si="126"/>
        <v>0</v>
      </c>
      <c r="AM85" s="292">
        <f t="shared" si="126"/>
        <v>562221971</v>
      </c>
      <c r="AN85" s="292">
        <f t="shared" si="129"/>
        <v>2521075742</v>
      </c>
      <c r="AO85" s="292">
        <f t="shared" si="130"/>
        <v>311041600</v>
      </c>
      <c r="AP85" s="292">
        <f t="shared" si="127"/>
        <v>260589605</v>
      </c>
      <c r="AQ85" s="292">
        <f t="shared" si="127"/>
        <v>0</v>
      </c>
      <c r="AR85" s="292">
        <f t="shared" si="131"/>
        <v>571631205</v>
      </c>
      <c r="AS85" s="292">
        <f t="shared" si="132"/>
        <v>659013</v>
      </c>
      <c r="AT85" s="292">
        <f t="shared" si="133"/>
        <v>0</v>
      </c>
      <c r="AU85" s="292">
        <f t="shared" si="134"/>
        <v>0</v>
      </c>
      <c r="AV85" s="292">
        <f t="shared" si="135"/>
        <v>659013</v>
      </c>
      <c r="AW85" s="292">
        <f t="shared" si="136"/>
        <v>0</v>
      </c>
      <c r="AX85" s="292">
        <f t="shared" si="137"/>
        <v>0</v>
      </c>
      <c r="AY85" s="292">
        <f t="shared" si="138"/>
        <v>2270554384</v>
      </c>
      <c r="AZ85" s="292">
        <f t="shared" si="139"/>
        <v>260589605</v>
      </c>
      <c r="BA85" s="292">
        <f t="shared" si="139"/>
        <v>562221971</v>
      </c>
      <c r="BB85" s="292">
        <f t="shared" si="140"/>
        <v>3093365960</v>
      </c>
      <c r="BC85" s="83">
        <f t="shared" si="77"/>
        <v>0.33893294288902287</v>
      </c>
      <c r="BD85" s="293"/>
      <c r="BE85" s="5">
        <f>BB85/'Monthly D4 Gallon Data'!AX83</f>
        <v>1.5333690964770277</v>
      </c>
    </row>
    <row r="86" spans="1:57" s="294" customFormat="1" ht="12.75">
      <c r="A86" s="170">
        <v>42675</v>
      </c>
      <c r="B86" s="290">
        <v>209557727</v>
      </c>
      <c r="C86" s="290">
        <v>0</v>
      </c>
      <c r="D86" s="290">
        <v>98596322</v>
      </c>
      <c r="E86" s="291">
        <f t="shared" si="108"/>
        <v>308154049</v>
      </c>
      <c r="F86" s="290">
        <f t="shared" si="113"/>
        <v>45862155</v>
      </c>
      <c r="G86" s="290">
        <f t="shared" si="114"/>
        <v>25299337</v>
      </c>
      <c r="H86" s="290">
        <f t="shared" si="115"/>
        <v>0</v>
      </c>
      <c r="I86" s="291">
        <f t="shared" si="109"/>
        <v>71161492</v>
      </c>
      <c r="J86" s="290">
        <f t="shared" si="116"/>
        <v>308786</v>
      </c>
      <c r="K86" s="290">
        <v>0</v>
      </c>
      <c r="L86" s="291">
        <f t="shared" si="110"/>
        <v>308786</v>
      </c>
      <c r="M86" s="290">
        <f t="shared" si="117"/>
        <v>0</v>
      </c>
      <c r="N86" s="291">
        <f t="shared" si="118"/>
        <v>0</v>
      </c>
      <c r="O86" s="291">
        <f t="shared" si="111"/>
        <v>255728668</v>
      </c>
      <c r="P86" s="291">
        <f t="shared" si="119"/>
        <v>25299337</v>
      </c>
      <c r="Q86" s="291">
        <f t="shared" si="112"/>
        <v>98596322</v>
      </c>
      <c r="R86" s="291">
        <f t="shared" si="120"/>
        <v>379624327</v>
      </c>
      <c r="S86" s="290">
        <v>0</v>
      </c>
      <c r="T86" s="290">
        <v>0</v>
      </c>
      <c r="U86" s="292">
        <v>45862155</v>
      </c>
      <c r="V86" s="292">
        <f t="shared" si="121"/>
        <v>45862155</v>
      </c>
      <c r="W86" s="290">
        <v>0</v>
      </c>
      <c r="X86" s="290">
        <v>0</v>
      </c>
      <c r="Y86" s="292">
        <v>25299337</v>
      </c>
      <c r="Z86" s="292">
        <f t="shared" si="122"/>
        <v>25299337</v>
      </c>
      <c r="AA86" s="290">
        <v>0</v>
      </c>
      <c r="AB86" s="290">
        <v>0</v>
      </c>
      <c r="AC86" s="290">
        <v>0</v>
      </c>
      <c r="AD86" s="292">
        <f t="shared" si="123"/>
        <v>0</v>
      </c>
      <c r="AE86" s="292">
        <v>308786</v>
      </c>
      <c r="AF86" s="292">
        <v>0</v>
      </c>
      <c r="AG86" s="292">
        <f t="shared" si="124"/>
        <v>308786</v>
      </c>
      <c r="AH86" s="292">
        <v>0</v>
      </c>
      <c r="AI86" s="292">
        <v>0</v>
      </c>
      <c r="AJ86" s="292">
        <f t="shared" si="125"/>
        <v>0</v>
      </c>
      <c r="AK86" s="292">
        <f t="shared" si="128"/>
        <v>2168411498</v>
      </c>
      <c r="AL86" s="292">
        <f t="shared" si="126"/>
        <v>0</v>
      </c>
      <c r="AM86" s="292">
        <f t="shared" si="126"/>
        <v>660818293</v>
      </c>
      <c r="AN86" s="292">
        <f t="shared" si="129"/>
        <v>2829229791</v>
      </c>
      <c r="AO86" s="292">
        <f t="shared" si="130"/>
        <v>356903755</v>
      </c>
      <c r="AP86" s="292">
        <f t="shared" si="127"/>
        <v>285888942</v>
      </c>
      <c r="AQ86" s="292">
        <f t="shared" si="127"/>
        <v>0</v>
      </c>
      <c r="AR86" s="292">
        <f t="shared" si="131"/>
        <v>642792697</v>
      </c>
      <c r="AS86" s="292">
        <f t="shared" si="132"/>
        <v>967799</v>
      </c>
      <c r="AT86" s="292">
        <f t="shared" si="133"/>
        <v>0</v>
      </c>
      <c r="AU86" s="292">
        <f t="shared" si="134"/>
        <v>0</v>
      </c>
      <c r="AV86" s="292">
        <f t="shared" si="135"/>
        <v>967799</v>
      </c>
      <c r="AW86" s="292">
        <f t="shared" si="136"/>
        <v>0</v>
      </c>
      <c r="AX86" s="292">
        <f t="shared" si="137"/>
        <v>0</v>
      </c>
      <c r="AY86" s="292">
        <f t="shared" si="138"/>
        <v>2526283052</v>
      </c>
      <c r="AZ86" s="292">
        <f t="shared" si="139"/>
        <v>285888942</v>
      </c>
      <c r="BA86" s="292">
        <f t="shared" si="139"/>
        <v>660818293</v>
      </c>
      <c r="BB86" s="292">
        <f t="shared" si="140"/>
        <v>3472990287</v>
      </c>
      <c r="BC86" s="83">
        <f t="shared" si="77"/>
        <v>0.36868203526649168</v>
      </c>
      <c r="BD86" s="293"/>
      <c r="BE86" s="5">
        <f>BB86/'Monthly D4 Gallon Data'!AX84</f>
        <v>1.5334288966421796</v>
      </c>
    </row>
    <row r="87" spans="1:57" s="294" customFormat="1" ht="13.5" thickBot="1">
      <c r="A87" s="170">
        <v>42705</v>
      </c>
      <c r="B87" s="290">
        <v>280747118</v>
      </c>
      <c r="C87" s="290">
        <v>0</v>
      </c>
      <c r="D87" s="290">
        <v>181643033</v>
      </c>
      <c r="E87" s="291">
        <f t="shared" si="108"/>
        <v>462390151</v>
      </c>
      <c r="F87" s="290">
        <f t="shared" si="113"/>
        <v>45692957</v>
      </c>
      <c r="G87" s="290">
        <f t="shared" si="114"/>
        <v>26960315</v>
      </c>
      <c r="H87" s="290">
        <f t="shared" si="115"/>
        <v>0</v>
      </c>
      <c r="I87" s="291">
        <f t="shared" si="109"/>
        <v>72653272</v>
      </c>
      <c r="J87" s="290">
        <f t="shared" si="116"/>
        <v>286035</v>
      </c>
      <c r="K87" s="290">
        <v>0</v>
      </c>
      <c r="L87" s="291">
        <f t="shared" si="110"/>
        <v>286035</v>
      </c>
      <c r="M87" s="290">
        <f t="shared" si="117"/>
        <v>0</v>
      </c>
      <c r="N87" s="291">
        <f t="shared" si="118"/>
        <v>0</v>
      </c>
      <c r="O87" s="291">
        <f t="shared" si="111"/>
        <v>326726110</v>
      </c>
      <c r="P87" s="298">
        <f t="shared" si="119"/>
        <v>26960315</v>
      </c>
      <c r="Q87" s="291">
        <f t="shared" si="112"/>
        <v>181643033</v>
      </c>
      <c r="R87" s="291">
        <f t="shared" si="120"/>
        <v>535329458</v>
      </c>
      <c r="S87" s="290">
        <v>0</v>
      </c>
      <c r="T87" s="290">
        <v>0</v>
      </c>
      <c r="U87" s="292">
        <v>45692957</v>
      </c>
      <c r="V87" s="292">
        <f t="shared" si="121"/>
        <v>45692957</v>
      </c>
      <c r="W87" s="290">
        <v>0</v>
      </c>
      <c r="X87" s="290">
        <v>0</v>
      </c>
      <c r="Y87" s="292">
        <v>26960315</v>
      </c>
      <c r="Z87" s="292">
        <f t="shared" si="122"/>
        <v>26960315</v>
      </c>
      <c r="AA87" s="290">
        <v>0</v>
      </c>
      <c r="AB87" s="290">
        <v>0</v>
      </c>
      <c r="AC87" s="290">
        <v>0</v>
      </c>
      <c r="AD87" s="292">
        <f t="shared" si="123"/>
        <v>0</v>
      </c>
      <c r="AE87" s="292">
        <v>286035</v>
      </c>
      <c r="AF87" s="292">
        <v>0</v>
      </c>
      <c r="AG87" s="292">
        <f t="shared" si="124"/>
        <v>286035</v>
      </c>
      <c r="AH87" s="292">
        <v>0</v>
      </c>
      <c r="AI87" s="292">
        <v>0</v>
      </c>
      <c r="AJ87" s="292">
        <f t="shared" si="125"/>
        <v>0</v>
      </c>
      <c r="AK87" s="292">
        <f t="shared" si="128"/>
        <v>2449158616</v>
      </c>
      <c r="AL87" s="292">
        <f t="shared" si="126"/>
        <v>0</v>
      </c>
      <c r="AM87" s="292">
        <f t="shared" si="126"/>
        <v>842461326</v>
      </c>
      <c r="AN87" s="292">
        <f t="shared" si="129"/>
        <v>3291619942</v>
      </c>
      <c r="AO87" s="292">
        <f t="shared" si="130"/>
        <v>402596712</v>
      </c>
      <c r="AP87" s="292">
        <f t="shared" si="127"/>
        <v>312849257</v>
      </c>
      <c r="AQ87" s="292">
        <f t="shared" si="127"/>
        <v>0</v>
      </c>
      <c r="AR87" s="292">
        <f t="shared" si="131"/>
        <v>715445969</v>
      </c>
      <c r="AS87" s="292">
        <f t="shared" si="132"/>
        <v>1253834</v>
      </c>
      <c r="AT87" s="292">
        <f t="shared" si="133"/>
        <v>0</v>
      </c>
      <c r="AU87" s="292">
        <f t="shared" si="134"/>
        <v>0</v>
      </c>
      <c r="AV87" s="292">
        <f t="shared" si="135"/>
        <v>1253834</v>
      </c>
      <c r="AW87" s="292">
        <f t="shared" si="136"/>
        <v>0</v>
      </c>
      <c r="AX87" s="292">
        <f t="shared" si="137"/>
        <v>0</v>
      </c>
      <c r="AY87" s="292">
        <f t="shared" si="138"/>
        <v>2853009162</v>
      </c>
      <c r="AZ87" s="292">
        <f t="shared" si="139"/>
        <v>312849257</v>
      </c>
      <c r="BA87" s="292">
        <f t="shared" si="139"/>
        <v>842461326</v>
      </c>
      <c r="BB87" s="292">
        <f t="shared" si="140"/>
        <v>4008319745</v>
      </c>
      <c r="BC87" s="83">
        <f t="shared" si="77"/>
        <v>0.43369414446309684</v>
      </c>
      <c r="BD87" s="293"/>
      <c r="BE87" s="5">
        <f>BB87/'Monthly D4 Gallon Data'!AX85</f>
        <v>1.5322165183207959</v>
      </c>
    </row>
    <row r="88" spans="1:57" s="294" customFormat="1" ht="12.75">
      <c r="A88" s="171">
        <v>42736</v>
      </c>
      <c r="B88" s="295">
        <v>98905290</v>
      </c>
      <c r="C88" s="295">
        <v>0</v>
      </c>
      <c r="D88" s="295">
        <v>31785156</v>
      </c>
      <c r="E88" s="296">
        <f t="shared" si="108"/>
        <v>130690446</v>
      </c>
      <c r="F88" s="295">
        <f t="shared" si="113"/>
        <v>30788600</v>
      </c>
      <c r="G88" s="295">
        <f t="shared" si="114"/>
        <v>34749127</v>
      </c>
      <c r="H88" s="295">
        <f t="shared" si="115"/>
        <v>0</v>
      </c>
      <c r="I88" s="296">
        <f t="shared" si="109"/>
        <v>65537727</v>
      </c>
      <c r="J88" s="295">
        <f t="shared" si="116"/>
        <v>336529</v>
      </c>
      <c r="K88" s="295">
        <v>0</v>
      </c>
      <c r="L88" s="296">
        <f t="shared" si="110"/>
        <v>336529</v>
      </c>
      <c r="M88" s="295">
        <f t="shared" si="117"/>
        <v>0</v>
      </c>
      <c r="N88" s="296">
        <f t="shared" si="118"/>
        <v>0</v>
      </c>
      <c r="O88" s="296">
        <f t="shared" si="111"/>
        <v>130030419</v>
      </c>
      <c r="P88" s="296">
        <f t="shared" si="119"/>
        <v>34749127</v>
      </c>
      <c r="Q88" s="296">
        <f t="shared" si="112"/>
        <v>31785156</v>
      </c>
      <c r="R88" s="296">
        <f t="shared" si="120"/>
        <v>196564702</v>
      </c>
      <c r="S88" s="295">
        <v>0</v>
      </c>
      <c r="T88" s="295">
        <v>0</v>
      </c>
      <c r="U88" s="297">
        <v>30788600</v>
      </c>
      <c r="V88" s="297">
        <f t="shared" si="121"/>
        <v>30788600</v>
      </c>
      <c r="W88" s="295">
        <v>0</v>
      </c>
      <c r="X88" s="295">
        <v>0</v>
      </c>
      <c r="Y88" s="297">
        <v>34749127</v>
      </c>
      <c r="Z88" s="297">
        <f t="shared" si="122"/>
        <v>34749127</v>
      </c>
      <c r="AA88" s="295">
        <v>0</v>
      </c>
      <c r="AB88" s="295">
        <v>0</v>
      </c>
      <c r="AC88" s="295">
        <v>0</v>
      </c>
      <c r="AD88" s="297">
        <f t="shared" si="123"/>
        <v>0</v>
      </c>
      <c r="AE88" s="297">
        <v>336529</v>
      </c>
      <c r="AF88" s="295">
        <v>0</v>
      </c>
      <c r="AG88" s="297">
        <f t="shared" si="124"/>
        <v>336529</v>
      </c>
      <c r="AH88" s="297">
        <v>0</v>
      </c>
      <c r="AI88" s="297">
        <v>0</v>
      </c>
      <c r="AJ88" s="297">
        <f t="shared" si="125"/>
        <v>0</v>
      </c>
      <c r="AK88" s="297">
        <f>B88</f>
        <v>98905290</v>
      </c>
      <c r="AL88" s="297">
        <f>C88</f>
        <v>0</v>
      </c>
      <c r="AM88" s="297">
        <f>D88</f>
        <v>31785156</v>
      </c>
      <c r="AN88" s="297">
        <f>SUM(AK88:AM88)</f>
        <v>130690446</v>
      </c>
      <c r="AO88" s="297">
        <f>F88</f>
        <v>30788600</v>
      </c>
      <c r="AP88" s="297">
        <f>G88</f>
        <v>34749127</v>
      </c>
      <c r="AQ88" s="297">
        <f>H88</f>
        <v>0</v>
      </c>
      <c r="AR88" s="297">
        <f>SUM(AO88:AQ88)</f>
        <v>65537727</v>
      </c>
      <c r="AS88" s="297">
        <f>J88</f>
        <v>336529</v>
      </c>
      <c r="AT88" s="297">
        <f>AH88</f>
        <v>0</v>
      </c>
      <c r="AU88" s="297">
        <f>K88</f>
        <v>0</v>
      </c>
      <c r="AV88" s="297">
        <f>SUM(AS88:AU88)</f>
        <v>336529</v>
      </c>
      <c r="AW88" s="297">
        <f>M88</f>
        <v>0</v>
      </c>
      <c r="AX88" s="297">
        <f>AW88</f>
        <v>0</v>
      </c>
      <c r="AY88" s="297">
        <f>AK88+AO88+AS88+AW88</f>
        <v>130030419</v>
      </c>
      <c r="AZ88" s="297">
        <f>AL88+AP88+AT88</f>
        <v>34749127</v>
      </c>
      <c r="BA88" s="297">
        <f>AM88+AQ88+AU88</f>
        <v>31785156</v>
      </c>
      <c r="BB88" s="297">
        <f>SUM(AY88:BA88)</f>
        <v>196564702</v>
      </c>
      <c r="BC88" s="83">
        <f t="shared" si="77"/>
        <v>2.0505581654564509E-2</v>
      </c>
      <c r="BD88" s="293"/>
      <c r="BE88" s="5">
        <f>BB88/'Monthly D4 Gallon Data'!AX86</f>
        <v>1.5614228695889127</v>
      </c>
    </row>
    <row r="89" spans="1:57" s="294" customFormat="1" ht="12.75">
      <c r="A89" s="170">
        <v>42767</v>
      </c>
      <c r="B89" s="290">
        <v>117715768</v>
      </c>
      <c r="C89" s="290">
        <v>0</v>
      </c>
      <c r="D89" s="290">
        <v>44658218</v>
      </c>
      <c r="E89" s="291">
        <f t="shared" si="108"/>
        <v>162373986</v>
      </c>
      <c r="F89" s="290">
        <f t="shared" si="113"/>
        <v>35164747</v>
      </c>
      <c r="G89" s="290">
        <f t="shared" si="114"/>
        <v>16838059</v>
      </c>
      <c r="H89" s="290">
        <f t="shared" si="115"/>
        <v>0</v>
      </c>
      <c r="I89" s="291">
        <f t="shared" si="109"/>
        <v>52002806</v>
      </c>
      <c r="J89" s="290">
        <f t="shared" si="116"/>
        <v>304995</v>
      </c>
      <c r="K89" s="290">
        <v>0</v>
      </c>
      <c r="L89" s="291">
        <f t="shared" si="110"/>
        <v>304995</v>
      </c>
      <c r="M89" s="290">
        <f t="shared" si="117"/>
        <v>0</v>
      </c>
      <c r="N89" s="291">
        <f t="shared" si="118"/>
        <v>0</v>
      </c>
      <c r="O89" s="291">
        <f t="shared" si="111"/>
        <v>153185510</v>
      </c>
      <c r="P89" s="291">
        <f t="shared" si="119"/>
        <v>16838059</v>
      </c>
      <c r="Q89" s="291">
        <f t="shared" si="112"/>
        <v>44658218</v>
      </c>
      <c r="R89" s="291">
        <f t="shared" si="120"/>
        <v>214681787</v>
      </c>
      <c r="S89" s="290">
        <v>0</v>
      </c>
      <c r="T89" s="290">
        <v>0</v>
      </c>
      <c r="U89" s="292">
        <v>35164747</v>
      </c>
      <c r="V89" s="292">
        <f t="shared" si="121"/>
        <v>35164747</v>
      </c>
      <c r="W89" s="290">
        <v>0</v>
      </c>
      <c r="X89" s="290">
        <v>0</v>
      </c>
      <c r="Y89" s="292">
        <v>16838059</v>
      </c>
      <c r="Z89" s="292">
        <f t="shared" si="122"/>
        <v>16838059</v>
      </c>
      <c r="AA89" s="290">
        <v>0</v>
      </c>
      <c r="AB89" s="290">
        <v>0</v>
      </c>
      <c r="AC89" s="290">
        <v>0</v>
      </c>
      <c r="AD89" s="292">
        <f t="shared" si="123"/>
        <v>0</v>
      </c>
      <c r="AE89" s="292">
        <v>304995</v>
      </c>
      <c r="AF89" s="290">
        <v>0</v>
      </c>
      <c r="AG89" s="292">
        <f t="shared" si="124"/>
        <v>304995</v>
      </c>
      <c r="AH89" s="292">
        <v>0</v>
      </c>
      <c r="AI89" s="292">
        <v>0</v>
      </c>
      <c r="AJ89" s="292">
        <f t="shared" si="125"/>
        <v>0</v>
      </c>
      <c r="AK89" s="292">
        <f>AK88+B89</f>
        <v>216621058</v>
      </c>
      <c r="AL89" s="292">
        <f t="shared" ref="AL89:AM99" si="141">AL88+C89</f>
        <v>0</v>
      </c>
      <c r="AM89" s="292">
        <f t="shared" si="141"/>
        <v>76443374</v>
      </c>
      <c r="AN89" s="292">
        <f>SUM(AK89:AM89)</f>
        <v>293064432</v>
      </c>
      <c r="AO89" s="292">
        <f>AO88+F89</f>
        <v>65953347</v>
      </c>
      <c r="AP89" s="292">
        <f t="shared" ref="AP89:AQ99" si="142">AP88+G89</f>
        <v>51587186</v>
      </c>
      <c r="AQ89" s="292">
        <f t="shared" si="142"/>
        <v>0</v>
      </c>
      <c r="AR89" s="292">
        <f>SUM(AO89:AQ89)</f>
        <v>117540533</v>
      </c>
      <c r="AS89" s="292">
        <f>AS88+J89</f>
        <v>641524</v>
      </c>
      <c r="AT89" s="292">
        <f>AT88+AH89</f>
        <v>0</v>
      </c>
      <c r="AU89" s="292">
        <f>AU88+K89</f>
        <v>0</v>
      </c>
      <c r="AV89" s="292">
        <f>SUM(AS89:AU89)</f>
        <v>641524</v>
      </c>
      <c r="AW89" s="292">
        <f>AW88+M89</f>
        <v>0</v>
      </c>
      <c r="AX89" s="292">
        <f>AW89</f>
        <v>0</v>
      </c>
      <c r="AY89" s="292">
        <f>AK89+AO89+AS89+AW89</f>
        <v>283215929</v>
      </c>
      <c r="AZ89" s="292">
        <f>AL89+AP89+AT89</f>
        <v>51587186</v>
      </c>
      <c r="BA89" s="292">
        <f>AM89+AQ89+AU89</f>
        <v>76443374</v>
      </c>
      <c r="BB89" s="292">
        <f>SUM(AY89:BA89)</f>
        <v>411246489</v>
      </c>
      <c r="BC89" s="83">
        <f t="shared" si="77"/>
        <v>3.5415281574469271E-2</v>
      </c>
      <c r="BD89" s="293"/>
      <c r="BE89" s="5">
        <f>BB89/'Monthly D4 Gallon Data'!AX87</f>
        <v>1.5523593850200581</v>
      </c>
    </row>
    <row r="90" spans="1:57" s="294" customFormat="1" ht="12.75">
      <c r="A90" s="170">
        <v>42795</v>
      </c>
      <c r="B90" s="290">
        <v>167244013</v>
      </c>
      <c r="C90" s="290">
        <v>0</v>
      </c>
      <c r="D90" s="290">
        <v>60824923</v>
      </c>
      <c r="E90" s="291">
        <f t="shared" si="108"/>
        <v>228068936</v>
      </c>
      <c r="F90" s="290">
        <f t="shared" si="113"/>
        <v>26177755</v>
      </c>
      <c r="G90" s="290">
        <f t="shared" si="114"/>
        <v>28248660</v>
      </c>
      <c r="H90" s="290">
        <f t="shared" si="115"/>
        <v>0</v>
      </c>
      <c r="I90" s="291">
        <f t="shared" si="109"/>
        <v>54426415</v>
      </c>
      <c r="J90" s="290">
        <f t="shared" si="116"/>
        <v>295720</v>
      </c>
      <c r="K90" s="290">
        <v>0</v>
      </c>
      <c r="L90" s="291">
        <f t="shared" si="110"/>
        <v>295720</v>
      </c>
      <c r="M90" s="290">
        <f t="shared" si="117"/>
        <v>0</v>
      </c>
      <c r="N90" s="291">
        <f t="shared" si="118"/>
        <v>0</v>
      </c>
      <c r="O90" s="291">
        <f t="shared" si="111"/>
        <v>193717488</v>
      </c>
      <c r="P90" s="291">
        <f t="shared" si="119"/>
        <v>28248660</v>
      </c>
      <c r="Q90" s="291">
        <f t="shared" si="112"/>
        <v>60824923</v>
      </c>
      <c r="R90" s="291">
        <f t="shared" si="120"/>
        <v>282791071</v>
      </c>
      <c r="S90" s="290">
        <v>0</v>
      </c>
      <c r="T90" s="290">
        <v>0</v>
      </c>
      <c r="U90" s="292">
        <v>26177755</v>
      </c>
      <c r="V90" s="292">
        <f t="shared" si="121"/>
        <v>26177755</v>
      </c>
      <c r="W90" s="290">
        <v>0</v>
      </c>
      <c r="X90" s="290">
        <v>0</v>
      </c>
      <c r="Y90" s="292">
        <v>28248660</v>
      </c>
      <c r="Z90" s="292">
        <f t="shared" si="122"/>
        <v>28248660</v>
      </c>
      <c r="AA90" s="290">
        <v>0</v>
      </c>
      <c r="AB90" s="290">
        <v>0</v>
      </c>
      <c r="AC90" s="290">
        <v>0</v>
      </c>
      <c r="AD90" s="292">
        <f t="shared" si="123"/>
        <v>0</v>
      </c>
      <c r="AE90" s="292">
        <v>295720</v>
      </c>
      <c r="AF90" s="290">
        <v>0</v>
      </c>
      <c r="AG90" s="292">
        <f t="shared" si="124"/>
        <v>295720</v>
      </c>
      <c r="AH90" s="292">
        <v>0</v>
      </c>
      <c r="AI90" s="292">
        <v>0</v>
      </c>
      <c r="AJ90" s="292">
        <f t="shared" si="125"/>
        <v>0</v>
      </c>
      <c r="AK90" s="292">
        <f t="shared" ref="AK90:AK99" si="143">AK89+B90</f>
        <v>383865071</v>
      </c>
      <c r="AL90" s="292">
        <f t="shared" si="141"/>
        <v>0</v>
      </c>
      <c r="AM90" s="292">
        <f t="shared" si="141"/>
        <v>137268297</v>
      </c>
      <c r="AN90" s="292">
        <f t="shared" ref="AN90:AN99" si="144">SUM(AK90:AM90)</f>
        <v>521133368</v>
      </c>
      <c r="AO90" s="292">
        <f t="shared" ref="AO90:AO99" si="145">AO89+F90</f>
        <v>92131102</v>
      </c>
      <c r="AP90" s="292">
        <f t="shared" si="142"/>
        <v>79835846</v>
      </c>
      <c r="AQ90" s="292">
        <f t="shared" si="142"/>
        <v>0</v>
      </c>
      <c r="AR90" s="292">
        <f t="shared" ref="AR90:AR99" si="146">SUM(AO90:AQ90)</f>
        <v>171966948</v>
      </c>
      <c r="AS90" s="292">
        <f t="shared" ref="AS90:AS99" si="147">AS89+J90</f>
        <v>937244</v>
      </c>
      <c r="AT90" s="292">
        <f t="shared" ref="AT90:AT99" si="148">AT89+AH90</f>
        <v>0</v>
      </c>
      <c r="AU90" s="292">
        <f t="shared" ref="AU90:AU99" si="149">AU89+K90</f>
        <v>0</v>
      </c>
      <c r="AV90" s="292">
        <f t="shared" ref="AV90:AV99" si="150">SUM(AS90:AU90)</f>
        <v>937244</v>
      </c>
      <c r="AW90" s="292">
        <f t="shared" ref="AW90:AW99" si="151">AW89+M90</f>
        <v>0</v>
      </c>
      <c r="AX90" s="292">
        <f t="shared" ref="AX90:AX99" si="152">AW90</f>
        <v>0</v>
      </c>
      <c r="AY90" s="292">
        <f t="shared" ref="AY90:AY99" si="153">AK90+AO90+AS90+AW90</f>
        <v>476933417</v>
      </c>
      <c r="AZ90" s="292">
        <f t="shared" ref="AZ90:BA99" si="154">AL90+AP90+AT90</f>
        <v>79835846</v>
      </c>
      <c r="BA90" s="292">
        <f t="shared" si="154"/>
        <v>137268297</v>
      </c>
      <c r="BB90" s="292">
        <f t="shared" ref="BB90:BB99" si="155">SUM(AY90:BA90)</f>
        <v>694037560</v>
      </c>
      <c r="BC90" s="83">
        <f t="shared" si="77"/>
        <v>6.70637700239054E-2</v>
      </c>
      <c r="BD90" s="293"/>
      <c r="BE90" s="5">
        <f>BB90/'Monthly D4 Gallon Data'!AX88</f>
        <v>1.5451831151509621</v>
      </c>
    </row>
    <row r="91" spans="1:57" s="294" customFormat="1" ht="12.75">
      <c r="A91" s="170">
        <v>42826</v>
      </c>
      <c r="B91" s="290">
        <v>186488747</v>
      </c>
      <c r="C91" s="290">
        <v>0</v>
      </c>
      <c r="D91" s="290">
        <v>31281427</v>
      </c>
      <c r="E91" s="291">
        <f t="shared" si="108"/>
        <v>217770174</v>
      </c>
      <c r="F91" s="290">
        <f t="shared" si="113"/>
        <v>34115887</v>
      </c>
      <c r="G91" s="290">
        <f t="shared" si="114"/>
        <v>30047448</v>
      </c>
      <c r="H91" s="290">
        <f t="shared" si="115"/>
        <v>0</v>
      </c>
      <c r="I91" s="291">
        <f t="shared" si="109"/>
        <v>64163335</v>
      </c>
      <c r="J91" s="290">
        <f t="shared" si="116"/>
        <v>0</v>
      </c>
      <c r="K91" s="290">
        <v>0</v>
      </c>
      <c r="L91" s="291">
        <f t="shared" si="110"/>
        <v>0</v>
      </c>
      <c r="M91" s="290">
        <f t="shared" si="117"/>
        <v>0</v>
      </c>
      <c r="N91" s="291">
        <f t="shared" si="118"/>
        <v>0</v>
      </c>
      <c r="O91" s="291">
        <f t="shared" si="111"/>
        <v>220604634</v>
      </c>
      <c r="P91" s="291">
        <f t="shared" si="119"/>
        <v>30047448</v>
      </c>
      <c r="Q91" s="291">
        <f t="shared" si="112"/>
        <v>31281427</v>
      </c>
      <c r="R91" s="291">
        <f t="shared" si="120"/>
        <v>281933509</v>
      </c>
      <c r="S91" s="290">
        <v>0</v>
      </c>
      <c r="T91" s="290">
        <v>0</v>
      </c>
      <c r="U91" s="292">
        <v>34115887</v>
      </c>
      <c r="V91" s="292">
        <f t="shared" si="121"/>
        <v>34115887</v>
      </c>
      <c r="W91" s="290">
        <v>0</v>
      </c>
      <c r="X91" s="290">
        <v>0</v>
      </c>
      <c r="Y91" s="292">
        <v>30047448</v>
      </c>
      <c r="Z91" s="292">
        <f t="shared" si="122"/>
        <v>30047448</v>
      </c>
      <c r="AA91" s="290">
        <v>0</v>
      </c>
      <c r="AB91" s="290">
        <v>0</v>
      </c>
      <c r="AC91" s="290">
        <v>0</v>
      </c>
      <c r="AD91" s="292">
        <f t="shared" si="123"/>
        <v>0</v>
      </c>
      <c r="AE91" s="292">
        <v>0</v>
      </c>
      <c r="AF91" s="290">
        <v>0</v>
      </c>
      <c r="AG91" s="292">
        <f t="shared" si="124"/>
        <v>0</v>
      </c>
      <c r="AH91" s="292">
        <v>0</v>
      </c>
      <c r="AI91" s="292">
        <v>0</v>
      </c>
      <c r="AJ91" s="292">
        <f t="shared" si="125"/>
        <v>0</v>
      </c>
      <c r="AK91" s="292">
        <f t="shared" si="143"/>
        <v>570353818</v>
      </c>
      <c r="AL91" s="292">
        <f t="shared" si="141"/>
        <v>0</v>
      </c>
      <c r="AM91" s="292">
        <f t="shared" si="141"/>
        <v>168549724</v>
      </c>
      <c r="AN91" s="292">
        <f t="shared" si="144"/>
        <v>738903542</v>
      </c>
      <c r="AO91" s="292">
        <f t="shared" si="145"/>
        <v>126246989</v>
      </c>
      <c r="AP91" s="292">
        <f t="shared" si="142"/>
        <v>109883294</v>
      </c>
      <c r="AQ91" s="292">
        <f t="shared" si="142"/>
        <v>0</v>
      </c>
      <c r="AR91" s="292">
        <f t="shared" si="146"/>
        <v>236130283</v>
      </c>
      <c r="AS91" s="292">
        <f t="shared" si="147"/>
        <v>937244</v>
      </c>
      <c r="AT91" s="292">
        <f t="shared" si="148"/>
        <v>0</v>
      </c>
      <c r="AU91" s="292">
        <f t="shared" si="149"/>
        <v>0</v>
      </c>
      <c r="AV91" s="292">
        <f t="shared" si="150"/>
        <v>937244</v>
      </c>
      <c r="AW91" s="292">
        <f t="shared" si="151"/>
        <v>0</v>
      </c>
      <c r="AX91" s="292">
        <f t="shared" si="152"/>
        <v>0</v>
      </c>
      <c r="AY91" s="292">
        <f t="shared" si="153"/>
        <v>697538051</v>
      </c>
      <c r="AZ91" s="292">
        <f t="shared" si="154"/>
        <v>109883294</v>
      </c>
      <c r="BA91" s="292">
        <f t="shared" si="154"/>
        <v>168549724</v>
      </c>
      <c r="BB91" s="292">
        <f t="shared" si="155"/>
        <v>975971069</v>
      </c>
      <c r="BC91" s="83">
        <f t="shared" si="77"/>
        <v>2.7331795807832959E-2</v>
      </c>
      <c r="BD91" s="293"/>
      <c r="BE91" s="5">
        <f>BB91/'Monthly D4 Gallon Data'!AX89</f>
        <v>1.5440539293780087</v>
      </c>
    </row>
    <row r="92" spans="1:57" s="294" customFormat="1" ht="12.75">
      <c r="A92" s="170">
        <v>42856</v>
      </c>
      <c r="B92" s="290">
        <v>220613882</v>
      </c>
      <c r="C92" s="290">
        <v>0</v>
      </c>
      <c r="D92" s="290">
        <v>58547517</v>
      </c>
      <c r="E92" s="291">
        <f t="shared" si="108"/>
        <v>279161399</v>
      </c>
      <c r="F92" s="290">
        <f t="shared" si="113"/>
        <v>40843230</v>
      </c>
      <c r="G92" s="290">
        <f t="shared" si="114"/>
        <v>35443648</v>
      </c>
      <c r="H92" s="290">
        <f t="shared" si="115"/>
        <v>0</v>
      </c>
      <c r="I92" s="291">
        <f t="shared" si="109"/>
        <v>76286878</v>
      </c>
      <c r="J92" s="290">
        <f t="shared" si="116"/>
        <v>215176</v>
      </c>
      <c r="K92" s="290">
        <v>0</v>
      </c>
      <c r="L92" s="291">
        <f t="shared" si="110"/>
        <v>215176</v>
      </c>
      <c r="M92" s="290">
        <f t="shared" si="117"/>
        <v>0</v>
      </c>
      <c r="N92" s="291">
        <f t="shared" si="118"/>
        <v>0</v>
      </c>
      <c r="O92" s="291">
        <f t="shared" si="111"/>
        <v>261672288</v>
      </c>
      <c r="P92" s="291">
        <f t="shared" si="119"/>
        <v>35443648</v>
      </c>
      <c r="Q92" s="291">
        <f t="shared" si="112"/>
        <v>58547517</v>
      </c>
      <c r="R92" s="291">
        <f t="shared" si="120"/>
        <v>355663453</v>
      </c>
      <c r="S92" s="290">
        <v>0</v>
      </c>
      <c r="T92" s="290">
        <v>0</v>
      </c>
      <c r="U92" s="292">
        <v>40843230</v>
      </c>
      <c r="V92" s="292">
        <f t="shared" si="121"/>
        <v>40843230</v>
      </c>
      <c r="W92" s="290">
        <v>0</v>
      </c>
      <c r="X92" s="290">
        <v>0</v>
      </c>
      <c r="Y92" s="292">
        <v>35443648</v>
      </c>
      <c r="Z92" s="292">
        <f t="shared" si="122"/>
        <v>35443648</v>
      </c>
      <c r="AA92" s="290">
        <v>0</v>
      </c>
      <c r="AB92" s="290">
        <v>0</v>
      </c>
      <c r="AC92" s="290">
        <v>0</v>
      </c>
      <c r="AD92" s="292">
        <f t="shared" si="123"/>
        <v>0</v>
      </c>
      <c r="AE92" s="292">
        <v>215176</v>
      </c>
      <c r="AF92" s="290">
        <v>0</v>
      </c>
      <c r="AG92" s="292">
        <f t="shared" si="124"/>
        <v>215176</v>
      </c>
      <c r="AH92" s="292">
        <v>0</v>
      </c>
      <c r="AI92" s="292">
        <v>0</v>
      </c>
      <c r="AJ92" s="292">
        <f t="shared" si="125"/>
        <v>0</v>
      </c>
      <c r="AK92" s="292">
        <f t="shared" si="143"/>
        <v>790967700</v>
      </c>
      <c r="AL92" s="292">
        <f t="shared" si="141"/>
        <v>0</v>
      </c>
      <c r="AM92" s="292">
        <f t="shared" si="141"/>
        <v>227097241</v>
      </c>
      <c r="AN92" s="292">
        <f t="shared" si="144"/>
        <v>1018064941</v>
      </c>
      <c r="AO92" s="292">
        <f t="shared" si="145"/>
        <v>167090219</v>
      </c>
      <c r="AP92" s="292">
        <f t="shared" si="142"/>
        <v>145326942</v>
      </c>
      <c r="AQ92" s="292">
        <f t="shared" si="142"/>
        <v>0</v>
      </c>
      <c r="AR92" s="292">
        <f t="shared" si="146"/>
        <v>312417161</v>
      </c>
      <c r="AS92" s="292">
        <f t="shared" si="147"/>
        <v>1152420</v>
      </c>
      <c r="AT92" s="292">
        <f t="shared" si="148"/>
        <v>0</v>
      </c>
      <c r="AU92" s="292">
        <f t="shared" si="149"/>
        <v>0</v>
      </c>
      <c r="AV92" s="292">
        <f t="shared" si="150"/>
        <v>1152420</v>
      </c>
      <c r="AW92" s="292">
        <f t="shared" si="151"/>
        <v>0</v>
      </c>
      <c r="AX92" s="292">
        <f t="shared" si="152"/>
        <v>0</v>
      </c>
      <c r="AY92" s="292">
        <f t="shared" si="153"/>
        <v>959210339</v>
      </c>
      <c r="AZ92" s="292">
        <f t="shared" si="154"/>
        <v>145326942</v>
      </c>
      <c r="BA92" s="292">
        <f t="shared" si="154"/>
        <v>227097241</v>
      </c>
      <c r="BB92" s="292">
        <f t="shared" si="155"/>
        <v>1331634522</v>
      </c>
      <c r="BC92" s="83">
        <f t="shared" si="77"/>
        <v>5.1861590941513658E-2</v>
      </c>
      <c r="BD92" s="293"/>
      <c r="BE92" s="5">
        <f>BB92/'Monthly D4 Gallon Data'!AX90</f>
        <v>1.5426750890109777</v>
      </c>
    </row>
    <row r="93" spans="1:57" s="294" customFormat="1" ht="12.75">
      <c r="A93" s="170">
        <v>42887</v>
      </c>
      <c r="B93" s="290">
        <v>217519524</v>
      </c>
      <c r="C93" s="290">
        <v>0</v>
      </c>
      <c r="D93" s="290">
        <v>125644344</v>
      </c>
      <c r="E93" s="291">
        <f t="shared" si="108"/>
        <v>343163868</v>
      </c>
      <c r="F93" s="290">
        <f t="shared" si="113"/>
        <v>29537654</v>
      </c>
      <c r="G93" s="290">
        <f t="shared" si="114"/>
        <v>28217747</v>
      </c>
      <c r="H93" s="290">
        <f t="shared" si="115"/>
        <v>0</v>
      </c>
      <c r="I93" s="291">
        <f t="shared" si="109"/>
        <v>57755401</v>
      </c>
      <c r="J93" s="290">
        <f t="shared" si="116"/>
        <v>203954</v>
      </c>
      <c r="K93" s="290">
        <v>0</v>
      </c>
      <c r="L93" s="291">
        <f t="shared" si="110"/>
        <v>203954</v>
      </c>
      <c r="M93" s="290">
        <f t="shared" si="117"/>
        <v>0</v>
      </c>
      <c r="N93" s="291">
        <f t="shared" si="118"/>
        <v>0</v>
      </c>
      <c r="O93" s="291">
        <f t="shared" si="111"/>
        <v>247261132</v>
      </c>
      <c r="P93" s="291">
        <f t="shared" si="119"/>
        <v>28217747</v>
      </c>
      <c r="Q93" s="291">
        <f t="shared" si="112"/>
        <v>125644344</v>
      </c>
      <c r="R93" s="291">
        <f t="shared" si="120"/>
        <v>401123223</v>
      </c>
      <c r="S93" s="290">
        <v>0</v>
      </c>
      <c r="T93" s="290">
        <v>0</v>
      </c>
      <c r="U93" s="292">
        <v>29537654</v>
      </c>
      <c r="V93" s="292">
        <f t="shared" si="121"/>
        <v>29537654</v>
      </c>
      <c r="W93" s="290">
        <v>0</v>
      </c>
      <c r="X93" s="290">
        <v>0</v>
      </c>
      <c r="Y93" s="292">
        <v>28217747</v>
      </c>
      <c r="Z93" s="292">
        <f t="shared" si="122"/>
        <v>28217747</v>
      </c>
      <c r="AA93" s="290">
        <v>0</v>
      </c>
      <c r="AB93" s="290">
        <v>0</v>
      </c>
      <c r="AC93" s="290">
        <v>0</v>
      </c>
      <c r="AD93" s="292">
        <f t="shared" si="123"/>
        <v>0</v>
      </c>
      <c r="AE93" s="292">
        <v>203954</v>
      </c>
      <c r="AF93" s="290">
        <v>0</v>
      </c>
      <c r="AG93" s="292">
        <f t="shared" si="124"/>
        <v>203954</v>
      </c>
      <c r="AH93" s="292">
        <v>0</v>
      </c>
      <c r="AI93" s="292">
        <v>0</v>
      </c>
      <c r="AJ93" s="292">
        <f t="shared" si="125"/>
        <v>0</v>
      </c>
      <c r="AK93" s="292">
        <f t="shared" si="143"/>
        <v>1008487224</v>
      </c>
      <c r="AL93" s="292">
        <f t="shared" si="141"/>
        <v>0</v>
      </c>
      <c r="AM93" s="292">
        <f t="shared" si="141"/>
        <v>352741585</v>
      </c>
      <c r="AN93" s="292">
        <f t="shared" si="144"/>
        <v>1361228809</v>
      </c>
      <c r="AO93" s="292">
        <f t="shared" si="145"/>
        <v>196627873</v>
      </c>
      <c r="AP93" s="292">
        <f t="shared" si="142"/>
        <v>173544689</v>
      </c>
      <c r="AQ93" s="292">
        <f t="shared" si="142"/>
        <v>0</v>
      </c>
      <c r="AR93" s="292">
        <f t="shared" si="146"/>
        <v>370172562</v>
      </c>
      <c r="AS93" s="292">
        <f t="shared" si="147"/>
        <v>1356374</v>
      </c>
      <c r="AT93" s="292">
        <f t="shared" si="148"/>
        <v>0</v>
      </c>
      <c r="AU93" s="292">
        <f t="shared" si="149"/>
        <v>0</v>
      </c>
      <c r="AV93" s="292">
        <f t="shared" si="150"/>
        <v>1356374</v>
      </c>
      <c r="AW93" s="292">
        <f t="shared" si="151"/>
        <v>0</v>
      </c>
      <c r="AX93" s="292">
        <f t="shared" si="152"/>
        <v>0</v>
      </c>
      <c r="AY93" s="292">
        <f t="shared" si="153"/>
        <v>1206471471</v>
      </c>
      <c r="AZ93" s="292">
        <f t="shared" si="154"/>
        <v>173544689</v>
      </c>
      <c r="BA93" s="292">
        <f t="shared" si="154"/>
        <v>352741585</v>
      </c>
      <c r="BB93" s="292">
        <f t="shared" si="155"/>
        <v>1732757745</v>
      </c>
      <c r="BC93" s="83">
        <f t="shared" si="77"/>
        <v>5.7325545931839361E-2</v>
      </c>
      <c r="BD93" s="293"/>
      <c r="BE93" s="5">
        <f>BB93/'Monthly D4 Gallon Data'!AX91</f>
        <v>1.5387609659384458</v>
      </c>
    </row>
    <row r="94" spans="1:57" s="294" customFormat="1" ht="12.75">
      <c r="A94" s="170">
        <v>42917</v>
      </c>
      <c r="B94" s="290">
        <v>225438450</v>
      </c>
      <c r="C94" s="290">
        <v>0</v>
      </c>
      <c r="D94" s="290">
        <v>81946351</v>
      </c>
      <c r="E94" s="291">
        <f t="shared" si="108"/>
        <v>307384801</v>
      </c>
      <c r="F94" s="290">
        <f t="shared" si="113"/>
        <v>32530225</v>
      </c>
      <c r="G94" s="290">
        <f t="shared" si="114"/>
        <v>31600252</v>
      </c>
      <c r="H94" s="290">
        <f t="shared" si="115"/>
        <v>0</v>
      </c>
      <c r="I94" s="291">
        <f t="shared" si="109"/>
        <v>64130477</v>
      </c>
      <c r="J94" s="290">
        <f t="shared" si="116"/>
        <v>193058</v>
      </c>
      <c r="K94" s="290">
        <v>0</v>
      </c>
      <c r="L94" s="291">
        <f t="shared" si="110"/>
        <v>193058</v>
      </c>
      <c r="M94" s="290">
        <f t="shared" si="117"/>
        <v>0</v>
      </c>
      <c r="N94" s="291">
        <f t="shared" si="118"/>
        <v>0</v>
      </c>
      <c r="O94" s="291">
        <f t="shared" si="111"/>
        <v>258161733</v>
      </c>
      <c r="P94" s="291">
        <f t="shared" si="119"/>
        <v>31600252</v>
      </c>
      <c r="Q94" s="291">
        <f t="shared" si="112"/>
        <v>81946351</v>
      </c>
      <c r="R94" s="291">
        <f t="shared" si="120"/>
        <v>371708336</v>
      </c>
      <c r="S94" s="290">
        <v>0</v>
      </c>
      <c r="T94" s="290">
        <v>0</v>
      </c>
      <c r="U94" s="292">
        <v>32530225</v>
      </c>
      <c r="V94" s="292">
        <f t="shared" si="121"/>
        <v>32530225</v>
      </c>
      <c r="W94" s="290">
        <v>0</v>
      </c>
      <c r="X94" s="290">
        <v>0</v>
      </c>
      <c r="Y94" s="292">
        <v>31600252</v>
      </c>
      <c r="Z94" s="292">
        <f t="shared" si="122"/>
        <v>31600252</v>
      </c>
      <c r="AA94" s="290">
        <v>0</v>
      </c>
      <c r="AB94" s="290">
        <v>0</v>
      </c>
      <c r="AC94" s="290">
        <v>0</v>
      </c>
      <c r="AD94" s="292">
        <f t="shared" si="123"/>
        <v>0</v>
      </c>
      <c r="AE94" s="292">
        <v>193058</v>
      </c>
      <c r="AF94" s="290">
        <v>0</v>
      </c>
      <c r="AG94" s="292">
        <f t="shared" si="124"/>
        <v>193058</v>
      </c>
      <c r="AH94" s="292">
        <v>0</v>
      </c>
      <c r="AI94" s="292">
        <v>0</v>
      </c>
      <c r="AJ94" s="292">
        <f t="shared" si="125"/>
        <v>0</v>
      </c>
      <c r="AK94" s="292">
        <f t="shared" si="143"/>
        <v>1233925674</v>
      </c>
      <c r="AL94" s="292">
        <f t="shared" si="141"/>
        <v>0</v>
      </c>
      <c r="AM94" s="292">
        <f t="shared" si="141"/>
        <v>434687936</v>
      </c>
      <c r="AN94" s="292">
        <f t="shared" si="144"/>
        <v>1668613610</v>
      </c>
      <c r="AO94" s="292">
        <f t="shared" si="145"/>
        <v>229158098</v>
      </c>
      <c r="AP94" s="292">
        <f t="shared" si="142"/>
        <v>205144941</v>
      </c>
      <c r="AQ94" s="292">
        <f t="shared" si="142"/>
        <v>0</v>
      </c>
      <c r="AR94" s="292">
        <f t="shared" si="146"/>
        <v>434303039</v>
      </c>
      <c r="AS94" s="292">
        <f t="shared" si="147"/>
        <v>1549432</v>
      </c>
      <c r="AT94" s="292">
        <f t="shared" si="148"/>
        <v>0</v>
      </c>
      <c r="AU94" s="292">
        <f t="shared" si="149"/>
        <v>0</v>
      </c>
      <c r="AV94" s="292">
        <f t="shared" si="150"/>
        <v>1549432</v>
      </c>
      <c r="AW94" s="292">
        <f t="shared" si="151"/>
        <v>0</v>
      </c>
      <c r="AX94" s="292">
        <f t="shared" si="152"/>
        <v>0</v>
      </c>
      <c r="AY94" s="292">
        <f t="shared" si="153"/>
        <v>1464633204</v>
      </c>
      <c r="AZ94" s="292">
        <f t="shared" si="154"/>
        <v>205144941</v>
      </c>
      <c r="BA94" s="292">
        <f t="shared" si="154"/>
        <v>434687936</v>
      </c>
      <c r="BB94" s="292">
        <f t="shared" si="155"/>
        <v>2104466081</v>
      </c>
      <c r="BC94" s="83">
        <f t="shared" si="77"/>
        <v>7.78735697332813E-2</v>
      </c>
      <c r="BD94" s="293"/>
      <c r="BE94" s="5">
        <f>BB94/'Monthly D4 Gallon Data'!AX92</f>
        <v>1.5374094651582224</v>
      </c>
    </row>
    <row r="95" spans="1:57" s="294" customFormat="1" ht="12.75">
      <c r="A95" s="170">
        <v>42948</v>
      </c>
      <c r="B95" s="290">
        <v>236308169</v>
      </c>
      <c r="C95" s="290">
        <v>0</v>
      </c>
      <c r="D95" s="290">
        <v>78061682</v>
      </c>
      <c r="E95" s="291">
        <f t="shared" si="108"/>
        <v>314369851</v>
      </c>
      <c r="F95" s="290">
        <f t="shared" si="113"/>
        <v>41194720</v>
      </c>
      <c r="G95" s="290">
        <f t="shared" si="114"/>
        <v>24798141</v>
      </c>
      <c r="H95" s="290">
        <f t="shared" si="115"/>
        <v>0</v>
      </c>
      <c r="I95" s="291">
        <f t="shared" si="109"/>
        <v>65992861</v>
      </c>
      <c r="J95" s="290">
        <f t="shared" si="116"/>
        <v>278680</v>
      </c>
      <c r="K95" s="290">
        <v>0</v>
      </c>
      <c r="L95" s="291">
        <f t="shared" si="110"/>
        <v>278680</v>
      </c>
      <c r="M95" s="290">
        <f t="shared" si="117"/>
        <v>0</v>
      </c>
      <c r="N95" s="291">
        <f t="shared" si="118"/>
        <v>0</v>
      </c>
      <c r="O95" s="291">
        <f t="shared" si="111"/>
        <v>277781569</v>
      </c>
      <c r="P95" s="291">
        <f t="shared" si="119"/>
        <v>24798141</v>
      </c>
      <c r="Q95" s="291">
        <f t="shared" si="112"/>
        <v>78061682</v>
      </c>
      <c r="R95" s="291">
        <f t="shared" si="120"/>
        <v>380641392</v>
      </c>
      <c r="S95" s="290">
        <v>0</v>
      </c>
      <c r="T95" s="290">
        <v>0</v>
      </c>
      <c r="U95" s="292">
        <v>41194720</v>
      </c>
      <c r="V95" s="292">
        <f t="shared" si="121"/>
        <v>41194720</v>
      </c>
      <c r="W95" s="290">
        <v>0</v>
      </c>
      <c r="X95" s="290">
        <v>0</v>
      </c>
      <c r="Y95" s="292">
        <v>24798141</v>
      </c>
      <c r="Z95" s="292">
        <f t="shared" si="122"/>
        <v>24798141</v>
      </c>
      <c r="AA95" s="290">
        <v>0</v>
      </c>
      <c r="AB95" s="290">
        <v>0</v>
      </c>
      <c r="AC95" s="290">
        <v>0</v>
      </c>
      <c r="AD95" s="292">
        <f t="shared" si="123"/>
        <v>0</v>
      </c>
      <c r="AE95" s="292">
        <v>278680</v>
      </c>
      <c r="AF95" s="290">
        <v>0</v>
      </c>
      <c r="AG95" s="292">
        <f t="shared" si="124"/>
        <v>278680</v>
      </c>
      <c r="AH95" s="292">
        <v>0</v>
      </c>
      <c r="AI95" s="292">
        <v>0</v>
      </c>
      <c r="AJ95" s="292">
        <f t="shared" si="125"/>
        <v>0</v>
      </c>
      <c r="AK95" s="292">
        <f t="shared" si="143"/>
        <v>1470233843</v>
      </c>
      <c r="AL95" s="292">
        <f t="shared" si="141"/>
        <v>0</v>
      </c>
      <c r="AM95" s="292">
        <f t="shared" si="141"/>
        <v>512749618</v>
      </c>
      <c r="AN95" s="292">
        <f t="shared" si="144"/>
        <v>1982983461</v>
      </c>
      <c r="AO95" s="292">
        <f t="shared" si="145"/>
        <v>270352818</v>
      </c>
      <c r="AP95" s="292">
        <f t="shared" si="142"/>
        <v>229943082</v>
      </c>
      <c r="AQ95" s="292">
        <f t="shared" si="142"/>
        <v>0</v>
      </c>
      <c r="AR95" s="292">
        <f t="shared" si="146"/>
        <v>500295900</v>
      </c>
      <c r="AS95" s="292">
        <f t="shared" si="147"/>
        <v>1828112</v>
      </c>
      <c r="AT95" s="292">
        <f t="shared" si="148"/>
        <v>0</v>
      </c>
      <c r="AU95" s="292">
        <f t="shared" si="149"/>
        <v>0</v>
      </c>
      <c r="AV95" s="292">
        <f t="shared" si="150"/>
        <v>1828112</v>
      </c>
      <c r="AW95" s="292">
        <f t="shared" si="151"/>
        <v>0</v>
      </c>
      <c r="AX95" s="292">
        <f t="shared" si="152"/>
        <v>0</v>
      </c>
      <c r="AY95" s="292">
        <f t="shared" si="153"/>
        <v>1742414773</v>
      </c>
      <c r="AZ95" s="292">
        <f t="shared" si="154"/>
        <v>229943082</v>
      </c>
      <c r="BA95" s="292">
        <f t="shared" si="154"/>
        <v>512749618</v>
      </c>
      <c r="BB95" s="292">
        <f t="shared" si="155"/>
        <v>2485107473</v>
      </c>
      <c r="BC95" s="83">
        <f t="shared" si="77"/>
        <v>5.5343478862851958E-2</v>
      </c>
      <c r="BD95" s="293"/>
      <c r="BE95" s="5">
        <f>BB95/'Monthly D4 Gallon Data'!AX93</f>
        <v>1.5364731484936736</v>
      </c>
    </row>
    <row r="96" spans="1:57" s="294" customFormat="1" ht="12.75">
      <c r="A96" s="170">
        <v>42979</v>
      </c>
      <c r="B96" s="290">
        <v>222502704</v>
      </c>
      <c r="C96" s="290">
        <v>0</v>
      </c>
      <c r="D96" s="290">
        <v>41846019</v>
      </c>
      <c r="E96" s="291">
        <f t="shared" si="108"/>
        <v>264348723</v>
      </c>
      <c r="F96" s="290">
        <f t="shared" si="113"/>
        <v>36692735</v>
      </c>
      <c r="G96" s="290">
        <f t="shared" si="114"/>
        <v>28656690</v>
      </c>
      <c r="H96" s="290">
        <f t="shared" si="115"/>
        <v>1287334</v>
      </c>
      <c r="I96" s="291">
        <f t="shared" si="109"/>
        <v>66636759</v>
      </c>
      <c r="J96" s="290">
        <f t="shared" si="116"/>
        <v>220723</v>
      </c>
      <c r="K96" s="290">
        <v>0</v>
      </c>
      <c r="L96" s="291">
        <f t="shared" si="110"/>
        <v>220723</v>
      </c>
      <c r="M96" s="290">
        <f t="shared" si="117"/>
        <v>0</v>
      </c>
      <c r="N96" s="291">
        <f t="shared" si="118"/>
        <v>0</v>
      </c>
      <c r="O96" s="291">
        <f t="shared" si="111"/>
        <v>259416162</v>
      </c>
      <c r="P96" s="291">
        <f t="shared" si="119"/>
        <v>28656690</v>
      </c>
      <c r="Q96" s="291">
        <f t="shared" si="112"/>
        <v>43133353</v>
      </c>
      <c r="R96" s="291">
        <f t="shared" si="120"/>
        <v>331206205</v>
      </c>
      <c r="S96" s="290">
        <v>0</v>
      </c>
      <c r="T96" s="290">
        <v>0</v>
      </c>
      <c r="U96" s="292">
        <v>36692735</v>
      </c>
      <c r="V96" s="292">
        <f t="shared" si="121"/>
        <v>36692735</v>
      </c>
      <c r="W96" s="290">
        <v>0</v>
      </c>
      <c r="X96" s="290">
        <v>0</v>
      </c>
      <c r="Y96" s="292">
        <v>28656690</v>
      </c>
      <c r="Z96" s="292">
        <f t="shared" si="122"/>
        <v>28656690</v>
      </c>
      <c r="AA96" s="290">
        <v>0</v>
      </c>
      <c r="AB96" s="290">
        <v>0</v>
      </c>
      <c r="AC96" s="290">
        <v>1287334</v>
      </c>
      <c r="AD96" s="292">
        <f t="shared" si="123"/>
        <v>1287334</v>
      </c>
      <c r="AE96" s="292">
        <v>220723</v>
      </c>
      <c r="AF96" s="290">
        <v>0</v>
      </c>
      <c r="AG96" s="292">
        <f t="shared" si="124"/>
        <v>220723</v>
      </c>
      <c r="AH96" s="292">
        <v>0</v>
      </c>
      <c r="AI96" s="292">
        <v>0</v>
      </c>
      <c r="AJ96" s="292">
        <f t="shared" si="125"/>
        <v>0</v>
      </c>
      <c r="AK96" s="292">
        <f t="shared" si="143"/>
        <v>1692736547</v>
      </c>
      <c r="AL96" s="292">
        <f t="shared" si="141"/>
        <v>0</v>
      </c>
      <c r="AM96" s="292">
        <f t="shared" si="141"/>
        <v>554595637</v>
      </c>
      <c r="AN96" s="292">
        <f t="shared" si="144"/>
        <v>2247332184</v>
      </c>
      <c r="AO96" s="292">
        <f t="shared" si="145"/>
        <v>307045553</v>
      </c>
      <c r="AP96" s="292">
        <f t="shared" si="142"/>
        <v>258599772</v>
      </c>
      <c r="AQ96" s="292">
        <f t="shared" si="142"/>
        <v>1287334</v>
      </c>
      <c r="AR96" s="292">
        <f t="shared" si="146"/>
        <v>566932659</v>
      </c>
      <c r="AS96" s="292">
        <f t="shared" si="147"/>
        <v>2048835</v>
      </c>
      <c r="AT96" s="292">
        <f t="shared" si="148"/>
        <v>0</v>
      </c>
      <c r="AU96" s="292">
        <f t="shared" si="149"/>
        <v>0</v>
      </c>
      <c r="AV96" s="292">
        <f t="shared" si="150"/>
        <v>2048835</v>
      </c>
      <c r="AW96" s="292">
        <f t="shared" si="151"/>
        <v>0</v>
      </c>
      <c r="AX96" s="292">
        <f t="shared" si="152"/>
        <v>0</v>
      </c>
      <c r="AY96" s="292">
        <f t="shared" si="153"/>
        <v>2001830935</v>
      </c>
      <c r="AZ96" s="292">
        <f t="shared" si="154"/>
        <v>258599772</v>
      </c>
      <c r="BA96" s="292">
        <f t="shared" si="154"/>
        <v>555882971</v>
      </c>
      <c r="BB96" s="292">
        <f t="shared" si="155"/>
        <v>2816313678</v>
      </c>
      <c r="BC96" s="83">
        <f t="shared" si="77"/>
        <v>2.4159537783172036E-2</v>
      </c>
      <c r="BD96" s="293"/>
      <c r="BE96" s="5">
        <f>BB96/'Monthly D4 Gallon Data'!AX94</f>
        <v>1.5364698876853713</v>
      </c>
    </row>
    <row r="97" spans="1:57" s="294" customFormat="1" ht="12.75">
      <c r="A97" s="170">
        <v>43009</v>
      </c>
      <c r="B97" s="290">
        <v>224025048</v>
      </c>
      <c r="C97" s="290">
        <v>0</v>
      </c>
      <c r="D97" s="290">
        <v>55028566</v>
      </c>
      <c r="E97" s="291">
        <f t="shared" si="108"/>
        <v>279053614</v>
      </c>
      <c r="F97" s="290">
        <f t="shared" si="113"/>
        <v>42536897</v>
      </c>
      <c r="G97" s="290">
        <f t="shared" si="114"/>
        <v>27697620</v>
      </c>
      <c r="H97" s="290">
        <f t="shared" si="115"/>
        <v>0</v>
      </c>
      <c r="I97" s="291">
        <f t="shared" si="109"/>
        <v>70234517</v>
      </c>
      <c r="J97" s="290">
        <f t="shared" si="116"/>
        <v>256435</v>
      </c>
      <c r="K97" s="290">
        <v>0</v>
      </c>
      <c r="L97" s="291">
        <f t="shared" si="110"/>
        <v>256435</v>
      </c>
      <c r="M97" s="290">
        <f t="shared" si="117"/>
        <v>0</v>
      </c>
      <c r="N97" s="291">
        <f t="shared" si="118"/>
        <v>0</v>
      </c>
      <c r="O97" s="291">
        <f t="shared" si="111"/>
        <v>266818380</v>
      </c>
      <c r="P97" s="291">
        <f t="shared" si="119"/>
        <v>27697620</v>
      </c>
      <c r="Q97" s="291">
        <f t="shared" si="112"/>
        <v>55028566</v>
      </c>
      <c r="R97" s="291">
        <f t="shared" si="120"/>
        <v>349544566</v>
      </c>
      <c r="S97" s="290">
        <v>0</v>
      </c>
      <c r="T97" s="290">
        <v>0</v>
      </c>
      <c r="U97" s="292">
        <v>42536897</v>
      </c>
      <c r="V97" s="292">
        <f t="shared" si="121"/>
        <v>42536897</v>
      </c>
      <c r="W97" s="290">
        <v>0</v>
      </c>
      <c r="X97" s="290">
        <v>0</v>
      </c>
      <c r="Y97" s="292">
        <v>27697620</v>
      </c>
      <c r="Z97" s="292">
        <f t="shared" si="122"/>
        <v>27697620</v>
      </c>
      <c r="AA97" s="290">
        <v>0</v>
      </c>
      <c r="AB97" s="290">
        <v>0</v>
      </c>
      <c r="AC97" s="290">
        <v>0</v>
      </c>
      <c r="AD97" s="292">
        <f t="shared" si="123"/>
        <v>0</v>
      </c>
      <c r="AE97" s="292">
        <v>256435</v>
      </c>
      <c r="AF97" s="290">
        <v>0</v>
      </c>
      <c r="AG97" s="292">
        <f t="shared" si="124"/>
        <v>256435</v>
      </c>
      <c r="AH97" s="292">
        <v>0</v>
      </c>
      <c r="AI97" s="292">
        <v>0</v>
      </c>
      <c r="AJ97" s="292">
        <f t="shared" si="125"/>
        <v>0</v>
      </c>
      <c r="AK97" s="292">
        <f t="shared" si="143"/>
        <v>1916761595</v>
      </c>
      <c r="AL97" s="292">
        <f t="shared" si="141"/>
        <v>0</v>
      </c>
      <c r="AM97" s="292">
        <f t="shared" si="141"/>
        <v>609624203</v>
      </c>
      <c r="AN97" s="292">
        <f t="shared" si="144"/>
        <v>2526385798</v>
      </c>
      <c r="AO97" s="292">
        <f t="shared" si="145"/>
        <v>349582450</v>
      </c>
      <c r="AP97" s="292">
        <f t="shared" si="142"/>
        <v>286297392</v>
      </c>
      <c r="AQ97" s="292">
        <f t="shared" si="142"/>
        <v>1287334</v>
      </c>
      <c r="AR97" s="292">
        <f t="shared" si="146"/>
        <v>637167176</v>
      </c>
      <c r="AS97" s="292">
        <f t="shared" si="147"/>
        <v>2305270</v>
      </c>
      <c r="AT97" s="292">
        <f t="shared" si="148"/>
        <v>0</v>
      </c>
      <c r="AU97" s="292">
        <f t="shared" si="149"/>
        <v>0</v>
      </c>
      <c r="AV97" s="292">
        <f t="shared" si="150"/>
        <v>2305270</v>
      </c>
      <c r="AW97" s="292">
        <f t="shared" si="151"/>
        <v>0</v>
      </c>
      <c r="AX97" s="292">
        <f t="shared" si="152"/>
        <v>0</v>
      </c>
      <c r="AY97" s="292">
        <f t="shared" si="153"/>
        <v>2268649315</v>
      </c>
      <c r="AZ97" s="292">
        <f t="shared" si="154"/>
        <v>286297392</v>
      </c>
      <c r="BA97" s="292">
        <f t="shared" si="154"/>
        <v>610911537</v>
      </c>
      <c r="BB97" s="292">
        <f t="shared" si="155"/>
        <v>3165858244</v>
      </c>
      <c r="BC97" s="83">
        <f t="shared" si="77"/>
        <v>2.3434758427353986E-2</v>
      </c>
      <c r="BD97" s="293"/>
      <c r="BE97" s="5">
        <f>BB97/'Monthly D4 Gallon Data'!AX95</f>
        <v>1.5364626294193098</v>
      </c>
    </row>
    <row r="98" spans="1:57" s="294" customFormat="1" ht="12.75">
      <c r="A98" s="170">
        <v>43040</v>
      </c>
      <c r="B98" s="290">
        <v>221747652</v>
      </c>
      <c r="C98" s="290">
        <v>0</v>
      </c>
      <c r="D98" s="290">
        <v>36573401</v>
      </c>
      <c r="E98" s="291">
        <f t="shared" si="108"/>
        <v>258321053</v>
      </c>
      <c r="F98" s="290">
        <f t="shared" si="113"/>
        <v>38384881</v>
      </c>
      <c r="G98" s="290">
        <f t="shared" si="114"/>
        <v>19600412</v>
      </c>
      <c r="H98" s="290">
        <f t="shared" si="115"/>
        <v>0</v>
      </c>
      <c r="I98" s="291">
        <f t="shared" si="109"/>
        <v>57985293</v>
      </c>
      <c r="J98" s="290">
        <f t="shared" si="116"/>
        <v>110331</v>
      </c>
      <c r="K98" s="290">
        <v>0</v>
      </c>
      <c r="L98" s="291">
        <f t="shared" si="110"/>
        <v>110331</v>
      </c>
      <c r="M98" s="290">
        <f t="shared" si="117"/>
        <v>0</v>
      </c>
      <c r="N98" s="291">
        <f t="shared" si="118"/>
        <v>0</v>
      </c>
      <c r="O98" s="291">
        <f t="shared" si="111"/>
        <v>260242864</v>
      </c>
      <c r="P98" s="291">
        <f t="shared" si="119"/>
        <v>19600412</v>
      </c>
      <c r="Q98" s="291">
        <f t="shared" si="112"/>
        <v>36573401</v>
      </c>
      <c r="R98" s="291">
        <f t="shared" si="120"/>
        <v>316416677</v>
      </c>
      <c r="S98" s="290">
        <v>0</v>
      </c>
      <c r="T98" s="290">
        <v>0</v>
      </c>
      <c r="U98" s="292">
        <v>38384881</v>
      </c>
      <c r="V98" s="292">
        <f t="shared" si="121"/>
        <v>38384881</v>
      </c>
      <c r="W98" s="290">
        <v>0</v>
      </c>
      <c r="X98" s="290">
        <v>0</v>
      </c>
      <c r="Y98" s="292">
        <v>19600412</v>
      </c>
      <c r="Z98" s="292">
        <f t="shared" si="122"/>
        <v>19600412</v>
      </c>
      <c r="AA98" s="290">
        <v>0</v>
      </c>
      <c r="AB98" s="290">
        <v>0</v>
      </c>
      <c r="AC98" s="290">
        <v>0</v>
      </c>
      <c r="AD98" s="292">
        <f t="shared" si="123"/>
        <v>0</v>
      </c>
      <c r="AE98" s="292">
        <v>110331</v>
      </c>
      <c r="AF98" s="290">
        <v>0</v>
      </c>
      <c r="AG98" s="292">
        <f t="shared" si="124"/>
        <v>110331</v>
      </c>
      <c r="AH98" s="292">
        <v>0</v>
      </c>
      <c r="AI98" s="292">
        <v>0</v>
      </c>
      <c r="AJ98" s="292">
        <f t="shared" si="125"/>
        <v>0</v>
      </c>
      <c r="AK98" s="292">
        <f t="shared" si="143"/>
        <v>2138509247</v>
      </c>
      <c r="AL98" s="292">
        <f t="shared" si="141"/>
        <v>0</v>
      </c>
      <c r="AM98" s="292">
        <f t="shared" si="141"/>
        <v>646197604</v>
      </c>
      <c r="AN98" s="292">
        <f t="shared" si="144"/>
        <v>2784706851</v>
      </c>
      <c r="AO98" s="292">
        <f t="shared" si="145"/>
        <v>387967331</v>
      </c>
      <c r="AP98" s="292">
        <f t="shared" si="142"/>
        <v>305897804</v>
      </c>
      <c r="AQ98" s="292">
        <f t="shared" si="142"/>
        <v>1287334</v>
      </c>
      <c r="AR98" s="292">
        <f t="shared" si="146"/>
        <v>695152469</v>
      </c>
      <c r="AS98" s="292">
        <f t="shared" si="147"/>
        <v>2415601</v>
      </c>
      <c r="AT98" s="292">
        <f t="shared" si="148"/>
        <v>0</v>
      </c>
      <c r="AU98" s="292">
        <f t="shared" si="149"/>
        <v>0</v>
      </c>
      <c r="AV98" s="292">
        <f t="shared" si="150"/>
        <v>2415601</v>
      </c>
      <c r="AW98" s="292">
        <f t="shared" si="151"/>
        <v>0</v>
      </c>
      <c r="AX98" s="292">
        <f t="shared" si="152"/>
        <v>0</v>
      </c>
      <c r="AY98" s="292">
        <f t="shared" si="153"/>
        <v>2528892179</v>
      </c>
      <c r="AZ98" s="292">
        <f t="shared" si="154"/>
        <v>305897804</v>
      </c>
      <c r="BA98" s="292">
        <f t="shared" si="154"/>
        <v>647484938</v>
      </c>
      <c r="BB98" s="292">
        <f t="shared" si="155"/>
        <v>3482274921</v>
      </c>
      <c r="BC98" s="83">
        <f t="shared" si="77"/>
        <v>2.6733832325285256E-3</v>
      </c>
      <c r="BD98" s="293"/>
      <c r="BE98" s="5">
        <f>BB98/'Monthly D4 Gallon Data'!AX96</f>
        <v>1.5361564918287582</v>
      </c>
    </row>
    <row r="99" spans="1:57" s="294" customFormat="1" ht="13.5" thickBot="1">
      <c r="A99" s="170">
        <v>43070</v>
      </c>
      <c r="B99" s="290">
        <v>243895276</v>
      </c>
      <c r="C99" s="290">
        <v>0</v>
      </c>
      <c r="D99" s="290">
        <v>46675272</v>
      </c>
      <c r="E99" s="291">
        <f t="shared" si="108"/>
        <v>290570548</v>
      </c>
      <c r="F99" s="290">
        <f t="shared" si="113"/>
        <v>42464463</v>
      </c>
      <c r="G99" s="290">
        <f t="shared" si="114"/>
        <v>33281506</v>
      </c>
      <c r="H99" s="290">
        <f t="shared" si="115"/>
        <v>0</v>
      </c>
      <c r="I99" s="291">
        <f t="shared" si="109"/>
        <v>75745969</v>
      </c>
      <c r="J99" s="290">
        <f t="shared" si="116"/>
        <v>322026</v>
      </c>
      <c r="K99" s="290">
        <v>0</v>
      </c>
      <c r="L99" s="291">
        <f t="shared" si="110"/>
        <v>322026</v>
      </c>
      <c r="M99" s="290">
        <f t="shared" si="117"/>
        <v>0</v>
      </c>
      <c r="N99" s="291">
        <f t="shared" si="118"/>
        <v>0</v>
      </c>
      <c r="O99" s="291">
        <f t="shared" si="111"/>
        <v>286681765</v>
      </c>
      <c r="P99" s="298">
        <f t="shared" si="119"/>
        <v>33281506</v>
      </c>
      <c r="Q99" s="291">
        <f t="shared" si="112"/>
        <v>46675272</v>
      </c>
      <c r="R99" s="291">
        <f t="shared" si="120"/>
        <v>366638543</v>
      </c>
      <c r="S99" s="290">
        <v>0</v>
      </c>
      <c r="T99" s="290">
        <v>0</v>
      </c>
      <c r="U99" s="292">
        <v>42464463</v>
      </c>
      <c r="V99" s="292">
        <f t="shared" si="121"/>
        <v>42464463</v>
      </c>
      <c r="W99" s="290">
        <v>0</v>
      </c>
      <c r="X99" s="290">
        <v>0</v>
      </c>
      <c r="Y99" s="292">
        <v>33281506</v>
      </c>
      <c r="Z99" s="292">
        <f t="shared" si="122"/>
        <v>33281506</v>
      </c>
      <c r="AA99" s="290">
        <v>0</v>
      </c>
      <c r="AB99" s="290">
        <v>0</v>
      </c>
      <c r="AC99" s="290">
        <v>0</v>
      </c>
      <c r="AD99" s="292">
        <f t="shared" si="123"/>
        <v>0</v>
      </c>
      <c r="AE99" s="292">
        <v>322026</v>
      </c>
      <c r="AF99" s="290">
        <v>0</v>
      </c>
      <c r="AG99" s="292">
        <f t="shared" si="124"/>
        <v>322026</v>
      </c>
      <c r="AH99" s="292">
        <v>0</v>
      </c>
      <c r="AI99" s="292">
        <v>0</v>
      </c>
      <c r="AJ99" s="292">
        <f t="shared" si="125"/>
        <v>0</v>
      </c>
      <c r="AK99" s="292">
        <f t="shared" si="143"/>
        <v>2382404523</v>
      </c>
      <c r="AL99" s="292">
        <f t="shared" si="141"/>
        <v>0</v>
      </c>
      <c r="AM99" s="292">
        <f t="shared" si="141"/>
        <v>692872876</v>
      </c>
      <c r="AN99" s="292">
        <f t="shared" si="144"/>
        <v>3075277399</v>
      </c>
      <c r="AO99" s="292">
        <f t="shared" si="145"/>
        <v>430431794</v>
      </c>
      <c r="AP99" s="292">
        <f t="shared" si="142"/>
        <v>339179310</v>
      </c>
      <c r="AQ99" s="292">
        <f t="shared" si="142"/>
        <v>1287334</v>
      </c>
      <c r="AR99" s="292">
        <f t="shared" si="146"/>
        <v>770898438</v>
      </c>
      <c r="AS99" s="292">
        <f t="shared" si="147"/>
        <v>2737627</v>
      </c>
      <c r="AT99" s="292">
        <f t="shared" si="148"/>
        <v>0</v>
      </c>
      <c r="AU99" s="292">
        <f t="shared" si="149"/>
        <v>0</v>
      </c>
      <c r="AV99" s="292">
        <f t="shared" si="150"/>
        <v>2737627</v>
      </c>
      <c r="AW99" s="292">
        <f t="shared" si="151"/>
        <v>0</v>
      </c>
      <c r="AX99" s="292">
        <f t="shared" si="152"/>
        <v>0</v>
      </c>
      <c r="AY99" s="292">
        <f t="shared" si="153"/>
        <v>2815573944</v>
      </c>
      <c r="AZ99" s="292">
        <f t="shared" si="154"/>
        <v>339179310</v>
      </c>
      <c r="BA99" s="292">
        <f t="shared" si="154"/>
        <v>694160210</v>
      </c>
      <c r="BB99" s="292">
        <f t="shared" si="155"/>
        <v>3848913464</v>
      </c>
      <c r="BC99" s="83">
        <f t="shared" si="77"/>
        <v>-3.9768853569839169E-2</v>
      </c>
      <c r="BD99" s="293"/>
      <c r="BE99" s="5">
        <f>BB99/'Monthly D4 Gallon Data'!AX97</f>
        <v>1.5362809478246875</v>
      </c>
    </row>
    <row r="100" spans="1:57" ht="12.75">
      <c r="A100" s="171">
        <v>43101</v>
      </c>
      <c r="B100" s="295">
        <v>165745904</v>
      </c>
      <c r="C100" s="295">
        <v>0</v>
      </c>
      <c r="D100" s="295">
        <v>16044167</v>
      </c>
      <c r="E100" s="296">
        <f>SUM(B100:D100)</f>
        <v>181790071</v>
      </c>
      <c r="F100" s="295">
        <f t="shared" si="113"/>
        <v>22710110</v>
      </c>
      <c r="G100" s="295">
        <f t="shared" si="114"/>
        <v>26685400</v>
      </c>
      <c r="H100" s="295">
        <f t="shared" si="115"/>
        <v>0</v>
      </c>
      <c r="I100" s="296">
        <f>SUM(F100:H100)</f>
        <v>49395510</v>
      </c>
      <c r="J100" s="295">
        <f t="shared" si="116"/>
        <v>223543</v>
      </c>
      <c r="K100" s="295">
        <v>0</v>
      </c>
      <c r="L100" s="296">
        <f t="shared" si="110"/>
        <v>223543</v>
      </c>
      <c r="M100" s="295">
        <f t="shared" si="117"/>
        <v>0</v>
      </c>
      <c r="N100" s="296">
        <f t="shared" si="118"/>
        <v>0</v>
      </c>
      <c r="O100" s="296">
        <f t="shared" si="111"/>
        <v>188679557</v>
      </c>
      <c r="P100" s="296">
        <f t="shared" si="119"/>
        <v>26685400</v>
      </c>
      <c r="Q100" s="296">
        <f t="shared" si="112"/>
        <v>16044167</v>
      </c>
      <c r="R100" s="296">
        <f>SUM(O100:Q100)</f>
        <v>231409124</v>
      </c>
      <c r="S100" s="295">
        <v>0</v>
      </c>
      <c r="T100" s="295">
        <v>0</v>
      </c>
      <c r="U100" s="297">
        <v>22710110</v>
      </c>
      <c r="V100" s="297">
        <f t="shared" si="121"/>
        <v>22710110</v>
      </c>
      <c r="W100" s="295">
        <v>0</v>
      </c>
      <c r="X100" s="295">
        <v>0</v>
      </c>
      <c r="Y100" s="297">
        <v>26685400</v>
      </c>
      <c r="Z100" s="297">
        <f t="shared" si="122"/>
        <v>26685400</v>
      </c>
      <c r="AA100" s="295">
        <v>0</v>
      </c>
      <c r="AB100" s="295">
        <v>0</v>
      </c>
      <c r="AC100" s="295">
        <v>0</v>
      </c>
      <c r="AD100" s="297">
        <f t="shared" si="123"/>
        <v>0</v>
      </c>
      <c r="AE100" s="297">
        <v>223543</v>
      </c>
      <c r="AF100" s="295">
        <v>0</v>
      </c>
      <c r="AG100" s="297">
        <f t="shared" si="124"/>
        <v>223543</v>
      </c>
      <c r="AH100" s="297">
        <v>0</v>
      </c>
      <c r="AI100" s="297">
        <v>0</v>
      </c>
      <c r="AJ100" s="297">
        <f t="shared" si="125"/>
        <v>0</v>
      </c>
      <c r="AK100" s="297">
        <f>B100</f>
        <v>165745904</v>
      </c>
      <c r="AL100" s="297">
        <f>C100</f>
        <v>0</v>
      </c>
      <c r="AM100" s="297">
        <f>D100</f>
        <v>16044167</v>
      </c>
      <c r="AN100" s="297">
        <f>SUM(AK100:AM100)</f>
        <v>181790071</v>
      </c>
      <c r="AO100" s="297">
        <f>F100</f>
        <v>22710110</v>
      </c>
      <c r="AP100" s="297">
        <f>G100</f>
        <v>26685400</v>
      </c>
      <c r="AQ100" s="297">
        <f>H100</f>
        <v>0</v>
      </c>
      <c r="AR100" s="297">
        <f>SUM(AO100:AQ100)</f>
        <v>49395510</v>
      </c>
      <c r="AS100" s="297">
        <f>J100</f>
        <v>223543</v>
      </c>
      <c r="AT100" s="297">
        <f>AH100</f>
        <v>0</v>
      </c>
      <c r="AU100" s="297">
        <f>K100</f>
        <v>0</v>
      </c>
      <c r="AV100" s="297">
        <f>SUM(AS100:AU100)</f>
        <v>223543</v>
      </c>
      <c r="AW100" s="297">
        <f>M100</f>
        <v>0</v>
      </c>
      <c r="AX100" s="297">
        <f>AW100</f>
        <v>0</v>
      </c>
      <c r="AY100" s="297">
        <f>AK100+AO100+AS100+AW100</f>
        <v>188679557</v>
      </c>
      <c r="AZ100" s="297">
        <f>AL100+AP100+AT100</f>
        <v>26685400</v>
      </c>
      <c r="BA100" s="297">
        <f>AM100+AQ100+AU100</f>
        <v>16044167</v>
      </c>
      <c r="BB100" s="297">
        <f>SUM(AY100:BA100)</f>
        <v>231409124</v>
      </c>
      <c r="BC100" s="83">
        <f t="shared" si="77"/>
        <v>0.17726693371427382</v>
      </c>
      <c r="BD100" s="152"/>
      <c r="BE100" s="5">
        <f>BB100/'Monthly D4 Gallon Data'!AX98</f>
        <v>1.5387469396500912</v>
      </c>
    </row>
    <row r="101" spans="1:57" ht="12.75">
      <c r="A101" s="170">
        <v>43132</v>
      </c>
      <c r="B101" s="290">
        <v>173306511</v>
      </c>
      <c r="C101" s="290">
        <v>0</v>
      </c>
      <c r="D101" s="290">
        <v>17377056</v>
      </c>
      <c r="E101" s="291">
        <f t="shared" ref="E101:E149" si="156">SUM(B101:D101)</f>
        <v>190683567</v>
      </c>
      <c r="F101" s="290">
        <f t="shared" si="113"/>
        <v>34279817</v>
      </c>
      <c r="G101" s="290">
        <f t="shared" si="114"/>
        <v>20961075</v>
      </c>
      <c r="H101" s="290">
        <f t="shared" si="115"/>
        <v>0</v>
      </c>
      <c r="I101" s="291">
        <f t="shared" ref="I101:I110" si="157">SUM(F101:H101)</f>
        <v>55240892</v>
      </c>
      <c r="J101" s="290">
        <f t="shared" si="116"/>
        <v>380794</v>
      </c>
      <c r="K101" s="290">
        <v>0</v>
      </c>
      <c r="L101" s="291">
        <f t="shared" si="110"/>
        <v>380794</v>
      </c>
      <c r="M101" s="290">
        <f t="shared" si="117"/>
        <v>0</v>
      </c>
      <c r="N101" s="291">
        <f t="shared" si="118"/>
        <v>0</v>
      </c>
      <c r="O101" s="291">
        <f t="shared" si="111"/>
        <v>207967122</v>
      </c>
      <c r="P101" s="291">
        <f t="shared" si="119"/>
        <v>20961075</v>
      </c>
      <c r="Q101" s="291">
        <f t="shared" si="112"/>
        <v>17377056</v>
      </c>
      <c r="R101" s="291">
        <f t="shared" ref="R101:R149" si="158">SUM(O101:Q101)</f>
        <v>246305253</v>
      </c>
      <c r="S101" s="290">
        <v>0</v>
      </c>
      <c r="T101" s="290">
        <v>0</v>
      </c>
      <c r="U101" s="292">
        <v>34279817</v>
      </c>
      <c r="V101" s="292">
        <f t="shared" si="121"/>
        <v>34279817</v>
      </c>
      <c r="W101" s="290">
        <v>0</v>
      </c>
      <c r="X101" s="290">
        <v>0</v>
      </c>
      <c r="Y101" s="292">
        <v>20961075</v>
      </c>
      <c r="Z101" s="292">
        <f t="shared" si="122"/>
        <v>20961075</v>
      </c>
      <c r="AA101" s="290">
        <v>0</v>
      </c>
      <c r="AB101" s="290">
        <v>0</v>
      </c>
      <c r="AC101" s="290">
        <v>0</v>
      </c>
      <c r="AD101" s="292">
        <f t="shared" si="123"/>
        <v>0</v>
      </c>
      <c r="AE101" s="292">
        <v>380794</v>
      </c>
      <c r="AF101" s="290">
        <v>0</v>
      </c>
      <c r="AG101" s="292">
        <f t="shared" si="124"/>
        <v>380794</v>
      </c>
      <c r="AH101" s="292">
        <v>0</v>
      </c>
      <c r="AI101" s="292">
        <v>0</v>
      </c>
      <c r="AJ101" s="292">
        <f t="shared" si="125"/>
        <v>0</v>
      </c>
      <c r="AK101" s="292">
        <f>AK100+B101</f>
        <v>339052415</v>
      </c>
      <c r="AL101" s="292">
        <f t="shared" ref="AL101:AM111" si="159">AL100+C101</f>
        <v>0</v>
      </c>
      <c r="AM101" s="292">
        <f t="shared" si="159"/>
        <v>33421223</v>
      </c>
      <c r="AN101" s="292">
        <f>SUM(AK101:AM101)</f>
        <v>372473638</v>
      </c>
      <c r="AO101" s="292">
        <f>AO100+F101</f>
        <v>56989927</v>
      </c>
      <c r="AP101" s="292">
        <f t="shared" ref="AP101:AQ111" si="160">AP100+G101</f>
        <v>47646475</v>
      </c>
      <c r="AQ101" s="292">
        <f t="shared" si="160"/>
        <v>0</v>
      </c>
      <c r="AR101" s="292">
        <f>SUM(AO101:AQ101)</f>
        <v>104636402</v>
      </c>
      <c r="AS101" s="292">
        <f>AS100+J101</f>
        <v>604337</v>
      </c>
      <c r="AT101" s="292">
        <f>AT100+AH101</f>
        <v>0</v>
      </c>
      <c r="AU101" s="292">
        <f>AU100+K101</f>
        <v>0</v>
      </c>
      <c r="AV101" s="292">
        <f>SUM(AS101:AU101)</f>
        <v>604337</v>
      </c>
      <c r="AW101" s="292">
        <f>AW100+M101</f>
        <v>0</v>
      </c>
      <c r="AX101" s="292">
        <f>AW101</f>
        <v>0</v>
      </c>
      <c r="AY101" s="292">
        <f>AK101+AO101+AS101+AW101</f>
        <v>396646679</v>
      </c>
      <c r="AZ101" s="292">
        <f>AL101+AP101+AT101</f>
        <v>47646475</v>
      </c>
      <c r="BA101" s="292">
        <f>AM101+AQ101+AU101</f>
        <v>33421223</v>
      </c>
      <c r="BB101" s="292">
        <f>SUM(AY101:BA101)</f>
        <v>477714377</v>
      </c>
      <c r="BC101" s="83">
        <f t="shared" si="77"/>
        <v>0.16162542362762888</v>
      </c>
      <c r="BD101" s="152"/>
      <c r="BE101" s="5">
        <f>BB101/'Monthly D4 Gallon Data'!AX99</f>
        <v>1.5398140478916171</v>
      </c>
    </row>
    <row r="102" spans="1:57" ht="12.75">
      <c r="A102" s="170">
        <v>43160</v>
      </c>
      <c r="B102" s="290">
        <v>217794664</v>
      </c>
      <c r="C102" s="290">
        <v>0</v>
      </c>
      <c r="D102" s="290">
        <v>23465349</v>
      </c>
      <c r="E102" s="291">
        <f t="shared" si="156"/>
        <v>241260013</v>
      </c>
      <c r="F102" s="290">
        <f t="shared" si="113"/>
        <v>38753250</v>
      </c>
      <c r="G102" s="290">
        <f t="shared" si="114"/>
        <v>29481692</v>
      </c>
      <c r="H102" s="290">
        <f t="shared" si="115"/>
        <v>0</v>
      </c>
      <c r="I102" s="291">
        <f t="shared" si="157"/>
        <v>68234942</v>
      </c>
      <c r="J102" s="290">
        <f t="shared" si="116"/>
        <v>166064</v>
      </c>
      <c r="K102" s="290">
        <v>0</v>
      </c>
      <c r="L102" s="291">
        <f t="shared" si="110"/>
        <v>166064</v>
      </c>
      <c r="M102" s="290">
        <f t="shared" si="117"/>
        <v>0</v>
      </c>
      <c r="N102" s="291">
        <f t="shared" si="118"/>
        <v>0</v>
      </c>
      <c r="O102" s="291">
        <f t="shared" si="111"/>
        <v>256713978</v>
      </c>
      <c r="P102" s="291">
        <f t="shared" si="119"/>
        <v>29481692</v>
      </c>
      <c r="Q102" s="291">
        <f t="shared" si="112"/>
        <v>23465349</v>
      </c>
      <c r="R102" s="291">
        <f t="shared" si="158"/>
        <v>309661019</v>
      </c>
      <c r="S102" s="290">
        <v>0</v>
      </c>
      <c r="T102" s="290">
        <v>0</v>
      </c>
      <c r="U102" s="292">
        <v>38753250</v>
      </c>
      <c r="V102" s="292">
        <f t="shared" si="121"/>
        <v>38753250</v>
      </c>
      <c r="W102" s="290">
        <v>0</v>
      </c>
      <c r="X102" s="290">
        <v>0</v>
      </c>
      <c r="Y102" s="292">
        <v>29481692</v>
      </c>
      <c r="Z102" s="292">
        <f t="shared" si="122"/>
        <v>29481692</v>
      </c>
      <c r="AA102" s="290">
        <v>0</v>
      </c>
      <c r="AB102" s="290">
        <v>0</v>
      </c>
      <c r="AC102" s="290">
        <v>0</v>
      </c>
      <c r="AD102" s="292">
        <f t="shared" si="123"/>
        <v>0</v>
      </c>
      <c r="AE102" s="292">
        <v>166064</v>
      </c>
      <c r="AF102" s="290">
        <v>0</v>
      </c>
      <c r="AG102" s="292">
        <f t="shared" si="124"/>
        <v>166064</v>
      </c>
      <c r="AH102" s="292">
        <v>0</v>
      </c>
      <c r="AI102" s="292">
        <v>0</v>
      </c>
      <c r="AJ102" s="292">
        <f t="shared" si="125"/>
        <v>0</v>
      </c>
      <c r="AK102" s="292">
        <f t="shared" ref="AK102:AK111" si="161">AK101+B102</f>
        <v>556847079</v>
      </c>
      <c r="AL102" s="292">
        <f t="shared" si="159"/>
        <v>0</v>
      </c>
      <c r="AM102" s="292">
        <f t="shared" si="159"/>
        <v>56886572</v>
      </c>
      <c r="AN102" s="292">
        <f t="shared" ref="AN102:AN111" si="162">SUM(AK102:AM102)</f>
        <v>613733651</v>
      </c>
      <c r="AO102" s="292">
        <f t="shared" ref="AO102:AO111" si="163">AO101+F102</f>
        <v>95743177</v>
      </c>
      <c r="AP102" s="292">
        <f t="shared" si="160"/>
        <v>77128167</v>
      </c>
      <c r="AQ102" s="292">
        <f t="shared" si="160"/>
        <v>0</v>
      </c>
      <c r="AR102" s="292">
        <f t="shared" ref="AR102:AR111" si="164">SUM(AO102:AQ102)</f>
        <v>172871344</v>
      </c>
      <c r="AS102" s="292">
        <f t="shared" ref="AS102:AS111" si="165">AS101+J102</f>
        <v>770401</v>
      </c>
      <c r="AT102" s="292">
        <f t="shared" ref="AT102:AT111" si="166">AT101+AH102</f>
        <v>0</v>
      </c>
      <c r="AU102" s="292">
        <f t="shared" ref="AU102:AU111" si="167">AU101+K102</f>
        <v>0</v>
      </c>
      <c r="AV102" s="292">
        <f t="shared" ref="AV102:AV111" si="168">SUM(AS102:AU102)</f>
        <v>770401</v>
      </c>
      <c r="AW102" s="292">
        <f t="shared" ref="AW102:AW111" si="169">AW101+M102</f>
        <v>0</v>
      </c>
      <c r="AX102" s="292">
        <f t="shared" ref="AX102:AX111" si="170">AW102</f>
        <v>0</v>
      </c>
      <c r="AY102" s="292">
        <f t="shared" ref="AY102:AY111" si="171">AK102+AO102+AS102+AW102</f>
        <v>653360657</v>
      </c>
      <c r="AZ102" s="292">
        <f t="shared" ref="AZ102:BA111" si="172">AL102+AP102+AT102</f>
        <v>77128167</v>
      </c>
      <c r="BA102" s="292">
        <f t="shared" si="172"/>
        <v>56886572</v>
      </c>
      <c r="BB102" s="292">
        <f t="shared" ref="BB102:BB111" si="173">SUM(AY102:BA102)</f>
        <v>787375396</v>
      </c>
      <c r="BC102" s="83">
        <f t="shared" si="77"/>
        <v>0.13448528059490039</v>
      </c>
      <c r="BD102" s="152"/>
      <c r="BE102" s="5">
        <f>BB102/'Monthly D4 Gallon Data'!AX100</f>
        <v>1.5398822435943635</v>
      </c>
    </row>
    <row r="103" spans="1:57" ht="12.75">
      <c r="A103" s="170">
        <v>43191</v>
      </c>
      <c r="B103" s="290">
        <v>216959543</v>
      </c>
      <c r="C103" s="290">
        <v>0</v>
      </c>
      <c r="D103" s="290">
        <v>23904320</v>
      </c>
      <c r="E103" s="291">
        <f t="shared" si="156"/>
        <v>240863863</v>
      </c>
      <c r="F103" s="290">
        <f t="shared" si="113"/>
        <v>42024462</v>
      </c>
      <c r="G103" s="290">
        <f t="shared" si="114"/>
        <v>31348353</v>
      </c>
      <c r="H103" s="290">
        <f t="shared" si="115"/>
        <v>0</v>
      </c>
      <c r="I103" s="291">
        <f t="shared" si="157"/>
        <v>73372815</v>
      </c>
      <c r="J103" s="290">
        <f t="shared" si="116"/>
        <v>295414</v>
      </c>
      <c r="K103" s="290">
        <v>0</v>
      </c>
      <c r="L103" s="291">
        <f t="shared" si="110"/>
        <v>295414</v>
      </c>
      <c r="M103" s="290">
        <f t="shared" si="117"/>
        <v>0</v>
      </c>
      <c r="N103" s="291">
        <f t="shared" si="118"/>
        <v>0</v>
      </c>
      <c r="O103" s="291">
        <f t="shared" si="111"/>
        <v>259279419</v>
      </c>
      <c r="P103" s="291">
        <f t="shared" si="119"/>
        <v>31348353</v>
      </c>
      <c r="Q103" s="291">
        <f t="shared" si="112"/>
        <v>23904320</v>
      </c>
      <c r="R103" s="291">
        <f t="shared" si="158"/>
        <v>314532092</v>
      </c>
      <c r="S103" s="290">
        <v>0</v>
      </c>
      <c r="T103" s="290">
        <v>0</v>
      </c>
      <c r="U103" s="292">
        <v>42024462</v>
      </c>
      <c r="V103" s="292">
        <f t="shared" si="121"/>
        <v>42024462</v>
      </c>
      <c r="W103" s="290">
        <v>0</v>
      </c>
      <c r="X103" s="290">
        <v>0</v>
      </c>
      <c r="Y103" s="292">
        <v>31348353</v>
      </c>
      <c r="Z103" s="292">
        <f t="shared" si="122"/>
        <v>31348353</v>
      </c>
      <c r="AA103" s="290">
        <v>0</v>
      </c>
      <c r="AB103" s="290">
        <v>0</v>
      </c>
      <c r="AC103" s="290">
        <v>0</v>
      </c>
      <c r="AD103" s="292">
        <f t="shared" si="123"/>
        <v>0</v>
      </c>
      <c r="AE103" s="292">
        <v>295414</v>
      </c>
      <c r="AF103" s="290">
        <v>0</v>
      </c>
      <c r="AG103" s="292">
        <f t="shared" si="124"/>
        <v>295414</v>
      </c>
      <c r="AH103" s="292">
        <v>0</v>
      </c>
      <c r="AI103" s="292">
        <v>0</v>
      </c>
      <c r="AJ103" s="292">
        <f t="shared" si="125"/>
        <v>0</v>
      </c>
      <c r="AK103" s="292">
        <f t="shared" si="161"/>
        <v>773806622</v>
      </c>
      <c r="AL103" s="292">
        <f t="shared" si="159"/>
        <v>0</v>
      </c>
      <c r="AM103" s="292">
        <f t="shared" si="159"/>
        <v>80790892</v>
      </c>
      <c r="AN103" s="292">
        <f t="shared" si="162"/>
        <v>854597514</v>
      </c>
      <c r="AO103" s="292">
        <f t="shared" si="163"/>
        <v>137767639</v>
      </c>
      <c r="AP103" s="292">
        <f t="shared" si="160"/>
        <v>108476520</v>
      </c>
      <c r="AQ103" s="292">
        <f t="shared" si="160"/>
        <v>0</v>
      </c>
      <c r="AR103" s="292">
        <f t="shared" si="164"/>
        <v>246244159</v>
      </c>
      <c r="AS103" s="292">
        <f t="shared" si="165"/>
        <v>1065815</v>
      </c>
      <c r="AT103" s="292">
        <f t="shared" si="166"/>
        <v>0</v>
      </c>
      <c r="AU103" s="292">
        <f t="shared" si="167"/>
        <v>0</v>
      </c>
      <c r="AV103" s="292">
        <f t="shared" si="168"/>
        <v>1065815</v>
      </c>
      <c r="AW103" s="292">
        <f t="shared" si="169"/>
        <v>0</v>
      </c>
      <c r="AX103" s="292">
        <f t="shared" si="170"/>
        <v>0</v>
      </c>
      <c r="AY103" s="292">
        <f t="shared" si="171"/>
        <v>912640076</v>
      </c>
      <c r="AZ103" s="292">
        <f t="shared" si="172"/>
        <v>108476520</v>
      </c>
      <c r="BA103" s="292">
        <f t="shared" si="172"/>
        <v>80790892</v>
      </c>
      <c r="BB103" s="292">
        <f t="shared" si="173"/>
        <v>1101907488</v>
      </c>
      <c r="BC103" s="83">
        <f t="shared" si="77"/>
        <v>0.12903704115844028</v>
      </c>
      <c r="BD103" s="152"/>
      <c r="BE103" s="5">
        <f>BB103/'Monthly D4 Gallon Data'!AX101</f>
        <v>1.5406105688586664</v>
      </c>
    </row>
    <row r="104" spans="1:57" ht="12.75">
      <c r="A104" s="170">
        <v>43221</v>
      </c>
      <c r="B104" s="290">
        <v>249356860</v>
      </c>
      <c r="C104" s="290">
        <v>0</v>
      </c>
      <c r="D104" s="290">
        <v>24085300</v>
      </c>
      <c r="E104" s="291">
        <f t="shared" si="156"/>
        <v>273442160</v>
      </c>
      <c r="F104" s="290">
        <f t="shared" si="113"/>
        <v>35832660</v>
      </c>
      <c r="G104" s="290">
        <f t="shared" si="114"/>
        <v>41021430</v>
      </c>
      <c r="H104" s="290">
        <f t="shared" si="115"/>
        <v>0</v>
      </c>
      <c r="I104" s="291">
        <f t="shared" si="157"/>
        <v>76854090</v>
      </c>
      <c r="J104" s="290">
        <f t="shared" si="116"/>
        <v>102702</v>
      </c>
      <c r="K104" s="290">
        <v>0</v>
      </c>
      <c r="L104" s="291">
        <f t="shared" si="110"/>
        <v>102702</v>
      </c>
      <c r="M104" s="290">
        <f t="shared" si="117"/>
        <v>0</v>
      </c>
      <c r="N104" s="291">
        <f t="shared" si="118"/>
        <v>0</v>
      </c>
      <c r="O104" s="291">
        <f t="shared" si="111"/>
        <v>285292222</v>
      </c>
      <c r="P104" s="291">
        <f t="shared" si="119"/>
        <v>41021430</v>
      </c>
      <c r="Q104" s="291">
        <f t="shared" si="112"/>
        <v>24085300</v>
      </c>
      <c r="R104" s="291">
        <f t="shared" si="158"/>
        <v>350398952</v>
      </c>
      <c r="S104" s="290">
        <v>0</v>
      </c>
      <c r="T104" s="290">
        <v>0</v>
      </c>
      <c r="U104" s="292">
        <v>35832660</v>
      </c>
      <c r="V104" s="292">
        <f t="shared" si="121"/>
        <v>35832660</v>
      </c>
      <c r="W104" s="290">
        <v>0</v>
      </c>
      <c r="X104" s="290">
        <v>0</v>
      </c>
      <c r="Y104" s="292">
        <v>41021430</v>
      </c>
      <c r="Z104" s="292">
        <f t="shared" si="122"/>
        <v>41021430</v>
      </c>
      <c r="AA104" s="290">
        <v>0</v>
      </c>
      <c r="AB104" s="290">
        <v>0</v>
      </c>
      <c r="AC104" s="290">
        <v>0</v>
      </c>
      <c r="AD104" s="292">
        <f t="shared" si="123"/>
        <v>0</v>
      </c>
      <c r="AE104" s="292">
        <v>102702</v>
      </c>
      <c r="AF104" s="290">
        <v>0</v>
      </c>
      <c r="AG104" s="292">
        <f t="shared" si="124"/>
        <v>102702</v>
      </c>
      <c r="AH104" s="292">
        <v>0</v>
      </c>
      <c r="AI104" s="292">
        <v>0</v>
      </c>
      <c r="AJ104" s="292">
        <f t="shared" si="125"/>
        <v>0</v>
      </c>
      <c r="AK104" s="292">
        <f t="shared" si="161"/>
        <v>1023163482</v>
      </c>
      <c r="AL104" s="292">
        <f t="shared" si="159"/>
        <v>0</v>
      </c>
      <c r="AM104" s="292">
        <f t="shared" si="159"/>
        <v>104876192</v>
      </c>
      <c r="AN104" s="292">
        <f t="shared" si="162"/>
        <v>1128039674</v>
      </c>
      <c r="AO104" s="292">
        <f t="shared" si="163"/>
        <v>173600299</v>
      </c>
      <c r="AP104" s="292">
        <f t="shared" si="160"/>
        <v>149497950</v>
      </c>
      <c r="AQ104" s="292">
        <f t="shared" si="160"/>
        <v>0</v>
      </c>
      <c r="AR104" s="292">
        <f t="shared" si="164"/>
        <v>323098249</v>
      </c>
      <c r="AS104" s="292">
        <f t="shared" si="165"/>
        <v>1168517</v>
      </c>
      <c r="AT104" s="292">
        <f t="shared" si="166"/>
        <v>0</v>
      </c>
      <c r="AU104" s="292">
        <f t="shared" si="167"/>
        <v>0</v>
      </c>
      <c r="AV104" s="292">
        <f t="shared" si="168"/>
        <v>1168517</v>
      </c>
      <c r="AW104" s="292">
        <f t="shared" si="169"/>
        <v>0</v>
      </c>
      <c r="AX104" s="292">
        <f t="shared" si="170"/>
        <v>0</v>
      </c>
      <c r="AY104" s="292">
        <f t="shared" si="171"/>
        <v>1197932298</v>
      </c>
      <c r="AZ104" s="292">
        <f t="shared" si="172"/>
        <v>149497950</v>
      </c>
      <c r="BA104" s="292">
        <f t="shared" si="172"/>
        <v>104876192</v>
      </c>
      <c r="BB104" s="292">
        <f t="shared" si="173"/>
        <v>1452306440</v>
      </c>
      <c r="BC104" s="83">
        <f t="shared" si="77"/>
        <v>9.0619397444549055E-2</v>
      </c>
      <c r="BD104" s="152"/>
      <c r="BE104" s="5">
        <f>BB104/'Monthly D4 Gallon Data'!AX102</f>
        <v>1.540409381276606</v>
      </c>
    </row>
    <row r="105" spans="1:57" ht="12.75">
      <c r="A105" s="170">
        <v>43252</v>
      </c>
      <c r="B105" s="290">
        <v>240825588</v>
      </c>
      <c r="C105" s="290">
        <v>0</v>
      </c>
      <c r="D105" s="290">
        <v>18351490</v>
      </c>
      <c r="E105" s="291">
        <f t="shared" si="156"/>
        <v>259177078</v>
      </c>
      <c r="F105" s="290">
        <f t="shared" si="113"/>
        <v>19470690</v>
      </c>
      <c r="G105" s="290">
        <f t="shared" si="114"/>
        <v>39295111</v>
      </c>
      <c r="H105" s="290">
        <f t="shared" si="115"/>
        <v>0</v>
      </c>
      <c r="I105" s="291">
        <f t="shared" si="157"/>
        <v>58765801</v>
      </c>
      <c r="J105" s="290">
        <f t="shared" si="116"/>
        <v>224310</v>
      </c>
      <c r="K105" s="290">
        <v>0</v>
      </c>
      <c r="L105" s="291">
        <f t="shared" si="110"/>
        <v>224310</v>
      </c>
      <c r="M105" s="290">
        <f t="shared" si="117"/>
        <v>0</v>
      </c>
      <c r="N105" s="291">
        <f t="shared" si="118"/>
        <v>0</v>
      </c>
      <c r="O105" s="291">
        <f t="shared" si="111"/>
        <v>260520588</v>
      </c>
      <c r="P105" s="291">
        <f t="shared" si="119"/>
        <v>39295111</v>
      </c>
      <c r="Q105" s="291">
        <f t="shared" si="112"/>
        <v>18351490</v>
      </c>
      <c r="R105" s="291">
        <f t="shared" si="158"/>
        <v>318167189</v>
      </c>
      <c r="S105" s="290">
        <v>0</v>
      </c>
      <c r="T105" s="290">
        <v>0</v>
      </c>
      <c r="U105" s="292">
        <v>19470690</v>
      </c>
      <c r="V105" s="292">
        <f t="shared" si="121"/>
        <v>19470690</v>
      </c>
      <c r="W105" s="290">
        <v>0</v>
      </c>
      <c r="X105" s="290">
        <v>0</v>
      </c>
      <c r="Y105" s="292">
        <v>39295111</v>
      </c>
      <c r="Z105" s="292">
        <f t="shared" si="122"/>
        <v>39295111</v>
      </c>
      <c r="AA105" s="290">
        <v>0</v>
      </c>
      <c r="AB105" s="290">
        <v>0</v>
      </c>
      <c r="AC105" s="290">
        <v>0</v>
      </c>
      <c r="AD105" s="292">
        <f t="shared" si="123"/>
        <v>0</v>
      </c>
      <c r="AE105" s="292">
        <v>224310</v>
      </c>
      <c r="AF105" s="290">
        <v>0</v>
      </c>
      <c r="AG105" s="292">
        <f t="shared" si="124"/>
        <v>224310</v>
      </c>
      <c r="AH105" s="292">
        <v>0</v>
      </c>
      <c r="AI105" s="292">
        <v>0</v>
      </c>
      <c r="AJ105" s="292">
        <f t="shared" si="125"/>
        <v>0</v>
      </c>
      <c r="AK105" s="292">
        <f t="shared" si="161"/>
        <v>1263989070</v>
      </c>
      <c r="AL105" s="292">
        <f t="shared" si="159"/>
        <v>0</v>
      </c>
      <c r="AM105" s="292">
        <f t="shared" si="159"/>
        <v>123227682</v>
      </c>
      <c r="AN105" s="292">
        <f t="shared" si="162"/>
        <v>1387216752</v>
      </c>
      <c r="AO105" s="292">
        <f t="shared" si="163"/>
        <v>193070989</v>
      </c>
      <c r="AP105" s="292">
        <f t="shared" si="160"/>
        <v>188793061</v>
      </c>
      <c r="AQ105" s="292">
        <f t="shared" si="160"/>
        <v>0</v>
      </c>
      <c r="AR105" s="292">
        <f t="shared" si="164"/>
        <v>381864050</v>
      </c>
      <c r="AS105" s="292">
        <f t="shared" si="165"/>
        <v>1392827</v>
      </c>
      <c r="AT105" s="292">
        <f t="shared" si="166"/>
        <v>0</v>
      </c>
      <c r="AU105" s="292">
        <f t="shared" si="167"/>
        <v>0</v>
      </c>
      <c r="AV105" s="292">
        <f t="shared" si="168"/>
        <v>1392827</v>
      </c>
      <c r="AW105" s="292">
        <f t="shared" si="169"/>
        <v>0</v>
      </c>
      <c r="AX105" s="292">
        <f t="shared" si="170"/>
        <v>0</v>
      </c>
      <c r="AY105" s="292">
        <f t="shared" si="171"/>
        <v>1458452886</v>
      </c>
      <c r="AZ105" s="292">
        <f t="shared" si="172"/>
        <v>188793061</v>
      </c>
      <c r="BA105" s="292">
        <f t="shared" si="172"/>
        <v>123227682</v>
      </c>
      <c r="BB105" s="292">
        <f t="shared" si="173"/>
        <v>1770473629</v>
      </c>
      <c r="BC105" s="83">
        <f t="shared" si="77"/>
        <v>2.1766391816069985E-2</v>
      </c>
      <c r="BD105" s="152"/>
      <c r="BE105" s="5">
        <f>BB105/'Monthly D4 Gallon Data'!AX103</f>
        <v>1.5391457164935827</v>
      </c>
    </row>
    <row r="106" spans="1:57" ht="12.75">
      <c r="A106" s="170">
        <v>43282</v>
      </c>
      <c r="B106" s="290">
        <v>254673304</v>
      </c>
      <c r="C106" s="290">
        <v>0</v>
      </c>
      <c r="D106" s="290">
        <v>7967029</v>
      </c>
      <c r="E106" s="291">
        <f t="shared" si="156"/>
        <v>262640333</v>
      </c>
      <c r="F106" s="290">
        <f t="shared" si="113"/>
        <v>13708343</v>
      </c>
      <c r="G106" s="290">
        <f t="shared" si="114"/>
        <v>34018368</v>
      </c>
      <c r="H106" s="290">
        <f t="shared" si="115"/>
        <v>0</v>
      </c>
      <c r="I106" s="291">
        <f t="shared" si="157"/>
        <v>47726711</v>
      </c>
      <c r="J106" s="290">
        <f t="shared" si="116"/>
        <v>131570</v>
      </c>
      <c r="K106" s="290">
        <v>0</v>
      </c>
      <c r="L106" s="291">
        <f t="shared" si="110"/>
        <v>131570</v>
      </c>
      <c r="M106" s="290">
        <f t="shared" si="117"/>
        <v>0</v>
      </c>
      <c r="N106" s="291">
        <f t="shared" si="118"/>
        <v>0</v>
      </c>
      <c r="O106" s="291">
        <f t="shared" si="111"/>
        <v>268513217</v>
      </c>
      <c r="P106" s="291">
        <f t="shared" si="119"/>
        <v>34018368</v>
      </c>
      <c r="Q106" s="291">
        <f t="shared" si="112"/>
        <v>7967029</v>
      </c>
      <c r="R106" s="291">
        <f t="shared" si="158"/>
        <v>310498614</v>
      </c>
      <c r="S106" s="290">
        <v>0</v>
      </c>
      <c r="T106" s="290">
        <v>0</v>
      </c>
      <c r="U106" s="292">
        <v>13708343</v>
      </c>
      <c r="V106" s="292">
        <f t="shared" si="121"/>
        <v>13708343</v>
      </c>
      <c r="W106" s="290">
        <v>0</v>
      </c>
      <c r="X106" s="290">
        <v>0</v>
      </c>
      <c r="Y106" s="292">
        <v>34018368</v>
      </c>
      <c r="Z106" s="292">
        <f t="shared" si="122"/>
        <v>34018368</v>
      </c>
      <c r="AA106" s="290">
        <v>0</v>
      </c>
      <c r="AB106" s="290">
        <v>0</v>
      </c>
      <c r="AC106" s="290">
        <v>0</v>
      </c>
      <c r="AD106" s="292">
        <f t="shared" si="123"/>
        <v>0</v>
      </c>
      <c r="AE106" s="292">
        <v>131570</v>
      </c>
      <c r="AF106" s="290">
        <v>0</v>
      </c>
      <c r="AG106" s="292">
        <f t="shared" si="124"/>
        <v>131570</v>
      </c>
      <c r="AH106" s="292">
        <v>0</v>
      </c>
      <c r="AI106" s="292">
        <v>0</v>
      </c>
      <c r="AJ106" s="292">
        <f t="shared" si="125"/>
        <v>0</v>
      </c>
      <c r="AK106" s="292">
        <f t="shared" si="161"/>
        <v>1518662374</v>
      </c>
      <c r="AL106" s="292">
        <f t="shared" si="159"/>
        <v>0</v>
      </c>
      <c r="AM106" s="292">
        <f t="shared" si="159"/>
        <v>131194711</v>
      </c>
      <c r="AN106" s="292">
        <f t="shared" si="162"/>
        <v>1649857085</v>
      </c>
      <c r="AO106" s="292">
        <f t="shared" si="163"/>
        <v>206779332</v>
      </c>
      <c r="AP106" s="292">
        <f t="shared" si="160"/>
        <v>222811429</v>
      </c>
      <c r="AQ106" s="292">
        <f t="shared" si="160"/>
        <v>0</v>
      </c>
      <c r="AR106" s="292">
        <f t="shared" si="164"/>
        <v>429590761</v>
      </c>
      <c r="AS106" s="292">
        <f t="shared" si="165"/>
        <v>1524397</v>
      </c>
      <c r="AT106" s="292">
        <f t="shared" si="166"/>
        <v>0</v>
      </c>
      <c r="AU106" s="292">
        <f t="shared" si="167"/>
        <v>0</v>
      </c>
      <c r="AV106" s="292">
        <f t="shared" si="168"/>
        <v>1524397</v>
      </c>
      <c r="AW106" s="292">
        <f t="shared" si="169"/>
        <v>0</v>
      </c>
      <c r="AX106" s="292">
        <f t="shared" si="170"/>
        <v>0</v>
      </c>
      <c r="AY106" s="292">
        <f t="shared" si="171"/>
        <v>1726966103</v>
      </c>
      <c r="AZ106" s="292">
        <f t="shared" si="172"/>
        <v>222811429</v>
      </c>
      <c r="BA106" s="292">
        <f t="shared" si="172"/>
        <v>131194711</v>
      </c>
      <c r="BB106" s="292">
        <f t="shared" si="173"/>
        <v>2080972243</v>
      </c>
      <c r="BC106" s="83">
        <f t="shared" si="77"/>
        <v>-1.1163799793264539E-2</v>
      </c>
      <c r="BD106" s="152"/>
      <c r="BE106" s="5">
        <f>BB106/'Monthly D4 Gallon Data'!AX104</f>
        <v>1.5374246264845204</v>
      </c>
    </row>
    <row r="107" spans="1:57" ht="12.75">
      <c r="A107" s="170">
        <v>43313</v>
      </c>
      <c r="B107" s="290">
        <v>270950774</v>
      </c>
      <c r="C107" s="290">
        <v>0</v>
      </c>
      <c r="D107" s="290">
        <v>19531525</v>
      </c>
      <c r="E107" s="291">
        <f t="shared" si="156"/>
        <v>290482299</v>
      </c>
      <c r="F107" s="290">
        <f t="shared" si="113"/>
        <v>23606517</v>
      </c>
      <c r="G107" s="290">
        <f t="shared" si="114"/>
        <v>36330901</v>
      </c>
      <c r="H107" s="290">
        <f t="shared" si="115"/>
        <v>0</v>
      </c>
      <c r="I107" s="291">
        <f t="shared" si="157"/>
        <v>59937418</v>
      </c>
      <c r="J107" s="290">
        <f t="shared" si="116"/>
        <v>112378</v>
      </c>
      <c r="K107" s="290">
        <v>0</v>
      </c>
      <c r="L107" s="291">
        <f t="shared" si="110"/>
        <v>112378</v>
      </c>
      <c r="M107" s="290">
        <f t="shared" si="117"/>
        <v>0</v>
      </c>
      <c r="N107" s="291">
        <f t="shared" si="118"/>
        <v>0</v>
      </c>
      <c r="O107" s="291">
        <f t="shared" si="111"/>
        <v>294669669</v>
      </c>
      <c r="P107" s="291">
        <f t="shared" si="119"/>
        <v>36330901</v>
      </c>
      <c r="Q107" s="291">
        <f t="shared" si="112"/>
        <v>19531525</v>
      </c>
      <c r="R107" s="291">
        <f t="shared" si="158"/>
        <v>350532095</v>
      </c>
      <c r="S107" s="290">
        <v>0</v>
      </c>
      <c r="T107" s="290">
        <v>0</v>
      </c>
      <c r="U107" s="292">
        <v>23606517</v>
      </c>
      <c r="V107" s="292">
        <f t="shared" si="121"/>
        <v>23606517</v>
      </c>
      <c r="W107" s="290">
        <v>0</v>
      </c>
      <c r="X107" s="290">
        <v>0</v>
      </c>
      <c r="Y107" s="292">
        <v>36330901</v>
      </c>
      <c r="Z107" s="292">
        <f t="shared" si="122"/>
        <v>36330901</v>
      </c>
      <c r="AA107" s="290">
        <v>0</v>
      </c>
      <c r="AB107" s="290">
        <v>0</v>
      </c>
      <c r="AC107" s="290">
        <v>0</v>
      </c>
      <c r="AD107" s="292">
        <f t="shared" si="123"/>
        <v>0</v>
      </c>
      <c r="AE107" s="292">
        <v>112378</v>
      </c>
      <c r="AF107" s="290">
        <v>0</v>
      </c>
      <c r="AG107" s="292">
        <f t="shared" si="124"/>
        <v>112378</v>
      </c>
      <c r="AH107" s="292">
        <v>0</v>
      </c>
      <c r="AI107" s="292">
        <v>0</v>
      </c>
      <c r="AJ107" s="292">
        <f t="shared" si="125"/>
        <v>0</v>
      </c>
      <c r="AK107" s="292">
        <f t="shared" si="161"/>
        <v>1789613148</v>
      </c>
      <c r="AL107" s="292">
        <f t="shared" si="159"/>
        <v>0</v>
      </c>
      <c r="AM107" s="292">
        <f t="shared" si="159"/>
        <v>150726236</v>
      </c>
      <c r="AN107" s="292">
        <f t="shared" si="162"/>
        <v>1940339384</v>
      </c>
      <c r="AO107" s="292">
        <f t="shared" si="163"/>
        <v>230385849</v>
      </c>
      <c r="AP107" s="292">
        <f t="shared" si="160"/>
        <v>259142330</v>
      </c>
      <c r="AQ107" s="292">
        <f t="shared" si="160"/>
        <v>0</v>
      </c>
      <c r="AR107" s="292">
        <f t="shared" si="164"/>
        <v>489528179</v>
      </c>
      <c r="AS107" s="292">
        <f t="shared" si="165"/>
        <v>1636775</v>
      </c>
      <c r="AT107" s="292">
        <f t="shared" si="166"/>
        <v>0</v>
      </c>
      <c r="AU107" s="292">
        <f t="shared" si="167"/>
        <v>0</v>
      </c>
      <c r="AV107" s="292">
        <f t="shared" si="168"/>
        <v>1636775</v>
      </c>
      <c r="AW107" s="292">
        <f t="shared" si="169"/>
        <v>0</v>
      </c>
      <c r="AX107" s="292">
        <f t="shared" si="170"/>
        <v>0</v>
      </c>
      <c r="AY107" s="292">
        <f t="shared" si="171"/>
        <v>2021635772</v>
      </c>
      <c r="AZ107" s="292">
        <f t="shared" si="172"/>
        <v>259142330</v>
      </c>
      <c r="BA107" s="292">
        <f t="shared" si="172"/>
        <v>150726236</v>
      </c>
      <c r="BB107" s="292">
        <f t="shared" si="173"/>
        <v>2431504338</v>
      </c>
      <c r="BC107" s="83">
        <f t="shared" si="77"/>
        <v>-2.1569745205140323E-2</v>
      </c>
      <c r="BD107" s="152"/>
      <c r="BE107" s="5">
        <f>BB107/'Monthly D4 Gallon Data'!AX105</f>
        <v>1.5364723001795604</v>
      </c>
    </row>
    <row r="108" spans="1:57" ht="12.75">
      <c r="A108" s="170">
        <v>43344</v>
      </c>
      <c r="B108" s="290">
        <v>235512822</v>
      </c>
      <c r="C108" s="290">
        <v>0</v>
      </c>
      <c r="D108" s="290">
        <v>17722046</v>
      </c>
      <c r="E108" s="291">
        <f t="shared" si="156"/>
        <v>253234868</v>
      </c>
      <c r="F108" s="290">
        <f t="shared" si="113"/>
        <v>48651114</v>
      </c>
      <c r="G108" s="290">
        <f t="shared" si="114"/>
        <v>28109173</v>
      </c>
      <c r="H108" s="290">
        <f t="shared" si="115"/>
        <v>0</v>
      </c>
      <c r="I108" s="291">
        <f t="shared" si="157"/>
        <v>76760287</v>
      </c>
      <c r="J108" s="290">
        <f t="shared" si="116"/>
        <v>241731</v>
      </c>
      <c r="K108" s="290">
        <v>0</v>
      </c>
      <c r="L108" s="291">
        <f t="shared" si="110"/>
        <v>241731</v>
      </c>
      <c r="M108" s="290">
        <f t="shared" si="117"/>
        <v>0</v>
      </c>
      <c r="N108" s="291">
        <f t="shared" si="118"/>
        <v>0</v>
      </c>
      <c r="O108" s="291">
        <f t="shared" si="111"/>
        <v>284405667</v>
      </c>
      <c r="P108" s="291">
        <f t="shared" si="119"/>
        <v>28109173</v>
      </c>
      <c r="Q108" s="291">
        <f t="shared" si="112"/>
        <v>17722046</v>
      </c>
      <c r="R108" s="291">
        <f t="shared" si="158"/>
        <v>330236886</v>
      </c>
      <c r="S108" s="290">
        <v>0</v>
      </c>
      <c r="T108" s="290">
        <v>0</v>
      </c>
      <c r="U108" s="292">
        <v>48651114</v>
      </c>
      <c r="V108" s="292">
        <f t="shared" si="121"/>
        <v>48651114</v>
      </c>
      <c r="W108" s="290">
        <v>0</v>
      </c>
      <c r="X108" s="290">
        <v>0</v>
      </c>
      <c r="Y108" s="292">
        <v>28109173</v>
      </c>
      <c r="Z108" s="292">
        <f t="shared" si="122"/>
        <v>28109173</v>
      </c>
      <c r="AA108" s="290">
        <v>0</v>
      </c>
      <c r="AB108" s="290">
        <v>0</v>
      </c>
      <c r="AC108" s="292">
        <v>0</v>
      </c>
      <c r="AD108" s="292">
        <f t="shared" si="123"/>
        <v>0</v>
      </c>
      <c r="AE108" s="292">
        <v>241731</v>
      </c>
      <c r="AF108" s="290">
        <v>0</v>
      </c>
      <c r="AG108" s="292">
        <f t="shared" si="124"/>
        <v>241731</v>
      </c>
      <c r="AH108" s="292">
        <v>0</v>
      </c>
      <c r="AI108" s="292">
        <v>0</v>
      </c>
      <c r="AJ108" s="292">
        <f t="shared" si="125"/>
        <v>0</v>
      </c>
      <c r="AK108" s="292">
        <f t="shared" si="161"/>
        <v>2025125970</v>
      </c>
      <c r="AL108" s="292">
        <f t="shared" si="159"/>
        <v>0</v>
      </c>
      <c r="AM108" s="292">
        <f t="shared" si="159"/>
        <v>168448282</v>
      </c>
      <c r="AN108" s="292">
        <f t="shared" si="162"/>
        <v>2193574252</v>
      </c>
      <c r="AO108" s="292">
        <f t="shared" si="163"/>
        <v>279036963</v>
      </c>
      <c r="AP108" s="292">
        <f t="shared" si="160"/>
        <v>287251503</v>
      </c>
      <c r="AQ108" s="292">
        <f t="shared" si="160"/>
        <v>0</v>
      </c>
      <c r="AR108" s="292">
        <f t="shared" si="164"/>
        <v>566288466</v>
      </c>
      <c r="AS108" s="292">
        <f t="shared" si="165"/>
        <v>1878506</v>
      </c>
      <c r="AT108" s="292">
        <f t="shared" si="166"/>
        <v>0</v>
      </c>
      <c r="AU108" s="292">
        <f t="shared" si="167"/>
        <v>0</v>
      </c>
      <c r="AV108" s="292">
        <f t="shared" si="168"/>
        <v>1878506</v>
      </c>
      <c r="AW108" s="292">
        <f t="shared" si="169"/>
        <v>0</v>
      </c>
      <c r="AX108" s="292">
        <f t="shared" si="170"/>
        <v>0</v>
      </c>
      <c r="AY108" s="292">
        <f t="shared" si="171"/>
        <v>2306041439</v>
      </c>
      <c r="AZ108" s="292">
        <f t="shared" si="172"/>
        <v>287251503</v>
      </c>
      <c r="BA108" s="292">
        <f t="shared" si="172"/>
        <v>168448282</v>
      </c>
      <c r="BB108" s="292">
        <f t="shared" si="173"/>
        <v>2761741224</v>
      </c>
      <c r="BC108" s="83">
        <f t="shared" si="77"/>
        <v>-1.9377264125903237E-2</v>
      </c>
      <c r="BD108" s="152"/>
      <c r="BE108" s="5">
        <f>BB108/'Monthly D4 Gallon Data'!AX106</f>
        <v>1.5371621603081103</v>
      </c>
    </row>
    <row r="109" spans="1:57" ht="12.75">
      <c r="A109" s="170">
        <v>43374</v>
      </c>
      <c r="B109" s="290">
        <v>256420992</v>
      </c>
      <c r="C109" s="290">
        <v>0</v>
      </c>
      <c r="D109" s="290">
        <v>30482177</v>
      </c>
      <c r="E109" s="291">
        <f t="shared" si="156"/>
        <v>286903169</v>
      </c>
      <c r="F109" s="290">
        <f t="shared" si="113"/>
        <v>61039850</v>
      </c>
      <c r="G109" s="290">
        <f t="shared" si="114"/>
        <v>0</v>
      </c>
      <c r="H109" s="290">
        <f t="shared" si="115"/>
        <v>0</v>
      </c>
      <c r="I109" s="291">
        <f t="shared" si="157"/>
        <v>61039850</v>
      </c>
      <c r="J109" s="290">
        <f t="shared" si="116"/>
        <v>366543</v>
      </c>
      <c r="K109" s="290">
        <v>0</v>
      </c>
      <c r="L109" s="291">
        <f t="shared" si="110"/>
        <v>366543</v>
      </c>
      <c r="M109" s="290">
        <f t="shared" si="117"/>
        <v>0</v>
      </c>
      <c r="N109" s="291">
        <f t="shared" si="118"/>
        <v>0</v>
      </c>
      <c r="O109" s="291">
        <f t="shared" si="111"/>
        <v>317827385</v>
      </c>
      <c r="P109" s="291">
        <f t="shared" si="119"/>
        <v>0</v>
      </c>
      <c r="Q109" s="291">
        <f t="shared" si="112"/>
        <v>30482177</v>
      </c>
      <c r="R109" s="291">
        <f t="shared" si="158"/>
        <v>348309562</v>
      </c>
      <c r="S109" s="290">
        <v>0</v>
      </c>
      <c r="T109" s="290">
        <v>0</v>
      </c>
      <c r="U109" s="292">
        <v>61039850</v>
      </c>
      <c r="V109" s="292">
        <f t="shared" si="121"/>
        <v>61039850</v>
      </c>
      <c r="W109" s="290">
        <v>0</v>
      </c>
      <c r="X109" s="290">
        <v>0</v>
      </c>
      <c r="Y109" s="292">
        <v>0</v>
      </c>
      <c r="Z109" s="292">
        <f t="shared" si="122"/>
        <v>0</v>
      </c>
      <c r="AA109" s="290">
        <v>0</v>
      </c>
      <c r="AB109" s="290">
        <v>0</v>
      </c>
      <c r="AC109" s="290">
        <v>0</v>
      </c>
      <c r="AD109" s="292">
        <f t="shared" si="123"/>
        <v>0</v>
      </c>
      <c r="AE109" s="292">
        <v>366543</v>
      </c>
      <c r="AF109" s="290">
        <v>0</v>
      </c>
      <c r="AG109" s="292">
        <f t="shared" si="124"/>
        <v>366543</v>
      </c>
      <c r="AH109" s="292">
        <v>0</v>
      </c>
      <c r="AI109" s="292">
        <v>0</v>
      </c>
      <c r="AJ109" s="292">
        <f t="shared" si="125"/>
        <v>0</v>
      </c>
      <c r="AK109" s="292">
        <f t="shared" si="161"/>
        <v>2281546962</v>
      </c>
      <c r="AL109" s="292">
        <f t="shared" si="159"/>
        <v>0</v>
      </c>
      <c r="AM109" s="292">
        <f t="shared" si="159"/>
        <v>198930459</v>
      </c>
      <c r="AN109" s="292">
        <f t="shared" si="162"/>
        <v>2480477421</v>
      </c>
      <c r="AO109" s="292">
        <f t="shared" si="163"/>
        <v>340076813</v>
      </c>
      <c r="AP109" s="292">
        <f t="shared" si="160"/>
        <v>287251503</v>
      </c>
      <c r="AQ109" s="292">
        <f t="shared" si="160"/>
        <v>0</v>
      </c>
      <c r="AR109" s="292">
        <f t="shared" si="164"/>
        <v>627328316</v>
      </c>
      <c r="AS109" s="292">
        <f t="shared" si="165"/>
        <v>2245049</v>
      </c>
      <c r="AT109" s="292">
        <f t="shared" si="166"/>
        <v>0</v>
      </c>
      <c r="AU109" s="292">
        <f t="shared" si="167"/>
        <v>0</v>
      </c>
      <c r="AV109" s="292">
        <f t="shared" si="168"/>
        <v>2245049</v>
      </c>
      <c r="AW109" s="292">
        <f t="shared" si="169"/>
        <v>0</v>
      </c>
      <c r="AX109" s="292">
        <f t="shared" si="170"/>
        <v>0</v>
      </c>
      <c r="AY109" s="292">
        <f t="shared" si="171"/>
        <v>2623868824</v>
      </c>
      <c r="AZ109" s="292">
        <f t="shared" si="172"/>
        <v>287251503</v>
      </c>
      <c r="BA109" s="292">
        <f t="shared" si="172"/>
        <v>198930459</v>
      </c>
      <c r="BB109" s="292">
        <f t="shared" si="173"/>
        <v>3110050786</v>
      </c>
      <c r="BC109" s="83">
        <f t="shared" si="77"/>
        <v>-1.7627908042240237E-2</v>
      </c>
      <c r="BE109" s="5">
        <f>BB109/'Monthly D4 Gallon Data'!AX107</f>
        <v>1.5365480158987179</v>
      </c>
    </row>
    <row r="110" spans="1:57" ht="12.75">
      <c r="A110" s="170">
        <v>43405</v>
      </c>
      <c r="B110" s="290">
        <v>226173830</v>
      </c>
      <c r="C110" s="290">
        <v>0</v>
      </c>
      <c r="D110" s="290">
        <v>19380565</v>
      </c>
      <c r="E110" s="291">
        <f t="shared" si="156"/>
        <v>245554395</v>
      </c>
      <c r="F110" s="290">
        <f t="shared" si="113"/>
        <v>62681924</v>
      </c>
      <c r="G110" s="290">
        <f t="shared" si="114"/>
        <v>18173877</v>
      </c>
      <c r="H110" s="290">
        <f t="shared" si="115"/>
        <v>0</v>
      </c>
      <c r="I110" s="291">
        <f t="shared" si="157"/>
        <v>80855801</v>
      </c>
      <c r="J110" s="290">
        <f t="shared" si="116"/>
        <v>244453</v>
      </c>
      <c r="K110" s="290">
        <v>0</v>
      </c>
      <c r="L110" s="291">
        <f t="shared" si="110"/>
        <v>244453</v>
      </c>
      <c r="M110" s="290">
        <f t="shared" si="117"/>
        <v>0</v>
      </c>
      <c r="N110" s="291">
        <f t="shared" si="118"/>
        <v>0</v>
      </c>
      <c r="O110" s="291">
        <f t="shared" si="111"/>
        <v>289100207</v>
      </c>
      <c r="P110" s="291">
        <f t="shared" si="119"/>
        <v>18173877</v>
      </c>
      <c r="Q110" s="291">
        <f t="shared" si="112"/>
        <v>19380565</v>
      </c>
      <c r="R110" s="291">
        <f t="shared" si="158"/>
        <v>326654649</v>
      </c>
      <c r="S110" s="290">
        <v>0</v>
      </c>
      <c r="T110" s="290">
        <v>0</v>
      </c>
      <c r="U110" s="292">
        <v>62681924</v>
      </c>
      <c r="V110" s="292">
        <f t="shared" si="121"/>
        <v>62681924</v>
      </c>
      <c r="W110" s="290">
        <v>0</v>
      </c>
      <c r="X110" s="290">
        <v>0</v>
      </c>
      <c r="Y110" s="292">
        <v>18173877</v>
      </c>
      <c r="Z110" s="292">
        <f t="shared" si="122"/>
        <v>18173877</v>
      </c>
      <c r="AA110" s="290">
        <v>0</v>
      </c>
      <c r="AB110" s="290">
        <v>0</v>
      </c>
      <c r="AC110" s="290">
        <v>0</v>
      </c>
      <c r="AD110" s="292">
        <f t="shared" si="123"/>
        <v>0</v>
      </c>
      <c r="AE110" s="292">
        <v>244453</v>
      </c>
      <c r="AF110" s="290">
        <v>0</v>
      </c>
      <c r="AG110" s="292">
        <f t="shared" si="124"/>
        <v>244453</v>
      </c>
      <c r="AH110" s="292">
        <v>0</v>
      </c>
      <c r="AI110" s="292">
        <v>0</v>
      </c>
      <c r="AJ110" s="292">
        <f t="shared" si="125"/>
        <v>0</v>
      </c>
      <c r="AK110" s="292">
        <f t="shared" si="161"/>
        <v>2507720792</v>
      </c>
      <c r="AL110" s="292">
        <f t="shared" si="159"/>
        <v>0</v>
      </c>
      <c r="AM110" s="292">
        <f t="shared" si="159"/>
        <v>218311024</v>
      </c>
      <c r="AN110" s="292">
        <f t="shared" si="162"/>
        <v>2726031816</v>
      </c>
      <c r="AO110" s="292">
        <f t="shared" si="163"/>
        <v>402758737</v>
      </c>
      <c r="AP110" s="292">
        <f t="shared" si="160"/>
        <v>305425380</v>
      </c>
      <c r="AQ110" s="292">
        <f t="shared" si="160"/>
        <v>0</v>
      </c>
      <c r="AR110" s="292">
        <f t="shared" si="164"/>
        <v>708184117</v>
      </c>
      <c r="AS110" s="292">
        <f t="shared" si="165"/>
        <v>2489502</v>
      </c>
      <c r="AT110" s="292">
        <f t="shared" si="166"/>
        <v>0</v>
      </c>
      <c r="AU110" s="292">
        <f t="shared" si="167"/>
        <v>0</v>
      </c>
      <c r="AV110" s="292">
        <f t="shared" si="168"/>
        <v>2489502</v>
      </c>
      <c r="AW110" s="292">
        <f t="shared" si="169"/>
        <v>0</v>
      </c>
      <c r="AX110" s="292">
        <f t="shared" si="170"/>
        <v>0</v>
      </c>
      <c r="AY110" s="292">
        <f t="shared" si="171"/>
        <v>2912969031</v>
      </c>
      <c r="AZ110" s="292">
        <f t="shared" si="172"/>
        <v>305425380</v>
      </c>
      <c r="BA110" s="292">
        <f t="shared" si="172"/>
        <v>218311024</v>
      </c>
      <c r="BB110" s="292">
        <f t="shared" si="173"/>
        <v>3436705435</v>
      </c>
      <c r="BC110" s="83">
        <f t="shared" si="77"/>
        <v>-1.3086125315721397E-2</v>
      </c>
      <c r="BE110" s="5">
        <f>BB110/'Monthly D4 Gallon Data'!AX108</f>
        <v>1.5373549937778734</v>
      </c>
    </row>
    <row r="111" spans="1:57" ht="13.5" thickBot="1">
      <c r="A111" s="170">
        <v>43435</v>
      </c>
      <c r="B111" s="290">
        <v>274996979</v>
      </c>
      <c r="C111" s="290">
        <v>0</v>
      </c>
      <c r="D111" s="290">
        <v>44401409</v>
      </c>
      <c r="E111" s="291">
        <f t="shared" si="156"/>
        <v>319398388</v>
      </c>
      <c r="F111" s="290">
        <f t="shared" si="113"/>
        <v>76431939</v>
      </c>
      <c r="G111" s="290">
        <f t="shared" si="114"/>
        <v>40248896</v>
      </c>
      <c r="H111" s="290">
        <f t="shared" si="115"/>
        <v>0</v>
      </c>
      <c r="I111" s="291">
        <f t="shared" ref="I111:I120" si="174">SUM(F111:H111)</f>
        <v>116680835</v>
      </c>
      <c r="J111" s="290">
        <f t="shared" si="116"/>
        <v>435584</v>
      </c>
      <c r="K111" s="290">
        <v>0</v>
      </c>
      <c r="L111" s="291">
        <f t="shared" si="110"/>
        <v>435584</v>
      </c>
      <c r="M111" s="290">
        <f t="shared" si="117"/>
        <v>0</v>
      </c>
      <c r="N111" s="291">
        <f t="shared" si="118"/>
        <v>0</v>
      </c>
      <c r="O111" s="291">
        <f t="shared" si="111"/>
        <v>351864502</v>
      </c>
      <c r="P111" s="298">
        <f t="shared" si="119"/>
        <v>40248896</v>
      </c>
      <c r="Q111" s="291">
        <f t="shared" si="112"/>
        <v>44401409</v>
      </c>
      <c r="R111" s="291">
        <f t="shared" si="158"/>
        <v>436514807</v>
      </c>
      <c r="S111" s="290">
        <v>0</v>
      </c>
      <c r="T111" s="290">
        <v>0</v>
      </c>
      <c r="U111" s="292">
        <v>76431939</v>
      </c>
      <c r="V111" s="292">
        <f t="shared" si="121"/>
        <v>76431939</v>
      </c>
      <c r="W111" s="290">
        <v>0</v>
      </c>
      <c r="X111" s="290">
        <v>0</v>
      </c>
      <c r="Y111" s="292">
        <v>40248896</v>
      </c>
      <c r="Z111" s="292">
        <f t="shared" si="122"/>
        <v>40248896</v>
      </c>
      <c r="AA111" s="290">
        <v>0</v>
      </c>
      <c r="AB111" s="290">
        <v>0</v>
      </c>
      <c r="AC111" s="290">
        <v>0</v>
      </c>
      <c r="AD111" s="292">
        <f t="shared" si="123"/>
        <v>0</v>
      </c>
      <c r="AE111" s="292">
        <v>435584</v>
      </c>
      <c r="AF111" s="290">
        <v>0</v>
      </c>
      <c r="AG111" s="292">
        <f t="shared" si="124"/>
        <v>435584</v>
      </c>
      <c r="AH111" s="292">
        <v>0</v>
      </c>
      <c r="AI111" s="292">
        <v>0</v>
      </c>
      <c r="AJ111" s="292">
        <f t="shared" si="125"/>
        <v>0</v>
      </c>
      <c r="AK111" s="292">
        <f t="shared" si="161"/>
        <v>2782717771</v>
      </c>
      <c r="AL111" s="292">
        <f t="shared" si="159"/>
        <v>0</v>
      </c>
      <c r="AM111" s="292">
        <f t="shared" si="159"/>
        <v>262712433</v>
      </c>
      <c r="AN111" s="292">
        <f t="shared" si="162"/>
        <v>3045430204</v>
      </c>
      <c r="AO111" s="292">
        <f t="shared" si="163"/>
        <v>479190676</v>
      </c>
      <c r="AP111" s="292">
        <f t="shared" si="160"/>
        <v>345674276</v>
      </c>
      <c r="AQ111" s="292">
        <f t="shared" si="160"/>
        <v>0</v>
      </c>
      <c r="AR111" s="292">
        <f t="shared" si="164"/>
        <v>824864952</v>
      </c>
      <c r="AS111" s="292">
        <f t="shared" si="165"/>
        <v>2925086</v>
      </c>
      <c r="AT111" s="292">
        <f t="shared" si="166"/>
        <v>0</v>
      </c>
      <c r="AU111" s="292">
        <f t="shared" si="167"/>
        <v>0</v>
      </c>
      <c r="AV111" s="292">
        <f t="shared" si="168"/>
        <v>2925086</v>
      </c>
      <c r="AW111" s="292">
        <f t="shared" si="169"/>
        <v>0</v>
      </c>
      <c r="AX111" s="292">
        <f t="shared" si="170"/>
        <v>0</v>
      </c>
      <c r="AY111" s="292">
        <f t="shared" si="171"/>
        <v>3264833533</v>
      </c>
      <c r="AZ111" s="292">
        <f t="shared" si="172"/>
        <v>345674276</v>
      </c>
      <c r="BA111" s="292">
        <f t="shared" si="172"/>
        <v>262712433</v>
      </c>
      <c r="BB111" s="292">
        <f t="shared" si="173"/>
        <v>3873220242</v>
      </c>
      <c r="BC111" s="83">
        <f t="shared" si="77"/>
        <v>6.3152310976457571E-3</v>
      </c>
      <c r="BE111" s="5">
        <f>BB111/'Monthly D4 Gallon Data'!AX109</f>
        <v>1.5386378352644805</v>
      </c>
    </row>
    <row r="112" spans="1:57" ht="12.75">
      <c r="A112" s="171">
        <v>43466</v>
      </c>
      <c r="B112" s="295">
        <v>161505585</v>
      </c>
      <c r="C112" s="295">
        <v>0</v>
      </c>
      <c r="D112" s="295">
        <v>17713871</v>
      </c>
      <c r="E112" s="296">
        <f t="shared" si="156"/>
        <v>179219456</v>
      </c>
      <c r="F112" s="295">
        <f t="shared" si="113"/>
        <v>56959337</v>
      </c>
      <c r="G112" s="295">
        <f t="shared" si="114"/>
        <v>27699469</v>
      </c>
      <c r="H112" s="295">
        <f t="shared" si="115"/>
        <v>0</v>
      </c>
      <c r="I112" s="296">
        <f t="shared" si="174"/>
        <v>84658806</v>
      </c>
      <c r="J112" s="295">
        <f t="shared" si="116"/>
        <v>311408</v>
      </c>
      <c r="K112" s="295">
        <v>0</v>
      </c>
      <c r="L112" s="296">
        <f t="shared" si="110"/>
        <v>311408</v>
      </c>
      <c r="M112" s="295">
        <f t="shared" si="117"/>
        <v>7704</v>
      </c>
      <c r="N112" s="296">
        <f t="shared" si="118"/>
        <v>7704</v>
      </c>
      <c r="O112" s="296">
        <f t="shared" si="111"/>
        <v>218784034</v>
      </c>
      <c r="P112" s="296">
        <f t="shared" si="119"/>
        <v>27699469</v>
      </c>
      <c r="Q112" s="296">
        <f t="shared" si="112"/>
        <v>17713871</v>
      </c>
      <c r="R112" s="296">
        <f t="shared" si="158"/>
        <v>264197374</v>
      </c>
      <c r="S112" s="295">
        <v>0</v>
      </c>
      <c r="T112" s="295">
        <v>0</v>
      </c>
      <c r="U112" s="297">
        <v>56959337</v>
      </c>
      <c r="V112" s="297">
        <f t="shared" si="121"/>
        <v>56959337</v>
      </c>
      <c r="W112" s="295">
        <v>0</v>
      </c>
      <c r="X112" s="295">
        <v>0</v>
      </c>
      <c r="Y112" s="297">
        <v>27699469</v>
      </c>
      <c r="Z112" s="297">
        <f t="shared" si="122"/>
        <v>27699469</v>
      </c>
      <c r="AA112" s="295">
        <v>0</v>
      </c>
      <c r="AB112" s="295">
        <v>0</v>
      </c>
      <c r="AC112" s="295">
        <v>0</v>
      </c>
      <c r="AD112" s="297">
        <f t="shared" si="123"/>
        <v>0</v>
      </c>
      <c r="AE112" s="297">
        <v>311408</v>
      </c>
      <c r="AF112" s="295">
        <v>0</v>
      </c>
      <c r="AG112" s="297">
        <f t="shared" si="124"/>
        <v>311408</v>
      </c>
      <c r="AH112" s="297">
        <v>0</v>
      </c>
      <c r="AI112" s="297">
        <v>7704</v>
      </c>
      <c r="AJ112" s="297">
        <f t="shared" si="125"/>
        <v>7704</v>
      </c>
      <c r="AK112" s="297">
        <f>B112</f>
        <v>161505585</v>
      </c>
      <c r="AL112" s="297">
        <f>C112</f>
        <v>0</v>
      </c>
      <c r="AM112" s="297">
        <f>D112</f>
        <v>17713871</v>
      </c>
      <c r="AN112" s="297">
        <f>SUM(AK112:AM112)</f>
        <v>179219456</v>
      </c>
      <c r="AO112" s="297">
        <f>F112</f>
        <v>56959337</v>
      </c>
      <c r="AP112" s="297">
        <f>G112</f>
        <v>27699469</v>
      </c>
      <c r="AQ112" s="297">
        <f>H112</f>
        <v>0</v>
      </c>
      <c r="AR112" s="297">
        <f>SUM(AO112:AQ112)</f>
        <v>84658806</v>
      </c>
      <c r="AS112" s="297">
        <f>J112</f>
        <v>311408</v>
      </c>
      <c r="AT112" s="297">
        <f>AH112</f>
        <v>0</v>
      </c>
      <c r="AU112" s="297">
        <f>K112</f>
        <v>0</v>
      </c>
      <c r="AV112" s="297">
        <f>SUM(AS112:AU112)</f>
        <v>311408</v>
      </c>
      <c r="AW112" s="297">
        <f>M112</f>
        <v>7704</v>
      </c>
      <c r="AX112" s="297">
        <f>AW112</f>
        <v>7704</v>
      </c>
      <c r="AY112" s="297">
        <f>AK112+AO112+AS112+AW112</f>
        <v>218784034</v>
      </c>
      <c r="AZ112" s="297">
        <f>AL112+AP112+AT112</f>
        <v>27699469</v>
      </c>
      <c r="BA112" s="297">
        <f>AM112+AQ112+AU112</f>
        <v>17713871</v>
      </c>
      <c r="BB112" s="297">
        <f>SUM(AY112:BA112)</f>
        <v>264197374</v>
      </c>
      <c r="BC112" s="83">
        <f t="shared" si="77"/>
        <v>0.14168952992536288</v>
      </c>
      <c r="BD112" s="152"/>
      <c r="BE112" s="5">
        <f>BB112/'Monthly D4 Gallon Data'!AX110</f>
        <v>1.5588987296513015</v>
      </c>
    </row>
    <row r="113" spans="1:57" ht="12.75">
      <c r="A113" s="170">
        <v>43497</v>
      </c>
      <c r="B113" s="290">
        <v>175997796</v>
      </c>
      <c r="C113" s="290">
        <v>0</v>
      </c>
      <c r="D113" s="290">
        <v>16452363</v>
      </c>
      <c r="E113" s="291">
        <f t="shared" si="156"/>
        <v>192450159</v>
      </c>
      <c r="F113" s="290">
        <f t="shared" si="113"/>
        <v>64303583</v>
      </c>
      <c r="G113" s="290">
        <f t="shared" si="114"/>
        <v>35994502</v>
      </c>
      <c r="H113" s="290">
        <f t="shared" si="115"/>
        <v>0</v>
      </c>
      <c r="I113" s="291">
        <f t="shared" si="174"/>
        <v>100298085</v>
      </c>
      <c r="J113" s="290">
        <f t="shared" si="116"/>
        <v>300174</v>
      </c>
      <c r="K113" s="290">
        <v>0</v>
      </c>
      <c r="L113" s="291">
        <f t="shared" si="110"/>
        <v>300174</v>
      </c>
      <c r="M113" s="290">
        <f t="shared" si="117"/>
        <v>0</v>
      </c>
      <c r="N113" s="291">
        <f t="shared" si="118"/>
        <v>0</v>
      </c>
      <c r="O113" s="291">
        <f t="shared" si="111"/>
        <v>240601553</v>
      </c>
      <c r="P113" s="291">
        <f t="shared" si="119"/>
        <v>35994502</v>
      </c>
      <c r="Q113" s="291">
        <f t="shared" si="112"/>
        <v>16452363</v>
      </c>
      <c r="R113" s="291">
        <f t="shared" si="158"/>
        <v>293048418</v>
      </c>
      <c r="S113" s="290">
        <v>0</v>
      </c>
      <c r="T113" s="290">
        <v>0</v>
      </c>
      <c r="U113" s="292">
        <v>64303583</v>
      </c>
      <c r="V113" s="292">
        <f t="shared" si="121"/>
        <v>64303583</v>
      </c>
      <c r="W113" s="290">
        <v>0</v>
      </c>
      <c r="X113" s="290">
        <v>0</v>
      </c>
      <c r="Y113" s="292">
        <v>35994502</v>
      </c>
      <c r="Z113" s="292">
        <f t="shared" si="122"/>
        <v>35994502</v>
      </c>
      <c r="AA113" s="290">
        <v>0</v>
      </c>
      <c r="AB113" s="290">
        <v>0</v>
      </c>
      <c r="AC113" s="290">
        <v>0</v>
      </c>
      <c r="AD113" s="292">
        <f t="shared" si="123"/>
        <v>0</v>
      </c>
      <c r="AE113" s="292">
        <v>300174</v>
      </c>
      <c r="AF113" s="290">
        <v>0</v>
      </c>
      <c r="AG113" s="292">
        <f t="shared" si="124"/>
        <v>300174</v>
      </c>
      <c r="AH113" s="292">
        <v>0</v>
      </c>
      <c r="AI113" s="292">
        <v>0</v>
      </c>
      <c r="AJ113" s="292">
        <f t="shared" si="125"/>
        <v>0</v>
      </c>
      <c r="AK113" s="292">
        <f>AK112+B113</f>
        <v>337503381</v>
      </c>
      <c r="AL113" s="292">
        <f t="shared" ref="AL113:AM123" si="175">AL112+C113</f>
        <v>0</v>
      </c>
      <c r="AM113" s="292">
        <f t="shared" si="175"/>
        <v>34166234</v>
      </c>
      <c r="AN113" s="292">
        <f>SUM(AK113:AM113)</f>
        <v>371669615</v>
      </c>
      <c r="AO113" s="292">
        <f>AO112+F113</f>
        <v>121262920</v>
      </c>
      <c r="AP113" s="292">
        <f t="shared" ref="AP113:AQ123" si="176">AP112+G113</f>
        <v>63693971</v>
      </c>
      <c r="AQ113" s="292">
        <f t="shared" si="176"/>
        <v>0</v>
      </c>
      <c r="AR113" s="292">
        <f>SUM(AO113:AQ113)</f>
        <v>184956891</v>
      </c>
      <c r="AS113" s="292">
        <f>AS112+J113</f>
        <v>611582</v>
      </c>
      <c r="AT113" s="292">
        <f>AT112+AH113</f>
        <v>0</v>
      </c>
      <c r="AU113" s="292">
        <f>AU112+K113</f>
        <v>0</v>
      </c>
      <c r="AV113" s="292">
        <f>SUM(AS113:AU113)</f>
        <v>611582</v>
      </c>
      <c r="AW113" s="292">
        <f>AW112+M113</f>
        <v>7704</v>
      </c>
      <c r="AX113" s="292">
        <f>AW113</f>
        <v>7704</v>
      </c>
      <c r="AY113" s="292">
        <f>AK113+AO113+AS113+AW113</f>
        <v>459385587</v>
      </c>
      <c r="AZ113" s="292">
        <f>AL113+AP113+AT113</f>
        <v>63693971</v>
      </c>
      <c r="BA113" s="292">
        <f>AM113+AQ113+AU113</f>
        <v>34166234</v>
      </c>
      <c r="BB113" s="292">
        <f>SUM(AY113:BA113)</f>
        <v>557245792</v>
      </c>
      <c r="BC113" s="83">
        <f t="shared" si="77"/>
        <v>0.16648319336639927</v>
      </c>
      <c r="BD113" s="152"/>
      <c r="BE113" s="5">
        <f>BB113/'Monthly D4 Gallon Data'!AX111</f>
        <v>1.5610784592444622</v>
      </c>
    </row>
    <row r="114" spans="1:57" ht="12.75">
      <c r="A114" s="170">
        <v>43525</v>
      </c>
      <c r="B114" s="290">
        <v>221490992</v>
      </c>
      <c r="C114" s="290">
        <v>0</v>
      </c>
      <c r="D114" s="290">
        <v>18083989</v>
      </c>
      <c r="E114" s="291">
        <f t="shared" si="156"/>
        <v>239574981</v>
      </c>
      <c r="F114" s="290">
        <f t="shared" si="113"/>
        <v>55870618</v>
      </c>
      <c r="G114" s="290">
        <f t="shared" si="114"/>
        <v>32724880</v>
      </c>
      <c r="H114" s="290">
        <f t="shared" si="115"/>
        <v>0</v>
      </c>
      <c r="I114" s="291">
        <f t="shared" si="174"/>
        <v>88595498</v>
      </c>
      <c r="J114" s="290">
        <f t="shared" si="116"/>
        <v>294305</v>
      </c>
      <c r="K114" s="290">
        <v>0</v>
      </c>
      <c r="L114" s="291">
        <f t="shared" si="110"/>
        <v>294305</v>
      </c>
      <c r="M114" s="290">
        <f t="shared" si="117"/>
        <v>0</v>
      </c>
      <c r="N114" s="291">
        <f t="shared" si="118"/>
        <v>0</v>
      </c>
      <c r="O114" s="291">
        <f t="shared" si="111"/>
        <v>277655915</v>
      </c>
      <c r="P114" s="291">
        <f t="shared" si="119"/>
        <v>32724880</v>
      </c>
      <c r="Q114" s="291">
        <f t="shared" si="112"/>
        <v>18083989</v>
      </c>
      <c r="R114" s="291">
        <f t="shared" si="158"/>
        <v>328464784</v>
      </c>
      <c r="S114" s="290">
        <v>0</v>
      </c>
      <c r="T114" s="290">
        <v>0</v>
      </c>
      <c r="U114" s="292">
        <v>55870618</v>
      </c>
      <c r="V114" s="292">
        <f t="shared" si="121"/>
        <v>55870618</v>
      </c>
      <c r="W114" s="290">
        <v>0</v>
      </c>
      <c r="X114" s="290">
        <v>0</v>
      </c>
      <c r="Y114" s="292">
        <v>32724880</v>
      </c>
      <c r="Z114" s="292">
        <f t="shared" si="122"/>
        <v>32724880</v>
      </c>
      <c r="AA114" s="290">
        <v>0</v>
      </c>
      <c r="AB114" s="290">
        <v>0</v>
      </c>
      <c r="AC114" s="290">
        <v>0</v>
      </c>
      <c r="AD114" s="292">
        <f t="shared" si="123"/>
        <v>0</v>
      </c>
      <c r="AE114" s="292">
        <v>294305</v>
      </c>
      <c r="AF114" s="290">
        <v>0</v>
      </c>
      <c r="AG114" s="292">
        <f t="shared" si="124"/>
        <v>294305</v>
      </c>
      <c r="AH114" s="292">
        <v>0</v>
      </c>
      <c r="AI114" s="292">
        <v>0</v>
      </c>
      <c r="AJ114" s="292">
        <f t="shared" si="125"/>
        <v>0</v>
      </c>
      <c r="AK114" s="292">
        <f t="shared" ref="AK114:AK123" si="177">AK113+B114</f>
        <v>558994373</v>
      </c>
      <c r="AL114" s="292">
        <f t="shared" si="175"/>
        <v>0</v>
      </c>
      <c r="AM114" s="292">
        <f t="shared" si="175"/>
        <v>52250223</v>
      </c>
      <c r="AN114" s="292">
        <f t="shared" ref="AN114:AN123" si="178">SUM(AK114:AM114)</f>
        <v>611244596</v>
      </c>
      <c r="AO114" s="292">
        <f t="shared" ref="AO114:AO123" si="179">AO113+F114</f>
        <v>177133538</v>
      </c>
      <c r="AP114" s="292">
        <f t="shared" si="176"/>
        <v>96418851</v>
      </c>
      <c r="AQ114" s="292">
        <f t="shared" si="176"/>
        <v>0</v>
      </c>
      <c r="AR114" s="292">
        <f t="shared" ref="AR114:AR123" si="180">SUM(AO114:AQ114)</f>
        <v>273552389</v>
      </c>
      <c r="AS114" s="292">
        <f t="shared" ref="AS114:AS123" si="181">AS113+J114</f>
        <v>905887</v>
      </c>
      <c r="AT114" s="292">
        <f t="shared" ref="AT114:AT123" si="182">AT113+AH114</f>
        <v>0</v>
      </c>
      <c r="AU114" s="292">
        <f t="shared" ref="AU114:AU123" si="183">AU113+K114</f>
        <v>0</v>
      </c>
      <c r="AV114" s="292">
        <f t="shared" ref="AV114:AV123" si="184">SUM(AS114:AU114)</f>
        <v>905887</v>
      </c>
      <c r="AW114" s="292">
        <f t="shared" ref="AW114:AW123" si="185">AW113+M114</f>
        <v>7704</v>
      </c>
      <c r="AX114" s="292">
        <f t="shared" ref="AX114:AX123" si="186">AW114</f>
        <v>7704</v>
      </c>
      <c r="AY114" s="292">
        <f t="shared" ref="AY114:AY123" si="187">AK114+AO114+AS114+AW114</f>
        <v>737041502</v>
      </c>
      <c r="AZ114" s="292">
        <f t="shared" ref="AZ114:BA123" si="188">AL114+AP114+AT114</f>
        <v>96418851</v>
      </c>
      <c r="BA114" s="292">
        <f t="shared" si="188"/>
        <v>52250223</v>
      </c>
      <c r="BB114" s="292">
        <f t="shared" ref="BB114:BB123" si="189">SUM(AY114:BA114)</f>
        <v>885710576</v>
      </c>
      <c r="BC114" s="83">
        <f t="shared" si="77"/>
        <v>0.12488983082219662</v>
      </c>
      <c r="BD114" s="152"/>
      <c r="BE114" s="5">
        <f>BB114/'Monthly D4 Gallon Data'!AX112</f>
        <v>1.5566754619215384</v>
      </c>
    </row>
    <row r="115" spans="1:57" ht="12.75">
      <c r="A115" s="170">
        <v>43556</v>
      </c>
      <c r="B115" s="290">
        <v>241336169</v>
      </c>
      <c r="C115" s="290">
        <v>0</v>
      </c>
      <c r="D115" s="290">
        <v>32280238</v>
      </c>
      <c r="E115" s="291">
        <f t="shared" si="156"/>
        <v>273616407</v>
      </c>
      <c r="F115" s="290">
        <f t="shared" si="113"/>
        <v>60455021</v>
      </c>
      <c r="G115" s="290">
        <f t="shared" si="114"/>
        <v>41760773</v>
      </c>
      <c r="H115" s="290">
        <f t="shared" si="115"/>
        <v>0</v>
      </c>
      <c r="I115" s="291">
        <f t="shared" si="174"/>
        <v>102215794</v>
      </c>
      <c r="J115" s="290">
        <f t="shared" si="116"/>
        <v>393560</v>
      </c>
      <c r="K115" s="290">
        <v>0</v>
      </c>
      <c r="L115" s="291">
        <f t="shared" si="110"/>
        <v>393560</v>
      </c>
      <c r="M115" s="290">
        <f t="shared" si="117"/>
        <v>0</v>
      </c>
      <c r="N115" s="291">
        <f t="shared" ref="N115:N178" si="190">SUM(M115)</f>
        <v>0</v>
      </c>
      <c r="O115" s="291">
        <f t="shared" si="111"/>
        <v>302184750</v>
      </c>
      <c r="P115" s="291">
        <f t="shared" si="119"/>
        <v>41760773</v>
      </c>
      <c r="Q115" s="291">
        <f t="shared" si="112"/>
        <v>32280238</v>
      </c>
      <c r="R115" s="291">
        <f t="shared" si="158"/>
        <v>376225761</v>
      </c>
      <c r="S115" s="290">
        <v>0</v>
      </c>
      <c r="T115" s="290">
        <v>0</v>
      </c>
      <c r="U115" s="292">
        <v>60455021</v>
      </c>
      <c r="V115" s="292">
        <f t="shared" si="121"/>
        <v>60455021</v>
      </c>
      <c r="W115" s="290">
        <v>0</v>
      </c>
      <c r="X115" s="290">
        <v>0</v>
      </c>
      <c r="Y115" s="292">
        <v>41760773</v>
      </c>
      <c r="Z115" s="292">
        <f t="shared" si="122"/>
        <v>41760773</v>
      </c>
      <c r="AA115" s="290">
        <v>0</v>
      </c>
      <c r="AB115" s="290">
        <v>0</v>
      </c>
      <c r="AC115" s="290">
        <v>0</v>
      </c>
      <c r="AD115" s="292">
        <f t="shared" si="123"/>
        <v>0</v>
      </c>
      <c r="AE115" s="292">
        <v>393560</v>
      </c>
      <c r="AF115" s="290">
        <v>0</v>
      </c>
      <c r="AG115" s="292">
        <f t="shared" si="124"/>
        <v>393560</v>
      </c>
      <c r="AH115" s="292">
        <v>0</v>
      </c>
      <c r="AI115" s="292">
        <v>0</v>
      </c>
      <c r="AJ115" s="292">
        <f t="shared" si="125"/>
        <v>0</v>
      </c>
      <c r="AK115" s="292">
        <f t="shared" si="177"/>
        <v>800330542</v>
      </c>
      <c r="AL115" s="292">
        <f t="shared" si="175"/>
        <v>0</v>
      </c>
      <c r="AM115" s="292">
        <f t="shared" si="175"/>
        <v>84530461</v>
      </c>
      <c r="AN115" s="292">
        <f t="shared" si="178"/>
        <v>884861003</v>
      </c>
      <c r="AO115" s="292">
        <f t="shared" si="179"/>
        <v>237588559</v>
      </c>
      <c r="AP115" s="292">
        <f t="shared" si="176"/>
        <v>138179624</v>
      </c>
      <c r="AQ115" s="292">
        <f t="shared" si="176"/>
        <v>0</v>
      </c>
      <c r="AR115" s="292">
        <f t="shared" si="180"/>
        <v>375768183</v>
      </c>
      <c r="AS115" s="292">
        <f t="shared" si="181"/>
        <v>1299447</v>
      </c>
      <c r="AT115" s="292">
        <f t="shared" si="182"/>
        <v>0</v>
      </c>
      <c r="AU115" s="292">
        <f t="shared" si="183"/>
        <v>0</v>
      </c>
      <c r="AV115" s="292">
        <f t="shared" si="184"/>
        <v>1299447</v>
      </c>
      <c r="AW115" s="292">
        <f t="shared" si="185"/>
        <v>7704</v>
      </c>
      <c r="AX115" s="292">
        <f t="shared" si="186"/>
        <v>7704</v>
      </c>
      <c r="AY115" s="292">
        <f t="shared" si="187"/>
        <v>1039226252</v>
      </c>
      <c r="AZ115" s="292">
        <f t="shared" si="188"/>
        <v>138179624</v>
      </c>
      <c r="BA115" s="292">
        <f t="shared" si="188"/>
        <v>84530461</v>
      </c>
      <c r="BB115" s="292">
        <f t="shared" si="189"/>
        <v>1261936337</v>
      </c>
      <c r="BC115" s="83">
        <f t="shared" si="77"/>
        <v>0.14522893322964703</v>
      </c>
      <c r="BD115" s="152"/>
      <c r="BE115" s="5">
        <f>BB115/'Monthly D4 Gallon Data'!AX113</f>
        <v>1.5545733713634999</v>
      </c>
    </row>
    <row r="116" spans="1:57" ht="12.75">
      <c r="A116" s="170">
        <v>43586</v>
      </c>
      <c r="B116" s="290">
        <v>246067317</v>
      </c>
      <c r="C116" s="290">
        <v>0</v>
      </c>
      <c r="D116" s="290">
        <v>23483648</v>
      </c>
      <c r="E116" s="291">
        <f t="shared" si="156"/>
        <v>269550965</v>
      </c>
      <c r="F116" s="290">
        <f t="shared" si="113"/>
        <v>62754896</v>
      </c>
      <c r="G116" s="290">
        <f t="shared" si="114"/>
        <v>50228401</v>
      </c>
      <c r="H116" s="290">
        <f t="shared" si="115"/>
        <v>0</v>
      </c>
      <c r="I116" s="291">
        <f t="shared" si="174"/>
        <v>112983297</v>
      </c>
      <c r="J116" s="290">
        <f t="shared" si="116"/>
        <v>406860</v>
      </c>
      <c r="K116" s="290">
        <v>0</v>
      </c>
      <c r="L116" s="291">
        <f t="shared" si="110"/>
        <v>406860</v>
      </c>
      <c r="M116" s="290">
        <f t="shared" si="117"/>
        <v>0</v>
      </c>
      <c r="N116" s="291">
        <f t="shared" si="190"/>
        <v>0</v>
      </c>
      <c r="O116" s="291">
        <f t="shared" si="111"/>
        <v>309229073</v>
      </c>
      <c r="P116" s="291">
        <f t="shared" si="119"/>
        <v>50228401</v>
      </c>
      <c r="Q116" s="291">
        <f t="shared" si="112"/>
        <v>23483648</v>
      </c>
      <c r="R116" s="291">
        <f t="shared" si="158"/>
        <v>382941122</v>
      </c>
      <c r="S116" s="290">
        <v>0</v>
      </c>
      <c r="T116" s="290">
        <v>0</v>
      </c>
      <c r="U116" s="292">
        <v>62754896</v>
      </c>
      <c r="V116" s="292">
        <f t="shared" si="121"/>
        <v>62754896</v>
      </c>
      <c r="W116" s="290">
        <v>0</v>
      </c>
      <c r="X116" s="290">
        <v>0</v>
      </c>
      <c r="Y116" s="292">
        <v>50228401</v>
      </c>
      <c r="Z116" s="292">
        <f t="shared" si="122"/>
        <v>50228401</v>
      </c>
      <c r="AA116" s="290">
        <v>0</v>
      </c>
      <c r="AB116" s="290">
        <v>0</v>
      </c>
      <c r="AC116" s="290">
        <v>0</v>
      </c>
      <c r="AD116" s="292">
        <f t="shared" si="123"/>
        <v>0</v>
      </c>
      <c r="AE116" s="292">
        <v>406860</v>
      </c>
      <c r="AF116" s="290">
        <v>0</v>
      </c>
      <c r="AG116" s="292">
        <f t="shared" si="124"/>
        <v>406860</v>
      </c>
      <c r="AH116" s="292">
        <v>0</v>
      </c>
      <c r="AI116" s="292">
        <v>0</v>
      </c>
      <c r="AJ116" s="292">
        <f t="shared" si="125"/>
        <v>0</v>
      </c>
      <c r="AK116" s="292">
        <f t="shared" si="177"/>
        <v>1046397859</v>
      </c>
      <c r="AL116" s="292">
        <f t="shared" si="175"/>
        <v>0</v>
      </c>
      <c r="AM116" s="292">
        <f t="shared" si="175"/>
        <v>108014109</v>
      </c>
      <c r="AN116" s="292">
        <f t="shared" si="178"/>
        <v>1154411968</v>
      </c>
      <c r="AO116" s="292">
        <f t="shared" si="179"/>
        <v>300343455</v>
      </c>
      <c r="AP116" s="292">
        <f t="shared" si="176"/>
        <v>188408025</v>
      </c>
      <c r="AQ116" s="292">
        <f t="shared" si="176"/>
        <v>0</v>
      </c>
      <c r="AR116" s="292">
        <f t="shared" si="180"/>
        <v>488751480</v>
      </c>
      <c r="AS116" s="292">
        <f t="shared" si="181"/>
        <v>1706307</v>
      </c>
      <c r="AT116" s="292">
        <f t="shared" si="182"/>
        <v>0</v>
      </c>
      <c r="AU116" s="292">
        <f t="shared" si="183"/>
        <v>0</v>
      </c>
      <c r="AV116" s="292">
        <f t="shared" si="184"/>
        <v>1706307</v>
      </c>
      <c r="AW116" s="292">
        <f t="shared" si="185"/>
        <v>7704</v>
      </c>
      <c r="AX116" s="292">
        <f t="shared" si="186"/>
        <v>7704</v>
      </c>
      <c r="AY116" s="292">
        <f t="shared" si="187"/>
        <v>1348455325</v>
      </c>
      <c r="AZ116" s="292">
        <f t="shared" si="188"/>
        <v>188408025</v>
      </c>
      <c r="BA116" s="292">
        <f t="shared" si="188"/>
        <v>108014109</v>
      </c>
      <c r="BB116" s="292">
        <f t="shared" si="189"/>
        <v>1644877459</v>
      </c>
      <c r="BC116" s="83">
        <f t="shared" ref="BC116:BC179" si="191">BB116/BB104-1</f>
        <v>0.13259668462256502</v>
      </c>
      <c r="BD116" s="152"/>
      <c r="BE116" s="5">
        <f>BB116/'Monthly D4 Gallon Data'!AX114</f>
        <v>1.5544540272738514</v>
      </c>
    </row>
    <row r="117" spans="1:57" ht="12.75">
      <c r="A117" s="170">
        <v>43617</v>
      </c>
      <c r="B117" s="290">
        <v>216156767</v>
      </c>
      <c r="C117" s="290">
        <v>0</v>
      </c>
      <c r="D117" s="290">
        <v>29083738</v>
      </c>
      <c r="E117" s="291">
        <f t="shared" si="156"/>
        <v>245240505</v>
      </c>
      <c r="F117" s="290">
        <f t="shared" si="113"/>
        <v>63384996</v>
      </c>
      <c r="G117" s="290">
        <f t="shared" si="114"/>
        <v>48795325</v>
      </c>
      <c r="H117" s="290">
        <f t="shared" si="115"/>
        <v>0</v>
      </c>
      <c r="I117" s="291">
        <f t="shared" si="174"/>
        <v>112180321</v>
      </c>
      <c r="J117" s="290">
        <f t="shared" si="116"/>
        <v>357247</v>
      </c>
      <c r="K117" s="290">
        <v>0</v>
      </c>
      <c r="L117" s="291">
        <f t="shared" si="110"/>
        <v>357247</v>
      </c>
      <c r="M117" s="290">
        <f t="shared" si="117"/>
        <v>0</v>
      </c>
      <c r="N117" s="291">
        <f t="shared" si="190"/>
        <v>0</v>
      </c>
      <c r="O117" s="291">
        <f t="shared" si="111"/>
        <v>279899010</v>
      </c>
      <c r="P117" s="291">
        <f t="shared" si="119"/>
        <v>48795325</v>
      </c>
      <c r="Q117" s="291">
        <f t="shared" si="112"/>
        <v>29083738</v>
      </c>
      <c r="R117" s="291">
        <f t="shared" si="158"/>
        <v>357778073</v>
      </c>
      <c r="S117" s="290">
        <v>0</v>
      </c>
      <c r="T117" s="290">
        <v>0</v>
      </c>
      <c r="U117" s="292">
        <v>63384996</v>
      </c>
      <c r="V117" s="292">
        <f t="shared" si="121"/>
        <v>63384996</v>
      </c>
      <c r="W117" s="290">
        <v>0</v>
      </c>
      <c r="X117" s="290">
        <v>0</v>
      </c>
      <c r="Y117" s="292">
        <v>48795325</v>
      </c>
      <c r="Z117" s="292">
        <f t="shared" si="122"/>
        <v>48795325</v>
      </c>
      <c r="AA117" s="290">
        <v>0</v>
      </c>
      <c r="AB117" s="290">
        <v>0</v>
      </c>
      <c r="AC117" s="290">
        <v>0</v>
      </c>
      <c r="AD117" s="292">
        <f t="shared" si="123"/>
        <v>0</v>
      </c>
      <c r="AE117" s="292">
        <v>357247</v>
      </c>
      <c r="AF117" s="290">
        <v>0</v>
      </c>
      <c r="AG117" s="292">
        <f t="shared" si="124"/>
        <v>357247</v>
      </c>
      <c r="AH117" s="292">
        <v>0</v>
      </c>
      <c r="AI117" s="292">
        <v>0</v>
      </c>
      <c r="AJ117" s="292">
        <f t="shared" si="125"/>
        <v>0</v>
      </c>
      <c r="AK117" s="292">
        <f t="shared" si="177"/>
        <v>1262554626</v>
      </c>
      <c r="AL117" s="292">
        <f t="shared" si="175"/>
        <v>0</v>
      </c>
      <c r="AM117" s="292">
        <f t="shared" si="175"/>
        <v>137097847</v>
      </c>
      <c r="AN117" s="292">
        <f t="shared" si="178"/>
        <v>1399652473</v>
      </c>
      <c r="AO117" s="292">
        <f t="shared" si="179"/>
        <v>363728451</v>
      </c>
      <c r="AP117" s="292">
        <f t="shared" si="176"/>
        <v>237203350</v>
      </c>
      <c r="AQ117" s="292">
        <f t="shared" si="176"/>
        <v>0</v>
      </c>
      <c r="AR117" s="292">
        <f t="shared" si="180"/>
        <v>600931801</v>
      </c>
      <c r="AS117" s="292">
        <f t="shared" si="181"/>
        <v>2063554</v>
      </c>
      <c r="AT117" s="292">
        <f t="shared" si="182"/>
        <v>0</v>
      </c>
      <c r="AU117" s="292">
        <f t="shared" si="183"/>
        <v>0</v>
      </c>
      <c r="AV117" s="292">
        <f t="shared" si="184"/>
        <v>2063554</v>
      </c>
      <c r="AW117" s="292">
        <f t="shared" si="185"/>
        <v>7704</v>
      </c>
      <c r="AX117" s="292">
        <f t="shared" si="186"/>
        <v>7704</v>
      </c>
      <c r="AY117" s="292">
        <f t="shared" si="187"/>
        <v>1628354335</v>
      </c>
      <c r="AZ117" s="292">
        <f t="shared" si="188"/>
        <v>237203350</v>
      </c>
      <c r="BA117" s="292">
        <f t="shared" si="188"/>
        <v>137097847</v>
      </c>
      <c r="BB117" s="292">
        <f t="shared" si="189"/>
        <v>2002655532</v>
      </c>
      <c r="BC117" s="83">
        <f t="shared" si="191"/>
        <v>0.13114112472329853</v>
      </c>
      <c r="BD117" s="152"/>
      <c r="BE117" s="5">
        <f>BB117/'Monthly D4 Gallon Data'!AX115</f>
        <v>1.5550091655721106</v>
      </c>
    </row>
    <row r="118" spans="1:57" ht="12.75">
      <c r="A118" s="170">
        <v>43647</v>
      </c>
      <c r="B118" s="290">
        <v>254182537</v>
      </c>
      <c r="C118" s="290">
        <v>0</v>
      </c>
      <c r="D118" s="290">
        <v>24489664</v>
      </c>
      <c r="E118" s="291">
        <f t="shared" si="156"/>
        <v>278672201</v>
      </c>
      <c r="F118" s="290">
        <f t="shared" si="113"/>
        <v>73404754</v>
      </c>
      <c r="G118" s="290">
        <f t="shared" si="114"/>
        <v>48251933</v>
      </c>
      <c r="H118" s="290">
        <f t="shared" si="115"/>
        <v>0</v>
      </c>
      <c r="I118" s="291">
        <f t="shared" si="174"/>
        <v>121656687</v>
      </c>
      <c r="J118" s="290">
        <f t="shared" si="116"/>
        <v>234581</v>
      </c>
      <c r="K118" s="290">
        <v>0</v>
      </c>
      <c r="L118" s="291">
        <f t="shared" si="110"/>
        <v>234581</v>
      </c>
      <c r="M118" s="290">
        <f t="shared" si="117"/>
        <v>0</v>
      </c>
      <c r="N118" s="291">
        <f t="shared" si="190"/>
        <v>0</v>
      </c>
      <c r="O118" s="291">
        <f t="shared" si="111"/>
        <v>327821872</v>
      </c>
      <c r="P118" s="291">
        <f t="shared" si="119"/>
        <v>48251933</v>
      </c>
      <c r="Q118" s="291">
        <f t="shared" si="112"/>
        <v>24489664</v>
      </c>
      <c r="R118" s="291">
        <f t="shared" si="158"/>
        <v>400563469</v>
      </c>
      <c r="S118" s="290">
        <v>0</v>
      </c>
      <c r="T118" s="290">
        <v>0</v>
      </c>
      <c r="U118" s="292">
        <v>73404754</v>
      </c>
      <c r="V118" s="292">
        <f t="shared" si="121"/>
        <v>73404754</v>
      </c>
      <c r="W118" s="290">
        <v>0</v>
      </c>
      <c r="X118" s="290">
        <v>0</v>
      </c>
      <c r="Y118" s="292">
        <v>48251933</v>
      </c>
      <c r="Z118" s="292">
        <f t="shared" si="122"/>
        <v>48251933</v>
      </c>
      <c r="AA118" s="290">
        <v>0</v>
      </c>
      <c r="AB118" s="290">
        <v>0</v>
      </c>
      <c r="AC118" s="290">
        <v>0</v>
      </c>
      <c r="AD118" s="292">
        <f t="shared" si="123"/>
        <v>0</v>
      </c>
      <c r="AE118" s="292">
        <v>234581</v>
      </c>
      <c r="AF118" s="290">
        <v>0</v>
      </c>
      <c r="AG118" s="292">
        <f t="shared" si="124"/>
        <v>234581</v>
      </c>
      <c r="AH118" s="292">
        <v>0</v>
      </c>
      <c r="AI118" s="292">
        <v>0</v>
      </c>
      <c r="AJ118" s="292">
        <f t="shared" si="125"/>
        <v>0</v>
      </c>
      <c r="AK118" s="292">
        <f t="shared" si="177"/>
        <v>1516737163</v>
      </c>
      <c r="AL118" s="292">
        <f t="shared" si="175"/>
        <v>0</v>
      </c>
      <c r="AM118" s="292">
        <f t="shared" si="175"/>
        <v>161587511</v>
      </c>
      <c r="AN118" s="292">
        <f t="shared" si="178"/>
        <v>1678324674</v>
      </c>
      <c r="AO118" s="292">
        <f t="shared" si="179"/>
        <v>437133205</v>
      </c>
      <c r="AP118" s="292">
        <f t="shared" si="176"/>
        <v>285455283</v>
      </c>
      <c r="AQ118" s="292">
        <f t="shared" si="176"/>
        <v>0</v>
      </c>
      <c r="AR118" s="292">
        <f t="shared" si="180"/>
        <v>722588488</v>
      </c>
      <c r="AS118" s="292">
        <f t="shared" si="181"/>
        <v>2298135</v>
      </c>
      <c r="AT118" s="292">
        <f t="shared" si="182"/>
        <v>0</v>
      </c>
      <c r="AU118" s="292">
        <f t="shared" si="183"/>
        <v>0</v>
      </c>
      <c r="AV118" s="292">
        <f t="shared" si="184"/>
        <v>2298135</v>
      </c>
      <c r="AW118" s="292">
        <f t="shared" si="185"/>
        <v>7704</v>
      </c>
      <c r="AX118" s="292">
        <f t="shared" si="186"/>
        <v>7704</v>
      </c>
      <c r="AY118" s="292">
        <f t="shared" si="187"/>
        <v>1956176207</v>
      </c>
      <c r="AZ118" s="292">
        <f t="shared" si="188"/>
        <v>285455283</v>
      </c>
      <c r="BA118" s="292">
        <f t="shared" si="188"/>
        <v>161587511</v>
      </c>
      <c r="BB118" s="292">
        <f t="shared" si="189"/>
        <v>2403219001</v>
      </c>
      <c r="BC118" s="83">
        <f t="shared" si="191"/>
        <v>0.15485394343147907</v>
      </c>
      <c r="BD118" s="152"/>
      <c r="BE118" s="5">
        <f>BB118/'Monthly D4 Gallon Data'!AX116</f>
        <v>1.5551169953662132</v>
      </c>
    </row>
    <row r="119" spans="1:57" ht="12.75">
      <c r="A119" s="170">
        <v>43678</v>
      </c>
      <c r="B119" s="290">
        <v>230401252</v>
      </c>
      <c r="C119" s="290">
        <v>0</v>
      </c>
      <c r="D119" s="290">
        <v>13233270</v>
      </c>
      <c r="E119" s="291">
        <f t="shared" si="156"/>
        <v>243634522</v>
      </c>
      <c r="F119" s="290">
        <f t="shared" si="113"/>
        <v>45164534</v>
      </c>
      <c r="G119" s="290">
        <f t="shared" si="114"/>
        <v>42622709</v>
      </c>
      <c r="H119" s="290">
        <f t="shared" si="115"/>
        <v>0</v>
      </c>
      <c r="I119" s="291">
        <f t="shared" si="174"/>
        <v>87787243</v>
      </c>
      <c r="J119" s="290">
        <f t="shared" si="116"/>
        <v>434812</v>
      </c>
      <c r="K119" s="290">
        <v>0</v>
      </c>
      <c r="L119" s="291">
        <f t="shared" si="110"/>
        <v>434812</v>
      </c>
      <c r="M119" s="290">
        <f t="shared" si="117"/>
        <v>0</v>
      </c>
      <c r="N119" s="291">
        <f t="shared" si="190"/>
        <v>0</v>
      </c>
      <c r="O119" s="291">
        <f t="shared" si="111"/>
        <v>276000598</v>
      </c>
      <c r="P119" s="291">
        <f t="shared" si="119"/>
        <v>42622709</v>
      </c>
      <c r="Q119" s="291">
        <f t="shared" si="112"/>
        <v>13233270</v>
      </c>
      <c r="R119" s="291">
        <f t="shared" si="158"/>
        <v>331856577</v>
      </c>
      <c r="S119" s="290">
        <v>0</v>
      </c>
      <c r="T119" s="290">
        <v>0</v>
      </c>
      <c r="U119" s="292">
        <v>45164534</v>
      </c>
      <c r="V119" s="292">
        <f t="shared" si="121"/>
        <v>45164534</v>
      </c>
      <c r="W119" s="290">
        <v>0</v>
      </c>
      <c r="X119" s="290">
        <v>3800968</v>
      </c>
      <c r="Y119" s="292">
        <v>38821741</v>
      </c>
      <c r="Z119" s="292">
        <f t="shared" si="122"/>
        <v>42622709</v>
      </c>
      <c r="AA119" s="290">
        <v>0</v>
      </c>
      <c r="AB119" s="290">
        <v>0</v>
      </c>
      <c r="AC119" s="290">
        <v>0</v>
      </c>
      <c r="AD119" s="292">
        <f t="shared" si="123"/>
        <v>0</v>
      </c>
      <c r="AE119" s="292">
        <v>434812</v>
      </c>
      <c r="AF119" s="290">
        <v>0</v>
      </c>
      <c r="AG119" s="292">
        <f t="shared" si="124"/>
        <v>434812</v>
      </c>
      <c r="AH119" s="292">
        <v>0</v>
      </c>
      <c r="AI119" s="292">
        <v>0</v>
      </c>
      <c r="AJ119" s="292">
        <f t="shared" si="125"/>
        <v>0</v>
      </c>
      <c r="AK119" s="292">
        <f t="shared" si="177"/>
        <v>1747138415</v>
      </c>
      <c r="AL119" s="292">
        <f t="shared" si="175"/>
        <v>0</v>
      </c>
      <c r="AM119" s="292">
        <f t="shared" si="175"/>
        <v>174820781</v>
      </c>
      <c r="AN119" s="292">
        <f t="shared" si="178"/>
        <v>1921959196</v>
      </c>
      <c r="AO119" s="292">
        <f t="shared" si="179"/>
        <v>482297739</v>
      </c>
      <c r="AP119" s="292">
        <f t="shared" si="176"/>
        <v>328077992</v>
      </c>
      <c r="AQ119" s="292">
        <f t="shared" si="176"/>
        <v>0</v>
      </c>
      <c r="AR119" s="292">
        <f t="shared" si="180"/>
        <v>810375731</v>
      </c>
      <c r="AS119" s="292">
        <f t="shared" si="181"/>
        <v>2732947</v>
      </c>
      <c r="AT119" s="292">
        <f t="shared" si="182"/>
        <v>0</v>
      </c>
      <c r="AU119" s="292">
        <f t="shared" si="183"/>
        <v>0</v>
      </c>
      <c r="AV119" s="292">
        <f t="shared" si="184"/>
        <v>2732947</v>
      </c>
      <c r="AW119" s="292">
        <f t="shared" si="185"/>
        <v>7704</v>
      </c>
      <c r="AX119" s="292">
        <f t="shared" si="186"/>
        <v>7704</v>
      </c>
      <c r="AY119" s="292">
        <f t="shared" si="187"/>
        <v>2232176805</v>
      </c>
      <c r="AZ119" s="292">
        <f t="shared" si="188"/>
        <v>328077992</v>
      </c>
      <c r="BA119" s="292">
        <f t="shared" si="188"/>
        <v>174820781</v>
      </c>
      <c r="BB119" s="292">
        <f t="shared" si="189"/>
        <v>2735075578</v>
      </c>
      <c r="BC119" s="83">
        <f t="shared" si="191"/>
        <v>0.12484914596109586</v>
      </c>
      <c r="BD119" s="152"/>
      <c r="BE119" s="5">
        <f>BB119/'Monthly D4 Gallon Data'!AX117</f>
        <v>1.5541667488548134</v>
      </c>
    </row>
    <row r="120" spans="1:57" ht="12.75">
      <c r="A120" s="170">
        <v>43709</v>
      </c>
      <c r="B120" s="290">
        <v>215492652</v>
      </c>
      <c r="C120" s="290">
        <v>0</v>
      </c>
      <c r="D120" s="290">
        <v>22288564</v>
      </c>
      <c r="E120" s="291">
        <f t="shared" si="156"/>
        <v>237781216</v>
      </c>
      <c r="F120" s="290">
        <f t="shared" si="113"/>
        <v>64010424</v>
      </c>
      <c r="G120" s="290">
        <f t="shared" si="114"/>
        <v>39258951</v>
      </c>
      <c r="H120" s="290">
        <f t="shared" si="115"/>
        <v>0</v>
      </c>
      <c r="I120" s="291">
        <f t="shared" si="174"/>
        <v>103269375</v>
      </c>
      <c r="J120" s="290">
        <f t="shared" si="116"/>
        <v>440847</v>
      </c>
      <c r="K120" s="290">
        <v>0</v>
      </c>
      <c r="L120" s="291">
        <f t="shared" si="110"/>
        <v>440847</v>
      </c>
      <c r="M120" s="290">
        <f t="shared" si="117"/>
        <v>0</v>
      </c>
      <c r="N120" s="291">
        <f t="shared" si="190"/>
        <v>0</v>
      </c>
      <c r="O120" s="291">
        <f t="shared" si="111"/>
        <v>279943923</v>
      </c>
      <c r="P120" s="291">
        <f t="shared" si="119"/>
        <v>39258951</v>
      </c>
      <c r="Q120" s="291">
        <f t="shared" si="112"/>
        <v>22288564</v>
      </c>
      <c r="R120" s="291">
        <f t="shared" si="158"/>
        <v>341491438</v>
      </c>
      <c r="S120" s="290">
        <v>0</v>
      </c>
      <c r="T120" s="290">
        <v>0</v>
      </c>
      <c r="U120" s="292">
        <v>64010424</v>
      </c>
      <c r="V120" s="292">
        <f t="shared" si="121"/>
        <v>64010424</v>
      </c>
      <c r="W120" s="290">
        <v>0</v>
      </c>
      <c r="X120" s="290">
        <v>0</v>
      </c>
      <c r="Y120" s="292">
        <v>39258951</v>
      </c>
      <c r="Z120" s="292">
        <f t="shared" si="122"/>
        <v>39258951</v>
      </c>
      <c r="AA120" s="290">
        <v>0</v>
      </c>
      <c r="AB120" s="290">
        <v>0</v>
      </c>
      <c r="AC120" s="292">
        <v>0</v>
      </c>
      <c r="AD120" s="292">
        <f t="shared" si="123"/>
        <v>0</v>
      </c>
      <c r="AE120" s="292">
        <v>440847</v>
      </c>
      <c r="AF120" s="290">
        <v>0</v>
      </c>
      <c r="AG120" s="292">
        <f t="shared" si="124"/>
        <v>440847</v>
      </c>
      <c r="AH120" s="292">
        <v>0</v>
      </c>
      <c r="AI120" s="292">
        <v>0</v>
      </c>
      <c r="AJ120" s="292">
        <f t="shared" si="125"/>
        <v>0</v>
      </c>
      <c r="AK120" s="292">
        <f t="shared" si="177"/>
        <v>1962631067</v>
      </c>
      <c r="AL120" s="292">
        <f t="shared" si="175"/>
        <v>0</v>
      </c>
      <c r="AM120" s="292">
        <f t="shared" si="175"/>
        <v>197109345</v>
      </c>
      <c r="AN120" s="292">
        <f t="shared" si="178"/>
        <v>2159740412</v>
      </c>
      <c r="AO120" s="292">
        <f t="shared" si="179"/>
        <v>546308163</v>
      </c>
      <c r="AP120" s="292">
        <f t="shared" si="176"/>
        <v>367336943</v>
      </c>
      <c r="AQ120" s="292">
        <f t="shared" si="176"/>
        <v>0</v>
      </c>
      <c r="AR120" s="292">
        <f t="shared" si="180"/>
        <v>913645106</v>
      </c>
      <c r="AS120" s="292">
        <f t="shared" si="181"/>
        <v>3173794</v>
      </c>
      <c r="AT120" s="292">
        <f t="shared" si="182"/>
        <v>0</v>
      </c>
      <c r="AU120" s="292">
        <f t="shared" si="183"/>
        <v>0</v>
      </c>
      <c r="AV120" s="292">
        <f t="shared" si="184"/>
        <v>3173794</v>
      </c>
      <c r="AW120" s="292">
        <f t="shared" si="185"/>
        <v>7704</v>
      </c>
      <c r="AX120" s="292">
        <f t="shared" si="186"/>
        <v>7704</v>
      </c>
      <c r="AY120" s="292">
        <f t="shared" si="187"/>
        <v>2512120728</v>
      </c>
      <c r="AZ120" s="292">
        <f t="shared" si="188"/>
        <v>367336943</v>
      </c>
      <c r="BA120" s="292">
        <f t="shared" si="188"/>
        <v>197109345</v>
      </c>
      <c r="BB120" s="292">
        <f t="shared" si="189"/>
        <v>3076567016</v>
      </c>
      <c r="BC120" s="83">
        <f t="shared" si="191"/>
        <v>0.11399539872313547</v>
      </c>
      <c r="BD120" s="152"/>
      <c r="BE120" s="5">
        <f>BB120/'Monthly D4 Gallon Data'!AX118</f>
        <v>1.5543122850498359</v>
      </c>
    </row>
    <row r="121" spans="1:57" ht="12.75">
      <c r="A121" s="170">
        <v>43739</v>
      </c>
      <c r="B121" s="290">
        <v>219930536</v>
      </c>
      <c r="C121" s="290">
        <v>0</v>
      </c>
      <c r="D121" s="290">
        <v>20672201</v>
      </c>
      <c r="E121" s="291">
        <f t="shared" si="156"/>
        <v>240602737</v>
      </c>
      <c r="F121" s="290">
        <f t="shared" si="113"/>
        <v>79207182</v>
      </c>
      <c r="G121" s="290">
        <f t="shared" si="114"/>
        <v>56190217</v>
      </c>
      <c r="H121" s="290">
        <f t="shared" si="115"/>
        <v>0</v>
      </c>
      <c r="I121" s="291">
        <f t="shared" ref="I121:I149" si="192">SUM(F121:H121)</f>
        <v>135397399</v>
      </c>
      <c r="J121" s="290">
        <f t="shared" si="116"/>
        <v>346518</v>
      </c>
      <c r="K121" s="290">
        <v>0</v>
      </c>
      <c r="L121" s="291">
        <f t="shared" si="110"/>
        <v>346518</v>
      </c>
      <c r="M121" s="290">
        <f t="shared" si="117"/>
        <v>0</v>
      </c>
      <c r="N121" s="291">
        <f t="shared" si="190"/>
        <v>0</v>
      </c>
      <c r="O121" s="291">
        <f t="shared" si="111"/>
        <v>299484236</v>
      </c>
      <c r="P121" s="291">
        <f t="shared" si="119"/>
        <v>56190217</v>
      </c>
      <c r="Q121" s="291">
        <f t="shared" si="112"/>
        <v>20672201</v>
      </c>
      <c r="R121" s="291">
        <f t="shared" si="158"/>
        <v>376346654</v>
      </c>
      <c r="S121" s="290">
        <v>0</v>
      </c>
      <c r="T121" s="290">
        <v>0</v>
      </c>
      <c r="U121" s="292">
        <v>79207182</v>
      </c>
      <c r="V121" s="292">
        <f t="shared" si="121"/>
        <v>79207182</v>
      </c>
      <c r="W121" s="290">
        <v>0</v>
      </c>
      <c r="X121" s="290">
        <v>0</v>
      </c>
      <c r="Y121" s="292">
        <v>56190217</v>
      </c>
      <c r="Z121" s="292">
        <f t="shared" si="122"/>
        <v>56190217</v>
      </c>
      <c r="AA121" s="290">
        <v>0</v>
      </c>
      <c r="AB121" s="290">
        <v>0</v>
      </c>
      <c r="AC121" s="290">
        <v>0</v>
      </c>
      <c r="AD121" s="292">
        <f t="shared" si="123"/>
        <v>0</v>
      </c>
      <c r="AE121" s="292">
        <v>346518</v>
      </c>
      <c r="AF121" s="290">
        <v>0</v>
      </c>
      <c r="AG121" s="292">
        <f t="shared" si="124"/>
        <v>346518</v>
      </c>
      <c r="AH121" s="292">
        <v>0</v>
      </c>
      <c r="AI121" s="292">
        <v>0</v>
      </c>
      <c r="AJ121" s="292">
        <f t="shared" si="125"/>
        <v>0</v>
      </c>
      <c r="AK121" s="292">
        <f t="shared" si="177"/>
        <v>2182561603</v>
      </c>
      <c r="AL121" s="292">
        <f t="shared" si="175"/>
        <v>0</v>
      </c>
      <c r="AM121" s="292">
        <f t="shared" si="175"/>
        <v>217781546</v>
      </c>
      <c r="AN121" s="292">
        <f t="shared" si="178"/>
        <v>2400343149</v>
      </c>
      <c r="AO121" s="292">
        <f t="shared" si="179"/>
        <v>625515345</v>
      </c>
      <c r="AP121" s="292">
        <f t="shared" si="176"/>
        <v>423527160</v>
      </c>
      <c r="AQ121" s="292">
        <f t="shared" si="176"/>
        <v>0</v>
      </c>
      <c r="AR121" s="292">
        <f t="shared" si="180"/>
        <v>1049042505</v>
      </c>
      <c r="AS121" s="292">
        <f t="shared" si="181"/>
        <v>3520312</v>
      </c>
      <c r="AT121" s="292">
        <f t="shared" si="182"/>
        <v>0</v>
      </c>
      <c r="AU121" s="292">
        <f t="shared" si="183"/>
        <v>0</v>
      </c>
      <c r="AV121" s="292">
        <f t="shared" si="184"/>
        <v>3520312</v>
      </c>
      <c r="AW121" s="292">
        <f t="shared" si="185"/>
        <v>7704</v>
      </c>
      <c r="AX121" s="292">
        <f t="shared" si="186"/>
        <v>7704</v>
      </c>
      <c r="AY121" s="292">
        <f t="shared" si="187"/>
        <v>2811604964</v>
      </c>
      <c r="AZ121" s="292">
        <f t="shared" si="188"/>
        <v>423527160</v>
      </c>
      <c r="BA121" s="292">
        <f t="shared" si="188"/>
        <v>217781546</v>
      </c>
      <c r="BB121" s="292">
        <f t="shared" si="189"/>
        <v>3452913670</v>
      </c>
      <c r="BC121" s="83">
        <f t="shared" si="191"/>
        <v>0.11024350005582195</v>
      </c>
      <c r="BE121" s="5">
        <f>BB121/'Monthly D4 Gallon Data'!AX119</f>
        <v>1.5556209068830222</v>
      </c>
    </row>
    <row r="122" spans="1:57" ht="12.75">
      <c r="A122" s="170">
        <v>43770</v>
      </c>
      <c r="B122" s="290">
        <v>178711747</v>
      </c>
      <c r="C122" s="290">
        <v>0</v>
      </c>
      <c r="D122" s="290">
        <v>22853460</v>
      </c>
      <c r="E122" s="291">
        <f t="shared" si="156"/>
        <v>201565207</v>
      </c>
      <c r="F122" s="290">
        <f t="shared" si="113"/>
        <v>68203857</v>
      </c>
      <c r="G122" s="290">
        <f t="shared" si="114"/>
        <v>41048038</v>
      </c>
      <c r="H122" s="290">
        <f t="shared" si="115"/>
        <v>0</v>
      </c>
      <c r="I122" s="291">
        <f t="shared" si="192"/>
        <v>109251895</v>
      </c>
      <c r="J122" s="290">
        <f t="shared" si="116"/>
        <v>145880</v>
      </c>
      <c r="K122" s="290">
        <v>0</v>
      </c>
      <c r="L122" s="291">
        <f t="shared" si="110"/>
        <v>145880</v>
      </c>
      <c r="M122" s="290">
        <f t="shared" si="117"/>
        <v>0</v>
      </c>
      <c r="N122" s="291">
        <f t="shared" si="190"/>
        <v>0</v>
      </c>
      <c r="O122" s="291">
        <f t="shared" si="111"/>
        <v>247061484</v>
      </c>
      <c r="P122" s="291">
        <f t="shared" si="119"/>
        <v>41048038</v>
      </c>
      <c r="Q122" s="291">
        <f t="shared" si="112"/>
        <v>22853460</v>
      </c>
      <c r="R122" s="291">
        <f t="shared" si="158"/>
        <v>310962982</v>
      </c>
      <c r="S122" s="290">
        <v>0</v>
      </c>
      <c r="T122" s="290">
        <v>0</v>
      </c>
      <c r="U122" s="292">
        <v>68203857</v>
      </c>
      <c r="V122" s="292">
        <f t="shared" si="121"/>
        <v>68203857</v>
      </c>
      <c r="W122" s="290">
        <v>0</v>
      </c>
      <c r="X122" s="290">
        <v>0</v>
      </c>
      <c r="Y122" s="292">
        <v>41048038</v>
      </c>
      <c r="Z122" s="292">
        <f t="shared" si="122"/>
        <v>41048038</v>
      </c>
      <c r="AA122" s="290">
        <v>0</v>
      </c>
      <c r="AB122" s="290">
        <v>0</v>
      </c>
      <c r="AC122" s="290">
        <v>0</v>
      </c>
      <c r="AD122" s="292">
        <f t="shared" si="123"/>
        <v>0</v>
      </c>
      <c r="AE122" s="292">
        <v>145880</v>
      </c>
      <c r="AF122" s="290">
        <v>0</v>
      </c>
      <c r="AG122" s="292">
        <f t="shared" si="124"/>
        <v>145880</v>
      </c>
      <c r="AH122" s="292">
        <v>0</v>
      </c>
      <c r="AI122" s="292">
        <v>0</v>
      </c>
      <c r="AJ122" s="292">
        <f t="shared" si="125"/>
        <v>0</v>
      </c>
      <c r="AK122" s="292">
        <f t="shared" si="177"/>
        <v>2361273350</v>
      </c>
      <c r="AL122" s="292">
        <f t="shared" si="175"/>
        <v>0</v>
      </c>
      <c r="AM122" s="292">
        <f t="shared" si="175"/>
        <v>240635006</v>
      </c>
      <c r="AN122" s="292">
        <f t="shared" si="178"/>
        <v>2601908356</v>
      </c>
      <c r="AO122" s="292">
        <f t="shared" si="179"/>
        <v>693719202</v>
      </c>
      <c r="AP122" s="292">
        <f t="shared" si="176"/>
        <v>464575198</v>
      </c>
      <c r="AQ122" s="292">
        <f t="shared" si="176"/>
        <v>0</v>
      </c>
      <c r="AR122" s="292">
        <f t="shared" si="180"/>
        <v>1158294400</v>
      </c>
      <c r="AS122" s="292">
        <f t="shared" si="181"/>
        <v>3666192</v>
      </c>
      <c r="AT122" s="292">
        <f t="shared" si="182"/>
        <v>0</v>
      </c>
      <c r="AU122" s="292">
        <f t="shared" si="183"/>
        <v>0</v>
      </c>
      <c r="AV122" s="292">
        <f t="shared" si="184"/>
        <v>3666192</v>
      </c>
      <c r="AW122" s="292">
        <f t="shared" si="185"/>
        <v>7704</v>
      </c>
      <c r="AX122" s="292">
        <f t="shared" si="186"/>
        <v>7704</v>
      </c>
      <c r="AY122" s="292">
        <f t="shared" si="187"/>
        <v>3058666448</v>
      </c>
      <c r="AZ122" s="292">
        <f t="shared" si="188"/>
        <v>464575198</v>
      </c>
      <c r="BA122" s="292">
        <f t="shared" si="188"/>
        <v>240635006</v>
      </c>
      <c r="BB122" s="292">
        <f t="shared" si="189"/>
        <v>3763876652</v>
      </c>
      <c r="BC122" s="83">
        <f t="shared" si="191"/>
        <v>9.5199086214381889E-2</v>
      </c>
      <c r="BE122" s="5">
        <f>BB122/'Monthly D4 Gallon Data'!AX120</f>
        <v>1.5563697237595229</v>
      </c>
    </row>
    <row r="123" spans="1:57" ht="13.5" thickBot="1">
      <c r="A123" s="170">
        <v>43800</v>
      </c>
      <c r="B123" s="290">
        <v>209404921</v>
      </c>
      <c r="C123" s="290">
        <v>0</v>
      </c>
      <c r="D123" s="290">
        <v>36477657</v>
      </c>
      <c r="E123" s="291">
        <f t="shared" si="156"/>
        <v>245882578</v>
      </c>
      <c r="F123" s="290">
        <f t="shared" si="113"/>
        <v>84615110</v>
      </c>
      <c r="G123" s="290">
        <f t="shared" si="114"/>
        <v>52020645</v>
      </c>
      <c r="H123" s="290">
        <f t="shared" si="115"/>
        <v>0</v>
      </c>
      <c r="I123" s="291">
        <f t="shared" si="192"/>
        <v>136635755</v>
      </c>
      <c r="J123" s="290">
        <f t="shared" si="116"/>
        <v>219733</v>
      </c>
      <c r="K123" s="290">
        <v>0</v>
      </c>
      <c r="L123" s="291">
        <f t="shared" si="110"/>
        <v>219733</v>
      </c>
      <c r="M123" s="290">
        <f t="shared" si="117"/>
        <v>0</v>
      </c>
      <c r="N123" s="291">
        <f t="shared" si="190"/>
        <v>0</v>
      </c>
      <c r="O123" s="291">
        <f t="shared" si="111"/>
        <v>294239764</v>
      </c>
      <c r="P123" s="298">
        <f t="shared" si="119"/>
        <v>52020645</v>
      </c>
      <c r="Q123" s="291">
        <f t="shared" si="112"/>
        <v>36477657</v>
      </c>
      <c r="R123" s="291">
        <f t="shared" si="158"/>
        <v>382738066</v>
      </c>
      <c r="S123" s="290">
        <v>0</v>
      </c>
      <c r="T123" s="290">
        <v>0</v>
      </c>
      <c r="U123" s="292">
        <v>84615110</v>
      </c>
      <c r="V123" s="292">
        <f t="shared" si="121"/>
        <v>84615110</v>
      </c>
      <c r="W123" s="290">
        <v>0</v>
      </c>
      <c r="X123" s="290">
        <v>0</v>
      </c>
      <c r="Y123" s="292">
        <v>52020645</v>
      </c>
      <c r="Z123" s="292">
        <f t="shared" si="122"/>
        <v>52020645</v>
      </c>
      <c r="AA123" s="290">
        <v>0</v>
      </c>
      <c r="AB123" s="290">
        <v>0</v>
      </c>
      <c r="AC123" s="290">
        <v>0</v>
      </c>
      <c r="AD123" s="292">
        <f t="shared" si="123"/>
        <v>0</v>
      </c>
      <c r="AE123" s="292">
        <v>219733</v>
      </c>
      <c r="AF123" s="290">
        <v>0</v>
      </c>
      <c r="AG123" s="292">
        <f t="shared" si="124"/>
        <v>219733</v>
      </c>
      <c r="AH123" s="292">
        <v>0</v>
      </c>
      <c r="AI123" s="292">
        <v>0</v>
      </c>
      <c r="AJ123" s="292">
        <f t="shared" si="125"/>
        <v>0</v>
      </c>
      <c r="AK123" s="292">
        <f t="shared" si="177"/>
        <v>2570678271</v>
      </c>
      <c r="AL123" s="292">
        <f t="shared" si="175"/>
        <v>0</v>
      </c>
      <c r="AM123" s="292">
        <f t="shared" si="175"/>
        <v>277112663</v>
      </c>
      <c r="AN123" s="292">
        <f t="shared" si="178"/>
        <v>2847790934</v>
      </c>
      <c r="AO123" s="292">
        <f t="shared" si="179"/>
        <v>778334312</v>
      </c>
      <c r="AP123" s="292">
        <f t="shared" si="176"/>
        <v>516595843</v>
      </c>
      <c r="AQ123" s="292">
        <f t="shared" si="176"/>
        <v>0</v>
      </c>
      <c r="AR123" s="292">
        <f t="shared" si="180"/>
        <v>1294930155</v>
      </c>
      <c r="AS123" s="292">
        <f t="shared" si="181"/>
        <v>3885925</v>
      </c>
      <c r="AT123" s="292">
        <f t="shared" si="182"/>
        <v>0</v>
      </c>
      <c r="AU123" s="292">
        <f t="shared" si="183"/>
        <v>0</v>
      </c>
      <c r="AV123" s="292">
        <f t="shared" si="184"/>
        <v>3885925</v>
      </c>
      <c r="AW123" s="292">
        <f t="shared" si="185"/>
        <v>7704</v>
      </c>
      <c r="AX123" s="292">
        <f t="shared" si="186"/>
        <v>7704</v>
      </c>
      <c r="AY123" s="292">
        <f t="shared" si="187"/>
        <v>3352906212</v>
      </c>
      <c r="AZ123" s="292">
        <f t="shared" si="188"/>
        <v>516595843</v>
      </c>
      <c r="BA123" s="292">
        <f t="shared" si="188"/>
        <v>277112663</v>
      </c>
      <c r="BB123" s="292">
        <f t="shared" si="189"/>
        <v>4146614718</v>
      </c>
      <c r="BC123" s="83">
        <f t="shared" si="191"/>
        <v>7.0585832696884898E-2</v>
      </c>
      <c r="BE123" s="5">
        <f>BB123/'Monthly D4 Gallon Data'!AX121</f>
        <v>1.5572382256147959</v>
      </c>
    </row>
    <row r="124" spans="1:57" ht="12.75">
      <c r="A124" s="171">
        <v>43831</v>
      </c>
      <c r="B124" s="295">
        <v>177608018</v>
      </c>
      <c r="C124" s="295">
        <v>0</v>
      </c>
      <c r="D124" s="295">
        <v>20606859</v>
      </c>
      <c r="E124" s="296">
        <f t="shared" si="156"/>
        <v>198214877</v>
      </c>
      <c r="F124" s="295">
        <f t="shared" si="113"/>
        <v>64314791</v>
      </c>
      <c r="G124" s="295">
        <f t="shared" si="114"/>
        <v>37835058</v>
      </c>
      <c r="H124" s="295">
        <f t="shared" si="115"/>
        <v>0</v>
      </c>
      <c r="I124" s="296">
        <f t="shared" si="192"/>
        <v>102149849</v>
      </c>
      <c r="J124" s="295">
        <f t="shared" si="116"/>
        <v>66544</v>
      </c>
      <c r="K124" s="295">
        <v>0</v>
      </c>
      <c r="L124" s="296">
        <f t="shared" si="110"/>
        <v>66544</v>
      </c>
      <c r="M124" s="295">
        <f t="shared" si="117"/>
        <v>0</v>
      </c>
      <c r="N124" s="296">
        <f t="shared" si="190"/>
        <v>0</v>
      </c>
      <c r="O124" s="296">
        <f t="shared" si="111"/>
        <v>241989353</v>
      </c>
      <c r="P124" s="296">
        <f t="shared" si="119"/>
        <v>37835058</v>
      </c>
      <c r="Q124" s="296">
        <f t="shared" si="112"/>
        <v>20606859</v>
      </c>
      <c r="R124" s="296">
        <f t="shared" si="158"/>
        <v>300431270</v>
      </c>
      <c r="S124" s="295">
        <v>0</v>
      </c>
      <c r="T124" s="295">
        <v>0</v>
      </c>
      <c r="U124" s="297">
        <v>64314791</v>
      </c>
      <c r="V124" s="297">
        <f t="shared" si="121"/>
        <v>64314791</v>
      </c>
      <c r="W124" s="295">
        <v>0</v>
      </c>
      <c r="X124" s="295">
        <v>0</v>
      </c>
      <c r="Y124" s="297">
        <v>37835058</v>
      </c>
      <c r="Z124" s="297">
        <f t="shared" si="122"/>
        <v>37835058</v>
      </c>
      <c r="AA124" s="295">
        <v>0</v>
      </c>
      <c r="AB124" s="295">
        <v>0</v>
      </c>
      <c r="AC124" s="295">
        <v>0</v>
      </c>
      <c r="AD124" s="297">
        <f t="shared" si="123"/>
        <v>0</v>
      </c>
      <c r="AE124" s="297">
        <v>66544</v>
      </c>
      <c r="AF124" s="295">
        <v>0</v>
      </c>
      <c r="AG124" s="297">
        <f t="shared" si="124"/>
        <v>66544</v>
      </c>
      <c r="AH124" s="297">
        <v>0</v>
      </c>
      <c r="AI124" s="297">
        <v>0</v>
      </c>
      <c r="AJ124" s="297">
        <f t="shared" si="125"/>
        <v>0</v>
      </c>
      <c r="AK124" s="297">
        <f>B124</f>
        <v>177608018</v>
      </c>
      <c r="AL124" s="297">
        <f>C124</f>
        <v>0</v>
      </c>
      <c r="AM124" s="297">
        <f>D124</f>
        <v>20606859</v>
      </c>
      <c r="AN124" s="297">
        <f>SUM(AK124:AM124)</f>
        <v>198214877</v>
      </c>
      <c r="AO124" s="297">
        <f>F124</f>
        <v>64314791</v>
      </c>
      <c r="AP124" s="297">
        <f>G124</f>
        <v>37835058</v>
      </c>
      <c r="AQ124" s="297">
        <f>H124</f>
        <v>0</v>
      </c>
      <c r="AR124" s="297">
        <f>SUM(AO124:AQ124)</f>
        <v>102149849</v>
      </c>
      <c r="AS124" s="297">
        <f>J124</f>
        <v>66544</v>
      </c>
      <c r="AT124" s="297">
        <f>AH124</f>
        <v>0</v>
      </c>
      <c r="AU124" s="297">
        <f>K124</f>
        <v>0</v>
      </c>
      <c r="AV124" s="297">
        <f>SUM(AS124:AU124)</f>
        <v>66544</v>
      </c>
      <c r="AW124" s="297">
        <f>M124</f>
        <v>0</v>
      </c>
      <c r="AX124" s="297">
        <f>AW124</f>
        <v>0</v>
      </c>
      <c r="AY124" s="297">
        <f>AK124+AO124+AS124+AW124</f>
        <v>241989353</v>
      </c>
      <c r="AZ124" s="297">
        <f>AL124+AP124+AT124</f>
        <v>37835058</v>
      </c>
      <c r="BA124" s="297">
        <f>AM124+AQ124+AU124</f>
        <v>20606859</v>
      </c>
      <c r="BB124" s="297">
        <f>SUM(AY124:BA124)</f>
        <v>300431270</v>
      </c>
      <c r="BC124" s="83">
        <f t="shared" si="191"/>
        <v>0.13714707096218137</v>
      </c>
      <c r="BD124" s="152"/>
      <c r="BE124" s="5">
        <f>BB124/'Monthly D4 Gallon Data'!AX122</f>
        <v>1.5625373885536349</v>
      </c>
    </row>
    <row r="125" spans="1:57" ht="12.75">
      <c r="A125" s="170">
        <v>43862</v>
      </c>
      <c r="B125" s="290">
        <v>192051881</v>
      </c>
      <c r="C125" s="290">
        <v>0</v>
      </c>
      <c r="D125" s="290">
        <v>17200392</v>
      </c>
      <c r="E125" s="291">
        <f t="shared" si="156"/>
        <v>209252273</v>
      </c>
      <c r="F125" s="290">
        <f t="shared" si="113"/>
        <v>57711396</v>
      </c>
      <c r="G125" s="290">
        <f t="shared" si="114"/>
        <v>48231971</v>
      </c>
      <c r="H125" s="290">
        <f t="shared" si="115"/>
        <v>0</v>
      </c>
      <c r="I125" s="291">
        <f t="shared" si="192"/>
        <v>105943367</v>
      </c>
      <c r="J125" s="290">
        <f t="shared" si="116"/>
        <v>0</v>
      </c>
      <c r="K125" s="290">
        <v>0</v>
      </c>
      <c r="L125" s="291">
        <f t="shared" si="110"/>
        <v>0</v>
      </c>
      <c r="M125" s="290">
        <f t="shared" si="117"/>
        <v>0</v>
      </c>
      <c r="N125" s="291">
        <f t="shared" si="190"/>
        <v>0</v>
      </c>
      <c r="O125" s="291">
        <f t="shared" si="111"/>
        <v>249763277</v>
      </c>
      <c r="P125" s="291">
        <f t="shared" si="119"/>
        <v>48231971</v>
      </c>
      <c r="Q125" s="291">
        <f t="shared" si="112"/>
        <v>17200392</v>
      </c>
      <c r="R125" s="291">
        <f t="shared" si="158"/>
        <v>315195640</v>
      </c>
      <c r="S125" s="290">
        <v>0</v>
      </c>
      <c r="T125" s="290">
        <v>0</v>
      </c>
      <c r="U125" s="292">
        <v>57711396</v>
      </c>
      <c r="V125" s="292">
        <f t="shared" si="121"/>
        <v>57711396</v>
      </c>
      <c r="W125" s="290">
        <v>0</v>
      </c>
      <c r="X125" s="290">
        <v>0</v>
      </c>
      <c r="Y125" s="292">
        <v>48231971</v>
      </c>
      <c r="Z125" s="292">
        <f t="shared" si="122"/>
        <v>48231971</v>
      </c>
      <c r="AA125" s="290">
        <v>0</v>
      </c>
      <c r="AB125" s="290">
        <v>0</v>
      </c>
      <c r="AC125" s="290">
        <v>0</v>
      </c>
      <c r="AD125" s="292">
        <f t="shared" si="123"/>
        <v>0</v>
      </c>
      <c r="AE125" s="292">
        <v>0</v>
      </c>
      <c r="AF125" s="290">
        <v>0</v>
      </c>
      <c r="AG125" s="292">
        <f t="shared" si="124"/>
        <v>0</v>
      </c>
      <c r="AH125" s="292">
        <v>0</v>
      </c>
      <c r="AI125" s="292">
        <v>0</v>
      </c>
      <c r="AJ125" s="292">
        <f t="shared" si="125"/>
        <v>0</v>
      </c>
      <c r="AK125" s="292">
        <f>AK124+B125</f>
        <v>369659899</v>
      </c>
      <c r="AL125" s="292">
        <f t="shared" ref="AL125:AM135" si="193">AL124+C125</f>
        <v>0</v>
      </c>
      <c r="AM125" s="292">
        <f t="shared" si="193"/>
        <v>37807251</v>
      </c>
      <c r="AN125" s="292">
        <f>SUM(AK125:AM125)</f>
        <v>407467150</v>
      </c>
      <c r="AO125" s="292">
        <f>AO124+F125</f>
        <v>122026187</v>
      </c>
      <c r="AP125" s="292">
        <f t="shared" ref="AP125:AQ135" si="194">AP124+G125</f>
        <v>86067029</v>
      </c>
      <c r="AQ125" s="292">
        <f t="shared" si="194"/>
        <v>0</v>
      </c>
      <c r="AR125" s="292">
        <f>SUM(AO125:AQ125)</f>
        <v>208093216</v>
      </c>
      <c r="AS125" s="292">
        <f>AS124+J125</f>
        <v>66544</v>
      </c>
      <c r="AT125" s="292">
        <f>AT124+AH125</f>
        <v>0</v>
      </c>
      <c r="AU125" s="292">
        <f>AU124+K125</f>
        <v>0</v>
      </c>
      <c r="AV125" s="292">
        <f>SUM(AS125:AU125)</f>
        <v>66544</v>
      </c>
      <c r="AW125" s="292">
        <f>AW124+M125</f>
        <v>0</v>
      </c>
      <c r="AX125" s="292">
        <f>AW125</f>
        <v>0</v>
      </c>
      <c r="AY125" s="292">
        <f>AK125+AO125+AS125+AW125</f>
        <v>491752630</v>
      </c>
      <c r="AZ125" s="292">
        <f>AL125+AP125+AT125</f>
        <v>86067029</v>
      </c>
      <c r="BA125" s="292">
        <f>AM125+AQ125+AU125</f>
        <v>37807251</v>
      </c>
      <c r="BB125" s="292">
        <f>SUM(AY125:BA125)</f>
        <v>615626910</v>
      </c>
      <c r="BC125" s="83">
        <f t="shared" si="191"/>
        <v>0.10476726578852302</v>
      </c>
      <c r="BD125" s="152"/>
      <c r="BE125" s="5">
        <f>BB125/'Monthly D4 Gallon Data'!AX123</f>
        <v>1.5621443610978289</v>
      </c>
    </row>
    <row r="126" spans="1:57" ht="12.75">
      <c r="A126" s="170">
        <v>43891</v>
      </c>
      <c r="B126" s="290">
        <v>225138790</v>
      </c>
      <c r="C126" s="290">
        <v>0</v>
      </c>
      <c r="D126" s="290">
        <v>27865918</v>
      </c>
      <c r="E126" s="291">
        <f t="shared" si="156"/>
        <v>253004708</v>
      </c>
      <c r="F126" s="290">
        <f t="shared" si="113"/>
        <v>70821250</v>
      </c>
      <c r="G126" s="290">
        <f t="shared" si="114"/>
        <v>47602533</v>
      </c>
      <c r="H126" s="290">
        <f t="shared" si="115"/>
        <v>0</v>
      </c>
      <c r="I126" s="291">
        <f t="shared" si="192"/>
        <v>118423783</v>
      </c>
      <c r="J126" s="290">
        <f t="shared" si="116"/>
        <v>449322</v>
      </c>
      <c r="K126" s="290">
        <v>0</v>
      </c>
      <c r="L126" s="291">
        <f t="shared" si="110"/>
        <v>449322</v>
      </c>
      <c r="M126" s="290">
        <f t="shared" si="117"/>
        <v>0</v>
      </c>
      <c r="N126" s="291">
        <f t="shared" si="190"/>
        <v>0</v>
      </c>
      <c r="O126" s="291">
        <f t="shared" si="111"/>
        <v>296409362</v>
      </c>
      <c r="P126" s="291">
        <f t="shared" si="119"/>
        <v>47602533</v>
      </c>
      <c r="Q126" s="291">
        <f t="shared" si="112"/>
        <v>27865918</v>
      </c>
      <c r="R126" s="291">
        <f t="shared" si="158"/>
        <v>371877813</v>
      </c>
      <c r="S126" s="290">
        <v>0</v>
      </c>
      <c r="T126" s="290">
        <v>124373</v>
      </c>
      <c r="U126" s="292">
        <v>70696877</v>
      </c>
      <c r="V126" s="292">
        <f t="shared" si="121"/>
        <v>70821250</v>
      </c>
      <c r="W126" s="290">
        <v>0</v>
      </c>
      <c r="X126" s="290">
        <v>0</v>
      </c>
      <c r="Y126" s="292">
        <v>47602533</v>
      </c>
      <c r="Z126" s="292">
        <f t="shared" si="122"/>
        <v>47602533</v>
      </c>
      <c r="AA126" s="290">
        <v>0</v>
      </c>
      <c r="AB126" s="290">
        <v>0</v>
      </c>
      <c r="AC126" s="290">
        <v>0</v>
      </c>
      <c r="AD126" s="292">
        <f t="shared" si="123"/>
        <v>0</v>
      </c>
      <c r="AE126" s="292">
        <v>449322</v>
      </c>
      <c r="AF126" s="290">
        <v>0</v>
      </c>
      <c r="AG126" s="292">
        <f t="shared" si="124"/>
        <v>449322</v>
      </c>
      <c r="AH126" s="292">
        <v>0</v>
      </c>
      <c r="AI126" s="292">
        <v>0</v>
      </c>
      <c r="AJ126" s="292">
        <f t="shared" si="125"/>
        <v>0</v>
      </c>
      <c r="AK126" s="292">
        <f t="shared" ref="AK126:AK135" si="195">AK125+B126</f>
        <v>594798689</v>
      </c>
      <c r="AL126" s="292">
        <f t="shared" si="193"/>
        <v>0</v>
      </c>
      <c r="AM126" s="292">
        <f t="shared" si="193"/>
        <v>65673169</v>
      </c>
      <c r="AN126" s="292">
        <f t="shared" ref="AN126:AN135" si="196">SUM(AK126:AM126)</f>
        <v>660471858</v>
      </c>
      <c r="AO126" s="292">
        <f t="shared" ref="AO126:AO135" si="197">AO125+F126</f>
        <v>192847437</v>
      </c>
      <c r="AP126" s="292">
        <f t="shared" si="194"/>
        <v>133669562</v>
      </c>
      <c r="AQ126" s="292">
        <f t="shared" si="194"/>
        <v>0</v>
      </c>
      <c r="AR126" s="292">
        <f t="shared" ref="AR126:AR135" si="198">SUM(AO126:AQ126)</f>
        <v>326516999</v>
      </c>
      <c r="AS126" s="292">
        <f t="shared" ref="AS126:AS135" si="199">AS125+J126</f>
        <v>515866</v>
      </c>
      <c r="AT126" s="292">
        <f t="shared" ref="AT126:AT135" si="200">AT125+AH126</f>
        <v>0</v>
      </c>
      <c r="AU126" s="292">
        <f t="shared" ref="AU126:AU135" si="201">AU125+K126</f>
        <v>0</v>
      </c>
      <c r="AV126" s="292">
        <f t="shared" ref="AV126:AV135" si="202">SUM(AS126:AU126)</f>
        <v>515866</v>
      </c>
      <c r="AW126" s="292">
        <f t="shared" ref="AW126:AW135" si="203">AW125+M126</f>
        <v>0</v>
      </c>
      <c r="AX126" s="292">
        <f t="shared" ref="AX126:AX135" si="204">AW126</f>
        <v>0</v>
      </c>
      <c r="AY126" s="292">
        <f t="shared" ref="AY126:AY135" si="205">AK126+AO126+AS126+AW126</f>
        <v>788161992</v>
      </c>
      <c r="AZ126" s="292">
        <f t="shared" ref="AZ126:BA135" si="206">AL126+AP126+AT126</f>
        <v>133669562</v>
      </c>
      <c r="BA126" s="292">
        <f t="shared" si="206"/>
        <v>65673169</v>
      </c>
      <c r="BB126" s="292">
        <f t="shared" ref="BB126:BB135" si="207">SUM(AY126:BA126)</f>
        <v>987504723</v>
      </c>
      <c r="BC126" s="83">
        <f t="shared" si="191"/>
        <v>0.11492935701379725</v>
      </c>
      <c r="BD126" s="152"/>
      <c r="BE126" s="5">
        <f>BB126/'Monthly D4 Gallon Data'!AX124</f>
        <v>1.5607658140354703</v>
      </c>
    </row>
    <row r="127" spans="1:57" ht="12.75">
      <c r="A127" s="170">
        <v>43922</v>
      </c>
      <c r="B127" s="290">
        <v>224037385</v>
      </c>
      <c r="C127" s="290">
        <v>0</v>
      </c>
      <c r="D127" s="290">
        <v>28024744</v>
      </c>
      <c r="E127" s="291">
        <f t="shared" si="156"/>
        <v>252062129</v>
      </c>
      <c r="F127" s="290">
        <f t="shared" si="113"/>
        <v>60390511</v>
      </c>
      <c r="G127" s="290">
        <f t="shared" si="114"/>
        <v>45288833</v>
      </c>
      <c r="H127" s="290">
        <f t="shared" si="115"/>
        <v>0</v>
      </c>
      <c r="I127" s="291">
        <f t="shared" si="192"/>
        <v>105679344</v>
      </c>
      <c r="J127" s="290">
        <f t="shared" si="116"/>
        <v>1975107</v>
      </c>
      <c r="K127" s="290">
        <v>0</v>
      </c>
      <c r="L127" s="291">
        <f t="shared" si="110"/>
        <v>1975107</v>
      </c>
      <c r="M127" s="290">
        <f t="shared" si="117"/>
        <v>0</v>
      </c>
      <c r="N127" s="291">
        <f t="shared" si="190"/>
        <v>0</v>
      </c>
      <c r="O127" s="291">
        <f t="shared" si="111"/>
        <v>286403003</v>
      </c>
      <c r="P127" s="291">
        <f t="shared" si="119"/>
        <v>45288833</v>
      </c>
      <c r="Q127" s="291">
        <f t="shared" si="112"/>
        <v>28024744</v>
      </c>
      <c r="R127" s="291">
        <f t="shared" si="158"/>
        <v>359716580</v>
      </c>
      <c r="S127" s="290">
        <v>0</v>
      </c>
      <c r="T127" s="290">
        <v>892434</v>
      </c>
      <c r="U127" s="292">
        <v>59498077</v>
      </c>
      <c r="V127" s="292">
        <f t="shared" si="121"/>
        <v>60390511</v>
      </c>
      <c r="W127" s="290">
        <v>0</v>
      </c>
      <c r="X127" s="290">
        <v>3513181</v>
      </c>
      <c r="Y127" s="292">
        <v>41775652</v>
      </c>
      <c r="Z127" s="292">
        <f t="shared" si="122"/>
        <v>45288833</v>
      </c>
      <c r="AA127" s="290">
        <v>0</v>
      </c>
      <c r="AB127" s="290">
        <v>0</v>
      </c>
      <c r="AC127" s="290">
        <v>0</v>
      </c>
      <c r="AD127" s="292">
        <f t="shared" si="123"/>
        <v>0</v>
      </c>
      <c r="AE127" s="292">
        <v>1975107</v>
      </c>
      <c r="AF127" s="290">
        <v>0</v>
      </c>
      <c r="AG127" s="292">
        <f t="shared" si="124"/>
        <v>1975107</v>
      </c>
      <c r="AH127" s="292">
        <v>0</v>
      </c>
      <c r="AI127" s="292">
        <v>0</v>
      </c>
      <c r="AJ127" s="292">
        <f t="shared" si="125"/>
        <v>0</v>
      </c>
      <c r="AK127" s="292">
        <f t="shared" si="195"/>
        <v>818836074</v>
      </c>
      <c r="AL127" s="292">
        <f t="shared" si="193"/>
        <v>0</v>
      </c>
      <c r="AM127" s="292">
        <f t="shared" si="193"/>
        <v>93697913</v>
      </c>
      <c r="AN127" s="292">
        <f t="shared" si="196"/>
        <v>912533987</v>
      </c>
      <c r="AO127" s="292">
        <f t="shared" si="197"/>
        <v>253237948</v>
      </c>
      <c r="AP127" s="292">
        <f t="shared" si="194"/>
        <v>178958395</v>
      </c>
      <c r="AQ127" s="292">
        <f t="shared" si="194"/>
        <v>0</v>
      </c>
      <c r="AR127" s="292">
        <f t="shared" si="198"/>
        <v>432196343</v>
      </c>
      <c r="AS127" s="292">
        <f t="shared" si="199"/>
        <v>2490973</v>
      </c>
      <c r="AT127" s="292">
        <f t="shared" si="200"/>
        <v>0</v>
      </c>
      <c r="AU127" s="292">
        <f t="shared" si="201"/>
        <v>0</v>
      </c>
      <c r="AV127" s="292">
        <f t="shared" si="202"/>
        <v>2490973</v>
      </c>
      <c r="AW127" s="292">
        <f t="shared" si="203"/>
        <v>0</v>
      </c>
      <c r="AX127" s="292">
        <f t="shared" si="204"/>
        <v>0</v>
      </c>
      <c r="AY127" s="292">
        <f t="shared" si="205"/>
        <v>1074564995</v>
      </c>
      <c r="AZ127" s="292">
        <f t="shared" si="206"/>
        <v>178958395</v>
      </c>
      <c r="BA127" s="292">
        <f t="shared" si="206"/>
        <v>93697913</v>
      </c>
      <c r="BB127" s="292">
        <f t="shared" si="207"/>
        <v>1347221303</v>
      </c>
      <c r="BC127" s="83">
        <f t="shared" si="191"/>
        <v>6.7582621642188201E-2</v>
      </c>
      <c r="BD127" s="152"/>
      <c r="BE127" s="5">
        <f>BB127/'Monthly D4 Gallon Data'!AX125</f>
        <v>1.5587332551010171</v>
      </c>
    </row>
    <row r="128" spans="1:57" ht="12.75">
      <c r="A128" s="170">
        <v>43952</v>
      </c>
      <c r="B128" s="290">
        <v>214764440</v>
      </c>
      <c r="C128" s="290">
        <v>0</v>
      </c>
      <c r="D128" s="290">
        <v>27970027</v>
      </c>
      <c r="E128" s="291">
        <f t="shared" si="156"/>
        <v>242734467</v>
      </c>
      <c r="F128" s="290">
        <f t="shared" si="113"/>
        <v>71680658</v>
      </c>
      <c r="G128" s="290">
        <f t="shared" si="114"/>
        <v>55143013</v>
      </c>
      <c r="H128" s="290">
        <f t="shared" si="115"/>
        <v>0</v>
      </c>
      <c r="I128" s="291">
        <f t="shared" si="192"/>
        <v>126823671</v>
      </c>
      <c r="J128" s="290">
        <f t="shared" si="116"/>
        <v>0</v>
      </c>
      <c r="K128" s="290">
        <v>0</v>
      </c>
      <c r="L128" s="291">
        <f t="shared" si="110"/>
        <v>0</v>
      </c>
      <c r="M128" s="290">
        <f t="shared" si="117"/>
        <v>0</v>
      </c>
      <c r="N128" s="291">
        <f t="shared" si="190"/>
        <v>0</v>
      </c>
      <c r="O128" s="291">
        <f t="shared" si="111"/>
        <v>286445098</v>
      </c>
      <c r="P128" s="291">
        <f t="shared" si="119"/>
        <v>55143013</v>
      </c>
      <c r="Q128" s="291">
        <f t="shared" si="112"/>
        <v>27970027</v>
      </c>
      <c r="R128" s="291">
        <f t="shared" si="158"/>
        <v>369558138</v>
      </c>
      <c r="S128" s="290">
        <v>0</v>
      </c>
      <c r="T128" s="290">
        <v>0</v>
      </c>
      <c r="U128" s="292">
        <v>71680658</v>
      </c>
      <c r="V128" s="292">
        <f t="shared" si="121"/>
        <v>71680658</v>
      </c>
      <c r="W128" s="290">
        <v>0</v>
      </c>
      <c r="X128" s="290">
        <v>0</v>
      </c>
      <c r="Y128" s="292">
        <v>55143013</v>
      </c>
      <c r="Z128" s="292">
        <f t="shared" si="122"/>
        <v>55143013</v>
      </c>
      <c r="AA128" s="290">
        <v>0</v>
      </c>
      <c r="AB128" s="290">
        <v>0</v>
      </c>
      <c r="AC128" s="290">
        <v>0</v>
      </c>
      <c r="AD128" s="292">
        <f t="shared" si="123"/>
        <v>0</v>
      </c>
      <c r="AE128" s="292">
        <v>0</v>
      </c>
      <c r="AF128" s="290">
        <v>0</v>
      </c>
      <c r="AG128" s="292">
        <f t="shared" si="124"/>
        <v>0</v>
      </c>
      <c r="AH128" s="292">
        <v>0</v>
      </c>
      <c r="AI128" s="292">
        <v>0</v>
      </c>
      <c r="AJ128" s="292">
        <f t="shared" si="125"/>
        <v>0</v>
      </c>
      <c r="AK128" s="292">
        <f t="shared" si="195"/>
        <v>1033600514</v>
      </c>
      <c r="AL128" s="292">
        <f t="shared" si="193"/>
        <v>0</v>
      </c>
      <c r="AM128" s="292">
        <f t="shared" si="193"/>
        <v>121667940</v>
      </c>
      <c r="AN128" s="292">
        <f t="shared" si="196"/>
        <v>1155268454</v>
      </c>
      <c r="AO128" s="292">
        <f t="shared" si="197"/>
        <v>324918606</v>
      </c>
      <c r="AP128" s="292">
        <f t="shared" si="194"/>
        <v>234101408</v>
      </c>
      <c r="AQ128" s="292">
        <f t="shared" si="194"/>
        <v>0</v>
      </c>
      <c r="AR128" s="292">
        <f t="shared" si="198"/>
        <v>559020014</v>
      </c>
      <c r="AS128" s="292">
        <f t="shared" si="199"/>
        <v>2490973</v>
      </c>
      <c r="AT128" s="292">
        <f t="shared" si="200"/>
        <v>0</v>
      </c>
      <c r="AU128" s="292">
        <f t="shared" si="201"/>
        <v>0</v>
      </c>
      <c r="AV128" s="292">
        <f t="shared" si="202"/>
        <v>2490973</v>
      </c>
      <c r="AW128" s="292">
        <f t="shared" si="203"/>
        <v>0</v>
      </c>
      <c r="AX128" s="292">
        <f t="shared" si="204"/>
        <v>0</v>
      </c>
      <c r="AY128" s="292">
        <f t="shared" si="205"/>
        <v>1361010093</v>
      </c>
      <c r="AZ128" s="292">
        <f t="shared" si="206"/>
        <v>234101408</v>
      </c>
      <c r="BA128" s="292">
        <f t="shared" si="206"/>
        <v>121667940</v>
      </c>
      <c r="BB128" s="292">
        <f t="shared" si="207"/>
        <v>1716779441</v>
      </c>
      <c r="BC128" s="83">
        <f t="shared" si="191"/>
        <v>4.3712667838315955E-2</v>
      </c>
      <c r="BD128" s="152"/>
      <c r="BE128" s="5">
        <f>BB128/'Monthly D4 Gallon Data'!AX126</f>
        <v>1.5596760275709654</v>
      </c>
    </row>
    <row r="129" spans="1:57" ht="12.75">
      <c r="A129" s="170">
        <v>43983</v>
      </c>
      <c r="B129" s="290">
        <v>248282531</v>
      </c>
      <c r="C129" s="290">
        <v>0</v>
      </c>
      <c r="D129" s="290">
        <v>25123860</v>
      </c>
      <c r="E129" s="291">
        <f t="shared" si="156"/>
        <v>273406391</v>
      </c>
      <c r="F129" s="290">
        <f t="shared" si="113"/>
        <v>84742792</v>
      </c>
      <c r="G129" s="290">
        <f t="shared" si="114"/>
        <v>28915447</v>
      </c>
      <c r="H129" s="290">
        <f t="shared" si="115"/>
        <v>0</v>
      </c>
      <c r="I129" s="291">
        <f t="shared" si="192"/>
        <v>113658239</v>
      </c>
      <c r="J129" s="290">
        <f t="shared" si="116"/>
        <v>813621</v>
      </c>
      <c r="K129" s="290">
        <v>0</v>
      </c>
      <c r="L129" s="291">
        <f t="shared" si="110"/>
        <v>813621</v>
      </c>
      <c r="M129" s="290">
        <f t="shared" si="117"/>
        <v>0</v>
      </c>
      <c r="N129" s="291">
        <f t="shared" si="190"/>
        <v>0</v>
      </c>
      <c r="O129" s="291">
        <f t="shared" si="111"/>
        <v>333838944</v>
      </c>
      <c r="P129" s="291">
        <f t="shared" si="119"/>
        <v>28915447</v>
      </c>
      <c r="Q129" s="291">
        <f t="shared" si="112"/>
        <v>25123860</v>
      </c>
      <c r="R129" s="291">
        <f t="shared" si="158"/>
        <v>387878251</v>
      </c>
      <c r="S129" s="290">
        <v>0</v>
      </c>
      <c r="T129" s="290">
        <v>169056</v>
      </c>
      <c r="U129" s="292">
        <v>84573736</v>
      </c>
      <c r="V129" s="292">
        <f t="shared" si="121"/>
        <v>84742792</v>
      </c>
      <c r="W129" s="290">
        <v>0</v>
      </c>
      <c r="X129" s="290">
        <v>0</v>
      </c>
      <c r="Y129" s="292">
        <v>28915447</v>
      </c>
      <c r="Z129" s="292">
        <f t="shared" si="122"/>
        <v>28915447</v>
      </c>
      <c r="AA129" s="290">
        <v>0</v>
      </c>
      <c r="AB129" s="290">
        <v>0</v>
      </c>
      <c r="AC129" s="290">
        <v>0</v>
      </c>
      <c r="AD129" s="292">
        <f t="shared" si="123"/>
        <v>0</v>
      </c>
      <c r="AE129" s="292">
        <v>813621</v>
      </c>
      <c r="AF129" s="290">
        <v>0</v>
      </c>
      <c r="AG129" s="292">
        <f t="shared" si="124"/>
        <v>813621</v>
      </c>
      <c r="AH129" s="292">
        <v>0</v>
      </c>
      <c r="AI129" s="292">
        <v>0</v>
      </c>
      <c r="AJ129" s="292">
        <f t="shared" si="125"/>
        <v>0</v>
      </c>
      <c r="AK129" s="292">
        <f t="shared" si="195"/>
        <v>1281883045</v>
      </c>
      <c r="AL129" s="292">
        <f t="shared" si="193"/>
        <v>0</v>
      </c>
      <c r="AM129" s="292">
        <f t="shared" si="193"/>
        <v>146791800</v>
      </c>
      <c r="AN129" s="292">
        <f t="shared" si="196"/>
        <v>1428674845</v>
      </c>
      <c r="AO129" s="292">
        <f t="shared" si="197"/>
        <v>409661398</v>
      </c>
      <c r="AP129" s="292">
        <f t="shared" si="194"/>
        <v>263016855</v>
      </c>
      <c r="AQ129" s="292">
        <f t="shared" si="194"/>
        <v>0</v>
      </c>
      <c r="AR129" s="292">
        <f t="shared" si="198"/>
        <v>672678253</v>
      </c>
      <c r="AS129" s="292">
        <f t="shared" si="199"/>
        <v>3304594</v>
      </c>
      <c r="AT129" s="292">
        <f t="shared" si="200"/>
        <v>0</v>
      </c>
      <c r="AU129" s="292">
        <f t="shared" si="201"/>
        <v>0</v>
      </c>
      <c r="AV129" s="292">
        <f t="shared" si="202"/>
        <v>3304594</v>
      </c>
      <c r="AW129" s="292">
        <f t="shared" si="203"/>
        <v>0</v>
      </c>
      <c r="AX129" s="292">
        <f t="shared" si="204"/>
        <v>0</v>
      </c>
      <c r="AY129" s="292">
        <f t="shared" si="205"/>
        <v>1694849037</v>
      </c>
      <c r="AZ129" s="292">
        <f t="shared" si="206"/>
        <v>263016855</v>
      </c>
      <c r="BA129" s="292">
        <f t="shared" si="206"/>
        <v>146791800</v>
      </c>
      <c r="BB129" s="292">
        <f t="shared" si="207"/>
        <v>2104657692</v>
      </c>
      <c r="BC129" s="83">
        <f t="shared" si="191"/>
        <v>5.0933452293781656E-2</v>
      </c>
      <c r="BD129" s="152"/>
      <c r="BE129" s="5">
        <f>BB129/'Monthly D4 Gallon Data'!AX127</f>
        <v>1.5585794032209317</v>
      </c>
    </row>
    <row r="130" spans="1:57" ht="12.75">
      <c r="A130" s="170">
        <v>44013</v>
      </c>
      <c r="B130" s="290">
        <v>244110863</v>
      </c>
      <c r="C130" s="290">
        <v>0</v>
      </c>
      <c r="D130" s="290">
        <v>29992721</v>
      </c>
      <c r="E130" s="291">
        <f t="shared" si="156"/>
        <v>274103584</v>
      </c>
      <c r="F130" s="290">
        <f t="shared" si="113"/>
        <v>73157145</v>
      </c>
      <c r="G130" s="290">
        <f t="shared" si="114"/>
        <v>36441822</v>
      </c>
      <c r="H130" s="290">
        <f t="shared" si="115"/>
        <v>0</v>
      </c>
      <c r="I130" s="291">
        <f t="shared" si="192"/>
        <v>109598967</v>
      </c>
      <c r="J130" s="290">
        <f t="shared" si="116"/>
        <v>2458760</v>
      </c>
      <c r="K130" s="290">
        <v>0</v>
      </c>
      <c r="L130" s="291">
        <f t="shared" si="110"/>
        <v>2458760</v>
      </c>
      <c r="M130" s="290">
        <f t="shared" si="117"/>
        <v>0</v>
      </c>
      <c r="N130" s="291">
        <f t="shared" si="190"/>
        <v>0</v>
      </c>
      <c r="O130" s="291">
        <f t="shared" si="111"/>
        <v>319726768</v>
      </c>
      <c r="P130" s="291">
        <f t="shared" si="119"/>
        <v>36441822</v>
      </c>
      <c r="Q130" s="291">
        <f t="shared" si="112"/>
        <v>29992721</v>
      </c>
      <c r="R130" s="291">
        <f t="shared" si="158"/>
        <v>386161311</v>
      </c>
      <c r="S130" s="290">
        <v>0</v>
      </c>
      <c r="T130" s="290">
        <v>712038</v>
      </c>
      <c r="U130" s="292">
        <v>72445107</v>
      </c>
      <c r="V130" s="292">
        <f t="shared" si="121"/>
        <v>73157145</v>
      </c>
      <c r="W130" s="290">
        <v>0</v>
      </c>
      <c r="X130" s="290">
        <v>0</v>
      </c>
      <c r="Y130" s="292">
        <v>36441822</v>
      </c>
      <c r="Z130" s="292">
        <f t="shared" si="122"/>
        <v>36441822</v>
      </c>
      <c r="AA130" s="290">
        <v>0</v>
      </c>
      <c r="AB130" s="290">
        <v>0</v>
      </c>
      <c r="AC130" s="290">
        <v>0</v>
      </c>
      <c r="AD130" s="292">
        <f t="shared" si="123"/>
        <v>0</v>
      </c>
      <c r="AE130" s="292">
        <v>2458760</v>
      </c>
      <c r="AF130" s="290">
        <v>0</v>
      </c>
      <c r="AG130" s="292">
        <f t="shared" si="124"/>
        <v>2458760</v>
      </c>
      <c r="AH130" s="292">
        <v>0</v>
      </c>
      <c r="AI130" s="292">
        <v>0</v>
      </c>
      <c r="AJ130" s="292">
        <f t="shared" si="125"/>
        <v>0</v>
      </c>
      <c r="AK130" s="292">
        <f t="shared" si="195"/>
        <v>1525993908</v>
      </c>
      <c r="AL130" s="292">
        <f t="shared" si="193"/>
        <v>0</v>
      </c>
      <c r="AM130" s="292">
        <f t="shared" si="193"/>
        <v>176784521</v>
      </c>
      <c r="AN130" s="292">
        <f t="shared" si="196"/>
        <v>1702778429</v>
      </c>
      <c r="AO130" s="292">
        <f t="shared" si="197"/>
        <v>482818543</v>
      </c>
      <c r="AP130" s="292">
        <f t="shared" si="194"/>
        <v>299458677</v>
      </c>
      <c r="AQ130" s="292">
        <f t="shared" si="194"/>
        <v>0</v>
      </c>
      <c r="AR130" s="292">
        <f t="shared" si="198"/>
        <v>782277220</v>
      </c>
      <c r="AS130" s="292">
        <f t="shared" si="199"/>
        <v>5763354</v>
      </c>
      <c r="AT130" s="292">
        <f t="shared" si="200"/>
        <v>0</v>
      </c>
      <c r="AU130" s="292">
        <f t="shared" si="201"/>
        <v>0</v>
      </c>
      <c r="AV130" s="292">
        <f t="shared" si="202"/>
        <v>5763354</v>
      </c>
      <c r="AW130" s="292">
        <f t="shared" si="203"/>
        <v>0</v>
      </c>
      <c r="AX130" s="292">
        <f t="shared" si="204"/>
        <v>0</v>
      </c>
      <c r="AY130" s="292">
        <f t="shared" si="205"/>
        <v>2014575805</v>
      </c>
      <c r="AZ130" s="292">
        <f t="shared" si="206"/>
        <v>299458677</v>
      </c>
      <c r="BA130" s="292">
        <f t="shared" si="206"/>
        <v>176784521</v>
      </c>
      <c r="BB130" s="292">
        <f t="shared" si="207"/>
        <v>2490819003</v>
      </c>
      <c r="BC130" s="83">
        <f t="shared" si="191"/>
        <v>3.6451110765830741E-2</v>
      </c>
      <c r="BD130" s="152"/>
      <c r="BE130" s="5">
        <f>BB130/'Monthly D4 Gallon Data'!AX128</f>
        <v>1.5576035152789525</v>
      </c>
    </row>
    <row r="131" spans="1:57" ht="12.75">
      <c r="A131" s="170">
        <v>44044</v>
      </c>
      <c r="B131" s="290">
        <v>257243900</v>
      </c>
      <c r="C131" s="290">
        <v>0</v>
      </c>
      <c r="D131" s="290">
        <v>24527514</v>
      </c>
      <c r="E131" s="291">
        <f t="shared" si="156"/>
        <v>281771414</v>
      </c>
      <c r="F131" s="290">
        <f t="shared" si="113"/>
        <v>68472656</v>
      </c>
      <c r="G131" s="290">
        <f t="shared" si="114"/>
        <v>40003047</v>
      </c>
      <c r="H131" s="290">
        <f t="shared" si="115"/>
        <v>0</v>
      </c>
      <c r="I131" s="291">
        <f t="shared" si="192"/>
        <v>108475703</v>
      </c>
      <c r="J131" s="290">
        <f t="shared" si="116"/>
        <v>102168</v>
      </c>
      <c r="K131" s="290">
        <v>0</v>
      </c>
      <c r="L131" s="291">
        <f t="shared" si="110"/>
        <v>102168</v>
      </c>
      <c r="M131" s="290">
        <f t="shared" si="117"/>
        <v>0</v>
      </c>
      <c r="N131" s="291">
        <f t="shared" si="190"/>
        <v>0</v>
      </c>
      <c r="O131" s="291">
        <f t="shared" si="111"/>
        <v>325818724</v>
      </c>
      <c r="P131" s="291">
        <f t="shared" si="119"/>
        <v>40003047</v>
      </c>
      <c r="Q131" s="291">
        <f t="shared" si="112"/>
        <v>24527514</v>
      </c>
      <c r="R131" s="291">
        <f t="shared" si="158"/>
        <v>390349285</v>
      </c>
      <c r="S131" s="290">
        <v>0</v>
      </c>
      <c r="T131" s="290">
        <v>0</v>
      </c>
      <c r="U131" s="292">
        <v>68472656</v>
      </c>
      <c r="V131" s="292">
        <f t="shared" si="121"/>
        <v>68472656</v>
      </c>
      <c r="W131" s="290">
        <v>0</v>
      </c>
      <c r="X131" s="290">
        <v>0</v>
      </c>
      <c r="Y131" s="292">
        <v>40003047</v>
      </c>
      <c r="Z131" s="292">
        <f t="shared" si="122"/>
        <v>40003047</v>
      </c>
      <c r="AA131" s="290">
        <v>0</v>
      </c>
      <c r="AB131" s="290">
        <v>0</v>
      </c>
      <c r="AC131" s="290">
        <v>0</v>
      </c>
      <c r="AD131" s="292">
        <f t="shared" si="123"/>
        <v>0</v>
      </c>
      <c r="AE131" s="292">
        <v>102168</v>
      </c>
      <c r="AF131" s="290">
        <v>0</v>
      </c>
      <c r="AG131" s="292">
        <f t="shared" si="124"/>
        <v>102168</v>
      </c>
      <c r="AH131" s="292">
        <v>0</v>
      </c>
      <c r="AI131" s="292">
        <v>0</v>
      </c>
      <c r="AJ131" s="292">
        <f t="shared" si="125"/>
        <v>0</v>
      </c>
      <c r="AK131" s="292">
        <f t="shared" si="195"/>
        <v>1783237808</v>
      </c>
      <c r="AL131" s="292">
        <f t="shared" si="193"/>
        <v>0</v>
      </c>
      <c r="AM131" s="292">
        <f t="shared" si="193"/>
        <v>201312035</v>
      </c>
      <c r="AN131" s="292">
        <f t="shared" si="196"/>
        <v>1984549843</v>
      </c>
      <c r="AO131" s="292">
        <f t="shared" si="197"/>
        <v>551291199</v>
      </c>
      <c r="AP131" s="292">
        <f t="shared" si="194"/>
        <v>339461724</v>
      </c>
      <c r="AQ131" s="292">
        <f t="shared" si="194"/>
        <v>0</v>
      </c>
      <c r="AR131" s="292">
        <f t="shared" si="198"/>
        <v>890752923</v>
      </c>
      <c r="AS131" s="292">
        <f t="shared" si="199"/>
        <v>5865522</v>
      </c>
      <c r="AT131" s="292">
        <f t="shared" si="200"/>
        <v>0</v>
      </c>
      <c r="AU131" s="292">
        <f t="shared" si="201"/>
        <v>0</v>
      </c>
      <c r="AV131" s="292">
        <f t="shared" si="202"/>
        <v>5865522</v>
      </c>
      <c r="AW131" s="292">
        <f t="shared" si="203"/>
        <v>0</v>
      </c>
      <c r="AX131" s="292">
        <f t="shared" si="204"/>
        <v>0</v>
      </c>
      <c r="AY131" s="292">
        <f t="shared" si="205"/>
        <v>2340394529</v>
      </c>
      <c r="AZ131" s="292">
        <f t="shared" si="206"/>
        <v>339461724</v>
      </c>
      <c r="BA131" s="292">
        <f t="shared" si="206"/>
        <v>201312035</v>
      </c>
      <c r="BB131" s="292">
        <f t="shared" si="207"/>
        <v>2881168288</v>
      </c>
      <c r="BC131" s="83">
        <f t="shared" si="191"/>
        <v>5.3414505681349089E-2</v>
      </c>
      <c r="BD131" s="152"/>
      <c r="BE131" s="5">
        <f>BB131/'Monthly D4 Gallon Data'!AX129</f>
        <v>1.5566699910066362</v>
      </c>
    </row>
    <row r="132" spans="1:57" ht="12.75">
      <c r="A132" s="170">
        <v>44075</v>
      </c>
      <c r="B132" s="290">
        <v>251801474</v>
      </c>
      <c r="C132" s="290">
        <v>0</v>
      </c>
      <c r="D132" s="290">
        <v>21081377</v>
      </c>
      <c r="E132" s="291">
        <f t="shared" si="156"/>
        <v>272882851</v>
      </c>
      <c r="F132" s="290">
        <f t="shared" si="113"/>
        <v>76213150</v>
      </c>
      <c r="G132" s="290">
        <f t="shared" si="114"/>
        <v>89201630</v>
      </c>
      <c r="H132" s="290">
        <f t="shared" si="115"/>
        <v>0</v>
      </c>
      <c r="I132" s="291">
        <f t="shared" si="192"/>
        <v>165414780</v>
      </c>
      <c r="J132" s="290">
        <f t="shared" si="116"/>
        <v>593870</v>
      </c>
      <c r="K132" s="290">
        <v>0</v>
      </c>
      <c r="L132" s="291">
        <f t="shared" ref="L132:L186" si="208">SUM(J132:K132,AH132)</f>
        <v>593870</v>
      </c>
      <c r="M132" s="290">
        <f t="shared" si="117"/>
        <v>0</v>
      </c>
      <c r="N132" s="291">
        <f t="shared" si="190"/>
        <v>0</v>
      </c>
      <c r="O132" s="291">
        <f t="shared" ref="O132:O149" si="209">B132+F132+J132+M132</f>
        <v>328608494</v>
      </c>
      <c r="P132" s="291">
        <f t="shared" si="119"/>
        <v>89201630</v>
      </c>
      <c r="Q132" s="291">
        <f t="shared" ref="Q132:Q149" si="210">D132+H132+K132</f>
        <v>21081377</v>
      </c>
      <c r="R132" s="291">
        <f t="shared" si="158"/>
        <v>438891501</v>
      </c>
      <c r="S132" s="290">
        <v>0</v>
      </c>
      <c r="T132" s="290">
        <v>0</v>
      </c>
      <c r="U132" s="292">
        <v>76213150</v>
      </c>
      <c r="V132" s="292">
        <f t="shared" si="121"/>
        <v>76213150</v>
      </c>
      <c r="W132" s="290">
        <v>0</v>
      </c>
      <c r="X132" s="290">
        <v>0</v>
      </c>
      <c r="Y132" s="292">
        <v>89201630</v>
      </c>
      <c r="Z132" s="292">
        <f t="shared" si="122"/>
        <v>89201630</v>
      </c>
      <c r="AA132" s="290">
        <v>0</v>
      </c>
      <c r="AB132" s="290">
        <v>0</v>
      </c>
      <c r="AC132" s="292">
        <v>0</v>
      </c>
      <c r="AD132" s="292">
        <f t="shared" si="123"/>
        <v>0</v>
      </c>
      <c r="AE132" s="292">
        <v>593870</v>
      </c>
      <c r="AF132" s="290">
        <v>0</v>
      </c>
      <c r="AG132" s="292">
        <f t="shared" si="124"/>
        <v>593870</v>
      </c>
      <c r="AH132" s="292">
        <v>0</v>
      </c>
      <c r="AI132" s="292">
        <v>0</v>
      </c>
      <c r="AJ132" s="292">
        <f t="shared" si="125"/>
        <v>0</v>
      </c>
      <c r="AK132" s="292">
        <f t="shared" si="195"/>
        <v>2035039282</v>
      </c>
      <c r="AL132" s="292">
        <f t="shared" si="193"/>
        <v>0</v>
      </c>
      <c r="AM132" s="292">
        <f t="shared" si="193"/>
        <v>222393412</v>
      </c>
      <c r="AN132" s="292">
        <f t="shared" si="196"/>
        <v>2257432694</v>
      </c>
      <c r="AO132" s="292">
        <f t="shared" si="197"/>
        <v>627504349</v>
      </c>
      <c r="AP132" s="292">
        <f t="shared" si="194"/>
        <v>428663354</v>
      </c>
      <c r="AQ132" s="292">
        <f t="shared" si="194"/>
        <v>0</v>
      </c>
      <c r="AR132" s="292">
        <f t="shared" si="198"/>
        <v>1056167703</v>
      </c>
      <c r="AS132" s="292">
        <f t="shared" si="199"/>
        <v>6459392</v>
      </c>
      <c r="AT132" s="292">
        <f t="shared" si="200"/>
        <v>0</v>
      </c>
      <c r="AU132" s="292">
        <f t="shared" si="201"/>
        <v>0</v>
      </c>
      <c r="AV132" s="292">
        <f t="shared" si="202"/>
        <v>6459392</v>
      </c>
      <c r="AW132" s="292">
        <f t="shared" si="203"/>
        <v>0</v>
      </c>
      <c r="AX132" s="292">
        <f t="shared" si="204"/>
        <v>0</v>
      </c>
      <c r="AY132" s="292">
        <f t="shared" si="205"/>
        <v>2669003023</v>
      </c>
      <c r="AZ132" s="292">
        <f t="shared" si="206"/>
        <v>428663354</v>
      </c>
      <c r="BA132" s="292">
        <f t="shared" si="206"/>
        <v>222393412</v>
      </c>
      <c r="BB132" s="292">
        <f t="shared" si="207"/>
        <v>3320059789</v>
      </c>
      <c r="BC132" s="83">
        <f t="shared" si="191"/>
        <v>7.9144309788699907E-2</v>
      </c>
      <c r="BD132" s="152"/>
      <c r="BE132" s="5">
        <f>BB132/'Monthly D4 Gallon Data'!AX130</f>
        <v>1.5583864706364756</v>
      </c>
    </row>
    <row r="133" spans="1:57" ht="12.75">
      <c r="A133" s="170">
        <v>44105</v>
      </c>
      <c r="B133" s="290">
        <v>224237799</v>
      </c>
      <c r="C133" s="290">
        <v>0</v>
      </c>
      <c r="D133" s="290">
        <v>22923796</v>
      </c>
      <c r="E133" s="291">
        <f t="shared" si="156"/>
        <v>247161595</v>
      </c>
      <c r="F133" s="290">
        <f t="shared" ref="F133:F149" si="211">V133</f>
        <v>35511779</v>
      </c>
      <c r="G133" s="290">
        <f t="shared" ref="G133:G149" si="212">Z133</f>
        <v>49742290</v>
      </c>
      <c r="H133" s="290">
        <f t="shared" ref="H133:H149" si="213">AD133</f>
        <v>0</v>
      </c>
      <c r="I133" s="291">
        <f t="shared" si="192"/>
        <v>85254069</v>
      </c>
      <c r="J133" s="290">
        <f t="shared" ref="J133:J161" si="214">AG133</f>
        <v>301466</v>
      </c>
      <c r="K133" s="290">
        <v>0</v>
      </c>
      <c r="L133" s="291">
        <f t="shared" si="208"/>
        <v>301466</v>
      </c>
      <c r="M133" s="290">
        <f t="shared" ref="M133:M186" si="215">AJ133</f>
        <v>0</v>
      </c>
      <c r="N133" s="291">
        <f t="shared" si="190"/>
        <v>0</v>
      </c>
      <c r="O133" s="291">
        <f t="shared" si="209"/>
        <v>260051044</v>
      </c>
      <c r="P133" s="291">
        <f t="shared" ref="P133:P186" si="216">C133+G133+AH133</f>
        <v>49742290</v>
      </c>
      <c r="Q133" s="291">
        <f t="shared" si="210"/>
        <v>22923796</v>
      </c>
      <c r="R133" s="291">
        <f t="shared" si="158"/>
        <v>332717130</v>
      </c>
      <c r="S133" s="290">
        <v>0</v>
      </c>
      <c r="T133" s="290">
        <v>0</v>
      </c>
      <c r="U133" s="292">
        <v>35511779</v>
      </c>
      <c r="V133" s="292">
        <f t="shared" ref="V133:V186" si="217">SUM(S133:U133)</f>
        <v>35511779</v>
      </c>
      <c r="W133" s="290">
        <v>0</v>
      </c>
      <c r="X133" s="290">
        <v>0</v>
      </c>
      <c r="Y133" s="292">
        <v>49742290</v>
      </c>
      <c r="Z133" s="292">
        <f t="shared" ref="Z133:Z186" si="218">SUM(W133:Y133)</f>
        <v>49742290</v>
      </c>
      <c r="AA133" s="290">
        <v>0</v>
      </c>
      <c r="AB133" s="290">
        <v>0</v>
      </c>
      <c r="AC133" s="290">
        <v>0</v>
      </c>
      <c r="AD133" s="292">
        <f t="shared" ref="AD133:AD186" si="219">SUM(AA133:AC133)</f>
        <v>0</v>
      </c>
      <c r="AE133" s="292">
        <v>301466</v>
      </c>
      <c r="AF133" s="290">
        <v>0</v>
      </c>
      <c r="AG133" s="292">
        <f t="shared" ref="AG133:AG186" si="220">AF133+AE133</f>
        <v>301466</v>
      </c>
      <c r="AH133" s="292">
        <v>0</v>
      </c>
      <c r="AI133" s="292">
        <v>0</v>
      </c>
      <c r="AJ133" s="292">
        <f t="shared" si="125"/>
        <v>0</v>
      </c>
      <c r="AK133" s="292">
        <f t="shared" si="195"/>
        <v>2259277081</v>
      </c>
      <c r="AL133" s="292">
        <f t="shared" si="193"/>
        <v>0</v>
      </c>
      <c r="AM133" s="292">
        <f t="shared" si="193"/>
        <v>245317208</v>
      </c>
      <c r="AN133" s="292">
        <f t="shared" si="196"/>
        <v>2504594289</v>
      </c>
      <c r="AO133" s="292">
        <f t="shared" si="197"/>
        <v>663016128</v>
      </c>
      <c r="AP133" s="292">
        <f t="shared" si="194"/>
        <v>478405644</v>
      </c>
      <c r="AQ133" s="292">
        <f t="shared" si="194"/>
        <v>0</v>
      </c>
      <c r="AR133" s="292">
        <f t="shared" si="198"/>
        <v>1141421772</v>
      </c>
      <c r="AS133" s="292">
        <f t="shared" si="199"/>
        <v>6760858</v>
      </c>
      <c r="AT133" s="292">
        <f t="shared" si="200"/>
        <v>0</v>
      </c>
      <c r="AU133" s="292">
        <f t="shared" si="201"/>
        <v>0</v>
      </c>
      <c r="AV133" s="292">
        <f t="shared" si="202"/>
        <v>6760858</v>
      </c>
      <c r="AW133" s="292">
        <f t="shared" si="203"/>
        <v>0</v>
      </c>
      <c r="AX133" s="292">
        <f t="shared" si="204"/>
        <v>0</v>
      </c>
      <c r="AY133" s="292">
        <f t="shared" si="205"/>
        <v>2929054067</v>
      </c>
      <c r="AZ133" s="292">
        <f t="shared" si="206"/>
        <v>478405644</v>
      </c>
      <c r="BA133" s="292">
        <f t="shared" si="206"/>
        <v>245317208</v>
      </c>
      <c r="BB133" s="292">
        <f t="shared" si="207"/>
        <v>3652776919</v>
      </c>
      <c r="BC133" s="83">
        <f t="shared" si="191"/>
        <v>5.7882492324228929E-2</v>
      </c>
      <c r="BE133" s="5">
        <f>BB133/'Monthly D4 Gallon Data'!AX131</f>
        <v>1.5573174146986233</v>
      </c>
    </row>
    <row r="134" spans="1:57" ht="12.75">
      <c r="A134" s="170">
        <v>44136</v>
      </c>
      <c r="B134" s="290">
        <v>214245415</v>
      </c>
      <c r="C134" s="290">
        <v>0</v>
      </c>
      <c r="D134" s="290">
        <v>32916784</v>
      </c>
      <c r="E134" s="291">
        <f t="shared" si="156"/>
        <v>247162199</v>
      </c>
      <c r="F134" s="290">
        <f t="shared" si="211"/>
        <v>73317558</v>
      </c>
      <c r="G134" s="290">
        <f t="shared" si="212"/>
        <v>69217057</v>
      </c>
      <c r="H134" s="290">
        <f t="shared" si="213"/>
        <v>0</v>
      </c>
      <c r="I134" s="291">
        <f t="shared" si="192"/>
        <v>142534615</v>
      </c>
      <c r="J134" s="290">
        <f t="shared" si="214"/>
        <v>301122</v>
      </c>
      <c r="K134" s="290">
        <v>0</v>
      </c>
      <c r="L134" s="291">
        <f t="shared" si="208"/>
        <v>301122</v>
      </c>
      <c r="M134" s="290">
        <f t="shared" si="215"/>
        <v>9384</v>
      </c>
      <c r="N134" s="291">
        <f t="shared" si="190"/>
        <v>9384</v>
      </c>
      <c r="O134" s="291">
        <f t="shared" si="209"/>
        <v>287873479</v>
      </c>
      <c r="P134" s="291">
        <f t="shared" si="216"/>
        <v>69217057</v>
      </c>
      <c r="Q134" s="291">
        <f t="shared" si="210"/>
        <v>32916784</v>
      </c>
      <c r="R134" s="291">
        <f t="shared" si="158"/>
        <v>390007320</v>
      </c>
      <c r="S134" s="290">
        <v>0</v>
      </c>
      <c r="T134" s="290">
        <v>7443</v>
      </c>
      <c r="U134" s="292">
        <v>73310115</v>
      </c>
      <c r="V134" s="292">
        <f t="shared" si="217"/>
        <v>73317558</v>
      </c>
      <c r="W134" s="290">
        <v>0</v>
      </c>
      <c r="X134" s="290">
        <v>0</v>
      </c>
      <c r="Y134" s="292">
        <v>69217057</v>
      </c>
      <c r="Z134" s="292">
        <f t="shared" si="218"/>
        <v>69217057</v>
      </c>
      <c r="AA134" s="290">
        <v>0</v>
      </c>
      <c r="AB134" s="290">
        <v>0</v>
      </c>
      <c r="AC134" s="290">
        <v>0</v>
      </c>
      <c r="AD134" s="292">
        <f t="shared" si="219"/>
        <v>0</v>
      </c>
      <c r="AE134" s="292">
        <v>301122</v>
      </c>
      <c r="AF134" s="290">
        <v>0</v>
      </c>
      <c r="AG134" s="292">
        <f t="shared" si="220"/>
        <v>301122</v>
      </c>
      <c r="AH134" s="292">
        <v>0</v>
      </c>
      <c r="AI134" s="292">
        <v>9384</v>
      </c>
      <c r="AJ134" s="292">
        <f t="shared" si="125"/>
        <v>9384</v>
      </c>
      <c r="AK134" s="292">
        <f t="shared" si="195"/>
        <v>2473522496</v>
      </c>
      <c r="AL134" s="292">
        <f t="shared" si="193"/>
        <v>0</v>
      </c>
      <c r="AM134" s="292">
        <f t="shared" si="193"/>
        <v>278233992</v>
      </c>
      <c r="AN134" s="292">
        <f t="shared" si="196"/>
        <v>2751756488</v>
      </c>
      <c r="AO134" s="292">
        <f t="shared" si="197"/>
        <v>736333686</v>
      </c>
      <c r="AP134" s="292">
        <f t="shared" si="194"/>
        <v>547622701</v>
      </c>
      <c r="AQ134" s="292">
        <f t="shared" si="194"/>
        <v>0</v>
      </c>
      <c r="AR134" s="292">
        <f t="shared" si="198"/>
        <v>1283956387</v>
      </c>
      <c r="AS134" s="292">
        <f t="shared" si="199"/>
        <v>7061980</v>
      </c>
      <c r="AT134" s="292">
        <f t="shared" si="200"/>
        <v>0</v>
      </c>
      <c r="AU134" s="292">
        <f t="shared" si="201"/>
        <v>0</v>
      </c>
      <c r="AV134" s="292">
        <f t="shared" si="202"/>
        <v>7061980</v>
      </c>
      <c r="AW134" s="292">
        <f t="shared" si="203"/>
        <v>9384</v>
      </c>
      <c r="AX134" s="292">
        <f t="shared" si="204"/>
        <v>9384</v>
      </c>
      <c r="AY134" s="292">
        <f t="shared" si="205"/>
        <v>3216927546</v>
      </c>
      <c r="AZ134" s="292">
        <f t="shared" si="206"/>
        <v>547622701</v>
      </c>
      <c r="BA134" s="292">
        <f t="shared" si="206"/>
        <v>278233992</v>
      </c>
      <c r="BB134" s="292">
        <f t="shared" si="207"/>
        <v>4042784239</v>
      </c>
      <c r="BC134" s="83">
        <f t="shared" si="191"/>
        <v>7.410114963565495E-2</v>
      </c>
      <c r="BE134" s="5">
        <f>BB134/'Monthly D4 Gallon Data'!AX132</f>
        <v>1.5582923367350319</v>
      </c>
    </row>
    <row r="135" spans="1:57" ht="13.5" thickBot="1">
      <c r="A135" s="170">
        <v>44166</v>
      </c>
      <c r="B135" s="290">
        <v>263824602</v>
      </c>
      <c r="C135" s="290">
        <v>0</v>
      </c>
      <c r="D135" s="290">
        <v>36007098</v>
      </c>
      <c r="E135" s="291">
        <f t="shared" si="156"/>
        <v>299831700</v>
      </c>
      <c r="F135" s="290">
        <f t="shared" si="211"/>
        <v>84497760</v>
      </c>
      <c r="G135" s="290">
        <f t="shared" si="212"/>
        <v>62816369</v>
      </c>
      <c r="H135" s="290">
        <f t="shared" si="213"/>
        <v>0</v>
      </c>
      <c r="I135" s="291">
        <f t="shared" si="192"/>
        <v>147314129</v>
      </c>
      <c r="J135" s="290">
        <f t="shared" si="214"/>
        <v>311460</v>
      </c>
      <c r="K135" s="290">
        <v>0</v>
      </c>
      <c r="L135" s="291">
        <f t="shared" si="208"/>
        <v>311460</v>
      </c>
      <c r="M135" s="290">
        <f t="shared" si="215"/>
        <v>0</v>
      </c>
      <c r="N135" s="291">
        <f t="shared" si="190"/>
        <v>0</v>
      </c>
      <c r="O135" s="291">
        <f t="shared" si="209"/>
        <v>348633822</v>
      </c>
      <c r="P135" s="298">
        <f t="shared" si="216"/>
        <v>62816369</v>
      </c>
      <c r="Q135" s="291">
        <f t="shared" si="210"/>
        <v>36007098</v>
      </c>
      <c r="R135" s="291">
        <f t="shared" si="158"/>
        <v>447457289</v>
      </c>
      <c r="S135" s="290">
        <v>0</v>
      </c>
      <c r="T135" s="290">
        <v>0</v>
      </c>
      <c r="U135" s="292">
        <v>84497760</v>
      </c>
      <c r="V135" s="292">
        <f t="shared" si="217"/>
        <v>84497760</v>
      </c>
      <c r="W135" s="290">
        <v>0</v>
      </c>
      <c r="X135" s="290">
        <v>0</v>
      </c>
      <c r="Y135" s="292">
        <v>62816369</v>
      </c>
      <c r="Z135" s="292">
        <f t="shared" si="218"/>
        <v>62816369</v>
      </c>
      <c r="AA135" s="290">
        <v>0</v>
      </c>
      <c r="AB135" s="290">
        <v>0</v>
      </c>
      <c r="AC135" s="290">
        <v>0</v>
      </c>
      <c r="AD135" s="292">
        <f t="shared" si="219"/>
        <v>0</v>
      </c>
      <c r="AE135" s="292">
        <v>311460</v>
      </c>
      <c r="AF135" s="290">
        <v>0</v>
      </c>
      <c r="AG135" s="292">
        <f t="shared" si="220"/>
        <v>311460</v>
      </c>
      <c r="AH135" s="292">
        <v>0</v>
      </c>
      <c r="AI135" s="292">
        <v>0</v>
      </c>
      <c r="AJ135" s="292">
        <f t="shared" ref="AJ135:AJ186" si="221">AI135</f>
        <v>0</v>
      </c>
      <c r="AK135" s="292">
        <f t="shared" si="195"/>
        <v>2737347098</v>
      </c>
      <c r="AL135" s="292">
        <f t="shared" si="193"/>
        <v>0</v>
      </c>
      <c r="AM135" s="292">
        <f t="shared" si="193"/>
        <v>314241090</v>
      </c>
      <c r="AN135" s="292">
        <f t="shared" si="196"/>
        <v>3051588188</v>
      </c>
      <c r="AO135" s="292">
        <f t="shared" si="197"/>
        <v>820831446</v>
      </c>
      <c r="AP135" s="292">
        <f t="shared" si="194"/>
        <v>610439070</v>
      </c>
      <c r="AQ135" s="292">
        <f t="shared" si="194"/>
        <v>0</v>
      </c>
      <c r="AR135" s="292">
        <f t="shared" si="198"/>
        <v>1431270516</v>
      </c>
      <c r="AS135" s="292">
        <f t="shared" si="199"/>
        <v>7373440</v>
      </c>
      <c r="AT135" s="292">
        <f t="shared" si="200"/>
        <v>0</v>
      </c>
      <c r="AU135" s="292">
        <f t="shared" si="201"/>
        <v>0</v>
      </c>
      <c r="AV135" s="292">
        <f t="shared" si="202"/>
        <v>7373440</v>
      </c>
      <c r="AW135" s="292">
        <f t="shared" si="203"/>
        <v>9384</v>
      </c>
      <c r="AX135" s="292">
        <f t="shared" si="204"/>
        <v>9384</v>
      </c>
      <c r="AY135" s="292">
        <f t="shared" si="205"/>
        <v>3565561368</v>
      </c>
      <c r="AZ135" s="292">
        <f t="shared" si="206"/>
        <v>610439070</v>
      </c>
      <c r="BA135" s="292">
        <f t="shared" si="206"/>
        <v>314241090</v>
      </c>
      <c r="BB135" s="292">
        <f t="shared" si="207"/>
        <v>4490241528</v>
      </c>
      <c r="BC135" s="83">
        <f t="shared" si="191"/>
        <v>8.2869239938871964E-2</v>
      </c>
      <c r="BE135" s="5">
        <f>BB135/'Monthly D4 Gallon Data'!AX133</f>
        <v>1.5585140927524357</v>
      </c>
    </row>
    <row r="136" spans="1:57" ht="12.75">
      <c r="A136" s="171">
        <v>44197</v>
      </c>
      <c r="B136" s="295">
        <v>160955805</v>
      </c>
      <c r="C136" s="295">
        <v>0</v>
      </c>
      <c r="D136" s="295">
        <v>12804373</v>
      </c>
      <c r="E136" s="296">
        <f t="shared" si="156"/>
        <v>173760178</v>
      </c>
      <c r="F136" s="295">
        <f t="shared" si="211"/>
        <v>70841221</v>
      </c>
      <c r="G136" s="295">
        <f t="shared" si="212"/>
        <v>50603181</v>
      </c>
      <c r="H136" s="295">
        <f t="shared" si="213"/>
        <v>4861840</v>
      </c>
      <c r="I136" s="296">
        <f t="shared" si="192"/>
        <v>126306242</v>
      </c>
      <c r="J136" s="295">
        <f t="shared" si="214"/>
        <v>463720</v>
      </c>
      <c r="K136" s="295">
        <v>0</v>
      </c>
      <c r="L136" s="296">
        <f t="shared" si="208"/>
        <v>463720</v>
      </c>
      <c r="M136" s="295">
        <f t="shared" si="215"/>
        <v>0</v>
      </c>
      <c r="N136" s="296">
        <f t="shared" si="190"/>
        <v>0</v>
      </c>
      <c r="O136" s="296">
        <f t="shared" si="209"/>
        <v>232260746</v>
      </c>
      <c r="P136" s="296">
        <f t="shared" si="216"/>
        <v>50603181</v>
      </c>
      <c r="Q136" s="296">
        <f t="shared" si="210"/>
        <v>17666213</v>
      </c>
      <c r="R136" s="296">
        <f t="shared" si="158"/>
        <v>300530140</v>
      </c>
      <c r="S136" s="295">
        <v>0</v>
      </c>
      <c r="T136" s="295">
        <v>0</v>
      </c>
      <c r="U136" s="297">
        <v>70841221</v>
      </c>
      <c r="V136" s="297">
        <f t="shared" si="217"/>
        <v>70841221</v>
      </c>
      <c r="W136" s="295">
        <v>0</v>
      </c>
      <c r="X136" s="295">
        <v>0</v>
      </c>
      <c r="Y136" s="297">
        <v>50603181</v>
      </c>
      <c r="Z136" s="297">
        <f t="shared" si="218"/>
        <v>50603181</v>
      </c>
      <c r="AA136" s="295">
        <v>0</v>
      </c>
      <c r="AB136" s="295">
        <v>0</v>
      </c>
      <c r="AC136" s="295">
        <v>4861840</v>
      </c>
      <c r="AD136" s="297">
        <f t="shared" si="219"/>
        <v>4861840</v>
      </c>
      <c r="AE136" s="297">
        <v>463720</v>
      </c>
      <c r="AF136" s="295">
        <v>0</v>
      </c>
      <c r="AG136" s="297">
        <f t="shared" si="220"/>
        <v>463720</v>
      </c>
      <c r="AH136" s="297">
        <v>0</v>
      </c>
      <c r="AI136" s="297">
        <v>0</v>
      </c>
      <c r="AJ136" s="297">
        <f t="shared" si="221"/>
        <v>0</v>
      </c>
      <c r="AK136" s="297">
        <f>B136</f>
        <v>160955805</v>
      </c>
      <c r="AL136" s="297">
        <f>C136</f>
        <v>0</v>
      </c>
      <c r="AM136" s="297">
        <f>D136</f>
        <v>12804373</v>
      </c>
      <c r="AN136" s="297">
        <f>SUM(AK136:AM136)</f>
        <v>173760178</v>
      </c>
      <c r="AO136" s="297">
        <f>F136</f>
        <v>70841221</v>
      </c>
      <c r="AP136" s="297">
        <f>G136</f>
        <v>50603181</v>
      </c>
      <c r="AQ136" s="297">
        <f>H136</f>
        <v>4861840</v>
      </c>
      <c r="AR136" s="297">
        <f>SUM(AO136:AQ136)</f>
        <v>126306242</v>
      </c>
      <c r="AS136" s="297">
        <f>J136</f>
        <v>463720</v>
      </c>
      <c r="AT136" s="297">
        <f>AH136</f>
        <v>0</v>
      </c>
      <c r="AU136" s="297">
        <f>K136</f>
        <v>0</v>
      </c>
      <c r="AV136" s="297">
        <f>SUM(AS136:AU136)</f>
        <v>463720</v>
      </c>
      <c r="AW136" s="297">
        <f>M136</f>
        <v>0</v>
      </c>
      <c r="AX136" s="297">
        <f>AW136</f>
        <v>0</v>
      </c>
      <c r="AY136" s="297">
        <f>AK136+AO136+AS136+AW136</f>
        <v>232260746</v>
      </c>
      <c r="AZ136" s="297">
        <f>AL136+AP136+AT136</f>
        <v>50603181</v>
      </c>
      <c r="BA136" s="297">
        <f>AM136+AQ136+AU136</f>
        <v>17666213</v>
      </c>
      <c r="BB136" s="297">
        <f>SUM(AY136:BA136)</f>
        <v>300530140</v>
      </c>
      <c r="BC136" s="83">
        <f t="shared" si="191"/>
        <v>3.2909357271626583E-4</v>
      </c>
      <c r="BD136" s="152"/>
      <c r="BE136" s="5">
        <f>BB136/'Monthly D4 Gallon Data'!AX134</f>
        <v>1.5781958251018502</v>
      </c>
    </row>
    <row r="137" spans="1:57" ht="12.75">
      <c r="A137" s="170">
        <v>44228</v>
      </c>
      <c r="B137" s="290">
        <v>164823473</v>
      </c>
      <c r="C137" s="290">
        <v>0</v>
      </c>
      <c r="D137" s="290">
        <v>11492452</v>
      </c>
      <c r="E137" s="291">
        <f t="shared" si="156"/>
        <v>176315925</v>
      </c>
      <c r="F137" s="290">
        <f t="shared" si="211"/>
        <v>79379488</v>
      </c>
      <c r="G137" s="290">
        <f t="shared" si="212"/>
        <v>50234535</v>
      </c>
      <c r="H137" s="290">
        <f t="shared" si="213"/>
        <v>0</v>
      </c>
      <c r="I137" s="291">
        <f t="shared" si="192"/>
        <v>129614023</v>
      </c>
      <c r="J137" s="290">
        <f t="shared" si="214"/>
        <v>471560</v>
      </c>
      <c r="K137" s="290">
        <v>0</v>
      </c>
      <c r="L137" s="291">
        <f t="shared" si="208"/>
        <v>471560</v>
      </c>
      <c r="M137" s="290">
        <f t="shared" si="215"/>
        <v>0</v>
      </c>
      <c r="N137" s="291">
        <f t="shared" si="190"/>
        <v>0</v>
      </c>
      <c r="O137" s="291">
        <f t="shared" si="209"/>
        <v>244674521</v>
      </c>
      <c r="P137" s="291">
        <f t="shared" si="216"/>
        <v>50234535</v>
      </c>
      <c r="Q137" s="291">
        <f t="shared" si="210"/>
        <v>11492452</v>
      </c>
      <c r="R137" s="291">
        <f t="shared" si="158"/>
        <v>306401508</v>
      </c>
      <c r="S137" s="290">
        <v>0</v>
      </c>
      <c r="T137" s="290">
        <v>0</v>
      </c>
      <c r="U137" s="292">
        <v>79379488</v>
      </c>
      <c r="V137" s="292">
        <f t="shared" si="217"/>
        <v>79379488</v>
      </c>
      <c r="W137" s="290">
        <v>0</v>
      </c>
      <c r="X137" s="290">
        <v>3534288</v>
      </c>
      <c r="Y137" s="292">
        <v>46700247</v>
      </c>
      <c r="Z137" s="292">
        <f t="shared" si="218"/>
        <v>50234535</v>
      </c>
      <c r="AA137" s="290">
        <v>0</v>
      </c>
      <c r="AB137" s="290">
        <v>0</v>
      </c>
      <c r="AC137" s="290">
        <v>0</v>
      </c>
      <c r="AD137" s="292">
        <f t="shared" si="219"/>
        <v>0</v>
      </c>
      <c r="AE137" s="292">
        <v>471560</v>
      </c>
      <c r="AF137" s="290">
        <v>0</v>
      </c>
      <c r="AG137" s="292">
        <f t="shared" si="220"/>
        <v>471560</v>
      </c>
      <c r="AH137" s="292">
        <v>0</v>
      </c>
      <c r="AI137" s="292">
        <v>0</v>
      </c>
      <c r="AJ137" s="292">
        <f t="shared" si="221"/>
        <v>0</v>
      </c>
      <c r="AK137" s="292">
        <f>AK136+B137</f>
        <v>325779278</v>
      </c>
      <c r="AL137" s="292">
        <f t="shared" ref="AL137:AM147" si="222">AL136+C137</f>
        <v>0</v>
      </c>
      <c r="AM137" s="292">
        <f t="shared" si="222"/>
        <v>24296825</v>
      </c>
      <c r="AN137" s="292">
        <f>SUM(AK137:AM137)</f>
        <v>350076103</v>
      </c>
      <c r="AO137" s="292">
        <f>AO136+F137</f>
        <v>150220709</v>
      </c>
      <c r="AP137" s="292">
        <f t="shared" ref="AP137:AQ147" si="223">AP136+G137</f>
        <v>100837716</v>
      </c>
      <c r="AQ137" s="292">
        <f t="shared" si="223"/>
        <v>4861840</v>
      </c>
      <c r="AR137" s="292">
        <f>SUM(AO137:AQ137)</f>
        <v>255920265</v>
      </c>
      <c r="AS137" s="292">
        <f>AS136+J137</f>
        <v>935280</v>
      </c>
      <c r="AT137" s="292">
        <f>AT136+AH137</f>
        <v>0</v>
      </c>
      <c r="AU137" s="292">
        <f>AU136+K137</f>
        <v>0</v>
      </c>
      <c r="AV137" s="292">
        <f>SUM(AS137:AU137)</f>
        <v>935280</v>
      </c>
      <c r="AW137" s="292">
        <f>AW136+M137</f>
        <v>0</v>
      </c>
      <c r="AX137" s="292">
        <f>AW137</f>
        <v>0</v>
      </c>
      <c r="AY137" s="292">
        <f>AK137+AO137+AS137+AW137</f>
        <v>476935267</v>
      </c>
      <c r="AZ137" s="292">
        <f>AL137+AP137+AT137</f>
        <v>100837716</v>
      </c>
      <c r="BA137" s="292">
        <f>AM137+AQ137+AU137</f>
        <v>29158665</v>
      </c>
      <c r="BB137" s="292">
        <f>SUM(AY137:BA137)</f>
        <v>606931648</v>
      </c>
      <c r="BC137" s="83">
        <f t="shared" si="191"/>
        <v>-1.4124239630785462E-2</v>
      </c>
      <c r="BD137" s="152"/>
      <c r="BE137" s="5">
        <f>BB137/'Monthly D4 Gallon Data'!AX135</f>
        <v>1.5779326490735233</v>
      </c>
    </row>
    <row r="138" spans="1:57" ht="12.75">
      <c r="A138" s="170">
        <v>44256</v>
      </c>
      <c r="B138" s="290">
        <v>225508051</v>
      </c>
      <c r="C138" s="290">
        <v>0</v>
      </c>
      <c r="D138" s="290">
        <v>22720501</v>
      </c>
      <c r="E138" s="291">
        <f t="shared" si="156"/>
        <v>248228552</v>
      </c>
      <c r="F138" s="290">
        <f t="shared" si="211"/>
        <v>93765137</v>
      </c>
      <c r="G138" s="290">
        <f t="shared" si="212"/>
        <v>65149041</v>
      </c>
      <c r="H138" s="290">
        <f t="shared" si="213"/>
        <v>0</v>
      </c>
      <c r="I138" s="291">
        <f t="shared" si="192"/>
        <v>158914178</v>
      </c>
      <c r="J138" s="290">
        <f t="shared" si="214"/>
        <v>462249</v>
      </c>
      <c r="K138" s="290">
        <v>0</v>
      </c>
      <c r="L138" s="291">
        <f t="shared" si="208"/>
        <v>462249</v>
      </c>
      <c r="M138" s="290">
        <f t="shared" si="215"/>
        <v>0</v>
      </c>
      <c r="N138" s="291">
        <f t="shared" si="190"/>
        <v>0</v>
      </c>
      <c r="O138" s="291">
        <f t="shared" si="209"/>
        <v>319735437</v>
      </c>
      <c r="P138" s="291">
        <f t="shared" si="216"/>
        <v>65149041</v>
      </c>
      <c r="Q138" s="291">
        <f t="shared" si="210"/>
        <v>22720501</v>
      </c>
      <c r="R138" s="291">
        <f t="shared" si="158"/>
        <v>407604979</v>
      </c>
      <c r="S138" s="290">
        <v>0</v>
      </c>
      <c r="T138" s="290">
        <v>0</v>
      </c>
      <c r="U138" s="292">
        <v>93765137</v>
      </c>
      <c r="V138" s="292">
        <f t="shared" si="217"/>
        <v>93765137</v>
      </c>
      <c r="W138" s="290">
        <v>0</v>
      </c>
      <c r="X138" s="290">
        <v>0</v>
      </c>
      <c r="Y138" s="292">
        <v>65149041</v>
      </c>
      <c r="Z138" s="292">
        <f t="shared" si="218"/>
        <v>65149041</v>
      </c>
      <c r="AA138" s="290">
        <v>0</v>
      </c>
      <c r="AB138" s="290">
        <v>0</v>
      </c>
      <c r="AC138" s="290">
        <v>0</v>
      </c>
      <c r="AD138" s="292">
        <f t="shared" si="219"/>
        <v>0</v>
      </c>
      <c r="AE138" s="292">
        <v>462249</v>
      </c>
      <c r="AF138" s="290">
        <v>0</v>
      </c>
      <c r="AG138" s="292">
        <f t="shared" si="220"/>
        <v>462249</v>
      </c>
      <c r="AH138" s="292">
        <v>0</v>
      </c>
      <c r="AI138" s="292">
        <v>0</v>
      </c>
      <c r="AJ138" s="292">
        <f t="shared" si="221"/>
        <v>0</v>
      </c>
      <c r="AK138" s="292">
        <f t="shared" ref="AK138:AK147" si="224">AK137+B138</f>
        <v>551287329</v>
      </c>
      <c r="AL138" s="292">
        <f t="shared" si="222"/>
        <v>0</v>
      </c>
      <c r="AM138" s="292">
        <f t="shared" si="222"/>
        <v>47017326</v>
      </c>
      <c r="AN138" s="292">
        <f t="shared" ref="AN138:AN147" si="225">SUM(AK138:AM138)</f>
        <v>598304655</v>
      </c>
      <c r="AO138" s="292">
        <f t="shared" ref="AO138:AO147" si="226">AO137+F138</f>
        <v>243985846</v>
      </c>
      <c r="AP138" s="292">
        <f t="shared" si="223"/>
        <v>165986757</v>
      </c>
      <c r="AQ138" s="292">
        <f t="shared" si="223"/>
        <v>4861840</v>
      </c>
      <c r="AR138" s="292">
        <f t="shared" ref="AR138:AR147" si="227">SUM(AO138:AQ138)</f>
        <v>414834443</v>
      </c>
      <c r="AS138" s="292">
        <f t="shared" ref="AS138:AS147" si="228">AS137+J138</f>
        <v>1397529</v>
      </c>
      <c r="AT138" s="292">
        <f t="shared" ref="AT138:AT147" si="229">AT137+AH138</f>
        <v>0</v>
      </c>
      <c r="AU138" s="292">
        <f t="shared" ref="AU138:AU147" si="230">AU137+K138</f>
        <v>0</v>
      </c>
      <c r="AV138" s="292">
        <f t="shared" ref="AV138:AV147" si="231">SUM(AS138:AU138)</f>
        <v>1397529</v>
      </c>
      <c r="AW138" s="292">
        <f t="shared" ref="AW138:AW147" si="232">AW137+M138</f>
        <v>0</v>
      </c>
      <c r="AX138" s="292">
        <f t="shared" ref="AX138:AX147" si="233">AW138</f>
        <v>0</v>
      </c>
      <c r="AY138" s="292">
        <f t="shared" ref="AY138:AY147" si="234">AK138+AO138+AS138+AW138</f>
        <v>796670704</v>
      </c>
      <c r="AZ138" s="292">
        <f t="shared" ref="AZ138:BA147" si="235">AL138+AP138+AT138</f>
        <v>165986757</v>
      </c>
      <c r="BA138" s="292">
        <f t="shared" si="235"/>
        <v>51879166</v>
      </c>
      <c r="BB138" s="292">
        <f t="shared" ref="BB138:BB147" si="236">SUM(AY138:BA138)</f>
        <v>1014536627</v>
      </c>
      <c r="BC138" s="83">
        <f t="shared" si="191"/>
        <v>2.7373949076292092E-2</v>
      </c>
      <c r="BD138" s="152"/>
      <c r="BE138" s="5">
        <f>BB138/'Monthly D4 Gallon Data'!AX136</f>
        <v>1.5756391845028912</v>
      </c>
    </row>
    <row r="139" spans="1:57" ht="12.75">
      <c r="A139" s="170">
        <v>44287</v>
      </c>
      <c r="B139" s="290">
        <v>216597806</v>
      </c>
      <c r="C139" s="290">
        <v>0</v>
      </c>
      <c r="D139" s="290">
        <v>26004968</v>
      </c>
      <c r="E139" s="291">
        <f t="shared" si="156"/>
        <v>242602774</v>
      </c>
      <c r="F139" s="290">
        <f t="shared" si="211"/>
        <v>80883480</v>
      </c>
      <c r="G139" s="290">
        <f t="shared" si="212"/>
        <v>62487256</v>
      </c>
      <c r="H139" s="290">
        <f t="shared" si="213"/>
        <v>0</v>
      </c>
      <c r="I139" s="291">
        <f t="shared" si="192"/>
        <v>143370736</v>
      </c>
      <c r="J139" s="290">
        <f t="shared" si="214"/>
        <v>469263</v>
      </c>
      <c r="K139" s="290">
        <v>0</v>
      </c>
      <c r="L139" s="291">
        <f t="shared" si="208"/>
        <v>469263</v>
      </c>
      <c r="M139" s="290">
        <f t="shared" si="215"/>
        <v>0</v>
      </c>
      <c r="N139" s="291">
        <f t="shared" si="190"/>
        <v>0</v>
      </c>
      <c r="O139" s="291">
        <f t="shared" si="209"/>
        <v>297950549</v>
      </c>
      <c r="P139" s="291">
        <f t="shared" si="216"/>
        <v>62487256</v>
      </c>
      <c r="Q139" s="291">
        <f t="shared" si="210"/>
        <v>26004968</v>
      </c>
      <c r="R139" s="291">
        <f t="shared" si="158"/>
        <v>386442773</v>
      </c>
      <c r="S139" s="290">
        <v>0</v>
      </c>
      <c r="T139" s="290">
        <v>0</v>
      </c>
      <c r="U139" s="292">
        <v>80883480</v>
      </c>
      <c r="V139" s="292">
        <f t="shared" si="217"/>
        <v>80883480</v>
      </c>
      <c r="W139" s="290">
        <v>0</v>
      </c>
      <c r="X139" s="290">
        <v>3356717</v>
      </c>
      <c r="Y139" s="292">
        <v>59130539</v>
      </c>
      <c r="Z139" s="292">
        <f t="shared" si="218"/>
        <v>62487256</v>
      </c>
      <c r="AA139" s="290">
        <v>0</v>
      </c>
      <c r="AB139" s="290">
        <v>0</v>
      </c>
      <c r="AC139" s="290">
        <v>0</v>
      </c>
      <c r="AD139" s="292">
        <f t="shared" si="219"/>
        <v>0</v>
      </c>
      <c r="AE139" s="292">
        <v>469263</v>
      </c>
      <c r="AF139" s="290">
        <v>0</v>
      </c>
      <c r="AG139" s="292">
        <f t="shared" si="220"/>
        <v>469263</v>
      </c>
      <c r="AH139" s="292">
        <v>0</v>
      </c>
      <c r="AI139" s="292">
        <v>0</v>
      </c>
      <c r="AJ139" s="292">
        <f t="shared" si="221"/>
        <v>0</v>
      </c>
      <c r="AK139" s="292">
        <f t="shared" si="224"/>
        <v>767885135</v>
      </c>
      <c r="AL139" s="292">
        <f t="shared" si="222"/>
        <v>0</v>
      </c>
      <c r="AM139" s="292">
        <f t="shared" si="222"/>
        <v>73022294</v>
      </c>
      <c r="AN139" s="292">
        <f t="shared" si="225"/>
        <v>840907429</v>
      </c>
      <c r="AO139" s="292">
        <f t="shared" si="226"/>
        <v>324869326</v>
      </c>
      <c r="AP139" s="292">
        <f t="shared" si="223"/>
        <v>228474013</v>
      </c>
      <c r="AQ139" s="292">
        <f t="shared" si="223"/>
        <v>4861840</v>
      </c>
      <c r="AR139" s="292">
        <f t="shared" si="227"/>
        <v>558205179</v>
      </c>
      <c r="AS139" s="292">
        <f t="shared" si="228"/>
        <v>1866792</v>
      </c>
      <c r="AT139" s="292">
        <f t="shared" si="229"/>
        <v>0</v>
      </c>
      <c r="AU139" s="292">
        <f t="shared" si="230"/>
        <v>0</v>
      </c>
      <c r="AV139" s="292">
        <f t="shared" si="231"/>
        <v>1866792</v>
      </c>
      <c r="AW139" s="292">
        <f t="shared" si="232"/>
        <v>0</v>
      </c>
      <c r="AX139" s="292">
        <f t="shared" si="233"/>
        <v>0</v>
      </c>
      <c r="AY139" s="292">
        <f t="shared" si="234"/>
        <v>1094621253</v>
      </c>
      <c r="AZ139" s="292">
        <f t="shared" si="235"/>
        <v>228474013</v>
      </c>
      <c r="BA139" s="292">
        <f t="shared" si="235"/>
        <v>77884134</v>
      </c>
      <c r="BB139" s="292">
        <f t="shared" si="236"/>
        <v>1400979400</v>
      </c>
      <c r="BC139" s="83">
        <f t="shared" si="191"/>
        <v>3.9902944586974076E-2</v>
      </c>
      <c r="BD139" s="152"/>
      <c r="BE139" s="5">
        <f>BB139/'Monthly D4 Gallon Data'!AX137</f>
        <v>1.5734721993170644</v>
      </c>
    </row>
    <row r="140" spans="1:57" ht="12.75">
      <c r="A140" s="170">
        <v>44317</v>
      </c>
      <c r="B140" s="290">
        <v>225756173</v>
      </c>
      <c r="C140" s="290">
        <v>0</v>
      </c>
      <c r="D140" s="290">
        <v>19989699</v>
      </c>
      <c r="E140" s="291">
        <f t="shared" si="156"/>
        <v>245745872</v>
      </c>
      <c r="F140" s="290">
        <f t="shared" si="211"/>
        <v>98298018</v>
      </c>
      <c r="G140" s="290">
        <f t="shared" si="212"/>
        <v>52109077</v>
      </c>
      <c r="H140" s="290">
        <f t="shared" si="213"/>
        <v>0</v>
      </c>
      <c r="I140" s="291">
        <f t="shared" si="192"/>
        <v>150407095</v>
      </c>
      <c r="J140" s="290">
        <f t="shared" si="214"/>
        <v>459994</v>
      </c>
      <c r="K140" s="290">
        <v>0</v>
      </c>
      <c r="L140" s="291">
        <f t="shared" si="208"/>
        <v>459994</v>
      </c>
      <c r="M140" s="290">
        <f t="shared" si="215"/>
        <v>0</v>
      </c>
      <c r="N140" s="291">
        <f t="shared" si="190"/>
        <v>0</v>
      </c>
      <c r="O140" s="291">
        <f t="shared" si="209"/>
        <v>324514185</v>
      </c>
      <c r="P140" s="291">
        <f t="shared" si="216"/>
        <v>52109077</v>
      </c>
      <c r="Q140" s="291">
        <f t="shared" si="210"/>
        <v>19989699</v>
      </c>
      <c r="R140" s="291">
        <f t="shared" si="158"/>
        <v>396612961</v>
      </c>
      <c r="S140" s="290">
        <v>0</v>
      </c>
      <c r="T140" s="290">
        <v>0</v>
      </c>
      <c r="U140" s="292">
        <v>98298018</v>
      </c>
      <c r="V140" s="292">
        <f t="shared" si="217"/>
        <v>98298018</v>
      </c>
      <c r="W140" s="290">
        <v>0</v>
      </c>
      <c r="X140" s="290">
        <v>0</v>
      </c>
      <c r="Y140" s="292">
        <v>52109077</v>
      </c>
      <c r="Z140" s="292">
        <f t="shared" si="218"/>
        <v>52109077</v>
      </c>
      <c r="AA140" s="290">
        <v>0</v>
      </c>
      <c r="AB140" s="290">
        <v>0</v>
      </c>
      <c r="AC140" s="290">
        <v>0</v>
      </c>
      <c r="AD140" s="292">
        <f t="shared" si="219"/>
        <v>0</v>
      </c>
      <c r="AE140" s="292">
        <v>459994</v>
      </c>
      <c r="AF140" s="290">
        <v>0</v>
      </c>
      <c r="AG140" s="292">
        <f t="shared" si="220"/>
        <v>459994</v>
      </c>
      <c r="AH140" s="292">
        <v>0</v>
      </c>
      <c r="AI140" s="292">
        <v>0</v>
      </c>
      <c r="AJ140" s="292">
        <f t="shared" si="221"/>
        <v>0</v>
      </c>
      <c r="AK140" s="292">
        <f t="shared" si="224"/>
        <v>993641308</v>
      </c>
      <c r="AL140" s="292">
        <f t="shared" si="222"/>
        <v>0</v>
      </c>
      <c r="AM140" s="292">
        <f t="shared" si="222"/>
        <v>93011993</v>
      </c>
      <c r="AN140" s="292">
        <f t="shared" si="225"/>
        <v>1086653301</v>
      </c>
      <c r="AO140" s="292">
        <f t="shared" si="226"/>
        <v>423167344</v>
      </c>
      <c r="AP140" s="292">
        <f t="shared" si="223"/>
        <v>280583090</v>
      </c>
      <c r="AQ140" s="292">
        <f t="shared" si="223"/>
        <v>4861840</v>
      </c>
      <c r="AR140" s="292">
        <f t="shared" si="227"/>
        <v>708612274</v>
      </c>
      <c r="AS140" s="292">
        <f t="shared" si="228"/>
        <v>2326786</v>
      </c>
      <c r="AT140" s="292">
        <f t="shared" si="229"/>
        <v>0</v>
      </c>
      <c r="AU140" s="292">
        <f t="shared" si="230"/>
        <v>0</v>
      </c>
      <c r="AV140" s="292">
        <f t="shared" si="231"/>
        <v>2326786</v>
      </c>
      <c r="AW140" s="292">
        <f t="shared" si="232"/>
        <v>0</v>
      </c>
      <c r="AX140" s="292">
        <f t="shared" si="233"/>
        <v>0</v>
      </c>
      <c r="AY140" s="292">
        <f t="shared" si="234"/>
        <v>1419135438</v>
      </c>
      <c r="AZ140" s="292">
        <f t="shared" si="235"/>
        <v>280583090</v>
      </c>
      <c r="BA140" s="292">
        <f t="shared" si="235"/>
        <v>97873833</v>
      </c>
      <c r="BB140" s="292">
        <f t="shared" si="236"/>
        <v>1797592361</v>
      </c>
      <c r="BC140" s="83">
        <f t="shared" si="191"/>
        <v>4.7072395014776891E-2</v>
      </c>
      <c r="BD140" s="152"/>
      <c r="BE140" s="5">
        <f>BB140/'Monthly D4 Gallon Data'!AX138</f>
        <v>1.5727448316592914</v>
      </c>
    </row>
    <row r="141" spans="1:57" ht="12.75">
      <c r="A141" s="170">
        <v>44348</v>
      </c>
      <c r="B141" s="290">
        <v>231689058</v>
      </c>
      <c r="C141" s="290">
        <v>0</v>
      </c>
      <c r="D141" s="290">
        <v>26382669</v>
      </c>
      <c r="E141" s="291">
        <f t="shared" si="156"/>
        <v>258071727</v>
      </c>
      <c r="F141" s="290">
        <f t="shared" si="211"/>
        <v>109918693</v>
      </c>
      <c r="G141" s="290">
        <f t="shared" si="212"/>
        <v>60430081</v>
      </c>
      <c r="H141" s="290">
        <f t="shared" si="213"/>
        <v>0</v>
      </c>
      <c r="I141" s="291">
        <f t="shared" si="192"/>
        <v>170348774</v>
      </c>
      <c r="J141" s="290">
        <f t="shared" si="214"/>
        <v>571708</v>
      </c>
      <c r="K141" s="290">
        <v>0</v>
      </c>
      <c r="L141" s="291">
        <f t="shared" si="208"/>
        <v>571708</v>
      </c>
      <c r="M141" s="290">
        <f t="shared" si="215"/>
        <v>0</v>
      </c>
      <c r="N141" s="291">
        <f t="shared" si="190"/>
        <v>0</v>
      </c>
      <c r="O141" s="291">
        <f t="shared" si="209"/>
        <v>342179459</v>
      </c>
      <c r="P141" s="291">
        <f t="shared" si="216"/>
        <v>60430081</v>
      </c>
      <c r="Q141" s="291">
        <f t="shared" si="210"/>
        <v>26382669</v>
      </c>
      <c r="R141" s="291">
        <f t="shared" si="158"/>
        <v>428992209</v>
      </c>
      <c r="S141" s="290">
        <v>0</v>
      </c>
      <c r="T141" s="290">
        <v>0</v>
      </c>
      <c r="U141" s="292">
        <v>109918693</v>
      </c>
      <c r="V141" s="292">
        <f t="shared" si="217"/>
        <v>109918693</v>
      </c>
      <c r="W141" s="290">
        <v>0</v>
      </c>
      <c r="X141" s="290">
        <v>0</v>
      </c>
      <c r="Y141" s="292">
        <v>60430081</v>
      </c>
      <c r="Z141" s="292">
        <f t="shared" si="218"/>
        <v>60430081</v>
      </c>
      <c r="AA141" s="290">
        <v>0</v>
      </c>
      <c r="AB141" s="290">
        <v>0</v>
      </c>
      <c r="AC141" s="290">
        <v>0</v>
      </c>
      <c r="AD141" s="292">
        <f t="shared" si="219"/>
        <v>0</v>
      </c>
      <c r="AE141" s="292">
        <v>571708</v>
      </c>
      <c r="AF141" s="290">
        <v>0</v>
      </c>
      <c r="AG141" s="292">
        <f t="shared" si="220"/>
        <v>571708</v>
      </c>
      <c r="AH141" s="292">
        <v>0</v>
      </c>
      <c r="AI141" s="292">
        <v>0</v>
      </c>
      <c r="AJ141" s="292">
        <f t="shared" si="221"/>
        <v>0</v>
      </c>
      <c r="AK141" s="292">
        <f t="shared" si="224"/>
        <v>1225330366</v>
      </c>
      <c r="AL141" s="292">
        <f t="shared" si="222"/>
        <v>0</v>
      </c>
      <c r="AM141" s="292">
        <f t="shared" si="222"/>
        <v>119394662</v>
      </c>
      <c r="AN141" s="292">
        <f t="shared" si="225"/>
        <v>1344725028</v>
      </c>
      <c r="AO141" s="292">
        <f t="shared" si="226"/>
        <v>533086037</v>
      </c>
      <c r="AP141" s="292">
        <f t="shared" si="223"/>
        <v>341013171</v>
      </c>
      <c r="AQ141" s="292">
        <f t="shared" si="223"/>
        <v>4861840</v>
      </c>
      <c r="AR141" s="292">
        <f t="shared" si="227"/>
        <v>878961048</v>
      </c>
      <c r="AS141" s="292">
        <f t="shared" si="228"/>
        <v>2898494</v>
      </c>
      <c r="AT141" s="292">
        <f t="shared" si="229"/>
        <v>0</v>
      </c>
      <c r="AU141" s="292">
        <f t="shared" si="230"/>
        <v>0</v>
      </c>
      <c r="AV141" s="292">
        <f t="shared" si="231"/>
        <v>2898494</v>
      </c>
      <c r="AW141" s="292">
        <f t="shared" si="232"/>
        <v>0</v>
      </c>
      <c r="AX141" s="292">
        <f t="shared" si="233"/>
        <v>0</v>
      </c>
      <c r="AY141" s="292">
        <f t="shared" si="234"/>
        <v>1761314897</v>
      </c>
      <c r="AZ141" s="292">
        <f t="shared" si="235"/>
        <v>341013171</v>
      </c>
      <c r="BA141" s="292">
        <f t="shared" si="235"/>
        <v>124256502</v>
      </c>
      <c r="BB141" s="292">
        <f t="shared" si="236"/>
        <v>2226584570</v>
      </c>
      <c r="BC141" s="83">
        <f t="shared" si="191"/>
        <v>5.7931928058161386E-2</v>
      </c>
      <c r="BD141" s="152"/>
      <c r="BE141" s="5">
        <f>BB141/'Monthly D4 Gallon Data'!AX139</f>
        <v>1.5729210470115189</v>
      </c>
    </row>
    <row r="142" spans="1:57" ht="12.75">
      <c r="A142" s="170">
        <v>44378</v>
      </c>
      <c r="B142" s="290">
        <v>220338817</v>
      </c>
      <c r="C142" s="290">
        <v>0</v>
      </c>
      <c r="D142" s="290">
        <v>23073558</v>
      </c>
      <c r="E142" s="291">
        <f t="shared" si="156"/>
        <v>243412375</v>
      </c>
      <c r="F142" s="290">
        <f t="shared" si="211"/>
        <v>109191427</v>
      </c>
      <c r="G142" s="290">
        <f t="shared" si="212"/>
        <v>4350842</v>
      </c>
      <c r="H142" s="290">
        <f t="shared" si="213"/>
        <v>0</v>
      </c>
      <c r="I142" s="291">
        <f t="shared" si="192"/>
        <v>113542269</v>
      </c>
      <c r="J142" s="290">
        <f t="shared" si="214"/>
        <v>1749055</v>
      </c>
      <c r="K142" s="290">
        <v>0</v>
      </c>
      <c r="L142" s="291">
        <f t="shared" si="208"/>
        <v>1749055</v>
      </c>
      <c r="M142" s="290">
        <f t="shared" si="215"/>
        <v>0</v>
      </c>
      <c r="N142" s="291">
        <f t="shared" si="190"/>
        <v>0</v>
      </c>
      <c r="O142" s="291">
        <f t="shared" si="209"/>
        <v>331279299</v>
      </c>
      <c r="P142" s="291">
        <f t="shared" si="216"/>
        <v>4350842</v>
      </c>
      <c r="Q142" s="291">
        <f t="shared" si="210"/>
        <v>23073558</v>
      </c>
      <c r="R142" s="291">
        <f t="shared" si="158"/>
        <v>358703699</v>
      </c>
      <c r="S142" s="290">
        <v>0</v>
      </c>
      <c r="T142" s="290">
        <v>701610</v>
      </c>
      <c r="U142" s="292">
        <v>108489817</v>
      </c>
      <c r="V142" s="292">
        <f t="shared" si="217"/>
        <v>109191427</v>
      </c>
      <c r="W142" s="290">
        <v>0</v>
      </c>
      <c r="X142" s="290">
        <v>1782147</v>
      </c>
      <c r="Y142" s="292">
        <v>2568695</v>
      </c>
      <c r="Z142" s="292">
        <f t="shared" si="218"/>
        <v>4350842</v>
      </c>
      <c r="AA142" s="290">
        <v>0</v>
      </c>
      <c r="AB142" s="290">
        <v>0</v>
      </c>
      <c r="AC142" s="290">
        <v>0</v>
      </c>
      <c r="AD142" s="292">
        <f t="shared" si="219"/>
        <v>0</v>
      </c>
      <c r="AE142" s="292">
        <v>1749055</v>
      </c>
      <c r="AF142" s="290">
        <v>0</v>
      </c>
      <c r="AG142" s="292">
        <f t="shared" si="220"/>
        <v>1749055</v>
      </c>
      <c r="AH142" s="292">
        <v>0</v>
      </c>
      <c r="AI142" s="292">
        <v>0</v>
      </c>
      <c r="AJ142" s="292">
        <f t="shared" si="221"/>
        <v>0</v>
      </c>
      <c r="AK142" s="292">
        <f t="shared" si="224"/>
        <v>1445669183</v>
      </c>
      <c r="AL142" s="292">
        <f t="shared" si="222"/>
        <v>0</v>
      </c>
      <c r="AM142" s="292">
        <f t="shared" si="222"/>
        <v>142468220</v>
      </c>
      <c r="AN142" s="292">
        <f t="shared" si="225"/>
        <v>1588137403</v>
      </c>
      <c r="AO142" s="292">
        <f t="shared" si="226"/>
        <v>642277464</v>
      </c>
      <c r="AP142" s="292">
        <f t="shared" si="223"/>
        <v>345364013</v>
      </c>
      <c r="AQ142" s="292">
        <f t="shared" si="223"/>
        <v>4861840</v>
      </c>
      <c r="AR142" s="292">
        <f t="shared" si="227"/>
        <v>992503317</v>
      </c>
      <c r="AS142" s="292">
        <f t="shared" si="228"/>
        <v>4647549</v>
      </c>
      <c r="AT142" s="292">
        <f t="shared" si="229"/>
        <v>0</v>
      </c>
      <c r="AU142" s="292">
        <f t="shared" si="230"/>
        <v>0</v>
      </c>
      <c r="AV142" s="292">
        <f t="shared" si="231"/>
        <v>4647549</v>
      </c>
      <c r="AW142" s="292">
        <f t="shared" si="232"/>
        <v>0</v>
      </c>
      <c r="AX142" s="292">
        <f t="shared" si="233"/>
        <v>0</v>
      </c>
      <c r="AY142" s="292">
        <f t="shared" si="234"/>
        <v>2092594196</v>
      </c>
      <c r="AZ142" s="292">
        <f t="shared" si="235"/>
        <v>345364013</v>
      </c>
      <c r="BA142" s="292">
        <f t="shared" si="235"/>
        <v>147330060</v>
      </c>
      <c r="BB142" s="292">
        <f t="shared" si="236"/>
        <v>2585288269</v>
      </c>
      <c r="BC142" s="83">
        <f t="shared" si="191"/>
        <v>3.7926989430472124E-2</v>
      </c>
      <c r="BD142" s="152"/>
      <c r="BE142" s="5">
        <f>BB142/'Monthly D4 Gallon Data'!AX140</f>
        <v>1.570821088459639</v>
      </c>
    </row>
    <row r="143" spans="1:57" ht="12.75">
      <c r="A143" s="170">
        <v>44409</v>
      </c>
      <c r="B143" s="290">
        <v>231876527</v>
      </c>
      <c r="C143" s="290">
        <v>0</v>
      </c>
      <c r="D143" s="290">
        <v>16572249</v>
      </c>
      <c r="E143" s="291">
        <f t="shared" si="156"/>
        <v>248448776</v>
      </c>
      <c r="F143" s="290">
        <f t="shared" si="211"/>
        <v>126880713</v>
      </c>
      <c r="G143" s="290">
        <f t="shared" si="212"/>
        <v>45302291</v>
      </c>
      <c r="H143" s="290">
        <f t="shared" si="213"/>
        <v>0</v>
      </c>
      <c r="I143" s="291">
        <f t="shared" si="192"/>
        <v>172183004</v>
      </c>
      <c r="J143" s="290">
        <f t="shared" si="214"/>
        <v>1155292</v>
      </c>
      <c r="K143" s="290">
        <v>0</v>
      </c>
      <c r="L143" s="291">
        <f t="shared" si="208"/>
        <v>1155292</v>
      </c>
      <c r="M143" s="290">
        <f t="shared" si="215"/>
        <v>0</v>
      </c>
      <c r="N143" s="291">
        <f t="shared" si="190"/>
        <v>0</v>
      </c>
      <c r="O143" s="291">
        <f t="shared" si="209"/>
        <v>359912532</v>
      </c>
      <c r="P143" s="291">
        <f t="shared" si="216"/>
        <v>45302291</v>
      </c>
      <c r="Q143" s="291">
        <f t="shared" si="210"/>
        <v>16572249</v>
      </c>
      <c r="R143" s="291">
        <f t="shared" si="158"/>
        <v>421787072</v>
      </c>
      <c r="S143" s="290">
        <v>0</v>
      </c>
      <c r="T143" s="290">
        <v>439370</v>
      </c>
      <c r="U143" s="292">
        <v>126441343</v>
      </c>
      <c r="V143" s="292">
        <f t="shared" si="217"/>
        <v>126880713</v>
      </c>
      <c r="W143" s="290">
        <v>0</v>
      </c>
      <c r="X143" s="290">
        <v>2406776</v>
      </c>
      <c r="Y143" s="292">
        <v>42895515</v>
      </c>
      <c r="Z143" s="292">
        <f t="shared" si="218"/>
        <v>45302291</v>
      </c>
      <c r="AA143" s="290">
        <v>0</v>
      </c>
      <c r="AB143" s="290">
        <v>0</v>
      </c>
      <c r="AC143" s="290">
        <v>0</v>
      </c>
      <c r="AD143" s="292">
        <f t="shared" si="219"/>
        <v>0</v>
      </c>
      <c r="AE143" s="292">
        <v>1155292</v>
      </c>
      <c r="AF143" s="290">
        <v>0</v>
      </c>
      <c r="AG143" s="292">
        <f t="shared" si="220"/>
        <v>1155292</v>
      </c>
      <c r="AH143" s="292">
        <v>0</v>
      </c>
      <c r="AI143" s="292">
        <v>0</v>
      </c>
      <c r="AJ143" s="292">
        <f t="shared" si="221"/>
        <v>0</v>
      </c>
      <c r="AK143" s="292">
        <f t="shared" si="224"/>
        <v>1677545710</v>
      </c>
      <c r="AL143" s="292">
        <f t="shared" si="222"/>
        <v>0</v>
      </c>
      <c r="AM143" s="292">
        <f t="shared" si="222"/>
        <v>159040469</v>
      </c>
      <c r="AN143" s="292">
        <f t="shared" si="225"/>
        <v>1836586179</v>
      </c>
      <c r="AO143" s="292">
        <f t="shared" si="226"/>
        <v>769158177</v>
      </c>
      <c r="AP143" s="292">
        <f t="shared" si="223"/>
        <v>390666304</v>
      </c>
      <c r="AQ143" s="292">
        <f t="shared" si="223"/>
        <v>4861840</v>
      </c>
      <c r="AR143" s="292">
        <f t="shared" si="227"/>
        <v>1164686321</v>
      </c>
      <c r="AS143" s="292">
        <f t="shared" si="228"/>
        <v>5802841</v>
      </c>
      <c r="AT143" s="292">
        <f t="shared" si="229"/>
        <v>0</v>
      </c>
      <c r="AU143" s="292">
        <f t="shared" si="230"/>
        <v>0</v>
      </c>
      <c r="AV143" s="292">
        <f t="shared" si="231"/>
        <v>5802841</v>
      </c>
      <c r="AW143" s="292">
        <f t="shared" si="232"/>
        <v>0</v>
      </c>
      <c r="AX143" s="292">
        <f t="shared" si="233"/>
        <v>0</v>
      </c>
      <c r="AY143" s="292">
        <f t="shared" si="234"/>
        <v>2452506728</v>
      </c>
      <c r="AZ143" s="292">
        <f t="shared" si="235"/>
        <v>390666304</v>
      </c>
      <c r="BA143" s="292">
        <f t="shared" si="235"/>
        <v>163902309</v>
      </c>
      <c r="BB143" s="292">
        <f t="shared" si="236"/>
        <v>3007075341</v>
      </c>
      <c r="BC143" s="83">
        <f t="shared" si="191"/>
        <v>4.3699999588500349E-2</v>
      </c>
      <c r="BD143" s="152"/>
      <c r="BE143" s="5">
        <f>BB143/'Monthly D4 Gallon Data'!AX141</f>
        <v>1.5714553081199889</v>
      </c>
    </row>
    <row r="144" spans="1:57" ht="12.75">
      <c r="A144" s="170">
        <v>44440</v>
      </c>
      <c r="B144" s="290">
        <v>209905264</v>
      </c>
      <c r="C144" s="290">
        <v>0</v>
      </c>
      <c r="D144" s="290">
        <v>17688484</v>
      </c>
      <c r="E144" s="291">
        <f t="shared" si="156"/>
        <v>227593748</v>
      </c>
      <c r="F144" s="290">
        <f t="shared" si="211"/>
        <v>84868870</v>
      </c>
      <c r="G144" s="290">
        <f t="shared" si="212"/>
        <v>72454920</v>
      </c>
      <c r="H144" s="290">
        <f t="shared" si="213"/>
        <v>0</v>
      </c>
      <c r="I144" s="291">
        <f t="shared" si="192"/>
        <v>157323790</v>
      </c>
      <c r="J144" s="290">
        <f t="shared" si="214"/>
        <v>480195</v>
      </c>
      <c r="K144" s="290">
        <v>0</v>
      </c>
      <c r="L144" s="291">
        <f t="shared" si="208"/>
        <v>480195</v>
      </c>
      <c r="M144" s="290">
        <f t="shared" si="215"/>
        <v>0</v>
      </c>
      <c r="N144" s="291">
        <f t="shared" si="190"/>
        <v>0</v>
      </c>
      <c r="O144" s="291">
        <f t="shared" si="209"/>
        <v>295254329</v>
      </c>
      <c r="P144" s="291">
        <f t="shared" si="216"/>
        <v>72454920</v>
      </c>
      <c r="Q144" s="291">
        <f t="shared" si="210"/>
        <v>17688484</v>
      </c>
      <c r="R144" s="291">
        <f t="shared" si="158"/>
        <v>385397733</v>
      </c>
      <c r="S144" s="290">
        <v>0</v>
      </c>
      <c r="T144" s="290">
        <v>0</v>
      </c>
      <c r="U144" s="292">
        <v>84868870</v>
      </c>
      <c r="V144" s="292">
        <f t="shared" si="217"/>
        <v>84868870</v>
      </c>
      <c r="W144" s="290">
        <v>0</v>
      </c>
      <c r="X144" s="290">
        <v>3625997</v>
      </c>
      <c r="Y144" s="292">
        <v>68828923</v>
      </c>
      <c r="Z144" s="292">
        <f t="shared" si="218"/>
        <v>72454920</v>
      </c>
      <c r="AA144" s="290">
        <v>0</v>
      </c>
      <c r="AB144" s="290">
        <v>0</v>
      </c>
      <c r="AC144" s="292">
        <v>0</v>
      </c>
      <c r="AD144" s="292">
        <f t="shared" si="219"/>
        <v>0</v>
      </c>
      <c r="AE144" s="292">
        <v>480195</v>
      </c>
      <c r="AF144" s="290">
        <v>0</v>
      </c>
      <c r="AG144" s="292">
        <f t="shared" si="220"/>
        <v>480195</v>
      </c>
      <c r="AH144" s="292">
        <v>0</v>
      </c>
      <c r="AI144" s="292">
        <v>0</v>
      </c>
      <c r="AJ144" s="292">
        <f t="shared" si="221"/>
        <v>0</v>
      </c>
      <c r="AK144" s="292">
        <f t="shared" si="224"/>
        <v>1887450974</v>
      </c>
      <c r="AL144" s="292">
        <f t="shared" si="222"/>
        <v>0</v>
      </c>
      <c r="AM144" s="292">
        <f t="shared" si="222"/>
        <v>176728953</v>
      </c>
      <c r="AN144" s="292">
        <f t="shared" si="225"/>
        <v>2064179927</v>
      </c>
      <c r="AO144" s="292">
        <f t="shared" si="226"/>
        <v>854027047</v>
      </c>
      <c r="AP144" s="292">
        <f t="shared" si="223"/>
        <v>463121224</v>
      </c>
      <c r="AQ144" s="292">
        <f t="shared" si="223"/>
        <v>4861840</v>
      </c>
      <c r="AR144" s="292">
        <f t="shared" si="227"/>
        <v>1322010111</v>
      </c>
      <c r="AS144" s="292">
        <f t="shared" si="228"/>
        <v>6283036</v>
      </c>
      <c r="AT144" s="292">
        <f t="shared" si="229"/>
        <v>0</v>
      </c>
      <c r="AU144" s="292">
        <f t="shared" si="230"/>
        <v>0</v>
      </c>
      <c r="AV144" s="292">
        <f t="shared" si="231"/>
        <v>6283036</v>
      </c>
      <c r="AW144" s="292">
        <f t="shared" si="232"/>
        <v>0</v>
      </c>
      <c r="AX144" s="292">
        <f t="shared" si="233"/>
        <v>0</v>
      </c>
      <c r="AY144" s="292">
        <f t="shared" si="234"/>
        <v>2747761057</v>
      </c>
      <c r="AZ144" s="292">
        <f t="shared" si="235"/>
        <v>463121224</v>
      </c>
      <c r="BA144" s="292">
        <f t="shared" si="235"/>
        <v>181590793</v>
      </c>
      <c r="BB144" s="292">
        <f t="shared" si="236"/>
        <v>3392473074</v>
      </c>
      <c r="BC144" s="83">
        <f t="shared" si="191"/>
        <v>2.1810837636093039E-2</v>
      </c>
      <c r="BD144" s="152"/>
      <c r="BE144" s="5">
        <f>BB144/'Monthly D4 Gallon Data'!AX142</f>
        <v>1.5718521575562918</v>
      </c>
    </row>
    <row r="145" spans="1:57" ht="12.75">
      <c r="A145" s="170">
        <v>44470</v>
      </c>
      <c r="B145" s="290">
        <v>209671156</v>
      </c>
      <c r="C145" s="290">
        <v>0</v>
      </c>
      <c r="D145" s="290">
        <v>26832257</v>
      </c>
      <c r="E145" s="291">
        <f t="shared" si="156"/>
        <v>236503413</v>
      </c>
      <c r="F145" s="290">
        <f t="shared" si="211"/>
        <v>122832707</v>
      </c>
      <c r="G145" s="290">
        <f t="shared" si="212"/>
        <v>71374179</v>
      </c>
      <c r="H145" s="290">
        <f t="shared" si="213"/>
        <v>0</v>
      </c>
      <c r="I145" s="291">
        <f t="shared" si="192"/>
        <v>194206886</v>
      </c>
      <c r="J145" s="290">
        <f t="shared" si="214"/>
        <v>700386</v>
      </c>
      <c r="K145" s="290">
        <v>0</v>
      </c>
      <c r="L145" s="291">
        <f t="shared" si="208"/>
        <v>700386</v>
      </c>
      <c r="M145" s="290">
        <f t="shared" si="215"/>
        <v>0</v>
      </c>
      <c r="N145" s="291">
        <f t="shared" si="190"/>
        <v>0</v>
      </c>
      <c r="O145" s="291">
        <f t="shared" si="209"/>
        <v>333204249</v>
      </c>
      <c r="P145" s="291">
        <f t="shared" si="216"/>
        <v>71374179</v>
      </c>
      <c r="Q145" s="291">
        <f t="shared" si="210"/>
        <v>26832257</v>
      </c>
      <c r="R145" s="291">
        <f t="shared" si="158"/>
        <v>431410685</v>
      </c>
      <c r="S145" s="290">
        <v>0</v>
      </c>
      <c r="T145" s="290">
        <v>0</v>
      </c>
      <c r="U145" s="292">
        <v>122832707</v>
      </c>
      <c r="V145" s="292">
        <f t="shared" si="217"/>
        <v>122832707</v>
      </c>
      <c r="W145" s="290">
        <v>0</v>
      </c>
      <c r="X145" s="290">
        <v>9584168</v>
      </c>
      <c r="Y145" s="292">
        <v>61790011</v>
      </c>
      <c r="Z145" s="292">
        <f t="shared" si="218"/>
        <v>71374179</v>
      </c>
      <c r="AA145" s="290">
        <v>0</v>
      </c>
      <c r="AB145" s="290">
        <v>0</v>
      </c>
      <c r="AC145" s="290">
        <v>0</v>
      </c>
      <c r="AD145" s="292">
        <f t="shared" si="219"/>
        <v>0</v>
      </c>
      <c r="AE145" s="292">
        <v>700386</v>
      </c>
      <c r="AF145" s="290">
        <v>0</v>
      </c>
      <c r="AG145" s="292">
        <f t="shared" si="220"/>
        <v>700386</v>
      </c>
      <c r="AH145" s="292">
        <v>0</v>
      </c>
      <c r="AI145" s="292">
        <v>0</v>
      </c>
      <c r="AJ145" s="292">
        <f t="shared" si="221"/>
        <v>0</v>
      </c>
      <c r="AK145" s="292">
        <f t="shared" si="224"/>
        <v>2097122130</v>
      </c>
      <c r="AL145" s="292">
        <f t="shared" si="222"/>
        <v>0</v>
      </c>
      <c r="AM145" s="292">
        <f t="shared" si="222"/>
        <v>203561210</v>
      </c>
      <c r="AN145" s="292">
        <f t="shared" si="225"/>
        <v>2300683340</v>
      </c>
      <c r="AO145" s="292">
        <f t="shared" si="226"/>
        <v>976859754</v>
      </c>
      <c r="AP145" s="292">
        <f t="shared" si="223"/>
        <v>534495403</v>
      </c>
      <c r="AQ145" s="292">
        <f t="shared" si="223"/>
        <v>4861840</v>
      </c>
      <c r="AR145" s="292">
        <f t="shared" si="227"/>
        <v>1516216997</v>
      </c>
      <c r="AS145" s="292">
        <f t="shared" si="228"/>
        <v>6983422</v>
      </c>
      <c r="AT145" s="292">
        <f t="shared" si="229"/>
        <v>0</v>
      </c>
      <c r="AU145" s="292">
        <f t="shared" si="230"/>
        <v>0</v>
      </c>
      <c r="AV145" s="292">
        <f t="shared" si="231"/>
        <v>6983422</v>
      </c>
      <c r="AW145" s="292">
        <f t="shared" si="232"/>
        <v>0</v>
      </c>
      <c r="AX145" s="292">
        <f t="shared" si="233"/>
        <v>0</v>
      </c>
      <c r="AY145" s="292">
        <f t="shared" si="234"/>
        <v>3080965306</v>
      </c>
      <c r="AZ145" s="292">
        <f t="shared" si="235"/>
        <v>534495403</v>
      </c>
      <c r="BA145" s="292">
        <f t="shared" si="235"/>
        <v>208423050</v>
      </c>
      <c r="BB145" s="292">
        <f t="shared" si="236"/>
        <v>3823883759</v>
      </c>
      <c r="BC145" s="83">
        <f t="shared" si="191"/>
        <v>4.6842948199213641E-2</v>
      </c>
      <c r="BE145" s="5">
        <f>BB145/'Monthly D4 Gallon Data'!AX143</f>
        <v>1.5729925388297701</v>
      </c>
    </row>
    <row r="146" spans="1:57" ht="12.75">
      <c r="A146" s="170">
        <v>44501</v>
      </c>
      <c r="B146" s="290">
        <v>211287523</v>
      </c>
      <c r="C146" s="290">
        <v>0</v>
      </c>
      <c r="D146" s="290">
        <v>32223920</v>
      </c>
      <c r="E146" s="291">
        <f t="shared" si="156"/>
        <v>243511443</v>
      </c>
      <c r="F146" s="290">
        <f t="shared" si="211"/>
        <v>171882616</v>
      </c>
      <c r="G146" s="290">
        <f t="shared" si="212"/>
        <v>48685115</v>
      </c>
      <c r="H146" s="290">
        <f t="shared" si="213"/>
        <v>0</v>
      </c>
      <c r="I146" s="291">
        <f t="shared" si="192"/>
        <v>220567731</v>
      </c>
      <c r="J146" s="290">
        <f t="shared" si="214"/>
        <v>645571</v>
      </c>
      <c r="K146" s="290">
        <v>0</v>
      </c>
      <c r="L146" s="291">
        <f t="shared" si="208"/>
        <v>645571</v>
      </c>
      <c r="M146" s="290">
        <f t="shared" si="215"/>
        <v>0</v>
      </c>
      <c r="N146" s="291">
        <f t="shared" si="190"/>
        <v>0</v>
      </c>
      <c r="O146" s="291">
        <f t="shared" si="209"/>
        <v>383815710</v>
      </c>
      <c r="P146" s="291">
        <f t="shared" si="216"/>
        <v>48685115</v>
      </c>
      <c r="Q146" s="291">
        <f t="shared" si="210"/>
        <v>32223920</v>
      </c>
      <c r="R146" s="291">
        <f t="shared" si="158"/>
        <v>464724745</v>
      </c>
      <c r="S146" s="290">
        <v>0</v>
      </c>
      <c r="T146" s="290">
        <v>0</v>
      </c>
      <c r="U146" s="292">
        <v>171882616</v>
      </c>
      <c r="V146" s="292">
        <f t="shared" si="217"/>
        <v>171882616</v>
      </c>
      <c r="W146" s="290">
        <v>0</v>
      </c>
      <c r="X146" s="290">
        <v>0</v>
      </c>
      <c r="Y146" s="292">
        <v>48685115</v>
      </c>
      <c r="Z146" s="292">
        <f t="shared" si="218"/>
        <v>48685115</v>
      </c>
      <c r="AA146" s="290">
        <v>0</v>
      </c>
      <c r="AB146" s="290">
        <v>0</v>
      </c>
      <c r="AC146" s="290">
        <v>0</v>
      </c>
      <c r="AD146" s="292">
        <f t="shared" si="219"/>
        <v>0</v>
      </c>
      <c r="AE146" s="292">
        <v>645571</v>
      </c>
      <c r="AF146" s="290">
        <v>0</v>
      </c>
      <c r="AG146" s="292">
        <f t="shared" si="220"/>
        <v>645571</v>
      </c>
      <c r="AH146" s="292">
        <v>0</v>
      </c>
      <c r="AI146" s="292">
        <v>0</v>
      </c>
      <c r="AJ146" s="292">
        <f t="shared" si="221"/>
        <v>0</v>
      </c>
      <c r="AK146" s="292">
        <f t="shared" si="224"/>
        <v>2308409653</v>
      </c>
      <c r="AL146" s="292">
        <f t="shared" si="222"/>
        <v>0</v>
      </c>
      <c r="AM146" s="292">
        <f t="shared" si="222"/>
        <v>235785130</v>
      </c>
      <c r="AN146" s="292">
        <f t="shared" si="225"/>
        <v>2544194783</v>
      </c>
      <c r="AO146" s="292">
        <f t="shared" si="226"/>
        <v>1148742370</v>
      </c>
      <c r="AP146" s="292">
        <f t="shared" si="223"/>
        <v>583180518</v>
      </c>
      <c r="AQ146" s="292">
        <f t="shared" si="223"/>
        <v>4861840</v>
      </c>
      <c r="AR146" s="292">
        <f t="shared" si="227"/>
        <v>1736784728</v>
      </c>
      <c r="AS146" s="292">
        <f t="shared" si="228"/>
        <v>7628993</v>
      </c>
      <c r="AT146" s="292">
        <f t="shared" si="229"/>
        <v>0</v>
      </c>
      <c r="AU146" s="292">
        <f t="shared" si="230"/>
        <v>0</v>
      </c>
      <c r="AV146" s="292">
        <f t="shared" si="231"/>
        <v>7628993</v>
      </c>
      <c r="AW146" s="292">
        <f t="shared" si="232"/>
        <v>0</v>
      </c>
      <c r="AX146" s="292">
        <f t="shared" si="233"/>
        <v>0</v>
      </c>
      <c r="AY146" s="292">
        <f t="shared" si="234"/>
        <v>3464781016</v>
      </c>
      <c r="AZ146" s="292">
        <f t="shared" si="235"/>
        <v>583180518</v>
      </c>
      <c r="BA146" s="292">
        <f t="shared" si="235"/>
        <v>240646970</v>
      </c>
      <c r="BB146" s="292">
        <f t="shared" si="236"/>
        <v>4288608504</v>
      </c>
      <c r="BC146" s="83">
        <f t="shared" si="191"/>
        <v>6.0805685009993393E-2</v>
      </c>
      <c r="BE146" s="5">
        <f>BB146/'Monthly D4 Gallon Data'!AX144</f>
        <v>1.5746971810836785</v>
      </c>
    </row>
    <row r="147" spans="1:57" ht="13.5" thickBot="1">
      <c r="A147" s="170">
        <v>44531</v>
      </c>
      <c r="B147" s="290">
        <v>248564865</v>
      </c>
      <c r="C147" s="290">
        <v>0</v>
      </c>
      <c r="D147" s="290">
        <v>76891453</v>
      </c>
      <c r="E147" s="291">
        <f t="shared" si="156"/>
        <v>325456318</v>
      </c>
      <c r="F147" s="290">
        <f t="shared" si="211"/>
        <v>182270207</v>
      </c>
      <c r="G147" s="290">
        <f t="shared" si="212"/>
        <v>76169718</v>
      </c>
      <c r="H147" s="290">
        <f t="shared" si="213"/>
        <v>0</v>
      </c>
      <c r="I147" s="291">
        <f t="shared" si="192"/>
        <v>258439925</v>
      </c>
      <c r="J147" s="290">
        <f t="shared" si="214"/>
        <v>493605</v>
      </c>
      <c r="K147" s="290">
        <v>0</v>
      </c>
      <c r="L147" s="291">
        <f t="shared" si="208"/>
        <v>493605</v>
      </c>
      <c r="M147" s="290">
        <f t="shared" si="215"/>
        <v>632688</v>
      </c>
      <c r="N147" s="291">
        <f t="shared" si="190"/>
        <v>632688</v>
      </c>
      <c r="O147" s="291">
        <f t="shared" si="209"/>
        <v>431961365</v>
      </c>
      <c r="P147" s="298">
        <f t="shared" si="216"/>
        <v>76169718</v>
      </c>
      <c r="Q147" s="291">
        <f t="shared" si="210"/>
        <v>76891453</v>
      </c>
      <c r="R147" s="291">
        <f t="shared" si="158"/>
        <v>585022536</v>
      </c>
      <c r="S147" s="290">
        <v>0</v>
      </c>
      <c r="T147" s="290">
        <v>0</v>
      </c>
      <c r="U147" s="292">
        <v>182270207</v>
      </c>
      <c r="V147" s="292">
        <f t="shared" si="217"/>
        <v>182270207</v>
      </c>
      <c r="W147" s="290">
        <v>0</v>
      </c>
      <c r="X147" s="290">
        <v>4978827</v>
      </c>
      <c r="Y147" s="292">
        <v>71190891</v>
      </c>
      <c r="Z147" s="292">
        <f t="shared" si="218"/>
        <v>76169718</v>
      </c>
      <c r="AA147" s="290">
        <v>0</v>
      </c>
      <c r="AB147" s="290">
        <v>0</v>
      </c>
      <c r="AC147" s="290">
        <v>0</v>
      </c>
      <c r="AD147" s="292">
        <f t="shared" si="219"/>
        <v>0</v>
      </c>
      <c r="AE147" s="292">
        <v>493605</v>
      </c>
      <c r="AF147" s="290">
        <v>0</v>
      </c>
      <c r="AG147" s="292">
        <f t="shared" si="220"/>
        <v>493605</v>
      </c>
      <c r="AH147" s="292">
        <v>0</v>
      </c>
      <c r="AI147" s="292">
        <v>632688</v>
      </c>
      <c r="AJ147" s="292">
        <f t="shared" si="221"/>
        <v>632688</v>
      </c>
      <c r="AK147" s="292">
        <f t="shared" si="224"/>
        <v>2556974518</v>
      </c>
      <c r="AL147" s="292">
        <f t="shared" si="222"/>
        <v>0</v>
      </c>
      <c r="AM147" s="292">
        <f t="shared" si="222"/>
        <v>312676583</v>
      </c>
      <c r="AN147" s="292">
        <f t="shared" si="225"/>
        <v>2869651101</v>
      </c>
      <c r="AO147" s="292">
        <f t="shared" si="226"/>
        <v>1331012577</v>
      </c>
      <c r="AP147" s="292">
        <f t="shared" si="223"/>
        <v>659350236</v>
      </c>
      <c r="AQ147" s="292">
        <f t="shared" si="223"/>
        <v>4861840</v>
      </c>
      <c r="AR147" s="292">
        <f t="shared" si="227"/>
        <v>1995224653</v>
      </c>
      <c r="AS147" s="292">
        <f t="shared" si="228"/>
        <v>8122598</v>
      </c>
      <c r="AT147" s="292">
        <f t="shared" si="229"/>
        <v>0</v>
      </c>
      <c r="AU147" s="292">
        <f t="shared" si="230"/>
        <v>0</v>
      </c>
      <c r="AV147" s="292">
        <f t="shared" si="231"/>
        <v>8122598</v>
      </c>
      <c r="AW147" s="292">
        <f t="shared" si="232"/>
        <v>632688</v>
      </c>
      <c r="AX147" s="292">
        <f t="shared" si="233"/>
        <v>632688</v>
      </c>
      <c r="AY147" s="292">
        <f t="shared" si="234"/>
        <v>3896742381</v>
      </c>
      <c r="AZ147" s="292">
        <f t="shared" si="235"/>
        <v>659350236</v>
      </c>
      <c r="BA147" s="292">
        <f t="shared" si="235"/>
        <v>317538423</v>
      </c>
      <c r="BB147" s="292">
        <f t="shared" si="236"/>
        <v>4873631040</v>
      </c>
      <c r="BC147" s="83">
        <f t="shared" si="191"/>
        <v>8.5382826204176476E-2</v>
      </c>
      <c r="BE147" s="5">
        <f>BB147/'Monthly D4 Gallon Data'!AX145</f>
        <v>1.5755293490074225</v>
      </c>
    </row>
    <row r="148" spans="1:57" ht="12.75">
      <c r="A148" s="171">
        <v>44562</v>
      </c>
      <c r="B148" s="295">
        <v>136074146</v>
      </c>
      <c r="C148" s="295">
        <v>0</v>
      </c>
      <c r="D148" s="295">
        <v>19051597</v>
      </c>
      <c r="E148" s="296">
        <f t="shared" si="156"/>
        <v>155125743</v>
      </c>
      <c r="F148" s="295">
        <f t="shared" si="211"/>
        <v>141082518</v>
      </c>
      <c r="G148" s="295">
        <f t="shared" si="212"/>
        <v>58618447</v>
      </c>
      <c r="H148" s="295">
        <f t="shared" si="213"/>
        <v>0</v>
      </c>
      <c r="I148" s="296">
        <f t="shared" si="192"/>
        <v>199700965</v>
      </c>
      <c r="J148" s="295">
        <f t="shared" si="214"/>
        <v>643392</v>
      </c>
      <c r="K148" s="295">
        <v>0</v>
      </c>
      <c r="L148" s="296">
        <f t="shared" si="208"/>
        <v>643392</v>
      </c>
      <c r="M148" s="295">
        <f t="shared" si="215"/>
        <v>37939</v>
      </c>
      <c r="N148" s="296">
        <f t="shared" si="190"/>
        <v>37939</v>
      </c>
      <c r="O148" s="296">
        <f t="shared" si="209"/>
        <v>277837995</v>
      </c>
      <c r="P148" s="296">
        <f t="shared" si="216"/>
        <v>58618447</v>
      </c>
      <c r="Q148" s="296">
        <f t="shared" si="210"/>
        <v>19051597</v>
      </c>
      <c r="R148" s="296">
        <f t="shared" si="158"/>
        <v>355508039</v>
      </c>
      <c r="S148" s="295">
        <v>0</v>
      </c>
      <c r="T148" s="295">
        <v>0</v>
      </c>
      <c r="U148" s="297">
        <v>141082518</v>
      </c>
      <c r="V148" s="297">
        <f t="shared" si="217"/>
        <v>141082518</v>
      </c>
      <c r="W148" s="295">
        <v>0</v>
      </c>
      <c r="X148" s="295">
        <v>5459403</v>
      </c>
      <c r="Y148" s="297">
        <v>53159044</v>
      </c>
      <c r="Z148" s="297">
        <f t="shared" si="218"/>
        <v>58618447</v>
      </c>
      <c r="AA148" s="295">
        <v>0</v>
      </c>
      <c r="AB148" s="295">
        <v>0</v>
      </c>
      <c r="AC148" s="295">
        <v>0</v>
      </c>
      <c r="AD148" s="297">
        <f t="shared" si="219"/>
        <v>0</v>
      </c>
      <c r="AE148" s="297">
        <v>643392</v>
      </c>
      <c r="AF148" s="295">
        <v>0</v>
      </c>
      <c r="AG148" s="297">
        <f t="shared" si="220"/>
        <v>643392</v>
      </c>
      <c r="AH148" s="297">
        <v>0</v>
      </c>
      <c r="AI148" s="297">
        <v>37939</v>
      </c>
      <c r="AJ148" s="297">
        <f t="shared" si="221"/>
        <v>37939</v>
      </c>
      <c r="AK148" s="297">
        <f>B148</f>
        <v>136074146</v>
      </c>
      <c r="AL148" s="297">
        <f>C148</f>
        <v>0</v>
      </c>
      <c r="AM148" s="297">
        <f>D148</f>
        <v>19051597</v>
      </c>
      <c r="AN148" s="297">
        <f>SUM(AK148:AM148)</f>
        <v>155125743</v>
      </c>
      <c r="AO148" s="297">
        <f>F148</f>
        <v>141082518</v>
      </c>
      <c r="AP148" s="297">
        <f>G148</f>
        <v>58618447</v>
      </c>
      <c r="AQ148" s="297">
        <f>H148</f>
        <v>0</v>
      </c>
      <c r="AR148" s="297">
        <f>SUM(AO148:AQ148)</f>
        <v>199700965</v>
      </c>
      <c r="AS148" s="297">
        <f>J148</f>
        <v>643392</v>
      </c>
      <c r="AT148" s="297">
        <f>AH148</f>
        <v>0</v>
      </c>
      <c r="AU148" s="297">
        <f>K148</f>
        <v>0</v>
      </c>
      <c r="AV148" s="297">
        <f>SUM(AS148:AU148)</f>
        <v>643392</v>
      </c>
      <c r="AW148" s="297">
        <f>M148</f>
        <v>37939</v>
      </c>
      <c r="AX148" s="297">
        <f>AW148</f>
        <v>37939</v>
      </c>
      <c r="AY148" s="297">
        <f>AK148+AO148+AS148+AW148</f>
        <v>277837995</v>
      </c>
      <c r="AZ148" s="297">
        <f>AL148+AP148+AT148</f>
        <v>58618447</v>
      </c>
      <c r="BA148" s="297">
        <f>AM148+AQ148+AU148</f>
        <v>19051597</v>
      </c>
      <c r="BB148" s="297">
        <f>SUM(AY148:BA148)</f>
        <v>355508039</v>
      </c>
      <c r="BC148" s="83">
        <f t="shared" si="191"/>
        <v>0.1829363903400838</v>
      </c>
      <c r="BD148" s="152"/>
      <c r="BE148" s="5">
        <f>BB148/'Monthly D4 Gallon Data'!AX146</f>
        <v>1.6049029076914672</v>
      </c>
    </row>
    <row r="149" spans="1:57" ht="12.75">
      <c r="A149" s="170">
        <v>44593</v>
      </c>
      <c r="B149" s="290">
        <v>165665990</v>
      </c>
      <c r="C149" s="290">
        <v>0</v>
      </c>
      <c r="D149" s="290">
        <v>10115757</v>
      </c>
      <c r="E149" s="291">
        <f t="shared" si="156"/>
        <v>175781747</v>
      </c>
      <c r="F149" s="290">
        <f t="shared" si="211"/>
        <v>164321975</v>
      </c>
      <c r="G149" s="290">
        <f t="shared" si="212"/>
        <v>51405556</v>
      </c>
      <c r="H149" s="290">
        <f t="shared" si="213"/>
        <v>0</v>
      </c>
      <c r="I149" s="291">
        <f t="shared" si="192"/>
        <v>215727531</v>
      </c>
      <c r="J149" s="290">
        <f t="shared" si="214"/>
        <v>1774192</v>
      </c>
      <c r="K149" s="290">
        <v>0</v>
      </c>
      <c r="L149" s="291">
        <f t="shared" si="208"/>
        <v>4031790</v>
      </c>
      <c r="M149" s="290">
        <f t="shared" si="215"/>
        <v>0</v>
      </c>
      <c r="N149" s="291">
        <f t="shared" si="190"/>
        <v>0</v>
      </c>
      <c r="O149" s="291">
        <f t="shared" si="209"/>
        <v>331762157</v>
      </c>
      <c r="P149" s="291">
        <f t="shared" si="216"/>
        <v>53663154</v>
      </c>
      <c r="Q149" s="291">
        <f t="shared" si="210"/>
        <v>10115757</v>
      </c>
      <c r="R149" s="291">
        <f t="shared" si="158"/>
        <v>395541068</v>
      </c>
      <c r="S149" s="290">
        <v>0</v>
      </c>
      <c r="T149" s="290">
        <v>590510</v>
      </c>
      <c r="U149" s="292">
        <v>163731465</v>
      </c>
      <c r="V149" s="292">
        <f t="shared" si="217"/>
        <v>164321975</v>
      </c>
      <c r="W149" s="290">
        <v>0</v>
      </c>
      <c r="X149" s="290">
        <v>989848</v>
      </c>
      <c r="Y149" s="292">
        <v>50415708</v>
      </c>
      <c r="Z149" s="292">
        <f t="shared" si="218"/>
        <v>51405556</v>
      </c>
      <c r="AA149" s="290">
        <v>0</v>
      </c>
      <c r="AB149" s="290">
        <v>0</v>
      </c>
      <c r="AC149" s="290">
        <v>0</v>
      </c>
      <c r="AD149" s="292">
        <f t="shared" si="219"/>
        <v>0</v>
      </c>
      <c r="AE149" s="292">
        <v>1774192</v>
      </c>
      <c r="AF149" s="290">
        <v>0</v>
      </c>
      <c r="AG149" s="292">
        <f t="shared" si="220"/>
        <v>1774192</v>
      </c>
      <c r="AH149" s="292">
        <v>2257598</v>
      </c>
      <c r="AI149" s="292">
        <v>0</v>
      </c>
      <c r="AJ149" s="292">
        <f t="shared" si="221"/>
        <v>0</v>
      </c>
      <c r="AK149" s="292">
        <f>AK148+B149</f>
        <v>301740136</v>
      </c>
      <c r="AL149" s="292">
        <f t="shared" ref="AL149:AM158" si="237">AL148+C149</f>
        <v>0</v>
      </c>
      <c r="AM149" s="292">
        <f t="shared" si="237"/>
        <v>29167354</v>
      </c>
      <c r="AN149" s="292">
        <f>SUM(AK149:AM149)</f>
        <v>330907490</v>
      </c>
      <c r="AO149" s="292">
        <f>AO148+F149</f>
        <v>305404493</v>
      </c>
      <c r="AP149" s="292">
        <f t="shared" ref="AP149:AQ158" si="238">AP148+G149</f>
        <v>110024003</v>
      </c>
      <c r="AQ149" s="292">
        <f t="shared" si="238"/>
        <v>0</v>
      </c>
      <c r="AR149" s="292">
        <f>SUM(AO149:AQ149)</f>
        <v>415428496</v>
      </c>
      <c r="AS149" s="292">
        <f>AS148+J149</f>
        <v>2417584</v>
      </c>
      <c r="AT149" s="292">
        <f>AT148+AH149</f>
        <v>2257598</v>
      </c>
      <c r="AU149" s="292">
        <f>AU148+K149</f>
        <v>0</v>
      </c>
      <c r="AV149" s="292">
        <f>SUM(AS149:AU149)</f>
        <v>4675182</v>
      </c>
      <c r="AW149" s="292">
        <f>AW148+M149</f>
        <v>37939</v>
      </c>
      <c r="AX149" s="292">
        <f>AW149</f>
        <v>37939</v>
      </c>
      <c r="AY149" s="292">
        <f>AK149+AO149+AS149+AW149</f>
        <v>609600152</v>
      </c>
      <c r="AZ149" s="292">
        <f>AL149+AP149+AT149</f>
        <v>112281601</v>
      </c>
      <c r="BA149" s="292">
        <f>AM149+AQ149+AU149</f>
        <v>29167354</v>
      </c>
      <c r="BB149" s="292">
        <f>SUM(AY149:BA149)</f>
        <v>751049107</v>
      </c>
      <c r="BC149" s="83">
        <f t="shared" si="191"/>
        <v>0.23745253600616323</v>
      </c>
      <c r="BD149" s="152"/>
      <c r="BE149" s="5">
        <f>BB149/'Monthly D4 Gallon Data'!AX147</f>
        <v>1.6042000855390706</v>
      </c>
    </row>
    <row r="150" spans="1:57" ht="12.75">
      <c r="A150" s="170">
        <v>44621</v>
      </c>
      <c r="B150" s="290">
        <v>203803656</v>
      </c>
      <c r="C150" s="290">
        <v>0</v>
      </c>
      <c r="D150" s="290">
        <v>34021039</v>
      </c>
      <c r="E150" s="291">
        <f>SUM(B150:D150)</f>
        <v>237824695</v>
      </c>
      <c r="F150" s="290">
        <f>V150</f>
        <v>178946752</v>
      </c>
      <c r="G150" s="290">
        <f>Z150</f>
        <v>68493463</v>
      </c>
      <c r="H150" s="290">
        <f>AD150</f>
        <v>0</v>
      </c>
      <c r="I150" s="291">
        <f>SUM(F150:H150)</f>
        <v>247440215</v>
      </c>
      <c r="J150" s="290">
        <f t="shared" si="214"/>
        <v>1642458</v>
      </c>
      <c r="K150" s="290">
        <v>0</v>
      </c>
      <c r="L150" s="291">
        <f t="shared" si="208"/>
        <v>4676012</v>
      </c>
      <c r="M150" s="290">
        <f t="shared" si="215"/>
        <v>0</v>
      </c>
      <c r="N150" s="291">
        <f t="shared" si="190"/>
        <v>0</v>
      </c>
      <c r="O150" s="291">
        <f>B150+F150+J150+M150</f>
        <v>384392866</v>
      </c>
      <c r="P150" s="291">
        <f t="shared" si="216"/>
        <v>71527017</v>
      </c>
      <c r="Q150" s="291">
        <f>D150+H150+K150</f>
        <v>34021039</v>
      </c>
      <c r="R150" s="291">
        <f>SUM(O150:Q150)</f>
        <v>489940922</v>
      </c>
      <c r="S150" s="290">
        <v>0</v>
      </c>
      <c r="T150" s="290">
        <v>395270</v>
      </c>
      <c r="U150" s="292">
        <v>178551482</v>
      </c>
      <c r="V150" s="292">
        <f t="shared" si="217"/>
        <v>178946752</v>
      </c>
      <c r="W150" s="290">
        <v>0</v>
      </c>
      <c r="X150" s="290">
        <v>5157943</v>
      </c>
      <c r="Y150" s="292">
        <v>63335520</v>
      </c>
      <c r="Z150" s="292">
        <f t="shared" si="218"/>
        <v>68493463</v>
      </c>
      <c r="AA150" s="290">
        <v>0</v>
      </c>
      <c r="AB150" s="290">
        <v>0</v>
      </c>
      <c r="AC150" s="290">
        <v>0</v>
      </c>
      <c r="AD150" s="292">
        <f t="shared" si="219"/>
        <v>0</v>
      </c>
      <c r="AE150" s="292">
        <v>1642458</v>
      </c>
      <c r="AF150" s="290">
        <v>0</v>
      </c>
      <c r="AG150" s="292">
        <f t="shared" si="220"/>
        <v>1642458</v>
      </c>
      <c r="AH150" s="292">
        <v>3033554</v>
      </c>
      <c r="AI150" s="292">
        <v>0</v>
      </c>
      <c r="AJ150" s="292">
        <f t="shared" si="221"/>
        <v>0</v>
      </c>
      <c r="AK150" s="292">
        <f t="shared" ref="AK150:AK158" si="239">AK149+B150</f>
        <v>505543792</v>
      </c>
      <c r="AL150" s="292">
        <f t="shared" si="237"/>
        <v>0</v>
      </c>
      <c r="AM150" s="292">
        <f t="shared" si="237"/>
        <v>63188393</v>
      </c>
      <c r="AN150" s="292">
        <f t="shared" ref="AN150:AN186" si="240">SUM(AK150:AM150)</f>
        <v>568732185</v>
      </c>
      <c r="AO150" s="292">
        <f t="shared" ref="AO150:AO158" si="241">AO149+F150</f>
        <v>484351245</v>
      </c>
      <c r="AP150" s="292">
        <f t="shared" si="238"/>
        <v>178517466</v>
      </c>
      <c r="AQ150" s="292">
        <f t="shared" si="238"/>
        <v>0</v>
      </c>
      <c r="AR150" s="292">
        <f t="shared" ref="AR150:AR186" si="242">SUM(AO150:AQ150)</f>
        <v>662868711</v>
      </c>
      <c r="AS150" s="292">
        <f t="shared" ref="AS150:AS158" si="243">AS149+J150</f>
        <v>4060042</v>
      </c>
      <c r="AT150" s="292">
        <f t="shared" ref="AT150:AT158" si="244">AT149+AH150</f>
        <v>5291152</v>
      </c>
      <c r="AU150" s="292">
        <f t="shared" ref="AU150:AU158" si="245">AU149+K150</f>
        <v>0</v>
      </c>
      <c r="AV150" s="292">
        <f t="shared" ref="AV150:AV186" si="246">SUM(AS150:AU150)</f>
        <v>9351194</v>
      </c>
      <c r="AW150" s="292">
        <f t="shared" ref="AW150:AW158" si="247">AW149+M150</f>
        <v>37939</v>
      </c>
      <c r="AX150" s="292">
        <f t="shared" ref="AX150:AX186" si="248">AW150</f>
        <v>37939</v>
      </c>
      <c r="AY150" s="292">
        <f t="shared" ref="AY150:AY186" si="249">AK150+AO150+AS150+AW150</f>
        <v>993993018</v>
      </c>
      <c r="AZ150" s="292">
        <f t="shared" ref="AZ150:BA165" si="250">AL150+AP150+AT150</f>
        <v>183808618</v>
      </c>
      <c r="BA150" s="292">
        <f t="shared" si="250"/>
        <v>63188393</v>
      </c>
      <c r="BB150" s="292">
        <f t="shared" ref="BB150:BB186" si="251">SUM(AY150:BA150)</f>
        <v>1240990029</v>
      </c>
      <c r="BC150" s="83">
        <f t="shared" si="191"/>
        <v>0.22320870037942941</v>
      </c>
      <c r="BD150" s="152"/>
      <c r="BE150" s="5">
        <f>BB150/'Monthly D4 Gallon Data'!AX148</f>
        <v>1.6004421189170162</v>
      </c>
    </row>
    <row r="151" spans="1:57" ht="12.75">
      <c r="A151" s="170">
        <v>44652</v>
      </c>
      <c r="B151" s="290">
        <v>216431723</v>
      </c>
      <c r="C151" s="290">
        <v>0</v>
      </c>
      <c r="D151" s="290">
        <v>44809859</v>
      </c>
      <c r="E151" s="291">
        <f>SUM(B151:D151)</f>
        <v>261241582</v>
      </c>
      <c r="F151" s="290">
        <f>V151</f>
        <v>172020044</v>
      </c>
      <c r="G151" s="290">
        <f>Z151</f>
        <v>64763053</v>
      </c>
      <c r="H151" s="290">
        <f>AD151</f>
        <v>0</v>
      </c>
      <c r="I151" s="291">
        <f>SUM(F151:H151)</f>
        <v>236783097</v>
      </c>
      <c r="J151" s="290">
        <f t="shared" si="214"/>
        <v>654386</v>
      </c>
      <c r="K151" s="290">
        <v>0</v>
      </c>
      <c r="L151" s="291">
        <f t="shared" si="208"/>
        <v>654386</v>
      </c>
      <c r="M151" s="290">
        <f t="shared" si="215"/>
        <v>0</v>
      </c>
      <c r="N151" s="291">
        <f t="shared" si="190"/>
        <v>0</v>
      </c>
      <c r="O151" s="291">
        <f>B151+F151+J151+M151</f>
        <v>389106153</v>
      </c>
      <c r="P151" s="291">
        <f t="shared" si="216"/>
        <v>64763053</v>
      </c>
      <c r="Q151" s="291">
        <f>D151+H151+K151</f>
        <v>44809859</v>
      </c>
      <c r="R151" s="291">
        <f>SUM(O151:Q151)</f>
        <v>498679065</v>
      </c>
      <c r="S151" s="290">
        <v>0</v>
      </c>
      <c r="T151" s="290">
        <v>0</v>
      </c>
      <c r="U151" s="292">
        <v>172020044</v>
      </c>
      <c r="V151" s="292">
        <f t="shared" si="217"/>
        <v>172020044</v>
      </c>
      <c r="W151" s="290">
        <v>0</v>
      </c>
      <c r="X151" s="290">
        <v>0</v>
      </c>
      <c r="Y151" s="292">
        <v>64763053</v>
      </c>
      <c r="Z151" s="292">
        <f t="shared" si="218"/>
        <v>64763053</v>
      </c>
      <c r="AA151" s="290">
        <v>0</v>
      </c>
      <c r="AB151" s="290">
        <v>0</v>
      </c>
      <c r="AC151" s="290">
        <v>0</v>
      </c>
      <c r="AD151" s="292">
        <f t="shared" si="219"/>
        <v>0</v>
      </c>
      <c r="AE151" s="292">
        <v>654386</v>
      </c>
      <c r="AF151" s="290">
        <v>0</v>
      </c>
      <c r="AG151" s="292">
        <f t="shared" si="220"/>
        <v>654386</v>
      </c>
      <c r="AH151" s="292">
        <v>0</v>
      </c>
      <c r="AI151" s="292">
        <v>0</v>
      </c>
      <c r="AJ151" s="292">
        <f t="shared" si="221"/>
        <v>0</v>
      </c>
      <c r="AK151" s="292">
        <f t="shared" si="239"/>
        <v>721975515</v>
      </c>
      <c r="AL151" s="292">
        <f t="shared" si="237"/>
        <v>0</v>
      </c>
      <c r="AM151" s="292">
        <f t="shared" si="237"/>
        <v>107998252</v>
      </c>
      <c r="AN151" s="292">
        <f t="shared" si="240"/>
        <v>829973767</v>
      </c>
      <c r="AO151" s="292">
        <f t="shared" si="241"/>
        <v>656371289</v>
      </c>
      <c r="AP151" s="292">
        <f t="shared" si="238"/>
        <v>243280519</v>
      </c>
      <c r="AQ151" s="292">
        <f t="shared" si="238"/>
        <v>0</v>
      </c>
      <c r="AR151" s="292">
        <f t="shared" si="242"/>
        <v>899651808</v>
      </c>
      <c r="AS151" s="292">
        <f t="shared" si="243"/>
        <v>4714428</v>
      </c>
      <c r="AT151" s="292">
        <f t="shared" si="244"/>
        <v>5291152</v>
      </c>
      <c r="AU151" s="292">
        <f t="shared" si="245"/>
        <v>0</v>
      </c>
      <c r="AV151" s="292">
        <f t="shared" si="246"/>
        <v>10005580</v>
      </c>
      <c r="AW151" s="292">
        <f t="shared" si="247"/>
        <v>37939</v>
      </c>
      <c r="AX151" s="292">
        <f t="shared" si="248"/>
        <v>37939</v>
      </c>
      <c r="AY151" s="292">
        <f t="shared" si="249"/>
        <v>1383099171</v>
      </c>
      <c r="AZ151" s="292">
        <f t="shared" si="250"/>
        <v>248571671</v>
      </c>
      <c r="BA151" s="292">
        <f t="shared" si="250"/>
        <v>107998252</v>
      </c>
      <c r="BB151" s="292">
        <f t="shared" si="251"/>
        <v>1739669094</v>
      </c>
      <c r="BC151" s="83">
        <f t="shared" si="191"/>
        <v>0.24175208714703444</v>
      </c>
      <c r="BD151" s="152"/>
      <c r="BE151" s="5">
        <f>BB151/'Monthly D4 Gallon Data'!AX149</f>
        <v>1.5971149966719569</v>
      </c>
    </row>
    <row r="152" spans="1:57" ht="12.75">
      <c r="A152" s="170">
        <v>44682</v>
      </c>
      <c r="B152" s="290">
        <v>209815286</v>
      </c>
      <c r="C152" s="290">
        <v>0</v>
      </c>
      <c r="D152" s="290">
        <v>17665002</v>
      </c>
      <c r="E152" s="291">
        <f t="shared" ref="E152:E158" si="252">SUM(B152:D152)</f>
        <v>227480288</v>
      </c>
      <c r="F152" s="290">
        <f t="shared" ref="F152:F186" si="253">V152</f>
        <v>216567060</v>
      </c>
      <c r="G152" s="290">
        <f t="shared" ref="G152:G186" si="254">Z152</f>
        <v>69297187</v>
      </c>
      <c r="H152" s="290">
        <f t="shared" ref="H152:H160" si="255">AD152</f>
        <v>0</v>
      </c>
      <c r="I152" s="291">
        <f t="shared" ref="I152:I160" si="256">SUM(F152:H152)</f>
        <v>285864247</v>
      </c>
      <c r="J152" s="290">
        <f t="shared" si="214"/>
        <v>324530</v>
      </c>
      <c r="K152" s="290">
        <v>0</v>
      </c>
      <c r="L152" s="291">
        <f t="shared" si="208"/>
        <v>324530</v>
      </c>
      <c r="M152" s="290">
        <f t="shared" si="215"/>
        <v>0</v>
      </c>
      <c r="N152" s="291">
        <f t="shared" si="190"/>
        <v>0</v>
      </c>
      <c r="O152" s="291">
        <f t="shared" ref="O152:O186" si="257">B152+F152+J152+M152</f>
        <v>426706876</v>
      </c>
      <c r="P152" s="291">
        <f t="shared" si="216"/>
        <v>69297187</v>
      </c>
      <c r="Q152" s="291">
        <f t="shared" ref="Q152:Q186" si="258">D152+H152+K152</f>
        <v>17665002</v>
      </c>
      <c r="R152" s="291">
        <f t="shared" ref="R152:R186" si="259">SUM(O152:Q152)</f>
        <v>513669065</v>
      </c>
      <c r="S152" s="290">
        <v>0</v>
      </c>
      <c r="T152" s="290">
        <v>0</v>
      </c>
      <c r="U152" s="292">
        <v>216567060</v>
      </c>
      <c r="V152" s="292">
        <f t="shared" si="217"/>
        <v>216567060</v>
      </c>
      <c r="W152" s="290">
        <v>0</v>
      </c>
      <c r="X152" s="290">
        <v>3628643</v>
      </c>
      <c r="Y152" s="292">
        <v>65668544</v>
      </c>
      <c r="Z152" s="292">
        <f t="shared" si="218"/>
        <v>69297187</v>
      </c>
      <c r="AA152" s="290">
        <v>0</v>
      </c>
      <c r="AB152" s="290">
        <v>0</v>
      </c>
      <c r="AC152" s="290">
        <v>0</v>
      </c>
      <c r="AD152" s="292">
        <f t="shared" si="219"/>
        <v>0</v>
      </c>
      <c r="AE152" s="292">
        <v>324530</v>
      </c>
      <c r="AF152" s="290">
        <v>0</v>
      </c>
      <c r="AG152" s="292">
        <f t="shared" si="220"/>
        <v>324530</v>
      </c>
      <c r="AH152" s="292">
        <v>0</v>
      </c>
      <c r="AI152" s="292">
        <v>0</v>
      </c>
      <c r="AJ152" s="292">
        <f t="shared" si="221"/>
        <v>0</v>
      </c>
      <c r="AK152" s="292">
        <f t="shared" si="239"/>
        <v>931790801</v>
      </c>
      <c r="AL152" s="292">
        <f t="shared" si="237"/>
        <v>0</v>
      </c>
      <c r="AM152" s="292">
        <f t="shared" si="237"/>
        <v>125663254</v>
      </c>
      <c r="AN152" s="292">
        <f t="shared" si="240"/>
        <v>1057454055</v>
      </c>
      <c r="AO152" s="292">
        <f t="shared" si="241"/>
        <v>872938349</v>
      </c>
      <c r="AP152" s="292">
        <f t="shared" si="238"/>
        <v>312577706</v>
      </c>
      <c r="AQ152" s="292">
        <f t="shared" si="238"/>
        <v>0</v>
      </c>
      <c r="AR152" s="292">
        <f t="shared" si="242"/>
        <v>1185516055</v>
      </c>
      <c r="AS152" s="292">
        <f t="shared" si="243"/>
        <v>5038958</v>
      </c>
      <c r="AT152" s="292">
        <f t="shared" si="244"/>
        <v>5291152</v>
      </c>
      <c r="AU152" s="292">
        <f t="shared" si="245"/>
        <v>0</v>
      </c>
      <c r="AV152" s="292">
        <f t="shared" si="246"/>
        <v>10330110</v>
      </c>
      <c r="AW152" s="292">
        <f t="shared" si="247"/>
        <v>37939</v>
      </c>
      <c r="AX152" s="292">
        <f t="shared" si="248"/>
        <v>37939</v>
      </c>
      <c r="AY152" s="292">
        <f t="shared" si="249"/>
        <v>1809806047</v>
      </c>
      <c r="AZ152" s="292">
        <f t="shared" si="250"/>
        <v>317868858</v>
      </c>
      <c r="BA152" s="292">
        <f t="shared" si="250"/>
        <v>125663254</v>
      </c>
      <c r="BB152" s="292">
        <f t="shared" si="251"/>
        <v>2253338159</v>
      </c>
      <c r="BC152" s="83">
        <f t="shared" si="191"/>
        <v>0.25353122759515334</v>
      </c>
      <c r="BD152" s="152"/>
      <c r="BE152" s="5">
        <f>BB152/'Monthly D4 Gallon Data'!AX150</f>
        <v>1.5987916026416154</v>
      </c>
    </row>
    <row r="153" spans="1:57" ht="12.75">
      <c r="A153" s="170">
        <v>44713</v>
      </c>
      <c r="B153" s="290">
        <v>214285517</v>
      </c>
      <c r="C153" s="290">
        <v>0</v>
      </c>
      <c r="D153" s="290">
        <v>28972266</v>
      </c>
      <c r="E153" s="291">
        <f t="shared" si="252"/>
        <v>243257783</v>
      </c>
      <c r="F153" s="290">
        <f t="shared" si="253"/>
        <v>189805434</v>
      </c>
      <c r="G153" s="290">
        <f t="shared" si="254"/>
        <v>54532019</v>
      </c>
      <c r="H153" s="290">
        <f t="shared" si="255"/>
        <v>0</v>
      </c>
      <c r="I153" s="291">
        <f t="shared" si="256"/>
        <v>244337453</v>
      </c>
      <c r="J153" s="290">
        <f t="shared" si="214"/>
        <v>1283622</v>
      </c>
      <c r="K153" s="290">
        <v>0</v>
      </c>
      <c r="L153" s="291">
        <f t="shared" si="208"/>
        <v>3730798</v>
      </c>
      <c r="M153" s="290">
        <f t="shared" si="215"/>
        <v>0</v>
      </c>
      <c r="N153" s="291">
        <f t="shared" si="190"/>
        <v>0</v>
      </c>
      <c r="O153" s="291">
        <f t="shared" si="257"/>
        <v>405374573</v>
      </c>
      <c r="P153" s="291">
        <f t="shared" si="216"/>
        <v>56979195</v>
      </c>
      <c r="Q153" s="291">
        <f t="shared" si="258"/>
        <v>28972266</v>
      </c>
      <c r="R153" s="291">
        <f t="shared" si="259"/>
        <v>491326034</v>
      </c>
      <c r="S153" s="290">
        <v>0</v>
      </c>
      <c r="T153" s="290">
        <v>691690</v>
      </c>
      <c r="U153" s="292">
        <v>189113744</v>
      </c>
      <c r="V153" s="292">
        <f t="shared" si="217"/>
        <v>189805434</v>
      </c>
      <c r="W153" s="290">
        <v>0</v>
      </c>
      <c r="X153" s="290">
        <v>1087288</v>
      </c>
      <c r="Y153" s="292">
        <v>53444731</v>
      </c>
      <c r="Z153" s="292">
        <f t="shared" si="218"/>
        <v>54532019</v>
      </c>
      <c r="AA153" s="290">
        <v>0</v>
      </c>
      <c r="AB153" s="290">
        <v>0</v>
      </c>
      <c r="AC153" s="290">
        <v>0</v>
      </c>
      <c r="AD153" s="292">
        <f t="shared" si="219"/>
        <v>0</v>
      </c>
      <c r="AE153" s="292">
        <v>1283622</v>
      </c>
      <c r="AF153" s="290">
        <v>0</v>
      </c>
      <c r="AG153" s="292">
        <f t="shared" si="220"/>
        <v>1283622</v>
      </c>
      <c r="AH153" s="292">
        <v>2447176</v>
      </c>
      <c r="AI153" s="292">
        <v>0</v>
      </c>
      <c r="AJ153" s="292">
        <f t="shared" si="221"/>
        <v>0</v>
      </c>
      <c r="AK153" s="292">
        <f t="shared" si="239"/>
        <v>1146076318</v>
      </c>
      <c r="AL153" s="292">
        <f t="shared" si="237"/>
        <v>0</v>
      </c>
      <c r="AM153" s="292">
        <f t="shared" si="237"/>
        <v>154635520</v>
      </c>
      <c r="AN153" s="292">
        <f t="shared" si="240"/>
        <v>1300711838</v>
      </c>
      <c r="AO153" s="292">
        <f t="shared" si="241"/>
        <v>1062743783</v>
      </c>
      <c r="AP153" s="292">
        <f t="shared" si="238"/>
        <v>367109725</v>
      </c>
      <c r="AQ153" s="292">
        <f t="shared" si="238"/>
        <v>0</v>
      </c>
      <c r="AR153" s="292">
        <f t="shared" si="242"/>
        <v>1429853508</v>
      </c>
      <c r="AS153" s="292">
        <f t="shared" si="243"/>
        <v>6322580</v>
      </c>
      <c r="AT153" s="292">
        <f t="shared" si="244"/>
        <v>7738328</v>
      </c>
      <c r="AU153" s="292">
        <f t="shared" si="245"/>
        <v>0</v>
      </c>
      <c r="AV153" s="292">
        <f t="shared" si="246"/>
        <v>14060908</v>
      </c>
      <c r="AW153" s="292">
        <f t="shared" si="247"/>
        <v>37939</v>
      </c>
      <c r="AX153" s="292">
        <f t="shared" si="248"/>
        <v>37939</v>
      </c>
      <c r="AY153" s="292">
        <f t="shared" si="249"/>
        <v>2215180620</v>
      </c>
      <c r="AZ153" s="292">
        <f t="shared" si="250"/>
        <v>374848053</v>
      </c>
      <c r="BA153" s="292">
        <f t="shared" si="250"/>
        <v>154635520</v>
      </c>
      <c r="BB153" s="292">
        <f t="shared" si="251"/>
        <v>2744664193</v>
      </c>
      <c r="BC153" s="83">
        <f t="shared" si="191"/>
        <v>0.23267906819277018</v>
      </c>
      <c r="BD153" s="152"/>
      <c r="BE153" s="5">
        <f>BB153/'Monthly D4 Gallon Data'!AX151</f>
        <v>1.5978755220565457</v>
      </c>
    </row>
    <row r="154" spans="1:57" ht="12.75">
      <c r="A154" s="170">
        <v>44743</v>
      </c>
      <c r="B154" s="290">
        <v>206321364</v>
      </c>
      <c r="C154" s="290">
        <v>0</v>
      </c>
      <c r="D154" s="290">
        <v>13073576</v>
      </c>
      <c r="E154" s="291">
        <f t="shared" si="252"/>
        <v>219394940</v>
      </c>
      <c r="F154" s="290">
        <f t="shared" si="253"/>
        <v>177084391</v>
      </c>
      <c r="G154" s="290">
        <f t="shared" si="254"/>
        <v>23378032</v>
      </c>
      <c r="H154" s="290">
        <f t="shared" si="255"/>
        <v>0</v>
      </c>
      <c r="I154" s="291">
        <f t="shared" si="256"/>
        <v>200462423</v>
      </c>
      <c r="J154" s="290">
        <f t="shared" si="214"/>
        <v>1820757</v>
      </c>
      <c r="K154" s="290">
        <v>0</v>
      </c>
      <c r="L154" s="291">
        <f t="shared" si="208"/>
        <v>1820757</v>
      </c>
      <c r="M154" s="290">
        <f t="shared" si="215"/>
        <v>0</v>
      </c>
      <c r="N154" s="291">
        <f t="shared" si="190"/>
        <v>0</v>
      </c>
      <c r="O154" s="291">
        <f t="shared" si="257"/>
        <v>385226512</v>
      </c>
      <c r="P154" s="291">
        <f t="shared" si="216"/>
        <v>23378032</v>
      </c>
      <c r="Q154" s="291">
        <f t="shared" si="258"/>
        <v>13073576</v>
      </c>
      <c r="R154" s="291">
        <f t="shared" si="259"/>
        <v>421678120</v>
      </c>
      <c r="S154" s="290">
        <v>0</v>
      </c>
      <c r="T154" s="290">
        <v>586430</v>
      </c>
      <c r="U154" s="292">
        <v>176497961</v>
      </c>
      <c r="V154" s="292">
        <f t="shared" si="217"/>
        <v>177084391</v>
      </c>
      <c r="W154" s="290">
        <v>0</v>
      </c>
      <c r="X154" s="290">
        <v>3696974</v>
      </c>
      <c r="Y154" s="292">
        <v>19681058</v>
      </c>
      <c r="Z154" s="292">
        <f t="shared" si="218"/>
        <v>23378032</v>
      </c>
      <c r="AA154" s="290">
        <v>0</v>
      </c>
      <c r="AB154" s="290">
        <v>0</v>
      </c>
      <c r="AC154" s="290">
        <v>0</v>
      </c>
      <c r="AD154" s="292">
        <f t="shared" si="219"/>
        <v>0</v>
      </c>
      <c r="AE154" s="292">
        <v>1820757</v>
      </c>
      <c r="AF154" s="290">
        <v>0</v>
      </c>
      <c r="AG154" s="292">
        <f t="shared" si="220"/>
        <v>1820757</v>
      </c>
      <c r="AH154" s="292">
        <v>0</v>
      </c>
      <c r="AI154" s="292">
        <v>0</v>
      </c>
      <c r="AJ154" s="292">
        <f t="shared" si="221"/>
        <v>0</v>
      </c>
      <c r="AK154" s="292">
        <f t="shared" si="239"/>
        <v>1352397682</v>
      </c>
      <c r="AL154" s="292">
        <f t="shared" si="237"/>
        <v>0</v>
      </c>
      <c r="AM154" s="292">
        <f t="shared" si="237"/>
        <v>167709096</v>
      </c>
      <c r="AN154" s="292">
        <f t="shared" si="240"/>
        <v>1520106778</v>
      </c>
      <c r="AO154" s="292">
        <f t="shared" si="241"/>
        <v>1239828174</v>
      </c>
      <c r="AP154" s="292">
        <f t="shared" si="238"/>
        <v>390487757</v>
      </c>
      <c r="AQ154" s="292">
        <f t="shared" si="238"/>
        <v>0</v>
      </c>
      <c r="AR154" s="292">
        <f t="shared" si="242"/>
        <v>1630315931</v>
      </c>
      <c r="AS154" s="292">
        <f t="shared" si="243"/>
        <v>8143337</v>
      </c>
      <c r="AT154" s="292">
        <f t="shared" si="244"/>
        <v>7738328</v>
      </c>
      <c r="AU154" s="292">
        <f t="shared" si="245"/>
        <v>0</v>
      </c>
      <c r="AV154" s="292">
        <f t="shared" si="246"/>
        <v>15881665</v>
      </c>
      <c r="AW154" s="292">
        <f t="shared" si="247"/>
        <v>37939</v>
      </c>
      <c r="AX154" s="292">
        <f t="shared" si="248"/>
        <v>37939</v>
      </c>
      <c r="AY154" s="292">
        <f t="shared" si="249"/>
        <v>2600407132</v>
      </c>
      <c r="AZ154" s="292">
        <f t="shared" si="250"/>
        <v>398226085</v>
      </c>
      <c r="BA154" s="292">
        <f t="shared" si="250"/>
        <v>167709096</v>
      </c>
      <c r="BB154" s="292">
        <f t="shared" si="251"/>
        <v>3166342313</v>
      </c>
      <c r="BC154" s="83">
        <f t="shared" si="191"/>
        <v>0.22475406358640004</v>
      </c>
      <c r="BD154" s="152"/>
      <c r="BE154" s="5">
        <f>BB154/'Monthly D4 Gallon Data'!AX152</f>
        <v>1.5966050472487274</v>
      </c>
    </row>
    <row r="155" spans="1:57" ht="12.75">
      <c r="A155" s="170">
        <v>44774</v>
      </c>
      <c r="B155" s="290">
        <v>227752481</v>
      </c>
      <c r="C155" s="290">
        <v>0</v>
      </c>
      <c r="D155" s="290">
        <v>22905023</v>
      </c>
      <c r="E155" s="291">
        <f t="shared" si="252"/>
        <v>250657504</v>
      </c>
      <c r="F155" s="290">
        <f t="shared" si="253"/>
        <v>195495373</v>
      </c>
      <c r="G155" s="290">
        <f t="shared" si="254"/>
        <v>24798314</v>
      </c>
      <c r="H155" s="290">
        <f t="shared" si="255"/>
        <v>0</v>
      </c>
      <c r="I155" s="291">
        <f t="shared" si="256"/>
        <v>220293687</v>
      </c>
      <c r="J155" s="290">
        <f t="shared" si="214"/>
        <v>628109</v>
      </c>
      <c r="K155" s="290">
        <v>0</v>
      </c>
      <c r="L155" s="291">
        <f t="shared" si="208"/>
        <v>3263300</v>
      </c>
      <c r="M155" s="290">
        <f t="shared" si="215"/>
        <v>0</v>
      </c>
      <c r="N155" s="291">
        <f t="shared" si="190"/>
        <v>0</v>
      </c>
      <c r="O155" s="291">
        <f t="shared" si="257"/>
        <v>423875963</v>
      </c>
      <c r="P155" s="291">
        <f t="shared" si="216"/>
        <v>27433505</v>
      </c>
      <c r="Q155" s="291">
        <f t="shared" si="258"/>
        <v>22905023</v>
      </c>
      <c r="R155" s="291">
        <f t="shared" si="259"/>
        <v>474214491</v>
      </c>
      <c r="S155" s="290">
        <v>0</v>
      </c>
      <c r="T155" s="290">
        <v>0</v>
      </c>
      <c r="U155" s="292">
        <v>195495373</v>
      </c>
      <c r="V155" s="292">
        <f t="shared" si="217"/>
        <v>195495373</v>
      </c>
      <c r="W155" s="290">
        <v>0</v>
      </c>
      <c r="X155" s="290">
        <v>5356333</v>
      </c>
      <c r="Y155" s="292">
        <v>19441981</v>
      </c>
      <c r="Z155" s="292">
        <f t="shared" si="218"/>
        <v>24798314</v>
      </c>
      <c r="AA155" s="290">
        <v>0</v>
      </c>
      <c r="AB155" s="290">
        <v>0</v>
      </c>
      <c r="AC155" s="290">
        <v>0</v>
      </c>
      <c r="AD155" s="292">
        <f t="shared" si="219"/>
        <v>0</v>
      </c>
      <c r="AE155" s="292">
        <v>628109</v>
      </c>
      <c r="AF155" s="290">
        <v>0</v>
      </c>
      <c r="AG155" s="292">
        <f t="shared" si="220"/>
        <v>628109</v>
      </c>
      <c r="AH155" s="292">
        <v>2635191</v>
      </c>
      <c r="AI155" s="292">
        <v>0</v>
      </c>
      <c r="AJ155" s="292">
        <f t="shared" si="221"/>
        <v>0</v>
      </c>
      <c r="AK155" s="292">
        <f t="shared" si="239"/>
        <v>1580150163</v>
      </c>
      <c r="AL155" s="292">
        <f t="shared" si="237"/>
        <v>0</v>
      </c>
      <c r="AM155" s="292">
        <f t="shared" si="237"/>
        <v>190614119</v>
      </c>
      <c r="AN155" s="292">
        <f t="shared" si="240"/>
        <v>1770764282</v>
      </c>
      <c r="AO155" s="292">
        <f t="shared" si="241"/>
        <v>1435323547</v>
      </c>
      <c r="AP155" s="292">
        <f t="shared" si="238"/>
        <v>415286071</v>
      </c>
      <c r="AQ155" s="292">
        <f t="shared" si="238"/>
        <v>0</v>
      </c>
      <c r="AR155" s="292">
        <f t="shared" si="242"/>
        <v>1850609618</v>
      </c>
      <c r="AS155" s="292">
        <f t="shared" si="243"/>
        <v>8771446</v>
      </c>
      <c r="AT155" s="292">
        <f t="shared" si="244"/>
        <v>10373519</v>
      </c>
      <c r="AU155" s="292">
        <f t="shared" si="245"/>
        <v>0</v>
      </c>
      <c r="AV155" s="292">
        <f t="shared" si="246"/>
        <v>19144965</v>
      </c>
      <c r="AW155" s="292">
        <f t="shared" si="247"/>
        <v>37939</v>
      </c>
      <c r="AX155" s="292">
        <f t="shared" si="248"/>
        <v>37939</v>
      </c>
      <c r="AY155" s="292">
        <f t="shared" si="249"/>
        <v>3024283095</v>
      </c>
      <c r="AZ155" s="292">
        <f t="shared" si="250"/>
        <v>425659590</v>
      </c>
      <c r="BA155" s="292">
        <f t="shared" si="250"/>
        <v>190614119</v>
      </c>
      <c r="BB155" s="292">
        <f t="shared" si="251"/>
        <v>3640556804</v>
      </c>
      <c r="BC155" s="83">
        <f t="shared" si="191"/>
        <v>0.21066364861657783</v>
      </c>
      <c r="BD155" s="152"/>
      <c r="BE155" s="5">
        <f>BB155/'Monthly D4 Gallon Data'!AX153</f>
        <v>1.595268925021051</v>
      </c>
    </row>
    <row r="156" spans="1:57" ht="12.75">
      <c r="A156" s="170">
        <v>44805</v>
      </c>
      <c r="B156" s="290">
        <v>212794117</v>
      </c>
      <c r="C156" s="290">
        <v>0</v>
      </c>
      <c r="D156" s="290">
        <v>28637120</v>
      </c>
      <c r="E156" s="291">
        <f t="shared" si="252"/>
        <v>241431237</v>
      </c>
      <c r="F156" s="290">
        <f t="shared" si="253"/>
        <v>201820259</v>
      </c>
      <c r="G156" s="290">
        <f t="shared" si="254"/>
        <v>58434071</v>
      </c>
      <c r="H156" s="290">
        <f t="shared" si="255"/>
        <v>0</v>
      </c>
      <c r="I156" s="291">
        <f t="shared" si="256"/>
        <v>260254330</v>
      </c>
      <c r="J156" s="290">
        <f t="shared" si="214"/>
        <v>629714</v>
      </c>
      <c r="K156" s="290">
        <v>0</v>
      </c>
      <c r="L156" s="291">
        <f t="shared" si="208"/>
        <v>629714</v>
      </c>
      <c r="M156" s="290">
        <f t="shared" si="215"/>
        <v>0</v>
      </c>
      <c r="N156" s="291">
        <f t="shared" si="190"/>
        <v>0</v>
      </c>
      <c r="O156" s="291">
        <f t="shared" si="257"/>
        <v>415244090</v>
      </c>
      <c r="P156" s="291">
        <f t="shared" si="216"/>
        <v>58434071</v>
      </c>
      <c r="Q156" s="291">
        <f t="shared" si="258"/>
        <v>28637120</v>
      </c>
      <c r="R156" s="291">
        <f t="shared" si="259"/>
        <v>502315281</v>
      </c>
      <c r="S156" s="290">
        <v>0</v>
      </c>
      <c r="T156" s="290">
        <v>0</v>
      </c>
      <c r="U156" s="292">
        <v>201820259</v>
      </c>
      <c r="V156" s="292">
        <f t="shared" si="217"/>
        <v>201820259</v>
      </c>
      <c r="W156" s="290">
        <v>0</v>
      </c>
      <c r="X156" s="290">
        <v>0</v>
      </c>
      <c r="Y156" s="292">
        <v>58434071</v>
      </c>
      <c r="Z156" s="292">
        <f t="shared" si="218"/>
        <v>58434071</v>
      </c>
      <c r="AA156" s="290">
        <v>0</v>
      </c>
      <c r="AB156" s="290">
        <v>0</v>
      </c>
      <c r="AC156" s="290">
        <v>0</v>
      </c>
      <c r="AD156" s="292">
        <f t="shared" si="219"/>
        <v>0</v>
      </c>
      <c r="AE156" s="292">
        <v>629714</v>
      </c>
      <c r="AF156" s="290">
        <v>0</v>
      </c>
      <c r="AG156" s="292">
        <f t="shared" si="220"/>
        <v>629714</v>
      </c>
      <c r="AH156" s="292">
        <v>0</v>
      </c>
      <c r="AI156" s="292">
        <v>0</v>
      </c>
      <c r="AJ156" s="292">
        <f t="shared" si="221"/>
        <v>0</v>
      </c>
      <c r="AK156" s="292">
        <f t="shared" si="239"/>
        <v>1792944280</v>
      </c>
      <c r="AL156" s="292">
        <f t="shared" si="237"/>
        <v>0</v>
      </c>
      <c r="AM156" s="292">
        <f t="shared" si="237"/>
        <v>219251239</v>
      </c>
      <c r="AN156" s="292">
        <f t="shared" si="240"/>
        <v>2012195519</v>
      </c>
      <c r="AO156" s="292">
        <f t="shared" si="241"/>
        <v>1637143806</v>
      </c>
      <c r="AP156" s="292">
        <f t="shared" si="238"/>
        <v>473720142</v>
      </c>
      <c r="AQ156" s="292">
        <f t="shared" si="238"/>
        <v>0</v>
      </c>
      <c r="AR156" s="292">
        <f t="shared" si="242"/>
        <v>2110863948</v>
      </c>
      <c r="AS156" s="292">
        <f t="shared" si="243"/>
        <v>9401160</v>
      </c>
      <c r="AT156" s="292">
        <f t="shared" si="244"/>
        <v>10373519</v>
      </c>
      <c r="AU156" s="292">
        <f t="shared" si="245"/>
        <v>0</v>
      </c>
      <c r="AV156" s="292">
        <f t="shared" si="246"/>
        <v>19774679</v>
      </c>
      <c r="AW156" s="292">
        <f t="shared" si="247"/>
        <v>37939</v>
      </c>
      <c r="AX156" s="292">
        <f t="shared" si="248"/>
        <v>37939</v>
      </c>
      <c r="AY156" s="292">
        <f t="shared" si="249"/>
        <v>3439527185</v>
      </c>
      <c r="AZ156" s="292">
        <f t="shared" si="250"/>
        <v>484093661</v>
      </c>
      <c r="BA156" s="292">
        <f t="shared" si="250"/>
        <v>219251239</v>
      </c>
      <c r="BB156" s="292">
        <f t="shared" si="251"/>
        <v>4142872085</v>
      </c>
      <c r="BC156" s="83">
        <f t="shared" si="191"/>
        <v>0.22119527395842198</v>
      </c>
      <c r="BD156" s="152"/>
      <c r="BE156" s="5">
        <f>BB156/'Monthly D4 Gallon Data'!AX154</f>
        <v>1.5955401650220746</v>
      </c>
    </row>
    <row r="157" spans="1:57" ht="12.75">
      <c r="A157" s="170">
        <v>44835</v>
      </c>
      <c r="B157" s="290">
        <v>207062845</v>
      </c>
      <c r="C157" s="290">
        <v>0</v>
      </c>
      <c r="D157" s="290">
        <v>25996486</v>
      </c>
      <c r="E157" s="291">
        <f t="shared" si="252"/>
        <v>233059331</v>
      </c>
      <c r="F157" s="290">
        <f t="shared" si="253"/>
        <v>183514178</v>
      </c>
      <c r="G157" s="290">
        <f t="shared" si="254"/>
        <v>57833894</v>
      </c>
      <c r="H157" s="290">
        <f t="shared" si="255"/>
        <v>0</v>
      </c>
      <c r="I157" s="291">
        <f t="shared" si="256"/>
        <v>241348072</v>
      </c>
      <c r="J157" s="290">
        <f t="shared" si="214"/>
        <v>2823410</v>
      </c>
      <c r="K157" s="290">
        <v>0</v>
      </c>
      <c r="L157" s="291">
        <f t="shared" si="208"/>
        <v>2823410</v>
      </c>
      <c r="M157" s="290">
        <f t="shared" si="215"/>
        <v>0</v>
      </c>
      <c r="N157" s="291">
        <f t="shared" si="190"/>
        <v>0</v>
      </c>
      <c r="O157" s="291">
        <f t="shared" si="257"/>
        <v>393400433</v>
      </c>
      <c r="P157" s="291">
        <f t="shared" si="216"/>
        <v>57833894</v>
      </c>
      <c r="Q157" s="291">
        <f t="shared" si="258"/>
        <v>25996486</v>
      </c>
      <c r="R157" s="291">
        <f t="shared" si="259"/>
        <v>477230813</v>
      </c>
      <c r="S157" s="290">
        <v>0</v>
      </c>
      <c r="T157" s="290">
        <v>1070683</v>
      </c>
      <c r="U157" s="292">
        <v>182443495</v>
      </c>
      <c r="V157" s="292">
        <f t="shared" si="217"/>
        <v>183514178</v>
      </c>
      <c r="W157" s="290">
        <v>0</v>
      </c>
      <c r="X157" s="290">
        <v>3547656</v>
      </c>
      <c r="Y157" s="292">
        <v>54286238</v>
      </c>
      <c r="Z157" s="292">
        <f t="shared" si="218"/>
        <v>57833894</v>
      </c>
      <c r="AA157" s="290">
        <v>0</v>
      </c>
      <c r="AB157" s="290">
        <v>0</v>
      </c>
      <c r="AC157" s="290">
        <v>0</v>
      </c>
      <c r="AD157" s="292">
        <f t="shared" si="219"/>
        <v>0</v>
      </c>
      <c r="AE157" s="292">
        <v>2823410</v>
      </c>
      <c r="AF157" s="290">
        <v>0</v>
      </c>
      <c r="AG157" s="292">
        <f t="shared" si="220"/>
        <v>2823410</v>
      </c>
      <c r="AH157" s="292">
        <v>0</v>
      </c>
      <c r="AI157" s="292">
        <v>0</v>
      </c>
      <c r="AJ157" s="292">
        <f t="shared" si="221"/>
        <v>0</v>
      </c>
      <c r="AK157" s="292">
        <f t="shared" si="239"/>
        <v>2000007125</v>
      </c>
      <c r="AL157" s="292">
        <f t="shared" si="237"/>
        <v>0</v>
      </c>
      <c r="AM157" s="292">
        <f t="shared" si="237"/>
        <v>245247725</v>
      </c>
      <c r="AN157" s="292">
        <f t="shared" si="240"/>
        <v>2245254850</v>
      </c>
      <c r="AO157" s="292">
        <f t="shared" si="241"/>
        <v>1820657984</v>
      </c>
      <c r="AP157" s="292">
        <f t="shared" si="238"/>
        <v>531554036</v>
      </c>
      <c r="AQ157" s="292">
        <f t="shared" si="238"/>
        <v>0</v>
      </c>
      <c r="AR157" s="292">
        <f t="shared" si="242"/>
        <v>2352212020</v>
      </c>
      <c r="AS157" s="292">
        <f t="shared" si="243"/>
        <v>12224570</v>
      </c>
      <c r="AT157" s="292">
        <f t="shared" si="244"/>
        <v>10373519</v>
      </c>
      <c r="AU157" s="292">
        <f t="shared" si="245"/>
        <v>0</v>
      </c>
      <c r="AV157" s="292">
        <f t="shared" si="246"/>
        <v>22598089</v>
      </c>
      <c r="AW157" s="292">
        <f t="shared" si="247"/>
        <v>37939</v>
      </c>
      <c r="AX157" s="292">
        <f t="shared" si="248"/>
        <v>37939</v>
      </c>
      <c r="AY157" s="292">
        <f t="shared" si="249"/>
        <v>3832927618</v>
      </c>
      <c r="AZ157" s="292">
        <f t="shared" si="250"/>
        <v>541927555</v>
      </c>
      <c r="BA157" s="292">
        <f t="shared" si="250"/>
        <v>245247725</v>
      </c>
      <c r="BB157" s="292">
        <f t="shared" si="251"/>
        <v>4620102898</v>
      </c>
      <c r="BC157" s="83">
        <f t="shared" si="191"/>
        <v>0.20822263153946463</v>
      </c>
      <c r="BD157" s="152"/>
      <c r="BE157" s="5">
        <f>BB157/'Monthly D4 Gallon Data'!AX155</f>
        <v>1.5954453727442495</v>
      </c>
    </row>
    <row r="158" spans="1:57" ht="12.75">
      <c r="A158" s="170">
        <v>44866</v>
      </c>
      <c r="B158" s="290">
        <v>211945708</v>
      </c>
      <c r="C158" s="290">
        <v>0</v>
      </c>
      <c r="D158" s="290">
        <v>50726138</v>
      </c>
      <c r="E158" s="291">
        <f t="shared" si="252"/>
        <v>262671846</v>
      </c>
      <c r="F158" s="290">
        <f t="shared" si="253"/>
        <v>276854326</v>
      </c>
      <c r="G158" s="290">
        <f t="shared" si="254"/>
        <v>42380484</v>
      </c>
      <c r="H158" s="290">
        <f t="shared" si="255"/>
        <v>0</v>
      </c>
      <c r="I158" s="291">
        <f t="shared" si="256"/>
        <v>319234810</v>
      </c>
      <c r="J158" s="290">
        <f t="shared" si="214"/>
        <v>243562</v>
      </c>
      <c r="K158" s="290">
        <v>0</v>
      </c>
      <c r="L158" s="291">
        <f t="shared" si="208"/>
        <v>243562</v>
      </c>
      <c r="M158" s="290">
        <f t="shared" si="215"/>
        <v>41398</v>
      </c>
      <c r="N158" s="291">
        <f t="shared" si="190"/>
        <v>41398</v>
      </c>
      <c r="O158" s="291">
        <f t="shared" si="257"/>
        <v>489084994</v>
      </c>
      <c r="P158" s="291">
        <f t="shared" si="216"/>
        <v>42380484</v>
      </c>
      <c r="Q158" s="291">
        <f t="shared" si="258"/>
        <v>50726138</v>
      </c>
      <c r="R158" s="291">
        <f t="shared" si="259"/>
        <v>582191616</v>
      </c>
      <c r="S158" s="290">
        <v>0</v>
      </c>
      <c r="T158" s="290">
        <v>22574898</v>
      </c>
      <c r="U158" s="292">
        <v>254279428</v>
      </c>
      <c r="V158" s="292">
        <f t="shared" si="217"/>
        <v>276854326</v>
      </c>
      <c r="W158" s="290">
        <v>0</v>
      </c>
      <c r="X158" s="290">
        <v>3224832</v>
      </c>
      <c r="Y158" s="292">
        <v>39155652</v>
      </c>
      <c r="Z158" s="292">
        <f t="shared" si="218"/>
        <v>42380484</v>
      </c>
      <c r="AA158" s="290">
        <v>0</v>
      </c>
      <c r="AB158" s="290">
        <v>0</v>
      </c>
      <c r="AC158" s="290">
        <v>0</v>
      </c>
      <c r="AD158" s="292">
        <f t="shared" si="219"/>
        <v>0</v>
      </c>
      <c r="AE158" s="292">
        <v>243562</v>
      </c>
      <c r="AF158" s="290">
        <v>0</v>
      </c>
      <c r="AG158" s="292">
        <f t="shared" si="220"/>
        <v>243562</v>
      </c>
      <c r="AH158" s="292">
        <v>0</v>
      </c>
      <c r="AI158" s="292">
        <v>41398</v>
      </c>
      <c r="AJ158" s="292">
        <f t="shared" si="221"/>
        <v>41398</v>
      </c>
      <c r="AK158" s="292">
        <f t="shared" si="239"/>
        <v>2211952833</v>
      </c>
      <c r="AL158" s="292">
        <f t="shared" si="237"/>
        <v>0</v>
      </c>
      <c r="AM158" s="292">
        <f t="shared" si="237"/>
        <v>295973863</v>
      </c>
      <c r="AN158" s="292">
        <f t="shared" si="240"/>
        <v>2507926696</v>
      </c>
      <c r="AO158" s="292">
        <f t="shared" si="241"/>
        <v>2097512310</v>
      </c>
      <c r="AP158" s="292">
        <f t="shared" si="238"/>
        <v>573934520</v>
      </c>
      <c r="AQ158" s="292">
        <f t="shared" si="238"/>
        <v>0</v>
      </c>
      <c r="AR158" s="292">
        <f t="shared" si="242"/>
        <v>2671446830</v>
      </c>
      <c r="AS158" s="292">
        <f t="shared" si="243"/>
        <v>12468132</v>
      </c>
      <c r="AT158" s="292">
        <f t="shared" si="244"/>
        <v>10373519</v>
      </c>
      <c r="AU158" s="292">
        <f t="shared" si="245"/>
        <v>0</v>
      </c>
      <c r="AV158" s="292">
        <f t="shared" si="246"/>
        <v>22841651</v>
      </c>
      <c r="AW158" s="292">
        <f t="shared" si="247"/>
        <v>79337</v>
      </c>
      <c r="AX158" s="292">
        <f t="shared" si="248"/>
        <v>79337</v>
      </c>
      <c r="AY158" s="292">
        <f t="shared" si="249"/>
        <v>4322012612</v>
      </c>
      <c r="AZ158" s="292">
        <f t="shared" si="250"/>
        <v>584308039</v>
      </c>
      <c r="BA158" s="292">
        <f t="shared" si="250"/>
        <v>295973863</v>
      </c>
      <c r="BB158" s="292">
        <f t="shared" si="251"/>
        <v>5202294514</v>
      </c>
      <c r="BC158" s="83">
        <f t="shared" si="191"/>
        <v>0.21304952623859275</v>
      </c>
      <c r="BD158" s="152"/>
      <c r="BE158" s="5">
        <f>BB158/'Monthly D4 Gallon Data'!AX156</f>
        <v>1.5958779343949254</v>
      </c>
    </row>
    <row r="159" spans="1:57" ht="13.5" thickBot="1">
      <c r="A159" s="170">
        <v>44896</v>
      </c>
      <c r="B159" s="290">
        <v>218389139</v>
      </c>
      <c r="C159" s="290">
        <v>0</v>
      </c>
      <c r="D159" s="290">
        <v>64513358</v>
      </c>
      <c r="E159" s="291">
        <f>SUM(B159:D159)</f>
        <v>282902497</v>
      </c>
      <c r="F159" s="290">
        <f t="shared" si="253"/>
        <v>243502261</v>
      </c>
      <c r="G159" s="290">
        <f t="shared" si="254"/>
        <v>55483461</v>
      </c>
      <c r="H159" s="290">
        <f t="shared" si="255"/>
        <v>0</v>
      </c>
      <c r="I159" s="291">
        <f t="shared" si="256"/>
        <v>298985722</v>
      </c>
      <c r="J159" s="290">
        <f t="shared" si="214"/>
        <v>160888</v>
      </c>
      <c r="K159" s="290">
        <v>0</v>
      </c>
      <c r="L159" s="291">
        <f t="shared" si="208"/>
        <v>2470154</v>
      </c>
      <c r="M159" s="290">
        <f t="shared" si="215"/>
        <v>470863</v>
      </c>
      <c r="N159" s="291">
        <f t="shared" si="190"/>
        <v>470863</v>
      </c>
      <c r="O159" s="291">
        <f t="shared" si="257"/>
        <v>462523151</v>
      </c>
      <c r="P159" s="291">
        <f t="shared" si="216"/>
        <v>57792727</v>
      </c>
      <c r="Q159" s="291">
        <f t="shared" si="258"/>
        <v>64513358</v>
      </c>
      <c r="R159" s="291">
        <f t="shared" si="259"/>
        <v>584829236</v>
      </c>
      <c r="S159" s="290">
        <v>0</v>
      </c>
      <c r="T159" s="290">
        <v>36725282</v>
      </c>
      <c r="U159" s="292">
        <v>206776979</v>
      </c>
      <c r="V159" s="292">
        <f t="shared" si="217"/>
        <v>243502261</v>
      </c>
      <c r="W159" s="290">
        <v>0</v>
      </c>
      <c r="X159" s="290">
        <v>877632</v>
      </c>
      <c r="Y159" s="292">
        <v>54605829</v>
      </c>
      <c r="Z159" s="292">
        <f t="shared" si="218"/>
        <v>55483461</v>
      </c>
      <c r="AA159" s="290">
        <v>0</v>
      </c>
      <c r="AB159" s="290">
        <v>0</v>
      </c>
      <c r="AC159" s="290">
        <v>0</v>
      </c>
      <c r="AD159" s="292">
        <f t="shared" si="219"/>
        <v>0</v>
      </c>
      <c r="AE159" s="292">
        <v>160888</v>
      </c>
      <c r="AF159" s="290">
        <v>0</v>
      </c>
      <c r="AG159" s="292">
        <f t="shared" si="220"/>
        <v>160888</v>
      </c>
      <c r="AH159" s="292">
        <v>2309266</v>
      </c>
      <c r="AI159" s="292">
        <v>470863</v>
      </c>
      <c r="AJ159" s="292">
        <f t="shared" si="221"/>
        <v>470863</v>
      </c>
      <c r="AK159" s="292">
        <f>AK158+B159</f>
        <v>2430341972</v>
      </c>
      <c r="AL159" s="292">
        <f>AL158+C159</f>
        <v>0</v>
      </c>
      <c r="AM159" s="292">
        <f>AM158+D159</f>
        <v>360487221</v>
      </c>
      <c r="AN159" s="292">
        <f t="shared" si="240"/>
        <v>2790829193</v>
      </c>
      <c r="AO159" s="292">
        <f>AO158+F159</f>
        <v>2341014571</v>
      </c>
      <c r="AP159" s="292">
        <f>AP158+G159</f>
        <v>629417981</v>
      </c>
      <c r="AQ159" s="292">
        <f>AQ158+H159</f>
        <v>0</v>
      </c>
      <c r="AR159" s="292">
        <f t="shared" si="242"/>
        <v>2970432552</v>
      </c>
      <c r="AS159" s="292">
        <f>AS158+J159</f>
        <v>12629020</v>
      </c>
      <c r="AT159" s="292">
        <f>AT158+AH159</f>
        <v>12682785</v>
      </c>
      <c r="AU159" s="292">
        <f>AU158+K159</f>
        <v>0</v>
      </c>
      <c r="AV159" s="292">
        <f t="shared" si="246"/>
        <v>25311805</v>
      </c>
      <c r="AW159" s="292">
        <f>AW158+M159</f>
        <v>550200</v>
      </c>
      <c r="AX159" s="292">
        <f t="shared" si="248"/>
        <v>550200</v>
      </c>
      <c r="AY159" s="292">
        <f t="shared" si="249"/>
        <v>4784535763</v>
      </c>
      <c r="AZ159" s="292">
        <f t="shared" si="250"/>
        <v>642100766</v>
      </c>
      <c r="BA159" s="292">
        <f t="shared" si="250"/>
        <v>360487221</v>
      </c>
      <c r="BB159" s="292">
        <f t="shared" si="251"/>
        <v>5787123750</v>
      </c>
      <c r="BC159" s="83">
        <f t="shared" si="191"/>
        <v>0.18743575426669978</v>
      </c>
      <c r="BD159" s="152"/>
      <c r="BE159" s="5">
        <f>BB159/'Monthly D4 Gallon Data'!AX157</f>
        <v>1.595335759323367</v>
      </c>
    </row>
    <row r="160" spans="1:57" ht="12.75">
      <c r="A160" s="171">
        <v>44927</v>
      </c>
      <c r="B160" s="295">
        <v>179324312</v>
      </c>
      <c r="C160" s="295">
        <v>0</v>
      </c>
      <c r="D160" s="295">
        <v>36873751</v>
      </c>
      <c r="E160" s="296">
        <f>SUM(B160:D160)</f>
        <v>216198063</v>
      </c>
      <c r="F160" s="295">
        <f t="shared" si="253"/>
        <v>242909865</v>
      </c>
      <c r="G160" s="295">
        <f t="shared" si="254"/>
        <v>63991785</v>
      </c>
      <c r="H160" s="295">
        <f t="shared" si="255"/>
        <v>0</v>
      </c>
      <c r="I160" s="296">
        <f t="shared" si="256"/>
        <v>306901650</v>
      </c>
      <c r="J160" s="295">
        <f t="shared" si="214"/>
        <v>161499</v>
      </c>
      <c r="K160" s="295">
        <v>0</v>
      </c>
      <c r="L160" s="296">
        <f t="shared" si="208"/>
        <v>161499</v>
      </c>
      <c r="M160" s="295">
        <f t="shared" si="215"/>
        <v>0</v>
      </c>
      <c r="N160" s="296">
        <f t="shared" si="190"/>
        <v>0</v>
      </c>
      <c r="O160" s="296">
        <f t="shared" si="257"/>
        <v>422395676</v>
      </c>
      <c r="P160" s="296">
        <f t="shared" si="216"/>
        <v>63991785</v>
      </c>
      <c r="Q160" s="296">
        <f t="shared" si="258"/>
        <v>36873751</v>
      </c>
      <c r="R160" s="296">
        <f t="shared" si="259"/>
        <v>523261212</v>
      </c>
      <c r="S160" s="295">
        <v>0</v>
      </c>
      <c r="T160" s="295">
        <v>47104794</v>
      </c>
      <c r="U160" s="297">
        <v>195805071</v>
      </c>
      <c r="V160" s="297">
        <f t="shared" si="217"/>
        <v>242909865</v>
      </c>
      <c r="W160" s="295">
        <v>0</v>
      </c>
      <c r="X160" s="295">
        <v>6987973</v>
      </c>
      <c r="Y160" s="297">
        <v>57003812</v>
      </c>
      <c r="Z160" s="297">
        <f t="shared" si="218"/>
        <v>63991785</v>
      </c>
      <c r="AA160" s="295">
        <v>0</v>
      </c>
      <c r="AB160" s="295">
        <v>0</v>
      </c>
      <c r="AC160" s="295">
        <v>0</v>
      </c>
      <c r="AD160" s="297">
        <f t="shared" si="219"/>
        <v>0</v>
      </c>
      <c r="AE160" s="297">
        <v>161499</v>
      </c>
      <c r="AF160" s="295">
        <v>0</v>
      </c>
      <c r="AG160" s="297">
        <f t="shared" si="220"/>
        <v>161499</v>
      </c>
      <c r="AH160" s="297">
        <v>0</v>
      </c>
      <c r="AI160" s="297">
        <v>0</v>
      </c>
      <c r="AJ160" s="297">
        <f t="shared" si="221"/>
        <v>0</v>
      </c>
      <c r="AK160" s="297">
        <f>B160</f>
        <v>179324312</v>
      </c>
      <c r="AL160" s="297">
        <f>C160</f>
        <v>0</v>
      </c>
      <c r="AM160" s="297">
        <f>D160</f>
        <v>36873751</v>
      </c>
      <c r="AN160" s="297">
        <f t="shared" si="240"/>
        <v>216198063</v>
      </c>
      <c r="AO160" s="297">
        <f>F160</f>
        <v>242909865</v>
      </c>
      <c r="AP160" s="297">
        <f>G160</f>
        <v>63991785</v>
      </c>
      <c r="AQ160" s="297">
        <f>H160</f>
        <v>0</v>
      </c>
      <c r="AR160" s="297">
        <f t="shared" si="242"/>
        <v>306901650</v>
      </c>
      <c r="AS160" s="297">
        <f>J160</f>
        <v>161499</v>
      </c>
      <c r="AT160" s="297">
        <f>AH160</f>
        <v>0</v>
      </c>
      <c r="AU160" s="297">
        <f>K160</f>
        <v>0</v>
      </c>
      <c r="AV160" s="297">
        <f t="shared" si="246"/>
        <v>161499</v>
      </c>
      <c r="AW160" s="297">
        <f>M160</f>
        <v>0</v>
      </c>
      <c r="AX160" s="297">
        <f t="shared" si="248"/>
        <v>0</v>
      </c>
      <c r="AY160" s="297">
        <f t="shared" si="249"/>
        <v>422395676</v>
      </c>
      <c r="AZ160" s="297">
        <f t="shared" si="250"/>
        <v>63991785</v>
      </c>
      <c r="BA160" s="297">
        <f t="shared" si="250"/>
        <v>36873751</v>
      </c>
      <c r="BB160" s="297">
        <f t="shared" si="251"/>
        <v>523261212</v>
      </c>
      <c r="BC160" s="83">
        <f t="shared" si="191"/>
        <v>0.47186885976437787</v>
      </c>
      <c r="BD160" s="152"/>
      <c r="BE160" s="5">
        <f>BB160/'Monthly D4 Gallon Data'!AX158</f>
        <v>1.6014078082194245</v>
      </c>
    </row>
    <row r="161" spans="1:57" ht="12.75">
      <c r="A161" s="170">
        <v>44958</v>
      </c>
      <c r="B161" s="290">
        <v>172115694</v>
      </c>
      <c r="C161" s="290">
        <v>0</v>
      </c>
      <c r="D161" s="290">
        <v>61194513</v>
      </c>
      <c r="E161" s="291">
        <f>SUM(B161:D161)</f>
        <v>233310207</v>
      </c>
      <c r="F161" s="290">
        <f t="shared" si="253"/>
        <v>233489629</v>
      </c>
      <c r="G161" s="290">
        <f t="shared" si="254"/>
        <v>46670447</v>
      </c>
      <c r="H161" s="290">
        <f>AD161</f>
        <v>0</v>
      </c>
      <c r="I161" s="291">
        <f>SUM(F161:H161)</f>
        <v>280160076</v>
      </c>
      <c r="J161" s="290">
        <f t="shared" si="214"/>
        <v>2525754</v>
      </c>
      <c r="K161" s="290">
        <v>0</v>
      </c>
      <c r="L161" s="291">
        <f t="shared" si="208"/>
        <v>4903802</v>
      </c>
      <c r="M161" s="290">
        <f t="shared" si="215"/>
        <v>0</v>
      </c>
      <c r="N161" s="291">
        <f t="shared" si="190"/>
        <v>0</v>
      </c>
      <c r="O161" s="291">
        <f t="shared" si="257"/>
        <v>408131077</v>
      </c>
      <c r="P161" s="291">
        <f t="shared" si="216"/>
        <v>49048495</v>
      </c>
      <c r="Q161" s="291">
        <f t="shared" si="258"/>
        <v>61194513</v>
      </c>
      <c r="R161" s="291">
        <f t="shared" si="259"/>
        <v>518374085</v>
      </c>
      <c r="S161" s="290">
        <v>0</v>
      </c>
      <c r="T161" s="290">
        <v>44200479</v>
      </c>
      <c r="U161" s="292">
        <v>189289150</v>
      </c>
      <c r="V161" s="292">
        <f t="shared" si="217"/>
        <v>233489629</v>
      </c>
      <c r="W161" s="290">
        <v>0</v>
      </c>
      <c r="X161" s="290">
        <v>935130</v>
      </c>
      <c r="Y161" s="292">
        <v>45735317</v>
      </c>
      <c r="Z161" s="292">
        <f t="shared" si="218"/>
        <v>46670447</v>
      </c>
      <c r="AA161" s="290">
        <v>0</v>
      </c>
      <c r="AB161" s="290">
        <v>0</v>
      </c>
      <c r="AC161" s="290">
        <v>0</v>
      </c>
      <c r="AD161" s="292">
        <f t="shared" si="219"/>
        <v>0</v>
      </c>
      <c r="AE161" s="292">
        <v>2525754</v>
      </c>
      <c r="AF161" s="290">
        <v>0</v>
      </c>
      <c r="AG161" s="292">
        <f t="shared" si="220"/>
        <v>2525754</v>
      </c>
      <c r="AH161" s="292">
        <v>2378048</v>
      </c>
      <c r="AI161" s="292">
        <v>0</v>
      </c>
      <c r="AJ161" s="292">
        <f t="shared" si="221"/>
        <v>0</v>
      </c>
      <c r="AK161" s="292">
        <f t="shared" ref="AK161:AM171" si="260">AK160+B161</f>
        <v>351440006</v>
      </c>
      <c r="AL161" s="292">
        <f t="shared" si="260"/>
        <v>0</v>
      </c>
      <c r="AM161" s="292">
        <f t="shared" si="260"/>
        <v>98068264</v>
      </c>
      <c r="AN161" s="292">
        <f t="shared" si="240"/>
        <v>449508270</v>
      </c>
      <c r="AO161" s="292">
        <f t="shared" ref="AO161:AQ171" si="261">AO160+F161</f>
        <v>476399494</v>
      </c>
      <c r="AP161" s="292">
        <f t="shared" si="261"/>
        <v>110662232</v>
      </c>
      <c r="AQ161" s="292">
        <f t="shared" si="261"/>
        <v>0</v>
      </c>
      <c r="AR161" s="292">
        <f t="shared" si="242"/>
        <v>587061726</v>
      </c>
      <c r="AS161" s="292">
        <f t="shared" ref="AS161:AS171" si="262">AS160+J161</f>
        <v>2687253</v>
      </c>
      <c r="AT161" s="292">
        <f t="shared" ref="AT161:AT171" si="263">AT160+AH161</f>
        <v>2378048</v>
      </c>
      <c r="AU161" s="292">
        <f t="shared" ref="AU161:AU171" si="264">AU160+K161</f>
        <v>0</v>
      </c>
      <c r="AV161" s="292">
        <f t="shared" si="246"/>
        <v>5065301</v>
      </c>
      <c r="AW161" s="292">
        <f t="shared" ref="AW161:AW171" si="265">AW160+M161</f>
        <v>0</v>
      </c>
      <c r="AX161" s="292">
        <f t="shared" si="248"/>
        <v>0</v>
      </c>
      <c r="AY161" s="292">
        <f t="shared" si="249"/>
        <v>830526753</v>
      </c>
      <c r="AZ161" s="292">
        <f t="shared" si="250"/>
        <v>113040280</v>
      </c>
      <c r="BA161" s="292">
        <f t="shared" si="250"/>
        <v>98068264</v>
      </c>
      <c r="BB161" s="292">
        <f t="shared" si="251"/>
        <v>1041635297</v>
      </c>
      <c r="BC161" s="83">
        <f t="shared" si="191"/>
        <v>0.38690704414884558</v>
      </c>
      <c r="BD161" s="152"/>
      <c r="BE161" s="5">
        <f>BB161/'Monthly D4 Gallon Data'!AX159</f>
        <v>1.5980562443193622</v>
      </c>
    </row>
    <row r="162" spans="1:57" ht="12.75">
      <c r="A162" s="170">
        <v>44986</v>
      </c>
      <c r="B162" s="290">
        <v>196333033</v>
      </c>
      <c r="C162" s="290">
        <v>0</v>
      </c>
      <c r="D162" s="290">
        <v>67182654</v>
      </c>
      <c r="E162" s="291">
        <f>SUM(B162:D162)</f>
        <v>263515687</v>
      </c>
      <c r="F162" s="290">
        <f t="shared" si="253"/>
        <v>292865355</v>
      </c>
      <c r="G162" s="290">
        <f t="shared" si="254"/>
        <v>60359369</v>
      </c>
      <c r="H162" s="290">
        <f t="shared" ref="H162:H186" si="266">AD162</f>
        <v>0</v>
      </c>
      <c r="I162" s="291">
        <f>SUM(F162:H162)</f>
        <v>353224724</v>
      </c>
      <c r="J162" s="290">
        <f>AG162</f>
        <v>1275472</v>
      </c>
      <c r="K162" s="290">
        <v>0</v>
      </c>
      <c r="L162" s="291">
        <f t="shared" si="208"/>
        <v>3538890</v>
      </c>
      <c r="M162" s="290">
        <f t="shared" si="215"/>
        <v>190560</v>
      </c>
      <c r="N162" s="291">
        <f t="shared" si="190"/>
        <v>190560</v>
      </c>
      <c r="O162" s="291">
        <f t="shared" si="257"/>
        <v>490664420</v>
      </c>
      <c r="P162" s="291">
        <f t="shared" si="216"/>
        <v>62622787</v>
      </c>
      <c r="Q162" s="291">
        <f t="shared" si="258"/>
        <v>67182654</v>
      </c>
      <c r="R162" s="291">
        <f t="shared" si="259"/>
        <v>620469861</v>
      </c>
      <c r="S162" s="290">
        <v>0</v>
      </c>
      <c r="T162" s="290">
        <v>57484063</v>
      </c>
      <c r="U162" s="292">
        <v>235381292</v>
      </c>
      <c r="V162" s="292">
        <f t="shared" si="217"/>
        <v>292865355</v>
      </c>
      <c r="W162" s="290">
        <v>0</v>
      </c>
      <c r="X162" s="290">
        <v>4305698</v>
      </c>
      <c r="Y162" s="292">
        <v>56053671</v>
      </c>
      <c r="Z162" s="292">
        <f t="shared" si="218"/>
        <v>60359369</v>
      </c>
      <c r="AA162" s="290">
        <v>0</v>
      </c>
      <c r="AB162" s="290">
        <v>0</v>
      </c>
      <c r="AC162" s="290">
        <v>0</v>
      </c>
      <c r="AD162" s="292">
        <f t="shared" si="219"/>
        <v>0</v>
      </c>
      <c r="AE162" s="292">
        <v>1275472</v>
      </c>
      <c r="AF162" s="290">
        <v>0</v>
      </c>
      <c r="AG162" s="292">
        <f t="shared" si="220"/>
        <v>1275472</v>
      </c>
      <c r="AH162" s="292">
        <v>2263418</v>
      </c>
      <c r="AI162" s="292">
        <v>190560</v>
      </c>
      <c r="AJ162" s="292">
        <f t="shared" si="221"/>
        <v>190560</v>
      </c>
      <c r="AK162" s="292">
        <f t="shared" si="260"/>
        <v>547773039</v>
      </c>
      <c r="AL162" s="292">
        <f t="shared" si="260"/>
        <v>0</v>
      </c>
      <c r="AM162" s="292">
        <f t="shared" si="260"/>
        <v>165250918</v>
      </c>
      <c r="AN162" s="292">
        <f t="shared" si="240"/>
        <v>713023957</v>
      </c>
      <c r="AO162" s="292">
        <f t="shared" si="261"/>
        <v>769264849</v>
      </c>
      <c r="AP162" s="292">
        <f t="shared" si="261"/>
        <v>171021601</v>
      </c>
      <c r="AQ162" s="292">
        <f t="shared" si="261"/>
        <v>0</v>
      </c>
      <c r="AR162" s="292">
        <f t="shared" si="242"/>
        <v>940286450</v>
      </c>
      <c r="AS162" s="292">
        <f t="shared" si="262"/>
        <v>3962725</v>
      </c>
      <c r="AT162" s="292">
        <f t="shared" si="263"/>
        <v>4641466</v>
      </c>
      <c r="AU162" s="292">
        <f t="shared" si="264"/>
        <v>0</v>
      </c>
      <c r="AV162" s="292">
        <f t="shared" si="246"/>
        <v>8604191</v>
      </c>
      <c r="AW162" s="292">
        <f t="shared" si="265"/>
        <v>190560</v>
      </c>
      <c r="AX162" s="292">
        <f t="shared" si="248"/>
        <v>190560</v>
      </c>
      <c r="AY162" s="292">
        <f t="shared" si="249"/>
        <v>1321191173</v>
      </c>
      <c r="AZ162" s="292">
        <f t="shared" si="250"/>
        <v>175663067</v>
      </c>
      <c r="BA162" s="292">
        <f t="shared" si="250"/>
        <v>165250918</v>
      </c>
      <c r="BB162" s="292">
        <f t="shared" si="251"/>
        <v>1662105158</v>
      </c>
      <c r="BC162" s="83">
        <f t="shared" si="191"/>
        <v>0.33933804394813549</v>
      </c>
      <c r="BD162" s="152"/>
      <c r="BE162" s="5">
        <f>BB162/'Monthly D4 Gallon Data'!AX160</f>
        <v>1.5983757633048812</v>
      </c>
    </row>
    <row r="163" spans="1:57" ht="12.75">
      <c r="A163" s="170">
        <v>45017</v>
      </c>
      <c r="B163" s="290">
        <v>200755805</v>
      </c>
      <c r="C163" s="290">
        <v>0</v>
      </c>
      <c r="D163" s="290">
        <v>52446720</v>
      </c>
      <c r="E163" s="291">
        <f>SUM(B163:D163)</f>
        <v>253202525</v>
      </c>
      <c r="F163" s="290">
        <f t="shared" si="253"/>
        <v>284787874</v>
      </c>
      <c r="G163" s="290">
        <f t="shared" si="254"/>
        <v>61704463</v>
      </c>
      <c r="H163" s="290">
        <f t="shared" si="266"/>
        <v>0</v>
      </c>
      <c r="I163" s="291">
        <f>SUM(F163:H163)</f>
        <v>346492337</v>
      </c>
      <c r="J163" s="290">
        <f>AG163</f>
        <v>1461634</v>
      </c>
      <c r="K163" s="290">
        <v>0</v>
      </c>
      <c r="L163" s="291">
        <f t="shared" si="208"/>
        <v>3698320</v>
      </c>
      <c r="M163" s="290">
        <f t="shared" si="215"/>
        <v>146317</v>
      </c>
      <c r="N163" s="291">
        <f t="shared" si="190"/>
        <v>146317</v>
      </c>
      <c r="O163" s="291">
        <f t="shared" si="257"/>
        <v>487151630</v>
      </c>
      <c r="P163" s="291">
        <f t="shared" si="216"/>
        <v>63941149</v>
      </c>
      <c r="Q163" s="291">
        <f t="shared" si="258"/>
        <v>52446720</v>
      </c>
      <c r="R163" s="291">
        <f t="shared" si="259"/>
        <v>603539499</v>
      </c>
      <c r="S163" s="290">
        <v>0</v>
      </c>
      <c r="T163" s="290">
        <v>54359466</v>
      </c>
      <c r="U163" s="292">
        <v>230428408</v>
      </c>
      <c r="V163" s="292">
        <f t="shared" si="217"/>
        <v>284787874</v>
      </c>
      <c r="W163" s="290">
        <v>0</v>
      </c>
      <c r="X163" s="290">
        <v>4065803</v>
      </c>
      <c r="Y163" s="292">
        <v>57638660</v>
      </c>
      <c r="Z163" s="292">
        <f t="shared" si="218"/>
        <v>61704463</v>
      </c>
      <c r="AA163" s="290">
        <v>0</v>
      </c>
      <c r="AB163" s="290">
        <v>0</v>
      </c>
      <c r="AC163" s="290">
        <v>0</v>
      </c>
      <c r="AD163" s="292">
        <f t="shared" si="219"/>
        <v>0</v>
      </c>
      <c r="AE163" s="292">
        <v>1461634</v>
      </c>
      <c r="AF163" s="290">
        <v>0</v>
      </c>
      <c r="AG163" s="292">
        <f t="shared" si="220"/>
        <v>1461634</v>
      </c>
      <c r="AH163" s="292">
        <v>2236686</v>
      </c>
      <c r="AI163" s="292">
        <v>146317</v>
      </c>
      <c r="AJ163" s="292">
        <f t="shared" si="221"/>
        <v>146317</v>
      </c>
      <c r="AK163" s="292">
        <f t="shared" si="260"/>
        <v>748528844</v>
      </c>
      <c r="AL163" s="292">
        <f t="shared" si="260"/>
        <v>0</v>
      </c>
      <c r="AM163" s="292">
        <f t="shared" si="260"/>
        <v>217697638</v>
      </c>
      <c r="AN163" s="292">
        <f t="shared" si="240"/>
        <v>966226482</v>
      </c>
      <c r="AO163" s="292">
        <f t="shared" si="261"/>
        <v>1054052723</v>
      </c>
      <c r="AP163" s="292">
        <f t="shared" si="261"/>
        <v>232726064</v>
      </c>
      <c r="AQ163" s="292">
        <f t="shared" si="261"/>
        <v>0</v>
      </c>
      <c r="AR163" s="292">
        <f t="shared" si="242"/>
        <v>1286778787</v>
      </c>
      <c r="AS163" s="292">
        <f t="shared" si="262"/>
        <v>5424359</v>
      </c>
      <c r="AT163" s="292">
        <f t="shared" si="263"/>
        <v>6878152</v>
      </c>
      <c r="AU163" s="292">
        <f t="shared" si="264"/>
        <v>0</v>
      </c>
      <c r="AV163" s="292">
        <f t="shared" si="246"/>
        <v>12302511</v>
      </c>
      <c r="AW163" s="292">
        <f t="shared" si="265"/>
        <v>336877</v>
      </c>
      <c r="AX163" s="292">
        <f t="shared" si="248"/>
        <v>336877</v>
      </c>
      <c r="AY163" s="292">
        <f t="shared" si="249"/>
        <v>1808342803</v>
      </c>
      <c r="AZ163" s="292">
        <f t="shared" si="250"/>
        <v>239604216</v>
      </c>
      <c r="BA163" s="292">
        <f t="shared" si="250"/>
        <v>217697638</v>
      </c>
      <c r="BB163" s="292">
        <f t="shared" si="251"/>
        <v>2265644657</v>
      </c>
      <c r="BC163" s="83">
        <f t="shared" si="191"/>
        <v>0.30234230453024313</v>
      </c>
      <c r="BD163" s="152"/>
      <c r="BE163" s="5">
        <f>BB163/'Monthly D4 Gallon Data'!AX161</f>
        <v>1.5988559074878599</v>
      </c>
    </row>
    <row r="164" spans="1:57" ht="12.75">
      <c r="A164" s="170">
        <v>45047</v>
      </c>
      <c r="B164" s="290">
        <v>245393389</v>
      </c>
      <c r="C164" s="290">
        <v>0</v>
      </c>
      <c r="D164" s="290">
        <v>59129807</v>
      </c>
      <c r="E164" s="291">
        <f t="shared" ref="E164:E182" si="267">SUM(B164:D164)</f>
        <v>304523196</v>
      </c>
      <c r="F164" s="290">
        <f t="shared" si="253"/>
        <v>372170065</v>
      </c>
      <c r="G164" s="290">
        <f t="shared" si="254"/>
        <v>71738877</v>
      </c>
      <c r="H164" s="290">
        <f t="shared" si="266"/>
        <v>0</v>
      </c>
      <c r="I164" s="291">
        <f>SUM(F164:H164)</f>
        <v>443908942</v>
      </c>
      <c r="J164" s="290">
        <f>AG164</f>
        <v>2602744</v>
      </c>
      <c r="K164" s="290">
        <v>0</v>
      </c>
      <c r="L164" s="291">
        <f t="shared" si="208"/>
        <v>2602744</v>
      </c>
      <c r="M164" s="290">
        <f t="shared" si="215"/>
        <v>0</v>
      </c>
      <c r="N164" s="291">
        <f t="shared" si="190"/>
        <v>0</v>
      </c>
      <c r="O164" s="291">
        <f t="shared" si="257"/>
        <v>620166198</v>
      </c>
      <c r="P164" s="291">
        <f t="shared" si="216"/>
        <v>71738877</v>
      </c>
      <c r="Q164" s="291">
        <f t="shared" si="258"/>
        <v>59129807</v>
      </c>
      <c r="R164" s="291">
        <f t="shared" si="259"/>
        <v>751034882</v>
      </c>
      <c r="S164" s="290">
        <v>0</v>
      </c>
      <c r="T164" s="290">
        <v>87065185</v>
      </c>
      <c r="U164" s="292">
        <v>285104880</v>
      </c>
      <c r="V164" s="292">
        <f t="shared" si="217"/>
        <v>372170065</v>
      </c>
      <c r="W164" s="290">
        <v>0</v>
      </c>
      <c r="X164" s="290">
        <v>0</v>
      </c>
      <c r="Y164" s="292">
        <v>71738877</v>
      </c>
      <c r="Z164" s="292">
        <f t="shared" si="218"/>
        <v>71738877</v>
      </c>
      <c r="AA164" s="290">
        <v>0</v>
      </c>
      <c r="AB164" s="290">
        <v>0</v>
      </c>
      <c r="AC164" s="290">
        <v>0</v>
      </c>
      <c r="AD164" s="292">
        <f t="shared" si="219"/>
        <v>0</v>
      </c>
      <c r="AE164" s="292">
        <v>2602744</v>
      </c>
      <c r="AF164" s="290">
        <v>0</v>
      </c>
      <c r="AG164" s="292">
        <f t="shared" si="220"/>
        <v>2602744</v>
      </c>
      <c r="AH164" s="292">
        <v>0</v>
      </c>
      <c r="AI164" s="292">
        <v>0</v>
      </c>
      <c r="AJ164" s="292">
        <f t="shared" si="221"/>
        <v>0</v>
      </c>
      <c r="AK164" s="292">
        <f t="shared" si="260"/>
        <v>993922233</v>
      </c>
      <c r="AL164" s="292">
        <f t="shared" si="260"/>
        <v>0</v>
      </c>
      <c r="AM164" s="292">
        <f t="shared" si="260"/>
        <v>276827445</v>
      </c>
      <c r="AN164" s="292">
        <f t="shared" si="240"/>
        <v>1270749678</v>
      </c>
      <c r="AO164" s="292">
        <f t="shared" si="261"/>
        <v>1426222788</v>
      </c>
      <c r="AP164" s="292">
        <f t="shared" si="261"/>
        <v>304464941</v>
      </c>
      <c r="AQ164" s="292">
        <f t="shared" si="261"/>
        <v>0</v>
      </c>
      <c r="AR164" s="292">
        <f t="shared" si="242"/>
        <v>1730687729</v>
      </c>
      <c r="AS164" s="292">
        <f t="shared" si="262"/>
        <v>8027103</v>
      </c>
      <c r="AT164" s="292">
        <f t="shared" si="263"/>
        <v>6878152</v>
      </c>
      <c r="AU164" s="292">
        <f t="shared" si="264"/>
        <v>0</v>
      </c>
      <c r="AV164" s="292">
        <f t="shared" si="246"/>
        <v>14905255</v>
      </c>
      <c r="AW164" s="292">
        <f t="shared" si="265"/>
        <v>336877</v>
      </c>
      <c r="AX164" s="292">
        <f t="shared" si="248"/>
        <v>336877</v>
      </c>
      <c r="AY164" s="292">
        <f t="shared" si="249"/>
        <v>2428509001</v>
      </c>
      <c r="AZ164" s="292">
        <f t="shared" si="250"/>
        <v>311343093</v>
      </c>
      <c r="BA164" s="292">
        <f t="shared" si="250"/>
        <v>276827445</v>
      </c>
      <c r="BB164" s="292">
        <f t="shared" si="251"/>
        <v>3016679539</v>
      </c>
      <c r="BC164" s="83">
        <f t="shared" si="191"/>
        <v>0.33876024197751131</v>
      </c>
      <c r="BD164" s="152"/>
      <c r="BE164" s="5">
        <f>BB164/'Monthly D4 Gallon Data'!AX162</f>
        <v>1.5995077110609504</v>
      </c>
    </row>
    <row r="165" spans="1:57" ht="12.75">
      <c r="A165" s="170">
        <v>45078</v>
      </c>
      <c r="B165" s="290">
        <v>229512324</v>
      </c>
      <c r="C165" s="290">
        <v>0</v>
      </c>
      <c r="D165" s="290">
        <v>61769873</v>
      </c>
      <c r="E165" s="291">
        <f t="shared" si="267"/>
        <v>291282197</v>
      </c>
      <c r="F165" s="290">
        <f t="shared" si="253"/>
        <v>323428347</v>
      </c>
      <c r="G165" s="290">
        <f t="shared" si="254"/>
        <v>60996589</v>
      </c>
      <c r="H165" s="290">
        <f t="shared" si="266"/>
        <v>0</v>
      </c>
      <c r="I165" s="291">
        <f t="shared" ref="I165:I177" si="268">SUM(F165:H165)</f>
        <v>384424936</v>
      </c>
      <c r="J165" s="290">
        <f t="shared" ref="J165:J171" si="269">AG165</f>
        <v>1794972</v>
      </c>
      <c r="K165" s="290">
        <v>0</v>
      </c>
      <c r="L165" s="291">
        <f t="shared" si="208"/>
        <v>3891170</v>
      </c>
      <c r="M165" s="290">
        <f t="shared" si="215"/>
        <v>0</v>
      </c>
      <c r="N165" s="291">
        <f t="shared" si="190"/>
        <v>0</v>
      </c>
      <c r="O165" s="291">
        <f t="shared" si="257"/>
        <v>554735643</v>
      </c>
      <c r="P165" s="291">
        <f t="shared" si="216"/>
        <v>63092787</v>
      </c>
      <c r="Q165" s="291">
        <f t="shared" si="258"/>
        <v>61769873</v>
      </c>
      <c r="R165" s="291">
        <f t="shared" si="259"/>
        <v>679598303</v>
      </c>
      <c r="S165" s="290">
        <v>0</v>
      </c>
      <c r="T165" s="290">
        <v>66469040</v>
      </c>
      <c r="U165" s="292">
        <v>256959307</v>
      </c>
      <c r="V165" s="292">
        <f t="shared" si="217"/>
        <v>323428347</v>
      </c>
      <c r="W165" s="290">
        <v>0</v>
      </c>
      <c r="X165" s="290">
        <v>7789724</v>
      </c>
      <c r="Y165" s="292">
        <v>53206865</v>
      </c>
      <c r="Z165" s="292">
        <f t="shared" si="218"/>
        <v>60996589</v>
      </c>
      <c r="AA165" s="290">
        <v>0</v>
      </c>
      <c r="AB165" s="290">
        <v>0</v>
      </c>
      <c r="AC165" s="290">
        <v>0</v>
      </c>
      <c r="AD165" s="292">
        <f t="shared" si="219"/>
        <v>0</v>
      </c>
      <c r="AE165" s="292">
        <v>1794972</v>
      </c>
      <c r="AF165" s="290">
        <v>0</v>
      </c>
      <c r="AG165" s="292">
        <f t="shared" si="220"/>
        <v>1794972</v>
      </c>
      <c r="AH165" s="292">
        <v>2096198</v>
      </c>
      <c r="AI165" s="292">
        <v>0</v>
      </c>
      <c r="AJ165" s="292">
        <f t="shared" si="221"/>
        <v>0</v>
      </c>
      <c r="AK165" s="292">
        <f t="shared" si="260"/>
        <v>1223434557</v>
      </c>
      <c r="AL165" s="292">
        <f t="shared" si="260"/>
        <v>0</v>
      </c>
      <c r="AM165" s="292">
        <f t="shared" si="260"/>
        <v>338597318</v>
      </c>
      <c r="AN165" s="292">
        <f t="shared" si="240"/>
        <v>1562031875</v>
      </c>
      <c r="AO165" s="292">
        <f t="shared" si="261"/>
        <v>1749651135</v>
      </c>
      <c r="AP165" s="292">
        <f t="shared" si="261"/>
        <v>365461530</v>
      </c>
      <c r="AQ165" s="292">
        <f t="shared" si="261"/>
        <v>0</v>
      </c>
      <c r="AR165" s="292">
        <f t="shared" si="242"/>
        <v>2115112665</v>
      </c>
      <c r="AS165" s="292">
        <f t="shared" si="262"/>
        <v>9822075</v>
      </c>
      <c r="AT165" s="292">
        <f t="shared" si="263"/>
        <v>8974350</v>
      </c>
      <c r="AU165" s="292">
        <f t="shared" si="264"/>
        <v>0</v>
      </c>
      <c r="AV165" s="292">
        <f t="shared" si="246"/>
        <v>18796425</v>
      </c>
      <c r="AW165" s="292">
        <f t="shared" si="265"/>
        <v>336877</v>
      </c>
      <c r="AX165" s="292">
        <f t="shared" si="248"/>
        <v>336877</v>
      </c>
      <c r="AY165" s="292">
        <f t="shared" si="249"/>
        <v>2983244644</v>
      </c>
      <c r="AZ165" s="292">
        <f t="shared" si="250"/>
        <v>374435880</v>
      </c>
      <c r="BA165" s="292">
        <f t="shared" si="250"/>
        <v>338597318</v>
      </c>
      <c r="BB165" s="292">
        <f t="shared" si="251"/>
        <v>3696277842</v>
      </c>
      <c r="BC165" s="83">
        <f t="shared" si="191"/>
        <v>0.34671405391850785</v>
      </c>
      <c r="BD165" s="152"/>
      <c r="BE165" s="5">
        <f>BB165/'Monthly D4 Gallon Data'!AX163</f>
        <v>1.5990919295920607</v>
      </c>
    </row>
    <row r="166" spans="1:57" ht="12.75">
      <c r="A166" s="170">
        <v>45108</v>
      </c>
      <c r="B166" s="290">
        <v>213892540</v>
      </c>
      <c r="C166" s="290">
        <v>0</v>
      </c>
      <c r="D166" s="290">
        <v>45478933</v>
      </c>
      <c r="E166" s="291">
        <f t="shared" si="267"/>
        <v>259371473</v>
      </c>
      <c r="F166" s="290">
        <f t="shared" si="253"/>
        <v>299172515</v>
      </c>
      <c r="G166" s="290">
        <f t="shared" si="254"/>
        <v>74494561</v>
      </c>
      <c r="H166" s="290">
        <f t="shared" si="266"/>
        <v>0</v>
      </c>
      <c r="I166" s="291">
        <f t="shared" si="268"/>
        <v>373667076</v>
      </c>
      <c r="J166" s="290">
        <f t="shared" si="269"/>
        <v>2833215</v>
      </c>
      <c r="K166" s="290">
        <v>0</v>
      </c>
      <c r="L166" s="291">
        <f t="shared" si="208"/>
        <v>2833215</v>
      </c>
      <c r="M166" s="290">
        <f t="shared" si="215"/>
        <v>0</v>
      </c>
      <c r="N166" s="291">
        <f t="shared" si="190"/>
        <v>0</v>
      </c>
      <c r="O166" s="291">
        <f t="shared" si="257"/>
        <v>515898270</v>
      </c>
      <c r="P166" s="291">
        <f t="shared" si="216"/>
        <v>74494561</v>
      </c>
      <c r="Q166" s="291">
        <f t="shared" si="258"/>
        <v>45478933</v>
      </c>
      <c r="R166" s="291">
        <f t="shared" si="259"/>
        <v>635871764</v>
      </c>
      <c r="S166" s="290">
        <v>0</v>
      </c>
      <c r="T166" s="290">
        <v>64627762</v>
      </c>
      <c r="U166" s="292">
        <v>234544753</v>
      </c>
      <c r="V166" s="292">
        <f t="shared" si="217"/>
        <v>299172515</v>
      </c>
      <c r="W166" s="290">
        <v>0</v>
      </c>
      <c r="X166" s="290">
        <v>3562474</v>
      </c>
      <c r="Y166" s="292">
        <v>70932087</v>
      </c>
      <c r="Z166" s="292">
        <f t="shared" si="218"/>
        <v>74494561</v>
      </c>
      <c r="AA166" s="290">
        <v>0</v>
      </c>
      <c r="AB166" s="290">
        <v>0</v>
      </c>
      <c r="AC166" s="290">
        <v>0</v>
      </c>
      <c r="AD166" s="292">
        <f t="shared" si="219"/>
        <v>0</v>
      </c>
      <c r="AE166" s="292">
        <v>2833215</v>
      </c>
      <c r="AF166" s="290">
        <v>0</v>
      </c>
      <c r="AG166" s="292">
        <f t="shared" si="220"/>
        <v>2833215</v>
      </c>
      <c r="AH166" s="292">
        <v>0</v>
      </c>
      <c r="AI166" s="292">
        <v>0</v>
      </c>
      <c r="AJ166" s="292">
        <f t="shared" si="221"/>
        <v>0</v>
      </c>
      <c r="AK166" s="292">
        <f t="shared" si="260"/>
        <v>1437327097</v>
      </c>
      <c r="AL166" s="292">
        <f t="shared" si="260"/>
        <v>0</v>
      </c>
      <c r="AM166" s="292">
        <f t="shared" si="260"/>
        <v>384076251</v>
      </c>
      <c r="AN166" s="292">
        <f t="shared" si="240"/>
        <v>1821403348</v>
      </c>
      <c r="AO166" s="292">
        <f t="shared" si="261"/>
        <v>2048823650</v>
      </c>
      <c r="AP166" s="292">
        <f t="shared" si="261"/>
        <v>439956091</v>
      </c>
      <c r="AQ166" s="292">
        <f t="shared" si="261"/>
        <v>0</v>
      </c>
      <c r="AR166" s="292">
        <f t="shared" si="242"/>
        <v>2488779741</v>
      </c>
      <c r="AS166" s="292">
        <f t="shared" si="262"/>
        <v>12655290</v>
      </c>
      <c r="AT166" s="292">
        <f t="shared" si="263"/>
        <v>8974350</v>
      </c>
      <c r="AU166" s="292">
        <f t="shared" si="264"/>
        <v>0</v>
      </c>
      <c r="AV166" s="292">
        <f t="shared" si="246"/>
        <v>21629640</v>
      </c>
      <c r="AW166" s="292">
        <f t="shared" si="265"/>
        <v>336877</v>
      </c>
      <c r="AX166" s="292">
        <f t="shared" si="248"/>
        <v>336877</v>
      </c>
      <c r="AY166" s="292">
        <f t="shared" si="249"/>
        <v>3499142914</v>
      </c>
      <c r="AZ166" s="292">
        <f t="shared" ref="AZ166:BA184" si="270">AL166+AP166+AT166</f>
        <v>448930441</v>
      </c>
      <c r="BA166" s="292">
        <f t="shared" si="270"/>
        <v>384076251</v>
      </c>
      <c r="BB166" s="292">
        <f t="shared" si="251"/>
        <v>4332149606</v>
      </c>
      <c r="BC166" s="83">
        <f t="shared" si="191"/>
        <v>0.36818738397726736</v>
      </c>
      <c r="BD166" s="152"/>
      <c r="BE166" s="5">
        <f>BB166/'Monthly D4 Gallon Data'!AX164</f>
        <v>1.5994764081389654</v>
      </c>
    </row>
    <row r="167" spans="1:57" ht="12.75">
      <c r="A167" s="170">
        <v>45139</v>
      </c>
      <c r="B167" s="290">
        <v>228521206</v>
      </c>
      <c r="C167" s="290">
        <v>0</v>
      </c>
      <c r="D167" s="290">
        <v>66359954</v>
      </c>
      <c r="E167" s="291">
        <f t="shared" si="267"/>
        <v>294881160</v>
      </c>
      <c r="F167" s="290">
        <f t="shared" si="253"/>
        <v>382884112</v>
      </c>
      <c r="G167" s="290">
        <f t="shared" si="254"/>
        <v>19960063</v>
      </c>
      <c r="H167" s="290">
        <f t="shared" si="266"/>
        <v>0</v>
      </c>
      <c r="I167" s="291">
        <f t="shared" si="268"/>
        <v>402844175</v>
      </c>
      <c r="J167" s="290">
        <f t="shared" si="269"/>
        <v>3262183</v>
      </c>
      <c r="K167" s="290">
        <v>0</v>
      </c>
      <c r="L167" s="291">
        <f t="shared" si="208"/>
        <v>5560301</v>
      </c>
      <c r="M167" s="290">
        <f t="shared" si="215"/>
        <v>0</v>
      </c>
      <c r="N167" s="291">
        <f t="shared" si="190"/>
        <v>0</v>
      </c>
      <c r="O167" s="291">
        <f t="shared" si="257"/>
        <v>614667501</v>
      </c>
      <c r="P167" s="291">
        <f t="shared" si="216"/>
        <v>22258181</v>
      </c>
      <c r="Q167" s="291">
        <f t="shared" si="258"/>
        <v>66359954</v>
      </c>
      <c r="R167" s="291">
        <f t="shared" si="259"/>
        <v>703285636</v>
      </c>
      <c r="S167" s="290">
        <v>0</v>
      </c>
      <c r="T167" s="290">
        <v>86404191</v>
      </c>
      <c r="U167" s="292">
        <v>296479921</v>
      </c>
      <c r="V167" s="292">
        <f t="shared" si="217"/>
        <v>382884112</v>
      </c>
      <c r="W167" s="290">
        <v>0</v>
      </c>
      <c r="X167" s="290">
        <v>4682159</v>
      </c>
      <c r="Y167" s="292">
        <v>15277904</v>
      </c>
      <c r="Z167" s="292">
        <f t="shared" si="218"/>
        <v>19960063</v>
      </c>
      <c r="AA167" s="290">
        <v>0</v>
      </c>
      <c r="AB167" s="290">
        <v>0</v>
      </c>
      <c r="AC167" s="290">
        <v>0</v>
      </c>
      <c r="AD167" s="292">
        <f t="shared" si="219"/>
        <v>0</v>
      </c>
      <c r="AE167" s="292">
        <v>3262183</v>
      </c>
      <c r="AF167" s="290">
        <v>0</v>
      </c>
      <c r="AG167" s="292">
        <f t="shared" si="220"/>
        <v>3262183</v>
      </c>
      <c r="AH167" s="292">
        <v>2298118</v>
      </c>
      <c r="AI167" s="292">
        <v>0</v>
      </c>
      <c r="AJ167" s="292">
        <f t="shared" si="221"/>
        <v>0</v>
      </c>
      <c r="AK167" s="292">
        <f t="shared" si="260"/>
        <v>1665848303</v>
      </c>
      <c r="AL167" s="292">
        <f t="shared" si="260"/>
        <v>0</v>
      </c>
      <c r="AM167" s="292">
        <f t="shared" si="260"/>
        <v>450436205</v>
      </c>
      <c r="AN167" s="292">
        <f t="shared" si="240"/>
        <v>2116284508</v>
      </c>
      <c r="AO167" s="292">
        <f t="shared" si="261"/>
        <v>2431707762</v>
      </c>
      <c r="AP167" s="292">
        <f t="shared" si="261"/>
        <v>459916154</v>
      </c>
      <c r="AQ167" s="292">
        <f t="shared" si="261"/>
        <v>0</v>
      </c>
      <c r="AR167" s="292">
        <f t="shared" si="242"/>
        <v>2891623916</v>
      </c>
      <c r="AS167" s="292">
        <f t="shared" si="262"/>
        <v>15917473</v>
      </c>
      <c r="AT167" s="292">
        <f t="shared" si="263"/>
        <v>11272468</v>
      </c>
      <c r="AU167" s="292">
        <f t="shared" si="264"/>
        <v>0</v>
      </c>
      <c r="AV167" s="292">
        <f t="shared" si="246"/>
        <v>27189941</v>
      </c>
      <c r="AW167" s="292">
        <f t="shared" si="265"/>
        <v>336877</v>
      </c>
      <c r="AX167" s="292">
        <f t="shared" si="248"/>
        <v>336877</v>
      </c>
      <c r="AY167" s="292">
        <f t="shared" si="249"/>
        <v>4113810415</v>
      </c>
      <c r="AZ167" s="292">
        <f t="shared" si="270"/>
        <v>471188622</v>
      </c>
      <c r="BA167" s="292">
        <f t="shared" si="270"/>
        <v>450436205</v>
      </c>
      <c r="BB167" s="292">
        <f t="shared" si="251"/>
        <v>5035435242</v>
      </c>
      <c r="BC167" s="83">
        <f t="shared" si="191"/>
        <v>0.38314975238606386</v>
      </c>
      <c r="BD167" s="152"/>
      <c r="BE167" s="5">
        <f>BB167/'Monthly D4 Gallon Data'!AX165</f>
        <v>1.5991314902449196</v>
      </c>
    </row>
    <row r="168" spans="1:57" ht="12.75">
      <c r="A168" s="170">
        <v>45170</v>
      </c>
      <c r="B168" s="290">
        <v>215809067</v>
      </c>
      <c r="C168" s="290">
        <v>0</v>
      </c>
      <c r="D168" s="290">
        <v>60696784</v>
      </c>
      <c r="E168" s="291">
        <f t="shared" si="267"/>
        <v>276505851</v>
      </c>
      <c r="F168" s="290">
        <f t="shared" si="253"/>
        <v>380652132</v>
      </c>
      <c r="G168" s="290">
        <f t="shared" si="254"/>
        <v>13204613</v>
      </c>
      <c r="H168" s="290">
        <f t="shared" si="266"/>
        <v>0</v>
      </c>
      <c r="I168" s="291">
        <f t="shared" si="268"/>
        <v>393856745</v>
      </c>
      <c r="J168" s="290">
        <f t="shared" si="269"/>
        <v>1054881</v>
      </c>
      <c r="K168" s="290">
        <v>0</v>
      </c>
      <c r="L168" s="291">
        <f t="shared" si="208"/>
        <v>3460900</v>
      </c>
      <c r="M168" s="290">
        <f t="shared" si="215"/>
        <v>0</v>
      </c>
      <c r="N168" s="291">
        <f t="shared" si="190"/>
        <v>0</v>
      </c>
      <c r="O168" s="291">
        <f t="shared" si="257"/>
        <v>597516080</v>
      </c>
      <c r="P168" s="291">
        <f t="shared" si="216"/>
        <v>15610632</v>
      </c>
      <c r="Q168" s="291">
        <f t="shared" si="258"/>
        <v>60696784</v>
      </c>
      <c r="R168" s="291">
        <f t="shared" si="259"/>
        <v>673823496</v>
      </c>
      <c r="S168" s="290">
        <v>0</v>
      </c>
      <c r="T168" s="290">
        <v>73251573</v>
      </c>
      <c r="U168" s="292">
        <v>307400559</v>
      </c>
      <c r="V168" s="292">
        <f t="shared" si="217"/>
        <v>380652132</v>
      </c>
      <c r="W168" s="290">
        <v>0</v>
      </c>
      <c r="X168" s="290">
        <v>1090776</v>
      </c>
      <c r="Y168" s="292">
        <v>12113837</v>
      </c>
      <c r="Z168" s="292">
        <f t="shared" si="218"/>
        <v>13204613</v>
      </c>
      <c r="AA168" s="290">
        <v>0</v>
      </c>
      <c r="AB168" s="290">
        <v>0</v>
      </c>
      <c r="AC168" s="290">
        <v>0</v>
      </c>
      <c r="AD168" s="292">
        <f t="shared" si="219"/>
        <v>0</v>
      </c>
      <c r="AE168" s="292">
        <v>1054881</v>
      </c>
      <c r="AF168" s="290">
        <v>0</v>
      </c>
      <c r="AG168" s="292">
        <f t="shared" si="220"/>
        <v>1054881</v>
      </c>
      <c r="AH168" s="292">
        <v>2406019</v>
      </c>
      <c r="AI168" s="292">
        <v>0</v>
      </c>
      <c r="AJ168" s="292">
        <f t="shared" si="221"/>
        <v>0</v>
      </c>
      <c r="AK168" s="292">
        <f t="shared" si="260"/>
        <v>1881657370</v>
      </c>
      <c r="AL168" s="292">
        <f t="shared" si="260"/>
        <v>0</v>
      </c>
      <c r="AM168" s="292">
        <f t="shared" si="260"/>
        <v>511132989</v>
      </c>
      <c r="AN168" s="292">
        <f t="shared" si="240"/>
        <v>2392790359</v>
      </c>
      <c r="AO168" s="292">
        <f t="shared" si="261"/>
        <v>2812359894</v>
      </c>
      <c r="AP168" s="292">
        <f t="shared" si="261"/>
        <v>473120767</v>
      </c>
      <c r="AQ168" s="292">
        <f t="shared" si="261"/>
        <v>0</v>
      </c>
      <c r="AR168" s="292">
        <f t="shared" si="242"/>
        <v>3285480661</v>
      </c>
      <c r="AS168" s="292">
        <f t="shared" si="262"/>
        <v>16972354</v>
      </c>
      <c r="AT168" s="292">
        <f t="shared" si="263"/>
        <v>13678487</v>
      </c>
      <c r="AU168" s="292">
        <f t="shared" si="264"/>
        <v>0</v>
      </c>
      <c r="AV168" s="292">
        <f t="shared" si="246"/>
        <v>30650841</v>
      </c>
      <c r="AW168" s="292">
        <f t="shared" si="265"/>
        <v>336877</v>
      </c>
      <c r="AX168" s="292">
        <f t="shared" si="248"/>
        <v>336877</v>
      </c>
      <c r="AY168" s="292">
        <f t="shared" si="249"/>
        <v>4711326495</v>
      </c>
      <c r="AZ168" s="292">
        <f t="shared" si="270"/>
        <v>486799254</v>
      </c>
      <c r="BA168" s="292">
        <f t="shared" si="270"/>
        <v>511132989</v>
      </c>
      <c r="BB168" s="292">
        <f t="shared" si="251"/>
        <v>5709258738</v>
      </c>
      <c r="BC168" s="83">
        <f t="shared" si="191"/>
        <v>0.37809196636106135</v>
      </c>
      <c r="BD168" s="152"/>
      <c r="BE168" s="5">
        <f>BB168/'Monthly D4 Gallon Data'!AX166</f>
        <v>1.5993359543189642</v>
      </c>
    </row>
    <row r="169" spans="1:57" ht="12.75">
      <c r="A169" s="170">
        <v>45200</v>
      </c>
      <c r="B169" s="290">
        <v>216133733</v>
      </c>
      <c r="C169" s="290">
        <v>0</v>
      </c>
      <c r="D169" s="290">
        <v>85566073</v>
      </c>
      <c r="E169" s="291">
        <f t="shared" si="267"/>
        <v>301699806</v>
      </c>
      <c r="F169" s="290">
        <f t="shared" si="253"/>
        <v>346487768</v>
      </c>
      <c r="G169" s="290">
        <f t="shared" si="254"/>
        <v>81552983</v>
      </c>
      <c r="H169" s="290">
        <f t="shared" si="266"/>
        <v>0</v>
      </c>
      <c r="I169" s="291">
        <f t="shared" si="268"/>
        <v>428040751</v>
      </c>
      <c r="J169" s="290">
        <f t="shared" si="269"/>
        <v>2344221</v>
      </c>
      <c r="K169" s="290">
        <v>0</v>
      </c>
      <c r="L169" s="291">
        <f t="shared" si="208"/>
        <v>4633405</v>
      </c>
      <c r="M169" s="290">
        <f t="shared" si="215"/>
        <v>120640</v>
      </c>
      <c r="N169" s="291">
        <f t="shared" si="190"/>
        <v>120640</v>
      </c>
      <c r="O169" s="291">
        <f t="shared" si="257"/>
        <v>565086362</v>
      </c>
      <c r="P169" s="291">
        <f t="shared" si="216"/>
        <v>83842167</v>
      </c>
      <c r="Q169" s="291">
        <f t="shared" si="258"/>
        <v>85566073</v>
      </c>
      <c r="R169" s="291">
        <f t="shared" si="259"/>
        <v>734494602</v>
      </c>
      <c r="S169" s="290">
        <v>0</v>
      </c>
      <c r="T169" s="290">
        <v>90050806</v>
      </c>
      <c r="U169" s="292">
        <v>256436962</v>
      </c>
      <c r="V169" s="292">
        <f t="shared" si="217"/>
        <v>346487768</v>
      </c>
      <c r="W169" s="290">
        <v>0</v>
      </c>
      <c r="X169" s="290">
        <v>4824712</v>
      </c>
      <c r="Y169" s="292">
        <v>76728271</v>
      </c>
      <c r="Z169" s="292">
        <f t="shared" si="218"/>
        <v>81552983</v>
      </c>
      <c r="AA169" s="290">
        <v>0</v>
      </c>
      <c r="AB169" s="290">
        <v>0</v>
      </c>
      <c r="AC169" s="290">
        <v>0</v>
      </c>
      <c r="AD169" s="292">
        <f t="shared" si="219"/>
        <v>0</v>
      </c>
      <c r="AE169" s="292">
        <v>2344221</v>
      </c>
      <c r="AF169" s="290">
        <v>0</v>
      </c>
      <c r="AG169" s="292">
        <f t="shared" si="220"/>
        <v>2344221</v>
      </c>
      <c r="AH169" s="292">
        <v>2289184</v>
      </c>
      <c r="AI169" s="292">
        <v>120640</v>
      </c>
      <c r="AJ169" s="292">
        <f t="shared" si="221"/>
        <v>120640</v>
      </c>
      <c r="AK169" s="292">
        <f t="shared" si="260"/>
        <v>2097791103</v>
      </c>
      <c r="AL169" s="292">
        <f t="shared" si="260"/>
        <v>0</v>
      </c>
      <c r="AM169" s="292">
        <f t="shared" si="260"/>
        <v>596699062</v>
      </c>
      <c r="AN169" s="292">
        <f t="shared" si="240"/>
        <v>2694490165</v>
      </c>
      <c r="AO169" s="292">
        <f t="shared" si="261"/>
        <v>3158847662</v>
      </c>
      <c r="AP169" s="292">
        <f t="shared" si="261"/>
        <v>554673750</v>
      </c>
      <c r="AQ169" s="292">
        <f t="shared" si="261"/>
        <v>0</v>
      </c>
      <c r="AR169" s="292">
        <f t="shared" si="242"/>
        <v>3713521412</v>
      </c>
      <c r="AS169" s="292">
        <f t="shared" si="262"/>
        <v>19316575</v>
      </c>
      <c r="AT169" s="292">
        <f t="shared" si="263"/>
        <v>15967671</v>
      </c>
      <c r="AU169" s="292">
        <f t="shared" si="264"/>
        <v>0</v>
      </c>
      <c r="AV169" s="292">
        <f t="shared" si="246"/>
        <v>35284246</v>
      </c>
      <c r="AW169" s="292">
        <f t="shared" si="265"/>
        <v>457517</v>
      </c>
      <c r="AX169" s="292">
        <f t="shared" si="248"/>
        <v>457517</v>
      </c>
      <c r="AY169" s="292">
        <f t="shared" si="249"/>
        <v>5276412857</v>
      </c>
      <c r="AZ169" s="292">
        <f t="shared" si="270"/>
        <v>570641421</v>
      </c>
      <c r="BA169" s="292">
        <f t="shared" si="270"/>
        <v>596699062</v>
      </c>
      <c r="BB169" s="292">
        <f t="shared" si="251"/>
        <v>6443753340</v>
      </c>
      <c r="BC169" s="83">
        <f t="shared" si="191"/>
        <v>0.39472074156388204</v>
      </c>
      <c r="BD169" s="152"/>
      <c r="BE169" s="5">
        <f>BB169/'Monthly D4 Gallon Data'!AX167</f>
        <v>1.599284505538026</v>
      </c>
    </row>
    <row r="170" spans="1:57" ht="12.75">
      <c r="A170" s="170">
        <v>45231</v>
      </c>
      <c r="B170" s="290">
        <v>202535379</v>
      </c>
      <c r="C170" s="290">
        <v>0</v>
      </c>
      <c r="D170" s="290">
        <v>63812258</v>
      </c>
      <c r="E170" s="291">
        <f t="shared" si="267"/>
        <v>266347637</v>
      </c>
      <c r="F170" s="290">
        <f t="shared" si="253"/>
        <v>336750302</v>
      </c>
      <c r="G170" s="290">
        <f t="shared" si="254"/>
        <v>76883434</v>
      </c>
      <c r="H170" s="290">
        <f t="shared" si="266"/>
        <v>0</v>
      </c>
      <c r="I170" s="291">
        <f t="shared" si="268"/>
        <v>413633736</v>
      </c>
      <c r="J170" s="290">
        <f t="shared" si="269"/>
        <v>0</v>
      </c>
      <c r="K170" s="290">
        <v>0</v>
      </c>
      <c r="L170" s="291">
        <f t="shared" si="208"/>
        <v>0</v>
      </c>
      <c r="M170" s="290">
        <f t="shared" si="215"/>
        <v>198943</v>
      </c>
      <c r="N170" s="291">
        <f t="shared" si="190"/>
        <v>198943</v>
      </c>
      <c r="O170" s="291">
        <f t="shared" si="257"/>
        <v>539484624</v>
      </c>
      <c r="P170" s="291">
        <f t="shared" si="216"/>
        <v>76883434</v>
      </c>
      <c r="Q170" s="291">
        <f t="shared" si="258"/>
        <v>63812258</v>
      </c>
      <c r="R170" s="291">
        <f t="shared" si="259"/>
        <v>680180316</v>
      </c>
      <c r="S170" s="290">
        <v>0</v>
      </c>
      <c r="T170" s="290">
        <v>79684941</v>
      </c>
      <c r="U170" s="292">
        <v>257065361</v>
      </c>
      <c r="V170" s="292">
        <f t="shared" si="217"/>
        <v>336750302</v>
      </c>
      <c r="W170" s="290">
        <v>0</v>
      </c>
      <c r="X170" s="290">
        <v>3714590</v>
      </c>
      <c r="Y170" s="292">
        <v>73168844</v>
      </c>
      <c r="Z170" s="292">
        <f t="shared" si="218"/>
        <v>76883434</v>
      </c>
      <c r="AA170" s="290">
        <v>0</v>
      </c>
      <c r="AB170" s="290">
        <v>0</v>
      </c>
      <c r="AC170" s="290">
        <v>0</v>
      </c>
      <c r="AD170" s="292">
        <f t="shared" si="219"/>
        <v>0</v>
      </c>
      <c r="AE170" s="292">
        <v>0</v>
      </c>
      <c r="AF170" s="290">
        <v>0</v>
      </c>
      <c r="AG170" s="292">
        <f t="shared" si="220"/>
        <v>0</v>
      </c>
      <c r="AH170" s="292">
        <v>0</v>
      </c>
      <c r="AI170" s="292">
        <v>198943</v>
      </c>
      <c r="AJ170" s="292">
        <f t="shared" si="221"/>
        <v>198943</v>
      </c>
      <c r="AK170" s="292">
        <f t="shared" si="260"/>
        <v>2300326482</v>
      </c>
      <c r="AL170" s="292">
        <f t="shared" si="260"/>
        <v>0</v>
      </c>
      <c r="AM170" s="292">
        <f t="shared" si="260"/>
        <v>660511320</v>
      </c>
      <c r="AN170" s="292">
        <f t="shared" si="240"/>
        <v>2960837802</v>
      </c>
      <c r="AO170" s="292">
        <f t="shared" si="261"/>
        <v>3495597964</v>
      </c>
      <c r="AP170" s="292">
        <f t="shared" si="261"/>
        <v>631557184</v>
      </c>
      <c r="AQ170" s="292">
        <f t="shared" si="261"/>
        <v>0</v>
      </c>
      <c r="AR170" s="292">
        <f t="shared" si="242"/>
        <v>4127155148</v>
      </c>
      <c r="AS170" s="292">
        <f t="shared" si="262"/>
        <v>19316575</v>
      </c>
      <c r="AT170" s="292">
        <f t="shared" si="263"/>
        <v>15967671</v>
      </c>
      <c r="AU170" s="292">
        <f t="shared" si="264"/>
        <v>0</v>
      </c>
      <c r="AV170" s="292">
        <f t="shared" si="246"/>
        <v>35284246</v>
      </c>
      <c r="AW170" s="292">
        <f t="shared" si="265"/>
        <v>656460</v>
      </c>
      <c r="AX170" s="292">
        <f t="shared" si="248"/>
        <v>656460</v>
      </c>
      <c r="AY170" s="292">
        <f t="shared" si="249"/>
        <v>5815897481</v>
      </c>
      <c r="AZ170" s="292">
        <f t="shared" si="270"/>
        <v>647524855</v>
      </c>
      <c r="BA170" s="292">
        <f t="shared" si="270"/>
        <v>660511320</v>
      </c>
      <c r="BB170" s="292">
        <f t="shared" si="251"/>
        <v>7123933656</v>
      </c>
      <c r="BC170" s="83">
        <f t="shared" si="191"/>
        <v>0.36938299760396842</v>
      </c>
      <c r="BD170" s="152"/>
      <c r="BE170" s="5">
        <f>BB170/'Monthly D4 Gallon Data'!AX168</f>
        <v>1.599728021786889</v>
      </c>
    </row>
    <row r="171" spans="1:57" ht="13.5" thickBot="1">
      <c r="A171" s="170">
        <v>45261</v>
      </c>
      <c r="B171" s="290">
        <v>203576652</v>
      </c>
      <c r="C171" s="290">
        <v>0</v>
      </c>
      <c r="D171" s="290">
        <v>96890745</v>
      </c>
      <c r="E171" s="291">
        <f t="shared" si="267"/>
        <v>300467397</v>
      </c>
      <c r="F171" s="290">
        <f t="shared" si="253"/>
        <v>455382853</v>
      </c>
      <c r="G171" s="290">
        <f t="shared" si="254"/>
        <v>81742040</v>
      </c>
      <c r="H171" s="290">
        <f t="shared" si="266"/>
        <v>0</v>
      </c>
      <c r="I171" s="291">
        <f t="shared" si="268"/>
        <v>537124893</v>
      </c>
      <c r="J171" s="290">
        <f t="shared" si="269"/>
        <v>188691</v>
      </c>
      <c r="K171" s="290">
        <v>0</v>
      </c>
      <c r="L171" s="291">
        <f t="shared" si="208"/>
        <v>3875407</v>
      </c>
      <c r="M171" s="290">
        <f t="shared" si="215"/>
        <v>553021</v>
      </c>
      <c r="N171" s="291">
        <f t="shared" si="190"/>
        <v>553021</v>
      </c>
      <c r="O171" s="291">
        <f t="shared" si="257"/>
        <v>659701217</v>
      </c>
      <c r="P171" s="291">
        <f t="shared" si="216"/>
        <v>85428756</v>
      </c>
      <c r="Q171" s="291">
        <f t="shared" si="258"/>
        <v>96890745</v>
      </c>
      <c r="R171" s="291">
        <f t="shared" si="259"/>
        <v>842020718</v>
      </c>
      <c r="S171" s="290">
        <v>0</v>
      </c>
      <c r="T171" s="290">
        <v>91838995</v>
      </c>
      <c r="U171" s="292">
        <v>363543858</v>
      </c>
      <c r="V171" s="292">
        <f t="shared" si="217"/>
        <v>455382853</v>
      </c>
      <c r="W171" s="290">
        <v>0</v>
      </c>
      <c r="X171" s="290">
        <v>3577606</v>
      </c>
      <c r="Y171" s="292">
        <v>78164434</v>
      </c>
      <c r="Z171" s="292">
        <f t="shared" si="218"/>
        <v>81742040</v>
      </c>
      <c r="AA171" s="290">
        <v>0</v>
      </c>
      <c r="AB171" s="290">
        <v>0</v>
      </c>
      <c r="AC171" s="290">
        <v>0</v>
      </c>
      <c r="AD171" s="292">
        <f t="shared" si="219"/>
        <v>0</v>
      </c>
      <c r="AE171" s="292">
        <v>188691</v>
      </c>
      <c r="AF171" s="290">
        <v>0</v>
      </c>
      <c r="AG171" s="292">
        <f t="shared" si="220"/>
        <v>188691</v>
      </c>
      <c r="AH171" s="292">
        <v>3686716</v>
      </c>
      <c r="AI171" s="292">
        <v>553021</v>
      </c>
      <c r="AJ171" s="292">
        <f t="shared" si="221"/>
        <v>553021</v>
      </c>
      <c r="AK171" s="292">
        <f t="shared" si="260"/>
        <v>2503903134</v>
      </c>
      <c r="AL171" s="292">
        <f t="shared" si="260"/>
        <v>0</v>
      </c>
      <c r="AM171" s="292">
        <f t="shared" si="260"/>
        <v>757402065</v>
      </c>
      <c r="AN171" s="292">
        <f t="shared" si="240"/>
        <v>3261305199</v>
      </c>
      <c r="AO171" s="292">
        <f t="shared" si="261"/>
        <v>3950980817</v>
      </c>
      <c r="AP171" s="292">
        <f t="shared" si="261"/>
        <v>713299224</v>
      </c>
      <c r="AQ171" s="292">
        <f t="shared" si="261"/>
        <v>0</v>
      </c>
      <c r="AR171" s="292">
        <f t="shared" si="242"/>
        <v>4664280041</v>
      </c>
      <c r="AS171" s="292">
        <f t="shared" si="262"/>
        <v>19505266</v>
      </c>
      <c r="AT171" s="292">
        <f t="shared" si="263"/>
        <v>19654387</v>
      </c>
      <c r="AU171" s="292">
        <f t="shared" si="264"/>
        <v>0</v>
      </c>
      <c r="AV171" s="292">
        <f t="shared" si="246"/>
        <v>39159653</v>
      </c>
      <c r="AW171" s="292">
        <f t="shared" si="265"/>
        <v>1209481</v>
      </c>
      <c r="AX171" s="292">
        <f t="shared" si="248"/>
        <v>1209481</v>
      </c>
      <c r="AY171" s="292">
        <f t="shared" si="249"/>
        <v>6475598698</v>
      </c>
      <c r="AZ171" s="292">
        <f t="shared" si="270"/>
        <v>732953611</v>
      </c>
      <c r="BA171" s="292">
        <f t="shared" si="270"/>
        <v>757402065</v>
      </c>
      <c r="BB171" s="292">
        <f t="shared" si="251"/>
        <v>7965954374</v>
      </c>
      <c r="BC171" s="83">
        <f t="shared" si="191"/>
        <v>0.37649629040678456</v>
      </c>
      <c r="BD171" s="152"/>
      <c r="BE171" s="5">
        <f>BB171/'Monthly D4 Gallon Data'!AX169</f>
        <v>1.6009532268379163</v>
      </c>
    </row>
    <row r="172" spans="1:57" ht="12.75">
      <c r="A172" s="171">
        <v>45292</v>
      </c>
      <c r="B172" s="295">
        <v>181075326</v>
      </c>
      <c r="C172" s="295">
        <v>0</v>
      </c>
      <c r="D172" s="295">
        <v>60472149</v>
      </c>
      <c r="E172" s="296">
        <f t="shared" si="267"/>
        <v>241547475</v>
      </c>
      <c r="F172" s="295">
        <f t="shared" si="253"/>
        <v>377678387</v>
      </c>
      <c r="G172" s="295">
        <f t="shared" si="254"/>
        <v>41196032</v>
      </c>
      <c r="H172" s="295">
        <f t="shared" si="266"/>
        <v>0</v>
      </c>
      <c r="I172" s="296">
        <f t="shared" si="268"/>
        <v>418874419</v>
      </c>
      <c r="J172" s="295">
        <v>1334237</v>
      </c>
      <c r="K172" s="295">
        <v>0</v>
      </c>
      <c r="L172" s="296">
        <f t="shared" si="208"/>
        <v>15457005</v>
      </c>
      <c r="M172" s="295">
        <f t="shared" si="215"/>
        <v>0</v>
      </c>
      <c r="N172" s="296">
        <f t="shared" si="190"/>
        <v>0</v>
      </c>
      <c r="O172" s="296">
        <f t="shared" si="257"/>
        <v>560087950</v>
      </c>
      <c r="P172" s="296">
        <f t="shared" si="216"/>
        <v>55318800</v>
      </c>
      <c r="Q172" s="296">
        <f t="shared" si="258"/>
        <v>60472149</v>
      </c>
      <c r="R172" s="296">
        <f t="shared" si="259"/>
        <v>675878899</v>
      </c>
      <c r="S172" s="295">
        <v>0</v>
      </c>
      <c r="T172" s="295">
        <v>77405483</v>
      </c>
      <c r="U172" s="297">
        <v>300272904</v>
      </c>
      <c r="V172" s="297">
        <f t="shared" si="217"/>
        <v>377678387</v>
      </c>
      <c r="W172" s="295">
        <v>0</v>
      </c>
      <c r="X172" s="295">
        <v>0</v>
      </c>
      <c r="Y172" s="297">
        <v>41196032</v>
      </c>
      <c r="Z172" s="297">
        <f t="shared" si="218"/>
        <v>41196032</v>
      </c>
      <c r="AA172" s="295">
        <v>0</v>
      </c>
      <c r="AB172" s="295">
        <v>0</v>
      </c>
      <c r="AC172" s="295">
        <v>0</v>
      </c>
      <c r="AD172" s="297">
        <f t="shared" si="219"/>
        <v>0</v>
      </c>
      <c r="AE172" s="297">
        <v>1334237</v>
      </c>
      <c r="AF172" s="295">
        <v>0</v>
      </c>
      <c r="AG172" s="297">
        <f t="shared" si="220"/>
        <v>1334237</v>
      </c>
      <c r="AH172" s="297">
        <v>14122768</v>
      </c>
      <c r="AI172" s="297">
        <v>0</v>
      </c>
      <c r="AJ172" s="297">
        <f t="shared" si="221"/>
        <v>0</v>
      </c>
      <c r="AK172" s="297">
        <f>B172</f>
        <v>181075326</v>
      </c>
      <c r="AL172" s="297">
        <f>C172</f>
        <v>0</v>
      </c>
      <c r="AM172" s="297">
        <f>D172</f>
        <v>60472149</v>
      </c>
      <c r="AN172" s="297">
        <f t="shared" si="240"/>
        <v>241547475</v>
      </c>
      <c r="AO172" s="297">
        <f>F172</f>
        <v>377678387</v>
      </c>
      <c r="AP172" s="297">
        <f>G172</f>
        <v>41196032</v>
      </c>
      <c r="AQ172" s="297">
        <f>H172</f>
        <v>0</v>
      </c>
      <c r="AR172" s="297">
        <f t="shared" si="242"/>
        <v>418874419</v>
      </c>
      <c r="AS172" s="297">
        <f>J172</f>
        <v>1334237</v>
      </c>
      <c r="AT172" s="297">
        <f>AH172</f>
        <v>14122768</v>
      </c>
      <c r="AU172" s="297">
        <f>K172</f>
        <v>0</v>
      </c>
      <c r="AV172" s="297">
        <f t="shared" si="246"/>
        <v>15457005</v>
      </c>
      <c r="AW172" s="297">
        <f>M172</f>
        <v>0</v>
      </c>
      <c r="AX172" s="297">
        <f t="shared" si="248"/>
        <v>0</v>
      </c>
      <c r="AY172" s="297">
        <f t="shared" si="249"/>
        <v>560087950</v>
      </c>
      <c r="AZ172" s="297">
        <f t="shared" si="270"/>
        <v>55318800</v>
      </c>
      <c r="BA172" s="297">
        <f t="shared" si="270"/>
        <v>60472149</v>
      </c>
      <c r="BB172" s="297">
        <f t="shared" si="251"/>
        <v>675878899</v>
      </c>
      <c r="BC172" s="83">
        <f t="shared" si="191"/>
        <v>0.29166634846994932</v>
      </c>
      <c r="BD172" s="152"/>
      <c r="BE172" s="5">
        <f>BB172/'Monthly D4 Gallon Data'!AX170</f>
        <v>1.6094903979279556</v>
      </c>
    </row>
    <row r="173" spans="1:57" ht="12.75">
      <c r="A173" s="170">
        <v>45323</v>
      </c>
      <c r="B173" s="290">
        <v>188700908</v>
      </c>
      <c r="C173" s="290">
        <v>0</v>
      </c>
      <c r="D173" s="290">
        <v>77933499</v>
      </c>
      <c r="E173" s="291">
        <f t="shared" si="267"/>
        <v>266634407</v>
      </c>
      <c r="F173" s="290">
        <f t="shared" si="253"/>
        <v>379888923</v>
      </c>
      <c r="G173" s="290">
        <f t="shared" si="254"/>
        <v>95563499</v>
      </c>
      <c r="H173" s="290">
        <f t="shared" si="266"/>
        <v>0</v>
      </c>
      <c r="I173" s="291">
        <f t="shared" si="268"/>
        <v>475452422</v>
      </c>
      <c r="J173" s="290">
        <v>2007904</v>
      </c>
      <c r="K173" s="290">
        <v>0</v>
      </c>
      <c r="L173" s="291">
        <f t="shared" si="208"/>
        <v>2007904</v>
      </c>
      <c r="M173" s="290">
        <f t="shared" si="215"/>
        <v>157995</v>
      </c>
      <c r="N173" s="291">
        <f t="shared" si="190"/>
        <v>157995</v>
      </c>
      <c r="O173" s="291">
        <f t="shared" si="257"/>
        <v>570755730</v>
      </c>
      <c r="P173" s="291">
        <f t="shared" si="216"/>
        <v>95563499</v>
      </c>
      <c r="Q173" s="291">
        <f t="shared" si="258"/>
        <v>77933499</v>
      </c>
      <c r="R173" s="291">
        <f t="shared" si="259"/>
        <v>744252728</v>
      </c>
      <c r="S173" s="290">
        <v>0</v>
      </c>
      <c r="T173" s="290">
        <v>72744639</v>
      </c>
      <c r="U173" s="292">
        <v>307144284</v>
      </c>
      <c r="V173" s="292">
        <f t="shared" si="217"/>
        <v>379888923</v>
      </c>
      <c r="W173" s="290">
        <v>0</v>
      </c>
      <c r="X173" s="290">
        <v>0</v>
      </c>
      <c r="Y173" s="292">
        <v>95563499</v>
      </c>
      <c r="Z173" s="292">
        <f t="shared" si="218"/>
        <v>95563499</v>
      </c>
      <c r="AA173" s="290">
        <v>0</v>
      </c>
      <c r="AB173" s="290">
        <v>0</v>
      </c>
      <c r="AC173" s="290">
        <v>0</v>
      </c>
      <c r="AD173" s="292">
        <f t="shared" si="219"/>
        <v>0</v>
      </c>
      <c r="AE173" s="292">
        <v>2007904</v>
      </c>
      <c r="AF173" s="290">
        <v>0</v>
      </c>
      <c r="AG173" s="292">
        <f t="shared" si="220"/>
        <v>2007904</v>
      </c>
      <c r="AH173" s="292">
        <v>0</v>
      </c>
      <c r="AI173" s="292">
        <v>157995</v>
      </c>
      <c r="AJ173" s="292">
        <f t="shared" si="221"/>
        <v>157995</v>
      </c>
      <c r="AK173" s="292">
        <f t="shared" ref="AK173:AM183" si="271">AK172+B173</f>
        <v>369776234</v>
      </c>
      <c r="AL173" s="292">
        <f t="shared" si="271"/>
        <v>0</v>
      </c>
      <c r="AM173" s="292">
        <f t="shared" si="271"/>
        <v>138405648</v>
      </c>
      <c r="AN173" s="292">
        <f t="shared" si="240"/>
        <v>508181882</v>
      </c>
      <c r="AO173" s="292">
        <f t="shared" ref="AO173:AQ183" si="272">AO172+F173</f>
        <v>757567310</v>
      </c>
      <c r="AP173" s="292">
        <f t="shared" si="272"/>
        <v>136759531</v>
      </c>
      <c r="AQ173" s="292">
        <f t="shared" si="272"/>
        <v>0</v>
      </c>
      <c r="AR173" s="292">
        <f t="shared" si="242"/>
        <v>894326841</v>
      </c>
      <c r="AS173" s="292">
        <f t="shared" ref="AS173:AS183" si="273">AS172+J173</f>
        <v>3342141</v>
      </c>
      <c r="AT173" s="292">
        <f t="shared" ref="AT173:AT183" si="274">AT172+AH173</f>
        <v>14122768</v>
      </c>
      <c r="AU173" s="292">
        <f t="shared" ref="AU173:AU183" si="275">AU172+K173</f>
        <v>0</v>
      </c>
      <c r="AV173" s="292">
        <f t="shared" si="246"/>
        <v>17464909</v>
      </c>
      <c r="AW173" s="292">
        <f t="shared" ref="AW173:AW183" si="276">AW172+M173</f>
        <v>157995</v>
      </c>
      <c r="AX173" s="292">
        <f t="shared" si="248"/>
        <v>157995</v>
      </c>
      <c r="AY173" s="292">
        <f t="shared" si="249"/>
        <v>1130843680</v>
      </c>
      <c r="AZ173" s="292">
        <f t="shared" si="270"/>
        <v>150882299</v>
      </c>
      <c r="BA173" s="292">
        <f t="shared" si="270"/>
        <v>138405648</v>
      </c>
      <c r="BB173" s="292">
        <f t="shared" si="251"/>
        <v>1420131627</v>
      </c>
      <c r="BC173" s="83">
        <f t="shared" si="191"/>
        <v>0.36336741956623619</v>
      </c>
      <c r="BD173" s="152"/>
      <c r="BE173" s="5">
        <f>BB173/'Monthly D4 Gallon Data'!AX171</f>
        <v>1.6112331002177955</v>
      </c>
    </row>
    <row r="174" spans="1:57" ht="12.75">
      <c r="A174" s="170">
        <v>45352</v>
      </c>
      <c r="B174" s="290">
        <v>200229907</v>
      </c>
      <c r="C174" s="290">
        <v>0</v>
      </c>
      <c r="D174" s="290">
        <v>44836291</v>
      </c>
      <c r="E174" s="291">
        <f t="shared" si="267"/>
        <v>245066198</v>
      </c>
      <c r="F174" s="290">
        <f t="shared" si="253"/>
        <v>352411877</v>
      </c>
      <c r="G174" s="290">
        <f t="shared" si="254"/>
        <v>45276974</v>
      </c>
      <c r="H174" s="290">
        <f t="shared" si="266"/>
        <v>0</v>
      </c>
      <c r="I174" s="291">
        <f t="shared" si="268"/>
        <v>397688851</v>
      </c>
      <c r="J174" s="290">
        <f t="shared" ref="J174:J186" si="277">AG174</f>
        <v>3390815</v>
      </c>
      <c r="K174" s="290">
        <v>0</v>
      </c>
      <c r="L174" s="291">
        <f t="shared" si="208"/>
        <v>12452319</v>
      </c>
      <c r="M174" s="290">
        <f t="shared" si="215"/>
        <v>0</v>
      </c>
      <c r="N174" s="291">
        <f t="shared" si="190"/>
        <v>0</v>
      </c>
      <c r="O174" s="291">
        <f t="shared" si="257"/>
        <v>556032599</v>
      </c>
      <c r="P174" s="291">
        <f t="shared" si="216"/>
        <v>54338478</v>
      </c>
      <c r="Q174" s="291">
        <f t="shared" si="258"/>
        <v>44836291</v>
      </c>
      <c r="R174" s="291">
        <f t="shared" si="259"/>
        <v>655207368</v>
      </c>
      <c r="S174" s="290">
        <v>0</v>
      </c>
      <c r="T174" s="290">
        <v>72115811</v>
      </c>
      <c r="U174" s="292">
        <v>280296066</v>
      </c>
      <c r="V174" s="292">
        <f t="shared" si="217"/>
        <v>352411877</v>
      </c>
      <c r="W174" s="290">
        <v>0</v>
      </c>
      <c r="X174" s="290">
        <v>0</v>
      </c>
      <c r="Y174" s="292">
        <v>45276974</v>
      </c>
      <c r="Z174" s="292">
        <f t="shared" si="218"/>
        <v>45276974</v>
      </c>
      <c r="AA174" s="290">
        <v>0</v>
      </c>
      <c r="AB174" s="290">
        <v>0</v>
      </c>
      <c r="AC174" s="290">
        <v>0</v>
      </c>
      <c r="AD174" s="292">
        <f t="shared" si="219"/>
        <v>0</v>
      </c>
      <c r="AE174" s="292">
        <v>3390815</v>
      </c>
      <c r="AF174" s="290">
        <v>0</v>
      </c>
      <c r="AG174" s="292">
        <f t="shared" si="220"/>
        <v>3390815</v>
      </c>
      <c r="AH174" s="292">
        <v>9061504</v>
      </c>
      <c r="AI174" s="292">
        <v>0</v>
      </c>
      <c r="AJ174" s="292">
        <f t="shared" si="221"/>
        <v>0</v>
      </c>
      <c r="AK174" s="292">
        <f t="shared" si="271"/>
        <v>570006141</v>
      </c>
      <c r="AL174" s="292">
        <f t="shared" si="271"/>
        <v>0</v>
      </c>
      <c r="AM174" s="292">
        <f t="shared" si="271"/>
        <v>183241939</v>
      </c>
      <c r="AN174" s="292">
        <f t="shared" si="240"/>
        <v>753248080</v>
      </c>
      <c r="AO174" s="292">
        <f t="shared" si="272"/>
        <v>1109979187</v>
      </c>
      <c r="AP174" s="292">
        <f t="shared" si="272"/>
        <v>182036505</v>
      </c>
      <c r="AQ174" s="292">
        <f t="shared" si="272"/>
        <v>0</v>
      </c>
      <c r="AR174" s="292">
        <f t="shared" si="242"/>
        <v>1292015692</v>
      </c>
      <c r="AS174" s="292">
        <f t="shared" si="273"/>
        <v>6732956</v>
      </c>
      <c r="AT174" s="292">
        <f t="shared" si="274"/>
        <v>23184272</v>
      </c>
      <c r="AU174" s="292">
        <f t="shared" si="275"/>
        <v>0</v>
      </c>
      <c r="AV174" s="292">
        <f t="shared" si="246"/>
        <v>29917228</v>
      </c>
      <c r="AW174" s="292">
        <f t="shared" si="276"/>
        <v>157995</v>
      </c>
      <c r="AX174" s="292">
        <f t="shared" si="248"/>
        <v>157995</v>
      </c>
      <c r="AY174" s="292">
        <f t="shared" si="249"/>
        <v>1686876279</v>
      </c>
      <c r="AZ174" s="292">
        <f t="shared" si="270"/>
        <v>205220777</v>
      </c>
      <c r="BA174" s="292">
        <f t="shared" si="270"/>
        <v>183241939</v>
      </c>
      <c r="BB174" s="292">
        <f t="shared" si="251"/>
        <v>2075338995</v>
      </c>
      <c r="BC174" s="83">
        <f t="shared" si="191"/>
        <v>0.24862075363344727</v>
      </c>
      <c r="BD174" s="152"/>
      <c r="BE174" s="5">
        <f>BB174/'Monthly D4 Gallon Data'!AX172</f>
        <v>1.6098647379331679</v>
      </c>
    </row>
    <row r="175" spans="1:57" ht="12.75">
      <c r="A175" s="170">
        <v>45383</v>
      </c>
      <c r="B175" s="290">
        <v>202550517</v>
      </c>
      <c r="C175" s="290">
        <v>0</v>
      </c>
      <c r="D175" s="290">
        <v>72435557</v>
      </c>
      <c r="E175" s="291">
        <f t="shared" si="267"/>
        <v>274986074</v>
      </c>
      <c r="F175" s="290">
        <f t="shared" si="253"/>
        <v>469256845</v>
      </c>
      <c r="G175" s="290">
        <f t="shared" si="254"/>
        <v>46967029</v>
      </c>
      <c r="H175" s="290">
        <f t="shared" si="266"/>
        <v>0</v>
      </c>
      <c r="I175" s="291">
        <f t="shared" si="268"/>
        <v>516223874</v>
      </c>
      <c r="J175" s="290">
        <f t="shared" si="277"/>
        <v>4388923</v>
      </c>
      <c r="K175" s="290">
        <v>0</v>
      </c>
      <c r="L175" s="291">
        <f t="shared" si="208"/>
        <v>13445184</v>
      </c>
      <c r="M175" s="290">
        <f t="shared" si="215"/>
        <v>0</v>
      </c>
      <c r="N175" s="291">
        <f t="shared" si="190"/>
        <v>0</v>
      </c>
      <c r="O175" s="291">
        <f t="shared" si="257"/>
        <v>676196285</v>
      </c>
      <c r="P175" s="291">
        <f t="shared" si="216"/>
        <v>56023290</v>
      </c>
      <c r="Q175" s="291">
        <f t="shared" si="258"/>
        <v>72435557</v>
      </c>
      <c r="R175" s="291">
        <f t="shared" si="259"/>
        <v>804655132</v>
      </c>
      <c r="S175" s="290">
        <v>0</v>
      </c>
      <c r="T175" s="290">
        <v>83960460</v>
      </c>
      <c r="U175" s="292">
        <v>385296385</v>
      </c>
      <c r="V175" s="292">
        <f t="shared" si="217"/>
        <v>469256845</v>
      </c>
      <c r="W175" s="290">
        <v>0</v>
      </c>
      <c r="X175" s="290">
        <v>0</v>
      </c>
      <c r="Y175" s="292">
        <v>46967029</v>
      </c>
      <c r="Z175" s="292">
        <f t="shared" si="218"/>
        <v>46967029</v>
      </c>
      <c r="AA175" s="290">
        <v>0</v>
      </c>
      <c r="AB175" s="290">
        <v>0</v>
      </c>
      <c r="AC175" s="290">
        <v>0</v>
      </c>
      <c r="AD175" s="292">
        <f t="shared" si="219"/>
        <v>0</v>
      </c>
      <c r="AE175" s="292">
        <v>4388923</v>
      </c>
      <c r="AF175" s="290">
        <v>0</v>
      </c>
      <c r="AG175" s="292">
        <f t="shared" si="220"/>
        <v>4388923</v>
      </c>
      <c r="AH175" s="292">
        <v>9056261</v>
      </c>
      <c r="AI175" s="292">
        <v>0</v>
      </c>
      <c r="AJ175" s="292">
        <f t="shared" si="221"/>
        <v>0</v>
      </c>
      <c r="AK175" s="292">
        <f t="shared" si="271"/>
        <v>772556658</v>
      </c>
      <c r="AL175" s="292">
        <f t="shared" si="271"/>
        <v>0</v>
      </c>
      <c r="AM175" s="292">
        <f t="shared" si="271"/>
        <v>255677496</v>
      </c>
      <c r="AN175" s="292">
        <f t="shared" si="240"/>
        <v>1028234154</v>
      </c>
      <c r="AO175" s="292">
        <f t="shared" si="272"/>
        <v>1579236032</v>
      </c>
      <c r="AP175" s="292">
        <f t="shared" si="272"/>
        <v>229003534</v>
      </c>
      <c r="AQ175" s="292">
        <f t="shared" si="272"/>
        <v>0</v>
      </c>
      <c r="AR175" s="292">
        <f t="shared" si="242"/>
        <v>1808239566</v>
      </c>
      <c r="AS175" s="292">
        <f t="shared" si="273"/>
        <v>11121879</v>
      </c>
      <c r="AT175" s="292">
        <f t="shared" si="274"/>
        <v>32240533</v>
      </c>
      <c r="AU175" s="292">
        <f t="shared" si="275"/>
        <v>0</v>
      </c>
      <c r="AV175" s="292">
        <f t="shared" si="246"/>
        <v>43362412</v>
      </c>
      <c r="AW175" s="292">
        <f t="shared" si="276"/>
        <v>157995</v>
      </c>
      <c r="AX175" s="292">
        <f t="shared" si="248"/>
        <v>157995</v>
      </c>
      <c r="AY175" s="292">
        <f t="shared" si="249"/>
        <v>2363072564</v>
      </c>
      <c r="AZ175" s="292">
        <f t="shared" si="270"/>
        <v>261244067</v>
      </c>
      <c r="BA175" s="292">
        <f t="shared" si="270"/>
        <v>255677496</v>
      </c>
      <c r="BB175" s="292">
        <f t="shared" si="251"/>
        <v>2879994127</v>
      </c>
      <c r="BC175" s="83">
        <f t="shared" si="191"/>
        <v>0.27115879275326282</v>
      </c>
      <c r="BD175" s="152"/>
      <c r="BE175" s="5">
        <f>BB175/'Monthly D4 Gallon Data'!AX173</f>
        <v>1.611084463054681</v>
      </c>
    </row>
    <row r="176" spans="1:57" ht="12.75">
      <c r="A176" s="170">
        <v>45413</v>
      </c>
      <c r="B176" s="290">
        <v>213125771</v>
      </c>
      <c r="C176" s="290">
        <v>0</v>
      </c>
      <c r="D176" s="290">
        <v>53177161</v>
      </c>
      <c r="E176" s="291">
        <f t="shared" si="267"/>
        <v>266302932</v>
      </c>
      <c r="F176" s="290">
        <f t="shared" si="253"/>
        <v>372056649</v>
      </c>
      <c r="G176" s="290">
        <f t="shared" si="254"/>
        <v>50457214</v>
      </c>
      <c r="H176" s="290">
        <f t="shared" si="266"/>
        <v>0</v>
      </c>
      <c r="I176" s="291">
        <f t="shared" si="268"/>
        <v>422513863</v>
      </c>
      <c r="J176" s="290">
        <f t="shared" si="277"/>
        <v>5225945</v>
      </c>
      <c r="K176" s="290">
        <v>0</v>
      </c>
      <c r="L176" s="291">
        <f t="shared" si="208"/>
        <v>28888796</v>
      </c>
      <c r="M176" s="290">
        <f t="shared" si="215"/>
        <v>0</v>
      </c>
      <c r="N176" s="291">
        <f t="shared" si="190"/>
        <v>0</v>
      </c>
      <c r="O176" s="291">
        <f t="shared" si="257"/>
        <v>590408365</v>
      </c>
      <c r="P176" s="291">
        <f t="shared" si="216"/>
        <v>74120065</v>
      </c>
      <c r="Q176" s="291">
        <f t="shared" si="258"/>
        <v>53177161</v>
      </c>
      <c r="R176" s="291">
        <f t="shared" si="259"/>
        <v>717705591</v>
      </c>
      <c r="S176" s="290">
        <v>0</v>
      </c>
      <c r="T176" s="290">
        <v>3216527</v>
      </c>
      <c r="U176" s="292">
        <v>368840122</v>
      </c>
      <c r="V176" s="292">
        <f t="shared" si="217"/>
        <v>372056649</v>
      </c>
      <c r="W176" s="290">
        <v>0</v>
      </c>
      <c r="X176" s="290">
        <v>0</v>
      </c>
      <c r="Y176" s="292">
        <v>50457214</v>
      </c>
      <c r="Z176" s="292">
        <f t="shared" si="218"/>
        <v>50457214</v>
      </c>
      <c r="AA176" s="290">
        <v>0</v>
      </c>
      <c r="AB176" s="290">
        <v>0</v>
      </c>
      <c r="AC176" s="290">
        <v>0</v>
      </c>
      <c r="AD176" s="292">
        <f t="shared" si="219"/>
        <v>0</v>
      </c>
      <c r="AE176" s="292">
        <v>5225945</v>
      </c>
      <c r="AF176" s="290">
        <v>0</v>
      </c>
      <c r="AG176" s="292">
        <f t="shared" si="220"/>
        <v>5225945</v>
      </c>
      <c r="AH176" s="292">
        <v>23662851</v>
      </c>
      <c r="AI176" s="292">
        <v>0</v>
      </c>
      <c r="AJ176" s="292">
        <f t="shared" si="221"/>
        <v>0</v>
      </c>
      <c r="AK176" s="292">
        <f t="shared" si="271"/>
        <v>985682429</v>
      </c>
      <c r="AL176" s="292">
        <f t="shared" si="271"/>
        <v>0</v>
      </c>
      <c r="AM176" s="292">
        <f t="shared" si="271"/>
        <v>308854657</v>
      </c>
      <c r="AN176" s="292">
        <f t="shared" si="240"/>
        <v>1294537086</v>
      </c>
      <c r="AO176" s="292">
        <f t="shared" si="272"/>
        <v>1951292681</v>
      </c>
      <c r="AP176" s="292">
        <f t="shared" si="272"/>
        <v>279460748</v>
      </c>
      <c r="AQ176" s="292">
        <f t="shared" si="272"/>
        <v>0</v>
      </c>
      <c r="AR176" s="292">
        <f t="shared" si="242"/>
        <v>2230753429</v>
      </c>
      <c r="AS176" s="292">
        <f t="shared" si="273"/>
        <v>16347824</v>
      </c>
      <c r="AT176" s="292">
        <f t="shared" si="274"/>
        <v>55903384</v>
      </c>
      <c r="AU176" s="292">
        <f t="shared" si="275"/>
        <v>0</v>
      </c>
      <c r="AV176" s="292">
        <f t="shared" si="246"/>
        <v>72251208</v>
      </c>
      <c r="AW176" s="292">
        <f t="shared" si="276"/>
        <v>157995</v>
      </c>
      <c r="AX176" s="292">
        <f t="shared" si="248"/>
        <v>157995</v>
      </c>
      <c r="AY176" s="292">
        <f t="shared" si="249"/>
        <v>2953480929</v>
      </c>
      <c r="AZ176" s="292">
        <f t="shared" si="270"/>
        <v>335364132</v>
      </c>
      <c r="BA176" s="292">
        <f t="shared" si="270"/>
        <v>308854657</v>
      </c>
      <c r="BB176" s="292">
        <f t="shared" si="251"/>
        <v>3597699718</v>
      </c>
      <c r="BC176" s="83">
        <f t="shared" si="191"/>
        <v>0.19260255240521928</v>
      </c>
      <c r="BD176" s="152"/>
      <c r="BE176" s="5"/>
    </row>
    <row r="177" spans="1:57" ht="12.75">
      <c r="A177" s="170">
        <v>45444</v>
      </c>
      <c r="B177" s="290">
        <v>199396922</v>
      </c>
      <c r="C177" s="290">
        <v>0</v>
      </c>
      <c r="D177" s="290">
        <v>56270405</v>
      </c>
      <c r="E177" s="291">
        <f t="shared" si="267"/>
        <v>255667327</v>
      </c>
      <c r="F177" s="290">
        <f t="shared" si="253"/>
        <v>465488569</v>
      </c>
      <c r="G177" s="290">
        <f t="shared" si="254"/>
        <v>96000988</v>
      </c>
      <c r="H177" s="290">
        <f t="shared" si="266"/>
        <v>0</v>
      </c>
      <c r="I177" s="291">
        <f t="shared" si="268"/>
        <v>561489557</v>
      </c>
      <c r="J177" s="290">
        <f t="shared" si="277"/>
        <v>4797776</v>
      </c>
      <c r="K177" s="290">
        <v>0</v>
      </c>
      <c r="L177" s="291">
        <f t="shared" si="208"/>
        <v>10030819</v>
      </c>
      <c r="M177" s="290">
        <f t="shared" si="215"/>
        <v>0</v>
      </c>
      <c r="N177" s="291">
        <f t="shared" si="190"/>
        <v>0</v>
      </c>
      <c r="O177" s="291">
        <f t="shared" si="257"/>
        <v>669683267</v>
      </c>
      <c r="P177" s="291">
        <f t="shared" si="216"/>
        <v>101234031</v>
      </c>
      <c r="Q177" s="291">
        <f t="shared" si="258"/>
        <v>56270405</v>
      </c>
      <c r="R177" s="291">
        <f t="shared" si="259"/>
        <v>827187703</v>
      </c>
      <c r="S177" s="290">
        <v>0</v>
      </c>
      <c r="T177" s="290">
        <v>70257935</v>
      </c>
      <c r="U177" s="292">
        <v>395230634</v>
      </c>
      <c r="V177" s="292">
        <f t="shared" si="217"/>
        <v>465488569</v>
      </c>
      <c r="W177" s="290">
        <v>0</v>
      </c>
      <c r="X177" s="290">
        <v>0</v>
      </c>
      <c r="Y177" s="292">
        <v>96000988</v>
      </c>
      <c r="Z177" s="292">
        <f t="shared" si="218"/>
        <v>96000988</v>
      </c>
      <c r="AA177" s="290">
        <v>0</v>
      </c>
      <c r="AB177" s="290">
        <v>0</v>
      </c>
      <c r="AC177" s="290">
        <v>0</v>
      </c>
      <c r="AD177" s="292">
        <f t="shared" si="219"/>
        <v>0</v>
      </c>
      <c r="AE177" s="292">
        <v>4797776</v>
      </c>
      <c r="AF177" s="290">
        <v>0</v>
      </c>
      <c r="AG177" s="292">
        <f t="shared" si="220"/>
        <v>4797776</v>
      </c>
      <c r="AH177" s="292">
        <v>5233043</v>
      </c>
      <c r="AI177" s="292">
        <v>0</v>
      </c>
      <c r="AJ177" s="292">
        <f t="shared" si="221"/>
        <v>0</v>
      </c>
      <c r="AK177" s="292">
        <f t="shared" si="271"/>
        <v>1185079351</v>
      </c>
      <c r="AL177" s="292">
        <f t="shared" si="271"/>
        <v>0</v>
      </c>
      <c r="AM177" s="292">
        <f t="shared" si="271"/>
        <v>365125062</v>
      </c>
      <c r="AN177" s="292">
        <f t="shared" si="240"/>
        <v>1550204413</v>
      </c>
      <c r="AO177" s="292">
        <f t="shared" si="272"/>
        <v>2416781250</v>
      </c>
      <c r="AP177" s="292">
        <f t="shared" si="272"/>
        <v>375461736</v>
      </c>
      <c r="AQ177" s="292">
        <f t="shared" si="272"/>
        <v>0</v>
      </c>
      <c r="AR177" s="292">
        <f t="shared" si="242"/>
        <v>2792242986</v>
      </c>
      <c r="AS177" s="292">
        <f t="shared" si="273"/>
        <v>21145600</v>
      </c>
      <c r="AT177" s="292">
        <f t="shared" si="274"/>
        <v>61136427</v>
      </c>
      <c r="AU177" s="292">
        <f t="shared" si="275"/>
        <v>0</v>
      </c>
      <c r="AV177" s="292">
        <f t="shared" si="246"/>
        <v>82282027</v>
      </c>
      <c r="AW177" s="292">
        <f t="shared" si="276"/>
        <v>157995</v>
      </c>
      <c r="AX177" s="292">
        <f t="shared" si="248"/>
        <v>157995</v>
      </c>
      <c r="AY177" s="292">
        <f t="shared" si="249"/>
        <v>3623164196</v>
      </c>
      <c r="AZ177" s="292">
        <f t="shared" si="270"/>
        <v>436598163</v>
      </c>
      <c r="BA177" s="292">
        <f t="shared" si="270"/>
        <v>365125062</v>
      </c>
      <c r="BB177" s="292">
        <f t="shared" si="251"/>
        <v>4424887421</v>
      </c>
      <c r="BC177" s="83">
        <f t="shared" si="191"/>
        <v>0.19711980812723762</v>
      </c>
    </row>
    <row r="178" spans="1:57" ht="12.75">
      <c r="A178" s="170">
        <v>45474</v>
      </c>
      <c r="B178" s="290">
        <v>217430878</v>
      </c>
      <c r="C178" s="290">
        <v>0</v>
      </c>
      <c r="D178" s="290">
        <v>33689886</v>
      </c>
      <c r="E178" s="291">
        <f t="shared" si="267"/>
        <v>251120764</v>
      </c>
      <c r="F178" s="290">
        <f t="shared" si="253"/>
        <v>480321507</v>
      </c>
      <c r="G178" s="290">
        <f t="shared" si="254"/>
        <v>37477648</v>
      </c>
      <c r="H178" s="290">
        <f t="shared" si="266"/>
        <v>42802473</v>
      </c>
      <c r="I178" s="291">
        <f t="shared" ref="I178" si="278">SUM(F178:H178)</f>
        <v>560601628</v>
      </c>
      <c r="J178" s="290">
        <f t="shared" si="277"/>
        <v>5211020</v>
      </c>
      <c r="K178" s="290">
        <v>0</v>
      </c>
      <c r="L178" s="291">
        <f t="shared" si="208"/>
        <v>16310935</v>
      </c>
      <c r="M178" s="290">
        <f t="shared" si="215"/>
        <v>0</v>
      </c>
      <c r="N178" s="291">
        <f t="shared" si="190"/>
        <v>0</v>
      </c>
      <c r="O178" s="291">
        <f t="shared" si="257"/>
        <v>702963405</v>
      </c>
      <c r="P178" s="291">
        <f t="shared" si="216"/>
        <v>48577563</v>
      </c>
      <c r="Q178" s="291">
        <f t="shared" si="258"/>
        <v>76492359</v>
      </c>
      <c r="R178" s="291">
        <f t="shared" si="259"/>
        <v>828033327</v>
      </c>
      <c r="S178" s="290">
        <v>0</v>
      </c>
      <c r="T178" s="290">
        <v>85884199</v>
      </c>
      <c r="U178" s="292">
        <v>394437308</v>
      </c>
      <c r="V178" s="292">
        <f t="shared" si="217"/>
        <v>480321507</v>
      </c>
      <c r="W178" s="290">
        <v>0</v>
      </c>
      <c r="X178" s="290">
        <v>0</v>
      </c>
      <c r="Y178" s="292">
        <v>37477648</v>
      </c>
      <c r="Z178" s="292">
        <f t="shared" si="218"/>
        <v>37477648</v>
      </c>
      <c r="AA178" s="290">
        <v>0</v>
      </c>
      <c r="AB178" s="290">
        <v>0</v>
      </c>
      <c r="AC178" s="292">
        <v>42802473</v>
      </c>
      <c r="AD178" s="292">
        <f t="shared" si="219"/>
        <v>42802473</v>
      </c>
      <c r="AE178" s="292">
        <v>5211020</v>
      </c>
      <c r="AF178" s="290">
        <v>0</v>
      </c>
      <c r="AG178" s="292">
        <f t="shared" si="220"/>
        <v>5211020</v>
      </c>
      <c r="AH178" s="292">
        <v>11099915</v>
      </c>
      <c r="AI178" s="292">
        <v>0</v>
      </c>
      <c r="AJ178" s="292">
        <f t="shared" si="221"/>
        <v>0</v>
      </c>
      <c r="AK178" s="292">
        <f t="shared" si="271"/>
        <v>1402510229</v>
      </c>
      <c r="AL178" s="292">
        <f t="shared" si="271"/>
        <v>0</v>
      </c>
      <c r="AM178" s="292">
        <f t="shared" si="271"/>
        <v>398814948</v>
      </c>
      <c r="AN178" s="292">
        <f t="shared" si="240"/>
        <v>1801325177</v>
      </c>
      <c r="AO178" s="292">
        <f t="shared" si="272"/>
        <v>2897102757</v>
      </c>
      <c r="AP178" s="292">
        <f t="shared" si="272"/>
        <v>412939384</v>
      </c>
      <c r="AQ178" s="292">
        <f t="shared" si="272"/>
        <v>42802473</v>
      </c>
      <c r="AR178" s="292">
        <f t="shared" si="242"/>
        <v>3352844614</v>
      </c>
      <c r="AS178" s="292">
        <f t="shared" si="273"/>
        <v>26356620</v>
      </c>
      <c r="AT178" s="292">
        <f t="shared" si="274"/>
        <v>72236342</v>
      </c>
      <c r="AU178" s="292">
        <f t="shared" si="275"/>
        <v>0</v>
      </c>
      <c r="AV178" s="292">
        <f t="shared" si="246"/>
        <v>98592962</v>
      </c>
      <c r="AW178" s="292">
        <f t="shared" si="276"/>
        <v>157995</v>
      </c>
      <c r="AX178" s="292">
        <f t="shared" si="248"/>
        <v>157995</v>
      </c>
      <c r="AY178" s="292">
        <f t="shared" si="249"/>
        <v>4326127601</v>
      </c>
      <c r="AZ178" s="292">
        <f t="shared" si="270"/>
        <v>485175726</v>
      </c>
      <c r="BA178" s="292">
        <f t="shared" si="270"/>
        <v>441617421</v>
      </c>
      <c r="BB178" s="292">
        <f t="shared" si="251"/>
        <v>5252920748</v>
      </c>
      <c r="BC178" s="83">
        <f t="shared" si="191"/>
        <v>0.21254370826084523</v>
      </c>
    </row>
    <row r="179" spans="1:57" ht="12.75">
      <c r="A179" s="170">
        <v>45505</v>
      </c>
      <c r="B179" s="290">
        <v>207484540</v>
      </c>
      <c r="C179" s="290">
        <v>0</v>
      </c>
      <c r="D179" s="290">
        <v>36745725</v>
      </c>
      <c r="E179" s="291">
        <f t="shared" si="267"/>
        <v>244230265</v>
      </c>
      <c r="F179" s="290">
        <f t="shared" si="253"/>
        <v>422948349</v>
      </c>
      <c r="G179" s="290">
        <f t="shared" si="254"/>
        <v>39060624</v>
      </c>
      <c r="H179" s="290">
        <f t="shared" si="266"/>
        <v>0</v>
      </c>
      <c r="I179" s="291">
        <f t="shared" ref="I179:I182" si="279">SUM(F179:H179)</f>
        <v>462008973</v>
      </c>
      <c r="J179" s="290">
        <f t="shared" si="277"/>
        <v>6442857</v>
      </c>
      <c r="K179" s="290">
        <v>0</v>
      </c>
      <c r="L179" s="291">
        <f t="shared" si="208"/>
        <v>17629954</v>
      </c>
      <c r="M179" s="290">
        <f t="shared" si="215"/>
        <v>0</v>
      </c>
      <c r="N179" s="291">
        <f t="shared" ref="N179:N186" si="280">SUM(M179)</f>
        <v>0</v>
      </c>
      <c r="O179" s="291">
        <f t="shared" si="257"/>
        <v>636875746</v>
      </c>
      <c r="P179" s="291">
        <f t="shared" si="216"/>
        <v>50247721</v>
      </c>
      <c r="Q179" s="291">
        <f t="shared" si="258"/>
        <v>36745725</v>
      </c>
      <c r="R179" s="291">
        <f t="shared" si="259"/>
        <v>723869192</v>
      </c>
      <c r="S179" s="290">
        <v>0</v>
      </c>
      <c r="T179" s="290">
        <v>77059418</v>
      </c>
      <c r="U179" s="292">
        <v>345888931</v>
      </c>
      <c r="V179" s="292">
        <f t="shared" si="217"/>
        <v>422948349</v>
      </c>
      <c r="W179" s="290">
        <v>0</v>
      </c>
      <c r="X179" s="290">
        <v>0</v>
      </c>
      <c r="Y179" s="292">
        <v>39060624</v>
      </c>
      <c r="Z179" s="292">
        <f t="shared" si="218"/>
        <v>39060624</v>
      </c>
      <c r="AA179" s="290">
        <v>0</v>
      </c>
      <c r="AB179" s="290">
        <v>0</v>
      </c>
      <c r="AC179" s="292">
        <v>0</v>
      </c>
      <c r="AD179" s="292">
        <f t="shared" si="219"/>
        <v>0</v>
      </c>
      <c r="AE179" s="292">
        <v>6442857</v>
      </c>
      <c r="AF179" s="290">
        <v>0</v>
      </c>
      <c r="AG179" s="292">
        <f t="shared" si="220"/>
        <v>6442857</v>
      </c>
      <c r="AH179" s="292">
        <v>11187097</v>
      </c>
      <c r="AI179" s="292">
        <v>0</v>
      </c>
      <c r="AJ179" s="292">
        <f t="shared" si="221"/>
        <v>0</v>
      </c>
      <c r="AK179" s="292">
        <f t="shared" si="271"/>
        <v>1609994769</v>
      </c>
      <c r="AL179" s="292">
        <f t="shared" si="271"/>
        <v>0</v>
      </c>
      <c r="AM179" s="292">
        <f t="shared" si="271"/>
        <v>435560673</v>
      </c>
      <c r="AN179" s="292">
        <f t="shared" si="240"/>
        <v>2045555442</v>
      </c>
      <c r="AO179" s="292">
        <f t="shared" si="272"/>
        <v>3320051106</v>
      </c>
      <c r="AP179" s="292">
        <f t="shared" si="272"/>
        <v>452000008</v>
      </c>
      <c r="AQ179" s="292">
        <f t="shared" si="272"/>
        <v>42802473</v>
      </c>
      <c r="AR179" s="292">
        <f t="shared" si="242"/>
        <v>3814853587</v>
      </c>
      <c r="AS179" s="292">
        <f t="shared" si="273"/>
        <v>32799477</v>
      </c>
      <c r="AT179" s="292">
        <f t="shared" si="274"/>
        <v>83423439</v>
      </c>
      <c r="AU179" s="292">
        <f t="shared" si="275"/>
        <v>0</v>
      </c>
      <c r="AV179" s="292">
        <f t="shared" si="246"/>
        <v>116222916</v>
      </c>
      <c r="AW179" s="292">
        <f t="shared" si="276"/>
        <v>157995</v>
      </c>
      <c r="AX179" s="292">
        <f t="shared" si="248"/>
        <v>157995</v>
      </c>
      <c r="AY179" s="292">
        <f t="shared" si="249"/>
        <v>4963003347</v>
      </c>
      <c r="AZ179" s="292">
        <f t="shared" si="270"/>
        <v>535423447</v>
      </c>
      <c r="BA179" s="292">
        <f t="shared" si="270"/>
        <v>478363146</v>
      </c>
      <c r="BB179" s="292">
        <f t="shared" si="251"/>
        <v>5976789940</v>
      </c>
      <c r="BC179" s="83">
        <f t="shared" si="191"/>
        <v>0.18694604393841985</v>
      </c>
    </row>
    <row r="180" spans="1:57" ht="12.75">
      <c r="A180" s="170">
        <v>45536</v>
      </c>
      <c r="B180" s="290">
        <v>198325165</v>
      </c>
      <c r="C180" s="290">
        <v>0</v>
      </c>
      <c r="D180" s="290">
        <v>39972140</v>
      </c>
      <c r="E180" s="291">
        <f t="shared" si="267"/>
        <v>238297305</v>
      </c>
      <c r="F180" s="290">
        <f t="shared" si="253"/>
        <v>423438938</v>
      </c>
      <c r="G180" s="290">
        <f t="shared" si="254"/>
        <v>31025527</v>
      </c>
      <c r="H180" s="290">
        <f t="shared" si="266"/>
        <v>41744015</v>
      </c>
      <c r="I180" s="291">
        <f t="shared" si="279"/>
        <v>496208480</v>
      </c>
      <c r="J180" s="290">
        <f t="shared" si="277"/>
        <v>14782136</v>
      </c>
      <c r="K180" s="290">
        <v>0</v>
      </c>
      <c r="L180" s="291">
        <f t="shared" si="208"/>
        <v>33112209</v>
      </c>
      <c r="M180" s="290">
        <f t="shared" si="215"/>
        <v>0</v>
      </c>
      <c r="N180" s="291">
        <f t="shared" si="280"/>
        <v>0</v>
      </c>
      <c r="O180" s="291">
        <f t="shared" si="257"/>
        <v>636546239</v>
      </c>
      <c r="P180" s="291">
        <f t="shared" si="216"/>
        <v>49355600</v>
      </c>
      <c r="Q180" s="291">
        <f t="shared" si="258"/>
        <v>81716155</v>
      </c>
      <c r="R180" s="291">
        <f t="shared" si="259"/>
        <v>767617994</v>
      </c>
      <c r="S180" s="290">
        <v>0</v>
      </c>
      <c r="T180" s="290">
        <v>55355811</v>
      </c>
      <c r="U180" s="292">
        <v>368083127</v>
      </c>
      <c r="V180" s="292">
        <f t="shared" si="217"/>
        <v>423438938</v>
      </c>
      <c r="W180" s="290">
        <v>0</v>
      </c>
      <c r="X180" s="290">
        <v>0</v>
      </c>
      <c r="Y180" s="292">
        <v>31025527</v>
      </c>
      <c r="Z180" s="292">
        <f t="shared" si="218"/>
        <v>31025527</v>
      </c>
      <c r="AA180" s="290">
        <v>0</v>
      </c>
      <c r="AB180" s="290">
        <v>0</v>
      </c>
      <c r="AC180" s="292">
        <v>41744015</v>
      </c>
      <c r="AD180" s="292">
        <f t="shared" si="219"/>
        <v>41744015</v>
      </c>
      <c r="AE180" s="292">
        <v>14782136</v>
      </c>
      <c r="AF180" s="290">
        <v>0</v>
      </c>
      <c r="AG180" s="292">
        <f t="shared" si="220"/>
        <v>14782136</v>
      </c>
      <c r="AH180" s="292">
        <v>18330073</v>
      </c>
      <c r="AI180" s="292">
        <v>0</v>
      </c>
      <c r="AJ180" s="292">
        <f t="shared" si="221"/>
        <v>0</v>
      </c>
      <c r="AK180" s="292">
        <f t="shared" si="271"/>
        <v>1808319934</v>
      </c>
      <c r="AL180" s="292">
        <f t="shared" si="271"/>
        <v>0</v>
      </c>
      <c r="AM180" s="292">
        <f t="shared" si="271"/>
        <v>475532813</v>
      </c>
      <c r="AN180" s="292">
        <f t="shared" si="240"/>
        <v>2283852747</v>
      </c>
      <c r="AO180" s="292">
        <f t="shared" si="272"/>
        <v>3743490044</v>
      </c>
      <c r="AP180" s="292">
        <f t="shared" si="272"/>
        <v>483025535</v>
      </c>
      <c r="AQ180" s="292">
        <f t="shared" si="272"/>
        <v>84546488</v>
      </c>
      <c r="AR180" s="292">
        <f t="shared" si="242"/>
        <v>4311062067</v>
      </c>
      <c r="AS180" s="292">
        <f t="shared" si="273"/>
        <v>47581613</v>
      </c>
      <c r="AT180" s="292">
        <f t="shared" si="274"/>
        <v>101753512</v>
      </c>
      <c r="AU180" s="292">
        <f t="shared" si="275"/>
        <v>0</v>
      </c>
      <c r="AV180" s="292">
        <f t="shared" si="246"/>
        <v>149335125</v>
      </c>
      <c r="AW180" s="292">
        <f t="shared" si="276"/>
        <v>157995</v>
      </c>
      <c r="AX180" s="292">
        <f t="shared" si="248"/>
        <v>157995</v>
      </c>
      <c r="AY180" s="292">
        <f t="shared" si="249"/>
        <v>5599549586</v>
      </c>
      <c r="AZ180" s="292">
        <f t="shared" si="270"/>
        <v>584779047</v>
      </c>
      <c r="BA180" s="292">
        <f t="shared" si="270"/>
        <v>560079301</v>
      </c>
      <c r="BB180" s="292">
        <f t="shared" si="251"/>
        <v>6744407934</v>
      </c>
      <c r="BC180" s="83">
        <f t="shared" ref="BC180:BC186" si="281">BB180/BB168-1</f>
        <v>0.18131061202572529</v>
      </c>
    </row>
    <row r="181" spans="1:57" ht="12.75">
      <c r="A181" s="170">
        <v>45566</v>
      </c>
      <c r="B181" s="290">
        <v>221240506</v>
      </c>
      <c r="C181" s="290">
        <v>0</v>
      </c>
      <c r="D181" s="290">
        <v>39995739</v>
      </c>
      <c r="E181" s="291">
        <f t="shared" si="267"/>
        <v>261236245</v>
      </c>
      <c r="F181" s="290">
        <f t="shared" si="253"/>
        <v>478029971</v>
      </c>
      <c r="G181" s="290">
        <f t="shared" si="254"/>
        <v>29588164</v>
      </c>
      <c r="H181" s="290">
        <f t="shared" si="266"/>
        <v>0</v>
      </c>
      <c r="I181" s="291">
        <f t="shared" si="279"/>
        <v>507618135</v>
      </c>
      <c r="J181" s="290">
        <f t="shared" si="277"/>
        <v>7017194</v>
      </c>
      <c r="K181" s="290">
        <v>0</v>
      </c>
      <c r="L181" s="291">
        <f t="shared" si="208"/>
        <v>14826138</v>
      </c>
      <c r="M181" s="290">
        <f t="shared" si="215"/>
        <v>0</v>
      </c>
      <c r="N181" s="291">
        <f t="shared" si="280"/>
        <v>0</v>
      </c>
      <c r="O181" s="291">
        <f t="shared" si="257"/>
        <v>706287671</v>
      </c>
      <c r="P181" s="291">
        <f t="shared" si="216"/>
        <v>37397108</v>
      </c>
      <c r="Q181" s="291">
        <f t="shared" si="258"/>
        <v>39995739</v>
      </c>
      <c r="R181" s="291">
        <f t="shared" si="259"/>
        <v>783680518</v>
      </c>
      <c r="S181" s="290">
        <v>0</v>
      </c>
      <c r="T181" s="290">
        <v>88454597</v>
      </c>
      <c r="U181" s="292">
        <v>389575374</v>
      </c>
      <c r="V181" s="292">
        <f t="shared" si="217"/>
        <v>478029971</v>
      </c>
      <c r="W181" s="290">
        <v>0</v>
      </c>
      <c r="X181" s="290">
        <v>3385664</v>
      </c>
      <c r="Y181" s="292">
        <v>26202500</v>
      </c>
      <c r="Z181" s="292">
        <f t="shared" si="218"/>
        <v>29588164</v>
      </c>
      <c r="AA181" s="290">
        <v>0</v>
      </c>
      <c r="AB181" s="290">
        <v>0</v>
      </c>
      <c r="AC181" s="292">
        <v>0</v>
      </c>
      <c r="AD181" s="292">
        <f t="shared" si="219"/>
        <v>0</v>
      </c>
      <c r="AE181" s="292">
        <v>7017194</v>
      </c>
      <c r="AF181" s="290">
        <v>0</v>
      </c>
      <c r="AG181" s="292">
        <f t="shared" si="220"/>
        <v>7017194</v>
      </c>
      <c r="AH181" s="292">
        <v>7808944</v>
      </c>
      <c r="AI181" s="292">
        <v>0</v>
      </c>
      <c r="AJ181" s="292">
        <f t="shared" si="221"/>
        <v>0</v>
      </c>
      <c r="AK181" s="292">
        <f t="shared" si="271"/>
        <v>2029560440</v>
      </c>
      <c r="AL181" s="292">
        <f t="shared" si="271"/>
        <v>0</v>
      </c>
      <c r="AM181" s="292">
        <f t="shared" si="271"/>
        <v>515528552</v>
      </c>
      <c r="AN181" s="292">
        <f t="shared" si="240"/>
        <v>2545088992</v>
      </c>
      <c r="AO181" s="292">
        <f t="shared" si="272"/>
        <v>4221520015</v>
      </c>
      <c r="AP181" s="292">
        <f t="shared" si="272"/>
        <v>512613699</v>
      </c>
      <c r="AQ181" s="292">
        <f t="shared" si="272"/>
        <v>84546488</v>
      </c>
      <c r="AR181" s="292">
        <f t="shared" si="242"/>
        <v>4818680202</v>
      </c>
      <c r="AS181" s="292">
        <f t="shared" si="273"/>
        <v>54598807</v>
      </c>
      <c r="AT181" s="292">
        <f t="shared" si="274"/>
        <v>109562456</v>
      </c>
      <c r="AU181" s="292">
        <f t="shared" si="275"/>
        <v>0</v>
      </c>
      <c r="AV181" s="292">
        <f t="shared" si="246"/>
        <v>164161263</v>
      </c>
      <c r="AW181" s="292">
        <f t="shared" si="276"/>
        <v>157995</v>
      </c>
      <c r="AX181" s="292">
        <f t="shared" si="248"/>
        <v>157995</v>
      </c>
      <c r="AY181" s="292">
        <f t="shared" si="249"/>
        <v>6305837257</v>
      </c>
      <c r="AZ181" s="292">
        <f t="shared" si="270"/>
        <v>622176155</v>
      </c>
      <c r="BA181" s="292">
        <f t="shared" si="270"/>
        <v>600075040</v>
      </c>
      <c r="BB181" s="292">
        <f t="shared" si="251"/>
        <v>7528088452</v>
      </c>
      <c r="BC181" s="83">
        <f t="shared" si="281"/>
        <v>0.1682769427670241</v>
      </c>
    </row>
    <row r="182" spans="1:57" ht="12.75">
      <c r="A182" s="170">
        <v>45597</v>
      </c>
      <c r="B182" s="290">
        <v>199613434</v>
      </c>
      <c r="C182" s="290">
        <v>0</v>
      </c>
      <c r="D182" s="290">
        <v>34463595</v>
      </c>
      <c r="E182" s="291">
        <f t="shared" si="267"/>
        <v>234077029</v>
      </c>
      <c r="F182" s="290">
        <f t="shared" si="253"/>
        <v>427859148</v>
      </c>
      <c r="G182" s="290">
        <f t="shared" si="254"/>
        <v>13660232</v>
      </c>
      <c r="H182" s="290">
        <f t="shared" si="266"/>
        <v>50729608</v>
      </c>
      <c r="I182" s="291">
        <f t="shared" si="279"/>
        <v>492248988</v>
      </c>
      <c r="J182" s="290">
        <f t="shared" si="277"/>
        <v>3816680</v>
      </c>
      <c r="K182" s="290">
        <v>0</v>
      </c>
      <c r="L182" s="291">
        <f t="shared" si="208"/>
        <v>5849146</v>
      </c>
      <c r="M182" s="290">
        <f t="shared" si="215"/>
        <v>0</v>
      </c>
      <c r="N182" s="291">
        <f t="shared" si="280"/>
        <v>0</v>
      </c>
      <c r="O182" s="291">
        <f t="shared" si="257"/>
        <v>631289262</v>
      </c>
      <c r="P182" s="291">
        <f t="shared" si="216"/>
        <v>15692698</v>
      </c>
      <c r="Q182" s="291">
        <f t="shared" si="258"/>
        <v>85193203</v>
      </c>
      <c r="R182" s="291">
        <f t="shared" si="259"/>
        <v>732175163</v>
      </c>
      <c r="S182" s="290">
        <v>0</v>
      </c>
      <c r="T182" s="290">
        <v>63255820</v>
      </c>
      <c r="U182" s="292">
        <v>364603328</v>
      </c>
      <c r="V182" s="292">
        <f t="shared" si="217"/>
        <v>427859148</v>
      </c>
      <c r="W182" s="290">
        <v>0</v>
      </c>
      <c r="X182" s="290">
        <v>1308288</v>
      </c>
      <c r="Y182" s="292">
        <v>12351944</v>
      </c>
      <c r="Z182" s="292">
        <f t="shared" si="218"/>
        <v>13660232</v>
      </c>
      <c r="AA182" s="290">
        <v>0</v>
      </c>
      <c r="AB182" s="290">
        <v>0</v>
      </c>
      <c r="AC182" s="292">
        <v>50729608</v>
      </c>
      <c r="AD182" s="292">
        <f t="shared" si="219"/>
        <v>50729608</v>
      </c>
      <c r="AE182" s="292">
        <v>3816680</v>
      </c>
      <c r="AF182" s="290">
        <v>0</v>
      </c>
      <c r="AG182" s="292">
        <f t="shared" si="220"/>
        <v>3816680</v>
      </c>
      <c r="AH182" s="292">
        <v>2032466</v>
      </c>
      <c r="AI182" s="292">
        <v>0</v>
      </c>
      <c r="AJ182" s="292">
        <f t="shared" si="221"/>
        <v>0</v>
      </c>
      <c r="AK182" s="292">
        <f t="shared" si="271"/>
        <v>2229173874</v>
      </c>
      <c r="AL182" s="292">
        <f t="shared" si="271"/>
        <v>0</v>
      </c>
      <c r="AM182" s="292">
        <f t="shared" si="271"/>
        <v>549992147</v>
      </c>
      <c r="AN182" s="292">
        <f t="shared" si="240"/>
        <v>2779166021</v>
      </c>
      <c r="AO182" s="292">
        <f t="shared" si="272"/>
        <v>4649379163</v>
      </c>
      <c r="AP182" s="292">
        <f t="shared" si="272"/>
        <v>526273931</v>
      </c>
      <c r="AQ182" s="292">
        <f t="shared" si="272"/>
        <v>135276096</v>
      </c>
      <c r="AR182" s="292">
        <f t="shared" si="242"/>
        <v>5310929190</v>
      </c>
      <c r="AS182" s="292">
        <f t="shared" si="273"/>
        <v>58415487</v>
      </c>
      <c r="AT182" s="292">
        <f t="shared" si="274"/>
        <v>111594922</v>
      </c>
      <c r="AU182" s="292">
        <f t="shared" si="275"/>
        <v>0</v>
      </c>
      <c r="AV182" s="292">
        <f t="shared" si="246"/>
        <v>170010409</v>
      </c>
      <c r="AW182" s="292">
        <f t="shared" si="276"/>
        <v>157995</v>
      </c>
      <c r="AX182" s="292">
        <f t="shared" si="248"/>
        <v>157995</v>
      </c>
      <c r="AY182" s="292">
        <f t="shared" si="249"/>
        <v>6937126519</v>
      </c>
      <c r="AZ182" s="292">
        <f t="shared" si="270"/>
        <v>637868853</v>
      </c>
      <c r="BA182" s="292">
        <f t="shared" si="270"/>
        <v>685268243</v>
      </c>
      <c r="BB182" s="292">
        <f t="shared" si="251"/>
        <v>8260263615</v>
      </c>
      <c r="BC182" s="83">
        <f t="shared" si="281"/>
        <v>0.15950877897956661</v>
      </c>
    </row>
    <row r="183" spans="1:57" ht="13.5" thickBot="1">
      <c r="A183" s="170">
        <v>45627</v>
      </c>
      <c r="B183" s="290">
        <v>262006305</v>
      </c>
      <c r="C183" s="290">
        <v>0</v>
      </c>
      <c r="D183" s="290">
        <v>47085352</v>
      </c>
      <c r="E183" s="291">
        <f t="shared" ref="E183:E184" si="282">SUM(B183:D183)</f>
        <v>309091657</v>
      </c>
      <c r="F183" s="290">
        <f t="shared" si="253"/>
        <v>517733864</v>
      </c>
      <c r="G183" s="290">
        <f t="shared" si="254"/>
        <v>7202279</v>
      </c>
      <c r="H183" s="290">
        <f t="shared" si="266"/>
        <v>55934331</v>
      </c>
      <c r="I183" s="291">
        <f t="shared" ref="I183:I186" si="283">SUM(F183:H183)</f>
        <v>580870474</v>
      </c>
      <c r="J183" s="290">
        <f t="shared" si="277"/>
        <v>3457751</v>
      </c>
      <c r="K183" s="290">
        <v>0</v>
      </c>
      <c r="L183" s="291">
        <f t="shared" si="208"/>
        <v>8903497</v>
      </c>
      <c r="M183" s="290">
        <f t="shared" si="215"/>
        <v>0</v>
      </c>
      <c r="N183" s="291">
        <f t="shared" si="280"/>
        <v>0</v>
      </c>
      <c r="O183" s="291">
        <f t="shared" si="257"/>
        <v>783197920</v>
      </c>
      <c r="P183" s="291">
        <f t="shared" si="216"/>
        <v>12648025</v>
      </c>
      <c r="Q183" s="291">
        <f t="shared" si="258"/>
        <v>103019683</v>
      </c>
      <c r="R183" s="291">
        <f t="shared" si="259"/>
        <v>898865628</v>
      </c>
      <c r="S183" s="290">
        <v>0</v>
      </c>
      <c r="T183" s="290">
        <v>85452031</v>
      </c>
      <c r="U183" s="292">
        <v>432281833</v>
      </c>
      <c r="V183" s="292">
        <f t="shared" si="217"/>
        <v>517733864</v>
      </c>
      <c r="W183" s="290">
        <v>0</v>
      </c>
      <c r="X183" s="290">
        <v>0</v>
      </c>
      <c r="Y183" s="292">
        <v>7202279</v>
      </c>
      <c r="Z183" s="292">
        <f t="shared" si="218"/>
        <v>7202279</v>
      </c>
      <c r="AA183" s="290">
        <v>0</v>
      </c>
      <c r="AB183" s="290">
        <v>0</v>
      </c>
      <c r="AC183" s="292">
        <v>55934331</v>
      </c>
      <c r="AD183" s="292">
        <f t="shared" si="219"/>
        <v>55934331</v>
      </c>
      <c r="AE183" s="292">
        <v>3457751</v>
      </c>
      <c r="AF183" s="290">
        <v>0</v>
      </c>
      <c r="AG183" s="292">
        <f t="shared" si="220"/>
        <v>3457751</v>
      </c>
      <c r="AH183" s="292">
        <v>5445746</v>
      </c>
      <c r="AI183" s="292">
        <v>0</v>
      </c>
      <c r="AJ183" s="292">
        <f t="shared" si="221"/>
        <v>0</v>
      </c>
      <c r="AK183" s="292">
        <f t="shared" si="271"/>
        <v>2491180179</v>
      </c>
      <c r="AL183" s="292">
        <f t="shared" si="271"/>
        <v>0</v>
      </c>
      <c r="AM183" s="292">
        <f t="shared" si="271"/>
        <v>597077499</v>
      </c>
      <c r="AN183" s="292">
        <f t="shared" si="240"/>
        <v>3088257678</v>
      </c>
      <c r="AO183" s="292">
        <f t="shared" si="272"/>
        <v>5167113027</v>
      </c>
      <c r="AP183" s="292">
        <f t="shared" si="272"/>
        <v>533476210</v>
      </c>
      <c r="AQ183" s="292">
        <f t="shared" si="272"/>
        <v>191210427</v>
      </c>
      <c r="AR183" s="292">
        <f t="shared" si="242"/>
        <v>5891799664</v>
      </c>
      <c r="AS183" s="292">
        <f t="shared" si="273"/>
        <v>61873238</v>
      </c>
      <c r="AT183" s="292">
        <f t="shared" si="274"/>
        <v>117040668</v>
      </c>
      <c r="AU183" s="292">
        <f t="shared" si="275"/>
        <v>0</v>
      </c>
      <c r="AV183" s="292">
        <f t="shared" si="246"/>
        <v>178913906</v>
      </c>
      <c r="AW183" s="292">
        <f t="shared" si="276"/>
        <v>157995</v>
      </c>
      <c r="AX183" s="292">
        <f t="shared" si="248"/>
        <v>157995</v>
      </c>
      <c r="AY183" s="292">
        <f t="shared" si="249"/>
        <v>7720324439</v>
      </c>
      <c r="AZ183" s="292">
        <f t="shared" si="270"/>
        <v>650516878</v>
      </c>
      <c r="BA183" s="292">
        <f t="shared" si="270"/>
        <v>788287926</v>
      </c>
      <c r="BB183" s="292">
        <f t="shared" si="251"/>
        <v>9159129243</v>
      </c>
      <c r="BC183" s="83">
        <f t="shared" si="281"/>
        <v>0.14978429614088573</v>
      </c>
    </row>
    <row r="184" spans="1:57" ht="12.75">
      <c r="A184" s="171">
        <v>45658</v>
      </c>
      <c r="B184" s="295">
        <v>98454791</v>
      </c>
      <c r="C184" s="295">
        <v>0</v>
      </c>
      <c r="D184" s="295">
        <v>4703045</v>
      </c>
      <c r="E184" s="296">
        <f t="shared" si="282"/>
        <v>103157836</v>
      </c>
      <c r="F184" s="295">
        <f t="shared" si="253"/>
        <v>356710383</v>
      </c>
      <c r="G184" s="295">
        <f t="shared" si="254"/>
        <v>0</v>
      </c>
      <c r="H184" s="295">
        <f t="shared" si="266"/>
        <v>0</v>
      </c>
      <c r="I184" s="296">
        <f t="shared" si="283"/>
        <v>356710383</v>
      </c>
      <c r="J184" s="295">
        <f t="shared" si="277"/>
        <v>13560554</v>
      </c>
      <c r="K184" s="295">
        <v>0</v>
      </c>
      <c r="L184" s="296">
        <f t="shared" si="208"/>
        <v>26196083</v>
      </c>
      <c r="M184" s="295">
        <f t="shared" si="215"/>
        <v>0</v>
      </c>
      <c r="N184" s="296">
        <f t="shared" si="280"/>
        <v>0</v>
      </c>
      <c r="O184" s="296">
        <f t="shared" si="257"/>
        <v>468725728</v>
      </c>
      <c r="P184" s="296">
        <f t="shared" si="216"/>
        <v>12635529</v>
      </c>
      <c r="Q184" s="296">
        <f t="shared" si="258"/>
        <v>4703045</v>
      </c>
      <c r="R184" s="296">
        <f t="shared" si="259"/>
        <v>486064302</v>
      </c>
      <c r="S184" s="295">
        <v>0</v>
      </c>
      <c r="T184" s="295">
        <v>57709397</v>
      </c>
      <c r="U184" s="297">
        <v>299000986</v>
      </c>
      <c r="V184" s="297">
        <f t="shared" si="217"/>
        <v>356710383</v>
      </c>
      <c r="W184" s="295">
        <v>0</v>
      </c>
      <c r="X184" s="295">
        <v>0</v>
      </c>
      <c r="Y184" s="297">
        <v>0</v>
      </c>
      <c r="Z184" s="297">
        <f t="shared" si="218"/>
        <v>0</v>
      </c>
      <c r="AA184" s="295">
        <v>0</v>
      </c>
      <c r="AB184" s="295">
        <v>0</v>
      </c>
      <c r="AC184" s="295">
        <v>0</v>
      </c>
      <c r="AD184" s="297">
        <f t="shared" si="219"/>
        <v>0</v>
      </c>
      <c r="AE184" s="297">
        <v>13560554</v>
      </c>
      <c r="AF184" s="295">
        <v>0</v>
      </c>
      <c r="AG184" s="297">
        <f t="shared" si="220"/>
        <v>13560554</v>
      </c>
      <c r="AH184" s="297">
        <v>12635529</v>
      </c>
      <c r="AI184" s="297">
        <v>0</v>
      </c>
      <c r="AJ184" s="297">
        <f t="shared" si="221"/>
        <v>0</v>
      </c>
      <c r="AK184" s="297">
        <f>B184</f>
        <v>98454791</v>
      </c>
      <c r="AL184" s="297">
        <f>C184</f>
        <v>0</v>
      </c>
      <c r="AM184" s="297">
        <f>D184</f>
        <v>4703045</v>
      </c>
      <c r="AN184" s="297">
        <f t="shared" si="240"/>
        <v>103157836</v>
      </c>
      <c r="AO184" s="297">
        <f>F184</f>
        <v>356710383</v>
      </c>
      <c r="AP184" s="297">
        <f>G184</f>
        <v>0</v>
      </c>
      <c r="AQ184" s="297">
        <f>H184</f>
        <v>0</v>
      </c>
      <c r="AR184" s="297">
        <f t="shared" si="242"/>
        <v>356710383</v>
      </c>
      <c r="AS184" s="297">
        <f>J184</f>
        <v>13560554</v>
      </c>
      <c r="AT184" s="297">
        <f>AH184</f>
        <v>12635529</v>
      </c>
      <c r="AU184" s="297">
        <f>K184</f>
        <v>0</v>
      </c>
      <c r="AV184" s="297">
        <f t="shared" si="246"/>
        <v>26196083</v>
      </c>
      <c r="AW184" s="297">
        <f>M184</f>
        <v>0</v>
      </c>
      <c r="AX184" s="297">
        <f t="shared" si="248"/>
        <v>0</v>
      </c>
      <c r="AY184" s="297">
        <f t="shared" si="249"/>
        <v>468725728</v>
      </c>
      <c r="AZ184" s="297">
        <f t="shared" si="270"/>
        <v>12635529</v>
      </c>
      <c r="BA184" s="297">
        <f t="shared" si="270"/>
        <v>4703045</v>
      </c>
      <c r="BB184" s="297">
        <f t="shared" si="251"/>
        <v>486064302</v>
      </c>
      <c r="BC184" s="83">
        <f t="shared" si="281"/>
        <v>-0.28084113482584105</v>
      </c>
      <c r="BD184" s="152"/>
      <c r="BE184" s="5">
        <f>BB184/'Monthly D4 Gallon Data'!AX182</f>
        <v>1.6360569226982098</v>
      </c>
    </row>
    <row r="185" spans="1:57" ht="12.75">
      <c r="A185" s="170">
        <v>45689</v>
      </c>
      <c r="B185" s="290">
        <v>110583970</v>
      </c>
      <c r="C185" s="290">
        <v>0</v>
      </c>
      <c r="D185" s="290">
        <v>9613679</v>
      </c>
      <c r="E185" s="291">
        <f t="shared" ref="E185:E186" si="284">SUM(B185:D185)</f>
        <v>120197649</v>
      </c>
      <c r="F185" s="290">
        <f t="shared" si="253"/>
        <v>304737852</v>
      </c>
      <c r="G185" s="290">
        <f t="shared" si="254"/>
        <v>0</v>
      </c>
      <c r="H185" s="290">
        <f t="shared" si="266"/>
        <v>0</v>
      </c>
      <c r="I185" s="291">
        <f t="shared" si="283"/>
        <v>304737852</v>
      </c>
      <c r="J185" s="290">
        <f t="shared" si="277"/>
        <v>25164991</v>
      </c>
      <c r="K185" s="290">
        <v>0</v>
      </c>
      <c r="L185" s="291">
        <f t="shared" si="208"/>
        <v>25164991</v>
      </c>
      <c r="M185" s="290">
        <f t="shared" si="215"/>
        <v>0</v>
      </c>
      <c r="N185" s="291">
        <f t="shared" si="280"/>
        <v>0</v>
      </c>
      <c r="O185" s="291">
        <f t="shared" si="257"/>
        <v>440486813</v>
      </c>
      <c r="P185" s="291">
        <f t="shared" si="216"/>
        <v>0</v>
      </c>
      <c r="Q185" s="291">
        <f t="shared" si="258"/>
        <v>9613679</v>
      </c>
      <c r="R185" s="291">
        <f t="shared" si="259"/>
        <v>450100492</v>
      </c>
      <c r="S185" s="290">
        <v>0</v>
      </c>
      <c r="T185" s="290">
        <v>60101565</v>
      </c>
      <c r="U185" s="292">
        <v>244636287</v>
      </c>
      <c r="V185" s="292">
        <f t="shared" si="217"/>
        <v>304737852</v>
      </c>
      <c r="W185" s="290">
        <v>0</v>
      </c>
      <c r="X185" s="290">
        <v>0</v>
      </c>
      <c r="Y185" s="292">
        <v>0</v>
      </c>
      <c r="Z185" s="292">
        <f t="shared" si="218"/>
        <v>0</v>
      </c>
      <c r="AA185" s="290">
        <v>0</v>
      </c>
      <c r="AB185" s="290">
        <v>0</v>
      </c>
      <c r="AC185" s="290">
        <v>0</v>
      </c>
      <c r="AD185" s="292">
        <f t="shared" si="219"/>
        <v>0</v>
      </c>
      <c r="AE185" s="292">
        <v>25164991</v>
      </c>
      <c r="AF185" s="290">
        <v>0</v>
      </c>
      <c r="AG185" s="292">
        <f t="shared" si="220"/>
        <v>25164991</v>
      </c>
      <c r="AH185" s="292">
        <v>0</v>
      </c>
      <c r="AI185" s="292">
        <v>0</v>
      </c>
      <c r="AJ185" s="292">
        <f t="shared" si="221"/>
        <v>0</v>
      </c>
      <c r="AK185" s="292">
        <f t="shared" ref="AK185:AM186" si="285">AK184+B185</f>
        <v>209038761</v>
      </c>
      <c r="AL185" s="292">
        <f t="shared" si="285"/>
        <v>0</v>
      </c>
      <c r="AM185" s="292">
        <f t="shared" si="285"/>
        <v>14316724</v>
      </c>
      <c r="AN185" s="292">
        <f t="shared" si="240"/>
        <v>223355485</v>
      </c>
      <c r="AO185" s="292">
        <f t="shared" ref="AO185:AQ186" si="286">AO184+F185</f>
        <v>661448235</v>
      </c>
      <c r="AP185" s="292">
        <f t="shared" si="286"/>
        <v>0</v>
      </c>
      <c r="AQ185" s="292">
        <f t="shared" si="286"/>
        <v>0</v>
      </c>
      <c r="AR185" s="292">
        <f t="shared" si="242"/>
        <v>661448235</v>
      </c>
      <c r="AS185" s="292">
        <f t="shared" ref="AS185:AS186" si="287">AS184+J185</f>
        <v>38725545</v>
      </c>
      <c r="AT185" s="292">
        <f t="shared" ref="AT185:AT186" si="288">AT184+AH185</f>
        <v>12635529</v>
      </c>
      <c r="AU185" s="292">
        <f t="shared" ref="AU185:AU186" si="289">AU184+K185</f>
        <v>0</v>
      </c>
      <c r="AV185" s="292">
        <f t="shared" si="246"/>
        <v>51361074</v>
      </c>
      <c r="AW185" s="292">
        <f t="shared" ref="AW185:AW186" si="290">AW184+M185</f>
        <v>0</v>
      </c>
      <c r="AX185" s="292">
        <f t="shared" si="248"/>
        <v>0</v>
      </c>
      <c r="AY185" s="292">
        <f t="shared" si="249"/>
        <v>909212541</v>
      </c>
      <c r="AZ185" s="292">
        <f t="shared" ref="AZ185:BA186" si="291">AL185+AP185+AT185</f>
        <v>12635529</v>
      </c>
      <c r="BA185" s="292">
        <f t="shared" si="291"/>
        <v>14316724</v>
      </c>
      <c r="BB185" s="292">
        <f t="shared" si="251"/>
        <v>936164794</v>
      </c>
      <c r="BC185" s="83">
        <f t="shared" si="281"/>
        <v>-0.34079012381575524</v>
      </c>
      <c r="BD185" s="152"/>
      <c r="BE185" s="5">
        <f>BB185/'Monthly D4 Gallon Data'!AX183</f>
        <v>1.6297531153414031</v>
      </c>
    </row>
    <row r="186" spans="1:57" ht="12.75">
      <c r="A186" s="170">
        <v>45717</v>
      </c>
      <c r="B186" s="290">
        <v>143751735</v>
      </c>
      <c r="C186" s="290">
        <v>0</v>
      </c>
      <c r="D186" s="290">
        <v>5852368</v>
      </c>
      <c r="E186" s="291">
        <f t="shared" si="284"/>
        <v>149604103</v>
      </c>
      <c r="F186" s="290">
        <f t="shared" si="253"/>
        <v>375158383</v>
      </c>
      <c r="G186" s="290">
        <f t="shared" si="254"/>
        <v>12638851</v>
      </c>
      <c r="H186" s="290">
        <f t="shared" si="266"/>
        <v>21551583</v>
      </c>
      <c r="I186" s="291">
        <f t="shared" si="283"/>
        <v>409348817</v>
      </c>
      <c r="J186" s="290">
        <f t="shared" si="277"/>
        <v>6152024</v>
      </c>
      <c r="K186" s="290">
        <v>0</v>
      </c>
      <c r="L186" s="291">
        <f t="shared" si="208"/>
        <v>14122733</v>
      </c>
      <c r="M186" s="290">
        <f t="shared" si="215"/>
        <v>0</v>
      </c>
      <c r="N186" s="291">
        <f t="shared" si="280"/>
        <v>0</v>
      </c>
      <c r="O186" s="291">
        <f t="shared" si="257"/>
        <v>525062142</v>
      </c>
      <c r="P186" s="291">
        <f t="shared" si="216"/>
        <v>20609560</v>
      </c>
      <c r="Q186" s="291">
        <f t="shared" si="258"/>
        <v>27403951</v>
      </c>
      <c r="R186" s="291">
        <f t="shared" si="259"/>
        <v>573075653</v>
      </c>
      <c r="S186" s="290">
        <v>0</v>
      </c>
      <c r="T186" s="290">
        <v>58393501</v>
      </c>
      <c r="U186" s="292">
        <v>316764882</v>
      </c>
      <c r="V186" s="292">
        <f t="shared" si="217"/>
        <v>375158383</v>
      </c>
      <c r="W186" s="290">
        <v>0</v>
      </c>
      <c r="X186" s="290">
        <v>0</v>
      </c>
      <c r="Y186" s="292">
        <v>12638851</v>
      </c>
      <c r="Z186" s="292">
        <f t="shared" si="218"/>
        <v>12638851</v>
      </c>
      <c r="AA186" s="290">
        <v>0</v>
      </c>
      <c r="AB186" s="290">
        <v>0</v>
      </c>
      <c r="AC186" s="290">
        <v>21551583</v>
      </c>
      <c r="AD186" s="292">
        <f t="shared" si="219"/>
        <v>21551583</v>
      </c>
      <c r="AE186" s="292">
        <v>6152024</v>
      </c>
      <c r="AF186" s="290">
        <v>0</v>
      </c>
      <c r="AG186" s="292">
        <f t="shared" si="220"/>
        <v>6152024</v>
      </c>
      <c r="AH186" s="292">
        <v>7970709</v>
      </c>
      <c r="AI186" s="292">
        <v>0</v>
      </c>
      <c r="AJ186" s="292">
        <f t="shared" si="221"/>
        <v>0</v>
      </c>
      <c r="AK186" s="292">
        <f t="shared" si="285"/>
        <v>352790496</v>
      </c>
      <c r="AL186" s="292">
        <f t="shared" si="285"/>
        <v>0</v>
      </c>
      <c r="AM186" s="292">
        <f t="shared" si="285"/>
        <v>20169092</v>
      </c>
      <c r="AN186" s="292">
        <f t="shared" si="240"/>
        <v>372959588</v>
      </c>
      <c r="AO186" s="292">
        <f t="shared" si="286"/>
        <v>1036606618</v>
      </c>
      <c r="AP186" s="292">
        <f t="shared" si="286"/>
        <v>12638851</v>
      </c>
      <c r="AQ186" s="292">
        <f t="shared" si="286"/>
        <v>21551583</v>
      </c>
      <c r="AR186" s="292">
        <f t="shared" si="242"/>
        <v>1070797052</v>
      </c>
      <c r="AS186" s="292">
        <f t="shared" si="287"/>
        <v>44877569</v>
      </c>
      <c r="AT186" s="292">
        <f t="shared" si="288"/>
        <v>20606238</v>
      </c>
      <c r="AU186" s="292">
        <f t="shared" si="289"/>
        <v>0</v>
      </c>
      <c r="AV186" s="292">
        <f t="shared" si="246"/>
        <v>65483807</v>
      </c>
      <c r="AW186" s="292">
        <f t="shared" si="290"/>
        <v>0</v>
      </c>
      <c r="AX186" s="292">
        <f t="shared" si="248"/>
        <v>0</v>
      </c>
      <c r="AY186" s="292">
        <f t="shared" si="249"/>
        <v>1434274683</v>
      </c>
      <c r="AZ186" s="292">
        <f t="shared" si="291"/>
        <v>33245089</v>
      </c>
      <c r="BA186" s="292">
        <f t="shared" si="291"/>
        <v>41720675</v>
      </c>
      <c r="BB186" s="292">
        <f t="shared" si="251"/>
        <v>1509240447</v>
      </c>
      <c r="BC186" s="83">
        <f t="shared" si="281"/>
        <v>-0.27277401396295742</v>
      </c>
      <c r="BD186" s="152"/>
      <c r="BE186" s="5">
        <f>BB186/'Monthly D4 Gallon Data'!AX184</f>
        <v>1.6299846609939521</v>
      </c>
    </row>
  </sheetData>
  <mergeCells count="22">
    <mergeCell ref="B1:R1"/>
    <mergeCell ref="S1:AD1"/>
    <mergeCell ref="AE1:AG1"/>
    <mergeCell ref="AI1:AJ1"/>
    <mergeCell ref="B2:E2"/>
    <mergeCell ref="F2:I2"/>
    <mergeCell ref="J2:L2"/>
    <mergeCell ref="M2:N2"/>
    <mergeCell ref="O2:R2"/>
    <mergeCell ref="S2:V2"/>
    <mergeCell ref="BE2:BE3"/>
    <mergeCell ref="W2:Z2"/>
    <mergeCell ref="AA2:AD2"/>
    <mergeCell ref="AE2:AG2"/>
    <mergeCell ref="AH2:AH3"/>
    <mergeCell ref="AI2:AI3"/>
    <mergeCell ref="AJ2:AJ3"/>
    <mergeCell ref="AK2:AN2"/>
    <mergeCell ref="AO2:AR2"/>
    <mergeCell ref="AS2:AV2"/>
    <mergeCell ref="AW2:AX2"/>
    <mergeCell ref="AY2:B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F80C8-53F5-45AD-A088-DF63E442015C}">
  <sheetPr>
    <tabColor theme="1" tint="0.499984740745262"/>
  </sheetPr>
  <dimension ref="A1:DA437"/>
  <sheetViews>
    <sheetView zoomScale="120" zoomScaleNormal="120" workbookViewId="0">
      <pane xSplit="1" ySplit="2" topLeftCell="K121"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8.7109375" style="301" customWidth="1"/>
    <col min="2" max="24" width="12.140625" style="301" customWidth="1"/>
    <col min="25" max="42" width="13.5703125" style="301" customWidth="1"/>
    <col min="43" max="43" width="10.7109375" style="301" hidden="1" customWidth="1"/>
    <col min="44" max="47" width="11.42578125" style="301" hidden="1" customWidth="1"/>
    <col min="48" max="51" width="10" style="301" hidden="1" customWidth="1"/>
    <col min="52" max="85" width="13.5703125" style="301" hidden="1" customWidth="1"/>
    <col min="86" max="105" width="13.5703125" style="301" customWidth="1"/>
    <col min="106" max="16384" width="9.140625" style="301"/>
  </cols>
  <sheetData>
    <row r="1" spans="1:105" ht="12" thickBot="1">
      <c r="A1" s="300" t="s">
        <v>413</v>
      </c>
      <c r="P1" s="302" t="s">
        <v>414</v>
      </c>
    </row>
    <row r="2" spans="1:105" ht="12" thickBot="1">
      <c r="A2" s="303"/>
      <c r="B2" s="304">
        <v>2010</v>
      </c>
      <c r="C2" s="304">
        <v>2011</v>
      </c>
      <c r="D2" s="304">
        <v>2012</v>
      </c>
      <c r="E2" s="304">
        <v>2013</v>
      </c>
      <c r="F2" s="304">
        <v>2014</v>
      </c>
      <c r="G2" s="304">
        <v>2015</v>
      </c>
      <c r="H2" s="304">
        <v>2016</v>
      </c>
      <c r="I2" s="304">
        <v>2017</v>
      </c>
      <c r="J2" s="304">
        <v>2018</v>
      </c>
      <c r="K2" s="304">
        <v>2019</v>
      </c>
      <c r="L2" s="304">
        <v>2020</v>
      </c>
      <c r="M2" s="304">
        <v>2021</v>
      </c>
      <c r="N2" s="304">
        <v>2022</v>
      </c>
      <c r="O2" s="304">
        <v>2023</v>
      </c>
      <c r="P2" s="304">
        <v>2024</v>
      </c>
      <c r="Q2" s="304">
        <v>2025</v>
      </c>
      <c r="R2" s="304">
        <v>2026</v>
      </c>
      <c r="S2" s="304">
        <v>2027</v>
      </c>
      <c r="T2" s="304">
        <v>2028</v>
      </c>
      <c r="U2" s="304">
        <v>2029</v>
      </c>
      <c r="V2" s="304">
        <v>2030</v>
      </c>
      <c r="W2" s="304">
        <v>2031</v>
      </c>
      <c r="X2" s="304">
        <v>2032</v>
      </c>
      <c r="Y2" s="304">
        <v>2033</v>
      </c>
      <c r="Z2" s="304">
        <v>2034</v>
      </c>
      <c r="AA2" s="304">
        <v>2035</v>
      </c>
      <c r="AB2" s="304">
        <v>2036</v>
      </c>
      <c r="AC2" s="304">
        <v>2037</v>
      </c>
      <c r="AD2" s="304">
        <v>2038</v>
      </c>
      <c r="AE2" s="304">
        <v>2039</v>
      </c>
      <c r="AF2" s="304">
        <v>2040</v>
      </c>
      <c r="AG2" s="304">
        <v>2041</v>
      </c>
      <c r="AH2" s="304">
        <v>2042</v>
      </c>
      <c r="AI2" s="304">
        <v>2043</v>
      </c>
      <c r="AJ2" s="304">
        <v>2044</v>
      </c>
      <c r="AK2" s="304">
        <v>2045</v>
      </c>
      <c r="AL2" s="304">
        <v>2046</v>
      </c>
      <c r="AM2" s="304">
        <v>2047</v>
      </c>
      <c r="AN2" s="304">
        <v>2048</v>
      </c>
      <c r="AO2" s="304">
        <v>2049</v>
      </c>
      <c r="AP2" s="304">
        <v>2050</v>
      </c>
      <c r="AR2" s="304">
        <v>2020</v>
      </c>
      <c r="AT2" s="304">
        <v>2021</v>
      </c>
      <c r="AV2" s="304">
        <v>2022</v>
      </c>
      <c r="AX2" s="304">
        <v>2023</v>
      </c>
      <c r="AZ2" s="304">
        <v>2024</v>
      </c>
      <c r="BB2" s="304">
        <v>2025</v>
      </c>
      <c r="BD2" s="304">
        <v>2026</v>
      </c>
      <c r="BF2" s="304">
        <v>2027</v>
      </c>
      <c r="BH2" s="304">
        <v>2028</v>
      </c>
      <c r="BJ2" s="304">
        <v>2029</v>
      </c>
      <c r="BL2" s="304">
        <v>2030</v>
      </c>
      <c r="BN2" s="304">
        <v>2031</v>
      </c>
      <c r="BP2" s="304">
        <v>2032</v>
      </c>
      <c r="BR2" s="304">
        <v>2033</v>
      </c>
      <c r="BT2" s="304">
        <v>2034</v>
      </c>
      <c r="BV2" s="304">
        <v>2035</v>
      </c>
      <c r="BX2" s="304">
        <v>2036</v>
      </c>
      <c r="BZ2" s="304">
        <v>2037</v>
      </c>
      <c r="CB2" s="304">
        <v>2038</v>
      </c>
      <c r="CD2" s="304">
        <v>2039</v>
      </c>
      <c r="CF2" s="304">
        <v>2040</v>
      </c>
      <c r="CH2" s="304">
        <v>2041</v>
      </c>
      <c r="CJ2" s="304">
        <v>2042</v>
      </c>
      <c r="CL2" s="304">
        <v>2043</v>
      </c>
      <c r="CN2" s="304">
        <v>2044</v>
      </c>
      <c r="CP2" s="304">
        <v>2045</v>
      </c>
      <c r="CR2" s="304">
        <v>2046</v>
      </c>
      <c r="CT2" s="304">
        <v>2047</v>
      </c>
      <c r="CV2" s="304">
        <v>2048</v>
      </c>
      <c r="CX2" s="304">
        <v>2049</v>
      </c>
      <c r="CZ2" s="304">
        <v>2050</v>
      </c>
    </row>
    <row r="3" spans="1:105">
      <c r="A3" s="305" t="s">
        <v>415</v>
      </c>
      <c r="B3" s="306">
        <f>B4+B5</f>
        <v>4043017</v>
      </c>
      <c r="C3" s="306">
        <f t="shared" ref="C3:P3" si="0">C4+C5</f>
        <v>193748805</v>
      </c>
      <c r="D3" s="306">
        <f t="shared" si="0"/>
        <v>603461683</v>
      </c>
      <c r="E3" s="306">
        <f t="shared" si="0"/>
        <v>458250657</v>
      </c>
      <c r="F3" s="306">
        <f t="shared" si="0"/>
        <v>90298203</v>
      </c>
      <c r="G3" s="306">
        <f t="shared" si="0"/>
        <v>113785284</v>
      </c>
      <c r="H3" s="306">
        <f t="shared" si="0"/>
        <v>61459280</v>
      </c>
      <c r="I3" s="306">
        <f t="shared" si="0"/>
        <v>99392347</v>
      </c>
      <c r="J3" s="306">
        <f t="shared" si="0"/>
        <v>102382010</v>
      </c>
      <c r="K3" s="306">
        <f t="shared" si="0"/>
        <v>219495304</v>
      </c>
      <c r="L3" s="306">
        <f t="shared" si="0"/>
        <v>208638249</v>
      </c>
      <c r="M3" s="306">
        <f t="shared" si="0"/>
        <v>85586001</v>
      </c>
      <c r="N3" s="306">
        <f t="shared" si="0"/>
        <v>109468380</v>
      </c>
      <c r="O3" s="306">
        <f t="shared" si="0"/>
        <v>51164831</v>
      </c>
      <c r="P3" s="306">
        <f t="shared" si="0"/>
        <v>28685489</v>
      </c>
      <c r="Q3" s="307">
        <f t="shared" ref="Q3:AG3" si="1">SUM(Q4:Q5)</f>
        <v>33387387.181493059</v>
      </c>
      <c r="R3" s="307">
        <f t="shared" si="1"/>
        <v>32232011.270047031</v>
      </c>
      <c r="S3" s="307">
        <f t="shared" si="1"/>
        <v>37309058.288327254</v>
      </c>
      <c r="T3" s="307">
        <f t="shared" si="1"/>
        <v>40479901.902477115</v>
      </c>
      <c r="U3" s="307">
        <f t="shared" si="1"/>
        <v>42734298.267913379</v>
      </c>
      <c r="V3" s="307">
        <f t="shared" si="1"/>
        <v>45624559.934033364</v>
      </c>
      <c r="W3" s="307">
        <f t="shared" si="1"/>
        <v>50708950.100315459</v>
      </c>
      <c r="X3" s="307">
        <f t="shared" si="1"/>
        <v>52120675.923458666</v>
      </c>
      <c r="Y3" s="307">
        <f t="shared" si="1"/>
        <v>55155298.365251005</v>
      </c>
      <c r="Z3" s="307">
        <f t="shared" si="1"/>
        <v>58034329.546393514</v>
      </c>
      <c r="AA3" s="307">
        <f t="shared" si="1"/>
        <v>60657617.298995137</v>
      </c>
      <c r="AB3" s="307">
        <f t="shared" si="1"/>
        <v>62284445.777485311</v>
      </c>
      <c r="AC3" s="307">
        <f t="shared" si="1"/>
        <v>65461277.62438558</v>
      </c>
      <c r="AD3" s="307">
        <f t="shared" si="1"/>
        <v>68492529.305077255</v>
      </c>
      <c r="AE3" s="307">
        <f t="shared" si="1"/>
        <v>71873439.936264262</v>
      </c>
      <c r="AF3" s="307">
        <f t="shared" si="1"/>
        <v>78982223.876233488</v>
      </c>
      <c r="AG3" s="307">
        <f t="shared" si="1"/>
        <v>90662670.740434617</v>
      </c>
      <c r="AH3" s="307">
        <f t="shared" ref="AH3:AP3" si="2">SUM(AH4:AH5)</f>
        <v>95305289.210805103</v>
      </c>
      <c r="AI3" s="307">
        <f t="shared" si="2"/>
        <v>96560710.627784014</v>
      </c>
      <c r="AJ3" s="307">
        <f t="shared" si="2"/>
        <v>99878153.216482893</v>
      </c>
      <c r="AK3" s="307">
        <f t="shared" si="2"/>
        <v>105661613.9706275</v>
      </c>
      <c r="AL3" s="307">
        <f t="shared" si="2"/>
        <v>115571761.21966745</v>
      </c>
      <c r="AM3" s="307">
        <f t="shared" si="2"/>
        <v>128822161.99026097</v>
      </c>
      <c r="AN3" s="307">
        <f t="shared" si="2"/>
        <v>157177405.14466935</v>
      </c>
      <c r="AO3" s="307">
        <f t="shared" si="2"/>
        <v>179330822.85339472</v>
      </c>
      <c r="AP3" s="307">
        <f t="shared" si="2"/>
        <v>203099661.6927726</v>
      </c>
      <c r="AQ3" s="308">
        <v>0</v>
      </c>
      <c r="AR3" s="309">
        <v>205569181</v>
      </c>
      <c r="AS3" s="308">
        <f t="shared" ref="AS3:AS10" si="3">L3-AR3</f>
        <v>3069068</v>
      </c>
      <c r="AT3" s="309">
        <v>97362426.5</v>
      </c>
      <c r="AU3" s="308">
        <f t="shared" ref="AU3:AU10" si="4">M3-AT3</f>
        <v>-11776425.5</v>
      </c>
      <c r="AV3" s="309">
        <v>102250000</v>
      </c>
      <c r="AW3" s="308">
        <f t="shared" ref="AW3:AW10" si="5">N3-AV3</f>
        <v>7218380</v>
      </c>
      <c r="AX3" s="309">
        <v>89000000</v>
      </c>
      <c r="AY3" s="308">
        <f t="shared" ref="AY3:AY10" si="6">O3-AX3</f>
        <v>-37835169</v>
      </c>
      <c r="AZ3" s="309">
        <v>28889840.515204147</v>
      </c>
      <c r="BA3" s="308">
        <f t="shared" ref="BA3:BA10" si="7">P3-AZ3</f>
        <v>-204351.5152041465</v>
      </c>
      <c r="BB3" s="309">
        <v>26084091.975237247</v>
      </c>
      <c r="BC3" s="308">
        <f t="shared" ref="BC3:BC10" si="8">Q3-BB3</f>
        <v>7303295.2062558122</v>
      </c>
      <c r="BD3" s="309">
        <v>28589062.713619165</v>
      </c>
      <c r="BE3" s="308">
        <f t="shared" ref="BE3:BE10" si="9">R3-BD3</f>
        <v>3642948.5564278662</v>
      </c>
      <c r="BF3" s="309">
        <v>38009058.63262932</v>
      </c>
      <c r="BG3" s="308">
        <f t="shared" ref="BG3:BG19" si="10">S3-BF3</f>
        <v>-700000.34430206567</v>
      </c>
      <c r="BH3" s="309">
        <v>40440686.212658092</v>
      </c>
      <c r="BI3" s="308">
        <f t="shared" ref="BI3:BI19" si="11">T3-BH3</f>
        <v>39215.689819023013</v>
      </c>
      <c r="BJ3" s="309">
        <v>43245918.409058891</v>
      </c>
      <c r="BK3" s="308">
        <f t="shared" ref="BK3:BK19" si="12">U3-BJ3</f>
        <v>-511620.14114551246</v>
      </c>
      <c r="BL3" s="309">
        <v>45105543.49898307</v>
      </c>
      <c r="BM3" s="308">
        <f t="shared" ref="BM3:BM19" si="13">V3-BL3</f>
        <v>519016.4350502938</v>
      </c>
      <c r="BN3" s="309">
        <v>48208950.100315459</v>
      </c>
      <c r="BO3" s="308">
        <f t="shared" ref="BO3:BO19" si="14">W3-BN3</f>
        <v>2500000</v>
      </c>
      <c r="BP3" s="309">
        <v>32819790.918360431</v>
      </c>
      <c r="BQ3" s="308">
        <f t="shared" ref="BQ3:BQ19" si="15">X3-BP3</f>
        <v>19300885.005098235</v>
      </c>
      <c r="BR3" s="309">
        <v>54000000</v>
      </c>
      <c r="BS3" s="308">
        <f t="shared" ref="BS3:BS19" si="16">Y3-BR3</f>
        <v>1155298.3652510047</v>
      </c>
      <c r="BT3" s="309">
        <v>57000000</v>
      </c>
      <c r="BU3" s="308">
        <f t="shared" ref="BU3:BU19" si="17">Z3-BT3</f>
        <v>1034329.5463935137</v>
      </c>
      <c r="BV3" s="309">
        <f>BT3</f>
        <v>57000000</v>
      </c>
      <c r="BW3" s="308">
        <f t="shared" ref="BW3:BW19" si="18">AA3-BV3</f>
        <v>3657617.2989951372</v>
      </c>
      <c r="BX3" s="309">
        <v>150000000</v>
      </c>
      <c r="BY3" s="308">
        <f t="shared" ref="BY3:BY19" si="19">AB3-BX3</f>
        <v>-87715554.222514689</v>
      </c>
      <c r="BZ3" s="309">
        <v>67211277.62438558</v>
      </c>
      <c r="CA3" s="308">
        <f t="shared" ref="CA3:CA19" si="20">AC3-BZ3</f>
        <v>-1750000</v>
      </c>
      <c r="CB3" s="309">
        <v>68486910.623721585</v>
      </c>
      <c r="CC3" s="308">
        <f t="shared" ref="CC3:CC19" si="21">AD3-CB3</f>
        <v>5618.6813556700945</v>
      </c>
      <c r="CD3" s="309">
        <v>74373439.936264262</v>
      </c>
      <c r="CE3" s="308">
        <f t="shared" ref="CE3:CE19" si="22">AE3-CD3</f>
        <v>-2500000</v>
      </c>
      <c r="CF3" s="309">
        <v>154000000</v>
      </c>
      <c r="CG3" s="308">
        <f t="shared" ref="CG3:CG19" si="23">AF3-CF3</f>
        <v>-75017776.123766512</v>
      </c>
      <c r="CH3" s="309">
        <v>155000000</v>
      </c>
      <c r="CI3" s="308">
        <f t="shared" ref="CI3:CI28" si="24">AG3-CH3</f>
        <v>-64337329.259565383</v>
      </c>
      <c r="CJ3" s="309">
        <v>155000000</v>
      </c>
      <c r="CK3" s="308">
        <f t="shared" ref="CK3:CK25" si="25">AH3-CJ3</f>
        <v>-59694710.789194897</v>
      </c>
      <c r="CL3" s="309">
        <v>155000000</v>
      </c>
      <c r="CM3" s="308">
        <f t="shared" ref="CM3:CM25" si="26">AJ3-CL3</f>
        <v>-55121846.783517107</v>
      </c>
      <c r="CN3" s="309">
        <v>155000000</v>
      </c>
      <c r="CO3" s="308">
        <f t="shared" ref="CO3:CO28" si="27">AM3-CN3</f>
        <v>-26177838.009739026</v>
      </c>
      <c r="CP3" s="309">
        <v>155000000</v>
      </c>
      <c r="CQ3" s="308">
        <f t="shared" ref="CQ3:CQ25" si="28">AN3-CP3</f>
        <v>2177405.144669354</v>
      </c>
      <c r="CR3" s="309">
        <v>155000000</v>
      </c>
      <c r="CS3" s="308">
        <f t="shared" ref="CS3:CS25" si="29">AP3-CR3</f>
        <v>48099661.692772597</v>
      </c>
      <c r="CT3" s="309">
        <v>155000000</v>
      </c>
      <c r="CU3" s="308">
        <f t="shared" ref="CU3:CU25" si="30">AR3-CT3</f>
        <v>50569181</v>
      </c>
      <c r="CV3" s="309">
        <v>155000000</v>
      </c>
      <c r="CW3" s="308">
        <f t="shared" ref="CW3:CW28" si="31">AU3-CV3</f>
        <v>-166776425.5</v>
      </c>
      <c r="CX3" s="309">
        <v>155000000</v>
      </c>
      <c r="CY3" s="308">
        <f t="shared" ref="CY3:CY25" si="32">AV3-CX3</f>
        <v>-52750000</v>
      </c>
      <c r="CZ3" s="309">
        <v>155000000</v>
      </c>
      <c r="DA3" s="308">
        <f t="shared" ref="DA3:DA25" si="33">AX3-CZ3</f>
        <v>-66000000</v>
      </c>
    </row>
    <row r="4" spans="1:105">
      <c r="A4" s="301" t="s">
        <v>224</v>
      </c>
      <c r="B4" s="308">
        <f>B84</f>
        <v>4043017</v>
      </c>
      <c r="C4" s="308">
        <f t="shared" ref="C4:P4" si="34">C84</f>
        <v>21323017</v>
      </c>
      <c r="D4" s="308">
        <f t="shared" si="34"/>
        <v>27668581</v>
      </c>
      <c r="E4" s="308">
        <f t="shared" si="34"/>
        <v>22937389</v>
      </c>
      <c r="F4" s="308">
        <f t="shared" si="34"/>
        <v>25823548</v>
      </c>
      <c r="G4" s="308">
        <f t="shared" si="34"/>
        <v>24830834</v>
      </c>
      <c r="H4" s="308">
        <f t="shared" si="34"/>
        <v>27055246</v>
      </c>
      <c r="I4" s="308">
        <f t="shared" si="34"/>
        <v>25503257</v>
      </c>
      <c r="J4" s="308">
        <f t="shared" si="34"/>
        <v>24713691</v>
      </c>
      <c r="K4" s="308">
        <f t="shared" si="34"/>
        <v>23892135</v>
      </c>
      <c r="L4" s="308">
        <f t="shared" si="34"/>
        <v>23451877</v>
      </c>
      <c r="M4" s="308">
        <f t="shared" si="34"/>
        <v>26071610</v>
      </c>
      <c r="N4" s="308">
        <f t="shared" si="34"/>
        <v>28921497</v>
      </c>
      <c r="O4" s="308">
        <f t="shared" si="34"/>
        <v>29925828</v>
      </c>
      <c r="P4" s="308">
        <f t="shared" si="34"/>
        <v>28685489</v>
      </c>
      <c r="Q4" s="307">
        <f>(SUM(L4:P4)/SUM(L$28:P$28))*Q$28+9347901</f>
        <v>33387387.181493059</v>
      </c>
      <c r="R4" s="307">
        <f t="shared" ref="R4:AA4" si="35">(SUM(M4:Q4)/SUM(M$28:Q$28))*R$28</f>
        <v>32232011.270047031</v>
      </c>
      <c r="S4" s="307">
        <f>(SUM(N4:R4)/SUM(N$28:R$28))*S$28+1582826</f>
        <v>37309058.288327254</v>
      </c>
      <c r="T4" s="307">
        <f>(SUM(O4:S4)/SUM(O$28:S$28))*T$28</f>
        <v>40479901.902477115</v>
      </c>
      <c r="U4" s="307">
        <f>(SUM(P4:T4)/SUM(P$28:T$28))*U$28</f>
        <v>42734298.267913379</v>
      </c>
      <c r="V4" s="307">
        <f>(SUM(Q4:U4)/SUM(Q$28:U$28))*V$28</f>
        <v>45624559.934033364</v>
      </c>
      <c r="W4" s="307">
        <f>(SUM(R4:V4)/SUM(R$28:V$28))*W$28+2500000</f>
        <v>50708950.100315459</v>
      </c>
      <c r="X4" s="307">
        <f>(SUM(S4:W4)/SUM(S$28:W$28))*X$28+1250000</f>
        <v>52120675.923458666</v>
      </c>
      <c r="Y4" s="307">
        <f>(SUM(T4:X4)/SUM(T$28:X$28))*Y$28+1250000</f>
        <v>55155298.365251005</v>
      </c>
      <c r="Z4" s="307">
        <f>(SUM(U4:Y4)/SUM(U$28:Y$28))*Z$28+1250000</f>
        <v>58034329.546393514</v>
      </c>
      <c r="AA4" s="307">
        <f t="shared" si="35"/>
        <v>60657617.298995137</v>
      </c>
      <c r="AB4" s="307">
        <f>(SUM(W4:AA4)/SUM(W$28:AA$28))*AB$28-2000000</f>
        <v>62284445.777485311</v>
      </c>
      <c r="AC4" s="307">
        <f>(SUM(X4:AB4)/SUM(X$28:AB$28))*AC$28-1750000</f>
        <v>65461277.62438558</v>
      </c>
      <c r="AD4" s="307">
        <f>(SUM(Y4:AC4)/SUM(Y$28:AC$28))*AD$28-2500000</f>
        <v>68492529.305077255</v>
      </c>
      <c r="AE4" s="307">
        <f>(SUM(Z4:AD4)/SUM(Z$28:AD$28))*AE$28-2500000</f>
        <v>71873439.936264262</v>
      </c>
      <c r="AF4" s="307">
        <f>(SUM(AA4:AE4)/SUM(AA$28:AE$28))*AF$28+1500000</f>
        <v>78982223.876233488</v>
      </c>
      <c r="AG4" s="307">
        <f>(SUM(AB4:AF4)/SUM(AB$28:AF$28))*AG$28+10000000</f>
        <v>90662670.740434617</v>
      </c>
      <c r="AH4" s="307">
        <f>(SUM(AC4:AG4)/SUM(AC$28:AG$28))*AH$28+7500000</f>
        <v>95305289.210805103</v>
      </c>
      <c r="AI4" s="307">
        <f>(SUM(AD4:AH4)/SUM(AD$28:AH$28))*AI$28+2500000</f>
        <v>96560710.627784014</v>
      </c>
      <c r="AJ4" s="307">
        <f>(SUM(AE4:AI4)/SUM(AE$28:AI$28))*AJ$28</f>
        <v>99878153.216482893</v>
      </c>
      <c r="AK4" s="307">
        <f t="shared" ref="AK4" si="36">(SUM(AF4:AJ4)/SUM(AF$28:AJ$28))*AK$28</f>
        <v>105661613.9706275</v>
      </c>
      <c r="AL4" s="307">
        <f t="shared" ref="AL4" si="37">(SUM(AG4:AK4)/SUM(AG$28:AK$28))*AL$28</f>
        <v>115571761.21966745</v>
      </c>
      <c r="AM4" s="307">
        <f>(SUM(AH4:AL4)/SUM(AH$28:AL$28))*AM$28+5000000</f>
        <v>128822161.99026097</v>
      </c>
      <c r="AN4" s="307">
        <f>(SUM(AI4:AM4)/SUM(AI$28:AM$28))*AN$28+15000000</f>
        <v>157177405.14466935</v>
      </c>
      <c r="AO4" s="307">
        <f t="shared" ref="AO4:AP4" si="38">(SUM(AJ4:AN4)/SUM(AJ$28:AN$28))*AO$28+15000000</f>
        <v>179330822.85339472</v>
      </c>
      <c r="AP4" s="307">
        <f t="shared" si="38"/>
        <v>203099661.6927726</v>
      </c>
      <c r="AQ4" s="308">
        <v>0</v>
      </c>
      <c r="AR4" s="309">
        <v>22820454.425963655</v>
      </c>
      <c r="AS4" s="308">
        <f t="shared" si="3"/>
        <v>631422.57403634489</v>
      </c>
      <c r="AT4" s="309">
        <v>26819273.922192127</v>
      </c>
      <c r="AU4" s="308">
        <f t="shared" si="4"/>
        <v>-747663.92219212651</v>
      </c>
      <c r="AV4" s="309">
        <v>30865626.209875181</v>
      </c>
      <c r="AW4" s="308">
        <f t="shared" si="5"/>
        <v>-1944129.2098751813</v>
      </c>
      <c r="AX4" s="309">
        <v>29788529.888436027</v>
      </c>
      <c r="AY4" s="308">
        <f t="shared" si="6"/>
        <v>137298.11156397313</v>
      </c>
      <c r="AZ4" s="309">
        <v>28889840.515204147</v>
      </c>
      <c r="BA4" s="308">
        <f t="shared" si="7"/>
        <v>-204351.5152041465</v>
      </c>
      <c r="BB4" s="309">
        <v>26084091.975237247</v>
      </c>
      <c r="BC4" s="308">
        <f t="shared" si="8"/>
        <v>7303295.2062558122</v>
      </c>
      <c r="BD4" s="309">
        <v>28589062.713619165</v>
      </c>
      <c r="BE4" s="308">
        <f t="shared" si="9"/>
        <v>3642948.5564278662</v>
      </c>
      <c r="BF4" s="309">
        <v>38009058.63262932</v>
      </c>
      <c r="BG4" s="308">
        <f t="shared" si="10"/>
        <v>-700000.34430206567</v>
      </c>
      <c r="BH4" s="309">
        <v>40440686.212658092</v>
      </c>
      <c r="BI4" s="308">
        <f t="shared" si="11"/>
        <v>39215.689819023013</v>
      </c>
      <c r="BJ4" s="309">
        <v>43245918.409058891</v>
      </c>
      <c r="BK4" s="308">
        <f t="shared" si="12"/>
        <v>-511620.14114551246</v>
      </c>
      <c r="BL4" s="309">
        <v>45105543.49898307</v>
      </c>
      <c r="BM4" s="308">
        <f t="shared" si="13"/>
        <v>519016.4350502938</v>
      </c>
      <c r="BN4" s="309">
        <v>48208950.100315459</v>
      </c>
      <c r="BO4" s="308">
        <f t="shared" si="14"/>
        <v>2500000</v>
      </c>
      <c r="BP4" s="309">
        <v>32819790.918360431</v>
      </c>
      <c r="BQ4" s="308">
        <f t="shared" si="15"/>
        <v>19300885.005098235</v>
      </c>
      <c r="BR4" s="309">
        <v>42304952.465769909</v>
      </c>
      <c r="BS4" s="308">
        <f t="shared" si="16"/>
        <v>12850345.899481095</v>
      </c>
      <c r="BT4" s="309">
        <v>44761780.298143059</v>
      </c>
      <c r="BU4" s="308">
        <f t="shared" si="17"/>
        <v>13272549.248250455</v>
      </c>
      <c r="BV4" s="309">
        <f>BT4</f>
        <v>44761780.298143059</v>
      </c>
      <c r="BW4" s="308">
        <f t="shared" si="18"/>
        <v>15895837.000852078</v>
      </c>
      <c r="BX4" s="309">
        <v>44141361.216270462</v>
      </c>
      <c r="BY4" s="308">
        <f t="shared" si="19"/>
        <v>18143084.561214849</v>
      </c>
      <c r="BZ4" s="309">
        <v>67211277.62438558</v>
      </c>
      <c r="CA4" s="308">
        <f t="shared" si="20"/>
        <v>-1750000</v>
      </c>
      <c r="CB4" s="309">
        <v>68486910.623721585</v>
      </c>
      <c r="CC4" s="308">
        <f t="shared" si="21"/>
        <v>5618.6813556700945</v>
      </c>
      <c r="CD4" s="309">
        <v>74373439.936264262</v>
      </c>
      <c r="CE4" s="308">
        <f t="shared" si="22"/>
        <v>-2500000</v>
      </c>
      <c r="CF4" s="309">
        <v>45299752.640188344</v>
      </c>
      <c r="CG4" s="308">
        <f t="shared" si="23"/>
        <v>33682471.236045144</v>
      </c>
      <c r="CH4" s="309">
        <v>45601721.897027262</v>
      </c>
      <c r="CI4" s="308">
        <f t="shared" si="24"/>
        <v>45060948.843407355</v>
      </c>
      <c r="CJ4" s="309">
        <v>45601721.897027262</v>
      </c>
      <c r="CK4" s="308">
        <f t="shared" si="25"/>
        <v>49703567.313777842</v>
      </c>
      <c r="CL4" s="309">
        <v>45601721.897027262</v>
      </c>
      <c r="CM4" s="308">
        <f t="shared" si="26"/>
        <v>54276431.319455631</v>
      </c>
      <c r="CN4" s="309">
        <v>45601721.897027262</v>
      </c>
      <c r="CO4" s="308">
        <f t="shared" si="27"/>
        <v>83220440.093233705</v>
      </c>
      <c r="CP4" s="309">
        <v>45601721.897027262</v>
      </c>
      <c r="CQ4" s="308">
        <f t="shared" si="28"/>
        <v>111575683.2476421</v>
      </c>
      <c r="CR4" s="309">
        <v>45601721.897027262</v>
      </c>
      <c r="CS4" s="308">
        <f t="shared" si="29"/>
        <v>157497939.79574534</v>
      </c>
      <c r="CT4" s="309">
        <v>45601721.897027262</v>
      </c>
      <c r="CU4" s="308">
        <f t="shared" si="30"/>
        <v>-22781267.471063606</v>
      </c>
      <c r="CV4" s="309">
        <v>45601721.897027262</v>
      </c>
      <c r="CW4" s="308">
        <f t="shared" si="31"/>
        <v>-46349385.819219388</v>
      </c>
      <c r="CX4" s="309">
        <v>45601721.897027262</v>
      </c>
      <c r="CY4" s="308">
        <f t="shared" si="32"/>
        <v>-14736095.68715208</v>
      </c>
      <c r="CZ4" s="309">
        <v>45601721.897027262</v>
      </c>
      <c r="DA4" s="308">
        <f t="shared" si="33"/>
        <v>-15813192.008591235</v>
      </c>
    </row>
    <row r="5" spans="1:105" ht="12" thickBot="1">
      <c r="A5" s="301" t="s">
        <v>225</v>
      </c>
      <c r="B5" s="308">
        <f>B100</f>
        <v>0</v>
      </c>
      <c r="C5" s="308">
        <f t="shared" ref="C5:AP5" si="39">C100</f>
        <v>172425788</v>
      </c>
      <c r="D5" s="308">
        <f t="shared" si="39"/>
        <v>575793102</v>
      </c>
      <c r="E5" s="308">
        <f t="shared" si="39"/>
        <v>435313268</v>
      </c>
      <c r="F5" s="308">
        <f t="shared" si="39"/>
        <v>64474655</v>
      </c>
      <c r="G5" s="308">
        <f t="shared" si="39"/>
        <v>88954450</v>
      </c>
      <c r="H5" s="308">
        <f t="shared" si="39"/>
        <v>34404034</v>
      </c>
      <c r="I5" s="308">
        <f t="shared" si="39"/>
        <v>73889090</v>
      </c>
      <c r="J5" s="308">
        <f t="shared" si="39"/>
        <v>77668319</v>
      </c>
      <c r="K5" s="308">
        <f t="shared" si="39"/>
        <v>195603169</v>
      </c>
      <c r="L5" s="308">
        <f t="shared" si="39"/>
        <v>185186372</v>
      </c>
      <c r="M5" s="308">
        <f t="shared" si="39"/>
        <v>59514391</v>
      </c>
      <c r="N5" s="308">
        <f t="shared" si="39"/>
        <v>80546883</v>
      </c>
      <c r="O5" s="308">
        <f t="shared" si="39"/>
        <v>21239003</v>
      </c>
      <c r="P5" s="308">
        <f t="shared" si="39"/>
        <v>0</v>
      </c>
      <c r="Q5" s="307">
        <f t="shared" si="39"/>
        <v>0</v>
      </c>
      <c r="R5" s="307">
        <f t="shared" si="39"/>
        <v>0</v>
      </c>
      <c r="S5" s="307">
        <f t="shared" si="39"/>
        <v>0</v>
      </c>
      <c r="T5" s="307">
        <f t="shared" si="39"/>
        <v>0</v>
      </c>
      <c r="U5" s="307">
        <f t="shared" si="39"/>
        <v>0</v>
      </c>
      <c r="V5" s="307">
        <f t="shared" si="39"/>
        <v>0</v>
      </c>
      <c r="W5" s="307">
        <f t="shared" si="39"/>
        <v>0</v>
      </c>
      <c r="X5" s="307">
        <f t="shared" si="39"/>
        <v>0</v>
      </c>
      <c r="Y5" s="307">
        <f t="shared" si="39"/>
        <v>0</v>
      </c>
      <c r="Z5" s="307">
        <f t="shared" si="39"/>
        <v>0</v>
      </c>
      <c r="AA5" s="307">
        <f t="shared" si="39"/>
        <v>0</v>
      </c>
      <c r="AB5" s="307">
        <f t="shared" si="39"/>
        <v>0</v>
      </c>
      <c r="AC5" s="307">
        <f t="shared" si="39"/>
        <v>0</v>
      </c>
      <c r="AD5" s="307">
        <f t="shared" si="39"/>
        <v>0</v>
      </c>
      <c r="AE5" s="307">
        <f t="shared" si="39"/>
        <v>0</v>
      </c>
      <c r="AF5" s="307">
        <f t="shared" si="39"/>
        <v>0</v>
      </c>
      <c r="AG5" s="307">
        <f t="shared" si="39"/>
        <v>0</v>
      </c>
      <c r="AH5" s="307">
        <f t="shared" si="39"/>
        <v>0</v>
      </c>
      <c r="AI5" s="307">
        <f t="shared" si="39"/>
        <v>0</v>
      </c>
      <c r="AJ5" s="307">
        <f t="shared" si="39"/>
        <v>0</v>
      </c>
      <c r="AK5" s="307">
        <f t="shared" si="39"/>
        <v>0</v>
      </c>
      <c r="AL5" s="307">
        <f t="shared" si="39"/>
        <v>0</v>
      </c>
      <c r="AM5" s="307">
        <f t="shared" si="39"/>
        <v>0</v>
      </c>
      <c r="AN5" s="307">
        <f t="shared" si="39"/>
        <v>0</v>
      </c>
      <c r="AO5" s="307">
        <f t="shared" si="39"/>
        <v>0</v>
      </c>
      <c r="AP5" s="307">
        <f t="shared" si="39"/>
        <v>0</v>
      </c>
      <c r="AQ5" s="308">
        <v>0</v>
      </c>
      <c r="AR5" s="309">
        <v>182748726.57403636</v>
      </c>
      <c r="AS5" s="308">
        <f t="shared" si="3"/>
        <v>2437645.4259636402</v>
      </c>
      <c r="AT5" s="309">
        <v>70543152.577807873</v>
      </c>
      <c r="AU5" s="308">
        <f t="shared" si="4"/>
        <v>-11028761.577807873</v>
      </c>
      <c r="AV5" s="309">
        <v>71384373.790124819</v>
      </c>
      <c r="AW5" s="308">
        <f t="shared" si="5"/>
        <v>9162509.2098751813</v>
      </c>
      <c r="AX5" s="309">
        <v>59211470.111563973</v>
      </c>
      <c r="AY5" s="308">
        <f t="shared" si="6"/>
        <v>-37972467.111563973</v>
      </c>
      <c r="AZ5" s="309">
        <v>0</v>
      </c>
      <c r="BA5" s="308">
        <f t="shared" si="7"/>
        <v>0</v>
      </c>
      <c r="BB5" s="309">
        <v>0</v>
      </c>
      <c r="BC5" s="308">
        <f t="shared" si="8"/>
        <v>0</v>
      </c>
      <c r="BD5" s="309">
        <v>0</v>
      </c>
      <c r="BE5" s="308">
        <f t="shared" si="9"/>
        <v>0</v>
      </c>
      <c r="BF5" s="309">
        <v>0</v>
      </c>
      <c r="BG5" s="308">
        <f t="shared" si="10"/>
        <v>0</v>
      </c>
      <c r="BH5" s="309">
        <v>0</v>
      </c>
      <c r="BI5" s="308">
        <f t="shared" si="11"/>
        <v>0</v>
      </c>
      <c r="BJ5" s="309">
        <v>0</v>
      </c>
      <c r="BK5" s="308">
        <f t="shared" si="12"/>
        <v>0</v>
      </c>
      <c r="BL5" s="309">
        <v>0</v>
      </c>
      <c r="BM5" s="308">
        <f t="shared" si="13"/>
        <v>0</v>
      </c>
      <c r="BN5" s="309">
        <v>0</v>
      </c>
      <c r="BO5" s="308">
        <f t="shared" si="14"/>
        <v>0</v>
      </c>
      <c r="BP5" s="309">
        <v>0</v>
      </c>
      <c r="BQ5" s="308">
        <f t="shared" si="15"/>
        <v>0</v>
      </c>
      <c r="BR5" s="309">
        <v>11695047.534230091</v>
      </c>
      <c r="BS5" s="308">
        <f t="shared" si="16"/>
        <v>-11695047.534230091</v>
      </c>
      <c r="BT5" s="309">
        <v>12238219.701856941</v>
      </c>
      <c r="BU5" s="308">
        <f t="shared" si="17"/>
        <v>-12238219.701856941</v>
      </c>
      <c r="BV5" s="309">
        <f>BT5</f>
        <v>12238219.701856941</v>
      </c>
      <c r="BW5" s="308">
        <f t="shared" si="18"/>
        <v>-12238219.701856941</v>
      </c>
      <c r="BX5" s="309">
        <v>105858638.78372954</v>
      </c>
      <c r="BY5" s="308">
        <f t="shared" si="19"/>
        <v>-105858638.78372954</v>
      </c>
      <c r="BZ5" s="309">
        <v>0</v>
      </c>
      <c r="CA5" s="308">
        <f t="shared" si="20"/>
        <v>0</v>
      </c>
      <c r="CB5" s="309">
        <v>0</v>
      </c>
      <c r="CC5" s="308">
        <f t="shared" si="21"/>
        <v>0</v>
      </c>
      <c r="CD5" s="309">
        <v>0</v>
      </c>
      <c r="CE5" s="308">
        <f t="shared" si="22"/>
        <v>0</v>
      </c>
      <c r="CF5" s="309">
        <v>108700247.35981166</v>
      </c>
      <c r="CG5" s="308">
        <f t="shared" si="23"/>
        <v>-108700247.35981166</v>
      </c>
      <c r="CH5" s="309">
        <v>109398278.10297275</v>
      </c>
      <c r="CI5" s="308">
        <f t="shared" si="24"/>
        <v>-109398278.10297275</v>
      </c>
      <c r="CJ5" s="309">
        <v>109398278.10297275</v>
      </c>
      <c r="CK5" s="308">
        <f t="shared" si="25"/>
        <v>-109398278.10297275</v>
      </c>
      <c r="CL5" s="309">
        <v>109398278.10297275</v>
      </c>
      <c r="CM5" s="308">
        <f t="shared" si="26"/>
        <v>-109398278.10297275</v>
      </c>
      <c r="CN5" s="309">
        <v>109398278.10297275</v>
      </c>
      <c r="CO5" s="308">
        <f t="shared" si="27"/>
        <v>-109398278.10297275</v>
      </c>
      <c r="CP5" s="309">
        <v>109398278.10297275</v>
      </c>
      <c r="CQ5" s="308">
        <f t="shared" si="28"/>
        <v>-109398278.10297275</v>
      </c>
      <c r="CR5" s="309">
        <v>109398278.10297275</v>
      </c>
      <c r="CS5" s="308">
        <f t="shared" si="29"/>
        <v>-109398278.10297275</v>
      </c>
      <c r="CT5" s="309">
        <v>109398278.10297275</v>
      </c>
      <c r="CU5" s="308">
        <f t="shared" si="30"/>
        <v>73350448.471063614</v>
      </c>
      <c r="CV5" s="309">
        <v>109398278.10297275</v>
      </c>
      <c r="CW5" s="308">
        <f t="shared" si="31"/>
        <v>-120427039.68078062</v>
      </c>
      <c r="CX5" s="309">
        <v>109398278.10297275</v>
      </c>
      <c r="CY5" s="308">
        <f t="shared" si="32"/>
        <v>-38013904.312847927</v>
      </c>
      <c r="CZ5" s="309">
        <v>109398278.10297275</v>
      </c>
      <c r="DA5" s="308">
        <f t="shared" si="33"/>
        <v>-50186807.991408773</v>
      </c>
    </row>
    <row r="6" spans="1:105">
      <c r="A6" s="310" t="s">
        <v>283</v>
      </c>
      <c r="B6" s="311">
        <f>B7+B10</f>
        <v>7817036</v>
      </c>
      <c r="C6" s="311">
        <f t="shared" ref="C6:P6" si="40">C7+C10</f>
        <v>16719616</v>
      </c>
      <c r="D6" s="311">
        <f t="shared" si="40"/>
        <v>12205618</v>
      </c>
      <c r="E6" s="311">
        <f t="shared" si="40"/>
        <v>41278442</v>
      </c>
      <c r="F6" s="311">
        <f t="shared" si="40"/>
        <v>8605018</v>
      </c>
      <c r="G6" s="311">
        <f t="shared" si="40"/>
        <v>4979775</v>
      </c>
      <c r="H6" s="311">
        <f t="shared" si="40"/>
        <v>4666016</v>
      </c>
      <c r="I6" s="311">
        <f t="shared" si="40"/>
        <v>5147237</v>
      </c>
      <c r="J6" s="311">
        <f t="shared" si="40"/>
        <v>23607885</v>
      </c>
      <c r="K6" s="311">
        <f t="shared" si="40"/>
        <v>34293809</v>
      </c>
      <c r="L6" s="311">
        <f t="shared" si="40"/>
        <v>50596671</v>
      </c>
      <c r="M6" s="311">
        <f t="shared" si="40"/>
        <v>62444807</v>
      </c>
      <c r="N6" s="311">
        <f t="shared" si="40"/>
        <v>75967064</v>
      </c>
      <c r="O6" s="311">
        <f t="shared" si="40"/>
        <v>72161104</v>
      </c>
      <c r="P6" s="311">
        <f t="shared" si="40"/>
        <v>67136623</v>
      </c>
      <c r="Q6" s="312">
        <f t="shared" ref="Q6:AD6" si="41">Q9</f>
        <v>61713905.573394053</v>
      </c>
      <c r="R6" s="312">
        <f t="shared" si="41"/>
        <v>74644479.867806837</v>
      </c>
      <c r="S6" s="313">
        <f t="shared" si="41"/>
        <v>90174702.882584006</v>
      </c>
      <c r="T6" s="313">
        <f t="shared" si="41"/>
        <v>94265461.32229273</v>
      </c>
      <c r="U6" s="313">
        <f t="shared" si="41"/>
        <v>101063952.52821082</v>
      </c>
      <c r="V6" s="313">
        <f t="shared" si="41"/>
        <v>108107155.51235586</v>
      </c>
      <c r="W6" s="313">
        <f t="shared" si="41"/>
        <v>112379365.64766049</v>
      </c>
      <c r="X6" s="313">
        <f t="shared" si="41"/>
        <v>127428482.91331537</v>
      </c>
      <c r="Y6" s="313">
        <f t="shared" si="41"/>
        <v>130758287.08032538</v>
      </c>
      <c r="Z6" s="313">
        <f t="shared" si="41"/>
        <v>137035550.46998152</v>
      </c>
      <c r="AA6" s="313">
        <f t="shared" si="41"/>
        <v>145226327.89713299</v>
      </c>
      <c r="AB6" s="313">
        <f t="shared" si="41"/>
        <v>142022344.47656283</v>
      </c>
      <c r="AC6" s="313">
        <f t="shared" si="41"/>
        <v>153559589.09913054</v>
      </c>
      <c r="AD6" s="313">
        <f t="shared" si="41"/>
        <v>169326008.73336238</v>
      </c>
      <c r="AE6" s="313">
        <f>AE9</f>
        <v>184963564.51450959</v>
      </c>
      <c r="AF6" s="313">
        <f>AF9</f>
        <v>184843338.36442617</v>
      </c>
      <c r="AG6" s="313">
        <f>AG9</f>
        <v>185521393.91805434</v>
      </c>
      <c r="AH6" s="313">
        <f t="shared" ref="AH6:AP6" si="42">AH9</f>
        <v>194919891.07098955</v>
      </c>
      <c r="AI6" s="313">
        <f t="shared" si="42"/>
        <v>210458671.79477972</v>
      </c>
      <c r="AJ6" s="313">
        <f t="shared" si="42"/>
        <v>215714637.30980021</v>
      </c>
      <c r="AK6" s="313">
        <f t="shared" si="42"/>
        <v>215302101.90128431</v>
      </c>
      <c r="AL6" s="313">
        <f t="shared" si="42"/>
        <v>214329643.56146899</v>
      </c>
      <c r="AM6" s="313">
        <f t="shared" si="42"/>
        <v>210656869.64084795</v>
      </c>
      <c r="AN6" s="313">
        <f t="shared" si="42"/>
        <v>218718110.75192347</v>
      </c>
      <c r="AO6" s="313">
        <f t="shared" si="42"/>
        <v>226612394.03571084</v>
      </c>
      <c r="AP6" s="313">
        <f t="shared" si="42"/>
        <v>228643183.76592827</v>
      </c>
      <c r="AQ6" s="308">
        <v>-2009824.3311376572</v>
      </c>
      <c r="AR6" s="313">
        <v>46056741.012658119</v>
      </c>
      <c r="AS6" s="308">
        <f t="shared" si="3"/>
        <v>4539929.9873418808</v>
      </c>
      <c r="AT6" s="313">
        <v>58200000</v>
      </c>
      <c r="AU6" s="308">
        <f t="shared" si="4"/>
        <v>4244807</v>
      </c>
      <c r="AV6" s="313">
        <v>78389464.376552105</v>
      </c>
      <c r="AW6" s="308">
        <f t="shared" si="5"/>
        <v>-2422400.3765521049</v>
      </c>
      <c r="AX6" s="313">
        <v>73959562.118039846</v>
      </c>
      <c r="AY6" s="308">
        <f t="shared" si="6"/>
        <v>-1798458.1180398464</v>
      </c>
      <c r="AZ6" s="313">
        <v>65318313.930454172</v>
      </c>
      <c r="BA6" s="308">
        <f t="shared" si="7"/>
        <v>1818309.0695458278</v>
      </c>
      <c r="BB6" s="313">
        <v>76713905.57339406</v>
      </c>
      <c r="BC6" s="308">
        <f t="shared" si="8"/>
        <v>-15000000.000000007</v>
      </c>
      <c r="BD6" s="313">
        <v>75050466.842944115</v>
      </c>
      <c r="BE6" s="308">
        <f t="shared" si="9"/>
        <v>-405986.97513727844</v>
      </c>
      <c r="BF6" s="313">
        <v>87587171.336243823</v>
      </c>
      <c r="BG6" s="308">
        <f t="shared" si="10"/>
        <v>2587531.5463401824</v>
      </c>
      <c r="BH6" s="313">
        <v>94158939.773696974</v>
      </c>
      <c r="BI6" s="308">
        <f t="shared" si="11"/>
        <v>106521.54859575629</v>
      </c>
      <c r="BJ6" s="313">
        <v>101293026.29862364</v>
      </c>
      <c r="BK6" s="308">
        <f t="shared" si="12"/>
        <v>-229073.7704128176</v>
      </c>
      <c r="BL6" s="313">
        <v>108731841.32905525</v>
      </c>
      <c r="BM6" s="308">
        <f t="shared" si="13"/>
        <v>-624685.81669938564</v>
      </c>
      <c r="BN6" s="313">
        <v>110647435.91480474</v>
      </c>
      <c r="BO6" s="308">
        <f t="shared" si="14"/>
        <v>1731929.7328557521</v>
      </c>
      <c r="BP6" s="313">
        <v>116556484.28021052</v>
      </c>
      <c r="BQ6" s="308">
        <f t="shared" si="15"/>
        <v>10871998.633104846</v>
      </c>
      <c r="BR6" s="313">
        <v>958693369.13688529</v>
      </c>
      <c r="BS6" s="308">
        <f t="shared" si="16"/>
        <v>-827935082.05655992</v>
      </c>
      <c r="BT6" s="313">
        <v>1417268317.127147</v>
      </c>
      <c r="BU6" s="308">
        <f t="shared" si="17"/>
        <v>-1280232766.6571655</v>
      </c>
      <c r="BV6" s="313">
        <v>1417268317.127147</v>
      </c>
      <c r="BW6" s="308">
        <f t="shared" si="18"/>
        <v>-1272041989.2300138</v>
      </c>
      <c r="BX6" s="313">
        <v>72753983.841182709</v>
      </c>
      <c r="BY6" s="308">
        <f t="shared" si="19"/>
        <v>69268360.635380119</v>
      </c>
      <c r="BZ6" s="313">
        <v>153853482.87101936</v>
      </c>
      <c r="CA6" s="308">
        <f t="shared" si="20"/>
        <v>-293893.77188882232</v>
      </c>
      <c r="CB6" s="313">
        <v>169907417.51430953</v>
      </c>
      <c r="CC6" s="308">
        <f t="shared" si="21"/>
        <v>-581408.7809471488</v>
      </c>
      <c r="CD6" s="313">
        <v>186144494.40092817</v>
      </c>
      <c r="CE6" s="308">
        <f t="shared" si="22"/>
        <v>-1180929.886418581</v>
      </c>
      <c r="CF6" s="313">
        <v>72815465.843406677</v>
      </c>
      <c r="CG6" s="308">
        <f t="shared" si="23"/>
        <v>112027872.52101949</v>
      </c>
      <c r="CH6" s="313">
        <v>72790346.831745148</v>
      </c>
      <c r="CI6" s="308">
        <f t="shared" si="24"/>
        <v>112731047.08630919</v>
      </c>
      <c r="CJ6" s="313">
        <v>72790346.831745148</v>
      </c>
      <c r="CK6" s="308">
        <f t="shared" si="25"/>
        <v>122129544.2392444</v>
      </c>
      <c r="CL6" s="313">
        <v>72790346.831745148</v>
      </c>
      <c r="CM6" s="308">
        <f t="shared" si="26"/>
        <v>142924290.47805506</v>
      </c>
      <c r="CN6" s="313">
        <v>72790346.831745148</v>
      </c>
      <c r="CO6" s="308">
        <f t="shared" si="27"/>
        <v>137866522.8091028</v>
      </c>
      <c r="CP6" s="313">
        <v>72790346.831745148</v>
      </c>
      <c r="CQ6" s="308">
        <f t="shared" si="28"/>
        <v>145927763.92017832</v>
      </c>
      <c r="CR6" s="313">
        <v>72790346.831745148</v>
      </c>
      <c r="CS6" s="308">
        <f t="shared" si="29"/>
        <v>155852836.93418312</v>
      </c>
      <c r="CT6" s="313">
        <v>72790346.831745148</v>
      </c>
      <c r="CU6" s="308">
        <f t="shared" si="30"/>
        <v>-26733605.819087029</v>
      </c>
      <c r="CV6" s="313">
        <v>72790346.831745148</v>
      </c>
      <c r="CW6" s="308">
        <f t="shared" si="31"/>
        <v>-68545539.831745148</v>
      </c>
      <c r="CX6" s="313">
        <v>72790346.831745148</v>
      </c>
      <c r="CY6" s="308">
        <f t="shared" si="32"/>
        <v>5599117.5448069572</v>
      </c>
      <c r="CZ6" s="313">
        <v>72790346.831745148</v>
      </c>
      <c r="DA6" s="308">
        <f t="shared" si="33"/>
        <v>1169215.2862946987</v>
      </c>
    </row>
    <row r="7" spans="1:105">
      <c r="A7" s="301" t="s">
        <v>224</v>
      </c>
      <c r="B7" s="308">
        <f>B8+B9</f>
        <v>7817036</v>
      </c>
      <c r="C7" s="308">
        <f t="shared" ref="C7:P7" si="43">C8+C9</f>
        <v>16719616</v>
      </c>
      <c r="D7" s="308">
        <f t="shared" si="43"/>
        <v>12205618</v>
      </c>
      <c r="E7" s="308">
        <f t="shared" si="43"/>
        <v>41278442</v>
      </c>
      <c r="F7" s="308">
        <f t="shared" si="43"/>
        <v>8605018</v>
      </c>
      <c r="G7" s="308">
        <f t="shared" si="43"/>
        <v>4979775</v>
      </c>
      <c r="H7" s="308">
        <f t="shared" si="43"/>
        <v>4666016</v>
      </c>
      <c r="I7" s="308">
        <f t="shared" si="43"/>
        <v>5147237</v>
      </c>
      <c r="J7" s="308">
        <f t="shared" si="43"/>
        <v>23607885</v>
      </c>
      <c r="K7" s="308">
        <f t="shared" si="43"/>
        <v>34293809</v>
      </c>
      <c r="L7" s="308">
        <f t="shared" si="43"/>
        <v>50596671</v>
      </c>
      <c r="M7" s="308">
        <f t="shared" si="43"/>
        <v>62444807</v>
      </c>
      <c r="N7" s="308">
        <f t="shared" si="43"/>
        <v>75967064</v>
      </c>
      <c r="O7" s="308">
        <f t="shared" si="43"/>
        <v>72161104</v>
      </c>
      <c r="P7" s="308">
        <f t="shared" si="43"/>
        <v>67136623</v>
      </c>
      <c r="Q7" s="307">
        <f>(SUM(L7:P7)/SUM(L6:P6))*Q6</f>
        <v>61713905.573394053</v>
      </c>
      <c r="R7" s="307">
        <f t="shared" ref="R7:AD7" si="44">(SUM(M7:Q7)/SUM(M6:Q6))*R6</f>
        <v>74644479.867806837</v>
      </c>
      <c r="S7" s="309">
        <f t="shared" si="44"/>
        <v>90174702.882584006</v>
      </c>
      <c r="T7" s="309">
        <f t="shared" si="44"/>
        <v>94265461.32229273</v>
      </c>
      <c r="U7" s="309">
        <f t="shared" si="44"/>
        <v>101063952.52821082</v>
      </c>
      <c r="V7" s="309">
        <f t="shared" si="44"/>
        <v>108107155.51235586</v>
      </c>
      <c r="W7" s="309">
        <f>(SUM(R7:V7)/SUM(R6:V6))*W6</f>
        <v>112379365.64766049</v>
      </c>
      <c r="X7" s="309">
        <f t="shared" si="44"/>
        <v>127428482.91331537</v>
      </c>
      <c r="Y7" s="309">
        <f t="shared" si="44"/>
        <v>130758287.08032538</v>
      </c>
      <c r="Z7" s="309">
        <f t="shared" si="44"/>
        <v>137035550.46998152</v>
      </c>
      <c r="AA7" s="309">
        <f t="shared" si="44"/>
        <v>145226327.89713299</v>
      </c>
      <c r="AB7" s="309">
        <f t="shared" si="44"/>
        <v>142022344.47656283</v>
      </c>
      <c r="AC7" s="309">
        <f t="shared" si="44"/>
        <v>153559589.09913054</v>
      </c>
      <c r="AD7" s="309">
        <f t="shared" si="44"/>
        <v>169326008.73336238</v>
      </c>
      <c r="AE7" s="309">
        <f>(SUM(Z7:AD7)/SUM(Z6:AD6))*AE6</f>
        <v>184963564.51450959</v>
      </c>
      <c r="AF7" s="309">
        <f>(SUM(AA7:AE7)/SUM(AA6:AE6))*AF6</f>
        <v>184843338.36442617</v>
      </c>
      <c r="AG7" s="309">
        <f>(SUM(AB7:AF7)/SUM(AB6:AF6))*AG6</f>
        <v>185521393.91805434</v>
      </c>
      <c r="AH7" s="309">
        <f t="shared" ref="AH7:AP7" si="45">(SUM(AC7:AG7)/SUM(AC6:AG6))*AH6</f>
        <v>194919891.07098955</v>
      </c>
      <c r="AI7" s="309">
        <f t="shared" si="45"/>
        <v>210458671.79477972</v>
      </c>
      <c r="AJ7" s="309">
        <f t="shared" si="45"/>
        <v>215714637.30980021</v>
      </c>
      <c r="AK7" s="309">
        <f t="shared" si="45"/>
        <v>215302101.90128431</v>
      </c>
      <c r="AL7" s="309">
        <f t="shared" si="45"/>
        <v>214329643.56146899</v>
      </c>
      <c r="AM7" s="309">
        <f t="shared" si="45"/>
        <v>210656869.64084795</v>
      </c>
      <c r="AN7" s="309">
        <f t="shared" si="45"/>
        <v>218718110.75192347</v>
      </c>
      <c r="AO7" s="309">
        <f t="shared" si="45"/>
        <v>226612394.03571084</v>
      </c>
      <c r="AP7" s="309">
        <f t="shared" si="45"/>
        <v>228643183.76592827</v>
      </c>
      <c r="AQ7" s="308">
        <v>-2009824.3311376572</v>
      </c>
      <c r="AR7" s="309">
        <v>46056741.012658119</v>
      </c>
      <c r="AS7" s="308">
        <f t="shared" si="3"/>
        <v>4539929.9873418808</v>
      </c>
      <c r="AT7" s="309">
        <v>58200000</v>
      </c>
      <c r="AU7" s="308">
        <f t="shared" si="4"/>
        <v>4244807</v>
      </c>
      <c r="AV7" s="309">
        <v>78389464.376552105</v>
      </c>
      <c r="AW7" s="308">
        <f t="shared" si="5"/>
        <v>-2422400.3765521049</v>
      </c>
      <c r="AX7" s="309">
        <v>73959562.118039846</v>
      </c>
      <c r="AY7" s="308">
        <f t="shared" si="6"/>
        <v>-1798458.1180398464</v>
      </c>
      <c r="AZ7" s="309">
        <v>65318313.930454172</v>
      </c>
      <c r="BA7" s="308">
        <f t="shared" si="7"/>
        <v>1818309.0695458278</v>
      </c>
      <c r="BB7" s="309">
        <v>76713905.57339406</v>
      </c>
      <c r="BC7" s="308">
        <f t="shared" si="8"/>
        <v>-15000000.000000007</v>
      </c>
      <c r="BD7" s="309">
        <v>75050466.842944115</v>
      </c>
      <c r="BE7" s="308">
        <f t="shared" si="9"/>
        <v>-405986.97513727844</v>
      </c>
      <c r="BF7" s="309">
        <v>87587171.336243823</v>
      </c>
      <c r="BG7" s="308">
        <f t="shared" si="10"/>
        <v>2587531.5463401824</v>
      </c>
      <c r="BH7" s="309">
        <v>94158939.773696974</v>
      </c>
      <c r="BI7" s="308">
        <f t="shared" si="11"/>
        <v>106521.54859575629</v>
      </c>
      <c r="BJ7" s="309">
        <v>101293026.29862364</v>
      </c>
      <c r="BK7" s="308">
        <f t="shared" si="12"/>
        <v>-229073.7704128176</v>
      </c>
      <c r="BL7" s="309">
        <v>108731841.32905525</v>
      </c>
      <c r="BM7" s="308">
        <f t="shared" si="13"/>
        <v>-624685.81669938564</v>
      </c>
      <c r="BN7" s="309">
        <v>110647435.91480474</v>
      </c>
      <c r="BO7" s="308">
        <f t="shared" si="14"/>
        <v>1731929.7328557521</v>
      </c>
      <c r="BP7" s="309">
        <v>116556484.28021052</v>
      </c>
      <c r="BQ7" s="308">
        <f t="shared" si="15"/>
        <v>10871998.633104846</v>
      </c>
      <c r="BR7" s="309">
        <v>958693369.13688529</v>
      </c>
      <c r="BS7" s="308">
        <f t="shared" si="16"/>
        <v>-827935082.05655992</v>
      </c>
      <c r="BT7" s="309">
        <v>1417268317.127147</v>
      </c>
      <c r="BU7" s="308">
        <f t="shared" si="17"/>
        <v>-1280232766.6571655</v>
      </c>
      <c r="BV7" s="309">
        <v>1417268317.127147</v>
      </c>
      <c r="BW7" s="308">
        <f t="shared" si="18"/>
        <v>-1272041989.2300138</v>
      </c>
      <c r="BX7" s="309">
        <v>72753983.841182709</v>
      </c>
      <c r="BY7" s="308">
        <f t="shared" si="19"/>
        <v>69268360.635380119</v>
      </c>
      <c r="BZ7" s="309">
        <v>153853482.87101936</v>
      </c>
      <c r="CA7" s="308">
        <f t="shared" si="20"/>
        <v>-293893.77188882232</v>
      </c>
      <c r="CB7" s="309">
        <v>169907417.51430953</v>
      </c>
      <c r="CC7" s="308">
        <f t="shared" si="21"/>
        <v>-581408.7809471488</v>
      </c>
      <c r="CD7" s="309">
        <v>186144494.40092817</v>
      </c>
      <c r="CE7" s="308">
        <f t="shared" si="22"/>
        <v>-1180929.886418581</v>
      </c>
      <c r="CF7" s="309">
        <v>72815465.843406677</v>
      </c>
      <c r="CG7" s="308">
        <f t="shared" si="23"/>
        <v>112027872.52101949</v>
      </c>
      <c r="CH7" s="309">
        <v>72790346.831745148</v>
      </c>
      <c r="CI7" s="308">
        <f t="shared" si="24"/>
        <v>112731047.08630919</v>
      </c>
      <c r="CJ7" s="309">
        <v>72790346.831745148</v>
      </c>
      <c r="CK7" s="308">
        <f t="shared" si="25"/>
        <v>122129544.2392444</v>
      </c>
      <c r="CL7" s="309">
        <v>72790346.831745148</v>
      </c>
      <c r="CM7" s="308">
        <f t="shared" si="26"/>
        <v>142924290.47805506</v>
      </c>
      <c r="CN7" s="309">
        <v>72790346.831745148</v>
      </c>
      <c r="CO7" s="308">
        <f t="shared" si="27"/>
        <v>137866522.8091028</v>
      </c>
      <c r="CP7" s="309">
        <v>72790346.831745148</v>
      </c>
      <c r="CQ7" s="308">
        <f t="shared" si="28"/>
        <v>145927763.92017832</v>
      </c>
      <c r="CR7" s="309">
        <v>72790346.831745148</v>
      </c>
      <c r="CS7" s="308">
        <f t="shared" si="29"/>
        <v>155852836.93418312</v>
      </c>
      <c r="CT7" s="309">
        <v>72790346.831745148</v>
      </c>
      <c r="CU7" s="308">
        <f t="shared" si="30"/>
        <v>-26733605.819087029</v>
      </c>
      <c r="CV7" s="309">
        <v>72790346.831745148</v>
      </c>
      <c r="CW7" s="308">
        <f t="shared" si="31"/>
        <v>-68545539.831745148</v>
      </c>
      <c r="CX7" s="309">
        <v>72790346.831745148</v>
      </c>
      <c r="CY7" s="308">
        <f t="shared" si="32"/>
        <v>5599117.5448069572</v>
      </c>
      <c r="CZ7" s="309">
        <v>72790346.831745148</v>
      </c>
      <c r="DA7" s="308">
        <f t="shared" si="33"/>
        <v>1169215.2862946987</v>
      </c>
    </row>
    <row r="8" spans="1:105">
      <c r="A8" s="301" t="s">
        <v>285</v>
      </c>
      <c r="B8" s="308">
        <f>B148</f>
        <v>5175074</v>
      </c>
      <c r="C8" s="308">
        <f t="shared" ref="C8:P8" si="46">C148</f>
        <v>12183578</v>
      </c>
      <c r="D8" s="308">
        <f t="shared" si="46"/>
        <v>2167286</v>
      </c>
      <c r="E8" s="308">
        <f t="shared" si="46"/>
        <v>11612</v>
      </c>
      <c r="F8" s="308">
        <f t="shared" si="46"/>
        <v>300</v>
      </c>
      <c r="G8" s="308">
        <f t="shared" si="46"/>
        <v>0</v>
      </c>
      <c r="H8" s="308">
        <f t="shared" si="46"/>
        <v>0</v>
      </c>
      <c r="I8" s="308">
        <f t="shared" si="46"/>
        <v>0</v>
      </c>
      <c r="J8" s="308">
        <f t="shared" si="46"/>
        <v>0</v>
      </c>
      <c r="K8" s="308">
        <f t="shared" si="46"/>
        <v>0</v>
      </c>
      <c r="L8" s="308">
        <f t="shared" si="46"/>
        <v>0</v>
      </c>
      <c r="M8" s="308">
        <f t="shared" si="46"/>
        <v>0</v>
      </c>
      <c r="N8" s="308">
        <f t="shared" si="46"/>
        <v>0</v>
      </c>
      <c r="O8" s="308">
        <f t="shared" si="46"/>
        <v>0</v>
      </c>
      <c r="P8" s="308">
        <f t="shared" si="46"/>
        <v>0</v>
      </c>
      <c r="Q8" s="307">
        <f t="shared" ref="Q8:AD8" si="47">Q7-Q9</f>
        <v>0</v>
      </c>
      <c r="R8" s="307">
        <f t="shared" si="47"/>
        <v>0</v>
      </c>
      <c r="S8" s="309">
        <f t="shared" si="47"/>
        <v>0</v>
      </c>
      <c r="T8" s="309">
        <f t="shared" si="47"/>
        <v>0</v>
      </c>
      <c r="U8" s="309">
        <f t="shared" si="47"/>
        <v>0</v>
      </c>
      <c r="V8" s="309">
        <f t="shared" si="47"/>
        <v>0</v>
      </c>
      <c r="W8" s="309">
        <f t="shared" si="47"/>
        <v>0</v>
      </c>
      <c r="X8" s="309">
        <f t="shared" si="47"/>
        <v>0</v>
      </c>
      <c r="Y8" s="309">
        <f t="shared" si="47"/>
        <v>0</v>
      </c>
      <c r="Z8" s="309">
        <f t="shared" si="47"/>
        <v>0</v>
      </c>
      <c r="AA8" s="309">
        <f t="shared" si="47"/>
        <v>0</v>
      </c>
      <c r="AB8" s="309">
        <f t="shared" si="47"/>
        <v>0</v>
      </c>
      <c r="AC8" s="309">
        <f t="shared" si="47"/>
        <v>0</v>
      </c>
      <c r="AD8" s="309">
        <f t="shared" si="47"/>
        <v>0</v>
      </c>
      <c r="AE8" s="309">
        <f>AE7-AE9</f>
        <v>0</v>
      </c>
      <c r="AF8" s="309">
        <f>AF7-AF9</f>
        <v>0</v>
      </c>
      <c r="AG8" s="309">
        <f>AG7-AG9</f>
        <v>0</v>
      </c>
      <c r="AH8" s="309">
        <f t="shared" ref="AH8:AP8" si="48">AH7-AH9</f>
        <v>0</v>
      </c>
      <c r="AI8" s="309">
        <f t="shared" si="48"/>
        <v>0</v>
      </c>
      <c r="AJ8" s="309">
        <f t="shared" si="48"/>
        <v>0</v>
      </c>
      <c r="AK8" s="309">
        <f t="shared" si="48"/>
        <v>0</v>
      </c>
      <c r="AL8" s="309">
        <f t="shared" si="48"/>
        <v>0</v>
      </c>
      <c r="AM8" s="309">
        <f t="shared" si="48"/>
        <v>0</v>
      </c>
      <c r="AN8" s="309">
        <f t="shared" si="48"/>
        <v>0</v>
      </c>
      <c r="AO8" s="309">
        <f t="shared" si="48"/>
        <v>0</v>
      </c>
      <c r="AP8" s="309">
        <f t="shared" si="48"/>
        <v>0</v>
      </c>
      <c r="AQ8" s="301">
        <v>0</v>
      </c>
      <c r="AR8" s="309">
        <v>0</v>
      </c>
      <c r="AS8" s="308">
        <f t="shared" si="3"/>
        <v>0</v>
      </c>
      <c r="AT8" s="309">
        <v>0</v>
      </c>
      <c r="AU8" s="308">
        <f t="shared" si="4"/>
        <v>0</v>
      </c>
      <c r="AV8" s="309">
        <v>0</v>
      </c>
      <c r="AW8" s="308">
        <f t="shared" si="5"/>
        <v>0</v>
      </c>
      <c r="AX8" s="309">
        <v>0</v>
      </c>
      <c r="AY8" s="308">
        <f t="shared" si="6"/>
        <v>0</v>
      </c>
      <c r="AZ8" s="309">
        <v>0</v>
      </c>
      <c r="BA8" s="308">
        <f t="shared" si="7"/>
        <v>0</v>
      </c>
      <c r="BB8" s="309">
        <v>0</v>
      </c>
      <c r="BC8" s="308">
        <f t="shared" si="8"/>
        <v>0</v>
      </c>
      <c r="BD8" s="309">
        <v>0</v>
      </c>
      <c r="BE8" s="308">
        <f t="shared" si="9"/>
        <v>0</v>
      </c>
      <c r="BF8" s="309">
        <v>0</v>
      </c>
      <c r="BG8" s="308">
        <f t="shared" si="10"/>
        <v>0</v>
      </c>
      <c r="BH8" s="309">
        <v>0</v>
      </c>
      <c r="BI8" s="308">
        <f t="shared" si="11"/>
        <v>0</v>
      </c>
      <c r="BJ8" s="309">
        <v>0</v>
      </c>
      <c r="BK8" s="308">
        <f t="shared" si="12"/>
        <v>0</v>
      </c>
      <c r="BL8" s="309">
        <v>0</v>
      </c>
      <c r="BM8" s="308">
        <f t="shared" si="13"/>
        <v>0</v>
      </c>
      <c r="BN8" s="309">
        <v>0</v>
      </c>
      <c r="BO8" s="308">
        <f t="shared" si="14"/>
        <v>0</v>
      </c>
      <c r="BP8" s="309">
        <v>0</v>
      </c>
      <c r="BQ8" s="308">
        <f t="shared" si="15"/>
        <v>0</v>
      </c>
      <c r="BR8" s="309">
        <v>0</v>
      </c>
      <c r="BS8" s="308">
        <f t="shared" si="16"/>
        <v>0</v>
      </c>
      <c r="BT8" s="309">
        <v>0</v>
      </c>
      <c r="BU8" s="308">
        <f t="shared" si="17"/>
        <v>0</v>
      </c>
      <c r="BV8" s="309">
        <v>0</v>
      </c>
      <c r="BW8" s="308">
        <f t="shared" si="18"/>
        <v>0</v>
      </c>
      <c r="BX8" s="309">
        <v>0</v>
      </c>
      <c r="BY8" s="308">
        <f t="shared" si="19"/>
        <v>0</v>
      </c>
      <c r="BZ8" s="309">
        <v>0</v>
      </c>
      <c r="CA8" s="308">
        <f t="shared" si="20"/>
        <v>0</v>
      </c>
      <c r="CB8" s="309">
        <v>0</v>
      </c>
      <c r="CC8" s="308">
        <f t="shared" si="21"/>
        <v>0</v>
      </c>
      <c r="CD8" s="309">
        <v>0</v>
      </c>
      <c r="CE8" s="308">
        <f t="shared" si="22"/>
        <v>0</v>
      </c>
      <c r="CF8" s="309">
        <v>0</v>
      </c>
      <c r="CG8" s="308">
        <f t="shared" si="23"/>
        <v>0</v>
      </c>
      <c r="CH8" s="309">
        <v>0</v>
      </c>
      <c r="CI8" s="308">
        <f t="shared" si="24"/>
        <v>0</v>
      </c>
      <c r="CJ8" s="309">
        <v>0</v>
      </c>
      <c r="CK8" s="308">
        <f t="shared" si="25"/>
        <v>0</v>
      </c>
      <c r="CL8" s="309">
        <v>0</v>
      </c>
      <c r="CM8" s="308">
        <f t="shared" si="26"/>
        <v>0</v>
      </c>
      <c r="CN8" s="309">
        <v>0</v>
      </c>
      <c r="CO8" s="308">
        <f t="shared" si="27"/>
        <v>0</v>
      </c>
      <c r="CP8" s="309">
        <v>0</v>
      </c>
      <c r="CQ8" s="308">
        <f t="shared" si="28"/>
        <v>0</v>
      </c>
      <c r="CR8" s="309">
        <v>0</v>
      </c>
      <c r="CS8" s="308">
        <f t="shared" si="29"/>
        <v>0</v>
      </c>
      <c r="CT8" s="309">
        <v>0</v>
      </c>
      <c r="CU8" s="308">
        <f t="shared" si="30"/>
        <v>0</v>
      </c>
      <c r="CV8" s="309">
        <v>0</v>
      </c>
      <c r="CW8" s="308">
        <f t="shared" si="31"/>
        <v>0</v>
      </c>
      <c r="CX8" s="309">
        <v>0</v>
      </c>
      <c r="CY8" s="308">
        <f t="shared" si="32"/>
        <v>0</v>
      </c>
      <c r="CZ8" s="309">
        <v>0</v>
      </c>
      <c r="DA8" s="308">
        <f t="shared" si="33"/>
        <v>0</v>
      </c>
    </row>
    <row r="9" spans="1:105">
      <c r="A9" s="301" t="s">
        <v>286</v>
      </c>
      <c r="B9" s="308">
        <f>B164</f>
        <v>2641962</v>
      </c>
      <c r="C9" s="308">
        <f t="shared" ref="C9:P9" si="49">C164</f>
        <v>4536038</v>
      </c>
      <c r="D9" s="308">
        <f t="shared" si="49"/>
        <v>10038332</v>
      </c>
      <c r="E9" s="308">
        <f t="shared" si="49"/>
        <v>41266830</v>
      </c>
      <c r="F9" s="308">
        <f t="shared" si="49"/>
        <v>8604718</v>
      </c>
      <c r="G9" s="308">
        <f t="shared" si="49"/>
        <v>4979775</v>
      </c>
      <c r="H9" s="308">
        <f t="shared" si="49"/>
        <v>4666016</v>
      </c>
      <c r="I9" s="308">
        <f t="shared" si="49"/>
        <v>5147237</v>
      </c>
      <c r="J9" s="308">
        <f t="shared" si="49"/>
        <v>23607885</v>
      </c>
      <c r="K9" s="308">
        <f t="shared" si="49"/>
        <v>34293809</v>
      </c>
      <c r="L9" s="308">
        <f t="shared" si="49"/>
        <v>50596671</v>
      </c>
      <c r="M9" s="308">
        <f t="shared" si="49"/>
        <v>62444807</v>
      </c>
      <c r="N9" s="308">
        <f t="shared" si="49"/>
        <v>75967064</v>
      </c>
      <c r="O9" s="308">
        <f t="shared" si="49"/>
        <v>72161104</v>
      </c>
      <c r="P9" s="308">
        <f t="shared" si="49"/>
        <v>67136623</v>
      </c>
      <c r="Q9" s="302">
        <f>'[1]RVO Forecast'!P$4</f>
        <v>61713905.573394053</v>
      </c>
      <c r="R9" s="302">
        <f>'[1]RVO Forecast'!Q$4</f>
        <v>74644479.867806837</v>
      </c>
      <c r="S9" s="302">
        <f>'[1]RVO Forecast'!R$4</f>
        <v>90174702.882584006</v>
      </c>
      <c r="T9" s="302">
        <f>'[1]RVO Forecast'!S$4</f>
        <v>94265461.32229273</v>
      </c>
      <c r="U9" s="302">
        <f>'[1]RVO Forecast'!T$4</f>
        <v>101063952.52821082</v>
      </c>
      <c r="V9" s="302">
        <f>'[1]RVO Forecast'!U$4</f>
        <v>108107155.51235586</v>
      </c>
      <c r="W9" s="302">
        <f>'[1]RVO Forecast'!V$4</f>
        <v>112379365.64766049</v>
      </c>
      <c r="X9" s="302">
        <f>'[1]RVO Forecast'!W$4</f>
        <v>127428482.91331537</v>
      </c>
      <c r="Y9" s="302">
        <f>'[1]RVO Forecast'!X$4</f>
        <v>130758287.08032538</v>
      </c>
      <c r="Z9" s="302">
        <f>'[1]RVO Forecast'!Y$4</f>
        <v>137035550.46998152</v>
      </c>
      <c r="AA9" s="302">
        <f>'[1]RVO Forecast'!Z$4</f>
        <v>145226327.89713299</v>
      </c>
      <c r="AB9" s="302">
        <f>'[1]RVO Forecast'!AA$4</f>
        <v>142022344.47656283</v>
      </c>
      <c r="AC9" s="302">
        <f>'[1]RVO Forecast'!AB$4</f>
        <v>153559589.09913054</v>
      </c>
      <c r="AD9" s="302">
        <f>'[1]RVO Forecast'!AC$4</f>
        <v>169326008.73336238</v>
      </c>
      <c r="AE9" s="302">
        <f>'[1]RVO Forecast'!AD$4</f>
        <v>184963564.51450959</v>
      </c>
      <c r="AF9" s="302">
        <f>'[1]RVO Forecast'!AE$4</f>
        <v>184843338.36442617</v>
      </c>
      <c r="AG9" s="302">
        <f>'[1]RVO Forecast'!AF$4</f>
        <v>185521393.91805434</v>
      </c>
      <c r="AH9" s="302">
        <f>'[1]RVO Forecast'!AG$4</f>
        <v>194919891.07098955</v>
      </c>
      <c r="AI9" s="302">
        <f>'[1]RVO Forecast'!AH$4</f>
        <v>210458671.79477972</v>
      </c>
      <c r="AJ9" s="302">
        <f>'[1]RVO Forecast'!AI$4</f>
        <v>215714637.30980021</v>
      </c>
      <c r="AK9" s="302">
        <f>'[1]RVO Forecast'!AJ$4</f>
        <v>215302101.90128431</v>
      </c>
      <c r="AL9" s="302">
        <f>'[1]RVO Forecast'!AK$4</f>
        <v>214329643.56146899</v>
      </c>
      <c r="AM9" s="302">
        <f>'[1]RVO Forecast'!AL$4</f>
        <v>210656869.64084795</v>
      </c>
      <c r="AN9" s="302">
        <f>'[1]RVO Forecast'!AM$4</f>
        <v>218718110.75192347</v>
      </c>
      <c r="AO9" s="302">
        <f>'[1]RVO Forecast'!AN$4</f>
        <v>226612394.03571084</v>
      </c>
      <c r="AP9" s="302">
        <f>'[1]RVO Forecast'!AO$4</f>
        <v>228643183.76592827</v>
      </c>
      <c r="AQ9" s="308">
        <v>-2009824.3311376572</v>
      </c>
      <c r="AR9" s="309">
        <v>46056741.012658119</v>
      </c>
      <c r="AS9" s="308">
        <f t="shared" si="3"/>
        <v>4539929.9873418808</v>
      </c>
      <c r="AT9" s="309">
        <v>58200000</v>
      </c>
      <c r="AU9" s="308">
        <f t="shared" si="4"/>
        <v>4244807</v>
      </c>
      <c r="AV9" s="309">
        <v>78389464.376552105</v>
      </c>
      <c r="AW9" s="308">
        <f t="shared" si="5"/>
        <v>-2422400.3765521049</v>
      </c>
      <c r="AX9" s="309">
        <v>73959562.118039846</v>
      </c>
      <c r="AY9" s="308">
        <f t="shared" si="6"/>
        <v>-1798458.1180398464</v>
      </c>
      <c r="AZ9" s="309">
        <v>65318313.930454172</v>
      </c>
      <c r="BA9" s="308">
        <f t="shared" si="7"/>
        <v>1818309.0695458278</v>
      </c>
      <c r="BB9" s="309">
        <v>76713905.57339406</v>
      </c>
      <c r="BC9" s="308">
        <f t="shared" si="8"/>
        <v>-15000000.000000007</v>
      </c>
      <c r="BD9" s="309">
        <v>75050466.842944115</v>
      </c>
      <c r="BE9" s="308">
        <f t="shared" si="9"/>
        <v>-405986.97513727844</v>
      </c>
      <c r="BF9" s="309">
        <v>87587171.336243823</v>
      </c>
      <c r="BG9" s="308">
        <f t="shared" si="10"/>
        <v>2587531.5463401824</v>
      </c>
      <c r="BH9" s="309">
        <v>94158939.773696974</v>
      </c>
      <c r="BI9" s="308">
        <f t="shared" si="11"/>
        <v>106521.54859575629</v>
      </c>
      <c r="BJ9" s="309">
        <v>101293026.29862364</v>
      </c>
      <c r="BK9" s="308">
        <f t="shared" si="12"/>
        <v>-229073.7704128176</v>
      </c>
      <c r="BL9" s="309">
        <v>108731841.32905525</v>
      </c>
      <c r="BM9" s="308">
        <f t="shared" si="13"/>
        <v>-624685.81669938564</v>
      </c>
      <c r="BN9" s="309">
        <v>110647435.91480474</v>
      </c>
      <c r="BO9" s="308">
        <f t="shared" si="14"/>
        <v>1731929.7328557521</v>
      </c>
      <c r="BP9" s="309">
        <v>116556484.28021052</v>
      </c>
      <c r="BQ9" s="308">
        <f t="shared" si="15"/>
        <v>10871998.633104846</v>
      </c>
      <c r="BR9" s="309">
        <v>958693369.13688529</v>
      </c>
      <c r="BS9" s="308">
        <f t="shared" si="16"/>
        <v>-827935082.05655992</v>
      </c>
      <c r="BT9" s="309">
        <v>1417268317.127147</v>
      </c>
      <c r="BU9" s="308">
        <f t="shared" si="17"/>
        <v>-1280232766.6571655</v>
      </c>
      <c r="BV9" s="309">
        <v>1417268317.127147</v>
      </c>
      <c r="BW9" s="308">
        <f t="shared" si="18"/>
        <v>-1272041989.2300138</v>
      </c>
      <c r="BX9" s="309">
        <v>72753983.841182709</v>
      </c>
      <c r="BY9" s="308">
        <f t="shared" si="19"/>
        <v>69268360.635380119</v>
      </c>
      <c r="BZ9" s="309">
        <v>153853482.87101936</v>
      </c>
      <c r="CA9" s="308">
        <f t="shared" si="20"/>
        <v>-293893.77188882232</v>
      </c>
      <c r="CB9" s="309">
        <v>169907417.51430953</v>
      </c>
      <c r="CC9" s="308">
        <f t="shared" si="21"/>
        <v>-581408.7809471488</v>
      </c>
      <c r="CD9" s="309">
        <v>186144494.40092817</v>
      </c>
      <c r="CE9" s="308">
        <f t="shared" si="22"/>
        <v>-1180929.886418581</v>
      </c>
      <c r="CF9" s="309">
        <v>72815465.843406677</v>
      </c>
      <c r="CG9" s="308">
        <f t="shared" si="23"/>
        <v>112027872.52101949</v>
      </c>
      <c r="CH9" s="309">
        <v>72790346.831745148</v>
      </c>
      <c r="CI9" s="308">
        <f t="shared" si="24"/>
        <v>112731047.08630919</v>
      </c>
      <c r="CJ9" s="309">
        <v>72790346.831745148</v>
      </c>
      <c r="CK9" s="308">
        <f t="shared" si="25"/>
        <v>122129544.2392444</v>
      </c>
      <c r="CL9" s="309">
        <v>72790346.831745148</v>
      </c>
      <c r="CM9" s="308">
        <f t="shared" si="26"/>
        <v>142924290.47805506</v>
      </c>
      <c r="CN9" s="309">
        <v>72790346.831745148</v>
      </c>
      <c r="CO9" s="308">
        <f t="shared" si="27"/>
        <v>137866522.8091028</v>
      </c>
      <c r="CP9" s="309">
        <v>72790346.831745148</v>
      </c>
      <c r="CQ9" s="308">
        <f t="shared" si="28"/>
        <v>145927763.92017832</v>
      </c>
      <c r="CR9" s="309">
        <v>72790346.831745148</v>
      </c>
      <c r="CS9" s="308">
        <f t="shared" si="29"/>
        <v>155852836.93418312</v>
      </c>
      <c r="CT9" s="309">
        <v>72790346.831745148</v>
      </c>
      <c r="CU9" s="308">
        <f t="shared" si="30"/>
        <v>-26733605.819087029</v>
      </c>
      <c r="CV9" s="309">
        <v>72790346.831745148</v>
      </c>
      <c r="CW9" s="308">
        <f t="shared" si="31"/>
        <v>-68545539.831745148</v>
      </c>
      <c r="CX9" s="309">
        <v>72790346.831745148</v>
      </c>
      <c r="CY9" s="308">
        <f t="shared" si="32"/>
        <v>5599117.5448069572</v>
      </c>
      <c r="CZ9" s="309">
        <v>72790346.831745148</v>
      </c>
      <c r="DA9" s="308">
        <f t="shared" si="33"/>
        <v>1169215.2862946987</v>
      </c>
    </row>
    <row r="10" spans="1:105" ht="12" thickBot="1">
      <c r="A10" s="314" t="s">
        <v>225</v>
      </c>
      <c r="B10" s="315">
        <f>B180</f>
        <v>0</v>
      </c>
      <c r="C10" s="315">
        <f t="shared" ref="C10:P10" si="50">C180</f>
        <v>0</v>
      </c>
      <c r="D10" s="315">
        <f t="shared" si="50"/>
        <v>0</v>
      </c>
      <c r="E10" s="315">
        <f t="shared" si="50"/>
        <v>0</v>
      </c>
      <c r="F10" s="315">
        <f t="shared" si="50"/>
        <v>0</v>
      </c>
      <c r="G10" s="315">
        <f t="shared" si="50"/>
        <v>0</v>
      </c>
      <c r="H10" s="315">
        <f t="shared" si="50"/>
        <v>0</v>
      </c>
      <c r="I10" s="315">
        <f t="shared" si="50"/>
        <v>0</v>
      </c>
      <c r="J10" s="315">
        <f t="shared" si="50"/>
        <v>0</v>
      </c>
      <c r="K10" s="315">
        <f t="shared" si="50"/>
        <v>0</v>
      </c>
      <c r="L10" s="315">
        <f t="shared" si="50"/>
        <v>0</v>
      </c>
      <c r="M10" s="315">
        <f t="shared" si="50"/>
        <v>0</v>
      </c>
      <c r="N10" s="315">
        <f t="shared" si="50"/>
        <v>0</v>
      </c>
      <c r="O10" s="315">
        <f t="shared" si="50"/>
        <v>0</v>
      </c>
      <c r="P10" s="315">
        <f t="shared" si="50"/>
        <v>0</v>
      </c>
      <c r="Q10" s="316">
        <f t="shared" ref="Q10:AD10" si="51">Q6-Q7</f>
        <v>0</v>
      </c>
      <c r="R10" s="316">
        <f t="shared" si="51"/>
        <v>0</v>
      </c>
      <c r="S10" s="317">
        <f t="shared" si="51"/>
        <v>0</v>
      </c>
      <c r="T10" s="317">
        <f t="shared" si="51"/>
        <v>0</v>
      </c>
      <c r="U10" s="317">
        <f t="shared" si="51"/>
        <v>0</v>
      </c>
      <c r="V10" s="317">
        <f t="shared" si="51"/>
        <v>0</v>
      </c>
      <c r="W10" s="317">
        <f t="shared" si="51"/>
        <v>0</v>
      </c>
      <c r="X10" s="317">
        <f t="shared" si="51"/>
        <v>0</v>
      </c>
      <c r="Y10" s="317">
        <f t="shared" si="51"/>
        <v>0</v>
      </c>
      <c r="Z10" s="317">
        <f t="shared" si="51"/>
        <v>0</v>
      </c>
      <c r="AA10" s="317">
        <f t="shared" si="51"/>
        <v>0</v>
      </c>
      <c r="AB10" s="317">
        <f t="shared" si="51"/>
        <v>0</v>
      </c>
      <c r="AC10" s="317">
        <f t="shared" si="51"/>
        <v>0</v>
      </c>
      <c r="AD10" s="317">
        <f t="shared" si="51"/>
        <v>0</v>
      </c>
      <c r="AE10" s="317">
        <f>AE6-AE7</f>
        <v>0</v>
      </c>
      <c r="AF10" s="317">
        <f>AF6-AF7</f>
        <v>0</v>
      </c>
      <c r="AG10" s="317">
        <f>AG6-AG7</f>
        <v>0</v>
      </c>
      <c r="AH10" s="317">
        <f t="shared" ref="AH10:AP10" si="52">AH6-AH7</f>
        <v>0</v>
      </c>
      <c r="AI10" s="317">
        <f t="shared" si="52"/>
        <v>0</v>
      </c>
      <c r="AJ10" s="317">
        <f t="shared" si="52"/>
        <v>0</v>
      </c>
      <c r="AK10" s="317">
        <f t="shared" si="52"/>
        <v>0</v>
      </c>
      <c r="AL10" s="317">
        <f t="shared" si="52"/>
        <v>0</v>
      </c>
      <c r="AM10" s="317">
        <f t="shared" si="52"/>
        <v>0</v>
      </c>
      <c r="AN10" s="317">
        <f t="shared" si="52"/>
        <v>0</v>
      </c>
      <c r="AO10" s="317">
        <f t="shared" si="52"/>
        <v>0</v>
      </c>
      <c r="AP10" s="317">
        <f t="shared" si="52"/>
        <v>0</v>
      </c>
      <c r="AQ10" s="301">
        <v>0</v>
      </c>
      <c r="AR10" s="317" t="s">
        <v>416</v>
      </c>
      <c r="AS10" s="308" t="e">
        <f t="shared" si="3"/>
        <v>#VALUE!</v>
      </c>
      <c r="AT10" s="317">
        <v>0</v>
      </c>
      <c r="AU10" s="308">
        <f t="shared" si="4"/>
        <v>0</v>
      </c>
      <c r="AV10" s="317">
        <v>0</v>
      </c>
      <c r="AW10" s="308">
        <f t="shared" si="5"/>
        <v>0</v>
      </c>
      <c r="AX10" s="317">
        <v>0</v>
      </c>
      <c r="AY10" s="308">
        <f t="shared" si="6"/>
        <v>0</v>
      </c>
      <c r="AZ10" s="317">
        <v>0</v>
      </c>
      <c r="BA10" s="308">
        <f t="shared" si="7"/>
        <v>0</v>
      </c>
      <c r="BB10" s="317">
        <v>0</v>
      </c>
      <c r="BC10" s="308">
        <f t="shared" si="8"/>
        <v>0</v>
      </c>
      <c r="BD10" s="317">
        <v>0</v>
      </c>
      <c r="BE10" s="308">
        <f t="shared" si="9"/>
        <v>0</v>
      </c>
      <c r="BF10" s="317">
        <v>0</v>
      </c>
      <c r="BG10" s="308">
        <f t="shared" si="10"/>
        <v>0</v>
      </c>
      <c r="BH10" s="317">
        <v>0</v>
      </c>
      <c r="BI10" s="308">
        <f t="shared" si="11"/>
        <v>0</v>
      </c>
      <c r="BJ10" s="317">
        <v>0</v>
      </c>
      <c r="BK10" s="308">
        <f t="shared" si="12"/>
        <v>0</v>
      </c>
      <c r="BL10" s="317">
        <v>0</v>
      </c>
      <c r="BM10" s="308">
        <f t="shared" si="13"/>
        <v>0</v>
      </c>
      <c r="BN10" s="317">
        <v>0</v>
      </c>
      <c r="BO10" s="308">
        <f t="shared" si="14"/>
        <v>0</v>
      </c>
      <c r="BP10" s="317">
        <v>0</v>
      </c>
      <c r="BQ10" s="308">
        <f t="shared" si="15"/>
        <v>0</v>
      </c>
      <c r="BR10" s="317">
        <v>0</v>
      </c>
      <c r="BS10" s="308">
        <f t="shared" si="16"/>
        <v>0</v>
      </c>
      <c r="BT10" s="317">
        <v>0</v>
      </c>
      <c r="BU10" s="308">
        <f t="shared" si="17"/>
        <v>0</v>
      </c>
      <c r="BV10" s="317">
        <v>0</v>
      </c>
      <c r="BW10" s="308">
        <f t="shared" si="18"/>
        <v>0</v>
      </c>
      <c r="BX10" s="317">
        <v>0</v>
      </c>
      <c r="BY10" s="308">
        <f t="shared" si="19"/>
        <v>0</v>
      </c>
      <c r="BZ10" s="317">
        <v>0</v>
      </c>
      <c r="CA10" s="308">
        <f t="shared" si="20"/>
        <v>0</v>
      </c>
      <c r="CB10" s="317">
        <v>0</v>
      </c>
      <c r="CC10" s="308">
        <f t="shared" si="21"/>
        <v>0</v>
      </c>
      <c r="CD10" s="317">
        <v>0</v>
      </c>
      <c r="CE10" s="308">
        <f t="shared" si="22"/>
        <v>0</v>
      </c>
      <c r="CF10" s="317">
        <v>0</v>
      </c>
      <c r="CG10" s="308">
        <f t="shared" si="23"/>
        <v>0</v>
      </c>
      <c r="CH10" s="317">
        <v>0</v>
      </c>
      <c r="CI10" s="308">
        <f t="shared" si="24"/>
        <v>0</v>
      </c>
      <c r="CJ10" s="317">
        <v>0</v>
      </c>
      <c r="CK10" s="308">
        <f t="shared" si="25"/>
        <v>0</v>
      </c>
      <c r="CL10" s="317">
        <v>0</v>
      </c>
      <c r="CM10" s="308">
        <f t="shared" si="26"/>
        <v>0</v>
      </c>
      <c r="CN10" s="317">
        <v>0</v>
      </c>
      <c r="CO10" s="308">
        <f t="shared" si="27"/>
        <v>0</v>
      </c>
      <c r="CP10" s="317">
        <v>0</v>
      </c>
      <c r="CQ10" s="308">
        <f t="shared" si="28"/>
        <v>0</v>
      </c>
      <c r="CR10" s="317">
        <v>0</v>
      </c>
      <c r="CS10" s="308">
        <f t="shared" si="29"/>
        <v>0</v>
      </c>
      <c r="CT10" s="317">
        <v>0</v>
      </c>
      <c r="CU10" s="308" t="e">
        <f t="shared" si="30"/>
        <v>#VALUE!</v>
      </c>
      <c r="CV10" s="317">
        <v>0</v>
      </c>
      <c r="CW10" s="308">
        <f t="shared" si="31"/>
        <v>0</v>
      </c>
      <c r="CX10" s="317">
        <v>0</v>
      </c>
      <c r="CY10" s="308">
        <f t="shared" si="32"/>
        <v>0</v>
      </c>
      <c r="CZ10" s="317">
        <v>0</v>
      </c>
      <c r="DA10" s="308">
        <f t="shared" si="33"/>
        <v>0</v>
      </c>
    </row>
    <row r="11" spans="1:105">
      <c r="A11" s="318" t="s">
        <v>289</v>
      </c>
      <c r="B11" s="311">
        <f>B12+B13</f>
        <v>7373229</v>
      </c>
      <c r="C11" s="311">
        <f t="shared" ref="C11:P11" si="53">C12+C13</f>
        <v>3862744</v>
      </c>
      <c r="D11" s="311">
        <f t="shared" si="53"/>
        <v>122579</v>
      </c>
      <c r="E11" s="311">
        <f t="shared" si="53"/>
        <v>0</v>
      </c>
      <c r="F11" s="311">
        <f t="shared" si="53"/>
        <v>71177</v>
      </c>
      <c r="G11" s="311">
        <f t="shared" si="53"/>
        <v>529467</v>
      </c>
      <c r="H11" s="311">
        <f t="shared" si="53"/>
        <v>965452</v>
      </c>
      <c r="I11" s="306">
        <f t="shared" si="53"/>
        <v>1222972</v>
      </c>
      <c r="J11" s="306">
        <f t="shared" si="53"/>
        <v>1764134</v>
      </c>
      <c r="K11" s="306">
        <f t="shared" si="53"/>
        <v>2047511</v>
      </c>
      <c r="L11" s="306">
        <f t="shared" si="53"/>
        <v>1792583</v>
      </c>
      <c r="M11" s="306">
        <f t="shared" si="53"/>
        <v>1350563</v>
      </c>
      <c r="N11" s="306">
        <f t="shared" si="53"/>
        <v>1901608</v>
      </c>
      <c r="O11" s="306">
        <f t="shared" si="53"/>
        <v>2490118</v>
      </c>
      <c r="P11" s="306">
        <f t="shared" si="53"/>
        <v>2773152</v>
      </c>
      <c r="Q11" s="307">
        <f>MROUND((SUM(L11:P11)/SUM(L$28:P$28))*Q$28,100000)+200000-100000-200000-100000+1250000+300000+1100000-2000000-400000+600000+300000</f>
        <v>2750000</v>
      </c>
      <c r="R11" s="307">
        <f>MROUND((SUM(M11:Q11)/SUM(M$28:Q$28))*R$28,100000)+200000+200000+200000</f>
        <v>3100000</v>
      </c>
      <c r="S11" s="309">
        <f>MROUND((SUM(N11:R11)/SUM(N$28:R$28))*S$28,100000)+200000</f>
        <v>3200000</v>
      </c>
      <c r="T11" s="309">
        <f>MROUND((SUM(O11:S11)/SUM(O$28:S$28))*T$28,100000)</f>
        <v>3600000</v>
      </c>
      <c r="U11" s="309">
        <f t="shared" ref="U11:BE11" si="54">MROUND((SUM(P11:T11)/SUM(P$28:T$28))*U$28,100000)</f>
        <v>3800000</v>
      </c>
      <c r="V11" s="309">
        <f>MROUND((SUM(Q11:U11)/SUM(Q$28:U$28))*V$28,100000)</f>
        <v>4000000</v>
      </c>
      <c r="W11" s="309">
        <f t="shared" si="54"/>
        <v>4300000</v>
      </c>
      <c r="X11" s="309">
        <f t="shared" si="54"/>
        <v>4400000</v>
      </c>
      <c r="Y11" s="309">
        <f t="shared" si="54"/>
        <v>4700000</v>
      </c>
      <c r="Z11" s="309">
        <f t="shared" si="54"/>
        <v>4900000</v>
      </c>
      <c r="AA11" s="309">
        <f t="shared" si="54"/>
        <v>5200000</v>
      </c>
      <c r="AB11" s="309">
        <f t="shared" si="54"/>
        <v>5500000</v>
      </c>
      <c r="AC11" s="309">
        <f t="shared" si="54"/>
        <v>5800000</v>
      </c>
      <c r="AD11" s="309">
        <f t="shared" si="54"/>
        <v>6100000</v>
      </c>
      <c r="AE11" s="309">
        <f t="shared" si="54"/>
        <v>6500000</v>
      </c>
      <c r="AF11" s="309">
        <f t="shared" si="54"/>
        <v>6900000</v>
      </c>
      <c r="AG11" s="309">
        <f t="shared" si="54"/>
        <v>7200000</v>
      </c>
      <c r="AH11" s="309">
        <f t="shared" si="54"/>
        <v>7600000</v>
      </c>
      <c r="AI11" s="309">
        <f t="shared" si="54"/>
        <v>8000000</v>
      </c>
      <c r="AJ11" s="309">
        <f t="shared" si="54"/>
        <v>8300000</v>
      </c>
      <c r="AK11" s="309">
        <f t="shared" si="54"/>
        <v>8700000</v>
      </c>
      <c r="AL11" s="309">
        <f t="shared" si="54"/>
        <v>9400000</v>
      </c>
      <c r="AM11" s="309">
        <f t="shared" si="54"/>
        <v>10100000</v>
      </c>
      <c r="AN11" s="309">
        <f>MROUND((SUM(AI11:AM11)/SUM(AI$28:AM$28))*AN$28,100000)+1500000</f>
        <v>13100000</v>
      </c>
      <c r="AO11" s="309">
        <f t="shared" ref="AO11:AP11" si="55">MROUND((SUM(AJ11:AN11)/SUM(AJ$28:AN$28))*AO$28,100000)+1500000</f>
        <v>14900000</v>
      </c>
      <c r="AP11" s="309">
        <f t="shared" si="55"/>
        <v>16900000</v>
      </c>
      <c r="AQ11" s="309">
        <f t="shared" si="54"/>
        <v>0</v>
      </c>
      <c r="AR11" s="309">
        <f t="shared" si="54"/>
        <v>4500000</v>
      </c>
      <c r="AS11" s="309">
        <f t="shared" si="54"/>
        <v>200000</v>
      </c>
      <c r="AT11" s="309">
        <f t="shared" si="54"/>
        <v>3000000</v>
      </c>
      <c r="AU11" s="309" t="e">
        <f t="shared" si="54"/>
        <v>#NUM!</v>
      </c>
      <c r="AV11" s="309" t="e">
        <f t="shared" si="54"/>
        <v>#NUM!</v>
      </c>
      <c r="AW11" s="309" t="e">
        <f t="shared" si="54"/>
        <v>#NUM!</v>
      </c>
      <c r="AX11" s="309" t="e">
        <f t="shared" si="54"/>
        <v>#NUM!</v>
      </c>
      <c r="AY11" s="309" t="e">
        <f t="shared" si="54"/>
        <v>#NUM!</v>
      </c>
      <c r="AZ11" s="309" t="e">
        <f t="shared" si="54"/>
        <v>#NUM!</v>
      </c>
      <c r="BA11" s="309" t="e">
        <f t="shared" si="54"/>
        <v>#NUM!</v>
      </c>
      <c r="BB11" s="309" t="e">
        <f t="shared" si="54"/>
        <v>#NUM!</v>
      </c>
      <c r="BC11" s="309" t="e">
        <f t="shared" si="54"/>
        <v>#NUM!</v>
      </c>
      <c r="BD11" s="309" t="e">
        <f t="shared" si="54"/>
        <v>#NUM!</v>
      </c>
      <c r="BE11" s="309" t="e">
        <f t="shared" si="54"/>
        <v>#NUM!</v>
      </c>
      <c r="BF11" s="309">
        <v>3200000</v>
      </c>
      <c r="BG11" s="308">
        <f t="shared" si="10"/>
        <v>0</v>
      </c>
      <c r="BH11" s="309">
        <v>3800000</v>
      </c>
      <c r="BI11" s="308">
        <f t="shared" si="11"/>
        <v>-200000</v>
      </c>
      <c r="BJ11" s="309">
        <v>4200000</v>
      </c>
      <c r="BK11" s="308">
        <f t="shared" si="12"/>
        <v>-400000</v>
      </c>
      <c r="BL11" s="309">
        <v>4400000</v>
      </c>
      <c r="BM11" s="308">
        <f t="shared" si="13"/>
        <v>-400000</v>
      </c>
      <c r="BN11" s="309">
        <v>4300000</v>
      </c>
      <c r="BO11" s="308">
        <f t="shared" si="14"/>
        <v>0</v>
      </c>
      <c r="BP11" s="309">
        <v>2900000</v>
      </c>
      <c r="BQ11" s="308">
        <f t="shared" si="15"/>
        <v>1500000</v>
      </c>
      <c r="BR11" s="309">
        <v>3100000</v>
      </c>
      <c r="BS11" s="308">
        <f t="shared" si="16"/>
        <v>1600000</v>
      </c>
      <c r="BT11" s="309">
        <v>3300000</v>
      </c>
      <c r="BU11" s="308">
        <f t="shared" si="17"/>
        <v>1600000</v>
      </c>
      <c r="BV11" s="309">
        <v>3100000</v>
      </c>
      <c r="BW11" s="308">
        <f t="shared" si="18"/>
        <v>2100000</v>
      </c>
      <c r="BX11" s="309">
        <v>3200000</v>
      </c>
      <c r="BY11" s="308">
        <f t="shared" si="19"/>
        <v>2300000</v>
      </c>
      <c r="BZ11" s="309">
        <v>5800000</v>
      </c>
      <c r="CA11" s="308">
        <f t="shared" si="20"/>
        <v>0</v>
      </c>
      <c r="CB11" s="309">
        <v>5900000</v>
      </c>
      <c r="CC11" s="308">
        <f t="shared" si="21"/>
        <v>200000</v>
      </c>
      <c r="CD11" s="309">
        <v>6500000</v>
      </c>
      <c r="CE11" s="308">
        <f t="shared" si="22"/>
        <v>0</v>
      </c>
      <c r="CF11" s="309">
        <v>3600000</v>
      </c>
      <c r="CG11" s="308">
        <f t="shared" si="23"/>
        <v>3300000</v>
      </c>
      <c r="CH11" s="309">
        <v>3700000</v>
      </c>
      <c r="CI11" s="308">
        <f t="shared" si="24"/>
        <v>3500000</v>
      </c>
      <c r="CJ11" s="309">
        <v>3700000</v>
      </c>
      <c r="CK11" s="308">
        <f t="shared" si="25"/>
        <v>3900000</v>
      </c>
      <c r="CL11" s="309">
        <v>3700000</v>
      </c>
      <c r="CM11" s="308">
        <f t="shared" si="26"/>
        <v>4600000</v>
      </c>
      <c r="CN11" s="309">
        <v>3700000</v>
      </c>
      <c r="CO11" s="308">
        <f t="shared" si="27"/>
        <v>6400000</v>
      </c>
      <c r="CP11" s="309">
        <v>3700000</v>
      </c>
      <c r="CQ11" s="308">
        <f t="shared" si="28"/>
        <v>9400000</v>
      </c>
      <c r="CR11" s="309">
        <v>3700000</v>
      </c>
      <c r="CS11" s="308">
        <f t="shared" si="29"/>
        <v>13200000</v>
      </c>
      <c r="CT11" s="309">
        <v>3700000</v>
      </c>
      <c r="CU11" s="308">
        <f t="shared" si="30"/>
        <v>800000</v>
      </c>
      <c r="CV11" s="309">
        <v>3700000</v>
      </c>
      <c r="CW11" s="308" t="e">
        <f t="shared" si="31"/>
        <v>#NUM!</v>
      </c>
      <c r="CX11" s="309">
        <v>3700000</v>
      </c>
      <c r="CY11" s="308" t="e">
        <f t="shared" si="32"/>
        <v>#NUM!</v>
      </c>
      <c r="CZ11" s="309">
        <v>3700000</v>
      </c>
      <c r="DA11" s="308" t="e">
        <f t="shared" si="33"/>
        <v>#NUM!</v>
      </c>
    </row>
    <row r="12" spans="1:105" ht="12" thickBot="1">
      <c r="A12" s="301" t="s">
        <v>224</v>
      </c>
      <c r="B12" s="308">
        <f>B212</f>
        <v>7373229</v>
      </c>
      <c r="C12" s="308">
        <f t="shared" ref="C12:P12" si="56">C212</f>
        <v>3862744</v>
      </c>
      <c r="D12" s="308">
        <f t="shared" si="56"/>
        <v>122579</v>
      </c>
      <c r="E12" s="308">
        <f t="shared" si="56"/>
        <v>0</v>
      </c>
      <c r="F12" s="308">
        <f t="shared" si="56"/>
        <v>71177</v>
      </c>
      <c r="G12" s="308">
        <f t="shared" si="56"/>
        <v>529467</v>
      </c>
      <c r="H12" s="308">
        <f t="shared" si="56"/>
        <v>965452</v>
      </c>
      <c r="I12" s="308">
        <f t="shared" si="56"/>
        <v>1222972</v>
      </c>
      <c r="J12" s="308">
        <f t="shared" si="56"/>
        <v>1764134</v>
      </c>
      <c r="K12" s="308">
        <f t="shared" si="56"/>
        <v>2047511</v>
      </c>
      <c r="L12" s="308">
        <f t="shared" si="56"/>
        <v>1792583</v>
      </c>
      <c r="M12" s="308">
        <f t="shared" si="56"/>
        <v>1350563</v>
      </c>
      <c r="N12" s="308">
        <f t="shared" si="56"/>
        <v>1901608</v>
      </c>
      <c r="O12" s="308">
        <f t="shared" si="56"/>
        <v>2490118</v>
      </c>
      <c r="P12" s="308">
        <f t="shared" si="56"/>
        <v>2773152</v>
      </c>
      <c r="Q12" s="307">
        <f>(SUM(L12:P12)/SUM(L11:P11))*Q11-275000</f>
        <v>2475000</v>
      </c>
      <c r="R12" s="307">
        <f t="shared" ref="R12:AD12" si="57">(SUM(M12:Q12)/SUM(M11:Q11))*R11</f>
        <v>3024326.087190018</v>
      </c>
      <c r="S12" s="309">
        <f t="shared" si="57"/>
        <v>3113778.9442980606</v>
      </c>
      <c r="T12" s="309">
        <f t="shared" si="57"/>
        <v>3490114.4262182629</v>
      </c>
      <c r="U12" s="309">
        <f t="shared" si="57"/>
        <v>3665282.6568320217</v>
      </c>
      <c r="V12" s="309">
        <f t="shared" si="57"/>
        <v>3834286.2284591766</v>
      </c>
      <c r="W12" s="309">
        <f t="shared" si="57"/>
        <v>4160988.1285248259</v>
      </c>
      <c r="X12" s="309">
        <f t="shared" si="57"/>
        <v>4252041.3593154671</v>
      </c>
      <c r="Y12" s="309">
        <f t="shared" si="57"/>
        <v>4536952.7441265583</v>
      </c>
      <c r="Z12" s="309">
        <f t="shared" si="57"/>
        <v>4726547.1921964362</v>
      </c>
      <c r="AA12" s="309">
        <f t="shared" si="57"/>
        <v>5015974.9503873009</v>
      </c>
      <c r="AB12" s="309">
        <f t="shared" si="57"/>
        <v>5311011.6621288611</v>
      </c>
      <c r="AC12" s="309">
        <f t="shared" si="57"/>
        <v>5598650.2780282116</v>
      </c>
      <c r="AD12" s="309">
        <f t="shared" si="57"/>
        <v>5887116.2698808797</v>
      </c>
      <c r="AE12" s="309">
        <f>(SUM(Z12:AD12)/SUM(Z11:AD11))*AE11</f>
        <v>6272925.5378923994</v>
      </c>
      <c r="AF12" s="309">
        <f>(SUM(AA12:AE12)/SUM(AA11:AE11))*AF11</f>
        <v>6659490.8253742894</v>
      </c>
      <c r="AG12" s="309">
        <f>(SUM(AB12:AF12)/SUM(AB11:AF11))*AG11</f>
        <v>6949681.8483049823</v>
      </c>
      <c r="AH12" s="309">
        <f t="shared" ref="AH12:AP12" si="58">(SUM(AC12:AG12)/SUM(AC11:AG11))*AH11</f>
        <v>7335254.5283708861</v>
      </c>
      <c r="AI12" s="309">
        <f t="shared" si="58"/>
        <v>7721158.9527284987</v>
      </c>
      <c r="AJ12" s="309">
        <f t="shared" si="58"/>
        <v>8010763.73064005</v>
      </c>
      <c r="AK12" s="309">
        <f t="shared" si="58"/>
        <v>8396953.7895563878</v>
      </c>
      <c r="AL12" s="309">
        <f t="shared" si="58"/>
        <v>9072609.0649810955</v>
      </c>
      <c r="AM12" s="309">
        <f t="shared" si="58"/>
        <v>9748120.8254618309</v>
      </c>
      <c r="AN12" s="309">
        <f t="shared" si="58"/>
        <v>12643591.985620651</v>
      </c>
      <c r="AO12" s="309">
        <f t="shared" si="58"/>
        <v>14380915.060570043</v>
      </c>
      <c r="AP12" s="309">
        <f t="shared" si="58"/>
        <v>16311263.759299133</v>
      </c>
      <c r="AQ12" s="308">
        <v>100000</v>
      </c>
      <c r="AR12" s="309">
        <f>P12</f>
        <v>2773152</v>
      </c>
      <c r="AS12" s="308">
        <f>L12-AR18</f>
        <v>-3562131908</v>
      </c>
      <c r="AT12" s="309">
        <v>1383235</v>
      </c>
      <c r="AU12" s="308">
        <f t="shared" ref="AU12:AU19" si="59">M12-AT12</f>
        <v>-32672</v>
      </c>
      <c r="AV12" s="309">
        <v>1900000</v>
      </c>
      <c r="AW12" s="308">
        <f t="shared" ref="AW12:AW19" si="60">N12-AV12</f>
        <v>1608</v>
      </c>
      <c r="AX12" s="309">
        <v>3150000</v>
      </c>
      <c r="AY12" s="308">
        <f t="shared" ref="AY12:AY19" si="61">O12-AX12</f>
        <v>-659882</v>
      </c>
      <c r="AZ12" s="309">
        <v>2500000</v>
      </c>
      <c r="BA12" s="308">
        <f t="shared" ref="BA12:BA19" si="62">P12-AZ12</f>
        <v>273152</v>
      </c>
      <c r="BB12" s="309">
        <v>2550000</v>
      </c>
      <c r="BC12" s="308">
        <f t="shared" ref="BC12:BC19" si="63">Q12-BB12</f>
        <v>-75000</v>
      </c>
      <c r="BD12" s="309">
        <v>2800000</v>
      </c>
      <c r="BE12" s="308">
        <f t="shared" ref="BE12:BE19" si="64">R12-BD12</f>
        <v>224326.08719001804</v>
      </c>
      <c r="BF12" s="309">
        <v>3113778.9442980606</v>
      </c>
      <c r="BG12" s="308">
        <f t="shared" si="10"/>
        <v>0</v>
      </c>
      <c r="BH12" s="309">
        <v>3684009.6721192775</v>
      </c>
      <c r="BI12" s="308">
        <f t="shared" si="11"/>
        <v>-193895.24590101466</v>
      </c>
      <c r="BJ12" s="309">
        <v>4051101.8838669714</v>
      </c>
      <c r="BK12" s="308">
        <f t="shared" si="12"/>
        <v>-385819.2270349497</v>
      </c>
      <c r="BL12" s="309">
        <v>4217714.8513050945</v>
      </c>
      <c r="BM12" s="308">
        <f t="shared" si="13"/>
        <v>-383428.62284591794</v>
      </c>
      <c r="BN12" s="309">
        <v>4160988.1285248259</v>
      </c>
      <c r="BO12" s="308">
        <f t="shared" si="14"/>
        <v>0</v>
      </c>
      <c r="BP12" s="309">
        <v>2802481.8050033762</v>
      </c>
      <c r="BQ12" s="308">
        <f t="shared" si="15"/>
        <v>1449559.5543120909</v>
      </c>
      <c r="BR12" s="309">
        <v>3100000</v>
      </c>
      <c r="BS12" s="308">
        <f t="shared" si="16"/>
        <v>1436952.7441265583</v>
      </c>
      <c r="BT12" s="309">
        <v>3300000</v>
      </c>
      <c r="BU12" s="308">
        <f t="shared" si="17"/>
        <v>1426547.1921964362</v>
      </c>
      <c r="BV12" s="309">
        <v>3100000</v>
      </c>
      <c r="BW12" s="308">
        <f t="shared" si="18"/>
        <v>1915974.9503873009</v>
      </c>
      <c r="BX12" s="309">
        <v>3200000</v>
      </c>
      <c r="BY12" s="308">
        <f t="shared" si="19"/>
        <v>2111011.6621288611</v>
      </c>
      <c r="BZ12" s="309">
        <v>5598650.2780282116</v>
      </c>
      <c r="CA12" s="308">
        <f t="shared" si="20"/>
        <v>0</v>
      </c>
      <c r="CB12" s="309">
        <v>5694096.0643110145</v>
      </c>
      <c r="CC12" s="308">
        <f t="shared" si="21"/>
        <v>193020.20556986518</v>
      </c>
      <c r="CD12" s="309">
        <v>6272925.5378923994</v>
      </c>
      <c r="CE12" s="308">
        <f t="shared" si="22"/>
        <v>0</v>
      </c>
      <c r="CF12" s="309">
        <v>3600000</v>
      </c>
      <c r="CG12" s="308">
        <f t="shared" si="23"/>
        <v>3059490.8253742894</v>
      </c>
      <c r="CH12" s="309">
        <v>3700000</v>
      </c>
      <c r="CI12" s="308">
        <f t="shared" si="24"/>
        <v>3249681.8483049823</v>
      </c>
      <c r="CJ12" s="309">
        <v>3700000</v>
      </c>
      <c r="CK12" s="308">
        <f t="shared" si="25"/>
        <v>3635254.5283708861</v>
      </c>
      <c r="CL12" s="309">
        <v>3700000</v>
      </c>
      <c r="CM12" s="308">
        <f t="shared" si="26"/>
        <v>4310763.73064005</v>
      </c>
      <c r="CN12" s="309">
        <v>3700000</v>
      </c>
      <c r="CO12" s="308">
        <f t="shared" si="27"/>
        <v>6048120.8254618309</v>
      </c>
      <c r="CP12" s="309">
        <v>3700000</v>
      </c>
      <c r="CQ12" s="308">
        <f t="shared" si="28"/>
        <v>8943591.9856206514</v>
      </c>
      <c r="CR12" s="309">
        <v>3700000</v>
      </c>
      <c r="CS12" s="308">
        <f t="shared" si="29"/>
        <v>12611263.759299133</v>
      </c>
      <c r="CT12" s="309">
        <v>3700000</v>
      </c>
      <c r="CU12" s="308">
        <f t="shared" si="30"/>
        <v>-926848</v>
      </c>
      <c r="CV12" s="309">
        <v>3700000</v>
      </c>
      <c r="CW12" s="308">
        <f t="shared" si="31"/>
        <v>-3732672</v>
      </c>
      <c r="CX12" s="309">
        <v>3700000</v>
      </c>
      <c r="CY12" s="308">
        <f t="shared" si="32"/>
        <v>-1800000</v>
      </c>
      <c r="CZ12" s="309">
        <v>3700000</v>
      </c>
      <c r="DA12" s="308">
        <f t="shared" si="33"/>
        <v>-550000</v>
      </c>
    </row>
    <row r="13" spans="1:105" ht="12" thickBot="1">
      <c r="A13" s="301" t="s">
        <v>225</v>
      </c>
      <c r="B13" s="308">
        <f>B180</f>
        <v>0</v>
      </c>
      <c r="C13" s="308">
        <f t="shared" ref="C13:P13" si="65">C180</f>
        <v>0</v>
      </c>
      <c r="D13" s="308">
        <f t="shared" si="65"/>
        <v>0</v>
      </c>
      <c r="E13" s="308">
        <f t="shared" si="65"/>
        <v>0</v>
      </c>
      <c r="F13" s="308">
        <f t="shared" si="65"/>
        <v>0</v>
      </c>
      <c r="G13" s="308">
        <f t="shared" si="65"/>
        <v>0</v>
      </c>
      <c r="H13" s="308">
        <f t="shared" si="65"/>
        <v>0</v>
      </c>
      <c r="I13" s="308">
        <f t="shared" si="65"/>
        <v>0</v>
      </c>
      <c r="J13" s="308">
        <f t="shared" si="65"/>
        <v>0</v>
      </c>
      <c r="K13" s="308">
        <f t="shared" si="65"/>
        <v>0</v>
      </c>
      <c r="L13" s="308">
        <f t="shared" si="65"/>
        <v>0</v>
      </c>
      <c r="M13" s="308">
        <f t="shared" si="65"/>
        <v>0</v>
      </c>
      <c r="N13" s="308">
        <f t="shared" si="65"/>
        <v>0</v>
      </c>
      <c r="O13" s="308">
        <f t="shared" si="65"/>
        <v>0</v>
      </c>
      <c r="P13" s="308">
        <f t="shared" si="65"/>
        <v>0</v>
      </c>
      <c r="Q13" s="307">
        <f t="shared" ref="Q13:AD13" si="66">Q11-Q12</f>
        <v>275000</v>
      </c>
      <c r="R13" s="307">
        <f t="shared" si="66"/>
        <v>75673.912809981965</v>
      </c>
      <c r="S13" s="309">
        <f t="shared" si="66"/>
        <v>86221.055701939389</v>
      </c>
      <c r="T13" s="309">
        <f t="shared" si="66"/>
        <v>109885.57378173713</v>
      </c>
      <c r="U13" s="309">
        <f t="shared" si="66"/>
        <v>134717.34316797834</v>
      </c>
      <c r="V13" s="309">
        <f t="shared" si="66"/>
        <v>165713.77154082339</v>
      </c>
      <c r="W13" s="309">
        <f t="shared" si="66"/>
        <v>139011.87147517409</v>
      </c>
      <c r="X13" s="309">
        <f t="shared" si="66"/>
        <v>147958.64068453293</v>
      </c>
      <c r="Y13" s="309">
        <f t="shared" si="66"/>
        <v>163047.2558734417</v>
      </c>
      <c r="Z13" s="309">
        <f t="shared" si="66"/>
        <v>173452.80780356377</v>
      </c>
      <c r="AA13" s="309">
        <f t="shared" si="66"/>
        <v>184025.04961269908</v>
      </c>
      <c r="AB13" s="309">
        <f t="shared" si="66"/>
        <v>188988.33787113894</v>
      </c>
      <c r="AC13" s="309">
        <f t="shared" si="66"/>
        <v>201349.72197178844</v>
      </c>
      <c r="AD13" s="309">
        <f t="shared" si="66"/>
        <v>212883.73011912033</v>
      </c>
      <c r="AE13" s="309">
        <f>AE11-AE12</f>
        <v>227074.46210760064</v>
      </c>
      <c r="AF13" s="309">
        <f>AF11-AF12</f>
        <v>240509.17462571058</v>
      </c>
      <c r="AG13" s="309">
        <f>AG11-AG12</f>
        <v>250318.1516950177</v>
      </c>
      <c r="AH13" s="309">
        <f t="shared" ref="AH13:AP13" si="67">AH11-AH12</f>
        <v>264745.47162911389</v>
      </c>
      <c r="AI13" s="309">
        <f t="shared" si="67"/>
        <v>278841.04727150127</v>
      </c>
      <c r="AJ13" s="309">
        <f t="shared" si="67"/>
        <v>289236.26935994998</v>
      </c>
      <c r="AK13" s="309">
        <f t="shared" si="67"/>
        <v>303046.21044361219</v>
      </c>
      <c r="AL13" s="309">
        <f t="shared" si="67"/>
        <v>327390.93501890451</v>
      </c>
      <c r="AM13" s="309">
        <f t="shared" si="67"/>
        <v>351879.17453816906</v>
      </c>
      <c r="AN13" s="309">
        <f t="shared" si="67"/>
        <v>456408.01437934861</v>
      </c>
      <c r="AO13" s="309">
        <f t="shared" si="67"/>
        <v>519084.93942995742</v>
      </c>
      <c r="AP13" s="309">
        <f t="shared" si="67"/>
        <v>588736.24070086703</v>
      </c>
      <c r="AQ13" s="301">
        <v>0</v>
      </c>
      <c r="AR13" s="319">
        <f>P16</f>
        <v>0</v>
      </c>
      <c r="AS13" s="308">
        <f>L13-AR12</f>
        <v>-2773152</v>
      </c>
      <c r="AT13" s="309">
        <v>0</v>
      </c>
      <c r="AU13" s="308">
        <f t="shared" si="59"/>
        <v>0</v>
      </c>
      <c r="AV13" s="309">
        <v>0</v>
      </c>
      <c r="AW13" s="308">
        <f t="shared" si="60"/>
        <v>0</v>
      </c>
      <c r="AX13" s="309">
        <v>0</v>
      </c>
      <c r="AY13" s="308">
        <f t="shared" si="61"/>
        <v>0</v>
      </c>
      <c r="AZ13" s="309">
        <v>0</v>
      </c>
      <c r="BA13" s="308">
        <f t="shared" si="62"/>
        <v>0</v>
      </c>
      <c r="BB13" s="309">
        <v>0</v>
      </c>
      <c r="BC13" s="308">
        <f t="shared" si="63"/>
        <v>275000</v>
      </c>
      <c r="BD13" s="309">
        <v>0</v>
      </c>
      <c r="BE13" s="308">
        <f t="shared" si="64"/>
        <v>75673.912809981965</v>
      </c>
      <c r="BF13" s="309">
        <v>86221.055701939389</v>
      </c>
      <c r="BG13" s="308">
        <f t="shared" si="10"/>
        <v>0</v>
      </c>
      <c r="BH13" s="309">
        <v>115990.32788072247</v>
      </c>
      <c r="BI13" s="308">
        <f t="shared" si="11"/>
        <v>-6104.7540989853442</v>
      </c>
      <c r="BJ13" s="309">
        <v>148898.11613302864</v>
      </c>
      <c r="BK13" s="308">
        <f t="shared" si="12"/>
        <v>-14180.772965050302</v>
      </c>
      <c r="BL13" s="309">
        <v>182285.14869490545</v>
      </c>
      <c r="BM13" s="308">
        <f t="shared" si="13"/>
        <v>-16571.37715408206</v>
      </c>
      <c r="BN13" s="309">
        <v>139011.87147517409</v>
      </c>
      <c r="BO13" s="308">
        <f t="shared" si="14"/>
        <v>0</v>
      </c>
      <c r="BP13" s="309">
        <v>97518.194996623788</v>
      </c>
      <c r="BQ13" s="308">
        <f t="shared" si="15"/>
        <v>50440.445687909145</v>
      </c>
      <c r="BR13" s="309">
        <v>0</v>
      </c>
      <c r="BS13" s="308">
        <f t="shared" si="16"/>
        <v>163047.2558734417</v>
      </c>
      <c r="BT13" s="309">
        <v>0</v>
      </c>
      <c r="BU13" s="308">
        <f t="shared" si="17"/>
        <v>173452.80780356377</v>
      </c>
      <c r="BV13" s="309">
        <v>0</v>
      </c>
      <c r="BW13" s="308">
        <f t="shared" si="18"/>
        <v>184025.04961269908</v>
      </c>
      <c r="BX13" s="309">
        <v>0</v>
      </c>
      <c r="BY13" s="308">
        <f t="shared" si="19"/>
        <v>188988.33787113894</v>
      </c>
      <c r="BZ13" s="309">
        <v>201349.72197178844</v>
      </c>
      <c r="CA13" s="308">
        <f t="shared" si="20"/>
        <v>0</v>
      </c>
      <c r="CB13" s="309">
        <v>205903.93568898551</v>
      </c>
      <c r="CC13" s="308">
        <f t="shared" si="21"/>
        <v>6979.794430134818</v>
      </c>
      <c r="CD13" s="309">
        <v>227074.46210760064</v>
      </c>
      <c r="CE13" s="308">
        <f t="shared" si="22"/>
        <v>0</v>
      </c>
      <c r="CF13" s="309">
        <v>0</v>
      </c>
      <c r="CG13" s="308">
        <f t="shared" si="23"/>
        <v>240509.17462571058</v>
      </c>
      <c r="CH13" s="309">
        <v>0</v>
      </c>
      <c r="CI13" s="308">
        <f t="shared" si="24"/>
        <v>250318.1516950177</v>
      </c>
      <c r="CJ13" s="309">
        <v>0</v>
      </c>
      <c r="CK13" s="308">
        <f t="shared" si="25"/>
        <v>264745.47162911389</v>
      </c>
      <c r="CL13" s="309">
        <v>0</v>
      </c>
      <c r="CM13" s="308">
        <f t="shared" si="26"/>
        <v>289236.26935994998</v>
      </c>
      <c r="CN13" s="309">
        <v>0</v>
      </c>
      <c r="CO13" s="308">
        <f t="shared" si="27"/>
        <v>351879.17453816906</v>
      </c>
      <c r="CP13" s="309">
        <v>0</v>
      </c>
      <c r="CQ13" s="308">
        <f t="shared" si="28"/>
        <v>456408.01437934861</v>
      </c>
      <c r="CR13" s="309">
        <v>0</v>
      </c>
      <c r="CS13" s="308">
        <f t="shared" si="29"/>
        <v>588736.24070086703</v>
      </c>
      <c r="CT13" s="309">
        <v>0</v>
      </c>
      <c r="CU13" s="308">
        <f t="shared" si="30"/>
        <v>0</v>
      </c>
      <c r="CV13" s="309">
        <v>0</v>
      </c>
      <c r="CW13" s="308">
        <f t="shared" si="31"/>
        <v>0</v>
      </c>
      <c r="CX13" s="309">
        <v>0</v>
      </c>
      <c r="CY13" s="308">
        <f t="shared" si="32"/>
        <v>0</v>
      </c>
      <c r="CZ13" s="309">
        <v>0</v>
      </c>
      <c r="DA13" s="308">
        <f t="shared" si="33"/>
        <v>0</v>
      </c>
    </row>
    <row r="14" spans="1:105">
      <c r="A14" s="318" t="s">
        <v>417</v>
      </c>
      <c r="B14" s="311">
        <f>B15+B16</f>
        <v>0</v>
      </c>
      <c r="C14" s="311">
        <f t="shared" ref="C14:AD14" si="68">C15+C16</f>
        <v>1423894</v>
      </c>
      <c r="D14" s="311">
        <f t="shared" si="68"/>
        <v>2882009</v>
      </c>
      <c r="E14" s="311">
        <f t="shared" si="68"/>
        <v>25934813</v>
      </c>
      <c r="F14" s="311">
        <f t="shared" si="68"/>
        <v>20352691</v>
      </c>
      <c r="G14" s="311">
        <f t="shared" si="68"/>
        <v>0</v>
      </c>
      <c r="H14" s="311">
        <f t="shared" si="68"/>
        <v>0</v>
      </c>
      <c r="I14" s="311">
        <f t="shared" si="68"/>
        <v>0</v>
      </c>
      <c r="J14" s="311">
        <f t="shared" si="68"/>
        <v>0</v>
      </c>
      <c r="K14" s="311">
        <f t="shared" si="68"/>
        <v>0</v>
      </c>
      <c r="L14" s="311">
        <f t="shared" si="68"/>
        <v>0</v>
      </c>
      <c r="M14" s="311">
        <f t="shared" si="68"/>
        <v>0</v>
      </c>
      <c r="N14" s="311">
        <f t="shared" si="68"/>
        <v>0</v>
      </c>
      <c r="O14" s="311">
        <f t="shared" si="68"/>
        <v>0</v>
      </c>
      <c r="P14" s="311">
        <f t="shared" si="68"/>
        <v>0</v>
      </c>
      <c r="Q14" s="312">
        <f t="shared" si="68"/>
        <v>0</v>
      </c>
      <c r="R14" s="312">
        <f t="shared" si="68"/>
        <v>0</v>
      </c>
      <c r="S14" s="319">
        <f t="shared" si="68"/>
        <v>0</v>
      </c>
      <c r="T14" s="319">
        <f t="shared" si="68"/>
        <v>0</v>
      </c>
      <c r="U14" s="319">
        <f t="shared" si="68"/>
        <v>0</v>
      </c>
      <c r="V14" s="319">
        <f t="shared" si="68"/>
        <v>0</v>
      </c>
      <c r="W14" s="319">
        <f t="shared" si="68"/>
        <v>0</v>
      </c>
      <c r="X14" s="319">
        <f t="shared" si="68"/>
        <v>0</v>
      </c>
      <c r="Y14" s="319">
        <f t="shared" si="68"/>
        <v>0</v>
      </c>
      <c r="Z14" s="319">
        <f t="shared" si="68"/>
        <v>0</v>
      </c>
      <c r="AA14" s="319">
        <f t="shared" si="68"/>
        <v>0</v>
      </c>
      <c r="AB14" s="319">
        <f t="shared" si="68"/>
        <v>0</v>
      </c>
      <c r="AC14" s="319">
        <f t="shared" si="68"/>
        <v>0</v>
      </c>
      <c r="AD14" s="319">
        <f t="shared" si="68"/>
        <v>0</v>
      </c>
      <c r="AE14" s="319">
        <f>AE15+AE16</f>
        <v>0</v>
      </c>
      <c r="AF14" s="319">
        <f>AF15+AF16</f>
        <v>0</v>
      </c>
      <c r="AG14" s="319">
        <f>AG15+AG16</f>
        <v>0</v>
      </c>
      <c r="AH14" s="319">
        <f t="shared" ref="AH14:AP14" si="69">AH15+AH16</f>
        <v>0</v>
      </c>
      <c r="AI14" s="319">
        <f t="shared" si="69"/>
        <v>0</v>
      </c>
      <c r="AJ14" s="319">
        <f t="shared" si="69"/>
        <v>0</v>
      </c>
      <c r="AK14" s="319">
        <f t="shared" si="69"/>
        <v>0</v>
      </c>
      <c r="AL14" s="319">
        <f t="shared" si="69"/>
        <v>0</v>
      </c>
      <c r="AM14" s="319">
        <f t="shared" si="69"/>
        <v>0</v>
      </c>
      <c r="AN14" s="319">
        <f t="shared" si="69"/>
        <v>0</v>
      </c>
      <c r="AO14" s="319">
        <f t="shared" si="69"/>
        <v>0</v>
      </c>
      <c r="AP14" s="319">
        <f t="shared" si="69"/>
        <v>0</v>
      </c>
      <c r="AQ14" s="301">
        <v>0</v>
      </c>
      <c r="AR14" s="301" t="s">
        <v>418</v>
      </c>
      <c r="AS14" s="308">
        <f>L14-AR13</f>
        <v>0</v>
      </c>
      <c r="AT14" s="319">
        <v>0</v>
      </c>
      <c r="AU14" s="308">
        <f t="shared" si="59"/>
        <v>0</v>
      </c>
      <c r="AV14" s="319">
        <v>0</v>
      </c>
      <c r="AW14" s="308">
        <f t="shared" si="60"/>
        <v>0</v>
      </c>
      <c r="AX14" s="319">
        <v>0</v>
      </c>
      <c r="AY14" s="308">
        <f t="shared" si="61"/>
        <v>0</v>
      </c>
      <c r="AZ14" s="319">
        <v>0</v>
      </c>
      <c r="BA14" s="308">
        <f t="shared" si="62"/>
        <v>0</v>
      </c>
      <c r="BB14" s="319">
        <v>0</v>
      </c>
      <c r="BC14" s="308">
        <f t="shared" si="63"/>
        <v>0</v>
      </c>
      <c r="BD14" s="319">
        <v>0</v>
      </c>
      <c r="BE14" s="308">
        <f t="shared" si="64"/>
        <v>0</v>
      </c>
      <c r="BF14" s="319">
        <v>0</v>
      </c>
      <c r="BG14" s="308">
        <f t="shared" si="10"/>
        <v>0</v>
      </c>
      <c r="BH14" s="319">
        <v>0</v>
      </c>
      <c r="BI14" s="308">
        <f t="shared" si="11"/>
        <v>0</v>
      </c>
      <c r="BJ14" s="319">
        <v>0</v>
      </c>
      <c r="BK14" s="308">
        <f t="shared" si="12"/>
        <v>0</v>
      </c>
      <c r="BL14" s="319">
        <v>0</v>
      </c>
      <c r="BM14" s="308">
        <f t="shared" si="13"/>
        <v>0</v>
      </c>
      <c r="BN14" s="319">
        <v>0</v>
      </c>
      <c r="BO14" s="308">
        <f t="shared" si="14"/>
        <v>0</v>
      </c>
      <c r="BP14" s="319">
        <v>0</v>
      </c>
      <c r="BQ14" s="308">
        <f t="shared" si="15"/>
        <v>0</v>
      </c>
      <c r="BR14" s="319">
        <v>0</v>
      </c>
      <c r="BS14" s="308">
        <f t="shared" si="16"/>
        <v>0</v>
      </c>
      <c r="BT14" s="319">
        <v>0</v>
      </c>
      <c r="BU14" s="308">
        <f t="shared" si="17"/>
        <v>0</v>
      </c>
      <c r="BV14" s="319">
        <v>0</v>
      </c>
      <c r="BW14" s="308">
        <f t="shared" si="18"/>
        <v>0</v>
      </c>
      <c r="BX14" s="319">
        <v>0</v>
      </c>
      <c r="BY14" s="308">
        <f t="shared" si="19"/>
        <v>0</v>
      </c>
      <c r="BZ14" s="319">
        <v>0</v>
      </c>
      <c r="CA14" s="308">
        <f t="shared" si="20"/>
        <v>0</v>
      </c>
      <c r="CB14" s="319">
        <v>0</v>
      </c>
      <c r="CC14" s="308">
        <f t="shared" si="21"/>
        <v>0</v>
      </c>
      <c r="CD14" s="319">
        <v>0</v>
      </c>
      <c r="CE14" s="308">
        <f t="shared" si="22"/>
        <v>0</v>
      </c>
      <c r="CF14" s="319">
        <v>0</v>
      </c>
      <c r="CG14" s="308">
        <f t="shared" si="23"/>
        <v>0</v>
      </c>
      <c r="CH14" s="319">
        <v>0</v>
      </c>
      <c r="CI14" s="308">
        <f t="shared" si="24"/>
        <v>0</v>
      </c>
      <c r="CJ14" s="319">
        <v>0</v>
      </c>
      <c r="CK14" s="308">
        <f t="shared" si="25"/>
        <v>0</v>
      </c>
      <c r="CL14" s="319">
        <v>0</v>
      </c>
      <c r="CM14" s="308">
        <f t="shared" si="26"/>
        <v>0</v>
      </c>
      <c r="CN14" s="319">
        <v>0</v>
      </c>
      <c r="CO14" s="308">
        <f t="shared" si="27"/>
        <v>0</v>
      </c>
      <c r="CP14" s="319">
        <v>0</v>
      </c>
      <c r="CQ14" s="308">
        <f t="shared" si="28"/>
        <v>0</v>
      </c>
      <c r="CR14" s="319">
        <v>0</v>
      </c>
      <c r="CS14" s="308">
        <f t="shared" si="29"/>
        <v>0</v>
      </c>
      <c r="CT14" s="319">
        <v>0</v>
      </c>
      <c r="CU14" s="308" t="e">
        <f t="shared" si="30"/>
        <v>#VALUE!</v>
      </c>
      <c r="CV14" s="319">
        <v>0</v>
      </c>
      <c r="CW14" s="308">
        <f t="shared" si="31"/>
        <v>0</v>
      </c>
      <c r="CX14" s="319">
        <v>0</v>
      </c>
      <c r="CY14" s="308">
        <f t="shared" si="32"/>
        <v>0</v>
      </c>
      <c r="CZ14" s="319">
        <v>0</v>
      </c>
      <c r="DA14" s="308">
        <f t="shared" si="33"/>
        <v>0</v>
      </c>
    </row>
    <row r="15" spans="1:105">
      <c r="A15" s="301" t="s">
        <v>224</v>
      </c>
      <c r="B15" s="308">
        <f>B260</f>
        <v>0</v>
      </c>
      <c r="C15" s="308">
        <f t="shared" ref="C15:AD15" si="70">C260</f>
        <v>1423894</v>
      </c>
      <c r="D15" s="308">
        <f t="shared" si="70"/>
        <v>2882009</v>
      </c>
      <c r="E15" s="308">
        <f t="shared" si="70"/>
        <v>25934813</v>
      </c>
      <c r="F15" s="308">
        <f t="shared" si="70"/>
        <v>20352691</v>
      </c>
      <c r="G15" s="308">
        <f t="shared" si="70"/>
        <v>0</v>
      </c>
      <c r="H15" s="308">
        <f t="shared" si="70"/>
        <v>0</v>
      </c>
      <c r="I15" s="308">
        <f t="shared" si="70"/>
        <v>0</v>
      </c>
      <c r="J15" s="308">
        <f t="shared" si="70"/>
        <v>0</v>
      </c>
      <c r="K15" s="308">
        <f t="shared" si="70"/>
        <v>0</v>
      </c>
      <c r="L15" s="308">
        <f t="shared" si="70"/>
        <v>0</v>
      </c>
      <c r="M15" s="308">
        <f t="shared" si="70"/>
        <v>0</v>
      </c>
      <c r="N15" s="308">
        <f t="shared" si="70"/>
        <v>0</v>
      </c>
      <c r="O15" s="308">
        <f t="shared" si="70"/>
        <v>0</v>
      </c>
      <c r="P15" s="308">
        <f t="shared" si="70"/>
        <v>0</v>
      </c>
      <c r="Q15" s="307">
        <f t="shared" si="70"/>
        <v>0</v>
      </c>
      <c r="R15" s="307">
        <f t="shared" si="70"/>
        <v>0</v>
      </c>
      <c r="S15" s="309">
        <f t="shared" si="70"/>
        <v>0</v>
      </c>
      <c r="T15" s="309">
        <f t="shared" si="70"/>
        <v>0</v>
      </c>
      <c r="U15" s="309">
        <f t="shared" si="70"/>
        <v>0</v>
      </c>
      <c r="V15" s="309">
        <f t="shared" si="70"/>
        <v>0</v>
      </c>
      <c r="W15" s="309">
        <f t="shared" si="70"/>
        <v>0</v>
      </c>
      <c r="X15" s="309">
        <f t="shared" si="70"/>
        <v>0</v>
      </c>
      <c r="Y15" s="309">
        <f t="shared" si="70"/>
        <v>0</v>
      </c>
      <c r="Z15" s="309">
        <f t="shared" si="70"/>
        <v>0</v>
      </c>
      <c r="AA15" s="309">
        <f t="shared" si="70"/>
        <v>0</v>
      </c>
      <c r="AB15" s="309">
        <f t="shared" si="70"/>
        <v>0</v>
      </c>
      <c r="AC15" s="309">
        <f t="shared" si="70"/>
        <v>0</v>
      </c>
      <c r="AD15" s="309">
        <f t="shared" si="70"/>
        <v>0</v>
      </c>
      <c r="AE15" s="309">
        <f>AE260</f>
        <v>0</v>
      </c>
      <c r="AF15" s="309">
        <f>AF260</f>
        <v>0</v>
      </c>
      <c r="AG15" s="309">
        <f>AG260</f>
        <v>0</v>
      </c>
      <c r="AH15" s="309">
        <f t="shared" ref="AH15:AP15" si="71">AH260</f>
        <v>0</v>
      </c>
      <c r="AI15" s="309">
        <f t="shared" si="71"/>
        <v>0</v>
      </c>
      <c r="AJ15" s="309">
        <f t="shared" si="71"/>
        <v>0</v>
      </c>
      <c r="AK15" s="309">
        <f t="shared" si="71"/>
        <v>0</v>
      </c>
      <c r="AL15" s="309">
        <f t="shared" si="71"/>
        <v>0</v>
      </c>
      <c r="AM15" s="309">
        <f t="shared" si="71"/>
        <v>0</v>
      </c>
      <c r="AN15" s="309">
        <f t="shared" si="71"/>
        <v>0</v>
      </c>
      <c r="AO15" s="309">
        <f t="shared" si="71"/>
        <v>0</v>
      </c>
      <c r="AP15" s="309">
        <f t="shared" si="71"/>
        <v>0</v>
      </c>
      <c r="AQ15" s="301">
        <v>0</v>
      </c>
      <c r="AR15" s="309">
        <f>'D5 Gallon Forecast'!P9</f>
        <v>67136623</v>
      </c>
      <c r="AS15" s="308">
        <f>L15-AR15</f>
        <v>-67136623</v>
      </c>
      <c r="AT15" s="309">
        <v>0</v>
      </c>
      <c r="AU15" s="308">
        <f t="shared" si="59"/>
        <v>0</v>
      </c>
      <c r="AV15" s="309">
        <v>0</v>
      </c>
      <c r="AW15" s="308">
        <f t="shared" si="60"/>
        <v>0</v>
      </c>
      <c r="AX15" s="309">
        <v>0</v>
      </c>
      <c r="AY15" s="308">
        <f t="shared" si="61"/>
        <v>0</v>
      </c>
      <c r="AZ15" s="309">
        <v>0</v>
      </c>
      <c r="BA15" s="308">
        <f t="shared" si="62"/>
        <v>0</v>
      </c>
      <c r="BB15" s="309">
        <v>0</v>
      </c>
      <c r="BC15" s="308">
        <f t="shared" si="63"/>
        <v>0</v>
      </c>
      <c r="BD15" s="309">
        <v>0</v>
      </c>
      <c r="BE15" s="308">
        <f t="shared" si="64"/>
        <v>0</v>
      </c>
      <c r="BF15" s="309">
        <v>0</v>
      </c>
      <c r="BG15" s="308">
        <f t="shared" si="10"/>
        <v>0</v>
      </c>
      <c r="BH15" s="309">
        <v>0</v>
      </c>
      <c r="BI15" s="308">
        <f t="shared" si="11"/>
        <v>0</v>
      </c>
      <c r="BJ15" s="309">
        <v>0</v>
      </c>
      <c r="BK15" s="308">
        <f t="shared" si="12"/>
        <v>0</v>
      </c>
      <c r="BL15" s="309">
        <v>0</v>
      </c>
      <c r="BM15" s="308">
        <f t="shared" si="13"/>
        <v>0</v>
      </c>
      <c r="BN15" s="309">
        <v>0</v>
      </c>
      <c r="BO15" s="308">
        <f t="shared" si="14"/>
        <v>0</v>
      </c>
      <c r="BP15" s="309">
        <v>0</v>
      </c>
      <c r="BQ15" s="308">
        <f t="shared" si="15"/>
        <v>0</v>
      </c>
      <c r="BR15" s="309">
        <v>0</v>
      </c>
      <c r="BS15" s="308">
        <f t="shared" si="16"/>
        <v>0</v>
      </c>
      <c r="BT15" s="309">
        <v>0</v>
      </c>
      <c r="BU15" s="308">
        <f t="shared" si="17"/>
        <v>0</v>
      </c>
      <c r="BV15" s="309">
        <v>0</v>
      </c>
      <c r="BW15" s="308">
        <f t="shared" si="18"/>
        <v>0</v>
      </c>
      <c r="BX15" s="309">
        <v>0</v>
      </c>
      <c r="BY15" s="308">
        <f t="shared" si="19"/>
        <v>0</v>
      </c>
      <c r="BZ15" s="309">
        <v>0</v>
      </c>
      <c r="CA15" s="308">
        <f t="shared" si="20"/>
        <v>0</v>
      </c>
      <c r="CB15" s="309">
        <v>0</v>
      </c>
      <c r="CC15" s="308">
        <f t="shared" si="21"/>
        <v>0</v>
      </c>
      <c r="CD15" s="309">
        <v>0</v>
      </c>
      <c r="CE15" s="308">
        <f t="shared" si="22"/>
        <v>0</v>
      </c>
      <c r="CF15" s="309">
        <v>0</v>
      </c>
      <c r="CG15" s="308">
        <f t="shared" si="23"/>
        <v>0</v>
      </c>
      <c r="CH15" s="309">
        <v>0</v>
      </c>
      <c r="CI15" s="308">
        <f t="shared" si="24"/>
        <v>0</v>
      </c>
      <c r="CJ15" s="309">
        <v>0</v>
      </c>
      <c r="CK15" s="308">
        <f t="shared" si="25"/>
        <v>0</v>
      </c>
      <c r="CL15" s="309">
        <v>0</v>
      </c>
      <c r="CM15" s="308">
        <f t="shared" si="26"/>
        <v>0</v>
      </c>
      <c r="CN15" s="309">
        <v>0</v>
      </c>
      <c r="CO15" s="308">
        <f t="shared" si="27"/>
        <v>0</v>
      </c>
      <c r="CP15" s="309">
        <v>0</v>
      </c>
      <c r="CQ15" s="308">
        <f t="shared" si="28"/>
        <v>0</v>
      </c>
      <c r="CR15" s="309">
        <v>0</v>
      </c>
      <c r="CS15" s="308">
        <f t="shared" si="29"/>
        <v>0</v>
      </c>
      <c r="CT15" s="309">
        <v>0</v>
      </c>
      <c r="CU15" s="308">
        <f t="shared" si="30"/>
        <v>67136623</v>
      </c>
      <c r="CV15" s="309">
        <v>0</v>
      </c>
      <c r="CW15" s="308">
        <f t="shared" si="31"/>
        <v>0</v>
      </c>
      <c r="CX15" s="309">
        <v>0</v>
      </c>
      <c r="CY15" s="308">
        <f t="shared" si="32"/>
        <v>0</v>
      </c>
      <c r="CZ15" s="309">
        <v>0</v>
      </c>
      <c r="DA15" s="308">
        <f t="shared" si="33"/>
        <v>0</v>
      </c>
    </row>
    <row r="16" spans="1:105" ht="12" thickBot="1">
      <c r="A16" s="301" t="s">
        <v>225</v>
      </c>
      <c r="B16" s="308">
        <f>B276</f>
        <v>0</v>
      </c>
      <c r="C16" s="308">
        <f t="shared" ref="C16:AD16" si="72">C276</f>
        <v>0</v>
      </c>
      <c r="D16" s="308">
        <f t="shared" si="72"/>
        <v>0</v>
      </c>
      <c r="E16" s="308">
        <f t="shared" si="72"/>
        <v>0</v>
      </c>
      <c r="F16" s="308">
        <f t="shared" si="72"/>
        <v>0</v>
      </c>
      <c r="G16" s="308">
        <f t="shared" si="72"/>
        <v>0</v>
      </c>
      <c r="H16" s="308">
        <f t="shared" si="72"/>
        <v>0</v>
      </c>
      <c r="I16" s="308">
        <f t="shared" si="72"/>
        <v>0</v>
      </c>
      <c r="J16" s="308">
        <f t="shared" si="72"/>
        <v>0</v>
      </c>
      <c r="K16" s="308">
        <f t="shared" si="72"/>
        <v>0</v>
      </c>
      <c r="L16" s="308">
        <f t="shared" si="72"/>
        <v>0</v>
      </c>
      <c r="M16" s="308">
        <f t="shared" si="72"/>
        <v>0</v>
      </c>
      <c r="N16" s="308">
        <f t="shared" si="72"/>
        <v>0</v>
      </c>
      <c r="O16" s="308">
        <f t="shared" si="72"/>
        <v>0</v>
      </c>
      <c r="P16" s="308">
        <f t="shared" si="72"/>
        <v>0</v>
      </c>
      <c r="Q16" s="307">
        <f t="shared" si="72"/>
        <v>0</v>
      </c>
      <c r="R16" s="307">
        <f t="shared" si="72"/>
        <v>0</v>
      </c>
      <c r="S16" s="309">
        <f t="shared" si="72"/>
        <v>0</v>
      </c>
      <c r="T16" s="309">
        <f t="shared" si="72"/>
        <v>0</v>
      </c>
      <c r="U16" s="309">
        <f t="shared" si="72"/>
        <v>0</v>
      </c>
      <c r="V16" s="309">
        <f t="shared" si="72"/>
        <v>0</v>
      </c>
      <c r="W16" s="309">
        <f t="shared" si="72"/>
        <v>0</v>
      </c>
      <c r="X16" s="309">
        <f t="shared" si="72"/>
        <v>0</v>
      </c>
      <c r="Y16" s="309">
        <f t="shared" si="72"/>
        <v>0</v>
      </c>
      <c r="Z16" s="309">
        <f t="shared" si="72"/>
        <v>0</v>
      </c>
      <c r="AA16" s="309">
        <f t="shared" si="72"/>
        <v>0</v>
      </c>
      <c r="AB16" s="309">
        <f t="shared" si="72"/>
        <v>0</v>
      </c>
      <c r="AC16" s="309">
        <f t="shared" si="72"/>
        <v>0</v>
      </c>
      <c r="AD16" s="309">
        <f t="shared" si="72"/>
        <v>0</v>
      </c>
      <c r="AE16" s="309">
        <f>AE276</f>
        <v>0</v>
      </c>
      <c r="AF16" s="309">
        <f>AF276</f>
        <v>0</v>
      </c>
      <c r="AG16" s="309">
        <f>AG276</f>
        <v>0</v>
      </c>
      <c r="AH16" s="309">
        <f t="shared" ref="AH16:AP16" si="73">AH276</f>
        <v>0</v>
      </c>
      <c r="AI16" s="309">
        <f t="shared" si="73"/>
        <v>0</v>
      </c>
      <c r="AJ16" s="309">
        <f t="shared" si="73"/>
        <v>0</v>
      </c>
      <c r="AK16" s="309">
        <f t="shared" si="73"/>
        <v>0</v>
      </c>
      <c r="AL16" s="309">
        <f t="shared" si="73"/>
        <v>0</v>
      </c>
      <c r="AM16" s="309">
        <f t="shared" si="73"/>
        <v>0</v>
      </c>
      <c r="AN16" s="309">
        <f t="shared" si="73"/>
        <v>0</v>
      </c>
      <c r="AO16" s="309">
        <f t="shared" si="73"/>
        <v>0</v>
      </c>
      <c r="AP16" s="309">
        <f t="shared" si="73"/>
        <v>0</v>
      </c>
      <c r="AQ16" s="301">
        <v>0</v>
      </c>
      <c r="AR16" s="309" t="s">
        <v>419</v>
      </c>
      <c r="AS16" s="308" t="e">
        <f>L16-AR16</f>
        <v>#VALUE!</v>
      </c>
      <c r="AT16" s="309">
        <v>0</v>
      </c>
      <c r="AU16" s="308">
        <f t="shared" si="59"/>
        <v>0</v>
      </c>
      <c r="AV16" s="309">
        <v>0</v>
      </c>
      <c r="AW16" s="308">
        <f t="shared" si="60"/>
        <v>0</v>
      </c>
      <c r="AX16" s="309">
        <v>0</v>
      </c>
      <c r="AY16" s="308">
        <f t="shared" si="61"/>
        <v>0</v>
      </c>
      <c r="AZ16" s="309">
        <v>0</v>
      </c>
      <c r="BA16" s="308">
        <f t="shared" si="62"/>
        <v>0</v>
      </c>
      <c r="BB16" s="309">
        <v>0</v>
      </c>
      <c r="BC16" s="308">
        <f t="shared" si="63"/>
        <v>0</v>
      </c>
      <c r="BD16" s="309">
        <v>0</v>
      </c>
      <c r="BE16" s="308">
        <f t="shared" si="64"/>
        <v>0</v>
      </c>
      <c r="BF16" s="309">
        <v>0</v>
      </c>
      <c r="BG16" s="308">
        <f t="shared" si="10"/>
        <v>0</v>
      </c>
      <c r="BH16" s="309">
        <v>0</v>
      </c>
      <c r="BI16" s="308">
        <f t="shared" si="11"/>
        <v>0</v>
      </c>
      <c r="BJ16" s="309">
        <v>0</v>
      </c>
      <c r="BK16" s="308">
        <f t="shared" si="12"/>
        <v>0</v>
      </c>
      <c r="BL16" s="309">
        <v>0</v>
      </c>
      <c r="BM16" s="308">
        <f t="shared" si="13"/>
        <v>0</v>
      </c>
      <c r="BN16" s="309">
        <v>0</v>
      </c>
      <c r="BO16" s="308">
        <f t="shared" si="14"/>
        <v>0</v>
      </c>
      <c r="BP16" s="309">
        <v>0</v>
      </c>
      <c r="BQ16" s="308">
        <f t="shared" si="15"/>
        <v>0</v>
      </c>
      <c r="BR16" s="309">
        <v>0</v>
      </c>
      <c r="BS16" s="308">
        <f t="shared" si="16"/>
        <v>0</v>
      </c>
      <c r="BT16" s="309">
        <v>0</v>
      </c>
      <c r="BU16" s="308">
        <f t="shared" si="17"/>
        <v>0</v>
      </c>
      <c r="BV16" s="309">
        <v>0</v>
      </c>
      <c r="BW16" s="308">
        <f t="shared" si="18"/>
        <v>0</v>
      </c>
      <c r="BX16" s="309">
        <v>0</v>
      </c>
      <c r="BY16" s="308">
        <f t="shared" si="19"/>
        <v>0</v>
      </c>
      <c r="BZ16" s="309">
        <v>0</v>
      </c>
      <c r="CA16" s="308">
        <f t="shared" si="20"/>
        <v>0</v>
      </c>
      <c r="CB16" s="309">
        <v>0</v>
      </c>
      <c r="CC16" s="308">
        <f t="shared" si="21"/>
        <v>0</v>
      </c>
      <c r="CD16" s="309">
        <v>0</v>
      </c>
      <c r="CE16" s="308">
        <f t="shared" si="22"/>
        <v>0</v>
      </c>
      <c r="CF16" s="309">
        <v>0</v>
      </c>
      <c r="CG16" s="308">
        <f t="shared" si="23"/>
        <v>0</v>
      </c>
      <c r="CH16" s="309">
        <v>0</v>
      </c>
      <c r="CI16" s="308">
        <f t="shared" si="24"/>
        <v>0</v>
      </c>
      <c r="CJ16" s="309">
        <v>0</v>
      </c>
      <c r="CK16" s="308">
        <f t="shared" si="25"/>
        <v>0</v>
      </c>
      <c r="CL16" s="309">
        <v>0</v>
      </c>
      <c r="CM16" s="308">
        <f t="shared" si="26"/>
        <v>0</v>
      </c>
      <c r="CN16" s="309">
        <v>0</v>
      </c>
      <c r="CO16" s="308">
        <f t="shared" si="27"/>
        <v>0</v>
      </c>
      <c r="CP16" s="309">
        <v>0</v>
      </c>
      <c r="CQ16" s="308">
        <f t="shared" si="28"/>
        <v>0</v>
      </c>
      <c r="CR16" s="309">
        <v>0</v>
      </c>
      <c r="CS16" s="308">
        <f t="shared" si="29"/>
        <v>0</v>
      </c>
      <c r="CT16" s="309">
        <v>0</v>
      </c>
      <c r="CU16" s="308" t="e">
        <f t="shared" si="30"/>
        <v>#VALUE!</v>
      </c>
      <c r="CV16" s="309">
        <v>0</v>
      </c>
      <c r="CW16" s="308">
        <f t="shared" si="31"/>
        <v>0</v>
      </c>
      <c r="CX16" s="309">
        <v>0</v>
      </c>
      <c r="CY16" s="308">
        <f t="shared" si="32"/>
        <v>0</v>
      </c>
      <c r="CZ16" s="309">
        <v>0</v>
      </c>
      <c r="DA16" s="308">
        <f t="shared" si="33"/>
        <v>0</v>
      </c>
    </row>
    <row r="17" spans="1:105" ht="13.5" customHeight="1">
      <c r="A17" s="318" t="s">
        <v>420</v>
      </c>
      <c r="B17" s="311">
        <f t="shared" ref="B17:M17" si="74">B18+B21</f>
        <v>0</v>
      </c>
      <c r="C17" s="311">
        <f t="shared" si="74"/>
        <v>0</v>
      </c>
      <c r="D17" s="311">
        <f t="shared" si="74"/>
        <v>0</v>
      </c>
      <c r="E17" s="311">
        <f t="shared" si="74"/>
        <v>2311157</v>
      </c>
      <c r="F17" s="311">
        <f t="shared" si="74"/>
        <v>12093919</v>
      </c>
      <c r="G17" s="311">
        <f t="shared" si="74"/>
        <v>15992239</v>
      </c>
      <c r="H17" s="311">
        <f t="shared" si="74"/>
        <v>18111187</v>
      </c>
      <c r="I17" s="311">
        <f t="shared" si="74"/>
        <v>21019366</v>
      </c>
      <c r="J17" s="311">
        <f t="shared" si="74"/>
        <v>21401280</v>
      </c>
      <c r="K17" s="311">
        <f t="shared" si="74"/>
        <v>24537999</v>
      </c>
      <c r="L17" s="311">
        <f t="shared" si="74"/>
        <v>22154856</v>
      </c>
      <c r="M17" s="311">
        <f t="shared" si="74"/>
        <v>22407484</v>
      </c>
      <c r="N17" s="311">
        <f>N18+N21</f>
        <v>63522153</v>
      </c>
      <c r="O17" s="311">
        <f>O18+O21</f>
        <v>52308409</v>
      </c>
      <c r="P17" s="311">
        <f>P18+P21</f>
        <v>64025718</v>
      </c>
      <c r="Q17" s="312">
        <f t="shared" ref="Q17:AP17" si="75">Q18+Q21</f>
        <v>95242314.380266696</v>
      </c>
      <c r="R17" s="312">
        <f t="shared" si="75"/>
        <v>97106009.35282585</v>
      </c>
      <c r="S17" s="313">
        <f t="shared" si="75"/>
        <v>106071489.77297543</v>
      </c>
      <c r="T17" s="313">
        <f t="shared" si="75"/>
        <v>110960840.36940165</v>
      </c>
      <c r="U17" s="313">
        <f t="shared" si="75"/>
        <v>110459695.87920062</v>
      </c>
      <c r="V17" s="313">
        <f t="shared" si="75"/>
        <v>118825108.8821879</v>
      </c>
      <c r="W17" s="313">
        <f t="shared" si="75"/>
        <v>132224836.80097488</v>
      </c>
      <c r="X17" s="313">
        <f t="shared" si="75"/>
        <v>140100376.54600033</v>
      </c>
      <c r="Y17" s="313">
        <f t="shared" si="75"/>
        <v>150296960.14474714</v>
      </c>
      <c r="Z17" s="313">
        <f t="shared" si="75"/>
        <v>162760217.76927125</v>
      </c>
      <c r="AA17" s="313">
        <f t="shared" si="75"/>
        <v>168985707.78079498</v>
      </c>
      <c r="AB17" s="313">
        <f t="shared" si="75"/>
        <v>162567064.845725</v>
      </c>
      <c r="AC17" s="313">
        <f t="shared" si="75"/>
        <v>165121744.80850929</v>
      </c>
      <c r="AD17" s="313">
        <f t="shared" si="75"/>
        <v>165521073.15101236</v>
      </c>
      <c r="AE17" s="313">
        <f t="shared" si="75"/>
        <v>171192071.04810089</v>
      </c>
      <c r="AF17" s="313">
        <f t="shared" si="75"/>
        <v>190396821.46314442</v>
      </c>
      <c r="AG17" s="313">
        <f t="shared" si="75"/>
        <v>197112896.51484352</v>
      </c>
      <c r="AH17" s="313">
        <f t="shared" si="75"/>
        <v>203350776.63242471</v>
      </c>
      <c r="AI17" s="313">
        <f t="shared" si="75"/>
        <v>210056070.76236409</v>
      </c>
      <c r="AJ17" s="313">
        <f t="shared" si="75"/>
        <v>209525016.66753781</v>
      </c>
      <c r="AK17" s="313">
        <f t="shared" si="75"/>
        <v>205228032.6472047</v>
      </c>
      <c r="AL17" s="313">
        <f t="shared" si="75"/>
        <v>226551829.72233844</v>
      </c>
      <c r="AM17" s="313">
        <f t="shared" si="75"/>
        <v>243235734.58203077</v>
      </c>
      <c r="AN17" s="313">
        <f t="shared" si="75"/>
        <v>295359993.28621042</v>
      </c>
      <c r="AO17" s="313">
        <f t="shared" si="75"/>
        <v>355998349.16070139</v>
      </c>
      <c r="AP17" s="313">
        <f t="shared" si="75"/>
        <v>427268870.26331967</v>
      </c>
      <c r="AQ17" s="308">
        <v>4446580.8327215165</v>
      </c>
      <c r="AR17" s="313">
        <f>'D6 Gallon Forecast'!P13</f>
        <v>147171</v>
      </c>
      <c r="AS17" s="308">
        <f>L17-AR17</f>
        <v>22007685</v>
      </c>
      <c r="AT17" s="313">
        <v>17161518.258248642</v>
      </c>
      <c r="AU17" s="308">
        <f t="shared" si="59"/>
        <v>5245965.7417513579</v>
      </c>
      <c r="AV17" s="313">
        <v>60739072.0403421</v>
      </c>
      <c r="AW17" s="308">
        <f t="shared" si="60"/>
        <v>2783080.9596579</v>
      </c>
      <c r="AX17" s="313">
        <v>56132955.40495491</v>
      </c>
      <c r="AY17" s="308">
        <f t="shared" si="61"/>
        <v>-3824546.4049549103</v>
      </c>
      <c r="AZ17" s="313">
        <v>65994657.526072524</v>
      </c>
      <c r="BA17" s="308">
        <f t="shared" si="62"/>
        <v>-1968939.5260725245</v>
      </c>
      <c r="BB17" s="313">
        <v>51461713.049012855</v>
      </c>
      <c r="BC17" s="308">
        <f t="shared" si="63"/>
        <v>43780601.331253842</v>
      </c>
      <c r="BD17" s="313">
        <v>68531063.176265985</v>
      </c>
      <c r="BE17" s="308">
        <f t="shared" si="64"/>
        <v>28574946.176559865</v>
      </c>
      <c r="BF17" s="313">
        <v>105045443.66496325</v>
      </c>
      <c r="BG17" s="308">
        <f t="shared" si="10"/>
        <v>1026046.1080121845</v>
      </c>
      <c r="BH17" s="313">
        <v>106897573.6291483</v>
      </c>
      <c r="BI17" s="308">
        <f t="shared" si="11"/>
        <v>4063266.7402533442</v>
      </c>
      <c r="BJ17" s="313">
        <v>112847657.03752816</v>
      </c>
      <c r="BK17" s="308">
        <f t="shared" si="12"/>
        <v>-2387961.1583275348</v>
      </c>
      <c r="BL17" s="313">
        <v>121821886.35936038</v>
      </c>
      <c r="BM17" s="308">
        <f t="shared" si="13"/>
        <v>-2996777.477172479</v>
      </c>
      <c r="BN17" s="313">
        <v>133587384.75188836</v>
      </c>
      <c r="BO17" s="308">
        <f t="shared" si="14"/>
        <v>-1362547.9509134889</v>
      </c>
      <c r="BP17" s="313">
        <v>96663961.978104502</v>
      </c>
      <c r="BQ17" s="308">
        <f t="shared" si="15"/>
        <v>43436414.56789583</v>
      </c>
      <c r="BR17" s="313">
        <v>62381661.859574005</v>
      </c>
      <c r="BS17" s="308">
        <f t="shared" si="16"/>
        <v>87915298.285173133</v>
      </c>
      <c r="BT17" s="313">
        <v>61313512.250876158</v>
      </c>
      <c r="BU17" s="308">
        <f t="shared" si="17"/>
        <v>101446705.5183951</v>
      </c>
      <c r="BV17" s="313">
        <v>61702924.778677873</v>
      </c>
      <c r="BW17" s="308">
        <f t="shared" si="18"/>
        <v>107282783.0021171</v>
      </c>
      <c r="BX17" s="313">
        <v>62088306.283514202</v>
      </c>
      <c r="BY17" s="308">
        <f t="shared" si="19"/>
        <v>100478758.5622108</v>
      </c>
      <c r="BZ17" s="313">
        <v>186366462.50582579</v>
      </c>
      <c r="CA17" s="308">
        <f t="shared" si="20"/>
        <v>-21244717.697316498</v>
      </c>
      <c r="CB17" s="313">
        <v>201804154.9952969</v>
      </c>
      <c r="CC17" s="308">
        <f t="shared" si="21"/>
        <v>-36283081.844284534</v>
      </c>
      <c r="CD17" s="313">
        <v>200270289.09637594</v>
      </c>
      <c r="CE17" s="308">
        <f t="shared" si="22"/>
        <v>-29078218.048275054</v>
      </c>
      <c r="CF17" s="313">
        <v>61819371.59158539</v>
      </c>
      <c r="CG17" s="308">
        <f t="shared" si="23"/>
        <v>128577449.87155902</v>
      </c>
      <c r="CH17" s="313">
        <v>61918338.62913765</v>
      </c>
      <c r="CI17" s="308">
        <f t="shared" si="24"/>
        <v>135194557.88570589</v>
      </c>
      <c r="CJ17" s="313">
        <v>61918338.62913765</v>
      </c>
      <c r="CK17" s="308">
        <f t="shared" si="25"/>
        <v>141432438.00328708</v>
      </c>
      <c r="CL17" s="313">
        <v>61918338.62913765</v>
      </c>
      <c r="CM17" s="308">
        <f t="shared" si="26"/>
        <v>147606678.03840017</v>
      </c>
      <c r="CN17" s="313">
        <v>61918338.62913765</v>
      </c>
      <c r="CO17" s="308">
        <f t="shared" si="27"/>
        <v>181317395.95289314</v>
      </c>
      <c r="CP17" s="313">
        <v>61918338.62913765</v>
      </c>
      <c r="CQ17" s="308">
        <f t="shared" si="28"/>
        <v>233441654.65707278</v>
      </c>
      <c r="CR17" s="313">
        <v>61918338.62913765</v>
      </c>
      <c r="CS17" s="308">
        <f t="shared" si="29"/>
        <v>365350531.63418204</v>
      </c>
      <c r="CT17" s="313">
        <v>61918338.62913765</v>
      </c>
      <c r="CU17" s="308">
        <f t="shared" si="30"/>
        <v>-61771167.62913765</v>
      </c>
      <c r="CV17" s="313">
        <v>61918338.62913765</v>
      </c>
      <c r="CW17" s="308">
        <f t="shared" si="31"/>
        <v>-56672372.887386292</v>
      </c>
      <c r="CX17" s="313">
        <v>61918338.62913765</v>
      </c>
      <c r="CY17" s="308">
        <f t="shared" si="32"/>
        <v>-1179266.5887955502</v>
      </c>
      <c r="CZ17" s="313">
        <v>61918338.62913765</v>
      </c>
      <c r="DA17" s="308">
        <f t="shared" si="33"/>
        <v>-5785383.2241827399</v>
      </c>
    </row>
    <row r="18" spans="1:105" ht="12.75" customHeight="1">
      <c r="A18" s="301" t="s">
        <v>224</v>
      </c>
      <c r="B18" s="308">
        <f t="shared" ref="B18:AP18" si="76">B20+B19</f>
        <v>0</v>
      </c>
      <c r="C18" s="308">
        <f t="shared" si="76"/>
        <v>0</v>
      </c>
      <c r="D18" s="308">
        <f t="shared" si="76"/>
        <v>0</v>
      </c>
      <c r="E18" s="308">
        <f t="shared" si="76"/>
        <v>2311157</v>
      </c>
      <c r="F18" s="308">
        <f t="shared" si="76"/>
        <v>12093919</v>
      </c>
      <c r="G18" s="308">
        <f t="shared" si="76"/>
        <v>15992239</v>
      </c>
      <c r="H18" s="308">
        <f t="shared" si="76"/>
        <v>18111187</v>
      </c>
      <c r="I18" s="308">
        <f t="shared" si="76"/>
        <v>21019366</v>
      </c>
      <c r="J18" s="308">
        <f t="shared" si="76"/>
        <v>21401280</v>
      </c>
      <c r="K18" s="308">
        <f t="shared" si="76"/>
        <v>24537999</v>
      </c>
      <c r="L18" s="308">
        <f t="shared" si="76"/>
        <v>22154856</v>
      </c>
      <c r="M18" s="308">
        <f t="shared" si="76"/>
        <v>22407484</v>
      </c>
      <c r="N18" s="308">
        <f>N20+N19</f>
        <v>63522153</v>
      </c>
      <c r="O18" s="308">
        <f>O20+O19</f>
        <v>52308409</v>
      </c>
      <c r="P18" s="308">
        <f>P20+P19</f>
        <v>64025718</v>
      </c>
      <c r="Q18" s="307">
        <f t="shared" si="76"/>
        <v>95242314.380266696</v>
      </c>
      <c r="R18" s="307">
        <f t="shared" si="76"/>
        <v>97106009.35282585</v>
      </c>
      <c r="S18" s="309">
        <f t="shared" si="76"/>
        <v>106071489.77297543</v>
      </c>
      <c r="T18" s="309">
        <f t="shared" si="76"/>
        <v>110960840.36940165</v>
      </c>
      <c r="U18" s="309">
        <f t="shared" si="76"/>
        <v>110459695.87920062</v>
      </c>
      <c r="V18" s="309">
        <f t="shared" si="76"/>
        <v>118825108.8821879</v>
      </c>
      <c r="W18" s="309">
        <f t="shared" si="76"/>
        <v>132224836.80097488</v>
      </c>
      <c r="X18" s="309">
        <f t="shared" si="76"/>
        <v>140100376.54600033</v>
      </c>
      <c r="Y18" s="309">
        <f t="shared" si="76"/>
        <v>150296960.14474714</v>
      </c>
      <c r="Z18" s="309">
        <f t="shared" si="76"/>
        <v>162760217.76927125</v>
      </c>
      <c r="AA18" s="309">
        <f t="shared" si="76"/>
        <v>168985707.78079498</v>
      </c>
      <c r="AB18" s="309">
        <f t="shared" si="76"/>
        <v>162567064.845725</v>
      </c>
      <c r="AC18" s="309">
        <f t="shared" si="76"/>
        <v>165121744.80850929</v>
      </c>
      <c r="AD18" s="309">
        <f t="shared" si="76"/>
        <v>165521073.15101236</v>
      </c>
      <c r="AE18" s="309">
        <f t="shared" si="76"/>
        <v>171192071.04810089</v>
      </c>
      <c r="AF18" s="309">
        <f t="shared" si="76"/>
        <v>190396821.46314442</v>
      </c>
      <c r="AG18" s="309">
        <f t="shared" si="76"/>
        <v>197112896.51484352</v>
      </c>
      <c r="AH18" s="309">
        <f t="shared" si="76"/>
        <v>203350764.63242471</v>
      </c>
      <c r="AI18" s="309">
        <f t="shared" si="76"/>
        <v>210056046.76236409</v>
      </c>
      <c r="AJ18" s="309">
        <f t="shared" si="76"/>
        <v>209524980.66753781</v>
      </c>
      <c r="AK18" s="309">
        <f t="shared" si="76"/>
        <v>205227984.6472047</v>
      </c>
      <c r="AL18" s="309">
        <f t="shared" si="76"/>
        <v>226551769.72233844</v>
      </c>
      <c r="AM18" s="309">
        <f t="shared" si="76"/>
        <v>243235662.58203077</v>
      </c>
      <c r="AN18" s="309">
        <f t="shared" si="76"/>
        <v>295359909.28621042</v>
      </c>
      <c r="AO18" s="309">
        <f t="shared" si="76"/>
        <v>355998253.16070139</v>
      </c>
      <c r="AP18" s="309">
        <f t="shared" si="76"/>
        <v>427268762.26331967</v>
      </c>
      <c r="AQ18" s="308">
        <v>4446580.8327215165</v>
      </c>
      <c r="AR18" s="309">
        <f>'[1]RVO Forecast'!$O$3</f>
        <v>3563924491</v>
      </c>
      <c r="AS18" s="308" t="e">
        <f>L18-#REF!</f>
        <v>#REF!</v>
      </c>
      <c r="AT18" s="309">
        <v>17161518.258248642</v>
      </c>
      <c r="AU18" s="308">
        <f t="shared" si="59"/>
        <v>5245965.7417513579</v>
      </c>
      <c r="AV18" s="309">
        <v>60739072.0403421</v>
      </c>
      <c r="AW18" s="308">
        <f t="shared" si="60"/>
        <v>2783080.9596579</v>
      </c>
      <c r="AX18" s="309">
        <v>56132955.40495491</v>
      </c>
      <c r="AY18" s="308">
        <f t="shared" si="61"/>
        <v>-3824546.4049549103</v>
      </c>
      <c r="AZ18" s="309">
        <v>65994657.526072524</v>
      </c>
      <c r="BA18" s="308">
        <f t="shared" si="62"/>
        <v>-1968939.5260725245</v>
      </c>
      <c r="BB18" s="309">
        <v>51461713.049012855</v>
      </c>
      <c r="BC18" s="308">
        <f t="shared" si="63"/>
        <v>43780601.331253842</v>
      </c>
      <c r="BD18" s="309">
        <v>68531063.176265985</v>
      </c>
      <c r="BE18" s="308">
        <f t="shared" si="64"/>
        <v>28574946.176559865</v>
      </c>
      <c r="BF18" s="309">
        <v>105045443.66496325</v>
      </c>
      <c r="BG18" s="308">
        <f t="shared" si="10"/>
        <v>1026046.1080121845</v>
      </c>
      <c r="BH18" s="309">
        <v>106897573.6291483</v>
      </c>
      <c r="BI18" s="308">
        <f t="shared" si="11"/>
        <v>4063266.7402533442</v>
      </c>
      <c r="BJ18" s="309">
        <v>112847657.03752816</v>
      </c>
      <c r="BK18" s="308">
        <f t="shared" si="12"/>
        <v>-2387961.1583275348</v>
      </c>
      <c r="BL18" s="309">
        <v>121821886.35936038</v>
      </c>
      <c r="BM18" s="308">
        <f t="shared" si="13"/>
        <v>-2996777.477172479</v>
      </c>
      <c r="BN18" s="309">
        <v>133587384.75188836</v>
      </c>
      <c r="BO18" s="308">
        <f t="shared" si="14"/>
        <v>-1362547.9509134889</v>
      </c>
      <c r="BP18" s="309">
        <v>96663961.978104502</v>
      </c>
      <c r="BQ18" s="308">
        <f t="shared" si="15"/>
        <v>43436414.56789583</v>
      </c>
      <c r="BR18" s="309">
        <v>62381661.859574005</v>
      </c>
      <c r="BS18" s="308">
        <f t="shared" si="16"/>
        <v>87915298.285173133</v>
      </c>
      <c r="BT18" s="309">
        <v>61313512.250876158</v>
      </c>
      <c r="BU18" s="308">
        <f t="shared" si="17"/>
        <v>101446705.5183951</v>
      </c>
      <c r="BV18" s="309">
        <v>61702924.778677873</v>
      </c>
      <c r="BW18" s="308">
        <f t="shared" si="18"/>
        <v>107282783.0021171</v>
      </c>
      <c r="BX18" s="309">
        <v>62088306.283514202</v>
      </c>
      <c r="BY18" s="308">
        <f t="shared" si="19"/>
        <v>100478758.5622108</v>
      </c>
      <c r="BZ18" s="309">
        <v>186366462.50582579</v>
      </c>
      <c r="CA18" s="308">
        <f t="shared" si="20"/>
        <v>-21244717.697316498</v>
      </c>
      <c r="CB18" s="309">
        <v>201804154.9952969</v>
      </c>
      <c r="CC18" s="308">
        <f t="shared" si="21"/>
        <v>-36283081.844284534</v>
      </c>
      <c r="CD18" s="309">
        <v>200270289.09637594</v>
      </c>
      <c r="CE18" s="308">
        <f t="shared" si="22"/>
        <v>-29078218.048275054</v>
      </c>
      <c r="CF18" s="309">
        <v>61819371.59158539</v>
      </c>
      <c r="CG18" s="308">
        <f t="shared" si="23"/>
        <v>128577449.87155902</v>
      </c>
      <c r="CH18" s="309">
        <v>61918338.62913765</v>
      </c>
      <c r="CI18" s="308">
        <f t="shared" si="24"/>
        <v>135194557.88570589</v>
      </c>
      <c r="CJ18" s="309">
        <v>61918338.62913765</v>
      </c>
      <c r="CK18" s="308">
        <f t="shared" si="25"/>
        <v>141432426.00328708</v>
      </c>
      <c r="CL18" s="309">
        <v>61918338.62913765</v>
      </c>
      <c r="CM18" s="308">
        <f t="shared" si="26"/>
        <v>147606642.03840017</v>
      </c>
      <c r="CN18" s="309">
        <v>61918338.62913765</v>
      </c>
      <c r="CO18" s="308">
        <f t="shared" si="27"/>
        <v>181317323.95289314</v>
      </c>
      <c r="CP18" s="309">
        <v>61918338.62913765</v>
      </c>
      <c r="CQ18" s="308">
        <f t="shared" si="28"/>
        <v>233441570.65707278</v>
      </c>
      <c r="CR18" s="309">
        <v>61918338.62913765</v>
      </c>
      <c r="CS18" s="308">
        <f t="shared" si="29"/>
        <v>365350423.63418204</v>
      </c>
      <c r="CT18" s="309">
        <v>61918338.62913765</v>
      </c>
      <c r="CU18" s="308">
        <f t="shared" si="30"/>
        <v>3502006152.3708625</v>
      </c>
      <c r="CV18" s="309">
        <v>61918338.62913765</v>
      </c>
      <c r="CW18" s="308">
        <f t="shared" si="31"/>
        <v>-56672372.887386292</v>
      </c>
      <c r="CX18" s="309">
        <v>61918338.62913765</v>
      </c>
      <c r="CY18" s="308">
        <f t="shared" si="32"/>
        <v>-1179266.5887955502</v>
      </c>
      <c r="CZ18" s="309">
        <v>61918338.62913765</v>
      </c>
      <c r="DA18" s="308">
        <f t="shared" si="33"/>
        <v>-5785383.2241827399</v>
      </c>
    </row>
    <row r="19" spans="1:105">
      <c r="A19" s="301" t="s">
        <v>421</v>
      </c>
      <c r="B19" s="308">
        <f>B308</f>
        <v>0</v>
      </c>
      <c r="C19" s="308">
        <f t="shared" ref="C19:P19" si="77">C308</f>
        <v>0</v>
      </c>
      <c r="D19" s="308">
        <f t="shared" si="77"/>
        <v>0</v>
      </c>
      <c r="E19" s="308">
        <f t="shared" si="77"/>
        <v>0</v>
      </c>
      <c r="F19" s="308">
        <f t="shared" si="77"/>
        <v>0</v>
      </c>
      <c r="G19" s="308">
        <f t="shared" si="77"/>
        <v>0</v>
      </c>
      <c r="H19" s="308">
        <f t="shared" si="77"/>
        <v>0</v>
      </c>
      <c r="I19" s="308">
        <f t="shared" si="77"/>
        <v>0</v>
      </c>
      <c r="J19" s="308">
        <f t="shared" si="77"/>
        <v>0</v>
      </c>
      <c r="K19" s="308">
        <f t="shared" si="77"/>
        <v>2475934</v>
      </c>
      <c r="L19" s="308">
        <f t="shared" si="77"/>
        <v>3392626</v>
      </c>
      <c r="M19" s="308">
        <f t="shared" si="77"/>
        <v>3509965</v>
      </c>
      <c r="N19" s="308">
        <f t="shared" si="77"/>
        <v>1621002</v>
      </c>
      <c r="O19" s="308">
        <f t="shared" si="77"/>
        <v>856984</v>
      </c>
      <c r="P19" s="308">
        <f t="shared" si="77"/>
        <v>22492476</v>
      </c>
      <c r="Q19" s="307">
        <f>2350000-750000-750000+2500000+12500000+45000000</f>
        <v>60850000</v>
      </c>
      <c r="R19" s="307">
        <v>62000000</v>
      </c>
      <c r="S19" s="309">
        <v>65000000</v>
      </c>
      <c r="T19" s="309">
        <v>66500000</v>
      </c>
      <c r="U19" s="309">
        <v>68500000</v>
      </c>
      <c r="V19" s="309">
        <v>70000000</v>
      </c>
      <c r="W19" s="309">
        <v>73250000</v>
      </c>
      <c r="X19" s="309">
        <v>74650000</v>
      </c>
      <c r="Y19" s="309">
        <v>76650000</v>
      </c>
      <c r="Z19" s="309">
        <v>78650000</v>
      </c>
      <c r="AA19" s="309">
        <v>80650000</v>
      </c>
      <c r="AB19" s="309">
        <v>82650000</v>
      </c>
      <c r="AC19" s="309">
        <v>84650000</v>
      </c>
      <c r="AD19" s="309">
        <v>86650000</v>
      </c>
      <c r="AE19" s="309">
        <v>88650000</v>
      </c>
      <c r="AF19" s="309">
        <v>90650000</v>
      </c>
      <c r="AG19" s="309">
        <v>92650000</v>
      </c>
      <c r="AH19" s="309">
        <v>94650000</v>
      </c>
      <c r="AI19" s="309">
        <v>96650000</v>
      </c>
      <c r="AJ19" s="309">
        <v>98650000</v>
      </c>
      <c r="AK19" s="309">
        <v>100650000</v>
      </c>
      <c r="AL19" s="309">
        <v>125000000</v>
      </c>
      <c r="AM19" s="309">
        <v>135000000</v>
      </c>
      <c r="AN19" s="309">
        <v>145000000</v>
      </c>
      <c r="AO19" s="309">
        <v>160000000</v>
      </c>
      <c r="AP19" s="309">
        <v>210000000</v>
      </c>
      <c r="AQ19" s="308">
        <v>0</v>
      </c>
      <c r="AR19" s="309">
        <f>SUM(AR11:AR13,AR15,AR17)-AR18</f>
        <v>-3489367545</v>
      </c>
      <c r="AS19" s="308">
        <f>L19-AR19</f>
        <v>3492760171</v>
      </c>
      <c r="AT19" s="309">
        <v>3336617</v>
      </c>
      <c r="AU19" s="308">
        <f t="shared" si="59"/>
        <v>173348</v>
      </c>
      <c r="AV19" s="309">
        <v>2000000</v>
      </c>
      <c r="AW19" s="308">
        <f t="shared" si="60"/>
        <v>-378998</v>
      </c>
      <c r="AX19" s="309">
        <v>850000</v>
      </c>
      <c r="AY19" s="308">
        <f t="shared" si="61"/>
        <v>6984</v>
      </c>
      <c r="AZ19" s="309">
        <v>13450000</v>
      </c>
      <c r="BA19" s="308">
        <f t="shared" si="62"/>
        <v>9042476</v>
      </c>
      <c r="BB19" s="309">
        <v>15850000</v>
      </c>
      <c r="BC19" s="308">
        <f t="shared" si="63"/>
        <v>45000000</v>
      </c>
      <c r="BD19" s="309">
        <v>17350000</v>
      </c>
      <c r="BE19" s="308">
        <f t="shared" si="64"/>
        <v>44650000</v>
      </c>
      <c r="BF19" s="309">
        <v>65000000</v>
      </c>
      <c r="BG19" s="308">
        <f t="shared" si="10"/>
        <v>0</v>
      </c>
      <c r="BH19" s="309">
        <v>66500000</v>
      </c>
      <c r="BI19" s="308">
        <f t="shared" si="11"/>
        <v>0</v>
      </c>
      <c r="BJ19" s="309">
        <v>68500000</v>
      </c>
      <c r="BK19" s="308">
        <f t="shared" si="12"/>
        <v>0</v>
      </c>
      <c r="BL19" s="309">
        <v>70000000</v>
      </c>
      <c r="BM19" s="308">
        <f t="shared" si="13"/>
        <v>0</v>
      </c>
      <c r="BN19" s="309">
        <v>72500000</v>
      </c>
      <c r="BO19" s="308">
        <f t="shared" si="14"/>
        <v>750000</v>
      </c>
      <c r="BP19" s="309">
        <v>3350000</v>
      </c>
      <c r="BQ19" s="308">
        <f t="shared" si="15"/>
        <v>71300000</v>
      </c>
      <c r="BR19" s="309">
        <v>3350000</v>
      </c>
      <c r="BS19" s="308">
        <f t="shared" si="16"/>
        <v>73300000</v>
      </c>
      <c r="BT19" s="309">
        <v>3350000</v>
      </c>
      <c r="BU19" s="308">
        <f t="shared" si="17"/>
        <v>75300000</v>
      </c>
      <c r="BV19" s="309">
        <v>3350000</v>
      </c>
      <c r="BW19" s="308">
        <f t="shared" si="18"/>
        <v>77300000</v>
      </c>
      <c r="BX19" s="309">
        <v>3350000</v>
      </c>
      <c r="BY19" s="308">
        <f t="shared" si="19"/>
        <v>79300000</v>
      </c>
      <c r="BZ19" s="309">
        <v>84650000</v>
      </c>
      <c r="CA19" s="308">
        <f t="shared" si="20"/>
        <v>0</v>
      </c>
      <c r="CB19" s="309">
        <v>86650000</v>
      </c>
      <c r="CC19" s="308">
        <f t="shared" si="21"/>
        <v>0</v>
      </c>
      <c r="CD19" s="309">
        <v>88650000</v>
      </c>
      <c r="CE19" s="308">
        <f t="shared" si="22"/>
        <v>0</v>
      </c>
      <c r="CF19" s="309">
        <v>3350000</v>
      </c>
      <c r="CG19" s="308">
        <f t="shared" si="23"/>
        <v>87300000</v>
      </c>
      <c r="CH19" s="309">
        <v>220000000</v>
      </c>
      <c r="CI19" s="308">
        <f t="shared" si="24"/>
        <v>-127350000</v>
      </c>
      <c r="CJ19" s="309">
        <v>3350000</v>
      </c>
      <c r="CK19" s="308">
        <f t="shared" si="25"/>
        <v>91300000</v>
      </c>
      <c r="CL19" s="309">
        <v>3350000</v>
      </c>
      <c r="CM19" s="308">
        <f t="shared" si="26"/>
        <v>95300000</v>
      </c>
      <c r="CN19" s="309">
        <v>3350000</v>
      </c>
      <c r="CO19" s="308">
        <f t="shared" si="27"/>
        <v>131650000</v>
      </c>
      <c r="CP19" s="309">
        <v>3350000</v>
      </c>
      <c r="CQ19" s="308">
        <f t="shared" si="28"/>
        <v>141650000</v>
      </c>
      <c r="CR19" s="309">
        <v>3350000</v>
      </c>
      <c r="CS19" s="308">
        <f t="shared" si="29"/>
        <v>206650000</v>
      </c>
      <c r="CT19" s="309">
        <v>3350000</v>
      </c>
      <c r="CU19" s="308">
        <f t="shared" si="30"/>
        <v>-3492717545</v>
      </c>
      <c r="CV19" s="309">
        <v>3350000</v>
      </c>
      <c r="CW19" s="308">
        <f t="shared" si="31"/>
        <v>-3176652</v>
      </c>
      <c r="CX19" s="309">
        <v>3350000</v>
      </c>
      <c r="CY19" s="308">
        <f t="shared" si="32"/>
        <v>-1350000</v>
      </c>
      <c r="CZ19" s="309">
        <v>3350000</v>
      </c>
      <c r="DA19" s="308">
        <f t="shared" si="33"/>
        <v>-2500000</v>
      </c>
    </row>
    <row r="20" spans="1:105">
      <c r="A20" s="301" t="s">
        <v>284</v>
      </c>
      <c r="B20" s="308">
        <f t="shared" ref="B20:M20" si="78">B324</f>
        <v>0</v>
      </c>
      <c r="C20" s="308">
        <f t="shared" si="78"/>
        <v>0</v>
      </c>
      <c r="D20" s="308">
        <f t="shared" si="78"/>
        <v>0</v>
      </c>
      <c r="E20" s="308">
        <f t="shared" si="78"/>
        <v>2311157</v>
      </c>
      <c r="F20" s="308">
        <f t="shared" si="78"/>
        <v>12093919</v>
      </c>
      <c r="G20" s="308">
        <f t="shared" si="78"/>
        <v>15992239</v>
      </c>
      <c r="H20" s="308">
        <f t="shared" si="78"/>
        <v>18111187</v>
      </c>
      <c r="I20" s="308">
        <f t="shared" si="78"/>
        <v>21019366</v>
      </c>
      <c r="J20" s="308">
        <f t="shared" si="78"/>
        <v>21401280</v>
      </c>
      <c r="K20" s="308">
        <f t="shared" si="78"/>
        <v>22062065</v>
      </c>
      <c r="L20" s="308">
        <f t="shared" si="78"/>
        <v>18762230</v>
      </c>
      <c r="M20" s="308">
        <f t="shared" si="78"/>
        <v>18897519</v>
      </c>
      <c r="N20" s="308">
        <f>N324</f>
        <v>61901151</v>
      </c>
      <c r="O20" s="308">
        <f>O324</f>
        <v>51451425</v>
      </c>
      <c r="P20" s="308">
        <f>P324</f>
        <v>41533242</v>
      </c>
      <c r="Q20" s="307">
        <f>((SUM(L20:P20)/SUM('D4 Gallon Forecast'!L8:P8)*'D4 Gallon Forecast'!Q8))-25000000</f>
        <v>34392314.380266704</v>
      </c>
      <c r="R20" s="307">
        <f>((SUM(M20:Q20)/SUM('D4 Gallon Forecast'!M8:Q8)*'D4 Gallon Forecast'!R8))*0.65</f>
        <v>35106009.35282585</v>
      </c>
      <c r="S20" s="309">
        <f>SUM('D4 Gallon Forecast'!S8)*(SUM('D5 Gallon Forecast'!M18:Q18)/(SUM('D5 Gallon Forecast'!M7:Q7,'D4 Gallon Forecast'!M8:Q8)))*0.5</f>
        <v>41071489.77297543</v>
      </c>
      <c r="T20" s="309">
        <f>SUM('D4 Gallon Forecast'!T8)*(SUM('D5 Gallon Forecast'!N18:R18)/(SUM('D5 Gallon Forecast'!N7:R7,'D4 Gallon Forecast'!N8:R8)))*0.5</f>
        <v>44460840.369401649</v>
      </c>
      <c r="U20" s="309">
        <f>SUM('D4 Gallon Forecast'!U8)*(SUM('D5 Gallon Forecast'!O18:S18)/(SUM('D5 Gallon Forecast'!O7:S7,'D4 Gallon Forecast'!O8:S8)))*0.5-2408412</f>
        <v>41959695.879200622</v>
      </c>
      <c r="V20" s="309">
        <f>SUM('D4 Gallon Forecast'!V8)*(SUM('D5 Gallon Forecast'!P18:T18)/(SUM('D5 Gallon Forecast'!P7:T7,'D4 Gallon Forecast'!P8:T8)))*0.5-2000811</f>
        <v>48825108.882187895</v>
      </c>
      <c r="W20" s="309">
        <f>SUM('D4 Gallon Forecast'!W8)*(SUM('D5 Gallon Forecast'!Q18:U18)/(SUM('D5 Gallon Forecast'!Q7:U7,'D4 Gallon Forecast'!Q8:U8)))*0.5-2000811</f>
        <v>58974836.800974876</v>
      </c>
      <c r="X20" s="309">
        <f>SUM('D4 Gallon Forecast'!X8)*(SUM('D5 Gallon Forecast'!R18:V18)/(SUM('D5 Gallon Forecast'!R7:V7,'D4 Gallon Forecast'!R8:V8)))*0.5-7000000</f>
        <v>65450376.546000332</v>
      </c>
      <c r="Y20" s="309">
        <f>SUM('D4 Gallon Forecast'!Y8)*(SUM('D5 Gallon Forecast'!S18:W18)/(SUM('D5 Gallon Forecast'!S7:W7,'D4 Gallon Forecast'!S8:W8)))*0.5+750000</f>
        <v>73646960.144747153</v>
      </c>
      <c r="Z20" s="309">
        <f>SUM('D4 Gallon Forecast'!Z8)*(SUM('D5 Gallon Forecast'!T18:X18)/(SUM('D5 Gallon Forecast'!T7:X7,'D4 Gallon Forecast'!T8:X8)))*0.5+14320000</f>
        <v>84110217.769271255</v>
      </c>
      <c r="AA20" s="309">
        <f>SUM('D4 Gallon Forecast'!AA8)*(SUM('D5 Gallon Forecast'!U18:Y18)/(SUM('D5 Gallon Forecast'!U7:Y7,'D4 Gallon Forecast'!U8:Y8)))*0.5+14320000</f>
        <v>88335707.780794963</v>
      </c>
      <c r="AB20" s="309">
        <f>SUM('D4 Gallon Forecast'!AB8)*(SUM('D5 Gallon Forecast'!V18:Z18)/(SUM('D5 Gallon Forecast'!V7:Z7,'D4 Gallon Forecast'!V8:Z8)))*0.5-2500000</f>
        <v>79917064.845725015</v>
      </c>
      <c r="AC20" s="309">
        <f>SUM('D4 Gallon Forecast'!AC8)*(SUM('D5 Gallon Forecast'!W18:AA18)/(SUM('D5 Gallon Forecast'!W7:AA7,'D4 Gallon Forecast'!W8:AA8)))*0.5-15000000</f>
        <v>80471744.808509305</v>
      </c>
      <c r="AD20" s="309">
        <f>SUM('D4 Gallon Forecast'!AD8)*(SUM('D5 Gallon Forecast'!X18:AB18)/(SUM('D5 Gallon Forecast'!X7:AB7,'D4 Gallon Forecast'!X8:AB8)))*0.5-25000000</f>
        <v>78871073.151012346</v>
      </c>
      <c r="AE20" s="309">
        <f>SUM('D4 Gallon Forecast'!AE8)*(SUM('D5 Gallon Forecast'!Y18:AC18)/(SUM('D5 Gallon Forecast'!Y7:AC7,'D4 Gallon Forecast'!Y8:AC8)))*0.5-19500000</f>
        <v>82542071.048100904</v>
      </c>
      <c r="AF20" s="309">
        <f>SUM('D4 Gallon Forecast'!AF8)*(SUM('D5 Gallon Forecast'!Z18:AD18)/(SUM('D5 Gallon Forecast'!Z7:AD7,'D4 Gallon Forecast'!Z8:AD8)))*0.5+15000000</f>
        <v>99746821.463144407</v>
      </c>
      <c r="AG20" s="309">
        <f>SUM('D4 Gallon Forecast'!AG8)*(SUM('D5 Gallon Forecast'!AA18:AE18)/(SUM('D5 Gallon Forecast'!AA7:AE7,'D4 Gallon Forecast'!AA8:AE8)))*0.5+20000000</f>
        <v>104462896.51484352</v>
      </c>
      <c r="AH20" s="309">
        <f>SUM('D4 Gallon Forecast'!AH8)*(SUM('D5 Gallon Forecast'!AB18:AF18)/(SUM('D5 Gallon Forecast'!AB7:AF7,'D4 Gallon Forecast'!AB8:AF8)))*0.5+20000000</f>
        <v>108700764.6324247</v>
      </c>
      <c r="AI20" s="309">
        <f>SUM('D4 Gallon Forecast'!AI8)*(SUM('D5 Gallon Forecast'!AC18:AG18)/(SUM('D5 Gallon Forecast'!AC7:AG7,'D4 Gallon Forecast'!AC8:AG8)))*0.5+16000000</f>
        <v>113406046.76236409</v>
      </c>
      <c r="AJ20" s="309">
        <f>SUM('D4 Gallon Forecast'!AJ8)*(SUM('D5 Gallon Forecast'!AD18:AH18)/(SUM('D5 Gallon Forecast'!AD7:AH7,'D4 Gallon Forecast'!AD8:AH8)))*0.5+9000000</f>
        <v>110874980.66753782</v>
      </c>
      <c r="AK20" s="309">
        <f>SUM('D4 Gallon Forecast'!AK8)*(SUM('D5 Gallon Forecast'!AE18:AI18)/(SUM('D5 Gallon Forecast'!AE7:AI7,'D4 Gallon Forecast'!AE8:AI8)))*0.5</f>
        <v>104577984.64720468</v>
      </c>
      <c r="AL20" s="309">
        <f>SUM('D4 Gallon Forecast'!AL8)*(SUM('D5 Gallon Forecast'!AF18:AJ18)/(SUM('D5 Gallon Forecast'!AF7:AJ7,'D4 Gallon Forecast'!AF8:AJ8)))*0.5</f>
        <v>101551769.72233844</v>
      </c>
      <c r="AM20" s="309">
        <f>SUM('D4 Gallon Forecast'!AM8)*(SUM('D5 Gallon Forecast'!AG18:AK18)/(SUM('D5 Gallon Forecast'!AG7:AK7,'D4 Gallon Forecast'!AG8:AK8)))*0.5+5000000</f>
        <v>108235662.58203077</v>
      </c>
      <c r="AN20" s="309">
        <f>SUM('D4 Gallon Forecast'!AN8)*(SUM('D5 Gallon Forecast'!AH18:AL18)/(SUM('D5 Gallon Forecast'!AH7:AL7,'D4 Gallon Forecast'!AH8:AL8)))*0.5+42500000</f>
        <v>150359909.28621039</v>
      </c>
      <c r="AO20" s="309">
        <f>SUM('D4 Gallon Forecast'!AO8)*(SUM('D5 Gallon Forecast'!AI18:AM18)/(SUM('D5 Gallon Forecast'!AI7:AM7,'D4 Gallon Forecast'!AI8:AM8)))*0.5+82000000</f>
        <v>195998253.16070142</v>
      </c>
      <c r="AP20" s="309">
        <f>SUM('D4 Gallon Forecast'!AP8)*(SUM('D5 Gallon Forecast'!AJ18:AN18)/(SUM('D5 Gallon Forecast'!AJ7:AN7,'D4 Gallon Forecast'!AJ8:AN8)))*0.5+90000000</f>
        <v>217268762.26331967</v>
      </c>
      <c r="AQ20" s="309">
        <f>SUM('D4 Gallon Forecast'!AQ8)*(SUM('D5 Gallon Forecast'!AK18:AO18)/(SUM('D5 Gallon Forecast'!AK7:AO7,'D4 Gallon Forecast'!AK8:AO8)))*0.5+20000000</f>
        <v>172166650.59696373</v>
      </c>
      <c r="AR20" s="309">
        <f>SUM('D4 Gallon Forecast'!AR8)*(SUM('D5 Gallon Forecast'!AL18:AP18)/(SUM('D5 Gallon Forecast'!AL7:AP7,'D4 Gallon Forecast'!AL8:AP8)))*0.5+20000000</f>
        <v>20000000</v>
      </c>
      <c r="AS20" s="309" t="e">
        <f>SUM('D4 Gallon Forecast'!#REF!)*(SUM('D5 Gallon Forecast'!AM18:AQ18)/(SUM('D5 Gallon Forecast'!AM7:AQ7,'D4 Gallon Forecast'!AM8:AQ8)))*0.5+20000000</f>
        <v>#REF!</v>
      </c>
      <c r="AT20" s="309" t="e">
        <f>SUM('D4 Gallon Forecast'!#REF!)*(SUM('D5 Gallon Forecast'!AN18:AR18)/(SUM('D5 Gallon Forecast'!AN7:AR7,'D4 Gallon Forecast'!AN8:AR8)))*0.5+20000000</f>
        <v>#REF!</v>
      </c>
      <c r="AU20" s="309" t="e">
        <f>SUM('D4 Gallon Forecast'!#REF!)*(SUM('D5 Gallon Forecast'!AO18:AS18)/(SUM('D5 Gallon Forecast'!AO7:AS7,'D4 Gallon Forecast'!AO8:AR8)))*0.5+20000000</f>
        <v>#REF!</v>
      </c>
      <c r="AV20" s="309" t="e">
        <f>SUM('D4 Gallon Forecast'!#REF!)*(SUM('D5 Gallon Forecast'!AP18:AT18)/(SUM('D5 Gallon Forecast'!AP7:AT7,'D4 Gallon Forecast'!AP8:AR8)))*0.5+20000000</f>
        <v>#REF!</v>
      </c>
      <c r="AW20" s="309" t="e">
        <f>SUM('D4 Gallon Forecast'!#REF!)*(SUM('D5 Gallon Forecast'!AQ18:AU18)/(SUM('D5 Gallon Forecast'!AQ7:AU7,'D4 Gallon Forecast'!AQ8:AR8)))*0.5+20000000</f>
        <v>#REF!</v>
      </c>
      <c r="AX20" s="309" t="e">
        <f>SUM('D4 Gallon Forecast'!#REF!)*(SUM('D5 Gallon Forecast'!AR18:AV18)/(SUM('D5 Gallon Forecast'!AR7:AV7,'D4 Gallon Forecast'!AR8:AR8)))*0.5+20000000</f>
        <v>#REF!</v>
      </c>
      <c r="AY20" s="309" t="e">
        <f>SUM('D4 Gallon Forecast'!#REF!)*(SUM('D5 Gallon Forecast'!AS18:AW18)/(SUM('D5 Gallon Forecast'!AS7:AW7,'D4 Gallon Forecast'!#REF!)))*0.5+20000000</f>
        <v>#REF!</v>
      </c>
      <c r="AZ20" s="309" t="e">
        <f>SUM('D4 Gallon Forecast'!#REF!)*(SUM('D5 Gallon Forecast'!AT18:AX18)/(SUM('D5 Gallon Forecast'!AT7:AX7,'D4 Gallon Forecast'!#REF!)))*0.5+20000000</f>
        <v>#REF!</v>
      </c>
      <c r="BA20" s="309" t="e">
        <f>SUM('D4 Gallon Forecast'!#REF!)*(SUM('D5 Gallon Forecast'!AU18:AY18)/(SUM('D5 Gallon Forecast'!AU7:AY7,'D4 Gallon Forecast'!#REF!)))*0.5+20000000</f>
        <v>#REF!</v>
      </c>
      <c r="BB20" s="309" t="e">
        <f>SUM('D4 Gallon Forecast'!#REF!)*(SUM('D5 Gallon Forecast'!AV18:AZ18)/(SUM('D5 Gallon Forecast'!AV7:AZ7,'D4 Gallon Forecast'!#REF!)))*0.5+20000000</f>
        <v>#REF!</v>
      </c>
      <c r="BC20" s="309" t="e">
        <f>SUM('D4 Gallon Forecast'!#REF!)*(SUM('D5 Gallon Forecast'!AW18:BA18)/(SUM('D5 Gallon Forecast'!AW7:BA7,'D4 Gallon Forecast'!#REF!)))*0.5+20000000</f>
        <v>#REF!</v>
      </c>
      <c r="BD20" s="309" t="e">
        <f>SUM('D4 Gallon Forecast'!#REF!)*(SUM('D5 Gallon Forecast'!AX18:BB18)/(SUM('D5 Gallon Forecast'!AX7:BB7,'D4 Gallon Forecast'!#REF!)))*0.5+20000000</f>
        <v>#REF!</v>
      </c>
      <c r="BE20" s="309" t="e">
        <f>SUM('D4 Gallon Forecast'!#REF!)*(SUM('D5 Gallon Forecast'!AY18:BC18)/(SUM('D5 Gallon Forecast'!AY7:BC7,'D4 Gallon Forecast'!#REF!)))*0.5+20000000</f>
        <v>#REF!</v>
      </c>
      <c r="BF20" s="309" t="e">
        <f>SUM('D4 Gallon Forecast'!#REF!)*(SUM('D5 Gallon Forecast'!AZ18:BD18)/(SUM('D5 Gallon Forecast'!AZ7:BD7,'D4 Gallon Forecast'!#REF!)))*0.5+20000000</f>
        <v>#REF!</v>
      </c>
      <c r="BG20" s="309" t="e">
        <f>SUM('D4 Gallon Forecast'!#REF!)*(SUM('D5 Gallon Forecast'!BA18:BE18)/(SUM('D5 Gallon Forecast'!BA7:BE7,'D4 Gallon Forecast'!#REF!)))*0.5+20000000</f>
        <v>#REF!</v>
      </c>
      <c r="BH20" s="309" t="e">
        <f>SUM('D4 Gallon Forecast'!AS8)*(SUM('D5 Gallon Forecast'!BB18:BF18)/(SUM('D5 Gallon Forecast'!BB7:BF7,'D4 Gallon Forecast'!#REF!)))*0.5+20000000</f>
        <v>#REF!</v>
      </c>
      <c r="BI20" s="309" t="e">
        <f>SUM('D4 Gallon Forecast'!AT8)*(SUM('D5 Gallon Forecast'!BC18:BG18)/(SUM('D5 Gallon Forecast'!BC7:BG7,'D4 Gallon Forecast'!#REF!)))*0.5+20000000</f>
        <v>#REF!</v>
      </c>
      <c r="BJ20" s="309">
        <f>SUM('D4 Gallon Forecast'!AU8)*(SUM('D5 Gallon Forecast'!BD18:BH18)/(SUM('D5 Gallon Forecast'!BD7:BH7,'D4 Gallon Forecast'!AS8:AS8)))*0.5+20000000</f>
        <v>20000000</v>
      </c>
      <c r="BK20" s="309">
        <f>SUM('D4 Gallon Forecast'!AV8)*(SUM('D5 Gallon Forecast'!BE18:BI18)/(SUM('D5 Gallon Forecast'!BE7:BI7,'D4 Gallon Forecast'!AS8:AT8)))*0.5+20000000</f>
        <v>20000000</v>
      </c>
      <c r="BL20" s="309">
        <f>SUM('D4 Gallon Forecast'!AW8)*(SUM('D5 Gallon Forecast'!BF18:BJ18)/(SUM('D5 Gallon Forecast'!BF7:BJ7,'D4 Gallon Forecast'!AS8:AU8)))*0.5+20000000</f>
        <v>20000000</v>
      </c>
      <c r="BM20" s="309">
        <f>SUM('D4 Gallon Forecast'!AX8)*(SUM('D5 Gallon Forecast'!BG18:BK18)/(SUM('D5 Gallon Forecast'!BG7:BK7,'D4 Gallon Forecast'!AS8:AV8)))*0.5+20000000</f>
        <v>20000000</v>
      </c>
      <c r="BN20" s="309">
        <f>SUM('D4 Gallon Forecast'!AY8)*(SUM('D5 Gallon Forecast'!BH18:BL18)/(SUM('D5 Gallon Forecast'!BH7:BL7,'D4 Gallon Forecast'!AS8:AW8)))*0.5+20000000</f>
        <v>20000000</v>
      </c>
      <c r="BO20" s="309">
        <f>SUM('D4 Gallon Forecast'!AZ8)*(SUM('D5 Gallon Forecast'!BI18:BM18)/(SUM('D5 Gallon Forecast'!BI7:BM7,'D4 Gallon Forecast'!AT8:AX8)))*0.5+20000000</f>
        <v>275141149.96686602</v>
      </c>
      <c r="BP20" s="309">
        <f>SUM('D4 Gallon Forecast'!BA8)*(SUM('D5 Gallon Forecast'!BJ18:BN18)/(SUM('D5 Gallon Forecast'!BJ7:BN7,'D4 Gallon Forecast'!AU8:AY8)))*0.5+20000000</f>
        <v>20112318.769187462</v>
      </c>
      <c r="BQ20" s="309">
        <f>SUM('D4 Gallon Forecast'!BB8)*(SUM('D5 Gallon Forecast'!BK18:BO18)/(SUM('D5 Gallon Forecast'!BK7:BO7,'D4 Gallon Forecast'!AV8:AZ8)))*0.5+20000000</f>
        <v>107981567.15364097</v>
      </c>
      <c r="BR20" s="309">
        <f>SUM('D4 Gallon Forecast'!BC8)*(SUM('D5 Gallon Forecast'!BL18:BP18)/(SUM('D5 Gallon Forecast'!BL7:BP7,'D4 Gallon Forecast'!AW8:BA8)))*0.5+20000000</f>
        <v>20700032.174473956</v>
      </c>
      <c r="BS20" s="309">
        <f>SUM('D4 Gallon Forecast'!BD8)*(SUM('D5 Gallon Forecast'!BM18:BQ18)/(SUM('D5 Gallon Forecast'!BM7:BQ7,'D4 Gallon Forecast'!AX8:BB8)))*0.5+20000000</f>
        <v>104073704.03755593</v>
      </c>
      <c r="BT20" s="309">
        <f>SUM('D4 Gallon Forecast'!BE8)*(SUM('D5 Gallon Forecast'!BN18:BR18)/(SUM('D5 Gallon Forecast'!BN7:BR7,'D4 Gallon Forecast'!AY8:BC8)))*0.5+20000000</f>
        <v>23780690.157226931</v>
      </c>
      <c r="BU20" s="309">
        <f>SUM('D4 Gallon Forecast'!BF8)*(SUM('D5 Gallon Forecast'!BO18:BS18)/(SUM('D5 Gallon Forecast'!BO7:BS7,'D4 Gallon Forecast'!AZ8:BD8)))*0.5+20000000</f>
        <v>118086155.14417288</v>
      </c>
      <c r="BV20" s="309">
        <f>SUM('D4 Gallon Forecast'!BG8)*(SUM('D5 Gallon Forecast'!BP18:BT18)/(SUM('D5 Gallon Forecast'!BP7:BT7,'D4 Gallon Forecast'!BA8:BE8)))*0.5+20000000</f>
        <v>23935391.89196828</v>
      </c>
      <c r="BW20" s="309">
        <f>SUM('D4 Gallon Forecast'!BH8)*(SUM('D5 Gallon Forecast'!BQ18:BU18)/(SUM('D5 Gallon Forecast'!BQ7:BU7,'D4 Gallon Forecast'!BB8:BF8)))*0.5+20000000</f>
        <v>165164187.36029422</v>
      </c>
      <c r="BX20" s="309">
        <f>SUM('D4 Gallon Forecast'!BI8)*(SUM('D5 Gallon Forecast'!BR18:BV18)/(SUM('D5 Gallon Forecast'!BR7:BV7,'D4 Gallon Forecast'!BC8:BG8)))*0.5+20000000</f>
        <v>21335145.493308276</v>
      </c>
      <c r="BY20" s="309">
        <f>SUM('D4 Gallon Forecast'!BJ8)*(SUM('D5 Gallon Forecast'!BS18:BW18)/(SUM('D5 Gallon Forecast'!BS7:BW7,'D4 Gallon Forecast'!BD8:BH8)))*0.5+20000000</f>
        <v>180279401.0976522</v>
      </c>
      <c r="BZ20" s="309">
        <f>SUM('D4 Gallon Forecast'!BK8)*(SUM('D5 Gallon Forecast'!BT18:BX18)/(SUM('D5 Gallon Forecast'!BT7:BX7,'D4 Gallon Forecast'!BE8:BI8)))*0.5+20000000</f>
        <v>22726868.032421101</v>
      </c>
      <c r="CA20" s="309">
        <f>SUM('D4 Gallon Forecast'!BL8)*(SUM('D5 Gallon Forecast'!BU18:BY18)/(SUM('D5 Gallon Forecast'!BU7:BY7,'D4 Gallon Forecast'!BF8:BJ8)))*0.5+20000000</f>
        <v>106399143.73770143</v>
      </c>
      <c r="CB20" s="309">
        <f>SUM('D4 Gallon Forecast'!BM8)*(SUM('D5 Gallon Forecast'!BV18:BZ18)/(SUM('D5 Gallon Forecast'!BV7:BZ7,'D4 Gallon Forecast'!BG8:BK8)))*0.5+20000000</f>
        <v>28425994.503722198</v>
      </c>
      <c r="CC20" s="309">
        <f>SUM('D4 Gallon Forecast'!BN8)*(SUM('D5 Gallon Forecast'!BW18:CA18)/(SUM('D5 Gallon Forecast'!BW7:CA7,'D4 Gallon Forecast'!BH8:BL8)))*0.5+20000000</f>
        <v>20000000</v>
      </c>
      <c r="CD20" s="309">
        <f>SUM('D4 Gallon Forecast'!BO8)*(SUM('D5 Gallon Forecast'!BX18:CB18)/(SUM('D5 Gallon Forecast'!BX7:CB7,'D4 Gallon Forecast'!BI8:BM8)))*0.5+20000000</f>
        <v>20000000</v>
      </c>
      <c r="CE20" s="309">
        <f>SUM('D4 Gallon Forecast'!BP8)*(SUM('D5 Gallon Forecast'!BY18:CC18)/(SUM('D5 Gallon Forecast'!BY7:CC7,'D4 Gallon Forecast'!BJ8:BN8)))*0.5+20000000</f>
        <v>20000000</v>
      </c>
      <c r="CF20" s="309">
        <f>SUM('D4 Gallon Forecast'!BQ8)*(SUM('D5 Gallon Forecast'!BZ18:CD18)/(SUM('D5 Gallon Forecast'!BZ7:CD7,'D4 Gallon Forecast'!BK8:BO8)))*0.5+20000000</f>
        <v>20000000</v>
      </c>
      <c r="CG20" s="309">
        <f>SUM('D4 Gallon Forecast'!BR8)*(SUM('D5 Gallon Forecast'!CA18:CE18)/(SUM('D5 Gallon Forecast'!CA7:CE7,'D4 Gallon Forecast'!BL8:BP8)))*0.5+20000000</f>
        <v>20000000</v>
      </c>
      <c r="CH20" s="309">
        <f>SUM('D4 Gallon Forecast'!BS8)*(SUM('D5 Gallon Forecast'!CB18:CF18)/(SUM('D5 Gallon Forecast'!CB7:CF7,'D4 Gallon Forecast'!BM8:BQ8)))*0.5+20000000</f>
        <v>20000000</v>
      </c>
      <c r="CI20" s="308">
        <f t="shared" si="24"/>
        <v>84462896.514843524</v>
      </c>
      <c r="CJ20" s="309">
        <v>58568338.62913765</v>
      </c>
      <c r="CK20" s="308">
        <f t="shared" si="25"/>
        <v>50132426.003287047</v>
      </c>
      <c r="CL20" s="309">
        <v>58568338.62913765</v>
      </c>
      <c r="CM20" s="308">
        <f t="shared" si="26"/>
        <v>52306642.038400173</v>
      </c>
      <c r="CN20" s="309">
        <v>58568338.62913765</v>
      </c>
      <c r="CO20" s="308">
        <f t="shared" si="27"/>
        <v>49667323.952893123</v>
      </c>
      <c r="CP20" s="309">
        <v>58568338.62913765</v>
      </c>
      <c r="CQ20" s="308">
        <f t="shared" si="28"/>
        <v>91791570.657072738</v>
      </c>
      <c r="CR20" s="309">
        <v>58568338.62913765</v>
      </c>
      <c r="CS20" s="308">
        <f t="shared" si="29"/>
        <v>158700423.63418204</v>
      </c>
      <c r="CT20" s="309">
        <v>58568338.62913765</v>
      </c>
      <c r="CU20" s="308">
        <f t="shared" si="30"/>
        <v>-38568338.62913765</v>
      </c>
      <c r="CV20" s="309">
        <v>58568338.62913765</v>
      </c>
      <c r="CW20" s="308" t="e">
        <f t="shared" si="31"/>
        <v>#REF!</v>
      </c>
      <c r="CX20" s="309">
        <v>58568338.62913765</v>
      </c>
      <c r="CY20" s="308" t="e">
        <f t="shared" si="32"/>
        <v>#REF!</v>
      </c>
      <c r="CZ20" s="309">
        <v>58568338.62913765</v>
      </c>
      <c r="DA20" s="308" t="e">
        <f t="shared" si="33"/>
        <v>#REF!</v>
      </c>
    </row>
    <row r="21" spans="1:105" ht="12" thickBot="1">
      <c r="A21" s="314" t="s">
        <v>225</v>
      </c>
      <c r="B21" s="315">
        <f>B340</f>
        <v>0</v>
      </c>
      <c r="C21" s="315">
        <f t="shared" ref="C21:AP21" si="79">C340</f>
        <v>0</v>
      </c>
      <c r="D21" s="315">
        <f t="shared" si="79"/>
        <v>0</v>
      </c>
      <c r="E21" s="315">
        <f t="shared" si="79"/>
        <v>0</v>
      </c>
      <c r="F21" s="315">
        <f t="shared" si="79"/>
        <v>0</v>
      </c>
      <c r="G21" s="315">
        <f t="shared" si="79"/>
        <v>0</v>
      </c>
      <c r="H21" s="315">
        <f t="shared" si="79"/>
        <v>0</v>
      </c>
      <c r="I21" s="315">
        <f t="shared" si="79"/>
        <v>0</v>
      </c>
      <c r="J21" s="315">
        <f t="shared" si="79"/>
        <v>0</v>
      </c>
      <c r="K21" s="315">
        <f t="shared" si="79"/>
        <v>0</v>
      </c>
      <c r="L21" s="315">
        <f t="shared" si="79"/>
        <v>0</v>
      </c>
      <c r="M21" s="315">
        <f t="shared" si="79"/>
        <v>0</v>
      </c>
      <c r="N21" s="315">
        <f t="shared" si="79"/>
        <v>0</v>
      </c>
      <c r="O21" s="315">
        <f t="shared" si="79"/>
        <v>0</v>
      </c>
      <c r="P21" s="315">
        <f t="shared" si="79"/>
        <v>0</v>
      </c>
      <c r="Q21" s="316">
        <f t="shared" si="79"/>
        <v>0</v>
      </c>
      <c r="R21" s="320">
        <f t="shared" si="79"/>
        <v>0</v>
      </c>
      <c r="S21" s="315">
        <f t="shared" si="79"/>
        <v>0</v>
      </c>
      <c r="T21" s="315">
        <f t="shared" si="79"/>
        <v>0</v>
      </c>
      <c r="U21" s="315">
        <f t="shared" si="79"/>
        <v>0</v>
      </c>
      <c r="V21" s="315">
        <f t="shared" si="79"/>
        <v>0</v>
      </c>
      <c r="W21" s="315">
        <f t="shared" si="79"/>
        <v>0</v>
      </c>
      <c r="X21" s="315">
        <f t="shared" si="79"/>
        <v>0</v>
      </c>
      <c r="Y21" s="315">
        <f t="shared" si="79"/>
        <v>0</v>
      </c>
      <c r="Z21" s="315">
        <f t="shared" si="79"/>
        <v>0</v>
      </c>
      <c r="AA21" s="315">
        <f t="shared" si="79"/>
        <v>0</v>
      </c>
      <c r="AB21" s="315">
        <f t="shared" si="79"/>
        <v>0</v>
      </c>
      <c r="AC21" s="315">
        <f t="shared" si="79"/>
        <v>0</v>
      </c>
      <c r="AD21" s="315">
        <f t="shared" si="79"/>
        <v>0</v>
      </c>
      <c r="AE21" s="315">
        <f t="shared" si="79"/>
        <v>0</v>
      </c>
      <c r="AF21" s="315">
        <f t="shared" si="79"/>
        <v>0</v>
      </c>
      <c r="AG21" s="315">
        <f t="shared" si="79"/>
        <v>0</v>
      </c>
      <c r="AH21" s="315">
        <f t="shared" si="79"/>
        <v>12</v>
      </c>
      <c r="AI21" s="315">
        <f t="shared" si="79"/>
        <v>24</v>
      </c>
      <c r="AJ21" s="315">
        <f t="shared" si="79"/>
        <v>36</v>
      </c>
      <c r="AK21" s="315">
        <f t="shared" si="79"/>
        <v>48</v>
      </c>
      <c r="AL21" s="315">
        <f t="shared" si="79"/>
        <v>60</v>
      </c>
      <c r="AM21" s="315">
        <f t="shared" si="79"/>
        <v>72</v>
      </c>
      <c r="AN21" s="315">
        <f t="shared" si="79"/>
        <v>84</v>
      </c>
      <c r="AO21" s="315">
        <f t="shared" si="79"/>
        <v>96</v>
      </c>
      <c r="AP21" s="315">
        <f t="shared" si="79"/>
        <v>108</v>
      </c>
      <c r="AQ21" s="301">
        <v>0</v>
      </c>
      <c r="AR21" s="317">
        <v>0</v>
      </c>
      <c r="AS21" s="308">
        <f t="shared" ref="AS21:AS28" si="80">L21-AR21</f>
        <v>0</v>
      </c>
      <c r="AT21" s="317">
        <v>0</v>
      </c>
      <c r="AU21" s="308">
        <f t="shared" ref="AU21:AU28" si="81">M21-AT21</f>
        <v>0</v>
      </c>
      <c r="AV21" s="317">
        <v>0</v>
      </c>
      <c r="AW21" s="308">
        <f t="shared" ref="AW21:AW28" si="82">N21-AV21</f>
        <v>0</v>
      </c>
      <c r="AX21" s="317">
        <v>0</v>
      </c>
      <c r="AY21" s="308">
        <f t="shared" ref="AY21:AY28" si="83">O21-AX21</f>
        <v>0</v>
      </c>
      <c r="AZ21" s="317">
        <v>0</v>
      </c>
      <c r="BA21" s="308">
        <f t="shared" ref="BA21:BA28" si="84">P21-AZ21</f>
        <v>0</v>
      </c>
      <c r="BB21" s="317">
        <v>0</v>
      </c>
      <c r="BC21" s="308">
        <f t="shared" ref="BC21:BC28" si="85">Q21-BB21</f>
        <v>0</v>
      </c>
      <c r="BD21" s="317">
        <v>0</v>
      </c>
      <c r="BE21" s="308">
        <f t="shared" ref="BE21:BE28" si="86">R21-BD21</f>
        <v>0</v>
      </c>
      <c r="BF21" s="317">
        <v>0</v>
      </c>
      <c r="BG21" s="308">
        <f t="shared" ref="BG21:BG28" si="87">S21-BF21</f>
        <v>0</v>
      </c>
      <c r="BH21" s="317">
        <v>0</v>
      </c>
      <c r="BI21" s="308">
        <f t="shared" ref="BI21:BI28" si="88">T21-BH21</f>
        <v>0</v>
      </c>
      <c r="BJ21" s="317">
        <v>0</v>
      </c>
      <c r="BK21" s="308">
        <f t="shared" ref="BK21:BK28" si="89">U21-BJ21</f>
        <v>0</v>
      </c>
      <c r="BL21" s="317">
        <v>0</v>
      </c>
      <c r="BM21" s="308">
        <f t="shared" ref="BM21:BM28" si="90">V21-BL21</f>
        <v>0</v>
      </c>
      <c r="BN21" s="317">
        <v>0</v>
      </c>
      <c r="BO21" s="308">
        <f t="shared" ref="BO21:BO28" si="91">W21-BN21</f>
        <v>0</v>
      </c>
      <c r="BP21" s="317">
        <v>0</v>
      </c>
      <c r="BQ21" s="308">
        <f t="shared" ref="BQ21:BQ28" si="92">X21-BP21</f>
        <v>0</v>
      </c>
      <c r="BR21" s="317">
        <v>0</v>
      </c>
      <c r="BS21" s="308">
        <f t="shared" ref="BS21:BS28" si="93">Y21-BR21</f>
        <v>0</v>
      </c>
      <c r="BT21" s="317">
        <v>0</v>
      </c>
      <c r="BU21" s="308">
        <f t="shared" ref="BU21:BU28" si="94">Z21-BT21</f>
        <v>0</v>
      </c>
      <c r="BV21" s="317">
        <v>0</v>
      </c>
      <c r="BW21" s="308">
        <f t="shared" ref="BW21:BW28" si="95">AA21-BV21</f>
        <v>0</v>
      </c>
      <c r="BX21" s="317">
        <v>0</v>
      </c>
      <c r="BY21" s="308">
        <f t="shared" ref="BY21:BY28" si="96">AB21-BX21</f>
        <v>0</v>
      </c>
      <c r="BZ21" s="317">
        <v>0</v>
      </c>
      <c r="CA21" s="308">
        <f t="shared" ref="CA21:CA28" si="97">AC21-BZ21</f>
        <v>0</v>
      </c>
      <c r="CB21" s="317">
        <v>0</v>
      </c>
      <c r="CC21" s="308">
        <f t="shared" ref="CC21:CC28" si="98">AD21-CB21</f>
        <v>0</v>
      </c>
      <c r="CD21" s="317">
        <v>0</v>
      </c>
      <c r="CE21" s="308">
        <f t="shared" ref="CE21:CE28" si="99">AE21-CD21</f>
        <v>0</v>
      </c>
      <c r="CF21" s="317">
        <v>0</v>
      </c>
      <c r="CG21" s="308">
        <f t="shared" ref="CG21:CG28" si="100">AF21-CF21</f>
        <v>0</v>
      </c>
      <c r="CH21" s="317">
        <v>0</v>
      </c>
      <c r="CI21" s="308">
        <f t="shared" si="24"/>
        <v>0</v>
      </c>
      <c r="CJ21" s="317">
        <v>0</v>
      </c>
      <c r="CK21" s="308">
        <f t="shared" si="25"/>
        <v>12</v>
      </c>
      <c r="CL21" s="317">
        <v>0</v>
      </c>
      <c r="CM21" s="308">
        <f t="shared" si="26"/>
        <v>36</v>
      </c>
      <c r="CN21" s="317">
        <v>0</v>
      </c>
      <c r="CO21" s="308">
        <f t="shared" si="27"/>
        <v>72</v>
      </c>
      <c r="CP21" s="317">
        <v>0</v>
      </c>
      <c r="CQ21" s="308">
        <f t="shared" si="28"/>
        <v>84</v>
      </c>
      <c r="CR21" s="317">
        <v>0</v>
      </c>
      <c r="CS21" s="308">
        <f t="shared" si="29"/>
        <v>108</v>
      </c>
      <c r="CT21" s="317">
        <v>0</v>
      </c>
      <c r="CU21" s="308">
        <f t="shared" si="30"/>
        <v>0</v>
      </c>
      <c r="CV21" s="317">
        <v>0</v>
      </c>
      <c r="CW21" s="308">
        <f t="shared" si="31"/>
        <v>0</v>
      </c>
      <c r="CX21" s="317">
        <v>0</v>
      </c>
      <c r="CY21" s="308">
        <f t="shared" si="32"/>
        <v>0</v>
      </c>
      <c r="CZ21" s="317">
        <v>0</v>
      </c>
      <c r="DA21" s="308">
        <f t="shared" si="33"/>
        <v>0</v>
      </c>
    </row>
    <row r="22" spans="1:105">
      <c r="A22" s="318" t="s">
        <v>226</v>
      </c>
      <c r="B22" s="311">
        <f>B23+B24</f>
        <v>0</v>
      </c>
      <c r="C22" s="311">
        <f t="shared" ref="C22:P22" si="101">C23+C24</f>
        <v>0</v>
      </c>
      <c r="D22" s="311">
        <f t="shared" si="101"/>
        <v>0</v>
      </c>
      <c r="E22" s="311">
        <f t="shared" si="101"/>
        <v>0</v>
      </c>
      <c r="F22" s="311">
        <f t="shared" si="101"/>
        <v>6344</v>
      </c>
      <c r="G22" s="311">
        <f t="shared" si="101"/>
        <v>5022</v>
      </c>
      <c r="H22" s="311">
        <f t="shared" si="101"/>
        <v>0</v>
      </c>
      <c r="I22" s="311">
        <f t="shared" si="101"/>
        <v>2018098</v>
      </c>
      <c r="J22" s="311">
        <f t="shared" si="101"/>
        <v>1160742</v>
      </c>
      <c r="K22" s="311">
        <f t="shared" si="101"/>
        <v>83027</v>
      </c>
      <c r="L22" s="311">
        <f t="shared" si="101"/>
        <v>85371</v>
      </c>
      <c r="M22" s="311">
        <f t="shared" si="101"/>
        <v>1659418</v>
      </c>
      <c r="N22" s="311">
        <f t="shared" si="101"/>
        <v>1053739</v>
      </c>
      <c r="O22" s="311">
        <f t="shared" si="101"/>
        <v>1553570</v>
      </c>
      <c r="P22" s="311">
        <f t="shared" si="101"/>
        <v>1120471</v>
      </c>
      <c r="Q22" s="312">
        <f t="shared" ref="Q22:AP22" si="102">Q28-SUM(Q3,Q6,Q11,Q17,Q25)</f>
        <v>-5287492.1351538002</v>
      </c>
      <c r="R22" s="312">
        <f>R28-SUM(R3,R6,R11,R17,R25)</f>
        <v>5917499.5093202889</v>
      </c>
      <c r="S22" s="313">
        <f t="shared" si="102"/>
        <v>-2005250.9438866973</v>
      </c>
      <c r="T22" s="313">
        <f>T28-SUM(T3,T6,T11,T17,T25)</f>
        <v>-2556203.5941714644</v>
      </c>
      <c r="U22" s="313">
        <f t="shared" si="102"/>
        <v>1942053.3246752024</v>
      </c>
      <c r="V22" s="313">
        <f t="shared" si="102"/>
        <v>3443175.6714228392</v>
      </c>
      <c r="W22" s="313">
        <f t="shared" si="102"/>
        <v>386847.45104920864</v>
      </c>
      <c r="X22" s="313">
        <f t="shared" si="102"/>
        <v>-14049535.382774353</v>
      </c>
      <c r="Y22" s="313">
        <f t="shared" si="102"/>
        <v>-15910545.590323508</v>
      </c>
      <c r="Z22" s="313">
        <f t="shared" si="102"/>
        <v>-22730097.785646319</v>
      </c>
      <c r="AA22" s="313">
        <f t="shared" si="102"/>
        <v>-19569652.976923108</v>
      </c>
      <c r="AB22" s="313">
        <f t="shared" si="102"/>
        <v>7626144.9002268314</v>
      </c>
      <c r="AC22" s="313">
        <f t="shared" si="102"/>
        <v>10057388.467974603</v>
      </c>
      <c r="AD22" s="313">
        <f t="shared" si="102"/>
        <v>15560388.810548007</v>
      </c>
      <c r="AE22" s="313">
        <f t="shared" si="102"/>
        <v>15470924.501125276</v>
      </c>
      <c r="AF22" s="313">
        <f t="shared" si="102"/>
        <v>13877616.296195924</v>
      </c>
      <c r="AG22" s="313">
        <f t="shared" si="102"/>
        <v>14503038.826667488</v>
      </c>
      <c r="AH22" s="313">
        <f t="shared" si="102"/>
        <v>23824043.085780621</v>
      </c>
      <c r="AI22" s="313">
        <f t="shared" si="102"/>
        <v>24924546.815072179</v>
      </c>
      <c r="AJ22" s="313">
        <f t="shared" si="102"/>
        <v>41582192.806179106</v>
      </c>
      <c r="AK22" s="313">
        <f t="shared" si="102"/>
        <v>65108251.480883479</v>
      </c>
      <c r="AL22" s="313">
        <f t="shared" si="102"/>
        <v>84146765.496525049</v>
      </c>
      <c r="AM22" s="313">
        <f t="shared" si="102"/>
        <v>107185233.78686023</v>
      </c>
      <c r="AN22" s="313">
        <f t="shared" si="102"/>
        <v>115644490.81719673</v>
      </c>
      <c r="AO22" s="313">
        <f t="shared" si="102"/>
        <v>123158433.95019305</v>
      </c>
      <c r="AP22" s="313">
        <f t="shared" si="102"/>
        <v>124088284.27797937</v>
      </c>
      <c r="AQ22" s="301">
        <v>2463243.1118588746</v>
      </c>
      <c r="AR22" s="313">
        <v>77117.828337967396</v>
      </c>
      <c r="AS22" s="308">
        <f t="shared" si="80"/>
        <v>8253.1716620326042</v>
      </c>
      <c r="AT22" s="313">
        <v>1436821.4885200262</v>
      </c>
      <c r="AU22" s="308">
        <f t="shared" si="81"/>
        <v>222596.51147997379</v>
      </c>
      <c r="AV22" s="313">
        <v>-8907947.8618264198</v>
      </c>
      <c r="AW22" s="308">
        <f t="shared" si="82"/>
        <v>9961686.8618264198</v>
      </c>
      <c r="AX22" s="313">
        <v>1586796.217756331</v>
      </c>
      <c r="AY22" s="308">
        <f t="shared" si="83"/>
        <v>-33226.217756330967</v>
      </c>
      <c r="AZ22" s="313">
        <v>-4477768.9717308581</v>
      </c>
      <c r="BA22" s="308">
        <f t="shared" si="84"/>
        <v>5598239.9717308581</v>
      </c>
      <c r="BB22" s="313">
        <v>13056243.40235585</v>
      </c>
      <c r="BC22" s="308">
        <f t="shared" si="85"/>
        <v>-18343735.53750965</v>
      </c>
      <c r="BD22" s="313">
        <v>18529407.267170727</v>
      </c>
      <c r="BE22" s="308">
        <f t="shared" si="86"/>
        <v>-12611907.757850438</v>
      </c>
      <c r="BF22" s="313">
        <v>15908326.366163611</v>
      </c>
      <c r="BG22" s="308">
        <f t="shared" si="87"/>
        <v>-17913577.310050309</v>
      </c>
      <c r="BH22" s="313">
        <v>16452800.384496629</v>
      </c>
      <c r="BI22" s="308">
        <f t="shared" si="88"/>
        <v>-19009003.978668094</v>
      </c>
      <c r="BJ22" s="313">
        <v>23413398.254789323</v>
      </c>
      <c r="BK22" s="308">
        <f t="shared" si="89"/>
        <v>-21471344.93011412</v>
      </c>
      <c r="BL22" s="313">
        <v>27440728.812601268</v>
      </c>
      <c r="BM22" s="308">
        <f t="shared" si="90"/>
        <v>-23997553.141178429</v>
      </c>
      <c r="BN22" s="313">
        <v>3256229.232991457</v>
      </c>
      <c r="BO22" s="308">
        <f t="shared" si="91"/>
        <v>-2869381.7819422483</v>
      </c>
      <c r="BP22" s="313">
        <v>-48940237.176675469</v>
      </c>
      <c r="BQ22" s="308">
        <f t="shared" si="92"/>
        <v>34890701.793901116</v>
      </c>
      <c r="BR22" s="313">
        <v>-790633264.61985683</v>
      </c>
      <c r="BS22" s="308">
        <f t="shared" si="93"/>
        <v>774722719.02953339</v>
      </c>
      <c r="BT22" s="313">
        <v>-1251385695.6196237</v>
      </c>
      <c r="BU22" s="308">
        <f t="shared" si="94"/>
        <v>1228655597.8339772</v>
      </c>
      <c r="BV22" s="313">
        <v>1032482.7885213494</v>
      </c>
      <c r="BW22" s="308">
        <f t="shared" si="95"/>
        <v>-20602135.765444458</v>
      </c>
      <c r="BX22" s="313">
        <v>1073606.4653436542</v>
      </c>
      <c r="BY22" s="308">
        <f t="shared" si="96"/>
        <v>6552538.4348831773</v>
      </c>
      <c r="BZ22" s="313">
        <v>-13231223.001230717</v>
      </c>
      <c r="CA22" s="308">
        <f t="shared" si="97"/>
        <v>23288611.46920532</v>
      </c>
      <c r="CB22" s="313">
        <v>-36098483.133328021</v>
      </c>
      <c r="CC22" s="308">
        <f t="shared" si="98"/>
        <v>51658871.943876028</v>
      </c>
      <c r="CD22" s="313">
        <v>-17288223.433568358</v>
      </c>
      <c r="CE22" s="308">
        <f t="shared" si="99"/>
        <v>32759147.934693635</v>
      </c>
      <c r="CF22" s="313">
        <v>1040166.4200266004</v>
      </c>
      <c r="CG22" s="308">
        <f t="shared" si="100"/>
        <v>12837449.876169324</v>
      </c>
      <c r="CH22" s="313">
        <v>1042706.8908576369</v>
      </c>
      <c r="CI22" s="308">
        <f t="shared" si="24"/>
        <v>13460331.935809851</v>
      </c>
      <c r="CJ22" s="313">
        <v>1042706.8908576369</v>
      </c>
      <c r="CK22" s="308">
        <f t="shared" si="25"/>
        <v>22781336.194922984</v>
      </c>
      <c r="CL22" s="313">
        <v>1042706.8908576369</v>
      </c>
      <c r="CM22" s="308">
        <f t="shared" si="26"/>
        <v>40539485.915321469</v>
      </c>
      <c r="CN22" s="313">
        <v>1042706.8908576369</v>
      </c>
      <c r="CO22" s="308">
        <f t="shared" si="27"/>
        <v>106142526.89600259</v>
      </c>
      <c r="CP22" s="313">
        <v>1042706.8908576369</v>
      </c>
      <c r="CQ22" s="308">
        <f t="shared" si="28"/>
        <v>114601783.92633909</v>
      </c>
      <c r="CR22" s="313">
        <v>1042706.8908576369</v>
      </c>
      <c r="CS22" s="308">
        <f t="shared" si="29"/>
        <v>123045577.38712174</v>
      </c>
      <c r="CT22" s="313">
        <v>1042706.8908576369</v>
      </c>
      <c r="CU22" s="308">
        <f t="shared" si="30"/>
        <v>-965589.06251966953</v>
      </c>
      <c r="CV22" s="313">
        <v>1042706.8908576369</v>
      </c>
      <c r="CW22" s="308">
        <f t="shared" si="31"/>
        <v>-820110.37937766314</v>
      </c>
      <c r="CX22" s="313">
        <v>1042706.8908576369</v>
      </c>
      <c r="CY22" s="308">
        <f t="shared" si="32"/>
        <v>-9950654.7526840568</v>
      </c>
      <c r="CZ22" s="313">
        <v>1042706.8908576369</v>
      </c>
      <c r="DA22" s="308">
        <f t="shared" si="33"/>
        <v>544089.32689869404</v>
      </c>
    </row>
    <row r="23" spans="1:105">
      <c r="A23" s="301" t="s">
        <v>224</v>
      </c>
      <c r="B23" s="308">
        <f>B372</f>
        <v>0</v>
      </c>
      <c r="C23" s="308">
        <f t="shared" ref="C23:P23" si="103">C372</f>
        <v>0</v>
      </c>
      <c r="D23" s="308">
        <f t="shared" si="103"/>
        <v>0</v>
      </c>
      <c r="E23" s="308">
        <f t="shared" si="103"/>
        <v>0</v>
      </c>
      <c r="F23" s="308">
        <f t="shared" si="103"/>
        <v>6344</v>
      </c>
      <c r="G23" s="308">
        <f t="shared" si="103"/>
        <v>5022</v>
      </c>
      <c r="H23" s="308">
        <f t="shared" si="103"/>
        <v>0</v>
      </c>
      <c r="I23" s="308">
        <f t="shared" si="103"/>
        <v>2018098</v>
      </c>
      <c r="J23" s="308">
        <f t="shared" si="103"/>
        <v>1160742</v>
      </c>
      <c r="K23" s="308">
        <f t="shared" si="103"/>
        <v>83027</v>
      </c>
      <c r="L23" s="308">
        <f t="shared" si="103"/>
        <v>85371</v>
      </c>
      <c r="M23" s="308">
        <f t="shared" si="103"/>
        <v>1659418</v>
      </c>
      <c r="N23" s="308">
        <f t="shared" si="103"/>
        <v>1053739</v>
      </c>
      <c r="O23" s="308">
        <f t="shared" si="103"/>
        <v>1553570</v>
      </c>
      <c r="P23" s="308">
        <f t="shared" si="103"/>
        <v>1120471</v>
      </c>
      <c r="Q23" s="307">
        <f t="shared" ref="Q23:AD23" si="104">Q22</f>
        <v>-5287492.1351538002</v>
      </c>
      <c r="R23" s="307">
        <f t="shared" si="104"/>
        <v>5917499.5093202889</v>
      </c>
      <c r="S23" s="309">
        <f t="shared" si="104"/>
        <v>-2005250.9438866973</v>
      </c>
      <c r="T23" s="309">
        <f t="shared" si="104"/>
        <v>-2556203.5941714644</v>
      </c>
      <c r="U23" s="309">
        <f t="shared" si="104"/>
        <v>1942053.3246752024</v>
      </c>
      <c r="V23" s="309">
        <f t="shared" si="104"/>
        <v>3443175.6714228392</v>
      </c>
      <c r="W23" s="309">
        <f t="shared" si="104"/>
        <v>386847.45104920864</v>
      </c>
      <c r="X23" s="309">
        <f t="shared" si="104"/>
        <v>-14049535.382774353</v>
      </c>
      <c r="Y23" s="309">
        <f t="shared" si="104"/>
        <v>-15910545.590323508</v>
      </c>
      <c r="Z23" s="309">
        <f t="shared" si="104"/>
        <v>-22730097.785646319</v>
      </c>
      <c r="AA23" s="309">
        <f t="shared" si="104"/>
        <v>-19569652.976923108</v>
      </c>
      <c r="AB23" s="309">
        <f t="shared" si="104"/>
        <v>7626144.9002268314</v>
      </c>
      <c r="AC23" s="309">
        <f t="shared" si="104"/>
        <v>10057388.467974603</v>
      </c>
      <c r="AD23" s="309">
        <f t="shared" si="104"/>
        <v>15560388.810548007</v>
      </c>
      <c r="AE23" s="309">
        <f>AE22</f>
        <v>15470924.501125276</v>
      </c>
      <c r="AF23" s="309">
        <f>AF22</f>
        <v>13877616.296195924</v>
      </c>
      <c r="AG23" s="309">
        <f>AG22</f>
        <v>14503038.826667488</v>
      </c>
      <c r="AH23" s="309">
        <f t="shared" ref="AH23:AP23" si="105">AH22</f>
        <v>23824043.085780621</v>
      </c>
      <c r="AI23" s="309">
        <f t="shared" si="105"/>
        <v>24924546.815072179</v>
      </c>
      <c r="AJ23" s="309">
        <f t="shared" si="105"/>
        <v>41582192.806179106</v>
      </c>
      <c r="AK23" s="309">
        <f t="shared" si="105"/>
        <v>65108251.480883479</v>
      </c>
      <c r="AL23" s="309">
        <f t="shared" si="105"/>
        <v>84146765.496525049</v>
      </c>
      <c r="AM23" s="309">
        <f t="shared" si="105"/>
        <v>107185233.78686023</v>
      </c>
      <c r="AN23" s="309">
        <f t="shared" si="105"/>
        <v>115644490.81719673</v>
      </c>
      <c r="AO23" s="309">
        <f t="shared" si="105"/>
        <v>123158433.95019305</v>
      </c>
      <c r="AP23" s="309">
        <f t="shared" si="105"/>
        <v>124088284.27797937</v>
      </c>
      <c r="AQ23" s="301">
        <v>2463243.1118588746</v>
      </c>
      <c r="AR23" s="309">
        <v>77117.828337967396</v>
      </c>
      <c r="AS23" s="308">
        <f t="shared" si="80"/>
        <v>8253.1716620326042</v>
      </c>
      <c r="AT23" s="309">
        <v>1436821.4885200262</v>
      </c>
      <c r="AU23" s="308">
        <f t="shared" si="81"/>
        <v>222596.51147997379</v>
      </c>
      <c r="AV23" s="309">
        <v>-8907947.8618264198</v>
      </c>
      <c r="AW23" s="308">
        <f t="shared" si="82"/>
        <v>9961686.8618264198</v>
      </c>
      <c r="AX23" s="309">
        <v>1586796.217756331</v>
      </c>
      <c r="AY23" s="308">
        <f t="shared" si="83"/>
        <v>-33226.217756330967</v>
      </c>
      <c r="AZ23" s="309">
        <v>-4477768.9717308581</v>
      </c>
      <c r="BA23" s="308">
        <f t="shared" si="84"/>
        <v>5598239.9717308581</v>
      </c>
      <c r="BB23" s="309">
        <v>13056243.40235585</v>
      </c>
      <c r="BC23" s="308">
        <f t="shared" si="85"/>
        <v>-18343735.53750965</v>
      </c>
      <c r="BD23" s="309">
        <v>18529407.267170727</v>
      </c>
      <c r="BE23" s="308">
        <f t="shared" si="86"/>
        <v>-12611907.757850438</v>
      </c>
      <c r="BF23" s="309">
        <v>15908326.366163611</v>
      </c>
      <c r="BG23" s="308">
        <f t="shared" si="87"/>
        <v>-17913577.310050309</v>
      </c>
      <c r="BH23" s="309">
        <v>16452800.384496629</v>
      </c>
      <c r="BI23" s="308">
        <f t="shared" si="88"/>
        <v>-19009003.978668094</v>
      </c>
      <c r="BJ23" s="309">
        <v>23413398.254789323</v>
      </c>
      <c r="BK23" s="308">
        <f t="shared" si="89"/>
        <v>-21471344.93011412</v>
      </c>
      <c r="BL23" s="309">
        <v>27440728.812601268</v>
      </c>
      <c r="BM23" s="308">
        <f t="shared" si="90"/>
        <v>-23997553.141178429</v>
      </c>
      <c r="BN23" s="309">
        <v>3256229.232991457</v>
      </c>
      <c r="BO23" s="308">
        <f t="shared" si="91"/>
        <v>-2869381.7819422483</v>
      </c>
      <c r="BP23" s="309">
        <v>-48940237.176675469</v>
      </c>
      <c r="BQ23" s="308">
        <f t="shared" si="92"/>
        <v>34890701.793901116</v>
      </c>
      <c r="BR23" s="309">
        <v>-790633264.61985683</v>
      </c>
      <c r="BS23" s="308">
        <f t="shared" si="93"/>
        <v>774722719.02953339</v>
      </c>
      <c r="BT23" s="309">
        <v>-1251385695.6196237</v>
      </c>
      <c r="BU23" s="308">
        <f t="shared" si="94"/>
        <v>1228655597.8339772</v>
      </c>
      <c r="BV23" s="309">
        <v>1032482.7885213494</v>
      </c>
      <c r="BW23" s="308">
        <f t="shared" si="95"/>
        <v>-20602135.765444458</v>
      </c>
      <c r="BX23" s="309">
        <v>1073606.4653436542</v>
      </c>
      <c r="BY23" s="308">
        <f t="shared" si="96"/>
        <v>6552538.4348831773</v>
      </c>
      <c r="BZ23" s="309">
        <v>-13231223.001230717</v>
      </c>
      <c r="CA23" s="308">
        <f t="shared" si="97"/>
        <v>23288611.46920532</v>
      </c>
      <c r="CB23" s="309">
        <v>-36098483.133328021</v>
      </c>
      <c r="CC23" s="308">
        <f t="shared" si="98"/>
        <v>51658871.943876028</v>
      </c>
      <c r="CD23" s="309">
        <v>-17288223.433568358</v>
      </c>
      <c r="CE23" s="308">
        <f t="shared" si="99"/>
        <v>32759147.934693635</v>
      </c>
      <c r="CF23" s="309">
        <v>1040166.4200266004</v>
      </c>
      <c r="CG23" s="308">
        <f t="shared" si="100"/>
        <v>12837449.876169324</v>
      </c>
      <c r="CH23" s="309">
        <v>1042706.8908576369</v>
      </c>
      <c r="CI23" s="308">
        <f t="shared" si="24"/>
        <v>13460331.935809851</v>
      </c>
      <c r="CJ23" s="309">
        <v>1042706.8908576369</v>
      </c>
      <c r="CK23" s="308">
        <f t="shared" si="25"/>
        <v>22781336.194922984</v>
      </c>
      <c r="CL23" s="309">
        <v>1042706.8908576369</v>
      </c>
      <c r="CM23" s="308">
        <f t="shared" si="26"/>
        <v>40539485.915321469</v>
      </c>
      <c r="CN23" s="309">
        <v>1042706.8908576369</v>
      </c>
      <c r="CO23" s="308">
        <f t="shared" si="27"/>
        <v>106142526.89600259</v>
      </c>
      <c r="CP23" s="309">
        <v>1042706.8908576369</v>
      </c>
      <c r="CQ23" s="308">
        <f t="shared" si="28"/>
        <v>114601783.92633909</v>
      </c>
      <c r="CR23" s="309">
        <v>1042706.8908576369</v>
      </c>
      <c r="CS23" s="308">
        <f t="shared" si="29"/>
        <v>123045577.38712174</v>
      </c>
      <c r="CT23" s="309">
        <v>1042706.8908576369</v>
      </c>
      <c r="CU23" s="308">
        <f t="shared" si="30"/>
        <v>-965589.06251966953</v>
      </c>
      <c r="CV23" s="309">
        <v>1042706.8908576369</v>
      </c>
      <c r="CW23" s="308">
        <f t="shared" si="31"/>
        <v>-820110.37937766314</v>
      </c>
      <c r="CX23" s="309">
        <v>1042706.8908576369</v>
      </c>
      <c r="CY23" s="308">
        <f t="shared" si="32"/>
        <v>-9950654.7526840568</v>
      </c>
      <c r="CZ23" s="309">
        <v>1042706.8908576369</v>
      </c>
      <c r="DA23" s="308">
        <f t="shared" si="33"/>
        <v>544089.32689869404</v>
      </c>
    </row>
    <row r="24" spans="1:105" ht="12" thickBot="1">
      <c r="A24" s="301" t="s">
        <v>225</v>
      </c>
      <c r="B24" s="308">
        <f>B388</f>
        <v>0</v>
      </c>
      <c r="C24" s="308">
        <f t="shared" ref="C24:AD24" si="106">C388</f>
        <v>0</v>
      </c>
      <c r="D24" s="308">
        <f t="shared" si="106"/>
        <v>0</v>
      </c>
      <c r="E24" s="308">
        <f t="shared" si="106"/>
        <v>0</v>
      </c>
      <c r="F24" s="308">
        <f t="shared" si="106"/>
        <v>0</v>
      </c>
      <c r="G24" s="308">
        <f t="shared" si="106"/>
        <v>0</v>
      </c>
      <c r="H24" s="308">
        <f t="shared" si="106"/>
        <v>0</v>
      </c>
      <c r="I24" s="308">
        <f t="shared" si="106"/>
        <v>0</v>
      </c>
      <c r="J24" s="308">
        <f t="shared" si="106"/>
        <v>0</v>
      </c>
      <c r="K24" s="308">
        <f t="shared" si="106"/>
        <v>0</v>
      </c>
      <c r="L24" s="308">
        <f t="shared" si="106"/>
        <v>0</v>
      </c>
      <c r="M24" s="308">
        <f t="shared" si="106"/>
        <v>0</v>
      </c>
      <c r="N24" s="308">
        <f t="shared" si="106"/>
        <v>0</v>
      </c>
      <c r="O24" s="308">
        <f t="shared" si="106"/>
        <v>0</v>
      </c>
      <c r="P24" s="308">
        <f t="shared" si="106"/>
        <v>0</v>
      </c>
      <c r="Q24" s="307">
        <f t="shared" si="106"/>
        <v>0</v>
      </c>
      <c r="R24" s="307">
        <f t="shared" si="106"/>
        <v>0</v>
      </c>
      <c r="S24" s="309">
        <f t="shared" si="106"/>
        <v>0</v>
      </c>
      <c r="T24" s="309">
        <f t="shared" si="106"/>
        <v>0</v>
      </c>
      <c r="U24" s="309">
        <f t="shared" si="106"/>
        <v>0</v>
      </c>
      <c r="V24" s="309">
        <f t="shared" si="106"/>
        <v>0</v>
      </c>
      <c r="W24" s="309">
        <f t="shared" si="106"/>
        <v>0</v>
      </c>
      <c r="X24" s="309">
        <f t="shared" si="106"/>
        <v>0</v>
      </c>
      <c r="Y24" s="309">
        <f t="shared" si="106"/>
        <v>0</v>
      </c>
      <c r="Z24" s="309">
        <f t="shared" si="106"/>
        <v>0</v>
      </c>
      <c r="AA24" s="309">
        <f t="shared" si="106"/>
        <v>0</v>
      </c>
      <c r="AB24" s="309">
        <f t="shared" si="106"/>
        <v>0</v>
      </c>
      <c r="AC24" s="309">
        <f t="shared" si="106"/>
        <v>0</v>
      </c>
      <c r="AD24" s="309">
        <f t="shared" si="106"/>
        <v>0</v>
      </c>
      <c r="AE24" s="309">
        <f>AE388</f>
        <v>0</v>
      </c>
      <c r="AF24" s="309">
        <f>AF388</f>
        <v>0</v>
      </c>
      <c r="AG24" s="309">
        <f>AG388</f>
        <v>0</v>
      </c>
      <c r="AH24" s="309">
        <f t="shared" ref="AH24:AP24" si="107">AH388</f>
        <v>0</v>
      </c>
      <c r="AI24" s="309">
        <f t="shared" si="107"/>
        <v>0</v>
      </c>
      <c r="AJ24" s="309">
        <f t="shared" si="107"/>
        <v>0</v>
      </c>
      <c r="AK24" s="309">
        <f t="shared" si="107"/>
        <v>0</v>
      </c>
      <c r="AL24" s="309">
        <f t="shared" si="107"/>
        <v>0</v>
      </c>
      <c r="AM24" s="309">
        <f t="shared" si="107"/>
        <v>0</v>
      </c>
      <c r="AN24" s="309">
        <f t="shared" si="107"/>
        <v>0</v>
      </c>
      <c r="AO24" s="309">
        <f t="shared" si="107"/>
        <v>0</v>
      </c>
      <c r="AP24" s="309">
        <f t="shared" si="107"/>
        <v>0</v>
      </c>
      <c r="AQ24" s="301">
        <v>0</v>
      </c>
      <c r="AR24" s="309">
        <v>0</v>
      </c>
      <c r="AS24" s="308">
        <f t="shared" si="80"/>
        <v>0</v>
      </c>
      <c r="AT24" s="309">
        <v>0</v>
      </c>
      <c r="AU24" s="308">
        <f t="shared" si="81"/>
        <v>0</v>
      </c>
      <c r="AV24" s="309">
        <v>0</v>
      </c>
      <c r="AW24" s="308">
        <f t="shared" si="82"/>
        <v>0</v>
      </c>
      <c r="AX24" s="309">
        <v>0</v>
      </c>
      <c r="AY24" s="308">
        <f t="shared" si="83"/>
        <v>0</v>
      </c>
      <c r="AZ24" s="309">
        <v>0</v>
      </c>
      <c r="BA24" s="308">
        <f t="shared" si="84"/>
        <v>0</v>
      </c>
      <c r="BB24" s="309">
        <v>0</v>
      </c>
      <c r="BC24" s="308">
        <f t="shared" si="85"/>
        <v>0</v>
      </c>
      <c r="BD24" s="309">
        <v>0</v>
      </c>
      <c r="BE24" s="308">
        <f t="shared" si="86"/>
        <v>0</v>
      </c>
      <c r="BF24" s="309">
        <v>0</v>
      </c>
      <c r="BG24" s="308">
        <f t="shared" si="87"/>
        <v>0</v>
      </c>
      <c r="BH24" s="309">
        <v>0</v>
      </c>
      <c r="BI24" s="308">
        <f t="shared" si="88"/>
        <v>0</v>
      </c>
      <c r="BJ24" s="309">
        <v>0</v>
      </c>
      <c r="BK24" s="308">
        <f t="shared" si="89"/>
        <v>0</v>
      </c>
      <c r="BL24" s="309">
        <v>0</v>
      </c>
      <c r="BM24" s="308">
        <f t="shared" si="90"/>
        <v>0</v>
      </c>
      <c r="BN24" s="309">
        <v>0</v>
      </c>
      <c r="BO24" s="308">
        <f t="shared" si="91"/>
        <v>0</v>
      </c>
      <c r="BP24" s="309">
        <v>0</v>
      </c>
      <c r="BQ24" s="308">
        <f t="shared" si="92"/>
        <v>0</v>
      </c>
      <c r="BR24" s="309">
        <v>0</v>
      </c>
      <c r="BS24" s="308">
        <f t="shared" si="93"/>
        <v>0</v>
      </c>
      <c r="BT24" s="309">
        <v>0</v>
      </c>
      <c r="BU24" s="308">
        <f t="shared" si="94"/>
        <v>0</v>
      </c>
      <c r="BV24" s="309">
        <v>0</v>
      </c>
      <c r="BW24" s="308">
        <f t="shared" si="95"/>
        <v>0</v>
      </c>
      <c r="BX24" s="309">
        <v>0</v>
      </c>
      <c r="BY24" s="308">
        <f t="shared" si="96"/>
        <v>0</v>
      </c>
      <c r="BZ24" s="309">
        <v>0</v>
      </c>
      <c r="CA24" s="308">
        <f t="shared" si="97"/>
        <v>0</v>
      </c>
      <c r="CB24" s="309">
        <v>0</v>
      </c>
      <c r="CC24" s="308">
        <f t="shared" si="98"/>
        <v>0</v>
      </c>
      <c r="CD24" s="309">
        <v>0</v>
      </c>
      <c r="CE24" s="308">
        <f t="shared" si="99"/>
        <v>0</v>
      </c>
      <c r="CF24" s="309">
        <v>0</v>
      </c>
      <c r="CG24" s="308">
        <f t="shared" si="100"/>
        <v>0</v>
      </c>
      <c r="CH24" s="309">
        <v>0</v>
      </c>
      <c r="CI24" s="308">
        <f t="shared" si="24"/>
        <v>0</v>
      </c>
      <c r="CJ24" s="309">
        <v>0</v>
      </c>
      <c r="CK24" s="308">
        <f t="shared" si="25"/>
        <v>0</v>
      </c>
      <c r="CL24" s="309">
        <v>0</v>
      </c>
      <c r="CM24" s="308">
        <f t="shared" si="26"/>
        <v>0</v>
      </c>
      <c r="CN24" s="309">
        <v>0</v>
      </c>
      <c r="CO24" s="308">
        <f t="shared" si="27"/>
        <v>0</v>
      </c>
      <c r="CP24" s="309">
        <v>0</v>
      </c>
      <c r="CQ24" s="308">
        <f t="shared" si="28"/>
        <v>0</v>
      </c>
      <c r="CR24" s="309">
        <v>0</v>
      </c>
      <c r="CS24" s="308">
        <f t="shared" si="29"/>
        <v>0</v>
      </c>
      <c r="CT24" s="309">
        <v>0</v>
      </c>
      <c r="CU24" s="308">
        <f t="shared" si="30"/>
        <v>0</v>
      </c>
      <c r="CV24" s="309">
        <v>0</v>
      </c>
      <c r="CW24" s="308">
        <f t="shared" si="31"/>
        <v>0</v>
      </c>
      <c r="CX24" s="309">
        <v>0</v>
      </c>
      <c r="CY24" s="308">
        <f t="shared" si="32"/>
        <v>0</v>
      </c>
      <c r="CZ24" s="309">
        <v>0</v>
      </c>
      <c r="DA24" s="308">
        <f t="shared" si="33"/>
        <v>0</v>
      </c>
    </row>
    <row r="25" spans="1:105">
      <c r="A25" s="318" t="s">
        <v>422</v>
      </c>
      <c r="B25" s="311">
        <f>B26+B27</f>
        <v>0</v>
      </c>
      <c r="C25" s="311">
        <f t="shared" ref="C25:AP25" si="108">C26+C27</f>
        <v>0</v>
      </c>
      <c r="D25" s="311">
        <f t="shared" si="108"/>
        <v>0</v>
      </c>
      <c r="E25" s="311">
        <f t="shared" si="108"/>
        <v>0</v>
      </c>
      <c r="F25" s="311">
        <f t="shared" si="108"/>
        <v>0</v>
      </c>
      <c r="G25" s="311">
        <f t="shared" si="108"/>
        <v>0</v>
      </c>
      <c r="H25" s="311">
        <f t="shared" si="108"/>
        <v>0</v>
      </c>
      <c r="I25" s="311">
        <f t="shared" si="108"/>
        <v>0</v>
      </c>
      <c r="J25" s="311">
        <f t="shared" si="108"/>
        <v>660061</v>
      </c>
      <c r="K25" s="311">
        <f t="shared" si="108"/>
        <v>4209380</v>
      </c>
      <c r="L25" s="311">
        <f t="shared" si="108"/>
        <v>4306761</v>
      </c>
      <c r="M25" s="311">
        <f t="shared" si="108"/>
        <v>4590315</v>
      </c>
      <c r="N25" s="311">
        <f t="shared" si="108"/>
        <v>4485248</v>
      </c>
      <c r="O25" s="311">
        <f t="shared" si="108"/>
        <v>4719437</v>
      </c>
      <c r="P25" s="311">
        <f t="shared" si="108"/>
        <v>929802</v>
      </c>
      <c r="Q25" s="312">
        <f t="shared" si="108"/>
        <v>59839</v>
      </c>
      <c r="R25" s="312">
        <f t="shared" si="108"/>
        <v>0</v>
      </c>
      <c r="S25" s="312">
        <f t="shared" si="108"/>
        <v>0</v>
      </c>
      <c r="T25" s="312">
        <f t="shared" si="108"/>
        <v>0</v>
      </c>
      <c r="U25" s="312">
        <f t="shared" si="108"/>
        <v>0</v>
      </c>
      <c r="V25" s="312">
        <f t="shared" si="108"/>
        <v>0</v>
      </c>
      <c r="W25" s="312">
        <f t="shared" si="108"/>
        <v>0</v>
      </c>
      <c r="X25" s="312">
        <f t="shared" si="108"/>
        <v>0</v>
      </c>
      <c r="Y25" s="312">
        <f t="shared" si="108"/>
        <v>0</v>
      </c>
      <c r="Z25" s="312">
        <f t="shared" si="108"/>
        <v>0</v>
      </c>
      <c r="AA25" s="312">
        <f t="shared" si="108"/>
        <v>0</v>
      </c>
      <c r="AB25" s="312">
        <f t="shared" si="108"/>
        <v>0</v>
      </c>
      <c r="AC25" s="312">
        <f t="shared" si="108"/>
        <v>0</v>
      </c>
      <c r="AD25" s="312">
        <f t="shared" si="108"/>
        <v>0</v>
      </c>
      <c r="AE25" s="312">
        <f t="shared" si="108"/>
        <v>0</v>
      </c>
      <c r="AF25" s="312">
        <f t="shared" si="108"/>
        <v>0</v>
      </c>
      <c r="AG25" s="312">
        <f t="shared" si="108"/>
        <v>0</v>
      </c>
      <c r="AH25" s="312">
        <f t="shared" si="108"/>
        <v>0</v>
      </c>
      <c r="AI25" s="312">
        <f t="shared" si="108"/>
        <v>0</v>
      </c>
      <c r="AJ25" s="312">
        <f t="shared" si="108"/>
        <v>0</v>
      </c>
      <c r="AK25" s="312">
        <f t="shared" si="108"/>
        <v>0</v>
      </c>
      <c r="AL25" s="312">
        <f t="shared" si="108"/>
        <v>0</v>
      </c>
      <c r="AM25" s="312">
        <f t="shared" si="108"/>
        <v>0</v>
      </c>
      <c r="AN25" s="312">
        <f t="shared" si="108"/>
        <v>0</v>
      </c>
      <c r="AO25" s="312">
        <f t="shared" si="108"/>
        <v>0</v>
      </c>
      <c r="AP25" s="312">
        <f t="shared" si="108"/>
        <v>0</v>
      </c>
      <c r="AQ25" s="308">
        <v>0.3865572726354003</v>
      </c>
      <c r="AR25" s="319">
        <v>4700424.1590038873</v>
      </c>
      <c r="AS25" s="308">
        <f t="shared" si="80"/>
        <v>-393663.15900388733</v>
      </c>
      <c r="AT25" s="319">
        <v>4045455.7532313354</v>
      </c>
      <c r="AU25" s="308">
        <f t="shared" si="81"/>
        <v>544859.24676866457</v>
      </c>
      <c r="AV25" s="319">
        <v>4699095.4449322131</v>
      </c>
      <c r="AW25" s="308">
        <f t="shared" si="82"/>
        <v>-213847.44493221305</v>
      </c>
      <c r="AX25" s="319">
        <v>4376909.2592489086</v>
      </c>
      <c r="AY25" s="308">
        <f t="shared" si="83"/>
        <v>342527.74075109139</v>
      </c>
      <c r="AZ25" s="319">
        <v>900940</v>
      </c>
      <c r="BA25" s="308">
        <f t="shared" si="84"/>
        <v>28862</v>
      </c>
      <c r="BB25" s="319">
        <v>0</v>
      </c>
      <c r="BC25" s="308">
        <f t="shared" si="85"/>
        <v>59839</v>
      </c>
      <c r="BD25" s="319">
        <v>0</v>
      </c>
      <c r="BE25" s="308">
        <f t="shared" si="86"/>
        <v>0</v>
      </c>
      <c r="BF25" s="319">
        <v>0</v>
      </c>
      <c r="BG25" s="308">
        <f t="shared" si="87"/>
        <v>0</v>
      </c>
      <c r="BH25" s="319">
        <v>0</v>
      </c>
      <c r="BI25" s="308">
        <f t="shared" si="88"/>
        <v>0</v>
      </c>
      <c r="BJ25" s="319">
        <v>0</v>
      </c>
      <c r="BK25" s="308">
        <f t="shared" si="89"/>
        <v>0</v>
      </c>
      <c r="BL25" s="319">
        <v>0</v>
      </c>
      <c r="BM25" s="308">
        <f t="shared" si="90"/>
        <v>0</v>
      </c>
      <c r="BN25" s="319">
        <v>0</v>
      </c>
      <c r="BO25" s="308">
        <f t="shared" si="91"/>
        <v>0</v>
      </c>
      <c r="BP25" s="319">
        <v>0</v>
      </c>
      <c r="BQ25" s="308">
        <f t="shared" si="92"/>
        <v>0</v>
      </c>
      <c r="BR25" s="319">
        <v>3058233.623397612</v>
      </c>
      <c r="BS25" s="308">
        <f t="shared" si="93"/>
        <v>-3058233.623397612</v>
      </c>
      <c r="BT25" s="319">
        <v>3253866.2416004268</v>
      </c>
      <c r="BU25" s="308">
        <f t="shared" si="94"/>
        <v>-3253866.2416004268</v>
      </c>
      <c r="BV25" s="319">
        <v>5189396.1901269211</v>
      </c>
      <c r="BW25" s="308">
        <f t="shared" si="95"/>
        <v>-5189396.1901269211</v>
      </c>
      <c r="BX25" s="319">
        <v>5209103.4099594606</v>
      </c>
      <c r="BY25" s="308">
        <f t="shared" si="96"/>
        <v>-5209103.4099594606</v>
      </c>
      <c r="BZ25" s="319">
        <v>0</v>
      </c>
      <c r="CA25" s="308">
        <f t="shared" si="97"/>
        <v>0</v>
      </c>
      <c r="CB25" s="319">
        <v>0</v>
      </c>
      <c r="CC25" s="308">
        <f t="shared" si="98"/>
        <v>0</v>
      </c>
      <c r="CD25" s="319">
        <v>0</v>
      </c>
      <c r="CE25" s="308">
        <f t="shared" si="99"/>
        <v>0</v>
      </c>
      <c r="CF25" s="319">
        <v>5999996.1449813265</v>
      </c>
      <c r="CG25" s="308">
        <f t="shared" si="100"/>
        <v>-5999996.1449813265</v>
      </c>
      <c r="CH25" s="319">
        <v>6198607.6482595522</v>
      </c>
      <c r="CI25" s="308">
        <f t="shared" si="24"/>
        <v>-6198607.6482595522</v>
      </c>
      <c r="CJ25" s="319">
        <v>6198607.6482595522</v>
      </c>
      <c r="CK25" s="308">
        <f t="shared" si="25"/>
        <v>-6198607.6482595522</v>
      </c>
      <c r="CL25" s="319">
        <v>6198607.6482595522</v>
      </c>
      <c r="CM25" s="308">
        <f t="shared" si="26"/>
        <v>-6198607.6482595522</v>
      </c>
      <c r="CN25" s="319">
        <v>6198607.6482595522</v>
      </c>
      <c r="CO25" s="308">
        <f t="shared" si="27"/>
        <v>-6198607.6482595522</v>
      </c>
      <c r="CP25" s="319">
        <v>6198607.6482595522</v>
      </c>
      <c r="CQ25" s="308">
        <f t="shared" si="28"/>
        <v>-6198607.6482595522</v>
      </c>
      <c r="CR25" s="319">
        <v>6198607.6482595522</v>
      </c>
      <c r="CS25" s="308">
        <f t="shared" si="29"/>
        <v>-6198607.6482595522</v>
      </c>
      <c r="CT25" s="319">
        <v>6198607.6482595522</v>
      </c>
      <c r="CU25" s="308">
        <f t="shared" si="30"/>
        <v>-1498183.4892556649</v>
      </c>
      <c r="CV25" s="319">
        <v>6198607.6482595522</v>
      </c>
      <c r="CW25" s="308">
        <f t="shared" si="31"/>
        <v>-5653748.4014908876</v>
      </c>
      <c r="CX25" s="319">
        <v>6198607.6482595522</v>
      </c>
      <c r="CY25" s="308">
        <f t="shared" si="32"/>
        <v>-1499512.2033273391</v>
      </c>
      <c r="CZ25" s="319">
        <v>6198607.6482595522</v>
      </c>
      <c r="DA25" s="308">
        <f t="shared" si="33"/>
        <v>-1821698.3890106436</v>
      </c>
    </row>
    <row r="26" spans="1:105">
      <c r="A26" s="301" t="s">
        <v>224</v>
      </c>
      <c r="B26" s="308">
        <f>B420</f>
        <v>0</v>
      </c>
      <c r="C26" s="308">
        <f t="shared" ref="C26:AP26" si="109">C420</f>
        <v>0</v>
      </c>
      <c r="D26" s="308">
        <f t="shared" si="109"/>
        <v>0</v>
      </c>
      <c r="E26" s="308">
        <f t="shared" si="109"/>
        <v>0</v>
      </c>
      <c r="F26" s="308">
        <f t="shared" si="109"/>
        <v>0</v>
      </c>
      <c r="G26" s="308">
        <f t="shared" si="109"/>
        <v>0</v>
      </c>
      <c r="H26" s="308">
        <f t="shared" si="109"/>
        <v>0</v>
      </c>
      <c r="I26" s="308">
        <f t="shared" si="109"/>
        <v>0</v>
      </c>
      <c r="J26" s="308">
        <f t="shared" si="109"/>
        <v>660061</v>
      </c>
      <c r="K26" s="308">
        <f t="shared" si="109"/>
        <v>4209380</v>
      </c>
      <c r="L26" s="308">
        <f t="shared" si="109"/>
        <v>4306761</v>
      </c>
      <c r="M26" s="308">
        <f t="shared" si="109"/>
        <v>4590315</v>
      </c>
      <c r="N26" s="308">
        <f t="shared" si="109"/>
        <v>4485248</v>
      </c>
      <c r="O26" s="308">
        <f t="shared" si="109"/>
        <v>4719437</v>
      </c>
      <c r="P26" s="308">
        <f t="shared" si="109"/>
        <v>929802</v>
      </c>
      <c r="Q26" s="307">
        <f t="shared" si="109"/>
        <v>59839</v>
      </c>
      <c r="R26" s="307">
        <f t="shared" si="109"/>
        <v>0</v>
      </c>
      <c r="S26" s="307">
        <f t="shared" si="109"/>
        <v>0</v>
      </c>
      <c r="T26" s="307">
        <f t="shared" si="109"/>
        <v>0</v>
      </c>
      <c r="U26" s="307">
        <f t="shared" si="109"/>
        <v>0</v>
      </c>
      <c r="V26" s="307">
        <f t="shared" si="109"/>
        <v>0</v>
      </c>
      <c r="W26" s="307">
        <f t="shared" si="109"/>
        <v>0</v>
      </c>
      <c r="X26" s="307">
        <f t="shared" si="109"/>
        <v>0</v>
      </c>
      <c r="Y26" s="307">
        <f t="shared" si="109"/>
        <v>0</v>
      </c>
      <c r="Z26" s="307">
        <f t="shared" si="109"/>
        <v>0</v>
      </c>
      <c r="AA26" s="307">
        <f t="shared" si="109"/>
        <v>0</v>
      </c>
      <c r="AB26" s="307">
        <f t="shared" si="109"/>
        <v>0</v>
      </c>
      <c r="AC26" s="307">
        <f t="shared" si="109"/>
        <v>0</v>
      </c>
      <c r="AD26" s="307">
        <f t="shared" si="109"/>
        <v>0</v>
      </c>
      <c r="AE26" s="307">
        <f t="shared" si="109"/>
        <v>0</v>
      </c>
      <c r="AF26" s="307">
        <f t="shared" si="109"/>
        <v>0</v>
      </c>
      <c r="AG26" s="307">
        <f t="shared" si="109"/>
        <v>0</v>
      </c>
      <c r="AH26" s="307">
        <f t="shared" si="109"/>
        <v>0</v>
      </c>
      <c r="AI26" s="307">
        <f t="shared" si="109"/>
        <v>0</v>
      </c>
      <c r="AJ26" s="307">
        <f t="shared" si="109"/>
        <v>0</v>
      </c>
      <c r="AK26" s="307">
        <f t="shared" si="109"/>
        <v>0</v>
      </c>
      <c r="AL26" s="307">
        <f t="shared" si="109"/>
        <v>0</v>
      </c>
      <c r="AM26" s="307">
        <f t="shared" si="109"/>
        <v>0</v>
      </c>
      <c r="AN26" s="307">
        <f t="shared" si="109"/>
        <v>0</v>
      </c>
      <c r="AO26" s="307">
        <f t="shared" si="109"/>
        <v>0</v>
      </c>
      <c r="AP26" s="307">
        <f t="shared" si="109"/>
        <v>0</v>
      </c>
      <c r="AQ26" s="301">
        <v>0.3865572726354003</v>
      </c>
      <c r="AR26" s="321">
        <v>4700424.1590038873</v>
      </c>
      <c r="AS26" s="308">
        <f t="shared" si="80"/>
        <v>-393663.15900388733</v>
      </c>
      <c r="AT26" s="321">
        <v>4045455.7532313354</v>
      </c>
      <c r="AU26" s="308">
        <f t="shared" si="81"/>
        <v>544859.24676866457</v>
      </c>
      <c r="AV26" s="321">
        <v>4699095.4449322131</v>
      </c>
      <c r="AW26" s="308">
        <f t="shared" si="82"/>
        <v>-213847.44493221305</v>
      </c>
      <c r="AX26" s="321">
        <v>4376909.2592489086</v>
      </c>
      <c r="AY26" s="308">
        <f t="shared" si="83"/>
        <v>342527.74075109139</v>
      </c>
      <c r="AZ26" s="321">
        <v>900940</v>
      </c>
      <c r="BA26" s="308">
        <f t="shared" si="84"/>
        <v>28862</v>
      </c>
      <c r="BB26" s="321">
        <v>0</v>
      </c>
      <c r="BC26" s="308">
        <f t="shared" si="85"/>
        <v>59839</v>
      </c>
      <c r="BD26" s="321">
        <v>0</v>
      </c>
      <c r="BE26" s="308">
        <f t="shared" si="86"/>
        <v>0</v>
      </c>
      <c r="BF26" s="321">
        <v>0</v>
      </c>
      <c r="BG26" s="308">
        <f t="shared" si="87"/>
        <v>0</v>
      </c>
      <c r="BH26" s="321">
        <v>0</v>
      </c>
      <c r="BI26" s="308">
        <f t="shared" si="88"/>
        <v>0</v>
      </c>
      <c r="BJ26" s="321">
        <v>0</v>
      </c>
      <c r="BK26" s="308">
        <f t="shared" si="89"/>
        <v>0</v>
      </c>
      <c r="BL26" s="321">
        <v>0</v>
      </c>
      <c r="BM26" s="308">
        <f t="shared" si="90"/>
        <v>0</v>
      </c>
      <c r="BN26" s="321">
        <v>0</v>
      </c>
      <c r="BO26" s="308">
        <f t="shared" si="91"/>
        <v>0</v>
      </c>
      <c r="BP26" s="321">
        <v>0</v>
      </c>
      <c r="BQ26" s="308">
        <f t="shared" si="92"/>
        <v>0</v>
      </c>
      <c r="BR26" s="321">
        <v>3058233.623397612</v>
      </c>
      <c r="BS26" s="308">
        <f t="shared" si="93"/>
        <v>-3058233.623397612</v>
      </c>
      <c r="BT26" s="321">
        <v>3253866.2416004268</v>
      </c>
      <c r="BU26" s="308">
        <f t="shared" si="94"/>
        <v>-3253866.2416004268</v>
      </c>
      <c r="BV26" s="321">
        <v>5189396.1901269211</v>
      </c>
      <c r="BW26" s="308">
        <f t="shared" si="95"/>
        <v>-5189396.1901269211</v>
      </c>
      <c r="BX26" s="321">
        <v>5209103.4099594606</v>
      </c>
      <c r="BY26" s="308">
        <f t="shared" si="96"/>
        <v>-5209103.4099594606</v>
      </c>
      <c r="BZ26" s="321">
        <v>0</v>
      </c>
      <c r="CA26" s="308">
        <f t="shared" si="97"/>
        <v>0</v>
      </c>
      <c r="CB26" s="321">
        <v>0</v>
      </c>
      <c r="CC26" s="308">
        <f t="shared" si="98"/>
        <v>0</v>
      </c>
      <c r="CD26" s="321">
        <v>0</v>
      </c>
      <c r="CE26" s="308">
        <f t="shared" si="99"/>
        <v>0</v>
      </c>
      <c r="CF26" s="321">
        <v>5999996.1449813265</v>
      </c>
      <c r="CG26" s="308">
        <f t="shared" si="100"/>
        <v>-5999996.1449813265</v>
      </c>
      <c r="CH26" s="321">
        <v>6198607.6482595522</v>
      </c>
      <c r="CI26" s="308">
        <f t="shared" si="24"/>
        <v>-6198607.6482595522</v>
      </c>
      <c r="CJ26" s="321">
        <v>6198607.6482595522</v>
      </c>
      <c r="CK26" s="308">
        <f>AH26-CJ26</f>
        <v>-6198607.6482595522</v>
      </c>
      <c r="CL26" s="321">
        <v>6198607.6482595522</v>
      </c>
      <c r="CM26" s="308">
        <f>AJ26-CL26</f>
        <v>-6198607.6482595522</v>
      </c>
      <c r="CN26" s="321">
        <v>6198607.6482595522</v>
      </c>
      <c r="CO26" s="308">
        <f t="shared" si="27"/>
        <v>-6198607.6482595522</v>
      </c>
      <c r="CP26" s="321">
        <v>6198607.6482595522</v>
      </c>
      <c r="CQ26" s="308">
        <f>AN26-CP26</f>
        <v>-6198607.6482595522</v>
      </c>
      <c r="CR26" s="321">
        <v>6198607.6482595522</v>
      </c>
      <c r="CS26" s="308">
        <f>AP26-CR26</f>
        <v>-6198607.6482595522</v>
      </c>
      <c r="CT26" s="321">
        <v>6198607.6482595522</v>
      </c>
      <c r="CU26" s="308">
        <f>AR26-CT26</f>
        <v>-1498183.4892556649</v>
      </c>
      <c r="CV26" s="321">
        <v>6198607.6482595522</v>
      </c>
      <c r="CW26" s="308">
        <f t="shared" si="31"/>
        <v>-5653748.4014908876</v>
      </c>
      <c r="CX26" s="321">
        <v>6198607.6482595522</v>
      </c>
      <c r="CY26" s="308">
        <f>AV26-CX26</f>
        <v>-1499512.2033273391</v>
      </c>
      <c r="CZ26" s="321">
        <v>6198607.6482595522</v>
      </c>
      <c r="DA26" s="308">
        <f>AX26-CZ26</f>
        <v>-1821698.3890106436</v>
      </c>
    </row>
    <row r="27" spans="1:105" ht="12" thickBot="1">
      <c r="A27" s="301" t="s">
        <v>225</v>
      </c>
      <c r="B27" s="308">
        <f>B436</f>
        <v>0</v>
      </c>
      <c r="C27" s="308">
        <f t="shared" ref="C27:AD27" si="110">C436</f>
        <v>0</v>
      </c>
      <c r="D27" s="308">
        <f t="shared" si="110"/>
        <v>0</v>
      </c>
      <c r="E27" s="308">
        <f t="shared" si="110"/>
        <v>0</v>
      </c>
      <c r="F27" s="308">
        <f t="shared" si="110"/>
        <v>0</v>
      </c>
      <c r="G27" s="308">
        <f t="shared" si="110"/>
        <v>0</v>
      </c>
      <c r="H27" s="308">
        <f t="shared" si="110"/>
        <v>0</v>
      </c>
      <c r="I27" s="308">
        <f t="shared" si="110"/>
        <v>0</v>
      </c>
      <c r="J27" s="308">
        <f t="shared" si="110"/>
        <v>0</v>
      </c>
      <c r="K27" s="308">
        <f t="shared" si="110"/>
        <v>0</v>
      </c>
      <c r="L27" s="308">
        <f t="shared" si="110"/>
        <v>0</v>
      </c>
      <c r="M27" s="308">
        <f t="shared" si="110"/>
        <v>0</v>
      </c>
      <c r="N27" s="308">
        <f t="shared" si="110"/>
        <v>0</v>
      </c>
      <c r="O27" s="308">
        <f t="shared" si="110"/>
        <v>0</v>
      </c>
      <c r="P27" s="308">
        <f t="shared" si="110"/>
        <v>0</v>
      </c>
      <c r="Q27" s="307">
        <f t="shared" si="110"/>
        <v>0</v>
      </c>
      <c r="R27" s="307">
        <f t="shared" si="110"/>
        <v>0</v>
      </c>
      <c r="S27" s="321">
        <f t="shared" si="110"/>
        <v>0</v>
      </c>
      <c r="T27" s="321">
        <f t="shared" si="110"/>
        <v>0</v>
      </c>
      <c r="U27" s="321">
        <f t="shared" si="110"/>
        <v>0</v>
      </c>
      <c r="V27" s="321">
        <f t="shared" si="110"/>
        <v>0</v>
      </c>
      <c r="W27" s="321">
        <f t="shared" si="110"/>
        <v>0</v>
      </c>
      <c r="X27" s="321">
        <f t="shared" si="110"/>
        <v>0</v>
      </c>
      <c r="Y27" s="321">
        <f t="shared" si="110"/>
        <v>0</v>
      </c>
      <c r="Z27" s="321">
        <f t="shared" si="110"/>
        <v>0</v>
      </c>
      <c r="AA27" s="321">
        <f t="shared" si="110"/>
        <v>0</v>
      </c>
      <c r="AB27" s="321">
        <f t="shared" si="110"/>
        <v>0</v>
      </c>
      <c r="AC27" s="321">
        <f t="shared" si="110"/>
        <v>0</v>
      </c>
      <c r="AD27" s="321">
        <f t="shared" si="110"/>
        <v>0</v>
      </c>
      <c r="AE27" s="321">
        <f>AE436</f>
        <v>0</v>
      </c>
      <c r="AF27" s="321">
        <f>AF436</f>
        <v>0</v>
      </c>
      <c r="AG27" s="321">
        <f>AG436</f>
        <v>0</v>
      </c>
      <c r="AH27" s="321">
        <f t="shared" ref="AH27:AP27" si="111">AH436</f>
        <v>0</v>
      </c>
      <c r="AI27" s="321">
        <f t="shared" si="111"/>
        <v>0</v>
      </c>
      <c r="AJ27" s="321">
        <f t="shared" si="111"/>
        <v>0</v>
      </c>
      <c r="AK27" s="321">
        <f t="shared" si="111"/>
        <v>0</v>
      </c>
      <c r="AL27" s="321">
        <f t="shared" si="111"/>
        <v>0</v>
      </c>
      <c r="AM27" s="321">
        <f t="shared" si="111"/>
        <v>0</v>
      </c>
      <c r="AN27" s="321">
        <f t="shared" si="111"/>
        <v>0</v>
      </c>
      <c r="AO27" s="321">
        <f t="shared" si="111"/>
        <v>0</v>
      </c>
      <c r="AP27" s="321">
        <f t="shared" si="111"/>
        <v>0</v>
      </c>
      <c r="AQ27" s="301">
        <v>0</v>
      </c>
      <c r="AR27" s="321">
        <v>0</v>
      </c>
      <c r="AS27" s="308">
        <f t="shared" si="80"/>
        <v>0</v>
      </c>
      <c r="AT27" s="321">
        <v>0</v>
      </c>
      <c r="AU27" s="308">
        <f t="shared" si="81"/>
        <v>0</v>
      </c>
      <c r="AV27" s="321">
        <v>0</v>
      </c>
      <c r="AW27" s="308">
        <f t="shared" si="82"/>
        <v>0</v>
      </c>
      <c r="AX27" s="321">
        <v>0</v>
      </c>
      <c r="AY27" s="308">
        <f t="shared" si="83"/>
        <v>0</v>
      </c>
      <c r="AZ27" s="321">
        <v>0</v>
      </c>
      <c r="BA27" s="308">
        <f t="shared" si="84"/>
        <v>0</v>
      </c>
      <c r="BB27" s="321">
        <v>0</v>
      </c>
      <c r="BC27" s="308">
        <f t="shared" si="85"/>
        <v>0</v>
      </c>
      <c r="BD27" s="321">
        <v>0</v>
      </c>
      <c r="BE27" s="308">
        <f t="shared" si="86"/>
        <v>0</v>
      </c>
      <c r="BF27" s="321">
        <v>0</v>
      </c>
      <c r="BG27" s="308">
        <f t="shared" si="87"/>
        <v>0</v>
      </c>
      <c r="BH27" s="321">
        <v>0</v>
      </c>
      <c r="BI27" s="308">
        <f t="shared" si="88"/>
        <v>0</v>
      </c>
      <c r="BJ27" s="321">
        <v>0</v>
      </c>
      <c r="BK27" s="308">
        <f t="shared" si="89"/>
        <v>0</v>
      </c>
      <c r="BL27" s="321">
        <v>0</v>
      </c>
      <c r="BM27" s="308">
        <f t="shared" si="90"/>
        <v>0</v>
      </c>
      <c r="BN27" s="321">
        <v>0</v>
      </c>
      <c r="BO27" s="308">
        <f t="shared" si="91"/>
        <v>0</v>
      </c>
      <c r="BP27" s="321">
        <v>0</v>
      </c>
      <c r="BQ27" s="308">
        <f t="shared" si="92"/>
        <v>0</v>
      </c>
      <c r="BR27" s="321">
        <v>0</v>
      </c>
      <c r="BS27" s="308">
        <f t="shared" si="93"/>
        <v>0</v>
      </c>
      <c r="BT27" s="321">
        <v>0</v>
      </c>
      <c r="BU27" s="308">
        <f t="shared" si="94"/>
        <v>0</v>
      </c>
      <c r="BV27" s="321">
        <v>0</v>
      </c>
      <c r="BW27" s="308">
        <f t="shared" si="95"/>
        <v>0</v>
      </c>
      <c r="BX27" s="321">
        <v>0</v>
      </c>
      <c r="BY27" s="308">
        <f t="shared" si="96"/>
        <v>0</v>
      </c>
      <c r="BZ27" s="321">
        <v>0</v>
      </c>
      <c r="CA27" s="308">
        <f t="shared" si="97"/>
        <v>0</v>
      </c>
      <c r="CB27" s="321">
        <v>0</v>
      </c>
      <c r="CC27" s="308">
        <f t="shared" si="98"/>
        <v>0</v>
      </c>
      <c r="CD27" s="321">
        <v>0</v>
      </c>
      <c r="CE27" s="308">
        <f t="shared" si="99"/>
        <v>0</v>
      </c>
      <c r="CF27" s="321">
        <v>0</v>
      </c>
      <c r="CG27" s="308">
        <f t="shared" si="100"/>
        <v>0</v>
      </c>
      <c r="CH27" s="321">
        <v>0</v>
      </c>
      <c r="CI27" s="308">
        <f t="shared" si="24"/>
        <v>0</v>
      </c>
      <c r="CJ27" s="321">
        <v>0</v>
      </c>
      <c r="CK27" s="308">
        <f t="shared" ref="CK27:CK28" si="112">AH27-CJ27</f>
        <v>0</v>
      </c>
      <c r="CL27" s="321">
        <v>0</v>
      </c>
      <c r="CM27" s="308">
        <f t="shared" ref="CM27:CM28" si="113">AJ27-CL27</f>
        <v>0</v>
      </c>
      <c r="CN27" s="321">
        <v>0</v>
      </c>
      <c r="CO27" s="308">
        <f t="shared" si="27"/>
        <v>0</v>
      </c>
      <c r="CP27" s="321">
        <v>0</v>
      </c>
      <c r="CQ27" s="308">
        <f t="shared" ref="CQ27:CQ28" si="114">AN27-CP27</f>
        <v>0</v>
      </c>
      <c r="CR27" s="321">
        <v>0</v>
      </c>
      <c r="CS27" s="308">
        <f t="shared" ref="CS27:CS28" si="115">AP27-CR27</f>
        <v>0</v>
      </c>
      <c r="CT27" s="321">
        <v>0</v>
      </c>
      <c r="CU27" s="308">
        <f t="shared" ref="CU27:CU28" si="116">AR27-CT27</f>
        <v>0</v>
      </c>
      <c r="CV27" s="321">
        <v>0</v>
      </c>
      <c r="CW27" s="308">
        <f t="shared" si="31"/>
        <v>0</v>
      </c>
      <c r="CX27" s="321">
        <v>0</v>
      </c>
      <c r="CY27" s="308">
        <f t="shared" ref="CY27:CY28" si="117">AV27-CX27</f>
        <v>0</v>
      </c>
      <c r="CZ27" s="321">
        <v>0</v>
      </c>
      <c r="DA27" s="308">
        <f t="shared" ref="DA27:DA28" si="118">AX27-CZ27</f>
        <v>0</v>
      </c>
    </row>
    <row r="28" spans="1:105" ht="12" thickBot="1">
      <c r="A28" s="318" t="s">
        <v>423</v>
      </c>
      <c r="B28" s="311">
        <f t="shared" ref="B28:M28" si="119">B22+B17+B14+B11+B6+B3+B25</f>
        <v>19233282</v>
      </c>
      <c r="C28" s="311">
        <f t="shared" si="119"/>
        <v>215755059</v>
      </c>
      <c r="D28" s="311">
        <f t="shared" si="119"/>
        <v>618671889</v>
      </c>
      <c r="E28" s="311">
        <f t="shared" si="119"/>
        <v>527775069</v>
      </c>
      <c r="F28" s="311">
        <f t="shared" si="119"/>
        <v>131427352</v>
      </c>
      <c r="G28" s="311">
        <f t="shared" si="119"/>
        <v>135291787</v>
      </c>
      <c r="H28" s="311">
        <f t="shared" si="119"/>
        <v>85201935</v>
      </c>
      <c r="I28" s="311">
        <f t="shared" si="119"/>
        <v>128800020</v>
      </c>
      <c r="J28" s="311">
        <f t="shared" si="119"/>
        <v>150976112</v>
      </c>
      <c r="K28" s="311">
        <f t="shared" si="119"/>
        <v>284667030</v>
      </c>
      <c r="L28" s="311">
        <f t="shared" si="119"/>
        <v>287574491</v>
      </c>
      <c r="M28" s="311">
        <f t="shared" si="119"/>
        <v>178038588</v>
      </c>
      <c r="N28" s="311">
        <f>N22+N17+N14+N11+N6+N3+N25</f>
        <v>256398192</v>
      </c>
      <c r="O28" s="311">
        <f>O22+O17+O14+O11+O6+O3+O25</f>
        <v>184397469</v>
      </c>
      <c r="P28" s="311">
        <f>P22+P17+P14+P11+P6+P3+P25</f>
        <v>164671255</v>
      </c>
      <c r="Q28" s="312">
        <f>'[1]RVO Forecast'!P$25</f>
        <v>187865954</v>
      </c>
      <c r="R28" s="312">
        <f>'[1]RVO Forecast'!Q$25</f>
        <v>213000000</v>
      </c>
      <c r="S28" s="313">
        <f>'[1]RVO Forecast'!R$25</f>
        <v>234750000</v>
      </c>
      <c r="T28" s="313">
        <f>'[1]RVO Forecast'!S$25</f>
        <v>246750000</v>
      </c>
      <c r="U28" s="313">
        <f>'[1]RVO Forecast'!T$25</f>
        <v>260000000</v>
      </c>
      <c r="V28" s="313">
        <f>'[1]RVO Forecast'!U$25</f>
        <v>280000000</v>
      </c>
      <c r="W28" s="313">
        <f>'[1]RVO Forecast'!V$25</f>
        <v>300000000</v>
      </c>
      <c r="X28" s="313">
        <f>'[1]RVO Forecast'!W$25</f>
        <v>310000000</v>
      </c>
      <c r="Y28" s="313">
        <f>'[1]RVO Forecast'!X$25</f>
        <v>325000000</v>
      </c>
      <c r="Z28" s="313">
        <f>'[1]RVO Forecast'!Y$25</f>
        <v>340000000</v>
      </c>
      <c r="AA28" s="313">
        <f>'[1]RVO Forecast'!Z$25</f>
        <v>360500000</v>
      </c>
      <c r="AB28" s="313">
        <f>'[1]RVO Forecast'!AA$25</f>
        <v>380000000</v>
      </c>
      <c r="AC28" s="313">
        <f>'[1]RVO Forecast'!AB$25</f>
        <v>400000000</v>
      </c>
      <c r="AD28" s="313">
        <f>'[1]RVO Forecast'!AC$25</f>
        <v>425000000</v>
      </c>
      <c r="AE28" s="313">
        <f>'[1]RVO Forecast'!AD$25</f>
        <v>450000000</v>
      </c>
      <c r="AF28" s="313">
        <f>'[1]RVO Forecast'!AE$25</f>
        <v>475000000</v>
      </c>
      <c r="AG28" s="313">
        <f>'[1]RVO Forecast'!AF$25</f>
        <v>495000000</v>
      </c>
      <c r="AH28" s="313">
        <f>'[1]RVO Forecast'!AG$25</f>
        <v>525000000</v>
      </c>
      <c r="AI28" s="313">
        <f>'[1]RVO Forecast'!AH$25</f>
        <v>550000000</v>
      </c>
      <c r="AJ28" s="313">
        <f>'[1]RVO Forecast'!AI$25</f>
        <v>575000000</v>
      </c>
      <c r="AK28" s="313">
        <f>'[1]RVO Forecast'!AJ$25</f>
        <v>600000000</v>
      </c>
      <c r="AL28" s="313">
        <f>'[1]RVO Forecast'!AK$25</f>
        <v>650000000</v>
      </c>
      <c r="AM28" s="313">
        <f>'[1]RVO Forecast'!AL$25</f>
        <v>700000000</v>
      </c>
      <c r="AN28" s="313">
        <f>'[1]RVO Forecast'!AM$25</f>
        <v>800000000</v>
      </c>
      <c r="AO28" s="313">
        <f>'[1]RVO Forecast'!AN$25</f>
        <v>900000000</v>
      </c>
      <c r="AP28" s="313">
        <f>'[1]RVO Forecast'!AO$25</f>
        <v>1000000000</v>
      </c>
      <c r="AQ28" s="301">
        <v>0</v>
      </c>
      <c r="AR28" s="309">
        <f>312513481-1400000+35000000-1500000+30000000-4647361-44068840-1356056-22925-428134-51917-128760+1000000+40000-3200000-2200000+150000-450000+290000-650000-2000000+3500000-2700000-1500000-25000000+31000-13980000+9000000-5000000+2000000+1850000-40000000+4250000-3500000+30750000</f>
        <v>276590488</v>
      </c>
      <c r="AS28" s="308">
        <f t="shared" si="80"/>
        <v>10984003</v>
      </c>
      <c r="AT28" s="313">
        <f>329014457+380000-17000000-13450000-25000000-20000000+500000+3000000-30000000-8000000-7920000-2675000+700000+4000000-850000+650000+250000+740000+1250000-30000000-6000000-50000</f>
        <v>179539457</v>
      </c>
      <c r="AU28" s="308">
        <f t="shared" si="81"/>
        <v>-1500869</v>
      </c>
      <c r="AV28" s="313">
        <f>322795000-120000000+9659373+18500000+6000000+7500000+450000-10000000+11500000+500000+13500000-10000000-10000000-1178526+883337+5000000-30000000-10250000+3500000+650000+7500000-800000-2500000+5000000-750000-4350000-1039500+13000000-2500000+4000000+23000000</f>
        <v>249569684</v>
      </c>
      <c r="AW28" s="308">
        <f t="shared" si="82"/>
        <v>6828508</v>
      </c>
      <c r="AX28" s="313">
        <v>228206223</v>
      </c>
      <c r="AY28" s="308">
        <f t="shared" si="83"/>
        <v>-43808754</v>
      </c>
      <c r="AZ28" s="313">
        <v>159125983</v>
      </c>
      <c r="BA28" s="308">
        <f t="shared" si="84"/>
        <v>5545272</v>
      </c>
      <c r="BB28" s="313">
        <f>169865954+20000000-2000000</f>
        <v>187865954</v>
      </c>
      <c r="BC28" s="308">
        <f t="shared" si="85"/>
        <v>0</v>
      </c>
      <c r="BD28" s="313">
        <f>193500000+19500000</f>
        <v>213000000</v>
      </c>
      <c r="BE28" s="308">
        <f t="shared" si="86"/>
        <v>0</v>
      </c>
      <c r="BF28" s="313">
        <f>317000000-7000000+3000000-34500000-10000000-10750000-8000000-15000000</f>
        <v>234750000</v>
      </c>
      <c r="BG28" s="308">
        <f t="shared" si="87"/>
        <v>0</v>
      </c>
      <c r="BH28" s="313">
        <f>321000000-1250000-30000000-21000000+23000000-45000000</f>
        <v>246750000</v>
      </c>
      <c r="BI28" s="308">
        <f t="shared" si="88"/>
        <v>0</v>
      </c>
      <c r="BJ28" s="313">
        <v>260000000</v>
      </c>
      <c r="BK28" s="308">
        <f t="shared" si="89"/>
        <v>0</v>
      </c>
      <c r="BL28" s="313">
        <v>280000000</v>
      </c>
      <c r="BM28" s="308">
        <f t="shared" si="90"/>
        <v>0</v>
      </c>
      <c r="BN28" s="313">
        <v>300000000</v>
      </c>
      <c r="BO28" s="308">
        <f t="shared" si="91"/>
        <v>0</v>
      </c>
      <c r="BP28" s="313">
        <v>310000000</v>
      </c>
      <c r="BQ28" s="308">
        <f t="shared" si="92"/>
        <v>0</v>
      </c>
      <c r="BR28" s="313">
        <v>325000000</v>
      </c>
      <c r="BS28" s="308">
        <f t="shared" si="93"/>
        <v>0</v>
      </c>
      <c r="BT28" s="313">
        <v>340000000</v>
      </c>
      <c r="BU28" s="308">
        <f t="shared" si="94"/>
        <v>0</v>
      </c>
      <c r="BV28" s="313">
        <v>360500000</v>
      </c>
      <c r="BW28" s="308">
        <f t="shared" si="95"/>
        <v>0</v>
      </c>
      <c r="BX28" s="313">
        <v>380000000</v>
      </c>
      <c r="BY28" s="308">
        <f t="shared" si="96"/>
        <v>0</v>
      </c>
      <c r="BZ28" s="313">
        <v>400000000</v>
      </c>
      <c r="CA28" s="308">
        <f t="shared" si="97"/>
        <v>0</v>
      </c>
      <c r="CB28" s="313">
        <v>425000000</v>
      </c>
      <c r="CC28" s="308">
        <f t="shared" si="98"/>
        <v>0</v>
      </c>
      <c r="CD28" s="313">
        <v>450000000</v>
      </c>
      <c r="CE28" s="308">
        <f t="shared" si="99"/>
        <v>0</v>
      </c>
      <c r="CF28" s="313">
        <v>475000000</v>
      </c>
      <c r="CG28" s="308">
        <f t="shared" si="100"/>
        <v>0</v>
      </c>
      <c r="CH28" s="313">
        <v>495000000</v>
      </c>
      <c r="CI28" s="308">
        <f t="shared" si="24"/>
        <v>0</v>
      </c>
      <c r="CJ28" s="313">
        <v>525000000</v>
      </c>
      <c r="CK28" s="308">
        <f t="shared" si="112"/>
        <v>0</v>
      </c>
      <c r="CL28" s="313">
        <v>550000000</v>
      </c>
      <c r="CM28" s="308">
        <f t="shared" si="113"/>
        <v>25000000</v>
      </c>
      <c r="CN28" s="313">
        <v>575000000</v>
      </c>
      <c r="CO28" s="308">
        <f t="shared" si="27"/>
        <v>125000000</v>
      </c>
      <c r="CP28" s="313">
        <v>600000000</v>
      </c>
      <c r="CQ28" s="308">
        <f t="shared" si="114"/>
        <v>200000000</v>
      </c>
      <c r="CR28" s="313">
        <v>650000000</v>
      </c>
      <c r="CS28" s="308">
        <f t="shared" si="115"/>
        <v>350000000</v>
      </c>
      <c r="CT28" s="313">
        <v>700000000</v>
      </c>
      <c r="CU28" s="308">
        <f t="shared" si="116"/>
        <v>-423409512</v>
      </c>
      <c r="CV28" s="313">
        <v>800000000</v>
      </c>
      <c r="CW28" s="308">
        <f t="shared" si="31"/>
        <v>-801500869</v>
      </c>
      <c r="CX28" s="313">
        <v>900000000</v>
      </c>
      <c r="CY28" s="308">
        <f t="shared" si="117"/>
        <v>-650430316</v>
      </c>
      <c r="CZ28" s="313">
        <v>1000000000</v>
      </c>
      <c r="DA28" s="308">
        <f t="shared" si="118"/>
        <v>-771793777</v>
      </c>
    </row>
    <row r="29" spans="1:105" ht="12" thickBot="1">
      <c r="A29" s="318"/>
      <c r="B29" s="322"/>
      <c r="C29" s="322"/>
      <c r="D29" s="322"/>
      <c r="E29" s="322"/>
      <c r="F29" s="322"/>
      <c r="G29" s="303"/>
      <c r="H29" s="303"/>
      <c r="I29" s="303"/>
      <c r="J29" s="303"/>
      <c r="K29" s="303"/>
      <c r="L29" s="303"/>
      <c r="M29" s="303"/>
      <c r="N29" s="303"/>
      <c r="O29" s="303"/>
      <c r="P29" s="303"/>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BH29" s="308">
        <f>T22</f>
        <v>-2556203.5941714644</v>
      </c>
      <c r="BS29" s="308"/>
      <c r="BU29" s="308"/>
      <c r="BW29" s="308"/>
      <c r="BY29" s="308"/>
      <c r="CA29" s="308"/>
      <c r="CC29" s="308"/>
      <c r="CE29" s="308"/>
      <c r="CG29" s="308"/>
      <c r="CI29" s="308"/>
      <c r="CK29" s="308"/>
      <c r="CM29" s="308"/>
      <c r="CO29" s="308"/>
      <c r="CQ29" s="308"/>
      <c r="CS29" s="308"/>
      <c r="CU29" s="308"/>
      <c r="CW29" s="308"/>
      <c r="CY29" s="308"/>
      <c r="DA29" s="308"/>
    </row>
    <row r="30" spans="1:105" ht="12" thickBot="1">
      <c r="A30" s="304" t="s">
        <v>230</v>
      </c>
      <c r="B30" s="304">
        <v>2010</v>
      </c>
      <c r="C30" s="304">
        <v>2011</v>
      </c>
      <c r="D30" s="304">
        <v>2012</v>
      </c>
      <c r="E30" s="304">
        <v>2013</v>
      </c>
      <c r="F30" s="304">
        <v>2014</v>
      </c>
      <c r="G30" s="304">
        <v>2015</v>
      </c>
      <c r="H30" s="304">
        <v>2016</v>
      </c>
      <c r="I30" s="304">
        <v>2017</v>
      </c>
      <c r="J30" s="304">
        <v>2018</v>
      </c>
      <c r="K30" s="304">
        <v>2019</v>
      </c>
      <c r="L30" s="304">
        <v>2020</v>
      </c>
      <c r="M30" s="304">
        <v>2021</v>
      </c>
      <c r="N30" s="304">
        <v>2022</v>
      </c>
      <c r="O30" s="304">
        <v>2023</v>
      </c>
      <c r="P30" s="304">
        <v>2024</v>
      </c>
      <c r="Q30" s="304">
        <v>2025</v>
      </c>
      <c r="R30" s="304">
        <v>2026</v>
      </c>
      <c r="S30" s="304">
        <v>2027</v>
      </c>
      <c r="T30" s="304">
        <v>2028</v>
      </c>
      <c r="U30" s="304">
        <v>2029</v>
      </c>
      <c r="V30" s="304">
        <v>2030</v>
      </c>
      <c r="W30" s="304">
        <v>2031</v>
      </c>
      <c r="X30" s="304">
        <v>2032</v>
      </c>
      <c r="Y30" s="304">
        <v>2033</v>
      </c>
      <c r="Z30" s="304">
        <v>2034</v>
      </c>
      <c r="AA30" s="304">
        <v>2035</v>
      </c>
      <c r="AB30" s="304">
        <v>2036</v>
      </c>
      <c r="AC30" s="304">
        <v>2037</v>
      </c>
      <c r="AD30" s="304">
        <v>2038</v>
      </c>
      <c r="AE30" s="304">
        <v>2039</v>
      </c>
      <c r="AF30" s="304">
        <v>2040</v>
      </c>
      <c r="AG30" s="304">
        <v>2041</v>
      </c>
      <c r="AH30" s="304">
        <v>2042</v>
      </c>
      <c r="AI30" s="304">
        <v>2043</v>
      </c>
      <c r="AJ30" s="304">
        <v>2044</v>
      </c>
      <c r="AK30" s="304">
        <v>2045</v>
      </c>
      <c r="AL30" s="304">
        <v>2046</v>
      </c>
      <c r="AM30" s="304">
        <v>2047</v>
      </c>
      <c r="AN30" s="304">
        <v>2048</v>
      </c>
      <c r="AO30" s="304">
        <v>2049</v>
      </c>
      <c r="AP30" s="304">
        <v>2050</v>
      </c>
      <c r="AZ30" s="323" t="s">
        <v>295</v>
      </c>
      <c r="BS30" s="308"/>
      <c r="BU30" s="308"/>
      <c r="BW30" s="308"/>
      <c r="BY30" s="308"/>
      <c r="CA30" s="308"/>
      <c r="CC30" s="308"/>
      <c r="CE30" s="308"/>
      <c r="CG30" s="308"/>
      <c r="CI30" s="308"/>
      <c r="CK30" s="308"/>
      <c r="CM30" s="308"/>
      <c r="CO30" s="308"/>
      <c r="CQ30" s="308"/>
      <c r="CS30" s="308"/>
      <c r="CU30" s="308"/>
      <c r="CW30" s="308"/>
      <c r="CY30" s="308"/>
      <c r="DA30" s="308"/>
    </row>
    <row r="31" spans="1:105">
      <c r="A31" s="324" t="s">
        <v>424</v>
      </c>
      <c r="B31" s="308"/>
      <c r="C31" s="308">
        <f>'[1]RVO Forecast'!B$22</f>
        <v>141319794.63514447</v>
      </c>
      <c r="D31" s="308">
        <f>'[1]RVO Forecast'!C$22</f>
        <v>482295299.88733315</v>
      </c>
      <c r="E31" s="308">
        <f>'[1]RVO Forecast'!D$22</f>
        <v>695538711.63942766</v>
      </c>
      <c r="F31" s="308">
        <f>'[1]RVO Forecast'!E$22</f>
        <v>111532662.17336226</v>
      </c>
      <c r="G31" s="308">
        <f>'[1]RVO Forecast'!F$22</f>
        <v>77577229.226966381</v>
      </c>
      <c r="H31" s="308">
        <f>'[1]RVO Forecast'!G$22</f>
        <v>452494435.43408489</v>
      </c>
      <c r="I31" s="308">
        <f>'[1]RVO Forecast'!H$22</f>
        <v>878121866.63709116</v>
      </c>
      <c r="J31" s="308">
        <f>'[1]RVO Forecast'!I$22</f>
        <v>754325636.53902721</v>
      </c>
      <c r="K31" s="308">
        <f>'[1]RVO Forecast'!J$22</f>
        <v>1215660314.8663955</v>
      </c>
      <c r="L31" s="308">
        <f>'[1]RVO Forecast'!K$22</f>
        <v>1690000000</v>
      </c>
      <c r="M31" s="308">
        <f>'[1]RVO Forecast'!L$22</f>
        <v>2060000000</v>
      </c>
      <c r="N31" s="308">
        <f>'[1]RVO Forecast'!M$22</f>
        <v>2240000000</v>
      </c>
      <c r="O31" s="308">
        <f>'[1]RVO Forecast'!N$22</f>
        <v>2280000000.0000005</v>
      </c>
      <c r="P31" s="308">
        <f>'[1]RVO Forecast'!O$22</f>
        <v>2410000000</v>
      </c>
      <c r="Q31" s="308">
        <f>'[1]RVO Forecast'!P$22</f>
        <v>2450000000</v>
      </c>
      <c r="R31" s="308">
        <f>'[1]RVO Forecast'!Q$22</f>
        <v>2750000000</v>
      </c>
      <c r="S31" s="308">
        <f>'[1]RVO Forecast'!R$22</f>
        <v>3000000000</v>
      </c>
      <c r="T31" s="308">
        <f>'[1]RVO Forecast'!S$22</f>
        <v>2950000000</v>
      </c>
      <c r="U31" s="308">
        <f>'[1]RVO Forecast'!T$22</f>
        <v>3650000000.0000005</v>
      </c>
      <c r="V31" s="308">
        <f>'[1]RVO Forecast'!U$22</f>
        <v>4199999999.9999995</v>
      </c>
      <c r="W31" s="308">
        <f>'[1]RVO Forecast'!V$22</f>
        <v>4749999999.999999</v>
      </c>
      <c r="X31" s="308">
        <f>'[1]RVO Forecast'!W$22</f>
        <v>5300000000.000001</v>
      </c>
      <c r="Y31" s="308">
        <f>'[1]RVO Forecast'!X$22</f>
        <v>5850000000.000001</v>
      </c>
      <c r="Z31" s="308">
        <f>'[1]RVO Forecast'!Y$22</f>
        <v>6400000000</v>
      </c>
      <c r="AA31" s="308">
        <f>'[1]RVO Forecast'!Z$22</f>
        <v>6950000000.000001</v>
      </c>
      <c r="AB31" s="308">
        <f>'[1]RVO Forecast'!AA$22</f>
        <v>7449999999.999999</v>
      </c>
      <c r="AC31" s="308">
        <f>'[1]RVO Forecast'!AB$22</f>
        <v>7950000000.000001</v>
      </c>
      <c r="AD31" s="308">
        <f>'[1]RVO Forecast'!AC$22</f>
        <v>8449999999.999999</v>
      </c>
      <c r="AE31" s="308">
        <f>'[1]RVO Forecast'!AD$22</f>
        <v>8950000000</v>
      </c>
      <c r="AF31" s="308">
        <f>'[1]RVO Forecast'!AE$22</f>
        <v>9450000000.0000019</v>
      </c>
      <c r="AG31" s="308">
        <f>'[1]RVO Forecast'!AF$22</f>
        <v>9950000000</v>
      </c>
      <c r="AH31" s="308">
        <f>'[1]RVO Forecast'!AG$22</f>
        <v>9549999999.9999981</v>
      </c>
      <c r="AI31" s="308">
        <f>'[1]RVO Forecast'!AH$22</f>
        <v>9149999999.9999981</v>
      </c>
      <c r="AJ31" s="308">
        <f>'[1]RVO Forecast'!AI$22</f>
        <v>8750000000</v>
      </c>
      <c r="AK31" s="308">
        <f>'[1]RVO Forecast'!AJ$22</f>
        <v>8350000000</v>
      </c>
      <c r="AL31" s="308">
        <f>'[1]RVO Forecast'!AK$22</f>
        <v>7949999999.999999</v>
      </c>
      <c r="AM31" s="308">
        <f>'[1]RVO Forecast'!AL$22</f>
        <v>7549999999.999999</v>
      </c>
      <c r="AN31" s="308">
        <f>'[1]RVO Forecast'!AM$22</f>
        <v>7049999999.999999</v>
      </c>
      <c r="AO31" s="308">
        <f>'[1]RVO Forecast'!AN$22</f>
        <v>6550000000.0000029</v>
      </c>
      <c r="AP31" s="308">
        <f>'[1]RVO Forecast'!AO$22</f>
        <v>6050000000.0000029</v>
      </c>
      <c r="AR31" s="308">
        <f>M22-AVERAGE(K22:L22)</f>
        <v>1575219</v>
      </c>
      <c r="BS31" s="308"/>
      <c r="BU31" s="308"/>
      <c r="BW31" s="308"/>
      <c r="BY31" s="308"/>
      <c r="CA31" s="308"/>
      <c r="CC31" s="308"/>
      <c r="CE31" s="308"/>
      <c r="CG31" s="308"/>
      <c r="CI31" s="308"/>
      <c r="CK31" s="308"/>
      <c r="CM31" s="308"/>
      <c r="CO31" s="308"/>
      <c r="CQ31" s="308"/>
      <c r="CS31" s="308"/>
      <c r="CU31" s="308"/>
      <c r="CW31" s="308"/>
      <c r="CY31" s="308"/>
      <c r="DA31" s="308"/>
    </row>
    <row r="32" spans="1:105" ht="11.25" customHeight="1">
      <c r="A32" s="300" t="s">
        <v>233</v>
      </c>
      <c r="C32" s="308" t="e">
        <f>'[1]RVO Forecast'!A$22-'[1]RVO Forecast'!A$23</f>
        <v>#VALUE!</v>
      </c>
      <c r="D32" s="308">
        <f>'[1]RVO Forecast'!B$22-'[1]RVO Forecast'!B$23</f>
        <v>0</v>
      </c>
      <c r="E32" s="308">
        <f>'[1]RVO Forecast'!C$22-'[1]RVO Forecast'!C$23</f>
        <v>0</v>
      </c>
      <c r="F32" s="308">
        <f>'[1]RVO Forecast'!D$22-'[1]RVO Forecast'!D$23</f>
        <v>0</v>
      </c>
      <c r="G32" s="308">
        <f>'[1]RVO Forecast'!E$22-'[1]RVO Forecast'!E$23</f>
        <v>67789577.759422094</v>
      </c>
      <c r="H32" s="308">
        <f>'[1]RVO Forecast'!F$22-'[1]RVO Forecast'!F$23</f>
        <v>87047599.04147923</v>
      </c>
      <c r="I32" s="308">
        <f>'[1]RVO Forecast'!G$22-'[1]RVO Forecast'!G$23</f>
        <v>124625697.99914181</v>
      </c>
      <c r="J32" s="308">
        <f>'[1]RVO Forecast'!H$22-'[1]RVO Forecast'!H$23</f>
        <v>324946475.4605273</v>
      </c>
      <c r="K32" s="308">
        <f>'[1]RVO Forecast'!I$22-'[1]RVO Forecast'!I$23</f>
        <v>836832648.65274501</v>
      </c>
      <c r="L32" s="308">
        <f>'[1]RVO Forecast'!J$22-'[1]RVO Forecast'!J$23</f>
        <v>224601764.9010551</v>
      </c>
      <c r="M32" s="308">
        <f>'[1]RVO Forecast'!K$22-'[1]RVO Forecast'!K$23</f>
        <v>0</v>
      </c>
      <c r="N32" s="308">
        <f>'[1]RVO Forecast'!L$22-'[1]RVO Forecast'!L$23</f>
        <v>0</v>
      </c>
      <c r="O32" s="308">
        <f>'[1]RVO Forecast'!M$22-'[1]RVO Forecast'!M$23</f>
        <v>0</v>
      </c>
      <c r="P32" s="308">
        <f>'[1]RVO Forecast'!O$23-'[1]RVO Forecast'!O$22</f>
        <v>0</v>
      </c>
      <c r="Q32" s="308">
        <f>'[1]RVO Forecast'!P$23-'[1]RVO Forecast'!P$22</f>
        <v>-372066195.42073631</v>
      </c>
      <c r="R32" s="308">
        <f>'[1]RVO Forecast'!Q$23-'[1]RVO Forecast'!Q$22</f>
        <v>-731013255.8438096</v>
      </c>
      <c r="S32" s="308">
        <f>'[1]RVO Forecast'!R$23-'[1]RVO Forecast'!R$22</f>
        <v>-755899412.5174799</v>
      </c>
      <c r="T32" s="308">
        <f>'[1]RVO Forecast'!S$23-'[1]RVO Forecast'!S$22</f>
        <v>-700139838.63772106</v>
      </c>
      <c r="U32" s="308">
        <f>'[1]RVO Forecast'!T$23-'[1]RVO Forecast'!T$22</f>
        <v>-759786681.25173283</v>
      </c>
      <c r="V32" s="308">
        <f>'[1]RVO Forecast'!U$23-'[1]RVO Forecast'!U$22</f>
        <v>-841534250.41220045</v>
      </c>
      <c r="W32" s="308">
        <f>'[1]RVO Forecast'!V$23-'[1]RVO Forecast'!V$22</f>
        <v>-908368369.18041801</v>
      </c>
      <c r="X32" s="308">
        <f>'[1]RVO Forecast'!W$23-'[1]RVO Forecast'!W$22</f>
        <v>-979226127.97220802</v>
      </c>
      <c r="Y32" s="308">
        <f>'[1]RVO Forecast'!X$23-'[1]RVO Forecast'!X$22</f>
        <v>-1434564481.1008959</v>
      </c>
      <c r="Z32" s="308">
        <f>'[1]RVO Forecast'!Y$23-'[1]RVO Forecast'!Y$22</f>
        <v>-1743094557.7884493</v>
      </c>
      <c r="AA32" s="308">
        <f>'[1]RVO Forecast'!Z$23-'[1]RVO Forecast'!Z$22</f>
        <v>-1688489528.9217939</v>
      </c>
      <c r="AB32" s="308">
        <f>'[1]RVO Forecast'!AA$23-'[1]RVO Forecast'!AA$22</f>
        <v>-1481735880.1776915</v>
      </c>
      <c r="AC32" s="308">
        <f>'[1]RVO Forecast'!AB$23-'[1]RVO Forecast'!AB$22</f>
        <v>-1185456584.5735397</v>
      </c>
      <c r="AD32" s="308">
        <f>'[1]RVO Forecast'!AC$23-'[1]RVO Forecast'!AC$22</f>
        <v>-485544987.24421597</v>
      </c>
      <c r="AE32" s="308">
        <f>'[1]RVO Forecast'!AD$23-'[1]RVO Forecast'!AD$22</f>
        <v>-1535266857.970068</v>
      </c>
      <c r="AF32" s="308">
        <f>'[1]RVO Forecast'!AE$23-'[1]RVO Forecast'!AE$22</f>
        <v>-3257000589.4044123</v>
      </c>
      <c r="AG32" s="308">
        <f>'[1]RVO Forecast'!AF$23-'[1]RVO Forecast'!AF$22</f>
        <v>-3419592516.6117535</v>
      </c>
      <c r="AH32" s="308">
        <f>'[1]RVO Forecast'!AG$23-'[1]RVO Forecast'!AG$22</f>
        <v>-3168771006.4401493</v>
      </c>
      <c r="AI32" s="308">
        <f>'[1]RVO Forecast'!AH$23-'[1]RVO Forecast'!AH$22</f>
        <v>-3289283780.6220331</v>
      </c>
      <c r="AJ32" s="308">
        <f>'[1]RVO Forecast'!AI$23-'[1]RVO Forecast'!AI$22</f>
        <v>-3500161473.0620918</v>
      </c>
      <c r="AK32" s="308">
        <f>'[1]RVO Forecast'!AJ$23-'[1]RVO Forecast'!AJ$22</f>
        <v>-3757522384.5059242</v>
      </c>
      <c r="AL32" s="308">
        <f>'[1]RVO Forecast'!AK$23-'[1]RVO Forecast'!AK$22</f>
        <v>-4054287287.3762197</v>
      </c>
      <c r="AM32" s="308">
        <f>'[1]RVO Forecast'!AL$23-'[1]RVO Forecast'!AL$22</f>
        <v>-4284589664.2812352</v>
      </c>
      <c r="AN32" s="308">
        <f>'[1]RVO Forecast'!AM$23-'[1]RVO Forecast'!AM$22</f>
        <v>-4441632730.4912882</v>
      </c>
      <c r="AO32" s="308">
        <f>'[1]RVO Forecast'!AN$23-'[1]RVO Forecast'!AN$22</f>
        <v>-4647909097.9763165</v>
      </c>
      <c r="AP32" s="308">
        <f>'[1]RVO Forecast'!AO$23-'[1]RVO Forecast'!AO$22</f>
        <v>-4920021069.1661758</v>
      </c>
      <c r="AQ32" s="308">
        <f>AX52-O28</f>
        <v>43808754</v>
      </c>
      <c r="AZ32" s="527" t="s">
        <v>425</v>
      </c>
      <c r="BS32" s="308"/>
      <c r="BU32" s="308"/>
      <c r="BW32" s="308"/>
      <c r="BY32" s="308"/>
      <c r="CA32" s="308"/>
      <c r="CC32" s="308"/>
      <c r="CE32" s="308"/>
      <c r="CG32" s="308"/>
      <c r="CI32" s="308"/>
      <c r="CK32" s="308"/>
      <c r="CM32" s="308"/>
      <c r="CO32" s="308"/>
      <c r="CQ32" s="308"/>
      <c r="CS32" s="308"/>
      <c r="CU32" s="308"/>
      <c r="CW32" s="308"/>
      <c r="CY32" s="308"/>
      <c r="DA32" s="308"/>
    </row>
    <row r="33" spans="1:105">
      <c r="A33" s="300" t="s">
        <v>426</v>
      </c>
      <c r="K33" s="308"/>
      <c r="L33" s="308"/>
      <c r="M33" s="308"/>
      <c r="N33" s="308"/>
      <c r="O33" s="308"/>
      <c r="P33" s="308">
        <f>P31+P32</f>
        <v>2410000000</v>
      </c>
      <c r="Q33" s="308">
        <f t="shared" ref="Q33:W33" si="120">Q31+Q32</f>
        <v>2077933804.5792637</v>
      </c>
      <c r="R33" s="308">
        <f t="shared" si="120"/>
        <v>2018986744.1561904</v>
      </c>
      <c r="S33" s="308">
        <f t="shared" si="120"/>
        <v>2244100587.4825201</v>
      </c>
      <c r="T33" s="308">
        <f t="shared" si="120"/>
        <v>2249860161.3622789</v>
      </c>
      <c r="U33" s="308">
        <f t="shared" si="120"/>
        <v>2890213318.7482677</v>
      </c>
      <c r="V33" s="308">
        <f t="shared" si="120"/>
        <v>3358465749.5877991</v>
      </c>
      <c r="W33" s="308">
        <f t="shared" si="120"/>
        <v>3841631630.819581</v>
      </c>
      <c r="X33" s="308">
        <f>X31+X32</f>
        <v>4320773872.0277929</v>
      </c>
      <c r="Y33" s="308">
        <f t="shared" ref="Y33:Z33" si="121">Y31+Y32</f>
        <v>4415435518.8991051</v>
      </c>
      <c r="Z33" s="308">
        <f t="shared" si="121"/>
        <v>4656905442.2115507</v>
      </c>
      <c r="AA33" s="308"/>
      <c r="AB33" s="308"/>
      <c r="AC33" s="308"/>
      <c r="AD33" s="308"/>
      <c r="AE33" s="308"/>
      <c r="AF33" s="308"/>
      <c r="AG33" s="308"/>
      <c r="AH33" s="308"/>
      <c r="AI33" s="308"/>
      <c r="AJ33" s="308"/>
      <c r="AK33" s="308"/>
      <c r="AL33" s="308"/>
      <c r="AM33" s="308"/>
      <c r="AN33" s="308"/>
      <c r="AO33" s="308"/>
      <c r="AP33" s="308"/>
      <c r="AZ33" s="527"/>
      <c r="BA33" s="301" t="s">
        <v>427</v>
      </c>
      <c r="BS33" s="308"/>
      <c r="BU33" s="308"/>
      <c r="BW33" s="308"/>
      <c r="BY33" s="308"/>
      <c r="CA33" s="308"/>
      <c r="CC33" s="308"/>
      <c r="CE33" s="308"/>
      <c r="CG33" s="308"/>
      <c r="CI33" s="308"/>
      <c r="CK33" s="308"/>
      <c r="CM33" s="308"/>
      <c r="CO33" s="308"/>
      <c r="CQ33" s="308"/>
      <c r="CS33" s="308"/>
      <c r="CU33" s="308"/>
      <c r="CW33" s="308"/>
      <c r="CY33" s="308"/>
      <c r="DA33" s="308"/>
    </row>
    <row r="34" spans="1:105">
      <c r="A34" s="300" t="s">
        <v>428</v>
      </c>
      <c r="K34" s="308"/>
      <c r="L34" s="308"/>
      <c r="M34" s="308"/>
      <c r="N34" s="308"/>
      <c r="O34" s="308"/>
      <c r="P34" s="308">
        <f>P28+'D3 Gallon Forecast'!P15</f>
        <v>1085834345</v>
      </c>
      <c r="Q34" s="308">
        <f>Q28+'D3 Gallon Forecast'!Q15</f>
        <v>830759030.81687927</v>
      </c>
      <c r="R34" s="308">
        <f>R28+'D3 Gallon Forecast'!R15</f>
        <v>985558826.29679656</v>
      </c>
      <c r="S34" s="308">
        <f>S28+'D3 Gallon Forecast'!S15</f>
        <v>1010134939.2720892</v>
      </c>
      <c r="T34" s="308">
        <f>T28+'D3 Gallon Forecast'!T15</f>
        <v>1069623120.5958567</v>
      </c>
      <c r="U34" s="308">
        <f>U28+'D3 Gallon Forecast'!U15</f>
        <v>1149247611.7062454</v>
      </c>
      <c r="V34" s="308">
        <f>V28+'D3 Gallon Forecast'!V15</f>
        <v>1282672360.7283525</v>
      </c>
      <c r="W34" s="308">
        <f>W28+'D3 Gallon Forecast'!W15</f>
        <v>1366474459.0683436</v>
      </c>
      <c r="X34" s="308">
        <f>X28+'D3 Gallon Forecast'!X15</f>
        <v>1487139741.306216</v>
      </c>
      <c r="Y34" s="308">
        <f>Y28+'D3 Gallon Forecast'!Y15</f>
        <v>1682409485.3158479</v>
      </c>
      <c r="Z34" s="308">
        <f>Z28+'D3 Gallon Forecast'!Z15</f>
        <v>1871826069.9641216</v>
      </c>
      <c r="AA34" s="308"/>
      <c r="AB34" s="308"/>
      <c r="AC34" s="308"/>
      <c r="AD34" s="308"/>
      <c r="AE34" s="308"/>
      <c r="AF34" s="308"/>
      <c r="AG34" s="308"/>
      <c r="AH34" s="308"/>
      <c r="AI34" s="308"/>
      <c r="AJ34" s="308"/>
      <c r="AK34" s="308"/>
      <c r="AL34" s="308"/>
      <c r="AM34" s="308"/>
      <c r="AN34" s="308"/>
      <c r="AO34" s="308"/>
      <c r="AP34" s="308"/>
      <c r="AZ34" s="527"/>
      <c r="BA34" s="325">
        <f t="shared" ref="BA34:BV34" si="122">E2</f>
        <v>2013</v>
      </c>
      <c r="BB34" s="325">
        <f t="shared" si="122"/>
        <v>2014</v>
      </c>
      <c r="BC34" s="325">
        <f t="shared" si="122"/>
        <v>2015</v>
      </c>
      <c r="BD34" s="325">
        <f t="shared" si="122"/>
        <v>2016</v>
      </c>
      <c r="BE34" s="325">
        <f t="shared" si="122"/>
        <v>2017</v>
      </c>
      <c r="BF34" s="325">
        <f t="shared" si="122"/>
        <v>2018</v>
      </c>
      <c r="BG34" s="325">
        <f t="shared" si="122"/>
        <v>2019</v>
      </c>
      <c r="BH34" s="325">
        <f t="shared" si="122"/>
        <v>2020</v>
      </c>
      <c r="BI34" s="325">
        <f t="shared" si="122"/>
        <v>2021</v>
      </c>
      <c r="BJ34" s="325">
        <f t="shared" si="122"/>
        <v>2022</v>
      </c>
      <c r="BK34" s="325">
        <f t="shared" si="122"/>
        <v>2023</v>
      </c>
      <c r="BL34" s="325">
        <f t="shared" si="122"/>
        <v>2024</v>
      </c>
      <c r="BM34" s="325">
        <f t="shared" si="122"/>
        <v>2025</v>
      </c>
      <c r="BN34" s="325">
        <f t="shared" si="122"/>
        <v>2026</v>
      </c>
      <c r="BO34" s="325">
        <f t="shared" si="122"/>
        <v>2027</v>
      </c>
      <c r="BP34" s="325">
        <f t="shared" si="122"/>
        <v>2028</v>
      </c>
      <c r="BQ34" s="325">
        <f t="shared" si="122"/>
        <v>2029</v>
      </c>
      <c r="BR34" s="325">
        <f t="shared" si="122"/>
        <v>2030</v>
      </c>
      <c r="BS34" s="325">
        <f t="shared" si="122"/>
        <v>2031</v>
      </c>
      <c r="BT34" s="325">
        <f t="shared" si="122"/>
        <v>2032</v>
      </c>
      <c r="BU34" s="325">
        <f t="shared" si="122"/>
        <v>2033</v>
      </c>
      <c r="BV34" s="325">
        <f t="shared" si="122"/>
        <v>2034</v>
      </c>
      <c r="BW34" s="308"/>
      <c r="BY34" s="308"/>
      <c r="CA34" s="308"/>
      <c r="CC34" s="308"/>
      <c r="CE34" s="308"/>
      <c r="CG34" s="308"/>
      <c r="CI34" s="308"/>
      <c r="CK34" s="308"/>
      <c r="CM34" s="308"/>
      <c r="CO34" s="308"/>
      <c r="CQ34" s="308"/>
      <c r="CS34" s="308"/>
      <c r="CU34" s="308"/>
      <c r="CW34" s="308"/>
      <c r="CY34" s="308"/>
      <c r="DA34" s="308"/>
    </row>
    <row r="35" spans="1:105" ht="12" thickBot="1">
      <c r="A35" s="300" t="s">
        <v>429</v>
      </c>
      <c r="K35" s="308"/>
      <c r="P35" s="308">
        <f>P33-P34</f>
        <v>1324165655</v>
      </c>
      <c r="Q35" s="308">
        <f t="shared" ref="Q35:W35" si="123">Q33-Q34</f>
        <v>1247174773.7623844</v>
      </c>
      <c r="R35" s="308">
        <f t="shared" si="123"/>
        <v>1033427917.8593938</v>
      </c>
      <c r="S35" s="308">
        <f t="shared" si="123"/>
        <v>1233965648.2104309</v>
      </c>
      <c r="T35" s="308">
        <f t="shared" si="123"/>
        <v>1180237040.7664223</v>
      </c>
      <c r="U35" s="308">
        <f t="shared" si="123"/>
        <v>1740965707.0420222</v>
      </c>
      <c r="V35" s="308">
        <f t="shared" si="123"/>
        <v>2075793388.8594465</v>
      </c>
      <c r="W35" s="308">
        <f t="shared" si="123"/>
        <v>2475157171.7512374</v>
      </c>
      <c r="X35" s="308">
        <f>X33-X34</f>
        <v>2833634130.7215767</v>
      </c>
      <c r="Y35" s="308">
        <f t="shared" ref="Y35:Z35" si="124">Y33-Y34</f>
        <v>2733026033.5832572</v>
      </c>
      <c r="Z35" s="308">
        <f t="shared" si="124"/>
        <v>2785079372.2474289</v>
      </c>
      <c r="AA35" s="308"/>
      <c r="AB35" s="308"/>
      <c r="AC35" s="308"/>
      <c r="AD35" s="308"/>
      <c r="AE35" s="308"/>
      <c r="AF35" s="308"/>
      <c r="AG35" s="308"/>
      <c r="AH35" s="308"/>
      <c r="AI35" s="308"/>
      <c r="AJ35" s="308"/>
      <c r="AK35" s="308"/>
      <c r="AL35" s="308"/>
      <c r="AM35" s="308"/>
      <c r="AN35" s="308"/>
      <c r="AO35" s="308"/>
      <c r="AP35" s="308"/>
      <c r="AZ35" s="527"/>
      <c r="BA35" s="326">
        <f>E18/(E18+'D4 Gallon Forecast'!E8)</f>
        <v>3.1097973315499478E-2</v>
      </c>
      <c r="BB35" s="326">
        <f>F18/(F18+'D4 Gallon Forecast'!F8)</f>
        <v>7.4364576295826948E-2</v>
      </c>
      <c r="BC35" s="326">
        <f>G18/(G18+'D4 Gallon Forecast'!G8)</f>
        <v>8.5128458371783941E-2</v>
      </c>
      <c r="BD35" s="326">
        <f>H18/(H18+'D4 Gallon Forecast'!H8)</f>
        <v>7.1043038723732341E-2</v>
      </c>
      <c r="BE35" s="326">
        <f>I18/(I18+'D4 Gallon Forecast'!I8)</f>
        <v>7.6653075809837365E-2</v>
      </c>
      <c r="BF35" s="326">
        <f>J18/(J18+'D4 Gallon Forecast'!J8)</f>
        <v>7.0566579671191412E-2</v>
      </c>
      <c r="BG35" s="326">
        <f>K18/(K18+'D4 Gallon Forecast'!K8)</f>
        <v>5.0868462316825874E-2</v>
      </c>
      <c r="BH35" s="326">
        <f>L18/(L18+'D4 Gallon Forecast'!L8)</f>
        <v>4.3865222889090581E-2</v>
      </c>
      <c r="BI35" s="326">
        <f>M18/(M18+'D4 Gallon Forecast'!M8)</f>
        <v>2.7821642931573531E-2</v>
      </c>
      <c r="BJ35" s="326">
        <f>N18/(N18+'D4 Gallon Forecast'!N8)</f>
        <v>4.4024197254514154E-2</v>
      </c>
      <c r="BK35" s="326">
        <f>O18/(O18+'D4 Gallon Forecast'!O8)</f>
        <v>2.1728268299974762E-2</v>
      </c>
      <c r="BL35" s="326">
        <f>P18/(P18+'D4 Gallon Forecast'!P8)</f>
        <v>2.0428040007667802E-2</v>
      </c>
      <c r="BM35" s="326">
        <f>Q18/(Q18+'D4 Gallon Forecast'!Q8)</f>
        <v>3.6848966234834565E-2</v>
      </c>
      <c r="BN35" s="326">
        <f>R18/(R18+'D4 Gallon Forecast'!R8)</f>
        <v>3.5812616998807716E-2</v>
      </c>
      <c r="BO35" s="326">
        <f>S18/(S18+'D4 Gallon Forecast'!S8)</f>
        <v>3.5569232655077762E-2</v>
      </c>
      <c r="BP35" s="326">
        <f>T18/(T18+'D4 Gallon Forecast'!T8)</f>
        <v>3.6500765304639374E-2</v>
      </c>
      <c r="BQ35" s="326">
        <f>U18/(U18+'D4 Gallon Forecast'!U8)</f>
        <v>3.6136401054498557E-2</v>
      </c>
      <c r="BR35" s="326">
        <f>V18/(V18+'D4 Gallon Forecast'!V8)</f>
        <v>3.7089217053653929E-2</v>
      </c>
      <c r="BS35" s="326">
        <f>W18/(W18+'D4 Gallon Forecast'!W8)</f>
        <v>3.7979036175971814E-2</v>
      </c>
      <c r="BT35" s="326">
        <f>X18/(X18+'D4 Gallon Forecast'!X8)</f>
        <v>3.4020254231793709E-2</v>
      </c>
      <c r="BU35" s="326">
        <f>Y18/(Y18+'D4 Gallon Forecast'!Y8)</f>
        <v>3.6616676103236746E-2</v>
      </c>
      <c r="BV35" s="326">
        <f>Z18/(Z18+'D4 Gallon Forecast'!Z8)</f>
        <v>4.0712148735004443E-2</v>
      </c>
      <c r="BW35" s="308"/>
      <c r="BY35" s="308"/>
      <c r="CA35" s="308"/>
      <c r="CC35" s="308"/>
      <c r="CE35" s="308"/>
      <c r="CG35" s="308"/>
      <c r="CI35" s="308"/>
      <c r="CK35" s="308"/>
      <c r="CM35" s="308"/>
      <c r="CO35" s="308"/>
      <c r="CQ35" s="308"/>
      <c r="CS35" s="308"/>
      <c r="CU35" s="308"/>
      <c r="CW35" s="308"/>
      <c r="CY35" s="308"/>
      <c r="DA35" s="308"/>
    </row>
    <row r="36" spans="1:105">
      <c r="A36" s="327"/>
      <c r="B36" s="327"/>
      <c r="C36" s="327"/>
      <c r="D36" s="327"/>
      <c r="E36" s="327"/>
      <c r="F36" s="327"/>
      <c r="G36" s="327"/>
      <c r="H36" s="327"/>
      <c r="I36" s="327"/>
      <c r="J36" s="327"/>
      <c r="K36" s="327"/>
      <c r="L36" s="327"/>
      <c r="M36" s="327"/>
      <c r="N36" s="327"/>
      <c r="O36" s="327"/>
      <c r="P36" s="327"/>
      <c r="Q36" s="327"/>
      <c r="R36" s="327"/>
      <c r="S36" s="327"/>
      <c r="T36" s="327"/>
      <c r="U36" s="327"/>
      <c r="V36" s="327"/>
      <c r="W36" s="327"/>
      <c r="X36" s="327"/>
      <c r="Y36" s="327"/>
      <c r="Z36" s="327"/>
      <c r="AA36" s="327"/>
      <c r="AB36" s="327"/>
      <c r="AC36" s="327"/>
      <c r="AD36" s="327"/>
      <c r="AE36" s="327"/>
      <c r="AF36" s="327"/>
      <c r="AG36" s="327"/>
      <c r="AH36" s="327"/>
      <c r="AI36" s="327"/>
      <c r="AJ36" s="327"/>
      <c r="AK36" s="327"/>
      <c r="AL36" s="327"/>
      <c r="AM36" s="327"/>
      <c r="AN36" s="327"/>
      <c r="AO36" s="327"/>
      <c r="AP36" s="327"/>
      <c r="AZ36" s="527"/>
    </row>
    <row r="37" spans="1:105">
      <c r="A37" s="301" t="s">
        <v>430</v>
      </c>
      <c r="E37" s="326">
        <f>E17/(E7+'D4 Gallon Forecast'!E8)</f>
        <v>2.0401107788758595E-2</v>
      </c>
      <c r="F37" s="326">
        <f>F17/(F7+'D4 Gallon Forecast'!F8)</f>
        <v>7.5994893491004467E-2</v>
      </c>
      <c r="G37" s="326">
        <f>G17/(G7+'D4 Gallon Forecast'!G8)</f>
        <v>9.0429485914019891E-2</v>
      </c>
      <c r="H37" s="326">
        <f>H17/(H7+'D4 Gallon Forecast'!H8)</f>
        <v>7.499846524105902E-2</v>
      </c>
      <c r="I37" s="326">
        <f>I17/(I7+'D4 Gallon Forecast'!I8)</f>
        <v>8.1362518791699187E-2</v>
      </c>
      <c r="J37" s="326">
        <f>J17/(J7+'D4 Gallon Forecast'!J8)</f>
        <v>7.0056856282441113E-2</v>
      </c>
      <c r="K37" s="326">
        <f>K17/(K7+'D4 Gallon Forecast'!K8)</f>
        <v>4.9860078751333706E-2</v>
      </c>
      <c r="L37" s="326">
        <f>L17/(L7+'D4 Gallon Forecast'!L8)</f>
        <v>4.152672797825973E-2</v>
      </c>
      <c r="M37" s="326">
        <f>M17/(M7+'D4 Gallon Forecast'!M8)</f>
        <v>2.6504091343368202E-2</v>
      </c>
      <c r="N37" s="326">
        <f>N17/(N7+'D4 Gallon Forecast'!N8)</f>
        <v>4.3647736457215418E-2</v>
      </c>
      <c r="O37" s="326">
        <f>O17/(O7+'D4 Gallon Forecast'!O8)</f>
        <v>2.1550550290922923E-2</v>
      </c>
      <c r="P37" s="326">
        <f>P17/(P7+'D4 Gallon Forecast'!P8)</f>
        <v>2.0407783953989525E-2</v>
      </c>
      <c r="Q37" s="326">
        <f>Q17/(Q7+'D4 Gallon Forecast'!Q8)</f>
        <v>3.7333254744855264E-2</v>
      </c>
      <c r="R37" s="326">
        <f>R17/(R7+'D4 Gallon Forecast'!R8)</f>
        <v>3.611175936507359E-2</v>
      </c>
      <c r="S37" s="326">
        <f>S17/(S7+'D4 Gallon Forecast'!S8)</f>
        <v>3.5759858142459196E-2</v>
      </c>
      <c r="T37" s="326">
        <f>T17/(T7+'D4 Gallon Forecast'!T8)</f>
        <v>3.6702333586927087E-2</v>
      </c>
      <c r="U37" s="326">
        <f>U17/(U7+'D4 Gallon Forecast'!U8)</f>
        <v>3.624781872573863E-2</v>
      </c>
      <c r="V37" s="326">
        <f>V17/(V7+'D4 Gallon Forecast'!V8)</f>
        <v>3.7213712741427575E-2</v>
      </c>
      <c r="W37" s="326">
        <f>W17/(W7+'D4 Gallon Forecast'!W8)</f>
        <v>3.8196766497151591E-2</v>
      </c>
      <c r="X37" s="326">
        <f>X17/(X7+'D4 Gallon Forecast'!X8)</f>
        <v>3.4125260626571841E-2</v>
      </c>
      <c r="Y37" s="326">
        <f>Y17/(Y7+'D4 Gallon Forecast'!Y8)</f>
        <v>3.6791811916786488E-2</v>
      </c>
      <c r="Z37" s="326">
        <f>Z17/(Z7+'D4 Gallon Forecast'!Z8)</f>
        <v>4.0975814121373792E-2</v>
      </c>
      <c r="AA37" s="326">
        <f>AA17/(AA7+'D4 Gallon Forecast'!AA8)</f>
        <v>4.0156475937410362E-2</v>
      </c>
      <c r="AB37" s="326">
        <f>AB17/(AB7+'D4 Gallon Forecast'!AB8)</f>
        <v>3.5755658446805214E-2</v>
      </c>
      <c r="AC37" s="326">
        <f>AC17/(AC7+'D4 Gallon Forecast'!AC8)</f>
        <v>3.1916801570571085E-2</v>
      </c>
      <c r="AD37" s="326">
        <f>AD17/(AD7+'D4 Gallon Forecast'!AD8)</f>
        <v>2.9003406247585618E-2</v>
      </c>
      <c r="AE37" s="326">
        <f>AE17/(AE7+'D4 Gallon Forecast'!AE8)</f>
        <v>2.9896469595209387E-2</v>
      </c>
      <c r="AF37" s="326">
        <f>AF17/(AF7+'D4 Gallon Forecast'!AF8)</f>
        <v>3.781346372635027E-2</v>
      </c>
      <c r="AG37" s="326">
        <f>AG17/(AG7+'D4 Gallon Forecast'!AG8)</f>
        <v>3.700801036667712E-2</v>
      </c>
      <c r="AH37" s="326">
        <f>AH17/(AH7+'D4 Gallon Forecast'!AH8)</f>
        <v>3.6119436111077548E-2</v>
      </c>
      <c r="AI37" s="326">
        <f>AI17/(AI7+'D4 Gallon Forecast'!AI8)</f>
        <v>3.4335033809712437E-2</v>
      </c>
      <c r="AJ37" s="326">
        <f>AJ17/(AJ7+'D4 Gallon Forecast'!AJ8)</f>
        <v>3.3579102277897122E-2</v>
      </c>
      <c r="AK37" s="326">
        <f>AK17/(AK7+'D4 Gallon Forecast'!AK8)</f>
        <v>3.3078518379631362E-2</v>
      </c>
      <c r="AL37" s="326">
        <f>AL17/(AL7+'D4 Gallon Forecast'!AL8)</f>
        <v>3.8316810348886364E-2</v>
      </c>
      <c r="AM37" s="326">
        <f>AM17/(AM7+'D4 Gallon Forecast'!AM8)</f>
        <v>3.9518063663973244E-2</v>
      </c>
      <c r="AN37" s="326">
        <f>AN17/(AN7+'D4 Gallon Forecast'!AN8)</f>
        <v>4.6323993670422225E-2</v>
      </c>
      <c r="AO37" s="326">
        <f>AO17/(AO7+'D4 Gallon Forecast'!AO8)</f>
        <v>5.3885955146020383E-2</v>
      </c>
      <c r="AP37" s="326">
        <f>AP17/(AP7+'D4 Gallon Forecast'!AP8)</f>
        <v>6.1995189523364753E-2</v>
      </c>
      <c r="AZ37" s="527"/>
    </row>
    <row r="38" spans="1:105" ht="12" thickBot="1">
      <c r="A38" s="300" t="s">
        <v>431</v>
      </c>
      <c r="M38" s="308"/>
      <c r="N38" s="308"/>
      <c r="O38" s="308"/>
      <c r="P38" s="308">
        <f t="shared" ref="P38:AD38" si="125">P23-125000</f>
        <v>995471</v>
      </c>
      <c r="Q38" s="308">
        <f t="shared" si="125"/>
        <v>-5412492.1351538002</v>
      </c>
      <c r="R38" s="308">
        <f t="shared" si="125"/>
        <v>5792499.5093202889</v>
      </c>
      <c r="S38" s="308">
        <f t="shared" si="125"/>
        <v>-2130250.9438866973</v>
      </c>
      <c r="T38" s="308">
        <f t="shared" si="125"/>
        <v>-2681203.5941714644</v>
      </c>
      <c r="U38" s="308">
        <f t="shared" si="125"/>
        <v>1817053.3246752024</v>
      </c>
      <c r="V38" s="308">
        <f t="shared" si="125"/>
        <v>3318175.6714228392</v>
      </c>
      <c r="W38" s="308">
        <f t="shared" si="125"/>
        <v>261847.45104920864</v>
      </c>
      <c r="X38" s="308">
        <f t="shared" si="125"/>
        <v>-14174535.382774353</v>
      </c>
      <c r="Y38" s="308">
        <f t="shared" si="125"/>
        <v>-16035545.590323508</v>
      </c>
      <c r="Z38" s="308">
        <f t="shared" si="125"/>
        <v>-22855097.785646319</v>
      </c>
      <c r="AA38" s="308">
        <f t="shared" si="125"/>
        <v>-19694652.976923108</v>
      </c>
      <c r="AB38" s="308">
        <f t="shared" si="125"/>
        <v>7501144.9002268314</v>
      </c>
      <c r="AC38" s="308">
        <f t="shared" si="125"/>
        <v>9932388.4679746032</v>
      </c>
      <c r="AD38" s="308">
        <f t="shared" si="125"/>
        <v>15435388.810548007</v>
      </c>
      <c r="AE38" s="308">
        <f>AE23-125000</f>
        <v>15345924.501125276</v>
      </c>
      <c r="AF38" s="308">
        <f>AF23-125000</f>
        <v>13752616.296195924</v>
      </c>
      <c r="AG38" s="308">
        <f>AG23-125000</f>
        <v>14378038.826667488</v>
      </c>
      <c r="AH38" s="308">
        <f t="shared" ref="AH38:AP38" si="126">AH23-125000</f>
        <v>23699043.085780621</v>
      </c>
      <c r="AI38" s="308">
        <f t="shared" si="126"/>
        <v>24799546.815072179</v>
      </c>
      <c r="AJ38" s="308">
        <f t="shared" si="126"/>
        <v>41457192.806179106</v>
      </c>
      <c r="AK38" s="308">
        <f t="shared" si="126"/>
        <v>64983251.480883479</v>
      </c>
      <c r="AL38" s="308">
        <f t="shared" si="126"/>
        <v>84021765.496525049</v>
      </c>
      <c r="AM38" s="308">
        <f t="shared" si="126"/>
        <v>107060233.78686023</v>
      </c>
      <c r="AN38" s="308">
        <f t="shared" si="126"/>
        <v>115519490.81719673</v>
      </c>
      <c r="AO38" s="308">
        <f t="shared" si="126"/>
        <v>123033433.95019305</v>
      </c>
      <c r="AP38" s="308">
        <f t="shared" si="126"/>
        <v>123963284.27797937</v>
      </c>
    </row>
    <row r="39" spans="1:105" ht="12" thickBot="1">
      <c r="A39" s="328"/>
      <c r="B39" s="329">
        <f t="shared" ref="B39:AP39" si="127">B2</f>
        <v>2010</v>
      </c>
      <c r="C39" s="329">
        <f t="shared" si="127"/>
        <v>2011</v>
      </c>
      <c r="D39" s="329">
        <f t="shared" si="127"/>
        <v>2012</v>
      </c>
      <c r="E39" s="329">
        <f t="shared" si="127"/>
        <v>2013</v>
      </c>
      <c r="F39" s="329">
        <f t="shared" si="127"/>
        <v>2014</v>
      </c>
      <c r="G39" s="329">
        <f t="shared" si="127"/>
        <v>2015</v>
      </c>
      <c r="H39" s="329">
        <f t="shared" si="127"/>
        <v>2016</v>
      </c>
      <c r="I39" s="329">
        <f t="shared" si="127"/>
        <v>2017</v>
      </c>
      <c r="J39" s="329">
        <f t="shared" si="127"/>
        <v>2018</v>
      </c>
      <c r="K39" s="329">
        <f t="shared" si="127"/>
        <v>2019</v>
      </c>
      <c r="L39" s="329">
        <f t="shared" si="127"/>
        <v>2020</v>
      </c>
      <c r="M39" s="329">
        <f t="shared" si="127"/>
        <v>2021</v>
      </c>
      <c r="N39" s="329">
        <f t="shared" si="127"/>
        <v>2022</v>
      </c>
      <c r="O39" s="329">
        <f t="shared" si="127"/>
        <v>2023</v>
      </c>
      <c r="P39" s="329">
        <f t="shared" si="127"/>
        <v>2024</v>
      </c>
      <c r="Q39" s="329">
        <f t="shared" si="127"/>
        <v>2025</v>
      </c>
      <c r="R39" s="329">
        <f t="shared" si="127"/>
        <v>2026</v>
      </c>
      <c r="S39" s="329">
        <f t="shared" si="127"/>
        <v>2027</v>
      </c>
      <c r="T39" s="329">
        <f t="shared" si="127"/>
        <v>2028</v>
      </c>
      <c r="U39" s="329">
        <f t="shared" si="127"/>
        <v>2029</v>
      </c>
      <c r="V39" s="329">
        <f t="shared" si="127"/>
        <v>2030</v>
      </c>
      <c r="W39" s="329">
        <f t="shared" si="127"/>
        <v>2031</v>
      </c>
      <c r="X39" s="329">
        <f t="shared" si="127"/>
        <v>2032</v>
      </c>
      <c r="Y39" s="329">
        <f t="shared" si="127"/>
        <v>2033</v>
      </c>
      <c r="Z39" s="329">
        <f t="shared" si="127"/>
        <v>2034</v>
      </c>
      <c r="AA39" s="329">
        <f t="shared" si="127"/>
        <v>2035</v>
      </c>
      <c r="AB39" s="329">
        <f t="shared" si="127"/>
        <v>2036</v>
      </c>
      <c r="AC39" s="329">
        <f t="shared" si="127"/>
        <v>2037</v>
      </c>
      <c r="AD39" s="329">
        <f t="shared" si="127"/>
        <v>2038</v>
      </c>
      <c r="AE39" s="329">
        <f t="shared" si="127"/>
        <v>2039</v>
      </c>
      <c r="AF39" s="329">
        <f t="shared" si="127"/>
        <v>2040</v>
      </c>
      <c r="AG39" s="329">
        <f t="shared" si="127"/>
        <v>2041</v>
      </c>
      <c r="AH39" s="329">
        <f t="shared" si="127"/>
        <v>2042</v>
      </c>
      <c r="AI39" s="329">
        <f t="shared" si="127"/>
        <v>2043</v>
      </c>
      <c r="AJ39" s="329">
        <f t="shared" si="127"/>
        <v>2044</v>
      </c>
      <c r="AK39" s="329">
        <f t="shared" si="127"/>
        <v>2045</v>
      </c>
      <c r="AL39" s="329">
        <f t="shared" si="127"/>
        <v>2046</v>
      </c>
      <c r="AM39" s="329">
        <f t="shared" si="127"/>
        <v>2047</v>
      </c>
      <c r="AN39" s="329">
        <f t="shared" si="127"/>
        <v>2048</v>
      </c>
      <c r="AO39" s="329">
        <f t="shared" si="127"/>
        <v>2049</v>
      </c>
      <c r="AP39" s="329">
        <f t="shared" si="127"/>
        <v>2050</v>
      </c>
      <c r="AQ39" s="300" t="s">
        <v>432</v>
      </c>
    </row>
    <row r="40" spans="1:105">
      <c r="A40" s="301" t="s">
        <v>43</v>
      </c>
      <c r="B40" s="308">
        <f>B56+B104+B184+B232+B312+B344</f>
        <v>0</v>
      </c>
      <c r="C40" s="308">
        <f t="shared" ref="C40:K51" si="128">C56+C104+C184+C232+C280+C344</f>
        <v>4488702</v>
      </c>
      <c r="D40" s="308">
        <f t="shared" si="128"/>
        <v>6968061</v>
      </c>
      <c r="E40" s="308">
        <f t="shared" si="128"/>
        <v>52476708</v>
      </c>
      <c r="F40" s="308">
        <f t="shared" si="128"/>
        <v>8087255</v>
      </c>
      <c r="G40" s="308">
        <f t="shared" si="128"/>
        <v>4344028</v>
      </c>
      <c r="H40" s="308">
        <f t="shared" si="128"/>
        <v>3716876</v>
      </c>
      <c r="I40" s="308">
        <f t="shared" si="128"/>
        <v>4409695</v>
      </c>
      <c r="J40" s="308">
        <f t="shared" si="128"/>
        <v>4531962</v>
      </c>
      <c r="K40" s="308">
        <f t="shared" si="128"/>
        <v>7399677</v>
      </c>
      <c r="L40" s="308">
        <f t="shared" ref="L40:AP48" si="129">L56+L104+L184+L232+L280+L344+L392</f>
        <v>15735426</v>
      </c>
      <c r="M40" s="308">
        <f t="shared" si="129"/>
        <v>12777447</v>
      </c>
      <c r="N40" s="308">
        <f t="shared" si="129"/>
        <v>11147762</v>
      </c>
      <c r="O40" s="308">
        <f t="shared" si="129"/>
        <v>11437074</v>
      </c>
      <c r="P40" s="308">
        <f t="shared" si="129"/>
        <v>12146519</v>
      </c>
      <c r="Q40" s="308">
        <f t="shared" si="129"/>
        <v>15991466</v>
      </c>
      <c r="R40" s="307">
        <f t="shared" si="129"/>
        <v>24707964.521118462</v>
      </c>
      <c r="S40" s="307">
        <f t="shared" si="129"/>
        <v>13139206.859686354</v>
      </c>
      <c r="T40" s="307">
        <f t="shared" si="129"/>
        <v>9249662.8088050112</v>
      </c>
      <c r="U40" s="307">
        <f t="shared" si="129"/>
        <v>22872812.630543474</v>
      </c>
      <c r="V40" s="307">
        <f t="shared" si="129"/>
        <v>23693495.428806901</v>
      </c>
      <c r="W40" s="307">
        <f t="shared" si="129"/>
        <v>22799156.20232328</v>
      </c>
      <c r="X40" s="307">
        <f t="shared" si="129"/>
        <v>114779410.67126514</v>
      </c>
      <c r="Y40" s="307">
        <f t="shared" si="129"/>
        <v>153180091.33253089</v>
      </c>
      <c r="Z40" s="307">
        <f t="shared" si="129"/>
        <v>237535047.53479224</v>
      </c>
      <c r="AA40" s="307">
        <f t="shared" si="129"/>
        <v>201212447.36180431</v>
      </c>
      <c r="AB40" s="307">
        <f t="shared" si="129"/>
        <v>-35181397.218847707</v>
      </c>
      <c r="AC40" s="307">
        <f t="shared" si="129"/>
        <v>-53607377.68381995</v>
      </c>
      <c r="AD40" s="307">
        <f t="shared" si="129"/>
        <v>-107801622.32093406</v>
      </c>
      <c r="AE40" s="307">
        <f t="shared" si="129"/>
        <v>-130689794.40523946</v>
      </c>
      <c r="AF40" s="307">
        <f t="shared" si="129"/>
        <v>-96916746.94455786</v>
      </c>
      <c r="AG40" s="307">
        <f t="shared" si="129"/>
        <v>-98006950.502163082</v>
      </c>
      <c r="AH40" s="307">
        <f t="shared" si="129"/>
        <v>-185587055.55977064</v>
      </c>
      <c r="AI40" s="307">
        <f t="shared" si="129"/>
        <v>-197463892.56044415</v>
      </c>
      <c r="AJ40" s="307">
        <f t="shared" si="129"/>
        <v>-359977366.05732876</v>
      </c>
      <c r="AK40" s="307">
        <f t="shared" si="129"/>
        <v>-578647456.20129848</v>
      </c>
      <c r="AL40" s="307">
        <f t="shared" si="129"/>
        <v>-757574592.39854848</v>
      </c>
      <c r="AM40" s="307">
        <f t="shared" si="129"/>
        <v>-976131805.02372873</v>
      </c>
      <c r="AN40" s="307">
        <f t="shared" si="129"/>
        <v>-1050416682.7763177</v>
      </c>
      <c r="AO40" s="307">
        <f t="shared" si="129"/>
        <v>-1114719879.8339403</v>
      </c>
      <c r="AP40" s="307">
        <f t="shared" si="129"/>
        <v>-1115098244.6422074</v>
      </c>
      <c r="AQ40" s="330">
        <f t="shared" ref="AQ40:AQ47" si="130">O40/N40-1</f>
        <v>2.5952473689337729E-2</v>
      </c>
      <c r="AR40" s="308">
        <v>9129008.7079241592</v>
      </c>
      <c r="AS40" s="308">
        <f t="shared" ref="AS40:AS52" si="131">L40-AR40</f>
        <v>6606417.2920758408</v>
      </c>
      <c r="AT40" s="308">
        <v>16768888.989688978</v>
      </c>
      <c r="AU40" s="308">
        <f t="shared" ref="AU40:AU52" si="132">M40-AT40</f>
        <v>-3991441.9896889776</v>
      </c>
      <c r="AV40" s="308">
        <v>14163821.220566142</v>
      </c>
      <c r="AW40" s="308">
        <f t="shared" ref="AW40:AW52" si="133">N40-AV40</f>
        <v>-3016059.2205661424</v>
      </c>
      <c r="AX40" s="308">
        <v>18939029.2347284</v>
      </c>
      <c r="AY40" s="308">
        <f t="shared" ref="AY40:AY52" si="134">O40-AX40</f>
        <v>-7501955.2347283997</v>
      </c>
      <c r="AZ40" s="308">
        <v>12146519</v>
      </c>
      <c r="BA40" s="308">
        <f t="shared" ref="BA40:BA52" si="135">P40-AZ40</f>
        <v>0</v>
      </c>
      <c r="BB40" s="331">
        <v>15991466</v>
      </c>
      <c r="BC40" s="308">
        <f t="shared" ref="BC40:BC52" si="136">Q40-BB40</f>
        <v>0</v>
      </c>
      <c r="BD40" s="308"/>
      <c r="BE40" s="330"/>
      <c r="BF40" s="330"/>
    </row>
    <row r="41" spans="1:105">
      <c r="A41" s="301" t="s">
        <v>44</v>
      </c>
      <c r="B41" s="308">
        <f t="shared" ref="B41:B51" si="137">B57+B105+B185+B233+B281+B345</f>
        <v>0</v>
      </c>
      <c r="C41" s="308">
        <f t="shared" si="128"/>
        <v>2394347</v>
      </c>
      <c r="D41" s="308">
        <f t="shared" si="128"/>
        <v>4235202</v>
      </c>
      <c r="E41" s="308">
        <f t="shared" si="128"/>
        <v>31699572</v>
      </c>
      <c r="F41" s="308">
        <f t="shared" si="128"/>
        <v>5584259</v>
      </c>
      <c r="G41" s="308">
        <f t="shared" si="128"/>
        <v>3449055</v>
      </c>
      <c r="H41" s="308">
        <f t="shared" si="128"/>
        <v>2961770</v>
      </c>
      <c r="I41" s="308">
        <f t="shared" si="128"/>
        <v>4236383</v>
      </c>
      <c r="J41" s="308">
        <f t="shared" si="128"/>
        <v>5436310</v>
      </c>
      <c r="K41" s="308">
        <f t="shared" si="128"/>
        <v>6996233</v>
      </c>
      <c r="L41" s="308">
        <f t="shared" si="129"/>
        <v>19838988</v>
      </c>
      <c r="M41" s="308">
        <f t="shared" si="129"/>
        <v>8351698</v>
      </c>
      <c r="N41" s="308">
        <f t="shared" si="129"/>
        <v>22414725</v>
      </c>
      <c r="O41" s="308">
        <f t="shared" si="129"/>
        <v>10336571</v>
      </c>
      <c r="P41" s="308">
        <f t="shared" si="129"/>
        <v>11312498</v>
      </c>
      <c r="Q41" s="332">
        <f t="shared" si="129"/>
        <v>16622731</v>
      </c>
      <c r="R41" s="307">
        <f t="shared" si="129"/>
        <v>32522654.771980621</v>
      </c>
      <c r="S41" s="307">
        <f t="shared" si="129"/>
        <v>9090002.5272987634</v>
      </c>
      <c r="T41" s="307">
        <f t="shared" si="129"/>
        <v>-133951.54907291383</v>
      </c>
      <c r="U41" s="307">
        <f t="shared" si="129"/>
        <v>25378566.321032196</v>
      </c>
      <c r="V41" s="307">
        <f t="shared" si="129"/>
        <v>25627216.163306102</v>
      </c>
      <c r="W41" s="307">
        <f t="shared" si="129"/>
        <v>22183733.117820647</v>
      </c>
      <c r="X41" s="307">
        <f t="shared" si="129"/>
        <v>198159758.52010095</v>
      </c>
      <c r="Y41" s="307">
        <f t="shared" si="129"/>
        <v>271069360.31083381</v>
      </c>
      <c r="Z41" s="307">
        <f t="shared" si="129"/>
        <v>432576237.39012927</v>
      </c>
      <c r="AA41" s="307">
        <f t="shared" si="129"/>
        <v>360975740.20805162</v>
      </c>
      <c r="AB41" s="307">
        <f t="shared" si="129"/>
        <v>-95543741.961990505</v>
      </c>
      <c r="AC41" s="307">
        <f t="shared" si="129"/>
        <v>-132597156.943573</v>
      </c>
      <c r="AD41" s="307">
        <f t="shared" si="129"/>
        <v>-239081684.95034492</v>
      </c>
      <c r="AE41" s="307">
        <f t="shared" si="129"/>
        <v>-285451845.13867939</v>
      </c>
      <c r="AF41" s="307">
        <f t="shared" si="129"/>
        <v>-222065666.29915917</v>
      </c>
      <c r="AG41" s="307">
        <f t="shared" si="129"/>
        <v>-225662350.74096221</v>
      </c>
      <c r="AH41" s="307">
        <f t="shared" si="129"/>
        <v>-396709760.90383464</v>
      </c>
      <c r="AI41" s="307">
        <f t="shared" si="129"/>
        <v>-421633061.18674409</v>
      </c>
      <c r="AJ41" s="307">
        <f t="shared" si="129"/>
        <v>-736636956.62421894</v>
      </c>
      <c r="AK41" s="307">
        <f t="shared" si="129"/>
        <v>-1159690043.4305072</v>
      </c>
      <c r="AL41" s="307">
        <f t="shared" si="129"/>
        <v>-1507378829.5209618</v>
      </c>
      <c r="AM41" s="307">
        <f t="shared" si="129"/>
        <v>-1931890004.2938678</v>
      </c>
      <c r="AN41" s="307">
        <f t="shared" si="129"/>
        <v>-2082637165.0852525</v>
      </c>
      <c r="AO41" s="307">
        <f t="shared" si="129"/>
        <v>-2213780108.6216941</v>
      </c>
      <c r="AP41" s="307">
        <f t="shared" si="129"/>
        <v>-2220583840.0117798</v>
      </c>
      <c r="AQ41" s="330">
        <f t="shared" si="130"/>
        <v>-0.53884908246699437</v>
      </c>
      <c r="AR41" s="308">
        <v>12594644.986243205</v>
      </c>
      <c r="AS41" s="308">
        <f t="shared" si="131"/>
        <v>7244343.0137567949</v>
      </c>
      <c r="AT41" s="308">
        <v>18046670.093511935</v>
      </c>
      <c r="AU41" s="308">
        <f t="shared" si="132"/>
        <v>-9694972.0935119353</v>
      </c>
      <c r="AV41" s="308">
        <v>11125175.38923453</v>
      </c>
      <c r="AW41" s="308">
        <f t="shared" si="133"/>
        <v>11289549.61076547</v>
      </c>
      <c r="AX41" s="308">
        <v>19015031.65584249</v>
      </c>
      <c r="AY41" s="308">
        <f t="shared" si="134"/>
        <v>-8678460.6558424905</v>
      </c>
      <c r="AZ41" s="308">
        <v>11312498</v>
      </c>
      <c r="BA41" s="308">
        <f t="shared" si="135"/>
        <v>0</v>
      </c>
      <c r="BB41" s="331">
        <v>16622731</v>
      </c>
      <c r="BC41" s="308">
        <f t="shared" si="136"/>
        <v>0</v>
      </c>
      <c r="BD41" s="308"/>
      <c r="BE41" s="330"/>
      <c r="BF41" s="330"/>
    </row>
    <row r="42" spans="1:105">
      <c r="A42" s="301" t="s">
        <v>45</v>
      </c>
      <c r="B42" s="308">
        <f t="shared" si="137"/>
        <v>0</v>
      </c>
      <c r="C42" s="308">
        <f t="shared" si="128"/>
        <v>3238655</v>
      </c>
      <c r="D42" s="308">
        <f t="shared" si="128"/>
        <v>21515071</v>
      </c>
      <c r="E42" s="308">
        <f t="shared" si="128"/>
        <v>49113113</v>
      </c>
      <c r="F42" s="308">
        <f t="shared" si="128"/>
        <v>9656580</v>
      </c>
      <c r="G42" s="308">
        <f t="shared" si="128"/>
        <v>3871999</v>
      </c>
      <c r="H42" s="308">
        <f t="shared" si="128"/>
        <v>3740611</v>
      </c>
      <c r="I42" s="308">
        <f t="shared" si="128"/>
        <v>3725001</v>
      </c>
      <c r="J42" s="308">
        <f t="shared" si="128"/>
        <v>6993505</v>
      </c>
      <c r="K42" s="308">
        <f t="shared" si="128"/>
        <v>13736814</v>
      </c>
      <c r="L42" s="308">
        <f t="shared" si="129"/>
        <v>32945672</v>
      </c>
      <c r="M42" s="308">
        <f t="shared" si="129"/>
        <v>8327377</v>
      </c>
      <c r="N42" s="308">
        <f t="shared" si="129"/>
        <v>12676000</v>
      </c>
      <c r="O42" s="308">
        <f t="shared" si="129"/>
        <v>18178514</v>
      </c>
      <c r="P42" s="308">
        <f t="shared" si="129"/>
        <v>10913429</v>
      </c>
      <c r="Q42" s="332">
        <f t="shared" si="129"/>
        <v>16811310</v>
      </c>
      <c r="R42" s="307">
        <f t="shared" si="129"/>
        <v>32147173.705642536</v>
      </c>
      <c r="S42" s="307">
        <f t="shared" si="129"/>
        <v>11950726.308283068</v>
      </c>
      <c r="T42" s="307">
        <f t="shared" si="129"/>
        <v>4271528.15674036</v>
      </c>
      <c r="U42" s="307">
        <f t="shared" si="129"/>
        <v>26424202.167781178</v>
      </c>
      <c r="V42" s="307">
        <f t="shared" si="129"/>
        <v>27414383.33066703</v>
      </c>
      <c r="W42" s="307">
        <f t="shared" si="129"/>
        <v>24613726.956016786</v>
      </c>
      <c r="X42" s="307">
        <f t="shared" si="129"/>
        <v>185572262.27160797</v>
      </c>
      <c r="Y42" s="307">
        <f t="shared" si="129"/>
        <v>252044820.2469855</v>
      </c>
      <c r="Z42" s="307">
        <f t="shared" si="129"/>
        <v>399112559.46392292</v>
      </c>
      <c r="AA42" s="307">
        <f t="shared" si="129"/>
        <v>334406737.07117546</v>
      </c>
      <c r="AB42" s="307">
        <f t="shared" si="129"/>
        <v>-81367443.945974857</v>
      </c>
      <c r="AC42" s="307">
        <f t="shared" si="129"/>
        <v>-114590322.38009429</v>
      </c>
      <c r="AD42" s="307">
        <f t="shared" si="129"/>
        <v>-210845992.24999896</v>
      </c>
      <c r="AE42" s="307">
        <f t="shared" si="129"/>
        <v>-252308429.0976949</v>
      </c>
      <c r="AF42" s="307">
        <f t="shared" si="129"/>
        <v>-194631108.70076323</v>
      </c>
      <c r="AG42" s="307">
        <f t="shared" si="129"/>
        <v>-197767533.84981331</v>
      </c>
      <c r="AH42" s="307">
        <f t="shared" si="129"/>
        <v>-353065237.07428062</v>
      </c>
      <c r="AI42" s="307">
        <f t="shared" si="129"/>
        <v>-375100275.8186816</v>
      </c>
      <c r="AJ42" s="307">
        <f t="shared" si="129"/>
        <v>-661611685.15083432</v>
      </c>
      <c r="AK42" s="307">
        <f t="shared" si="129"/>
        <v>-1046706978.0997493</v>
      </c>
      <c r="AL42" s="307">
        <f t="shared" si="129"/>
        <v>-1363466890.6229897</v>
      </c>
      <c r="AM42" s="307">
        <f t="shared" si="129"/>
        <v>-1750085205.9176252</v>
      </c>
      <c r="AN42" s="307">
        <f t="shared" si="129"/>
        <v>-1886811205.0904815</v>
      </c>
      <c r="AO42" s="307">
        <f t="shared" si="129"/>
        <v>-2005938952.1170321</v>
      </c>
      <c r="AP42" s="307">
        <f t="shared" si="129"/>
        <v>-2012450564.7759769</v>
      </c>
      <c r="AQ42" s="330">
        <f t="shared" si="130"/>
        <v>0.43408914484064365</v>
      </c>
      <c r="AR42" s="308">
        <v>11694446.318628294</v>
      </c>
      <c r="AS42" s="308">
        <f t="shared" si="131"/>
        <v>21251225.681371704</v>
      </c>
      <c r="AT42" s="308">
        <v>22109653.345467359</v>
      </c>
      <c r="AU42" s="308">
        <f t="shared" si="132"/>
        <v>-13782276.345467359</v>
      </c>
      <c r="AV42" s="308">
        <v>16838832.027506508</v>
      </c>
      <c r="AW42" s="308">
        <f t="shared" si="133"/>
        <v>-4162832.0275065079</v>
      </c>
      <c r="AX42" s="308">
        <v>17607361.48653508</v>
      </c>
      <c r="AY42" s="308">
        <f t="shared" si="134"/>
        <v>571152.51346492022</v>
      </c>
      <c r="AZ42" s="308">
        <v>10913429</v>
      </c>
      <c r="BA42" s="308">
        <f t="shared" si="135"/>
        <v>0</v>
      </c>
      <c r="BB42" s="331">
        <v>10224260.812074313</v>
      </c>
      <c r="BC42" s="308">
        <f t="shared" si="136"/>
        <v>6587049.1879256871</v>
      </c>
      <c r="BD42" s="308"/>
      <c r="BE42" s="330"/>
      <c r="BF42" s="330"/>
    </row>
    <row r="43" spans="1:105">
      <c r="A43" s="301" t="s">
        <v>46</v>
      </c>
      <c r="B43" s="308">
        <f t="shared" si="137"/>
        <v>0</v>
      </c>
      <c r="C43" s="308">
        <f t="shared" si="128"/>
        <v>2201992</v>
      </c>
      <c r="D43" s="308">
        <f t="shared" si="128"/>
        <v>16601025</v>
      </c>
      <c r="E43" s="308">
        <f t="shared" si="128"/>
        <v>27892664</v>
      </c>
      <c r="F43" s="308">
        <f t="shared" si="128"/>
        <v>22759584</v>
      </c>
      <c r="G43" s="308">
        <f t="shared" si="128"/>
        <v>14327959</v>
      </c>
      <c r="H43" s="308">
        <f t="shared" si="128"/>
        <v>3797167</v>
      </c>
      <c r="I43" s="308">
        <f t="shared" si="128"/>
        <v>5209743</v>
      </c>
      <c r="J43" s="308">
        <f t="shared" si="128"/>
        <v>5316315</v>
      </c>
      <c r="K43" s="308">
        <f t="shared" si="128"/>
        <v>20354979</v>
      </c>
      <c r="L43" s="308">
        <f t="shared" si="129"/>
        <v>7114342</v>
      </c>
      <c r="M43" s="308">
        <f t="shared" si="129"/>
        <v>6693118</v>
      </c>
      <c r="N43" s="308">
        <f t="shared" si="129"/>
        <v>12797475</v>
      </c>
      <c r="O43" s="308">
        <f t="shared" si="129"/>
        <v>12322133</v>
      </c>
      <c r="P43" s="308">
        <f t="shared" si="129"/>
        <v>11301854</v>
      </c>
      <c r="Q43" s="307">
        <f t="shared" si="129"/>
        <v>13120694.484418077</v>
      </c>
      <c r="R43" s="307">
        <f t="shared" si="129"/>
        <v>15427008.774531417</v>
      </c>
      <c r="S43" s="307">
        <f t="shared" si="129"/>
        <v>16181568.708780808</v>
      </c>
      <c r="T43" s="307">
        <f t="shared" si="129"/>
        <v>16532120.292897295</v>
      </c>
      <c r="U43" s="307">
        <f t="shared" si="129"/>
        <v>18701244.898745965</v>
      </c>
      <c r="V43" s="307">
        <f t="shared" si="129"/>
        <v>20067000.8379157</v>
      </c>
      <c r="W43" s="307">
        <f t="shared" si="129"/>
        <v>21074624.904095322</v>
      </c>
      <c r="X43" s="307">
        <f t="shared" si="129"/>
        <v>22408001.337980051</v>
      </c>
      <c r="Y43" s="307">
        <f t="shared" si="129"/>
        <v>24251528.813217159</v>
      </c>
      <c r="Z43" s="307">
        <f t="shared" si="129"/>
        <v>26901214.287167594</v>
      </c>
      <c r="AA43" s="307">
        <f t="shared" si="129"/>
        <v>27577051.746778339</v>
      </c>
      <c r="AB43" s="307">
        <f t="shared" si="129"/>
        <v>25881230.76661513</v>
      </c>
      <c r="AC43" s="307">
        <f t="shared" si="129"/>
        <v>26998187.453729451</v>
      </c>
      <c r="AD43" s="307">
        <f t="shared" si="129"/>
        <v>27798901.49422491</v>
      </c>
      <c r="AE43" s="307">
        <f t="shared" si="129"/>
        <v>28688923.020271271</v>
      </c>
      <c r="AF43" s="307">
        <f t="shared" si="129"/>
        <v>31316503.441982951</v>
      </c>
      <c r="AG43" s="307">
        <f t="shared" si="129"/>
        <v>32881686.386079919</v>
      </c>
      <c r="AH43" s="307">
        <f t="shared" si="129"/>
        <v>33656052.882157877</v>
      </c>
      <c r="AI43" s="307">
        <f t="shared" si="129"/>
        <v>35078383.257887654</v>
      </c>
      <c r="AJ43" s="307">
        <f t="shared" si="129"/>
        <v>34318854.688188203</v>
      </c>
      <c r="AK43" s="307">
        <f t="shared" si="129"/>
        <v>32946467.211950108</v>
      </c>
      <c r="AL43" s="307">
        <f t="shared" si="129"/>
        <v>33888101.226587482</v>
      </c>
      <c r="AM43" s="307">
        <f t="shared" si="129"/>
        <v>34298805.101936489</v>
      </c>
      <c r="AN43" s="307">
        <f t="shared" si="129"/>
        <v>40537977.054145008</v>
      </c>
      <c r="AO43" s="307">
        <f t="shared" si="129"/>
        <v>46877897.726304531</v>
      </c>
      <c r="AP43" s="307">
        <f t="shared" si="129"/>
        <v>54165542.292620301</v>
      </c>
      <c r="AQ43" s="330">
        <f t="shared" si="130"/>
        <v>-3.714342087013256E-2</v>
      </c>
      <c r="AR43" s="308">
        <v>11690024.110192873</v>
      </c>
      <c r="AS43" s="308">
        <f t="shared" si="131"/>
        <v>-4575682.1101928726</v>
      </c>
      <c r="AT43" s="308">
        <v>15553078.01246783</v>
      </c>
      <c r="AU43" s="308">
        <f t="shared" si="132"/>
        <v>-8859960.0124678295</v>
      </c>
      <c r="AV43" s="308">
        <v>12678670.596242035</v>
      </c>
      <c r="AW43" s="308">
        <f t="shared" si="133"/>
        <v>118804.40375796519</v>
      </c>
      <c r="AX43" s="308">
        <v>12282325.985026428</v>
      </c>
      <c r="AY43" s="308">
        <f t="shared" si="134"/>
        <v>39807.014973571524</v>
      </c>
      <c r="AZ43" s="308">
        <v>11301854</v>
      </c>
      <c r="BA43" s="308">
        <f t="shared" si="135"/>
        <v>0</v>
      </c>
      <c r="BB43" s="331">
        <v>10268234.519591765</v>
      </c>
      <c r="BC43" s="308">
        <f t="shared" si="136"/>
        <v>2852459.9648263119</v>
      </c>
      <c r="BD43" s="308"/>
      <c r="BE43" s="330"/>
      <c r="BF43" s="330"/>
    </row>
    <row r="44" spans="1:105">
      <c r="A44" s="301" t="s">
        <v>47</v>
      </c>
      <c r="B44" s="308">
        <f t="shared" si="137"/>
        <v>0</v>
      </c>
      <c r="C44" s="308">
        <f t="shared" si="128"/>
        <v>6400651</v>
      </c>
      <c r="D44" s="308">
        <f t="shared" si="128"/>
        <v>17362020</v>
      </c>
      <c r="E44" s="308">
        <f t="shared" si="128"/>
        <v>33062815</v>
      </c>
      <c r="F44" s="308">
        <f t="shared" si="128"/>
        <v>26527162</v>
      </c>
      <c r="G44" s="308">
        <f t="shared" si="128"/>
        <v>3802184</v>
      </c>
      <c r="H44" s="308">
        <f t="shared" si="128"/>
        <v>6316897</v>
      </c>
      <c r="I44" s="308">
        <f t="shared" si="128"/>
        <v>12398941</v>
      </c>
      <c r="J44" s="308">
        <f t="shared" si="128"/>
        <v>4646578</v>
      </c>
      <c r="K44" s="308">
        <f t="shared" si="128"/>
        <v>8410032</v>
      </c>
      <c r="L44" s="308">
        <f t="shared" si="129"/>
        <v>8658131</v>
      </c>
      <c r="M44" s="308">
        <f t="shared" si="129"/>
        <v>5951921</v>
      </c>
      <c r="N44" s="308">
        <f t="shared" si="129"/>
        <v>26179824</v>
      </c>
      <c r="O44" s="308">
        <f t="shared" si="129"/>
        <v>15961038</v>
      </c>
      <c r="P44" s="308">
        <f t="shared" si="129"/>
        <v>7275760</v>
      </c>
      <c r="Q44" s="307">
        <f t="shared" si="129"/>
        <v>12413776.079439769</v>
      </c>
      <c r="R44" s="307">
        <f t="shared" si="129"/>
        <v>13055150.177169666</v>
      </c>
      <c r="S44" s="307">
        <f t="shared" si="129"/>
        <v>15734735.681671245</v>
      </c>
      <c r="T44" s="307">
        <f t="shared" si="129"/>
        <v>16244240.35684636</v>
      </c>
      <c r="U44" s="307">
        <f t="shared" si="129"/>
        <v>15839186.536131971</v>
      </c>
      <c r="V44" s="307">
        <f t="shared" si="129"/>
        <v>18128960.313080024</v>
      </c>
      <c r="W44" s="307">
        <f t="shared" si="129"/>
        <v>19608947.039921623</v>
      </c>
      <c r="X44" s="307">
        <f t="shared" si="129"/>
        <v>18117082.037832364</v>
      </c>
      <c r="Y44" s="307">
        <f t="shared" si="129"/>
        <v>18094647.448744703</v>
      </c>
      <c r="Z44" s="307">
        <f t="shared" si="129"/>
        <v>16985622.697361801</v>
      </c>
      <c r="AA44" s="307">
        <f t="shared" si="129"/>
        <v>19535099.792698462</v>
      </c>
      <c r="AB44" s="307">
        <f t="shared" si="129"/>
        <v>26745148.328582712</v>
      </c>
      <c r="AC44" s="307">
        <f t="shared" si="129"/>
        <v>28603443.807775792</v>
      </c>
      <c r="AD44" s="307">
        <f t="shared" si="129"/>
        <v>31711792.885901719</v>
      </c>
      <c r="AE44" s="307">
        <f t="shared" si="129"/>
        <v>34165363.51681456</v>
      </c>
      <c r="AF44" s="307">
        <f t="shared" si="129"/>
        <v>35267381.444270216</v>
      </c>
      <c r="AG44" s="307">
        <f t="shared" si="129"/>
        <v>36897543.863605797</v>
      </c>
      <c r="AH44" s="307">
        <f t="shared" si="129"/>
        <v>41307401.628516845</v>
      </c>
      <c r="AI44" s="307">
        <f t="shared" si="129"/>
        <v>43376171.608818509</v>
      </c>
      <c r="AJ44" s="307">
        <f t="shared" si="129"/>
        <v>49277327.267549157</v>
      </c>
      <c r="AK44" s="307">
        <f t="shared" si="129"/>
        <v>56600342.072197147</v>
      </c>
      <c r="AL44" s="307">
        <f t="shared" si="129"/>
        <v>64003411.837123513</v>
      </c>
      <c r="AM44" s="307">
        <f t="shared" si="129"/>
        <v>73083802.405141547</v>
      </c>
      <c r="AN44" s="307">
        <f t="shared" si="129"/>
        <v>82605543.831736565</v>
      </c>
      <c r="AO44" s="307">
        <f t="shared" si="129"/>
        <v>91614435.683693424</v>
      </c>
      <c r="AP44" s="307">
        <f t="shared" si="129"/>
        <v>97565540.804445446</v>
      </c>
      <c r="AQ44" s="330">
        <f t="shared" si="130"/>
        <v>-0.3903305843461744</v>
      </c>
      <c r="AR44" s="308">
        <v>10509977.173843313</v>
      </c>
      <c r="AS44" s="308">
        <f t="shared" si="131"/>
        <v>-1851846.173843313</v>
      </c>
      <c r="AT44" s="308">
        <v>20372579.85840321</v>
      </c>
      <c r="AU44" s="308">
        <f t="shared" si="132"/>
        <v>-14420658.85840321</v>
      </c>
      <c r="AV44" s="308">
        <v>13863859.672722045</v>
      </c>
      <c r="AW44" s="308">
        <f t="shared" si="133"/>
        <v>12315964.327277955</v>
      </c>
      <c r="AX44" s="308">
        <v>27472615.666470084</v>
      </c>
      <c r="AY44" s="308">
        <f t="shared" si="134"/>
        <v>-11511577.666470084</v>
      </c>
      <c r="AZ44" s="308">
        <v>7275760</v>
      </c>
      <c r="BA44" s="308">
        <f t="shared" si="135"/>
        <v>0</v>
      </c>
      <c r="BB44" s="331">
        <v>9369724.9544100948</v>
      </c>
      <c r="BC44" s="308">
        <f t="shared" si="136"/>
        <v>3044051.1250296738</v>
      </c>
      <c r="BD44" s="308"/>
      <c r="BE44" s="330"/>
      <c r="BF44" s="330"/>
    </row>
    <row r="45" spans="1:105">
      <c r="A45" s="301" t="s">
        <v>48</v>
      </c>
      <c r="B45" s="308">
        <f t="shared" si="137"/>
        <v>0</v>
      </c>
      <c r="C45" s="308">
        <f t="shared" si="128"/>
        <v>6664238</v>
      </c>
      <c r="D45" s="308">
        <f t="shared" si="128"/>
        <v>40369705</v>
      </c>
      <c r="E45" s="308">
        <f t="shared" si="128"/>
        <v>43331018</v>
      </c>
      <c r="F45" s="308">
        <f t="shared" si="128"/>
        <v>16975379</v>
      </c>
      <c r="G45" s="308">
        <f t="shared" si="128"/>
        <v>3832824</v>
      </c>
      <c r="H45" s="308">
        <f t="shared" si="128"/>
        <v>15303875</v>
      </c>
      <c r="I45" s="308">
        <f t="shared" si="128"/>
        <v>15041769</v>
      </c>
      <c r="J45" s="308">
        <f t="shared" si="128"/>
        <v>3815865</v>
      </c>
      <c r="K45" s="308">
        <f t="shared" si="128"/>
        <v>30814363</v>
      </c>
      <c r="L45" s="308">
        <f t="shared" si="129"/>
        <v>7446581</v>
      </c>
      <c r="M45" s="308">
        <f t="shared" si="129"/>
        <v>21620957</v>
      </c>
      <c r="N45" s="308">
        <f t="shared" si="129"/>
        <v>12121102</v>
      </c>
      <c r="O45" s="308">
        <f t="shared" si="129"/>
        <v>16899348</v>
      </c>
      <c r="P45" s="308">
        <f t="shared" si="129"/>
        <v>13059129</v>
      </c>
      <c r="Q45" s="307">
        <f t="shared" si="129"/>
        <v>13857918.477826275</v>
      </c>
      <c r="R45" s="307">
        <f t="shared" si="129"/>
        <v>16533987.964570785</v>
      </c>
      <c r="S45" s="307">
        <f t="shared" si="129"/>
        <v>18437049.363186199</v>
      </c>
      <c r="T45" s="307">
        <f t="shared" si="129"/>
        <v>19978000.313653108</v>
      </c>
      <c r="U45" s="307">
        <f t="shared" si="129"/>
        <v>20522168.733518556</v>
      </c>
      <c r="V45" s="307">
        <f t="shared" si="129"/>
        <v>22188359.639084317</v>
      </c>
      <c r="W45" s="307">
        <f t="shared" si="129"/>
        <v>23756277.914358463</v>
      </c>
      <c r="X45" s="307">
        <f t="shared" si="129"/>
        <v>24782598.583936695</v>
      </c>
      <c r="Y45" s="307">
        <f t="shared" si="129"/>
        <v>25993457.329563856</v>
      </c>
      <c r="Z45" s="307">
        <f t="shared" si="129"/>
        <v>27154966.980563264</v>
      </c>
      <c r="AA45" s="307">
        <f t="shared" si="129"/>
        <v>28812488.928356007</v>
      </c>
      <c r="AB45" s="307">
        <f t="shared" si="129"/>
        <v>30175018.583226182</v>
      </c>
      <c r="AC45" s="307">
        <f t="shared" si="129"/>
        <v>31892882.254664961</v>
      </c>
      <c r="AD45" s="307">
        <f t="shared" si="129"/>
        <v>34027913.620941475</v>
      </c>
      <c r="AE45" s="307">
        <f t="shared" si="129"/>
        <v>36086106.824895531</v>
      </c>
      <c r="AF45" s="307">
        <f t="shared" si="129"/>
        <v>37975243.638807759</v>
      </c>
      <c r="AG45" s="307">
        <f t="shared" si="129"/>
        <v>39563277.490469374</v>
      </c>
      <c r="AH45" s="307">
        <f t="shared" si="129"/>
        <v>41925175.18241068</v>
      </c>
      <c r="AI45" s="307">
        <f t="shared" si="129"/>
        <v>44029710.684742667</v>
      </c>
      <c r="AJ45" s="307">
        <f t="shared" si="129"/>
        <v>45906595.297518745</v>
      </c>
      <c r="AK45" s="307">
        <f t="shared" si="129"/>
        <v>47718512.419776104</v>
      </c>
      <c r="AL45" s="307">
        <f t="shared" si="129"/>
        <v>51123902.029819116</v>
      </c>
      <c r="AM45" s="307">
        <f t="shared" si="129"/>
        <v>54624659.181016251</v>
      </c>
      <c r="AN45" s="307">
        <f t="shared" si="129"/>
        <v>62160465.999108911</v>
      </c>
      <c r="AO45" s="307">
        <f t="shared" si="129"/>
        <v>69529599.815242663</v>
      </c>
      <c r="AP45" s="307">
        <f t="shared" si="129"/>
        <v>76517714.235086814</v>
      </c>
      <c r="AQ45" s="330">
        <f t="shared" si="130"/>
        <v>0.3942088763876419</v>
      </c>
      <c r="AR45" s="308">
        <v>19529923.160440385</v>
      </c>
      <c r="AS45" s="308">
        <f t="shared" si="131"/>
        <v>-12083342.160440385</v>
      </c>
      <c r="AT45" s="308">
        <v>24703096.549692824</v>
      </c>
      <c r="AU45" s="308">
        <f t="shared" si="132"/>
        <v>-3082139.5496928245</v>
      </c>
      <c r="AV45" s="308">
        <v>19043724.903018959</v>
      </c>
      <c r="AW45" s="308">
        <f t="shared" si="133"/>
        <v>-6922622.9030189589</v>
      </c>
      <c r="AX45" s="308">
        <v>12767355.01317697</v>
      </c>
      <c r="AY45" s="308">
        <f t="shared" si="134"/>
        <v>4131992.9868230298</v>
      </c>
      <c r="AZ45" s="308">
        <v>13059129</v>
      </c>
      <c r="BA45" s="308">
        <f t="shared" si="135"/>
        <v>0</v>
      </c>
      <c r="BB45" s="331">
        <v>10222055.159915125</v>
      </c>
      <c r="BC45" s="308">
        <f t="shared" si="136"/>
        <v>3635863.3179111499</v>
      </c>
      <c r="BD45" s="308"/>
      <c r="BE45" s="330"/>
      <c r="BF45" s="330"/>
    </row>
    <row r="46" spans="1:105">
      <c r="A46" s="301" t="s">
        <v>49</v>
      </c>
      <c r="B46" s="308">
        <f t="shared" si="137"/>
        <v>1076782</v>
      </c>
      <c r="C46" s="308">
        <f t="shared" si="128"/>
        <v>16321627</v>
      </c>
      <c r="D46" s="308">
        <f t="shared" si="128"/>
        <v>51821250</v>
      </c>
      <c r="E46" s="308">
        <f t="shared" si="128"/>
        <v>63541348</v>
      </c>
      <c r="F46" s="308">
        <f t="shared" si="128"/>
        <v>14036229</v>
      </c>
      <c r="G46" s="308">
        <f t="shared" si="128"/>
        <v>4246611</v>
      </c>
      <c r="H46" s="308">
        <f t="shared" si="128"/>
        <v>14968420</v>
      </c>
      <c r="I46" s="308">
        <f t="shared" si="128"/>
        <v>4211621</v>
      </c>
      <c r="J46" s="308">
        <f t="shared" si="128"/>
        <v>4845007</v>
      </c>
      <c r="K46" s="308">
        <f t="shared" si="128"/>
        <v>30493256</v>
      </c>
      <c r="L46" s="308">
        <f t="shared" si="129"/>
        <v>30169834</v>
      </c>
      <c r="M46" s="308">
        <f t="shared" si="129"/>
        <v>19971547</v>
      </c>
      <c r="N46" s="308">
        <f t="shared" si="129"/>
        <v>14928876</v>
      </c>
      <c r="O46" s="308">
        <f>O62+O110+O190+O238+O286+O350+O398</f>
        <v>9388051</v>
      </c>
      <c r="P46" s="308">
        <f t="shared" si="129"/>
        <v>13441258</v>
      </c>
      <c r="Q46" s="307">
        <f t="shared" si="129"/>
        <v>14040895.839381693</v>
      </c>
      <c r="R46" s="307">
        <f t="shared" si="129"/>
        <v>15787189.779768778</v>
      </c>
      <c r="S46" s="307">
        <f t="shared" si="129"/>
        <v>17323984.353882484</v>
      </c>
      <c r="T46" s="307">
        <f t="shared" si="129"/>
        <v>18250055.821464818</v>
      </c>
      <c r="U46" s="307">
        <f t="shared" si="129"/>
        <v>19677870.497616183</v>
      </c>
      <c r="V46" s="307">
        <f t="shared" si="129"/>
        <v>20854592.491456755</v>
      </c>
      <c r="W46" s="307">
        <f t="shared" si="129"/>
        <v>22188277.511911076</v>
      </c>
      <c r="X46" s="307">
        <f t="shared" si="129"/>
        <v>21268658.753462039</v>
      </c>
      <c r="Y46" s="307">
        <f t="shared" si="129"/>
        <v>21694512.423596099</v>
      </c>
      <c r="Z46" s="307">
        <f t="shared" si="129"/>
        <v>21356447.888314344</v>
      </c>
      <c r="AA46" s="307">
        <f t="shared" si="129"/>
        <v>23449090.924830038</v>
      </c>
      <c r="AB46" s="307">
        <f t="shared" si="129"/>
        <v>29158646.626430523</v>
      </c>
      <c r="AC46" s="307">
        <f t="shared" si="129"/>
        <v>31049926.672601994</v>
      </c>
      <c r="AD46" s="307">
        <f t="shared" si="129"/>
        <v>33979011.293087468</v>
      </c>
      <c r="AE46" s="307">
        <f t="shared" si="129"/>
        <v>36227755.042553224</v>
      </c>
      <c r="AF46" s="307">
        <f t="shared" si="129"/>
        <v>37351850.626511879</v>
      </c>
      <c r="AG46" s="307">
        <f t="shared" si="129"/>
        <v>38870440.012418613</v>
      </c>
      <c r="AH46" s="307">
        <f t="shared" si="129"/>
        <v>42647925.142191835</v>
      </c>
      <c r="AI46" s="307">
        <f t="shared" si="129"/>
        <v>44737189.983250588</v>
      </c>
      <c r="AJ46" s="307">
        <f t="shared" si="129"/>
        <v>49492058.069905318</v>
      </c>
      <c r="AK46" s="307">
        <f t="shared" si="129"/>
        <v>55276575.196007252</v>
      </c>
      <c r="AL46" s="307">
        <f t="shared" si="129"/>
        <v>62282857.555838764</v>
      </c>
      <c r="AM46" s="307">
        <f t="shared" si="129"/>
        <v>69801295.259476542</v>
      </c>
      <c r="AN46" s="307">
        <f t="shared" si="129"/>
        <v>78199708.214502126</v>
      </c>
      <c r="AO46" s="307">
        <f t="shared" si="129"/>
        <v>86382246.269306213</v>
      </c>
      <c r="AP46" s="307">
        <f t="shared" si="129"/>
        <v>93873222.439676151</v>
      </c>
      <c r="AQ46" s="330">
        <f t="shared" si="130"/>
        <v>-0.37114816949380514</v>
      </c>
      <c r="AR46" s="308">
        <v>18491073.616519764</v>
      </c>
      <c r="AS46" s="308">
        <f t="shared" si="131"/>
        <v>11678760.383480236</v>
      </c>
      <c r="AT46" s="308">
        <v>22109837.672074843</v>
      </c>
      <c r="AU46" s="308">
        <f t="shared" si="132"/>
        <v>-2138290.6720748432</v>
      </c>
      <c r="AV46" s="308">
        <v>20063562.372304283</v>
      </c>
      <c r="AW46" s="308">
        <f t="shared" si="133"/>
        <v>-5134686.3723042831</v>
      </c>
      <c r="AX46" s="308">
        <v>16573584.161254777</v>
      </c>
      <c r="AY46" s="308">
        <f t="shared" si="134"/>
        <v>-7185533.1612547766</v>
      </c>
      <c r="AZ46" s="309">
        <v>13441258</v>
      </c>
      <c r="BA46" s="308">
        <f t="shared" si="135"/>
        <v>0</v>
      </c>
      <c r="BB46" s="331">
        <v>10281729.850574469</v>
      </c>
      <c r="BC46" s="308">
        <f t="shared" si="136"/>
        <v>3759165.9888072237</v>
      </c>
      <c r="BD46" s="308"/>
      <c r="BE46" s="330"/>
      <c r="BF46" s="330"/>
    </row>
    <row r="47" spans="1:105">
      <c r="A47" s="301" t="s">
        <v>50</v>
      </c>
      <c r="B47" s="308">
        <f t="shared" si="137"/>
        <v>1938858</v>
      </c>
      <c r="C47" s="308">
        <f t="shared" si="128"/>
        <v>26723048</v>
      </c>
      <c r="D47" s="308">
        <f t="shared" si="128"/>
        <v>86246154</v>
      </c>
      <c r="E47" s="308">
        <f t="shared" si="128"/>
        <v>93212762</v>
      </c>
      <c r="F47" s="308">
        <f t="shared" si="128"/>
        <v>4282161</v>
      </c>
      <c r="G47" s="308">
        <f t="shared" si="128"/>
        <v>19737266</v>
      </c>
      <c r="H47" s="308">
        <f t="shared" si="128"/>
        <v>15841593</v>
      </c>
      <c r="I47" s="308">
        <f t="shared" si="128"/>
        <v>26942858</v>
      </c>
      <c r="J47" s="308">
        <f t="shared" si="128"/>
        <v>26198181</v>
      </c>
      <c r="K47" s="308">
        <f t="shared" si="128"/>
        <v>20426895</v>
      </c>
      <c r="L47" s="308">
        <f t="shared" si="129"/>
        <v>35685654</v>
      </c>
      <c r="M47" s="308">
        <f t="shared" si="129"/>
        <v>26964498</v>
      </c>
      <c r="N47" s="308">
        <f t="shared" si="129"/>
        <v>25933910</v>
      </c>
      <c r="O47" s="308">
        <f>O63+O111+O191+O239+O287+O351+O399</f>
        <v>14295804</v>
      </c>
      <c r="P47" s="308">
        <f t="shared" si="129"/>
        <v>15430234</v>
      </c>
      <c r="Q47" s="307">
        <f t="shared" si="129"/>
        <v>15953936.315281281</v>
      </c>
      <c r="R47" s="307">
        <f t="shared" si="129"/>
        <v>18500559.14426231</v>
      </c>
      <c r="S47" s="307">
        <f t="shared" si="129"/>
        <v>20742376.639916837</v>
      </c>
      <c r="T47" s="307">
        <f t="shared" si="129"/>
        <v>21699258.013439685</v>
      </c>
      <c r="U47" s="307">
        <f t="shared" si="129"/>
        <v>23101624.293814532</v>
      </c>
      <c r="V47" s="307">
        <f t="shared" si="129"/>
        <v>24851792.125725824</v>
      </c>
      <c r="W47" s="307">
        <f t="shared" si="129"/>
        <v>26547579.401520152</v>
      </c>
      <c r="X47" s="307">
        <f t="shared" si="129"/>
        <v>26243949.908523697</v>
      </c>
      <c r="Y47" s="307">
        <f t="shared" si="129"/>
        <v>26900902.33917398</v>
      </c>
      <c r="Z47" s="307">
        <f t="shared" si="129"/>
        <v>26983707.614393219</v>
      </c>
      <c r="AA47" s="307">
        <f t="shared" si="129"/>
        <v>29467903.7360592</v>
      </c>
      <c r="AB47" s="307">
        <f t="shared" si="129"/>
        <v>34856485.197014645</v>
      </c>
      <c r="AC47" s="307">
        <f t="shared" si="129"/>
        <v>37145273.111150503</v>
      </c>
      <c r="AD47" s="307">
        <f t="shared" si="129"/>
        <v>40579689.598843247</v>
      </c>
      <c r="AE47" s="307">
        <f t="shared" si="129"/>
        <v>43437975.503545947</v>
      </c>
      <c r="AF47" s="307">
        <f t="shared" si="129"/>
        <v>44904775.103067435</v>
      </c>
      <c r="AG47" s="307">
        <f t="shared" si="129"/>
        <v>46533092.093382835</v>
      </c>
      <c r="AH47" s="307">
        <f t="shared" si="129"/>
        <v>50706562.075257398</v>
      </c>
      <c r="AI47" s="307">
        <f t="shared" si="129"/>
        <v>53428370.448796012</v>
      </c>
      <c r="AJ47" s="307">
        <f t="shared" si="129"/>
        <v>58283272.838381417</v>
      </c>
      <c r="AK47" s="307">
        <f t="shared" si="129"/>
        <v>63887967.652237639</v>
      </c>
      <c r="AL47" s="307">
        <f t="shared" si="129"/>
        <v>70435617.875621468</v>
      </c>
      <c r="AM47" s="307">
        <f t="shared" si="129"/>
        <v>77806090.980464503</v>
      </c>
      <c r="AN47" s="307">
        <f t="shared" si="129"/>
        <v>87245564.897686601</v>
      </c>
      <c r="AO47" s="307">
        <f t="shared" si="129"/>
        <v>96447053.7613298</v>
      </c>
      <c r="AP47" s="307">
        <f t="shared" si="129"/>
        <v>103742209.91893274</v>
      </c>
      <c r="AQ47" s="330">
        <f t="shared" si="130"/>
        <v>-0.44876017538427493</v>
      </c>
      <c r="AR47" s="308">
        <v>38645842.82513053</v>
      </c>
      <c r="AS47" s="308">
        <f t="shared" si="131"/>
        <v>-2960188.8251305297</v>
      </c>
      <c r="AT47" s="308">
        <v>25290101.381402399</v>
      </c>
      <c r="AU47" s="308">
        <f t="shared" si="132"/>
        <v>1674396.6185976006</v>
      </c>
      <c r="AV47" s="308">
        <v>17216635.536544409</v>
      </c>
      <c r="AW47" s="308">
        <f t="shared" si="133"/>
        <v>8717274.4634555914</v>
      </c>
      <c r="AX47" s="308">
        <v>16459937.942302834</v>
      </c>
      <c r="AY47" s="308">
        <f t="shared" si="134"/>
        <v>-2164133.9423028342</v>
      </c>
      <c r="AZ47" s="309">
        <v>15430234</v>
      </c>
      <c r="BA47" s="308">
        <f t="shared" si="135"/>
        <v>0</v>
      </c>
      <c r="BB47" s="331">
        <v>11674953.000317659</v>
      </c>
      <c r="BC47" s="308">
        <f t="shared" si="136"/>
        <v>4278983.314963622</v>
      </c>
      <c r="BD47" s="308"/>
      <c r="BE47" s="330"/>
      <c r="BF47" s="330"/>
    </row>
    <row r="48" spans="1:105">
      <c r="A48" s="301" t="s">
        <v>51</v>
      </c>
      <c r="B48" s="308">
        <f t="shared" si="137"/>
        <v>2060974</v>
      </c>
      <c r="C48" s="308">
        <f t="shared" si="128"/>
        <v>40041880</v>
      </c>
      <c r="D48" s="308">
        <f t="shared" si="128"/>
        <v>77702385</v>
      </c>
      <c r="E48" s="308">
        <f t="shared" si="128"/>
        <v>66025727</v>
      </c>
      <c r="F48" s="308">
        <f t="shared" si="128"/>
        <v>3506980</v>
      </c>
      <c r="G48" s="308">
        <f t="shared" si="128"/>
        <v>23671239</v>
      </c>
      <c r="H48" s="308">
        <f t="shared" si="128"/>
        <v>3947198</v>
      </c>
      <c r="I48" s="308">
        <f t="shared" si="128"/>
        <v>15561431</v>
      </c>
      <c r="J48" s="308">
        <f t="shared" si="128"/>
        <v>12755106</v>
      </c>
      <c r="K48" s="308">
        <f t="shared" si="128"/>
        <v>36017085</v>
      </c>
      <c r="L48" s="308">
        <f t="shared" si="129"/>
        <v>35313551</v>
      </c>
      <c r="M48" s="308">
        <f t="shared" si="129"/>
        <v>20138018</v>
      </c>
      <c r="N48" s="308">
        <f t="shared" si="129"/>
        <v>26309242</v>
      </c>
      <c r="O48" s="308">
        <f>O64+O112+O192+O240+O288+O352+O400</f>
        <v>33781708</v>
      </c>
      <c r="P48" s="308">
        <f t="shared" si="129"/>
        <v>18399511</v>
      </c>
      <c r="Q48" s="307">
        <f t="shared" si="129"/>
        <v>17504541.63352596</v>
      </c>
      <c r="R48" s="307">
        <f t="shared" si="129"/>
        <v>22231545.696653839</v>
      </c>
      <c r="S48" s="307">
        <f t="shared" si="129"/>
        <v>24741720.726506412</v>
      </c>
      <c r="T48" s="307">
        <f t="shared" si="129"/>
        <v>25630398.196393933</v>
      </c>
      <c r="U48" s="307">
        <f t="shared" si="129"/>
        <v>27057477.594658956</v>
      </c>
      <c r="V48" s="307">
        <f t="shared" ref="V48:AP52" si="138">V64+V112+V192+V240+V288+V352+V400</f>
        <v>28415517.567291223</v>
      </c>
      <c r="W48" s="307">
        <f t="shared" si="138"/>
        <v>30621441.738255411</v>
      </c>
      <c r="X48" s="307">
        <f t="shared" si="138"/>
        <v>31560776.010885697</v>
      </c>
      <c r="Y48" s="307">
        <f t="shared" si="138"/>
        <v>32773540.925919432</v>
      </c>
      <c r="Z48" s="307">
        <f t="shared" si="138"/>
        <v>33987632.859161772</v>
      </c>
      <c r="AA48" s="307">
        <f t="shared" si="138"/>
        <v>35979053.514682971</v>
      </c>
      <c r="AB48" s="307">
        <f t="shared" si="138"/>
        <v>38334272.965885602</v>
      </c>
      <c r="AC48" s="307">
        <f t="shared" si="138"/>
        <v>40369794.337916732</v>
      </c>
      <c r="AD48" s="307">
        <f t="shared" si="138"/>
        <v>42989921.32208965</v>
      </c>
      <c r="AE48" s="307">
        <f t="shared" si="138"/>
        <v>45478715.840919144</v>
      </c>
      <c r="AF48" s="307">
        <f t="shared" si="138"/>
        <v>47490648.688324414</v>
      </c>
      <c r="AG48" s="307">
        <f t="shared" si="138"/>
        <v>49240468.340909973</v>
      </c>
      <c r="AH48" s="307">
        <f t="shared" si="138"/>
        <v>52200255.651848279</v>
      </c>
      <c r="AI48" s="307">
        <f t="shared" si="138"/>
        <v>54691508.731594145</v>
      </c>
      <c r="AJ48" s="307">
        <f t="shared" si="138"/>
        <v>57368124.243925408</v>
      </c>
      <c r="AK48" s="307">
        <f t="shared" si="138"/>
        <v>60100381.021314181</v>
      </c>
      <c r="AL48" s="307">
        <f t="shared" si="138"/>
        <v>65940511.294651404</v>
      </c>
      <c r="AM48" s="307">
        <f t="shared" si="138"/>
        <v>71001879.439749926</v>
      </c>
      <c r="AN48" s="307">
        <f t="shared" si="138"/>
        <v>79940009.359812319</v>
      </c>
      <c r="AO48" s="307">
        <f t="shared" si="138"/>
        <v>89056954.858400121</v>
      </c>
      <c r="AP48" s="307">
        <f t="shared" si="138"/>
        <v>99890963.94177407</v>
      </c>
      <c r="AQ48" s="308"/>
      <c r="AR48" s="308">
        <v>33406388.622633222</v>
      </c>
      <c r="AS48" s="308">
        <f t="shared" si="131"/>
        <v>1907162.3773667775</v>
      </c>
      <c r="AT48" s="308">
        <v>21964143.030679781</v>
      </c>
      <c r="AU48" s="308">
        <f t="shared" si="132"/>
        <v>-1826125.030679781</v>
      </c>
      <c r="AV48" s="308">
        <v>22384437.699468877</v>
      </c>
      <c r="AW48" s="308">
        <f t="shared" si="133"/>
        <v>3924804.3005311228</v>
      </c>
      <c r="AX48" s="308">
        <v>20252670.043901734</v>
      </c>
      <c r="AY48" s="308">
        <f t="shared" si="134"/>
        <v>13529037.956098266</v>
      </c>
      <c r="AZ48" s="309">
        <v>17876406.857561648</v>
      </c>
      <c r="BA48" s="308">
        <f t="shared" si="135"/>
        <v>523104.14243835211</v>
      </c>
      <c r="BB48" s="331">
        <v>13106775.28630881</v>
      </c>
      <c r="BC48" s="308">
        <f t="shared" si="136"/>
        <v>4397766.34721715</v>
      </c>
      <c r="BD48" s="308"/>
      <c r="BE48" s="330"/>
      <c r="BF48" s="330"/>
    </row>
    <row r="49" spans="1:59">
      <c r="A49" s="301" t="s">
        <v>52</v>
      </c>
      <c r="B49" s="308">
        <f t="shared" si="137"/>
        <v>3237095</v>
      </c>
      <c r="C49" s="308">
        <f t="shared" si="128"/>
        <v>22411882</v>
      </c>
      <c r="D49" s="308">
        <f t="shared" si="128"/>
        <v>78347873</v>
      </c>
      <c r="E49" s="308">
        <f t="shared" si="128"/>
        <v>30022550</v>
      </c>
      <c r="F49" s="308">
        <f t="shared" si="128"/>
        <v>4848444</v>
      </c>
      <c r="G49" s="308">
        <f t="shared" si="128"/>
        <v>11397442</v>
      </c>
      <c r="H49" s="308">
        <f t="shared" si="128"/>
        <v>4614985</v>
      </c>
      <c r="I49" s="308">
        <f t="shared" si="128"/>
        <v>4415373</v>
      </c>
      <c r="J49" s="308">
        <f t="shared" si="128"/>
        <v>26803675</v>
      </c>
      <c r="K49" s="308">
        <f t="shared" si="128"/>
        <v>60293042</v>
      </c>
      <c r="L49" s="308">
        <f t="shared" ref="L49:AG52" si="139">L65+L113+L193+L241+L289+L353+L401</f>
        <v>24244675</v>
      </c>
      <c r="M49" s="308">
        <f t="shared" si="139"/>
        <v>20641075</v>
      </c>
      <c r="N49" s="308">
        <f t="shared" si="139"/>
        <v>32363921</v>
      </c>
      <c r="O49" s="308">
        <f>O65+O113+O193+O241+O289+O353+O401</f>
        <v>18087281</v>
      </c>
      <c r="P49" s="308">
        <f t="shared" ref="P49:P51" si="140">P65+P113+P193+P241+P289+P353+P401</f>
        <v>15597033</v>
      </c>
      <c r="Q49" s="307">
        <f t="shared" si="139"/>
        <v>16901387.009296693</v>
      </c>
      <c r="R49" s="307">
        <f t="shared" si="139"/>
        <v>20131152.802222829</v>
      </c>
      <c r="S49" s="307">
        <f t="shared" si="139"/>
        <v>22328683.828569856</v>
      </c>
      <c r="T49" s="307">
        <f t="shared" si="139"/>
        <v>23704893.479792405</v>
      </c>
      <c r="U49" s="307">
        <f t="shared" si="139"/>
        <v>24319685.028883446</v>
      </c>
      <c r="V49" s="307">
        <f t="shared" si="139"/>
        <v>26065540.606808573</v>
      </c>
      <c r="W49" s="307">
        <f t="shared" si="139"/>
        <v>28213292.576932862</v>
      </c>
      <c r="X49" s="307">
        <f t="shared" si="139"/>
        <v>28674325.821289178</v>
      </c>
      <c r="Y49" s="307">
        <f t="shared" si="139"/>
        <v>29873283.872430213</v>
      </c>
      <c r="Z49" s="307">
        <f t="shared" si="139"/>
        <v>30785868.489734095</v>
      </c>
      <c r="AA49" s="307">
        <f t="shared" si="139"/>
        <v>32867211.128488649</v>
      </c>
      <c r="AB49" s="307">
        <f t="shared" si="139"/>
        <v>35844278.456567466</v>
      </c>
      <c r="AC49" s="307">
        <f t="shared" si="139"/>
        <v>37682247.499749631</v>
      </c>
      <c r="AD49" s="307">
        <f t="shared" si="139"/>
        <v>40111118.484858304</v>
      </c>
      <c r="AE49" s="307">
        <f t="shared" si="139"/>
        <v>42431666.35453707</v>
      </c>
      <c r="AF49" s="307">
        <f t="shared" si="139"/>
        <v>44685084.370798275</v>
      </c>
      <c r="AG49" s="307">
        <f t="shared" si="139"/>
        <v>46512008.360459685</v>
      </c>
      <c r="AH49" s="307">
        <f t="shared" si="138"/>
        <v>49661844.957358599</v>
      </c>
      <c r="AI49" s="307">
        <f t="shared" si="138"/>
        <v>51944603.034251958</v>
      </c>
      <c r="AJ49" s="307">
        <f t="shared" si="138"/>
        <v>55012720.16623842</v>
      </c>
      <c r="AK49" s="307">
        <f t="shared" si="138"/>
        <v>58357196.96811159</v>
      </c>
      <c r="AL49" s="307">
        <f t="shared" si="138"/>
        <v>64334609.396322191</v>
      </c>
      <c r="AM49" s="307">
        <f t="shared" si="138"/>
        <v>70248255.845880911</v>
      </c>
      <c r="AN49" s="307">
        <f t="shared" si="138"/>
        <v>80017357.310980037</v>
      </c>
      <c r="AO49" s="307">
        <f t="shared" si="138"/>
        <v>89986057.128992677</v>
      </c>
      <c r="AP49" s="307">
        <f t="shared" si="138"/>
        <v>100304856.54684287</v>
      </c>
      <c r="AR49" s="308">
        <v>60438578.426103808</v>
      </c>
      <c r="AS49" s="308">
        <f t="shared" si="131"/>
        <v>-36193903.426103808</v>
      </c>
      <c r="AT49" s="308">
        <v>25639366.572526492</v>
      </c>
      <c r="AU49" s="308">
        <f t="shared" si="132"/>
        <v>-4998291.5725264922</v>
      </c>
      <c r="AV49" s="308">
        <v>23791250.69112923</v>
      </c>
      <c r="AW49" s="308">
        <f t="shared" si="133"/>
        <v>8572670.30887077</v>
      </c>
      <c r="AX49" s="308">
        <v>21810660.212727755</v>
      </c>
      <c r="AY49" s="308">
        <f t="shared" si="134"/>
        <v>-3723379.2127277553</v>
      </c>
      <c r="AZ49" s="309">
        <v>15926793.972510513</v>
      </c>
      <c r="BA49" s="308">
        <f t="shared" si="135"/>
        <v>-329760.97251051292</v>
      </c>
      <c r="BB49" s="331">
        <v>11383433.014910622</v>
      </c>
      <c r="BC49" s="308">
        <f t="shared" si="136"/>
        <v>5517953.9943860713</v>
      </c>
      <c r="BD49" s="308"/>
      <c r="BE49" s="330"/>
      <c r="BF49" s="330"/>
    </row>
    <row r="50" spans="1:59">
      <c r="A50" s="301" t="s">
        <v>53</v>
      </c>
      <c r="B50" s="308">
        <f t="shared" si="137"/>
        <v>4938619</v>
      </c>
      <c r="C50" s="308">
        <f t="shared" si="128"/>
        <v>28722605</v>
      </c>
      <c r="D50" s="308">
        <f t="shared" si="128"/>
        <v>110941218</v>
      </c>
      <c r="E50" s="308">
        <f t="shared" si="128"/>
        <v>22262456</v>
      </c>
      <c r="F50" s="308">
        <f t="shared" si="128"/>
        <v>3581819</v>
      </c>
      <c r="G50" s="308">
        <f t="shared" si="128"/>
        <v>26705387</v>
      </c>
      <c r="H50" s="308">
        <f t="shared" si="128"/>
        <v>4600781</v>
      </c>
      <c r="I50" s="308">
        <f t="shared" si="128"/>
        <v>27255375</v>
      </c>
      <c r="J50" s="308">
        <f t="shared" si="128"/>
        <v>18699327</v>
      </c>
      <c r="K50" s="308">
        <f>K66+K114+K194+K242+K290+K354+K402</f>
        <v>16551579</v>
      </c>
      <c r="L50" s="308">
        <f t="shared" si="139"/>
        <v>32166834</v>
      </c>
      <c r="M50" s="308">
        <f t="shared" si="139"/>
        <v>6961668</v>
      </c>
      <c r="N50" s="308">
        <f t="shared" si="139"/>
        <v>27689211</v>
      </c>
      <c r="O50" s="308">
        <f t="shared" si="139"/>
        <v>10887853</v>
      </c>
      <c r="P50" s="308">
        <f t="shared" si="140"/>
        <v>17397960</v>
      </c>
      <c r="Q50" s="307">
        <f t="shared" si="139"/>
        <v>16939724.406906292</v>
      </c>
      <c r="R50" s="307">
        <f t="shared" si="139"/>
        <v>19762086.083249558</v>
      </c>
      <c r="S50" s="307">
        <f t="shared" si="139"/>
        <v>22519371.027166594</v>
      </c>
      <c r="T50" s="307">
        <f t="shared" si="139"/>
        <v>22947234.888700537</v>
      </c>
      <c r="U50" s="307">
        <f t="shared" si="139"/>
        <v>24638460.165160708</v>
      </c>
      <c r="V50" s="307">
        <f t="shared" si="139"/>
        <v>25965866.079464972</v>
      </c>
      <c r="W50" s="307">
        <f t="shared" si="139"/>
        <v>27919528.613831569</v>
      </c>
      <c r="X50" s="307">
        <f t="shared" si="139"/>
        <v>27674287.770872485</v>
      </c>
      <c r="Y50" s="307">
        <f t="shared" si="139"/>
        <v>28484536.393399004</v>
      </c>
      <c r="Z50" s="307">
        <f t="shared" si="139"/>
        <v>28912240.892591082</v>
      </c>
      <c r="AA50" s="307">
        <f t="shared" si="139"/>
        <v>31136494.027181353</v>
      </c>
      <c r="AB50" s="307">
        <f t="shared" si="139"/>
        <v>35893566.77998101</v>
      </c>
      <c r="AC50" s="307">
        <f t="shared" si="139"/>
        <v>37893492.691787086</v>
      </c>
      <c r="AD50" s="307">
        <f t="shared" si="139"/>
        <v>40737305.864008129</v>
      </c>
      <c r="AE50" s="307">
        <f t="shared" si="139"/>
        <v>43157029.144011408</v>
      </c>
      <c r="AF50" s="307">
        <f t="shared" si="139"/>
        <v>45049277.133574247</v>
      </c>
      <c r="AG50" s="307">
        <f t="shared" si="139"/>
        <v>46842167.110040501</v>
      </c>
      <c r="AH50" s="307">
        <f t="shared" si="138"/>
        <v>50581185.583338104</v>
      </c>
      <c r="AI50" s="307">
        <f t="shared" si="138"/>
        <v>52929013.475702107</v>
      </c>
      <c r="AJ50" s="307">
        <f t="shared" si="138"/>
        <v>57153473.443785265</v>
      </c>
      <c r="AK50" s="307">
        <f t="shared" si="138"/>
        <v>62094333.475879259</v>
      </c>
      <c r="AL50" s="307">
        <f t="shared" si="138"/>
        <v>69450055.62377587</v>
      </c>
      <c r="AM50" s="307">
        <f t="shared" si="138"/>
        <v>76847781.226323053</v>
      </c>
      <c r="AN50" s="307">
        <f t="shared" si="138"/>
        <v>86809277.719933271</v>
      </c>
      <c r="AO50" s="307">
        <f t="shared" si="138"/>
        <v>96872112.088492781</v>
      </c>
      <c r="AP50" s="307">
        <f t="shared" si="138"/>
        <v>107228733.62761161</v>
      </c>
      <c r="AR50" s="308">
        <v>14712044.032107426</v>
      </c>
      <c r="AS50" s="308">
        <f t="shared" si="131"/>
        <v>17454789.967892572</v>
      </c>
      <c r="AT50" s="308">
        <v>21963148.764140308</v>
      </c>
      <c r="AU50" s="308">
        <f t="shared" si="132"/>
        <v>-15001480.764140308</v>
      </c>
      <c r="AV50" s="308">
        <v>14576113.416869227</v>
      </c>
      <c r="AW50" s="308">
        <f t="shared" si="133"/>
        <v>13113097.583130773</v>
      </c>
      <c r="AX50" s="309">
        <v>33367740.141358431</v>
      </c>
      <c r="AY50" s="308">
        <f t="shared" si="134"/>
        <v>-22479887.141358431</v>
      </c>
      <c r="AZ50" s="309">
        <v>14614454.067375503</v>
      </c>
      <c r="BA50" s="308">
        <f t="shared" si="135"/>
        <v>2783505.9326244965</v>
      </c>
      <c r="BB50" s="331">
        <v>11407923.702325832</v>
      </c>
      <c r="BC50" s="308">
        <f t="shared" si="136"/>
        <v>5531800.7045804597</v>
      </c>
      <c r="BD50" s="309"/>
      <c r="BE50" s="333"/>
      <c r="BF50" s="333"/>
    </row>
    <row r="51" spans="1:59">
      <c r="A51" s="301" t="s">
        <v>54</v>
      </c>
      <c r="B51" s="308">
        <f t="shared" si="137"/>
        <v>5980954</v>
      </c>
      <c r="C51" s="308">
        <f t="shared" si="128"/>
        <v>56145432</v>
      </c>
      <c r="D51" s="308">
        <f t="shared" si="128"/>
        <v>106561925</v>
      </c>
      <c r="E51" s="308">
        <f t="shared" si="128"/>
        <v>15134336</v>
      </c>
      <c r="F51" s="308">
        <f t="shared" si="128"/>
        <v>11581500</v>
      </c>
      <c r="G51" s="308">
        <f t="shared" si="128"/>
        <v>15905793</v>
      </c>
      <c r="H51" s="308">
        <f t="shared" si="128"/>
        <v>5391762</v>
      </c>
      <c r="I51" s="308">
        <f t="shared" si="128"/>
        <v>5391830</v>
      </c>
      <c r="J51" s="308">
        <f t="shared" si="128"/>
        <v>30274220</v>
      </c>
      <c r="K51" s="308">
        <f>K67+K115+K195+K243+K291+K355+K403</f>
        <v>30343086</v>
      </c>
      <c r="L51" s="308">
        <f t="shared" si="139"/>
        <v>38254803</v>
      </c>
      <c r="M51" s="308">
        <f t="shared" si="139"/>
        <v>19639264</v>
      </c>
      <c r="N51" s="308">
        <f t="shared" si="139"/>
        <v>31836144</v>
      </c>
      <c r="O51" s="308">
        <f t="shared" si="139"/>
        <v>12822094</v>
      </c>
      <c r="P51" s="308">
        <f t="shared" si="140"/>
        <v>18396070</v>
      </c>
      <c r="Q51" s="307">
        <f t="shared" si="139"/>
        <v>17432572.753923975</v>
      </c>
      <c r="R51" s="307">
        <f t="shared" si="139"/>
        <v>-17882147.33398078</v>
      </c>
      <c r="S51" s="307">
        <f t="shared" si="139"/>
        <v>42474352.919349439</v>
      </c>
      <c r="T51" s="307">
        <f t="shared" si="139"/>
        <v>68266673.646557719</v>
      </c>
      <c r="U51" s="307">
        <f t="shared" si="139"/>
        <v>11331983.788944874</v>
      </c>
      <c r="V51" s="307">
        <f t="shared" si="139"/>
        <v>16561561.644851731</v>
      </c>
      <c r="W51" s="307">
        <f t="shared" si="139"/>
        <v>30334402.151537672</v>
      </c>
      <c r="X51" s="307">
        <f t="shared" si="139"/>
        <v>-389389070.32844073</v>
      </c>
      <c r="Y51" s="307">
        <f t="shared" si="139"/>
        <v>-559523728.69226801</v>
      </c>
      <c r="Z51" s="307">
        <f t="shared" si="139"/>
        <v>-942464998.90593505</v>
      </c>
      <c r="AA51" s="307">
        <f t="shared" si="139"/>
        <v>-765103343.48971915</v>
      </c>
      <c r="AB51" s="307">
        <f t="shared" si="139"/>
        <v>335014947.08463866</v>
      </c>
      <c r="AC51" s="307">
        <f t="shared" si="139"/>
        <v>428958259.45613933</v>
      </c>
      <c r="AD51" s="307">
        <f t="shared" si="139"/>
        <v>690580761.22720385</v>
      </c>
      <c r="AE51" s="307">
        <f t="shared" si="139"/>
        <v>808549458.9319582</v>
      </c>
      <c r="AF51" s="307">
        <f t="shared" si="139"/>
        <v>664332248.3225174</v>
      </c>
      <c r="AG51" s="307">
        <f t="shared" si="139"/>
        <v>678845833.28387702</v>
      </c>
      <c r="AH51" s="307">
        <f t="shared" si="138"/>
        <v>1097410916.9631772</v>
      </c>
      <c r="AI51" s="307">
        <f t="shared" si="138"/>
        <v>1163703461.2935545</v>
      </c>
      <c r="AJ51" s="307">
        <f t="shared" si="138"/>
        <v>1926124381.5475304</v>
      </c>
      <c r="AK51" s="307">
        <f t="shared" si="138"/>
        <v>2947759703.5036383</v>
      </c>
      <c r="AL51" s="307">
        <f t="shared" si="138"/>
        <v>3796633914.7677412</v>
      </c>
      <c r="AM51" s="307">
        <f t="shared" si="138"/>
        <v>4830042638.6206942</v>
      </c>
      <c r="AN51" s="307">
        <f t="shared" si="138"/>
        <v>5221892824.5497684</v>
      </c>
      <c r="AO51" s="307">
        <f t="shared" si="138"/>
        <v>5567153594.3014746</v>
      </c>
      <c r="AP51" s="307">
        <f t="shared" si="138"/>
        <v>5614255237.3822727</v>
      </c>
      <c r="AR51" s="308">
        <v>31044506.999999989</v>
      </c>
      <c r="AS51" s="308">
        <f t="shared" si="131"/>
        <v>7210296.0000000112</v>
      </c>
      <c r="AT51" s="308">
        <v>24761646.999999985</v>
      </c>
      <c r="AU51" s="308">
        <f t="shared" si="132"/>
        <v>-5122382.9999999851</v>
      </c>
      <c r="AV51" s="308">
        <v>27603484.000000007</v>
      </c>
      <c r="AW51" s="308">
        <f t="shared" si="133"/>
        <v>4232659.9999999925</v>
      </c>
      <c r="AX51" s="309">
        <v>34410688.858641557</v>
      </c>
      <c r="AY51" s="308">
        <f t="shared" si="134"/>
        <v>-21588594.858641557</v>
      </c>
      <c r="AZ51" s="309">
        <v>15827647.10255231</v>
      </c>
      <c r="BA51" s="308">
        <f t="shared" si="135"/>
        <v>2568422.8974476904</v>
      </c>
      <c r="BB51" s="331">
        <v>6537666.6995713226</v>
      </c>
      <c r="BC51" s="308">
        <f t="shared" si="136"/>
        <v>10894906.054352652</v>
      </c>
      <c r="BD51" s="309"/>
      <c r="BE51" s="333"/>
      <c r="BF51" s="333"/>
    </row>
    <row r="52" spans="1:59" ht="12" thickBot="1">
      <c r="A52" s="301" t="s">
        <v>29</v>
      </c>
      <c r="B52" s="308">
        <f>SUM(B40:B51)</f>
        <v>19233282</v>
      </c>
      <c r="C52" s="308">
        <f t="shared" ref="C52:J52" si="141">SUM(C40:C51)</f>
        <v>215755059</v>
      </c>
      <c r="D52" s="308">
        <f t="shared" si="141"/>
        <v>618671889</v>
      </c>
      <c r="E52" s="308">
        <f t="shared" si="141"/>
        <v>527775069</v>
      </c>
      <c r="F52" s="308">
        <f t="shared" si="141"/>
        <v>131427352</v>
      </c>
      <c r="G52" s="308">
        <f t="shared" si="141"/>
        <v>135291787</v>
      </c>
      <c r="H52" s="308">
        <f t="shared" si="141"/>
        <v>85201935</v>
      </c>
      <c r="I52" s="308">
        <f t="shared" si="141"/>
        <v>128800020</v>
      </c>
      <c r="J52" s="308">
        <f t="shared" si="141"/>
        <v>150316051</v>
      </c>
      <c r="K52" s="308">
        <f>K68+K116+K196+K244+K292+K356+K404</f>
        <v>284667030</v>
      </c>
      <c r="L52" s="308">
        <f t="shared" si="139"/>
        <v>287574491</v>
      </c>
      <c r="M52" s="308">
        <f t="shared" si="139"/>
        <v>178038588</v>
      </c>
      <c r="N52" s="308">
        <f t="shared" si="139"/>
        <v>256398192</v>
      </c>
      <c r="O52" s="308">
        <f t="shared" si="139"/>
        <v>184397469</v>
      </c>
      <c r="P52" s="308">
        <f t="shared" si="139"/>
        <v>164671255</v>
      </c>
      <c r="Q52" s="307">
        <f>Q68+Q116+Q196+Q244+Q292+Q356+Q404</f>
        <v>187590954</v>
      </c>
      <c r="R52" s="307">
        <f t="shared" si="139"/>
        <v>212924326.08719003</v>
      </c>
      <c r="S52" s="307">
        <f t="shared" si="139"/>
        <v>234663778.94429806</v>
      </c>
      <c r="T52" s="307">
        <f t="shared" si="139"/>
        <v>246640114.42621827</v>
      </c>
      <c r="U52" s="307">
        <f t="shared" si="139"/>
        <v>259865282.65683204</v>
      </c>
      <c r="V52" s="307">
        <f t="shared" si="139"/>
        <v>279834286.22845912</v>
      </c>
      <c r="W52" s="307">
        <f t="shared" si="139"/>
        <v>299860988.1285249</v>
      </c>
      <c r="X52" s="307">
        <f t="shared" si="139"/>
        <v>309852041.35931545</v>
      </c>
      <c r="Y52" s="307">
        <f t="shared" si="139"/>
        <v>324836952.7441265</v>
      </c>
      <c r="Z52" s="307">
        <f t="shared" si="139"/>
        <v>339826547.19219637</v>
      </c>
      <c r="AA52" s="307">
        <f t="shared" si="139"/>
        <v>360315974.95038724</v>
      </c>
      <c r="AB52" s="307">
        <f t="shared" si="139"/>
        <v>379811011.66212881</v>
      </c>
      <c r="AC52" s="307">
        <f t="shared" si="139"/>
        <v>399798650.27802825</v>
      </c>
      <c r="AD52" s="307">
        <f t="shared" si="139"/>
        <v>424787116.26988083</v>
      </c>
      <c r="AE52" s="307">
        <f t="shared" si="139"/>
        <v>449772925.53789246</v>
      </c>
      <c r="AF52" s="307">
        <f t="shared" si="139"/>
        <v>474759490.82537436</v>
      </c>
      <c r="AG52" s="307">
        <f t="shared" si="139"/>
        <v>494749681.84830505</v>
      </c>
      <c r="AH52" s="307">
        <f t="shared" si="138"/>
        <v>524735266.5283708</v>
      </c>
      <c r="AI52" s="307">
        <f t="shared" si="138"/>
        <v>549721182.95272839</v>
      </c>
      <c r="AJ52" s="307">
        <f t="shared" si="138"/>
        <v>574710799.73063993</v>
      </c>
      <c r="AK52" s="307">
        <f t="shared" si="138"/>
        <v>599697001.7895565</v>
      </c>
      <c r="AL52" s="307">
        <f t="shared" si="138"/>
        <v>649672669.06498075</v>
      </c>
      <c r="AM52" s="307">
        <f t="shared" si="138"/>
        <v>699648192.82546198</v>
      </c>
      <c r="AN52" s="307">
        <f t="shared" si="138"/>
        <v>799543675.98562074</v>
      </c>
      <c r="AO52" s="307">
        <f t="shared" si="138"/>
        <v>899481011.06057048</v>
      </c>
      <c r="AP52" s="307">
        <f t="shared" si="138"/>
        <v>999411371.75929952</v>
      </c>
      <c r="AR52" s="308">
        <v>276590488</v>
      </c>
      <c r="AS52" s="308">
        <f t="shared" si="131"/>
        <v>10984003</v>
      </c>
      <c r="AT52" s="308">
        <v>182876074</v>
      </c>
      <c r="AU52" s="308">
        <f t="shared" si="132"/>
        <v>-4837486</v>
      </c>
      <c r="AV52" s="308">
        <v>251569684</v>
      </c>
      <c r="AW52" s="308">
        <f t="shared" si="133"/>
        <v>4828508</v>
      </c>
      <c r="AX52" s="309">
        <v>228206223</v>
      </c>
      <c r="AY52" s="308">
        <f t="shared" si="134"/>
        <v>-43808754</v>
      </c>
      <c r="AZ52" s="309">
        <v>159125983</v>
      </c>
      <c r="BA52" s="308">
        <f t="shared" si="135"/>
        <v>5545272</v>
      </c>
      <c r="BB52" s="331">
        <v>137090954</v>
      </c>
      <c r="BC52" s="308">
        <f t="shared" si="136"/>
        <v>50500000</v>
      </c>
      <c r="BD52" s="308"/>
      <c r="BE52" s="308"/>
    </row>
    <row r="53" spans="1:59">
      <c r="A53" s="334"/>
      <c r="B53" s="334"/>
      <c r="C53" s="334"/>
      <c r="D53" s="334"/>
      <c r="E53" s="334"/>
      <c r="F53" s="334"/>
      <c r="G53" s="334"/>
      <c r="H53" s="334"/>
      <c r="I53" s="334"/>
      <c r="J53" s="334"/>
      <c r="K53" s="334"/>
      <c r="L53" s="334"/>
      <c r="M53" s="335">
        <f>M52/L52-1</f>
        <v>-0.38089575545836574</v>
      </c>
      <c r="N53" s="335">
        <f>N52/M52-1</f>
        <v>0.44012708076521023</v>
      </c>
      <c r="O53" s="335">
        <f>O52/N52-1</f>
        <v>-0.28081603243130515</v>
      </c>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T53" s="309"/>
      <c r="AY53" s="308"/>
      <c r="AZ53" s="308"/>
      <c r="BA53" s="308"/>
    </row>
    <row r="54" spans="1:59" ht="12" thickBot="1">
      <c r="A54" s="300" t="s">
        <v>433</v>
      </c>
      <c r="M54" s="308">
        <f>M52-L52</f>
        <v>-109535903</v>
      </c>
      <c r="N54" s="308">
        <f>N52-M52</f>
        <v>78359604</v>
      </c>
      <c r="O54" s="308">
        <f>O52-N52</f>
        <v>-72000723</v>
      </c>
      <c r="AT54" s="309"/>
      <c r="AY54" s="308"/>
      <c r="AZ54" s="308"/>
      <c r="BA54" s="308"/>
      <c r="BB54" s="308"/>
      <c r="BC54" s="308"/>
    </row>
    <row r="55" spans="1:59" ht="12" thickBot="1">
      <c r="A55" s="328"/>
      <c r="B55" s="329">
        <f t="shared" ref="B55:AP55" si="142">B2</f>
        <v>2010</v>
      </c>
      <c r="C55" s="329">
        <f t="shared" si="142"/>
        <v>2011</v>
      </c>
      <c r="D55" s="329">
        <f t="shared" si="142"/>
        <v>2012</v>
      </c>
      <c r="E55" s="329">
        <f t="shared" si="142"/>
        <v>2013</v>
      </c>
      <c r="F55" s="329">
        <f t="shared" si="142"/>
        <v>2014</v>
      </c>
      <c r="G55" s="329">
        <f t="shared" si="142"/>
        <v>2015</v>
      </c>
      <c r="H55" s="329">
        <f t="shared" si="142"/>
        <v>2016</v>
      </c>
      <c r="I55" s="329">
        <f t="shared" si="142"/>
        <v>2017</v>
      </c>
      <c r="J55" s="329">
        <f t="shared" si="142"/>
        <v>2018</v>
      </c>
      <c r="K55" s="329">
        <f t="shared" si="142"/>
        <v>2019</v>
      </c>
      <c r="L55" s="329">
        <f t="shared" si="142"/>
        <v>2020</v>
      </c>
      <c r="M55" s="329">
        <f t="shared" si="142"/>
        <v>2021</v>
      </c>
      <c r="N55" s="329">
        <f t="shared" si="142"/>
        <v>2022</v>
      </c>
      <c r="O55" s="329">
        <f t="shared" si="142"/>
        <v>2023</v>
      </c>
      <c r="P55" s="329">
        <f t="shared" si="142"/>
        <v>2024</v>
      </c>
      <c r="Q55" s="329">
        <f t="shared" si="142"/>
        <v>2025</v>
      </c>
      <c r="R55" s="329">
        <f t="shared" si="142"/>
        <v>2026</v>
      </c>
      <c r="S55" s="329">
        <f t="shared" si="142"/>
        <v>2027</v>
      </c>
      <c r="T55" s="329">
        <f t="shared" si="142"/>
        <v>2028</v>
      </c>
      <c r="U55" s="329">
        <f t="shared" si="142"/>
        <v>2029</v>
      </c>
      <c r="V55" s="329">
        <f t="shared" si="142"/>
        <v>2030</v>
      </c>
      <c r="W55" s="329">
        <f t="shared" si="142"/>
        <v>2031</v>
      </c>
      <c r="X55" s="329">
        <f t="shared" si="142"/>
        <v>2032</v>
      </c>
      <c r="Y55" s="329">
        <f t="shared" si="142"/>
        <v>2033</v>
      </c>
      <c r="Z55" s="329">
        <f t="shared" si="142"/>
        <v>2034</v>
      </c>
      <c r="AA55" s="329">
        <f t="shared" si="142"/>
        <v>2035</v>
      </c>
      <c r="AB55" s="329">
        <f t="shared" si="142"/>
        <v>2036</v>
      </c>
      <c r="AC55" s="329">
        <f t="shared" si="142"/>
        <v>2037</v>
      </c>
      <c r="AD55" s="329">
        <f t="shared" si="142"/>
        <v>2038</v>
      </c>
      <c r="AE55" s="329">
        <f t="shared" si="142"/>
        <v>2039</v>
      </c>
      <c r="AF55" s="329">
        <f t="shared" si="142"/>
        <v>2040</v>
      </c>
      <c r="AG55" s="329">
        <f t="shared" si="142"/>
        <v>2041</v>
      </c>
      <c r="AH55" s="329">
        <f t="shared" si="142"/>
        <v>2042</v>
      </c>
      <c r="AI55" s="329">
        <f t="shared" si="142"/>
        <v>2043</v>
      </c>
      <c r="AJ55" s="329">
        <f t="shared" si="142"/>
        <v>2044</v>
      </c>
      <c r="AK55" s="329">
        <f t="shared" si="142"/>
        <v>2045</v>
      </c>
      <c r="AL55" s="329">
        <f t="shared" si="142"/>
        <v>2046</v>
      </c>
      <c r="AM55" s="329">
        <f t="shared" si="142"/>
        <v>2047</v>
      </c>
      <c r="AN55" s="329">
        <f t="shared" si="142"/>
        <v>2048</v>
      </c>
      <c r="AO55" s="329">
        <f t="shared" si="142"/>
        <v>2049</v>
      </c>
      <c r="AP55" s="329">
        <f t="shared" si="142"/>
        <v>2050</v>
      </c>
      <c r="AT55" s="309"/>
      <c r="AY55" s="308"/>
      <c r="AZ55" s="308"/>
      <c r="BA55" s="308"/>
    </row>
    <row r="56" spans="1:59">
      <c r="A56" s="301" t="s">
        <v>43</v>
      </c>
      <c r="B56" s="308">
        <f t="shared" ref="B56:AP62" si="143">B72+B88</f>
        <v>0</v>
      </c>
      <c r="C56" s="308">
        <f t="shared" si="143"/>
        <v>1723406</v>
      </c>
      <c r="D56" s="308">
        <f t="shared" si="143"/>
        <v>6130879</v>
      </c>
      <c r="E56" s="308">
        <f t="shared" si="143"/>
        <v>51710703</v>
      </c>
      <c r="F56" s="308">
        <f t="shared" si="143"/>
        <v>5020302</v>
      </c>
      <c r="G56" s="308">
        <f t="shared" si="143"/>
        <v>2406832</v>
      </c>
      <c r="H56" s="308">
        <f t="shared" si="143"/>
        <v>2221196</v>
      </c>
      <c r="I56" s="308">
        <f t="shared" si="143"/>
        <v>2054933</v>
      </c>
      <c r="J56" s="308">
        <f t="shared" si="143"/>
        <v>2191637</v>
      </c>
      <c r="K56" s="308">
        <f t="shared" si="143"/>
        <v>2101339</v>
      </c>
      <c r="L56" s="308">
        <f t="shared" si="143"/>
        <v>9423341</v>
      </c>
      <c r="M56" s="308">
        <f t="shared" si="143"/>
        <v>2426841</v>
      </c>
      <c r="N56" s="308">
        <f t="shared" si="143"/>
        <v>2549105</v>
      </c>
      <c r="O56" s="308">
        <f t="shared" si="143"/>
        <v>2395622</v>
      </c>
      <c r="P56" s="308">
        <f t="shared" si="143"/>
        <v>2544908</v>
      </c>
      <c r="Q56" s="308">
        <f t="shared" si="143"/>
        <v>2317112</v>
      </c>
      <c r="R56" s="307">
        <f t="shared" si="143"/>
        <v>2682551.7906044959</v>
      </c>
      <c r="S56" s="307">
        <f t="shared" si="143"/>
        <v>3042489.35813733</v>
      </c>
      <c r="T56" s="307">
        <f t="shared" si="143"/>
        <v>3253302.441405558</v>
      </c>
      <c r="U56" s="307">
        <f t="shared" si="143"/>
        <v>3436835.3889496964</v>
      </c>
      <c r="V56" s="307">
        <f t="shared" si="143"/>
        <v>3610963.2466753139</v>
      </c>
      <c r="W56" s="307">
        <f t="shared" si="143"/>
        <v>4096529.6109418394</v>
      </c>
      <c r="X56" s="307">
        <f t="shared" si="143"/>
        <v>4191664.6241021687</v>
      </c>
      <c r="Y56" s="307">
        <f t="shared" si="143"/>
        <v>4425714.4726249678</v>
      </c>
      <c r="Z56" s="307">
        <f t="shared" si="143"/>
        <v>4655516.060920218</v>
      </c>
      <c r="AA56" s="307">
        <f t="shared" si="143"/>
        <v>4863942.0446963701</v>
      </c>
      <c r="AB56" s="307">
        <f t="shared" si="143"/>
        <v>5005091.0419605104</v>
      </c>
      <c r="AC56" s="307">
        <f t="shared" si="143"/>
        <v>5255464.8754321542</v>
      </c>
      <c r="AD56" s="307">
        <f t="shared" si="143"/>
        <v>5497182.4308943702</v>
      </c>
      <c r="AE56" s="307">
        <f t="shared" si="143"/>
        <v>5768767.3766099885</v>
      </c>
      <c r="AF56" s="307">
        <f t="shared" si="143"/>
        <v>6339935.6049944935</v>
      </c>
      <c r="AG56" s="307">
        <f t="shared" si="143"/>
        <v>7278854.1508708633</v>
      </c>
      <c r="AH56" s="307">
        <f t="shared" si="143"/>
        <v>7650423.5163009781</v>
      </c>
      <c r="AI56" s="307">
        <f t="shared" si="143"/>
        <v>7751031.9871965703</v>
      </c>
      <c r="AJ56" s="307">
        <f t="shared" si="143"/>
        <v>8017507.9221180016</v>
      </c>
      <c r="AK56" s="307">
        <f t="shared" si="143"/>
        <v>8481928.2094994429</v>
      </c>
      <c r="AL56" s="307">
        <f t="shared" si="143"/>
        <v>9277535.4320185091</v>
      </c>
      <c r="AM56" s="307">
        <f t="shared" si="143"/>
        <v>10340987.099943845</v>
      </c>
      <c r="AN56" s="307">
        <f t="shared" si="143"/>
        <v>12617172.479488213</v>
      </c>
      <c r="AO56" s="307">
        <f t="shared" si="143"/>
        <v>14395571.47601839</v>
      </c>
      <c r="AP56" s="307">
        <f t="shared" si="143"/>
        <v>16303614.850472102</v>
      </c>
      <c r="AR56" s="308">
        <v>3914045.0860573635</v>
      </c>
      <c r="AS56" s="308">
        <f t="shared" ref="AS56:AS68" si="144">L56-AR56</f>
        <v>5509295.9139426369</v>
      </c>
      <c r="AT56" s="308">
        <v>4877969.1995857675</v>
      </c>
      <c r="AU56" s="308">
        <f t="shared" ref="AU56:AU68" si="145">M56-AT56</f>
        <v>-2451128.1995857675</v>
      </c>
      <c r="AV56" s="308">
        <v>3326434.8836331535</v>
      </c>
      <c r="AW56" s="308">
        <f t="shared" ref="AW56:AW68" si="146">N56-AV56</f>
        <v>-777329.88363315351</v>
      </c>
      <c r="AX56" s="308">
        <v>4078267.7273718631</v>
      </c>
      <c r="AY56" s="308">
        <f t="shared" ref="AY56:AY68" si="147">O56-AX56</f>
        <v>-1682645.7273718631</v>
      </c>
      <c r="AZ56" s="308">
        <v>2544908</v>
      </c>
      <c r="BA56" s="308">
        <f t="shared" ref="BA56:BA68" si="148">P56-AZ56</f>
        <v>0</v>
      </c>
      <c r="BB56" s="331">
        <v>2317112</v>
      </c>
      <c r="BC56" s="308">
        <f t="shared" ref="BC56:BC68" si="149">Q56-BB56</f>
        <v>0</v>
      </c>
      <c r="BD56" s="308"/>
      <c r="BE56" s="308"/>
      <c r="BF56" s="308"/>
      <c r="BG56" s="308"/>
    </row>
    <row r="57" spans="1:59">
      <c r="A57" s="301" t="s">
        <v>44</v>
      </c>
      <c r="B57" s="308">
        <f t="shared" si="143"/>
        <v>0</v>
      </c>
      <c r="C57" s="308">
        <f t="shared" si="143"/>
        <v>1503587</v>
      </c>
      <c r="D57" s="308">
        <f t="shared" si="143"/>
        <v>2190906</v>
      </c>
      <c r="E57" s="308">
        <f t="shared" si="143"/>
        <v>30750326</v>
      </c>
      <c r="F57" s="308">
        <f t="shared" si="143"/>
        <v>1716474</v>
      </c>
      <c r="G57" s="308">
        <f t="shared" si="143"/>
        <v>1708936</v>
      </c>
      <c r="H57" s="308">
        <f t="shared" si="143"/>
        <v>1973477</v>
      </c>
      <c r="I57" s="308">
        <f t="shared" si="143"/>
        <v>2111437</v>
      </c>
      <c r="J57" s="308">
        <f t="shared" si="143"/>
        <v>1746856</v>
      </c>
      <c r="K57" s="308">
        <f t="shared" si="143"/>
        <v>2049780</v>
      </c>
      <c r="L57" s="308">
        <f t="shared" si="143"/>
        <v>14179634</v>
      </c>
      <c r="M57" s="308">
        <f t="shared" si="143"/>
        <v>1464560</v>
      </c>
      <c r="N57" s="308">
        <f t="shared" si="143"/>
        <v>13127868</v>
      </c>
      <c r="O57" s="308">
        <f t="shared" si="143"/>
        <v>2258268</v>
      </c>
      <c r="P57" s="308">
        <f t="shared" si="143"/>
        <v>2449930</v>
      </c>
      <c r="Q57" s="332">
        <f t="shared" si="143"/>
        <v>2100498</v>
      </c>
      <c r="R57" s="307">
        <f t="shared" si="143"/>
        <v>2348306.5095371576</v>
      </c>
      <c r="S57" s="307">
        <f t="shared" si="143"/>
        <v>2824151.9904497149</v>
      </c>
      <c r="T57" s="307">
        <f t="shared" si="143"/>
        <v>3002331.5472689429</v>
      </c>
      <c r="U57" s="307">
        <f t="shared" si="143"/>
        <v>3159922.7456743722</v>
      </c>
      <c r="V57" s="307">
        <f t="shared" si="143"/>
        <v>3293041.961595831</v>
      </c>
      <c r="W57" s="307">
        <f t="shared" si="143"/>
        <v>3739080.1634810194</v>
      </c>
      <c r="X57" s="307">
        <f t="shared" si="143"/>
        <v>3849990.6355252564</v>
      </c>
      <c r="Y57" s="307">
        <f t="shared" si="143"/>
        <v>4057900.0268294583</v>
      </c>
      <c r="Z57" s="307">
        <f t="shared" si="143"/>
        <v>4264031.3972967463</v>
      </c>
      <c r="AA57" s="307">
        <f t="shared" si="143"/>
        <v>4452127.2852698117</v>
      </c>
      <c r="AB57" s="307">
        <f t="shared" si="143"/>
        <v>4584070.3274811311</v>
      </c>
      <c r="AC57" s="307">
        <f t="shared" si="143"/>
        <v>4816302.5498838909</v>
      </c>
      <c r="AD57" s="307">
        <f t="shared" si="143"/>
        <v>5035869.7428089166</v>
      </c>
      <c r="AE57" s="307">
        <f t="shared" si="143"/>
        <v>5283846.1563171418</v>
      </c>
      <c r="AF57" s="307">
        <f t="shared" si="143"/>
        <v>5807036.4928839877</v>
      </c>
      <c r="AG57" s="307">
        <f t="shared" si="143"/>
        <v>6667813.070464802</v>
      </c>
      <c r="AH57" s="307">
        <f t="shared" si="143"/>
        <v>7008407.4703651452</v>
      </c>
      <c r="AI57" s="307">
        <f t="shared" si="143"/>
        <v>7100127.2054584231</v>
      </c>
      <c r="AJ57" s="307">
        <f t="shared" si="143"/>
        <v>7344151.2935496839</v>
      </c>
      <c r="AK57" s="307">
        <f t="shared" si="143"/>
        <v>7769664.6258142078</v>
      </c>
      <c r="AL57" s="307">
        <f t="shared" si="143"/>
        <v>8498581.5601726659</v>
      </c>
      <c r="AM57" s="307">
        <f t="shared" si="143"/>
        <v>9472719.1055767909</v>
      </c>
      <c r="AN57" s="307">
        <f t="shared" si="143"/>
        <v>11557689.030781329</v>
      </c>
      <c r="AO57" s="307">
        <f t="shared" si="143"/>
        <v>13186764.538439482</v>
      </c>
      <c r="AP57" s="307">
        <f t="shared" si="143"/>
        <v>14934623.717544464</v>
      </c>
      <c r="AR57" s="308">
        <v>7672335.844367573</v>
      </c>
      <c r="AS57" s="308">
        <f t="shared" si="144"/>
        <v>6507298.155632427</v>
      </c>
      <c r="AT57" s="308">
        <v>6497025.1580929738</v>
      </c>
      <c r="AU57" s="308">
        <f t="shared" si="145"/>
        <v>-5032465.1580929738</v>
      </c>
      <c r="AV57" s="308">
        <v>3794281.0372174047</v>
      </c>
      <c r="AW57" s="308">
        <f t="shared" si="146"/>
        <v>9333586.9627825953</v>
      </c>
      <c r="AX57" s="308">
        <v>5633655.285190817</v>
      </c>
      <c r="AY57" s="308">
        <f t="shared" si="147"/>
        <v>-3375387.285190817</v>
      </c>
      <c r="AZ57" s="308">
        <v>2449930</v>
      </c>
      <c r="BA57" s="308">
        <f t="shared" si="148"/>
        <v>0</v>
      </c>
      <c r="BB57" s="331">
        <v>2100498</v>
      </c>
      <c r="BC57" s="308">
        <f t="shared" si="149"/>
        <v>0</v>
      </c>
      <c r="BD57" s="308"/>
      <c r="BE57" s="308"/>
      <c r="BF57" s="308"/>
      <c r="BG57" s="308"/>
    </row>
    <row r="58" spans="1:59">
      <c r="A58" s="301" t="s">
        <v>45</v>
      </c>
      <c r="B58" s="308">
        <f t="shared" si="143"/>
        <v>0</v>
      </c>
      <c r="C58" s="308">
        <f t="shared" si="143"/>
        <v>1822590</v>
      </c>
      <c r="D58" s="308">
        <f t="shared" si="143"/>
        <v>20619700</v>
      </c>
      <c r="E58" s="308">
        <f t="shared" si="143"/>
        <v>47895336</v>
      </c>
      <c r="F58" s="308">
        <f t="shared" si="143"/>
        <v>4941249</v>
      </c>
      <c r="G58" s="308">
        <f t="shared" si="143"/>
        <v>2032746</v>
      </c>
      <c r="H58" s="308">
        <f t="shared" si="143"/>
        <v>2110279</v>
      </c>
      <c r="I58" s="308">
        <f t="shared" si="143"/>
        <v>2213701</v>
      </c>
      <c r="J58" s="308">
        <f t="shared" si="143"/>
        <v>2029616</v>
      </c>
      <c r="K58" s="308">
        <f t="shared" si="143"/>
        <v>8611913</v>
      </c>
      <c r="L58" s="308">
        <f t="shared" si="143"/>
        <v>26423755</v>
      </c>
      <c r="M58" s="308">
        <f t="shared" si="143"/>
        <v>2445094</v>
      </c>
      <c r="N58" s="308">
        <f t="shared" si="143"/>
        <v>2331151</v>
      </c>
      <c r="O58" s="308">
        <f t="shared" si="143"/>
        <v>3125864</v>
      </c>
      <c r="P58" s="308">
        <f t="shared" si="143"/>
        <v>2114115</v>
      </c>
      <c r="Q58" s="332">
        <f t="shared" si="143"/>
        <v>2317486</v>
      </c>
      <c r="R58" s="307">
        <f t="shared" si="143"/>
        <v>2704506.3022636184</v>
      </c>
      <c r="S58" s="307">
        <f t="shared" si="143"/>
        <v>3067781.5650613056</v>
      </c>
      <c r="T58" s="307">
        <f t="shared" si="143"/>
        <v>3340273.8902091705</v>
      </c>
      <c r="U58" s="307">
        <f t="shared" si="143"/>
        <v>3363282.8773316923</v>
      </c>
      <c r="V58" s="307">
        <f t="shared" si="143"/>
        <v>3625924.3924932485</v>
      </c>
      <c r="W58" s="307">
        <f t="shared" si="143"/>
        <v>4115860.9901169399</v>
      </c>
      <c r="X58" s="307">
        <f t="shared" si="143"/>
        <v>4209210.7703671055</v>
      </c>
      <c r="Y58" s="307">
        <f t="shared" si="143"/>
        <v>4441250.9164378783</v>
      </c>
      <c r="Z58" s="307">
        <f t="shared" si="143"/>
        <v>4654060.7732600877</v>
      </c>
      <c r="AA58" s="307">
        <f t="shared" si="143"/>
        <v>4879224.4226909522</v>
      </c>
      <c r="AB58" s="307">
        <f t="shared" si="143"/>
        <v>5020002.9775542133</v>
      </c>
      <c r="AC58" s="307">
        <f t="shared" si="143"/>
        <v>5269504.3853654703</v>
      </c>
      <c r="AD58" s="307">
        <f t="shared" si="143"/>
        <v>5510425.9109153012</v>
      </c>
      <c r="AE58" s="307">
        <f t="shared" si="143"/>
        <v>5781552.7334901979</v>
      </c>
      <c r="AF58" s="307">
        <f t="shared" si="143"/>
        <v>6356815.225469484</v>
      </c>
      <c r="AG58" s="307">
        <f t="shared" si="143"/>
        <v>7297624.3176939478</v>
      </c>
      <c r="AH58" s="307">
        <f t="shared" si="143"/>
        <v>7669642.8880591942</v>
      </c>
      <c r="AI58" s="307">
        <f t="shared" si="143"/>
        <v>7770304.7645553509</v>
      </c>
      <c r="AJ58" s="307">
        <f t="shared" si="143"/>
        <v>8037541.2662642086</v>
      </c>
      <c r="AK58" s="307">
        <f t="shared" si="143"/>
        <v>8503495.0676432475</v>
      </c>
      <c r="AL58" s="307">
        <f t="shared" si="143"/>
        <v>9300945.5000875667</v>
      </c>
      <c r="AM58" s="307">
        <f t="shared" si="143"/>
        <v>10366979.28227927</v>
      </c>
      <c r="AN58" s="307">
        <f t="shared" si="143"/>
        <v>12648888.768765837</v>
      </c>
      <c r="AO58" s="307">
        <f t="shared" si="143"/>
        <v>14431820.612525698</v>
      </c>
      <c r="AP58" s="307">
        <f t="shared" si="143"/>
        <v>16344714.539024962</v>
      </c>
      <c r="AR58" s="308">
        <v>5453763.3449570872</v>
      </c>
      <c r="AS58" s="308">
        <f t="shared" si="144"/>
        <v>20969991.655042913</v>
      </c>
      <c r="AT58" s="308">
        <v>11814557.768399391</v>
      </c>
      <c r="AU58" s="308">
        <f t="shared" si="145"/>
        <v>-9369463.7683993913</v>
      </c>
      <c r="AV58" s="308">
        <v>7212208.4719094252</v>
      </c>
      <c r="AW58" s="308">
        <f t="shared" si="146"/>
        <v>-4881057.4719094252</v>
      </c>
      <c r="AX58" s="308">
        <v>6769658.1638730289</v>
      </c>
      <c r="AY58" s="308">
        <f t="shared" si="147"/>
        <v>-3643794.1638730289</v>
      </c>
      <c r="AZ58" s="308">
        <v>2114115</v>
      </c>
      <c r="BA58" s="308">
        <f t="shared" si="148"/>
        <v>0</v>
      </c>
      <c r="BB58" s="331">
        <v>1933103.8694434667</v>
      </c>
      <c r="BC58" s="308">
        <f t="shared" si="149"/>
        <v>384382.13055653335</v>
      </c>
      <c r="BD58" s="308"/>
      <c r="BE58" s="308"/>
      <c r="BF58" s="308"/>
      <c r="BG58" s="308"/>
    </row>
    <row r="59" spans="1:59">
      <c r="A59" s="301" t="s">
        <v>46</v>
      </c>
      <c r="B59" s="308">
        <f t="shared" si="143"/>
        <v>0</v>
      </c>
      <c r="C59" s="308">
        <f t="shared" si="143"/>
        <v>1614284</v>
      </c>
      <c r="D59" s="308">
        <f t="shared" si="143"/>
        <v>15997437</v>
      </c>
      <c r="E59" s="308">
        <f t="shared" si="143"/>
        <v>26767214</v>
      </c>
      <c r="F59" s="308">
        <f t="shared" si="143"/>
        <v>18542196</v>
      </c>
      <c r="G59" s="308">
        <f t="shared" si="143"/>
        <v>12523216</v>
      </c>
      <c r="H59" s="308">
        <f t="shared" si="143"/>
        <v>2240412</v>
      </c>
      <c r="I59" s="308">
        <f t="shared" si="143"/>
        <v>1749802</v>
      </c>
      <c r="J59" s="308">
        <f t="shared" si="143"/>
        <v>2129955</v>
      </c>
      <c r="K59" s="308">
        <f t="shared" si="143"/>
        <v>15304609</v>
      </c>
      <c r="L59" s="308">
        <f t="shared" si="143"/>
        <v>1989362</v>
      </c>
      <c r="M59" s="308">
        <f t="shared" si="143"/>
        <v>2129916</v>
      </c>
      <c r="N59" s="308">
        <f t="shared" si="143"/>
        <v>2237127</v>
      </c>
      <c r="O59" s="308">
        <f t="shared" si="143"/>
        <v>2058614</v>
      </c>
      <c r="P59" s="308">
        <f t="shared" si="143"/>
        <v>2530447</v>
      </c>
      <c r="Q59" s="307">
        <f t="shared" si="143"/>
        <v>2666353.2326315162</v>
      </c>
      <c r="R59" s="307">
        <f t="shared" si="143"/>
        <v>2548544.503919851</v>
      </c>
      <c r="S59" s="307">
        <f t="shared" si="143"/>
        <v>2933301.2067448152</v>
      </c>
      <c r="T59" s="307">
        <f t="shared" si="143"/>
        <v>3191802.3720973684</v>
      </c>
      <c r="U59" s="307">
        <f t="shared" si="143"/>
        <v>3444306.0198850334</v>
      </c>
      <c r="V59" s="307">
        <f t="shared" si="143"/>
        <v>3623712.7335449317</v>
      </c>
      <c r="W59" s="307">
        <f t="shared" si="143"/>
        <v>4023813.3052593516</v>
      </c>
      <c r="X59" s="307">
        <f t="shared" si="143"/>
        <v>4138023.1246391386</v>
      </c>
      <c r="Y59" s="307">
        <f t="shared" si="143"/>
        <v>4385803.5005680081</v>
      </c>
      <c r="Z59" s="307">
        <f t="shared" si="143"/>
        <v>4621109.5257110139</v>
      </c>
      <c r="AA59" s="307">
        <f t="shared" si="143"/>
        <v>4820374.6748520518</v>
      </c>
      <c r="AB59" s="307">
        <f t="shared" si="143"/>
        <v>4950108.0575438896</v>
      </c>
      <c r="AC59" s="307">
        <f t="shared" si="143"/>
        <v>5204025.2556185704</v>
      </c>
      <c r="AD59" s="307">
        <f t="shared" si="143"/>
        <v>5446241.6320761656</v>
      </c>
      <c r="AE59" s="307">
        <f t="shared" si="143"/>
        <v>5715058.6439998113</v>
      </c>
      <c r="AF59" s="307">
        <f t="shared" si="143"/>
        <v>6278762.0288024247</v>
      </c>
      <c r="AG59" s="307">
        <f t="shared" si="143"/>
        <v>7207742.2063530218</v>
      </c>
      <c r="AH59" s="307">
        <f t="shared" si="143"/>
        <v>7577225.9911718518</v>
      </c>
      <c r="AI59" s="307">
        <f t="shared" si="143"/>
        <v>7677147.3866864974</v>
      </c>
      <c r="AJ59" s="307">
        <f t="shared" si="143"/>
        <v>7940746.8327786857</v>
      </c>
      <c r="AK59" s="307">
        <f t="shared" si="143"/>
        <v>8400372.0104868263</v>
      </c>
      <c r="AL59" s="307">
        <f t="shared" si="143"/>
        <v>9188379.7369253095</v>
      </c>
      <c r="AM59" s="307">
        <f t="shared" si="143"/>
        <v>10241903.92499386</v>
      </c>
      <c r="AN59" s="307">
        <f t="shared" si="143"/>
        <v>12496249.397059832</v>
      </c>
      <c r="AO59" s="307">
        <f t="shared" si="143"/>
        <v>14257485.650311388</v>
      </c>
      <c r="AP59" s="307">
        <f t="shared" si="143"/>
        <v>16147183.773977149</v>
      </c>
      <c r="AR59" s="308">
        <v>4108938.7499157917</v>
      </c>
      <c r="AS59" s="308">
        <f t="shared" si="144"/>
        <v>-2119576.7499157917</v>
      </c>
      <c r="AT59" s="308">
        <v>5826354.2602846455</v>
      </c>
      <c r="AU59" s="308">
        <f t="shared" si="145"/>
        <v>-3696438.2602846455</v>
      </c>
      <c r="AV59" s="308">
        <v>4420913.3921855707</v>
      </c>
      <c r="AW59" s="308">
        <f t="shared" si="146"/>
        <v>-2183786.3921855707</v>
      </c>
      <c r="AX59" s="308">
        <v>2814332.4875089712</v>
      </c>
      <c r="AY59" s="308">
        <f t="shared" si="147"/>
        <v>-755718.48750897124</v>
      </c>
      <c r="AZ59" s="308">
        <v>2530447</v>
      </c>
      <c r="BA59" s="308">
        <f t="shared" si="148"/>
        <v>0</v>
      </c>
      <c r="BB59" s="331">
        <v>1750983.5748869886</v>
      </c>
      <c r="BC59" s="308">
        <f t="shared" si="149"/>
        <v>915369.65774452756</v>
      </c>
      <c r="BD59" s="308"/>
      <c r="BE59" s="308"/>
      <c r="BF59" s="308"/>
      <c r="BG59" s="308"/>
    </row>
    <row r="60" spans="1:59">
      <c r="A60" s="301" t="s">
        <v>47</v>
      </c>
      <c r="B60" s="308">
        <f t="shared" si="143"/>
        <v>0</v>
      </c>
      <c r="C60" s="308">
        <f t="shared" si="143"/>
        <v>1699974</v>
      </c>
      <c r="D60" s="308">
        <f t="shared" si="143"/>
        <v>16664300</v>
      </c>
      <c r="E60" s="308">
        <f t="shared" si="143"/>
        <v>30661971</v>
      </c>
      <c r="F60" s="308">
        <f t="shared" si="143"/>
        <v>22634671</v>
      </c>
      <c r="G60" s="308">
        <f t="shared" si="143"/>
        <v>1951230</v>
      </c>
      <c r="H60" s="308">
        <f t="shared" si="143"/>
        <v>4388282</v>
      </c>
      <c r="I60" s="308">
        <f t="shared" si="143"/>
        <v>10675231</v>
      </c>
      <c r="J60" s="308">
        <f t="shared" si="143"/>
        <v>2025926</v>
      </c>
      <c r="K60" s="308">
        <f t="shared" si="143"/>
        <v>2180038</v>
      </c>
      <c r="L60" s="308">
        <f t="shared" si="143"/>
        <v>1967105</v>
      </c>
      <c r="M60" s="308">
        <f t="shared" si="143"/>
        <v>1974084</v>
      </c>
      <c r="N60" s="308">
        <f t="shared" si="143"/>
        <v>13476393</v>
      </c>
      <c r="O60" s="308">
        <f t="shared" si="143"/>
        <v>2737856</v>
      </c>
      <c r="P60" s="308">
        <f t="shared" si="143"/>
        <v>2537729</v>
      </c>
      <c r="Q60" s="307">
        <f t="shared" si="143"/>
        <v>2924441.0956325573</v>
      </c>
      <c r="R60" s="307">
        <f t="shared" si="143"/>
        <v>2842333.4766850173</v>
      </c>
      <c r="S60" s="307">
        <f t="shared" si="143"/>
        <v>3369218.8760459125</v>
      </c>
      <c r="T60" s="307">
        <f t="shared" si="143"/>
        <v>3611366.2186319614</v>
      </c>
      <c r="U60" s="307">
        <f t="shared" si="143"/>
        <v>3795589.1340427198</v>
      </c>
      <c r="V60" s="307">
        <f t="shared" si="143"/>
        <v>4054765.1547839171</v>
      </c>
      <c r="W60" s="307">
        <f t="shared" si="143"/>
        <v>4517561.6548312418</v>
      </c>
      <c r="X60" s="307">
        <f t="shared" si="143"/>
        <v>4650336.5296437321</v>
      </c>
      <c r="Y60" s="307">
        <f t="shared" si="143"/>
        <v>4911471.923861526</v>
      </c>
      <c r="Z60" s="307">
        <f t="shared" si="143"/>
        <v>5166263.3379292479</v>
      </c>
      <c r="AA60" s="307">
        <f t="shared" si="143"/>
        <v>5401796.5888607092</v>
      </c>
      <c r="AB60" s="307">
        <f t="shared" si="143"/>
        <v>5548535.7801250536</v>
      </c>
      <c r="AC60" s="307">
        <f t="shared" si="143"/>
        <v>5831491.2092709644</v>
      </c>
      <c r="AD60" s="307">
        <f t="shared" si="143"/>
        <v>6099874.0436055632</v>
      </c>
      <c r="AE60" s="307">
        <f t="shared" si="143"/>
        <v>6401111.8661970301</v>
      </c>
      <c r="AF60" s="307">
        <f t="shared" si="143"/>
        <v>7034785.014202063</v>
      </c>
      <c r="AG60" s="307">
        <f t="shared" si="143"/>
        <v>8075361.3748324737</v>
      </c>
      <c r="AH60" s="307">
        <f t="shared" si="143"/>
        <v>8488669.4731192272</v>
      </c>
      <c r="AI60" s="307">
        <f t="shared" si="143"/>
        <v>8600255.5936388187</v>
      </c>
      <c r="AJ60" s="307">
        <f t="shared" si="143"/>
        <v>8895833.8317210525</v>
      </c>
      <c r="AK60" s="307">
        <f t="shared" si="143"/>
        <v>9411047.0124076996</v>
      </c>
      <c r="AL60" s="307">
        <f t="shared" si="143"/>
        <v>10293719.02940529</v>
      </c>
      <c r="AM60" s="307">
        <f t="shared" si="143"/>
        <v>11473842.535069244</v>
      </c>
      <c r="AN60" s="307">
        <f t="shared" si="143"/>
        <v>13999343.293995306</v>
      </c>
      <c r="AO60" s="307">
        <f t="shared" si="143"/>
        <v>15972523.902223675</v>
      </c>
      <c r="AP60" s="307">
        <f t="shared" si="143"/>
        <v>18089566.580371141</v>
      </c>
      <c r="AR60" s="308">
        <v>3744170.1893171584</v>
      </c>
      <c r="AS60" s="308">
        <f t="shared" si="144"/>
        <v>-1777065.1893171584</v>
      </c>
      <c r="AT60" s="308">
        <v>12198217.540065158</v>
      </c>
      <c r="AU60" s="308">
        <f t="shared" si="145"/>
        <v>-10224133.540065158</v>
      </c>
      <c r="AV60" s="308">
        <v>3816280.4782519885</v>
      </c>
      <c r="AW60" s="308">
        <f t="shared" si="146"/>
        <v>9660112.5217480119</v>
      </c>
      <c r="AX60" s="308">
        <v>12781221.478510424</v>
      </c>
      <c r="AY60" s="308">
        <f t="shared" si="147"/>
        <v>-10043365.478510424</v>
      </c>
      <c r="AZ60" s="308">
        <v>2537729</v>
      </c>
      <c r="BA60" s="308">
        <f t="shared" si="148"/>
        <v>0</v>
      </c>
      <c r="BB60" s="331">
        <v>1920468.8491792111</v>
      </c>
      <c r="BC60" s="308">
        <f t="shared" si="149"/>
        <v>1003972.2464533462</v>
      </c>
      <c r="BD60" s="308"/>
      <c r="BE60" s="308"/>
      <c r="BF60" s="308"/>
      <c r="BG60" s="308"/>
    </row>
    <row r="61" spans="1:59">
      <c r="A61" s="301" t="s">
        <v>48</v>
      </c>
      <c r="B61" s="308">
        <f t="shared" si="143"/>
        <v>0</v>
      </c>
      <c r="C61" s="308">
        <f t="shared" si="143"/>
        <v>5236790</v>
      </c>
      <c r="D61" s="308">
        <f t="shared" si="143"/>
        <v>39586298</v>
      </c>
      <c r="E61" s="308">
        <f t="shared" si="143"/>
        <v>35251125</v>
      </c>
      <c r="F61" s="308">
        <f t="shared" si="143"/>
        <v>12755368</v>
      </c>
      <c r="G61" s="308">
        <f t="shared" si="143"/>
        <v>2144244</v>
      </c>
      <c r="H61" s="308">
        <f t="shared" si="143"/>
        <v>13185333</v>
      </c>
      <c r="I61" s="308">
        <f t="shared" si="143"/>
        <v>13230358</v>
      </c>
      <c r="J61" s="308">
        <f t="shared" si="143"/>
        <v>2194561</v>
      </c>
      <c r="K61" s="308">
        <f t="shared" si="143"/>
        <v>26523528</v>
      </c>
      <c r="L61" s="308">
        <f t="shared" si="143"/>
        <v>1972220</v>
      </c>
      <c r="M61" s="308">
        <f t="shared" si="143"/>
        <v>15451059</v>
      </c>
      <c r="N61" s="308">
        <f t="shared" si="143"/>
        <v>2536364</v>
      </c>
      <c r="O61" s="308">
        <f t="shared" si="143"/>
        <v>2590243</v>
      </c>
      <c r="P61" s="308">
        <f t="shared" si="143"/>
        <v>2214046</v>
      </c>
      <c r="Q61" s="307">
        <f t="shared" si="143"/>
        <v>2895851.7952426393</v>
      </c>
      <c r="R61" s="307">
        <f t="shared" si="143"/>
        <v>2809208.4597637844</v>
      </c>
      <c r="S61" s="307">
        <f t="shared" si="143"/>
        <v>3178036.2062862492</v>
      </c>
      <c r="T61" s="307">
        <f t="shared" si="143"/>
        <v>3429892.2670694455</v>
      </c>
      <c r="U61" s="307">
        <f t="shared" si="143"/>
        <v>3607349.3825319735</v>
      </c>
      <c r="V61" s="307">
        <f t="shared" si="143"/>
        <v>3902159.9474684154</v>
      </c>
      <c r="W61" s="307">
        <f t="shared" si="143"/>
        <v>4326712.3587171743</v>
      </c>
      <c r="X61" s="307">
        <f t="shared" si="143"/>
        <v>4432979.3345221952</v>
      </c>
      <c r="Y61" s="307">
        <f t="shared" si="143"/>
        <v>4689933.6854303386</v>
      </c>
      <c r="Z61" s="307">
        <f t="shared" si="143"/>
        <v>4937609.213827149</v>
      </c>
      <c r="AA61" s="307">
        <f t="shared" si="143"/>
        <v>5167412.6891687969</v>
      </c>
      <c r="AB61" s="307">
        <f t="shared" si="143"/>
        <v>5302532.6796460319</v>
      </c>
      <c r="AC61" s="307">
        <f t="shared" si="143"/>
        <v>5570798.1419003746</v>
      </c>
      <c r="AD61" s="307">
        <f t="shared" si="143"/>
        <v>5829333.0485598147</v>
      </c>
      <c r="AE61" s="307">
        <f t="shared" si="143"/>
        <v>6118055.9882225748</v>
      </c>
      <c r="AF61" s="307">
        <f t="shared" si="143"/>
        <v>6723757.0049732877</v>
      </c>
      <c r="AG61" s="307">
        <f t="shared" si="143"/>
        <v>7717165.4430476846</v>
      </c>
      <c r="AH61" s="307">
        <f t="shared" si="143"/>
        <v>8112112.3230806664</v>
      </c>
      <c r="AI61" s="307">
        <f t="shared" si="143"/>
        <v>8219226.9284747588</v>
      </c>
      <c r="AJ61" s="307">
        <f t="shared" si="143"/>
        <v>8501776.621436635</v>
      </c>
      <c r="AK61" s="307">
        <f t="shared" si="143"/>
        <v>8994054.5773312282</v>
      </c>
      <c r="AL61" s="307">
        <f t="shared" si="143"/>
        <v>9837456.586772725</v>
      </c>
      <c r="AM61" s="307">
        <f t="shared" si="143"/>
        <v>10965337.364108825</v>
      </c>
      <c r="AN61" s="307">
        <f t="shared" si="143"/>
        <v>13379012.243916873</v>
      </c>
      <c r="AO61" s="307">
        <f t="shared" si="143"/>
        <v>15264740.349768383</v>
      </c>
      <c r="AP61" s="307">
        <f t="shared" si="143"/>
        <v>17287930.005877588</v>
      </c>
      <c r="AR61" s="308">
        <v>15155028.337229885</v>
      </c>
      <c r="AS61" s="308">
        <f t="shared" si="144"/>
        <v>-13182808.337229885</v>
      </c>
      <c r="AT61" s="308">
        <v>17639654.007978033</v>
      </c>
      <c r="AU61" s="308">
        <f t="shared" si="145"/>
        <v>-2188595.0079780333</v>
      </c>
      <c r="AV61" s="308">
        <v>9817239.3028841745</v>
      </c>
      <c r="AW61" s="308">
        <f t="shared" si="146"/>
        <v>-7280875.3028841745</v>
      </c>
      <c r="AX61" s="308">
        <v>3052442.0455073467</v>
      </c>
      <c r="AY61" s="308">
        <f t="shared" si="147"/>
        <v>-462199.04550734675</v>
      </c>
      <c r="AZ61" s="308">
        <v>2214046</v>
      </c>
      <c r="BA61" s="308">
        <f t="shared" si="148"/>
        <v>0</v>
      </c>
      <c r="BB61" s="331">
        <v>1901694.3691937323</v>
      </c>
      <c r="BC61" s="308">
        <f t="shared" si="149"/>
        <v>994157.42604890699</v>
      </c>
      <c r="BD61" s="308"/>
      <c r="BE61" s="308"/>
      <c r="BF61" s="308"/>
      <c r="BG61" s="308"/>
    </row>
    <row r="62" spans="1:59">
      <c r="A62" s="301" t="s">
        <v>49</v>
      </c>
      <c r="B62" s="308">
        <f t="shared" si="143"/>
        <v>347397</v>
      </c>
      <c r="C62" s="308">
        <f t="shared" si="143"/>
        <v>15201399</v>
      </c>
      <c r="D62" s="308">
        <f t="shared" si="143"/>
        <v>50968356</v>
      </c>
      <c r="E62" s="308">
        <f t="shared" si="143"/>
        <v>55751819</v>
      </c>
      <c r="F62" s="308">
        <f t="shared" si="143"/>
        <v>7246020</v>
      </c>
      <c r="G62" s="308">
        <f t="shared" si="143"/>
        <v>2197184</v>
      </c>
      <c r="H62" s="308">
        <f t="shared" si="143"/>
        <v>13086002</v>
      </c>
      <c r="I62" s="308">
        <f t="shared" si="143"/>
        <v>2221115</v>
      </c>
      <c r="J62" s="308">
        <f t="shared" si="143"/>
        <v>2183916</v>
      </c>
      <c r="K62" s="308">
        <f t="shared" ref="B62:AP67" si="150">K78+K94</f>
        <v>25383164</v>
      </c>
      <c r="L62" s="308">
        <f t="shared" si="150"/>
        <v>23842616</v>
      </c>
      <c r="M62" s="308">
        <f t="shared" si="150"/>
        <v>12508227</v>
      </c>
      <c r="N62" s="308">
        <f t="shared" si="150"/>
        <v>4725510</v>
      </c>
      <c r="O62" s="308">
        <f t="shared" si="150"/>
        <v>2084196</v>
      </c>
      <c r="P62" s="308">
        <f t="shared" si="150"/>
        <v>2272727</v>
      </c>
      <c r="Q62" s="307">
        <f t="shared" si="150"/>
        <v>2608745.1589768725</v>
      </c>
      <c r="R62" s="307">
        <f t="shared" si="150"/>
        <v>2524500.2606017208</v>
      </c>
      <c r="S62" s="307">
        <f t="shared" si="150"/>
        <v>2890968.2013887144</v>
      </c>
      <c r="T62" s="307">
        <f t="shared" si="150"/>
        <v>3102562.2003470268</v>
      </c>
      <c r="U62" s="307">
        <f t="shared" si="150"/>
        <v>3327360.9606186664</v>
      </c>
      <c r="V62" s="307">
        <f t="shared" si="150"/>
        <v>3542786.1665257937</v>
      </c>
      <c r="W62" s="307">
        <f t="shared" si="150"/>
        <v>3933456.0423203814</v>
      </c>
      <c r="X62" s="307">
        <f t="shared" si="150"/>
        <v>4037125.3403399526</v>
      </c>
      <c r="Y62" s="307">
        <f t="shared" si="150"/>
        <v>4271914.5642306572</v>
      </c>
      <c r="Z62" s="307">
        <f t="shared" si="150"/>
        <v>4502607.7581298742</v>
      </c>
      <c r="AA62" s="307">
        <f t="shared" si="150"/>
        <v>4703398.2628248027</v>
      </c>
      <c r="AB62" s="307">
        <f t="shared" si="150"/>
        <v>4828405.2507328158</v>
      </c>
      <c r="AC62" s="307">
        <f t="shared" si="150"/>
        <v>5074133.0460074674</v>
      </c>
      <c r="AD62" s="307">
        <f t="shared" si="150"/>
        <v>5309761.6051981663</v>
      </c>
      <c r="AE62" s="307">
        <f t="shared" si="150"/>
        <v>5572751.1892765472</v>
      </c>
      <c r="AF62" s="307">
        <f t="shared" si="150"/>
        <v>6123243.1138194967</v>
      </c>
      <c r="AG62" s="307">
        <f t="shared" si="150"/>
        <v>7028581.319318831</v>
      </c>
      <c r="AH62" s="307">
        <f t="shared" si="150"/>
        <v>7388540.6436780868</v>
      </c>
      <c r="AI62" s="307">
        <f t="shared" si="150"/>
        <v>7486046.1253484506</v>
      </c>
      <c r="AJ62" s="307">
        <f t="shared" si="150"/>
        <v>7743293.9379073381</v>
      </c>
      <c r="AK62" s="307">
        <f t="shared" si="150"/>
        <v>8191535.5282608094</v>
      </c>
      <c r="AL62" s="307">
        <f t="shared" si="150"/>
        <v>8959817.2715605795</v>
      </c>
      <c r="AM62" s="307">
        <f t="shared" si="150"/>
        <v>9987101.4984992407</v>
      </c>
      <c r="AN62" s="307">
        <f t="shared" si="150"/>
        <v>12185413.001428094</v>
      </c>
      <c r="AO62" s="307">
        <f t="shared" si="150"/>
        <v>13902880.075994922</v>
      </c>
      <c r="AP62" s="307">
        <f t="shared" si="150"/>
        <v>15745564.990904719</v>
      </c>
      <c r="AR62" s="308">
        <v>13391541.167013325</v>
      </c>
      <c r="AS62" s="308">
        <f t="shared" si="144"/>
        <v>10451074.832986675</v>
      </c>
      <c r="AT62" s="308">
        <v>14868567.309201663</v>
      </c>
      <c r="AU62" s="308">
        <f t="shared" si="145"/>
        <v>-2360340.3092016634</v>
      </c>
      <c r="AV62" s="308">
        <v>9799892.5215110406</v>
      </c>
      <c r="AW62" s="308">
        <f t="shared" si="146"/>
        <v>-5074382.5215110406</v>
      </c>
      <c r="AX62" s="308">
        <v>5203177.6296766149</v>
      </c>
      <c r="AY62" s="308">
        <f t="shared" si="147"/>
        <v>-3118981.6296766149</v>
      </c>
      <c r="AZ62" s="309">
        <v>2272727</v>
      </c>
      <c r="BA62" s="308">
        <f t="shared" si="148"/>
        <v>0</v>
      </c>
      <c r="BB62" s="331">
        <v>1713152.5817853701</v>
      </c>
      <c r="BC62" s="308">
        <f t="shared" si="149"/>
        <v>895592.57719150232</v>
      </c>
      <c r="BD62" s="308"/>
      <c r="BE62" s="308"/>
      <c r="BF62" s="308"/>
      <c r="BG62" s="308"/>
    </row>
    <row r="63" spans="1:59">
      <c r="A63" s="301" t="s">
        <v>50</v>
      </c>
      <c r="B63" s="308">
        <f t="shared" si="150"/>
        <v>373169</v>
      </c>
      <c r="C63" s="308">
        <f t="shared" si="150"/>
        <v>24784267</v>
      </c>
      <c r="D63" s="308">
        <f t="shared" si="150"/>
        <v>84707431</v>
      </c>
      <c r="E63" s="308">
        <f t="shared" si="150"/>
        <v>82569339</v>
      </c>
      <c r="F63" s="308">
        <f t="shared" si="150"/>
        <v>2143347</v>
      </c>
      <c r="G63" s="308">
        <f t="shared" si="150"/>
        <v>17747836</v>
      </c>
      <c r="H63" s="308">
        <f t="shared" si="150"/>
        <v>13521216</v>
      </c>
      <c r="I63" s="308">
        <f t="shared" si="150"/>
        <v>24653134</v>
      </c>
      <c r="J63" s="308">
        <f t="shared" si="150"/>
        <v>22254101</v>
      </c>
      <c r="K63" s="308">
        <f t="shared" si="150"/>
        <v>15945131</v>
      </c>
      <c r="L63" s="308">
        <f t="shared" si="150"/>
        <v>29513045</v>
      </c>
      <c r="M63" s="308">
        <f t="shared" si="150"/>
        <v>17098227</v>
      </c>
      <c r="N63" s="308">
        <f t="shared" si="150"/>
        <v>10835842</v>
      </c>
      <c r="O63" s="308">
        <f t="shared" si="150"/>
        <v>2352734</v>
      </c>
      <c r="P63" s="308">
        <f t="shared" si="150"/>
        <v>2063554</v>
      </c>
      <c r="Q63" s="307">
        <f t="shared" si="150"/>
        <v>2705293.2434301563</v>
      </c>
      <c r="R63" s="307">
        <f t="shared" si="150"/>
        <v>2601520.0004472677</v>
      </c>
      <c r="S63" s="307">
        <f t="shared" si="150"/>
        <v>2962684.3167262413</v>
      </c>
      <c r="T63" s="307">
        <f t="shared" si="150"/>
        <v>3178903.518065054</v>
      </c>
      <c r="U63" s="307">
        <f t="shared" si="150"/>
        <v>3355285.0751208281</v>
      </c>
      <c r="V63" s="307">
        <f t="shared" si="150"/>
        <v>3628462.5855201855</v>
      </c>
      <c r="W63" s="307">
        <f t="shared" si="150"/>
        <v>4020027.2977902545</v>
      </c>
      <c r="X63" s="307">
        <f t="shared" si="150"/>
        <v>4120820.8715157113</v>
      </c>
      <c r="Y63" s="307">
        <f t="shared" si="150"/>
        <v>4357672.553168891</v>
      </c>
      <c r="Z63" s="307">
        <f t="shared" si="150"/>
        <v>4589685.0806027446</v>
      </c>
      <c r="AA63" s="307">
        <f t="shared" si="150"/>
        <v>4802803.1859096475</v>
      </c>
      <c r="AB63" s="307">
        <f t="shared" si="150"/>
        <v>4928020.7496412816</v>
      </c>
      <c r="AC63" s="307">
        <f t="shared" si="150"/>
        <v>5177587.4187237537</v>
      </c>
      <c r="AD63" s="307">
        <f t="shared" si="150"/>
        <v>5417705.7377230143</v>
      </c>
      <c r="AE63" s="307">
        <f t="shared" si="150"/>
        <v>5686289.8936392358</v>
      </c>
      <c r="AF63" s="307">
        <f t="shared" si="150"/>
        <v>6249116.5992970206</v>
      </c>
      <c r="AG63" s="307">
        <f t="shared" si="150"/>
        <v>7172355.4001008347</v>
      </c>
      <c r="AH63" s="307">
        <f t="shared" si="150"/>
        <v>7539462.8234176328</v>
      </c>
      <c r="AI63" s="307">
        <f t="shared" si="150"/>
        <v>7639005.8660213305</v>
      </c>
      <c r="AJ63" s="307">
        <f t="shared" si="150"/>
        <v>7901636.3065826586</v>
      </c>
      <c r="AK63" s="307">
        <f t="shared" si="150"/>
        <v>8359139.7699433919</v>
      </c>
      <c r="AL63" s="307">
        <f t="shared" si="150"/>
        <v>9143001.8608170487</v>
      </c>
      <c r="AM63" s="307">
        <f t="shared" si="150"/>
        <v>10191270.496323651</v>
      </c>
      <c r="AN63" s="307">
        <f t="shared" si="150"/>
        <v>12434558.26073513</v>
      </c>
      <c r="AO63" s="307">
        <f t="shared" si="150"/>
        <v>14187170.936394595</v>
      </c>
      <c r="AP63" s="307">
        <f t="shared" si="150"/>
        <v>16067534.273197446</v>
      </c>
      <c r="AR63" s="308">
        <v>33526839.597771212</v>
      </c>
      <c r="AS63" s="308">
        <f t="shared" si="144"/>
        <v>-4013794.5977712125</v>
      </c>
      <c r="AT63" s="308">
        <v>18851744.167141911</v>
      </c>
      <c r="AU63" s="308">
        <f t="shared" si="145"/>
        <v>-1753517.1671419106</v>
      </c>
      <c r="AV63" s="308">
        <v>5708676.1976178521</v>
      </c>
      <c r="AW63" s="308">
        <f t="shared" si="146"/>
        <v>5127165.8023821479</v>
      </c>
      <c r="AX63" s="308">
        <v>6103551.3014231045</v>
      </c>
      <c r="AY63" s="308">
        <f t="shared" si="147"/>
        <v>-3750817.3014231045</v>
      </c>
      <c r="AZ63" s="309">
        <v>2063554</v>
      </c>
      <c r="BA63" s="308">
        <f t="shared" si="148"/>
        <v>0</v>
      </c>
      <c r="BB63" s="331">
        <v>1776555.3252762076</v>
      </c>
      <c r="BC63" s="308">
        <f t="shared" si="149"/>
        <v>928737.91815394862</v>
      </c>
      <c r="BD63" s="308"/>
      <c r="BE63" s="308"/>
      <c r="BF63" s="308"/>
      <c r="BG63" s="308"/>
    </row>
    <row r="64" spans="1:59">
      <c r="A64" s="301" t="s">
        <v>51</v>
      </c>
      <c r="B64" s="308">
        <f t="shared" si="150"/>
        <v>320813</v>
      </c>
      <c r="C64" s="308">
        <f t="shared" si="150"/>
        <v>37687145</v>
      </c>
      <c r="D64" s="308">
        <f t="shared" si="150"/>
        <v>76582545</v>
      </c>
      <c r="E64" s="308">
        <f t="shared" si="150"/>
        <v>51705466</v>
      </c>
      <c r="F64" s="308">
        <f t="shared" si="150"/>
        <v>2177573</v>
      </c>
      <c r="G64" s="308">
        <f t="shared" si="150"/>
        <v>21886342</v>
      </c>
      <c r="H64" s="308">
        <f t="shared" si="150"/>
        <v>1921626</v>
      </c>
      <c r="I64" s="308">
        <f t="shared" si="150"/>
        <v>13176610</v>
      </c>
      <c r="J64" s="308">
        <f t="shared" si="150"/>
        <v>6270744</v>
      </c>
      <c r="K64" s="308">
        <f t="shared" si="150"/>
        <v>30742451</v>
      </c>
      <c r="L64" s="308">
        <f t="shared" si="150"/>
        <v>29288372</v>
      </c>
      <c r="M64" s="308">
        <f t="shared" si="150"/>
        <v>12568819</v>
      </c>
      <c r="N64" s="308">
        <f t="shared" si="150"/>
        <v>11463794</v>
      </c>
      <c r="O64" s="308">
        <f t="shared" si="150"/>
        <v>21969936</v>
      </c>
      <c r="P64" s="308">
        <f t="shared" si="150"/>
        <v>2338802</v>
      </c>
      <c r="Q64" s="307">
        <f t="shared" si="150"/>
        <v>2664056.2957418049</v>
      </c>
      <c r="R64" s="307">
        <f t="shared" si="150"/>
        <v>2567275.6487281965</v>
      </c>
      <c r="S64" s="307">
        <f t="shared" si="150"/>
        <v>3037853.5410813116</v>
      </c>
      <c r="T64" s="307">
        <f t="shared" si="150"/>
        <v>3301558.2248755032</v>
      </c>
      <c r="U64" s="307">
        <f t="shared" si="150"/>
        <v>3454014.6745739691</v>
      </c>
      <c r="V64" s="307">
        <f t="shared" si="150"/>
        <v>3682648.5707750879</v>
      </c>
      <c r="W64" s="307">
        <f t="shared" si="150"/>
        <v>4100928.3526675641</v>
      </c>
      <c r="X64" s="307">
        <f t="shared" si="150"/>
        <v>4224563.9940378107</v>
      </c>
      <c r="Y64" s="307">
        <f t="shared" si="150"/>
        <v>4467239.7961121127</v>
      </c>
      <c r="Z64" s="307">
        <f t="shared" si="150"/>
        <v>4695020.4606447397</v>
      </c>
      <c r="AA64" s="307">
        <f t="shared" si="150"/>
        <v>4907993.3268891005</v>
      </c>
      <c r="AB64" s="307">
        <f t="shared" si="150"/>
        <v>5041645.2116934406</v>
      </c>
      <c r="AC64" s="307">
        <f t="shared" si="150"/>
        <v>5299643.1071635913</v>
      </c>
      <c r="AD64" s="307">
        <f t="shared" si="150"/>
        <v>5543923.1784197148</v>
      </c>
      <c r="AE64" s="307">
        <f t="shared" si="150"/>
        <v>5816928.4231675165</v>
      </c>
      <c r="AF64" s="307">
        <f t="shared" si="150"/>
        <v>6392711.9653800353</v>
      </c>
      <c r="AG64" s="307">
        <f t="shared" si="150"/>
        <v>7338516.1329471562</v>
      </c>
      <c r="AH64" s="307">
        <f t="shared" si="150"/>
        <v>7714265.8848339608</v>
      </c>
      <c r="AI64" s="307">
        <f t="shared" si="150"/>
        <v>7815637.2964147264</v>
      </c>
      <c r="AJ64" s="307">
        <f t="shared" si="150"/>
        <v>8084121.9755821442</v>
      </c>
      <c r="AK64" s="307">
        <f t="shared" si="150"/>
        <v>8552348.0737003088</v>
      </c>
      <c r="AL64" s="307">
        <f t="shared" si="150"/>
        <v>9354527.5359784663</v>
      </c>
      <c r="AM64" s="307">
        <f t="shared" si="150"/>
        <v>10426991.261820758</v>
      </c>
      <c r="AN64" s="307">
        <f t="shared" si="150"/>
        <v>12722045.393944254</v>
      </c>
      <c r="AO64" s="307">
        <f t="shared" si="150"/>
        <v>14515173.318689199</v>
      </c>
      <c r="AP64" s="307">
        <f t="shared" si="150"/>
        <v>16439068.378595795</v>
      </c>
      <c r="AR64" s="308">
        <v>29120069.920341708</v>
      </c>
      <c r="AS64" s="308">
        <f t="shared" si="144"/>
        <v>168302.07965829223</v>
      </c>
      <c r="AT64" s="308">
        <v>14825733.022884721</v>
      </c>
      <c r="AU64" s="308">
        <f t="shared" si="145"/>
        <v>-2256914.0228847209</v>
      </c>
      <c r="AV64" s="308">
        <v>9407700.1642714683</v>
      </c>
      <c r="AW64" s="308">
        <f t="shared" si="146"/>
        <v>2056093.8357285317</v>
      </c>
      <c r="AX64" s="308">
        <v>7289356.1575052906</v>
      </c>
      <c r="AY64" s="308">
        <f t="shared" si="147"/>
        <v>14680579.842494709</v>
      </c>
      <c r="AZ64" s="309">
        <v>2338802</v>
      </c>
      <c r="BA64" s="308">
        <f t="shared" si="148"/>
        <v>0</v>
      </c>
      <c r="BB64" s="331">
        <v>1749475.1855568669</v>
      </c>
      <c r="BC64" s="308">
        <f t="shared" si="149"/>
        <v>914581.11018493795</v>
      </c>
      <c r="BD64" s="308"/>
      <c r="BE64" s="308"/>
      <c r="BF64" s="308"/>
      <c r="BG64" s="308"/>
    </row>
    <row r="65" spans="1:105">
      <c r="A65" s="301" t="s">
        <v>52</v>
      </c>
      <c r="B65" s="308">
        <f t="shared" si="150"/>
        <v>338770</v>
      </c>
      <c r="C65" s="308">
        <f t="shared" si="150"/>
        <v>21035472</v>
      </c>
      <c r="D65" s="308">
        <f t="shared" si="150"/>
        <v>77050745</v>
      </c>
      <c r="E65" s="308">
        <f t="shared" si="150"/>
        <v>17718756</v>
      </c>
      <c r="F65" s="308">
        <f t="shared" si="150"/>
        <v>2402920</v>
      </c>
      <c r="G65" s="308">
        <f t="shared" si="150"/>
        <v>9689794</v>
      </c>
      <c r="H65" s="308">
        <f t="shared" si="150"/>
        <v>2353091</v>
      </c>
      <c r="I65" s="308">
        <f t="shared" si="150"/>
        <v>2200220</v>
      </c>
      <c r="J65" s="308">
        <f t="shared" si="150"/>
        <v>21370405</v>
      </c>
      <c r="K65" s="308">
        <f t="shared" si="150"/>
        <v>56183730</v>
      </c>
      <c r="L65" s="308">
        <f t="shared" si="150"/>
        <v>18824741</v>
      </c>
      <c r="M65" s="308">
        <f t="shared" si="150"/>
        <v>12686390</v>
      </c>
      <c r="N65" s="308">
        <f t="shared" si="150"/>
        <v>20206243</v>
      </c>
      <c r="O65" s="308">
        <f t="shared" si="150"/>
        <v>4597254</v>
      </c>
      <c r="P65" s="308">
        <f t="shared" si="150"/>
        <v>2350773</v>
      </c>
      <c r="Q65" s="307">
        <f t="shared" si="150"/>
        <v>2781105.071773258</v>
      </c>
      <c r="R65" s="307">
        <f t="shared" si="150"/>
        <v>2677955.090057529</v>
      </c>
      <c r="S65" s="307">
        <f t="shared" si="150"/>
        <v>3153669.3233542382</v>
      </c>
      <c r="T65" s="307">
        <f t="shared" si="150"/>
        <v>3439173.5452284608</v>
      </c>
      <c r="U65" s="307">
        <f t="shared" si="150"/>
        <v>3576468.663882514</v>
      </c>
      <c r="V65" s="307">
        <f t="shared" si="150"/>
        <v>3830597.4185246774</v>
      </c>
      <c r="W65" s="307">
        <f t="shared" si="150"/>
        <v>4263119.7782297283</v>
      </c>
      <c r="X65" s="307">
        <f t="shared" si="150"/>
        <v>4389447.5067164199</v>
      </c>
      <c r="Y65" s="307">
        <f t="shared" si="150"/>
        <v>4642249.7734962469</v>
      </c>
      <c r="Z65" s="307">
        <f t="shared" si="150"/>
        <v>4877005.1989573659</v>
      </c>
      <c r="AA65" s="307">
        <f t="shared" si="150"/>
        <v>5100882.503646791</v>
      </c>
      <c r="AB65" s="307">
        <f t="shared" si="150"/>
        <v>5239062.8508904874</v>
      </c>
      <c r="AC65" s="307">
        <f t="shared" si="150"/>
        <v>5506797.6886557918</v>
      </c>
      <c r="AD65" s="307">
        <f t="shared" si="150"/>
        <v>5760682.5863086199</v>
      </c>
      <c r="AE65" s="307">
        <f t="shared" si="150"/>
        <v>6044282.6731167734</v>
      </c>
      <c r="AF65" s="307">
        <f t="shared" si="150"/>
        <v>6642935.7901491085</v>
      </c>
      <c r="AG65" s="307">
        <f t="shared" si="150"/>
        <v>7625556.8555345712</v>
      </c>
      <c r="AH65" s="307">
        <f t="shared" si="150"/>
        <v>8015948.6156072784</v>
      </c>
      <c r="AI65" s="307">
        <f t="shared" si="150"/>
        <v>8121308.0051140217</v>
      </c>
      <c r="AJ65" s="307">
        <f t="shared" si="150"/>
        <v>8400307.9620140307</v>
      </c>
      <c r="AK65" s="307">
        <f t="shared" si="150"/>
        <v>8886883.334752446</v>
      </c>
      <c r="AL65" s="307">
        <f t="shared" si="150"/>
        <v>9720401.8588213194</v>
      </c>
      <c r="AM65" s="307">
        <f t="shared" si="150"/>
        <v>10834807.610267602</v>
      </c>
      <c r="AN65" s="307">
        <f t="shared" si="150"/>
        <v>13219634.934774207</v>
      </c>
      <c r="AO65" s="307">
        <f t="shared" si="150"/>
        <v>15082901.541426765</v>
      </c>
      <c r="AP65" s="307">
        <f t="shared" si="150"/>
        <v>17082047.241890159</v>
      </c>
      <c r="AR65" s="308">
        <v>56235027.864023395</v>
      </c>
      <c r="AS65" s="308">
        <f t="shared" si="144"/>
        <v>-37410286.864023395</v>
      </c>
      <c r="AT65" s="308">
        <v>18300248.94123213</v>
      </c>
      <c r="AU65" s="308">
        <f t="shared" si="145"/>
        <v>-5613858.9412321299</v>
      </c>
      <c r="AV65" s="308">
        <v>12710636.026831411</v>
      </c>
      <c r="AW65" s="308">
        <f t="shared" si="146"/>
        <v>7495606.9731685892</v>
      </c>
      <c r="AX65" s="308">
        <v>9171579.8021893799</v>
      </c>
      <c r="AY65" s="308">
        <f t="shared" si="147"/>
        <v>-4574325.8021893799</v>
      </c>
      <c r="AZ65" s="309">
        <v>2377686.1794213951</v>
      </c>
      <c r="BA65" s="308">
        <f t="shared" si="148"/>
        <v>-26913.179421395063</v>
      </c>
      <c r="BB65" s="331">
        <v>1826340.6517612182</v>
      </c>
      <c r="BC65" s="308">
        <f t="shared" si="149"/>
        <v>954764.42001203983</v>
      </c>
      <c r="BD65" s="308"/>
      <c r="BE65" s="308"/>
      <c r="BF65" s="308"/>
      <c r="BG65" s="308"/>
    </row>
    <row r="66" spans="1:105">
      <c r="A66" s="301" t="s">
        <v>53</v>
      </c>
      <c r="B66" s="308">
        <f t="shared" si="150"/>
        <v>910657</v>
      </c>
      <c r="C66" s="308">
        <f t="shared" si="150"/>
        <v>26860040</v>
      </c>
      <c r="D66" s="308">
        <f t="shared" si="150"/>
        <v>108739531</v>
      </c>
      <c r="E66" s="308">
        <f t="shared" si="150"/>
        <v>15287243</v>
      </c>
      <c r="F66" s="308">
        <f t="shared" si="150"/>
        <v>1695561</v>
      </c>
      <c r="G66" s="308">
        <f t="shared" si="150"/>
        <v>25150027</v>
      </c>
      <c r="H66" s="308">
        <f t="shared" si="150"/>
        <v>2299988</v>
      </c>
      <c r="I66" s="308">
        <f t="shared" si="150"/>
        <v>23251887</v>
      </c>
      <c r="J66" s="308">
        <f t="shared" si="150"/>
        <v>12816587</v>
      </c>
      <c r="K66" s="308">
        <f t="shared" si="150"/>
        <v>11379032</v>
      </c>
      <c r="L66" s="308">
        <f t="shared" si="150"/>
        <v>23474567</v>
      </c>
      <c r="M66" s="308">
        <f t="shared" si="150"/>
        <v>2215134</v>
      </c>
      <c r="N66" s="308">
        <f t="shared" si="150"/>
        <v>11884426</v>
      </c>
      <c r="O66" s="308">
        <f t="shared" si="150"/>
        <v>2348268</v>
      </c>
      <c r="P66" s="308">
        <f t="shared" si="150"/>
        <v>2503531</v>
      </c>
      <c r="Q66" s="307">
        <f t="shared" si="150"/>
        <v>2714066.134320938</v>
      </c>
      <c r="R66" s="307">
        <f t="shared" si="150"/>
        <v>2621035.9020146946</v>
      </c>
      <c r="S66" s="307">
        <f t="shared" si="150"/>
        <v>3010735.6414660257</v>
      </c>
      <c r="T66" s="307">
        <f t="shared" si="150"/>
        <v>3307167.1805251339</v>
      </c>
      <c r="U66" s="307">
        <f t="shared" si="150"/>
        <v>3515347.2021116735</v>
      </c>
      <c r="V66" s="307">
        <f t="shared" si="150"/>
        <v>3717844.1479732427</v>
      </c>
      <c r="W66" s="307">
        <f t="shared" si="150"/>
        <v>4133846.3609774266</v>
      </c>
      <c r="X66" s="307">
        <f t="shared" si="150"/>
        <v>4250506.2703560051</v>
      </c>
      <c r="Y66" s="307">
        <f t="shared" si="150"/>
        <v>4505569.8278814089</v>
      </c>
      <c r="Z66" s="307">
        <f t="shared" si="150"/>
        <v>4740657.1662802892</v>
      </c>
      <c r="AA66" s="307">
        <f t="shared" si="150"/>
        <v>4949264.8040741784</v>
      </c>
      <c r="AB66" s="307">
        <f t="shared" si="150"/>
        <v>5083088.7661947627</v>
      </c>
      <c r="AC66" s="307">
        <f t="shared" si="150"/>
        <v>5343387.4699550588</v>
      </c>
      <c r="AD66" s="307">
        <f t="shared" si="150"/>
        <v>5591711.4875133811</v>
      </c>
      <c r="AE66" s="307">
        <f t="shared" si="150"/>
        <v>5867110.4917672602</v>
      </c>
      <c r="AF66" s="307">
        <f t="shared" si="150"/>
        <v>6446628.0760816075</v>
      </c>
      <c r="AG66" s="307">
        <f t="shared" si="150"/>
        <v>7400441.1560054347</v>
      </c>
      <c r="AH66" s="307">
        <f t="shared" si="150"/>
        <v>7779640.7405713918</v>
      </c>
      <c r="AI66" s="307">
        <f t="shared" si="150"/>
        <v>7882149.4100065697</v>
      </c>
      <c r="AJ66" s="307">
        <f t="shared" si="150"/>
        <v>8152778.6283761729</v>
      </c>
      <c r="AK66" s="307">
        <f t="shared" si="150"/>
        <v>8624802.5979483593</v>
      </c>
      <c r="AL66" s="307">
        <f t="shared" si="150"/>
        <v>9433835.3903060667</v>
      </c>
      <c r="AM66" s="307">
        <f t="shared" si="150"/>
        <v>10515464.573405027</v>
      </c>
      <c r="AN66" s="307">
        <f t="shared" si="150"/>
        <v>12830015.573051237</v>
      </c>
      <c r="AO66" s="307">
        <f t="shared" si="150"/>
        <v>14638307.782293798</v>
      </c>
      <c r="AP66" s="307">
        <f t="shared" si="150"/>
        <v>16578500.528970722</v>
      </c>
      <c r="AR66" s="308">
        <v>10775351.948513228</v>
      </c>
      <c r="AS66" s="308">
        <f t="shared" si="144"/>
        <v>12699215.051486772</v>
      </c>
      <c r="AT66" s="308">
        <v>13366460.053422321</v>
      </c>
      <c r="AU66" s="308">
        <f t="shared" si="145"/>
        <v>-11151326.053422321</v>
      </c>
      <c r="AV66" s="308">
        <v>2465777.9900397486</v>
      </c>
      <c r="AW66" s="308">
        <f t="shared" si="146"/>
        <v>9418648.0099602509</v>
      </c>
      <c r="AX66" s="309">
        <v>21470755.114412222</v>
      </c>
      <c r="AY66" s="308">
        <f t="shared" si="147"/>
        <v>-19122487.114412222</v>
      </c>
      <c r="AZ66" s="309">
        <v>2511059.6241271426</v>
      </c>
      <c r="BA66" s="308">
        <f t="shared" si="148"/>
        <v>-7528.624127142597</v>
      </c>
      <c r="BB66" s="331">
        <v>1782316.4478709339</v>
      </c>
      <c r="BC66" s="308">
        <f t="shared" si="149"/>
        <v>931749.68645000411</v>
      </c>
      <c r="BD66" s="309"/>
      <c r="BE66" s="309"/>
      <c r="BF66" s="309"/>
      <c r="BG66" s="309"/>
      <c r="BH66" s="300"/>
      <c r="BI66" s="300"/>
      <c r="BJ66" s="300"/>
      <c r="BK66" s="300"/>
      <c r="BL66" s="300"/>
      <c r="BM66" s="300"/>
      <c r="BN66" s="300"/>
      <c r="BO66" s="300"/>
      <c r="BP66" s="300"/>
      <c r="BQ66" s="300"/>
      <c r="BR66" s="300"/>
      <c r="BS66" s="300"/>
      <c r="BT66" s="300"/>
      <c r="BU66" s="300"/>
      <c r="BV66" s="300"/>
      <c r="BW66" s="300"/>
      <c r="BX66" s="300"/>
      <c r="BY66" s="300"/>
      <c r="BZ66" s="300"/>
      <c r="CA66" s="300"/>
      <c r="CB66" s="300"/>
      <c r="CC66" s="300"/>
      <c r="CD66" s="300"/>
      <c r="CE66" s="300"/>
      <c r="CF66" s="300"/>
      <c r="CG66" s="300"/>
      <c r="CH66" s="300"/>
      <c r="CI66" s="300"/>
      <c r="CJ66" s="300"/>
      <c r="CK66" s="300"/>
      <c r="CL66" s="300"/>
      <c r="CM66" s="300"/>
      <c r="CN66" s="300"/>
      <c r="CO66" s="300"/>
      <c r="CP66" s="300"/>
      <c r="CQ66" s="300"/>
      <c r="CR66" s="300"/>
      <c r="CS66" s="300"/>
      <c r="CT66" s="300"/>
      <c r="CU66" s="300"/>
      <c r="CV66" s="300"/>
      <c r="CW66" s="300"/>
      <c r="CX66" s="300"/>
      <c r="CY66" s="300"/>
      <c r="CZ66" s="300"/>
      <c r="DA66" s="300"/>
    </row>
    <row r="67" spans="1:105">
      <c r="A67" s="301" t="s">
        <v>54</v>
      </c>
      <c r="B67" s="308">
        <f t="shared" si="150"/>
        <v>1752211</v>
      </c>
      <c r="C67" s="308">
        <f t="shared" si="150"/>
        <v>54579851</v>
      </c>
      <c r="D67" s="308">
        <f t="shared" si="150"/>
        <v>104223555</v>
      </c>
      <c r="E67" s="308">
        <f t="shared" si="150"/>
        <v>12181359</v>
      </c>
      <c r="F67" s="308">
        <f t="shared" si="150"/>
        <v>9022522</v>
      </c>
      <c r="G67" s="308">
        <f t="shared" si="150"/>
        <v>14346897</v>
      </c>
      <c r="H67" s="308">
        <f t="shared" si="150"/>
        <v>2158378</v>
      </c>
      <c r="I67" s="308">
        <f t="shared" si="150"/>
        <v>1853919</v>
      </c>
      <c r="J67" s="308">
        <f t="shared" si="150"/>
        <v>25167706</v>
      </c>
      <c r="K67" s="308">
        <f t="shared" si="150"/>
        <v>23090589</v>
      </c>
      <c r="L67" s="308">
        <f t="shared" si="150"/>
        <v>27739491</v>
      </c>
      <c r="M67" s="308">
        <f t="shared" si="150"/>
        <v>2617650</v>
      </c>
      <c r="N67" s="308">
        <f t="shared" si="150"/>
        <v>14094557</v>
      </c>
      <c r="O67" s="308">
        <f t="shared" si="150"/>
        <v>2645976</v>
      </c>
      <c r="P67" s="308">
        <f t="shared" si="150"/>
        <v>2764927</v>
      </c>
      <c r="Q67" s="307">
        <f t="shared" si="150"/>
        <v>4692379.1537433192</v>
      </c>
      <c r="R67" s="307">
        <f t="shared" si="150"/>
        <v>3304273.3254236989</v>
      </c>
      <c r="S67" s="307">
        <f t="shared" si="150"/>
        <v>3838168.0615853965</v>
      </c>
      <c r="T67" s="307">
        <f t="shared" si="150"/>
        <v>4321568.4967534915</v>
      </c>
      <c r="U67" s="307">
        <f t="shared" si="150"/>
        <v>4698536.1431902349</v>
      </c>
      <c r="V67" s="307">
        <f t="shared" si="150"/>
        <v>5111653.6081527248</v>
      </c>
      <c r="W67" s="307">
        <f t="shared" si="150"/>
        <v>5438014.1849825382</v>
      </c>
      <c r="X67" s="307">
        <f t="shared" si="150"/>
        <v>5626006.9216931611</v>
      </c>
      <c r="Y67" s="307">
        <f t="shared" si="150"/>
        <v>5998577.3246095031</v>
      </c>
      <c r="Z67" s="307">
        <f t="shared" si="150"/>
        <v>6330763.5728340372</v>
      </c>
      <c r="AA67" s="307">
        <f t="shared" si="150"/>
        <v>6608397.5101119354</v>
      </c>
      <c r="AB67" s="307">
        <f t="shared" si="150"/>
        <v>6753882.0840216875</v>
      </c>
      <c r="AC67" s="307">
        <f t="shared" si="150"/>
        <v>7112142.476408489</v>
      </c>
      <c r="AD67" s="307">
        <f t="shared" si="150"/>
        <v>7449817.9010542259</v>
      </c>
      <c r="AE67" s="307">
        <f t="shared" si="150"/>
        <v>7817684.5004601851</v>
      </c>
      <c r="AF67" s="307">
        <f t="shared" si="150"/>
        <v>8586496.9601804763</v>
      </c>
      <c r="AG67" s="307">
        <f t="shared" si="150"/>
        <v>9852659.3132649958</v>
      </c>
      <c r="AH67" s="307">
        <f t="shared" si="150"/>
        <v>10360948.840599686</v>
      </c>
      <c r="AI67" s="307">
        <f t="shared" si="150"/>
        <v>10498470.058868498</v>
      </c>
      <c r="AJ67" s="307">
        <f t="shared" si="150"/>
        <v>10858456.638152286</v>
      </c>
      <c r="AK67" s="307">
        <f t="shared" si="150"/>
        <v>11486343.162839532</v>
      </c>
      <c r="AL67" s="307">
        <f t="shared" si="150"/>
        <v>12563559.456801906</v>
      </c>
      <c r="AM67" s="307">
        <f t="shared" si="150"/>
        <v>14004757.23797287</v>
      </c>
      <c r="AN67" s="307">
        <f t="shared" si="150"/>
        <v>17087382.766729057</v>
      </c>
      <c r="AO67" s="307">
        <f t="shared" si="150"/>
        <v>19495482.669308424</v>
      </c>
      <c r="AP67" s="307">
        <f t="shared" si="150"/>
        <v>22079312.811946362</v>
      </c>
      <c r="AR67" s="308">
        <v>24702059.000000015</v>
      </c>
      <c r="AS67" s="308">
        <f t="shared" si="144"/>
        <v>3037431.9999999851</v>
      </c>
      <c r="AT67" s="308">
        <v>13394843.5</v>
      </c>
      <c r="AU67" s="308">
        <f t="shared" si="145"/>
        <v>-10777193.5</v>
      </c>
      <c r="AV67" s="308">
        <v>6876177</v>
      </c>
      <c r="AW67" s="308">
        <f t="shared" si="146"/>
        <v>7218380</v>
      </c>
      <c r="AX67" s="309">
        <v>21358657.885587778</v>
      </c>
      <c r="AY67" s="308">
        <f t="shared" si="147"/>
        <v>-18712681.885587778</v>
      </c>
      <c r="AZ67" s="309">
        <v>2934836.7116556093</v>
      </c>
      <c r="BA67" s="308">
        <f t="shared" si="148"/>
        <v>-169909.71165560931</v>
      </c>
      <c r="BB67" s="331">
        <v>1153663.6645435914</v>
      </c>
      <c r="BC67" s="308">
        <f t="shared" si="149"/>
        <v>3538715.4891997278</v>
      </c>
      <c r="BD67" s="309"/>
      <c r="BE67" s="309"/>
      <c r="BF67" s="309"/>
      <c r="BG67" s="309"/>
      <c r="BH67" s="300"/>
      <c r="BI67" s="300"/>
      <c r="BJ67" s="300"/>
      <c r="BK67" s="300"/>
      <c r="BL67" s="300"/>
      <c r="BM67" s="300"/>
      <c r="BN67" s="300"/>
      <c r="BO67" s="300"/>
      <c r="BP67" s="300"/>
      <c r="BQ67" s="300"/>
      <c r="BR67" s="300"/>
      <c r="BS67" s="300"/>
      <c r="BT67" s="300"/>
      <c r="BU67" s="300"/>
      <c r="BV67" s="300"/>
      <c r="BW67" s="300"/>
      <c r="BX67" s="300"/>
      <c r="BY67" s="300"/>
      <c r="BZ67" s="300"/>
      <c r="CA67" s="300"/>
      <c r="CB67" s="300"/>
      <c r="CC67" s="300"/>
      <c r="CD67" s="300"/>
      <c r="CE67" s="300"/>
      <c r="CF67" s="300"/>
      <c r="CG67" s="300"/>
      <c r="CH67" s="300"/>
      <c r="CI67" s="300"/>
      <c r="CJ67" s="300"/>
      <c r="CK67" s="300"/>
      <c r="CL67" s="300"/>
      <c r="CM67" s="300"/>
      <c r="CN67" s="300"/>
      <c r="CO67" s="300"/>
      <c r="CP67" s="300"/>
      <c r="CQ67" s="300"/>
      <c r="CR67" s="300"/>
      <c r="CS67" s="300"/>
      <c r="CT67" s="300"/>
      <c r="CU67" s="300"/>
      <c r="CV67" s="300"/>
      <c r="CW67" s="300"/>
      <c r="CX67" s="300"/>
      <c r="CY67" s="300"/>
      <c r="CZ67" s="300"/>
      <c r="DA67" s="300"/>
    </row>
    <row r="68" spans="1:105" ht="12" thickBot="1">
      <c r="A68" s="301" t="s">
        <v>29</v>
      </c>
      <c r="B68" s="308">
        <f t="shared" ref="B68:P68" si="151">SUM(B56:B67)</f>
        <v>4043017</v>
      </c>
      <c r="C68" s="308">
        <f t="shared" si="151"/>
        <v>193748805</v>
      </c>
      <c r="D68" s="308">
        <f t="shared" si="151"/>
        <v>603461683</v>
      </c>
      <c r="E68" s="308">
        <f t="shared" si="151"/>
        <v>458250657</v>
      </c>
      <c r="F68" s="308">
        <f t="shared" si="151"/>
        <v>90298203</v>
      </c>
      <c r="G68" s="308">
        <f t="shared" si="151"/>
        <v>113785284</v>
      </c>
      <c r="H68" s="308">
        <f t="shared" si="151"/>
        <v>61459280</v>
      </c>
      <c r="I68" s="308">
        <f t="shared" si="151"/>
        <v>99392347</v>
      </c>
      <c r="J68" s="308">
        <f t="shared" si="151"/>
        <v>102382010</v>
      </c>
      <c r="K68" s="308">
        <f t="shared" si="151"/>
        <v>219495304</v>
      </c>
      <c r="L68" s="308">
        <f t="shared" si="151"/>
        <v>208638249</v>
      </c>
      <c r="M68" s="308">
        <f t="shared" si="151"/>
        <v>85586001</v>
      </c>
      <c r="N68" s="308">
        <f t="shared" si="151"/>
        <v>109468380</v>
      </c>
      <c r="O68" s="308">
        <f t="shared" si="151"/>
        <v>51164831</v>
      </c>
      <c r="P68" s="308">
        <f t="shared" si="151"/>
        <v>28685489</v>
      </c>
      <c r="Q68" s="307">
        <f t="shared" ref="Q68:AD68" si="152">SUM(Q56:Q67)</f>
        <v>33387387.181493059</v>
      </c>
      <c r="R68" s="307">
        <f t="shared" si="152"/>
        <v>32232011.270047031</v>
      </c>
      <c r="S68" s="307">
        <f t="shared" si="152"/>
        <v>37309058.288327254</v>
      </c>
      <c r="T68" s="307">
        <f t="shared" si="152"/>
        <v>40479901.902477115</v>
      </c>
      <c r="U68" s="307">
        <f t="shared" si="152"/>
        <v>42734298.267913379</v>
      </c>
      <c r="V68" s="307">
        <f t="shared" si="152"/>
        <v>45624559.934033364</v>
      </c>
      <c r="W68" s="307">
        <f t="shared" si="152"/>
        <v>50708950.100315459</v>
      </c>
      <c r="X68" s="307">
        <f t="shared" si="152"/>
        <v>52120675.923458666</v>
      </c>
      <c r="Y68" s="307">
        <f t="shared" si="152"/>
        <v>55155298.365251005</v>
      </c>
      <c r="Z68" s="307">
        <f t="shared" si="152"/>
        <v>58034329.546393514</v>
      </c>
      <c r="AA68" s="307">
        <f t="shared" si="152"/>
        <v>60657617.298995137</v>
      </c>
      <c r="AB68" s="307">
        <f t="shared" si="152"/>
        <v>62284445.777485311</v>
      </c>
      <c r="AC68" s="307">
        <f t="shared" si="152"/>
        <v>65461277.62438558</v>
      </c>
      <c r="AD68" s="307">
        <f t="shared" si="152"/>
        <v>68492529.305077255</v>
      </c>
      <c r="AE68" s="307">
        <f>SUM(AE56:AE67)</f>
        <v>71873439.936264262</v>
      </c>
      <c r="AF68" s="307">
        <f>SUM(AF56:AF67)</f>
        <v>78982223.876233488</v>
      </c>
      <c r="AG68" s="307">
        <f>SUM(AG56:AG67)</f>
        <v>90662670.740434617</v>
      </c>
      <c r="AH68" s="307">
        <f t="shared" ref="AH68:AP68" si="153">SUM(AH56:AH67)</f>
        <v>95305289.210805103</v>
      </c>
      <c r="AI68" s="307">
        <f t="shared" si="153"/>
        <v>96560710.627784014</v>
      </c>
      <c r="AJ68" s="307">
        <f t="shared" si="153"/>
        <v>99878153.216482893</v>
      </c>
      <c r="AK68" s="307">
        <f t="shared" si="153"/>
        <v>105661613.9706275</v>
      </c>
      <c r="AL68" s="307">
        <f t="shared" si="153"/>
        <v>115571761.21966745</v>
      </c>
      <c r="AM68" s="307">
        <f t="shared" si="153"/>
        <v>128822161.99026097</v>
      </c>
      <c r="AN68" s="307">
        <f t="shared" si="153"/>
        <v>157177405.14466935</v>
      </c>
      <c r="AO68" s="307">
        <f t="shared" si="153"/>
        <v>179330822.85339472</v>
      </c>
      <c r="AP68" s="307">
        <f t="shared" si="153"/>
        <v>203099661.6927726</v>
      </c>
      <c r="AR68" s="308">
        <v>205569181</v>
      </c>
      <c r="AS68" s="308">
        <f t="shared" si="144"/>
        <v>3069068</v>
      </c>
      <c r="AT68" s="308">
        <v>96362426.5</v>
      </c>
      <c r="AU68" s="308">
        <f t="shared" si="145"/>
        <v>-10776425.5</v>
      </c>
      <c r="AV68" s="308">
        <v>102250000</v>
      </c>
      <c r="AW68" s="308">
        <f t="shared" si="146"/>
        <v>7218380</v>
      </c>
      <c r="AX68" s="309">
        <v>89000000</v>
      </c>
      <c r="AY68" s="308">
        <f t="shared" si="147"/>
        <v>-37835169</v>
      </c>
      <c r="AZ68" s="309">
        <v>28889840.515204147</v>
      </c>
      <c r="BA68" s="308">
        <f t="shared" si="148"/>
        <v>-204351.5152041465</v>
      </c>
      <c r="BB68" s="331">
        <v>21925364.519497585</v>
      </c>
      <c r="BC68" s="308">
        <f t="shared" si="149"/>
        <v>11462022.661995474</v>
      </c>
      <c r="BD68" s="309"/>
      <c r="BE68" s="309"/>
      <c r="BF68" s="309"/>
      <c r="BG68" s="309"/>
      <c r="BH68" s="300"/>
      <c r="BI68" s="300"/>
      <c r="BJ68" s="300"/>
      <c r="BK68" s="300"/>
      <c r="BL68" s="300"/>
      <c r="BM68" s="300"/>
      <c r="BN68" s="300"/>
      <c r="BO68" s="300"/>
      <c r="BP68" s="300"/>
      <c r="BQ68" s="300"/>
      <c r="BR68" s="300"/>
      <c r="BS68" s="300"/>
      <c r="BT68" s="300"/>
      <c r="BU68" s="300"/>
      <c r="BV68" s="300"/>
      <c r="BW68" s="300"/>
      <c r="BX68" s="300"/>
      <c r="BY68" s="300"/>
      <c r="BZ68" s="300"/>
      <c r="CA68" s="300"/>
      <c r="CB68" s="300"/>
      <c r="CC68" s="300"/>
      <c r="CD68" s="300"/>
      <c r="CE68" s="300"/>
      <c r="CF68" s="300"/>
      <c r="CG68" s="300"/>
      <c r="CH68" s="300"/>
      <c r="CI68" s="300"/>
      <c r="CJ68" s="300"/>
      <c r="CK68" s="300"/>
      <c r="CL68" s="300"/>
      <c r="CM68" s="300"/>
      <c r="CN68" s="300"/>
      <c r="CO68" s="300"/>
      <c r="CP68" s="300"/>
      <c r="CQ68" s="300"/>
      <c r="CR68" s="300"/>
      <c r="CS68" s="300"/>
      <c r="CT68" s="300"/>
      <c r="CU68" s="300"/>
      <c r="CV68" s="300"/>
      <c r="CW68" s="300"/>
      <c r="CX68" s="300"/>
      <c r="CY68" s="300"/>
      <c r="CZ68" s="300"/>
      <c r="DA68" s="300"/>
    </row>
    <row r="69" spans="1:105">
      <c r="A69" s="334"/>
      <c r="B69" s="334"/>
      <c r="C69" s="334"/>
      <c r="D69" s="334"/>
      <c r="E69" s="334"/>
      <c r="F69" s="334"/>
      <c r="G69" s="334"/>
      <c r="H69" s="334"/>
      <c r="I69" s="334"/>
      <c r="J69" s="334"/>
      <c r="K69" s="334"/>
      <c r="L69" s="334"/>
      <c r="M69" s="334"/>
      <c r="N69" s="334"/>
      <c r="O69" s="334"/>
      <c r="P69" s="334"/>
      <c r="Q69" s="334"/>
      <c r="R69" s="334"/>
      <c r="S69" s="334"/>
      <c r="T69" s="334"/>
      <c r="U69" s="334"/>
      <c r="V69" s="334"/>
      <c r="W69" s="334"/>
      <c r="X69" s="334"/>
      <c r="Y69" s="334"/>
      <c r="Z69" s="334"/>
      <c r="AA69" s="334"/>
      <c r="AB69" s="334"/>
      <c r="AC69" s="334"/>
      <c r="AD69" s="334"/>
      <c r="AE69" s="334"/>
      <c r="AF69" s="334"/>
      <c r="AG69" s="334"/>
      <c r="AH69" s="334"/>
      <c r="AI69" s="334"/>
      <c r="AJ69" s="334"/>
      <c r="AK69" s="334"/>
      <c r="AL69" s="334"/>
      <c r="AM69" s="334"/>
      <c r="AN69" s="334"/>
      <c r="AO69" s="334"/>
      <c r="AP69" s="334"/>
      <c r="AT69" s="309"/>
    </row>
    <row r="70" spans="1:105" ht="12" thickBot="1">
      <c r="A70" s="300" t="s">
        <v>434</v>
      </c>
      <c r="AT70" s="309"/>
    </row>
    <row r="71" spans="1:105" ht="12" thickBot="1">
      <c r="A71" s="328"/>
      <c r="B71" s="329">
        <f t="shared" ref="B71:AP71" si="154">B2</f>
        <v>2010</v>
      </c>
      <c r="C71" s="329">
        <f t="shared" si="154"/>
        <v>2011</v>
      </c>
      <c r="D71" s="329">
        <f t="shared" si="154"/>
        <v>2012</v>
      </c>
      <c r="E71" s="329">
        <f t="shared" si="154"/>
        <v>2013</v>
      </c>
      <c r="F71" s="329">
        <f t="shared" si="154"/>
        <v>2014</v>
      </c>
      <c r="G71" s="329">
        <f t="shared" si="154"/>
        <v>2015</v>
      </c>
      <c r="H71" s="329">
        <f t="shared" si="154"/>
        <v>2016</v>
      </c>
      <c r="I71" s="329">
        <f t="shared" si="154"/>
        <v>2017</v>
      </c>
      <c r="J71" s="329">
        <f t="shared" si="154"/>
        <v>2018</v>
      </c>
      <c r="K71" s="329">
        <f t="shared" si="154"/>
        <v>2019</v>
      </c>
      <c r="L71" s="329">
        <f t="shared" si="154"/>
        <v>2020</v>
      </c>
      <c r="M71" s="329">
        <f t="shared" si="154"/>
        <v>2021</v>
      </c>
      <c r="N71" s="329">
        <f t="shared" si="154"/>
        <v>2022</v>
      </c>
      <c r="O71" s="329">
        <f t="shared" si="154"/>
        <v>2023</v>
      </c>
      <c r="P71" s="329">
        <f t="shared" si="154"/>
        <v>2024</v>
      </c>
      <c r="Q71" s="329">
        <f t="shared" si="154"/>
        <v>2025</v>
      </c>
      <c r="R71" s="329">
        <f t="shared" si="154"/>
        <v>2026</v>
      </c>
      <c r="S71" s="329">
        <f t="shared" si="154"/>
        <v>2027</v>
      </c>
      <c r="T71" s="329">
        <f t="shared" si="154"/>
        <v>2028</v>
      </c>
      <c r="U71" s="329">
        <f t="shared" si="154"/>
        <v>2029</v>
      </c>
      <c r="V71" s="329">
        <f t="shared" si="154"/>
        <v>2030</v>
      </c>
      <c r="W71" s="329">
        <f t="shared" si="154"/>
        <v>2031</v>
      </c>
      <c r="X71" s="329">
        <f t="shared" si="154"/>
        <v>2032</v>
      </c>
      <c r="Y71" s="329">
        <f t="shared" si="154"/>
        <v>2033</v>
      </c>
      <c r="Z71" s="329">
        <f t="shared" si="154"/>
        <v>2034</v>
      </c>
      <c r="AA71" s="329">
        <f t="shared" si="154"/>
        <v>2035</v>
      </c>
      <c r="AB71" s="329">
        <f t="shared" si="154"/>
        <v>2036</v>
      </c>
      <c r="AC71" s="329">
        <f t="shared" si="154"/>
        <v>2037</v>
      </c>
      <c r="AD71" s="329">
        <f t="shared" si="154"/>
        <v>2038</v>
      </c>
      <c r="AE71" s="329">
        <f t="shared" si="154"/>
        <v>2039</v>
      </c>
      <c r="AF71" s="329">
        <f t="shared" si="154"/>
        <v>2040</v>
      </c>
      <c r="AG71" s="329">
        <f t="shared" si="154"/>
        <v>2041</v>
      </c>
      <c r="AH71" s="329">
        <f t="shared" si="154"/>
        <v>2042</v>
      </c>
      <c r="AI71" s="329">
        <f t="shared" si="154"/>
        <v>2043</v>
      </c>
      <c r="AJ71" s="329">
        <f t="shared" si="154"/>
        <v>2044</v>
      </c>
      <c r="AK71" s="329">
        <f t="shared" si="154"/>
        <v>2045</v>
      </c>
      <c r="AL71" s="329">
        <f t="shared" si="154"/>
        <v>2046</v>
      </c>
      <c r="AM71" s="329">
        <f t="shared" si="154"/>
        <v>2047</v>
      </c>
      <c r="AN71" s="329">
        <f t="shared" si="154"/>
        <v>2048</v>
      </c>
      <c r="AO71" s="329">
        <f t="shared" si="154"/>
        <v>2049</v>
      </c>
      <c r="AP71" s="329">
        <f t="shared" si="154"/>
        <v>2050</v>
      </c>
      <c r="AT71" s="309"/>
    </row>
    <row r="72" spans="1:105">
      <c r="A72" s="301" t="s">
        <v>43</v>
      </c>
      <c r="B72" s="308">
        <f>'Monthly D5 Gallon Data'!$B4</f>
        <v>0</v>
      </c>
      <c r="C72" s="308">
        <f>'Monthly D5 Gallon Data'!$B16</f>
        <v>1723406</v>
      </c>
      <c r="D72" s="308">
        <f>'Monthly D5 Gallon Data'!$B28</f>
        <v>2206799</v>
      </c>
      <c r="E72" s="308">
        <f>'Monthly D5 Gallon Data'!$B40</f>
        <v>1944597</v>
      </c>
      <c r="F72" s="308">
        <f>'Monthly D5 Gallon Data'!$B52</f>
        <v>2360846</v>
      </c>
      <c r="G72" s="308">
        <f>'Monthly D5 Gallon Data'!$B64</f>
        <v>2406832</v>
      </c>
      <c r="H72" s="308">
        <f>'Monthly D5 Gallon Data'!$B76</f>
        <v>2221196</v>
      </c>
      <c r="I72" s="308">
        <f>'Monthly D5 Gallon Data'!$B88</f>
        <v>2054933</v>
      </c>
      <c r="J72" s="308">
        <f>'Monthly D5 Gallon Data'!$B100</f>
        <v>2191637</v>
      </c>
      <c r="K72" s="308">
        <f>'Monthly D5 Gallon Data'!$B112</f>
        <v>2101339</v>
      </c>
      <c r="L72" s="308">
        <f>'Monthly D5 Gallon Data'!$B124</f>
        <v>1856511</v>
      </c>
      <c r="M72" s="308">
        <f>'Monthly D5 Gallon Data'!$B136</f>
        <v>2426841</v>
      </c>
      <c r="N72" s="308">
        <f>'Monthly D5 Gallon Data'!$B148</f>
        <v>2549105</v>
      </c>
      <c r="O72" s="308">
        <f>'Monthly D5 Gallon Data'!$B160</f>
        <v>2395622</v>
      </c>
      <c r="P72" s="308">
        <f>'Monthly D5 Gallon Data'!$B172</f>
        <v>2544908</v>
      </c>
      <c r="Q72" s="308">
        <f>'Monthly D5 Gallon Data'!$B184</f>
        <v>2317112</v>
      </c>
      <c r="R72" s="307">
        <f t="shared" ref="Q72:AD82" si="155">(SUM(M72:Q72)/SUM(M$84:Q$84))*R$84</f>
        <v>2682551.7906044959</v>
      </c>
      <c r="S72" s="307">
        <f t="shared" si="155"/>
        <v>3042489.35813733</v>
      </c>
      <c r="T72" s="307">
        <f t="shared" si="155"/>
        <v>3253302.441405558</v>
      </c>
      <c r="U72" s="307">
        <f t="shared" si="155"/>
        <v>3436835.3889496964</v>
      </c>
      <c r="V72" s="307">
        <f t="shared" si="155"/>
        <v>3610963.2466753139</v>
      </c>
      <c r="W72" s="307">
        <f t="shared" si="155"/>
        <v>4096529.6109418394</v>
      </c>
      <c r="X72" s="307">
        <f t="shared" si="155"/>
        <v>4191664.6241021687</v>
      </c>
      <c r="Y72" s="307">
        <f t="shared" si="155"/>
        <v>4425714.4726249678</v>
      </c>
      <c r="Z72" s="307">
        <f t="shared" si="155"/>
        <v>4655516.060920218</v>
      </c>
      <c r="AA72" s="307">
        <f t="shared" si="155"/>
        <v>4863942.0446963701</v>
      </c>
      <c r="AB72" s="307">
        <f t="shared" si="155"/>
        <v>5005091.0419605104</v>
      </c>
      <c r="AC72" s="307">
        <f t="shared" si="155"/>
        <v>5255464.8754321542</v>
      </c>
      <c r="AD72" s="307">
        <f t="shared" si="155"/>
        <v>5497182.4308943702</v>
      </c>
      <c r="AE72" s="307">
        <f t="shared" ref="AE72:AE82" si="156">(SUM(Z72:AD72)/SUM(Z$84:AD$84))*AE$84</f>
        <v>5768767.3766099885</v>
      </c>
      <c r="AF72" s="307">
        <f t="shared" ref="AF72:AP82" si="157">(SUM(AA72:AE72)/SUM(AA$84:AE$84))*AF$84</f>
        <v>6339935.6049944935</v>
      </c>
      <c r="AG72" s="307">
        <f t="shared" si="157"/>
        <v>7278854.1508708633</v>
      </c>
      <c r="AH72" s="307">
        <f t="shared" si="157"/>
        <v>7650423.5163009781</v>
      </c>
      <c r="AI72" s="307">
        <f t="shared" si="157"/>
        <v>7751031.9871965703</v>
      </c>
      <c r="AJ72" s="307">
        <f t="shared" si="157"/>
        <v>8017507.9221180016</v>
      </c>
      <c r="AK72" s="307">
        <f t="shared" si="157"/>
        <v>8481928.2094994429</v>
      </c>
      <c r="AL72" s="307">
        <f t="shared" si="157"/>
        <v>9277535.4320185091</v>
      </c>
      <c r="AM72" s="307">
        <f t="shared" si="157"/>
        <v>10340987.099943845</v>
      </c>
      <c r="AN72" s="307">
        <f t="shared" si="157"/>
        <v>12617172.479488213</v>
      </c>
      <c r="AO72" s="307">
        <f t="shared" si="157"/>
        <v>14395571.47601839</v>
      </c>
      <c r="AP72" s="307">
        <f t="shared" si="157"/>
        <v>16303614.850472102</v>
      </c>
      <c r="AR72" s="308">
        <v>3914045.0860573635</v>
      </c>
      <c r="AS72" s="308">
        <f t="shared" ref="AS72:AS84" si="158">L72-AR72</f>
        <v>-2057534.0860573635</v>
      </c>
      <c r="AT72" s="308">
        <v>2101141.3805685281</v>
      </c>
      <c r="AU72" s="308">
        <f t="shared" ref="AU72:AU84" si="159">M72-AT72</f>
        <v>325699.61943147192</v>
      </c>
      <c r="AV72" s="308">
        <v>2083597.4707122622</v>
      </c>
      <c r="AW72" s="308">
        <f t="shared" ref="AW72:AW84" si="160">N72-AV72</f>
        <v>465507.52928773779</v>
      </c>
      <c r="AX72" s="308">
        <v>3096753.8655710807</v>
      </c>
      <c r="AY72" s="308">
        <f t="shared" ref="AY72:AY84" si="161">O72-AX72</f>
        <v>-701131.86557108071</v>
      </c>
      <c r="AZ72" s="308">
        <v>2544908</v>
      </c>
      <c r="BA72" s="308">
        <f t="shared" ref="BA72:BA84" si="162">P72-AZ72</f>
        <v>0</v>
      </c>
      <c r="BB72" s="331">
        <v>2317112</v>
      </c>
      <c r="BC72" s="308">
        <f t="shared" ref="BC72:BC84" si="163">Q72-BB72</f>
        <v>0</v>
      </c>
      <c r="BD72" s="308"/>
      <c r="BE72" s="308"/>
    </row>
    <row r="73" spans="1:105">
      <c r="A73" s="301" t="s">
        <v>44</v>
      </c>
      <c r="B73" s="308">
        <f>'Monthly D5 Gallon Data'!$B5</f>
        <v>0</v>
      </c>
      <c r="C73" s="308">
        <f>'Monthly D5 Gallon Data'!$B17</f>
        <v>1503587</v>
      </c>
      <c r="D73" s="308">
        <f>'Monthly D5 Gallon Data'!$B29</f>
        <v>2190906</v>
      </c>
      <c r="E73" s="308">
        <f>'Monthly D5 Gallon Data'!$B41</f>
        <v>1684366</v>
      </c>
      <c r="F73" s="308">
        <f>'Monthly D5 Gallon Data'!$B53</f>
        <v>1716474</v>
      </c>
      <c r="G73" s="308">
        <f>'Monthly D5 Gallon Data'!$B65</f>
        <v>1708936</v>
      </c>
      <c r="H73" s="308">
        <f>'Monthly D5 Gallon Data'!$B77</f>
        <v>1973477</v>
      </c>
      <c r="I73" s="308">
        <f>'Monthly D5 Gallon Data'!$B89</f>
        <v>2111437</v>
      </c>
      <c r="J73" s="308">
        <f>'Monthly D5 Gallon Data'!$B101</f>
        <v>1746856</v>
      </c>
      <c r="K73" s="308">
        <f>'Monthly D5 Gallon Data'!$B113</f>
        <v>2049780</v>
      </c>
      <c r="L73" s="308">
        <f>'Monthly D5 Gallon Data'!$B125</f>
        <v>1782835</v>
      </c>
      <c r="M73" s="308">
        <f>'Monthly D5 Gallon Data'!$B137</f>
        <v>1464560</v>
      </c>
      <c r="N73" s="308">
        <f>'Monthly D5 Gallon Data'!$B149</f>
        <v>2436030</v>
      </c>
      <c r="O73" s="308">
        <f>'Monthly D5 Gallon Data'!$B161</f>
        <v>2258268</v>
      </c>
      <c r="P73" s="308">
        <f>'Monthly D5 Gallon Data'!$B173</f>
        <v>2449930</v>
      </c>
      <c r="Q73" s="332">
        <f>'Monthly D5 Gallon Data'!$B185</f>
        <v>2100498</v>
      </c>
      <c r="R73" s="307">
        <f t="shared" si="155"/>
        <v>2348306.5095371576</v>
      </c>
      <c r="S73" s="307">
        <f t="shared" si="155"/>
        <v>2824151.9904497149</v>
      </c>
      <c r="T73" s="307">
        <f t="shared" si="155"/>
        <v>3002331.5472689429</v>
      </c>
      <c r="U73" s="307">
        <f t="shared" si="155"/>
        <v>3159922.7456743722</v>
      </c>
      <c r="V73" s="307">
        <f t="shared" si="155"/>
        <v>3293041.961595831</v>
      </c>
      <c r="W73" s="307">
        <f t="shared" si="155"/>
        <v>3739080.1634810194</v>
      </c>
      <c r="X73" s="307">
        <f t="shared" si="155"/>
        <v>3849990.6355252564</v>
      </c>
      <c r="Y73" s="307">
        <f t="shared" si="155"/>
        <v>4057900.0268294583</v>
      </c>
      <c r="Z73" s="307">
        <f t="shared" si="155"/>
        <v>4264031.3972967463</v>
      </c>
      <c r="AA73" s="307">
        <f t="shared" si="155"/>
        <v>4452127.2852698117</v>
      </c>
      <c r="AB73" s="307">
        <f t="shared" si="155"/>
        <v>4584070.3274811311</v>
      </c>
      <c r="AC73" s="307">
        <f t="shared" si="155"/>
        <v>4816302.5498838909</v>
      </c>
      <c r="AD73" s="307">
        <f t="shared" si="155"/>
        <v>5035869.7428089166</v>
      </c>
      <c r="AE73" s="307">
        <f t="shared" si="156"/>
        <v>5283846.1563171418</v>
      </c>
      <c r="AF73" s="307">
        <f t="shared" si="157"/>
        <v>5807036.4928839877</v>
      </c>
      <c r="AG73" s="307">
        <f t="shared" si="157"/>
        <v>6667813.070464802</v>
      </c>
      <c r="AH73" s="307">
        <f t="shared" si="157"/>
        <v>7008407.4703651452</v>
      </c>
      <c r="AI73" s="307">
        <f t="shared" si="157"/>
        <v>7100127.2054584231</v>
      </c>
      <c r="AJ73" s="307">
        <f t="shared" si="157"/>
        <v>7344151.2935496839</v>
      </c>
      <c r="AK73" s="307">
        <f t="shared" si="157"/>
        <v>7769664.6258142078</v>
      </c>
      <c r="AL73" s="307">
        <f t="shared" si="157"/>
        <v>8498581.5601726659</v>
      </c>
      <c r="AM73" s="307">
        <f t="shared" si="157"/>
        <v>9472719.1055767909</v>
      </c>
      <c r="AN73" s="307">
        <f t="shared" si="157"/>
        <v>11557689.030781329</v>
      </c>
      <c r="AO73" s="307">
        <f t="shared" si="157"/>
        <v>13186764.538439482</v>
      </c>
      <c r="AP73" s="307">
        <f t="shared" si="157"/>
        <v>14934623.717544464</v>
      </c>
      <c r="AR73" s="308">
        <v>3172335.844367573</v>
      </c>
      <c r="AS73" s="308">
        <f t="shared" si="158"/>
        <v>-1389500.844367573</v>
      </c>
      <c r="AT73" s="308">
        <v>1947725.6059733811</v>
      </c>
      <c r="AU73" s="308">
        <f t="shared" si="159"/>
        <v>-483165.60597338108</v>
      </c>
      <c r="AV73" s="308">
        <v>1983110.2767346357</v>
      </c>
      <c r="AW73" s="308">
        <f t="shared" si="160"/>
        <v>452919.7232653643</v>
      </c>
      <c r="AX73" s="308">
        <v>2638766.1089325375</v>
      </c>
      <c r="AY73" s="308">
        <f t="shared" si="161"/>
        <v>-380498.10893253749</v>
      </c>
      <c r="AZ73" s="308">
        <v>2449930</v>
      </c>
      <c r="BA73" s="308">
        <f t="shared" si="162"/>
        <v>0</v>
      </c>
      <c r="BB73" s="331">
        <v>2100498</v>
      </c>
      <c r="BC73" s="308">
        <f t="shared" si="163"/>
        <v>0</v>
      </c>
      <c r="BD73" s="308"/>
      <c r="BE73" s="308"/>
    </row>
    <row r="74" spans="1:105">
      <c r="A74" s="301" t="s">
        <v>45</v>
      </c>
      <c r="B74" s="308">
        <f>'Monthly D5 Gallon Data'!$B6</f>
        <v>0</v>
      </c>
      <c r="C74" s="308">
        <f>'Monthly D5 Gallon Data'!$B18</f>
        <v>1822590</v>
      </c>
      <c r="D74" s="308">
        <f>'Monthly D5 Gallon Data'!$B30</f>
        <v>2084816</v>
      </c>
      <c r="E74" s="308">
        <f>'Monthly D5 Gallon Data'!$B42</f>
        <v>1697156</v>
      </c>
      <c r="F74" s="308">
        <f>'Monthly D5 Gallon Data'!$B54</f>
        <v>2249101</v>
      </c>
      <c r="G74" s="308">
        <f>'Monthly D5 Gallon Data'!$B66</f>
        <v>2032746</v>
      </c>
      <c r="H74" s="308">
        <f>'Monthly D5 Gallon Data'!$B78</f>
        <v>2110279</v>
      </c>
      <c r="I74" s="308">
        <f>'Monthly D5 Gallon Data'!$B90</f>
        <v>2213701</v>
      </c>
      <c r="J74" s="308">
        <f>'Monthly D5 Gallon Data'!$B102</f>
        <v>2029616</v>
      </c>
      <c r="K74" s="308">
        <f>'Monthly D5 Gallon Data'!$B114</f>
        <v>2096964</v>
      </c>
      <c r="L74" s="308">
        <f>'Monthly D5 Gallon Data'!$B126</f>
        <v>2067683</v>
      </c>
      <c r="M74" s="308">
        <f>'Monthly D5 Gallon Data'!$B138</f>
        <v>2445094</v>
      </c>
      <c r="N74" s="308">
        <f>'Monthly D5 Gallon Data'!$B150</f>
        <v>2331151</v>
      </c>
      <c r="O74" s="308">
        <f>'Monthly D5 Gallon Data'!$B162</f>
        <v>3125864</v>
      </c>
      <c r="P74" s="308">
        <f>'Monthly D5 Gallon Data'!$B174</f>
        <v>2114115</v>
      </c>
      <c r="Q74" s="332">
        <f>'Monthly D5 Gallon Data'!$B186</f>
        <v>2317486</v>
      </c>
      <c r="R74" s="307">
        <f t="shared" si="155"/>
        <v>2704506.3022636184</v>
      </c>
      <c r="S74" s="307">
        <f t="shared" si="155"/>
        <v>3067781.5650613056</v>
      </c>
      <c r="T74" s="307">
        <f t="shared" si="155"/>
        <v>3340273.8902091705</v>
      </c>
      <c r="U74" s="307">
        <f t="shared" si="155"/>
        <v>3363282.8773316923</v>
      </c>
      <c r="V74" s="307">
        <f t="shared" si="155"/>
        <v>3625924.3924932485</v>
      </c>
      <c r="W74" s="307">
        <f t="shared" si="155"/>
        <v>4115860.9901169399</v>
      </c>
      <c r="X74" s="307">
        <f t="shared" si="155"/>
        <v>4209210.7703671055</v>
      </c>
      <c r="Y74" s="307">
        <f t="shared" si="155"/>
        <v>4441250.9164378783</v>
      </c>
      <c r="Z74" s="307">
        <f t="shared" si="155"/>
        <v>4654060.7732600877</v>
      </c>
      <c r="AA74" s="307">
        <f t="shared" si="155"/>
        <v>4879224.4226909522</v>
      </c>
      <c r="AB74" s="307">
        <f t="shared" si="155"/>
        <v>5020002.9775542133</v>
      </c>
      <c r="AC74" s="307">
        <f t="shared" si="155"/>
        <v>5269504.3853654703</v>
      </c>
      <c r="AD74" s="307">
        <f t="shared" si="155"/>
        <v>5510425.9109153012</v>
      </c>
      <c r="AE74" s="307">
        <f t="shared" si="156"/>
        <v>5781552.7334901979</v>
      </c>
      <c r="AF74" s="307">
        <f t="shared" si="157"/>
        <v>6356815.225469484</v>
      </c>
      <c r="AG74" s="307">
        <f t="shared" si="157"/>
        <v>7297624.3176939478</v>
      </c>
      <c r="AH74" s="307">
        <f t="shared" si="157"/>
        <v>7669642.8880591942</v>
      </c>
      <c r="AI74" s="307">
        <f t="shared" si="157"/>
        <v>7770304.7645553509</v>
      </c>
      <c r="AJ74" s="307">
        <f t="shared" si="157"/>
        <v>8037541.2662642086</v>
      </c>
      <c r="AK74" s="307">
        <f t="shared" si="157"/>
        <v>8503495.0676432475</v>
      </c>
      <c r="AL74" s="307">
        <f t="shared" si="157"/>
        <v>9300945.5000875667</v>
      </c>
      <c r="AM74" s="307">
        <f t="shared" si="157"/>
        <v>10366979.28227927</v>
      </c>
      <c r="AN74" s="307">
        <f t="shared" si="157"/>
        <v>12648888.768765837</v>
      </c>
      <c r="AO74" s="307">
        <f t="shared" si="157"/>
        <v>14431820.612525698</v>
      </c>
      <c r="AP74" s="307">
        <f t="shared" si="157"/>
        <v>16344714.539024962</v>
      </c>
      <c r="AR74" s="308">
        <v>2740697.49434382</v>
      </c>
      <c r="AS74" s="308">
        <f t="shared" si="158"/>
        <v>-673014.49434382003</v>
      </c>
      <c r="AT74" s="308">
        <v>2119809.1339337984</v>
      </c>
      <c r="AU74" s="308">
        <f t="shared" si="159"/>
        <v>325284.86606620159</v>
      </c>
      <c r="AV74" s="308">
        <v>2701956.2083185883</v>
      </c>
      <c r="AW74" s="308">
        <f t="shared" si="160"/>
        <v>-370805.20831858832</v>
      </c>
      <c r="AX74" s="308">
        <v>2978031.391729543</v>
      </c>
      <c r="AY74" s="308">
        <f t="shared" si="161"/>
        <v>147832.60827045701</v>
      </c>
      <c r="AZ74" s="308">
        <v>2114115</v>
      </c>
      <c r="BA74" s="308">
        <f t="shared" si="162"/>
        <v>0</v>
      </c>
      <c r="BB74" s="331">
        <v>1933103.8694434667</v>
      </c>
      <c r="BC74" s="308">
        <f t="shared" si="163"/>
        <v>384382.13055653335</v>
      </c>
      <c r="BD74" s="308"/>
      <c r="BE74" s="308"/>
    </row>
    <row r="75" spans="1:105">
      <c r="A75" s="301" t="s">
        <v>46</v>
      </c>
      <c r="B75" s="308">
        <f>'Monthly D5 Gallon Data'!$B7</f>
        <v>0</v>
      </c>
      <c r="C75" s="308">
        <f>'Monthly D5 Gallon Data'!$B19</f>
        <v>1614284</v>
      </c>
      <c r="D75" s="308">
        <f>'Monthly D5 Gallon Data'!$B31</f>
        <v>2237130</v>
      </c>
      <c r="E75" s="308">
        <f>'Monthly D5 Gallon Data'!$B43</f>
        <v>1827312</v>
      </c>
      <c r="F75" s="308">
        <f>'Monthly D5 Gallon Data'!$B55</f>
        <v>2270945</v>
      </c>
      <c r="G75" s="308">
        <f>'Monthly D5 Gallon Data'!$B67</f>
        <v>1820525</v>
      </c>
      <c r="H75" s="308">
        <f>'Monthly D5 Gallon Data'!$B79</f>
        <v>2240412</v>
      </c>
      <c r="I75" s="308">
        <f>'Monthly D5 Gallon Data'!$B91</f>
        <v>1749802</v>
      </c>
      <c r="J75" s="308">
        <f>'Monthly D5 Gallon Data'!$B103</f>
        <v>2129955</v>
      </c>
      <c r="K75" s="308">
        <f>'Monthly D5 Gallon Data'!$B115</f>
        <v>1881112</v>
      </c>
      <c r="L75" s="308">
        <f>'Monthly D5 Gallon Data'!$B127</f>
        <v>1989362</v>
      </c>
      <c r="M75" s="308">
        <f>'Monthly D5 Gallon Data'!$B139</f>
        <v>2129916</v>
      </c>
      <c r="N75" s="308">
        <f>'Monthly D5 Gallon Data'!$B151</f>
        <v>2237127</v>
      </c>
      <c r="O75" s="308">
        <f>'Monthly D5 Gallon Data'!$B163</f>
        <v>2058614</v>
      </c>
      <c r="P75" s="308">
        <f>'Monthly D5 Gallon Data'!$B175</f>
        <v>2530447</v>
      </c>
      <c r="Q75" s="307">
        <f t="shared" si="155"/>
        <v>2666353.2326315162</v>
      </c>
      <c r="R75" s="307">
        <f t="shared" si="155"/>
        <v>2548544.503919851</v>
      </c>
      <c r="S75" s="307">
        <f t="shared" si="155"/>
        <v>2933301.2067448152</v>
      </c>
      <c r="T75" s="307">
        <f t="shared" si="155"/>
        <v>3191802.3720973684</v>
      </c>
      <c r="U75" s="307">
        <f t="shared" si="155"/>
        <v>3444306.0198850334</v>
      </c>
      <c r="V75" s="307">
        <f t="shared" si="155"/>
        <v>3623712.7335449317</v>
      </c>
      <c r="W75" s="307">
        <f t="shared" si="155"/>
        <v>4023813.3052593516</v>
      </c>
      <c r="X75" s="307">
        <f t="shared" si="155"/>
        <v>4138023.1246391386</v>
      </c>
      <c r="Y75" s="307">
        <f t="shared" si="155"/>
        <v>4385803.5005680081</v>
      </c>
      <c r="Z75" s="307">
        <f t="shared" si="155"/>
        <v>4621109.5257110139</v>
      </c>
      <c r="AA75" s="307">
        <f t="shared" si="155"/>
        <v>4820374.6748520518</v>
      </c>
      <c r="AB75" s="307">
        <f t="shared" si="155"/>
        <v>4950108.0575438896</v>
      </c>
      <c r="AC75" s="307">
        <f t="shared" si="155"/>
        <v>5204025.2556185704</v>
      </c>
      <c r="AD75" s="307">
        <f t="shared" si="155"/>
        <v>5446241.6320761656</v>
      </c>
      <c r="AE75" s="307">
        <f t="shared" si="156"/>
        <v>5715058.6439998113</v>
      </c>
      <c r="AF75" s="307">
        <f t="shared" si="157"/>
        <v>6278762.0288024247</v>
      </c>
      <c r="AG75" s="307">
        <f t="shared" si="157"/>
        <v>7207742.2063530218</v>
      </c>
      <c r="AH75" s="307">
        <f t="shared" si="157"/>
        <v>7577225.9911718518</v>
      </c>
      <c r="AI75" s="307">
        <f t="shared" si="157"/>
        <v>7677147.3866864974</v>
      </c>
      <c r="AJ75" s="307">
        <f t="shared" si="157"/>
        <v>7940746.8327786857</v>
      </c>
      <c r="AK75" s="307">
        <f t="shared" si="157"/>
        <v>8400372.0104868263</v>
      </c>
      <c r="AL75" s="307">
        <f t="shared" si="157"/>
        <v>9188379.7369253095</v>
      </c>
      <c r="AM75" s="307">
        <f t="shared" si="157"/>
        <v>10241903.92499386</v>
      </c>
      <c r="AN75" s="307">
        <f t="shared" si="157"/>
        <v>12496249.397059832</v>
      </c>
      <c r="AO75" s="307">
        <f t="shared" si="157"/>
        <v>14257485.650311388</v>
      </c>
      <c r="AP75" s="307">
        <f t="shared" si="157"/>
        <v>16147183.773977149</v>
      </c>
      <c r="AR75" s="308">
        <v>893804.09225342958</v>
      </c>
      <c r="AS75" s="308">
        <f t="shared" si="158"/>
        <v>1095557.9077465704</v>
      </c>
      <c r="AT75" s="308">
        <v>2013478.5242211444</v>
      </c>
      <c r="AU75" s="308">
        <f t="shared" si="159"/>
        <v>116437.47577885562</v>
      </c>
      <c r="AV75" s="308">
        <v>2459742.1782644372</v>
      </c>
      <c r="AW75" s="308">
        <f t="shared" si="160"/>
        <v>-222615.17826443724</v>
      </c>
      <c r="AX75" s="308">
        <v>2814332.4875089712</v>
      </c>
      <c r="AY75" s="308">
        <f t="shared" si="161"/>
        <v>-755718.48750897124</v>
      </c>
      <c r="AZ75" s="308">
        <v>2530447</v>
      </c>
      <c r="BA75" s="308">
        <f t="shared" si="162"/>
        <v>0</v>
      </c>
      <c r="BB75" s="331">
        <v>1750983.5748869886</v>
      </c>
      <c r="BC75" s="308">
        <f t="shared" si="163"/>
        <v>915369.65774452756</v>
      </c>
      <c r="BD75" s="308"/>
      <c r="BE75" s="308"/>
    </row>
    <row r="76" spans="1:105">
      <c r="A76" s="301" t="s">
        <v>47</v>
      </c>
      <c r="B76" s="308">
        <f>'Monthly D5 Gallon Data'!$B8</f>
        <v>0</v>
      </c>
      <c r="C76" s="308">
        <f>'Monthly D5 Gallon Data'!$B20</f>
        <v>1699974</v>
      </c>
      <c r="D76" s="308">
        <f>'Monthly D5 Gallon Data'!$B32</f>
        <v>2609704</v>
      </c>
      <c r="E76" s="308">
        <f>'Monthly D5 Gallon Data'!$B44</f>
        <v>1943952</v>
      </c>
      <c r="F76" s="308">
        <f>'Monthly D5 Gallon Data'!$B56</f>
        <v>2078392</v>
      </c>
      <c r="G76" s="308">
        <f>'Monthly D5 Gallon Data'!$B68</f>
        <v>1951230</v>
      </c>
      <c r="H76" s="308">
        <f>'Monthly D5 Gallon Data'!$B80</f>
        <v>2514342</v>
      </c>
      <c r="I76" s="308">
        <f>'Monthly D5 Gallon Data'!$B92</f>
        <v>2219885</v>
      </c>
      <c r="J76" s="308">
        <f>'Monthly D5 Gallon Data'!$B104</f>
        <v>2025926</v>
      </c>
      <c r="K76" s="308">
        <f>'Monthly D5 Gallon Data'!$B116</f>
        <v>2180038</v>
      </c>
      <c r="L76" s="308">
        <f>'Monthly D5 Gallon Data'!$B128</f>
        <v>1967105</v>
      </c>
      <c r="M76" s="308">
        <f>'Monthly D5 Gallon Data'!$B140</f>
        <v>1974084</v>
      </c>
      <c r="N76" s="308">
        <f>'Monthly D5 Gallon Data'!$B152</f>
        <v>2788151</v>
      </c>
      <c r="O76" s="308">
        <f>'Monthly D5 Gallon Data'!$B164</f>
        <v>2737856</v>
      </c>
      <c r="P76" s="308">
        <f>'Monthly D5 Gallon Data'!$B176</f>
        <v>2537729</v>
      </c>
      <c r="Q76" s="307">
        <f t="shared" si="155"/>
        <v>2924441.0956325573</v>
      </c>
      <c r="R76" s="307">
        <f t="shared" si="155"/>
        <v>2842333.4766850173</v>
      </c>
      <c r="S76" s="307">
        <f t="shared" si="155"/>
        <v>3369218.8760459125</v>
      </c>
      <c r="T76" s="307">
        <f t="shared" si="155"/>
        <v>3611366.2186319614</v>
      </c>
      <c r="U76" s="307">
        <f t="shared" si="155"/>
        <v>3795589.1340427198</v>
      </c>
      <c r="V76" s="307">
        <f t="shared" si="155"/>
        <v>4054765.1547839171</v>
      </c>
      <c r="W76" s="307">
        <f t="shared" si="155"/>
        <v>4517561.6548312418</v>
      </c>
      <c r="X76" s="307">
        <f t="shared" si="155"/>
        <v>4650336.5296437321</v>
      </c>
      <c r="Y76" s="307">
        <f t="shared" si="155"/>
        <v>4911471.923861526</v>
      </c>
      <c r="Z76" s="307">
        <f t="shared" si="155"/>
        <v>5166263.3379292479</v>
      </c>
      <c r="AA76" s="307">
        <f t="shared" si="155"/>
        <v>5401796.5888607092</v>
      </c>
      <c r="AB76" s="307">
        <f t="shared" si="155"/>
        <v>5548535.7801250536</v>
      </c>
      <c r="AC76" s="307">
        <f t="shared" si="155"/>
        <v>5831491.2092709644</v>
      </c>
      <c r="AD76" s="307">
        <f t="shared" si="155"/>
        <v>6099874.0436055632</v>
      </c>
      <c r="AE76" s="307">
        <f t="shared" si="156"/>
        <v>6401111.8661970301</v>
      </c>
      <c r="AF76" s="307">
        <f t="shared" si="157"/>
        <v>7034785.014202063</v>
      </c>
      <c r="AG76" s="307">
        <f t="shared" si="157"/>
        <v>8075361.3748324737</v>
      </c>
      <c r="AH76" s="307">
        <f t="shared" si="157"/>
        <v>8488669.4731192272</v>
      </c>
      <c r="AI76" s="307">
        <f t="shared" si="157"/>
        <v>8600255.5936388187</v>
      </c>
      <c r="AJ76" s="307">
        <f t="shared" si="157"/>
        <v>8895833.8317210525</v>
      </c>
      <c r="AK76" s="307">
        <f t="shared" si="157"/>
        <v>9411047.0124076996</v>
      </c>
      <c r="AL76" s="307">
        <f t="shared" si="157"/>
        <v>10293719.02940529</v>
      </c>
      <c r="AM76" s="307">
        <f t="shared" si="157"/>
        <v>11473842.535069244</v>
      </c>
      <c r="AN76" s="307">
        <f t="shared" si="157"/>
        <v>13999343.293995306</v>
      </c>
      <c r="AO76" s="307">
        <f t="shared" si="157"/>
        <v>15972523.902223675</v>
      </c>
      <c r="AP76" s="307">
        <f t="shared" si="157"/>
        <v>18089566.580371141</v>
      </c>
      <c r="AR76" s="308">
        <v>991141.48453110363</v>
      </c>
      <c r="AS76" s="308">
        <f t="shared" si="158"/>
        <v>975963.51546889637</v>
      </c>
      <c r="AT76" s="308">
        <v>2198217.5400651591</v>
      </c>
      <c r="AU76" s="308">
        <f t="shared" si="159"/>
        <v>-224133.54006515909</v>
      </c>
      <c r="AV76" s="308">
        <v>2580955.8553338079</v>
      </c>
      <c r="AW76" s="308">
        <f t="shared" si="160"/>
        <v>207195.14466619212</v>
      </c>
      <c r="AX76" s="308">
        <v>2968474.9867650284</v>
      </c>
      <c r="AY76" s="308">
        <f t="shared" si="161"/>
        <v>-230618.98676502844</v>
      </c>
      <c r="AZ76" s="308">
        <v>2537729</v>
      </c>
      <c r="BA76" s="308">
        <f t="shared" si="162"/>
        <v>0</v>
      </c>
      <c r="BB76" s="331">
        <v>1920468.8491792111</v>
      </c>
      <c r="BC76" s="308">
        <f t="shared" si="163"/>
        <v>1003972.2464533462</v>
      </c>
      <c r="BD76" s="308"/>
      <c r="BE76" s="308"/>
    </row>
    <row r="77" spans="1:105">
      <c r="A77" s="301" t="s">
        <v>48</v>
      </c>
      <c r="B77" s="308">
        <f>'Monthly D5 Gallon Data'!$B9</f>
        <v>0</v>
      </c>
      <c r="C77" s="308">
        <f>'Monthly D5 Gallon Data'!$B21</f>
        <v>2201578</v>
      </c>
      <c r="D77" s="308">
        <f>'Monthly D5 Gallon Data'!$B33</f>
        <v>2690340</v>
      </c>
      <c r="E77" s="308">
        <f>'Monthly D5 Gallon Data'!$B45</f>
        <v>1796908</v>
      </c>
      <c r="F77" s="308">
        <f>'Monthly D5 Gallon Data'!$B57</f>
        <v>2181942</v>
      </c>
      <c r="G77" s="308">
        <f>'Monthly D5 Gallon Data'!$B69</f>
        <v>2144244</v>
      </c>
      <c r="H77" s="308">
        <f>'Monthly D5 Gallon Data'!$B81</f>
        <v>2406606</v>
      </c>
      <c r="I77" s="308">
        <f>'Monthly D5 Gallon Data'!$B93</f>
        <v>2404533</v>
      </c>
      <c r="J77" s="308">
        <f>'Monthly D5 Gallon Data'!$B105</f>
        <v>2194561</v>
      </c>
      <c r="K77" s="308">
        <f>'Monthly D5 Gallon Data'!$B117</f>
        <v>1966786</v>
      </c>
      <c r="L77" s="308">
        <f>'Monthly D5 Gallon Data'!$B129</f>
        <v>1972220</v>
      </c>
      <c r="M77" s="308">
        <f>'Monthly D5 Gallon Data'!$B141</f>
        <v>2574692</v>
      </c>
      <c r="N77" s="308">
        <f>'Monthly D5 Gallon Data'!$B153</f>
        <v>2536364</v>
      </c>
      <c r="O77" s="308">
        <f>'Monthly D5 Gallon Data'!$B165</f>
        <v>2590243</v>
      </c>
      <c r="P77" s="308">
        <f>'Monthly D5 Gallon Data'!$B177</f>
        <v>2214046</v>
      </c>
      <c r="Q77" s="307">
        <f t="shared" si="155"/>
        <v>2895851.7952426393</v>
      </c>
      <c r="R77" s="307">
        <f t="shared" si="155"/>
        <v>2809208.4597637844</v>
      </c>
      <c r="S77" s="307">
        <f t="shared" si="155"/>
        <v>3178036.2062862492</v>
      </c>
      <c r="T77" s="307">
        <f t="shared" si="155"/>
        <v>3429892.2670694455</v>
      </c>
      <c r="U77" s="307">
        <f t="shared" si="155"/>
        <v>3607349.3825319735</v>
      </c>
      <c r="V77" s="307">
        <f t="shared" si="155"/>
        <v>3902159.9474684154</v>
      </c>
      <c r="W77" s="307">
        <f t="shared" si="155"/>
        <v>4326712.3587171743</v>
      </c>
      <c r="X77" s="307">
        <f t="shared" si="155"/>
        <v>4432979.3345221952</v>
      </c>
      <c r="Y77" s="307">
        <f t="shared" si="155"/>
        <v>4689933.6854303386</v>
      </c>
      <c r="Z77" s="307">
        <f t="shared" si="155"/>
        <v>4937609.213827149</v>
      </c>
      <c r="AA77" s="307">
        <f t="shared" si="155"/>
        <v>5167412.6891687969</v>
      </c>
      <c r="AB77" s="307">
        <f t="shared" si="155"/>
        <v>5302532.6796460319</v>
      </c>
      <c r="AC77" s="307">
        <f t="shared" si="155"/>
        <v>5570798.1419003746</v>
      </c>
      <c r="AD77" s="307">
        <f t="shared" si="155"/>
        <v>5829333.0485598147</v>
      </c>
      <c r="AE77" s="307">
        <f t="shared" si="156"/>
        <v>6118055.9882225748</v>
      </c>
      <c r="AF77" s="307">
        <f t="shared" si="157"/>
        <v>6723757.0049732877</v>
      </c>
      <c r="AG77" s="307">
        <f t="shared" si="157"/>
        <v>7717165.4430476846</v>
      </c>
      <c r="AH77" s="307">
        <f t="shared" si="157"/>
        <v>8112112.3230806664</v>
      </c>
      <c r="AI77" s="307">
        <f t="shared" si="157"/>
        <v>8219226.9284747588</v>
      </c>
      <c r="AJ77" s="307">
        <f t="shared" si="157"/>
        <v>8501776.621436635</v>
      </c>
      <c r="AK77" s="307">
        <f t="shared" si="157"/>
        <v>8994054.5773312282</v>
      </c>
      <c r="AL77" s="307">
        <f t="shared" si="157"/>
        <v>9837456.586772725</v>
      </c>
      <c r="AM77" s="307">
        <f t="shared" si="157"/>
        <v>10965337.364108825</v>
      </c>
      <c r="AN77" s="307">
        <f t="shared" si="157"/>
        <v>13379012.243916873</v>
      </c>
      <c r="AO77" s="307">
        <f t="shared" si="157"/>
        <v>15264740.349768383</v>
      </c>
      <c r="AP77" s="307">
        <f t="shared" si="157"/>
        <v>17287930.005877588</v>
      </c>
      <c r="AR77" s="308">
        <v>1876790.6004677236</v>
      </c>
      <c r="AS77" s="308">
        <f t="shared" si="158"/>
        <v>95429.399532276439</v>
      </c>
      <c r="AT77" s="308">
        <v>2004709.3857119556</v>
      </c>
      <c r="AU77" s="308">
        <f t="shared" si="159"/>
        <v>569982.61428804439</v>
      </c>
      <c r="AV77" s="308">
        <v>2766617.1939860447</v>
      </c>
      <c r="AW77" s="308">
        <f t="shared" si="160"/>
        <v>-230253.19398604473</v>
      </c>
      <c r="AX77" s="308">
        <v>3052442.0455073467</v>
      </c>
      <c r="AY77" s="308">
        <f t="shared" si="161"/>
        <v>-462199.04550734675</v>
      </c>
      <c r="AZ77" s="308">
        <v>2214046</v>
      </c>
      <c r="BA77" s="308">
        <f t="shared" si="162"/>
        <v>0</v>
      </c>
      <c r="BB77" s="331">
        <v>1901694.3691937323</v>
      </c>
      <c r="BC77" s="308">
        <f t="shared" si="163"/>
        <v>994157.42604890699</v>
      </c>
      <c r="BD77" s="308"/>
      <c r="BE77" s="308"/>
    </row>
    <row r="78" spans="1:105">
      <c r="A78" s="301" t="s">
        <v>49</v>
      </c>
      <c r="B78" s="308">
        <f>'Monthly D5 Gallon Data'!$B10</f>
        <v>347397</v>
      </c>
      <c r="C78" s="308">
        <f>'Monthly D5 Gallon Data'!$B22</f>
        <v>2035393</v>
      </c>
      <c r="D78" s="308">
        <f>'Monthly D5 Gallon Data'!$B34</f>
        <v>2522719</v>
      </c>
      <c r="E78" s="308">
        <f>'Monthly D5 Gallon Data'!$B46</f>
        <v>2027766</v>
      </c>
      <c r="F78" s="308">
        <f>'Monthly D5 Gallon Data'!$B58</f>
        <v>2273944</v>
      </c>
      <c r="G78" s="308">
        <f>'Monthly D5 Gallon Data'!$B70</f>
        <v>2197184</v>
      </c>
      <c r="H78" s="308">
        <f>'Monthly D5 Gallon Data'!$B82</f>
        <v>2327696</v>
      </c>
      <c r="I78" s="308">
        <f>'Monthly D5 Gallon Data'!$B94</f>
        <v>2221115</v>
      </c>
      <c r="J78" s="308">
        <f>'Monthly D5 Gallon Data'!$B106</f>
        <v>2183916</v>
      </c>
      <c r="K78" s="308">
        <f>'Monthly D5 Gallon Data'!$B118</f>
        <v>2095521</v>
      </c>
      <c r="L78" s="308">
        <f>'Monthly D5 Gallon Data'!$B130</f>
        <v>1804923</v>
      </c>
      <c r="M78" s="308">
        <f>'Monthly D5 Gallon Data'!$B142</f>
        <v>2169995</v>
      </c>
      <c r="N78" s="308">
        <f>'Monthly D5 Gallon Data'!$B154</f>
        <v>2377142</v>
      </c>
      <c r="O78" s="308">
        <f>'Monthly D5 Gallon Data'!$B166</f>
        <v>2084196</v>
      </c>
      <c r="P78" s="308">
        <f>'Monthly D5 Gallon Data'!$B178</f>
        <v>2272727</v>
      </c>
      <c r="Q78" s="307">
        <f t="shared" si="155"/>
        <v>2608745.1589768725</v>
      </c>
      <c r="R78" s="307">
        <f t="shared" si="155"/>
        <v>2524500.2606017208</v>
      </c>
      <c r="S78" s="307">
        <f t="shared" si="155"/>
        <v>2890968.2013887144</v>
      </c>
      <c r="T78" s="307">
        <f t="shared" si="155"/>
        <v>3102562.2003470268</v>
      </c>
      <c r="U78" s="307">
        <f t="shared" si="155"/>
        <v>3327360.9606186664</v>
      </c>
      <c r="V78" s="307">
        <f t="shared" si="155"/>
        <v>3542786.1665257937</v>
      </c>
      <c r="W78" s="307">
        <f t="shared" si="155"/>
        <v>3933456.0423203814</v>
      </c>
      <c r="X78" s="307">
        <f t="shared" si="155"/>
        <v>4037125.3403399526</v>
      </c>
      <c r="Y78" s="307">
        <f t="shared" si="155"/>
        <v>4271914.5642306572</v>
      </c>
      <c r="Z78" s="307">
        <f t="shared" si="155"/>
        <v>4502607.7581298742</v>
      </c>
      <c r="AA78" s="307">
        <f t="shared" si="155"/>
        <v>4703398.2628248027</v>
      </c>
      <c r="AB78" s="307">
        <f t="shared" si="155"/>
        <v>4828405.2507328158</v>
      </c>
      <c r="AC78" s="307">
        <f t="shared" si="155"/>
        <v>5074133.0460074674</v>
      </c>
      <c r="AD78" s="307">
        <f t="shared" si="155"/>
        <v>5309761.6051981663</v>
      </c>
      <c r="AE78" s="307">
        <f t="shared" si="156"/>
        <v>5572751.1892765472</v>
      </c>
      <c r="AF78" s="307">
        <f t="shared" si="157"/>
        <v>6123243.1138194967</v>
      </c>
      <c r="AG78" s="307">
        <f t="shared" si="157"/>
        <v>7028581.319318831</v>
      </c>
      <c r="AH78" s="307">
        <f t="shared" si="157"/>
        <v>7388540.6436780868</v>
      </c>
      <c r="AI78" s="307">
        <f t="shared" si="157"/>
        <v>7486046.1253484506</v>
      </c>
      <c r="AJ78" s="307">
        <f t="shared" si="157"/>
        <v>7743293.9379073381</v>
      </c>
      <c r="AK78" s="307">
        <f t="shared" si="157"/>
        <v>8191535.5282608094</v>
      </c>
      <c r="AL78" s="307">
        <f t="shared" si="157"/>
        <v>8959817.2715605795</v>
      </c>
      <c r="AM78" s="307">
        <f t="shared" si="157"/>
        <v>9987101.4984992407</v>
      </c>
      <c r="AN78" s="307">
        <f t="shared" si="157"/>
        <v>12185413.001428094</v>
      </c>
      <c r="AO78" s="307">
        <f t="shared" si="157"/>
        <v>13902880.075994922</v>
      </c>
      <c r="AP78" s="307">
        <f t="shared" si="157"/>
        <v>15745564.990904719</v>
      </c>
      <c r="AR78" s="308">
        <v>1964919.5950807969</v>
      </c>
      <c r="AS78" s="308">
        <f t="shared" si="158"/>
        <v>-159996.59508079686</v>
      </c>
      <c r="AT78" s="308">
        <v>1947646.4423603683</v>
      </c>
      <c r="AU78" s="308">
        <f t="shared" si="159"/>
        <v>222348.55763963168</v>
      </c>
      <c r="AV78" s="308">
        <v>2607944.6428989442</v>
      </c>
      <c r="AW78" s="308">
        <f t="shared" si="160"/>
        <v>-230802.64289894421</v>
      </c>
      <c r="AX78" s="308">
        <v>2576356.3832952268</v>
      </c>
      <c r="AY78" s="308">
        <f t="shared" si="161"/>
        <v>-492160.38329522684</v>
      </c>
      <c r="AZ78" s="309">
        <v>2272727</v>
      </c>
      <c r="BA78" s="308">
        <f t="shared" si="162"/>
        <v>0</v>
      </c>
      <c r="BB78" s="331">
        <v>1713152.5817853701</v>
      </c>
      <c r="BC78" s="308">
        <f t="shared" si="163"/>
        <v>895592.57719150232</v>
      </c>
      <c r="BD78" s="308"/>
      <c r="BE78" s="308"/>
    </row>
    <row r="79" spans="1:105">
      <c r="A79" s="301" t="s">
        <v>50</v>
      </c>
      <c r="B79" s="308">
        <f>'Monthly D5 Gallon Data'!$B11</f>
        <v>373169</v>
      </c>
      <c r="C79" s="308">
        <f>'Monthly D5 Gallon Data'!$B23</f>
        <v>1961596</v>
      </c>
      <c r="D79" s="308">
        <f>'Monthly D5 Gallon Data'!$B35</f>
        <v>2687091</v>
      </c>
      <c r="E79" s="308">
        <f>'Monthly D5 Gallon Data'!$B47</f>
        <v>2084363</v>
      </c>
      <c r="F79" s="308">
        <f>'Monthly D5 Gallon Data'!$B59</f>
        <v>2143347</v>
      </c>
      <c r="G79" s="308">
        <f>'Monthly D5 Gallon Data'!$B71</f>
        <v>2370536</v>
      </c>
      <c r="H79" s="308">
        <f>'Monthly D5 Gallon Data'!$B83</f>
        <v>2528155</v>
      </c>
      <c r="I79" s="308">
        <f>'Monthly D5 Gallon Data'!$B95</f>
        <v>2204241</v>
      </c>
      <c r="J79" s="308">
        <f>'Monthly D5 Gallon Data'!$B107</f>
        <v>2143845</v>
      </c>
      <c r="K79" s="308">
        <f>'Monthly D5 Gallon Data'!$B119</f>
        <v>1995104</v>
      </c>
      <c r="L79" s="308">
        <f>'Monthly D5 Gallon Data'!$B131</f>
        <v>1946561</v>
      </c>
      <c r="M79" s="308">
        <f>'Monthly D5 Gallon Data'!$B143</f>
        <v>2303866</v>
      </c>
      <c r="N79" s="308">
        <f>'Monthly D5 Gallon Data'!$B155</f>
        <v>2438601</v>
      </c>
      <c r="O79" s="308">
        <f>'Monthly D5 Gallon Data'!$B167</f>
        <v>2352734</v>
      </c>
      <c r="P79" s="308">
        <f>'Monthly D5 Gallon Data'!$B179</f>
        <v>2063554</v>
      </c>
      <c r="Q79" s="307">
        <f t="shared" si="155"/>
        <v>2705293.2434301563</v>
      </c>
      <c r="R79" s="307">
        <f t="shared" si="155"/>
        <v>2601520.0004472677</v>
      </c>
      <c r="S79" s="307">
        <f t="shared" si="155"/>
        <v>2962684.3167262413</v>
      </c>
      <c r="T79" s="307">
        <f t="shared" si="155"/>
        <v>3178903.518065054</v>
      </c>
      <c r="U79" s="307">
        <f t="shared" si="155"/>
        <v>3355285.0751208281</v>
      </c>
      <c r="V79" s="307">
        <f t="shared" si="155"/>
        <v>3628462.5855201855</v>
      </c>
      <c r="W79" s="307">
        <f t="shared" si="155"/>
        <v>4020027.2977902545</v>
      </c>
      <c r="X79" s="307">
        <f t="shared" si="155"/>
        <v>4120820.8715157113</v>
      </c>
      <c r="Y79" s="307">
        <f t="shared" si="155"/>
        <v>4357672.553168891</v>
      </c>
      <c r="Z79" s="307">
        <f t="shared" si="155"/>
        <v>4589685.0806027446</v>
      </c>
      <c r="AA79" s="307">
        <f t="shared" si="155"/>
        <v>4802803.1859096475</v>
      </c>
      <c r="AB79" s="307">
        <f t="shared" si="155"/>
        <v>4928020.7496412816</v>
      </c>
      <c r="AC79" s="307">
        <f t="shared" si="155"/>
        <v>5177587.4187237537</v>
      </c>
      <c r="AD79" s="307">
        <f t="shared" si="155"/>
        <v>5417705.7377230143</v>
      </c>
      <c r="AE79" s="307">
        <f t="shared" si="156"/>
        <v>5686289.8936392358</v>
      </c>
      <c r="AF79" s="307">
        <f t="shared" si="157"/>
        <v>6249116.5992970206</v>
      </c>
      <c r="AG79" s="307">
        <f t="shared" si="157"/>
        <v>7172355.4001008347</v>
      </c>
      <c r="AH79" s="307">
        <f t="shared" si="157"/>
        <v>7539462.8234176328</v>
      </c>
      <c r="AI79" s="307">
        <f t="shared" si="157"/>
        <v>7639005.8660213305</v>
      </c>
      <c r="AJ79" s="307">
        <f t="shared" si="157"/>
        <v>7901636.3065826586</v>
      </c>
      <c r="AK79" s="307">
        <f t="shared" si="157"/>
        <v>8359139.7699433919</v>
      </c>
      <c r="AL79" s="307">
        <f t="shared" si="157"/>
        <v>9143001.8608170487</v>
      </c>
      <c r="AM79" s="307">
        <f t="shared" si="157"/>
        <v>10191270.496323651</v>
      </c>
      <c r="AN79" s="307">
        <f t="shared" si="157"/>
        <v>12434558.26073513</v>
      </c>
      <c r="AO79" s="307">
        <f t="shared" si="157"/>
        <v>14187170.936394595</v>
      </c>
      <c r="AP79" s="307">
        <f t="shared" si="157"/>
        <v>16067534.273197446</v>
      </c>
      <c r="AR79" s="308">
        <v>1994796.1025611192</v>
      </c>
      <c r="AS79" s="308">
        <f t="shared" si="158"/>
        <v>-48235.102561119245</v>
      </c>
      <c r="AT79" s="308">
        <v>1981483.8452288511</v>
      </c>
      <c r="AU79" s="308">
        <f t="shared" si="159"/>
        <v>322382.15477114893</v>
      </c>
      <c r="AV79" s="308">
        <v>2637358.2424346544</v>
      </c>
      <c r="AW79" s="308">
        <f t="shared" si="160"/>
        <v>-198757.24243465438</v>
      </c>
      <c r="AX79" s="308">
        <v>2538744.2987482888</v>
      </c>
      <c r="AY79" s="308">
        <f t="shared" si="161"/>
        <v>-186010.29874828877</v>
      </c>
      <c r="AZ79" s="309">
        <v>2063554</v>
      </c>
      <c r="BA79" s="308">
        <f t="shared" si="162"/>
        <v>0</v>
      </c>
      <c r="BB79" s="331">
        <v>1776555.3252762076</v>
      </c>
      <c r="BC79" s="308">
        <f t="shared" si="163"/>
        <v>928737.91815394862</v>
      </c>
      <c r="BD79" s="308"/>
      <c r="BE79" s="308"/>
    </row>
    <row r="80" spans="1:105">
      <c r="A80" s="301" t="s">
        <v>51</v>
      </c>
      <c r="B80" s="308">
        <f>'Monthly D5 Gallon Data'!$B12</f>
        <v>320813</v>
      </c>
      <c r="C80" s="308">
        <f>'Monthly D5 Gallon Data'!$B24</f>
        <v>1836413</v>
      </c>
      <c r="D80" s="308">
        <f>'Monthly D5 Gallon Data'!$B36</f>
        <v>2013963</v>
      </c>
      <c r="E80" s="308">
        <f>'Monthly D5 Gallon Data'!$B48</f>
        <v>1978203</v>
      </c>
      <c r="F80" s="308">
        <f>'Monthly D5 Gallon Data'!$B60</f>
        <v>2177573</v>
      </c>
      <c r="G80" s="308">
        <f>'Monthly D5 Gallon Data'!$B72</f>
        <v>2033261</v>
      </c>
      <c r="H80" s="308">
        <f>'Monthly D5 Gallon Data'!$B84</f>
        <v>1921626</v>
      </c>
      <c r="I80" s="308">
        <f>'Monthly D5 Gallon Data'!$B96</f>
        <v>2274090</v>
      </c>
      <c r="J80" s="308">
        <f>'Monthly D5 Gallon Data'!$B108</f>
        <v>2068219</v>
      </c>
      <c r="K80" s="308">
        <f>'Monthly D5 Gallon Data'!$B120</f>
        <v>2030713</v>
      </c>
      <c r="L80" s="308">
        <f>'Monthly D5 Gallon Data'!$B132</f>
        <v>1892214</v>
      </c>
      <c r="M80" s="308">
        <f>'Monthly D5 Gallon Data'!$B144</f>
        <v>1804886</v>
      </c>
      <c r="N80" s="308">
        <f>'Monthly D5 Gallon Data'!$B156</f>
        <v>2332869</v>
      </c>
      <c r="O80" s="308">
        <f>'Monthly D5 Gallon Data'!$B168</f>
        <v>2567266</v>
      </c>
      <c r="P80" s="308">
        <f>'Monthly D5 Gallon Data'!$B180</f>
        <v>2338802</v>
      </c>
      <c r="Q80" s="307">
        <f t="shared" si="155"/>
        <v>2664056.2957418049</v>
      </c>
      <c r="R80" s="307">
        <f t="shared" si="155"/>
        <v>2567275.6487281965</v>
      </c>
      <c r="S80" s="307">
        <f t="shared" si="155"/>
        <v>3037853.5410813116</v>
      </c>
      <c r="T80" s="307">
        <f t="shared" si="155"/>
        <v>3301558.2248755032</v>
      </c>
      <c r="U80" s="307">
        <f t="shared" si="155"/>
        <v>3454014.6745739691</v>
      </c>
      <c r="V80" s="307">
        <f t="shared" si="155"/>
        <v>3682648.5707750879</v>
      </c>
      <c r="W80" s="307">
        <f t="shared" si="155"/>
        <v>4100928.3526675641</v>
      </c>
      <c r="X80" s="307">
        <f t="shared" si="155"/>
        <v>4224563.9940378107</v>
      </c>
      <c r="Y80" s="307">
        <f t="shared" si="155"/>
        <v>4467239.7961121127</v>
      </c>
      <c r="Z80" s="307">
        <f t="shared" si="155"/>
        <v>4695020.4606447397</v>
      </c>
      <c r="AA80" s="307">
        <f t="shared" si="155"/>
        <v>4907993.3268891005</v>
      </c>
      <c r="AB80" s="307">
        <f t="shared" si="155"/>
        <v>5041645.2116934406</v>
      </c>
      <c r="AC80" s="307">
        <f t="shared" si="155"/>
        <v>5299643.1071635913</v>
      </c>
      <c r="AD80" s="307">
        <f t="shared" si="155"/>
        <v>5543923.1784197148</v>
      </c>
      <c r="AE80" s="307">
        <f t="shared" si="156"/>
        <v>5816928.4231675165</v>
      </c>
      <c r="AF80" s="307">
        <f t="shared" si="157"/>
        <v>6392711.9653800353</v>
      </c>
      <c r="AG80" s="307">
        <f t="shared" si="157"/>
        <v>7338516.1329471562</v>
      </c>
      <c r="AH80" s="307">
        <f t="shared" si="157"/>
        <v>7714265.8848339608</v>
      </c>
      <c r="AI80" s="307">
        <f t="shared" si="157"/>
        <v>7815637.2964147264</v>
      </c>
      <c r="AJ80" s="307">
        <f t="shared" si="157"/>
        <v>8084121.9755821442</v>
      </c>
      <c r="AK80" s="307">
        <f t="shared" si="157"/>
        <v>8552348.0737003088</v>
      </c>
      <c r="AL80" s="307">
        <f t="shared" si="157"/>
        <v>9354527.5359784663</v>
      </c>
      <c r="AM80" s="307">
        <f t="shared" si="157"/>
        <v>10426991.261820758</v>
      </c>
      <c r="AN80" s="307">
        <f t="shared" si="157"/>
        <v>12722045.393944254</v>
      </c>
      <c r="AO80" s="307">
        <f t="shared" si="157"/>
        <v>14515173.318689199</v>
      </c>
      <c r="AP80" s="307">
        <f t="shared" si="157"/>
        <v>16439068.378595795</v>
      </c>
      <c r="AR80" s="308">
        <v>1994796.1025611192</v>
      </c>
      <c r="AS80" s="308">
        <f t="shared" si="158"/>
        <v>-102582.10256111925</v>
      </c>
      <c r="AT80" s="308">
        <v>2192365.2345125093</v>
      </c>
      <c r="AU80" s="308">
        <f t="shared" si="159"/>
        <v>-387479.23451250931</v>
      </c>
      <c r="AV80" s="308">
        <v>2507030.3293778021</v>
      </c>
      <c r="AW80" s="308">
        <f t="shared" si="160"/>
        <v>-174161.32937780209</v>
      </c>
      <c r="AX80" s="308">
        <v>2374837.8126138547</v>
      </c>
      <c r="AY80" s="308">
        <f t="shared" si="161"/>
        <v>192428.18738614535</v>
      </c>
      <c r="AZ80" s="309">
        <v>2338802</v>
      </c>
      <c r="BA80" s="308">
        <f t="shared" si="162"/>
        <v>0</v>
      </c>
      <c r="BB80" s="331">
        <v>1749475.1855568669</v>
      </c>
      <c r="BC80" s="308">
        <f t="shared" si="163"/>
        <v>914581.11018493795</v>
      </c>
      <c r="BD80" s="308"/>
      <c r="BE80" s="308"/>
    </row>
    <row r="81" spans="1:55">
      <c r="A81" s="301" t="s">
        <v>52</v>
      </c>
      <c r="B81" s="308">
        <f>'Monthly D5 Gallon Data'!$B13</f>
        <v>338770</v>
      </c>
      <c r="C81" s="308">
        <f>'Monthly D5 Gallon Data'!$B25</f>
        <v>1885529</v>
      </c>
      <c r="D81" s="308">
        <f>'Monthly D5 Gallon Data'!$B37</f>
        <v>2384701</v>
      </c>
      <c r="E81" s="308">
        <f>'Monthly D5 Gallon Data'!$B49</f>
        <v>2071303</v>
      </c>
      <c r="F81" s="308">
        <f>'Monthly D5 Gallon Data'!$B61</f>
        <v>2402920</v>
      </c>
      <c r="G81" s="308">
        <f>'Monthly D5 Gallon Data'!$B73</f>
        <v>2183363</v>
      </c>
      <c r="H81" s="308">
        <f>'Monthly D5 Gallon Data'!$B85</f>
        <v>2353091</v>
      </c>
      <c r="I81" s="308">
        <f>'Monthly D5 Gallon Data'!$B97</f>
        <v>2200220</v>
      </c>
      <c r="J81" s="308">
        <f>'Monthly D5 Gallon Data'!$B109</f>
        <v>2077899</v>
      </c>
      <c r="K81" s="308">
        <f>'Monthly D5 Gallon Data'!$B121</f>
        <v>1819727</v>
      </c>
      <c r="L81" s="308">
        <f>'Monthly D5 Gallon Data'!$B133</f>
        <v>1985006</v>
      </c>
      <c r="M81" s="308">
        <f>'Monthly D5 Gallon Data'!$B145</f>
        <v>1944892</v>
      </c>
      <c r="N81" s="308">
        <f>'Monthly D5 Gallon Data'!$B157</f>
        <v>2374934</v>
      </c>
      <c r="O81" s="308">
        <f>'Monthly D5 Gallon Data'!$B169</f>
        <v>2760921</v>
      </c>
      <c r="P81" s="308">
        <f>'Monthly D5 Gallon Data'!$B181</f>
        <v>2350773</v>
      </c>
      <c r="Q81" s="307">
        <f t="shared" si="155"/>
        <v>2781105.071773258</v>
      </c>
      <c r="R81" s="307">
        <f t="shared" si="155"/>
        <v>2677955.090057529</v>
      </c>
      <c r="S81" s="307">
        <f t="shared" si="155"/>
        <v>3153669.3233542382</v>
      </c>
      <c r="T81" s="307">
        <f t="shared" si="155"/>
        <v>3439173.5452284608</v>
      </c>
      <c r="U81" s="307">
        <f t="shared" si="155"/>
        <v>3576468.663882514</v>
      </c>
      <c r="V81" s="307">
        <f t="shared" si="155"/>
        <v>3830597.4185246774</v>
      </c>
      <c r="W81" s="307">
        <f t="shared" si="155"/>
        <v>4263119.7782297283</v>
      </c>
      <c r="X81" s="307">
        <f t="shared" si="155"/>
        <v>4389447.5067164199</v>
      </c>
      <c r="Y81" s="307">
        <f t="shared" si="155"/>
        <v>4642249.7734962469</v>
      </c>
      <c r="Z81" s="307">
        <f t="shared" si="155"/>
        <v>4877005.1989573659</v>
      </c>
      <c r="AA81" s="307">
        <f t="shared" si="155"/>
        <v>5100882.503646791</v>
      </c>
      <c r="AB81" s="307">
        <f t="shared" si="155"/>
        <v>5239062.8508904874</v>
      </c>
      <c r="AC81" s="307">
        <f t="shared" si="155"/>
        <v>5506797.6886557918</v>
      </c>
      <c r="AD81" s="307">
        <f t="shared" si="155"/>
        <v>5760682.5863086199</v>
      </c>
      <c r="AE81" s="307">
        <f t="shared" si="156"/>
        <v>6044282.6731167734</v>
      </c>
      <c r="AF81" s="307">
        <f t="shared" si="157"/>
        <v>6642935.7901491085</v>
      </c>
      <c r="AG81" s="307">
        <f t="shared" si="157"/>
        <v>7625556.8555345712</v>
      </c>
      <c r="AH81" s="307">
        <f t="shared" si="157"/>
        <v>8015948.6156072784</v>
      </c>
      <c r="AI81" s="307">
        <f t="shared" si="157"/>
        <v>8121308.0051140217</v>
      </c>
      <c r="AJ81" s="307">
        <f t="shared" si="157"/>
        <v>8400307.9620140307</v>
      </c>
      <c r="AK81" s="307">
        <f t="shared" si="157"/>
        <v>8886883.334752446</v>
      </c>
      <c r="AL81" s="307">
        <f t="shared" si="157"/>
        <v>9720401.8588213194</v>
      </c>
      <c r="AM81" s="307">
        <f t="shared" si="157"/>
        <v>10834807.610267602</v>
      </c>
      <c r="AN81" s="307">
        <f t="shared" si="157"/>
        <v>13219634.934774207</v>
      </c>
      <c r="AO81" s="307">
        <f t="shared" si="157"/>
        <v>15082901.541426765</v>
      </c>
      <c r="AP81" s="307">
        <f t="shared" si="157"/>
        <v>17082047.241890159</v>
      </c>
      <c r="AQ81" s="308"/>
      <c r="AR81" s="308">
        <v>1744212.151467999</v>
      </c>
      <c r="AS81" s="308">
        <f t="shared" si="158"/>
        <v>240793.84853200102</v>
      </c>
      <c r="AT81" s="308">
        <v>2245971.1953056962</v>
      </c>
      <c r="AU81" s="308">
        <f t="shared" si="159"/>
        <v>-301079.19530569622</v>
      </c>
      <c r="AV81" s="308">
        <v>2496479.9856550884</v>
      </c>
      <c r="AW81" s="308">
        <f t="shared" si="160"/>
        <v>-121545.98565508844</v>
      </c>
      <c r="AX81" s="308">
        <v>2392084.1202705693</v>
      </c>
      <c r="AY81" s="308">
        <f t="shared" si="161"/>
        <v>368836.87972943066</v>
      </c>
      <c r="AZ81" s="309">
        <v>2377686.1794213951</v>
      </c>
      <c r="BA81" s="308">
        <f t="shared" si="162"/>
        <v>-26913.179421395063</v>
      </c>
      <c r="BB81" s="331">
        <v>1826340.6517612182</v>
      </c>
      <c r="BC81" s="308">
        <f t="shared" si="163"/>
        <v>954764.42001203983</v>
      </c>
    </row>
    <row r="82" spans="1:55">
      <c r="A82" s="301" t="s">
        <v>53</v>
      </c>
      <c r="B82" s="308">
        <f>'Monthly D5 Gallon Data'!$B14</f>
        <v>910657</v>
      </c>
      <c r="C82" s="308">
        <f>'Monthly D5 Gallon Data'!$B26</f>
        <v>1644525</v>
      </c>
      <c r="D82" s="308">
        <f>'Monthly D5 Gallon Data'!$B38</f>
        <v>2430060</v>
      </c>
      <c r="E82" s="308">
        <f>'Monthly D5 Gallon Data'!$B50</f>
        <v>1968966</v>
      </c>
      <c r="F82" s="308">
        <f>'Monthly D5 Gallon Data'!$B62</f>
        <v>1695561</v>
      </c>
      <c r="G82" s="308">
        <f>'Monthly D5 Gallon Data'!$B74</f>
        <v>1856141</v>
      </c>
      <c r="H82" s="308">
        <f>'Monthly D5 Gallon Data'!$B86</f>
        <v>2299988</v>
      </c>
      <c r="I82" s="308">
        <f>'Monthly D5 Gallon Data'!$B98</f>
        <v>2015095</v>
      </c>
      <c r="J82" s="308">
        <f>'Monthly D5 Gallon Data'!$B110</f>
        <v>1930932</v>
      </c>
      <c r="K82" s="308">
        <f>'Monthly D5 Gallon Data'!$B122</f>
        <v>1813191</v>
      </c>
      <c r="L82" s="308">
        <f>'Monthly D5 Gallon Data'!$B134</f>
        <v>1902346</v>
      </c>
      <c r="M82" s="308">
        <f>'Monthly D5 Gallon Data'!$B146</f>
        <v>2215134</v>
      </c>
      <c r="N82" s="308">
        <f>'Monthly D5 Gallon Data'!$B158</f>
        <v>2172050</v>
      </c>
      <c r="O82" s="308">
        <f>'Monthly D5 Gallon Data'!$B170</f>
        <v>2348268</v>
      </c>
      <c r="P82" s="308">
        <f>'Monthly D5 Gallon Data'!$B182</f>
        <v>2503531</v>
      </c>
      <c r="Q82" s="307">
        <f t="shared" si="155"/>
        <v>2714066.134320938</v>
      </c>
      <c r="R82" s="307">
        <f t="shared" si="155"/>
        <v>2621035.9020146946</v>
      </c>
      <c r="S82" s="307">
        <f t="shared" si="155"/>
        <v>3010735.6414660257</v>
      </c>
      <c r="T82" s="307">
        <f t="shared" si="155"/>
        <v>3307167.1805251339</v>
      </c>
      <c r="U82" s="307">
        <f t="shared" si="155"/>
        <v>3515347.2021116735</v>
      </c>
      <c r="V82" s="307">
        <f t="shared" si="155"/>
        <v>3717844.1479732427</v>
      </c>
      <c r="W82" s="307">
        <f t="shared" si="155"/>
        <v>4133846.3609774266</v>
      </c>
      <c r="X82" s="307">
        <f t="shared" si="155"/>
        <v>4250506.2703560051</v>
      </c>
      <c r="Y82" s="307">
        <f t="shared" si="155"/>
        <v>4505569.8278814089</v>
      </c>
      <c r="Z82" s="307">
        <f t="shared" si="155"/>
        <v>4740657.1662802892</v>
      </c>
      <c r="AA82" s="307">
        <f t="shared" si="155"/>
        <v>4949264.8040741784</v>
      </c>
      <c r="AB82" s="307">
        <f t="shared" si="155"/>
        <v>5083088.7661947627</v>
      </c>
      <c r="AC82" s="307">
        <f t="shared" si="155"/>
        <v>5343387.4699550588</v>
      </c>
      <c r="AD82" s="307">
        <f t="shared" si="155"/>
        <v>5591711.4875133811</v>
      </c>
      <c r="AE82" s="307">
        <f t="shared" si="156"/>
        <v>5867110.4917672602</v>
      </c>
      <c r="AF82" s="307">
        <f t="shared" si="157"/>
        <v>6446628.0760816075</v>
      </c>
      <c r="AG82" s="307">
        <f t="shared" si="157"/>
        <v>7400441.1560054347</v>
      </c>
      <c r="AH82" s="307">
        <f t="shared" si="157"/>
        <v>7779640.7405713918</v>
      </c>
      <c r="AI82" s="307">
        <f t="shared" si="157"/>
        <v>7882149.4100065697</v>
      </c>
      <c r="AJ82" s="307">
        <f t="shared" si="157"/>
        <v>8152778.6283761729</v>
      </c>
      <c r="AK82" s="307">
        <f t="shared" si="157"/>
        <v>8624802.5979483593</v>
      </c>
      <c r="AL82" s="307">
        <f t="shared" si="157"/>
        <v>9433835.3903060667</v>
      </c>
      <c r="AM82" s="307">
        <f t="shared" si="157"/>
        <v>10515464.573405027</v>
      </c>
      <c r="AN82" s="307">
        <f t="shared" si="157"/>
        <v>12830015.573051237</v>
      </c>
      <c r="AO82" s="307">
        <f t="shared" si="157"/>
        <v>14638307.782293798</v>
      </c>
      <c r="AP82" s="307">
        <f t="shared" si="157"/>
        <v>16578500.528970722</v>
      </c>
      <c r="AQ82" s="308"/>
      <c r="AR82" s="308">
        <v>1751909.21100844</v>
      </c>
      <c r="AS82" s="308">
        <f t="shared" si="158"/>
        <v>150436.78899156</v>
      </c>
      <c r="AT82" s="308">
        <v>2143875.1488523702</v>
      </c>
      <c r="AU82" s="308">
        <f t="shared" si="159"/>
        <v>71258.851147629786</v>
      </c>
      <c r="AV82" s="308">
        <v>2465777.9900397486</v>
      </c>
      <c r="AW82" s="308">
        <f t="shared" si="160"/>
        <v>-293727.99003974861</v>
      </c>
      <c r="AX82" s="309">
        <v>2352505.8382602665</v>
      </c>
      <c r="AY82" s="308">
        <f t="shared" si="161"/>
        <v>-4237.8382602664642</v>
      </c>
      <c r="AZ82" s="309">
        <v>2511059.6241271426</v>
      </c>
      <c r="BA82" s="308">
        <f t="shared" si="162"/>
        <v>-7528.624127142597</v>
      </c>
      <c r="BB82" s="331">
        <v>1782316.4478709339</v>
      </c>
      <c r="BC82" s="308">
        <f t="shared" si="163"/>
        <v>931749.68645000411</v>
      </c>
    </row>
    <row r="83" spans="1:55">
      <c r="A83" s="301" t="s">
        <v>54</v>
      </c>
      <c r="B83" s="308">
        <f>'Monthly D5 Gallon Data'!$B15</f>
        <v>1752211</v>
      </c>
      <c r="C83" s="308">
        <f>'Monthly D5 Gallon Data'!$B27</f>
        <v>1394142</v>
      </c>
      <c r="D83" s="308">
        <f>'Monthly D5 Gallon Data'!$B39</f>
        <v>1610352</v>
      </c>
      <c r="E83" s="308">
        <f>'Monthly D5 Gallon Data'!$B51</f>
        <v>1912497</v>
      </c>
      <c r="F83" s="308">
        <f>'Monthly D5 Gallon Data'!$B63</f>
        <v>2272503</v>
      </c>
      <c r="G83" s="308">
        <f>'Monthly D5 Gallon Data'!$B75</f>
        <v>2125836</v>
      </c>
      <c r="H83" s="308">
        <f>'Monthly D5 Gallon Data'!$B87</f>
        <v>2158378</v>
      </c>
      <c r="I83" s="308">
        <f>'Monthly D5 Gallon Data'!$B99</f>
        <v>1834205</v>
      </c>
      <c r="J83" s="308">
        <f>'Monthly D5 Gallon Data'!$B111</f>
        <v>1990329</v>
      </c>
      <c r="K83" s="308">
        <f>'Monthly D5 Gallon Data'!$B123</f>
        <v>1861860</v>
      </c>
      <c r="L83" s="308">
        <f>'Monthly D5 Gallon Data'!$B135</f>
        <v>2285111</v>
      </c>
      <c r="M83" s="308">
        <f>'Monthly D5 Gallon Data'!$B147</f>
        <v>2617650</v>
      </c>
      <c r="N83" s="308">
        <f>'Monthly D5 Gallon Data'!$B159</f>
        <v>2347973</v>
      </c>
      <c r="O83" s="308">
        <f>'Monthly D5 Gallon Data'!$B171</f>
        <v>2645976</v>
      </c>
      <c r="P83" s="308">
        <f>'Monthly D5 Gallon Data'!$B183</f>
        <v>2764927</v>
      </c>
      <c r="Q83" s="336">
        <f t="shared" ref="Q83:AD83" si="164">Q84-SUM(Q72:Q82)</f>
        <v>4692379.1537433192</v>
      </c>
      <c r="R83" s="307">
        <f t="shared" si="164"/>
        <v>3304273.3254236989</v>
      </c>
      <c r="S83" s="307">
        <f t="shared" si="164"/>
        <v>3838168.0615853965</v>
      </c>
      <c r="T83" s="307">
        <f t="shared" si="164"/>
        <v>4321568.4967534915</v>
      </c>
      <c r="U83" s="307">
        <f t="shared" si="164"/>
        <v>4698536.1431902349</v>
      </c>
      <c r="V83" s="307">
        <f t="shared" si="164"/>
        <v>5111653.6081527248</v>
      </c>
      <c r="W83" s="307">
        <f t="shared" si="164"/>
        <v>5438014.1849825382</v>
      </c>
      <c r="X83" s="307">
        <f t="shared" si="164"/>
        <v>5626006.9216931611</v>
      </c>
      <c r="Y83" s="307">
        <f t="shared" si="164"/>
        <v>5998577.3246095031</v>
      </c>
      <c r="Z83" s="307">
        <f t="shared" si="164"/>
        <v>6330763.5728340372</v>
      </c>
      <c r="AA83" s="307">
        <f t="shared" si="164"/>
        <v>6608397.5101119354</v>
      </c>
      <c r="AB83" s="307">
        <f t="shared" si="164"/>
        <v>6753882.0840216875</v>
      </c>
      <c r="AC83" s="307">
        <f t="shared" si="164"/>
        <v>7112142.476408489</v>
      </c>
      <c r="AD83" s="307">
        <f t="shared" si="164"/>
        <v>7449817.9010542259</v>
      </c>
      <c r="AE83" s="307">
        <f>AE84-SUM(AE72:AE82)</f>
        <v>7817684.5004601851</v>
      </c>
      <c r="AF83" s="307">
        <f>AF84-SUM(AF72:AF82)</f>
        <v>8586496.9601804763</v>
      </c>
      <c r="AG83" s="307">
        <f>AG84-SUM(AG72:AG82)</f>
        <v>9852659.3132649958</v>
      </c>
      <c r="AH83" s="307">
        <f t="shared" ref="AH83:AP83" si="165">AH84-SUM(AH72:AH82)</f>
        <v>10360948.840599686</v>
      </c>
      <c r="AI83" s="307">
        <f t="shared" si="165"/>
        <v>10498470.058868498</v>
      </c>
      <c r="AJ83" s="307">
        <f t="shared" si="165"/>
        <v>10858456.638152286</v>
      </c>
      <c r="AK83" s="307">
        <f t="shared" si="165"/>
        <v>11486343.162839532</v>
      </c>
      <c r="AL83" s="307">
        <f t="shared" si="165"/>
        <v>12563559.456801906</v>
      </c>
      <c r="AM83" s="307">
        <f t="shared" si="165"/>
        <v>14004757.23797287</v>
      </c>
      <c r="AN83" s="307">
        <f t="shared" si="165"/>
        <v>17087382.766729057</v>
      </c>
      <c r="AO83" s="307">
        <f t="shared" si="165"/>
        <v>19495482.669308424</v>
      </c>
      <c r="AP83" s="307">
        <f t="shared" si="165"/>
        <v>22079312.811946362</v>
      </c>
      <c r="AQ83" s="308"/>
      <c r="AR83" s="308">
        <v>1685324.4259636551</v>
      </c>
      <c r="AS83" s="308">
        <f t="shared" si="158"/>
        <v>599786.57403634489</v>
      </c>
      <c r="AT83" s="308">
        <v>3185835.8708861619</v>
      </c>
      <c r="AU83" s="308">
        <f t="shared" si="159"/>
        <v>-568185.87088616192</v>
      </c>
      <c r="AV83" s="308">
        <v>4292102.2098751813</v>
      </c>
      <c r="AW83" s="308">
        <f t="shared" si="160"/>
        <v>-1944129.2098751813</v>
      </c>
      <c r="AX83" s="309">
        <v>2504440.0501757599</v>
      </c>
      <c r="AY83" s="308">
        <f t="shared" si="161"/>
        <v>141535.94982424006</v>
      </c>
      <c r="AZ83" s="309">
        <v>2934836.7116556093</v>
      </c>
      <c r="BA83" s="308">
        <f t="shared" si="162"/>
        <v>-169909.71165560931</v>
      </c>
      <c r="BB83" s="331">
        <v>1153663.6645435914</v>
      </c>
      <c r="BC83" s="308">
        <f t="shared" si="163"/>
        <v>3538715.4891997278</v>
      </c>
    </row>
    <row r="84" spans="1:55" ht="12" thickBot="1">
      <c r="A84" s="301" t="s">
        <v>29</v>
      </c>
      <c r="B84" s="308">
        <f>SUM(B72:B83)</f>
        <v>4043017</v>
      </c>
      <c r="C84" s="308">
        <f t="shared" ref="C84:P84" si="166">SUM(C72:C83)</f>
        <v>21323017</v>
      </c>
      <c r="D84" s="308">
        <f t="shared" si="166"/>
        <v>27668581</v>
      </c>
      <c r="E84" s="308">
        <f t="shared" si="166"/>
        <v>22937389</v>
      </c>
      <c r="F84" s="308">
        <f t="shared" si="166"/>
        <v>25823548</v>
      </c>
      <c r="G84" s="308">
        <f t="shared" si="166"/>
        <v>24830834</v>
      </c>
      <c r="H84" s="308">
        <f t="shared" si="166"/>
        <v>27055246</v>
      </c>
      <c r="I84" s="308">
        <f t="shared" si="166"/>
        <v>25503257</v>
      </c>
      <c r="J84" s="308">
        <f t="shared" si="166"/>
        <v>24713691</v>
      </c>
      <c r="K84" s="308">
        <f t="shared" si="166"/>
        <v>23892135</v>
      </c>
      <c r="L84" s="308">
        <f t="shared" si="166"/>
        <v>23451877</v>
      </c>
      <c r="M84" s="308">
        <f t="shared" si="166"/>
        <v>26071610</v>
      </c>
      <c r="N84" s="308">
        <f t="shared" si="166"/>
        <v>28921497</v>
      </c>
      <c r="O84" s="308">
        <f t="shared" si="166"/>
        <v>29925828</v>
      </c>
      <c r="P84" s="308">
        <f t="shared" si="166"/>
        <v>28685489</v>
      </c>
      <c r="Q84" s="307">
        <f t="shared" ref="Q84:AP84" si="167">Q4</f>
        <v>33387387.181493059</v>
      </c>
      <c r="R84" s="307">
        <f t="shared" si="167"/>
        <v>32232011.270047031</v>
      </c>
      <c r="S84" s="307">
        <f t="shared" si="167"/>
        <v>37309058.288327254</v>
      </c>
      <c r="T84" s="307">
        <f t="shared" si="167"/>
        <v>40479901.902477115</v>
      </c>
      <c r="U84" s="307">
        <f t="shared" si="167"/>
        <v>42734298.267913379</v>
      </c>
      <c r="V84" s="307">
        <f t="shared" si="167"/>
        <v>45624559.934033364</v>
      </c>
      <c r="W84" s="307">
        <f t="shared" si="167"/>
        <v>50708950.100315459</v>
      </c>
      <c r="X84" s="307">
        <f t="shared" si="167"/>
        <v>52120675.923458666</v>
      </c>
      <c r="Y84" s="307">
        <f t="shared" si="167"/>
        <v>55155298.365251005</v>
      </c>
      <c r="Z84" s="307">
        <f t="shared" si="167"/>
        <v>58034329.546393514</v>
      </c>
      <c r="AA84" s="307">
        <f t="shared" si="167"/>
        <v>60657617.298995137</v>
      </c>
      <c r="AB84" s="307">
        <f t="shared" si="167"/>
        <v>62284445.777485311</v>
      </c>
      <c r="AC84" s="307">
        <f t="shared" si="167"/>
        <v>65461277.62438558</v>
      </c>
      <c r="AD84" s="307">
        <f t="shared" si="167"/>
        <v>68492529.305077255</v>
      </c>
      <c r="AE84" s="307">
        <f t="shared" si="167"/>
        <v>71873439.936264262</v>
      </c>
      <c r="AF84" s="307">
        <f t="shared" si="167"/>
        <v>78982223.876233488</v>
      </c>
      <c r="AG84" s="307">
        <f t="shared" si="167"/>
        <v>90662670.740434617</v>
      </c>
      <c r="AH84" s="307">
        <f t="shared" si="167"/>
        <v>95305289.210805103</v>
      </c>
      <c r="AI84" s="307">
        <f t="shared" si="167"/>
        <v>96560710.627784014</v>
      </c>
      <c r="AJ84" s="307">
        <f t="shared" si="167"/>
        <v>99878153.216482893</v>
      </c>
      <c r="AK84" s="307">
        <f t="shared" si="167"/>
        <v>105661613.9706275</v>
      </c>
      <c r="AL84" s="307">
        <f t="shared" si="167"/>
        <v>115571761.21966745</v>
      </c>
      <c r="AM84" s="307">
        <f t="shared" si="167"/>
        <v>128822161.99026097</v>
      </c>
      <c r="AN84" s="307">
        <f t="shared" si="167"/>
        <v>157177405.14466935</v>
      </c>
      <c r="AO84" s="307">
        <f t="shared" si="167"/>
        <v>179330822.85339472</v>
      </c>
      <c r="AP84" s="307">
        <f t="shared" si="167"/>
        <v>203099661.6927726</v>
      </c>
      <c r="AR84" s="308">
        <v>22820454.425963655</v>
      </c>
      <c r="AS84" s="308">
        <f t="shared" si="158"/>
        <v>631422.57403634489</v>
      </c>
      <c r="AT84" s="308">
        <v>26639027.870886162</v>
      </c>
      <c r="AU84" s="308">
        <f t="shared" si="159"/>
        <v>-567417.87088616192</v>
      </c>
      <c r="AV84" s="308">
        <v>30865626.209875181</v>
      </c>
      <c r="AW84" s="308">
        <f t="shared" si="160"/>
        <v>-1944129.2098751813</v>
      </c>
      <c r="AX84" s="309">
        <v>29788529.888436027</v>
      </c>
      <c r="AY84" s="308">
        <f t="shared" si="161"/>
        <v>137298.11156397313</v>
      </c>
      <c r="AZ84" s="309">
        <v>28889840.515204147</v>
      </c>
      <c r="BA84" s="308">
        <f t="shared" si="162"/>
        <v>-204351.5152041465</v>
      </c>
      <c r="BB84" s="331">
        <v>21925364.519497585</v>
      </c>
      <c r="BC84" s="308">
        <f t="shared" si="163"/>
        <v>11462022.661995474</v>
      </c>
    </row>
    <row r="85" spans="1:55">
      <c r="A85" s="334"/>
      <c r="B85" s="334"/>
      <c r="C85" s="334"/>
      <c r="D85" s="334"/>
      <c r="E85" s="334"/>
      <c r="F85" s="334"/>
      <c r="G85" s="334"/>
      <c r="H85" s="334"/>
      <c r="I85" s="334"/>
      <c r="J85" s="334"/>
      <c r="K85" s="334"/>
      <c r="L85" s="334"/>
      <c r="M85" s="334"/>
      <c r="N85" s="334"/>
      <c r="O85" s="334"/>
      <c r="P85" s="334"/>
      <c r="Q85" s="334"/>
      <c r="R85" s="334"/>
      <c r="S85" s="334"/>
      <c r="T85" s="334"/>
      <c r="U85" s="334"/>
      <c r="V85" s="334"/>
      <c r="W85" s="334"/>
      <c r="X85" s="334"/>
      <c r="Y85" s="334"/>
      <c r="Z85" s="334"/>
      <c r="AA85" s="334"/>
      <c r="AB85" s="334"/>
      <c r="AC85" s="334"/>
      <c r="AD85" s="334"/>
      <c r="AE85" s="334"/>
      <c r="AF85" s="334"/>
      <c r="AG85" s="334"/>
      <c r="AH85" s="334"/>
      <c r="AI85" s="334"/>
      <c r="AJ85" s="334"/>
      <c r="AK85" s="334"/>
      <c r="AL85" s="334"/>
      <c r="AM85" s="334"/>
      <c r="AN85" s="334"/>
      <c r="AO85" s="334"/>
      <c r="AP85" s="334"/>
      <c r="AT85" s="309"/>
    </row>
    <row r="86" spans="1:55" ht="12" thickBot="1">
      <c r="A86" s="300" t="s">
        <v>435</v>
      </c>
      <c r="AT86" s="309"/>
    </row>
    <row r="87" spans="1:55" ht="12" thickBot="1">
      <c r="A87" s="328"/>
      <c r="B87" s="329">
        <f t="shared" ref="B87:AP87" si="168">B2</f>
        <v>2010</v>
      </c>
      <c r="C87" s="329">
        <f t="shared" si="168"/>
        <v>2011</v>
      </c>
      <c r="D87" s="329">
        <f t="shared" si="168"/>
        <v>2012</v>
      </c>
      <c r="E87" s="329">
        <f t="shared" si="168"/>
        <v>2013</v>
      </c>
      <c r="F87" s="329">
        <f t="shared" si="168"/>
        <v>2014</v>
      </c>
      <c r="G87" s="329">
        <f t="shared" si="168"/>
        <v>2015</v>
      </c>
      <c r="H87" s="329">
        <f t="shared" si="168"/>
        <v>2016</v>
      </c>
      <c r="I87" s="329">
        <f t="shared" si="168"/>
        <v>2017</v>
      </c>
      <c r="J87" s="329">
        <f t="shared" si="168"/>
        <v>2018</v>
      </c>
      <c r="K87" s="329">
        <f t="shared" si="168"/>
        <v>2019</v>
      </c>
      <c r="L87" s="329">
        <f t="shared" si="168"/>
        <v>2020</v>
      </c>
      <c r="M87" s="329">
        <f t="shared" si="168"/>
        <v>2021</v>
      </c>
      <c r="N87" s="329">
        <f t="shared" si="168"/>
        <v>2022</v>
      </c>
      <c r="O87" s="329">
        <f t="shared" si="168"/>
        <v>2023</v>
      </c>
      <c r="P87" s="329">
        <f t="shared" si="168"/>
        <v>2024</v>
      </c>
      <c r="Q87" s="329">
        <f t="shared" si="168"/>
        <v>2025</v>
      </c>
      <c r="R87" s="329">
        <f t="shared" si="168"/>
        <v>2026</v>
      </c>
      <c r="S87" s="329">
        <f t="shared" si="168"/>
        <v>2027</v>
      </c>
      <c r="T87" s="329">
        <f t="shared" si="168"/>
        <v>2028</v>
      </c>
      <c r="U87" s="329">
        <f t="shared" si="168"/>
        <v>2029</v>
      </c>
      <c r="V87" s="329">
        <f t="shared" si="168"/>
        <v>2030</v>
      </c>
      <c r="W87" s="329">
        <f t="shared" si="168"/>
        <v>2031</v>
      </c>
      <c r="X87" s="329">
        <f t="shared" si="168"/>
        <v>2032</v>
      </c>
      <c r="Y87" s="329">
        <f t="shared" si="168"/>
        <v>2033</v>
      </c>
      <c r="Z87" s="329">
        <f t="shared" si="168"/>
        <v>2034</v>
      </c>
      <c r="AA87" s="329">
        <f t="shared" si="168"/>
        <v>2035</v>
      </c>
      <c r="AB87" s="329">
        <f t="shared" si="168"/>
        <v>2036</v>
      </c>
      <c r="AC87" s="329">
        <f t="shared" si="168"/>
        <v>2037</v>
      </c>
      <c r="AD87" s="329">
        <f t="shared" si="168"/>
        <v>2038</v>
      </c>
      <c r="AE87" s="329">
        <f t="shared" si="168"/>
        <v>2039</v>
      </c>
      <c r="AF87" s="329">
        <f t="shared" si="168"/>
        <v>2040</v>
      </c>
      <c r="AG87" s="329">
        <f t="shared" si="168"/>
        <v>2041</v>
      </c>
      <c r="AH87" s="329">
        <f t="shared" si="168"/>
        <v>2042</v>
      </c>
      <c r="AI87" s="329">
        <f t="shared" si="168"/>
        <v>2043</v>
      </c>
      <c r="AJ87" s="329">
        <f t="shared" si="168"/>
        <v>2044</v>
      </c>
      <c r="AK87" s="329">
        <f t="shared" si="168"/>
        <v>2045</v>
      </c>
      <c r="AL87" s="329">
        <f t="shared" si="168"/>
        <v>2046</v>
      </c>
      <c r="AM87" s="329">
        <f t="shared" si="168"/>
        <v>2047</v>
      </c>
      <c r="AN87" s="329">
        <f t="shared" si="168"/>
        <v>2048</v>
      </c>
      <c r="AO87" s="329">
        <f t="shared" si="168"/>
        <v>2049</v>
      </c>
      <c r="AP87" s="329">
        <f t="shared" si="168"/>
        <v>2050</v>
      </c>
      <c r="AT87" s="309"/>
    </row>
    <row r="88" spans="1:55">
      <c r="A88" s="301" t="s">
        <v>43</v>
      </c>
      <c r="B88" s="308">
        <f>'Monthly D5 Gallon Data'!$C4</f>
        <v>0</v>
      </c>
      <c r="C88" s="308">
        <f>'Monthly D5 Gallon Data'!$C16</f>
        <v>0</v>
      </c>
      <c r="D88" s="308">
        <f>'Monthly D5 Gallon Data'!$C28</f>
        <v>3924080</v>
      </c>
      <c r="E88" s="308">
        <f>'Monthly D5 Gallon Data'!$C40</f>
        <v>49766106</v>
      </c>
      <c r="F88" s="308">
        <f>'Monthly D5 Gallon Data'!$C52</f>
        <v>2659456</v>
      </c>
      <c r="G88" s="308">
        <f>'Monthly D5 Gallon Data'!$C64</f>
        <v>0</v>
      </c>
      <c r="H88" s="308">
        <f>'Monthly D5 Gallon Data'!$C76</f>
        <v>0</v>
      </c>
      <c r="I88" s="308">
        <f>'Monthly D5 Gallon Data'!$C88</f>
        <v>0</v>
      </c>
      <c r="J88" s="308">
        <f>'Monthly D5 Gallon Data'!$C100</f>
        <v>0</v>
      </c>
      <c r="K88" s="308">
        <f>'Monthly D5 Gallon Data'!$C112</f>
        <v>0</v>
      </c>
      <c r="L88" s="308">
        <f>'Monthly D5 Gallon Data'!$C124</f>
        <v>7566830</v>
      </c>
      <c r="M88" s="308">
        <f>'Monthly D5 Gallon Data'!$C136</f>
        <v>0</v>
      </c>
      <c r="N88" s="308">
        <f>'Monthly D5 Gallon Data'!$C148</f>
        <v>0</v>
      </c>
      <c r="O88" s="308">
        <f>'Monthly D5 Gallon Data'!$C160</f>
        <v>0</v>
      </c>
      <c r="P88" s="308">
        <f>'Monthly D5 Gallon Data'!$C172</f>
        <v>0</v>
      </c>
      <c r="Q88" s="308">
        <f>'Monthly D5 Gallon Data'!$C184</f>
        <v>0</v>
      </c>
      <c r="R88" s="307">
        <v>0</v>
      </c>
      <c r="S88" s="307">
        <v>0</v>
      </c>
      <c r="T88" s="307">
        <v>0</v>
      </c>
      <c r="U88" s="307">
        <v>0</v>
      </c>
      <c r="V88" s="307">
        <v>0</v>
      </c>
      <c r="W88" s="307">
        <v>0</v>
      </c>
      <c r="X88" s="307">
        <v>0</v>
      </c>
      <c r="Y88" s="307">
        <v>0</v>
      </c>
      <c r="Z88" s="307">
        <v>0</v>
      </c>
      <c r="AA88" s="307">
        <v>0</v>
      </c>
      <c r="AB88" s="307">
        <v>0</v>
      </c>
      <c r="AC88" s="307">
        <v>0</v>
      </c>
      <c r="AD88" s="307">
        <v>0</v>
      </c>
      <c r="AE88" s="307">
        <v>0</v>
      </c>
      <c r="AF88" s="307">
        <v>0</v>
      </c>
      <c r="AG88" s="307">
        <v>0</v>
      </c>
      <c r="AH88" s="307">
        <v>0</v>
      </c>
      <c r="AI88" s="307">
        <v>0</v>
      </c>
      <c r="AJ88" s="307">
        <v>0</v>
      </c>
      <c r="AK88" s="307">
        <v>0</v>
      </c>
      <c r="AL88" s="307">
        <v>0</v>
      </c>
      <c r="AM88" s="307">
        <v>0</v>
      </c>
      <c r="AN88" s="307">
        <v>0</v>
      </c>
      <c r="AO88" s="307">
        <v>0</v>
      </c>
      <c r="AP88" s="307">
        <v>0</v>
      </c>
      <c r="AR88" s="308">
        <v>0</v>
      </c>
      <c r="AS88" s="308">
        <f t="shared" ref="AS88:AS100" si="169">L88-AR88</f>
        <v>7566830</v>
      </c>
      <c r="AT88" s="308">
        <v>2776827.8190172389</v>
      </c>
      <c r="AU88" s="308">
        <f t="shared" ref="AU88:AU100" si="170">M88-AT88</f>
        <v>-2776827.8190172389</v>
      </c>
      <c r="AV88" s="308">
        <v>1242837.4129208915</v>
      </c>
      <c r="AW88" s="308">
        <f t="shared" ref="AW88:AW100" si="171">N88-AV88</f>
        <v>-1242837.4129208915</v>
      </c>
      <c r="AX88" s="308">
        <v>981513.8618007825</v>
      </c>
      <c r="AY88" s="308">
        <f t="shared" ref="AY88:AY100" si="172">O88-AX88</f>
        <v>-981513.8618007825</v>
      </c>
      <c r="AZ88" s="308">
        <v>0</v>
      </c>
      <c r="BA88" s="308">
        <f t="shared" ref="BA88:BA100" si="173">P88-AZ88</f>
        <v>0</v>
      </c>
      <c r="BB88" s="331">
        <v>0</v>
      </c>
      <c r="BC88" s="308">
        <f t="shared" ref="BC88:BC100" si="174">Q88-BB88</f>
        <v>0</v>
      </c>
    </row>
    <row r="89" spans="1:55">
      <c r="A89" s="301" t="s">
        <v>44</v>
      </c>
      <c r="B89" s="308">
        <f>'Monthly D5 Gallon Data'!$C5</f>
        <v>0</v>
      </c>
      <c r="C89" s="308">
        <f>'Monthly D5 Gallon Data'!$C17</f>
        <v>0</v>
      </c>
      <c r="D89" s="308">
        <f>'Monthly D5 Gallon Data'!$C29</f>
        <v>0</v>
      </c>
      <c r="E89" s="308">
        <f>'Monthly D5 Gallon Data'!$C41</f>
        <v>29065960</v>
      </c>
      <c r="F89" s="308">
        <f>'Monthly D5 Gallon Data'!$C53</f>
        <v>0</v>
      </c>
      <c r="G89" s="308">
        <f>'Monthly D5 Gallon Data'!$C65</f>
        <v>0</v>
      </c>
      <c r="H89" s="308">
        <f>'Monthly D5 Gallon Data'!$C77</f>
        <v>0</v>
      </c>
      <c r="I89" s="308">
        <f>'Monthly D5 Gallon Data'!$C89</f>
        <v>0</v>
      </c>
      <c r="J89" s="308">
        <f>'Monthly D5 Gallon Data'!$C101</f>
        <v>0</v>
      </c>
      <c r="K89" s="308">
        <f>'Monthly D5 Gallon Data'!$C113</f>
        <v>0</v>
      </c>
      <c r="L89" s="308">
        <f>'Monthly D5 Gallon Data'!$C125</f>
        <v>12396799</v>
      </c>
      <c r="M89" s="308">
        <f>'Monthly D5 Gallon Data'!$C137</f>
        <v>0</v>
      </c>
      <c r="N89" s="308">
        <f>'Monthly D5 Gallon Data'!$C149</f>
        <v>10691838</v>
      </c>
      <c r="O89" s="308">
        <f>'Monthly D5 Gallon Data'!$C161</f>
        <v>0</v>
      </c>
      <c r="P89" s="308">
        <f>'Monthly D5 Gallon Data'!$C173</f>
        <v>0</v>
      </c>
      <c r="Q89" s="332">
        <f>'Monthly D5 Gallon Data'!$C185</f>
        <v>0</v>
      </c>
      <c r="R89" s="307">
        <v>0</v>
      </c>
      <c r="S89" s="307">
        <v>0</v>
      </c>
      <c r="T89" s="307">
        <v>0</v>
      </c>
      <c r="U89" s="307">
        <v>0</v>
      </c>
      <c r="V89" s="307">
        <v>0</v>
      </c>
      <c r="W89" s="307">
        <v>0</v>
      </c>
      <c r="X89" s="307">
        <v>0</v>
      </c>
      <c r="Y89" s="307">
        <v>0</v>
      </c>
      <c r="Z89" s="307">
        <v>0</v>
      </c>
      <c r="AA89" s="307">
        <v>0</v>
      </c>
      <c r="AB89" s="307">
        <v>0</v>
      </c>
      <c r="AC89" s="307">
        <v>0</v>
      </c>
      <c r="AD89" s="307">
        <v>0</v>
      </c>
      <c r="AE89" s="307">
        <v>0</v>
      </c>
      <c r="AF89" s="307">
        <v>0</v>
      </c>
      <c r="AG89" s="307">
        <v>0</v>
      </c>
      <c r="AH89" s="307">
        <v>0</v>
      </c>
      <c r="AI89" s="307">
        <v>0</v>
      </c>
      <c r="AJ89" s="307">
        <v>0</v>
      </c>
      <c r="AK89" s="307">
        <v>0</v>
      </c>
      <c r="AL89" s="307">
        <v>0</v>
      </c>
      <c r="AM89" s="307">
        <v>0</v>
      </c>
      <c r="AN89" s="307">
        <v>0</v>
      </c>
      <c r="AO89" s="307">
        <v>0</v>
      </c>
      <c r="AP89" s="307">
        <v>0</v>
      </c>
      <c r="AR89" s="308">
        <v>4500000</v>
      </c>
      <c r="AS89" s="308">
        <f t="shared" si="169"/>
        <v>7896799</v>
      </c>
      <c r="AT89" s="308">
        <v>4549299.5521195922</v>
      </c>
      <c r="AU89" s="308">
        <f t="shared" si="170"/>
        <v>-4549299.5521195922</v>
      </c>
      <c r="AV89" s="308">
        <v>1811170.760482769</v>
      </c>
      <c r="AW89" s="308">
        <f t="shared" si="171"/>
        <v>8880667.2395172305</v>
      </c>
      <c r="AX89" s="308">
        <v>2994889.176258279</v>
      </c>
      <c r="AY89" s="308">
        <f t="shared" si="172"/>
        <v>-2994889.176258279</v>
      </c>
      <c r="AZ89" s="308">
        <v>0</v>
      </c>
      <c r="BA89" s="308">
        <f t="shared" si="173"/>
        <v>0</v>
      </c>
      <c r="BB89" s="331">
        <v>0</v>
      </c>
      <c r="BC89" s="308">
        <f t="shared" si="174"/>
        <v>0</v>
      </c>
    </row>
    <row r="90" spans="1:55">
      <c r="A90" s="301" t="s">
        <v>45</v>
      </c>
      <c r="B90" s="308">
        <f>'Monthly D5 Gallon Data'!$C6</f>
        <v>0</v>
      </c>
      <c r="C90" s="308">
        <f>'Monthly D5 Gallon Data'!$C18</f>
        <v>0</v>
      </c>
      <c r="D90" s="308">
        <f>'Monthly D5 Gallon Data'!$C30</f>
        <v>18534884</v>
      </c>
      <c r="E90" s="308">
        <f>'Monthly D5 Gallon Data'!$C42</f>
        <v>46198180</v>
      </c>
      <c r="F90" s="308">
        <f>'Monthly D5 Gallon Data'!$C54</f>
        <v>2692148</v>
      </c>
      <c r="G90" s="308">
        <f>'Monthly D5 Gallon Data'!$C66</f>
        <v>0</v>
      </c>
      <c r="H90" s="308">
        <f>'Monthly D5 Gallon Data'!$C78</f>
        <v>0</v>
      </c>
      <c r="I90" s="308">
        <f>'Monthly D5 Gallon Data'!$C90</f>
        <v>0</v>
      </c>
      <c r="J90" s="308">
        <f>'Monthly D5 Gallon Data'!$C102</f>
        <v>0</v>
      </c>
      <c r="K90" s="308">
        <f>'Monthly D5 Gallon Data'!$C114</f>
        <v>6514949</v>
      </c>
      <c r="L90" s="308">
        <f>'Monthly D5 Gallon Data'!$C126</f>
        <v>24356072</v>
      </c>
      <c r="M90" s="308">
        <f>'Monthly D5 Gallon Data'!$C138</f>
        <v>0</v>
      </c>
      <c r="N90" s="308">
        <f>'Monthly D5 Gallon Data'!$C150</f>
        <v>0</v>
      </c>
      <c r="O90" s="308">
        <f>'Monthly D5 Gallon Data'!$C162</f>
        <v>0</v>
      </c>
      <c r="P90" s="308">
        <f>'Monthly D5 Gallon Data'!$C174</f>
        <v>0</v>
      </c>
      <c r="Q90" s="332">
        <f>'Monthly D5 Gallon Data'!$C186</f>
        <v>0</v>
      </c>
      <c r="R90" s="307">
        <v>0</v>
      </c>
      <c r="S90" s="307">
        <v>0</v>
      </c>
      <c r="T90" s="307">
        <v>0</v>
      </c>
      <c r="U90" s="307">
        <v>0</v>
      </c>
      <c r="V90" s="307">
        <v>0</v>
      </c>
      <c r="W90" s="307">
        <v>0</v>
      </c>
      <c r="X90" s="307">
        <v>0</v>
      </c>
      <c r="Y90" s="307">
        <v>0</v>
      </c>
      <c r="Z90" s="307">
        <v>0</v>
      </c>
      <c r="AA90" s="307">
        <v>0</v>
      </c>
      <c r="AB90" s="307">
        <v>0</v>
      </c>
      <c r="AC90" s="307">
        <v>0</v>
      </c>
      <c r="AD90" s="307">
        <v>0</v>
      </c>
      <c r="AE90" s="307">
        <v>0</v>
      </c>
      <c r="AF90" s="307">
        <v>0</v>
      </c>
      <c r="AG90" s="307">
        <v>0</v>
      </c>
      <c r="AH90" s="307">
        <v>0</v>
      </c>
      <c r="AI90" s="307">
        <v>0</v>
      </c>
      <c r="AJ90" s="307">
        <v>0</v>
      </c>
      <c r="AK90" s="307">
        <v>0</v>
      </c>
      <c r="AL90" s="307">
        <v>0</v>
      </c>
      <c r="AM90" s="307">
        <v>0</v>
      </c>
      <c r="AN90" s="307">
        <v>0</v>
      </c>
      <c r="AO90" s="307">
        <v>0</v>
      </c>
      <c r="AP90" s="307">
        <v>0</v>
      </c>
      <c r="AR90" s="308">
        <v>2713065.8506132676</v>
      </c>
      <c r="AS90" s="308">
        <f t="shared" si="169"/>
        <v>21643006.149386734</v>
      </c>
      <c r="AT90" s="308">
        <v>9694748.634465592</v>
      </c>
      <c r="AU90" s="308">
        <f t="shared" si="170"/>
        <v>-9694748.634465592</v>
      </c>
      <c r="AV90" s="308">
        <v>4510252.2635908369</v>
      </c>
      <c r="AW90" s="308">
        <f t="shared" si="171"/>
        <v>-4510252.2635908369</v>
      </c>
      <c r="AX90" s="308">
        <v>3791626.772143486</v>
      </c>
      <c r="AY90" s="308">
        <f t="shared" si="172"/>
        <v>-3791626.772143486</v>
      </c>
      <c r="AZ90" s="308">
        <v>0</v>
      </c>
      <c r="BA90" s="308">
        <f t="shared" si="173"/>
        <v>0</v>
      </c>
      <c r="BB90" s="331">
        <v>0</v>
      </c>
      <c r="BC90" s="308">
        <f t="shared" si="174"/>
        <v>0</v>
      </c>
    </row>
    <row r="91" spans="1:55">
      <c r="A91" s="301" t="s">
        <v>46</v>
      </c>
      <c r="B91" s="308">
        <f>'Monthly D5 Gallon Data'!$C7</f>
        <v>0</v>
      </c>
      <c r="C91" s="308">
        <f>'Monthly D5 Gallon Data'!$C19</f>
        <v>0</v>
      </c>
      <c r="D91" s="308">
        <f>'Monthly D5 Gallon Data'!$C31</f>
        <v>13760307</v>
      </c>
      <c r="E91" s="308">
        <f>'Monthly D5 Gallon Data'!$C43</f>
        <v>24939902</v>
      </c>
      <c r="F91" s="308">
        <f>'Monthly D5 Gallon Data'!$C55</f>
        <v>16271251</v>
      </c>
      <c r="G91" s="308">
        <f>'Monthly D5 Gallon Data'!$C67</f>
        <v>10702691</v>
      </c>
      <c r="H91" s="308">
        <f>'Monthly D5 Gallon Data'!$C79</f>
        <v>0</v>
      </c>
      <c r="I91" s="308">
        <f>'Monthly D5 Gallon Data'!$C91</f>
        <v>0</v>
      </c>
      <c r="J91" s="308">
        <f>'Monthly D5 Gallon Data'!$C103</f>
        <v>0</v>
      </c>
      <c r="K91" s="308">
        <f>'Monthly D5 Gallon Data'!$C115</f>
        <v>13423497</v>
      </c>
      <c r="L91" s="308">
        <f>'Monthly D5 Gallon Data'!$C127</f>
        <v>0</v>
      </c>
      <c r="M91" s="308">
        <f>'Monthly D5 Gallon Data'!$C139</f>
        <v>0</v>
      </c>
      <c r="N91" s="308">
        <f>'Monthly D5 Gallon Data'!$C151</f>
        <v>0</v>
      </c>
      <c r="O91" s="308">
        <f>'Monthly D5 Gallon Data'!$C163</f>
        <v>0</v>
      </c>
      <c r="P91" s="308">
        <f>'Monthly D5 Gallon Data'!$C175</f>
        <v>0</v>
      </c>
      <c r="Q91" s="307">
        <v>0</v>
      </c>
      <c r="R91" s="307">
        <v>0</v>
      </c>
      <c r="S91" s="307">
        <v>0</v>
      </c>
      <c r="T91" s="307">
        <v>0</v>
      </c>
      <c r="U91" s="307">
        <v>0</v>
      </c>
      <c r="V91" s="307">
        <v>0</v>
      </c>
      <c r="W91" s="307">
        <v>0</v>
      </c>
      <c r="X91" s="307">
        <v>0</v>
      </c>
      <c r="Y91" s="307">
        <v>0</v>
      </c>
      <c r="Z91" s="307">
        <v>0</v>
      </c>
      <c r="AA91" s="307">
        <v>0</v>
      </c>
      <c r="AB91" s="307">
        <v>0</v>
      </c>
      <c r="AC91" s="307">
        <v>0</v>
      </c>
      <c r="AD91" s="307">
        <v>0</v>
      </c>
      <c r="AE91" s="307">
        <v>0</v>
      </c>
      <c r="AF91" s="307">
        <v>0</v>
      </c>
      <c r="AG91" s="307">
        <v>0</v>
      </c>
      <c r="AH91" s="307">
        <v>0</v>
      </c>
      <c r="AI91" s="307">
        <v>0</v>
      </c>
      <c r="AJ91" s="307">
        <v>0</v>
      </c>
      <c r="AK91" s="307">
        <v>0</v>
      </c>
      <c r="AL91" s="307">
        <v>0</v>
      </c>
      <c r="AM91" s="307">
        <v>0</v>
      </c>
      <c r="AN91" s="307">
        <v>0</v>
      </c>
      <c r="AO91" s="307">
        <v>0</v>
      </c>
      <c r="AP91" s="307">
        <v>0</v>
      </c>
      <c r="AR91" s="308">
        <v>3215134.6576623619</v>
      </c>
      <c r="AS91" s="308">
        <f t="shared" si="169"/>
        <v>-3215134.6576623619</v>
      </c>
      <c r="AT91" s="308">
        <v>3812875.7360635013</v>
      </c>
      <c r="AU91" s="308">
        <f t="shared" si="170"/>
        <v>-3812875.7360635013</v>
      </c>
      <c r="AV91" s="308">
        <v>1961171.2139211339</v>
      </c>
      <c r="AW91" s="308">
        <f t="shared" si="171"/>
        <v>-1961171.2139211339</v>
      </c>
      <c r="AX91" s="308">
        <v>0</v>
      </c>
      <c r="AY91" s="308">
        <f t="shared" si="172"/>
        <v>0</v>
      </c>
      <c r="AZ91" s="308">
        <v>0</v>
      </c>
      <c r="BA91" s="308">
        <f t="shared" si="173"/>
        <v>0</v>
      </c>
      <c r="BB91" s="331">
        <v>0</v>
      </c>
      <c r="BC91" s="308">
        <f t="shared" si="174"/>
        <v>0</v>
      </c>
    </row>
    <row r="92" spans="1:55">
      <c r="A92" s="301" t="s">
        <v>47</v>
      </c>
      <c r="B92" s="308">
        <f>'Monthly D5 Gallon Data'!$C8</f>
        <v>0</v>
      </c>
      <c r="C92" s="308">
        <f>'Monthly D5 Gallon Data'!$C20</f>
        <v>0</v>
      </c>
      <c r="D92" s="308">
        <f>'Monthly D5 Gallon Data'!$C32</f>
        <v>14054596</v>
      </c>
      <c r="E92" s="308">
        <f>'Monthly D5 Gallon Data'!$C44</f>
        <v>28718019</v>
      </c>
      <c r="F92" s="308">
        <f>'Monthly D5 Gallon Data'!$C56</f>
        <v>20556279</v>
      </c>
      <c r="G92" s="308">
        <f>'Monthly D5 Gallon Data'!$C68</f>
        <v>0</v>
      </c>
      <c r="H92" s="308">
        <f>'Monthly D5 Gallon Data'!$C80</f>
        <v>1873940</v>
      </c>
      <c r="I92" s="308">
        <f>'Monthly D5 Gallon Data'!$C92</f>
        <v>8455346</v>
      </c>
      <c r="J92" s="308">
        <f>'Monthly D5 Gallon Data'!$C104</f>
        <v>0</v>
      </c>
      <c r="K92" s="308">
        <f>'Monthly D5 Gallon Data'!$C116</f>
        <v>0</v>
      </c>
      <c r="L92" s="308">
        <f>'Monthly D5 Gallon Data'!$C128</f>
        <v>0</v>
      </c>
      <c r="M92" s="308">
        <f>'Monthly D5 Gallon Data'!$C140</f>
        <v>0</v>
      </c>
      <c r="N92" s="308">
        <f>'Monthly D5 Gallon Data'!$C152</f>
        <v>10688242</v>
      </c>
      <c r="O92" s="308">
        <f>'Monthly D5 Gallon Data'!$C164</f>
        <v>0</v>
      </c>
      <c r="P92" s="308">
        <f>'Monthly D5 Gallon Data'!$C176</f>
        <v>0</v>
      </c>
      <c r="Q92" s="307">
        <v>0</v>
      </c>
      <c r="R92" s="307">
        <v>0</v>
      </c>
      <c r="S92" s="307">
        <v>0</v>
      </c>
      <c r="T92" s="307">
        <v>0</v>
      </c>
      <c r="U92" s="307">
        <v>0</v>
      </c>
      <c r="V92" s="307">
        <v>0</v>
      </c>
      <c r="W92" s="307">
        <v>0</v>
      </c>
      <c r="X92" s="307">
        <v>0</v>
      </c>
      <c r="Y92" s="307">
        <v>0</v>
      </c>
      <c r="Z92" s="307">
        <v>0</v>
      </c>
      <c r="AA92" s="307">
        <v>0</v>
      </c>
      <c r="AB92" s="307">
        <v>0</v>
      </c>
      <c r="AC92" s="307">
        <v>0</v>
      </c>
      <c r="AD92" s="307">
        <v>0</v>
      </c>
      <c r="AE92" s="307">
        <v>0</v>
      </c>
      <c r="AF92" s="307">
        <v>0</v>
      </c>
      <c r="AG92" s="307">
        <v>0</v>
      </c>
      <c r="AH92" s="307">
        <v>0</v>
      </c>
      <c r="AI92" s="307">
        <v>0</v>
      </c>
      <c r="AJ92" s="307">
        <v>0</v>
      </c>
      <c r="AK92" s="307">
        <v>0</v>
      </c>
      <c r="AL92" s="307">
        <v>0</v>
      </c>
      <c r="AM92" s="307">
        <v>0</v>
      </c>
      <c r="AN92" s="307">
        <v>0</v>
      </c>
      <c r="AO92" s="307">
        <v>0</v>
      </c>
      <c r="AP92" s="307">
        <v>0</v>
      </c>
      <c r="AR92" s="308">
        <v>2753028.7047860548</v>
      </c>
      <c r="AS92" s="308">
        <f t="shared" si="169"/>
        <v>-2753028.7047860548</v>
      </c>
      <c r="AT92" s="308">
        <v>10000000</v>
      </c>
      <c r="AU92" s="308">
        <f t="shared" si="170"/>
        <v>-10000000</v>
      </c>
      <c r="AV92" s="308">
        <v>1235324.6229181807</v>
      </c>
      <c r="AW92" s="308">
        <f t="shared" si="171"/>
        <v>9452917.3770818189</v>
      </c>
      <c r="AX92" s="308">
        <v>9812746.4917453956</v>
      </c>
      <c r="AY92" s="308">
        <f t="shared" si="172"/>
        <v>-9812746.4917453956</v>
      </c>
      <c r="AZ92" s="308">
        <v>0</v>
      </c>
      <c r="BA92" s="308">
        <f t="shared" si="173"/>
        <v>0</v>
      </c>
      <c r="BB92" s="331">
        <v>0</v>
      </c>
      <c r="BC92" s="308">
        <f t="shared" si="174"/>
        <v>0</v>
      </c>
    </row>
    <row r="93" spans="1:55">
      <c r="A93" s="301" t="s">
        <v>48</v>
      </c>
      <c r="B93" s="308">
        <f>'Monthly D5 Gallon Data'!$C9</f>
        <v>0</v>
      </c>
      <c r="C93" s="308">
        <f>'Monthly D5 Gallon Data'!$C21</f>
        <v>3035212</v>
      </c>
      <c r="D93" s="308">
        <f>'Monthly D5 Gallon Data'!$C33</f>
        <v>36895958</v>
      </c>
      <c r="E93" s="308">
        <f>'Monthly D5 Gallon Data'!$C45</f>
        <v>33454217</v>
      </c>
      <c r="F93" s="308">
        <f>'Monthly D5 Gallon Data'!$C57</f>
        <v>10573426</v>
      </c>
      <c r="G93" s="308">
        <f>'Monthly D5 Gallon Data'!$C69</f>
        <v>0</v>
      </c>
      <c r="H93" s="308">
        <f>'Monthly D5 Gallon Data'!$C81</f>
        <v>10778727</v>
      </c>
      <c r="I93" s="308">
        <f>'Monthly D5 Gallon Data'!$C93</f>
        <v>10825825</v>
      </c>
      <c r="J93" s="308">
        <f>'Monthly D5 Gallon Data'!$C105</f>
        <v>0</v>
      </c>
      <c r="K93" s="308">
        <f>'Monthly D5 Gallon Data'!$C117</f>
        <v>24556742</v>
      </c>
      <c r="L93" s="308">
        <f>'Monthly D5 Gallon Data'!$C129</f>
        <v>0</v>
      </c>
      <c r="M93" s="308">
        <f>'Monthly D5 Gallon Data'!$C141</f>
        <v>12876367</v>
      </c>
      <c r="N93" s="308">
        <f>'Monthly D5 Gallon Data'!$C153</f>
        <v>0</v>
      </c>
      <c r="O93" s="308">
        <f>'Monthly D5 Gallon Data'!$C165</f>
        <v>0</v>
      </c>
      <c r="P93" s="308">
        <f>'Monthly D5 Gallon Data'!$C177</f>
        <v>0</v>
      </c>
      <c r="Q93" s="307">
        <v>0</v>
      </c>
      <c r="R93" s="307">
        <v>0</v>
      </c>
      <c r="S93" s="307">
        <v>0</v>
      </c>
      <c r="T93" s="307">
        <v>0</v>
      </c>
      <c r="U93" s="307">
        <v>0</v>
      </c>
      <c r="V93" s="307">
        <v>0</v>
      </c>
      <c r="W93" s="307">
        <v>0</v>
      </c>
      <c r="X93" s="307">
        <v>0</v>
      </c>
      <c r="Y93" s="307">
        <v>0</v>
      </c>
      <c r="Z93" s="307">
        <v>0</v>
      </c>
      <c r="AA93" s="307">
        <v>0</v>
      </c>
      <c r="AB93" s="307">
        <v>0</v>
      </c>
      <c r="AC93" s="307">
        <v>0</v>
      </c>
      <c r="AD93" s="307">
        <v>0</v>
      </c>
      <c r="AE93" s="307">
        <v>0</v>
      </c>
      <c r="AF93" s="307">
        <v>0</v>
      </c>
      <c r="AG93" s="307">
        <v>0</v>
      </c>
      <c r="AH93" s="307">
        <v>0</v>
      </c>
      <c r="AI93" s="307">
        <v>0</v>
      </c>
      <c r="AJ93" s="307">
        <v>0</v>
      </c>
      <c r="AK93" s="307">
        <v>0</v>
      </c>
      <c r="AL93" s="307">
        <v>0</v>
      </c>
      <c r="AM93" s="307">
        <v>0</v>
      </c>
      <c r="AN93" s="307">
        <v>0</v>
      </c>
      <c r="AO93" s="307">
        <v>0</v>
      </c>
      <c r="AP93" s="307">
        <v>0</v>
      </c>
      <c r="AR93" s="308">
        <v>13278237.736762162</v>
      </c>
      <c r="AS93" s="308">
        <f t="shared" si="169"/>
        <v>-13278237.736762162</v>
      </c>
      <c r="AT93" s="308">
        <v>15634944.622266078</v>
      </c>
      <c r="AU93" s="308">
        <f t="shared" si="170"/>
        <v>-2758577.6222660784</v>
      </c>
      <c r="AV93" s="308">
        <v>7050622.1088981302</v>
      </c>
      <c r="AW93" s="308">
        <f t="shared" si="171"/>
        <v>-7050622.1088981302</v>
      </c>
      <c r="AX93" s="308">
        <v>0</v>
      </c>
      <c r="AY93" s="308">
        <f t="shared" si="172"/>
        <v>0</v>
      </c>
      <c r="AZ93" s="308">
        <v>0</v>
      </c>
      <c r="BA93" s="308">
        <f t="shared" si="173"/>
        <v>0</v>
      </c>
      <c r="BB93" s="331">
        <v>0</v>
      </c>
      <c r="BC93" s="308">
        <f t="shared" si="174"/>
        <v>0</v>
      </c>
    </row>
    <row r="94" spans="1:55">
      <c r="A94" s="301" t="s">
        <v>49</v>
      </c>
      <c r="B94" s="308">
        <f>'Monthly D5 Gallon Data'!$C10</f>
        <v>0</v>
      </c>
      <c r="C94" s="308">
        <f>'Monthly D5 Gallon Data'!$C22</f>
        <v>13166006</v>
      </c>
      <c r="D94" s="308">
        <f>'Monthly D5 Gallon Data'!$C34</f>
        <v>48445637</v>
      </c>
      <c r="E94" s="308">
        <f>'Monthly D5 Gallon Data'!$C46</f>
        <v>53724053</v>
      </c>
      <c r="F94" s="308">
        <f>'Monthly D5 Gallon Data'!$C58</f>
        <v>4972076</v>
      </c>
      <c r="G94" s="308">
        <f>'Monthly D5 Gallon Data'!$C70</f>
        <v>0</v>
      </c>
      <c r="H94" s="308">
        <f>'Monthly D5 Gallon Data'!$C82</f>
        <v>10758306</v>
      </c>
      <c r="I94" s="308">
        <f>'Monthly D5 Gallon Data'!$C94</f>
        <v>0</v>
      </c>
      <c r="J94" s="308">
        <f>'Monthly D5 Gallon Data'!$C106</f>
        <v>0</v>
      </c>
      <c r="K94" s="308">
        <f>'Monthly D5 Gallon Data'!$C118</f>
        <v>23287643</v>
      </c>
      <c r="L94" s="308">
        <f>'Monthly D5 Gallon Data'!$C130</f>
        <v>22037693</v>
      </c>
      <c r="M94" s="308">
        <f>'Monthly D5 Gallon Data'!$C142</f>
        <v>10338232</v>
      </c>
      <c r="N94" s="308">
        <f>'Monthly D5 Gallon Data'!$C154</f>
        <v>2348368</v>
      </c>
      <c r="O94" s="308">
        <f>'Monthly D5 Gallon Data'!$C166</f>
        <v>0</v>
      </c>
      <c r="P94" s="308">
        <f>'Monthly D5 Gallon Data'!$C178</f>
        <v>0</v>
      </c>
      <c r="Q94" s="307">
        <v>0</v>
      </c>
      <c r="R94" s="307">
        <v>0</v>
      </c>
      <c r="S94" s="307">
        <v>0</v>
      </c>
      <c r="T94" s="307">
        <v>0</v>
      </c>
      <c r="U94" s="307">
        <v>0</v>
      </c>
      <c r="V94" s="307">
        <v>0</v>
      </c>
      <c r="W94" s="307">
        <v>0</v>
      </c>
      <c r="X94" s="307">
        <v>0</v>
      </c>
      <c r="Y94" s="307">
        <v>0</v>
      </c>
      <c r="Z94" s="307">
        <v>0</v>
      </c>
      <c r="AA94" s="307">
        <v>0</v>
      </c>
      <c r="AB94" s="307">
        <v>0</v>
      </c>
      <c r="AC94" s="307">
        <v>0</v>
      </c>
      <c r="AD94" s="307">
        <v>0</v>
      </c>
      <c r="AE94" s="307">
        <v>0</v>
      </c>
      <c r="AF94" s="307">
        <v>0</v>
      </c>
      <c r="AG94" s="307">
        <v>0</v>
      </c>
      <c r="AH94" s="307">
        <v>0</v>
      </c>
      <c r="AI94" s="307">
        <v>0</v>
      </c>
      <c r="AJ94" s="307">
        <v>0</v>
      </c>
      <c r="AK94" s="307">
        <v>0</v>
      </c>
      <c r="AL94" s="307">
        <v>0</v>
      </c>
      <c r="AM94" s="307">
        <v>0</v>
      </c>
      <c r="AN94" s="307">
        <v>0</v>
      </c>
      <c r="AO94" s="307">
        <v>0</v>
      </c>
      <c r="AP94" s="307">
        <v>0</v>
      </c>
      <c r="AR94" s="308">
        <v>11426621.571932528</v>
      </c>
      <c r="AS94" s="308">
        <f t="shared" si="169"/>
        <v>10611071.428067472</v>
      </c>
      <c r="AT94" s="308">
        <v>12920920.866841296</v>
      </c>
      <c r="AU94" s="308">
        <f t="shared" si="170"/>
        <v>-2582688.8668412957</v>
      </c>
      <c r="AV94" s="308">
        <v>7191947.8786120964</v>
      </c>
      <c r="AW94" s="308">
        <f t="shared" si="171"/>
        <v>-4843579.8786120964</v>
      </c>
      <c r="AX94" s="308">
        <v>2626821.246381388</v>
      </c>
      <c r="AY94" s="308">
        <f t="shared" si="172"/>
        <v>-2626821.246381388</v>
      </c>
      <c r="AZ94" s="309">
        <v>0</v>
      </c>
      <c r="BA94" s="308">
        <f t="shared" si="173"/>
        <v>0</v>
      </c>
      <c r="BB94" s="331">
        <v>0</v>
      </c>
      <c r="BC94" s="308">
        <f t="shared" si="174"/>
        <v>0</v>
      </c>
    </row>
    <row r="95" spans="1:55">
      <c r="A95" s="301" t="s">
        <v>50</v>
      </c>
      <c r="B95" s="308">
        <f>'Monthly D5 Gallon Data'!$C11</f>
        <v>0</v>
      </c>
      <c r="C95" s="308">
        <f>'Monthly D5 Gallon Data'!$C23</f>
        <v>22822671</v>
      </c>
      <c r="D95" s="308">
        <f>'Monthly D5 Gallon Data'!$C35</f>
        <v>82020340</v>
      </c>
      <c r="E95" s="308">
        <f>'Monthly D5 Gallon Data'!$C47</f>
        <v>80484976</v>
      </c>
      <c r="F95" s="308">
        <f>'Monthly D5 Gallon Data'!$C59</f>
        <v>0</v>
      </c>
      <c r="G95" s="308">
        <f>'Monthly D5 Gallon Data'!$C71</f>
        <v>15377300</v>
      </c>
      <c r="H95" s="308">
        <f>'Monthly D5 Gallon Data'!$C83</f>
        <v>10993061</v>
      </c>
      <c r="I95" s="308">
        <f>'Monthly D5 Gallon Data'!$C95</f>
        <v>22448893</v>
      </c>
      <c r="J95" s="308">
        <f>'Monthly D5 Gallon Data'!$C107</f>
        <v>20110256</v>
      </c>
      <c r="K95" s="308">
        <f>'Monthly D5 Gallon Data'!$C119</f>
        <v>13950027</v>
      </c>
      <c r="L95" s="308">
        <f>'Monthly D5 Gallon Data'!$C131</f>
        <v>27566484</v>
      </c>
      <c r="M95" s="308">
        <f>'Monthly D5 Gallon Data'!$C143</f>
        <v>14794361</v>
      </c>
      <c r="N95" s="308">
        <f>'Monthly D5 Gallon Data'!$C155</f>
        <v>8397241</v>
      </c>
      <c r="O95" s="308">
        <f>'Monthly D5 Gallon Data'!$C167</f>
        <v>0</v>
      </c>
      <c r="P95" s="308">
        <f>'Monthly D5 Gallon Data'!$C179</f>
        <v>0</v>
      </c>
      <c r="Q95" s="307">
        <v>0</v>
      </c>
      <c r="R95" s="307">
        <v>0</v>
      </c>
      <c r="S95" s="307">
        <v>0</v>
      </c>
      <c r="T95" s="307">
        <v>0</v>
      </c>
      <c r="U95" s="307">
        <v>0</v>
      </c>
      <c r="V95" s="307">
        <v>0</v>
      </c>
      <c r="W95" s="307">
        <v>0</v>
      </c>
      <c r="X95" s="307">
        <v>0</v>
      </c>
      <c r="Y95" s="307">
        <v>0</v>
      </c>
      <c r="Z95" s="307">
        <v>0</v>
      </c>
      <c r="AA95" s="307">
        <v>0</v>
      </c>
      <c r="AB95" s="307">
        <v>0</v>
      </c>
      <c r="AC95" s="307">
        <v>0</v>
      </c>
      <c r="AD95" s="307">
        <v>0</v>
      </c>
      <c r="AE95" s="307">
        <v>0</v>
      </c>
      <c r="AF95" s="307">
        <v>0</v>
      </c>
      <c r="AG95" s="307">
        <v>0</v>
      </c>
      <c r="AH95" s="307">
        <v>0</v>
      </c>
      <c r="AI95" s="307">
        <v>0</v>
      </c>
      <c r="AJ95" s="307">
        <v>0</v>
      </c>
      <c r="AK95" s="307">
        <v>0</v>
      </c>
      <c r="AL95" s="307">
        <v>0</v>
      </c>
      <c r="AM95" s="307">
        <v>0</v>
      </c>
      <c r="AN95" s="307">
        <v>0</v>
      </c>
      <c r="AO95" s="307">
        <v>0</v>
      </c>
      <c r="AP95" s="307">
        <v>0</v>
      </c>
      <c r="AR95" s="308">
        <v>31575950.362283476</v>
      </c>
      <c r="AS95" s="308">
        <f t="shared" si="169"/>
        <v>-4009466.3622834757</v>
      </c>
      <c r="AT95" s="308">
        <v>16870260.32191306</v>
      </c>
      <c r="AU95" s="308">
        <f t="shared" si="170"/>
        <v>-2075899.3219130598</v>
      </c>
      <c r="AV95" s="308">
        <v>3071317.9551831977</v>
      </c>
      <c r="AW95" s="308">
        <f t="shared" si="171"/>
        <v>5325923.0448168023</v>
      </c>
      <c r="AX95" s="308">
        <v>3564807.0026748162</v>
      </c>
      <c r="AY95" s="308">
        <f t="shared" si="172"/>
        <v>-3564807.0026748162</v>
      </c>
      <c r="AZ95" s="309">
        <v>0</v>
      </c>
      <c r="BA95" s="308">
        <f t="shared" si="173"/>
        <v>0</v>
      </c>
      <c r="BB95" s="331">
        <v>0</v>
      </c>
      <c r="BC95" s="308">
        <f t="shared" si="174"/>
        <v>0</v>
      </c>
    </row>
    <row r="96" spans="1:55">
      <c r="A96" s="301" t="s">
        <v>51</v>
      </c>
      <c r="B96" s="308">
        <f>'Monthly D5 Gallon Data'!$C12</f>
        <v>0</v>
      </c>
      <c r="C96" s="308">
        <f>'Monthly D5 Gallon Data'!$C24</f>
        <v>35850732</v>
      </c>
      <c r="D96" s="308">
        <f>'Monthly D5 Gallon Data'!$C36</f>
        <v>74568582</v>
      </c>
      <c r="E96" s="308">
        <f>'Monthly D5 Gallon Data'!$C48</f>
        <v>49727263</v>
      </c>
      <c r="F96" s="308">
        <f>'Monthly D5 Gallon Data'!$C60</f>
        <v>0</v>
      </c>
      <c r="G96" s="308">
        <f>'Monthly D5 Gallon Data'!$C72</f>
        <v>19853081</v>
      </c>
      <c r="H96" s="308">
        <f>'Monthly D5 Gallon Data'!$C84</f>
        <v>0</v>
      </c>
      <c r="I96" s="308">
        <f>'Monthly D5 Gallon Data'!$C96</f>
        <v>10902520</v>
      </c>
      <c r="J96" s="308">
        <f>'Monthly D5 Gallon Data'!$C108</f>
        <v>4202525</v>
      </c>
      <c r="K96" s="308">
        <f>'Monthly D5 Gallon Data'!$C120</f>
        <v>28711738</v>
      </c>
      <c r="L96" s="308">
        <f>'Monthly D5 Gallon Data'!$C132</f>
        <v>27396158</v>
      </c>
      <c r="M96" s="308">
        <f>'Monthly D5 Gallon Data'!$C144</f>
        <v>10763933</v>
      </c>
      <c r="N96" s="308">
        <f>'Monthly D5 Gallon Data'!$C156</f>
        <v>9130925</v>
      </c>
      <c r="O96" s="308">
        <f>'Monthly D5 Gallon Data'!$C168</f>
        <v>19402670</v>
      </c>
      <c r="P96" s="308">
        <f>'Monthly D5 Gallon Data'!$C180</f>
        <v>0</v>
      </c>
      <c r="Q96" s="307">
        <v>0</v>
      </c>
      <c r="R96" s="307">
        <v>0</v>
      </c>
      <c r="S96" s="307">
        <v>0</v>
      </c>
      <c r="T96" s="307">
        <v>0</v>
      </c>
      <c r="U96" s="307">
        <v>0</v>
      </c>
      <c r="V96" s="307">
        <v>0</v>
      </c>
      <c r="W96" s="307">
        <v>0</v>
      </c>
      <c r="X96" s="307">
        <v>0</v>
      </c>
      <c r="Y96" s="307">
        <v>0</v>
      </c>
      <c r="Z96" s="307">
        <v>0</v>
      </c>
      <c r="AA96" s="307">
        <v>0</v>
      </c>
      <c r="AB96" s="307">
        <v>0</v>
      </c>
      <c r="AC96" s="307">
        <v>0</v>
      </c>
      <c r="AD96" s="307">
        <v>0</v>
      </c>
      <c r="AE96" s="307">
        <v>0</v>
      </c>
      <c r="AF96" s="307">
        <v>0</v>
      </c>
      <c r="AG96" s="307">
        <v>0</v>
      </c>
      <c r="AH96" s="307">
        <v>0</v>
      </c>
      <c r="AI96" s="307">
        <v>0</v>
      </c>
      <c r="AJ96" s="307">
        <v>0</v>
      </c>
      <c r="AK96" s="307">
        <v>0</v>
      </c>
      <c r="AL96" s="307">
        <v>0</v>
      </c>
      <c r="AM96" s="307">
        <v>0</v>
      </c>
      <c r="AN96" s="307">
        <v>0</v>
      </c>
      <c r="AO96" s="307">
        <v>0</v>
      </c>
      <c r="AP96" s="307">
        <v>0</v>
      </c>
      <c r="AR96" s="308">
        <v>27125273.817780588</v>
      </c>
      <c r="AS96" s="308">
        <f t="shared" si="169"/>
        <v>270884.18221941218</v>
      </c>
      <c r="AT96" s="308">
        <v>12633367.788372211</v>
      </c>
      <c r="AU96" s="308">
        <f t="shared" si="170"/>
        <v>-1869434.7883722112</v>
      </c>
      <c r="AV96" s="308">
        <v>6900669.8348936662</v>
      </c>
      <c r="AW96" s="308">
        <f t="shared" si="171"/>
        <v>2230255.1651063338</v>
      </c>
      <c r="AX96" s="308">
        <v>4914518.3448914364</v>
      </c>
      <c r="AY96" s="308">
        <f t="shared" si="172"/>
        <v>14488151.655108564</v>
      </c>
      <c r="AZ96" s="309">
        <v>0</v>
      </c>
      <c r="BA96" s="308">
        <f t="shared" si="173"/>
        <v>0</v>
      </c>
      <c r="BB96" s="331">
        <v>0</v>
      </c>
      <c r="BC96" s="308">
        <f t="shared" si="174"/>
        <v>0</v>
      </c>
    </row>
    <row r="97" spans="1:55">
      <c r="A97" s="301" t="s">
        <v>52</v>
      </c>
      <c r="B97" s="308">
        <f>'Monthly D5 Gallon Data'!$C13</f>
        <v>0</v>
      </c>
      <c r="C97" s="308">
        <f>'Monthly D5 Gallon Data'!$C25</f>
        <v>19149943</v>
      </c>
      <c r="D97" s="308">
        <f>'Monthly D5 Gallon Data'!$C37</f>
        <v>74666044</v>
      </c>
      <c r="E97" s="308">
        <f>'Monthly D5 Gallon Data'!$C49</f>
        <v>15647453</v>
      </c>
      <c r="F97" s="308">
        <f>'Monthly D5 Gallon Data'!$C61</f>
        <v>0</v>
      </c>
      <c r="G97" s="308">
        <f>'Monthly D5 Gallon Data'!$C73</f>
        <v>7506431</v>
      </c>
      <c r="H97" s="308">
        <f>'Monthly D5 Gallon Data'!$C85</f>
        <v>0</v>
      </c>
      <c r="I97" s="308">
        <f>'Monthly D5 Gallon Data'!$C97</f>
        <v>0</v>
      </c>
      <c r="J97" s="308">
        <f>'Monthly D5 Gallon Data'!$C109</f>
        <v>19292506</v>
      </c>
      <c r="K97" s="308">
        <f>'Monthly D5 Gallon Data'!$C121</f>
        <v>54364003</v>
      </c>
      <c r="L97" s="308">
        <f>'Monthly D5 Gallon Data'!$C133</f>
        <v>16839735</v>
      </c>
      <c r="M97" s="308">
        <f>'Monthly D5 Gallon Data'!$C145</f>
        <v>10741498</v>
      </c>
      <c r="N97" s="308">
        <f>'Monthly D5 Gallon Data'!$C157</f>
        <v>17831309</v>
      </c>
      <c r="O97" s="308">
        <f>'Monthly D5 Gallon Data'!$C169</f>
        <v>1836333</v>
      </c>
      <c r="P97" s="308">
        <f>'Monthly D5 Gallon Data'!$C181</f>
        <v>0</v>
      </c>
      <c r="Q97" s="307">
        <v>0</v>
      </c>
      <c r="R97" s="307">
        <v>0</v>
      </c>
      <c r="S97" s="307">
        <v>0</v>
      </c>
      <c r="T97" s="307">
        <v>0</v>
      </c>
      <c r="U97" s="307">
        <v>0</v>
      </c>
      <c r="V97" s="307">
        <v>0</v>
      </c>
      <c r="W97" s="307">
        <v>0</v>
      </c>
      <c r="X97" s="307">
        <v>0</v>
      </c>
      <c r="Y97" s="307">
        <v>0</v>
      </c>
      <c r="Z97" s="307">
        <v>0</v>
      </c>
      <c r="AA97" s="307">
        <v>0</v>
      </c>
      <c r="AB97" s="307">
        <v>0</v>
      </c>
      <c r="AC97" s="307">
        <v>0</v>
      </c>
      <c r="AD97" s="307">
        <v>0</v>
      </c>
      <c r="AE97" s="307">
        <v>0</v>
      </c>
      <c r="AF97" s="307">
        <v>0</v>
      </c>
      <c r="AG97" s="307">
        <v>0</v>
      </c>
      <c r="AH97" s="307">
        <v>0</v>
      </c>
      <c r="AI97" s="307">
        <v>0</v>
      </c>
      <c r="AJ97" s="307">
        <v>0</v>
      </c>
      <c r="AK97" s="307">
        <v>0</v>
      </c>
      <c r="AL97" s="307">
        <v>0</v>
      </c>
      <c r="AM97" s="307">
        <v>0</v>
      </c>
      <c r="AN97" s="307">
        <v>0</v>
      </c>
      <c r="AO97" s="307">
        <v>0</v>
      </c>
      <c r="AP97" s="307">
        <v>0</v>
      </c>
      <c r="AR97" s="308">
        <v>54490815.712555394</v>
      </c>
      <c r="AS97" s="308">
        <f t="shared" si="169"/>
        <v>-37651080.712555394</v>
      </c>
      <c r="AT97" s="308">
        <v>16054277.745926434</v>
      </c>
      <c r="AU97" s="308">
        <f t="shared" si="170"/>
        <v>-5312779.7459264342</v>
      </c>
      <c r="AV97" s="308">
        <v>10214156.041176323</v>
      </c>
      <c r="AW97" s="308">
        <f t="shared" si="171"/>
        <v>7617152.9588236772</v>
      </c>
      <c r="AX97" s="308">
        <v>6779495.6819188111</v>
      </c>
      <c r="AY97" s="308">
        <f t="shared" si="172"/>
        <v>-4943162.6819188111</v>
      </c>
      <c r="AZ97" s="309">
        <v>0</v>
      </c>
      <c r="BA97" s="308">
        <f t="shared" si="173"/>
        <v>0</v>
      </c>
      <c r="BB97" s="331">
        <v>0</v>
      </c>
      <c r="BC97" s="308">
        <f t="shared" si="174"/>
        <v>0</v>
      </c>
    </row>
    <row r="98" spans="1:55">
      <c r="A98" s="301" t="s">
        <v>53</v>
      </c>
      <c r="B98" s="308">
        <f>'Monthly D5 Gallon Data'!$C14</f>
        <v>0</v>
      </c>
      <c r="C98" s="308">
        <f>'Monthly D5 Gallon Data'!$C26</f>
        <v>25215515</v>
      </c>
      <c r="D98" s="308">
        <f>'Monthly D5 Gallon Data'!$C38</f>
        <v>106309471</v>
      </c>
      <c r="E98" s="308">
        <f>'Monthly D5 Gallon Data'!$C50</f>
        <v>13318277</v>
      </c>
      <c r="F98" s="308">
        <f>'Monthly D5 Gallon Data'!$C62</f>
        <v>0</v>
      </c>
      <c r="G98" s="308">
        <f>'Monthly D5 Gallon Data'!$C74</f>
        <v>23293886</v>
      </c>
      <c r="H98" s="308">
        <f>'Monthly D5 Gallon Data'!$C86</f>
        <v>0</v>
      </c>
      <c r="I98" s="308">
        <f>'Monthly D5 Gallon Data'!$C98</f>
        <v>21236792</v>
      </c>
      <c r="J98" s="308">
        <f>'Monthly D5 Gallon Data'!$C110</f>
        <v>10885655</v>
      </c>
      <c r="K98" s="308">
        <f>'Monthly D5 Gallon Data'!$C122</f>
        <v>9565841</v>
      </c>
      <c r="L98" s="308">
        <f>'Monthly D5 Gallon Data'!$C134</f>
        <v>21572221</v>
      </c>
      <c r="M98" s="308">
        <f>'Monthly D5 Gallon Data'!$C146</f>
        <v>0</v>
      </c>
      <c r="N98" s="308">
        <f>'Monthly D5 Gallon Data'!$C158</f>
        <v>9712376</v>
      </c>
      <c r="O98" s="308">
        <f>'Monthly D5 Gallon Data'!$C170</f>
        <v>0</v>
      </c>
      <c r="P98" s="308">
        <f>'Monthly D5 Gallon Data'!$C182</f>
        <v>0</v>
      </c>
      <c r="Q98" s="307">
        <v>0</v>
      </c>
      <c r="R98" s="307">
        <v>0</v>
      </c>
      <c r="S98" s="307">
        <v>0</v>
      </c>
      <c r="T98" s="307">
        <v>0</v>
      </c>
      <c r="U98" s="307">
        <v>0</v>
      </c>
      <c r="V98" s="307">
        <v>0</v>
      </c>
      <c r="W98" s="307">
        <v>0</v>
      </c>
      <c r="X98" s="307">
        <v>0</v>
      </c>
      <c r="Y98" s="307">
        <v>0</v>
      </c>
      <c r="Z98" s="307">
        <v>0</v>
      </c>
      <c r="AA98" s="307">
        <v>0</v>
      </c>
      <c r="AB98" s="307">
        <v>0</v>
      </c>
      <c r="AC98" s="307">
        <v>0</v>
      </c>
      <c r="AD98" s="307">
        <v>0</v>
      </c>
      <c r="AE98" s="307">
        <v>0</v>
      </c>
      <c r="AF98" s="307">
        <v>0</v>
      </c>
      <c r="AG98" s="307">
        <v>0</v>
      </c>
      <c r="AH98" s="307">
        <v>0</v>
      </c>
      <c r="AI98" s="307">
        <v>0</v>
      </c>
      <c r="AJ98" s="307">
        <v>0</v>
      </c>
      <c r="AK98" s="307">
        <v>0</v>
      </c>
      <c r="AL98" s="307">
        <v>0</v>
      </c>
      <c r="AM98" s="307">
        <v>0</v>
      </c>
      <c r="AN98" s="307">
        <v>0</v>
      </c>
      <c r="AO98" s="307">
        <v>0</v>
      </c>
      <c r="AP98" s="307">
        <v>0</v>
      </c>
      <c r="AR98" s="308">
        <v>9023442.7375047877</v>
      </c>
      <c r="AS98" s="308">
        <f t="shared" si="169"/>
        <v>12548778.262495212</v>
      </c>
      <c r="AT98" s="308">
        <v>11222584.90456995</v>
      </c>
      <c r="AU98" s="308">
        <f t="shared" si="170"/>
        <v>-11222584.90456995</v>
      </c>
      <c r="AV98" s="308">
        <v>0</v>
      </c>
      <c r="AW98" s="308">
        <f t="shared" si="171"/>
        <v>9712376</v>
      </c>
      <c r="AX98" s="309">
        <v>19118249.276151955</v>
      </c>
      <c r="AY98" s="308">
        <f t="shared" si="172"/>
        <v>-19118249.276151955</v>
      </c>
      <c r="AZ98" s="309">
        <v>0</v>
      </c>
      <c r="BA98" s="308">
        <f t="shared" si="173"/>
        <v>0</v>
      </c>
      <c r="BB98" s="331">
        <v>0</v>
      </c>
      <c r="BC98" s="308">
        <f t="shared" si="174"/>
        <v>0</v>
      </c>
    </row>
    <row r="99" spans="1:55">
      <c r="A99" s="301" t="s">
        <v>54</v>
      </c>
      <c r="B99" s="308">
        <f>'Monthly D5 Gallon Data'!$C15</f>
        <v>0</v>
      </c>
      <c r="C99" s="308">
        <f>'Monthly D5 Gallon Data'!$C27</f>
        <v>53185709</v>
      </c>
      <c r="D99" s="308">
        <f>'Monthly D5 Gallon Data'!$C39</f>
        <v>102613203</v>
      </c>
      <c r="E99" s="308">
        <f>'Monthly D5 Gallon Data'!$C51</f>
        <v>10268862</v>
      </c>
      <c r="F99" s="308">
        <f>'Monthly D5 Gallon Data'!$C63</f>
        <v>6750019</v>
      </c>
      <c r="G99" s="308">
        <f>'Monthly D5 Gallon Data'!$C75</f>
        <v>12221061</v>
      </c>
      <c r="H99" s="308">
        <f>'Monthly D5 Gallon Data'!$C87</f>
        <v>0</v>
      </c>
      <c r="I99" s="308">
        <f>'Monthly D5 Gallon Data'!$C99</f>
        <v>19714</v>
      </c>
      <c r="J99" s="308">
        <f>'Monthly D5 Gallon Data'!$C111</f>
        <v>23177377</v>
      </c>
      <c r="K99" s="308">
        <f>'Monthly D5 Gallon Data'!$C123</f>
        <v>21228729</v>
      </c>
      <c r="L99" s="308">
        <f>'Monthly D5 Gallon Data'!$C135</f>
        <v>25454380</v>
      </c>
      <c r="M99" s="308">
        <f>'Monthly D5 Gallon Data'!$C147</f>
        <v>0</v>
      </c>
      <c r="N99" s="308">
        <f>'Monthly D5 Gallon Data'!$C159</f>
        <v>11746584</v>
      </c>
      <c r="O99" s="308">
        <f>'Monthly D5 Gallon Data'!$C171</f>
        <v>0</v>
      </c>
      <c r="P99" s="308">
        <f>'Monthly D5 Gallon Data'!$C183</f>
        <v>0</v>
      </c>
      <c r="Q99" s="307">
        <v>0</v>
      </c>
      <c r="R99" s="307">
        <v>0</v>
      </c>
      <c r="S99" s="307">
        <v>0</v>
      </c>
      <c r="T99" s="307">
        <v>0</v>
      </c>
      <c r="U99" s="307">
        <v>0</v>
      </c>
      <c r="V99" s="307">
        <v>0</v>
      </c>
      <c r="W99" s="307">
        <v>0</v>
      </c>
      <c r="X99" s="307">
        <v>0</v>
      </c>
      <c r="Y99" s="307">
        <v>0</v>
      </c>
      <c r="Z99" s="307">
        <v>0</v>
      </c>
      <c r="AA99" s="307">
        <v>0</v>
      </c>
      <c r="AB99" s="307">
        <v>0</v>
      </c>
      <c r="AC99" s="307">
        <v>0</v>
      </c>
      <c r="AD99" s="307">
        <v>0</v>
      </c>
      <c r="AE99" s="307">
        <v>0</v>
      </c>
      <c r="AF99" s="307">
        <v>0</v>
      </c>
      <c r="AG99" s="307">
        <v>0</v>
      </c>
      <c r="AH99" s="307">
        <v>0</v>
      </c>
      <c r="AI99" s="307">
        <v>0</v>
      </c>
      <c r="AJ99" s="307">
        <v>0</v>
      </c>
      <c r="AK99" s="307">
        <v>0</v>
      </c>
      <c r="AL99" s="307">
        <v>0</v>
      </c>
      <c r="AM99" s="307">
        <v>0</v>
      </c>
      <c r="AN99" s="307">
        <v>0</v>
      </c>
      <c r="AO99" s="307">
        <v>0</v>
      </c>
      <c r="AP99" s="307">
        <v>0</v>
      </c>
      <c r="AR99" s="308">
        <v>23016734.57403636</v>
      </c>
      <c r="AS99" s="308">
        <f t="shared" si="169"/>
        <v>2437645.4259636402</v>
      </c>
      <c r="AT99" s="308">
        <v>10209007.629113838</v>
      </c>
      <c r="AU99" s="308">
        <f t="shared" si="170"/>
        <v>-10209007.629113838</v>
      </c>
      <c r="AV99" s="308">
        <v>2584074.7901248187</v>
      </c>
      <c r="AW99" s="308">
        <f t="shared" si="171"/>
        <v>9162509.2098751813</v>
      </c>
      <c r="AX99" s="309">
        <v>18854217.835412018</v>
      </c>
      <c r="AY99" s="308">
        <f t="shared" si="172"/>
        <v>-18854217.835412018</v>
      </c>
      <c r="AZ99" s="309">
        <v>0</v>
      </c>
      <c r="BA99" s="308">
        <f t="shared" si="173"/>
        <v>0</v>
      </c>
      <c r="BB99" s="331">
        <v>0</v>
      </c>
      <c r="BC99" s="308">
        <f t="shared" si="174"/>
        <v>0</v>
      </c>
    </row>
    <row r="100" spans="1:55" ht="12" thickBot="1">
      <c r="A100" s="301" t="s">
        <v>29</v>
      </c>
      <c r="B100" s="308">
        <f t="shared" ref="B100:AP100" si="175">SUM(B88:B99)</f>
        <v>0</v>
      </c>
      <c r="C100" s="308">
        <f t="shared" si="175"/>
        <v>172425788</v>
      </c>
      <c r="D100" s="308">
        <f t="shared" si="175"/>
        <v>575793102</v>
      </c>
      <c r="E100" s="308">
        <f t="shared" si="175"/>
        <v>435313268</v>
      </c>
      <c r="F100" s="308">
        <f t="shared" si="175"/>
        <v>64474655</v>
      </c>
      <c r="G100" s="308">
        <f t="shared" si="175"/>
        <v>88954450</v>
      </c>
      <c r="H100" s="308">
        <f t="shared" si="175"/>
        <v>34404034</v>
      </c>
      <c r="I100" s="308">
        <f t="shared" si="175"/>
        <v>73889090</v>
      </c>
      <c r="J100" s="308">
        <f t="shared" si="175"/>
        <v>77668319</v>
      </c>
      <c r="K100" s="308">
        <f t="shared" si="175"/>
        <v>195603169</v>
      </c>
      <c r="L100" s="308">
        <f t="shared" si="175"/>
        <v>185186372</v>
      </c>
      <c r="M100" s="308">
        <f t="shared" si="175"/>
        <v>59514391</v>
      </c>
      <c r="N100" s="308">
        <f t="shared" si="175"/>
        <v>80546883</v>
      </c>
      <c r="O100" s="308">
        <f t="shared" si="175"/>
        <v>21239003</v>
      </c>
      <c r="P100" s="308">
        <f t="shared" si="175"/>
        <v>0</v>
      </c>
      <c r="Q100" s="307">
        <f t="shared" si="175"/>
        <v>0</v>
      </c>
      <c r="R100" s="307">
        <f t="shared" si="175"/>
        <v>0</v>
      </c>
      <c r="S100" s="307">
        <f t="shared" si="175"/>
        <v>0</v>
      </c>
      <c r="T100" s="307">
        <f t="shared" si="175"/>
        <v>0</v>
      </c>
      <c r="U100" s="307">
        <f t="shared" si="175"/>
        <v>0</v>
      </c>
      <c r="V100" s="307">
        <f t="shared" si="175"/>
        <v>0</v>
      </c>
      <c r="W100" s="307">
        <f t="shared" si="175"/>
        <v>0</v>
      </c>
      <c r="X100" s="307">
        <f t="shared" si="175"/>
        <v>0</v>
      </c>
      <c r="Y100" s="307">
        <f t="shared" si="175"/>
        <v>0</v>
      </c>
      <c r="Z100" s="307">
        <f t="shared" si="175"/>
        <v>0</v>
      </c>
      <c r="AA100" s="307">
        <f t="shared" si="175"/>
        <v>0</v>
      </c>
      <c r="AB100" s="307">
        <f t="shared" si="175"/>
        <v>0</v>
      </c>
      <c r="AC100" s="307">
        <f t="shared" si="175"/>
        <v>0</v>
      </c>
      <c r="AD100" s="307">
        <f t="shared" si="175"/>
        <v>0</v>
      </c>
      <c r="AE100" s="307">
        <f t="shared" si="175"/>
        <v>0</v>
      </c>
      <c r="AF100" s="307">
        <f t="shared" si="175"/>
        <v>0</v>
      </c>
      <c r="AG100" s="307">
        <f t="shared" si="175"/>
        <v>0</v>
      </c>
      <c r="AH100" s="307">
        <f t="shared" si="175"/>
        <v>0</v>
      </c>
      <c r="AI100" s="307">
        <f t="shared" si="175"/>
        <v>0</v>
      </c>
      <c r="AJ100" s="307">
        <f t="shared" si="175"/>
        <v>0</v>
      </c>
      <c r="AK100" s="307">
        <f t="shared" si="175"/>
        <v>0</v>
      </c>
      <c r="AL100" s="307">
        <f t="shared" si="175"/>
        <v>0</v>
      </c>
      <c r="AM100" s="307">
        <f t="shared" si="175"/>
        <v>0</v>
      </c>
      <c r="AN100" s="307">
        <f t="shared" si="175"/>
        <v>0</v>
      </c>
      <c r="AO100" s="307">
        <f t="shared" si="175"/>
        <v>0</v>
      </c>
      <c r="AP100" s="307">
        <f t="shared" si="175"/>
        <v>0</v>
      </c>
      <c r="AR100" s="308">
        <v>182748726.57403636</v>
      </c>
      <c r="AS100" s="308">
        <f t="shared" si="169"/>
        <v>2437645.4259636402</v>
      </c>
      <c r="AT100" s="308">
        <v>69723398.629113838</v>
      </c>
      <c r="AU100" s="308">
        <f t="shared" si="170"/>
        <v>-10209007.629113838</v>
      </c>
      <c r="AV100" s="308">
        <v>71384373.790124819</v>
      </c>
      <c r="AW100" s="308">
        <f t="shared" si="171"/>
        <v>9162509.2098751813</v>
      </c>
      <c r="AX100" s="309">
        <v>59211470.111563973</v>
      </c>
      <c r="AY100" s="308">
        <f t="shared" si="172"/>
        <v>-37972467.111563973</v>
      </c>
      <c r="AZ100" s="309">
        <v>0</v>
      </c>
      <c r="BA100" s="308">
        <f t="shared" si="173"/>
        <v>0</v>
      </c>
      <c r="BB100" s="331">
        <v>0</v>
      </c>
      <c r="BC100" s="308">
        <f t="shared" si="174"/>
        <v>0</v>
      </c>
    </row>
    <row r="101" spans="1:55">
      <c r="A101" s="334"/>
      <c r="B101" s="334"/>
      <c r="C101" s="334"/>
      <c r="D101" s="334"/>
      <c r="E101" s="334"/>
      <c r="F101" s="334"/>
      <c r="G101" s="334"/>
      <c r="H101" s="334"/>
      <c r="I101" s="334"/>
      <c r="J101" s="334"/>
      <c r="K101" s="334"/>
      <c r="L101" s="334"/>
      <c r="M101" s="334"/>
      <c r="N101" s="334"/>
      <c r="O101" s="334"/>
      <c r="P101" s="334"/>
      <c r="Q101" s="334"/>
      <c r="R101" s="334"/>
      <c r="S101" s="334"/>
      <c r="T101" s="334"/>
      <c r="U101" s="334"/>
      <c r="V101" s="334"/>
      <c r="W101" s="334"/>
      <c r="X101" s="334"/>
      <c r="Y101" s="334"/>
      <c r="Z101" s="334"/>
      <c r="AA101" s="334"/>
      <c r="AB101" s="334"/>
      <c r="AC101" s="334"/>
      <c r="AD101" s="334"/>
      <c r="AE101" s="334"/>
      <c r="AF101" s="334"/>
      <c r="AG101" s="334"/>
      <c r="AH101" s="334"/>
      <c r="AI101" s="334"/>
      <c r="AJ101" s="334"/>
      <c r="AK101" s="334"/>
      <c r="AL101" s="334"/>
      <c r="AM101" s="334"/>
      <c r="AN101" s="334"/>
      <c r="AO101" s="334"/>
      <c r="AP101" s="334"/>
      <c r="AT101" s="309"/>
    </row>
    <row r="102" spans="1:55" ht="12" thickBot="1">
      <c r="A102" s="300" t="s">
        <v>436</v>
      </c>
      <c r="AT102" s="309"/>
    </row>
    <row r="103" spans="1:55" ht="12" thickBot="1">
      <c r="A103" s="328"/>
      <c r="B103" s="329">
        <f t="shared" ref="B103:AP103" si="176">B2</f>
        <v>2010</v>
      </c>
      <c r="C103" s="329">
        <f t="shared" si="176"/>
        <v>2011</v>
      </c>
      <c r="D103" s="329">
        <f t="shared" si="176"/>
        <v>2012</v>
      </c>
      <c r="E103" s="329">
        <f t="shared" si="176"/>
        <v>2013</v>
      </c>
      <c r="F103" s="329">
        <f t="shared" si="176"/>
        <v>2014</v>
      </c>
      <c r="G103" s="329">
        <f t="shared" si="176"/>
        <v>2015</v>
      </c>
      <c r="H103" s="329">
        <f t="shared" si="176"/>
        <v>2016</v>
      </c>
      <c r="I103" s="329">
        <f t="shared" si="176"/>
        <v>2017</v>
      </c>
      <c r="J103" s="329">
        <f t="shared" si="176"/>
        <v>2018</v>
      </c>
      <c r="K103" s="329">
        <f t="shared" si="176"/>
        <v>2019</v>
      </c>
      <c r="L103" s="329">
        <f t="shared" si="176"/>
        <v>2020</v>
      </c>
      <c r="M103" s="329">
        <f t="shared" si="176"/>
        <v>2021</v>
      </c>
      <c r="N103" s="329">
        <f t="shared" si="176"/>
        <v>2022</v>
      </c>
      <c r="O103" s="329">
        <f t="shared" si="176"/>
        <v>2023</v>
      </c>
      <c r="P103" s="329">
        <f t="shared" si="176"/>
        <v>2024</v>
      </c>
      <c r="Q103" s="329">
        <f t="shared" si="176"/>
        <v>2025</v>
      </c>
      <c r="R103" s="329">
        <f t="shared" si="176"/>
        <v>2026</v>
      </c>
      <c r="S103" s="329">
        <f t="shared" si="176"/>
        <v>2027</v>
      </c>
      <c r="T103" s="329">
        <f t="shared" si="176"/>
        <v>2028</v>
      </c>
      <c r="U103" s="329">
        <f t="shared" si="176"/>
        <v>2029</v>
      </c>
      <c r="V103" s="329">
        <f t="shared" si="176"/>
        <v>2030</v>
      </c>
      <c r="W103" s="329">
        <f t="shared" si="176"/>
        <v>2031</v>
      </c>
      <c r="X103" s="329">
        <f t="shared" si="176"/>
        <v>2032</v>
      </c>
      <c r="Y103" s="329">
        <f t="shared" si="176"/>
        <v>2033</v>
      </c>
      <c r="Z103" s="329">
        <f t="shared" si="176"/>
        <v>2034</v>
      </c>
      <c r="AA103" s="329">
        <f t="shared" si="176"/>
        <v>2035</v>
      </c>
      <c r="AB103" s="329">
        <f t="shared" si="176"/>
        <v>2036</v>
      </c>
      <c r="AC103" s="329">
        <f t="shared" si="176"/>
        <v>2037</v>
      </c>
      <c r="AD103" s="329">
        <f t="shared" si="176"/>
        <v>2038</v>
      </c>
      <c r="AE103" s="329">
        <f t="shared" si="176"/>
        <v>2039</v>
      </c>
      <c r="AF103" s="329">
        <f t="shared" si="176"/>
        <v>2040</v>
      </c>
      <c r="AG103" s="329">
        <f t="shared" si="176"/>
        <v>2041</v>
      </c>
      <c r="AH103" s="329">
        <f t="shared" si="176"/>
        <v>2042</v>
      </c>
      <c r="AI103" s="329">
        <f t="shared" si="176"/>
        <v>2043</v>
      </c>
      <c r="AJ103" s="329">
        <f t="shared" si="176"/>
        <v>2044</v>
      </c>
      <c r="AK103" s="329">
        <f t="shared" si="176"/>
        <v>2045</v>
      </c>
      <c r="AL103" s="329">
        <f t="shared" si="176"/>
        <v>2046</v>
      </c>
      <c r="AM103" s="329">
        <f t="shared" si="176"/>
        <v>2047</v>
      </c>
      <c r="AN103" s="329">
        <f t="shared" si="176"/>
        <v>2048</v>
      </c>
      <c r="AO103" s="329">
        <f t="shared" si="176"/>
        <v>2049</v>
      </c>
      <c r="AP103" s="329">
        <f t="shared" si="176"/>
        <v>2050</v>
      </c>
      <c r="AT103" s="309"/>
    </row>
    <row r="104" spans="1:55">
      <c r="A104" s="301" t="s">
        <v>43</v>
      </c>
      <c r="B104" s="308">
        <f t="shared" ref="B104:AP110" si="177">B120+B168</f>
        <v>0</v>
      </c>
      <c r="C104" s="308">
        <f t="shared" si="177"/>
        <v>2275133</v>
      </c>
      <c r="D104" s="308">
        <f t="shared" si="177"/>
        <v>512733</v>
      </c>
      <c r="E104" s="308">
        <f t="shared" si="177"/>
        <v>403778</v>
      </c>
      <c r="F104" s="308">
        <f t="shared" si="177"/>
        <v>234258</v>
      </c>
      <c r="G104" s="308">
        <f t="shared" si="177"/>
        <v>166050</v>
      </c>
      <c r="H104" s="308">
        <f t="shared" si="177"/>
        <v>235311</v>
      </c>
      <c r="I104" s="308">
        <f t="shared" si="177"/>
        <v>449601</v>
      </c>
      <c r="J104" s="308">
        <f t="shared" si="177"/>
        <v>321773</v>
      </c>
      <c r="K104" s="308">
        <f t="shared" si="177"/>
        <v>2981550</v>
      </c>
      <c r="L104" s="308">
        <f t="shared" si="177"/>
        <v>4025292</v>
      </c>
      <c r="M104" s="308">
        <f t="shared" si="177"/>
        <v>8703348</v>
      </c>
      <c r="N104" s="308">
        <f t="shared" si="177"/>
        <v>4020554</v>
      </c>
      <c r="O104" s="308">
        <f t="shared" si="177"/>
        <v>3658476</v>
      </c>
      <c r="P104" s="308">
        <f t="shared" si="177"/>
        <v>5200778</v>
      </c>
      <c r="Q104" s="308">
        <f t="shared" si="177"/>
        <v>5416008</v>
      </c>
      <c r="R104" s="307">
        <f t="shared" si="177"/>
        <v>5937533.8844495649</v>
      </c>
      <c r="S104" s="307">
        <f t="shared" si="177"/>
        <v>6214707.3119492158</v>
      </c>
      <c r="T104" s="307">
        <f t="shared" si="177"/>
        <v>6809707.318395297</v>
      </c>
      <c r="U104" s="307">
        <f t="shared" si="177"/>
        <v>7705781.8718978278</v>
      </c>
      <c r="V104" s="307">
        <f t="shared" si="177"/>
        <v>8221829.8078431087</v>
      </c>
      <c r="W104" s="307">
        <f t="shared" si="177"/>
        <v>8373344.3202624619</v>
      </c>
      <c r="X104" s="307">
        <f t="shared" si="177"/>
        <v>9400006.6353150103</v>
      </c>
      <c r="Y104" s="307">
        <f t="shared" si="177"/>
        <v>9750870.210260829</v>
      </c>
      <c r="Z104" s="307">
        <f t="shared" si="177"/>
        <v>10270938.943144886</v>
      </c>
      <c r="AA104" s="307">
        <f t="shared" si="177"/>
        <v>10853958.908365149</v>
      </c>
      <c r="AB104" s="307">
        <f t="shared" si="177"/>
        <v>10583586.781363338</v>
      </c>
      <c r="AC104" s="307">
        <f t="shared" si="177"/>
        <v>11443625.784014061</v>
      </c>
      <c r="AD104" s="307">
        <f t="shared" si="177"/>
        <v>12641580.616318449</v>
      </c>
      <c r="AE104" s="307">
        <f t="shared" si="177"/>
        <v>13811853.323497228</v>
      </c>
      <c r="AF104" s="307">
        <f t="shared" si="177"/>
        <v>13794033.974486617</v>
      </c>
      <c r="AG104" s="307">
        <f t="shared" si="177"/>
        <v>13840996.832624484</v>
      </c>
      <c r="AH104" s="307">
        <f t="shared" si="177"/>
        <v>14544871.159587309</v>
      </c>
      <c r="AI104" s="307">
        <f t="shared" si="177"/>
        <v>15707792.551286601</v>
      </c>
      <c r="AJ104" s="307">
        <f t="shared" si="177"/>
        <v>16099231.31321382</v>
      </c>
      <c r="AK104" s="307">
        <f t="shared" si="177"/>
        <v>16066784.200494088</v>
      </c>
      <c r="AL104" s="307">
        <f t="shared" si="177"/>
        <v>15994169.829607673</v>
      </c>
      <c r="AM104" s="307">
        <f t="shared" si="177"/>
        <v>15720770.112049596</v>
      </c>
      <c r="AN104" s="307">
        <f t="shared" si="177"/>
        <v>16322664.884684358</v>
      </c>
      <c r="AO104" s="307">
        <f t="shared" si="177"/>
        <v>16911485.1891094</v>
      </c>
      <c r="AP104" s="307">
        <f t="shared" si="177"/>
        <v>17062823.486536875</v>
      </c>
      <c r="AR104" s="308">
        <v>2343026.8431317476</v>
      </c>
      <c r="AS104" s="308">
        <f t="shared" ref="AS104:AS116" si="178">L104-AR104</f>
        <v>1682265.1568682524</v>
      </c>
      <c r="AT104" s="308">
        <v>8754280.8630525693</v>
      </c>
      <c r="AU104" s="308">
        <f t="shared" ref="AU104:AU116" si="179">M104-AT104</f>
        <v>-50932.86305256933</v>
      </c>
      <c r="AV104" s="308">
        <v>7040732.6733118715</v>
      </c>
      <c r="AW104" s="308">
        <f t="shared" ref="AW104:AW116" si="180">N104-AV104</f>
        <v>-3020178.6733118715</v>
      </c>
      <c r="AX104" s="308">
        <v>8346201.1381376339</v>
      </c>
      <c r="AY104" s="308">
        <f t="shared" ref="AY104:AY116" si="181">O104-AX104</f>
        <v>-4687725.1381376339</v>
      </c>
      <c r="AZ104" s="308">
        <v>5200778</v>
      </c>
      <c r="BA104" s="308">
        <f t="shared" ref="BA104:BA116" si="182">P104-AZ104</f>
        <v>0</v>
      </c>
      <c r="BB104" s="331">
        <v>5416008</v>
      </c>
      <c r="BC104" s="308">
        <f t="shared" ref="BC104:BC116" si="183">Q104-BB104</f>
        <v>0</v>
      </c>
    </row>
    <row r="105" spans="1:55">
      <c r="A105" s="301" t="s">
        <v>44</v>
      </c>
      <c r="B105" s="308">
        <f t="shared" si="177"/>
        <v>0</v>
      </c>
      <c r="C105" s="308">
        <f t="shared" si="177"/>
        <v>725551</v>
      </c>
      <c r="D105" s="308">
        <f t="shared" si="177"/>
        <v>1722881</v>
      </c>
      <c r="E105" s="308">
        <f t="shared" si="177"/>
        <v>583120</v>
      </c>
      <c r="F105" s="308">
        <f t="shared" si="177"/>
        <v>523301</v>
      </c>
      <c r="G105" s="308">
        <f t="shared" si="177"/>
        <v>390698</v>
      </c>
      <c r="H105" s="308">
        <f t="shared" si="177"/>
        <v>302371</v>
      </c>
      <c r="I105" s="308">
        <f t="shared" si="177"/>
        <v>357500</v>
      </c>
      <c r="J105" s="308">
        <f t="shared" si="177"/>
        <v>1440235</v>
      </c>
      <c r="K105" s="308">
        <f t="shared" si="177"/>
        <v>2348092</v>
      </c>
      <c r="L105" s="308">
        <f t="shared" si="177"/>
        <v>3352809</v>
      </c>
      <c r="M105" s="308">
        <f t="shared" si="177"/>
        <v>4481922</v>
      </c>
      <c r="N105" s="308">
        <f t="shared" si="177"/>
        <v>4714822</v>
      </c>
      <c r="O105" s="308">
        <f t="shared" si="177"/>
        <v>2098580</v>
      </c>
      <c r="P105" s="308">
        <f t="shared" si="177"/>
        <v>3935204</v>
      </c>
      <c r="Q105" s="332">
        <f t="shared" si="177"/>
        <v>4635669</v>
      </c>
      <c r="R105" s="307">
        <f t="shared" si="177"/>
        <v>4368884.0825830866</v>
      </c>
      <c r="S105" s="307">
        <f t="shared" si="177"/>
        <v>5065750.4129629154</v>
      </c>
      <c r="T105" s="307">
        <f t="shared" si="177"/>
        <v>5180321.0742486808</v>
      </c>
      <c r="U105" s="307">
        <f t="shared" si="177"/>
        <v>6040317.1538219014</v>
      </c>
      <c r="V105" s="307">
        <f t="shared" si="177"/>
        <v>6481096.9353217538</v>
      </c>
      <c r="W105" s="307">
        <f t="shared" si="177"/>
        <v>6512611.9529533442</v>
      </c>
      <c r="X105" s="307">
        <f t="shared" si="177"/>
        <v>7373888.2269634949</v>
      </c>
      <c r="Y105" s="307">
        <f t="shared" si="177"/>
        <v>7603250.7819719575</v>
      </c>
      <c r="Z105" s="307">
        <f t="shared" si="177"/>
        <v>8039398.4959352035</v>
      </c>
      <c r="AA105" s="307">
        <f t="shared" si="177"/>
        <v>8493683.2100004666</v>
      </c>
      <c r="AB105" s="307">
        <f t="shared" si="177"/>
        <v>8271844.5337041849</v>
      </c>
      <c r="AC105" s="307">
        <f t="shared" si="177"/>
        <v>8951175.4451111443</v>
      </c>
      <c r="AD105" s="307">
        <f t="shared" si="177"/>
        <v>9883140.4629495945</v>
      </c>
      <c r="AE105" s="307">
        <f t="shared" si="177"/>
        <v>10802992.247526623</v>
      </c>
      <c r="AF105" s="307">
        <f t="shared" si="177"/>
        <v>10787672.563861012</v>
      </c>
      <c r="AG105" s="307">
        <f t="shared" si="177"/>
        <v>10823220.59135548</v>
      </c>
      <c r="AH105" s="307">
        <f t="shared" si="177"/>
        <v>11374556.788697243</v>
      </c>
      <c r="AI105" s="307">
        <f t="shared" si="177"/>
        <v>12283565.633218382</v>
      </c>
      <c r="AJ105" s="307">
        <f t="shared" si="177"/>
        <v>12590263.834875172</v>
      </c>
      <c r="AK105" s="307">
        <f t="shared" si="177"/>
        <v>12564551.721336858</v>
      </c>
      <c r="AL105" s="307">
        <f t="shared" si="177"/>
        <v>12507669.812683295</v>
      </c>
      <c r="AM105" s="307">
        <f t="shared" si="177"/>
        <v>12293995.05104439</v>
      </c>
      <c r="AN105" s="307">
        <f t="shared" si="177"/>
        <v>12764661.331877131</v>
      </c>
      <c r="AO105" s="307">
        <f t="shared" si="177"/>
        <v>13225184.290717352</v>
      </c>
      <c r="AP105" s="307">
        <f t="shared" si="177"/>
        <v>13343475.173394755</v>
      </c>
      <c r="AR105" s="308">
        <v>2529455.2746209004</v>
      </c>
      <c r="AS105" s="308">
        <f t="shared" si="178"/>
        <v>823353.7253790996</v>
      </c>
      <c r="AT105" s="308">
        <v>8557299.7294904143</v>
      </c>
      <c r="AU105" s="308">
        <f t="shared" si="179"/>
        <v>-4075377.7294904143</v>
      </c>
      <c r="AV105" s="308">
        <v>4582717.2045150427</v>
      </c>
      <c r="AW105" s="308">
        <f t="shared" si="180"/>
        <v>132104.79548495729</v>
      </c>
      <c r="AX105" s="308">
        <v>6800105.5753128696</v>
      </c>
      <c r="AY105" s="308">
        <f t="shared" si="181"/>
        <v>-4701525.5753128696</v>
      </c>
      <c r="AZ105" s="308">
        <v>3935204</v>
      </c>
      <c r="BA105" s="308">
        <f t="shared" si="182"/>
        <v>0</v>
      </c>
      <c r="BB105" s="331">
        <v>4635669</v>
      </c>
      <c r="BC105" s="308">
        <f t="shared" si="183"/>
        <v>0</v>
      </c>
    </row>
    <row r="106" spans="1:55">
      <c r="A106" s="301" t="s">
        <v>45</v>
      </c>
      <c r="B106" s="308">
        <f t="shared" si="177"/>
        <v>0</v>
      </c>
      <c r="C106" s="308">
        <f t="shared" si="177"/>
        <v>765014</v>
      </c>
      <c r="D106" s="308">
        <f t="shared" si="177"/>
        <v>649714</v>
      </c>
      <c r="E106" s="308">
        <f t="shared" si="177"/>
        <v>694466</v>
      </c>
      <c r="F106" s="308">
        <f t="shared" si="177"/>
        <v>738516</v>
      </c>
      <c r="G106" s="308">
        <f t="shared" si="177"/>
        <v>701443</v>
      </c>
      <c r="H106" s="308">
        <f t="shared" si="177"/>
        <v>453723</v>
      </c>
      <c r="I106" s="308">
        <f t="shared" si="177"/>
        <v>457937</v>
      </c>
      <c r="J106" s="308">
        <f t="shared" si="177"/>
        <v>2271977</v>
      </c>
      <c r="K106" s="308">
        <f t="shared" si="177"/>
        <v>2875234</v>
      </c>
      <c r="L106" s="308">
        <f t="shared" si="177"/>
        <v>3562685</v>
      </c>
      <c r="M106" s="308">
        <f t="shared" si="177"/>
        <v>4066092</v>
      </c>
      <c r="N106" s="308">
        <f t="shared" si="177"/>
        <v>4778660</v>
      </c>
      <c r="O106" s="308">
        <f t="shared" si="177"/>
        <v>9786748</v>
      </c>
      <c r="P106" s="308">
        <f t="shared" si="177"/>
        <v>5284964</v>
      </c>
      <c r="Q106" s="332">
        <f t="shared" si="177"/>
        <v>6570323</v>
      </c>
      <c r="R106" s="307">
        <f t="shared" si="177"/>
        <v>6704516.1413329868</v>
      </c>
      <c r="S106" s="307">
        <f t="shared" si="177"/>
        <v>8495048.8839351721</v>
      </c>
      <c r="T106" s="307">
        <f t="shared" si="177"/>
        <v>9493159.8891130928</v>
      </c>
      <c r="U106" s="307">
        <f t="shared" si="177"/>
        <v>9521401.5164470449</v>
      </c>
      <c r="V106" s="307">
        <f t="shared" si="177"/>
        <v>10451487.852984844</v>
      </c>
      <c r="W106" s="307">
        <f t="shared" si="177"/>
        <v>10719555.236267576</v>
      </c>
      <c r="X106" s="307">
        <f t="shared" si="177"/>
        <v>12259716.569288185</v>
      </c>
      <c r="Y106" s="307">
        <f t="shared" si="177"/>
        <v>12623526.577462206</v>
      </c>
      <c r="Z106" s="307">
        <f t="shared" si="177"/>
        <v>13136718.482216381</v>
      </c>
      <c r="AA106" s="307">
        <f t="shared" si="177"/>
        <v>13961294.168036874</v>
      </c>
      <c r="AB106" s="307">
        <f t="shared" si="177"/>
        <v>13640523.98555973</v>
      </c>
      <c r="AC106" s="307">
        <f t="shared" si="177"/>
        <v>14765248.113286629</v>
      </c>
      <c r="AD106" s="307">
        <f t="shared" si="177"/>
        <v>16279553.403193215</v>
      </c>
      <c r="AE106" s="307">
        <f t="shared" si="177"/>
        <v>17770126.321995769</v>
      </c>
      <c r="AF106" s="307">
        <f t="shared" si="177"/>
        <v>17765268.397546172</v>
      </c>
      <c r="AG106" s="307">
        <f t="shared" si="177"/>
        <v>17829633.583749469</v>
      </c>
      <c r="AH106" s="307">
        <f t="shared" si="177"/>
        <v>18734792.2122459</v>
      </c>
      <c r="AI106" s="307">
        <f t="shared" si="177"/>
        <v>20226976.48295787</v>
      </c>
      <c r="AJ106" s="307">
        <f t="shared" si="177"/>
        <v>20730820.570488285</v>
      </c>
      <c r="AK106" s="307">
        <f t="shared" si="177"/>
        <v>20692352.624093533</v>
      </c>
      <c r="AL106" s="307">
        <f t="shared" si="177"/>
        <v>20598836.516013481</v>
      </c>
      <c r="AM106" s="307">
        <f t="shared" si="177"/>
        <v>20245951.83713587</v>
      </c>
      <c r="AN106" s="307">
        <f t="shared" si="177"/>
        <v>21020440.297812</v>
      </c>
      <c r="AO106" s="307">
        <f t="shared" si="177"/>
        <v>21779070.204209246</v>
      </c>
      <c r="AP106" s="307">
        <f t="shared" si="177"/>
        <v>21974432.598501984</v>
      </c>
      <c r="AR106" s="308">
        <v>2789878.1977596665</v>
      </c>
      <c r="AS106" s="308">
        <f t="shared" si="178"/>
        <v>772806.80224033352</v>
      </c>
      <c r="AT106" s="308">
        <v>7728121.1598985614</v>
      </c>
      <c r="AU106" s="308">
        <f t="shared" si="179"/>
        <v>-3662029.1598985614</v>
      </c>
      <c r="AV106" s="308">
        <v>5407874.4892292265</v>
      </c>
      <c r="AW106" s="308">
        <f t="shared" si="180"/>
        <v>-629214.48922922648</v>
      </c>
      <c r="AX106" s="308">
        <v>4883563.0796355866</v>
      </c>
      <c r="AY106" s="308">
        <f t="shared" si="181"/>
        <v>4903184.9203644134</v>
      </c>
      <c r="AZ106" s="308">
        <v>5284964</v>
      </c>
      <c r="BA106" s="308">
        <f t="shared" si="182"/>
        <v>0</v>
      </c>
      <c r="BB106" s="331">
        <v>3491443.005686942</v>
      </c>
      <c r="BC106" s="308">
        <f t="shared" si="183"/>
        <v>3078879.994313058</v>
      </c>
    </row>
    <row r="107" spans="1:55">
      <c r="A107" s="301" t="s">
        <v>46</v>
      </c>
      <c r="B107" s="308">
        <f t="shared" si="177"/>
        <v>0</v>
      </c>
      <c r="C107" s="308">
        <f t="shared" si="177"/>
        <v>279648</v>
      </c>
      <c r="D107" s="308">
        <f t="shared" si="177"/>
        <v>370302</v>
      </c>
      <c r="E107" s="308">
        <f t="shared" si="177"/>
        <v>649996</v>
      </c>
      <c r="F107" s="308">
        <f t="shared" si="177"/>
        <v>918911</v>
      </c>
      <c r="G107" s="308">
        <f t="shared" si="177"/>
        <v>558072</v>
      </c>
      <c r="H107" s="308">
        <f t="shared" si="177"/>
        <v>390974</v>
      </c>
      <c r="I107" s="308">
        <f t="shared" si="177"/>
        <v>335064</v>
      </c>
      <c r="J107" s="308">
        <f t="shared" si="177"/>
        <v>1030741</v>
      </c>
      <c r="K107" s="308">
        <f t="shared" si="177"/>
        <v>2995674</v>
      </c>
      <c r="L107" s="308">
        <f t="shared" si="177"/>
        <v>3082235</v>
      </c>
      <c r="M107" s="308">
        <f t="shared" si="177"/>
        <v>3055962</v>
      </c>
      <c r="N107" s="308">
        <f t="shared" si="177"/>
        <v>5292420</v>
      </c>
      <c r="O107" s="308">
        <f t="shared" si="177"/>
        <v>4886807</v>
      </c>
      <c r="P107" s="308">
        <f t="shared" si="177"/>
        <v>3922034</v>
      </c>
      <c r="Q107" s="307">
        <f t="shared" si="177"/>
        <v>3804545.0782076744</v>
      </c>
      <c r="R107" s="307">
        <f t="shared" si="177"/>
        <v>4609817.1129421378</v>
      </c>
      <c r="S107" s="307">
        <f t="shared" si="177"/>
        <v>5774191.7129221698</v>
      </c>
      <c r="T107" s="307">
        <f t="shared" si="177"/>
        <v>5925854.1080651917</v>
      </c>
      <c r="U107" s="307">
        <f t="shared" si="177"/>
        <v>6261916.9535265518</v>
      </c>
      <c r="V107" s="307">
        <f t="shared" si="177"/>
        <v>6759238.9705435019</v>
      </c>
      <c r="W107" s="307">
        <f t="shared" si="177"/>
        <v>7039318.3173633562</v>
      </c>
      <c r="X107" s="307">
        <f t="shared" si="177"/>
        <v>7998556.86054652</v>
      </c>
      <c r="Y107" s="307">
        <f t="shared" si="177"/>
        <v>8180121.5623535784</v>
      </c>
      <c r="Z107" s="307">
        <f t="shared" si="177"/>
        <v>8566039.6809830815</v>
      </c>
      <c r="AA107" s="307">
        <f t="shared" si="177"/>
        <v>9091144.9891102128</v>
      </c>
      <c r="AB107" s="307">
        <f t="shared" si="177"/>
        <v>8892371.2987734117</v>
      </c>
      <c r="AC107" s="307">
        <f t="shared" si="177"/>
        <v>9614079.1110444833</v>
      </c>
      <c r="AD107" s="307">
        <f t="shared" si="177"/>
        <v>10596287.161482276</v>
      </c>
      <c r="AE107" s="307">
        <f t="shared" si="177"/>
        <v>11575523.602335015</v>
      </c>
      <c r="AF107" s="307">
        <f t="shared" si="177"/>
        <v>11570328.558080548</v>
      </c>
      <c r="AG107" s="307">
        <f t="shared" si="177"/>
        <v>11612625.860388728</v>
      </c>
      <c r="AH107" s="307">
        <f t="shared" si="177"/>
        <v>12200354.842341354</v>
      </c>
      <c r="AI107" s="307">
        <f t="shared" si="177"/>
        <v>13172372.778771644</v>
      </c>
      <c r="AJ107" s="307">
        <f t="shared" si="177"/>
        <v>13501705.6301654</v>
      </c>
      <c r="AK107" s="307">
        <f t="shared" si="177"/>
        <v>13476200.619701881</v>
      </c>
      <c r="AL107" s="307">
        <f t="shared" si="177"/>
        <v>13415205.67477086</v>
      </c>
      <c r="AM107" s="307">
        <f t="shared" si="177"/>
        <v>13185206.980684943</v>
      </c>
      <c r="AN107" s="307">
        <f t="shared" si="177"/>
        <v>13689738.794349477</v>
      </c>
      <c r="AO107" s="307">
        <f t="shared" si="177"/>
        <v>14183932.803343907</v>
      </c>
      <c r="AP107" s="307">
        <f t="shared" si="177"/>
        <v>14311068.390806342</v>
      </c>
      <c r="AR107" s="308">
        <v>4857985.8844629731</v>
      </c>
      <c r="AS107" s="308">
        <f t="shared" si="178"/>
        <v>-1775750.8844629731</v>
      </c>
      <c r="AT107" s="308">
        <v>7759262.0680446438</v>
      </c>
      <c r="AU107" s="308">
        <f t="shared" si="179"/>
        <v>-4703300.0680446438</v>
      </c>
      <c r="AV107" s="308">
        <v>3847959.5529740918</v>
      </c>
      <c r="AW107" s="308">
        <f t="shared" si="180"/>
        <v>1444460.4470259082</v>
      </c>
      <c r="AX107" s="308">
        <v>4373294.5190790175</v>
      </c>
      <c r="AY107" s="308">
        <f t="shared" si="181"/>
        <v>513512.48092098255</v>
      </c>
      <c r="AZ107" s="308">
        <v>3922034</v>
      </c>
      <c r="BA107" s="308">
        <f t="shared" si="182"/>
        <v>0</v>
      </c>
      <c r="BB107" s="331">
        <v>2571583.0600501718</v>
      </c>
      <c r="BC107" s="308">
        <f t="shared" si="183"/>
        <v>1232962.0181575026</v>
      </c>
    </row>
    <row r="108" spans="1:55">
      <c r="A108" s="301" t="s">
        <v>47</v>
      </c>
      <c r="B108" s="308">
        <f t="shared" si="177"/>
        <v>0</v>
      </c>
      <c r="C108" s="308">
        <f t="shared" si="177"/>
        <v>4380619</v>
      </c>
      <c r="D108" s="308">
        <f t="shared" si="177"/>
        <v>408502</v>
      </c>
      <c r="E108" s="308">
        <f t="shared" si="177"/>
        <v>1825728</v>
      </c>
      <c r="F108" s="308">
        <f t="shared" si="177"/>
        <v>761660</v>
      </c>
      <c r="G108" s="308">
        <f t="shared" si="177"/>
        <v>341069</v>
      </c>
      <c r="H108" s="308">
        <f t="shared" si="177"/>
        <v>309105</v>
      </c>
      <c r="I108" s="308">
        <f t="shared" si="177"/>
        <v>367344</v>
      </c>
      <c r="J108" s="308">
        <f t="shared" si="177"/>
        <v>430228</v>
      </c>
      <c r="K108" s="308">
        <f t="shared" si="177"/>
        <v>3468236</v>
      </c>
      <c r="L108" s="308">
        <f t="shared" si="177"/>
        <v>4256121</v>
      </c>
      <c r="M108" s="308">
        <f t="shared" si="177"/>
        <v>2229105</v>
      </c>
      <c r="N108" s="308">
        <f t="shared" si="177"/>
        <v>8683370</v>
      </c>
      <c r="O108" s="308">
        <f t="shared" si="177"/>
        <v>7140938</v>
      </c>
      <c r="P108" s="308">
        <f t="shared" si="177"/>
        <v>1427701</v>
      </c>
      <c r="Q108" s="307">
        <f t="shared" si="177"/>
        <v>4462045.4060335485</v>
      </c>
      <c r="R108" s="307">
        <f t="shared" si="177"/>
        <v>5265471.1928895842</v>
      </c>
      <c r="S108" s="307">
        <f t="shared" si="177"/>
        <v>6918971.409732407</v>
      </c>
      <c r="T108" s="307">
        <f t="shared" si="177"/>
        <v>6497308.2643882446</v>
      </c>
      <c r="U108" s="307">
        <f t="shared" si="177"/>
        <v>6401308.2830608003</v>
      </c>
      <c r="V108" s="307">
        <f t="shared" si="177"/>
        <v>7571275.4663272398</v>
      </c>
      <c r="W108" s="307">
        <f t="shared" si="177"/>
        <v>7836899.7994705858</v>
      </c>
      <c r="X108" s="307">
        <f t="shared" si="177"/>
        <v>8871242.3329781238</v>
      </c>
      <c r="Y108" s="307">
        <f t="shared" si="177"/>
        <v>8948708.724064244</v>
      </c>
      <c r="Z108" s="307">
        <f t="shared" si="177"/>
        <v>9367418.5076400824</v>
      </c>
      <c r="AA108" s="307">
        <f t="shared" si="177"/>
        <v>10046947.749192206</v>
      </c>
      <c r="AB108" s="307">
        <f t="shared" si="177"/>
        <v>9805216.359429935</v>
      </c>
      <c r="AC108" s="307">
        <f t="shared" si="177"/>
        <v>10584144.29052403</v>
      </c>
      <c r="AD108" s="307">
        <f t="shared" si="177"/>
        <v>11649775.456186704</v>
      </c>
      <c r="AE108" s="307">
        <f t="shared" si="177"/>
        <v>12737429.886017809</v>
      </c>
      <c r="AF108" s="307">
        <f t="shared" si="177"/>
        <v>12745301.091631114</v>
      </c>
      <c r="AG108" s="307">
        <f t="shared" si="177"/>
        <v>12784649.780309452</v>
      </c>
      <c r="AH108" s="307">
        <f t="shared" si="177"/>
        <v>13428285.496437877</v>
      </c>
      <c r="AI108" s="307">
        <f t="shared" si="177"/>
        <v>14497576.787099108</v>
      </c>
      <c r="AJ108" s="307">
        <f t="shared" si="177"/>
        <v>14862859.853075251</v>
      </c>
      <c r="AK108" s="307">
        <f t="shared" si="177"/>
        <v>14835883.012585936</v>
      </c>
      <c r="AL108" s="307">
        <f t="shared" si="177"/>
        <v>14767143.517288383</v>
      </c>
      <c r="AM108" s="307">
        <f t="shared" si="177"/>
        <v>14513616.741672307</v>
      </c>
      <c r="AN108" s="307">
        <f t="shared" si="177"/>
        <v>15069237.576195538</v>
      </c>
      <c r="AO108" s="307">
        <f t="shared" si="177"/>
        <v>15613686.46857398</v>
      </c>
      <c r="AP108" s="307">
        <f t="shared" si="177"/>
        <v>15753601.70262092</v>
      </c>
      <c r="AR108" s="308">
        <v>4497064.0152404737</v>
      </c>
      <c r="AS108" s="308">
        <f t="shared" si="178"/>
        <v>-240943.01524047367</v>
      </c>
      <c r="AT108" s="308">
        <v>6241349.6453472814</v>
      </c>
      <c r="AU108" s="308">
        <f t="shared" si="179"/>
        <v>-4012244.6453472814</v>
      </c>
      <c r="AV108" s="308">
        <v>5431273.9054309446</v>
      </c>
      <c r="AW108" s="308">
        <f t="shared" si="180"/>
        <v>3252096.0945690554</v>
      </c>
      <c r="AX108" s="308">
        <v>9696327.1191946939</v>
      </c>
      <c r="AY108" s="308">
        <f t="shared" si="181"/>
        <v>-2555389.1191946939</v>
      </c>
      <c r="AZ108" s="308">
        <v>1427701</v>
      </c>
      <c r="BA108" s="308">
        <f t="shared" si="182"/>
        <v>0</v>
      </c>
      <c r="BB108" s="331">
        <v>3016003.265424896</v>
      </c>
      <c r="BC108" s="308">
        <f t="shared" si="183"/>
        <v>1446042.1406086525</v>
      </c>
    </row>
    <row r="109" spans="1:55">
      <c r="A109" s="301" t="s">
        <v>48</v>
      </c>
      <c r="B109" s="308">
        <f t="shared" si="177"/>
        <v>0</v>
      </c>
      <c r="C109" s="308">
        <f t="shared" si="177"/>
        <v>820327</v>
      </c>
      <c r="D109" s="308">
        <f t="shared" si="177"/>
        <v>510434</v>
      </c>
      <c r="E109" s="308">
        <f t="shared" si="177"/>
        <v>5656316</v>
      </c>
      <c r="F109" s="308">
        <f t="shared" si="177"/>
        <v>776903</v>
      </c>
      <c r="G109" s="308">
        <f t="shared" si="177"/>
        <v>544047</v>
      </c>
      <c r="H109" s="308">
        <f t="shared" si="177"/>
        <v>526111</v>
      </c>
      <c r="I109" s="308">
        <f t="shared" si="177"/>
        <v>372167</v>
      </c>
      <c r="J109" s="308">
        <f t="shared" si="177"/>
        <v>930706</v>
      </c>
      <c r="K109" s="308">
        <f t="shared" si="177"/>
        <v>2475387</v>
      </c>
      <c r="L109" s="308">
        <f t="shared" si="177"/>
        <v>3353056</v>
      </c>
      <c r="M109" s="308">
        <f t="shared" si="177"/>
        <v>4201540</v>
      </c>
      <c r="N109" s="308">
        <f t="shared" si="177"/>
        <v>4577635</v>
      </c>
      <c r="O109" s="308">
        <f t="shared" si="177"/>
        <v>9795364</v>
      </c>
      <c r="P109" s="308">
        <f t="shared" si="177"/>
        <v>6189823</v>
      </c>
      <c r="Q109" s="307">
        <f t="shared" si="177"/>
        <v>5285417.4387381254</v>
      </c>
      <c r="R109" s="307">
        <f t="shared" si="177"/>
        <v>6608411.4173958665</v>
      </c>
      <c r="S109" s="307">
        <f t="shared" si="177"/>
        <v>8323594.8128836397</v>
      </c>
      <c r="T109" s="307">
        <f t="shared" si="177"/>
        <v>9328508.2962895669</v>
      </c>
      <c r="U109" s="307">
        <f t="shared" si="177"/>
        <v>9309794.25953863</v>
      </c>
      <c r="V109" s="307">
        <f t="shared" si="177"/>
        <v>9957230.1778068468</v>
      </c>
      <c r="W109" s="307">
        <f t="shared" si="177"/>
        <v>10446422.056520691</v>
      </c>
      <c r="X109" s="307">
        <f t="shared" si="177"/>
        <v>11928521.352495473</v>
      </c>
      <c r="Y109" s="307">
        <f t="shared" si="177"/>
        <v>12268533.154106138</v>
      </c>
      <c r="Z109" s="307">
        <f t="shared" si="177"/>
        <v>12743109.505597992</v>
      </c>
      <c r="AA109" s="307">
        <f t="shared" si="177"/>
        <v>13525600.573040994</v>
      </c>
      <c r="AB109" s="307">
        <f t="shared" si="177"/>
        <v>13251409.817632904</v>
      </c>
      <c r="AC109" s="307">
        <f t="shared" si="177"/>
        <v>14336701.812314557</v>
      </c>
      <c r="AD109" s="307">
        <f t="shared" si="177"/>
        <v>15801170.262425991</v>
      </c>
      <c r="AE109" s="307">
        <f t="shared" si="177"/>
        <v>17243992.109078597</v>
      </c>
      <c r="AF109" s="307">
        <f t="shared" si="177"/>
        <v>17240361.307880208</v>
      </c>
      <c r="AG109" s="307">
        <f t="shared" si="177"/>
        <v>17307977.035917915</v>
      </c>
      <c r="AH109" s="307">
        <f t="shared" si="177"/>
        <v>18184438.039260261</v>
      </c>
      <c r="AI109" s="307">
        <f t="shared" si="177"/>
        <v>19631598.109538496</v>
      </c>
      <c r="AJ109" s="307">
        <f t="shared" si="177"/>
        <v>20120431.229344469</v>
      </c>
      <c r="AK109" s="307">
        <f t="shared" si="177"/>
        <v>20083729.640953183</v>
      </c>
      <c r="AL109" s="307">
        <f t="shared" si="177"/>
        <v>19993462.91791939</v>
      </c>
      <c r="AM109" s="307">
        <f t="shared" si="177"/>
        <v>19650481.194039784</v>
      </c>
      <c r="AN109" s="307">
        <f t="shared" si="177"/>
        <v>20402053.017086837</v>
      </c>
      <c r="AO109" s="307">
        <f t="shared" si="177"/>
        <v>21138435.584624019</v>
      </c>
      <c r="AP109" s="307">
        <f t="shared" si="177"/>
        <v>21328175.444446594</v>
      </c>
      <c r="AR109" s="308">
        <v>2884584.2561564511</v>
      </c>
      <c r="AS109" s="308">
        <f t="shared" si="178"/>
        <v>468471.74384354893</v>
      </c>
      <c r="AT109" s="308">
        <v>5310102.5162723064</v>
      </c>
      <c r="AU109" s="308">
        <f t="shared" si="179"/>
        <v>-1108562.5162723064</v>
      </c>
      <c r="AV109" s="308">
        <v>5725057.9756736523</v>
      </c>
      <c r="AW109" s="308">
        <f t="shared" si="180"/>
        <v>-1147422.9756736523</v>
      </c>
      <c r="AX109" s="308">
        <v>5115756.4828002481</v>
      </c>
      <c r="AY109" s="308">
        <f t="shared" si="181"/>
        <v>4679607.5171997519</v>
      </c>
      <c r="AZ109" s="308">
        <v>6189823</v>
      </c>
      <c r="BA109" s="308">
        <f t="shared" si="182"/>
        <v>0</v>
      </c>
      <c r="BB109" s="331">
        <v>3572540.1253902046</v>
      </c>
      <c r="BC109" s="308">
        <f t="shared" si="183"/>
        <v>1712877.3133479208</v>
      </c>
    </row>
    <row r="110" spans="1:55">
      <c r="A110" s="301" t="s">
        <v>49</v>
      </c>
      <c r="B110" s="308">
        <f t="shared" si="177"/>
        <v>314992</v>
      </c>
      <c r="C110" s="308">
        <f t="shared" si="177"/>
        <v>810431</v>
      </c>
      <c r="D110" s="308">
        <f t="shared" si="177"/>
        <v>554454</v>
      </c>
      <c r="E110" s="308">
        <f t="shared" si="177"/>
        <v>4357542</v>
      </c>
      <c r="F110" s="308">
        <f t="shared" si="177"/>
        <v>1384274</v>
      </c>
      <c r="G110" s="308">
        <f t="shared" si="177"/>
        <v>476182</v>
      </c>
      <c r="H110" s="308">
        <f t="shared" si="177"/>
        <v>425193</v>
      </c>
      <c r="I110" s="308">
        <f t="shared" si="177"/>
        <v>516394</v>
      </c>
      <c r="J110" s="308">
        <f t="shared" si="177"/>
        <v>2489820</v>
      </c>
      <c r="K110" s="308">
        <f t="shared" ref="B110:O115" si="184">K126+K174</f>
        <v>3103036</v>
      </c>
      <c r="L110" s="308">
        <f t="shared" si="184"/>
        <v>3624640</v>
      </c>
      <c r="M110" s="308">
        <f>M126+M174</f>
        <v>5244569</v>
      </c>
      <c r="N110" s="308">
        <f>N126+N174</f>
        <v>4786731</v>
      </c>
      <c r="O110" s="308">
        <f>O126+O174</f>
        <v>4437004</v>
      </c>
      <c r="P110" s="308">
        <f t="shared" ref="P110:AP115" si="185">P126+P174</f>
        <v>6786703</v>
      </c>
      <c r="Q110" s="307">
        <f t="shared" si="185"/>
        <v>4676792.1621910194</v>
      </c>
      <c r="R110" s="307">
        <f t="shared" si="185"/>
        <v>5702803.8427504646</v>
      </c>
      <c r="S110" s="307">
        <f t="shared" si="185"/>
        <v>6767794.7157582389</v>
      </c>
      <c r="T110" s="307">
        <f t="shared" si="185"/>
        <v>7310523.0692350771</v>
      </c>
      <c r="U110" s="307">
        <f t="shared" si="185"/>
        <v>8139773.5773264272</v>
      </c>
      <c r="V110" s="307">
        <f t="shared" si="185"/>
        <v>8353535.1907142075</v>
      </c>
      <c r="W110" s="307">
        <f t="shared" si="185"/>
        <v>8705707.2095988765</v>
      </c>
      <c r="X110" s="307">
        <f t="shared" si="185"/>
        <v>9891588.2615788933</v>
      </c>
      <c r="Y110" s="307">
        <f t="shared" si="185"/>
        <v>10205901.053373573</v>
      </c>
      <c r="Z110" s="307">
        <f t="shared" si="185"/>
        <v>10706973.900305437</v>
      </c>
      <c r="AA110" s="307">
        <f t="shared" si="185"/>
        <v>11289540.991109733</v>
      </c>
      <c r="AB110" s="307">
        <f t="shared" si="185"/>
        <v>11051446.873012669</v>
      </c>
      <c r="AC110" s="307">
        <f t="shared" si="185"/>
        <v>11958008.055857308</v>
      </c>
      <c r="AD110" s="307">
        <f t="shared" si="185"/>
        <v>13193307.982895501</v>
      </c>
      <c r="AE110" s="307">
        <f t="shared" si="185"/>
        <v>14407361.72253938</v>
      </c>
      <c r="AF110" s="307">
        <f t="shared" si="185"/>
        <v>14390355.926277425</v>
      </c>
      <c r="AG110" s="307">
        <f t="shared" si="185"/>
        <v>14446825.557806795</v>
      </c>
      <c r="AH110" s="307">
        <f t="shared" si="185"/>
        <v>15180485.659977095</v>
      </c>
      <c r="AI110" s="307">
        <f t="shared" si="185"/>
        <v>16390955.841522472</v>
      </c>
      <c r="AJ110" s="307">
        <f t="shared" si="185"/>
        <v>16798987.999267172</v>
      </c>
      <c r="AK110" s="307">
        <f t="shared" si="185"/>
        <v>16766178.759196563</v>
      </c>
      <c r="AL110" s="307">
        <f t="shared" si="185"/>
        <v>16691271.480748378</v>
      </c>
      <c r="AM110" s="307">
        <f t="shared" si="185"/>
        <v>16405439.946088003</v>
      </c>
      <c r="AN110" s="307">
        <f t="shared" si="185"/>
        <v>17033105.953995343</v>
      </c>
      <c r="AO110" s="307">
        <f t="shared" si="185"/>
        <v>17647663.268482916</v>
      </c>
      <c r="AP110" s="307">
        <f t="shared" si="185"/>
        <v>17805813.383538153</v>
      </c>
      <c r="AR110" s="308">
        <v>3439747.2933719452</v>
      </c>
      <c r="AS110" s="308">
        <f t="shared" si="178"/>
        <v>184892.70662805485</v>
      </c>
      <c r="AT110" s="308">
        <v>5391387.1761672972</v>
      </c>
      <c r="AU110" s="308">
        <f t="shared" si="179"/>
        <v>-146818.17616729718</v>
      </c>
      <c r="AV110" s="308">
        <v>6005400.8840759359</v>
      </c>
      <c r="AW110" s="308">
        <f t="shared" si="180"/>
        <v>-1218669.8840759359</v>
      </c>
      <c r="AX110" s="308">
        <v>5711504.3779183617</v>
      </c>
      <c r="AY110" s="308">
        <f t="shared" si="181"/>
        <v>-1274500.3779183617</v>
      </c>
      <c r="AZ110" s="309">
        <v>6786703</v>
      </c>
      <c r="BA110" s="308">
        <f t="shared" si="182"/>
        <v>0</v>
      </c>
      <c r="BB110" s="331">
        <v>3161155.7367409775</v>
      </c>
      <c r="BC110" s="308">
        <f t="shared" si="183"/>
        <v>1515636.4254500419</v>
      </c>
    </row>
    <row r="111" spans="1:55">
      <c r="A111" s="301" t="s">
        <v>50</v>
      </c>
      <c r="B111" s="308">
        <f t="shared" si="184"/>
        <v>730498</v>
      </c>
      <c r="C111" s="308">
        <f t="shared" si="184"/>
        <v>1145938</v>
      </c>
      <c r="D111" s="308">
        <f t="shared" si="184"/>
        <v>1233548</v>
      </c>
      <c r="E111" s="308">
        <f t="shared" si="184"/>
        <v>6366432</v>
      </c>
      <c r="F111" s="308">
        <f t="shared" si="184"/>
        <v>488601</v>
      </c>
      <c r="G111" s="308">
        <f t="shared" si="184"/>
        <v>445036</v>
      </c>
      <c r="H111" s="308">
        <f t="shared" si="184"/>
        <v>474815</v>
      </c>
      <c r="I111" s="308">
        <f t="shared" si="184"/>
        <v>440230</v>
      </c>
      <c r="J111" s="308">
        <f t="shared" si="184"/>
        <v>2138451</v>
      </c>
      <c r="K111" s="308">
        <f t="shared" si="184"/>
        <v>3613287</v>
      </c>
      <c r="L111" s="308">
        <f t="shared" si="184"/>
        <v>3674667</v>
      </c>
      <c r="M111" s="308">
        <f t="shared" si="184"/>
        <v>7740697</v>
      </c>
      <c r="N111" s="308">
        <f t="shared" si="184"/>
        <v>7251742</v>
      </c>
      <c r="O111" s="308">
        <f t="shared" si="184"/>
        <v>8073780</v>
      </c>
      <c r="P111" s="308">
        <f t="shared" si="185"/>
        <v>8864247</v>
      </c>
      <c r="Q111" s="307">
        <f t="shared" si="185"/>
        <v>6692932.859866092</v>
      </c>
      <c r="R111" s="307">
        <f t="shared" si="185"/>
        <v>8493882.9758975357</v>
      </c>
      <c r="S111" s="307">
        <f t="shared" si="185"/>
        <v>10098230.367046395</v>
      </c>
      <c r="T111" s="307">
        <f t="shared" si="185"/>
        <v>10879831.078158621</v>
      </c>
      <c r="U111" s="307">
        <f t="shared" si="185"/>
        <v>11730880.826499688</v>
      </c>
      <c r="V111" s="307">
        <f t="shared" si="185"/>
        <v>12273843.120493958</v>
      </c>
      <c r="W111" s="307">
        <f t="shared" si="185"/>
        <v>12834170.303376196</v>
      </c>
      <c r="X111" s="307">
        <f t="shared" si="185"/>
        <v>14560599.345535606</v>
      </c>
      <c r="Y111" s="307">
        <f t="shared" si="185"/>
        <v>14990559.582780313</v>
      </c>
      <c r="Z111" s="307">
        <f t="shared" si="185"/>
        <v>15692967.085042037</v>
      </c>
      <c r="AA111" s="307">
        <f t="shared" si="185"/>
        <v>16593854.399156081</v>
      </c>
      <c r="AB111" s="307">
        <f t="shared" si="185"/>
        <v>16244881.782357566</v>
      </c>
      <c r="AC111" s="307">
        <f t="shared" si="185"/>
        <v>17569057.674494725</v>
      </c>
      <c r="AD111" s="307">
        <f t="shared" si="185"/>
        <v>19377404.704483926</v>
      </c>
      <c r="AE111" s="307">
        <f t="shared" si="185"/>
        <v>21160311.576358572</v>
      </c>
      <c r="AF111" s="307">
        <f t="shared" si="185"/>
        <v>21142897.098765869</v>
      </c>
      <c r="AG111" s="307">
        <f t="shared" si="185"/>
        <v>21224353.030179393</v>
      </c>
      <c r="AH111" s="307">
        <f t="shared" si="185"/>
        <v>22300245.930673808</v>
      </c>
      <c r="AI111" s="307">
        <f t="shared" si="185"/>
        <v>24077827.908714287</v>
      </c>
      <c r="AJ111" s="307">
        <f t="shared" si="185"/>
        <v>24677927.581519194</v>
      </c>
      <c r="AK111" s="307">
        <f t="shared" si="185"/>
        <v>24630661.235033907</v>
      </c>
      <c r="AL111" s="307">
        <f t="shared" si="185"/>
        <v>24520096.8128036</v>
      </c>
      <c r="AM111" s="307">
        <f t="shared" si="185"/>
        <v>24099912.888213206</v>
      </c>
      <c r="AN111" s="307">
        <f t="shared" si="185"/>
        <v>25022004.519630011</v>
      </c>
      <c r="AO111" s="307">
        <f t="shared" si="185"/>
        <v>25924980.611098327</v>
      </c>
      <c r="AP111" s="307">
        <f t="shared" si="185"/>
        <v>26157375.988568727</v>
      </c>
      <c r="AR111" s="308">
        <v>3324782.2870129417</v>
      </c>
      <c r="AS111" s="308">
        <f t="shared" si="178"/>
        <v>349884.71298705833</v>
      </c>
      <c r="AT111" s="308">
        <v>4814988.5500952573</v>
      </c>
      <c r="AU111" s="308">
        <f t="shared" si="179"/>
        <v>2925708.4499047427</v>
      </c>
      <c r="AV111" s="308">
        <v>7317429.5339870136</v>
      </c>
      <c r="AW111" s="308">
        <f t="shared" si="180"/>
        <v>-65687.533987013623</v>
      </c>
      <c r="AX111" s="308">
        <v>4862191.6294933707</v>
      </c>
      <c r="AY111" s="308">
        <f t="shared" si="181"/>
        <v>3211588.3705066293</v>
      </c>
      <c r="AZ111" s="309">
        <v>8864247</v>
      </c>
      <c r="BA111" s="308">
        <f t="shared" si="182"/>
        <v>0</v>
      </c>
      <c r="BB111" s="331">
        <v>4523913.4799772482</v>
      </c>
      <c r="BC111" s="308">
        <f t="shared" si="183"/>
        <v>2169019.3798888437</v>
      </c>
    </row>
    <row r="112" spans="1:55">
      <c r="A112" s="301" t="s">
        <v>51</v>
      </c>
      <c r="B112" s="308">
        <f t="shared" si="184"/>
        <v>973736</v>
      </c>
      <c r="C112" s="308">
        <f t="shared" si="184"/>
        <v>1889562</v>
      </c>
      <c r="D112" s="308">
        <f t="shared" si="184"/>
        <v>1040125</v>
      </c>
      <c r="E112" s="308">
        <f t="shared" si="184"/>
        <v>7873106</v>
      </c>
      <c r="F112" s="308">
        <f t="shared" si="184"/>
        <v>626006</v>
      </c>
      <c r="G112" s="308">
        <f t="shared" si="184"/>
        <v>370351</v>
      </c>
      <c r="H112" s="308">
        <f t="shared" si="184"/>
        <v>354877</v>
      </c>
      <c r="I112" s="308">
        <f t="shared" si="184"/>
        <v>383102</v>
      </c>
      <c r="J112" s="308">
        <f t="shared" si="184"/>
        <v>3630173</v>
      </c>
      <c r="K112" s="308">
        <f t="shared" si="184"/>
        <v>3039211</v>
      </c>
      <c r="L112" s="308">
        <f t="shared" si="184"/>
        <v>3281535</v>
      </c>
      <c r="M112" s="308">
        <f t="shared" si="184"/>
        <v>5824657</v>
      </c>
      <c r="N112" s="308">
        <f t="shared" si="184"/>
        <v>8895630</v>
      </c>
      <c r="O112" s="308">
        <f t="shared" si="184"/>
        <v>7402500</v>
      </c>
      <c r="P112" s="308">
        <f t="shared" si="185"/>
        <v>6811136</v>
      </c>
      <c r="Q112" s="307">
        <f t="shared" si="185"/>
        <v>6055753.1815380659</v>
      </c>
      <c r="R112" s="307">
        <f t="shared" si="185"/>
        <v>7694771.139350838</v>
      </c>
      <c r="S112" s="307">
        <f t="shared" si="185"/>
        <v>9452791.6906419229</v>
      </c>
      <c r="T112" s="307">
        <f t="shared" si="185"/>
        <v>9641413.7215841096</v>
      </c>
      <c r="U112" s="307">
        <f t="shared" si="185"/>
        <v>10331052.233753035</v>
      </c>
      <c r="V112" s="307">
        <f t="shared" si="185"/>
        <v>11064294.5305705</v>
      </c>
      <c r="W112" s="307">
        <f t="shared" si="185"/>
        <v>11564030.26330157</v>
      </c>
      <c r="X112" s="307">
        <f t="shared" si="185"/>
        <v>13109153.695279913</v>
      </c>
      <c r="Y112" s="307">
        <f t="shared" si="185"/>
        <v>13409317.55312174</v>
      </c>
      <c r="Z112" s="307">
        <f t="shared" si="185"/>
        <v>14059092.749521568</v>
      </c>
      <c r="AA112" s="307">
        <f t="shared" si="185"/>
        <v>14908278.897703221</v>
      </c>
      <c r="AB112" s="307">
        <f t="shared" si="185"/>
        <v>14586659.853056431</v>
      </c>
      <c r="AC112" s="307">
        <f t="shared" si="185"/>
        <v>15766684.360459544</v>
      </c>
      <c r="AD112" s="307">
        <f t="shared" si="185"/>
        <v>17379409.812630791</v>
      </c>
      <c r="AE112" s="307">
        <f t="shared" si="185"/>
        <v>18987288.097930685</v>
      </c>
      <c r="AF112" s="307">
        <f t="shared" si="185"/>
        <v>18976848.764843225</v>
      </c>
      <c r="AG112" s="307">
        <f t="shared" si="185"/>
        <v>19046752.006160077</v>
      </c>
      <c r="AH112" s="307">
        <f t="shared" si="185"/>
        <v>20010374.945450641</v>
      </c>
      <c r="AI112" s="307">
        <f t="shared" si="185"/>
        <v>21605043.357569523</v>
      </c>
      <c r="AJ112" s="307">
        <f t="shared" si="185"/>
        <v>22145296.316788375</v>
      </c>
      <c r="AK112" s="307">
        <f t="shared" si="185"/>
        <v>22103183.934283827</v>
      </c>
      <c r="AL112" s="307">
        <f t="shared" si="185"/>
        <v>22003224.361149654</v>
      </c>
      <c r="AM112" s="307">
        <f t="shared" si="185"/>
        <v>21625974.090379197</v>
      </c>
      <c r="AN112" s="307">
        <f t="shared" si="185"/>
        <v>22453548.115895078</v>
      </c>
      <c r="AO112" s="307">
        <f t="shared" si="185"/>
        <v>23264098.307860933</v>
      </c>
      <c r="AP112" s="307">
        <f t="shared" si="185"/>
        <v>23472587.163329612</v>
      </c>
      <c r="AR112" s="308">
        <v>1815886.4668313605</v>
      </c>
      <c r="AS112" s="308">
        <f t="shared" si="178"/>
        <v>1465648.5331686395</v>
      </c>
      <c r="AT112" s="308">
        <v>5028516.9226464471</v>
      </c>
      <c r="AU112" s="308">
        <f t="shared" si="179"/>
        <v>796140.07735355292</v>
      </c>
      <c r="AV112" s="308">
        <v>6744136.7074503321</v>
      </c>
      <c r="AW112" s="308">
        <f t="shared" si="180"/>
        <v>2151493.2925496679</v>
      </c>
      <c r="AX112" s="308">
        <v>7436982.3189669512</v>
      </c>
      <c r="AY112" s="308">
        <f t="shared" si="181"/>
        <v>-34482.318966951221</v>
      </c>
      <c r="AZ112" s="309">
        <v>6288031.8575616498</v>
      </c>
      <c r="BA112" s="308">
        <f t="shared" si="182"/>
        <v>523104.14243835025</v>
      </c>
      <c r="BB112" s="331">
        <v>4093228.4878655244</v>
      </c>
      <c r="BC112" s="308">
        <f t="shared" si="183"/>
        <v>1962524.6936725415</v>
      </c>
    </row>
    <row r="113" spans="1:58">
      <c r="A113" s="301" t="s">
        <v>52</v>
      </c>
      <c r="B113" s="308">
        <f t="shared" si="184"/>
        <v>1453856</v>
      </c>
      <c r="C113" s="308">
        <f t="shared" si="184"/>
        <v>1149922</v>
      </c>
      <c r="D113" s="308">
        <f t="shared" si="184"/>
        <v>1119440</v>
      </c>
      <c r="E113" s="308">
        <f t="shared" si="184"/>
        <v>7878698</v>
      </c>
      <c r="F113" s="308">
        <f t="shared" si="184"/>
        <v>842544</v>
      </c>
      <c r="G113" s="308">
        <f t="shared" si="184"/>
        <v>376668</v>
      </c>
      <c r="H113" s="308">
        <f t="shared" si="184"/>
        <v>531220</v>
      </c>
      <c r="I113" s="308">
        <f t="shared" si="184"/>
        <v>325147</v>
      </c>
      <c r="J113" s="308">
        <f t="shared" si="184"/>
        <v>3099580</v>
      </c>
      <c r="K113" s="308">
        <f t="shared" si="184"/>
        <v>1976794</v>
      </c>
      <c r="L113" s="308">
        <f t="shared" si="184"/>
        <v>4348250</v>
      </c>
      <c r="M113" s="308">
        <f t="shared" si="184"/>
        <v>5090487</v>
      </c>
      <c r="N113" s="308">
        <f t="shared" si="184"/>
        <v>5690860</v>
      </c>
      <c r="O113" s="308">
        <f t="shared" si="184"/>
        <v>6904320</v>
      </c>
      <c r="P113" s="308">
        <f t="shared" si="185"/>
        <v>5111224</v>
      </c>
      <c r="Q113" s="307">
        <f t="shared" si="185"/>
        <v>5102652.0862763887</v>
      </c>
      <c r="R113" s="307">
        <f t="shared" si="185"/>
        <v>6135541.1758462833</v>
      </c>
      <c r="S113" s="307">
        <f t="shared" si="185"/>
        <v>7422919.2870181222</v>
      </c>
      <c r="T113" s="307">
        <f t="shared" si="185"/>
        <v>7904607.97806466</v>
      </c>
      <c r="U113" s="307">
        <f t="shared" si="185"/>
        <v>8252402.5756668607</v>
      </c>
      <c r="V113" s="307">
        <f t="shared" si="185"/>
        <v>8922547.5825188924</v>
      </c>
      <c r="W113" s="307">
        <f t="shared" si="185"/>
        <v>9272958.208105186</v>
      </c>
      <c r="X113" s="307">
        <f t="shared" si="185"/>
        <v>10520709.252081923</v>
      </c>
      <c r="Y113" s="307">
        <f t="shared" si="185"/>
        <v>10800932.179264164</v>
      </c>
      <c r="Z113" s="307">
        <f t="shared" si="185"/>
        <v>11291540.475558244</v>
      </c>
      <c r="AA113" s="307">
        <f t="shared" si="185"/>
        <v>11984169.530725475</v>
      </c>
      <c r="AB113" s="307">
        <f t="shared" si="185"/>
        <v>11719453.683657413</v>
      </c>
      <c r="AC113" s="307">
        <f t="shared" si="185"/>
        <v>12671579.517024415</v>
      </c>
      <c r="AD113" s="307">
        <f t="shared" si="185"/>
        <v>13971307.9127429</v>
      </c>
      <c r="AE113" s="307">
        <f t="shared" si="185"/>
        <v>15258637.76793259</v>
      </c>
      <c r="AF113" s="307">
        <f t="shared" si="185"/>
        <v>15251801.874976644</v>
      </c>
      <c r="AG113" s="307">
        <f t="shared" si="185"/>
        <v>15307472.201539619</v>
      </c>
      <c r="AH113" s="307">
        <f t="shared" si="185"/>
        <v>16082700.567389639</v>
      </c>
      <c r="AI113" s="307">
        <f t="shared" si="185"/>
        <v>17364453.718956657</v>
      </c>
      <c r="AJ113" s="307">
        <f t="shared" si="185"/>
        <v>17797973.252469543</v>
      </c>
      <c r="AK113" s="307">
        <f t="shared" si="185"/>
        <v>17764404.354395576</v>
      </c>
      <c r="AL113" s="307">
        <f t="shared" si="185"/>
        <v>17684057.325440697</v>
      </c>
      <c r="AM113" s="307">
        <f t="shared" si="185"/>
        <v>17380952.263997275</v>
      </c>
      <c r="AN113" s="307">
        <f t="shared" si="185"/>
        <v>18046034.996381707</v>
      </c>
      <c r="AO113" s="307">
        <f t="shared" si="185"/>
        <v>18697401.186145853</v>
      </c>
      <c r="AP113" s="307">
        <f t="shared" si="185"/>
        <v>18865015.599514659</v>
      </c>
      <c r="AR113" s="308">
        <v>2042274.5705061262</v>
      </c>
      <c r="AS113" s="308">
        <f t="shared" si="178"/>
        <v>2305975.4294938738</v>
      </c>
      <c r="AT113" s="308">
        <v>5763353.3933205102</v>
      </c>
      <c r="AU113" s="308">
        <f t="shared" si="179"/>
        <v>-672866.39332051016</v>
      </c>
      <c r="AV113" s="308">
        <v>5988443.8226788202</v>
      </c>
      <c r="AW113" s="308">
        <f t="shared" si="180"/>
        <v>-297583.82267882023</v>
      </c>
      <c r="AX113" s="308">
        <v>7050047.2252588654</v>
      </c>
      <c r="AY113" s="308">
        <f t="shared" si="181"/>
        <v>-145727.22525886539</v>
      </c>
      <c r="AZ113" s="309">
        <v>6308064.7784051979</v>
      </c>
      <c r="BA113" s="308">
        <f t="shared" si="182"/>
        <v>-1196840.7784051979</v>
      </c>
      <c r="BB113" s="331">
        <v>3449004.6501380312</v>
      </c>
      <c r="BC113" s="308">
        <f t="shared" si="183"/>
        <v>1653647.4361383575</v>
      </c>
      <c r="BD113" s="308"/>
      <c r="BE113" s="308"/>
    </row>
    <row r="114" spans="1:58">
      <c r="A114" s="301" t="s">
        <v>53</v>
      </c>
      <c r="B114" s="308">
        <f t="shared" si="184"/>
        <v>1884038</v>
      </c>
      <c r="C114" s="308">
        <f t="shared" si="184"/>
        <v>1533521</v>
      </c>
      <c r="D114" s="308">
        <f t="shared" si="184"/>
        <v>1905118</v>
      </c>
      <c r="E114" s="308">
        <f t="shared" si="184"/>
        <v>4420456</v>
      </c>
      <c r="F114" s="308">
        <f t="shared" si="184"/>
        <v>519406</v>
      </c>
      <c r="G114" s="308">
        <f t="shared" si="184"/>
        <v>311314</v>
      </c>
      <c r="H114" s="308">
        <f t="shared" si="184"/>
        <v>383524</v>
      </c>
      <c r="I114" s="308">
        <f t="shared" si="184"/>
        <v>597475</v>
      </c>
      <c r="J114" s="308">
        <f t="shared" si="184"/>
        <v>3453701</v>
      </c>
      <c r="K114" s="308">
        <f t="shared" si="184"/>
        <v>2394703</v>
      </c>
      <c r="L114" s="308">
        <f t="shared" si="184"/>
        <v>5931919</v>
      </c>
      <c r="M114" s="308">
        <f t="shared" si="184"/>
        <v>753698</v>
      </c>
      <c r="N114" s="308">
        <f t="shared" si="184"/>
        <v>8102250</v>
      </c>
      <c r="O114" s="308">
        <f t="shared" si="184"/>
        <v>4408772</v>
      </c>
      <c r="P114" s="308">
        <f t="shared" si="185"/>
        <v>7182048</v>
      </c>
      <c r="Q114" s="307">
        <f t="shared" si="185"/>
        <v>4958576.6474295296</v>
      </c>
      <c r="R114" s="307">
        <f t="shared" si="185"/>
        <v>5587028.3498493591</v>
      </c>
      <c r="S114" s="307">
        <f t="shared" si="185"/>
        <v>7754788.9790439336</v>
      </c>
      <c r="T114" s="307">
        <f t="shared" si="185"/>
        <v>7702219.050266644</v>
      </c>
      <c r="U114" s="307">
        <f t="shared" si="185"/>
        <v>8645189.307739649</v>
      </c>
      <c r="V114" s="307">
        <f t="shared" si="185"/>
        <v>8878900.9115846809</v>
      </c>
      <c r="W114" s="307">
        <f t="shared" si="185"/>
        <v>9256184.4286924172</v>
      </c>
      <c r="X114" s="307">
        <f t="shared" si="185"/>
        <v>10637020.630191445</v>
      </c>
      <c r="Y114" s="307">
        <f t="shared" si="185"/>
        <v>10860213.584955294</v>
      </c>
      <c r="Z114" s="307">
        <f t="shared" si="185"/>
        <v>11411609.439419452</v>
      </c>
      <c r="AA114" s="307">
        <f t="shared" si="185"/>
        <v>12039655.545330543</v>
      </c>
      <c r="AB114" s="307">
        <f t="shared" si="185"/>
        <v>11792196.543886909</v>
      </c>
      <c r="AC114" s="307">
        <f t="shared" si="185"/>
        <v>12766957.152845845</v>
      </c>
      <c r="AD114" s="307">
        <f t="shared" si="185"/>
        <v>14067597.608061876</v>
      </c>
      <c r="AE114" s="307">
        <f t="shared" si="185"/>
        <v>15367552.132275471</v>
      </c>
      <c r="AF114" s="307">
        <f t="shared" si="185"/>
        <v>15351491.213674629</v>
      </c>
      <c r="AG114" s="307">
        <f t="shared" si="185"/>
        <v>15412602.950728495</v>
      </c>
      <c r="AH114" s="307">
        <f t="shared" si="185"/>
        <v>16194874.675729336</v>
      </c>
      <c r="AI114" s="307">
        <f t="shared" si="185"/>
        <v>17483966.806376908</v>
      </c>
      <c r="AJ114" s="307">
        <f t="shared" si="185"/>
        <v>17920440.820795547</v>
      </c>
      <c r="AK114" s="307">
        <f t="shared" si="185"/>
        <v>17885789.696728092</v>
      </c>
      <c r="AL114" s="307">
        <f t="shared" si="185"/>
        <v>17805843.159840528</v>
      </c>
      <c r="AM114" s="307">
        <f t="shared" si="185"/>
        <v>17500708.45078088</v>
      </c>
      <c r="AN114" s="307">
        <f t="shared" si="185"/>
        <v>18170094.126997132</v>
      </c>
      <c r="AO114" s="307">
        <f t="shared" si="185"/>
        <v>18825908.768559109</v>
      </c>
      <c r="AP114" s="307">
        <f t="shared" si="185"/>
        <v>18994645.34043552</v>
      </c>
      <c r="AR114" s="308">
        <v>2926465.356974679</v>
      </c>
      <c r="AS114" s="308">
        <f t="shared" si="178"/>
        <v>3005453.643025321</v>
      </c>
      <c r="AT114" s="308">
        <v>6135361.2848877776</v>
      </c>
      <c r="AU114" s="308">
        <f t="shared" si="179"/>
        <v>-5381663.2848877776</v>
      </c>
      <c r="AV114" s="308">
        <v>5156266.7375814756</v>
      </c>
      <c r="AW114" s="308">
        <f t="shared" si="180"/>
        <v>2945983.2624185244</v>
      </c>
      <c r="AX114" s="309">
        <v>5181394.4680252308</v>
      </c>
      <c r="AY114" s="308">
        <f t="shared" si="181"/>
        <v>-772622.4680252308</v>
      </c>
      <c r="AZ114" s="309">
        <v>4773213.1709344573</v>
      </c>
      <c r="BA114" s="308">
        <f t="shared" si="182"/>
        <v>2408834.8290655427</v>
      </c>
      <c r="BB114" s="331">
        <v>3351620.6133368635</v>
      </c>
      <c r="BC114" s="308">
        <f t="shared" si="183"/>
        <v>1606956.0340926661</v>
      </c>
      <c r="BD114" s="308"/>
      <c r="BE114" s="308"/>
    </row>
    <row r="115" spans="1:58">
      <c r="A115" s="301" t="s">
        <v>54</v>
      </c>
      <c r="B115" s="308">
        <f t="shared" si="184"/>
        <v>2459916</v>
      </c>
      <c r="C115" s="308">
        <f t="shared" si="184"/>
        <v>943950</v>
      </c>
      <c r="D115" s="308">
        <f t="shared" si="184"/>
        <v>2178367</v>
      </c>
      <c r="E115" s="308">
        <f t="shared" si="184"/>
        <v>568804</v>
      </c>
      <c r="F115" s="308">
        <f t="shared" si="184"/>
        <v>790638</v>
      </c>
      <c r="G115" s="308">
        <f t="shared" si="184"/>
        <v>298845</v>
      </c>
      <c r="H115" s="308">
        <f t="shared" si="184"/>
        <v>278792</v>
      </c>
      <c r="I115" s="308">
        <f t="shared" si="184"/>
        <v>545276</v>
      </c>
      <c r="J115" s="308">
        <f t="shared" si="184"/>
        <v>2370500</v>
      </c>
      <c r="K115" s="308">
        <f t="shared" si="184"/>
        <v>3022605</v>
      </c>
      <c r="L115" s="308">
        <f t="shared" si="184"/>
        <v>8103462</v>
      </c>
      <c r="M115" s="308">
        <f t="shared" si="184"/>
        <v>11052730</v>
      </c>
      <c r="N115" s="308">
        <f t="shared" si="184"/>
        <v>9172390</v>
      </c>
      <c r="O115" s="308">
        <f t="shared" si="184"/>
        <v>3567815</v>
      </c>
      <c r="P115" s="308">
        <f t="shared" si="185"/>
        <v>6420761</v>
      </c>
      <c r="Q115" s="307">
        <f t="shared" si="185"/>
        <v>4053190.7131135985</v>
      </c>
      <c r="R115" s="307">
        <f t="shared" si="185"/>
        <v>7535818.5525191203</v>
      </c>
      <c r="S115" s="307">
        <f t="shared" si="185"/>
        <v>7885913.298689872</v>
      </c>
      <c r="T115" s="307">
        <f t="shared" si="185"/>
        <v>7592007.4744835496</v>
      </c>
      <c r="U115" s="307">
        <f t="shared" si="185"/>
        <v>8724133.9689324051</v>
      </c>
      <c r="V115" s="307">
        <f t="shared" si="185"/>
        <v>9171874.9656463414</v>
      </c>
      <c r="W115" s="307">
        <f t="shared" si="185"/>
        <v>9818163.5517482311</v>
      </c>
      <c r="X115" s="307">
        <f t="shared" si="185"/>
        <v>10877479.751060799</v>
      </c>
      <c r="Y115" s="307">
        <f t="shared" si="185"/>
        <v>11116352.116611347</v>
      </c>
      <c r="Z115" s="307">
        <f t="shared" si="185"/>
        <v>11749743.204617172</v>
      </c>
      <c r="AA115" s="307">
        <f t="shared" si="185"/>
        <v>12438198.935362041</v>
      </c>
      <c r="AB115" s="307">
        <f t="shared" si="185"/>
        <v>12182752.96412833</v>
      </c>
      <c r="AC115" s="307">
        <f t="shared" si="185"/>
        <v>13132327.782153785</v>
      </c>
      <c r="AD115" s="307">
        <f t="shared" si="185"/>
        <v>14485473.349991143</v>
      </c>
      <c r="AE115" s="307">
        <f t="shared" si="185"/>
        <v>15840495.727021843</v>
      </c>
      <c r="AF115" s="307">
        <f t="shared" si="185"/>
        <v>15826977.592402697</v>
      </c>
      <c r="AG115" s="307">
        <f t="shared" si="185"/>
        <v>15884284.487294436</v>
      </c>
      <c r="AH115" s="307">
        <f t="shared" si="185"/>
        <v>16683910.753199071</v>
      </c>
      <c r="AI115" s="307">
        <f t="shared" si="185"/>
        <v>18016541.818767786</v>
      </c>
      <c r="AJ115" s="307">
        <f t="shared" si="185"/>
        <v>18468698.907797992</v>
      </c>
      <c r="AK115" s="307">
        <f t="shared" si="185"/>
        <v>18432382.102480888</v>
      </c>
      <c r="AL115" s="307">
        <f t="shared" si="185"/>
        <v>18348662.15320304</v>
      </c>
      <c r="AM115" s="307">
        <f t="shared" si="185"/>
        <v>18033860.084762484</v>
      </c>
      <c r="AN115" s="307">
        <f t="shared" si="185"/>
        <v>18724527.137018859</v>
      </c>
      <c r="AO115" s="307">
        <f t="shared" si="185"/>
        <v>19400547.352985799</v>
      </c>
      <c r="AP115" s="307">
        <f t="shared" si="185"/>
        <v>19574169.494234145</v>
      </c>
      <c r="AR115" s="308">
        <v>3563532.0126581192</v>
      </c>
      <c r="AS115" s="308">
        <f t="shared" si="178"/>
        <v>4539929.9873418808</v>
      </c>
      <c r="AT115" s="308">
        <v>6938967</v>
      </c>
      <c r="AU115" s="308">
        <f t="shared" si="179"/>
        <v>4113763</v>
      </c>
      <c r="AV115" s="308">
        <v>11956530.112404346</v>
      </c>
      <c r="AW115" s="308">
        <f t="shared" si="180"/>
        <v>-2784140.1124043465</v>
      </c>
      <c r="AX115" s="309">
        <v>4631015.6500146091</v>
      </c>
      <c r="AY115" s="308">
        <f t="shared" si="181"/>
        <v>-1063200.6500146091</v>
      </c>
      <c r="AZ115" s="309">
        <v>6337550.1235528663</v>
      </c>
      <c r="BA115" s="308">
        <f t="shared" si="182"/>
        <v>83210.87644713372</v>
      </c>
      <c r="BB115" s="331">
        <v>431736.14878319949</v>
      </c>
      <c r="BC115" s="308">
        <f t="shared" si="183"/>
        <v>3621454.564330399</v>
      </c>
      <c r="BD115" s="308"/>
      <c r="BE115" s="308"/>
    </row>
    <row r="116" spans="1:58" ht="12" thickBot="1">
      <c r="A116" s="301" t="s">
        <v>29</v>
      </c>
      <c r="B116" s="308">
        <f t="shared" ref="B116:AD116" si="186">SUM(B104:B115)</f>
        <v>7817036</v>
      </c>
      <c r="C116" s="308">
        <f t="shared" si="186"/>
        <v>16719616</v>
      </c>
      <c r="D116" s="308">
        <f t="shared" si="186"/>
        <v>12205618</v>
      </c>
      <c r="E116" s="308">
        <f t="shared" si="186"/>
        <v>41278442</v>
      </c>
      <c r="F116" s="308">
        <f t="shared" si="186"/>
        <v>8605018</v>
      </c>
      <c r="G116" s="308">
        <f t="shared" si="186"/>
        <v>4979775</v>
      </c>
      <c r="H116" s="308">
        <f t="shared" si="186"/>
        <v>4666016</v>
      </c>
      <c r="I116" s="308">
        <f t="shared" si="186"/>
        <v>5147237</v>
      </c>
      <c r="J116" s="308">
        <f t="shared" si="186"/>
        <v>23607885</v>
      </c>
      <c r="K116" s="308">
        <f t="shared" si="186"/>
        <v>34293809</v>
      </c>
      <c r="L116" s="308">
        <f t="shared" si="186"/>
        <v>50596671</v>
      </c>
      <c r="M116" s="308">
        <f t="shared" si="186"/>
        <v>62444807</v>
      </c>
      <c r="N116" s="308">
        <f t="shared" si="186"/>
        <v>75967064</v>
      </c>
      <c r="O116" s="308">
        <f t="shared" si="186"/>
        <v>72161104</v>
      </c>
      <c r="P116" s="308">
        <f t="shared" si="186"/>
        <v>67136623</v>
      </c>
      <c r="Q116" s="307">
        <f t="shared" si="186"/>
        <v>61713905.573394053</v>
      </c>
      <c r="R116" s="307">
        <f t="shared" si="186"/>
        <v>74644479.867806837</v>
      </c>
      <c r="S116" s="307">
        <f t="shared" si="186"/>
        <v>90174702.882584006</v>
      </c>
      <c r="T116" s="307">
        <f t="shared" si="186"/>
        <v>94265461.32229273</v>
      </c>
      <c r="U116" s="307">
        <f t="shared" si="186"/>
        <v>101063952.52821082</v>
      </c>
      <c r="V116" s="307">
        <f t="shared" si="186"/>
        <v>108107155.51235586</v>
      </c>
      <c r="W116" s="307">
        <f t="shared" si="186"/>
        <v>112379365.64766049</v>
      </c>
      <c r="X116" s="307">
        <f t="shared" si="186"/>
        <v>127428482.91331537</v>
      </c>
      <c r="Y116" s="307">
        <f t="shared" si="186"/>
        <v>130758287.08032538</v>
      </c>
      <c r="Z116" s="307">
        <f t="shared" si="186"/>
        <v>137035550.46998152</v>
      </c>
      <c r="AA116" s="307">
        <f t="shared" si="186"/>
        <v>145226327.89713299</v>
      </c>
      <c r="AB116" s="307">
        <f t="shared" si="186"/>
        <v>142022344.47656283</v>
      </c>
      <c r="AC116" s="307">
        <f t="shared" si="186"/>
        <v>153559589.09913054</v>
      </c>
      <c r="AD116" s="307">
        <f t="shared" si="186"/>
        <v>169326008.73336238</v>
      </c>
      <c r="AE116" s="307">
        <f>SUM(AE104:AE115)</f>
        <v>184963564.51450959</v>
      </c>
      <c r="AF116" s="307">
        <f>SUM(AF104:AF115)</f>
        <v>184843338.36442617</v>
      </c>
      <c r="AG116" s="307">
        <f>SUM(AG104:AG115)</f>
        <v>185521393.91805434</v>
      </c>
      <c r="AH116" s="307">
        <f t="shared" ref="AH116:AP116" si="187">SUM(AH104:AH115)</f>
        <v>194919891.07098955</v>
      </c>
      <c r="AI116" s="307">
        <f t="shared" si="187"/>
        <v>210458671.79477972</v>
      </c>
      <c r="AJ116" s="307">
        <f t="shared" si="187"/>
        <v>215714637.30980021</v>
      </c>
      <c r="AK116" s="307">
        <f t="shared" si="187"/>
        <v>215302101.90128431</v>
      </c>
      <c r="AL116" s="307">
        <f t="shared" si="187"/>
        <v>214329643.56146899</v>
      </c>
      <c r="AM116" s="307">
        <f t="shared" si="187"/>
        <v>210656869.64084795</v>
      </c>
      <c r="AN116" s="307">
        <f t="shared" si="187"/>
        <v>218718110.75192347</v>
      </c>
      <c r="AO116" s="307">
        <f t="shared" si="187"/>
        <v>226612394.03571084</v>
      </c>
      <c r="AP116" s="307">
        <f t="shared" si="187"/>
        <v>228643183.76592827</v>
      </c>
      <c r="AR116" s="308">
        <v>46056741.012658119</v>
      </c>
      <c r="AS116" s="308">
        <f t="shared" si="178"/>
        <v>4539929.9873418808</v>
      </c>
      <c r="AT116" s="308">
        <v>58200000</v>
      </c>
      <c r="AU116" s="308">
        <f t="shared" si="179"/>
        <v>4244807</v>
      </c>
      <c r="AV116" s="308">
        <v>78274557.112404346</v>
      </c>
      <c r="AW116" s="308">
        <f t="shared" si="180"/>
        <v>-2307493.1124043465</v>
      </c>
      <c r="AX116" s="309">
        <v>73959562.118039846</v>
      </c>
      <c r="AY116" s="308">
        <f t="shared" si="181"/>
        <v>-1798458.1180398464</v>
      </c>
      <c r="AZ116" s="309">
        <v>65318313.930454172</v>
      </c>
      <c r="BA116" s="308">
        <f t="shared" si="182"/>
        <v>1818309.0695458278</v>
      </c>
      <c r="BB116" s="331">
        <v>41713905.573394053</v>
      </c>
      <c r="BC116" s="308">
        <f t="shared" si="183"/>
        <v>20000000</v>
      </c>
      <c r="BD116" s="308"/>
      <c r="BE116" s="308"/>
    </row>
    <row r="117" spans="1:58">
      <c r="A117" s="334"/>
      <c r="B117" s="334"/>
      <c r="C117" s="334"/>
      <c r="D117" s="334"/>
      <c r="E117" s="334"/>
      <c r="F117" s="334"/>
      <c r="G117" s="334"/>
      <c r="H117" s="334"/>
      <c r="I117" s="334"/>
      <c r="J117" s="334"/>
      <c r="K117" s="334"/>
      <c r="L117" s="334"/>
      <c r="M117" s="334"/>
      <c r="N117" s="334"/>
      <c r="O117" s="334"/>
      <c r="P117" s="334"/>
      <c r="Q117" s="334"/>
      <c r="R117" s="334"/>
      <c r="S117" s="334"/>
      <c r="T117" s="334"/>
      <c r="U117" s="334"/>
      <c r="V117" s="334"/>
      <c r="W117" s="334"/>
      <c r="X117" s="334"/>
      <c r="Y117" s="334"/>
      <c r="Z117" s="334"/>
      <c r="AA117" s="334"/>
      <c r="AB117" s="334"/>
      <c r="AC117" s="334"/>
      <c r="AD117" s="334"/>
      <c r="AE117" s="334"/>
      <c r="AF117" s="334"/>
      <c r="AG117" s="334"/>
      <c r="AH117" s="334"/>
      <c r="AI117" s="334"/>
      <c r="AJ117" s="334"/>
      <c r="AK117" s="334"/>
      <c r="AL117" s="334"/>
      <c r="AM117" s="334"/>
      <c r="AN117" s="334"/>
      <c r="AO117" s="334"/>
      <c r="AP117" s="334"/>
      <c r="AT117" s="309"/>
    </row>
    <row r="118" spans="1:58" ht="12" thickBot="1">
      <c r="A118" s="300" t="s">
        <v>437</v>
      </c>
      <c r="AT118" s="309"/>
    </row>
    <row r="119" spans="1:58" ht="12" thickBot="1">
      <c r="A119" s="328"/>
      <c r="B119" s="329">
        <f t="shared" ref="B119:AP119" si="188">B2</f>
        <v>2010</v>
      </c>
      <c r="C119" s="329">
        <f t="shared" si="188"/>
        <v>2011</v>
      </c>
      <c r="D119" s="329">
        <f t="shared" si="188"/>
        <v>2012</v>
      </c>
      <c r="E119" s="329">
        <f t="shared" si="188"/>
        <v>2013</v>
      </c>
      <c r="F119" s="329">
        <f t="shared" si="188"/>
        <v>2014</v>
      </c>
      <c r="G119" s="329">
        <f t="shared" si="188"/>
        <v>2015</v>
      </c>
      <c r="H119" s="329">
        <f t="shared" si="188"/>
        <v>2016</v>
      </c>
      <c r="I119" s="329">
        <f t="shared" si="188"/>
        <v>2017</v>
      </c>
      <c r="J119" s="329">
        <f t="shared" si="188"/>
        <v>2018</v>
      </c>
      <c r="K119" s="329">
        <f t="shared" si="188"/>
        <v>2019</v>
      </c>
      <c r="L119" s="329">
        <f t="shared" si="188"/>
        <v>2020</v>
      </c>
      <c r="M119" s="329">
        <f t="shared" si="188"/>
        <v>2021</v>
      </c>
      <c r="N119" s="329">
        <f t="shared" si="188"/>
        <v>2022</v>
      </c>
      <c r="O119" s="329">
        <f t="shared" si="188"/>
        <v>2023</v>
      </c>
      <c r="P119" s="329">
        <f t="shared" si="188"/>
        <v>2024</v>
      </c>
      <c r="Q119" s="329">
        <f t="shared" si="188"/>
        <v>2025</v>
      </c>
      <c r="R119" s="329">
        <f t="shared" si="188"/>
        <v>2026</v>
      </c>
      <c r="S119" s="329">
        <f t="shared" si="188"/>
        <v>2027</v>
      </c>
      <c r="T119" s="329">
        <f t="shared" si="188"/>
        <v>2028</v>
      </c>
      <c r="U119" s="329">
        <f t="shared" si="188"/>
        <v>2029</v>
      </c>
      <c r="V119" s="329">
        <f t="shared" si="188"/>
        <v>2030</v>
      </c>
      <c r="W119" s="329">
        <f t="shared" si="188"/>
        <v>2031</v>
      </c>
      <c r="X119" s="329">
        <f t="shared" si="188"/>
        <v>2032</v>
      </c>
      <c r="Y119" s="329">
        <f t="shared" si="188"/>
        <v>2033</v>
      </c>
      <c r="Z119" s="329">
        <f t="shared" si="188"/>
        <v>2034</v>
      </c>
      <c r="AA119" s="329">
        <f t="shared" si="188"/>
        <v>2035</v>
      </c>
      <c r="AB119" s="329">
        <f t="shared" si="188"/>
        <v>2036</v>
      </c>
      <c r="AC119" s="329">
        <f t="shared" si="188"/>
        <v>2037</v>
      </c>
      <c r="AD119" s="329">
        <f t="shared" si="188"/>
        <v>2038</v>
      </c>
      <c r="AE119" s="329">
        <f t="shared" si="188"/>
        <v>2039</v>
      </c>
      <c r="AF119" s="329">
        <f t="shared" si="188"/>
        <v>2040</v>
      </c>
      <c r="AG119" s="329">
        <f t="shared" si="188"/>
        <v>2041</v>
      </c>
      <c r="AH119" s="329">
        <f t="shared" si="188"/>
        <v>2042</v>
      </c>
      <c r="AI119" s="329">
        <f t="shared" si="188"/>
        <v>2043</v>
      </c>
      <c r="AJ119" s="329">
        <f t="shared" si="188"/>
        <v>2044</v>
      </c>
      <c r="AK119" s="329">
        <f t="shared" si="188"/>
        <v>2045</v>
      </c>
      <c r="AL119" s="329">
        <f t="shared" si="188"/>
        <v>2046</v>
      </c>
      <c r="AM119" s="329">
        <f t="shared" si="188"/>
        <v>2047</v>
      </c>
      <c r="AN119" s="329">
        <f t="shared" si="188"/>
        <v>2048</v>
      </c>
      <c r="AO119" s="329">
        <f t="shared" si="188"/>
        <v>2049</v>
      </c>
      <c r="AP119" s="329">
        <f t="shared" si="188"/>
        <v>2050</v>
      </c>
      <c r="AQ119" s="300" t="s">
        <v>432</v>
      </c>
      <c r="AT119" s="309"/>
    </row>
    <row r="120" spans="1:58">
      <c r="A120" s="301" t="s">
        <v>43</v>
      </c>
      <c r="B120" s="308">
        <f t="shared" ref="B120:AP126" si="189">B136+B152</f>
        <v>0</v>
      </c>
      <c r="C120" s="308">
        <f t="shared" si="189"/>
        <v>2275133</v>
      </c>
      <c r="D120" s="308">
        <f t="shared" si="189"/>
        <v>512733</v>
      </c>
      <c r="E120" s="308">
        <f t="shared" si="189"/>
        <v>403778</v>
      </c>
      <c r="F120" s="308">
        <f t="shared" si="189"/>
        <v>234258</v>
      </c>
      <c r="G120" s="308">
        <f t="shared" si="189"/>
        <v>166050</v>
      </c>
      <c r="H120" s="308">
        <f t="shared" si="189"/>
        <v>235311</v>
      </c>
      <c r="I120" s="308">
        <f t="shared" si="189"/>
        <v>449601</v>
      </c>
      <c r="J120" s="308">
        <f t="shared" si="189"/>
        <v>321773</v>
      </c>
      <c r="K120" s="308">
        <f t="shared" si="189"/>
        <v>2981550</v>
      </c>
      <c r="L120" s="308">
        <f t="shared" si="189"/>
        <v>4025292</v>
      </c>
      <c r="M120" s="308">
        <f t="shared" si="189"/>
        <v>8703348</v>
      </c>
      <c r="N120" s="308">
        <f t="shared" si="189"/>
        <v>4020554</v>
      </c>
      <c r="O120" s="308">
        <f t="shared" si="189"/>
        <v>3658476</v>
      </c>
      <c r="P120" s="308">
        <f t="shared" si="189"/>
        <v>5200778</v>
      </c>
      <c r="Q120" s="308">
        <f t="shared" si="189"/>
        <v>5416008</v>
      </c>
      <c r="R120" s="307">
        <f t="shared" si="189"/>
        <v>5937533.8844495649</v>
      </c>
      <c r="S120" s="307">
        <f t="shared" si="189"/>
        <v>6214707.3119492158</v>
      </c>
      <c r="T120" s="307">
        <f t="shared" si="189"/>
        <v>6809707.318395297</v>
      </c>
      <c r="U120" s="307">
        <f t="shared" si="189"/>
        <v>7705781.8718978278</v>
      </c>
      <c r="V120" s="307">
        <f t="shared" si="189"/>
        <v>8221829.8078431087</v>
      </c>
      <c r="W120" s="307">
        <f t="shared" si="189"/>
        <v>8373344.3202624619</v>
      </c>
      <c r="X120" s="307">
        <f t="shared" si="189"/>
        <v>9400006.6353150103</v>
      </c>
      <c r="Y120" s="307">
        <f t="shared" si="189"/>
        <v>9750870.210260829</v>
      </c>
      <c r="Z120" s="307">
        <f t="shared" si="189"/>
        <v>10270938.943144886</v>
      </c>
      <c r="AA120" s="307">
        <f t="shared" si="189"/>
        <v>10853958.908365149</v>
      </c>
      <c r="AB120" s="307">
        <f t="shared" si="189"/>
        <v>10583586.781363338</v>
      </c>
      <c r="AC120" s="307">
        <f t="shared" si="189"/>
        <v>11443625.784014061</v>
      </c>
      <c r="AD120" s="307">
        <f t="shared" si="189"/>
        <v>12641580.616318449</v>
      </c>
      <c r="AE120" s="307">
        <f t="shared" si="189"/>
        <v>13811853.323497228</v>
      </c>
      <c r="AF120" s="307">
        <f t="shared" si="189"/>
        <v>13794033.974486617</v>
      </c>
      <c r="AG120" s="307">
        <f t="shared" si="189"/>
        <v>13840996.832624484</v>
      </c>
      <c r="AH120" s="307">
        <f t="shared" si="189"/>
        <v>14544871.159587309</v>
      </c>
      <c r="AI120" s="307">
        <f t="shared" si="189"/>
        <v>15707792.551286601</v>
      </c>
      <c r="AJ120" s="307">
        <f t="shared" si="189"/>
        <v>16099231.31321382</v>
      </c>
      <c r="AK120" s="307">
        <f t="shared" si="189"/>
        <v>16066784.200494088</v>
      </c>
      <c r="AL120" s="307">
        <f t="shared" si="189"/>
        <v>15994169.829607673</v>
      </c>
      <c r="AM120" s="307">
        <f t="shared" si="189"/>
        <v>15720770.112049596</v>
      </c>
      <c r="AN120" s="307">
        <f t="shared" si="189"/>
        <v>16322664.884684358</v>
      </c>
      <c r="AO120" s="307">
        <f t="shared" si="189"/>
        <v>16911485.1891094</v>
      </c>
      <c r="AP120" s="307">
        <f t="shared" si="189"/>
        <v>17062823.486536875</v>
      </c>
      <c r="AQ120" s="330">
        <f>O120/N120-1</f>
        <v>-9.005674342391623E-2</v>
      </c>
      <c r="AR120" s="308">
        <v>2343026.8431317476</v>
      </c>
      <c r="AS120" s="308">
        <f t="shared" ref="AS120:AS132" si="190">L120-AR120</f>
        <v>1682265.1568682524</v>
      </c>
      <c r="AT120" s="308">
        <v>8754280.8630525693</v>
      </c>
      <c r="AU120" s="308">
        <f t="shared" ref="AU120:AU132" si="191">M120-AT120</f>
        <v>-50932.86305256933</v>
      </c>
      <c r="AV120" s="308">
        <v>7040732.6733118715</v>
      </c>
      <c r="AW120" s="308">
        <f t="shared" ref="AW120:AW132" si="192">N120-AV120</f>
        <v>-3020178.6733118715</v>
      </c>
      <c r="AX120" s="308">
        <v>8346201.1381376339</v>
      </c>
      <c r="AY120" s="308">
        <f t="shared" ref="AY120:AY132" si="193">O120-AX120</f>
        <v>-4687725.1381376339</v>
      </c>
      <c r="AZ120" s="308">
        <v>5200778</v>
      </c>
      <c r="BA120" s="308">
        <f t="shared" ref="BA120:BA132" si="194">P120-AZ120</f>
        <v>0</v>
      </c>
      <c r="BB120" s="331">
        <v>5416008</v>
      </c>
      <c r="BC120" s="308">
        <f t="shared" ref="BC120:BC132" si="195">Q120-BB120</f>
        <v>0</v>
      </c>
      <c r="BD120" s="308"/>
      <c r="BE120" s="330"/>
      <c r="BF120" s="330"/>
    </row>
    <row r="121" spans="1:58">
      <c r="A121" s="301" t="s">
        <v>44</v>
      </c>
      <c r="B121" s="308">
        <f t="shared" si="189"/>
        <v>0</v>
      </c>
      <c r="C121" s="308">
        <f t="shared" si="189"/>
        <v>725551</v>
      </c>
      <c r="D121" s="308">
        <f t="shared" si="189"/>
        <v>1722881</v>
      </c>
      <c r="E121" s="308">
        <f t="shared" si="189"/>
        <v>583120</v>
      </c>
      <c r="F121" s="308">
        <f t="shared" si="189"/>
        <v>523301</v>
      </c>
      <c r="G121" s="308">
        <f t="shared" si="189"/>
        <v>390698</v>
      </c>
      <c r="H121" s="308">
        <f t="shared" si="189"/>
        <v>302371</v>
      </c>
      <c r="I121" s="308">
        <f t="shared" si="189"/>
        <v>357500</v>
      </c>
      <c r="J121" s="308">
        <f t="shared" si="189"/>
        <v>1440235</v>
      </c>
      <c r="K121" s="308">
        <f t="shared" si="189"/>
        <v>2348092</v>
      </c>
      <c r="L121" s="308">
        <f t="shared" si="189"/>
        <v>3352809</v>
      </c>
      <c r="M121" s="308">
        <f t="shared" si="189"/>
        <v>4481922</v>
      </c>
      <c r="N121" s="308">
        <f t="shared" si="189"/>
        <v>4714822</v>
      </c>
      <c r="O121" s="308">
        <f t="shared" si="189"/>
        <v>2098580</v>
      </c>
      <c r="P121" s="308">
        <f t="shared" si="189"/>
        <v>3935204</v>
      </c>
      <c r="Q121" s="332">
        <f t="shared" si="189"/>
        <v>4635669</v>
      </c>
      <c r="R121" s="307">
        <f t="shared" si="189"/>
        <v>4368884.0825830866</v>
      </c>
      <c r="S121" s="307">
        <f t="shared" si="189"/>
        <v>5065750.4129629154</v>
      </c>
      <c r="T121" s="307">
        <f t="shared" si="189"/>
        <v>5180321.0742486808</v>
      </c>
      <c r="U121" s="307">
        <f t="shared" si="189"/>
        <v>6040317.1538219014</v>
      </c>
      <c r="V121" s="307">
        <f t="shared" si="189"/>
        <v>6481096.9353217538</v>
      </c>
      <c r="W121" s="307">
        <f t="shared" si="189"/>
        <v>6512611.9529533442</v>
      </c>
      <c r="X121" s="307">
        <f t="shared" si="189"/>
        <v>7373888.2269634949</v>
      </c>
      <c r="Y121" s="307">
        <f t="shared" si="189"/>
        <v>7603250.7819719575</v>
      </c>
      <c r="Z121" s="307">
        <f t="shared" si="189"/>
        <v>8039398.4959352035</v>
      </c>
      <c r="AA121" s="307">
        <f t="shared" si="189"/>
        <v>8493683.2100004666</v>
      </c>
      <c r="AB121" s="307">
        <f t="shared" si="189"/>
        <v>8271844.5337041849</v>
      </c>
      <c r="AC121" s="307">
        <f t="shared" si="189"/>
        <v>8951175.4451111443</v>
      </c>
      <c r="AD121" s="307">
        <f t="shared" si="189"/>
        <v>9883140.4629495945</v>
      </c>
      <c r="AE121" s="307">
        <f t="shared" si="189"/>
        <v>10802992.247526623</v>
      </c>
      <c r="AF121" s="307">
        <f t="shared" si="189"/>
        <v>10787672.563861012</v>
      </c>
      <c r="AG121" s="307">
        <f t="shared" si="189"/>
        <v>10823220.59135548</v>
      </c>
      <c r="AH121" s="307">
        <f t="shared" si="189"/>
        <v>11374556.788697243</v>
      </c>
      <c r="AI121" s="307">
        <f t="shared" si="189"/>
        <v>12283565.633218382</v>
      </c>
      <c r="AJ121" s="307">
        <f t="shared" si="189"/>
        <v>12590263.834875172</v>
      </c>
      <c r="AK121" s="307">
        <f t="shared" si="189"/>
        <v>12564551.721336858</v>
      </c>
      <c r="AL121" s="307">
        <f t="shared" si="189"/>
        <v>12507669.812683295</v>
      </c>
      <c r="AM121" s="307">
        <f t="shared" si="189"/>
        <v>12293995.05104439</v>
      </c>
      <c r="AN121" s="307">
        <f t="shared" si="189"/>
        <v>12764661.331877131</v>
      </c>
      <c r="AO121" s="307">
        <f t="shared" si="189"/>
        <v>13225184.290717352</v>
      </c>
      <c r="AP121" s="307">
        <f t="shared" si="189"/>
        <v>13343475.173394755</v>
      </c>
      <c r="AQ121" s="330">
        <f>O121/N121-1</f>
        <v>-0.55489730047072827</v>
      </c>
      <c r="AR121" s="308">
        <v>2529455.2746209004</v>
      </c>
      <c r="AS121" s="308">
        <f t="shared" si="190"/>
        <v>823353.7253790996</v>
      </c>
      <c r="AT121" s="308">
        <v>8557299.7294904143</v>
      </c>
      <c r="AU121" s="308">
        <f t="shared" si="191"/>
        <v>-4075377.7294904143</v>
      </c>
      <c r="AV121" s="308">
        <v>4582717.2045150427</v>
      </c>
      <c r="AW121" s="308">
        <f t="shared" si="192"/>
        <v>132104.79548495729</v>
      </c>
      <c r="AX121" s="308">
        <v>6800105.5753128696</v>
      </c>
      <c r="AY121" s="308">
        <f t="shared" si="193"/>
        <v>-4701525.5753128696</v>
      </c>
      <c r="AZ121" s="308">
        <v>3935204</v>
      </c>
      <c r="BA121" s="308">
        <f t="shared" si="194"/>
        <v>0</v>
      </c>
      <c r="BB121" s="331">
        <v>4635669</v>
      </c>
      <c r="BC121" s="308">
        <f t="shared" si="195"/>
        <v>0</v>
      </c>
      <c r="BD121" s="308"/>
      <c r="BE121" s="330"/>
      <c r="BF121" s="330"/>
    </row>
    <row r="122" spans="1:58">
      <c r="A122" s="301" t="s">
        <v>45</v>
      </c>
      <c r="B122" s="308">
        <f t="shared" si="189"/>
        <v>0</v>
      </c>
      <c r="C122" s="308">
        <f t="shared" si="189"/>
        <v>765014</v>
      </c>
      <c r="D122" s="308">
        <f t="shared" si="189"/>
        <v>649714</v>
      </c>
      <c r="E122" s="308">
        <f t="shared" si="189"/>
        <v>694466</v>
      </c>
      <c r="F122" s="308">
        <f t="shared" si="189"/>
        <v>738516</v>
      </c>
      <c r="G122" s="308">
        <f t="shared" si="189"/>
        <v>701443</v>
      </c>
      <c r="H122" s="308">
        <f t="shared" si="189"/>
        <v>453723</v>
      </c>
      <c r="I122" s="308">
        <f t="shared" si="189"/>
        <v>457937</v>
      </c>
      <c r="J122" s="308">
        <f t="shared" si="189"/>
        <v>2271977</v>
      </c>
      <c r="K122" s="308">
        <f t="shared" si="189"/>
        <v>2875234</v>
      </c>
      <c r="L122" s="308">
        <f t="shared" si="189"/>
        <v>3562685</v>
      </c>
      <c r="M122" s="308">
        <f t="shared" si="189"/>
        <v>4066092</v>
      </c>
      <c r="N122" s="308">
        <f t="shared" si="189"/>
        <v>4778660</v>
      </c>
      <c r="O122" s="308">
        <f t="shared" si="189"/>
        <v>9786748</v>
      </c>
      <c r="P122" s="308">
        <f t="shared" si="189"/>
        <v>5284964</v>
      </c>
      <c r="Q122" s="332">
        <f t="shared" si="189"/>
        <v>6570323</v>
      </c>
      <c r="R122" s="307">
        <f t="shared" si="189"/>
        <v>6704516.1413329868</v>
      </c>
      <c r="S122" s="307">
        <f t="shared" si="189"/>
        <v>8495048.8839351721</v>
      </c>
      <c r="T122" s="307">
        <f t="shared" si="189"/>
        <v>9493159.8891130928</v>
      </c>
      <c r="U122" s="307">
        <f t="shared" si="189"/>
        <v>9521401.5164470449</v>
      </c>
      <c r="V122" s="307">
        <f t="shared" si="189"/>
        <v>10451487.852984844</v>
      </c>
      <c r="W122" s="307">
        <f t="shared" si="189"/>
        <v>10719555.236267576</v>
      </c>
      <c r="X122" s="307">
        <f t="shared" si="189"/>
        <v>12259716.569288185</v>
      </c>
      <c r="Y122" s="307">
        <f t="shared" si="189"/>
        <v>12623526.577462206</v>
      </c>
      <c r="Z122" s="307">
        <f t="shared" si="189"/>
        <v>13136718.482216381</v>
      </c>
      <c r="AA122" s="307">
        <f t="shared" si="189"/>
        <v>13961294.168036874</v>
      </c>
      <c r="AB122" s="307">
        <f t="shared" si="189"/>
        <v>13640523.98555973</v>
      </c>
      <c r="AC122" s="307">
        <f t="shared" si="189"/>
        <v>14765248.113286629</v>
      </c>
      <c r="AD122" s="307">
        <f t="shared" si="189"/>
        <v>16279553.403193215</v>
      </c>
      <c r="AE122" s="307">
        <f t="shared" si="189"/>
        <v>17770126.321995769</v>
      </c>
      <c r="AF122" s="307">
        <f t="shared" si="189"/>
        <v>17765268.397546172</v>
      </c>
      <c r="AG122" s="307">
        <f t="shared" si="189"/>
        <v>17829633.583749469</v>
      </c>
      <c r="AH122" s="307">
        <f t="shared" si="189"/>
        <v>18734792.2122459</v>
      </c>
      <c r="AI122" s="307">
        <f t="shared" si="189"/>
        <v>20226976.48295787</v>
      </c>
      <c r="AJ122" s="307">
        <f t="shared" si="189"/>
        <v>20730820.570488285</v>
      </c>
      <c r="AK122" s="307">
        <f t="shared" si="189"/>
        <v>20692352.624093533</v>
      </c>
      <c r="AL122" s="307">
        <f t="shared" si="189"/>
        <v>20598836.516013481</v>
      </c>
      <c r="AM122" s="307">
        <f t="shared" si="189"/>
        <v>20245951.83713587</v>
      </c>
      <c r="AN122" s="307">
        <f t="shared" si="189"/>
        <v>21020440.297812</v>
      </c>
      <c r="AO122" s="307">
        <f t="shared" si="189"/>
        <v>21779070.204209246</v>
      </c>
      <c r="AP122" s="307">
        <f t="shared" si="189"/>
        <v>21974432.598501984</v>
      </c>
      <c r="AQ122" s="330">
        <f>O122/N122-1</f>
        <v>1.0480109486759885</v>
      </c>
      <c r="AR122" s="308">
        <v>2789878.1977596665</v>
      </c>
      <c r="AS122" s="308">
        <f t="shared" si="190"/>
        <v>772806.80224033352</v>
      </c>
      <c r="AT122" s="308">
        <v>7728121.1598985614</v>
      </c>
      <c r="AU122" s="308">
        <f t="shared" si="191"/>
        <v>-3662029.1598985614</v>
      </c>
      <c r="AV122" s="308">
        <v>5407874.4892292265</v>
      </c>
      <c r="AW122" s="308">
        <f t="shared" si="192"/>
        <v>-629214.48922922648</v>
      </c>
      <c r="AX122" s="308">
        <v>4883563.0796355866</v>
      </c>
      <c r="AY122" s="308">
        <f t="shared" si="193"/>
        <v>4903184.9203644134</v>
      </c>
      <c r="AZ122" s="308">
        <v>5284964</v>
      </c>
      <c r="BA122" s="308">
        <f t="shared" si="194"/>
        <v>0</v>
      </c>
      <c r="BB122" s="331">
        <v>3491443.005686942</v>
      </c>
      <c r="BC122" s="308">
        <f t="shared" si="195"/>
        <v>3078879.994313058</v>
      </c>
      <c r="BD122" s="308"/>
      <c r="BE122" s="330"/>
      <c r="BF122" s="330"/>
    </row>
    <row r="123" spans="1:58">
      <c r="A123" s="301" t="s">
        <v>46</v>
      </c>
      <c r="B123" s="308">
        <f t="shared" si="189"/>
        <v>0</v>
      </c>
      <c r="C123" s="308">
        <f t="shared" si="189"/>
        <v>279648</v>
      </c>
      <c r="D123" s="308">
        <f t="shared" si="189"/>
        <v>370302</v>
      </c>
      <c r="E123" s="308">
        <f t="shared" si="189"/>
        <v>649996</v>
      </c>
      <c r="F123" s="308">
        <f t="shared" si="189"/>
        <v>918911</v>
      </c>
      <c r="G123" s="308">
        <f t="shared" si="189"/>
        <v>558072</v>
      </c>
      <c r="H123" s="308">
        <f t="shared" si="189"/>
        <v>390974</v>
      </c>
      <c r="I123" s="308">
        <f t="shared" si="189"/>
        <v>335064</v>
      </c>
      <c r="J123" s="308">
        <f t="shared" si="189"/>
        <v>1030741</v>
      </c>
      <c r="K123" s="308">
        <f t="shared" si="189"/>
        <v>2995674</v>
      </c>
      <c r="L123" s="308">
        <f t="shared" si="189"/>
        <v>3082235</v>
      </c>
      <c r="M123" s="308">
        <f t="shared" si="189"/>
        <v>3055962</v>
      </c>
      <c r="N123" s="308">
        <f t="shared" si="189"/>
        <v>5292420</v>
      </c>
      <c r="O123" s="308">
        <f t="shared" si="189"/>
        <v>4886807</v>
      </c>
      <c r="P123" s="308">
        <f t="shared" si="189"/>
        <v>3922034</v>
      </c>
      <c r="Q123" s="307">
        <f t="shared" si="189"/>
        <v>3804545.0782076744</v>
      </c>
      <c r="R123" s="307">
        <f t="shared" si="189"/>
        <v>4609817.1129421378</v>
      </c>
      <c r="S123" s="307">
        <f t="shared" si="189"/>
        <v>5774191.7129221698</v>
      </c>
      <c r="T123" s="307">
        <f t="shared" si="189"/>
        <v>5925854.1080651917</v>
      </c>
      <c r="U123" s="307">
        <f t="shared" si="189"/>
        <v>6261916.9535265518</v>
      </c>
      <c r="V123" s="307">
        <f t="shared" si="189"/>
        <v>6759238.9705435019</v>
      </c>
      <c r="W123" s="307">
        <f t="shared" si="189"/>
        <v>7039318.3173633562</v>
      </c>
      <c r="X123" s="307">
        <f t="shared" si="189"/>
        <v>7998556.86054652</v>
      </c>
      <c r="Y123" s="307">
        <f t="shared" si="189"/>
        <v>8180121.5623535784</v>
      </c>
      <c r="Z123" s="307">
        <f t="shared" si="189"/>
        <v>8566039.6809830815</v>
      </c>
      <c r="AA123" s="307">
        <f t="shared" si="189"/>
        <v>9091144.9891102128</v>
      </c>
      <c r="AB123" s="307">
        <f t="shared" si="189"/>
        <v>8892371.2987734117</v>
      </c>
      <c r="AC123" s="307">
        <f t="shared" si="189"/>
        <v>9614079.1110444833</v>
      </c>
      <c r="AD123" s="307">
        <f t="shared" si="189"/>
        <v>10596287.161482276</v>
      </c>
      <c r="AE123" s="307">
        <f t="shared" si="189"/>
        <v>11575523.602335015</v>
      </c>
      <c r="AF123" s="307">
        <f t="shared" si="189"/>
        <v>11570328.558080548</v>
      </c>
      <c r="AG123" s="307">
        <f t="shared" si="189"/>
        <v>11612625.860388728</v>
      </c>
      <c r="AH123" s="307">
        <f t="shared" si="189"/>
        <v>12200354.842341354</v>
      </c>
      <c r="AI123" s="307">
        <f t="shared" si="189"/>
        <v>13172372.778771644</v>
      </c>
      <c r="AJ123" s="307">
        <f t="shared" si="189"/>
        <v>13501705.6301654</v>
      </c>
      <c r="AK123" s="307">
        <f t="shared" si="189"/>
        <v>13476200.619701881</v>
      </c>
      <c r="AL123" s="307">
        <f t="shared" si="189"/>
        <v>13415205.67477086</v>
      </c>
      <c r="AM123" s="307">
        <f t="shared" si="189"/>
        <v>13185206.980684943</v>
      </c>
      <c r="AN123" s="307">
        <f t="shared" si="189"/>
        <v>13689738.794349477</v>
      </c>
      <c r="AO123" s="307">
        <f t="shared" si="189"/>
        <v>14183932.803343907</v>
      </c>
      <c r="AP123" s="307">
        <f t="shared" si="189"/>
        <v>14311068.390806342</v>
      </c>
      <c r="AQ123" s="330">
        <f>O123/N123-1</f>
        <v>-7.6640364899233204E-2</v>
      </c>
      <c r="AR123" s="308">
        <v>4857985.8844629731</v>
      </c>
      <c r="AS123" s="308">
        <f t="shared" si="190"/>
        <v>-1775750.8844629731</v>
      </c>
      <c r="AT123" s="308">
        <v>7759262.0680446438</v>
      </c>
      <c r="AU123" s="308">
        <f t="shared" si="191"/>
        <v>-4703300.0680446438</v>
      </c>
      <c r="AV123" s="308">
        <v>3847959.5529740918</v>
      </c>
      <c r="AW123" s="308">
        <f t="shared" si="192"/>
        <v>1444460.4470259082</v>
      </c>
      <c r="AX123" s="308">
        <v>4373294.5190790175</v>
      </c>
      <c r="AY123" s="308">
        <f t="shared" si="193"/>
        <v>513512.48092098255</v>
      </c>
      <c r="AZ123" s="308">
        <v>3922034</v>
      </c>
      <c r="BA123" s="308">
        <f t="shared" si="194"/>
        <v>0</v>
      </c>
      <c r="BB123" s="331">
        <v>2571583.0600501718</v>
      </c>
      <c r="BC123" s="308">
        <f t="shared" si="195"/>
        <v>1232962.0181575026</v>
      </c>
      <c r="BD123" s="308"/>
      <c r="BE123" s="330"/>
      <c r="BF123" s="330"/>
    </row>
    <row r="124" spans="1:58">
      <c r="A124" s="301" t="s">
        <v>47</v>
      </c>
      <c r="B124" s="308">
        <f t="shared" si="189"/>
        <v>0</v>
      </c>
      <c r="C124" s="308">
        <f t="shared" si="189"/>
        <v>4380619</v>
      </c>
      <c r="D124" s="308">
        <f t="shared" si="189"/>
        <v>408502</v>
      </c>
      <c r="E124" s="308">
        <f t="shared" si="189"/>
        <v>1825728</v>
      </c>
      <c r="F124" s="308">
        <f t="shared" si="189"/>
        <v>761660</v>
      </c>
      <c r="G124" s="308">
        <f t="shared" si="189"/>
        <v>341069</v>
      </c>
      <c r="H124" s="308">
        <f t="shared" si="189"/>
        <v>309105</v>
      </c>
      <c r="I124" s="308">
        <f t="shared" si="189"/>
        <v>367344</v>
      </c>
      <c r="J124" s="308">
        <f t="shared" si="189"/>
        <v>430228</v>
      </c>
      <c r="K124" s="308">
        <f t="shared" si="189"/>
        <v>3468236</v>
      </c>
      <c r="L124" s="308">
        <f t="shared" si="189"/>
        <v>4256121</v>
      </c>
      <c r="M124" s="308">
        <f t="shared" si="189"/>
        <v>2229105</v>
      </c>
      <c r="N124" s="308">
        <f t="shared" si="189"/>
        <v>8683370</v>
      </c>
      <c r="O124" s="308">
        <f t="shared" si="189"/>
        <v>7140938</v>
      </c>
      <c r="P124" s="308">
        <f t="shared" si="189"/>
        <v>1427701</v>
      </c>
      <c r="Q124" s="307">
        <f t="shared" si="189"/>
        <v>4462045.4060335485</v>
      </c>
      <c r="R124" s="307">
        <f t="shared" si="189"/>
        <v>5265471.1928895842</v>
      </c>
      <c r="S124" s="307">
        <f t="shared" si="189"/>
        <v>6918971.409732407</v>
      </c>
      <c r="T124" s="307">
        <f t="shared" si="189"/>
        <v>6497308.2643882446</v>
      </c>
      <c r="U124" s="307">
        <f t="shared" si="189"/>
        <v>6401308.2830608003</v>
      </c>
      <c r="V124" s="307">
        <f t="shared" si="189"/>
        <v>7571275.4663272398</v>
      </c>
      <c r="W124" s="307">
        <f t="shared" si="189"/>
        <v>7836899.7994705858</v>
      </c>
      <c r="X124" s="307">
        <f t="shared" si="189"/>
        <v>8871242.3329781238</v>
      </c>
      <c r="Y124" s="307">
        <f t="shared" si="189"/>
        <v>8948708.724064244</v>
      </c>
      <c r="Z124" s="307">
        <f t="shared" si="189"/>
        <v>9367418.5076400824</v>
      </c>
      <c r="AA124" s="307">
        <f t="shared" si="189"/>
        <v>10046947.749192206</v>
      </c>
      <c r="AB124" s="307">
        <f t="shared" si="189"/>
        <v>9805216.359429935</v>
      </c>
      <c r="AC124" s="307">
        <f t="shared" si="189"/>
        <v>10584144.29052403</v>
      </c>
      <c r="AD124" s="307">
        <f t="shared" si="189"/>
        <v>11649775.456186704</v>
      </c>
      <c r="AE124" s="307">
        <f t="shared" si="189"/>
        <v>12737429.886017809</v>
      </c>
      <c r="AF124" s="307">
        <f t="shared" si="189"/>
        <v>12745301.091631114</v>
      </c>
      <c r="AG124" s="307">
        <f t="shared" si="189"/>
        <v>12784649.780309452</v>
      </c>
      <c r="AH124" s="307">
        <f t="shared" si="189"/>
        <v>13428285.496437877</v>
      </c>
      <c r="AI124" s="307">
        <f t="shared" si="189"/>
        <v>14497576.787099108</v>
      </c>
      <c r="AJ124" s="307">
        <f t="shared" si="189"/>
        <v>14862859.853075251</v>
      </c>
      <c r="AK124" s="307">
        <f t="shared" si="189"/>
        <v>14835883.012585936</v>
      </c>
      <c r="AL124" s="307">
        <f t="shared" si="189"/>
        <v>14767143.517288383</v>
      </c>
      <c r="AM124" s="307">
        <f t="shared" si="189"/>
        <v>14513616.741672307</v>
      </c>
      <c r="AN124" s="307">
        <f t="shared" si="189"/>
        <v>15069237.576195538</v>
      </c>
      <c r="AO124" s="307">
        <f t="shared" si="189"/>
        <v>15613686.46857398</v>
      </c>
      <c r="AP124" s="307">
        <f t="shared" si="189"/>
        <v>15753601.70262092</v>
      </c>
      <c r="AR124" s="308">
        <v>4497064.0152404737</v>
      </c>
      <c r="AS124" s="308">
        <f t="shared" si="190"/>
        <v>-240943.01524047367</v>
      </c>
      <c r="AT124" s="308">
        <v>6241349.6453472814</v>
      </c>
      <c r="AU124" s="308">
        <f t="shared" si="191"/>
        <v>-4012244.6453472814</v>
      </c>
      <c r="AV124" s="308">
        <v>5431273.9054309446</v>
      </c>
      <c r="AW124" s="308">
        <f t="shared" si="192"/>
        <v>3252096.0945690554</v>
      </c>
      <c r="AX124" s="308">
        <v>9696327.1191946939</v>
      </c>
      <c r="AY124" s="308">
        <f t="shared" si="193"/>
        <v>-2555389.1191946939</v>
      </c>
      <c r="AZ124" s="308">
        <v>1427701</v>
      </c>
      <c r="BA124" s="308">
        <f t="shared" si="194"/>
        <v>0</v>
      </c>
      <c r="BB124" s="331">
        <v>3016003.265424896</v>
      </c>
      <c r="BC124" s="308">
        <f t="shared" si="195"/>
        <v>1446042.1406086525</v>
      </c>
      <c r="BD124" s="308"/>
      <c r="BE124" s="330"/>
      <c r="BF124" s="330"/>
    </row>
    <row r="125" spans="1:58">
      <c r="A125" s="301" t="s">
        <v>48</v>
      </c>
      <c r="B125" s="308">
        <f t="shared" si="189"/>
        <v>0</v>
      </c>
      <c r="C125" s="308">
        <f t="shared" si="189"/>
        <v>820327</v>
      </c>
      <c r="D125" s="308">
        <f t="shared" si="189"/>
        <v>510434</v>
      </c>
      <c r="E125" s="308">
        <f t="shared" si="189"/>
        <v>5656316</v>
      </c>
      <c r="F125" s="308">
        <f t="shared" si="189"/>
        <v>776903</v>
      </c>
      <c r="G125" s="308">
        <f t="shared" si="189"/>
        <v>544047</v>
      </c>
      <c r="H125" s="308">
        <f t="shared" si="189"/>
        <v>526111</v>
      </c>
      <c r="I125" s="308">
        <f t="shared" si="189"/>
        <v>372167</v>
      </c>
      <c r="J125" s="308">
        <f t="shared" si="189"/>
        <v>930706</v>
      </c>
      <c r="K125" s="308">
        <f t="shared" si="189"/>
        <v>2475387</v>
      </c>
      <c r="L125" s="308">
        <f t="shared" si="189"/>
        <v>3353056</v>
      </c>
      <c r="M125" s="308">
        <f t="shared" si="189"/>
        <v>4201540</v>
      </c>
      <c r="N125" s="308">
        <f t="shared" si="189"/>
        <v>4577635</v>
      </c>
      <c r="O125" s="308">
        <f t="shared" si="189"/>
        <v>9795364</v>
      </c>
      <c r="P125" s="308">
        <f t="shared" si="189"/>
        <v>6189823</v>
      </c>
      <c r="Q125" s="307">
        <f t="shared" si="189"/>
        <v>5285417.4387381254</v>
      </c>
      <c r="R125" s="307">
        <f t="shared" si="189"/>
        <v>6608411.4173958665</v>
      </c>
      <c r="S125" s="307">
        <f t="shared" si="189"/>
        <v>8323594.8128836397</v>
      </c>
      <c r="T125" s="307">
        <f t="shared" si="189"/>
        <v>9328508.2962895669</v>
      </c>
      <c r="U125" s="307">
        <f t="shared" si="189"/>
        <v>9309794.25953863</v>
      </c>
      <c r="V125" s="307">
        <f t="shared" si="189"/>
        <v>9957230.1778068468</v>
      </c>
      <c r="W125" s="307">
        <f t="shared" si="189"/>
        <v>10446422.056520691</v>
      </c>
      <c r="X125" s="307">
        <f t="shared" si="189"/>
        <v>11928521.352495473</v>
      </c>
      <c r="Y125" s="307">
        <f t="shared" si="189"/>
        <v>12268533.154106138</v>
      </c>
      <c r="Z125" s="307">
        <f t="shared" si="189"/>
        <v>12743109.505597992</v>
      </c>
      <c r="AA125" s="307">
        <f t="shared" si="189"/>
        <v>13525600.573040994</v>
      </c>
      <c r="AB125" s="307">
        <f t="shared" si="189"/>
        <v>13251409.817632904</v>
      </c>
      <c r="AC125" s="307">
        <f t="shared" si="189"/>
        <v>14336701.812314557</v>
      </c>
      <c r="AD125" s="307">
        <f t="shared" si="189"/>
        <v>15801170.262425991</v>
      </c>
      <c r="AE125" s="307">
        <f t="shared" si="189"/>
        <v>17243992.109078597</v>
      </c>
      <c r="AF125" s="307">
        <f t="shared" si="189"/>
        <v>17240361.307880208</v>
      </c>
      <c r="AG125" s="307">
        <f t="shared" si="189"/>
        <v>17307977.035917915</v>
      </c>
      <c r="AH125" s="307">
        <f t="shared" si="189"/>
        <v>18184438.039260261</v>
      </c>
      <c r="AI125" s="307">
        <f t="shared" si="189"/>
        <v>19631598.109538496</v>
      </c>
      <c r="AJ125" s="307">
        <f t="shared" si="189"/>
        <v>20120431.229344469</v>
      </c>
      <c r="AK125" s="307">
        <f t="shared" si="189"/>
        <v>20083729.640953183</v>
      </c>
      <c r="AL125" s="307">
        <f t="shared" si="189"/>
        <v>19993462.91791939</v>
      </c>
      <c r="AM125" s="307">
        <f t="shared" si="189"/>
        <v>19650481.194039784</v>
      </c>
      <c r="AN125" s="307">
        <f t="shared" si="189"/>
        <v>20402053.017086837</v>
      </c>
      <c r="AO125" s="307">
        <f t="shared" si="189"/>
        <v>21138435.584624019</v>
      </c>
      <c r="AP125" s="307">
        <f t="shared" si="189"/>
        <v>21328175.444446594</v>
      </c>
      <c r="AR125" s="308">
        <v>2884584.2561564511</v>
      </c>
      <c r="AS125" s="308">
        <f t="shared" si="190"/>
        <v>468471.74384354893</v>
      </c>
      <c r="AT125" s="308">
        <v>5310102.5162723064</v>
      </c>
      <c r="AU125" s="308">
        <f t="shared" si="191"/>
        <v>-1108562.5162723064</v>
      </c>
      <c r="AV125" s="308">
        <v>5725057.9756736523</v>
      </c>
      <c r="AW125" s="308">
        <f t="shared" si="192"/>
        <v>-1147422.9756736523</v>
      </c>
      <c r="AX125" s="308">
        <v>5115756.4828002481</v>
      </c>
      <c r="AY125" s="308">
        <f t="shared" si="193"/>
        <v>4679607.5171997519</v>
      </c>
      <c r="AZ125" s="308">
        <v>6189823</v>
      </c>
      <c r="BA125" s="308">
        <f t="shared" si="194"/>
        <v>0</v>
      </c>
      <c r="BB125" s="331">
        <v>3572540.1253902046</v>
      </c>
      <c r="BC125" s="308">
        <f t="shared" si="195"/>
        <v>1712877.3133479208</v>
      </c>
      <c r="BD125" s="308"/>
      <c r="BE125" s="330"/>
      <c r="BF125" s="330"/>
    </row>
    <row r="126" spans="1:58">
      <c r="A126" s="301" t="s">
        <v>49</v>
      </c>
      <c r="B126" s="308">
        <f t="shared" si="189"/>
        <v>314992</v>
      </c>
      <c r="C126" s="308">
        <f t="shared" si="189"/>
        <v>810431</v>
      </c>
      <c r="D126" s="308">
        <f t="shared" si="189"/>
        <v>554454</v>
      </c>
      <c r="E126" s="308">
        <f t="shared" si="189"/>
        <v>4357542</v>
      </c>
      <c r="F126" s="308">
        <f t="shared" si="189"/>
        <v>1384274</v>
      </c>
      <c r="G126" s="308">
        <f t="shared" si="189"/>
        <v>476182</v>
      </c>
      <c r="H126" s="308">
        <f t="shared" si="189"/>
        <v>425193</v>
      </c>
      <c r="I126" s="308">
        <f t="shared" si="189"/>
        <v>516394</v>
      </c>
      <c r="J126" s="308">
        <f t="shared" si="189"/>
        <v>2489820</v>
      </c>
      <c r="K126" s="308">
        <f t="shared" ref="B126:AP131" si="196">K142+K158</f>
        <v>3103036</v>
      </c>
      <c r="L126" s="308">
        <f t="shared" si="196"/>
        <v>3624640</v>
      </c>
      <c r="M126" s="308">
        <f t="shared" si="196"/>
        <v>5244569</v>
      </c>
      <c r="N126" s="308">
        <f t="shared" si="196"/>
        <v>4786731</v>
      </c>
      <c r="O126" s="308">
        <f t="shared" si="196"/>
        <v>4437004</v>
      </c>
      <c r="P126" s="308">
        <f t="shared" si="196"/>
        <v>6786703</v>
      </c>
      <c r="Q126" s="307">
        <f t="shared" si="196"/>
        <v>4676792.1621910194</v>
      </c>
      <c r="R126" s="307">
        <f t="shared" si="196"/>
        <v>5702803.8427504646</v>
      </c>
      <c r="S126" s="307">
        <f t="shared" si="196"/>
        <v>6767794.7157582389</v>
      </c>
      <c r="T126" s="307">
        <f t="shared" si="196"/>
        <v>7310523.0692350771</v>
      </c>
      <c r="U126" s="307">
        <f t="shared" si="196"/>
        <v>8139773.5773264272</v>
      </c>
      <c r="V126" s="307">
        <f t="shared" si="196"/>
        <v>8353535.1907142075</v>
      </c>
      <c r="W126" s="307">
        <f t="shared" si="196"/>
        <v>8705707.2095988765</v>
      </c>
      <c r="X126" s="307">
        <f t="shared" si="196"/>
        <v>9891588.2615788933</v>
      </c>
      <c r="Y126" s="307">
        <f t="shared" si="196"/>
        <v>10205901.053373573</v>
      </c>
      <c r="Z126" s="307">
        <f t="shared" si="196"/>
        <v>10706973.900305437</v>
      </c>
      <c r="AA126" s="307">
        <f t="shared" si="196"/>
        <v>11289540.991109733</v>
      </c>
      <c r="AB126" s="307">
        <f t="shared" si="196"/>
        <v>11051446.873012669</v>
      </c>
      <c r="AC126" s="307">
        <f t="shared" si="196"/>
        <v>11958008.055857308</v>
      </c>
      <c r="AD126" s="307">
        <f t="shared" si="196"/>
        <v>13193307.982895501</v>
      </c>
      <c r="AE126" s="307">
        <f t="shared" si="196"/>
        <v>14407361.72253938</v>
      </c>
      <c r="AF126" s="307">
        <f t="shared" si="196"/>
        <v>14390355.926277425</v>
      </c>
      <c r="AG126" s="307">
        <f t="shared" si="196"/>
        <v>14446825.557806795</v>
      </c>
      <c r="AH126" s="307">
        <f t="shared" si="196"/>
        <v>15180485.659977095</v>
      </c>
      <c r="AI126" s="307">
        <f t="shared" si="196"/>
        <v>16390955.841522472</v>
      </c>
      <c r="AJ126" s="307">
        <f t="shared" si="196"/>
        <v>16798987.999267172</v>
      </c>
      <c r="AK126" s="307">
        <f t="shared" si="196"/>
        <v>16766178.759196563</v>
      </c>
      <c r="AL126" s="307">
        <f t="shared" si="196"/>
        <v>16691271.480748378</v>
      </c>
      <c r="AM126" s="307">
        <f t="shared" si="196"/>
        <v>16405439.946088003</v>
      </c>
      <c r="AN126" s="307">
        <f t="shared" si="196"/>
        <v>17033105.953995343</v>
      </c>
      <c r="AO126" s="307">
        <f t="shared" si="196"/>
        <v>17647663.268482916</v>
      </c>
      <c r="AP126" s="307">
        <f t="shared" si="196"/>
        <v>17805813.383538153</v>
      </c>
      <c r="AR126" s="308">
        <v>3439747.2933719452</v>
      </c>
      <c r="AS126" s="308">
        <f t="shared" si="190"/>
        <v>184892.70662805485</v>
      </c>
      <c r="AT126" s="308">
        <v>5391387.1761672972</v>
      </c>
      <c r="AU126" s="308">
        <f t="shared" si="191"/>
        <v>-146818.17616729718</v>
      </c>
      <c r="AV126" s="308">
        <v>6005400.8840759359</v>
      </c>
      <c r="AW126" s="308">
        <f t="shared" si="192"/>
        <v>-1218669.8840759359</v>
      </c>
      <c r="AX126" s="308">
        <v>5711504.3779183617</v>
      </c>
      <c r="AY126" s="308">
        <f t="shared" si="193"/>
        <v>-1274500.3779183617</v>
      </c>
      <c r="AZ126" s="309">
        <v>6786703</v>
      </c>
      <c r="BA126" s="308">
        <f t="shared" si="194"/>
        <v>0</v>
      </c>
      <c r="BB126" s="331">
        <v>3161155.7367409775</v>
      </c>
      <c r="BC126" s="308">
        <f t="shared" si="195"/>
        <v>1515636.4254500419</v>
      </c>
      <c r="BD126" s="308"/>
      <c r="BE126" s="330"/>
      <c r="BF126" s="330"/>
    </row>
    <row r="127" spans="1:58">
      <c r="A127" s="301" t="s">
        <v>50</v>
      </c>
      <c r="B127" s="308">
        <f t="shared" si="196"/>
        <v>730498</v>
      </c>
      <c r="C127" s="308">
        <f t="shared" si="196"/>
        <v>1145938</v>
      </c>
      <c r="D127" s="308">
        <f t="shared" si="196"/>
        <v>1233548</v>
      </c>
      <c r="E127" s="308">
        <f t="shared" si="196"/>
        <v>6366432</v>
      </c>
      <c r="F127" s="308">
        <f t="shared" si="196"/>
        <v>488601</v>
      </c>
      <c r="G127" s="308">
        <f t="shared" si="196"/>
        <v>445036</v>
      </c>
      <c r="H127" s="308">
        <f t="shared" si="196"/>
        <v>474815</v>
      </c>
      <c r="I127" s="308">
        <f t="shared" si="196"/>
        <v>440230</v>
      </c>
      <c r="J127" s="308">
        <f t="shared" si="196"/>
        <v>2138451</v>
      </c>
      <c r="K127" s="308">
        <f t="shared" si="196"/>
        <v>3613287</v>
      </c>
      <c r="L127" s="308">
        <f t="shared" si="196"/>
        <v>3674667</v>
      </c>
      <c r="M127" s="308">
        <f t="shared" si="196"/>
        <v>7740697</v>
      </c>
      <c r="N127" s="308">
        <f t="shared" si="196"/>
        <v>7251742</v>
      </c>
      <c r="O127" s="308">
        <f t="shared" si="196"/>
        <v>8073780</v>
      </c>
      <c r="P127" s="308">
        <f t="shared" si="196"/>
        <v>8864247</v>
      </c>
      <c r="Q127" s="307">
        <f t="shared" si="196"/>
        <v>6692932.859866092</v>
      </c>
      <c r="R127" s="307">
        <f t="shared" si="196"/>
        <v>8493882.9758975357</v>
      </c>
      <c r="S127" s="307">
        <f t="shared" si="196"/>
        <v>10098230.367046395</v>
      </c>
      <c r="T127" s="307">
        <f t="shared" si="196"/>
        <v>10879831.078158621</v>
      </c>
      <c r="U127" s="307">
        <f t="shared" si="196"/>
        <v>11730880.826499688</v>
      </c>
      <c r="V127" s="307">
        <f t="shared" si="196"/>
        <v>12273843.120493958</v>
      </c>
      <c r="W127" s="307">
        <f t="shared" si="196"/>
        <v>12834170.303376196</v>
      </c>
      <c r="X127" s="307">
        <f t="shared" si="196"/>
        <v>14560599.345535606</v>
      </c>
      <c r="Y127" s="307">
        <f t="shared" si="196"/>
        <v>14990559.582780313</v>
      </c>
      <c r="Z127" s="307">
        <f t="shared" si="196"/>
        <v>15692967.085042037</v>
      </c>
      <c r="AA127" s="307">
        <f t="shared" si="196"/>
        <v>16593854.399156081</v>
      </c>
      <c r="AB127" s="307">
        <f t="shared" si="196"/>
        <v>16244881.782357566</v>
      </c>
      <c r="AC127" s="307">
        <f t="shared" si="196"/>
        <v>17569057.674494725</v>
      </c>
      <c r="AD127" s="307">
        <f t="shared" si="196"/>
        <v>19377404.704483926</v>
      </c>
      <c r="AE127" s="307">
        <f t="shared" si="196"/>
        <v>21160311.576358572</v>
      </c>
      <c r="AF127" s="307">
        <f t="shared" si="196"/>
        <v>21142897.098765869</v>
      </c>
      <c r="AG127" s="307">
        <f t="shared" si="196"/>
        <v>21224353.030179393</v>
      </c>
      <c r="AH127" s="307">
        <f t="shared" si="196"/>
        <v>22300245.930673808</v>
      </c>
      <c r="AI127" s="307">
        <f t="shared" si="196"/>
        <v>24077827.908714287</v>
      </c>
      <c r="AJ127" s="307">
        <f t="shared" si="196"/>
        <v>24677927.581519194</v>
      </c>
      <c r="AK127" s="307">
        <f t="shared" si="196"/>
        <v>24630661.235033907</v>
      </c>
      <c r="AL127" s="307">
        <f t="shared" si="196"/>
        <v>24520096.8128036</v>
      </c>
      <c r="AM127" s="307">
        <f t="shared" si="196"/>
        <v>24099912.888213206</v>
      </c>
      <c r="AN127" s="307">
        <f t="shared" si="196"/>
        <v>25022004.519630011</v>
      </c>
      <c r="AO127" s="307">
        <f t="shared" si="196"/>
        <v>25924980.611098327</v>
      </c>
      <c r="AP127" s="307">
        <f t="shared" si="196"/>
        <v>26157375.988568727</v>
      </c>
      <c r="AR127" s="308">
        <v>3324782.2870129417</v>
      </c>
      <c r="AS127" s="308">
        <f t="shared" si="190"/>
        <v>349884.71298705833</v>
      </c>
      <c r="AT127" s="308">
        <v>4814988.5500952573</v>
      </c>
      <c r="AU127" s="308">
        <f t="shared" si="191"/>
        <v>2925708.4499047427</v>
      </c>
      <c r="AV127" s="308">
        <v>7317429.5339870136</v>
      </c>
      <c r="AW127" s="308">
        <f t="shared" si="192"/>
        <v>-65687.533987013623</v>
      </c>
      <c r="AX127" s="308">
        <v>4862191.6294933707</v>
      </c>
      <c r="AY127" s="308">
        <f t="shared" si="193"/>
        <v>3211588.3705066293</v>
      </c>
      <c r="AZ127" s="309">
        <v>8864247</v>
      </c>
      <c r="BA127" s="308">
        <f t="shared" si="194"/>
        <v>0</v>
      </c>
      <c r="BB127" s="331">
        <v>4523913.4799772482</v>
      </c>
      <c r="BC127" s="308">
        <f t="shared" si="195"/>
        <v>2169019.3798888437</v>
      </c>
      <c r="BD127" s="308"/>
      <c r="BE127" s="330"/>
      <c r="BF127" s="330"/>
    </row>
    <row r="128" spans="1:58">
      <c r="A128" s="301" t="s">
        <v>51</v>
      </c>
      <c r="B128" s="308">
        <f t="shared" si="196"/>
        <v>973736</v>
      </c>
      <c r="C128" s="308">
        <f t="shared" si="196"/>
        <v>1889562</v>
      </c>
      <c r="D128" s="308">
        <f t="shared" si="196"/>
        <v>1040125</v>
      </c>
      <c r="E128" s="308">
        <f t="shared" si="196"/>
        <v>7873106</v>
      </c>
      <c r="F128" s="308">
        <f t="shared" si="196"/>
        <v>626006</v>
      </c>
      <c r="G128" s="308">
        <f t="shared" si="196"/>
        <v>370351</v>
      </c>
      <c r="H128" s="308">
        <f t="shared" si="196"/>
        <v>354877</v>
      </c>
      <c r="I128" s="308">
        <f t="shared" si="196"/>
        <v>383102</v>
      </c>
      <c r="J128" s="308">
        <f t="shared" si="196"/>
        <v>3630173</v>
      </c>
      <c r="K128" s="308">
        <f t="shared" si="196"/>
        <v>3039211</v>
      </c>
      <c r="L128" s="308">
        <f t="shared" si="196"/>
        <v>3281535</v>
      </c>
      <c r="M128" s="308">
        <f t="shared" si="196"/>
        <v>5824657</v>
      </c>
      <c r="N128" s="308">
        <f t="shared" si="196"/>
        <v>8895630</v>
      </c>
      <c r="O128" s="308">
        <f t="shared" si="196"/>
        <v>7402500</v>
      </c>
      <c r="P128" s="308">
        <f t="shared" si="196"/>
        <v>6811136</v>
      </c>
      <c r="Q128" s="307">
        <f t="shared" si="196"/>
        <v>6055753.1815380659</v>
      </c>
      <c r="R128" s="307">
        <f t="shared" si="196"/>
        <v>7694771.139350838</v>
      </c>
      <c r="S128" s="307">
        <f t="shared" si="196"/>
        <v>9452791.6906419229</v>
      </c>
      <c r="T128" s="307">
        <f t="shared" si="196"/>
        <v>9641413.7215841096</v>
      </c>
      <c r="U128" s="307">
        <f t="shared" si="196"/>
        <v>10331052.233753035</v>
      </c>
      <c r="V128" s="307">
        <f t="shared" si="196"/>
        <v>11064294.5305705</v>
      </c>
      <c r="W128" s="307">
        <f t="shared" si="196"/>
        <v>11564030.26330157</v>
      </c>
      <c r="X128" s="307">
        <f t="shared" si="196"/>
        <v>13109153.695279913</v>
      </c>
      <c r="Y128" s="307">
        <f t="shared" si="196"/>
        <v>13409317.55312174</v>
      </c>
      <c r="Z128" s="307">
        <f t="shared" si="196"/>
        <v>14059092.749521568</v>
      </c>
      <c r="AA128" s="307">
        <f t="shared" si="196"/>
        <v>14908278.897703221</v>
      </c>
      <c r="AB128" s="307">
        <f t="shared" si="196"/>
        <v>14586659.853056431</v>
      </c>
      <c r="AC128" s="307">
        <f t="shared" si="196"/>
        <v>15766684.360459544</v>
      </c>
      <c r="AD128" s="307">
        <f t="shared" si="196"/>
        <v>17379409.812630791</v>
      </c>
      <c r="AE128" s="307">
        <f t="shared" si="196"/>
        <v>18987288.097930685</v>
      </c>
      <c r="AF128" s="307">
        <f t="shared" si="196"/>
        <v>18976848.764843225</v>
      </c>
      <c r="AG128" s="307">
        <f t="shared" si="196"/>
        <v>19046752.006160077</v>
      </c>
      <c r="AH128" s="307">
        <f t="shared" si="196"/>
        <v>20010374.945450641</v>
      </c>
      <c r="AI128" s="307">
        <f t="shared" si="196"/>
        <v>21605043.357569523</v>
      </c>
      <c r="AJ128" s="307">
        <f t="shared" si="196"/>
        <v>22145296.316788375</v>
      </c>
      <c r="AK128" s="307">
        <f t="shared" si="196"/>
        <v>22103183.934283827</v>
      </c>
      <c r="AL128" s="307">
        <f t="shared" si="196"/>
        <v>22003224.361149654</v>
      </c>
      <c r="AM128" s="307">
        <f t="shared" si="196"/>
        <v>21625974.090379197</v>
      </c>
      <c r="AN128" s="307">
        <f t="shared" si="196"/>
        <v>22453548.115895078</v>
      </c>
      <c r="AO128" s="307">
        <f t="shared" si="196"/>
        <v>23264098.307860933</v>
      </c>
      <c r="AP128" s="307">
        <f t="shared" si="196"/>
        <v>23472587.163329612</v>
      </c>
      <c r="AR128" s="308">
        <v>1815886.4668313605</v>
      </c>
      <c r="AS128" s="308">
        <f t="shared" si="190"/>
        <v>1465648.5331686395</v>
      </c>
      <c r="AT128" s="308">
        <v>5028516.9226464471</v>
      </c>
      <c r="AU128" s="308">
        <f t="shared" si="191"/>
        <v>796140.07735355292</v>
      </c>
      <c r="AV128" s="308">
        <v>6744136.7074503321</v>
      </c>
      <c r="AW128" s="308">
        <f t="shared" si="192"/>
        <v>2151493.2925496679</v>
      </c>
      <c r="AX128" s="308">
        <v>7436982.3189669512</v>
      </c>
      <c r="AY128" s="308">
        <f t="shared" si="193"/>
        <v>-34482.318966951221</v>
      </c>
      <c r="AZ128" s="309">
        <v>6288031.8575616498</v>
      </c>
      <c r="BA128" s="308">
        <f t="shared" si="194"/>
        <v>523104.14243835025</v>
      </c>
      <c r="BB128" s="331">
        <v>4093228.4878655244</v>
      </c>
      <c r="BC128" s="308">
        <f t="shared" si="195"/>
        <v>1962524.6936725415</v>
      </c>
      <c r="BD128" s="308"/>
      <c r="BE128" s="330"/>
      <c r="BF128" s="330"/>
    </row>
    <row r="129" spans="1:58">
      <c r="A129" s="301" t="s">
        <v>52</v>
      </c>
      <c r="B129" s="308">
        <f t="shared" si="196"/>
        <v>1453856</v>
      </c>
      <c r="C129" s="308">
        <f t="shared" si="196"/>
        <v>1149922</v>
      </c>
      <c r="D129" s="308">
        <f t="shared" si="196"/>
        <v>1119440</v>
      </c>
      <c r="E129" s="308">
        <f t="shared" si="196"/>
        <v>7878698</v>
      </c>
      <c r="F129" s="308">
        <f t="shared" si="196"/>
        <v>842544</v>
      </c>
      <c r="G129" s="308">
        <f t="shared" si="196"/>
        <v>376668</v>
      </c>
      <c r="H129" s="308">
        <f t="shared" si="196"/>
        <v>531220</v>
      </c>
      <c r="I129" s="308">
        <f t="shared" si="196"/>
        <v>325147</v>
      </c>
      <c r="J129" s="308">
        <f t="shared" si="196"/>
        <v>3099580</v>
      </c>
      <c r="K129" s="308">
        <f t="shared" si="196"/>
        <v>1976794</v>
      </c>
      <c r="L129" s="308">
        <f t="shared" si="196"/>
        <v>4348250</v>
      </c>
      <c r="M129" s="308">
        <f t="shared" si="196"/>
        <v>5090487</v>
      </c>
      <c r="N129" s="308">
        <f t="shared" si="196"/>
        <v>5690860</v>
      </c>
      <c r="O129" s="308">
        <f t="shared" si="196"/>
        <v>6904320</v>
      </c>
      <c r="P129" s="308">
        <f t="shared" si="196"/>
        <v>5111224</v>
      </c>
      <c r="Q129" s="307">
        <f t="shared" si="196"/>
        <v>5102652.0862763887</v>
      </c>
      <c r="R129" s="307">
        <f t="shared" si="196"/>
        <v>6135541.1758462833</v>
      </c>
      <c r="S129" s="307">
        <f t="shared" si="196"/>
        <v>7422919.2870181222</v>
      </c>
      <c r="T129" s="307">
        <f t="shared" si="196"/>
        <v>7904607.97806466</v>
      </c>
      <c r="U129" s="307">
        <f t="shared" si="196"/>
        <v>8252402.5756668607</v>
      </c>
      <c r="V129" s="307">
        <f t="shared" si="196"/>
        <v>8922547.5825188924</v>
      </c>
      <c r="W129" s="307">
        <f t="shared" si="196"/>
        <v>9272958.208105186</v>
      </c>
      <c r="X129" s="307">
        <f t="shared" si="196"/>
        <v>10520709.252081923</v>
      </c>
      <c r="Y129" s="307">
        <f t="shared" si="196"/>
        <v>10800932.179264164</v>
      </c>
      <c r="Z129" s="307">
        <f t="shared" si="196"/>
        <v>11291540.475558244</v>
      </c>
      <c r="AA129" s="307">
        <f t="shared" si="196"/>
        <v>11984169.530725475</v>
      </c>
      <c r="AB129" s="307">
        <f t="shared" si="196"/>
        <v>11719453.683657413</v>
      </c>
      <c r="AC129" s="307">
        <f t="shared" si="196"/>
        <v>12671579.517024415</v>
      </c>
      <c r="AD129" s="307">
        <f t="shared" si="196"/>
        <v>13971307.9127429</v>
      </c>
      <c r="AE129" s="307">
        <f t="shared" si="196"/>
        <v>15258637.76793259</v>
      </c>
      <c r="AF129" s="307">
        <f t="shared" si="196"/>
        <v>15251801.874976644</v>
      </c>
      <c r="AG129" s="307">
        <f t="shared" si="196"/>
        <v>15307472.201539619</v>
      </c>
      <c r="AH129" s="307">
        <f t="shared" si="196"/>
        <v>16082700.567389639</v>
      </c>
      <c r="AI129" s="307">
        <f t="shared" si="196"/>
        <v>17364453.718956657</v>
      </c>
      <c r="AJ129" s="307">
        <f t="shared" si="196"/>
        <v>17797973.252469543</v>
      </c>
      <c r="AK129" s="307">
        <f t="shared" si="196"/>
        <v>17764404.354395576</v>
      </c>
      <c r="AL129" s="307">
        <f t="shared" si="196"/>
        <v>17684057.325440697</v>
      </c>
      <c r="AM129" s="307">
        <f t="shared" si="196"/>
        <v>17380952.263997275</v>
      </c>
      <c r="AN129" s="307">
        <f t="shared" si="196"/>
        <v>18046034.996381707</v>
      </c>
      <c r="AO129" s="307">
        <f t="shared" si="196"/>
        <v>18697401.186145853</v>
      </c>
      <c r="AP129" s="307">
        <f t="shared" si="196"/>
        <v>18865015.599514659</v>
      </c>
      <c r="AR129" s="308">
        <v>2042274.5705061262</v>
      </c>
      <c r="AS129" s="308">
        <f t="shared" si="190"/>
        <v>2305975.4294938738</v>
      </c>
      <c r="AT129" s="308">
        <v>5763353.3933205102</v>
      </c>
      <c r="AU129" s="308">
        <f t="shared" si="191"/>
        <v>-672866.39332051016</v>
      </c>
      <c r="AV129" s="308">
        <v>5988443.8226788202</v>
      </c>
      <c r="AW129" s="308">
        <f t="shared" si="192"/>
        <v>-297583.82267882023</v>
      </c>
      <c r="AX129" s="308">
        <v>7050047.2252588654</v>
      </c>
      <c r="AY129" s="308">
        <f t="shared" si="193"/>
        <v>-145727.22525886539</v>
      </c>
      <c r="AZ129" s="309">
        <v>6308064.7784051979</v>
      </c>
      <c r="BA129" s="308">
        <f t="shared" si="194"/>
        <v>-1196840.7784051979</v>
      </c>
      <c r="BB129" s="331">
        <v>3449004.6501380312</v>
      </c>
      <c r="BC129" s="308">
        <f t="shared" si="195"/>
        <v>1653647.4361383575</v>
      </c>
      <c r="BD129" s="308"/>
      <c r="BE129" s="330"/>
      <c r="BF129" s="330"/>
    </row>
    <row r="130" spans="1:58">
      <c r="A130" s="301" t="s">
        <v>53</v>
      </c>
      <c r="B130" s="308">
        <f t="shared" si="196"/>
        <v>1884038</v>
      </c>
      <c r="C130" s="308">
        <f t="shared" si="196"/>
        <v>1533521</v>
      </c>
      <c r="D130" s="308">
        <f t="shared" si="196"/>
        <v>1905118</v>
      </c>
      <c r="E130" s="308">
        <f t="shared" si="196"/>
        <v>4420456</v>
      </c>
      <c r="F130" s="308">
        <f t="shared" si="196"/>
        <v>519406</v>
      </c>
      <c r="G130" s="308">
        <f t="shared" si="196"/>
        <v>311314</v>
      </c>
      <c r="H130" s="308">
        <f t="shared" si="196"/>
        <v>383524</v>
      </c>
      <c r="I130" s="308">
        <f t="shared" si="196"/>
        <v>597475</v>
      </c>
      <c r="J130" s="308">
        <f t="shared" si="196"/>
        <v>3453701</v>
      </c>
      <c r="K130" s="308">
        <f t="shared" si="196"/>
        <v>2394703</v>
      </c>
      <c r="L130" s="308">
        <f t="shared" si="196"/>
        <v>5931919</v>
      </c>
      <c r="M130" s="308">
        <f t="shared" si="196"/>
        <v>753698</v>
      </c>
      <c r="N130" s="308">
        <f t="shared" si="196"/>
        <v>8102250</v>
      </c>
      <c r="O130" s="308">
        <f t="shared" si="196"/>
        <v>4408772</v>
      </c>
      <c r="P130" s="308">
        <f t="shared" si="196"/>
        <v>7182048</v>
      </c>
      <c r="Q130" s="307">
        <f t="shared" si="196"/>
        <v>4958576.6474295296</v>
      </c>
      <c r="R130" s="307">
        <f t="shared" si="196"/>
        <v>5587028.3498493591</v>
      </c>
      <c r="S130" s="307">
        <f t="shared" si="196"/>
        <v>7754788.9790439336</v>
      </c>
      <c r="T130" s="307">
        <f t="shared" si="196"/>
        <v>7702219.050266644</v>
      </c>
      <c r="U130" s="307">
        <f t="shared" si="196"/>
        <v>8645189.307739649</v>
      </c>
      <c r="V130" s="307">
        <f t="shared" si="196"/>
        <v>8878900.9115846809</v>
      </c>
      <c r="W130" s="307">
        <f t="shared" si="196"/>
        <v>9256184.4286924172</v>
      </c>
      <c r="X130" s="307">
        <f t="shared" si="196"/>
        <v>10637020.630191445</v>
      </c>
      <c r="Y130" s="307">
        <f t="shared" si="196"/>
        <v>10860213.584955294</v>
      </c>
      <c r="Z130" s="307">
        <f t="shared" si="196"/>
        <v>11411609.439419452</v>
      </c>
      <c r="AA130" s="307">
        <f t="shared" si="196"/>
        <v>12039655.545330543</v>
      </c>
      <c r="AB130" s="307">
        <f t="shared" si="196"/>
        <v>11792196.543886909</v>
      </c>
      <c r="AC130" s="307">
        <f t="shared" si="196"/>
        <v>12766957.152845845</v>
      </c>
      <c r="AD130" s="307">
        <f t="shared" si="196"/>
        <v>14067597.608061876</v>
      </c>
      <c r="AE130" s="307">
        <f t="shared" si="196"/>
        <v>15367552.132275471</v>
      </c>
      <c r="AF130" s="307">
        <f t="shared" si="196"/>
        <v>15351491.213674629</v>
      </c>
      <c r="AG130" s="307">
        <f t="shared" si="196"/>
        <v>15412602.950728495</v>
      </c>
      <c r="AH130" s="307">
        <f t="shared" si="196"/>
        <v>16194874.675729336</v>
      </c>
      <c r="AI130" s="307">
        <f t="shared" si="196"/>
        <v>17483966.806376908</v>
      </c>
      <c r="AJ130" s="307">
        <f t="shared" si="196"/>
        <v>17920440.820795547</v>
      </c>
      <c r="AK130" s="307">
        <f t="shared" si="196"/>
        <v>17885789.696728092</v>
      </c>
      <c r="AL130" s="307">
        <f t="shared" si="196"/>
        <v>17805843.159840528</v>
      </c>
      <c r="AM130" s="307">
        <f t="shared" si="196"/>
        <v>17500708.45078088</v>
      </c>
      <c r="AN130" s="307">
        <f t="shared" si="196"/>
        <v>18170094.126997132</v>
      </c>
      <c r="AO130" s="307">
        <f t="shared" si="196"/>
        <v>18825908.768559109</v>
      </c>
      <c r="AP130" s="307">
        <f t="shared" si="196"/>
        <v>18994645.34043552</v>
      </c>
      <c r="AR130" s="308">
        <v>2926465.356974679</v>
      </c>
      <c r="AS130" s="308">
        <f t="shared" si="190"/>
        <v>3005453.643025321</v>
      </c>
      <c r="AT130" s="308">
        <v>6135361.2848877776</v>
      </c>
      <c r="AU130" s="308">
        <f t="shared" si="191"/>
        <v>-5381663.2848877776</v>
      </c>
      <c r="AV130" s="308">
        <v>5156266.7375814756</v>
      </c>
      <c r="AW130" s="308">
        <f t="shared" si="192"/>
        <v>2945983.2624185244</v>
      </c>
      <c r="AX130" s="309">
        <v>5181394.4680252308</v>
      </c>
      <c r="AY130" s="308">
        <f t="shared" si="193"/>
        <v>-772622.4680252308</v>
      </c>
      <c r="AZ130" s="309">
        <v>4773213.1709344573</v>
      </c>
      <c r="BA130" s="308">
        <f t="shared" si="194"/>
        <v>2408834.8290655427</v>
      </c>
      <c r="BB130" s="331">
        <v>3351620.6133368635</v>
      </c>
      <c r="BC130" s="308">
        <f t="shared" si="195"/>
        <v>1606956.0340926661</v>
      </c>
      <c r="BD130" s="309"/>
      <c r="BE130" s="333"/>
      <c r="BF130" s="333"/>
    </row>
    <row r="131" spans="1:58">
      <c r="A131" s="301" t="s">
        <v>54</v>
      </c>
      <c r="B131" s="308">
        <f t="shared" si="196"/>
        <v>2459916</v>
      </c>
      <c r="C131" s="308">
        <f t="shared" si="196"/>
        <v>943950</v>
      </c>
      <c r="D131" s="308">
        <f t="shared" si="196"/>
        <v>2178367</v>
      </c>
      <c r="E131" s="308">
        <f t="shared" si="196"/>
        <v>568804</v>
      </c>
      <c r="F131" s="308">
        <f t="shared" si="196"/>
        <v>790638</v>
      </c>
      <c r="G131" s="308">
        <f t="shared" si="196"/>
        <v>298845</v>
      </c>
      <c r="H131" s="308">
        <f t="shared" si="196"/>
        <v>278792</v>
      </c>
      <c r="I131" s="308">
        <f t="shared" si="196"/>
        <v>545276</v>
      </c>
      <c r="J131" s="308">
        <f t="shared" si="196"/>
        <v>2370500</v>
      </c>
      <c r="K131" s="308">
        <f t="shared" si="196"/>
        <v>3022605</v>
      </c>
      <c r="L131" s="308">
        <f t="shared" si="196"/>
        <v>8103462</v>
      </c>
      <c r="M131" s="308">
        <f t="shared" si="196"/>
        <v>11052730</v>
      </c>
      <c r="N131" s="308">
        <f t="shared" si="196"/>
        <v>9172390</v>
      </c>
      <c r="O131" s="308">
        <f t="shared" si="196"/>
        <v>3567815</v>
      </c>
      <c r="P131" s="308">
        <f t="shared" si="196"/>
        <v>6420761</v>
      </c>
      <c r="Q131" s="307">
        <f t="shared" si="196"/>
        <v>4053190.7131135985</v>
      </c>
      <c r="R131" s="307">
        <f t="shared" si="196"/>
        <v>7535818.5525191203</v>
      </c>
      <c r="S131" s="307">
        <f t="shared" si="196"/>
        <v>7885913.298689872</v>
      </c>
      <c r="T131" s="307">
        <f t="shared" si="196"/>
        <v>7592007.4744835496</v>
      </c>
      <c r="U131" s="307">
        <f t="shared" si="196"/>
        <v>8724133.9689324051</v>
      </c>
      <c r="V131" s="307">
        <f t="shared" si="196"/>
        <v>9171874.9656463414</v>
      </c>
      <c r="W131" s="307">
        <f t="shared" si="196"/>
        <v>9818163.5517482311</v>
      </c>
      <c r="X131" s="307">
        <f t="shared" si="196"/>
        <v>10877479.751060799</v>
      </c>
      <c r="Y131" s="307">
        <f t="shared" si="196"/>
        <v>11116352.116611347</v>
      </c>
      <c r="Z131" s="307">
        <f t="shared" si="196"/>
        <v>11749743.204617172</v>
      </c>
      <c r="AA131" s="307">
        <f t="shared" si="196"/>
        <v>12438198.935362041</v>
      </c>
      <c r="AB131" s="307">
        <f t="shared" si="196"/>
        <v>12182752.96412833</v>
      </c>
      <c r="AC131" s="307">
        <f t="shared" si="196"/>
        <v>13132327.782153785</v>
      </c>
      <c r="AD131" s="307">
        <f t="shared" si="196"/>
        <v>14485473.349991143</v>
      </c>
      <c r="AE131" s="307">
        <f t="shared" si="196"/>
        <v>15840495.727021843</v>
      </c>
      <c r="AF131" s="307">
        <f t="shared" si="196"/>
        <v>15826977.592402697</v>
      </c>
      <c r="AG131" s="307">
        <f t="shared" si="196"/>
        <v>15884284.487294436</v>
      </c>
      <c r="AH131" s="307">
        <f t="shared" si="196"/>
        <v>16683910.753199071</v>
      </c>
      <c r="AI131" s="307">
        <f t="shared" si="196"/>
        <v>18016541.818767786</v>
      </c>
      <c r="AJ131" s="307">
        <f t="shared" si="196"/>
        <v>18468698.907797992</v>
      </c>
      <c r="AK131" s="307">
        <f t="shared" si="196"/>
        <v>18432382.102480888</v>
      </c>
      <c r="AL131" s="307">
        <f t="shared" si="196"/>
        <v>18348662.15320304</v>
      </c>
      <c r="AM131" s="307">
        <f t="shared" si="196"/>
        <v>18033860.084762484</v>
      </c>
      <c r="AN131" s="307">
        <f t="shared" si="196"/>
        <v>18724527.137018859</v>
      </c>
      <c r="AO131" s="307">
        <f t="shared" si="196"/>
        <v>19400547.352985799</v>
      </c>
      <c r="AP131" s="307">
        <f t="shared" si="196"/>
        <v>19574169.494234145</v>
      </c>
      <c r="AR131" s="308">
        <v>3563532.0126581192</v>
      </c>
      <c r="AS131" s="308">
        <f t="shared" si="190"/>
        <v>4539929.9873418808</v>
      </c>
      <c r="AT131" s="308">
        <v>6938967</v>
      </c>
      <c r="AU131" s="308">
        <f t="shared" si="191"/>
        <v>4113763</v>
      </c>
      <c r="AV131" s="308">
        <v>11956530.112404346</v>
      </c>
      <c r="AW131" s="308">
        <f t="shared" si="192"/>
        <v>-2784140.1124043465</v>
      </c>
      <c r="AX131" s="309">
        <v>4631015.6500146091</v>
      </c>
      <c r="AY131" s="308">
        <f t="shared" si="193"/>
        <v>-1063200.6500146091</v>
      </c>
      <c r="AZ131" s="309">
        <v>6337550.1235528663</v>
      </c>
      <c r="BA131" s="308">
        <f t="shared" si="194"/>
        <v>83210.87644713372</v>
      </c>
      <c r="BB131" s="331">
        <v>431736.14878319949</v>
      </c>
      <c r="BC131" s="308">
        <f t="shared" si="195"/>
        <v>3621454.564330399</v>
      </c>
      <c r="BD131" s="309"/>
      <c r="BE131" s="333"/>
      <c r="BF131" s="333"/>
    </row>
    <row r="132" spans="1:58" ht="12" thickBot="1">
      <c r="A132" s="301" t="s">
        <v>29</v>
      </c>
      <c r="B132" s="308">
        <f t="shared" ref="B132:P132" si="197">SUM(B120:B131)</f>
        <v>7817036</v>
      </c>
      <c r="C132" s="308">
        <f t="shared" si="197"/>
        <v>16719616</v>
      </c>
      <c r="D132" s="308">
        <f t="shared" si="197"/>
        <v>12205618</v>
      </c>
      <c r="E132" s="308">
        <f t="shared" si="197"/>
        <v>41278442</v>
      </c>
      <c r="F132" s="308">
        <f t="shared" si="197"/>
        <v>8605018</v>
      </c>
      <c r="G132" s="308">
        <f t="shared" si="197"/>
        <v>4979775</v>
      </c>
      <c r="H132" s="308">
        <f t="shared" si="197"/>
        <v>4666016</v>
      </c>
      <c r="I132" s="308">
        <f t="shared" si="197"/>
        <v>5147237</v>
      </c>
      <c r="J132" s="308">
        <f t="shared" si="197"/>
        <v>23607885</v>
      </c>
      <c r="K132" s="308">
        <f t="shared" si="197"/>
        <v>34293809</v>
      </c>
      <c r="L132" s="308">
        <f t="shared" si="197"/>
        <v>50596671</v>
      </c>
      <c r="M132" s="308">
        <f t="shared" si="197"/>
        <v>62444807</v>
      </c>
      <c r="N132" s="308">
        <f t="shared" si="197"/>
        <v>75967064</v>
      </c>
      <c r="O132" s="308">
        <f t="shared" si="197"/>
        <v>72161104</v>
      </c>
      <c r="P132" s="308">
        <f t="shared" si="197"/>
        <v>67136623</v>
      </c>
      <c r="Q132" s="307">
        <f t="shared" ref="Q132:AD132" si="198">SUM(Q120:Q131)</f>
        <v>61713905.573394053</v>
      </c>
      <c r="R132" s="307">
        <f t="shared" si="198"/>
        <v>74644479.867806837</v>
      </c>
      <c r="S132" s="307">
        <f t="shared" si="198"/>
        <v>90174702.882584006</v>
      </c>
      <c r="T132" s="307">
        <f t="shared" si="198"/>
        <v>94265461.32229273</v>
      </c>
      <c r="U132" s="307">
        <f t="shared" si="198"/>
        <v>101063952.52821082</v>
      </c>
      <c r="V132" s="307">
        <f t="shared" si="198"/>
        <v>108107155.51235586</v>
      </c>
      <c r="W132" s="307">
        <f t="shared" si="198"/>
        <v>112379365.64766049</v>
      </c>
      <c r="X132" s="307">
        <f t="shared" si="198"/>
        <v>127428482.91331537</v>
      </c>
      <c r="Y132" s="307">
        <f t="shared" si="198"/>
        <v>130758287.08032538</v>
      </c>
      <c r="Z132" s="307">
        <f t="shared" si="198"/>
        <v>137035550.46998152</v>
      </c>
      <c r="AA132" s="307">
        <f t="shared" si="198"/>
        <v>145226327.89713299</v>
      </c>
      <c r="AB132" s="307">
        <f t="shared" si="198"/>
        <v>142022344.47656283</v>
      </c>
      <c r="AC132" s="307">
        <f t="shared" si="198"/>
        <v>153559589.09913054</v>
      </c>
      <c r="AD132" s="307">
        <f t="shared" si="198"/>
        <v>169326008.73336238</v>
      </c>
      <c r="AE132" s="307">
        <f>SUM(AE120:AE131)</f>
        <v>184963564.51450959</v>
      </c>
      <c r="AF132" s="307">
        <f>SUM(AF120:AF131)</f>
        <v>184843338.36442617</v>
      </c>
      <c r="AG132" s="307">
        <f>SUM(AG120:AG131)</f>
        <v>185521393.91805434</v>
      </c>
      <c r="AH132" s="307">
        <f t="shared" ref="AH132:AP132" si="199">SUM(AH120:AH131)</f>
        <v>194919891.07098955</v>
      </c>
      <c r="AI132" s="307">
        <f t="shared" si="199"/>
        <v>210458671.79477972</v>
      </c>
      <c r="AJ132" s="307">
        <f t="shared" si="199"/>
        <v>215714637.30980021</v>
      </c>
      <c r="AK132" s="307">
        <f t="shared" si="199"/>
        <v>215302101.90128431</v>
      </c>
      <c r="AL132" s="307">
        <f t="shared" si="199"/>
        <v>214329643.56146899</v>
      </c>
      <c r="AM132" s="307">
        <f t="shared" si="199"/>
        <v>210656869.64084795</v>
      </c>
      <c r="AN132" s="307">
        <f t="shared" si="199"/>
        <v>218718110.75192347</v>
      </c>
      <c r="AO132" s="307">
        <f t="shared" si="199"/>
        <v>226612394.03571084</v>
      </c>
      <c r="AP132" s="307">
        <f t="shared" si="199"/>
        <v>228643183.76592827</v>
      </c>
      <c r="AR132" s="308">
        <v>46056741.012658119</v>
      </c>
      <c r="AS132" s="308">
        <f t="shared" si="190"/>
        <v>4539929.9873418808</v>
      </c>
      <c r="AT132" s="308">
        <v>58200000</v>
      </c>
      <c r="AU132" s="308">
        <f t="shared" si="191"/>
        <v>4244807</v>
      </c>
      <c r="AV132" s="308">
        <v>78274557.112404346</v>
      </c>
      <c r="AW132" s="308">
        <f t="shared" si="192"/>
        <v>-2307493.1124043465</v>
      </c>
      <c r="AX132" s="309">
        <v>73959562.118039846</v>
      </c>
      <c r="AY132" s="308">
        <f t="shared" si="193"/>
        <v>-1798458.1180398464</v>
      </c>
      <c r="AZ132" s="309">
        <v>65318313.930454172</v>
      </c>
      <c r="BA132" s="308">
        <f t="shared" si="194"/>
        <v>1818309.0695458278</v>
      </c>
      <c r="BB132" s="331">
        <v>41713905.573394053</v>
      </c>
      <c r="BC132" s="308">
        <f t="shared" si="195"/>
        <v>20000000</v>
      </c>
      <c r="BD132" s="308"/>
      <c r="BE132" s="308"/>
    </row>
    <row r="133" spans="1:58">
      <c r="A133" s="334"/>
      <c r="B133" s="334"/>
      <c r="C133" s="334"/>
      <c r="D133" s="334"/>
      <c r="E133" s="334"/>
      <c r="F133" s="334"/>
      <c r="G133" s="334"/>
      <c r="H133" s="334"/>
      <c r="I133" s="334"/>
      <c r="J133" s="334"/>
      <c r="K133" s="334"/>
      <c r="L133" s="334"/>
      <c r="M133" s="335">
        <f t="shared" ref="M133:S133" si="200">M132/L132-1</f>
        <v>0.23416829142771078</v>
      </c>
      <c r="N133" s="335">
        <f t="shared" si="200"/>
        <v>0.21654734235946949</v>
      </c>
      <c r="O133" s="335">
        <f t="shared" si="200"/>
        <v>-5.0100132868107106E-2</v>
      </c>
      <c r="P133" s="335">
        <f t="shared" si="200"/>
        <v>-6.9628660337569093E-2</v>
      </c>
      <c r="Q133" s="335">
        <f t="shared" si="200"/>
        <v>-8.0771376102815706E-2</v>
      </c>
      <c r="R133" s="335">
        <f t="shared" si="200"/>
        <v>0.20952448519134692</v>
      </c>
      <c r="S133" s="335">
        <f t="shared" si="200"/>
        <v>0.20805588092087635</v>
      </c>
      <c r="T133" s="334"/>
      <c r="U133" s="334"/>
      <c r="V133" s="334"/>
      <c r="W133" s="334"/>
      <c r="X133" s="334"/>
      <c r="Y133" s="334"/>
      <c r="Z133" s="334"/>
      <c r="AA133" s="334"/>
      <c r="AB133" s="334"/>
      <c r="AC133" s="334"/>
      <c r="AD133" s="334"/>
      <c r="AE133" s="334"/>
      <c r="AF133" s="334"/>
      <c r="AG133" s="334"/>
      <c r="AH133" s="334"/>
      <c r="AI133" s="334"/>
      <c r="AJ133" s="334"/>
      <c r="AK133" s="334"/>
      <c r="AL133" s="334"/>
      <c r="AM133" s="334"/>
      <c r="AN133" s="334"/>
      <c r="AO133" s="334"/>
      <c r="AP133" s="334"/>
      <c r="AT133" s="309"/>
    </row>
    <row r="134" spans="1:58" ht="12" thickBot="1">
      <c r="A134" s="300" t="s">
        <v>438</v>
      </c>
      <c r="AT134" s="309"/>
    </row>
    <row r="135" spans="1:58" ht="12" thickBot="1">
      <c r="A135" s="328"/>
      <c r="B135" s="329">
        <f t="shared" ref="B135:AP135" si="201">B2</f>
        <v>2010</v>
      </c>
      <c r="C135" s="329">
        <f t="shared" si="201"/>
        <v>2011</v>
      </c>
      <c r="D135" s="329">
        <f t="shared" si="201"/>
        <v>2012</v>
      </c>
      <c r="E135" s="329">
        <f t="shared" si="201"/>
        <v>2013</v>
      </c>
      <c r="F135" s="329">
        <f t="shared" si="201"/>
        <v>2014</v>
      </c>
      <c r="G135" s="329">
        <f t="shared" si="201"/>
        <v>2015</v>
      </c>
      <c r="H135" s="329">
        <f t="shared" si="201"/>
        <v>2016</v>
      </c>
      <c r="I135" s="329">
        <f t="shared" si="201"/>
        <v>2017</v>
      </c>
      <c r="J135" s="329">
        <f t="shared" si="201"/>
        <v>2018</v>
      </c>
      <c r="K135" s="329">
        <f t="shared" si="201"/>
        <v>2019</v>
      </c>
      <c r="L135" s="329">
        <f t="shared" si="201"/>
        <v>2020</v>
      </c>
      <c r="M135" s="329">
        <f t="shared" si="201"/>
        <v>2021</v>
      </c>
      <c r="N135" s="329">
        <f t="shared" si="201"/>
        <v>2022</v>
      </c>
      <c r="O135" s="329">
        <f t="shared" si="201"/>
        <v>2023</v>
      </c>
      <c r="P135" s="329">
        <f t="shared" si="201"/>
        <v>2024</v>
      </c>
      <c r="Q135" s="329">
        <f t="shared" si="201"/>
        <v>2025</v>
      </c>
      <c r="R135" s="329">
        <f t="shared" si="201"/>
        <v>2026</v>
      </c>
      <c r="S135" s="329">
        <f t="shared" si="201"/>
        <v>2027</v>
      </c>
      <c r="T135" s="329">
        <f t="shared" si="201"/>
        <v>2028</v>
      </c>
      <c r="U135" s="329">
        <f t="shared" si="201"/>
        <v>2029</v>
      </c>
      <c r="V135" s="329">
        <f t="shared" si="201"/>
        <v>2030</v>
      </c>
      <c r="W135" s="329">
        <f t="shared" si="201"/>
        <v>2031</v>
      </c>
      <c r="X135" s="329">
        <f t="shared" si="201"/>
        <v>2032</v>
      </c>
      <c r="Y135" s="329">
        <f t="shared" si="201"/>
        <v>2033</v>
      </c>
      <c r="Z135" s="329">
        <f t="shared" si="201"/>
        <v>2034</v>
      </c>
      <c r="AA135" s="329">
        <f t="shared" si="201"/>
        <v>2035</v>
      </c>
      <c r="AB135" s="329">
        <f t="shared" si="201"/>
        <v>2036</v>
      </c>
      <c r="AC135" s="329">
        <f t="shared" si="201"/>
        <v>2037</v>
      </c>
      <c r="AD135" s="329">
        <f t="shared" si="201"/>
        <v>2038</v>
      </c>
      <c r="AE135" s="329">
        <f t="shared" si="201"/>
        <v>2039</v>
      </c>
      <c r="AF135" s="329">
        <f t="shared" si="201"/>
        <v>2040</v>
      </c>
      <c r="AG135" s="329">
        <f t="shared" si="201"/>
        <v>2041</v>
      </c>
      <c r="AH135" s="329">
        <f t="shared" si="201"/>
        <v>2042</v>
      </c>
      <c r="AI135" s="329">
        <f t="shared" si="201"/>
        <v>2043</v>
      </c>
      <c r="AJ135" s="329">
        <f t="shared" si="201"/>
        <v>2044</v>
      </c>
      <c r="AK135" s="329">
        <f t="shared" si="201"/>
        <v>2045</v>
      </c>
      <c r="AL135" s="329">
        <f t="shared" si="201"/>
        <v>2046</v>
      </c>
      <c r="AM135" s="329">
        <f t="shared" si="201"/>
        <v>2047</v>
      </c>
      <c r="AN135" s="329">
        <f t="shared" si="201"/>
        <v>2048</v>
      </c>
      <c r="AO135" s="329">
        <f t="shared" si="201"/>
        <v>2049</v>
      </c>
      <c r="AP135" s="329">
        <f t="shared" si="201"/>
        <v>2050</v>
      </c>
      <c r="AT135" s="309"/>
    </row>
    <row r="136" spans="1:58">
      <c r="A136" s="301" t="s">
        <v>43</v>
      </c>
      <c r="B136" s="308">
        <f>'Monthly D5 Gallon Data'!$Z4</f>
        <v>0</v>
      </c>
      <c r="C136" s="308">
        <f>'Monthly D5 Gallon Data'!$Z16</f>
        <v>1833004</v>
      </c>
      <c r="D136" s="308">
        <f>'Monthly D5 Gallon Data'!$Z28</f>
        <v>50472</v>
      </c>
      <c r="E136" s="308">
        <f>'Monthly D5 Gallon Data'!$Z40</f>
        <v>1243</v>
      </c>
      <c r="F136" s="308">
        <f>'Monthly D5 Gallon Data'!$Z52</f>
        <v>0</v>
      </c>
      <c r="G136" s="308">
        <f>'Monthly D5 Gallon Data'!$Z64</f>
        <v>0</v>
      </c>
      <c r="H136" s="308">
        <f>'Monthly D5 Gallon Data'!$Z76</f>
        <v>0</v>
      </c>
      <c r="I136" s="308">
        <f>'Monthly D5 Gallon Data'!$Z88</f>
        <v>0</v>
      </c>
      <c r="J136" s="308">
        <f>'Monthly D5 Gallon Data'!$Z100</f>
        <v>0</v>
      </c>
      <c r="K136" s="308">
        <f>'Monthly D5 Gallon Data'!$Z112</f>
        <v>0</v>
      </c>
      <c r="L136" s="308">
        <f>'Monthly D5 Gallon Data'!$Z124</f>
        <v>0</v>
      </c>
      <c r="M136" s="308">
        <f>'Monthly D5 Gallon Data'!$Z136</f>
        <v>0</v>
      </c>
      <c r="N136" s="308">
        <f>'Monthly D5 Gallon Data'!$Z148</f>
        <v>0</v>
      </c>
      <c r="O136" s="308">
        <f>'Monthly D5 Gallon Data'!$Z160</f>
        <v>0</v>
      </c>
      <c r="P136" s="308">
        <f>'Monthly D5 Gallon Data'!$Z172</f>
        <v>0</v>
      </c>
      <c r="Q136" s="308">
        <f>'Monthly D5 Gallon Data'!$Z184</f>
        <v>0</v>
      </c>
      <c r="R136" s="307">
        <v>0</v>
      </c>
      <c r="S136" s="307">
        <v>0</v>
      </c>
      <c r="T136" s="307">
        <v>0</v>
      </c>
      <c r="U136" s="307">
        <v>0</v>
      </c>
      <c r="V136" s="307">
        <v>0</v>
      </c>
      <c r="W136" s="307">
        <v>0</v>
      </c>
      <c r="X136" s="307">
        <v>0</v>
      </c>
      <c r="Y136" s="307">
        <v>0</v>
      </c>
      <c r="Z136" s="307">
        <v>0</v>
      </c>
      <c r="AA136" s="307">
        <v>0</v>
      </c>
      <c r="AB136" s="307">
        <v>0</v>
      </c>
      <c r="AC136" s="307">
        <v>0</v>
      </c>
      <c r="AD136" s="307">
        <v>0</v>
      </c>
      <c r="AE136" s="307">
        <v>0</v>
      </c>
      <c r="AF136" s="307">
        <v>0</v>
      </c>
      <c r="AG136" s="307">
        <v>0</v>
      </c>
      <c r="AH136" s="307">
        <v>0</v>
      </c>
      <c r="AI136" s="307">
        <v>0</v>
      </c>
      <c r="AJ136" s="307">
        <v>0</v>
      </c>
      <c r="AK136" s="307">
        <v>0</v>
      </c>
      <c r="AL136" s="307">
        <v>0</v>
      </c>
      <c r="AM136" s="307">
        <v>0</v>
      </c>
      <c r="AN136" s="307">
        <v>0</v>
      </c>
      <c r="AO136" s="307">
        <v>0</v>
      </c>
      <c r="AP136" s="307">
        <v>0</v>
      </c>
      <c r="AR136" s="308">
        <v>0</v>
      </c>
      <c r="AS136" s="308">
        <f t="shared" ref="AS136:AS148" si="202">L136-AR136</f>
        <v>0</v>
      </c>
      <c r="AT136" s="308">
        <v>0</v>
      </c>
      <c r="AU136" s="308">
        <f t="shared" ref="AU136:AU148" si="203">M136-AT136</f>
        <v>0</v>
      </c>
      <c r="AV136" s="308">
        <v>0</v>
      </c>
      <c r="AW136" s="308">
        <f t="shared" ref="AW136:AW148" si="204">N136-AV136</f>
        <v>0</v>
      </c>
      <c r="AX136" s="308">
        <v>0</v>
      </c>
      <c r="AY136" s="308">
        <f t="shared" ref="AY136:AY148" si="205">O136-AX136</f>
        <v>0</v>
      </c>
      <c r="AZ136" s="308">
        <v>0</v>
      </c>
      <c r="BA136" s="308">
        <f t="shared" ref="BA136:BA148" si="206">P136-AZ136</f>
        <v>0</v>
      </c>
      <c r="BB136" s="331">
        <v>0</v>
      </c>
      <c r="BC136" s="308">
        <f t="shared" ref="BC136:BC148" si="207">Q136-BB136</f>
        <v>0</v>
      </c>
      <c r="BD136" s="308"/>
      <c r="BE136" s="308"/>
    </row>
    <row r="137" spans="1:58">
      <c r="A137" s="301" t="s">
        <v>44</v>
      </c>
      <c r="B137" s="308">
        <f>'Monthly D5 Gallon Data'!$Z5</f>
        <v>0</v>
      </c>
      <c r="C137" s="308">
        <f>'Monthly D5 Gallon Data'!$Z17</f>
        <v>591021</v>
      </c>
      <c r="D137" s="308">
        <f>'Monthly D5 Gallon Data'!$Z29</f>
        <v>1390888</v>
      </c>
      <c r="E137" s="308">
        <f>'Monthly D5 Gallon Data'!$Z41</f>
        <v>1742</v>
      </c>
      <c r="F137" s="308">
        <f>'Monthly D5 Gallon Data'!$Z53</f>
        <v>300</v>
      </c>
      <c r="G137" s="308">
        <f>'Monthly D5 Gallon Data'!$Z65</f>
        <v>0</v>
      </c>
      <c r="H137" s="308">
        <f>'Monthly D5 Gallon Data'!$Z77</f>
        <v>0</v>
      </c>
      <c r="I137" s="308">
        <f>'Monthly D5 Gallon Data'!$Z89</f>
        <v>0</v>
      </c>
      <c r="J137" s="308">
        <f>'Monthly D5 Gallon Data'!$Z101</f>
        <v>0</v>
      </c>
      <c r="K137" s="308">
        <f>'Monthly D5 Gallon Data'!$Z113</f>
        <v>0</v>
      </c>
      <c r="L137" s="308">
        <f>'Monthly D5 Gallon Data'!$Z125</f>
        <v>0</v>
      </c>
      <c r="M137" s="308">
        <f>'Monthly D5 Gallon Data'!$Z137</f>
        <v>0</v>
      </c>
      <c r="N137" s="308">
        <f>'Monthly D5 Gallon Data'!$Z149</f>
        <v>0</v>
      </c>
      <c r="O137" s="308">
        <f>'Monthly D5 Gallon Data'!$Z161</f>
        <v>0</v>
      </c>
      <c r="P137" s="308">
        <f>'Monthly D5 Gallon Data'!$Z173</f>
        <v>0</v>
      </c>
      <c r="Q137" s="332">
        <f>'Monthly D5 Gallon Data'!$Z185</f>
        <v>0</v>
      </c>
      <c r="R137" s="307">
        <v>0</v>
      </c>
      <c r="S137" s="307">
        <v>0</v>
      </c>
      <c r="T137" s="307">
        <v>0</v>
      </c>
      <c r="U137" s="307">
        <v>0</v>
      </c>
      <c r="V137" s="307">
        <v>0</v>
      </c>
      <c r="W137" s="307">
        <v>0</v>
      </c>
      <c r="X137" s="307">
        <v>0</v>
      </c>
      <c r="Y137" s="307">
        <v>0</v>
      </c>
      <c r="Z137" s="307">
        <v>0</v>
      </c>
      <c r="AA137" s="307">
        <v>0</v>
      </c>
      <c r="AB137" s="307">
        <v>0</v>
      </c>
      <c r="AC137" s="307">
        <v>0</v>
      </c>
      <c r="AD137" s="307">
        <v>0</v>
      </c>
      <c r="AE137" s="307">
        <v>0</v>
      </c>
      <c r="AF137" s="307">
        <v>0</v>
      </c>
      <c r="AG137" s="307">
        <v>0</v>
      </c>
      <c r="AH137" s="307">
        <v>0</v>
      </c>
      <c r="AI137" s="307">
        <v>0</v>
      </c>
      <c r="AJ137" s="307">
        <v>0</v>
      </c>
      <c r="AK137" s="307">
        <v>0</v>
      </c>
      <c r="AL137" s="307">
        <v>0</v>
      </c>
      <c r="AM137" s="307">
        <v>0</v>
      </c>
      <c r="AN137" s="307">
        <v>0</v>
      </c>
      <c r="AO137" s="307">
        <v>0</v>
      </c>
      <c r="AP137" s="307">
        <v>0</v>
      </c>
      <c r="AR137" s="308">
        <v>0</v>
      </c>
      <c r="AS137" s="308">
        <f t="shared" si="202"/>
        <v>0</v>
      </c>
      <c r="AT137" s="308">
        <v>0</v>
      </c>
      <c r="AU137" s="308">
        <f t="shared" si="203"/>
        <v>0</v>
      </c>
      <c r="AV137" s="308">
        <v>0</v>
      </c>
      <c r="AW137" s="308">
        <f t="shared" si="204"/>
        <v>0</v>
      </c>
      <c r="AX137" s="308">
        <v>0</v>
      </c>
      <c r="AY137" s="308">
        <f t="shared" si="205"/>
        <v>0</v>
      </c>
      <c r="AZ137" s="308">
        <v>0</v>
      </c>
      <c r="BA137" s="308">
        <f t="shared" si="206"/>
        <v>0</v>
      </c>
      <c r="BB137" s="331">
        <v>0</v>
      </c>
      <c r="BC137" s="308">
        <f t="shared" si="207"/>
        <v>0</v>
      </c>
      <c r="BD137" s="308"/>
      <c r="BE137" s="308"/>
    </row>
    <row r="138" spans="1:58">
      <c r="A138" s="301" t="s">
        <v>45</v>
      </c>
      <c r="B138" s="308">
        <f>'Monthly D5 Gallon Data'!$Z6</f>
        <v>0</v>
      </c>
      <c r="C138" s="308">
        <f>'Monthly D5 Gallon Data'!$Z18</f>
        <v>557144</v>
      </c>
      <c r="D138" s="308">
        <f>'Monthly D5 Gallon Data'!$Z30</f>
        <v>362441</v>
      </c>
      <c r="E138" s="308">
        <f>'Monthly D5 Gallon Data'!$Z42</f>
        <v>1677</v>
      </c>
      <c r="F138" s="308">
        <f>'Monthly D5 Gallon Data'!$Z54</f>
        <v>0</v>
      </c>
      <c r="G138" s="308">
        <f>'Monthly D5 Gallon Data'!$Z66</f>
        <v>0</v>
      </c>
      <c r="H138" s="308">
        <f>'Monthly D5 Gallon Data'!$Z78</f>
        <v>0</v>
      </c>
      <c r="I138" s="308">
        <f>'Monthly D5 Gallon Data'!$Z90</f>
        <v>0</v>
      </c>
      <c r="J138" s="308">
        <f>'Monthly D5 Gallon Data'!$Z102</f>
        <v>0</v>
      </c>
      <c r="K138" s="308">
        <f>'Monthly D5 Gallon Data'!$Z114</f>
        <v>0</v>
      </c>
      <c r="L138" s="308">
        <f>'Monthly D5 Gallon Data'!$Z126</f>
        <v>0</v>
      </c>
      <c r="M138" s="308">
        <f>'Monthly D5 Gallon Data'!$Z138</f>
        <v>0</v>
      </c>
      <c r="N138" s="308">
        <f>'Monthly D5 Gallon Data'!$Z150</f>
        <v>0</v>
      </c>
      <c r="O138" s="308">
        <f>'Monthly D5 Gallon Data'!$Z162</f>
        <v>0</v>
      </c>
      <c r="P138" s="308">
        <f>'Monthly D5 Gallon Data'!$Z174</f>
        <v>0</v>
      </c>
      <c r="Q138" s="332">
        <f>'Monthly D5 Gallon Data'!$Z186</f>
        <v>0</v>
      </c>
      <c r="R138" s="307">
        <v>0</v>
      </c>
      <c r="S138" s="307">
        <v>0</v>
      </c>
      <c r="T138" s="307">
        <v>0</v>
      </c>
      <c r="U138" s="307">
        <v>0</v>
      </c>
      <c r="V138" s="307">
        <v>0</v>
      </c>
      <c r="W138" s="307">
        <v>0</v>
      </c>
      <c r="X138" s="307">
        <v>0</v>
      </c>
      <c r="Y138" s="307">
        <v>0</v>
      </c>
      <c r="Z138" s="307">
        <v>0</v>
      </c>
      <c r="AA138" s="307">
        <v>0</v>
      </c>
      <c r="AB138" s="307">
        <v>0</v>
      </c>
      <c r="AC138" s="307">
        <v>0</v>
      </c>
      <c r="AD138" s="307">
        <v>0</v>
      </c>
      <c r="AE138" s="307">
        <v>0</v>
      </c>
      <c r="AF138" s="307">
        <v>0</v>
      </c>
      <c r="AG138" s="307">
        <v>0</v>
      </c>
      <c r="AH138" s="307">
        <v>0</v>
      </c>
      <c r="AI138" s="307">
        <v>0</v>
      </c>
      <c r="AJ138" s="307">
        <v>0</v>
      </c>
      <c r="AK138" s="307">
        <v>0</v>
      </c>
      <c r="AL138" s="307">
        <v>0</v>
      </c>
      <c r="AM138" s="307">
        <v>0</v>
      </c>
      <c r="AN138" s="307">
        <v>0</v>
      </c>
      <c r="AO138" s="307">
        <v>0</v>
      </c>
      <c r="AP138" s="307">
        <v>0</v>
      </c>
      <c r="AR138" s="308">
        <v>0</v>
      </c>
      <c r="AS138" s="308">
        <f t="shared" si="202"/>
        <v>0</v>
      </c>
      <c r="AT138" s="308">
        <v>0</v>
      </c>
      <c r="AU138" s="308">
        <f t="shared" si="203"/>
        <v>0</v>
      </c>
      <c r="AV138" s="308">
        <v>0</v>
      </c>
      <c r="AW138" s="308">
        <f t="shared" si="204"/>
        <v>0</v>
      </c>
      <c r="AX138" s="308">
        <v>0</v>
      </c>
      <c r="AY138" s="308">
        <f t="shared" si="205"/>
        <v>0</v>
      </c>
      <c r="AZ138" s="308">
        <v>0</v>
      </c>
      <c r="BA138" s="308">
        <f t="shared" si="206"/>
        <v>0</v>
      </c>
      <c r="BB138" s="331">
        <v>0</v>
      </c>
      <c r="BC138" s="308">
        <f t="shared" si="207"/>
        <v>0</v>
      </c>
      <c r="BD138" s="308"/>
      <c r="BE138" s="308"/>
    </row>
    <row r="139" spans="1:58">
      <c r="A139" s="301" t="s">
        <v>46</v>
      </c>
      <c r="B139" s="308">
        <f>'Monthly D5 Gallon Data'!$Z7</f>
        <v>0</v>
      </c>
      <c r="C139" s="308">
        <f>'Monthly D5 Gallon Data'!$Z19</f>
        <v>189755</v>
      </c>
      <c r="D139" s="308">
        <f>'Monthly D5 Gallon Data'!$Z31</f>
        <v>1300</v>
      </c>
      <c r="E139" s="308">
        <f>'Monthly D5 Gallon Data'!$Z43</f>
        <v>1300</v>
      </c>
      <c r="F139" s="308">
        <f>'Monthly D5 Gallon Data'!$Z55</f>
        <v>0</v>
      </c>
      <c r="G139" s="308">
        <f>'Monthly D5 Gallon Data'!$Z67</f>
        <v>0</v>
      </c>
      <c r="H139" s="308">
        <f>'Monthly D5 Gallon Data'!$Z79</f>
        <v>0</v>
      </c>
      <c r="I139" s="308">
        <f>'Monthly D5 Gallon Data'!$Z91</f>
        <v>0</v>
      </c>
      <c r="J139" s="308">
        <f>'Monthly D5 Gallon Data'!$Z103</f>
        <v>0</v>
      </c>
      <c r="K139" s="308">
        <f>'Monthly D5 Gallon Data'!$Z115</f>
        <v>0</v>
      </c>
      <c r="L139" s="308">
        <f>'Monthly D5 Gallon Data'!$Z127</f>
        <v>0</v>
      </c>
      <c r="M139" s="308">
        <f>'Monthly D5 Gallon Data'!$Z139</f>
        <v>0</v>
      </c>
      <c r="N139" s="308">
        <f>'Monthly D5 Gallon Data'!$Z151</f>
        <v>0</v>
      </c>
      <c r="O139" s="308">
        <f>'Monthly D5 Gallon Data'!$Z163</f>
        <v>0</v>
      </c>
      <c r="P139" s="308">
        <f>'Monthly D5 Gallon Data'!$Z175</f>
        <v>0</v>
      </c>
      <c r="Q139" s="307">
        <v>0</v>
      </c>
      <c r="R139" s="307">
        <v>0</v>
      </c>
      <c r="S139" s="307">
        <v>0</v>
      </c>
      <c r="T139" s="307">
        <v>0</v>
      </c>
      <c r="U139" s="307">
        <v>0</v>
      </c>
      <c r="V139" s="307">
        <v>0</v>
      </c>
      <c r="W139" s="307">
        <v>0</v>
      </c>
      <c r="X139" s="307">
        <v>0</v>
      </c>
      <c r="Y139" s="307">
        <v>0</v>
      </c>
      <c r="Z139" s="307">
        <v>0</v>
      </c>
      <c r="AA139" s="307">
        <v>0</v>
      </c>
      <c r="AB139" s="307">
        <v>0</v>
      </c>
      <c r="AC139" s="307">
        <v>0</v>
      </c>
      <c r="AD139" s="307">
        <v>0</v>
      </c>
      <c r="AE139" s="307">
        <v>0</v>
      </c>
      <c r="AF139" s="307">
        <v>0</v>
      </c>
      <c r="AG139" s="307">
        <v>0</v>
      </c>
      <c r="AH139" s="307">
        <v>0</v>
      </c>
      <c r="AI139" s="307">
        <v>0</v>
      </c>
      <c r="AJ139" s="307">
        <v>0</v>
      </c>
      <c r="AK139" s="307">
        <v>0</v>
      </c>
      <c r="AL139" s="307">
        <v>0</v>
      </c>
      <c r="AM139" s="307">
        <v>0</v>
      </c>
      <c r="AN139" s="307">
        <v>0</v>
      </c>
      <c r="AO139" s="307">
        <v>0</v>
      </c>
      <c r="AP139" s="307">
        <v>0</v>
      </c>
      <c r="AR139" s="308">
        <v>0</v>
      </c>
      <c r="AS139" s="308">
        <f t="shared" si="202"/>
        <v>0</v>
      </c>
      <c r="AT139" s="308">
        <v>0</v>
      </c>
      <c r="AU139" s="308">
        <f t="shared" si="203"/>
        <v>0</v>
      </c>
      <c r="AV139" s="308">
        <v>0</v>
      </c>
      <c r="AW139" s="308">
        <f t="shared" si="204"/>
        <v>0</v>
      </c>
      <c r="AX139" s="308">
        <v>0</v>
      </c>
      <c r="AY139" s="308">
        <f t="shared" si="205"/>
        <v>0</v>
      </c>
      <c r="AZ139" s="308">
        <v>0</v>
      </c>
      <c r="BA139" s="308">
        <f t="shared" si="206"/>
        <v>0</v>
      </c>
      <c r="BB139" s="331">
        <v>0</v>
      </c>
      <c r="BC139" s="308">
        <f t="shared" si="207"/>
        <v>0</v>
      </c>
      <c r="BD139" s="308"/>
      <c r="BE139" s="308"/>
    </row>
    <row r="140" spans="1:58">
      <c r="A140" s="301" t="s">
        <v>47</v>
      </c>
      <c r="B140" s="308">
        <f>'Monthly D5 Gallon Data'!$Z8</f>
        <v>0</v>
      </c>
      <c r="C140" s="308">
        <f>'Monthly D5 Gallon Data'!$Z20</f>
        <v>4116009</v>
      </c>
      <c r="D140" s="308">
        <f>'Monthly D5 Gallon Data'!$Z32</f>
        <v>1250</v>
      </c>
      <c r="E140" s="308">
        <f>'Monthly D5 Gallon Data'!$Z44</f>
        <v>1050</v>
      </c>
      <c r="F140" s="308">
        <f>'Monthly D5 Gallon Data'!$Z56</f>
        <v>0</v>
      </c>
      <c r="G140" s="308">
        <f>'Monthly D5 Gallon Data'!$Z68</f>
        <v>0</v>
      </c>
      <c r="H140" s="308">
        <f>'Monthly D5 Gallon Data'!$Z80</f>
        <v>0</v>
      </c>
      <c r="I140" s="308">
        <f>'Monthly D5 Gallon Data'!$Z92</f>
        <v>0</v>
      </c>
      <c r="J140" s="308">
        <f>'Monthly D5 Gallon Data'!$Z104</f>
        <v>0</v>
      </c>
      <c r="K140" s="308">
        <f>'Monthly D5 Gallon Data'!$Z116</f>
        <v>0</v>
      </c>
      <c r="L140" s="308">
        <f>'Monthly D5 Gallon Data'!$Z128</f>
        <v>0</v>
      </c>
      <c r="M140" s="308">
        <f>'Monthly D5 Gallon Data'!$Z140</f>
        <v>0</v>
      </c>
      <c r="N140" s="308">
        <f>'Monthly D5 Gallon Data'!$Z152</f>
        <v>0</v>
      </c>
      <c r="O140" s="308">
        <f>'Monthly D5 Gallon Data'!$Z164</f>
        <v>0</v>
      </c>
      <c r="P140" s="308">
        <f>'Monthly D5 Gallon Data'!$Z176</f>
        <v>0</v>
      </c>
      <c r="Q140" s="307">
        <v>0</v>
      </c>
      <c r="R140" s="307">
        <v>0</v>
      </c>
      <c r="S140" s="307">
        <v>0</v>
      </c>
      <c r="T140" s="307">
        <v>0</v>
      </c>
      <c r="U140" s="307">
        <v>0</v>
      </c>
      <c r="V140" s="307">
        <v>0</v>
      </c>
      <c r="W140" s="307">
        <v>0</v>
      </c>
      <c r="X140" s="307">
        <v>0</v>
      </c>
      <c r="Y140" s="307">
        <v>0</v>
      </c>
      <c r="Z140" s="307">
        <v>0</v>
      </c>
      <c r="AA140" s="307">
        <v>0</v>
      </c>
      <c r="AB140" s="307">
        <v>0</v>
      </c>
      <c r="AC140" s="307">
        <v>0</v>
      </c>
      <c r="AD140" s="307">
        <v>0</v>
      </c>
      <c r="AE140" s="307">
        <v>0</v>
      </c>
      <c r="AF140" s="307">
        <v>0</v>
      </c>
      <c r="AG140" s="307">
        <v>0</v>
      </c>
      <c r="AH140" s="307">
        <v>0</v>
      </c>
      <c r="AI140" s="307">
        <v>0</v>
      </c>
      <c r="AJ140" s="307">
        <v>0</v>
      </c>
      <c r="AK140" s="307">
        <v>0</v>
      </c>
      <c r="AL140" s="307">
        <v>0</v>
      </c>
      <c r="AM140" s="307">
        <v>0</v>
      </c>
      <c r="AN140" s="307">
        <v>0</v>
      </c>
      <c r="AO140" s="307">
        <v>0</v>
      </c>
      <c r="AP140" s="307">
        <v>0</v>
      </c>
      <c r="AR140" s="308">
        <v>0</v>
      </c>
      <c r="AS140" s="308">
        <f t="shared" si="202"/>
        <v>0</v>
      </c>
      <c r="AT140" s="308">
        <v>0</v>
      </c>
      <c r="AU140" s="308">
        <f t="shared" si="203"/>
        <v>0</v>
      </c>
      <c r="AV140" s="308">
        <v>0</v>
      </c>
      <c r="AW140" s="308">
        <f t="shared" si="204"/>
        <v>0</v>
      </c>
      <c r="AX140" s="308">
        <v>0</v>
      </c>
      <c r="AY140" s="308">
        <f t="shared" si="205"/>
        <v>0</v>
      </c>
      <c r="AZ140" s="308">
        <v>0</v>
      </c>
      <c r="BA140" s="308">
        <f t="shared" si="206"/>
        <v>0</v>
      </c>
      <c r="BB140" s="331">
        <v>0</v>
      </c>
      <c r="BC140" s="308">
        <f t="shared" si="207"/>
        <v>0</v>
      </c>
      <c r="BD140" s="308"/>
      <c r="BE140" s="308"/>
    </row>
    <row r="141" spans="1:58">
      <c r="A141" s="301" t="s">
        <v>48</v>
      </c>
      <c r="B141" s="308">
        <f>'Monthly D5 Gallon Data'!$Z9</f>
        <v>0</v>
      </c>
      <c r="C141" s="308">
        <f>'Monthly D5 Gallon Data'!$Z21</f>
        <v>391438</v>
      </c>
      <c r="D141" s="308">
        <f>'Monthly D5 Gallon Data'!$Z33</f>
        <v>61048</v>
      </c>
      <c r="E141" s="308">
        <f>'Monthly D5 Gallon Data'!$Z45</f>
        <v>1250</v>
      </c>
      <c r="F141" s="308">
        <f>'Monthly D5 Gallon Data'!$Z57</f>
        <v>0</v>
      </c>
      <c r="G141" s="308">
        <f>'Monthly D5 Gallon Data'!$Z69</f>
        <v>0</v>
      </c>
      <c r="H141" s="308">
        <f>'Monthly D5 Gallon Data'!$Z81</f>
        <v>0</v>
      </c>
      <c r="I141" s="308">
        <f>'Monthly D5 Gallon Data'!$Z93</f>
        <v>0</v>
      </c>
      <c r="J141" s="308">
        <f>'Monthly D5 Gallon Data'!$Z105</f>
        <v>0</v>
      </c>
      <c r="K141" s="308">
        <f>'Monthly D5 Gallon Data'!$Z117</f>
        <v>0</v>
      </c>
      <c r="L141" s="308">
        <f>'Monthly D5 Gallon Data'!$Z129</f>
        <v>0</v>
      </c>
      <c r="M141" s="308">
        <f>'Monthly D5 Gallon Data'!$Z141</f>
        <v>0</v>
      </c>
      <c r="N141" s="308">
        <f>'Monthly D5 Gallon Data'!$Z153</f>
        <v>0</v>
      </c>
      <c r="O141" s="308">
        <f>'Monthly D5 Gallon Data'!$Z165</f>
        <v>0</v>
      </c>
      <c r="P141" s="308">
        <f>'Monthly D5 Gallon Data'!$Z177</f>
        <v>0</v>
      </c>
      <c r="Q141" s="307">
        <v>0</v>
      </c>
      <c r="R141" s="307">
        <v>0</v>
      </c>
      <c r="S141" s="307">
        <v>0</v>
      </c>
      <c r="T141" s="307">
        <v>0</v>
      </c>
      <c r="U141" s="307">
        <v>0</v>
      </c>
      <c r="V141" s="307">
        <v>0</v>
      </c>
      <c r="W141" s="307">
        <v>0</v>
      </c>
      <c r="X141" s="307">
        <v>0</v>
      </c>
      <c r="Y141" s="307">
        <v>0</v>
      </c>
      <c r="Z141" s="307">
        <v>0</v>
      </c>
      <c r="AA141" s="307">
        <v>0</v>
      </c>
      <c r="AB141" s="307">
        <v>0</v>
      </c>
      <c r="AC141" s="307">
        <v>0</v>
      </c>
      <c r="AD141" s="307">
        <v>0</v>
      </c>
      <c r="AE141" s="307">
        <v>0</v>
      </c>
      <c r="AF141" s="307">
        <v>0</v>
      </c>
      <c r="AG141" s="307">
        <v>0</v>
      </c>
      <c r="AH141" s="307">
        <v>0</v>
      </c>
      <c r="AI141" s="307">
        <v>0</v>
      </c>
      <c r="AJ141" s="307">
        <v>0</v>
      </c>
      <c r="AK141" s="307">
        <v>0</v>
      </c>
      <c r="AL141" s="307">
        <v>0</v>
      </c>
      <c r="AM141" s="307">
        <v>0</v>
      </c>
      <c r="AN141" s="307">
        <v>0</v>
      </c>
      <c r="AO141" s="307">
        <v>0</v>
      </c>
      <c r="AP141" s="307">
        <v>0</v>
      </c>
      <c r="AR141" s="308">
        <v>0</v>
      </c>
      <c r="AS141" s="308">
        <f t="shared" si="202"/>
        <v>0</v>
      </c>
      <c r="AT141" s="308">
        <v>0</v>
      </c>
      <c r="AU141" s="308">
        <f t="shared" si="203"/>
        <v>0</v>
      </c>
      <c r="AV141" s="308">
        <v>0</v>
      </c>
      <c r="AW141" s="308">
        <f t="shared" si="204"/>
        <v>0</v>
      </c>
      <c r="AX141" s="308">
        <v>0</v>
      </c>
      <c r="AY141" s="308">
        <f t="shared" si="205"/>
        <v>0</v>
      </c>
      <c r="AZ141" s="308">
        <v>0</v>
      </c>
      <c r="BA141" s="308">
        <f t="shared" si="206"/>
        <v>0</v>
      </c>
      <c r="BB141" s="331">
        <v>0</v>
      </c>
      <c r="BC141" s="308">
        <f t="shared" si="207"/>
        <v>0</v>
      </c>
      <c r="BD141" s="308"/>
      <c r="BE141" s="308"/>
    </row>
    <row r="142" spans="1:58">
      <c r="A142" s="301" t="s">
        <v>49</v>
      </c>
      <c r="B142" s="308">
        <f>'Monthly D5 Gallon Data'!$Z10</f>
        <v>37764</v>
      </c>
      <c r="C142" s="308">
        <f>'Monthly D5 Gallon Data'!$Z22</f>
        <v>274273</v>
      </c>
      <c r="D142" s="308">
        <f>'Monthly D5 Gallon Data'!$Z34</f>
        <v>294827</v>
      </c>
      <c r="E142" s="308">
        <f>'Monthly D5 Gallon Data'!$Z46</f>
        <v>1250</v>
      </c>
      <c r="F142" s="308">
        <f>'Monthly D5 Gallon Data'!$Z58</f>
        <v>0</v>
      </c>
      <c r="G142" s="308">
        <f>'Monthly D5 Gallon Data'!$Z70</f>
        <v>0</v>
      </c>
      <c r="H142" s="308">
        <f>'Monthly D5 Gallon Data'!$Z82</f>
        <v>0</v>
      </c>
      <c r="I142" s="308">
        <f>'Monthly D5 Gallon Data'!$Z94</f>
        <v>0</v>
      </c>
      <c r="J142" s="308">
        <f>'Monthly D5 Gallon Data'!$Z106</f>
        <v>0</v>
      </c>
      <c r="K142" s="308">
        <f>'Monthly D5 Gallon Data'!$Z118</f>
        <v>0</v>
      </c>
      <c r="L142" s="308">
        <f>'Monthly D5 Gallon Data'!$Z130</f>
        <v>0</v>
      </c>
      <c r="M142" s="308">
        <f>'Monthly D5 Gallon Data'!$Z142</f>
        <v>0</v>
      </c>
      <c r="N142" s="308">
        <f>'Monthly D5 Gallon Data'!$Z154</f>
        <v>0</v>
      </c>
      <c r="O142" s="308">
        <f>'Monthly D5 Gallon Data'!$Z166</f>
        <v>0</v>
      </c>
      <c r="P142" s="308">
        <f>'Monthly D5 Gallon Data'!$Z178</f>
        <v>0</v>
      </c>
      <c r="Q142" s="307">
        <v>0</v>
      </c>
      <c r="R142" s="307">
        <v>0</v>
      </c>
      <c r="S142" s="307">
        <v>0</v>
      </c>
      <c r="T142" s="307">
        <v>0</v>
      </c>
      <c r="U142" s="307">
        <v>0</v>
      </c>
      <c r="V142" s="307">
        <v>0</v>
      </c>
      <c r="W142" s="307">
        <v>0</v>
      </c>
      <c r="X142" s="307">
        <v>0</v>
      </c>
      <c r="Y142" s="307">
        <v>0</v>
      </c>
      <c r="Z142" s="307">
        <v>0</v>
      </c>
      <c r="AA142" s="307">
        <v>0</v>
      </c>
      <c r="AB142" s="307">
        <v>0</v>
      </c>
      <c r="AC142" s="307">
        <v>0</v>
      </c>
      <c r="AD142" s="307">
        <v>0</v>
      </c>
      <c r="AE142" s="307">
        <v>0</v>
      </c>
      <c r="AF142" s="307">
        <v>0</v>
      </c>
      <c r="AG142" s="307">
        <v>0</v>
      </c>
      <c r="AH142" s="307">
        <v>0</v>
      </c>
      <c r="AI142" s="307">
        <v>0</v>
      </c>
      <c r="AJ142" s="307">
        <v>0</v>
      </c>
      <c r="AK142" s="307">
        <v>0</v>
      </c>
      <c r="AL142" s="307">
        <v>0</v>
      </c>
      <c r="AM142" s="307">
        <v>0</v>
      </c>
      <c r="AN142" s="307">
        <v>0</v>
      </c>
      <c r="AO142" s="307">
        <v>0</v>
      </c>
      <c r="AP142" s="307">
        <v>0</v>
      </c>
      <c r="AR142" s="308">
        <v>0</v>
      </c>
      <c r="AS142" s="308">
        <f t="shared" si="202"/>
        <v>0</v>
      </c>
      <c r="AT142" s="308">
        <v>0</v>
      </c>
      <c r="AU142" s="308">
        <f t="shared" si="203"/>
        <v>0</v>
      </c>
      <c r="AV142" s="308">
        <v>0</v>
      </c>
      <c r="AW142" s="308">
        <f t="shared" si="204"/>
        <v>0</v>
      </c>
      <c r="AX142" s="308">
        <v>0</v>
      </c>
      <c r="AY142" s="308">
        <f t="shared" si="205"/>
        <v>0</v>
      </c>
      <c r="AZ142" s="309">
        <v>0</v>
      </c>
      <c r="BA142" s="308">
        <f t="shared" si="206"/>
        <v>0</v>
      </c>
      <c r="BB142" s="331">
        <v>0</v>
      </c>
      <c r="BC142" s="308">
        <f t="shared" si="207"/>
        <v>0</v>
      </c>
      <c r="BD142" s="308"/>
      <c r="BE142" s="308"/>
    </row>
    <row r="143" spans="1:58">
      <c r="A143" s="301" t="s">
        <v>50</v>
      </c>
      <c r="B143" s="308">
        <f>'Monthly D5 Gallon Data'!$Z11</f>
        <v>157694</v>
      </c>
      <c r="C143" s="308">
        <f>'Monthly D5 Gallon Data'!$Z23</f>
        <v>580234</v>
      </c>
      <c r="D143" s="308">
        <f>'Monthly D5 Gallon Data'!$Z35</f>
        <v>810</v>
      </c>
      <c r="E143" s="308">
        <f>'Monthly D5 Gallon Data'!$Z47</f>
        <v>250</v>
      </c>
      <c r="F143" s="308">
        <f>'Monthly D5 Gallon Data'!$Z59</f>
        <v>0</v>
      </c>
      <c r="G143" s="308">
        <f>'Monthly D5 Gallon Data'!$Z71</f>
        <v>0</v>
      </c>
      <c r="H143" s="308">
        <f>'Monthly D5 Gallon Data'!$Z83</f>
        <v>0</v>
      </c>
      <c r="I143" s="308">
        <f>'Monthly D5 Gallon Data'!$Z95</f>
        <v>0</v>
      </c>
      <c r="J143" s="308">
        <f>'Monthly D5 Gallon Data'!$Z107</f>
        <v>0</v>
      </c>
      <c r="K143" s="308">
        <f>'Monthly D5 Gallon Data'!$Z119</f>
        <v>0</v>
      </c>
      <c r="L143" s="308">
        <f>'Monthly D5 Gallon Data'!$Z131</f>
        <v>0</v>
      </c>
      <c r="M143" s="308">
        <f>'Monthly D5 Gallon Data'!$Z143</f>
        <v>0</v>
      </c>
      <c r="N143" s="308">
        <f>'Monthly D5 Gallon Data'!$Z155</f>
        <v>0</v>
      </c>
      <c r="O143" s="308">
        <f>'Monthly D5 Gallon Data'!$Z167</f>
        <v>0</v>
      </c>
      <c r="P143" s="308">
        <f>'Monthly D5 Gallon Data'!$Z179</f>
        <v>0</v>
      </c>
      <c r="Q143" s="307">
        <v>0</v>
      </c>
      <c r="R143" s="307">
        <v>0</v>
      </c>
      <c r="S143" s="307">
        <v>0</v>
      </c>
      <c r="T143" s="307">
        <v>0</v>
      </c>
      <c r="U143" s="307">
        <v>0</v>
      </c>
      <c r="V143" s="307">
        <v>0</v>
      </c>
      <c r="W143" s="307">
        <v>0</v>
      </c>
      <c r="X143" s="307">
        <v>0</v>
      </c>
      <c r="Y143" s="307">
        <v>0</v>
      </c>
      <c r="Z143" s="307">
        <v>0</v>
      </c>
      <c r="AA143" s="307">
        <v>0</v>
      </c>
      <c r="AB143" s="307">
        <v>0</v>
      </c>
      <c r="AC143" s="307">
        <v>0</v>
      </c>
      <c r="AD143" s="307">
        <v>0</v>
      </c>
      <c r="AE143" s="307">
        <v>0</v>
      </c>
      <c r="AF143" s="307">
        <v>0</v>
      </c>
      <c r="AG143" s="307">
        <v>0</v>
      </c>
      <c r="AH143" s="307">
        <v>0</v>
      </c>
      <c r="AI143" s="307">
        <v>0</v>
      </c>
      <c r="AJ143" s="307">
        <v>0</v>
      </c>
      <c r="AK143" s="307">
        <v>0</v>
      </c>
      <c r="AL143" s="307">
        <v>0</v>
      </c>
      <c r="AM143" s="307">
        <v>0</v>
      </c>
      <c r="AN143" s="307">
        <v>0</v>
      </c>
      <c r="AO143" s="307">
        <v>0</v>
      </c>
      <c r="AP143" s="307">
        <v>0</v>
      </c>
      <c r="AR143" s="308">
        <v>0</v>
      </c>
      <c r="AS143" s="308">
        <f t="shared" si="202"/>
        <v>0</v>
      </c>
      <c r="AT143" s="308">
        <v>0</v>
      </c>
      <c r="AU143" s="308">
        <f t="shared" si="203"/>
        <v>0</v>
      </c>
      <c r="AV143" s="308">
        <v>0</v>
      </c>
      <c r="AW143" s="308">
        <f t="shared" si="204"/>
        <v>0</v>
      </c>
      <c r="AX143" s="308">
        <v>0</v>
      </c>
      <c r="AY143" s="308">
        <f t="shared" si="205"/>
        <v>0</v>
      </c>
      <c r="AZ143" s="309">
        <v>0</v>
      </c>
      <c r="BA143" s="308">
        <f t="shared" si="206"/>
        <v>0</v>
      </c>
      <c r="BB143" s="331">
        <v>0</v>
      </c>
      <c r="BC143" s="308">
        <f t="shared" si="207"/>
        <v>0</v>
      </c>
      <c r="BD143" s="308"/>
      <c r="BE143" s="308"/>
    </row>
    <row r="144" spans="1:58">
      <c r="A144" s="301" t="s">
        <v>51</v>
      </c>
      <c r="B144" s="308">
        <f>'Monthly D5 Gallon Data'!$Z12</f>
        <v>497989</v>
      </c>
      <c r="C144" s="308">
        <f>'Monthly D5 Gallon Data'!$Z24</f>
        <v>1263302</v>
      </c>
      <c r="D144" s="308">
        <f>'Monthly D5 Gallon Data'!$Z36</f>
        <v>1000</v>
      </c>
      <c r="E144" s="308">
        <f>'Monthly D5 Gallon Data'!$Z48</f>
        <v>700</v>
      </c>
      <c r="F144" s="308">
        <f>'Monthly D5 Gallon Data'!$Z60</f>
        <v>0</v>
      </c>
      <c r="G144" s="308">
        <f>'Monthly D5 Gallon Data'!$Z72</f>
        <v>0</v>
      </c>
      <c r="H144" s="308">
        <f>'Monthly D5 Gallon Data'!$Z84</f>
        <v>0</v>
      </c>
      <c r="I144" s="308">
        <f>'Monthly D5 Gallon Data'!$Z96</f>
        <v>0</v>
      </c>
      <c r="J144" s="308">
        <f>'Monthly D5 Gallon Data'!$Z108</f>
        <v>0</v>
      </c>
      <c r="K144" s="308">
        <f>'Monthly D5 Gallon Data'!$Z120</f>
        <v>0</v>
      </c>
      <c r="L144" s="308">
        <f>'Monthly D5 Gallon Data'!$Z132</f>
        <v>0</v>
      </c>
      <c r="M144" s="308">
        <f>'Monthly D5 Gallon Data'!$Z144</f>
        <v>0</v>
      </c>
      <c r="N144" s="308">
        <f>'Monthly D5 Gallon Data'!$Z156</f>
        <v>0</v>
      </c>
      <c r="O144" s="308">
        <f>'Monthly D5 Gallon Data'!$Z168</f>
        <v>0</v>
      </c>
      <c r="P144" s="308">
        <f>'Monthly D5 Gallon Data'!$Z180</f>
        <v>0</v>
      </c>
      <c r="Q144" s="307">
        <v>0</v>
      </c>
      <c r="R144" s="307">
        <v>0</v>
      </c>
      <c r="S144" s="307">
        <v>0</v>
      </c>
      <c r="T144" s="307">
        <v>0</v>
      </c>
      <c r="U144" s="307">
        <v>0</v>
      </c>
      <c r="V144" s="307">
        <v>0</v>
      </c>
      <c r="W144" s="307">
        <v>0</v>
      </c>
      <c r="X144" s="307">
        <v>0</v>
      </c>
      <c r="Y144" s="307">
        <v>0</v>
      </c>
      <c r="Z144" s="307">
        <v>0</v>
      </c>
      <c r="AA144" s="307">
        <v>0</v>
      </c>
      <c r="AB144" s="307">
        <v>0</v>
      </c>
      <c r="AC144" s="307">
        <v>0</v>
      </c>
      <c r="AD144" s="307">
        <v>0</v>
      </c>
      <c r="AE144" s="307">
        <v>0</v>
      </c>
      <c r="AF144" s="307">
        <v>0</v>
      </c>
      <c r="AG144" s="307">
        <v>0</v>
      </c>
      <c r="AH144" s="307">
        <v>0</v>
      </c>
      <c r="AI144" s="307">
        <v>0</v>
      </c>
      <c r="AJ144" s="307">
        <v>0</v>
      </c>
      <c r="AK144" s="307">
        <v>0</v>
      </c>
      <c r="AL144" s="307">
        <v>0</v>
      </c>
      <c r="AM144" s="307">
        <v>0</v>
      </c>
      <c r="AN144" s="307">
        <v>0</v>
      </c>
      <c r="AO144" s="307">
        <v>0</v>
      </c>
      <c r="AP144" s="307">
        <v>0</v>
      </c>
      <c r="AR144" s="308">
        <v>0</v>
      </c>
      <c r="AS144" s="308">
        <f t="shared" si="202"/>
        <v>0</v>
      </c>
      <c r="AT144" s="308">
        <v>0</v>
      </c>
      <c r="AU144" s="308">
        <f t="shared" si="203"/>
        <v>0</v>
      </c>
      <c r="AV144" s="308">
        <v>0</v>
      </c>
      <c r="AW144" s="308">
        <f t="shared" si="204"/>
        <v>0</v>
      </c>
      <c r="AX144" s="308">
        <v>0</v>
      </c>
      <c r="AY144" s="308">
        <f t="shared" si="205"/>
        <v>0</v>
      </c>
      <c r="AZ144" s="309">
        <v>0</v>
      </c>
      <c r="BA144" s="308">
        <f t="shared" si="206"/>
        <v>0</v>
      </c>
      <c r="BB144" s="331">
        <v>0</v>
      </c>
      <c r="BC144" s="308">
        <f t="shared" si="207"/>
        <v>0</v>
      </c>
      <c r="BD144" s="308"/>
      <c r="BE144" s="308"/>
    </row>
    <row r="145" spans="1:55">
      <c r="A145" s="301" t="s">
        <v>52</v>
      </c>
      <c r="B145" s="308">
        <f>'Monthly D5 Gallon Data'!$Z13</f>
        <v>1167125</v>
      </c>
      <c r="C145" s="308">
        <f>'Monthly D5 Gallon Data'!$Z25</f>
        <v>687473</v>
      </c>
      <c r="D145" s="308">
        <f>'Monthly D5 Gallon Data'!$Z37</f>
        <v>1050</v>
      </c>
      <c r="E145" s="308">
        <f>'Monthly D5 Gallon Data'!$Z49</f>
        <v>500</v>
      </c>
      <c r="F145" s="308">
        <f>'Monthly D5 Gallon Data'!$Z61</f>
        <v>0</v>
      </c>
      <c r="G145" s="308">
        <f>'Monthly D5 Gallon Data'!$Z73</f>
        <v>0</v>
      </c>
      <c r="H145" s="308">
        <f>'Monthly D5 Gallon Data'!$Z85</f>
        <v>0</v>
      </c>
      <c r="I145" s="308">
        <f>'Monthly D5 Gallon Data'!$Z97</f>
        <v>0</v>
      </c>
      <c r="J145" s="308">
        <f>'Monthly D5 Gallon Data'!$Z109</f>
        <v>0</v>
      </c>
      <c r="K145" s="308">
        <f>'Monthly D5 Gallon Data'!$Z121</f>
        <v>0</v>
      </c>
      <c r="L145" s="308">
        <f>'Monthly D5 Gallon Data'!$Z133</f>
        <v>0</v>
      </c>
      <c r="M145" s="308">
        <f>'Monthly D5 Gallon Data'!$Z145</f>
        <v>0</v>
      </c>
      <c r="N145" s="308">
        <f>'Monthly D5 Gallon Data'!$Z157</f>
        <v>0</v>
      </c>
      <c r="O145" s="308">
        <f>'Monthly D5 Gallon Data'!$Z169</f>
        <v>0</v>
      </c>
      <c r="P145" s="308">
        <f>'Monthly D5 Gallon Data'!$Z181</f>
        <v>0</v>
      </c>
      <c r="Q145" s="307">
        <v>0</v>
      </c>
      <c r="R145" s="307">
        <v>0</v>
      </c>
      <c r="S145" s="307">
        <v>0</v>
      </c>
      <c r="T145" s="307">
        <v>0</v>
      </c>
      <c r="U145" s="307">
        <v>0</v>
      </c>
      <c r="V145" s="307">
        <v>0</v>
      </c>
      <c r="W145" s="307">
        <v>0</v>
      </c>
      <c r="X145" s="307">
        <v>0</v>
      </c>
      <c r="Y145" s="307">
        <v>0</v>
      </c>
      <c r="Z145" s="307">
        <v>0</v>
      </c>
      <c r="AA145" s="307">
        <v>0</v>
      </c>
      <c r="AB145" s="307">
        <v>0</v>
      </c>
      <c r="AC145" s="307">
        <v>0</v>
      </c>
      <c r="AD145" s="307">
        <v>0</v>
      </c>
      <c r="AE145" s="307">
        <v>0</v>
      </c>
      <c r="AF145" s="307">
        <v>0</v>
      </c>
      <c r="AG145" s="307">
        <v>0</v>
      </c>
      <c r="AH145" s="307">
        <v>0</v>
      </c>
      <c r="AI145" s="307">
        <v>0</v>
      </c>
      <c r="AJ145" s="307">
        <v>0</v>
      </c>
      <c r="AK145" s="307">
        <v>0</v>
      </c>
      <c r="AL145" s="307">
        <v>0</v>
      </c>
      <c r="AM145" s="307">
        <v>0</v>
      </c>
      <c r="AN145" s="307">
        <v>0</v>
      </c>
      <c r="AO145" s="307">
        <v>0</v>
      </c>
      <c r="AP145" s="307">
        <v>0</v>
      </c>
      <c r="AQ145" s="308"/>
      <c r="AR145" s="308">
        <v>0</v>
      </c>
      <c r="AS145" s="308">
        <f t="shared" si="202"/>
        <v>0</v>
      </c>
      <c r="AT145" s="308">
        <v>0</v>
      </c>
      <c r="AU145" s="308">
        <f t="shared" si="203"/>
        <v>0</v>
      </c>
      <c r="AV145" s="308">
        <v>0</v>
      </c>
      <c r="AW145" s="308">
        <f t="shared" si="204"/>
        <v>0</v>
      </c>
      <c r="AX145" s="308">
        <v>0</v>
      </c>
      <c r="AY145" s="308">
        <f t="shared" si="205"/>
        <v>0</v>
      </c>
      <c r="AZ145" s="309">
        <v>0</v>
      </c>
      <c r="BA145" s="308">
        <f t="shared" si="206"/>
        <v>0</v>
      </c>
      <c r="BB145" s="331">
        <v>0</v>
      </c>
      <c r="BC145" s="308">
        <f t="shared" si="207"/>
        <v>0</v>
      </c>
    </row>
    <row r="146" spans="1:55">
      <c r="A146" s="301" t="s">
        <v>53</v>
      </c>
      <c r="B146" s="308">
        <f>'Monthly D5 Gallon Data'!$Z14</f>
        <v>1441986</v>
      </c>
      <c r="C146" s="308">
        <f>'Monthly D5 Gallon Data'!$Z26</f>
        <v>1280544</v>
      </c>
      <c r="D146" s="308">
        <f>'Monthly D5 Gallon Data'!$Z38</f>
        <v>1200</v>
      </c>
      <c r="E146" s="308">
        <f>'Monthly D5 Gallon Data'!$Z50</f>
        <v>0</v>
      </c>
      <c r="F146" s="308">
        <f>'Monthly D5 Gallon Data'!$Z62</f>
        <v>0</v>
      </c>
      <c r="G146" s="308">
        <f>'Monthly D5 Gallon Data'!$Z74</f>
        <v>0</v>
      </c>
      <c r="H146" s="308">
        <f>'Monthly D5 Gallon Data'!$Z86</f>
        <v>0</v>
      </c>
      <c r="I146" s="308">
        <f>'Monthly D5 Gallon Data'!$Z98</f>
        <v>0</v>
      </c>
      <c r="J146" s="308">
        <f>'Monthly D5 Gallon Data'!$Z110</f>
        <v>0</v>
      </c>
      <c r="K146" s="308">
        <f>'Monthly D5 Gallon Data'!$Z122</f>
        <v>0</v>
      </c>
      <c r="L146" s="308">
        <f>'Monthly D5 Gallon Data'!$Z134</f>
        <v>0</v>
      </c>
      <c r="M146" s="308">
        <f>'Monthly D5 Gallon Data'!$Z146</f>
        <v>0</v>
      </c>
      <c r="N146" s="308">
        <f>'Monthly D5 Gallon Data'!$Z158</f>
        <v>0</v>
      </c>
      <c r="O146" s="308">
        <f>'Monthly D5 Gallon Data'!$Z170</f>
        <v>0</v>
      </c>
      <c r="P146" s="308">
        <f>'Monthly D5 Gallon Data'!$Z182</f>
        <v>0</v>
      </c>
      <c r="Q146" s="307">
        <v>0</v>
      </c>
      <c r="R146" s="307">
        <v>0</v>
      </c>
      <c r="S146" s="307">
        <v>0</v>
      </c>
      <c r="T146" s="307">
        <v>0</v>
      </c>
      <c r="U146" s="307">
        <v>0</v>
      </c>
      <c r="V146" s="307">
        <v>0</v>
      </c>
      <c r="W146" s="307">
        <v>0</v>
      </c>
      <c r="X146" s="307">
        <v>0</v>
      </c>
      <c r="Y146" s="307">
        <v>0</v>
      </c>
      <c r="Z146" s="307">
        <v>0</v>
      </c>
      <c r="AA146" s="307">
        <v>0</v>
      </c>
      <c r="AB146" s="307">
        <v>0</v>
      </c>
      <c r="AC146" s="307">
        <v>0</v>
      </c>
      <c r="AD146" s="307">
        <v>0</v>
      </c>
      <c r="AE146" s="307">
        <v>0</v>
      </c>
      <c r="AF146" s="307">
        <v>0</v>
      </c>
      <c r="AG146" s="307">
        <v>0</v>
      </c>
      <c r="AH146" s="307">
        <v>0</v>
      </c>
      <c r="AI146" s="307">
        <v>0</v>
      </c>
      <c r="AJ146" s="307">
        <v>0</v>
      </c>
      <c r="AK146" s="307">
        <v>0</v>
      </c>
      <c r="AL146" s="307">
        <v>0</v>
      </c>
      <c r="AM146" s="307">
        <v>0</v>
      </c>
      <c r="AN146" s="307">
        <v>0</v>
      </c>
      <c r="AO146" s="307">
        <v>0</v>
      </c>
      <c r="AP146" s="307">
        <v>0</v>
      </c>
      <c r="AR146" s="308">
        <v>0</v>
      </c>
      <c r="AS146" s="308">
        <f t="shared" si="202"/>
        <v>0</v>
      </c>
      <c r="AT146" s="308">
        <v>0</v>
      </c>
      <c r="AU146" s="308">
        <f t="shared" si="203"/>
        <v>0</v>
      </c>
      <c r="AV146" s="308">
        <v>0</v>
      </c>
      <c r="AW146" s="308">
        <f t="shared" si="204"/>
        <v>0</v>
      </c>
      <c r="AX146" s="309">
        <v>0</v>
      </c>
      <c r="AY146" s="308">
        <f t="shared" si="205"/>
        <v>0</v>
      </c>
      <c r="AZ146" s="309">
        <v>0</v>
      </c>
      <c r="BA146" s="308">
        <f t="shared" si="206"/>
        <v>0</v>
      </c>
      <c r="BB146" s="331">
        <v>0</v>
      </c>
      <c r="BC146" s="308">
        <f t="shared" si="207"/>
        <v>0</v>
      </c>
    </row>
    <row r="147" spans="1:55">
      <c r="A147" s="301" t="s">
        <v>54</v>
      </c>
      <c r="B147" s="308">
        <f>'Monthly D5 Gallon Data'!$Z15</f>
        <v>1872516</v>
      </c>
      <c r="C147" s="308">
        <f>'Monthly D5 Gallon Data'!$Z27</f>
        <v>419381</v>
      </c>
      <c r="D147" s="308">
        <f>'Monthly D5 Gallon Data'!$Z39</f>
        <v>1000</v>
      </c>
      <c r="E147" s="308">
        <f>'Monthly D5 Gallon Data'!$Z51</f>
        <v>650</v>
      </c>
      <c r="F147" s="308">
        <f>'Monthly D5 Gallon Data'!$Z63</f>
        <v>0</v>
      </c>
      <c r="G147" s="308">
        <f>'Monthly D5 Gallon Data'!$Z75</f>
        <v>0</v>
      </c>
      <c r="H147" s="308">
        <f>'Monthly D5 Gallon Data'!$Z87</f>
        <v>0</v>
      </c>
      <c r="I147" s="308">
        <f>'Monthly D5 Gallon Data'!$Z99</f>
        <v>0</v>
      </c>
      <c r="J147" s="308">
        <f>'Monthly D5 Gallon Data'!$Z111</f>
        <v>0</v>
      </c>
      <c r="K147" s="308">
        <f>'Monthly D5 Gallon Data'!$Z123</f>
        <v>0</v>
      </c>
      <c r="L147" s="308">
        <f>'Monthly D5 Gallon Data'!$Z135</f>
        <v>0</v>
      </c>
      <c r="M147" s="308">
        <f>'Monthly D5 Gallon Data'!$Z147</f>
        <v>0</v>
      </c>
      <c r="N147" s="308">
        <f>'Monthly D5 Gallon Data'!$Z159</f>
        <v>0</v>
      </c>
      <c r="O147" s="308">
        <f>'Monthly D5 Gallon Data'!$Z171</f>
        <v>0</v>
      </c>
      <c r="P147" s="308">
        <f>'Monthly D5 Gallon Data'!$Z183</f>
        <v>0</v>
      </c>
      <c r="Q147" s="307">
        <v>0</v>
      </c>
      <c r="R147" s="307">
        <v>0</v>
      </c>
      <c r="S147" s="307">
        <v>0</v>
      </c>
      <c r="T147" s="307">
        <v>0</v>
      </c>
      <c r="U147" s="307">
        <v>0</v>
      </c>
      <c r="V147" s="307">
        <v>0</v>
      </c>
      <c r="W147" s="307">
        <v>0</v>
      </c>
      <c r="X147" s="307">
        <v>0</v>
      </c>
      <c r="Y147" s="307">
        <v>0</v>
      </c>
      <c r="Z147" s="307">
        <v>0</v>
      </c>
      <c r="AA147" s="307">
        <v>0</v>
      </c>
      <c r="AB147" s="307">
        <v>0</v>
      </c>
      <c r="AC147" s="307">
        <v>0</v>
      </c>
      <c r="AD147" s="307">
        <v>0</v>
      </c>
      <c r="AE147" s="307">
        <v>0</v>
      </c>
      <c r="AF147" s="307">
        <v>0</v>
      </c>
      <c r="AG147" s="307">
        <v>0</v>
      </c>
      <c r="AH147" s="307">
        <v>0</v>
      </c>
      <c r="AI147" s="307">
        <v>0</v>
      </c>
      <c r="AJ147" s="307">
        <v>0</v>
      </c>
      <c r="AK147" s="307">
        <v>0</v>
      </c>
      <c r="AL147" s="307">
        <v>0</v>
      </c>
      <c r="AM147" s="307">
        <v>0</v>
      </c>
      <c r="AN147" s="307">
        <v>0</v>
      </c>
      <c r="AO147" s="307">
        <v>0</v>
      </c>
      <c r="AP147" s="307">
        <v>0</v>
      </c>
      <c r="AR147" s="308">
        <v>0</v>
      </c>
      <c r="AS147" s="308">
        <f t="shared" si="202"/>
        <v>0</v>
      </c>
      <c r="AT147" s="308">
        <v>0</v>
      </c>
      <c r="AU147" s="308">
        <f t="shared" si="203"/>
        <v>0</v>
      </c>
      <c r="AV147" s="308">
        <v>0</v>
      </c>
      <c r="AW147" s="308">
        <f t="shared" si="204"/>
        <v>0</v>
      </c>
      <c r="AX147" s="309">
        <v>0</v>
      </c>
      <c r="AY147" s="308">
        <f t="shared" si="205"/>
        <v>0</v>
      </c>
      <c r="AZ147" s="309">
        <v>0</v>
      </c>
      <c r="BA147" s="308">
        <f t="shared" si="206"/>
        <v>0</v>
      </c>
      <c r="BB147" s="331">
        <v>0</v>
      </c>
      <c r="BC147" s="308">
        <f t="shared" si="207"/>
        <v>0</v>
      </c>
    </row>
    <row r="148" spans="1:55" ht="12" thickBot="1">
      <c r="A148" s="301" t="s">
        <v>29</v>
      </c>
      <c r="B148" s="308">
        <f t="shared" ref="B148:P148" si="208">SUM(B136:B147)</f>
        <v>5175074</v>
      </c>
      <c r="C148" s="308">
        <f t="shared" si="208"/>
        <v>12183578</v>
      </c>
      <c r="D148" s="308">
        <f t="shared" si="208"/>
        <v>2167286</v>
      </c>
      <c r="E148" s="308">
        <f t="shared" si="208"/>
        <v>11612</v>
      </c>
      <c r="F148" s="308">
        <f t="shared" si="208"/>
        <v>300</v>
      </c>
      <c r="G148" s="308">
        <f t="shared" si="208"/>
        <v>0</v>
      </c>
      <c r="H148" s="308">
        <f t="shared" si="208"/>
        <v>0</v>
      </c>
      <c r="I148" s="308">
        <f t="shared" si="208"/>
        <v>0</v>
      </c>
      <c r="J148" s="308">
        <f t="shared" si="208"/>
        <v>0</v>
      </c>
      <c r="K148" s="308">
        <f t="shared" si="208"/>
        <v>0</v>
      </c>
      <c r="L148" s="308">
        <f t="shared" si="208"/>
        <v>0</v>
      </c>
      <c r="M148" s="308">
        <f t="shared" si="208"/>
        <v>0</v>
      </c>
      <c r="N148" s="308">
        <f t="shared" si="208"/>
        <v>0</v>
      </c>
      <c r="O148" s="308">
        <f t="shared" si="208"/>
        <v>0</v>
      </c>
      <c r="P148" s="308">
        <f t="shared" si="208"/>
        <v>0</v>
      </c>
      <c r="Q148" s="307">
        <f t="shared" ref="Q148:AD148" si="209">SUM(Q136:Q147)</f>
        <v>0</v>
      </c>
      <c r="R148" s="307">
        <f t="shared" si="209"/>
        <v>0</v>
      </c>
      <c r="S148" s="307">
        <f t="shared" si="209"/>
        <v>0</v>
      </c>
      <c r="T148" s="307">
        <f t="shared" si="209"/>
        <v>0</v>
      </c>
      <c r="U148" s="307">
        <f t="shared" si="209"/>
        <v>0</v>
      </c>
      <c r="V148" s="307">
        <f t="shared" si="209"/>
        <v>0</v>
      </c>
      <c r="W148" s="307">
        <f t="shared" si="209"/>
        <v>0</v>
      </c>
      <c r="X148" s="307">
        <f t="shared" si="209"/>
        <v>0</v>
      </c>
      <c r="Y148" s="307">
        <f t="shared" si="209"/>
        <v>0</v>
      </c>
      <c r="Z148" s="307">
        <f t="shared" si="209"/>
        <v>0</v>
      </c>
      <c r="AA148" s="307">
        <f t="shared" si="209"/>
        <v>0</v>
      </c>
      <c r="AB148" s="307">
        <f t="shared" si="209"/>
        <v>0</v>
      </c>
      <c r="AC148" s="307">
        <f t="shared" si="209"/>
        <v>0</v>
      </c>
      <c r="AD148" s="307">
        <f t="shared" si="209"/>
        <v>0</v>
      </c>
      <c r="AE148" s="307">
        <f>SUM(AE136:AE147)</f>
        <v>0</v>
      </c>
      <c r="AF148" s="307">
        <f>SUM(AF136:AF147)</f>
        <v>0</v>
      </c>
      <c r="AG148" s="307">
        <f>SUM(AG136:AG147)</f>
        <v>0</v>
      </c>
      <c r="AH148" s="307">
        <f t="shared" ref="AH148:AP148" si="210">SUM(AH136:AH147)</f>
        <v>0</v>
      </c>
      <c r="AI148" s="307">
        <f t="shared" si="210"/>
        <v>0</v>
      </c>
      <c r="AJ148" s="307">
        <f t="shared" si="210"/>
        <v>0</v>
      </c>
      <c r="AK148" s="307">
        <f t="shared" si="210"/>
        <v>0</v>
      </c>
      <c r="AL148" s="307">
        <f t="shared" si="210"/>
        <v>0</v>
      </c>
      <c r="AM148" s="307">
        <f t="shared" si="210"/>
        <v>0</v>
      </c>
      <c r="AN148" s="307">
        <f t="shared" si="210"/>
        <v>0</v>
      </c>
      <c r="AO148" s="307">
        <f t="shared" si="210"/>
        <v>0</v>
      </c>
      <c r="AP148" s="307">
        <f t="shared" si="210"/>
        <v>0</v>
      </c>
      <c r="AR148" s="308">
        <v>0</v>
      </c>
      <c r="AS148" s="308">
        <f t="shared" si="202"/>
        <v>0</v>
      </c>
      <c r="AT148" s="308">
        <v>0</v>
      </c>
      <c r="AU148" s="308">
        <f t="shared" si="203"/>
        <v>0</v>
      </c>
      <c r="AV148" s="308">
        <v>0</v>
      </c>
      <c r="AW148" s="308">
        <f t="shared" si="204"/>
        <v>0</v>
      </c>
      <c r="AX148" s="309">
        <v>0</v>
      </c>
      <c r="AY148" s="308">
        <f t="shared" si="205"/>
        <v>0</v>
      </c>
      <c r="AZ148" s="309">
        <v>0</v>
      </c>
      <c r="BA148" s="308">
        <f t="shared" si="206"/>
        <v>0</v>
      </c>
      <c r="BB148" s="331">
        <v>0</v>
      </c>
      <c r="BC148" s="308">
        <f t="shared" si="207"/>
        <v>0</v>
      </c>
    </row>
    <row r="149" spans="1:55">
      <c r="A149" s="334"/>
      <c r="B149" s="334"/>
      <c r="C149" s="334"/>
      <c r="D149" s="334"/>
      <c r="E149" s="334"/>
      <c r="F149" s="334"/>
      <c r="G149" s="334"/>
      <c r="H149" s="334"/>
      <c r="I149" s="334"/>
      <c r="J149" s="334"/>
      <c r="K149" s="334"/>
      <c r="L149" s="334"/>
      <c r="M149" s="334"/>
      <c r="N149" s="334"/>
      <c r="O149" s="334"/>
      <c r="P149" s="334"/>
      <c r="Q149" s="334"/>
      <c r="R149" s="334"/>
      <c r="S149" s="334"/>
      <c r="T149" s="334"/>
      <c r="U149" s="334"/>
      <c r="V149" s="334"/>
      <c r="W149" s="334"/>
      <c r="X149" s="334"/>
      <c r="Y149" s="334"/>
      <c r="Z149" s="334"/>
      <c r="AA149" s="334"/>
      <c r="AB149" s="334"/>
      <c r="AC149" s="334"/>
      <c r="AD149" s="334"/>
      <c r="AE149" s="334"/>
      <c r="AF149" s="334"/>
      <c r="AG149" s="334"/>
      <c r="AH149" s="334"/>
      <c r="AI149" s="334"/>
      <c r="AJ149" s="334"/>
      <c r="AK149" s="334"/>
      <c r="AL149" s="334"/>
      <c r="AM149" s="334"/>
      <c r="AN149" s="334"/>
      <c r="AO149" s="334"/>
      <c r="AP149" s="334"/>
      <c r="AT149" s="309"/>
    </row>
    <row r="150" spans="1:55" ht="12" thickBot="1">
      <c r="A150" s="300" t="s">
        <v>439</v>
      </c>
      <c r="N150" s="301" t="s">
        <v>440</v>
      </c>
      <c r="P150" s="301" t="s">
        <v>441</v>
      </c>
      <c r="AT150" s="309"/>
    </row>
    <row r="151" spans="1:55" ht="12" thickBot="1">
      <c r="A151" s="328"/>
      <c r="B151" s="329">
        <f t="shared" ref="B151:AP151" si="211">B2</f>
        <v>2010</v>
      </c>
      <c r="C151" s="329">
        <f t="shared" si="211"/>
        <v>2011</v>
      </c>
      <c r="D151" s="329">
        <f t="shared" si="211"/>
        <v>2012</v>
      </c>
      <c r="E151" s="329">
        <f t="shared" si="211"/>
        <v>2013</v>
      </c>
      <c r="F151" s="329">
        <f t="shared" si="211"/>
        <v>2014</v>
      </c>
      <c r="G151" s="329">
        <f t="shared" si="211"/>
        <v>2015</v>
      </c>
      <c r="H151" s="329">
        <f t="shared" si="211"/>
        <v>2016</v>
      </c>
      <c r="I151" s="329">
        <f t="shared" si="211"/>
        <v>2017</v>
      </c>
      <c r="J151" s="329">
        <f t="shared" si="211"/>
        <v>2018</v>
      </c>
      <c r="K151" s="329">
        <f t="shared" si="211"/>
        <v>2019</v>
      </c>
      <c r="L151" s="329">
        <f t="shared" si="211"/>
        <v>2020</v>
      </c>
      <c r="M151" s="329">
        <f t="shared" si="211"/>
        <v>2021</v>
      </c>
      <c r="N151" s="329">
        <f t="shared" si="211"/>
        <v>2022</v>
      </c>
      <c r="O151" s="329">
        <f t="shared" si="211"/>
        <v>2023</v>
      </c>
      <c r="P151" s="329">
        <f t="shared" si="211"/>
        <v>2024</v>
      </c>
      <c r="Q151" s="329">
        <f t="shared" si="211"/>
        <v>2025</v>
      </c>
      <c r="R151" s="329">
        <f t="shared" si="211"/>
        <v>2026</v>
      </c>
      <c r="S151" s="329">
        <f t="shared" si="211"/>
        <v>2027</v>
      </c>
      <c r="T151" s="329">
        <f t="shared" si="211"/>
        <v>2028</v>
      </c>
      <c r="U151" s="329">
        <f t="shared" si="211"/>
        <v>2029</v>
      </c>
      <c r="V151" s="329">
        <f t="shared" si="211"/>
        <v>2030</v>
      </c>
      <c r="W151" s="329">
        <f t="shared" si="211"/>
        <v>2031</v>
      </c>
      <c r="X151" s="329">
        <f t="shared" si="211"/>
        <v>2032</v>
      </c>
      <c r="Y151" s="329">
        <f t="shared" si="211"/>
        <v>2033</v>
      </c>
      <c r="Z151" s="329">
        <f t="shared" si="211"/>
        <v>2034</v>
      </c>
      <c r="AA151" s="329">
        <f t="shared" si="211"/>
        <v>2035</v>
      </c>
      <c r="AB151" s="329">
        <f t="shared" si="211"/>
        <v>2036</v>
      </c>
      <c r="AC151" s="329">
        <f t="shared" si="211"/>
        <v>2037</v>
      </c>
      <c r="AD151" s="329">
        <f t="shared" si="211"/>
        <v>2038</v>
      </c>
      <c r="AE151" s="329">
        <f t="shared" si="211"/>
        <v>2039</v>
      </c>
      <c r="AF151" s="329">
        <f t="shared" si="211"/>
        <v>2040</v>
      </c>
      <c r="AG151" s="329">
        <f t="shared" si="211"/>
        <v>2041</v>
      </c>
      <c r="AH151" s="329">
        <f t="shared" si="211"/>
        <v>2042</v>
      </c>
      <c r="AI151" s="329">
        <f t="shared" si="211"/>
        <v>2043</v>
      </c>
      <c r="AJ151" s="329">
        <f t="shared" si="211"/>
        <v>2044</v>
      </c>
      <c r="AK151" s="329">
        <f t="shared" si="211"/>
        <v>2045</v>
      </c>
      <c r="AL151" s="329">
        <f t="shared" si="211"/>
        <v>2046</v>
      </c>
      <c r="AM151" s="329">
        <f t="shared" si="211"/>
        <v>2047</v>
      </c>
      <c r="AN151" s="329">
        <f t="shared" si="211"/>
        <v>2048</v>
      </c>
      <c r="AO151" s="329">
        <f t="shared" si="211"/>
        <v>2049</v>
      </c>
      <c r="AP151" s="329">
        <f t="shared" si="211"/>
        <v>2050</v>
      </c>
      <c r="AT151" s="309"/>
    </row>
    <row r="152" spans="1:55">
      <c r="A152" s="301" t="s">
        <v>43</v>
      </c>
      <c r="B152" s="308">
        <f>'Monthly D5 Gallon Data'!$AA4</f>
        <v>0</v>
      </c>
      <c r="C152" s="308">
        <f>'Monthly D5 Gallon Data'!$AA16</f>
        <v>442129</v>
      </c>
      <c r="D152" s="308">
        <f>'Monthly D5 Gallon Data'!$AA28</f>
        <v>462261</v>
      </c>
      <c r="E152" s="308">
        <f>'Monthly D5 Gallon Data'!$AA40</f>
        <v>402535</v>
      </c>
      <c r="F152" s="308">
        <f>'Monthly D5 Gallon Data'!$AA52</f>
        <v>234258</v>
      </c>
      <c r="G152" s="308">
        <f>'Monthly D5 Gallon Data'!$AA64</f>
        <v>166050</v>
      </c>
      <c r="H152" s="308">
        <f>'Monthly D5 Gallon Data'!$AA76</f>
        <v>235311</v>
      </c>
      <c r="I152" s="308">
        <f>'Monthly D5 Gallon Data'!$AA88</f>
        <v>449601</v>
      </c>
      <c r="J152" s="308">
        <f>'Monthly D5 Gallon Data'!$AA100</f>
        <v>321773</v>
      </c>
      <c r="K152" s="308">
        <f>'Monthly D5 Gallon Data'!$AA112</f>
        <v>2981550</v>
      </c>
      <c r="L152" s="308">
        <f>'Monthly D5 Gallon Data'!$AA124</f>
        <v>4025292</v>
      </c>
      <c r="M152" s="308">
        <f>'Monthly D5 Gallon Data'!$AA136</f>
        <v>8703348</v>
      </c>
      <c r="N152" s="308">
        <f>'Monthly D5 Gallon Data'!$AA148</f>
        <v>4020554</v>
      </c>
      <c r="O152" s="308">
        <f>'Monthly D5 Gallon Data'!$AA160</f>
        <v>3658476</v>
      </c>
      <c r="P152" s="308">
        <f>'Monthly D5 Gallon Data'!$AA172</f>
        <v>5200778</v>
      </c>
      <c r="Q152" s="308">
        <f>'Monthly D5 Gallon Data'!$AA184</f>
        <v>5416008</v>
      </c>
      <c r="R152" s="307">
        <f t="shared" ref="Q152:AD162" si="212">(SUM(M152:Q152)/SUM(M$164:Q$164))*R$164</f>
        <v>5937533.8844495649</v>
      </c>
      <c r="S152" s="307">
        <f t="shared" si="212"/>
        <v>6214707.3119492158</v>
      </c>
      <c r="T152" s="307">
        <f t="shared" si="212"/>
        <v>6809707.318395297</v>
      </c>
      <c r="U152" s="307">
        <f t="shared" si="212"/>
        <v>7705781.8718978278</v>
      </c>
      <c r="V152" s="307">
        <f t="shared" si="212"/>
        <v>8221829.8078431087</v>
      </c>
      <c r="W152" s="307">
        <f t="shared" si="212"/>
        <v>8373344.3202624619</v>
      </c>
      <c r="X152" s="307">
        <f t="shared" si="212"/>
        <v>9400006.6353150103</v>
      </c>
      <c r="Y152" s="307">
        <f t="shared" si="212"/>
        <v>9750870.210260829</v>
      </c>
      <c r="Z152" s="307">
        <f t="shared" si="212"/>
        <v>10270938.943144886</v>
      </c>
      <c r="AA152" s="307">
        <f t="shared" si="212"/>
        <v>10853958.908365149</v>
      </c>
      <c r="AB152" s="307">
        <f t="shared" si="212"/>
        <v>10583586.781363338</v>
      </c>
      <c r="AC152" s="307">
        <f t="shared" si="212"/>
        <v>11443625.784014061</v>
      </c>
      <c r="AD152" s="307">
        <f t="shared" si="212"/>
        <v>12641580.616318449</v>
      </c>
      <c r="AE152" s="307">
        <f t="shared" ref="AE152:AE162" si="213">(SUM(Z152:AD152)/SUM(Z$164:AD$164))*AE$164</f>
        <v>13811853.323497228</v>
      </c>
      <c r="AF152" s="307">
        <f t="shared" ref="AF152:AP162" si="214">(SUM(AA152:AE152)/SUM(AA$164:AE$164))*AF$164</f>
        <v>13794033.974486617</v>
      </c>
      <c r="AG152" s="307">
        <f t="shared" si="214"/>
        <v>13840996.832624484</v>
      </c>
      <c r="AH152" s="307">
        <f t="shared" si="214"/>
        <v>14544871.159587309</v>
      </c>
      <c r="AI152" s="307">
        <f t="shared" si="214"/>
        <v>15707792.551286601</v>
      </c>
      <c r="AJ152" s="307">
        <f t="shared" si="214"/>
        <v>16099231.31321382</v>
      </c>
      <c r="AK152" s="307">
        <f t="shared" si="214"/>
        <v>16066784.200494088</v>
      </c>
      <c r="AL152" s="307">
        <f t="shared" si="214"/>
        <v>15994169.829607673</v>
      </c>
      <c r="AM152" s="307">
        <f t="shared" si="214"/>
        <v>15720770.112049596</v>
      </c>
      <c r="AN152" s="307">
        <f t="shared" si="214"/>
        <v>16322664.884684358</v>
      </c>
      <c r="AO152" s="307">
        <f t="shared" si="214"/>
        <v>16911485.1891094</v>
      </c>
      <c r="AP152" s="307">
        <f t="shared" si="214"/>
        <v>17062823.486536875</v>
      </c>
      <c r="AR152" s="308">
        <v>2343026.8431317476</v>
      </c>
      <c r="AS152" s="308">
        <f t="shared" ref="AS152:AS164" si="215">L152-AR152</f>
        <v>1682265.1568682524</v>
      </c>
      <c r="AT152" s="308">
        <v>8754280.8630525693</v>
      </c>
      <c r="AU152" s="308">
        <f t="shared" ref="AU152:AU164" si="216">M152-AT152</f>
        <v>-50932.86305256933</v>
      </c>
      <c r="AV152" s="308">
        <v>7040732.6733118715</v>
      </c>
      <c r="AW152" s="308">
        <f t="shared" ref="AW152:AW164" si="217">N152-AV152</f>
        <v>-3020178.6733118715</v>
      </c>
      <c r="AX152" s="308">
        <v>8346201.1381376339</v>
      </c>
      <c r="AY152" s="308">
        <f t="shared" ref="AY152:AY164" si="218">O152-AX152</f>
        <v>-4687725.1381376339</v>
      </c>
      <c r="AZ152" s="308">
        <v>5200778</v>
      </c>
      <c r="BA152" s="308">
        <f t="shared" ref="BA152:BA164" si="219">P152-AZ152</f>
        <v>0</v>
      </c>
      <c r="BB152" s="331">
        <v>5416008</v>
      </c>
      <c r="BC152" s="308">
        <f t="shared" ref="BC152:BC164" si="220">Q152-BB152</f>
        <v>0</v>
      </c>
    </row>
    <row r="153" spans="1:55">
      <c r="A153" s="301" t="s">
        <v>44</v>
      </c>
      <c r="B153" s="308">
        <f>'Monthly D5 Gallon Data'!$AA5</f>
        <v>0</v>
      </c>
      <c r="C153" s="308">
        <f>'Monthly D5 Gallon Data'!$AA17</f>
        <v>134530</v>
      </c>
      <c r="D153" s="308">
        <f>'Monthly D5 Gallon Data'!$AA29</f>
        <v>331993</v>
      </c>
      <c r="E153" s="308">
        <f>'Monthly D5 Gallon Data'!$AA41</f>
        <v>581378</v>
      </c>
      <c r="F153" s="308">
        <f>'Monthly D5 Gallon Data'!$AA53</f>
        <v>523001</v>
      </c>
      <c r="G153" s="308">
        <f>'Monthly D5 Gallon Data'!$AA65</f>
        <v>390698</v>
      </c>
      <c r="H153" s="308">
        <f>'Monthly D5 Gallon Data'!$AA77</f>
        <v>302371</v>
      </c>
      <c r="I153" s="308">
        <f>'Monthly D5 Gallon Data'!$AA89</f>
        <v>357500</v>
      </c>
      <c r="J153" s="308">
        <f>'Monthly D5 Gallon Data'!$AA101</f>
        <v>1440235</v>
      </c>
      <c r="K153" s="308">
        <f>'Monthly D5 Gallon Data'!$AA113</f>
        <v>2348092</v>
      </c>
      <c r="L153" s="308">
        <f>'Monthly D5 Gallon Data'!$AA125</f>
        <v>3352809</v>
      </c>
      <c r="M153" s="308">
        <f>'Monthly D5 Gallon Data'!$AA137</f>
        <v>4481922</v>
      </c>
      <c r="N153" s="308">
        <f>'Monthly D5 Gallon Data'!$AA149</f>
        <v>4714822</v>
      </c>
      <c r="O153" s="308">
        <f>'Monthly D5 Gallon Data'!$AA161</f>
        <v>2098580</v>
      </c>
      <c r="P153" s="308">
        <f>'Monthly D5 Gallon Data'!$AA173</f>
        <v>3935204</v>
      </c>
      <c r="Q153" s="332">
        <f>'Monthly D5 Gallon Data'!$AA185</f>
        <v>4635669</v>
      </c>
      <c r="R153" s="307">
        <f t="shared" si="212"/>
        <v>4368884.0825830866</v>
      </c>
      <c r="S153" s="307">
        <f t="shared" si="212"/>
        <v>5065750.4129629154</v>
      </c>
      <c r="T153" s="307">
        <f t="shared" si="212"/>
        <v>5180321.0742486808</v>
      </c>
      <c r="U153" s="307">
        <f t="shared" si="212"/>
        <v>6040317.1538219014</v>
      </c>
      <c r="V153" s="307">
        <f t="shared" si="212"/>
        <v>6481096.9353217538</v>
      </c>
      <c r="W153" s="307">
        <f t="shared" si="212"/>
        <v>6512611.9529533442</v>
      </c>
      <c r="X153" s="307">
        <f t="shared" si="212"/>
        <v>7373888.2269634949</v>
      </c>
      <c r="Y153" s="307">
        <f t="shared" si="212"/>
        <v>7603250.7819719575</v>
      </c>
      <c r="Z153" s="307">
        <f t="shared" si="212"/>
        <v>8039398.4959352035</v>
      </c>
      <c r="AA153" s="307">
        <f t="shared" si="212"/>
        <v>8493683.2100004666</v>
      </c>
      <c r="AB153" s="307">
        <f t="shared" si="212"/>
        <v>8271844.5337041849</v>
      </c>
      <c r="AC153" s="307">
        <f t="shared" si="212"/>
        <v>8951175.4451111443</v>
      </c>
      <c r="AD153" s="307">
        <f t="shared" si="212"/>
        <v>9883140.4629495945</v>
      </c>
      <c r="AE153" s="307">
        <f t="shared" si="213"/>
        <v>10802992.247526623</v>
      </c>
      <c r="AF153" s="307">
        <f t="shared" si="214"/>
        <v>10787672.563861012</v>
      </c>
      <c r="AG153" s="307">
        <f t="shared" si="214"/>
        <v>10823220.59135548</v>
      </c>
      <c r="AH153" s="307">
        <f t="shared" si="214"/>
        <v>11374556.788697243</v>
      </c>
      <c r="AI153" s="307">
        <f t="shared" si="214"/>
        <v>12283565.633218382</v>
      </c>
      <c r="AJ153" s="307">
        <f t="shared" si="214"/>
        <v>12590263.834875172</v>
      </c>
      <c r="AK153" s="307">
        <f t="shared" si="214"/>
        <v>12564551.721336858</v>
      </c>
      <c r="AL153" s="307">
        <f t="shared" si="214"/>
        <v>12507669.812683295</v>
      </c>
      <c r="AM153" s="307">
        <f t="shared" si="214"/>
        <v>12293995.05104439</v>
      </c>
      <c r="AN153" s="307">
        <f t="shared" si="214"/>
        <v>12764661.331877131</v>
      </c>
      <c r="AO153" s="307">
        <f t="shared" si="214"/>
        <v>13225184.290717352</v>
      </c>
      <c r="AP153" s="307">
        <f t="shared" si="214"/>
        <v>13343475.173394755</v>
      </c>
      <c r="AR153" s="308">
        <v>2529455.2746209004</v>
      </c>
      <c r="AS153" s="308">
        <f t="shared" si="215"/>
        <v>823353.7253790996</v>
      </c>
      <c r="AT153" s="308">
        <v>8557299.7294904143</v>
      </c>
      <c r="AU153" s="308">
        <f t="shared" si="216"/>
        <v>-4075377.7294904143</v>
      </c>
      <c r="AV153" s="308">
        <v>4582717.2045150427</v>
      </c>
      <c r="AW153" s="308">
        <f t="shared" si="217"/>
        <v>132104.79548495729</v>
      </c>
      <c r="AX153" s="308">
        <v>6800105.5753128696</v>
      </c>
      <c r="AY153" s="308">
        <f t="shared" si="218"/>
        <v>-4701525.5753128696</v>
      </c>
      <c r="AZ153" s="308">
        <v>3935204</v>
      </c>
      <c r="BA153" s="308">
        <f t="shared" si="219"/>
        <v>0</v>
      </c>
      <c r="BB153" s="331">
        <v>4635669</v>
      </c>
      <c r="BC153" s="308">
        <f t="shared" si="220"/>
        <v>0</v>
      </c>
    </row>
    <row r="154" spans="1:55">
      <c r="A154" s="301" t="s">
        <v>45</v>
      </c>
      <c r="B154" s="308">
        <f>'Monthly D5 Gallon Data'!$AA6</f>
        <v>0</v>
      </c>
      <c r="C154" s="308">
        <f>'Monthly D5 Gallon Data'!$AA18</f>
        <v>207870</v>
      </c>
      <c r="D154" s="308">
        <f>'Monthly D5 Gallon Data'!$AA30</f>
        <v>287273</v>
      </c>
      <c r="E154" s="308">
        <f>'Monthly D5 Gallon Data'!$AA42</f>
        <v>692789</v>
      </c>
      <c r="F154" s="308">
        <f>'Monthly D5 Gallon Data'!$AA54</f>
        <v>738516</v>
      </c>
      <c r="G154" s="308">
        <f>'Monthly D5 Gallon Data'!$AA66</f>
        <v>701443</v>
      </c>
      <c r="H154" s="308">
        <f>'Monthly D5 Gallon Data'!$AA78</f>
        <v>453723</v>
      </c>
      <c r="I154" s="308">
        <f>'Monthly D5 Gallon Data'!$AA90</f>
        <v>457937</v>
      </c>
      <c r="J154" s="308">
        <f>'Monthly D5 Gallon Data'!$AA102</f>
        <v>2271977</v>
      </c>
      <c r="K154" s="308">
        <f>'Monthly D5 Gallon Data'!$AA114</f>
        <v>2875234</v>
      </c>
      <c r="L154" s="308">
        <f>'Monthly D5 Gallon Data'!$AA126</f>
        <v>3562685</v>
      </c>
      <c r="M154" s="308">
        <f>'Monthly D5 Gallon Data'!$AA138</f>
        <v>4066092</v>
      </c>
      <c r="N154" s="308">
        <f>'Monthly D5 Gallon Data'!$AA150</f>
        <v>4778660</v>
      </c>
      <c r="O154" s="308">
        <f>'Monthly D5 Gallon Data'!$AA162</f>
        <v>9786748</v>
      </c>
      <c r="P154" s="308">
        <f>'Monthly D5 Gallon Data'!$AA174</f>
        <v>5284964</v>
      </c>
      <c r="Q154" s="332">
        <f>'Monthly D5 Gallon Data'!$AA186</f>
        <v>6570323</v>
      </c>
      <c r="R154" s="307">
        <f t="shared" si="212"/>
        <v>6704516.1413329868</v>
      </c>
      <c r="S154" s="307">
        <f t="shared" si="212"/>
        <v>8495048.8839351721</v>
      </c>
      <c r="T154" s="307">
        <f t="shared" si="212"/>
        <v>9493159.8891130928</v>
      </c>
      <c r="U154" s="307">
        <f t="shared" si="212"/>
        <v>9521401.5164470449</v>
      </c>
      <c r="V154" s="307">
        <f t="shared" si="212"/>
        <v>10451487.852984844</v>
      </c>
      <c r="W154" s="307">
        <f t="shared" si="212"/>
        <v>10719555.236267576</v>
      </c>
      <c r="X154" s="307">
        <f t="shared" si="212"/>
        <v>12259716.569288185</v>
      </c>
      <c r="Y154" s="307">
        <f t="shared" si="212"/>
        <v>12623526.577462206</v>
      </c>
      <c r="Z154" s="307">
        <f t="shared" si="212"/>
        <v>13136718.482216381</v>
      </c>
      <c r="AA154" s="307">
        <f t="shared" si="212"/>
        <v>13961294.168036874</v>
      </c>
      <c r="AB154" s="307">
        <f t="shared" si="212"/>
        <v>13640523.98555973</v>
      </c>
      <c r="AC154" s="307">
        <f t="shared" si="212"/>
        <v>14765248.113286629</v>
      </c>
      <c r="AD154" s="307">
        <f t="shared" si="212"/>
        <v>16279553.403193215</v>
      </c>
      <c r="AE154" s="307">
        <f t="shared" si="213"/>
        <v>17770126.321995769</v>
      </c>
      <c r="AF154" s="307">
        <f t="shared" si="214"/>
        <v>17765268.397546172</v>
      </c>
      <c r="AG154" s="307">
        <f t="shared" si="214"/>
        <v>17829633.583749469</v>
      </c>
      <c r="AH154" s="307">
        <f t="shared" si="214"/>
        <v>18734792.2122459</v>
      </c>
      <c r="AI154" s="307">
        <f t="shared" si="214"/>
        <v>20226976.48295787</v>
      </c>
      <c r="AJ154" s="307">
        <f t="shared" si="214"/>
        <v>20730820.570488285</v>
      </c>
      <c r="AK154" s="307">
        <f t="shared" si="214"/>
        <v>20692352.624093533</v>
      </c>
      <c r="AL154" s="307">
        <f t="shared" si="214"/>
        <v>20598836.516013481</v>
      </c>
      <c r="AM154" s="307">
        <f t="shared" si="214"/>
        <v>20245951.83713587</v>
      </c>
      <c r="AN154" s="307">
        <f t="shared" si="214"/>
        <v>21020440.297812</v>
      </c>
      <c r="AO154" s="307">
        <f t="shared" si="214"/>
        <v>21779070.204209246</v>
      </c>
      <c r="AP154" s="307">
        <f t="shared" si="214"/>
        <v>21974432.598501984</v>
      </c>
      <c r="AR154" s="308">
        <v>2789878.1977596665</v>
      </c>
      <c r="AS154" s="308">
        <f t="shared" si="215"/>
        <v>772806.80224033352</v>
      </c>
      <c r="AT154" s="308">
        <v>7728121.1598985614</v>
      </c>
      <c r="AU154" s="308">
        <f t="shared" si="216"/>
        <v>-3662029.1598985614</v>
      </c>
      <c r="AV154" s="308">
        <v>5407874.4892292265</v>
      </c>
      <c r="AW154" s="308">
        <f t="shared" si="217"/>
        <v>-629214.48922922648</v>
      </c>
      <c r="AX154" s="308">
        <v>4883563.0796355866</v>
      </c>
      <c r="AY154" s="308">
        <f t="shared" si="218"/>
        <v>4903184.9203644134</v>
      </c>
      <c r="AZ154" s="308">
        <v>5284964</v>
      </c>
      <c r="BA154" s="308">
        <f t="shared" si="219"/>
        <v>0</v>
      </c>
      <c r="BB154" s="331">
        <v>3491443.005686942</v>
      </c>
      <c r="BC154" s="308">
        <f t="shared" si="220"/>
        <v>3078879.994313058</v>
      </c>
    </row>
    <row r="155" spans="1:55">
      <c r="A155" s="301" t="s">
        <v>46</v>
      </c>
      <c r="B155" s="308">
        <f>'Monthly D5 Gallon Data'!$AA7</f>
        <v>0</v>
      </c>
      <c r="C155" s="308">
        <f>'Monthly D5 Gallon Data'!$AA19</f>
        <v>89893</v>
      </c>
      <c r="D155" s="308">
        <f>'Monthly D5 Gallon Data'!$AA31</f>
        <v>369002</v>
      </c>
      <c r="E155" s="308">
        <f>'Monthly D5 Gallon Data'!$AA43</f>
        <v>648696</v>
      </c>
      <c r="F155" s="308">
        <f>'Monthly D5 Gallon Data'!$AA55</f>
        <v>918911</v>
      </c>
      <c r="G155" s="308">
        <f>'Monthly D5 Gallon Data'!$AA67</f>
        <v>558072</v>
      </c>
      <c r="H155" s="308">
        <f>'Monthly D5 Gallon Data'!$AA79</f>
        <v>390974</v>
      </c>
      <c r="I155" s="308">
        <f>'Monthly D5 Gallon Data'!$AA91</f>
        <v>335064</v>
      </c>
      <c r="J155" s="308">
        <f>'Monthly D5 Gallon Data'!$AA103</f>
        <v>1030741</v>
      </c>
      <c r="K155" s="308">
        <f>'Monthly D5 Gallon Data'!$AA115</f>
        <v>2995674</v>
      </c>
      <c r="L155" s="308">
        <f>'Monthly D5 Gallon Data'!$AA127</f>
        <v>3082235</v>
      </c>
      <c r="M155" s="308">
        <f>'Monthly D5 Gallon Data'!$AA139</f>
        <v>3055962</v>
      </c>
      <c r="N155" s="308">
        <f>'Monthly D5 Gallon Data'!$AA151</f>
        <v>5292420</v>
      </c>
      <c r="O155" s="308">
        <f>'Monthly D5 Gallon Data'!$AA163</f>
        <v>4886807</v>
      </c>
      <c r="P155" s="308">
        <f>'Monthly D5 Gallon Data'!$AA175</f>
        <v>3922034</v>
      </c>
      <c r="Q155" s="307">
        <f t="shared" si="212"/>
        <v>3804545.0782076744</v>
      </c>
      <c r="R155" s="307">
        <f t="shared" si="212"/>
        <v>4609817.1129421378</v>
      </c>
      <c r="S155" s="307">
        <f t="shared" si="212"/>
        <v>5774191.7129221698</v>
      </c>
      <c r="T155" s="307">
        <f t="shared" si="212"/>
        <v>5925854.1080651917</v>
      </c>
      <c r="U155" s="307">
        <f t="shared" si="212"/>
        <v>6261916.9535265518</v>
      </c>
      <c r="V155" s="307">
        <f t="shared" si="212"/>
        <v>6759238.9705435019</v>
      </c>
      <c r="W155" s="307">
        <f t="shared" si="212"/>
        <v>7039318.3173633562</v>
      </c>
      <c r="X155" s="307">
        <f t="shared" si="212"/>
        <v>7998556.86054652</v>
      </c>
      <c r="Y155" s="307">
        <f t="shared" si="212"/>
        <v>8180121.5623535784</v>
      </c>
      <c r="Z155" s="307">
        <f t="shared" si="212"/>
        <v>8566039.6809830815</v>
      </c>
      <c r="AA155" s="307">
        <f t="shared" si="212"/>
        <v>9091144.9891102128</v>
      </c>
      <c r="AB155" s="307">
        <f t="shared" si="212"/>
        <v>8892371.2987734117</v>
      </c>
      <c r="AC155" s="307">
        <f t="shared" si="212"/>
        <v>9614079.1110444833</v>
      </c>
      <c r="AD155" s="307">
        <f t="shared" si="212"/>
        <v>10596287.161482276</v>
      </c>
      <c r="AE155" s="307">
        <f t="shared" si="213"/>
        <v>11575523.602335015</v>
      </c>
      <c r="AF155" s="307">
        <f t="shared" si="214"/>
        <v>11570328.558080548</v>
      </c>
      <c r="AG155" s="307">
        <f t="shared" si="214"/>
        <v>11612625.860388728</v>
      </c>
      <c r="AH155" s="307">
        <f t="shared" si="214"/>
        <v>12200354.842341354</v>
      </c>
      <c r="AI155" s="307">
        <f t="shared" si="214"/>
        <v>13172372.778771644</v>
      </c>
      <c r="AJ155" s="307">
        <f t="shared" si="214"/>
        <v>13501705.6301654</v>
      </c>
      <c r="AK155" s="307">
        <f t="shared" si="214"/>
        <v>13476200.619701881</v>
      </c>
      <c r="AL155" s="307">
        <f t="shared" si="214"/>
        <v>13415205.67477086</v>
      </c>
      <c r="AM155" s="307">
        <f t="shared" si="214"/>
        <v>13185206.980684943</v>
      </c>
      <c r="AN155" s="307">
        <f t="shared" si="214"/>
        <v>13689738.794349477</v>
      </c>
      <c r="AO155" s="307">
        <f t="shared" si="214"/>
        <v>14183932.803343907</v>
      </c>
      <c r="AP155" s="307">
        <f t="shared" si="214"/>
        <v>14311068.390806342</v>
      </c>
      <c r="AR155" s="308">
        <v>4857985.8844629731</v>
      </c>
      <c r="AS155" s="308">
        <f t="shared" si="215"/>
        <v>-1775750.8844629731</v>
      </c>
      <c r="AT155" s="308">
        <v>7759262.0680446438</v>
      </c>
      <c r="AU155" s="308">
        <f t="shared" si="216"/>
        <v>-4703300.0680446438</v>
      </c>
      <c r="AV155" s="308">
        <v>3847959.5529740918</v>
      </c>
      <c r="AW155" s="308">
        <f t="shared" si="217"/>
        <v>1444460.4470259082</v>
      </c>
      <c r="AX155" s="308">
        <v>4373294.5190790175</v>
      </c>
      <c r="AY155" s="308">
        <f t="shared" si="218"/>
        <v>513512.48092098255</v>
      </c>
      <c r="AZ155" s="308">
        <v>3922034</v>
      </c>
      <c r="BA155" s="308">
        <f t="shared" si="219"/>
        <v>0</v>
      </c>
      <c r="BB155" s="331">
        <v>2571583.0600501718</v>
      </c>
      <c r="BC155" s="308">
        <f t="shared" si="220"/>
        <v>1232962.0181575026</v>
      </c>
    </row>
    <row r="156" spans="1:55">
      <c r="A156" s="301" t="s">
        <v>47</v>
      </c>
      <c r="B156" s="308">
        <f>'Monthly D5 Gallon Data'!$AA8</f>
        <v>0</v>
      </c>
      <c r="C156" s="308">
        <f>'Monthly D5 Gallon Data'!$AA20</f>
        <v>264610</v>
      </c>
      <c r="D156" s="308">
        <f>'Monthly D5 Gallon Data'!$AA32</f>
        <v>407252</v>
      </c>
      <c r="E156" s="308">
        <f>'Monthly D5 Gallon Data'!$AA44</f>
        <v>1824678</v>
      </c>
      <c r="F156" s="308">
        <f>'Monthly D5 Gallon Data'!$AA56</f>
        <v>761660</v>
      </c>
      <c r="G156" s="308">
        <f>'Monthly D5 Gallon Data'!$AA68</f>
        <v>341069</v>
      </c>
      <c r="H156" s="308">
        <f>'Monthly D5 Gallon Data'!$AA80</f>
        <v>309105</v>
      </c>
      <c r="I156" s="308">
        <f>'Monthly D5 Gallon Data'!$AA92</f>
        <v>367344</v>
      </c>
      <c r="J156" s="308">
        <f>'Monthly D5 Gallon Data'!$AA104</f>
        <v>430228</v>
      </c>
      <c r="K156" s="308">
        <f>'Monthly D5 Gallon Data'!$AA116</f>
        <v>3468236</v>
      </c>
      <c r="L156" s="308">
        <f>'Monthly D5 Gallon Data'!$AA128</f>
        <v>4256121</v>
      </c>
      <c r="M156" s="308">
        <f>'Monthly D5 Gallon Data'!$AA140</f>
        <v>2229105</v>
      </c>
      <c r="N156" s="308">
        <f>'Monthly D5 Gallon Data'!$AA152</f>
        <v>8683370</v>
      </c>
      <c r="O156" s="308">
        <f>'Monthly D5 Gallon Data'!$AA164</f>
        <v>7140938</v>
      </c>
      <c r="P156" s="308">
        <f>'Monthly D5 Gallon Data'!$AA176</f>
        <v>1427701</v>
      </c>
      <c r="Q156" s="307">
        <f t="shared" si="212"/>
        <v>4462045.4060335485</v>
      </c>
      <c r="R156" s="307">
        <f t="shared" si="212"/>
        <v>5265471.1928895842</v>
      </c>
      <c r="S156" s="307">
        <f t="shared" si="212"/>
        <v>6918971.409732407</v>
      </c>
      <c r="T156" s="307">
        <f t="shared" si="212"/>
        <v>6497308.2643882446</v>
      </c>
      <c r="U156" s="307">
        <f t="shared" si="212"/>
        <v>6401308.2830608003</v>
      </c>
      <c r="V156" s="307">
        <f t="shared" si="212"/>
        <v>7571275.4663272398</v>
      </c>
      <c r="W156" s="307">
        <f t="shared" si="212"/>
        <v>7836899.7994705858</v>
      </c>
      <c r="X156" s="307">
        <f t="shared" si="212"/>
        <v>8871242.3329781238</v>
      </c>
      <c r="Y156" s="307">
        <f t="shared" si="212"/>
        <v>8948708.724064244</v>
      </c>
      <c r="Z156" s="307">
        <f t="shared" si="212"/>
        <v>9367418.5076400824</v>
      </c>
      <c r="AA156" s="307">
        <f t="shared" si="212"/>
        <v>10046947.749192206</v>
      </c>
      <c r="AB156" s="307">
        <f t="shared" si="212"/>
        <v>9805216.359429935</v>
      </c>
      <c r="AC156" s="307">
        <f t="shared" si="212"/>
        <v>10584144.29052403</v>
      </c>
      <c r="AD156" s="307">
        <f t="shared" si="212"/>
        <v>11649775.456186704</v>
      </c>
      <c r="AE156" s="307">
        <f t="shared" si="213"/>
        <v>12737429.886017809</v>
      </c>
      <c r="AF156" s="307">
        <f t="shared" si="214"/>
        <v>12745301.091631114</v>
      </c>
      <c r="AG156" s="307">
        <f t="shared" si="214"/>
        <v>12784649.780309452</v>
      </c>
      <c r="AH156" s="307">
        <f t="shared" si="214"/>
        <v>13428285.496437877</v>
      </c>
      <c r="AI156" s="307">
        <f t="shared" si="214"/>
        <v>14497576.787099108</v>
      </c>
      <c r="AJ156" s="307">
        <f t="shared" si="214"/>
        <v>14862859.853075251</v>
      </c>
      <c r="AK156" s="307">
        <f t="shared" si="214"/>
        <v>14835883.012585936</v>
      </c>
      <c r="AL156" s="307">
        <f t="shared" si="214"/>
        <v>14767143.517288383</v>
      </c>
      <c r="AM156" s="307">
        <f t="shared" si="214"/>
        <v>14513616.741672307</v>
      </c>
      <c r="AN156" s="307">
        <f t="shared" si="214"/>
        <v>15069237.576195538</v>
      </c>
      <c r="AO156" s="307">
        <f t="shared" si="214"/>
        <v>15613686.46857398</v>
      </c>
      <c r="AP156" s="307">
        <f t="shared" si="214"/>
        <v>15753601.70262092</v>
      </c>
      <c r="AR156" s="308">
        <v>4497064.0152404737</v>
      </c>
      <c r="AS156" s="308">
        <f t="shared" si="215"/>
        <v>-240943.01524047367</v>
      </c>
      <c r="AT156" s="308">
        <v>6241349.6453472814</v>
      </c>
      <c r="AU156" s="308">
        <f t="shared" si="216"/>
        <v>-4012244.6453472814</v>
      </c>
      <c r="AV156" s="308">
        <v>5431273.9054309446</v>
      </c>
      <c r="AW156" s="308">
        <f t="shared" si="217"/>
        <v>3252096.0945690554</v>
      </c>
      <c r="AX156" s="308">
        <v>9696327.1191946939</v>
      </c>
      <c r="AY156" s="308">
        <f t="shared" si="218"/>
        <v>-2555389.1191946939</v>
      </c>
      <c r="AZ156" s="308">
        <v>1427701</v>
      </c>
      <c r="BA156" s="308">
        <f t="shared" si="219"/>
        <v>0</v>
      </c>
      <c r="BB156" s="331">
        <v>3016003.265424896</v>
      </c>
      <c r="BC156" s="308">
        <f t="shared" si="220"/>
        <v>1446042.1406086525</v>
      </c>
    </row>
    <row r="157" spans="1:55">
      <c r="A157" s="301" t="s">
        <v>48</v>
      </c>
      <c r="B157" s="308">
        <f>'Monthly D5 Gallon Data'!$AA9</f>
        <v>0</v>
      </c>
      <c r="C157" s="308">
        <f>'Monthly D5 Gallon Data'!$AA21</f>
        <v>428889</v>
      </c>
      <c r="D157" s="308">
        <f>'Monthly D5 Gallon Data'!$AA33</f>
        <v>449386</v>
      </c>
      <c r="E157" s="308">
        <f>'Monthly D5 Gallon Data'!$AA45</f>
        <v>5655066</v>
      </c>
      <c r="F157" s="308">
        <f>'Monthly D5 Gallon Data'!$AA57</f>
        <v>776903</v>
      </c>
      <c r="G157" s="308">
        <f>'Monthly D5 Gallon Data'!$AA69</f>
        <v>544047</v>
      </c>
      <c r="H157" s="308">
        <f>'Monthly D5 Gallon Data'!$AA81</f>
        <v>526111</v>
      </c>
      <c r="I157" s="308">
        <f>'Monthly D5 Gallon Data'!$AA93</f>
        <v>372167</v>
      </c>
      <c r="J157" s="308">
        <f>'Monthly D5 Gallon Data'!$AA105</f>
        <v>930706</v>
      </c>
      <c r="K157" s="308">
        <f>'Monthly D5 Gallon Data'!$AA117</f>
        <v>2475387</v>
      </c>
      <c r="L157" s="308">
        <f>'Monthly D5 Gallon Data'!$AA129</f>
        <v>3353056</v>
      </c>
      <c r="M157" s="308">
        <f>'Monthly D5 Gallon Data'!$AA141</f>
        <v>4201540</v>
      </c>
      <c r="N157" s="308">
        <f>'Monthly D5 Gallon Data'!$AA153</f>
        <v>4577635</v>
      </c>
      <c r="O157" s="308">
        <f>'Monthly D5 Gallon Data'!$AA165</f>
        <v>9795364</v>
      </c>
      <c r="P157" s="308">
        <f>'Monthly D5 Gallon Data'!$AA177</f>
        <v>6189823</v>
      </c>
      <c r="Q157" s="307">
        <f t="shared" si="212"/>
        <v>5285417.4387381254</v>
      </c>
      <c r="R157" s="307">
        <f t="shared" si="212"/>
        <v>6608411.4173958665</v>
      </c>
      <c r="S157" s="307">
        <f t="shared" si="212"/>
        <v>8323594.8128836397</v>
      </c>
      <c r="T157" s="307">
        <f t="shared" si="212"/>
        <v>9328508.2962895669</v>
      </c>
      <c r="U157" s="307">
        <f t="shared" si="212"/>
        <v>9309794.25953863</v>
      </c>
      <c r="V157" s="307">
        <f t="shared" si="212"/>
        <v>9957230.1778068468</v>
      </c>
      <c r="W157" s="307">
        <f t="shared" si="212"/>
        <v>10446422.056520691</v>
      </c>
      <c r="X157" s="307">
        <f t="shared" si="212"/>
        <v>11928521.352495473</v>
      </c>
      <c r="Y157" s="307">
        <f t="shared" si="212"/>
        <v>12268533.154106138</v>
      </c>
      <c r="Z157" s="307">
        <f t="shared" si="212"/>
        <v>12743109.505597992</v>
      </c>
      <c r="AA157" s="307">
        <f t="shared" si="212"/>
        <v>13525600.573040994</v>
      </c>
      <c r="AB157" s="307">
        <f t="shared" si="212"/>
        <v>13251409.817632904</v>
      </c>
      <c r="AC157" s="307">
        <f t="shared" si="212"/>
        <v>14336701.812314557</v>
      </c>
      <c r="AD157" s="307">
        <f t="shared" si="212"/>
        <v>15801170.262425991</v>
      </c>
      <c r="AE157" s="307">
        <f t="shared" si="213"/>
        <v>17243992.109078597</v>
      </c>
      <c r="AF157" s="307">
        <f t="shared" si="214"/>
        <v>17240361.307880208</v>
      </c>
      <c r="AG157" s="307">
        <f t="shared" si="214"/>
        <v>17307977.035917915</v>
      </c>
      <c r="AH157" s="307">
        <f t="shared" si="214"/>
        <v>18184438.039260261</v>
      </c>
      <c r="AI157" s="307">
        <f t="shared" si="214"/>
        <v>19631598.109538496</v>
      </c>
      <c r="AJ157" s="307">
        <f t="shared" si="214"/>
        <v>20120431.229344469</v>
      </c>
      <c r="AK157" s="307">
        <f t="shared" si="214"/>
        <v>20083729.640953183</v>
      </c>
      <c r="AL157" s="307">
        <f t="shared" si="214"/>
        <v>19993462.91791939</v>
      </c>
      <c r="AM157" s="307">
        <f t="shared" si="214"/>
        <v>19650481.194039784</v>
      </c>
      <c r="AN157" s="307">
        <f t="shared" si="214"/>
        <v>20402053.017086837</v>
      </c>
      <c r="AO157" s="307">
        <f t="shared" si="214"/>
        <v>21138435.584624019</v>
      </c>
      <c r="AP157" s="307">
        <f t="shared" si="214"/>
        <v>21328175.444446594</v>
      </c>
      <c r="AR157" s="308">
        <v>2884584.2561564511</v>
      </c>
      <c r="AS157" s="308">
        <f t="shared" si="215"/>
        <v>468471.74384354893</v>
      </c>
      <c r="AT157" s="308">
        <v>5310102.5162723064</v>
      </c>
      <c r="AU157" s="308">
        <f t="shared" si="216"/>
        <v>-1108562.5162723064</v>
      </c>
      <c r="AV157" s="308">
        <v>5725057.9756736523</v>
      </c>
      <c r="AW157" s="308">
        <f t="shared" si="217"/>
        <v>-1147422.9756736523</v>
      </c>
      <c r="AX157" s="308">
        <v>5115756.4828002481</v>
      </c>
      <c r="AY157" s="308">
        <f t="shared" si="218"/>
        <v>4679607.5171997519</v>
      </c>
      <c r="AZ157" s="308">
        <v>6189823</v>
      </c>
      <c r="BA157" s="308">
        <f t="shared" si="219"/>
        <v>0</v>
      </c>
      <c r="BB157" s="331">
        <v>3572540.1253902046</v>
      </c>
      <c r="BC157" s="308">
        <f t="shared" si="220"/>
        <v>1712877.3133479208</v>
      </c>
    </row>
    <row r="158" spans="1:55">
      <c r="A158" s="301" t="s">
        <v>49</v>
      </c>
      <c r="B158" s="308">
        <f>'Monthly D5 Gallon Data'!$AA10</f>
        <v>277228</v>
      </c>
      <c r="C158" s="308">
        <f>'Monthly D5 Gallon Data'!$AA22</f>
        <v>536158</v>
      </c>
      <c r="D158" s="308">
        <f>'Monthly D5 Gallon Data'!$AA34</f>
        <v>259627</v>
      </c>
      <c r="E158" s="308">
        <f>'Monthly D5 Gallon Data'!$AA46</f>
        <v>4356292</v>
      </c>
      <c r="F158" s="308">
        <f>'Monthly D5 Gallon Data'!$AA58</f>
        <v>1384274</v>
      </c>
      <c r="G158" s="308">
        <f>'Monthly D5 Gallon Data'!$AA70</f>
        <v>476182</v>
      </c>
      <c r="H158" s="308">
        <f>'Monthly D5 Gallon Data'!$AA82</f>
        <v>425193</v>
      </c>
      <c r="I158" s="308">
        <f>'Monthly D5 Gallon Data'!$AA94</f>
        <v>516394</v>
      </c>
      <c r="J158" s="308">
        <f>'Monthly D5 Gallon Data'!$AA106</f>
        <v>2489820</v>
      </c>
      <c r="K158" s="308">
        <f>'Monthly D5 Gallon Data'!$AA118</f>
        <v>3103036</v>
      </c>
      <c r="L158" s="308">
        <f>'Monthly D5 Gallon Data'!$AA130</f>
        <v>3624640</v>
      </c>
      <c r="M158" s="308">
        <f>'Monthly D5 Gallon Data'!$AA142</f>
        <v>5244569</v>
      </c>
      <c r="N158" s="308">
        <f>'Monthly D5 Gallon Data'!$AA154</f>
        <v>4786731</v>
      </c>
      <c r="O158" s="308">
        <f>'Monthly D5 Gallon Data'!$AA166</f>
        <v>4437004</v>
      </c>
      <c r="P158" s="308">
        <f>'Monthly D5 Gallon Data'!$AA178</f>
        <v>6786703</v>
      </c>
      <c r="Q158" s="307">
        <f t="shared" si="212"/>
        <v>4676792.1621910194</v>
      </c>
      <c r="R158" s="307">
        <f t="shared" si="212"/>
        <v>5702803.8427504646</v>
      </c>
      <c r="S158" s="307">
        <f t="shared" si="212"/>
        <v>6767794.7157582389</v>
      </c>
      <c r="T158" s="307">
        <f t="shared" si="212"/>
        <v>7310523.0692350771</v>
      </c>
      <c r="U158" s="307">
        <f t="shared" si="212"/>
        <v>8139773.5773264272</v>
      </c>
      <c r="V158" s="307">
        <f t="shared" si="212"/>
        <v>8353535.1907142075</v>
      </c>
      <c r="W158" s="307">
        <f t="shared" si="212"/>
        <v>8705707.2095988765</v>
      </c>
      <c r="X158" s="307">
        <f t="shared" si="212"/>
        <v>9891588.2615788933</v>
      </c>
      <c r="Y158" s="307">
        <f t="shared" si="212"/>
        <v>10205901.053373573</v>
      </c>
      <c r="Z158" s="307">
        <f t="shared" si="212"/>
        <v>10706973.900305437</v>
      </c>
      <c r="AA158" s="307">
        <f t="shared" si="212"/>
        <v>11289540.991109733</v>
      </c>
      <c r="AB158" s="307">
        <f t="shared" si="212"/>
        <v>11051446.873012669</v>
      </c>
      <c r="AC158" s="307">
        <f t="shared" si="212"/>
        <v>11958008.055857308</v>
      </c>
      <c r="AD158" s="307">
        <f t="shared" si="212"/>
        <v>13193307.982895501</v>
      </c>
      <c r="AE158" s="307">
        <f t="shared" si="213"/>
        <v>14407361.72253938</v>
      </c>
      <c r="AF158" s="307">
        <f t="shared" si="214"/>
        <v>14390355.926277425</v>
      </c>
      <c r="AG158" s="307">
        <f t="shared" si="214"/>
        <v>14446825.557806795</v>
      </c>
      <c r="AH158" s="307">
        <f t="shared" si="214"/>
        <v>15180485.659977095</v>
      </c>
      <c r="AI158" s="307">
        <f t="shared" si="214"/>
        <v>16390955.841522472</v>
      </c>
      <c r="AJ158" s="307">
        <f t="shared" si="214"/>
        <v>16798987.999267172</v>
      </c>
      <c r="AK158" s="307">
        <f t="shared" si="214"/>
        <v>16766178.759196563</v>
      </c>
      <c r="AL158" s="307">
        <f t="shared" si="214"/>
        <v>16691271.480748378</v>
      </c>
      <c r="AM158" s="307">
        <f t="shared" si="214"/>
        <v>16405439.946088003</v>
      </c>
      <c r="AN158" s="307">
        <f t="shared" si="214"/>
        <v>17033105.953995343</v>
      </c>
      <c r="AO158" s="307">
        <f t="shared" si="214"/>
        <v>17647663.268482916</v>
      </c>
      <c r="AP158" s="307">
        <f t="shared" si="214"/>
        <v>17805813.383538153</v>
      </c>
      <c r="AR158" s="308">
        <v>3439747.2933719452</v>
      </c>
      <c r="AS158" s="308">
        <f t="shared" si="215"/>
        <v>184892.70662805485</v>
      </c>
      <c r="AT158" s="308">
        <v>5391387.1761672972</v>
      </c>
      <c r="AU158" s="308">
        <f t="shared" si="216"/>
        <v>-146818.17616729718</v>
      </c>
      <c r="AV158" s="308">
        <v>6005400.8840759359</v>
      </c>
      <c r="AW158" s="308">
        <f t="shared" si="217"/>
        <v>-1218669.8840759359</v>
      </c>
      <c r="AX158" s="308">
        <v>5711504.3779183617</v>
      </c>
      <c r="AY158" s="308">
        <f t="shared" si="218"/>
        <v>-1274500.3779183617</v>
      </c>
      <c r="AZ158" s="309">
        <v>6786703</v>
      </c>
      <c r="BA158" s="308">
        <f t="shared" si="219"/>
        <v>0</v>
      </c>
      <c r="BB158" s="331">
        <v>3161155.7367409775</v>
      </c>
      <c r="BC158" s="308">
        <f t="shared" si="220"/>
        <v>1515636.4254500419</v>
      </c>
    </row>
    <row r="159" spans="1:55">
      <c r="A159" s="301" t="s">
        <v>50</v>
      </c>
      <c r="B159" s="308">
        <f>'Monthly D5 Gallon Data'!$AA11</f>
        <v>572804</v>
      </c>
      <c r="C159" s="308">
        <f>'Monthly D5 Gallon Data'!$AA23</f>
        <v>565704</v>
      </c>
      <c r="D159" s="308">
        <f>'Monthly D5 Gallon Data'!$AA35</f>
        <v>1232738</v>
      </c>
      <c r="E159" s="308">
        <f>'Monthly D5 Gallon Data'!$AA47</f>
        <v>6366182</v>
      </c>
      <c r="F159" s="308">
        <f>'Monthly D5 Gallon Data'!$AA59</f>
        <v>488601</v>
      </c>
      <c r="G159" s="308">
        <f>'Monthly D5 Gallon Data'!$AA71</f>
        <v>445036</v>
      </c>
      <c r="H159" s="308">
        <f>'Monthly D5 Gallon Data'!$AA83</f>
        <v>474815</v>
      </c>
      <c r="I159" s="308">
        <f>'Monthly D5 Gallon Data'!$AA95</f>
        <v>440230</v>
      </c>
      <c r="J159" s="308">
        <f>'Monthly D5 Gallon Data'!$AA107</f>
        <v>2138451</v>
      </c>
      <c r="K159" s="308">
        <f>'Monthly D5 Gallon Data'!$AA119</f>
        <v>3613287</v>
      </c>
      <c r="L159" s="308">
        <f>'Monthly D5 Gallon Data'!$AA131</f>
        <v>3674667</v>
      </c>
      <c r="M159" s="308">
        <f>'Monthly D5 Gallon Data'!$AA143</f>
        <v>7740697</v>
      </c>
      <c r="N159" s="308">
        <f>'Monthly D5 Gallon Data'!$AA155</f>
        <v>7251742</v>
      </c>
      <c r="O159" s="308">
        <f>'Monthly D5 Gallon Data'!$AA167</f>
        <v>8073780</v>
      </c>
      <c r="P159" s="308">
        <f>'Monthly D5 Gallon Data'!$AA179</f>
        <v>8864247</v>
      </c>
      <c r="Q159" s="307">
        <f t="shared" si="212"/>
        <v>6692932.859866092</v>
      </c>
      <c r="R159" s="307">
        <f t="shared" si="212"/>
        <v>8493882.9758975357</v>
      </c>
      <c r="S159" s="307">
        <f t="shared" si="212"/>
        <v>10098230.367046395</v>
      </c>
      <c r="T159" s="307">
        <f t="shared" si="212"/>
        <v>10879831.078158621</v>
      </c>
      <c r="U159" s="307">
        <f t="shared" si="212"/>
        <v>11730880.826499688</v>
      </c>
      <c r="V159" s="307">
        <f t="shared" si="212"/>
        <v>12273843.120493958</v>
      </c>
      <c r="W159" s="307">
        <f t="shared" si="212"/>
        <v>12834170.303376196</v>
      </c>
      <c r="X159" s="307">
        <f t="shared" si="212"/>
        <v>14560599.345535606</v>
      </c>
      <c r="Y159" s="307">
        <f t="shared" si="212"/>
        <v>14990559.582780313</v>
      </c>
      <c r="Z159" s="307">
        <f t="shared" si="212"/>
        <v>15692967.085042037</v>
      </c>
      <c r="AA159" s="307">
        <f t="shared" si="212"/>
        <v>16593854.399156081</v>
      </c>
      <c r="AB159" s="307">
        <f t="shared" si="212"/>
        <v>16244881.782357566</v>
      </c>
      <c r="AC159" s="307">
        <f t="shared" si="212"/>
        <v>17569057.674494725</v>
      </c>
      <c r="AD159" s="307">
        <f t="shared" si="212"/>
        <v>19377404.704483926</v>
      </c>
      <c r="AE159" s="307">
        <f t="shared" si="213"/>
        <v>21160311.576358572</v>
      </c>
      <c r="AF159" s="307">
        <f t="shared" si="214"/>
        <v>21142897.098765869</v>
      </c>
      <c r="AG159" s="307">
        <f t="shared" si="214"/>
        <v>21224353.030179393</v>
      </c>
      <c r="AH159" s="307">
        <f t="shared" si="214"/>
        <v>22300245.930673808</v>
      </c>
      <c r="AI159" s="307">
        <f t="shared" si="214"/>
        <v>24077827.908714287</v>
      </c>
      <c r="AJ159" s="307">
        <f t="shared" si="214"/>
        <v>24677927.581519194</v>
      </c>
      <c r="AK159" s="307">
        <f t="shared" si="214"/>
        <v>24630661.235033907</v>
      </c>
      <c r="AL159" s="307">
        <f t="shared" si="214"/>
        <v>24520096.8128036</v>
      </c>
      <c r="AM159" s="307">
        <f t="shared" si="214"/>
        <v>24099912.888213206</v>
      </c>
      <c r="AN159" s="307">
        <f t="shared" si="214"/>
        <v>25022004.519630011</v>
      </c>
      <c r="AO159" s="307">
        <f t="shared" si="214"/>
        <v>25924980.611098327</v>
      </c>
      <c r="AP159" s="307">
        <f t="shared" si="214"/>
        <v>26157375.988568727</v>
      </c>
      <c r="AR159" s="308">
        <v>3324782.2870129417</v>
      </c>
      <c r="AS159" s="308">
        <f t="shared" si="215"/>
        <v>349884.71298705833</v>
      </c>
      <c r="AT159" s="308">
        <v>4814988.5500952573</v>
      </c>
      <c r="AU159" s="308">
        <f t="shared" si="216"/>
        <v>2925708.4499047427</v>
      </c>
      <c r="AV159" s="308">
        <v>7317429.5339870136</v>
      </c>
      <c r="AW159" s="308">
        <f t="shared" si="217"/>
        <v>-65687.533987013623</v>
      </c>
      <c r="AX159" s="308">
        <v>4862191.6294933707</v>
      </c>
      <c r="AY159" s="308">
        <f t="shared" si="218"/>
        <v>3211588.3705066293</v>
      </c>
      <c r="AZ159" s="309">
        <v>8864247</v>
      </c>
      <c r="BA159" s="308">
        <f t="shared" si="219"/>
        <v>0</v>
      </c>
      <c r="BB159" s="331">
        <v>4523913.4799772482</v>
      </c>
      <c r="BC159" s="308">
        <f t="shared" si="220"/>
        <v>2169019.3798888437</v>
      </c>
    </row>
    <row r="160" spans="1:55">
      <c r="A160" s="301" t="s">
        <v>51</v>
      </c>
      <c r="B160" s="308">
        <f>'Monthly D5 Gallon Data'!$AA12</f>
        <v>475747</v>
      </c>
      <c r="C160" s="308">
        <f>'Monthly D5 Gallon Data'!$AA24</f>
        <v>626260</v>
      </c>
      <c r="D160" s="308">
        <f>'Monthly D5 Gallon Data'!$AA36</f>
        <v>1039125</v>
      </c>
      <c r="E160" s="308">
        <f>'Monthly D5 Gallon Data'!$AA48</f>
        <v>7872406</v>
      </c>
      <c r="F160" s="308">
        <f>'Monthly D5 Gallon Data'!$AA60</f>
        <v>626006</v>
      </c>
      <c r="G160" s="308">
        <f>'Monthly D5 Gallon Data'!$AA72</f>
        <v>370351</v>
      </c>
      <c r="H160" s="308">
        <f>'Monthly D5 Gallon Data'!$AA84</f>
        <v>354877</v>
      </c>
      <c r="I160" s="308">
        <f>'Monthly D5 Gallon Data'!$AA96</f>
        <v>383102</v>
      </c>
      <c r="J160" s="308">
        <f>'Monthly D5 Gallon Data'!$AA108</f>
        <v>3630173</v>
      </c>
      <c r="K160" s="308">
        <f>'Monthly D5 Gallon Data'!$AA120</f>
        <v>3039211</v>
      </c>
      <c r="L160" s="308">
        <f>'Monthly D5 Gallon Data'!$AA132</f>
        <v>3281535</v>
      </c>
      <c r="M160" s="308">
        <f>'Monthly D5 Gallon Data'!$AA144</f>
        <v>5824657</v>
      </c>
      <c r="N160" s="308">
        <f>'Monthly D5 Gallon Data'!$AA156</f>
        <v>8895630</v>
      </c>
      <c r="O160" s="308">
        <f>'Monthly D5 Gallon Data'!$AA168</f>
        <v>7402500</v>
      </c>
      <c r="P160" s="308">
        <f>'Monthly D5 Gallon Data'!$AA180</f>
        <v>6811136</v>
      </c>
      <c r="Q160" s="307">
        <f t="shared" si="212"/>
        <v>6055753.1815380659</v>
      </c>
      <c r="R160" s="307">
        <f t="shared" si="212"/>
        <v>7694771.139350838</v>
      </c>
      <c r="S160" s="307">
        <f t="shared" si="212"/>
        <v>9452791.6906419229</v>
      </c>
      <c r="T160" s="307">
        <f t="shared" si="212"/>
        <v>9641413.7215841096</v>
      </c>
      <c r="U160" s="307">
        <f t="shared" si="212"/>
        <v>10331052.233753035</v>
      </c>
      <c r="V160" s="307">
        <f t="shared" si="212"/>
        <v>11064294.5305705</v>
      </c>
      <c r="W160" s="307">
        <f t="shared" si="212"/>
        <v>11564030.26330157</v>
      </c>
      <c r="X160" s="307">
        <f t="shared" si="212"/>
        <v>13109153.695279913</v>
      </c>
      <c r="Y160" s="307">
        <f t="shared" si="212"/>
        <v>13409317.55312174</v>
      </c>
      <c r="Z160" s="307">
        <f t="shared" si="212"/>
        <v>14059092.749521568</v>
      </c>
      <c r="AA160" s="307">
        <f t="shared" si="212"/>
        <v>14908278.897703221</v>
      </c>
      <c r="AB160" s="307">
        <f t="shared" si="212"/>
        <v>14586659.853056431</v>
      </c>
      <c r="AC160" s="307">
        <f t="shared" si="212"/>
        <v>15766684.360459544</v>
      </c>
      <c r="AD160" s="307">
        <f t="shared" si="212"/>
        <v>17379409.812630791</v>
      </c>
      <c r="AE160" s="307">
        <f t="shared" si="213"/>
        <v>18987288.097930685</v>
      </c>
      <c r="AF160" s="307">
        <f t="shared" si="214"/>
        <v>18976848.764843225</v>
      </c>
      <c r="AG160" s="307">
        <f t="shared" si="214"/>
        <v>19046752.006160077</v>
      </c>
      <c r="AH160" s="307">
        <f t="shared" si="214"/>
        <v>20010374.945450641</v>
      </c>
      <c r="AI160" s="307">
        <f t="shared" si="214"/>
        <v>21605043.357569523</v>
      </c>
      <c r="AJ160" s="307">
        <f t="shared" si="214"/>
        <v>22145296.316788375</v>
      </c>
      <c r="AK160" s="307">
        <f t="shared" si="214"/>
        <v>22103183.934283827</v>
      </c>
      <c r="AL160" s="307">
        <f t="shared" si="214"/>
        <v>22003224.361149654</v>
      </c>
      <c r="AM160" s="307">
        <f t="shared" si="214"/>
        <v>21625974.090379197</v>
      </c>
      <c r="AN160" s="307">
        <f t="shared" si="214"/>
        <v>22453548.115895078</v>
      </c>
      <c r="AO160" s="307">
        <f t="shared" si="214"/>
        <v>23264098.307860933</v>
      </c>
      <c r="AP160" s="307">
        <f t="shared" si="214"/>
        <v>23472587.163329612</v>
      </c>
      <c r="AR160" s="308">
        <v>1815886.4668313605</v>
      </c>
      <c r="AS160" s="308">
        <f t="shared" si="215"/>
        <v>1465648.5331686395</v>
      </c>
      <c r="AT160" s="308">
        <v>5028516.9226464471</v>
      </c>
      <c r="AU160" s="308">
        <f t="shared" si="216"/>
        <v>796140.07735355292</v>
      </c>
      <c r="AV160" s="308">
        <v>6744136.7074503321</v>
      </c>
      <c r="AW160" s="308">
        <f t="shared" si="217"/>
        <v>2151493.2925496679</v>
      </c>
      <c r="AX160" s="308">
        <v>7436982.3189669512</v>
      </c>
      <c r="AY160" s="308">
        <f t="shared" si="218"/>
        <v>-34482.318966951221</v>
      </c>
      <c r="AZ160" s="309">
        <v>6288031.8575616498</v>
      </c>
      <c r="BA160" s="308">
        <f t="shared" si="219"/>
        <v>523104.14243835025</v>
      </c>
      <c r="BB160" s="331">
        <v>4093228.4878655244</v>
      </c>
      <c r="BC160" s="308">
        <f t="shared" si="220"/>
        <v>1962524.6936725415</v>
      </c>
    </row>
    <row r="161" spans="1:55">
      <c r="A161" s="301" t="s">
        <v>52</v>
      </c>
      <c r="B161" s="308">
        <f>'Monthly D5 Gallon Data'!$AA13</f>
        <v>286731</v>
      </c>
      <c r="C161" s="308">
        <f>'Monthly D5 Gallon Data'!$AA25</f>
        <v>462449</v>
      </c>
      <c r="D161" s="308">
        <f>'Monthly D5 Gallon Data'!$AA37</f>
        <v>1118390</v>
      </c>
      <c r="E161" s="308">
        <f>'Monthly D5 Gallon Data'!$AA49</f>
        <v>7878198</v>
      </c>
      <c r="F161" s="308">
        <f>'Monthly D5 Gallon Data'!$AA61</f>
        <v>842544</v>
      </c>
      <c r="G161" s="308">
        <f>'Monthly D5 Gallon Data'!$AA73</f>
        <v>376668</v>
      </c>
      <c r="H161" s="308">
        <f>'Monthly D5 Gallon Data'!$AA85</f>
        <v>531220</v>
      </c>
      <c r="I161" s="308">
        <f>'Monthly D5 Gallon Data'!$AA97</f>
        <v>325147</v>
      </c>
      <c r="J161" s="308">
        <f>'Monthly D5 Gallon Data'!$AA109</f>
        <v>3099580</v>
      </c>
      <c r="K161" s="308">
        <f>'Monthly D5 Gallon Data'!$AA121</f>
        <v>1976794</v>
      </c>
      <c r="L161" s="308">
        <f>'Monthly D5 Gallon Data'!$AA133</f>
        <v>4348250</v>
      </c>
      <c r="M161" s="308">
        <f>'Monthly D5 Gallon Data'!$AA145</f>
        <v>5090487</v>
      </c>
      <c r="N161" s="308">
        <f>'Monthly D5 Gallon Data'!$AA157</f>
        <v>5690860</v>
      </c>
      <c r="O161" s="308">
        <f>'Monthly D5 Gallon Data'!$AA169</f>
        <v>6904320</v>
      </c>
      <c r="P161" s="308">
        <f>'Monthly D5 Gallon Data'!$AA181</f>
        <v>5111224</v>
      </c>
      <c r="Q161" s="307">
        <f t="shared" si="212"/>
        <v>5102652.0862763887</v>
      </c>
      <c r="R161" s="307">
        <f t="shared" si="212"/>
        <v>6135541.1758462833</v>
      </c>
      <c r="S161" s="307">
        <f t="shared" si="212"/>
        <v>7422919.2870181222</v>
      </c>
      <c r="T161" s="307">
        <f t="shared" si="212"/>
        <v>7904607.97806466</v>
      </c>
      <c r="U161" s="307">
        <f t="shared" si="212"/>
        <v>8252402.5756668607</v>
      </c>
      <c r="V161" s="307">
        <f t="shared" si="212"/>
        <v>8922547.5825188924</v>
      </c>
      <c r="W161" s="307">
        <f t="shared" si="212"/>
        <v>9272958.208105186</v>
      </c>
      <c r="X161" s="307">
        <f t="shared" si="212"/>
        <v>10520709.252081923</v>
      </c>
      <c r="Y161" s="307">
        <f t="shared" si="212"/>
        <v>10800932.179264164</v>
      </c>
      <c r="Z161" s="307">
        <f t="shared" si="212"/>
        <v>11291540.475558244</v>
      </c>
      <c r="AA161" s="307">
        <f t="shared" si="212"/>
        <v>11984169.530725475</v>
      </c>
      <c r="AB161" s="307">
        <f t="shared" si="212"/>
        <v>11719453.683657413</v>
      </c>
      <c r="AC161" s="307">
        <f t="shared" si="212"/>
        <v>12671579.517024415</v>
      </c>
      <c r="AD161" s="307">
        <f t="shared" si="212"/>
        <v>13971307.9127429</v>
      </c>
      <c r="AE161" s="307">
        <f t="shared" si="213"/>
        <v>15258637.76793259</v>
      </c>
      <c r="AF161" s="307">
        <f t="shared" si="214"/>
        <v>15251801.874976644</v>
      </c>
      <c r="AG161" s="307">
        <f t="shared" si="214"/>
        <v>15307472.201539619</v>
      </c>
      <c r="AH161" s="307">
        <f t="shared" si="214"/>
        <v>16082700.567389639</v>
      </c>
      <c r="AI161" s="307">
        <f t="shared" si="214"/>
        <v>17364453.718956657</v>
      </c>
      <c r="AJ161" s="307">
        <f t="shared" si="214"/>
        <v>17797973.252469543</v>
      </c>
      <c r="AK161" s="307">
        <f t="shared" si="214"/>
        <v>17764404.354395576</v>
      </c>
      <c r="AL161" s="307">
        <f t="shared" si="214"/>
        <v>17684057.325440697</v>
      </c>
      <c r="AM161" s="307">
        <f t="shared" si="214"/>
        <v>17380952.263997275</v>
      </c>
      <c r="AN161" s="307">
        <f t="shared" si="214"/>
        <v>18046034.996381707</v>
      </c>
      <c r="AO161" s="307">
        <f t="shared" si="214"/>
        <v>18697401.186145853</v>
      </c>
      <c r="AP161" s="307">
        <f t="shared" si="214"/>
        <v>18865015.599514659</v>
      </c>
      <c r="AR161" s="308">
        <v>2042274.5705061262</v>
      </c>
      <c r="AS161" s="308">
        <f t="shared" si="215"/>
        <v>2305975.4294938738</v>
      </c>
      <c r="AT161" s="308">
        <v>5763353.3933205102</v>
      </c>
      <c r="AU161" s="308">
        <f t="shared" si="216"/>
        <v>-672866.39332051016</v>
      </c>
      <c r="AV161" s="308">
        <v>5988443.8226788202</v>
      </c>
      <c r="AW161" s="308">
        <f t="shared" si="217"/>
        <v>-297583.82267882023</v>
      </c>
      <c r="AX161" s="308">
        <v>7050047.2252588654</v>
      </c>
      <c r="AY161" s="308">
        <f t="shared" si="218"/>
        <v>-145727.22525886539</v>
      </c>
      <c r="AZ161" s="309">
        <v>6308064.7784051979</v>
      </c>
      <c r="BA161" s="308">
        <f t="shared" si="219"/>
        <v>-1196840.7784051979</v>
      </c>
      <c r="BB161" s="331">
        <v>3449004.6501380312</v>
      </c>
      <c r="BC161" s="308">
        <f t="shared" si="220"/>
        <v>1653647.4361383575</v>
      </c>
    </row>
    <row r="162" spans="1:55">
      <c r="A162" s="301" t="s">
        <v>53</v>
      </c>
      <c r="B162" s="308">
        <f>'Monthly D5 Gallon Data'!$AA14</f>
        <v>442052</v>
      </c>
      <c r="C162" s="308">
        <f>'Monthly D5 Gallon Data'!$AA26</f>
        <v>252977</v>
      </c>
      <c r="D162" s="308">
        <f>'Monthly D5 Gallon Data'!$AA38</f>
        <v>1903918</v>
      </c>
      <c r="E162" s="308">
        <f>'Monthly D5 Gallon Data'!$AA50</f>
        <v>4420456</v>
      </c>
      <c r="F162" s="308">
        <f>'Monthly D5 Gallon Data'!$AA62</f>
        <v>519406</v>
      </c>
      <c r="G162" s="308">
        <f>'Monthly D5 Gallon Data'!$AA74</f>
        <v>311314</v>
      </c>
      <c r="H162" s="308">
        <f>'Monthly D5 Gallon Data'!$AA86</f>
        <v>383524</v>
      </c>
      <c r="I162" s="308">
        <f>'Monthly D5 Gallon Data'!$AA98</f>
        <v>597475</v>
      </c>
      <c r="J162" s="308">
        <f>'Monthly D5 Gallon Data'!$AA110</f>
        <v>3453701</v>
      </c>
      <c r="K162" s="308">
        <f>'Monthly D5 Gallon Data'!$AA122</f>
        <v>2394703</v>
      </c>
      <c r="L162" s="308">
        <f>'Monthly D5 Gallon Data'!$AA134</f>
        <v>5931919</v>
      </c>
      <c r="M162" s="308">
        <f>'Monthly D5 Gallon Data'!$AA146</f>
        <v>753698</v>
      </c>
      <c r="N162" s="308">
        <f>'Monthly D5 Gallon Data'!$AA158</f>
        <v>8102250</v>
      </c>
      <c r="O162" s="308">
        <f>'Monthly D5 Gallon Data'!$AA170</f>
        <v>4408772</v>
      </c>
      <c r="P162" s="308">
        <f>'Monthly D5 Gallon Data'!$AA182</f>
        <v>7182048</v>
      </c>
      <c r="Q162" s="307">
        <f t="shared" si="212"/>
        <v>4958576.6474295296</v>
      </c>
      <c r="R162" s="307">
        <f t="shared" si="212"/>
        <v>5587028.3498493591</v>
      </c>
      <c r="S162" s="307">
        <f t="shared" si="212"/>
        <v>7754788.9790439336</v>
      </c>
      <c r="T162" s="307">
        <f t="shared" si="212"/>
        <v>7702219.050266644</v>
      </c>
      <c r="U162" s="307">
        <f t="shared" si="212"/>
        <v>8645189.307739649</v>
      </c>
      <c r="V162" s="307">
        <f t="shared" si="212"/>
        <v>8878900.9115846809</v>
      </c>
      <c r="W162" s="307">
        <f t="shared" si="212"/>
        <v>9256184.4286924172</v>
      </c>
      <c r="X162" s="307">
        <f t="shared" si="212"/>
        <v>10637020.630191445</v>
      </c>
      <c r="Y162" s="307">
        <f t="shared" si="212"/>
        <v>10860213.584955294</v>
      </c>
      <c r="Z162" s="307">
        <f t="shared" si="212"/>
        <v>11411609.439419452</v>
      </c>
      <c r="AA162" s="307">
        <f t="shared" si="212"/>
        <v>12039655.545330543</v>
      </c>
      <c r="AB162" s="307">
        <f t="shared" si="212"/>
        <v>11792196.543886909</v>
      </c>
      <c r="AC162" s="307">
        <f t="shared" si="212"/>
        <v>12766957.152845845</v>
      </c>
      <c r="AD162" s="307">
        <f t="shared" si="212"/>
        <v>14067597.608061876</v>
      </c>
      <c r="AE162" s="307">
        <f t="shared" si="213"/>
        <v>15367552.132275471</v>
      </c>
      <c r="AF162" s="307">
        <f t="shared" si="214"/>
        <v>15351491.213674629</v>
      </c>
      <c r="AG162" s="307">
        <f t="shared" si="214"/>
        <v>15412602.950728495</v>
      </c>
      <c r="AH162" s="307">
        <f t="shared" si="214"/>
        <v>16194874.675729336</v>
      </c>
      <c r="AI162" s="307">
        <f t="shared" si="214"/>
        <v>17483966.806376908</v>
      </c>
      <c r="AJ162" s="307">
        <f t="shared" si="214"/>
        <v>17920440.820795547</v>
      </c>
      <c r="AK162" s="307">
        <f t="shared" si="214"/>
        <v>17885789.696728092</v>
      </c>
      <c r="AL162" s="307">
        <f t="shared" si="214"/>
        <v>17805843.159840528</v>
      </c>
      <c r="AM162" s="307">
        <f t="shared" si="214"/>
        <v>17500708.45078088</v>
      </c>
      <c r="AN162" s="307">
        <f t="shared" si="214"/>
        <v>18170094.126997132</v>
      </c>
      <c r="AO162" s="307">
        <f t="shared" si="214"/>
        <v>18825908.768559109</v>
      </c>
      <c r="AP162" s="307">
        <f t="shared" si="214"/>
        <v>18994645.34043552</v>
      </c>
      <c r="AR162" s="308">
        <v>2926465.356974679</v>
      </c>
      <c r="AS162" s="308">
        <f t="shared" si="215"/>
        <v>3005453.643025321</v>
      </c>
      <c r="AT162" s="308">
        <v>6135361.2848877776</v>
      </c>
      <c r="AU162" s="308">
        <f t="shared" si="216"/>
        <v>-5381663.2848877776</v>
      </c>
      <c r="AV162" s="308">
        <v>5156266.7375814756</v>
      </c>
      <c r="AW162" s="308">
        <f t="shared" si="217"/>
        <v>2945983.2624185244</v>
      </c>
      <c r="AX162" s="309">
        <v>5181394.4680252308</v>
      </c>
      <c r="AY162" s="308">
        <f t="shared" si="218"/>
        <v>-772622.4680252308</v>
      </c>
      <c r="AZ162" s="309">
        <v>4773213.1709344573</v>
      </c>
      <c r="BA162" s="308">
        <f t="shared" si="219"/>
        <v>2408834.8290655427</v>
      </c>
      <c r="BB162" s="331">
        <v>3351620.6133368635</v>
      </c>
      <c r="BC162" s="308">
        <f t="shared" si="220"/>
        <v>1606956.0340926661</v>
      </c>
    </row>
    <row r="163" spans="1:55">
      <c r="A163" s="301" t="s">
        <v>54</v>
      </c>
      <c r="B163" s="308">
        <f>'Monthly D5 Gallon Data'!$AA15</f>
        <v>587400</v>
      </c>
      <c r="C163" s="308">
        <f>'Monthly D5 Gallon Data'!$AA27</f>
        <v>524569</v>
      </c>
      <c r="D163" s="308">
        <f>'Monthly D5 Gallon Data'!$AA39</f>
        <v>2177367</v>
      </c>
      <c r="E163" s="308">
        <f>'Monthly D5 Gallon Data'!$AA51</f>
        <v>568154</v>
      </c>
      <c r="F163" s="308">
        <f>'Monthly D5 Gallon Data'!$AA63</f>
        <v>790638</v>
      </c>
      <c r="G163" s="308">
        <f>'Monthly D5 Gallon Data'!$AA75</f>
        <v>298845</v>
      </c>
      <c r="H163" s="308">
        <f>'Monthly D5 Gallon Data'!$AA87</f>
        <v>278792</v>
      </c>
      <c r="I163" s="308">
        <f>'Monthly D5 Gallon Data'!$AA99</f>
        <v>545276</v>
      </c>
      <c r="J163" s="308">
        <f>'Monthly D5 Gallon Data'!$AA111</f>
        <v>2370500</v>
      </c>
      <c r="K163" s="308">
        <f>'Monthly D5 Gallon Data'!$AA123</f>
        <v>3022605</v>
      </c>
      <c r="L163" s="308">
        <f>'Monthly D5 Gallon Data'!$AA135</f>
        <v>8103462</v>
      </c>
      <c r="M163" s="308">
        <f>'Monthly D5 Gallon Data'!$AA147</f>
        <v>11052730</v>
      </c>
      <c r="N163" s="308">
        <f>'Monthly D5 Gallon Data'!$AA159</f>
        <v>9172390</v>
      </c>
      <c r="O163" s="308">
        <f>'Monthly D5 Gallon Data'!$AA171</f>
        <v>3567815</v>
      </c>
      <c r="P163" s="308">
        <f>'Monthly D5 Gallon Data'!$AA183</f>
        <v>6420761</v>
      </c>
      <c r="Q163" s="336">
        <f t="shared" ref="Q163:AD163" si="221">Q164-SUM(Q152:Q162)</f>
        <v>4053190.7131135985</v>
      </c>
      <c r="R163" s="307">
        <f t="shared" si="221"/>
        <v>7535818.5525191203</v>
      </c>
      <c r="S163" s="307">
        <f t="shared" si="221"/>
        <v>7885913.298689872</v>
      </c>
      <c r="T163" s="307">
        <f t="shared" si="221"/>
        <v>7592007.4744835496</v>
      </c>
      <c r="U163" s="307">
        <f t="shared" si="221"/>
        <v>8724133.9689324051</v>
      </c>
      <c r="V163" s="307">
        <f t="shared" si="221"/>
        <v>9171874.9656463414</v>
      </c>
      <c r="W163" s="307">
        <f t="shared" si="221"/>
        <v>9818163.5517482311</v>
      </c>
      <c r="X163" s="307">
        <f t="shared" si="221"/>
        <v>10877479.751060799</v>
      </c>
      <c r="Y163" s="307">
        <f t="shared" si="221"/>
        <v>11116352.116611347</v>
      </c>
      <c r="Z163" s="307">
        <f t="shared" si="221"/>
        <v>11749743.204617172</v>
      </c>
      <c r="AA163" s="307">
        <f t="shared" si="221"/>
        <v>12438198.935362041</v>
      </c>
      <c r="AB163" s="307">
        <f t="shared" si="221"/>
        <v>12182752.96412833</v>
      </c>
      <c r="AC163" s="307">
        <f t="shared" si="221"/>
        <v>13132327.782153785</v>
      </c>
      <c r="AD163" s="307">
        <f t="shared" si="221"/>
        <v>14485473.349991143</v>
      </c>
      <c r="AE163" s="307">
        <f>AE164-SUM(AE152:AE162)</f>
        <v>15840495.727021843</v>
      </c>
      <c r="AF163" s="307">
        <f>AF164-SUM(AF152:AF162)</f>
        <v>15826977.592402697</v>
      </c>
      <c r="AG163" s="307">
        <f>AG164-SUM(AG152:AG162)</f>
        <v>15884284.487294436</v>
      </c>
      <c r="AH163" s="307">
        <f t="shared" ref="AH163:AP163" si="222">AH164-SUM(AH152:AH162)</f>
        <v>16683910.753199071</v>
      </c>
      <c r="AI163" s="307">
        <f t="shared" si="222"/>
        <v>18016541.818767786</v>
      </c>
      <c r="AJ163" s="307">
        <f t="shared" si="222"/>
        <v>18468698.907797992</v>
      </c>
      <c r="AK163" s="307">
        <f t="shared" si="222"/>
        <v>18432382.102480888</v>
      </c>
      <c r="AL163" s="307">
        <f t="shared" si="222"/>
        <v>18348662.15320304</v>
      </c>
      <c r="AM163" s="307">
        <f t="shared" si="222"/>
        <v>18033860.084762484</v>
      </c>
      <c r="AN163" s="307">
        <f t="shared" si="222"/>
        <v>18724527.137018859</v>
      </c>
      <c r="AO163" s="307">
        <f t="shared" si="222"/>
        <v>19400547.352985799</v>
      </c>
      <c r="AP163" s="307">
        <f t="shared" si="222"/>
        <v>19574169.494234145</v>
      </c>
      <c r="AR163" s="308">
        <v>3563532.0126581192</v>
      </c>
      <c r="AS163" s="308">
        <f t="shared" si="215"/>
        <v>4539929.9873418808</v>
      </c>
      <c r="AT163" s="308">
        <v>6938967</v>
      </c>
      <c r="AU163" s="308">
        <f t="shared" si="216"/>
        <v>4113763</v>
      </c>
      <c r="AV163" s="308">
        <v>11956530.112404346</v>
      </c>
      <c r="AW163" s="308">
        <f t="shared" si="217"/>
        <v>-2784140.1124043465</v>
      </c>
      <c r="AX163" s="309">
        <v>4631015.6500146091</v>
      </c>
      <c r="AY163" s="308">
        <f t="shared" si="218"/>
        <v>-1063200.6500146091</v>
      </c>
      <c r="AZ163" s="309">
        <v>6337550.1235528663</v>
      </c>
      <c r="BA163" s="308">
        <f t="shared" si="219"/>
        <v>83210.87644713372</v>
      </c>
      <c r="BB163" s="331">
        <v>431736.14878319949</v>
      </c>
      <c r="BC163" s="308">
        <f t="shared" si="220"/>
        <v>3621454.564330399</v>
      </c>
    </row>
    <row r="164" spans="1:55" ht="12" thickBot="1">
      <c r="A164" s="301" t="s">
        <v>29</v>
      </c>
      <c r="B164" s="308">
        <f t="shared" ref="B164:P164" si="223">SUM(B152:B163)</f>
        <v>2641962</v>
      </c>
      <c r="C164" s="308">
        <f t="shared" si="223"/>
        <v>4536038</v>
      </c>
      <c r="D164" s="308">
        <f t="shared" si="223"/>
        <v>10038332</v>
      </c>
      <c r="E164" s="308">
        <f t="shared" si="223"/>
        <v>41266830</v>
      </c>
      <c r="F164" s="308">
        <f t="shared" si="223"/>
        <v>8604718</v>
      </c>
      <c r="G164" s="308">
        <f t="shared" si="223"/>
        <v>4979775</v>
      </c>
      <c r="H164" s="308">
        <f t="shared" si="223"/>
        <v>4666016</v>
      </c>
      <c r="I164" s="308">
        <f t="shared" si="223"/>
        <v>5147237</v>
      </c>
      <c r="J164" s="308">
        <f t="shared" si="223"/>
        <v>23607885</v>
      </c>
      <c r="K164" s="308">
        <f t="shared" si="223"/>
        <v>34293809</v>
      </c>
      <c r="L164" s="308">
        <f t="shared" si="223"/>
        <v>50596671</v>
      </c>
      <c r="M164" s="308">
        <f t="shared" si="223"/>
        <v>62444807</v>
      </c>
      <c r="N164" s="308">
        <f t="shared" si="223"/>
        <v>75967064</v>
      </c>
      <c r="O164" s="308">
        <f t="shared" si="223"/>
        <v>72161104</v>
      </c>
      <c r="P164" s="308">
        <f t="shared" si="223"/>
        <v>67136623</v>
      </c>
      <c r="Q164" s="307">
        <f t="shared" ref="Q164:AP164" si="224">Q9</f>
        <v>61713905.573394053</v>
      </c>
      <c r="R164" s="307">
        <f t="shared" si="224"/>
        <v>74644479.867806837</v>
      </c>
      <c r="S164" s="307">
        <f t="shared" si="224"/>
        <v>90174702.882584006</v>
      </c>
      <c r="T164" s="307">
        <f t="shared" si="224"/>
        <v>94265461.32229273</v>
      </c>
      <c r="U164" s="307">
        <f t="shared" si="224"/>
        <v>101063952.52821082</v>
      </c>
      <c r="V164" s="307">
        <f t="shared" si="224"/>
        <v>108107155.51235586</v>
      </c>
      <c r="W164" s="307">
        <f t="shared" si="224"/>
        <v>112379365.64766049</v>
      </c>
      <c r="X164" s="307">
        <f t="shared" si="224"/>
        <v>127428482.91331537</v>
      </c>
      <c r="Y164" s="307">
        <f t="shared" si="224"/>
        <v>130758287.08032538</v>
      </c>
      <c r="Z164" s="307">
        <f t="shared" si="224"/>
        <v>137035550.46998152</v>
      </c>
      <c r="AA164" s="307">
        <f t="shared" si="224"/>
        <v>145226327.89713299</v>
      </c>
      <c r="AB164" s="307">
        <f t="shared" si="224"/>
        <v>142022344.47656283</v>
      </c>
      <c r="AC164" s="307">
        <f t="shared" si="224"/>
        <v>153559589.09913054</v>
      </c>
      <c r="AD164" s="307">
        <f t="shared" si="224"/>
        <v>169326008.73336238</v>
      </c>
      <c r="AE164" s="307">
        <f t="shared" si="224"/>
        <v>184963564.51450959</v>
      </c>
      <c r="AF164" s="307">
        <f t="shared" si="224"/>
        <v>184843338.36442617</v>
      </c>
      <c r="AG164" s="307">
        <f t="shared" si="224"/>
        <v>185521393.91805434</v>
      </c>
      <c r="AH164" s="307">
        <f t="shared" si="224"/>
        <v>194919891.07098955</v>
      </c>
      <c r="AI164" s="307">
        <f t="shared" si="224"/>
        <v>210458671.79477972</v>
      </c>
      <c r="AJ164" s="307">
        <f t="shared" si="224"/>
        <v>215714637.30980021</v>
      </c>
      <c r="AK164" s="307">
        <f t="shared" si="224"/>
        <v>215302101.90128431</v>
      </c>
      <c r="AL164" s="307">
        <f t="shared" si="224"/>
        <v>214329643.56146899</v>
      </c>
      <c r="AM164" s="307">
        <f t="shared" si="224"/>
        <v>210656869.64084795</v>
      </c>
      <c r="AN164" s="307">
        <f t="shared" si="224"/>
        <v>218718110.75192347</v>
      </c>
      <c r="AO164" s="307">
        <f t="shared" si="224"/>
        <v>226612394.03571084</v>
      </c>
      <c r="AP164" s="307">
        <f t="shared" si="224"/>
        <v>228643183.76592827</v>
      </c>
      <c r="AR164" s="308">
        <v>46056741.012658119</v>
      </c>
      <c r="AS164" s="308">
        <f t="shared" si="215"/>
        <v>4539929.9873418808</v>
      </c>
      <c r="AT164" s="308">
        <v>58200000</v>
      </c>
      <c r="AU164" s="308">
        <f t="shared" si="216"/>
        <v>4244807</v>
      </c>
      <c r="AV164" s="308">
        <v>78274557.112404346</v>
      </c>
      <c r="AW164" s="308">
        <f t="shared" si="217"/>
        <v>-2307493.1124043465</v>
      </c>
      <c r="AX164" s="309">
        <v>73959562.118039846</v>
      </c>
      <c r="AY164" s="308">
        <f t="shared" si="218"/>
        <v>-1798458.1180398464</v>
      </c>
      <c r="AZ164" s="309">
        <v>65318313.930454172</v>
      </c>
      <c r="BA164" s="308">
        <f t="shared" si="219"/>
        <v>1818309.0695458278</v>
      </c>
      <c r="BB164" s="331">
        <v>41713905.573394053</v>
      </c>
      <c r="BC164" s="308">
        <f t="shared" si="220"/>
        <v>20000000</v>
      </c>
    </row>
    <row r="165" spans="1:55">
      <c r="A165" s="334"/>
      <c r="B165" s="334"/>
      <c r="C165" s="334"/>
      <c r="D165" s="334"/>
      <c r="E165" s="334"/>
      <c r="F165" s="334"/>
      <c r="G165" s="334"/>
      <c r="H165" s="334"/>
      <c r="I165" s="334"/>
      <c r="J165" s="334"/>
      <c r="K165" s="334"/>
      <c r="L165" s="334"/>
      <c r="M165" s="334"/>
      <c r="N165" s="334"/>
      <c r="O165" s="334"/>
      <c r="P165" s="334"/>
      <c r="Q165" s="334"/>
      <c r="R165" s="334"/>
      <c r="S165" s="334"/>
      <c r="T165" s="334"/>
      <c r="U165" s="334"/>
      <c r="V165" s="334"/>
      <c r="W165" s="334"/>
      <c r="X165" s="334"/>
      <c r="Y165" s="334"/>
      <c r="Z165" s="334"/>
      <c r="AA165" s="334"/>
      <c r="AB165" s="334"/>
      <c r="AC165" s="334"/>
      <c r="AD165" s="334"/>
      <c r="AE165" s="334"/>
      <c r="AF165" s="334"/>
      <c r="AG165" s="334"/>
      <c r="AH165" s="334"/>
      <c r="AI165" s="334"/>
      <c r="AJ165" s="334"/>
      <c r="AK165" s="334"/>
      <c r="AL165" s="334"/>
      <c r="AM165" s="334"/>
      <c r="AN165" s="334"/>
      <c r="AO165" s="334"/>
      <c r="AP165" s="334"/>
      <c r="AT165" s="309"/>
    </row>
    <row r="166" spans="1:55" ht="12" thickBot="1">
      <c r="A166" s="300" t="s">
        <v>442</v>
      </c>
      <c r="AT166" s="309"/>
    </row>
    <row r="167" spans="1:55" ht="12" thickBot="1">
      <c r="A167" s="328"/>
      <c r="B167" s="329">
        <f t="shared" ref="B167:AP167" si="225">B2</f>
        <v>2010</v>
      </c>
      <c r="C167" s="329">
        <f t="shared" si="225"/>
        <v>2011</v>
      </c>
      <c r="D167" s="329">
        <f t="shared" si="225"/>
        <v>2012</v>
      </c>
      <c r="E167" s="329">
        <f t="shared" si="225"/>
        <v>2013</v>
      </c>
      <c r="F167" s="329">
        <f t="shared" si="225"/>
        <v>2014</v>
      </c>
      <c r="G167" s="329">
        <f t="shared" si="225"/>
        <v>2015</v>
      </c>
      <c r="H167" s="329">
        <f t="shared" si="225"/>
        <v>2016</v>
      </c>
      <c r="I167" s="329">
        <f t="shared" si="225"/>
        <v>2017</v>
      </c>
      <c r="J167" s="329">
        <f t="shared" si="225"/>
        <v>2018</v>
      </c>
      <c r="K167" s="329">
        <f t="shared" si="225"/>
        <v>2019</v>
      </c>
      <c r="L167" s="329">
        <f t="shared" si="225"/>
        <v>2020</v>
      </c>
      <c r="M167" s="329">
        <f t="shared" si="225"/>
        <v>2021</v>
      </c>
      <c r="N167" s="329">
        <f t="shared" si="225"/>
        <v>2022</v>
      </c>
      <c r="O167" s="329">
        <f t="shared" si="225"/>
        <v>2023</v>
      </c>
      <c r="P167" s="329">
        <f t="shared" si="225"/>
        <v>2024</v>
      </c>
      <c r="Q167" s="329">
        <f t="shared" si="225"/>
        <v>2025</v>
      </c>
      <c r="R167" s="329">
        <f t="shared" si="225"/>
        <v>2026</v>
      </c>
      <c r="S167" s="329">
        <f t="shared" si="225"/>
        <v>2027</v>
      </c>
      <c r="T167" s="329">
        <f t="shared" si="225"/>
        <v>2028</v>
      </c>
      <c r="U167" s="329">
        <f t="shared" si="225"/>
        <v>2029</v>
      </c>
      <c r="V167" s="329">
        <f t="shared" si="225"/>
        <v>2030</v>
      </c>
      <c r="W167" s="329">
        <f t="shared" si="225"/>
        <v>2031</v>
      </c>
      <c r="X167" s="329">
        <f t="shared" si="225"/>
        <v>2032</v>
      </c>
      <c r="Y167" s="329">
        <f t="shared" si="225"/>
        <v>2033</v>
      </c>
      <c r="Z167" s="329">
        <f t="shared" si="225"/>
        <v>2034</v>
      </c>
      <c r="AA167" s="329">
        <f t="shared" si="225"/>
        <v>2035</v>
      </c>
      <c r="AB167" s="329">
        <f t="shared" si="225"/>
        <v>2036</v>
      </c>
      <c r="AC167" s="329">
        <f t="shared" si="225"/>
        <v>2037</v>
      </c>
      <c r="AD167" s="329">
        <f t="shared" si="225"/>
        <v>2038</v>
      </c>
      <c r="AE167" s="329">
        <f t="shared" si="225"/>
        <v>2039</v>
      </c>
      <c r="AF167" s="329">
        <f t="shared" si="225"/>
        <v>2040</v>
      </c>
      <c r="AG167" s="329">
        <f t="shared" si="225"/>
        <v>2041</v>
      </c>
      <c r="AH167" s="329">
        <f t="shared" si="225"/>
        <v>2042</v>
      </c>
      <c r="AI167" s="329">
        <f t="shared" si="225"/>
        <v>2043</v>
      </c>
      <c r="AJ167" s="329">
        <f t="shared" si="225"/>
        <v>2044</v>
      </c>
      <c r="AK167" s="329">
        <f t="shared" si="225"/>
        <v>2045</v>
      </c>
      <c r="AL167" s="329">
        <f t="shared" si="225"/>
        <v>2046</v>
      </c>
      <c r="AM167" s="329">
        <f t="shared" si="225"/>
        <v>2047</v>
      </c>
      <c r="AN167" s="329">
        <f t="shared" si="225"/>
        <v>2048</v>
      </c>
      <c r="AO167" s="329">
        <f t="shared" si="225"/>
        <v>2049</v>
      </c>
      <c r="AP167" s="329">
        <f t="shared" si="225"/>
        <v>2050</v>
      </c>
      <c r="AT167" s="309"/>
    </row>
    <row r="168" spans="1:55">
      <c r="A168" s="301" t="s">
        <v>43</v>
      </c>
      <c r="B168" s="308">
        <f>'Monthly D5 Gallon Data'!$F4</f>
        <v>0</v>
      </c>
      <c r="C168" s="308">
        <f>'Monthly D5 Gallon Data'!$F16</f>
        <v>0</v>
      </c>
      <c r="D168" s="308">
        <f>'Monthly D5 Gallon Data'!$F28</f>
        <v>0</v>
      </c>
      <c r="E168" s="308">
        <f>'Monthly D5 Gallon Data'!$F40</f>
        <v>0</v>
      </c>
      <c r="F168" s="308">
        <f>'Monthly D5 Gallon Data'!$F52</f>
        <v>0</v>
      </c>
      <c r="G168" s="308">
        <f>'Monthly D5 Gallon Data'!$F64</f>
        <v>0</v>
      </c>
      <c r="H168" s="308">
        <f>'Monthly D5 Gallon Data'!$F76</f>
        <v>0</v>
      </c>
      <c r="I168" s="308">
        <f>'Monthly D5 Gallon Data'!$F88</f>
        <v>0</v>
      </c>
      <c r="J168" s="308">
        <f>'Monthly D5 Gallon Data'!$F100</f>
        <v>0</v>
      </c>
      <c r="K168" s="308">
        <f>'Monthly D5 Gallon Data'!$F112</f>
        <v>0</v>
      </c>
      <c r="L168" s="308">
        <f>'Monthly D5 Gallon Data'!$F124</f>
        <v>0</v>
      </c>
      <c r="M168" s="308">
        <f>'Monthly D5 Gallon Data'!$F136</f>
        <v>0</v>
      </c>
      <c r="N168" s="308">
        <f>'Monthly D5 Gallon Data'!$F148</f>
        <v>0</v>
      </c>
      <c r="O168" s="308">
        <f>'Monthly D5 Gallon Data'!$F160</f>
        <v>0</v>
      </c>
      <c r="P168" s="308">
        <f>'Monthly D5 Gallon Data'!$F172</f>
        <v>0</v>
      </c>
      <c r="Q168" s="308">
        <f>'Monthly D5 Gallon Data'!$F184</f>
        <v>0</v>
      </c>
      <c r="R168" s="307">
        <v>0</v>
      </c>
      <c r="S168" s="307">
        <v>0</v>
      </c>
      <c r="T168" s="307">
        <v>0</v>
      </c>
      <c r="U168" s="307">
        <v>0</v>
      </c>
      <c r="V168" s="307">
        <v>0</v>
      </c>
      <c r="W168" s="307">
        <v>0</v>
      </c>
      <c r="X168" s="307">
        <v>0</v>
      </c>
      <c r="Y168" s="307">
        <v>0</v>
      </c>
      <c r="Z168" s="307">
        <v>0</v>
      </c>
      <c r="AA168" s="307">
        <v>0</v>
      </c>
      <c r="AB168" s="307">
        <v>0</v>
      </c>
      <c r="AC168" s="307">
        <v>0</v>
      </c>
      <c r="AD168" s="307">
        <v>0</v>
      </c>
      <c r="AE168" s="307">
        <v>0</v>
      </c>
      <c r="AF168" s="307">
        <v>0</v>
      </c>
      <c r="AG168" s="307">
        <v>0</v>
      </c>
      <c r="AH168" s="307">
        <v>0</v>
      </c>
      <c r="AI168" s="307">
        <v>0</v>
      </c>
      <c r="AJ168" s="307">
        <v>0</v>
      </c>
      <c r="AK168" s="307">
        <v>0</v>
      </c>
      <c r="AL168" s="307">
        <v>0</v>
      </c>
      <c r="AM168" s="307">
        <v>0</v>
      </c>
      <c r="AN168" s="307">
        <v>0</v>
      </c>
      <c r="AO168" s="307">
        <v>0</v>
      </c>
      <c r="AP168" s="307">
        <v>0</v>
      </c>
      <c r="AR168" s="308">
        <v>0</v>
      </c>
      <c r="AS168" s="308">
        <f t="shared" ref="AS168:AS180" si="226">L168-AR168</f>
        <v>0</v>
      </c>
      <c r="AT168" s="308">
        <v>0</v>
      </c>
      <c r="AU168" s="308">
        <f t="shared" ref="AU168:AU180" si="227">M168-AT168</f>
        <v>0</v>
      </c>
      <c r="AV168" s="308">
        <v>0</v>
      </c>
      <c r="AW168" s="308">
        <f t="shared" ref="AW168:AW180" si="228">N168-AV168</f>
        <v>0</v>
      </c>
      <c r="AX168" s="308">
        <v>0</v>
      </c>
      <c r="AY168" s="308">
        <f t="shared" ref="AY168:AY180" si="229">O168-AX168</f>
        <v>0</v>
      </c>
      <c r="AZ168" s="308">
        <v>0</v>
      </c>
      <c r="BA168" s="308">
        <f t="shared" ref="BA168:BA180" si="230">P168-AZ168</f>
        <v>0</v>
      </c>
      <c r="BB168" s="331">
        <v>0</v>
      </c>
      <c r="BC168" s="308">
        <f t="shared" ref="BC168:BC180" si="231">Q168-BB168</f>
        <v>0</v>
      </c>
    </row>
    <row r="169" spans="1:55">
      <c r="A169" s="301" t="s">
        <v>44</v>
      </c>
      <c r="B169" s="308">
        <f>'Monthly D5 Gallon Data'!$F5</f>
        <v>0</v>
      </c>
      <c r="C169" s="308">
        <f>'Monthly D5 Gallon Data'!$F17</f>
        <v>0</v>
      </c>
      <c r="D169" s="308">
        <f>'Monthly D5 Gallon Data'!$F29</f>
        <v>0</v>
      </c>
      <c r="E169" s="308">
        <f>'Monthly D5 Gallon Data'!$F41</f>
        <v>0</v>
      </c>
      <c r="F169" s="308">
        <f>'Monthly D5 Gallon Data'!$F53</f>
        <v>0</v>
      </c>
      <c r="G169" s="308">
        <f>'Monthly D5 Gallon Data'!$F65</f>
        <v>0</v>
      </c>
      <c r="H169" s="308">
        <f>'Monthly D5 Gallon Data'!$F77</f>
        <v>0</v>
      </c>
      <c r="I169" s="308">
        <f>'Monthly D5 Gallon Data'!$F89</f>
        <v>0</v>
      </c>
      <c r="J169" s="308">
        <f>'Monthly D5 Gallon Data'!$F101</f>
        <v>0</v>
      </c>
      <c r="K169" s="308">
        <f>'Monthly D5 Gallon Data'!$F113</f>
        <v>0</v>
      </c>
      <c r="L169" s="308">
        <f>'Monthly D5 Gallon Data'!$F125</f>
        <v>0</v>
      </c>
      <c r="M169" s="308">
        <f>'Monthly D5 Gallon Data'!$F137</f>
        <v>0</v>
      </c>
      <c r="N169" s="308">
        <f>'Monthly D5 Gallon Data'!$F149</f>
        <v>0</v>
      </c>
      <c r="O169" s="308">
        <f>'Monthly D5 Gallon Data'!$F161</f>
        <v>0</v>
      </c>
      <c r="P169" s="308">
        <f>'Monthly D5 Gallon Data'!$F173</f>
        <v>0</v>
      </c>
      <c r="Q169" s="332">
        <f>'Monthly D5 Gallon Data'!$F185</f>
        <v>0</v>
      </c>
      <c r="R169" s="307">
        <v>0</v>
      </c>
      <c r="S169" s="307">
        <v>0</v>
      </c>
      <c r="T169" s="307">
        <v>0</v>
      </c>
      <c r="U169" s="307">
        <v>0</v>
      </c>
      <c r="V169" s="307">
        <v>0</v>
      </c>
      <c r="W169" s="307">
        <v>0</v>
      </c>
      <c r="X169" s="307">
        <v>0</v>
      </c>
      <c r="Y169" s="307">
        <v>0</v>
      </c>
      <c r="Z169" s="307">
        <v>0</v>
      </c>
      <c r="AA169" s="307">
        <v>0</v>
      </c>
      <c r="AB169" s="307">
        <v>0</v>
      </c>
      <c r="AC169" s="307">
        <v>0</v>
      </c>
      <c r="AD169" s="307">
        <v>0</v>
      </c>
      <c r="AE169" s="307">
        <v>0</v>
      </c>
      <c r="AF169" s="307">
        <v>0</v>
      </c>
      <c r="AG169" s="307">
        <v>0</v>
      </c>
      <c r="AH169" s="307">
        <v>0</v>
      </c>
      <c r="AI169" s="307">
        <v>0</v>
      </c>
      <c r="AJ169" s="307">
        <v>0</v>
      </c>
      <c r="AK169" s="307">
        <v>0</v>
      </c>
      <c r="AL169" s="307">
        <v>0</v>
      </c>
      <c r="AM169" s="307">
        <v>0</v>
      </c>
      <c r="AN169" s="307">
        <v>0</v>
      </c>
      <c r="AO169" s="307">
        <v>0</v>
      </c>
      <c r="AP169" s="307">
        <v>0</v>
      </c>
      <c r="AR169" s="308">
        <v>0</v>
      </c>
      <c r="AS169" s="308">
        <f t="shared" si="226"/>
        <v>0</v>
      </c>
      <c r="AT169" s="308">
        <v>0</v>
      </c>
      <c r="AU169" s="308">
        <f t="shared" si="227"/>
        <v>0</v>
      </c>
      <c r="AV169" s="308">
        <v>0</v>
      </c>
      <c r="AW169" s="308">
        <f t="shared" si="228"/>
        <v>0</v>
      </c>
      <c r="AX169" s="308">
        <v>0</v>
      </c>
      <c r="AY169" s="308">
        <f t="shared" si="229"/>
        <v>0</v>
      </c>
      <c r="AZ169" s="308">
        <v>0</v>
      </c>
      <c r="BA169" s="308">
        <f t="shared" si="230"/>
        <v>0</v>
      </c>
      <c r="BB169" s="331">
        <v>0</v>
      </c>
      <c r="BC169" s="308">
        <f t="shared" si="231"/>
        <v>0</v>
      </c>
    </row>
    <row r="170" spans="1:55">
      <c r="A170" s="301" t="s">
        <v>45</v>
      </c>
      <c r="B170" s="308">
        <f>'Monthly D5 Gallon Data'!$F6</f>
        <v>0</v>
      </c>
      <c r="C170" s="308">
        <f>'Monthly D5 Gallon Data'!$F18</f>
        <v>0</v>
      </c>
      <c r="D170" s="308">
        <f>'Monthly D5 Gallon Data'!$F30</f>
        <v>0</v>
      </c>
      <c r="E170" s="308">
        <f>'Monthly D5 Gallon Data'!$F42</f>
        <v>0</v>
      </c>
      <c r="F170" s="308">
        <f>'Monthly D5 Gallon Data'!$F54</f>
        <v>0</v>
      </c>
      <c r="G170" s="308">
        <f>'Monthly D5 Gallon Data'!$F66</f>
        <v>0</v>
      </c>
      <c r="H170" s="308">
        <f>'Monthly D5 Gallon Data'!$F78</f>
        <v>0</v>
      </c>
      <c r="I170" s="308">
        <f>'Monthly D5 Gallon Data'!$F90</f>
        <v>0</v>
      </c>
      <c r="J170" s="308">
        <f>'Monthly D5 Gallon Data'!$F102</f>
        <v>0</v>
      </c>
      <c r="K170" s="308">
        <f>'Monthly D5 Gallon Data'!$F114</f>
        <v>0</v>
      </c>
      <c r="L170" s="308">
        <f>'Monthly D5 Gallon Data'!$F126</f>
        <v>0</v>
      </c>
      <c r="M170" s="308">
        <f>'Monthly D5 Gallon Data'!$F138</f>
        <v>0</v>
      </c>
      <c r="N170" s="308">
        <f>'Monthly D5 Gallon Data'!$F150</f>
        <v>0</v>
      </c>
      <c r="O170" s="308">
        <f>'Monthly D5 Gallon Data'!$F162</f>
        <v>0</v>
      </c>
      <c r="P170" s="308">
        <f>'Monthly D5 Gallon Data'!$F174</f>
        <v>0</v>
      </c>
      <c r="Q170" s="332">
        <f>'Monthly D5 Gallon Data'!$F186</f>
        <v>0</v>
      </c>
      <c r="R170" s="307">
        <v>0</v>
      </c>
      <c r="S170" s="307">
        <v>0</v>
      </c>
      <c r="T170" s="307">
        <v>0</v>
      </c>
      <c r="U170" s="307">
        <v>0</v>
      </c>
      <c r="V170" s="307">
        <v>0</v>
      </c>
      <c r="W170" s="307">
        <v>0</v>
      </c>
      <c r="X170" s="307">
        <v>0</v>
      </c>
      <c r="Y170" s="307">
        <v>0</v>
      </c>
      <c r="Z170" s="307">
        <v>0</v>
      </c>
      <c r="AA170" s="307">
        <v>0</v>
      </c>
      <c r="AB170" s="307">
        <v>0</v>
      </c>
      <c r="AC170" s="307">
        <v>0</v>
      </c>
      <c r="AD170" s="307">
        <v>0</v>
      </c>
      <c r="AE170" s="307">
        <v>0</v>
      </c>
      <c r="AF170" s="307">
        <v>0</v>
      </c>
      <c r="AG170" s="307">
        <v>0</v>
      </c>
      <c r="AH170" s="307">
        <v>0</v>
      </c>
      <c r="AI170" s="307">
        <v>0</v>
      </c>
      <c r="AJ170" s="307">
        <v>0</v>
      </c>
      <c r="AK170" s="307">
        <v>0</v>
      </c>
      <c r="AL170" s="307">
        <v>0</v>
      </c>
      <c r="AM170" s="307">
        <v>0</v>
      </c>
      <c r="AN170" s="307">
        <v>0</v>
      </c>
      <c r="AO170" s="307">
        <v>0</v>
      </c>
      <c r="AP170" s="307">
        <v>0</v>
      </c>
      <c r="AR170" s="308">
        <v>0</v>
      </c>
      <c r="AS170" s="308">
        <f t="shared" si="226"/>
        <v>0</v>
      </c>
      <c r="AT170" s="308">
        <v>0</v>
      </c>
      <c r="AU170" s="308">
        <f t="shared" si="227"/>
        <v>0</v>
      </c>
      <c r="AV170" s="308">
        <v>0</v>
      </c>
      <c r="AW170" s="308">
        <f t="shared" si="228"/>
        <v>0</v>
      </c>
      <c r="AX170" s="308">
        <v>0</v>
      </c>
      <c r="AY170" s="308">
        <f t="shared" si="229"/>
        <v>0</v>
      </c>
      <c r="AZ170" s="308">
        <v>0</v>
      </c>
      <c r="BA170" s="308">
        <f t="shared" si="230"/>
        <v>0</v>
      </c>
      <c r="BB170" s="331">
        <v>0</v>
      </c>
      <c r="BC170" s="308">
        <f t="shared" si="231"/>
        <v>0</v>
      </c>
    </row>
    <row r="171" spans="1:55">
      <c r="A171" s="301" t="s">
        <v>46</v>
      </c>
      <c r="B171" s="308">
        <f>'Monthly D5 Gallon Data'!$F7</f>
        <v>0</v>
      </c>
      <c r="C171" s="308">
        <f>'Monthly D5 Gallon Data'!$F19</f>
        <v>0</v>
      </c>
      <c r="D171" s="308">
        <f>'Monthly D5 Gallon Data'!$F31</f>
        <v>0</v>
      </c>
      <c r="E171" s="308">
        <f>'Monthly D5 Gallon Data'!$F43</f>
        <v>0</v>
      </c>
      <c r="F171" s="308">
        <f>'Monthly D5 Gallon Data'!$F55</f>
        <v>0</v>
      </c>
      <c r="G171" s="308">
        <f>'Monthly D5 Gallon Data'!$F67</f>
        <v>0</v>
      </c>
      <c r="H171" s="308">
        <f>'Monthly D5 Gallon Data'!$F79</f>
        <v>0</v>
      </c>
      <c r="I171" s="308">
        <f>'Monthly D5 Gallon Data'!$F91</f>
        <v>0</v>
      </c>
      <c r="J171" s="308">
        <f>'Monthly D5 Gallon Data'!$F103</f>
        <v>0</v>
      </c>
      <c r="K171" s="308">
        <f>'Monthly D5 Gallon Data'!$F115</f>
        <v>0</v>
      </c>
      <c r="L171" s="308">
        <f>'Monthly D5 Gallon Data'!$F127</f>
        <v>0</v>
      </c>
      <c r="M171" s="308">
        <f>'Monthly D5 Gallon Data'!$F139</f>
        <v>0</v>
      </c>
      <c r="N171" s="308">
        <f>'Monthly D5 Gallon Data'!$F151</f>
        <v>0</v>
      </c>
      <c r="O171" s="308">
        <f>'Monthly D5 Gallon Data'!$F163</f>
        <v>0</v>
      </c>
      <c r="P171" s="308">
        <f>'Monthly D5 Gallon Data'!$F175</f>
        <v>0</v>
      </c>
      <c r="Q171" s="307">
        <v>0</v>
      </c>
      <c r="R171" s="307">
        <v>0</v>
      </c>
      <c r="S171" s="307">
        <v>0</v>
      </c>
      <c r="T171" s="307">
        <v>0</v>
      </c>
      <c r="U171" s="307">
        <v>0</v>
      </c>
      <c r="V171" s="307">
        <v>0</v>
      </c>
      <c r="W171" s="307">
        <v>0</v>
      </c>
      <c r="X171" s="307">
        <v>0</v>
      </c>
      <c r="Y171" s="307">
        <v>0</v>
      </c>
      <c r="Z171" s="307">
        <v>0</v>
      </c>
      <c r="AA171" s="307">
        <v>0</v>
      </c>
      <c r="AB171" s="307">
        <v>0</v>
      </c>
      <c r="AC171" s="307">
        <v>0</v>
      </c>
      <c r="AD171" s="307">
        <v>0</v>
      </c>
      <c r="AE171" s="307">
        <v>0</v>
      </c>
      <c r="AF171" s="307">
        <v>0</v>
      </c>
      <c r="AG171" s="307">
        <v>0</v>
      </c>
      <c r="AH171" s="307">
        <v>0</v>
      </c>
      <c r="AI171" s="307">
        <v>0</v>
      </c>
      <c r="AJ171" s="307">
        <v>0</v>
      </c>
      <c r="AK171" s="307">
        <v>0</v>
      </c>
      <c r="AL171" s="307">
        <v>0</v>
      </c>
      <c r="AM171" s="307">
        <v>0</v>
      </c>
      <c r="AN171" s="307">
        <v>0</v>
      </c>
      <c r="AO171" s="307">
        <v>0</v>
      </c>
      <c r="AP171" s="307">
        <v>0</v>
      </c>
      <c r="AR171" s="308">
        <v>0</v>
      </c>
      <c r="AS171" s="308">
        <f t="shared" si="226"/>
        <v>0</v>
      </c>
      <c r="AT171" s="308">
        <v>0</v>
      </c>
      <c r="AU171" s="308">
        <f t="shared" si="227"/>
        <v>0</v>
      </c>
      <c r="AV171" s="308">
        <v>0</v>
      </c>
      <c r="AW171" s="308">
        <f t="shared" si="228"/>
        <v>0</v>
      </c>
      <c r="AX171" s="308">
        <v>0</v>
      </c>
      <c r="AY171" s="308">
        <f t="shared" si="229"/>
        <v>0</v>
      </c>
      <c r="AZ171" s="308">
        <v>0</v>
      </c>
      <c r="BA171" s="308">
        <f t="shared" si="230"/>
        <v>0</v>
      </c>
      <c r="BB171" s="331">
        <v>0</v>
      </c>
      <c r="BC171" s="308">
        <f t="shared" si="231"/>
        <v>0</v>
      </c>
    </row>
    <row r="172" spans="1:55">
      <c r="A172" s="301" t="s">
        <v>47</v>
      </c>
      <c r="B172" s="308">
        <f>'Monthly D5 Gallon Data'!$F8</f>
        <v>0</v>
      </c>
      <c r="C172" s="308">
        <f>'Monthly D5 Gallon Data'!$F20</f>
        <v>0</v>
      </c>
      <c r="D172" s="308">
        <f>'Monthly D5 Gallon Data'!$F32</f>
        <v>0</v>
      </c>
      <c r="E172" s="308">
        <f>'Monthly D5 Gallon Data'!$F44</f>
        <v>0</v>
      </c>
      <c r="F172" s="308">
        <f>'Monthly D5 Gallon Data'!$F56</f>
        <v>0</v>
      </c>
      <c r="G172" s="308">
        <f>'Monthly D5 Gallon Data'!$F68</f>
        <v>0</v>
      </c>
      <c r="H172" s="308">
        <f>'Monthly D5 Gallon Data'!$F80</f>
        <v>0</v>
      </c>
      <c r="I172" s="308">
        <f>'Monthly D5 Gallon Data'!$F92</f>
        <v>0</v>
      </c>
      <c r="J172" s="308">
        <f>'Monthly D5 Gallon Data'!$F104</f>
        <v>0</v>
      </c>
      <c r="K172" s="308">
        <f>'Monthly D5 Gallon Data'!$F116</f>
        <v>0</v>
      </c>
      <c r="L172" s="308">
        <f>'Monthly D5 Gallon Data'!$F128</f>
        <v>0</v>
      </c>
      <c r="M172" s="308">
        <f>'Monthly D5 Gallon Data'!$F140</f>
        <v>0</v>
      </c>
      <c r="N172" s="308">
        <f>'Monthly D5 Gallon Data'!$F152</f>
        <v>0</v>
      </c>
      <c r="O172" s="308">
        <f>'Monthly D5 Gallon Data'!$F164</f>
        <v>0</v>
      </c>
      <c r="P172" s="308">
        <f>'Monthly D5 Gallon Data'!$F176</f>
        <v>0</v>
      </c>
      <c r="Q172" s="307">
        <v>0</v>
      </c>
      <c r="R172" s="307">
        <v>0</v>
      </c>
      <c r="S172" s="307">
        <v>0</v>
      </c>
      <c r="T172" s="307">
        <v>0</v>
      </c>
      <c r="U172" s="307">
        <v>0</v>
      </c>
      <c r="V172" s="307">
        <v>0</v>
      </c>
      <c r="W172" s="307">
        <v>0</v>
      </c>
      <c r="X172" s="307">
        <v>0</v>
      </c>
      <c r="Y172" s="307">
        <v>0</v>
      </c>
      <c r="Z172" s="307">
        <v>0</v>
      </c>
      <c r="AA172" s="307">
        <v>0</v>
      </c>
      <c r="AB172" s="307">
        <v>0</v>
      </c>
      <c r="AC172" s="307">
        <v>0</v>
      </c>
      <c r="AD172" s="307">
        <v>0</v>
      </c>
      <c r="AE172" s="307">
        <v>0</v>
      </c>
      <c r="AF172" s="307">
        <v>0</v>
      </c>
      <c r="AG172" s="307">
        <v>0</v>
      </c>
      <c r="AH172" s="307">
        <v>0</v>
      </c>
      <c r="AI172" s="307">
        <v>0</v>
      </c>
      <c r="AJ172" s="307">
        <v>0</v>
      </c>
      <c r="AK172" s="307">
        <v>0</v>
      </c>
      <c r="AL172" s="307">
        <v>0</v>
      </c>
      <c r="AM172" s="307">
        <v>0</v>
      </c>
      <c r="AN172" s="307">
        <v>0</v>
      </c>
      <c r="AO172" s="307">
        <v>0</v>
      </c>
      <c r="AP172" s="307">
        <v>0</v>
      </c>
      <c r="AR172" s="308">
        <v>0</v>
      </c>
      <c r="AS172" s="308">
        <f t="shared" si="226"/>
        <v>0</v>
      </c>
      <c r="AT172" s="308">
        <v>0</v>
      </c>
      <c r="AU172" s="308">
        <f t="shared" si="227"/>
        <v>0</v>
      </c>
      <c r="AV172" s="308">
        <v>0</v>
      </c>
      <c r="AW172" s="308">
        <f t="shared" si="228"/>
        <v>0</v>
      </c>
      <c r="AX172" s="308">
        <v>0</v>
      </c>
      <c r="AY172" s="308">
        <f t="shared" si="229"/>
        <v>0</v>
      </c>
      <c r="AZ172" s="308">
        <v>0</v>
      </c>
      <c r="BA172" s="308">
        <f t="shared" si="230"/>
        <v>0</v>
      </c>
      <c r="BB172" s="331">
        <v>0</v>
      </c>
      <c r="BC172" s="308">
        <f t="shared" si="231"/>
        <v>0</v>
      </c>
    </row>
    <row r="173" spans="1:55">
      <c r="A173" s="301" t="s">
        <v>48</v>
      </c>
      <c r="B173" s="308">
        <f>'Monthly D5 Gallon Data'!$F9</f>
        <v>0</v>
      </c>
      <c r="C173" s="308">
        <f>'Monthly D5 Gallon Data'!$F21</f>
        <v>0</v>
      </c>
      <c r="D173" s="308">
        <f>'Monthly D5 Gallon Data'!$F33</f>
        <v>0</v>
      </c>
      <c r="E173" s="308">
        <f>'Monthly D5 Gallon Data'!$F45</f>
        <v>0</v>
      </c>
      <c r="F173" s="308">
        <f>'Monthly D5 Gallon Data'!$F57</f>
        <v>0</v>
      </c>
      <c r="G173" s="308">
        <f>'Monthly D5 Gallon Data'!$F69</f>
        <v>0</v>
      </c>
      <c r="H173" s="308">
        <f>'Monthly D5 Gallon Data'!$F81</f>
        <v>0</v>
      </c>
      <c r="I173" s="308">
        <f>'Monthly D5 Gallon Data'!$F93</f>
        <v>0</v>
      </c>
      <c r="J173" s="308">
        <f>'Monthly D5 Gallon Data'!$F105</f>
        <v>0</v>
      </c>
      <c r="K173" s="308">
        <f>'Monthly D5 Gallon Data'!$F117</f>
        <v>0</v>
      </c>
      <c r="L173" s="308">
        <f>'Monthly D5 Gallon Data'!$F129</f>
        <v>0</v>
      </c>
      <c r="M173" s="308">
        <f>'Monthly D5 Gallon Data'!$F141</f>
        <v>0</v>
      </c>
      <c r="N173" s="308">
        <f>'Monthly D5 Gallon Data'!$F153</f>
        <v>0</v>
      </c>
      <c r="O173" s="308">
        <f>'Monthly D5 Gallon Data'!$F165</f>
        <v>0</v>
      </c>
      <c r="P173" s="308">
        <f>'Monthly D5 Gallon Data'!$F177</f>
        <v>0</v>
      </c>
      <c r="Q173" s="307">
        <v>0</v>
      </c>
      <c r="R173" s="307">
        <v>0</v>
      </c>
      <c r="S173" s="307">
        <v>0</v>
      </c>
      <c r="T173" s="307">
        <v>0</v>
      </c>
      <c r="U173" s="307">
        <v>0</v>
      </c>
      <c r="V173" s="307">
        <v>0</v>
      </c>
      <c r="W173" s="307">
        <v>0</v>
      </c>
      <c r="X173" s="307">
        <v>0</v>
      </c>
      <c r="Y173" s="307">
        <v>0</v>
      </c>
      <c r="Z173" s="307">
        <v>0</v>
      </c>
      <c r="AA173" s="307">
        <v>0</v>
      </c>
      <c r="AB173" s="307">
        <v>0</v>
      </c>
      <c r="AC173" s="307">
        <v>0</v>
      </c>
      <c r="AD173" s="307">
        <v>0</v>
      </c>
      <c r="AE173" s="307">
        <v>0</v>
      </c>
      <c r="AF173" s="307">
        <v>0</v>
      </c>
      <c r="AG173" s="307">
        <v>0</v>
      </c>
      <c r="AH173" s="307">
        <v>0</v>
      </c>
      <c r="AI173" s="307">
        <v>0</v>
      </c>
      <c r="AJ173" s="307">
        <v>0</v>
      </c>
      <c r="AK173" s="307">
        <v>0</v>
      </c>
      <c r="AL173" s="307">
        <v>0</v>
      </c>
      <c r="AM173" s="307">
        <v>0</v>
      </c>
      <c r="AN173" s="307">
        <v>0</v>
      </c>
      <c r="AO173" s="307">
        <v>0</v>
      </c>
      <c r="AP173" s="307">
        <v>0</v>
      </c>
      <c r="AR173" s="308">
        <v>0</v>
      </c>
      <c r="AS173" s="308">
        <f t="shared" si="226"/>
        <v>0</v>
      </c>
      <c r="AT173" s="308">
        <v>0</v>
      </c>
      <c r="AU173" s="308">
        <f t="shared" si="227"/>
        <v>0</v>
      </c>
      <c r="AV173" s="308">
        <v>0</v>
      </c>
      <c r="AW173" s="308">
        <f t="shared" si="228"/>
        <v>0</v>
      </c>
      <c r="AX173" s="308">
        <v>0</v>
      </c>
      <c r="AY173" s="308">
        <f t="shared" si="229"/>
        <v>0</v>
      </c>
      <c r="AZ173" s="308">
        <v>0</v>
      </c>
      <c r="BA173" s="308">
        <f t="shared" si="230"/>
        <v>0</v>
      </c>
      <c r="BB173" s="331">
        <v>0</v>
      </c>
      <c r="BC173" s="308">
        <f t="shared" si="231"/>
        <v>0</v>
      </c>
    </row>
    <row r="174" spans="1:55">
      <c r="A174" s="301" t="s">
        <v>49</v>
      </c>
      <c r="B174" s="308">
        <f>'Monthly D5 Gallon Data'!$F10</f>
        <v>0</v>
      </c>
      <c r="C174" s="308">
        <f>'Monthly D5 Gallon Data'!$F22</f>
        <v>0</v>
      </c>
      <c r="D174" s="308">
        <f>'Monthly D5 Gallon Data'!$F34</f>
        <v>0</v>
      </c>
      <c r="E174" s="308">
        <f>'Monthly D5 Gallon Data'!$F46</f>
        <v>0</v>
      </c>
      <c r="F174" s="308">
        <f>'Monthly D5 Gallon Data'!$F58</f>
        <v>0</v>
      </c>
      <c r="G174" s="308">
        <f>'Monthly D5 Gallon Data'!$F70</f>
        <v>0</v>
      </c>
      <c r="H174" s="308">
        <f>'Monthly D5 Gallon Data'!$F82</f>
        <v>0</v>
      </c>
      <c r="I174" s="308">
        <f>'Monthly D5 Gallon Data'!$F94</f>
        <v>0</v>
      </c>
      <c r="J174" s="308">
        <f>'Monthly D5 Gallon Data'!$F106</f>
        <v>0</v>
      </c>
      <c r="K174" s="308">
        <f>'Monthly D5 Gallon Data'!$F118</f>
        <v>0</v>
      </c>
      <c r="L174" s="308">
        <f>'Monthly D5 Gallon Data'!$F130</f>
        <v>0</v>
      </c>
      <c r="M174" s="308">
        <f>'Monthly D5 Gallon Data'!$F142</f>
        <v>0</v>
      </c>
      <c r="N174" s="308">
        <f>'Monthly D5 Gallon Data'!$F154</f>
        <v>0</v>
      </c>
      <c r="O174" s="308">
        <f>'Monthly D5 Gallon Data'!$F166</f>
        <v>0</v>
      </c>
      <c r="P174" s="308">
        <f>'Monthly D5 Gallon Data'!$F178</f>
        <v>0</v>
      </c>
      <c r="Q174" s="307">
        <v>0</v>
      </c>
      <c r="R174" s="307">
        <v>0</v>
      </c>
      <c r="S174" s="307">
        <v>0</v>
      </c>
      <c r="T174" s="307">
        <v>0</v>
      </c>
      <c r="U174" s="307">
        <v>0</v>
      </c>
      <c r="V174" s="307">
        <v>0</v>
      </c>
      <c r="W174" s="307">
        <v>0</v>
      </c>
      <c r="X174" s="307">
        <v>0</v>
      </c>
      <c r="Y174" s="307">
        <v>0</v>
      </c>
      <c r="Z174" s="307">
        <v>0</v>
      </c>
      <c r="AA174" s="307">
        <v>0</v>
      </c>
      <c r="AB174" s="307">
        <v>0</v>
      </c>
      <c r="AC174" s="307">
        <v>0</v>
      </c>
      <c r="AD174" s="307">
        <v>0</v>
      </c>
      <c r="AE174" s="307">
        <v>0</v>
      </c>
      <c r="AF174" s="307">
        <v>0</v>
      </c>
      <c r="AG174" s="307">
        <v>0</v>
      </c>
      <c r="AH174" s="307">
        <v>0</v>
      </c>
      <c r="AI174" s="307">
        <v>0</v>
      </c>
      <c r="AJ174" s="307">
        <v>0</v>
      </c>
      <c r="AK174" s="307">
        <v>0</v>
      </c>
      <c r="AL174" s="307">
        <v>0</v>
      </c>
      <c r="AM174" s="307">
        <v>0</v>
      </c>
      <c r="AN174" s="307">
        <v>0</v>
      </c>
      <c r="AO174" s="307">
        <v>0</v>
      </c>
      <c r="AP174" s="307">
        <v>0</v>
      </c>
      <c r="AR174" s="308">
        <v>0</v>
      </c>
      <c r="AS174" s="308">
        <f t="shared" si="226"/>
        <v>0</v>
      </c>
      <c r="AT174" s="308">
        <v>0</v>
      </c>
      <c r="AU174" s="308">
        <f t="shared" si="227"/>
        <v>0</v>
      </c>
      <c r="AV174" s="308">
        <v>0</v>
      </c>
      <c r="AW174" s="308">
        <f t="shared" si="228"/>
        <v>0</v>
      </c>
      <c r="AX174" s="308">
        <v>0</v>
      </c>
      <c r="AY174" s="308">
        <f t="shared" si="229"/>
        <v>0</v>
      </c>
      <c r="AZ174" s="309">
        <v>0</v>
      </c>
      <c r="BA174" s="308">
        <f t="shared" si="230"/>
        <v>0</v>
      </c>
      <c r="BB174" s="331">
        <v>0</v>
      </c>
      <c r="BC174" s="308">
        <f t="shared" si="231"/>
        <v>0</v>
      </c>
    </row>
    <row r="175" spans="1:55">
      <c r="A175" s="301" t="s">
        <v>50</v>
      </c>
      <c r="B175" s="308">
        <f>'Monthly D5 Gallon Data'!$F11</f>
        <v>0</v>
      </c>
      <c r="C175" s="308">
        <f>'Monthly D5 Gallon Data'!$F23</f>
        <v>0</v>
      </c>
      <c r="D175" s="308">
        <f>'Monthly D5 Gallon Data'!$F35</f>
        <v>0</v>
      </c>
      <c r="E175" s="308">
        <f>'Monthly D5 Gallon Data'!$F47</f>
        <v>0</v>
      </c>
      <c r="F175" s="308">
        <f>'Monthly D5 Gallon Data'!$F59</f>
        <v>0</v>
      </c>
      <c r="G175" s="308">
        <f>'Monthly D5 Gallon Data'!$F71</f>
        <v>0</v>
      </c>
      <c r="H175" s="308">
        <f>'Monthly D5 Gallon Data'!$F83</f>
        <v>0</v>
      </c>
      <c r="I175" s="308">
        <f>'Monthly D5 Gallon Data'!$F95</f>
        <v>0</v>
      </c>
      <c r="J175" s="308">
        <f>'Monthly D5 Gallon Data'!$F107</f>
        <v>0</v>
      </c>
      <c r="K175" s="308">
        <f>'Monthly D5 Gallon Data'!$F119</f>
        <v>0</v>
      </c>
      <c r="L175" s="308">
        <f>'Monthly D5 Gallon Data'!$F131</f>
        <v>0</v>
      </c>
      <c r="M175" s="308">
        <f>'Monthly D5 Gallon Data'!$F143</f>
        <v>0</v>
      </c>
      <c r="N175" s="308">
        <f>'Monthly D5 Gallon Data'!$F155</f>
        <v>0</v>
      </c>
      <c r="O175" s="308">
        <f>'Monthly D5 Gallon Data'!$F167</f>
        <v>0</v>
      </c>
      <c r="P175" s="308">
        <f>'Monthly D5 Gallon Data'!$F179</f>
        <v>0</v>
      </c>
      <c r="Q175" s="307">
        <v>0</v>
      </c>
      <c r="R175" s="307">
        <v>0</v>
      </c>
      <c r="S175" s="307">
        <v>0</v>
      </c>
      <c r="T175" s="307">
        <v>0</v>
      </c>
      <c r="U175" s="307">
        <v>0</v>
      </c>
      <c r="V175" s="307">
        <v>0</v>
      </c>
      <c r="W175" s="307">
        <v>0</v>
      </c>
      <c r="X175" s="307">
        <v>0</v>
      </c>
      <c r="Y175" s="307">
        <v>0</v>
      </c>
      <c r="Z175" s="307">
        <v>0</v>
      </c>
      <c r="AA175" s="307">
        <v>0</v>
      </c>
      <c r="AB175" s="307">
        <v>0</v>
      </c>
      <c r="AC175" s="307">
        <v>0</v>
      </c>
      <c r="AD175" s="307">
        <v>0</v>
      </c>
      <c r="AE175" s="307">
        <v>0</v>
      </c>
      <c r="AF175" s="307">
        <v>0</v>
      </c>
      <c r="AG175" s="307">
        <v>0</v>
      </c>
      <c r="AH175" s="307">
        <v>0</v>
      </c>
      <c r="AI175" s="307">
        <v>0</v>
      </c>
      <c r="AJ175" s="307">
        <v>0</v>
      </c>
      <c r="AK175" s="307">
        <v>0</v>
      </c>
      <c r="AL175" s="307">
        <v>0</v>
      </c>
      <c r="AM175" s="307">
        <v>0</v>
      </c>
      <c r="AN175" s="307">
        <v>0</v>
      </c>
      <c r="AO175" s="307">
        <v>0</v>
      </c>
      <c r="AP175" s="307">
        <v>0</v>
      </c>
      <c r="AR175" s="308">
        <v>0</v>
      </c>
      <c r="AS175" s="308">
        <f t="shared" si="226"/>
        <v>0</v>
      </c>
      <c r="AT175" s="308">
        <v>0</v>
      </c>
      <c r="AU175" s="308">
        <f t="shared" si="227"/>
        <v>0</v>
      </c>
      <c r="AV175" s="308">
        <v>0</v>
      </c>
      <c r="AW175" s="308">
        <f t="shared" si="228"/>
        <v>0</v>
      </c>
      <c r="AX175" s="308">
        <v>0</v>
      </c>
      <c r="AY175" s="308">
        <f t="shared" si="229"/>
        <v>0</v>
      </c>
      <c r="AZ175" s="309">
        <v>0</v>
      </c>
      <c r="BA175" s="308">
        <f t="shared" si="230"/>
        <v>0</v>
      </c>
      <c r="BB175" s="331">
        <v>0</v>
      </c>
      <c r="BC175" s="308">
        <f t="shared" si="231"/>
        <v>0</v>
      </c>
    </row>
    <row r="176" spans="1:55">
      <c r="A176" s="301" t="s">
        <v>51</v>
      </c>
      <c r="B176" s="308">
        <f>'Monthly D5 Gallon Data'!$F12</f>
        <v>0</v>
      </c>
      <c r="C176" s="308">
        <f>'Monthly D5 Gallon Data'!$F24</f>
        <v>0</v>
      </c>
      <c r="D176" s="308">
        <f>'Monthly D5 Gallon Data'!$F36</f>
        <v>0</v>
      </c>
      <c r="E176" s="308">
        <f>'Monthly D5 Gallon Data'!$F48</f>
        <v>0</v>
      </c>
      <c r="F176" s="308">
        <f>'Monthly D5 Gallon Data'!$F60</f>
        <v>0</v>
      </c>
      <c r="G176" s="308">
        <f>'Monthly D5 Gallon Data'!$F72</f>
        <v>0</v>
      </c>
      <c r="H176" s="308">
        <f>'Monthly D5 Gallon Data'!$F84</f>
        <v>0</v>
      </c>
      <c r="I176" s="308">
        <f>'Monthly D5 Gallon Data'!$F96</f>
        <v>0</v>
      </c>
      <c r="J176" s="308">
        <f>'Monthly D5 Gallon Data'!$F108</f>
        <v>0</v>
      </c>
      <c r="K176" s="308">
        <f>'Monthly D5 Gallon Data'!$F120</f>
        <v>0</v>
      </c>
      <c r="L176" s="308">
        <f>'Monthly D5 Gallon Data'!$F132</f>
        <v>0</v>
      </c>
      <c r="M176" s="308">
        <f>'Monthly D5 Gallon Data'!$F144</f>
        <v>0</v>
      </c>
      <c r="N176" s="308">
        <f>'Monthly D5 Gallon Data'!$F156</f>
        <v>0</v>
      </c>
      <c r="O176" s="308">
        <f>'Monthly D5 Gallon Data'!$F168</f>
        <v>0</v>
      </c>
      <c r="P176" s="308">
        <f>'Monthly D5 Gallon Data'!$F180</f>
        <v>0</v>
      </c>
      <c r="Q176" s="307">
        <v>0</v>
      </c>
      <c r="R176" s="307">
        <v>0</v>
      </c>
      <c r="S176" s="307">
        <v>0</v>
      </c>
      <c r="T176" s="307">
        <v>0</v>
      </c>
      <c r="U176" s="307">
        <v>0</v>
      </c>
      <c r="V176" s="307">
        <v>0</v>
      </c>
      <c r="W176" s="307">
        <v>0</v>
      </c>
      <c r="X176" s="307">
        <v>0</v>
      </c>
      <c r="Y176" s="307">
        <v>0</v>
      </c>
      <c r="Z176" s="307">
        <v>0</v>
      </c>
      <c r="AA176" s="307">
        <v>0</v>
      </c>
      <c r="AB176" s="307">
        <v>0</v>
      </c>
      <c r="AC176" s="307">
        <v>0</v>
      </c>
      <c r="AD176" s="307">
        <v>0</v>
      </c>
      <c r="AE176" s="307">
        <v>0</v>
      </c>
      <c r="AF176" s="307">
        <v>0</v>
      </c>
      <c r="AG176" s="307">
        <v>0</v>
      </c>
      <c r="AH176" s="307">
        <v>0</v>
      </c>
      <c r="AI176" s="307">
        <v>0</v>
      </c>
      <c r="AJ176" s="307">
        <v>0</v>
      </c>
      <c r="AK176" s="307">
        <v>0</v>
      </c>
      <c r="AL176" s="307">
        <v>0</v>
      </c>
      <c r="AM176" s="307">
        <v>0</v>
      </c>
      <c r="AN176" s="307">
        <v>0</v>
      </c>
      <c r="AO176" s="307">
        <v>0</v>
      </c>
      <c r="AP176" s="307">
        <v>0</v>
      </c>
      <c r="AR176" s="308">
        <v>0</v>
      </c>
      <c r="AS176" s="308">
        <f t="shared" si="226"/>
        <v>0</v>
      </c>
      <c r="AT176" s="308">
        <v>0</v>
      </c>
      <c r="AU176" s="308">
        <f t="shared" si="227"/>
        <v>0</v>
      </c>
      <c r="AV176" s="308">
        <v>0</v>
      </c>
      <c r="AW176" s="308">
        <f t="shared" si="228"/>
        <v>0</v>
      </c>
      <c r="AX176" s="308">
        <v>0</v>
      </c>
      <c r="AY176" s="308">
        <f t="shared" si="229"/>
        <v>0</v>
      </c>
      <c r="AZ176" s="309">
        <v>0</v>
      </c>
      <c r="BA176" s="308">
        <f t="shared" si="230"/>
        <v>0</v>
      </c>
      <c r="BB176" s="331">
        <v>0</v>
      </c>
      <c r="BC176" s="308">
        <f t="shared" si="231"/>
        <v>0</v>
      </c>
    </row>
    <row r="177" spans="1:55">
      <c r="A177" s="301" t="s">
        <v>52</v>
      </c>
      <c r="B177" s="308">
        <f>'Monthly D5 Gallon Data'!$F13</f>
        <v>0</v>
      </c>
      <c r="C177" s="308">
        <f>'Monthly D5 Gallon Data'!$F25</f>
        <v>0</v>
      </c>
      <c r="D177" s="308">
        <f>'Monthly D5 Gallon Data'!$F37</f>
        <v>0</v>
      </c>
      <c r="E177" s="308">
        <f>'Monthly D5 Gallon Data'!$F49</f>
        <v>0</v>
      </c>
      <c r="F177" s="308">
        <f>'Monthly D5 Gallon Data'!$F61</f>
        <v>0</v>
      </c>
      <c r="G177" s="308">
        <f>'Monthly D5 Gallon Data'!$F73</f>
        <v>0</v>
      </c>
      <c r="H177" s="308">
        <f>'Monthly D5 Gallon Data'!$F85</f>
        <v>0</v>
      </c>
      <c r="I177" s="308">
        <f>'Monthly D5 Gallon Data'!$F97</f>
        <v>0</v>
      </c>
      <c r="J177" s="308">
        <f>'Monthly D5 Gallon Data'!$F109</f>
        <v>0</v>
      </c>
      <c r="K177" s="308">
        <f>'Monthly D5 Gallon Data'!$F121</f>
        <v>0</v>
      </c>
      <c r="L177" s="308">
        <f>'Monthly D5 Gallon Data'!$F133</f>
        <v>0</v>
      </c>
      <c r="M177" s="308">
        <f>'Monthly D5 Gallon Data'!$F145</f>
        <v>0</v>
      </c>
      <c r="N177" s="308">
        <f>'Monthly D5 Gallon Data'!$F157</f>
        <v>0</v>
      </c>
      <c r="O177" s="308">
        <f>'Monthly D5 Gallon Data'!$F169</f>
        <v>0</v>
      </c>
      <c r="P177" s="308">
        <f>'Monthly D5 Gallon Data'!$F181</f>
        <v>0</v>
      </c>
      <c r="Q177" s="307">
        <v>0</v>
      </c>
      <c r="R177" s="307">
        <v>0</v>
      </c>
      <c r="S177" s="307">
        <v>0</v>
      </c>
      <c r="T177" s="307">
        <v>0</v>
      </c>
      <c r="U177" s="307">
        <v>0</v>
      </c>
      <c r="V177" s="307">
        <v>0</v>
      </c>
      <c r="W177" s="307">
        <v>0</v>
      </c>
      <c r="X177" s="307">
        <v>0</v>
      </c>
      <c r="Y177" s="307">
        <v>0</v>
      </c>
      <c r="Z177" s="307">
        <v>0</v>
      </c>
      <c r="AA177" s="307">
        <v>0</v>
      </c>
      <c r="AB177" s="307">
        <v>0</v>
      </c>
      <c r="AC177" s="307">
        <v>0</v>
      </c>
      <c r="AD177" s="307">
        <v>0</v>
      </c>
      <c r="AE177" s="307">
        <v>0</v>
      </c>
      <c r="AF177" s="307">
        <v>0</v>
      </c>
      <c r="AG177" s="307">
        <v>0</v>
      </c>
      <c r="AH177" s="307">
        <v>0</v>
      </c>
      <c r="AI177" s="307">
        <v>0</v>
      </c>
      <c r="AJ177" s="307">
        <v>0</v>
      </c>
      <c r="AK177" s="307">
        <v>0</v>
      </c>
      <c r="AL177" s="307">
        <v>0</v>
      </c>
      <c r="AM177" s="307">
        <v>0</v>
      </c>
      <c r="AN177" s="307">
        <v>0</v>
      </c>
      <c r="AO177" s="307">
        <v>0</v>
      </c>
      <c r="AP177" s="307">
        <v>0</v>
      </c>
      <c r="AR177" s="308">
        <v>0</v>
      </c>
      <c r="AS177" s="308">
        <f t="shared" si="226"/>
        <v>0</v>
      </c>
      <c r="AT177" s="308">
        <v>0</v>
      </c>
      <c r="AU177" s="308">
        <f t="shared" si="227"/>
        <v>0</v>
      </c>
      <c r="AV177" s="308">
        <v>0</v>
      </c>
      <c r="AW177" s="308">
        <f t="shared" si="228"/>
        <v>0</v>
      </c>
      <c r="AX177" s="308">
        <v>0</v>
      </c>
      <c r="AY177" s="308">
        <f t="shared" si="229"/>
        <v>0</v>
      </c>
      <c r="AZ177" s="309">
        <v>0</v>
      </c>
      <c r="BA177" s="308">
        <f t="shared" si="230"/>
        <v>0</v>
      </c>
      <c r="BB177" s="331">
        <v>0</v>
      </c>
      <c r="BC177" s="308">
        <f t="shared" si="231"/>
        <v>0</v>
      </c>
    </row>
    <row r="178" spans="1:55">
      <c r="A178" s="301" t="s">
        <v>53</v>
      </c>
      <c r="B178" s="308">
        <f>'Monthly D5 Gallon Data'!$F14</f>
        <v>0</v>
      </c>
      <c r="C178" s="308">
        <f>'Monthly D5 Gallon Data'!$F26</f>
        <v>0</v>
      </c>
      <c r="D178" s="308">
        <f>'Monthly D5 Gallon Data'!$F38</f>
        <v>0</v>
      </c>
      <c r="E178" s="308">
        <f>'Monthly D5 Gallon Data'!$F50</f>
        <v>0</v>
      </c>
      <c r="F178" s="308">
        <f>'Monthly D5 Gallon Data'!$F62</f>
        <v>0</v>
      </c>
      <c r="G178" s="308">
        <f>'Monthly D5 Gallon Data'!$F74</f>
        <v>0</v>
      </c>
      <c r="H178" s="308">
        <f>'Monthly D5 Gallon Data'!$F86</f>
        <v>0</v>
      </c>
      <c r="I178" s="308">
        <f>'Monthly D5 Gallon Data'!$F98</f>
        <v>0</v>
      </c>
      <c r="J178" s="308">
        <f>'Monthly D5 Gallon Data'!$F110</f>
        <v>0</v>
      </c>
      <c r="K178" s="308">
        <f>'Monthly D5 Gallon Data'!$F122</f>
        <v>0</v>
      </c>
      <c r="L178" s="308">
        <f>'Monthly D5 Gallon Data'!$F134</f>
        <v>0</v>
      </c>
      <c r="M178" s="308">
        <f>'Monthly D5 Gallon Data'!$F146</f>
        <v>0</v>
      </c>
      <c r="N178" s="308">
        <f>'Monthly D5 Gallon Data'!$F158</f>
        <v>0</v>
      </c>
      <c r="O178" s="308">
        <f>'Monthly D5 Gallon Data'!$F170</f>
        <v>0</v>
      </c>
      <c r="P178" s="308">
        <f>'Monthly D5 Gallon Data'!$F182</f>
        <v>0</v>
      </c>
      <c r="Q178" s="307">
        <v>0</v>
      </c>
      <c r="R178" s="307">
        <v>0</v>
      </c>
      <c r="S178" s="307">
        <v>0</v>
      </c>
      <c r="T178" s="307">
        <v>0</v>
      </c>
      <c r="U178" s="307">
        <v>0</v>
      </c>
      <c r="V178" s="307">
        <v>0</v>
      </c>
      <c r="W178" s="307">
        <v>0</v>
      </c>
      <c r="X178" s="307">
        <v>0</v>
      </c>
      <c r="Y178" s="307">
        <v>0</v>
      </c>
      <c r="Z178" s="307">
        <v>0</v>
      </c>
      <c r="AA178" s="307">
        <v>0</v>
      </c>
      <c r="AB178" s="307">
        <v>0</v>
      </c>
      <c r="AC178" s="307">
        <v>0</v>
      </c>
      <c r="AD178" s="307">
        <v>0</v>
      </c>
      <c r="AE178" s="307">
        <v>0</v>
      </c>
      <c r="AF178" s="307">
        <v>0</v>
      </c>
      <c r="AG178" s="307">
        <v>0</v>
      </c>
      <c r="AH178" s="307">
        <v>0</v>
      </c>
      <c r="AI178" s="307">
        <v>0</v>
      </c>
      <c r="AJ178" s="307">
        <v>0</v>
      </c>
      <c r="AK178" s="307">
        <v>0</v>
      </c>
      <c r="AL178" s="307">
        <v>0</v>
      </c>
      <c r="AM178" s="307">
        <v>0</v>
      </c>
      <c r="AN178" s="307">
        <v>0</v>
      </c>
      <c r="AO178" s="307">
        <v>0</v>
      </c>
      <c r="AP178" s="307">
        <v>0</v>
      </c>
      <c r="AR178" s="308">
        <v>0</v>
      </c>
      <c r="AS178" s="308">
        <f t="shared" si="226"/>
        <v>0</v>
      </c>
      <c r="AT178" s="308">
        <v>0</v>
      </c>
      <c r="AU178" s="308">
        <f t="shared" si="227"/>
        <v>0</v>
      </c>
      <c r="AV178" s="308">
        <v>0</v>
      </c>
      <c r="AW178" s="308">
        <f t="shared" si="228"/>
        <v>0</v>
      </c>
      <c r="AX178" s="309">
        <v>0</v>
      </c>
      <c r="AY178" s="308">
        <f t="shared" si="229"/>
        <v>0</v>
      </c>
      <c r="AZ178" s="309">
        <v>0</v>
      </c>
      <c r="BA178" s="308">
        <f t="shared" si="230"/>
        <v>0</v>
      </c>
      <c r="BB178" s="331">
        <v>0</v>
      </c>
      <c r="BC178" s="308">
        <f t="shared" si="231"/>
        <v>0</v>
      </c>
    </row>
    <row r="179" spans="1:55">
      <c r="A179" s="301" t="s">
        <v>54</v>
      </c>
      <c r="B179" s="308">
        <f>'Monthly D5 Gallon Data'!$F15</f>
        <v>0</v>
      </c>
      <c r="C179" s="308">
        <f>'Monthly D5 Gallon Data'!$F27</f>
        <v>0</v>
      </c>
      <c r="D179" s="308">
        <f>'Monthly D5 Gallon Data'!$F39</f>
        <v>0</v>
      </c>
      <c r="E179" s="308">
        <f>'Monthly D5 Gallon Data'!$F51</f>
        <v>0</v>
      </c>
      <c r="F179" s="308">
        <f>'Monthly D5 Gallon Data'!$F63</f>
        <v>0</v>
      </c>
      <c r="G179" s="308">
        <f>'Monthly D5 Gallon Data'!$F75</f>
        <v>0</v>
      </c>
      <c r="H179" s="308">
        <f>'Monthly D5 Gallon Data'!$F87</f>
        <v>0</v>
      </c>
      <c r="I179" s="308">
        <f>'Monthly D5 Gallon Data'!$F99</f>
        <v>0</v>
      </c>
      <c r="J179" s="308">
        <f>'Monthly D5 Gallon Data'!$F111</f>
        <v>0</v>
      </c>
      <c r="K179" s="308">
        <f>'Monthly D5 Gallon Data'!$F123</f>
        <v>0</v>
      </c>
      <c r="L179" s="308">
        <f>'Monthly D5 Gallon Data'!$F135</f>
        <v>0</v>
      </c>
      <c r="M179" s="308">
        <f>'Monthly D5 Gallon Data'!$F147</f>
        <v>0</v>
      </c>
      <c r="N179" s="308">
        <f>'Monthly D5 Gallon Data'!$F159</f>
        <v>0</v>
      </c>
      <c r="O179" s="308">
        <f>'Monthly D5 Gallon Data'!$F171</f>
        <v>0</v>
      </c>
      <c r="P179" s="308">
        <f>'Monthly D5 Gallon Data'!$F183</f>
        <v>0</v>
      </c>
      <c r="Q179" s="307">
        <v>0</v>
      </c>
      <c r="R179" s="307">
        <v>0</v>
      </c>
      <c r="S179" s="307">
        <v>0</v>
      </c>
      <c r="T179" s="307">
        <v>0</v>
      </c>
      <c r="U179" s="307">
        <v>0</v>
      </c>
      <c r="V179" s="307">
        <v>0</v>
      </c>
      <c r="W179" s="307">
        <v>0</v>
      </c>
      <c r="X179" s="307">
        <v>0</v>
      </c>
      <c r="Y179" s="307">
        <v>0</v>
      </c>
      <c r="Z179" s="307">
        <v>0</v>
      </c>
      <c r="AA179" s="307">
        <v>0</v>
      </c>
      <c r="AB179" s="307">
        <v>0</v>
      </c>
      <c r="AC179" s="307">
        <v>0</v>
      </c>
      <c r="AD179" s="307">
        <v>0</v>
      </c>
      <c r="AE179" s="307">
        <v>0</v>
      </c>
      <c r="AF179" s="307">
        <v>0</v>
      </c>
      <c r="AG179" s="307">
        <v>0</v>
      </c>
      <c r="AH179" s="307">
        <v>0</v>
      </c>
      <c r="AI179" s="307">
        <v>0</v>
      </c>
      <c r="AJ179" s="307">
        <v>0</v>
      </c>
      <c r="AK179" s="307">
        <v>0</v>
      </c>
      <c r="AL179" s="307">
        <v>0</v>
      </c>
      <c r="AM179" s="307">
        <v>0</v>
      </c>
      <c r="AN179" s="307">
        <v>0</v>
      </c>
      <c r="AO179" s="307">
        <v>0</v>
      </c>
      <c r="AP179" s="307">
        <v>0</v>
      </c>
      <c r="AR179" s="308">
        <v>0</v>
      </c>
      <c r="AS179" s="308">
        <f t="shared" si="226"/>
        <v>0</v>
      </c>
      <c r="AT179" s="308">
        <v>0</v>
      </c>
      <c r="AU179" s="308">
        <f t="shared" si="227"/>
        <v>0</v>
      </c>
      <c r="AV179" s="308">
        <v>0</v>
      </c>
      <c r="AW179" s="308">
        <f t="shared" si="228"/>
        <v>0</v>
      </c>
      <c r="AX179" s="309">
        <v>0</v>
      </c>
      <c r="AY179" s="308">
        <f t="shared" si="229"/>
        <v>0</v>
      </c>
      <c r="AZ179" s="309">
        <v>0</v>
      </c>
      <c r="BA179" s="308">
        <f t="shared" si="230"/>
        <v>0</v>
      </c>
      <c r="BB179" s="331">
        <v>0</v>
      </c>
      <c r="BC179" s="308">
        <f t="shared" si="231"/>
        <v>0</v>
      </c>
    </row>
    <row r="180" spans="1:55" ht="12" thickBot="1">
      <c r="A180" s="301" t="s">
        <v>29</v>
      </c>
      <c r="B180" s="308">
        <f t="shared" ref="B180:AD180" si="232">SUM(B168:B179)</f>
        <v>0</v>
      </c>
      <c r="C180" s="308">
        <f t="shared" si="232"/>
        <v>0</v>
      </c>
      <c r="D180" s="308">
        <f t="shared" si="232"/>
        <v>0</v>
      </c>
      <c r="E180" s="308">
        <f t="shared" si="232"/>
        <v>0</v>
      </c>
      <c r="F180" s="308">
        <f t="shared" si="232"/>
        <v>0</v>
      </c>
      <c r="G180" s="308">
        <f t="shared" si="232"/>
        <v>0</v>
      </c>
      <c r="H180" s="308">
        <f t="shared" si="232"/>
        <v>0</v>
      </c>
      <c r="I180" s="308">
        <f t="shared" si="232"/>
        <v>0</v>
      </c>
      <c r="J180" s="308">
        <f t="shared" si="232"/>
        <v>0</v>
      </c>
      <c r="K180" s="308">
        <f t="shared" si="232"/>
        <v>0</v>
      </c>
      <c r="L180" s="308">
        <f t="shared" si="232"/>
        <v>0</v>
      </c>
      <c r="M180" s="308">
        <f t="shared" si="232"/>
        <v>0</v>
      </c>
      <c r="N180" s="308">
        <f t="shared" si="232"/>
        <v>0</v>
      </c>
      <c r="O180" s="308">
        <f t="shared" si="232"/>
        <v>0</v>
      </c>
      <c r="P180" s="308">
        <f t="shared" si="232"/>
        <v>0</v>
      </c>
      <c r="Q180" s="307">
        <f t="shared" si="232"/>
        <v>0</v>
      </c>
      <c r="R180" s="307">
        <f t="shared" si="232"/>
        <v>0</v>
      </c>
      <c r="S180" s="307">
        <f t="shared" si="232"/>
        <v>0</v>
      </c>
      <c r="T180" s="307">
        <f t="shared" si="232"/>
        <v>0</v>
      </c>
      <c r="U180" s="307">
        <f t="shared" si="232"/>
        <v>0</v>
      </c>
      <c r="V180" s="307">
        <f t="shared" si="232"/>
        <v>0</v>
      </c>
      <c r="W180" s="307">
        <f t="shared" si="232"/>
        <v>0</v>
      </c>
      <c r="X180" s="307">
        <f t="shared" si="232"/>
        <v>0</v>
      </c>
      <c r="Y180" s="307">
        <f t="shared" si="232"/>
        <v>0</v>
      </c>
      <c r="Z180" s="307">
        <f t="shared" si="232"/>
        <v>0</v>
      </c>
      <c r="AA180" s="307">
        <f t="shared" si="232"/>
        <v>0</v>
      </c>
      <c r="AB180" s="307">
        <f t="shared" si="232"/>
        <v>0</v>
      </c>
      <c r="AC180" s="307">
        <f t="shared" si="232"/>
        <v>0</v>
      </c>
      <c r="AD180" s="307">
        <f t="shared" si="232"/>
        <v>0</v>
      </c>
      <c r="AE180" s="307">
        <f>SUM(AE168:AE179)</f>
        <v>0</v>
      </c>
      <c r="AF180" s="307">
        <f>SUM(AF168:AF179)</f>
        <v>0</v>
      </c>
      <c r="AG180" s="307">
        <f>SUM(AG168:AG179)</f>
        <v>0</v>
      </c>
      <c r="AH180" s="307">
        <f t="shared" ref="AH180:AP180" si="233">SUM(AH168:AH179)</f>
        <v>0</v>
      </c>
      <c r="AI180" s="307">
        <f t="shared" si="233"/>
        <v>0</v>
      </c>
      <c r="AJ180" s="307">
        <f t="shared" si="233"/>
        <v>0</v>
      </c>
      <c r="AK180" s="307">
        <f t="shared" si="233"/>
        <v>0</v>
      </c>
      <c r="AL180" s="307">
        <f t="shared" si="233"/>
        <v>0</v>
      </c>
      <c r="AM180" s="307">
        <f t="shared" si="233"/>
        <v>0</v>
      </c>
      <c r="AN180" s="307">
        <f t="shared" si="233"/>
        <v>0</v>
      </c>
      <c r="AO180" s="307">
        <f t="shared" si="233"/>
        <v>0</v>
      </c>
      <c r="AP180" s="307">
        <f t="shared" si="233"/>
        <v>0</v>
      </c>
      <c r="AR180" s="308">
        <v>0</v>
      </c>
      <c r="AS180" s="308">
        <f t="shared" si="226"/>
        <v>0</v>
      </c>
      <c r="AT180" s="308">
        <v>0</v>
      </c>
      <c r="AU180" s="308">
        <f t="shared" si="227"/>
        <v>0</v>
      </c>
      <c r="AV180" s="308">
        <v>0</v>
      </c>
      <c r="AW180" s="308">
        <f t="shared" si="228"/>
        <v>0</v>
      </c>
      <c r="AX180" s="309">
        <v>0</v>
      </c>
      <c r="AY180" s="308">
        <f t="shared" si="229"/>
        <v>0</v>
      </c>
      <c r="AZ180" s="309">
        <v>0</v>
      </c>
      <c r="BA180" s="308">
        <f t="shared" si="230"/>
        <v>0</v>
      </c>
      <c r="BB180" s="331">
        <v>0</v>
      </c>
      <c r="BC180" s="308">
        <f t="shared" si="231"/>
        <v>0</v>
      </c>
    </row>
    <row r="181" spans="1:55">
      <c r="A181" s="334"/>
      <c r="B181" s="334"/>
      <c r="C181" s="334"/>
      <c r="D181" s="334"/>
      <c r="E181" s="334"/>
      <c r="F181" s="334"/>
      <c r="G181" s="334"/>
      <c r="H181" s="334"/>
      <c r="I181" s="334"/>
      <c r="J181" s="334"/>
      <c r="K181" s="334"/>
      <c r="L181" s="334"/>
      <c r="M181" s="334"/>
      <c r="N181" s="334"/>
      <c r="O181" s="334"/>
      <c r="P181" s="334"/>
      <c r="Q181" s="334"/>
      <c r="R181" s="334"/>
      <c r="S181" s="334"/>
      <c r="T181" s="334"/>
      <c r="U181" s="334"/>
      <c r="V181" s="334"/>
      <c r="W181" s="334"/>
      <c r="X181" s="334"/>
      <c r="Y181" s="334"/>
      <c r="Z181" s="334"/>
      <c r="AA181" s="334"/>
      <c r="AB181" s="334"/>
      <c r="AC181" s="334"/>
      <c r="AD181" s="334"/>
      <c r="AE181" s="334"/>
      <c r="AF181" s="334"/>
      <c r="AG181" s="334"/>
      <c r="AH181" s="334"/>
      <c r="AI181" s="334"/>
      <c r="AJ181" s="334"/>
      <c r="AK181" s="334"/>
      <c r="AL181" s="334"/>
      <c r="AM181" s="334"/>
      <c r="AN181" s="334"/>
      <c r="AO181" s="334"/>
      <c r="AP181" s="334"/>
      <c r="AT181" s="309"/>
    </row>
    <row r="182" spans="1:55" ht="12" thickBot="1">
      <c r="A182" s="300" t="s">
        <v>443</v>
      </c>
      <c r="AT182" s="309"/>
    </row>
    <row r="183" spans="1:55" ht="12" thickBot="1">
      <c r="A183" s="328"/>
      <c r="B183" s="329">
        <f t="shared" ref="B183:AP183" si="234">B2</f>
        <v>2010</v>
      </c>
      <c r="C183" s="329">
        <f t="shared" si="234"/>
        <v>2011</v>
      </c>
      <c r="D183" s="329">
        <f t="shared" si="234"/>
        <v>2012</v>
      </c>
      <c r="E183" s="329">
        <f t="shared" si="234"/>
        <v>2013</v>
      </c>
      <c r="F183" s="329">
        <f t="shared" si="234"/>
        <v>2014</v>
      </c>
      <c r="G183" s="329">
        <f t="shared" si="234"/>
        <v>2015</v>
      </c>
      <c r="H183" s="329">
        <f t="shared" si="234"/>
        <v>2016</v>
      </c>
      <c r="I183" s="329">
        <f t="shared" si="234"/>
        <v>2017</v>
      </c>
      <c r="J183" s="329">
        <f t="shared" si="234"/>
        <v>2018</v>
      </c>
      <c r="K183" s="329">
        <f t="shared" si="234"/>
        <v>2019</v>
      </c>
      <c r="L183" s="329">
        <f t="shared" si="234"/>
        <v>2020</v>
      </c>
      <c r="M183" s="329">
        <f t="shared" si="234"/>
        <v>2021</v>
      </c>
      <c r="N183" s="329">
        <f t="shared" si="234"/>
        <v>2022</v>
      </c>
      <c r="O183" s="329">
        <f t="shared" si="234"/>
        <v>2023</v>
      </c>
      <c r="P183" s="329">
        <f t="shared" si="234"/>
        <v>2024</v>
      </c>
      <c r="Q183" s="329">
        <f t="shared" si="234"/>
        <v>2025</v>
      </c>
      <c r="R183" s="329">
        <f t="shared" si="234"/>
        <v>2026</v>
      </c>
      <c r="S183" s="329">
        <f t="shared" si="234"/>
        <v>2027</v>
      </c>
      <c r="T183" s="329">
        <f t="shared" si="234"/>
        <v>2028</v>
      </c>
      <c r="U183" s="329">
        <f t="shared" si="234"/>
        <v>2029</v>
      </c>
      <c r="V183" s="329">
        <f t="shared" si="234"/>
        <v>2030</v>
      </c>
      <c r="W183" s="329">
        <f t="shared" si="234"/>
        <v>2031</v>
      </c>
      <c r="X183" s="329">
        <f t="shared" si="234"/>
        <v>2032</v>
      </c>
      <c r="Y183" s="329">
        <f t="shared" si="234"/>
        <v>2033</v>
      </c>
      <c r="Z183" s="329">
        <f t="shared" si="234"/>
        <v>2034</v>
      </c>
      <c r="AA183" s="329">
        <f t="shared" si="234"/>
        <v>2035</v>
      </c>
      <c r="AB183" s="329">
        <f t="shared" si="234"/>
        <v>2036</v>
      </c>
      <c r="AC183" s="329">
        <f t="shared" si="234"/>
        <v>2037</v>
      </c>
      <c r="AD183" s="329">
        <f t="shared" si="234"/>
        <v>2038</v>
      </c>
      <c r="AE183" s="329">
        <f t="shared" si="234"/>
        <v>2039</v>
      </c>
      <c r="AF183" s="329">
        <f t="shared" si="234"/>
        <v>2040</v>
      </c>
      <c r="AG183" s="329">
        <f t="shared" si="234"/>
        <v>2041</v>
      </c>
      <c r="AH183" s="329">
        <f t="shared" si="234"/>
        <v>2042</v>
      </c>
      <c r="AI183" s="329">
        <f t="shared" si="234"/>
        <v>2043</v>
      </c>
      <c r="AJ183" s="329">
        <f t="shared" si="234"/>
        <v>2044</v>
      </c>
      <c r="AK183" s="329">
        <f t="shared" si="234"/>
        <v>2045</v>
      </c>
      <c r="AL183" s="329">
        <f t="shared" si="234"/>
        <v>2046</v>
      </c>
      <c r="AM183" s="329">
        <f t="shared" si="234"/>
        <v>2047</v>
      </c>
      <c r="AN183" s="329">
        <f t="shared" si="234"/>
        <v>2048</v>
      </c>
      <c r="AO183" s="329">
        <f t="shared" si="234"/>
        <v>2049</v>
      </c>
      <c r="AP183" s="329">
        <f t="shared" si="234"/>
        <v>2050</v>
      </c>
      <c r="AT183" s="309"/>
    </row>
    <row r="184" spans="1:55">
      <c r="A184" s="301" t="s">
        <v>43</v>
      </c>
      <c r="B184" s="308">
        <f t="shared" ref="B184:AP190" si="235">B200+B216</f>
        <v>0</v>
      </c>
      <c r="C184" s="308">
        <f t="shared" si="235"/>
        <v>490163</v>
      </c>
      <c r="D184" s="308">
        <f t="shared" si="235"/>
        <v>59505</v>
      </c>
      <c r="E184" s="308">
        <f t="shared" si="235"/>
        <v>0</v>
      </c>
      <c r="F184" s="308">
        <f t="shared" si="235"/>
        <v>0</v>
      </c>
      <c r="G184" s="308">
        <f t="shared" si="235"/>
        <v>37763</v>
      </c>
      <c r="H184" s="308">
        <f t="shared" si="235"/>
        <v>125765</v>
      </c>
      <c r="I184" s="308">
        <f t="shared" si="235"/>
        <v>152849</v>
      </c>
      <c r="J184" s="308">
        <f t="shared" si="235"/>
        <v>264103</v>
      </c>
      <c r="K184" s="308">
        <f t="shared" si="235"/>
        <v>372581</v>
      </c>
      <c r="L184" s="308">
        <f t="shared" si="235"/>
        <v>259436</v>
      </c>
      <c r="M184" s="308">
        <f t="shared" si="235"/>
        <v>173333</v>
      </c>
      <c r="N184" s="308">
        <f t="shared" si="235"/>
        <v>175856</v>
      </c>
      <c r="O184" s="308">
        <f t="shared" si="235"/>
        <v>143111</v>
      </c>
      <c r="P184" s="308">
        <f t="shared" si="235"/>
        <v>632838</v>
      </c>
      <c r="Q184" s="308">
        <f t="shared" si="235"/>
        <v>211105</v>
      </c>
      <c r="R184" s="307">
        <f t="shared" si="235"/>
        <v>367704.49554526986</v>
      </c>
      <c r="S184" s="307">
        <f t="shared" si="235"/>
        <v>376335.94304494164</v>
      </c>
      <c r="T184" s="307">
        <f t="shared" si="235"/>
        <v>435395.96325121797</v>
      </c>
      <c r="U184" s="307">
        <f t="shared" si="235"/>
        <v>498525.96453678427</v>
      </c>
      <c r="V184" s="307">
        <f t="shared" si="235"/>
        <v>459347.68787312187</v>
      </c>
      <c r="W184" s="307">
        <f t="shared" si="235"/>
        <v>519233.51600456174</v>
      </c>
      <c r="X184" s="307">
        <f t="shared" si="235"/>
        <v>532851.42480035766</v>
      </c>
      <c r="Y184" s="307">
        <f t="shared" si="235"/>
        <v>571799.32414877624</v>
      </c>
      <c r="Z184" s="307">
        <f t="shared" si="235"/>
        <v>596727.06580573809</v>
      </c>
      <c r="AA184" s="307">
        <f t="shared" si="235"/>
        <v>624923.17923270341</v>
      </c>
      <c r="AB184" s="307">
        <f t="shared" si="235"/>
        <v>665976.16191305337</v>
      </c>
      <c r="AC184" s="307">
        <f t="shared" si="235"/>
        <v>702639.97992808279</v>
      </c>
      <c r="AD184" s="307">
        <f t="shared" si="235"/>
        <v>739026.85200279555</v>
      </c>
      <c r="AE184" s="307">
        <f t="shared" si="235"/>
        <v>786923.85646310635</v>
      </c>
      <c r="AF184" s="307">
        <f t="shared" si="235"/>
        <v>834518.25442694908</v>
      </c>
      <c r="AG184" s="307">
        <f t="shared" si="235"/>
        <v>871734.18032742571</v>
      </c>
      <c r="AH184" s="307">
        <f t="shared" si="235"/>
        <v>920148.93033623172</v>
      </c>
      <c r="AI184" s="307">
        <f t="shared" si="235"/>
        <v>968480.38450297574</v>
      </c>
      <c r="AJ184" s="307">
        <f t="shared" si="235"/>
        <v>1004670.4483500143</v>
      </c>
      <c r="AK184" s="307">
        <f t="shared" si="235"/>
        <v>1053057.9979502445</v>
      </c>
      <c r="AL184" s="307">
        <f t="shared" si="235"/>
        <v>1137943.9509997182</v>
      </c>
      <c r="AM184" s="307">
        <f t="shared" si="235"/>
        <v>1222655.8998239466</v>
      </c>
      <c r="AN184" s="307">
        <f t="shared" si="235"/>
        <v>1585780.7467261208</v>
      </c>
      <c r="AO184" s="307">
        <f t="shared" si="235"/>
        <v>1803654.2147855982</v>
      </c>
      <c r="AP184" s="307">
        <f t="shared" si="235"/>
        <v>2045769.8806730804</v>
      </c>
      <c r="AR184" s="308">
        <v>511504.07996341883</v>
      </c>
      <c r="AS184" s="308">
        <f t="shared" ref="AS184:AS196" si="236">L184-AR184</f>
        <v>-252068.07996341883</v>
      </c>
      <c r="AT184" s="308">
        <v>338216.69440108456</v>
      </c>
      <c r="AU184" s="308">
        <f t="shared" ref="AU184:AU196" si="237">M184-AT184</f>
        <v>-164883.69440108456</v>
      </c>
      <c r="AV184" s="308">
        <v>245638.42232476111</v>
      </c>
      <c r="AW184" s="308">
        <f t="shared" ref="AW184:AW196" si="238">N184-AV184</f>
        <v>-69782.422324761108</v>
      </c>
      <c r="AX184" s="308">
        <v>281222.42459943367</v>
      </c>
      <c r="AY184" s="308">
        <f t="shared" ref="AY184:AY196" si="239">O184-AX184</f>
        <v>-138111.42459943367</v>
      </c>
      <c r="AZ184" s="308">
        <v>632838</v>
      </c>
      <c r="BA184" s="308">
        <f t="shared" ref="BA184:BA196" si="240">P184-AZ184</f>
        <v>0</v>
      </c>
      <c r="BB184" s="331">
        <v>211105</v>
      </c>
      <c r="BC184" s="308">
        <f t="shared" ref="BC184:BC196" si="241">Q184-BB184</f>
        <v>0</v>
      </c>
    </row>
    <row r="185" spans="1:55">
      <c r="A185" s="301" t="s">
        <v>44</v>
      </c>
      <c r="B185" s="308">
        <f t="shared" si="235"/>
        <v>0</v>
      </c>
      <c r="C185" s="308">
        <f t="shared" si="235"/>
        <v>165209</v>
      </c>
      <c r="D185" s="308">
        <f t="shared" si="235"/>
        <v>25663</v>
      </c>
      <c r="E185" s="308">
        <f t="shared" si="235"/>
        <v>0</v>
      </c>
      <c r="F185" s="308">
        <f t="shared" si="235"/>
        <v>0</v>
      </c>
      <c r="G185" s="308">
        <f t="shared" si="235"/>
        <v>55101</v>
      </c>
      <c r="H185" s="308">
        <f t="shared" si="235"/>
        <v>138896</v>
      </c>
      <c r="I185" s="308">
        <f t="shared" si="235"/>
        <v>145129</v>
      </c>
      <c r="J185" s="308">
        <f t="shared" si="235"/>
        <v>243659</v>
      </c>
      <c r="K185" s="308">
        <f t="shared" si="235"/>
        <v>298465</v>
      </c>
      <c r="L185" s="308">
        <f t="shared" si="235"/>
        <v>202527</v>
      </c>
      <c r="M185" s="308">
        <f t="shared" si="235"/>
        <v>190850</v>
      </c>
      <c r="N185" s="308">
        <f t="shared" si="235"/>
        <v>118334</v>
      </c>
      <c r="O185" s="308">
        <f t="shared" si="235"/>
        <v>225187</v>
      </c>
      <c r="P185" s="308">
        <f t="shared" si="235"/>
        <v>0</v>
      </c>
      <c r="Q185" s="332">
        <f t="shared" si="235"/>
        <v>70616</v>
      </c>
      <c r="R185" s="307">
        <f t="shared" si="235"/>
        <v>166479.03086971919</v>
      </c>
      <c r="S185" s="307">
        <f t="shared" si="235"/>
        <v>142757.48868203771</v>
      </c>
      <c r="T185" s="307">
        <f t="shared" si="235"/>
        <v>152176.42581927992</v>
      </c>
      <c r="U185" s="307">
        <f t="shared" si="235"/>
        <v>131082.80281552958</v>
      </c>
      <c r="V185" s="307">
        <f t="shared" si="235"/>
        <v>161242.97828244776</v>
      </c>
      <c r="W185" s="307">
        <f t="shared" si="235"/>
        <v>183111.66801224637</v>
      </c>
      <c r="X185" s="307">
        <f t="shared" si="235"/>
        <v>179345.71427993555</v>
      </c>
      <c r="Y185" s="307">
        <f t="shared" si="235"/>
        <v>188692.04324797832</v>
      </c>
      <c r="Z185" s="307">
        <f t="shared" si="235"/>
        <v>194954.17511919219</v>
      </c>
      <c r="AA185" s="307">
        <f t="shared" si="235"/>
        <v>211578.57446176506</v>
      </c>
      <c r="AB185" s="307">
        <f t="shared" si="235"/>
        <v>224138.38141132539</v>
      </c>
      <c r="AC185" s="307">
        <f t="shared" si="235"/>
        <v>234514.63779016759</v>
      </c>
      <c r="AD185" s="307">
        <f t="shared" si="235"/>
        <v>246308.60740941053</v>
      </c>
      <c r="AE185" s="307">
        <f t="shared" si="235"/>
        <v>262716.85255443986</v>
      </c>
      <c r="AF185" s="307">
        <f t="shared" si="235"/>
        <v>279617.65189096384</v>
      </c>
      <c r="AG185" s="307">
        <f t="shared" si="235"/>
        <v>291575.71894822764</v>
      </c>
      <c r="AH185" s="307">
        <f t="shared" si="235"/>
        <v>307446.3649633351</v>
      </c>
      <c r="AI185" s="307">
        <f t="shared" si="235"/>
        <v>323655.45673851355</v>
      </c>
      <c r="AJ185" s="307">
        <f t="shared" si="235"/>
        <v>335902.8639307316</v>
      </c>
      <c r="AK185" s="307">
        <f t="shared" si="235"/>
        <v>352169.0234553793</v>
      </c>
      <c r="AL185" s="307">
        <f t="shared" si="235"/>
        <v>380430.89506382315</v>
      </c>
      <c r="AM185" s="307">
        <f t="shared" si="235"/>
        <v>408716.83337935718</v>
      </c>
      <c r="AN185" s="307">
        <f t="shared" si="235"/>
        <v>530146.35844130884</v>
      </c>
      <c r="AO185" s="307">
        <f t="shared" si="235"/>
        <v>603019.70396435366</v>
      </c>
      <c r="AP185" s="307">
        <f t="shared" si="235"/>
        <v>683963.67191710579</v>
      </c>
      <c r="AR185" s="308">
        <v>436477.65151619702</v>
      </c>
      <c r="AS185" s="308">
        <f t="shared" si="236"/>
        <v>-233950.65151619702</v>
      </c>
      <c r="AT185" s="308">
        <v>298177.77391624829</v>
      </c>
      <c r="AU185" s="308">
        <f t="shared" si="237"/>
        <v>-107327.77391624829</v>
      </c>
      <c r="AV185" s="308">
        <v>231249.3648935534</v>
      </c>
      <c r="AW185" s="308">
        <f t="shared" si="238"/>
        <v>-112915.3648935534</v>
      </c>
      <c r="AX185" s="308">
        <v>237982.72864625906</v>
      </c>
      <c r="AY185" s="308">
        <f t="shared" si="239"/>
        <v>-12795.728646259056</v>
      </c>
      <c r="AZ185" s="308">
        <v>0</v>
      </c>
      <c r="BA185" s="308">
        <f t="shared" si="240"/>
        <v>0</v>
      </c>
      <c r="BB185" s="331">
        <v>70616</v>
      </c>
      <c r="BC185" s="308">
        <f t="shared" si="241"/>
        <v>0</v>
      </c>
    </row>
    <row r="186" spans="1:55">
      <c r="A186" s="301" t="s">
        <v>45</v>
      </c>
      <c r="B186" s="308">
        <f t="shared" si="235"/>
        <v>0</v>
      </c>
      <c r="C186" s="308">
        <f t="shared" si="235"/>
        <v>651051</v>
      </c>
      <c r="D186" s="308">
        <f t="shared" si="235"/>
        <v>6454</v>
      </c>
      <c r="E186" s="308">
        <f t="shared" si="235"/>
        <v>0</v>
      </c>
      <c r="F186" s="308">
        <f t="shared" si="235"/>
        <v>0</v>
      </c>
      <c r="G186" s="308">
        <f t="shared" si="235"/>
        <v>42124</v>
      </c>
      <c r="H186" s="308">
        <f t="shared" si="235"/>
        <v>90201</v>
      </c>
      <c r="I186" s="308">
        <f t="shared" si="235"/>
        <v>158088</v>
      </c>
      <c r="J186" s="308">
        <f t="shared" si="235"/>
        <v>248001</v>
      </c>
      <c r="K186" s="308">
        <f t="shared" si="235"/>
        <v>300692</v>
      </c>
      <c r="L186" s="308">
        <f t="shared" si="235"/>
        <v>258720</v>
      </c>
      <c r="M186" s="308">
        <f t="shared" si="235"/>
        <v>182168</v>
      </c>
      <c r="N186" s="308">
        <f t="shared" si="235"/>
        <v>287837</v>
      </c>
      <c r="O186" s="308">
        <f t="shared" si="235"/>
        <v>310805</v>
      </c>
      <c r="P186" s="308">
        <f t="shared" si="235"/>
        <v>165552</v>
      </c>
      <c r="Q186" s="332">
        <f t="shared" si="235"/>
        <v>211997</v>
      </c>
      <c r="R186" s="307">
        <f t="shared" si="235"/>
        <v>318754.75624966662</v>
      </c>
      <c r="S186" s="307">
        <f t="shared" si="235"/>
        <v>318391.49164509517</v>
      </c>
      <c r="T186" s="307">
        <f t="shared" si="235"/>
        <v>333383.00000077847</v>
      </c>
      <c r="U186" s="307">
        <f t="shared" si="235"/>
        <v>332143.34800065856</v>
      </c>
      <c r="V186" s="307">
        <f t="shared" si="235"/>
        <v>368308.71632734319</v>
      </c>
      <c r="W186" s="307">
        <f t="shared" si="235"/>
        <v>405944.61257408082</v>
      </c>
      <c r="X186" s="307">
        <f t="shared" si="235"/>
        <v>409309.69003232848</v>
      </c>
      <c r="Y186" s="307">
        <f t="shared" si="235"/>
        <v>432374.13057688501</v>
      </c>
      <c r="Z186" s="307">
        <f t="shared" si="235"/>
        <v>450263.88857572415</v>
      </c>
      <c r="AA186" s="307">
        <f t="shared" si="235"/>
        <v>481804.7263699139</v>
      </c>
      <c r="AB186" s="307">
        <f t="shared" si="235"/>
        <v>510141.86232804792</v>
      </c>
      <c r="AC186" s="307">
        <f t="shared" si="235"/>
        <v>536299.06589962821</v>
      </c>
      <c r="AD186" s="307">
        <f t="shared" si="235"/>
        <v>563463.23409487423</v>
      </c>
      <c r="AE186" s="307">
        <f t="shared" si="235"/>
        <v>600829.92917248083</v>
      </c>
      <c r="AF186" s="307">
        <f t="shared" si="235"/>
        <v>638437.03928756434</v>
      </c>
      <c r="AG186" s="307">
        <f t="shared" si="235"/>
        <v>666040.00459852885</v>
      </c>
      <c r="AH186" s="307">
        <f t="shared" si="235"/>
        <v>702724.89154471934</v>
      </c>
      <c r="AI186" s="307">
        <f t="shared" si="235"/>
        <v>739709.07841356669</v>
      </c>
      <c r="AJ186" s="307">
        <f t="shared" si="235"/>
        <v>767578.27422762266</v>
      </c>
      <c r="AK186" s="307">
        <f t="shared" si="235"/>
        <v>804635.70016385312</v>
      </c>
      <c r="AL186" s="307">
        <f t="shared" si="235"/>
        <v>869310.84723904368</v>
      </c>
      <c r="AM186" s="307">
        <f t="shared" si="235"/>
        <v>934002.00702492695</v>
      </c>
      <c r="AN186" s="307">
        <f t="shared" si="235"/>
        <v>1211452.5816315522</v>
      </c>
      <c r="AO186" s="307">
        <f t="shared" si="235"/>
        <v>1377943.9014773443</v>
      </c>
      <c r="AP186" s="307">
        <f t="shared" si="235"/>
        <v>1562902.6678713628</v>
      </c>
      <c r="AR186" s="308">
        <v>328108.41321670776</v>
      </c>
      <c r="AS186" s="308">
        <f t="shared" si="236"/>
        <v>-69388.413216707762</v>
      </c>
      <c r="AT186" s="308">
        <v>204406.23181402171</v>
      </c>
      <c r="AU186" s="308">
        <f t="shared" si="237"/>
        <v>-22238.23181402171</v>
      </c>
      <c r="AV186" s="308">
        <v>245595.3724753334</v>
      </c>
      <c r="AW186" s="308">
        <f t="shared" si="238"/>
        <v>42241.627524666605</v>
      </c>
      <c r="AX186" s="308">
        <v>274049.7802775146</v>
      </c>
      <c r="AY186" s="308">
        <f t="shared" si="239"/>
        <v>36755.219722485403</v>
      </c>
      <c r="AZ186" s="308">
        <v>165552</v>
      </c>
      <c r="BA186" s="308">
        <f t="shared" si="240"/>
        <v>0</v>
      </c>
      <c r="BB186" s="331">
        <v>230891.67720214854</v>
      </c>
      <c r="BC186" s="308">
        <f t="shared" si="241"/>
        <v>-18894.677202148538</v>
      </c>
    </row>
    <row r="187" spans="1:55">
      <c r="A187" s="301" t="s">
        <v>46</v>
      </c>
      <c r="B187" s="308">
        <f t="shared" si="235"/>
        <v>0</v>
      </c>
      <c r="C187" s="308">
        <f t="shared" si="235"/>
        <v>308060</v>
      </c>
      <c r="D187" s="308">
        <f t="shared" si="235"/>
        <v>0</v>
      </c>
      <c r="E187" s="308">
        <f t="shared" si="235"/>
        <v>0</v>
      </c>
      <c r="F187" s="308">
        <f t="shared" si="235"/>
        <v>0</v>
      </c>
      <c r="G187" s="308">
        <f t="shared" si="235"/>
        <v>32261</v>
      </c>
      <c r="H187" s="308">
        <f t="shared" si="235"/>
        <v>58963</v>
      </c>
      <c r="I187" s="308">
        <f t="shared" si="235"/>
        <v>100562</v>
      </c>
      <c r="J187" s="308">
        <f t="shared" si="235"/>
        <v>181496</v>
      </c>
      <c r="K187" s="308">
        <f t="shared" si="235"/>
        <v>155995</v>
      </c>
      <c r="L187" s="308">
        <f t="shared" si="235"/>
        <v>199425</v>
      </c>
      <c r="M187" s="308">
        <f t="shared" si="235"/>
        <v>122065</v>
      </c>
      <c r="N187" s="308">
        <f t="shared" si="235"/>
        <v>246187</v>
      </c>
      <c r="O187" s="308">
        <f t="shared" si="235"/>
        <v>325750</v>
      </c>
      <c r="P187" s="308">
        <f t="shared" si="235"/>
        <v>141198</v>
      </c>
      <c r="Q187" s="307">
        <f t="shared" si="235"/>
        <v>248417.8223682832</v>
      </c>
      <c r="R187" s="307">
        <f t="shared" si="235"/>
        <v>298187.63857905596</v>
      </c>
      <c r="S187" s="307">
        <f t="shared" si="235"/>
        <v>309735.47927467973</v>
      </c>
      <c r="T187" s="307">
        <f t="shared" si="235"/>
        <v>332826.82327653066</v>
      </c>
      <c r="U187" s="307">
        <f t="shared" si="235"/>
        <v>327779.29578172404</v>
      </c>
      <c r="V187" s="307">
        <f t="shared" si="235"/>
        <v>368862.50681587198</v>
      </c>
      <c r="W187" s="307">
        <f t="shared" si="235"/>
        <v>397784.43491693825</v>
      </c>
      <c r="X187" s="307">
        <f t="shared" si="235"/>
        <v>404378.28445975005</v>
      </c>
      <c r="Y187" s="307">
        <f t="shared" si="235"/>
        <v>428291.90660093672</v>
      </c>
      <c r="Z187" s="307">
        <f t="shared" si="235"/>
        <v>445413.79717068787</v>
      </c>
      <c r="AA187" s="307">
        <f t="shared" si="235"/>
        <v>476798.24375846458</v>
      </c>
      <c r="AB187" s="307">
        <f t="shared" si="235"/>
        <v>503815.60289307561</v>
      </c>
      <c r="AC187" s="307">
        <f t="shared" si="235"/>
        <v>530382.48754335637</v>
      </c>
      <c r="AD187" s="307">
        <f t="shared" si="235"/>
        <v>557344.15446727129</v>
      </c>
      <c r="AE187" s="307">
        <f t="shared" si="235"/>
        <v>594160.10392412951</v>
      </c>
      <c r="AF187" s="307">
        <f t="shared" si="235"/>
        <v>631314.57349984383</v>
      </c>
      <c r="AG187" s="307">
        <f t="shared" si="235"/>
        <v>658523.43638828804</v>
      </c>
      <c r="AH187" s="307">
        <f t="shared" si="235"/>
        <v>694927.40443858341</v>
      </c>
      <c r="AI187" s="307">
        <f t="shared" si="235"/>
        <v>731493.23561938561</v>
      </c>
      <c r="AJ187" s="307">
        <f t="shared" si="235"/>
        <v>759020.97671610257</v>
      </c>
      <c r="AK187" s="307">
        <f t="shared" si="235"/>
        <v>795658.75136739924</v>
      </c>
      <c r="AL187" s="307">
        <f t="shared" si="235"/>
        <v>859612.28046682756</v>
      </c>
      <c r="AM187" s="307">
        <f t="shared" si="235"/>
        <v>923602.33930818597</v>
      </c>
      <c r="AN187" s="307">
        <f t="shared" si="235"/>
        <v>1197955.6594058541</v>
      </c>
      <c r="AO187" s="307">
        <f t="shared" si="235"/>
        <v>1362584.4638757885</v>
      </c>
      <c r="AP187" s="307">
        <f t="shared" si="235"/>
        <v>1545481.9725225361</v>
      </c>
      <c r="AR187" s="308">
        <v>131073.82794919849</v>
      </c>
      <c r="AS187" s="308">
        <f t="shared" si="236"/>
        <v>68351.172050801513</v>
      </c>
      <c r="AT187" s="308">
        <v>136727.08716454936</v>
      </c>
      <c r="AU187" s="308">
        <f t="shared" si="237"/>
        <v>-14662.087164549361</v>
      </c>
      <c r="AV187" s="308">
        <v>162538.36776634393</v>
      </c>
      <c r="AW187" s="308">
        <f t="shared" si="238"/>
        <v>83648.63223365607</v>
      </c>
      <c r="AX187" s="308">
        <v>194189.44426510143</v>
      </c>
      <c r="AY187" s="308">
        <f t="shared" si="239"/>
        <v>131560.55573489857</v>
      </c>
      <c r="AZ187" s="308">
        <v>141198</v>
      </c>
      <c r="BA187" s="308">
        <f t="shared" si="240"/>
        <v>0</v>
      </c>
      <c r="BB187" s="331">
        <v>198232.40370802398</v>
      </c>
      <c r="BC187" s="308">
        <f t="shared" si="241"/>
        <v>50185.418660259224</v>
      </c>
    </row>
    <row r="188" spans="1:55">
      <c r="A188" s="301" t="s">
        <v>47</v>
      </c>
      <c r="B188" s="308">
        <f t="shared" si="235"/>
        <v>0</v>
      </c>
      <c r="C188" s="308">
        <f t="shared" si="235"/>
        <v>320058</v>
      </c>
      <c r="D188" s="308">
        <f t="shared" si="235"/>
        <v>0</v>
      </c>
      <c r="E188" s="308">
        <f t="shared" si="235"/>
        <v>0</v>
      </c>
      <c r="F188" s="308">
        <f t="shared" si="235"/>
        <v>0</v>
      </c>
      <c r="G188" s="308">
        <f t="shared" si="235"/>
        <v>32062</v>
      </c>
      <c r="H188" s="308">
        <f t="shared" si="235"/>
        <v>47696</v>
      </c>
      <c r="I188" s="308">
        <f t="shared" si="235"/>
        <v>28517</v>
      </c>
      <c r="J188" s="308">
        <f t="shared" si="235"/>
        <v>86075</v>
      </c>
      <c r="K188" s="308">
        <f t="shared" si="235"/>
        <v>120715</v>
      </c>
      <c r="L188" s="308">
        <f t="shared" si="235"/>
        <v>144926</v>
      </c>
      <c r="M188" s="308">
        <f t="shared" si="235"/>
        <v>40718</v>
      </c>
      <c r="N188" s="308">
        <f t="shared" si="235"/>
        <v>183328</v>
      </c>
      <c r="O188" s="308">
        <f t="shared" si="235"/>
        <v>213817</v>
      </c>
      <c r="P188" s="308">
        <f t="shared" si="235"/>
        <v>0</v>
      </c>
      <c r="Q188" s="307">
        <f t="shared" si="235"/>
        <v>189930.09474948837</v>
      </c>
      <c r="R188" s="307">
        <f t="shared" si="235"/>
        <v>172754.76332647912</v>
      </c>
      <c r="S188" s="307">
        <f t="shared" si="235"/>
        <v>186821.23227302599</v>
      </c>
      <c r="T188" s="307">
        <f t="shared" si="235"/>
        <v>191987.0948606696</v>
      </c>
      <c r="U188" s="307">
        <f t="shared" si="235"/>
        <v>182691.19722069264</v>
      </c>
      <c r="V188" s="307">
        <f t="shared" si="235"/>
        <v>224725.68569735094</v>
      </c>
      <c r="W188" s="307">
        <f t="shared" si="235"/>
        <v>232972.53590544284</v>
      </c>
      <c r="X188" s="307">
        <f t="shared" si="235"/>
        <v>237273.54932336512</v>
      </c>
      <c r="Y188" s="307">
        <f t="shared" si="235"/>
        <v>250117.17891220644</v>
      </c>
      <c r="Z188" s="307">
        <f t="shared" si="235"/>
        <v>260666.16606553696</v>
      </c>
      <c r="AA188" s="307">
        <f t="shared" si="235"/>
        <v>281162.62792377989</v>
      </c>
      <c r="AB188" s="307">
        <f t="shared" si="235"/>
        <v>295406.6519028435</v>
      </c>
      <c r="AC188" s="307">
        <f t="shared" si="235"/>
        <v>311045.82226481155</v>
      </c>
      <c r="AD188" s="307">
        <f t="shared" si="235"/>
        <v>326828.75582842866</v>
      </c>
      <c r="AE188" s="307">
        <f t="shared" si="235"/>
        <v>348662.36930564005</v>
      </c>
      <c r="AF188" s="307">
        <f t="shared" si="235"/>
        <v>370633.43532151118</v>
      </c>
      <c r="AG188" s="307">
        <f t="shared" si="235"/>
        <v>386316.70939244452</v>
      </c>
      <c r="AH188" s="307">
        <f t="shared" si="235"/>
        <v>407708.75077100162</v>
      </c>
      <c r="AI188" s="307">
        <f t="shared" si="235"/>
        <v>429191.27594612853</v>
      </c>
      <c r="AJ188" s="307">
        <f t="shared" si="235"/>
        <v>445385.02177112782</v>
      </c>
      <c r="AK188" s="307">
        <f t="shared" si="235"/>
        <v>466880.15739103314</v>
      </c>
      <c r="AL188" s="307">
        <f t="shared" si="235"/>
        <v>504362.68853151554</v>
      </c>
      <c r="AM188" s="307">
        <f t="shared" si="235"/>
        <v>541922.19603688444</v>
      </c>
      <c r="AN188" s="307">
        <f t="shared" si="235"/>
        <v>702909.23707336257</v>
      </c>
      <c r="AO188" s="307">
        <f t="shared" si="235"/>
        <v>799511.44923343684</v>
      </c>
      <c r="AP188" s="307">
        <f t="shared" si="235"/>
        <v>906822.02148931194</v>
      </c>
      <c r="AR188" s="308">
        <v>85271.766054649153</v>
      </c>
      <c r="AS188" s="308">
        <f t="shared" si="236"/>
        <v>59654.233945350847</v>
      </c>
      <c r="AT188" s="308">
        <v>84201.438891791899</v>
      </c>
      <c r="AU188" s="308">
        <f t="shared" si="237"/>
        <v>-43483.438891791899</v>
      </c>
      <c r="AV188" s="308">
        <v>90081.389005770892</v>
      </c>
      <c r="AW188" s="308">
        <f t="shared" si="238"/>
        <v>93246.610994229108</v>
      </c>
      <c r="AX188" s="308">
        <v>123520.60922277778</v>
      </c>
      <c r="AY188" s="308">
        <f t="shared" si="239"/>
        <v>90296.390777222216</v>
      </c>
      <c r="AZ188" s="308">
        <v>0</v>
      </c>
      <c r="BA188" s="308">
        <f t="shared" si="240"/>
        <v>0</v>
      </c>
      <c r="BB188" s="331">
        <v>161661.38873949071</v>
      </c>
      <c r="BC188" s="308">
        <f t="shared" si="241"/>
        <v>28268.706009997666</v>
      </c>
    </row>
    <row r="189" spans="1:55">
      <c r="A189" s="301" t="s">
        <v>48</v>
      </c>
      <c r="B189" s="308">
        <f t="shared" si="235"/>
        <v>0</v>
      </c>
      <c r="C189" s="308">
        <f t="shared" si="235"/>
        <v>607121</v>
      </c>
      <c r="D189" s="308">
        <f t="shared" si="235"/>
        <v>12067</v>
      </c>
      <c r="E189" s="308">
        <f t="shared" si="235"/>
        <v>0</v>
      </c>
      <c r="F189" s="308">
        <f t="shared" si="235"/>
        <v>0</v>
      </c>
      <c r="G189" s="308">
        <f t="shared" si="235"/>
        <v>24369</v>
      </c>
      <c r="H189" s="308">
        <f t="shared" si="235"/>
        <v>44179</v>
      </c>
      <c r="I189" s="308">
        <f t="shared" si="235"/>
        <v>41729</v>
      </c>
      <c r="J189" s="308">
        <f t="shared" si="235"/>
        <v>57169</v>
      </c>
      <c r="K189" s="308">
        <f t="shared" si="235"/>
        <v>57282</v>
      </c>
      <c r="L189" s="308">
        <f t="shared" si="235"/>
        <v>65082</v>
      </c>
      <c r="M189" s="308">
        <f t="shared" si="235"/>
        <v>39743</v>
      </c>
      <c r="N189" s="308">
        <f t="shared" si="235"/>
        <v>90471</v>
      </c>
      <c r="O189" s="308">
        <f t="shared" si="235"/>
        <v>228834</v>
      </c>
      <c r="P189" s="308">
        <f t="shared" si="235"/>
        <v>389879</v>
      </c>
      <c r="Q189" s="307">
        <f t="shared" si="235"/>
        <v>195446.99110130128</v>
      </c>
      <c r="R189" s="307">
        <f t="shared" si="235"/>
        <v>259870.81840950871</v>
      </c>
      <c r="S189" s="307">
        <f t="shared" si="235"/>
        <v>286318.91827450029</v>
      </c>
      <c r="T189" s="307">
        <f t="shared" si="235"/>
        <v>342148.16181257786</v>
      </c>
      <c r="U189" s="307">
        <f t="shared" si="235"/>
        <v>363085.49513562309</v>
      </c>
      <c r="V189" s="307">
        <f t="shared" si="235"/>
        <v>351822.58595343737</v>
      </c>
      <c r="W189" s="307">
        <f t="shared" si="235"/>
        <v>389489.1362835188</v>
      </c>
      <c r="X189" s="307">
        <f t="shared" si="235"/>
        <v>403418.14332394133</v>
      </c>
      <c r="Y189" s="307">
        <f t="shared" si="235"/>
        <v>432578.53511406772</v>
      </c>
      <c r="Z189" s="307">
        <f t="shared" si="235"/>
        <v>448487.26837131527</v>
      </c>
      <c r="AA189" s="307">
        <f t="shared" si="235"/>
        <v>472382.84659375151</v>
      </c>
      <c r="AB189" s="307">
        <f t="shared" si="235"/>
        <v>502338.62184154341</v>
      </c>
      <c r="AC189" s="307">
        <f t="shared" si="235"/>
        <v>530501.67645420204</v>
      </c>
      <c r="AD189" s="307">
        <f t="shared" si="235"/>
        <v>557715.04157420574</v>
      </c>
      <c r="AE189" s="307">
        <f t="shared" si="235"/>
        <v>593609.65296100429</v>
      </c>
      <c r="AF189" s="307">
        <f t="shared" si="235"/>
        <v>629903.09594606457</v>
      </c>
      <c r="AG189" s="307">
        <f t="shared" si="235"/>
        <v>657834.09867514763</v>
      </c>
      <c r="AH189" s="307">
        <f t="shared" si="235"/>
        <v>694422.01841971523</v>
      </c>
      <c r="AI189" s="307">
        <f t="shared" si="235"/>
        <v>730843.4944783994</v>
      </c>
      <c r="AJ189" s="307">
        <f t="shared" si="235"/>
        <v>758148.24011013121</v>
      </c>
      <c r="AK189" s="307">
        <f t="shared" si="235"/>
        <v>794713.50116779702</v>
      </c>
      <c r="AL189" s="307">
        <f t="shared" si="235"/>
        <v>858747.27931661275</v>
      </c>
      <c r="AM189" s="307">
        <f t="shared" si="235"/>
        <v>922679.36400656705</v>
      </c>
      <c r="AN189" s="307">
        <f t="shared" si="235"/>
        <v>1196702.8565380119</v>
      </c>
      <c r="AO189" s="307">
        <f t="shared" si="235"/>
        <v>1361124.8748583242</v>
      </c>
      <c r="AP189" s="307">
        <f t="shared" si="235"/>
        <v>1543844.411076434</v>
      </c>
      <c r="AR189" s="308">
        <v>60026.853625504526</v>
      </c>
      <c r="AS189" s="308">
        <f t="shared" si="236"/>
        <v>5055.1463744954744</v>
      </c>
      <c r="AT189" s="308">
        <v>56888.712456683556</v>
      </c>
      <c r="AU189" s="308">
        <f t="shared" si="237"/>
        <v>-17145.712456683556</v>
      </c>
      <c r="AV189" s="308">
        <v>55853.752425938481</v>
      </c>
      <c r="AW189" s="308">
        <f t="shared" si="238"/>
        <v>34617.247574061519</v>
      </c>
      <c r="AX189" s="308">
        <v>69948.745534161237</v>
      </c>
      <c r="AY189" s="308">
        <f t="shared" si="239"/>
        <v>158885.25446583878</v>
      </c>
      <c r="AZ189" s="308">
        <v>389879</v>
      </c>
      <c r="BA189" s="308">
        <f t="shared" si="240"/>
        <v>0</v>
      </c>
      <c r="BB189" s="331">
        <v>155962.75047477576</v>
      </c>
      <c r="BC189" s="308">
        <f t="shared" si="241"/>
        <v>39484.240626525512</v>
      </c>
    </row>
    <row r="190" spans="1:55">
      <c r="A190" s="301" t="s">
        <v>49</v>
      </c>
      <c r="B190" s="308">
        <f t="shared" si="235"/>
        <v>414393</v>
      </c>
      <c r="C190" s="308">
        <f t="shared" si="235"/>
        <v>309797</v>
      </c>
      <c r="D190" s="308">
        <f t="shared" si="235"/>
        <v>18890</v>
      </c>
      <c r="E190" s="308">
        <f t="shared" si="235"/>
        <v>0</v>
      </c>
      <c r="F190" s="308">
        <f t="shared" si="235"/>
        <v>0</v>
      </c>
      <c r="G190" s="308">
        <f t="shared" si="235"/>
        <v>40808</v>
      </c>
      <c r="H190" s="308">
        <f t="shared" si="235"/>
        <v>42993</v>
      </c>
      <c r="I190" s="308">
        <f t="shared" si="235"/>
        <v>26125</v>
      </c>
      <c r="J190" s="308">
        <f t="shared" si="235"/>
        <v>24500</v>
      </c>
      <c r="K190" s="308">
        <f t="shared" ref="B190:AP195" si="242">K206+K222</f>
        <v>79585</v>
      </c>
      <c r="L190" s="308">
        <f t="shared" si="242"/>
        <v>40728</v>
      </c>
      <c r="M190" s="308">
        <f t="shared" si="242"/>
        <v>32631</v>
      </c>
      <c r="N190" s="308">
        <f t="shared" si="242"/>
        <v>0</v>
      </c>
      <c r="O190" s="308">
        <f t="shared" si="242"/>
        <v>247129</v>
      </c>
      <c r="P190" s="308">
        <f t="shared" si="242"/>
        <v>204034</v>
      </c>
      <c r="Q190" s="307">
        <f t="shared" si="242"/>
        <v>175939.94251468562</v>
      </c>
      <c r="R190" s="307">
        <f t="shared" si="242"/>
        <v>181544.17761324442</v>
      </c>
      <c r="S190" s="307">
        <f t="shared" si="242"/>
        <v>198824.05231992004</v>
      </c>
      <c r="T190" s="307">
        <f t="shared" si="242"/>
        <v>253393.96384000723</v>
      </c>
      <c r="U190" s="307">
        <f t="shared" si="242"/>
        <v>249767.1888271514</v>
      </c>
      <c r="V190" s="307">
        <f t="shared" si="242"/>
        <v>257621.72039270727</v>
      </c>
      <c r="W190" s="307">
        <f t="shared" si="242"/>
        <v>277228.79903220513</v>
      </c>
      <c r="X190" s="307">
        <f t="shared" si="242"/>
        <v>287940.59192660102</v>
      </c>
      <c r="Y190" s="307">
        <f t="shared" si="242"/>
        <v>310048.53934764967</v>
      </c>
      <c r="Z190" s="307">
        <f t="shared" si="242"/>
        <v>319564.78838108212</v>
      </c>
      <c r="AA190" s="307">
        <f t="shared" si="242"/>
        <v>338677.26830570743</v>
      </c>
      <c r="AB190" s="307">
        <f t="shared" si="242"/>
        <v>358894.89057288721</v>
      </c>
      <c r="AC190" s="307">
        <f t="shared" si="242"/>
        <v>379260.3747164688</v>
      </c>
      <c r="AD190" s="307">
        <f t="shared" si="242"/>
        <v>398824.51165038894</v>
      </c>
      <c r="AE190" s="307">
        <f t="shared" si="242"/>
        <v>424325.16067536268</v>
      </c>
      <c r="AF190" s="307">
        <f t="shared" si="242"/>
        <v>450511.24470287369</v>
      </c>
      <c r="AG190" s="307">
        <f t="shared" si="242"/>
        <v>470294.69197043724</v>
      </c>
      <c r="AH190" s="307">
        <f t="shared" si="242"/>
        <v>496506.89157655498</v>
      </c>
      <c r="AI190" s="307">
        <f t="shared" si="242"/>
        <v>522558.61821005656</v>
      </c>
      <c r="AJ190" s="307">
        <f t="shared" si="242"/>
        <v>542069.49003378092</v>
      </c>
      <c r="AK190" s="307">
        <f t="shared" si="242"/>
        <v>568236.47230250575</v>
      </c>
      <c r="AL190" s="307">
        <f t="shared" si="242"/>
        <v>613994.14428335056</v>
      </c>
      <c r="AM190" s="307">
        <f t="shared" si="242"/>
        <v>659716.50537388364</v>
      </c>
      <c r="AN190" s="307">
        <f t="shared" si="242"/>
        <v>855644.60709363734</v>
      </c>
      <c r="AO190" s="307">
        <f t="shared" si="242"/>
        <v>973205.17065319873</v>
      </c>
      <c r="AP190" s="307">
        <f t="shared" si="242"/>
        <v>1103851.715392191</v>
      </c>
      <c r="AR190" s="308">
        <v>59316.786009621886</v>
      </c>
      <c r="AS190" s="308">
        <f t="shared" si="236"/>
        <v>-18588.786009621886</v>
      </c>
      <c r="AT190" s="308">
        <v>46187.413242757408</v>
      </c>
      <c r="AU190" s="308">
        <f t="shared" si="237"/>
        <v>-13556.413242757408</v>
      </c>
      <c r="AV190" s="308">
        <v>43562.738367448408</v>
      </c>
      <c r="AW190" s="308">
        <f t="shared" si="238"/>
        <v>-43562.738367448408</v>
      </c>
      <c r="AX190" s="308">
        <v>200107.04802256537</v>
      </c>
      <c r="AY190" s="308">
        <f t="shared" si="239"/>
        <v>47021.951977434626</v>
      </c>
      <c r="AZ190" s="309">
        <v>204034</v>
      </c>
      <c r="BA190" s="308">
        <f t="shared" si="240"/>
        <v>0</v>
      </c>
      <c r="BB190" s="331">
        <v>150497.52988545623</v>
      </c>
      <c r="BC190" s="308">
        <f t="shared" si="241"/>
        <v>25442.412629229395</v>
      </c>
    </row>
    <row r="191" spans="1:55">
      <c r="A191" s="301" t="s">
        <v>50</v>
      </c>
      <c r="B191" s="308">
        <f t="shared" si="242"/>
        <v>835191</v>
      </c>
      <c r="C191" s="308">
        <f t="shared" si="242"/>
        <v>484550</v>
      </c>
      <c r="D191" s="308">
        <f t="shared" si="242"/>
        <v>0</v>
      </c>
      <c r="E191" s="308">
        <f t="shared" si="242"/>
        <v>0</v>
      </c>
      <c r="F191" s="308">
        <f t="shared" si="242"/>
        <v>0</v>
      </c>
      <c r="G191" s="308">
        <f t="shared" si="242"/>
        <v>24015</v>
      </c>
      <c r="H191" s="308">
        <f t="shared" si="242"/>
        <v>30611</v>
      </c>
      <c r="I191" s="308">
        <f t="shared" si="242"/>
        <v>50752</v>
      </c>
      <c r="J191" s="308">
        <f t="shared" si="242"/>
        <v>0</v>
      </c>
      <c r="K191" s="308">
        <f t="shared" si="242"/>
        <v>22205</v>
      </c>
      <c r="L191" s="308">
        <f t="shared" si="242"/>
        <v>32580</v>
      </c>
      <c r="M191" s="308">
        <f t="shared" si="242"/>
        <v>34146</v>
      </c>
      <c r="N191" s="308">
        <f t="shared" si="242"/>
        <v>205832</v>
      </c>
      <c r="O191" s="308">
        <f t="shared" si="242"/>
        <v>89357</v>
      </c>
      <c r="P191" s="308">
        <f t="shared" si="242"/>
        <v>229695</v>
      </c>
      <c r="Q191" s="307">
        <f t="shared" si="242"/>
        <v>192048.05402082883</v>
      </c>
      <c r="R191" s="307">
        <f t="shared" si="242"/>
        <v>206680.05517623053</v>
      </c>
      <c r="S191" s="307">
        <f t="shared" si="242"/>
        <v>227090.77637382309</v>
      </c>
      <c r="T191" s="307">
        <f t="shared" si="242"/>
        <v>237649.06188838583</v>
      </c>
      <c r="U191" s="307">
        <f t="shared" si="242"/>
        <v>269336.59217942087</v>
      </c>
      <c r="V191" s="307">
        <f t="shared" si="242"/>
        <v>275453.99140150496</v>
      </c>
      <c r="W191" s="307">
        <f t="shared" si="242"/>
        <v>295463.56221374415</v>
      </c>
      <c r="X191" s="307">
        <f t="shared" si="242"/>
        <v>303808.12327250087</v>
      </c>
      <c r="Y191" s="307">
        <f t="shared" si="242"/>
        <v>323086.72912891122</v>
      </c>
      <c r="Z191" s="307">
        <f t="shared" si="242"/>
        <v>339105.19297928311</v>
      </c>
      <c r="AA191" s="307">
        <f t="shared" si="242"/>
        <v>358384.37286004075</v>
      </c>
      <c r="AB191" s="307">
        <f t="shared" si="242"/>
        <v>379113.3571276443</v>
      </c>
      <c r="AC191" s="307">
        <f t="shared" si="242"/>
        <v>400011.62336585444</v>
      </c>
      <c r="AD191" s="307">
        <f t="shared" si="242"/>
        <v>420619.83832630567</v>
      </c>
      <c r="AE191" s="307">
        <f t="shared" si="242"/>
        <v>448437.21819215757</v>
      </c>
      <c r="AF191" s="307">
        <f t="shared" si="242"/>
        <v>475783.78790779447</v>
      </c>
      <c r="AG191" s="307">
        <f t="shared" si="242"/>
        <v>496511.49153968337</v>
      </c>
      <c r="AH191" s="307">
        <f t="shared" si="242"/>
        <v>524135.34125912754</v>
      </c>
      <c r="AI191" s="307">
        <f t="shared" si="242"/>
        <v>551719.00926532212</v>
      </c>
      <c r="AJ191" s="307">
        <f t="shared" si="242"/>
        <v>572424.15855695878</v>
      </c>
      <c r="AK191" s="307">
        <f t="shared" si="242"/>
        <v>599976.09895266604</v>
      </c>
      <c r="AL191" s="307">
        <f t="shared" si="242"/>
        <v>648263.97829128953</v>
      </c>
      <c r="AM191" s="307">
        <f t="shared" si="242"/>
        <v>696546.14814014686</v>
      </c>
      <c r="AN191" s="307">
        <f t="shared" si="242"/>
        <v>903438.75395513757</v>
      </c>
      <c r="AO191" s="307">
        <f t="shared" si="242"/>
        <v>1027574.5252954307</v>
      </c>
      <c r="AP191" s="307">
        <f t="shared" si="242"/>
        <v>1165498.4061979705</v>
      </c>
      <c r="AR191" s="308">
        <v>35482.888893330244</v>
      </c>
      <c r="AS191" s="308">
        <f t="shared" si="236"/>
        <v>-2902.8888933302442</v>
      </c>
      <c r="AT191" s="308">
        <v>25795.956099155974</v>
      </c>
      <c r="AU191" s="308">
        <f t="shared" si="237"/>
        <v>8350.0439008440262</v>
      </c>
      <c r="AV191" s="308">
        <v>28183.373619411566</v>
      </c>
      <c r="AW191" s="308">
        <f t="shared" si="238"/>
        <v>177648.62638058842</v>
      </c>
      <c r="AX191" s="308">
        <v>213175.71509594363</v>
      </c>
      <c r="AY191" s="308">
        <f t="shared" si="239"/>
        <v>-123818.71509594363</v>
      </c>
      <c r="AZ191" s="309">
        <v>229695</v>
      </c>
      <c r="BA191" s="308">
        <f t="shared" si="240"/>
        <v>0</v>
      </c>
      <c r="BB191" s="331">
        <v>163351.47745096439</v>
      </c>
      <c r="BC191" s="308">
        <f t="shared" si="241"/>
        <v>28696.576569864439</v>
      </c>
    </row>
    <row r="192" spans="1:55">
      <c r="A192" s="301" t="s">
        <v>51</v>
      </c>
      <c r="B192" s="308">
        <f t="shared" si="242"/>
        <v>766425</v>
      </c>
      <c r="C192" s="308">
        <f t="shared" si="242"/>
        <v>167520</v>
      </c>
      <c r="D192" s="308">
        <f t="shared" si="242"/>
        <v>0</v>
      </c>
      <c r="E192" s="308">
        <f t="shared" si="242"/>
        <v>0</v>
      </c>
      <c r="F192" s="308">
        <f t="shared" si="242"/>
        <v>0</v>
      </c>
      <c r="G192" s="308">
        <f t="shared" si="242"/>
        <v>26937</v>
      </c>
      <c r="H192" s="308">
        <f t="shared" si="242"/>
        <v>73804</v>
      </c>
      <c r="I192" s="308">
        <f t="shared" si="242"/>
        <v>60923</v>
      </c>
      <c r="J192" s="308">
        <f t="shared" si="242"/>
        <v>22735</v>
      </c>
      <c r="K192" s="308">
        <f t="shared" si="242"/>
        <v>89823</v>
      </c>
      <c r="L192" s="308">
        <f t="shared" si="242"/>
        <v>72403</v>
      </c>
      <c r="M192" s="308">
        <f t="shared" si="242"/>
        <v>88635</v>
      </c>
      <c r="N192" s="308">
        <f t="shared" si="242"/>
        <v>108106</v>
      </c>
      <c r="O192" s="308">
        <f t="shared" si="242"/>
        <v>533534</v>
      </c>
      <c r="P192" s="308">
        <f t="shared" si="242"/>
        <v>312604</v>
      </c>
      <c r="Q192" s="307">
        <f t="shared" si="242"/>
        <v>267783.90795364854</v>
      </c>
      <c r="R192" s="307">
        <f t="shared" si="242"/>
        <v>360665.42043549923</v>
      </c>
      <c r="S192" s="307">
        <f t="shared" si="242"/>
        <v>389140.69350825058</v>
      </c>
      <c r="T192" s="307">
        <f t="shared" si="242"/>
        <v>468755.27945959481</v>
      </c>
      <c r="U192" s="307">
        <f t="shared" si="242"/>
        <v>443230.23887442553</v>
      </c>
      <c r="V192" s="307">
        <f t="shared" si="242"/>
        <v>469197.69975232065</v>
      </c>
      <c r="W192" s="307">
        <f t="shared" si="242"/>
        <v>517697.97331804456</v>
      </c>
      <c r="X192" s="307">
        <f t="shared" si="242"/>
        <v>532661.17955638084</v>
      </c>
      <c r="Y192" s="307">
        <f t="shared" si="242"/>
        <v>568569.60913012933</v>
      </c>
      <c r="Z192" s="307">
        <f t="shared" si="242"/>
        <v>585077.72797610261</v>
      </c>
      <c r="AA192" s="307">
        <f t="shared" si="242"/>
        <v>623348.0621798872</v>
      </c>
      <c r="AB192" s="307">
        <f t="shared" si="242"/>
        <v>661721.2781652339</v>
      </c>
      <c r="AC192" s="307">
        <f t="shared" si="242"/>
        <v>697732.45225282817</v>
      </c>
      <c r="AD192" s="307">
        <f t="shared" si="242"/>
        <v>733039.83491170523</v>
      </c>
      <c r="AE192" s="307">
        <f t="shared" si="242"/>
        <v>780217.30220572441</v>
      </c>
      <c r="AF192" s="307">
        <f t="shared" si="242"/>
        <v>828962.42663354357</v>
      </c>
      <c r="AG192" s="307">
        <f t="shared" si="242"/>
        <v>865326.22461094323</v>
      </c>
      <c r="AH192" s="307">
        <f t="shared" si="242"/>
        <v>913235.29626683262</v>
      </c>
      <c r="AI192" s="307">
        <f t="shared" si="242"/>
        <v>961116.88854314841</v>
      </c>
      <c r="AJ192" s="307">
        <f t="shared" si="242"/>
        <v>997116.19468396681</v>
      </c>
      <c r="AK192" s="307">
        <f t="shared" si="242"/>
        <v>1045320.6833532733</v>
      </c>
      <c r="AL192" s="307">
        <f t="shared" si="242"/>
        <v>1129446.9523142399</v>
      </c>
      <c r="AM192" s="307">
        <f t="shared" si="242"/>
        <v>1213502.0060269225</v>
      </c>
      <c r="AN192" s="307">
        <f t="shared" si="242"/>
        <v>1573915.3976735352</v>
      </c>
      <c r="AO192" s="307">
        <f t="shared" si="242"/>
        <v>1790193.804180925</v>
      </c>
      <c r="AP192" s="307">
        <f t="shared" si="242"/>
        <v>2030519.5953020703</v>
      </c>
      <c r="AR192" s="308">
        <v>76265.970028191892</v>
      </c>
      <c r="AS192" s="308">
        <f t="shared" si="236"/>
        <v>-3862.9700281918922</v>
      </c>
      <c r="AT192" s="308">
        <v>60543.231023790104</v>
      </c>
      <c r="AU192" s="308">
        <f t="shared" si="237"/>
        <v>28091.768976209896</v>
      </c>
      <c r="AV192" s="308">
        <v>199083.63876527111</v>
      </c>
      <c r="AW192" s="308">
        <f t="shared" si="238"/>
        <v>-90977.638765271113</v>
      </c>
      <c r="AX192" s="308">
        <v>112057.41746730245</v>
      </c>
      <c r="AY192" s="308">
        <f t="shared" si="239"/>
        <v>421476.58253269753</v>
      </c>
      <c r="AZ192" s="309">
        <v>232849.43839126447</v>
      </c>
      <c r="BA192" s="308">
        <f t="shared" si="240"/>
        <v>79754.56160873553</v>
      </c>
      <c r="BB192" s="331">
        <v>213686.14877109326</v>
      </c>
      <c r="BC192" s="308">
        <f t="shared" si="241"/>
        <v>54097.759182555281</v>
      </c>
    </row>
    <row r="193" spans="1:55">
      <c r="A193" s="301" t="s">
        <v>52</v>
      </c>
      <c r="B193" s="308">
        <f t="shared" si="242"/>
        <v>1444469</v>
      </c>
      <c r="C193" s="308">
        <f t="shared" si="242"/>
        <v>19154</v>
      </c>
      <c r="D193" s="308">
        <f t="shared" si="242"/>
        <v>0</v>
      </c>
      <c r="E193" s="308">
        <f t="shared" si="242"/>
        <v>0</v>
      </c>
      <c r="F193" s="308">
        <f t="shared" si="242"/>
        <v>10101</v>
      </c>
      <c r="G193" s="308">
        <f t="shared" si="242"/>
        <v>45945</v>
      </c>
      <c r="H193" s="308">
        <f t="shared" si="242"/>
        <v>82558</v>
      </c>
      <c r="I193" s="308">
        <f t="shared" si="242"/>
        <v>78524</v>
      </c>
      <c r="J193" s="308">
        <f t="shared" si="242"/>
        <v>88731</v>
      </c>
      <c r="K193" s="308">
        <f t="shared" si="242"/>
        <v>134585</v>
      </c>
      <c r="L193" s="308">
        <f t="shared" si="242"/>
        <v>105930</v>
      </c>
      <c r="M193" s="308">
        <f t="shared" si="242"/>
        <v>146431</v>
      </c>
      <c r="N193" s="308">
        <f t="shared" si="242"/>
        <v>149442</v>
      </c>
      <c r="O193" s="308">
        <f t="shared" si="242"/>
        <v>0</v>
      </c>
      <c r="P193" s="308">
        <f t="shared" si="242"/>
        <v>78448</v>
      </c>
      <c r="Q193" s="307">
        <f t="shared" si="242"/>
        <v>215310.288858466</v>
      </c>
      <c r="R193" s="307">
        <f t="shared" si="242"/>
        <v>162253.47906586566</v>
      </c>
      <c r="S193" s="307">
        <f t="shared" si="242"/>
        <v>148864.40405802199</v>
      </c>
      <c r="T193" s="307">
        <f t="shared" si="242"/>
        <v>152135.34147937351</v>
      </c>
      <c r="U193" s="307">
        <f t="shared" si="242"/>
        <v>186514.64701602908</v>
      </c>
      <c r="V193" s="307">
        <f t="shared" si="242"/>
        <v>210353.35209185563</v>
      </c>
      <c r="W193" s="307">
        <f t="shared" si="242"/>
        <v>208956.00350044784</v>
      </c>
      <c r="X193" s="307">
        <f t="shared" si="242"/>
        <v>211112.40697572505</v>
      </c>
      <c r="Y193" s="307">
        <f t="shared" si="242"/>
        <v>226598.86716408585</v>
      </c>
      <c r="Z193" s="307">
        <f t="shared" si="242"/>
        <v>241194.47434273126</v>
      </c>
      <c r="AA193" s="307">
        <f t="shared" si="242"/>
        <v>256086.0332371837</v>
      </c>
      <c r="AB193" s="307">
        <f t="shared" si="242"/>
        <v>267732.46037067892</v>
      </c>
      <c r="AC193" s="307">
        <f t="shared" si="242"/>
        <v>282421.07709005458</v>
      </c>
      <c r="AD193" s="307">
        <f t="shared" si="242"/>
        <v>297762.48139650881</v>
      </c>
      <c r="AE193" s="307">
        <f t="shared" si="242"/>
        <v>317955.542612419</v>
      </c>
      <c r="AF193" s="307">
        <f t="shared" si="242"/>
        <v>337165.20286863338</v>
      </c>
      <c r="AG193" s="307">
        <f t="shared" si="242"/>
        <v>351359.24361154943</v>
      </c>
      <c r="AH193" s="307">
        <f t="shared" si="242"/>
        <v>371036.16804928175</v>
      </c>
      <c r="AI193" s="307">
        <f t="shared" si="242"/>
        <v>390737.30928009155</v>
      </c>
      <c r="AJ193" s="307">
        <f t="shared" si="242"/>
        <v>405430.59312990046</v>
      </c>
      <c r="AK193" s="307">
        <f t="shared" si="242"/>
        <v>424866.78677298094</v>
      </c>
      <c r="AL193" s="307">
        <f t="shared" si="242"/>
        <v>459003.71728471766</v>
      </c>
      <c r="AM193" s="307">
        <f t="shared" si="242"/>
        <v>493236.99291955761</v>
      </c>
      <c r="AN193" s="307">
        <f t="shared" si="242"/>
        <v>639774.31981961697</v>
      </c>
      <c r="AO193" s="307">
        <f t="shared" si="242"/>
        <v>727670.95177235734</v>
      </c>
      <c r="AP193" s="307">
        <f t="shared" si="242"/>
        <v>825319.22755907464</v>
      </c>
      <c r="AR193" s="308">
        <v>120247.27570305149</v>
      </c>
      <c r="AS193" s="308">
        <f t="shared" si="236"/>
        <v>-14317.275703051491</v>
      </c>
      <c r="AT193" s="308">
        <v>92957.690940645116</v>
      </c>
      <c r="AU193" s="308">
        <f t="shared" si="237"/>
        <v>53473.309059354884</v>
      </c>
      <c r="AV193" s="308">
        <v>121984.6796734021</v>
      </c>
      <c r="AW193" s="308">
        <f t="shared" si="238"/>
        <v>27457.320326597895</v>
      </c>
      <c r="AX193" s="308">
        <v>222339.2204890498</v>
      </c>
      <c r="AY193" s="308">
        <f t="shared" si="239"/>
        <v>-222339.2204890498</v>
      </c>
      <c r="AZ193" s="309">
        <v>0</v>
      </c>
      <c r="BA193" s="308">
        <f t="shared" si="240"/>
        <v>78448</v>
      </c>
      <c r="BB193" s="331">
        <v>192015.28100827086</v>
      </c>
      <c r="BC193" s="308">
        <f t="shared" si="241"/>
        <v>23295.007850195136</v>
      </c>
    </row>
    <row r="194" spans="1:55">
      <c r="A194" s="301" t="s">
        <v>53</v>
      </c>
      <c r="B194" s="308">
        <f t="shared" si="242"/>
        <v>2143924</v>
      </c>
      <c r="C194" s="308">
        <f t="shared" si="242"/>
        <v>31231</v>
      </c>
      <c r="D194" s="308">
        <f t="shared" si="242"/>
        <v>0</v>
      </c>
      <c r="E194" s="308">
        <f t="shared" si="242"/>
        <v>0</v>
      </c>
      <c r="F194" s="308">
        <f t="shared" si="242"/>
        <v>24343</v>
      </c>
      <c r="G194" s="308">
        <f t="shared" si="242"/>
        <v>66206</v>
      </c>
      <c r="H194" s="308">
        <f t="shared" si="242"/>
        <v>95538</v>
      </c>
      <c r="I194" s="308">
        <f t="shared" si="242"/>
        <v>162998</v>
      </c>
      <c r="J194" s="308">
        <f t="shared" si="242"/>
        <v>300676</v>
      </c>
      <c r="K194" s="308">
        <f t="shared" si="242"/>
        <v>169211</v>
      </c>
      <c r="L194" s="308">
        <f t="shared" si="242"/>
        <v>138968</v>
      </c>
      <c r="M194" s="308">
        <f t="shared" si="242"/>
        <v>123229</v>
      </c>
      <c r="N194" s="308">
        <f t="shared" si="242"/>
        <v>221910</v>
      </c>
      <c r="O194" s="308">
        <f t="shared" si="242"/>
        <v>0</v>
      </c>
      <c r="P194" s="308">
        <f t="shared" si="242"/>
        <v>318049</v>
      </c>
      <c r="Q194" s="307">
        <f t="shared" si="242"/>
        <v>192601.03585323432</v>
      </c>
      <c r="R194" s="307">
        <f t="shared" si="242"/>
        <v>235494.19957416909</v>
      </c>
      <c r="S194" s="307">
        <f t="shared" si="242"/>
        <v>238017.87103710778</v>
      </c>
      <c r="T194" s="307">
        <f t="shared" si="242"/>
        <v>247531.38753563934</v>
      </c>
      <c r="U194" s="307">
        <f t="shared" si="242"/>
        <v>303468.14173915761</v>
      </c>
      <c r="V194" s="307">
        <f t="shared" si="242"/>
        <v>295954.4403013516</v>
      </c>
      <c r="W194" s="307">
        <f t="shared" si="242"/>
        <v>320791.18490428978</v>
      </c>
      <c r="X194" s="307">
        <f t="shared" si="242"/>
        <v>327267.58266016946</v>
      </c>
      <c r="Y194" s="307">
        <f t="shared" si="242"/>
        <v>349580.09276422166</v>
      </c>
      <c r="Z194" s="307">
        <f t="shared" si="242"/>
        <v>369132.12583061465</v>
      </c>
      <c r="AA194" s="307">
        <f t="shared" si="242"/>
        <v>387720.7272464289</v>
      </c>
      <c r="AB194" s="307">
        <f t="shared" si="242"/>
        <v>410625.72015878657</v>
      </c>
      <c r="AC194" s="307">
        <f t="shared" si="242"/>
        <v>433080.65758013295</v>
      </c>
      <c r="AD194" s="307">
        <f t="shared" si="242"/>
        <v>455779.68865284009</v>
      </c>
      <c r="AE194" s="307">
        <f t="shared" si="242"/>
        <v>486043.74460171704</v>
      </c>
      <c r="AF194" s="307">
        <f t="shared" si="242"/>
        <v>515306.82865482295</v>
      </c>
      <c r="AG194" s="307">
        <f t="shared" si="242"/>
        <v>537857.91576194018</v>
      </c>
      <c r="AH194" s="307">
        <f t="shared" si="242"/>
        <v>567795.55839726294</v>
      </c>
      <c r="AI194" s="307">
        <f t="shared" si="242"/>
        <v>597735.58275652083</v>
      </c>
      <c r="AJ194" s="307">
        <f t="shared" si="242"/>
        <v>620149.79642071249</v>
      </c>
      <c r="AK194" s="307">
        <f t="shared" si="242"/>
        <v>649948.87456115673</v>
      </c>
      <c r="AL194" s="307">
        <f t="shared" si="242"/>
        <v>702283.65935269778</v>
      </c>
      <c r="AM194" s="307">
        <f t="shared" si="242"/>
        <v>754595.87052457954</v>
      </c>
      <c r="AN194" s="307">
        <f t="shared" si="242"/>
        <v>978737.08012056712</v>
      </c>
      <c r="AO194" s="307">
        <f t="shared" si="242"/>
        <v>1113209.3142459223</v>
      </c>
      <c r="AP194" s="307">
        <f t="shared" si="242"/>
        <v>1262620.87010326</v>
      </c>
      <c r="AR194" s="308">
        <v>172036.68160662564</v>
      </c>
      <c r="AS194" s="308">
        <f t="shared" si="236"/>
        <v>-33068.681606625643</v>
      </c>
      <c r="AT194" s="308">
        <v>165124.27359787145</v>
      </c>
      <c r="AU194" s="308">
        <f t="shared" si="237"/>
        <v>-41895.273597871448</v>
      </c>
      <c r="AV194" s="308">
        <v>132961.00351648734</v>
      </c>
      <c r="AW194" s="308">
        <f t="shared" si="238"/>
        <v>88948.996483512659</v>
      </c>
      <c r="AX194" s="309">
        <v>339311.84672235296</v>
      </c>
      <c r="AY194" s="308">
        <f t="shared" si="239"/>
        <v>-339311.84672235296</v>
      </c>
      <c r="AZ194" s="309">
        <v>255671.52763566223</v>
      </c>
      <c r="BA194" s="308">
        <f t="shared" si="240"/>
        <v>62377.472364337766</v>
      </c>
      <c r="BB194" s="331">
        <v>153691.73568086376</v>
      </c>
      <c r="BC194" s="308">
        <f t="shared" si="241"/>
        <v>38909.300172370567</v>
      </c>
    </row>
    <row r="195" spans="1:55">
      <c r="A195" s="301" t="s">
        <v>54</v>
      </c>
      <c r="B195" s="308">
        <f t="shared" si="242"/>
        <v>1768827</v>
      </c>
      <c r="C195" s="308">
        <f t="shared" si="242"/>
        <v>308830</v>
      </c>
      <c r="D195" s="308">
        <f t="shared" si="242"/>
        <v>0</v>
      </c>
      <c r="E195" s="308">
        <f t="shared" si="242"/>
        <v>0</v>
      </c>
      <c r="F195" s="308">
        <f t="shared" si="242"/>
        <v>36733</v>
      </c>
      <c r="G195" s="308">
        <f t="shared" si="242"/>
        <v>101876</v>
      </c>
      <c r="H195" s="308">
        <f t="shared" si="242"/>
        <v>134248</v>
      </c>
      <c r="I195" s="308">
        <f t="shared" si="242"/>
        <v>216776</v>
      </c>
      <c r="J195" s="308">
        <f t="shared" si="242"/>
        <v>246989</v>
      </c>
      <c r="K195" s="308">
        <f t="shared" si="242"/>
        <v>246372</v>
      </c>
      <c r="L195" s="308">
        <f t="shared" si="242"/>
        <v>271858</v>
      </c>
      <c r="M195" s="308">
        <f t="shared" si="242"/>
        <v>176614</v>
      </c>
      <c r="N195" s="308">
        <f t="shared" si="242"/>
        <v>114305</v>
      </c>
      <c r="O195" s="308">
        <f t="shared" si="242"/>
        <v>172594</v>
      </c>
      <c r="P195" s="308">
        <f t="shared" si="242"/>
        <v>300855</v>
      </c>
      <c r="Q195" s="307">
        <f t="shared" si="242"/>
        <v>303803.86258006375</v>
      </c>
      <c r="R195" s="307">
        <f t="shared" si="242"/>
        <v>293937.25234530913</v>
      </c>
      <c r="S195" s="307">
        <f t="shared" si="242"/>
        <v>291480.59380665654</v>
      </c>
      <c r="T195" s="307">
        <f t="shared" si="242"/>
        <v>342731.92299420759</v>
      </c>
      <c r="U195" s="307">
        <f t="shared" si="242"/>
        <v>377657.74470482487</v>
      </c>
      <c r="V195" s="307">
        <f t="shared" si="242"/>
        <v>391394.86356986314</v>
      </c>
      <c r="W195" s="307">
        <f t="shared" si="242"/>
        <v>412314.70185930515</v>
      </c>
      <c r="X195" s="307">
        <f t="shared" si="242"/>
        <v>422674.66870441148</v>
      </c>
      <c r="Y195" s="307">
        <f t="shared" si="242"/>
        <v>455215.78799071023</v>
      </c>
      <c r="Z195" s="307">
        <f t="shared" si="242"/>
        <v>475960.52157842834</v>
      </c>
      <c r="AA195" s="307">
        <f t="shared" si="242"/>
        <v>503108.28821767494</v>
      </c>
      <c r="AB195" s="307">
        <f t="shared" si="242"/>
        <v>531106.67344374117</v>
      </c>
      <c r="AC195" s="307">
        <f t="shared" si="242"/>
        <v>560760.42314262409</v>
      </c>
      <c r="AD195" s="307">
        <f t="shared" si="242"/>
        <v>590403.26956614479</v>
      </c>
      <c r="AE195" s="307">
        <f t="shared" si="242"/>
        <v>629043.80522421747</v>
      </c>
      <c r="AF195" s="307">
        <f t="shared" si="242"/>
        <v>667337.2842337247</v>
      </c>
      <c r="AG195" s="307">
        <f t="shared" si="242"/>
        <v>696308.13248036616</v>
      </c>
      <c r="AH195" s="307">
        <f t="shared" si="242"/>
        <v>735178.91234824061</v>
      </c>
      <c r="AI195" s="307">
        <f t="shared" si="242"/>
        <v>773942.61897438858</v>
      </c>
      <c r="AJ195" s="307">
        <f t="shared" si="242"/>
        <v>802903.67270899937</v>
      </c>
      <c r="AK195" s="307">
        <f t="shared" si="242"/>
        <v>841537.74211809784</v>
      </c>
      <c r="AL195" s="307">
        <f t="shared" si="242"/>
        <v>909268.67183725908</v>
      </c>
      <c r="AM195" s="307">
        <f t="shared" si="242"/>
        <v>977016.66289687157</v>
      </c>
      <c r="AN195" s="307">
        <f t="shared" si="242"/>
        <v>1267218.3871419467</v>
      </c>
      <c r="AO195" s="307">
        <f t="shared" si="242"/>
        <v>1441318.6862273607</v>
      </c>
      <c r="AP195" s="307">
        <f t="shared" si="242"/>
        <v>1634777.319194736</v>
      </c>
      <c r="AR195" s="308">
        <v>306350</v>
      </c>
      <c r="AS195" s="308">
        <f t="shared" si="236"/>
        <v>-34492</v>
      </c>
      <c r="AT195" s="308">
        <v>159286</v>
      </c>
      <c r="AU195" s="308">
        <f t="shared" si="237"/>
        <v>17328</v>
      </c>
      <c r="AV195" s="308">
        <v>112697</v>
      </c>
      <c r="AW195" s="308">
        <f t="shared" si="238"/>
        <v>1608</v>
      </c>
      <c r="AX195" s="309">
        <v>493164.15327764722</v>
      </c>
      <c r="AY195" s="308">
        <f t="shared" si="239"/>
        <v>-320570.15327764722</v>
      </c>
      <c r="AZ195" s="309">
        <v>248283.03397307312</v>
      </c>
      <c r="BA195" s="308">
        <f t="shared" si="240"/>
        <v>52571.966026926879</v>
      </c>
      <c r="BB195" s="331">
        <v>73288.607078912435</v>
      </c>
      <c r="BC195" s="308">
        <f t="shared" si="241"/>
        <v>230515.25550115132</v>
      </c>
    </row>
    <row r="196" spans="1:55" ht="12" thickBot="1">
      <c r="A196" s="301" t="s">
        <v>29</v>
      </c>
      <c r="B196" s="308">
        <f t="shared" ref="B196:AD196" si="243">SUM(B184:B195)</f>
        <v>7373229</v>
      </c>
      <c r="C196" s="308">
        <f t="shared" si="243"/>
        <v>3862744</v>
      </c>
      <c r="D196" s="308">
        <f t="shared" si="243"/>
        <v>122579</v>
      </c>
      <c r="E196" s="308">
        <f t="shared" si="243"/>
        <v>0</v>
      </c>
      <c r="F196" s="308">
        <f t="shared" si="243"/>
        <v>71177</v>
      </c>
      <c r="G196" s="308">
        <f t="shared" si="243"/>
        <v>529467</v>
      </c>
      <c r="H196" s="308">
        <f t="shared" si="243"/>
        <v>965452</v>
      </c>
      <c r="I196" s="308">
        <f t="shared" si="243"/>
        <v>1222972</v>
      </c>
      <c r="J196" s="308">
        <f t="shared" si="243"/>
        <v>1764134</v>
      </c>
      <c r="K196" s="308">
        <f t="shared" si="243"/>
        <v>2047511</v>
      </c>
      <c r="L196" s="308">
        <f t="shared" si="243"/>
        <v>1792583</v>
      </c>
      <c r="M196" s="308">
        <f t="shared" si="243"/>
        <v>1350563</v>
      </c>
      <c r="N196" s="308">
        <f t="shared" si="243"/>
        <v>1901608</v>
      </c>
      <c r="O196" s="308">
        <f t="shared" si="243"/>
        <v>2490118</v>
      </c>
      <c r="P196" s="308">
        <f t="shared" si="243"/>
        <v>2773152</v>
      </c>
      <c r="Q196" s="307">
        <f t="shared" si="243"/>
        <v>2475000</v>
      </c>
      <c r="R196" s="307">
        <f t="shared" si="243"/>
        <v>3024326.087190018</v>
      </c>
      <c r="S196" s="307">
        <f t="shared" si="243"/>
        <v>3113778.9442980606</v>
      </c>
      <c r="T196" s="307">
        <f t="shared" si="243"/>
        <v>3490114.4262182629</v>
      </c>
      <c r="U196" s="307">
        <f t="shared" si="243"/>
        <v>3665282.6568320217</v>
      </c>
      <c r="V196" s="307">
        <f t="shared" si="243"/>
        <v>3834286.2284591766</v>
      </c>
      <c r="W196" s="307">
        <f t="shared" si="243"/>
        <v>4160988.1285248259</v>
      </c>
      <c r="X196" s="307">
        <f t="shared" si="243"/>
        <v>4252041.3593154671</v>
      </c>
      <c r="Y196" s="307">
        <f t="shared" si="243"/>
        <v>4536952.7441265583</v>
      </c>
      <c r="Z196" s="307">
        <f t="shared" si="243"/>
        <v>4726547.1921964362</v>
      </c>
      <c r="AA196" s="307">
        <f t="shared" si="243"/>
        <v>5015974.9503873009</v>
      </c>
      <c r="AB196" s="307">
        <f t="shared" si="243"/>
        <v>5311011.6621288611</v>
      </c>
      <c r="AC196" s="307">
        <f t="shared" si="243"/>
        <v>5598650.2780282116</v>
      </c>
      <c r="AD196" s="307">
        <f t="shared" si="243"/>
        <v>5887116.2698808797</v>
      </c>
      <c r="AE196" s="307">
        <f>SUM(AE184:AE195)</f>
        <v>6272925.5378923994</v>
      </c>
      <c r="AF196" s="307">
        <f>SUM(AF184:AF195)</f>
        <v>6659490.8253742894</v>
      </c>
      <c r="AG196" s="307">
        <f>SUM(AG184:AG195)</f>
        <v>6949681.8483049823</v>
      </c>
      <c r="AH196" s="307">
        <f t="shared" ref="AH196:AP196" si="244">SUM(AH184:AH195)</f>
        <v>7335266.5283708861</v>
      </c>
      <c r="AI196" s="307">
        <f t="shared" si="244"/>
        <v>7721182.9527284987</v>
      </c>
      <c r="AJ196" s="307">
        <f t="shared" si="244"/>
        <v>8010799.73064005</v>
      </c>
      <c r="AK196" s="307">
        <f t="shared" si="244"/>
        <v>8397001.7895563878</v>
      </c>
      <c r="AL196" s="307">
        <f t="shared" si="244"/>
        <v>9072669.0649810955</v>
      </c>
      <c r="AM196" s="307">
        <f t="shared" si="244"/>
        <v>9748192.8254618309</v>
      </c>
      <c r="AN196" s="307">
        <f t="shared" si="244"/>
        <v>12643675.985620651</v>
      </c>
      <c r="AO196" s="307">
        <f t="shared" si="244"/>
        <v>14381011.060570043</v>
      </c>
      <c r="AP196" s="307">
        <f t="shared" si="244"/>
        <v>16311371.759299133</v>
      </c>
      <c r="AR196" s="308">
        <v>1827075</v>
      </c>
      <c r="AS196" s="308">
        <f t="shared" si="236"/>
        <v>-34492</v>
      </c>
      <c r="AT196" s="308">
        <v>1333235</v>
      </c>
      <c r="AU196" s="308">
        <f t="shared" si="237"/>
        <v>17328</v>
      </c>
      <c r="AV196" s="308">
        <v>1900000</v>
      </c>
      <c r="AW196" s="308">
        <f t="shared" si="238"/>
        <v>1608</v>
      </c>
      <c r="AX196" s="309">
        <v>3150000</v>
      </c>
      <c r="AY196" s="308">
        <f t="shared" si="239"/>
        <v>-659882</v>
      </c>
      <c r="AZ196" s="309">
        <v>2500000</v>
      </c>
      <c r="BA196" s="308">
        <f t="shared" si="240"/>
        <v>273152</v>
      </c>
      <c r="BB196" s="331">
        <v>1975000</v>
      </c>
      <c r="BC196" s="308">
        <f t="shared" si="241"/>
        <v>500000</v>
      </c>
    </row>
    <row r="197" spans="1:55">
      <c r="A197" s="334"/>
      <c r="B197" s="334"/>
      <c r="C197" s="334"/>
      <c r="D197" s="334"/>
      <c r="E197" s="334"/>
      <c r="F197" s="334"/>
      <c r="G197" s="334"/>
      <c r="H197" s="334"/>
      <c r="I197" s="334"/>
      <c r="J197" s="334"/>
      <c r="K197" s="334"/>
      <c r="L197" s="334"/>
      <c r="M197" s="334"/>
      <c r="N197" s="334"/>
      <c r="O197" s="334"/>
      <c r="P197" s="334"/>
      <c r="Q197" s="334"/>
      <c r="R197" s="334"/>
      <c r="S197" s="334"/>
      <c r="T197" s="334"/>
      <c r="U197" s="334"/>
      <c r="V197" s="334"/>
      <c r="W197" s="334"/>
      <c r="X197" s="334"/>
      <c r="Y197" s="334"/>
      <c r="Z197" s="334"/>
      <c r="AA197" s="334"/>
      <c r="AB197" s="334"/>
      <c r="AC197" s="334"/>
      <c r="AD197" s="334"/>
      <c r="AE197" s="334"/>
      <c r="AF197" s="334"/>
      <c r="AG197" s="334"/>
      <c r="AH197" s="334"/>
      <c r="AI197" s="334"/>
      <c r="AJ197" s="334"/>
      <c r="AK197" s="334"/>
      <c r="AL197" s="334"/>
      <c r="AM197" s="334"/>
      <c r="AN197" s="334"/>
      <c r="AO197" s="334"/>
      <c r="AP197" s="334"/>
      <c r="AT197" s="309"/>
    </row>
    <row r="198" spans="1:55" ht="12" thickBot="1">
      <c r="A198" s="300" t="s">
        <v>444</v>
      </c>
      <c r="AT198" s="309"/>
    </row>
    <row r="199" spans="1:55" ht="12" thickBot="1">
      <c r="A199" s="328"/>
      <c r="B199" s="329">
        <f t="shared" ref="B199:AP199" si="245">B2</f>
        <v>2010</v>
      </c>
      <c r="C199" s="329">
        <f t="shared" si="245"/>
        <v>2011</v>
      </c>
      <c r="D199" s="329">
        <f t="shared" si="245"/>
        <v>2012</v>
      </c>
      <c r="E199" s="329">
        <f t="shared" si="245"/>
        <v>2013</v>
      </c>
      <c r="F199" s="329">
        <f t="shared" si="245"/>
        <v>2014</v>
      </c>
      <c r="G199" s="329">
        <f t="shared" si="245"/>
        <v>2015</v>
      </c>
      <c r="H199" s="329">
        <f t="shared" si="245"/>
        <v>2016</v>
      </c>
      <c r="I199" s="329">
        <f t="shared" si="245"/>
        <v>2017</v>
      </c>
      <c r="J199" s="329">
        <f t="shared" si="245"/>
        <v>2018</v>
      </c>
      <c r="K199" s="329">
        <f t="shared" si="245"/>
        <v>2019</v>
      </c>
      <c r="L199" s="329">
        <f t="shared" si="245"/>
        <v>2020</v>
      </c>
      <c r="M199" s="329">
        <f t="shared" si="245"/>
        <v>2021</v>
      </c>
      <c r="N199" s="329">
        <f t="shared" si="245"/>
        <v>2022</v>
      </c>
      <c r="O199" s="329">
        <f t="shared" si="245"/>
        <v>2023</v>
      </c>
      <c r="P199" s="329">
        <f t="shared" si="245"/>
        <v>2024</v>
      </c>
      <c r="Q199" s="329">
        <f t="shared" si="245"/>
        <v>2025</v>
      </c>
      <c r="R199" s="329">
        <f t="shared" si="245"/>
        <v>2026</v>
      </c>
      <c r="S199" s="329">
        <f t="shared" si="245"/>
        <v>2027</v>
      </c>
      <c r="T199" s="329">
        <f t="shared" si="245"/>
        <v>2028</v>
      </c>
      <c r="U199" s="329">
        <f t="shared" si="245"/>
        <v>2029</v>
      </c>
      <c r="V199" s="329">
        <f t="shared" si="245"/>
        <v>2030</v>
      </c>
      <c r="W199" s="329">
        <f t="shared" si="245"/>
        <v>2031</v>
      </c>
      <c r="X199" s="329">
        <f t="shared" si="245"/>
        <v>2032</v>
      </c>
      <c r="Y199" s="329">
        <f t="shared" si="245"/>
        <v>2033</v>
      </c>
      <c r="Z199" s="329">
        <f t="shared" si="245"/>
        <v>2034</v>
      </c>
      <c r="AA199" s="329">
        <f t="shared" si="245"/>
        <v>2035</v>
      </c>
      <c r="AB199" s="329">
        <f t="shared" si="245"/>
        <v>2036</v>
      </c>
      <c r="AC199" s="329">
        <f t="shared" si="245"/>
        <v>2037</v>
      </c>
      <c r="AD199" s="329">
        <f t="shared" si="245"/>
        <v>2038</v>
      </c>
      <c r="AE199" s="329">
        <f t="shared" si="245"/>
        <v>2039</v>
      </c>
      <c r="AF199" s="329">
        <f t="shared" si="245"/>
        <v>2040</v>
      </c>
      <c r="AG199" s="329">
        <f t="shared" si="245"/>
        <v>2041</v>
      </c>
      <c r="AH199" s="329">
        <f t="shared" si="245"/>
        <v>2042</v>
      </c>
      <c r="AI199" s="329">
        <f t="shared" si="245"/>
        <v>2043</v>
      </c>
      <c r="AJ199" s="329">
        <f t="shared" si="245"/>
        <v>2044</v>
      </c>
      <c r="AK199" s="329">
        <f t="shared" si="245"/>
        <v>2045</v>
      </c>
      <c r="AL199" s="329">
        <f t="shared" si="245"/>
        <v>2046</v>
      </c>
      <c r="AM199" s="329">
        <f t="shared" si="245"/>
        <v>2047</v>
      </c>
      <c r="AN199" s="329">
        <f t="shared" si="245"/>
        <v>2048</v>
      </c>
      <c r="AO199" s="329">
        <f t="shared" si="245"/>
        <v>2049</v>
      </c>
      <c r="AP199" s="329">
        <f t="shared" si="245"/>
        <v>2050</v>
      </c>
      <c r="AT199" s="309"/>
    </row>
    <row r="200" spans="1:55">
      <c r="A200" s="301" t="s">
        <v>43</v>
      </c>
      <c r="B200" s="308">
        <f>'Monthly D5 Gallon Data'!$H4</f>
        <v>0</v>
      </c>
      <c r="C200" s="308">
        <f>'Monthly D5 Gallon Data'!$H16</f>
        <v>490163</v>
      </c>
      <c r="D200" s="308">
        <f>'Monthly D5 Gallon Data'!$H28</f>
        <v>59505</v>
      </c>
      <c r="E200" s="308">
        <f>'Monthly D5 Gallon Data'!$H40</f>
        <v>0</v>
      </c>
      <c r="F200" s="308">
        <f>'Monthly D5 Gallon Data'!$H52</f>
        <v>0</v>
      </c>
      <c r="G200" s="308">
        <f>'Monthly D5 Gallon Data'!$H64</f>
        <v>37763</v>
      </c>
      <c r="H200" s="308">
        <f>'Monthly D5 Gallon Data'!$H76</f>
        <v>125765</v>
      </c>
      <c r="I200" s="308">
        <f>'Monthly D5 Gallon Data'!$H88</f>
        <v>152849</v>
      </c>
      <c r="J200" s="308">
        <f>'Monthly D5 Gallon Data'!$H100</f>
        <v>264103</v>
      </c>
      <c r="K200" s="308">
        <f>'Monthly D5 Gallon Data'!$H112</f>
        <v>372581</v>
      </c>
      <c r="L200" s="308">
        <f>'Monthly D5 Gallon Data'!$H124</f>
        <v>259436</v>
      </c>
      <c r="M200" s="308">
        <f>'Monthly D5 Gallon Data'!$H136</f>
        <v>173333</v>
      </c>
      <c r="N200" s="308">
        <f>'Monthly D5 Gallon Data'!$H148</f>
        <v>175856</v>
      </c>
      <c r="O200" s="308">
        <f>'Monthly D5 Gallon Data'!$H160</f>
        <v>143111</v>
      </c>
      <c r="P200" s="308">
        <f>'Monthly D5 Gallon Data'!$H172</f>
        <v>632838</v>
      </c>
      <c r="Q200" s="308">
        <f>'Monthly D5 Gallon Data'!$H184</f>
        <v>211105</v>
      </c>
      <c r="R200" s="307">
        <f t="shared" ref="Q200:AD210" si="246">(SUM(M200:Q200)/SUM(M$212:Q$212))*R$212</f>
        <v>367704.49554526986</v>
      </c>
      <c r="S200" s="307">
        <f t="shared" si="246"/>
        <v>376335.94304494164</v>
      </c>
      <c r="T200" s="307">
        <f t="shared" si="246"/>
        <v>435395.96325121797</v>
      </c>
      <c r="U200" s="307">
        <f t="shared" si="246"/>
        <v>498525.96453678427</v>
      </c>
      <c r="V200" s="307">
        <f t="shared" si="246"/>
        <v>459347.68787312187</v>
      </c>
      <c r="W200" s="307">
        <f t="shared" si="246"/>
        <v>519233.51600456174</v>
      </c>
      <c r="X200" s="307">
        <f t="shared" si="246"/>
        <v>532851.42480035766</v>
      </c>
      <c r="Y200" s="307">
        <f t="shared" si="246"/>
        <v>571799.32414877624</v>
      </c>
      <c r="Z200" s="307">
        <f t="shared" si="246"/>
        <v>596727.06580573809</v>
      </c>
      <c r="AA200" s="307">
        <f t="shared" si="246"/>
        <v>624923.17923270341</v>
      </c>
      <c r="AB200" s="307">
        <f t="shared" si="246"/>
        <v>665976.16191305337</v>
      </c>
      <c r="AC200" s="307">
        <f t="shared" si="246"/>
        <v>702639.97992808279</v>
      </c>
      <c r="AD200" s="307">
        <f t="shared" si="246"/>
        <v>739026.85200279555</v>
      </c>
      <c r="AE200" s="307">
        <f t="shared" ref="AE200:AE210" si="247">(SUM(Z200:AD200)/SUM(Z$212:AD$212))*AE$212</f>
        <v>786923.85646310635</v>
      </c>
      <c r="AF200" s="307">
        <f t="shared" ref="AF200:AP210" si="248">(SUM(AA200:AE200)/SUM(AA$212:AE$212))*AF$212</f>
        <v>834518.25442694908</v>
      </c>
      <c r="AG200" s="307">
        <f t="shared" si="248"/>
        <v>871734.18032742571</v>
      </c>
      <c r="AH200" s="307">
        <f t="shared" si="248"/>
        <v>920147.93033623172</v>
      </c>
      <c r="AI200" s="307">
        <f t="shared" si="248"/>
        <v>968478.38450297574</v>
      </c>
      <c r="AJ200" s="307">
        <f t="shared" si="248"/>
        <v>1004667.4483500143</v>
      </c>
      <c r="AK200" s="307">
        <f t="shared" si="248"/>
        <v>1053053.9979502445</v>
      </c>
      <c r="AL200" s="307">
        <f t="shared" si="248"/>
        <v>1137938.9509997182</v>
      </c>
      <c r="AM200" s="307">
        <f t="shared" si="248"/>
        <v>1222649.8998239466</v>
      </c>
      <c r="AN200" s="307">
        <f t="shared" si="248"/>
        <v>1585773.7467261208</v>
      </c>
      <c r="AO200" s="307">
        <f t="shared" si="248"/>
        <v>1803646.2147855982</v>
      </c>
      <c r="AP200" s="307">
        <f t="shared" si="248"/>
        <v>2045760.8806730804</v>
      </c>
      <c r="AR200" s="308">
        <v>511504.07996341883</v>
      </c>
      <c r="AS200" s="308">
        <f t="shared" ref="AS200:AS212" si="249">L200-AR200</f>
        <v>-252068.07996341883</v>
      </c>
      <c r="AT200" s="308">
        <v>338216.69440108456</v>
      </c>
      <c r="AU200" s="308">
        <f t="shared" ref="AU200:AU212" si="250">M200-AT200</f>
        <v>-164883.69440108456</v>
      </c>
      <c r="AV200" s="308">
        <v>245638.42232476111</v>
      </c>
      <c r="AW200" s="308">
        <f t="shared" ref="AW200:AW212" si="251">N200-AV200</f>
        <v>-69782.422324761108</v>
      </c>
      <c r="AX200" s="308">
        <v>281222.42459943367</v>
      </c>
      <c r="AY200" s="308">
        <f t="shared" ref="AY200:AY212" si="252">O200-AX200</f>
        <v>-138111.42459943367</v>
      </c>
      <c r="AZ200" s="308">
        <v>632838</v>
      </c>
      <c r="BA200" s="308">
        <f t="shared" ref="BA200:BA212" si="253">P200-AZ200</f>
        <v>0</v>
      </c>
      <c r="BB200" s="331">
        <v>211105</v>
      </c>
      <c r="BC200" s="308">
        <f t="shared" ref="BC200:BC212" si="254">Q200-BB200</f>
        <v>0</v>
      </c>
    </row>
    <row r="201" spans="1:55">
      <c r="A201" s="301" t="s">
        <v>44</v>
      </c>
      <c r="B201" s="308">
        <f>'Monthly D5 Gallon Data'!$H5</f>
        <v>0</v>
      </c>
      <c r="C201" s="308">
        <f>'Monthly D5 Gallon Data'!$H17</f>
        <v>165209</v>
      </c>
      <c r="D201" s="308">
        <f>'Monthly D5 Gallon Data'!$H29</f>
        <v>25663</v>
      </c>
      <c r="E201" s="308">
        <f>'Monthly D5 Gallon Data'!$H41</f>
        <v>0</v>
      </c>
      <c r="F201" s="308">
        <f>'Monthly D5 Gallon Data'!$H53</f>
        <v>0</v>
      </c>
      <c r="G201" s="308">
        <f>'Monthly D5 Gallon Data'!$H65</f>
        <v>55101</v>
      </c>
      <c r="H201" s="308">
        <f>'Monthly D5 Gallon Data'!$H77</f>
        <v>138896</v>
      </c>
      <c r="I201" s="308">
        <f>'Monthly D5 Gallon Data'!$H89</f>
        <v>145129</v>
      </c>
      <c r="J201" s="308">
        <f>'Monthly D5 Gallon Data'!$H101</f>
        <v>243659</v>
      </c>
      <c r="K201" s="308">
        <f>'Monthly D5 Gallon Data'!$H113</f>
        <v>298465</v>
      </c>
      <c r="L201" s="308">
        <f>'Monthly D5 Gallon Data'!$H125</f>
        <v>202527</v>
      </c>
      <c r="M201" s="308">
        <f>'Monthly D5 Gallon Data'!$H137</f>
        <v>190850</v>
      </c>
      <c r="N201" s="308">
        <f>'Monthly D5 Gallon Data'!$H149</f>
        <v>118334</v>
      </c>
      <c r="O201" s="308">
        <f>'Monthly D5 Gallon Data'!$H161</f>
        <v>225187</v>
      </c>
      <c r="P201" s="308">
        <f>'Monthly D5 Gallon Data'!$H173</f>
        <v>0</v>
      </c>
      <c r="Q201" s="332">
        <f>'Monthly D5 Gallon Data'!$H185</f>
        <v>70616</v>
      </c>
      <c r="R201" s="307">
        <f t="shared" si="246"/>
        <v>166479.03086971919</v>
      </c>
      <c r="S201" s="307">
        <f t="shared" si="246"/>
        <v>142757.48868203771</v>
      </c>
      <c r="T201" s="307">
        <f t="shared" si="246"/>
        <v>152176.42581927992</v>
      </c>
      <c r="U201" s="307">
        <f t="shared" si="246"/>
        <v>131082.80281552958</v>
      </c>
      <c r="V201" s="307">
        <f t="shared" si="246"/>
        <v>161242.97828244776</v>
      </c>
      <c r="W201" s="307">
        <f t="shared" si="246"/>
        <v>183111.66801224637</v>
      </c>
      <c r="X201" s="307">
        <f t="shared" si="246"/>
        <v>179345.71427993555</v>
      </c>
      <c r="Y201" s="307">
        <f t="shared" si="246"/>
        <v>188692.04324797832</v>
      </c>
      <c r="Z201" s="307">
        <f t="shared" si="246"/>
        <v>194954.17511919219</v>
      </c>
      <c r="AA201" s="307">
        <f t="shared" si="246"/>
        <v>211578.57446176506</v>
      </c>
      <c r="AB201" s="307">
        <f t="shared" si="246"/>
        <v>224138.38141132539</v>
      </c>
      <c r="AC201" s="307">
        <f t="shared" si="246"/>
        <v>234514.63779016759</v>
      </c>
      <c r="AD201" s="307">
        <f t="shared" si="246"/>
        <v>246308.60740941053</v>
      </c>
      <c r="AE201" s="307">
        <f t="shared" si="247"/>
        <v>262716.85255443986</v>
      </c>
      <c r="AF201" s="307">
        <f t="shared" si="248"/>
        <v>279617.65189096384</v>
      </c>
      <c r="AG201" s="307">
        <f t="shared" si="248"/>
        <v>291575.71894822764</v>
      </c>
      <c r="AH201" s="307">
        <f t="shared" si="248"/>
        <v>307445.3649633351</v>
      </c>
      <c r="AI201" s="307">
        <f t="shared" si="248"/>
        <v>323653.45673851355</v>
      </c>
      <c r="AJ201" s="307">
        <f t="shared" si="248"/>
        <v>335899.8639307316</v>
      </c>
      <c r="AK201" s="307">
        <f t="shared" si="248"/>
        <v>352165.0234553793</v>
      </c>
      <c r="AL201" s="307">
        <f t="shared" si="248"/>
        <v>380425.89506382315</v>
      </c>
      <c r="AM201" s="307">
        <f t="shared" si="248"/>
        <v>408710.83337935718</v>
      </c>
      <c r="AN201" s="307">
        <f t="shared" si="248"/>
        <v>530139.35844130884</v>
      </c>
      <c r="AO201" s="307">
        <f t="shared" si="248"/>
        <v>603011.70396435366</v>
      </c>
      <c r="AP201" s="307">
        <f t="shared" si="248"/>
        <v>683954.67191710579</v>
      </c>
      <c r="AR201" s="308">
        <v>436477.65151619702</v>
      </c>
      <c r="AS201" s="308">
        <f t="shared" si="249"/>
        <v>-233950.65151619702</v>
      </c>
      <c r="AT201" s="308">
        <v>298177.77391624829</v>
      </c>
      <c r="AU201" s="308">
        <f t="shared" si="250"/>
        <v>-107327.77391624829</v>
      </c>
      <c r="AV201" s="308">
        <v>231249.3648935534</v>
      </c>
      <c r="AW201" s="308">
        <f t="shared" si="251"/>
        <v>-112915.3648935534</v>
      </c>
      <c r="AX201" s="308">
        <v>237982.72864625906</v>
      </c>
      <c r="AY201" s="308">
        <f t="shared" si="252"/>
        <v>-12795.728646259056</v>
      </c>
      <c r="AZ201" s="308">
        <v>0</v>
      </c>
      <c r="BA201" s="308">
        <f t="shared" si="253"/>
        <v>0</v>
      </c>
      <c r="BB201" s="331">
        <v>70616</v>
      </c>
      <c r="BC201" s="308">
        <f t="shared" si="254"/>
        <v>0</v>
      </c>
    </row>
    <row r="202" spans="1:55">
      <c r="A202" s="301" t="s">
        <v>45</v>
      </c>
      <c r="B202" s="308">
        <f>'Monthly D5 Gallon Data'!$H6</f>
        <v>0</v>
      </c>
      <c r="C202" s="308">
        <f>'Monthly D5 Gallon Data'!$H18</f>
        <v>651051</v>
      </c>
      <c r="D202" s="308">
        <f>'Monthly D5 Gallon Data'!$H30</f>
        <v>6454</v>
      </c>
      <c r="E202" s="308">
        <f>'Monthly D5 Gallon Data'!$H42</f>
        <v>0</v>
      </c>
      <c r="F202" s="308">
        <f>'Monthly D5 Gallon Data'!$H54</f>
        <v>0</v>
      </c>
      <c r="G202" s="308">
        <f>'Monthly D5 Gallon Data'!$H66</f>
        <v>42124</v>
      </c>
      <c r="H202" s="308">
        <f>'Monthly D5 Gallon Data'!$H78</f>
        <v>90201</v>
      </c>
      <c r="I202" s="308">
        <f>'Monthly D5 Gallon Data'!$H90</f>
        <v>158088</v>
      </c>
      <c r="J202" s="308">
        <f>'Monthly D5 Gallon Data'!$H102</f>
        <v>248001</v>
      </c>
      <c r="K202" s="308">
        <f>'Monthly D5 Gallon Data'!$H114</f>
        <v>300692</v>
      </c>
      <c r="L202" s="308">
        <f>'Monthly D5 Gallon Data'!$H126</f>
        <v>258720</v>
      </c>
      <c r="M202" s="308">
        <f>'Monthly D5 Gallon Data'!$H138</f>
        <v>182168</v>
      </c>
      <c r="N202" s="308">
        <f>'Monthly D5 Gallon Data'!$H150</f>
        <v>287837</v>
      </c>
      <c r="O202" s="308">
        <f>'Monthly D5 Gallon Data'!$H162</f>
        <v>310805</v>
      </c>
      <c r="P202" s="308">
        <f>'Monthly D5 Gallon Data'!$H174</f>
        <v>165552</v>
      </c>
      <c r="Q202" s="332">
        <f>'Monthly D5 Gallon Data'!$H186</f>
        <v>211997</v>
      </c>
      <c r="R202" s="307">
        <f t="shared" si="246"/>
        <v>318754.75624966662</v>
      </c>
      <c r="S202" s="307">
        <f t="shared" si="246"/>
        <v>318391.49164509517</v>
      </c>
      <c r="T202" s="307">
        <f t="shared" si="246"/>
        <v>333383.00000077847</v>
      </c>
      <c r="U202" s="307">
        <f t="shared" si="246"/>
        <v>332143.34800065856</v>
      </c>
      <c r="V202" s="307">
        <f t="shared" si="246"/>
        <v>368308.71632734319</v>
      </c>
      <c r="W202" s="307">
        <f t="shared" si="246"/>
        <v>405944.61257408082</v>
      </c>
      <c r="X202" s="307">
        <f t="shared" si="246"/>
        <v>409309.69003232848</v>
      </c>
      <c r="Y202" s="307">
        <f t="shared" si="246"/>
        <v>432374.13057688501</v>
      </c>
      <c r="Z202" s="307">
        <f t="shared" si="246"/>
        <v>450263.88857572415</v>
      </c>
      <c r="AA202" s="307">
        <f t="shared" si="246"/>
        <v>481804.7263699139</v>
      </c>
      <c r="AB202" s="307">
        <f t="shared" si="246"/>
        <v>510141.86232804792</v>
      </c>
      <c r="AC202" s="307">
        <f t="shared" si="246"/>
        <v>536299.06589962821</v>
      </c>
      <c r="AD202" s="307">
        <f t="shared" si="246"/>
        <v>563463.23409487423</v>
      </c>
      <c r="AE202" s="307">
        <f t="shared" si="247"/>
        <v>600829.92917248083</v>
      </c>
      <c r="AF202" s="307">
        <f t="shared" si="248"/>
        <v>638437.03928756434</v>
      </c>
      <c r="AG202" s="307">
        <f t="shared" si="248"/>
        <v>666040.00459852885</v>
      </c>
      <c r="AH202" s="307">
        <f t="shared" si="248"/>
        <v>702723.89154471934</v>
      </c>
      <c r="AI202" s="307">
        <f t="shared" si="248"/>
        <v>739707.07841356669</v>
      </c>
      <c r="AJ202" s="307">
        <f t="shared" si="248"/>
        <v>767575.27422762266</v>
      </c>
      <c r="AK202" s="307">
        <f t="shared" si="248"/>
        <v>804631.70016385312</v>
      </c>
      <c r="AL202" s="307">
        <f t="shared" si="248"/>
        <v>869305.84723904368</v>
      </c>
      <c r="AM202" s="307">
        <f t="shared" si="248"/>
        <v>933996.00702492695</v>
      </c>
      <c r="AN202" s="307">
        <f t="shared" si="248"/>
        <v>1211445.5816315522</v>
      </c>
      <c r="AO202" s="307">
        <f t="shared" si="248"/>
        <v>1377935.9014773443</v>
      </c>
      <c r="AP202" s="307">
        <f t="shared" si="248"/>
        <v>1562893.6678713628</v>
      </c>
      <c r="AR202" s="308">
        <v>328108.41321670776</v>
      </c>
      <c r="AS202" s="308">
        <f t="shared" si="249"/>
        <v>-69388.413216707762</v>
      </c>
      <c r="AT202" s="308">
        <v>204406.23181402171</v>
      </c>
      <c r="AU202" s="308">
        <f t="shared" si="250"/>
        <v>-22238.23181402171</v>
      </c>
      <c r="AV202" s="308">
        <v>245595.3724753334</v>
      </c>
      <c r="AW202" s="308">
        <f t="shared" si="251"/>
        <v>42241.627524666605</v>
      </c>
      <c r="AX202" s="308">
        <v>274049.7802775146</v>
      </c>
      <c r="AY202" s="308">
        <f t="shared" si="252"/>
        <v>36755.219722485403</v>
      </c>
      <c r="AZ202" s="308">
        <v>165552</v>
      </c>
      <c r="BA202" s="308">
        <f t="shared" si="253"/>
        <v>0</v>
      </c>
      <c r="BB202" s="331">
        <v>230891.67720214854</v>
      </c>
      <c r="BC202" s="308">
        <f t="shared" si="254"/>
        <v>-18894.677202148538</v>
      </c>
    </row>
    <row r="203" spans="1:55">
      <c r="A203" s="301" t="s">
        <v>46</v>
      </c>
      <c r="B203" s="308">
        <f>'Monthly D5 Gallon Data'!$H7</f>
        <v>0</v>
      </c>
      <c r="C203" s="308">
        <f>'Monthly D5 Gallon Data'!$H19</f>
        <v>308060</v>
      </c>
      <c r="D203" s="308">
        <f>'Monthly D5 Gallon Data'!$H31</f>
        <v>0</v>
      </c>
      <c r="E203" s="308">
        <f>'Monthly D5 Gallon Data'!$H43</f>
        <v>0</v>
      </c>
      <c r="F203" s="308">
        <f>'Monthly D5 Gallon Data'!$H55</f>
        <v>0</v>
      </c>
      <c r="G203" s="308">
        <f>'Monthly D5 Gallon Data'!$H67</f>
        <v>32261</v>
      </c>
      <c r="H203" s="308">
        <f>'Monthly D5 Gallon Data'!$H79</f>
        <v>58963</v>
      </c>
      <c r="I203" s="308">
        <f>'Monthly D5 Gallon Data'!$H91</f>
        <v>100562</v>
      </c>
      <c r="J203" s="308">
        <f>'Monthly D5 Gallon Data'!$H103</f>
        <v>181496</v>
      </c>
      <c r="K203" s="308">
        <f>'Monthly D5 Gallon Data'!$H115</f>
        <v>155995</v>
      </c>
      <c r="L203" s="308">
        <f>'Monthly D5 Gallon Data'!$H127</f>
        <v>199425</v>
      </c>
      <c r="M203" s="308">
        <f>'Monthly D5 Gallon Data'!$H139</f>
        <v>122065</v>
      </c>
      <c r="N203" s="308">
        <f>'Monthly D5 Gallon Data'!$H151</f>
        <v>246187</v>
      </c>
      <c r="O203" s="308">
        <f>'Monthly D5 Gallon Data'!$H163</f>
        <v>325750</v>
      </c>
      <c r="P203" s="308">
        <f>'Monthly D5 Gallon Data'!$H175</f>
        <v>141198</v>
      </c>
      <c r="Q203" s="307">
        <f t="shared" si="246"/>
        <v>248417.8223682832</v>
      </c>
      <c r="R203" s="307">
        <f t="shared" si="246"/>
        <v>298187.63857905596</v>
      </c>
      <c r="S203" s="307">
        <f t="shared" si="246"/>
        <v>309735.47927467973</v>
      </c>
      <c r="T203" s="307">
        <f t="shared" si="246"/>
        <v>332826.82327653066</v>
      </c>
      <c r="U203" s="307">
        <f t="shared" si="246"/>
        <v>327779.29578172404</v>
      </c>
      <c r="V203" s="307">
        <f t="shared" si="246"/>
        <v>368862.50681587198</v>
      </c>
      <c r="W203" s="307">
        <f t="shared" si="246"/>
        <v>397784.43491693825</v>
      </c>
      <c r="X203" s="307">
        <f t="shared" si="246"/>
        <v>404378.28445975005</v>
      </c>
      <c r="Y203" s="307">
        <f t="shared" si="246"/>
        <v>428291.90660093672</v>
      </c>
      <c r="Z203" s="307">
        <f t="shared" si="246"/>
        <v>445413.79717068787</v>
      </c>
      <c r="AA203" s="307">
        <f t="shared" si="246"/>
        <v>476798.24375846458</v>
      </c>
      <c r="AB203" s="307">
        <f t="shared" si="246"/>
        <v>503815.60289307561</v>
      </c>
      <c r="AC203" s="307">
        <f t="shared" si="246"/>
        <v>530382.48754335637</v>
      </c>
      <c r="AD203" s="307">
        <f t="shared" si="246"/>
        <v>557344.15446727129</v>
      </c>
      <c r="AE203" s="307">
        <f t="shared" si="247"/>
        <v>594160.10392412951</v>
      </c>
      <c r="AF203" s="307">
        <f t="shared" si="248"/>
        <v>631314.57349984383</v>
      </c>
      <c r="AG203" s="307">
        <f t="shared" si="248"/>
        <v>658523.43638828804</v>
      </c>
      <c r="AH203" s="307">
        <f t="shared" si="248"/>
        <v>694926.40443858341</v>
      </c>
      <c r="AI203" s="307">
        <f t="shared" si="248"/>
        <v>731491.23561938561</v>
      </c>
      <c r="AJ203" s="307">
        <f t="shared" si="248"/>
        <v>759017.97671610257</v>
      </c>
      <c r="AK203" s="307">
        <f t="shared" si="248"/>
        <v>795654.75136739924</v>
      </c>
      <c r="AL203" s="307">
        <f t="shared" si="248"/>
        <v>859607.28046682756</v>
      </c>
      <c r="AM203" s="307">
        <f t="shared" si="248"/>
        <v>923596.33930818597</v>
      </c>
      <c r="AN203" s="307">
        <f t="shared" si="248"/>
        <v>1197948.6594058541</v>
      </c>
      <c r="AO203" s="307">
        <f t="shared" si="248"/>
        <v>1362576.4638757885</v>
      </c>
      <c r="AP203" s="307">
        <f t="shared" si="248"/>
        <v>1545472.9725225361</v>
      </c>
      <c r="AR203" s="308">
        <v>131073.82794919849</v>
      </c>
      <c r="AS203" s="308">
        <f t="shared" si="249"/>
        <v>68351.172050801513</v>
      </c>
      <c r="AT203" s="308">
        <v>136727.08716454936</v>
      </c>
      <c r="AU203" s="308">
        <f t="shared" si="250"/>
        <v>-14662.087164549361</v>
      </c>
      <c r="AV203" s="308">
        <v>162538.36776634393</v>
      </c>
      <c r="AW203" s="308">
        <f t="shared" si="251"/>
        <v>83648.63223365607</v>
      </c>
      <c r="AX203" s="308">
        <v>194189.44426510143</v>
      </c>
      <c r="AY203" s="308">
        <f t="shared" si="252"/>
        <v>131560.55573489857</v>
      </c>
      <c r="AZ203" s="308">
        <v>141198</v>
      </c>
      <c r="BA203" s="308">
        <f t="shared" si="253"/>
        <v>0</v>
      </c>
      <c r="BB203" s="331">
        <v>198232.40370802398</v>
      </c>
      <c r="BC203" s="308">
        <f t="shared" si="254"/>
        <v>50185.418660259224</v>
      </c>
    </row>
    <row r="204" spans="1:55">
      <c r="A204" s="301" t="s">
        <v>47</v>
      </c>
      <c r="B204" s="308">
        <f>'Monthly D5 Gallon Data'!$H8</f>
        <v>0</v>
      </c>
      <c r="C204" s="308">
        <f>'Monthly D5 Gallon Data'!$H20</f>
        <v>320058</v>
      </c>
      <c r="D204" s="308">
        <f>'Monthly D5 Gallon Data'!$H32</f>
        <v>0</v>
      </c>
      <c r="E204" s="308">
        <f>'Monthly D5 Gallon Data'!$H44</f>
        <v>0</v>
      </c>
      <c r="F204" s="308">
        <f>'Monthly D5 Gallon Data'!$H56</f>
        <v>0</v>
      </c>
      <c r="G204" s="308">
        <f>'Monthly D5 Gallon Data'!$H68</f>
        <v>32062</v>
      </c>
      <c r="H204" s="308">
        <f>'Monthly D5 Gallon Data'!$H80</f>
        <v>47696</v>
      </c>
      <c r="I204" s="308">
        <f>'Monthly D5 Gallon Data'!$H92</f>
        <v>28517</v>
      </c>
      <c r="J204" s="308">
        <f>'Monthly D5 Gallon Data'!$H104</f>
        <v>86075</v>
      </c>
      <c r="K204" s="308">
        <f>'Monthly D5 Gallon Data'!$H116</f>
        <v>120715</v>
      </c>
      <c r="L204" s="308">
        <f>'Monthly D5 Gallon Data'!$H128</f>
        <v>144926</v>
      </c>
      <c r="M204" s="308">
        <f>'Monthly D5 Gallon Data'!$H140</f>
        <v>40718</v>
      </c>
      <c r="N204" s="308">
        <f>'Monthly D5 Gallon Data'!$H152</f>
        <v>183328</v>
      </c>
      <c r="O204" s="308">
        <f>'Monthly D5 Gallon Data'!$H164</f>
        <v>213817</v>
      </c>
      <c r="P204" s="308">
        <f>'Monthly D5 Gallon Data'!$H176</f>
        <v>0</v>
      </c>
      <c r="Q204" s="307">
        <f>(SUM(L204:P204)/SUM(L$212:P$212))*Q$212+50000</f>
        <v>189930.09474948837</v>
      </c>
      <c r="R204" s="307">
        <f t="shared" si="246"/>
        <v>172754.76332647912</v>
      </c>
      <c r="S204" s="307">
        <f t="shared" si="246"/>
        <v>186821.23227302599</v>
      </c>
      <c r="T204" s="307">
        <f t="shared" si="246"/>
        <v>191987.0948606696</v>
      </c>
      <c r="U204" s="307">
        <f t="shared" si="246"/>
        <v>182691.19722069264</v>
      </c>
      <c r="V204" s="307">
        <f t="shared" si="246"/>
        <v>224725.68569735094</v>
      </c>
      <c r="W204" s="307">
        <f t="shared" si="246"/>
        <v>232972.53590544284</v>
      </c>
      <c r="X204" s="307">
        <f t="shared" si="246"/>
        <v>237273.54932336512</v>
      </c>
      <c r="Y204" s="307">
        <f t="shared" si="246"/>
        <v>250117.17891220644</v>
      </c>
      <c r="Z204" s="307">
        <f t="shared" si="246"/>
        <v>260666.16606553696</v>
      </c>
      <c r="AA204" s="307">
        <f t="shared" si="246"/>
        <v>281162.62792377989</v>
      </c>
      <c r="AB204" s="307">
        <f t="shared" si="246"/>
        <v>295406.6519028435</v>
      </c>
      <c r="AC204" s="307">
        <f t="shared" si="246"/>
        <v>311045.82226481155</v>
      </c>
      <c r="AD204" s="307">
        <f t="shared" si="246"/>
        <v>326828.75582842866</v>
      </c>
      <c r="AE204" s="307">
        <f t="shared" si="247"/>
        <v>348662.36930564005</v>
      </c>
      <c r="AF204" s="307">
        <f t="shared" si="248"/>
        <v>370633.43532151118</v>
      </c>
      <c r="AG204" s="307">
        <f t="shared" si="248"/>
        <v>386316.70939244452</v>
      </c>
      <c r="AH204" s="307">
        <f t="shared" si="248"/>
        <v>407707.75077100162</v>
      </c>
      <c r="AI204" s="307">
        <f t="shared" si="248"/>
        <v>429189.27594612853</v>
      </c>
      <c r="AJ204" s="307">
        <f t="shared" si="248"/>
        <v>445382.02177112782</v>
      </c>
      <c r="AK204" s="307">
        <f t="shared" si="248"/>
        <v>466876.15739103314</v>
      </c>
      <c r="AL204" s="307">
        <f t="shared" si="248"/>
        <v>504357.68853151554</v>
      </c>
      <c r="AM204" s="307">
        <f t="shared" si="248"/>
        <v>541916.19603688444</v>
      </c>
      <c r="AN204" s="307">
        <f t="shared" si="248"/>
        <v>702902.23707336257</v>
      </c>
      <c r="AO204" s="307">
        <f t="shared" si="248"/>
        <v>799503.44923343684</v>
      </c>
      <c r="AP204" s="307">
        <f t="shared" si="248"/>
        <v>906813.02148931194</v>
      </c>
      <c r="AR204" s="308">
        <v>85271.766054649153</v>
      </c>
      <c r="AS204" s="308">
        <f t="shared" si="249"/>
        <v>59654.233945350847</v>
      </c>
      <c r="AT204" s="308">
        <v>84201.438891791899</v>
      </c>
      <c r="AU204" s="308">
        <f t="shared" si="250"/>
        <v>-43483.438891791899</v>
      </c>
      <c r="AV204" s="308">
        <v>90081.389005770892</v>
      </c>
      <c r="AW204" s="308">
        <f t="shared" si="251"/>
        <v>93246.610994229108</v>
      </c>
      <c r="AX204" s="308">
        <v>123520.60922277778</v>
      </c>
      <c r="AY204" s="308">
        <f t="shared" si="252"/>
        <v>90296.390777222216</v>
      </c>
      <c r="AZ204" s="308">
        <v>0</v>
      </c>
      <c r="BA204" s="308">
        <f t="shared" si="253"/>
        <v>0</v>
      </c>
      <c r="BB204" s="331">
        <v>161661.38873949071</v>
      </c>
      <c r="BC204" s="308">
        <f t="shared" si="254"/>
        <v>28268.706009997666</v>
      </c>
    </row>
    <row r="205" spans="1:55">
      <c r="A205" s="301" t="s">
        <v>48</v>
      </c>
      <c r="B205" s="308">
        <f>'Monthly D5 Gallon Data'!$H9</f>
        <v>0</v>
      </c>
      <c r="C205" s="308">
        <f>'Monthly D5 Gallon Data'!$H21</f>
        <v>607121</v>
      </c>
      <c r="D205" s="308">
        <f>'Monthly D5 Gallon Data'!$H33</f>
        <v>12067</v>
      </c>
      <c r="E205" s="308">
        <f>'Monthly D5 Gallon Data'!$H45</f>
        <v>0</v>
      </c>
      <c r="F205" s="308">
        <f>'Monthly D5 Gallon Data'!$H57</f>
        <v>0</v>
      </c>
      <c r="G205" s="308">
        <f>'Monthly D5 Gallon Data'!$H69</f>
        <v>24369</v>
      </c>
      <c r="H205" s="308">
        <f>'Monthly D5 Gallon Data'!$H81</f>
        <v>44179</v>
      </c>
      <c r="I205" s="308">
        <f>'Monthly D5 Gallon Data'!$H93</f>
        <v>41729</v>
      </c>
      <c r="J205" s="308">
        <f>'Monthly D5 Gallon Data'!$H105</f>
        <v>57169</v>
      </c>
      <c r="K205" s="308">
        <f>'Monthly D5 Gallon Data'!$H117</f>
        <v>57282</v>
      </c>
      <c r="L205" s="308">
        <f>'Monthly D5 Gallon Data'!$H129</f>
        <v>65082</v>
      </c>
      <c r="M205" s="308">
        <f>'Monthly D5 Gallon Data'!$H141</f>
        <v>39743</v>
      </c>
      <c r="N205" s="308">
        <f>'Monthly D5 Gallon Data'!$H153</f>
        <v>90471</v>
      </c>
      <c r="O205" s="308">
        <f>'Monthly D5 Gallon Data'!$H165</f>
        <v>228834</v>
      </c>
      <c r="P205" s="308">
        <f>'Monthly D5 Gallon Data'!$H177</f>
        <v>389879</v>
      </c>
      <c r="Q205" s="307">
        <f t="shared" si="246"/>
        <v>195446.99110130128</v>
      </c>
      <c r="R205" s="307">
        <f t="shared" si="246"/>
        <v>259870.81840950871</v>
      </c>
      <c r="S205" s="307">
        <f t="shared" si="246"/>
        <v>286318.91827450029</v>
      </c>
      <c r="T205" s="307">
        <f t="shared" si="246"/>
        <v>342148.16181257786</v>
      </c>
      <c r="U205" s="307">
        <f t="shared" si="246"/>
        <v>363085.49513562309</v>
      </c>
      <c r="V205" s="307">
        <f t="shared" si="246"/>
        <v>351822.58595343737</v>
      </c>
      <c r="W205" s="307">
        <f t="shared" si="246"/>
        <v>389489.1362835188</v>
      </c>
      <c r="X205" s="307">
        <f t="shared" si="246"/>
        <v>403418.14332394133</v>
      </c>
      <c r="Y205" s="307">
        <f t="shared" si="246"/>
        <v>432578.53511406772</v>
      </c>
      <c r="Z205" s="307">
        <f t="shared" si="246"/>
        <v>448487.26837131527</v>
      </c>
      <c r="AA205" s="307">
        <f t="shared" si="246"/>
        <v>472382.84659375151</v>
      </c>
      <c r="AB205" s="307">
        <f t="shared" si="246"/>
        <v>502338.62184154341</v>
      </c>
      <c r="AC205" s="307">
        <f t="shared" si="246"/>
        <v>530501.67645420204</v>
      </c>
      <c r="AD205" s="307">
        <f t="shared" si="246"/>
        <v>557715.04157420574</v>
      </c>
      <c r="AE205" s="307">
        <f t="shared" si="247"/>
        <v>593609.65296100429</v>
      </c>
      <c r="AF205" s="307">
        <f t="shared" si="248"/>
        <v>629903.09594606457</v>
      </c>
      <c r="AG205" s="307">
        <f t="shared" si="248"/>
        <v>657834.09867514763</v>
      </c>
      <c r="AH205" s="307">
        <f t="shared" si="248"/>
        <v>694421.01841971523</v>
      </c>
      <c r="AI205" s="307">
        <f t="shared" si="248"/>
        <v>730841.4944783994</v>
      </c>
      <c r="AJ205" s="307">
        <f t="shared" si="248"/>
        <v>758145.24011013121</v>
      </c>
      <c r="AK205" s="307">
        <f t="shared" si="248"/>
        <v>794709.50116779702</v>
      </c>
      <c r="AL205" s="307">
        <f t="shared" si="248"/>
        <v>858742.27931661275</v>
      </c>
      <c r="AM205" s="307">
        <f t="shared" si="248"/>
        <v>922673.36400656705</v>
      </c>
      <c r="AN205" s="307">
        <f t="shared" si="248"/>
        <v>1196695.8565380119</v>
      </c>
      <c r="AO205" s="307">
        <f t="shared" si="248"/>
        <v>1361116.8748583242</v>
      </c>
      <c r="AP205" s="307">
        <f t="shared" si="248"/>
        <v>1543835.411076434</v>
      </c>
      <c r="AR205" s="308">
        <v>60026.853625504526</v>
      </c>
      <c r="AS205" s="308">
        <f t="shared" si="249"/>
        <v>5055.1463744954744</v>
      </c>
      <c r="AT205" s="308">
        <v>56888.712456683556</v>
      </c>
      <c r="AU205" s="308">
        <f t="shared" si="250"/>
        <v>-17145.712456683556</v>
      </c>
      <c r="AV205" s="308">
        <v>55853.752425938481</v>
      </c>
      <c r="AW205" s="308">
        <f t="shared" si="251"/>
        <v>34617.247574061519</v>
      </c>
      <c r="AX205" s="308">
        <v>69948.745534161237</v>
      </c>
      <c r="AY205" s="308">
        <f t="shared" si="252"/>
        <v>158885.25446583878</v>
      </c>
      <c r="AZ205" s="308">
        <v>389879</v>
      </c>
      <c r="BA205" s="308">
        <f t="shared" si="253"/>
        <v>0</v>
      </c>
      <c r="BB205" s="331">
        <v>155962.75047477576</v>
      </c>
      <c r="BC205" s="308">
        <f t="shared" si="254"/>
        <v>39484.240626525512</v>
      </c>
    </row>
    <row r="206" spans="1:55">
      <c r="A206" s="301" t="s">
        <v>49</v>
      </c>
      <c r="B206" s="308">
        <f>'Monthly D5 Gallon Data'!$H10</f>
        <v>414393</v>
      </c>
      <c r="C206" s="308">
        <f>'Monthly D5 Gallon Data'!$H22</f>
        <v>309797</v>
      </c>
      <c r="D206" s="308">
        <f>'Monthly D5 Gallon Data'!$H34</f>
        <v>18890</v>
      </c>
      <c r="E206" s="308">
        <f>'Monthly D5 Gallon Data'!$H46</f>
        <v>0</v>
      </c>
      <c r="F206" s="308">
        <f>'Monthly D5 Gallon Data'!$H58</f>
        <v>0</v>
      </c>
      <c r="G206" s="308">
        <f>'Monthly D5 Gallon Data'!$H70</f>
        <v>40808</v>
      </c>
      <c r="H206" s="308">
        <f>'Monthly D5 Gallon Data'!$H82</f>
        <v>42993</v>
      </c>
      <c r="I206" s="308">
        <f>'Monthly D5 Gallon Data'!$H94</f>
        <v>26125</v>
      </c>
      <c r="J206" s="308">
        <f>'Monthly D5 Gallon Data'!$H106</f>
        <v>24500</v>
      </c>
      <c r="K206" s="308">
        <f>'Monthly D5 Gallon Data'!$H118</f>
        <v>79585</v>
      </c>
      <c r="L206" s="308">
        <f>'Monthly D5 Gallon Data'!$H130</f>
        <v>40728</v>
      </c>
      <c r="M206" s="308">
        <f>'Monthly D5 Gallon Data'!$H142</f>
        <v>32631</v>
      </c>
      <c r="N206" s="308">
        <f>'Monthly D5 Gallon Data'!$H154</f>
        <v>0</v>
      </c>
      <c r="O206" s="308">
        <f>'Monthly D5 Gallon Data'!$H166</f>
        <v>247129</v>
      </c>
      <c r="P206" s="308">
        <f>'Monthly D5 Gallon Data'!$H178</f>
        <v>204034</v>
      </c>
      <c r="Q206" s="307">
        <f>(SUM(L206:P206)/SUM(L$212:P$212))*Q$212+50000</f>
        <v>175939.94251468562</v>
      </c>
      <c r="R206" s="307">
        <f t="shared" si="246"/>
        <v>181544.17761324442</v>
      </c>
      <c r="S206" s="307">
        <f t="shared" si="246"/>
        <v>198824.05231992004</v>
      </c>
      <c r="T206" s="307">
        <f t="shared" si="246"/>
        <v>253393.96384000723</v>
      </c>
      <c r="U206" s="307">
        <f t="shared" si="246"/>
        <v>249767.1888271514</v>
      </c>
      <c r="V206" s="307">
        <f t="shared" si="246"/>
        <v>257621.72039270727</v>
      </c>
      <c r="W206" s="307">
        <f t="shared" si="246"/>
        <v>277228.79903220513</v>
      </c>
      <c r="X206" s="307">
        <f t="shared" si="246"/>
        <v>287940.59192660102</v>
      </c>
      <c r="Y206" s="307">
        <f t="shared" si="246"/>
        <v>310048.53934764967</v>
      </c>
      <c r="Z206" s="307">
        <f t="shared" si="246"/>
        <v>319564.78838108212</v>
      </c>
      <c r="AA206" s="307">
        <f t="shared" si="246"/>
        <v>338677.26830570743</v>
      </c>
      <c r="AB206" s="307">
        <f t="shared" si="246"/>
        <v>358894.89057288721</v>
      </c>
      <c r="AC206" s="307">
        <f t="shared" si="246"/>
        <v>379260.3747164688</v>
      </c>
      <c r="AD206" s="307">
        <f t="shared" si="246"/>
        <v>398824.51165038894</v>
      </c>
      <c r="AE206" s="307">
        <f t="shared" si="247"/>
        <v>424325.16067536268</v>
      </c>
      <c r="AF206" s="307">
        <f t="shared" si="248"/>
        <v>450511.24470287369</v>
      </c>
      <c r="AG206" s="307">
        <f t="shared" si="248"/>
        <v>470294.69197043724</v>
      </c>
      <c r="AH206" s="307">
        <f t="shared" si="248"/>
        <v>496505.89157655498</v>
      </c>
      <c r="AI206" s="307">
        <f t="shared" si="248"/>
        <v>522556.61821005656</v>
      </c>
      <c r="AJ206" s="307">
        <f t="shared" si="248"/>
        <v>542066.49003378092</v>
      </c>
      <c r="AK206" s="307">
        <f t="shared" si="248"/>
        <v>568232.47230250575</v>
      </c>
      <c r="AL206" s="307">
        <f t="shared" si="248"/>
        <v>613989.14428335056</v>
      </c>
      <c r="AM206" s="307">
        <f t="shared" si="248"/>
        <v>659710.50537388364</v>
      </c>
      <c r="AN206" s="307">
        <f t="shared" si="248"/>
        <v>855637.60709363734</v>
      </c>
      <c r="AO206" s="307">
        <f t="shared" si="248"/>
        <v>973197.17065319873</v>
      </c>
      <c r="AP206" s="307">
        <f t="shared" si="248"/>
        <v>1103842.715392191</v>
      </c>
      <c r="AR206" s="308">
        <v>59316.786009621886</v>
      </c>
      <c r="AS206" s="308">
        <f t="shared" si="249"/>
        <v>-18588.786009621886</v>
      </c>
      <c r="AT206" s="308">
        <v>46187.413242757408</v>
      </c>
      <c r="AU206" s="308">
        <f t="shared" si="250"/>
        <v>-13556.413242757408</v>
      </c>
      <c r="AV206" s="308">
        <v>43562.738367448408</v>
      </c>
      <c r="AW206" s="308">
        <f t="shared" si="251"/>
        <v>-43562.738367448408</v>
      </c>
      <c r="AX206" s="308">
        <v>200107.04802256537</v>
      </c>
      <c r="AY206" s="308">
        <f t="shared" si="252"/>
        <v>47021.951977434626</v>
      </c>
      <c r="AZ206" s="309">
        <v>204034</v>
      </c>
      <c r="BA206" s="308">
        <f t="shared" si="253"/>
        <v>0</v>
      </c>
      <c r="BB206" s="331">
        <v>150497.52988545623</v>
      </c>
      <c r="BC206" s="308">
        <f t="shared" si="254"/>
        <v>25442.412629229395</v>
      </c>
    </row>
    <row r="207" spans="1:55">
      <c r="A207" s="301" t="s">
        <v>50</v>
      </c>
      <c r="B207" s="308">
        <f>'Monthly D5 Gallon Data'!$H11</f>
        <v>835191</v>
      </c>
      <c r="C207" s="308">
        <f>'Monthly D5 Gallon Data'!$H23</f>
        <v>484550</v>
      </c>
      <c r="D207" s="308">
        <f>'Monthly D5 Gallon Data'!$H35</f>
        <v>0</v>
      </c>
      <c r="E207" s="308">
        <f>'Monthly D5 Gallon Data'!$H47</f>
        <v>0</v>
      </c>
      <c r="F207" s="308">
        <f>'Monthly D5 Gallon Data'!$H59</f>
        <v>0</v>
      </c>
      <c r="G207" s="308">
        <f>'Monthly D5 Gallon Data'!$H71</f>
        <v>24015</v>
      </c>
      <c r="H207" s="308">
        <f>'Monthly D5 Gallon Data'!$H83</f>
        <v>30611</v>
      </c>
      <c r="I207" s="308">
        <f>'Monthly D5 Gallon Data'!$H95</f>
        <v>50752</v>
      </c>
      <c r="J207" s="308">
        <f>'Monthly D5 Gallon Data'!$H107</f>
        <v>0</v>
      </c>
      <c r="K207" s="308">
        <f>'Monthly D5 Gallon Data'!$H119</f>
        <v>22205</v>
      </c>
      <c r="L207" s="308">
        <f>'Monthly D5 Gallon Data'!$H131</f>
        <v>32580</v>
      </c>
      <c r="M207" s="308">
        <f>'Monthly D5 Gallon Data'!$H143</f>
        <v>34146</v>
      </c>
      <c r="N207" s="308">
        <f>'Monthly D5 Gallon Data'!$H155</f>
        <v>205832</v>
      </c>
      <c r="O207" s="308">
        <f>'Monthly D5 Gallon Data'!$H167</f>
        <v>89357</v>
      </c>
      <c r="P207" s="308">
        <f>'Monthly D5 Gallon Data'!$H179</f>
        <v>229695</v>
      </c>
      <c r="Q207" s="307">
        <f>(SUM(L207:P207)/SUM(L$212:P$212))*Q$212+50000</f>
        <v>192048.05402082883</v>
      </c>
      <c r="R207" s="307">
        <f t="shared" si="246"/>
        <v>206680.05517623053</v>
      </c>
      <c r="S207" s="307">
        <f t="shared" si="246"/>
        <v>227090.77637382309</v>
      </c>
      <c r="T207" s="307">
        <f t="shared" si="246"/>
        <v>237649.06188838583</v>
      </c>
      <c r="U207" s="307">
        <f t="shared" si="246"/>
        <v>269336.59217942087</v>
      </c>
      <c r="V207" s="307">
        <f t="shared" si="246"/>
        <v>275453.99140150496</v>
      </c>
      <c r="W207" s="307">
        <f t="shared" si="246"/>
        <v>295463.56221374415</v>
      </c>
      <c r="X207" s="307">
        <f t="shared" si="246"/>
        <v>303808.12327250087</v>
      </c>
      <c r="Y207" s="307">
        <f t="shared" si="246"/>
        <v>323086.72912891122</v>
      </c>
      <c r="Z207" s="307">
        <f t="shared" si="246"/>
        <v>339105.19297928311</v>
      </c>
      <c r="AA207" s="307">
        <f t="shared" si="246"/>
        <v>358384.37286004075</v>
      </c>
      <c r="AB207" s="307">
        <f t="shared" si="246"/>
        <v>379113.3571276443</v>
      </c>
      <c r="AC207" s="307">
        <f t="shared" si="246"/>
        <v>400011.62336585444</v>
      </c>
      <c r="AD207" s="307">
        <f t="shared" si="246"/>
        <v>420619.83832630567</v>
      </c>
      <c r="AE207" s="307">
        <f t="shared" si="247"/>
        <v>448437.21819215757</v>
      </c>
      <c r="AF207" s="307">
        <f t="shared" si="248"/>
        <v>475783.78790779447</v>
      </c>
      <c r="AG207" s="307">
        <f t="shared" si="248"/>
        <v>496511.49153968337</v>
      </c>
      <c r="AH207" s="307">
        <f t="shared" si="248"/>
        <v>524134.34125912754</v>
      </c>
      <c r="AI207" s="307">
        <f t="shared" si="248"/>
        <v>551717.00926532212</v>
      </c>
      <c r="AJ207" s="307">
        <f t="shared" si="248"/>
        <v>572421.15855695878</v>
      </c>
      <c r="AK207" s="307">
        <f t="shared" si="248"/>
        <v>599972.09895266604</v>
      </c>
      <c r="AL207" s="307">
        <f t="shared" si="248"/>
        <v>648258.97829128953</v>
      </c>
      <c r="AM207" s="307">
        <f t="shared" si="248"/>
        <v>696540.14814014686</v>
      </c>
      <c r="AN207" s="307">
        <f t="shared" si="248"/>
        <v>903431.75395513757</v>
      </c>
      <c r="AO207" s="307">
        <f t="shared" si="248"/>
        <v>1027566.5252954307</v>
      </c>
      <c r="AP207" s="307">
        <f t="shared" si="248"/>
        <v>1165489.4061979705</v>
      </c>
      <c r="AR207" s="308">
        <v>35482.888893330244</v>
      </c>
      <c r="AS207" s="308">
        <f t="shared" si="249"/>
        <v>-2902.8888933302442</v>
      </c>
      <c r="AT207" s="308">
        <v>25795.956099155974</v>
      </c>
      <c r="AU207" s="308">
        <f t="shared" si="250"/>
        <v>8350.0439008440262</v>
      </c>
      <c r="AV207" s="308">
        <v>28183.373619411566</v>
      </c>
      <c r="AW207" s="308">
        <f t="shared" si="251"/>
        <v>177648.62638058842</v>
      </c>
      <c r="AX207" s="308">
        <v>213175.71509594363</v>
      </c>
      <c r="AY207" s="308">
        <f t="shared" si="252"/>
        <v>-123818.71509594363</v>
      </c>
      <c r="AZ207" s="309">
        <v>229695</v>
      </c>
      <c r="BA207" s="308">
        <f t="shared" si="253"/>
        <v>0</v>
      </c>
      <c r="BB207" s="331">
        <v>163351.47745096439</v>
      </c>
      <c r="BC207" s="308">
        <f t="shared" si="254"/>
        <v>28696.576569864439</v>
      </c>
    </row>
    <row r="208" spans="1:55">
      <c r="A208" s="301" t="s">
        <v>51</v>
      </c>
      <c r="B208" s="308">
        <f>'Monthly D5 Gallon Data'!$H12</f>
        <v>766425</v>
      </c>
      <c r="C208" s="308">
        <f>'Monthly D5 Gallon Data'!$H24</f>
        <v>167520</v>
      </c>
      <c r="D208" s="308">
        <f>'Monthly D5 Gallon Data'!$H36</f>
        <v>0</v>
      </c>
      <c r="E208" s="308">
        <f>'Monthly D5 Gallon Data'!$H48</f>
        <v>0</v>
      </c>
      <c r="F208" s="308">
        <f>'Monthly D5 Gallon Data'!$H60</f>
        <v>0</v>
      </c>
      <c r="G208" s="308">
        <f>'Monthly D5 Gallon Data'!$H72</f>
        <v>26937</v>
      </c>
      <c r="H208" s="308">
        <f>'Monthly D5 Gallon Data'!$H84</f>
        <v>73804</v>
      </c>
      <c r="I208" s="308">
        <f>'Monthly D5 Gallon Data'!$H96</f>
        <v>60923</v>
      </c>
      <c r="J208" s="308">
        <f>'Monthly D5 Gallon Data'!$H108</f>
        <v>22735</v>
      </c>
      <c r="K208" s="308">
        <f>'Monthly D5 Gallon Data'!$H120</f>
        <v>89823</v>
      </c>
      <c r="L208" s="308">
        <f>'Monthly D5 Gallon Data'!$H132</f>
        <v>72403</v>
      </c>
      <c r="M208" s="308">
        <f>'Monthly D5 Gallon Data'!$H144</f>
        <v>88635</v>
      </c>
      <c r="N208" s="308">
        <f>'Monthly D5 Gallon Data'!$H156</f>
        <v>108106</v>
      </c>
      <c r="O208" s="308">
        <f>'Monthly D5 Gallon Data'!$H168</f>
        <v>533534</v>
      </c>
      <c r="P208" s="308">
        <f>'Monthly D5 Gallon Data'!$H180</f>
        <v>312604</v>
      </c>
      <c r="Q208" s="307">
        <f t="shared" si="246"/>
        <v>267783.90795364854</v>
      </c>
      <c r="R208" s="307">
        <f t="shared" si="246"/>
        <v>360665.42043549923</v>
      </c>
      <c r="S208" s="307">
        <f t="shared" si="246"/>
        <v>389140.69350825058</v>
      </c>
      <c r="T208" s="307">
        <f t="shared" si="246"/>
        <v>468755.27945959481</v>
      </c>
      <c r="U208" s="307">
        <f t="shared" si="246"/>
        <v>443230.23887442553</v>
      </c>
      <c r="V208" s="307">
        <f t="shared" si="246"/>
        <v>469197.69975232065</v>
      </c>
      <c r="W208" s="307">
        <f t="shared" si="246"/>
        <v>517697.97331804456</v>
      </c>
      <c r="X208" s="307">
        <f t="shared" si="246"/>
        <v>532661.17955638084</v>
      </c>
      <c r="Y208" s="307">
        <f t="shared" si="246"/>
        <v>568569.60913012933</v>
      </c>
      <c r="Z208" s="307">
        <f t="shared" si="246"/>
        <v>585077.72797610261</v>
      </c>
      <c r="AA208" s="307">
        <f t="shared" si="246"/>
        <v>623348.0621798872</v>
      </c>
      <c r="AB208" s="307">
        <f t="shared" si="246"/>
        <v>661721.2781652339</v>
      </c>
      <c r="AC208" s="307">
        <f t="shared" si="246"/>
        <v>697732.45225282817</v>
      </c>
      <c r="AD208" s="307">
        <f t="shared" si="246"/>
        <v>733039.83491170523</v>
      </c>
      <c r="AE208" s="307">
        <f t="shared" si="247"/>
        <v>780217.30220572441</v>
      </c>
      <c r="AF208" s="307">
        <f t="shared" si="248"/>
        <v>828962.42663354357</v>
      </c>
      <c r="AG208" s="307">
        <f t="shared" si="248"/>
        <v>865326.22461094323</v>
      </c>
      <c r="AH208" s="307">
        <f t="shared" si="248"/>
        <v>913234.29626683262</v>
      </c>
      <c r="AI208" s="307">
        <f t="shared" si="248"/>
        <v>961114.88854314841</v>
      </c>
      <c r="AJ208" s="307">
        <f t="shared" si="248"/>
        <v>997113.19468396681</v>
      </c>
      <c r="AK208" s="307">
        <f t="shared" si="248"/>
        <v>1045316.6833532733</v>
      </c>
      <c r="AL208" s="307">
        <f t="shared" si="248"/>
        <v>1129441.9523142399</v>
      </c>
      <c r="AM208" s="307">
        <f t="shared" si="248"/>
        <v>1213496.0060269225</v>
      </c>
      <c r="AN208" s="307">
        <f t="shared" si="248"/>
        <v>1573908.3976735352</v>
      </c>
      <c r="AO208" s="307">
        <f t="shared" si="248"/>
        <v>1790185.804180925</v>
      </c>
      <c r="AP208" s="307">
        <f t="shared" si="248"/>
        <v>2030510.5953020703</v>
      </c>
      <c r="AR208" s="308">
        <v>76265.970028191892</v>
      </c>
      <c r="AS208" s="308">
        <f t="shared" si="249"/>
        <v>-3862.9700281918922</v>
      </c>
      <c r="AT208" s="308">
        <v>60543.231023790104</v>
      </c>
      <c r="AU208" s="308">
        <f t="shared" si="250"/>
        <v>28091.768976209896</v>
      </c>
      <c r="AV208" s="308">
        <v>199083.63876527111</v>
      </c>
      <c r="AW208" s="308">
        <f t="shared" si="251"/>
        <v>-90977.638765271113</v>
      </c>
      <c r="AX208" s="308">
        <v>112057.41746730245</v>
      </c>
      <c r="AY208" s="308">
        <f t="shared" si="252"/>
        <v>421476.58253269753</v>
      </c>
      <c r="AZ208" s="309">
        <v>232849.43839126447</v>
      </c>
      <c r="BA208" s="308">
        <f t="shared" si="253"/>
        <v>79754.56160873553</v>
      </c>
      <c r="BB208" s="331">
        <v>213686.14877109326</v>
      </c>
      <c r="BC208" s="308">
        <f t="shared" si="254"/>
        <v>54097.759182555281</v>
      </c>
    </row>
    <row r="209" spans="1:55">
      <c r="A209" s="301" t="s">
        <v>52</v>
      </c>
      <c r="B209" s="308">
        <f>'Monthly D5 Gallon Data'!$H13</f>
        <v>1444469</v>
      </c>
      <c r="C209" s="308">
        <f>'Monthly D5 Gallon Data'!$H25</f>
        <v>19154</v>
      </c>
      <c r="D209" s="308">
        <f>'Monthly D5 Gallon Data'!$H37</f>
        <v>0</v>
      </c>
      <c r="E209" s="308">
        <f>'Monthly D5 Gallon Data'!$H49</f>
        <v>0</v>
      </c>
      <c r="F209" s="308">
        <f>'Monthly D5 Gallon Data'!$H61</f>
        <v>10101</v>
      </c>
      <c r="G209" s="308">
        <f>'Monthly D5 Gallon Data'!$H73</f>
        <v>45945</v>
      </c>
      <c r="H209" s="308">
        <f>'Monthly D5 Gallon Data'!$H85</f>
        <v>82558</v>
      </c>
      <c r="I209" s="308">
        <f>'Monthly D5 Gallon Data'!$H97</f>
        <v>78524</v>
      </c>
      <c r="J209" s="308">
        <f>'Monthly D5 Gallon Data'!$H109</f>
        <v>88731</v>
      </c>
      <c r="K209" s="308">
        <f>'Monthly D5 Gallon Data'!$H121</f>
        <v>134585</v>
      </c>
      <c r="L209" s="308">
        <f>'Monthly D5 Gallon Data'!$H133</f>
        <v>105930</v>
      </c>
      <c r="M209" s="308">
        <f>'Monthly D5 Gallon Data'!$H145</f>
        <v>146431</v>
      </c>
      <c r="N209" s="308">
        <f>'Monthly D5 Gallon Data'!$H157</f>
        <v>149442</v>
      </c>
      <c r="O209" s="308">
        <f>'Monthly D5 Gallon Data'!$H169</f>
        <v>0</v>
      </c>
      <c r="P209" s="308">
        <f>'Monthly D5 Gallon Data'!$H181</f>
        <v>78448</v>
      </c>
      <c r="Q209" s="307">
        <f>(SUM(L209:P209)/SUM(L$212:P$212))*Q$212+100000</f>
        <v>215310.288858466</v>
      </c>
      <c r="R209" s="307">
        <f t="shared" si="246"/>
        <v>162253.47906586566</v>
      </c>
      <c r="S209" s="307">
        <f t="shared" si="246"/>
        <v>148864.40405802199</v>
      </c>
      <c r="T209" s="307">
        <f t="shared" si="246"/>
        <v>152135.34147937351</v>
      </c>
      <c r="U209" s="307">
        <f t="shared" si="246"/>
        <v>186514.64701602908</v>
      </c>
      <c r="V209" s="307">
        <f t="shared" si="246"/>
        <v>210353.35209185563</v>
      </c>
      <c r="W209" s="307">
        <f t="shared" si="246"/>
        <v>208956.00350044784</v>
      </c>
      <c r="X209" s="307">
        <f t="shared" si="246"/>
        <v>211112.40697572505</v>
      </c>
      <c r="Y209" s="307">
        <f t="shared" si="246"/>
        <v>226598.86716408585</v>
      </c>
      <c r="Z209" s="307">
        <f t="shared" si="246"/>
        <v>241194.47434273126</v>
      </c>
      <c r="AA209" s="307">
        <f t="shared" si="246"/>
        <v>256086.0332371837</v>
      </c>
      <c r="AB209" s="307">
        <f t="shared" si="246"/>
        <v>267732.46037067892</v>
      </c>
      <c r="AC209" s="307">
        <f t="shared" si="246"/>
        <v>282421.07709005458</v>
      </c>
      <c r="AD209" s="307">
        <f t="shared" si="246"/>
        <v>297762.48139650881</v>
      </c>
      <c r="AE209" s="307">
        <f t="shared" si="247"/>
        <v>317955.542612419</v>
      </c>
      <c r="AF209" s="307">
        <f t="shared" si="248"/>
        <v>337165.20286863338</v>
      </c>
      <c r="AG209" s="307">
        <f t="shared" si="248"/>
        <v>351359.24361154943</v>
      </c>
      <c r="AH209" s="307">
        <f t="shared" si="248"/>
        <v>371035.16804928175</v>
      </c>
      <c r="AI209" s="307">
        <f t="shared" si="248"/>
        <v>390735.30928009155</v>
      </c>
      <c r="AJ209" s="307">
        <f t="shared" si="248"/>
        <v>405427.59312990046</v>
      </c>
      <c r="AK209" s="307">
        <f t="shared" si="248"/>
        <v>424862.78677298094</v>
      </c>
      <c r="AL209" s="307">
        <f t="shared" si="248"/>
        <v>458998.71728471766</v>
      </c>
      <c r="AM209" s="307">
        <f t="shared" si="248"/>
        <v>493230.99291955761</v>
      </c>
      <c r="AN209" s="307">
        <f t="shared" si="248"/>
        <v>639767.31981961697</v>
      </c>
      <c r="AO209" s="307">
        <f t="shared" si="248"/>
        <v>727662.95177235734</v>
      </c>
      <c r="AP209" s="307">
        <f t="shared" si="248"/>
        <v>825310.22755907464</v>
      </c>
      <c r="AR209" s="308">
        <v>120247.27570305149</v>
      </c>
      <c r="AS209" s="308">
        <f t="shared" si="249"/>
        <v>-14317.275703051491</v>
      </c>
      <c r="AT209" s="308">
        <v>92957.690940645116</v>
      </c>
      <c r="AU209" s="308">
        <f t="shared" si="250"/>
        <v>53473.309059354884</v>
      </c>
      <c r="AV209" s="308">
        <v>121984.6796734021</v>
      </c>
      <c r="AW209" s="308">
        <f t="shared" si="251"/>
        <v>27457.320326597895</v>
      </c>
      <c r="AX209" s="308">
        <v>222339.2204890498</v>
      </c>
      <c r="AY209" s="308">
        <f t="shared" si="252"/>
        <v>-222339.2204890498</v>
      </c>
      <c r="AZ209" s="309">
        <v>0</v>
      </c>
      <c r="BA209" s="308">
        <f t="shared" si="253"/>
        <v>78448</v>
      </c>
      <c r="BB209" s="331">
        <v>192015.28100827086</v>
      </c>
      <c r="BC209" s="308">
        <f t="shared" si="254"/>
        <v>23295.007850195136</v>
      </c>
    </row>
    <row r="210" spans="1:55">
      <c r="A210" s="301" t="s">
        <v>53</v>
      </c>
      <c r="B210" s="308">
        <f>'Monthly D5 Gallon Data'!$H14</f>
        <v>2143924</v>
      </c>
      <c r="C210" s="308">
        <f>'Monthly D5 Gallon Data'!$H26</f>
        <v>31231</v>
      </c>
      <c r="D210" s="308">
        <f>'Monthly D5 Gallon Data'!$H38</f>
        <v>0</v>
      </c>
      <c r="E210" s="308">
        <f>'Monthly D5 Gallon Data'!$H50</f>
        <v>0</v>
      </c>
      <c r="F210" s="308">
        <f>'Monthly D5 Gallon Data'!$H62</f>
        <v>24343</v>
      </c>
      <c r="G210" s="308">
        <f>'Monthly D5 Gallon Data'!$H74</f>
        <v>66206</v>
      </c>
      <c r="H210" s="308">
        <f>'Monthly D5 Gallon Data'!$H86</f>
        <v>95538</v>
      </c>
      <c r="I210" s="308">
        <f>'Monthly D5 Gallon Data'!$H98</f>
        <v>162998</v>
      </c>
      <c r="J210" s="308">
        <f>'Monthly D5 Gallon Data'!$H110</f>
        <v>300676</v>
      </c>
      <c r="K210" s="308">
        <f>'Monthly D5 Gallon Data'!$H122</f>
        <v>169211</v>
      </c>
      <c r="L210" s="308">
        <f>'Monthly D5 Gallon Data'!$H134</f>
        <v>138968</v>
      </c>
      <c r="M210" s="308">
        <f>'Monthly D5 Gallon Data'!$H146</f>
        <v>123229</v>
      </c>
      <c r="N210" s="308">
        <f>'Monthly D5 Gallon Data'!$H158</f>
        <v>221910</v>
      </c>
      <c r="O210" s="308">
        <f>'Monthly D5 Gallon Data'!$H170</f>
        <v>0</v>
      </c>
      <c r="P210" s="308">
        <f>'Monthly D5 Gallon Data'!$H182</f>
        <v>318049</v>
      </c>
      <c r="Q210" s="307">
        <f t="shared" si="246"/>
        <v>192601.03585323432</v>
      </c>
      <c r="R210" s="307">
        <f t="shared" si="246"/>
        <v>235494.19957416909</v>
      </c>
      <c r="S210" s="307">
        <f t="shared" si="246"/>
        <v>238017.87103710778</v>
      </c>
      <c r="T210" s="307">
        <f t="shared" si="246"/>
        <v>247531.38753563934</v>
      </c>
      <c r="U210" s="307">
        <f t="shared" si="246"/>
        <v>303468.14173915761</v>
      </c>
      <c r="V210" s="307">
        <f t="shared" si="246"/>
        <v>295954.4403013516</v>
      </c>
      <c r="W210" s="307">
        <f t="shared" si="246"/>
        <v>320791.18490428978</v>
      </c>
      <c r="X210" s="307">
        <f t="shared" si="246"/>
        <v>327267.58266016946</v>
      </c>
      <c r="Y210" s="307">
        <f t="shared" si="246"/>
        <v>349580.09276422166</v>
      </c>
      <c r="Z210" s="307">
        <f t="shared" si="246"/>
        <v>369132.12583061465</v>
      </c>
      <c r="AA210" s="307">
        <f t="shared" si="246"/>
        <v>387720.7272464289</v>
      </c>
      <c r="AB210" s="307">
        <f t="shared" si="246"/>
        <v>410625.72015878657</v>
      </c>
      <c r="AC210" s="307">
        <f t="shared" si="246"/>
        <v>433080.65758013295</v>
      </c>
      <c r="AD210" s="307">
        <f t="shared" si="246"/>
        <v>455779.68865284009</v>
      </c>
      <c r="AE210" s="307">
        <f t="shared" si="247"/>
        <v>486043.74460171704</v>
      </c>
      <c r="AF210" s="307">
        <f t="shared" si="248"/>
        <v>515306.82865482295</v>
      </c>
      <c r="AG210" s="307">
        <f t="shared" si="248"/>
        <v>537857.91576194018</v>
      </c>
      <c r="AH210" s="307">
        <f t="shared" si="248"/>
        <v>567794.55839726294</v>
      </c>
      <c r="AI210" s="307">
        <f t="shared" si="248"/>
        <v>597733.58275652083</v>
      </c>
      <c r="AJ210" s="307">
        <f t="shared" si="248"/>
        <v>620146.79642071249</v>
      </c>
      <c r="AK210" s="307">
        <f t="shared" si="248"/>
        <v>649944.87456115673</v>
      </c>
      <c r="AL210" s="307">
        <f t="shared" si="248"/>
        <v>702278.65935269778</v>
      </c>
      <c r="AM210" s="307">
        <f t="shared" si="248"/>
        <v>754589.87052457954</v>
      </c>
      <c r="AN210" s="307">
        <f t="shared" si="248"/>
        <v>978730.08012056712</v>
      </c>
      <c r="AO210" s="307">
        <f t="shared" si="248"/>
        <v>1113201.3142459223</v>
      </c>
      <c r="AP210" s="307">
        <f t="shared" si="248"/>
        <v>1262611.87010326</v>
      </c>
      <c r="AR210" s="308">
        <v>172036.68160662564</v>
      </c>
      <c r="AS210" s="308">
        <f t="shared" si="249"/>
        <v>-33068.681606625643</v>
      </c>
      <c r="AT210" s="308">
        <v>165124.27359787145</v>
      </c>
      <c r="AU210" s="308">
        <f t="shared" si="250"/>
        <v>-41895.273597871448</v>
      </c>
      <c r="AV210" s="308">
        <v>132961.00351648734</v>
      </c>
      <c r="AW210" s="308">
        <f t="shared" si="251"/>
        <v>88948.996483512659</v>
      </c>
      <c r="AX210" s="309">
        <v>339311.84672235296</v>
      </c>
      <c r="AY210" s="308">
        <f t="shared" si="252"/>
        <v>-339311.84672235296</v>
      </c>
      <c r="AZ210" s="309">
        <v>255671.52763566223</v>
      </c>
      <c r="BA210" s="308">
        <f t="shared" si="253"/>
        <v>62377.472364337766</v>
      </c>
      <c r="BB210" s="331">
        <v>153691.73568086376</v>
      </c>
      <c r="BC210" s="308">
        <f t="shared" si="254"/>
        <v>38909.300172370567</v>
      </c>
    </row>
    <row r="211" spans="1:55">
      <c r="A211" s="301" t="s">
        <v>54</v>
      </c>
      <c r="B211" s="308">
        <f>'Monthly D5 Gallon Data'!$H15</f>
        <v>1768827</v>
      </c>
      <c r="C211" s="308">
        <f>'Monthly D5 Gallon Data'!$H27</f>
        <v>308830</v>
      </c>
      <c r="D211" s="308">
        <f>'Monthly D5 Gallon Data'!$H39</f>
        <v>0</v>
      </c>
      <c r="E211" s="308">
        <f>'Monthly D5 Gallon Data'!$H51</f>
        <v>0</v>
      </c>
      <c r="F211" s="308">
        <f>'Monthly D5 Gallon Data'!$H63</f>
        <v>36733</v>
      </c>
      <c r="G211" s="308">
        <f>'Monthly D5 Gallon Data'!$H75</f>
        <v>101876</v>
      </c>
      <c r="H211" s="308">
        <f>'Monthly D5 Gallon Data'!$H87</f>
        <v>134248</v>
      </c>
      <c r="I211" s="308">
        <f>'Monthly D5 Gallon Data'!$H99</f>
        <v>216776</v>
      </c>
      <c r="J211" s="308">
        <f>'Monthly D5 Gallon Data'!$H111</f>
        <v>246989</v>
      </c>
      <c r="K211" s="308">
        <f>'Monthly D5 Gallon Data'!$H123</f>
        <v>246372</v>
      </c>
      <c r="L211" s="308">
        <f>'Monthly D5 Gallon Data'!$H135</f>
        <v>271858</v>
      </c>
      <c r="M211" s="308">
        <f>'Monthly D5 Gallon Data'!$H147</f>
        <v>176614</v>
      </c>
      <c r="N211" s="308">
        <f>'Monthly D5 Gallon Data'!$H159</f>
        <v>114305</v>
      </c>
      <c r="O211" s="308">
        <f>'Monthly D5 Gallon Data'!$H171</f>
        <v>172594</v>
      </c>
      <c r="P211" s="308">
        <f>'Monthly D5 Gallon Data'!$H183</f>
        <v>300855</v>
      </c>
      <c r="Q211" s="336">
        <f t="shared" ref="Q211:AD211" si="255">Q212-SUM(Q200:Q210)</f>
        <v>303803.86258006375</v>
      </c>
      <c r="R211" s="307">
        <f t="shared" si="255"/>
        <v>293937.25234530913</v>
      </c>
      <c r="S211" s="307">
        <f t="shared" si="255"/>
        <v>291480.59380665654</v>
      </c>
      <c r="T211" s="307">
        <f t="shared" si="255"/>
        <v>342731.92299420759</v>
      </c>
      <c r="U211" s="307">
        <f t="shared" si="255"/>
        <v>377657.74470482487</v>
      </c>
      <c r="V211" s="307">
        <f t="shared" si="255"/>
        <v>391394.86356986314</v>
      </c>
      <c r="W211" s="307">
        <f t="shared" si="255"/>
        <v>412314.70185930515</v>
      </c>
      <c r="X211" s="307">
        <f t="shared" si="255"/>
        <v>422674.66870441148</v>
      </c>
      <c r="Y211" s="307">
        <f t="shared" si="255"/>
        <v>455215.78799071023</v>
      </c>
      <c r="Z211" s="307">
        <f t="shared" si="255"/>
        <v>475960.52157842834</v>
      </c>
      <c r="AA211" s="307">
        <f t="shared" si="255"/>
        <v>503108.28821767494</v>
      </c>
      <c r="AB211" s="307">
        <f t="shared" si="255"/>
        <v>531106.67344374117</v>
      </c>
      <c r="AC211" s="307">
        <f t="shared" si="255"/>
        <v>560760.42314262409</v>
      </c>
      <c r="AD211" s="307">
        <f t="shared" si="255"/>
        <v>590403.26956614479</v>
      </c>
      <c r="AE211" s="307">
        <f>AE212-SUM(AE200:AE210)</f>
        <v>629043.80522421747</v>
      </c>
      <c r="AF211" s="307">
        <f>AF212-SUM(AF200:AF210)</f>
        <v>667337.2842337247</v>
      </c>
      <c r="AG211" s="307">
        <f>AG212-SUM(AG200:AG210)</f>
        <v>696308.13248036616</v>
      </c>
      <c r="AH211" s="307">
        <f t="shared" ref="AH211:AP211" si="256">AH212-SUM(AH200:AH210)</f>
        <v>735177.91234824061</v>
      </c>
      <c r="AI211" s="307">
        <f t="shared" si="256"/>
        <v>773940.61897438858</v>
      </c>
      <c r="AJ211" s="307">
        <f t="shared" si="256"/>
        <v>802900.67270899937</v>
      </c>
      <c r="AK211" s="307">
        <f t="shared" si="256"/>
        <v>841533.74211809784</v>
      </c>
      <c r="AL211" s="307">
        <f t="shared" si="256"/>
        <v>909263.67183725908</v>
      </c>
      <c r="AM211" s="307">
        <f t="shared" si="256"/>
        <v>977010.66289687157</v>
      </c>
      <c r="AN211" s="307">
        <f t="shared" si="256"/>
        <v>1267211.3871419467</v>
      </c>
      <c r="AO211" s="307">
        <f t="shared" si="256"/>
        <v>1441310.6862273607</v>
      </c>
      <c r="AP211" s="307">
        <f t="shared" si="256"/>
        <v>1634768.319194736</v>
      </c>
      <c r="AR211" s="308">
        <v>306350</v>
      </c>
      <c r="AS211" s="308">
        <f t="shared" si="249"/>
        <v>-34492</v>
      </c>
      <c r="AT211" s="308">
        <v>159286</v>
      </c>
      <c r="AU211" s="308">
        <f t="shared" si="250"/>
        <v>17328</v>
      </c>
      <c r="AV211" s="308">
        <v>112697</v>
      </c>
      <c r="AW211" s="308">
        <f t="shared" si="251"/>
        <v>1608</v>
      </c>
      <c r="AX211" s="309">
        <v>493164.15327764722</v>
      </c>
      <c r="AY211" s="308">
        <f t="shared" si="252"/>
        <v>-320570.15327764722</v>
      </c>
      <c r="AZ211" s="309">
        <v>248283.03397307312</v>
      </c>
      <c r="BA211" s="308">
        <f t="shared" si="253"/>
        <v>52571.966026926879</v>
      </c>
      <c r="BB211" s="331">
        <v>73288.607078912435</v>
      </c>
      <c r="BC211" s="308">
        <f t="shared" si="254"/>
        <v>230515.25550115132</v>
      </c>
    </row>
    <row r="212" spans="1:55" ht="12" thickBot="1">
      <c r="A212" s="301" t="s">
        <v>29</v>
      </c>
      <c r="B212" s="308">
        <f t="shared" ref="B212:P212" si="257">SUM(B200:B211)</f>
        <v>7373229</v>
      </c>
      <c r="C212" s="308">
        <f t="shared" si="257"/>
        <v>3862744</v>
      </c>
      <c r="D212" s="308">
        <f t="shared" si="257"/>
        <v>122579</v>
      </c>
      <c r="E212" s="308">
        <f t="shared" si="257"/>
        <v>0</v>
      </c>
      <c r="F212" s="308">
        <f t="shared" si="257"/>
        <v>71177</v>
      </c>
      <c r="G212" s="308">
        <f t="shared" si="257"/>
        <v>529467</v>
      </c>
      <c r="H212" s="308">
        <f t="shared" si="257"/>
        <v>965452</v>
      </c>
      <c r="I212" s="308">
        <f t="shared" si="257"/>
        <v>1222972</v>
      </c>
      <c r="J212" s="308">
        <f t="shared" si="257"/>
        <v>1764134</v>
      </c>
      <c r="K212" s="308">
        <f t="shared" si="257"/>
        <v>2047511</v>
      </c>
      <c r="L212" s="308">
        <f t="shared" si="257"/>
        <v>1792583</v>
      </c>
      <c r="M212" s="308">
        <f t="shared" si="257"/>
        <v>1350563</v>
      </c>
      <c r="N212" s="308">
        <f t="shared" si="257"/>
        <v>1901608</v>
      </c>
      <c r="O212" s="308">
        <f t="shared" si="257"/>
        <v>2490118</v>
      </c>
      <c r="P212" s="308">
        <f t="shared" si="257"/>
        <v>2773152</v>
      </c>
      <c r="Q212" s="307">
        <f t="shared" ref="Q212:AP212" si="258">Q12</f>
        <v>2475000</v>
      </c>
      <c r="R212" s="307">
        <f t="shared" si="258"/>
        <v>3024326.087190018</v>
      </c>
      <c r="S212" s="307">
        <f t="shared" si="258"/>
        <v>3113778.9442980606</v>
      </c>
      <c r="T212" s="307">
        <f t="shared" si="258"/>
        <v>3490114.4262182629</v>
      </c>
      <c r="U212" s="307">
        <f t="shared" si="258"/>
        <v>3665282.6568320217</v>
      </c>
      <c r="V212" s="307">
        <f t="shared" si="258"/>
        <v>3834286.2284591766</v>
      </c>
      <c r="W212" s="307">
        <f t="shared" si="258"/>
        <v>4160988.1285248259</v>
      </c>
      <c r="X212" s="307">
        <f t="shared" si="258"/>
        <v>4252041.3593154671</v>
      </c>
      <c r="Y212" s="307">
        <f t="shared" si="258"/>
        <v>4536952.7441265583</v>
      </c>
      <c r="Z212" s="307">
        <f t="shared" si="258"/>
        <v>4726547.1921964362</v>
      </c>
      <c r="AA212" s="307">
        <f t="shared" si="258"/>
        <v>5015974.9503873009</v>
      </c>
      <c r="AB212" s="307">
        <f t="shared" si="258"/>
        <v>5311011.6621288611</v>
      </c>
      <c r="AC212" s="307">
        <f t="shared" si="258"/>
        <v>5598650.2780282116</v>
      </c>
      <c r="AD212" s="307">
        <f t="shared" si="258"/>
        <v>5887116.2698808797</v>
      </c>
      <c r="AE212" s="307">
        <f t="shared" si="258"/>
        <v>6272925.5378923994</v>
      </c>
      <c r="AF212" s="307">
        <f t="shared" si="258"/>
        <v>6659490.8253742894</v>
      </c>
      <c r="AG212" s="307">
        <f t="shared" si="258"/>
        <v>6949681.8483049823</v>
      </c>
      <c r="AH212" s="307">
        <f t="shared" si="258"/>
        <v>7335254.5283708861</v>
      </c>
      <c r="AI212" s="307">
        <f t="shared" si="258"/>
        <v>7721158.9527284987</v>
      </c>
      <c r="AJ212" s="307">
        <f t="shared" si="258"/>
        <v>8010763.73064005</v>
      </c>
      <c r="AK212" s="307">
        <f t="shared" si="258"/>
        <v>8396953.7895563878</v>
      </c>
      <c r="AL212" s="307">
        <f t="shared" si="258"/>
        <v>9072609.0649810955</v>
      </c>
      <c r="AM212" s="307">
        <f t="shared" si="258"/>
        <v>9748120.8254618309</v>
      </c>
      <c r="AN212" s="307">
        <f t="shared" si="258"/>
        <v>12643591.985620651</v>
      </c>
      <c r="AO212" s="307">
        <f t="shared" si="258"/>
        <v>14380915.060570043</v>
      </c>
      <c r="AP212" s="307">
        <f t="shared" si="258"/>
        <v>16311263.759299133</v>
      </c>
      <c r="AR212" s="308">
        <v>1827075</v>
      </c>
      <c r="AS212" s="308">
        <f t="shared" si="249"/>
        <v>-34492</v>
      </c>
      <c r="AT212" s="308">
        <v>1333235</v>
      </c>
      <c r="AU212" s="308">
        <f t="shared" si="250"/>
        <v>17328</v>
      </c>
      <c r="AV212" s="308">
        <v>1900000</v>
      </c>
      <c r="AW212" s="308">
        <f t="shared" si="251"/>
        <v>1608</v>
      </c>
      <c r="AX212" s="309">
        <v>3150000</v>
      </c>
      <c r="AY212" s="308">
        <f t="shared" si="252"/>
        <v>-659882</v>
      </c>
      <c r="AZ212" s="309">
        <v>2500000</v>
      </c>
      <c r="BA212" s="308">
        <f t="shared" si="253"/>
        <v>273152</v>
      </c>
      <c r="BB212" s="331">
        <v>1975000</v>
      </c>
      <c r="BC212" s="308">
        <f t="shared" si="254"/>
        <v>500000</v>
      </c>
    </row>
    <row r="213" spans="1:55">
      <c r="A213" s="334"/>
      <c r="B213" s="334"/>
      <c r="C213" s="334"/>
      <c r="D213" s="334"/>
      <c r="E213" s="334"/>
      <c r="F213" s="334"/>
      <c r="G213" s="334"/>
      <c r="H213" s="334"/>
      <c r="I213" s="334"/>
      <c r="J213" s="334"/>
      <c r="K213" s="334"/>
      <c r="L213" s="334"/>
      <c r="M213" s="334"/>
      <c r="N213" s="334"/>
      <c r="O213" s="334"/>
      <c r="P213" s="334"/>
      <c r="Q213" s="334"/>
      <c r="R213" s="334"/>
      <c r="S213" s="334"/>
      <c r="T213" s="334"/>
      <c r="U213" s="334"/>
      <c r="V213" s="334"/>
      <c r="W213" s="334"/>
      <c r="X213" s="334"/>
      <c r="Y213" s="334"/>
      <c r="Z213" s="334"/>
      <c r="AA213" s="334"/>
      <c r="AB213" s="334"/>
      <c r="AC213" s="334"/>
      <c r="AD213" s="334"/>
      <c r="AE213" s="334"/>
      <c r="AF213" s="334"/>
      <c r="AG213" s="334"/>
      <c r="AH213" s="334"/>
      <c r="AI213" s="334"/>
      <c r="AJ213" s="334"/>
      <c r="AK213" s="334"/>
      <c r="AL213" s="334"/>
      <c r="AM213" s="334"/>
      <c r="AN213" s="334"/>
      <c r="AO213" s="334"/>
      <c r="AP213" s="334"/>
      <c r="AT213" s="309"/>
    </row>
    <row r="214" spans="1:55" ht="12" thickBot="1">
      <c r="A214" s="300" t="s">
        <v>445</v>
      </c>
      <c r="AT214" s="309"/>
    </row>
    <row r="215" spans="1:55" ht="12" thickBot="1">
      <c r="A215" s="328"/>
      <c r="B215" s="329">
        <f t="shared" ref="B215:AP215" si="259">B2</f>
        <v>2010</v>
      </c>
      <c r="C215" s="329">
        <f t="shared" si="259"/>
        <v>2011</v>
      </c>
      <c r="D215" s="329">
        <f t="shared" si="259"/>
        <v>2012</v>
      </c>
      <c r="E215" s="329">
        <f t="shared" si="259"/>
        <v>2013</v>
      </c>
      <c r="F215" s="329">
        <f t="shared" si="259"/>
        <v>2014</v>
      </c>
      <c r="G215" s="329">
        <f t="shared" si="259"/>
        <v>2015</v>
      </c>
      <c r="H215" s="329">
        <f t="shared" si="259"/>
        <v>2016</v>
      </c>
      <c r="I215" s="329">
        <f t="shared" si="259"/>
        <v>2017</v>
      </c>
      <c r="J215" s="329">
        <f t="shared" si="259"/>
        <v>2018</v>
      </c>
      <c r="K215" s="329">
        <f t="shared" si="259"/>
        <v>2019</v>
      </c>
      <c r="L215" s="329">
        <f t="shared" si="259"/>
        <v>2020</v>
      </c>
      <c r="M215" s="329">
        <f t="shared" si="259"/>
        <v>2021</v>
      </c>
      <c r="N215" s="329">
        <f t="shared" si="259"/>
        <v>2022</v>
      </c>
      <c r="O215" s="329">
        <f t="shared" si="259"/>
        <v>2023</v>
      </c>
      <c r="P215" s="329">
        <f t="shared" si="259"/>
        <v>2024</v>
      </c>
      <c r="Q215" s="329">
        <f t="shared" si="259"/>
        <v>2025</v>
      </c>
      <c r="R215" s="329">
        <f t="shared" si="259"/>
        <v>2026</v>
      </c>
      <c r="S215" s="329">
        <f t="shared" si="259"/>
        <v>2027</v>
      </c>
      <c r="T215" s="329">
        <f t="shared" si="259"/>
        <v>2028</v>
      </c>
      <c r="U215" s="329">
        <f t="shared" si="259"/>
        <v>2029</v>
      </c>
      <c r="V215" s="329">
        <f t="shared" si="259"/>
        <v>2030</v>
      </c>
      <c r="W215" s="329">
        <f t="shared" si="259"/>
        <v>2031</v>
      </c>
      <c r="X215" s="329">
        <f t="shared" si="259"/>
        <v>2032</v>
      </c>
      <c r="Y215" s="329">
        <f t="shared" si="259"/>
        <v>2033</v>
      </c>
      <c r="Z215" s="329">
        <f t="shared" si="259"/>
        <v>2034</v>
      </c>
      <c r="AA215" s="329">
        <f t="shared" si="259"/>
        <v>2035</v>
      </c>
      <c r="AB215" s="329">
        <f t="shared" si="259"/>
        <v>2036</v>
      </c>
      <c r="AC215" s="329">
        <f t="shared" si="259"/>
        <v>2037</v>
      </c>
      <c r="AD215" s="329">
        <f t="shared" si="259"/>
        <v>2038</v>
      </c>
      <c r="AE215" s="329">
        <f t="shared" si="259"/>
        <v>2039</v>
      </c>
      <c r="AF215" s="329">
        <f t="shared" si="259"/>
        <v>2040</v>
      </c>
      <c r="AG215" s="329">
        <f t="shared" si="259"/>
        <v>2041</v>
      </c>
      <c r="AH215" s="329">
        <f t="shared" si="259"/>
        <v>2042</v>
      </c>
      <c r="AI215" s="329">
        <f t="shared" si="259"/>
        <v>2043</v>
      </c>
      <c r="AJ215" s="329">
        <f t="shared" si="259"/>
        <v>2044</v>
      </c>
      <c r="AK215" s="329">
        <f t="shared" si="259"/>
        <v>2045</v>
      </c>
      <c r="AL215" s="329">
        <f t="shared" si="259"/>
        <v>2046</v>
      </c>
      <c r="AM215" s="329">
        <f t="shared" si="259"/>
        <v>2047</v>
      </c>
      <c r="AN215" s="329">
        <f t="shared" si="259"/>
        <v>2048</v>
      </c>
      <c r="AO215" s="329">
        <f t="shared" si="259"/>
        <v>2049</v>
      </c>
      <c r="AP215" s="329">
        <f t="shared" si="259"/>
        <v>2050</v>
      </c>
      <c r="AT215" s="309"/>
    </row>
    <row r="216" spans="1:55">
      <c r="A216" s="301" t="s">
        <v>43</v>
      </c>
      <c r="B216" s="308">
        <f>'Monthly D5 Gallon Data'!$I4</f>
        <v>0</v>
      </c>
      <c r="C216" s="308">
        <f>'Monthly D5 Gallon Data'!$I16</f>
        <v>0</v>
      </c>
      <c r="D216" s="308">
        <f>'Monthly D5 Gallon Data'!$I28</f>
        <v>0</v>
      </c>
      <c r="E216" s="308">
        <f>'Monthly D5 Gallon Data'!$I40</f>
        <v>0</v>
      </c>
      <c r="F216" s="308">
        <f>'Monthly D5 Gallon Data'!$I52</f>
        <v>0</v>
      </c>
      <c r="G216" s="308">
        <f>'Monthly D5 Gallon Data'!$I64</f>
        <v>0</v>
      </c>
      <c r="H216" s="308">
        <f>'Monthly D5 Gallon Data'!$I76</f>
        <v>0</v>
      </c>
      <c r="I216" s="308">
        <f>'Monthly D5 Gallon Data'!$I88</f>
        <v>0</v>
      </c>
      <c r="J216" s="308">
        <f>'Monthly D5 Gallon Data'!$I100</f>
        <v>0</v>
      </c>
      <c r="K216" s="308">
        <f>'Monthly D5 Gallon Data'!$I112</f>
        <v>0</v>
      </c>
      <c r="L216" s="308">
        <f>'Monthly D5 Gallon Data'!$I124</f>
        <v>0</v>
      </c>
      <c r="M216" s="308">
        <f>'Monthly D5 Gallon Data'!$I136</f>
        <v>0</v>
      </c>
      <c r="N216" s="308">
        <f>'Monthly D5 Gallon Data'!$I148</f>
        <v>0</v>
      </c>
      <c r="O216" s="308">
        <f>'Monthly D5 Gallon Data'!$I160</f>
        <v>0</v>
      </c>
      <c r="P216" s="308">
        <f>'Monthly D5 Gallon Data'!$I172</f>
        <v>0</v>
      </c>
      <c r="Q216" s="308">
        <f>'Monthly D5 Gallon Data'!$I184</f>
        <v>0</v>
      </c>
      <c r="R216" s="307">
        <v>0</v>
      </c>
      <c r="S216" s="307">
        <v>0</v>
      </c>
      <c r="T216" s="307">
        <v>0</v>
      </c>
      <c r="U216" s="307">
        <v>0</v>
      </c>
      <c r="V216" s="307">
        <v>0</v>
      </c>
      <c r="W216" s="307">
        <v>0</v>
      </c>
      <c r="X216" s="307">
        <v>0</v>
      </c>
      <c r="Y216" s="307">
        <v>0</v>
      </c>
      <c r="Z216" s="307">
        <v>0</v>
      </c>
      <c r="AA216" s="307">
        <v>0</v>
      </c>
      <c r="AB216" s="307">
        <v>0</v>
      </c>
      <c r="AC216" s="307">
        <v>0</v>
      </c>
      <c r="AD216" s="307">
        <v>0</v>
      </c>
      <c r="AE216" s="307">
        <v>0</v>
      </c>
      <c r="AF216" s="307">
        <v>0</v>
      </c>
      <c r="AG216" s="307">
        <v>0</v>
      </c>
      <c r="AH216" s="307">
        <v>1</v>
      </c>
      <c r="AI216" s="307">
        <v>2</v>
      </c>
      <c r="AJ216" s="307">
        <v>3</v>
      </c>
      <c r="AK216" s="307">
        <v>4</v>
      </c>
      <c r="AL216" s="307">
        <v>5</v>
      </c>
      <c r="AM216" s="307">
        <v>6</v>
      </c>
      <c r="AN216" s="307">
        <v>7</v>
      </c>
      <c r="AO216" s="307">
        <v>8</v>
      </c>
      <c r="AP216" s="307">
        <v>9</v>
      </c>
      <c r="AR216" s="308">
        <v>0</v>
      </c>
      <c r="AS216" s="308">
        <f t="shared" ref="AS216:AS228" si="260">L216-AR216</f>
        <v>0</v>
      </c>
      <c r="AT216" s="308">
        <v>0</v>
      </c>
      <c r="AU216" s="308">
        <f t="shared" ref="AU216:AU228" si="261">M216-AT216</f>
        <v>0</v>
      </c>
      <c r="AV216" s="308">
        <v>0</v>
      </c>
      <c r="AW216" s="308">
        <f t="shared" ref="AW216:AW228" si="262">N216-AV216</f>
        <v>0</v>
      </c>
      <c r="AX216" s="308">
        <v>0</v>
      </c>
      <c r="AY216" s="308">
        <f t="shared" ref="AY216:AY228" si="263">O216-AX216</f>
        <v>0</v>
      </c>
      <c r="AZ216" s="308">
        <v>0</v>
      </c>
      <c r="BA216" s="308">
        <f t="shared" ref="BA216:BA228" si="264">P216-AZ216</f>
        <v>0</v>
      </c>
      <c r="BB216" s="331">
        <v>0</v>
      </c>
      <c r="BC216" s="308">
        <f t="shared" ref="BC216:BC228" si="265">Q216-BB216</f>
        <v>0</v>
      </c>
    </row>
    <row r="217" spans="1:55">
      <c r="A217" s="301" t="s">
        <v>44</v>
      </c>
      <c r="B217" s="308">
        <f>'Monthly D5 Gallon Data'!$I5</f>
        <v>0</v>
      </c>
      <c r="C217" s="308">
        <f>'Monthly D5 Gallon Data'!$I17</f>
        <v>0</v>
      </c>
      <c r="D217" s="308">
        <f>'Monthly D5 Gallon Data'!$I29</f>
        <v>0</v>
      </c>
      <c r="E217" s="308">
        <f>'Monthly D5 Gallon Data'!$I41</f>
        <v>0</v>
      </c>
      <c r="F217" s="308">
        <f>'Monthly D5 Gallon Data'!$I53</f>
        <v>0</v>
      </c>
      <c r="G217" s="308">
        <f>'Monthly D5 Gallon Data'!$I65</f>
        <v>0</v>
      </c>
      <c r="H217" s="308">
        <f>'Monthly D5 Gallon Data'!$I77</f>
        <v>0</v>
      </c>
      <c r="I217" s="308">
        <f>'Monthly D5 Gallon Data'!$I89</f>
        <v>0</v>
      </c>
      <c r="J217" s="308">
        <f>'Monthly D5 Gallon Data'!$I101</f>
        <v>0</v>
      </c>
      <c r="K217" s="308">
        <f>'Monthly D5 Gallon Data'!$I113</f>
        <v>0</v>
      </c>
      <c r="L217" s="308">
        <f>'Monthly D5 Gallon Data'!$I125</f>
        <v>0</v>
      </c>
      <c r="M217" s="308">
        <f>'Monthly D5 Gallon Data'!$I137</f>
        <v>0</v>
      </c>
      <c r="N217" s="308">
        <f>'Monthly D5 Gallon Data'!$I149</f>
        <v>0</v>
      </c>
      <c r="O217" s="308">
        <f>'Monthly D5 Gallon Data'!$I161</f>
        <v>0</v>
      </c>
      <c r="P217" s="308">
        <f>'Monthly D5 Gallon Data'!$I173</f>
        <v>0</v>
      </c>
      <c r="Q217" s="332">
        <f>'Monthly D5 Gallon Data'!$I185</f>
        <v>0</v>
      </c>
      <c r="R217" s="307">
        <v>0</v>
      </c>
      <c r="S217" s="307">
        <v>0</v>
      </c>
      <c r="T217" s="307">
        <v>0</v>
      </c>
      <c r="U217" s="307">
        <v>0</v>
      </c>
      <c r="V217" s="307">
        <v>0</v>
      </c>
      <c r="W217" s="307">
        <v>0</v>
      </c>
      <c r="X217" s="307">
        <v>0</v>
      </c>
      <c r="Y217" s="307">
        <v>0</v>
      </c>
      <c r="Z217" s="307">
        <v>0</v>
      </c>
      <c r="AA217" s="307">
        <v>0</v>
      </c>
      <c r="AB217" s="307">
        <v>0</v>
      </c>
      <c r="AC217" s="307">
        <v>0</v>
      </c>
      <c r="AD217" s="307">
        <v>0</v>
      </c>
      <c r="AE217" s="307">
        <v>0</v>
      </c>
      <c r="AF217" s="307">
        <v>0</v>
      </c>
      <c r="AG217" s="307">
        <v>0</v>
      </c>
      <c r="AH217" s="307">
        <v>1</v>
      </c>
      <c r="AI217" s="307">
        <v>2</v>
      </c>
      <c r="AJ217" s="307">
        <v>3</v>
      </c>
      <c r="AK217" s="307">
        <v>4</v>
      </c>
      <c r="AL217" s="307">
        <v>5</v>
      </c>
      <c r="AM217" s="307">
        <v>6</v>
      </c>
      <c r="AN217" s="307">
        <v>7</v>
      </c>
      <c r="AO217" s="307">
        <v>8</v>
      </c>
      <c r="AP217" s="307">
        <v>9</v>
      </c>
      <c r="AR217" s="308">
        <v>0</v>
      </c>
      <c r="AS217" s="308">
        <f t="shared" si="260"/>
        <v>0</v>
      </c>
      <c r="AT217" s="308">
        <v>0</v>
      </c>
      <c r="AU217" s="308">
        <f t="shared" si="261"/>
        <v>0</v>
      </c>
      <c r="AV217" s="308">
        <v>0</v>
      </c>
      <c r="AW217" s="308">
        <f t="shared" si="262"/>
        <v>0</v>
      </c>
      <c r="AX217" s="308">
        <v>0</v>
      </c>
      <c r="AY217" s="308">
        <f t="shared" si="263"/>
        <v>0</v>
      </c>
      <c r="AZ217" s="308">
        <v>0</v>
      </c>
      <c r="BA217" s="308">
        <f t="shared" si="264"/>
        <v>0</v>
      </c>
      <c r="BB217" s="331">
        <v>0</v>
      </c>
      <c r="BC217" s="308">
        <f t="shared" si="265"/>
        <v>0</v>
      </c>
    </row>
    <row r="218" spans="1:55">
      <c r="A218" s="301" t="s">
        <v>45</v>
      </c>
      <c r="B218" s="308">
        <f>'Monthly D5 Gallon Data'!$I6</f>
        <v>0</v>
      </c>
      <c r="C218" s="308">
        <f>'Monthly D5 Gallon Data'!$I18</f>
        <v>0</v>
      </c>
      <c r="D218" s="308">
        <f>'Monthly D5 Gallon Data'!$I30</f>
        <v>0</v>
      </c>
      <c r="E218" s="308">
        <f>'Monthly D5 Gallon Data'!$I42</f>
        <v>0</v>
      </c>
      <c r="F218" s="308">
        <f>'Monthly D5 Gallon Data'!$I54</f>
        <v>0</v>
      </c>
      <c r="G218" s="308">
        <f>'Monthly D5 Gallon Data'!$I66</f>
        <v>0</v>
      </c>
      <c r="H218" s="308">
        <f>'Monthly D5 Gallon Data'!$I78</f>
        <v>0</v>
      </c>
      <c r="I218" s="308">
        <f>'Monthly D5 Gallon Data'!$I90</f>
        <v>0</v>
      </c>
      <c r="J218" s="308">
        <f>'Monthly D5 Gallon Data'!$I102</f>
        <v>0</v>
      </c>
      <c r="K218" s="308">
        <f>'Monthly D5 Gallon Data'!$I114</f>
        <v>0</v>
      </c>
      <c r="L218" s="308">
        <f>'Monthly D5 Gallon Data'!$I126</f>
        <v>0</v>
      </c>
      <c r="M218" s="308">
        <f>'Monthly D5 Gallon Data'!$I138</f>
        <v>0</v>
      </c>
      <c r="N218" s="308">
        <f>'Monthly D5 Gallon Data'!$I150</f>
        <v>0</v>
      </c>
      <c r="O218" s="308">
        <f>'Monthly D5 Gallon Data'!$I162</f>
        <v>0</v>
      </c>
      <c r="P218" s="308">
        <f>'Monthly D5 Gallon Data'!$I174</f>
        <v>0</v>
      </c>
      <c r="Q218" s="332">
        <f>'Monthly D5 Gallon Data'!$I186</f>
        <v>0</v>
      </c>
      <c r="R218" s="307">
        <v>0</v>
      </c>
      <c r="S218" s="307">
        <v>0</v>
      </c>
      <c r="T218" s="307">
        <v>0</v>
      </c>
      <c r="U218" s="307">
        <v>0</v>
      </c>
      <c r="V218" s="307">
        <v>0</v>
      </c>
      <c r="W218" s="307">
        <v>0</v>
      </c>
      <c r="X218" s="307">
        <v>0</v>
      </c>
      <c r="Y218" s="307">
        <v>0</v>
      </c>
      <c r="Z218" s="307">
        <v>0</v>
      </c>
      <c r="AA218" s="307">
        <v>0</v>
      </c>
      <c r="AB218" s="307">
        <v>0</v>
      </c>
      <c r="AC218" s="307">
        <v>0</v>
      </c>
      <c r="AD218" s="307">
        <v>0</v>
      </c>
      <c r="AE218" s="307">
        <v>0</v>
      </c>
      <c r="AF218" s="307">
        <v>0</v>
      </c>
      <c r="AG218" s="307">
        <v>0</v>
      </c>
      <c r="AH218" s="307">
        <v>1</v>
      </c>
      <c r="AI218" s="307">
        <v>2</v>
      </c>
      <c r="AJ218" s="307">
        <v>3</v>
      </c>
      <c r="AK218" s="307">
        <v>4</v>
      </c>
      <c r="AL218" s="307">
        <v>5</v>
      </c>
      <c r="AM218" s="307">
        <v>6</v>
      </c>
      <c r="AN218" s="307">
        <v>7</v>
      </c>
      <c r="AO218" s="307">
        <v>8</v>
      </c>
      <c r="AP218" s="307">
        <v>9</v>
      </c>
      <c r="AR218" s="308">
        <v>0</v>
      </c>
      <c r="AS218" s="308">
        <f t="shared" si="260"/>
        <v>0</v>
      </c>
      <c r="AT218" s="308">
        <v>0</v>
      </c>
      <c r="AU218" s="308">
        <f t="shared" si="261"/>
        <v>0</v>
      </c>
      <c r="AV218" s="308">
        <v>0</v>
      </c>
      <c r="AW218" s="308">
        <f t="shared" si="262"/>
        <v>0</v>
      </c>
      <c r="AX218" s="308">
        <v>0</v>
      </c>
      <c r="AY218" s="308">
        <f t="shared" si="263"/>
        <v>0</v>
      </c>
      <c r="AZ218" s="308">
        <v>0</v>
      </c>
      <c r="BA218" s="308">
        <f t="shared" si="264"/>
        <v>0</v>
      </c>
      <c r="BB218" s="331">
        <v>0</v>
      </c>
      <c r="BC218" s="308">
        <f t="shared" si="265"/>
        <v>0</v>
      </c>
    </row>
    <row r="219" spans="1:55">
      <c r="A219" s="301" t="s">
        <v>46</v>
      </c>
      <c r="B219" s="308">
        <f>'Monthly D5 Gallon Data'!$I7</f>
        <v>0</v>
      </c>
      <c r="C219" s="308">
        <f>'Monthly D5 Gallon Data'!$I19</f>
        <v>0</v>
      </c>
      <c r="D219" s="308">
        <f>'Monthly D5 Gallon Data'!$I31</f>
        <v>0</v>
      </c>
      <c r="E219" s="308">
        <f>'Monthly D5 Gallon Data'!$I43</f>
        <v>0</v>
      </c>
      <c r="F219" s="308">
        <f>'Monthly D5 Gallon Data'!$I55</f>
        <v>0</v>
      </c>
      <c r="G219" s="308">
        <f>'Monthly D5 Gallon Data'!$I67</f>
        <v>0</v>
      </c>
      <c r="H219" s="308">
        <f>'Monthly D5 Gallon Data'!$I79</f>
        <v>0</v>
      </c>
      <c r="I219" s="308">
        <f>'Monthly D5 Gallon Data'!$I91</f>
        <v>0</v>
      </c>
      <c r="J219" s="308">
        <f>'Monthly D5 Gallon Data'!$I103</f>
        <v>0</v>
      </c>
      <c r="K219" s="308">
        <f>'Monthly D5 Gallon Data'!$I115</f>
        <v>0</v>
      </c>
      <c r="L219" s="308">
        <f>'Monthly D5 Gallon Data'!$I127</f>
        <v>0</v>
      </c>
      <c r="M219" s="308">
        <f>'Monthly D5 Gallon Data'!$I139</f>
        <v>0</v>
      </c>
      <c r="N219" s="308">
        <f>'Monthly D5 Gallon Data'!$I151</f>
        <v>0</v>
      </c>
      <c r="O219" s="308">
        <f>'Monthly D5 Gallon Data'!$I163</f>
        <v>0</v>
      </c>
      <c r="P219" s="308">
        <f>'Monthly D5 Gallon Data'!$I175</f>
        <v>0</v>
      </c>
      <c r="Q219" s="307">
        <v>0</v>
      </c>
      <c r="R219" s="307">
        <v>0</v>
      </c>
      <c r="S219" s="307">
        <v>0</v>
      </c>
      <c r="T219" s="307">
        <v>0</v>
      </c>
      <c r="U219" s="307">
        <v>0</v>
      </c>
      <c r="V219" s="307">
        <v>0</v>
      </c>
      <c r="W219" s="307">
        <v>0</v>
      </c>
      <c r="X219" s="307">
        <v>0</v>
      </c>
      <c r="Y219" s="307">
        <v>0</v>
      </c>
      <c r="Z219" s="307">
        <v>0</v>
      </c>
      <c r="AA219" s="307">
        <v>0</v>
      </c>
      <c r="AB219" s="307">
        <v>0</v>
      </c>
      <c r="AC219" s="307">
        <v>0</v>
      </c>
      <c r="AD219" s="307">
        <v>0</v>
      </c>
      <c r="AE219" s="307">
        <v>0</v>
      </c>
      <c r="AF219" s="307">
        <v>0</v>
      </c>
      <c r="AG219" s="307">
        <v>0</v>
      </c>
      <c r="AH219" s="307">
        <v>1</v>
      </c>
      <c r="AI219" s="307">
        <v>2</v>
      </c>
      <c r="AJ219" s="307">
        <v>3</v>
      </c>
      <c r="AK219" s="307">
        <v>4</v>
      </c>
      <c r="AL219" s="307">
        <v>5</v>
      </c>
      <c r="AM219" s="307">
        <v>6</v>
      </c>
      <c r="AN219" s="307">
        <v>7</v>
      </c>
      <c r="AO219" s="307">
        <v>8</v>
      </c>
      <c r="AP219" s="307">
        <v>9</v>
      </c>
      <c r="AR219" s="308">
        <v>0</v>
      </c>
      <c r="AS219" s="308">
        <f t="shared" si="260"/>
        <v>0</v>
      </c>
      <c r="AT219" s="308">
        <v>0</v>
      </c>
      <c r="AU219" s="308">
        <f t="shared" si="261"/>
        <v>0</v>
      </c>
      <c r="AV219" s="308">
        <v>0</v>
      </c>
      <c r="AW219" s="308">
        <f t="shared" si="262"/>
        <v>0</v>
      </c>
      <c r="AX219" s="308">
        <v>0</v>
      </c>
      <c r="AY219" s="308">
        <f t="shared" si="263"/>
        <v>0</v>
      </c>
      <c r="AZ219" s="308">
        <v>0</v>
      </c>
      <c r="BA219" s="308">
        <f t="shared" si="264"/>
        <v>0</v>
      </c>
      <c r="BB219" s="331">
        <v>0</v>
      </c>
      <c r="BC219" s="308">
        <f t="shared" si="265"/>
        <v>0</v>
      </c>
    </row>
    <row r="220" spans="1:55">
      <c r="A220" s="301" t="s">
        <v>47</v>
      </c>
      <c r="B220" s="308">
        <f>'Monthly D5 Gallon Data'!$I8</f>
        <v>0</v>
      </c>
      <c r="C220" s="308">
        <f>'Monthly D5 Gallon Data'!$I20</f>
        <v>0</v>
      </c>
      <c r="D220" s="308">
        <f>'Monthly D5 Gallon Data'!$I32</f>
        <v>0</v>
      </c>
      <c r="E220" s="308">
        <f>'Monthly D5 Gallon Data'!$I44</f>
        <v>0</v>
      </c>
      <c r="F220" s="308">
        <f>'Monthly D5 Gallon Data'!$I56</f>
        <v>0</v>
      </c>
      <c r="G220" s="308">
        <f>'Monthly D5 Gallon Data'!$I68</f>
        <v>0</v>
      </c>
      <c r="H220" s="308">
        <f>'Monthly D5 Gallon Data'!$I80</f>
        <v>0</v>
      </c>
      <c r="I220" s="308">
        <f>'Monthly D5 Gallon Data'!$I92</f>
        <v>0</v>
      </c>
      <c r="J220" s="308">
        <f>'Monthly D5 Gallon Data'!$I104</f>
        <v>0</v>
      </c>
      <c r="K220" s="308">
        <f>'Monthly D5 Gallon Data'!$I116</f>
        <v>0</v>
      </c>
      <c r="L220" s="308">
        <f>'Monthly D5 Gallon Data'!$I128</f>
        <v>0</v>
      </c>
      <c r="M220" s="308">
        <f>'Monthly D5 Gallon Data'!$I140</f>
        <v>0</v>
      </c>
      <c r="N220" s="308">
        <f>'Monthly D5 Gallon Data'!$I152</f>
        <v>0</v>
      </c>
      <c r="O220" s="308">
        <f>'Monthly D5 Gallon Data'!$I164</f>
        <v>0</v>
      </c>
      <c r="P220" s="308">
        <f>'Monthly D5 Gallon Data'!$I176</f>
        <v>0</v>
      </c>
      <c r="Q220" s="307">
        <v>0</v>
      </c>
      <c r="R220" s="307">
        <v>0</v>
      </c>
      <c r="S220" s="307">
        <v>0</v>
      </c>
      <c r="T220" s="307">
        <v>0</v>
      </c>
      <c r="U220" s="307">
        <v>0</v>
      </c>
      <c r="V220" s="307">
        <v>0</v>
      </c>
      <c r="W220" s="307">
        <v>0</v>
      </c>
      <c r="X220" s="307">
        <v>0</v>
      </c>
      <c r="Y220" s="307">
        <v>0</v>
      </c>
      <c r="Z220" s="307">
        <v>0</v>
      </c>
      <c r="AA220" s="307">
        <v>0</v>
      </c>
      <c r="AB220" s="307">
        <v>0</v>
      </c>
      <c r="AC220" s="307">
        <v>0</v>
      </c>
      <c r="AD220" s="307">
        <v>0</v>
      </c>
      <c r="AE220" s="307">
        <v>0</v>
      </c>
      <c r="AF220" s="307">
        <v>0</v>
      </c>
      <c r="AG220" s="307">
        <v>0</v>
      </c>
      <c r="AH220" s="307">
        <v>1</v>
      </c>
      <c r="AI220" s="307">
        <v>2</v>
      </c>
      <c r="AJ220" s="307">
        <v>3</v>
      </c>
      <c r="AK220" s="307">
        <v>4</v>
      </c>
      <c r="AL220" s="307">
        <v>5</v>
      </c>
      <c r="AM220" s="307">
        <v>6</v>
      </c>
      <c r="AN220" s="307">
        <v>7</v>
      </c>
      <c r="AO220" s="307">
        <v>8</v>
      </c>
      <c r="AP220" s="307">
        <v>9</v>
      </c>
      <c r="AR220" s="308">
        <v>0</v>
      </c>
      <c r="AS220" s="308">
        <f t="shared" si="260"/>
        <v>0</v>
      </c>
      <c r="AT220" s="308">
        <v>0</v>
      </c>
      <c r="AU220" s="308">
        <f t="shared" si="261"/>
        <v>0</v>
      </c>
      <c r="AV220" s="308">
        <v>0</v>
      </c>
      <c r="AW220" s="308">
        <f t="shared" si="262"/>
        <v>0</v>
      </c>
      <c r="AX220" s="308">
        <v>0</v>
      </c>
      <c r="AY220" s="308">
        <f t="shared" si="263"/>
        <v>0</v>
      </c>
      <c r="AZ220" s="308">
        <v>0</v>
      </c>
      <c r="BA220" s="308">
        <f t="shared" si="264"/>
        <v>0</v>
      </c>
      <c r="BB220" s="331">
        <v>0</v>
      </c>
      <c r="BC220" s="308">
        <f t="shared" si="265"/>
        <v>0</v>
      </c>
    </row>
    <row r="221" spans="1:55">
      <c r="A221" s="301" t="s">
        <v>48</v>
      </c>
      <c r="B221" s="308">
        <f>'Monthly D5 Gallon Data'!$I9</f>
        <v>0</v>
      </c>
      <c r="C221" s="308">
        <f>'Monthly D5 Gallon Data'!$I21</f>
        <v>0</v>
      </c>
      <c r="D221" s="308">
        <f>'Monthly D5 Gallon Data'!$I33</f>
        <v>0</v>
      </c>
      <c r="E221" s="308">
        <f>'Monthly D5 Gallon Data'!$I45</f>
        <v>0</v>
      </c>
      <c r="F221" s="308">
        <f>'Monthly D5 Gallon Data'!$I57</f>
        <v>0</v>
      </c>
      <c r="G221" s="308">
        <f>'Monthly D5 Gallon Data'!$I69</f>
        <v>0</v>
      </c>
      <c r="H221" s="308">
        <f>'Monthly D5 Gallon Data'!$I81</f>
        <v>0</v>
      </c>
      <c r="I221" s="308">
        <f>'Monthly D5 Gallon Data'!$I93</f>
        <v>0</v>
      </c>
      <c r="J221" s="308">
        <f>'Monthly D5 Gallon Data'!$I105</f>
        <v>0</v>
      </c>
      <c r="K221" s="308">
        <f>'Monthly D5 Gallon Data'!$I117</f>
        <v>0</v>
      </c>
      <c r="L221" s="308">
        <f>'Monthly D5 Gallon Data'!$I129</f>
        <v>0</v>
      </c>
      <c r="M221" s="308">
        <f>'Monthly D5 Gallon Data'!$I141</f>
        <v>0</v>
      </c>
      <c r="N221" s="308">
        <f>'Monthly D5 Gallon Data'!$I153</f>
        <v>0</v>
      </c>
      <c r="O221" s="308">
        <f>'Monthly D5 Gallon Data'!$I165</f>
        <v>0</v>
      </c>
      <c r="P221" s="308">
        <f>'Monthly D5 Gallon Data'!$I177</f>
        <v>0</v>
      </c>
      <c r="Q221" s="307">
        <v>0</v>
      </c>
      <c r="R221" s="307">
        <v>0</v>
      </c>
      <c r="S221" s="307">
        <v>0</v>
      </c>
      <c r="T221" s="307">
        <v>0</v>
      </c>
      <c r="U221" s="307">
        <v>0</v>
      </c>
      <c r="V221" s="307">
        <v>0</v>
      </c>
      <c r="W221" s="307">
        <v>0</v>
      </c>
      <c r="X221" s="307">
        <v>0</v>
      </c>
      <c r="Y221" s="307">
        <v>0</v>
      </c>
      <c r="Z221" s="307">
        <v>0</v>
      </c>
      <c r="AA221" s="307">
        <v>0</v>
      </c>
      <c r="AB221" s="307">
        <v>0</v>
      </c>
      <c r="AC221" s="307">
        <v>0</v>
      </c>
      <c r="AD221" s="307">
        <v>0</v>
      </c>
      <c r="AE221" s="307">
        <v>0</v>
      </c>
      <c r="AF221" s="307">
        <v>0</v>
      </c>
      <c r="AG221" s="307">
        <v>0</v>
      </c>
      <c r="AH221" s="307">
        <v>1</v>
      </c>
      <c r="AI221" s="307">
        <v>2</v>
      </c>
      <c r="AJ221" s="307">
        <v>3</v>
      </c>
      <c r="AK221" s="307">
        <v>4</v>
      </c>
      <c r="AL221" s="307">
        <v>5</v>
      </c>
      <c r="AM221" s="307">
        <v>6</v>
      </c>
      <c r="AN221" s="307">
        <v>7</v>
      </c>
      <c r="AO221" s="307">
        <v>8</v>
      </c>
      <c r="AP221" s="307">
        <v>9</v>
      </c>
      <c r="AR221" s="308">
        <v>0</v>
      </c>
      <c r="AS221" s="308">
        <f t="shared" si="260"/>
        <v>0</v>
      </c>
      <c r="AT221" s="308">
        <v>0</v>
      </c>
      <c r="AU221" s="308">
        <f t="shared" si="261"/>
        <v>0</v>
      </c>
      <c r="AV221" s="308">
        <v>0</v>
      </c>
      <c r="AW221" s="308">
        <f t="shared" si="262"/>
        <v>0</v>
      </c>
      <c r="AX221" s="308">
        <v>0</v>
      </c>
      <c r="AY221" s="308">
        <f t="shared" si="263"/>
        <v>0</v>
      </c>
      <c r="AZ221" s="308">
        <v>0</v>
      </c>
      <c r="BA221" s="308">
        <f t="shared" si="264"/>
        <v>0</v>
      </c>
      <c r="BB221" s="331">
        <v>0</v>
      </c>
      <c r="BC221" s="308">
        <f t="shared" si="265"/>
        <v>0</v>
      </c>
    </row>
    <row r="222" spans="1:55">
      <c r="A222" s="301" t="s">
        <v>49</v>
      </c>
      <c r="B222" s="308">
        <f>'Monthly D5 Gallon Data'!$I10</f>
        <v>0</v>
      </c>
      <c r="C222" s="308">
        <f>'Monthly D5 Gallon Data'!$I22</f>
        <v>0</v>
      </c>
      <c r="D222" s="308">
        <f>'Monthly D5 Gallon Data'!$I34</f>
        <v>0</v>
      </c>
      <c r="E222" s="308">
        <f>'Monthly D5 Gallon Data'!$I46</f>
        <v>0</v>
      </c>
      <c r="F222" s="308">
        <f>'Monthly D5 Gallon Data'!$I58</f>
        <v>0</v>
      </c>
      <c r="G222" s="308">
        <f>'Monthly D5 Gallon Data'!$I70</f>
        <v>0</v>
      </c>
      <c r="H222" s="308">
        <f>'Monthly D5 Gallon Data'!$I82</f>
        <v>0</v>
      </c>
      <c r="I222" s="308">
        <f>'Monthly D5 Gallon Data'!$I94</f>
        <v>0</v>
      </c>
      <c r="J222" s="308">
        <f>'Monthly D5 Gallon Data'!$I106</f>
        <v>0</v>
      </c>
      <c r="K222" s="308">
        <f>'Monthly D5 Gallon Data'!$I118</f>
        <v>0</v>
      </c>
      <c r="L222" s="308">
        <f>'Monthly D5 Gallon Data'!$I130</f>
        <v>0</v>
      </c>
      <c r="M222" s="308">
        <f>'Monthly D5 Gallon Data'!$I142</f>
        <v>0</v>
      </c>
      <c r="N222" s="308">
        <f>'Monthly D5 Gallon Data'!$I154</f>
        <v>0</v>
      </c>
      <c r="O222" s="308">
        <f>'Monthly D5 Gallon Data'!$I166</f>
        <v>0</v>
      </c>
      <c r="P222" s="308">
        <f>'Monthly D5 Gallon Data'!$I178</f>
        <v>0</v>
      </c>
      <c r="Q222" s="307">
        <v>0</v>
      </c>
      <c r="R222" s="307">
        <v>0</v>
      </c>
      <c r="S222" s="307">
        <v>0</v>
      </c>
      <c r="T222" s="307">
        <v>0</v>
      </c>
      <c r="U222" s="307">
        <v>0</v>
      </c>
      <c r="V222" s="307">
        <v>0</v>
      </c>
      <c r="W222" s="307">
        <v>0</v>
      </c>
      <c r="X222" s="307">
        <v>0</v>
      </c>
      <c r="Y222" s="307">
        <v>0</v>
      </c>
      <c r="Z222" s="307">
        <v>0</v>
      </c>
      <c r="AA222" s="307">
        <v>0</v>
      </c>
      <c r="AB222" s="307">
        <v>0</v>
      </c>
      <c r="AC222" s="307">
        <v>0</v>
      </c>
      <c r="AD222" s="307">
        <v>0</v>
      </c>
      <c r="AE222" s="307">
        <v>0</v>
      </c>
      <c r="AF222" s="307">
        <v>0</v>
      </c>
      <c r="AG222" s="307">
        <v>0</v>
      </c>
      <c r="AH222" s="307">
        <v>1</v>
      </c>
      <c r="AI222" s="307">
        <v>2</v>
      </c>
      <c r="AJ222" s="307">
        <v>3</v>
      </c>
      <c r="AK222" s="307">
        <v>4</v>
      </c>
      <c r="AL222" s="307">
        <v>5</v>
      </c>
      <c r="AM222" s="307">
        <v>6</v>
      </c>
      <c r="AN222" s="307">
        <v>7</v>
      </c>
      <c r="AO222" s="307">
        <v>8</v>
      </c>
      <c r="AP222" s="307">
        <v>9</v>
      </c>
      <c r="AR222" s="308">
        <v>0</v>
      </c>
      <c r="AS222" s="308">
        <f t="shared" si="260"/>
        <v>0</v>
      </c>
      <c r="AT222" s="308">
        <v>0</v>
      </c>
      <c r="AU222" s="308">
        <f t="shared" si="261"/>
        <v>0</v>
      </c>
      <c r="AV222" s="308">
        <v>0</v>
      </c>
      <c r="AW222" s="308">
        <f t="shared" si="262"/>
        <v>0</v>
      </c>
      <c r="AX222" s="308">
        <v>0</v>
      </c>
      <c r="AY222" s="308">
        <f t="shared" si="263"/>
        <v>0</v>
      </c>
      <c r="AZ222" s="309">
        <v>0</v>
      </c>
      <c r="BA222" s="308">
        <f t="shared" si="264"/>
        <v>0</v>
      </c>
      <c r="BB222" s="331">
        <v>0</v>
      </c>
      <c r="BC222" s="308">
        <f t="shared" si="265"/>
        <v>0</v>
      </c>
    </row>
    <row r="223" spans="1:55">
      <c r="A223" s="301" t="s">
        <v>50</v>
      </c>
      <c r="B223" s="308">
        <f>'Monthly D5 Gallon Data'!$I11</f>
        <v>0</v>
      </c>
      <c r="C223" s="308">
        <f>'Monthly D5 Gallon Data'!$I23</f>
        <v>0</v>
      </c>
      <c r="D223" s="308">
        <f>'Monthly D5 Gallon Data'!$I35</f>
        <v>0</v>
      </c>
      <c r="E223" s="308">
        <f>'Monthly D5 Gallon Data'!$I47</f>
        <v>0</v>
      </c>
      <c r="F223" s="308">
        <f>'Monthly D5 Gallon Data'!$I59</f>
        <v>0</v>
      </c>
      <c r="G223" s="308">
        <f>'Monthly D5 Gallon Data'!$I71</f>
        <v>0</v>
      </c>
      <c r="H223" s="308">
        <f>'Monthly D5 Gallon Data'!$I83</f>
        <v>0</v>
      </c>
      <c r="I223" s="308">
        <f>'Monthly D5 Gallon Data'!$I95</f>
        <v>0</v>
      </c>
      <c r="J223" s="308">
        <f>'Monthly D5 Gallon Data'!$I107</f>
        <v>0</v>
      </c>
      <c r="K223" s="308">
        <f>'Monthly D5 Gallon Data'!$I119</f>
        <v>0</v>
      </c>
      <c r="L223" s="308">
        <f>'Monthly D5 Gallon Data'!$I131</f>
        <v>0</v>
      </c>
      <c r="M223" s="308">
        <f>'Monthly D5 Gallon Data'!$I143</f>
        <v>0</v>
      </c>
      <c r="N223" s="308">
        <f>'Monthly D5 Gallon Data'!$I155</f>
        <v>0</v>
      </c>
      <c r="O223" s="308">
        <f>'Monthly D5 Gallon Data'!$I167</f>
        <v>0</v>
      </c>
      <c r="P223" s="308">
        <f>'Monthly D5 Gallon Data'!$I179</f>
        <v>0</v>
      </c>
      <c r="Q223" s="307">
        <v>0</v>
      </c>
      <c r="R223" s="307">
        <v>0</v>
      </c>
      <c r="S223" s="307">
        <v>0</v>
      </c>
      <c r="T223" s="307">
        <v>0</v>
      </c>
      <c r="U223" s="307">
        <v>0</v>
      </c>
      <c r="V223" s="307">
        <v>0</v>
      </c>
      <c r="W223" s="307">
        <v>0</v>
      </c>
      <c r="X223" s="307">
        <v>0</v>
      </c>
      <c r="Y223" s="307">
        <v>0</v>
      </c>
      <c r="Z223" s="307">
        <v>0</v>
      </c>
      <c r="AA223" s="307">
        <v>0</v>
      </c>
      <c r="AB223" s="307">
        <v>0</v>
      </c>
      <c r="AC223" s="307">
        <v>0</v>
      </c>
      <c r="AD223" s="307">
        <v>0</v>
      </c>
      <c r="AE223" s="307">
        <v>0</v>
      </c>
      <c r="AF223" s="307">
        <v>0</v>
      </c>
      <c r="AG223" s="307">
        <v>0</v>
      </c>
      <c r="AH223" s="307">
        <v>1</v>
      </c>
      <c r="AI223" s="307">
        <v>2</v>
      </c>
      <c r="AJ223" s="307">
        <v>3</v>
      </c>
      <c r="AK223" s="307">
        <v>4</v>
      </c>
      <c r="AL223" s="307">
        <v>5</v>
      </c>
      <c r="AM223" s="307">
        <v>6</v>
      </c>
      <c r="AN223" s="307">
        <v>7</v>
      </c>
      <c r="AO223" s="307">
        <v>8</v>
      </c>
      <c r="AP223" s="307">
        <v>9</v>
      </c>
      <c r="AR223" s="308">
        <v>0</v>
      </c>
      <c r="AS223" s="308">
        <f t="shared" si="260"/>
        <v>0</v>
      </c>
      <c r="AT223" s="308">
        <v>0</v>
      </c>
      <c r="AU223" s="308">
        <f t="shared" si="261"/>
        <v>0</v>
      </c>
      <c r="AV223" s="308">
        <v>0</v>
      </c>
      <c r="AW223" s="308">
        <f t="shared" si="262"/>
        <v>0</v>
      </c>
      <c r="AX223" s="308">
        <v>0</v>
      </c>
      <c r="AY223" s="308">
        <f t="shared" si="263"/>
        <v>0</v>
      </c>
      <c r="AZ223" s="309">
        <v>0</v>
      </c>
      <c r="BA223" s="308">
        <f t="shared" si="264"/>
        <v>0</v>
      </c>
      <c r="BB223" s="331">
        <v>0</v>
      </c>
      <c r="BC223" s="308">
        <f t="shared" si="265"/>
        <v>0</v>
      </c>
    </row>
    <row r="224" spans="1:55">
      <c r="A224" s="301" t="s">
        <v>51</v>
      </c>
      <c r="B224" s="308">
        <f>'Monthly D5 Gallon Data'!$I12</f>
        <v>0</v>
      </c>
      <c r="C224" s="308">
        <f>'Monthly D5 Gallon Data'!$I24</f>
        <v>0</v>
      </c>
      <c r="D224" s="308">
        <f>'Monthly D5 Gallon Data'!$I36</f>
        <v>0</v>
      </c>
      <c r="E224" s="308">
        <f>'Monthly D5 Gallon Data'!$I48</f>
        <v>0</v>
      </c>
      <c r="F224" s="308">
        <f>'Monthly D5 Gallon Data'!$I60</f>
        <v>0</v>
      </c>
      <c r="G224" s="308">
        <f>'Monthly D5 Gallon Data'!$I72</f>
        <v>0</v>
      </c>
      <c r="H224" s="308">
        <f>'Monthly D5 Gallon Data'!$I84</f>
        <v>0</v>
      </c>
      <c r="I224" s="308">
        <f>'Monthly D5 Gallon Data'!$I96</f>
        <v>0</v>
      </c>
      <c r="J224" s="308">
        <f>'Monthly D5 Gallon Data'!$I108</f>
        <v>0</v>
      </c>
      <c r="K224" s="308">
        <f>'Monthly D5 Gallon Data'!$I120</f>
        <v>0</v>
      </c>
      <c r="L224" s="308">
        <f>'Monthly D5 Gallon Data'!$I132</f>
        <v>0</v>
      </c>
      <c r="M224" s="308">
        <f>'Monthly D5 Gallon Data'!$I144</f>
        <v>0</v>
      </c>
      <c r="N224" s="308">
        <f>'Monthly D5 Gallon Data'!$I156</f>
        <v>0</v>
      </c>
      <c r="O224" s="308">
        <f>'Monthly D5 Gallon Data'!$I168</f>
        <v>0</v>
      </c>
      <c r="P224" s="308">
        <f>'Monthly D5 Gallon Data'!$I180</f>
        <v>0</v>
      </c>
      <c r="Q224" s="307">
        <v>0</v>
      </c>
      <c r="R224" s="307">
        <v>0</v>
      </c>
      <c r="S224" s="307">
        <v>0</v>
      </c>
      <c r="T224" s="307">
        <v>0</v>
      </c>
      <c r="U224" s="307">
        <v>0</v>
      </c>
      <c r="V224" s="307">
        <v>0</v>
      </c>
      <c r="W224" s="307">
        <v>0</v>
      </c>
      <c r="X224" s="307">
        <v>0</v>
      </c>
      <c r="Y224" s="307">
        <v>0</v>
      </c>
      <c r="Z224" s="307">
        <v>0</v>
      </c>
      <c r="AA224" s="307">
        <v>0</v>
      </c>
      <c r="AB224" s="307">
        <v>0</v>
      </c>
      <c r="AC224" s="307">
        <v>0</v>
      </c>
      <c r="AD224" s="307">
        <v>0</v>
      </c>
      <c r="AE224" s="307">
        <v>0</v>
      </c>
      <c r="AF224" s="307">
        <v>0</v>
      </c>
      <c r="AG224" s="307">
        <v>0</v>
      </c>
      <c r="AH224" s="307">
        <v>1</v>
      </c>
      <c r="AI224" s="307">
        <v>2</v>
      </c>
      <c r="AJ224" s="307">
        <v>3</v>
      </c>
      <c r="AK224" s="307">
        <v>4</v>
      </c>
      <c r="AL224" s="307">
        <v>5</v>
      </c>
      <c r="AM224" s="307">
        <v>6</v>
      </c>
      <c r="AN224" s="307">
        <v>7</v>
      </c>
      <c r="AO224" s="307">
        <v>8</v>
      </c>
      <c r="AP224" s="307">
        <v>9</v>
      </c>
      <c r="AR224" s="308">
        <v>0</v>
      </c>
      <c r="AS224" s="308">
        <f t="shared" si="260"/>
        <v>0</v>
      </c>
      <c r="AT224" s="308">
        <v>0</v>
      </c>
      <c r="AU224" s="308">
        <f t="shared" si="261"/>
        <v>0</v>
      </c>
      <c r="AV224" s="308">
        <v>0</v>
      </c>
      <c r="AW224" s="308">
        <f t="shared" si="262"/>
        <v>0</v>
      </c>
      <c r="AX224" s="308">
        <v>0</v>
      </c>
      <c r="AY224" s="308">
        <f t="shared" si="263"/>
        <v>0</v>
      </c>
      <c r="AZ224" s="309">
        <v>0</v>
      </c>
      <c r="BA224" s="308">
        <f t="shared" si="264"/>
        <v>0</v>
      </c>
      <c r="BB224" s="331">
        <v>0</v>
      </c>
      <c r="BC224" s="308">
        <f t="shared" si="265"/>
        <v>0</v>
      </c>
    </row>
    <row r="225" spans="1:55">
      <c r="A225" s="301" t="s">
        <v>52</v>
      </c>
      <c r="B225" s="308">
        <f>'Monthly D5 Gallon Data'!$I13</f>
        <v>0</v>
      </c>
      <c r="C225" s="308">
        <f>'Monthly D5 Gallon Data'!$I25</f>
        <v>0</v>
      </c>
      <c r="D225" s="308">
        <f>'Monthly D5 Gallon Data'!$I37</f>
        <v>0</v>
      </c>
      <c r="E225" s="308">
        <f>'Monthly D5 Gallon Data'!$I49</f>
        <v>0</v>
      </c>
      <c r="F225" s="308">
        <f>'Monthly D5 Gallon Data'!$I61</f>
        <v>0</v>
      </c>
      <c r="G225" s="308">
        <f>'Monthly D5 Gallon Data'!$I73</f>
        <v>0</v>
      </c>
      <c r="H225" s="308">
        <f>'Monthly D5 Gallon Data'!$I85</f>
        <v>0</v>
      </c>
      <c r="I225" s="308">
        <f>'Monthly D5 Gallon Data'!$I97</f>
        <v>0</v>
      </c>
      <c r="J225" s="308">
        <f>'Monthly D5 Gallon Data'!$I109</f>
        <v>0</v>
      </c>
      <c r="K225" s="308">
        <f>'Monthly D5 Gallon Data'!$I121</f>
        <v>0</v>
      </c>
      <c r="L225" s="308">
        <f>'Monthly D5 Gallon Data'!$I133</f>
        <v>0</v>
      </c>
      <c r="M225" s="308">
        <f>'Monthly D5 Gallon Data'!$I145</f>
        <v>0</v>
      </c>
      <c r="N225" s="308">
        <f>'Monthly D5 Gallon Data'!$I157</f>
        <v>0</v>
      </c>
      <c r="O225" s="308">
        <f>'Monthly D5 Gallon Data'!$I169</f>
        <v>0</v>
      </c>
      <c r="P225" s="308">
        <f>'Monthly D5 Gallon Data'!$I181</f>
        <v>0</v>
      </c>
      <c r="Q225" s="307">
        <v>0</v>
      </c>
      <c r="R225" s="307">
        <v>0</v>
      </c>
      <c r="S225" s="307">
        <v>0</v>
      </c>
      <c r="T225" s="307">
        <v>0</v>
      </c>
      <c r="U225" s="307">
        <v>0</v>
      </c>
      <c r="V225" s="307">
        <v>0</v>
      </c>
      <c r="W225" s="307">
        <v>0</v>
      </c>
      <c r="X225" s="307">
        <v>0</v>
      </c>
      <c r="Y225" s="307">
        <v>0</v>
      </c>
      <c r="Z225" s="307">
        <v>0</v>
      </c>
      <c r="AA225" s="307">
        <v>0</v>
      </c>
      <c r="AB225" s="307">
        <v>0</v>
      </c>
      <c r="AC225" s="307">
        <v>0</v>
      </c>
      <c r="AD225" s="307">
        <v>0</v>
      </c>
      <c r="AE225" s="307">
        <v>0</v>
      </c>
      <c r="AF225" s="307">
        <v>0</v>
      </c>
      <c r="AG225" s="307">
        <v>0</v>
      </c>
      <c r="AH225" s="307">
        <v>1</v>
      </c>
      <c r="AI225" s="307">
        <v>2</v>
      </c>
      <c r="AJ225" s="307">
        <v>3</v>
      </c>
      <c r="AK225" s="307">
        <v>4</v>
      </c>
      <c r="AL225" s="307">
        <v>5</v>
      </c>
      <c r="AM225" s="307">
        <v>6</v>
      </c>
      <c r="AN225" s="307">
        <v>7</v>
      </c>
      <c r="AO225" s="307">
        <v>8</v>
      </c>
      <c r="AP225" s="307">
        <v>9</v>
      </c>
      <c r="AR225" s="308">
        <v>0</v>
      </c>
      <c r="AS225" s="308">
        <f t="shared" si="260"/>
        <v>0</v>
      </c>
      <c r="AT225" s="308">
        <v>0</v>
      </c>
      <c r="AU225" s="308">
        <f t="shared" si="261"/>
        <v>0</v>
      </c>
      <c r="AV225" s="308">
        <v>0</v>
      </c>
      <c r="AW225" s="308">
        <f t="shared" si="262"/>
        <v>0</v>
      </c>
      <c r="AX225" s="308">
        <v>0</v>
      </c>
      <c r="AY225" s="308">
        <f t="shared" si="263"/>
        <v>0</v>
      </c>
      <c r="AZ225" s="309">
        <v>0</v>
      </c>
      <c r="BA225" s="308">
        <f t="shared" si="264"/>
        <v>0</v>
      </c>
      <c r="BB225" s="331">
        <v>0</v>
      </c>
      <c r="BC225" s="308">
        <f t="shared" si="265"/>
        <v>0</v>
      </c>
    </row>
    <row r="226" spans="1:55">
      <c r="A226" s="301" t="s">
        <v>53</v>
      </c>
      <c r="B226" s="308">
        <f>'Monthly D5 Gallon Data'!$I14</f>
        <v>0</v>
      </c>
      <c r="C226" s="308">
        <f>'Monthly D5 Gallon Data'!$I26</f>
        <v>0</v>
      </c>
      <c r="D226" s="308">
        <f>'Monthly D5 Gallon Data'!$I38</f>
        <v>0</v>
      </c>
      <c r="E226" s="308">
        <f>'Monthly D5 Gallon Data'!$I50</f>
        <v>0</v>
      </c>
      <c r="F226" s="308">
        <f>'Monthly D5 Gallon Data'!$I62</f>
        <v>0</v>
      </c>
      <c r="G226" s="308">
        <f>'Monthly D5 Gallon Data'!$I74</f>
        <v>0</v>
      </c>
      <c r="H226" s="308">
        <f>'Monthly D5 Gallon Data'!$I86</f>
        <v>0</v>
      </c>
      <c r="I226" s="308">
        <f>'Monthly D5 Gallon Data'!$I98</f>
        <v>0</v>
      </c>
      <c r="J226" s="308">
        <f>'Monthly D5 Gallon Data'!$I110</f>
        <v>0</v>
      </c>
      <c r="K226" s="308">
        <f>'Monthly D5 Gallon Data'!$I122</f>
        <v>0</v>
      </c>
      <c r="L226" s="308">
        <f>'Monthly D5 Gallon Data'!$I134</f>
        <v>0</v>
      </c>
      <c r="M226" s="308">
        <f>'Monthly D5 Gallon Data'!$I146</f>
        <v>0</v>
      </c>
      <c r="N226" s="308">
        <f>'Monthly D5 Gallon Data'!$I158</f>
        <v>0</v>
      </c>
      <c r="O226" s="308">
        <f>'Monthly D5 Gallon Data'!$I170</f>
        <v>0</v>
      </c>
      <c r="P226" s="308">
        <f>'Monthly D5 Gallon Data'!$I182</f>
        <v>0</v>
      </c>
      <c r="Q226" s="307">
        <v>0</v>
      </c>
      <c r="R226" s="307">
        <v>0</v>
      </c>
      <c r="S226" s="307">
        <v>0</v>
      </c>
      <c r="T226" s="307">
        <v>0</v>
      </c>
      <c r="U226" s="307">
        <v>0</v>
      </c>
      <c r="V226" s="307">
        <v>0</v>
      </c>
      <c r="W226" s="307">
        <v>0</v>
      </c>
      <c r="X226" s="307">
        <v>0</v>
      </c>
      <c r="Y226" s="307">
        <v>0</v>
      </c>
      <c r="Z226" s="307">
        <v>0</v>
      </c>
      <c r="AA226" s="307">
        <v>0</v>
      </c>
      <c r="AB226" s="307">
        <v>0</v>
      </c>
      <c r="AC226" s="307">
        <v>0</v>
      </c>
      <c r="AD226" s="307">
        <v>0</v>
      </c>
      <c r="AE226" s="307">
        <v>0</v>
      </c>
      <c r="AF226" s="307">
        <v>0</v>
      </c>
      <c r="AG226" s="307">
        <v>0</v>
      </c>
      <c r="AH226" s="307">
        <v>1</v>
      </c>
      <c r="AI226" s="307">
        <v>2</v>
      </c>
      <c r="AJ226" s="307">
        <v>3</v>
      </c>
      <c r="AK226" s="307">
        <v>4</v>
      </c>
      <c r="AL226" s="307">
        <v>5</v>
      </c>
      <c r="AM226" s="307">
        <v>6</v>
      </c>
      <c r="AN226" s="307">
        <v>7</v>
      </c>
      <c r="AO226" s="307">
        <v>8</v>
      </c>
      <c r="AP226" s="307">
        <v>9</v>
      </c>
      <c r="AR226" s="308">
        <v>0</v>
      </c>
      <c r="AS226" s="308">
        <f t="shared" si="260"/>
        <v>0</v>
      </c>
      <c r="AT226" s="308">
        <v>0</v>
      </c>
      <c r="AU226" s="308">
        <f t="shared" si="261"/>
        <v>0</v>
      </c>
      <c r="AV226" s="308">
        <v>0</v>
      </c>
      <c r="AW226" s="308">
        <f t="shared" si="262"/>
        <v>0</v>
      </c>
      <c r="AX226" s="309">
        <v>0</v>
      </c>
      <c r="AY226" s="308">
        <f t="shared" si="263"/>
        <v>0</v>
      </c>
      <c r="AZ226" s="309">
        <v>0</v>
      </c>
      <c r="BA226" s="308">
        <f t="shared" si="264"/>
        <v>0</v>
      </c>
      <c r="BB226" s="331">
        <v>0</v>
      </c>
      <c r="BC226" s="308">
        <f t="shared" si="265"/>
        <v>0</v>
      </c>
    </row>
    <row r="227" spans="1:55">
      <c r="A227" s="301" t="s">
        <v>54</v>
      </c>
      <c r="B227" s="308">
        <f>'Monthly D5 Gallon Data'!$I15</f>
        <v>0</v>
      </c>
      <c r="C227" s="308">
        <f>'Monthly D5 Gallon Data'!$I27</f>
        <v>0</v>
      </c>
      <c r="D227" s="308">
        <f>'Monthly D5 Gallon Data'!$I39</f>
        <v>0</v>
      </c>
      <c r="E227" s="308">
        <f>'Monthly D5 Gallon Data'!$I51</f>
        <v>0</v>
      </c>
      <c r="F227" s="308">
        <f>'Monthly D5 Gallon Data'!$I63</f>
        <v>0</v>
      </c>
      <c r="G227" s="308">
        <f>'Monthly D5 Gallon Data'!$I75</f>
        <v>0</v>
      </c>
      <c r="H227" s="308">
        <f>'Monthly D5 Gallon Data'!$I87</f>
        <v>0</v>
      </c>
      <c r="I227" s="308">
        <f>'Monthly D5 Gallon Data'!$I99</f>
        <v>0</v>
      </c>
      <c r="J227" s="308">
        <f>'Monthly D5 Gallon Data'!$I111</f>
        <v>0</v>
      </c>
      <c r="K227" s="308">
        <f>'Monthly D5 Gallon Data'!$I123</f>
        <v>0</v>
      </c>
      <c r="L227" s="308">
        <f>'Monthly D5 Gallon Data'!$I135</f>
        <v>0</v>
      </c>
      <c r="M227" s="308">
        <f>'Monthly D5 Gallon Data'!$I147</f>
        <v>0</v>
      </c>
      <c r="N227" s="308">
        <f>'Monthly D5 Gallon Data'!$I159</f>
        <v>0</v>
      </c>
      <c r="O227" s="308">
        <f>'Monthly D5 Gallon Data'!$I171</f>
        <v>0</v>
      </c>
      <c r="P227" s="308">
        <f>'Monthly D5 Gallon Data'!$I183</f>
        <v>0</v>
      </c>
      <c r="Q227" s="307">
        <v>0</v>
      </c>
      <c r="R227" s="307">
        <v>0</v>
      </c>
      <c r="S227" s="307">
        <v>0</v>
      </c>
      <c r="T227" s="307">
        <v>0</v>
      </c>
      <c r="U227" s="307">
        <v>0</v>
      </c>
      <c r="V227" s="307">
        <v>0</v>
      </c>
      <c r="W227" s="307">
        <v>0</v>
      </c>
      <c r="X227" s="307">
        <v>0</v>
      </c>
      <c r="Y227" s="307">
        <v>0</v>
      </c>
      <c r="Z227" s="307">
        <v>0</v>
      </c>
      <c r="AA227" s="307">
        <v>0</v>
      </c>
      <c r="AB227" s="307">
        <v>0</v>
      </c>
      <c r="AC227" s="307">
        <v>0</v>
      </c>
      <c r="AD227" s="307">
        <v>0</v>
      </c>
      <c r="AE227" s="307">
        <v>0</v>
      </c>
      <c r="AF227" s="307">
        <v>0</v>
      </c>
      <c r="AG227" s="307">
        <v>0</v>
      </c>
      <c r="AH227" s="307">
        <v>1</v>
      </c>
      <c r="AI227" s="307">
        <v>2</v>
      </c>
      <c r="AJ227" s="307">
        <v>3</v>
      </c>
      <c r="AK227" s="307">
        <v>4</v>
      </c>
      <c r="AL227" s="307">
        <v>5</v>
      </c>
      <c r="AM227" s="307">
        <v>6</v>
      </c>
      <c r="AN227" s="307">
        <v>7</v>
      </c>
      <c r="AO227" s="307">
        <v>8</v>
      </c>
      <c r="AP227" s="307">
        <v>9</v>
      </c>
      <c r="AR227" s="308">
        <v>0</v>
      </c>
      <c r="AS227" s="308">
        <f t="shared" si="260"/>
        <v>0</v>
      </c>
      <c r="AT227" s="308">
        <v>0</v>
      </c>
      <c r="AU227" s="308">
        <f t="shared" si="261"/>
        <v>0</v>
      </c>
      <c r="AV227" s="308">
        <v>0</v>
      </c>
      <c r="AW227" s="308">
        <f t="shared" si="262"/>
        <v>0</v>
      </c>
      <c r="AX227" s="309">
        <v>0</v>
      </c>
      <c r="AY227" s="308">
        <f t="shared" si="263"/>
        <v>0</v>
      </c>
      <c r="AZ227" s="309">
        <v>0</v>
      </c>
      <c r="BA227" s="308">
        <f t="shared" si="264"/>
        <v>0</v>
      </c>
      <c r="BB227" s="331">
        <v>0</v>
      </c>
      <c r="BC227" s="308">
        <f t="shared" si="265"/>
        <v>0</v>
      </c>
    </row>
    <row r="228" spans="1:55" ht="12" thickBot="1">
      <c r="A228" s="301" t="s">
        <v>29</v>
      </c>
      <c r="B228" s="308">
        <f t="shared" ref="B228:AD228" si="266">SUM(B216:B227)</f>
        <v>0</v>
      </c>
      <c r="C228" s="308">
        <f t="shared" si="266"/>
        <v>0</v>
      </c>
      <c r="D228" s="308">
        <f t="shared" si="266"/>
        <v>0</v>
      </c>
      <c r="E228" s="308">
        <f t="shared" si="266"/>
        <v>0</v>
      </c>
      <c r="F228" s="308">
        <f t="shared" si="266"/>
        <v>0</v>
      </c>
      <c r="G228" s="308">
        <f t="shared" si="266"/>
        <v>0</v>
      </c>
      <c r="H228" s="308">
        <f t="shared" si="266"/>
        <v>0</v>
      </c>
      <c r="I228" s="308">
        <f t="shared" si="266"/>
        <v>0</v>
      </c>
      <c r="J228" s="308">
        <f t="shared" si="266"/>
        <v>0</v>
      </c>
      <c r="K228" s="308">
        <f t="shared" si="266"/>
        <v>0</v>
      </c>
      <c r="L228" s="308">
        <f t="shared" si="266"/>
        <v>0</v>
      </c>
      <c r="M228" s="308">
        <f t="shared" si="266"/>
        <v>0</v>
      </c>
      <c r="N228" s="308">
        <f t="shared" si="266"/>
        <v>0</v>
      </c>
      <c r="O228" s="308">
        <f t="shared" si="266"/>
        <v>0</v>
      </c>
      <c r="P228" s="308">
        <f t="shared" si="266"/>
        <v>0</v>
      </c>
      <c r="Q228" s="307">
        <f t="shared" si="266"/>
        <v>0</v>
      </c>
      <c r="R228" s="307">
        <f t="shared" si="266"/>
        <v>0</v>
      </c>
      <c r="S228" s="307">
        <f t="shared" si="266"/>
        <v>0</v>
      </c>
      <c r="T228" s="307">
        <f t="shared" si="266"/>
        <v>0</v>
      </c>
      <c r="U228" s="307">
        <f t="shared" si="266"/>
        <v>0</v>
      </c>
      <c r="V228" s="307">
        <f t="shared" si="266"/>
        <v>0</v>
      </c>
      <c r="W228" s="307">
        <f t="shared" si="266"/>
        <v>0</v>
      </c>
      <c r="X228" s="307">
        <f t="shared" si="266"/>
        <v>0</v>
      </c>
      <c r="Y228" s="307">
        <f t="shared" si="266"/>
        <v>0</v>
      </c>
      <c r="Z228" s="307">
        <f t="shared" si="266"/>
        <v>0</v>
      </c>
      <c r="AA228" s="307">
        <f t="shared" si="266"/>
        <v>0</v>
      </c>
      <c r="AB228" s="307">
        <f t="shared" si="266"/>
        <v>0</v>
      </c>
      <c r="AC228" s="307">
        <f t="shared" si="266"/>
        <v>0</v>
      </c>
      <c r="AD228" s="307">
        <f t="shared" si="266"/>
        <v>0</v>
      </c>
      <c r="AE228" s="307">
        <f>SUM(AE216:AE227)</f>
        <v>0</v>
      </c>
      <c r="AF228" s="307">
        <f>SUM(AF216:AF227)</f>
        <v>0</v>
      </c>
      <c r="AG228" s="307">
        <f>SUM(AG216:AG227)</f>
        <v>0</v>
      </c>
      <c r="AH228" s="307">
        <f t="shared" ref="AH228:AP228" si="267">SUM(AH216:AH227)</f>
        <v>12</v>
      </c>
      <c r="AI228" s="307">
        <f t="shared" si="267"/>
        <v>24</v>
      </c>
      <c r="AJ228" s="307">
        <f t="shared" si="267"/>
        <v>36</v>
      </c>
      <c r="AK228" s="307">
        <f t="shared" si="267"/>
        <v>48</v>
      </c>
      <c r="AL228" s="307">
        <f t="shared" si="267"/>
        <v>60</v>
      </c>
      <c r="AM228" s="307">
        <f t="shared" si="267"/>
        <v>72</v>
      </c>
      <c r="AN228" s="307">
        <f t="shared" si="267"/>
        <v>84</v>
      </c>
      <c r="AO228" s="307">
        <f t="shared" si="267"/>
        <v>96</v>
      </c>
      <c r="AP228" s="307">
        <f t="shared" si="267"/>
        <v>108</v>
      </c>
      <c r="AR228" s="308">
        <v>0</v>
      </c>
      <c r="AS228" s="308">
        <f t="shared" si="260"/>
        <v>0</v>
      </c>
      <c r="AT228" s="308">
        <v>0</v>
      </c>
      <c r="AU228" s="308">
        <f t="shared" si="261"/>
        <v>0</v>
      </c>
      <c r="AV228" s="308">
        <v>0</v>
      </c>
      <c r="AW228" s="308">
        <f t="shared" si="262"/>
        <v>0</v>
      </c>
      <c r="AX228" s="309">
        <v>0</v>
      </c>
      <c r="AY228" s="308">
        <f t="shared" si="263"/>
        <v>0</v>
      </c>
      <c r="AZ228" s="309">
        <v>0</v>
      </c>
      <c r="BA228" s="308">
        <f t="shared" si="264"/>
        <v>0</v>
      </c>
      <c r="BB228" s="331">
        <v>0</v>
      </c>
      <c r="BC228" s="308">
        <f t="shared" si="265"/>
        <v>0</v>
      </c>
    </row>
    <row r="229" spans="1:55">
      <c r="A229" s="334"/>
      <c r="B229" s="334"/>
      <c r="C229" s="334"/>
      <c r="D229" s="334"/>
      <c r="E229" s="334"/>
      <c r="F229" s="334"/>
      <c r="G229" s="334"/>
      <c r="H229" s="334"/>
      <c r="I229" s="334"/>
      <c r="J229" s="334"/>
      <c r="K229" s="334"/>
      <c r="L229" s="334"/>
      <c r="M229" s="334"/>
      <c r="N229" s="334"/>
      <c r="O229" s="334"/>
      <c r="P229" s="334"/>
      <c r="Q229" s="334"/>
      <c r="R229" s="334"/>
      <c r="S229" s="334"/>
      <c r="T229" s="334"/>
      <c r="U229" s="334"/>
      <c r="V229" s="334"/>
      <c r="W229" s="334"/>
      <c r="X229" s="334"/>
      <c r="Y229" s="334"/>
      <c r="Z229" s="334"/>
      <c r="AA229" s="334"/>
      <c r="AB229" s="334"/>
      <c r="AC229" s="334"/>
      <c r="AD229" s="334"/>
      <c r="AE229" s="334"/>
      <c r="AF229" s="334"/>
      <c r="AG229" s="334"/>
      <c r="AH229" s="334"/>
      <c r="AI229" s="334"/>
      <c r="AJ229" s="334"/>
      <c r="AK229" s="334"/>
      <c r="AL229" s="334"/>
      <c r="AM229" s="334"/>
      <c r="AN229" s="334"/>
      <c r="AO229" s="334"/>
      <c r="AP229" s="334"/>
      <c r="AT229" s="309"/>
    </row>
    <row r="230" spans="1:55" ht="12" thickBot="1">
      <c r="A230" s="300" t="s">
        <v>446</v>
      </c>
      <c r="AT230" s="309"/>
    </row>
    <row r="231" spans="1:55" ht="12" thickBot="1">
      <c r="A231" s="328"/>
      <c r="B231" s="329">
        <f t="shared" ref="B231:AP231" si="268">B2</f>
        <v>2010</v>
      </c>
      <c r="C231" s="329">
        <f t="shared" si="268"/>
        <v>2011</v>
      </c>
      <c r="D231" s="329">
        <f t="shared" si="268"/>
        <v>2012</v>
      </c>
      <c r="E231" s="329">
        <f t="shared" si="268"/>
        <v>2013</v>
      </c>
      <c r="F231" s="329">
        <f t="shared" si="268"/>
        <v>2014</v>
      </c>
      <c r="G231" s="329">
        <f t="shared" si="268"/>
        <v>2015</v>
      </c>
      <c r="H231" s="329">
        <f t="shared" si="268"/>
        <v>2016</v>
      </c>
      <c r="I231" s="329">
        <f t="shared" si="268"/>
        <v>2017</v>
      </c>
      <c r="J231" s="329">
        <f t="shared" si="268"/>
        <v>2018</v>
      </c>
      <c r="K231" s="329">
        <f t="shared" si="268"/>
        <v>2019</v>
      </c>
      <c r="L231" s="329">
        <f t="shared" si="268"/>
        <v>2020</v>
      </c>
      <c r="M231" s="329">
        <f t="shared" si="268"/>
        <v>2021</v>
      </c>
      <c r="N231" s="329">
        <f t="shared" si="268"/>
        <v>2022</v>
      </c>
      <c r="O231" s="329">
        <f t="shared" si="268"/>
        <v>2023</v>
      </c>
      <c r="P231" s="329">
        <f t="shared" si="268"/>
        <v>2024</v>
      </c>
      <c r="Q231" s="329">
        <f t="shared" si="268"/>
        <v>2025</v>
      </c>
      <c r="R231" s="329">
        <f t="shared" si="268"/>
        <v>2026</v>
      </c>
      <c r="S231" s="329">
        <f t="shared" si="268"/>
        <v>2027</v>
      </c>
      <c r="T231" s="329">
        <f t="shared" si="268"/>
        <v>2028</v>
      </c>
      <c r="U231" s="329">
        <f t="shared" si="268"/>
        <v>2029</v>
      </c>
      <c r="V231" s="329">
        <f t="shared" si="268"/>
        <v>2030</v>
      </c>
      <c r="W231" s="329">
        <f t="shared" si="268"/>
        <v>2031</v>
      </c>
      <c r="X231" s="329">
        <f t="shared" si="268"/>
        <v>2032</v>
      </c>
      <c r="Y231" s="329">
        <f t="shared" si="268"/>
        <v>2033</v>
      </c>
      <c r="Z231" s="329">
        <f t="shared" si="268"/>
        <v>2034</v>
      </c>
      <c r="AA231" s="329">
        <f t="shared" si="268"/>
        <v>2035</v>
      </c>
      <c r="AB231" s="329">
        <f t="shared" si="268"/>
        <v>2036</v>
      </c>
      <c r="AC231" s="329">
        <f t="shared" si="268"/>
        <v>2037</v>
      </c>
      <c r="AD231" s="329">
        <f t="shared" si="268"/>
        <v>2038</v>
      </c>
      <c r="AE231" s="329">
        <f t="shared" si="268"/>
        <v>2039</v>
      </c>
      <c r="AF231" s="329">
        <f t="shared" si="268"/>
        <v>2040</v>
      </c>
      <c r="AG231" s="329">
        <f t="shared" si="268"/>
        <v>2041</v>
      </c>
      <c r="AH231" s="329">
        <f t="shared" si="268"/>
        <v>2042</v>
      </c>
      <c r="AI231" s="329">
        <f t="shared" si="268"/>
        <v>2043</v>
      </c>
      <c r="AJ231" s="329">
        <f t="shared" si="268"/>
        <v>2044</v>
      </c>
      <c r="AK231" s="329">
        <f t="shared" si="268"/>
        <v>2045</v>
      </c>
      <c r="AL231" s="329">
        <f t="shared" si="268"/>
        <v>2046</v>
      </c>
      <c r="AM231" s="329">
        <f t="shared" si="268"/>
        <v>2047</v>
      </c>
      <c r="AN231" s="329">
        <f t="shared" si="268"/>
        <v>2048</v>
      </c>
      <c r="AO231" s="329">
        <f t="shared" si="268"/>
        <v>2049</v>
      </c>
      <c r="AP231" s="329">
        <f t="shared" si="268"/>
        <v>2050</v>
      </c>
      <c r="AT231" s="309"/>
    </row>
    <row r="232" spans="1:55">
      <c r="A232" s="301" t="s">
        <v>43</v>
      </c>
      <c r="B232" s="308">
        <f t="shared" ref="B232:AP238" si="269">B248+B264</f>
        <v>0</v>
      </c>
      <c r="C232" s="308">
        <f t="shared" si="269"/>
        <v>0</v>
      </c>
      <c r="D232" s="308">
        <f t="shared" si="269"/>
        <v>264944</v>
      </c>
      <c r="E232" s="308">
        <f t="shared" si="269"/>
        <v>362227</v>
      </c>
      <c r="F232" s="308">
        <f t="shared" si="269"/>
        <v>1934013</v>
      </c>
      <c r="G232" s="308">
        <f t="shared" si="269"/>
        <v>0</v>
      </c>
      <c r="H232" s="308">
        <f t="shared" si="269"/>
        <v>0</v>
      </c>
      <c r="I232" s="308">
        <f t="shared" si="269"/>
        <v>0</v>
      </c>
      <c r="J232" s="308">
        <f t="shared" si="269"/>
        <v>0</v>
      </c>
      <c r="K232" s="308">
        <f t="shared" si="269"/>
        <v>0</v>
      </c>
      <c r="L232" s="308">
        <f t="shared" si="269"/>
        <v>0</v>
      </c>
      <c r="M232" s="308">
        <f t="shared" si="269"/>
        <v>0</v>
      </c>
      <c r="N232" s="308">
        <f t="shared" si="269"/>
        <v>0</v>
      </c>
      <c r="O232" s="308">
        <f t="shared" si="269"/>
        <v>0</v>
      </c>
      <c r="P232" s="308">
        <f t="shared" si="269"/>
        <v>0</v>
      </c>
      <c r="Q232" s="308">
        <f t="shared" si="269"/>
        <v>0</v>
      </c>
      <c r="R232" s="307">
        <f t="shared" si="269"/>
        <v>0</v>
      </c>
      <c r="S232" s="307">
        <f t="shared" si="269"/>
        <v>0</v>
      </c>
      <c r="T232" s="307">
        <f t="shared" si="269"/>
        <v>0</v>
      </c>
      <c r="U232" s="307">
        <f t="shared" si="269"/>
        <v>0</v>
      </c>
      <c r="V232" s="307">
        <f t="shared" si="269"/>
        <v>0</v>
      </c>
      <c r="W232" s="307">
        <f t="shared" si="269"/>
        <v>0</v>
      </c>
      <c r="X232" s="307">
        <f t="shared" si="269"/>
        <v>0</v>
      </c>
      <c r="Y232" s="307">
        <f t="shared" si="269"/>
        <v>0</v>
      </c>
      <c r="Z232" s="307">
        <f t="shared" si="269"/>
        <v>0</v>
      </c>
      <c r="AA232" s="307">
        <f t="shared" si="269"/>
        <v>0</v>
      </c>
      <c r="AB232" s="307">
        <f t="shared" si="269"/>
        <v>0</v>
      </c>
      <c r="AC232" s="307">
        <f t="shared" si="269"/>
        <v>0</v>
      </c>
      <c r="AD232" s="307">
        <f t="shared" si="269"/>
        <v>0</v>
      </c>
      <c r="AE232" s="307">
        <f t="shared" si="269"/>
        <v>0</v>
      </c>
      <c r="AF232" s="307">
        <f t="shared" si="269"/>
        <v>0</v>
      </c>
      <c r="AG232" s="307">
        <f t="shared" si="269"/>
        <v>0</v>
      </c>
      <c r="AH232" s="307">
        <f t="shared" si="269"/>
        <v>0</v>
      </c>
      <c r="AI232" s="307">
        <f t="shared" si="269"/>
        <v>0</v>
      </c>
      <c r="AJ232" s="307">
        <f t="shared" si="269"/>
        <v>0</v>
      </c>
      <c r="AK232" s="307">
        <f t="shared" si="269"/>
        <v>0</v>
      </c>
      <c r="AL232" s="307">
        <f t="shared" si="269"/>
        <v>0</v>
      </c>
      <c r="AM232" s="307">
        <f t="shared" si="269"/>
        <v>0</v>
      </c>
      <c r="AN232" s="307">
        <f t="shared" si="269"/>
        <v>0</v>
      </c>
      <c r="AO232" s="307">
        <f t="shared" si="269"/>
        <v>0</v>
      </c>
      <c r="AP232" s="307">
        <f t="shared" si="269"/>
        <v>0</v>
      </c>
      <c r="AR232" s="308">
        <v>0</v>
      </c>
      <c r="AS232" s="308">
        <f t="shared" ref="AS232:AS244" si="270">L232-AR232</f>
        <v>0</v>
      </c>
      <c r="AT232" s="308">
        <v>0</v>
      </c>
      <c r="AU232" s="308">
        <f t="shared" ref="AU232:AU244" si="271">M232-AT232</f>
        <v>0</v>
      </c>
      <c r="AV232" s="308">
        <v>0</v>
      </c>
      <c r="AW232" s="308">
        <f t="shared" ref="AW232:AW244" si="272">N232-AV232</f>
        <v>0</v>
      </c>
      <c r="AX232" s="308">
        <v>0</v>
      </c>
      <c r="AY232" s="308">
        <f t="shared" ref="AY232:AY244" si="273">O232-AX232</f>
        <v>0</v>
      </c>
      <c r="AZ232" s="308">
        <v>0</v>
      </c>
      <c r="BA232" s="308">
        <f t="shared" ref="BA232:BA244" si="274">P232-AZ232</f>
        <v>0</v>
      </c>
      <c r="BB232" s="331">
        <v>0</v>
      </c>
      <c r="BC232" s="308">
        <f t="shared" ref="BC232:BC244" si="275">Q232-BB232</f>
        <v>0</v>
      </c>
    </row>
    <row r="233" spans="1:55">
      <c r="A233" s="301" t="s">
        <v>44</v>
      </c>
      <c r="B233" s="308">
        <f t="shared" si="269"/>
        <v>0</v>
      </c>
      <c r="C233" s="308">
        <f t="shared" si="269"/>
        <v>0</v>
      </c>
      <c r="D233" s="308">
        <f t="shared" si="269"/>
        <v>295752</v>
      </c>
      <c r="E233" s="308">
        <f t="shared" si="269"/>
        <v>366126</v>
      </c>
      <c r="F233" s="308">
        <f t="shared" si="269"/>
        <v>2454845</v>
      </c>
      <c r="G233" s="308">
        <f t="shared" si="269"/>
        <v>0</v>
      </c>
      <c r="H233" s="308">
        <f t="shared" si="269"/>
        <v>0</v>
      </c>
      <c r="I233" s="308">
        <f t="shared" si="269"/>
        <v>0</v>
      </c>
      <c r="J233" s="308">
        <f t="shared" si="269"/>
        <v>0</v>
      </c>
      <c r="K233" s="308">
        <f t="shared" si="269"/>
        <v>0</v>
      </c>
      <c r="L233" s="308">
        <f t="shared" si="269"/>
        <v>0</v>
      </c>
      <c r="M233" s="308">
        <f t="shared" si="269"/>
        <v>0</v>
      </c>
      <c r="N233" s="308">
        <f t="shared" si="269"/>
        <v>0</v>
      </c>
      <c r="O233" s="308">
        <f t="shared" si="269"/>
        <v>0</v>
      </c>
      <c r="P233" s="308">
        <f t="shared" si="269"/>
        <v>0</v>
      </c>
      <c r="Q233" s="332">
        <f t="shared" si="269"/>
        <v>0</v>
      </c>
      <c r="R233" s="307">
        <f t="shared" si="269"/>
        <v>0</v>
      </c>
      <c r="S233" s="307">
        <f t="shared" si="269"/>
        <v>0</v>
      </c>
      <c r="T233" s="307">
        <f t="shared" si="269"/>
        <v>0</v>
      </c>
      <c r="U233" s="307">
        <f t="shared" si="269"/>
        <v>0</v>
      </c>
      <c r="V233" s="307">
        <f t="shared" si="269"/>
        <v>0</v>
      </c>
      <c r="W233" s="307">
        <f t="shared" si="269"/>
        <v>0</v>
      </c>
      <c r="X233" s="307">
        <f t="shared" si="269"/>
        <v>0</v>
      </c>
      <c r="Y233" s="307">
        <f t="shared" si="269"/>
        <v>0</v>
      </c>
      <c r="Z233" s="307">
        <f t="shared" si="269"/>
        <v>0</v>
      </c>
      <c r="AA233" s="307">
        <f t="shared" si="269"/>
        <v>0</v>
      </c>
      <c r="AB233" s="307">
        <f t="shared" si="269"/>
        <v>0</v>
      </c>
      <c r="AC233" s="307">
        <f t="shared" si="269"/>
        <v>0</v>
      </c>
      <c r="AD233" s="307">
        <f t="shared" si="269"/>
        <v>0</v>
      </c>
      <c r="AE233" s="307">
        <f t="shared" si="269"/>
        <v>0</v>
      </c>
      <c r="AF233" s="307">
        <f t="shared" si="269"/>
        <v>0</v>
      </c>
      <c r="AG233" s="307">
        <f t="shared" si="269"/>
        <v>0</v>
      </c>
      <c r="AH233" s="307">
        <f t="shared" si="269"/>
        <v>0</v>
      </c>
      <c r="AI233" s="307">
        <f t="shared" si="269"/>
        <v>0</v>
      </c>
      <c r="AJ233" s="307">
        <f t="shared" si="269"/>
        <v>0</v>
      </c>
      <c r="AK233" s="307">
        <f t="shared" si="269"/>
        <v>0</v>
      </c>
      <c r="AL233" s="307">
        <f t="shared" si="269"/>
        <v>0</v>
      </c>
      <c r="AM233" s="307">
        <f t="shared" si="269"/>
        <v>0</v>
      </c>
      <c r="AN233" s="307">
        <f t="shared" si="269"/>
        <v>0</v>
      </c>
      <c r="AO233" s="307">
        <f t="shared" si="269"/>
        <v>0</v>
      </c>
      <c r="AP233" s="307">
        <f t="shared" si="269"/>
        <v>0</v>
      </c>
      <c r="AR233" s="308">
        <v>0</v>
      </c>
      <c r="AS233" s="308">
        <f t="shared" si="270"/>
        <v>0</v>
      </c>
      <c r="AT233" s="308">
        <v>0</v>
      </c>
      <c r="AU233" s="308">
        <f t="shared" si="271"/>
        <v>0</v>
      </c>
      <c r="AV233" s="308">
        <v>0</v>
      </c>
      <c r="AW233" s="308">
        <f t="shared" si="272"/>
        <v>0</v>
      </c>
      <c r="AX233" s="308">
        <v>0</v>
      </c>
      <c r="AY233" s="308">
        <f t="shared" si="273"/>
        <v>0</v>
      </c>
      <c r="AZ233" s="308">
        <v>0</v>
      </c>
      <c r="BA233" s="308">
        <f t="shared" si="274"/>
        <v>0</v>
      </c>
      <c r="BB233" s="331">
        <v>0</v>
      </c>
      <c r="BC233" s="308">
        <f t="shared" si="275"/>
        <v>0</v>
      </c>
    </row>
    <row r="234" spans="1:55">
      <c r="A234" s="301" t="s">
        <v>45</v>
      </c>
      <c r="B234" s="308">
        <f t="shared" si="269"/>
        <v>0</v>
      </c>
      <c r="C234" s="308">
        <f t="shared" si="269"/>
        <v>0</v>
      </c>
      <c r="D234" s="308">
        <f t="shared" si="269"/>
        <v>239203</v>
      </c>
      <c r="E234" s="308">
        <f t="shared" si="269"/>
        <v>523311</v>
      </c>
      <c r="F234" s="308">
        <f t="shared" si="269"/>
        <v>2969797</v>
      </c>
      <c r="G234" s="308">
        <f t="shared" si="269"/>
        <v>0</v>
      </c>
      <c r="H234" s="308">
        <f t="shared" si="269"/>
        <v>0</v>
      </c>
      <c r="I234" s="308">
        <f t="shared" si="269"/>
        <v>0</v>
      </c>
      <c r="J234" s="308">
        <f t="shared" si="269"/>
        <v>0</v>
      </c>
      <c r="K234" s="308">
        <f t="shared" si="269"/>
        <v>0</v>
      </c>
      <c r="L234" s="308">
        <f t="shared" si="269"/>
        <v>0</v>
      </c>
      <c r="M234" s="308">
        <f t="shared" si="269"/>
        <v>0</v>
      </c>
      <c r="N234" s="308">
        <f t="shared" si="269"/>
        <v>0</v>
      </c>
      <c r="O234" s="308">
        <f t="shared" si="269"/>
        <v>0</v>
      </c>
      <c r="P234" s="308">
        <f t="shared" si="269"/>
        <v>0</v>
      </c>
      <c r="Q234" s="332">
        <f t="shared" si="269"/>
        <v>0</v>
      </c>
      <c r="R234" s="307">
        <f t="shared" si="269"/>
        <v>0</v>
      </c>
      <c r="S234" s="307">
        <f t="shared" si="269"/>
        <v>0</v>
      </c>
      <c r="T234" s="307">
        <f t="shared" si="269"/>
        <v>0</v>
      </c>
      <c r="U234" s="307">
        <f t="shared" si="269"/>
        <v>0</v>
      </c>
      <c r="V234" s="307">
        <f t="shared" si="269"/>
        <v>0</v>
      </c>
      <c r="W234" s="307">
        <f t="shared" si="269"/>
        <v>0</v>
      </c>
      <c r="X234" s="307">
        <f t="shared" si="269"/>
        <v>0</v>
      </c>
      <c r="Y234" s="307">
        <f t="shared" si="269"/>
        <v>0</v>
      </c>
      <c r="Z234" s="307">
        <f t="shared" si="269"/>
        <v>0</v>
      </c>
      <c r="AA234" s="307">
        <f t="shared" si="269"/>
        <v>0</v>
      </c>
      <c r="AB234" s="307">
        <f t="shared" si="269"/>
        <v>0</v>
      </c>
      <c r="AC234" s="307">
        <f t="shared" si="269"/>
        <v>0</v>
      </c>
      <c r="AD234" s="307">
        <f t="shared" si="269"/>
        <v>0</v>
      </c>
      <c r="AE234" s="307">
        <f t="shared" si="269"/>
        <v>0</v>
      </c>
      <c r="AF234" s="307">
        <f t="shared" si="269"/>
        <v>0</v>
      </c>
      <c r="AG234" s="307">
        <f t="shared" si="269"/>
        <v>0</v>
      </c>
      <c r="AH234" s="307">
        <f t="shared" si="269"/>
        <v>0</v>
      </c>
      <c r="AI234" s="307">
        <f t="shared" si="269"/>
        <v>0</v>
      </c>
      <c r="AJ234" s="307">
        <f t="shared" si="269"/>
        <v>0</v>
      </c>
      <c r="AK234" s="307">
        <f t="shared" si="269"/>
        <v>0</v>
      </c>
      <c r="AL234" s="307">
        <f t="shared" si="269"/>
        <v>0</v>
      </c>
      <c r="AM234" s="307">
        <f t="shared" si="269"/>
        <v>0</v>
      </c>
      <c r="AN234" s="307">
        <f t="shared" si="269"/>
        <v>0</v>
      </c>
      <c r="AO234" s="307">
        <f t="shared" si="269"/>
        <v>0</v>
      </c>
      <c r="AP234" s="307">
        <f t="shared" si="269"/>
        <v>0</v>
      </c>
      <c r="AR234" s="308">
        <v>0</v>
      </c>
      <c r="AS234" s="308">
        <f t="shared" si="270"/>
        <v>0</v>
      </c>
      <c r="AT234" s="308">
        <v>0</v>
      </c>
      <c r="AU234" s="308">
        <f t="shared" si="271"/>
        <v>0</v>
      </c>
      <c r="AV234" s="308">
        <v>0</v>
      </c>
      <c r="AW234" s="308">
        <f t="shared" si="272"/>
        <v>0</v>
      </c>
      <c r="AX234" s="308">
        <v>0</v>
      </c>
      <c r="AY234" s="308">
        <f t="shared" si="273"/>
        <v>0</v>
      </c>
      <c r="AZ234" s="308">
        <v>0</v>
      </c>
      <c r="BA234" s="308">
        <f t="shared" si="274"/>
        <v>0</v>
      </c>
      <c r="BB234" s="331">
        <v>0</v>
      </c>
      <c r="BC234" s="308">
        <f t="shared" si="275"/>
        <v>0</v>
      </c>
    </row>
    <row r="235" spans="1:55">
      <c r="A235" s="301" t="s">
        <v>46</v>
      </c>
      <c r="B235" s="308">
        <f t="shared" si="269"/>
        <v>0</v>
      </c>
      <c r="C235" s="308">
        <f t="shared" si="269"/>
        <v>0</v>
      </c>
      <c r="D235" s="308">
        <f t="shared" si="269"/>
        <v>233286</v>
      </c>
      <c r="E235" s="308">
        <f t="shared" si="269"/>
        <v>475454</v>
      </c>
      <c r="F235" s="308">
        <f t="shared" si="269"/>
        <v>2411989</v>
      </c>
      <c r="G235" s="308">
        <f t="shared" si="269"/>
        <v>0</v>
      </c>
      <c r="H235" s="308">
        <f t="shared" si="269"/>
        <v>0</v>
      </c>
      <c r="I235" s="308">
        <f t="shared" si="269"/>
        <v>0</v>
      </c>
      <c r="J235" s="308">
        <f t="shared" si="269"/>
        <v>0</v>
      </c>
      <c r="K235" s="308">
        <f t="shared" si="269"/>
        <v>0</v>
      </c>
      <c r="L235" s="308">
        <f t="shared" si="269"/>
        <v>0</v>
      </c>
      <c r="M235" s="308">
        <f t="shared" si="269"/>
        <v>0</v>
      </c>
      <c r="N235" s="308">
        <f t="shared" si="269"/>
        <v>0</v>
      </c>
      <c r="O235" s="308">
        <f t="shared" si="269"/>
        <v>0</v>
      </c>
      <c r="P235" s="308">
        <f t="shared" si="269"/>
        <v>0</v>
      </c>
      <c r="Q235" s="307">
        <f t="shared" si="269"/>
        <v>0</v>
      </c>
      <c r="R235" s="307">
        <f t="shared" si="269"/>
        <v>0</v>
      </c>
      <c r="S235" s="307">
        <f t="shared" si="269"/>
        <v>0</v>
      </c>
      <c r="T235" s="307">
        <f t="shared" si="269"/>
        <v>0</v>
      </c>
      <c r="U235" s="307">
        <f t="shared" si="269"/>
        <v>0</v>
      </c>
      <c r="V235" s="307">
        <f t="shared" si="269"/>
        <v>0</v>
      </c>
      <c r="W235" s="307">
        <f t="shared" si="269"/>
        <v>0</v>
      </c>
      <c r="X235" s="307">
        <f t="shared" si="269"/>
        <v>0</v>
      </c>
      <c r="Y235" s="307">
        <f t="shared" si="269"/>
        <v>0</v>
      </c>
      <c r="Z235" s="307">
        <f t="shared" si="269"/>
        <v>0</v>
      </c>
      <c r="AA235" s="307">
        <f t="shared" si="269"/>
        <v>0</v>
      </c>
      <c r="AB235" s="307">
        <f t="shared" si="269"/>
        <v>0</v>
      </c>
      <c r="AC235" s="307">
        <f t="shared" si="269"/>
        <v>0</v>
      </c>
      <c r="AD235" s="307">
        <f t="shared" si="269"/>
        <v>0</v>
      </c>
      <c r="AE235" s="307">
        <f t="shared" si="269"/>
        <v>0</v>
      </c>
      <c r="AF235" s="307">
        <f t="shared" si="269"/>
        <v>0</v>
      </c>
      <c r="AG235" s="307">
        <f t="shared" si="269"/>
        <v>0</v>
      </c>
      <c r="AH235" s="307">
        <f t="shared" si="269"/>
        <v>0</v>
      </c>
      <c r="AI235" s="307">
        <f t="shared" si="269"/>
        <v>0</v>
      </c>
      <c r="AJ235" s="307">
        <f t="shared" si="269"/>
        <v>0</v>
      </c>
      <c r="AK235" s="307">
        <f t="shared" si="269"/>
        <v>0</v>
      </c>
      <c r="AL235" s="307">
        <f t="shared" si="269"/>
        <v>0</v>
      </c>
      <c r="AM235" s="307">
        <f t="shared" si="269"/>
        <v>0</v>
      </c>
      <c r="AN235" s="307">
        <f t="shared" si="269"/>
        <v>0</v>
      </c>
      <c r="AO235" s="307">
        <f t="shared" si="269"/>
        <v>0</v>
      </c>
      <c r="AP235" s="307">
        <f t="shared" si="269"/>
        <v>0</v>
      </c>
      <c r="AR235" s="308">
        <v>0</v>
      </c>
      <c r="AS235" s="308">
        <f t="shared" si="270"/>
        <v>0</v>
      </c>
      <c r="AT235" s="308">
        <v>0</v>
      </c>
      <c r="AU235" s="308">
        <f t="shared" si="271"/>
        <v>0</v>
      </c>
      <c r="AV235" s="308">
        <v>0</v>
      </c>
      <c r="AW235" s="308">
        <f t="shared" si="272"/>
        <v>0</v>
      </c>
      <c r="AX235" s="308">
        <v>0</v>
      </c>
      <c r="AY235" s="308">
        <f t="shared" si="273"/>
        <v>0</v>
      </c>
      <c r="AZ235" s="308">
        <v>0</v>
      </c>
      <c r="BA235" s="308">
        <f t="shared" si="274"/>
        <v>0</v>
      </c>
      <c r="BB235" s="331">
        <v>0</v>
      </c>
      <c r="BC235" s="308">
        <f t="shared" si="275"/>
        <v>0</v>
      </c>
    </row>
    <row r="236" spans="1:55">
      <c r="A236" s="301" t="s">
        <v>47</v>
      </c>
      <c r="B236" s="308">
        <f t="shared" si="269"/>
        <v>0</v>
      </c>
      <c r="C236" s="308">
        <f t="shared" si="269"/>
        <v>0</v>
      </c>
      <c r="D236" s="308">
        <f t="shared" si="269"/>
        <v>289218</v>
      </c>
      <c r="E236" s="308">
        <f t="shared" si="269"/>
        <v>575116</v>
      </c>
      <c r="F236" s="308">
        <f t="shared" si="269"/>
        <v>2193478</v>
      </c>
      <c r="G236" s="308">
        <f t="shared" si="269"/>
        <v>0</v>
      </c>
      <c r="H236" s="308">
        <f t="shared" si="269"/>
        <v>0</v>
      </c>
      <c r="I236" s="308">
        <f t="shared" si="269"/>
        <v>0</v>
      </c>
      <c r="J236" s="308">
        <f t="shared" si="269"/>
        <v>0</v>
      </c>
      <c r="K236" s="308">
        <f t="shared" si="269"/>
        <v>0</v>
      </c>
      <c r="L236" s="308">
        <f t="shared" si="269"/>
        <v>0</v>
      </c>
      <c r="M236" s="308">
        <f t="shared" si="269"/>
        <v>0</v>
      </c>
      <c r="N236" s="308">
        <f t="shared" si="269"/>
        <v>0</v>
      </c>
      <c r="O236" s="308">
        <f t="shared" si="269"/>
        <v>0</v>
      </c>
      <c r="P236" s="308">
        <f t="shared" si="269"/>
        <v>0</v>
      </c>
      <c r="Q236" s="307">
        <f t="shared" si="269"/>
        <v>0</v>
      </c>
      <c r="R236" s="307">
        <f t="shared" si="269"/>
        <v>0</v>
      </c>
      <c r="S236" s="307">
        <f t="shared" si="269"/>
        <v>0</v>
      </c>
      <c r="T236" s="307">
        <f t="shared" si="269"/>
        <v>0</v>
      </c>
      <c r="U236" s="307">
        <f t="shared" si="269"/>
        <v>0</v>
      </c>
      <c r="V236" s="307">
        <f t="shared" si="269"/>
        <v>0</v>
      </c>
      <c r="W236" s="307">
        <f t="shared" si="269"/>
        <v>0</v>
      </c>
      <c r="X236" s="307">
        <f t="shared" si="269"/>
        <v>0</v>
      </c>
      <c r="Y236" s="307">
        <f t="shared" si="269"/>
        <v>0</v>
      </c>
      <c r="Z236" s="307">
        <f t="shared" si="269"/>
        <v>0</v>
      </c>
      <c r="AA236" s="307">
        <f t="shared" si="269"/>
        <v>0</v>
      </c>
      <c r="AB236" s="307">
        <f t="shared" si="269"/>
        <v>0</v>
      </c>
      <c r="AC236" s="307">
        <f t="shared" si="269"/>
        <v>0</v>
      </c>
      <c r="AD236" s="307">
        <f t="shared" si="269"/>
        <v>0</v>
      </c>
      <c r="AE236" s="307">
        <f t="shared" si="269"/>
        <v>0</v>
      </c>
      <c r="AF236" s="307">
        <f t="shared" si="269"/>
        <v>0</v>
      </c>
      <c r="AG236" s="307">
        <f t="shared" si="269"/>
        <v>0</v>
      </c>
      <c r="AH236" s="307">
        <f t="shared" si="269"/>
        <v>0</v>
      </c>
      <c r="AI236" s="307">
        <f t="shared" si="269"/>
        <v>0</v>
      </c>
      <c r="AJ236" s="307">
        <f t="shared" si="269"/>
        <v>0</v>
      </c>
      <c r="AK236" s="307">
        <f t="shared" si="269"/>
        <v>0</v>
      </c>
      <c r="AL236" s="307">
        <f t="shared" si="269"/>
        <v>0</v>
      </c>
      <c r="AM236" s="307">
        <f t="shared" si="269"/>
        <v>0</v>
      </c>
      <c r="AN236" s="307">
        <f t="shared" si="269"/>
        <v>0</v>
      </c>
      <c r="AO236" s="307">
        <f t="shared" si="269"/>
        <v>0</v>
      </c>
      <c r="AP236" s="307">
        <f t="shared" si="269"/>
        <v>0</v>
      </c>
      <c r="AR236" s="308">
        <v>0</v>
      </c>
      <c r="AS236" s="308">
        <f t="shared" si="270"/>
        <v>0</v>
      </c>
      <c r="AT236" s="308">
        <v>0</v>
      </c>
      <c r="AU236" s="308">
        <f t="shared" si="271"/>
        <v>0</v>
      </c>
      <c r="AV236" s="308">
        <v>0</v>
      </c>
      <c r="AW236" s="308">
        <f t="shared" si="272"/>
        <v>0</v>
      </c>
      <c r="AX236" s="308">
        <v>0</v>
      </c>
      <c r="AY236" s="308">
        <f t="shared" si="273"/>
        <v>0</v>
      </c>
      <c r="AZ236" s="308">
        <v>0</v>
      </c>
      <c r="BA236" s="308">
        <f t="shared" si="274"/>
        <v>0</v>
      </c>
      <c r="BB236" s="331">
        <v>0</v>
      </c>
      <c r="BC236" s="308">
        <f t="shared" si="275"/>
        <v>0</v>
      </c>
    </row>
    <row r="237" spans="1:55">
      <c r="A237" s="301" t="s">
        <v>48</v>
      </c>
      <c r="B237" s="308">
        <f t="shared" si="269"/>
        <v>0</v>
      </c>
      <c r="C237" s="308">
        <f t="shared" si="269"/>
        <v>0</v>
      </c>
      <c r="D237" s="308">
        <f t="shared" si="269"/>
        <v>260906</v>
      </c>
      <c r="E237" s="308">
        <f t="shared" si="269"/>
        <v>2423577</v>
      </c>
      <c r="F237" s="308">
        <f t="shared" si="269"/>
        <v>2514332</v>
      </c>
      <c r="G237" s="308">
        <f t="shared" si="269"/>
        <v>0</v>
      </c>
      <c r="H237" s="308">
        <f t="shared" si="269"/>
        <v>0</v>
      </c>
      <c r="I237" s="308">
        <f t="shared" si="269"/>
        <v>0</v>
      </c>
      <c r="J237" s="308">
        <f t="shared" si="269"/>
        <v>0</v>
      </c>
      <c r="K237" s="308">
        <f t="shared" si="269"/>
        <v>0</v>
      </c>
      <c r="L237" s="308">
        <f t="shared" si="269"/>
        <v>0</v>
      </c>
      <c r="M237" s="308">
        <f t="shared" si="269"/>
        <v>0</v>
      </c>
      <c r="N237" s="308">
        <f t="shared" si="269"/>
        <v>0</v>
      </c>
      <c r="O237" s="308">
        <f t="shared" si="269"/>
        <v>0</v>
      </c>
      <c r="P237" s="308">
        <f t="shared" si="269"/>
        <v>0</v>
      </c>
      <c r="Q237" s="307">
        <f t="shared" si="269"/>
        <v>0</v>
      </c>
      <c r="R237" s="307">
        <f t="shared" si="269"/>
        <v>0</v>
      </c>
      <c r="S237" s="307">
        <f t="shared" si="269"/>
        <v>0</v>
      </c>
      <c r="T237" s="307">
        <f t="shared" si="269"/>
        <v>0</v>
      </c>
      <c r="U237" s="307">
        <f t="shared" si="269"/>
        <v>0</v>
      </c>
      <c r="V237" s="307">
        <f t="shared" si="269"/>
        <v>0</v>
      </c>
      <c r="W237" s="307">
        <f t="shared" si="269"/>
        <v>0</v>
      </c>
      <c r="X237" s="307">
        <f t="shared" si="269"/>
        <v>0</v>
      </c>
      <c r="Y237" s="307">
        <f t="shared" si="269"/>
        <v>0</v>
      </c>
      <c r="Z237" s="307">
        <f t="shared" si="269"/>
        <v>0</v>
      </c>
      <c r="AA237" s="307">
        <f t="shared" si="269"/>
        <v>0</v>
      </c>
      <c r="AB237" s="307">
        <f t="shared" si="269"/>
        <v>0</v>
      </c>
      <c r="AC237" s="307">
        <f t="shared" si="269"/>
        <v>0</v>
      </c>
      <c r="AD237" s="307">
        <f t="shared" si="269"/>
        <v>0</v>
      </c>
      <c r="AE237" s="307">
        <f t="shared" si="269"/>
        <v>0</v>
      </c>
      <c r="AF237" s="307">
        <f t="shared" si="269"/>
        <v>0</v>
      </c>
      <c r="AG237" s="307">
        <f t="shared" si="269"/>
        <v>0</v>
      </c>
      <c r="AH237" s="307">
        <f t="shared" si="269"/>
        <v>0</v>
      </c>
      <c r="AI237" s="307">
        <f t="shared" si="269"/>
        <v>0</v>
      </c>
      <c r="AJ237" s="307">
        <f t="shared" si="269"/>
        <v>0</v>
      </c>
      <c r="AK237" s="307">
        <f t="shared" si="269"/>
        <v>0</v>
      </c>
      <c r="AL237" s="307">
        <f t="shared" si="269"/>
        <v>0</v>
      </c>
      <c r="AM237" s="307">
        <f t="shared" si="269"/>
        <v>0</v>
      </c>
      <c r="AN237" s="307">
        <f t="shared" si="269"/>
        <v>0</v>
      </c>
      <c r="AO237" s="307">
        <f t="shared" si="269"/>
        <v>0</v>
      </c>
      <c r="AP237" s="307">
        <f t="shared" si="269"/>
        <v>0</v>
      </c>
      <c r="AR237" s="308">
        <v>0</v>
      </c>
      <c r="AS237" s="308">
        <f t="shared" si="270"/>
        <v>0</v>
      </c>
      <c r="AT237" s="308">
        <v>0</v>
      </c>
      <c r="AU237" s="308">
        <f t="shared" si="271"/>
        <v>0</v>
      </c>
      <c r="AV237" s="308">
        <v>0</v>
      </c>
      <c r="AW237" s="308">
        <f t="shared" si="272"/>
        <v>0</v>
      </c>
      <c r="AX237" s="308">
        <v>0</v>
      </c>
      <c r="AY237" s="308">
        <f t="shared" si="273"/>
        <v>0</v>
      </c>
      <c r="AZ237" s="308">
        <v>0</v>
      </c>
      <c r="BA237" s="308">
        <f t="shared" si="274"/>
        <v>0</v>
      </c>
      <c r="BB237" s="331">
        <v>0</v>
      </c>
      <c r="BC237" s="308">
        <f t="shared" si="275"/>
        <v>0</v>
      </c>
    </row>
    <row r="238" spans="1:55">
      <c r="A238" s="301" t="s">
        <v>49</v>
      </c>
      <c r="B238" s="308">
        <f t="shared" si="269"/>
        <v>0</v>
      </c>
      <c r="C238" s="308">
        <f t="shared" si="269"/>
        <v>0</v>
      </c>
      <c r="D238" s="308">
        <f t="shared" si="269"/>
        <v>279550</v>
      </c>
      <c r="E238" s="308">
        <f t="shared" si="269"/>
        <v>3431987</v>
      </c>
      <c r="F238" s="308">
        <f t="shared" si="269"/>
        <v>4340962</v>
      </c>
      <c r="G238" s="308">
        <f t="shared" si="269"/>
        <v>0</v>
      </c>
      <c r="H238" s="308">
        <f t="shared" si="269"/>
        <v>0</v>
      </c>
      <c r="I238" s="308">
        <f t="shared" si="269"/>
        <v>0</v>
      </c>
      <c r="J238" s="308">
        <f t="shared" si="269"/>
        <v>0</v>
      </c>
      <c r="K238" s="308">
        <f t="shared" ref="B238:AP243" si="276">K254+K270</f>
        <v>0</v>
      </c>
      <c r="L238" s="308">
        <f t="shared" si="276"/>
        <v>0</v>
      </c>
      <c r="M238" s="308">
        <f t="shared" si="276"/>
        <v>0</v>
      </c>
      <c r="N238" s="308">
        <f t="shared" si="276"/>
        <v>0</v>
      </c>
      <c r="O238" s="308">
        <f t="shared" si="276"/>
        <v>0</v>
      </c>
      <c r="P238" s="308">
        <f t="shared" si="276"/>
        <v>0</v>
      </c>
      <c r="Q238" s="307">
        <f t="shared" si="276"/>
        <v>0</v>
      </c>
      <c r="R238" s="307">
        <f t="shared" si="276"/>
        <v>0</v>
      </c>
      <c r="S238" s="307">
        <f t="shared" si="276"/>
        <v>0</v>
      </c>
      <c r="T238" s="307">
        <f t="shared" si="276"/>
        <v>0</v>
      </c>
      <c r="U238" s="307">
        <f t="shared" si="276"/>
        <v>0</v>
      </c>
      <c r="V238" s="307">
        <f t="shared" si="276"/>
        <v>0</v>
      </c>
      <c r="W238" s="307">
        <f t="shared" si="276"/>
        <v>0</v>
      </c>
      <c r="X238" s="307">
        <f t="shared" si="276"/>
        <v>0</v>
      </c>
      <c r="Y238" s="307">
        <f t="shared" si="276"/>
        <v>0</v>
      </c>
      <c r="Z238" s="307">
        <f t="shared" si="276"/>
        <v>0</v>
      </c>
      <c r="AA238" s="307">
        <f t="shared" si="276"/>
        <v>0</v>
      </c>
      <c r="AB238" s="307">
        <f t="shared" si="276"/>
        <v>0</v>
      </c>
      <c r="AC238" s="307">
        <f t="shared" si="276"/>
        <v>0</v>
      </c>
      <c r="AD238" s="307">
        <f t="shared" si="276"/>
        <v>0</v>
      </c>
      <c r="AE238" s="307">
        <f t="shared" si="276"/>
        <v>0</v>
      </c>
      <c r="AF238" s="307">
        <f t="shared" si="276"/>
        <v>0</v>
      </c>
      <c r="AG238" s="307">
        <f t="shared" si="276"/>
        <v>0</v>
      </c>
      <c r="AH238" s="307">
        <f t="shared" si="276"/>
        <v>0</v>
      </c>
      <c r="AI238" s="307">
        <f t="shared" si="276"/>
        <v>0</v>
      </c>
      <c r="AJ238" s="307">
        <f t="shared" si="276"/>
        <v>0</v>
      </c>
      <c r="AK238" s="307">
        <f t="shared" si="276"/>
        <v>0</v>
      </c>
      <c r="AL238" s="307">
        <f t="shared" si="276"/>
        <v>0</v>
      </c>
      <c r="AM238" s="307">
        <f t="shared" si="276"/>
        <v>0</v>
      </c>
      <c r="AN238" s="307">
        <f t="shared" si="276"/>
        <v>0</v>
      </c>
      <c r="AO238" s="307">
        <f t="shared" si="276"/>
        <v>0</v>
      </c>
      <c r="AP238" s="307">
        <f t="shared" si="276"/>
        <v>0</v>
      </c>
      <c r="AR238" s="308">
        <v>0</v>
      </c>
      <c r="AS238" s="308">
        <f t="shared" si="270"/>
        <v>0</v>
      </c>
      <c r="AT238" s="308">
        <v>0</v>
      </c>
      <c r="AU238" s="308">
        <f t="shared" si="271"/>
        <v>0</v>
      </c>
      <c r="AV238" s="308">
        <v>0</v>
      </c>
      <c r="AW238" s="308">
        <f t="shared" si="272"/>
        <v>0</v>
      </c>
      <c r="AX238" s="308">
        <v>0</v>
      </c>
      <c r="AY238" s="308">
        <f t="shared" si="273"/>
        <v>0</v>
      </c>
      <c r="AZ238" s="309">
        <v>0</v>
      </c>
      <c r="BA238" s="308">
        <f t="shared" si="274"/>
        <v>0</v>
      </c>
      <c r="BB238" s="331">
        <v>0</v>
      </c>
      <c r="BC238" s="308">
        <f t="shared" si="275"/>
        <v>0</v>
      </c>
    </row>
    <row r="239" spans="1:55">
      <c r="A239" s="301" t="s">
        <v>50</v>
      </c>
      <c r="B239" s="308">
        <f t="shared" si="276"/>
        <v>0</v>
      </c>
      <c r="C239" s="308">
        <f t="shared" si="276"/>
        <v>308293</v>
      </c>
      <c r="D239" s="308">
        <f t="shared" si="276"/>
        <v>305175</v>
      </c>
      <c r="E239" s="308">
        <f t="shared" si="276"/>
        <v>4149093</v>
      </c>
      <c r="F239" s="308">
        <f t="shared" si="276"/>
        <v>1533275</v>
      </c>
      <c r="G239" s="308">
        <f t="shared" si="276"/>
        <v>0</v>
      </c>
      <c r="H239" s="308">
        <f t="shared" si="276"/>
        <v>0</v>
      </c>
      <c r="I239" s="308">
        <f t="shared" si="276"/>
        <v>0</v>
      </c>
      <c r="J239" s="308">
        <f t="shared" si="276"/>
        <v>0</v>
      </c>
      <c r="K239" s="308">
        <f t="shared" si="276"/>
        <v>0</v>
      </c>
      <c r="L239" s="308">
        <f t="shared" si="276"/>
        <v>0</v>
      </c>
      <c r="M239" s="308">
        <f t="shared" si="276"/>
        <v>0</v>
      </c>
      <c r="N239" s="308">
        <f t="shared" si="276"/>
        <v>0</v>
      </c>
      <c r="O239" s="308">
        <f t="shared" si="276"/>
        <v>0</v>
      </c>
      <c r="P239" s="308">
        <f t="shared" si="276"/>
        <v>0</v>
      </c>
      <c r="Q239" s="307">
        <f t="shared" si="276"/>
        <v>0</v>
      </c>
      <c r="R239" s="307">
        <f t="shared" si="276"/>
        <v>0</v>
      </c>
      <c r="S239" s="307">
        <f t="shared" si="276"/>
        <v>0</v>
      </c>
      <c r="T239" s="307">
        <f t="shared" si="276"/>
        <v>0</v>
      </c>
      <c r="U239" s="307">
        <f t="shared" si="276"/>
        <v>0</v>
      </c>
      <c r="V239" s="307">
        <f t="shared" si="276"/>
        <v>0</v>
      </c>
      <c r="W239" s="307">
        <f t="shared" si="276"/>
        <v>0</v>
      </c>
      <c r="X239" s="307">
        <f t="shared" si="276"/>
        <v>0</v>
      </c>
      <c r="Y239" s="307">
        <f t="shared" si="276"/>
        <v>0</v>
      </c>
      <c r="Z239" s="307">
        <f t="shared" si="276"/>
        <v>0</v>
      </c>
      <c r="AA239" s="307">
        <f t="shared" si="276"/>
        <v>0</v>
      </c>
      <c r="AB239" s="307">
        <f t="shared" si="276"/>
        <v>0</v>
      </c>
      <c r="AC239" s="307">
        <f t="shared" si="276"/>
        <v>0</v>
      </c>
      <c r="AD239" s="307">
        <f t="shared" si="276"/>
        <v>0</v>
      </c>
      <c r="AE239" s="307">
        <f t="shared" si="276"/>
        <v>0</v>
      </c>
      <c r="AF239" s="307">
        <f t="shared" si="276"/>
        <v>0</v>
      </c>
      <c r="AG239" s="307">
        <f t="shared" si="276"/>
        <v>0</v>
      </c>
      <c r="AH239" s="307">
        <f t="shared" si="276"/>
        <v>0</v>
      </c>
      <c r="AI239" s="307">
        <f t="shared" si="276"/>
        <v>0</v>
      </c>
      <c r="AJ239" s="307">
        <f t="shared" si="276"/>
        <v>0</v>
      </c>
      <c r="AK239" s="307">
        <f t="shared" si="276"/>
        <v>0</v>
      </c>
      <c r="AL239" s="307">
        <f t="shared" si="276"/>
        <v>0</v>
      </c>
      <c r="AM239" s="307">
        <f t="shared" si="276"/>
        <v>0</v>
      </c>
      <c r="AN239" s="307">
        <f t="shared" si="276"/>
        <v>0</v>
      </c>
      <c r="AO239" s="307">
        <f t="shared" si="276"/>
        <v>0</v>
      </c>
      <c r="AP239" s="307">
        <f t="shared" si="276"/>
        <v>0</v>
      </c>
      <c r="AR239" s="308">
        <v>0</v>
      </c>
      <c r="AS239" s="308">
        <f t="shared" si="270"/>
        <v>0</v>
      </c>
      <c r="AT239" s="308">
        <v>0</v>
      </c>
      <c r="AU239" s="308">
        <f t="shared" si="271"/>
        <v>0</v>
      </c>
      <c r="AV239" s="308">
        <v>0</v>
      </c>
      <c r="AW239" s="308">
        <f t="shared" si="272"/>
        <v>0</v>
      </c>
      <c r="AX239" s="308">
        <v>0</v>
      </c>
      <c r="AY239" s="308">
        <f t="shared" si="273"/>
        <v>0</v>
      </c>
      <c r="AZ239" s="309">
        <v>0</v>
      </c>
      <c r="BA239" s="308">
        <f t="shared" si="274"/>
        <v>0</v>
      </c>
      <c r="BB239" s="331">
        <v>0</v>
      </c>
      <c r="BC239" s="308">
        <f t="shared" si="275"/>
        <v>0</v>
      </c>
    </row>
    <row r="240" spans="1:55">
      <c r="A240" s="301" t="s">
        <v>51</v>
      </c>
      <c r="B240" s="308">
        <f t="shared" si="276"/>
        <v>0</v>
      </c>
      <c r="C240" s="308">
        <f t="shared" si="276"/>
        <v>297653</v>
      </c>
      <c r="D240" s="308">
        <f t="shared" si="276"/>
        <v>79715</v>
      </c>
      <c r="E240" s="308">
        <f t="shared" si="276"/>
        <v>5943278</v>
      </c>
      <c r="F240" s="308">
        <f t="shared" si="276"/>
        <v>0</v>
      </c>
      <c r="G240" s="308">
        <f t="shared" si="276"/>
        <v>0</v>
      </c>
      <c r="H240" s="308">
        <f t="shared" si="276"/>
        <v>0</v>
      </c>
      <c r="I240" s="308">
        <f t="shared" si="276"/>
        <v>0</v>
      </c>
      <c r="J240" s="308">
        <f t="shared" si="276"/>
        <v>0</v>
      </c>
      <c r="K240" s="308">
        <f t="shared" si="276"/>
        <v>0</v>
      </c>
      <c r="L240" s="308">
        <f>L256+L272</f>
        <v>0</v>
      </c>
      <c r="M240" s="308">
        <f t="shared" si="276"/>
        <v>0</v>
      </c>
      <c r="N240" s="308">
        <f t="shared" si="276"/>
        <v>0</v>
      </c>
      <c r="O240" s="308">
        <f t="shared" si="276"/>
        <v>0</v>
      </c>
      <c r="P240" s="308">
        <f t="shared" si="276"/>
        <v>0</v>
      </c>
      <c r="Q240" s="307">
        <f t="shared" si="276"/>
        <v>0</v>
      </c>
      <c r="R240" s="307">
        <f t="shared" si="276"/>
        <v>0</v>
      </c>
      <c r="S240" s="307">
        <f t="shared" si="276"/>
        <v>0</v>
      </c>
      <c r="T240" s="307">
        <f t="shared" si="276"/>
        <v>0</v>
      </c>
      <c r="U240" s="307">
        <f t="shared" si="276"/>
        <v>0</v>
      </c>
      <c r="V240" s="307">
        <f t="shared" si="276"/>
        <v>0</v>
      </c>
      <c r="W240" s="307">
        <f t="shared" si="276"/>
        <v>0</v>
      </c>
      <c r="X240" s="307">
        <f t="shared" si="276"/>
        <v>0</v>
      </c>
      <c r="Y240" s="307">
        <f t="shared" si="276"/>
        <v>0</v>
      </c>
      <c r="Z240" s="307">
        <f t="shared" si="276"/>
        <v>0</v>
      </c>
      <c r="AA240" s="307">
        <f t="shared" si="276"/>
        <v>0</v>
      </c>
      <c r="AB240" s="307">
        <f t="shared" si="276"/>
        <v>0</v>
      </c>
      <c r="AC240" s="307">
        <f t="shared" si="276"/>
        <v>0</v>
      </c>
      <c r="AD240" s="307">
        <f t="shared" si="276"/>
        <v>0</v>
      </c>
      <c r="AE240" s="307">
        <f t="shared" si="276"/>
        <v>0</v>
      </c>
      <c r="AF240" s="307">
        <f t="shared" si="276"/>
        <v>0</v>
      </c>
      <c r="AG240" s="307">
        <f t="shared" si="276"/>
        <v>0</v>
      </c>
      <c r="AH240" s="307">
        <f t="shared" si="276"/>
        <v>0</v>
      </c>
      <c r="AI240" s="307">
        <f t="shared" si="276"/>
        <v>0</v>
      </c>
      <c r="AJ240" s="307">
        <f t="shared" si="276"/>
        <v>0</v>
      </c>
      <c r="AK240" s="307">
        <f t="shared" si="276"/>
        <v>0</v>
      </c>
      <c r="AL240" s="307">
        <f t="shared" si="276"/>
        <v>0</v>
      </c>
      <c r="AM240" s="307">
        <f t="shared" si="276"/>
        <v>0</v>
      </c>
      <c r="AN240" s="307">
        <f t="shared" si="276"/>
        <v>0</v>
      </c>
      <c r="AO240" s="307">
        <f t="shared" si="276"/>
        <v>0</v>
      </c>
      <c r="AP240" s="307">
        <f t="shared" si="276"/>
        <v>0</v>
      </c>
      <c r="AR240" s="308">
        <v>0</v>
      </c>
      <c r="AS240" s="308">
        <f t="shared" si="270"/>
        <v>0</v>
      </c>
      <c r="AT240" s="308">
        <v>0</v>
      </c>
      <c r="AU240" s="308">
        <f t="shared" si="271"/>
        <v>0</v>
      </c>
      <c r="AV240" s="308">
        <v>0</v>
      </c>
      <c r="AW240" s="308">
        <f t="shared" si="272"/>
        <v>0</v>
      </c>
      <c r="AX240" s="308">
        <v>0</v>
      </c>
      <c r="AY240" s="308">
        <f t="shared" si="273"/>
        <v>0</v>
      </c>
      <c r="AZ240" s="309">
        <v>0</v>
      </c>
      <c r="BA240" s="308">
        <f t="shared" si="274"/>
        <v>0</v>
      </c>
      <c r="BB240" s="331">
        <v>0</v>
      </c>
      <c r="BC240" s="308">
        <f t="shared" si="275"/>
        <v>0</v>
      </c>
    </row>
    <row r="241" spans="1:55">
      <c r="A241" s="301" t="s">
        <v>52</v>
      </c>
      <c r="B241" s="308">
        <f t="shared" si="276"/>
        <v>0</v>
      </c>
      <c r="C241" s="308">
        <f t="shared" si="276"/>
        <v>207334</v>
      </c>
      <c r="D241" s="308">
        <f t="shared" si="276"/>
        <v>177688</v>
      </c>
      <c r="E241" s="308">
        <f t="shared" si="276"/>
        <v>3973504</v>
      </c>
      <c r="F241" s="308">
        <f t="shared" si="276"/>
        <v>0</v>
      </c>
      <c r="G241" s="308">
        <f t="shared" si="276"/>
        <v>0</v>
      </c>
      <c r="H241" s="308">
        <f t="shared" si="276"/>
        <v>0</v>
      </c>
      <c r="I241" s="308">
        <f t="shared" si="276"/>
        <v>0</v>
      </c>
      <c r="J241" s="308">
        <f t="shared" si="276"/>
        <v>0</v>
      </c>
      <c r="K241" s="308">
        <f t="shared" si="276"/>
        <v>0</v>
      </c>
      <c r="L241" s="308">
        <f>L257+L273</f>
        <v>0</v>
      </c>
      <c r="M241" s="308">
        <f t="shared" si="276"/>
        <v>0</v>
      </c>
      <c r="N241" s="308">
        <f t="shared" si="276"/>
        <v>0</v>
      </c>
      <c r="O241" s="308">
        <f t="shared" si="276"/>
        <v>0</v>
      </c>
      <c r="P241" s="308">
        <f t="shared" si="276"/>
        <v>0</v>
      </c>
      <c r="Q241" s="307">
        <f t="shared" si="276"/>
        <v>0</v>
      </c>
      <c r="R241" s="307">
        <f t="shared" si="276"/>
        <v>0</v>
      </c>
      <c r="S241" s="307">
        <f t="shared" si="276"/>
        <v>0</v>
      </c>
      <c r="T241" s="307">
        <f t="shared" si="276"/>
        <v>0</v>
      </c>
      <c r="U241" s="307">
        <f t="shared" si="276"/>
        <v>0</v>
      </c>
      <c r="V241" s="307">
        <f t="shared" si="276"/>
        <v>0</v>
      </c>
      <c r="W241" s="307">
        <f t="shared" si="276"/>
        <v>0</v>
      </c>
      <c r="X241" s="307">
        <f t="shared" si="276"/>
        <v>0</v>
      </c>
      <c r="Y241" s="307">
        <f t="shared" si="276"/>
        <v>0</v>
      </c>
      <c r="Z241" s="307">
        <f t="shared" si="276"/>
        <v>0</v>
      </c>
      <c r="AA241" s="307">
        <f t="shared" si="276"/>
        <v>0</v>
      </c>
      <c r="AB241" s="307">
        <f t="shared" si="276"/>
        <v>0</v>
      </c>
      <c r="AC241" s="307">
        <f t="shared" si="276"/>
        <v>0</v>
      </c>
      <c r="AD241" s="307">
        <f t="shared" si="276"/>
        <v>0</v>
      </c>
      <c r="AE241" s="307">
        <f t="shared" si="276"/>
        <v>0</v>
      </c>
      <c r="AF241" s="307">
        <f t="shared" si="276"/>
        <v>0</v>
      </c>
      <c r="AG241" s="307">
        <f t="shared" si="276"/>
        <v>0</v>
      </c>
      <c r="AH241" s="307">
        <f t="shared" si="276"/>
        <v>0</v>
      </c>
      <c r="AI241" s="307">
        <f t="shared" si="276"/>
        <v>0</v>
      </c>
      <c r="AJ241" s="307">
        <f t="shared" si="276"/>
        <v>0</v>
      </c>
      <c r="AK241" s="307">
        <f t="shared" si="276"/>
        <v>0</v>
      </c>
      <c r="AL241" s="307">
        <f t="shared" si="276"/>
        <v>0</v>
      </c>
      <c r="AM241" s="307">
        <f t="shared" si="276"/>
        <v>0</v>
      </c>
      <c r="AN241" s="307">
        <f t="shared" si="276"/>
        <v>0</v>
      </c>
      <c r="AO241" s="307">
        <f t="shared" si="276"/>
        <v>0</v>
      </c>
      <c r="AP241" s="307">
        <f t="shared" si="276"/>
        <v>0</v>
      </c>
      <c r="AR241" s="308">
        <v>0</v>
      </c>
      <c r="AS241" s="308">
        <f t="shared" si="270"/>
        <v>0</v>
      </c>
      <c r="AT241" s="308">
        <v>0</v>
      </c>
      <c r="AU241" s="308">
        <f t="shared" si="271"/>
        <v>0</v>
      </c>
      <c r="AV241" s="308">
        <v>0</v>
      </c>
      <c r="AW241" s="308">
        <f t="shared" si="272"/>
        <v>0</v>
      </c>
      <c r="AX241" s="308">
        <v>0</v>
      </c>
      <c r="AY241" s="308">
        <f t="shared" si="273"/>
        <v>0</v>
      </c>
      <c r="AZ241" s="309">
        <v>0</v>
      </c>
      <c r="BA241" s="308">
        <f t="shared" si="274"/>
        <v>0</v>
      </c>
      <c r="BB241" s="331">
        <v>0</v>
      </c>
      <c r="BC241" s="308">
        <f t="shared" si="275"/>
        <v>0</v>
      </c>
    </row>
    <row r="242" spans="1:55">
      <c r="A242" s="301" t="s">
        <v>53</v>
      </c>
      <c r="B242" s="308">
        <f t="shared" si="276"/>
        <v>0</v>
      </c>
      <c r="C242" s="308">
        <f t="shared" si="276"/>
        <v>297813</v>
      </c>
      <c r="D242" s="308">
        <f t="shared" si="276"/>
        <v>296569</v>
      </c>
      <c r="E242" s="308">
        <f t="shared" si="276"/>
        <v>2092389</v>
      </c>
      <c r="F242" s="308">
        <f t="shared" si="276"/>
        <v>0</v>
      </c>
      <c r="G242" s="308">
        <f t="shared" si="276"/>
        <v>0</v>
      </c>
      <c r="H242" s="308">
        <f t="shared" si="276"/>
        <v>0</v>
      </c>
      <c r="I242" s="308">
        <f t="shared" si="276"/>
        <v>0</v>
      </c>
      <c r="J242" s="308">
        <f t="shared" si="276"/>
        <v>0</v>
      </c>
      <c r="K242" s="308">
        <f t="shared" si="276"/>
        <v>0</v>
      </c>
      <c r="L242" s="308">
        <f>L258+L274</f>
        <v>0</v>
      </c>
      <c r="M242" s="308">
        <f t="shared" si="276"/>
        <v>0</v>
      </c>
      <c r="N242" s="308">
        <f t="shared" si="276"/>
        <v>0</v>
      </c>
      <c r="O242" s="308">
        <f t="shared" si="276"/>
        <v>0</v>
      </c>
      <c r="P242" s="308">
        <f t="shared" si="276"/>
        <v>0</v>
      </c>
      <c r="Q242" s="307">
        <f t="shared" si="276"/>
        <v>0</v>
      </c>
      <c r="R242" s="307">
        <f t="shared" si="276"/>
        <v>0</v>
      </c>
      <c r="S242" s="307">
        <f t="shared" si="276"/>
        <v>0</v>
      </c>
      <c r="T242" s="307">
        <f t="shared" si="276"/>
        <v>0</v>
      </c>
      <c r="U242" s="307">
        <f t="shared" si="276"/>
        <v>0</v>
      </c>
      <c r="V242" s="307">
        <f t="shared" si="276"/>
        <v>0</v>
      </c>
      <c r="W242" s="307">
        <f t="shared" si="276"/>
        <v>0</v>
      </c>
      <c r="X242" s="307">
        <f t="shared" si="276"/>
        <v>0</v>
      </c>
      <c r="Y242" s="307">
        <f t="shared" si="276"/>
        <v>0</v>
      </c>
      <c r="Z242" s="307">
        <f t="shared" si="276"/>
        <v>0</v>
      </c>
      <c r="AA242" s="307">
        <f t="shared" si="276"/>
        <v>0</v>
      </c>
      <c r="AB242" s="307">
        <f t="shared" si="276"/>
        <v>0</v>
      </c>
      <c r="AC242" s="307">
        <f t="shared" si="276"/>
        <v>0</v>
      </c>
      <c r="AD242" s="307">
        <f t="shared" si="276"/>
        <v>0</v>
      </c>
      <c r="AE242" s="307">
        <f t="shared" si="276"/>
        <v>0</v>
      </c>
      <c r="AF242" s="307">
        <f t="shared" si="276"/>
        <v>0</v>
      </c>
      <c r="AG242" s="307">
        <f t="shared" si="276"/>
        <v>0</v>
      </c>
      <c r="AH242" s="307">
        <f t="shared" si="276"/>
        <v>0</v>
      </c>
      <c r="AI242" s="307">
        <f t="shared" si="276"/>
        <v>0</v>
      </c>
      <c r="AJ242" s="307">
        <f t="shared" si="276"/>
        <v>0</v>
      </c>
      <c r="AK242" s="307">
        <f t="shared" si="276"/>
        <v>0</v>
      </c>
      <c r="AL242" s="307">
        <f t="shared" si="276"/>
        <v>0</v>
      </c>
      <c r="AM242" s="307">
        <f t="shared" si="276"/>
        <v>0</v>
      </c>
      <c r="AN242" s="307">
        <f t="shared" si="276"/>
        <v>0</v>
      </c>
      <c r="AO242" s="307">
        <f t="shared" si="276"/>
        <v>0</v>
      </c>
      <c r="AP242" s="307">
        <f t="shared" si="276"/>
        <v>0</v>
      </c>
      <c r="AR242" s="308">
        <v>0</v>
      </c>
      <c r="AS242" s="308">
        <f t="shared" si="270"/>
        <v>0</v>
      </c>
      <c r="AT242" s="308">
        <v>0</v>
      </c>
      <c r="AU242" s="308">
        <f t="shared" si="271"/>
        <v>0</v>
      </c>
      <c r="AV242" s="308">
        <v>0</v>
      </c>
      <c r="AW242" s="308">
        <f t="shared" si="272"/>
        <v>0</v>
      </c>
      <c r="AX242" s="309">
        <v>0</v>
      </c>
      <c r="AY242" s="308">
        <f t="shared" si="273"/>
        <v>0</v>
      </c>
      <c r="AZ242" s="309">
        <v>0</v>
      </c>
      <c r="BA242" s="308">
        <f t="shared" si="274"/>
        <v>0</v>
      </c>
      <c r="BB242" s="331">
        <v>0</v>
      </c>
      <c r="BC242" s="308">
        <f t="shared" si="275"/>
        <v>0</v>
      </c>
    </row>
    <row r="243" spans="1:55">
      <c r="A243" s="301" t="s">
        <v>54</v>
      </c>
      <c r="B243" s="308">
        <f t="shared" si="276"/>
        <v>0</v>
      </c>
      <c r="C243" s="308">
        <f t="shared" si="276"/>
        <v>312801</v>
      </c>
      <c r="D243" s="308">
        <f t="shared" si="276"/>
        <v>160003</v>
      </c>
      <c r="E243" s="308">
        <f t="shared" si="276"/>
        <v>1618751</v>
      </c>
      <c r="F243" s="308">
        <f t="shared" si="276"/>
        <v>0</v>
      </c>
      <c r="G243" s="308">
        <f t="shared" si="276"/>
        <v>0</v>
      </c>
      <c r="H243" s="308">
        <f t="shared" si="276"/>
        <v>0</v>
      </c>
      <c r="I243" s="308">
        <f t="shared" si="276"/>
        <v>0</v>
      </c>
      <c r="J243" s="308">
        <f t="shared" si="276"/>
        <v>0</v>
      </c>
      <c r="K243" s="308">
        <f t="shared" si="276"/>
        <v>0</v>
      </c>
      <c r="L243" s="308">
        <f>L259+L275</f>
        <v>0</v>
      </c>
      <c r="M243" s="308">
        <f t="shared" si="276"/>
        <v>0</v>
      </c>
      <c r="N243" s="308">
        <f t="shared" si="276"/>
        <v>0</v>
      </c>
      <c r="O243" s="308">
        <f t="shared" si="276"/>
        <v>0</v>
      </c>
      <c r="P243" s="308">
        <f t="shared" si="276"/>
        <v>0</v>
      </c>
      <c r="Q243" s="307">
        <f t="shared" si="276"/>
        <v>0</v>
      </c>
      <c r="R243" s="307">
        <f t="shared" si="276"/>
        <v>0</v>
      </c>
      <c r="S243" s="307">
        <f t="shared" si="276"/>
        <v>0</v>
      </c>
      <c r="T243" s="307">
        <f t="shared" si="276"/>
        <v>0</v>
      </c>
      <c r="U243" s="307">
        <f t="shared" si="276"/>
        <v>0</v>
      </c>
      <c r="V243" s="307">
        <f t="shared" si="276"/>
        <v>0</v>
      </c>
      <c r="W243" s="307">
        <f t="shared" si="276"/>
        <v>0</v>
      </c>
      <c r="X243" s="307">
        <f t="shared" si="276"/>
        <v>0</v>
      </c>
      <c r="Y243" s="307">
        <f t="shared" si="276"/>
        <v>0</v>
      </c>
      <c r="Z243" s="307">
        <f t="shared" si="276"/>
        <v>0</v>
      </c>
      <c r="AA243" s="307">
        <f t="shared" si="276"/>
        <v>0</v>
      </c>
      <c r="AB243" s="307">
        <f t="shared" si="276"/>
        <v>0</v>
      </c>
      <c r="AC243" s="307">
        <f t="shared" si="276"/>
        <v>0</v>
      </c>
      <c r="AD243" s="307">
        <f t="shared" si="276"/>
        <v>0</v>
      </c>
      <c r="AE243" s="307">
        <f t="shared" si="276"/>
        <v>0</v>
      </c>
      <c r="AF243" s="307">
        <f t="shared" si="276"/>
        <v>0</v>
      </c>
      <c r="AG243" s="307">
        <f t="shared" si="276"/>
        <v>0</v>
      </c>
      <c r="AH243" s="307">
        <f t="shared" si="276"/>
        <v>0</v>
      </c>
      <c r="AI243" s="307">
        <f t="shared" si="276"/>
        <v>0</v>
      </c>
      <c r="AJ243" s="307">
        <f t="shared" si="276"/>
        <v>0</v>
      </c>
      <c r="AK243" s="307">
        <f t="shared" si="276"/>
        <v>0</v>
      </c>
      <c r="AL243" s="307">
        <f t="shared" si="276"/>
        <v>0</v>
      </c>
      <c r="AM243" s="307">
        <f t="shared" si="276"/>
        <v>0</v>
      </c>
      <c r="AN243" s="307">
        <f t="shared" si="276"/>
        <v>0</v>
      </c>
      <c r="AO243" s="307">
        <f t="shared" si="276"/>
        <v>0</v>
      </c>
      <c r="AP243" s="307">
        <f t="shared" si="276"/>
        <v>0</v>
      </c>
      <c r="AR243" s="308">
        <v>0</v>
      </c>
      <c r="AS243" s="308">
        <f t="shared" si="270"/>
        <v>0</v>
      </c>
      <c r="AT243" s="308">
        <v>0</v>
      </c>
      <c r="AU243" s="308">
        <f t="shared" si="271"/>
        <v>0</v>
      </c>
      <c r="AV243" s="308">
        <v>0</v>
      </c>
      <c r="AW243" s="308">
        <f t="shared" si="272"/>
        <v>0</v>
      </c>
      <c r="AX243" s="309">
        <v>0</v>
      </c>
      <c r="AY243" s="308">
        <f t="shared" si="273"/>
        <v>0</v>
      </c>
      <c r="AZ243" s="309">
        <v>0</v>
      </c>
      <c r="BA243" s="308">
        <f t="shared" si="274"/>
        <v>0</v>
      </c>
      <c r="BB243" s="331">
        <v>0</v>
      </c>
      <c r="BC243" s="308">
        <f t="shared" si="275"/>
        <v>0</v>
      </c>
    </row>
    <row r="244" spans="1:55" ht="12" thickBot="1">
      <c r="A244" s="301" t="s">
        <v>29</v>
      </c>
      <c r="B244" s="308">
        <f t="shared" ref="B244:AD244" si="277">SUM(B232:B243)</f>
        <v>0</v>
      </c>
      <c r="C244" s="308">
        <f t="shared" si="277"/>
        <v>1423894</v>
      </c>
      <c r="D244" s="308">
        <f t="shared" si="277"/>
        <v>2882009</v>
      </c>
      <c r="E244" s="308">
        <f t="shared" si="277"/>
        <v>25934813</v>
      </c>
      <c r="F244" s="308">
        <f t="shared" si="277"/>
        <v>20352691</v>
      </c>
      <c r="G244" s="308">
        <f t="shared" si="277"/>
        <v>0</v>
      </c>
      <c r="H244" s="308">
        <f t="shared" si="277"/>
        <v>0</v>
      </c>
      <c r="I244" s="308">
        <f t="shared" si="277"/>
        <v>0</v>
      </c>
      <c r="J244" s="308">
        <f t="shared" si="277"/>
        <v>0</v>
      </c>
      <c r="K244" s="308">
        <f t="shared" si="277"/>
        <v>0</v>
      </c>
      <c r="L244" s="308">
        <f t="shared" si="277"/>
        <v>0</v>
      </c>
      <c r="M244" s="308">
        <f t="shared" si="277"/>
        <v>0</v>
      </c>
      <c r="N244" s="308">
        <f t="shared" si="277"/>
        <v>0</v>
      </c>
      <c r="O244" s="308">
        <f t="shared" si="277"/>
        <v>0</v>
      </c>
      <c r="P244" s="308">
        <f t="shared" si="277"/>
        <v>0</v>
      </c>
      <c r="Q244" s="307">
        <f t="shared" si="277"/>
        <v>0</v>
      </c>
      <c r="R244" s="307">
        <f t="shared" si="277"/>
        <v>0</v>
      </c>
      <c r="S244" s="307">
        <f t="shared" si="277"/>
        <v>0</v>
      </c>
      <c r="T244" s="307">
        <f t="shared" si="277"/>
        <v>0</v>
      </c>
      <c r="U244" s="307">
        <f t="shared" si="277"/>
        <v>0</v>
      </c>
      <c r="V244" s="307">
        <f t="shared" si="277"/>
        <v>0</v>
      </c>
      <c r="W244" s="307">
        <f t="shared" si="277"/>
        <v>0</v>
      </c>
      <c r="X244" s="307">
        <f t="shared" si="277"/>
        <v>0</v>
      </c>
      <c r="Y244" s="307">
        <f t="shared" si="277"/>
        <v>0</v>
      </c>
      <c r="Z244" s="307">
        <f t="shared" si="277"/>
        <v>0</v>
      </c>
      <c r="AA244" s="307">
        <f t="shared" si="277"/>
        <v>0</v>
      </c>
      <c r="AB244" s="307">
        <f t="shared" si="277"/>
        <v>0</v>
      </c>
      <c r="AC244" s="307">
        <f t="shared" si="277"/>
        <v>0</v>
      </c>
      <c r="AD244" s="307">
        <f t="shared" si="277"/>
        <v>0</v>
      </c>
      <c r="AE244" s="307">
        <f>SUM(AE232:AE243)</f>
        <v>0</v>
      </c>
      <c r="AF244" s="307">
        <f>SUM(AF232:AF243)</f>
        <v>0</v>
      </c>
      <c r="AG244" s="307">
        <f>SUM(AG232:AG243)</f>
        <v>0</v>
      </c>
      <c r="AH244" s="307">
        <f t="shared" ref="AH244:AP244" si="278">SUM(AH232:AH243)</f>
        <v>0</v>
      </c>
      <c r="AI244" s="307">
        <f t="shared" si="278"/>
        <v>0</v>
      </c>
      <c r="AJ244" s="307">
        <f t="shared" si="278"/>
        <v>0</v>
      </c>
      <c r="AK244" s="307">
        <f t="shared" si="278"/>
        <v>0</v>
      </c>
      <c r="AL244" s="307">
        <f t="shared" si="278"/>
        <v>0</v>
      </c>
      <c r="AM244" s="307">
        <f t="shared" si="278"/>
        <v>0</v>
      </c>
      <c r="AN244" s="307">
        <f t="shared" si="278"/>
        <v>0</v>
      </c>
      <c r="AO244" s="307">
        <f t="shared" si="278"/>
        <v>0</v>
      </c>
      <c r="AP244" s="307">
        <f t="shared" si="278"/>
        <v>0</v>
      </c>
      <c r="AR244" s="308">
        <v>0</v>
      </c>
      <c r="AS244" s="308">
        <f t="shared" si="270"/>
        <v>0</v>
      </c>
      <c r="AT244" s="308">
        <v>0</v>
      </c>
      <c r="AU244" s="308">
        <f t="shared" si="271"/>
        <v>0</v>
      </c>
      <c r="AV244" s="308">
        <v>0</v>
      </c>
      <c r="AW244" s="308">
        <f t="shared" si="272"/>
        <v>0</v>
      </c>
      <c r="AX244" s="309">
        <v>0</v>
      </c>
      <c r="AY244" s="308">
        <f t="shared" si="273"/>
        <v>0</v>
      </c>
      <c r="AZ244" s="309">
        <v>0</v>
      </c>
      <c r="BA244" s="308">
        <f t="shared" si="274"/>
        <v>0</v>
      </c>
      <c r="BB244" s="331">
        <v>0</v>
      </c>
      <c r="BC244" s="308">
        <f t="shared" si="275"/>
        <v>0</v>
      </c>
    </row>
    <row r="245" spans="1:55">
      <c r="A245" s="334"/>
      <c r="B245" s="334"/>
      <c r="C245" s="334"/>
      <c r="D245" s="334"/>
      <c r="E245" s="334"/>
      <c r="F245" s="334"/>
      <c r="G245" s="334"/>
      <c r="H245" s="334"/>
      <c r="I245" s="334"/>
      <c r="J245" s="334"/>
      <c r="K245" s="334"/>
      <c r="L245" s="334"/>
      <c r="M245" s="334"/>
      <c r="N245" s="334"/>
      <c r="O245" s="334"/>
      <c r="P245" s="334"/>
      <c r="Q245" s="334"/>
      <c r="R245" s="334"/>
      <c r="S245" s="334"/>
      <c r="T245" s="334"/>
      <c r="U245" s="334"/>
      <c r="V245" s="334"/>
      <c r="W245" s="334"/>
      <c r="X245" s="334"/>
      <c r="Y245" s="334"/>
      <c r="Z245" s="334"/>
      <c r="AA245" s="334"/>
      <c r="AB245" s="334"/>
      <c r="AC245" s="334"/>
      <c r="AD245" s="334"/>
      <c r="AE245" s="334"/>
      <c r="AF245" s="334"/>
      <c r="AG245" s="334"/>
      <c r="AH245" s="334"/>
      <c r="AI245" s="334"/>
      <c r="AJ245" s="334"/>
      <c r="AK245" s="334"/>
      <c r="AL245" s="334"/>
      <c r="AM245" s="334"/>
      <c r="AN245" s="334"/>
      <c r="AO245" s="334"/>
      <c r="AP245" s="334"/>
      <c r="AT245" s="309"/>
    </row>
    <row r="246" spans="1:55" ht="12" thickBot="1">
      <c r="A246" s="300" t="s">
        <v>447</v>
      </c>
      <c r="AT246" s="309"/>
    </row>
    <row r="247" spans="1:55" ht="12" thickBot="1">
      <c r="A247" s="328"/>
      <c r="B247" s="329">
        <f t="shared" ref="B247:AP247" si="279">B2</f>
        <v>2010</v>
      </c>
      <c r="C247" s="329">
        <f t="shared" si="279"/>
        <v>2011</v>
      </c>
      <c r="D247" s="329">
        <f t="shared" si="279"/>
        <v>2012</v>
      </c>
      <c r="E247" s="329">
        <f t="shared" si="279"/>
        <v>2013</v>
      </c>
      <c r="F247" s="329">
        <f t="shared" si="279"/>
        <v>2014</v>
      </c>
      <c r="G247" s="329">
        <f t="shared" si="279"/>
        <v>2015</v>
      </c>
      <c r="H247" s="329">
        <f t="shared" si="279"/>
        <v>2016</v>
      </c>
      <c r="I247" s="329">
        <f t="shared" si="279"/>
        <v>2017</v>
      </c>
      <c r="J247" s="329">
        <f t="shared" si="279"/>
        <v>2018</v>
      </c>
      <c r="K247" s="329">
        <f t="shared" si="279"/>
        <v>2019</v>
      </c>
      <c r="L247" s="329">
        <f t="shared" si="279"/>
        <v>2020</v>
      </c>
      <c r="M247" s="329">
        <f t="shared" si="279"/>
        <v>2021</v>
      </c>
      <c r="N247" s="329">
        <f t="shared" si="279"/>
        <v>2022</v>
      </c>
      <c r="O247" s="329">
        <f t="shared" si="279"/>
        <v>2023</v>
      </c>
      <c r="P247" s="329">
        <f t="shared" si="279"/>
        <v>2024</v>
      </c>
      <c r="Q247" s="329">
        <f t="shared" si="279"/>
        <v>2025</v>
      </c>
      <c r="R247" s="329">
        <f t="shared" si="279"/>
        <v>2026</v>
      </c>
      <c r="S247" s="329">
        <f t="shared" si="279"/>
        <v>2027</v>
      </c>
      <c r="T247" s="329">
        <f t="shared" si="279"/>
        <v>2028</v>
      </c>
      <c r="U247" s="329">
        <f t="shared" si="279"/>
        <v>2029</v>
      </c>
      <c r="V247" s="329">
        <f t="shared" si="279"/>
        <v>2030</v>
      </c>
      <c r="W247" s="329">
        <f t="shared" si="279"/>
        <v>2031</v>
      </c>
      <c r="X247" s="329">
        <f t="shared" si="279"/>
        <v>2032</v>
      </c>
      <c r="Y247" s="329">
        <f t="shared" si="279"/>
        <v>2033</v>
      </c>
      <c r="Z247" s="329">
        <f t="shared" si="279"/>
        <v>2034</v>
      </c>
      <c r="AA247" s="329">
        <f t="shared" si="279"/>
        <v>2035</v>
      </c>
      <c r="AB247" s="329">
        <f t="shared" si="279"/>
        <v>2036</v>
      </c>
      <c r="AC247" s="329">
        <f t="shared" si="279"/>
        <v>2037</v>
      </c>
      <c r="AD247" s="329">
        <f t="shared" si="279"/>
        <v>2038</v>
      </c>
      <c r="AE247" s="329">
        <f t="shared" si="279"/>
        <v>2039</v>
      </c>
      <c r="AF247" s="329">
        <f t="shared" si="279"/>
        <v>2040</v>
      </c>
      <c r="AG247" s="329">
        <f t="shared" si="279"/>
        <v>2041</v>
      </c>
      <c r="AH247" s="329">
        <f t="shared" si="279"/>
        <v>2042</v>
      </c>
      <c r="AI247" s="329">
        <f t="shared" si="279"/>
        <v>2043</v>
      </c>
      <c r="AJ247" s="329">
        <f t="shared" si="279"/>
        <v>2044</v>
      </c>
      <c r="AK247" s="329">
        <f t="shared" si="279"/>
        <v>2045</v>
      </c>
      <c r="AL247" s="329">
        <f t="shared" si="279"/>
        <v>2046</v>
      </c>
      <c r="AM247" s="329">
        <f t="shared" si="279"/>
        <v>2047</v>
      </c>
      <c r="AN247" s="329">
        <f t="shared" si="279"/>
        <v>2048</v>
      </c>
      <c r="AO247" s="329">
        <f t="shared" si="279"/>
        <v>2049</v>
      </c>
      <c r="AP247" s="329">
        <f t="shared" si="279"/>
        <v>2050</v>
      </c>
      <c r="AT247" s="309"/>
    </row>
    <row r="248" spans="1:55">
      <c r="A248" s="301" t="s">
        <v>43</v>
      </c>
      <c r="B248" s="308">
        <f>'Monthly D5 Gallon Data'!$K4</f>
        <v>0</v>
      </c>
      <c r="C248" s="308">
        <f>'Monthly D5 Gallon Data'!$K16</f>
        <v>0</v>
      </c>
      <c r="D248" s="308">
        <f>'Monthly D5 Gallon Data'!$K28</f>
        <v>264944</v>
      </c>
      <c r="E248" s="308">
        <f>'Monthly D5 Gallon Data'!$K40</f>
        <v>362227</v>
      </c>
      <c r="F248" s="308">
        <f>'Monthly D5 Gallon Data'!$K52</f>
        <v>1934013</v>
      </c>
      <c r="G248" s="308">
        <f>'Monthly D5 Gallon Data'!$K64</f>
        <v>0</v>
      </c>
      <c r="H248" s="308">
        <f>'Monthly D5 Gallon Data'!$K76</f>
        <v>0</v>
      </c>
      <c r="I248" s="308">
        <f>'Monthly D5 Gallon Data'!$K88</f>
        <v>0</v>
      </c>
      <c r="J248" s="308">
        <f>'Monthly D5 Gallon Data'!$K100</f>
        <v>0</v>
      </c>
      <c r="K248" s="308">
        <f>'Monthly D5 Gallon Data'!$K112</f>
        <v>0</v>
      </c>
      <c r="L248" s="308">
        <f>'Monthly D5 Gallon Data'!$K124</f>
        <v>0</v>
      </c>
      <c r="M248" s="308">
        <f>'Monthly D5 Gallon Data'!$K136</f>
        <v>0</v>
      </c>
      <c r="N248" s="308">
        <f>'Monthly D5 Gallon Data'!$K148</f>
        <v>0</v>
      </c>
      <c r="O248" s="308">
        <f>'Monthly D5 Gallon Data'!$K160</f>
        <v>0</v>
      </c>
      <c r="P248" s="308">
        <f>'Monthly D5 Gallon Data'!$K172</f>
        <v>0</v>
      </c>
      <c r="Q248" s="308">
        <f>'Monthly D5 Gallon Data'!$K184</f>
        <v>0</v>
      </c>
      <c r="R248" s="307">
        <v>0</v>
      </c>
      <c r="S248" s="307">
        <v>0</v>
      </c>
      <c r="T248" s="307">
        <v>0</v>
      </c>
      <c r="U248" s="307">
        <v>0</v>
      </c>
      <c r="V248" s="307">
        <v>0</v>
      </c>
      <c r="W248" s="307">
        <v>0</v>
      </c>
      <c r="X248" s="307">
        <v>0</v>
      </c>
      <c r="Y248" s="307">
        <v>0</v>
      </c>
      <c r="Z248" s="307">
        <v>0</v>
      </c>
      <c r="AA248" s="307">
        <v>0</v>
      </c>
      <c r="AB248" s="307">
        <v>0</v>
      </c>
      <c r="AC248" s="307">
        <v>0</v>
      </c>
      <c r="AD248" s="307">
        <v>0</v>
      </c>
      <c r="AE248" s="307">
        <v>0</v>
      </c>
      <c r="AF248" s="307">
        <v>0</v>
      </c>
      <c r="AG248" s="307">
        <v>0</v>
      </c>
      <c r="AH248" s="307">
        <v>0</v>
      </c>
      <c r="AI248" s="307">
        <v>0</v>
      </c>
      <c r="AJ248" s="307">
        <v>0</v>
      </c>
      <c r="AK248" s="307">
        <v>0</v>
      </c>
      <c r="AL248" s="307">
        <v>0</v>
      </c>
      <c r="AM248" s="307">
        <v>0</v>
      </c>
      <c r="AN248" s="307">
        <v>0</v>
      </c>
      <c r="AO248" s="307">
        <v>0</v>
      </c>
      <c r="AP248" s="307">
        <v>0</v>
      </c>
      <c r="AR248" s="308">
        <v>0</v>
      </c>
      <c r="AS248" s="308">
        <f t="shared" ref="AS248:AS260" si="280">L248-AR248</f>
        <v>0</v>
      </c>
      <c r="AT248" s="308">
        <v>0</v>
      </c>
      <c r="AU248" s="308">
        <f t="shared" ref="AU248:AU260" si="281">M248-AT248</f>
        <v>0</v>
      </c>
      <c r="AV248" s="308">
        <v>0</v>
      </c>
      <c r="AW248" s="308">
        <f t="shared" ref="AW248:AW260" si="282">N248-AV248</f>
        <v>0</v>
      </c>
      <c r="AX248" s="308">
        <v>0</v>
      </c>
      <c r="AY248" s="308">
        <f t="shared" ref="AY248:AY260" si="283">O248-AX248</f>
        <v>0</v>
      </c>
      <c r="AZ248" s="308">
        <v>0</v>
      </c>
      <c r="BA248" s="308">
        <f t="shared" ref="BA248:BA260" si="284">P248-AZ248</f>
        <v>0</v>
      </c>
      <c r="BB248" s="331">
        <v>0</v>
      </c>
      <c r="BC248" s="308">
        <f t="shared" ref="BC248:BC260" si="285">Q248-BB248</f>
        <v>0</v>
      </c>
    </row>
    <row r="249" spans="1:55">
      <c r="A249" s="301" t="s">
        <v>44</v>
      </c>
      <c r="B249" s="308">
        <f>'Monthly D5 Gallon Data'!$K5</f>
        <v>0</v>
      </c>
      <c r="C249" s="308">
        <f>'Monthly D5 Gallon Data'!$K17</f>
        <v>0</v>
      </c>
      <c r="D249" s="308">
        <f>'Monthly D5 Gallon Data'!$K29</f>
        <v>295752</v>
      </c>
      <c r="E249" s="308">
        <f>'Monthly D5 Gallon Data'!$K41</f>
        <v>366126</v>
      </c>
      <c r="F249" s="308">
        <f>'Monthly D5 Gallon Data'!$K53</f>
        <v>2454845</v>
      </c>
      <c r="G249" s="308">
        <f>'Monthly D5 Gallon Data'!$K65</f>
        <v>0</v>
      </c>
      <c r="H249" s="308">
        <f>'Monthly D5 Gallon Data'!$K77</f>
        <v>0</v>
      </c>
      <c r="I249" s="308">
        <f>'Monthly D5 Gallon Data'!$K89</f>
        <v>0</v>
      </c>
      <c r="J249" s="308">
        <f>'Monthly D5 Gallon Data'!$K101</f>
        <v>0</v>
      </c>
      <c r="K249" s="308">
        <f>'Monthly D5 Gallon Data'!$K113</f>
        <v>0</v>
      </c>
      <c r="L249" s="308">
        <f>'Monthly D5 Gallon Data'!$K125</f>
        <v>0</v>
      </c>
      <c r="M249" s="308">
        <f>'Monthly D5 Gallon Data'!$K137</f>
        <v>0</v>
      </c>
      <c r="N249" s="308">
        <f>'Monthly D5 Gallon Data'!$K149</f>
        <v>0</v>
      </c>
      <c r="O249" s="308">
        <f>'Monthly D5 Gallon Data'!$K161</f>
        <v>0</v>
      </c>
      <c r="P249" s="308">
        <f>'Monthly D5 Gallon Data'!$K173</f>
        <v>0</v>
      </c>
      <c r="Q249" s="332">
        <f>'Monthly D5 Gallon Data'!$K185</f>
        <v>0</v>
      </c>
      <c r="R249" s="307">
        <v>0</v>
      </c>
      <c r="S249" s="307">
        <v>0</v>
      </c>
      <c r="T249" s="307">
        <v>0</v>
      </c>
      <c r="U249" s="307">
        <v>0</v>
      </c>
      <c r="V249" s="307">
        <v>0</v>
      </c>
      <c r="W249" s="307">
        <v>0</v>
      </c>
      <c r="X249" s="307">
        <v>0</v>
      </c>
      <c r="Y249" s="307">
        <v>0</v>
      </c>
      <c r="Z249" s="307">
        <v>0</v>
      </c>
      <c r="AA249" s="307">
        <v>0</v>
      </c>
      <c r="AB249" s="307">
        <v>0</v>
      </c>
      <c r="AC249" s="307">
        <v>0</v>
      </c>
      <c r="AD249" s="307">
        <v>0</v>
      </c>
      <c r="AE249" s="307">
        <v>0</v>
      </c>
      <c r="AF249" s="307">
        <v>0</v>
      </c>
      <c r="AG249" s="307">
        <v>0</v>
      </c>
      <c r="AH249" s="307">
        <v>0</v>
      </c>
      <c r="AI249" s="307">
        <v>0</v>
      </c>
      <c r="AJ249" s="307">
        <v>0</v>
      </c>
      <c r="AK249" s="307">
        <v>0</v>
      </c>
      <c r="AL249" s="307">
        <v>0</v>
      </c>
      <c r="AM249" s="307">
        <v>0</v>
      </c>
      <c r="AN249" s="307">
        <v>0</v>
      </c>
      <c r="AO249" s="307">
        <v>0</v>
      </c>
      <c r="AP249" s="307">
        <v>0</v>
      </c>
      <c r="AR249" s="308">
        <v>0</v>
      </c>
      <c r="AS249" s="308">
        <f t="shared" si="280"/>
        <v>0</v>
      </c>
      <c r="AT249" s="308">
        <v>0</v>
      </c>
      <c r="AU249" s="308">
        <f t="shared" si="281"/>
        <v>0</v>
      </c>
      <c r="AV249" s="308">
        <v>0</v>
      </c>
      <c r="AW249" s="308">
        <f t="shared" si="282"/>
        <v>0</v>
      </c>
      <c r="AX249" s="308">
        <v>0</v>
      </c>
      <c r="AY249" s="308">
        <f t="shared" si="283"/>
        <v>0</v>
      </c>
      <c r="AZ249" s="308">
        <v>0</v>
      </c>
      <c r="BA249" s="308">
        <f t="shared" si="284"/>
        <v>0</v>
      </c>
      <c r="BB249" s="331">
        <v>0</v>
      </c>
      <c r="BC249" s="308">
        <f t="shared" si="285"/>
        <v>0</v>
      </c>
    </row>
    <row r="250" spans="1:55">
      <c r="A250" s="301" t="s">
        <v>45</v>
      </c>
      <c r="B250" s="308">
        <f>'Monthly D5 Gallon Data'!$K6</f>
        <v>0</v>
      </c>
      <c r="C250" s="308">
        <f>'Monthly D5 Gallon Data'!$K18</f>
        <v>0</v>
      </c>
      <c r="D250" s="308">
        <f>'Monthly D5 Gallon Data'!$K30</f>
        <v>239203</v>
      </c>
      <c r="E250" s="308">
        <f>'Monthly D5 Gallon Data'!$K42</f>
        <v>523311</v>
      </c>
      <c r="F250" s="308">
        <f>'Monthly D5 Gallon Data'!$K54</f>
        <v>2969797</v>
      </c>
      <c r="G250" s="308">
        <f>'Monthly D5 Gallon Data'!$K66</f>
        <v>0</v>
      </c>
      <c r="H250" s="308">
        <f>'Monthly D5 Gallon Data'!$K78</f>
        <v>0</v>
      </c>
      <c r="I250" s="308">
        <f>'Monthly D5 Gallon Data'!$K90</f>
        <v>0</v>
      </c>
      <c r="J250" s="308">
        <f>'Monthly D5 Gallon Data'!$K102</f>
        <v>0</v>
      </c>
      <c r="K250" s="308">
        <f>'Monthly D5 Gallon Data'!$K114</f>
        <v>0</v>
      </c>
      <c r="L250" s="308">
        <f>'Monthly D5 Gallon Data'!$K126</f>
        <v>0</v>
      </c>
      <c r="M250" s="308">
        <f>'Monthly D5 Gallon Data'!$K138</f>
        <v>0</v>
      </c>
      <c r="N250" s="308">
        <f>'Monthly D5 Gallon Data'!$K150</f>
        <v>0</v>
      </c>
      <c r="O250" s="308">
        <f>'Monthly D5 Gallon Data'!$K162</f>
        <v>0</v>
      </c>
      <c r="P250" s="308">
        <f>'Monthly D5 Gallon Data'!$K174</f>
        <v>0</v>
      </c>
      <c r="Q250" s="332">
        <f>'Monthly D5 Gallon Data'!$K186</f>
        <v>0</v>
      </c>
      <c r="R250" s="307">
        <v>0</v>
      </c>
      <c r="S250" s="307">
        <v>0</v>
      </c>
      <c r="T250" s="307">
        <v>0</v>
      </c>
      <c r="U250" s="307">
        <v>0</v>
      </c>
      <c r="V250" s="307">
        <v>0</v>
      </c>
      <c r="W250" s="307">
        <v>0</v>
      </c>
      <c r="X250" s="307">
        <v>0</v>
      </c>
      <c r="Y250" s="307">
        <v>0</v>
      </c>
      <c r="Z250" s="307">
        <v>0</v>
      </c>
      <c r="AA250" s="307">
        <v>0</v>
      </c>
      <c r="AB250" s="307">
        <v>0</v>
      </c>
      <c r="AC250" s="307">
        <v>0</v>
      </c>
      <c r="AD250" s="307">
        <v>0</v>
      </c>
      <c r="AE250" s="307">
        <v>0</v>
      </c>
      <c r="AF250" s="307">
        <v>0</v>
      </c>
      <c r="AG250" s="307">
        <v>0</v>
      </c>
      <c r="AH250" s="307">
        <v>0</v>
      </c>
      <c r="AI250" s="307">
        <v>0</v>
      </c>
      <c r="AJ250" s="307">
        <v>0</v>
      </c>
      <c r="AK250" s="307">
        <v>0</v>
      </c>
      <c r="AL250" s="307">
        <v>0</v>
      </c>
      <c r="AM250" s="307">
        <v>0</v>
      </c>
      <c r="AN250" s="307">
        <v>0</v>
      </c>
      <c r="AO250" s="307">
        <v>0</v>
      </c>
      <c r="AP250" s="307">
        <v>0</v>
      </c>
      <c r="AR250" s="308">
        <v>0</v>
      </c>
      <c r="AS250" s="308">
        <f t="shared" si="280"/>
        <v>0</v>
      </c>
      <c r="AT250" s="308">
        <v>0</v>
      </c>
      <c r="AU250" s="308">
        <f t="shared" si="281"/>
        <v>0</v>
      </c>
      <c r="AV250" s="308">
        <v>0</v>
      </c>
      <c r="AW250" s="308">
        <f t="shared" si="282"/>
        <v>0</v>
      </c>
      <c r="AX250" s="308">
        <v>0</v>
      </c>
      <c r="AY250" s="308">
        <f t="shared" si="283"/>
        <v>0</v>
      </c>
      <c r="AZ250" s="308">
        <v>0</v>
      </c>
      <c r="BA250" s="308">
        <f t="shared" si="284"/>
        <v>0</v>
      </c>
      <c r="BB250" s="331">
        <v>0</v>
      </c>
      <c r="BC250" s="308">
        <f t="shared" si="285"/>
        <v>0</v>
      </c>
    </row>
    <row r="251" spans="1:55">
      <c r="A251" s="301" t="s">
        <v>46</v>
      </c>
      <c r="B251" s="308">
        <f>'Monthly D5 Gallon Data'!$K7</f>
        <v>0</v>
      </c>
      <c r="C251" s="308">
        <f>'Monthly D5 Gallon Data'!$K19</f>
        <v>0</v>
      </c>
      <c r="D251" s="308">
        <f>'Monthly D5 Gallon Data'!$K31</f>
        <v>233286</v>
      </c>
      <c r="E251" s="308">
        <f>'Monthly D5 Gallon Data'!$K43</f>
        <v>475454</v>
      </c>
      <c r="F251" s="308">
        <f>'Monthly D5 Gallon Data'!$K55</f>
        <v>2411989</v>
      </c>
      <c r="G251" s="308">
        <f>'Monthly D5 Gallon Data'!$K67</f>
        <v>0</v>
      </c>
      <c r="H251" s="308">
        <f>'Monthly D5 Gallon Data'!$K79</f>
        <v>0</v>
      </c>
      <c r="I251" s="308">
        <f>'Monthly D5 Gallon Data'!$K91</f>
        <v>0</v>
      </c>
      <c r="J251" s="308">
        <f>'Monthly D5 Gallon Data'!$K103</f>
        <v>0</v>
      </c>
      <c r="K251" s="308">
        <f>'Monthly D5 Gallon Data'!$K115</f>
        <v>0</v>
      </c>
      <c r="L251" s="308">
        <f>'Monthly D5 Gallon Data'!$K127</f>
        <v>0</v>
      </c>
      <c r="M251" s="308">
        <f>'Monthly D5 Gallon Data'!$K139</f>
        <v>0</v>
      </c>
      <c r="N251" s="308">
        <f>'Monthly D5 Gallon Data'!$K151</f>
        <v>0</v>
      </c>
      <c r="O251" s="308">
        <f>'Monthly D5 Gallon Data'!$K163</f>
        <v>0</v>
      </c>
      <c r="P251" s="308">
        <f>'Monthly D5 Gallon Data'!$K175</f>
        <v>0</v>
      </c>
      <c r="Q251" s="307">
        <v>0</v>
      </c>
      <c r="R251" s="307">
        <v>0</v>
      </c>
      <c r="S251" s="307">
        <v>0</v>
      </c>
      <c r="T251" s="307">
        <v>0</v>
      </c>
      <c r="U251" s="307">
        <v>0</v>
      </c>
      <c r="V251" s="307">
        <v>0</v>
      </c>
      <c r="W251" s="307">
        <v>0</v>
      </c>
      <c r="X251" s="307">
        <v>0</v>
      </c>
      <c r="Y251" s="307">
        <v>0</v>
      </c>
      <c r="Z251" s="307">
        <v>0</v>
      </c>
      <c r="AA251" s="307">
        <v>0</v>
      </c>
      <c r="AB251" s="307">
        <v>0</v>
      </c>
      <c r="AC251" s="307">
        <v>0</v>
      </c>
      <c r="AD251" s="307">
        <v>0</v>
      </c>
      <c r="AE251" s="307">
        <v>0</v>
      </c>
      <c r="AF251" s="307">
        <v>0</v>
      </c>
      <c r="AG251" s="307">
        <v>0</v>
      </c>
      <c r="AH251" s="307">
        <v>0</v>
      </c>
      <c r="AI251" s="307">
        <v>0</v>
      </c>
      <c r="AJ251" s="307">
        <v>0</v>
      </c>
      <c r="AK251" s="307">
        <v>0</v>
      </c>
      <c r="AL251" s="307">
        <v>0</v>
      </c>
      <c r="AM251" s="307">
        <v>0</v>
      </c>
      <c r="AN251" s="307">
        <v>0</v>
      </c>
      <c r="AO251" s="307">
        <v>0</v>
      </c>
      <c r="AP251" s="307">
        <v>0</v>
      </c>
      <c r="AR251" s="308">
        <v>0</v>
      </c>
      <c r="AS251" s="308">
        <f t="shared" si="280"/>
        <v>0</v>
      </c>
      <c r="AT251" s="308">
        <v>0</v>
      </c>
      <c r="AU251" s="308">
        <f t="shared" si="281"/>
        <v>0</v>
      </c>
      <c r="AV251" s="308">
        <v>0</v>
      </c>
      <c r="AW251" s="308">
        <f t="shared" si="282"/>
        <v>0</v>
      </c>
      <c r="AX251" s="308">
        <v>0</v>
      </c>
      <c r="AY251" s="308">
        <f t="shared" si="283"/>
        <v>0</v>
      </c>
      <c r="AZ251" s="308">
        <v>0</v>
      </c>
      <c r="BA251" s="308">
        <f t="shared" si="284"/>
        <v>0</v>
      </c>
      <c r="BB251" s="331">
        <v>0</v>
      </c>
      <c r="BC251" s="308">
        <f t="shared" si="285"/>
        <v>0</v>
      </c>
    </row>
    <row r="252" spans="1:55">
      <c r="A252" s="301" t="s">
        <v>47</v>
      </c>
      <c r="B252" s="308">
        <f>'Monthly D5 Gallon Data'!$K8</f>
        <v>0</v>
      </c>
      <c r="C252" s="308">
        <f>'Monthly D5 Gallon Data'!$K20</f>
        <v>0</v>
      </c>
      <c r="D252" s="308">
        <f>'Monthly D5 Gallon Data'!$K32</f>
        <v>289218</v>
      </c>
      <c r="E252" s="308">
        <f>'Monthly D5 Gallon Data'!$K44</f>
        <v>575116</v>
      </c>
      <c r="F252" s="308">
        <f>'Monthly D5 Gallon Data'!$K56</f>
        <v>2193478</v>
      </c>
      <c r="G252" s="308">
        <f>'Monthly D5 Gallon Data'!$K68</f>
        <v>0</v>
      </c>
      <c r="H252" s="308">
        <f>'Monthly D5 Gallon Data'!$K80</f>
        <v>0</v>
      </c>
      <c r="I252" s="308">
        <f>'Monthly D5 Gallon Data'!$K92</f>
        <v>0</v>
      </c>
      <c r="J252" s="308">
        <f>'Monthly D5 Gallon Data'!$K104</f>
        <v>0</v>
      </c>
      <c r="K252" s="308">
        <f>'Monthly D5 Gallon Data'!$K116</f>
        <v>0</v>
      </c>
      <c r="L252" s="308">
        <f>'Monthly D5 Gallon Data'!$K128</f>
        <v>0</v>
      </c>
      <c r="M252" s="308">
        <f>'Monthly D5 Gallon Data'!$K140</f>
        <v>0</v>
      </c>
      <c r="N252" s="308">
        <f>'Monthly D5 Gallon Data'!$K152</f>
        <v>0</v>
      </c>
      <c r="O252" s="308">
        <f>'Monthly D5 Gallon Data'!$K164</f>
        <v>0</v>
      </c>
      <c r="P252" s="308">
        <f>'Monthly D5 Gallon Data'!$K176</f>
        <v>0</v>
      </c>
      <c r="Q252" s="307">
        <v>0</v>
      </c>
      <c r="R252" s="307">
        <v>0</v>
      </c>
      <c r="S252" s="307">
        <v>0</v>
      </c>
      <c r="T252" s="307">
        <v>0</v>
      </c>
      <c r="U252" s="307">
        <v>0</v>
      </c>
      <c r="V252" s="307">
        <v>0</v>
      </c>
      <c r="W252" s="307">
        <v>0</v>
      </c>
      <c r="X252" s="307">
        <v>0</v>
      </c>
      <c r="Y252" s="307">
        <v>0</v>
      </c>
      <c r="Z252" s="307">
        <v>0</v>
      </c>
      <c r="AA252" s="307">
        <v>0</v>
      </c>
      <c r="AB252" s="307">
        <v>0</v>
      </c>
      <c r="AC252" s="307">
        <v>0</v>
      </c>
      <c r="AD252" s="307">
        <v>0</v>
      </c>
      <c r="AE252" s="307">
        <v>0</v>
      </c>
      <c r="AF252" s="307">
        <v>0</v>
      </c>
      <c r="AG252" s="307">
        <v>0</v>
      </c>
      <c r="AH252" s="307">
        <v>0</v>
      </c>
      <c r="AI252" s="307">
        <v>0</v>
      </c>
      <c r="AJ252" s="307">
        <v>0</v>
      </c>
      <c r="AK252" s="307">
        <v>0</v>
      </c>
      <c r="AL252" s="307">
        <v>0</v>
      </c>
      <c r="AM252" s="307">
        <v>0</v>
      </c>
      <c r="AN252" s="307">
        <v>0</v>
      </c>
      <c r="AO252" s="307">
        <v>0</v>
      </c>
      <c r="AP252" s="307">
        <v>0</v>
      </c>
      <c r="AR252" s="308">
        <v>0</v>
      </c>
      <c r="AS252" s="308">
        <f t="shared" si="280"/>
        <v>0</v>
      </c>
      <c r="AT252" s="308">
        <v>0</v>
      </c>
      <c r="AU252" s="308">
        <f t="shared" si="281"/>
        <v>0</v>
      </c>
      <c r="AV252" s="308">
        <v>0</v>
      </c>
      <c r="AW252" s="308">
        <f t="shared" si="282"/>
        <v>0</v>
      </c>
      <c r="AX252" s="308">
        <v>0</v>
      </c>
      <c r="AY252" s="308">
        <f t="shared" si="283"/>
        <v>0</v>
      </c>
      <c r="AZ252" s="308">
        <v>0</v>
      </c>
      <c r="BA252" s="308">
        <f t="shared" si="284"/>
        <v>0</v>
      </c>
      <c r="BB252" s="331">
        <v>0</v>
      </c>
      <c r="BC252" s="308">
        <f t="shared" si="285"/>
        <v>0</v>
      </c>
    </row>
    <row r="253" spans="1:55">
      <c r="A253" s="301" t="s">
        <v>48</v>
      </c>
      <c r="B253" s="308">
        <f>'Monthly D5 Gallon Data'!$K9</f>
        <v>0</v>
      </c>
      <c r="C253" s="308">
        <f>'Monthly D5 Gallon Data'!$K21</f>
        <v>0</v>
      </c>
      <c r="D253" s="308">
        <f>'Monthly D5 Gallon Data'!$K33</f>
        <v>260906</v>
      </c>
      <c r="E253" s="308">
        <f>'Monthly D5 Gallon Data'!$K45</f>
        <v>2423577</v>
      </c>
      <c r="F253" s="308">
        <f>'Monthly D5 Gallon Data'!$K57</f>
        <v>2514332</v>
      </c>
      <c r="G253" s="308">
        <f>'Monthly D5 Gallon Data'!$K69</f>
        <v>0</v>
      </c>
      <c r="H253" s="308">
        <f>'Monthly D5 Gallon Data'!$K81</f>
        <v>0</v>
      </c>
      <c r="I253" s="308">
        <f>'Monthly D5 Gallon Data'!$K93</f>
        <v>0</v>
      </c>
      <c r="J253" s="308">
        <f>'Monthly D5 Gallon Data'!$K105</f>
        <v>0</v>
      </c>
      <c r="K253" s="308">
        <f>'Monthly D5 Gallon Data'!$K117</f>
        <v>0</v>
      </c>
      <c r="L253" s="308">
        <f>'Monthly D5 Gallon Data'!$K129</f>
        <v>0</v>
      </c>
      <c r="M253" s="308">
        <f>'Monthly D5 Gallon Data'!$K141</f>
        <v>0</v>
      </c>
      <c r="N253" s="308">
        <f>'Monthly D5 Gallon Data'!$K153</f>
        <v>0</v>
      </c>
      <c r="O253" s="308">
        <f>'Monthly D5 Gallon Data'!$K165</f>
        <v>0</v>
      </c>
      <c r="P253" s="308">
        <f>'Monthly D5 Gallon Data'!$K177</f>
        <v>0</v>
      </c>
      <c r="Q253" s="307">
        <v>0</v>
      </c>
      <c r="R253" s="307">
        <v>0</v>
      </c>
      <c r="S253" s="307">
        <v>0</v>
      </c>
      <c r="T253" s="307">
        <v>0</v>
      </c>
      <c r="U253" s="307">
        <v>0</v>
      </c>
      <c r="V253" s="307">
        <v>0</v>
      </c>
      <c r="W253" s="307">
        <v>0</v>
      </c>
      <c r="X253" s="307">
        <v>0</v>
      </c>
      <c r="Y253" s="307">
        <v>0</v>
      </c>
      <c r="Z253" s="307">
        <v>0</v>
      </c>
      <c r="AA253" s="307">
        <v>0</v>
      </c>
      <c r="AB253" s="307">
        <v>0</v>
      </c>
      <c r="AC253" s="307">
        <v>0</v>
      </c>
      <c r="AD253" s="307">
        <v>0</v>
      </c>
      <c r="AE253" s="307">
        <v>0</v>
      </c>
      <c r="AF253" s="307">
        <v>0</v>
      </c>
      <c r="AG253" s="307">
        <v>0</v>
      </c>
      <c r="AH253" s="307">
        <v>0</v>
      </c>
      <c r="AI253" s="307">
        <v>0</v>
      </c>
      <c r="AJ253" s="307">
        <v>0</v>
      </c>
      <c r="AK253" s="307">
        <v>0</v>
      </c>
      <c r="AL253" s="307">
        <v>0</v>
      </c>
      <c r="AM253" s="307">
        <v>0</v>
      </c>
      <c r="AN253" s="307">
        <v>0</v>
      </c>
      <c r="AO253" s="307">
        <v>0</v>
      </c>
      <c r="AP253" s="307">
        <v>0</v>
      </c>
      <c r="AR253" s="308">
        <v>0</v>
      </c>
      <c r="AS253" s="308">
        <f t="shared" si="280"/>
        <v>0</v>
      </c>
      <c r="AT253" s="308">
        <v>0</v>
      </c>
      <c r="AU253" s="308">
        <f t="shared" si="281"/>
        <v>0</v>
      </c>
      <c r="AV253" s="308">
        <v>0</v>
      </c>
      <c r="AW253" s="308">
        <f t="shared" si="282"/>
        <v>0</v>
      </c>
      <c r="AX253" s="308">
        <v>0</v>
      </c>
      <c r="AY253" s="308">
        <f t="shared" si="283"/>
        <v>0</v>
      </c>
      <c r="AZ253" s="308">
        <v>0</v>
      </c>
      <c r="BA253" s="308">
        <f t="shared" si="284"/>
        <v>0</v>
      </c>
      <c r="BB253" s="331">
        <v>0</v>
      </c>
      <c r="BC253" s="308">
        <f t="shared" si="285"/>
        <v>0</v>
      </c>
    </row>
    <row r="254" spans="1:55">
      <c r="A254" s="301" t="s">
        <v>49</v>
      </c>
      <c r="B254" s="308">
        <f>'Monthly D5 Gallon Data'!$K10</f>
        <v>0</v>
      </c>
      <c r="C254" s="308">
        <f>'Monthly D5 Gallon Data'!$K22</f>
        <v>0</v>
      </c>
      <c r="D254" s="308">
        <f>'Monthly D5 Gallon Data'!$K34</f>
        <v>279550</v>
      </c>
      <c r="E254" s="308">
        <f>'Monthly D5 Gallon Data'!$K46</f>
        <v>3431987</v>
      </c>
      <c r="F254" s="308">
        <f>'Monthly D5 Gallon Data'!$K58</f>
        <v>4340962</v>
      </c>
      <c r="G254" s="308">
        <f>'Monthly D5 Gallon Data'!$K70</f>
        <v>0</v>
      </c>
      <c r="H254" s="308">
        <f>'Monthly D5 Gallon Data'!$K82</f>
        <v>0</v>
      </c>
      <c r="I254" s="308">
        <f>'Monthly D5 Gallon Data'!$K94</f>
        <v>0</v>
      </c>
      <c r="J254" s="308">
        <f>'Monthly D5 Gallon Data'!$K106</f>
        <v>0</v>
      </c>
      <c r="K254" s="308">
        <f>'Monthly D5 Gallon Data'!$K118</f>
        <v>0</v>
      </c>
      <c r="L254" s="308">
        <f>'Monthly D5 Gallon Data'!$K130</f>
        <v>0</v>
      </c>
      <c r="M254" s="308">
        <f>'Monthly D5 Gallon Data'!$K142</f>
        <v>0</v>
      </c>
      <c r="N254" s="308">
        <f>'Monthly D5 Gallon Data'!$K154</f>
        <v>0</v>
      </c>
      <c r="O254" s="308">
        <f>'Monthly D5 Gallon Data'!$K166</f>
        <v>0</v>
      </c>
      <c r="P254" s="308">
        <f>'Monthly D5 Gallon Data'!$K178</f>
        <v>0</v>
      </c>
      <c r="Q254" s="307">
        <v>0</v>
      </c>
      <c r="R254" s="307">
        <v>0</v>
      </c>
      <c r="S254" s="307">
        <v>0</v>
      </c>
      <c r="T254" s="307">
        <v>0</v>
      </c>
      <c r="U254" s="307">
        <v>0</v>
      </c>
      <c r="V254" s="307">
        <v>0</v>
      </c>
      <c r="W254" s="307">
        <v>0</v>
      </c>
      <c r="X254" s="307">
        <v>0</v>
      </c>
      <c r="Y254" s="307">
        <v>0</v>
      </c>
      <c r="Z254" s="307">
        <v>0</v>
      </c>
      <c r="AA254" s="307">
        <v>0</v>
      </c>
      <c r="AB254" s="307">
        <v>0</v>
      </c>
      <c r="AC254" s="307">
        <v>0</v>
      </c>
      <c r="AD254" s="307">
        <v>0</v>
      </c>
      <c r="AE254" s="307">
        <v>0</v>
      </c>
      <c r="AF254" s="307">
        <v>0</v>
      </c>
      <c r="AG254" s="307">
        <v>0</v>
      </c>
      <c r="AH254" s="307">
        <v>0</v>
      </c>
      <c r="AI254" s="307">
        <v>0</v>
      </c>
      <c r="AJ254" s="307">
        <v>0</v>
      </c>
      <c r="AK254" s="307">
        <v>0</v>
      </c>
      <c r="AL254" s="307">
        <v>0</v>
      </c>
      <c r="AM254" s="307">
        <v>0</v>
      </c>
      <c r="AN254" s="307">
        <v>0</v>
      </c>
      <c r="AO254" s="307">
        <v>0</v>
      </c>
      <c r="AP254" s="307">
        <v>0</v>
      </c>
      <c r="AR254" s="308">
        <v>0</v>
      </c>
      <c r="AS254" s="308">
        <f t="shared" si="280"/>
        <v>0</v>
      </c>
      <c r="AT254" s="308">
        <v>0</v>
      </c>
      <c r="AU254" s="308">
        <f t="shared" si="281"/>
        <v>0</v>
      </c>
      <c r="AV254" s="308">
        <v>0</v>
      </c>
      <c r="AW254" s="308">
        <f t="shared" si="282"/>
        <v>0</v>
      </c>
      <c r="AX254" s="308">
        <v>0</v>
      </c>
      <c r="AY254" s="308">
        <f t="shared" si="283"/>
        <v>0</v>
      </c>
      <c r="AZ254" s="309">
        <v>0</v>
      </c>
      <c r="BA254" s="308">
        <f t="shared" si="284"/>
        <v>0</v>
      </c>
      <c r="BB254" s="331">
        <v>0</v>
      </c>
      <c r="BC254" s="308">
        <f t="shared" si="285"/>
        <v>0</v>
      </c>
    </row>
    <row r="255" spans="1:55">
      <c r="A255" s="301" t="s">
        <v>50</v>
      </c>
      <c r="B255" s="308">
        <f>'Monthly D5 Gallon Data'!$K11</f>
        <v>0</v>
      </c>
      <c r="C255" s="308">
        <f>'Monthly D5 Gallon Data'!$K23</f>
        <v>308293</v>
      </c>
      <c r="D255" s="308">
        <f>'Monthly D5 Gallon Data'!$K35</f>
        <v>305175</v>
      </c>
      <c r="E255" s="308">
        <f>'Monthly D5 Gallon Data'!$K47</f>
        <v>4149093</v>
      </c>
      <c r="F255" s="308">
        <f>'Monthly D5 Gallon Data'!$K59</f>
        <v>1533275</v>
      </c>
      <c r="G255" s="308">
        <f>'Monthly D5 Gallon Data'!$K71</f>
        <v>0</v>
      </c>
      <c r="H255" s="308">
        <f>'Monthly D5 Gallon Data'!$K83</f>
        <v>0</v>
      </c>
      <c r="I255" s="308">
        <f>'Monthly D5 Gallon Data'!$K95</f>
        <v>0</v>
      </c>
      <c r="J255" s="308">
        <f>'Monthly D5 Gallon Data'!$K107</f>
        <v>0</v>
      </c>
      <c r="K255" s="308">
        <f>'Monthly D5 Gallon Data'!$K119</f>
        <v>0</v>
      </c>
      <c r="L255" s="308">
        <f>'Monthly D5 Gallon Data'!$K131</f>
        <v>0</v>
      </c>
      <c r="M255" s="308">
        <f>'Monthly D5 Gallon Data'!$K143</f>
        <v>0</v>
      </c>
      <c r="N255" s="308">
        <f>'Monthly D5 Gallon Data'!$K155</f>
        <v>0</v>
      </c>
      <c r="O255" s="308">
        <f>'Monthly D5 Gallon Data'!$K167</f>
        <v>0</v>
      </c>
      <c r="P255" s="308">
        <f>'Monthly D5 Gallon Data'!$K179</f>
        <v>0</v>
      </c>
      <c r="Q255" s="307">
        <v>0</v>
      </c>
      <c r="R255" s="307">
        <v>0</v>
      </c>
      <c r="S255" s="307">
        <v>0</v>
      </c>
      <c r="T255" s="307">
        <v>0</v>
      </c>
      <c r="U255" s="307">
        <v>0</v>
      </c>
      <c r="V255" s="307">
        <v>0</v>
      </c>
      <c r="W255" s="307">
        <v>0</v>
      </c>
      <c r="X255" s="307">
        <v>0</v>
      </c>
      <c r="Y255" s="307">
        <v>0</v>
      </c>
      <c r="Z255" s="307">
        <v>0</v>
      </c>
      <c r="AA255" s="307">
        <v>0</v>
      </c>
      <c r="AB255" s="307">
        <v>0</v>
      </c>
      <c r="AC255" s="307">
        <v>0</v>
      </c>
      <c r="AD255" s="307">
        <v>0</v>
      </c>
      <c r="AE255" s="307">
        <v>0</v>
      </c>
      <c r="AF255" s="307">
        <v>0</v>
      </c>
      <c r="AG255" s="307">
        <v>0</v>
      </c>
      <c r="AH255" s="307">
        <v>0</v>
      </c>
      <c r="AI255" s="307">
        <v>0</v>
      </c>
      <c r="AJ255" s="307">
        <v>0</v>
      </c>
      <c r="AK255" s="307">
        <v>0</v>
      </c>
      <c r="AL255" s="307">
        <v>0</v>
      </c>
      <c r="AM255" s="307">
        <v>0</v>
      </c>
      <c r="AN255" s="307">
        <v>0</v>
      </c>
      <c r="AO255" s="307">
        <v>0</v>
      </c>
      <c r="AP255" s="307">
        <v>0</v>
      </c>
      <c r="AR255" s="308">
        <v>0</v>
      </c>
      <c r="AS255" s="308">
        <f t="shared" si="280"/>
        <v>0</v>
      </c>
      <c r="AT255" s="308">
        <v>0</v>
      </c>
      <c r="AU255" s="308">
        <f t="shared" si="281"/>
        <v>0</v>
      </c>
      <c r="AV255" s="308">
        <v>0</v>
      </c>
      <c r="AW255" s="308">
        <f t="shared" si="282"/>
        <v>0</v>
      </c>
      <c r="AX255" s="308">
        <v>0</v>
      </c>
      <c r="AY255" s="308">
        <f t="shared" si="283"/>
        <v>0</v>
      </c>
      <c r="AZ255" s="309">
        <v>0</v>
      </c>
      <c r="BA255" s="308">
        <f t="shared" si="284"/>
        <v>0</v>
      </c>
      <c r="BB255" s="331">
        <v>0</v>
      </c>
      <c r="BC255" s="308">
        <f t="shared" si="285"/>
        <v>0</v>
      </c>
    </row>
    <row r="256" spans="1:55">
      <c r="A256" s="301" t="s">
        <v>51</v>
      </c>
      <c r="B256" s="308">
        <f>'Monthly D5 Gallon Data'!$K12</f>
        <v>0</v>
      </c>
      <c r="C256" s="308">
        <f>'Monthly D5 Gallon Data'!$K24</f>
        <v>297653</v>
      </c>
      <c r="D256" s="308">
        <f>'Monthly D5 Gallon Data'!$K36</f>
        <v>79715</v>
      </c>
      <c r="E256" s="308">
        <f>'Monthly D5 Gallon Data'!$K48</f>
        <v>5943278</v>
      </c>
      <c r="F256" s="308">
        <f>'Monthly D5 Gallon Data'!$K60</f>
        <v>0</v>
      </c>
      <c r="G256" s="308">
        <f>'Monthly D5 Gallon Data'!$K72</f>
        <v>0</v>
      </c>
      <c r="H256" s="308">
        <f>'Monthly D5 Gallon Data'!$K84</f>
        <v>0</v>
      </c>
      <c r="I256" s="308">
        <f>'Monthly D5 Gallon Data'!$K96</f>
        <v>0</v>
      </c>
      <c r="J256" s="308">
        <f>'Monthly D5 Gallon Data'!$K108</f>
        <v>0</v>
      </c>
      <c r="K256" s="308">
        <f>'Monthly D5 Gallon Data'!$K120</f>
        <v>0</v>
      </c>
      <c r="L256" s="308">
        <f>'Monthly D5 Gallon Data'!$K132</f>
        <v>0</v>
      </c>
      <c r="M256" s="308">
        <f>'Monthly D5 Gallon Data'!$K144</f>
        <v>0</v>
      </c>
      <c r="N256" s="308">
        <f>'Monthly D5 Gallon Data'!$K156</f>
        <v>0</v>
      </c>
      <c r="O256" s="308">
        <f>'Monthly D5 Gallon Data'!$K168</f>
        <v>0</v>
      </c>
      <c r="P256" s="308">
        <f>'Monthly D5 Gallon Data'!$K180</f>
        <v>0</v>
      </c>
      <c r="Q256" s="307">
        <v>0</v>
      </c>
      <c r="R256" s="307">
        <v>0</v>
      </c>
      <c r="S256" s="307">
        <v>0</v>
      </c>
      <c r="T256" s="307">
        <v>0</v>
      </c>
      <c r="U256" s="307">
        <v>0</v>
      </c>
      <c r="V256" s="307">
        <v>0</v>
      </c>
      <c r="W256" s="307">
        <v>0</v>
      </c>
      <c r="X256" s="307">
        <v>0</v>
      </c>
      <c r="Y256" s="307">
        <v>0</v>
      </c>
      <c r="Z256" s="307">
        <v>0</v>
      </c>
      <c r="AA256" s="307">
        <v>0</v>
      </c>
      <c r="AB256" s="307">
        <v>0</v>
      </c>
      <c r="AC256" s="307">
        <v>0</v>
      </c>
      <c r="AD256" s="307">
        <v>0</v>
      </c>
      <c r="AE256" s="307">
        <v>0</v>
      </c>
      <c r="AF256" s="307">
        <v>0</v>
      </c>
      <c r="AG256" s="307">
        <v>0</v>
      </c>
      <c r="AH256" s="307">
        <v>0</v>
      </c>
      <c r="AI256" s="307">
        <v>0</v>
      </c>
      <c r="AJ256" s="307">
        <v>0</v>
      </c>
      <c r="AK256" s="307">
        <v>0</v>
      </c>
      <c r="AL256" s="307">
        <v>0</v>
      </c>
      <c r="AM256" s="307">
        <v>0</v>
      </c>
      <c r="AN256" s="307">
        <v>0</v>
      </c>
      <c r="AO256" s="307">
        <v>0</v>
      </c>
      <c r="AP256" s="307">
        <v>0</v>
      </c>
      <c r="AR256" s="308">
        <v>0</v>
      </c>
      <c r="AS256" s="308">
        <f t="shared" si="280"/>
        <v>0</v>
      </c>
      <c r="AT256" s="308">
        <v>0</v>
      </c>
      <c r="AU256" s="308">
        <f t="shared" si="281"/>
        <v>0</v>
      </c>
      <c r="AV256" s="308">
        <v>0</v>
      </c>
      <c r="AW256" s="308">
        <f t="shared" si="282"/>
        <v>0</v>
      </c>
      <c r="AX256" s="308">
        <v>0</v>
      </c>
      <c r="AY256" s="308">
        <f t="shared" si="283"/>
        <v>0</v>
      </c>
      <c r="AZ256" s="309">
        <v>0</v>
      </c>
      <c r="BA256" s="308">
        <f t="shared" si="284"/>
        <v>0</v>
      </c>
      <c r="BB256" s="331">
        <v>0</v>
      </c>
      <c r="BC256" s="308">
        <f t="shared" si="285"/>
        <v>0</v>
      </c>
    </row>
    <row r="257" spans="1:55">
      <c r="A257" s="301" t="s">
        <v>52</v>
      </c>
      <c r="B257" s="308">
        <f>'Monthly D5 Gallon Data'!$K13</f>
        <v>0</v>
      </c>
      <c r="C257" s="308">
        <f>'Monthly D5 Gallon Data'!$K25</f>
        <v>207334</v>
      </c>
      <c r="D257" s="308">
        <f>'Monthly D5 Gallon Data'!$K37</f>
        <v>177688</v>
      </c>
      <c r="E257" s="308">
        <f>'Monthly D5 Gallon Data'!$K49</f>
        <v>3973504</v>
      </c>
      <c r="F257" s="308">
        <f>'Monthly D5 Gallon Data'!$K61</f>
        <v>0</v>
      </c>
      <c r="G257" s="308">
        <f>'Monthly D5 Gallon Data'!$K73</f>
        <v>0</v>
      </c>
      <c r="H257" s="308">
        <f>'Monthly D5 Gallon Data'!$K85</f>
        <v>0</v>
      </c>
      <c r="I257" s="308">
        <f>'Monthly D5 Gallon Data'!$K97</f>
        <v>0</v>
      </c>
      <c r="J257" s="308">
        <f>'Monthly D5 Gallon Data'!$K109</f>
        <v>0</v>
      </c>
      <c r="K257" s="308">
        <f>'Monthly D5 Gallon Data'!$K121</f>
        <v>0</v>
      </c>
      <c r="L257" s="308">
        <f>'Monthly D5 Gallon Data'!$K133</f>
        <v>0</v>
      </c>
      <c r="M257" s="308">
        <f>'Monthly D5 Gallon Data'!$K145</f>
        <v>0</v>
      </c>
      <c r="N257" s="308">
        <f>'Monthly D5 Gallon Data'!$K157</f>
        <v>0</v>
      </c>
      <c r="O257" s="308">
        <f>'Monthly D5 Gallon Data'!$K169</f>
        <v>0</v>
      </c>
      <c r="P257" s="308">
        <f>'Monthly D5 Gallon Data'!$K181</f>
        <v>0</v>
      </c>
      <c r="Q257" s="307">
        <v>0</v>
      </c>
      <c r="R257" s="307">
        <v>0</v>
      </c>
      <c r="S257" s="307">
        <v>0</v>
      </c>
      <c r="T257" s="307">
        <v>0</v>
      </c>
      <c r="U257" s="307">
        <v>0</v>
      </c>
      <c r="V257" s="307">
        <v>0</v>
      </c>
      <c r="W257" s="307">
        <v>0</v>
      </c>
      <c r="X257" s="307">
        <v>0</v>
      </c>
      <c r="Y257" s="307">
        <v>0</v>
      </c>
      <c r="Z257" s="307">
        <v>0</v>
      </c>
      <c r="AA257" s="307">
        <v>0</v>
      </c>
      <c r="AB257" s="307">
        <v>0</v>
      </c>
      <c r="AC257" s="307">
        <v>0</v>
      </c>
      <c r="AD257" s="307">
        <v>0</v>
      </c>
      <c r="AE257" s="307">
        <v>0</v>
      </c>
      <c r="AF257" s="307">
        <v>0</v>
      </c>
      <c r="AG257" s="307">
        <v>0</v>
      </c>
      <c r="AH257" s="307">
        <v>0</v>
      </c>
      <c r="AI257" s="307">
        <v>0</v>
      </c>
      <c r="AJ257" s="307">
        <v>0</v>
      </c>
      <c r="AK257" s="307">
        <v>0</v>
      </c>
      <c r="AL257" s="307">
        <v>0</v>
      </c>
      <c r="AM257" s="307">
        <v>0</v>
      </c>
      <c r="AN257" s="307">
        <v>0</v>
      </c>
      <c r="AO257" s="307">
        <v>0</v>
      </c>
      <c r="AP257" s="307">
        <v>0</v>
      </c>
      <c r="AR257" s="308">
        <v>0</v>
      </c>
      <c r="AS257" s="308">
        <f t="shared" si="280"/>
        <v>0</v>
      </c>
      <c r="AT257" s="308">
        <v>0</v>
      </c>
      <c r="AU257" s="308">
        <f t="shared" si="281"/>
        <v>0</v>
      </c>
      <c r="AV257" s="308">
        <v>0</v>
      </c>
      <c r="AW257" s="308">
        <f t="shared" si="282"/>
        <v>0</v>
      </c>
      <c r="AX257" s="308">
        <v>0</v>
      </c>
      <c r="AY257" s="308">
        <f t="shared" si="283"/>
        <v>0</v>
      </c>
      <c r="AZ257" s="309">
        <v>0</v>
      </c>
      <c r="BA257" s="308">
        <f t="shared" si="284"/>
        <v>0</v>
      </c>
      <c r="BB257" s="331">
        <v>0</v>
      </c>
      <c r="BC257" s="308">
        <f t="shared" si="285"/>
        <v>0</v>
      </c>
    </row>
    <row r="258" spans="1:55">
      <c r="A258" s="301" t="s">
        <v>53</v>
      </c>
      <c r="B258" s="308">
        <f>'Monthly D5 Gallon Data'!$K14</f>
        <v>0</v>
      </c>
      <c r="C258" s="308">
        <f>'Monthly D5 Gallon Data'!$K26</f>
        <v>297813</v>
      </c>
      <c r="D258" s="308">
        <f>'Monthly D5 Gallon Data'!$K38</f>
        <v>296569</v>
      </c>
      <c r="E258" s="308">
        <f>'Monthly D5 Gallon Data'!$K50</f>
        <v>2092389</v>
      </c>
      <c r="F258" s="308">
        <f>'Monthly D5 Gallon Data'!$K62</f>
        <v>0</v>
      </c>
      <c r="G258" s="308">
        <f>'Monthly D5 Gallon Data'!$K74</f>
        <v>0</v>
      </c>
      <c r="H258" s="308">
        <f>'Monthly D5 Gallon Data'!$K86</f>
        <v>0</v>
      </c>
      <c r="I258" s="308">
        <f>'Monthly D5 Gallon Data'!$K98</f>
        <v>0</v>
      </c>
      <c r="J258" s="308">
        <f>'Monthly D5 Gallon Data'!$K110</f>
        <v>0</v>
      </c>
      <c r="K258" s="308">
        <f>'Monthly D5 Gallon Data'!$K122</f>
        <v>0</v>
      </c>
      <c r="L258" s="308">
        <f>'Monthly D5 Gallon Data'!$K134</f>
        <v>0</v>
      </c>
      <c r="M258" s="308">
        <f>'Monthly D5 Gallon Data'!$K146</f>
        <v>0</v>
      </c>
      <c r="N258" s="308">
        <f>'Monthly D5 Gallon Data'!$K158</f>
        <v>0</v>
      </c>
      <c r="O258" s="308">
        <f>'Monthly D5 Gallon Data'!$K170</f>
        <v>0</v>
      </c>
      <c r="P258" s="308">
        <f>'Monthly D5 Gallon Data'!$K182</f>
        <v>0</v>
      </c>
      <c r="Q258" s="307">
        <v>0</v>
      </c>
      <c r="R258" s="307">
        <v>0</v>
      </c>
      <c r="S258" s="307">
        <v>0</v>
      </c>
      <c r="T258" s="307">
        <v>0</v>
      </c>
      <c r="U258" s="307">
        <v>0</v>
      </c>
      <c r="V258" s="307">
        <v>0</v>
      </c>
      <c r="W258" s="307">
        <v>0</v>
      </c>
      <c r="X258" s="307">
        <v>0</v>
      </c>
      <c r="Y258" s="307">
        <v>0</v>
      </c>
      <c r="Z258" s="307">
        <v>0</v>
      </c>
      <c r="AA258" s="307">
        <v>0</v>
      </c>
      <c r="AB258" s="307">
        <v>0</v>
      </c>
      <c r="AC258" s="307">
        <v>0</v>
      </c>
      <c r="AD258" s="307">
        <v>0</v>
      </c>
      <c r="AE258" s="307">
        <v>0</v>
      </c>
      <c r="AF258" s="307">
        <v>0</v>
      </c>
      <c r="AG258" s="307">
        <v>0</v>
      </c>
      <c r="AH258" s="307">
        <v>0</v>
      </c>
      <c r="AI258" s="307">
        <v>0</v>
      </c>
      <c r="AJ258" s="307">
        <v>0</v>
      </c>
      <c r="AK258" s="307">
        <v>0</v>
      </c>
      <c r="AL258" s="307">
        <v>0</v>
      </c>
      <c r="AM258" s="307">
        <v>0</v>
      </c>
      <c r="AN258" s="307">
        <v>0</v>
      </c>
      <c r="AO258" s="307">
        <v>0</v>
      </c>
      <c r="AP258" s="307">
        <v>0</v>
      </c>
      <c r="AR258" s="308">
        <v>0</v>
      </c>
      <c r="AS258" s="308">
        <f t="shared" si="280"/>
        <v>0</v>
      </c>
      <c r="AT258" s="308">
        <v>0</v>
      </c>
      <c r="AU258" s="308">
        <f t="shared" si="281"/>
        <v>0</v>
      </c>
      <c r="AV258" s="308">
        <v>0</v>
      </c>
      <c r="AW258" s="308">
        <f t="shared" si="282"/>
        <v>0</v>
      </c>
      <c r="AX258" s="309">
        <v>0</v>
      </c>
      <c r="AY258" s="308">
        <f t="shared" si="283"/>
        <v>0</v>
      </c>
      <c r="AZ258" s="309">
        <v>0</v>
      </c>
      <c r="BA258" s="308">
        <f t="shared" si="284"/>
        <v>0</v>
      </c>
      <c r="BB258" s="331">
        <v>0</v>
      </c>
      <c r="BC258" s="308">
        <f t="shared" si="285"/>
        <v>0</v>
      </c>
    </row>
    <row r="259" spans="1:55">
      <c r="A259" s="301" t="s">
        <v>54</v>
      </c>
      <c r="B259" s="308">
        <f>'Monthly D5 Gallon Data'!$K15</f>
        <v>0</v>
      </c>
      <c r="C259" s="308">
        <f>'Monthly D5 Gallon Data'!$K27</f>
        <v>312801</v>
      </c>
      <c r="D259" s="308">
        <f>'Monthly D5 Gallon Data'!$K39</f>
        <v>160003</v>
      </c>
      <c r="E259" s="308">
        <f>'Monthly D5 Gallon Data'!$K51</f>
        <v>1618751</v>
      </c>
      <c r="F259" s="308">
        <f>'Monthly D5 Gallon Data'!$K63</f>
        <v>0</v>
      </c>
      <c r="G259" s="308">
        <f>'Monthly D5 Gallon Data'!$K75</f>
        <v>0</v>
      </c>
      <c r="H259" s="308">
        <f>'Monthly D5 Gallon Data'!$K87</f>
        <v>0</v>
      </c>
      <c r="I259" s="308">
        <f>'Monthly D5 Gallon Data'!$K99</f>
        <v>0</v>
      </c>
      <c r="J259" s="308">
        <f>'Monthly D5 Gallon Data'!$K111</f>
        <v>0</v>
      </c>
      <c r="K259" s="308">
        <f>'Monthly D5 Gallon Data'!$K123</f>
        <v>0</v>
      </c>
      <c r="L259" s="308">
        <f>'Monthly D5 Gallon Data'!$K135</f>
        <v>0</v>
      </c>
      <c r="M259" s="308">
        <f>'Monthly D5 Gallon Data'!$K147</f>
        <v>0</v>
      </c>
      <c r="N259" s="308">
        <f>'Monthly D5 Gallon Data'!$K159</f>
        <v>0</v>
      </c>
      <c r="O259" s="308">
        <f>'Monthly D5 Gallon Data'!$K171</f>
        <v>0</v>
      </c>
      <c r="P259" s="308">
        <f>'Monthly D5 Gallon Data'!$K183</f>
        <v>0</v>
      </c>
      <c r="Q259" s="307">
        <v>0</v>
      </c>
      <c r="R259" s="307">
        <v>0</v>
      </c>
      <c r="S259" s="307">
        <v>0</v>
      </c>
      <c r="T259" s="307">
        <v>0</v>
      </c>
      <c r="U259" s="307">
        <v>0</v>
      </c>
      <c r="V259" s="307">
        <v>0</v>
      </c>
      <c r="W259" s="307">
        <v>0</v>
      </c>
      <c r="X259" s="307">
        <v>0</v>
      </c>
      <c r="Y259" s="307">
        <v>0</v>
      </c>
      <c r="Z259" s="307">
        <v>0</v>
      </c>
      <c r="AA259" s="307">
        <v>0</v>
      </c>
      <c r="AB259" s="307">
        <v>0</v>
      </c>
      <c r="AC259" s="307">
        <v>0</v>
      </c>
      <c r="AD259" s="307">
        <v>0</v>
      </c>
      <c r="AE259" s="307">
        <v>0</v>
      </c>
      <c r="AF259" s="307">
        <v>0</v>
      </c>
      <c r="AG259" s="307">
        <v>0</v>
      </c>
      <c r="AH259" s="307">
        <v>0</v>
      </c>
      <c r="AI259" s="307">
        <v>0</v>
      </c>
      <c r="AJ259" s="307">
        <v>0</v>
      </c>
      <c r="AK259" s="307">
        <v>0</v>
      </c>
      <c r="AL259" s="307">
        <v>0</v>
      </c>
      <c r="AM259" s="307">
        <v>0</v>
      </c>
      <c r="AN259" s="307">
        <v>0</v>
      </c>
      <c r="AO259" s="307">
        <v>0</v>
      </c>
      <c r="AP259" s="307">
        <v>0</v>
      </c>
      <c r="AR259" s="308">
        <v>0</v>
      </c>
      <c r="AS259" s="308">
        <f t="shared" si="280"/>
        <v>0</v>
      </c>
      <c r="AT259" s="308">
        <v>0</v>
      </c>
      <c r="AU259" s="308">
        <f t="shared" si="281"/>
        <v>0</v>
      </c>
      <c r="AV259" s="308">
        <v>0</v>
      </c>
      <c r="AW259" s="308">
        <f t="shared" si="282"/>
        <v>0</v>
      </c>
      <c r="AX259" s="309">
        <v>0</v>
      </c>
      <c r="AY259" s="308">
        <f t="shared" si="283"/>
        <v>0</v>
      </c>
      <c r="AZ259" s="309">
        <v>0</v>
      </c>
      <c r="BA259" s="308">
        <f t="shared" si="284"/>
        <v>0</v>
      </c>
      <c r="BB259" s="331">
        <v>0</v>
      </c>
      <c r="BC259" s="308">
        <f t="shared" si="285"/>
        <v>0</v>
      </c>
    </row>
    <row r="260" spans="1:55" ht="12" thickBot="1">
      <c r="A260" s="301" t="s">
        <v>29</v>
      </c>
      <c r="B260" s="308">
        <f t="shared" ref="B260:AD260" si="286">SUM(B248:B259)</f>
        <v>0</v>
      </c>
      <c r="C260" s="308">
        <f t="shared" si="286"/>
        <v>1423894</v>
      </c>
      <c r="D260" s="308">
        <f t="shared" si="286"/>
        <v>2882009</v>
      </c>
      <c r="E260" s="308">
        <f t="shared" si="286"/>
        <v>25934813</v>
      </c>
      <c r="F260" s="308">
        <f t="shared" si="286"/>
        <v>20352691</v>
      </c>
      <c r="G260" s="308">
        <f t="shared" si="286"/>
        <v>0</v>
      </c>
      <c r="H260" s="308">
        <f t="shared" si="286"/>
        <v>0</v>
      </c>
      <c r="I260" s="308">
        <f t="shared" si="286"/>
        <v>0</v>
      </c>
      <c r="J260" s="308">
        <f t="shared" si="286"/>
        <v>0</v>
      </c>
      <c r="K260" s="308">
        <f t="shared" si="286"/>
        <v>0</v>
      </c>
      <c r="L260" s="308">
        <f t="shared" si="286"/>
        <v>0</v>
      </c>
      <c r="M260" s="308">
        <f t="shared" si="286"/>
        <v>0</v>
      </c>
      <c r="N260" s="308">
        <f t="shared" si="286"/>
        <v>0</v>
      </c>
      <c r="O260" s="308">
        <f t="shared" si="286"/>
        <v>0</v>
      </c>
      <c r="P260" s="308">
        <f t="shared" si="286"/>
        <v>0</v>
      </c>
      <c r="Q260" s="307">
        <f t="shared" si="286"/>
        <v>0</v>
      </c>
      <c r="R260" s="307">
        <f t="shared" si="286"/>
        <v>0</v>
      </c>
      <c r="S260" s="307">
        <f t="shared" si="286"/>
        <v>0</v>
      </c>
      <c r="T260" s="307">
        <f t="shared" si="286"/>
        <v>0</v>
      </c>
      <c r="U260" s="307">
        <f t="shared" si="286"/>
        <v>0</v>
      </c>
      <c r="V260" s="307">
        <f t="shared" si="286"/>
        <v>0</v>
      </c>
      <c r="W260" s="307">
        <f t="shared" si="286"/>
        <v>0</v>
      </c>
      <c r="X260" s="307">
        <f t="shared" si="286"/>
        <v>0</v>
      </c>
      <c r="Y260" s="307">
        <f t="shared" si="286"/>
        <v>0</v>
      </c>
      <c r="Z260" s="307">
        <f t="shared" si="286"/>
        <v>0</v>
      </c>
      <c r="AA260" s="307">
        <f t="shared" si="286"/>
        <v>0</v>
      </c>
      <c r="AB260" s="307">
        <f t="shared" si="286"/>
        <v>0</v>
      </c>
      <c r="AC260" s="307">
        <f t="shared" si="286"/>
        <v>0</v>
      </c>
      <c r="AD260" s="307">
        <f t="shared" si="286"/>
        <v>0</v>
      </c>
      <c r="AE260" s="307">
        <f>SUM(AE248:AE259)</f>
        <v>0</v>
      </c>
      <c r="AF260" s="307">
        <f>SUM(AF248:AF259)</f>
        <v>0</v>
      </c>
      <c r="AG260" s="307">
        <f>SUM(AG248:AG259)</f>
        <v>0</v>
      </c>
      <c r="AH260" s="307">
        <f t="shared" ref="AH260:AP260" si="287">SUM(AH248:AH259)</f>
        <v>0</v>
      </c>
      <c r="AI260" s="307">
        <f t="shared" si="287"/>
        <v>0</v>
      </c>
      <c r="AJ260" s="307">
        <f t="shared" si="287"/>
        <v>0</v>
      </c>
      <c r="AK260" s="307">
        <f t="shared" si="287"/>
        <v>0</v>
      </c>
      <c r="AL260" s="307">
        <f t="shared" si="287"/>
        <v>0</v>
      </c>
      <c r="AM260" s="307">
        <f t="shared" si="287"/>
        <v>0</v>
      </c>
      <c r="AN260" s="307">
        <f t="shared" si="287"/>
        <v>0</v>
      </c>
      <c r="AO260" s="307">
        <f t="shared" si="287"/>
        <v>0</v>
      </c>
      <c r="AP260" s="307">
        <f t="shared" si="287"/>
        <v>0</v>
      </c>
      <c r="AR260" s="308">
        <v>0</v>
      </c>
      <c r="AS260" s="308">
        <f t="shared" si="280"/>
        <v>0</v>
      </c>
      <c r="AT260" s="308">
        <v>0</v>
      </c>
      <c r="AU260" s="308">
        <f t="shared" si="281"/>
        <v>0</v>
      </c>
      <c r="AV260" s="308">
        <v>0</v>
      </c>
      <c r="AW260" s="308">
        <f t="shared" si="282"/>
        <v>0</v>
      </c>
      <c r="AX260" s="309">
        <v>0</v>
      </c>
      <c r="AY260" s="308">
        <f t="shared" si="283"/>
        <v>0</v>
      </c>
      <c r="AZ260" s="309">
        <v>0</v>
      </c>
      <c r="BA260" s="308">
        <f t="shared" si="284"/>
        <v>0</v>
      </c>
      <c r="BB260" s="331">
        <v>0</v>
      </c>
      <c r="BC260" s="308">
        <f t="shared" si="285"/>
        <v>0</v>
      </c>
    </row>
    <row r="261" spans="1:55">
      <c r="A261" s="334"/>
      <c r="B261" s="334"/>
      <c r="C261" s="334"/>
      <c r="D261" s="334"/>
      <c r="E261" s="334"/>
      <c r="F261" s="334"/>
      <c r="G261" s="334"/>
      <c r="H261" s="334"/>
      <c r="I261" s="334"/>
      <c r="J261" s="334"/>
      <c r="K261" s="334"/>
      <c r="L261" s="334"/>
      <c r="M261" s="334"/>
      <c r="N261" s="334"/>
      <c r="O261" s="334"/>
      <c r="P261" s="334"/>
      <c r="Q261" s="334"/>
      <c r="R261" s="334"/>
      <c r="S261" s="334"/>
      <c r="T261" s="334"/>
      <c r="U261" s="334"/>
      <c r="V261" s="334"/>
      <c r="W261" s="334"/>
      <c r="X261" s="334"/>
      <c r="Y261" s="334"/>
      <c r="Z261" s="334"/>
      <c r="AA261" s="334"/>
      <c r="AB261" s="334"/>
      <c r="AC261" s="334"/>
      <c r="AD261" s="334"/>
      <c r="AE261" s="334"/>
      <c r="AF261" s="334"/>
      <c r="AG261" s="334"/>
      <c r="AH261" s="334"/>
      <c r="AI261" s="334"/>
      <c r="AJ261" s="334"/>
      <c r="AK261" s="334"/>
      <c r="AL261" s="334"/>
      <c r="AM261" s="334"/>
      <c r="AN261" s="334"/>
      <c r="AO261" s="334"/>
      <c r="AP261" s="334"/>
      <c r="AT261" s="309"/>
    </row>
    <row r="262" spans="1:55" ht="12" thickBot="1">
      <c r="A262" s="300" t="s">
        <v>448</v>
      </c>
      <c r="AT262" s="309"/>
    </row>
    <row r="263" spans="1:55" ht="12" thickBot="1">
      <c r="A263" s="328"/>
      <c r="B263" s="329">
        <f t="shared" ref="B263:AP263" si="288">B2</f>
        <v>2010</v>
      </c>
      <c r="C263" s="329">
        <f t="shared" si="288"/>
        <v>2011</v>
      </c>
      <c r="D263" s="329">
        <f t="shared" si="288"/>
        <v>2012</v>
      </c>
      <c r="E263" s="329">
        <f t="shared" si="288"/>
        <v>2013</v>
      </c>
      <c r="F263" s="329">
        <f t="shared" si="288"/>
        <v>2014</v>
      </c>
      <c r="G263" s="329">
        <f t="shared" si="288"/>
        <v>2015</v>
      </c>
      <c r="H263" s="329">
        <f t="shared" si="288"/>
        <v>2016</v>
      </c>
      <c r="I263" s="329">
        <f t="shared" si="288"/>
        <v>2017</v>
      </c>
      <c r="J263" s="329">
        <f t="shared" si="288"/>
        <v>2018</v>
      </c>
      <c r="K263" s="329">
        <f t="shared" si="288"/>
        <v>2019</v>
      </c>
      <c r="L263" s="329">
        <f t="shared" si="288"/>
        <v>2020</v>
      </c>
      <c r="M263" s="329">
        <f t="shared" si="288"/>
        <v>2021</v>
      </c>
      <c r="N263" s="329">
        <f t="shared" si="288"/>
        <v>2022</v>
      </c>
      <c r="O263" s="329">
        <f t="shared" si="288"/>
        <v>2023</v>
      </c>
      <c r="P263" s="329">
        <f t="shared" si="288"/>
        <v>2024</v>
      </c>
      <c r="Q263" s="329">
        <f t="shared" si="288"/>
        <v>2025</v>
      </c>
      <c r="R263" s="329">
        <f t="shared" si="288"/>
        <v>2026</v>
      </c>
      <c r="S263" s="329">
        <f t="shared" si="288"/>
        <v>2027</v>
      </c>
      <c r="T263" s="329">
        <f t="shared" si="288"/>
        <v>2028</v>
      </c>
      <c r="U263" s="329">
        <f t="shared" si="288"/>
        <v>2029</v>
      </c>
      <c r="V263" s="329">
        <f t="shared" si="288"/>
        <v>2030</v>
      </c>
      <c r="W263" s="329">
        <f t="shared" si="288"/>
        <v>2031</v>
      </c>
      <c r="X263" s="329">
        <f t="shared" si="288"/>
        <v>2032</v>
      </c>
      <c r="Y263" s="329">
        <f t="shared" si="288"/>
        <v>2033</v>
      </c>
      <c r="Z263" s="329">
        <f t="shared" si="288"/>
        <v>2034</v>
      </c>
      <c r="AA263" s="329">
        <f t="shared" si="288"/>
        <v>2035</v>
      </c>
      <c r="AB263" s="329">
        <f t="shared" si="288"/>
        <v>2036</v>
      </c>
      <c r="AC263" s="329">
        <f t="shared" si="288"/>
        <v>2037</v>
      </c>
      <c r="AD263" s="329">
        <f t="shared" si="288"/>
        <v>2038</v>
      </c>
      <c r="AE263" s="329">
        <f t="shared" si="288"/>
        <v>2039</v>
      </c>
      <c r="AF263" s="329">
        <f t="shared" si="288"/>
        <v>2040</v>
      </c>
      <c r="AG263" s="329">
        <f t="shared" si="288"/>
        <v>2041</v>
      </c>
      <c r="AH263" s="329">
        <f t="shared" si="288"/>
        <v>2042</v>
      </c>
      <c r="AI263" s="329">
        <f t="shared" si="288"/>
        <v>2043</v>
      </c>
      <c r="AJ263" s="329">
        <f t="shared" si="288"/>
        <v>2044</v>
      </c>
      <c r="AK263" s="329">
        <f t="shared" si="288"/>
        <v>2045</v>
      </c>
      <c r="AL263" s="329">
        <f t="shared" si="288"/>
        <v>2046</v>
      </c>
      <c r="AM263" s="329">
        <f t="shared" si="288"/>
        <v>2047</v>
      </c>
      <c r="AN263" s="329">
        <f t="shared" si="288"/>
        <v>2048</v>
      </c>
      <c r="AO263" s="329">
        <f t="shared" si="288"/>
        <v>2049</v>
      </c>
      <c r="AP263" s="329">
        <f t="shared" si="288"/>
        <v>2050</v>
      </c>
      <c r="AT263" s="309"/>
    </row>
    <row r="264" spans="1:55">
      <c r="A264" s="301" t="s">
        <v>43</v>
      </c>
      <c r="B264" s="308">
        <f>'Monthly D5 Gallon Data'!$L4</f>
        <v>0</v>
      </c>
      <c r="C264" s="308">
        <f>'Monthly D5 Gallon Data'!$L16</f>
        <v>0</v>
      </c>
      <c r="D264" s="308">
        <f>'Monthly D5 Gallon Data'!$L28</f>
        <v>0</v>
      </c>
      <c r="E264" s="308">
        <f>'Monthly D5 Gallon Data'!$L40</f>
        <v>0</v>
      </c>
      <c r="F264" s="308">
        <f>'Monthly D5 Gallon Data'!$L52</f>
        <v>0</v>
      </c>
      <c r="G264" s="308">
        <f>'Monthly D5 Gallon Data'!$L64</f>
        <v>0</v>
      </c>
      <c r="H264" s="308">
        <f>'Monthly D5 Gallon Data'!$L76</f>
        <v>0</v>
      </c>
      <c r="I264" s="308">
        <f>'Monthly D5 Gallon Data'!$L88</f>
        <v>0</v>
      </c>
      <c r="J264" s="308">
        <f>'Monthly D5 Gallon Data'!$L100</f>
        <v>0</v>
      </c>
      <c r="K264" s="308">
        <f>'Monthly D5 Gallon Data'!$L112</f>
        <v>0</v>
      </c>
      <c r="L264" s="308">
        <f>'Monthly D5 Gallon Data'!$L124</f>
        <v>0</v>
      </c>
      <c r="M264" s="308">
        <f>'Monthly D5 Gallon Data'!$L136</f>
        <v>0</v>
      </c>
      <c r="N264" s="308">
        <f>'Monthly D5 Gallon Data'!$L148</f>
        <v>0</v>
      </c>
      <c r="O264" s="308">
        <f>'Monthly D5 Gallon Data'!$L160</f>
        <v>0</v>
      </c>
      <c r="P264" s="308">
        <f>'Monthly D5 Gallon Data'!$L172</f>
        <v>0</v>
      </c>
      <c r="Q264" s="308">
        <f>'Monthly D5 Gallon Data'!$L184</f>
        <v>0</v>
      </c>
      <c r="R264" s="307">
        <v>0</v>
      </c>
      <c r="S264" s="307">
        <v>0</v>
      </c>
      <c r="T264" s="307">
        <v>0</v>
      </c>
      <c r="U264" s="307">
        <v>0</v>
      </c>
      <c r="V264" s="307">
        <v>0</v>
      </c>
      <c r="W264" s="307">
        <v>0</v>
      </c>
      <c r="X264" s="307">
        <v>0</v>
      </c>
      <c r="Y264" s="307">
        <v>0</v>
      </c>
      <c r="Z264" s="307">
        <v>0</v>
      </c>
      <c r="AA264" s="307">
        <v>0</v>
      </c>
      <c r="AB264" s="307">
        <v>0</v>
      </c>
      <c r="AC264" s="307">
        <v>0</v>
      </c>
      <c r="AD264" s="307">
        <v>0</v>
      </c>
      <c r="AE264" s="307">
        <v>0</v>
      </c>
      <c r="AF264" s="307">
        <v>0</v>
      </c>
      <c r="AG264" s="307">
        <v>0</v>
      </c>
      <c r="AH264" s="307">
        <v>0</v>
      </c>
      <c r="AI264" s="307">
        <v>0</v>
      </c>
      <c r="AJ264" s="307">
        <v>0</v>
      </c>
      <c r="AK264" s="307">
        <v>0</v>
      </c>
      <c r="AL264" s="307">
        <v>0</v>
      </c>
      <c r="AM264" s="307">
        <v>0</v>
      </c>
      <c r="AN264" s="307">
        <v>0</v>
      </c>
      <c r="AO264" s="307">
        <v>0</v>
      </c>
      <c r="AP264" s="307">
        <v>0</v>
      </c>
      <c r="AR264" s="308">
        <v>0</v>
      </c>
      <c r="AS264" s="308">
        <f t="shared" ref="AS264:AS276" si="289">L264-AR264</f>
        <v>0</v>
      </c>
      <c r="AT264" s="308">
        <v>0</v>
      </c>
      <c r="AU264" s="308">
        <f t="shared" ref="AU264:AU276" si="290">M264-AT264</f>
        <v>0</v>
      </c>
      <c r="AV264" s="308">
        <v>0</v>
      </c>
      <c r="AW264" s="308">
        <f t="shared" ref="AW264:AW276" si="291">N264-AV264</f>
        <v>0</v>
      </c>
      <c r="AX264" s="308">
        <v>0</v>
      </c>
      <c r="AY264" s="308">
        <f t="shared" ref="AY264:AY276" si="292">O264-AX264</f>
        <v>0</v>
      </c>
      <c r="AZ264" s="308">
        <v>0</v>
      </c>
      <c r="BA264" s="308">
        <f t="shared" ref="BA264:BA276" si="293">P264-AZ264</f>
        <v>0</v>
      </c>
      <c r="BB264" s="331">
        <v>0</v>
      </c>
      <c r="BC264" s="308">
        <f t="shared" ref="BC264:BC276" si="294">Q264-BB264</f>
        <v>0</v>
      </c>
    </row>
    <row r="265" spans="1:55">
      <c r="A265" s="301" t="s">
        <v>44</v>
      </c>
      <c r="B265" s="308">
        <f>'Monthly D5 Gallon Data'!$L5</f>
        <v>0</v>
      </c>
      <c r="C265" s="308">
        <f>'Monthly D5 Gallon Data'!$L17</f>
        <v>0</v>
      </c>
      <c r="D265" s="308">
        <f>'Monthly D5 Gallon Data'!$L29</f>
        <v>0</v>
      </c>
      <c r="E265" s="308">
        <f>'Monthly D5 Gallon Data'!$L41</f>
        <v>0</v>
      </c>
      <c r="F265" s="308">
        <f>'Monthly D5 Gallon Data'!$L53</f>
        <v>0</v>
      </c>
      <c r="G265" s="308">
        <f>'Monthly D5 Gallon Data'!$L65</f>
        <v>0</v>
      </c>
      <c r="H265" s="308">
        <f>'Monthly D5 Gallon Data'!$L77</f>
        <v>0</v>
      </c>
      <c r="I265" s="308">
        <f>'Monthly D5 Gallon Data'!$L89</f>
        <v>0</v>
      </c>
      <c r="J265" s="308">
        <f>'Monthly D5 Gallon Data'!$L101</f>
        <v>0</v>
      </c>
      <c r="K265" s="308">
        <f>'Monthly D5 Gallon Data'!$L113</f>
        <v>0</v>
      </c>
      <c r="L265" s="308">
        <f>'Monthly D5 Gallon Data'!$L125</f>
        <v>0</v>
      </c>
      <c r="M265" s="308">
        <f>'Monthly D5 Gallon Data'!$L137</f>
        <v>0</v>
      </c>
      <c r="N265" s="308">
        <f>'Monthly D5 Gallon Data'!$L149</f>
        <v>0</v>
      </c>
      <c r="O265" s="308">
        <f>'Monthly D5 Gallon Data'!$L161</f>
        <v>0</v>
      </c>
      <c r="P265" s="308">
        <f>'Monthly D5 Gallon Data'!$L173</f>
        <v>0</v>
      </c>
      <c r="Q265" s="332">
        <f>'Monthly D5 Gallon Data'!$L185</f>
        <v>0</v>
      </c>
      <c r="R265" s="307">
        <v>0</v>
      </c>
      <c r="S265" s="307">
        <v>0</v>
      </c>
      <c r="T265" s="307">
        <v>0</v>
      </c>
      <c r="U265" s="307">
        <v>0</v>
      </c>
      <c r="V265" s="307">
        <v>0</v>
      </c>
      <c r="W265" s="307">
        <v>0</v>
      </c>
      <c r="X265" s="307">
        <v>0</v>
      </c>
      <c r="Y265" s="307">
        <v>0</v>
      </c>
      <c r="Z265" s="307">
        <v>0</v>
      </c>
      <c r="AA265" s="307">
        <v>0</v>
      </c>
      <c r="AB265" s="307">
        <v>0</v>
      </c>
      <c r="AC265" s="307">
        <v>0</v>
      </c>
      <c r="AD265" s="307">
        <v>0</v>
      </c>
      <c r="AE265" s="307">
        <v>0</v>
      </c>
      <c r="AF265" s="307">
        <v>0</v>
      </c>
      <c r="AG265" s="307">
        <v>0</v>
      </c>
      <c r="AH265" s="307">
        <v>0</v>
      </c>
      <c r="AI265" s="307">
        <v>0</v>
      </c>
      <c r="AJ265" s="307">
        <v>0</v>
      </c>
      <c r="AK265" s="307">
        <v>0</v>
      </c>
      <c r="AL265" s="307">
        <v>0</v>
      </c>
      <c r="AM265" s="307">
        <v>0</v>
      </c>
      <c r="AN265" s="307">
        <v>0</v>
      </c>
      <c r="AO265" s="307">
        <v>0</v>
      </c>
      <c r="AP265" s="307">
        <v>0</v>
      </c>
      <c r="AR265" s="308">
        <v>0</v>
      </c>
      <c r="AS265" s="308">
        <f t="shared" si="289"/>
        <v>0</v>
      </c>
      <c r="AT265" s="308">
        <v>0</v>
      </c>
      <c r="AU265" s="308">
        <f t="shared" si="290"/>
        <v>0</v>
      </c>
      <c r="AV265" s="308">
        <v>0</v>
      </c>
      <c r="AW265" s="308">
        <f t="shared" si="291"/>
        <v>0</v>
      </c>
      <c r="AX265" s="308">
        <v>0</v>
      </c>
      <c r="AY265" s="308">
        <f t="shared" si="292"/>
        <v>0</v>
      </c>
      <c r="AZ265" s="308">
        <v>0</v>
      </c>
      <c r="BA265" s="308">
        <f t="shared" si="293"/>
        <v>0</v>
      </c>
      <c r="BB265" s="331">
        <v>0</v>
      </c>
      <c r="BC265" s="308">
        <f t="shared" si="294"/>
        <v>0</v>
      </c>
    </row>
    <row r="266" spans="1:55">
      <c r="A266" s="301" t="s">
        <v>45</v>
      </c>
      <c r="B266" s="308">
        <f>'Monthly D5 Gallon Data'!$L6</f>
        <v>0</v>
      </c>
      <c r="C266" s="308">
        <f>'Monthly D5 Gallon Data'!$L18</f>
        <v>0</v>
      </c>
      <c r="D266" s="308">
        <f>'Monthly D5 Gallon Data'!$L30</f>
        <v>0</v>
      </c>
      <c r="E266" s="308">
        <f>'Monthly D5 Gallon Data'!$L42</f>
        <v>0</v>
      </c>
      <c r="F266" s="308">
        <f>'Monthly D5 Gallon Data'!$L54</f>
        <v>0</v>
      </c>
      <c r="G266" s="308">
        <f>'Monthly D5 Gallon Data'!$L66</f>
        <v>0</v>
      </c>
      <c r="H266" s="308">
        <f>'Monthly D5 Gallon Data'!$L78</f>
        <v>0</v>
      </c>
      <c r="I266" s="308">
        <f>'Monthly D5 Gallon Data'!$L90</f>
        <v>0</v>
      </c>
      <c r="J266" s="308">
        <f>'Monthly D5 Gallon Data'!$L102</f>
        <v>0</v>
      </c>
      <c r="K266" s="308">
        <f>'Monthly D5 Gallon Data'!$L114</f>
        <v>0</v>
      </c>
      <c r="L266" s="308">
        <f>'Monthly D5 Gallon Data'!$L126</f>
        <v>0</v>
      </c>
      <c r="M266" s="308">
        <f>'Monthly D5 Gallon Data'!$L138</f>
        <v>0</v>
      </c>
      <c r="N266" s="308">
        <f>'Monthly D5 Gallon Data'!$L150</f>
        <v>0</v>
      </c>
      <c r="O266" s="308">
        <f>'Monthly D5 Gallon Data'!$L162</f>
        <v>0</v>
      </c>
      <c r="P266" s="308">
        <f>'Monthly D5 Gallon Data'!$L174</f>
        <v>0</v>
      </c>
      <c r="Q266" s="332">
        <f>'Monthly D5 Gallon Data'!$L186</f>
        <v>0</v>
      </c>
      <c r="R266" s="307">
        <v>0</v>
      </c>
      <c r="S266" s="307">
        <v>0</v>
      </c>
      <c r="T266" s="307">
        <v>0</v>
      </c>
      <c r="U266" s="307">
        <v>0</v>
      </c>
      <c r="V266" s="307">
        <v>0</v>
      </c>
      <c r="W266" s="307">
        <v>0</v>
      </c>
      <c r="X266" s="307">
        <v>0</v>
      </c>
      <c r="Y266" s="307">
        <v>0</v>
      </c>
      <c r="Z266" s="307">
        <v>0</v>
      </c>
      <c r="AA266" s="307">
        <v>0</v>
      </c>
      <c r="AB266" s="307">
        <v>0</v>
      </c>
      <c r="AC266" s="307">
        <v>0</v>
      </c>
      <c r="AD266" s="307">
        <v>0</v>
      </c>
      <c r="AE266" s="307">
        <v>0</v>
      </c>
      <c r="AF266" s="307">
        <v>0</v>
      </c>
      <c r="AG266" s="307">
        <v>0</v>
      </c>
      <c r="AH266" s="307">
        <v>0</v>
      </c>
      <c r="AI266" s="307">
        <v>0</v>
      </c>
      <c r="AJ266" s="307">
        <v>0</v>
      </c>
      <c r="AK266" s="307">
        <v>0</v>
      </c>
      <c r="AL266" s="307">
        <v>0</v>
      </c>
      <c r="AM266" s="307">
        <v>0</v>
      </c>
      <c r="AN266" s="307">
        <v>0</v>
      </c>
      <c r="AO266" s="307">
        <v>0</v>
      </c>
      <c r="AP266" s="307">
        <v>0</v>
      </c>
      <c r="AR266" s="308">
        <v>0</v>
      </c>
      <c r="AS266" s="308">
        <f t="shared" si="289"/>
        <v>0</v>
      </c>
      <c r="AT266" s="308">
        <v>0</v>
      </c>
      <c r="AU266" s="308">
        <f t="shared" si="290"/>
        <v>0</v>
      </c>
      <c r="AV266" s="308">
        <v>0</v>
      </c>
      <c r="AW266" s="308">
        <f t="shared" si="291"/>
        <v>0</v>
      </c>
      <c r="AX266" s="308">
        <v>0</v>
      </c>
      <c r="AY266" s="308">
        <f t="shared" si="292"/>
        <v>0</v>
      </c>
      <c r="AZ266" s="308">
        <v>0</v>
      </c>
      <c r="BA266" s="308">
        <f t="shared" si="293"/>
        <v>0</v>
      </c>
      <c r="BB266" s="331">
        <v>0</v>
      </c>
      <c r="BC266" s="308">
        <f t="shared" si="294"/>
        <v>0</v>
      </c>
    </row>
    <row r="267" spans="1:55">
      <c r="A267" s="301" t="s">
        <v>46</v>
      </c>
      <c r="B267" s="308">
        <f>'Monthly D5 Gallon Data'!$L7</f>
        <v>0</v>
      </c>
      <c r="C267" s="308">
        <f>'Monthly D5 Gallon Data'!$L19</f>
        <v>0</v>
      </c>
      <c r="D267" s="308">
        <f>'Monthly D5 Gallon Data'!$L31</f>
        <v>0</v>
      </c>
      <c r="E267" s="308">
        <f>'Monthly D5 Gallon Data'!$L43</f>
        <v>0</v>
      </c>
      <c r="F267" s="308">
        <f>'Monthly D5 Gallon Data'!$L55</f>
        <v>0</v>
      </c>
      <c r="G267" s="308">
        <f>'Monthly D5 Gallon Data'!$L67</f>
        <v>0</v>
      </c>
      <c r="H267" s="308">
        <f>'Monthly D5 Gallon Data'!$L79</f>
        <v>0</v>
      </c>
      <c r="I267" s="308">
        <f>'Monthly D5 Gallon Data'!$L91</f>
        <v>0</v>
      </c>
      <c r="J267" s="308">
        <f>'Monthly D5 Gallon Data'!$L103</f>
        <v>0</v>
      </c>
      <c r="K267" s="308">
        <f>'Monthly D5 Gallon Data'!$L115</f>
        <v>0</v>
      </c>
      <c r="L267" s="308">
        <f>'Monthly D5 Gallon Data'!$L127</f>
        <v>0</v>
      </c>
      <c r="M267" s="308">
        <f>'Monthly D5 Gallon Data'!$L139</f>
        <v>0</v>
      </c>
      <c r="N267" s="308">
        <f>'Monthly D5 Gallon Data'!$L151</f>
        <v>0</v>
      </c>
      <c r="O267" s="308">
        <f>'Monthly D5 Gallon Data'!$L163</f>
        <v>0</v>
      </c>
      <c r="P267" s="308">
        <f>'Monthly D5 Gallon Data'!$L175</f>
        <v>0</v>
      </c>
      <c r="Q267" s="307">
        <v>0</v>
      </c>
      <c r="R267" s="307">
        <v>0</v>
      </c>
      <c r="S267" s="307">
        <v>0</v>
      </c>
      <c r="T267" s="307">
        <v>0</v>
      </c>
      <c r="U267" s="307">
        <v>0</v>
      </c>
      <c r="V267" s="307">
        <v>0</v>
      </c>
      <c r="W267" s="307">
        <v>0</v>
      </c>
      <c r="X267" s="307">
        <v>0</v>
      </c>
      <c r="Y267" s="307">
        <v>0</v>
      </c>
      <c r="Z267" s="307">
        <v>0</v>
      </c>
      <c r="AA267" s="307">
        <v>0</v>
      </c>
      <c r="AB267" s="307">
        <v>0</v>
      </c>
      <c r="AC267" s="307">
        <v>0</v>
      </c>
      <c r="AD267" s="307">
        <v>0</v>
      </c>
      <c r="AE267" s="307">
        <v>0</v>
      </c>
      <c r="AF267" s="307">
        <v>0</v>
      </c>
      <c r="AG267" s="307">
        <v>0</v>
      </c>
      <c r="AH267" s="307">
        <v>0</v>
      </c>
      <c r="AI267" s="307">
        <v>0</v>
      </c>
      <c r="AJ267" s="307">
        <v>0</v>
      </c>
      <c r="AK267" s="307">
        <v>0</v>
      </c>
      <c r="AL267" s="307">
        <v>0</v>
      </c>
      <c r="AM267" s="307">
        <v>0</v>
      </c>
      <c r="AN267" s="307">
        <v>0</v>
      </c>
      <c r="AO267" s="307">
        <v>0</v>
      </c>
      <c r="AP267" s="307">
        <v>0</v>
      </c>
      <c r="AR267" s="308">
        <v>0</v>
      </c>
      <c r="AS267" s="308">
        <f t="shared" si="289"/>
        <v>0</v>
      </c>
      <c r="AT267" s="308">
        <v>0</v>
      </c>
      <c r="AU267" s="308">
        <f t="shared" si="290"/>
        <v>0</v>
      </c>
      <c r="AV267" s="308">
        <v>0</v>
      </c>
      <c r="AW267" s="308">
        <f t="shared" si="291"/>
        <v>0</v>
      </c>
      <c r="AX267" s="308">
        <v>0</v>
      </c>
      <c r="AY267" s="308">
        <f t="shared" si="292"/>
        <v>0</v>
      </c>
      <c r="AZ267" s="308">
        <v>0</v>
      </c>
      <c r="BA267" s="308">
        <f t="shared" si="293"/>
        <v>0</v>
      </c>
      <c r="BB267" s="331">
        <v>0</v>
      </c>
      <c r="BC267" s="308">
        <f t="shared" si="294"/>
        <v>0</v>
      </c>
    </row>
    <row r="268" spans="1:55">
      <c r="A268" s="301" t="s">
        <v>47</v>
      </c>
      <c r="B268" s="308">
        <f>'Monthly D5 Gallon Data'!$L8</f>
        <v>0</v>
      </c>
      <c r="C268" s="308">
        <f>'Monthly D5 Gallon Data'!$L20</f>
        <v>0</v>
      </c>
      <c r="D268" s="308">
        <f>'Monthly D5 Gallon Data'!$L32</f>
        <v>0</v>
      </c>
      <c r="E268" s="308">
        <f>'Monthly D5 Gallon Data'!$L44</f>
        <v>0</v>
      </c>
      <c r="F268" s="308">
        <f>'Monthly D5 Gallon Data'!$L56</f>
        <v>0</v>
      </c>
      <c r="G268" s="308">
        <f>'Monthly D5 Gallon Data'!$L68</f>
        <v>0</v>
      </c>
      <c r="H268" s="308">
        <f>'Monthly D5 Gallon Data'!$L80</f>
        <v>0</v>
      </c>
      <c r="I268" s="308">
        <f>'Monthly D5 Gallon Data'!$L92</f>
        <v>0</v>
      </c>
      <c r="J268" s="308">
        <f>'Monthly D5 Gallon Data'!$L104</f>
        <v>0</v>
      </c>
      <c r="K268" s="308">
        <f>'Monthly D5 Gallon Data'!$L116</f>
        <v>0</v>
      </c>
      <c r="L268" s="308">
        <f>'Monthly D5 Gallon Data'!$L128</f>
        <v>0</v>
      </c>
      <c r="M268" s="308">
        <f>'Monthly D5 Gallon Data'!$L140</f>
        <v>0</v>
      </c>
      <c r="N268" s="308">
        <f>'Monthly D5 Gallon Data'!$L152</f>
        <v>0</v>
      </c>
      <c r="O268" s="308">
        <f>'Monthly D5 Gallon Data'!$L164</f>
        <v>0</v>
      </c>
      <c r="P268" s="308">
        <f>'Monthly D5 Gallon Data'!$L176</f>
        <v>0</v>
      </c>
      <c r="Q268" s="307">
        <v>0</v>
      </c>
      <c r="R268" s="307">
        <v>0</v>
      </c>
      <c r="S268" s="307">
        <v>0</v>
      </c>
      <c r="T268" s="307">
        <v>0</v>
      </c>
      <c r="U268" s="307">
        <v>0</v>
      </c>
      <c r="V268" s="307">
        <v>0</v>
      </c>
      <c r="W268" s="307">
        <v>0</v>
      </c>
      <c r="X268" s="307">
        <v>0</v>
      </c>
      <c r="Y268" s="307">
        <v>0</v>
      </c>
      <c r="Z268" s="307">
        <v>0</v>
      </c>
      <c r="AA268" s="307">
        <v>0</v>
      </c>
      <c r="AB268" s="307">
        <v>0</v>
      </c>
      <c r="AC268" s="307">
        <v>0</v>
      </c>
      <c r="AD268" s="307">
        <v>0</v>
      </c>
      <c r="AE268" s="307">
        <v>0</v>
      </c>
      <c r="AF268" s="307">
        <v>0</v>
      </c>
      <c r="AG268" s="307">
        <v>0</v>
      </c>
      <c r="AH268" s="307">
        <v>0</v>
      </c>
      <c r="AI268" s="307">
        <v>0</v>
      </c>
      <c r="AJ268" s="307">
        <v>0</v>
      </c>
      <c r="AK268" s="307">
        <v>0</v>
      </c>
      <c r="AL268" s="307">
        <v>0</v>
      </c>
      <c r="AM268" s="307">
        <v>0</v>
      </c>
      <c r="AN268" s="307">
        <v>0</v>
      </c>
      <c r="AO268" s="307">
        <v>0</v>
      </c>
      <c r="AP268" s="307">
        <v>0</v>
      </c>
      <c r="AR268" s="308">
        <v>0</v>
      </c>
      <c r="AS268" s="308">
        <f t="shared" si="289"/>
        <v>0</v>
      </c>
      <c r="AT268" s="308">
        <v>0</v>
      </c>
      <c r="AU268" s="308">
        <f t="shared" si="290"/>
        <v>0</v>
      </c>
      <c r="AV268" s="308">
        <v>0</v>
      </c>
      <c r="AW268" s="308">
        <f t="shared" si="291"/>
        <v>0</v>
      </c>
      <c r="AX268" s="308">
        <v>0</v>
      </c>
      <c r="AY268" s="308">
        <f t="shared" si="292"/>
        <v>0</v>
      </c>
      <c r="AZ268" s="308">
        <v>0</v>
      </c>
      <c r="BA268" s="308">
        <f t="shared" si="293"/>
        <v>0</v>
      </c>
      <c r="BB268" s="331">
        <v>0</v>
      </c>
      <c r="BC268" s="308">
        <f t="shared" si="294"/>
        <v>0</v>
      </c>
    </row>
    <row r="269" spans="1:55">
      <c r="A269" s="301" t="s">
        <v>48</v>
      </c>
      <c r="B269" s="308">
        <f>'Monthly D5 Gallon Data'!$L9</f>
        <v>0</v>
      </c>
      <c r="C269" s="308">
        <f>'Monthly D5 Gallon Data'!$L21</f>
        <v>0</v>
      </c>
      <c r="D269" s="308">
        <f>'Monthly D5 Gallon Data'!$L33</f>
        <v>0</v>
      </c>
      <c r="E269" s="308">
        <f>'Monthly D5 Gallon Data'!$L45</f>
        <v>0</v>
      </c>
      <c r="F269" s="308">
        <f>'Monthly D5 Gallon Data'!$L57</f>
        <v>0</v>
      </c>
      <c r="G269" s="308">
        <f>'Monthly D5 Gallon Data'!$L69</f>
        <v>0</v>
      </c>
      <c r="H269" s="308">
        <f>'Monthly D5 Gallon Data'!$L81</f>
        <v>0</v>
      </c>
      <c r="I269" s="308">
        <f>'Monthly D5 Gallon Data'!$L93</f>
        <v>0</v>
      </c>
      <c r="J269" s="308">
        <f>'Monthly D5 Gallon Data'!$L105</f>
        <v>0</v>
      </c>
      <c r="K269" s="308">
        <f>'Monthly D5 Gallon Data'!$L117</f>
        <v>0</v>
      </c>
      <c r="L269" s="308">
        <f>'Monthly D5 Gallon Data'!$L129</f>
        <v>0</v>
      </c>
      <c r="M269" s="308">
        <f>'Monthly D5 Gallon Data'!$L141</f>
        <v>0</v>
      </c>
      <c r="N269" s="308">
        <f>'Monthly D5 Gallon Data'!$L153</f>
        <v>0</v>
      </c>
      <c r="O269" s="308">
        <f>'Monthly D5 Gallon Data'!$L165</f>
        <v>0</v>
      </c>
      <c r="P269" s="308">
        <f>'Monthly D5 Gallon Data'!$L177</f>
        <v>0</v>
      </c>
      <c r="Q269" s="307">
        <v>0</v>
      </c>
      <c r="R269" s="307">
        <v>0</v>
      </c>
      <c r="S269" s="307">
        <v>0</v>
      </c>
      <c r="T269" s="307">
        <v>0</v>
      </c>
      <c r="U269" s="307">
        <v>0</v>
      </c>
      <c r="V269" s="307">
        <v>0</v>
      </c>
      <c r="W269" s="307">
        <v>0</v>
      </c>
      <c r="X269" s="307">
        <v>0</v>
      </c>
      <c r="Y269" s="307">
        <v>0</v>
      </c>
      <c r="Z269" s="307">
        <v>0</v>
      </c>
      <c r="AA269" s="307">
        <v>0</v>
      </c>
      <c r="AB269" s="307">
        <v>0</v>
      </c>
      <c r="AC269" s="307">
        <v>0</v>
      </c>
      <c r="AD269" s="307">
        <v>0</v>
      </c>
      <c r="AE269" s="307">
        <v>0</v>
      </c>
      <c r="AF269" s="307">
        <v>0</v>
      </c>
      <c r="AG269" s="307">
        <v>0</v>
      </c>
      <c r="AH269" s="307">
        <v>0</v>
      </c>
      <c r="AI269" s="307">
        <v>0</v>
      </c>
      <c r="AJ269" s="307">
        <v>0</v>
      </c>
      <c r="AK269" s="307">
        <v>0</v>
      </c>
      <c r="AL269" s="307">
        <v>0</v>
      </c>
      <c r="AM269" s="307">
        <v>0</v>
      </c>
      <c r="AN269" s="307">
        <v>0</v>
      </c>
      <c r="AO269" s="307">
        <v>0</v>
      </c>
      <c r="AP269" s="307">
        <v>0</v>
      </c>
      <c r="AR269" s="308">
        <v>0</v>
      </c>
      <c r="AS269" s="308">
        <f t="shared" si="289"/>
        <v>0</v>
      </c>
      <c r="AT269" s="308">
        <v>0</v>
      </c>
      <c r="AU269" s="308">
        <f t="shared" si="290"/>
        <v>0</v>
      </c>
      <c r="AV269" s="308">
        <v>0</v>
      </c>
      <c r="AW269" s="308">
        <f t="shared" si="291"/>
        <v>0</v>
      </c>
      <c r="AX269" s="308">
        <v>0</v>
      </c>
      <c r="AY269" s="308">
        <f t="shared" si="292"/>
        <v>0</v>
      </c>
      <c r="AZ269" s="308">
        <v>0</v>
      </c>
      <c r="BA269" s="308">
        <f t="shared" si="293"/>
        <v>0</v>
      </c>
      <c r="BB269" s="331">
        <v>0</v>
      </c>
      <c r="BC269" s="308">
        <f t="shared" si="294"/>
        <v>0</v>
      </c>
    </row>
    <row r="270" spans="1:55">
      <c r="A270" s="301" t="s">
        <v>49</v>
      </c>
      <c r="B270" s="308">
        <f>'Monthly D5 Gallon Data'!$L10</f>
        <v>0</v>
      </c>
      <c r="C270" s="308">
        <f>'Monthly D5 Gallon Data'!$L22</f>
        <v>0</v>
      </c>
      <c r="D270" s="308">
        <f>'Monthly D5 Gallon Data'!$L34</f>
        <v>0</v>
      </c>
      <c r="E270" s="308">
        <f>'Monthly D5 Gallon Data'!$L46</f>
        <v>0</v>
      </c>
      <c r="F270" s="308">
        <f>'Monthly D5 Gallon Data'!$L58</f>
        <v>0</v>
      </c>
      <c r="G270" s="308">
        <f>'Monthly D5 Gallon Data'!$L70</f>
        <v>0</v>
      </c>
      <c r="H270" s="308">
        <f>'Monthly D5 Gallon Data'!$L82</f>
        <v>0</v>
      </c>
      <c r="I270" s="308">
        <f>'Monthly D5 Gallon Data'!$L94</f>
        <v>0</v>
      </c>
      <c r="J270" s="308">
        <f>'Monthly D5 Gallon Data'!$L106</f>
        <v>0</v>
      </c>
      <c r="K270" s="308">
        <f>'Monthly D5 Gallon Data'!$L118</f>
        <v>0</v>
      </c>
      <c r="L270" s="308">
        <f>'Monthly D5 Gallon Data'!$L130</f>
        <v>0</v>
      </c>
      <c r="M270" s="308">
        <f>'Monthly D5 Gallon Data'!$L142</f>
        <v>0</v>
      </c>
      <c r="N270" s="308">
        <f>'Monthly D5 Gallon Data'!$L154</f>
        <v>0</v>
      </c>
      <c r="O270" s="308">
        <f>'Monthly D5 Gallon Data'!$L166</f>
        <v>0</v>
      </c>
      <c r="P270" s="308">
        <f>'Monthly D5 Gallon Data'!$L178</f>
        <v>0</v>
      </c>
      <c r="Q270" s="307">
        <v>0</v>
      </c>
      <c r="R270" s="307">
        <v>0</v>
      </c>
      <c r="S270" s="307">
        <v>0</v>
      </c>
      <c r="T270" s="307">
        <v>0</v>
      </c>
      <c r="U270" s="307">
        <v>0</v>
      </c>
      <c r="V270" s="307">
        <v>0</v>
      </c>
      <c r="W270" s="307">
        <v>0</v>
      </c>
      <c r="X270" s="307">
        <v>0</v>
      </c>
      <c r="Y270" s="307">
        <v>0</v>
      </c>
      <c r="Z270" s="307">
        <v>0</v>
      </c>
      <c r="AA270" s="307">
        <v>0</v>
      </c>
      <c r="AB270" s="307">
        <v>0</v>
      </c>
      <c r="AC270" s="307">
        <v>0</v>
      </c>
      <c r="AD270" s="307">
        <v>0</v>
      </c>
      <c r="AE270" s="307">
        <v>0</v>
      </c>
      <c r="AF270" s="307">
        <v>0</v>
      </c>
      <c r="AG270" s="307">
        <v>0</v>
      </c>
      <c r="AH270" s="307">
        <v>0</v>
      </c>
      <c r="AI270" s="307">
        <v>0</v>
      </c>
      <c r="AJ270" s="307">
        <v>0</v>
      </c>
      <c r="AK270" s="307">
        <v>0</v>
      </c>
      <c r="AL270" s="307">
        <v>0</v>
      </c>
      <c r="AM270" s="307">
        <v>0</v>
      </c>
      <c r="AN270" s="307">
        <v>0</v>
      </c>
      <c r="AO270" s="307">
        <v>0</v>
      </c>
      <c r="AP270" s="307">
        <v>0</v>
      </c>
      <c r="AR270" s="308">
        <v>0</v>
      </c>
      <c r="AS270" s="308">
        <f t="shared" si="289"/>
        <v>0</v>
      </c>
      <c r="AT270" s="308">
        <v>0</v>
      </c>
      <c r="AU270" s="308">
        <f t="shared" si="290"/>
        <v>0</v>
      </c>
      <c r="AV270" s="308">
        <v>0</v>
      </c>
      <c r="AW270" s="308">
        <f t="shared" si="291"/>
        <v>0</v>
      </c>
      <c r="AX270" s="308">
        <v>0</v>
      </c>
      <c r="AY270" s="308">
        <f t="shared" si="292"/>
        <v>0</v>
      </c>
      <c r="AZ270" s="309">
        <v>0</v>
      </c>
      <c r="BA270" s="308">
        <f t="shared" si="293"/>
        <v>0</v>
      </c>
      <c r="BB270" s="331">
        <v>0</v>
      </c>
      <c r="BC270" s="308">
        <f t="shared" si="294"/>
        <v>0</v>
      </c>
    </row>
    <row r="271" spans="1:55">
      <c r="A271" s="301" t="s">
        <v>50</v>
      </c>
      <c r="B271" s="308">
        <f>'Monthly D5 Gallon Data'!$L11</f>
        <v>0</v>
      </c>
      <c r="C271" s="308">
        <f>'Monthly D5 Gallon Data'!$L23</f>
        <v>0</v>
      </c>
      <c r="D271" s="308">
        <f>'Monthly D5 Gallon Data'!$L35</f>
        <v>0</v>
      </c>
      <c r="E271" s="308">
        <f>'Monthly D5 Gallon Data'!$L47</f>
        <v>0</v>
      </c>
      <c r="F271" s="308">
        <f>'Monthly D5 Gallon Data'!$L59</f>
        <v>0</v>
      </c>
      <c r="G271" s="308">
        <f>'Monthly D5 Gallon Data'!$L71</f>
        <v>0</v>
      </c>
      <c r="H271" s="308">
        <f>'Monthly D5 Gallon Data'!$L83</f>
        <v>0</v>
      </c>
      <c r="I271" s="308">
        <f>'Monthly D5 Gallon Data'!$L95</f>
        <v>0</v>
      </c>
      <c r="J271" s="308">
        <f>'Monthly D5 Gallon Data'!$L107</f>
        <v>0</v>
      </c>
      <c r="K271" s="308">
        <f>'Monthly D5 Gallon Data'!$L119</f>
        <v>0</v>
      </c>
      <c r="L271" s="308">
        <f>'Monthly D5 Gallon Data'!$L131</f>
        <v>0</v>
      </c>
      <c r="M271" s="308">
        <f>'Monthly D5 Gallon Data'!$L143</f>
        <v>0</v>
      </c>
      <c r="N271" s="308">
        <f>'Monthly D5 Gallon Data'!$L155</f>
        <v>0</v>
      </c>
      <c r="O271" s="308">
        <f>'Monthly D5 Gallon Data'!$L167</f>
        <v>0</v>
      </c>
      <c r="P271" s="308">
        <f>'Monthly D5 Gallon Data'!$L179</f>
        <v>0</v>
      </c>
      <c r="Q271" s="307">
        <v>0</v>
      </c>
      <c r="R271" s="307">
        <v>0</v>
      </c>
      <c r="S271" s="307">
        <v>0</v>
      </c>
      <c r="T271" s="307">
        <v>0</v>
      </c>
      <c r="U271" s="307">
        <v>0</v>
      </c>
      <c r="V271" s="307">
        <v>0</v>
      </c>
      <c r="W271" s="307">
        <v>0</v>
      </c>
      <c r="X271" s="307">
        <v>0</v>
      </c>
      <c r="Y271" s="307">
        <v>0</v>
      </c>
      <c r="Z271" s="307">
        <v>0</v>
      </c>
      <c r="AA271" s="307">
        <v>0</v>
      </c>
      <c r="AB271" s="307">
        <v>0</v>
      </c>
      <c r="AC271" s="307">
        <v>0</v>
      </c>
      <c r="AD271" s="307">
        <v>0</v>
      </c>
      <c r="AE271" s="307">
        <v>0</v>
      </c>
      <c r="AF271" s="307">
        <v>0</v>
      </c>
      <c r="AG271" s="307">
        <v>0</v>
      </c>
      <c r="AH271" s="307">
        <v>0</v>
      </c>
      <c r="AI271" s="307">
        <v>0</v>
      </c>
      <c r="AJ271" s="307">
        <v>0</v>
      </c>
      <c r="AK271" s="307">
        <v>0</v>
      </c>
      <c r="AL271" s="307">
        <v>0</v>
      </c>
      <c r="AM271" s="307">
        <v>0</v>
      </c>
      <c r="AN271" s="307">
        <v>0</v>
      </c>
      <c r="AO271" s="307">
        <v>0</v>
      </c>
      <c r="AP271" s="307">
        <v>0</v>
      </c>
      <c r="AR271" s="308">
        <v>0</v>
      </c>
      <c r="AS271" s="308">
        <f t="shared" si="289"/>
        <v>0</v>
      </c>
      <c r="AT271" s="308">
        <v>0</v>
      </c>
      <c r="AU271" s="308">
        <f t="shared" si="290"/>
        <v>0</v>
      </c>
      <c r="AV271" s="308">
        <v>0</v>
      </c>
      <c r="AW271" s="308">
        <f t="shared" si="291"/>
        <v>0</v>
      </c>
      <c r="AX271" s="308">
        <v>0</v>
      </c>
      <c r="AY271" s="308">
        <f t="shared" si="292"/>
        <v>0</v>
      </c>
      <c r="AZ271" s="309">
        <v>0</v>
      </c>
      <c r="BA271" s="308">
        <f t="shared" si="293"/>
        <v>0</v>
      </c>
      <c r="BB271" s="331">
        <v>0</v>
      </c>
      <c r="BC271" s="308">
        <f t="shared" si="294"/>
        <v>0</v>
      </c>
    </row>
    <row r="272" spans="1:55">
      <c r="A272" s="301" t="s">
        <v>51</v>
      </c>
      <c r="B272" s="308">
        <f>'Monthly D5 Gallon Data'!$L12</f>
        <v>0</v>
      </c>
      <c r="C272" s="308">
        <f>'Monthly D5 Gallon Data'!$L24</f>
        <v>0</v>
      </c>
      <c r="D272" s="308">
        <f>'Monthly D5 Gallon Data'!$L36</f>
        <v>0</v>
      </c>
      <c r="E272" s="308">
        <f>'Monthly D5 Gallon Data'!$L48</f>
        <v>0</v>
      </c>
      <c r="F272" s="308">
        <f>'Monthly D5 Gallon Data'!$L60</f>
        <v>0</v>
      </c>
      <c r="G272" s="308">
        <f>'Monthly D5 Gallon Data'!$L72</f>
        <v>0</v>
      </c>
      <c r="H272" s="308">
        <f>'Monthly D5 Gallon Data'!$L84</f>
        <v>0</v>
      </c>
      <c r="I272" s="308">
        <f>'Monthly D5 Gallon Data'!$L96</f>
        <v>0</v>
      </c>
      <c r="J272" s="308">
        <f>'Monthly D5 Gallon Data'!$L108</f>
        <v>0</v>
      </c>
      <c r="K272" s="308">
        <f>'Monthly D5 Gallon Data'!$L120</f>
        <v>0</v>
      </c>
      <c r="L272" s="308">
        <f>'Monthly D5 Gallon Data'!$L132</f>
        <v>0</v>
      </c>
      <c r="M272" s="308">
        <f>'Monthly D5 Gallon Data'!$L144</f>
        <v>0</v>
      </c>
      <c r="N272" s="308">
        <f>'Monthly D5 Gallon Data'!$L156</f>
        <v>0</v>
      </c>
      <c r="O272" s="308">
        <f>'Monthly D5 Gallon Data'!$L168</f>
        <v>0</v>
      </c>
      <c r="P272" s="308">
        <f>'Monthly D5 Gallon Data'!$L180</f>
        <v>0</v>
      </c>
      <c r="Q272" s="307">
        <v>0</v>
      </c>
      <c r="R272" s="307">
        <v>0</v>
      </c>
      <c r="S272" s="307">
        <v>0</v>
      </c>
      <c r="T272" s="307">
        <v>0</v>
      </c>
      <c r="U272" s="307">
        <v>0</v>
      </c>
      <c r="V272" s="307">
        <v>0</v>
      </c>
      <c r="W272" s="307">
        <v>0</v>
      </c>
      <c r="X272" s="307">
        <v>0</v>
      </c>
      <c r="Y272" s="307">
        <v>0</v>
      </c>
      <c r="Z272" s="307">
        <v>0</v>
      </c>
      <c r="AA272" s="307">
        <v>0</v>
      </c>
      <c r="AB272" s="307">
        <v>0</v>
      </c>
      <c r="AC272" s="307">
        <v>0</v>
      </c>
      <c r="AD272" s="307">
        <v>0</v>
      </c>
      <c r="AE272" s="307">
        <v>0</v>
      </c>
      <c r="AF272" s="307">
        <v>0</v>
      </c>
      <c r="AG272" s="307">
        <v>0</v>
      </c>
      <c r="AH272" s="307">
        <v>0</v>
      </c>
      <c r="AI272" s="307">
        <v>0</v>
      </c>
      <c r="AJ272" s="307">
        <v>0</v>
      </c>
      <c r="AK272" s="307">
        <v>0</v>
      </c>
      <c r="AL272" s="307">
        <v>0</v>
      </c>
      <c r="AM272" s="307">
        <v>0</v>
      </c>
      <c r="AN272" s="307">
        <v>0</v>
      </c>
      <c r="AO272" s="307">
        <v>0</v>
      </c>
      <c r="AP272" s="307">
        <v>0</v>
      </c>
      <c r="AR272" s="308">
        <v>0</v>
      </c>
      <c r="AS272" s="308">
        <f t="shared" si="289"/>
        <v>0</v>
      </c>
      <c r="AT272" s="308">
        <v>0</v>
      </c>
      <c r="AU272" s="308">
        <f t="shared" si="290"/>
        <v>0</v>
      </c>
      <c r="AV272" s="308">
        <v>0</v>
      </c>
      <c r="AW272" s="308">
        <f t="shared" si="291"/>
        <v>0</v>
      </c>
      <c r="AX272" s="308">
        <v>0</v>
      </c>
      <c r="AY272" s="308">
        <f t="shared" si="292"/>
        <v>0</v>
      </c>
      <c r="AZ272" s="309">
        <v>0</v>
      </c>
      <c r="BA272" s="308">
        <f t="shared" si="293"/>
        <v>0</v>
      </c>
      <c r="BB272" s="331">
        <v>0</v>
      </c>
      <c r="BC272" s="308">
        <f t="shared" si="294"/>
        <v>0</v>
      </c>
    </row>
    <row r="273" spans="1:55">
      <c r="A273" s="301" t="s">
        <v>52</v>
      </c>
      <c r="B273" s="308">
        <f>'Monthly D5 Gallon Data'!$L13</f>
        <v>0</v>
      </c>
      <c r="C273" s="308">
        <f>'Monthly D5 Gallon Data'!$L25</f>
        <v>0</v>
      </c>
      <c r="D273" s="308">
        <f>'Monthly D5 Gallon Data'!$L37</f>
        <v>0</v>
      </c>
      <c r="E273" s="308">
        <f>'Monthly D5 Gallon Data'!$L49</f>
        <v>0</v>
      </c>
      <c r="F273" s="308">
        <f>'Monthly D5 Gallon Data'!$L61</f>
        <v>0</v>
      </c>
      <c r="G273" s="308">
        <f>'Monthly D5 Gallon Data'!$L73</f>
        <v>0</v>
      </c>
      <c r="H273" s="308">
        <f>'Monthly D5 Gallon Data'!$L85</f>
        <v>0</v>
      </c>
      <c r="I273" s="308">
        <f>'Monthly D5 Gallon Data'!$L97</f>
        <v>0</v>
      </c>
      <c r="J273" s="308">
        <f>'Monthly D5 Gallon Data'!$L109</f>
        <v>0</v>
      </c>
      <c r="K273" s="308">
        <f>'Monthly D5 Gallon Data'!$L121</f>
        <v>0</v>
      </c>
      <c r="L273" s="308">
        <f>'Monthly D5 Gallon Data'!$L133</f>
        <v>0</v>
      </c>
      <c r="M273" s="308">
        <f>'Monthly D5 Gallon Data'!$L145</f>
        <v>0</v>
      </c>
      <c r="N273" s="308">
        <f>'Monthly D5 Gallon Data'!$L157</f>
        <v>0</v>
      </c>
      <c r="O273" s="308">
        <f>'Monthly D5 Gallon Data'!$L169</f>
        <v>0</v>
      </c>
      <c r="P273" s="308">
        <f>'Monthly D5 Gallon Data'!$L181</f>
        <v>0</v>
      </c>
      <c r="Q273" s="307">
        <v>0</v>
      </c>
      <c r="R273" s="307">
        <v>0</v>
      </c>
      <c r="S273" s="307">
        <v>0</v>
      </c>
      <c r="T273" s="307">
        <v>0</v>
      </c>
      <c r="U273" s="307">
        <v>0</v>
      </c>
      <c r="V273" s="307">
        <v>0</v>
      </c>
      <c r="W273" s="307">
        <v>0</v>
      </c>
      <c r="X273" s="307">
        <v>0</v>
      </c>
      <c r="Y273" s="307">
        <v>0</v>
      </c>
      <c r="Z273" s="307">
        <v>0</v>
      </c>
      <c r="AA273" s="307">
        <v>0</v>
      </c>
      <c r="AB273" s="307">
        <v>0</v>
      </c>
      <c r="AC273" s="307">
        <v>0</v>
      </c>
      <c r="AD273" s="307">
        <v>0</v>
      </c>
      <c r="AE273" s="307">
        <v>0</v>
      </c>
      <c r="AF273" s="307">
        <v>0</v>
      </c>
      <c r="AG273" s="307">
        <v>0</v>
      </c>
      <c r="AH273" s="307">
        <v>0</v>
      </c>
      <c r="AI273" s="307">
        <v>0</v>
      </c>
      <c r="AJ273" s="307">
        <v>0</v>
      </c>
      <c r="AK273" s="307">
        <v>0</v>
      </c>
      <c r="AL273" s="307">
        <v>0</v>
      </c>
      <c r="AM273" s="307">
        <v>0</v>
      </c>
      <c r="AN273" s="307">
        <v>0</v>
      </c>
      <c r="AO273" s="307">
        <v>0</v>
      </c>
      <c r="AP273" s="307">
        <v>0</v>
      </c>
      <c r="AR273" s="308">
        <v>0</v>
      </c>
      <c r="AS273" s="308">
        <f t="shared" si="289"/>
        <v>0</v>
      </c>
      <c r="AT273" s="308">
        <v>0</v>
      </c>
      <c r="AU273" s="308">
        <f t="shared" si="290"/>
        <v>0</v>
      </c>
      <c r="AV273" s="308">
        <v>0</v>
      </c>
      <c r="AW273" s="308">
        <f t="shared" si="291"/>
        <v>0</v>
      </c>
      <c r="AX273" s="308">
        <v>0</v>
      </c>
      <c r="AY273" s="308">
        <f t="shared" si="292"/>
        <v>0</v>
      </c>
      <c r="AZ273" s="309">
        <v>0</v>
      </c>
      <c r="BA273" s="308">
        <f t="shared" si="293"/>
        <v>0</v>
      </c>
      <c r="BB273" s="331">
        <v>0</v>
      </c>
      <c r="BC273" s="308">
        <f t="shared" si="294"/>
        <v>0</v>
      </c>
    </row>
    <row r="274" spans="1:55">
      <c r="A274" s="301" t="s">
        <v>53</v>
      </c>
      <c r="B274" s="308">
        <f>'Monthly D5 Gallon Data'!$L14</f>
        <v>0</v>
      </c>
      <c r="C274" s="308">
        <f>'Monthly D5 Gallon Data'!$L26</f>
        <v>0</v>
      </c>
      <c r="D274" s="308">
        <f>'Monthly D5 Gallon Data'!$L38</f>
        <v>0</v>
      </c>
      <c r="E274" s="308">
        <f>'Monthly D5 Gallon Data'!$L50</f>
        <v>0</v>
      </c>
      <c r="F274" s="308">
        <f>'Monthly D5 Gallon Data'!$L62</f>
        <v>0</v>
      </c>
      <c r="G274" s="308">
        <f>'Monthly D5 Gallon Data'!$L74</f>
        <v>0</v>
      </c>
      <c r="H274" s="308">
        <f>'Monthly D5 Gallon Data'!$L86</f>
        <v>0</v>
      </c>
      <c r="I274" s="308">
        <f>'Monthly D5 Gallon Data'!$L98</f>
        <v>0</v>
      </c>
      <c r="J274" s="308">
        <f>'Monthly D5 Gallon Data'!$L110</f>
        <v>0</v>
      </c>
      <c r="K274" s="308">
        <f>'Monthly D5 Gallon Data'!$L122</f>
        <v>0</v>
      </c>
      <c r="L274" s="308">
        <f>'Monthly D5 Gallon Data'!$L134</f>
        <v>0</v>
      </c>
      <c r="M274" s="308">
        <f>'Monthly D5 Gallon Data'!$L146</f>
        <v>0</v>
      </c>
      <c r="N274" s="308">
        <f>'Monthly D5 Gallon Data'!$L158</f>
        <v>0</v>
      </c>
      <c r="O274" s="308">
        <f>'Monthly D5 Gallon Data'!$L170</f>
        <v>0</v>
      </c>
      <c r="P274" s="308">
        <f>'Monthly D5 Gallon Data'!$L182</f>
        <v>0</v>
      </c>
      <c r="Q274" s="307">
        <v>0</v>
      </c>
      <c r="R274" s="307">
        <v>0</v>
      </c>
      <c r="S274" s="307">
        <v>0</v>
      </c>
      <c r="T274" s="307">
        <v>0</v>
      </c>
      <c r="U274" s="307">
        <v>0</v>
      </c>
      <c r="V274" s="307">
        <v>0</v>
      </c>
      <c r="W274" s="307">
        <v>0</v>
      </c>
      <c r="X274" s="307">
        <v>0</v>
      </c>
      <c r="Y274" s="307">
        <v>0</v>
      </c>
      <c r="Z274" s="307">
        <v>0</v>
      </c>
      <c r="AA274" s="307">
        <v>0</v>
      </c>
      <c r="AB274" s="307">
        <v>0</v>
      </c>
      <c r="AC274" s="307">
        <v>0</v>
      </c>
      <c r="AD274" s="307">
        <v>0</v>
      </c>
      <c r="AE274" s="307">
        <v>0</v>
      </c>
      <c r="AF274" s="307">
        <v>0</v>
      </c>
      <c r="AG274" s="307">
        <v>0</v>
      </c>
      <c r="AH274" s="307">
        <v>0</v>
      </c>
      <c r="AI274" s="307">
        <v>0</v>
      </c>
      <c r="AJ274" s="307">
        <v>0</v>
      </c>
      <c r="AK274" s="307">
        <v>0</v>
      </c>
      <c r="AL274" s="307">
        <v>0</v>
      </c>
      <c r="AM274" s="307">
        <v>0</v>
      </c>
      <c r="AN274" s="307">
        <v>0</v>
      </c>
      <c r="AO274" s="307">
        <v>0</v>
      </c>
      <c r="AP274" s="307">
        <v>0</v>
      </c>
      <c r="AR274" s="308">
        <v>0</v>
      </c>
      <c r="AS274" s="308">
        <f t="shared" si="289"/>
        <v>0</v>
      </c>
      <c r="AT274" s="308">
        <v>0</v>
      </c>
      <c r="AU274" s="308">
        <f t="shared" si="290"/>
        <v>0</v>
      </c>
      <c r="AV274" s="308">
        <v>0</v>
      </c>
      <c r="AW274" s="308">
        <f t="shared" si="291"/>
        <v>0</v>
      </c>
      <c r="AX274" s="309">
        <v>0</v>
      </c>
      <c r="AY274" s="308">
        <f t="shared" si="292"/>
        <v>0</v>
      </c>
      <c r="AZ274" s="309">
        <v>0</v>
      </c>
      <c r="BA274" s="308">
        <f t="shared" si="293"/>
        <v>0</v>
      </c>
      <c r="BB274" s="331">
        <v>0</v>
      </c>
      <c r="BC274" s="308">
        <f t="shared" si="294"/>
        <v>0</v>
      </c>
    </row>
    <row r="275" spans="1:55">
      <c r="A275" s="301" t="s">
        <v>54</v>
      </c>
      <c r="B275" s="308">
        <f>'Monthly D5 Gallon Data'!$L15</f>
        <v>0</v>
      </c>
      <c r="C275" s="308">
        <f>'Monthly D5 Gallon Data'!$L27</f>
        <v>0</v>
      </c>
      <c r="D275" s="308">
        <f>'Monthly D5 Gallon Data'!$L39</f>
        <v>0</v>
      </c>
      <c r="E275" s="308">
        <f>'Monthly D5 Gallon Data'!$L51</f>
        <v>0</v>
      </c>
      <c r="F275" s="308">
        <f>'Monthly D5 Gallon Data'!$L63</f>
        <v>0</v>
      </c>
      <c r="G275" s="308">
        <f>'Monthly D5 Gallon Data'!$L75</f>
        <v>0</v>
      </c>
      <c r="H275" s="308">
        <f>'Monthly D5 Gallon Data'!$L87</f>
        <v>0</v>
      </c>
      <c r="I275" s="308">
        <f>'Monthly D5 Gallon Data'!$L99</f>
        <v>0</v>
      </c>
      <c r="J275" s="308">
        <f>'Monthly D5 Gallon Data'!$L111</f>
        <v>0</v>
      </c>
      <c r="K275" s="308">
        <f>'Monthly D5 Gallon Data'!$L123</f>
        <v>0</v>
      </c>
      <c r="L275" s="308">
        <f>'Monthly D5 Gallon Data'!$L135</f>
        <v>0</v>
      </c>
      <c r="M275" s="308">
        <f>'Monthly D5 Gallon Data'!$L147</f>
        <v>0</v>
      </c>
      <c r="N275" s="308">
        <f>'Monthly D5 Gallon Data'!$L159</f>
        <v>0</v>
      </c>
      <c r="O275" s="308">
        <f>'Monthly D5 Gallon Data'!$L171</f>
        <v>0</v>
      </c>
      <c r="P275" s="308">
        <f>'Monthly D5 Gallon Data'!$L183</f>
        <v>0</v>
      </c>
      <c r="Q275" s="307">
        <v>0</v>
      </c>
      <c r="R275" s="307">
        <v>0</v>
      </c>
      <c r="S275" s="307">
        <v>0</v>
      </c>
      <c r="T275" s="307">
        <v>0</v>
      </c>
      <c r="U275" s="307">
        <v>0</v>
      </c>
      <c r="V275" s="307">
        <v>0</v>
      </c>
      <c r="W275" s="307">
        <v>0</v>
      </c>
      <c r="X275" s="307">
        <v>0</v>
      </c>
      <c r="Y275" s="307">
        <v>0</v>
      </c>
      <c r="Z275" s="307">
        <v>0</v>
      </c>
      <c r="AA275" s="307">
        <v>0</v>
      </c>
      <c r="AB275" s="307">
        <v>0</v>
      </c>
      <c r="AC275" s="307">
        <v>0</v>
      </c>
      <c r="AD275" s="307">
        <v>0</v>
      </c>
      <c r="AE275" s="307">
        <v>0</v>
      </c>
      <c r="AF275" s="307">
        <v>0</v>
      </c>
      <c r="AG275" s="307">
        <v>0</v>
      </c>
      <c r="AH275" s="307">
        <v>0</v>
      </c>
      <c r="AI275" s="307">
        <v>0</v>
      </c>
      <c r="AJ275" s="307">
        <v>0</v>
      </c>
      <c r="AK275" s="307">
        <v>0</v>
      </c>
      <c r="AL275" s="307">
        <v>0</v>
      </c>
      <c r="AM275" s="307">
        <v>0</v>
      </c>
      <c r="AN275" s="307">
        <v>0</v>
      </c>
      <c r="AO275" s="307">
        <v>0</v>
      </c>
      <c r="AP275" s="307">
        <v>0</v>
      </c>
      <c r="AR275" s="308">
        <v>0</v>
      </c>
      <c r="AS275" s="308">
        <f t="shared" si="289"/>
        <v>0</v>
      </c>
      <c r="AT275" s="308">
        <v>0</v>
      </c>
      <c r="AU275" s="308">
        <f t="shared" si="290"/>
        <v>0</v>
      </c>
      <c r="AV275" s="308">
        <v>0</v>
      </c>
      <c r="AW275" s="308">
        <f t="shared" si="291"/>
        <v>0</v>
      </c>
      <c r="AX275" s="309">
        <v>0</v>
      </c>
      <c r="AY275" s="308">
        <f t="shared" si="292"/>
        <v>0</v>
      </c>
      <c r="AZ275" s="309">
        <v>0</v>
      </c>
      <c r="BA275" s="308">
        <f t="shared" si="293"/>
        <v>0</v>
      </c>
      <c r="BB275" s="331">
        <v>0</v>
      </c>
      <c r="BC275" s="308">
        <f t="shared" si="294"/>
        <v>0</v>
      </c>
    </row>
    <row r="276" spans="1:55" ht="12" thickBot="1">
      <c r="A276" s="301" t="s">
        <v>29</v>
      </c>
      <c r="B276" s="308">
        <f t="shared" ref="B276:AD276" si="295">SUM(B264:B275)</f>
        <v>0</v>
      </c>
      <c r="C276" s="308">
        <f t="shared" si="295"/>
        <v>0</v>
      </c>
      <c r="D276" s="308">
        <f t="shared" si="295"/>
        <v>0</v>
      </c>
      <c r="E276" s="308">
        <f t="shared" si="295"/>
        <v>0</v>
      </c>
      <c r="F276" s="308">
        <f t="shared" si="295"/>
        <v>0</v>
      </c>
      <c r="G276" s="308">
        <f t="shared" si="295"/>
        <v>0</v>
      </c>
      <c r="H276" s="308">
        <f t="shared" si="295"/>
        <v>0</v>
      </c>
      <c r="I276" s="308">
        <f t="shared" si="295"/>
        <v>0</v>
      </c>
      <c r="J276" s="308">
        <f t="shared" si="295"/>
        <v>0</v>
      </c>
      <c r="K276" s="308">
        <f t="shared" si="295"/>
        <v>0</v>
      </c>
      <c r="L276" s="308">
        <f t="shared" si="295"/>
        <v>0</v>
      </c>
      <c r="M276" s="308">
        <f t="shared" si="295"/>
        <v>0</v>
      </c>
      <c r="N276" s="308">
        <f t="shared" si="295"/>
        <v>0</v>
      </c>
      <c r="O276" s="308">
        <f t="shared" si="295"/>
        <v>0</v>
      </c>
      <c r="P276" s="308">
        <f t="shared" si="295"/>
        <v>0</v>
      </c>
      <c r="Q276" s="307">
        <f t="shared" si="295"/>
        <v>0</v>
      </c>
      <c r="R276" s="307">
        <f t="shared" si="295"/>
        <v>0</v>
      </c>
      <c r="S276" s="307">
        <f t="shared" si="295"/>
        <v>0</v>
      </c>
      <c r="T276" s="307">
        <f t="shared" si="295"/>
        <v>0</v>
      </c>
      <c r="U276" s="307">
        <f t="shared" si="295"/>
        <v>0</v>
      </c>
      <c r="V276" s="307">
        <f t="shared" si="295"/>
        <v>0</v>
      </c>
      <c r="W276" s="307">
        <f t="shared" si="295"/>
        <v>0</v>
      </c>
      <c r="X276" s="307">
        <f t="shared" si="295"/>
        <v>0</v>
      </c>
      <c r="Y276" s="307">
        <f t="shared" si="295"/>
        <v>0</v>
      </c>
      <c r="Z276" s="307">
        <f t="shared" si="295"/>
        <v>0</v>
      </c>
      <c r="AA276" s="307">
        <f t="shared" si="295"/>
        <v>0</v>
      </c>
      <c r="AB276" s="307">
        <f t="shared" si="295"/>
        <v>0</v>
      </c>
      <c r="AC276" s="307">
        <f t="shared" si="295"/>
        <v>0</v>
      </c>
      <c r="AD276" s="307">
        <f t="shared" si="295"/>
        <v>0</v>
      </c>
      <c r="AE276" s="307">
        <f>SUM(AE264:AE275)</f>
        <v>0</v>
      </c>
      <c r="AF276" s="307">
        <f>SUM(AF264:AF275)</f>
        <v>0</v>
      </c>
      <c r="AG276" s="307">
        <f>SUM(AG264:AG275)</f>
        <v>0</v>
      </c>
      <c r="AH276" s="307">
        <f t="shared" ref="AH276:AP276" si="296">SUM(AH264:AH275)</f>
        <v>0</v>
      </c>
      <c r="AI276" s="307">
        <f t="shared" si="296"/>
        <v>0</v>
      </c>
      <c r="AJ276" s="307">
        <f t="shared" si="296"/>
        <v>0</v>
      </c>
      <c r="AK276" s="307">
        <f t="shared" si="296"/>
        <v>0</v>
      </c>
      <c r="AL276" s="307">
        <f t="shared" si="296"/>
        <v>0</v>
      </c>
      <c r="AM276" s="307">
        <f t="shared" si="296"/>
        <v>0</v>
      </c>
      <c r="AN276" s="307">
        <f t="shared" si="296"/>
        <v>0</v>
      </c>
      <c r="AO276" s="307">
        <f t="shared" si="296"/>
        <v>0</v>
      </c>
      <c r="AP276" s="307">
        <f t="shared" si="296"/>
        <v>0</v>
      </c>
      <c r="AR276" s="308">
        <v>0</v>
      </c>
      <c r="AS276" s="308">
        <f t="shared" si="289"/>
        <v>0</v>
      </c>
      <c r="AT276" s="308">
        <v>0</v>
      </c>
      <c r="AU276" s="308">
        <f t="shared" si="290"/>
        <v>0</v>
      </c>
      <c r="AV276" s="308">
        <v>0</v>
      </c>
      <c r="AW276" s="308">
        <f t="shared" si="291"/>
        <v>0</v>
      </c>
      <c r="AX276" s="309">
        <v>0</v>
      </c>
      <c r="AY276" s="308">
        <f t="shared" si="292"/>
        <v>0</v>
      </c>
      <c r="AZ276" s="309">
        <v>0</v>
      </c>
      <c r="BA276" s="308">
        <f t="shared" si="293"/>
        <v>0</v>
      </c>
      <c r="BB276" s="331">
        <v>0</v>
      </c>
      <c r="BC276" s="308">
        <f t="shared" si="294"/>
        <v>0</v>
      </c>
    </row>
    <row r="277" spans="1:55">
      <c r="A277" s="334"/>
      <c r="B277" s="334"/>
      <c r="C277" s="334"/>
      <c r="D277" s="334"/>
      <c r="E277" s="334"/>
      <c r="F277" s="334"/>
      <c r="G277" s="334"/>
      <c r="H277" s="334"/>
      <c r="I277" s="334"/>
      <c r="J277" s="334"/>
      <c r="K277" s="334"/>
      <c r="L277" s="334"/>
      <c r="M277" s="334"/>
      <c r="N277" s="334"/>
      <c r="O277" s="334"/>
      <c r="P277" s="334"/>
      <c r="Q277" s="334"/>
      <c r="R277" s="334"/>
      <c r="S277" s="334"/>
      <c r="T277" s="334"/>
      <c r="U277" s="334"/>
      <c r="V277" s="334"/>
      <c r="W277" s="334"/>
      <c r="X277" s="334"/>
      <c r="Y277" s="334"/>
      <c r="Z277" s="334"/>
      <c r="AA277" s="334"/>
      <c r="AB277" s="334"/>
      <c r="AC277" s="334"/>
      <c r="AD277" s="334"/>
      <c r="AE277" s="334"/>
      <c r="AF277" s="334"/>
      <c r="AG277" s="334"/>
      <c r="AH277" s="334"/>
      <c r="AI277" s="334"/>
      <c r="AJ277" s="334"/>
      <c r="AK277" s="334"/>
      <c r="AL277" s="334"/>
      <c r="AM277" s="334"/>
      <c r="AN277" s="334"/>
      <c r="AO277" s="334"/>
      <c r="AP277" s="334"/>
      <c r="AT277" s="309"/>
    </row>
    <row r="278" spans="1:55" ht="12" thickBot="1">
      <c r="A278" s="300" t="s">
        <v>449</v>
      </c>
      <c r="AT278" s="309"/>
    </row>
    <row r="279" spans="1:55" ht="12" thickBot="1">
      <c r="A279" s="328"/>
      <c r="B279" s="329">
        <f t="shared" ref="B279:AP279" si="297">B2</f>
        <v>2010</v>
      </c>
      <c r="C279" s="329">
        <f t="shared" si="297"/>
        <v>2011</v>
      </c>
      <c r="D279" s="329">
        <f t="shared" si="297"/>
        <v>2012</v>
      </c>
      <c r="E279" s="329">
        <f t="shared" si="297"/>
        <v>2013</v>
      </c>
      <c r="F279" s="329">
        <f t="shared" si="297"/>
        <v>2014</v>
      </c>
      <c r="G279" s="329">
        <f t="shared" si="297"/>
        <v>2015</v>
      </c>
      <c r="H279" s="329">
        <f t="shared" si="297"/>
        <v>2016</v>
      </c>
      <c r="I279" s="329">
        <f t="shared" si="297"/>
        <v>2017</v>
      </c>
      <c r="J279" s="329">
        <f t="shared" si="297"/>
        <v>2018</v>
      </c>
      <c r="K279" s="329">
        <f t="shared" si="297"/>
        <v>2019</v>
      </c>
      <c r="L279" s="329">
        <f t="shared" si="297"/>
        <v>2020</v>
      </c>
      <c r="M279" s="329">
        <f t="shared" si="297"/>
        <v>2021</v>
      </c>
      <c r="N279" s="329">
        <f t="shared" si="297"/>
        <v>2022</v>
      </c>
      <c r="O279" s="329">
        <f t="shared" si="297"/>
        <v>2023</v>
      </c>
      <c r="P279" s="329">
        <f t="shared" si="297"/>
        <v>2024</v>
      </c>
      <c r="Q279" s="329">
        <f t="shared" si="297"/>
        <v>2025</v>
      </c>
      <c r="R279" s="329">
        <f t="shared" si="297"/>
        <v>2026</v>
      </c>
      <c r="S279" s="329">
        <f t="shared" si="297"/>
        <v>2027</v>
      </c>
      <c r="T279" s="329">
        <f t="shared" si="297"/>
        <v>2028</v>
      </c>
      <c r="U279" s="329">
        <f t="shared" si="297"/>
        <v>2029</v>
      </c>
      <c r="V279" s="329">
        <f t="shared" si="297"/>
        <v>2030</v>
      </c>
      <c r="W279" s="329">
        <f t="shared" si="297"/>
        <v>2031</v>
      </c>
      <c r="X279" s="329">
        <f t="shared" si="297"/>
        <v>2032</v>
      </c>
      <c r="Y279" s="329">
        <f t="shared" si="297"/>
        <v>2033</v>
      </c>
      <c r="Z279" s="329">
        <f t="shared" si="297"/>
        <v>2034</v>
      </c>
      <c r="AA279" s="329">
        <f t="shared" si="297"/>
        <v>2035</v>
      </c>
      <c r="AB279" s="329">
        <f t="shared" si="297"/>
        <v>2036</v>
      </c>
      <c r="AC279" s="329">
        <f t="shared" si="297"/>
        <v>2037</v>
      </c>
      <c r="AD279" s="329">
        <f t="shared" si="297"/>
        <v>2038</v>
      </c>
      <c r="AE279" s="329">
        <f t="shared" si="297"/>
        <v>2039</v>
      </c>
      <c r="AF279" s="329">
        <f t="shared" si="297"/>
        <v>2040</v>
      </c>
      <c r="AG279" s="329">
        <f t="shared" si="297"/>
        <v>2041</v>
      </c>
      <c r="AH279" s="329">
        <f t="shared" si="297"/>
        <v>2042</v>
      </c>
      <c r="AI279" s="329">
        <f t="shared" si="297"/>
        <v>2043</v>
      </c>
      <c r="AJ279" s="329">
        <f t="shared" si="297"/>
        <v>2044</v>
      </c>
      <c r="AK279" s="329">
        <f t="shared" si="297"/>
        <v>2045</v>
      </c>
      <c r="AL279" s="329">
        <f t="shared" si="297"/>
        <v>2046</v>
      </c>
      <c r="AM279" s="329">
        <f t="shared" si="297"/>
        <v>2047</v>
      </c>
      <c r="AN279" s="329">
        <f t="shared" si="297"/>
        <v>2048</v>
      </c>
      <c r="AO279" s="329">
        <f t="shared" si="297"/>
        <v>2049</v>
      </c>
      <c r="AP279" s="329">
        <f t="shared" si="297"/>
        <v>2050</v>
      </c>
      <c r="AT279" s="309"/>
    </row>
    <row r="280" spans="1:55">
      <c r="A280" s="301" t="s">
        <v>43</v>
      </c>
      <c r="B280" s="308">
        <f t="shared" ref="B280:AP286" si="298">B312+B328+B296</f>
        <v>0</v>
      </c>
      <c r="C280" s="308">
        <f t="shared" si="298"/>
        <v>0</v>
      </c>
      <c r="D280" s="308">
        <f t="shared" si="298"/>
        <v>0</v>
      </c>
      <c r="E280" s="308">
        <f t="shared" si="298"/>
        <v>0</v>
      </c>
      <c r="F280" s="308">
        <f t="shared" si="298"/>
        <v>898682</v>
      </c>
      <c r="G280" s="308">
        <f t="shared" si="298"/>
        <v>1733383</v>
      </c>
      <c r="H280" s="308">
        <f t="shared" si="298"/>
        <v>1134604</v>
      </c>
      <c r="I280" s="308">
        <f t="shared" si="298"/>
        <v>1752312</v>
      </c>
      <c r="J280" s="308">
        <f t="shared" si="298"/>
        <v>1754449</v>
      </c>
      <c r="K280" s="308">
        <f t="shared" si="298"/>
        <v>1922242</v>
      </c>
      <c r="L280" s="308">
        <f t="shared" si="298"/>
        <v>2027357</v>
      </c>
      <c r="M280" s="308">
        <f t="shared" si="298"/>
        <v>1424788</v>
      </c>
      <c r="N280" s="308">
        <f t="shared" si="298"/>
        <v>4361085</v>
      </c>
      <c r="O280" s="308">
        <f t="shared" si="298"/>
        <v>5194575</v>
      </c>
      <c r="P280" s="308">
        <f t="shared" si="298"/>
        <v>3767995</v>
      </c>
      <c r="Q280" s="308">
        <f t="shared" si="298"/>
        <v>8033156</v>
      </c>
      <c r="R280" s="307">
        <f t="shared" si="298"/>
        <v>6837087.8548127292</v>
      </c>
      <c r="S280" s="307">
        <f t="shared" si="298"/>
        <v>7639519.6932326285</v>
      </c>
      <c r="T280" s="307">
        <f t="shared" si="298"/>
        <v>8215243.8021954428</v>
      </c>
      <c r="U280" s="307">
        <f t="shared" si="298"/>
        <v>7984066.7415056843</v>
      </c>
      <c r="V280" s="307">
        <f t="shared" si="298"/>
        <v>8886450.9659512043</v>
      </c>
      <c r="W280" s="307">
        <f t="shared" si="298"/>
        <v>9749923.0927353427</v>
      </c>
      <c r="X280" s="307">
        <f t="shared" si="298"/>
        <v>10421968.587093849</v>
      </c>
      <c r="Y280" s="307">
        <f t="shared" si="298"/>
        <v>11261506.61223327</v>
      </c>
      <c r="Z280" s="307">
        <f t="shared" si="298"/>
        <v>12240812.651488569</v>
      </c>
      <c r="AA280" s="307">
        <f t="shared" si="298"/>
        <v>12744859.262058347</v>
      </c>
      <c r="AB280" s="307">
        <f t="shared" si="298"/>
        <v>12159458.343973191</v>
      </c>
      <c r="AC280" s="307">
        <f t="shared" si="298"/>
        <v>12349550.856530912</v>
      </c>
      <c r="AD280" s="307">
        <f t="shared" si="298"/>
        <v>12354666.614110947</v>
      </c>
      <c r="AE280" s="307">
        <f t="shared" si="298"/>
        <v>12790590.439393584</v>
      </c>
      <c r="AF280" s="307">
        <f t="shared" si="298"/>
        <v>14348315.285047356</v>
      </c>
      <c r="AG280" s="307">
        <f t="shared" si="298"/>
        <v>14870415.794259068</v>
      </c>
      <c r="AH280" s="307">
        <f t="shared" si="298"/>
        <v>15357093.446114428</v>
      </c>
      <c r="AI280" s="307">
        <f t="shared" si="298"/>
        <v>15880760.125991382</v>
      </c>
      <c r="AJ280" s="307">
        <f t="shared" si="298"/>
        <v>15805808.607044699</v>
      </c>
      <c r="AK280" s="307">
        <f t="shared" si="298"/>
        <v>15419942.565446028</v>
      </c>
      <c r="AL280" s="307">
        <f t="shared" si="298"/>
        <v>16808611.40165244</v>
      </c>
      <c r="AM280" s="307">
        <f t="shared" si="298"/>
        <v>18034671.424965791</v>
      </c>
      <c r="AN280" s="307">
        <f t="shared" si="298"/>
        <v>22189821.091439396</v>
      </c>
      <c r="AO280" s="307">
        <f t="shared" si="298"/>
        <v>26971973.885233689</v>
      </c>
      <c r="AP280" s="307">
        <f t="shared" si="298"/>
        <v>32096031.118498918</v>
      </c>
      <c r="AR280" s="308">
        <v>2360245.4119319292</v>
      </c>
      <c r="AS280" s="308">
        <f t="shared" ref="AS280:AS292" si="299">L280-AR280</f>
        <v>-332888.41193192918</v>
      </c>
      <c r="AT280" s="308">
        <v>2798069.884271414</v>
      </c>
      <c r="AU280" s="308">
        <f t="shared" ref="AU280:AU292" si="300">M280-AT280</f>
        <v>-1373281.884271414</v>
      </c>
      <c r="AV280" s="308">
        <v>3561637.0501633701</v>
      </c>
      <c r="AW280" s="308">
        <f t="shared" ref="AW280:AW292" si="301">N280-AV280</f>
        <v>799447.94983662991</v>
      </c>
      <c r="AX280" s="308">
        <v>6209719.6472983845</v>
      </c>
      <c r="AY280" s="308">
        <f t="shared" ref="AY280:AY292" si="302">O280-AX280</f>
        <v>-1015144.6472983845</v>
      </c>
      <c r="AZ280" s="308">
        <v>3767995</v>
      </c>
      <c r="BA280" s="308">
        <f t="shared" ref="BA280:BA292" si="303">P280-AZ280</f>
        <v>0</v>
      </c>
      <c r="BB280" s="331">
        <v>8033156</v>
      </c>
      <c r="BC280" s="308">
        <f t="shared" ref="BC280:BC292" si="304">Q280-BB280</f>
        <v>0</v>
      </c>
    </row>
    <row r="281" spans="1:55">
      <c r="A281" s="301" t="s">
        <v>44</v>
      </c>
      <c r="B281" s="308">
        <f t="shared" si="298"/>
        <v>0</v>
      </c>
      <c r="C281" s="308">
        <f t="shared" si="298"/>
        <v>0</v>
      </c>
      <c r="D281" s="308">
        <f t="shared" si="298"/>
        <v>0</v>
      </c>
      <c r="E281" s="308">
        <f t="shared" si="298"/>
        <v>0</v>
      </c>
      <c r="F281" s="308">
        <f t="shared" si="298"/>
        <v>889639</v>
      </c>
      <c r="G281" s="308">
        <f t="shared" si="298"/>
        <v>1294131</v>
      </c>
      <c r="H281" s="308">
        <f t="shared" si="298"/>
        <v>547026</v>
      </c>
      <c r="I281" s="308">
        <f t="shared" si="298"/>
        <v>1622317</v>
      </c>
      <c r="J281" s="308">
        <f t="shared" si="298"/>
        <v>1951298</v>
      </c>
      <c r="K281" s="308">
        <f t="shared" si="298"/>
        <v>2289494</v>
      </c>
      <c r="L281" s="308">
        <f t="shared" si="298"/>
        <v>2104018</v>
      </c>
      <c r="M281" s="308">
        <f t="shared" si="298"/>
        <v>1941346</v>
      </c>
      <c r="N281" s="308">
        <f t="shared" si="298"/>
        <v>3814281</v>
      </c>
      <c r="O281" s="308">
        <f t="shared" si="298"/>
        <v>5232456</v>
      </c>
      <c r="P281" s="308">
        <f t="shared" si="298"/>
        <v>4568658</v>
      </c>
      <c r="Q281" s="332">
        <f t="shared" si="298"/>
        <v>9815948</v>
      </c>
      <c r="R281" s="307">
        <f t="shared" si="298"/>
        <v>8383099.7004382219</v>
      </c>
      <c r="S281" s="307">
        <f t="shared" si="298"/>
        <v>9128331.018499814</v>
      </c>
      <c r="T281" s="307">
        <f t="shared" si="298"/>
        <v>9897566.8858290091</v>
      </c>
      <c r="U281" s="307">
        <f t="shared" si="298"/>
        <v>9749443.9983842783</v>
      </c>
      <c r="V281" s="307">
        <f t="shared" si="298"/>
        <v>10700908.87546826</v>
      </c>
      <c r="W281" s="307">
        <f t="shared" si="298"/>
        <v>11628003.553201899</v>
      </c>
      <c r="X281" s="307">
        <f t="shared" si="298"/>
        <v>12356920.587925658</v>
      </c>
      <c r="Y281" s="307">
        <f t="shared" si="298"/>
        <v>13309313.740829794</v>
      </c>
      <c r="Z281" s="307">
        <f t="shared" si="298"/>
        <v>14379826.000037154</v>
      </c>
      <c r="AA281" s="307">
        <f t="shared" si="298"/>
        <v>14935170.290098321</v>
      </c>
      <c r="AB281" s="307">
        <f t="shared" si="298"/>
        <v>14354166.091663335</v>
      </c>
      <c r="AC281" s="307">
        <f t="shared" si="298"/>
        <v>14595122.532729242</v>
      </c>
      <c r="AD281" s="307">
        <f t="shared" si="298"/>
        <v>14642932.321162777</v>
      </c>
      <c r="AE281" s="307">
        <f t="shared" si="298"/>
        <v>15138238.465458408</v>
      </c>
      <c r="AF281" s="307">
        <f t="shared" si="298"/>
        <v>16811479.910424687</v>
      </c>
      <c r="AG281" s="307">
        <f t="shared" si="298"/>
        <v>17398642.625314236</v>
      </c>
      <c r="AH281" s="307">
        <f t="shared" si="298"/>
        <v>17949336.819039427</v>
      </c>
      <c r="AI281" s="307">
        <f t="shared" si="298"/>
        <v>18538364.418097973</v>
      </c>
      <c r="AJ281" s="307">
        <f t="shared" si="298"/>
        <v>18497265.470434241</v>
      </c>
      <c r="AK281" s="307">
        <f t="shared" si="298"/>
        <v>18129546.08111107</v>
      </c>
      <c r="AL281" s="307">
        <f t="shared" si="298"/>
        <v>20054017.230248868</v>
      </c>
      <c r="AM281" s="307">
        <f t="shared" si="298"/>
        <v>21533812.309292983</v>
      </c>
      <c r="AN281" s="307">
        <f t="shared" si="298"/>
        <v>26092500.061813191</v>
      </c>
      <c r="AO281" s="307">
        <f t="shared" si="298"/>
        <v>31405537.682336405</v>
      </c>
      <c r="AP281" s="307">
        <f t="shared" si="298"/>
        <v>37745898.33454974</v>
      </c>
      <c r="AR281" s="308">
        <v>1953688.9857039435</v>
      </c>
      <c r="AS281" s="308">
        <f t="shared" si="299"/>
        <v>150329.01429605647</v>
      </c>
      <c r="AT281" s="308">
        <v>2693130.1337867538</v>
      </c>
      <c r="AU281" s="308">
        <f t="shared" si="300"/>
        <v>-751784.13378675375</v>
      </c>
      <c r="AV281" s="308">
        <v>2405815.4649291928</v>
      </c>
      <c r="AW281" s="308">
        <f t="shared" si="301"/>
        <v>1408465.5350708072</v>
      </c>
      <c r="AX281" s="308">
        <v>6117045.1263088901</v>
      </c>
      <c r="AY281" s="308">
        <f t="shared" si="302"/>
        <v>-884589.12630889006</v>
      </c>
      <c r="AZ281" s="308">
        <v>4568658</v>
      </c>
      <c r="BA281" s="308">
        <f t="shared" si="303"/>
        <v>0</v>
      </c>
      <c r="BB281" s="331">
        <v>9815948</v>
      </c>
      <c r="BC281" s="308">
        <f t="shared" si="304"/>
        <v>0</v>
      </c>
    </row>
    <row r="282" spans="1:55">
      <c r="A282" s="301" t="s">
        <v>45</v>
      </c>
      <c r="B282" s="308">
        <f t="shared" si="298"/>
        <v>0</v>
      </c>
      <c r="C282" s="308">
        <f t="shared" si="298"/>
        <v>0</v>
      </c>
      <c r="D282" s="308">
        <f t="shared" si="298"/>
        <v>0</v>
      </c>
      <c r="E282" s="308">
        <f t="shared" si="298"/>
        <v>0</v>
      </c>
      <c r="F282" s="308">
        <f t="shared" si="298"/>
        <v>1007018</v>
      </c>
      <c r="G282" s="308">
        <f t="shared" si="298"/>
        <v>1095686</v>
      </c>
      <c r="H282" s="308">
        <f t="shared" si="298"/>
        <v>1086408</v>
      </c>
      <c r="I282" s="308">
        <f t="shared" si="298"/>
        <v>895275</v>
      </c>
      <c r="J282" s="308">
        <f t="shared" si="298"/>
        <v>2374590</v>
      </c>
      <c r="K282" s="308">
        <f t="shared" si="298"/>
        <v>1938116</v>
      </c>
      <c r="L282" s="308">
        <f t="shared" si="298"/>
        <v>2071831</v>
      </c>
      <c r="M282" s="308">
        <f t="shared" si="298"/>
        <v>1489953</v>
      </c>
      <c r="N282" s="308">
        <f t="shared" si="298"/>
        <v>4695932</v>
      </c>
      <c r="O282" s="308">
        <f t="shared" si="298"/>
        <v>4392760</v>
      </c>
      <c r="P282" s="308">
        <f t="shared" si="298"/>
        <v>2987184</v>
      </c>
      <c r="Q282" s="332">
        <f t="shared" si="298"/>
        <v>7651665</v>
      </c>
      <c r="R282" s="307">
        <f t="shared" si="298"/>
        <v>6727431.3924280293</v>
      </c>
      <c r="S282" s="307">
        <f t="shared" si="298"/>
        <v>7408173.5480864011</v>
      </c>
      <c r="T282" s="307">
        <f t="shared" si="298"/>
        <v>7708292.1532918587</v>
      </c>
      <c r="U282" s="307">
        <f t="shared" si="298"/>
        <v>7550388.4547175542</v>
      </c>
      <c r="V282" s="307">
        <f t="shared" si="298"/>
        <v>8480268.2622583378</v>
      </c>
      <c r="W282" s="307">
        <f t="shared" si="298"/>
        <v>9263616.2331816144</v>
      </c>
      <c r="X282" s="307">
        <f t="shared" si="298"/>
        <v>9840361.0687115714</v>
      </c>
      <c r="Y282" s="307">
        <f t="shared" si="298"/>
        <v>10576760.105435517</v>
      </c>
      <c r="Z282" s="307">
        <f t="shared" si="298"/>
        <v>11485222.417445086</v>
      </c>
      <c r="AA282" s="307">
        <f t="shared" si="298"/>
        <v>11964827.981130822</v>
      </c>
      <c r="AB282" s="307">
        <f t="shared" si="298"/>
        <v>11450172.811116401</v>
      </c>
      <c r="AC282" s="307">
        <f t="shared" si="298"/>
        <v>11628312.580809044</v>
      </c>
      <c r="AD282" s="307">
        <f t="shared" si="298"/>
        <v>11647199.660328995</v>
      </c>
      <c r="AE282" s="307">
        <f t="shared" si="298"/>
        <v>12054839.54501605</v>
      </c>
      <c r="AF282" s="307">
        <f t="shared" si="298"/>
        <v>13457843.881571081</v>
      </c>
      <c r="AG282" s="307">
        <f t="shared" si="298"/>
        <v>13935297.85090673</v>
      </c>
      <c r="AH282" s="307">
        <f t="shared" si="298"/>
        <v>14382958.444140654</v>
      </c>
      <c r="AI282" s="307">
        <f t="shared" si="298"/>
        <v>14864689.895346822</v>
      </c>
      <c r="AJ282" s="307">
        <f t="shared" si="298"/>
        <v>14813745.020673566</v>
      </c>
      <c r="AK282" s="307">
        <f t="shared" si="298"/>
        <v>14485216.759070333</v>
      </c>
      <c r="AL282" s="307">
        <f t="shared" si="298"/>
        <v>15904539.338729378</v>
      </c>
      <c r="AM282" s="307">
        <f t="shared" si="298"/>
        <v>17071265.286850758</v>
      </c>
      <c r="AN282" s="307">
        <f t="shared" si="298"/>
        <v>20845581.708721995</v>
      </c>
      <c r="AO282" s="307">
        <f t="shared" si="298"/>
        <v>25215650.756454699</v>
      </c>
      <c r="AP282" s="307">
        <f t="shared" si="298"/>
        <v>30153714.253933813</v>
      </c>
      <c r="AR282" s="308">
        <v>1799054.1611342372</v>
      </c>
      <c r="AS282" s="308">
        <f t="shared" si="299"/>
        <v>272776.83886576281</v>
      </c>
      <c r="AT282" s="308">
        <v>1688244.3460053296</v>
      </c>
      <c r="AU282" s="308">
        <f t="shared" si="300"/>
        <v>-198291.34600532963</v>
      </c>
      <c r="AV282" s="308">
        <v>3391216.2611479894</v>
      </c>
      <c r="AW282" s="308">
        <f t="shared" si="301"/>
        <v>1304715.7388520106</v>
      </c>
      <c r="AX282" s="308">
        <v>5142563.315347543</v>
      </c>
      <c r="AY282" s="308">
        <f t="shared" si="302"/>
        <v>-749803.31534754299</v>
      </c>
      <c r="AZ282" s="308">
        <v>2987184</v>
      </c>
      <c r="BA282" s="308">
        <f t="shared" si="303"/>
        <v>0</v>
      </c>
      <c r="BB282" s="331">
        <v>4528266.3047076836</v>
      </c>
      <c r="BC282" s="308">
        <f t="shared" si="304"/>
        <v>3123398.6952923164</v>
      </c>
    </row>
    <row r="283" spans="1:55">
      <c r="A283" s="301" t="s">
        <v>46</v>
      </c>
      <c r="B283" s="308">
        <f t="shared" si="298"/>
        <v>0</v>
      </c>
      <c r="C283" s="308">
        <f t="shared" si="298"/>
        <v>0</v>
      </c>
      <c r="D283" s="308">
        <f t="shared" si="298"/>
        <v>0</v>
      </c>
      <c r="E283" s="308">
        <f t="shared" si="298"/>
        <v>0</v>
      </c>
      <c r="F283" s="308">
        <f t="shared" si="298"/>
        <v>886488</v>
      </c>
      <c r="G283" s="308">
        <f t="shared" si="298"/>
        <v>1214342</v>
      </c>
      <c r="H283" s="308">
        <f t="shared" si="298"/>
        <v>1106818</v>
      </c>
      <c r="I283" s="308">
        <f t="shared" si="298"/>
        <v>3024315</v>
      </c>
      <c r="J283" s="308">
        <f t="shared" si="298"/>
        <v>1791949</v>
      </c>
      <c r="K283" s="308">
        <f t="shared" si="298"/>
        <v>1892697</v>
      </c>
      <c r="L283" s="308">
        <f t="shared" si="298"/>
        <v>1835076</v>
      </c>
      <c r="M283" s="308">
        <f t="shared" si="298"/>
        <v>1141251</v>
      </c>
      <c r="N283" s="308">
        <f t="shared" si="298"/>
        <v>4577705</v>
      </c>
      <c r="O283" s="308">
        <f t="shared" si="298"/>
        <v>4149612</v>
      </c>
      <c r="P283" s="308">
        <f t="shared" si="298"/>
        <v>4355945</v>
      </c>
      <c r="Q283" s="307">
        <f t="shared" si="298"/>
        <v>7158874.8754890682</v>
      </c>
      <c r="R283" s="307">
        <f t="shared" si="298"/>
        <v>6886114.7688190294</v>
      </c>
      <c r="S283" s="307">
        <f t="shared" si="298"/>
        <v>7666796.7031484507</v>
      </c>
      <c r="T283" s="307">
        <f t="shared" si="298"/>
        <v>8034054.6542591918</v>
      </c>
      <c r="U283" s="307">
        <f t="shared" si="298"/>
        <v>7938450.4843237782</v>
      </c>
      <c r="V283" s="307">
        <f t="shared" si="298"/>
        <v>8624206.444601424</v>
      </c>
      <c r="W283" s="307">
        <f t="shared" si="298"/>
        <v>9553498.1223355904</v>
      </c>
      <c r="X283" s="307">
        <f t="shared" si="298"/>
        <v>10158438.501912013</v>
      </c>
      <c r="Y283" s="307">
        <f t="shared" si="298"/>
        <v>10910467.662275683</v>
      </c>
      <c r="Z283" s="307">
        <f t="shared" si="298"/>
        <v>11825766.033594023</v>
      </c>
      <c r="AA283" s="307">
        <f t="shared" si="298"/>
        <v>12287745.678776842</v>
      </c>
      <c r="AB283" s="307">
        <f t="shared" si="298"/>
        <v>11795906.662199344</v>
      </c>
      <c r="AC283" s="307">
        <f t="shared" si="298"/>
        <v>11982440.859109253</v>
      </c>
      <c r="AD283" s="307">
        <f t="shared" si="298"/>
        <v>12004181.332103025</v>
      </c>
      <c r="AE283" s="307">
        <f t="shared" si="298"/>
        <v>12418629.380273029</v>
      </c>
      <c r="AF283" s="307">
        <f t="shared" si="298"/>
        <v>13841891.15821005</v>
      </c>
      <c r="AG283" s="307">
        <f t="shared" si="298"/>
        <v>14334045.071186908</v>
      </c>
      <c r="AH283" s="307">
        <f t="shared" si="298"/>
        <v>14791737.248731066</v>
      </c>
      <c r="AI283" s="307">
        <f t="shared" si="298"/>
        <v>15283506.17522811</v>
      </c>
      <c r="AJ283" s="307">
        <f t="shared" si="298"/>
        <v>15236408.534822661</v>
      </c>
      <c r="AK283" s="307">
        <f t="shared" si="298"/>
        <v>14908925.891509725</v>
      </c>
      <c r="AL283" s="307">
        <f t="shared" si="298"/>
        <v>16405963.482874023</v>
      </c>
      <c r="AM283" s="307">
        <f t="shared" si="298"/>
        <v>17611264.119414691</v>
      </c>
      <c r="AN283" s="307">
        <f t="shared" si="298"/>
        <v>21456051.448112123</v>
      </c>
      <c r="AO283" s="307">
        <f t="shared" si="298"/>
        <v>25916277.941030663</v>
      </c>
      <c r="AP283" s="307">
        <f t="shared" si="298"/>
        <v>31037487.159508184</v>
      </c>
      <c r="AR283" s="308">
        <v>1953114.8761728944</v>
      </c>
      <c r="AS283" s="308">
        <f t="shared" si="299"/>
        <v>-118038.87617289438</v>
      </c>
      <c r="AT283" s="308">
        <v>1631998.9998715231</v>
      </c>
      <c r="AU283" s="308">
        <f t="shared" si="300"/>
        <v>-490747.99987152312</v>
      </c>
      <c r="AV283" s="308">
        <v>3541310.3671681522</v>
      </c>
      <c r="AW283" s="308">
        <f t="shared" si="301"/>
        <v>1036394.6328318478</v>
      </c>
      <c r="AX283" s="308">
        <v>4585961.4391845334</v>
      </c>
      <c r="AY283" s="308">
        <f t="shared" si="302"/>
        <v>-436349.43918453343</v>
      </c>
      <c r="AZ283" s="308">
        <v>4355945</v>
      </c>
      <c r="BA283" s="308">
        <f t="shared" si="303"/>
        <v>0</v>
      </c>
      <c r="BB283" s="331">
        <v>5627176.6491725668</v>
      </c>
      <c r="BC283" s="308">
        <f t="shared" si="304"/>
        <v>1531698.2263165014</v>
      </c>
    </row>
    <row r="284" spans="1:55">
      <c r="A284" s="301" t="s">
        <v>47</v>
      </c>
      <c r="B284" s="308">
        <f t="shared" si="298"/>
        <v>0</v>
      </c>
      <c r="C284" s="308">
        <f t="shared" si="298"/>
        <v>0</v>
      </c>
      <c r="D284" s="308">
        <f t="shared" si="298"/>
        <v>0</v>
      </c>
      <c r="E284" s="308">
        <f t="shared" si="298"/>
        <v>0</v>
      </c>
      <c r="F284" s="308">
        <f t="shared" si="298"/>
        <v>937353</v>
      </c>
      <c r="G284" s="308">
        <f t="shared" si="298"/>
        <v>1476394</v>
      </c>
      <c r="H284" s="308">
        <f t="shared" si="298"/>
        <v>1571814</v>
      </c>
      <c r="I284" s="308">
        <f t="shared" si="298"/>
        <v>1327849</v>
      </c>
      <c r="J284" s="308">
        <f t="shared" si="298"/>
        <v>1878943</v>
      </c>
      <c r="K284" s="308">
        <f t="shared" si="298"/>
        <v>2632037</v>
      </c>
      <c r="L284" s="308">
        <f t="shared" si="298"/>
        <v>1906035</v>
      </c>
      <c r="M284" s="308">
        <f t="shared" si="298"/>
        <v>1470032</v>
      </c>
      <c r="N284" s="308">
        <f t="shared" si="298"/>
        <v>3698246</v>
      </c>
      <c r="O284" s="308">
        <f t="shared" si="298"/>
        <v>5125704</v>
      </c>
      <c r="P284" s="308">
        <f t="shared" si="298"/>
        <v>3226454</v>
      </c>
      <c r="Q284" s="307">
        <f t="shared" si="298"/>
        <v>5060241.0123778805</v>
      </c>
      <c r="R284" s="307">
        <f t="shared" si="298"/>
        <v>4770942.4882724024</v>
      </c>
      <c r="S284" s="307">
        <f t="shared" si="298"/>
        <v>5256510.3260596823</v>
      </c>
      <c r="T284" s="307">
        <f t="shared" si="298"/>
        <v>5790728.9250245057</v>
      </c>
      <c r="U284" s="307">
        <f t="shared" si="298"/>
        <v>5453435.5416989177</v>
      </c>
      <c r="V284" s="307">
        <f t="shared" si="298"/>
        <v>6179527.8667251365</v>
      </c>
      <c r="W284" s="307">
        <f t="shared" si="298"/>
        <v>7006332.4168083416</v>
      </c>
      <c r="X284" s="307">
        <f t="shared" si="298"/>
        <v>7562116.1256752536</v>
      </c>
      <c r="Y284" s="307">
        <f t="shared" si="298"/>
        <v>8288918.4997120807</v>
      </c>
      <c r="Z284" s="307">
        <f t="shared" si="298"/>
        <v>9134390.0220414251</v>
      </c>
      <c r="AA284" s="307">
        <f t="shared" si="298"/>
        <v>9547791.8495728392</v>
      </c>
      <c r="AB284" s="307">
        <f t="shared" si="298"/>
        <v>8954880.5185166728</v>
      </c>
      <c r="AC284" s="307">
        <f t="shared" si="298"/>
        <v>9067598.200524427</v>
      </c>
      <c r="AD284" s="307">
        <f t="shared" si="298"/>
        <v>9012511.7700138129</v>
      </c>
      <c r="AE284" s="307">
        <f t="shared" si="298"/>
        <v>9360546.5374570712</v>
      </c>
      <c r="AF284" s="307">
        <f t="shared" si="298"/>
        <v>10760757.319195511</v>
      </c>
      <c r="AG284" s="307">
        <f t="shared" si="298"/>
        <v>11191667.978839826</v>
      </c>
      <c r="AH284" s="307">
        <f t="shared" si="298"/>
        <v>11587156.764302855</v>
      </c>
      <c r="AI284" s="307">
        <f t="shared" si="298"/>
        <v>12018246.223478924</v>
      </c>
      <c r="AJ284" s="307">
        <f t="shared" si="298"/>
        <v>11889315.898512311</v>
      </c>
      <c r="AK284" s="307">
        <f t="shared" si="298"/>
        <v>11469702.402229369</v>
      </c>
      <c r="AL284" s="307">
        <f t="shared" si="298"/>
        <v>12053247.318194665</v>
      </c>
      <c r="AM284" s="307">
        <f t="shared" si="298"/>
        <v>12906201.509054463</v>
      </c>
      <c r="AN284" s="307">
        <f t="shared" si="298"/>
        <v>16500388.779103234</v>
      </c>
      <c r="AO284" s="307">
        <f t="shared" si="298"/>
        <v>20534288.467032913</v>
      </c>
      <c r="AP284" s="307">
        <f t="shared" si="298"/>
        <v>23858914.726576086</v>
      </c>
      <c r="AR284" s="308">
        <v>1836245.2271889199</v>
      </c>
      <c r="AS284" s="308">
        <f t="shared" si="299"/>
        <v>69789.772811080096</v>
      </c>
      <c r="AT284" s="308">
        <v>1522832.4981095258</v>
      </c>
      <c r="AU284" s="308">
        <f t="shared" si="300"/>
        <v>-52800.498109525768</v>
      </c>
      <c r="AV284" s="308">
        <v>4107655.7649597703</v>
      </c>
      <c r="AW284" s="308">
        <f t="shared" si="301"/>
        <v>-409409.76495977025</v>
      </c>
      <c r="AX284" s="308">
        <v>4512369.7838015612</v>
      </c>
      <c r="AY284" s="308">
        <f t="shared" si="302"/>
        <v>613334.21619843878</v>
      </c>
      <c r="AZ284" s="308">
        <v>3226454</v>
      </c>
      <c r="BA284" s="308">
        <f t="shared" si="303"/>
        <v>0</v>
      </c>
      <c r="BB284" s="331">
        <v>4236207.1668024678</v>
      </c>
      <c r="BC284" s="308">
        <f t="shared" si="304"/>
        <v>824033.84557541274</v>
      </c>
    </row>
    <row r="285" spans="1:55">
      <c r="A285" s="301" t="s">
        <v>48</v>
      </c>
      <c r="B285" s="308">
        <f t="shared" si="298"/>
        <v>0</v>
      </c>
      <c r="C285" s="308">
        <f t="shared" si="298"/>
        <v>0</v>
      </c>
      <c r="D285" s="308">
        <f t="shared" si="298"/>
        <v>0</v>
      </c>
      <c r="E285" s="308">
        <f t="shared" si="298"/>
        <v>0</v>
      </c>
      <c r="F285" s="308">
        <f t="shared" si="298"/>
        <v>928776</v>
      </c>
      <c r="G285" s="308">
        <f t="shared" si="298"/>
        <v>1120164</v>
      </c>
      <c r="H285" s="308">
        <f t="shared" si="298"/>
        <v>1548252</v>
      </c>
      <c r="I285" s="308">
        <f t="shared" si="298"/>
        <v>1385530</v>
      </c>
      <c r="J285" s="308">
        <f t="shared" si="298"/>
        <v>277187</v>
      </c>
      <c r="K285" s="308">
        <f t="shared" si="298"/>
        <v>1742628</v>
      </c>
      <c r="L285" s="308">
        <f t="shared" si="298"/>
        <v>1610763</v>
      </c>
      <c r="M285" s="308">
        <f t="shared" si="298"/>
        <v>1233824</v>
      </c>
      <c r="N285" s="308">
        <f t="shared" si="298"/>
        <v>4392779</v>
      </c>
      <c r="O285" s="308">
        <f t="shared" si="298"/>
        <v>3849430</v>
      </c>
      <c r="P285" s="308">
        <f t="shared" si="298"/>
        <v>4151978</v>
      </c>
      <c r="Q285" s="307">
        <f t="shared" si="298"/>
        <v>6021339.9382087365</v>
      </c>
      <c r="R285" s="307">
        <f t="shared" si="298"/>
        <v>6227848.0299331509</v>
      </c>
      <c r="S285" s="307">
        <f t="shared" si="298"/>
        <v>6830907.6935095415</v>
      </c>
      <c r="T285" s="307">
        <f t="shared" si="298"/>
        <v>7157446.3515589526</v>
      </c>
      <c r="U285" s="307">
        <f t="shared" si="298"/>
        <v>7062387.2800193569</v>
      </c>
      <c r="V285" s="307">
        <f t="shared" si="298"/>
        <v>7641829.7310145907</v>
      </c>
      <c r="W285" s="307">
        <f t="shared" si="298"/>
        <v>8554534.1623491421</v>
      </c>
      <c r="X285" s="307">
        <f t="shared" si="298"/>
        <v>9087526.6246692799</v>
      </c>
      <c r="Y285" s="307">
        <f t="shared" si="298"/>
        <v>9771216.8932160772</v>
      </c>
      <c r="Z285" s="307">
        <f t="shared" si="298"/>
        <v>10608881.838109819</v>
      </c>
      <c r="AA285" s="307">
        <f t="shared" si="298"/>
        <v>11027832.479582764</v>
      </c>
      <c r="AB285" s="307">
        <f t="shared" si="298"/>
        <v>10570871.296699595</v>
      </c>
      <c r="AC285" s="307">
        <f t="shared" si="298"/>
        <v>10730589.828021422</v>
      </c>
      <c r="AD285" s="307">
        <f t="shared" si="298"/>
        <v>10741393.285415739</v>
      </c>
      <c r="AE285" s="307">
        <f t="shared" si="298"/>
        <v>11116685.327497005</v>
      </c>
      <c r="AF285" s="307">
        <f t="shared" si="298"/>
        <v>12427254.688136144</v>
      </c>
      <c r="AG285" s="307">
        <f t="shared" si="298"/>
        <v>12875116.926940877</v>
      </c>
      <c r="AH285" s="307">
        <f t="shared" si="298"/>
        <v>13289615.956645371</v>
      </c>
      <c r="AI285" s="307">
        <f t="shared" si="298"/>
        <v>13736477.357812196</v>
      </c>
      <c r="AJ285" s="307">
        <f t="shared" si="298"/>
        <v>13684165.784238379</v>
      </c>
      <c r="AK285" s="307">
        <f t="shared" si="298"/>
        <v>13372035.308544479</v>
      </c>
      <c r="AL285" s="307">
        <f t="shared" si="298"/>
        <v>14652179.930137612</v>
      </c>
      <c r="AM285" s="307">
        <f t="shared" si="298"/>
        <v>15724899.93835111</v>
      </c>
      <c r="AN285" s="307">
        <f t="shared" si="298"/>
        <v>19243480.369059723</v>
      </c>
      <c r="AO285" s="307">
        <f t="shared" si="298"/>
        <v>23310367.741249982</v>
      </c>
      <c r="AP285" s="307">
        <f t="shared" si="298"/>
        <v>27835846.172262922</v>
      </c>
      <c r="AR285" s="308">
        <v>1304599.7604946322</v>
      </c>
      <c r="AS285" s="308">
        <f t="shared" si="299"/>
        <v>306163.23950536782</v>
      </c>
      <c r="AT285" s="308">
        <v>1493152.3665817657</v>
      </c>
      <c r="AU285" s="308">
        <f t="shared" si="300"/>
        <v>-259328.3665817657</v>
      </c>
      <c r="AV285" s="308">
        <v>2963788.2940229862</v>
      </c>
      <c r="AW285" s="308">
        <f t="shared" si="301"/>
        <v>1428990.7059770138</v>
      </c>
      <c r="AX285" s="308">
        <v>3977037.1411735406</v>
      </c>
      <c r="AY285" s="308">
        <f t="shared" si="302"/>
        <v>-127607.14117354061</v>
      </c>
      <c r="AZ285" s="308">
        <v>4151978</v>
      </c>
      <c r="BA285" s="308">
        <f t="shared" si="303"/>
        <v>0</v>
      </c>
      <c r="BB285" s="331">
        <v>4506106.5945939776</v>
      </c>
      <c r="BC285" s="308">
        <f t="shared" si="304"/>
        <v>1515233.3436147589</v>
      </c>
    </row>
    <row r="286" spans="1:55">
      <c r="A286" s="301" t="s">
        <v>49</v>
      </c>
      <c r="B286" s="308">
        <f t="shared" si="298"/>
        <v>0</v>
      </c>
      <c r="C286" s="308">
        <f t="shared" si="298"/>
        <v>0</v>
      </c>
      <c r="D286" s="308">
        <f t="shared" si="298"/>
        <v>0</v>
      </c>
      <c r="E286" s="308">
        <f t="shared" si="298"/>
        <v>0</v>
      </c>
      <c r="F286" s="308">
        <f t="shared" si="298"/>
        <v>1064973</v>
      </c>
      <c r="G286" s="308">
        <f t="shared" si="298"/>
        <v>1530569</v>
      </c>
      <c r="H286" s="308">
        <f t="shared" si="298"/>
        <v>1414232</v>
      </c>
      <c r="I286" s="308">
        <f t="shared" si="298"/>
        <v>1447987</v>
      </c>
      <c r="J286" s="308">
        <f t="shared" si="298"/>
        <v>37327</v>
      </c>
      <c r="K286" s="308">
        <f t="shared" ref="K286:AP291" si="305">K318+K334+K302</f>
        <v>1920939</v>
      </c>
      <c r="L286" s="308">
        <f t="shared" si="305"/>
        <v>2235005</v>
      </c>
      <c r="M286" s="308">
        <f t="shared" si="305"/>
        <v>1283369</v>
      </c>
      <c r="N286" s="308">
        <f t="shared" si="305"/>
        <v>4846378</v>
      </c>
      <c r="O286" s="308">
        <f>O318+O334+O302</f>
        <v>2365674</v>
      </c>
      <c r="P286" s="308">
        <f t="shared" ref="P286:P291" si="306">P318+P334+P302</f>
        <v>4070842</v>
      </c>
      <c r="Q286" s="307">
        <f t="shared" si="305"/>
        <v>7078419.1731454842</v>
      </c>
      <c r="R286" s="307">
        <f t="shared" si="305"/>
        <v>6957647.9047236051</v>
      </c>
      <c r="S286" s="307">
        <f t="shared" si="305"/>
        <v>7557814.690565018</v>
      </c>
      <c r="T286" s="307">
        <f t="shared" si="305"/>
        <v>7692618.3134447671</v>
      </c>
      <c r="U286" s="307">
        <f t="shared" si="305"/>
        <v>7842265.5167841101</v>
      </c>
      <c r="V286" s="307">
        <f t="shared" si="305"/>
        <v>8423618.1583293863</v>
      </c>
      <c r="W286" s="307">
        <f t="shared" si="305"/>
        <v>9236538.1265219226</v>
      </c>
      <c r="X286" s="307">
        <f t="shared" si="305"/>
        <v>9728433.3761895634</v>
      </c>
      <c r="Y286" s="307">
        <f t="shared" si="305"/>
        <v>10364353.231476195</v>
      </c>
      <c r="Z286" s="307">
        <f t="shared" si="305"/>
        <v>11186607.872705817</v>
      </c>
      <c r="AA286" s="307">
        <f t="shared" si="305"/>
        <v>11595755.182092935</v>
      </c>
      <c r="AB286" s="307">
        <f t="shared" si="305"/>
        <v>11228956.959496815</v>
      </c>
      <c r="AC286" s="307">
        <f t="shared" si="305"/>
        <v>11416350.623942334</v>
      </c>
      <c r="AD286" s="307">
        <f t="shared" si="305"/>
        <v>11474799.135546787</v>
      </c>
      <c r="AE286" s="307">
        <f t="shared" si="305"/>
        <v>11856166.219678655</v>
      </c>
      <c r="AF286" s="307">
        <f t="shared" si="305"/>
        <v>13052608.596889898</v>
      </c>
      <c r="AG286" s="307">
        <f t="shared" si="305"/>
        <v>13491386.789870571</v>
      </c>
      <c r="AH286" s="307">
        <f t="shared" si="305"/>
        <v>13903209.189713564</v>
      </c>
      <c r="AI286" s="307">
        <f t="shared" si="305"/>
        <v>14343613.005582234</v>
      </c>
      <c r="AJ286" s="307">
        <f t="shared" si="305"/>
        <v>14344999.073577281</v>
      </c>
      <c r="AK286" s="307">
        <f t="shared" si="305"/>
        <v>14117160.348978857</v>
      </c>
      <c r="AL286" s="307">
        <f t="shared" si="305"/>
        <v>15814319.10801653</v>
      </c>
      <c r="AM286" s="307">
        <f t="shared" si="305"/>
        <v>16992265.159322836</v>
      </c>
      <c r="AN286" s="307">
        <f t="shared" si="305"/>
        <v>20319610.370081149</v>
      </c>
      <c r="AO286" s="307">
        <f t="shared" si="305"/>
        <v>24246207.697122134</v>
      </c>
      <c r="AP286" s="307">
        <f t="shared" si="305"/>
        <v>29398329.585057426</v>
      </c>
      <c r="AR286" s="308">
        <v>1314811.859260902</v>
      </c>
      <c r="AS286" s="308">
        <f t="shared" si="299"/>
        <v>920193.14073909796</v>
      </c>
      <c r="AT286" s="308">
        <v>1167475.7087859628</v>
      </c>
      <c r="AU286" s="308">
        <f t="shared" si="300"/>
        <v>115893.29121403722</v>
      </c>
      <c r="AV286" s="308">
        <v>2918480.9422832751</v>
      </c>
      <c r="AW286" s="308">
        <f t="shared" si="301"/>
        <v>1927897.0577167249</v>
      </c>
      <c r="AX286" s="308">
        <v>3767048.5547489286</v>
      </c>
      <c r="AY286" s="308">
        <f t="shared" si="302"/>
        <v>-1401374.5547489286</v>
      </c>
      <c r="AZ286" s="309">
        <v>4070842</v>
      </c>
      <c r="BA286" s="308">
        <f t="shared" si="303"/>
        <v>0</v>
      </c>
      <c r="BB286" s="331">
        <v>5177703.5345036276</v>
      </c>
      <c r="BC286" s="308">
        <f t="shared" si="304"/>
        <v>1900715.6386418566</v>
      </c>
    </row>
    <row r="287" spans="1:55">
      <c r="A287" s="301" t="s">
        <v>50</v>
      </c>
      <c r="B287" s="308">
        <f t="shared" ref="B287:AG291" si="307">B319+B335+B303</f>
        <v>0</v>
      </c>
      <c r="C287" s="308">
        <f t="shared" si="307"/>
        <v>0</v>
      </c>
      <c r="D287" s="308">
        <f t="shared" si="307"/>
        <v>0</v>
      </c>
      <c r="E287" s="308">
        <f t="shared" si="307"/>
        <v>127898</v>
      </c>
      <c r="F287" s="308">
        <f t="shared" si="307"/>
        <v>116938</v>
      </c>
      <c r="G287" s="308">
        <f t="shared" si="307"/>
        <v>1518950</v>
      </c>
      <c r="H287" s="308">
        <f t="shared" si="307"/>
        <v>1814951</v>
      </c>
      <c r="I287" s="308">
        <f t="shared" si="307"/>
        <v>1788693</v>
      </c>
      <c r="J287" s="308">
        <f t="shared" si="307"/>
        <v>1781383</v>
      </c>
      <c r="K287" s="308">
        <f t="shared" si="307"/>
        <v>843551</v>
      </c>
      <c r="L287" s="308">
        <f t="shared" si="307"/>
        <v>2060197</v>
      </c>
      <c r="M287" s="308">
        <f t="shared" si="307"/>
        <v>1332972</v>
      </c>
      <c r="N287" s="308">
        <f t="shared" si="307"/>
        <v>7401530</v>
      </c>
      <c r="O287" s="308">
        <f>O319+O335+O303</f>
        <v>3305222</v>
      </c>
      <c r="P287" s="308">
        <f t="shared" si="306"/>
        <v>4163743</v>
      </c>
      <c r="Q287" s="307">
        <f t="shared" si="307"/>
        <v>6815523.7510815244</v>
      </c>
      <c r="R287" s="307">
        <f t="shared" si="307"/>
        <v>6820751.3453620709</v>
      </c>
      <c r="S287" s="307">
        <f t="shared" si="307"/>
        <v>7562383.5420849398</v>
      </c>
      <c r="T287" s="307">
        <f t="shared" si="307"/>
        <v>7529924.7192028267</v>
      </c>
      <c r="U287" s="307">
        <f t="shared" si="307"/>
        <v>7607804.0438268837</v>
      </c>
      <c r="V287" s="307">
        <f t="shared" si="307"/>
        <v>8378275.9872359866</v>
      </c>
      <c r="W287" s="307">
        <f t="shared" si="307"/>
        <v>9364822.2766269166</v>
      </c>
      <c r="X287" s="307">
        <f t="shared" si="307"/>
        <v>9952379.7303622141</v>
      </c>
      <c r="Y287" s="307">
        <f t="shared" si="307"/>
        <v>10686039.625273706</v>
      </c>
      <c r="Z287" s="307">
        <f t="shared" si="307"/>
        <v>11702360.879764535</v>
      </c>
      <c r="AA287" s="307">
        <f t="shared" si="307"/>
        <v>12183376.767343238</v>
      </c>
      <c r="AB287" s="307">
        <f t="shared" si="307"/>
        <v>11614421.095071336</v>
      </c>
      <c r="AC287" s="307">
        <f t="shared" si="307"/>
        <v>11777964.680025363</v>
      </c>
      <c r="AD287" s="307">
        <f t="shared" si="307"/>
        <v>11771429.428476363</v>
      </c>
      <c r="AE287" s="307">
        <f t="shared" si="307"/>
        <v>12200482.836546745</v>
      </c>
      <c r="AF287" s="307">
        <f t="shared" si="307"/>
        <v>13715719.323588379</v>
      </c>
      <c r="AG287" s="307">
        <f t="shared" si="307"/>
        <v>14218285.541281667</v>
      </c>
      <c r="AH287" s="307">
        <f t="shared" si="305"/>
        <v>14684676.391877744</v>
      </c>
      <c r="AI287" s="307">
        <f t="shared" si="305"/>
        <v>15190135.486117672</v>
      </c>
      <c r="AJ287" s="307">
        <f t="shared" si="305"/>
        <v>15111601.075325131</v>
      </c>
      <c r="AK287" s="307">
        <f t="shared" si="305"/>
        <v>14727326.21455694</v>
      </c>
      <c r="AL287" s="307">
        <f t="shared" si="305"/>
        <v>16001441.738495244</v>
      </c>
      <c r="AM287" s="307">
        <f t="shared" si="305"/>
        <v>17165264.971328385</v>
      </c>
      <c r="AN287" s="307">
        <f t="shared" si="305"/>
        <v>21192168.408914991</v>
      </c>
      <c r="AO287" s="307">
        <f t="shared" si="305"/>
        <v>25814865.650882021</v>
      </c>
      <c r="AP287" s="307">
        <f t="shared" si="305"/>
        <v>30652228.244971067</v>
      </c>
      <c r="AR287" s="308">
        <v>1462270.1156958712</v>
      </c>
      <c r="AS287" s="308">
        <f t="shared" si="299"/>
        <v>597926.88430412882</v>
      </c>
      <c r="AT287" s="308">
        <v>1268707.2790340949</v>
      </c>
      <c r="AU287" s="308">
        <f t="shared" si="300"/>
        <v>64264.720965905115</v>
      </c>
      <c r="AV287" s="308">
        <v>3529741.5351423845</v>
      </c>
      <c r="AW287" s="308">
        <f t="shared" si="301"/>
        <v>3871788.4648576155</v>
      </c>
      <c r="AX287" s="308">
        <v>5001375.7213598853</v>
      </c>
      <c r="AY287" s="308">
        <f t="shared" si="302"/>
        <v>-1696153.7213598853</v>
      </c>
      <c r="AZ287" s="309">
        <v>4163743</v>
      </c>
      <c r="BA287" s="308">
        <f t="shared" si="303"/>
        <v>0</v>
      </c>
      <c r="BB287" s="331">
        <v>5139395.9563606456</v>
      </c>
      <c r="BC287" s="308">
        <f t="shared" si="304"/>
        <v>1676127.7947208788</v>
      </c>
    </row>
    <row r="288" spans="1:55">
      <c r="A288" s="301" t="s">
        <v>51</v>
      </c>
      <c r="B288" s="308">
        <f t="shared" si="307"/>
        <v>0</v>
      </c>
      <c r="C288" s="308">
        <f t="shared" si="307"/>
        <v>0</v>
      </c>
      <c r="D288" s="308">
        <f t="shared" si="307"/>
        <v>0</v>
      </c>
      <c r="E288" s="308">
        <f t="shared" si="307"/>
        <v>503877</v>
      </c>
      <c r="F288" s="308">
        <f t="shared" si="307"/>
        <v>701034</v>
      </c>
      <c r="G288" s="308">
        <f t="shared" si="307"/>
        <v>1387570</v>
      </c>
      <c r="H288" s="308">
        <f t="shared" si="307"/>
        <v>1596891</v>
      </c>
      <c r="I288" s="308">
        <f t="shared" si="307"/>
        <v>1864564</v>
      </c>
      <c r="J288" s="308">
        <f t="shared" si="307"/>
        <v>2807894</v>
      </c>
      <c r="K288" s="308">
        <f t="shared" si="307"/>
        <v>2145600</v>
      </c>
      <c r="L288" s="308">
        <f t="shared" si="307"/>
        <v>2315488</v>
      </c>
      <c r="M288" s="308">
        <f t="shared" si="307"/>
        <v>1007768</v>
      </c>
      <c r="N288" s="308">
        <f t="shared" si="307"/>
        <v>5126140</v>
      </c>
      <c r="O288" s="308">
        <f>O320+O336+O304</f>
        <v>3341531</v>
      </c>
      <c r="P288" s="308">
        <f t="shared" si="306"/>
        <v>8814802</v>
      </c>
      <c r="Q288" s="307">
        <f t="shared" si="307"/>
        <v>9081167.9949367717</v>
      </c>
      <c r="R288" s="307">
        <f t="shared" si="307"/>
        <v>10987250.478065146</v>
      </c>
      <c r="S288" s="307">
        <f t="shared" si="307"/>
        <v>12024335.042980256</v>
      </c>
      <c r="T288" s="307">
        <f t="shared" si="307"/>
        <v>12452998.668206867</v>
      </c>
      <c r="U288" s="307">
        <f t="shared" si="307"/>
        <v>12679122.444753442</v>
      </c>
      <c r="V288" s="307">
        <f t="shared" si="307"/>
        <v>12871731.169274438</v>
      </c>
      <c r="W288" s="307">
        <f t="shared" si="307"/>
        <v>14398468.877575263</v>
      </c>
      <c r="X288" s="307">
        <f t="shared" si="307"/>
        <v>15102016.871641995</v>
      </c>
      <c r="Y288" s="307">
        <f t="shared" si="307"/>
        <v>15979037.713337412</v>
      </c>
      <c r="Z288" s="307">
        <f t="shared" si="307"/>
        <v>17035556.197577022</v>
      </c>
      <c r="AA288" s="307">
        <f t="shared" si="307"/>
        <v>17573050.889903739</v>
      </c>
      <c r="AB288" s="307">
        <f t="shared" si="307"/>
        <v>17254961.287885606</v>
      </c>
      <c r="AC288" s="307">
        <f t="shared" si="307"/>
        <v>17564778.607722655</v>
      </c>
      <c r="AD288" s="307">
        <f t="shared" si="307"/>
        <v>17705158.110230077</v>
      </c>
      <c r="AE288" s="307">
        <f t="shared" si="307"/>
        <v>18250635.318111088</v>
      </c>
      <c r="AF288" s="307">
        <f t="shared" si="307"/>
        <v>19830968.87039797</v>
      </c>
      <c r="AG288" s="307">
        <f t="shared" si="307"/>
        <v>20469087.822642386</v>
      </c>
      <c r="AH288" s="307">
        <f t="shared" si="305"/>
        <v>21060630.978252947</v>
      </c>
      <c r="AI288" s="307">
        <f t="shared" si="305"/>
        <v>21687858.464293022</v>
      </c>
      <c r="AJ288" s="307">
        <f t="shared" si="305"/>
        <v>21763706.507985033</v>
      </c>
      <c r="AK288" s="307">
        <f t="shared" si="305"/>
        <v>21552891.298073668</v>
      </c>
      <c r="AL288" s="307">
        <f t="shared" si="305"/>
        <v>24605528.257098779</v>
      </c>
      <c r="AM288" s="307">
        <f t="shared" si="305"/>
        <v>26463337.31395568</v>
      </c>
      <c r="AN288" s="307">
        <f t="shared" si="305"/>
        <v>31027490.060261577</v>
      </c>
      <c r="AO288" s="307">
        <f t="shared" si="305"/>
        <v>36534310.126936615</v>
      </c>
      <c r="AP288" s="307">
        <f t="shared" si="305"/>
        <v>44898934.86213541</v>
      </c>
      <c r="AR288" s="308">
        <v>2004299.9233258325</v>
      </c>
      <c r="AS288" s="308">
        <f t="shared" si="299"/>
        <v>311188.07667416753</v>
      </c>
      <c r="AT288" s="308">
        <v>1615639.3546631467</v>
      </c>
      <c r="AU288" s="308">
        <f t="shared" si="300"/>
        <v>-607871.35466314666</v>
      </c>
      <c r="AV288" s="308">
        <v>5230639.6458687633</v>
      </c>
      <c r="AW288" s="308">
        <f t="shared" si="301"/>
        <v>-104499.64586876333</v>
      </c>
      <c r="AX288" s="308">
        <v>4834879.3053948572</v>
      </c>
      <c r="AY288" s="308">
        <f t="shared" si="302"/>
        <v>-1493348.3053948572</v>
      </c>
      <c r="AZ288" s="309">
        <v>8814802</v>
      </c>
      <c r="BA288" s="308">
        <f t="shared" si="303"/>
        <v>0</v>
      </c>
      <c r="BB288" s="331">
        <v>6960810.917671157</v>
      </c>
      <c r="BC288" s="308">
        <f t="shared" si="304"/>
        <v>2120357.0772656146</v>
      </c>
    </row>
    <row r="289" spans="1:55">
      <c r="A289" s="301" t="s">
        <v>52</v>
      </c>
      <c r="B289" s="308">
        <f t="shared" si="307"/>
        <v>0</v>
      </c>
      <c r="C289" s="308">
        <f t="shared" si="307"/>
        <v>0</v>
      </c>
      <c r="D289" s="308">
        <f t="shared" si="307"/>
        <v>0</v>
      </c>
      <c r="E289" s="308">
        <f t="shared" si="307"/>
        <v>451592</v>
      </c>
      <c r="F289" s="308">
        <f t="shared" si="307"/>
        <v>1589528</v>
      </c>
      <c r="G289" s="308">
        <f t="shared" si="307"/>
        <v>1285035</v>
      </c>
      <c r="H289" s="308">
        <f t="shared" si="307"/>
        <v>1648116</v>
      </c>
      <c r="I289" s="308">
        <f t="shared" si="307"/>
        <v>1790442</v>
      </c>
      <c r="J289" s="308">
        <f t="shared" si="307"/>
        <v>2226208</v>
      </c>
      <c r="K289" s="308">
        <f t="shared" si="307"/>
        <v>1997933</v>
      </c>
      <c r="L289" s="308">
        <f t="shared" si="307"/>
        <v>710861</v>
      </c>
      <c r="M289" s="308">
        <f t="shared" si="307"/>
        <v>2268434</v>
      </c>
      <c r="N289" s="308">
        <f t="shared" si="307"/>
        <v>5972224</v>
      </c>
      <c r="O289" s="308">
        <f>O321+O337+O305</f>
        <v>6032906</v>
      </c>
      <c r="P289" s="308">
        <f t="shared" si="306"/>
        <v>7930462</v>
      </c>
      <c r="Q289" s="307">
        <f t="shared" si="307"/>
        <v>9235244.0080987103</v>
      </c>
      <c r="R289" s="307">
        <f t="shared" si="307"/>
        <v>10711198.030737396</v>
      </c>
      <c r="S289" s="307">
        <f t="shared" si="307"/>
        <v>11731341.486256283</v>
      </c>
      <c r="T289" s="307">
        <f t="shared" si="307"/>
        <v>12366214.363859281</v>
      </c>
      <c r="U289" s="307">
        <f t="shared" si="307"/>
        <v>12202088.762090128</v>
      </c>
      <c r="V289" s="307">
        <f t="shared" si="307"/>
        <v>12804597.165981889</v>
      </c>
      <c r="W289" s="307">
        <f t="shared" si="307"/>
        <v>14436208.417789508</v>
      </c>
      <c r="X289" s="307">
        <f t="shared" si="307"/>
        <v>15251564.565446008</v>
      </c>
      <c r="Y289" s="307">
        <f t="shared" si="307"/>
        <v>16294878.302831899</v>
      </c>
      <c r="Z289" s="307">
        <f t="shared" si="307"/>
        <v>17531895.216896281</v>
      </c>
      <c r="AA289" s="307">
        <f t="shared" si="307"/>
        <v>18176000.212891176</v>
      </c>
      <c r="AB289" s="307">
        <f t="shared" si="307"/>
        <v>17603283.190432809</v>
      </c>
      <c r="AC289" s="307">
        <f t="shared" si="307"/>
        <v>17886220.574820369</v>
      </c>
      <c r="AD289" s="307">
        <f t="shared" si="307"/>
        <v>17951539.71199381</v>
      </c>
      <c r="AE289" s="307">
        <f t="shared" si="307"/>
        <v>18545641.986597534</v>
      </c>
      <c r="AF289" s="307">
        <f t="shared" si="307"/>
        <v>20503318.216250788</v>
      </c>
      <c r="AG289" s="307">
        <f t="shared" si="307"/>
        <v>21212981.307869382</v>
      </c>
      <c r="AH289" s="307">
        <f t="shared" si="305"/>
        <v>21867426.565403081</v>
      </c>
      <c r="AI289" s="307">
        <f t="shared" si="305"/>
        <v>22569334.474580102</v>
      </c>
      <c r="AJ289" s="307">
        <f t="shared" si="305"/>
        <v>22547477.789701931</v>
      </c>
      <c r="AK289" s="307">
        <f t="shared" si="305"/>
        <v>22149469.806315809</v>
      </c>
      <c r="AL289" s="307">
        <f t="shared" si="305"/>
        <v>24671113.02995491</v>
      </c>
      <c r="AM289" s="307">
        <f t="shared" si="305"/>
        <v>26499939.679158546</v>
      </c>
      <c r="AN289" s="307">
        <f t="shared" si="305"/>
        <v>31879197.932149637</v>
      </c>
      <c r="AO289" s="307">
        <f t="shared" si="305"/>
        <v>38190708.145885885</v>
      </c>
      <c r="AP289" s="307">
        <f t="shared" si="305"/>
        <v>46120783.899295032</v>
      </c>
      <c r="AR289" s="308">
        <v>2033089.4340233861</v>
      </c>
      <c r="AS289" s="308">
        <f t="shared" si="299"/>
        <v>-1322228.4340233861</v>
      </c>
      <c r="AT289" s="308">
        <v>1283331.1482905347</v>
      </c>
      <c r="AU289" s="308">
        <f t="shared" si="300"/>
        <v>985102.85170946526</v>
      </c>
      <c r="AV289" s="308">
        <v>4620194.591496882</v>
      </c>
      <c r="AW289" s="308">
        <f t="shared" si="301"/>
        <v>1352029.408503118</v>
      </c>
      <c r="AX289" s="309">
        <v>4848791.6131892018</v>
      </c>
      <c r="AY289" s="308">
        <f t="shared" si="302"/>
        <v>1184114.3868107982</v>
      </c>
      <c r="AZ289" s="309">
        <v>7566090.6009383546</v>
      </c>
      <c r="BA289" s="308">
        <f t="shared" si="303"/>
        <v>364371.39906164538</v>
      </c>
      <c r="BB289" s="331">
        <v>5847342.0993628241</v>
      </c>
      <c r="BC289" s="308">
        <f t="shared" si="304"/>
        <v>3387901.9087358862</v>
      </c>
    </row>
    <row r="290" spans="1:55">
      <c r="A290" s="301" t="s">
        <v>53</v>
      </c>
      <c r="B290" s="308">
        <f t="shared" si="307"/>
        <v>0</v>
      </c>
      <c r="C290" s="308">
        <f t="shared" si="307"/>
        <v>0</v>
      </c>
      <c r="D290" s="308">
        <f t="shared" si="307"/>
        <v>0</v>
      </c>
      <c r="E290" s="308">
        <f t="shared" si="307"/>
        <v>462368</v>
      </c>
      <c r="F290" s="308">
        <f t="shared" si="307"/>
        <v>1341905</v>
      </c>
      <c r="G290" s="308">
        <f t="shared" si="307"/>
        <v>1177840</v>
      </c>
      <c r="H290" s="308">
        <f t="shared" si="307"/>
        <v>1821731</v>
      </c>
      <c r="I290" s="308">
        <f t="shared" si="307"/>
        <v>1830738</v>
      </c>
      <c r="J290" s="308">
        <f t="shared" si="307"/>
        <v>2081337</v>
      </c>
      <c r="K290" s="308">
        <f t="shared" si="307"/>
        <v>2241651</v>
      </c>
      <c r="L290" s="308">
        <f t="shared" si="307"/>
        <v>1656278</v>
      </c>
      <c r="M290" s="308">
        <f t="shared" si="307"/>
        <v>3264206</v>
      </c>
      <c r="N290" s="308">
        <f t="shared" si="307"/>
        <v>7251155</v>
      </c>
      <c r="O290" s="308">
        <f t="shared" si="307"/>
        <v>3753042</v>
      </c>
      <c r="P290" s="308">
        <f t="shared" si="306"/>
        <v>7227566</v>
      </c>
      <c r="Q290" s="307">
        <f t="shared" si="307"/>
        <v>9529474.541190017</v>
      </c>
      <c r="R290" s="307">
        <f t="shared" si="307"/>
        <v>10877913.620478261</v>
      </c>
      <c r="S290" s="307">
        <f t="shared" si="307"/>
        <v>11646543.896575233</v>
      </c>
      <c r="T290" s="307">
        <f t="shared" si="307"/>
        <v>11871634.689324593</v>
      </c>
      <c r="U290" s="307">
        <f t="shared" si="307"/>
        <v>12064158.440180404</v>
      </c>
      <c r="V290" s="307">
        <f t="shared" si="307"/>
        <v>12699120.916277327</v>
      </c>
      <c r="W290" s="307">
        <f t="shared" si="307"/>
        <v>14173534.047858313</v>
      </c>
      <c r="X290" s="307">
        <f t="shared" si="307"/>
        <v>14867374.212750692</v>
      </c>
      <c r="Y290" s="307">
        <f t="shared" si="307"/>
        <v>15808753.075175885</v>
      </c>
      <c r="Z290" s="307">
        <f t="shared" si="307"/>
        <v>17021761.154001221</v>
      </c>
      <c r="AA290" s="307">
        <f t="shared" si="307"/>
        <v>17632581.957045544</v>
      </c>
      <c r="AB290" s="307">
        <f t="shared" si="307"/>
        <v>17131093.319723871</v>
      </c>
      <c r="AC290" s="307">
        <f t="shared" si="307"/>
        <v>17408953.294533707</v>
      </c>
      <c r="AD290" s="307">
        <f t="shared" si="307"/>
        <v>17502383.826246209</v>
      </c>
      <c r="AE290" s="307">
        <f t="shared" si="307"/>
        <v>18077383.794303942</v>
      </c>
      <c r="AF290" s="307">
        <f t="shared" si="307"/>
        <v>19867629.497582994</v>
      </c>
      <c r="AG290" s="307">
        <f t="shared" si="307"/>
        <v>20533616.512064554</v>
      </c>
      <c r="AH290" s="307">
        <f t="shared" si="305"/>
        <v>21153389.403986696</v>
      </c>
      <c r="AI290" s="307">
        <f t="shared" si="305"/>
        <v>21817676.464208413</v>
      </c>
      <c r="AJ290" s="307">
        <f t="shared" si="305"/>
        <v>21830342.328346111</v>
      </c>
      <c r="AK290" s="307">
        <f t="shared" si="305"/>
        <v>21502819.594041876</v>
      </c>
      <c r="AL290" s="307">
        <f t="shared" si="305"/>
        <v>24152426.407951228</v>
      </c>
      <c r="AM290" s="307">
        <f t="shared" si="305"/>
        <v>25954488.767887957</v>
      </c>
      <c r="AN290" s="307">
        <f t="shared" si="305"/>
        <v>30950611.02918528</v>
      </c>
      <c r="AO290" s="307">
        <f t="shared" si="305"/>
        <v>36863504.764493726</v>
      </c>
      <c r="AP290" s="307">
        <f t="shared" si="305"/>
        <v>44780650.601909496</v>
      </c>
      <c r="AR290" s="308">
        <v>453406.09818809503</v>
      </c>
      <c r="AS290" s="308">
        <f t="shared" si="299"/>
        <v>1202871.901811905</v>
      </c>
      <c r="AT290" s="308">
        <v>2162014.9008514415</v>
      </c>
      <c r="AU290" s="308">
        <f t="shared" si="300"/>
        <v>1102191.0991485585</v>
      </c>
      <c r="AV290" s="308">
        <v>6069114.1274688905</v>
      </c>
      <c r="AW290" s="308">
        <f t="shared" si="301"/>
        <v>1182040.8725311095</v>
      </c>
      <c r="AX290" s="309">
        <v>6053153.7335202806</v>
      </c>
      <c r="AY290" s="308">
        <f t="shared" si="302"/>
        <v>-2300111.7335202806</v>
      </c>
      <c r="AZ290" s="309">
        <v>7381588.2021800792</v>
      </c>
      <c r="BA290" s="308">
        <f t="shared" si="303"/>
        <v>-154022.20218007918</v>
      </c>
      <c r="BB290" s="331">
        <v>6048060.8563498249</v>
      </c>
      <c r="BC290" s="308">
        <f t="shared" si="304"/>
        <v>3481413.6848401921</v>
      </c>
    </row>
    <row r="291" spans="1:55">
      <c r="A291" s="301" t="s">
        <v>54</v>
      </c>
      <c r="B291" s="308">
        <f t="shared" si="307"/>
        <v>0</v>
      </c>
      <c r="C291" s="308">
        <f t="shared" si="307"/>
        <v>0</v>
      </c>
      <c r="D291" s="308">
        <f t="shared" si="307"/>
        <v>0</v>
      </c>
      <c r="E291" s="308">
        <f t="shared" si="307"/>
        <v>765422</v>
      </c>
      <c r="F291" s="308">
        <f t="shared" si="307"/>
        <v>1731585</v>
      </c>
      <c r="G291" s="308">
        <f t="shared" si="307"/>
        <v>1158175</v>
      </c>
      <c r="H291" s="308">
        <f t="shared" si="307"/>
        <v>2820344</v>
      </c>
      <c r="I291" s="308">
        <f t="shared" si="307"/>
        <v>2289344</v>
      </c>
      <c r="J291" s="308">
        <f t="shared" si="307"/>
        <v>2438715</v>
      </c>
      <c r="K291" s="308">
        <f t="shared" si="307"/>
        <v>2971111</v>
      </c>
      <c r="L291" s="308">
        <f t="shared" si="307"/>
        <v>1621947</v>
      </c>
      <c r="M291" s="308">
        <f t="shared" si="307"/>
        <v>4549541</v>
      </c>
      <c r="N291" s="308">
        <f t="shared" si="307"/>
        <v>7384698</v>
      </c>
      <c r="O291" s="308">
        <f t="shared" si="307"/>
        <v>5565497</v>
      </c>
      <c r="P291" s="308">
        <f t="shared" si="306"/>
        <v>8760089</v>
      </c>
      <c r="Q291" s="307">
        <f t="shared" si="307"/>
        <v>9761260.0857385136</v>
      </c>
      <c r="R291" s="307">
        <f t="shared" si="307"/>
        <v>10918723.738755807</v>
      </c>
      <c r="S291" s="307">
        <f t="shared" si="307"/>
        <v>11618832.131977201</v>
      </c>
      <c r="T291" s="307">
        <f t="shared" si="307"/>
        <v>12244116.843204364</v>
      </c>
      <c r="U291" s="307">
        <f t="shared" si="307"/>
        <v>12326084.170916088</v>
      </c>
      <c r="V291" s="307">
        <f t="shared" si="307"/>
        <v>13134573.33906991</v>
      </c>
      <c r="W291" s="307">
        <f t="shared" si="307"/>
        <v>14859357.473991029</v>
      </c>
      <c r="X291" s="307">
        <f t="shared" si="307"/>
        <v>15771276.29362224</v>
      </c>
      <c r="Y291" s="307">
        <f t="shared" si="307"/>
        <v>17045714.682949632</v>
      </c>
      <c r="Z291" s="307">
        <f t="shared" si="307"/>
        <v>18607137.485610306</v>
      </c>
      <c r="AA291" s="307">
        <f t="shared" si="307"/>
        <v>19316715.2302984</v>
      </c>
      <c r="AB291" s="307">
        <f t="shared" si="307"/>
        <v>18448893.268946037</v>
      </c>
      <c r="AC291" s="307">
        <f t="shared" si="307"/>
        <v>18713862.169740587</v>
      </c>
      <c r="AD291" s="307">
        <f t="shared" si="307"/>
        <v>18712877.955383793</v>
      </c>
      <c r="AE291" s="307">
        <f t="shared" si="307"/>
        <v>19382231.197767779</v>
      </c>
      <c r="AF291" s="307">
        <f t="shared" si="307"/>
        <v>21779034.715849549</v>
      </c>
      <c r="AG291" s="307">
        <f t="shared" si="307"/>
        <v>22582352.293667331</v>
      </c>
      <c r="AH291" s="307">
        <f t="shared" si="305"/>
        <v>23323545.424216852</v>
      </c>
      <c r="AI291" s="307">
        <f t="shared" si="305"/>
        <v>24125408.671627253</v>
      </c>
      <c r="AJ291" s="307">
        <f t="shared" si="305"/>
        <v>24000180.576876476</v>
      </c>
      <c r="AK291" s="307">
        <f t="shared" si="305"/>
        <v>23392996.377326518</v>
      </c>
      <c r="AL291" s="307">
        <f t="shared" si="305"/>
        <v>25428442.478984743</v>
      </c>
      <c r="AM291" s="307">
        <f t="shared" si="305"/>
        <v>27278324.102447584</v>
      </c>
      <c r="AN291" s="307">
        <f t="shared" si="305"/>
        <v>33663092.027368098</v>
      </c>
      <c r="AO291" s="307">
        <f t="shared" si="305"/>
        <v>40994656.302042693</v>
      </c>
      <c r="AP291" s="307">
        <f t="shared" si="305"/>
        <v>48690051.304621547</v>
      </c>
      <c r="AR291" s="308">
        <v>1366279</v>
      </c>
      <c r="AS291" s="308">
        <f t="shared" si="299"/>
        <v>255668</v>
      </c>
      <c r="AT291" s="308">
        <v>2790041.6303746104</v>
      </c>
      <c r="AU291" s="308">
        <f t="shared" si="300"/>
        <v>1759499.3696253896</v>
      </c>
      <c r="AV291" s="308">
        <v>5828857.0840751007</v>
      </c>
      <c r="AW291" s="308">
        <f t="shared" si="301"/>
        <v>1555840.9159248993</v>
      </c>
      <c r="AX291" s="309">
        <v>7312294.6714346269</v>
      </c>
      <c r="AY291" s="308">
        <f t="shared" si="302"/>
        <v>-1746797.6714346269</v>
      </c>
      <c r="AZ291" s="309">
        <v>10939377.722954087</v>
      </c>
      <c r="BA291" s="308">
        <f t="shared" si="303"/>
        <v>-2179288.722954087</v>
      </c>
      <c r="BB291" s="331">
        <v>4717076.7651103809</v>
      </c>
      <c r="BC291" s="308">
        <f t="shared" si="304"/>
        <v>5044183.3206281327</v>
      </c>
    </row>
    <row r="292" spans="1:55" ht="12" thickBot="1">
      <c r="A292" s="301" t="s">
        <v>29</v>
      </c>
      <c r="B292" s="308">
        <f t="shared" ref="B292:P292" si="308">SUM(B280:B291)</f>
        <v>0</v>
      </c>
      <c r="C292" s="308">
        <f t="shared" si="308"/>
        <v>0</v>
      </c>
      <c r="D292" s="308">
        <f t="shared" si="308"/>
        <v>0</v>
      </c>
      <c r="E292" s="308">
        <f t="shared" si="308"/>
        <v>2311157</v>
      </c>
      <c r="F292" s="308">
        <f t="shared" si="308"/>
        <v>12093919</v>
      </c>
      <c r="G292" s="308">
        <f t="shared" si="308"/>
        <v>15992239</v>
      </c>
      <c r="H292" s="308">
        <f t="shared" si="308"/>
        <v>18111187</v>
      </c>
      <c r="I292" s="308">
        <f t="shared" si="308"/>
        <v>21019366</v>
      </c>
      <c r="J292" s="308">
        <f t="shared" si="308"/>
        <v>21401280</v>
      </c>
      <c r="K292" s="308">
        <f t="shared" si="308"/>
        <v>24537999</v>
      </c>
      <c r="L292" s="308">
        <f t="shared" si="308"/>
        <v>22154856</v>
      </c>
      <c r="M292" s="308">
        <f t="shared" si="308"/>
        <v>22407484</v>
      </c>
      <c r="N292" s="308">
        <f t="shared" si="308"/>
        <v>63522153</v>
      </c>
      <c r="O292" s="308">
        <f t="shared" si="308"/>
        <v>52308409</v>
      </c>
      <c r="P292" s="308">
        <f t="shared" si="308"/>
        <v>64025718</v>
      </c>
      <c r="Q292" s="307">
        <f t="shared" ref="Q292:AD292" si="309">SUM(Q280:Q291)</f>
        <v>95242314.380266696</v>
      </c>
      <c r="R292" s="307">
        <f t="shared" si="309"/>
        <v>97106009.352825865</v>
      </c>
      <c r="S292" s="307">
        <f t="shared" si="309"/>
        <v>106071489.77297544</v>
      </c>
      <c r="T292" s="307">
        <f t="shared" si="309"/>
        <v>110960840.36940165</v>
      </c>
      <c r="U292" s="307">
        <f t="shared" si="309"/>
        <v>110459695.87920064</v>
      </c>
      <c r="V292" s="307">
        <f t="shared" si="309"/>
        <v>118825108.88218787</v>
      </c>
      <c r="W292" s="307">
        <f t="shared" si="309"/>
        <v>132224836.80097488</v>
      </c>
      <c r="X292" s="307">
        <f t="shared" si="309"/>
        <v>140100376.5460003</v>
      </c>
      <c r="Y292" s="307">
        <f t="shared" si="309"/>
        <v>150296960.14474714</v>
      </c>
      <c r="Z292" s="307">
        <f t="shared" si="309"/>
        <v>162760217.76927125</v>
      </c>
      <c r="AA292" s="307">
        <f t="shared" si="309"/>
        <v>168985707.78079495</v>
      </c>
      <c r="AB292" s="307">
        <f t="shared" si="309"/>
        <v>162567064.845725</v>
      </c>
      <c r="AC292" s="307">
        <f t="shared" si="309"/>
        <v>165121744.80850932</v>
      </c>
      <c r="AD292" s="307">
        <f t="shared" si="309"/>
        <v>165521073.15101236</v>
      </c>
      <c r="AE292" s="307">
        <f>SUM(AE280:AE291)</f>
        <v>171192071.04810089</v>
      </c>
      <c r="AF292" s="307">
        <f>SUM(AF280:AF291)</f>
        <v>190396821.46314442</v>
      </c>
      <c r="AG292" s="307">
        <f>SUM(AG280:AG291)</f>
        <v>197112896.51484352</v>
      </c>
      <c r="AH292" s="307">
        <f t="shared" ref="AH292:AP292" si="310">SUM(AH280:AH291)</f>
        <v>203350776.63242465</v>
      </c>
      <c r="AI292" s="307">
        <f t="shared" si="310"/>
        <v>210056070.76236412</v>
      </c>
      <c r="AJ292" s="307">
        <f t="shared" si="310"/>
        <v>209525016.66753781</v>
      </c>
      <c r="AK292" s="307">
        <f t="shared" si="310"/>
        <v>205228032.6472047</v>
      </c>
      <c r="AL292" s="307">
        <f t="shared" si="310"/>
        <v>226551829.72233841</v>
      </c>
      <c r="AM292" s="307">
        <f t="shared" si="310"/>
        <v>243235734.58203077</v>
      </c>
      <c r="AN292" s="307">
        <f t="shared" si="310"/>
        <v>295359993.28621042</v>
      </c>
      <c r="AO292" s="307">
        <f t="shared" si="310"/>
        <v>355998349.16070139</v>
      </c>
      <c r="AP292" s="307">
        <f t="shared" si="310"/>
        <v>427268870.26331961</v>
      </c>
      <c r="AR292" s="308">
        <v>18359949</v>
      </c>
      <c r="AS292" s="308">
        <f t="shared" si="299"/>
        <v>3794907</v>
      </c>
      <c r="AT292" s="308">
        <v>20494899.63037461</v>
      </c>
      <c r="AU292" s="308">
        <f t="shared" si="300"/>
        <v>1912584.3696253896</v>
      </c>
      <c r="AV292" s="308">
        <v>61848409.084075101</v>
      </c>
      <c r="AW292" s="308">
        <f t="shared" si="301"/>
        <v>1673743.9159248993</v>
      </c>
      <c r="AX292" s="309">
        <v>56132955.40495491</v>
      </c>
      <c r="AY292" s="308">
        <f t="shared" si="302"/>
        <v>-3824546.4049549103</v>
      </c>
      <c r="AZ292" s="309">
        <v>65994657.526072524</v>
      </c>
      <c r="BA292" s="308">
        <f t="shared" si="303"/>
        <v>-1968939.5260725245</v>
      </c>
      <c r="BB292" s="331">
        <v>70637250.844635159</v>
      </c>
      <c r="BC292" s="308">
        <f t="shared" si="304"/>
        <v>24605063.535631537</v>
      </c>
    </row>
    <row r="293" spans="1:55">
      <c r="A293" s="334"/>
      <c r="B293" s="334"/>
      <c r="C293" s="334"/>
      <c r="D293" s="334"/>
      <c r="E293" s="334"/>
      <c r="F293" s="334"/>
      <c r="G293" s="334"/>
      <c r="H293" s="334"/>
      <c r="I293" s="334"/>
      <c r="J293" s="334"/>
      <c r="K293" s="334"/>
      <c r="L293" s="334"/>
      <c r="M293" s="334"/>
      <c r="N293" s="334"/>
      <c r="O293" s="334"/>
      <c r="P293" s="334"/>
      <c r="Q293" s="334"/>
      <c r="R293" s="334"/>
      <c r="S293" s="334"/>
      <c r="T293" s="334"/>
      <c r="U293" s="334"/>
      <c r="V293" s="334"/>
      <c r="W293" s="334"/>
      <c r="X293" s="334"/>
      <c r="Y293" s="334"/>
      <c r="Z293" s="334"/>
      <c r="AA293" s="334"/>
      <c r="AB293" s="334"/>
      <c r="AC293" s="334"/>
      <c r="AD293" s="334"/>
      <c r="AE293" s="334"/>
      <c r="AF293" s="334"/>
      <c r="AG293" s="334"/>
      <c r="AH293" s="334"/>
      <c r="AI293" s="334"/>
      <c r="AJ293" s="334"/>
      <c r="AK293" s="334"/>
      <c r="AL293" s="334"/>
      <c r="AM293" s="334"/>
      <c r="AN293" s="334"/>
      <c r="AO293" s="334"/>
      <c r="AP293" s="334"/>
      <c r="AT293" s="309"/>
    </row>
    <row r="294" spans="1:55" ht="12" thickBot="1">
      <c r="A294" s="300" t="s">
        <v>450</v>
      </c>
      <c r="AT294" s="309"/>
    </row>
    <row r="295" spans="1:55" ht="12" thickBot="1">
      <c r="A295" s="328"/>
      <c r="B295" s="329">
        <f t="shared" ref="B295:AP295" si="311">B2</f>
        <v>2010</v>
      </c>
      <c r="C295" s="329">
        <f t="shared" si="311"/>
        <v>2011</v>
      </c>
      <c r="D295" s="329">
        <f t="shared" si="311"/>
        <v>2012</v>
      </c>
      <c r="E295" s="329">
        <f t="shared" si="311"/>
        <v>2013</v>
      </c>
      <c r="F295" s="329">
        <f t="shared" si="311"/>
        <v>2014</v>
      </c>
      <c r="G295" s="329">
        <f t="shared" si="311"/>
        <v>2015</v>
      </c>
      <c r="H295" s="329">
        <f t="shared" si="311"/>
        <v>2016</v>
      </c>
      <c r="I295" s="329">
        <f t="shared" si="311"/>
        <v>2017</v>
      </c>
      <c r="J295" s="329">
        <f t="shared" si="311"/>
        <v>2018</v>
      </c>
      <c r="K295" s="329">
        <f t="shared" si="311"/>
        <v>2019</v>
      </c>
      <c r="L295" s="329">
        <f t="shared" si="311"/>
        <v>2020</v>
      </c>
      <c r="M295" s="329">
        <f t="shared" si="311"/>
        <v>2021</v>
      </c>
      <c r="N295" s="329">
        <f t="shared" si="311"/>
        <v>2022</v>
      </c>
      <c r="O295" s="329">
        <f t="shared" si="311"/>
        <v>2023</v>
      </c>
      <c r="P295" s="329">
        <f t="shared" si="311"/>
        <v>2024</v>
      </c>
      <c r="Q295" s="329">
        <f t="shared" si="311"/>
        <v>2025</v>
      </c>
      <c r="R295" s="329">
        <f t="shared" si="311"/>
        <v>2026</v>
      </c>
      <c r="S295" s="329">
        <f t="shared" si="311"/>
        <v>2027</v>
      </c>
      <c r="T295" s="329">
        <f t="shared" si="311"/>
        <v>2028</v>
      </c>
      <c r="U295" s="329">
        <f t="shared" si="311"/>
        <v>2029</v>
      </c>
      <c r="V295" s="329">
        <f t="shared" si="311"/>
        <v>2030</v>
      </c>
      <c r="W295" s="329">
        <f t="shared" si="311"/>
        <v>2031</v>
      </c>
      <c r="X295" s="329">
        <f t="shared" si="311"/>
        <v>2032</v>
      </c>
      <c r="Y295" s="329">
        <f t="shared" si="311"/>
        <v>2033</v>
      </c>
      <c r="Z295" s="329">
        <f t="shared" si="311"/>
        <v>2034</v>
      </c>
      <c r="AA295" s="329">
        <f t="shared" si="311"/>
        <v>2035</v>
      </c>
      <c r="AB295" s="329">
        <f t="shared" si="311"/>
        <v>2036</v>
      </c>
      <c r="AC295" s="329">
        <f t="shared" si="311"/>
        <v>2037</v>
      </c>
      <c r="AD295" s="329">
        <f t="shared" si="311"/>
        <v>2038</v>
      </c>
      <c r="AE295" s="329">
        <f t="shared" si="311"/>
        <v>2039</v>
      </c>
      <c r="AF295" s="329">
        <f t="shared" si="311"/>
        <v>2040</v>
      </c>
      <c r="AG295" s="329">
        <f t="shared" si="311"/>
        <v>2041</v>
      </c>
      <c r="AH295" s="329">
        <f t="shared" si="311"/>
        <v>2042</v>
      </c>
      <c r="AI295" s="329">
        <f t="shared" si="311"/>
        <v>2043</v>
      </c>
      <c r="AJ295" s="329">
        <f t="shared" si="311"/>
        <v>2044</v>
      </c>
      <c r="AK295" s="329">
        <f t="shared" si="311"/>
        <v>2045</v>
      </c>
      <c r="AL295" s="329">
        <f t="shared" si="311"/>
        <v>2046</v>
      </c>
      <c r="AM295" s="329">
        <f t="shared" si="311"/>
        <v>2047</v>
      </c>
      <c r="AN295" s="329">
        <f t="shared" si="311"/>
        <v>2048</v>
      </c>
      <c r="AO295" s="329">
        <f t="shared" si="311"/>
        <v>2049</v>
      </c>
      <c r="AP295" s="329">
        <f t="shared" si="311"/>
        <v>2050</v>
      </c>
      <c r="AT295" s="309"/>
    </row>
    <row r="296" spans="1:55">
      <c r="A296" s="301" t="s">
        <v>43</v>
      </c>
      <c r="B296" s="308">
        <f>'Monthly D5 Gallon Data'!$AC4</f>
        <v>0</v>
      </c>
      <c r="C296" s="308">
        <f>'Monthly D5 Gallon Data'!$AC16</f>
        <v>0</v>
      </c>
      <c r="D296" s="308">
        <f>'Monthly D5 Gallon Data'!$AC28</f>
        <v>0</v>
      </c>
      <c r="E296" s="308">
        <f>'Monthly D5 Gallon Data'!$AC40</f>
        <v>0</v>
      </c>
      <c r="F296" s="308">
        <f>'Monthly D5 Gallon Data'!$AC52</f>
        <v>0</v>
      </c>
      <c r="G296" s="308">
        <f>'Monthly D5 Gallon Data'!$AC64</f>
        <v>0</v>
      </c>
      <c r="H296" s="308">
        <f>'Monthly D5 Gallon Data'!$AC76</f>
        <v>0</v>
      </c>
      <c r="I296" s="308">
        <f>'Monthly D5 Gallon Data'!$AC88</f>
        <v>0</v>
      </c>
      <c r="J296" s="308">
        <f>'Monthly D5 Gallon Data'!$AC100</f>
        <v>0</v>
      </c>
      <c r="K296" s="308">
        <f>'Monthly D5 Gallon Data'!$AC112</f>
        <v>0</v>
      </c>
      <c r="L296" s="308">
        <f>'Monthly D5 Gallon Data'!$AC124</f>
        <v>0</v>
      </c>
      <c r="M296" s="308">
        <f>'Monthly D5 Gallon Data'!$AC136</f>
        <v>0</v>
      </c>
      <c r="N296" s="308">
        <f>'Monthly D5 Gallon Data'!$AC148</f>
        <v>0</v>
      </c>
      <c r="O296" s="308">
        <f>'Monthly D5 Gallon Data'!$AC160</f>
        <v>0</v>
      </c>
      <c r="P296" s="308">
        <f>'Monthly D5 Gallon Data'!$AC172</f>
        <v>0</v>
      </c>
      <c r="Q296" s="308">
        <f>'Monthly D5 Gallon Data'!$AC184</f>
        <v>5700777</v>
      </c>
      <c r="R296" s="307">
        <f t="shared" ref="R296:W300" si="312">(SUM(M296:Q296)/SUM(M$308:Q$308))*R$308</f>
        <v>3956638.1340592946</v>
      </c>
      <c r="S296" s="307">
        <f t="shared" si="312"/>
        <v>4246583.830280914</v>
      </c>
      <c r="T296" s="307">
        <f t="shared" si="312"/>
        <v>4377927.5341358548</v>
      </c>
      <c r="U296" s="307">
        <f t="shared" si="312"/>
        <v>4523554.2725951141</v>
      </c>
      <c r="V296" s="307">
        <f t="shared" si="312"/>
        <v>4944660.5357750747</v>
      </c>
      <c r="W296" s="307">
        <f t="shared" si="312"/>
        <v>4864807.0345677352</v>
      </c>
      <c r="X296" s="307">
        <f t="shared" ref="X296:AD300" si="313">(SUM(S296:W296)/SUM(S$308:W$308))*X$308</f>
        <v>4992803.6531071467</v>
      </c>
      <c r="Y296" s="307">
        <f t="shared" si="313"/>
        <v>5148463.2183716856</v>
      </c>
      <c r="Z296" s="307">
        <f t="shared" si="313"/>
        <v>5302032.2473182157</v>
      </c>
      <c r="AA296" s="307">
        <f t="shared" si="313"/>
        <v>5457223.0264714081</v>
      </c>
      <c r="AB296" s="307">
        <f t="shared" si="313"/>
        <v>5547751.6131651979</v>
      </c>
      <c r="AC296" s="307">
        <f t="shared" si="313"/>
        <v>5693188.4898955086</v>
      </c>
      <c r="AD296" s="307">
        <f t="shared" si="313"/>
        <v>5833679.5220731245</v>
      </c>
      <c r="AE296" s="307">
        <f t="shared" ref="AE296:AP306" si="314">(SUM(Z296:AD296)/SUM(Z$308:AD$308))*AE$308</f>
        <v>5970896.5754133435</v>
      </c>
      <c r="AF296" s="307">
        <f t="shared" si="314"/>
        <v>6104603.2154264245</v>
      </c>
      <c r="AG296" s="307">
        <f t="shared" si="314"/>
        <v>6233718.5548527492</v>
      </c>
      <c r="AH296" s="307">
        <f t="shared" si="314"/>
        <v>6371089.8449015869</v>
      </c>
      <c r="AI296" s="307">
        <f t="shared" si="314"/>
        <v>6506733.3975273864</v>
      </c>
      <c r="AJ296" s="307">
        <f t="shared" si="314"/>
        <v>6641341.9377618674</v>
      </c>
      <c r="AK296" s="307">
        <f t="shared" si="314"/>
        <v>6775395.7983408496</v>
      </c>
      <c r="AL296" s="307">
        <f t="shared" si="314"/>
        <v>8413936.7649726961</v>
      </c>
      <c r="AM296" s="307">
        <f t="shared" si="314"/>
        <v>9087756.3913364839</v>
      </c>
      <c r="AN296" s="307">
        <f t="shared" si="314"/>
        <v>9761037.5430186111</v>
      </c>
      <c r="AO296" s="307">
        <f t="shared" si="314"/>
        <v>10770668.458826544</v>
      </c>
      <c r="AP296" s="307">
        <f t="shared" si="314"/>
        <v>14136328.311971739</v>
      </c>
      <c r="AR296" s="308">
        <v>0</v>
      </c>
      <c r="AS296" s="308">
        <f t="shared" ref="AS296:AS308" si="315">L296-AR296</f>
        <v>0</v>
      </c>
      <c r="AT296" s="308">
        <v>0</v>
      </c>
      <c r="AU296" s="308">
        <f t="shared" ref="AU296:AU308" si="316">M296-AT296</f>
        <v>0</v>
      </c>
      <c r="AV296" s="308">
        <v>0</v>
      </c>
      <c r="AW296" s="308">
        <f t="shared" ref="AW296:AW308" si="317">N296-AV296</f>
        <v>0</v>
      </c>
      <c r="AX296" s="308">
        <v>0</v>
      </c>
      <c r="AY296" s="308">
        <f t="shared" ref="AY296:AY308" si="318">O296-AX296</f>
        <v>0</v>
      </c>
      <c r="AZ296" s="308">
        <v>0</v>
      </c>
      <c r="BA296" s="308">
        <f t="shared" ref="BA296:BA308" si="319">P296-AZ296</f>
        <v>0</v>
      </c>
      <c r="BB296" s="331">
        <v>5700777</v>
      </c>
      <c r="BC296" s="308">
        <f t="shared" ref="BC296:BC308" si="320">Q296-BB296</f>
        <v>0</v>
      </c>
    </row>
    <row r="297" spans="1:55">
      <c r="A297" s="301" t="s">
        <v>44</v>
      </c>
      <c r="B297" s="308">
        <f>'Monthly D5 Gallon Data'!$AC5</f>
        <v>0</v>
      </c>
      <c r="C297" s="308">
        <f>'Monthly D5 Gallon Data'!$AC17</f>
        <v>0</v>
      </c>
      <c r="D297" s="308">
        <f>'Monthly D5 Gallon Data'!$AC29</f>
        <v>0</v>
      </c>
      <c r="E297" s="308">
        <f>'Monthly D5 Gallon Data'!$AC41</f>
        <v>0</v>
      </c>
      <c r="F297" s="308">
        <f>'Monthly D5 Gallon Data'!$AC53</f>
        <v>0</v>
      </c>
      <c r="G297" s="308">
        <f>'Monthly D5 Gallon Data'!$AC65</f>
        <v>0</v>
      </c>
      <c r="H297" s="308">
        <f>'Monthly D5 Gallon Data'!$AC77</f>
        <v>0</v>
      </c>
      <c r="I297" s="308">
        <f>'Monthly D5 Gallon Data'!$AC89</f>
        <v>0</v>
      </c>
      <c r="J297" s="308">
        <f>'Monthly D5 Gallon Data'!$AC101</f>
        <v>0</v>
      </c>
      <c r="K297" s="308">
        <f>'Monthly D5 Gallon Data'!$AC113</f>
        <v>0</v>
      </c>
      <c r="L297" s="308">
        <f>'Monthly D5 Gallon Data'!$AC125</f>
        <v>275611</v>
      </c>
      <c r="M297" s="308">
        <f>'Monthly D5 Gallon Data'!$AC137</f>
        <v>357446</v>
      </c>
      <c r="N297" s="308">
        <f>'Monthly D5 Gallon Data'!$AC149</f>
        <v>0</v>
      </c>
      <c r="O297" s="308">
        <f>'Monthly D5 Gallon Data'!$AC161</f>
        <v>0</v>
      </c>
      <c r="P297" s="308">
        <f>'Monthly D5 Gallon Data'!$AC173</f>
        <v>55877</v>
      </c>
      <c r="Q297" s="332">
        <f>'Monthly D5 Gallon Data'!$AC185</f>
        <v>7398276</v>
      </c>
      <c r="R297" s="307">
        <f t="shared" si="312"/>
        <v>5421659.274056755</v>
      </c>
      <c r="S297" s="307">
        <f t="shared" si="312"/>
        <v>5661785.8345868858</v>
      </c>
      <c r="T297" s="307">
        <f t="shared" si="312"/>
        <v>5836900.6920036729</v>
      </c>
      <c r="U297" s="307">
        <f t="shared" si="312"/>
        <v>6031058.4992901916</v>
      </c>
      <c r="V297" s="307">
        <f t="shared" si="312"/>
        <v>6580386.0027741222</v>
      </c>
      <c r="W297" s="307">
        <f t="shared" si="312"/>
        <v>6515673.6134747788</v>
      </c>
      <c r="X297" s="307">
        <f t="shared" si="313"/>
        <v>6660499.1013400685</v>
      </c>
      <c r="Y297" s="307">
        <f t="shared" si="313"/>
        <v>6868856.0434000269</v>
      </c>
      <c r="Z297" s="307">
        <f t="shared" si="313"/>
        <v>7074594.7443078309</v>
      </c>
      <c r="AA297" s="307">
        <f t="shared" si="313"/>
        <v>7282705.6982909674</v>
      </c>
      <c r="AB297" s="307">
        <f t="shared" si="313"/>
        <v>7407457.3621134553</v>
      </c>
      <c r="AC297" s="307">
        <f t="shared" si="313"/>
        <v>7597321.4524377398</v>
      </c>
      <c r="AD297" s="307">
        <f t="shared" si="313"/>
        <v>7785271.0323438533</v>
      </c>
      <c r="AE297" s="307">
        <f t="shared" si="314"/>
        <v>7968814.5267117461</v>
      </c>
      <c r="AF297" s="307">
        <f t="shared" si="314"/>
        <v>8147592.0307561299</v>
      </c>
      <c r="AG297" s="307">
        <f t="shared" si="314"/>
        <v>8320099.6788556837</v>
      </c>
      <c r="AH297" s="307">
        <f t="shared" si="314"/>
        <v>8502826.1566894595</v>
      </c>
      <c r="AI297" s="307">
        <f t="shared" si="314"/>
        <v>8684021.8887164742</v>
      </c>
      <c r="AJ297" s="307">
        <f t="shared" si="314"/>
        <v>8863775.2830925286</v>
      </c>
      <c r="AK297" s="307">
        <f t="shared" si="314"/>
        <v>9042722.4692779705</v>
      </c>
      <c r="AL297" s="307">
        <f t="shared" si="314"/>
        <v>11229551.339015033</v>
      </c>
      <c r="AM297" s="307">
        <f t="shared" si="314"/>
        <v>12128764.766227402</v>
      </c>
      <c r="AN297" s="307">
        <f t="shared" si="314"/>
        <v>13027396.678150486</v>
      </c>
      <c r="AO297" s="307">
        <f t="shared" si="314"/>
        <v>14374902.67370867</v>
      </c>
      <c r="AP297" s="307">
        <f t="shared" si="314"/>
        <v>18866823.352422003</v>
      </c>
      <c r="AR297" s="308">
        <v>0</v>
      </c>
      <c r="AS297" s="308">
        <f t="shared" si="315"/>
        <v>275611</v>
      </c>
      <c r="AT297" s="308">
        <v>115929.85793908557</v>
      </c>
      <c r="AU297" s="308">
        <f t="shared" si="316"/>
        <v>241516.14206091443</v>
      </c>
      <c r="AV297" s="308">
        <v>236017.29424590553</v>
      </c>
      <c r="AW297" s="308">
        <f t="shared" si="317"/>
        <v>-236017.29424590553</v>
      </c>
      <c r="AX297" s="308">
        <v>116166.01877371108</v>
      </c>
      <c r="AY297" s="308">
        <f t="shared" si="318"/>
        <v>-116166.01877371108</v>
      </c>
      <c r="AZ297" s="308">
        <v>55877</v>
      </c>
      <c r="BA297" s="308">
        <f t="shared" si="319"/>
        <v>0</v>
      </c>
      <c r="BB297" s="331">
        <v>7398276</v>
      </c>
      <c r="BC297" s="308">
        <f t="shared" si="320"/>
        <v>0</v>
      </c>
    </row>
    <row r="298" spans="1:55">
      <c r="A298" s="301" t="s">
        <v>45</v>
      </c>
      <c r="B298" s="308">
        <f>'Monthly D5 Gallon Data'!$AC6</f>
        <v>0</v>
      </c>
      <c r="C298" s="308">
        <f>'Monthly D5 Gallon Data'!$AC18</f>
        <v>0</v>
      </c>
      <c r="D298" s="308">
        <f>'Monthly D5 Gallon Data'!$AC30</f>
        <v>0</v>
      </c>
      <c r="E298" s="308">
        <f>'Monthly D5 Gallon Data'!$AC42</f>
        <v>0</v>
      </c>
      <c r="F298" s="308">
        <f>'Monthly D5 Gallon Data'!$AC54</f>
        <v>0</v>
      </c>
      <c r="G298" s="308">
        <f>'Monthly D5 Gallon Data'!$AC66</f>
        <v>0</v>
      </c>
      <c r="H298" s="308">
        <f>'Monthly D5 Gallon Data'!$AC78</f>
        <v>0</v>
      </c>
      <c r="I298" s="308">
        <f>'Monthly D5 Gallon Data'!$AC90</f>
        <v>0</v>
      </c>
      <c r="J298" s="308">
        <f>'Monthly D5 Gallon Data'!$AC102</f>
        <v>0</v>
      </c>
      <c r="K298" s="308">
        <f>'Monthly D5 Gallon Data'!$AC114</f>
        <v>0</v>
      </c>
      <c r="L298" s="308">
        <f>'Monthly D5 Gallon Data'!$AC126</f>
        <v>188487</v>
      </c>
      <c r="M298" s="308">
        <f>'Monthly D5 Gallon Data'!$AC138</f>
        <v>158138</v>
      </c>
      <c r="N298" s="308">
        <f>'Monthly D5 Gallon Data'!$AC150</f>
        <v>523590</v>
      </c>
      <c r="O298" s="308">
        <f>'Monthly D5 Gallon Data'!$AC162</f>
        <v>86961</v>
      </c>
      <c r="P298" s="308">
        <f>'Monthly D5 Gallon Data'!$AC174</f>
        <v>26975</v>
      </c>
      <c r="Q298" s="332">
        <f>'Monthly D5 Gallon Data'!$AC186</f>
        <v>5198421</v>
      </c>
      <c r="R298" s="307">
        <f t="shared" si="312"/>
        <v>4160209.2644200609</v>
      </c>
      <c r="S298" s="307">
        <f t="shared" si="312"/>
        <v>4395535.9656994166</v>
      </c>
      <c r="T298" s="307">
        <f t="shared" si="312"/>
        <v>4366624.7929940037</v>
      </c>
      <c r="U298" s="307">
        <f t="shared" si="312"/>
        <v>4490358.526425235</v>
      </c>
      <c r="V298" s="307">
        <f t="shared" si="312"/>
        <v>4902525.8431708543</v>
      </c>
      <c r="W298" s="307">
        <f t="shared" si="312"/>
        <v>4923471.0369457109</v>
      </c>
      <c r="X298" s="307">
        <f t="shared" si="313"/>
        <v>5019115.0232623722</v>
      </c>
      <c r="Y298" s="307">
        <f t="shared" si="313"/>
        <v>5148103.1420444325</v>
      </c>
      <c r="Z298" s="307">
        <f t="shared" si="313"/>
        <v>5304043.6893703155</v>
      </c>
      <c r="AA298" s="307">
        <f t="shared" si="313"/>
        <v>5466837.9339793967</v>
      </c>
      <c r="AB298" s="307">
        <f t="shared" si="313"/>
        <v>5568474.218408295</v>
      </c>
      <c r="AC298" s="307">
        <f t="shared" si="313"/>
        <v>5705738.0539047327</v>
      </c>
      <c r="AD298" s="307">
        <f t="shared" si="313"/>
        <v>5843249.9028327996</v>
      </c>
      <c r="AE298" s="307">
        <f t="shared" si="314"/>
        <v>5982581.1923451405</v>
      </c>
      <c r="AF298" s="307">
        <f t="shared" si="314"/>
        <v>6118340.9095765818</v>
      </c>
      <c r="AG298" s="307">
        <f t="shared" si="314"/>
        <v>6248316.9146458358</v>
      </c>
      <c r="AH298" s="307">
        <f t="shared" si="314"/>
        <v>6384359.1269561797</v>
      </c>
      <c r="AI298" s="307">
        <f t="shared" si="314"/>
        <v>6520137.592234659</v>
      </c>
      <c r="AJ298" s="307">
        <f t="shared" si="314"/>
        <v>6655544.5878738603</v>
      </c>
      <c r="AK298" s="307">
        <f t="shared" si="314"/>
        <v>6790115.7264956115</v>
      </c>
      <c r="AL298" s="307">
        <f t="shared" si="314"/>
        <v>8432093.6234366652</v>
      </c>
      <c r="AM298" s="307">
        <f t="shared" si="314"/>
        <v>9107067.1813316382</v>
      </c>
      <c r="AN298" s="307">
        <f t="shared" si="314"/>
        <v>9781849.110799538</v>
      </c>
      <c r="AO298" s="307">
        <f t="shared" si="314"/>
        <v>10793756.80421971</v>
      </c>
      <c r="AP298" s="307">
        <f t="shared" si="314"/>
        <v>14166642.099781362</v>
      </c>
      <c r="AR298" s="308">
        <v>0</v>
      </c>
      <c r="AS298" s="308">
        <f t="shared" si="315"/>
        <v>188487</v>
      </c>
      <c r="AT298" s="308">
        <v>103371.80020976186</v>
      </c>
      <c r="AU298" s="308">
        <f t="shared" si="316"/>
        <v>54766.199790238141</v>
      </c>
      <c r="AV298" s="308">
        <v>109941.32011326653</v>
      </c>
      <c r="AW298" s="308">
        <f t="shared" si="317"/>
        <v>413648.67988673347</v>
      </c>
      <c r="AX298" s="308">
        <v>159684.53397903347</v>
      </c>
      <c r="AY298" s="308">
        <f t="shared" si="318"/>
        <v>-72723.533979033469</v>
      </c>
      <c r="AZ298" s="308">
        <v>26975</v>
      </c>
      <c r="BA298" s="308">
        <f t="shared" si="319"/>
        <v>0</v>
      </c>
      <c r="BB298" s="331">
        <v>2261334.0915286653</v>
      </c>
      <c r="BC298" s="308">
        <f t="shared" si="320"/>
        <v>2937086.9084713347</v>
      </c>
    </row>
    <row r="299" spans="1:55">
      <c r="A299" s="301" t="s">
        <v>46</v>
      </c>
      <c r="B299" s="308">
        <f>'Monthly D5 Gallon Data'!$AC7</f>
        <v>0</v>
      </c>
      <c r="C299" s="308">
        <f>'Monthly D5 Gallon Data'!$AC19</f>
        <v>0</v>
      </c>
      <c r="D299" s="308">
        <f>'Monthly D5 Gallon Data'!$AC31</f>
        <v>0</v>
      </c>
      <c r="E299" s="308">
        <f>'Monthly D5 Gallon Data'!$AC43</f>
        <v>0</v>
      </c>
      <c r="F299" s="308">
        <f>'Monthly D5 Gallon Data'!$AC55</f>
        <v>0</v>
      </c>
      <c r="G299" s="308">
        <f>'Monthly D5 Gallon Data'!$AC67</f>
        <v>0</v>
      </c>
      <c r="H299" s="308">
        <f>'Monthly D5 Gallon Data'!$AC79</f>
        <v>0</v>
      </c>
      <c r="I299" s="308">
        <f>'Monthly D5 Gallon Data'!$AC91</f>
        <v>0</v>
      </c>
      <c r="J299" s="308">
        <f>'Monthly D5 Gallon Data'!$AC103</f>
        <v>0</v>
      </c>
      <c r="K299" s="308">
        <f>'Monthly D5 Gallon Data'!$AC115</f>
        <v>0</v>
      </c>
      <c r="L299" s="308">
        <f>'Monthly D5 Gallon Data'!$AC127</f>
        <v>288443</v>
      </c>
      <c r="M299" s="308">
        <f>'Monthly D5 Gallon Data'!$AC139</f>
        <v>52122</v>
      </c>
      <c r="N299" s="308">
        <f>'Monthly D5 Gallon Data'!$AC151</f>
        <v>283536</v>
      </c>
      <c r="O299" s="308">
        <f>'Monthly D5 Gallon Data'!$AC163</f>
        <v>151279</v>
      </c>
      <c r="P299" s="308">
        <f>'Monthly D5 Gallon Data'!$AC175</f>
        <v>1125974</v>
      </c>
      <c r="Q299" s="307">
        <f>(SUM(L299:P299)/SUM(L$308:P$308))*Q$308+1000000</f>
        <v>4629943.7929588985</v>
      </c>
      <c r="R299" s="307">
        <f t="shared" si="312"/>
        <v>4332868.5439223489</v>
      </c>
      <c r="S299" s="307">
        <f t="shared" si="312"/>
        <v>4627465.4918700028</v>
      </c>
      <c r="T299" s="307">
        <f t="shared" si="312"/>
        <v>4681313.1061602049</v>
      </c>
      <c r="U299" s="307">
        <f t="shared" si="312"/>
        <v>4799600.1814455474</v>
      </c>
      <c r="V299" s="307">
        <f t="shared" si="312"/>
        <v>5002271.5754839396</v>
      </c>
      <c r="W299" s="307">
        <f t="shared" si="312"/>
        <v>5172402.8895876799</v>
      </c>
      <c r="X299" s="307">
        <f t="shared" si="313"/>
        <v>5281077.7121790573</v>
      </c>
      <c r="Y299" s="307">
        <f t="shared" si="313"/>
        <v>5416252.2184223449</v>
      </c>
      <c r="Z299" s="307">
        <f t="shared" si="313"/>
        <v>5561414.9565910352</v>
      </c>
      <c r="AA299" s="307">
        <f t="shared" si="313"/>
        <v>5712366.7490892187</v>
      </c>
      <c r="AB299" s="307">
        <f t="shared" si="313"/>
        <v>5844500.3922446286</v>
      </c>
      <c r="AC299" s="307">
        <f t="shared" si="313"/>
        <v>5987518.2662803568</v>
      </c>
      <c r="AD299" s="307">
        <f t="shared" si="313"/>
        <v>6128793.1959942468</v>
      </c>
      <c r="AE299" s="307">
        <f t="shared" si="314"/>
        <v>6271377.4207179304</v>
      </c>
      <c r="AF299" s="307">
        <f t="shared" si="314"/>
        <v>6413405.7970589176</v>
      </c>
      <c r="AG299" s="307">
        <f t="shared" si="314"/>
        <v>6553524.2549295602</v>
      </c>
      <c r="AH299" s="307">
        <f t="shared" si="314"/>
        <v>6695351.7928842697</v>
      </c>
      <c r="AI299" s="307">
        <f t="shared" si="314"/>
        <v>6836924.5017367527</v>
      </c>
      <c r="AJ299" s="307">
        <f t="shared" si="314"/>
        <v>6978560.3640514864</v>
      </c>
      <c r="AK299" s="307">
        <f t="shared" si="314"/>
        <v>7119994.1245177574</v>
      </c>
      <c r="AL299" s="307">
        <f t="shared" si="314"/>
        <v>8842306.0108949356</v>
      </c>
      <c r="AM299" s="307">
        <f t="shared" si="314"/>
        <v>9549793.3809183538</v>
      </c>
      <c r="AN299" s="307">
        <f t="shared" si="314"/>
        <v>10257215.334845392</v>
      </c>
      <c r="AO299" s="307">
        <f t="shared" si="314"/>
        <v>11318317.18424039</v>
      </c>
      <c r="AP299" s="307">
        <f t="shared" si="314"/>
        <v>14855256.467268886</v>
      </c>
      <c r="AR299" s="308">
        <v>0</v>
      </c>
      <c r="AS299" s="308">
        <f t="shared" si="315"/>
        <v>288443</v>
      </c>
      <c r="AT299" s="308">
        <v>163996.58814615512</v>
      </c>
      <c r="AU299" s="308">
        <f t="shared" si="316"/>
        <v>-111874.58814615512</v>
      </c>
      <c r="AV299" s="308">
        <v>108019.23024702378</v>
      </c>
      <c r="AW299" s="308">
        <f t="shared" si="317"/>
        <v>175516.76975297622</v>
      </c>
      <c r="AX299" s="308">
        <v>114522.59193515254</v>
      </c>
      <c r="AY299" s="308">
        <f t="shared" si="318"/>
        <v>36756.408064847463</v>
      </c>
      <c r="AZ299" s="308">
        <v>1125974</v>
      </c>
      <c r="BA299" s="308">
        <f t="shared" si="319"/>
        <v>0</v>
      </c>
      <c r="BB299" s="331">
        <v>3436864.4854950039</v>
      </c>
      <c r="BC299" s="308">
        <f t="shared" si="320"/>
        <v>1193079.3074638946</v>
      </c>
    </row>
    <row r="300" spans="1:55">
      <c r="A300" s="301" t="s">
        <v>47</v>
      </c>
      <c r="B300" s="308">
        <f>'Monthly D5 Gallon Data'!$AC8</f>
        <v>0</v>
      </c>
      <c r="C300" s="308">
        <f>'Monthly D5 Gallon Data'!$AC20</f>
        <v>0</v>
      </c>
      <c r="D300" s="308">
        <f>'Monthly D5 Gallon Data'!$AC32</f>
        <v>0</v>
      </c>
      <c r="E300" s="308">
        <f>'Monthly D5 Gallon Data'!$AC44</f>
        <v>0</v>
      </c>
      <c r="F300" s="308">
        <f>'Monthly D5 Gallon Data'!$AC56</f>
        <v>0</v>
      </c>
      <c r="G300" s="308">
        <f>'Monthly D5 Gallon Data'!$AC68</f>
        <v>0</v>
      </c>
      <c r="H300" s="308">
        <f>'Monthly D5 Gallon Data'!$AC80</f>
        <v>0</v>
      </c>
      <c r="I300" s="308">
        <f>'Monthly D5 Gallon Data'!$AC92</f>
        <v>0</v>
      </c>
      <c r="J300" s="308">
        <f>'Monthly D5 Gallon Data'!$AC104</f>
        <v>0</v>
      </c>
      <c r="K300" s="308">
        <f>'Monthly D5 Gallon Data'!$AC116</f>
        <v>511168</v>
      </c>
      <c r="L300" s="308">
        <f>'Monthly D5 Gallon Data'!$AC128</f>
        <v>76739</v>
      </c>
      <c r="M300" s="308">
        <f>'Monthly D5 Gallon Data'!$AC140</f>
        <v>405003</v>
      </c>
      <c r="N300" s="308">
        <f>'Monthly D5 Gallon Data'!$AC152</f>
        <v>61757</v>
      </c>
      <c r="O300" s="308">
        <f>'Monthly D5 Gallon Data'!$AC164</f>
        <v>83490</v>
      </c>
      <c r="P300" s="308">
        <f>'Monthly D5 Gallon Data'!$AC176</f>
        <v>126993</v>
      </c>
      <c r="Q300" s="307">
        <f>(SUM(L300:P300)/SUM(L$308:P$308))*Q$308+1000000</f>
        <v>2439454.3472192641</v>
      </c>
      <c r="R300" s="307">
        <f t="shared" si="312"/>
        <v>2163151.3697745381</v>
      </c>
      <c r="S300" s="307">
        <f t="shared" si="312"/>
        <v>2143579.9030623864</v>
      </c>
      <c r="T300" s="307">
        <f t="shared" si="312"/>
        <v>2190433.9302464905</v>
      </c>
      <c r="U300" s="307">
        <f t="shared" si="312"/>
        <v>2242638.0108511001</v>
      </c>
      <c r="V300" s="307">
        <f t="shared" si="312"/>
        <v>2423874.9551827926</v>
      </c>
      <c r="W300" s="307">
        <f t="shared" si="312"/>
        <v>2463070.5599031411</v>
      </c>
      <c r="X300" s="307">
        <f t="shared" si="313"/>
        <v>2493102.8197165541</v>
      </c>
      <c r="Y300" s="307">
        <f t="shared" si="313"/>
        <v>2565813.7408550326</v>
      </c>
      <c r="Z300" s="307">
        <f t="shared" si="313"/>
        <v>2640477.9832086572</v>
      </c>
      <c r="AA300" s="307">
        <f t="shared" si="313"/>
        <v>2719958.0003953837</v>
      </c>
      <c r="AB300" s="307">
        <f t="shared" si="313"/>
        <v>2773823.8102178201</v>
      </c>
      <c r="AC300" s="307">
        <f t="shared" si="313"/>
        <v>2839929.7607105034</v>
      </c>
      <c r="AD300" s="307">
        <f t="shared" si="313"/>
        <v>2909463.8203231692</v>
      </c>
      <c r="AE300" s="307">
        <f t="shared" si="314"/>
        <v>2978308.2194336187</v>
      </c>
      <c r="AF300" s="307">
        <f t="shared" si="314"/>
        <v>3045900.7426921371</v>
      </c>
      <c r="AG300" s="307">
        <f t="shared" si="314"/>
        <v>3110949.9172311649</v>
      </c>
      <c r="AH300" s="307">
        <f t="shared" si="314"/>
        <v>3178393.4357043873</v>
      </c>
      <c r="AI300" s="307">
        <f t="shared" si="314"/>
        <v>3246121.3667620732</v>
      </c>
      <c r="AJ300" s="307">
        <f t="shared" si="314"/>
        <v>3313463.1596586653</v>
      </c>
      <c r="AK300" s="307">
        <f t="shared" si="314"/>
        <v>3380484.9462423124</v>
      </c>
      <c r="AL300" s="307">
        <f t="shared" si="314"/>
        <v>4197985.728297621</v>
      </c>
      <c r="AM300" s="307">
        <f t="shared" si="314"/>
        <v>4533980.926977857</v>
      </c>
      <c r="AN300" s="307">
        <f t="shared" si="314"/>
        <v>4869943.769315741</v>
      </c>
      <c r="AO300" s="307">
        <f t="shared" si="314"/>
        <v>5373717.3008087901</v>
      </c>
      <c r="AP300" s="307">
        <f t="shared" si="314"/>
        <v>7052931.21166512</v>
      </c>
      <c r="AR300" s="308">
        <v>550201.87078977062</v>
      </c>
      <c r="AS300" s="308">
        <f t="shared" si="315"/>
        <v>-473462.87078977062</v>
      </c>
      <c r="AT300" s="308">
        <v>316642.25450519379</v>
      </c>
      <c r="AU300" s="308">
        <f t="shared" si="316"/>
        <v>88360.745494806208</v>
      </c>
      <c r="AV300" s="308">
        <v>364653.20027795795</v>
      </c>
      <c r="AW300" s="308">
        <f t="shared" si="317"/>
        <v>-302896.20027795795</v>
      </c>
      <c r="AX300" s="308">
        <v>193531.49324944444</v>
      </c>
      <c r="AY300" s="308">
        <f t="shared" si="318"/>
        <v>-110041.49324944444</v>
      </c>
      <c r="AZ300" s="308">
        <v>126993</v>
      </c>
      <c r="BA300" s="308">
        <f t="shared" si="319"/>
        <v>0</v>
      </c>
      <c r="BB300" s="331">
        <v>1966338.703104469</v>
      </c>
      <c r="BC300" s="308">
        <f t="shared" si="320"/>
        <v>473115.64411479514</v>
      </c>
    </row>
    <row r="301" spans="1:55">
      <c r="A301" s="301" t="s">
        <v>48</v>
      </c>
      <c r="B301" s="308">
        <f>'Monthly D5 Gallon Data'!$AC9</f>
        <v>0</v>
      </c>
      <c r="C301" s="308">
        <f>'Monthly D5 Gallon Data'!$AC21</f>
        <v>0</v>
      </c>
      <c r="D301" s="308">
        <f>'Monthly D5 Gallon Data'!$AC33</f>
        <v>0</v>
      </c>
      <c r="E301" s="308">
        <f>'Monthly D5 Gallon Data'!$AC45</f>
        <v>0</v>
      </c>
      <c r="F301" s="308">
        <f>'Monthly D5 Gallon Data'!$AC57</f>
        <v>0</v>
      </c>
      <c r="G301" s="308">
        <f>'Monthly D5 Gallon Data'!$AC69</f>
        <v>0</v>
      </c>
      <c r="H301" s="308">
        <f>'Monthly D5 Gallon Data'!$AC81</f>
        <v>0</v>
      </c>
      <c r="I301" s="308">
        <f>'Monthly D5 Gallon Data'!$AC93</f>
        <v>0</v>
      </c>
      <c r="J301" s="308">
        <f>'Monthly D5 Gallon Data'!$AC105</f>
        <v>0</v>
      </c>
      <c r="K301" s="308">
        <f>'Monthly D5 Gallon Data'!$AC117</f>
        <v>0</v>
      </c>
      <c r="L301" s="308">
        <f>'Monthly D5 Gallon Data'!$AC129</f>
        <v>0</v>
      </c>
      <c r="M301" s="308">
        <f>'Monthly D5 Gallon Data'!$AC141</f>
        <v>357103</v>
      </c>
      <c r="N301" s="308">
        <f>'Monthly D5 Gallon Data'!$AC153</f>
        <v>133548</v>
      </c>
      <c r="O301" s="308">
        <f>'Monthly D5 Gallon Data'!$AC165</f>
        <v>0</v>
      </c>
      <c r="P301" s="308">
        <f>'Monthly D5 Gallon Data'!$AC177</f>
        <v>1415949</v>
      </c>
      <c r="Q301" s="307">
        <f>(SUM(L301:P301)/SUM(L$308:P$308))*Q$308</f>
        <v>3639959.1215814813</v>
      </c>
      <c r="R301" s="307">
        <f t="shared" ref="R301:R306" si="321">(SUM(M301:Q301)/SUM(M$308:Q$308))*R$308</f>
        <v>3849602.8406765801</v>
      </c>
      <c r="S301" s="307">
        <f t="shared" ref="S301:S306" si="322">(SUM(N301:R301)/SUM(N$308:R$308))*S$308</f>
        <v>3974678.6378382039</v>
      </c>
      <c r="T301" s="307">
        <f t="shared" ref="T301:AD306" si="323">(SUM(O301:S301)/SUM(O$308:S$308))*T$308</f>
        <v>4055562.4924722896</v>
      </c>
      <c r="U301" s="307">
        <f t="shared" si="323"/>
        <v>4190466.1275350894</v>
      </c>
      <c r="V301" s="307">
        <f t="shared" si="323"/>
        <v>4273559.9981640233</v>
      </c>
      <c r="W301" s="307">
        <f t="shared" si="323"/>
        <v>4488519.5318742869</v>
      </c>
      <c r="X301" s="307">
        <f t="shared" si="323"/>
        <v>4563335.8593314858</v>
      </c>
      <c r="Y301" s="307">
        <f t="shared" si="323"/>
        <v>4685324.9739834527</v>
      </c>
      <c r="Z301" s="307">
        <f t="shared" si="323"/>
        <v>4809598.9271680694</v>
      </c>
      <c r="AA301" s="307">
        <f t="shared" si="323"/>
        <v>4931565.8193476535</v>
      </c>
      <c r="AB301" s="307">
        <f t="shared" si="323"/>
        <v>5055321.6711799251</v>
      </c>
      <c r="AC301" s="307">
        <f t="shared" si="323"/>
        <v>5175897.5582912806</v>
      </c>
      <c r="AD301" s="307">
        <f t="shared" si="323"/>
        <v>5298426.4860878699</v>
      </c>
      <c r="AE301" s="307">
        <f t="shared" si="314"/>
        <v>5421070.4112835592</v>
      </c>
      <c r="AF301" s="307">
        <f t="shared" si="314"/>
        <v>5543364.1073175427</v>
      </c>
      <c r="AG301" s="307">
        <f t="shared" si="314"/>
        <v>5665727.717703267</v>
      </c>
      <c r="AH301" s="307">
        <f t="shared" si="314"/>
        <v>5787793.8555368185</v>
      </c>
      <c r="AI301" s="307">
        <f t="shared" si="314"/>
        <v>5910178.4360879064</v>
      </c>
      <c r="AJ301" s="307">
        <f t="shared" si="314"/>
        <v>6032532.0478795571</v>
      </c>
      <c r="AK301" s="307">
        <f t="shared" si="314"/>
        <v>6154823.7801573174</v>
      </c>
      <c r="AL301" s="307">
        <f t="shared" si="314"/>
        <v>7643832.342825884</v>
      </c>
      <c r="AM301" s="307">
        <f t="shared" si="314"/>
        <v>8255307.723886366</v>
      </c>
      <c r="AN301" s="307">
        <f t="shared" si="314"/>
        <v>8866836.5464005191</v>
      </c>
      <c r="AO301" s="307">
        <f t="shared" si="314"/>
        <v>9784102.5824655686</v>
      </c>
      <c r="AP301" s="307">
        <f t="shared" si="314"/>
        <v>12841627.919934632</v>
      </c>
      <c r="AR301" s="308">
        <v>0</v>
      </c>
      <c r="AS301" s="308">
        <f t="shared" si="315"/>
        <v>0</v>
      </c>
      <c r="AT301" s="308">
        <v>0</v>
      </c>
      <c r="AU301" s="308">
        <f t="shared" si="316"/>
        <v>357103</v>
      </c>
      <c r="AV301" s="308">
        <v>281148.5953196761</v>
      </c>
      <c r="AW301" s="308">
        <f t="shared" si="317"/>
        <v>-147600.5953196761</v>
      </c>
      <c r="AX301" s="308">
        <v>90034.504440105899</v>
      </c>
      <c r="AY301" s="308">
        <f t="shared" si="318"/>
        <v>-90034.504440105899</v>
      </c>
      <c r="AZ301" s="308">
        <v>1415949</v>
      </c>
      <c r="BA301" s="308">
        <f t="shared" si="319"/>
        <v>0</v>
      </c>
      <c r="BB301" s="331">
        <v>2443588.0052030161</v>
      </c>
      <c r="BC301" s="308">
        <f t="shared" si="320"/>
        <v>1196371.1163784652</v>
      </c>
    </row>
    <row r="302" spans="1:55">
      <c r="A302" s="301" t="s">
        <v>49</v>
      </c>
      <c r="B302" s="308">
        <f>'Monthly D5 Gallon Data'!$AC10</f>
        <v>0</v>
      </c>
      <c r="C302" s="308">
        <f>'Monthly D5 Gallon Data'!$AC22</f>
        <v>0</v>
      </c>
      <c r="D302" s="308">
        <f>'Monthly D5 Gallon Data'!$AC34</f>
        <v>0</v>
      </c>
      <c r="E302" s="308">
        <f>'Monthly D5 Gallon Data'!$AC46</f>
        <v>0</v>
      </c>
      <c r="F302" s="308">
        <f>'Monthly D5 Gallon Data'!$AC58</f>
        <v>0</v>
      </c>
      <c r="G302" s="308">
        <f>'Monthly D5 Gallon Data'!$AC70</f>
        <v>0</v>
      </c>
      <c r="H302" s="308">
        <f>'Monthly D5 Gallon Data'!$AC82</f>
        <v>0</v>
      </c>
      <c r="I302" s="308">
        <f>'Monthly D5 Gallon Data'!$AC94</f>
        <v>0</v>
      </c>
      <c r="J302" s="308">
        <f>'Monthly D5 Gallon Data'!$AC106</f>
        <v>0</v>
      </c>
      <c r="K302" s="308">
        <f>'Monthly D5 Gallon Data'!$AC118</f>
        <v>229748</v>
      </c>
      <c r="L302" s="308">
        <f>'Monthly D5 Gallon Data'!$AC130</f>
        <v>517912</v>
      </c>
      <c r="M302" s="308">
        <f>'Monthly D5 Gallon Data'!$AC142</f>
        <v>362495</v>
      </c>
      <c r="N302" s="308">
        <f>'Monthly D5 Gallon Data'!$AC154</f>
        <v>117189</v>
      </c>
      <c r="O302" s="308">
        <f>'Monthly D5 Gallon Data'!$AC166</f>
        <v>161951</v>
      </c>
      <c r="P302" s="308">
        <f>'Monthly D5 Gallon Data'!$AC178</f>
        <v>1403057</v>
      </c>
      <c r="Q302" s="307">
        <f>(SUM(L302:P302)/SUM(L$308:P$308))*Q$308</f>
        <v>4892360.1200048197</v>
      </c>
      <c r="R302" s="307">
        <f t="shared" si="321"/>
        <v>4814677.8861842761</v>
      </c>
      <c r="S302" s="307">
        <f t="shared" si="322"/>
        <v>5008104.1919777747</v>
      </c>
      <c r="T302" s="307">
        <f t="shared" si="323"/>
        <v>5126102.0656875595</v>
      </c>
      <c r="U302" s="307">
        <f t="shared" si="323"/>
        <v>5256543.9292416545</v>
      </c>
      <c r="V302" s="307">
        <f t="shared" si="323"/>
        <v>5441676.2382429177</v>
      </c>
      <c r="W302" s="307">
        <f t="shared" si="323"/>
        <v>5658585.5144735808</v>
      </c>
      <c r="X302" s="307">
        <f t="shared" si="323"/>
        <v>5761264.5048591206</v>
      </c>
      <c r="Y302" s="307">
        <f t="shared" si="323"/>
        <v>5917443.477343427</v>
      </c>
      <c r="Z302" s="307">
        <f t="shared" si="323"/>
        <v>6073524.7202485586</v>
      </c>
      <c r="AA302" s="307">
        <f t="shared" si="323"/>
        <v>6235138.4721577372</v>
      </c>
      <c r="AB302" s="307">
        <f t="shared" si="323"/>
        <v>6383322.444581639</v>
      </c>
      <c r="AC302" s="307">
        <f t="shared" si="323"/>
        <v>6537518.6646267623</v>
      </c>
      <c r="AD302" s="307">
        <f t="shared" si="323"/>
        <v>6692828.3324159244</v>
      </c>
      <c r="AE302" s="307">
        <f t="shared" si="314"/>
        <v>6847948.6703129206</v>
      </c>
      <c r="AF302" s="307">
        <f t="shared" si="314"/>
        <v>7002861.1561682448</v>
      </c>
      <c r="AG302" s="307">
        <f t="shared" si="314"/>
        <v>7156339.305689496</v>
      </c>
      <c r="AH302" s="307">
        <f t="shared" si="314"/>
        <v>7310950.9500959804</v>
      </c>
      <c r="AI302" s="307">
        <f t="shared" si="314"/>
        <v>7465650.8136328077</v>
      </c>
      <c r="AJ302" s="307">
        <f t="shared" si="314"/>
        <v>7620220.2393534398</v>
      </c>
      <c r="AK302" s="307">
        <f t="shared" si="314"/>
        <v>7774672.2896908773</v>
      </c>
      <c r="AL302" s="307">
        <f t="shared" si="314"/>
        <v>9655414.7952567525</v>
      </c>
      <c r="AM302" s="307">
        <f t="shared" si="314"/>
        <v>10427914.520721549</v>
      </c>
      <c r="AN302" s="307">
        <f t="shared" si="314"/>
        <v>11200398.480987566</v>
      </c>
      <c r="AO302" s="307">
        <f t="shared" si="314"/>
        <v>12359058.831973571</v>
      </c>
      <c r="AP302" s="307">
        <f t="shared" si="314"/>
        <v>16221236.94571076</v>
      </c>
      <c r="AR302" s="308">
        <v>253091.44989163685</v>
      </c>
      <c r="AS302" s="308">
        <f t="shared" si="315"/>
        <v>264820.55010836315</v>
      </c>
      <c r="AT302" s="308">
        <v>428642.10785269301</v>
      </c>
      <c r="AU302" s="308">
        <f t="shared" si="316"/>
        <v>-66147.107852693007</v>
      </c>
      <c r="AV302" s="308">
        <v>407712.25343140506</v>
      </c>
      <c r="AW302" s="308">
        <f t="shared" si="317"/>
        <v>-290523.25343140506</v>
      </c>
      <c r="AX302" s="308">
        <v>225217.73891735129</v>
      </c>
      <c r="AY302" s="308">
        <f t="shared" si="318"/>
        <v>-63266.738917351293</v>
      </c>
      <c r="AZ302" s="309">
        <v>1403057</v>
      </c>
      <c r="BA302" s="308">
        <f t="shared" si="319"/>
        <v>0</v>
      </c>
      <c r="BB302" s="331">
        <v>3284353.5070204916</v>
      </c>
      <c r="BC302" s="308">
        <f t="shared" si="320"/>
        <v>1608006.6129843281</v>
      </c>
    </row>
    <row r="303" spans="1:55">
      <c r="A303" s="301" t="s">
        <v>50</v>
      </c>
      <c r="B303" s="308">
        <f>'Monthly D5 Gallon Data'!$AC11</f>
        <v>0</v>
      </c>
      <c r="C303" s="308">
        <f>'Monthly D5 Gallon Data'!$AC23</f>
        <v>0</v>
      </c>
      <c r="D303" s="308">
        <f>'Monthly D5 Gallon Data'!$AC35</f>
        <v>0</v>
      </c>
      <c r="E303" s="308">
        <f>'Monthly D5 Gallon Data'!$AC47</f>
        <v>0</v>
      </c>
      <c r="F303" s="308">
        <f>'Monthly D5 Gallon Data'!$AC59</f>
        <v>0</v>
      </c>
      <c r="G303" s="308">
        <f>'Monthly D5 Gallon Data'!$AC71</f>
        <v>0</v>
      </c>
      <c r="H303" s="308">
        <f>'Monthly D5 Gallon Data'!$AC83</f>
        <v>0</v>
      </c>
      <c r="I303" s="308">
        <f>'Monthly D5 Gallon Data'!$AC95</f>
        <v>0</v>
      </c>
      <c r="J303" s="308">
        <f>'Monthly D5 Gallon Data'!$AC107</f>
        <v>0</v>
      </c>
      <c r="K303" s="308">
        <f>'Monthly D5 Gallon Data'!$AC119</f>
        <v>328511</v>
      </c>
      <c r="L303" s="308">
        <f>'Monthly D5 Gallon Data'!$AC131</f>
        <v>379861</v>
      </c>
      <c r="M303" s="308">
        <f>'Monthly D5 Gallon Data'!$AC143</f>
        <v>341876</v>
      </c>
      <c r="N303" s="308">
        <f>'Monthly D5 Gallon Data'!$AC155</f>
        <v>0</v>
      </c>
      <c r="O303" s="308">
        <f>'Monthly D5 Gallon Data'!$AC167</f>
        <v>26590</v>
      </c>
      <c r="P303" s="308">
        <f>'Monthly D5 Gallon Data'!$AC179</f>
        <v>1304981</v>
      </c>
      <c r="Q303" s="307">
        <f t="shared" ref="Q303" si="324">(SUM(L303:P303)/SUM(L$308:P$308))*Q$308</f>
        <v>3920044.6784937736</v>
      </c>
      <c r="R303" s="307">
        <f t="shared" si="321"/>
        <v>3882176.4958832441</v>
      </c>
      <c r="S303" s="307">
        <f t="shared" si="322"/>
        <v>4016334.9735336783</v>
      </c>
      <c r="T303" s="307">
        <f t="shared" si="323"/>
        <v>4140557.2501750775</v>
      </c>
      <c r="U303" s="307">
        <f t="shared" si="323"/>
        <v>4271708.891481217</v>
      </c>
      <c r="V303" s="307">
        <f t="shared" si="323"/>
        <v>4386425.7713169875</v>
      </c>
      <c r="W303" s="307">
        <f t="shared" si="323"/>
        <v>4566476.3486749474</v>
      </c>
      <c r="X303" s="307">
        <f t="shared" si="323"/>
        <v>4650048.7006739378</v>
      </c>
      <c r="Y303" s="307">
        <f t="shared" si="323"/>
        <v>4781712.6102635143</v>
      </c>
      <c r="Z303" s="307">
        <f t="shared" si="323"/>
        <v>4908204.6086147744</v>
      </c>
      <c r="AA303" s="307">
        <f t="shared" si="323"/>
        <v>5033681.155919713</v>
      </c>
      <c r="AB303" s="307">
        <f t="shared" si="323"/>
        <v>5154751.0772586698</v>
      </c>
      <c r="AC303" s="307">
        <f t="shared" si="323"/>
        <v>5279920.9246755149</v>
      </c>
      <c r="AD303" s="307">
        <f t="shared" si="323"/>
        <v>5405986.678596017</v>
      </c>
      <c r="AE303" s="307">
        <f t="shared" si="314"/>
        <v>5530847.1023714086</v>
      </c>
      <c r="AF303" s="307">
        <f t="shared" si="314"/>
        <v>5655357.816902901</v>
      </c>
      <c r="AG303" s="307">
        <f t="shared" si="314"/>
        <v>5779662.8102063201</v>
      </c>
      <c r="AH303" s="307">
        <f t="shared" si="314"/>
        <v>5904659.9779920867</v>
      </c>
      <c r="AI303" s="307">
        <f t="shared" si="314"/>
        <v>6029619.6699692076</v>
      </c>
      <c r="AJ303" s="307">
        <f t="shared" si="314"/>
        <v>6154343.3109220639</v>
      </c>
      <c r="AK303" s="307">
        <f t="shared" si="314"/>
        <v>6279037.9861175986</v>
      </c>
      <c r="AL303" s="307">
        <f t="shared" si="314"/>
        <v>7798066.1549941227</v>
      </c>
      <c r="AM303" s="307">
        <f t="shared" si="314"/>
        <v>8421980.5246302094</v>
      </c>
      <c r="AN303" s="307">
        <f t="shared" si="314"/>
        <v>9045852.8802263048</v>
      </c>
      <c r="AO303" s="307">
        <f t="shared" si="314"/>
        <v>9981606.7137224022</v>
      </c>
      <c r="AP303" s="307">
        <f t="shared" si="314"/>
        <v>13100840.223142842</v>
      </c>
      <c r="AR303" s="308">
        <v>429888.18427672144</v>
      </c>
      <c r="AS303" s="308">
        <f t="shared" si="315"/>
        <v>-50027.18427672144</v>
      </c>
      <c r="AT303" s="308">
        <v>407845.59938451683</v>
      </c>
      <c r="AU303" s="308">
        <f t="shared" si="316"/>
        <v>-65969.599384516827</v>
      </c>
      <c r="AV303" s="308">
        <v>356490.45599080832</v>
      </c>
      <c r="AW303" s="308">
        <f t="shared" si="317"/>
        <v>-356490.45599080832</v>
      </c>
      <c r="AX303" s="308">
        <v>139722.43959337479</v>
      </c>
      <c r="AY303" s="308">
        <f t="shared" si="318"/>
        <v>-113132.43959337479</v>
      </c>
      <c r="AZ303" s="309">
        <v>1304981</v>
      </c>
      <c r="BA303" s="308">
        <f t="shared" si="319"/>
        <v>0</v>
      </c>
      <c r="BB303" s="331">
        <v>2631615.8605829193</v>
      </c>
      <c r="BC303" s="308">
        <f t="shared" si="320"/>
        <v>1288428.8179108542</v>
      </c>
    </row>
    <row r="304" spans="1:55">
      <c r="A304" s="301" t="s">
        <v>51</v>
      </c>
      <c r="B304" s="308">
        <f>'Monthly D5 Gallon Data'!$AC12</f>
        <v>0</v>
      </c>
      <c r="C304" s="308">
        <f>'Monthly D5 Gallon Data'!$AC24</f>
        <v>0</v>
      </c>
      <c r="D304" s="308">
        <f>'Monthly D5 Gallon Data'!$AC36</f>
        <v>0</v>
      </c>
      <c r="E304" s="308">
        <f>'Monthly D5 Gallon Data'!$AC48</f>
        <v>0</v>
      </c>
      <c r="F304" s="308">
        <f>'Monthly D5 Gallon Data'!$AC60</f>
        <v>0</v>
      </c>
      <c r="G304" s="308">
        <f>'Monthly D5 Gallon Data'!$AC72</f>
        <v>0</v>
      </c>
      <c r="H304" s="308">
        <f>'Monthly D5 Gallon Data'!$AC84</f>
        <v>0</v>
      </c>
      <c r="I304" s="308">
        <f>'Monthly D5 Gallon Data'!$AC96</f>
        <v>0</v>
      </c>
      <c r="J304" s="308">
        <f>'Monthly D5 Gallon Data'!$AC108</f>
        <v>0</v>
      </c>
      <c r="K304" s="308">
        <f>'Monthly D5 Gallon Data'!$AC120</f>
        <v>273475</v>
      </c>
      <c r="L304" s="308">
        <f>'Monthly D5 Gallon Data'!$AC132</f>
        <v>357763</v>
      </c>
      <c r="M304" s="308">
        <f>'Monthly D5 Gallon Data'!$AC144</f>
        <v>332632</v>
      </c>
      <c r="N304" s="308">
        <f>'Monthly D5 Gallon Data'!$AC156</f>
        <v>189601</v>
      </c>
      <c r="O304" s="308">
        <f>'Monthly D5 Gallon Data'!$AC168</f>
        <v>77023</v>
      </c>
      <c r="P304" s="308">
        <f>'Monthly D5 Gallon Data'!$AC180</f>
        <v>5053087</v>
      </c>
      <c r="Q304" s="307">
        <f>(SUM(L304:P304)/SUM(L$308:P$308))*Q$308-5000000</f>
        <v>6474111.0649174396</v>
      </c>
      <c r="R304" s="307">
        <f t="shared" si="321"/>
        <v>8416394.9202311691</v>
      </c>
      <c r="S304" s="307">
        <f t="shared" si="322"/>
        <v>8886889.4485978521</v>
      </c>
      <c r="T304" s="307">
        <f t="shared" si="323"/>
        <v>9102055.049497474</v>
      </c>
      <c r="U304" s="307">
        <f t="shared" si="323"/>
        <v>9385766.4298675377</v>
      </c>
      <c r="V304" s="307">
        <f t="shared" si="323"/>
        <v>9163900.2134669442</v>
      </c>
      <c r="W304" s="307">
        <f t="shared" si="323"/>
        <v>9918536.7289658617</v>
      </c>
      <c r="X304" s="307">
        <f t="shared" si="323"/>
        <v>10103499.165404331</v>
      </c>
      <c r="Y304" s="307">
        <f t="shared" si="323"/>
        <v>10354756.358909167</v>
      </c>
      <c r="Z304" s="307">
        <f t="shared" si="323"/>
        <v>10599272.806001043</v>
      </c>
      <c r="AA304" s="307">
        <f t="shared" si="323"/>
        <v>10835445.335603092</v>
      </c>
      <c r="AB304" s="307">
        <f t="shared" si="323"/>
        <v>11155975.860719347</v>
      </c>
      <c r="AC304" s="307">
        <f t="shared" si="323"/>
        <v>11419182.650806917</v>
      </c>
      <c r="AD304" s="307">
        <f t="shared" si="323"/>
        <v>11681823.80779474</v>
      </c>
      <c r="AE304" s="307">
        <f t="shared" si="314"/>
        <v>11946931.024467062</v>
      </c>
      <c r="AF304" s="307">
        <f t="shared" si="314"/>
        <v>12216462.762638651</v>
      </c>
      <c r="AG304" s="307">
        <f t="shared" si="314"/>
        <v>12493128.323740186</v>
      </c>
      <c r="AH304" s="307">
        <f t="shared" si="314"/>
        <v>12760406.26982112</v>
      </c>
      <c r="AI304" s="307">
        <f t="shared" si="314"/>
        <v>13028559.071185503</v>
      </c>
      <c r="AJ304" s="307">
        <f t="shared" si="314"/>
        <v>13297889.556665413</v>
      </c>
      <c r="AK304" s="307">
        <f t="shared" si="314"/>
        <v>13568118.939872626</v>
      </c>
      <c r="AL304" s="307">
        <f t="shared" si="314"/>
        <v>16851552.550772075</v>
      </c>
      <c r="AM304" s="307">
        <f t="shared" si="314"/>
        <v>18198954.737049572</v>
      </c>
      <c r="AN304" s="307">
        <f t="shared" si="314"/>
        <v>19546786.319010798</v>
      </c>
      <c r="AO304" s="307">
        <f t="shared" si="314"/>
        <v>21568969.612012707</v>
      </c>
      <c r="AP304" s="307">
        <f t="shared" si="314"/>
        <v>28309502.371112049</v>
      </c>
      <c r="AR304" s="308">
        <v>357868.84724431264</v>
      </c>
      <c r="AS304" s="308">
        <f t="shared" si="315"/>
        <v>-105.84724431263749</v>
      </c>
      <c r="AT304" s="308">
        <v>363136.4431489156</v>
      </c>
      <c r="AU304" s="308">
        <f t="shared" si="316"/>
        <v>-30504.443148915598</v>
      </c>
      <c r="AV304" s="308">
        <v>341355.49236261135</v>
      </c>
      <c r="AW304" s="308">
        <f t="shared" si="317"/>
        <v>-151754.49236261135</v>
      </c>
      <c r="AX304" s="308">
        <v>153454.97646290174</v>
      </c>
      <c r="AY304" s="308">
        <f t="shared" si="318"/>
        <v>-76431.976462901745</v>
      </c>
      <c r="AZ304" s="309">
        <v>1104916.4776214522</v>
      </c>
      <c r="BA304" s="308">
        <f t="shared" si="319"/>
        <v>3948170.522378548</v>
      </c>
      <c r="BB304" s="331">
        <v>4702833.8044679938</v>
      </c>
      <c r="BC304" s="308">
        <f t="shared" si="320"/>
        <v>1771277.2604494458</v>
      </c>
    </row>
    <row r="305" spans="1:55">
      <c r="A305" s="301" t="s">
        <v>52</v>
      </c>
      <c r="B305" s="308">
        <f>'Monthly D5 Gallon Data'!$AC13</f>
        <v>0</v>
      </c>
      <c r="C305" s="308">
        <f>'Monthly D5 Gallon Data'!$AC25</f>
        <v>0</v>
      </c>
      <c r="D305" s="308">
        <f>'Monthly D5 Gallon Data'!$AC37</f>
        <v>0</v>
      </c>
      <c r="E305" s="308">
        <f>'Monthly D5 Gallon Data'!$AC49</f>
        <v>0</v>
      </c>
      <c r="F305" s="308">
        <f>'Monthly D5 Gallon Data'!$AC61</f>
        <v>0</v>
      </c>
      <c r="G305" s="308">
        <f>'Monthly D5 Gallon Data'!$AC73</f>
        <v>0</v>
      </c>
      <c r="H305" s="308">
        <f>'Monthly D5 Gallon Data'!$AC85</f>
        <v>0</v>
      </c>
      <c r="I305" s="308">
        <f>'Monthly D5 Gallon Data'!$AC97</f>
        <v>0</v>
      </c>
      <c r="J305" s="308">
        <f>'Monthly D5 Gallon Data'!$AC109</f>
        <v>0</v>
      </c>
      <c r="K305" s="308">
        <f>'Monthly D5 Gallon Data'!$AC121</f>
        <v>0</v>
      </c>
      <c r="L305" s="308">
        <f>'Monthly D5 Gallon Data'!$AC133</f>
        <v>392252</v>
      </c>
      <c r="M305" s="308">
        <f>'Monthly D5 Gallon Data'!$AC145</f>
        <v>177241</v>
      </c>
      <c r="N305" s="308">
        <f>'Monthly D5 Gallon Data'!$AC157</f>
        <v>0</v>
      </c>
      <c r="O305" s="308">
        <f>'Monthly D5 Gallon Data'!$AC169</f>
        <v>81664</v>
      </c>
      <c r="P305" s="308">
        <f>'Monthly D5 Gallon Data'!$AC181</f>
        <v>4053915</v>
      </c>
      <c r="Q305" s="307">
        <f>(SUM(L305:P305)/SUM(L$308:P$308))*Q$308-3000000</f>
        <v>5982623.3840856105</v>
      </c>
      <c r="R305" s="307">
        <f t="shared" si="321"/>
        <v>7145577.5064559793</v>
      </c>
      <c r="S305" s="307">
        <f t="shared" si="322"/>
        <v>7591274.4264403898</v>
      </c>
      <c r="T305" s="307">
        <f t="shared" si="323"/>
        <v>7826066.9420239124</v>
      </c>
      <c r="U305" s="307">
        <f t="shared" si="323"/>
        <v>8066185.704255526</v>
      </c>
      <c r="V305" s="307">
        <f t="shared" si="323"/>
        <v>7938116.6406327989</v>
      </c>
      <c r="W305" s="307">
        <f t="shared" si="323"/>
        <v>8509183.5974427108</v>
      </c>
      <c r="X305" s="307">
        <f t="shared" si="323"/>
        <v>8684155.1602356061</v>
      </c>
      <c r="Y305" s="307">
        <f t="shared" si="323"/>
        <v>8910363.3369732685</v>
      </c>
      <c r="Z305" s="307">
        <f t="shared" si="323"/>
        <v>9122144.468171915</v>
      </c>
      <c r="AA305" s="307">
        <f t="shared" si="323"/>
        <v>9327903.6236836854</v>
      </c>
      <c r="AB305" s="307">
        <f t="shared" si="323"/>
        <v>9593245.9369931445</v>
      </c>
      <c r="AC305" s="307">
        <f t="shared" si="323"/>
        <v>9823880.0516993701</v>
      </c>
      <c r="AD305" s="307">
        <f t="shared" si="323"/>
        <v>10051515.479797216</v>
      </c>
      <c r="AE305" s="307">
        <f t="shared" si="314"/>
        <v>10279472.06176555</v>
      </c>
      <c r="AF305" s="307">
        <f t="shared" si="314"/>
        <v>10510905.977565426</v>
      </c>
      <c r="AG305" s="307">
        <f t="shared" si="314"/>
        <v>10747831.869358543</v>
      </c>
      <c r="AH305" s="307">
        <f t="shared" si="314"/>
        <v>10978675.137988977</v>
      </c>
      <c r="AI305" s="307">
        <f t="shared" si="314"/>
        <v>11209566.267807784</v>
      </c>
      <c r="AJ305" s="307">
        <f t="shared" si="314"/>
        <v>11441153.636641277</v>
      </c>
      <c r="AK305" s="307">
        <f t="shared" si="314"/>
        <v>11673514.158086183</v>
      </c>
      <c r="AL305" s="307">
        <f t="shared" si="314"/>
        <v>14498381.03204417</v>
      </c>
      <c r="AM305" s="307">
        <f t="shared" si="314"/>
        <v>15657824.246308636</v>
      </c>
      <c r="AN305" s="307">
        <f t="shared" si="314"/>
        <v>16817454.275436223</v>
      </c>
      <c r="AO305" s="307">
        <f t="shared" si="314"/>
        <v>18557227.164922453</v>
      </c>
      <c r="AP305" s="307">
        <f t="shared" si="314"/>
        <v>24356529.984417502</v>
      </c>
      <c r="AR305" s="308">
        <v>0</v>
      </c>
      <c r="AS305" s="308">
        <f t="shared" si="315"/>
        <v>392252</v>
      </c>
      <c r="AT305" s="308">
        <v>223018.03022956228</v>
      </c>
      <c r="AU305" s="308">
        <f t="shared" si="316"/>
        <v>-45777.030229562282</v>
      </c>
      <c r="AV305" s="308">
        <v>151757.77015762671</v>
      </c>
      <c r="AW305" s="308">
        <f t="shared" si="317"/>
        <v>-151757.77015762671</v>
      </c>
      <c r="AX305" s="308">
        <v>44008.169624021102</v>
      </c>
      <c r="AY305" s="308">
        <f t="shared" si="318"/>
        <v>37655.830375978898</v>
      </c>
      <c r="AZ305" s="309">
        <v>1092903.6628060313</v>
      </c>
      <c r="BA305" s="308">
        <f t="shared" si="319"/>
        <v>2961011.3371939687</v>
      </c>
      <c r="BB305" s="331">
        <v>3030241.0064075133</v>
      </c>
      <c r="BC305" s="308">
        <f t="shared" si="320"/>
        <v>2952382.3776780972</v>
      </c>
    </row>
    <row r="306" spans="1:55">
      <c r="A306" s="301" t="s">
        <v>53</v>
      </c>
      <c r="B306" s="308">
        <f>'Monthly D5 Gallon Data'!$AC14</f>
        <v>0</v>
      </c>
      <c r="C306" s="308">
        <f>'Monthly D5 Gallon Data'!$AC26</f>
        <v>0</v>
      </c>
      <c r="D306" s="308">
        <f>'Monthly D5 Gallon Data'!$AC38</f>
        <v>0</v>
      </c>
      <c r="E306" s="308">
        <f>'Monthly D5 Gallon Data'!$AC50</f>
        <v>0</v>
      </c>
      <c r="F306" s="308">
        <f>'Monthly D5 Gallon Data'!$AC62</f>
        <v>0</v>
      </c>
      <c r="G306" s="308">
        <f>'Monthly D5 Gallon Data'!$AC74</f>
        <v>0</v>
      </c>
      <c r="H306" s="308">
        <f>'Monthly D5 Gallon Data'!$AC86</f>
        <v>0</v>
      </c>
      <c r="I306" s="308">
        <f>'Monthly D5 Gallon Data'!$AC98</f>
        <v>0</v>
      </c>
      <c r="J306" s="308">
        <f>'Monthly D5 Gallon Data'!$AC110</f>
        <v>0</v>
      </c>
      <c r="K306" s="308">
        <f>'Monthly D5 Gallon Data'!$AC122</f>
        <v>268266</v>
      </c>
      <c r="L306" s="308">
        <f>'Monthly D5 Gallon Data'!$AC134</f>
        <v>365481</v>
      </c>
      <c r="M306" s="308">
        <f>'Monthly D5 Gallon Data'!$AC146</f>
        <v>383828</v>
      </c>
      <c r="N306" s="308">
        <f>'Monthly D5 Gallon Data'!$AC158</f>
        <v>25232</v>
      </c>
      <c r="O306" s="308">
        <f>'Monthly D5 Gallon Data'!$AC170</f>
        <v>0</v>
      </c>
      <c r="P306" s="308">
        <f>'Monthly D5 Gallon Data'!$AC182</f>
        <v>4076056</v>
      </c>
      <c r="Q306" s="307">
        <f>(SUM(L306:P306)/SUM(L$308:P$308))*Q$308-3000000</f>
        <v>6260450.4328468312</v>
      </c>
      <c r="R306" s="307">
        <f t="shared" si="321"/>
        <v>7457986.5025889054</v>
      </c>
      <c r="S306" s="307">
        <f t="shared" si="322"/>
        <v>7835736.0349971224</v>
      </c>
      <c r="T306" s="307">
        <f t="shared" si="323"/>
        <v>8070144.8125567408</v>
      </c>
      <c r="U306" s="307">
        <f t="shared" si="323"/>
        <v>8338588.9242472593</v>
      </c>
      <c r="V306" s="307">
        <f t="shared" si="323"/>
        <v>8231077.8055028031</v>
      </c>
      <c r="W306" s="307">
        <f t="shared" si="323"/>
        <v>8810636.6606992465</v>
      </c>
      <c r="X306" s="307">
        <f t="shared" si="323"/>
        <v>8978918.1452787668</v>
      </c>
      <c r="Y306" s="307">
        <f t="shared" si="323"/>
        <v>9215672.798515249</v>
      </c>
      <c r="Z306" s="307">
        <f t="shared" si="323"/>
        <v>9439926.8403477147</v>
      </c>
      <c r="AA306" s="307">
        <f t="shared" si="323"/>
        <v>9654710.9619245064</v>
      </c>
      <c r="AB306" s="307">
        <f t="shared" si="323"/>
        <v>9926153.1219725627</v>
      </c>
      <c r="AC306" s="307">
        <f t="shared" si="323"/>
        <v>10163463.636692902</v>
      </c>
      <c r="AD306" s="307">
        <f t="shared" si="323"/>
        <v>10400133.182136631</v>
      </c>
      <c r="AE306" s="307">
        <f t="shared" si="314"/>
        <v>10636796.063940806</v>
      </c>
      <c r="AF306" s="307">
        <f t="shared" si="314"/>
        <v>10876127.451927705</v>
      </c>
      <c r="AG306" s="307">
        <f t="shared" si="314"/>
        <v>11120710.203717327</v>
      </c>
      <c r="AH306" s="307">
        <f t="shared" si="314"/>
        <v>11359543.982991574</v>
      </c>
      <c r="AI306" s="307">
        <f t="shared" si="314"/>
        <v>11598706.005532516</v>
      </c>
      <c r="AJ306" s="307">
        <f t="shared" si="314"/>
        <v>11838401.139352499</v>
      </c>
      <c r="AK306" s="307">
        <f t="shared" si="314"/>
        <v>12078741.988508085</v>
      </c>
      <c r="AL306" s="307">
        <f t="shared" si="314"/>
        <v>15001578.717046559</v>
      </c>
      <c r="AM306" s="307">
        <f t="shared" si="314"/>
        <v>16201301.779505849</v>
      </c>
      <c r="AN306" s="307">
        <f t="shared" si="314"/>
        <v>17401233.557589889</v>
      </c>
      <c r="AO306" s="307">
        <f t="shared" si="314"/>
        <v>19201391.939633396</v>
      </c>
      <c r="AP306" s="307">
        <f t="shared" si="314"/>
        <v>25201971.120377965</v>
      </c>
      <c r="AR306" s="308">
        <v>352406.3981455079</v>
      </c>
      <c r="AS306" s="308">
        <f t="shared" si="315"/>
        <v>13074.601854492095</v>
      </c>
      <c r="AT306" s="308">
        <v>364492.95528357895</v>
      </c>
      <c r="AU306" s="308">
        <f t="shared" si="316"/>
        <v>19335.044716421049</v>
      </c>
      <c r="AV306" s="308">
        <v>251897.00509663759</v>
      </c>
      <c r="AW306" s="308">
        <f t="shared" si="317"/>
        <v>-226665.00509663759</v>
      </c>
      <c r="AX306" s="309">
        <v>80584.006021349836</v>
      </c>
      <c r="AY306" s="308">
        <f t="shared" si="318"/>
        <v>-80584.006021349836</v>
      </c>
      <c r="AZ306" s="309">
        <v>1102657.5490040875</v>
      </c>
      <c r="BA306" s="308">
        <f t="shared" si="319"/>
        <v>2973398.4509959128</v>
      </c>
      <c r="BB306" s="331">
        <v>3216752.673488793</v>
      </c>
      <c r="BC306" s="308">
        <f t="shared" si="320"/>
        <v>3043697.7593580382</v>
      </c>
    </row>
    <row r="307" spans="1:55">
      <c r="A307" s="301" t="s">
        <v>54</v>
      </c>
      <c r="B307" s="308">
        <f>'Monthly D5 Gallon Data'!$AC15</f>
        <v>0</v>
      </c>
      <c r="C307" s="308">
        <f>'Monthly D5 Gallon Data'!$AC27</f>
        <v>0</v>
      </c>
      <c r="D307" s="308">
        <f>'Monthly D5 Gallon Data'!$AC39</f>
        <v>0</v>
      </c>
      <c r="E307" s="308">
        <f>'Monthly D5 Gallon Data'!$AC51</f>
        <v>0</v>
      </c>
      <c r="F307" s="308">
        <f>'Monthly D5 Gallon Data'!$AC63</f>
        <v>0</v>
      </c>
      <c r="G307" s="308">
        <f>'Monthly D5 Gallon Data'!$AC75</f>
        <v>0</v>
      </c>
      <c r="H307" s="308">
        <f>'Monthly D5 Gallon Data'!$AC87</f>
        <v>0</v>
      </c>
      <c r="I307" s="308">
        <f>'Monthly D5 Gallon Data'!$AC99</f>
        <v>0</v>
      </c>
      <c r="J307" s="308">
        <f>'Monthly D5 Gallon Data'!$AC111</f>
        <v>0</v>
      </c>
      <c r="K307" s="308">
        <f>'Monthly D5 Gallon Data'!$AC123</f>
        <v>864766</v>
      </c>
      <c r="L307" s="308">
        <f>'Monthly D5 Gallon Data'!$AC135</f>
        <v>550077</v>
      </c>
      <c r="M307" s="308">
        <f>'Monthly D5 Gallon Data'!$AC147</f>
        <v>582081</v>
      </c>
      <c r="N307" s="308">
        <f>'Monthly D5 Gallon Data'!$AC159</f>
        <v>286549</v>
      </c>
      <c r="O307" s="308">
        <f>'Monthly D5 Gallon Data'!$AC171</f>
        <v>188026</v>
      </c>
      <c r="P307" s="308">
        <f>'Monthly D5 Gallon Data'!$AC183</f>
        <v>3849612</v>
      </c>
      <c r="Q307" s="336">
        <f t="shared" ref="Q307:AD307" si="325">Q308-SUM(Q296:Q306)</f>
        <v>4313579.057891883</v>
      </c>
      <c r="R307" s="307">
        <f t="shared" si="325"/>
        <v>6399057.2617468461</v>
      </c>
      <c r="S307" s="307">
        <f t="shared" si="325"/>
        <v>6612031.2611153871</v>
      </c>
      <c r="T307" s="307">
        <f t="shared" si="325"/>
        <v>6726311.3320467249</v>
      </c>
      <c r="U307" s="307">
        <f t="shared" si="325"/>
        <v>6903530.5027645305</v>
      </c>
      <c r="V307" s="307">
        <f t="shared" si="325"/>
        <v>6711524.4202867374</v>
      </c>
      <c r="W307" s="307">
        <f t="shared" si="325"/>
        <v>7358636.4833903164</v>
      </c>
      <c r="X307" s="307">
        <f t="shared" si="325"/>
        <v>7462180.1546115577</v>
      </c>
      <c r="Y307" s="307">
        <f t="shared" si="325"/>
        <v>7637238.0809184015</v>
      </c>
      <c r="Z307" s="307">
        <f t="shared" si="325"/>
        <v>7814764.0086518675</v>
      </c>
      <c r="AA307" s="307">
        <f t="shared" si="325"/>
        <v>7992463.2231372446</v>
      </c>
      <c r="AB307" s="307">
        <f t="shared" si="325"/>
        <v>8239222.4911453128</v>
      </c>
      <c r="AC307" s="307">
        <f t="shared" si="325"/>
        <v>8426440.4899784178</v>
      </c>
      <c r="AD307" s="307">
        <f t="shared" si="325"/>
        <v>8618828.5596044064</v>
      </c>
      <c r="AE307" s="307">
        <f>AE308-SUM(AE296:AE306)</f>
        <v>8814956.7312369049</v>
      </c>
      <c r="AF307" s="307">
        <f>AF308-SUM(AF296:AF306)</f>
        <v>9015078.0319693387</v>
      </c>
      <c r="AG307" s="307">
        <f>AG308-SUM(AG296:AG306)</f>
        <v>9219990.4490698725</v>
      </c>
      <c r="AH307" s="307">
        <f t="shared" ref="AH307:AP307" si="326">AH308-SUM(AH296:AH306)</f>
        <v>9415949.4684375525</v>
      </c>
      <c r="AI307" s="307">
        <f t="shared" si="326"/>
        <v>9613780.9888069332</v>
      </c>
      <c r="AJ307" s="307">
        <f t="shared" si="326"/>
        <v>9812774.7367473394</v>
      </c>
      <c r="AK307" s="307">
        <f t="shared" si="326"/>
        <v>10012377.79269281</v>
      </c>
      <c r="AL307" s="307">
        <f t="shared" si="326"/>
        <v>12435300.940443471</v>
      </c>
      <c r="AM307" s="307">
        <f t="shared" si="326"/>
        <v>13429353.821106091</v>
      </c>
      <c r="AN307" s="307">
        <f t="shared" si="326"/>
        <v>14423995.504218936</v>
      </c>
      <c r="AO307" s="307">
        <f t="shared" si="326"/>
        <v>15916280.733465791</v>
      </c>
      <c r="AP307" s="307">
        <f t="shared" si="326"/>
        <v>20890309.992195129</v>
      </c>
      <c r="AR307" s="308">
        <v>395534</v>
      </c>
      <c r="AS307" s="308">
        <f t="shared" si="315"/>
        <v>154543</v>
      </c>
      <c r="AT307" s="308">
        <v>519232</v>
      </c>
      <c r="AU307" s="308">
        <f t="shared" si="316"/>
        <v>62849</v>
      </c>
      <c r="AV307" s="308">
        <v>665547</v>
      </c>
      <c r="AW307" s="308">
        <f t="shared" si="317"/>
        <v>-378998</v>
      </c>
      <c r="AX307" s="309">
        <v>100457.99397865019</v>
      </c>
      <c r="AY307" s="308">
        <f t="shared" si="318"/>
        <v>87568.006021349807</v>
      </c>
      <c r="AZ307" s="309">
        <v>1189716.3105684295</v>
      </c>
      <c r="BA307" s="308">
        <f t="shared" si="319"/>
        <v>2659895.6894315705</v>
      </c>
      <c r="BB307" s="331">
        <v>777024.86270113289</v>
      </c>
      <c r="BC307" s="308">
        <f t="shared" si="320"/>
        <v>3536554.1951907501</v>
      </c>
    </row>
    <row r="308" spans="1:55" ht="12" thickBot="1">
      <c r="A308" s="301" t="s">
        <v>29</v>
      </c>
      <c r="B308" s="308">
        <f t="shared" ref="B308:P308" si="327">SUM(B296:B307)</f>
        <v>0</v>
      </c>
      <c r="C308" s="308">
        <f t="shared" si="327"/>
        <v>0</v>
      </c>
      <c r="D308" s="308">
        <f t="shared" si="327"/>
        <v>0</v>
      </c>
      <c r="E308" s="308">
        <f t="shared" si="327"/>
        <v>0</v>
      </c>
      <c r="F308" s="308">
        <f t="shared" si="327"/>
        <v>0</v>
      </c>
      <c r="G308" s="308">
        <f t="shared" si="327"/>
        <v>0</v>
      </c>
      <c r="H308" s="308">
        <f t="shared" si="327"/>
        <v>0</v>
      </c>
      <c r="I308" s="308">
        <f t="shared" si="327"/>
        <v>0</v>
      </c>
      <c r="J308" s="308">
        <f t="shared" si="327"/>
        <v>0</v>
      </c>
      <c r="K308" s="308">
        <f t="shared" si="327"/>
        <v>2475934</v>
      </c>
      <c r="L308" s="308">
        <f t="shared" si="327"/>
        <v>3392626</v>
      </c>
      <c r="M308" s="308">
        <f t="shared" si="327"/>
        <v>3509965</v>
      </c>
      <c r="N308" s="308">
        <f t="shared" si="327"/>
        <v>1621002</v>
      </c>
      <c r="O308" s="308">
        <f t="shared" si="327"/>
        <v>856984</v>
      </c>
      <c r="P308" s="308">
        <f t="shared" si="327"/>
        <v>22492476</v>
      </c>
      <c r="Q308" s="307">
        <f t="shared" ref="Q308:AP308" si="328">Q19</f>
        <v>60850000</v>
      </c>
      <c r="R308" s="307">
        <f t="shared" si="328"/>
        <v>62000000</v>
      </c>
      <c r="S308" s="307">
        <f t="shared" si="328"/>
        <v>65000000</v>
      </c>
      <c r="T308" s="307">
        <f t="shared" si="328"/>
        <v>66500000</v>
      </c>
      <c r="U308" s="307">
        <f t="shared" si="328"/>
        <v>68500000</v>
      </c>
      <c r="V308" s="307">
        <f t="shared" si="328"/>
        <v>70000000</v>
      </c>
      <c r="W308" s="307">
        <f t="shared" si="328"/>
        <v>73250000</v>
      </c>
      <c r="X308" s="307">
        <f t="shared" si="328"/>
        <v>74650000</v>
      </c>
      <c r="Y308" s="307">
        <f t="shared" si="328"/>
        <v>76650000</v>
      </c>
      <c r="Z308" s="307">
        <f t="shared" si="328"/>
        <v>78650000</v>
      </c>
      <c r="AA308" s="307">
        <f t="shared" si="328"/>
        <v>80650000</v>
      </c>
      <c r="AB308" s="307">
        <f t="shared" si="328"/>
        <v>82650000</v>
      </c>
      <c r="AC308" s="307">
        <f t="shared" si="328"/>
        <v>84650000</v>
      </c>
      <c r="AD308" s="307">
        <f t="shared" si="328"/>
        <v>86650000</v>
      </c>
      <c r="AE308" s="307">
        <f t="shared" si="328"/>
        <v>88650000</v>
      </c>
      <c r="AF308" s="307">
        <f t="shared" si="328"/>
        <v>90650000</v>
      </c>
      <c r="AG308" s="307">
        <f t="shared" si="328"/>
        <v>92650000</v>
      </c>
      <c r="AH308" s="307">
        <f t="shared" si="328"/>
        <v>94650000</v>
      </c>
      <c r="AI308" s="307">
        <f t="shared" si="328"/>
        <v>96650000</v>
      </c>
      <c r="AJ308" s="307">
        <f t="shared" si="328"/>
        <v>98650000</v>
      </c>
      <c r="AK308" s="307">
        <f t="shared" si="328"/>
        <v>100650000</v>
      </c>
      <c r="AL308" s="307">
        <f t="shared" si="328"/>
        <v>125000000</v>
      </c>
      <c r="AM308" s="307">
        <f t="shared" si="328"/>
        <v>135000000</v>
      </c>
      <c r="AN308" s="307">
        <f t="shared" si="328"/>
        <v>145000000</v>
      </c>
      <c r="AO308" s="307">
        <f t="shared" si="328"/>
        <v>160000000</v>
      </c>
      <c r="AP308" s="307">
        <f t="shared" si="328"/>
        <v>210000000</v>
      </c>
      <c r="AR308" s="308">
        <v>3238083</v>
      </c>
      <c r="AS308" s="308">
        <f t="shared" si="315"/>
        <v>154543</v>
      </c>
      <c r="AT308" s="308">
        <v>3336617</v>
      </c>
      <c r="AU308" s="308">
        <f t="shared" si="316"/>
        <v>173348</v>
      </c>
      <c r="AV308" s="308">
        <v>2000000</v>
      </c>
      <c r="AW308" s="308">
        <f t="shared" si="317"/>
        <v>-378998</v>
      </c>
      <c r="AX308" s="309">
        <v>850000</v>
      </c>
      <c r="AY308" s="308">
        <f t="shared" si="318"/>
        <v>6984</v>
      </c>
      <c r="AZ308" s="309">
        <v>9950000</v>
      </c>
      <c r="BA308" s="308">
        <f t="shared" si="319"/>
        <v>12542476</v>
      </c>
      <c r="BB308" s="331">
        <v>40850000</v>
      </c>
      <c r="BC308" s="308">
        <f t="shared" si="320"/>
        <v>20000000</v>
      </c>
    </row>
    <row r="309" spans="1:55">
      <c r="A309" s="334"/>
      <c r="B309" s="334"/>
      <c r="C309" s="334"/>
      <c r="D309" s="334"/>
      <c r="E309" s="334"/>
      <c r="F309" s="334"/>
      <c r="G309" s="334"/>
      <c r="H309" s="334"/>
      <c r="I309" s="334"/>
      <c r="J309" s="334"/>
      <c r="K309" s="334"/>
      <c r="L309" s="334"/>
      <c r="M309" s="334"/>
      <c r="N309" s="334"/>
      <c r="O309" s="334"/>
      <c r="P309" s="334"/>
      <c r="Q309" s="334"/>
      <c r="R309" s="334"/>
      <c r="S309" s="334"/>
      <c r="T309" s="334"/>
      <c r="U309" s="334"/>
      <c r="V309" s="334"/>
      <c r="W309" s="334"/>
      <c r="X309" s="334"/>
      <c r="Y309" s="334"/>
      <c r="Z309" s="334"/>
      <c r="AA309" s="334"/>
      <c r="AB309" s="334"/>
      <c r="AC309" s="334"/>
      <c r="AD309" s="334"/>
      <c r="AE309" s="334"/>
      <c r="AF309" s="334"/>
      <c r="AG309" s="334"/>
      <c r="AH309" s="334"/>
      <c r="AI309" s="334"/>
      <c r="AJ309" s="334"/>
      <c r="AK309" s="334"/>
      <c r="AL309" s="334"/>
      <c r="AM309" s="334"/>
      <c r="AN309" s="334"/>
      <c r="AO309" s="334"/>
      <c r="AP309" s="334"/>
      <c r="AT309" s="309"/>
    </row>
    <row r="310" spans="1:55" ht="12" thickBot="1">
      <c r="A310" s="300" t="s">
        <v>451</v>
      </c>
      <c r="AT310" s="309"/>
    </row>
    <row r="311" spans="1:55" ht="12" thickBot="1">
      <c r="A311" s="328"/>
      <c r="B311" s="329">
        <f t="shared" ref="B311:AP311" si="329">B2</f>
        <v>2010</v>
      </c>
      <c r="C311" s="329">
        <f t="shared" si="329"/>
        <v>2011</v>
      </c>
      <c r="D311" s="329">
        <f t="shared" si="329"/>
        <v>2012</v>
      </c>
      <c r="E311" s="329">
        <f t="shared" si="329"/>
        <v>2013</v>
      </c>
      <c r="F311" s="329">
        <f t="shared" si="329"/>
        <v>2014</v>
      </c>
      <c r="G311" s="329">
        <f t="shared" si="329"/>
        <v>2015</v>
      </c>
      <c r="H311" s="329">
        <f t="shared" si="329"/>
        <v>2016</v>
      </c>
      <c r="I311" s="329">
        <f t="shared" si="329"/>
        <v>2017</v>
      </c>
      <c r="J311" s="329">
        <f t="shared" si="329"/>
        <v>2018</v>
      </c>
      <c r="K311" s="329">
        <f t="shared" si="329"/>
        <v>2019</v>
      </c>
      <c r="L311" s="329">
        <f t="shared" si="329"/>
        <v>2020</v>
      </c>
      <c r="M311" s="329">
        <f t="shared" si="329"/>
        <v>2021</v>
      </c>
      <c r="N311" s="329">
        <f t="shared" si="329"/>
        <v>2022</v>
      </c>
      <c r="O311" s="329">
        <f t="shared" si="329"/>
        <v>2023</v>
      </c>
      <c r="P311" s="329">
        <f t="shared" si="329"/>
        <v>2024</v>
      </c>
      <c r="Q311" s="329">
        <f t="shared" si="329"/>
        <v>2025</v>
      </c>
      <c r="R311" s="329">
        <f t="shared" si="329"/>
        <v>2026</v>
      </c>
      <c r="S311" s="329">
        <f t="shared" si="329"/>
        <v>2027</v>
      </c>
      <c r="T311" s="329">
        <f t="shared" si="329"/>
        <v>2028</v>
      </c>
      <c r="U311" s="329">
        <f t="shared" si="329"/>
        <v>2029</v>
      </c>
      <c r="V311" s="329">
        <f t="shared" si="329"/>
        <v>2030</v>
      </c>
      <c r="W311" s="329">
        <f t="shared" si="329"/>
        <v>2031</v>
      </c>
      <c r="X311" s="329">
        <f t="shared" si="329"/>
        <v>2032</v>
      </c>
      <c r="Y311" s="329">
        <f t="shared" si="329"/>
        <v>2033</v>
      </c>
      <c r="Z311" s="329">
        <f t="shared" si="329"/>
        <v>2034</v>
      </c>
      <c r="AA311" s="329">
        <f t="shared" si="329"/>
        <v>2035</v>
      </c>
      <c r="AB311" s="329">
        <f t="shared" si="329"/>
        <v>2036</v>
      </c>
      <c r="AC311" s="329">
        <f t="shared" si="329"/>
        <v>2037</v>
      </c>
      <c r="AD311" s="329">
        <f t="shared" si="329"/>
        <v>2038</v>
      </c>
      <c r="AE311" s="329">
        <f t="shared" si="329"/>
        <v>2039</v>
      </c>
      <c r="AF311" s="329">
        <f t="shared" si="329"/>
        <v>2040</v>
      </c>
      <c r="AG311" s="329">
        <f t="shared" si="329"/>
        <v>2041</v>
      </c>
      <c r="AH311" s="329">
        <f t="shared" si="329"/>
        <v>2042</v>
      </c>
      <c r="AI311" s="329">
        <f t="shared" si="329"/>
        <v>2043</v>
      </c>
      <c r="AJ311" s="329">
        <f t="shared" si="329"/>
        <v>2044</v>
      </c>
      <c r="AK311" s="329">
        <f t="shared" si="329"/>
        <v>2045</v>
      </c>
      <c r="AL311" s="329">
        <f t="shared" si="329"/>
        <v>2046</v>
      </c>
      <c r="AM311" s="329">
        <f t="shared" si="329"/>
        <v>2047</v>
      </c>
      <c r="AN311" s="329">
        <f t="shared" si="329"/>
        <v>2048</v>
      </c>
      <c r="AO311" s="329">
        <f t="shared" si="329"/>
        <v>2049</v>
      </c>
      <c r="AP311" s="329">
        <f t="shared" si="329"/>
        <v>2050</v>
      </c>
      <c r="AT311" s="309"/>
    </row>
    <row r="312" spans="1:55">
      <c r="A312" s="301" t="s">
        <v>43</v>
      </c>
      <c r="B312" s="308">
        <f>'Monthly D5 Gallon Data'!$AD4</f>
        <v>0</v>
      </c>
      <c r="C312" s="308">
        <f>'Monthly D5 Gallon Data'!$AD16</f>
        <v>0</v>
      </c>
      <c r="D312" s="308">
        <f>'Monthly D5 Gallon Data'!$AD28</f>
        <v>0</v>
      </c>
      <c r="E312" s="308">
        <f>'Monthly D5 Gallon Data'!$AD40</f>
        <v>0</v>
      </c>
      <c r="F312" s="308">
        <f>'Monthly D5 Gallon Data'!$AD52</f>
        <v>898682</v>
      </c>
      <c r="G312" s="308">
        <f>'Monthly D5 Gallon Data'!$AD64</f>
        <v>1733383</v>
      </c>
      <c r="H312" s="308">
        <f>'Monthly D5 Gallon Data'!$AD76</f>
        <v>1134604</v>
      </c>
      <c r="I312" s="308">
        <f>'Monthly D5 Gallon Data'!$AD88</f>
        <v>1752312</v>
      </c>
      <c r="J312" s="308">
        <f>'Monthly D5 Gallon Data'!$AD100</f>
        <v>1754449</v>
      </c>
      <c r="K312" s="308">
        <f>'Monthly D5 Gallon Data'!$AD112</f>
        <v>1922242</v>
      </c>
      <c r="L312" s="308">
        <f>'Monthly D5 Gallon Data'!$AD124</f>
        <v>2027357</v>
      </c>
      <c r="M312" s="308">
        <f>'Monthly D5 Gallon Data'!$AD136</f>
        <v>1424788</v>
      </c>
      <c r="N312" s="308">
        <f>'Monthly D5 Gallon Data'!$AD148</f>
        <v>4361085</v>
      </c>
      <c r="O312" s="308">
        <f>'Monthly D5 Gallon Data'!$AD160</f>
        <v>5194575</v>
      </c>
      <c r="P312" s="308">
        <f>'Monthly D5 Gallon Data'!$AD172</f>
        <v>3767995</v>
      </c>
      <c r="Q312" s="308">
        <f>'Monthly D5 Gallon Data'!$AD184</f>
        <v>2332379</v>
      </c>
      <c r="R312" s="307">
        <f t="shared" ref="R312:R322" si="330">(SUM(M312:Q312)/SUM(M$324:Q$324))*R$324</f>
        <v>2880449.7207534346</v>
      </c>
      <c r="S312" s="307">
        <f t="shared" ref="S312:S322" si="331">(SUM(N312:R312)/SUM(N$324:R$324))*S$324</f>
        <v>3392935.8629517145</v>
      </c>
      <c r="T312" s="307">
        <f t="shared" ref="T312:AI322" si="332">(SUM(O312:S312)/SUM(O$324:S$324))*T$324</f>
        <v>3837316.2680595885</v>
      </c>
      <c r="U312" s="307">
        <f t="shared" si="332"/>
        <v>3460512.4689105698</v>
      </c>
      <c r="V312" s="307">
        <f t="shared" si="332"/>
        <v>3941790.4301761305</v>
      </c>
      <c r="W312" s="307">
        <f t="shared" si="332"/>
        <v>4885116.0581676066</v>
      </c>
      <c r="X312" s="307">
        <f t="shared" si="332"/>
        <v>5429164.933986702</v>
      </c>
      <c r="Y312" s="307">
        <f t="shared" si="332"/>
        <v>6113043.3938615853</v>
      </c>
      <c r="Z312" s="307">
        <f t="shared" si="332"/>
        <v>6938780.404170353</v>
      </c>
      <c r="AA312" s="307">
        <f t="shared" si="332"/>
        <v>7287636.2355869394</v>
      </c>
      <c r="AB312" s="307">
        <f t="shared" si="332"/>
        <v>6611706.7308079936</v>
      </c>
      <c r="AC312" s="307">
        <f t="shared" si="332"/>
        <v>6656362.3666354036</v>
      </c>
      <c r="AD312" s="307">
        <f t="shared" si="332"/>
        <v>6520987.0920378231</v>
      </c>
      <c r="AE312" s="307">
        <f t="shared" si="332"/>
        <v>6819693.8639802402</v>
      </c>
      <c r="AF312" s="307">
        <f t="shared" si="332"/>
        <v>8243712.0696209306</v>
      </c>
      <c r="AG312" s="307">
        <f t="shared" si="332"/>
        <v>8636697.2394063175</v>
      </c>
      <c r="AH312" s="307">
        <f t="shared" si="332"/>
        <v>8986002.6012128405</v>
      </c>
      <c r="AI312" s="307">
        <f t="shared" si="332"/>
        <v>9374024.7284639962</v>
      </c>
      <c r="AJ312" s="307">
        <f t="shared" ref="AJ312:AP322" si="333">(SUM(AE312:AI312)/SUM(AE$324:AI$324))*AJ$324</f>
        <v>9164463.6692828313</v>
      </c>
      <c r="AK312" s="307">
        <f t="shared" si="333"/>
        <v>8644542.7671051789</v>
      </c>
      <c r="AL312" s="307">
        <f t="shared" si="333"/>
        <v>8394669.6366797462</v>
      </c>
      <c r="AM312" s="307">
        <f t="shared" si="333"/>
        <v>8946909.0336293057</v>
      </c>
      <c r="AN312" s="307">
        <f t="shared" si="333"/>
        <v>12428776.548420785</v>
      </c>
      <c r="AO312" s="307">
        <f t="shared" si="333"/>
        <v>16201297.426407145</v>
      </c>
      <c r="AP312" s="307">
        <f t="shared" si="333"/>
        <v>17959693.806527179</v>
      </c>
      <c r="AR312" s="308">
        <v>2360245.4119319292</v>
      </c>
      <c r="AS312" s="308">
        <f t="shared" ref="AS312:AS324" si="334">L312-AR312</f>
        <v>-332888.41193192918</v>
      </c>
      <c r="AT312" s="308">
        <v>2798069.884271414</v>
      </c>
      <c r="AU312" s="308">
        <f t="shared" ref="AU312:AU324" si="335">M312-AT312</f>
        <v>-1373281.884271414</v>
      </c>
      <c r="AV312" s="308">
        <v>3561637.0501633701</v>
      </c>
      <c r="AW312" s="308">
        <f t="shared" ref="AW312:AW324" si="336">N312-AV312</f>
        <v>799447.94983662991</v>
      </c>
      <c r="AX312" s="308">
        <v>6209719.6472983845</v>
      </c>
      <c r="AY312" s="308">
        <f t="shared" ref="AY312:AY324" si="337">O312-AX312</f>
        <v>-1015144.6472983845</v>
      </c>
      <c r="AZ312" s="308">
        <v>3767995</v>
      </c>
      <c r="BA312" s="308">
        <f t="shared" ref="BA312:BA324" si="338">P312-AZ312</f>
        <v>0</v>
      </c>
      <c r="BB312" s="331">
        <v>2332379</v>
      </c>
      <c r="BC312" s="308">
        <f t="shared" ref="BC312:BC324" si="339">Q312-BB312</f>
        <v>0</v>
      </c>
    </row>
    <row r="313" spans="1:55">
      <c r="A313" s="301" t="s">
        <v>44</v>
      </c>
      <c r="B313" s="308">
        <f>'Monthly D5 Gallon Data'!$AD5</f>
        <v>0</v>
      </c>
      <c r="C313" s="308">
        <f>'Monthly D5 Gallon Data'!$AD17</f>
        <v>0</v>
      </c>
      <c r="D313" s="308">
        <f>'Monthly D5 Gallon Data'!$AD29</f>
        <v>0</v>
      </c>
      <c r="E313" s="308">
        <f>'Monthly D5 Gallon Data'!$AD41</f>
        <v>0</v>
      </c>
      <c r="F313" s="308">
        <f>'Monthly D5 Gallon Data'!$AD53</f>
        <v>889639</v>
      </c>
      <c r="G313" s="308">
        <f>'Monthly D5 Gallon Data'!$AD65</f>
        <v>1294131</v>
      </c>
      <c r="H313" s="308">
        <f>'Monthly D5 Gallon Data'!$AD77</f>
        <v>547026</v>
      </c>
      <c r="I313" s="308">
        <f>'Monthly D5 Gallon Data'!$AD89</f>
        <v>1622317</v>
      </c>
      <c r="J313" s="308">
        <f>'Monthly D5 Gallon Data'!$AD101</f>
        <v>1951298</v>
      </c>
      <c r="K313" s="308">
        <f>'Monthly D5 Gallon Data'!$AD113</f>
        <v>2289494</v>
      </c>
      <c r="L313" s="308">
        <f>'Monthly D5 Gallon Data'!$AD125</f>
        <v>1828407</v>
      </c>
      <c r="M313" s="308">
        <f>'Monthly D5 Gallon Data'!$AD137</f>
        <v>1583900</v>
      </c>
      <c r="N313" s="308">
        <f>'Monthly D5 Gallon Data'!$AD149</f>
        <v>3814281</v>
      </c>
      <c r="O313" s="308">
        <f>'Monthly D5 Gallon Data'!$AD161</f>
        <v>5232456</v>
      </c>
      <c r="P313" s="308">
        <f>'Monthly D5 Gallon Data'!$AD173</f>
        <v>4512781</v>
      </c>
      <c r="Q313" s="332">
        <f>'Monthly D5 Gallon Data'!$AD185</f>
        <v>2417672</v>
      </c>
      <c r="R313" s="307">
        <f t="shared" si="330"/>
        <v>2961440.4263814664</v>
      </c>
      <c r="S313" s="307">
        <f t="shared" si="331"/>
        <v>3466545.1839129273</v>
      </c>
      <c r="T313" s="307">
        <f t="shared" si="332"/>
        <v>4060666.1938253357</v>
      </c>
      <c r="U313" s="307">
        <f t="shared" si="332"/>
        <v>3718385.4990940876</v>
      </c>
      <c r="V313" s="307">
        <f t="shared" si="332"/>
        <v>4120522.872694137</v>
      </c>
      <c r="W313" s="307">
        <f t="shared" si="332"/>
        <v>5112329.9397271192</v>
      </c>
      <c r="X313" s="307">
        <f t="shared" si="332"/>
        <v>5696421.4865855882</v>
      </c>
      <c r="Y313" s="307">
        <f t="shared" si="332"/>
        <v>6440457.6974297669</v>
      </c>
      <c r="Z313" s="307">
        <f t="shared" si="332"/>
        <v>7305231.2557293233</v>
      </c>
      <c r="AA313" s="307">
        <f t="shared" si="332"/>
        <v>7652464.5918073542</v>
      </c>
      <c r="AB313" s="307">
        <f t="shared" si="332"/>
        <v>6946708.7295498792</v>
      </c>
      <c r="AC313" s="307">
        <f t="shared" si="332"/>
        <v>6997801.0802915022</v>
      </c>
      <c r="AD313" s="307">
        <f t="shared" si="332"/>
        <v>6857661.2888189238</v>
      </c>
      <c r="AE313" s="307">
        <f t="shared" si="332"/>
        <v>7169423.9387466628</v>
      </c>
      <c r="AF313" s="307">
        <f t="shared" si="332"/>
        <v>8663887.879668558</v>
      </c>
      <c r="AG313" s="307">
        <f t="shared" si="332"/>
        <v>9078542.9464585502</v>
      </c>
      <c r="AH313" s="307">
        <f t="shared" si="332"/>
        <v>9446509.6623499691</v>
      </c>
      <c r="AI313" s="307">
        <f t="shared" si="332"/>
        <v>9854340.5293814968</v>
      </c>
      <c r="AJ313" s="307">
        <f t="shared" si="333"/>
        <v>9633487.1873417106</v>
      </c>
      <c r="AK313" s="307">
        <f t="shared" si="333"/>
        <v>9086819.6118330993</v>
      </c>
      <c r="AL313" s="307">
        <f t="shared" si="333"/>
        <v>8824460.8912338335</v>
      </c>
      <c r="AM313" s="307">
        <f t="shared" si="333"/>
        <v>9405041.5430655815</v>
      </c>
      <c r="AN313" s="307">
        <f t="shared" si="333"/>
        <v>13065096.383662703</v>
      </c>
      <c r="AO313" s="307">
        <f t="shared" si="333"/>
        <v>17030627.008627735</v>
      </c>
      <c r="AP313" s="307">
        <f t="shared" si="333"/>
        <v>18879065.982127734</v>
      </c>
      <c r="AR313" s="308">
        <v>1953688.9857039435</v>
      </c>
      <c r="AS313" s="308">
        <f t="shared" si="334"/>
        <v>-125281.98570394353</v>
      </c>
      <c r="AT313" s="308">
        <v>2693130.1337867538</v>
      </c>
      <c r="AU313" s="308">
        <f t="shared" si="335"/>
        <v>-1109230.1337867538</v>
      </c>
      <c r="AV313" s="308">
        <v>2169798.1706832871</v>
      </c>
      <c r="AW313" s="308">
        <f t="shared" si="336"/>
        <v>1644482.8293167129</v>
      </c>
      <c r="AX313" s="308">
        <v>6000879.1075351788</v>
      </c>
      <c r="AY313" s="308">
        <f t="shared" si="337"/>
        <v>-768423.10753517877</v>
      </c>
      <c r="AZ313" s="308">
        <v>4512781</v>
      </c>
      <c r="BA313" s="308">
        <f t="shared" si="338"/>
        <v>0</v>
      </c>
      <c r="BB313" s="331">
        <v>2417672</v>
      </c>
      <c r="BC313" s="308">
        <f t="shared" si="339"/>
        <v>0</v>
      </c>
    </row>
    <row r="314" spans="1:55">
      <c r="A314" s="301" t="s">
        <v>45</v>
      </c>
      <c r="B314" s="308">
        <f>'Monthly D5 Gallon Data'!$AD6</f>
        <v>0</v>
      </c>
      <c r="C314" s="308">
        <f>'Monthly D5 Gallon Data'!$AD18</f>
        <v>0</v>
      </c>
      <c r="D314" s="308">
        <f>'Monthly D5 Gallon Data'!$AD30</f>
        <v>0</v>
      </c>
      <c r="E314" s="308">
        <f>'Monthly D5 Gallon Data'!$AD42</f>
        <v>0</v>
      </c>
      <c r="F314" s="308">
        <f>'Monthly D5 Gallon Data'!$AD54</f>
        <v>1007018</v>
      </c>
      <c r="G314" s="308">
        <f>'Monthly D5 Gallon Data'!$AD66</f>
        <v>1095686</v>
      </c>
      <c r="H314" s="308">
        <f>'Monthly D5 Gallon Data'!$AD78</f>
        <v>1086408</v>
      </c>
      <c r="I314" s="308">
        <f>'Monthly D5 Gallon Data'!$AD90</f>
        <v>895275</v>
      </c>
      <c r="J314" s="308">
        <f>'Monthly D5 Gallon Data'!$AD102</f>
        <v>2374590</v>
      </c>
      <c r="K314" s="308">
        <f>'Monthly D5 Gallon Data'!$AD114</f>
        <v>1938116</v>
      </c>
      <c r="L314" s="308">
        <f>'Monthly D5 Gallon Data'!$AD126</f>
        <v>1883344</v>
      </c>
      <c r="M314" s="308">
        <f>'Monthly D5 Gallon Data'!$AD138</f>
        <v>1331815</v>
      </c>
      <c r="N314" s="308">
        <f>'Monthly D5 Gallon Data'!$AD150</f>
        <v>4172342</v>
      </c>
      <c r="O314" s="308">
        <f>'Monthly D5 Gallon Data'!$AD162</f>
        <v>4305799</v>
      </c>
      <c r="P314" s="308">
        <f>'Monthly D5 Gallon Data'!$AD174</f>
        <v>2960209</v>
      </c>
      <c r="Q314" s="332">
        <f>'Monthly D5 Gallon Data'!$AD186</f>
        <v>2453244</v>
      </c>
      <c r="R314" s="307">
        <f t="shared" si="330"/>
        <v>2567222.1280079684</v>
      </c>
      <c r="S314" s="307">
        <f t="shared" si="331"/>
        <v>3012637.582386984</v>
      </c>
      <c r="T314" s="307">
        <f t="shared" si="332"/>
        <v>3341667.360297855</v>
      </c>
      <c r="U314" s="307">
        <f t="shared" si="332"/>
        <v>3060029.9282923187</v>
      </c>
      <c r="V314" s="307">
        <f t="shared" si="332"/>
        <v>3577742.4190874835</v>
      </c>
      <c r="W314" s="307">
        <f t="shared" si="332"/>
        <v>4340145.1962359026</v>
      </c>
      <c r="X314" s="307">
        <f t="shared" si="332"/>
        <v>4821246.0454491982</v>
      </c>
      <c r="Y314" s="307">
        <f t="shared" si="332"/>
        <v>5428656.9633910842</v>
      </c>
      <c r="Z314" s="307">
        <f t="shared" si="332"/>
        <v>6181178.7280747695</v>
      </c>
      <c r="AA314" s="307">
        <f t="shared" si="332"/>
        <v>6497990.0471514249</v>
      </c>
      <c r="AB314" s="307">
        <f t="shared" si="332"/>
        <v>5881698.5927081071</v>
      </c>
      <c r="AC314" s="307">
        <f t="shared" si="332"/>
        <v>5922574.526904311</v>
      </c>
      <c r="AD314" s="307">
        <f t="shared" si="332"/>
        <v>5803949.7574961949</v>
      </c>
      <c r="AE314" s="307">
        <f t="shared" si="332"/>
        <v>6072258.3526709108</v>
      </c>
      <c r="AF314" s="307">
        <f t="shared" si="332"/>
        <v>7339502.9719944978</v>
      </c>
      <c r="AG314" s="307">
        <f t="shared" si="332"/>
        <v>7686980.9362608939</v>
      </c>
      <c r="AH314" s="307">
        <f t="shared" si="332"/>
        <v>7998598.3171844753</v>
      </c>
      <c r="AI314" s="307">
        <f t="shared" si="332"/>
        <v>8344550.3031121632</v>
      </c>
      <c r="AJ314" s="307">
        <f t="shared" si="333"/>
        <v>8158197.4327997044</v>
      </c>
      <c r="AK314" s="307">
        <f t="shared" si="333"/>
        <v>7695097.0325747225</v>
      </c>
      <c r="AL314" s="307">
        <f t="shared" si="333"/>
        <v>7472440.7152927136</v>
      </c>
      <c r="AM314" s="307">
        <f t="shared" si="333"/>
        <v>7964192.1055191215</v>
      </c>
      <c r="AN314" s="307">
        <f t="shared" si="333"/>
        <v>11063725.597922459</v>
      </c>
      <c r="AO314" s="307">
        <f t="shared" si="333"/>
        <v>14421885.952234989</v>
      </c>
      <c r="AP314" s="307">
        <f t="shared" si="333"/>
        <v>15987063.154152451</v>
      </c>
      <c r="AR314" s="308">
        <v>1799054.1611342372</v>
      </c>
      <c r="AS314" s="308">
        <f t="shared" si="334"/>
        <v>84289.838865762809</v>
      </c>
      <c r="AT314" s="308">
        <v>1688244.3460053296</v>
      </c>
      <c r="AU314" s="308">
        <f t="shared" si="335"/>
        <v>-356429.34600532963</v>
      </c>
      <c r="AV314" s="308">
        <v>3281274.9410347231</v>
      </c>
      <c r="AW314" s="308">
        <f t="shared" si="336"/>
        <v>891067.05896527693</v>
      </c>
      <c r="AX314" s="308">
        <v>4982878.7813685099</v>
      </c>
      <c r="AY314" s="308">
        <f t="shared" si="337"/>
        <v>-677079.78136850987</v>
      </c>
      <c r="AZ314" s="308">
        <v>2960209</v>
      </c>
      <c r="BA314" s="308">
        <f t="shared" si="338"/>
        <v>0</v>
      </c>
      <c r="BB314" s="331">
        <v>2266932.2131790183</v>
      </c>
      <c r="BC314" s="308">
        <f t="shared" si="339"/>
        <v>186311.78682098165</v>
      </c>
    </row>
    <row r="315" spans="1:55">
      <c r="A315" s="301" t="s">
        <v>46</v>
      </c>
      <c r="B315" s="308">
        <f>'Monthly D5 Gallon Data'!$AD7</f>
        <v>0</v>
      </c>
      <c r="C315" s="308">
        <f>'Monthly D5 Gallon Data'!$AD19</f>
        <v>0</v>
      </c>
      <c r="D315" s="308">
        <f>'Monthly D5 Gallon Data'!$AD31</f>
        <v>0</v>
      </c>
      <c r="E315" s="308">
        <f>'Monthly D5 Gallon Data'!$AD43</f>
        <v>0</v>
      </c>
      <c r="F315" s="308">
        <f>'Monthly D5 Gallon Data'!$AD55</f>
        <v>886488</v>
      </c>
      <c r="G315" s="308">
        <f>'Monthly D5 Gallon Data'!$AD67</f>
        <v>1214342</v>
      </c>
      <c r="H315" s="308">
        <f>'Monthly D5 Gallon Data'!$AD79</f>
        <v>1106818</v>
      </c>
      <c r="I315" s="308">
        <f>'Monthly D5 Gallon Data'!$AD91</f>
        <v>3024315</v>
      </c>
      <c r="J315" s="308">
        <f>'Monthly D5 Gallon Data'!$AD103</f>
        <v>1791949</v>
      </c>
      <c r="K315" s="308">
        <f>'Monthly D5 Gallon Data'!$AD115</f>
        <v>1892697</v>
      </c>
      <c r="L315" s="308">
        <f>'Monthly D5 Gallon Data'!$AD127</f>
        <v>1546633</v>
      </c>
      <c r="M315" s="308">
        <f>'Monthly D5 Gallon Data'!$AD139</f>
        <v>1089129</v>
      </c>
      <c r="N315" s="308">
        <f>'Monthly D5 Gallon Data'!$AD151</f>
        <v>4294169</v>
      </c>
      <c r="O315" s="308">
        <f>'Monthly D5 Gallon Data'!$AD163</f>
        <v>3998333</v>
      </c>
      <c r="P315" s="308">
        <f>'Monthly D5 Gallon Data'!$AD175</f>
        <v>3229971</v>
      </c>
      <c r="Q315" s="307">
        <f t="shared" ref="Q315:Q322" si="340">(SUM(L315:P315)/SUM(L$324:P$324))*Q$324</f>
        <v>2528931.0825301697</v>
      </c>
      <c r="R315" s="307">
        <f t="shared" si="330"/>
        <v>2553246.2248966806</v>
      </c>
      <c r="S315" s="307">
        <f t="shared" si="331"/>
        <v>3039331.2112784483</v>
      </c>
      <c r="T315" s="307">
        <f t="shared" si="332"/>
        <v>3352741.5480989865</v>
      </c>
      <c r="U315" s="307">
        <f t="shared" si="332"/>
        <v>3138850.3028782308</v>
      </c>
      <c r="V315" s="307">
        <f t="shared" si="332"/>
        <v>3621934.8691174844</v>
      </c>
      <c r="W315" s="307">
        <f t="shared" si="332"/>
        <v>4381095.2327479105</v>
      </c>
      <c r="X315" s="307">
        <f t="shared" si="332"/>
        <v>4877360.7897329563</v>
      </c>
      <c r="Y315" s="307">
        <f t="shared" si="332"/>
        <v>5494215.4438533373</v>
      </c>
      <c r="Z315" s="307">
        <f t="shared" si="332"/>
        <v>6264351.0770029873</v>
      </c>
      <c r="AA315" s="307">
        <f t="shared" si="332"/>
        <v>6575378.9296876229</v>
      </c>
      <c r="AB315" s="307">
        <f t="shared" si="332"/>
        <v>5951406.2699547149</v>
      </c>
      <c r="AC315" s="307">
        <f t="shared" si="332"/>
        <v>5994922.5928288968</v>
      </c>
      <c r="AD315" s="307">
        <f t="shared" si="332"/>
        <v>5875388.1361087793</v>
      </c>
      <c r="AE315" s="307">
        <f t="shared" si="332"/>
        <v>6147251.9595550979</v>
      </c>
      <c r="AF315" s="307">
        <f t="shared" si="332"/>
        <v>7428485.3611511337</v>
      </c>
      <c r="AG315" s="307">
        <f t="shared" si="332"/>
        <v>7780520.8162573483</v>
      </c>
      <c r="AH315" s="307">
        <f t="shared" si="332"/>
        <v>8096384.4558467967</v>
      </c>
      <c r="AI315" s="307">
        <f t="shared" si="332"/>
        <v>8446579.6734913569</v>
      </c>
      <c r="AJ315" s="307">
        <f t="shared" si="333"/>
        <v>8257845.170771176</v>
      </c>
      <c r="AK315" s="307">
        <f t="shared" si="333"/>
        <v>7788927.7669919673</v>
      </c>
      <c r="AL315" s="307">
        <f t="shared" si="333"/>
        <v>7563652.4719790872</v>
      </c>
      <c r="AM315" s="307">
        <f t="shared" si="333"/>
        <v>8061464.7384963362</v>
      </c>
      <c r="AN315" s="307">
        <f t="shared" si="333"/>
        <v>11198829.113266731</v>
      </c>
      <c r="AO315" s="307">
        <f t="shared" si="333"/>
        <v>14597952.756790273</v>
      </c>
      <c r="AP315" s="307">
        <f t="shared" si="333"/>
        <v>16182221.692239296</v>
      </c>
      <c r="AR315" s="308">
        <v>1953114.8761728944</v>
      </c>
      <c r="AS315" s="308">
        <f t="shared" si="334"/>
        <v>-406481.87617289438</v>
      </c>
      <c r="AT315" s="308">
        <v>1631998.9998715231</v>
      </c>
      <c r="AU315" s="308">
        <f t="shared" si="335"/>
        <v>-542869.99987152312</v>
      </c>
      <c r="AV315" s="308">
        <v>3433291.1369211283</v>
      </c>
      <c r="AW315" s="308">
        <f t="shared" si="336"/>
        <v>860877.86307887174</v>
      </c>
      <c r="AX315" s="308">
        <v>4471438.8472493812</v>
      </c>
      <c r="AY315" s="308">
        <f t="shared" si="337"/>
        <v>-473105.84724938124</v>
      </c>
      <c r="AZ315" s="308">
        <v>3229971</v>
      </c>
      <c r="BA315" s="308">
        <f t="shared" si="338"/>
        <v>0</v>
      </c>
      <c r="BB315" s="331">
        <v>2190312.1636775625</v>
      </c>
      <c r="BC315" s="308">
        <f t="shared" si="339"/>
        <v>338618.91885260725</v>
      </c>
    </row>
    <row r="316" spans="1:55">
      <c r="A316" s="301" t="s">
        <v>47</v>
      </c>
      <c r="B316" s="308">
        <f>'Monthly D5 Gallon Data'!$AD8</f>
        <v>0</v>
      </c>
      <c r="C316" s="308">
        <f>'Monthly D5 Gallon Data'!$AD20</f>
        <v>0</v>
      </c>
      <c r="D316" s="308">
        <f>'Monthly D5 Gallon Data'!$AD32</f>
        <v>0</v>
      </c>
      <c r="E316" s="308">
        <f>'Monthly D5 Gallon Data'!$AD44</f>
        <v>0</v>
      </c>
      <c r="F316" s="308">
        <f>'Monthly D5 Gallon Data'!$AD56</f>
        <v>937353</v>
      </c>
      <c r="G316" s="308">
        <f>'Monthly D5 Gallon Data'!$AD68</f>
        <v>1476394</v>
      </c>
      <c r="H316" s="308">
        <f>'Monthly D5 Gallon Data'!$AD80</f>
        <v>1571814</v>
      </c>
      <c r="I316" s="308">
        <f>'Monthly D5 Gallon Data'!$AD92</f>
        <v>1327849</v>
      </c>
      <c r="J316" s="308">
        <f>'Monthly D5 Gallon Data'!$AD104</f>
        <v>1878943</v>
      </c>
      <c r="K316" s="308">
        <f>'Monthly D5 Gallon Data'!$AD116</f>
        <v>2120869</v>
      </c>
      <c r="L316" s="308">
        <f>'Monthly D5 Gallon Data'!$AD128</f>
        <v>1829296</v>
      </c>
      <c r="M316" s="308">
        <f>'Monthly D5 Gallon Data'!$AD140</f>
        <v>1065029</v>
      </c>
      <c r="N316" s="308">
        <f>'Monthly D5 Gallon Data'!$AD152</f>
        <v>3636489</v>
      </c>
      <c r="O316" s="308">
        <f>'Monthly D5 Gallon Data'!$AD164</f>
        <v>5042214</v>
      </c>
      <c r="P316" s="308">
        <f>'Monthly D5 Gallon Data'!$AD176</f>
        <v>3099461</v>
      </c>
      <c r="Q316" s="307">
        <f t="shared" si="340"/>
        <v>2620786.6651586168</v>
      </c>
      <c r="R316" s="307">
        <f t="shared" si="330"/>
        <v>2607791.1184978643</v>
      </c>
      <c r="S316" s="307">
        <f t="shared" si="331"/>
        <v>3112930.4229972963</v>
      </c>
      <c r="T316" s="307">
        <f t="shared" si="332"/>
        <v>3600294.9947780147</v>
      </c>
      <c r="U316" s="307">
        <f t="shared" si="332"/>
        <v>3210797.5308478181</v>
      </c>
      <c r="V316" s="307">
        <f t="shared" si="332"/>
        <v>3755652.9115423439</v>
      </c>
      <c r="W316" s="307">
        <f t="shared" si="332"/>
        <v>4543261.8569052005</v>
      </c>
      <c r="X316" s="307">
        <f t="shared" si="332"/>
        <v>5069013.3059586994</v>
      </c>
      <c r="Y316" s="307">
        <f t="shared" si="332"/>
        <v>5723104.7588570481</v>
      </c>
      <c r="Z316" s="307">
        <f t="shared" si="332"/>
        <v>6493912.0388327669</v>
      </c>
      <c r="AA316" s="307">
        <f t="shared" si="332"/>
        <v>6827833.8491774555</v>
      </c>
      <c r="AB316" s="307">
        <f t="shared" si="332"/>
        <v>6181056.7082988527</v>
      </c>
      <c r="AC316" s="307">
        <f t="shared" si="332"/>
        <v>6227668.4398139231</v>
      </c>
      <c r="AD316" s="307">
        <f t="shared" si="332"/>
        <v>6103047.9496906446</v>
      </c>
      <c r="AE316" s="307">
        <f t="shared" si="332"/>
        <v>6382238.3180234535</v>
      </c>
      <c r="AF316" s="307">
        <f t="shared" si="332"/>
        <v>7714856.5765033737</v>
      </c>
      <c r="AG316" s="307">
        <f t="shared" si="332"/>
        <v>8080718.0616086619</v>
      </c>
      <c r="AH316" s="307">
        <f t="shared" si="332"/>
        <v>8408762.3285984676</v>
      </c>
      <c r="AI316" s="307">
        <f t="shared" si="332"/>
        <v>8772122.8567168508</v>
      </c>
      <c r="AJ316" s="307">
        <f t="shared" si="333"/>
        <v>8575849.7388536464</v>
      </c>
      <c r="AK316" s="307">
        <f t="shared" si="333"/>
        <v>8089213.4559870567</v>
      </c>
      <c r="AL316" s="307">
        <f t="shared" si="333"/>
        <v>7855256.5898970449</v>
      </c>
      <c r="AM316" s="307">
        <f t="shared" si="333"/>
        <v>8372214.5820766054</v>
      </c>
      <c r="AN316" s="307">
        <f t="shared" si="333"/>
        <v>11630438.009787494</v>
      </c>
      <c r="AO316" s="307">
        <f t="shared" si="333"/>
        <v>15160563.166224122</v>
      </c>
      <c r="AP316" s="307">
        <f t="shared" si="333"/>
        <v>16805974.514910966</v>
      </c>
      <c r="AR316" s="308">
        <v>1836245.2271889199</v>
      </c>
      <c r="AS316" s="308">
        <f t="shared" si="334"/>
        <v>-6949.2271889199037</v>
      </c>
      <c r="AT316" s="308">
        <v>1522832.4981095258</v>
      </c>
      <c r="AU316" s="308">
        <f t="shared" si="335"/>
        <v>-457803.49810952577</v>
      </c>
      <c r="AV316" s="308">
        <v>3743002.5646818122</v>
      </c>
      <c r="AW316" s="308">
        <f t="shared" si="336"/>
        <v>-106513.56468181219</v>
      </c>
      <c r="AX316" s="308">
        <v>4436074.1066039996</v>
      </c>
      <c r="AY316" s="308">
        <f t="shared" si="337"/>
        <v>606139.89339600038</v>
      </c>
      <c r="AZ316" s="308">
        <v>3099461</v>
      </c>
      <c r="BA316" s="308">
        <f t="shared" si="338"/>
        <v>0</v>
      </c>
      <c r="BB316" s="331">
        <v>2269868.4636979988</v>
      </c>
      <c r="BC316" s="308">
        <f t="shared" si="339"/>
        <v>350918.20146061806</v>
      </c>
    </row>
    <row r="317" spans="1:55">
      <c r="A317" s="301" t="s">
        <v>48</v>
      </c>
      <c r="B317" s="308">
        <f>'Monthly D5 Gallon Data'!$AD9</f>
        <v>0</v>
      </c>
      <c r="C317" s="308">
        <f>'Monthly D5 Gallon Data'!$AD21</f>
        <v>0</v>
      </c>
      <c r="D317" s="308">
        <f>'Monthly D5 Gallon Data'!$AD33</f>
        <v>0</v>
      </c>
      <c r="E317" s="308">
        <f>'Monthly D5 Gallon Data'!$AD45</f>
        <v>0</v>
      </c>
      <c r="F317" s="308">
        <f>'Monthly D5 Gallon Data'!$AD57</f>
        <v>928776</v>
      </c>
      <c r="G317" s="308">
        <f>'Monthly D5 Gallon Data'!$AD69</f>
        <v>1120164</v>
      </c>
      <c r="H317" s="308">
        <f>'Monthly D5 Gallon Data'!$AD81</f>
        <v>1548252</v>
      </c>
      <c r="I317" s="308">
        <f>'Monthly D5 Gallon Data'!$AD93</f>
        <v>1385530</v>
      </c>
      <c r="J317" s="308">
        <f>'Monthly D5 Gallon Data'!$AD105</f>
        <v>277187</v>
      </c>
      <c r="K317" s="308">
        <f>'Monthly D5 Gallon Data'!$AD117</f>
        <v>1742628</v>
      </c>
      <c r="L317" s="308">
        <f>'Monthly D5 Gallon Data'!$AD129</f>
        <v>1610763</v>
      </c>
      <c r="M317" s="308">
        <f>'Monthly D5 Gallon Data'!$AD141</f>
        <v>876721</v>
      </c>
      <c r="N317" s="308">
        <f>'Monthly D5 Gallon Data'!$AD153</f>
        <v>4259231</v>
      </c>
      <c r="O317" s="308">
        <f>'Monthly D5 Gallon Data'!$AD165</f>
        <v>3849430</v>
      </c>
      <c r="P317" s="308">
        <f>'Monthly D5 Gallon Data'!$AD177</f>
        <v>2736029</v>
      </c>
      <c r="Q317" s="307">
        <f t="shared" si="340"/>
        <v>2381380.8166272552</v>
      </c>
      <c r="R317" s="307">
        <f t="shared" si="330"/>
        <v>2378245.1892565708</v>
      </c>
      <c r="S317" s="307">
        <f t="shared" si="331"/>
        <v>2856229.0556713371</v>
      </c>
      <c r="T317" s="307">
        <f t="shared" si="332"/>
        <v>3101883.859086663</v>
      </c>
      <c r="U317" s="307">
        <f t="shared" si="332"/>
        <v>2871921.1524842675</v>
      </c>
      <c r="V317" s="307">
        <f t="shared" si="332"/>
        <v>3368269.7328505674</v>
      </c>
      <c r="W317" s="307">
        <f t="shared" si="332"/>
        <v>4066014.6304748547</v>
      </c>
      <c r="X317" s="307">
        <f t="shared" si="332"/>
        <v>4524190.7653377941</v>
      </c>
      <c r="Y317" s="307">
        <f t="shared" si="332"/>
        <v>5085891.9192326237</v>
      </c>
      <c r="Z317" s="307">
        <f t="shared" si="332"/>
        <v>5799282.9109417498</v>
      </c>
      <c r="AA317" s="307">
        <f t="shared" si="332"/>
        <v>6096266.6602351116</v>
      </c>
      <c r="AB317" s="307">
        <f t="shared" si="332"/>
        <v>5515549.6255196696</v>
      </c>
      <c r="AC317" s="307">
        <f t="shared" si="332"/>
        <v>5554692.2697301414</v>
      </c>
      <c r="AD317" s="307">
        <f t="shared" si="332"/>
        <v>5442966.7993278699</v>
      </c>
      <c r="AE317" s="307">
        <f t="shared" si="332"/>
        <v>5695614.9162134472</v>
      </c>
      <c r="AF317" s="307">
        <f t="shared" si="332"/>
        <v>6883890.580818601</v>
      </c>
      <c r="AG317" s="307">
        <f t="shared" si="332"/>
        <v>7209389.2092376091</v>
      </c>
      <c r="AH317" s="307">
        <f t="shared" si="332"/>
        <v>7501821.1011085529</v>
      </c>
      <c r="AI317" s="307">
        <f t="shared" si="332"/>
        <v>7826296.9217242906</v>
      </c>
      <c r="AJ317" s="307">
        <f t="shared" si="333"/>
        <v>7651630.7363588214</v>
      </c>
      <c r="AK317" s="307">
        <f t="shared" si="333"/>
        <v>7217207.528387161</v>
      </c>
      <c r="AL317" s="307">
        <f t="shared" si="333"/>
        <v>7008342.587311727</v>
      </c>
      <c r="AM317" s="307">
        <f t="shared" si="333"/>
        <v>7469586.2144647436</v>
      </c>
      <c r="AN317" s="307">
        <f t="shared" si="333"/>
        <v>10376636.822659204</v>
      </c>
      <c r="AO317" s="307">
        <f t="shared" si="333"/>
        <v>13526257.158784414</v>
      </c>
      <c r="AP317" s="307">
        <f t="shared" si="333"/>
        <v>14994209.25232829</v>
      </c>
      <c r="AR317" s="308">
        <v>1304599.7604946322</v>
      </c>
      <c r="AS317" s="308">
        <f t="shared" si="334"/>
        <v>306163.23950536782</v>
      </c>
      <c r="AT317" s="308">
        <v>1493152.3665817657</v>
      </c>
      <c r="AU317" s="308">
        <f t="shared" si="335"/>
        <v>-616431.3665817657</v>
      </c>
      <c r="AV317" s="308">
        <v>2682639.69870331</v>
      </c>
      <c r="AW317" s="308">
        <f t="shared" si="336"/>
        <v>1576591.30129669</v>
      </c>
      <c r="AX317" s="308">
        <v>3887002.6367334346</v>
      </c>
      <c r="AY317" s="308">
        <f t="shared" si="337"/>
        <v>-37572.636733434629</v>
      </c>
      <c r="AZ317" s="308">
        <v>2736029</v>
      </c>
      <c r="BA317" s="308">
        <f t="shared" si="338"/>
        <v>0</v>
      </c>
      <c r="BB317" s="331">
        <v>2062518.5893909617</v>
      </c>
      <c r="BC317" s="308">
        <f t="shared" si="339"/>
        <v>318862.22723629349</v>
      </c>
    </row>
    <row r="318" spans="1:55">
      <c r="A318" s="301" t="s">
        <v>49</v>
      </c>
      <c r="B318" s="308">
        <f>'Monthly D5 Gallon Data'!$AD10</f>
        <v>0</v>
      </c>
      <c r="C318" s="308">
        <f>'Monthly D5 Gallon Data'!$AD22</f>
        <v>0</v>
      </c>
      <c r="D318" s="308">
        <f>'Monthly D5 Gallon Data'!$AD34</f>
        <v>0</v>
      </c>
      <c r="E318" s="308">
        <f>'Monthly D5 Gallon Data'!$AD46</f>
        <v>0</v>
      </c>
      <c r="F318" s="308">
        <f>'Monthly D5 Gallon Data'!$AD58</f>
        <v>1064973</v>
      </c>
      <c r="G318" s="308">
        <f>'Monthly D5 Gallon Data'!$AD70</f>
        <v>1530569</v>
      </c>
      <c r="H318" s="308">
        <f>'Monthly D5 Gallon Data'!$AD82</f>
        <v>1414232</v>
      </c>
      <c r="I318" s="308">
        <f>'Monthly D5 Gallon Data'!$AD94</f>
        <v>1447987</v>
      </c>
      <c r="J318" s="308">
        <f>'Monthly D5 Gallon Data'!$AD106</f>
        <v>37327</v>
      </c>
      <c r="K318" s="308">
        <f>'Monthly D5 Gallon Data'!$AD118</f>
        <v>1691191</v>
      </c>
      <c r="L318" s="308">
        <f>'Monthly D5 Gallon Data'!$AD130</f>
        <v>1717093</v>
      </c>
      <c r="M318" s="308">
        <f>'Monthly D5 Gallon Data'!$AD142</f>
        <v>920874</v>
      </c>
      <c r="N318" s="308">
        <f>'Monthly D5 Gallon Data'!$AD154</f>
        <v>4729189</v>
      </c>
      <c r="O318" s="308">
        <f>'Monthly D5 Gallon Data'!$AD166</f>
        <v>2203723</v>
      </c>
      <c r="P318" s="308">
        <f>'Monthly D5 Gallon Data'!$AD178</f>
        <v>2667785</v>
      </c>
      <c r="Q318" s="307">
        <f t="shared" si="340"/>
        <v>2186059.0531406649</v>
      </c>
      <c r="R318" s="307">
        <f t="shared" si="330"/>
        <v>2142970.0185393291</v>
      </c>
      <c r="S318" s="307">
        <f t="shared" si="331"/>
        <v>2549710.4985872433</v>
      </c>
      <c r="T318" s="307">
        <f t="shared" si="332"/>
        <v>2566516.2477572076</v>
      </c>
      <c r="U318" s="307">
        <f t="shared" si="332"/>
        <v>2585721.5875424556</v>
      </c>
      <c r="V318" s="307">
        <f t="shared" si="332"/>
        <v>2981941.9200864681</v>
      </c>
      <c r="W318" s="307">
        <f t="shared" si="332"/>
        <v>3577952.6120483419</v>
      </c>
      <c r="X318" s="307">
        <f t="shared" si="332"/>
        <v>3967168.8713304433</v>
      </c>
      <c r="Y318" s="307">
        <f t="shared" si="332"/>
        <v>4446909.7541327681</v>
      </c>
      <c r="Z318" s="307">
        <f t="shared" si="332"/>
        <v>5113083.1524572577</v>
      </c>
      <c r="AA318" s="307">
        <f t="shared" si="332"/>
        <v>5360616.7099351985</v>
      </c>
      <c r="AB318" s="307">
        <f t="shared" si="332"/>
        <v>4845634.5149151757</v>
      </c>
      <c r="AC318" s="307">
        <f t="shared" si="332"/>
        <v>4878831.959315571</v>
      </c>
      <c r="AD318" s="307">
        <f t="shared" si="332"/>
        <v>4781970.8031308623</v>
      </c>
      <c r="AE318" s="307">
        <f t="shared" si="332"/>
        <v>5008217.5493657356</v>
      </c>
      <c r="AF318" s="307">
        <f t="shared" si="332"/>
        <v>6049747.4407216525</v>
      </c>
      <c r="AG318" s="307">
        <f t="shared" si="332"/>
        <v>6335047.4841810754</v>
      </c>
      <c r="AH318" s="307">
        <f t="shared" si="332"/>
        <v>6592257.2396175843</v>
      </c>
      <c r="AI318" s="307">
        <f t="shared" si="332"/>
        <v>6877960.1919494262</v>
      </c>
      <c r="AJ318" s="307">
        <f t="shared" si="333"/>
        <v>6724775.8342238404</v>
      </c>
      <c r="AK318" s="307">
        <f t="shared" si="333"/>
        <v>6342484.0592879793</v>
      </c>
      <c r="AL318" s="307">
        <f t="shared" si="333"/>
        <v>6158899.3127597775</v>
      </c>
      <c r="AM318" s="307">
        <f t="shared" si="333"/>
        <v>6564344.6386012873</v>
      </c>
      <c r="AN318" s="307">
        <f t="shared" si="333"/>
        <v>9119204.8890935834</v>
      </c>
      <c r="AO318" s="307">
        <f t="shared" si="333"/>
        <v>11887140.865148565</v>
      </c>
      <c r="AP318" s="307">
        <f t="shared" si="333"/>
        <v>13177083.639346667</v>
      </c>
      <c r="AR318" s="308">
        <v>1314811.859260902</v>
      </c>
      <c r="AS318" s="308">
        <f t="shared" si="334"/>
        <v>402281.14073909796</v>
      </c>
      <c r="AT318" s="308">
        <v>1167475.7087859628</v>
      </c>
      <c r="AU318" s="308">
        <f t="shared" si="335"/>
        <v>-246601.70878596278</v>
      </c>
      <c r="AV318" s="308">
        <v>2510768.6888518701</v>
      </c>
      <c r="AW318" s="308">
        <f t="shared" si="336"/>
        <v>2218420.3111481299</v>
      </c>
      <c r="AX318" s="308">
        <v>3541830.8158315774</v>
      </c>
      <c r="AY318" s="308">
        <f t="shared" si="337"/>
        <v>-1338107.8158315774</v>
      </c>
      <c r="AZ318" s="309">
        <v>2667785</v>
      </c>
      <c r="BA318" s="308">
        <f t="shared" si="338"/>
        <v>0</v>
      </c>
      <c r="BB318" s="331">
        <v>1893350.0274831357</v>
      </c>
      <c r="BC318" s="308">
        <f t="shared" si="339"/>
        <v>292709.02565752924</v>
      </c>
    </row>
    <row r="319" spans="1:55">
      <c r="A319" s="301" t="s">
        <v>50</v>
      </c>
      <c r="B319" s="308">
        <f>'Monthly D5 Gallon Data'!$AD11</f>
        <v>0</v>
      </c>
      <c r="C319" s="308">
        <f>'Monthly D5 Gallon Data'!$AD23</f>
        <v>0</v>
      </c>
      <c r="D319" s="308">
        <f>'Monthly D5 Gallon Data'!$AD35</f>
        <v>0</v>
      </c>
      <c r="E319" s="308">
        <f>'Monthly D5 Gallon Data'!$AD47</f>
        <v>127898</v>
      </c>
      <c r="F319" s="308">
        <f>'Monthly D5 Gallon Data'!$AD59</f>
        <v>116938</v>
      </c>
      <c r="G319" s="308">
        <f>'Monthly D5 Gallon Data'!$AD71</f>
        <v>1518950</v>
      </c>
      <c r="H319" s="308">
        <f>'Monthly D5 Gallon Data'!$AD83</f>
        <v>1814951</v>
      </c>
      <c r="I319" s="308">
        <f>'Monthly D5 Gallon Data'!$AD95</f>
        <v>1788693</v>
      </c>
      <c r="J319" s="308">
        <f>'Monthly D5 Gallon Data'!$AD107</f>
        <v>1781383</v>
      </c>
      <c r="K319" s="308">
        <f>'Monthly D5 Gallon Data'!$AD119</f>
        <v>515040</v>
      </c>
      <c r="L319" s="308">
        <f>'Monthly D5 Gallon Data'!$AD131</f>
        <v>1680336</v>
      </c>
      <c r="M319" s="308">
        <f>'Monthly D5 Gallon Data'!$AD143</f>
        <v>991096</v>
      </c>
      <c r="N319" s="308">
        <f>'Monthly D5 Gallon Data'!$AD155</f>
        <v>7401530</v>
      </c>
      <c r="O319" s="308">
        <f>'Monthly D5 Gallon Data'!$AD167</f>
        <v>3278632</v>
      </c>
      <c r="P319" s="308">
        <f>'Monthly D5 Gallon Data'!$AD179</f>
        <v>2858762</v>
      </c>
      <c r="Q319" s="307">
        <f t="shared" si="340"/>
        <v>2895479.0725877509</v>
      </c>
      <c r="R319" s="307">
        <f t="shared" si="330"/>
        <v>2938574.8494788264</v>
      </c>
      <c r="S319" s="307">
        <f t="shared" si="331"/>
        <v>3546048.5685512614</v>
      </c>
      <c r="T319" s="307">
        <f t="shared" si="332"/>
        <v>3389367.4690277493</v>
      </c>
      <c r="U319" s="307">
        <f t="shared" si="332"/>
        <v>3336095.1523456662</v>
      </c>
      <c r="V319" s="307">
        <f t="shared" si="332"/>
        <v>3991850.2159189992</v>
      </c>
      <c r="W319" s="307">
        <f t="shared" si="332"/>
        <v>4798345.9279519692</v>
      </c>
      <c r="X319" s="307">
        <f t="shared" si="332"/>
        <v>5302331.0296882754</v>
      </c>
      <c r="Y319" s="307">
        <f t="shared" si="332"/>
        <v>5904327.0150101921</v>
      </c>
      <c r="Z319" s="307">
        <f t="shared" si="332"/>
        <v>6794156.2711497601</v>
      </c>
      <c r="AA319" s="307">
        <f t="shared" si="332"/>
        <v>7149695.6114235241</v>
      </c>
      <c r="AB319" s="307">
        <f t="shared" si="332"/>
        <v>6459670.0178126665</v>
      </c>
      <c r="AC319" s="307">
        <f t="shared" si="332"/>
        <v>6498043.7553498484</v>
      </c>
      <c r="AD319" s="307">
        <f t="shared" si="332"/>
        <v>6365442.7498803455</v>
      </c>
      <c r="AE319" s="307">
        <f t="shared" si="332"/>
        <v>6669635.7341753365</v>
      </c>
      <c r="AF319" s="307">
        <f t="shared" si="332"/>
        <v>8060361.5066854777</v>
      </c>
      <c r="AG319" s="307">
        <f t="shared" si="332"/>
        <v>8438622.7310753465</v>
      </c>
      <c r="AH319" s="307">
        <f t="shared" si="332"/>
        <v>8780015.4138856586</v>
      </c>
      <c r="AI319" s="307">
        <f t="shared" si="332"/>
        <v>9160513.8161484655</v>
      </c>
      <c r="AJ319" s="307">
        <f t="shared" si="333"/>
        <v>8957254.7644030675</v>
      </c>
      <c r="AK319" s="307">
        <f t="shared" si="333"/>
        <v>8448284.2284393422</v>
      </c>
      <c r="AL319" s="307">
        <f t="shared" si="333"/>
        <v>8203370.583501121</v>
      </c>
      <c r="AM319" s="307">
        <f t="shared" si="333"/>
        <v>8743278.4466981739</v>
      </c>
      <c r="AN319" s="307">
        <f t="shared" si="333"/>
        <v>12146308.528688684</v>
      </c>
      <c r="AO319" s="307">
        <f t="shared" si="333"/>
        <v>15833250.937159618</v>
      </c>
      <c r="AP319" s="307">
        <f t="shared" si="333"/>
        <v>17551379.021828227</v>
      </c>
      <c r="AR319" s="308">
        <v>1462270.1156958712</v>
      </c>
      <c r="AS319" s="308">
        <f t="shared" si="334"/>
        <v>218065.88430412882</v>
      </c>
      <c r="AT319" s="308">
        <v>1268707.2790340949</v>
      </c>
      <c r="AU319" s="308">
        <f t="shared" si="335"/>
        <v>-277611.27903409488</v>
      </c>
      <c r="AV319" s="308">
        <v>3173251.0791515759</v>
      </c>
      <c r="AW319" s="308">
        <f t="shared" si="336"/>
        <v>4228278.9208484236</v>
      </c>
      <c r="AX319" s="308">
        <v>4861653.2817665106</v>
      </c>
      <c r="AY319" s="308">
        <f t="shared" si="337"/>
        <v>-1583021.2817665106</v>
      </c>
      <c r="AZ319" s="309">
        <v>2858762</v>
      </c>
      <c r="BA319" s="308">
        <f t="shared" si="338"/>
        <v>0</v>
      </c>
      <c r="BB319" s="331">
        <v>2507780.0957777263</v>
      </c>
      <c r="BC319" s="308">
        <f t="shared" si="339"/>
        <v>387698.97681002459</v>
      </c>
    </row>
    <row r="320" spans="1:55">
      <c r="A320" s="301" t="s">
        <v>51</v>
      </c>
      <c r="B320" s="308">
        <f>'Monthly D5 Gallon Data'!$AD12</f>
        <v>0</v>
      </c>
      <c r="C320" s="308">
        <f>'Monthly D5 Gallon Data'!$AD24</f>
        <v>0</v>
      </c>
      <c r="D320" s="308">
        <f>'Monthly D5 Gallon Data'!$AD36</f>
        <v>0</v>
      </c>
      <c r="E320" s="308">
        <f>'Monthly D5 Gallon Data'!$AD48</f>
        <v>503877</v>
      </c>
      <c r="F320" s="308">
        <f>'Monthly D5 Gallon Data'!$AD60</f>
        <v>701034</v>
      </c>
      <c r="G320" s="308">
        <f>'Monthly D5 Gallon Data'!$AD72</f>
        <v>1387570</v>
      </c>
      <c r="H320" s="308">
        <f>'Monthly D5 Gallon Data'!$AD84</f>
        <v>1596891</v>
      </c>
      <c r="I320" s="308">
        <f>'Monthly D5 Gallon Data'!$AD96</f>
        <v>1864564</v>
      </c>
      <c r="J320" s="308">
        <f>'Monthly D5 Gallon Data'!$AD108</f>
        <v>2807894</v>
      </c>
      <c r="K320" s="308">
        <f>'Monthly D5 Gallon Data'!$AD120</f>
        <v>1872125</v>
      </c>
      <c r="L320" s="308">
        <f>'Monthly D5 Gallon Data'!$AD132</f>
        <v>1957725</v>
      </c>
      <c r="M320" s="308">
        <f>'Monthly D5 Gallon Data'!$AD144</f>
        <v>675136</v>
      </c>
      <c r="N320" s="308">
        <f>'Monthly D5 Gallon Data'!$AD156</f>
        <v>4936539</v>
      </c>
      <c r="O320" s="308">
        <f>'Monthly D5 Gallon Data'!$AD168</f>
        <v>3264508</v>
      </c>
      <c r="P320" s="308">
        <f>'Monthly D5 Gallon Data'!$AD180</f>
        <v>3761715</v>
      </c>
      <c r="Q320" s="307">
        <f t="shared" si="340"/>
        <v>2607056.9300193312</v>
      </c>
      <c r="R320" s="307">
        <f t="shared" si="330"/>
        <v>2570855.5578339775</v>
      </c>
      <c r="S320" s="307">
        <f t="shared" si="331"/>
        <v>3137445.5943824034</v>
      </c>
      <c r="T320" s="307">
        <f t="shared" si="332"/>
        <v>3350943.6187093928</v>
      </c>
      <c r="U320" s="307">
        <f t="shared" si="332"/>
        <v>3293356.0148859052</v>
      </c>
      <c r="V320" s="307">
        <f t="shared" si="332"/>
        <v>3707830.9558074931</v>
      </c>
      <c r="W320" s="307">
        <f t="shared" si="332"/>
        <v>4479932.1486094017</v>
      </c>
      <c r="X320" s="307">
        <f t="shared" si="332"/>
        <v>4998517.7062376644</v>
      </c>
      <c r="Y320" s="307">
        <f t="shared" si="332"/>
        <v>5624281.3544282448</v>
      </c>
      <c r="Z320" s="307">
        <f t="shared" si="332"/>
        <v>6436283.3915759809</v>
      </c>
      <c r="AA320" s="307">
        <f t="shared" si="332"/>
        <v>6737605.5543006482</v>
      </c>
      <c r="AB320" s="307">
        <f t="shared" si="332"/>
        <v>6098985.4271662571</v>
      </c>
      <c r="AC320" s="307">
        <f t="shared" si="332"/>
        <v>6145595.956915739</v>
      </c>
      <c r="AD320" s="307">
        <f t="shared" si="332"/>
        <v>6023334.3024353357</v>
      </c>
      <c r="AE320" s="307">
        <f t="shared" si="332"/>
        <v>6303704.2936440259</v>
      </c>
      <c r="AF320" s="307">
        <f t="shared" si="332"/>
        <v>7614506.1077593192</v>
      </c>
      <c r="AG320" s="307">
        <f t="shared" si="332"/>
        <v>7975959.4989021998</v>
      </c>
      <c r="AH320" s="307">
        <f t="shared" si="332"/>
        <v>8300223.7084318288</v>
      </c>
      <c r="AI320" s="307">
        <f t="shared" si="332"/>
        <v>8659297.3931075186</v>
      </c>
      <c r="AJ320" s="307">
        <f t="shared" si="333"/>
        <v>8465813.95131962</v>
      </c>
      <c r="AK320" s="307">
        <f t="shared" si="333"/>
        <v>7984768.3582010427</v>
      </c>
      <c r="AL320" s="307">
        <f t="shared" si="333"/>
        <v>7753970.7063267045</v>
      </c>
      <c r="AM320" s="307">
        <f t="shared" si="333"/>
        <v>8264376.5769061083</v>
      </c>
      <c r="AN320" s="307">
        <f t="shared" si="333"/>
        <v>11480696.741250781</v>
      </c>
      <c r="AO320" s="307">
        <f t="shared" si="333"/>
        <v>14965332.514923908</v>
      </c>
      <c r="AP320" s="307">
        <f t="shared" si="333"/>
        <v>16589423.491023362</v>
      </c>
      <c r="AR320" s="308">
        <v>2004299.9233258325</v>
      </c>
      <c r="AS320" s="308">
        <f t="shared" si="334"/>
        <v>-46574.923325832468</v>
      </c>
      <c r="AT320" s="308">
        <v>1615639.3546631467</v>
      </c>
      <c r="AU320" s="308">
        <f t="shared" si="335"/>
        <v>-940503.35466314666</v>
      </c>
      <c r="AV320" s="308">
        <v>4889284.1535061523</v>
      </c>
      <c r="AW320" s="308">
        <f t="shared" si="336"/>
        <v>47254.846493847668</v>
      </c>
      <c r="AX320" s="308">
        <v>4681424.3289319556</v>
      </c>
      <c r="AY320" s="308">
        <f t="shared" si="337"/>
        <v>-1416916.3289319556</v>
      </c>
      <c r="AZ320" s="309">
        <v>3761715</v>
      </c>
      <c r="BA320" s="308">
        <f t="shared" si="338"/>
        <v>0</v>
      </c>
      <c r="BB320" s="331">
        <v>2257977.1132031637</v>
      </c>
      <c r="BC320" s="308">
        <f t="shared" si="339"/>
        <v>349079.81681616744</v>
      </c>
    </row>
    <row r="321" spans="1:55">
      <c r="A321" s="301" t="s">
        <v>52</v>
      </c>
      <c r="B321" s="308">
        <f>'Monthly D5 Gallon Data'!$AD13</f>
        <v>0</v>
      </c>
      <c r="C321" s="308">
        <f>'Monthly D5 Gallon Data'!$AD25</f>
        <v>0</v>
      </c>
      <c r="D321" s="308">
        <f>'Monthly D5 Gallon Data'!$AD37</f>
        <v>0</v>
      </c>
      <c r="E321" s="308">
        <f>'Monthly D5 Gallon Data'!$AD49</f>
        <v>451592</v>
      </c>
      <c r="F321" s="308">
        <f>'Monthly D5 Gallon Data'!$AD61</f>
        <v>1589528</v>
      </c>
      <c r="G321" s="308">
        <f>'Monthly D5 Gallon Data'!$AD73</f>
        <v>1285035</v>
      </c>
      <c r="H321" s="308">
        <f>'Monthly D5 Gallon Data'!$AD85</f>
        <v>1648116</v>
      </c>
      <c r="I321" s="308">
        <f>'Monthly D5 Gallon Data'!$AD97</f>
        <v>1790442</v>
      </c>
      <c r="J321" s="308">
        <f>'Monthly D5 Gallon Data'!$AD109</f>
        <v>2226208</v>
      </c>
      <c r="K321" s="308">
        <f>'Monthly D5 Gallon Data'!$AD121</f>
        <v>1997933</v>
      </c>
      <c r="L321" s="308">
        <f>'Monthly D5 Gallon Data'!$AD133</f>
        <v>318609</v>
      </c>
      <c r="M321" s="308">
        <f>'Monthly D5 Gallon Data'!$AD145</f>
        <v>2091193</v>
      </c>
      <c r="N321" s="308">
        <f>'Monthly D5 Gallon Data'!$AD157</f>
        <v>5972224</v>
      </c>
      <c r="O321" s="308">
        <f>'Monthly D5 Gallon Data'!$AD169</f>
        <v>5951242</v>
      </c>
      <c r="P321" s="308">
        <f>'Monthly D5 Gallon Data'!$AD181</f>
        <v>3876547</v>
      </c>
      <c r="Q321" s="307">
        <f t="shared" si="340"/>
        <v>3252620.6240131008</v>
      </c>
      <c r="R321" s="307">
        <f t="shared" si="330"/>
        <v>3565620.5242814175</v>
      </c>
      <c r="S321" s="307">
        <f t="shared" si="331"/>
        <v>4140067.0598158939</v>
      </c>
      <c r="T321" s="307">
        <f t="shared" si="332"/>
        <v>4540147.4218353685</v>
      </c>
      <c r="U321" s="307">
        <f t="shared" si="332"/>
        <v>4135903.0578346015</v>
      </c>
      <c r="V321" s="307">
        <f t="shared" si="332"/>
        <v>4866480.5253490908</v>
      </c>
      <c r="W321" s="307">
        <f t="shared" si="332"/>
        <v>5927024.820346796</v>
      </c>
      <c r="X321" s="307">
        <f t="shared" si="332"/>
        <v>6567409.4052104009</v>
      </c>
      <c r="Y321" s="307">
        <f t="shared" si="332"/>
        <v>7384514.9658586318</v>
      </c>
      <c r="Z321" s="307">
        <f t="shared" si="332"/>
        <v>8409750.7487243656</v>
      </c>
      <c r="AA321" s="307">
        <f t="shared" si="332"/>
        <v>8848096.5892074928</v>
      </c>
      <c r="AB321" s="307">
        <f t="shared" si="332"/>
        <v>8010037.2534396667</v>
      </c>
      <c r="AC321" s="307">
        <f t="shared" si="332"/>
        <v>8062340.5231210012</v>
      </c>
      <c r="AD321" s="307">
        <f t="shared" si="332"/>
        <v>7900024.2321965946</v>
      </c>
      <c r="AE321" s="307">
        <f t="shared" si="332"/>
        <v>8266169.9248319855</v>
      </c>
      <c r="AF321" s="307">
        <f t="shared" si="332"/>
        <v>9992412.238685362</v>
      </c>
      <c r="AG321" s="307">
        <f t="shared" si="332"/>
        <v>10465149.438510839</v>
      </c>
      <c r="AH321" s="307">
        <f t="shared" si="332"/>
        <v>10888750.427414106</v>
      </c>
      <c r="AI321" s="307">
        <f t="shared" si="332"/>
        <v>11359766.206772316</v>
      </c>
      <c r="AJ321" s="307">
        <f t="shared" si="333"/>
        <v>11106321.153060656</v>
      </c>
      <c r="AK321" s="307">
        <f t="shared" si="333"/>
        <v>10475951.648229627</v>
      </c>
      <c r="AL321" s="307">
        <f t="shared" si="333"/>
        <v>10172726.997910738</v>
      </c>
      <c r="AM321" s="307">
        <f t="shared" si="333"/>
        <v>10842109.43284991</v>
      </c>
      <c r="AN321" s="307">
        <f t="shared" si="333"/>
        <v>15061736.656713415</v>
      </c>
      <c r="AO321" s="307">
        <f t="shared" si="333"/>
        <v>19633472.980963435</v>
      </c>
      <c r="AP321" s="307">
        <f t="shared" si="333"/>
        <v>21764244.914877526</v>
      </c>
      <c r="AR321" s="308">
        <v>2033089.4340233861</v>
      </c>
      <c r="AS321" s="308">
        <f t="shared" si="334"/>
        <v>-1714480.4340233861</v>
      </c>
      <c r="AT321" s="308">
        <v>1283331.1482905347</v>
      </c>
      <c r="AU321" s="308">
        <f t="shared" si="335"/>
        <v>807861.85170946526</v>
      </c>
      <c r="AV321" s="308">
        <v>4468436.8213392552</v>
      </c>
      <c r="AW321" s="308">
        <f t="shared" si="336"/>
        <v>1503787.1786607448</v>
      </c>
      <c r="AX321" s="308">
        <v>4804783.4435651805</v>
      </c>
      <c r="AY321" s="308">
        <f t="shared" si="337"/>
        <v>1146458.5564348195</v>
      </c>
      <c r="AZ321" s="309">
        <v>6458083.9980684211</v>
      </c>
      <c r="BA321" s="308">
        <f t="shared" si="338"/>
        <v>-2581536.9980684211</v>
      </c>
      <c r="BB321" s="331">
        <v>2817101.0929553108</v>
      </c>
      <c r="BC321" s="308">
        <f t="shared" si="339"/>
        <v>435519.53105778992</v>
      </c>
    </row>
    <row r="322" spans="1:55">
      <c r="A322" s="301" t="s">
        <v>53</v>
      </c>
      <c r="B322" s="308">
        <f>'Monthly D5 Gallon Data'!$AD14</f>
        <v>0</v>
      </c>
      <c r="C322" s="308">
        <f>'Monthly D5 Gallon Data'!$AD26</f>
        <v>0</v>
      </c>
      <c r="D322" s="308">
        <f>'Monthly D5 Gallon Data'!$AD38</f>
        <v>0</v>
      </c>
      <c r="E322" s="308">
        <f>'Monthly D5 Gallon Data'!$AD50</f>
        <v>462368</v>
      </c>
      <c r="F322" s="308">
        <f>'Monthly D5 Gallon Data'!$AD62</f>
        <v>1341905</v>
      </c>
      <c r="G322" s="308">
        <f>'Monthly D5 Gallon Data'!$AD74</f>
        <v>1177840</v>
      </c>
      <c r="H322" s="308">
        <f>'Monthly D5 Gallon Data'!$AD86</f>
        <v>1821731</v>
      </c>
      <c r="I322" s="308">
        <f>'Monthly D5 Gallon Data'!$AD98</f>
        <v>1830738</v>
      </c>
      <c r="J322" s="308">
        <f>'Monthly D5 Gallon Data'!$AD110</f>
        <v>2081337</v>
      </c>
      <c r="K322" s="308">
        <f>'Monthly D5 Gallon Data'!$AD122</f>
        <v>1973385</v>
      </c>
      <c r="L322" s="308">
        <f>'Monthly D5 Gallon Data'!$AD134</f>
        <v>1290797</v>
      </c>
      <c r="M322" s="308">
        <f>'Monthly D5 Gallon Data'!$AD146</f>
        <v>2880378</v>
      </c>
      <c r="N322" s="308">
        <f>'Monthly D5 Gallon Data'!$AD158</f>
        <v>7225923</v>
      </c>
      <c r="O322" s="308">
        <f>'Monthly D5 Gallon Data'!$AD170</f>
        <v>3753042</v>
      </c>
      <c r="P322" s="308">
        <f>'Monthly D5 Gallon Data'!$AD182</f>
        <v>3151510</v>
      </c>
      <c r="Q322" s="307">
        <f t="shared" si="340"/>
        <v>3269024.1083431854</v>
      </c>
      <c r="R322" s="307">
        <f t="shared" si="330"/>
        <v>3419927.1178893554</v>
      </c>
      <c r="S322" s="307">
        <f t="shared" si="331"/>
        <v>3810807.8615781111</v>
      </c>
      <c r="T322" s="307">
        <f t="shared" si="332"/>
        <v>3801489.8767678523</v>
      </c>
      <c r="U322" s="307">
        <f t="shared" si="332"/>
        <v>3725569.5159331448</v>
      </c>
      <c r="V322" s="307">
        <f t="shared" si="332"/>
        <v>4468043.1107745236</v>
      </c>
      <c r="W322" s="307">
        <f t="shared" si="332"/>
        <v>5362897.3871590653</v>
      </c>
      <c r="X322" s="307">
        <f t="shared" si="332"/>
        <v>5888456.0674719261</v>
      </c>
      <c r="Y322" s="307">
        <f t="shared" si="332"/>
        <v>6593080.2766606361</v>
      </c>
      <c r="Z322" s="307">
        <f t="shared" si="332"/>
        <v>7581834.3136535063</v>
      </c>
      <c r="AA322" s="307">
        <f t="shared" si="332"/>
        <v>7977870.9951210376</v>
      </c>
      <c r="AB322" s="307">
        <f t="shared" si="332"/>
        <v>7204940.1977513079</v>
      </c>
      <c r="AC322" s="307">
        <f t="shared" si="332"/>
        <v>7245489.6578408061</v>
      </c>
      <c r="AD322" s="307">
        <f t="shared" si="332"/>
        <v>7102250.6441095807</v>
      </c>
      <c r="AE322" s="307">
        <f t="shared" si="332"/>
        <v>7440587.7303631362</v>
      </c>
      <c r="AF322" s="307">
        <f t="shared" si="332"/>
        <v>8991502.0456552915</v>
      </c>
      <c r="AG322" s="307">
        <f t="shared" si="332"/>
        <v>9412906.3083472271</v>
      </c>
      <c r="AH322" s="307">
        <f t="shared" si="332"/>
        <v>9793844.4209951218</v>
      </c>
      <c r="AI322" s="307">
        <f t="shared" si="332"/>
        <v>10218968.458675897</v>
      </c>
      <c r="AJ322" s="307">
        <f t="shared" si="333"/>
        <v>9991938.1889936123</v>
      </c>
      <c r="AK322" s="307">
        <f t="shared" si="333"/>
        <v>9424073.6055337917</v>
      </c>
      <c r="AL322" s="307">
        <f t="shared" si="333"/>
        <v>9150842.6909046676</v>
      </c>
      <c r="AM322" s="307">
        <f t="shared" si="333"/>
        <v>9753180.9883821085</v>
      </c>
      <c r="AN322" s="307">
        <f t="shared" si="333"/>
        <v>13549370.471595392</v>
      </c>
      <c r="AO322" s="307">
        <f t="shared" si="333"/>
        <v>17662104.824860331</v>
      </c>
      <c r="AP322" s="307">
        <f t="shared" si="333"/>
        <v>19578670.481531531</v>
      </c>
      <c r="AR322" s="308">
        <v>453406.09818809503</v>
      </c>
      <c r="AS322" s="308">
        <f t="shared" si="334"/>
        <v>837390.90181190497</v>
      </c>
      <c r="AT322" s="308">
        <v>2162014.9008514415</v>
      </c>
      <c r="AU322" s="308">
        <f t="shared" si="335"/>
        <v>718363.09914855845</v>
      </c>
      <c r="AV322" s="308">
        <v>5817217.1223722529</v>
      </c>
      <c r="AW322" s="308">
        <f t="shared" si="336"/>
        <v>1408705.8776277471</v>
      </c>
      <c r="AX322" s="309">
        <v>5972569.7274989309</v>
      </c>
      <c r="AY322" s="308">
        <f t="shared" si="337"/>
        <v>-2219527.7274989309</v>
      </c>
      <c r="AZ322" s="309">
        <v>6198630.2350344323</v>
      </c>
      <c r="BA322" s="308">
        <f t="shared" si="338"/>
        <v>-3047120.2350344323</v>
      </c>
      <c r="BB322" s="331">
        <v>2831308.182861032</v>
      </c>
      <c r="BC322" s="308">
        <f t="shared" si="339"/>
        <v>437715.92548215343</v>
      </c>
    </row>
    <row r="323" spans="1:55">
      <c r="A323" s="301" t="s">
        <v>54</v>
      </c>
      <c r="B323" s="308">
        <f>'Monthly D5 Gallon Data'!$AD15</f>
        <v>0</v>
      </c>
      <c r="C323" s="308">
        <f>'Monthly D5 Gallon Data'!$AD27</f>
        <v>0</v>
      </c>
      <c r="D323" s="308">
        <f>'Monthly D5 Gallon Data'!$AD39</f>
        <v>0</v>
      </c>
      <c r="E323" s="308">
        <f>'Monthly D5 Gallon Data'!$AD51</f>
        <v>765422</v>
      </c>
      <c r="F323" s="308">
        <f>'Monthly D5 Gallon Data'!$AD63</f>
        <v>1731585</v>
      </c>
      <c r="G323" s="308">
        <f>'Monthly D5 Gallon Data'!$AD75</f>
        <v>1158175</v>
      </c>
      <c r="H323" s="308">
        <f>'Monthly D5 Gallon Data'!$AD87</f>
        <v>2820344</v>
      </c>
      <c r="I323" s="308">
        <f>'Monthly D5 Gallon Data'!$AD99</f>
        <v>2289344</v>
      </c>
      <c r="J323" s="308">
        <f>'Monthly D5 Gallon Data'!$AD111</f>
        <v>2438715</v>
      </c>
      <c r="K323" s="308">
        <f>'Monthly D5 Gallon Data'!$AD123</f>
        <v>2106345</v>
      </c>
      <c r="L323" s="308">
        <f>'Monthly D5 Gallon Data'!$AD135</f>
        <v>1071870</v>
      </c>
      <c r="M323" s="308">
        <f>'Monthly D5 Gallon Data'!$AD147</f>
        <v>3967460</v>
      </c>
      <c r="N323" s="308">
        <f>'Monthly D5 Gallon Data'!$AD159</f>
        <v>7098149</v>
      </c>
      <c r="O323" s="308">
        <f>'Monthly D5 Gallon Data'!$AD171</f>
        <v>5377471</v>
      </c>
      <c r="P323" s="308">
        <f>'Monthly D5 Gallon Data'!$AD183</f>
        <v>4910477</v>
      </c>
      <c r="Q323" s="336">
        <f t="shared" ref="Q323:AD323" si="341">Q324-SUM(Q312:Q322)</f>
        <v>5447681.0278466307</v>
      </c>
      <c r="R323" s="307">
        <f t="shared" si="341"/>
        <v>4519666.4770089611</v>
      </c>
      <c r="S323" s="307">
        <f t="shared" si="341"/>
        <v>5006800.8708618134</v>
      </c>
      <c r="T323" s="307">
        <f t="shared" si="341"/>
        <v>5517805.5111576393</v>
      </c>
      <c r="U323" s="307">
        <f t="shared" si="341"/>
        <v>5422553.6681515574</v>
      </c>
      <c r="V323" s="307">
        <f t="shared" si="341"/>
        <v>6423048.918783173</v>
      </c>
      <c r="W323" s="307">
        <f t="shared" si="341"/>
        <v>7500720.9906007126</v>
      </c>
      <c r="X323" s="307">
        <f t="shared" si="341"/>
        <v>8309096.1390106827</v>
      </c>
      <c r="Y323" s="307">
        <f t="shared" si="341"/>
        <v>9408476.6020312309</v>
      </c>
      <c r="Z323" s="307">
        <f t="shared" si="341"/>
        <v>10792373.476958439</v>
      </c>
      <c r="AA323" s="307">
        <f t="shared" si="341"/>
        <v>11324252.007161155</v>
      </c>
      <c r="AB323" s="307">
        <f t="shared" si="341"/>
        <v>10209670.777800724</v>
      </c>
      <c r="AC323" s="307">
        <f t="shared" si="341"/>
        <v>10287421.67976217</v>
      </c>
      <c r="AD323" s="307">
        <f t="shared" si="341"/>
        <v>10094049.395779386</v>
      </c>
      <c r="AE323" s="307">
        <f>AE324-SUM(AE312:AE322)</f>
        <v>10567274.466530874</v>
      </c>
      <c r="AF323" s="307">
        <f>AF324-SUM(AF312:AF322)</f>
        <v>12763956.68388021</v>
      </c>
      <c r="AG323" s="307">
        <f>AG324-SUM(AG312:AG322)</f>
        <v>13362361.844597459</v>
      </c>
      <c r="AH323" s="307">
        <f t="shared" ref="AH323:AP323" si="342">AH324-SUM(AH312:AH322)</f>
        <v>13907594.955779299</v>
      </c>
      <c r="AI323" s="307">
        <f t="shared" si="342"/>
        <v>14511625.68282032</v>
      </c>
      <c r="AJ323" s="307">
        <f t="shared" si="342"/>
        <v>14187402.840129137</v>
      </c>
      <c r="AK323" s="307">
        <f t="shared" si="342"/>
        <v>13380614.584633708</v>
      </c>
      <c r="AL323" s="307">
        <f t="shared" si="342"/>
        <v>12993136.538541272</v>
      </c>
      <c r="AM323" s="307">
        <f t="shared" si="342"/>
        <v>13848964.281341493</v>
      </c>
      <c r="AN323" s="307">
        <f t="shared" si="342"/>
        <v>19239089.523149163</v>
      </c>
      <c r="AO323" s="307">
        <f t="shared" si="342"/>
        <v>25078367.568576902</v>
      </c>
      <c r="AP323" s="307">
        <f t="shared" si="342"/>
        <v>27799732.312426418</v>
      </c>
      <c r="AR323" s="308">
        <v>1366279</v>
      </c>
      <c r="AS323" s="308">
        <f t="shared" si="334"/>
        <v>-294409</v>
      </c>
      <c r="AT323" s="308">
        <v>2270809.6303746104</v>
      </c>
      <c r="AU323" s="308">
        <f t="shared" si="335"/>
        <v>1696650.3696253896</v>
      </c>
      <c r="AV323" s="308">
        <v>5163310.0840751007</v>
      </c>
      <c r="AW323" s="308">
        <f t="shared" si="336"/>
        <v>1934838.9159248993</v>
      </c>
      <c r="AX323" s="309">
        <v>7211836.6774559766</v>
      </c>
      <c r="AY323" s="308">
        <f t="shared" si="337"/>
        <v>-1834365.6774559766</v>
      </c>
      <c r="AZ323" s="309">
        <v>10293235.292969666</v>
      </c>
      <c r="BA323" s="308">
        <f t="shared" si="338"/>
        <v>-5382758.2929696664</v>
      </c>
      <c r="BB323" s="331">
        <v>3940051.9024092481</v>
      </c>
      <c r="BC323" s="308">
        <f t="shared" si="339"/>
        <v>1507629.1254373826</v>
      </c>
    </row>
    <row r="324" spans="1:55" ht="12" thickBot="1">
      <c r="A324" s="301" t="s">
        <v>29</v>
      </c>
      <c r="B324" s="308">
        <f t="shared" ref="B324:P324" si="343">SUM(B312:B323)</f>
        <v>0</v>
      </c>
      <c r="C324" s="308">
        <f t="shared" si="343"/>
        <v>0</v>
      </c>
      <c r="D324" s="308">
        <f t="shared" si="343"/>
        <v>0</v>
      </c>
      <c r="E324" s="308">
        <f t="shared" si="343"/>
        <v>2311157</v>
      </c>
      <c r="F324" s="308">
        <f t="shared" si="343"/>
        <v>12093919</v>
      </c>
      <c r="G324" s="308">
        <f t="shared" si="343"/>
        <v>15992239</v>
      </c>
      <c r="H324" s="308">
        <f t="shared" si="343"/>
        <v>18111187</v>
      </c>
      <c r="I324" s="308">
        <f t="shared" si="343"/>
        <v>21019366</v>
      </c>
      <c r="J324" s="308">
        <f t="shared" si="343"/>
        <v>21401280</v>
      </c>
      <c r="K324" s="308">
        <f t="shared" si="343"/>
        <v>22062065</v>
      </c>
      <c r="L324" s="308">
        <f t="shared" si="343"/>
        <v>18762230</v>
      </c>
      <c r="M324" s="308">
        <f t="shared" si="343"/>
        <v>18897519</v>
      </c>
      <c r="N324" s="308">
        <f t="shared" si="343"/>
        <v>61901151</v>
      </c>
      <c r="O324" s="308">
        <f t="shared" si="343"/>
        <v>51451425</v>
      </c>
      <c r="P324" s="308">
        <f t="shared" si="343"/>
        <v>41533242</v>
      </c>
      <c r="Q324" s="307">
        <f t="shared" ref="Q324:AP324" si="344">Q20</f>
        <v>34392314.380266704</v>
      </c>
      <c r="R324" s="307">
        <f t="shared" si="344"/>
        <v>35106009.35282585</v>
      </c>
      <c r="S324" s="307">
        <f t="shared" si="344"/>
        <v>41071489.77297543</v>
      </c>
      <c r="T324" s="307">
        <f t="shared" si="344"/>
        <v>44460840.369401649</v>
      </c>
      <c r="U324" s="307">
        <f t="shared" si="344"/>
        <v>41959695.879200622</v>
      </c>
      <c r="V324" s="307">
        <f t="shared" si="344"/>
        <v>48825108.882187895</v>
      </c>
      <c r="W324" s="307">
        <f t="shared" si="344"/>
        <v>58974836.800974876</v>
      </c>
      <c r="X324" s="307">
        <f t="shared" si="344"/>
        <v>65450376.546000332</v>
      </c>
      <c r="Y324" s="307">
        <f t="shared" si="344"/>
        <v>73646960.144747153</v>
      </c>
      <c r="Z324" s="307">
        <f t="shared" si="344"/>
        <v>84110217.769271255</v>
      </c>
      <c r="AA324" s="307">
        <f t="shared" si="344"/>
        <v>88335707.780794963</v>
      </c>
      <c r="AB324" s="307">
        <f t="shared" si="344"/>
        <v>79917064.845725015</v>
      </c>
      <c r="AC324" s="307">
        <f t="shared" si="344"/>
        <v>80471744.808509305</v>
      </c>
      <c r="AD324" s="307">
        <f t="shared" si="344"/>
        <v>78871073.151012346</v>
      </c>
      <c r="AE324" s="307">
        <f t="shared" si="344"/>
        <v>82542071.048100904</v>
      </c>
      <c r="AF324" s="307">
        <f t="shared" si="344"/>
        <v>99746821.463144407</v>
      </c>
      <c r="AG324" s="307">
        <f t="shared" si="344"/>
        <v>104462896.51484352</v>
      </c>
      <c r="AH324" s="307">
        <f t="shared" si="344"/>
        <v>108700764.6324247</v>
      </c>
      <c r="AI324" s="307">
        <f t="shared" si="344"/>
        <v>113406046.76236409</v>
      </c>
      <c r="AJ324" s="307">
        <f t="shared" si="344"/>
        <v>110874980.66753782</v>
      </c>
      <c r="AK324" s="307">
        <f t="shared" si="344"/>
        <v>104577984.64720468</v>
      </c>
      <c r="AL324" s="307">
        <f t="shared" si="344"/>
        <v>101551769.72233844</v>
      </c>
      <c r="AM324" s="307">
        <f t="shared" si="344"/>
        <v>108235662.58203077</v>
      </c>
      <c r="AN324" s="307">
        <f t="shared" si="344"/>
        <v>150359909.28621039</v>
      </c>
      <c r="AO324" s="307">
        <f t="shared" si="344"/>
        <v>195998253.16070142</v>
      </c>
      <c r="AP324" s="307">
        <f t="shared" si="344"/>
        <v>217268762.26331967</v>
      </c>
      <c r="AR324" s="308">
        <v>18359949</v>
      </c>
      <c r="AS324" s="308">
        <f t="shared" si="334"/>
        <v>402281</v>
      </c>
      <c r="AT324" s="308">
        <v>17158282.63037461</v>
      </c>
      <c r="AU324" s="308">
        <f t="shared" si="335"/>
        <v>1739236.3696253896</v>
      </c>
      <c r="AV324" s="308">
        <v>59848409.084075101</v>
      </c>
      <c r="AW324" s="308">
        <f t="shared" si="336"/>
        <v>2052741.9159248993</v>
      </c>
      <c r="AX324" s="309">
        <v>55282955.40495491</v>
      </c>
      <c r="AY324" s="308">
        <f t="shared" si="337"/>
        <v>-3831530.4049549103</v>
      </c>
      <c r="AZ324" s="309">
        <v>52544657.526072524</v>
      </c>
      <c r="BA324" s="308">
        <f t="shared" si="338"/>
        <v>-11011415.526072524</v>
      </c>
      <c r="BB324" s="331">
        <v>29787250.844635159</v>
      </c>
      <c r="BC324" s="308">
        <f t="shared" si="339"/>
        <v>4605063.5356315449</v>
      </c>
    </row>
    <row r="325" spans="1:55">
      <c r="A325" s="334"/>
      <c r="B325" s="334"/>
      <c r="C325" s="334"/>
      <c r="D325" s="334"/>
      <c r="E325" s="334"/>
      <c r="F325" s="334"/>
      <c r="G325" s="334"/>
      <c r="H325" s="335">
        <f t="shared" ref="H325:O325" si="345">H322/H321</f>
        <v>1.105341492953166</v>
      </c>
      <c r="I325" s="335">
        <f t="shared" si="345"/>
        <v>1.0225061744530122</v>
      </c>
      <c r="J325" s="335">
        <f t="shared" si="345"/>
        <v>0.93492476893443921</v>
      </c>
      <c r="K325" s="335">
        <f t="shared" si="345"/>
        <v>0.9877133016973042</v>
      </c>
      <c r="L325" s="335">
        <f t="shared" si="345"/>
        <v>4.0513513428685313</v>
      </c>
      <c r="M325" s="335">
        <f t="shared" si="345"/>
        <v>1.3773850620196222</v>
      </c>
      <c r="N325" s="335">
        <f t="shared" si="345"/>
        <v>1.2099216305349565</v>
      </c>
      <c r="O325" s="335">
        <f t="shared" si="345"/>
        <v>0.63063172359651987</v>
      </c>
      <c r="P325" s="335">
        <f>P322/P321</f>
        <v>0.81296834528254136</v>
      </c>
      <c r="Q325" s="334"/>
      <c r="R325" s="334"/>
      <c r="S325" s="334"/>
      <c r="T325" s="334"/>
      <c r="U325" s="334"/>
      <c r="V325" s="334"/>
      <c r="W325" s="334"/>
      <c r="X325" s="334"/>
      <c r="Y325" s="334"/>
      <c r="Z325" s="334"/>
      <c r="AA325" s="334"/>
      <c r="AB325" s="334"/>
      <c r="AC325" s="334"/>
      <c r="AD325" s="334"/>
      <c r="AE325" s="334"/>
      <c r="AF325" s="334"/>
      <c r="AG325" s="334"/>
      <c r="AH325" s="334"/>
      <c r="AI325" s="334"/>
      <c r="AJ325" s="334"/>
      <c r="AK325" s="334"/>
      <c r="AL325" s="334"/>
      <c r="AM325" s="334"/>
      <c r="AN325" s="334"/>
      <c r="AO325" s="334"/>
      <c r="AP325" s="334"/>
      <c r="AT325" s="309"/>
    </row>
    <row r="326" spans="1:55" ht="12" thickBot="1">
      <c r="A326" s="300" t="s">
        <v>452</v>
      </c>
      <c r="AT326" s="309"/>
    </row>
    <row r="327" spans="1:55" ht="12" thickBot="1">
      <c r="A327" s="328"/>
      <c r="B327" s="329">
        <f t="shared" ref="B327:AP327" si="346">B2</f>
        <v>2010</v>
      </c>
      <c r="C327" s="329">
        <f t="shared" si="346"/>
        <v>2011</v>
      </c>
      <c r="D327" s="329">
        <f t="shared" si="346"/>
        <v>2012</v>
      </c>
      <c r="E327" s="329">
        <f t="shared" si="346"/>
        <v>2013</v>
      </c>
      <c r="F327" s="329">
        <f t="shared" si="346"/>
        <v>2014</v>
      </c>
      <c r="G327" s="329">
        <f t="shared" si="346"/>
        <v>2015</v>
      </c>
      <c r="H327" s="329">
        <f t="shared" si="346"/>
        <v>2016</v>
      </c>
      <c r="I327" s="329">
        <f t="shared" si="346"/>
        <v>2017</v>
      </c>
      <c r="J327" s="329">
        <f t="shared" si="346"/>
        <v>2018</v>
      </c>
      <c r="K327" s="329">
        <f t="shared" si="346"/>
        <v>2019</v>
      </c>
      <c r="L327" s="329">
        <f t="shared" si="346"/>
        <v>2020</v>
      </c>
      <c r="M327" s="329">
        <f t="shared" si="346"/>
        <v>2021</v>
      </c>
      <c r="N327" s="329">
        <f t="shared" si="346"/>
        <v>2022</v>
      </c>
      <c r="O327" s="329">
        <f t="shared" si="346"/>
        <v>2023</v>
      </c>
      <c r="P327" s="329">
        <f t="shared" si="346"/>
        <v>2024</v>
      </c>
      <c r="Q327" s="329">
        <f t="shared" si="346"/>
        <v>2025</v>
      </c>
      <c r="R327" s="329">
        <f t="shared" si="346"/>
        <v>2026</v>
      </c>
      <c r="S327" s="329">
        <f t="shared" si="346"/>
        <v>2027</v>
      </c>
      <c r="T327" s="329">
        <f t="shared" si="346"/>
        <v>2028</v>
      </c>
      <c r="U327" s="329">
        <f t="shared" si="346"/>
        <v>2029</v>
      </c>
      <c r="V327" s="329">
        <f t="shared" si="346"/>
        <v>2030</v>
      </c>
      <c r="W327" s="329">
        <f t="shared" si="346"/>
        <v>2031</v>
      </c>
      <c r="X327" s="329">
        <f t="shared" si="346"/>
        <v>2032</v>
      </c>
      <c r="Y327" s="329">
        <f t="shared" si="346"/>
        <v>2033</v>
      </c>
      <c r="Z327" s="329">
        <f t="shared" si="346"/>
        <v>2034</v>
      </c>
      <c r="AA327" s="329">
        <f t="shared" si="346"/>
        <v>2035</v>
      </c>
      <c r="AB327" s="329">
        <f t="shared" si="346"/>
        <v>2036</v>
      </c>
      <c r="AC327" s="329">
        <f t="shared" si="346"/>
        <v>2037</v>
      </c>
      <c r="AD327" s="329">
        <f t="shared" si="346"/>
        <v>2038</v>
      </c>
      <c r="AE327" s="329">
        <f t="shared" si="346"/>
        <v>2039</v>
      </c>
      <c r="AF327" s="329">
        <f t="shared" si="346"/>
        <v>2040</v>
      </c>
      <c r="AG327" s="329">
        <f t="shared" si="346"/>
        <v>2041</v>
      </c>
      <c r="AH327" s="329">
        <f t="shared" si="346"/>
        <v>2042</v>
      </c>
      <c r="AI327" s="329">
        <f t="shared" si="346"/>
        <v>2043</v>
      </c>
      <c r="AJ327" s="329">
        <f t="shared" si="346"/>
        <v>2044</v>
      </c>
      <c r="AK327" s="329">
        <f t="shared" si="346"/>
        <v>2045</v>
      </c>
      <c r="AL327" s="329">
        <f t="shared" si="346"/>
        <v>2046</v>
      </c>
      <c r="AM327" s="329">
        <f t="shared" si="346"/>
        <v>2047</v>
      </c>
      <c r="AN327" s="329">
        <f t="shared" si="346"/>
        <v>2048</v>
      </c>
      <c r="AO327" s="329">
        <f t="shared" si="346"/>
        <v>2049</v>
      </c>
      <c r="AP327" s="329">
        <f t="shared" si="346"/>
        <v>2050</v>
      </c>
      <c r="AT327" s="309"/>
    </row>
    <row r="328" spans="1:55">
      <c r="A328" s="301" t="s">
        <v>43</v>
      </c>
      <c r="B328" s="308">
        <f>'Monthly D5 Gallon Data'!$O4</f>
        <v>0</v>
      </c>
      <c r="C328" s="308">
        <f>'Monthly D5 Gallon Data'!$O16</f>
        <v>0</v>
      </c>
      <c r="D328" s="308">
        <f>'Monthly D5 Gallon Data'!$O28</f>
        <v>0</v>
      </c>
      <c r="E328" s="308">
        <f>'Monthly D5 Gallon Data'!$O40</f>
        <v>0</v>
      </c>
      <c r="F328" s="308">
        <f>'Monthly D5 Gallon Data'!$O52</f>
        <v>0</v>
      </c>
      <c r="G328" s="308">
        <f>'Monthly D5 Gallon Data'!$O64</f>
        <v>0</v>
      </c>
      <c r="H328" s="308">
        <f>'Monthly D5 Gallon Data'!$O76</f>
        <v>0</v>
      </c>
      <c r="I328" s="308">
        <f>'Monthly D5 Gallon Data'!$O88</f>
        <v>0</v>
      </c>
      <c r="J328" s="308">
        <f>'Monthly D5 Gallon Data'!$O100</f>
        <v>0</v>
      </c>
      <c r="K328" s="308">
        <f>'Monthly D5 Gallon Data'!$O112</f>
        <v>0</v>
      </c>
      <c r="L328" s="308">
        <f>'Monthly D5 Gallon Data'!$O124</f>
        <v>0</v>
      </c>
      <c r="M328" s="308">
        <f>'Monthly D5 Gallon Data'!$O136</f>
        <v>0</v>
      </c>
      <c r="N328" s="308">
        <f>'Monthly D5 Gallon Data'!$O148</f>
        <v>0</v>
      </c>
      <c r="O328" s="308">
        <f>'Monthly D5 Gallon Data'!$O160</f>
        <v>0</v>
      </c>
      <c r="P328" s="308">
        <f>'Monthly D5 Gallon Data'!$O172</f>
        <v>0</v>
      </c>
      <c r="Q328" s="308">
        <f>'Monthly D5 Gallon Data'!$O184</f>
        <v>0</v>
      </c>
      <c r="R328" s="307">
        <v>0</v>
      </c>
      <c r="S328" s="307">
        <v>0</v>
      </c>
      <c r="T328" s="307">
        <v>0</v>
      </c>
      <c r="U328" s="307">
        <v>0</v>
      </c>
      <c r="V328" s="307">
        <v>0</v>
      </c>
      <c r="W328" s="307">
        <v>0</v>
      </c>
      <c r="X328" s="307">
        <v>0</v>
      </c>
      <c r="Y328" s="307">
        <v>0</v>
      </c>
      <c r="Z328" s="307">
        <v>0</v>
      </c>
      <c r="AA328" s="307">
        <v>0</v>
      </c>
      <c r="AB328" s="307">
        <v>0</v>
      </c>
      <c r="AC328" s="307">
        <v>0</v>
      </c>
      <c r="AD328" s="307">
        <v>0</v>
      </c>
      <c r="AE328" s="307">
        <v>0</v>
      </c>
      <c r="AF328" s="307">
        <v>0</v>
      </c>
      <c r="AG328" s="307">
        <v>0</v>
      </c>
      <c r="AH328" s="307">
        <v>1</v>
      </c>
      <c r="AI328" s="307">
        <v>2</v>
      </c>
      <c r="AJ328" s="307">
        <v>3</v>
      </c>
      <c r="AK328" s="307">
        <v>4</v>
      </c>
      <c r="AL328" s="307">
        <v>5</v>
      </c>
      <c r="AM328" s="307">
        <v>6</v>
      </c>
      <c r="AN328" s="307">
        <v>7</v>
      </c>
      <c r="AO328" s="307">
        <v>8</v>
      </c>
      <c r="AP328" s="307">
        <v>9</v>
      </c>
      <c r="AR328" s="308">
        <v>0</v>
      </c>
      <c r="AS328" s="308">
        <f t="shared" ref="AS328:AS340" si="347">L328-AR328</f>
        <v>0</v>
      </c>
      <c r="AT328" s="308">
        <v>0</v>
      </c>
      <c r="AU328" s="308">
        <f t="shared" ref="AU328:AU340" si="348">M328-AT328</f>
        <v>0</v>
      </c>
      <c r="AV328" s="308">
        <v>0</v>
      </c>
      <c r="AW328" s="308">
        <f t="shared" ref="AW328:AW340" si="349">N328-AV328</f>
        <v>0</v>
      </c>
      <c r="AX328" s="308">
        <v>0</v>
      </c>
      <c r="AY328" s="308">
        <f t="shared" ref="AY328:AY340" si="350">O328-AX328</f>
        <v>0</v>
      </c>
      <c r="AZ328" s="308">
        <v>0</v>
      </c>
      <c r="BA328" s="308">
        <f t="shared" ref="BA328:BA340" si="351">P328-AZ328</f>
        <v>0</v>
      </c>
      <c r="BB328" s="331">
        <v>0</v>
      </c>
      <c r="BC328" s="308">
        <f t="shared" ref="BC328:BC340" si="352">Q328-BB328</f>
        <v>0</v>
      </c>
    </row>
    <row r="329" spans="1:55">
      <c r="A329" s="301" t="s">
        <v>44</v>
      </c>
      <c r="B329" s="308">
        <f>'Monthly D5 Gallon Data'!$O5</f>
        <v>0</v>
      </c>
      <c r="C329" s="308">
        <f>'Monthly D5 Gallon Data'!$O17</f>
        <v>0</v>
      </c>
      <c r="D329" s="308">
        <f>'Monthly D5 Gallon Data'!$O29</f>
        <v>0</v>
      </c>
      <c r="E329" s="308">
        <f>'Monthly D5 Gallon Data'!$O41</f>
        <v>0</v>
      </c>
      <c r="F329" s="308">
        <f>'Monthly D5 Gallon Data'!$O53</f>
        <v>0</v>
      </c>
      <c r="G329" s="308">
        <f>'Monthly D5 Gallon Data'!$O65</f>
        <v>0</v>
      </c>
      <c r="H329" s="308">
        <f>'Monthly D5 Gallon Data'!$O77</f>
        <v>0</v>
      </c>
      <c r="I329" s="308">
        <f>'Monthly D5 Gallon Data'!$O89</f>
        <v>0</v>
      </c>
      <c r="J329" s="308">
        <f>'Monthly D5 Gallon Data'!$O101</f>
        <v>0</v>
      </c>
      <c r="K329" s="308">
        <f>'Monthly D5 Gallon Data'!$O113</f>
        <v>0</v>
      </c>
      <c r="L329" s="308">
        <f>'Monthly D5 Gallon Data'!$O125</f>
        <v>0</v>
      </c>
      <c r="M329" s="308">
        <f>'Monthly D5 Gallon Data'!$O137</f>
        <v>0</v>
      </c>
      <c r="N329" s="308">
        <f>'Monthly D5 Gallon Data'!$O149</f>
        <v>0</v>
      </c>
      <c r="O329" s="308">
        <f>'Monthly D5 Gallon Data'!$O161</f>
        <v>0</v>
      </c>
      <c r="P329" s="308">
        <f>'Monthly D5 Gallon Data'!$O173</f>
        <v>0</v>
      </c>
      <c r="Q329" s="332">
        <f>'Monthly D5 Gallon Data'!$O185</f>
        <v>0</v>
      </c>
      <c r="R329" s="307">
        <v>0</v>
      </c>
      <c r="S329" s="307">
        <v>0</v>
      </c>
      <c r="T329" s="307">
        <v>0</v>
      </c>
      <c r="U329" s="307">
        <v>0</v>
      </c>
      <c r="V329" s="307">
        <v>0</v>
      </c>
      <c r="W329" s="307">
        <v>0</v>
      </c>
      <c r="X329" s="307">
        <v>0</v>
      </c>
      <c r="Y329" s="307">
        <v>0</v>
      </c>
      <c r="Z329" s="307">
        <v>0</v>
      </c>
      <c r="AA329" s="307">
        <v>0</v>
      </c>
      <c r="AB329" s="307">
        <v>0</v>
      </c>
      <c r="AC329" s="307">
        <v>0</v>
      </c>
      <c r="AD329" s="307">
        <v>0</v>
      </c>
      <c r="AE329" s="307">
        <v>0</v>
      </c>
      <c r="AF329" s="307">
        <v>0</v>
      </c>
      <c r="AG329" s="307">
        <v>0</v>
      </c>
      <c r="AH329" s="307">
        <v>1</v>
      </c>
      <c r="AI329" s="307">
        <v>2</v>
      </c>
      <c r="AJ329" s="307">
        <v>3</v>
      </c>
      <c r="AK329" s="307">
        <v>4</v>
      </c>
      <c r="AL329" s="307">
        <v>5</v>
      </c>
      <c r="AM329" s="307">
        <v>6</v>
      </c>
      <c r="AN329" s="307">
        <v>7</v>
      </c>
      <c r="AO329" s="307">
        <v>8</v>
      </c>
      <c r="AP329" s="307">
        <v>9</v>
      </c>
      <c r="AR329" s="308">
        <v>0</v>
      </c>
      <c r="AS329" s="308">
        <f t="shared" si="347"/>
        <v>0</v>
      </c>
      <c r="AT329" s="308">
        <v>0</v>
      </c>
      <c r="AU329" s="308">
        <f t="shared" si="348"/>
        <v>0</v>
      </c>
      <c r="AV329" s="308">
        <v>0</v>
      </c>
      <c r="AW329" s="308">
        <f t="shared" si="349"/>
        <v>0</v>
      </c>
      <c r="AX329" s="308">
        <v>0</v>
      </c>
      <c r="AY329" s="308">
        <f t="shared" si="350"/>
        <v>0</v>
      </c>
      <c r="AZ329" s="308">
        <v>0</v>
      </c>
      <c r="BA329" s="308">
        <f t="shared" si="351"/>
        <v>0</v>
      </c>
      <c r="BB329" s="331">
        <v>0</v>
      </c>
      <c r="BC329" s="308">
        <f t="shared" si="352"/>
        <v>0</v>
      </c>
    </row>
    <row r="330" spans="1:55">
      <c r="A330" s="301" t="s">
        <v>45</v>
      </c>
      <c r="B330" s="308">
        <f>'Monthly D5 Gallon Data'!$O6</f>
        <v>0</v>
      </c>
      <c r="C330" s="308">
        <f>'Monthly D5 Gallon Data'!$O18</f>
        <v>0</v>
      </c>
      <c r="D330" s="308">
        <f>'Monthly D5 Gallon Data'!$O30</f>
        <v>0</v>
      </c>
      <c r="E330" s="308">
        <f>'Monthly D5 Gallon Data'!$O42</f>
        <v>0</v>
      </c>
      <c r="F330" s="308">
        <f>'Monthly D5 Gallon Data'!$O54</f>
        <v>0</v>
      </c>
      <c r="G330" s="308">
        <f>'Monthly D5 Gallon Data'!$O66</f>
        <v>0</v>
      </c>
      <c r="H330" s="308">
        <f>'Monthly D5 Gallon Data'!$O78</f>
        <v>0</v>
      </c>
      <c r="I330" s="308">
        <f>'Monthly D5 Gallon Data'!$O90</f>
        <v>0</v>
      </c>
      <c r="J330" s="308">
        <f>'Monthly D5 Gallon Data'!$O102</f>
        <v>0</v>
      </c>
      <c r="K330" s="308">
        <f>'Monthly D5 Gallon Data'!$O114</f>
        <v>0</v>
      </c>
      <c r="L330" s="308">
        <f>'Monthly D5 Gallon Data'!$O126</f>
        <v>0</v>
      </c>
      <c r="M330" s="308">
        <f>'Monthly D5 Gallon Data'!$O138</f>
        <v>0</v>
      </c>
      <c r="N330" s="308">
        <f>'Monthly D5 Gallon Data'!$O150</f>
        <v>0</v>
      </c>
      <c r="O330" s="308">
        <f>'Monthly D5 Gallon Data'!$O162</f>
        <v>0</v>
      </c>
      <c r="P330" s="308">
        <f>'Monthly D5 Gallon Data'!$O174</f>
        <v>0</v>
      </c>
      <c r="Q330" s="332">
        <f>'Monthly D5 Gallon Data'!$O186</f>
        <v>0</v>
      </c>
      <c r="R330" s="307">
        <v>0</v>
      </c>
      <c r="S330" s="307">
        <v>0</v>
      </c>
      <c r="T330" s="307">
        <v>0</v>
      </c>
      <c r="U330" s="307">
        <v>0</v>
      </c>
      <c r="V330" s="307">
        <v>0</v>
      </c>
      <c r="W330" s="307">
        <v>0</v>
      </c>
      <c r="X330" s="307">
        <v>0</v>
      </c>
      <c r="Y330" s="307">
        <v>0</v>
      </c>
      <c r="Z330" s="307">
        <v>0</v>
      </c>
      <c r="AA330" s="307">
        <v>0</v>
      </c>
      <c r="AB330" s="307">
        <v>0</v>
      </c>
      <c r="AC330" s="307">
        <v>0</v>
      </c>
      <c r="AD330" s="307">
        <v>0</v>
      </c>
      <c r="AE330" s="307">
        <v>0</v>
      </c>
      <c r="AF330" s="307">
        <v>0</v>
      </c>
      <c r="AG330" s="307">
        <v>0</v>
      </c>
      <c r="AH330" s="307">
        <v>1</v>
      </c>
      <c r="AI330" s="307">
        <v>2</v>
      </c>
      <c r="AJ330" s="307">
        <v>3</v>
      </c>
      <c r="AK330" s="307">
        <v>4</v>
      </c>
      <c r="AL330" s="307">
        <v>5</v>
      </c>
      <c r="AM330" s="307">
        <v>6</v>
      </c>
      <c r="AN330" s="307">
        <v>7</v>
      </c>
      <c r="AO330" s="307">
        <v>8</v>
      </c>
      <c r="AP330" s="307">
        <v>9</v>
      </c>
      <c r="AR330" s="308">
        <v>0</v>
      </c>
      <c r="AS330" s="308">
        <f t="shared" si="347"/>
        <v>0</v>
      </c>
      <c r="AT330" s="308">
        <v>0</v>
      </c>
      <c r="AU330" s="308">
        <f t="shared" si="348"/>
        <v>0</v>
      </c>
      <c r="AV330" s="308">
        <v>0</v>
      </c>
      <c r="AW330" s="308">
        <f t="shared" si="349"/>
        <v>0</v>
      </c>
      <c r="AX330" s="308">
        <v>0</v>
      </c>
      <c r="AY330" s="308">
        <f t="shared" si="350"/>
        <v>0</v>
      </c>
      <c r="AZ330" s="308">
        <v>0</v>
      </c>
      <c r="BA330" s="308">
        <f t="shared" si="351"/>
        <v>0</v>
      </c>
      <c r="BB330" s="331">
        <v>0</v>
      </c>
      <c r="BC330" s="308">
        <f t="shared" si="352"/>
        <v>0</v>
      </c>
    </row>
    <row r="331" spans="1:55">
      <c r="A331" s="301" t="s">
        <v>46</v>
      </c>
      <c r="B331" s="308">
        <f>'Monthly D5 Gallon Data'!$O7</f>
        <v>0</v>
      </c>
      <c r="C331" s="308">
        <f>'Monthly D5 Gallon Data'!$O19</f>
        <v>0</v>
      </c>
      <c r="D331" s="308">
        <f>'Monthly D5 Gallon Data'!$O31</f>
        <v>0</v>
      </c>
      <c r="E331" s="308">
        <f>'Monthly D5 Gallon Data'!$O43</f>
        <v>0</v>
      </c>
      <c r="F331" s="308">
        <f>'Monthly D5 Gallon Data'!$O55</f>
        <v>0</v>
      </c>
      <c r="G331" s="308">
        <f>'Monthly D5 Gallon Data'!$O67</f>
        <v>0</v>
      </c>
      <c r="H331" s="308">
        <f>'Monthly D5 Gallon Data'!$O79</f>
        <v>0</v>
      </c>
      <c r="I331" s="308">
        <f>'Monthly D5 Gallon Data'!$O91</f>
        <v>0</v>
      </c>
      <c r="J331" s="308">
        <f>'Monthly D5 Gallon Data'!$O103</f>
        <v>0</v>
      </c>
      <c r="K331" s="308">
        <f>'Monthly D5 Gallon Data'!$O115</f>
        <v>0</v>
      </c>
      <c r="L331" s="308">
        <f>'Monthly D5 Gallon Data'!$O127</f>
        <v>0</v>
      </c>
      <c r="M331" s="308">
        <f>'Monthly D5 Gallon Data'!$O139</f>
        <v>0</v>
      </c>
      <c r="N331" s="308">
        <f>'Monthly D5 Gallon Data'!$O151</f>
        <v>0</v>
      </c>
      <c r="O331" s="308">
        <f>'Monthly D5 Gallon Data'!$O163</f>
        <v>0</v>
      </c>
      <c r="P331" s="308">
        <f>'Monthly D5 Gallon Data'!$O175</f>
        <v>0</v>
      </c>
      <c r="Q331" s="307">
        <v>0</v>
      </c>
      <c r="R331" s="307">
        <v>0</v>
      </c>
      <c r="S331" s="307">
        <v>0</v>
      </c>
      <c r="T331" s="307">
        <v>0</v>
      </c>
      <c r="U331" s="307">
        <v>0</v>
      </c>
      <c r="V331" s="307">
        <v>0</v>
      </c>
      <c r="W331" s="307">
        <v>0</v>
      </c>
      <c r="X331" s="307">
        <v>0</v>
      </c>
      <c r="Y331" s="307">
        <v>0</v>
      </c>
      <c r="Z331" s="307">
        <v>0</v>
      </c>
      <c r="AA331" s="307">
        <v>0</v>
      </c>
      <c r="AB331" s="307">
        <v>0</v>
      </c>
      <c r="AC331" s="307">
        <v>0</v>
      </c>
      <c r="AD331" s="307">
        <v>0</v>
      </c>
      <c r="AE331" s="307">
        <v>0</v>
      </c>
      <c r="AF331" s="307">
        <v>0</v>
      </c>
      <c r="AG331" s="307">
        <v>0</v>
      </c>
      <c r="AH331" s="307">
        <v>1</v>
      </c>
      <c r="AI331" s="307">
        <v>2</v>
      </c>
      <c r="AJ331" s="307">
        <v>3</v>
      </c>
      <c r="AK331" s="307">
        <v>4</v>
      </c>
      <c r="AL331" s="307">
        <v>5</v>
      </c>
      <c r="AM331" s="307">
        <v>6</v>
      </c>
      <c r="AN331" s="307">
        <v>7</v>
      </c>
      <c r="AO331" s="307">
        <v>8</v>
      </c>
      <c r="AP331" s="307">
        <v>9</v>
      </c>
      <c r="AR331" s="308">
        <v>0</v>
      </c>
      <c r="AS331" s="308">
        <f t="shared" si="347"/>
        <v>0</v>
      </c>
      <c r="AT331" s="308">
        <v>0</v>
      </c>
      <c r="AU331" s="308">
        <f t="shared" si="348"/>
        <v>0</v>
      </c>
      <c r="AV331" s="308">
        <v>0</v>
      </c>
      <c r="AW331" s="308">
        <f t="shared" si="349"/>
        <v>0</v>
      </c>
      <c r="AX331" s="308">
        <v>0</v>
      </c>
      <c r="AY331" s="308">
        <f t="shared" si="350"/>
        <v>0</v>
      </c>
      <c r="AZ331" s="308">
        <v>0</v>
      </c>
      <c r="BA331" s="308">
        <f t="shared" si="351"/>
        <v>0</v>
      </c>
      <c r="BB331" s="331">
        <v>0</v>
      </c>
      <c r="BC331" s="308">
        <f t="shared" si="352"/>
        <v>0</v>
      </c>
    </row>
    <row r="332" spans="1:55">
      <c r="A332" s="301" t="s">
        <v>47</v>
      </c>
      <c r="B332" s="308">
        <f>'Monthly D5 Gallon Data'!$O8</f>
        <v>0</v>
      </c>
      <c r="C332" s="308">
        <f>'Monthly D5 Gallon Data'!$O20</f>
        <v>0</v>
      </c>
      <c r="D332" s="308">
        <f>'Monthly D5 Gallon Data'!$O32</f>
        <v>0</v>
      </c>
      <c r="E332" s="308">
        <f>'Monthly D5 Gallon Data'!$O44</f>
        <v>0</v>
      </c>
      <c r="F332" s="308">
        <f>'Monthly D5 Gallon Data'!$O56</f>
        <v>0</v>
      </c>
      <c r="G332" s="308">
        <f>'Monthly D5 Gallon Data'!$O68</f>
        <v>0</v>
      </c>
      <c r="H332" s="308">
        <f>'Monthly D5 Gallon Data'!$O80</f>
        <v>0</v>
      </c>
      <c r="I332" s="308">
        <f>'Monthly D5 Gallon Data'!$O92</f>
        <v>0</v>
      </c>
      <c r="J332" s="308">
        <f>'Monthly D5 Gallon Data'!$O104</f>
        <v>0</v>
      </c>
      <c r="K332" s="308">
        <f>'Monthly D5 Gallon Data'!$O116</f>
        <v>0</v>
      </c>
      <c r="L332" s="308">
        <f>'Monthly D5 Gallon Data'!$O128</f>
        <v>0</v>
      </c>
      <c r="M332" s="308">
        <f>'Monthly D5 Gallon Data'!$O140</f>
        <v>0</v>
      </c>
      <c r="N332" s="308">
        <f>'Monthly D5 Gallon Data'!$O152</f>
        <v>0</v>
      </c>
      <c r="O332" s="308">
        <f>'Monthly D5 Gallon Data'!$O164</f>
        <v>0</v>
      </c>
      <c r="P332" s="308">
        <f>'Monthly D5 Gallon Data'!$O176</f>
        <v>0</v>
      </c>
      <c r="Q332" s="307">
        <v>0</v>
      </c>
      <c r="R332" s="307">
        <v>0</v>
      </c>
      <c r="S332" s="307">
        <v>0</v>
      </c>
      <c r="T332" s="307">
        <v>0</v>
      </c>
      <c r="U332" s="307">
        <v>0</v>
      </c>
      <c r="V332" s="307">
        <v>0</v>
      </c>
      <c r="W332" s="307">
        <v>0</v>
      </c>
      <c r="X332" s="307">
        <v>0</v>
      </c>
      <c r="Y332" s="307">
        <v>0</v>
      </c>
      <c r="Z332" s="307">
        <v>0</v>
      </c>
      <c r="AA332" s="307">
        <v>0</v>
      </c>
      <c r="AB332" s="307">
        <v>0</v>
      </c>
      <c r="AC332" s="307">
        <v>0</v>
      </c>
      <c r="AD332" s="307">
        <v>0</v>
      </c>
      <c r="AE332" s="307">
        <v>0</v>
      </c>
      <c r="AF332" s="307">
        <v>0</v>
      </c>
      <c r="AG332" s="307">
        <v>0</v>
      </c>
      <c r="AH332" s="307">
        <v>1</v>
      </c>
      <c r="AI332" s="307">
        <v>2</v>
      </c>
      <c r="AJ332" s="307">
        <v>3</v>
      </c>
      <c r="AK332" s="307">
        <v>4</v>
      </c>
      <c r="AL332" s="307">
        <v>5</v>
      </c>
      <c r="AM332" s="307">
        <v>6</v>
      </c>
      <c r="AN332" s="307">
        <v>7</v>
      </c>
      <c r="AO332" s="307">
        <v>8</v>
      </c>
      <c r="AP332" s="307">
        <v>9</v>
      </c>
      <c r="AR332" s="308">
        <v>0</v>
      </c>
      <c r="AS332" s="308">
        <f t="shared" si="347"/>
        <v>0</v>
      </c>
      <c r="AT332" s="308">
        <v>0</v>
      </c>
      <c r="AU332" s="308">
        <f t="shared" si="348"/>
        <v>0</v>
      </c>
      <c r="AV332" s="308">
        <v>0</v>
      </c>
      <c r="AW332" s="308">
        <f t="shared" si="349"/>
        <v>0</v>
      </c>
      <c r="AX332" s="308">
        <v>0</v>
      </c>
      <c r="AY332" s="308">
        <f t="shared" si="350"/>
        <v>0</v>
      </c>
      <c r="AZ332" s="308">
        <v>0</v>
      </c>
      <c r="BA332" s="308">
        <f t="shared" si="351"/>
        <v>0</v>
      </c>
      <c r="BB332" s="331">
        <v>0</v>
      </c>
      <c r="BC332" s="308">
        <f t="shared" si="352"/>
        <v>0</v>
      </c>
    </row>
    <row r="333" spans="1:55">
      <c r="A333" s="301" t="s">
        <v>48</v>
      </c>
      <c r="B333" s="308">
        <f>'Monthly D5 Gallon Data'!$O9</f>
        <v>0</v>
      </c>
      <c r="C333" s="308">
        <f>'Monthly D5 Gallon Data'!$O21</f>
        <v>0</v>
      </c>
      <c r="D333" s="308">
        <f>'Monthly D5 Gallon Data'!$O33</f>
        <v>0</v>
      </c>
      <c r="E333" s="308">
        <f>'Monthly D5 Gallon Data'!$O45</f>
        <v>0</v>
      </c>
      <c r="F333" s="308">
        <f>'Monthly D5 Gallon Data'!$O57</f>
        <v>0</v>
      </c>
      <c r="G333" s="308">
        <f>'Monthly D5 Gallon Data'!$O69</f>
        <v>0</v>
      </c>
      <c r="H333" s="308">
        <f>'Monthly D5 Gallon Data'!$O81</f>
        <v>0</v>
      </c>
      <c r="I333" s="308">
        <f>'Monthly D5 Gallon Data'!$O93</f>
        <v>0</v>
      </c>
      <c r="J333" s="308">
        <f>'Monthly D5 Gallon Data'!$O105</f>
        <v>0</v>
      </c>
      <c r="K333" s="308">
        <f>'Monthly D5 Gallon Data'!$O117</f>
        <v>0</v>
      </c>
      <c r="L333" s="308">
        <f>'Monthly D5 Gallon Data'!$O129</f>
        <v>0</v>
      </c>
      <c r="M333" s="308">
        <f>'Monthly D5 Gallon Data'!$O141</f>
        <v>0</v>
      </c>
      <c r="N333" s="308">
        <f>'Monthly D5 Gallon Data'!$O153</f>
        <v>0</v>
      </c>
      <c r="O333" s="308">
        <f>'Monthly D5 Gallon Data'!$O165</f>
        <v>0</v>
      </c>
      <c r="P333" s="308">
        <f>'Monthly D5 Gallon Data'!$O177</f>
        <v>0</v>
      </c>
      <c r="Q333" s="307">
        <v>0</v>
      </c>
      <c r="R333" s="307">
        <v>0</v>
      </c>
      <c r="S333" s="307">
        <v>0</v>
      </c>
      <c r="T333" s="307">
        <v>0</v>
      </c>
      <c r="U333" s="307">
        <v>0</v>
      </c>
      <c r="V333" s="307">
        <v>0</v>
      </c>
      <c r="W333" s="307">
        <v>0</v>
      </c>
      <c r="X333" s="307">
        <v>0</v>
      </c>
      <c r="Y333" s="307">
        <v>0</v>
      </c>
      <c r="Z333" s="307">
        <v>0</v>
      </c>
      <c r="AA333" s="307">
        <v>0</v>
      </c>
      <c r="AB333" s="307">
        <v>0</v>
      </c>
      <c r="AC333" s="307">
        <v>0</v>
      </c>
      <c r="AD333" s="307">
        <v>0</v>
      </c>
      <c r="AE333" s="307">
        <v>0</v>
      </c>
      <c r="AF333" s="307">
        <v>0</v>
      </c>
      <c r="AG333" s="307">
        <v>0</v>
      </c>
      <c r="AH333" s="307">
        <v>1</v>
      </c>
      <c r="AI333" s="307">
        <v>2</v>
      </c>
      <c r="AJ333" s="307">
        <v>3</v>
      </c>
      <c r="AK333" s="307">
        <v>4</v>
      </c>
      <c r="AL333" s="307">
        <v>5</v>
      </c>
      <c r="AM333" s="307">
        <v>6</v>
      </c>
      <c r="AN333" s="307">
        <v>7</v>
      </c>
      <c r="AO333" s="307">
        <v>8</v>
      </c>
      <c r="AP333" s="307">
        <v>9</v>
      </c>
      <c r="AR333" s="308">
        <v>0</v>
      </c>
      <c r="AS333" s="308">
        <f t="shared" si="347"/>
        <v>0</v>
      </c>
      <c r="AT333" s="308">
        <v>0</v>
      </c>
      <c r="AU333" s="308">
        <f t="shared" si="348"/>
        <v>0</v>
      </c>
      <c r="AV333" s="308">
        <v>0</v>
      </c>
      <c r="AW333" s="308">
        <f t="shared" si="349"/>
        <v>0</v>
      </c>
      <c r="AX333" s="308">
        <v>0</v>
      </c>
      <c r="AY333" s="308">
        <f t="shared" si="350"/>
        <v>0</v>
      </c>
      <c r="AZ333" s="308">
        <v>0</v>
      </c>
      <c r="BA333" s="308">
        <f t="shared" si="351"/>
        <v>0</v>
      </c>
      <c r="BB333" s="331">
        <v>0</v>
      </c>
      <c r="BC333" s="308">
        <f t="shared" si="352"/>
        <v>0</v>
      </c>
    </row>
    <row r="334" spans="1:55">
      <c r="A334" s="301" t="s">
        <v>49</v>
      </c>
      <c r="B334" s="308">
        <f>'Monthly D5 Gallon Data'!$O10</f>
        <v>0</v>
      </c>
      <c r="C334" s="308">
        <f>'Monthly D5 Gallon Data'!$O22</f>
        <v>0</v>
      </c>
      <c r="D334" s="308">
        <f>'Monthly D5 Gallon Data'!$O34</f>
        <v>0</v>
      </c>
      <c r="E334" s="308">
        <f>'Monthly D5 Gallon Data'!$O46</f>
        <v>0</v>
      </c>
      <c r="F334" s="308">
        <f>'Monthly D5 Gallon Data'!$O58</f>
        <v>0</v>
      </c>
      <c r="G334" s="308">
        <f>'Monthly D5 Gallon Data'!$O70</f>
        <v>0</v>
      </c>
      <c r="H334" s="308">
        <f>'Monthly D5 Gallon Data'!$O82</f>
        <v>0</v>
      </c>
      <c r="I334" s="308">
        <f>'Monthly D5 Gallon Data'!$O94</f>
        <v>0</v>
      </c>
      <c r="J334" s="308">
        <f>'Monthly D5 Gallon Data'!$O106</f>
        <v>0</v>
      </c>
      <c r="K334" s="308">
        <f>'Monthly D5 Gallon Data'!$O118</f>
        <v>0</v>
      </c>
      <c r="L334" s="308">
        <f>'Monthly D5 Gallon Data'!$O130</f>
        <v>0</v>
      </c>
      <c r="M334" s="308">
        <f>'Monthly D5 Gallon Data'!$O142</f>
        <v>0</v>
      </c>
      <c r="N334" s="308">
        <f>'Monthly D5 Gallon Data'!$O154</f>
        <v>0</v>
      </c>
      <c r="O334" s="308">
        <f>'Monthly D5 Gallon Data'!$O166</f>
        <v>0</v>
      </c>
      <c r="P334" s="308">
        <f>'Monthly D5 Gallon Data'!$O178</f>
        <v>0</v>
      </c>
      <c r="Q334" s="307">
        <v>0</v>
      </c>
      <c r="R334" s="307">
        <v>0</v>
      </c>
      <c r="S334" s="307">
        <v>0</v>
      </c>
      <c r="T334" s="307">
        <v>0</v>
      </c>
      <c r="U334" s="307">
        <v>0</v>
      </c>
      <c r="V334" s="307">
        <v>0</v>
      </c>
      <c r="W334" s="307">
        <v>0</v>
      </c>
      <c r="X334" s="307">
        <v>0</v>
      </c>
      <c r="Y334" s="307">
        <v>0</v>
      </c>
      <c r="Z334" s="307">
        <v>0</v>
      </c>
      <c r="AA334" s="307">
        <v>0</v>
      </c>
      <c r="AB334" s="307">
        <v>0</v>
      </c>
      <c r="AC334" s="307">
        <v>0</v>
      </c>
      <c r="AD334" s="307">
        <v>0</v>
      </c>
      <c r="AE334" s="307">
        <v>0</v>
      </c>
      <c r="AF334" s="307">
        <v>0</v>
      </c>
      <c r="AG334" s="307">
        <v>0</v>
      </c>
      <c r="AH334" s="307">
        <v>1</v>
      </c>
      <c r="AI334" s="307">
        <v>2</v>
      </c>
      <c r="AJ334" s="307">
        <v>3</v>
      </c>
      <c r="AK334" s="307">
        <v>4</v>
      </c>
      <c r="AL334" s="307">
        <v>5</v>
      </c>
      <c r="AM334" s="307">
        <v>6</v>
      </c>
      <c r="AN334" s="307">
        <v>7</v>
      </c>
      <c r="AO334" s="307">
        <v>8</v>
      </c>
      <c r="AP334" s="307">
        <v>9</v>
      </c>
      <c r="AR334" s="308">
        <v>0</v>
      </c>
      <c r="AS334" s="308">
        <f t="shared" si="347"/>
        <v>0</v>
      </c>
      <c r="AT334" s="308">
        <v>0</v>
      </c>
      <c r="AU334" s="308">
        <f t="shared" si="348"/>
        <v>0</v>
      </c>
      <c r="AV334" s="308">
        <v>0</v>
      </c>
      <c r="AW334" s="308">
        <f t="shared" si="349"/>
        <v>0</v>
      </c>
      <c r="AX334" s="308">
        <v>0</v>
      </c>
      <c r="AY334" s="308">
        <f t="shared" si="350"/>
        <v>0</v>
      </c>
      <c r="AZ334" s="309">
        <v>0</v>
      </c>
      <c r="BA334" s="308">
        <f t="shared" si="351"/>
        <v>0</v>
      </c>
      <c r="BB334" s="331">
        <v>0</v>
      </c>
      <c r="BC334" s="308">
        <f t="shared" si="352"/>
        <v>0</v>
      </c>
    </row>
    <row r="335" spans="1:55">
      <c r="A335" s="301" t="s">
        <v>50</v>
      </c>
      <c r="B335" s="308">
        <f>'Monthly D5 Gallon Data'!$O11</f>
        <v>0</v>
      </c>
      <c r="C335" s="308">
        <f>'Monthly D5 Gallon Data'!$O23</f>
        <v>0</v>
      </c>
      <c r="D335" s="308">
        <f>'Monthly D5 Gallon Data'!$O35</f>
        <v>0</v>
      </c>
      <c r="E335" s="308">
        <f>'Monthly D5 Gallon Data'!$O47</f>
        <v>0</v>
      </c>
      <c r="F335" s="308">
        <f>'Monthly D5 Gallon Data'!$O59</f>
        <v>0</v>
      </c>
      <c r="G335" s="308">
        <f>'Monthly D5 Gallon Data'!$O71</f>
        <v>0</v>
      </c>
      <c r="H335" s="308">
        <f>'Monthly D5 Gallon Data'!$O83</f>
        <v>0</v>
      </c>
      <c r="I335" s="308">
        <f>'Monthly D5 Gallon Data'!$O95</f>
        <v>0</v>
      </c>
      <c r="J335" s="308">
        <f>'Monthly D5 Gallon Data'!$O107</f>
        <v>0</v>
      </c>
      <c r="K335" s="308">
        <f>'Monthly D5 Gallon Data'!$O119</f>
        <v>0</v>
      </c>
      <c r="L335" s="308">
        <f>'Monthly D5 Gallon Data'!$O131</f>
        <v>0</v>
      </c>
      <c r="M335" s="308">
        <f>'Monthly D5 Gallon Data'!$O143</f>
        <v>0</v>
      </c>
      <c r="N335" s="308">
        <f>'Monthly D5 Gallon Data'!$O155</f>
        <v>0</v>
      </c>
      <c r="O335" s="308">
        <f>'Monthly D5 Gallon Data'!$O167</f>
        <v>0</v>
      </c>
      <c r="P335" s="308">
        <f>'Monthly D5 Gallon Data'!$O179</f>
        <v>0</v>
      </c>
      <c r="Q335" s="307">
        <v>0</v>
      </c>
      <c r="R335" s="307">
        <v>0</v>
      </c>
      <c r="S335" s="307">
        <v>0</v>
      </c>
      <c r="T335" s="307">
        <v>0</v>
      </c>
      <c r="U335" s="307">
        <v>0</v>
      </c>
      <c r="V335" s="307">
        <v>0</v>
      </c>
      <c r="W335" s="307">
        <v>0</v>
      </c>
      <c r="X335" s="307">
        <v>0</v>
      </c>
      <c r="Y335" s="307">
        <v>0</v>
      </c>
      <c r="Z335" s="307">
        <v>0</v>
      </c>
      <c r="AA335" s="307">
        <v>0</v>
      </c>
      <c r="AB335" s="307">
        <v>0</v>
      </c>
      <c r="AC335" s="307">
        <v>0</v>
      </c>
      <c r="AD335" s="307">
        <v>0</v>
      </c>
      <c r="AE335" s="307">
        <v>0</v>
      </c>
      <c r="AF335" s="307">
        <v>0</v>
      </c>
      <c r="AG335" s="307">
        <v>0</v>
      </c>
      <c r="AH335" s="307">
        <v>1</v>
      </c>
      <c r="AI335" s="307">
        <v>2</v>
      </c>
      <c r="AJ335" s="307">
        <v>3</v>
      </c>
      <c r="AK335" s="307">
        <v>4</v>
      </c>
      <c r="AL335" s="307">
        <v>5</v>
      </c>
      <c r="AM335" s="307">
        <v>6</v>
      </c>
      <c r="AN335" s="307">
        <v>7</v>
      </c>
      <c r="AO335" s="307">
        <v>8</v>
      </c>
      <c r="AP335" s="307">
        <v>9</v>
      </c>
      <c r="AR335" s="308">
        <v>0</v>
      </c>
      <c r="AS335" s="308">
        <f t="shared" si="347"/>
        <v>0</v>
      </c>
      <c r="AT335" s="308">
        <v>0</v>
      </c>
      <c r="AU335" s="308">
        <f t="shared" si="348"/>
        <v>0</v>
      </c>
      <c r="AV335" s="308">
        <v>0</v>
      </c>
      <c r="AW335" s="308">
        <f t="shared" si="349"/>
        <v>0</v>
      </c>
      <c r="AX335" s="308">
        <v>0</v>
      </c>
      <c r="AY335" s="308">
        <f t="shared" si="350"/>
        <v>0</v>
      </c>
      <c r="AZ335" s="309">
        <v>0</v>
      </c>
      <c r="BA335" s="308">
        <f t="shared" si="351"/>
        <v>0</v>
      </c>
      <c r="BB335" s="331">
        <v>0</v>
      </c>
      <c r="BC335" s="308">
        <f t="shared" si="352"/>
        <v>0</v>
      </c>
    </row>
    <row r="336" spans="1:55">
      <c r="A336" s="301" t="s">
        <v>51</v>
      </c>
      <c r="B336" s="308">
        <f>'Monthly D5 Gallon Data'!$O12</f>
        <v>0</v>
      </c>
      <c r="C336" s="308">
        <f>'Monthly D5 Gallon Data'!$O24</f>
        <v>0</v>
      </c>
      <c r="D336" s="308">
        <f>'Monthly D5 Gallon Data'!$O36</f>
        <v>0</v>
      </c>
      <c r="E336" s="308">
        <f>'Monthly D5 Gallon Data'!$O48</f>
        <v>0</v>
      </c>
      <c r="F336" s="308">
        <f>'Monthly D5 Gallon Data'!$O60</f>
        <v>0</v>
      </c>
      <c r="G336" s="308">
        <f>'Monthly D5 Gallon Data'!$O72</f>
        <v>0</v>
      </c>
      <c r="H336" s="308">
        <f>'Monthly D5 Gallon Data'!$O84</f>
        <v>0</v>
      </c>
      <c r="I336" s="308">
        <f>'Monthly D5 Gallon Data'!$O96</f>
        <v>0</v>
      </c>
      <c r="J336" s="308">
        <f>'Monthly D5 Gallon Data'!$O108</f>
        <v>0</v>
      </c>
      <c r="K336" s="308">
        <f>'Monthly D5 Gallon Data'!$O120</f>
        <v>0</v>
      </c>
      <c r="L336" s="308">
        <f>'Monthly D5 Gallon Data'!$O132</f>
        <v>0</v>
      </c>
      <c r="M336" s="308">
        <f>'Monthly D5 Gallon Data'!$O144</f>
        <v>0</v>
      </c>
      <c r="N336" s="308">
        <f>'Monthly D5 Gallon Data'!$O156</f>
        <v>0</v>
      </c>
      <c r="O336" s="308">
        <f>'Monthly D5 Gallon Data'!$O168</f>
        <v>0</v>
      </c>
      <c r="P336" s="308">
        <f>'Monthly D5 Gallon Data'!$O180</f>
        <v>0</v>
      </c>
      <c r="Q336" s="307">
        <v>0</v>
      </c>
      <c r="R336" s="307">
        <v>0</v>
      </c>
      <c r="S336" s="307">
        <v>0</v>
      </c>
      <c r="T336" s="307">
        <v>0</v>
      </c>
      <c r="U336" s="307">
        <v>0</v>
      </c>
      <c r="V336" s="307">
        <v>0</v>
      </c>
      <c r="W336" s="307">
        <v>0</v>
      </c>
      <c r="X336" s="307">
        <v>0</v>
      </c>
      <c r="Y336" s="307">
        <v>0</v>
      </c>
      <c r="Z336" s="307">
        <v>0</v>
      </c>
      <c r="AA336" s="307">
        <v>0</v>
      </c>
      <c r="AB336" s="307">
        <v>0</v>
      </c>
      <c r="AC336" s="307">
        <v>0</v>
      </c>
      <c r="AD336" s="307">
        <v>0</v>
      </c>
      <c r="AE336" s="307">
        <v>0</v>
      </c>
      <c r="AF336" s="307">
        <v>0</v>
      </c>
      <c r="AG336" s="307">
        <v>0</v>
      </c>
      <c r="AH336" s="307">
        <v>1</v>
      </c>
      <c r="AI336" s="307">
        <v>2</v>
      </c>
      <c r="AJ336" s="307">
        <v>3</v>
      </c>
      <c r="AK336" s="307">
        <v>4</v>
      </c>
      <c r="AL336" s="307">
        <v>5</v>
      </c>
      <c r="AM336" s="307">
        <v>6</v>
      </c>
      <c r="AN336" s="307">
        <v>7</v>
      </c>
      <c r="AO336" s="307">
        <v>8</v>
      </c>
      <c r="AP336" s="307">
        <v>9</v>
      </c>
      <c r="AR336" s="308">
        <v>0</v>
      </c>
      <c r="AS336" s="308">
        <f t="shared" si="347"/>
        <v>0</v>
      </c>
      <c r="AT336" s="308">
        <v>0</v>
      </c>
      <c r="AU336" s="308">
        <f t="shared" si="348"/>
        <v>0</v>
      </c>
      <c r="AV336" s="308">
        <v>0</v>
      </c>
      <c r="AW336" s="308">
        <f t="shared" si="349"/>
        <v>0</v>
      </c>
      <c r="AX336" s="308">
        <v>0</v>
      </c>
      <c r="AY336" s="308">
        <f t="shared" si="350"/>
        <v>0</v>
      </c>
      <c r="AZ336" s="309">
        <v>0</v>
      </c>
      <c r="BA336" s="308">
        <f t="shared" si="351"/>
        <v>0</v>
      </c>
      <c r="BB336" s="331">
        <v>0</v>
      </c>
      <c r="BC336" s="308">
        <f t="shared" si="352"/>
        <v>0</v>
      </c>
    </row>
    <row r="337" spans="1:55">
      <c r="A337" s="301" t="s">
        <v>52</v>
      </c>
      <c r="B337" s="308">
        <f>'Monthly D5 Gallon Data'!$O13</f>
        <v>0</v>
      </c>
      <c r="C337" s="308">
        <f>'Monthly D5 Gallon Data'!$O25</f>
        <v>0</v>
      </c>
      <c r="D337" s="308">
        <f>'Monthly D5 Gallon Data'!$O37</f>
        <v>0</v>
      </c>
      <c r="E337" s="308">
        <f>'Monthly D5 Gallon Data'!$O49</f>
        <v>0</v>
      </c>
      <c r="F337" s="308">
        <f>'Monthly D5 Gallon Data'!$O61</f>
        <v>0</v>
      </c>
      <c r="G337" s="308">
        <f>'Monthly D5 Gallon Data'!$O73</f>
        <v>0</v>
      </c>
      <c r="H337" s="308">
        <f>'Monthly D5 Gallon Data'!$O85</f>
        <v>0</v>
      </c>
      <c r="I337" s="308">
        <f>'Monthly D5 Gallon Data'!$O97</f>
        <v>0</v>
      </c>
      <c r="J337" s="308">
        <f>'Monthly D5 Gallon Data'!$O109</f>
        <v>0</v>
      </c>
      <c r="K337" s="308">
        <f>'Monthly D5 Gallon Data'!$O121</f>
        <v>0</v>
      </c>
      <c r="L337" s="308">
        <f>'Monthly D5 Gallon Data'!$O133</f>
        <v>0</v>
      </c>
      <c r="M337" s="308">
        <f>'Monthly D5 Gallon Data'!$O145</f>
        <v>0</v>
      </c>
      <c r="N337" s="308">
        <f>'Monthly D5 Gallon Data'!$O157</f>
        <v>0</v>
      </c>
      <c r="O337" s="308">
        <f>'Monthly D5 Gallon Data'!$O169</f>
        <v>0</v>
      </c>
      <c r="P337" s="308">
        <f>'Monthly D5 Gallon Data'!$O181</f>
        <v>0</v>
      </c>
      <c r="Q337" s="307">
        <v>0</v>
      </c>
      <c r="R337" s="307">
        <v>0</v>
      </c>
      <c r="S337" s="307">
        <v>0</v>
      </c>
      <c r="T337" s="307">
        <v>0</v>
      </c>
      <c r="U337" s="307">
        <v>0</v>
      </c>
      <c r="V337" s="307">
        <v>0</v>
      </c>
      <c r="W337" s="307">
        <v>0</v>
      </c>
      <c r="X337" s="307">
        <v>0</v>
      </c>
      <c r="Y337" s="307">
        <v>0</v>
      </c>
      <c r="Z337" s="307">
        <v>0</v>
      </c>
      <c r="AA337" s="307">
        <v>0</v>
      </c>
      <c r="AB337" s="307">
        <v>0</v>
      </c>
      <c r="AC337" s="307">
        <v>0</v>
      </c>
      <c r="AD337" s="307">
        <v>0</v>
      </c>
      <c r="AE337" s="307">
        <v>0</v>
      </c>
      <c r="AF337" s="307">
        <v>0</v>
      </c>
      <c r="AG337" s="307">
        <v>0</v>
      </c>
      <c r="AH337" s="307">
        <v>1</v>
      </c>
      <c r="AI337" s="307">
        <v>2</v>
      </c>
      <c r="AJ337" s="307">
        <v>3</v>
      </c>
      <c r="AK337" s="307">
        <v>4</v>
      </c>
      <c r="AL337" s="307">
        <v>5</v>
      </c>
      <c r="AM337" s="307">
        <v>6</v>
      </c>
      <c r="AN337" s="307">
        <v>7</v>
      </c>
      <c r="AO337" s="307">
        <v>8</v>
      </c>
      <c r="AP337" s="307">
        <v>9</v>
      </c>
      <c r="AR337" s="308">
        <v>0</v>
      </c>
      <c r="AS337" s="308">
        <f t="shared" si="347"/>
        <v>0</v>
      </c>
      <c r="AT337" s="308">
        <v>0</v>
      </c>
      <c r="AU337" s="308">
        <f t="shared" si="348"/>
        <v>0</v>
      </c>
      <c r="AV337" s="308">
        <v>0</v>
      </c>
      <c r="AW337" s="308">
        <f t="shared" si="349"/>
        <v>0</v>
      </c>
      <c r="AX337" s="308">
        <v>0</v>
      </c>
      <c r="AY337" s="308">
        <f t="shared" si="350"/>
        <v>0</v>
      </c>
      <c r="AZ337" s="309">
        <v>0</v>
      </c>
      <c r="BA337" s="308">
        <f t="shared" si="351"/>
        <v>0</v>
      </c>
      <c r="BB337" s="331">
        <v>0</v>
      </c>
      <c r="BC337" s="308">
        <f t="shared" si="352"/>
        <v>0</v>
      </c>
    </row>
    <row r="338" spans="1:55">
      <c r="A338" s="301" t="s">
        <v>53</v>
      </c>
      <c r="B338" s="308">
        <f>'Monthly D5 Gallon Data'!$O14</f>
        <v>0</v>
      </c>
      <c r="C338" s="308">
        <f>'Monthly D5 Gallon Data'!$O26</f>
        <v>0</v>
      </c>
      <c r="D338" s="308">
        <f>'Monthly D5 Gallon Data'!$O38</f>
        <v>0</v>
      </c>
      <c r="E338" s="308">
        <f>'Monthly D5 Gallon Data'!$O50</f>
        <v>0</v>
      </c>
      <c r="F338" s="308">
        <f>'Monthly D5 Gallon Data'!$O62</f>
        <v>0</v>
      </c>
      <c r="G338" s="308">
        <f>'Monthly D5 Gallon Data'!$O74</f>
        <v>0</v>
      </c>
      <c r="H338" s="308">
        <f>'Monthly D5 Gallon Data'!$O86</f>
        <v>0</v>
      </c>
      <c r="I338" s="308">
        <f>'Monthly D5 Gallon Data'!$O98</f>
        <v>0</v>
      </c>
      <c r="J338" s="308">
        <f>'Monthly D5 Gallon Data'!$O110</f>
        <v>0</v>
      </c>
      <c r="K338" s="308">
        <f>'Monthly D5 Gallon Data'!$O122</f>
        <v>0</v>
      </c>
      <c r="L338" s="308">
        <f>'Monthly D5 Gallon Data'!$O134</f>
        <v>0</v>
      </c>
      <c r="M338" s="308">
        <f>'Monthly D5 Gallon Data'!$O146</f>
        <v>0</v>
      </c>
      <c r="N338" s="308">
        <f>'Monthly D5 Gallon Data'!$O158</f>
        <v>0</v>
      </c>
      <c r="O338" s="308">
        <f>'Monthly D5 Gallon Data'!$O170</f>
        <v>0</v>
      </c>
      <c r="P338" s="308">
        <f>'Monthly D5 Gallon Data'!$O182</f>
        <v>0</v>
      </c>
      <c r="Q338" s="307">
        <v>0</v>
      </c>
      <c r="R338" s="307">
        <v>0</v>
      </c>
      <c r="S338" s="307">
        <v>0</v>
      </c>
      <c r="T338" s="307">
        <v>0</v>
      </c>
      <c r="U338" s="307">
        <v>0</v>
      </c>
      <c r="V338" s="307">
        <v>0</v>
      </c>
      <c r="W338" s="307">
        <v>0</v>
      </c>
      <c r="X338" s="307">
        <v>0</v>
      </c>
      <c r="Y338" s="307">
        <v>0</v>
      </c>
      <c r="Z338" s="307">
        <v>0</v>
      </c>
      <c r="AA338" s="307">
        <v>0</v>
      </c>
      <c r="AB338" s="307">
        <v>0</v>
      </c>
      <c r="AC338" s="307">
        <v>0</v>
      </c>
      <c r="AD338" s="307">
        <v>0</v>
      </c>
      <c r="AE338" s="307">
        <v>0</v>
      </c>
      <c r="AF338" s="307">
        <v>0</v>
      </c>
      <c r="AG338" s="307">
        <v>0</v>
      </c>
      <c r="AH338" s="307">
        <v>1</v>
      </c>
      <c r="AI338" s="307">
        <v>2</v>
      </c>
      <c r="AJ338" s="307">
        <v>3</v>
      </c>
      <c r="AK338" s="307">
        <v>4</v>
      </c>
      <c r="AL338" s="307">
        <v>5</v>
      </c>
      <c r="AM338" s="307">
        <v>6</v>
      </c>
      <c r="AN338" s="307">
        <v>7</v>
      </c>
      <c r="AO338" s="307">
        <v>8</v>
      </c>
      <c r="AP338" s="307">
        <v>9</v>
      </c>
      <c r="AR338" s="308">
        <v>0</v>
      </c>
      <c r="AS338" s="308">
        <f t="shared" si="347"/>
        <v>0</v>
      </c>
      <c r="AT338" s="308">
        <v>0</v>
      </c>
      <c r="AU338" s="308">
        <f t="shared" si="348"/>
        <v>0</v>
      </c>
      <c r="AV338" s="308">
        <v>0</v>
      </c>
      <c r="AW338" s="308">
        <f t="shared" si="349"/>
        <v>0</v>
      </c>
      <c r="AX338" s="309">
        <v>0</v>
      </c>
      <c r="AY338" s="308">
        <f t="shared" si="350"/>
        <v>0</v>
      </c>
      <c r="AZ338" s="309">
        <v>0</v>
      </c>
      <c r="BA338" s="308">
        <f t="shared" si="351"/>
        <v>0</v>
      </c>
      <c r="BB338" s="331">
        <v>0</v>
      </c>
      <c r="BC338" s="308">
        <f t="shared" si="352"/>
        <v>0</v>
      </c>
    </row>
    <row r="339" spans="1:55">
      <c r="A339" s="301" t="s">
        <v>54</v>
      </c>
      <c r="B339" s="308">
        <f>'Monthly D5 Gallon Data'!$O15</f>
        <v>0</v>
      </c>
      <c r="C339" s="308">
        <f>'Monthly D5 Gallon Data'!$O27</f>
        <v>0</v>
      </c>
      <c r="D339" s="308">
        <f>'Monthly D5 Gallon Data'!$O39</f>
        <v>0</v>
      </c>
      <c r="E339" s="308">
        <f>'Monthly D5 Gallon Data'!$O51</f>
        <v>0</v>
      </c>
      <c r="F339" s="308">
        <f>'Monthly D5 Gallon Data'!$O63</f>
        <v>0</v>
      </c>
      <c r="G339" s="308">
        <f>'Monthly D5 Gallon Data'!$O75</f>
        <v>0</v>
      </c>
      <c r="H339" s="308">
        <f>'Monthly D5 Gallon Data'!$O87</f>
        <v>0</v>
      </c>
      <c r="I339" s="308">
        <f>'Monthly D5 Gallon Data'!$O99</f>
        <v>0</v>
      </c>
      <c r="J339" s="308">
        <f>'Monthly D5 Gallon Data'!$O111</f>
        <v>0</v>
      </c>
      <c r="K339" s="308">
        <f>'Monthly D5 Gallon Data'!$O123</f>
        <v>0</v>
      </c>
      <c r="L339" s="308">
        <f>'Monthly D5 Gallon Data'!$O135</f>
        <v>0</v>
      </c>
      <c r="M339" s="308">
        <f>'Monthly D5 Gallon Data'!$O147</f>
        <v>0</v>
      </c>
      <c r="N339" s="308">
        <f>'Monthly D5 Gallon Data'!$O159</f>
        <v>0</v>
      </c>
      <c r="O339" s="308">
        <f>'Monthly D5 Gallon Data'!$O171</f>
        <v>0</v>
      </c>
      <c r="P339" s="308">
        <f>'Monthly D5 Gallon Data'!$O183</f>
        <v>0</v>
      </c>
      <c r="Q339" s="307">
        <v>0</v>
      </c>
      <c r="R339" s="307">
        <v>0</v>
      </c>
      <c r="S339" s="307">
        <v>0</v>
      </c>
      <c r="T339" s="307">
        <v>0</v>
      </c>
      <c r="U339" s="307">
        <v>0</v>
      </c>
      <c r="V339" s="307">
        <v>0</v>
      </c>
      <c r="W339" s="307">
        <v>0</v>
      </c>
      <c r="X339" s="307">
        <v>0</v>
      </c>
      <c r="Y339" s="307">
        <v>0</v>
      </c>
      <c r="Z339" s="307">
        <v>0</v>
      </c>
      <c r="AA339" s="307">
        <v>0</v>
      </c>
      <c r="AB339" s="307">
        <v>0</v>
      </c>
      <c r="AC339" s="307">
        <v>0</v>
      </c>
      <c r="AD339" s="307">
        <v>0</v>
      </c>
      <c r="AE339" s="307">
        <v>0</v>
      </c>
      <c r="AF339" s="307">
        <v>0</v>
      </c>
      <c r="AG339" s="307">
        <v>0</v>
      </c>
      <c r="AH339" s="307">
        <v>1</v>
      </c>
      <c r="AI339" s="307">
        <v>2</v>
      </c>
      <c r="AJ339" s="307">
        <v>3</v>
      </c>
      <c r="AK339" s="307">
        <v>4</v>
      </c>
      <c r="AL339" s="307">
        <v>5</v>
      </c>
      <c r="AM339" s="307">
        <v>6</v>
      </c>
      <c r="AN339" s="307">
        <v>7</v>
      </c>
      <c r="AO339" s="307">
        <v>8</v>
      </c>
      <c r="AP339" s="307">
        <v>9</v>
      </c>
      <c r="AR339" s="308">
        <v>0</v>
      </c>
      <c r="AS339" s="308">
        <f t="shared" si="347"/>
        <v>0</v>
      </c>
      <c r="AT339" s="308">
        <v>0</v>
      </c>
      <c r="AU339" s="308">
        <f t="shared" si="348"/>
        <v>0</v>
      </c>
      <c r="AV339" s="308">
        <v>0</v>
      </c>
      <c r="AW339" s="308">
        <f t="shared" si="349"/>
        <v>0</v>
      </c>
      <c r="AX339" s="309">
        <v>0</v>
      </c>
      <c r="AY339" s="308">
        <f t="shared" si="350"/>
        <v>0</v>
      </c>
      <c r="AZ339" s="309">
        <v>0</v>
      </c>
      <c r="BA339" s="308">
        <f t="shared" si="351"/>
        <v>0</v>
      </c>
      <c r="BB339" s="331">
        <v>0</v>
      </c>
      <c r="BC339" s="308">
        <f t="shared" si="352"/>
        <v>0</v>
      </c>
    </row>
    <row r="340" spans="1:55" ht="12" thickBot="1">
      <c r="A340" s="301" t="s">
        <v>29</v>
      </c>
      <c r="B340" s="308">
        <f t="shared" ref="B340:AD340" si="353">SUM(B328:B339)</f>
        <v>0</v>
      </c>
      <c r="C340" s="308">
        <f t="shared" si="353"/>
        <v>0</v>
      </c>
      <c r="D340" s="308">
        <f t="shared" si="353"/>
        <v>0</v>
      </c>
      <c r="E340" s="308">
        <f t="shared" si="353"/>
        <v>0</v>
      </c>
      <c r="F340" s="308">
        <f t="shared" si="353"/>
        <v>0</v>
      </c>
      <c r="G340" s="308">
        <f t="shared" si="353"/>
        <v>0</v>
      </c>
      <c r="H340" s="308">
        <f t="shared" si="353"/>
        <v>0</v>
      </c>
      <c r="I340" s="308">
        <f t="shared" si="353"/>
        <v>0</v>
      </c>
      <c r="J340" s="308">
        <f t="shared" si="353"/>
        <v>0</v>
      </c>
      <c r="K340" s="308">
        <f t="shared" si="353"/>
        <v>0</v>
      </c>
      <c r="L340" s="308">
        <f t="shared" si="353"/>
        <v>0</v>
      </c>
      <c r="M340" s="308">
        <f t="shared" si="353"/>
        <v>0</v>
      </c>
      <c r="N340" s="308">
        <f t="shared" si="353"/>
        <v>0</v>
      </c>
      <c r="O340" s="308">
        <f t="shared" si="353"/>
        <v>0</v>
      </c>
      <c r="P340" s="308">
        <f t="shared" si="353"/>
        <v>0</v>
      </c>
      <c r="Q340" s="307">
        <f t="shared" si="353"/>
        <v>0</v>
      </c>
      <c r="R340" s="307">
        <f t="shared" si="353"/>
        <v>0</v>
      </c>
      <c r="S340" s="307">
        <f t="shared" si="353"/>
        <v>0</v>
      </c>
      <c r="T340" s="307">
        <f t="shared" si="353"/>
        <v>0</v>
      </c>
      <c r="U340" s="307">
        <f t="shared" si="353"/>
        <v>0</v>
      </c>
      <c r="V340" s="307">
        <f t="shared" si="353"/>
        <v>0</v>
      </c>
      <c r="W340" s="307">
        <f t="shared" si="353"/>
        <v>0</v>
      </c>
      <c r="X340" s="307">
        <f t="shared" si="353"/>
        <v>0</v>
      </c>
      <c r="Y340" s="307">
        <f t="shared" si="353"/>
        <v>0</v>
      </c>
      <c r="Z340" s="307">
        <f t="shared" si="353"/>
        <v>0</v>
      </c>
      <c r="AA340" s="307">
        <f t="shared" si="353"/>
        <v>0</v>
      </c>
      <c r="AB340" s="307">
        <f t="shared" si="353"/>
        <v>0</v>
      </c>
      <c r="AC340" s="307">
        <f t="shared" si="353"/>
        <v>0</v>
      </c>
      <c r="AD340" s="307">
        <f t="shared" si="353"/>
        <v>0</v>
      </c>
      <c r="AE340" s="307">
        <f>SUM(AE328:AE339)</f>
        <v>0</v>
      </c>
      <c r="AF340" s="307">
        <f>SUM(AF328:AF339)</f>
        <v>0</v>
      </c>
      <c r="AG340" s="307">
        <f>SUM(AG328:AG339)</f>
        <v>0</v>
      </c>
      <c r="AH340" s="307">
        <f t="shared" ref="AH340:AP340" si="354">SUM(AH328:AH339)</f>
        <v>12</v>
      </c>
      <c r="AI340" s="307">
        <f t="shared" si="354"/>
        <v>24</v>
      </c>
      <c r="AJ340" s="307">
        <f t="shared" si="354"/>
        <v>36</v>
      </c>
      <c r="AK340" s="307">
        <f t="shared" si="354"/>
        <v>48</v>
      </c>
      <c r="AL340" s="307">
        <f t="shared" si="354"/>
        <v>60</v>
      </c>
      <c r="AM340" s="307">
        <f t="shared" si="354"/>
        <v>72</v>
      </c>
      <c r="AN340" s="307">
        <f t="shared" si="354"/>
        <v>84</v>
      </c>
      <c r="AO340" s="307">
        <f t="shared" si="354"/>
        <v>96</v>
      </c>
      <c r="AP340" s="307">
        <f t="shared" si="354"/>
        <v>108</v>
      </c>
      <c r="AR340" s="308">
        <v>0</v>
      </c>
      <c r="AS340" s="308">
        <f t="shared" si="347"/>
        <v>0</v>
      </c>
      <c r="AT340" s="308">
        <v>0</v>
      </c>
      <c r="AU340" s="308">
        <f t="shared" si="348"/>
        <v>0</v>
      </c>
      <c r="AV340" s="308">
        <v>0</v>
      </c>
      <c r="AW340" s="308">
        <f t="shared" si="349"/>
        <v>0</v>
      </c>
      <c r="AX340" s="309">
        <v>0</v>
      </c>
      <c r="AY340" s="308">
        <f t="shared" si="350"/>
        <v>0</v>
      </c>
      <c r="AZ340" s="309">
        <v>0</v>
      </c>
      <c r="BA340" s="308">
        <f t="shared" si="351"/>
        <v>0</v>
      </c>
      <c r="BB340" s="331">
        <v>0</v>
      </c>
      <c r="BC340" s="308">
        <f t="shared" si="352"/>
        <v>0</v>
      </c>
    </row>
    <row r="341" spans="1:55">
      <c r="A341" s="334"/>
      <c r="B341" s="334"/>
      <c r="C341" s="334"/>
      <c r="D341" s="334"/>
      <c r="E341" s="334"/>
      <c r="F341" s="334"/>
      <c r="G341" s="334"/>
      <c r="H341" s="334"/>
      <c r="I341" s="334"/>
      <c r="J341" s="334"/>
      <c r="K341" s="334"/>
      <c r="L341" s="334"/>
      <c r="M341" s="334"/>
      <c r="N341" s="334"/>
      <c r="O341" s="334"/>
      <c r="P341" s="334"/>
      <c r="Q341" s="334"/>
      <c r="R341" s="334"/>
      <c r="S341" s="334"/>
      <c r="T341" s="334"/>
      <c r="U341" s="334"/>
      <c r="V341" s="334"/>
      <c r="W341" s="334"/>
      <c r="X341" s="334"/>
      <c r="Y341" s="334"/>
      <c r="Z341" s="334"/>
      <c r="AA341" s="334"/>
      <c r="AB341" s="334"/>
      <c r="AC341" s="334"/>
      <c r="AD341" s="334"/>
      <c r="AE341" s="334"/>
      <c r="AF341" s="334"/>
      <c r="AG341" s="334"/>
      <c r="AH341" s="334"/>
      <c r="AI341" s="334"/>
      <c r="AJ341" s="334"/>
      <c r="AK341" s="334"/>
      <c r="AL341" s="334"/>
      <c r="AM341" s="334"/>
      <c r="AN341" s="334"/>
      <c r="AO341" s="334"/>
      <c r="AP341" s="334"/>
      <c r="AT341" s="309"/>
    </row>
    <row r="342" spans="1:55" ht="12" thickBot="1">
      <c r="A342" s="300" t="s">
        <v>453</v>
      </c>
      <c r="AT342" s="309"/>
    </row>
    <row r="343" spans="1:55" ht="12" thickBot="1">
      <c r="A343" s="328"/>
      <c r="B343" s="329">
        <f t="shared" ref="B343:AP343" si="355">B2</f>
        <v>2010</v>
      </c>
      <c r="C343" s="329">
        <f t="shared" si="355"/>
        <v>2011</v>
      </c>
      <c r="D343" s="329">
        <f t="shared" si="355"/>
        <v>2012</v>
      </c>
      <c r="E343" s="329">
        <f t="shared" si="355"/>
        <v>2013</v>
      </c>
      <c r="F343" s="329">
        <f t="shared" si="355"/>
        <v>2014</v>
      </c>
      <c r="G343" s="329">
        <f t="shared" si="355"/>
        <v>2015</v>
      </c>
      <c r="H343" s="329">
        <f t="shared" si="355"/>
        <v>2016</v>
      </c>
      <c r="I343" s="329">
        <f t="shared" si="355"/>
        <v>2017</v>
      </c>
      <c r="J343" s="329">
        <f t="shared" si="355"/>
        <v>2018</v>
      </c>
      <c r="K343" s="329">
        <f t="shared" si="355"/>
        <v>2019</v>
      </c>
      <c r="L343" s="329">
        <f t="shared" si="355"/>
        <v>2020</v>
      </c>
      <c r="M343" s="329">
        <f t="shared" si="355"/>
        <v>2021</v>
      </c>
      <c r="N343" s="329">
        <f t="shared" si="355"/>
        <v>2022</v>
      </c>
      <c r="O343" s="329">
        <f t="shared" si="355"/>
        <v>2023</v>
      </c>
      <c r="P343" s="329">
        <f t="shared" si="355"/>
        <v>2024</v>
      </c>
      <c r="Q343" s="329">
        <f t="shared" si="355"/>
        <v>2025</v>
      </c>
      <c r="R343" s="329">
        <f t="shared" si="355"/>
        <v>2026</v>
      </c>
      <c r="S343" s="329">
        <f t="shared" si="355"/>
        <v>2027</v>
      </c>
      <c r="T343" s="329">
        <f t="shared" si="355"/>
        <v>2028</v>
      </c>
      <c r="U343" s="329">
        <f t="shared" si="355"/>
        <v>2029</v>
      </c>
      <c r="V343" s="329">
        <f t="shared" si="355"/>
        <v>2030</v>
      </c>
      <c r="W343" s="329">
        <f t="shared" si="355"/>
        <v>2031</v>
      </c>
      <c r="X343" s="329">
        <f t="shared" si="355"/>
        <v>2032</v>
      </c>
      <c r="Y343" s="329">
        <f t="shared" si="355"/>
        <v>2033</v>
      </c>
      <c r="Z343" s="329">
        <f t="shared" si="355"/>
        <v>2034</v>
      </c>
      <c r="AA343" s="329">
        <f t="shared" si="355"/>
        <v>2035</v>
      </c>
      <c r="AB343" s="329">
        <f t="shared" si="355"/>
        <v>2036</v>
      </c>
      <c r="AC343" s="329">
        <f t="shared" si="355"/>
        <v>2037</v>
      </c>
      <c r="AD343" s="329">
        <f t="shared" si="355"/>
        <v>2038</v>
      </c>
      <c r="AE343" s="329">
        <f t="shared" si="355"/>
        <v>2039</v>
      </c>
      <c r="AF343" s="329">
        <f t="shared" si="355"/>
        <v>2040</v>
      </c>
      <c r="AG343" s="329">
        <f t="shared" si="355"/>
        <v>2041</v>
      </c>
      <c r="AH343" s="329">
        <f t="shared" si="355"/>
        <v>2042</v>
      </c>
      <c r="AI343" s="329">
        <f t="shared" si="355"/>
        <v>2043</v>
      </c>
      <c r="AJ343" s="329">
        <f t="shared" si="355"/>
        <v>2044</v>
      </c>
      <c r="AK343" s="329">
        <f t="shared" si="355"/>
        <v>2045</v>
      </c>
      <c r="AL343" s="329">
        <f t="shared" si="355"/>
        <v>2046</v>
      </c>
      <c r="AM343" s="329">
        <f t="shared" si="355"/>
        <v>2047</v>
      </c>
      <c r="AN343" s="329">
        <f t="shared" si="355"/>
        <v>2048</v>
      </c>
      <c r="AO343" s="329">
        <f t="shared" si="355"/>
        <v>2049</v>
      </c>
      <c r="AP343" s="329">
        <f t="shared" si="355"/>
        <v>2050</v>
      </c>
      <c r="AT343" s="309"/>
    </row>
    <row r="344" spans="1:55">
      <c r="A344" s="301" t="s">
        <v>43</v>
      </c>
      <c r="B344" s="308">
        <f t="shared" ref="B344:AP350" si="356">B360+B376</f>
        <v>0</v>
      </c>
      <c r="C344" s="308">
        <f t="shared" si="356"/>
        <v>0</v>
      </c>
      <c r="D344" s="308">
        <f t="shared" si="356"/>
        <v>0</v>
      </c>
      <c r="E344" s="308">
        <f t="shared" si="356"/>
        <v>0</v>
      </c>
      <c r="F344" s="308">
        <f t="shared" si="356"/>
        <v>0</v>
      </c>
      <c r="G344" s="308">
        <f t="shared" si="356"/>
        <v>0</v>
      </c>
      <c r="H344" s="308">
        <f t="shared" si="356"/>
        <v>0</v>
      </c>
      <c r="I344" s="308">
        <f t="shared" si="356"/>
        <v>0</v>
      </c>
      <c r="J344" s="308">
        <f t="shared" si="356"/>
        <v>0</v>
      </c>
      <c r="K344" s="308">
        <f t="shared" si="356"/>
        <v>21965</v>
      </c>
      <c r="L344" s="308">
        <f t="shared" si="356"/>
        <v>0</v>
      </c>
      <c r="M344" s="308">
        <f t="shared" si="356"/>
        <v>49137</v>
      </c>
      <c r="N344" s="308">
        <f t="shared" si="356"/>
        <v>41162</v>
      </c>
      <c r="O344" s="308">
        <f t="shared" si="356"/>
        <v>45290</v>
      </c>
      <c r="P344" s="308">
        <f t="shared" si="356"/>
        <v>0</v>
      </c>
      <c r="Q344" s="308">
        <f t="shared" si="356"/>
        <v>14085</v>
      </c>
      <c r="R344" s="307">
        <f t="shared" si="356"/>
        <v>8883086.4957064036</v>
      </c>
      <c r="S344" s="307">
        <f t="shared" si="356"/>
        <v>-4133845.4466777612</v>
      </c>
      <c r="T344" s="307">
        <f t="shared" si="356"/>
        <v>-9463986.716442503</v>
      </c>
      <c r="U344" s="307">
        <f t="shared" si="356"/>
        <v>3247602.6636534818</v>
      </c>
      <c r="V344" s="307">
        <f t="shared" si="356"/>
        <v>2514903.720464156</v>
      </c>
      <c r="W344" s="307">
        <f t="shared" si="356"/>
        <v>60125.662379075489</v>
      </c>
      <c r="X344" s="307">
        <f t="shared" si="356"/>
        <v>90232919.399953753</v>
      </c>
      <c r="Y344" s="307">
        <f t="shared" si="356"/>
        <v>127170200.71326303</v>
      </c>
      <c r="Z344" s="307">
        <f t="shared" si="356"/>
        <v>209771052.81343284</v>
      </c>
      <c r="AA344" s="307">
        <f t="shared" si="356"/>
        <v>172124763.96745175</v>
      </c>
      <c r="AB344" s="307">
        <f t="shared" si="356"/>
        <v>-63595509.548057802</v>
      </c>
      <c r="AC344" s="307">
        <f t="shared" si="356"/>
        <v>-83358659.179725155</v>
      </c>
      <c r="AD344" s="307">
        <f t="shared" si="356"/>
        <v>-139034078.83426061</v>
      </c>
      <c r="AE344" s="307">
        <f t="shared" si="356"/>
        <v>-163847929.40120336</v>
      </c>
      <c r="AF344" s="307">
        <f t="shared" si="356"/>
        <v>-132233550.06351328</v>
      </c>
      <c r="AG344" s="307">
        <f t="shared" si="356"/>
        <v>-134868951.46024492</v>
      </c>
      <c r="AH344" s="307">
        <f t="shared" si="356"/>
        <v>-224059592.6121096</v>
      </c>
      <c r="AI344" s="307">
        <f t="shared" si="356"/>
        <v>-237771957.60942167</v>
      </c>
      <c r="AJ344" s="307">
        <f t="shared" si="356"/>
        <v>-400904584.3480553</v>
      </c>
      <c r="AK344" s="307">
        <f t="shared" si="356"/>
        <v>-619669169.17468834</v>
      </c>
      <c r="AL344" s="307">
        <f t="shared" si="356"/>
        <v>-800792853.0128268</v>
      </c>
      <c r="AM344" s="307">
        <f t="shared" si="356"/>
        <v>-1021450889.5605119</v>
      </c>
      <c r="AN344" s="307">
        <f t="shared" si="356"/>
        <v>-1103132121.9786558</v>
      </c>
      <c r="AO344" s="307">
        <f t="shared" si="356"/>
        <v>-1174802564.5990872</v>
      </c>
      <c r="AP344" s="307">
        <f t="shared" si="356"/>
        <v>-1182606483.9783883</v>
      </c>
      <c r="AR344" s="308">
        <v>187.28683969975876</v>
      </c>
      <c r="AS344" s="308">
        <f t="shared" ref="AS344:AS356" si="357">L344-AR344</f>
        <v>-187.28683969975876</v>
      </c>
      <c r="AT344" s="308">
        <v>352.34837814023842</v>
      </c>
      <c r="AU344" s="308">
        <f t="shared" ref="AU344:AU356" si="358">M344-AT344</f>
        <v>48784.651621859761</v>
      </c>
      <c r="AV344" s="308">
        <v>758.9316150018434</v>
      </c>
      <c r="AW344" s="308">
        <f t="shared" ref="AW344:AW356" si="359">N344-AV344</f>
        <v>40403.068384998158</v>
      </c>
      <c r="AX344" s="308">
        <v>23618.297321084639</v>
      </c>
      <c r="AY344" s="308">
        <f t="shared" ref="AY344:AY356" si="360">O344-AX344</f>
        <v>21671.702678915361</v>
      </c>
      <c r="AZ344" s="308">
        <v>0</v>
      </c>
      <c r="BA344" s="308">
        <f t="shared" ref="BA344:BA356" si="361">P344-AZ344</f>
        <v>0</v>
      </c>
      <c r="BB344" s="331">
        <v>14085</v>
      </c>
      <c r="BC344" s="308">
        <f t="shared" ref="BC344:BC356" si="362">Q344-BB344</f>
        <v>0</v>
      </c>
    </row>
    <row r="345" spans="1:55">
      <c r="A345" s="301" t="s">
        <v>44</v>
      </c>
      <c r="B345" s="308">
        <f t="shared" si="356"/>
        <v>0</v>
      </c>
      <c r="C345" s="308">
        <f t="shared" si="356"/>
        <v>0</v>
      </c>
      <c r="D345" s="308">
        <f t="shared" si="356"/>
        <v>0</v>
      </c>
      <c r="E345" s="308">
        <f t="shared" si="356"/>
        <v>0</v>
      </c>
      <c r="F345" s="308">
        <f t="shared" si="356"/>
        <v>0</v>
      </c>
      <c r="G345" s="308">
        <f t="shared" si="356"/>
        <v>189</v>
      </c>
      <c r="H345" s="308">
        <f t="shared" si="356"/>
        <v>0</v>
      </c>
      <c r="I345" s="308">
        <f t="shared" si="356"/>
        <v>0</v>
      </c>
      <c r="J345" s="308">
        <f t="shared" si="356"/>
        <v>54262</v>
      </c>
      <c r="K345" s="308">
        <f t="shared" si="356"/>
        <v>10402</v>
      </c>
      <c r="L345" s="308">
        <f t="shared" si="356"/>
        <v>0</v>
      </c>
      <c r="M345" s="308">
        <f t="shared" si="356"/>
        <v>6860</v>
      </c>
      <c r="N345" s="308">
        <f t="shared" si="356"/>
        <v>136915</v>
      </c>
      <c r="O345" s="308">
        <f t="shared" si="356"/>
        <v>81116</v>
      </c>
      <c r="P345" s="308">
        <f t="shared" si="356"/>
        <v>65859</v>
      </c>
      <c r="Q345" s="332">
        <f t="shared" si="356"/>
        <v>0</v>
      </c>
      <c r="R345" s="307">
        <f t="shared" si="356"/>
        <v>17255885.448552433</v>
      </c>
      <c r="S345" s="307">
        <f t="shared" si="356"/>
        <v>-8070988.3832957186</v>
      </c>
      <c r="T345" s="307">
        <f t="shared" si="356"/>
        <v>-18366347.482238825</v>
      </c>
      <c r="U345" s="307">
        <f t="shared" si="356"/>
        <v>6297799.6203361154</v>
      </c>
      <c r="V345" s="307">
        <f t="shared" si="356"/>
        <v>4990925.4126378093</v>
      </c>
      <c r="W345" s="307">
        <f t="shared" si="356"/>
        <v>120925.78017213516</v>
      </c>
      <c r="X345" s="307">
        <f t="shared" si="356"/>
        <v>174399613.35540661</v>
      </c>
      <c r="Y345" s="307">
        <f t="shared" si="356"/>
        <v>245910203.71795461</v>
      </c>
      <c r="Z345" s="307">
        <f t="shared" si="356"/>
        <v>405698027.32174098</v>
      </c>
      <c r="AA345" s="307">
        <f t="shared" si="356"/>
        <v>332883180.84822124</v>
      </c>
      <c r="AB345" s="307">
        <f t="shared" si="356"/>
        <v>-122977961.29625048</v>
      </c>
      <c r="AC345" s="307">
        <f t="shared" si="356"/>
        <v>-161194272.10908744</v>
      </c>
      <c r="AD345" s="307">
        <f t="shared" si="356"/>
        <v>-268889936.08467561</v>
      </c>
      <c r="AE345" s="307">
        <f t="shared" si="356"/>
        <v>-316939638.86053598</v>
      </c>
      <c r="AF345" s="307">
        <f t="shared" si="356"/>
        <v>-255751472.91821983</v>
      </c>
      <c r="AG345" s="307">
        <f t="shared" si="356"/>
        <v>-260843602.74704495</v>
      </c>
      <c r="AH345" s="307">
        <f t="shared" si="356"/>
        <v>-433349508.34689981</v>
      </c>
      <c r="AI345" s="307">
        <f t="shared" si="356"/>
        <v>-459878773.90025735</v>
      </c>
      <c r="AJ345" s="307">
        <f t="shared" si="356"/>
        <v>-775404540.08700883</v>
      </c>
      <c r="AK345" s="307">
        <f t="shared" si="356"/>
        <v>-1198505974.8822248</v>
      </c>
      <c r="AL345" s="307">
        <f t="shared" si="356"/>
        <v>-1548819529.0191305</v>
      </c>
      <c r="AM345" s="307">
        <f t="shared" si="356"/>
        <v>-1975599247.5931613</v>
      </c>
      <c r="AN345" s="307">
        <f t="shared" si="356"/>
        <v>-2133582161.8681655</v>
      </c>
      <c r="AO345" s="307">
        <f t="shared" si="356"/>
        <v>-2272200614.8371515</v>
      </c>
      <c r="AP345" s="307">
        <f t="shared" si="356"/>
        <v>-2287291800.9091859</v>
      </c>
      <c r="AR345" s="308">
        <v>2687.2300345918111</v>
      </c>
      <c r="AS345" s="308">
        <f t="shared" si="357"/>
        <v>-2687.2300345918111</v>
      </c>
      <c r="AT345" s="308">
        <v>1037.2982255433815</v>
      </c>
      <c r="AU345" s="308">
        <f t="shared" si="358"/>
        <v>5822.7017744566183</v>
      </c>
      <c r="AV345" s="308">
        <v>26016.12992965903</v>
      </c>
      <c r="AW345" s="308">
        <f t="shared" si="359"/>
        <v>110898.87007034097</v>
      </c>
      <c r="AX345" s="308">
        <v>52514.552170337847</v>
      </c>
      <c r="AY345" s="308">
        <f t="shared" si="360"/>
        <v>28601.447829662153</v>
      </c>
      <c r="AZ345" s="308">
        <v>65859</v>
      </c>
      <c r="BA345" s="308">
        <f t="shared" si="361"/>
        <v>0</v>
      </c>
      <c r="BB345" s="331">
        <v>0</v>
      </c>
      <c r="BC345" s="308">
        <f t="shared" si="362"/>
        <v>0</v>
      </c>
    </row>
    <row r="346" spans="1:55">
      <c r="A346" s="301" t="s">
        <v>45</v>
      </c>
      <c r="B346" s="308">
        <f t="shared" si="356"/>
        <v>0</v>
      </c>
      <c r="C346" s="308">
        <f t="shared" si="356"/>
        <v>0</v>
      </c>
      <c r="D346" s="308">
        <f t="shared" si="356"/>
        <v>0</v>
      </c>
      <c r="E346" s="308">
        <f t="shared" si="356"/>
        <v>0</v>
      </c>
      <c r="F346" s="308">
        <f t="shared" si="356"/>
        <v>0</v>
      </c>
      <c r="G346" s="308">
        <f t="shared" si="356"/>
        <v>0</v>
      </c>
      <c r="H346" s="308">
        <f t="shared" si="356"/>
        <v>0</v>
      </c>
      <c r="I346" s="308">
        <f t="shared" si="356"/>
        <v>0</v>
      </c>
      <c r="J346" s="308">
        <f t="shared" si="356"/>
        <v>69321</v>
      </c>
      <c r="K346" s="308">
        <f t="shared" si="356"/>
        <v>10859</v>
      </c>
      <c r="L346" s="308">
        <f t="shared" si="356"/>
        <v>0</v>
      </c>
      <c r="M346" s="308">
        <f t="shared" si="356"/>
        <v>8056</v>
      </c>
      <c r="N346" s="308">
        <f t="shared" si="356"/>
        <v>173422</v>
      </c>
      <c r="O346" s="308">
        <f t="shared" si="356"/>
        <v>20698</v>
      </c>
      <c r="P346" s="308">
        <f t="shared" si="356"/>
        <v>62223</v>
      </c>
      <c r="Q346" s="332">
        <f t="shared" si="356"/>
        <v>0</v>
      </c>
      <c r="R346" s="307">
        <f t="shared" si="356"/>
        <v>15691965.113368237</v>
      </c>
      <c r="S346" s="307">
        <f t="shared" si="356"/>
        <v>-7338669.1804449027</v>
      </c>
      <c r="T346" s="307">
        <f t="shared" si="356"/>
        <v>-16603580.77587454</v>
      </c>
      <c r="U346" s="307">
        <f t="shared" si="356"/>
        <v>5656985.9712842284</v>
      </c>
      <c r="V346" s="307">
        <f t="shared" si="356"/>
        <v>4488394.1066032574</v>
      </c>
      <c r="W346" s="307">
        <f t="shared" si="356"/>
        <v>108749.88387657571</v>
      </c>
      <c r="X346" s="307">
        <f t="shared" si="356"/>
        <v>158853664.17320877</v>
      </c>
      <c r="Y346" s="307">
        <f t="shared" si="356"/>
        <v>223970908.51707301</v>
      </c>
      <c r="Z346" s="307">
        <f t="shared" si="356"/>
        <v>369386293.90242565</v>
      </c>
      <c r="AA346" s="307">
        <f t="shared" si="356"/>
        <v>303119585.77294689</v>
      </c>
      <c r="AB346" s="307">
        <f t="shared" si="356"/>
        <v>-111988285.58253326</v>
      </c>
      <c r="AC346" s="307">
        <f t="shared" si="356"/>
        <v>-146789686.52545506</v>
      </c>
      <c r="AD346" s="307">
        <f t="shared" si="356"/>
        <v>-244846634.45853135</v>
      </c>
      <c r="AE346" s="307">
        <f t="shared" si="356"/>
        <v>-288515777.6273694</v>
      </c>
      <c r="AF346" s="307">
        <f t="shared" si="356"/>
        <v>-232849473.24463752</v>
      </c>
      <c r="AG346" s="307">
        <f t="shared" si="356"/>
        <v>-237496129.60676199</v>
      </c>
      <c r="AH346" s="307">
        <f t="shared" si="356"/>
        <v>-394555355.51027107</v>
      </c>
      <c r="AI346" s="307">
        <f t="shared" si="356"/>
        <v>-418701956.0399552</v>
      </c>
      <c r="AJ346" s="307">
        <f t="shared" si="356"/>
        <v>-705961370.28248799</v>
      </c>
      <c r="AK346" s="307">
        <f t="shared" si="356"/>
        <v>-1091192678.2507203</v>
      </c>
      <c r="AL346" s="307">
        <f t="shared" si="356"/>
        <v>-1410140522.8250592</v>
      </c>
      <c r="AM346" s="307">
        <f t="shared" si="356"/>
        <v>-1798703404.3309159</v>
      </c>
      <c r="AN346" s="307">
        <f t="shared" si="356"/>
        <v>-1942537568.447413</v>
      </c>
      <c r="AO346" s="307">
        <f t="shared" si="356"/>
        <v>-2068743437.5916991</v>
      </c>
      <c r="AP346" s="307">
        <f t="shared" si="356"/>
        <v>-2082486328.835309</v>
      </c>
      <c r="AR346" s="308">
        <v>3300.1507339832733</v>
      </c>
      <c r="AS346" s="308">
        <f t="shared" si="357"/>
        <v>-3300.1507339832733</v>
      </c>
      <c r="AT346" s="308">
        <v>2121.710540779296</v>
      </c>
      <c r="AU346" s="308">
        <f t="shared" si="358"/>
        <v>5934.289459220704</v>
      </c>
      <c r="AV346" s="308">
        <v>32001.144733889763</v>
      </c>
      <c r="AW346" s="308">
        <f t="shared" si="359"/>
        <v>141420.85526611024</v>
      </c>
      <c r="AX346" s="308">
        <v>67280.107267237167</v>
      </c>
      <c r="AY346" s="308">
        <f t="shared" si="360"/>
        <v>-46582.107267237167</v>
      </c>
      <c r="AZ346" s="308">
        <v>62223</v>
      </c>
      <c r="BA346" s="308">
        <f t="shared" si="361"/>
        <v>0</v>
      </c>
      <c r="BB346" s="331">
        <v>40555.9550340715</v>
      </c>
      <c r="BC346" s="308">
        <f t="shared" si="362"/>
        <v>-40555.9550340715</v>
      </c>
    </row>
    <row r="347" spans="1:55">
      <c r="A347" s="301" t="s">
        <v>46</v>
      </c>
      <c r="B347" s="308">
        <f t="shared" si="356"/>
        <v>0</v>
      </c>
      <c r="C347" s="308">
        <f t="shared" si="356"/>
        <v>0</v>
      </c>
      <c r="D347" s="308">
        <f t="shared" si="356"/>
        <v>0</v>
      </c>
      <c r="E347" s="308">
        <f t="shared" si="356"/>
        <v>0</v>
      </c>
      <c r="F347" s="308">
        <f t="shared" si="356"/>
        <v>0</v>
      </c>
      <c r="G347" s="308">
        <f t="shared" si="356"/>
        <v>68</v>
      </c>
      <c r="H347" s="308">
        <f t="shared" si="356"/>
        <v>0</v>
      </c>
      <c r="I347" s="308">
        <f t="shared" si="356"/>
        <v>0</v>
      </c>
      <c r="J347" s="308">
        <f t="shared" si="356"/>
        <v>182174</v>
      </c>
      <c r="K347" s="308">
        <f t="shared" si="356"/>
        <v>6004</v>
      </c>
      <c r="L347" s="308">
        <f t="shared" si="356"/>
        <v>8244</v>
      </c>
      <c r="M347" s="308">
        <f t="shared" si="356"/>
        <v>10683</v>
      </c>
      <c r="N347" s="308">
        <f t="shared" si="356"/>
        <v>105556</v>
      </c>
      <c r="O347" s="308">
        <f t="shared" si="356"/>
        <v>586374</v>
      </c>
      <c r="P347" s="308">
        <f t="shared" si="356"/>
        <v>73154</v>
      </c>
      <c r="Q347" s="307">
        <f t="shared" si="356"/>
        <v>-757496.52427846345</v>
      </c>
      <c r="R347" s="307">
        <f t="shared" si="356"/>
        <v>1084344.7502713436</v>
      </c>
      <c r="S347" s="307">
        <f t="shared" si="356"/>
        <v>-502456.39330930612</v>
      </c>
      <c r="T347" s="307">
        <f t="shared" si="356"/>
        <v>-952417.66480099014</v>
      </c>
      <c r="U347" s="307">
        <f t="shared" si="356"/>
        <v>728792.14522887627</v>
      </c>
      <c r="V347" s="307">
        <f t="shared" si="356"/>
        <v>690980.18240996788</v>
      </c>
      <c r="W347" s="307">
        <f t="shared" si="356"/>
        <v>60210.724220085132</v>
      </c>
      <c r="X347" s="307">
        <f t="shared" si="356"/>
        <v>-291395.43357737106</v>
      </c>
      <c r="Y347" s="307">
        <f t="shared" si="356"/>
        <v>346844.18141895224</v>
      </c>
      <c r="Z347" s="307">
        <f t="shared" si="356"/>
        <v>1442885.2497087868</v>
      </c>
      <c r="AA347" s="307">
        <f t="shared" si="356"/>
        <v>900988.16028077248</v>
      </c>
      <c r="AB347" s="307">
        <f t="shared" si="356"/>
        <v>-260970.85479459338</v>
      </c>
      <c r="AC347" s="307">
        <f t="shared" si="356"/>
        <v>-332740.25958620961</v>
      </c>
      <c r="AD347" s="307">
        <f t="shared" si="356"/>
        <v>-805152.78590383183</v>
      </c>
      <c r="AE347" s="307">
        <f t="shared" si="356"/>
        <v>-1614448.7102607156</v>
      </c>
      <c r="AF347" s="307">
        <f t="shared" si="356"/>
        <v>-1005792.8766099123</v>
      </c>
      <c r="AG347" s="307">
        <f t="shared" si="356"/>
        <v>-931250.18823703006</v>
      </c>
      <c r="AH347" s="307">
        <f t="shared" si="356"/>
        <v>-1608192.6045249824</v>
      </c>
      <c r="AI347" s="307">
        <f t="shared" si="356"/>
        <v>-1786136.318417981</v>
      </c>
      <c r="AJ347" s="307">
        <f t="shared" si="356"/>
        <v>-3119027.2862946456</v>
      </c>
      <c r="AK347" s="307">
        <f t="shared" si="356"/>
        <v>-4634690.0611157175</v>
      </c>
      <c r="AL347" s="307">
        <f t="shared" si="356"/>
        <v>-5981059.9484495353</v>
      </c>
      <c r="AM347" s="307">
        <f t="shared" si="356"/>
        <v>-7663172.2624651939</v>
      </c>
      <c r="AN347" s="307">
        <f t="shared" si="356"/>
        <v>-8302018.2447822783</v>
      </c>
      <c r="AO347" s="307">
        <f t="shared" si="356"/>
        <v>-8842383.132257212</v>
      </c>
      <c r="AP347" s="307">
        <f t="shared" si="356"/>
        <v>-8875679.0041939076</v>
      </c>
      <c r="AR347" s="308">
        <v>1.0011414447080215E-2</v>
      </c>
      <c r="AS347" s="308">
        <f t="shared" si="357"/>
        <v>8243.9899885855521</v>
      </c>
      <c r="AT347" s="308">
        <v>5148.2206608619663</v>
      </c>
      <c r="AU347" s="308">
        <f t="shared" si="358"/>
        <v>5534.7793391380337</v>
      </c>
      <c r="AV347" s="308">
        <v>475755.69790380506</v>
      </c>
      <c r="AW347" s="308">
        <f t="shared" si="359"/>
        <v>-370199.69790380506</v>
      </c>
      <c r="AX347" s="308">
        <v>78212.780810074735</v>
      </c>
      <c r="AY347" s="308">
        <f t="shared" si="360"/>
        <v>508161.21918992524</v>
      </c>
      <c r="AZ347" s="308">
        <v>73154</v>
      </c>
      <c r="BA347" s="308">
        <f t="shared" si="361"/>
        <v>0</v>
      </c>
      <c r="BB347" s="331">
        <v>120258.83177401364</v>
      </c>
      <c r="BC347" s="308">
        <f t="shared" si="362"/>
        <v>-877755.35605247715</v>
      </c>
    </row>
    <row r="348" spans="1:55">
      <c r="A348" s="301" t="s">
        <v>47</v>
      </c>
      <c r="B348" s="308">
        <f t="shared" si="356"/>
        <v>0</v>
      </c>
      <c r="C348" s="308">
        <f t="shared" si="356"/>
        <v>0</v>
      </c>
      <c r="D348" s="308">
        <f t="shared" si="356"/>
        <v>0</v>
      </c>
      <c r="E348" s="308">
        <f t="shared" si="356"/>
        <v>0</v>
      </c>
      <c r="F348" s="308">
        <f t="shared" si="356"/>
        <v>0</v>
      </c>
      <c r="G348" s="308">
        <f t="shared" si="356"/>
        <v>1429</v>
      </c>
      <c r="H348" s="308">
        <f t="shared" si="356"/>
        <v>0</v>
      </c>
      <c r="I348" s="308">
        <f t="shared" si="356"/>
        <v>0</v>
      </c>
      <c r="J348" s="308">
        <f t="shared" si="356"/>
        <v>225406</v>
      </c>
      <c r="K348" s="308">
        <f t="shared" si="356"/>
        <v>9006</v>
      </c>
      <c r="L348" s="308">
        <f t="shared" si="356"/>
        <v>7740</v>
      </c>
      <c r="M348" s="308">
        <f t="shared" si="356"/>
        <v>10694</v>
      </c>
      <c r="N348" s="308">
        <f t="shared" si="356"/>
        <v>73892</v>
      </c>
      <c r="O348" s="308">
        <f t="shared" si="356"/>
        <v>84107</v>
      </c>
      <c r="P348" s="308">
        <f t="shared" si="356"/>
        <v>54250</v>
      </c>
      <c r="Q348" s="307">
        <f t="shared" si="356"/>
        <v>-222881.52935370646</v>
      </c>
      <c r="R348" s="307">
        <f t="shared" si="356"/>
        <v>3648.2559961818029</v>
      </c>
      <c r="S348" s="307">
        <f t="shared" si="356"/>
        <v>3213.8375602177694</v>
      </c>
      <c r="T348" s="307">
        <f t="shared" si="356"/>
        <v>152849.85394098016</v>
      </c>
      <c r="U348" s="307">
        <f t="shared" si="356"/>
        <v>6162.3801088408945</v>
      </c>
      <c r="V348" s="307">
        <f t="shared" si="356"/>
        <v>98666.13954637789</v>
      </c>
      <c r="W348" s="307">
        <f t="shared" si="356"/>
        <v>15180.632906011968</v>
      </c>
      <c r="X348" s="307">
        <f t="shared" si="356"/>
        <v>-3203886.4997881087</v>
      </c>
      <c r="Y348" s="307">
        <f t="shared" si="356"/>
        <v>-4304568.8778053522</v>
      </c>
      <c r="Z348" s="307">
        <f t="shared" si="356"/>
        <v>-6943115.3363144919</v>
      </c>
      <c r="AA348" s="307">
        <f t="shared" si="356"/>
        <v>-5742599.0228510713</v>
      </c>
      <c r="AB348" s="307">
        <f t="shared" si="356"/>
        <v>2141109.0186082036</v>
      </c>
      <c r="AC348" s="307">
        <f t="shared" si="356"/>
        <v>2809164.285191562</v>
      </c>
      <c r="AD348" s="307">
        <f t="shared" si="356"/>
        <v>4622802.8602672117</v>
      </c>
      <c r="AE348" s="307">
        <f t="shared" si="356"/>
        <v>5317612.857837012</v>
      </c>
      <c r="AF348" s="307">
        <f t="shared" si="356"/>
        <v>4355904.5839200169</v>
      </c>
      <c r="AG348" s="307">
        <f t="shared" si="356"/>
        <v>4459548.0202316036</v>
      </c>
      <c r="AH348" s="307">
        <f t="shared" si="356"/>
        <v>7395581.1438858807</v>
      </c>
      <c r="AI348" s="307">
        <f t="shared" si="356"/>
        <v>7830901.7286555218</v>
      </c>
      <c r="AJ348" s="307">
        <f t="shared" si="356"/>
        <v>13183932.662469413</v>
      </c>
      <c r="AK348" s="307">
        <f t="shared" si="356"/>
        <v>20416829.487583108</v>
      </c>
      <c r="AL348" s="307">
        <f t="shared" si="356"/>
        <v>26384939.283703655</v>
      </c>
      <c r="AM348" s="307">
        <f t="shared" si="356"/>
        <v>33648219.423308656</v>
      </c>
      <c r="AN348" s="307">
        <f t="shared" si="356"/>
        <v>36333664.945369132</v>
      </c>
      <c r="AO348" s="307">
        <f t="shared" si="356"/>
        <v>38694425.396629423</v>
      </c>
      <c r="AP348" s="307">
        <f t="shared" si="356"/>
        <v>38956635.773387991</v>
      </c>
      <c r="AR348" s="308">
        <v>2809.2077967177443</v>
      </c>
      <c r="AS348" s="308">
        <f t="shared" si="357"/>
        <v>4930.7922032822553</v>
      </c>
      <c r="AT348" s="308">
        <v>6346.8250950814463</v>
      </c>
      <c r="AU348" s="308">
        <f t="shared" si="358"/>
        <v>4347.1749049185537</v>
      </c>
      <c r="AV348" s="308">
        <v>103525.87576451921</v>
      </c>
      <c r="AW348" s="308">
        <f t="shared" si="359"/>
        <v>-29633.875764519209</v>
      </c>
      <c r="AX348" s="308">
        <v>81734.170799435145</v>
      </c>
      <c r="AY348" s="308">
        <f t="shared" si="360"/>
        <v>2372.8292005648545</v>
      </c>
      <c r="AZ348" s="308">
        <v>54250</v>
      </c>
      <c r="BA348" s="308">
        <f t="shared" si="361"/>
        <v>0</v>
      </c>
      <c r="BB348" s="331">
        <v>35384.284264027912</v>
      </c>
      <c r="BC348" s="308">
        <f t="shared" si="362"/>
        <v>-258265.81361773435</v>
      </c>
    </row>
    <row r="349" spans="1:55">
      <c r="A349" s="301" t="s">
        <v>48</v>
      </c>
      <c r="B349" s="308">
        <f t="shared" si="356"/>
        <v>0</v>
      </c>
      <c r="C349" s="308">
        <f t="shared" si="356"/>
        <v>0</v>
      </c>
      <c r="D349" s="308">
        <f t="shared" si="356"/>
        <v>0</v>
      </c>
      <c r="E349" s="308">
        <f t="shared" si="356"/>
        <v>0</v>
      </c>
      <c r="F349" s="308">
        <f t="shared" si="356"/>
        <v>0</v>
      </c>
      <c r="G349" s="308">
        <f t="shared" si="356"/>
        <v>0</v>
      </c>
      <c r="H349" s="308">
        <f t="shared" si="356"/>
        <v>0</v>
      </c>
      <c r="I349" s="308">
        <f t="shared" si="356"/>
        <v>11985</v>
      </c>
      <c r="J349" s="308">
        <f t="shared" si="356"/>
        <v>356242</v>
      </c>
      <c r="K349" s="308">
        <f t="shared" si="356"/>
        <v>15538</v>
      </c>
      <c r="L349" s="308">
        <f t="shared" si="356"/>
        <v>8314</v>
      </c>
      <c r="M349" s="308">
        <f t="shared" si="356"/>
        <v>244138</v>
      </c>
      <c r="N349" s="308">
        <f t="shared" si="356"/>
        <v>71031</v>
      </c>
      <c r="O349" s="308">
        <f t="shared" si="356"/>
        <v>122158</v>
      </c>
      <c r="P349" s="308">
        <f t="shared" si="356"/>
        <v>113403</v>
      </c>
      <c r="Q349" s="307">
        <f t="shared" si="356"/>
        <v>-540137.68546452699</v>
      </c>
      <c r="R349" s="307">
        <f t="shared" si="356"/>
        <v>628649.23906847509</v>
      </c>
      <c r="S349" s="307">
        <f t="shared" si="356"/>
        <v>-181808.26776773258</v>
      </c>
      <c r="T349" s="307">
        <f t="shared" si="356"/>
        <v>-279994.76307743427</v>
      </c>
      <c r="U349" s="307">
        <f t="shared" si="356"/>
        <v>179552.31629297262</v>
      </c>
      <c r="V349" s="307">
        <f t="shared" si="356"/>
        <v>335317.19684102666</v>
      </c>
      <c r="W349" s="307">
        <f t="shared" si="356"/>
        <v>39120.200487937989</v>
      </c>
      <c r="X349" s="307">
        <f t="shared" si="356"/>
        <v>-1069846.871074196</v>
      </c>
      <c r="Y349" s="307">
        <f t="shared" si="356"/>
        <v>-1168804.9383027658</v>
      </c>
      <c r="Z349" s="307">
        <f t="shared" si="356"/>
        <v>-1583120.8453430135</v>
      </c>
      <c r="AA349" s="307">
        <f t="shared" si="356"/>
        <v>-1380739.660030301</v>
      </c>
      <c r="AB349" s="307">
        <f t="shared" si="356"/>
        <v>547866.16740610835</v>
      </c>
      <c r="AC349" s="307">
        <f t="shared" si="356"/>
        <v>724290.79597440583</v>
      </c>
      <c r="AD349" s="307">
        <f t="shared" si="356"/>
        <v>1098301.9829657299</v>
      </c>
      <c r="AE349" s="307">
        <f t="shared" si="356"/>
        <v>1013763.7471363528</v>
      </c>
      <c r="AF349" s="307">
        <f t="shared" si="356"/>
        <v>953967.54187205434</v>
      </c>
      <c r="AG349" s="307">
        <f t="shared" si="356"/>
        <v>1005183.9858877526</v>
      </c>
      <c r="AH349" s="307">
        <f t="shared" si="356"/>
        <v>1644586.8450046617</v>
      </c>
      <c r="AI349" s="307">
        <f t="shared" si="356"/>
        <v>1711564.794438818</v>
      </c>
      <c r="AJ349" s="307">
        <f t="shared" si="356"/>
        <v>2842073.4223891306</v>
      </c>
      <c r="AK349" s="307">
        <f t="shared" si="356"/>
        <v>4473979.3917794144</v>
      </c>
      <c r="AL349" s="307">
        <f t="shared" si="356"/>
        <v>5782055.3156727776</v>
      </c>
      <c r="AM349" s="307">
        <f t="shared" si="356"/>
        <v>7361261.3205099674</v>
      </c>
      <c r="AN349" s="307">
        <f t="shared" si="356"/>
        <v>7939217.5125074694</v>
      </c>
      <c r="AO349" s="307">
        <f t="shared" si="356"/>
        <v>8454931.2647419516</v>
      </c>
      <c r="AP349" s="307">
        <f t="shared" si="356"/>
        <v>8521918.2014232688</v>
      </c>
      <c r="AR349" s="308">
        <v>125683.95293391107</v>
      </c>
      <c r="AS349" s="308">
        <f t="shared" si="357"/>
        <v>-117369.95293391107</v>
      </c>
      <c r="AT349" s="308">
        <v>10276.424875509756</v>
      </c>
      <c r="AU349" s="308">
        <f t="shared" si="358"/>
        <v>233861.57512449025</v>
      </c>
      <c r="AV349" s="308">
        <v>197940.13564527515</v>
      </c>
      <c r="AW349" s="308">
        <f t="shared" si="359"/>
        <v>-126909.13564527515</v>
      </c>
      <c r="AX349" s="308">
        <v>252391.08598598751</v>
      </c>
      <c r="AY349" s="308">
        <f t="shared" si="360"/>
        <v>-130233.08598598751</v>
      </c>
      <c r="AZ349" s="308">
        <v>113403</v>
      </c>
      <c r="BA349" s="308">
        <f t="shared" si="361"/>
        <v>0</v>
      </c>
      <c r="BB349" s="331">
        <v>85751.320262434689</v>
      </c>
      <c r="BC349" s="308">
        <f t="shared" si="362"/>
        <v>-625889.00572696165</v>
      </c>
    </row>
    <row r="350" spans="1:55">
      <c r="A350" s="301" t="s">
        <v>49</v>
      </c>
      <c r="B350" s="308">
        <f t="shared" si="356"/>
        <v>0</v>
      </c>
      <c r="C350" s="308">
        <f t="shared" si="356"/>
        <v>0</v>
      </c>
      <c r="D350" s="308">
        <f t="shared" si="356"/>
        <v>0</v>
      </c>
      <c r="E350" s="308">
        <f t="shared" si="356"/>
        <v>0</v>
      </c>
      <c r="F350" s="308">
        <f t="shared" si="356"/>
        <v>0</v>
      </c>
      <c r="G350" s="308">
        <f t="shared" si="356"/>
        <v>1868</v>
      </c>
      <c r="H350" s="308">
        <f t="shared" si="356"/>
        <v>0</v>
      </c>
      <c r="I350" s="308">
        <f t="shared" si="356"/>
        <v>0</v>
      </c>
      <c r="J350" s="308">
        <f t="shared" si="356"/>
        <v>109444</v>
      </c>
      <c r="K350" s="308">
        <f t="shared" ref="B350:AP355" si="363">K366+K382</f>
        <v>6532</v>
      </c>
      <c r="L350" s="308">
        <f t="shared" si="363"/>
        <v>10378</v>
      </c>
      <c r="M350" s="308">
        <f t="shared" si="363"/>
        <v>229115</v>
      </c>
      <c r="N350" s="308">
        <f t="shared" si="363"/>
        <v>51846</v>
      </c>
      <c r="O350" s="308">
        <f t="shared" si="363"/>
        <v>118176</v>
      </c>
      <c r="P350" s="308">
        <f t="shared" si="363"/>
        <v>106952</v>
      </c>
      <c r="Q350" s="307">
        <f t="shared" si="363"/>
        <v>-499000.59744636889</v>
      </c>
      <c r="R350" s="307">
        <f t="shared" si="363"/>
        <v>420693.59407974192</v>
      </c>
      <c r="S350" s="307">
        <f t="shared" si="363"/>
        <v>-91417.306149408891</v>
      </c>
      <c r="T350" s="307">
        <f t="shared" si="363"/>
        <v>-109041.72540206178</v>
      </c>
      <c r="U350" s="307">
        <f t="shared" si="363"/>
        <v>118703.25405982761</v>
      </c>
      <c r="V350" s="307">
        <f t="shared" si="363"/>
        <v>277031.25549466006</v>
      </c>
      <c r="W350" s="307">
        <f t="shared" si="363"/>
        <v>35347.334437688274</v>
      </c>
      <c r="X350" s="307">
        <f t="shared" si="363"/>
        <v>-2676428.8165729726</v>
      </c>
      <c r="Y350" s="307">
        <f t="shared" si="363"/>
        <v>-3457704.9648319781</v>
      </c>
      <c r="Z350" s="307">
        <f t="shared" si="363"/>
        <v>-5359306.4312078655</v>
      </c>
      <c r="AA350" s="307">
        <f t="shared" si="363"/>
        <v>-4478280.7795031397</v>
      </c>
      <c r="AB350" s="307">
        <f t="shared" si="363"/>
        <v>1690942.6526153346</v>
      </c>
      <c r="AC350" s="307">
        <f t="shared" si="363"/>
        <v>2222174.5720784129</v>
      </c>
      <c r="AD350" s="307">
        <f t="shared" si="363"/>
        <v>3602318.0577966305</v>
      </c>
      <c r="AE350" s="307">
        <f t="shared" si="363"/>
        <v>3967150.7503832816</v>
      </c>
      <c r="AF350" s="307">
        <f t="shared" si="363"/>
        <v>3335131.7448221813</v>
      </c>
      <c r="AG350" s="307">
        <f t="shared" si="363"/>
        <v>3433351.6534519782</v>
      </c>
      <c r="AH350" s="307">
        <f t="shared" si="363"/>
        <v>5679182.7572465297</v>
      </c>
      <c r="AI350" s="307">
        <f t="shared" si="363"/>
        <v>5994016.3925873768</v>
      </c>
      <c r="AJ350" s="307">
        <f t="shared" si="363"/>
        <v>10062707.569119742</v>
      </c>
      <c r="AK350" s="307">
        <f t="shared" si="363"/>
        <v>15633464.087268518</v>
      </c>
      <c r="AL350" s="307">
        <f t="shared" si="363"/>
        <v>20203455.551229924</v>
      </c>
      <c r="AM350" s="307">
        <f t="shared" si="363"/>
        <v>25756772.150192566</v>
      </c>
      <c r="AN350" s="307">
        <f t="shared" si="363"/>
        <v>27805934.281903911</v>
      </c>
      <c r="AO350" s="307">
        <f t="shared" si="363"/>
        <v>29612290.057053044</v>
      </c>
      <c r="AP350" s="307">
        <f t="shared" si="363"/>
        <v>29819662.764783669</v>
      </c>
      <c r="AR350" s="308">
        <v>8243.3868447115419</v>
      </c>
      <c r="AS350" s="308">
        <f t="shared" si="357"/>
        <v>2134.6131552884581</v>
      </c>
      <c r="AT350" s="308">
        <v>311130.24639510794</v>
      </c>
      <c r="AU350" s="308">
        <f t="shared" si="358"/>
        <v>-82015.246395107941</v>
      </c>
      <c r="AV350" s="308">
        <v>852111.37839410256</v>
      </c>
      <c r="AW350" s="308">
        <f t="shared" si="359"/>
        <v>-800265.37839410256</v>
      </c>
      <c r="AX350" s="308">
        <v>1464413.9290897062</v>
      </c>
      <c r="AY350" s="308">
        <f t="shared" si="360"/>
        <v>-1346237.9290897062</v>
      </c>
      <c r="AZ350" s="309">
        <v>106952</v>
      </c>
      <c r="BA350" s="308">
        <f t="shared" si="361"/>
        <v>0</v>
      </c>
      <c r="BB350" s="331">
        <v>79220.467659037313</v>
      </c>
      <c r="BC350" s="308">
        <f t="shared" si="362"/>
        <v>-578221.06510540622</v>
      </c>
    </row>
    <row r="351" spans="1:55">
      <c r="A351" s="301" t="s">
        <v>50</v>
      </c>
      <c r="B351" s="308">
        <f t="shared" si="363"/>
        <v>0</v>
      </c>
      <c r="C351" s="308">
        <f t="shared" si="363"/>
        <v>0</v>
      </c>
      <c r="D351" s="308">
        <f t="shared" si="363"/>
        <v>0</v>
      </c>
      <c r="E351" s="308">
        <f t="shared" si="363"/>
        <v>0</v>
      </c>
      <c r="F351" s="308">
        <f t="shared" si="363"/>
        <v>0</v>
      </c>
      <c r="G351" s="308">
        <f t="shared" si="363"/>
        <v>1429</v>
      </c>
      <c r="H351" s="308">
        <f t="shared" si="363"/>
        <v>0</v>
      </c>
      <c r="I351" s="308">
        <f t="shared" si="363"/>
        <v>10049</v>
      </c>
      <c r="J351" s="308">
        <f t="shared" si="363"/>
        <v>24246</v>
      </c>
      <c r="K351" s="308">
        <f t="shared" si="363"/>
        <v>2721</v>
      </c>
      <c r="L351" s="308">
        <f t="shared" si="363"/>
        <v>9452</v>
      </c>
      <c r="M351" s="308">
        <f t="shared" si="363"/>
        <v>149358</v>
      </c>
      <c r="N351" s="308">
        <f t="shared" si="363"/>
        <v>62165</v>
      </c>
      <c r="O351" s="308">
        <f t="shared" si="363"/>
        <v>137708</v>
      </c>
      <c r="P351" s="308">
        <f t="shared" si="363"/>
        <v>108995</v>
      </c>
      <c r="Q351" s="307">
        <f t="shared" si="363"/>
        <v>-451861.59311732004</v>
      </c>
      <c r="R351" s="307">
        <f t="shared" si="363"/>
        <v>377724.76737920596</v>
      </c>
      <c r="S351" s="307">
        <f t="shared" si="363"/>
        <v>-108012.36231455856</v>
      </c>
      <c r="T351" s="307">
        <f t="shared" si="363"/>
        <v>-127050.36387520372</v>
      </c>
      <c r="U351" s="307">
        <f t="shared" si="363"/>
        <v>138317.75618771309</v>
      </c>
      <c r="V351" s="307">
        <f t="shared" si="363"/>
        <v>295756.44107418717</v>
      </c>
      <c r="W351" s="307">
        <f t="shared" si="363"/>
        <v>33095.961513040056</v>
      </c>
      <c r="X351" s="307">
        <f t="shared" si="363"/>
        <v>-2693658.1621623351</v>
      </c>
      <c r="Y351" s="307">
        <f t="shared" si="363"/>
        <v>-3456456.1511778389</v>
      </c>
      <c r="Z351" s="307">
        <f t="shared" si="363"/>
        <v>-5340410.6239953777</v>
      </c>
      <c r="AA351" s="307">
        <f t="shared" si="363"/>
        <v>-4470514.9892098038</v>
      </c>
      <c r="AB351" s="307">
        <f t="shared" si="363"/>
        <v>1690048.2128168168</v>
      </c>
      <c r="AC351" s="307">
        <f t="shared" si="363"/>
        <v>2220651.7145408085</v>
      </c>
      <c r="AD351" s="307">
        <f t="shared" si="363"/>
        <v>3592529.8898336389</v>
      </c>
      <c r="AE351" s="307">
        <f t="shared" si="363"/>
        <v>3942453.9788092361</v>
      </c>
      <c r="AF351" s="307">
        <f t="shared" si="363"/>
        <v>3321258.2935083732</v>
      </c>
      <c r="AG351" s="307">
        <f t="shared" si="363"/>
        <v>3421586.6302812509</v>
      </c>
      <c r="AH351" s="307">
        <f t="shared" si="363"/>
        <v>5658041.5880290773</v>
      </c>
      <c r="AI351" s="307">
        <f t="shared" si="363"/>
        <v>5969682.1786774024</v>
      </c>
      <c r="AJ351" s="307">
        <f t="shared" si="363"/>
        <v>10019683.716397474</v>
      </c>
      <c r="AK351" s="307">
        <f t="shared" si="363"/>
        <v>15570864.33375073</v>
      </c>
      <c r="AL351" s="307">
        <f t="shared" si="363"/>
        <v>20122813.485214293</v>
      </c>
      <c r="AM351" s="307">
        <f t="shared" si="363"/>
        <v>25653096.476459116</v>
      </c>
      <c r="AN351" s="307">
        <f t="shared" si="363"/>
        <v>27693394.954451323</v>
      </c>
      <c r="AO351" s="307">
        <f t="shared" si="363"/>
        <v>29492462.037659425</v>
      </c>
      <c r="AP351" s="307">
        <f t="shared" si="363"/>
        <v>29699573.005997527</v>
      </c>
      <c r="AR351" s="308">
        <v>8058.1095084917079</v>
      </c>
      <c r="AS351" s="308">
        <f t="shared" si="357"/>
        <v>1393.8904915082921</v>
      </c>
      <c r="AT351" s="308">
        <v>83164.17596188387</v>
      </c>
      <c r="AU351" s="308">
        <f t="shared" si="358"/>
        <v>66193.82403811613</v>
      </c>
      <c r="AV351" s="308">
        <v>212775.32593806146</v>
      </c>
      <c r="AW351" s="308">
        <f t="shared" si="359"/>
        <v>-150610.32593806146</v>
      </c>
      <c r="AX351" s="308">
        <v>83418.236727261406</v>
      </c>
      <c r="AY351" s="308">
        <f t="shared" si="360"/>
        <v>54289.763272738594</v>
      </c>
      <c r="AZ351" s="309">
        <v>108995</v>
      </c>
      <c r="BA351" s="308">
        <f t="shared" si="361"/>
        <v>0</v>
      </c>
      <c r="BB351" s="331">
        <v>71736.761252593584</v>
      </c>
      <c r="BC351" s="308">
        <f t="shared" si="362"/>
        <v>-523598.35436991364</v>
      </c>
    </row>
    <row r="352" spans="1:55">
      <c r="A352" s="301" t="s">
        <v>51</v>
      </c>
      <c r="B352" s="308">
        <f t="shared" si="363"/>
        <v>0</v>
      </c>
      <c r="C352" s="308">
        <f t="shared" si="363"/>
        <v>0</v>
      </c>
      <c r="D352" s="308">
        <f t="shared" si="363"/>
        <v>0</v>
      </c>
      <c r="E352" s="308">
        <f t="shared" si="363"/>
        <v>0</v>
      </c>
      <c r="F352" s="308">
        <f t="shared" si="363"/>
        <v>2367</v>
      </c>
      <c r="G352" s="308">
        <f t="shared" si="363"/>
        <v>39</v>
      </c>
      <c r="H352" s="308">
        <f t="shared" si="363"/>
        <v>0</v>
      </c>
      <c r="I352" s="308">
        <f t="shared" si="363"/>
        <v>76232</v>
      </c>
      <c r="J352" s="308">
        <f t="shared" si="363"/>
        <v>23560</v>
      </c>
      <c r="K352" s="308">
        <f t="shared" si="363"/>
        <v>0</v>
      </c>
      <c r="L352" s="308">
        <f t="shared" si="363"/>
        <v>9276</v>
      </c>
      <c r="M352" s="308">
        <f t="shared" si="363"/>
        <v>279130</v>
      </c>
      <c r="N352" s="308">
        <f t="shared" si="363"/>
        <v>71465</v>
      </c>
      <c r="O352" s="308">
        <f t="shared" si="363"/>
        <v>101931</v>
      </c>
      <c r="P352" s="308">
        <f t="shared" si="363"/>
        <v>122167</v>
      </c>
      <c r="Q352" s="307">
        <f t="shared" si="363"/>
        <v>-564219.74664433277</v>
      </c>
      <c r="R352" s="307">
        <f t="shared" si="363"/>
        <v>621583.01007415669</v>
      </c>
      <c r="S352" s="307">
        <f t="shared" si="363"/>
        <v>-162400.24170532689</v>
      </c>
      <c r="T352" s="307">
        <f t="shared" si="363"/>
        <v>-234327.69773214229</v>
      </c>
      <c r="U352" s="307">
        <f t="shared" si="363"/>
        <v>150058.00270408491</v>
      </c>
      <c r="V352" s="307">
        <f t="shared" si="363"/>
        <v>327645.59691887372</v>
      </c>
      <c r="W352" s="307">
        <f t="shared" si="363"/>
        <v>40316.271392971394</v>
      </c>
      <c r="X352" s="307">
        <f t="shared" si="363"/>
        <v>-1407619.7296304086</v>
      </c>
      <c r="Y352" s="307">
        <f t="shared" si="363"/>
        <v>-1650623.7457819625</v>
      </c>
      <c r="Z352" s="307">
        <f t="shared" si="363"/>
        <v>-2387114.2765576621</v>
      </c>
      <c r="AA352" s="307">
        <f t="shared" si="363"/>
        <v>-2033617.6619929743</v>
      </c>
      <c r="AB352" s="307">
        <f t="shared" si="363"/>
        <v>789285.33508489502</v>
      </c>
      <c r="AC352" s="307">
        <f t="shared" si="363"/>
        <v>1040955.8103181095</v>
      </c>
      <c r="AD352" s="307">
        <f t="shared" si="363"/>
        <v>1628390.3858973575</v>
      </c>
      <c r="AE352" s="307">
        <f t="shared" si="363"/>
        <v>1643646.6995041291</v>
      </c>
      <c r="AF352" s="307">
        <f t="shared" si="363"/>
        <v>1461156.6610696362</v>
      </c>
      <c r="AG352" s="307">
        <f t="shared" si="363"/>
        <v>1520786.1545494071</v>
      </c>
      <c r="AH352" s="307">
        <f t="shared" si="363"/>
        <v>2501748.5470438953</v>
      </c>
      <c r="AI352" s="307">
        <f t="shared" si="363"/>
        <v>2621852.7247737236</v>
      </c>
      <c r="AJ352" s="307">
        <f t="shared" si="363"/>
        <v>4377883.2488858867</v>
      </c>
      <c r="AK352" s="307">
        <f t="shared" si="363"/>
        <v>6846637.0319031011</v>
      </c>
      <c r="AL352" s="307">
        <f t="shared" si="363"/>
        <v>8847784.188110264</v>
      </c>
      <c r="AM352" s="307">
        <f t="shared" si="363"/>
        <v>11272074.76756737</v>
      </c>
      <c r="AN352" s="307">
        <f t="shared" si="363"/>
        <v>12163010.392037868</v>
      </c>
      <c r="AO352" s="307">
        <f t="shared" si="363"/>
        <v>12953179.300732443</v>
      </c>
      <c r="AP352" s="307">
        <f t="shared" si="363"/>
        <v>13049853.942411179</v>
      </c>
      <c r="AR352" s="308">
        <v>8747.6017275083468</v>
      </c>
      <c r="AS352" s="308">
        <f t="shared" si="357"/>
        <v>528.39827249165319</v>
      </c>
      <c r="AT352" s="308">
        <v>85736.191628304019</v>
      </c>
      <c r="AU352" s="308">
        <f t="shared" si="358"/>
        <v>193393.80837169598</v>
      </c>
      <c r="AV352" s="308">
        <v>444249.46647108719</v>
      </c>
      <c r="AW352" s="308">
        <f t="shared" si="359"/>
        <v>-372784.46647108719</v>
      </c>
      <c r="AX352" s="308">
        <v>183080.52332617494</v>
      </c>
      <c r="AY352" s="308">
        <f t="shared" si="360"/>
        <v>-81149.523326174938</v>
      </c>
      <c r="AZ352" s="309">
        <v>122167</v>
      </c>
      <c r="BA352" s="308">
        <f t="shared" si="361"/>
        <v>0</v>
      </c>
      <c r="BB352" s="331">
        <v>89574.546444168474</v>
      </c>
      <c r="BC352" s="308">
        <f t="shared" si="362"/>
        <v>-653794.2930885012</v>
      </c>
    </row>
    <row r="353" spans="1:55">
      <c r="A353" s="301" t="s">
        <v>52</v>
      </c>
      <c r="B353" s="308">
        <f t="shared" si="363"/>
        <v>0</v>
      </c>
      <c r="C353" s="308">
        <f t="shared" si="363"/>
        <v>0</v>
      </c>
      <c r="D353" s="308">
        <f t="shared" si="363"/>
        <v>0</v>
      </c>
      <c r="E353" s="308">
        <f t="shared" si="363"/>
        <v>0</v>
      </c>
      <c r="F353" s="308">
        <f t="shared" si="363"/>
        <v>3351</v>
      </c>
      <c r="G353" s="308">
        <f t="shared" si="363"/>
        <v>0</v>
      </c>
      <c r="H353" s="308">
        <f t="shared" si="363"/>
        <v>0</v>
      </c>
      <c r="I353" s="308">
        <f t="shared" si="363"/>
        <v>21040</v>
      </c>
      <c r="J353" s="308">
        <f t="shared" si="363"/>
        <v>18751</v>
      </c>
      <c r="K353" s="308">
        <f t="shared" si="363"/>
        <v>0</v>
      </c>
      <c r="L353" s="308">
        <f t="shared" si="363"/>
        <v>7669</v>
      </c>
      <c r="M353" s="308">
        <f t="shared" si="363"/>
        <v>173281</v>
      </c>
      <c r="N353" s="308">
        <f t="shared" si="363"/>
        <v>70406</v>
      </c>
      <c r="O353" s="308">
        <f t="shared" si="363"/>
        <v>70596</v>
      </c>
      <c r="P353" s="308">
        <f t="shared" si="363"/>
        <v>126126</v>
      </c>
      <c r="Q353" s="307">
        <f t="shared" si="363"/>
        <v>-432924.44571013073</v>
      </c>
      <c r="R353" s="307">
        <f t="shared" si="363"/>
        <v>444205.02651575499</v>
      </c>
      <c r="S353" s="307">
        <f t="shared" si="363"/>
        <v>-128110.67211681377</v>
      </c>
      <c r="T353" s="307">
        <f t="shared" si="363"/>
        <v>-157237.74883937216</v>
      </c>
      <c r="U353" s="307">
        <f t="shared" si="363"/>
        <v>102210.38022791209</v>
      </c>
      <c r="V353" s="307">
        <f t="shared" si="363"/>
        <v>297445.08769125852</v>
      </c>
      <c r="W353" s="307">
        <f t="shared" si="363"/>
        <v>32050.169307992954</v>
      </c>
      <c r="X353" s="307">
        <f t="shared" si="363"/>
        <v>-1698507.9099308965</v>
      </c>
      <c r="Y353" s="307">
        <f t="shared" si="363"/>
        <v>-2091375.2503261808</v>
      </c>
      <c r="Z353" s="307">
        <f t="shared" si="363"/>
        <v>-3155766.8760205256</v>
      </c>
      <c r="AA353" s="307">
        <f t="shared" si="363"/>
        <v>-2649927.1520119789</v>
      </c>
      <c r="AB353" s="307">
        <f t="shared" si="363"/>
        <v>1014746.2712160778</v>
      </c>
      <c r="AC353" s="307">
        <f t="shared" si="363"/>
        <v>1335228.6421589972</v>
      </c>
      <c r="AD353" s="307">
        <f t="shared" si="363"/>
        <v>2129825.7924164655</v>
      </c>
      <c r="AE353" s="307">
        <f t="shared" si="363"/>
        <v>2265148.3842777512</v>
      </c>
      <c r="AF353" s="307">
        <f t="shared" si="363"/>
        <v>1949863.2865531016</v>
      </c>
      <c r="AG353" s="307">
        <f t="shared" si="363"/>
        <v>2014638.7519045642</v>
      </c>
      <c r="AH353" s="307">
        <f t="shared" si="363"/>
        <v>3324733.0409093173</v>
      </c>
      <c r="AI353" s="307">
        <f t="shared" si="363"/>
        <v>3498769.5263210861</v>
      </c>
      <c r="AJ353" s="307">
        <f t="shared" si="363"/>
        <v>5861530.5689230189</v>
      </c>
      <c r="AK353" s="307">
        <f t="shared" si="363"/>
        <v>9131572.6858747788</v>
      </c>
      <c r="AL353" s="307">
        <f t="shared" si="363"/>
        <v>11800033.464820553</v>
      </c>
      <c r="AM353" s="307">
        <f t="shared" si="363"/>
        <v>15039319.299537933</v>
      </c>
      <c r="AN353" s="307">
        <f t="shared" si="363"/>
        <v>16232715.127854865</v>
      </c>
      <c r="AO353" s="307">
        <f t="shared" si="363"/>
        <v>17287375.303761818</v>
      </c>
      <c r="AP353" s="307">
        <f t="shared" si="363"/>
        <v>17411690.578583948</v>
      </c>
      <c r="AR353" s="308">
        <v>7939.2818478508088</v>
      </c>
      <c r="AS353" s="308">
        <f t="shared" si="357"/>
        <v>-270.28184785080884</v>
      </c>
      <c r="AT353" s="308">
        <v>88019.65777969551</v>
      </c>
      <c r="AU353" s="308">
        <f t="shared" si="358"/>
        <v>85261.34222030449</v>
      </c>
      <c r="AV353" s="308">
        <v>71375.292154537281</v>
      </c>
      <c r="AW353" s="308">
        <f t="shared" si="359"/>
        <v>-969.29215453728102</v>
      </c>
      <c r="AX353" s="308">
        <v>326530.72687146231</v>
      </c>
      <c r="AY353" s="308">
        <f t="shared" si="360"/>
        <v>-255934.72687146231</v>
      </c>
      <c r="AZ353" s="309">
        <v>-325047.58625443326</v>
      </c>
      <c r="BA353" s="308">
        <f t="shared" si="361"/>
        <v>451173.58625443326</v>
      </c>
      <c r="BB353" s="331">
        <v>68730.332640277353</v>
      </c>
      <c r="BC353" s="308">
        <f t="shared" si="362"/>
        <v>-501654.77835040807</v>
      </c>
    </row>
    <row r="354" spans="1:55">
      <c r="A354" s="301" t="s">
        <v>53</v>
      </c>
      <c r="B354" s="308">
        <f t="shared" si="363"/>
        <v>0</v>
      </c>
      <c r="C354" s="308">
        <f t="shared" si="363"/>
        <v>0</v>
      </c>
      <c r="D354" s="308">
        <f t="shared" si="363"/>
        <v>0</v>
      </c>
      <c r="E354" s="308">
        <f t="shared" si="363"/>
        <v>0</v>
      </c>
      <c r="F354" s="308">
        <f t="shared" si="363"/>
        <v>604</v>
      </c>
      <c r="G354" s="308">
        <f t="shared" si="363"/>
        <v>0</v>
      </c>
      <c r="H354" s="308">
        <f t="shared" si="363"/>
        <v>0</v>
      </c>
      <c r="I354" s="308">
        <f t="shared" si="363"/>
        <v>1412277</v>
      </c>
      <c r="J354" s="308">
        <f t="shared" si="363"/>
        <v>47026</v>
      </c>
      <c r="K354" s="308">
        <f t="shared" si="363"/>
        <v>0</v>
      </c>
      <c r="L354" s="308">
        <f t="shared" si="363"/>
        <v>8502</v>
      </c>
      <c r="M354" s="308">
        <f t="shared" si="363"/>
        <v>163969</v>
      </c>
      <c r="N354" s="308">
        <f t="shared" si="363"/>
        <v>61227</v>
      </c>
      <c r="O354" s="308">
        <f t="shared" si="363"/>
        <v>70456</v>
      </c>
      <c r="P354" s="308">
        <f t="shared" si="363"/>
        <v>166766</v>
      </c>
      <c r="Q354" s="307">
        <f t="shared" si="363"/>
        <v>-454993.9518874276</v>
      </c>
      <c r="R354" s="307">
        <f t="shared" si="363"/>
        <v>440614.01133307413</v>
      </c>
      <c r="S354" s="307">
        <f t="shared" si="363"/>
        <v>-130715.3609557056</v>
      </c>
      <c r="T354" s="307">
        <f t="shared" si="363"/>
        <v>-181317.41895147329</v>
      </c>
      <c r="U354" s="307">
        <f t="shared" si="363"/>
        <v>110297.07338982605</v>
      </c>
      <c r="V354" s="307">
        <f t="shared" si="363"/>
        <v>374045.66332837316</v>
      </c>
      <c r="W354" s="307">
        <f t="shared" si="363"/>
        <v>35172.591399123776</v>
      </c>
      <c r="X354" s="307">
        <f t="shared" si="363"/>
        <v>-2407880.9250858277</v>
      </c>
      <c r="Y354" s="307">
        <f t="shared" si="363"/>
        <v>-3039580.1873778077</v>
      </c>
      <c r="Z354" s="307">
        <f t="shared" si="363"/>
        <v>-4630918.9929404911</v>
      </c>
      <c r="AA354" s="307">
        <f t="shared" si="363"/>
        <v>-3872729.0065153437</v>
      </c>
      <c r="AB354" s="307">
        <f t="shared" si="363"/>
        <v>1476562.4300166829</v>
      </c>
      <c r="AC354" s="307">
        <f t="shared" si="363"/>
        <v>1941114.1168723486</v>
      </c>
      <c r="AD354" s="307">
        <f t="shared" si="363"/>
        <v>3119833.2535338216</v>
      </c>
      <c r="AE354" s="307">
        <f t="shared" si="363"/>
        <v>3358938.9810630209</v>
      </c>
      <c r="AF354" s="307">
        <f t="shared" si="363"/>
        <v>2868221.5175801967</v>
      </c>
      <c r="AG354" s="307">
        <f t="shared" si="363"/>
        <v>2957648.5754800728</v>
      </c>
      <c r="AH354" s="307">
        <f t="shared" si="363"/>
        <v>4885485.2046534186</v>
      </c>
      <c r="AI354" s="307">
        <f t="shared" si="363"/>
        <v>5147485.2123536924</v>
      </c>
      <c r="AJ354" s="307">
        <f t="shared" si="363"/>
        <v>8629761.8698467165</v>
      </c>
      <c r="AK354" s="307">
        <f t="shared" si="363"/>
        <v>13430972.712599775</v>
      </c>
      <c r="AL354" s="307">
        <f t="shared" si="363"/>
        <v>17355667.006325345</v>
      </c>
      <c r="AM354" s="307">
        <f t="shared" si="363"/>
        <v>22122523.563724611</v>
      </c>
      <c r="AN354" s="307">
        <f t="shared" si="363"/>
        <v>23879819.910579056</v>
      </c>
      <c r="AO354" s="307">
        <f t="shared" si="363"/>
        <v>25431181.458900221</v>
      </c>
      <c r="AP354" s="307">
        <f t="shared" si="363"/>
        <v>25612316.286192603</v>
      </c>
      <c r="AR354" s="308">
        <v>10447.569704135414</v>
      </c>
      <c r="AS354" s="308">
        <f t="shared" si="357"/>
        <v>-1945.5697041354142</v>
      </c>
      <c r="AT354" s="308">
        <v>80551.363271278329</v>
      </c>
      <c r="AU354" s="308">
        <f t="shared" si="358"/>
        <v>83417.636728721671</v>
      </c>
      <c r="AV354" s="308">
        <v>236437.38701284718</v>
      </c>
      <c r="AW354" s="308">
        <f t="shared" si="359"/>
        <v>-175210.38701284718</v>
      </c>
      <c r="AX354" s="309">
        <v>65197.687461715032</v>
      </c>
      <c r="AY354" s="308">
        <f t="shared" si="360"/>
        <v>5258.3125382849685</v>
      </c>
      <c r="AZ354" s="309">
        <v>-307078.45750183531</v>
      </c>
      <c r="BA354" s="308">
        <f t="shared" si="361"/>
        <v>473844.45750183531</v>
      </c>
      <c r="BB354" s="331">
        <v>72234.049087345076</v>
      </c>
      <c r="BC354" s="308">
        <f t="shared" si="362"/>
        <v>-527228.00097477273</v>
      </c>
    </row>
    <row r="355" spans="1:55">
      <c r="A355" s="301" t="s">
        <v>54</v>
      </c>
      <c r="B355" s="308">
        <f t="shared" si="363"/>
        <v>0</v>
      </c>
      <c r="C355" s="308">
        <f t="shared" si="363"/>
        <v>0</v>
      </c>
      <c r="D355" s="308">
        <f t="shared" si="363"/>
        <v>0</v>
      </c>
      <c r="E355" s="308">
        <f t="shared" si="363"/>
        <v>0</v>
      </c>
      <c r="F355" s="308">
        <f t="shared" si="363"/>
        <v>22</v>
      </c>
      <c r="G355" s="308">
        <f t="shared" si="363"/>
        <v>0</v>
      </c>
      <c r="H355" s="308">
        <f t="shared" si="363"/>
        <v>0</v>
      </c>
      <c r="I355" s="308">
        <f t="shared" si="363"/>
        <v>486515</v>
      </c>
      <c r="J355" s="308">
        <f t="shared" si="363"/>
        <v>50310</v>
      </c>
      <c r="K355" s="308">
        <f t="shared" si="363"/>
        <v>0</v>
      </c>
      <c r="L355" s="308">
        <f t="shared" si="363"/>
        <v>15796</v>
      </c>
      <c r="M355" s="308">
        <f t="shared" si="363"/>
        <v>334997</v>
      </c>
      <c r="N355" s="308">
        <f t="shared" si="363"/>
        <v>134652</v>
      </c>
      <c r="O355" s="308">
        <f t="shared" si="363"/>
        <v>114960</v>
      </c>
      <c r="P355" s="308">
        <f t="shared" si="363"/>
        <v>120576</v>
      </c>
      <c r="Q355" s="307">
        <f t="shared" si="363"/>
        <v>-1378061.061251523</v>
      </c>
      <c r="R355" s="307">
        <f t="shared" si="363"/>
        <v>-39934900.203024715</v>
      </c>
      <c r="S355" s="307">
        <f t="shared" si="363"/>
        <v>18839958.833290316</v>
      </c>
      <c r="T355" s="307">
        <f t="shared" si="363"/>
        <v>43766248.909122102</v>
      </c>
      <c r="U355" s="307">
        <f t="shared" si="363"/>
        <v>-14794428.238798678</v>
      </c>
      <c r="V355" s="307">
        <f t="shared" si="363"/>
        <v>-11247935.131587109</v>
      </c>
      <c r="W355" s="307">
        <f t="shared" si="363"/>
        <v>-193447.76104342926</v>
      </c>
      <c r="X355" s="307">
        <f t="shared" si="363"/>
        <v>-422086507.96352136</v>
      </c>
      <c r="Y355" s="307">
        <f t="shared" si="363"/>
        <v>-594139588.60442924</v>
      </c>
      <c r="Z355" s="307">
        <f t="shared" si="363"/>
        <v>-979628603.690575</v>
      </c>
      <c r="AA355" s="307">
        <f t="shared" si="363"/>
        <v>-803969763.45370924</v>
      </c>
      <c r="AB355" s="307">
        <f t="shared" si="363"/>
        <v>297098312.09409887</v>
      </c>
      <c r="AC355" s="307">
        <f t="shared" si="363"/>
        <v>389439166.60469383</v>
      </c>
      <c r="AD355" s="307">
        <f t="shared" si="363"/>
        <v>649342188.75120854</v>
      </c>
      <c r="AE355" s="307">
        <f t="shared" si="363"/>
        <v>764880003.7014842</v>
      </c>
      <c r="AF355" s="307">
        <f t="shared" si="363"/>
        <v>617472401.76985097</v>
      </c>
      <c r="AG355" s="307">
        <f t="shared" si="363"/>
        <v>629830229.05716991</v>
      </c>
      <c r="AH355" s="307">
        <f t="shared" si="363"/>
        <v>1046307333.0328134</v>
      </c>
      <c r="AI355" s="307">
        <f t="shared" si="363"/>
        <v>1110289098.1253166</v>
      </c>
      <c r="AJ355" s="307">
        <f t="shared" si="363"/>
        <v>1871994141.7519946</v>
      </c>
      <c r="AK355" s="307">
        <f t="shared" si="363"/>
        <v>2893606444.1188731</v>
      </c>
      <c r="AL355" s="307">
        <f t="shared" si="363"/>
        <v>3739383982.0069141</v>
      </c>
      <c r="AM355" s="307">
        <f t="shared" si="363"/>
        <v>4769748680.5326147</v>
      </c>
      <c r="AN355" s="307">
        <f t="shared" si="363"/>
        <v>5151150604.2315102</v>
      </c>
      <c r="AO355" s="307">
        <f t="shared" si="363"/>
        <v>5485821589.2909107</v>
      </c>
      <c r="AP355" s="307">
        <f t="shared" si="363"/>
        <v>5522276926.4522762</v>
      </c>
      <c r="AR355" s="308">
        <v>7542.8283379673958</v>
      </c>
      <c r="AS355" s="308">
        <f t="shared" si="357"/>
        <v>8253.1716620326042</v>
      </c>
      <c r="AT355" s="308">
        <v>1115636.2968110442</v>
      </c>
      <c r="AU355" s="308">
        <f t="shared" si="358"/>
        <v>-780639.29681104422</v>
      </c>
      <c r="AV355" s="308">
        <v>1679833.1468180716</v>
      </c>
      <c r="AW355" s="308">
        <f t="shared" si="359"/>
        <v>-1545181.1468180716</v>
      </c>
      <c r="AX355" s="309">
        <v>153444.53029461601</v>
      </c>
      <c r="AY355" s="308">
        <f t="shared" si="360"/>
        <v>-38484.530294616008</v>
      </c>
      <c r="AZ355" s="309">
        <v>-4552645.9279745892</v>
      </c>
      <c r="BA355" s="308">
        <f t="shared" si="361"/>
        <v>4673221.9279745892</v>
      </c>
      <c r="BB355" s="331">
        <v>161901.51405523811</v>
      </c>
      <c r="BC355" s="308">
        <f t="shared" si="362"/>
        <v>-1539962.5753067611</v>
      </c>
    </row>
    <row r="356" spans="1:55" ht="12" thickBot="1">
      <c r="A356" s="301" t="s">
        <v>29</v>
      </c>
      <c r="B356" s="308">
        <f t="shared" ref="B356:AD356" si="364">SUM(B344:B355)</f>
        <v>0</v>
      </c>
      <c r="C356" s="308">
        <f t="shared" si="364"/>
        <v>0</v>
      </c>
      <c r="D356" s="308">
        <f t="shared" si="364"/>
        <v>0</v>
      </c>
      <c r="E356" s="308">
        <f t="shared" si="364"/>
        <v>0</v>
      </c>
      <c r="F356" s="308">
        <f t="shared" si="364"/>
        <v>6344</v>
      </c>
      <c r="G356" s="308">
        <f t="shared" si="364"/>
        <v>5022</v>
      </c>
      <c r="H356" s="308">
        <f t="shared" si="364"/>
        <v>0</v>
      </c>
      <c r="I356" s="308">
        <f t="shared" si="364"/>
        <v>2018098</v>
      </c>
      <c r="J356" s="308">
        <f t="shared" si="364"/>
        <v>1160742</v>
      </c>
      <c r="K356" s="308">
        <f t="shared" si="364"/>
        <v>83027</v>
      </c>
      <c r="L356" s="308">
        <f t="shared" si="364"/>
        <v>85371</v>
      </c>
      <c r="M356" s="308">
        <f t="shared" si="364"/>
        <v>1659418</v>
      </c>
      <c r="N356" s="308">
        <f t="shared" si="364"/>
        <v>1053739</v>
      </c>
      <c r="O356" s="308">
        <f t="shared" si="364"/>
        <v>1553570</v>
      </c>
      <c r="P356" s="308">
        <f t="shared" si="364"/>
        <v>1120471</v>
      </c>
      <c r="Q356" s="307">
        <f t="shared" si="364"/>
        <v>-5287492.1351538002</v>
      </c>
      <c r="R356" s="307">
        <f t="shared" si="364"/>
        <v>5917499.5093202889</v>
      </c>
      <c r="S356" s="307">
        <f t="shared" si="364"/>
        <v>-2005250.9438866973</v>
      </c>
      <c r="T356" s="307">
        <f t="shared" si="364"/>
        <v>-2556203.5941714644</v>
      </c>
      <c r="U356" s="307">
        <f t="shared" si="364"/>
        <v>1942053.3246752024</v>
      </c>
      <c r="V356" s="307">
        <f t="shared" si="364"/>
        <v>3443175.6714228392</v>
      </c>
      <c r="W356" s="307">
        <f t="shared" si="364"/>
        <v>386847.45104920864</v>
      </c>
      <c r="X356" s="307">
        <f t="shared" si="364"/>
        <v>-14049535.382774353</v>
      </c>
      <c r="Y356" s="307">
        <f t="shared" si="364"/>
        <v>-15910545.590323567</v>
      </c>
      <c r="Z356" s="307">
        <f t="shared" si="364"/>
        <v>-22730097.785646319</v>
      </c>
      <c r="AA356" s="307">
        <f t="shared" si="364"/>
        <v>-19569652.976923108</v>
      </c>
      <c r="AB356" s="307">
        <f t="shared" si="364"/>
        <v>7626144.9002268314</v>
      </c>
      <c r="AC356" s="307">
        <f t="shared" si="364"/>
        <v>10057388.467974603</v>
      </c>
      <c r="AD356" s="307">
        <f t="shared" si="364"/>
        <v>15560388.810547948</v>
      </c>
      <c r="AE356" s="307">
        <f>SUM(AE344:AE355)</f>
        <v>15470924.501125336</v>
      </c>
      <c r="AF356" s="307">
        <f>SUM(AF344:AF355)</f>
        <v>13877616.296195984</v>
      </c>
      <c r="AG356" s="307">
        <f>SUM(AG344:AG355)</f>
        <v>14503038.826667547</v>
      </c>
      <c r="AH356" s="307">
        <f t="shared" ref="AH356:AP356" si="365">SUM(AH344:AH355)</f>
        <v>23824043.085780621</v>
      </c>
      <c r="AI356" s="307">
        <f t="shared" si="365"/>
        <v>24924546.81507206</v>
      </c>
      <c r="AJ356" s="307">
        <f t="shared" si="365"/>
        <v>41582192.806179047</v>
      </c>
      <c r="AK356" s="307">
        <f t="shared" si="365"/>
        <v>65108251.480883598</v>
      </c>
      <c r="AL356" s="307">
        <f t="shared" si="365"/>
        <v>84146765.496524811</v>
      </c>
      <c r="AM356" s="307">
        <f t="shared" si="365"/>
        <v>107185233.78686047</v>
      </c>
      <c r="AN356" s="307">
        <f t="shared" si="365"/>
        <v>115644490.81719685</v>
      </c>
      <c r="AO356" s="307">
        <f t="shared" si="365"/>
        <v>123158433.95019341</v>
      </c>
      <c r="AP356" s="307">
        <f t="shared" si="365"/>
        <v>124088284.27797985</v>
      </c>
      <c r="AR356" s="308">
        <v>77117.828337967396</v>
      </c>
      <c r="AS356" s="308">
        <f t="shared" si="357"/>
        <v>8253.1716620326042</v>
      </c>
      <c r="AT356" s="308">
        <v>2440057.2968110442</v>
      </c>
      <c r="AU356" s="308">
        <f t="shared" si="358"/>
        <v>-780639.29681104422</v>
      </c>
      <c r="AV356" s="308">
        <v>2597622.1468180716</v>
      </c>
      <c r="AW356" s="308">
        <f t="shared" si="359"/>
        <v>-1543883.1468180716</v>
      </c>
      <c r="AX356" s="309">
        <v>1586796.217756331</v>
      </c>
      <c r="AY356" s="308">
        <f t="shared" si="360"/>
        <v>-33226.217756330967</v>
      </c>
      <c r="AZ356" s="309">
        <v>-4477768.9717308581</v>
      </c>
      <c r="BA356" s="308">
        <f t="shared" si="361"/>
        <v>5598239.9717308581</v>
      </c>
      <c r="BB356" s="331">
        <v>839433.06247320771</v>
      </c>
      <c r="BC356" s="308">
        <f t="shared" si="362"/>
        <v>-6126925.197627008</v>
      </c>
    </row>
    <row r="357" spans="1:55">
      <c r="A357" s="334"/>
      <c r="B357" s="334"/>
      <c r="C357" s="334"/>
      <c r="D357" s="334"/>
      <c r="E357" s="334"/>
      <c r="F357" s="334"/>
      <c r="G357" s="334"/>
      <c r="H357" s="334"/>
      <c r="I357" s="334"/>
      <c r="J357" s="334"/>
      <c r="K357" s="334"/>
      <c r="L357" s="334"/>
      <c r="M357" s="334"/>
      <c r="N357" s="334"/>
      <c r="O357" s="334"/>
      <c r="P357" s="334"/>
      <c r="Q357" s="334"/>
      <c r="R357" s="334"/>
      <c r="S357" s="334"/>
      <c r="T357" s="334"/>
      <c r="U357" s="334"/>
      <c r="V357" s="334"/>
      <c r="W357" s="334"/>
      <c r="X357" s="334"/>
      <c r="Y357" s="334"/>
      <c r="Z357" s="334"/>
      <c r="AA357" s="334"/>
      <c r="AB357" s="334"/>
      <c r="AC357" s="334"/>
      <c r="AD357" s="334"/>
      <c r="AE357" s="334"/>
      <c r="AF357" s="334"/>
      <c r="AG357" s="334"/>
      <c r="AH357" s="334"/>
      <c r="AI357" s="334"/>
      <c r="AJ357" s="334"/>
      <c r="AK357" s="334"/>
      <c r="AL357" s="334"/>
      <c r="AM357" s="334"/>
      <c r="AN357" s="334"/>
      <c r="AO357" s="334"/>
      <c r="AP357" s="334"/>
      <c r="AT357" s="309"/>
    </row>
    <row r="358" spans="1:55" ht="12" thickBot="1">
      <c r="A358" s="300" t="s">
        <v>454</v>
      </c>
      <c r="AT358" s="309"/>
    </row>
    <row r="359" spans="1:55" ht="12" thickBot="1">
      <c r="A359" s="328"/>
      <c r="B359" s="329">
        <f t="shared" ref="B359:AP359" si="366">B2</f>
        <v>2010</v>
      </c>
      <c r="C359" s="329">
        <f t="shared" si="366"/>
        <v>2011</v>
      </c>
      <c r="D359" s="329">
        <f t="shared" si="366"/>
        <v>2012</v>
      </c>
      <c r="E359" s="329">
        <f t="shared" si="366"/>
        <v>2013</v>
      </c>
      <c r="F359" s="329">
        <f t="shared" si="366"/>
        <v>2014</v>
      </c>
      <c r="G359" s="329">
        <f t="shared" si="366"/>
        <v>2015</v>
      </c>
      <c r="H359" s="329">
        <f t="shared" si="366"/>
        <v>2016</v>
      </c>
      <c r="I359" s="329">
        <f t="shared" si="366"/>
        <v>2017</v>
      </c>
      <c r="J359" s="329">
        <f t="shared" si="366"/>
        <v>2018</v>
      </c>
      <c r="K359" s="329">
        <f t="shared" si="366"/>
        <v>2019</v>
      </c>
      <c r="L359" s="329">
        <f t="shared" si="366"/>
        <v>2020</v>
      </c>
      <c r="M359" s="329">
        <f t="shared" si="366"/>
        <v>2021</v>
      </c>
      <c r="N359" s="329">
        <f t="shared" si="366"/>
        <v>2022</v>
      </c>
      <c r="O359" s="329">
        <f t="shared" si="366"/>
        <v>2023</v>
      </c>
      <c r="P359" s="329">
        <f t="shared" si="366"/>
        <v>2024</v>
      </c>
      <c r="Q359" s="329">
        <f t="shared" si="366"/>
        <v>2025</v>
      </c>
      <c r="R359" s="329">
        <f t="shared" si="366"/>
        <v>2026</v>
      </c>
      <c r="S359" s="329">
        <f t="shared" si="366"/>
        <v>2027</v>
      </c>
      <c r="T359" s="329">
        <f t="shared" si="366"/>
        <v>2028</v>
      </c>
      <c r="U359" s="329">
        <f t="shared" si="366"/>
        <v>2029</v>
      </c>
      <c r="V359" s="329">
        <f t="shared" si="366"/>
        <v>2030</v>
      </c>
      <c r="W359" s="329">
        <f t="shared" si="366"/>
        <v>2031</v>
      </c>
      <c r="X359" s="329">
        <f t="shared" si="366"/>
        <v>2032</v>
      </c>
      <c r="Y359" s="329">
        <f t="shared" si="366"/>
        <v>2033</v>
      </c>
      <c r="Z359" s="329">
        <f t="shared" si="366"/>
        <v>2034</v>
      </c>
      <c r="AA359" s="329">
        <f t="shared" si="366"/>
        <v>2035</v>
      </c>
      <c r="AB359" s="329">
        <f t="shared" si="366"/>
        <v>2036</v>
      </c>
      <c r="AC359" s="329">
        <f t="shared" si="366"/>
        <v>2037</v>
      </c>
      <c r="AD359" s="329">
        <f t="shared" si="366"/>
        <v>2038</v>
      </c>
      <c r="AE359" s="329">
        <f t="shared" si="366"/>
        <v>2039</v>
      </c>
      <c r="AF359" s="329">
        <f t="shared" si="366"/>
        <v>2040</v>
      </c>
      <c r="AG359" s="329">
        <f t="shared" si="366"/>
        <v>2041</v>
      </c>
      <c r="AH359" s="329">
        <f t="shared" si="366"/>
        <v>2042</v>
      </c>
      <c r="AI359" s="329">
        <f t="shared" si="366"/>
        <v>2043</v>
      </c>
      <c r="AJ359" s="329">
        <f t="shared" si="366"/>
        <v>2044</v>
      </c>
      <c r="AK359" s="329">
        <f t="shared" si="366"/>
        <v>2045</v>
      </c>
      <c r="AL359" s="329">
        <f t="shared" si="366"/>
        <v>2046</v>
      </c>
      <c r="AM359" s="329">
        <f t="shared" si="366"/>
        <v>2047</v>
      </c>
      <c r="AN359" s="329">
        <f t="shared" si="366"/>
        <v>2048</v>
      </c>
      <c r="AO359" s="329">
        <f t="shared" si="366"/>
        <v>2049</v>
      </c>
      <c r="AP359" s="329">
        <f t="shared" si="366"/>
        <v>2050</v>
      </c>
      <c r="AT359" s="309"/>
    </row>
    <row r="360" spans="1:55">
      <c r="A360" s="301" t="s">
        <v>43</v>
      </c>
      <c r="B360" s="308">
        <f>'Monthly D5 Gallon Data'!$Q4</f>
        <v>0</v>
      </c>
      <c r="C360" s="308">
        <f>'Monthly D5 Gallon Data'!$Q16</f>
        <v>0</v>
      </c>
      <c r="D360" s="308">
        <f>'Monthly D5 Gallon Data'!$Q28</f>
        <v>0</v>
      </c>
      <c r="E360" s="308">
        <f>'Monthly D5 Gallon Data'!$Q40</f>
        <v>0</v>
      </c>
      <c r="F360" s="308">
        <f>'Monthly D5 Gallon Data'!$Q52</f>
        <v>0</v>
      </c>
      <c r="G360" s="308">
        <f>'Monthly D5 Gallon Data'!$Q64</f>
        <v>0</v>
      </c>
      <c r="H360" s="308">
        <f>'Monthly D5 Gallon Data'!$Q76</f>
        <v>0</v>
      </c>
      <c r="I360" s="308">
        <f>'Monthly D5 Gallon Data'!$Q88</f>
        <v>0</v>
      </c>
      <c r="J360" s="308">
        <f>'Monthly D5 Gallon Data'!$Q100</f>
        <v>0</v>
      </c>
      <c r="K360" s="308">
        <f>'Monthly D5 Gallon Data'!$Q112</f>
        <v>21965</v>
      </c>
      <c r="L360" s="308">
        <f>'Monthly D5 Gallon Data'!$Q124</f>
        <v>0</v>
      </c>
      <c r="M360" s="308">
        <f>'Monthly D5 Gallon Data'!$Q136</f>
        <v>49137</v>
      </c>
      <c r="N360" s="308">
        <f>'Monthly D5 Gallon Data'!$Q148</f>
        <v>41162</v>
      </c>
      <c r="O360" s="308">
        <f>'Monthly D5 Gallon Data'!$Q160</f>
        <v>45290</v>
      </c>
      <c r="P360" s="308">
        <f>'Monthly D5 Gallon Data'!$Q172</f>
        <v>0</v>
      </c>
      <c r="Q360" s="308">
        <f>'Monthly D5 Gallon Data'!$Q184</f>
        <v>14085</v>
      </c>
      <c r="R360" s="307">
        <f t="shared" ref="R360:R370" si="367">(SUM(M360:Q360)/SUM(M$372:Q$372))*R$372</f>
        <v>8883086.4957064036</v>
      </c>
      <c r="S360" s="307">
        <f t="shared" ref="S360:S370" si="368">(SUM(N360:R360)/SUM(N$372:R$372))*S$372</f>
        <v>-4133845.4466777612</v>
      </c>
      <c r="T360" s="307">
        <f t="shared" ref="T360:AI370" si="369">(SUM(O360:S360)/SUM(O$372:S$372))*T$372</f>
        <v>-9463986.716442503</v>
      </c>
      <c r="U360" s="307">
        <f t="shared" si="369"/>
        <v>3247602.6636534818</v>
      </c>
      <c r="V360" s="307">
        <f t="shared" si="369"/>
        <v>2514903.720464156</v>
      </c>
      <c r="W360" s="307">
        <f t="shared" si="369"/>
        <v>60125.662379075489</v>
      </c>
      <c r="X360" s="307">
        <f t="shared" si="369"/>
        <v>90232919.399953753</v>
      </c>
      <c r="Y360" s="307">
        <f t="shared" si="369"/>
        <v>127170200.71326303</v>
      </c>
      <c r="Z360" s="307">
        <f t="shared" si="369"/>
        <v>209771052.81343284</v>
      </c>
      <c r="AA360" s="307">
        <f t="shared" si="369"/>
        <v>172124763.96745175</v>
      </c>
      <c r="AB360" s="307">
        <f t="shared" si="369"/>
        <v>-63595509.548057802</v>
      </c>
      <c r="AC360" s="307">
        <f t="shared" si="369"/>
        <v>-83358659.179725155</v>
      </c>
      <c r="AD360" s="307">
        <f t="shared" si="369"/>
        <v>-139034078.83426061</v>
      </c>
      <c r="AE360" s="307">
        <f t="shared" si="369"/>
        <v>-163847929.40120336</v>
      </c>
      <c r="AF360" s="307">
        <f t="shared" si="369"/>
        <v>-132233550.06351328</v>
      </c>
      <c r="AG360" s="307">
        <f t="shared" si="369"/>
        <v>-134868951.46024492</v>
      </c>
      <c r="AH360" s="307">
        <f t="shared" si="369"/>
        <v>-224059592.6121096</v>
      </c>
      <c r="AI360" s="307">
        <f t="shared" si="369"/>
        <v>-237771957.60942167</v>
      </c>
      <c r="AJ360" s="307">
        <f t="shared" ref="AJ360:AP370" si="370">(SUM(AE360:AI360)/SUM(AE$372:AI$372))*AJ$372</f>
        <v>-400904584.3480553</v>
      </c>
      <c r="AK360" s="307">
        <f t="shared" si="370"/>
        <v>-619669169.17468834</v>
      </c>
      <c r="AL360" s="307">
        <f t="shared" si="370"/>
        <v>-800792853.0128268</v>
      </c>
      <c r="AM360" s="307">
        <f t="shared" si="370"/>
        <v>-1021450889.5605119</v>
      </c>
      <c r="AN360" s="307">
        <f t="shared" si="370"/>
        <v>-1103132121.9786558</v>
      </c>
      <c r="AO360" s="307">
        <f t="shared" si="370"/>
        <v>-1174802564.5990872</v>
      </c>
      <c r="AP360" s="307">
        <f t="shared" si="370"/>
        <v>-1182606483.9783883</v>
      </c>
      <c r="AR360" s="308">
        <v>187.28683969975876</v>
      </c>
      <c r="AS360" s="308">
        <f t="shared" ref="AS360:AS372" si="371">L360-AR360</f>
        <v>-187.28683969975876</v>
      </c>
      <c r="AT360" s="308">
        <v>352.34837814023842</v>
      </c>
      <c r="AU360" s="308">
        <f t="shared" ref="AU360:AU372" si="372">M360-AT360</f>
        <v>48784.651621859761</v>
      </c>
      <c r="AV360" s="308">
        <v>758.9316150018434</v>
      </c>
      <c r="AW360" s="308">
        <f t="shared" ref="AW360:AW372" si="373">N360-AV360</f>
        <v>40403.068384998158</v>
      </c>
      <c r="AX360" s="308">
        <v>23618.297321084639</v>
      </c>
      <c r="AY360" s="308">
        <f t="shared" ref="AY360:AY372" si="374">O360-AX360</f>
        <v>21671.702678915361</v>
      </c>
      <c r="AZ360" s="308">
        <v>0</v>
      </c>
      <c r="BA360" s="308">
        <f t="shared" ref="BA360:BA372" si="375">P360-AZ360</f>
        <v>0</v>
      </c>
      <c r="BB360" s="331">
        <v>14085</v>
      </c>
      <c r="BC360" s="308">
        <f t="shared" ref="BC360:BC372" si="376">Q360-BB360</f>
        <v>0</v>
      </c>
    </row>
    <row r="361" spans="1:55">
      <c r="A361" s="301" t="s">
        <v>44</v>
      </c>
      <c r="B361" s="308">
        <f>'Monthly D5 Gallon Data'!$Q5</f>
        <v>0</v>
      </c>
      <c r="C361" s="308">
        <f>'Monthly D5 Gallon Data'!$Q17</f>
        <v>0</v>
      </c>
      <c r="D361" s="308">
        <f>'Monthly D5 Gallon Data'!$Q29</f>
        <v>0</v>
      </c>
      <c r="E361" s="308">
        <f>'Monthly D5 Gallon Data'!$Q41</f>
        <v>0</v>
      </c>
      <c r="F361" s="308">
        <f>'Monthly D5 Gallon Data'!$Q53</f>
        <v>0</v>
      </c>
      <c r="G361" s="308">
        <f>'Monthly D5 Gallon Data'!$Q65</f>
        <v>189</v>
      </c>
      <c r="H361" s="308">
        <f>'Monthly D5 Gallon Data'!$Q77</f>
        <v>0</v>
      </c>
      <c r="I361" s="308">
        <f>'Monthly D5 Gallon Data'!$Q89</f>
        <v>0</v>
      </c>
      <c r="J361" s="308">
        <f>'Monthly D5 Gallon Data'!$Q101</f>
        <v>54262</v>
      </c>
      <c r="K361" s="308">
        <f>'Monthly D5 Gallon Data'!$Q113</f>
        <v>10402</v>
      </c>
      <c r="L361" s="308">
        <f>'Monthly D5 Gallon Data'!$Q125</f>
        <v>0</v>
      </c>
      <c r="M361" s="308">
        <f>'Monthly D5 Gallon Data'!$Q137</f>
        <v>6860</v>
      </c>
      <c r="N361" s="308">
        <f>'Monthly D5 Gallon Data'!$Q149</f>
        <v>136915</v>
      </c>
      <c r="O361" s="308">
        <f>'Monthly D5 Gallon Data'!$Q161</f>
        <v>81116</v>
      </c>
      <c r="P361" s="308">
        <f>'Monthly D5 Gallon Data'!$Q173</f>
        <v>65859</v>
      </c>
      <c r="Q361" s="332">
        <f>'Monthly D5 Gallon Data'!$Q185</f>
        <v>0</v>
      </c>
      <c r="R361" s="307">
        <f t="shared" si="367"/>
        <v>17255885.448552433</v>
      </c>
      <c r="S361" s="307">
        <f t="shared" si="368"/>
        <v>-8070988.3832957186</v>
      </c>
      <c r="T361" s="307">
        <f t="shared" si="369"/>
        <v>-18366347.482238825</v>
      </c>
      <c r="U361" s="307">
        <f t="shared" si="369"/>
        <v>6297799.6203361154</v>
      </c>
      <c r="V361" s="307">
        <f t="shared" si="369"/>
        <v>4990925.4126378093</v>
      </c>
      <c r="W361" s="307">
        <f t="shared" si="369"/>
        <v>120925.78017213516</v>
      </c>
      <c r="X361" s="307">
        <f t="shared" si="369"/>
        <v>174399613.35540661</v>
      </c>
      <c r="Y361" s="307">
        <f t="shared" si="369"/>
        <v>245910203.71795461</v>
      </c>
      <c r="Z361" s="307">
        <f t="shared" si="369"/>
        <v>405698027.32174098</v>
      </c>
      <c r="AA361" s="307">
        <f t="shared" si="369"/>
        <v>332883180.84822124</v>
      </c>
      <c r="AB361" s="307">
        <f t="shared" si="369"/>
        <v>-122977961.29625048</v>
      </c>
      <c r="AC361" s="307">
        <f t="shared" si="369"/>
        <v>-161194272.10908744</v>
      </c>
      <c r="AD361" s="307">
        <f t="shared" si="369"/>
        <v>-268889936.08467561</v>
      </c>
      <c r="AE361" s="307">
        <f t="shared" si="369"/>
        <v>-316939638.86053598</v>
      </c>
      <c r="AF361" s="307">
        <f t="shared" si="369"/>
        <v>-255751472.91821983</v>
      </c>
      <c r="AG361" s="307">
        <f t="shared" si="369"/>
        <v>-260843602.74704495</v>
      </c>
      <c r="AH361" s="307">
        <f t="shared" si="369"/>
        <v>-433349508.34689981</v>
      </c>
      <c r="AI361" s="307">
        <f t="shared" si="369"/>
        <v>-459878773.90025735</v>
      </c>
      <c r="AJ361" s="307">
        <f t="shared" si="370"/>
        <v>-775404540.08700883</v>
      </c>
      <c r="AK361" s="307">
        <f t="shared" si="370"/>
        <v>-1198505974.8822248</v>
      </c>
      <c r="AL361" s="307">
        <f t="shared" si="370"/>
        <v>-1548819529.0191305</v>
      </c>
      <c r="AM361" s="307">
        <f t="shared" si="370"/>
        <v>-1975599247.5931613</v>
      </c>
      <c r="AN361" s="307">
        <f t="shared" si="370"/>
        <v>-2133582161.8681655</v>
      </c>
      <c r="AO361" s="307">
        <f t="shared" si="370"/>
        <v>-2272200614.8371515</v>
      </c>
      <c r="AP361" s="307">
        <f t="shared" si="370"/>
        <v>-2287291800.9091859</v>
      </c>
      <c r="AR361" s="308">
        <v>2687.2300345918111</v>
      </c>
      <c r="AS361" s="308">
        <f t="shared" si="371"/>
        <v>-2687.2300345918111</v>
      </c>
      <c r="AT361" s="308">
        <v>1037.2982255433815</v>
      </c>
      <c r="AU361" s="308">
        <f t="shared" si="372"/>
        <v>5822.7017744566183</v>
      </c>
      <c r="AV361" s="308">
        <v>26016.12992965903</v>
      </c>
      <c r="AW361" s="308">
        <f t="shared" si="373"/>
        <v>110898.87007034097</v>
      </c>
      <c r="AX361" s="308">
        <v>52514.552170337847</v>
      </c>
      <c r="AY361" s="308">
        <f t="shared" si="374"/>
        <v>28601.447829662153</v>
      </c>
      <c r="AZ361" s="308">
        <v>65859</v>
      </c>
      <c r="BA361" s="308">
        <f t="shared" si="375"/>
        <v>0</v>
      </c>
      <c r="BB361" s="331">
        <v>0</v>
      </c>
      <c r="BC361" s="308">
        <f t="shared" si="376"/>
        <v>0</v>
      </c>
    </row>
    <row r="362" spans="1:55">
      <c r="A362" s="301" t="s">
        <v>45</v>
      </c>
      <c r="B362" s="308">
        <f>'Monthly D5 Gallon Data'!$Q6</f>
        <v>0</v>
      </c>
      <c r="C362" s="308">
        <f>'Monthly D5 Gallon Data'!$Q18</f>
        <v>0</v>
      </c>
      <c r="D362" s="308">
        <f>'Monthly D5 Gallon Data'!$Q30</f>
        <v>0</v>
      </c>
      <c r="E362" s="308">
        <f>'Monthly D5 Gallon Data'!$Q42</f>
        <v>0</v>
      </c>
      <c r="F362" s="308">
        <f>'Monthly D5 Gallon Data'!$Q54</f>
        <v>0</v>
      </c>
      <c r="G362" s="308">
        <f>'Monthly D5 Gallon Data'!$Q66</f>
        <v>0</v>
      </c>
      <c r="H362" s="308">
        <f>'Monthly D5 Gallon Data'!$Q78</f>
        <v>0</v>
      </c>
      <c r="I362" s="308">
        <f>'Monthly D5 Gallon Data'!$Q90</f>
        <v>0</v>
      </c>
      <c r="J362" s="308">
        <f>'Monthly D5 Gallon Data'!$Q102</f>
        <v>69321</v>
      </c>
      <c r="K362" s="308">
        <f>'Monthly D5 Gallon Data'!$Q114</f>
        <v>10859</v>
      </c>
      <c r="L362" s="308">
        <f>'Monthly D5 Gallon Data'!$Q126</f>
        <v>0</v>
      </c>
      <c r="M362" s="308">
        <f>'Monthly D5 Gallon Data'!$Q138</f>
        <v>8056</v>
      </c>
      <c r="N362" s="308">
        <f>'Monthly D5 Gallon Data'!$Q150</f>
        <v>173422</v>
      </c>
      <c r="O362" s="308">
        <f>'Monthly D5 Gallon Data'!$Q162</f>
        <v>20698</v>
      </c>
      <c r="P362" s="308">
        <f>'Monthly D5 Gallon Data'!$Q174</f>
        <v>62223</v>
      </c>
      <c r="Q362" s="332">
        <f>'Monthly D5 Gallon Data'!$Q186</f>
        <v>0</v>
      </c>
      <c r="R362" s="307">
        <f t="shared" si="367"/>
        <v>15691965.113368237</v>
      </c>
      <c r="S362" s="307">
        <f t="shared" si="368"/>
        <v>-7338669.1804449027</v>
      </c>
      <c r="T362" s="307">
        <f t="shared" si="369"/>
        <v>-16603580.77587454</v>
      </c>
      <c r="U362" s="307">
        <f t="shared" si="369"/>
        <v>5656985.9712842284</v>
      </c>
      <c r="V362" s="307">
        <f t="shared" si="369"/>
        <v>4488394.1066032574</v>
      </c>
      <c r="W362" s="307">
        <f t="shared" si="369"/>
        <v>108749.88387657571</v>
      </c>
      <c r="X362" s="307">
        <f t="shared" si="369"/>
        <v>158853664.17320877</v>
      </c>
      <c r="Y362" s="307">
        <f t="shared" si="369"/>
        <v>223970908.51707301</v>
      </c>
      <c r="Z362" s="307">
        <f t="shared" si="369"/>
        <v>369386293.90242565</v>
      </c>
      <c r="AA362" s="307">
        <f t="shared" si="369"/>
        <v>303119585.77294689</v>
      </c>
      <c r="AB362" s="307">
        <f t="shared" si="369"/>
        <v>-111988285.58253326</v>
      </c>
      <c r="AC362" s="307">
        <f t="shared" si="369"/>
        <v>-146789686.52545506</v>
      </c>
      <c r="AD362" s="307">
        <f t="shared" si="369"/>
        <v>-244846634.45853135</v>
      </c>
      <c r="AE362" s="307">
        <f t="shared" si="369"/>
        <v>-288515777.6273694</v>
      </c>
      <c r="AF362" s="307">
        <f t="shared" si="369"/>
        <v>-232849473.24463752</v>
      </c>
      <c r="AG362" s="307">
        <f t="shared" si="369"/>
        <v>-237496129.60676199</v>
      </c>
      <c r="AH362" s="307">
        <f t="shared" si="369"/>
        <v>-394555355.51027107</v>
      </c>
      <c r="AI362" s="307">
        <f t="shared" si="369"/>
        <v>-418701956.0399552</v>
      </c>
      <c r="AJ362" s="307">
        <f t="shared" si="370"/>
        <v>-705961370.28248799</v>
      </c>
      <c r="AK362" s="307">
        <f t="shared" si="370"/>
        <v>-1091192678.2507203</v>
      </c>
      <c r="AL362" s="307">
        <f t="shared" si="370"/>
        <v>-1410140522.8250592</v>
      </c>
      <c r="AM362" s="307">
        <f t="shared" si="370"/>
        <v>-1798703404.3309159</v>
      </c>
      <c r="AN362" s="307">
        <f t="shared" si="370"/>
        <v>-1942537568.447413</v>
      </c>
      <c r="AO362" s="307">
        <f t="shared" si="370"/>
        <v>-2068743437.5916991</v>
      </c>
      <c r="AP362" s="307">
        <f t="shared" si="370"/>
        <v>-2082486328.835309</v>
      </c>
      <c r="AR362" s="308">
        <v>3300.1507339832733</v>
      </c>
      <c r="AS362" s="308">
        <f t="shared" si="371"/>
        <v>-3300.1507339832733</v>
      </c>
      <c r="AT362" s="308">
        <v>2121.710540779296</v>
      </c>
      <c r="AU362" s="308">
        <f t="shared" si="372"/>
        <v>5934.289459220704</v>
      </c>
      <c r="AV362" s="308">
        <v>32001.144733889763</v>
      </c>
      <c r="AW362" s="308">
        <f t="shared" si="373"/>
        <v>141420.85526611024</v>
      </c>
      <c r="AX362" s="308">
        <v>67280.107267237167</v>
      </c>
      <c r="AY362" s="308">
        <f t="shared" si="374"/>
        <v>-46582.107267237167</v>
      </c>
      <c r="AZ362" s="308">
        <v>62223</v>
      </c>
      <c r="BA362" s="308">
        <f t="shared" si="375"/>
        <v>0</v>
      </c>
      <c r="BB362" s="331">
        <v>40555.9550340715</v>
      </c>
      <c r="BC362" s="308">
        <f t="shared" si="376"/>
        <v>-40555.9550340715</v>
      </c>
    </row>
    <row r="363" spans="1:55">
      <c r="A363" s="301" t="s">
        <v>46</v>
      </c>
      <c r="B363" s="308">
        <f>'Monthly D5 Gallon Data'!$Q7</f>
        <v>0</v>
      </c>
      <c r="C363" s="308">
        <f>'Monthly D5 Gallon Data'!$Q19</f>
        <v>0</v>
      </c>
      <c r="D363" s="308">
        <f>'Monthly D5 Gallon Data'!$Q31</f>
        <v>0</v>
      </c>
      <c r="E363" s="308">
        <f>'Monthly D5 Gallon Data'!$Q43</f>
        <v>0</v>
      </c>
      <c r="F363" s="308">
        <f>'Monthly D5 Gallon Data'!$Q55</f>
        <v>0</v>
      </c>
      <c r="G363" s="308">
        <f>'Monthly D5 Gallon Data'!$Q67</f>
        <v>68</v>
      </c>
      <c r="H363" s="308">
        <f>'Monthly D5 Gallon Data'!$Q79</f>
        <v>0</v>
      </c>
      <c r="I363" s="308">
        <f>'Monthly D5 Gallon Data'!$Q91</f>
        <v>0</v>
      </c>
      <c r="J363" s="308">
        <f>'Monthly D5 Gallon Data'!$Q103</f>
        <v>182174</v>
      </c>
      <c r="K363" s="308">
        <f>'Monthly D5 Gallon Data'!$Q115</f>
        <v>6004</v>
      </c>
      <c r="L363" s="308">
        <f>'Monthly D5 Gallon Data'!$Q127</f>
        <v>8244</v>
      </c>
      <c r="M363" s="308">
        <f>'Monthly D5 Gallon Data'!$Q139</f>
        <v>10683</v>
      </c>
      <c r="N363" s="308">
        <f>'Monthly D5 Gallon Data'!$Q151</f>
        <v>105556</v>
      </c>
      <c r="O363" s="308">
        <f>'Monthly D5 Gallon Data'!$Q163</f>
        <v>586374</v>
      </c>
      <c r="P363" s="308">
        <f>'Monthly D5 Gallon Data'!$Q175</f>
        <v>73154</v>
      </c>
      <c r="Q363" s="307">
        <f t="shared" ref="Q363:Q370" si="377">(SUM(L363:P363)/SUM(L$372:P$372))*Q$372</f>
        <v>-757496.52427846345</v>
      </c>
      <c r="R363" s="307">
        <f t="shared" si="367"/>
        <v>1084344.7502713436</v>
      </c>
      <c r="S363" s="307">
        <f t="shared" si="368"/>
        <v>-502456.39330930612</v>
      </c>
      <c r="T363" s="307">
        <f t="shared" si="369"/>
        <v>-952417.66480099014</v>
      </c>
      <c r="U363" s="307">
        <f t="shared" si="369"/>
        <v>728792.14522887627</v>
      </c>
      <c r="V363" s="307">
        <f t="shared" si="369"/>
        <v>690980.18240996788</v>
      </c>
      <c r="W363" s="307">
        <f t="shared" si="369"/>
        <v>60210.724220085132</v>
      </c>
      <c r="X363" s="307">
        <f t="shared" si="369"/>
        <v>-291395.43357737106</v>
      </c>
      <c r="Y363" s="307">
        <f t="shared" si="369"/>
        <v>346844.18141895224</v>
      </c>
      <c r="Z363" s="307">
        <f t="shared" si="369"/>
        <v>1442885.2497087868</v>
      </c>
      <c r="AA363" s="307">
        <f t="shared" si="369"/>
        <v>900988.16028077248</v>
      </c>
      <c r="AB363" s="307">
        <f t="shared" si="369"/>
        <v>-260970.85479459338</v>
      </c>
      <c r="AC363" s="307">
        <f t="shared" si="369"/>
        <v>-332740.25958620961</v>
      </c>
      <c r="AD363" s="307">
        <f t="shared" si="369"/>
        <v>-805152.78590383183</v>
      </c>
      <c r="AE363" s="307">
        <f t="shared" si="369"/>
        <v>-1614448.7102607156</v>
      </c>
      <c r="AF363" s="307">
        <f t="shared" si="369"/>
        <v>-1005792.8766099123</v>
      </c>
      <c r="AG363" s="307">
        <f t="shared" si="369"/>
        <v>-931250.18823703006</v>
      </c>
      <c r="AH363" s="307">
        <f t="shared" si="369"/>
        <v>-1608192.6045249824</v>
      </c>
      <c r="AI363" s="307">
        <f t="shared" si="369"/>
        <v>-1786136.318417981</v>
      </c>
      <c r="AJ363" s="307">
        <f t="shared" si="370"/>
        <v>-3119027.2862946456</v>
      </c>
      <c r="AK363" s="307">
        <f t="shared" si="370"/>
        <v>-4634690.0611157175</v>
      </c>
      <c r="AL363" s="307">
        <f t="shared" si="370"/>
        <v>-5981059.9484495353</v>
      </c>
      <c r="AM363" s="307">
        <f t="shared" si="370"/>
        <v>-7663172.2624651939</v>
      </c>
      <c r="AN363" s="307">
        <f t="shared" si="370"/>
        <v>-8302018.2447822783</v>
      </c>
      <c r="AO363" s="307">
        <f t="shared" si="370"/>
        <v>-8842383.132257212</v>
      </c>
      <c r="AP363" s="307">
        <f t="shared" si="370"/>
        <v>-8875679.0041939076</v>
      </c>
      <c r="AR363" s="308">
        <v>2.154450172171948E-2</v>
      </c>
      <c r="AS363" s="308">
        <f t="shared" si="371"/>
        <v>8243.978455498278</v>
      </c>
      <c r="AT363" s="308">
        <v>5148.2206608619663</v>
      </c>
      <c r="AU363" s="308">
        <f t="shared" si="372"/>
        <v>5534.7793391380337</v>
      </c>
      <c r="AV363" s="308">
        <v>475755.69790380506</v>
      </c>
      <c r="AW363" s="308">
        <f t="shared" si="373"/>
        <v>-370199.69790380506</v>
      </c>
      <c r="AX363" s="308">
        <v>78212.780810074735</v>
      </c>
      <c r="AY363" s="308">
        <f t="shared" si="374"/>
        <v>508161.21918992524</v>
      </c>
      <c r="AZ363" s="308">
        <v>73154</v>
      </c>
      <c r="BA363" s="308">
        <f t="shared" si="375"/>
        <v>0</v>
      </c>
      <c r="BB363" s="331">
        <v>120258.83177401364</v>
      </c>
      <c r="BC363" s="308">
        <f t="shared" si="376"/>
        <v>-877755.35605247715</v>
      </c>
    </row>
    <row r="364" spans="1:55">
      <c r="A364" s="301" t="s">
        <v>47</v>
      </c>
      <c r="B364" s="308">
        <f>'Monthly D5 Gallon Data'!$Q8</f>
        <v>0</v>
      </c>
      <c r="C364" s="308">
        <f>'Monthly D5 Gallon Data'!$Q20</f>
        <v>0</v>
      </c>
      <c r="D364" s="308">
        <f>'Monthly D5 Gallon Data'!$Q32</f>
        <v>0</v>
      </c>
      <c r="E364" s="308">
        <f>'Monthly D5 Gallon Data'!$Q44</f>
        <v>0</v>
      </c>
      <c r="F364" s="308">
        <f>'Monthly D5 Gallon Data'!$Q56</f>
        <v>0</v>
      </c>
      <c r="G364" s="308">
        <f>'Monthly D5 Gallon Data'!$Q68</f>
        <v>1429</v>
      </c>
      <c r="H364" s="308">
        <f>'Monthly D5 Gallon Data'!$Q80</f>
        <v>0</v>
      </c>
      <c r="I364" s="308">
        <f>'Monthly D5 Gallon Data'!$Q92</f>
        <v>0</v>
      </c>
      <c r="J364" s="308">
        <f>'Monthly D5 Gallon Data'!$Q104</f>
        <v>225406</v>
      </c>
      <c r="K364" s="308">
        <f>'Monthly D5 Gallon Data'!$Q116</f>
        <v>9006</v>
      </c>
      <c r="L364" s="308">
        <f>'Monthly D5 Gallon Data'!$Q128</f>
        <v>7740</v>
      </c>
      <c r="M364" s="308">
        <f>'Monthly D5 Gallon Data'!$Q140</f>
        <v>10694</v>
      </c>
      <c r="N364" s="308">
        <f>'Monthly D5 Gallon Data'!$Q152</f>
        <v>73892</v>
      </c>
      <c r="O364" s="308">
        <f>'Monthly D5 Gallon Data'!$Q164</f>
        <v>84107</v>
      </c>
      <c r="P364" s="308">
        <f>'Monthly D5 Gallon Data'!$Q176</f>
        <v>54250</v>
      </c>
      <c r="Q364" s="307">
        <f t="shared" si="377"/>
        <v>-222881.52935370646</v>
      </c>
      <c r="R364" s="307">
        <f t="shared" si="367"/>
        <v>3648.2559961818029</v>
      </c>
      <c r="S364" s="307">
        <f t="shared" si="368"/>
        <v>3213.8375602177694</v>
      </c>
      <c r="T364" s="307">
        <f t="shared" si="369"/>
        <v>152849.85394098016</v>
      </c>
      <c r="U364" s="307">
        <f t="shared" si="369"/>
        <v>6162.3801088408945</v>
      </c>
      <c r="V364" s="307">
        <f t="shared" si="369"/>
        <v>98666.13954637789</v>
      </c>
      <c r="W364" s="307">
        <f t="shared" si="369"/>
        <v>15180.632906011968</v>
      </c>
      <c r="X364" s="307">
        <f t="shared" si="369"/>
        <v>-3203886.4997881087</v>
      </c>
      <c r="Y364" s="307">
        <f t="shared" si="369"/>
        <v>-4304568.8778053522</v>
      </c>
      <c r="Z364" s="307">
        <f t="shared" si="369"/>
        <v>-6943115.3363144919</v>
      </c>
      <c r="AA364" s="307">
        <f t="shared" si="369"/>
        <v>-5742599.0228510713</v>
      </c>
      <c r="AB364" s="307">
        <f t="shared" si="369"/>
        <v>2141109.0186082036</v>
      </c>
      <c r="AC364" s="307">
        <f t="shared" si="369"/>
        <v>2809164.285191562</v>
      </c>
      <c r="AD364" s="307">
        <f t="shared" si="369"/>
        <v>4622802.8602672117</v>
      </c>
      <c r="AE364" s="307">
        <f t="shared" si="369"/>
        <v>5317612.857837012</v>
      </c>
      <c r="AF364" s="307">
        <f t="shared" si="369"/>
        <v>4355904.5839200169</v>
      </c>
      <c r="AG364" s="307">
        <f t="shared" si="369"/>
        <v>4459548.0202316036</v>
      </c>
      <c r="AH364" s="307">
        <f t="shared" si="369"/>
        <v>7395581.1438858807</v>
      </c>
      <c r="AI364" s="307">
        <f t="shared" si="369"/>
        <v>7830901.7286555218</v>
      </c>
      <c r="AJ364" s="307">
        <f t="shared" si="370"/>
        <v>13183932.662469413</v>
      </c>
      <c r="AK364" s="307">
        <f t="shared" si="370"/>
        <v>20416829.487583108</v>
      </c>
      <c r="AL364" s="307">
        <f t="shared" si="370"/>
        <v>26384939.283703655</v>
      </c>
      <c r="AM364" s="307">
        <f t="shared" si="370"/>
        <v>33648219.423308656</v>
      </c>
      <c r="AN364" s="307">
        <f t="shared" si="370"/>
        <v>36333664.945369132</v>
      </c>
      <c r="AO364" s="307">
        <f t="shared" si="370"/>
        <v>38694425.396629423</v>
      </c>
      <c r="AP364" s="307">
        <f t="shared" si="370"/>
        <v>38956635.773387991</v>
      </c>
      <c r="AR364" s="308">
        <v>2809.2077967177443</v>
      </c>
      <c r="AS364" s="308">
        <f t="shared" si="371"/>
        <v>4930.7922032822553</v>
      </c>
      <c r="AT364" s="308">
        <v>6346.8250950814463</v>
      </c>
      <c r="AU364" s="308">
        <f t="shared" si="372"/>
        <v>4347.1749049185537</v>
      </c>
      <c r="AV364" s="308">
        <v>103525.87576451921</v>
      </c>
      <c r="AW364" s="308">
        <f t="shared" si="373"/>
        <v>-29633.875764519209</v>
      </c>
      <c r="AX364" s="308">
        <v>81734.170799435145</v>
      </c>
      <c r="AY364" s="308">
        <f t="shared" si="374"/>
        <v>2372.8292005648545</v>
      </c>
      <c r="AZ364" s="308">
        <v>54250</v>
      </c>
      <c r="BA364" s="308">
        <f t="shared" si="375"/>
        <v>0</v>
      </c>
      <c r="BB364" s="331">
        <v>35384.284264027912</v>
      </c>
      <c r="BC364" s="308">
        <f t="shared" si="376"/>
        <v>-258265.81361773435</v>
      </c>
    </row>
    <row r="365" spans="1:55">
      <c r="A365" s="301" t="s">
        <v>48</v>
      </c>
      <c r="B365" s="308">
        <f>'Monthly D5 Gallon Data'!$Q9</f>
        <v>0</v>
      </c>
      <c r="C365" s="308">
        <f>'Monthly D5 Gallon Data'!$Q21</f>
        <v>0</v>
      </c>
      <c r="D365" s="308">
        <f>'Monthly D5 Gallon Data'!$Q33</f>
        <v>0</v>
      </c>
      <c r="E365" s="308">
        <f>'Monthly D5 Gallon Data'!$Q45</f>
        <v>0</v>
      </c>
      <c r="F365" s="308">
        <f>'Monthly D5 Gallon Data'!$Q57</f>
        <v>0</v>
      </c>
      <c r="G365" s="308">
        <f>'Monthly D5 Gallon Data'!$Q69</f>
        <v>0</v>
      </c>
      <c r="H365" s="308">
        <f>'Monthly D5 Gallon Data'!$Q81</f>
        <v>0</v>
      </c>
      <c r="I365" s="308">
        <f>'Monthly D5 Gallon Data'!$Q93</f>
        <v>11985</v>
      </c>
      <c r="J365" s="308">
        <f>'Monthly D5 Gallon Data'!$Q105</f>
        <v>356242</v>
      </c>
      <c r="K365" s="308">
        <f>'Monthly D5 Gallon Data'!$Q117</f>
        <v>15538</v>
      </c>
      <c r="L365" s="308">
        <f>'Monthly D5 Gallon Data'!$Q129</f>
        <v>8314</v>
      </c>
      <c r="M365" s="308">
        <f>'Monthly D5 Gallon Data'!$Q141</f>
        <v>244138</v>
      </c>
      <c r="N365" s="308">
        <f>'Monthly D5 Gallon Data'!$Q153</f>
        <v>71031</v>
      </c>
      <c r="O365" s="308">
        <f>'Monthly D5 Gallon Data'!$Q165</f>
        <v>122158</v>
      </c>
      <c r="P365" s="308">
        <f>'Monthly D5 Gallon Data'!$Q177</f>
        <v>113403</v>
      </c>
      <c r="Q365" s="307">
        <f t="shared" si="377"/>
        <v>-540137.68546452699</v>
      </c>
      <c r="R365" s="307">
        <f t="shared" si="367"/>
        <v>628649.23906847509</v>
      </c>
      <c r="S365" s="307">
        <f t="shared" si="368"/>
        <v>-181808.26776773258</v>
      </c>
      <c r="T365" s="307">
        <f t="shared" si="369"/>
        <v>-279994.76307743427</v>
      </c>
      <c r="U365" s="307">
        <f t="shared" si="369"/>
        <v>179552.31629297262</v>
      </c>
      <c r="V365" s="307">
        <f t="shared" si="369"/>
        <v>335317.19684102666</v>
      </c>
      <c r="W365" s="307">
        <f t="shared" si="369"/>
        <v>39120.200487937989</v>
      </c>
      <c r="X365" s="307">
        <f t="shared" si="369"/>
        <v>-1069846.871074196</v>
      </c>
      <c r="Y365" s="307">
        <f t="shared" si="369"/>
        <v>-1168804.9383027658</v>
      </c>
      <c r="Z365" s="307">
        <f t="shared" si="369"/>
        <v>-1583120.8453430135</v>
      </c>
      <c r="AA365" s="307">
        <f t="shared" si="369"/>
        <v>-1380739.660030301</v>
      </c>
      <c r="AB365" s="307">
        <f t="shared" si="369"/>
        <v>547866.16740610835</v>
      </c>
      <c r="AC365" s="307">
        <f t="shared" si="369"/>
        <v>724290.79597440583</v>
      </c>
      <c r="AD365" s="307">
        <f t="shared" si="369"/>
        <v>1098301.9829657299</v>
      </c>
      <c r="AE365" s="307">
        <f t="shared" si="369"/>
        <v>1013763.7471363528</v>
      </c>
      <c r="AF365" s="307">
        <f t="shared" si="369"/>
        <v>953967.54187205434</v>
      </c>
      <c r="AG365" s="307">
        <f t="shared" si="369"/>
        <v>1005183.9858877526</v>
      </c>
      <c r="AH365" s="307">
        <f t="shared" si="369"/>
        <v>1644586.8450046617</v>
      </c>
      <c r="AI365" s="307">
        <f t="shared" si="369"/>
        <v>1711564.794438818</v>
      </c>
      <c r="AJ365" s="307">
        <f t="shared" si="370"/>
        <v>2842073.4223891306</v>
      </c>
      <c r="AK365" s="307">
        <f t="shared" si="370"/>
        <v>4473979.3917794144</v>
      </c>
      <c r="AL365" s="307">
        <f t="shared" si="370"/>
        <v>5782055.3156727776</v>
      </c>
      <c r="AM365" s="307">
        <f t="shared" si="370"/>
        <v>7361261.3205099674</v>
      </c>
      <c r="AN365" s="307">
        <f t="shared" si="370"/>
        <v>7939217.5125074694</v>
      </c>
      <c r="AO365" s="307">
        <f t="shared" si="370"/>
        <v>8454931.2647419516</v>
      </c>
      <c r="AP365" s="307">
        <f t="shared" si="370"/>
        <v>8521918.2014232688</v>
      </c>
      <c r="AR365" s="308">
        <v>125683.95293391107</v>
      </c>
      <c r="AS365" s="308">
        <f t="shared" si="371"/>
        <v>-117369.95293391107</v>
      </c>
      <c r="AT365" s="308">
        <v>6873.870717848873</v>
      </c>
      <c r="AU365" s="308">
        <f t="shared" si="372"/>
        <v>237264.12928215112</v>
      </c>
      <c r="AV365" s="308">
        <v>197940.13564527515</v>
      </c>
      <c r="AW365" s="308">
        <f t="shared" si="373"/>
        <v>-126909.13564527515</v>
      </c>
      <c r="AX365" s="308">
        <v>252391.08598598751</v>
      </c>
      <c r="AY365" s="308">
        <f t="shared" si="374"/>
        <v>-130233.08598598751</v>
      </c>
      <c r="AZ365" s="308">
        <v>113403</v>
      </c>
      <c r="BA365" s="308">
        <f t="shared" si="375"/>
        <v>0</v>
      </c>
      <c r="BB365" s="331">
        <v>85751.320262434689</v>
      </c>
      <c r="BC365" s="308">
        <f t="shared" si="376"/>
        <v>-625889.00572696165</v>
      </c>
    </row>
    <row r="366" spans="1:55">
      <c r="A366" s="301" t="s">
        <v>49</v>
      </c>
      <c r="B366" s="308">
        <f>'Monthly D5 Gallon Data'!$Q10</f>
        <v>0</v>
      </c>
      <c r="C366" s="308">
        <f>'Monthly D5 Gallon Data'!$Q22</f>
        <v>0</v>
      </c>
      <c r="D366" s="308">
        <f>'Monthly D5 Gallon Data'!$Q34</f>
        <v>0</v>
      </c>
      <c r="E366" s="308">
        <f>'Monthly D5 Gallon Data'!$Q46</f>
        <v>0</v>
      </c>
      <c r="F366" s="308">
        <f>'Monthly D5 Gallon Data'!$Q58</f>
        <v>0</v>
      </c>
      <c r="G366" s="308">
        <f>'Monthly D5 Gallon Data'!$Q70</f>
        <v>1868</v>
      </c>
      <c r="H366" s="308">
        <f>'Monthly D5 Gallon Data'!$Q82</f>
        <v>0</v>
      </c>
      <c r="I366" s="308">
        <f>'Monthly D5 Gallon Data'!$Q94</f>
        <v>0</v>
      </c>
      <c r="J366" s="308">
        <f>'Monthly D5 Gallon Data'!$Q106</f>
        <v>109444</v>
      </c>
      <c r="K366" s="308">
        <f>'Monthly D5 Gallon Data'!$Q118</f>
        <v>6532</v>
      </c>
      <c r="L366" s="308">
        <f>'Monthly D5 Gallon Data'!$Q130</f>
        <v>10378</v>
      </c>
      <c r="M366" s="308">
        <f>'Monthly D5 Gallon Data'!$Q142</f>
        <v>229115</v>
      </c>
      <c r="N366" s="308">
        <f>'Monthly D5 Gallon Data'!$Q154</f>
        <v>51846</v>
      </c>
      <c r="O366" s="308">
        <f>'Monthly D5 Gallon Data'!$Q166</f>
        <v>118176</v>
      </c>
      <c r="P366" s="308">
        <f>'Monthly D5 Gallon Data'!$Q178</f>
        <v>106952</v>
      </c>
      <c r="Q366" s="307">
        <f t="shared" si="377"/>
        <v>-499000.59744636889</v>
      </c>
      <c r="R366" s="307">
        <f t="shared" si="367"/>
        <v>420693.59407974192</v>
      </c>
      <c r="S366" s="307">
        <f t="shared" si="368"/>
        <v>-91417.306149408891</v>
      </c>
      <c r="T366" s="307">
        <f t="shared" si="369"/>
        <v>-109041.72540206178</v>
      </c>
      <c r="U366" s="307">
        <f t="shared" si="369"/>
        <v>118703.25405982761</v>
      </c>
      <c r="V366" s="307">
        <f t="shared" si="369"/>
        <v>277031.25549466006</v>
      </c>
      <c r="W366" s="307">
        <f t="shared" si="369"/>
        <v>35347.334437688274</v>
      </c>
      <c r="X366" s="307">
        <f t="shared" si="369"/>
        <v>-2676428.8165729726</v>
      </c>
      <c r="Y366" s="307">
        <f t="shared" si="369"/>
        <v>-3457704.9648319781</v>
      </c>
      <c r="Z366" s="307">
        <f t="shared" si="369"/>
        <v>-5359306.4312078655</v>
      </c>
      <c r="AA366" s="307">
        <f t="shared" si="369"/>
        <v>-4478280.7795031397</v>
      </c>
      <c r="AB366" s="307">
        <f t="shared" si="369"/>
        <v>1690942.6526153346</v>
      </c>
      <c r="AC366" s="307">
        <f t="shared" si="369"/>
        <v>2222174.5720784129</v>
      </c>
      <c r="AD366" s="307">
        <f t="shared" si="369"/>
        <v>3602318.0577966305</v>
      </c>
      <c r="AE366" s="307">
        <f t="shared" si="369"/>
        <v>3967150.7503832816</v>
      </c>
      <c r="AF366" s="307">
        <f t="shared" si="369"/>
        <v>3335131.7448221813</v>
      </c>
      <c r="AG366" s="307">
        <f t="shared" si="369"/>
        <v>3433351.6534519782</v>
      </c>
      <c r="AH366" s="307">
        <f t="shared" si="369"/>
        <v>5679182.7572465297</v>
      </c>
      <c r="AI366" s="307">
        <f t="shared" si="369"/>
        <v>5994016.3925873768</v>
      </c>
      <c r="AJ366" s="307">
        <f t="shared" si="370"/>
        <v>10062707.569119742</v>
      </c>
      <c r="AK366" s="307">
        <f t="shared" si="370"/>
        <v>15633464.087268518</v>
      </c>
      <c r="AL366" s="307">
        <f t="shared" si="370"/>
        <v>20203455.551229924</v>
      </c>
      <c r="AM366" s="307">
        <f t="shared" si="370"/>
        <v>25756772.150192566</v>
      </c>
      <c r="AN366" s="307">
        <f t="shared" si="370"/>
        <v>27805934.281903911</v>
      </c>
      <c r="AO366" s="307">
        <f t="shared" si="370"/>
        <v>29612290.057053044</v>
      </c>
      <c r="AP366" s="307">
        <f t="shared" si="370"/>
        <v>29819662.764783669</v>
      </c>
      <c r="AR366" s="308">
        <v>8243.3868447115419</v>
      </c>
      <c r="AS366" s="308">
        <f t="shared" si="371"/>
        <v>2134.6131552884581</v>
      </c>
      <c r="AT366" s="308">
        <v>311130.24639510794</v>
      </c>
      <c r="AU366" s="308">
        <f t="shared" si="372"/>
        <v>-82015.246395107941</v>
      </c>
      <c r="AV366" s="308">
        <v>852111.37839410256</v>
      </c>
      <c r="AW366" s="308">
        <f t="shared" si="373"/>
        <v>-800265.37839410256</v>
      </c>
      <c r="AX366" s="308">
        <v>1464413.9290897062</v>
      </c>
      <c r="AY366" s="308">
        <f t="shared" si="374"/>
        <v>-1346237.9290897062</v>
      </c>
      <c r="AZ366" s="309">
        <v>106952</v>
      </c>
      <c r="BA366" s="308">
        <f t="shared" si="375"/>
        <v>0</v>
      </c>
      <c r="BB366" s="331">
        <v>79220.467659037313</v>
      </c>
      <c r="BC366" s="308">
        <f t="shared" si="376"/>
        <v>-578221.06510540622</v>
      </c>
    </row>
    <row r="367" spans="1:55">
      <c r="A367" s="301" t="s">
        <v>50</v>
      </c>
      <c r="B367" s="308">
        <f>'Monthly D5 Gallon Data'!$Q11</f>
        <v>0</v>
      </c>
      <c r="C367" s="308">
        <f>'Monthly D5 Gallon Data'!$Q23</f>
        <v>0</v>
      </c>
      <c r="D367" s="308">
        <f>'Monthly D5 Gallon Data'!$Q35</f>
        <v>0</v>
      </c>
      <c r="E367" s="308">
        <f>'Monthly D5 Gallon Data'!$Q47</f>
        <v>0</v>
      </c>
      <c r="F367" s="308">
        <f>'Monthly D5 Gallon Data'!$Q59</f>
        <v>0</v>
      </c>
      <c r="G367" s="308">
        <f>'Monthly D5 Gallon Data'!$Q71</f>
        <v>1429</v>
      </c>
      <c r="H367" s="308">
        <f>'Monthly D5 Gallon Data'!$Q83</f>
        <v>0</v>
      </c>
      <c r="I367" s="308">
        <f>'Monthly D5 Gallon Data'!$Q95</f>
        <v>10049</v>
      </c>
      <c r="J367" s="308">
        <f>'Monthly D5 Gallon Data'!$Q107</f>
        <v>24246</v>
      </c>
      <c r="K367" s="308">
        <f>'Monthly D5 Gallon Data'!$Q119</f>
        <v>2721</v>
      </c>
      <c r="L367" s="308">
        <f>'Monthly D5 Gallon Data'!$Q131</f>
        <v>9452</v>
      </c>
      <c r="M367" s="308">
        <f>'Monthly D5 Gallon Data'!$Q143</f>
        <v>149358</v>
      </c>
      <c r="N367" s="308">
        <f>'Monthly D5 Gallon Data'!$Q155</f>
        <v>62165</v>
      </c>
      <c r="O367" s="308">
        <f>'Monthly D5 Gallon Data'!$Q167</f>
        <v>137708</v>
      </c>
      <c r="P367" s="308">
        <f>'Monthly D5 Gallon Data'!$Q179</f>
        <v>108995</v>
      </c>
      <c r="Q367" s="307">
        <f t="shared" si="377"/>
        <v>-451861.59311732004</v>
      </c>
      <c r="R367" s="307">
        <f t="shared" si="367"/>
        <v>377724.76737920596</v>
      </c>
      <c r="S367" s="307">
        <f t="shared" si="368"/>
        <v>-108012.36231455856</v>
      </c>
      <c r="T367" s="307">
        <f t="shared" si="369"/>
        <v>-127050.36387520372</v>
      </c>
      <c r="U367" s="307">
        <f t="shared" si="369"/>
        <v>138317.75618771309</v>
      </c>
      <c r="V367" s="307">
        <f t="shared" si="369"/>
        <v>295756.44107418717</v>
      </c>
      <c r="W367" s="307">
        <f t="shared" si="369"/>
        <v>33095.961513040056</v>
      </c>
      <c r="X367" s="307">
        <f t="shared" si="369"/>
        <v>-2693658.1621623351</v>
      </c>
      <c r="Y367" s="307">
        <f t="shared" si="369"/>
        <v>-3456456.1511778389</v>
      </c>
      <c r="Z367" s="307">
        <f t="shared" si="369"/>
        <v>-5340410.6239953777</v>
      </c>
      <c r="AA367" s="307">
        <f t="shared" si="369"/>
        <v>-4470514.9892098038</v>
      </c>
      <c r="AB367" s="307">
        <f t="shared" si="369"/>
        <v>1690048.2128168168</v>
      </c>
      <c r="AC367" s="307">
        <f t="shared" si="369"/>
        <v>2220651.7145408085</v>
      </c>
      <c r="AD367" s="307">
        <f t="shared" si="369"/>
        <v>3592529.8898336389</v>
      </c>
      <c r="AE367" s="307">
        <f t="shared" si="369"/>
        <v>3942453.9788092361</v>
      </c>
      <c r="AF367" s="307">
        <f t="shared" si="369"/>
        <v>3321258.2935083732</v>
      </c>
      <c r="AG367" s="307">
        <f t="shared" si="369"/>
        <v>3421586.6302812509</v>
      </c>
      <c r="AH367" s="307">
        <f t="shared" si="369"/>
        <v>5658041.5880290773</v>
      </c>
      <c r="AI367" s="307">
        <f t="shared" si="369"/>
        <v>5969682.1786774024</v>
      </c>
      <c r="AJ367" s="307">
        <f t="shared" si="370"/>
        <v>10019683.716397474</v>
      </c>
      <c r="AK367" s="307">
        <f t="shared" si="370"/>
        <v>15570864.33375073</v>
      </c>
      <c r="AL367" s="307">
        <f t="shared" si="370"/>
        <v>20122813.485214293</v>
      </c>
      <c r="AM367" s="307">
        <f t="shared" si="370"/>
        <v>25653096.476459116</v>
      </c>
      <c r="AN367" s="307">
        <f t="shared" si="370"/>
        <v>27693394.954451323</v>
      </c>
      <c r="AO367" s="307">
        <f t="shared" si="370"/>
        <v>29492462.037659425</v>
      </c>
      <c r="AP367" s="307">
        <f t="shared" si="370"/>
        <v>29699573.005997527</v>
      </c>
      <c r="AR367" s="308">
        <v>8058.1095084917079</v>
      </c>
      <c r="AS367" s="308">
        <f t="shared" si="371"/>
        <v>1393.8904915082921</v>
      </c>
      <c r="AT367" s="308">
        <v>83164.17596188387</v>
      </c>
      <c r="AU367" s="308">
        <f t="shared" si="372"/>
        <v>66193.82403811613</v>
      </c>
      <c r="AV367" s="308">
        <v>212775.32593806146</v>
      </c>
      <c r="AW367" s="308">
        <f t="shared" si="373"/>
        <v>-150610.32593806146</v>
      </c>
      <c r="AX367" s="308">
        <v>83418.236727261406</v>
      </c>
      <c r="AY367" s="308">
        <f t="shared" si="374"/>
        <v>54289.763272738594</v>
      </c>
      <c r="AZ367" s="309">
        <v>108995</v>
      </c>
      <c r="BA367" s="308">
        <f t="shared" si="375"/>
        <v>0</v>
      </c>
      <c r="BB367" s="331">
        <v>71736.761252593584</v>
      </c>
      <c r="BC367" s="308">
        <f t="shared" si="376"/>
        <v>-523598.35436991364</v>
      </c>
    </row>
    <row r="368" spans="1:55">
      <c r="A368" s="301" t="s">
        <v>51</v>
      </c>
      <c r="B368" s="308">
        <f>'Monthly D5 Gallon Data'!$Q12</f>
        <v>0</v>
      </c>
      <c r="C368" s="308">
        <f>'Monthly D5 Gallon Data'!$Q24</f>
        <v>0</v>
      </c>
      <c r="D368" s="308">
        <f>'Monthly D5 Gallon Data'!$Q36</f>
        <v>0</v>
      </c>
      <c r="E368" s="308">
        <f>'Monthly D5 Gallon Data'!$Q48</f>
        <v>0</v>
      </c>
      <c r="F368" s="308">
        <f>'Monthly D5 Gallon Data'!$Q60</f>
        <v>2367</v>
      </c>
      <c r="G368" s="308">
        <f>'Monthly D5 Gallon Data'!$Q72</f>
        <v>39</v>
      </c>
      <c r="H368" s="308">
        <f>'Monthly D5 Gallon Data'!$Q84</f>
        <v>0</v>
      </c>
      <c r="I368" s="308">
        <f>'Monthly D5 Gallon Data'!$Q96</f>
        <v>76232</v>
      </c>
      <c r="J368" s="308">
        <f>'Monthly D5 Gallon Data'!$Q108</f>
        <v>23560</v>
      </c>
      <c r="K368" s="308">
        <f>'Monthly D5 Gallon Data'!$Q120</f>
        <v>0</v>
      </c>
      <c r="L368" s="308">
        <f>'Monthly D5 Gallon Data'!$Q132</f>
        <v>9276</v>
      </c>
      <c r="M368" s="308">
        <f>'Monthly D5 Gallon Data'!$Q144</f>
        <v>279130</v>
      </c>
      <c r="N368" s="308">
        <f>'Monthly D5 Gallon Data'!$Q156</f>
        <v>71465</v>
      </c>
      <c r="O368" s="308">
        <f>'Monthly D5 Gallon Data'!$Q168</f>
        <v>101931</v>
      </c>
      <c r="P368" s="308">
        <f>'Monthly D5 Gallon Data'!$Q180</f>
        <v>122167</v>
      </c>
      <c r="Q368" s="307">
        <f t="shared" si="377"/>
        <v>-564219.74664433277</v>
      </c>
      <c r="R368" s="307">
        <f t="shared" si="367"/>
        <v>621583.01007415669</v>
      </c>
      <c r="S368" s="307">
        <f t="shared" si="368"/>
        <v>-162400.24170532689</v>
      </c>
      <c r="T368" s="307">
        <f t="shared" si="369"/>
        <v>-234327.69773214229</v>
      </c>
      <c r="U368" s="307">
        <f t="shared" si="369"/>
        <v>150058.00270408491</v>
      </c>
      <c r="V368" s="307">
        <f t="shared" si="369"/>
        <v>327645.59691887372</v>
      </c>
      <c r="W368" s="307">
        <f t="shared" si="369"/>
        <v>40316.271392971394</v>
      </c>
      <c r="X368" s="307">
        <f t="shared" si="369"/>
        <v>-1407619.7296304086</v>
      </c>
      <c r="Y368" s="307">
        <f t="shared" si="369"/>
        <v>-1650623.7457819625</v>
      </c>
      <c r="Z368" s="307">
        <f t="shared" si="369"/>
        <v>-2387114.2765576621</v>
      </c>
      <c r="AA368" s="307">
        <f t="shared" si="369"/>
        <v>-2033617.6619929743</v>
      </c>
      <c r="AB368" s="307">
        <f t="shared" si="369"/>
        <v>789285.33508489502</v>
      </c>
      <c r="AC368" s="307">
        <f t="shared" si="369"/>
        <v>1040955.8103181095</v>
      </c>
      <c r="AD368" s="307">
        <f t="shared" si="369"/>
        <v>1628390.3858973575</v>
      </c>
      <c r="AE368" s="307">
        <f t="shared" si="369"/>
        <v>1643646.6995041291</v>
      </c>
      <c r="AF368" s="307">
        <f t="shared" si="369"/>
        <v>1461156.6610696362</v>
      </c>
      <c r="AG368" s="307">
        <f t="shared" si="369"/>
        <v>1520786.1545494071</v>
      </c>
      <c r="AH368" s="307">
        <f t="shared" si="369"/>
        <v>2501748.5470438953</v>
      </c>
      <c r="AI368" s="307">
        <f t="shared" si="369"/>
        <v>2621852.7247737236</v>
      </c>
      <c r="AJ368" s="307">
        <f t="shared" si="370"/>
        <v>4377883.2488858867</v>
      </c>
      <c r="AK368" s="307">
        <f t="shared" si="370"/>
        <v>6846637.0319031011</v>
      </c>
      <c r="AL368" s="307">
        <f t="shared" si="370"/>
        <v>8847784.188110264</v>
      </c>
      <c r="AM368" s="307">
        <f t="shared" si="370"/>
        <v>11272074.76756737</v>
      </c>
      <c r="AN368" s="307">
        <f t="shared" si="370"/>
        <v>12163010.392037868</v>
      </c>
      <c r="AO368" s="307">
        <f t="shared" si="370"/>
        <v>12953179.300732443</v>
      </c>
      <c r="AP368" s="307">
        <f t="shared" si="370"/>
        <v>13049853.942411179</v>
      </c>
      <c r="AR368" s="308">
        <v>8747.6017275083468</v>
      </c>
      <c r="AS368" s="308">
        <f t="shared" si="371"/>
        <v>528.39827249165319</v>
      </c>
      <c r="AT368" s="308">
        <v>85736.191628304019</v>
      </c>
      <c r="AU368" s="308">
        <f t="shared" si="372"/>
        <v>193393.80837169598</v>
      </c>
      <c r="AV368" s="308">
        <v>444249.46647108719</v>
      </c>
      <c r="AW368" s="308">
        <f t="shared" si="373"/>
        <v>-372784.46647108719</v>
      </c>
      <c r="AX368" s="308">
        <v>183080.52332617494</v>
      </c>
      <c r="AY368" s="308">
        <f t="shared" si="374"/>
        <v>-81149.523326174938</v>
      </c>
      <c r="AZ368" s="309">
        <v>122167</v>
      </c>
      <c r="BA368" s="308">
        <f t="shared" si="375"/>
        <v>0</v>
      </c>
      <c r="BB368" s="331">
        <v>89574.546444168474</v>
      </c>
      <c r="BC368" s="308">
        <f t="shared" si="376"/>
        <v>-653794.2930885012</v>
      </c>
    </row>
    <row r="369" spans="1:55">
      <c r="A369" s="301" t="s">
        <v>52</v>
      </c>
      <c r="B369" s="308">
        <f>'Monthly D5 Gallon Data'!$Q13</f>
        <v>0</v>
      </c>
      <c r="C369" s="308">
        <f>'Monthly D5 Gallon Data'!$Q25</f>
        <v>0</v>
      </c>
      <c r="D369" s="308">
        <f>'Monthly D5 Gallon Data'!$Q37</f>
        <v>0</v>
      </c>
      <c r="E369" s="308">
        <f>'Monthly D5 Gallon Data'!$Q49</f>
        <v>0</v>
      </c>
      <c r="F369" s="308">
        <f>'Monthly D5 Gallon Data'!$Q61</f>
        <v>3351</v>
      </c>
      <c r="G369" s="308">
        <f>'Monthly D5 Gallon Data'!$Q73</f>
        <v>0</v>
      </c>
      <c r="H369" s="308">
        <f>'Monthly D5 Gallon Data'!$Q85</f>
        <v>0</v>
      </c>
      <c r="I369" s="308">
        <f>'Monthly D5 Gallon Data'!$Q97</f>
        <v>21040</v>
      </c>
      <c r="J369" s="308">
        <f>'Monthly D5 Gallon Data'!$Q109</f>
        <v>18751</v>
      </c>
      <c r="K369" s="308">
        <f>'Monthly D5 Gallon Data'!$Q121</f>
        <v>0</v>
      </c>
      <c r="L369" s="308">
        <f>'Monthly D5 Gallon Data'!$Q133</f>
        <v>7669</v>
      </c>
      <c r="M369" s="308">
        <f>'Monthly D5 Gallon Data'!$Q145</f>
        <v>173281</v>
      </c>
      <c r="N369" s="308">
        <f>'Monthly D5 Gallon Data'!$Q157</f>
        <v>70406</v>
      </c>
      <c r="O369" s="308">
        <f>'Monthly D5 Gallon Data'!$Q169</f>
        <v>70596</v>
      </c>
      <c r="P369" s="308">
        <f>'Monthly D5 Gallon Data'!$Q181</f>
        <v>126126</v>
      </c>
      <c r="Q369" s="307">
        <f t="shared" si="377"/>
        <v>-432924.44571013073</v>
      </c>
      <c r="R369" s="307">
        <f t="shared" si="367"/>
        <v>444205.02651575499</v>
      </c>
      <c r="S369" s="307">
        <f t="shared" si="368"/>
        <v>-128110.67211681377</v>
      </c>
      <c r="T369" s="307">
        <f t="shared" si="369"/>
        <v>-157237.74883937216</v>
      </c>
      <c r="U369" s="307">
        <f t="shared" si="369"/>
        <v>102210.38022791209</v>
      </c>
      <c r="V369" s="307">
        <f t="shared" si="369"/>
        <v>297445.08769125852</v>
      </c>
      <c r="W369" s="307">
        <f t="shared" si="369"/>
        <v>32050.169307992954</v>
      </c>
      <c r="X369" s="307">
        <f t="shared" si="369"/>
        <v>-1698507.9099308965</v>
      </c>
      <c r="Y369" s="307">
        <f t="shared" si="369"/>
        <v>-2091375.2503261808</v>
      </c>
      <c r="Z369" s="307">
        <f t="shared" si="369"/>
        <v>-3155766.8760205256</v>
      </c>
      <c r="AA369" s="307">
        <f t="shared" si="369"/>
        <v>-2649927.1520119789</v>
      </c>
      <c r="AB369" s="307">
        <f t="shared" si="369"/>
        <v>1014746.2712160778</v>
      </c>
      <c r="AC369" s="307">
        <f t="shared" si="369"/>
        <v>1335228.6421589972</v>
      </c>
      <c r="AD369" s="307">
        <f t="shared" si="369"/>
        <v>2129825.7924164655</v>
      </c>
      <c r="AE369" s="307">
        <f t="shared" si="369"/>
        <v>2265148.3842777512</v>
      </c>
      <c r="AF369" s="307">
        <f t="shared" si="369"/>
        <v>1949863.2865531016</v>
      </c>
      <c r="AG369" s="307">
        <f t="shared" si="369"/>
        <v>2014638.7519045642</v>
      </c>
      <c r="AH369" s="307">
        <f t="shared" si="369"/>
        <v>3324733.0409093173</v>
      </c>
      <c r="AI369" s="307">
        <f t="shared" si="369"/>
        <v>3498769.5263210861</v>
      </c>
      <c r="AJ369" s="307">
        <f t="shared" si="370"/>
        <v>5861530.5689230189</v>
      </c>
      <c r="AK369" s="307">
        <f t="shared" si="370"/>
        <v>9131572.6858747788</v>
      </c>
      <c r="AL369" s="307">
        <f t="shared" si="370"/>
        <v>11800033.464820553</v>
      </c>
      <c r="AM369" s="307">
        <f t="shared" si="370"/>
        <v>15039319.299537933</v>
      </c>
      <c r="AN369" s="307">
        <f t="shared" si="370"/>
        <v>16232715.127854865</v>
      </c>
      <c r="AO369" s="307">
        <f t="shared" si="370"/>
        <v>17287375.303761818</v>
      </c>
      <c r="AP369" s="307">
        <f t="shared" si="370"/>
        <v>17411690.578583948</v>
      </c>
      <c r="AR369" s="308">
        <v>7939.2818478508088</v>
      </c>
      <c r="AS369" s="308">
        <f t="shared" si="371"/>
        <v>-270.28184785080884</v>
      </c>
      <c r="AT369" s="308">
        <v>88019.65777969551</v>
      </c>
      <c r="AU369" s="308">
        <f t="shared" si="372"/>
        <v>85261.34222030449</v>
      </c>
      <c r="AV369" s="308">
        <v>71375.292154537281</v>
      </c>
      <c r="AW369" s="308">
        <f t="shared" si="373"/>
        <v>-969.29215453728102</v>
      </c>
      <c r="AX369" s="308">
        <v>326530.72687146231</v>
      </c>
      <c r="AY369" s="308">
        <f t="shared" si="374"/>
        <v>-255934.72687146231</v>
      </c>
      <c r="AZ369" s="309">
        <v>-325047.58625443326</v>
      </c>
      <c r="BA369" s="308">
        <f t="shared" si="375"/>
        <v>451173.58625443326</v>
      </c>
      <c r="BB369" s="331">
        <v>68730.332640277353</v>
      </c>
      <c r="BC369" s="308">
        <f t="shared" si="376"/>
        <v>-501654.77835040807</v>
      </c>
    </row>
    <row r="370" spans="1:55">
      <c r="A370" s="301" t="s">
        <v>53</v>
      </c>
      <c r="B370" s="308">
        <f>'Monthly D5 Gallon Data'!$Q14</f>
        <v>0</v>
      </c>
      <c r="C370" s="308">
        <f>'Monthly D5 Gallon Data'!$Q26</f>
        <v>0</v>
      </c>
      <c r="D370" s="308">
        <f>'Monthly D5 Gallon Data'!$Q38</f>
        <v>0</v>
      </c>
      <c r="E370" s="308">
        <f>'Monthly D5 Gallon Data'!$Q50</f>
        <v>0</v>
      </c>
      <c r="F370" s="308">
        <f>'Monthly D5 Gallon Data'!$Q62</f>
        <v>604</v>
      </c>
      <c r="G370" s="308">
        <f>'Monthly D5 Gallon Data'!$Q74</f>
        <v>0</v>
      </c>
      <c r="H370" s="308">
        <f>'Monthly D5 Gallon Data'!$Q86</f>
        <v>0</v>
      </c>
      <c r="I370" s="308">
        <f>'Monthly D5 Gallon Data'!$Q98</f>
        <v>1412277</v>
      </c>
      <c r="J370" s="308">
        <f>'Monthly D5 Gallon Data'!$Q110</f>
        <v>47026</v>
      </c>
      <c r="K370" s="308">
        <f>'Monthly D5 Gallon Data'!$Q122</f>
        <v>0</v>
      </c>
      <c r="L370" s="308">
        <f>'Monthly D5 Gallon Data'!$Q134</f>
        <v>8502</v>
      </c>
      <c r="M370" s="308">
        <f>'Monthly D5 Gallon Data'!$Q146</f>
        <v>163969</v>
      </c>
      <c r="N370" s="308">
        <f>'Monthly D5 Gallon Data'!$Q158</f>
        <v>61227</v>
      </c>
      <c r="O370" s="308">
        <f>'Monthly D5 Gallon Data'!$Q170</f>
        <v>70456</v>
      </c>
      <c r="P370" s="308">
        <f>'Monthly D5 Gallon Data'!$Q182</f>
        <v>166766</v>
      </c>
      <c r="Q370" s="307">
        <f t="shared" si="377"/>
        <v>-454993.9518874276</v>
      </c>
      <c r="R370" s="307">
        <f t="shared" si="367"/>
        <v>440614.01133307413</v>
      </c>
      <c r="S370" s="307">
        <f t="shared" si="368"/>
        <v>-130715.3609557056</v>
      </c>
      <c r="T370" s="307">
        <f t="shared" si="369"/>
        <v>-181317.41895147329</v>
      </c>
      <c r="U370" s="307">
        <f t="shared" si="369"/>
        <v>110297.07338982605</v>
      </c>
      <c r="V370" s="307">
        <f t="shared" si="369"/>
        <v>374045.66332837316</v>
      </c>
      <c r="W370" s="307">
        <f t="shared" si="369"/>
        <v>35172.591399123776</v>
      </c>
      <c r="X370" s="307">
        <f t="shared" si="369"/>
        <v>-2407880.9250858277</v>
      </c>
      <c r="Y370" s="307">
        <f t="shared" si="369"/>
        <v>-3039580.1873778077</v>
      </c>
      <c r="Z370" s="307">
        <f t="shared" si="369"/>
        <v>-4630918.9929404911</v>
      </c>
      <c r="AA370" s="307">
        <f t="shared" si="369"/>
        <v>-3872729.0065153437</v>
      </c>
      <c r="AB370" s="307">
        <f t="shared" si="369"/>
        <v>1476562.4300166829</v>
      </c>
      <c r="AC370" s="307">
        <f t="shared" si="369"/>
        <v>1941114.1168723486</v>
      </c>
      <c r="AD370" s="307">
        <f t="shared" si="369"/>
        <v>3119833.2535338216</v>
      </c>
      <c r="AE370" s="307">
        <f t="shared" si="369"/>
        <v>3358938.9810630209</v>
      </c>
      <c r="AF370" s="307">
        <f t="shared" si="369"/>
        <v>2868221.5175801967</v>
      </c>
      <c r="AG370" s="307">
        <f t="shared" si="369"/>
        <v>2957648.5754800728</v>
      </c>
      <c r="AH370" s="307">
        <f t="shared" si="369"/>
        <v>4885485.2046534186</v>
      </c>
      <c r="AI370" s="307">
        <f t="shared" si="369"/>
        <v>5147485.2123536924</v>
      </c>
      <c r="AJ370" s="307">
        <f t="shared" si="370"/>
        <v>8629761.8698467165</v>
      </c>
      <c r="AK370" s="307">
        <f t="shared" si="370"/>
        <v>13430972.712599775</v>
      </c>
      <c r="AL370" s="307">
        <f t="shared" si="370"/>
        <v>17355667.006325345</v>
      </c>
      <c r="AM370" s="307">
        <f t="shared" si="370"/>
        <v>22122523.563724611</v>
      </c>
      <c r="AN370" s="307">
        <f t="shared" si="370"/>
        <v>23879819.910579056</v>
      </c>
      <c r="AO370" s="307">
        <f t="shared" si="370"/>
        <v>25431181.458900221</v>
      </c>
      <c r="AP370" s="307">
        <f t="shared" si="370"/>
        <v>25612316.286192603</v>
      </c>
      <c r="AR370" s="308">
        <v>10447.569704135414</v>
      </c>
      <c r="AS370" s="308">
        <f t="shared" si="371"/>
        <v>-1945.5697041354142</v>
      </c>
      <c r="AT370" s="308">
        <v>130551.36327127833</v>
      </c>
      <c r="AU370" s="308">
        <f t="shared" si="372"/>
        <v>33417.636728721671</v>
      </c>
      <c r="AV370" s="308">
        <v>236437.38701284718</v>
      </c>
      <c r="AW370" s="308">
        <f t="shared" si="373"/>
        <v>-175210.38701284718</v>
      </c>
      <c r="AX370" s="309">
        <v>65197.687461715032</v>
      </c>
      <c r="AY370" s="308">
        <f t="shared" si="374"/>
        <v>5258.3125382849685</v>
      </c>
      <c r="AZ370" s="309">
        <v>-307078.45750183531</v>
      </c>
      <c r="BA370" s="308">
        <f t="shared" si="375"/>
        <v>473844.45750183531</v>
      </c>
      <c r="BB370" s="331">
        <v>72234.049087345076</v>
      </c>
      <c r="BC370" s="308">
        <f t="shared" si="376"/>
        <v>-527228.00097477273</v>
      </c>
    </row>
    <row r="371" spans="1:55">
      <c r="A371" s="301" t="s">
        <v>54</v>
      </c>
      <c r="B371" s="308">
        <f>'Monthly D5 Gallon Data'!$Q15</f>
        <v>0</v>
      </c>
      <c r="C371" s="308">
        <f>'Monthly D5 Gallon Data'!$Q27</f>
        <v>0</v>
      </c>
      <c r="D371" s="308">
        <f>'Monthly D5 Gallon Data'!$Q39</f>
        <v>0</v>
      </c>
      <c r="E371" s="308">
        <f>'Monthly D5 Gallon Data'!$Q51</f>
        <v>0</v>
      </c>
      <c r="F371" s="308">
        <f>'Monthly D5 Gallon Data'!$Q63</f>
        <v>22</v>
      </c>
      <c r="G371" s="308">
        <f>'Monthly D5 Gallon Data'!$Q75</f>
        <v>0</v>
      </c>
      <c r="H371" s="308">
        <f>'Monthly D5 Gallon Data'!$Q87</f>
        <v>0</v>
      </c>
      <c r="I371" s="308">
        <f>'Monthly D5 Gallon Data'!$Q99</f>
        <v>486515</v>
      </c>
      <c r="J371" s="308">
        <f>'Monthly D5 Gallon Data'!$Q111</f>
        <v>50310</v>
      </c>
      <c r="K371" s="308">
        <f>'Monthly D5 Gallon Data'!$Q123</f>
        <v>0</v>
      </c>
      <c r="L371" s="308">
        <f>'Monthly D5 Gallon Data'!$Q135</f>
        <v>15796</v>
      </c>
      <c r="M371" s="308">
        <f>'Monthly D5 Gallon Data'!$Q147</f>
        <v>334997</v>
      </c>
      <c r="N371" s="308">
        <f>'Monthly D5 Gallon Data'!$Q159</f>
        <v>134652</v>
      </c>
      <c r="O371" s="308">
        <f>'Monthly D5 Gallon Data'!$Q171</f>
        <v>114960</v>
      </c>
      <c r="P371" s="308">
        <f>'Monthly D5 Gallon Data'!$Q183</f>
        <v>120576</v>
      </c>
      <c r="Q371" s="336">
        <f t="shared" ref="Q371:AD371" si="378">Q372-SUM(Q360:Q370)</f>
        <v>-1378061.061251523</v>
      </c>
      <c r="R371" s="307">
        <f t="shared" si="378"/>
        <v>-39934900.203024715</v>
      </c>
      <c r="S371" s="307">
        <f t="shared" si="378"/>
        <v>18839958.833290316</v>
      </c>
      <c r="T371" s="307">
        <f t="shared" si="378"/>
        <v>43766248.909122102</v>
      </c>
      <c r="U371" s="307">
        <f t="shared" si="378"/>
        <v>-14794428.238798678</v>
      </c>
      <c r="V371" s="307">
        <f t="shared" si="378"/>
        <v>-11247935.131587109</v>
      </c>
      <c r="W371" s="307">
        <f t="shared" si="378"/>
        <v>-193447.76104342926</v>
      </c>
      <c r="X371" s="307">
        <f t="shared" si="378"/>
        <v>-422086507.96352136</v>
      </c>
      <c r="Y371" s="307">
        <f t="shared" si="378"/>
        <v>-594139588.60442924</v>
      </c>
      <c r="Z371" s="307">
        <f t="shared" si="378"/>
        <v>-979628603.690575</v>
      </c>
      <c r="AA371" s="307">
        <f t="shared" si="378"/>
        <v>-803969763.45370924</v>
      </c>
      <c r="AB371" s="307">
        <f t="shared" ref="AB371" si="379">AB372-SUM(AB360:AB370)</f>
        <v>297098312.09409887</v>
      </c>
      <c r="AC371" s="307">
        <f t="shared" si="378"/>
        <v>389439166.60469383</v>
      </c>
      <c r="AD371" s="307">
        <f t="shared" si="378"/>
        <v>649342188.75120854</v>
      </c>
      <c r="AE371" s="307">
        <f>AE372-SUM(AE360:AE370)</f>
        <v>764880003.7014842</v>
      </c>
      <c r="AF371" s="307">
        <f>AF372-SUM(AF360:AF370)</f>
        <v>617472401.76985097</v>
      </c>
      <c r="AG371" s="307">
        <f>AG372-SUM(AG360:AG370)</f>
        <v>629830229.05716991</v>
      </c>
      <c r="AH371" s="307">
        <f t="shared" ref="AH371:AP371" si="380">AH372-SUM(AH360:AH370)</f>
        <v>1046307333.0328134</v>
      </c>
      <c r="AI371" s="307">
        <f t="shared" si="380"/>
        <v>1110289098.1253166</v>
      </c>
      <c r="AJ371" s="307">
        <f t="shared" si="380"/>
        <v>1871994141.7519946</v>
      </c>
      <c r="AK371" s="307">
        <f t="shared" si="380"/>
        <v>2893606444.1188731</v>
      </c>
      <c r="AL371" s="307">
        <f t="shared" si="380"/>
        <v>3739383982.0069141</v>
      </c>
      <c r="AM371" s="307">
        <f t="shared" si="380"/>
        <v>4769748680.5326147</v>
      </c>
      <c r="AN371" s="307">
        <f t="shared" si="380"/>
        <v>5151150604.2315102</v>
      </c>
      <c r="AO371" s="307">
        <f t="shared" si="380"/>
        <v>5485821589.2909107</v>
      </c>
      <c r="AP371" s="307">
        <f t="shared" si="380"/>
        <v>5522276926.4522762</v>
      </c>
      <c r="AR371" s="308">
        <v>7542.8283379673958</v>
      </c>
      <c r="AS371" s="308">
        <f t="shared" si="371"/>
        <v>8253.1716620326042</v>
      </c>
      <c r="AT371" s="308">
        <v>1115636.2968110442</v>
      </c>
      <c r="AU371" s="308">
        <f t="shared" si="372"/>
        <v>-780639.29681104422</v>
      </c>
      <c r="AV371" s="308">
        <v>1679833.1468180716</v>
      </c>
      <c r="AW371" s="308">
        <f t="shared" si="373"/>
        <v>-1545181.1468180716</v>
      </c>
      <c r="AX371" s="309">
        <v>153444.53029461601</v>
      </c>
      <c r="AY371" s="308">
        <f t="shared" si="374"/>
        <v>-38484.530294616008</v>
      </c>
      <c r="AZ371" s="309">
        <v>-4552645.9279745892</v>
      </c>
      <c r="BA371" s="308">
        <f t="shared" si="375"/>
        <v>4673221.9279745892</v>
      </c>
      <c r="BB371" s="331">
        <v>161901.51405523811</v>
      </c>
      <c r="BC371" s="308">
        <f t="shared" si="376"/>
        <v>-1539962.5753067611</v>
      </c>
    </row>
    <row r="372" spans="1:55" ht="12" thickBot="1">
      <c r="A372" s="301" t="s">
        <v>29</v>
      </c>
      <c r="B372" s="308">
        <f t="shared" ref="B372:P372" si="381">SUM(B360:B371)</f>
        <v>0</v>
      </c>
      <c r="C372" s="308">
        <f t="shared" si="381"/>
        <v>0</v>
      </c>
      <c r="D372" s="308">
        <f t="shared" si="381"/>
        <v>0</v>
      </c>
      <c r="E372" s="308">
        <f t="shared" si="381"/>
        <v>0</v>
      </c>
      <c r="F372" s="308">
        <f t="shared" si="381"/>
        <v>6344</v>
      </c>
      <c r="G372" s="308">
        <f t="shared" si="381"/>
        <v>5022</v>
      </c>
      <c r="H372" s="308">
        <f t="shared" si="381"/>
        <v>0</v>
      </c>
      <c r="I372" s="308">
        <f t="shared" si="381"/>
        <v>2018098</v>
      </c>
      <c r="J372" s="308">
        <f t="shared" si="381"/>
        <v>1160742</v>
      </c>
      <c r="K372" s="308">
        <f t="shared" si="381"/>
        <v>83027</v>
      </c>
      <c r="L372" s="308">
        <f t="shared" si="381"/>
        <v>85371</v>
      </c>
      <c r="M372" s="308">
        <f t="shared" si="381"/>
        <v>1659418</v>
      </c>
      <c r="N372" s="308">
        <f t="shared" si="381"/>
        <v>1053739</v>
      </c>
      <c r="O372" s="308">
        <f t="shared" si="381"/>
        <v>1553570</v>
      </c>
      <c r="P372" s="308">
        <f t="shared" si="381"/>
        <v>1120471</v>
      </c>
      <c r="Q372" s="307">
        <f t="shared" ref="Q372:AP372" si="382">Q23</f>
        <v>-5287492.1351538002</v>
      </c>
      <c r="R372" s="307">
        <f t="shared" si="382"/>
        <v>5917499.5093202889</v>
      </c>
      <c r="S372" s="307">
        <f t="shared" si="382"/>
        <v>-2005250.9438866973</v>
      </c>
      <c r="T372" s="307">
        <f t="shared" si="382"/>
        <v>-2556203.5941714644</v>
      </c>
      <c r="U372" s="307">
        <f t="shared" si="382"/>
        <v>1942053.3246752024</v>
      </c>
      <c r="V372" s="307">
        <f t="shared" si="382"/>
        <v>3443175.6714228392</v>
      </c>
      <c r="W372" s="307">
        <f t="shared" si="382"/>
        <v>386847.45104920864</v>
      </c>
      <c r="X372" s="307">
        <f t="shared" si="382"/>
        <v>-14049535.382774353</v>
      </c>
      <c r="Y372" s="307">
        <f t="shared" si="382"/>
        <v>-15910545.590323508</v>
      </c>
      <c r="Z372" s="307">
        <f t="shared" si="382"/>
        <v>-22730097.785646319</v>
      </c>
      <c r="AA372" s="307">
        <f t="shared" si="382"/>
        <v>-19569652.976923108</v>
      </c>
      <c r="AB372" s="307">
        <f t="shared" si="382"/>
        <v>7626144.9002268314</v>
      </c>
      <c r="AC372" s="307">
        <f t="shared" si="382"/>
        <v>10057388.467974603</v>
      </c>
      <c r="AD372" s="307">
        <f t="shared" si="382"/>
        <v>15560388.810548007</v>
      </c>
      <c r="AE372" s="307">
        <f t="shared" si="382"/>
        <v>15470924.501125276</v>
      </c>
      <c r="AF372" s="307">
        <f t="shared" si="382"/>
        <v>13877616.296195924</v>
      </c>
      <c r="AG372" s="307">
        <f t="shared" si="382"/>
        <v>14503038.826667488</v>
      </c>
      <c r="AH372" s="307">
        <f t="shared" si="382"/>
        <v>23824043.085780621</v>
      </c>
      <c r="AI372" s="307">
        <f t="shared" si="382"/>
        <v>24924546.815072179</v>
      </c>
      <c r="AJ372" s="307">
        <f t="shared" si="382"/>
        <v>41582192.806179106</v>
      </c>
      <c r="AK372" s="307">
        <f t="shared" si="382"/>
        <v>65108251.480883479</v>
      </c>
      <c r="AL372" s="307">
        <f t="shared" si="382"/>
        <v>84146765.496525049</v>
      </c>
      <c r="AM372" s="307">
        <f t="shared" si="382"/>
        <v>107185233.78686023</v>
      </c>
      <c r="AN372" s="307">
        <f t="shared" si="382"/>
        <v>115644490.81719673</v>
      </c>
      <c r="AO372" s="307">
        <f t="shared" si="382"/>
        <v>123158433.95019305</v>
      </c>
      <c r="AP372" s="307">
        <f t="shared" si="382"/>
        <v>124088284.27797937</v>
      </c>
      <c r="AR372" s="308">
        <v>77117.828337967396</v>
      </c>
      <c r="AS372" s="308">
        <f t="shared" si="371"/>
        <v>8253.1716620326042</v>
      </c>
      <c r="AT372" s="308">
        <v>2440057.2968110442</v>
      </c>
      <c r="AU372" s="308">
        <f t="shared" si="372"/>
        <v>-780639.29681104422</v>
      </c>
      <c r="AV372" s="308">
        <v>2597622.1468180716</v>
      </c>
      <c r="AW372" s="308">
        <f t="shared" si="373"/>
        <v>-1543883.1468180716</v>
      </c>
      <c r="AX372" s="309">
        <v>1586796.217756331</v>
      </c>
      <c r="AY372" s="308">
        <f t="shared" si="374"/>
        <v>-33226.217756330967</v>
      </c>
      <c r="AZ372" s="309">
        <v>-4477768.9717308581</v>
      </c>
      <c r="BA372" s="308">
        <f t="shared" si="375"/>
        <v>5598239.9717308581</v>
      </c>
      <c r="BB372" s="331">
        <v>839433.06247320771</v>
      </c>
      <c r="BC372" s="308">
        <f t="shared" si="376"/>
        <v>-6126925.197627008</v>
      </c>
    </row>
    <row r="373" spans="1:55">
      <c r="A373" s="334"/>
      <c r="B373" s="334"/>
      <c r="C373" s="334"/>
      <c r="D373" s="334"/>
      <c r="E373" s="334"/>
      <c r="F373" s="334"/>
      <c r="G373" s="334"/>
      <c r="H373" s="334"/>
      <c r="I373" s="334"/>
      <c r="J373" s="334"/>
      <c r="K373" s="334"/>
      <c r="L373" s="334"/>
      <c r="M373" s="334"/>
      <c r="N373" s="334"/>
      <c r="O373" s="334"/>
      <c r="P373" s="334"/>
      <c r="Q373" s="334"/>
      <c r="R373" s="334"/>
      <c r="S373" s="334"/>
      <c r="T373" s="334"/>
      <c r="U373" s="334"/>
      <c r="V373" s="334"/>
      <c r="W373" s="334"/>
      <c r="X373" s="334"/>
      <c r="Y373" s="334"/>
      <c r="Z373" s="334"/>
      <c r="AA373" s="334"/>
      <c r="AB373" s="334"/>
      <c r="AC373" s="334"/>
      <c r="AD373" s="334"/>
      <c r="AE373" s="334"/>
      <c r="AF373" s="334"/>
      <c r="AG373" s="334"/>
      <c r="AH373" s="334"/>
      <c r="AI373" s="334"/>
      <c r="AJ373" s="334"/>
      <c r="AK373" s="334"/>
      <c r="AL373" s="334"/>
      <c r="AM373" s="334"/>
      <c r="AN373" s="334"/>
      <c r="AO373" s="334"/>
      <c r="AP373" s="334"/>
      <c r="AT373" s="309"/>
    </row>
    <row r="374" spans="1:55" ht="12" thickBot="1">
      <c r="A374" s="300" t="s">
        <v>455</v>
      </c>
      <c r="AT374" s="309"/>
    </row>
    <row r="375" spans="1:55" ht="12" thickBot="1">
      <c r="A375" s="328"/>
      <c r="B375" s="329">
        <f t="shared" ref="B375:AP375" si="383">B2</f>
        <v>2010</v>
      </c>
      <c r="C375" s="329">
        <f t="shared" si="383"/>
        <v>2011</v>
      </c>
      <c r="D375" s="329">
        <f t="shared" si="383"/>
        <v>2012</v>
      </c>
      <c r="E375" s="329">
        <f t="shared" si="383"/>
        <v>2013</v>
      </c>
      <c r="F375" s="329">
        <f t="shared" si="383"/>
        <v>2014</v>
      </c>
      <c r="G375" s="329">
        <f t="shared" si="383"/>
        <v>2015</v>
      </c>
      <c r="H375" s="329">
        <f t="shared" si="383"/>
        <v>2016</v>
      </c>
      <c r="I375" s="329">
        <f t="shared" si="383"/>
        <v>2017</v>
      </c>
      <c r="J375" s="329">
        <f t="shared" si="383"/>
        <v>2018</v>
      </c>
      <c r="K375" s="329">
        <f t="shared" si="383"/>
        <v>2019</v>
      </c>
      <c r="L375" s="329">
        <f t="shared" si="383"/>
        <v>2020</v>
      </c>
      <c r="M375" s="329">
        <f t="shared" si="383"/>
        <v>2021</v>
      </c>
      <c r="N375" s="329">
        <f t="shared" si="383"/>
        <v>2022</v>
      </c>
      <c r="O375" s="329">
        <f t="shared" si="383"/>
        <v>2023</v>
      </c>
      <c r="P375" s="329">
        <f t="shared" si="383"/>
        <v>2024</v>
      </c>
      <c r="Q375" s="329">
        <f t="shared" si="383"/>
        <v>2025</v>
      </c>
      <c r="R375" s="329">
        <f t="shared" si="383"/>
        <v>2026</v>
      </c>
      <c r="S375" s="329">
        <f t="shared" si="383"/>
        <v>2027</v>
      </c>
      <c r="T375" s="329">
        <f t="shared" si="383"/>
        <v>2028</v>
      </c>
      <c r="U375" s="329">
        <f t="shared" si="383"/>
        <v>2029</v>
      </c>
      <c r="V375" s="329">
        <f t="shared" si="383"/>
        <v>2030</v>
      </c>
      <c r="W375" s="329">
        <f t="shared" si="383"/>
        <v>2031</v>
      </c>
      <c r="X375" s="329">
        <f t="shared" si="383"/>
        <v>2032</v>
      </c>
      <c r="Y375" s="329">
        <f t="shared" si="383"/>
        <v>2033</v>
      </c>
      <c r="Z375" s="329">
        <f t="shared" si="383"/>
        <v>2034</v>
      </c>
      <c r="AA375" s="329">
        <f t="shared" si="383"/>
        <v>2035</v>
      </c>
      <c r="AB375" s="329">
        <f t="shared" si="383"/>
        <v>2036</v>
      </c>
      <c r="AC375" s="329">
        <f t="shared" si="383"/>
        <v>2037</v>
      </c>
      <c r="AD375" s="329">
        <f t="shared" si="383"/>
        <v>2038</v>
      </c>
      <c r="AE375" s="329">
        <f t="shared" si="383"/>
        <v>2039</v>
      </c>
      <c r="AF375" s="329">
        <f t="shared" si="383"/>
        <v>2040</v>
      </c>
      <c r="AG375" s="329">
        <f t="shared" si="383"/>
        <v>2041</v>
      </c>
      <c r="AH375" s="329">
        <f t="shared" si="383"/>
        <v>2042</v>
      </c>
      <c r="AI375" s="329">
        <f t="shared" si="383"/>
        <v>2043</v>
      </c>
      <c r="AJ375" s="329">
        <f t="shared" si="383"/>
        <v>2044</v>
      </c>
      <c r="AK375" s="329">
        <f t="shared" si="383"/>
        <v>2045</v>
      </c>
      <c r="AL375" s="329">
        <f t="shared" si="383"/>
        <v>2046</v>
      </c>
      <c r="AM375" s="329">
        <f t="shared" si="383"/>
        <v>2047</v>
      </c>
      <c r="AN375" s="329">
        <f t="shared" si="383"/>
        <v>2048</v>
      </c>
      <c r="AO375" s="329">
        <f t="shared" si="383"/>
        <v>2049</v>
      </c>
      <c r="AP375" s="329">
        <f t="shared" si="383"/>
        <v>2050</v>
      </c>
      <c r="AT375" s="309"/>
    </row>
    <row r="376" spans="1:55">
      <c r="A376" s="301" t="s">
        <v>43</v>
      </c>
      <c r="B376" s="308">
        <f>'Monthly D5 Gallon Data'!$R4</f>
        <v>0</v>
      </c>
      <c r="C376" s="308">
        <f>'Monthly D5 Gallon Data'!$R16</f>
        <v>0</v>
      </c>
      <c r="D376" s="308">
        <f>'Monthly D5 Gallon Data'!$R28</f>
        <v>0</v>
      </c>
      <c r="E376" s="308">
        <f>'Monthly D5 Gallon Data'!$R40</f>
        <v>0</v>
      </c>
      <c r="F376" s="308">
        <f>'Monthly D5 Gallon Data'!$R52</f>
        <v>0</v>
      </c>
      <c r="G376" s="308">
        <f>'Monthly D5 Gallon Data'!$R64</f>
        <v>0</v>
      </c>
      <c r="H376" s="308">
        <f>'Monthly D5 Gallon Data'!$R76</f>
        <v>0</v>
      </c>
      <c r="I376" s="308">
        <f>'Monthly D5 Gallon Data'!$R88</f>
        <v>0</v>
      </c>
      <c r="J376" s="308">
        <f>'Monthly D5 Gallon Data'!$R100</f>
        <v>0</v>
      </c>
      <c r="K376" s="308">
        <f>'Monthly D5 Gallon Data'!$R112</f>
        <v>0</v>
      </c>
      <c r="L376" s="308">
        <f>'Monthly D5 Gallon Data'!$R124</f>
        <v>0</v>
      </c>
      <c r="M376" s="308">
        <f>'Monthly D5 Gallon Data'!$R136</f>
        <v>0</v>
      </c>
      <c r="N376" s="308">
        <f>'Monthly D5 Gallon Data'!$R148</f>
        <v>0</v>
      </c>
      <c r="O376" s="308">
        <f>'Monthly D5 Gallon Data'!$R160</f>
        <v>0</v>
      </c>
      <c r="P376" s="308">
        <f>'Monthly D5 Gallon Data'!$R172</f>
        <v>0</v>
      </c>
      <c r="Q376" s="308">
        <f>'Monthly D5 Gallon Data'!$R184</f>
        <v>0</v>
      </c>
      <c r="R376" s="307">
        <v>0</v>
      </c>
      <c r="S376" s="307">
        <v>0</v>
      </c>
      <c r="T376" s="307">
        <v>0</v>
      </c>
      <c r="U376" s="307">
        <v>0</v>
      </c>
      <c r="V376" s="307">
        <v>0</v>
      </c>
      <c r="W376" s="307">
        <v>0</v>
      </c>
      <c r="X376" s="307">
        <v>0</v>
      </c>
      <c r="Y376" s="307">
        <v>0</v>
      </c>
      <c r="Z376" s="307">
        <v>0</v>
      </c>
      <c r="AA376" s="307">
        <v>0</v>
      </c>
      <c r="AB376" s="307">
        <v>0</v>
      </c>
      <c r="AC376" s="307">
        <v>0</v>
      </c>
      <c r="AD376" s="307">
        <v>0</v>
      </c>
      <c r="AE376" s="307">
        <v>0</v>
      </c>
      <c r="AF376" s="307">
        <v>0</v>
      </c>
      <c r="AG376" s="307">
        <v>0</v>
      </c>
      <c r="AH376" s="307">
        <v>0</v>
      </c>
      <c r="AI376" s="307">
        <v>0</v>
      </c>
      <c r="AJ376" s="307">
        <v>0</v>
      </c>
      <c r="AK376" s="307">
        <v>0</v>
      </c>
      <c r="AL376" s="307">
        <v>0</v>
      </c>
      <c r="AM376" s="307">
        <v>0</v>
      </c>
      <c r="AN376" s="307">
        <v>0</v>
      </c>
      <c r="AO376" s="307">
        <v>0</v>
      </c>
      <c r="AP376" s="307">
        <v>0</v>
      </c>
      <c r="AR376" s="308">
        <v>0</v>
      </c>
      <c r="AS376" s="308">
        <f t="shared" ref="AS376:AS388" si="384">L376-AR376</f>
        <v>0</v>
      </c>
      <c r="AT376" s="308">
        <v>0</v>
      </c>
      <c r="AU376" s="308">
        <f t="shared" ref="AU376:AU388" si="385">M376-AT376</f>
        <v>0</v>
      </c>
      <c r="AV376" s="308">
        <v>0</v>
      </c>
      <c r="AW376" s="308">
        <f t="shared" ref="AW376:AW388" si="386">N376-AV376</f>
        <v>0</v>
      </c>
      <c r="AX376" s="308">
        <v>0</v>
      </c>
      <c r="AY376" s="308">
        <f t="shared" ref="AY376:AY388" si="387">O376-AX376</f>
        <v>0</v>
      </c>
      <c r="AZ376" s="308">
        <v>0</v>
      </c>
      <c r="BA376" s="308">
        <f t="shared" ref="BA376:BA388" si="388">P376-AZ376</f>
        <v>0</v>
      </c>
      <c r="BB376" s="331">
        <v>0</v>
      </c>
      <c r="BC376" s="308">
        <f t="shared" ref="BC376:BC388" si="389">Q376-BB376</f>
        <v>0</v>
      </c>
    </row>
    <row r="377" spans="1:55">
      <c r="A377" s="301" t="s">
        <v>44</v>
      </c>
      <c r="B377" s="308">
        <f>'Monthly D5 Gallon Data'!$R5</f>
        <v>0</v>
      </c>
      <c r="C377" s="308">
        <f>'Monthly D5 Gallon Data'!$R17</f>
        <v>0</v>
      </c>
      <c r="D377" s="308">
        <f>'Monthly D5 Gallon Data'!$R29</f>
        <v>0</v>
      </c>
      <c r="E377" s="308">
        <f>'Monthly D5 Gallon Data'!$R41</f>
        <v>0</v>
      </c>
      <c r="F377" s="308">
        <f>'Monthly D5 Gallon Data'!$R53</f>
        <v>0</v>
      </c>
      <c r="G377" s="308">
        <f>'Monthly D5 Gallon Data'!$R65</f>
        <v>0</v>
      </c>
      <c r="H377" s="308">
        <f>'Monthly D5 Gallon Data'!$R77</f>
        <v>0</v>
      </c>
      <c r="I377" s="308">
        <f>'Monthly D5 Gallon Data'!$R89</f>
        <v>0</v>
      </c>
      <c r="J377" s="308">
        <f>'Monthly D5 Gallon Data'!$R101</f>
        <v>0</v>
      </c>
      <c r="K377" s="308">
        <f>'Monthly D5 Gallon Data'!$R113</f>
        <v>0</v>
      </c>
      <c r="L377" s="308">
        <f>'Monthly D5 Gallon Data'!$R125</f>
        <v>0</v>
      </c>
      <c r="M377" s="308">
        <f>'Monthly D5 Gallon Data'!$R137</f>
        <v>0</v>
      </c>
      <c r="N377" s="308">
        <f>'Monthly D5 Gallon Data'!$R149</f>
        <v>0</v>
      </c>
      <c r="O377" s="308">
        <f>'Monthly D5 Gallon Data'!$R161</f>
        <v>0</v>
      </c>
      <c r="P377" s="308">
        <f>'Monthly D5 Gallon Data'!$R173</f>
        <v>0</v>
      </c>
      <c r="Q377" s="332">
        <f>'Monthly D5 Gallon Data'!$R185</f>
        <v>0</v>
      </c>
      <c r="R377" s="307">
        <v>0</v>
      </c>
      <c r="S377" s="307">
        <v>0</v>
      </c>
      <c r="T377" s="307">
        <v>0</v>
      </c>
      <c r="U377" s="307">
        <v>0</v>
      </c>
      <c r="V377" s="307">
        <v>0</v>
      </c>
      <c r="W377" s="307">
        <v>0</v>
      </c>
      <c r="X377" s="307">
        <v>0</v>
      </c>
      <c r="Y377" s="307">
        <v>0</v>
      </c>
      <c r="Z377" s="307">
        <v>0</v>
      </c>
      <c r="AA377" s="307">
        <v>0</v>
      </c>
      <c r="AB377" s="307">
        <v>0</v>
      </c>
      <c r="AC377" s="307">
        <v>0</v>
      </c>
      <c r="AD377" s="307">
        <v>0</v>
      </c>
      <c r="AE377" s="307">
        <v>0</v>
      </c>
      <c r="AF377" s="307">
        <v>0</v>
      </c>
      <c r="AG377" s="307">
        <v>0</v>
      </c>
      <c r="AH377" s="307">
        <v>0</v>
      </c>
      <c r="AI377" s="307">
        <v>0</v>
      </c>
      <c r="AJ377" s="307">
        <v>0</v>
      </c>
      <c r="AK377" s="307">
        <v>0</v>
      </c>
      <c r="AL377" s="307">
        <v>0</v>
      </c>
      <c r="AM377" s="307">
        <v>0</v>
      </c>
      <c r="AN377" s="307">
        <v>0</v>
      </c>
      <c r="AO377" s="307">
        <v>0</v>
      </c>
      <c r="AP377" s="307">
        <v>0</v>
      </c>
      <c r="AR377" s="308">
        <v>0</v>
      </c>
      <c r="AS377" s="308">
        <f t="shared" si="384"/>
        <v>0</v>
      </c>
      <c r="AT377" s="308">
        <v>0</v>
      </c>
      <c r="AU377" s="308">
        <f t="shared" si="385"/>
        <v>0</v>
      </c>
      <c r="AV377" s="308">
        <v>0</v>
      </c>
      <c r="AW377" s="308">
        <f t="shared" si="386"/>
        <v>0</v>
      </c>
      <c r="AX377" s="308">
        <v>0</v>
      </c>
      <c r="AY377" s="308">
        <f t="shared" si="387"/>
        <v>0</v>
      </c>
      <c r="AZ377" s="308">
        <v>0</v>
      </c>
      <c r="BA377" s="308">
        <f t="shared" si="388"/>
        <v>0</v>
      </c>
      <c r="BB377" s="331">
        <v>0</v>
      </c>
      <c r="BC377" s="308">
        <f t="shared" si="389"/>
        <v>0</v>
      </c>
    </row>
    <row r="378" spans="1:55">
      <c r="A378" s="301" t="s">
        <v>45</v>
      </c>
      <c r="B378" s="308">
        <f>'Monthly D5 Gallon Data'!$R6</f>
        <v>0</v>
      </c>
      <c r="C378" s="308">
        <f>'Monthly D5 Gallon Data'!$R18</f>
        <v>0</v>
      </c>
      <c r="D378" s="308">
        <f>'Monthly D5 Gallon Data'!$R30</f>
        <v>0</v>
      </c>
      <c r="E378" s="308">
        <f>'Monthly D5 Gallon Data'!$R42</f>
        <v>0</v>
      </c>
      <c r="F378" s="308">
        <f>'Monthly D5 Gallon Data'!$R54</f>
        <v>0</v>
      </c>
      <c r="G378" s="308">
        <f>'Monthly D5 Gallon Data'!$R66</f>
        <v>0</v>
      </c>
      <c r="H378" s="308">
        <f>'Monthly D5 Gallon Data'!$R78</f>
        <v>0</v>
      </c>
      <c r="I378" s="308">
        <f>'Monthly D5 Gallon Data'!$R90</f>
        <v>0</v>
      </c>
      <c r="J378" s="308">
        <f>'Monthly D5 Gallon Data'!$R102</f>
        <v>0</v>
      </c>
      <c r="K378" s="308">
        <f>'Monthly D5 Gallon Data'!$R114</f>
        <v>0</v>
      </c>
      <c r="L378" s="308">
        <f>'Monthly D5 Gallon Data'!$R126</f>
        <v>0</v>
      </c>
      <c r="M378" s="308">
        <f>'Monthly D5 Gallon Data'!$R138</f>
        <v>0</v>
      </c>
      <c r="N378" s="308">
        <f>'Monthly D5 Gallon Data'!$R150</f>
        <v>0</v>
      </c>
      <c r="O378" s="308">
        <f>'Monthly D5 Gallon Data'!$R162</f>
        <v>0</v>
      </c>
      <c r="P378" s="308">
        <f>'Monthly D5 Gallon Data'!$R174</f>
        <v>0</v>
      </c>
      <c r="Q378" s="332">
        <f>'Monthly D5 Gallon Data'!$R186</f>
        <v>0</v>
      </c>
      <c r="R378" s="307">
        <v>0</v>
      </c>
      <c r="S378" s="307">
        <v>0</v>
      </c>
      <c r="T378" s="307">
        <v>0</v>
      </c>
      <c r="U378" s="307">
        <v>0</v>
      </c>
      <c r="V378" s="307">
        <v>0</v>
      </c>
      <c r="W378" s="307">
        <v>0</v>
      </c>
      <c r="X378" s="307">
        <v>0</v>
      </c>
      <c r="Y378" s="307">
        <v>0</v>
      </c>
      <c r="Z378" s="307">
        <v>0</v>
      </c>
      <c r="AA378" s="307">
        <v>0</v>
      </c>
      <c r="AB378" s="307">
        <v>0</v>
      </c>
      <c r="AC378" s="307">
        <v>0</v>
      </c>
      <c r="AD378" s="307">
        <v>0</v>
      </c>
      <c r="AE378" s="307">
        <v>0</v>
      </c>
      <c r="AF378" s="307">
        <v>0</v>
      </c>
      <c r="AG378" s="307">
        <v>0</v>
      </c>
      <c r="AH378" s="307">
        <v>0</v>
      </c>
      <c r="AI378" s="307">
        <v>0</v>
      </c>
      <c r="AJ378" s="307">
        <v>0</v>
      </c>
      <c r="AK378" s="307">
        <v>0</v>
      </c>
      <c r="AL378" s="307">
        <v>0</v>
      </c>
      <c r="AM378" s="307">
        <v>0</v>
      </c>
      <c r="AN378" s="307">
        <v>0</v>
      </c>
      <c r="AO378" s="307">
        <v>0</v>
      </c>
      <c r="AP378" s="307">
        <v>0</v>
      </c>
      <c r="AR378" s="308">
        <v>0</v>
      </c>
      <c r="AS378" s="308">
        <f t="shared" si="384"/>
        <v>0</v>
      </c>
      <c r="AT378" s="308">
        <v>0</v>
      </c>
      <c r="AU378" s="308">
        <f t="shared" si="385"/>
        <v>0</v>
      </c>
      <c r="AV378" s="308">
        <v>0</v>
      </c>
      <c r="AW378" s="308">
        <f t="shared" si="386"/>
        <v>0</v>
      </c>
      <c r="AX378" s="308">
        <v>0</v>
      </c>
      <c r="AY378" s="308">
        <f t="shared" si="387"/>
        <v>0</v>
      </c>
      <c r="AZ378" s="308">
        <v>0</v>
      </c>
      <c r="BA378" s="308">
        <f t="shared" si="388"/>
        <v>0</v>
      </c>
      <c r="BB378" s="331">
        <v>0</v>
      </c>
      <c r="BC378" s="308">
        <f t="shared" si="389"/>
        <v>0</v>
      </c>
    </row>
    <row r="379" spans="1:55">
      <c r="A379" s="301" t="s">
        <v>46</v>
      </c>
      <c r="B379" s="308">
        <f>'Monthly D5 Gallon Data'!$R7</f>
        <v>0</v>
      </c>
      <c r="C379" s="308">
        <f>'Monthly D5 Gallon Data'!$R19</f>
        <v>0</v>
      </c>
      <c r="D379" s="308">
        <f>'Monthly D5 Gallon Data'!$R31</f>
        <v>0</v>
      </c>
      <c r="E379" s="308">
        <f>'Monthly D5 Gallon Data'!$R43</f>
        <v>0</v>
      </c>
      <c r="F379" s="308">
        <f>'Monthly D5 Gallon Data'!$R55</f>
        <v>0</v>
      </c>
      <c r="G379" s="308">
        <f>'Monthly D5 Gallon Data'!$R67</f>
        <v>0</v>
      </c>
      <c r="H379" s="308">
        <f>'Monthly D5 Gallon Data'!$R79</f>
        <v>0</v>
      </c>
      <c r="I379" s="308">
        <f>'Monthly D5 Gallon Data'!$R91</f>
        <v>0</v>
      </c>
      <c r="J379" s="308">
        <f>'Monthly D5 Gallon Data'!$R103</f>
        <v>0</v>
      </c>
      <c r="K379" s="308">
        <f>'Monthly D5 Gallon Data'!$R115</f>
        <v>0</v>
      </c>
      <c r="L379" s="308">
        <f>'Monthly D5 Gallon Data'!$R127</f>
        <v>0</v>
      </c>
      <c r="M379" s="308">
        <f>'Monthly D5 Gallon Data'!$R139</f>
        <v>0</v>
      </c>
      <c r="N379" s="308">
        <f>'Monthly D5 Gallon Data'!$R151</f>
        <v>0</v>
      </c>
      <c r="O379" s="308">
        <f>'Monthly D5 Gallon Data'!$R163</f>
        <v>0</v>
      </c>
      <c r="P379" s="308">
        <f>'Monthly D5 Gallon Data'!$R175</f>
        <v>0</v>
      </c>
      <c r="Q379" s="307">
        <v>0</v>
      </c>
      <c r="R379" s="307">
        <v>0</v>
      </c>
      <c r="S379" s="307">
        <v>0</v>
      </c>
      <c r="T379" s="307">
        <v>0</v>
      </c>
      <c r="U379" s="307">
        <v>0</v>
      </c>
      <c r="V379" s="307">
        <v>0</v>
      </c>
      <c r="W379" s="307">
        <v>0</v>
      </c>
      <c r="X379" s="307">
        <v>0</v>
      </c>
      <c r="Y379" s="307">
        <v>0</v>
      </c>
      <c r="Z379" s="307">
        <v>0</v>
      </c>
      <c r="AA379" s="307">
        <v>0</v>
      </c>
      <c r="AB379" s="307">
        <v>0</v>
      </c>
      <c r="AC379" s="307">
        <v>0</v>
      </c>
      <c r="AD379" s="307">
        <v>0</v>
      </c>
      <c r="AE379" s="307">
        <v>0</v>
      </c>
      <c r="AF379" s="307">
        <v>0</v>
      </c>
      <c r="AG379" s="307">
        <v>0</v>
      </c>
      <c r="AH379" s="307">
        <v>0</v>
      </c>
      <c r="AI379" s="307">
        <v>0</v>
      </c>
      <c r="AJ379" s="307">
        <v>0</v>
      </c>
      <c r="AK379" s="307">
        <v>0</v>
      </c>
      <c r="AL379" s="307">
        <v>0</v>
      </c>
      <c r="AM379" s="307">
        <v>0</v>
      </c>
      <c r="AN379" s="307">
        <v>0</v>
      </c>
      <c r="AO379" s="307">
        <v>0</v>
      </c>
      <c r="AP379" s="307">
        <v>0</v>
      </c>
      <c r="AR379" s="308">
        <v>0</v>
      </c>
      <c r="AS379" s="308">
        <f t="shared" si="384"/>
        <v>0</v>
      </c>
      <c r="AT379" s="308">
        <v>0</v>
      </c>
      <c r="AU379" s="308">
        <f t="shared" si="385"/>
        <v>0</v>
      </c>
      <c r="AV379" s="308">
        <v>0</v>
      </c>
      <c r="AW379" s="308">
        <f t="shared" si="386"/>
        <v>0</v>
      </c>
      <c r="AX379" s="308">
        <v>0</v>
      </c>
      <c r="AY379" s="308">
        <f t="shared" si="387"/>
        <v>0</v>
      </c>
      <c r="AZ379" s="308">
        <v>0</v>
      </c>
      <c r="BA379" s="308">
        <f t="shared" si="388"/>
        <v>0</v>
      </c>
      <c r="BB379" s="331">
        <v>0</v>
      </c>
      <c r="BC379" s="308">
        <f t="shared" si="389"/>
        <v>0</v>
      </c>
    </row>
    <row r="380" spans="1:55">
      <c r="A380" s="301" t="s">
        <v>47</v>
      </c>
      <c r="B380" s="308">
        <f>'Monthly D5 Gallon Data'!$R8</f>
        <v>0</v>
      </c>
      <c r="C380" s="308">
        <f>'Monthly D5 Gallon Data'!$R20</f>
        <v>0</v>
      </c>
      <c r="D380" s="308">
        <f>'Monthly D5 Gallon Data'!$R32</f>
        <v>0</v>
      </c>
      <c r="E380" s="308">
        <f>'Monthly D5 Gallon Data'!$R44</f>
        <v>0</v>
      </c>
      <c r="F380" s="308">
        <f>'Monthly D5 Gallon Data'!$R56</f>
        <v>0</v>
      </c>
      <c r="G380" s="308">
        <f>'Monthly D5 Gallon Data'!$R68</f>
        <v>0</v>
      </c>
      <c r="H380" s="308">
        <f>'Monthly D5 Gallon Data'!$R80</f>
        <v>0</v>
      </c>
      <c r="I380" s="308">
        <f>'Monthly D5 Gallon Data'!$R92</f>
        <v>0</v>
      </c>
      <c r="J380" s="308">
        <f>'Monthly D5 Gallon Data'!$R104</f>
        <v>0</v>
      </c>
      <c r="K380" s="308">
        <f>'Monthly D5 Gallon Data'!$R116</f>
        <v>0</v>
      </c>
      <c r="L380" s="308">
        <f>'Monthly D5 Gallon Data'!$R128</f>
        <v>0</v>
      </c>
      <c r="M380" s="308">
        <f>'Monthly D5 Gallon Data'!$R140</f>
        <v>0</v>
      </c>
      <c r="N380" s="308">
        <f>'Monthly D5 Gallon Data'!$R152</f>
        <v>0</v>
      </c>
      <c r="O380" s="308">
        <f>'Monthly D5 Gallon Data'!$R164</f>
        <v>0</v>
      </c>
      <c r="P380" s="308">
        <f>'Monthly D5 Gallon Data'!$R176</f>
        <v>0</v>
      </c>
      <c r="Q380" s="307">
        <v>0</v>
      </c>
      <c r="R380" s="307">
        <v>0</v>
      </c>
      <c r="S380" s="307">
        <v>0</v>
      </c>
      <c r="T380" s="307">
        <v>0</v>
      </c>
      <c r="U380" s="307">
        <v>0</v>
      </c>
      <c r="V380" s="307">
        <v>0</v>
      </c>
      <c r="W380" s="307">
        <v>0</v>
      </c>
      <c r="X380" s="307">
        <v>0</v>
      </c>
      <c r="Y380" s="307">
        <v>0</v>
      </c>
      <c r="Z380" s="307">
        <v>0</v>
      </c>
      <c r="AA380" s="307">
        <v>0</v>
      </c>
      <c r="AB380" s="307">
        <v>0</v>
      </c>
      <c r="AC380" s="307">
        <v>0</v>
      </c>
      <c r="AD380" s="307">
        <v>0</v>
      </c>
      <c r="AE380" s="307">
        <v>0</v>
      </c>
      <c r="AF380" s="307">
        <v>0</v>
      </c>
      <c r="AG380" s="307">
        <v>0</v>
      </c>
      <c r="AH380" s="307">
        <v>0</v>
      </c>
      <c r="AI380" s="307">
        <v>0</v>
      </c>
      <c r="AJ380" s="307">
        <v>0</v>
      </c>
      <c r="AK380" s="307">
        <v>0</v>
      </c>
      <c r="AL380" s="307">
        <v>0</v>
      </c>
      <c r="AM380" s="307">
        <v>0</v>
      </c>
      <c r="AN380" s="307">
        <v>0</v>
      </c>
      <c r="AO380" s="307">
        <v>0</v>
      </c>
      <c r="AP380" s="307">
        <v>0</v>
      </c>
      <c r="AR380" s="308">
        <v>0</v>
      </c>
      <c r="AS380" s="308">
        <f t="shared" si="384"/>
        <v>0</v>
      </c>
      <c r="AT380" s="308">
        <v>0</v>
      </c>
      <c r="AU380" s="308">
        <f t="shared" si="385"/>
        <v>0</v>
      </c>
      <c r="AV380" s="308">
        <v>0</v>
      </c>
      <c r="AW380" s="308">
        <f t="shared" si="386"/>
        <v>0</v>
      </c>
      <c r="AX380" s="308">
        <v>0</v>
      </c>
      <c r="AY380" s="308">
        <f t="shared" si="387"/>
        <v>0</v>
      </c>
      <c r="AZ380" s="308">
        <v>0</v>
      </c>
      <c r="BA380" s="308">
        <f t="shared" si="388"/>
        <v>0</v>
      </c>
      <c r="BB380" s="331">
        <v>0</v>
      </c>
      <c r="BC380" s="308">
        <f t="shared" si="389"/>
        <v>0</v>
      </c>
    </row>
    <row r="381" spans="1:55">
      <c r="A381" s="301" t="s">
        <v>48</v>
      </c>
      <c r="B381" s="308">
        <f>'Monthly D5 Gallon Data'!$R9</f>
        <v>0</v>
      </c>
      <c r="C381" s="308">
        <f>'Monthly D5 Gallon Data'!$R21</f>
        <v>0</v>
      </c>
      <c r="D381" s="308">
        <f>'Monthly D5 Gallon Data'!$R33</f>
        <v>0</v>
      </c>
      <c r="E381" s="308">
        <f>'Monthly D5 Gallon Data'!$R45</f>
        <v>0</v>
      </c>
      <c r="F381" s="308">
        <f>'Monthly D5 Gallon Data'!$R57</f>
        <v>0</v>
      </c>
      <c r="G381" s="308">
        <f>'Monthly D5 Gallon Data'!$R69</f>
        <v>0</v>
      </c>
      <c r="H381" s="308">
        <f>'Monthly D5 Gallon Data'!$R81</f>
        <v>0</v>
      </c>
      <c r="I381" s="308">
        <f>'Monthly D5 Gallon Data'!$R93</f>
        <v>0</v>
      </c>
      <c r="J381" s="308">
        <f>'Monthly D5 Gallon Data'!$R105</f>
        <v>0</v>
      </c>
      <c r="K381" s="308">
        <f>'Monthly D5 Gallon Data'!$R117</f>
        <v>0</v>
      </c>
      <c r="L381" s="308">
        <f>'Monthly D5 Gallon Data'!$R129</f>
        <v>0</v>
      </c>
      <c r="M381" s="308">
        <f>'Monthly D5 Gallon Data'!$R141</f>
        <v>0</v>
      </c>
      <c r="N381" s="308">
        <f>'Monthly D5 Gallon Data'!$R153</f>
        <v>0</v>
      </c>
      <c r="O381" s="308">
        <f>'Monthly D5 Gallon Data'!$R165</f>
        <v>0</v>
      </c>
      <c r="P381" s="308">
        <f>'Monthly D5 Gallon Data'!$R177</f>
        <v>0</v>
      </c>
      <c r="Q381" s="307">
        <v>0</v>
      </c>
      <c r="R381" s="307">
        <v>0</v>
      </c>
      <c r="S381" s="307">
        <v>0</v>
      </c>
      <c r="T381" s="307">
        <v>0</v>
      </c>
      <c r="U381" s="307">
        <v>0</v>
      </c>
      <c r="V381" s="307">
        <v>0</v>
      </c>
      <c r="W381" s="307">
        <v>0</v>
      </c>
      <c r="X381" s="307">
        <v>0</v>
      </c>
      <c r="Y381" s="307">
        <v>0</v>
      </c>
      <c r="Z381" s="307">
        <v>0</v>
      </c>
      <c r="AA381" s="307">
        <v>0</v>
      </c>
      <c r="AB381" s="307">
        <v>0</v>
      </c>
      <c r="AC381" s="307">
        <v>0</v>
      </c>
      <c r="AD381" s="307">
        <v>0</v>
      </c>
      <c r="AE381" s="307">
        <v>0</v>
      </c>
      <c r="AF381" s="307">
        <v>0</v>
      </c>
      <c r="AG381" s="307">
        <v>0</v>
      </c>
      <c r="AH381" s="307">
        <v>0</v>
      </c>
      <c r="AI381" s="307">
        <v>0</v>
      </c>
      <c r="AJ381" s="307">
        <v>0</v>
      </c>
      <c r="AK381" s="307">
        <v>0</v>
      </c>
      <c r="AL381" s="307">
        <v>0</v>
      </c>
      <c r="AM381" s="307">
        <v>0</v>
      </c>
      <c r="AN381" s="307">
        <v>0</v>
      </c>
      <c r="AO381" s="307">
        <v>0</v>
      </c>
      <c r="AP381" s="307">
        <v>0</v>
      </c>
      <c r="AR381" s="308">
        <v>0</v>
      </c>
      <c r="AS381" s="308">
        <f t="shared" si="384"/>
        <v>0</v>
      </c>
      <c r="AT381" s="308">
        <v>0</v>
      </c>
      <c r="AU381" s="308">
        <f t="shared" si="385"/>
        <v>0</v>
      </c>
      <c r="AV381" s="308">
        <v>0</v>
      </c>
      <c r="AW381" s="308">
        <f t="shared" si="386"/>
        <v>0</v>
      </c>
      <c r="AX381" s="308">
        <v>0</v>
      </c>
      <c r="AY381" s="308">
        <f t="shared" si="387"/>
        <v>0</v>
      </c>
      <c r="AZ381" s="308">
        <v>0</v>
      </c>
      <c r="BA381" s="308">
        <f t="shared" si="388"/>
        <v>0</v>
      </c>
      <c r="BB381" s="331">
        <v>0</v>
      </c>
      <c r="BC381" s="308">
        <f t="shared" si="389"/>
        <v>0</v>
      </c>
    </row>
    <row r="382" spans="1:55">
      <c r="A382" s="301" t="s">
        <v>49</v>
      </c>
      <c r="B382" s="308">
        <f>'Monthly D5 Gallon Data'!$R10</f>
        <v>0</v>
      </c>
      <c r="C382" s="308">
        <f>'Monthly D5 Gallon Data'!$R22</f>
        <v>0</v>
      </c>
      <c r="D382" s="308">
        <f>'Monthly D5 Gallon Data'!$R34</f>
        <v>0</v>
      </c>
      <c r="E382" s="308">
        <f>'Monthly D5 Gallon Data'!$R46</f>
        <v>0</v>
      </c>
      <c r="F382" s="308">
        <f>'Monthly D5 Gallon Data'!$R58</f>
        <v>0</v>
      </c>
      <c r="G382" s="308">
        <f>'Monthly D5 Gallon Data'!$R70</f>
        <v>0</v>
      </c>
      <c r="H382" s="308">
        <f>'Monthly D5 Gallon Data'!$R82</f>
        <v>0</v>
      </c>
      <c r="I382" s="308">
        <f>'Monthly D5 Gallon Data'!$R94</f>
        <v>0</v>
      </c>
      <c r="J382" s="308">
        <f>'Monthly D5 Gallon Data'!$R106</f>
        <v>0</v>
      </c>
      <c r="K382" s="308">
        <f>'Monthly D5 Gallon Data'!$R118</f>
        <v>0</v>
      </c>
      <c r="L382" s="308">
        <f>'Monthly D5 Gallon Data'!$R130</f>
        <v>0</v>
      </c>
      <c r="M382" s="308">
        <f>'Monthly D5 Gallon Data'!$R142</f>
        <v>0</v>
      </c>
      <c r="N382" s="308">
        <f>'Monthly D5 Gallon Data'!$R154</f>
        <v>0</v>
      </c>
      <c r="O382" s="308">
        <f>'Monthly D5 Gallon Data'!$R166</f>
        <v>0</v>
      </c>
      <c r="P382" s="308">
        <f>'Monthly D5 Gallon Data'!$R178</f>
        <v>0</v>
      </c>
      <c r="Q382" s="307">
        <v>0</v>
      </c>
      <c r="R382" s="307">
        <v>0</v>
      </c>
      <c r="S382" s="307">
        <v>0</v>
      </c>
      <c r="T382" s="307">
        <v>0</v>
      </c>
      <c r="U382" s="307">
        <v>0</v>
      </c>
      <c r="V382" s="307">
        <v>0</v>
      </c>
      <c r="W382" s="307">
        <v>0</v>
      </c>
      <c r="X382" s="307">
        <v>0</v>
      </c>
      <c r="Y382" s="307">
        <v>0</v>
      </c>
      <c r="Z382" s="307">
        <v>0</v>
      </c>
      <c r="AA382" s="307">
        <v>0</v>
      </c>
      <c r="AB382" s="307">
        <v>0</v>
      </c>
      <c r="AC382" s="307">
        <v>0</v>
      </c>
      <c r="AD382" s="307">
        <v>0</v>
      </c>
      <c r="AE382" s="307">
        <v>0</v>
      </c>
      <c r="AF382" s="307">
        <v>0</v>
      </c>
      <c r="AG382" s="307">
        <v>0</v>
      </c>
      <c r="AH382" s="307">
        <v>0</v>
      </c>
      <c r="AI382" s="307">
        <v>0</v>
      </c>
      <c r="AJ382" s="307">
        <v>0</v>
      </c>
      <c r="AK382" s="307">
        <v>0</v>
      </c>
      <c r="AL382" s="307">
        <v>0</v>
      </c>
      <c r="AM382" s="307">
        <v>0</v>
      </c>
      <c r="AN382" s="307">
        <v>0</v>
      </c>
      <c r="AO382" s="307">
        <v>0</v>
      </c>
      <c r="AP382" s="307">
        <v>0</v>
      </c>
      <c r="AR382" s="308">
        <v>0</v>
      </c>
      <c r="AS382" s="308">
        <f t="shared" si="384"/>
        <v>0</v>
      </c>
      <c r="AT382" s="308">
        <v>0</v>
      </c>
      <c r="AU382" s="308">
        <f t="shared" si="385"/>
        <v>0</v>
      </c>
      <c r="AV382" s="308">
        <v>0</v>
      </c>
      <c r="AW382" s="308">
        <f t="shared" si="386"/>
        <v>0</v>
      </c>
      <c r="AX382" s="308">
        <v>0</v>
      </c>
      <c r="AY382" s="308">
        <f t="shared" si="387"/>
        <v>0</v>
      </c>
      <c r="AZ382" s="309">
        <v>0</v>
      </c>
      <c r="BA382" s="308">
        <f t="shared" si="388"/>
        <v>0</v>
      </c>
      <c r="BB382" s="331">
        <v>0</v>
      </c>
      <c r="BC382" s="308">
        <f t="shared" si="389"/>
        <v>0</v>
      </c>
    </row>
    <row r="383" spans="1:55">
      <c r="A383" s="301" t="s">
        <v>50</v>
      </c>
      <c r="B383" s="308">
        <f>'Monthly D5 Gallon Data'!$R11</f>
        <v>0</v>
      </c>
      <c r="C383" s="308">
        <f>'Monthly D5 Gallon Data'!$R23</f>
        <v>0</v>
      </c>
      <c r="D383" s="308">
        <f>'Monthly D5 Gallon Data'!$R35</f>
        <v>0</v>
      </c>
      <c r="E383" s="308">
        <f>'Monthly D5 Gallon Data'!$R47</f>
        <v>0</v>
      </c>
      <c r="F383" s="308">
        <f>'Monthly D5 Gallon Data'!$R59</f>
        <v>0</v>
      </c>
      <c r="G383" s="308">
        <f>'Monthly D5 Gallon Data'!$R71</f>
        <v>0</v>
      </c>
      <c r="H383" s="308">
        <f>'Monthly D5 Gallon Data'!$R83</f>
        <v>0</v>
      </c>
      <c r="I383" s="308">
        <f>'Monthly D5 Gallon Data'!$R95</f>
        <v>0</v>
      </c>
      <c r="J383" s="308">
        <f>'Monthly D5 Gallon Data'!$R107</f>
        <v>0</v>
      </c>
      <c r="K383" s="308">
        <f>'Monthly D5 Gallon Data'!$R119</f>
        <v>0</v>
      </c>
      <c r="L383" s="308">
        <f>'Monthly D5 Gallon Data'!$R131</f>
        <v>0</v>
      </c>
      <c r="M383" s="308">
        <f>'Monthly D5 Gallon Data'!$R143</f>
        <v>0</v>
      </c>
      <c r="N383" s="308">
        <f>'Monthly D5 Gallon Data'!$R155</f>
        <v>0</v>
      </c>
      <c r="O383" s="308">
        <f>'Monthly D5 Gallon Data'!$R167</f>
        <v>0</v>
      </c>
      <c r="P383" s="308">
        <f>'Monthly D5 Gallon Data'!$R179</f>
        <v>0</v>
      </c>
      <c r="Q383" s="307">
        <v>0</v>
      </c>
      <c r="R383" s="307">
        <v>0</v>
      </c>
      <c r="S383" s="307">
        <v>0</v>
      </c>
      <c r="T383" s="307">
        <v>0</v>
      </c>
      <c r="U383" s="307">
        <v>0</v>
      </c>
      <c r="V383" s="307">
        <v>0</v>
      </c>
      <c r="W383" s="307">
        <v>0</v>
      </c>
      <c r="X383" s="307">
        <v>0</v>
      </c>
      <c r="Y383" s="307">
        <v>0</v>
      </c>
      <c r="Z383" s="307">
        <v>0</v>
      </c>
      <c r="AA383" s="307">
        <v>0</v>
      </c>
      <c r="AB383" s="307">
        <v>0</v>
      </c>
      <c r="AC383" s="307">
        <v>0</v>
      </c>
      <c r="AD383" s="307">
        <v>0</v>
      </c>
      <c r="AE383" s="307">
        <v>0</v>
      </c>
      <c r="AF383" s="307">
        <v>0</v>
      </c>
      <c r="AG383" s="307">
        <v>0</v>
      </c>
      <c r="AH383" s="307">
        <v>0</v>
      </c>
      <c r="AI383" s="307">
        <v>0</v>
      </c>
      <c r="AJ383" s="307">
        <v>0</v>
      </c>
      <c r="AK383" s="307">
        <v>0</v>
      </c>
      <c r="AL383" s="307">
        <v>0</v>
      </c>
      <c r="AM383" s="307">
        <v>0</v>
      </c>
      <c r="AN383" s="307">
        <v>0</v>
      </c>
      <c r="AO383" s="307">
        <v>0</v>
      </c>
      <c r="AP383" s="307">
        <v>0</v>
      </c>
      <c r="AR383" s="308">
        <v>0</v>
      </c>
      <c r="AS383" s="308">
        <f t="shared" si="384"/>
        <v>0</v>
      </c>
      <c r="AT383" s="308">
        <v>0</v>
      </c>
      <c r="AU383" s="308">
        <f t="shared" si="385"/>
        <v>0</v>
      </c>
      <c r="AV383" s="308">
        <v>0</v>
      </c>
      <c r="AW383" s="308">
        <f t="shared" si="386"/>
        <v>0</v>
      </c>
      <c r="AX383" s="308">
        <v>0</v>
      </c>
      <c r="AY383" s="308">
        <f t="shared" si="387"/>
        <v>0</v>
      </c>
      <c r="AZ383" s="309">
        <v>0</v>
      </c>
      <c r="BA383" s="308">
        <f t="shared" si="388"/>
        <v>0</v>
      </c>
      <c r="BB383" s="331">
        <v>0</v>
      </c>
      <c r="BC383" s="308">
        <f t="shared" si="389"/>
        <v>0</v>
      </c>
    </row>
    <row r="384" spans="1:55">
      <c r="A384" s="301" t="s">
        <v>51</v>
      </c>
      <c r="B384" s="308">
        <f>'Monthly D5 Gallon Data'!$R12</f>
        <v>0</v>
      </c>
      <c r="C384" s="308">
        <f>'Monthly D5 Gallon Data'!$R24</f>
        <v>0</v>
      </c>
      <c r="D384" s="308">
        <f>'Monthly D5 Gallon Data'!$R36</f>
        <v>0</v>
      </c>
      <c r="E384" s="308">
        <f>'Monthly D5 Gallon Data'!$R48</f>
        <v>0</v>
      </c>
      <c r="F384" s="308">
        <f>'Monthly D5 Gallon Data'!$R60</f>
        <v>0</v>
      </c>
      <c r="G384" s="308">
        <f>'Monthly D5 Gallon Data'!$R72</f>
        <v>0</v>
      </c>
      <c r="H384" s="308">
        <f>'Monthly D5 Gallon Data'!$R84</f>
        <v>0</v>
      </c>
      <c r="I384" s="308">
        <f>'Monthly D5 Gallon Data'!$R96</f>
        <v>0</v>
      </c>
      <c r="J384" s="308">
        <f>'Monthly D5 Gallon Data'!$R108</f>
        <v>0</v>
      </c>
      <c r="K384" s="308">
        <f>'Monthly D5 Gallon Data'!$R120</f>
        <v>0</v>
      </c>
      <c r="L384" s="308">
        <f>'Monthly D5 Gallon Data'!$R132</f>
        <v>0</v>
      </c>
      <c r="M384" s="308">
        <f>'Monthly D5 Gallon Data'!$R144</f>
        <v>0</v>
      </c>
      <c r="N384" s="308">
        <f>'Monthly D5 Gallon Data'!$R156</f>
        <v>0</v>
      </c>
      <c r="O384" s="308">
        <f>'Monthly D5 Gallon Data'!$R168</f>
        <v>0</v>
      </c>
      <c r="P384" s="308">
        <f>'Monthly D5 Gallon Data'!$R180</f>
        <v>0</v>
      </c>
      <c r="Q384" s="307">
        <v>0</v>
      </c>
      <c r="R384" s="307">
        <v>0</v>
      </c>
      <c r="S384" s="307">
        <v>0</v>
      </c>
      <c r="T384" s="307">
        <v>0</v>
      </c>
      <c r="U384" s="307">
        <v>0</v>
      </c>
      <c r="V384" s="307">
        <v>0</v>
      </c>
      <c r="W384" s="307">
        <v>0</v>
      </c>
      <c r="X384" s="307">
        <v>0</v>
      </c>
      <c r="Y384" s="307">
        <v>0</v>
      </c>
      <c r="Z384" s="307">
        <v>0</v>
      </c>
      <c r="AA384" s="307">
        <v>0</v>
      </c>
      <c r="AB384" s="307">
        <v>0</v>
      </c>
      <c r="AC384" s="307">
        <v>0</v>
      </c>
      <c r="AD384" s="307">
        <v>0</v>
      </c>
      <c r="AE384" s="307">
        <v>0</v>
      </c>
      <c r="AF384" s="307">
        <v>0</v>
      </c>
      <c r="AG384" s="307">
        <v>0</v>
      </c>
      <c r="AH384" s="307">
        <v>0</v>
      </c>
      <c r="AI384" s="307">
        <v>0</v>
      </c>
      <c r="AJ384" s="307">
        <v>0</v>
      </c>
      <c r="AK384" s="307">
        <v>0</v>
      </c>
      <c r="AL384" s="307">
        <v>0</v>
      </c>
      <c r="AM384" s="307">
        <v>0</v>
      </c>
      <c r="AN384" s="307">
        <v>0</v>
      </c>
      <c r="AO384" s="307">
        <v>0</v>
      </c>
      <c r="AP384" s="307">
        <v>0</v>
      </c>
      <c r="AR384" s="308">
        <v>0</v>
      </c>
      <c r="AS384" s="308">
        <f t="shared" si="384"/>
        <v>0</v>
      </c>
      <c r="AT384" s="308">
        <v>0</v>
      </c>
      <c r="AU384" s="308">
        <f t="shared" si="385"/>
        <v>0</v>
      </c>
      <c r="AV384" s="308">
        <v>0</v>
      </c>
      <c r="AW384" s="308">
        <f t="shared" si="386"/>
        <v>0</v>
      </c>
      <c r="AX384" s="308">
        <v>0</v>
      </c>
      <c r="AY384" s="308">
        <f t="shared" si="387"/>
        <v>0</v>
      </c>
      <c r="AZ384" s="309">
        <v>0</v>
      </c>
      <c r="BA384" s="308">
        <f t="shared" si="388"/>
        <v>0</v>
      </c>
      <c r="BB384" s="331">
        <v>0</v>
      </c>
      <c r="BC384" s="308">
        <f t="shared" si="389"/>
        <v>0</v>
      </c>
    </row>
    <row r="385" spans="1:55">
      <c r="A385" s="301" t="s">
        <v>52</v>
      </c>
      <c r="B385" s="308">
        <f>'Monthly D5 Gallon Data'!$R13</f>
        <v>0</v>
      </c>
      <c r="C385" s="308">
        <f>'Monthly D5 Gallon Data'!$R25</f>
        <v>0</v>
      </c>
      <c r="D385" s="308">
        <f>'Monthly D5 Gallon Data'!$R37</f>
        <v>0</v>
      </c>
      <c r="E385" s="308">
        <f>'Monthly D5 Gallon Data'!$R49</f>
        <v>0</v>
      </c>
      <c r="F385" s="308">
        <f>'Monthly D5 Gallon Data'!$R61</f>
        <v>0</v>
      </c>
      <c r="G385" s="308">
        <f>'Monthly D5 Gallon Data'!$R73</f>
        <v>0</v>
      </c>
      <c r="H385" s="308">
        <f>'Monthly D5 Gallon Data'!$R85</f>
        <v>0</v>
      </c>
      <c r="I385" s="308">
        <f>'Monthly D5 Gallon Data'!$R97</f>
        <v>0</v>
      </c>
      <c r="J385" s="308">
        <f>'Monthly D5 Gallon Data'!$R109</f>
        <v>0</v>
      </c>
      <c r="K385" s="308">
        <f>'Monthly D5 Gallon Data'!$R121</f>
        <v>0</v>
      </c>
      <c r="L385" s="308">
        <f>'Monthly D5 Gallon Data'!$R133</f>
        <v>0</v>
      </c>
      <c r="M385" s="308">
        <f>'Monthly D5 Gallon Data'!$R145</f>
        <v>0</v>
      </c>
      <c r="N385" s="308">
        <f>'Monthly D5 Gallon Data'!$R157</f>
        <v>0</v>
      </c>
      <c r="O385" s="308">
        <f>'Monthly D5 Gallon Data'!$R169</f>
        <v>0</v>
      </c>
      <c r="P385" s="308">
        <f>'Monthly D5 Gallon Data'!$R181</f>
        <v>0</v>
      </c>
      <c r="Q385" s="307">
        <v>0</v>
      </c>
      <c r="R385" s="307">
        <v>0</v>
      </c>
      <c r="S385" s="307">
        <v>0</v>
      </c>
      <c r="T385" s="307">
        <v>0</v>
      </c>
      <c r="U385" s="307">
        <v>0</v>
      </c>
      <c r="V385" s="307">
        <v>0</v>
      </c>
      <c r="W385" s="307">
        <v>0</v>
      </c>
      <c r="X385" s="307">
        <v>0</v>
      </c>
      <c r="Y385" s="307">
        <v>0</v>
      </c>
      <c r="Z385" s="307">
        <v>0</v>
      </c>
      <c r="AA385" s="307">
        <v>0</v>
      </c>
      <c r="AB385" s="307">
        <v>0</v>
      </c>
      <c r="AC385" s="307">
        <v>0</v>
      </c>
      <c r="AD385" s="307">
        <v>0</v>
      </c>
      <c r="AE385" s="307">
        <v>0</v>
      </c>
      <c r="AF385" s="307">
        <v>0</v>
      </c>
      <c r="AG385" s="307">
        <v>0</v>
      </c>
      <c r="AH385" s="307">
        <v>0</v>
      </c>
      <c r="AI385" s="307">
        <v>0</v>
      </c>
      <c r="AJ385" s="307">
        <v>0</v>
      </c>
      <c r="AK385" s="307">
        <v>0</v>
      </c>
      <c r="AL385" s="307">
        <v>0</v>
      </c>
      <c r="AM385" s="307">
        <v>0</v>
      </c>
      <c r="AN385" s="307">
        <v>0</v>
      </c>
      <c r="AO385" s="307">
        <v>0</v>
      </c>
      <c r="AP385" s="307">
        <v>0</v>
      </c>
      <c r="AR385" s="308">
        <v>0</v>
      </c>
      <c r="AS385" s="308">
        <f t="shared" si="384"/>
        <v>0</v>
      </c>
      <c r="AT385" s="308">
        <v>0</v>
      </c>
      <c r="AU385" s="308">
        <f t="shared" si="385"/>
        <v>0</v>
      </c>
      <c r="AV385" s="308">
        <v>0</v>
      </c>
      <c r="AW385" s="308">
        <f t="shared" si="386"/>
        <v>0</v>
      </c>
      <c r="AX385" s="308">
        <v>0</v>
      </c>
      <c r="AY385" s="308">
        <f t="shared" si="387"/>
        <v>0</v>
      </c>
      <c r="AZ385" s="309">
        <v>0</v>
      </c>
      <c r="BA385" s="308">
        <f t="shared" si="388"/>
        <v>0</v>
      </c>
      <c r="BB385" s="331">
        <v>0</v>
      </c>
      <c r="BC385" s="308">
        <f t="shared" si="389"/>
        <v>0</v>
      </c>
    </row>
    <row r="386" spans="1:55">
      <c r="A386" s="301" t="s">
        <v>53</v>
      </c>
      <c r="B386" s="308">
        <f>'Monthly D5 Gallon Data'!$R14</f>
        <v>0</v>
      </c>
      <c r="C386" s="308">
        <f>'Monthly D5 Gallon Data'!$R26</f>
        <v>0</v>
      </c>
      <c r="D386" s="308">
        <f>'Monthly D5 Gallon Data'!$R38</f>
        <v>0</v>
      </c>
      <c r="E386" s="308">
        <f>'Monthly D5 Gallon Data'!$R50</f>
        <v>0</v>
      </c>
      <c r="F386" s="308">
        <f>'Monthly D5 Gallon Data'!$R62</f>
        <v>0</v>
      </c>
      <c r="G386" s="308">
        <f>'Monthly D5 Gallon Data'!$R74</f>
        <v>0</v>
      </c>
      <c r="H386" s="308">
        <f>'Monthly D5 Gallon Data'!$R86</f>
        <v>0</v>
      </c>
      <c r="I386" s="308">
        <f>'Monthly D5 Gallon Data'!$R98</f>
        <v>0</v>
      </c>
      <c r="J386" s="308">
        <f>'Monthly D5 Gallon Data'!$R110</f>
        <v>0</v>
      </c>
      <c r="K386" s="308">
        <f>'Monthly D5 Gallon Data'!$R122</f>
        <v>0</v>
      </c>
      <c r="L386" s="308">
        <f>'Monthly D5 Gallon Data'!$R134</f>
        <v>0</v>
      </c>
      <c r="M386" s="308">
        <f>'Monthly D5 Gallon Data'!$R146</f>
        <v>0</v>
      </c>
      <c r="N386" s="308">
        <f>'Monthly D5 Gallon Data'!$R158</f>
        <v>0</v>
      </c>
      <c r="O386" s="308">
        <f>'Monthly D5 Gallon Data'!$R170</f>
        <v>0</v>
      </c>
      <c r="P386" s="308">
        <f>'Monthly D5 Gallon Data'!$R182</f>
        <v>0</v>
      </c>
      <c r="Q386" s="307">
        <v>0</v>
      </c>
      <c r="R386" s="307">
        <v>0</v>
      </c>
      <c r="S386" s="307">
        <v>0</v>
      </c>
      <c r="T386" s="307">
        <v>0</v>
      </c>
      <c r="U386" s="307">
        <v>0</v>
      </c>
      <c r="V386" s="307">
        <v>0</v>
      </c>
      <c r="W386" s="307">
        <v>0</v>
      </c>
      <c r="X386" s="307">
        <v>0</v>
      </c>
      <c r="Y386" s="307">
        <v>0</v>
      </c>
      <c r="Z386" s="307">
        <v>0</v>
      </c>
      <c r="AA386" s="307">
        <v>0</v>
      </c>
      <c r="AB386" s="307">
        <v>0</v>
      </c>
      <c r="AC386" s="307">
        <v>0</v>
      </c>
      <c r="AD386" s="307">
        <v>0</v>
      </c>
      <c r="AE386" s="307">
        <v>0</v>
      </c>
      <c r="AF386" s="307">
        <v>0</v>
      </c>
      <c r="AG386" s="307">
        <v>0</v>
      </c>
      <c r="AH386" s="307">
        <v>0</v>
      </c>
      <c r="AI386" s="307">
        <v>0</v>
      </c>
      <c r="AJ386" s="307">
        <v>0</v>
      </c>
      <c r="AK386" s="307">
        <v>0</v>
      </c>
      <c r="AL386" s="307">
        <v>0</v>
      </c>
      <c r="AM386" s="307">
        <v>0</v>
      </c>
      <c r="AN386" s="307">
        <v>0</v>
      </c>
      <c r="AO386" s="307">
        <v>0</v>
      </c>
      <c r="AP386" s="307">
        <v>0</v>
      </c>
      <c r="AR386" s="308">
        <v>0</v>
      </c>
      <c r="AS386" s="308">
        <f t="shared" si="384"/>
        <v>0</v>
      </c>
      <c r="AT386" s="308">
        <v>0</v>
      </c>
      <c r="AU386" s="308">
        <f t="shared" si="385"/>
        <v>0</v>
      </c>
      <c r="AV386" s="308">
        <v>0</v>
      </c>
      <c r="AW386" s="308">
        <f t="shared" si="386"/>
        <v>0</v>
      </c>
      <c r="AX386" s="309">
        <v>0</v>
      </c>
      <c r="AY386" s="308">
        <f t="shared" si="387"/>
        <v>0</v>
      </c>
      <c r="AZ386" s="309">
        <v>0</v>
      </c>
      <c r="BA386" s="308">
        <f t="shared" si="388"/>
        <v>0</v>
      </c>
      <c r="BB386" s="331">
        <v>0</v>
      </c>
      <c r="BC386" s="308">
        <f t="shared" si="389"/>
        <v>0</v>
      </c>
    </row>
    <row r="387" spans="1:55">
      <c r="A387" s="301" t="s">
        <v>54</v>
      </c>
      <c r="B387" s="308">
        <f>'Monthly D5 Gallon Data'!$R15</f>
        <v>0</v>
      </c>
      <c r="C387" s="308">
        <f>'Monthly D5 Gallon Data'!$R27</f>
        <v>0</v>
      </c>
      <c r="D387" s="308">
        <f>'Monthly D5 Gallon Data'!$R39</f>
        <v>0</v>
      </c>
      <c r="E387" s="308">
        <f>'Monthly D5 Gallon Data'!$R51</f>
        <v>0</v>
      </c>
      <c r="F387" s="308">
        <f>'Monthly D5 Gallon Data'!$R63</f>
        <v>0</v>
      </c>
      <c r="G387" s="308">
        <f>'Monthly D5 Gallon Data'!$R75</f>
        <v>0</v>
      </c>
      <c r="H387" s="308">
        <f>'Monthly D5 Gallon Data'!$R87</f>
        <v>0</v>
      </c>
      <c r="I387" s="308">
        <f>'Monthly D5 Gallon Data'!$R99</f>
        <v>0</v>
      </c>
      <c r="J387" s="308">
        <f>'Monthly D5 Gallon Data'!$R111</f>
        <v>0</v>
      </c>
      <c r="K387" s="308">
        <f>'Monthly D5 Gallon Data'!$R123</f>
        <v>0</v>
      </c>
      <c r="L387" s="308">
        <f>'Monthly D5 Gallon Data'!$R135</f>
        <v>0</v>
      </c>
      <c r="M387" s="308">
        <f>'Monthly D5 Gallon Data'!$R147</f>
        <v>0</v>
      </c>
      <c r="N387" s="308">
        <f>'Monthly D5 Gallon Data'!$R159</f>
        <v>0</v>
      </c>
      <c r="O387" s="308">
        <f>'Monthly D5 Gallon Data'!$R171</f>
        <v>0</v>
      </c>
      <c r="P387" s="308">
        <f>'Monthly D5 Gallon Data'!$R183</f>
        <v>0</v>
      </c>
      <c r="Q387" s="307">
        <v>0</v>
      </c>
      <c r="R387" s="307">
        <v>0</v>
      </c>
      <c r="S387" s="307">
        <v>0</v>
      </c>
      <c r="T387" s="307">
        <v>0</v>
      </c>
      <c r="U387" s="307">
        <v>0</v>
      </c>
      <c r="V387" s="307">
        <v>0</v>
      </c>
      <c r="W387" s="307">
        <v>0</v>
      </c>
      <c r="X387" s="307">
        <v>0</v>
      </c>
      <c r="Y387" s="307">
        <v>0</v>
      </c>
      <c r="Z387" s="307">
        <v>0</v>
      </c>
      <c r="AA387" s="307">
        <v>0</v>
      </c>
      <c r="AB387" s="307">
        <v>0</v>
      </c>
      <c r="AC387" s="307">
        <v>0</v>
      </c>
      <c r="AD387" s="307">
        <v>0</v>
      </c>
      <c r="AE387" s="307">
        <v>0</v>
      </c>
      <c r="AF387" s="307">
        <v>0</v>
      </c>
      <c r="AG387" s="307">
        <v>0</v>
      </c>
      <c r="AH387" s="307">
        <v>0</v>
      </c>
      <c r="AI387" s="307">
        <v>0</v>
      </c>
      <c r="AJ387" s="307">
        <v>0</v>
      </c>
      <c r="AK387" s="307">
        <v>0</v>
      </c>
      <c r="AL387" s="307">
        <v>0</v>
      </c>
      <c r="AM387" s="307">
        <v>0</v>
      </c>
      <c r="AN387" s="307">
        <v>0</v>
      </c>
      <c r="AO387" s="307">
        <v>0</v>
      </c>
      <c r="AP387" s="307">
        <v>0</v>
      </c>
      <c r="AR387" s="308">
        <v>0</v>
      </c>
      <c r="AS387" s="308">
        <f t="shared" si="384"/>
        <v>0</v>
      </c>
      <c r="AT387" s="308">
        <v>0</v>
      </c>
      <c r="AU387" s="308">
        <f t="shared" si="385"/>
        <v>0</v>
      </c>
      <c r="AV387" s="308">
        <v>0</v>
      </c>
      <c r="AW387" s="308">
        <f t="shared" si="386"/>
        <v>0</v>
      </c>
      <c r="AX387" s="309">
        <v>0</v>
      </c>
      <c r="AY387" s="308">
        <f t="shared" si="387"/>
        <v>0</v>
      </c>
      <c r="AZ387" s="309">
        <v>0</v>
      </c>
      <c r="BA387" s="308">
        <f t="shared" si="388"/>
        <v>0</v>
      </c>
      <c r="BB387" s="331">
        <v>0</v>
      </c>
      <c r="BC387" s="308">
        <f t="shared" si="389"/>
        <v>0</v>
      </c>
    </row>
    <row r="388" spans="1:55" ht="12" thickBot="1">
      <c r="A388" s="301" t="s">
        <v>29</v>
      </c>
      <c r="B388" s="308">
        <f t="shared" ref="B388:AD388" si="390">SUM(B376:B387)</f>
        <v>0</v>
      </c>
      <c r="C388" s="308">
        <f t="shared" si="390"/>
        <v>0</v>
      </c>
      <c r="D388" s="308">
        <f t="shared" si="390"/>
        <v>0</v>
      </c>
      <c r="E388" s="308">
        <f t="shared" si="390"/>
        <v>0</v>
      </c>
      <c r="F388" s="308">
        <f t="shared" si="390"/>
        <v>0</v>
      </c>
      <c r="G388" s="308">
        <f t="shared" si="390"/>
        <v>0</v>
      </c>
      <c r="H388" s="308">
        <f t="shared" si="390"/>
        <v>0</v>
      </c>
      <c r="I388" s="308">
        <f t="shared" si="390"/>
        <v>0</v>
      </c>
      <c r="J388" s="308">
        <f t="shared" si="390"/>
        <v>0</v>
      </c>
      <c r="K388" s="308">
        <f t="shared" si="390"/>
        <v>0</v>
      </c>
      <c r="L388" s="308">
        <f t="shared" si="390"/>
        <v>0</v>
      </c>
      <c r="M388" s="308">
        <f t="shared" si="390"/>
        <v>0</v>
      </c>
      <c r="N388" s="308">
        <f t="shared" si="390"/>
        <v>0</v>
      </c>
      <c r="O388" s="308">
        <f t="shared" si="390"/>
        <v>0</v>
      </c>
      <c r="P388" s="308">
        <f t="shared" si="390"/>
        <v>0</v>
      </c>
      <c r="Q388" s="307">
        <f t="shared" si="390"/>
        <v>0</v>
      </c>
      <c r="R388" s="307">
        <f t="shared" si="390"/>
        <v>0</v>
      </c>
      <c r="S388" s="307">
        <f t="shared" si="390"/>
        <v>0</v>
      </c>
      <c r="T388" s="307">
        <f t="shared" si="390"/>
        <v>0</v>
      </c>
      <c r="U388" s="307">
        <f t="shared" si="390"/>
        <v>0</v>
      </c>
      <c r="V388" s="307">
        <f t="shared" si="390"/>
        <v>0</v>
      </c>
      <c r="W388" s="307">
        <f t="shared" si="390"/>
        <v>0</v>
      </c>
      <c r="X388" s="307">
        <f t="shared" si="390"/>
        <v>0</v>
      </c>
      <c r="Y388" s="307">
        <f t="shared" si="390"/>
        <v>0</v>
      </c>
      <c r="Z388" s="307">
        <f t="shared" si="390"/>
        <v>0</v>
      </c>
      <c r="AA388" s="307">
        <f t="shared" si="390"/>
        <v>0</v>
      </c>
      <c r="AB388" s="307">
        <f t="shared" si="390"/>
        <v>0</v>
      </c>
      <c r="AC388" s="307">
        <f t="shared" si="390"/>
        <v>0</v>
      </c>
      <c r="AD388" s="307">
        <f t="shared" si="390"/>
        <v>0</v>
      </c>
      <c r="AE388" s="307">
        <f>SUM(AE376:AE387)</f>
        <v>0</v>
      </c>
      <c r="AF388" s="307">
        <f>SUM(AF376:AF387)</f>
        <v>0</v>
      </c>
      <c r="AG388" s="307">
        <f>SUM(AG376:AG387)</f>
        <v>0</v>
      </c>
      <c r="AH388" s="307">
        <f t="shared" ref="AH388:AP388" si="391">SUM(AH376:AH387)</f>
        <v>0</v>
      </c>
      <c r="AI388" s="307">
        <f t="shared" si="391"/>
        <v>0</v>
      </c>
      <c r="AJ388" s="307">
        <f t="shared" si="391"/>
        <v>0</v>
      </c>
      <c r="AK388" s="307">
        <f t="shared" si="391"/>
        <v>0</v>
      </c>
      <c r="AL388" s="307">
        <f t="shared" si="391"/>
        <v>0</v>
      </c>
      <c r="AM388" s="307">
        <f t="shared" si="391"/>
        <v>0</v>
      </c>
      <c r="AN388" s="307">
        <f t="shared" si="391"/>
        <v>0</v>
      </c>
      <c r="AO388" s="307">
        <f t="shared" si="391"/>
        <v>0</v>
      </c>
      <c r="AP388" s="307">
        <f t="shared" si="391"/>
        <v>0</v>
      </c>
      <c r="AR388" s="308">
        <v>0</v>
      </c>
      <c r="AS388" s="308">
        <f t="shared" si="384"/>
        <v>0</v>
      </c>
      <c r="AT388" s="308">
        <v>0</v>
      </c>
      <c r="AU388" s="308">
        <f t="shared" si="385"/>
        <v>0</v>
      </c>
      <c r="AV388" s="308">
        <v>0</v>
      </c>
      <c r="AW388" s="308">
        <f t="shared" si="386"/>
        <v>0</v>
      </c>
      <c r="AX388" s="309">
        <v>0</v>
      </c>
      <c r="AY388" s="308">
        <f t="shared" si="387"/>
        <v>0</v>
      </c>
      <c r="AZ388" s="309">
        <v>0</v>
      </c>
      <c r="BA388" s="308">
        <f t="shared" si="388"/>
        <v>0</v>
      </c>
      <c r="BB388" s="331">
        <v>0</v>
      </c>
      <c r="BC388" s="308">
        <f t="shared" si="389"/>
        <v>0</v>
      </c>
    </row>
    <row r="389" spans="1:55">
      <c r="A389" s="334"/>
      <c r="B389" s="334"/>
      <c r="C389" s="334"/>
      <c r="D389" s="334"/>
      <c r="E389" s="334"/>
      <c r="F389" s="334"/>
      <c r="G389" s="334"/>
      <c r="H389" s="334"/>
      <c r="I389" s="334"/>
      <c r="J389" s="334"/>
      <c r="K389" s="334"/>
      <c r="L389" s="334"/>
      <c r="M389" s="334"/>
      <c r="N389" s="334"/>
      <c r="O389" s="334"/>
      <c r="P389" s="334"/>
      <c r="Q389" s="334"/>
      <c r="R389" s="334"/>
      <c r="S389" s="334"/>
      <c r="T389" s="334"/>
      <c r="U389" s="334"/>
      <c r="V389" s="334"/>
      <c r="W389" s="334"/>
      <c r="X389" s="334"/>
      <c r="Y389" s="334"/>
      <c r="Z389" s="334"/>
      <c r="AA389" s="334"/>
      <c r="AB389" s="334"/>
      <c r="AC389" s="334"/>
      <c r="AD389" s="334"/>
      <c r="AE389" s="334"/>
      <c r="AF389" s="334"/>
      <c r="AG389" s="334"/>
      <c r="AH389" s="334"/>
      <c r="AI389" s="334"/>
      <c r="AJ389" s="334"/>
      <c r="AK389" s="334"/>
      <c r="AL389" s="334"/>
      <c r="AM389" s="334"/>
      <c r="AN389" s="334"/>
      <c r="AO389" s="334"/>
      <c r="AP389" s="334"/>
      <c r="AT389" s="309"/>
    </row>
    <row r="390" spans="1:55" ht="12" thickBot="1">
      <c r="A390" s="300" t="s">
        <v>456</v>
      </c>
      <c r="AT390" s="309"/>
    </row>
    <row r="391" spans="1:55" ht="12" thickBot="1">
      <c r="A391" s="328"/>
      <c r="B391" s="329">
        <f t="shared" ref="B391:AP391" si="392">B2</f>
        <v>2010</v>
      </c>
      <c r="C391" s="329">
        <f t="shared" si="392"/>
        <v>2011</v>
      </c>
      <c r="D391" s="329">
        <f t="shared" si="392"/>
        <v>2012</v>
      </c>
      <c r="E391" s="329">
        <f t="shared" si="392"/>
        <v>2013</v>
      </c>
      <c r="F391" s="329">
        <f t="shared" si="392"/>
        <v>2014</v>
      </c>
      <c r="G391" s="329">
        <f t="shared" si="392"/>
        <v>2015</v>
      </c>
      <c r="H391" s="329">
        <f t="shared" si="392"/>
        <v>2016</v>
      </c>
      <c r="I391" s="329">
        <f t="shared" si="392"/>
        <v>2017</v>
      </c>
      <c r="J391" s="329">
        <f t="shared" si="392"/>
        <v>2018</v>
      </c>
      <c r="K391" s="329">
        <f t="shared" si="392"/>
        <v>2019</v>
      </c>
      <c r="L391" s="329">
        <f t="shared" si="392"/>
        <v>2020</v>
      </c>
      <c r="M391" s="329">
        <f t="shared" si="392"/>
        <v>2021</v>
      </c>
      <c r="N391" s="329">
        <f t="shared" si="392"/>
        <v>2022</v>
      </c>
      <c r="O391" s="329">
        <f t="shared" si="392"/>
        <v>2023</v>
      </c>
      <c r="P391" s="329">
        <f t="shared" si="392"/>
        <v>2024</v>
      </c>
      <c r="Q391" s="329">
        <f t="shared" si="392"/>
        <v>2025</v>
      </c>
      <c r="R391" s="329">
        <f t="shared" si="392"/>
        <v>2026</v>
      </c>
      <c r="S391" s="329">
        <f t="shared" si="392"/>
        <v>2027</v>
      </c>
      <c r="T391" s="329">
        <f t="shared" si="392"/>
        <v>2028</v>
      </c>
      <c r="U391" s="329">
        <f t="shared" si="392"/>
        <v>2029</v>
      </c>
      <c r="V391" s="329">
        <f t="shared" si="392"/>
        <v>2030</v>
      </c>
      <c r="W391" s="329">
        <f t="shared" si="392"/>
        <v>2031</v>
      </c>
      <c r="X391" s="329">
        <f t="shared" si="392"/>
        <v>2032</v>
      </c>
      <c r="Y391" s="329">
        <f t="shared" si="392"/>
        <v>2033</v>
      </c>
      <c r="Z391" s="329">
        <f t="shared" si="392"/>
        <v>2034</v>
      </c>
      <c r="AA391" s="329">
        <f t="shared" si="392"/>
        <v>2035</v>
      </c>
      <c r="AB391" s="329">
        <f t="shared" si="392"/>
        <v>2036</v>
      </c>
      <c r="AC391" s="329">
        <f t="shared" si="392"/>
        <v>2037</v>
      </c>
      <c r="AD391" s="329">
        <f t="shared" si="392"/>
        <v>2038</v>
      </c>
      <c r="AE391" s="329">
        <f t="shared" si="392"/>
        <v>2039</v>
      </c>
      <c r="AF391" s="329">
        <f t="shared" si="392"/>
        <v>2040</v>
      </c>
      <c r="AG391" s="329">
        <f t="shared" si="392"/>
        <v>2041</v>
      </c>
      <c r="AH391" s="329">
        <f t="shared" si="392"/>
        <v>2042</v>
      </c>
      <c r="AI391" s="329">
        <f t="shared" si="392"/>
        <v>2043</v>
      </c>
      <c r="AJ391" s="329">
        <f t="shared" si="392"/>
        <v>2044</v>
      </c>
      <c r="AK391" s="329">
        <f t="shared" si="392"/>
        <v>2045</v>
      </c>
      <c r="AL391" s="329">
        <f t="shared" si="392"/>
        <v>2046</v>
      </c>
      <c r="AM391" s="329">
        <f t="shared" si="392"/>
        <v>2047</v>
      </c>
      <c r="AN391" s="329">
        <f t="shared" si="392"/>
        <v>2048</v>
      </c>
      <c r="AO391" s="329">
        <f t="shared" si="392"/>
        <v>2049</v>
      </c>
      <c r="AP391" s="329">
        <f t="shared" si="392"/>
        <v>2050</v>
      </c>
      <c r="AT391" s="309"/>
    </row>
    <row r="392" spans="1:55">
      <c r="A392" s="301" t="s">
        <v>43</v>
      </c>
      <c r="B392" s="308">
        <f t="shared" ref="B392:AP398" si="393">B408+B424</f>
        <v>0</v>
      </c>
      <c r="C392" s="308">
        <f t="shared" si="393"/>
        <v>0</v>
      </c>
      <c r="D392" s="308">
        <f t="shared" si="393"/>
        <v>0</v>
      </c>
      <c r="E392" s="308">
        <f t="shared" si="393"/>
        <v>0</v>
      </c>
      <c r="F392" s="308">
        <f t="shared" si="393"/>
        <v>0</v>
      </c>
      <c r="G392" s="308">
        <f t="shared" si="393"/>
        <v>0</v>
      </c>
      <c r="H392" s="308">
        <f t="shared" si="393"/>
        <v>0</v>
      </c>
      <c r="I392" s="308">
        <f t="shared" si="393"/>
        <v>0</v>
      </c>
      <c r="J392" s="308">
        <f t="shared" si="393"/>
        <v>0</v>
      </c>
      <c r="K392" s="308">
        <f t="shared" si="393"/>
        <v>0</v>
      </c>
      <c r="L392" s="308">
        <f t="shared" si="393"/>
        <v>0</v>
      </c>
      <c r="M392" s="308">
        <f t="shared" si="393"/>
        <v>0</v>
      </c>
      <c r="N392" s="308">
        <f t="shared" si="393"/>
        <v>0</v>
      </c>
      <c r="O392" s="308">
        <f t="shared" si="393"/>
        <v>0</v>
      </c>
      <c r="P392" s="308">
        <f t="shared" si="393"/>
        <v>0</v>
      </c>
      <c r="Q392" s="308">
        <f t="shared" si="393"/>
        <v>0</v>
      </c>
      <c r="R392" s="307">
        <f t="shared" si="393"/>
        <v>0</v>
      </c>
      <c r="S392" s="307">
        <f t="shared" si="393"/>
        <v>0</v>
      </c>
      <c r="T392" s="307">
        <f t="shared" si="393"/>
        <v>0</v>
      </c>
      <c r="U392" s="307">
        <f t="shared" si="393"/>
        <v>0</v>
      </c>
      <c r="V392" s="307">
        <f t="shared" si="393"/>
        <v>0</v>
      </c>
      <c r="W392" s="307">
        <f t="shared" si="393"/>
        <v>0</v>
      </c>
      <c r="X392" s="307">
        <f t="shared" si="393"/>
        <v>0</v>
      </c>
      <c r="Y392" s="307">
        <f t="shared" si="393"/>
        <v>0</v>
      </c>
      <c r="Z392" s="307">
        <f t="shared" si="393"/>
        <v>0</v>
      </c>
      <c r="AA392" s="307">
        <f t="shared" si="393"/>
        <v>0</v>
      </c>
      <c r="AB392" s="307">
        <f t="shared" si="393"/>
        <v>0</v>
      </c>
      <c r="AC392" s="307">
        <f t="shared" si="393"/>
        <v>0</v>
      </c>
      <c r="AD392" s="307">
        <f t="shared" si="393"/>
        <v>0</v>
      </c>
      <c r="AE392" s="307">
        <f t="shared" si="393"/>
        <v>0</v>
      </c>
      <c r="AF392" s="307">
        <f t="shared" si="393"/>
        <v>0</v>
      </c>
      <c r="AG392" s="307">
        <f t="shared" si="393"/>
        <v>0</v>
      </c>
      <c r="AH392" s="307">
        <f t="shared" si="393"/>
        <v>0</v>
      </c>
      <c r="AI392" s="307">
        <f t="shared" si="393"/>
        <v>0</v>
      </c>
      <c r="AJ392" s="307">
        <f t="shared" si="393"/>
        <v>0</v>
      </c>
      <c r="AK392" s="307">
        <f t="shared" si="393"/>
        <v>0</v>
      </c>
      <c r="AL392" s="307">
        <f t="shared" si="393"/>
        <v>0</v>
      </c>
      <c r="AM392" s="307">
        <f t="shared" si="393"/>
        <v>0</v>
      </c>
      <c r="AN392" s="307">
        <f t="shared" si="393"/>
        <v>0</v>
      </c>
      <c r="AO392" s="307">
        <f t="shared" si="393"/>
        <v>0</v>
      </c>
      <c r="AP392" s="307">
        <f t="shared" si="393"/>
        <v>0</v>
      </c>
      <c r="AR392" s="308">
        <v>0</v>
      </c>
      <c r="AS392" s="308">
        <f t="shared" ref="AS392:AS404" si="394">L392-AR392</f>
        <v>0</v>
      </c>
      <c r="AT392" s="308">
        <v>0</v>
      </c>
      <c r="AU392" s="308">
        <f t="shared" ref="AU392:AU404" si="395">M392-AT392</f>
        <v>0</v>
      </c>
      <c r="AV392" s="308">
        <v>0</v>
      </c>
      <c r="AW392" s="308">
        <f t="shared" ref="AW392:AW404" si="396">N392-AV392</f>
        <v>0</v>
      </c>
      <c r="AX392" s="308">
        <v>0</v>
      </c>
      <c r="AY392" s="308">
        <f t="shared" ref="AY392:AY404" si="397">O392-AX392</f>
        <v>0</v>
      </c>
      <c r="AZ392" s="308">
        <v>0</v>
      </c>
      <c r="BA392" s="308">
        <f t="shared" ref="BA392:BA404" si="398">P392-AZ392</f>
        <v>0</v>
      </c>
      <c r="BB392" s="331">
        <v>0</v>
      </c>
      <c r="BC392" s="308">
        <f t="shared" ref="BC392:BC404" si="399">Q392-BB392</f>
        <v>0</v>
      </c>
    </row>
    <row r="393" spans="1:55">
      <c r="A393" s="301" t="s">
        <v>44</v>
      </c>
      <c r="B393" s="308">
        <f t="shared" si="393"/>
        <v>0</v>
      </c>
      <c r="C393" s="308">
        <f t="shared" si="393"/>
        <v>0</v>
      </c>
      <c r="D393" s="308">
        <f t="shared" si="393"/>
        <v>0</v>
      </c>
      <c r="E393" s="308">
        <f t="shared" si="393"/>
        <v>0</v>
      </c>
      <c r="F393" s="308">
        <f t="shared" si="393"/>
        <v>0</v>
      </c>
      <c r="G393" s="308">
        <f t="shared" si="393"/>
        <v>0</v>
      </c>
      <c r="H393" s="308">
        <f t="shared" si="393"/>
        <v>0</v>
      </c>
      <c r="I393" s="308">
        <f t="shared" si="393"/>
        <v>0</v>
      </c>
      <c r="J393" s="308">
        <f t="shared" si="393"/>
        <v>0</v>
      </c>
      <c r="K393" s="308">
        <f t="shared" si="393"/>
        <v>0</v>
      </c>
      <c r="L393" s="308">
        <f t="shared" si="393"/>
        <v>0</v>
      </c>
      <c r="M393" s="308">
        <f t="shared" si="393"/>
        <v>266160</v>
      </c>
      <c r="N393" s="308">
        <f t="shared" si="393"/>
        <v>502505</v>
      </c>
      <c r="O393" s="308">
        <f t="shared" si="393"/>
        <v>440964</v>
      </c>
      <c r="P393" s="308">
        <f t="shared" si="393"/>
        <v>292847</v>
      </c>
      <c r="Q393" s="332">
        <f t="shared" si="393"/>
        <v>0</v>
      </c>
      <c r="R393" s="307">
        <f t="shared" si="393"/>
        <v>0</v>
      </c>
      <c r="S393" s="307">
        <f t="shared" si="393"/>
        <v>0</v>
      </c>
      <c r="T393" s="307">
        <f t="shared" si="393"/>
        <v>0</v>
      </c>
      <c r="U393" s="307">
        <f t="shared" si="393"/>
        <v>0</v>
      </c>
      <c r="V393" s="307">
        <f t="shared" si="393"/>
        <v>0</v>
      </c>
      <c r="W393" s="307">
        <f t="shared" si="393"/>
        <v>0</v>
      </c>
      <c r="X393" s="307">
        <f t="shared" si="393"/>
        <v>0</v>
      </c>
      <c r="Y393" s="307">
        <f t="shared" si="393"/>
        <v>0</v>
      </c>
      <c r="Z393" s="307">
        <f t="shared" si="393"/>
        <v>0</v>
      </c>
      <c r="AA393" s="307">
        <f t="shared" si="393"/>
        <v>0</v>
      </c>
      <c r="AB393" s="307">
        <f t="shared" si="393"/>
        <v>0</v>
      </c>
      <c r="AC393" s="307">
        <f t="shared" si="393"/>
        <v>0</v>
      </c>
      <c r="AD393" s="307">
        <f t="shared" si="393"/>
        <v>0</v>
      </c>
      <c r="AE393" s="307">
        <f t="shared" si="393"/>
        <v>0</v>
      </c>
      <c r="AF393" s="307">
        <f t="shared" si="393"/>
        <v>0</v>
      </c>
      <c r="AG393" s="307">
        <f t="shared" si="393"/>
        <v>0</v>
      </c>
      <c r="AH393" s="307">
        <f t="shared" si="393"/>
        <v>0</v>
      </c>
      <c r="AI393" s="307">
        <f t="shared" si="393"/>
        <v>0</v>
      </c>
      <c r="AJ393" s="307">
        <f t="shared" si="393"/>
        <v>0</v>
      </c>
      <c r="AK393" s="307">
        <f t="shared" si="393"/>
        <v>0</v>
      </c>
      <c r="AL393" s="307">
        <f t="shared" si="393"/>
        <v>0</v>
      </c>
      <c r="AM393" s="307">
        <f t="shared" si="393"/>
        <v>0</v>
      </c>
      <c r="AN393" s="307">
        <f t="shared" si="393"/>
        <v>0</v>
      </c>
      <c r="AO393" s="307">
        <f t="shared" si="393"/>
        <v>0</v>
      </c>
      <c r="AP393" s="307">
        <f t="shared" si="393"/>
        <v>0</v>
      </c>
      <c r="AR393" s="308">
        <v>0</v>
      </c>
      <c r="AS393" s="308">
        <f t="shared" si="394"/>
        <v>0</v>
      </c>
      <c r="AT393" s="308">
        <v>0</v>
      </c>
      <c r="AU393" s="308">
        <f t="shared" si="395"/>
        <v>266160</v>
      </c>
      <c r="AV393" s="308">
        <v>85096.18774967693</v>
      </c>
      <c r="AW393" s="308">
        <f t="shared" si="396"/>
        <v>417408.81225032307</v>
      </c>
      <c r="AX393" s="308">
        <v>173728.38821331659</v>
      </c>
      <c r="AY393" s="308">
        <f t="shared" si="397"/>
        <v>267235.61178668344</v>
      </c>
      <c r="AZ393" s="308">
        <v>292847</v>
      </c>
      <c r="BA393" s="308">
        <f t="shared" si="398"/>
        <v>0</v>
      </c>
      <c r="BB393" s="331">
        <v>0</v>
      </c>
      <c r="BC393" s="308">
        <f t="shared" si="399"/>
        <v>0</v>
      </c>
    </row>
    <row r="394" spans="1:55">
      <c r="A394" s="301" t="s">
        <v>45</v>
      </c>
      <c r="B394" s="308">
        <f t="shared" si="393"/>
        <v>0</v>
      </c>
      <c r="C394" s="308">
        <f t="shared" si="393"/>
        <v>0</v>
      </c>
      <c r="D394" s="308">
        <f t="shared" si="393"/>
        <v>0</v>
      </c>
      <c r="E394" s="308">
        <f t="shared" si="393"/>
        <v>0</v>
      </c>
      <c r="F394" s="308">
        <f t="shared" si="393"/>
        <v>0</v>
      </c>
      <c r="G394" s="308">
        <f t="shared" si="393"/>
        <v>0</v>
      </c>
      <c r="H394" s="308">
        <f t="shared" si="393"/>
        <v>0</v>
      </c>
      <c r="I394" s="308">
        <f t="shared" si="393"/>
        <v>0</v>
      </c>
      <c r="J394" s="308">
        <f t="shared" si="393"/>
        <v>0</v>
      </c>
      <c r="K394" s="308">
        <f t="shared" si="393"/>
        <v>955371</v>
      </c>
      <c r="L394" s="308">
        <f t="shared" si="393"/>
        <v>628681</v>
      </c>
      <c r="M394" s="308">
        <f t="shared" si="393"/>
        <v>136014</v>
      </c>
      <c r="N394" s="308">
        <f t="shared" si="393"/>
        <v>408998</v>
      </c>
      <c r="O394" s="308">
        <f t="shared" si="393"/>
        <v>541639</v>
      </c>
      <c r="P394" s="308">
        <f t="shared" si="393"/>
        <v>299391</v>
      </c>
      <c r="Q394" s="332">
        <f t="shared" si="393"/>
        <v>59839</v>
      </c>
      <c r="R394" s="307">
        <f t="shared" si="393"/>
        <v>0</v>
      </c>
      <c r="S394" s="307">
        <f t="shared" si="393"/>
        <v>0</v>
      </c>
      <c r="T394" s="307">
        <f t="shared" si="393"/>
        <v>0</v>
      </c>
      <c r="U394" s="307">
        <f t="shared" si="393"/>
        <v>0</v>
      </c>
      <c r="V394" s="307">
        <f t="shared" si="393"/>
        <v>0</v>
      </c>
      <c r="W394" s="307">
        <f t="shared" si="393"/>
        <v>0</v>
      </c>
      <c r="X394" s="307">
        <f t="shared" si="393"/>
        <v>0</v>
      </c>
      <c r="Y394" s="307">
        <f t="shared" si="393"/>
        <v>0</v>
      </c>
      <c r="Z394" s="307">
        <f t="shared" si="393"/>
        <v>0</v>
      </c>
      <c r="AA394" s="307">
        <f t="shared" si="393"/>
        <v>0</v>
      </c>
      <c r="AB394" s="307">
        <f t="shared" si="393"/>
        <v>0</v>
      </c>
      <c r="AC394" s="307">
        <f t="shared" si="393"/>
        <v>0</v>
      </c>
      <c r="AD394" s="307">
        <f t="shared" si="393"/>
        <v>0</v>
      </c>
      <c r="AE394" s="307">
        <f t="shared" si="393"/>
        <v>0</v>
      </c>
      <c r="AF394" s="307">
        <f t="shared" si="393"/>
        <v>0</v>
      </c>
      <c r="AG394" s="307">
        <f t="shared" si="393"/>
        <v>0</v>
      </c>
      <c r="AH394" s="307">
        <f t="shared" si="393"/>
        <v>0</v>
      </c>
      <c r="AI394" s="307">
        <f t="shared" si="393"/>
        <v>0</v>
      </c>
      <c r="AJ394" s="307">
        <f t="shared" si="393"/>
        <v>0</v>
      </c>
      <c r="AK394" s="307">
        <f t="shared" si="393"/>
        <v>0</v>
      </c>
      <c r="AL394" s="307">
        <f t="shared" si="393"/>
        <v>0</v>
      </c>
      <c r="AM394" s="307">
        <f t="shared" si="393"/>
        <v>0</v>
      </c>
      <c r="AN394" s="307">
        <f t="shared" si="393"/>
        <v>0</v>
      </c>
      <c r="AO394" s="307">
        <f t="shared" si="393"/>
        <v>0</v>
      </c>
      <c r="AP394" s="307">
        <f t="shared" si="393"/>
        <v>0</v>
      </c>
      <c r="AR394" s="308">
        <v>1320342.0508266122</v>
      </c>
      <c r="AS394" s="308">
        <f t="shared" si="394"/>
        <v>-691661.05082661216</v>
      </c>
      <c r="AT394" s="308">
        <v>672202.12880927732</v>
      </c>
      <c r="AU394" s="308">
        <f t="shared" si="395"/>
        <v>-536188.12880927732</v>
      </c>
      <c r="AV394" s="308">
        <v>549936.28801064554</v>
      </c>
      <c r="AW394" s="308">
        <f t="shared" si="396"/>
        <v>-140938.28801064554</v>
      </c>
      <c r="AX394" s="308">
        <v>470247.04013416817</v>
      </c>
      <c r="AY394" s="308">
        <f t="shared" si="397"/>
        <v>71391.959865831828</v>
      </c>
      <c r="AZ394" s="308">
        <v>299391</v>
      </c>
      <c r="BA394" s="308">
        <f t="shared" si="398"/>
        <v>0</v>
      </c>
      <c r="BB394" s="331">
        <v>0</v>
      </c>
      <c r="BC394" s="308">
        <f t="shared" si="399"/>
        <v>59839</v>
      </c>
    </row>
    <row r="395" spans="1:55">
      <c r="A395" s="301" t="s">
        <v>46</v>
      </c>
      <c r="B395" s="308">
        <f t="shared" si="393"/>
        <v>0</v>
      </c>
      <c r="C395" s="308">
        <f t="shared" si="393"/>
        <v>0</v>
      </c>
      <c r="D395" s="308">
        <f t="shared" si="393"/>
        <v>0</v>
      </c>
      <c r="E395" s="308">
        <f t="shared" si="393"/>
        <v>0</v>
      </c>
      <c r="F395" s="308">
        <f t="shared" si="393"/>
        <v>0</v>
      </c>
      <c r="G395" s="308">
        <f t="shared" si="393"/>
        <v>0</v>
      </c>
      <c r="H395" s="308">
        <f t="shared" si="393"/>
        <v>0</v>
      </c>
      <c r="I395" s="308">
        <f t="shared" si="393"/>
        <v>0</v>
      </c>
      <c r="J395" s="308">
        <f t="shared" si="393"/>
        <v>0</v>
      </c>
      <c r="K395" s="308">
        <f t="shared" si="393"/>
        <v>486747</v>
      </c>
      <c r="L395" s="308">
        <f t="shared" si="393"/>
        <v>0</v>
      </c>
      <c r="M395" s="308">
        <f t="shared" si="393"/>
        <v>233241</v>
      </c>
      <c r="N395" s="308">
        <f t="shared" si="393"/>
        <v>338480</v>
      </c>
      <c r="O395" s="308">
        <f t="shared" si="393"/>
        <v>314976</v>
      </c>
      <c r="P395" s="308">
        <f t="shared" si="393"/>
        <v>279076</v>
      </c>
      <c r="Q395" s="307">
        <f t="shared" si="393"/>
        <v>0</v>
      </c>
      <c r="R395" s="307">
        <f t="shared" si="393"/>
        <v>0</v>
      </c>
      <c r="S395" s="307">
        <f t="shared" si="393"/>
        <v>0</v>
      </c>
      <c r="T395" s="307">
        <f t="shared" si="393"/>
        <v>0</v>
      </c>
      <c r="U395" s="307">
        <f t="shared" si="393"/>
        <v>0</v>
      </c>
      <c r="V395" s="307">
        <f t="shared" si="393"/>
        <v>0</v>
      </c>
      <c r="W395" s="307">
        <f t="shared" si="393"/>
        <v>0</v>
      </c>
      <c r="X395" s="307">
        <f t="shared" si="393"/>
        <v>0</v>
      </c>
      <c r="Y395" s="307">
        <f t="shared" si="393"/>
        <v>0</v>
      </c>
      <c r="Z395" s="307">
        <f t="shared" si="393"/>
        <v>0</v>
      </c>
      <c r="AA395" s="307">
        <f t="shared" si="393"/>
        <v>0</v>
      </c>
      <c r="AB395" s="307">
        <f t="shared" si="393"/>
        <v>0</v>
      </c>
      <c r="AC395" s="307">
        <f t="shared" si="393"/>
        <v>0</v>
      </c>
      <c r="AD395" s="307">
        <f t="shared" si="393"/>
        <v>0</v>
      </c>
      <c r="AE395" s="307">
        <f t="shared" si="393"/>
        <v>0</v>
      </c>
      <c r="AF395" s="307">
        <f t="shared" si="393"/>
        <v>0</v>
      </c>
      <c r="AG395" s="307">
        <f t="shared" si="393"/>
        <v>0</v>
      </c>
      <c r="AH395" s="307">
        <f t="shared" si="393"/>
        <v>0</v>
      </c>
      <c r="AI395" s="307">
        <f t="shared" si="393"/>
        <v>0</v>
      </c>
      <c r="AJ395" s="307">
        <f t="shared" si="393"/>
        <v>0</v>
      </c>
      <c r="AK395" s="307">
        <f t="shared" si="393"/>
        <v>0</v>
      </c>
      <c r="AL395" s="307">
        <f t="shared" si="393"/>
        <v>0</v>
      </c>
      <c r="AM395" s="307">
        <f t="shared" si="393"/>
        <v>0</v>
      </c>
      <c r="AN395" s="307">
        <f t="shared" si="393"/>
        <v>0</v>
      </c>
      <c r="AO395" s="307">
        <f t="shared" si="393"/>
        <v>0</v>
      </c>
      <c r="AP395" s="307">
        <f t="shared" si="393"/>
        <v>0</v>
      </c>
      <c r="AR395" s="308">
        <v>638910.76168060023</v>
      </c>
      <c r="AS395" s="308">
        <f t="shared" si="394"/>
        <v>-638910.76168060023</v>
      </c>
      <c r="AT395" s="308">
        <v>193587.37644160737</v>
      </c>
      <c r="AU395" s="308">
        <f t="shared" si="395"/>
        <v>39653.623558392632</v>
      </c>
      <c r="AV395" s="308">
        <v>230193.21824407243</v>
      </c>
      <c r="AW395" s="308">
        <f t="shared" si="396"/>
        <v>108286.78175592757</v>
      </c>
      <c r="AX395" s="308">
        <v>236335.3141787308</v>
      </c>
      <c r="AY395" s="308">
        <f t="shared" si="397"/>
        <v>78640.685821269202</v>
      </c>
      <c r="AZ395" s="308">
        <v>279076</v>
      </c>
      <c r="BA395" s="308">
        <f t="shared" si="398"/>
        <v>0</v>
      </c>
      <c r="BB395" s="331">
        <v>0</v>
      </c>
      <c r="BC395" s="308">
        <f t="shared" si="399"/>
        <v>0</v>
      </c>
    </row>
    <row r="396" spans="1:55">
      <c r="A396" s="301" t="s">
        <v>47</v>
      </c>
      <c r="B396" s="308">
        <f t="shared" si="393"/>
        <v>0</v>
      </c>
      <c r="C396" s="308">
        <f t="shared" si="393"/>
        <v>0</v>
      </c>
      <c r="D396" s="308">
        <f t="shared" si="393"/>
        <v>0</v>
      </c>
      <c r="E396" s="308">
        <f t="shared" si="393"/>
        <v>0</v>
      </c>
      <c r="F396" s="308">
        <f t="shared" si="393"/>
        <v>0</v>
      </c>
      <c r="G396" s="308">
        <f t="shared" si="393"/>
        <v>0</v>
      </c>
      <c r="H396" s="308">
        <f t="shared" si="393"/>
        <v>0</v>
      </c>
      <c r="I396" s="308">
        <f t="shared" si="393"/>
        <v>0</v>
      </c>
      <c r="J396" s="308">
        <f t="shared" si="393"/>
        <v>0</v>
      </c>
      <c r="K396" s="308">
        <f t="shared" si="393"/>
        <v>381883</v>
      </c>
      <c r="L396" s="308">
        <f t="shared" si="393"/>
        <v>376204</v>
      </c>
      <c r="M396" s="308">
        <f t="shared" si="393"/>
        <v>227288</v>
      </c>
      <c r="N396" s="308">
        <f t="shared" si="393"/>
        <v>64595</v>
      </c>
      <c r="O396" s="308">
        <f t="shared" si="393"/>
        <v>658616</v>
      </c>
      <c r="P396" s="308">
        <f t="shared" si="393"/>
        <v>29626</v>
      </c>
      <c r="Q396" s="307">
        <f t="shared" si="393"/>
        <v>0</v>
      </c>
      <c r="R396" s="307">
        <f t="shared" si="393"/>
        <v>0</v>
      </c>
      <c r="S396" s="307">
        <f t="shared" si="393"/>
        <v>0</v>
      </c>
      <c r="T396" s="307">
        <f t="shared" si="393"/>
        <v>0</v>
      </c>
      <c r="U396" s="307">
        <f t="shared" si="393"/>
        <v>0</v>
      </c>
      <c r="V396" s="307">
        <f t="shared" si="393"/>
        <v>0</v>
      </c>
      <c r="W396" s="307">
        <f t="shared" si="393"/>
        <v>0</v>
      </c>
      <c r="X396" s="307">
        <f t="shared" si="393"/>
        <v>0</v>
      </c>
      <c r="Y396" s="307">
        <f t="shared" si="393"/>
        <v>0</v>
      </c>
      <c r="Z396" s="307">
        <f t="shared" si="393"/>
        <v>0</v>
      </c>
      <c r="AA396" s="307">
        <f t="shared" si="393"/>
        <v>0</v>
      </c>
      <c r="AB396" s="307">
        <f t="shared" si="393"/>
        <v>0</v>
      </c>
      <c r="AC396" s="307">
        <f t="shared" si="393"/>
        <v>0</v>
      </c>
      <c r="AD396" s="307">
        <f t="shared" si="393"/>
        <v>0</v>
      </c>
      <c r="AE396" s="307">
        <f t="shared" si="393"/>
        <v>0</v>
      </c>
      <c r="AF396" s="307">
        <f t="shared" si="393"/>
        <v>0</v>
      </c>
      <c r="AG396" s="307">
        <f t="shared" si="393"/>
        <v>0</v>
      </c>
      <c r="AH396" s="307">
        <f t="shared" si="393"/>
        <v>0</v>
      </c>
      <c r="AI396" s="307">
        <f t="shared" si="393"/>
        <v>0</v>
      </c>
      <c r="AJ396" s="307">
        <f t="shared" si="393"/>
        <v>0</v>
      </c>
      <c r="AK396" s="307">
        <f t="shared" si="393"/>
        <v>0</v>
      </c>
      <c r="AL396" s="307">
        <f t="shared" si="393"/>
        <v>0</v>
      </c>
      <c r="AM396" s="307">
        <f t="shared" si="393"/>
        <v>0</v>
      </c>
      <c r="AN396" s="307">
        <f t="shared" si="393"/>
        <v>0</v>
      </c>
      <c r="AO396" s="307">
        <f t="shared" si="393"/>
        <v>0</v>
      </c>
      <c r="AP396" s="307">
        <f t="shared" si="393"/>
        <v>0</v>
      </c>
      <c r="AR396" s="308">
        <v>344416.76824539597</v>
      </c>
      <c r="AS396" s="308">
        <f t="shared" si="394"/>
        <v>31787.231754604029</v>
      </c>
      <c r="AT396" s="308">
        <v>319631.91089437198</v>
      </c>
      <c r="AU396" s="308">
        <f t="shared" si="395"/>
        <v>-92343.910894371977</v>
      </c>
      <c r="AV396" s="308">
        <v>315042.25930905342</v>
      </c>
      <c r="AW396" s="308">
        <f t="shared" si="396"/>
        <v>-250447.25930905342</v>
      </c>
      <c r="AX396" s="308">
        <v>234437.87608906647</v>
      </c>
      <c r="AY396" s="308">
        <f t="shared" si="397"/>
        <v>424178.1239109335</v>
      </c>
      <c r="AZ396" s="308">
        <v>29626</v>
      </c>
      <c r="BA396" s="308">
        <f t="shared" si="398"/>
        <v>0</v>
      </c>
      <c r="BB396" s="331">
        <v>0</v>
      </c>
      <c r="BC396" s="308">
        <f t="shared" si="399"/>
        <v>0</v>
      </c>
    </row>
    <row r="397" spans="1:55">
      <c r="A397" s="301" t="s">
        <v>48</v>
      </c>
      <c r="B397" s="308">
        <f t="shared" si="393"/>
        <v>0</v>
      </c>
      <c r="C397" s="308">
        <f t="shared" si="393"/>
        <v>0</v>
      </c>
      <c r="D397" s="308">
        <f t="shared" si="393"/>
        <v>0</v>
      </c>
      <c r="E397" s="308">
        <f t="shared" si="393"/>
        <v>0</v>
      </c>
      <c r="F397" s="308">
        <f t="shared" si="393"/>
        <v>0</v>
      </c>
      <c r="G397" s="308">
        <f t="shared" si="393"/>
        <v>0</v>
      </c>
      <c r="H397" s="308">
        <f t="shared" si="393"/>
        <v>0</v>
      </c>
      <c r="I397" s="308">
        <f t="shared" si="393"/>
        <v>0</v>
      </c>
      <c r="J397" s="308">
        <f t="shared" si="393"/>
        <v>0</v>
      </c>
      <c r="K397" s="308">
        <f t="shared" si="393"/>
        <v>0</v>
      </c>
      <c r="L397" s="308">
        <f t="shared" si="393"/>
        <v>437146</v>
      </c>
      <c r="M397" s="308">
        <f t="shared" si="393"/>
        <v>450653</v>
      </c>
      <c r="N397" s="308">
        <f t="shared" si="393"/>
        <v>452822</v>
      </c>
      <c r="O397" s="308">
        <f t="shared" si="393"/>
        <v>313319</v>
      </c>
      <c r="P397" s="308">
        <f t="shared" si="393"/>
        <v>0</v>
      </c>
      <c r="Q397" s="307">
        <f t="shared" si="393"/>
        <v>0</v>
      </c>
      <c r="R397" s="307">
        <f t="shared" si="393"/>
        <v>0</v>
      </c>
      <c r="S397" s="307">
        <f t="shared" si="393"/>
        <v>0</v>
      </c>
      <c r="T397" s="307">
        <f t="shared" si="393"/>
        <v>0</v>
      </c>
      <c r="U397" s="307">
        <f t="shared" si="393"/>
        <v>0</v>
      </c>
      <c r="V397" s="307">
        <f t="shared" si="393"/>
        <v>0</v>
      </c>
      <c r="W397" s="307">
        <f t="shared" si="393"/>
        <v>0</v>
      </c>
      <c r="X397" s="307">
        <f t="shared" si="393"/>
        <v>0</v>
      </c>
      <c r="Y397" s="307">
        <f t="shared" si="393"/>
        <v>0</v>
      </c>
      <c r="Z397" s="307">
        <f t="shared" si="393"/>
        <v>0</v>
      </c>
      <c r="AA397" s="307">
        <f t="shared" si="393"/>
        <v>0</v>
      </c>
      <c r="AB397" s="307">
        <f t="shared" si="393"/>
        <v>0</v>
      </c>
      <c r="AC397" s="307">
        <f t="shared" si="393"/>
        <v>0</v>
      </c>
      <c r="AD397" s="307">
        <f t="shared" si="393"/>
        <v>0</v>
      </c>
      <c r="AE397" s="307">
        <f t="shared" si="393"/>
        <v>0</v>
      </c>
      <c r="AF397" s="307">
        <f t="shared" si="393"/>
        <v>0</v>
      </c>
      <c r="AG397" s="307">
        <f t="shared" si="393"/>
        <v>0</v>
      </c>
      <c r="AH397" s="307">
        <f t="shared" si="393"/>
        <v>0</v>
      </c>
      <c r="AI397" s="307">
        <f t="shared" si="393"/>
        <v>0</v>
      </c>
      <c r="AJ397" s="307">
        <f t="shared" si="393"/>
        <v>0</v>
      </c>
      <c r="AK397" s="307">
        <f t="shared" si="393"/>
        <v>0</v>
      </c>
      <c r="AL397" s="307">
        <f t="shared" si="393"/>
        <v>0</v>
      </c>
      <c r="AM397" s="307">
        <f t="shared" si="393"/>
        <v>0</v>
      </c>
      <c r="AN397" s="307">
        <f t="shared" si="393"/>
        <v>0</v>
      </c>
      <c r="AO397" s="307">
        <f t="shared" si="393"/>
        <v>0</v>
      </c>
      <c r="AP397" s="307">
        <f t="shared" si="393"/>
        <v>0</v>
      </c>
      <c r="AR397" s="308">
        <v>0</v>
      </c>
      <c r="AS397" s="308">
        <f t="shared" si="394"/>
        <v>437146</v>
      </c>
      <c r="AT397" s="308">
        <v>194925.07568618684</v>
      </c>
      <c r="AU397" s="308">
        <f t="shared" si="395"/>
        <v>255727.92431381316</v>
      </c>
      <c r="AV397" s="308">
        <v>283845.44236693467</v>
      </c>
      <c r="AW397" s="308">
        <f t="shared" si="396"/>
        <v>168976.55763306533</v>
      </c>
      <c r="AX397" s="308">
        <v>299779.5121756866</v>
      </c>
      <c r="AY397" s="308">
        <f t="shared" si="397"/>
        <v>13539.487824313401</v>
      </c>
      <c r="AZ397" s="308">
        <v>0</v>
      </c>
      <c r="BA397" s="308">
        <f t="shared" si="398"/>
        <v>0</v>
      </c>
      <c r="BB397" s="331">
        <v>0</v>
      </c>
      <c r="BC397" s="308">
        <f t="shared" si="399"/>
        <v>0</v>
      </c>
    </row>
    <row r="398" spans="1:55">
      <c r="A398" s="301" t="s">
        <v>49</v>
      </c>
      <c r="B398" s="308">
        <f t="shared" si="393"/>
        <v>0</v>
      </c>
      <c r="C398" s="308">
        <f t="shared" si="393"/>
        <v>0</v>
      </c>
      <c r="D398" s="308">
        <f t="shared" si="393"/>
        <v>0</v>
      </c>
      <c r="E398" s="308">
        <f t="shared" si="393"/>
        <v>0</v>
      </c>
      <c r="F398" s="308">
        <f t="shared" si="393"/>
        <v>0</v>
      </c>
      <c r="G398" s="308">
        <f t="shared" si="393"/>
        <v>0</v>
      </c>
      <c r="H398" s="308">
        <f t="shared" si="393"/>
        <v>0</v>
      </c>
      <c r="I398" s="308">
        <f t="shared" si="393"/>
        <v>0</v>
      </c>
      <c r="J398" s="308">
        <f t="shared" si="393"/>
        <v>0</v>
      </c>
      <c r="K398" s="308">
        <f>K414+K430</f>
        <v>296246</v>
      </c>
      <c r="L398" s="308">
        <f t="shared" ref="L398:AP403" si="400">L414+L430</f>
        <v>416467</v>
      </c>
      <c r="M398" s="308">
        <f t="shared" si="400"/>
        <v>673636</v>
      </c>
      <c r="N398" s="308">
        <f t="shared" si="400"/>
        <v>518411</v>
      </c>
      <c r="O398" s="308">
        <f t="shared" si="400"/>
        <v>135872</v>
      </c>
      <c r="P398" s="308">
        <f t="shared" si="400"/>
        <v>0</v>
      </c>
      <c r="Q398" s="307">
        <f t="shared" si="400"/>
        <v>0</v>
      </c>
      <c r="R398" s="307">
        <f t="shared" si="400"/>
        <v>0</v>
      </c>
      <c r="S398" s="307">
        <f t="shared" si="400"/>
        <v>0</v>
      </c>
      <c r="T398" s="307">
        <f t="shared" si="400"/>
        <v>0</v>
      </c>
      <c r="U398" s="307">
        <f t="shared" si="400"/>
        <v>0</v>
      </c>
      <c r="V398" s="307">
        <f t="shared" si="400"/>
        <v>0</v>
      </c>
      <c r="W398" s="307">
        <f t="shared" si="400"/>
        <v>0</v>
      </c>
      <c r="X398" s="307">
        <f t="shared" si="400"/>
        <v>0</v>
      </c>
      <c r="Y398" s="307">
        <f t="shared" si="400"/>
        <v>0</v>
      </c>
      <c r="Z398" s="307">
        <f t="shared" si="400"/>
        <v>0</v>
      </c>
      <c r="AA398" s="307">
        <f t="shared" si="400"/>
        <v>0</v>
      </c>
      <c r="AB398" s="307">
        <f t="shared" si="400"/>
        <v>0</v>
      </c>
      <c r="AC398" s="307">
        <f t="shared" si="400"/>
        <v>0</v>
      </c>
      <c r="AD398" s="307">
        <f t="shared" si="400"/>
        <v>0</v>
      </c>
      <c r="AE398" s="307">
        <f t="shared" si="400"/>
        <v>0</v>
      </c>
      <c r="AF398" s="307">
        <f t="shared" si="400"/>
        <v>0</v>
      </c>
      <c r="AG398" s="307">
        <f t="shared" si="400"/>
        <v>0</v>
      </c>
      <c r="AH398" s="307">
        <f t="shared" si="400"/>
        <v>0</v>
      </c>
      <c r="AI398" s="307">
        <f t="shared" si="400"/>
        <v>0</v>
      </c>
      <c r="AJ398" s="307">
        <f t="shared" si="400"/>
        <v>0</v>
      </c>
      <c r="AK398" s="307">
        <f t="shared" si="400"/>
        <v>0</v>
      </c>
      <c r="AL398" s="307">
        <f t="shared" si="400"/>
        <v>0</v>
      </c>
      <c r="AM398" s="307">
        <f t="shared" si="400"/>
        <v>0</v>
      </c>
      <c r="AN398" s="307">
        <f t="shared" si="400"/>
        <v>0</v>
      </c>
      <c r="AO398" s="307">
        <f t="shared" si="400"/>
        <v>0</v>
      </c>
      <c r="AP398" s="307">
        <f t="shared" si="400"/>
        <v>0</v>
      </c>
      <c r="AR398" s="308">
        <v>277413.12401925755</v>
      </c>
      <c r="AS398" s="308">
        <f t="shared" si="394"/>
        <v>139053.87598074245</v>
      </c>
      <c r="AT398" s="308">
        <v>325089.81828205741</v>
      </c>
      <c r="AU398" s="308">
        <f t="shared" si="395"/>
        <v>348546.18171794259</v>
      </c>
      <c r="AV398" s="308">
        <v>444113.90767248237</v>
      </c>
      <c r="AW398" s="308">
        <f t="shared" si="396"/>
        <v>74297.092327517632</v>
      </c>
      <c r="AX398" s="308">
        <v>227332.62179860176</v>
      </c>
      <c r="AY398" s="308">
        <f t="shared" si="397"/>
        <v>-91460.621798601758</v>
      </c>
      <c r="AZ398" s="309">
        <v>0</v>
      </c>
      <c r="BA398" s="308">
        <f t="shared" si="398"/>
        <v>0</v>
      </c>
      <c r="BB398" s="331">
        <v>0</v>
      </c>
      <c r="BC398" s="308">
        <f t="shared" si="399"/>
        <v>0</v>
      </c>
    </row>
    <row r="399" spans="1:55">
      <c r="A399" s="301" t="s">
        <v>50</v>
      </c>
      <c r="B399" s="308">
        <f t="shared" ref="B399:K403" si="401">B415+B431</f>
        <v>0</v>
      </c>
      <c r="C399" s="308">
        <f t="shared" si="401"/>
        <v>0</v>
      </c>
      <c r="D399" s="308">
        <f t="shared" si="401"/>
        <v>0</v>
      </c>
      <c r="E399" s="308">
        <f t="shared" si="401"/>
        <v>0</v>
      </c>
      <c r="F399" s="308">
        <f t="shared" si="401"/>
        <v>0</v>
      </c>
      <c r="G399" s="308">
        <f t="shared" si="401"/>
        <v>0</v>
      </c>
      <c r="H399" s="308">
        <f t="shared" si="401"/>
        <v>0</v>
      </c>
      <c r="I399" s="308">
        <f t="shared" si="401"/>
        <v>0</v>
      </c>
      <c r="J399" s="308">
        <f t="shared" si="401"/>
        <v>0</v>
      </c>
      <c r="K399" s="308">
        <f>K415+K431</f>
        <v>305732</v>
      </c>
      <c r="L399" s="308">
        <f t="shared" si="400"/>
        <v>395713</v>
      </c>
      <c r="M399" s="308">
        <f t="shared" si="400"/>
        <v>609098</v>
      </c>
      <c r="N399" s="308">
        <f t="shared" si="400"/>
        <v>176799</v>
      </c>
      <c r="O399" s="308">
        <f t="shared" si="400"/>
        <v>337003</v>
      </c>
      <c r="P399" s="308">
        <f t="shared" si="400"/>
        <v>0</v>
      </c>
      <c r="Q399" s="307">
        <f t="shared" si="400"/>
        <v>0</v>
      </c>
      <c r="R399" s="307">
        <f t="shared" si="400"/>
        <v>0</v>
      </c>
      <c r="S399" s="307">
        <f t="shared" si="400"/>
        <v>0</v>
      </c>
      <c r="T399" s="307">
        <f t="shared" si="400"/>
        <v>0</v>
      </c>
      <c r="U399" s="307">
        <f t="shared" si="400"/>
        <v>0</v>
      </c>
      <c r="V399" s="307">
        <f t="shared" si="400"/>
        <v>0</v>
      </c>
      <c r="W399" s="307">
        <f t="shared" si="400"/>
        <v>0</v>
      </c>
      <c r="X399" s="307">
        <f t="shared" si="400"/>
        <v>0</v>
      </c>
      <c r="Y399" s="307">
        <f t="shared" si="400"/>
        <v>0</v>
      </c>
      <c r="Z399" s="307">
        <f t="shared" si="400"/>
        <v>0</v>
      </c>
      <c r="AA399" s="307">
        <f t="shared" si="400"/>
        <v>0</v>
      </c>
      <c r="AB399" s="307">
        <f t="shared" si="400"/>
        <v>0</v>
      </c>
      <c r="AC399" s="307">
        <f t="shared" si="400"/>
        <v>0</v>
      </c>
      <c r="AD399" s="307">
        <f t="shared" si="400"/>
        <v>0</v>
      </c>
      <c r="AE399" s="307">
        <f t="shared" si="400"/>
        <v>0</v>
      </c>
      <c r="AF399" s="307">
        <f t="shared" si="400"/>
        <v>0</v>
      </c>
      <c r="AG399" s="307">
        <f t="shared" si="400"/>
        <v>0</v>
      </c>
      <c r="AH399" s="307">
        <f t="shared" si="400"/>
        <v>0</v>
      </c>
      <c r="AI399" s="307">
        <f t="shared" si="400"/>
        <v>0</v>
      </c>
      <c r="AJ399" s="307">
        <f t="shared" si="400"/>
        <v>0</v>
      </c>
      <c r="AK399" s="307">
        <f t="shared" si="400"/>
        <v>0</v>
      </c>
      <c r="AL399" s="307">
        <f t="shared" si="400"/>
        <v>0</v>
      </c>
      <c r="AM399" s="307">
        <f t="shared" si="400"/>
        <v>0</v>
      </c>
      <c r="AN399" s="307">
        <f t="shared" si="400"/>
        <v>0</v>
      </c>
      <c r="AO399" s="307">
        <f t="shared" si="400"/>
        <v>0</v>
      </c>
      <c r="AP399" s="307">
        <f t="shared" si="400"/>
        <v>0</v>
      </c>
      <c r="AR399" s="308">
        <v>288409.82624868012</v>
      </c>
      <c r="AS399" s="308">
        <f t="shared" si="394"/>
        <v>107303.17375131988</v>
      </c>
      <c r="AT399" s="308">
        <v>320308.4789415343</v>
      </c>
      <c r="AU399" s="308">
        <f t="shared" si="395"/>
        <v>288789.5210584657</v>
      </c>
      <c r="AV399" s="308">
        <v>419829.57023968676</v>
      </c>
      <c r="AW399" s="308">
        <f t="shared" si="396"/>
        <v>-243030.57023968676</v>
      </c>
      <c r="AX399" s="308">
        <v>334233.38164985349</v>
      </c>
      <c r="AY399" s="308">
        <f t="shared" si="397"/>
        <v>2769.618350146513</v>
      </c>
      <c r="AZ399" s="309">
        <v>0</v>
      </c>
      <c r="BA399" s="308">
        <f t="shared" si="398"/>
        <v>0</v>
      </c>
      <c r="BB399" s="331">
        <v>0</v>
      </c>
      <c r="BC399" s="308">
        <f t="shared" si="399"/>
        <v>0</v>
      </c>
    </row>
    <row r="400" spans="1:55">
      <c r="A400" s="301" t="s">
        <v>51</v>
      </c>
      <c r="B400" s="308">
        <f t="shared" si="401"/>
        <v>0</v>
      </c>
      <c r="C400" s="308">
        <f t="shared" si="401"/>
        <v>0</v>
      </c>
      <c r="D400" s="308">
        <f t="shared" si="401"/>
        <v>0</v>
      </c>
      <c r="E400" s="308">
        <f t="shared" si="401"/>
        <v>0</v>
      </c>
      <c r="F400" s="308">
        <f t="shared" si="401"/>
        <v>0</v>
      </c>
      <c r="G400" s="308">
        <f t="shared" si="401"/>
        <v>0</v>
      </c>
      <c r="H400" s="308">
        <f t="shared" si="401"/>
        <v>0</v>
      </c>
      <c r="I400" s="308">
        <f t="shared" si="401"/>
        <v>0</v>
      </c>
      <c r="J400" s="308">
        <f t="shared" si="401"/>
        <v>0</v>
      </c>
      <c r="K400" s="308">
        <f t="shared" si="401"/>
        <v>404010</v>
      </c>
      <c r="L400" s="308">
        <f t="shared" si="400"/>
        <v>346477</v>
      </c>
      <c r="M400" s="308">
        <f t="shared" si="400"/>
        <v>369009</v>
      </c>
      <c r="N400" s="308">
        <f t="shared" si="400"/>
        <v>644107</v>
      </c>
      <c r="O400" s="308">
        <f t="shared" si="400"/>
        <v>432276</v>
      </c>
      <c r="P400" s="308">
        <f t="shared" si="400"/>
        <v>0</v>
      </c>
      <c r="Q400" s="307">
        <f t="shared" si="400"/>
        <v>0</v>
      </c>
      <c r="R400" s="307">
        <f t="shared" si="400"/>
        <v>0</v>
      </c>
      <c r="S400" s="307">
        <f t="shared" si="400"/>
        <v>0</v>
      </c>
      <c r="T400" s="307">
        <f t="shared" si="400"/>
        <v>0</v>
      </c>
      <c r="U400" s="307">
        <f t="shared" si="400"/>
        <v>0</v>
      </c>
      <c r="V400" s="307">
        <f t="shared" si="400"/>
        <v>0</v>
      </c>
      <c r="W400" s="307">
        <f t="shared" si="400"/>
        <v>0</v>
      </c>
      <c r="X400" s="307">
        <f t="shared" si="400"/>
        <v>0</v>
      </c>
      <c r="Y400" s="307">
        <f t="shared" si="400"/>
        <v>0</v>
      </c>
      <c r="Z400" s="307">
        <f t="shared" si="400"/>
        <v>0</v>
      </c>
      <c r="AA400" s="307">
        <f t="shared" si="400"/>
        <v>0</v>
      </c>
      <c r="AB400" s="307">
        <f t="shared" si="400"/>
        <v>0</v>
      </c>
      <c r="AC400" s="307">
        <f t="shared" si="400"/>
        <v>0</v>
      </c>
      <c r="AD400" s="307">
        <f t="shared" si="400"/>
        <v>0</v>
      </c>
      <c r="AE400" s="307">
        <f t="shared" si="400"/>
        <v>0</v>
      </c>
      <c r="AF400" s="307">
        <f t="shared" si="400"/>
        <v>0</v>
      </c>
      <c r="AG400" s="307">
        <f t="shared" si="400"/>
        <v>0</v>
      </c>
      <c r="AH400" s="307">
        <f t="shared" si="400"/>
        <v>0</v>
      </c>
      <c r="AI400" s="307">
        <f t="shared" si="400"/>
        <v>0</v>
      </c>
      <c r="AJ400" s="307">
        <f t="shared" si="400"/>
        <v>0</v>
      </c>
      <c r="AK400" s="307">
        <f t="shared" si="400"/>
        <v>0</v>
      </c>
      <c r="AL400" s="307">
        <f t="shared" si="400"/>
        <v>0</v>
      </c>
      <c r="AM400" s="307">
        <f t="shared" si="400"/>
        <v>0</v>
      </c>
      <c r="AN400" s="307">
        <f t="shared" si="400"/>
        <v>0</v>
      </c>
      <c r="AO400" s="307">
        <f t="shared" si="400"/>
        <v>0</v>
      </c>
      <c r="AP400" s="307">
        <f t="shared" si="400"/>
        <v>0</v>
      </c>
      <c r="AR400" s="308">
        <v>381118.74037862185</v>
      </c>
      <c r="AS400" s="308">
        <f t="shared" si="394"/>
        <v>-34641.740378621849</v>
      </c>
      <c r="AT400" s="308">
        <v>347974.28713322856</v>
      </c>
      <c r="AU400" s="308">
        <f t="shared" si="395"/>
        <v>21034.712866771442</v>
      </c>
      <c r="AV400" s="308">
        <v>358628.07664195372</v>
      </c>
      <c r="AW400" s="308">
        <f t="shared" si="396"/>
        <v>285478.92335804628</v>
      </c>
      <c r="AX400" s="308">
        <v>396314.32124115742</v>
      </c>
      <c r="AY400" s="308">
        <f t="shared" si="397"/>
        <v>35961.67875884258</v>
      </c>
      <c r="AZ400" s="309">
        <v>0</v>
      </c>
      <c r="BA400" s="308">
        <f t="shared" si="398"/>
        <v>0</v>
      </c>
      <c r="BB400" s="331">
        <v>0</v>
      </c>
      <c r="BC400" s="308">
        <f t="shared" si="399"/>
        <v>0</v>
      </c>
    </row>
    <row r="401" spans="1:55">
      <c r="A401" s="301" t="s">
        <v>52</v>
      </c>
      <c r="B401" s="308">
        <f t="shared" si="401"/>
        <v>0</v>
      </c>
      <c r="C401" s="308">
        <f t="shared" si="401"/>
        <v>0</v>
      </c>
      <c r="D401" s="308">
        <f t="shared" si="401"/>
        <v>0</v>
      </c>
      <c r="E401" s="308">
        <f t="shared" si="401"/>
        <v>0</v>
      </c>
      <c r="F401" s="308">
        <f t="shared" si="401"/>
        <v>0</v>
      </c>
      <c r="G401" s="308">
        <f t="shared" si="401"/>
        <v>0</v>
      </c>
      <c r="H401" s="308">
        <f t="shared" si="401"/>
        <v>0</v>
      </c>
      <c r="I401" s="308">
        <f t="shared" si="401"/>
        <v>0</v>
      </c>
      <c r="J401" s="308">
        <f t="shared" si="401"/>
        <v>0</v>
      </c>
      <c r="K401" s="308">
        <f t="shared" si="401"/>
        <v>0</v>
      </c>
      <c r="L401" s="308">
        <f t="shared" si="400"/>
        <v>247224</v>
      </c>
      <c r="M401" s="308">
        <f t="shared" si="400"/>
        <v>276052</v>
      </c>
      <c r="N401" s="308">
        <f t="shared" si="400"/>
        <v>274746</v>
      </c>
      <c r="O401" s="308">
        <f t="shared" si="400"/>
        <v>482205</v>
      </c>
      <c r="P401" s="308">
        <f t="shared" si="400"/>
        <v>0</v>
      </c>
      <c r="Q401" s="307">
        <f t="shared" si="400"/>
        <v>0</v>
      </c>
      <c r="R401" s="307">
        <f t="shared" si="400"/>
        <v>0</v>
      </c>
      <c r="S401" s="307">
        <f t="shared" si="400"/>
        <v>0</v>
      </c>
      <c r="T401" s="307">
        <f t="shared" si="400"/>
        <v>0</v>
      </c>
      <c r="U401" s="307">
        <f t="shared" si="400"/>
        <v>0</v>
      </c>
      <c r="V401" s="307">
        <f t="shared" si="400"/>
        <v>0</v>
      </c>
      <c r="W401" s="307">
        <f t="shared" si="400"/>
        <v>0</v>
      </c>
      <c r="X401" s="307">
        <f t="shared" si="400"/>
        <v>0</v>
      </c>
      <c r="Y401" s="307">
        <f t="shared" si="400"/>
        <v>0</v>
      </c>
      <c r="Z401" s="307">
        <f t="shared" si="400"/>
        <v>0</v>
      </c>
      <c r="AA401" s="307">
        <f t="shared" si="400"/>
        <v>0</v>
      </c>
      <c r="AB401" s="307">
        <f t="shared" si="400"/>
        <v>0</v>
      </c>
      <c r="AC401" s="307">
        <f t="shared" si="400"/>
        <v>0</v>
      </c>
      <c r="AD401" s="307">
        <f t="shared" si="400"/>
        <v>0</v>
      </c>
      <c r="AE401" s="307">
        <f t="shared" si="400"/>
        <v>0</v>
      </c>
      <c r="AF401" s="307">
        <f t="shared" si="400"/>
        <v>0</v>
      </c>
      <c r="AG401" s="307">
        <f t="shared" si="400"/>
        <v>0</v>
      </c>
      <c r="AH401" s="307">
        <f t="shared" si="400"/>
        <v>0</v>
      </c>
      <c r="AI401" s="307">
        <f t="shared" si="400"/>
        <v>0</v>
      </c>
      <c r="AJ401" s="307">
        <f t="shared" si="400"/>
        <v>0</v>
      </c>
      <c r="AK401" s="307">
        <f t="shared" si="400"/>
        <v>0</v>
      </c>
      <c r="AL401" s="307">
        <f t="shared" si="400"/>
        <v>0</v>
      </c>
      <c r="AM401" s="307">
        <f t="shared" si="400"/>
        <v>0</v>
      </c>
      <c r="AN401" s="307">
        <f t="shared" si="400"/>
        <v>0</v>
      </c>
      <c r="AO401" s="307">
        <f t="shared" si="400"/>
        <v>0</v>
      </c>
      <c r="AP401" s="307">
        <f t="shared" si="400"/>
        <v>0</v>
      </c>
      <c r="AR401" s="308">
        <v>0</v>
      </c>
      <c r="AS401" s="308">
        <f t="shared" si="394"/>
        <v>247224</v>
      </c>
      <c r="AT401" s="308">
        <v>111455.74096297919</v>
      </c>
      <c r="AU401" s="308">
        <f t="shared" si="395"/>
        <v>164596.25903702079</v>
      </c>
      <c r="AV401" s="308">
        <v>278616.27829418104</v>
      </c>
      <c r="AW401" s="308">
        <f t="shared" si="396"/>
        <v>-3870.2782941810437</v>
      </c>
      <c r="AX401" s="309">
        <v>191371.62472979643</v>
      </c>
      <c r="AY401" s="308">
        <f t="shared" si="397"/>
        <v>290833.37527020357</v>
      </c>
      <c r="AZ401" s="309">
        <v>0</v>
      </c>
      <c r="BA401" s="308">
        <f t="shared" si="398"/>
        <v>0</v>
      </c>
      <c r="BB401" s="331">
        <v>0</v>
      </c>
      <c r="BC401" s="308">
        <f t="shared" si="399"/>
        <v>0</v>
      </c>
    </row>
    <row r="402" spans="1:55">
      <c r="A402" s="301" t="s">
        <v>53</v>
      </c>
      <c r="B402" s="308">
        <f t="shared" si="401"/>
        <v>0</v>
      </c>
      <c r="C402" s="308">
        <f t="shared" si="401"/>
        <v>0</v>
      </c>
      <c r="D402" s="308">
        <f t="shared" si="401"/>
        <v>0</v>
      </c>
      <c r="E402" s="308">
        <f t="shared" si="401"/>
        <v>0</v>
      </c>
      <c r="F402" s="308">
        <f t="shared" si="401"/>
        <v>0</v>
      </c>
      <c r="G402" s="308">
        <f t="shared" si="401"/>
        <v>0</v>
      </c>
      <c r="H402" s="308">
        <f t="shared" si="401"/>
        <v>0</v>
      </c>
      <c r="I402" s="308">
        <f t="shared" si="401"/>
        <v>0</v>
      </c>
      <c r="J402" s="308">
        <f t="shared" si="401"/>
        <v>184806</v>
      </c>
      <c r="K402" s="308">
        <f t="shared" si="401"/>
        <v>366982</v>
      </c>
      <c r="L402" s="308">
        <f t="shared" si="400"/>
        <v>956600</v>
      </c>
      <c r="M402" s="308">
        <f t="shared" si="400"/>
        <v>441432</v>
      </c>
      <c r="N402" s="308">
        <f t="shared" si="400"/>
        <v>168243</v>
      </c>
      <c r="O402" s="308">
        <f t="shared" si="400"/>
        <v>307315</v>
      </c>
      <c r="P402" s="308">
        <f t="shared" si="400"/>
        <v>0</v>
      </c>
      <c r="Q402" s="307">
        <f t="shared" si="400"/>
        <v>0</v>
      </c>
      <c r="R402" s="307">
        <f t="shared" si="400"/>
        <v>0</v>
      </c>
      <c r="S402" s="307">
        <f t="shared" si="400"/>
        <v>0</v>
      </c>
      <c r="T402" s="307">
        <f t="shared" si="400"/>
        <v>0</v>
      </c>
      <c r="U402" s="307">
        <f t="shared" si="400"/>
        <v>0</v>
      </c>
      <c r="V402" s="307">
        <f t="shared" si="400"/>
        <v>0</v>
      </c>
      <c r="W402" s="307">
        <f t="shared" si="400"/>
        <v>0</v>
      </c>
      <c r="X402" s="307">
        <f t="shared" si="400"/>
        <v>0</v>
      </c>
      <c r="Y402" s="307">
        <f t="shared" si="400"/>
        <v>0</v>
      </c>
      <c r="Z402" s="307">
        <f t="shared" si="400"/>
        <v>0</v>
      </c>
      <c r="AA402" s="307">
        <f t="shared" si="400"/>
        <v>0</v>
      </c>
      <c r="AB402" s="307">
        <f t="shared" si="400"/>
        <v>0</v>
      </c>
      <c r="AC402" s="307">
        <f t="shared" si="400"/>
        <v>0</v>
      </c>
      <c r="AD402" s="307">
        <f t="shared" si="400"/>
        <v>0</v>
      </c>
      <c r="AE402" s="307">
        <f t="shared" si="400"/>
        <v>0</v>
      </c>
      <c r="AF402" s="307">
        <f t="shared" si="400"/>
        <v>0</v>
      </c>
      <c r="AG402" s="307">
        <f t="shared" si="400"/>
        <v>0</v>
      </c>
      <c r="AH402" s="307">
        <f t="shared" si="400"/>
        <v>0</v>
      </c>
      <c r="AI402" s="307">
        <f t="shared" si="400"/>
        <v>0</v>
      </c>
      <c r="AJ402" s="307">
        <f t="shared" si="400"/>
        <v>0</v>
      </c>
      <c r="AK402" s="307">
        <f t="shared" si="400"/>
        <v>0</v>
      </c>
      <c r="AL402" s="307">
        <f t="shared" si="400"/>
        <v>0</v>
      </c>
      <c r="AM402" s="307">
        <f t="shared" si="400"/>
        <v>0</v>
      </c>
      <c r="AN402" s="307">
        <f t="shared" si="400"/>
        <v>0</v>
      </c>
      <c r="AO402" s="307">
        <f t="shared" si="400"/>
        <v>0</v>
      </c>
      <c r="AP402" s="307">
        <f t="shared" si="400"/>
        <v>0</v>
      </c>
      <c r="AR402" s="308">
        <v>374336.3771206605</v>
      </c>
      <c r="AS402" s="308">
        <f t="shared" si="394"/>
        <v>582263.6228793395</v>
      </c>
      <c r="AT402" s="308">
        <v>601777.39385760948</v>
      </c>
      <c r="AU402" s="308">
        <f t="shared" si="395"/>
        <v>-160345.39385760948</v>
      </c>
      <c r="AV402" s="308">
        <v>515556.17124977754</v>
      </c>
      <c r="AW402" s="308">
        <f t="shared" si="396"/>
        <v>-347313.17124977754</v>
      </c>
      <c r="AX402" s="309">
        <v>257927.24359515135</v>
      </c>
      <c r="AY402" s="308">
        <f t="shared" si="397"/>
        <v>49387.756404848653</v>
      </c>
      <c r="AZ402" s="309">
        <v>0</v>
      </c>
      <c r="BA402" s="308">
        <f t="shared" si="398"/>
        <v>0</v>
      </c>
      <c r="BB402" s="331">
        <v>0</v>
      </c>
      <c r="BC402" s="308">
        <f t="shared" si="399"/>
        <v>0</v>
      </c>
    </row>
    <row r="403" spans="1:55">
      <c r="A403" s="301" t="s">
        <v>54</v>
      </c>
      <c r="B403" s="308">
        <f t="shared" si="401"/>
        <v>0</v>
      </c>
      <c r="C403" s="308">
        <f t="shared" si="401"/>
        <v>0</v>
      </c>
      <c r="D403" s="308">
        <f t="shared" si="401"/>
        <v>0</v>
      </c>
      <c r="E403" s="308">
        <f t="shared" si="401"/>
        <v>0</v>
      </c>
      <c r="F403" s="308">
        <f t="shared" si="401"/>
        <v>0</v>
      </c>
      <c r="G403" s="308">
        <f t="shared" si="401"/>
        <v>0</v>
      </c>
      <c r="H403" s="308">
        <f t="shared" si="401"/>
        <v>0</v>
      </c>
      <c r="I403" s="308">
        <f t="shared" si="401"/>
        <v>0</v>
      </c>
      <c r="J403" s="308">
        <f t="shared" si="401"/>
        <v>475255</v>
      </c>
      <c r="K403" s="308">
        <f t="shared" si="401"/>
        <v>1012409</v>
      </c>
      <c r="L403" s="308">
        <f t="shared" si="400"/>
        <v>502249</v>
      </c>
      <c r="M403" s="308">
        <f t="shared" si="400"/>
        <v>907732</v>
      </c>
      <c r="N403" s="308">
        <f t="shared" si="400"/>
        <v>935542</v>
      </c>
      <c r="O403" s="308">
        <f t="shared" si="400"/>
        <v>755252</v>
      </c>
      <c r="P403" s="308">
        <f t="shared" si="400"/>
        <v>28862</v>
      </c>
      <c r="Q403" s="307">
        <f t="shared" si="400"/>
        <v>0</v>
      </c>
      <c r="R403" s="307">
        <f t="shared" si="400"/>
        <v>0</v>
      </c>
      <c r="S403" s="307">
        <f t="shared" si="400"/>
        <v>0</v>
      </c>
      <c r="T403" s="307">
        <f t="shared" si="400"/>
        <v>0</v>
      </c>
      <c r="U403" s="307">
        <f t="shared" si="400"/>
        <v>0</v>
      </c>
      <c r="V403" s="307">
        <f t="shared" si="400"/>
        <v>0</v>
      </c>
      <c r="W403" s="307">
        <f t="shared" si="400"/>
        <v>0</v>
      </c>
      <c r="X403" s="307">
        <f t="shared" si="400"/>
        <v>0</v>
      </c>
      <c r="Y403" s="307">
        <f t="shared" si="400"/>
        <v>0</v>
      </c>
      <c r="Z403" s="307">
        <f t="shared" si="400"/>
        <v>0</v>
      </c>
      <c r="AA403" s="307">
        <f t="shared" si="400"/>
        <v>0</v>
      </c>
      <c r="AB403" s="307">
        <f t="shared" si="400"/>
        <v>0</v>
      </c>
      <c r="AC403" s="307">
        <f t="shared" si="400"/>
        <v>0</v>
      </c>
      <c r="AD403" s="307">
        <f t="shared" si="400"/>
        <v>0</v>
      </c>
      <c r="AE403" s="307">
        <f t="shared" si="400"/>
        <v>0</v>
      </c>
      <c r="AF403" s="307">
        <f t="shared" si="400"/>
        <v>0</v>
      </c>
      <c r="AG403" s="307">
        <f t="shared" si="400"/>
        <v>0</v>
      </c>
      <c r="AH403" s="307">
        <f t="shared" si="400"/>
        <v>0</v>
      </c>
      <c r="AI403" s="307">
        <f t="shared" si="400"/>
        <v>0</v>
      </c>
      <c r="AJ403" s="307">
        <f t="shared" si="400"/>
        <v>0</v>
      </c>
      <c r="AK403" s="307">
        <f t="shared" si="400"/>
        <v>0</v>
      </c>
      <c r="AL403" s="307">
        <f t="shared" si="400"/>
        <v>0</v>
      </c>
      <c r="AM403" s="307">
        <f t="shared" si="400"/>
        <v>0</v>
      </c>
      <c r="AN403" s="307">
        <f t="shared" si="400"/>
        <v>0</v>
      </c>
      <c r="AO403" s="307">
        <f t="shared" si="400"/>
        <v>0</v>
      </c>
      <c r="AP403" s="307">
        <f t="shared" si="400"/>
        <v>0</v>
      </c>
      <c r="AR403" s="308">
        <v>1098744.1590038873</v>
      </c>
      <c r="AS403" s="308">
        <f t="shared" si="394"/>
        <v>-596495.15900388733</v>
      </c>
      <c r="AT403" s="308">
        <v>362872.57281433232</v>
      </c>
      <c r="AU403" s="308">
        <f t="shared" si="395"/>
        <v>544859.42718566768</v>
      </c>
      <c r="AV403" s="308">
        <v>1149389.6567024868</v>
      </c>
      <c r="AW403" s="308">
        <f t="shared" si="396"/>
        <v>-213847.6567024868</v>
      </c>
      <c r="AX403" s="309">
        <v>462111.60529010743</v>
      </c>
      <c r="AY403" s="308">
        <f t="shared" si="397"/>
        <v>293140.39470989257</v>
      </c>
      <c r="AZ403" s="309">
        <v>0</v>
      </c>
      <c r="BA403" s="308">
        <f t="shared" si="398"/>
        <v>28862</v>
      </c>
      <c r="BB403" s="331">
        <v>0</v>
      </c>
      <c r="BC403" s="308">
        <f t="shared" si="399"/>
        <v>0</v>
      </c>
    </row>
    <row r="404" spans="1:55" ht="12" thickBot="1">
      <c r="A404" s="301" t="s">
        <v>29</v>
      </c>
      <c r="B404" s="308">
        <f t="shared" ref="B404:AD404" si="402">SUM(B392:B403)</f>
        <v>0</v>
      </c>
      <c r="C404" s="308">
        <f t="shared" si="402"/>
        <v>0</v>
      </c>
      <c r="D404" s="308">
        <f t="shared" si="402"/>
        <v>0</v>
      </c>
      <c r="E404" s="308">
        <f t="shared" si="402"/>
        <v>0</v>
      </c>
      <c r="F404" s="308">
        <f t="shared" si="402"/>
        <v>0</v>
      </c>
      <c r="G404" s="308">
        <f t="shared" si="402"/>
        <v>0</v>
      </c>
      <c r="H404" s="308">
        <f t="shared" si="402"/>
        <v>0</v>
      </c>
      <c r="I404" s="308">
        <f t="shared" si="402"/>
        <v>0</v>
      </c>
      <c r="J404" s="308">
        <f t="shared" si="402"/>
        <v>660061</v>
      </c>
      <c r="K404" s="308">
        <f t="shared" si="402"/>
        <v>4209380</v>
      </c>
      <c r="L404" s="308">
        <f t="shared" si="402"/>
        <v>4306761</v>
      </c>
      <c r="M404" s="308">
        <f t="shared" si="402"/>
        <v>4590315</v>
      </c>
      <c r="N404" s="308">
        <f t="shared" si="402"/>
        <v>4485248</v>
      </c>
      <c r="O404" s="308">
        <f t="shared" si="402"/>
        <v>4719437</v>
      </c>
      <c r="P404" s="308">
        <f t="shared" si="402"/>
        <v>929802</v>
      </c>
      <c r="Q404" s="307">
        <f t="shared" si="402"/>
        <v>59839</v>
      </c>
      <c r="R404" s="307">
        <f t="shared" si="402"/>
        <v>0</v>
      </c>
      <c r="S404" s="307">
        <f t="shared" si="402"/>
        <v>0</v>
      </c>
      <c r="T404" s="307">
        <f t="shared" si="402"/>
        <v>0</v>
      </c>
      <c r="U404" s="307">
        <f t="shared" si="402"/>
        <v>0</v>
      </c>
      <c r="V404" s="307">
        <f t="shared" si="402"/>
        <v>0</v>
      </c>
      <c r="W404" s="307">
        <f t="shared" si="402"/>
        <v>0</v>
      </c>
      <c r="X404" s="307">
        <f t="shared" si="402"/>
        <v>0</v>
      </c>
      <c r="Y404" s="307">
        <f t="shared" si="402"/>
        <v>0</v>
      </c>
      <c r="Z404" s="307">
        <f t="shared" si="402"/>
        <v>0</v>
      </c>
      <c r="AA404" s="307">
        <f t="shared" si="402"/>
        <v>0</v>
      </c>
      <c r="AB404" s="307">
        <f t="shared" si="402"/>
        <v>0</v>
      </c>
      <c r="AC404" s="307">
        <f t="shared" si="402"/>
        <v>0</v>
      </c>
      <c r="AD404" s="307">
        <f t="shared" si="402"/>
        <v>0</v>
      </c>
      <c r="AE404" s="307">
        <f>SUM(AE392:AE403)</f>
        <v>0</v>
      </c>
      <c r="AF404" s="307">
        <f>SUM(AF392:AF403)</f>
        <v>0</v>
      </c>
      <c r="AG404" s="307">
        <f>SUM(AG392:AG403)</f>
        <v>0</v>
      </c>
      <c r="AH404" s="307">
        <f t="shared" ref="AH404:AP404" si="403">SUM(AH392:AH403)</f>
        <v>0</v>
      </c>
      <c r="AI404" s="307">
        <f t="shared" si="403"/>
        <v>0</v>
      </c>
      <c r="AJ404" s="307">
        <f t="shared" si="403"/>
        <v>0</v>
      </c>
      <c r="AK404" s="307">
        <f t="shared" si="403"/>
        <v>0</v>
      </c>
      <c r="AL404" s="307">
        <f t="shared" si="403"/>
        <v>0</v>
      </c>
      <c r="AM404" s="307">
        <f t="shared" si="403"/>
        <v>0</v>
      </c>
      <c r="AN404" s="307">
        <f t="shared" si="403"/>
        <v>0</v>
      </c>
      <c r="AO404" s="307">
        <f t="shared" si="403"/>
        <v>0</v>
      </c>
      <c r="AP404" s="307">
        <f t="shared" si="403"/>
        <v>0</v>
      </c>
      <c r="AR404" s="308">
        <v>4700424.1590038873</v>
      </c>
      <c r="AS404" s="308">
        <f t="shared" si="394"/>
        <v>-393663.15900388733</v>
      </c>
      <c r="AT404" s="308">
        <v>4045455.5728143323</v>
      </c>
      <c r="AU404" s="308">
        <f t="shared" si="395"/>
        <v>544859.42718566768</v>
      </c>
      <c r="AV404" s="308">
        <v>4699095.6567024868</v>
      </c>
      <c r="AW404" s="308">
        <f t="shared" si="396"/>
        <v>-213847.6567024868</v>
      </c>
      <c r="AX404" s="309">
        <v>4376908.8488852587</v>
      </c>
      <c r="AY404" s="308">
        <f t="shared" si="397"/>
        <v>342528.15111474134</v>
      </c>
      <c r="AZ404" s="309">
        <v>900940</v>
      </c>
      <c r="BA404" s="308">
        <f t="shared" si="398"/>
        <v>28862</v>
      </c>
      <c r="BB404" s="331">
        <v>0</v>
      </c>
      <c r="BC404" s="308">
        <f t="shared" si="399"/>
        <v>59839</v>
      </c>
    </row>
    <row r="405" spans="1:55">
      <c r="A405" s="334"/>
      <c r="B405" s="334"/>
      <c r="C405" s="334"/>
      <c r="D405" s="334"/>
      <c r="E405" s="334"/>
      <c r="F405" s="334"/>
      <c r="G405" s="334"/>
      <c r="H405" s="334"/>
      <c r="I405" s="334"/>
      <c r="J405" s="334"/>
      <c r="K405" s="334"/>
      <c r="L405" s="334"/>
      <c r="M405" s="334"/>
      <c r="N405" s="334"/>
      <c r="O405" s="334"/>
      <c r="P405" s="334"/>
      <c r="Q405" s="334"/>
      <c r="R405" s="334"/>
      <c r="S405" s="334"/>
      <c r="T405" s="334"/>
      <c r="U405" s="334"/>
      <c r="V405" s="334"/>
      <c r="W405" s="334"/>
      <c r="X405" s="334"/>
      <c r="Y405" s="334"/>
      <c r="Z405" s="334"/>
      <c r="AA405" s="334"/>
      <c r="AB405" s="334"/>
      <c r="AC405" s="334"/>
      <c r="AD405" s="334"/>
      <c r="AE405" s="334"/>
      <c r="AF405" s="334"/>
      <c r="AG405" s="334"/>
      <c r="AH405" s="334"/>
      <c r="AI405" s="334"/>
      <c r="AJ405" s="334"/>
      <c r="AK405" s="334"/>
      <c r="AL405" s="334"/>
      <c r="AM405" s="334"/>
      <c r="AN405" s="334"/>
      <c r="AO405" s="334"/>
      <c r="AP405" s="334"/>
      <c r="AT405" s="309"/>
    </row>
    <row r="406" spans="1:55" ht="12" thickBot="1">
      <c r="A406" s="300" t="s">
        <v>457</v>
      </c>
      <c r="AT406" s="309"/>
    </row>
    <row r="407" spans="1:55" ht="12" thickBot="1">
      <c r="A407" s="328"/>
      <c r="B407" s="329">
        <f t="shared" ref="B407:AP407" si="404">B2</f>
        <v>2010</v>
      </c>
      <c r="C407" s="329">
        <f t="shared" si="404"/>
        <v>2011</v>
      </c>
      <c r="D407" s="329">
        <f t="shared" si="404"/>
        <v>2012</v>
      </c>
      <c r="E407" s="329">
        <f t="shared" si="404"/>
        <v>2013</v>
      </c>
      <c r="F407" s="329">
        <f t="shared" si="404"/>
        <v>2014</v>
      </c>
      <c r="G407" s="329">
        <f t="shared" si="404"/>
        <v>2015</v>
      </c>
      <c r="H407" s="329">
        <f t="shared" si="404"/>
        <v>2016</v>
      </c>
      <c r="I407" s="329">
        <f t="shared" si="404"/>
        <v>2017</v>
      </c>
      <c r="J407" s="329">
        <f t="shared" si="404"/>
        <v>2018</v>
      </c>
      <c r="K407" s="329">
        <f t="shared" si="404"/>
        <v>2019</v>
      </c>
      <c r="L407" s="329">
        <f t="shared" si="404"/>
        <v>2020</v>
      </c>
      <c r="M407" s="329">
        <f t="shared" si="404"/>
        <v>2021</v>
      </c>
      <c r="N407" s="329">
        <f t="shared" si="404"/>
        <v>2022</v>
      </c>
      <c r="O407" s="329">
        <f t="shared" si="404"/>
        <v>2023</v>
      </c>
      <c r="P407" s="329">
        <f t="shared" si="404"/>
        <v>2024</v>
      </c>
      <c r="Q407" s="329">
        <f t="shared" si="404"/>
        <v>2025</v>
      </c>
      <c r="R407" s="329">
        <f t="shared" si="404"/>
        <v>2026</v>
      </c>
      <c r="S407" s="329">
        <f t="shared" si="404"/>
        <v>2027</v>
      </c>
      <c r="T407" s="329">
        <f t="shared" si="404"/>
        <v>2028</v>
      </c>
      <c r="U407" s="329">
        <f t="shared" si="404"/>
        <v>2029</v>
      </c>
      <c r="V407" s="329">
        <f t="shared" si="404"/>
        <v>2030</v>
      </c>
      <c r="W407" s="329">
        <f t="shared" si="404"/>
        <v>2031</v>
      </c>
      <c r="X407" s="329">
        <f t="shared" si="404"/>
        <v>2032</v>
      </c>
      <c r="Y407" s="329">
        <f t="shared" si="404"/>
        <v>2033</v>
      </c>
      <c r="Z407" s="329">
        <f t="shared" si="404"/>
        <v>2034</v>
      </c>
      <c r="AA407" s="329">
        <f t="shared" si="404"/>
        <v>2035</v>
      </c>
      <c r="AB407" s="329">
        <f t="shared" si="404"/>
        <v>2036</v>
      </c>
      <c r="AC407" s="329">
        <f t="shared" si="404"/>
        <v>2037</v>
      </c>
      <c r="AD407" s="329">
        <f t="shared" si="404"/>
        <v>2038</v>
      </c>
      <c r="AE407" s="329">
        <f t="shared" si="404"/>
        <v>2039</v>
      </c>
      <c r="AF407" s="329">
        <f t="shared" si="404"/>
        <v>2040</v>
      </c>
      <c r="AG407" s="329">
        <f t="shared" si="404"/>
        <v>2041</v>
      </c>
      <c r="AH407" s="329">
        <f t="shared" si="404"/>
        <v>2042</v>
      </c>
      <c r="AI407" s="329">
        <f t="shared" si="404"/>
        <v>2043</v>
      </c>
      <c r="AJ407" s="329">
        <f t="shared" si="404"/>
        <v>2044</v>
      </c>
      <c r="AK407" s="329">
        <f t="shared" si="404"/>
        <v>2045</v>
      </c>
      <c r="AL407" s="329">
        <f t="shared" si="404"/>
        <v>2046</v>
      </c>
      <c r="AM407" s="329">
        <f t="shared" si="404"/>
        <v>2047</v>
      </c>
      <c r="AN407" s="329">
        <f t="shared" si="404"/>
        <v>2048</v>
      </c>
      <c r="AO407" s="329">
        <f t="shared" si="404"/>
        <v>2049</v>
      </c>
      <c r="AP407" s="329">
        <f t="shared" si="404"/>
        <v>2050</v>
      </c>
      <c r="AT407" s="309"/>
    </row>
    <row r="408" spans="1:55">
      <c r="A408" s="301" t="s">
        <v>43</v>
      </c>
      <c r="B408" s="308">
        <f>'Monthly D5 Gallon Data'!$T4</f>
        <v>0</v>
      </c>
      <c r="C408" s="308">
        <f>'Monthly D5 Gallon Data'!$T16</f>
        <v>0</v>
      </c>
      <c r="D408" s="308">
        <f>'Monthly D5 Gallon Data'!$T28</f>
        <v>0</v>
      </c>
      <c r="E408" s="308">
        <f>'Monthly D5 Gallon Data'!$T40</f>
        <v>0</v>
      </c>
      <c r="F408" s="308">
        <f>'Monthly D5 Gallon Data'!$T52</f>
        <v>0</v>
      </c>
      <c r="G408" s="308">
        <f>'Monthly D5 Gallon Data'!$T64</f>
        <v>0</v>
      </c>
      <c r="H408" s="308">
        <f>'Monthly D5 Gallon Data'!$T76</f>
        <v>0</v>
      </c>
      <c r="I408" s="308">
        <f>'Monthly D5 Gallon Data'!$T88</f>
        <v>0</v>
      </c>
      <c r="J408" s="308">
        <f>'Monthly D5 Gallon Data'!$T100</f>
        <v>0</v>
      </c>
      <c r="K408" s="308">
        <f>'Monthly D5 Gallon Data'!$T112</f>
        <v>0</v>
      </c>
      <c r="L408" s="308">
        <f>'Monthly D5 Gallon Data'!$T124</f>
        <v>0</v>
      </c>
      <c r="M408" s="308">
        <f>'Monthly D5 Gallon Data'!$T136</f>
        <v>0</v>
      </c>
      <c r="N408" s="308">
        <f>'Monthly D5 Gallon Data'!$T148</f>
        <v>0</v>
      </c>
      <c r="O408" s="308">
        <f>'Monthly D5 Gallon Data'!$T160</f>
        <v>0</v>
      </c>
      <c r="P408" s="308">
        <f>'Monthly D5 Gallon Data'!$T172</f>
        <v>0</v>
      </c>
      <c r="Q408" s="308">
        <f>'Monthly D5 Gallon Data'!$T184</f>
        <v>0</v>
      </c>
      <c r="R408" s="307">
        <v>0</v>
      </c>
      <c r="S408" s="307">
        <v>0</v>
      </c>
      <c r="T408" s="307">
        <v>0</v>
      </c>
      <c r="U408" s="307">
        <v>0</v>
      </c>
      <c r="V408" s="307">
        <v>0</v>
      </c>
      <c r="W408" s="307">
        <v>0</v>
      </c>
      <c r="X408" s="307">
        <v>0</v>
      </c>
      <c r="Y408" s="307">
        <v>0</v>
      </c>
      <c r="Z408" s="307">
        <v>0</v>
      </c>
      <c r="AA408" s="307">
        <v>0</v>
      </c>
      <c r="AB408" s="307">
        <v>0</v>
      </c>
      <c r="AC408" s="307">
        <v>0</v>
      </c>
      <c r="AD408" s="307">
        <v>0</v>
      </c>
      <c r="AE408" s="307">
        <v>0</v>
      </c>
      <c r="AF408" s="307">
        <v>0</v>
      </c>
      <c r="AG408" s="307">
        <v>0</v>
      </c>
      <c r="AH408" s="307">
        <v>0</v>
      </c>
      <c r="AI408" s="307">
        <v>0</v>
      </c>
      <c r="AJ408" s="307">
        <v>0</v>
      </c>
      <c r="AK408" s="307">
        <v>0</v>
      </c>
      <c r="AL408" s="307">
        <v>0</v>
      </c>
      <c r="AM408" s="307">
        <v>0</v>
      </c>
      <c r="AN408" s="307">
        <v>0</v>
      </c>
      <c r="AO408" s="307">
        <v>0</v>
      </c>
      <c r="AP408" s="307">
        <v>0</v>
      </c>
      <c r="AR408" s="308">
        <v>0</v>
      </c>
      <c r="AS408" s="308">
        <f t="shared" ref="AS408:AS420" si="405">L408-AR408</f>
        <v>0</v>
      </c>
      <c r="AT408" s="308">
        <v>0</v>
      </c>
      <c r="AU408" s="308">
        <f t="shared" ref="AU408:AU420" si="406">M408-AT408</f>
        <v>0</v>
      </c>
      <c r="AV408" s="308">
        <v>0</v>
      </c>
      <c r="AW408" s="308">
        <f t="shared" ref="AW408:AW420" si="407">N408-AV408</f>
        <v>0</v>
      </c>
      <c r="AX408" s="308">
        <v>0</v>
      </c>
      <c r="AY408" s="308">
        <f t="shared" ref="AY408:AY420" si="408">O408-AX408</f>
        <v>0</v>
      </c>
      <c r="AZ408" s="308">
        <v>0</v>
      </c>
      <c r="BA408" s="308">
        <f t="shared" ref="BA408:BA420" si="409">P408-AZ408</f>
        <v>0</v>
      </c>
      <c r="BB408" s="331">
        <v>0</v>
      </c>
      <c r="BC408" s="308">
        <f t="shared" ref="BC408:BC420" si="410">Q408-BB408</f>
        <v>0</v>
      </c>
    </row>
    <row r="409" spans="1:55">
      <c r="A409" s="301" t="s">
        <v>44</v>
      </c>
      <c r="B409" s="308">
        <f>'Monthly D5 Gallon Data'!$T5</f>
        <v>0</v>
      </c>
      <c r="C409" s="308">
        <f>'Monthly D5 Gallon Data'!$T17</f>
        <v>0</v>
      </c>
      <c r="D409" s="308">
        <f>'Monthly D5 Gallon Data'!$T29</f>
        <v>0</v>
      </c>
      <c r="E409" s="308">
        <f>'Monthly D5 Gallon Data'!$T41</f>
        <v>0</v>
      </c>
      <c r="F409" s="308">
        <f>'Monthly D5 Gallon Data'!$T53</f>
        <v>0</v>
      </c>
      <c r="G409" s="308">
        <f>'Monthly D5 Gallon Data'!$T65</f>
        <v>0</v>
      </c>
      <c r="H409" s="308">
        <f>'Monthly D5 Gallon Data'!$T77</f>
        <v>0</v>
      </c>
      <c r="I409" s="308">
        <f>'Monthly D5 Gallon Data'!$T89</f>
        <v>0</v>
      </c>
      <c r="J409" s="308">
        <f>'Monthly D5 Gallon Data'!$T101</f>
        <v>0</v>
      </c>
      <c r="K409" s="308">
        <f>'Monthly D5 Gallon Data'!$T113</f>
        <v>0</v>
      </c>
      <c r="L409" s="308">
        <f>'Monthly D5 Gallon Data'!$T125</f>
        <v>0</v>
      </c>
      <c r="M409" s="308">
        <f>'Monthly D5 Gallon Data'!$T137</f>
        <v>266160</v>
      </c>
      <c r="N409" s="308">
        <f>'Monthly D5 Gallon Data'!$T149</f>
        <v>502505</v>
      </c>
      <c r="O409" s="308">
        <f>'Monthly D5 Gallon Data'!$T161</f>
        <v>440964</v>
      </c>
      <c r="P409" s="308">
        <f>'Monthly D5 Gallon Data'!$T173</f>
        <v>292847</v>
      </c>
      <c r="Q409" s="332">
        <f>'Monthly D5 Gallon Data'!$T185</f>
        <v>0</v>
      </c>
      <c r="R409" s="307">
        <v>0</v>
      </c>
      <c r="S409" s="307">
        <v>0</v>
      </c>
      <c r="T409" s="307">
        <v>0</v>
      </c>
      <c r="U409" s="307">
        <v>0</v>
      </c>
      <c r="V409" s="307">
        <v>0</v>
      </c>
      <c r="W409" s="307">
        <v>0</v>
      </c>
      <c r="X409" s="307">
        <v>0</v>
      </c>
      <c r="Y409" s="307">
        <v>0</v>
      </c>
      <c r="Z409" s="307">
        <v>0</v>
      </c>
      <c r="AA409" s="307">
        <v>0</v>
      </c>
      <c r="AB409" s="307">
        <v>0</v>
      </c>
      <c r="AC409" s="307">
        <v>0</v>
      </c>
      <c r="AD409" s="307">
        <v>0</v>
      </c>
      <c r="AE409" s="307">
        <v>0</v>
      </c>
      <c r="AF409" s="307">
        <v>0</v>
      </c>
      <c r="AG409" s="307">
        <v>0</v>
      </c>
      <c r="AH409" s="307">
        <v>0</v>
      </c>
      <c r="AI409" s="307">
        <v>0</v>
      </c>
      <c r="AJ409" s="307">
        <v>0</v>
      </c>
      <c r="AK409" s="307">
        <v>0</v>
      </c>
      <c r="AL409" s="307">
        <v>0</v>
      </c>
      <c r="AM409" s="307">
        <v>0</v>
      </c>
      <c r="AN409" s="307">
        <v>0</v>
      </c>
      <c r="AO409" s="307">
        <v>0</v>
      </c>
      <c r="AP409" s="307">
        <v>0</v>
      </c>
      <c r="AR409" s="308">
        <v>0</v>
      </c>
      <c r="AS409" s="308">
        <f t="shared" si="405"/>
        <v>0</v>
      </c>
      <c r="AT409" s="308">
        <v>0</v>
      </c>
      <c r="AU409" s="308">
        <f t="shared" si="406"/>
        <v>266160</v>
      </c>
      <c r="AV409" s="308">
        <v>85096.18774967693</v>
      </c>
      <c r="AW409" s="308">
        <f t="shared" si="407"/>
        <v>417408.81225032307</v>
      </c>
      <c r="AX409" s="308">
        <v>173728.38821331659</v>
      </c>
      <c r="AY409" s="308">
        <f t="shared" si="408"/>
        <v>267235.61178668344</v>
      </c>
      <c r="AZ409" s="308">
        <v>292847</v>
      </c>
      <c r="BA409" s="308">
        <f t="shared" si="409"/>
        <v>0</v>
      </c>
      <c r="BB409" s="331">
        <v>0</v>
      </c>
      <c r="BC409" s="308">
        <f t="shared" si="410"/>
        <v>0</v>
      </c>
    </row>
    <row r="410" spans="1:55">
      <c r="A410" s="301" t="s">
        <v>45</v>
      </c>
      <c r="B410" s="308">
        <f>'Monthly D5 Gallon Data'!$T6</f>
        <v>0</v>
      </c>
      <c r="C410" s="308">
        <f>'Monthly D5 Gallon Data'!$T18</f>
        <v>0</v>
      </c>
      <c r="D410" s="308">
        <f>'Monthly D5 Gallon Data'!$T30</f>
        <v>0</v>
      </c>
      <c r="E410" s="308">
        <f>'Monthly D5 Gallon Data'!$T42</f>
        <v>0</v>
      </c>
      <c r="F410" s="308">
        <f>'Monthly D5 Gallon Data'!$T54</f>
        <v>0</v>
      </c>
      <c r="G410" s="308">
        <f>'Monthly D5 Gallon Data'!$T66</f>
        <v>0</v>
      </c>
      <c r="H410" s="308">
        <f>'Monthly D5 Gallon Data'!$T78</f>
        <v>0</v>
      </c>
      <c r="I410" s="308">
        <f>'Monthly D5 Gallon Data'!$T90</f>
        <v>0</v>
      </c>
      <c r="J410" s="308">
        <f>'Monthly D5 Gallon Data'!$T102</f>
        <v>0</v>
      </c>
      <c r="K410" s="308">
        <f>'Monthly D5 Gallon Data'!$T114</f>
        <v>955371</v>
      </c>
      <c r="L410" s="308">
        <f>'Monthly D5 Gallon Data'!$T126</f>
        <v>628681</v>
      </c>
      <c r="M410" s="308">
        <f>'Monthly D5 Gallon Data'!$T138</f>
        <v>136014</v>
      </c>
      <c r="N410" s="308">
        <f>'Monthly D5 Gallon Data'!$T150</f>
        <v>408998</v>
      </c>
      <c r="O410" s="308">
        <f>'Monthly D5 Gallon Data'!$T162</f>
        <v>541639</v>
      </c>
      <c r="P410" s="308">
        <f>'Monthly D5 Gallon Data'!$T174</f>
        <v>299391</v>
      </c>
      <c r="Q410" s="332">
        <f>'Monthly D5 Gallon Data'!$T186</f>
        <v>59839</v>
      </c>
      <c r="R410" s="307">
        <v>0</v>
      </c>
      <c r="S410" s="307">
        <v>0</v>
      </c>
      <c r="T410" s="307">
        <v>0</v>
      </c>
      <c r="U410" s="307">
        <v>0</v>
      </c>
      <c r="V410" s="307">
        <v>0</v>
      </c>
      <c r="W410" s="307">
        <v>0</v>
      </c>
      <c r="X410" s="307">
        <v>0</v>
      </c>
      <c r="Y410" s="307">
        <v>0</v>
      </c>
      <c r="Z410" s="307">
        <v>0</v>
      </c>
      <c r="AA410" s="307">
        <v>0</v>
      </c>
      <c r="AB410" s="307">
        <v>0</v>
      </c>
      <c r="AC410" s="307">
        <v>0</v>
      </c>
      <c r="AD410" s="307">
        <v>0</v>
      </c>
      <c r="AE410" s="307">
        <v>0</v>
      </c>
      <c r="AF410" s="307">
        <v>0</v>
      </c>
      <c r="AG410" s="307">
        <v>0</v>
      </c>
      <c r="AH410" s="307">
        <v>0</v>
      </c>
      <c r="AI410" s="307">
        <v>0</v>
      </c>
      <c r="AJ410" s="307">
        <v>0</v>
      </c>
      <c r="AK410" s="307">
        <v>0</v>
      </c>
      <c r="AL410" s="307">
        <v>0</v>
      </c>
      <c r="AM410" s="307">
        <v>0</v>
      </c>
      <c r="AN410" s="307">
        <v>0</v>
      </c>
      <c r="AO410" s="307">
        <v>0</v>
      </c>
      <c r="AP410" s="307">
        <v>0</v>
      </c>
      <c r="AR410" s="308">
        <v>1320342.0508266122</v>
      </c>
      <c r="AS410" s="308">
        <f t="shared" si="405"/>
        <v>-691661.05082661216</v>
      </c>
      <c r="AT410" s="308">
        <v>672202.12880927732</v>
      </c>
      <c r="AU410" s="308">
        <f t="shared" si="406"/>
        <v>-536188.12880927732</v>
      </c>
      <c r="AV410" s="308">
        <v>549936.28801064554</v>
      </c>
      <c r="AW410" s="308">
        <f t="shared" si="407"/>
        <v>-140938.28801064554</v>
      </c>
      <c r="AX410" s="308">
        <v>470247.04013416817</v>
      </c>
      <c r="AY410" s="308">
        <f t="shared" si="408"/>
        <v>71391.959865831828</v>
      </c>
      <c r="AZ410" s="308">
        <v>299391</v>
      </c>
      <c r="BA410" s="308">
        <f t="shared" si="409"/>
        <v>0</v>
      </c>
      <c r="BB410" s="331">
        <v>0</v>
      </c>
      <c r="BC410" s="308">
        <f t="shared" si="410"/>
        <v>59839</v>
      </c>
    </row>
    <row r="411" spans="1:55">
      <c r="A411" s="301" t="s">
        <v>46</v>
      </c>
      <c r="B411" s="308">
        <f>'Monthly D5 Gallon Data'!$T7</f>
        <v>0</v>
      </c>
      <c r="C411" s="308">
        <f>'Monthly D5 Gallon Data'!$T19</f>
        <v>0</v>
      </c>
      <c r="D411" s="308">
        <f>'Monthly D5 Gallon Data'!$T31</f>
        <v>0</v>
      </c>
      <c r="E411" s="308">
        <f>'Monthly D5 Gallon Data'!$T43</f>
        <v>0</v>
      </c>
      <c r="F411" s="308">
        <f>'Monthly D5 Gallon Data'!$T55</f>
        <v>0</v>
      </c>
      <c r="G411" s="308">
        <f>'Monthly D5 Gallon Data'!$T67</f>
        <v>0</v>
      </c>
      <c r="H411" s="308">
        <f>'Monthly D5 Gallon Data'!$T79</f>
        <v>0</v>
      </c>
      <c r="I411" s="308">
        <f>'Monthly D5 Gallon Data'!$T91</f>
        <v>0</v>
      </c>
      <c r="J411" s="308">
        <f>'Monthly D5 Gallon Data'!$T103</f>
        <v>0</v>
      </c>
      <c r="K411" s="308">
        <f>'Monthly D5 Gallon Data'!$T115</f>
        <v>486747</v>
      </c>
      <c r="L411" s="308">
        <f>'Monthly D5 Gallon Data'!$T127</f>
        <v>0</v>
      </c>
      <c r="M411" s="308">
        <f>'Monthly D5 Gallon Data'!$T139</f>
        <v>233241</v>
      </c>
      <c r="N411" s="308">
        <f>'Monthly D5 Gallon Data'!$T151</f>
        <v>338480</v>
      </c>
      <c r="O411" s="308">
        <f>'Monthly D5 Gallon Data'!$T163</f>
        <v>314976</v>
      </c>
      <c r="P411" s="308">
        <f>'Monthly D5 Gallon Data'!$T175</f>
        <v>279076</v>
      </c>
      <c r="Q411" s="307">
        <v>0</v>
      </c>
      <c r="R411" s="307">
        <v>0</v>
      </c>
      <c r="S411" s="307">
        <v>0</v>
      </c>
      <c r="T411" s="307">
        <v>0</v>
      </c>
      <c r="U411" s="307">
        <v>0</v>
      </c>
      <c r="V411" s="307">
        <v>0</v>
      </c>
      <c r="W411" s="307">
        <v>0</v>
      </c>
      <c r="X411" s="307">
        <v>0</v>
      </c>
      <c r="Y411" s="307">
        <v>0</v>
      </c>
      <c r="Z411" s="307">
        <v>0</v>
      </c>
      <c r="AA411" s="307">
        <v>0</v>
      </c>
      <c r="AB411" s="307">
        <v>0</v>
      </c>
      <c r="AC411" s="307">
        <v>0</v>
      </c>
      <c r="AD411" s="307">
        <v>0</v>
      </c>
      <c r="AE411" s="307">
        <v>0</v>
      </c>
      <c r="AF411" s="307">
        <v>0</v>
      </c>
      <c r="AG411" s="307">
        <v>0</v>
      </c>
      <c r="AH411" s="307">
        <v>0</v>
      </c>
      <c r="AI411" s="307">
        <v>0</v>
      </c>
      <c r="AJ411" s="307">
        <v>0</v>
      </c>
      <c r="AK411" s="307">
        <v>0</v>
      </c>
      <c r="AL411" s="307">
        <v>0</v>
      </c>
      <c r="AM411" s="307">
        <v>0</v>
      </c>
      <c r="AN411" s="307">
        <v>0</v>
      </c>
      <c r="AO411" s="307">
        <v>0</v>
      </c>
      <c r="AP411" s="307">
        <v>0</v>
      </c>
      <c r="AR411" s="308">
        <v>638910.76168060023</v>
      </c>
      <c r="AS411" s="308">
        <f t="shared" si="405"/>
        <v>-638910.76168060023</v>
      </c>
      <c r="AT411" s="308">
        <v>193587.37644160737</v>
      </c>
      <c r="AU411" s="308">
        <f t="shared" si="406"/>
        <v>39653.623558392632</v>
      </c>
      <c r="AV411" s="308">
        <v>230193.21824407243</v>
      </c>
      <c r="AW411" s="308">
        <f t="shared" si="407"/>
        <v>108286.78175592757</v>
      </c>
      <c r="AX411" s="308">
        <v>236335.3141787308</v>
      </c>
      <c r="AY411" s="308">
        <f t="shared" si="408"/>
        <v>78640.685821269202</v>
      </c>
      <c r="AZ411" s="308">
        <v>279076</v>
      </c>
      <c r="BA411" s="308">
        <f t="shared" si="409"/>
        <v>0</v>
      </c>
      <c r="BB411" s="331">
        <v>0</v>
      </c>
      <c r="BC411" s="308">
        <f t="shared" si="410"/>
        <v>0</v>
      </c>
    </row>
    <row r="412" spans="1:55">
      <c r="A412" s="301" t="s">
        <v>47</v>
      </c>
      <c r="B412" s="308">
        <f>'Monthly D5 Gallon Data'!$T8</f>
        <v>0</v>
      </c>
      <c r="C412" s="308">
        <f>'Monthly D5 Gallon Data'!$T20</f>
        <v>0</v>
      </c>
      <c r="D412" s="308">
        <f>'Monthly D5 Gallon Data'!$T32</f>
        <v>0</v>
      </c>
      <c r="E412" s="308">
        <f>'Monthly D5 Gallon Data'!$T44</f>
        <v>0</v>
      </c>
      <c r="F412" s="308">
        <f>'Monthly D5 Gallon Data'!$T56</f>
        <v>0</v>
      </c>
      <c r="G412" s="308">
        <f>'Monthly D5 Gallon Data'!$T68</f>
        <v>0</v>
      </c>
      <c r="H412" s="308">
        <f>'Monthly D5 Gallon Data'!$T80</f>
        <v>0</v>
      </c>
      <c r="I412" s="308">
        <f>'Monthly D5 Gallon Data'!$T92</f>
        <v>0</v>
      </c>
      <c r="J412" s="308">
        <f>'Monthly D5 Gallon Data'!$T104</f>
        <v>0</v>
      </c>
      <c r="K412" s="308">
        <f>'Monthly D5 Gallon Data'!$T116</f>
        <v>381883</v>
      </c>
      <c r="L412" s="308">
        <f>'Monthly D5 Gallon Data'!$T128</f>
        <v>376204</v>
      </c>
      <c r="M412" s="308">
        <f>'Monthly D5 Gallon Data'!$T140</f>
        <v>227288</v>
      </c>
      <c r="N412" s="308">
        <f>'Monthly D5 Gallon Data'!$T152</f>
        <v>64595</v>
      </c>
      <c r="O412" s="308">
        <f>'Monthly D5 Gallon Data'!$T164</f>
        <v>658616</v>
      </c>
      <c r="P412" s="308">
        <f>'Monthly D5 Gallon Data'!$T176</f>
        <v>29626</v>
      </c>
      <c r="Q412" s="307">
        <v>0</v>
      </c>
      <c r="R412" s="307">
        <v>0</v>
      </c>
      <c r="S412" s="307">
        <v>0</v>
      </c>
      <c r="T412" s="307">
        <v>0</v>
      </c>
      <c r="U412" s="307">
        <v>0</v>
      </c>
      <c r="V412" s="307">
        <v>0</v>
      </c>
      <c r="W412" s="307">
        <v>0</v>
      </c>
      <c r="X412" s="307">
        <v>0</v>
      </c>
      <c r="Y412" s="307">
        <v>0</v>
      </c>
      <c r="Z412" s="307">
        <v>0</v>
      </c>
      <c r="AA412" s="307">
        <v>0</v>
      </c>
      <c r="AB412" s="307">
        <v>0</v>
      </c>
      <c r="AC412" s="307">
        <v>0</v>
      </c>
      <c r="AD412" s="307">
        <v>0</v>
      </c>
      <c r="AE412" s="307">
        <v>0</v>
      </c>
      <c r="AF412" s="307">
        <v>0</v>
      </c>
      <c r="AG412" s="307">
        <v>0</v>
      </c>
      <c r="AH412" s="307">
        <v>0</v>
      </c>
      <c r="AI412" s="307">
        <v>0</v>
      </c>
      <c r="AJ412" s="307">
        <v>0</v>
      </c>
      <c r="AK412" s="307">
        <v>0</v>
      </c>
      <c r="AL412" s="307">
        <v>0</v>
      </c>
      <c r="AM412" s="307">
        <v>0</v>
      </c>
      <c r="AN412" s="307">
        <v>0</v>
      </c>
      <c r="AO412" s="307">
        <v>0</v>
      </c>
      <c r="AP412" s="307">
        <v>0</v>
      </c>
      <c r="AR412" s="308">
        <v>344416.76824539597</v>
      </c>
      <c r="AS412" s="308">
        <f t="shared" si="405"/>
        <v>31787.231754604029</v>
      </c>
      <c r="AT412" s="308">
        <v>319631.91089437198</v>
      </c>
      <c r="AU412" s="308">
        <f t="shared" si="406"/>
        <v>-92343.910894371977</v>
      </c>
      <c r="AV412" s="308">
        <v>315042.25930905342</v>
      </c>
      <c r="AW412" s="308">
        <f t="shared" si="407"/>
        <v>-250447.25930905342</v>
      </c>
      <c r="AX412" s="308">
        <v>234437.87608906647</v>
      </c>
      <c r="AY412" s="308">
        <f t="shared" si="408"/>
        <v>424178.1239109335</v>
      </c>
      <c r="AZ412" s="308">
        <v>29626</v>
      </c>
      <c r="BA412" s="308">
        <f t="shared" si="409"/>
        <v>0</v>
      </c>
      <c r="BB412" s="331">
        <v>0</v>
      </c>
      <c r="BC412" s="308">
        <f t="shared" si="410"/>
        <v>0</v>
      </c>
    </row>
    <row r="413" spans="1:55">
      <c r="A413" s="301" t="s">
        <v>48</v>
      </c>
      <c r="B413" s="308">
        <f>'Monthly D5 Gallon Data'!$T9</f>
        <v>0</v>
      </c>
      <c r="C413" s="308">
        <f>'Monthly D5 Gallon Data'!$T21</f>
        <v>0</v>
      </c>
      <c r="D413" s="308">
        <f>'Monthly D5 Gallon Data'!$T33</f>
        <v>0</v>
      </c>
      <c r="E413" s="308">
        <f>'Monthly D5 Gallon Data'!$T45</f>
        <v>0</v>
      </c>
      <c r="F413" s="308">
        <f>'Monthly D5 Gallon Data'!$T57</f>
        <v>0</v>
      </c>
      <c r="G413" s="308">
        <f>'Monthly D5 Gallon Data'!$T69</f>
        <v>0</v>
      </c>
      <c r="H413" s="308">
        <f>'Monthly D5 Gallon Data'!$T81</f>
        <v>0</v>
      </c>
      <c r="I413" s="308">
        <f>'Monthly D5 Gallon Data'!$T93</f>
        <v>0</v>
      </c>
      <c r="J413" s="308">
        <f>'Monthly D5 Gallon Data'!$T105</f>
        <v>0</v>
      </c>
      <c r="K413" s="308">
        <f>'Monthly D5 Gallon Data'!$T117</f>
        <v>0</v>
      </c>
      <c r="L413" s="308">
        <f>'Monthly D5 Gallon Data'!$T129</f>
        <v>437146</v>
      </c>
      <c r="M413" s="308">
        <f>'Monthly D5 Gallon Data'!$T141</f>
        <v>450653</v>
      </c>
      <c r="N413" s="308">
        <f>'Monthly D5 Gallon Data'!$T153</f>
        <v>452822</v>
      </c>
      <c r="O413" s="308">
        <f>'Monthly D5 Gallon Data'!$T165</f>
        <v>313319</v>
      </c>
      <c r="P413" s="308">
        <f>'Monthly D5 Gallon Data'!$T177</f>
        <v>0</v>
      </c>
      <c r="Q413" s="307">
        <v>0</v>
      </c>
      <c r="R413" s="307">
        <v>0</v>
      </c>
      <c r="S413" s="307">
        <v>0</v>
      </c>
      <c r="T413" s="307">
        <v>0</v>
      </c>
      <c r="U413" s="307">
        <v>0</v>
      </c>
      <c r="V413" s="307">
        <v>0</v>
      </c>
      <c r="W413" s="307">
        <v>0</v>
      </c>
      <c r="X413" s="307">
        <v>0</v>
      </c>
      <c r="Y413" s="307">
        <v>0</v>
      </c>
      <c r="Z413" s="307">
        <v>0</v>
      </c>
      <c r="AA413" s="307">
        <v>0</v>
      </c>
      <c r="AB413" s="307">
        <v>0</v>
      </c>
      <c r="AC413" s="307">
        <v>0</v>
      </c>
      <c r="AD413" s="307">
        <v>0</v>
      </c>
      <c r="AE413" s="307">
        <v>0</v>
      </c>
      <c r="AF413" s="307">
        <v>0</v>
      </c>
      <c r="AG413" s="307">
        <v>0</v>
      </c>
      <c r="AH413" s="307">
        <v>0</v>
      </c>
      <c r="AI413" s="307">
        <v>0</v>
      </c>
      <c r="AJ413" s="307">
        <v>0</v>
      </c>
      <c r="AK413" s="307">
        <v>0</v>
      </c>
      <c r="AL413" s="307">
        <v>0</v>
      </c>
      <c r="AM413" s="307">
        <v>0</v>
      </c>
      <c r="AN413" s="307">
        <v>0</v>
      </c>
      <c r="AO413" s="307">
        <v>0</v>
      </c>
      <c r="AP413" s="307">
        <v>0</v>
      </c>
      <c r="AR413" s="308">
        <v>0</v>
      </c>
      <c r="AS413" s="308">
        <f t="shared" si="405"/>
        <v>437146</v>
      </c>
      <c r="AT413" s="308">
        <v>194925.07568618684</v>
      </c>
      <c r="AU413" s="308">
        <f t="shared" si="406"/>
        <v>255727.92431381316</v>
      </c>
      <c r="AV413" s="308">
        <v>283845.44236693467</v>
      </c>
      <c r="AW413" s="308">
        <f t="shared" si="407"/>
        <v>168976.55763306533</v>
      </c>
      <c r="AX413" s="308">
        <v>299779.5121756866</v>
      </c>
      <c r="AY413" s="308">
        <f t="shared" si="408"/>
        <v>13539.487824313401</v>
      </c>
      <c r="AZ413" s="308">
        <v>0</v>
      </c>
      <c r="BA413" s="308">
        <f t="shared" si="409"/>
        <v>0</v>
      </c>
      <c r="BB413" s="331">
        <v>0</v>
      </c>
      <c r="BC413" s="308">
        <f t="shared" si="410"/>
        <v>0</v>
      </c>
    </row>
    <row r="414" spans="1:55">
      <c r="A414" s="301" t="s">
        <v>49</v>
      </c>
      <c r="B414" s="308">
        <f>'Monthly D5 Gallon Data'!$T10</f>
        <v>0</v>
      </c>
      <c r="C414" s="308">
        <f>'Monthly D5 Gallon Data'!$T22</f>
        <v>0</v>
      </c>
      <c r="D414" s="308">
        <f>'Monthly D5 Gallon Data'!$T34</f>
        <v>0</v>
      </c>
      <c r="E414" s="308">
        <f>'Monthly D5 Gallon Data'!$T46</f>
        <v>0</v>
      </c>
      <c r="F414" s="308">
        <f>'Monthly D5 Gallon Data'!$T58</f>
        <v>0</v>
      </c>
      <c r="G414" s="308">
        <f>'Monthly D5 Gallon Data'!$T70</f>
        <v>0</v>
      </c>
      <c r="H414" s="308">
        <f>'Monthly D5 Gallon Data'!$T82</f>
        <v>0</v>
      </c>
      <c r="I414" s="308">
        <f>'Monthly D5 Gallon Data'!$T94</f>
        <v>0</v>
      </c>
      <c r="J414" s="308">
        <f>'Monthly D5 Gallon Data'!$T106</f>
        <v>0</v>
      </c>
      <c r="K414" s="308">
        <f>'Monthly D5 Gallon Data'!$T118</f>
        <v>296246</v>
      </c>
      <c r="L414" s="308">
        <f>'Monthly D5 Gallon Data'!$T130</f>
        <v>416467</v>
      </c>
      <c r="M414" s="308">
        <f>'Monthly D5 Gallon Data'!$T142</f>
        <v>673636</v>
      </c>
      <c r="N414" s="308">
        <f>'Monthly D5 Gallon Data'!$T154</f>
        <v>518411</v>
      </c>
      <c r="O414" s="308">
        <f>'Monthly D5 Gallon Data'!$T166</f>
        <v>135872</v>
      </c>
      <c r="P414" s="308">
        <f>'Monthly D5 Gallon Data'!$T178</f>
        <v>0</v>
      </c>
      <c r="Q414" s="307">
        <v>0</v>
      </c>
      <c r="R414" s="307">
        <v>0</v>
      </c>
      <c r="S414" s="307">
        <v>0</v>
      </c>
      <c r="T414" s="307">
        <v>0</v>
      </c>
      <c r="U414" s="307">
        <v>0</v>
      </c>
      <c r="V414" s="307">
        <v>0</v>
      </c>
      <c r="W414" s="307">
        <v>0</v>
      </c>
      <c r="X414" s="307">
        <v>0</v>
      </c>
      <c r="Y414" s="307">
        <v>0</v>
      </c>
      <c r="Z414" s="307">
        <v>0</v>
      </c>
      <c r="AA414" s="307">
        <v>0</v>
      </c>
      <c r="AB414" s="307">
        <v>0</v>
      </c>
      <c r="AC414" s="307">
        <v>0</v>
      </c>
      <c r="AD414" s="307">
        <v>0</v>
      </c>
      <c r="AE414" s="307">
        <v>0</v>
      </c>
      <c r="AF414" s="307">
        <v>0</v>
      </c>
      <c r="AG414" s="307">
        <v>0</v>
      </c>
      <c r="AH414" s="307">
        <v>0</v>
      </c>
      <c r="AI414" s="307">
        <v>0</v>
      </c>
      <c r="AJ414" s="307">
        <v>0</v>
      </c>
      <c r="AK414" s="307">
        <v>0</v>
      </c>
      <c r="AL414" s="307">
        <v>0</v>
      </c>
      <c r="AM414" s="307">
        <v>0</v>
      </c>
      <c r="AN414" s="307">
        <v>0</v>
      </c>
      <c r="AO414" s="307">
        <v>0</v>
      </c>
      <c r="AP414" s="307">
        <v>0</v>
      </c>
      <c r="AR414" s="308">
        <v>277413.12401925755</v>
      </c>
      <c r="AS414" s="308">
        <f t="shared" si="405"/>
        <v>139053.87598074245</v>
      </c>
      <c r="AT414" s="308">
        <v>325089.81828205741</v>
      </c>
      <c r="AU414" s="308">
        <f t="shared" si="406"/>
        <v>348546.18171794259</v>
      </c>
      <c r="AV414" s="308">
        <v>444113.90767248237</v>
      </c>
      <c r="AW414" s="308">
        <f t="shared" si="407"/>
        <v>74297.092327517632</v>
      </c>
      <c r="AX414" s="308">
        <v>227332.62179860176</v>
      </c>
      <c r="AY414" s="308">
        <f t="shared" si="408"/>
        <v>-91460.621798601758</v>
      </c>
      <c r="AZ414" s="309">
        <v>0</v>
      </c>
      <c r="BA414" s="308">
        <f t="shared" si="409"/>
        <v>0</v>
      </c>
      <c r="BB414" s="331">
        <v>0</v>
      </c>
      <c r="BC414" s="308">
        <f t="shared" si="410"/>
        <v>0</v>
      </c>
    </row>
    <row r="415" spans="1:55">
      <c r="A415" s="301" t="s">
        <v>50</v>
      </c>
      <c r="B415" s="308">
        <f>'Monthly D5 Gallon Data'!$T11</f>
        <v>0</v>
      </c>
      <c r="C415" s="308">
        <f>'Monthly D5 Gallon Data'!$T23</f>
        <v>0</v>
      </c>
      <c r="D415" s="308">
        <f>'Monthly D5 Gallon Data'!$T35</f>
        <v>0</v>
      </c>
      <c r="E415" s="308">
        <f>'Monthly D5 Gallon Data'!$T47</f>
        <v>0</v>
      </c>
      <c r="F415" s="308">
        <f>'Monthly D5 Gallon Data'!$T59</f>
        <v>0</v>
      </c>
      <c r="G415" s="308">
        <f>'Monthly D5 Gallon Data'!$T71</f>
        <v>0</v>
      </c>
      <c r="H415" s="308">
        <f>'Monthly D5 Gallon Data'!$T83</f>
        <v>0</v>
      </c>
      <c r="I415" s="308">
        <f>'Monthly D5 Gallon Data'!$T95</f>
        <v>0</v>
      </c>
      <c r="J415" s="308">
        <f>'Monthly D5 Gallon Data'!$T107</f>
        <v>0</v>
      </c>
      <c r="K415" s="308">
        <f>'Monthly D5 Gallon Data'!$T119</f>
        <v>305732</v>
      </c>
      <c r="L415" s="308">
        <f>'Monthly D5 Gallon Data'!$T131</f>
        <v>395713</v>
      </c>
      <c r="M415" s="308">
        <f>'Monthly D5 Gallon Data'!$T143</f>
        <v>609098</v>
      </c>
      <c r="N415" s="308">
        <f>'Monthly D5 Gallon Data'!$T155</f>
        <v>176799</v>
      </c>
      <c r="O415" s="308">
        <f>'Monthly D5 Gallon Data'!$T167</f>
        <v>337003</v>
      </c>
      <c r="P415" s="308">
        <f>'Monthly D5 Gallon Data'!$T179</f>
        <v>0</v>
      </c>
      <c r="Q415" s="307">
        <v>0</v>
      </c>
      <c r="R415" s="307">
        <v>0</v>
      </c>
      <c r="S415" s="307">
        <v>0</v>
      </c>
      <c r="T415" s="307">
        <v>0</v>
      </c>
      <c r="U415" s="307">
        <v>0</v>
      </c>
      <c r="V415" s="307">
        <v>0</v>
      </c>
      <c r="W415" s="307">
        <v>0</v>
      </c>
      <c r="X415" s="307">
        <v>0</v>
      </c>
      <c r="Y415" s="307">
        <v>0</v>
      </c>
      <c r="Z415" s="307">
        <v>0</v>
      </c>
      <c r="AA415" s="307">
        <v>0</v>
      </c>
      <c r="AB415" s="307">
        <v>0</v>
      </c>
      <c r="AC415" s="307">
        <v>0</v>
      </c>
      <c r="AD415" s="307">
        <v>0</v>
      </c>
      <c r="AE415" s="307">
        <v>0</v>
      </c>
      <c r="AF415" s="307">
        <v>0</v>
      </c>
      <c r="AG415" s="307">
        <v>0</v>
      </c>
      <c r="AH415" s="307">
        <v>0</v>
      </c>
      <c r="AI415" s="307">
        <v>0</v>
      </c>
      <c r="AJ415" s="307">
        <v>0</v>
      </c>
      <c r="AK415" s="307">
        <v>0</v>
      </c>
      <c r="AL415" s="307">
        <v>0</v>
      </c>
      <c r="AM415" s="307">
        <v>0</v>
      </c>
      <c r="AN415" s="307">
        <v>0</v>
      </c>
      <c r="AO415" s="307">
        <v>0</v>
      </c>
      <c r="AP415" s="307">
        <v>0</v>
      </c>
      <c r="AR415" s="308">
        <v>288409.82624868012</v>
      </c>
      <c r="AS415" s="308">
        <f t="shared" si="405"/>
        <v>107303.17375131988</v>
      </c>
      <c r="AT415" s="308">
        <v>320308.4789415343</v>
      </c>
      <c r="AU415" s="308">
        <f t="shared" si="406"/>
        <v>288789.5210584657</v>
      </c>
      <c r="AV415" s="308">
        <v>419829.57023968676</v>
      </c>
      <c r="AW415" s="308">
        <f t="shared" si="407"/>
        <v>-243030.57023968676</v>
      </c>
      <c r="AX415" s="308">
        <v>334233.38164985349</v>
      </c>
      <c r="AY415" s="308">
        <f t="shared" si="408"/>
        <v>2769.618350146513</v>
      </c>
      <c r="AZ415" s="309">
        <v>0</v>
      </c>
      <c r="BA415" s="308">
        <f t="shared" si="409"/>
        <v>0</v>
      </c>
      <c r="BB415" s="331">
        <v>0</v>
      </c>
      <c r="BC415" s="308">
        <f t="shared" si="410"/>
        <v>0</v>
      </c>
    </row>
    <row r="416" spans="1:55">
      <c r="A416" s="301" t="s">
        <v>51</v>
      </c>
      <c r="B416" s="308">
        <f>'Monthly D5 Gallon Data'!$T12</f>
        <v>0</v>
      </c>
      <c r="C416" s="308">
        <f>'Monthly D5 Gallon Data'!$T24</f>
        <v>0</v>
      </c>
      <c r="D416" s="308">
        <f>'Monthly D5 Gallon Data'!$T36</f>
        <v>0</v>
      </c>
      <c r="E416" s="308">
        <f>'Monthly D5 Gallon Data'!$T48</f>
        <v>0</v>
      </c>
      <c r="F416" s="308">
        <f>'Monthly D5 Gallon Data'!$T60</f>
        <v>0</v>
      </c>
      <c r="G416" s="308">
        <f>'Monthly D5 Gallon Data'!$T72</f>
        <v>0</v>
      </c>
      <c r="H416" s="308">
        <f>'Monthly D5 Gallon Data'!$T84</f>
        <v>0</v>
      </c>
      <c r="I416" s="308">
        <f>'Monthly D5 Gallon Data'!$T96</f>
        <v>0</v>
      </c>
      <c r="J416" s="308">
        <f>'Monthly D5 Gallon Data'!$T108</f>
        <v>0</v>
      </c>
      <c r="K416" s="308">
        <f>'Monthly D5 Gallon Data'!$T120</f>
        <v>404010</v>
      </c>
      <c r="L416" s="308">
        <f>'Monthly D5 Gallon Data'!$T132</f>
        <v>346477</v>
      </c>
      <c r="M416" s="308">
        <f>'Monthly D5 Gallon Data'!$T144</f>
        <v>369009</v>
      </c>
      <c r="N416" s="308">
        <f>'Monthly D5 Gallon Data'!$T156</f>
        <v>644107</v>
      </c>
      <c r="O416" s="308">
        <f>'Monthly D5 Gallon Data'!$T168</f>
        <v>432276</v>
      </c>
      <c r="P416" s="308">
        <f>'Monthly D5 Gallon Data'!$T180</f>
        <v>0</v>
      </c>
      <c r="Q416" s="307">
        <v>0</v>
      </c>
      <c r="R416" s="307">
        <v>0</v>
      </c>
      <c r="S416" s="307">
        <v>0</v>
      </c>
      <c r="T416" s="307">
        <v>0</v>
      </c>
      <c r="U416" s="307">
        <v>0</v>
      </c>
      <c r="V416" s="307">
        <v>0</v>
      </c>
      <c r="W416" s="307">
        <v>0</v>
      </c>
      <c r="X416" s="307">
        <v>0</v>
      </c>
      <c r="Y416" s="307">
        <v>0</v>
      </c>
      <c r="Z416" s="307">
        <v>0</v>
      </c>
      <c r="AA416" s="307">
        <v>0</v>
      </c>
      <c r="AB416" s="307">
        <v>0</v>
      </c>
      <c r="AC416" s="307">
        <v>0</v>
      </c>
      <c r="AD416" s="307">
        <v>0</v>
      </c>
      <c r="AE416" s="307">
        <v>0</v>
      </c>
      <c r="AF416" s="307">
        <v>0</v>
      </c>
      <c r="AG416" s="307">
        <v>0</v>
      </c>
      <c r="AH416" s="307">
        <v>0</v>
      </c>
      <c r="AI416" s="307">
        <v>0</v>
      </c>
      <c r="AJ416" s="307">
        <v>0</v>
      </c>
      <c r="AK416" s="307">
        <v>0</v>
      </c>
      <c r="AL416" s="307">
        <v>0</v>
      </c>
      <c r="AM416" s="307">
        <v>0</v>
      </c>
      <c r="AN416" s="307">
        <v>0</v>
      </c>
      <c r="AO416" s="307">
        <v>0</v>
      </c>
      <c r="AP416" s="307">
        <v>0</v>
      </c>
      <c r="AR416" s="308">
        <v>381118.74037862185</v>
      </c>
      <c r="AS416" s="308">
        <f t="shared" si="405"/>
        <v>-34641.740378621849</v>
      </c>
      <c r="AT416" s="308">
        <v>347974.28713322856</v>
      </c>
      <c r="AU416" s="308">
        <f t="shared" si="406"/>
        <v>21034.712866771442</v>
      </c>
      <c r="AV416" s="308">
        <v>358628.07664195372</v>
      </c>
      <c r="AW416" s="308">
        <f t="shared" si="407"/>
        <v>285478.92335804628</v>
      </c>
      <c r="AX416" s="308">
        <v>396314.32124115742</v>
      </c>
      <c r="AY416" s="308">
        <f t="shared" si="408"/>
        <v>35961.67875884258</v>
      </c>
      <c r="AZ416" s="309">
        <v>0</v>
      </c>
      <c r="BA416" s="308">
        <f t="shared" si="409"/>
        <v>0</v>
      </c>
      <c r="BB416" s="331">
        <v>0</v>
      </c>
      <c r="BC416" s="308">
        <f t="shared" si="410"/>
        <v>0</v>
      </c>
    </row>
    <row r="417" spans="1:55">
      <c r="A417" s="301" t="s">
        <v>52</v>
      </c>
      <c r="B417" s="308">
        <f>'Monthly D5 Gallon Data'!$T13</f>
        <v>0</v>
      </c>
      <c r="C417" s="308">
        <f>'Monthly D5 Gallon Data'!$T25</f>
        <v>0</v>
      </c>
      <c r="D417" s="308">
        <f>'Monthly D5 Gallon Data'!$T37</f>
        <v>0</v>
      </c>
      <c r="E417" s="308">
        <f>'Monthly D5 Gallon Data'!$T49</f>
        <v>0</v>
      </c>
      <c r="F417" s="308">
        <f>'Monthly D5 Gallon Data'!$T61</f>
        <v>0</v>
      </c>
      <c r="G417" s="308">
        <f>'Monthly D5 Gallon Data'!$T73</f>
        <v>0</v>
      </c>
      <c r="H417" s="308">
        <f>'Monthly D5 Gallon Data'!$T85</f>
        <v>0</v>
      </c>
      <c r="I417" s="308">
        <f>'Monthly D5 Gallon Data'!$T97</f>
        <v>0</v>
      </c>
      <c r="J417" s="308">
        <f>'Monthly D5 Gallon Data'!$T109</f>
        <v>0</v>
      </c>
      <c r="K417" s="308">
        <f>'Monthly D5 Gallon Data'!$T121</f>
        <v>0</v>
      </c>
      <c r="L417" s="308">
        <f>'Monthly D5 Gallon Data'!$T133</f>
        <v>247224</v>
      </c>
      <c r="M417" s="308">
        <f>'Monthly D5 Gallon Data'!$T145</f>
        <v>276052</v>
      </c>
      <c r="N417" s="308">
        <f>'Monthly D5 Gallon Data'!$T157</f>
        <v>274746</v>
      </c>
      <c r="O417" s="308">
        <f>'Monthly D5 Gallon Data'!$T169</f>
        <v>482205</v>
      </c>
      <c r="P417" s="308">
        <f>'Monthly D5 Gallon Data'!$T181</f>
        <v>0</v>
      </c>
      <c r="Q417" s="307">
        <v>0</v>
      </c>
      <c r="R417" s="307">
        <v>0</v>
      </c>
      <c r="S417" s="307">
        <v>0</v>
      </c>
      <c r="T417" s="307">
        <v>0</v>
      </c>
      <c r="U417" s="307">
        <v>0</v>
      </c>
      <c r="V417" s="307">
        <v>0</v>
      </c>
      <c r="W417" s="307">
        <v>0</v>
      </c>
      <c r="X417" s="307">
        <v>0</v>
      </c>
      <c r="Y417" s="307">
        <v>0</v>
      </c>
      <c r="Z417" s="307">
        <v>0</v>
      </c>
      <c r="AA417" s="307">
        <v>0</v>
      </c>
      <c r="AB417" s="307">
        <v>0</v>
      </c>
      <c r="AC417" s="307">
        <v>0</v>
      </c>
      <c r="AD417" s="307">
        <v>0</v>
      </c>
      <c r="AE417" s="307">
        <v>0</v>
      </c>
      <c r="AF417" s="307">
        <v>0</v>
      </c>
      <c r="AG417" s="307">
        <v>0</v>
      </c>
      <c r="AH417" s="307">
        <v>0</v>
      </c>
      <c r="AI417" s="307">
        <v>0</v>
      </c>
      <c r="AJ417" s="307">
        <v>0</v>
      </c>
      <c r="AK417" s="307">
        <v>0</v>
      </c>
      <c r="AL417" s="307">
        <v>0</v>
      </c>
      <c r="AM417" s="307">
        <v>0</v>
      </c>
      <c r="AN417" s="307">
        <v>0</v>
      </c>
      <c r="AO417" s="307">
        <v>0</v>
      </c>
      <c r="AP417" s="307">
        <v>0</v>
      </c>
      <c r="AR417" s="308">
        <v>0</v>
      </c>
      <c r="AS417" s="308">
        <f t="shared" si="405"/>
        <v>247224</v>
      </c>
      <c r="AT417" s="308">
        <v>111455.74096297919</v>
      </c>
      <c r="AU417" s="308">
        <f t="shared" si="406"/>
        <v>164596.25903702079</v>
      </c>
      <c r="AV417" s="308">
        <v>278616.27829418104</v>
      </c>
      <c r="AW417" s="308">
        <f t="shared" si="407"/>
        <v>-3870.2782941810437</v>
      </c>
      <c r="AX417" s="309">
        <v>191371.62472979643</v>
      </c>
      <c r="AY417" s="308">
        <f t="shared" si="408"/>
        <v>290833.37527020357</v>
      </c>
      <c r="AZ417" s="309">
        <v>0</v>
      </c>
      <c r="BA417" s="308">
        <f t="shared" si="409"/>
        <v>0</v>
      </c>
      <c r="BB417" s="331">
        <v>0</v>
      </c>
      <c r="BC417" s="308">
        <f t="shared" si="410"/>
        <v>0</v>
      </c>
    </row>
    <row r="418" spans="1:55">
      <c r="A418" s="301" t="s">
        <v>53</v>
      </c>
      <c r="B418" s="308">
        <f>'Monthly D5 Gallon Data'!$T14</f>
        <v>0</v>
      </c>
      <c r="C418" s="308">
        <f>'Monthly D5 Gallon Data'!$T26</f>
        <v>0</v>
      </c>
      <c r="D418" s="308">
        <f>'Monthly D5 Gallon Data'!$T38</f>
        <v>0</v>
      </c>
      <c r="E418" s="308">
        <f>'Monthly D5 Gallon Data'!$T50</f>
        <v>0</v>
      </c>
      <c r="F418" s="308">
        <f>'Monthly D5 Gallon Data'!$T62</f>
        <v>0</v>
      </c>
      <c r="G418" s="308">
        <f>'Monthly D5 Gallon Data'!$T74</f>
        <v>0</v>
      </c>
      <c r="H418" s="308">
        <f>'Monthly D5 Gallon Data'!$T86</f>
        <v>0</v>
      </c>
      <c r="I418" s="308">
        <f>'Monthly D5 Gallon Data'!$T98</f>
        <v>0</v>
      </c>
      <c r="J418" s="308">
        <f>'Monthly D5 Gallon Data'!$T110</f>
        <v>184806</v>
      </c>
      <c r="K418" s="308">
        <f>'Monthly D5 Gallon Data'!$T122</f>
        <v>366982</v>
      </c>
      <c r="L418" s="308">
        <f>'Monthly D5 Gallon Data'!$T134</f>
        <v>956600</v>
      </c>
      <c r="M418" s="308">
        <f>'Monthly D5 Gallon Data'!$T146</f>
        <v>441432</v>
      </c>
      <c r="N418" s="308">
        <f>'Monthly D5 Gallon Data'!$T158</f>
        <v>168243</v>
      </c>
      <c r="O418" s="308">
        <f>'Monthly D5 Gallon Data'!$T170</f>
        <v>307315</v>
      </c>
      <c r="P418" s="308">
        <f>'Monthly D5 Gallon Data'!$T182</f>
        <v>0</v>
      </c>
      <c r="Q418" s="307">
        <v>0</v>
      </c>
      <c r="R418" s="307">
        <v>0</v>
      </c>
      <c r="S418" s="307">
        <v>0</v>
      </c>
      <c r="T418" s="307">
        <v>0</v>
      </c>
      <c r="U418" s="307">
        <v>0</v>
      </c>
      <c r="V418" s="307">
        <v>0</v>
      </c>
      <c r="W418" s="307">
        <v>0</v>
      </c>
      <c r="X418" s="307">
        <v>0</v>
      </c>
      <c r="Y418" s="307">
        <v>0</v>
      </c>
      <c r="Z418" s="307">
        <v>0</v>
      </c>
      <c r="AA418" s="307">
        <v>0</v>
      </c>
      <c r="AB418" s="307">
        <v>0</v>
      </c>
      <c r="AC418" s="307">
        <v>0</v>
      </c>
      <c r="AD418" s="307">
        <v>0</v>
      </c>
      <c r="AE418" s="307">
        <v>0</v>
      </c>
      <c r="AF418" s="307">
        <v>0</v>
      </c>
      <c r="AG418" s="307">
        <v>0</v>
      </c>
      <c r="AH418" s="307">
        <v>0</v>
      </c>
      <c r="AI418" s="307">
        <v>0</v>
      </c>
      <c r="AJ418" s="307">
        <v>0</v>
      </c>
      <c r="AK418" s="307">
        <v>0</v>
      </c>
      <c r="AL418" s="307">
        <v>0</v>
      </c>
      <c r="AM418" s="307">
        <v>0</v>
      </c>
      <c r="AN418" s="307">
        <v>0</v>
      </c>
      <c r="AO418" s="307">
        <v>0</v>
      </c>
      <c r="AP418" s="307">
        <v>0</v>
      </c>
      <c r="AR418" s="308">
        <v>374336.3771206605</v>
      </c>
      <c r="AS418" s="308">
        <f t="shared" si="405"/>
        <v>582263.6228793395</v>
      </c>
      <c r="AT418" s="308">
        <v>601777.39385760948</v>
      </c>
      <c r="AU418" s="308">
        <f t="shared" si="406"/>
        <v>-160345.39385760948</v>
      </c>
      <c r="AV418" s="308">
        <v>515556.17124977754</v>
      </c>
      <c r="AW418" s="308">
        <f t="shared" si="407"/>
        <v>-347313.17124977754</v>
      </c>
      <c r="AX418" s="309">
        <v>257927.24359515135</v>
      </c>
      <c r="AY418" s="308">
        <f t="shared" si="408"/>
        <v>49387.756404848653</v>
      </c>
      <c r="AZ418" s="309">
        <v>0</v>
      </c>
      <c r="BA418" s="308">
        <f t="shared" si="409"/>
        <v>0</v>
      </c>
      <c r="BB418" s="331">
        <v>0</v>
      </c>
      <c r="BC418" s="308">
        <f t="shared" si="410"/>
        <v>0</v>
      </c>
    </row>
    <row r="419" spans="1:55">
      <c r="A419" s="301" t="s">
        <v>54</v>
      </c>
      <c r="B419" s="308">
        <f>'Monthly D5 Gallon Data'!$T15</f>
        <v>0</v>
      </c>
      <c r="C419" s="308">
        <f>'Monthly D5 Gallon Data'!$T27</f>
        <v>0</v>
      </c>
      <c r="D419" s="308">
        <f>'Monthly D5 Gallon Data'!$T39</f>
        <v>0</v>
      </c>
      <c r="E419" s="308">
        <f>'Monthly D5 Gallon Data'!$T51</f>
        <v>0</v>
      </c>
      <c r="F419" s="308">
        <f>'Monthly D5 Gallon Data'!$T63</f>
        <v>0</v>
      </c>
      <c r="G419" s="308">
        <f>'Monthly D5 Gallon Data'!$T75</f>
        <v>0</v>
      </c>
      <c r="H419" s="308">
        <f>'Monthly D5 Gallon Data'!$T87</f>
        <v>0</v>
      </c>
      <c r="I419" s="308">
        <f>'Monthly D5 Gallon Data'!$T99</f>
        <v>0</v>
      </c>
      <c r="J419" s="308">
        <f>'Monthly D5 Gallon Data'!$T111</f>
        <v>475255</v>
      </c>
      <c r="K419" s="308">
        <f>'Monthly D5 Gallon Data'!$T123</f>
        <v>1012409</v>
      </c>
      <c r="L419" s="308">
        <f>'Monthly D5 Gallon Data'!$T135</f>
        <v>502249</v>
      </c>
      <c r="M419" s="308">
        <f>'Monthly D5 Gallon Data'!$T147</f>
        <v>907732</v>
      </c>
      <c r="N419" s="308">
        <f>'Monthly D5 Gallon Data'!$T159</f>
        <v>935542</v>
      </c>
      <c r="O419" s="308">
        <f>'Monthly D5 Gallon Data'!$T171</f>
        <v>755252</v>
      </c>
      <c r="P419" s="308">
        <f>'Monthly D5 Gallon Data'!$T183</f>
        <v>28862</v>
      </c>
      <c r="Q419" s="307">
        <v>0</v>
      </c>
      <c r="R419" s="307">
        <v>0</v>
      </c>
      <c r="S419" s="307">
        <v>0</v>
      </c>
      <c r="T419" s="307">
        <v>0</v>
      </c>
      <c r="U419" s="307">
        <v>0</v>
      </c>
      <c r="V419" s="307">
        <v>0</v>
      </c>
      <c r="W419" s="307">
        <v>0</v>
      </c>
      <c r="X419" s="307">
        <v>0</v>
      </c>
      <c r="Y419" s="307">
        <v>0</v>
      </c>
      <c r="Z419" s="307">
        <v>0</v>
      </c>
      <c r="AA419" s="307">
        <v>0</v>
      </c>
      <c r="AB419" s="307">
        <v>0</v>
      </c>
      <c r="AC419" s="307">
        <v>0</v>
      </c>
      <c r="AD419" s="307">
        <v>0</v>
      </c>
      <c r="AE419" s="307">
        <v>0</v>
      </c>
      <c r="AF419" s="307">
        <v>0</v>
      </c>
      <c r="AG419" s="307">
        <v>0</v>
      </c>
      <c r="AH419" s="307">
        <v>0</v>
      </c>
      <c r="AI419" s="307">
        <v>0</v>
      </c>
      <c r="AJ419" s="307">
        <v>0</v>
      </c>
      <c r="AK419" s="307">
        <v>0</v>
      </c>
      <c r="AL419" s="307">
        <v>0</v>
      </c>
      <c r="AM419" s="307">
        <v>0</v>
      </c>
      <c r="AN419" s="307">
        <v>0</v>
      </c>
      <c r="AO419" s="307">
        <v>0</v>
      </c>
      <c r="AP419" s="307">
        <v>0</v>
      </c>
      <c r="AR419" s="308">
        <v>1098744.1590038873</v>
      </c>
      <c r="AS419" s="308">
        <f t="shared" si="405"/>
        <v>-596495.15900388733</v>
      </c>
      <c r="AT419" s="308">
        <v>362872.57281433232</v>
      </c>
      <c r="AU419" s="308">
        <f t="shared" si="406"/>
        <v>544859.42718566768</v>
      </c>
      <c r="AV419" s="308">
        <v>1149389.6567024868</v>
      </c>
      <c r="AW419" s="308">
        <f t="shared" si="407"/>
        <v>-213847.6567024868</v>
      </c>
      <c r="AX419" s="309">
        <v>462111.60529010743</v>
      </c>
      <c r="AY419" s="308">
        <f t="shared" si="408"/>
        <v>293140.39470989257</v>
      </c>
      <c r="AZ419" s="309">
        <v>0</v>
      </c>
      <c r="BA419" s="308">
        <f t="shared" si="409"/>
        <v>28862</v>
      </c>
      <c r="BB419" s="331">
        <v>0</v>
      </c>
      <c r="BC419" s="308">
        <f t="shared" si="410"/>
        <v>0</v>
      </c>
    </row>
    <row r="420" spans="1:55" ht="12" thickBot="1">
      <c r="A420" s="301" t="s">
        <v>29</v>
      </c>
      <c r="B420" s="308">
        <f t="shared" ref="B420:AP420" si="411">SUM(B408:B419)</f>
        <v>0</v>
      </c>
      <c r="C420" s="308">
        <f t="shared" si="411"/>
        <v>0</v>
      </c>
      <c r="D420" s="308">
        <f t="shared" si="411"/>
        <v>0</v>
      </c>
      <c r="E420" s="308">
        <f t="shared" si="411"/>
        <v>0</v>
      </c>
      <c r="F420" s="308">
        <f t="shared" si="411"/>
        <v>0</v>
      </c>
      <c r="G420" s="308">
        <f t="shared" si="411"/>
        <v>0</v>
      </c>
      <c r="H420" s="308">
        <f t="shared" si="411"/>
        <v>0</v>
      </c>
      <c r="I420" s="308">
        <f t="shared" si="411"/>
        <v>0</v>
      </c>
      <c r="J420" s="308">
        <f t="shared" si="411"/>
        <v>660061</v>
      </c>
      <c r="K420" s="308">
        <f t="shared" si="411"/>
        <v>4209380</v>
      </c>
      <c r="L420" s="308">
        <f t="shared" si="411"/>
        <v>4306761</v>
      </c>
      <c r="M420" s="308">
        <f t="shared" si="411"/>
        <v>4590315</v>
      </c>
      <c r="N420" s="308">
        <f t="shared" si="411"/>
        <v>4485248</v>
      </c>
      <c r="O420" s="308">
        <f t="shared" si="411"/>
        <v>4719437</v>
      </c>
      <c r="P420" s="308">
        <f t="shared" si="411"/>
        <v>929802</v>
      </c>
      <c r="Q420" s="307">
        <f t="shared" si="411"/>
        <v>59839</v>
      </c>
      <c r="R420" s="307">
        <f t="shared" si="411"/>
        <v>0</v>
      </c>
      <c r="S420" s="307">
        <f t="shared" si="411"/>
        <v>0</v>
      </c>
      <c r="T420" s="307">
        <f t="shared" si="411"/>
        <v>0</v>
      </c>
      <c r="U420" s="307">
        <f t="shared" si="411"/>
        <v>0</v>
      </c>
      <c r="V420" s="307">
        <f t="shared" si="411"/>
        <v>0</v>
      </c>
      <c r="W420" s="307">
        <f t="shared" si="411"/>
        <v>0</v>
      </c>
      <c r="X420" s="307">
        <f t="shared" si="411"/>
        <v>0</v>
      </c>
      <c r="Y420" s="307">
        <f t="shared" si="411"/>
        <v>0</v>
      </c>
      <c r="Z420" s="307">
        <f t="shared" si="411"/>
        <v>0</v>
      </c>
      <c r="AA420" s="307">
        <f t="shared" si="411"/>
        <v>0</v>
      </c>
      <c r="AB420" s="307">
        <f t="shared" si="411"/>
        <v>0</v>
      </c>
      <c r="AC420" s="307">
        <f t="shared" si="411"/>
        <v>0</v>
      </c>
      <c r="AD420" s="307">
        <f t="shared" si="411"/>
        <v>0</v>
      </c>
      <c r="AE420" s="307">
        <f t="shared" si="411"/>
        <v>0</v>
      </c>
      <c r="AF420" s="307">
        <f t="shared" si="411"/>
        <v>0</v>
      </c>
      <c r="AG420" s="307">
        <f t="shared" si="411"/>
        <v>0</v>
      </c>
      <c r="AH420" s="307">
        <f t="shared" si="411"/>
        <v>0</v>
      </c>
      <c r="AI420" s="307">
        <f t="shared" si="411"/>
        <v>0</v>
      </c>
      <c r="AJ420" s="307">
        <f t="shared" si="411"/>
        <v>0</v>
      </c>
      <c r="AK420" s="307">
        <f t="shared" si="411"/>
        <v>0</v>
      </c>
      <c r="AL420" s="307">
        <f t="shared" si="411"/>
        <v>0</v>
      </c>
      <c r="AM420" s="307">
        <f t="shared" si="411"/>
        <v>0</v>
      </c>
      <c r="AN420" s="307">
        <f t="shared" si="411"/>
        <v>0</v>
      </c>
      <c r="AO420" s="307">
        <f t="shared" si="411"/>
        <v>0</v>
      </c>
      <c r="AP420" s="307">
        <f t="shared" si="411"/>
        <v>0</v>
      </c>
      <c r="AR420" s="308">
        <v>4700424.1590038873</v>
      </c>
      <c r="AS420" s="308">
        <f t="shared" si="405"/>
        <v>-393663.15900388733</v>
      </c>
      <c r="AT420" s="308">
        <v>4045455.5728143323</v>
      </c>
      <c r="AU420" s="308">
        <f t="shared" si="406"/>
        <v>544859.42718566768</v>
      </c>
      <c r="AV420" s="308">
        <v>4699095.6567024868</v>
      </c>
      <c r="AW420" s="308">
        <f t="shared" si="407"/>
        <v>-213847.6567024868</v>
      </c>
      <c r="AX420" s="309">
        <v>4376908.8488852587</v>
      </c>
      <c r="AY420" s="308">
        <f t="shared" si="408"/>
        <v>342528.15111474134</v>
      </c>
      <c r="AZ420" s="309">
        <v>900940</v>
      </c>
      <c r="BA420" s="308">
        <f t="shared" si="409"/>
        <v>28862</v>
      </c>
      <c r="BB420" s="331">
        <v>0</v>
      </c>
      <c r="BC420" s="308">
        <f t="shared" si="410"/>
        <v>59839</v>
      </c>
    </row>
    <row r="421" spans="1:55">
      <c r="A421" s="334"/>
      <c r="B421" s="334"/>
      <c r="C421" s="334"/>
      <c r="D421" s="334"/>
      <c r="E421" s="334"/>
      <c r="F421" s="334"/>
      <c r="G421" s="334"/>
      <c r="H421" s="334"/>
      <c r="I421" s="334"/>
      <c r="J421" s="334"/>
      <c r="K421" s="334"/>
      <c r="L421" s="334"/>
      <c r="M421" s="334"/>
      <c r="N421" s="334"/>
      <c r="O421" s="334"/>
      <c r="P421" s="334"/>
      <c r="Q421" s="334"/>
      <c r="R421" s="334"/>
      <c r="S421" s="334"/>
      <c r="T421" s="334"/>
      <c r="U421" s="334"/>
      <c r="V421" s="334"/>
      <c r="W421" s="334"/>
      <c r="X421" s="334"/>
      <c r="Y421" s="334"/>
      <c r="Z421" s="334"/>
      <c r="AA421" s="334"/>
      <c r="AB421" s="334"/>
      <c r="AC421" s="334"/>
      <c r="AD421" s="334"/>
      <c r="AE421" s="334"/>
      <c r="AF421" s="334"/>
      <c r="AG421" s="334"/>
      <c r="AH421" s="334"/>
      <c r="AI421" s="334"/>
      <c r="AJ421" s="334"/>
      <c r="AK421" s="334"/>
      <c r="AL421" s="334"/>
      <c r="AM421" s="334"/>
      <c r="AN421" s="334"/>
      <c r="AO421" s="334"/>
      <c r="AP421" s="334"/>
      <c r="AT421" s="309"/>
    </row>
    <row r="422" spans="1:55" ht="12" thickBot="1">
      <c r="A422" s="300" t="s">
        <v>458</v>
      </c>
      <c r="AT422" s="309"/>
    </row>
    <row r="423" spans="1:55" ht="12" thickBot="1">
      <c r="A423" s="328"/>
      <c r="B423" s="329">
        <f t="shared" ref="B423:AP423" si="412">B2</f>
        <v>2010</v>
      </c>
      <c r="C423" s="329">
        <f t="shared" si="412"/>
        <v>2011</v>
      </c>
      <c r="D423" s="329">
        <f t="shared" si="412"/>
        <v>2012</v>
      </c>
      <c r="E423" s="329">
        <f t="shared" si="412"/>
        <v>2013</v>
      </c>
      <c r="F423" s="329">
        <f t="shared" si="412"/>
        <v>2014</v>
      </c>
      <c r="G423" s="329">
        <f t="shared" si="412"/>
        <v>2015</v>
      </c>
      <c r="H423" s="329">
        <f t="shared" si="412"/>
        <v>2016</v>
      </c>
      <c r="I423" s="329">
        <f t="shared" si="412"/>
        <v>2017</v>
      </c>
      <c r="J423" s="329">
        <f t="shared" si="412"/>
        <v>2018</v>
      </c>
      <c r="K423" s="329">
        <f t="shared" si="412"/>
        <v>2019</v>
      </c>
      <c r="L423" s="329">
        <f t="shared" si="412"/>
        <v>2020</v>
      </c>
      <c r="M423" s="329">
        <f t="shared" si="412"/>
        <v>2021</v>
      </c>
      <c r="N423" s="329">
        <f t="shared" si="412"/>
        <v>2022</v>
      </c>
      <c r="O423" s="329">
        <f t="shared" si="412"/>
        <v>2023</v>
      </c>
      <c r="P423" s="329">
        <f t="shared" si="412"/>
        <v>2024</v>
      </c>
      <c r="Q423" s="329">
        <f t="shared" si="412"/>
        <v>2025</v>
      </c>
      <c r="R423" s="329">
        <f t="shared" si="412"/>
        <v>2026</v>
      </c>
      <c r="S423" s="329">
        <f t="shared" si="412"/>
        <v>2027</v>
      </c>
      <c r="T423" s="329">
        <f t="shared" si="412"/>
        <v>2028</v>
      </c>
      <c r="U423" s="329">
        <f t="shared" si="412"/>
        <v>2029</v>
      </c>
      <c r="V423" s="329">
        <f t="shared" si="412"/>
        <v>2030</v>
      </c>
      <c r="W423" s="329">
        <f t="shared" si="412"/>
        <v>2031</v>
      </c>
      <c r="X423" s="329">
        <f t="shared" si="412"/>
        <v>2032</v>
      </c>
      <c r="Y423" s="329">
        <f t="shared" si="412"/>
        <v>2033</v>
      </c>
      <c r="Z423" s="329">
        <f t="shared" si="412"/>
        <v>2034</v>
      </c>
      <c r="AA423" s="329">
        <f t="shared" si="412"/>
        <v>2035</v>
      </c>
      <c r="AB423" s="329">
        <f t="shared" si="412"/>
        <v>2036</v>
      </c>
      <c r="AC423" s="329">
        <f t="shared" si="412"/>
        <v>2037</v>
      </c>
      <c r="AD423" s="329">
        <f t="shared" si="412"/>
        <v>2038</v>
      </c>
      <c r="AE423" s="329">
        <f t="shared" si="412"/>
        <v>2039</v>
      </c>
      <c r="AF423" s="329">
        <f t="shared" si="412"/>
        <v>2040</v>
      </c>
      <c r="AG423" s="329">
        <f t="shared" si="412"/>
        <v>2041</v>
      </c>
      <c r="AH423" s="329">
        <f t="shared" si="412"/>
        <v>2042</v>
      </c>
      <c r="AI423" s="329">
        <f t="shared" si="412"/>
        <v>2043</v>
      </c>
      <c r="AJ423" s="329">
        <f t="shared" si="412"/>
        <v>2044</v>
      </c>
      <c r="AK423" s="329">
        <f t="shared" si="412"/>
        <v>2045</v>
      </c>
      <c r="AL423" s="329">
        <f t="shared" si="412"/>
        <v>2046</v>
      </c>
      <c r="AM423" s="329">
        <f t="shared" si="412"/>
        <v>2047</v>
      </c>
      <c r="AN423" s="329">
        <f t="shared" si="412"/>
        <v>2048</v>
      </c>
      <c r="AO423" s="329">
        <f t="shared" si="412"/>
        <v>2049</v>
      </c>
      <c r="AP423" s="329">
        <f t="shared" si="412"/>
        <v>2050</v>
      </c>
      <c r="AT423" s="309"/>
    </row>
    <row r="424" spans="1:55">
      <c r="A424" s="301" t="s">
        <v>43</v>
      </c>
      <c r="B424" s="308">
        <f>'Monthly D5 Gallon Data'!$U4</f>
        <v>0</v>
      </c>
      <c r="C424" s="308">
        <f>'Monthly D5 Gallon Data'!$U16</f>
        <v>0</v>
      </c>
      <c r="D424" s="308">
        <f>'Monthly D5 Gallon Data'!$U28</f>
        <v>0</v>
      </c>
      <c r="E424" s="308">
        <f>'Monthly D5 Gallon Data'!$U40</f>
        <v>0</v>
      </c>
      <c r="F424" s="308">
        <f>'Monthly D5 Gallon Data'!$U52</f>
        <v>0</v>
      </c>
      <c r="G424" s="308">
        <f>'Monthly D5 Gallon Data'!$U64</f>
        <v>0</v>
      </c>
      <c r="H424" s="308">
        <f>'Monthly D5 Gallon Data'!$U76</f>
        <v>0</v>
      </c>
      <c r="I424" s="308">
        <f>'Monthly D5 Gallon Data'!$U88</f>
        <v>0</v>
      </c>
      <c r="J424" s="308">
        <f>'Monthly D5 Gallon Data'!$U100</f>
        <v>0</v>
      </c>
      <c r="K424" s="308">
        <f>'Monthly D5 Gallon Data'!$U112</f>
        <v>0</v>
      </c>
      <c r="L424" s="308">
        <f>'Monthly D5 Gallon Data'!$U124</f>
        <v>0</v>
      </c>
      <c r="M424" s="308">
        <f>'Monthly D5 Gallon Data'!$U136</f>
        <v>0</v>
      </c>
      <c r="N424" s="308">
        <f>'Monthly D5 Gallon Data'!$U148</f>
        <v>0</v>
      </c>
      <c r="O424" s="308">
        <f>'Monthly D5 Gallon Data'!$U160</f>
        <v>0</v>
      </c>
      <c r="P424" s="308">
        <f>'Monthly D5 Gallon Data'!$U172</f>
        <v>0</v>
      </c>
      <c r="Q424" s="308">
        <f>'Monthly D5 Gallon Data'!$U184</f>
        <v>0</v>
      </c>
      <c r="R424" s="307">
        <v>0</v>
      </c>
      <c r="S424" s="307">
        <v>0</v>
      </c>
      <c r="T424" s="307">
        <v>0</v>
      </c>
      <c r="U424" s="307">
        <v>0</v>
      </c>
      <c r="V424" s="307">
        <v>0</v>
      </c>
      <c r="W424" s="307">
        <v>0</v>
      </c>
      <c r="X424" s="307">
        <v>0</v>
      </c>
      <c r="Y424" s="307">
        <v>0</v>
      </c>
      <c r="Z424" s="307">
        <v>0</v>
      </c>
      <c r="AA424" s="307">
        <v>0</v>
      </c>
      <c r="AB424" s="307">
        <v>0</v>
      </c>
      <c r="AC424" s="307">
        <v>0</v>
      </c>
      <c r="AD424" s="307">
        <v>0</v>
      </c>
      <c r="AE424" s="307">
        <v>0</v>
      </c>
      <c r="AF424" s="307">
        <v>0</v>
      </c>
      <c r="AG424" s="307">
        <v>0</v>
      </c>
      <c r="AH424" s="307">
        <v>0</v>
      </c>
      <c r="AI424" s="307">
        <v>0</v>
      </c>
      <c r="AJ424" s="307">
        <v>0</v>
      </c>
      <c r="AK424" s="307">
        <v>0</v>
      </c>
      <c r="AL424" s="307">
        <v>0</v>
      </c>
      <c r="AM424" s="307">
        <v>0</v>
      </c>
      <c r="AN424" s="307">
        <v>0</v>
      </c>
      <c r="AO424" s="307">
        <v>0</v>
      </c>
      <c r="AP424" s="307">
        <v>0</v>
      </c>
      <c r="AR424" s="308">
        <v>0</v>
      </c>
      <c r="AS424" s="308">
        <f t="shared" ref="AS424:AS436" si="413">L424-AR424</f>
        <v>0</v>
      </c>
      <c r="AT424" s="308">
        <v>0</v>
      </c>
      <c r="AU424" s="308">
        <f t="shared" ref="AU424:AU436" si="414">M424-AT424</f>
        <v>0</v>
      </c>
      <c r="AV424" s="308">
        <v>0</v>
      </c>
      <c r="AW424" s="308">
        <f t="shared" ref="AW424:AW436" si="415">N424-AV424</f>
        <v>0</v>
      </c>
      <c r="AX424" s="308">
        <v>0</v>
      </c>
      <c r="AY424" s="308">
        <f t="shared" ref="AY424:AY436" si="416">O424-AX424</f>
        <v>0</v>
      </c>
      <c r="AZ424" s="308">
        <v>0</v>
      </c>
      <c r="BA424" s="308">
        <f t="shared" ref="BA424:BA436" si="417">P424-AZ424</f>
        <v>0</v>
      </c>
      <c r="BB424" s="331">
        <v>0</v>
      </c>
      <c r="BC424" s="308">
        <f t="shared" ref="BC424:BC436" si="418">Q424-BB424</f>
        <v>0</v>
      </c>
    </row>
    <row r="425" spans="1:55">
      <c r="A425" s="301" t="s">
        <v>44</v>
      </c>
      <c r="B425" s="308">
        <f>'Monthly D5 Gallon Data'!$U5</f>
        <v>0</v>
      </c>
      <c r="C425" s="308">
        <f>'Monthly D5 Gallon Data'!$U17</f>
        <v>0</v>
      </c>
      <c r="D425" s="308">
        <f>'Monthly D5 Gallon Data'!$U29</f>
        <v>0</v>
      </c>
      <c r="E425" s="308">
        <f>'Monthly D5 Gallon Data'!$U41</f>
        <v>0</v>
      </c>
      <c r="F425" s="308">
        <f>'Monthly D5 Gallon Data'!$U53</f>
        <v>0</v>
      </c>
      <c r="G425" s="308">
        <f>'Monthly D5 Gallon Data'!$U65</f>
        <v>0</v>
      </c>
      <c r="H425" s="308">
        <f>'Monthly D5 Gallon Data'!$U77</f>
        <v>0</v>
      </c>
      <c r="I425" s="308">
        <f>'Monthly D5 Gallon Data'!$U89</f>
        <v>0</v>
      </c>
      <c r="J425" s="308">
        <f>'Monthly D5 Gallon Data'!$U101</f>
        <v>0</v>
      </c>
      <c r="K425" s="308">
        <f>'Monthly D5 Gallon Data'!$U113</f>
        <v>0</v>
      </c>
      <c r="L425" s="308">
        <f>'Monthly D5 Gallon Data'!$U125</f>
        <v>0</v>
      </c>
      <c r="M425" s="308">
        <f>'Monthly D5 Gallon Data'!$U137</f>
        <v>0</v>
      </c>
      <c r="N425" s="308">
        <f>'Monthly D5 Gallon Data'!$U149</f>
        <v>0</v>
      </c>
      <c r="O425" s="308">
        <f>'Monthly D5 Gallon Data'!$U161</f>
        <v>0</v>
      </c>
      <c r="P425" s="308">
        <f>'Monthly D5 Gallon Data'!$U173</f>
        <v>0</v>
      </c>
      <c r="Q425" s="332">
        <f>'Monthly D5 Gallon Data'!$U185</f>
        <v>0</v>
      </c>
      <c r="R425" s="307">
        <v>0</v>
      </c>
      <c r="S425" s="307">
        <v>0</v>
      </c>
      <c r="T425" s="307">
        <v>0</v>
      </c>
      <c r="U425" s="307">
        <v>0</v>
      </c>
      <c r="V425" s="307">
        <v>0</v>
      </c>
      <c r="W425" s="307">
        <v>0</v>
      </c>
      <c r="X425" s="307">
        <v>0</v>
      </c>
      <c r="Y425" s="307">
        <v>0</v>
      </c>
      <c r="Z425" s="307">
        <v>0</v>
      </c>
      <c r="AA425" s="307">
        <v>0</v>
      </c>
      <c r="AB425" s="307">
        <v>0</v>
      </c>
      <c r="AC425" s="307">
        <v>0</v>
      </c>
      <c r="AD425" s="307">
        <v>0</v>
      </c>
      <c r="AE425" s="307">
        <v>0</v>
      </c>
      <c r="AF425" s="307">
        <v>0</v>
      </c>
      <c r="AG425" s="307">
        <v>0</v>
      </c>
      <c r="AH425" s="307">
        <v>0</v>
      </c>
      <c r="AI425" s="307">
        <v>0</v>
      </c>
      <c r="AJ425" s="307">
        <v>0</v>
      </c>
      <c r="AK425" s="307">
        <v>0</v>
      </c>
      <c r="AL425" s="307">
        <v>0</v>
      </c>
      <c r="AM425" s="307">
        <v>0</v>
      </c>
      <c r="AN425" s="307">
        <v>0</v>
      </c>
      <c r="AO425" s="307">
        <v>0</v>
      </c>
      <c r="AP425" s="307">
        <v>0</v>
      </c>
      <c r="AR425" s="308">
        <v>0</v>
      </c>
      <c r="AS425" s="308">
        <f t="shared" si="413"/>
        <v>0</v>
      </c>
      <c r="AT425" s="308">
        <v>0</v>
      </c>
      <c r="AU425" s="308">
        <f t="shared" si="414"/>
        <v>0</v>
      </c>
      <c r="AV425" s="308">
        <v>0</v>
      </c>
      <c r="AW425" s="308">
        <f t="shared" si="415"/>
        <v>0</v>
      </c>
      <c r="AX425" s="308">
        <v>0</v>
      </c>
      <c r="AY425" s="308">
        <f t="shared" si="416"/>
        <v>0</v>
      </c>
      <c r="AZ425" s="308">
        <v>0</v>
      </c>
      <c r="BA425" s="308">
        <f t="shared" si="417"/>
        <v>0</v>
      </c>
      <c r="BB425" s="331">
        <v>0</v>
      </c>
      <c r="BC425" s="308">
        <f t="shared" si="418"/>
        <v>0</v>
      </c>
    </row>
    <row r="426" spans="1:55">
      <c r="A426" s="301" t="s">
        <v>45</v>
      </c>
      <c r="B426" s="308">
        <f>'Monthly D5 Gallon Data'!$U6</f>
        <v>0</v>
      </c>
      <c r="C426" s="308">
        <f>'Monthly D5 Gallon Data'!$U18</f>
        <v>0</v>
      </c>
      <c r="D426" s="308">
        <f>'Monthly D5 Gallon Data'!$U30</f>
        <v>0</v>
      </c>
      <c r="E426" s="308">
        <f>'Monthly D5 Gallon Data'!$U42</f>
        <v>0</v>
      </c>
      <c r="F426" s="308">
        <f>'Monthly D5 Gallon Data'!$U54</f>
        <v>0</v>
      </c>
      <c r="G426" s="308">
        <f>'Monthly D5 Gallon Data'!$U66</f>
        <v>0</v>
      </c>
      <c r="H426" s="308">
        <f>'Monthly D5 Gallon Data'!$U78</f>
        <v>0</v>
      </c>
      <c r="I426" s="308">
        <f>'Monthly D5 Gallon Data'!$U90</f>
        <v>0</v>
      </c>
      <c r="J426" s="308">
        <f>'Monthly D5 Gallon Data'!$U102</f>
        <v>0</v>
      </c>
      <c r="K426" s="308">
        <f>'Monthly D5 Gallon Data'!$U114</f>
        <v>0</v>
      </c>
      <c r="L426" s="308">
        <f>'Monthly D5 Gallon Data'!$U126</f>
        <v>0</v>
      </c>
      <c r="M426" s="308">
        <f>'Monthly D5 Gallon Data'!$U138</f>
        <v>0</v>
      </c>
      <c r="N426" s="308">
        <f>'Monthly D5 Gallon Data'!$U150</f>
        <v>0</v>
      </c>
      <c r="O426" s="308">
        <f>'Monthly D5 Gallon Data'!$U162</f>
        <v>0</v>
      </c>
      <c r="P426" s="308">
        <f>'Monthly D5 Gallon Data'!$U174</f>
        <v>0</v>
      </c>
      <c r="Q426" s="332">
        <f>'Monthly D5 Gallon Data'!$U186</f>
        <v>0</v>
      </c>
      <c r="R426" s="307">
        <v>0</v>
      </c>
      <c r="S426" s="307">
        <v>0</v>
      </c>
      <c r="T426" s="307">
        <v>0</v>
      </c>
      <c r="U426" s="307">
        <v>0</v>
      </c>
      <c r="V426" s="307">
        <v>0</v>
      </c>
      <c r="W426" s="307">
        <v>0</v>
      </c>
      <c r="X426" s="307">
        <v>0</v>
      </c>
      <c r="Y426" s="307">
        <v>0</v>
      </c>
      <c r="Z426" s="307">
        <v>0</v>
      </c>
      <c r="AA426" s="307">
        <v>0</v>
      </c>
      <c r="AB426" s="307">
        <v>0</v>
      </c>
      <c r="AC426" s="307">
        <v>0</v>
      </c>
      <c r="AD426" s="307">
        <v>0</v>
      </c>
      <c r="AE426" s="307">
        <v>0</v>
      </c>
      <c r="AF426" s="307">
        <v>0</v>
      </c>
      <c r="AG426" s="307">
        <v>0</v>
      </c>
      <c r="AH426" s="307">
        <v>0</v>
      </c>
      <c r="AI426" s="307">
        <v>0</v>
      </c>
      <c r="AJ426" s="307">
        <v>0</v>
      </c>
      <c r="AK426" s="307">
        <v>0</v>
      </c>
      <c r="AL426" s="307">
        <v>0</v>
      </c>
      <c r="AM426" s="307">
        <v>0</v>
      </c>
      <c r="AN426" s="307">
        <v>0</v>
      </c>
      <c r="AO426" s="307">
        <v>0</v>
      </c>
      <c r="AP426" s="307">
        <v>0</v>
      </c>
      <c r="AR426" s="308">
        <v>0</v>
      </c>
      <c r="AS426" s="308">
        <f t="shared" si="413"/>
        <v>0</v>
      </c>
      <c r="AT426" s="308">
        <v>0</v>
      </c>
      <c r="AU426" s="308">
        <f t="shared" si="414"/>
        <v>0</v>
      </c>
      <c r="AV426" s="308">
        <v>0</v>
      </c>
      <c r="AW426" s="308">
        <f t="shared" si="415"/>
        <v>0</v>
      </c>
      <c r="AX426" s="308">
        <v>0</v>
      </c>
      <c r="AY426" s="308">
        <f t="shared" si="416"/>
        <v>0</v>
      </c>
      <c r="AZ426" s="308">
        <v>0</v>
      </c>
      <c r="BA426" s="308">
        <f t="shared" si="417"/>
        <v>0</v>
      </c>
      <c r="BB426" s="331">
        <v>0</v>
      </c>
      <c r="BC426" s="308">
        <f t="shared" si="418"/>
        <v>0</v>
      </c>
    </row>
    <row r="427" spans="1:55">
      <c r="A427" s="301" t="s">
        <v>46</v>
      </c>
      <c r="B427" s="308">
        <f>'Monthly D5 Gallon Data'!$U7</f>
        <v>0</v>
      </c>
      <c r="C427" s="308">
        <f>'Monthly D5 Gallon Data'!$U19</f>
        <v>0</v>
      </c>
      <c r="D427" s="308">
        <f>'Monthly D5 Gallon Data'!$U31</f>
        <v>0</v>
      </c>
      <c r="E427" s="308">
        <f>'Monthly D5 Gallon Data'!$U43</f>
        <v>0</v>
      </c>
      <c r="F427" s="308">
        <f>'Monthly D5 Gallon Data'!$U55</f>
        <v>0</v>
      </c>
      <c r="G427" s="308">
        <f>'Monthly D5 Gallon Data'!$U67</f>
        <v>0</v>
      </c>
      <c r="H427" s="308">
        <f>'Monthly D5 Gallon Data'!$U79</f>
        <v>0</v>
      </c>
      <c r="I427" s="308">
        <f>'Monthly D5 Gallon Data'!$U91</f>
        <v>0</v>
      </c>
      <c r="J427" s="308">
        <f>'Monthly D5 Gallon Data'!$U103</f>
        <v>0</v>
      </c>
      <c r="K427" s="308">
        <f>'Monthly D5 Gallon Data'!$U115</f>
        <v>0</v>
      </c>
      <c r="L427" s="308">
        <f>'Monthly D5 Gallon Data'!$U127</f>
        <v>0</v>
      </c>
      <c r="M427" s="308">
        <f>'Monthly D5 Gallon Data'!$U139</f>
        <v>0</v>
      </c>
      <c r="N427" s="308">
        <f>'Monthly D5 Gallon Data'!$U151</f>
        <v>0</v>
      </c>
      <c r="O427" s="308">
        <f>'Monthly D5 Gallon Data'!$U163</f>
        <v>0</v>
      </c>
      <c r="P427" s="308">
        <f>'Monthly D5 Gallon Data'!$U175</f>
        <v>0</v>
      </c>
      <c r="Q427" s="307">
        <v>0</v>
      </c>
      <c r="R427" s="307">
        <v>0</v>
      </c>
      <c r="S427" s="307">
        <v>0</v>
      </c>
      <c r="T427" s="307">
        <v>0</v>
      </c>
      <c r="U427" s="307">
        <v>0</v>
      </c>
      <c r="V427" s="307">
        <v>0</v>
      </c>
      <c r="W427" s="307">
        <v>0</v>
      </c>
      <c r="X427" s="307">
        <v>0</v>
      </c>
      <c r="Y427" s="307">
        <v>0</v>
      </c>
      <c r="Z427" s="307">
        <v>0</v>
      </c>
      <c r="AA427" s="307">
        <v>0</v>
      </c>
      <c r="AB427" s="307">
        <v>0</v>
      </c>
      <c r="AC427" s="307">
        <v>0</v>
      </c>
      <c r="AD427" s="307">
        <v>0</v>
      </c>
      <c r="AE427" s="307">
        <v>0</v>
      </c>
      <c r="AF427" s="307">
        <v>0</v>
      </c>
      <c r="AG427" s="307">
        <v>0</v>
      </c>
      <c r="AH427" s="307">
        <v>0</v>
      </c>
      <c r="AI427" s="307">
        <v>0</v>
      </c>
      <c r="AJ427" s="307">
        <v>0</v>
      </c>
      <c r="AK427" s="307">
        <v>0</v>
      </c>
      <c r="AL427" s="307">
        <v>0</v>
      </c>
      <c r="AM427" s="307">
        <v>0</v>
      </c>
      <c r="AN427" s="307">
        <v>0</v>
      </c>
      <c r="AO427" s="307">
        <v>0</v>
      </c>
      <c r="AP427" s="307">
        <v>0</v>
      </c>
      <c r="AR427" s="308">
        <v>0</v>
      </c>
      <c r="AS427" s="308">
        <f t="shared" si="413"/>
        <v>0</v>
      </c>
      <c r="AT427" s="308">
        <v>0</v>
      </c>
      <c r="AU427" s="308">
        <f t="shared" si="414"/>
        <v>0</v>
      </c>
      <c r="AV427" s="308">
        <v>0</v>
      </c>
      <c r="AW427" s="308">
        <f t="shared" si="415"/>
        <v>0</v>
      </c>
      <c r="AX427" s="308">
        <v>0</v>
      </c>
      <c r="AY427" s="308">
        <f t="shared" si="416"/>
        <v>0</v>
      </c>
      <c r="AZ427" s="308">
        <v>0</v>
      </c>
      <c r="BA427" s="308">
        <f t="shared" si="417"/>
        <v>0</v>
      </c>
      <c r="BB427" s="331">
        <v>0</v>
      </c>
      <c r="BC427" s="308">
        <f t="shared" si="418"/>
        <v>0</v>
      </c>
    </row>
    <row r="428" spans="1:55">
      <c r="A428" s="301" t="s">
        <v>47</v>
      </c>
      <c r="B428" s="308">
        <f>'Monthly D5 Gallon Data'!$U8</f>
        <v>0</v>
      </c>
      <c r="C428" s="308">
        <f>'Monthly D5 Gallon Data'!$U20</f>
        <v>0</v>
      </c>
      <c r="D428" s="308">
        <f>'Monthly D5 Gallon Data'!$U32</f>
        <v>0</v>
      </c>
      <c r="E428" s="308">
        <f>'Monthly D5 Gallon Data'!$U44</f>
        <v>0</v>
      </c>
      <c r="F428" s="308">
        <f>'Monthly D5 Gallon Data'!$U56</f>
        <v>0</v>
      </c>
      <c r="G428" s="308">
        <f>'Monthly D5 Gallon Data'!$U68</f>
        <v>0</v>
      </c>
      <c r="H428" s="308">
        <f>'Monthly D5 Gallon Data'!$U80</f>
        <v>0</v>
      </c>
      <c r="I428" s="308">
        <f>'Monthly D5 Gallon Data'!$U92</f>
        <v>0</v>
      </c>
      <c r="J428" s="308">
        <f>'Monthly D5 Gallon Data'!$U104</f>
        <v>0</v>
      </c>
      <c r="K428" s="308">
        <f>'Monthly D5 Gallon Data'!$U116</f>
        <v>0</v>
      </c>
      <c r="L428" s="308">
        <f>'Monthly D5 Gallon Data'!$U128</f>
        <v>0</v>
      </c>
      <c r="M428" s="308">
        <f>'Monthly D5 Gallon Data'!$U140</f>
        <v>0</v>
      </c>
      <c r="N428" s="308">
        <f>'Monthly D5 Gallon Data'!$U152</f>
        <v>0</v>
      </c>
      <c r="O428" s="308">
        <f>'Monthly D5 Gallon Data'!$U164</f>
        <v>0</v>
      </c>
      <c r="P428" s="308">
        <f>'Monthly D5 Gallon Data'!$U176</f>
        <v>0</v>
      </c>
      <c r="Q428" s="307">
        <v>0</v>
      </c>
      <c r="R428" s="307">
        <v>0</v>
      </c>
      <c r="S428" s="307">
        <v>0</v>
      </c>
      <c r="T428" s="307">
        <v>0</v>
      </c>
      <c r="U428" s="307">
        <v>0</v>
      </c>
      <c r="V428" s="307">
        <v>0</v>
      </c>
      <c r="W428" s="307">
        <v>0</v>
      </c>
      <c r="X428" s="307">
        <v>0</v>
      </c>
      <c r="Y428" s="307">
        <v>0</v>
      </c>
      <c r="Z428" s="307">
        <v>0</v>
      </c>
      <c r="AA428" s="307">
        <v>0</v>
      </c>
      <c r="AB428" s="307">
        <v>0</v>
      </c>
      <c r="AC428" s="307">
        <v>0</v>
      </c>
      <c r="AD428" s="307">
        <v>0</v>
      </c>
      <c r="AE428" s="307">
        <v>0</v>
      </c>
      <c r="AF428" s="307">
        <v>0</v>
      </c>
      <c r="AG428" s="307">
        <v>0</v>
      </c>
      <c r="AH428" s="307">
        <v>0</v>
      </c>
      <c r="AI428" s="307">
        <v>0</v>
      </c>
      <c r="AJ428" s="307">
        <v>0</v>
      </c>
      <c r="AK428" s="307">
        <v>0</v>
      </c>
      <c r="AL428" s="307">
        <v>0</v>
      </c>
      <c r="AM428" s="307">
        <v>0</v>
      </c>
      <c r="AN428" s="307">
        <v>0</v>
      </c>
      <c r="AO428" s="307">
        <v>0</v>
      </c>
      <c r="AP428" s="307">
        <v>0</v>
      </c>
      <c r="AR428" s="308">
        <v>0</v>
      </c>
      <c r="AS428" s="308">
        <f t="shared" si="413"/>
        <v>0</v>
      </c>
      <c r="AT428" s="308">
        <v>0</v>
      </c>
      <c r="AU428" s="308">
        <f t="shared" si="414"/>
        <v>0</v>
      </c>
      <c r="AV428" s="308">
        <v>0</v>
      </c>
      <c r="AW428" s="308">
        <f t="shared" si="415"/>
        <v>0</v>
      </c>
      <c r="AX428" s="308">
        <v>0</v>
      </c>
      <c r="AY428" s="308">
        <f t="shared" si="416"/>
        <v>0</v>
      </c>
      <c r="AZ428" s="308">
        <v>0</v>
      </c>
      <c r="BA428" s="308">
        <f t="shared" si="417"/>
        <v>0</v>
      </c>
      <c r="BB428" s="331">
        <v>0</v>
      </c>
      <c r="BC428" s="308">
        <f t="shared" si="418"/>
        <v>0</v>
      </c>
    </row>
    <row r="429" spans="1:55">
      <c r="A429" s="301" t="s">
        <v>48</v>
      </c>
      <c r="B429" s="308">
        <f>'Monthly D5 Gallon Data'!$U9</f>
        <v>0</v>
      </c>
      <c r="C429" s="308">
        <f>'Monthly D5 Gallon Data'!$U21</f>
        <v>0</v>
      </c>
      <c r="D429" s="308">
        <f>'Monthly D5 Gallon Data'!$U33</f>
        <v>0</v>
      </c>
      <c r="E429" s="308">
        <f>'Monthly D5 Gallon Data'!$U45</f>
        <v>0</v>
      </c>
      <c r="F429" s="308">
        <f>'Monthly D5 Gallon Data'!$U57</f>
        <v>0</v>
      </c>
      <c r="G429" s="308">
        <f>'Monthly D5 Gallon Data'!$U69</f>
        <v>0</v>
      </c>
      <c r="H429" s="308">
        <f>'Monthly D5 Gallon Data'!$U81</f>
        <v>0</v>
      </c>
      <c r="I429" s="308">
        <f>'Monthly D5 Gallon Data'!$U93</f>
        <v>0</v>
      </c>
      <c r="J429" s="308">
        <f>'Monthly D5 Gallon Data'!$U105</f>
        <v>0</v>
      </c>
      <c r="K429" s="308">
        <f>'Monthly D5 Gallon Data'!$U117</f>
        <v>0</v>
      </c>
      <c r="L429" s="308">
        <f>'Monthly D5 Gallon Data'!$U129</f>
        <v>0</v>
      </c>
      <c r="M429" s="308">
        <f>'Monthly D5 Gallon Data'!$U141</f>
        <v>0</v>
      </c>
      <c r="N429" s="308">
        <f>'Monthly D5 Gallon Data'!$U153</f>
        <v>0</v>
      </c>
      <c r="O429" s="308">
        <f>'Monthly D5 Gallon Data'!$U165</f>
        <v>0</v>
      </c>
      <c r="P429" s="308">
        <f>'Monthly D5 Gallon Data'!$U177</f>
        <v>0</v>
      </c>
      <c r="Q429" s="307">
        <v>0</v>
      </c>
      <c r="R429" s="307">
        <v>0</v>
      </c>
      <c r="S429" s="307">
        <v>0</v>
      </c>
      <c r="T429" s="307">
        <v>0</v>
      </c>
      <c r="U429" s="307">
        <v>0</v>
      </c>
      <c r="V429" s="307">
        <v>0</v>
      </c>
      <c r="W429" s="307">
        <v>0</v>
      </c>
      <c r="X429" s="307">
        <v>0</v>
      </c>
      <c r="Y429" s="307">
        <v>0</v>
      </c>
      <c r="Z429" s="307">
        <v>0</v>
      </c>
      <c r="AA429" s="307">
        <v>0</v>
      </c>
      <c r="AB429" s="307">
        <v>0</v>
      </c>
      <c r="AC429" s="307">
        <v>0</v>
      </c>
      <c r="AD429" s="307">
        <v>0</v>
      </c>
      <c r="AE429" s="307">
        <v>0</v>
      </c>
      <c r="AF429" s="307">
        <v>0</v>
      </c>
      <c r="AG429" s="307">
        <v>0</v>
      </c>
      <c r="AH429" s="307">
        <v>0</v>
      </c>
      <c r="AI429" s="307">
        <v>0</v>
      </c>
      <c r="AJ429" s="307">
        <v>0</v>
      </c>
      <c r="AK429" s="307">
        <v>0</v>
      </c>
      <c r="AL429" s="307">
        <v>0</v>
      </c>
      <c r="AM429" s="307">
        <v>0</v>
      </c>
      <c r="AN429" s="307">
        <v>0</v>
      </c>
      <c r="AO429" s="307">
        <v>0</v>
      </c>
      <c r="AP429" s="307">
        <v>0</v>
      </c>
      <c r="AR429" s="308">
        <v>0</v>
      </c>
      <c r="AS429" s="308">
        <f t="shared" si="413"/>
        <v>0</v>
      </c>
      <c r="AT429" s="308">
        <v>0</v>
      </c>
      <c r="AU429" s="308">
        <f t="shared" si="414"/>
        <v>0</v>
      </c>
      <c r="AV429" s="308">
        <v>0</v>
      </c>
      <c r="AW429" s="308">
        <f t="shared" si="415"/>
        <v>0</v>
      </c>
      <c r="AX429" s="308">
        <v>0</v>
      </c>
      <c r="AY429" s="308">
        <f t="shared" si="416"/>
        <v>0</v>
      </c>
      <c r="AZ429" s="308">
        <v>0</v>
      </c>
      <c r="BA429" s="308">
        <f t="shared" si="417"/>
        <v>0</v>
      </c>
      <c r="BB429" s="331">
        <v>0</v>
      </c>
      <c r="BC429" s="308">
        <f t="shared" si="418"/>
        <v>0</v>
      </c>
    </row>
    <row r="430" spans="1:55">
      <c r="A430" s="301" t="s">
        <v>49</v>
      </c>
      <c r="B430" s="308">
        <f>'Monthly D5 Gallon Data'!$U10</f>
        <v>0</v>
      </c>
      <c r="C430" s="308">
        <f>'Monthly D5 Gallon Data'!$U22</f>
        <v>0</v>
      </c>
      <c r="D430" s="308">
        <f>'Monthly D5 Gallon Data'!$U34</f>
        <v>0</v>
      </c>
      <c r="E430" s="308">
        <f>'Monthly D5 Gallon Data'!$U46</f>
        <v>0</v>
      </c>
      <c r="F430" s="308">
        <f>'Monthly D5 Gallon Data'!$U58</f>
        <v>0</v>
      </c>
      <c r="G430" s="308">
        <f>'Monthly D5 Gallon Data'!$U70</f>
        <v>0</v>
      </c>
      <c r="H430" s="308">
        <f>'Monthly D5 Gallon Data'!$U82</f>
        <v>0</v>
      </c>
      <c r="I430" s="308">
        <f>'Monthly D5 Gallon Data'!$U94</f>
        <v>0</v>
      </c>
      <c r="J430" s="308">
        <f>'Monthly D5 Gallon Data'!$U106</f>
        <v>0</v>
      </c>
      <c r="K430" s="308">
        <f>'Monthly D5 Gallon Data'!$U118</f>
        <v>0</v>
      </c>
      <c r="L430" s="308">
        <v>0</v>
      </c>
      <c r="M430" s="308">
        <f>'Monthly D5 Gallon Data'!$U142</f>
        <v>0</v>
      </c>
      <c r="N430" s="308">
        <f>'Monthly D5 Gallon Data'!$U154</f>
        <v>0</v>
      </c>
      <c r="O430" s="308">
        <f>'Monthly D5 Gallon Data'!$U166</f>
        <v>0</v>
      </c>
      <c r="P430" s="308">
        <f>'Monthly D5 Gallon Data'!$U178</f>
        <v>0</v>
      </c>
      <c r="Q430" s="307">
        <v>0</v>
      </c>
      <c r="R430" s="307">
        <v>0</v>
      </c>
      <c r="S430" s="307">
        <v>0</v>
      </c>
      <c r="T430" s="307">
        <v>0</v>
      </c>
      <c r="U430" s="307">
        <v>0</v>
      </c>
      <c r="V430" s="307">
        <v>0</v>
      </c>
      <c r="W430" s="307">
        <v>0</v>
      </c>
      <c r="X430" s="307">
        <v>0</v>
      </c>
      <c r="Y430" s="307">
        <v>0</v>
      </c>
      <c r="Z430" s="307">
        <v>0</v>
      </c>
      <c r="AA430" s="307">
        <v>0</v>
      </c>
      <c r="AB430" s="307">
        <v>0</v>
      </c>
      <c r="AC430" s="307">
        <v>0</v>
      </c>
      <c r="AD430" s="307">
        <v>0</v>
      </c>
      <c r="AE430" s="307">
        <v>0</v>
      </c>
      <c r="AF430" s="307">
        <v>0</v>
      </c>
      <c r="AG430" s="307">
        <v>0</v>
      </c>
      <c r="AH430" s="307">
        <v>0</v>
      </c>
      <c r="AI430" s="307">
        <v>0</v>
      </c>
      <c r="AJ430" s="307">
        <v>0</v>
      </c>
      <c r="AK430" s="307">
        <v>0</v>
      </c>
      <c r="AL430" s="307">
        <v>0</v>
      </c>
      <c r="AM430" s="307">
        <v>0</v>
      </c>
      <c r="AN430" s="307">
        <v>0</v>
      </c>
      <c r="AO430" s="307">
        <v>0</v>
      </c>
      <c r="AP430" s="307">
        <v>0</v>
      </c>
      <c r="AR430" s="308">
        <v>0</v>
      </c>
      <c r="AS430" s="308">
        <f t="shared" si="413"/>
        <v>0</v>
      </c>
      <c r="AT430" s="308">
        <v>0</v>
      </c>
      <c r="AU430" s="308">
        <f t="shared" si="414"/>
        <v>0</v>
      </c>
      <c r="AV430" s="308">
        <v>0</v>
      </c>
      <c r="AW430" s="308">
        <f t="shared" si="415"/>
        <v>0</v>
      </c>
      <c r="AX430" s="308">
        <v>0</v>
      </c>
      <c r="AY430" s="308">
        <f t="shared" si="416"/>
        <v>0</v>
      </c>
      <c r="AZ430" s="309">
        <v>0</v>
      </c>
      <c r="BA430" s="308">
        <f t="shared" si="417"/>
        <v>0</v>
      </c>
      <c r="BB430" s="331">
        <v>0</v>
      </c>
      <c r="BC430" s="308">
        <f t="shared" si="418"/>
        <v>0</v>
      </c>
    </row>
    <row r="431" spans="1:55">
      <c r="A431" s="301" t="s">
        <v>50</v>
      </c>
      <c r="B431" s="308">
        <f>'Monthly D5 Gallon Data'!$U11</f>
        <v>0</v>
      </c>
      <c r="C431" s="308">
        <f>'Monthly D5 Gallon Data'!$U23</f>
        <v>0</v>
      </c>
      <c r="D431" s="308">
        <f>'Monthly D5 Gallon Data'!$U35</f>
        <v>0</v>
      </c>
      <c r="E431" s="308">
        <f>'Monthly D5 Gallon Data'!$U47</f>
        <v>0</v>
      </c>
      <c r="F431" s="308">
        <f>'Monthly D5 Gallon Data'!$U59</f>
        <v>0</v>
      </c>
      <c r="G431" s="308">
        <f>'Monthly D5 Gallon Data'!$U71</f>
        <v>0</v>
      </c>
      <c r="H431" s="308">
        <f>'Monthly D5 Gallon Data'!$U83</f>
        <v>0</v>
      </c>
      <c r="I431" s="308">
        <f>'Monthly D5 Gallon Data'!$U95</f>
        <v>0</v>
      </c>
      <c r="J431" s="308">
        <f>'Monthly D5 Gallon Data'!$U107</f>
        <v>0</v>
      </c>
      <c r="K431" s="308">
        <f>'Monthly D5 Gallon Data'!$U119</f>
        <v>0</v>
      </c>
      <c r="L431" s="308">
        <v>0</v>
      </c>
      <c r="M431" s="308">
        <f>'Monthly D5 Gallon Data'!$U143</f>
        <v>0</v>
      </c>
      <c r="N431" s="308">
        <f>'Monthly D5 Gallon Data'!$U155</f>
        <v>0</v>
      </c>
      <c r="O431" s="308">
        <f>'Monthly D5 Gallon Data'!$U167</f>
        <v>0</v>
      </c>
      <c r="P431" s="308">
        <f>'Monthly D5 Gallon Data'!$U179</f>
        <v>0</v>
      </c>
      <c r="Q431" s="307">
        <v>0</v>
      </c>
      <c r="R431" s="307">
        <v>0</v>
      </c>
      <c r="S431" s="307">
        <v>0</v>
      </c>
      <c r="T431" s="307">
        <v>0</v>
      </c>
      <c r="U431" s="307">
        <v>0</v>
      </c>
      <c r="V431" s="307">
        <v>0</v>
      </c>
      <c r="W431" s="307">
        <v>0</v>
      </c>
      <c r="X431" s="307">
        <v>0</v>
      </c>
      <c r="Y431" s="307">
        <v>0</v>
      </c>
      <c r="Z431" s="307">
        <v>0</v>
      </c>
      <c r="AA431" s="307">
        <v>0</v>
      </c>
      <c r="AB431" s="307">
        <v>0</v>
      </c>
      <c r="AC431" s="307">
        <v>0</v>
      </c>
      <c r="AD431" s="307">
        <v>0</v>
      </c>
      <c r="AE431" s="307">
        <v>0</v>
      </c>
      <c r="AF431" s="307">
        <v>0</v>
      </c>
      <c r="AG431" s="307">
        <v>0</v>
      </c>
      <c r="AH431" s="307">
        <v>0</v>
      </c>
      <c r="AI431" s="307">
        <v>0</v>
      </c>
      <c r="AJ431" s="307">
        <v>0</v>
      </c>
      <c r="AK431" s="307">
        <v>0</v>
      </c>
      <c r="AL431" s="307">
        <v>0</v>
      </c>
      <c r="AM431" s="307">
        <v>0</v>
      </c>
      <c r="AN431" s="307">
        <v>0</v>
      </c>
      <c r="AO431" s="307">
        <v>0</v>
      </c>
      <c r="AP431" s="307">
        <v>0</v>
      </c>
      <c r="AR431" s="308">
        <v>0</v>
      </c>
      <c r="AS431" s="308">
        <f t="shared" si="413"/>
        <v>0</v>
      </c>
      <c r="AT431" s="308">
        <v>0</v>
      </c>
      <c r="AU431" s="308">
        <f t="shared" si="414"/>
        <v>0</v>
      </c>
      <c r="AV431" s="308">
        <v>0</v>
      </c>
      <c r="AW431" s="308">
        <f t="shared" si="415"/>
        <v>0</v>
      </c>
      <c r="AX431" s="308">
        <v>0</v>
      </c>
      <c r="AY431" s="308">
        <f t="shared" si="416"/>
        <v>0</v>
      </c>
      <c r="AZ431" s="309">
        <v>0</v>
      </c>
      <c r="BA431" s="308">
        <f t="shared" si="417"/>
        <v>0</v>
      </c>
      <c r="BB431" s="331">
        <v>0</v>
      </c>
      <c r="BC431" s="308">
        <f t="shared" si="418"/>
        <v>0</v>
      </c>
    </row>
    <row r="432" spans="1:55">
      <c r="A432" s="301" t="s">
        <v>51</v>
      </c>
      <c r="B432" s="308">
        <f>'Monthly D5 Gallon Data'!$U12</f>
        <v>0</v>
      </c>
      <c r="C432" s="308">
        <f>'Monthly D5 Gallon Data'!$U24</f>
        <v>0</v>
      </c>
      <c r="D432" s="308">
        <f>'Monthly D5 Gallon Data'!$U36</f>
        <v>0</v>
      </c>
      <c r="E432" s="308">
        <f>'Monthly D5 Gallon Data'!$U48</f>
        <v>0</v>
      </c>
      <c r="F432" s="308">
        <f>'Monthly D5 Gallon Data'!$U60</f>
        <v>0</v>
      </c>
      <c r="G432" s="308">
        <f>'Monthly D5 Gallon Data'!$U72</f>
        <v>0</v>
      </c>
      <c r="H432" s="308">
        <f>'Monthly D5 Gallon Data'!$U84</f>
        <v>0</v>
      </c>
      <c r="I432" s="308">
        <f>'Monthly D5 Gallon Data'!$U96</f>
        <v>0</v>
      </c>
      <c r="J432" s="308">
        <f>'Monthly D5 Gallon Data'!$U108</f>
        <v>0</v>
      </c>
      <c r="K432" s="308">
        <f>'Monthly D5 Gallon Data'!$U120</f>
        <v>0</v>
      </c>
      <c r="L432" s="308">
        <v>0</v>
      </c>
      <c r="M432" s="308">
        <f>'Monthly D5 Gallon Data'!$U144</f>
        <v>0</v>
      </c>
      <c r="N432" s="308">
        <f>'Monthly D5 Gallon Data'!$U156</f>
        <v>0</v>
      </c>
      <c r="O432" s="308">
        <f>'Monthly D5 Gallon Data'!$U168</f>
        <v>0</v>
      </c>
      <c r="P432" s="308">
        <f>'Monthly D5 Gallon Data'!$U180</f>
        <v>0</v>
      </c>
      <c r="Q432" s="307">
        <v>0</v>
      </c>
      <c r="R432" s="307">
        <v>0</v>
      </c>
      <c r="S432" s="307">
        <v>0</v>
      </c>
      <c r="T432" s="307">
        <v>0</v>
      </c>
      <c r="U432" s="307">
        <v>0</v>
      </c>
      <c r="V432" s="307">
        <v>0</v>
      </c>
      <c r="W432" s="307">
        <v>0</v>
      </c>
      <c r="X432" s="307">
        <v>0</v>
      </c>
      <c r="Y432" s="307">
        <v>0</v>
      </c>
      <c r="Z432" s="307">
        <v>0</v>
      </c>
      <c r="AA432" s="307">
        <v>0</v>
      </c>
      <c r="AB432" s="307">
        <v>0</v>
      </c>
      <c r="AC432" s="307">
        <v>0</v>
      </c>
      <c r="AD432" s="307">
        <v>0</v>
      </c>
      <c r="AE432" s="307">
        <v>0</v>
      </c>
      <c r="AF432" s="307">
        <v>0</v>
      </c>
      <c r="AG432" s="307">
        <v>0</v>
      </c>
      <c r="AH432" s="307">
        <v>0</v>
      </c>
      <c r="AI432" s="307">
        <v>0</v>
      </c>
      <c r="AJ432" s="307">
        <v>0</v>
      </c>
      <c r="AK432" s="307">
        <v>0</v>
      </c>
      <c r="AL432" s="307">
        <v>0</v>
      </c>
      <c r="AM432" s="307">
        <v>0</v>
      </c>
      <c r="AN432" s="307">
        <v>0</v>
      </c>
      <c r="AO432" s="307">
        <v>0</v>
      </c>
      <c r="AP432" s="307">
        <v>0</v>
      </c>
      <c r="AR432" s="308">
        <v>0</v>
      </c>
      <c r="AS432" s="308">
        <f t="shared" si="413"/>
        <v>0</v>
      </c>
      <c r="AT432" s="308">
        <v>0</v>
      </c>
      <c r="AU432" s="308">
        <f t="shared" si="414"/>
        <v>0</v>
      </c>
      <c r="AV432" s="308">
        <v>0</v>
      </c>
      <c r="AW432" s="308">
        <f t="shared" si="415"/>
        <v>0</v>
      </c>
      <c r="AX432" s="308">
        <v>0</v>
      </c>
      <c r="AY432" s="308">
        <f t="shared" si="416"/>
        <v>0</v>
      </c>
      <c r="AZ432" s="309">
        <v>0</v>
      </c>
      <c r="BA432" s="308">
        <f t="shared" si="417"/>
        <v>0</v>
      </c>
      <c r="BB432" s="331">
        <v>0</v>
      </c>
      <c r="BC432" s="308">
        <f t="shared" si="418"/>
        <v>0</v>
      </c>
    </row>
    <row r="433" spans="1:55">
      <c r="A433" s="301" t="s">
        <v>52</v>
      </c>
      <c r="B433" s="308">
        <f>'Monthly D5 Gallon Data'!$U13</f>
        <v>0</v>
      </c>
      <c r="C433" s="308">
        <f>'Monthly D5 Gallon Data'!$U25</f>
        <v>0</v>
      </c>
      <c r="D433" s="308">
        <f>'Monthly D5 Gallon Data'!$U37</f>
        <v>0</v>
      </c>
      <c r="E433" s="308">
        <f>'Monthly D5 Gallon Data'!$U49</f>
        <v>0</v>
      </c>
      <c r="F433" s="308">
        <f>'Monthly D5 Gallon Data'!$U61</f>
        <v>0</v>
      </c>
      <c r="G433" s="308">
        <f>'Monthly D5 Gallon Data'!$U73</f>
        <v>0</v>
      </c>
      <c r="H433" s="308">
        <f>'Monthly D5 Gallon Data'!$U85</f>
        <v>0</v>
      </c>
      <c r="I433" s="308">
        <f>'Monthly D5 Gallon Data'!$U97</f>
        <v>0</v>
      </c>
      <c r="J433" s="308">
        <f>'Monthly D5 Gallon Data'!$U109</f>
        <v>0</v>
      </c>
      <c r="K433" s="308">
        <f>'Monthly D5 Gallon Data'!$U121</f>
        <v>0</v>
      </c>
      <c r="L433" s="308">
        <v>0</v>
      </c>
      <c r="M433" s="308">
        <f>'Monthly D5 Gallon Data'!$U145</f>
        <v>0</v>
      </c>
      <c r="N433" s="308">
        <f>'Monthly D5 Gallon Data'!$U157</f>
        <v>0</v>
      </c>
      <c r="O433" s="308">
        <f>'Monthly D5 Gallon Data'!$U169</f>
        <v>0</v>
      </c>
      <c r="P433" s="308">
        <f>'Monthly D5 Gallon Data'!$U181</f>
        <v>0</v>
      </c>
      <c r="Q433" s="307">
        <v>0</v>
      </c>
      <c r="R433" s="307">
        <v>0</v>
      </c>
      <c r="S433" s="307">
        <v>0</v>
      </c>
      <c r="T433" s="307">
        <v>0</v>
      </c>
      <c r="U433" s="307">
        <v>0</v>
      </c>
      <c r="V433" s="307">
        <v>0</v>
      </c>
      <c r="W433" s="307">
        <v>0</v>
      </c>
      <c r="X433" s="307">
        <v>0</v>
      </c>
      <c r="Y433" s="307">
        <v>0</v>
      </c>
      <c r="Z433" s="307">
        <v>0</v>
      </c>
      <c r="AA433" s="307">
        <v>0</v>
      </c>
      <c r="AB433" s="307">
        <v>0</v>
      </c>
      <c r="AC433" s="307">
        <v>0</v>
      </c>
      <c r="AD433" s="307">
        <v>0</v>
      </c>
      <c r="AE433" s="307">
        <v>0</v>
      </c>
      <c r="AF433" s="307">
        <v>0</v>
      </c>
      <c r="AG433" s="307">
        <v>0</v>
      </c>
      <c r="AH433" s="307">
        <v>0</v>
      </c>
      <c r="AI433" s="307">
        <v>0</v>
      </c>
      <c r="AJ433" s="307">
        <v>0</v>
      </c>
      <c r="AK433" s="307">
        <v>0</v>
      </c>
      <c r="AL433" s="307">
        <v>0</v>
      </c>
      <c r="AM433" s="307">
        <v>0</v>
      </c>
      <c r="AN433" s="307">
        <v>0</v>
      </c>
      <c r="AO433" s="307">
        <v>0</v>
      </c>
      <c r="AP433" s="307">
        <v>0</v>
      </c>
      <c r="AR433" s="308">
        <v>0</v>
      </c>
      <c r="AS433" s="308">
        <f t="shared" si="413"/>
        <v>0</v>
      </c>
      <c r="AT433" s="308">
        <v>0</v>
      </c>
      <c r="AU433" s="308">
        <f t="shared" si="414"/>
        <v>0</v>
      </c>
      <c r="AV433" s="308">
        <v>0</v>
      </c>
      <c r="AW433" s="308">
        <f t="shared" si="415"/>
        <v>0</v>
      </c>
      <c r="AX433" s="308">
        <v>0</v>
      </c>
      <c r="AY433" s="308">
        <f t="shared" si="416"/>
        <v>0</v>
      </c>
      <c r="AZ433" s="309">
        <v>0</v>
      </c>
      <c r="BA433" s="308">
        <f t="shared" si="417"/>
        <v>0</v>
      </c>
      <c r="BB433" s="331">
        <v>0</v>
      </c>
      <c r="BC433" s="308">
        <f t="shared" si="418"/>
        <v>0</v>
      </c>
    </row>
    <row r="434" spans="1:55">
      <c r="A434" s="301" t="s">
        <v>53</v>
      </c>
      <c r="B434" s="308">
        <f>'Monthly D5 Gallon Data'!$U14</f>
        <v>0</v>
      </c>
      <c r="C434" s="308">
        <f>'Monthly D5 Gallon Data'!$U26</f>
        <v>0</v>
      </c>
      <c r="D434" s="308">
        <f>'Monthly D5 Gallon Data'!$U38</f>
        <v>0</v>
      </c>
      <c r="E434" s="308">
        <f>'Monthly D5 Gallon Data'!$U50</f>
        <v>0</v>
      </c>
      <c r="F434" s="308">
        <f>'Monthly D5 Gallon Data'!$U62</f>
        <v>0</v>
      </c>
      <c r="G434" s="308">
        <f>'Monthly D5 Gallon Data'!$U74</f>
        <v>0</v>
      </c>
      <c r="H434" s="308">
        <f>'Monthly D5 Gallon Data'!$U86</f>
        <v>0</v>
      </c>
      <c r="I434" s="308">
        <f>'Monthly D5 Gallon Data'!$U98</f>
        <v>0</v>
      </c>
      <c r="J434" s="308">
        <f>'Monthly D5 Gallon Data'!$U110</f>
        <v>0</v>
      </c>
      <c r="K434" s="308">
        <f>'Monthly D5 Gallon Data'!$U122</f>
        <v>0</v>
      </c>
      <c r="L434" s="308">
        <v>0</v>
      </c>
      <c r="M434" s="308">
        <f>'Monthly D5 Gallon Data'!$U146</f>
        <v>0</v>
      </c>
      <c r="N434" s="308">
        <f>'Monthly D5 Gallon Data'!$U158</f>
        <v>0</v>
      </c>
      <c r="O434" s="308">
        <f>'Monthly D5 Gallon Data'!$U170</f>
        <v>0</v>
      </c>
      <c r="P434" s="308">
        <f>'Monthly D5 Gallon Data'!$U182</f>
        <v>0</v>
      </c>
      <c r="Q434" s="307">
        <v>0</v>
      </c>
      <c r="R434" s="307">
        <v>0</v>
      </c>
      <c r="S434" s="307">
        <v>0</v>
      </c>
      <c r="T434" s="307">
        <v>0</v>
      </c>
      <c r="U434" s="307">
        <v>0</v>
      </c>
      <c r="V434" s="307">
        <v>0</v>
      </c>
      <c r="W434" s="307">
        <v>0</v>
      </c>
      <c r="X434" s="307">
        <v>0</v>
      </c>
      <c r="Y434" s="307">
        <v>0</v>
      </c>
      <c r="Z434" s="307">
        <v>0</v>
      </c>
      <c r="AA434" s="307">
        <v>0</v>
      </c>
      <c r="AB434" s="307">
        <v>0</v>
      </c>
      <c r="AC434" s="307">
        <v>0</v>
      </c>
      <c r="AD434" s="307">
        <v>0</v>
      </c>
      <c r="AE434" s="307">
        <v>0</v>
      </c>
      <c r="AF434" s="307">
        <v>0</v>
      </c>
      <c r="AG434" s="307">
        <v>0</v>
      </c>
      <c r="AH434" s="307">
        <v>0</v>
      </c>
      <c r="AI434" s="307">
        <v>0</v>
      </c>
      <c r="AJ434" s="307">
        <v>0</v>
      </c>
      <c r="AK434" s="307">
        <v>0</v>
      </c>
      <c r="AL434" s="307">
        <v>0</v>
      </c>
      <c r="AM434" s="307">
        <v>0</v>
      </c>
      <c r="AN434" s="307">
        <v>0</v>
      </c>
      <c r="AO434" s="307">
        <v>0</v>
      </c>
      <c r="AP434" s="307">
        <v>0</v>
      </c>
      <c r="AR434" s="308">
        <v>0</v>
      </c>
      <c r="AS434" s="308">
        <f t="shared" si="413"/>
        <v>0</v>
      </c>
      <c r="AT434" s="308">
        <v>0</v>
      </c>
      <c r="AU434" s="308">
        <f t="shared" si="414"/>
        <v>0</v>
      </c>
      <c r="AV434" s="308">
        <v>0</v>
      </c>
      <c r="AW434" s="308">
        <f t="shared" si="415"/>
        <v>0</v>
      </c>
      <c r="AX434" s="309">
        <v>0</v>
      </c>
      <c r="AY434" s="308">
        <f t="shared" si="416"/>
        <v>0</v>
      </c>
      <c r="AZ434" s="309">
        <v>0</v>
      </c>
      <c r="BA434" s="308">
        <f t="shared" si="417"/>
        <v>0</v>
      </c>
      <c r="BB434" s="331">
        <v>0</v>
      </c>
      <c r="BC434" s="308">
        <f t="shared" si="418"/>
        <v>0</v>
      </c>
    </row>
    <row r="435" spans="1:55">
      <c r="A435" s="301" t="s">
        <v>54</v>
      </c>
      <c r="B435" s="308">
        <f>'Monthly D5 Gallon Data'!$U15</f>
        <v>0</v>
      </c>
      <c r="C435" s="308">
        <f>'Monthly D5 Gallon Data'!$U27</f>
        <v>0</v>
      </c>
      <c r="D435" s="308">
        <f>'Monthly D5 Gallon Data'!$U39</f>
        <v>0</v>
      </c>
      <c r="E435" s="308">
        <f>'Monthly D5 Gallon Data'!$U51</f>
        <v>0</v>
      </c>
      <c r="F435" s="308">
        <f>'Monthly D5 Gallon Data'!$U63</f>
        <v>0</v>
      </c>
      <c r="G435" s="308">
        <f>'Monthly D5 Gallon Data'!$U75</f>
        <v>0</v>
      </c>
      <c r="H435" s="308">
        <f>'Monthly D5 Gallon Data'!$U87</f>
        <v>0</v>
      </c>
      <c r="I435" s="308">
        <f>'Monthly D5 Gallon Data'!$U99</f>
        <v>0</v>
      </c>
      <c r="J435" s="308">
        <f>'Monthly D5 Gallon Data'!$U111</f>
        <v>0</v>
      </c>
      <c r="K435" s="308">
        <f>'Monthly D5 Gallon Data'!$U123</f>
        <v>0</v>
      </c>
      <c r="L435" s="308">
        <v>0</v>
      </c>
      <c r="M435" s="308">
        <f>'Monthly D5 Gallon Data'!$U147</f>
        <v>0</v>
      </c>
      <c r="N435" s="308">
        <f>'Monthly D5 Gallon Data'!$U159</f>
        <v>0</v>
      </c>
      <c r="O435" s="308">
        <f>'Monthly D5 Gallon Data'!$U171</f>
        <v>0</v>
      </c>
      <c r="P435" s="308">
        <f>'Monthly D5 Gallon Data'!$U183</f>
        <v>0</v>
      </c>
      <c r="Q435" s="307">
        <v>0</v>
      </c>
      <c r="R435" s="307">
        <v>0</v>
      </c>
      <c r="S435" s="307">
        <v>0</v>
      </c>
      <c r="T435" s="307">
        <v>0</v>
      </c>
      <c r="U435" s="307">
        <v>0</v>
      </c>
      <c r="V435" s="307">
        <v>0</v>
      </c>
      <c r="W435" s="307">
        <v>0</v>
      </c>
      <c r="X435" s="307">
        <v>0</v>
      </c>
      <c r="Y435" s="307">
        <v>0</v>
      </c>
      <c r="Z435" s="307">
        <v>0</v>
      </c>
      <c r="AA435" s="307">
        <v>0</v>
      </c>
      <c r="AB435" s="307">
        <v>0</v>
      </c>
      <c r="AC435" s="307">
        <v>0</v>
      </c>
      <c r="AD435" s="307">
        <v>0</v>
      </c>
      <c r="AE435" s="307">
        <v>0</v>
      </c>
      <c r="AF435" s="307">
        <v>0</v>
      </c>
      <c r="AG435" s="307">
        <v>0</v>
      </c>
      <c r="AH435" s="307">
        <v>0</v>
      </c>
      <c r="AI435" s="307">
        <v>0</v>
      </c>
      <c r="AJ435" s="307">
        <v>0</v>
      </c>
      <c r="AK435" s="307">
        <v>0</v>
      </c>
      <c r="AL435" s="307">
        <v>0</v>
      </c>
      <c r="AM435" s="307">
        <v>0</v>
      </c>
      <c r="AN435" s="307">
        <v>0</v>
      </c>
      <c r="AO435" s="307">
        <v>0</v>
      </c>
      <c r="AP435" s="307">
        <v>0</v>
      </c>
      <c r="AR435" s="308">
        <v>0</v>
      </c>
      <c r="AS435" s="308">
        <f t="shared" si="413"/>
        <v>0</v>
      </c>
      <c r="AT435" s="308">
        <v>0</v>
      </c>
      <c r="AU435" s="308">
        <f t="shared" si="414"/>
        <v>0</v>
      </c>
      <c r="AV435" s="308">
        <v>0</v>
      </c>
      <c r="AW435" s="308">
        <f t="shared" si="415"/>
        <v>0</v>
      </c>
      <c r="AX435" s="309">
        <v>0</v>
      </c>
      <c r="AY435" s="308">
        <f t="shared" si="416"/>
        <v>0</v>
      </c>
      <c r="AZ435" s="309">
        <v>0</v>
      </c>
      <c r="BA435" s="308">
        <f t="shared" si="417"/>
        <v>0</v>
      </c>
      <c r="BB435" s="331">
        <v>0</v>
      </c>
      <c r="BC435" s="308">
        <f t="shared" si="418"/>
        <v>0</v>
      </c>
    </row>
    <row r="436" spans="1:55" ht="12" thickBot="1">
      <c r="A436" s="301" t="s">
        <v>29</v>
      </c>
      <c r="B436" s="308">
        <f t="shared" ref="B436:AD436" si="419">SUM(B424:B435)</f>
        <v>0</v>
      </c>
      <c r="C436" s="308">
        <f t="shared" si="419"/>
        <v>0</v>
      </c>
      <c r="D436" s="308">
        <f t="shared" si="419"/>
        <v>0</v>
      </c>
      <c r="E436" s="308">
        <f t="shared" si="419"/>
        <v>0</v>
      </c>
      <c r="F436" s="308">
        <f t="shared" si="419"/>
        <v>0</v>
      </c>
      <c r="G436" s="308">
        <f t="shared" si="419"/>
        <v>0</v>
      </c>
      <c r="H436" s="308">
        <f t="shared" si="419"/>
        <v>0</v>
      </c>
      <c r="I436" s="308">
        <f t="shared" si="419"/>
        <v>0</v>
      </c>
      <c r="J436" s="308">
        <f t="shared" si="419"/>
        <v>0</v>
      </c>
      <c r="K436" s="308">
        <f t="shared" si="419"/>
        <v>0</v>
      </c>
      <c r="L436" s="308">
        <f t="shared" si="419"/>
        <v>0</v>
      </c>
      <c r="M436" s="308">
        <f t="shared" si="419"/>
        <v>0</v>
      </c>
      <c r="N436" s="308">
        <f t="shared" si="419"/>
        <v>0</v>
      </c>
      <c r="O436" s="308">
        <f t="shared" si="419"/>
        <v>0</v>
      </c>
      <c r="P436" s="308">
        <f t="shared" si="419"/>
        <v>0</v>
      </c>
      <c r="Q436" s="307">
        <f t="shared" si="419"/>
        <v>0</v>
      </c>
      <c r="R436" s="307">
        <f t="shared" si="419"/>
        <v>0</v>
      </c>
      <c r="S436" s="307">
        <f t="shared" si="419"/>
        <v>0</v>
      </c>
      <c r="T436" s="307">
        <f t="shared" si="419"/>
        <v>0</v>
      </c>
      <c r="U436" s="307">
        <f t="shared" si="419"/>
        <v>0</v>
      </c>
      <c r="V436" s="307">
        <f t="shared" si="419"/>
        <v>0</v>
      </c>
      <c r="W436" s="307">
        <f t="shared" si="419"/>
        <v>0</v>
      </c>
      <c r="X436" s="307">
        <f t="shared" si="419"/>
        <v>0</v>
      </c>
      <c r="Y436" s="307">
        <f t="shared" si="419"/>
        <v>0</v>
      </c>
      <c r="Z436" s="307">
        <f t="shared" si="419"/>
        <v>0</v>
      </c>
      <c r="AA436" s="307">
        <f t="shared" si="419"/>
        <v>0</v>
      </c>
      <c r="AB436" s="307">
        <f t="shared" si="419"/>
        <v>0</v>
      </c>
      <c r="AC436" s="307">
        <f t="shared" si="419"/>
        <v>0</v>
      </c>
      <c r="AD436" s="307">
        <f t="shared" si="419"/>
        <v>0</v>
      </c>
      <c r="AE436" s="307">
        <f>SUM(AE424:AE435)</f>
        <v>0</v>
      </c>
      <c r="AF436" s="307">
        <f>SUM(AF424:AF435)</f>
        <v>0</v>
      </c>
      <c r="AG436" s="307">
        <f>SUM(AG424:AG435)</f>
        <v>0</v>
      </c>
      <c r="AH436" s="307">
        <f t="shared" ref="AH436:AP436" si="420">SUM(AH424:AH435)</f>
        <v>0</v>
      </c>
      <c r="AI436" s="307">
        <f t="shared" si="420"/>
        <v>0</v>
      </c>
      <c r="AJ436" s="307">
        <f t="shared" si="420"/>
        <v>0</v>
      </c>
      <c r="AK436" s="307">
        <f t="shared" si="420"/>
        <v>0</v>
      </c>
      <c r="AL436" s="307">
        <f t="shared" si="420"/>
        <v>0</v>
      </c>
      <c r="AM436" s="307">
        <f t="shared" si="420"/>
        <v>0</v>
      </c>
      <c r="AN436" s="307">
        <f t="shared" si="420"/>
        <v>0</v>
      </c>
      <c r="AO436" s="307">
        <f t="shared" si="420"/>
        <v>0</v>
      </c>
      <c r="AP436" s="307">
        <f t="shared" si="420"/>
        <v>0</v>
      </c>
      <c r="AR436" s="308">
        <v>0</v>
      </c>
      <c r="AS436" s="308">
        <f t="shared" si="413"/>
        <v>0</v>
      </c>
      <c r="AT436" s="308">
        <v>0</v>
      </c>
      <c r="AU436" s="308">
        <f t="shared" si="414"/>
        <v>0</v>
      </c>
      <c r="AV436" s="308">
        <v>0</v>
      </c>
      <c r="AW436" s="308">
        <f t="shared" si="415"/>
        <v>0</v>
      </c>
      <c r="AX436" s="309">
        <v>0</v>
      </c>
      <c r="AY436" s="308">
        <f t="shared" si="416"/>
        <v>0</v>
      </c>
      <c r="AZ436" s="309">
        <v>0</v>
      </c>
      <c r="BA436" s="308">
        <f t="shared" si="417"/>
        <v>0</v>
      </c>
      <c r="BB436" s="331">
        <v>0</v>
      </c>
      <c r="BC436" s="308">
        <f t="shared" si="418"/>
        <v>0</v>
      </c>
    </row>
    <row r="437" spans="1:55">
      <c r="A437" s="334"/>
      <c r="B437" s="334"/>
      <c r="C437" s="334"/>
      <c r="D437" s="334"/>
      <c r="E437" s="334"/>
      <c r="F437" s="334"/>
      <c r="G437" s="334"/>
      <c r="H437" s="334"/>
      <c r="I437" s="334"/>
      <c r="J437" s="334"/>
      <c r="K437" s="334"/>
      <c r="L437" s="334"/>
      <c r="M437" s="334"/>
      <c r="N437" s="334"/>
      <c r="O437" s="334"/>
      <c r="P437" s="334"/>
      <c r="Q437" s="334"/>
      <c r="R437" s="334"/>
      <c r="S437" s="334"/>
      <c r="T437" s="334"/>
      <c r="U437" s="334"/>
      <c r="V437" s="334"/>
      <c r="W437" s="334"/>
      <c r="X437" s="334"/>
      <c r="Y437" s="334"/>
      <c r="Z437" s="334"/>
      <c r="AA437" s="334"/>
      <c r="AB437" s="334"/>
      <c r="AC437" s="334"/>
      <c r="AD437" s="334"/>
      <c r="AE437" s="334"/>
      <c r="AF437" s="334"/>
      <c r="AG437" s="334"/>
      <c r="AH437" s="334"/>
      <c r="AI437" s="334"/>
      <c r="AJ437" s="334"/>
      <c r="AK437" s="334"/>
      <c r="AL437" s="334"/>
      <c r="AM437" s="334"/>
      <c r="AN437" s="334"/>
      <c r="AO437" s="334"/>
      <c r="AP437" s="334"/>
    </row>
  </sheetData>
  <mergeCells count="1">
    <mergeCell ref="AZ32:AZ3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E3966-616D-4289-AF06-420E4CA980B3}">
  <sheetPr>
    <tabColor theme="2" tint="-0.499984740745262"/>
  </sheetPr>
  <dimension ref="A1:BE186"/>
  <sheetViews>
    <sheetView zoomScaleNormal="100" workbookViewId="0">
      <pane xSplit="1" ySplit="3" topLeftCell="AG168"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3.5"/>
  <cols>
    <col min="1" max="1" width="9.5703125" style="14" bestFit="1" customWidth="1"/>
    <col min="2" max="53" width="14.28515625" style="14" customWidth="1"/>
    <col min="54" max="54" width="9" style="14" bestFit="1" customWidth="1"/>
    <col min="55" max="55" width="8.85546875" style="14"/>
    <col min="56" max="56" width="11.42578125" style="14" customWidth="1"/>
    <col min="57" max="57" width="11.7109375" style="14" bestFit="1" customWidth="1"/>
    <col min="58" max="58" width="9" style="14" bestFit="1" customWidth="1"/>
    <col min="59" max="16384" width="8.85546875" style="14"/>
  </cols>
  <sheetData>
    <row r="1" spans="1:53" ht="15.75">
      <c r="A1" s="123"/>
      <c r="B1" s="530" t="s">
        <v>459</v>
      </c>
      <c r="C1" s="531"/>
      <c r="D1" s="531"/>
      <c r="E1" s="531"/>
      <c r="F1" s="531"/>
      <c r="G1" s="531"/>
      <c r="H1" s="531"/>
      <c r="I1" s="531"/>
      <c r="J1" s="531"/>
      <c r="K1" s="531"/>
      <c r="L1" s="531"/>
      <c r="M1" s="531"/>
      <c r="N1" s="531"/>
      <c r="O1" s="531"/>
      <c r="P1" s="531"/>
      <c r="Q1" s="531"/>
      <c r="R1" s="531"/>
      <c r="S1" s="531"/>
      <c r="T1" s="531"/>
      <c r="U1" s="531"/>
      <c r="V1" s="531"/>
      <c r="W1" s="531"/>
      <c r="X1" s="531"/>
      <c r="Y1" s="532"/>
      <c r="Z1" s="337" t="s">
        <v>399</v>
      </c>
      <c r="AA1" s="338"/>
      <c r="AB1" s="339"/>
      <c r="AC1" s="340" t="s">
        <v>460</v>
      </c>
      <c r="AD1" s="340"/>
      <c r="AE1" s="340"/>
      <c r="AF1" s="533" t="s">
        <v>256</v>
      </c>
      <c r="AG1" s="484"/>
      <c r="AH1" s="484"/>
      <c r="AI1" s="484"/>
      <c r="AJ1" s="484"/>
      <c r="AK1" s="484"/>
      <c r="AL1" s="484"/>
      <c r="AM1" s="484"/>
      <c r="AN1" s="484"/>
      <c r="AO1" s="484"/>
      <c r="AP1" s="484"/>
      <c r="AQ1" s="484"/>
      <c r="AR1" s="484"/>
      <c r="AS1" s="484"/>
      <c r="AT1" s="484"/>
      <c r="AU1" s="484"/>
      <c r="AV1" s="484"/>
      <c r="AW1" s="484"/>
      <c r="AX1" s="484"/>
      <c r="AY1" s="484"/>
      <c r="AZ1" s="484"/>
      <c r="BA1" s="485"/>
    </row>
    <row r="2" spans="1:53" ht="15.75">
      <c r="A2" s="123"/>
      <c r="B2" s="486" t="s">
        <v>415</v>
      </c>
      <c r="C2" s="487"/>
      <c r="D2" s="487"/>
      <c r="E2" s="489" t="s">
        <v>283</v>
      </c>
      <c r="F2" s="489"/>
      <c r="G2" s="489"/>
      <c r="H2" s="490" t="s">
        <v>289</v>
      </c>
      <c r="I2" s="490"/>
      <c r="J2" s="490"/>
      <c r="K2" s="534" t="s">
        <v>417</v>
      </c>
      <c r="L2" s="534"/>
      <c r="M2" s="534"/>
      <c r="N2" s="535" t="s">
        <v>461</v>
      </c>
      <c r="O2" s="535"/>
      <c r="P2" s="535"/>
      <c r="Q2" s="536" t="s">
        <v>226</v>
      </c>
      <c r="R2" s="536"/>
      <c r="S2" s="536"/>
      <c r="T2" s="537" t="s">
        <v>422</v>
      </c>
      <c r="U2" s="537"/>
      <c r="V2" s="537"/>
      <c r="W2" s="538" t="s">
        <v>462</v>
      </c>
      <c r="X2" s="538"/>
      <c r="Y2" s="539"/>
      <c r="Z2" s="544" t="s">
        <v>260</v>
      </c>
      <c r="AA2" s="544"/>
      <c r="AB2" s="545"/>
      <c r="AC2" s="546" t="s">
        <v>463</v>
      </c>
      <c r="AD2" s="544"/>
      <c r="AE2" s="545"/>
      <c r="AF2" s="528" t="s">
        <v>415</v>
      </c>
      <c r="AG2" s="494"/>
      <c r="AH2" s="494"/>
      <c r="AI2" s="495" t="s">
        <v>283</v>
      </c>
      <c r="AJ2" s="495"/>
      <c r="AK2" s="495"/>
      <c r="AL2" s="496" t="s">
        <v>289</v>
      </c>
      <c r="AM2" s="496"/>
      <c r="AN2" s="496"/>
      <c r="AO2" s="529" t="s">
        <v>417</v>
      </c>
      <c r="AP2" s="529"/>
      <c r="AQ2" s="529"/>
      <c r="AR2" s="540" t="s">
        <v>464</v>
      </c>
      <c r="AS2" s="540"/>
      <c r="AT2" s="540"/>
      <c r="AU2" s="541" t="s">
        <v>226</v>
      </c>
      <c r="AV2" s="541"/>
      <c r="AW2" s="541"/>
      <c r="AX2" s="542" t="s">
        <v>422</v>
      </c>
      <c r="AY2" s="542"/>
      <c r="AZ2" s="542"/>
      <c r="BA2" s="543" t="s">
        <v>459</v>
      </c>
    </row>
    <row r="3" spans="1:53" ht="16.5" thickBot="1">
      <c r="A3" s="123"/>
      <c r="B3" s="216" t="s">
        <v>260</v>
      </c>
      <c r="C3" s="217" t="s">
        <v>261</v>
      </c>
      <c r="D3" s="217" t="s">
        <v>262</v>
      </c>
      <c r="E3" s="218" t="s">
        <v>260</v>
      </c>
      <c r="F3" s="218" t="s">
        <v>261</v>
      </c>
      <c r="G3" s="218" t="s">
        <v>262</v>
      </c>
      <c r="H3" s="219" t="s">
        <v>260</v>
      </c>
      <c r="I3" s="219" t="s">
        <v>261</v>
      </c>
      <c r="J3" s="219" t="s">
        <v>262</v>
      </c>
      <c r="K3" s="341" t="s">
        <v>260</v>
      </c>
      <c r="L3" s="341" t="s">
        <v>261</v>
      </c>
      <c r="M3" s="341" t="s">
        <v>262</v>
      </c>
      <c r="N3" s="342" t="s">
        <v>260</v>
      </c>
      <c r="O3" s="342" t="s">
        <v>261</v>
      </c>
      <c r="P3" s="342" t="s">
        <v>262</v>
      </c>
      <c r="Q3" s="220" t="s">
        <v>260</v>
      </c>
      <c r="R3" s="220" t="s">
        <v>261</v>
      </c>
      <c r="S3" s="220" t="s">
        <v>262</v>
      </c>
      <c r="T3" s="343" t="s">
        <v>260</v>
      </c>
      <c r="U3" s="343" t="s">
        <v>261</v>
      </c>
      <c r="V3" s="343" t="s">
        <v>262</v>
      </c>
      <c r="W3" s="221" t="s">
        <v>260</v>
      </c>
      <c r="X3" s="221" t="s">
        <v>261</v>
      </c>
      <c r="Y3" s="222" t="s">
        <v>262</v>
      </c>
      <c r="Z3" s="344" t="s">
        <v>410</v>
      </c>
      <c r="AA3" s="344" t="s">
        <v>411</v>
      </c>
      <c r="AB3" s="345" t="s">
        <v>262</v>
      </c>
      <c r="AC3" s="344" t="s">
        <v>465</v>
      </c>
      <c r="AD3" s="344" t="s">
        <v>409</v>
      </c>
      <c r="AE3" s="344" t="s">
        <v>262</v>
      </c>
      <c r="AF3" s="346" t="s">
        <v>260</v>
      </c>
      <c r="AG3" s="230" t="s">
        <v>261</v>
      </c>
      <c r="AH3" s="230" t="s">
        <v>262</v>
      </c>
      <c r="AI3" s="136" t="s">
        <v>260</v>
      </c>
      <c r="AJ3" s="136" t="s">
        <v>261</v>
      </c>
      <c r="AK3" s="136" t="s">
        <v>262</v>
      </c>
      <c r="AL3" s="137" t="s">
        <v>260</v>
      </c>
      <c r="AM3" s="137" t="s">
        <v>261</v>
      </c>
      <c r="AN3" s="137" t="s">
        <v>262</v>
      </c>
      <c r="AO3" s="347" t="s">
        <v>260</v>
      </c>
      <c r="AP3" s="347" t="s">
        <v>261</v>
      </c>
      <c r="AQ3" s="347" t="s">
        <v>262</v>
      </c>
      <c r="AR3" s="231" t="s">
        <v>260</v>
      </c>
      <c r="AS3" s="231" t="s">
        <v>261</v>
      </c>
      <c r="AT3" s="231" t="s">
        <v>262</v>
      </c>
      <c r="AU3" s="232" t="s">
        <v>260</v>
      </c>
      <c r="AV3" s="232" t="s">
        <v>261</v>
      </c>
      <c r="AW3" s="232" t="s">
        <v>262</v>
      </c>
      <c r="AX3" s="348" t="s">
        <v>260</v>
      </c>
      <c r="AY3" s="348" t="s">
        <v>261</v>
      </c>
      <c r="AZ3" s="348" t="s">
        <v>262</v>
      </c>
      <c r="BA3" s="543"/>
    </row>
    <row r="4" spans="1:53" ht="14.25" hidden="1" thickBot="1">
      <c r="A4" s="141">
        <v>40179</v>
      </c>
      <c r="B4" s="143">
        <v>0</v>
      </c>
      <c r="C4" s="143">
        <v>0</v>
      </c>
      <c r="D4" s="143">
        <f>C4+B4</f>
        <v>0</v>
      </c>
      <c r="E4" s="143">
        <f>AB4</f>
        <v>0</v>
      </c>
      <c r="F4" s="143">
        <v>0</v>
      </c>
      <c r="G4" s="143">
        <f>F4+E4</f>
        <v>0</v>
      </c>
      <c r="H4" s="143">
        <v>0</v>
      </c>
      <c r="I4" s="143">
        <v>0</v>
      </c>
      <c r="J4" s="143">
        <f>I4+H4</f>
        <v>0</v>
      </c>
      <c r="K4" s="143">
        <v>0</v>
      </c>
      <c r="L4" s="143">
        <v>0</v>
      </c>
      <c r="M4" s="143">
        <f>L4+K4</f>
        <v>0</v>
      </c>
      <c r="N4" s="143">
        <f>AE4</f>
        <v>0</v>
      </c>
      <c r="O4" s="143">
        <v>0</v>
      </c>
      <c r="P4" s="143">
        <f>O4+N4</f>
        <v>0</v>
      </c>
      <c r="Q4" s="143">
        <v>0</v>
      </c>
      <c r="R4" s="143">
        <v>0</v>
      </c>
      <c r="S4" s="143">
        <f>R4+Q4</f>
        <v>0</v>
      </c>
      <c r="T4" s="143">
        <v>0</v>
      </c>
      <c r="U4" s="143">
        <v>0</v>
      </c>
      <c r="V4" s="143">
        <f>U4+T4</f>
        <v>0</v>
      </c>
      <c r="W4" s="143">
        <f t="shared" ref="W4:W67" si="0">B4+E4+H4+K4+N4+Q4+T4</f>
        <v>0</v>
      </c>
      <c r="X4" s="143">
        <f>C4+F4+I4+L4+O4+R4</f>
        <v>0</v>
      </c>
      <c r="Y4" s="237">
        <f>X4+W4</f>
        <v>0</v>
      </c>
      <c r="Z4" s="143">
        <v>0</v>
      </c>
      <c r="AA4" s="143">
        <v>0</v>
      </c>
      <c r="AB4" s="143">
        <f>AA4+Z4</f>
        <v>0</v>
      </c>
      <c r="AC4" s="349">
        <v>0</v>
      </c>
      <c r="AD4" s="143">
        <v>0</v>
      </c>
      <c r="AE4" s="143">
        <f>AD4+AC4</f>
        <v>0</v>
      </c>
      <c r="AF4" s="349">
        <f>B4</f>
        <v>0</v>
      </c>
      <c r="AG4" s="350">
        <f>C4</f>
        <v>0</v>
      </c>
      <c r="AH4" s="350">
        <f>AG4+AF4</f>
        <v>0</v>
      </c>
      <c r="AI4" s="350">
        <f>E4</f>
        <v>0</v>
      </c>
      <c r="AJ4" s="350">
        <f>F4</f>
        <v>0</v>
      </c>
      <c r="AK4" s="350">
        <f>AJ4+AI4</f>
        <v>0</v>
      </c>
      <c r="AL4" s="350">
        <f>H4</f>
        <v>0</v>
      </c>
      <c r="AM4" s="350">
        <f>I4</f>
        <v>0</v>
      </c>
      <c r="AN4" s="350">
        <f>AM4+AL4</f>
        <v>0</v>
      </c>
      <c r="AO4" s="350">
        <f>K4</f>
        <v>0</v>
      </c>
      <c r="AP4" s="350">
        <f>L4</f>
        <v>0</v>
      </c>
      <c r="AQ4" s="350">
        <f>AP4+AO4</f>
        <v>0</v>
      </c>
      <c r="AR4" s="350">
        <f>N4</f>
        <v>0</v>
      </c>
      <c r="AS4" s="350">
        <f>O4</f>
        <v>0</v>
      </c>
      <c r="AT4" s="350">
        <f>AS4+AR4</f>
        <v>0</v>
      </c>
      <c r="AU4" s="350">
        <f>Q4</f>
        <v>0</v>
      </c>
      <c r="AV4" s="350">
        <f>R4</f>
        <v>0</v>
      </c>
      <c r="AW4" s="350">
        <f>AV4+AU4</f>
        <v>0</v>
      </c>
      <c r="AX4" s="350">
        <f>T4</f>
        <v>0</v>
      </c>
      <c r="AY4" s="350">
        <f>U4</f>
        <v>0</v>
      </c>
      <c r="AZ4" s="350">
        <f>SUM(AX4:AY4)</f>
        <v>0</v>
      </c>
      <c r="BA4" s="351">
        <f>AW4+AT4+AQ4+AN4+AK4+AH4+AZ4</f>
        <v>0</v>
      </c>
    </row>
    <row r="5" spans="1:53" ht="14.25" hidden="1" thickBot="1">
      <c r="A5" s="138">
        <v>40210</v>
      </c>
      <c r="B5" s="18">
        <v>0</v>
      </c>
      <c r="C5" s="18">
        <v>0</v>
      </c>
      <c r="D5" s="18">
        <f t="shared" ref="D5:D68" si="1">C5+B5</f>
        <v>0</v>
      </c>
      <c r="E5" s="18">
        <f t="shared" ref="E5:E68" si="2">AB5</f>
        <v>0</v>
      </c>
      <c r="F5" s="18">
        <v>0</v>
      </c>
      <c r="G5" s="18">
        <f t="shared" ref="G5:G68" si="3">F5+E5</f>
        <v>0</v>
      </c>
      <c r="H5" s="18">
        <v>0</v>
      </c>
      <c r="I5" s="18">
        <v>0</v>
      </c>
      <c r="J5" s="18">
        <f t="shared" ref="J5:J68" si="4">I5+H5</f>
        <v>0</v>
      </c>
      <c r="K5" s="18">
        <v>0</v>
      </c>
      <c r="L5" s="18">
        <v>0</v>
      </c>
      <c r="M5" s="18">
        <f t="shared" ref="M5:M68" si="5">L5+K5</f>
        <v>0</v>
      </c>
      <c r="N5" s="18">
        <f t="shared" ref="N5:N68" si="6">AE5</f>
        <v>0</v>
      </c>
      <c r="O5" s="18">
        <v>0</v>
      </c>
      <c r="P5" s="18">
        <f t="shared" ref="P5:P68" si="7">O5+N5</f>
        <v>0</v>
      </c>
      <c r="Q5" s="18">
        <v>0</v>
      </c>
      <c r="R5" s="18">
        <v>0</v>
      </c>
      <c r="S5" s="18">
        <f t="shared" ref="S5:S68" si="8">R5+Q5</f>
        <v>0</v>
      </c>
      <c r="T5" s="18">
        <v>0</v>
      </c>
      <c r="U5" s="18">
        <v>0</v>
      </c>
      <c r="V5" s="18">
        <f t="shared" ref="V5:V15" si="9">U5+T5</f>
        <v>0</v>
      </c>
      <c r="W5" s="18">
        <f t="shared" si="0"/>
        <v>0</v>
      </c>
      <c r="X5" s="18">
        <f t="shared" ref="X5:X68" si="10">C5+F5+I5+L5+O5+R5</f>
        <v>0</v>
      </c>
      <c r="Y5" s="235">
        <f t="shared" ref="Y5:Y68" si="11">X5+W5</f>
        <v>0</v>
      </c>
      <c r="Z5" s="18">
        <v>0</v>
      </c>
      <c r="AA5" s="18">
        <v>0</v>
      </c>
      <c r="AB5" s="18">
        <f t="shared" ref="AB5:AB68" si="12">AA5+Z5</f>
        <v>0</v>
      </c>
      <c r="AC5" s="352">
        <v>0</v>
      </c>
      <c r="AD5" s="18">
        <v>0</v>
      </c>
      <c r="AE5" s="18">
        <f t="shared" ref="AE5:AE68" si="13">AD5+AC5</f>
        <v>0</v>
      </c>
      <c r="AF5" s="352">
        <f>B5+AF4</f>
        <v>0</v>
      </c>
      <c r="AG5" s="353">
        <f>C5+AG4</f>
        <v>0</v>
      </c>
      <c r="AH5" s="353">
        <f>AG5+AF5</f>
        <v>0</v>
      </c>
      <c r="AI5" s="353">
        <f>AI4+E4</f>
        <v>0</v>
      </c>
      <c r="AJ5" s="353">
        <f>AJ4+F5</f>
        <v>0</v>
      </c>
      <c r="AK5" s="353">
        <f>AJ5+AI5</f>
        <v>0</v>
      </c>
      <c r="AL5" s="353">
        <f>AL4+H5</f>
        <v>0</v>
      </c>
      <c r="AM5" s="353">
        <f>AM4+I5</f>
        <v>0</v>
      </c>
      <c r="AN5" s="353">
        <f>AM5+AL5</f>
        <v>0</v>
      </c>
      <c r="AO5" s="353">
        <f>AO4+K5</f>
        <v>0</v>
      </c>
      <c r="AP5" s="353">
        <f>AP4+L5</f>
        <v>0</v>
      </c>
      <c r="AQ5" s="353">
        <f>AP5+AO5</f>
        <v>0</v>
      </c>
      <c r="AR5" s="353">
        <f>AR4+N5</f>
        <v>0</v>
      </c>
      <c r="AS5" s="353">
        <f>AS4+O5</f>
        <v>0</v>
      </c>
      <c r="AT5" s="353">
        <f>AS5+AR5</f>
        <v>0</v>
      </c>
      <c r="AU5" s="353">
        <f>AU4+Q5</f>
        <v>0</v>
      </c>
      <c r="AV5" s="353">
        <f>AV4+R5</f>
        <v>0</v>
      </c>
      <c r="AW5" s="353">
        <f t="shared" ref="AW5:AW15" si="14">AV5+AU5</f>
        <v>0</v>
      </c>
      <c r="AX5" s="353">
        <f>AX4+T5</f>
        <v>0</v>
      </c>
      <c r="AY5" s="353">
        <f>AY4+U5</f>
        <v>0</v>
      </c>
      <c r="AZ5" s="353">
        <f>SUM(AX5:AY5)</f>
        <v>0</v>
      </c>
      <c r="BA5" s="354">
        <f t="shared" ref="BA5:BA15" si="15">AW5+AT5+AQ5+AN5+AK5+AH5+AZ5</f>
        <v>0</v>
      </c>
    </row>
    <row r="6" spans="1:53" ht="14.25" hidden="1" thickBot="1">
      <c r="A6" s="138">
        <v>40238</v>
      </c>
      <c r="B6" s="18">
        <v>0</v>
      </c>
      <c r="C6" s="18">
        <v>0</v>
      </c>
      <c r="D6" s="18">
        <f t="shared" si="1"/>
        <v>0</v>
      </c>
      <c r="E6" s="18">
        <f t="shared" si="2"/>
        <v>0</v>
      </c>
      <c r="F6" s="18">
        <v>0</v>
      </c>
      <c r="G6" s="18">
        <f t="shared" si="3"/>
        <v>0</v>
      </c>
      <c r="H6" s="18">
        <v>0</v>
      </c>
      <c r="I6" s="18">
        <v>0</v>
      </c>
      <c r="J6" s="18">
        <f t="shared" si="4"/>
        <v>0</v>
      </c>
      <c r="K6" s="18">
        <v>0</v>
      </c>
      <c r="L6" s="18">
        <v>0</v>
      </c>
      <c r="M6" s="18">
        <f t="shared" si="5"/>
        <v>0</v>
      </c>
      <c r="N6" s="18">
        <f t="shared" si="6"/>
        <v>0</v>
      </c>
      <c r="O6" s="18">
        <v>0</v>
      </c>
      <c r="P6" s="18">
        <f t="shared" si="7"/>
        <v>0</v>
      </c>
      <c r="Q6" s="18">
        <v>0</v>
      </c>
      <c r="R6" s="18">
        <v>0</v>
      </c>
      <c r="S6" s="18">
        <f t="shared" si="8"/>
        <v>0</v>
      </c>
      <c r="T6" s="18">
        <v>0</v>
      </c>
      <c r="U6" s="18">
        <v>0</v>
      </c>
      <c r="V6" s="18">
        <f t="shared" si="9"/>
        <v>0</v>
      </c>
      <c r="W6" s="18">
        <f t="shared" si="0"/>
        <v>0</v>
      </c>
      <c r="X6" s="18">
        <f t="shared" si="10"/>
        <v>0</v>
      </c>
      <c r="Y6" s="235">
        <f t="shared" si="11"/>
        <v>0</v>
      </c>
      <c r="Z6" s="18">
        <v>0</v>
      </c>
      <c r="AA6" s="18">
        <v>0</v>
      </c>
      <c r="AB6" s="18">
        <f t="shared" si="12"/>
        <v>0</v>
      </c>
      <c r="AC6" s="352">
        <v>0</v>
      </c>
      <c r="AD6" s="18">
        <v>0</v>
      </c>
      <c r="AE6" s="18">
        <f t="shared" si="13"/>
        <v>0</v>
      </c>
      <c r="AF6" s="352">
        <f t="shared" ref="AF6:AG15" si="16">B6+AF5</f>
        <v>0</v>
      </c>
      <c r="AG6" s="353">
        <f t="shared" si="16"/>
        <v>0</v>
      </c>
      <c r="AH6" s="353">
        <f t="shared" ref="AH6:AH15" si="17">AG6+AF6</f>
        <v>0</v>
      </c>
      <c r="AI6" s="353">
        <f t="shared" ref="AI6:AI15" si="18">AI5+E5</f>
        <v>0</v>
      </c>
      <c r="AJ6" s="353">
        <f t="shared" ref="AJ6:AJ15" si="19">AJ5+F6</f>
        <v>0</v>
      </c>
      <c r="AK6" s="353">
        <f t="shared" ref="AK6:AK15" si="20">AJ6+AI6</f>
        <v>0</v>
      </c>
      <c r="AL6" s="353">
        <f t="shared" ref="AL6:AM15" si="21">AL5+H6</f>
        <v>0</v>
      </c>
      <c r="AM6" s="353">
        <f t="shared" si="21"/>
        <v>0</v>
      </c>
      <c r="AN6" s="353">
        <f t="shared" ref="AN6:AN15" si="22">AM6+AL6</f>
        <v>0</v>
      </c>
      <c r="AO6" s="353">
        <f t="shared" ref="AO6:AP15" si="23">AO5+K6</f>
        <v>0</v>
      </c>
      <c r="AP6" s="353">
        <f t="shared" si="23"/>
        <v>0</v>
      </c>
      <c r="AQ6" s="353">
        <f t="shared" ref="AQ6:AQ15" si="24">AP6+AO6</f>
        <v>0</v>
      </c>
      <c r="AR6" s="353">
        <f t="shared" ref="AR6:AS15" si="25">AR5+N6</f>
        <v>0</v>
      </c>
      <c r="AS6" s="353">
        <f t="shared" si="25"/>
        <v>0</v>
      </c>
      <c r="AT6" s="353">
        <f t="shared" ref="AT6:AT15" si="26">AS6+AR6</f>
        <v>0</v>
      </c>
      <c r="AU6" s="353">
        <f t="shared" ref="AU6:AV15" si="27">AU5+Q6</f>
        <v>0</v>
      </c>
      <c r="AV6" s="353">
        <f t="shared" si="27"/>
        <v>0</v>
      </c>
      <c r="AW6" s="353">
        <f t="shared" si="14"/>
        <v>0</v>
      </c>
      <c r="AX6" s="353">
        <f t="shared" ref="AX6:AY15" si="28">AX5+T6</f>
        <v>0</v>
      </c>
      <c r="AY6" s="353">
        <f t="shared" si="28"/>
        <v>0</v>
      </c>
      <c r="AZ6" s="353">
        <f t="shared" ref="AZ6:AZ15" si="29">SUM(AX6:AY6)</f>
        <v>0</v>
      </c>
      <c r="BA6" s="354">
        <f t="shared" si="15"/>
        <v>0</v>
      </c>
    </row>
    <row r="7" spans="1:53" ht="14.25" hidden="1" thickBot="1">
      <c r="A7" s="138">
        <v>40269</v>
      </c>
      <c r="B7" s="18">
        <v>0</v>
      </c>
      <c r="C7" s="18">
        <v>0</v>
      </c>
      <c r="D7" s="18">
        <f t="shared" si="1"/>
        <v>0</v>
      </c>
      <c r="E7" s="18">
        <f t="shared" si="2"/>
        <v>0</v>
      </c>
      <c r="F7" s="18">
        <v>0</v>
      </c>
      <c r="G7" s="18">
        <f t="shared" si="3"/>
        <v>0</v>
      </c>
      <c r="H7" s="18">
        <v>0</v>
      </c>
      <c r="I7" s="18">
        <v>0</v>
      </c>
      <c r="J7" s="18">
        <f t="shared" si="4"/>
        <v>0</v>
      </c>
      <c r="K7" s="18">
        <v>0</v>
      </c>
      <c r="L7" s="18">
        <v>0</v>
      </c>
      <c r="M7" s="18">
        <f t="shared" si="5"/>
        <v>0</v>
      </c>
      <c r="N7" s="18">
        <f t="shared" si="6"/>
        <v>0</v>
      </c>
      <c r="O7" s="18">
        <v>0</v>
      </c>
      <c r="P7" s="18">
        <f t="shared" si="7"/>
        <v>0</v>
      </c>
      <c r="Q7" s="18">
        <v>0</v>
      </c>
      <c r="R7" s="18">
        <v>0</v>
      </c>
      <c r="S7" s="18">
        <f t="shared" si="8"/>
        <v>0</v>
      </c>
      <c r="T7" s="18">
        <v>0</v>
      </c>
      <c r="U7" s="18">
        <v>0</v>
      </c>
      <c r="V7" s="18">
        <f t="shared" si="9"/>
        <v>0</v>
      </c>
      <c r="W7" s="18">
        <f t="shared" si="0"/>
        <v>0</v>
      </c>
      <c r="X7" s="18">
        <f t="shared" si="10"/>
        <v>0</v>
      </c>
      <c r="Y7" s="235">
        <f t="shared" si="11"/>
        <v>0</v>
      </c>
      <c r="Z7" s="18">
        <v>0</v>
      </c>
      <c r="AA7" s="18">
        <v>0</v>
      </c>
      <c r="AB7" s="18">
        <f t="shared" si="12"/>
        <v>0</v>
      </c>
      <c r="AC7" s="352">
        <v>0</v>
      </c>
      <c r="AD7" s="18">
        <v>0</v>
      </c>
      <c r="AE7" s="18">
        <f t="shared" si="13"/>
        <v>0</v>
      </c>
      <c r="AF7" s="352">
        <f t="shared" si="16"/>
        <v>0</v>
      </c>
      <c r="AG7" s="353">
        <f t="shared" si="16"/>
        <v>0</v>
      </c>
      <c r="AH7" s="353">
        <f t="shared" si="17"/>
        <v>0</v>
      </c>
      <c r="AI7" s="353">
        <f t="shared" si="18"/>
        <v>0</v>
      </c>
      <c r="AJ7" s="353">
        <f t="shared" si="19"/>
        <v>0</v>
      </c>
      <c r="AK7" s="353">
        <f t="shared" si="20"/>
        <v>0</v>
      </c>
      <c r="AL7" s="353">
        <f t="shared" si="21"/>
        <v>0</v>
      </c>
      <c r="AM7" s="353">
        <f t="shared" si="21"/>
        <v>0</v>
      </c>
      <c r="AN7" s="353">
        <f t="shared" si="22"/>
        <v>0</v>
      </c>
      <c r="AO7" s="353">
        <f t="shared" si="23"/>
        <v>0</v>
      </c>
      <c r="AP7" s="353">
        <f t="shared" si="23"/>
        <v>0</v>
      </c>
      <c r="AQ7" s="353">
        <f t="shared" si="24"/>
        <v>0</v>
      </c>
      <c r="AR7" s="353">
        <f t="shared" si="25"/>
        <v>0</v>
      </c>
      <c r="AS7" s="353">
        <f t="shared" si="25"/>
        <v>0</v>
      </c>
      <c r="AT7" s="353">
        <f t="shared" si="26"/>
        <v>0</v>
      </c>
      <c r="AU7" s="353">
        <f t="shared" si="27"/>
        <v>0</v>
      </c>
      <c r="AV7" s="353">
        <f t="shared" si="27"/>
        <v>0</v>
      </c>
      <c r="AW7" s="353">
        <f t="shared" si="14"/>
        <v>0</v>
      </c>
      <c r="AX7" s="353">
        <f t="shared" si="28"/>
        <v>0</v>
      </c>
      <c r="AY7" s="353">
        <f t="shared" si="28"/>
        <v>0</v>
      </c>
      <c r="AZ7" s="353">
        <f t="shared" si="29"/>
        <v>0</v>
      </c>
      <c r="BA7" s="354">
        <f t="shared" si="15"/>
        <v>0</v>
      </c>
    </row>
    <row r="8" spans="1:53" ht="14.25" hidden="1" thickBot="1">
      <c r="A8" s="138">
        <v>40299</v>
      </c>
      <c r="B8" s="18">
        <v>0</v>
      </c>
      <c r="C8" s="18">
        <v>0</v>
      </c>
      <c r="D8" s="18">
        <f t="shared" si="1"/>
        <v>0</v>
      </c>
      <c r="E8" s="18">
        <f t="shared" si="2"/>
        <v>0</v>
      </c>
      <c r="F8" s="18">
        <v>0</v>
      </c>
      <c r="G8" s="18">
        <f t="shared" si="3"/>
        <v>0</v>
      </c>
      <c r="H8" s="18">
        <v>0</v>
      </c>
      <c r="I8" s="18">
        <v>0</v>
      </c>
      <c r="J8" s="18">
        <f t="shared" si="4"/>
        <v>0</v>
      </c>
      <c r="K8" s="18">
        <v>0</v>
      </c>
      <c r="L8" s="18">
        <v>0</v>
      </c>
      <c r="M8" s="18">
        <f t="shared" si="5"/>
        <v>0</v>
      </c>
      <c r="N8" s="18">
        <f t="shared" si="6"/>
        <v>0</v>
      </c>
      <c r="O8" s="18">
        <v>0</v>
      </c>
      <c r="P8" s="18">
        <f t="shared" si="7"/>
        <v>0</v>
      </c>
      <c r="Q8" s="18">
        <v>0</v>
      </c>
      <c r="R8" s="18">
        <v>0</v>
      </c>
      <c r="S8" s="18">
        <f t="shared" si="8"/>
        <v>0</v>
      </c>
      <c r="T8" s="18">
        <v>0</v>
      </c>
      <c r="U8" s="18">
        <v>0</v>
      </c>
      <c r="V8" s="18">
        <f t="shared" si="9"/>
        <v>0</v>
      </c>
      <c r="W8" s="18">
        <f t="shared" si="0"/>
        <v>0</v>
      </c>
      <c r="X8" s="18">
        <f t="shared" si="10"/>
        <v>0</v>
      </c>
      <c r="Y8" s="235">
        <f t="shared" si="11"/>
        <v>0</v>
      </c>
      <c r="Z8" s="18">
        <v>0</v>
      </c>
      <c r="AA8" s="18">
        <v>0</v>
      </c>
      <c r="AB8" s="18">
        <f t="shared" si="12"/>
        <v>0</v>
      </c>
      <c r="AC8" s="352">
        <v>0</v>
      </c>
      <c r="AD8" s="18">
        <v>0</v>
      </c>
      <c r="AE8" s="18">
        <f t="shared" si="13"/>
        <v>0</v>
      </c>
      <c r="AF8" s="352">
        <f t="shared" si="16"/>
        <v>0</v>
      </c>
      <c r="AG8" s="353">
        <f t="shared" si="16"/>
        <v>0</v>
      </c>
      <c r="AH8" s="353">
        <f t="shared" si="17"/>
        <v>0</v>
      </c>
      <c r="AI8" s="353">
        <f t="shared" si="18"/>
        <v>0</v>
      </c>
      <c r="AJ8" s="353">
        <f t="shared" si="19"/>
        <v>0</v>
      </c>
      <c r="AK8" s="353">
        <f t="shared" si="20"/>
        <v>0</v>
      </c>
      <c r="AL8" s="353">
        <f t="shared" si="21"/>
        <v>0</v>
      </c>
      <c r="AM8" s="353">
        <f t="shared" si="21"/>
        <v>0</v>
      </c>
      <c r="AN8" s="353">
        <f t="shared" si="22"/>
        <v>0</v>
      </c>
      <c r="AO8" s="353">
        <f t="shared" si="23"/>
        <v>0</v>
      </c>
      <c r="AP8" s="353">
        <f t="shared" si="23"/>
        <v>0</v>
      </c>
      <c r="AQ8" s="353">
        <f t="shared" si="24"/>
        <v>0</v>
      </c>
      <c r="AR8" s="353">
        <f t="shared" si="25"/>
        <v>0</v>
      </c>
      <c r="AS8" s="353">
        <f t="shared" si="25"/>
        <v>0</v>
      </c>
      <c r="AT8" s="353">
        <f t="shared" si="26"/>
        <v>0</v>
      </c>
      <c r="AU8" s="353">
        <f t="shared" si="27"/>
        <v>0</v>
      </c>
      <c r="AV8" s="353">
        <f t="shared" si="27"/>
        <v>0</v>
      </c>
      <c r="AW8" s="353">
        <f t="shared" si="14"/>
        <v>0</v>
      </c>
      <c r="AX8" s="353">
        <f t="shared" si="28"/>
        <v>0</v>
      </c>
      <c r="AY8" s="353">
        <f t="shared" si="28"/>
        <v>0</v>
      </c>
      <c r="AZ8" s="353">
        <f t="shared" si="29"/>
        <v>0</v>
      </c>
      <c r="BA8" s="354">
        <f t="shared" si="15"/>
        <v>0</v>
      </c>
    </row>
    <row r="9" spans="1:53" ht="14.25" hidden="1" thickBot="1">
      <c r="A9" s="138">
        <v>40330</v>
      </c>
      <c r="B9" s="18">
        <v>0</v>
      </c>
      <c r="C9" s="18">
        <v>0</v>
      </c>
      <c r="D9" s="18">
        <f t="shared" si="1"/>
        <v>0</v>
      </c>
      <c r="E9" s="18">
        <f t="shared" si="2"/>
        <v>0</v>
      </c>
      <c r="F9" s="18">
        <v>0</v>
      </c>
      <c r="G9" s="18">
        <f t="shared" si="3"/>
        <v>0</v>
      </c>
      <c r="H9" s="18">
        <v>0</v>
      </c>
      <c r="I9" s="18">
        <v>0</v>
      </c>
      <c r="J9" s="18">
        <f t="shared" si="4"/>
        <v>0</v>
      </c>
      <c r="K9" s="18">
        <v>0</v>
      </c>
      <c r="L9" s="18">
        <v>0</v>
      </c>
      <c r="M9" s="18">
        <f t="shared" si="5"/>
        <v>0</v>
      </c>
      <c r="N9" s="18">
        <f t="shared" si="6"/>
        <v>0</v>
      </c>
      <c r="O9" s="18">
        <v>0</v>
      </c>
      <c r="P9" s="18">
        <f t="shared" si="7"/>
        <v>0</v>
      </c>
      <c r="Q9" s="18">
        <v>0</v>
      </c>
      <c r="R9" s="18">
        <v>0</v>
      </c>
      <c r="S9" s="18">
        <f t="shared" si="8"/>
        <v>0</v>
      </c>
      <c r="T9" s="18">
        <v>0</v>
      </c>
      <c r="U9" s="18">
        <v>0</v>
      </c>
      <c r="V9" s="18">
        <f t="shared" si="9"/>
        <v>0</v>
      </c>
      <c r="W9" s="18">
        <f t="shared" si="0"/>
        <v>0</v>
      </c>
      <c r="X9" s="18">
        <f t="shared" si="10"/>
        <v>0</v>
      </c>
      <c r="Y9" s="235">
        <f t="shared" si="11"/>
        <v>0</v>
      </c>
      <c r="Z9" s="18">
        <v>0</v>
      </c>
      <c r="AA9" s="18">
        <v>0</v>
      </c>
      <c r="AB9" s="18">
        <f t="shared" si="12"/>
        <v>0</v>
      </c>
      <c r="AC9" s="352">
        <v>0</v>
      </c>
      <c r="AD9" s="18">
        <v>0</v>
      </c>
      <c r="AE9" s="18">
        <f t="shared" si="13"/>
        <v>0</v>
      </c>
      <c r="AF9" s="352">
        <f t="shared" si="16"/>
        <v>0</v>
      </c>
      <c r="AG9" s="353">
        <f t="shared" si="16"/>
        <v>0</v>
      </c>
      <c r="AH9" s="353">
        <f t="shared" si="17"/>
        <v>0</v>
      </c>
      <c r="AI9" s="353">
        <f t="shared" si="18"/>
        <v>0</v>
      </c>
      <c r="AJ9" s="353">
        <f t="shared" si="19"/>
        <v>0</v>
      </c>
      <c r="AK9" s="353">
        <f t="shared" si="20"/>
        <v>0</v>
      </c>
      <c r="AL9" s="353">
        <f t="shared" si="21"/>
        <v>0</v>
      </c>
      <c r="AM9" s="353">
        <f t="shared" si="21"/>
        <v>0</v>
      </c>
      <c r="AN9" s="353">
        <f t="shared" si="22"/>
        <v>0</v>
      </c>
      <c r="AO9" s="353">
        <f t="shared" si="23"/>
        <v>0</v>
      </c>
      <c r="AP9" s="353">
        <f t="shared" si="23"/>
        <v>0</v>
      </c>
      <c r="AQ9" s="353">
        <f t="shared" si="24"/>
        <v>0</v>
      </c>
      <c r="AR9" s="353">
        <f t="shared" si="25"/>
        <v>0</v>
      </c>
      <c r="AS9" s="353">
        <f t="shared" si="25"/>
        <v>0</v>
      </c>
      <c r="AT9" s="353">
        <f t="shared" si="26"/>
        <v>0</v>
      </c>
      <c r="AU9" s="353">
        <f t="shared" si="27"/>
        <v>0</v>
      </c>
      <c r="AV9" s="353">
        <f t="shared" si="27"/>
        <v>0</v>
      </c>
      <c r="AW9" s="353">
        <f t="shared" si="14"/>
        <v>0</v>
      </c>
      <c r="AX9" s="353">
        <f t="shared" si="28"/>
        <v>0</v>
      </c>
      <c r="AY9" s="353">
        <f t="shared" si="28"/>
        <v>0</v>
      </c>
      <c r="AZ9" s="353">
        <f t="shared" si="29"/>
        <v>0</v>
      </c>
      <c r="BA9" s="354">
        <f t="shared" si="15"/>
        <v>0</v>
      </c>
    </row>
    <row r="10" spans="1:53" ht="14.25" hidden="1" thickBot="1">
      <c r="A10" s="138">
        <v>40360</v>
      </c>
      <c r="B10" s="18">
        <v>347397</v>
      </c>
      <c r="C10" s="18">
        <v>0</v>
      </c>
      <c r="D10" s="18">
        <f t="shared" si="1"/>
        <v>347397</v>
      </c>
      <c r="E10" s="18">
        <f t="shared" si="2"/>
        <v>314992</v>
      </c>
      <c r="F10" s="18">
        <v>0</v>
      </c>
      <c r="G10" s="18">
        <f t="shared" si="3"/>
        <v>314992</v>
      </c>
      <c r="H10" s="18">
        <v>414393</v>
      </c>
      <c r="I10" s="18">
        <v>0</v>
      </c>
      <c r="J10" s="18">
        <f t="shared" si="4"/>
        <v>414393</v>
      </c>
      <c r="K10" s="18">
        <v>0</v>
      </c>
      <c r="L10" s="18">
        <v>0</v>
      </c>
      <c r="M10" s="18">
        <f t="shared" si="5"/>
        <v>0</v>
      </c>
      <c r="N10" s="18">
        <f t="shared" si="6"/>
        <v>0</v>
      </c>
      <c r="O10" s="18">
        <v>0</v>
      </c>
      <c r="P10" s="18">
        <f t="shared" si="7"/>
        <v>0</v>
      </c>
      <c r="Q10" s="18">
        <v>0</v>
      </c>
      <c r="R10" s="18">
        <v>0</v>
      </c>
      <c r="S10" s="18">
        <f t="shared" si="8"/>
        <v>0</v>
      </c>
      <c r="T10" s="18">
        <v>0</v>
      </c>
      <c r="U10" s="18">
        <v>0</v>
      </c>
      <c r="V10" s="18">
        <f t="shared" si="9"/>
        <v>0</v>
      </c>
      <c r="W10" s="18">
        <f t="shared" si="0"/>
        <v>1076782</v>
      </c>
      <c r="X10" s="18">
        <f t="shared" si="10"/>
        <v>0</v>
      </c>
      <c r="Y10" s="235">
        <f t="shared" si="11"/>
        <v>1076782</v>
      </c>
      <c r="Z10" s="18">
        <v>37764</v>
      </c>
      <c r="AA10" s="18">
        <v>277228</v>
      </c>
      <c r="AB10" s="18">
        <f t="shared" si="12"/>
        <v>314992</v>
      </c>
      <c r="AC10" s="352">
        <v>0</v>
      </c>
      <c r="AD10" s="18">
        <v>0</v>
      </c>
      <c r="AE10" s="18">
        <f t="shared" si="13"/>
        <v>0</v>
      </c>
      <c r="AF10" s="352">
        <f t="shared" si="16"/>
        <v>347397</v>
      </c>
      <c r="AG10" s="353">
        <f t="shared" si="16"/>
        <v>0</v>
      </c>
      <c r="AH10" s="353">
        <f t="shared" si="17"/>
        <v>347397</v>
      </c>
      <c r="AI10" s="353">
        <f t="shared" si="18"/>
        <v>0</v>
      </c>
      <c r="AJ10" s="353">
        <f t="shared" si="19"/>
        <v>0</v>
      </c>
      <c r="AK10" s="353">
        <f t="shared" si="20"/>
        <v>0</v>
      </c>
      <c r="AL10" s="353">
        <f t="shared" si="21"/>
        <v>414393</v>
      </c>
      <c r="AM10" s="353">
        <f t="shared" si="21"/>
        <v>0</v>
      </c>
      <c r="AN10" s="353">
        <f t="shared" si="22"/>
        <v>414393</v>
      </c>
      <c r="AO10" s="353">
        <f t="shared" si="23"/>
        <v>0</v>
      </c>
      <c r="AP10" s="353">
        <f t="shared" si="23"/>
        <v>0</v>
      </c>
      <c r="AQ10" s="353">
        <f t="shared" si="24"/>
        <v>0</v>
      </c>
      <c r="AR10" s="353">
        <f t="shared" si="25"/>
        <v>0</v>
      </c>
      <c r="AS10" s="353">
        <f t="shared" si="25"/>
        <v>0</v>
      </c>
      <c r="AT10" s="353">
        <f t="shared" si="26"/>
        <v>0</v>
      </c>
      <c r="AU10" s="353">
        <f t="shared" si="27"/>
        <v>0</v>
      </c>
      <c r="AV10" s="353">
        <f t="shared" si="27"/>
        <v>0</v>
      </c>
      <c r="AW10" s="353">
        <f t="shared" si="14"/>
        <v>0</v>
      </c>
      <c r="AX10" s="353">
        <f t="shared" si="28"/>
        <v>0</v>
      </c>
      <c r="AY10" s="353">
        <f t="shared" si="28"/>
        <v>0</v>
      </c>
      <c r="AZ10" s="353">
        <f t="shared" si="29"/>
        <v>0</v>
      </c>
      <c r="BA10" s="354">
        <f t="shared" si="15"/>
        <v>761790</v>
      </c>
    </row>
    <row r="11" spans="1:53" ht="14.25" hidden="1" thickBot="1">
      <c r="A11" s="138">
        <v>40391</v>
      </c>
      <c r="B11" s="18">
        <v>373169</v>
      </c>
      <c r="C11" s="18">
        <v>0</v>
      </c>
      <c r="D11" s="18">
        <f t="shared" si="1"/>
        <v>373169</v>
      </c>
      <c r="E11" s="18">
        <f t="shared" si="2"/>
        <v>730498</v>
      </c>
      <c r="F11" s="18">
        <v>0</v>
      </c>
      <c r="G11" s="18">
        <f t="shared" si="3"/>
        <v>730498</v>
      </c>
      <c r="H11" s="18">
        <v>835191</v>
      </c>
      <c r="I11" s="18">
        <v>0</v>
      </c>
      <c r="J11" s="18">
        <f t="shared" si="4"/>
        <v>835191</v>
      </c>
      <c r="K11" s="18">
        <v>0</v>
      </c>
      <c r="L11" s="18">
        <v>0</v>
      </c>
      <c r="M11" s="18">
        <f t="shared" si="5"/>
        <v>0</v>
      </c>
      <c r="N11" s="18">
        <f t="shared" si="6"/>
        <v>0</v>
      </c>
      <c r="O11" s="18">
        <v>0</v>
      </c>
      <c r="P11" s="18">
        <f t="shared" si="7"/>
        <v>0</v>
      </c>
      <c r="Q11" s="18">
        <v>0</v>
      </c>
      <c r="R11" s="18">
        <v>0</v>
      </c>
      <c r="S11" s="18">
        <f t="shared" si="8"/>
        <v>0</v>
      </c>
      <c r="T11" s="18">
        <v>0</v>
      </c>
      <c r="U11" s="18">
        <v>0</v>
      </c>
      <c r="V11" s="18">
        <f t="shared" si="9"/>
        <v>0</v>
      </c>
      <c r="W11" s="18">
        <f t="shared" si="0"/>
        <v>1938858</v>
      </c>
      <c r="X11" s="18">
        <f t="shared" si="10"/>
        <v>0</v>
      </c>
      <c r="Y11" s="235">
        <f t="shared" si="11"/>
        <v>1938858</v>
      </c>
      <c r="Z11" s="18">
        <v>157694</v>
      </c>
      <c r="AA11" s="18">
        <v>572804</v>
      </c>
      <c r="AB11" s="18">
        <f t="shared" si="12"/>
        <v>730498</v>
      </c>
      <c r="AC11" s="352">
        <v>0</v>
      </c>
      <c r="AD11" s="18">
        <v>0</v>
      </c>
      <c r="AE11" s="18">
        <f t="shared" si="13"/>
        <v>0</v>
      </c>
      <c r="AF11" s="352">
        <f t="shared" si="16"/>
        <v>720566</v>
      </c>
      <c r="AG11" s="353">
        <f t="shared" si="16"/>
        <v>0</v>
      </c>
      <c r="AH11" s="353">
        <f t="shared" si="17"/>
        <v>720566</v>
      </c>
      <c r="AI11" s="353">
        <f t="shared" si="18"/>
        <v>314992</v>
      </c>
      <c r="AJ11" s="353">
        <f t="shared" si="19"/>
        <v>0</v>
      </c>
      <c r="AK11" s="353">
        <f t="shared" si="20"/>
        <v>314992</v>
      </c>
      <c r="AL11" s="353">
        <f t="shared" si="21"/>
        <v>1249584</v>
      </c>
      <c r="AM11" s="353">
        <f t="shared" si="21"/>
        <v>0</v>
      </c>
      <c r="AN11" s="353">
        <f t="shared" si="22"/>
        <v>1249584</v>
      </c>
      <c r="AO11" s="353">
        <f t="shared" si="23"/>
        <v>0</v>
      </c>
      <c r="AP11" s="353">
        <f t="shared" si="23"/>
        <v>0</v>
      </c>
      <c r="AQ11" s="353">
        <f t="shared" si="24"/>
        <v>0</v>
      </c>
      <c r="AR11" s="353">
        <f t="shared" si="25"/>
        <v>0</v>
      </c>
      <c r="AS11" s="353">
        <f t="shared" si="25"/>
        <v>0</v>
      </c>
      <c r="AT11" s="353">
        <f t="shared" si="26"/>
        <v>0</v>
      </c>
      <c r="AU11" s="353">
        <f t="shared" si="27"/>
        <v>0</v>
      </c>
      <c r="AV11" s="353">
        <f t="shared" si="27"/>
        <v>0</v>
      </c>
      <c r="AW11" s="353">
        <f t="shared" si="14"/>
        <v>0</v>
      </c>
      <c r="AX11" s="353">
        <f t="shared" si="28"/>
        <v>0</v>
      </c>
      <c r="AY11" s="353">
        <f t="shared" si="28"/>
        <v>0</v>
      </c>
      <c r="AZ11" s="353">
        <f t="shared" si="29"/>
        <v>0</v>
      </c>
      <c r="BA11" s="354">
        <f t="shared" si="15"/>
        <v>2285142</v>
      </c>
    </row>
    <row r="12" spans="1:53" ht="14.25" hidden="1" thickBot="1">
      <c r="A12" s="138">
        <v>40422</v>
      </c>
      <c r="B12" s="18">
        <v>320813</v>
      </c>
      <c r="C12" s="18">
        <v>0</v>
      </c>
      <c r="D12" s="18">
        <f t="shared" si="1"/>
        <v>320813</v>
      </c>
      <c r="E12" s="18">
        <f t="shared" si="2"/>
        <v>973736</v>
      </c>
      <c r="F12" s="18">
        <v>0</v>
      </c>
      <c r="G12" s="18">
        <f t="shared" si="3"/>
        <v>973736</v>
      </c>
      <c r="H12" s="18">
        <v>766425</v>
      </c>
      <c r="I12" s="18">
        <v>0</v>
      </c>
      <c r="J12" s="18">
        <f t="shared" si="4"/>
        <v>766425</v>
      </c>
      <c r="K12" s="18">
        <v>0</v>
      </c>
      <c r="L12" s="18">
        <v>0</v>
      </c>
      <c r="M12" s="18">
        <f t="shared" si="5"/>
        <v>0</v>
      </c>
      <c r="N12" s="18">
        <f t="shared" si="6"/>
        <v>0</v>
      </c>
      <c r="O12" s="18">
        <v>0</v>
      </c>
      <c r="P12" s="18">
        <f t="shared" si="7"/>
        <v>0</v>
      </c>
      <c r="Q12" s="18">
        <v>0</v>
      </c>
      <c r="R12" s="18">
        <v>0</v>
      </c>
      <c r="S12" s="18">
        <f t="shared" si="8"/>
        <v>0</v>
      </c>
      <c r="T12" s="18">
        <v>0</v>
      </c>
      <c r="U12" s="18">
        <v>0</v>
      </c>
      <c r="V12" s="18">
        <f t="shared" si="9"/>
        <v>0</v>
      </c>
      <c r="W12" s="18">
        <f t="shared" si="0"/>
        <v>2060974</v>
      </c>
      <c r="X12" s="18">
        <f t="shared" si="10"/>
        <v>0</v>
      </c>
      <c r="Y12" s="235">
        <f t="shared" si="11"/>
        <v>2060974</v>
      </c>
      <c r="Z12" s="18">
        <v>497989</v>
      </c>
      <c r="AA12" s="18">
        <v>475747</v>
      </c>
      <c r="AB12" s="18">
        <f t="shared" si="12"/>
        <v>973736</v>
      </c>
      <c r="AC12" s="352">
        <v>0</v>
      </c>
      <c r="AD12" s="18">
        <v>0</v>
      </c>
      <c r="AE12" s="18">
        <f t="shared" si="13"/>
        <v>0</v>
      </c>
      <c r="AF12" s="352">
        <f t="shared" si="16"/>
        <v>1041379</v>
      </c>
      <c r="AG12" s="353">
        <f t="shared" si="16"/>
        <v>0</v>
      </c>
      <c r="AH12" s="353">
        <f t="shared" si="17"/>
        <v>1041379</v>
      </c>
      <c r="AI12" s="353">
        <f t="shared" si="18"/>
        <v>1045490</v>
      </c>
      <c r="AJ12" s="353">
        <f t="shared" si="19"/>
        <v>0</v>
      </c>
      <c r="AK12" s="353">
        <f t="shared" si="20"/>
        <v>1045490</v>
      </c>
      <c r="AL12" s="353">
        <f t="shared" si="21"/>
        <v>2016009</v>
      </c>
      <c r="AM12" s="353">
        <f t="shared" si="21"/>
        <v>0</v>
      </c>
      <c r="AN12" s="353">
        <f t="shared" si="22"/>
        <v>2016009</v>
      </c>
      <c r="AO12" s="353">
        <f t="shared" si="23"/>
        <v>0</v>
      </c>
      <c r="AP12" s="353">
        <f t="shared" si="23"/>
        <v>0</v>
      </c>
      <c r="AQ12" s="353">
        <f t="shared" si="24"/>
        <v>0</v>
      </c>
      <c r="AR12" s="353">
        <f t="shared" si="25"/>
        <v>0</v>
      </c>
      <c r="AS12" s="353">
        <f t="shared" si="25"/>
        <v>0</v>
      </c>
      <c r="AT12" s="353">
        <f t="shared" si="26"/>
        <v>0</v>
      </c>
      <c r="AU12" s="353">
        <f t="shared" si="27"/>
        <v>0</v>
      </c>
      <c r="AV12" s="353">
        <f t="shared" si="27"/>
        <v>0</v>
      </c>
      <c r="AW12" s="353">
        <f t="shared" si="14"/>
        <v>0</v>
      </c>
      <c r="AX12" s="353">
        <f t="shared" si="28"/>
        <v>0</v>
      </c>
      <c r="AY12" s="353">
        <f t="shared" si="28"/>
        <v>0</v>
      </c>
      <c r="AZ12" s="353">
        <f t="shared" si="29"/>
        <v>0</v>
      </c>
      <c r="BA12" s="354">
        <f t="shared" si="15"/>
        <v>4102878</v>
      </c>
    </row>
    <row r="13" spans="1:53" ht="14.25" hidden="1" thickBot="1">
      <c r="A13" s="138">
        <v>40452</v>
      </c>
      <c r="B13" s="18">
        <v>338770</v>
      </c>
      <c r="C13" s="18">
        <v>0</v>
      </c>
      <c r="D13" s="18">
        <f t="shared" si="1"/>
        <v>338770</v>
      </c>
      <c r="E13" s="18">
        <f t="shared" si="2"/>
        <v>1453856</v>
      </c>
      <c r="F13" s="18">
        <v>0</v>
      </c>
      <c r="G13" s="18">
        <f t="shared" si="3"/>
        <v>1453856</v>
      </c>
      <c r="H13" s="18">
        <v>1444469</v>
      </c>
      <c r="I13" s="18">
        <v>0</v>
      </c>
      <c r="J13" s="18">
        <f t="shared" si="4"/>
        <v>1444469</v>
      </c>
      <c r="K13" s="18">
        <v>0</v>
      </c>
      <c r="L13" s="18">
        <v>0</v>
      </c>
      <c r="M13" s="18">
        <f t="shared" si="5"/>
        <v>0</v>
      </c>
      <c r="N13" s="18">
        <f t="shared" si="6"/>
        <v>0</v>
      </c>
      <c r="O13" s="18">
        <v>0</v>
      </c>
      <c r="P13" s="18">
        <f t="shared" si="7"/>
        <v>0</v>
      </c>
      <c r="Q13" s="18">
        <v>0</v>
      </c>
      <c r="R13" s="18">
        <v>0</v>
      </c>
      <c r="S13" s="18">
        <f t="shared" si="8"/>
        <v>0</v>
      </c>
      <c r="T13" s="18">
        <v>0</v>
      </c>
      <c r="U13" s="18">
        <v>0</v>
      </c>
      <c r="V13" s="18">
        <f t="shared" si="9"/>
        <v>0</v>
      </c>
      <c r="W13" s="18">
        <f t="shared" si="0"/>
        <v>3237095</v>
      </c>
      <c r="X13" s="18">
        <f t="shared" si="10"/>
        <v>0</v>
      </c>
      <c r="Y13" s="235">
        <f t="shared" si="11"/>
        <v>3237095</v>
      </c>
      <c r="Z13" s="18">
        <v>1167125</v>
      </c>
      <c r="AA13" s="18">
        <v>286731</v>
      </c>
      <c r="AB13" s="18">
        <f t="shared" si="12"/>
        <v>1453856</v>
      </c>
      <c r="AC13" s="352">
        <v>0</v>
      </c>
      <c r="AD13" s="18">
        <v>0</v>
      </c>
      <c r="AE13" s="18">
        <f t="shared" si="13"/>
        <v>0</v>
      </c>
      <c r="AF13" s="352">
        <f t="shared" si="16"/>
        <v>1380149</v>
      </c>
      <c r="AG13" s="353">
        <f t="shared" si="16"/>
        <v>0</v>
      </c>
      <c r="AH13" s="353">
        <f t="shared" si="17"/>
        <v>1380149</v>
      </c>
      <c r="AI13" s="353">
        <f t="shared" si="18"/>
        <v>2019226</v>
      </c>
      <c r="AJ13" s="353">
        <f t="shared" si="19"/>
        <v>0</v>
      </c>
      <c r="AK13" s="353">
        <f t="shared" si="20"/>
        <v>2019226</v>
      </c>
      <c r="AL13" s="353">
        <f t="shared" si="21"/>
        <v>3460478</v>
      </c>
      <c r="AM13" s="353">
        <f t="shared" si="21"/>
        <v>0</v>
      </c>
      <c r="AN13" s="353">
        <f t="shared" si="22"/>
        <v>3460478</v>
      </c>
      <c r="AO13" s="353">
        <f t="shared" si="23"/>
        <v>0</v>
      </c>
      <c r="AP13" s="353">
        <f t="shared" si="23"/>
        <v>0</v>
      </c>
      <c r="AQ13" s="353">
        <f t="shared" si="24"/>
        <v>0</v>
      </c>
      <c r="AR13" s="353">
        <f t="shared" si="25"/>
        <v>0</v>
      </c>
      <c r="AS13" s="353">
        <f t="shared" si="25"/>
        <v>0</v>
      </c>
      <c r="AT13" s="353">
        <f t="shared" si="26"/>
        <v>0</v>
      </c>
      <c r="AU13" s="353">
        <f t="shared" si="27"/>
        <v>0</v>
      </c>
      <c r="AV13" s="353">
        <f t="shared" si="27"/>
        <v>0</v>
      </c>
      <c r="AW13" s="353">
        <f t="shared" si="14"/>
        <v>0</v>
      </c>
      <c r="AX13" s="353">
        <f t="shared" si="28"/>
        <v>0</v>
      </c>
      <c r="AY13" s="353">
        <f t="shared" si="28"/>
        <v>0</v>
      </c>
      <c r="AZ13" s="353">
        <f t="shared" si="29"/>
        <v>0</v>
      </c>
      <c r="BA13" s="354">
        <f t="shared" si="15"/>
        <v>6859853</v>
      </c>
    </row>
    <row r="14" spans="1:53" ht="14.25" hidden="1" thickBot="1">
      <c r="A14" s="138">
        <v>40483</v>
      </c>
      <c r="B14" s="18">
        <v>910657</v>
      </c>
      <c r="C14" s="18">
        <v>0</v>
      </c>
      <c r="D14" s="18">
        <f t="shared" si="1"/>
        <v>910657</v>
      </c>
      <c r="E14" s="18">
        <f t="shared" si="2"/>
        <v>1884038</v>
      </c>
      <c r="F14" s="18">
        <v>0</v>
      </c>
      <c r="G14" s="18">
        <f t="shared" si="3"/>
        <v>1884038</v>
      </c>
      <c r="H14" s="18">
        <v>2143924</v>
      </c>
      <c r="I14" s="18">
        <v>0</v>
      </c>
      <c r="J14" s="18">
        <f t="shared" si="4"/>
        <v>2143924</v>
      </c>
      <c r="K14" s="18">
        <v>0</v>
      </c>
      <c r="L14" s="18">
        <v>0</v>
      </c>
      <c r="M14" s="18">
        <f t="shared" si="5"/>
        <v>0</v>
      </c>
      <c r="N14" s="18">
        <f t="shared" si="6"/>
        <v>0</v>
      </c>
      <c r="O14" s="18">
        <v>0</v>
      </c>
      <c r="P14" s="18">
        <f t="shared" si="7"/>
        <v>0</v>
      </c>
      <c r="Q14" s="18">
        <v>0</v>
      </c>
      <c r="R14" s="18">
        <v>0</v>
      </c>
      <c r="S14" s="18">
        <f t="shared" si="8"/>
        <v>0</v>
      </c>
      <c r="T14" s="18">
        <v>0</v>
      </c>
      <c r="U14" s="18">
        <v>0</v>
      </c>
      <c r="V14" s="18">
        <f t="shared" si="9"/>
        <v>0</v>
      </c>
      <c r="W14" s="18">
        <f t="shared" si="0"/>
        <v>4938619</v>
      </c>
      <c r="X14" s="18">
        <f t="shared" si="10"/>
        <v>0</v>
      </c>
      <c r="Y14" s="235">
        <f t="shared" si="11"/>
        <v>4938619</v>
      </c>
      <c r="Z14" s="18">
        <v>1441986</v>
      </c>
      <c r="AA14" s="18">
        <v>442052</v>
      </c>
      <c r="AB14" s="18">
        <f t="shared" si="12"/>
        <v>1884038</v>
      </c>
      <c r="AC14" s="352">
        <v>0</v>
      </c>
      <c r="AD14" s="18">
        <v>0</v>
      </c>
      <c r="AE14" s="18">
        <f t="shared" si="13"/>
        <v>0</v>
      </c>
      <c r="AF14" s="352">
        <f t="shared" si="16"/>
        <v>2290806</v>
      </c>
      <c r="AG14" s="353">
        <f t="shared" si="16"/>
        <v>0</v>
      </c>
      <c r="AH14" s="353">
        <f t="shared" si="17"/>
        <v>2290806</v>
      </c>
      <c r="AI14" s="353">
        <f t="shared" si="18"/>
        <v>3473082</v>
      </c>
      <c r="AJ14" s="353">
        <f t="shared" si="19"/>
        <v>0</v>
      </c>
      <c r="AK14" s="353">
        <f t="shared" si="20"/>
        <v>3473082</v>
      </c>
      <c r="AL14" s="353">
        <f t="shared" si="21"/>
        <v>5604402</v>
      </c>
      <c r="AM14" s="353">
        <f t="shared" si="21"/>
        <v>0</v>
      </c>
      <c r="AN14" s="353">
        <f t="shared" si="22"/>
        <v>5604402</v>
      </c>
      <c r="AO14" s="353">
        <f t="shared" si="23"/>
        <v>0</v>
      </c>
      <c r="AP14" s="353">
        <f t="shared" si="23"/>
        <v>0</v>
      </c>
      <c r="AQ14" s="353">
        <f t="shared" si="24"/>
        <v>0</v>
      </c>
      <c r="AR14" s="353">
        <f t="shared" si="25"/>
        <v>0</v>
      </c>
      <c r="AS14" s="353">
        <f t="shared" si="25"/>
        <v>0</v>
      </c>
      <c r="AT14" s="353">
        <f t="shared" si="26"/>
        <v>0</v>
      </c>
      <c r="AU14" s="353">
        <f t="shared" si="27"/>
        <v>0</v>
      </c>
      <c r="AV14" s="353">
        <f t="shared" si="27"/>
        <v>0</v>
      </c>
      <c r="AW14" s="353">
        <f t="shared" si="14"/>
        <v>0</v>
      </c>
      <c r="AX14" s="353">
        <f t="shared" si="28"/>
        <v>0</v>
      </c>
      <c r="AY14" s="353">
        <f t="shared" si="28"/>
        <v>0</v>
      </c>
      <c r="AZ14" s="353">
        <f t="shared" si="29"/>
        <v>0</v>
      </c>
      <c r="BA14" s="354">
        <f t="shared" si="15"/>
        <v>11368290</v>
      </c>
    </row>
    <row r="15" spans="1:53" ht="13.5" hidden="1" customHeight="1" thickBot="1">
      <c r="A15" s="138">
        <v>40513</v>
      </c>
      <c r="B15" s="18">
        <v>1752211</v>
      </c>
      <c r="C15" s="18">
        <v>0</v>
      </c>
      <c r="D15" s="18">
        <f t="shared" si="1"/>
        <v>1752211</v>
      </c>
      <c r="E15" s="18">
        <f t="shared" si="2"/>
        <v>2459916</v>
      </c>
      <c r="F15" s="18">
        <v>0</v>
      </c>
      <c r="G15" s="18">
        <f t="shared" si="3"/>
        <v>2459916</v>
      </c>
      <c r="H15" s="18">
        <v>1768827</v>
      </c>
      <c r="I15" s="18">
        <v>0</v>
      </c>
      <c r="J15" s="18">
        <f t="shared" si="4"/>
        <v>1768827</v>
      </c>
      <c r="K15" s="18">
        <v>0</v>
      </c>
      <c r="L15" s="18">
        <v>0</v>
      </c>
      <c r="M15" s="18">
        <f t="shared" si="5"/>
        <v>0</v>
      </c>
      <c r="N15" s="18">
        <f t="shared" si="6"/>
        <v>0</v>
      </c>
      <c r="O15" s="18">
        <v>0</v>
      </c>
      <c r="P15" s="18">
        <f t="shared" si="7"/>
        <v>0</v>
      </c>
      <c r="Q15" s="18">
        <v>0</v>
      </c>
      <c r="R15" s="18">
        <v>0</v>
      </c>
      <c r="S15" s="18">
        <f t="shared" si="8"/>
        <v>0</v>
      </c>
      <c r="T15" s="18">
        <v>0</v>
      </c>
      <c r="U15" s="18">
        <v>0</v>
      </c>
      <c r="V15" s="18">
        <f t="shared" si="9"/>
        <v>0</v>
      </c>
      <c r="W15" s="18">
        <f t="shared" si="0"/>
        <v>5980954</v>
      </c>
      <c r="X15" s="18">
        <f t="shared" si="10"/>
        <v>0</v>
      </c>
      <c r="Y15" s="235">
        <f t="shared" si="11"/>
        <v>5980954</v>
      </c>
      <c r="Z15" s="18">
        <v>1872516</v>
      </c>
      <c r="AA15" s="18">
        <v>587400</v>
      </c>
      <c r="AB15" s="18">
        <f t="shared" si="12"/>
        <v>2459916</v>
      </c>
      <c r="AC15" s="352">
        <v>0</v>
      </c>
      <c r="AD15" s="18">
        <v>0</v>
      </c>
      <c r="AE15" s="18">
        <f t="shared" si="13"/>
        <v>0</v>
      </c>
      <c r="AF15" s="352">
        <f t="shared" si="16"/>
        <v>4043017</v>
      </c>
      <c r="AG15" s="353">
        <f t="shared" si="16"/>
        <v>0</v>
      </c>
      <c r="AH15" s="353">
        <f t="shared" si="17"/>
        <v>4043017</v>
      </c>
      <c r="AI15" s="353">
        <f t="shared" si="18"/>
        <v>5357120</v>
      </c>
      <c r="AJ15" s="353">
        <f t="shared" si="19"/>
        <v>0</v>
      </c>
      <c r="AK15" s="353">
        <f t="shared" si="20"/>
        <v>5357120</v>
      </c>
      <c r="AL15" s="353">
        <f t="shared" si="21"/>
        <v>7373229</v>
      </c>
      <c r="AM15" s="353">
        <f t="shared" si="21"/>
        <v>0</v>
      </c>
      <c r="AN15" s="353">
        <f t="shared" si="22"/>
        <v>7373229</v>
      </c>
      <c r="AO15" s="353">
        <f t="shared" si="23"/>
        <v>0</v>
      </c>
      <c r="AP15" s="353">
        <f t="shared" si="23"/>
        <v>0</v>
      </c>
      <c r="AQ15" s="353">
        <f t="shared" si="24"/>
        <v>0</v>
      </c>
      <c r="AR15" s="353">
        <f t="shared" si="25"/>
        <v>0</v>
      </c>
      <c r="AS15" s="353">
        <f t="shared" si="25"/>
        <v>0</v>
      </c>
      <c r="AT15" s="353">
        <f t="shared" si="26"/>
        <v>0</v>
      </c>
      <c r="AU15" s="353">
        <f t="shared" si="27"/>
        <v>0</v>
      </c>
      <c r="AV15" s="353">
        <f t="shared" si="27"/>
        <v>0</v>
      </c>
      <c r="AW15" s="353">
        <f t="shared" si="14"/>
        <v>0</v>
      </c>
      <c r="AX15" s="353">
        <f t="shared" si="28"/>
        <v>0</v>
      </c>
      <c r="AY15" s="353">
        <f t="shared" si="28"/>
        <v>0</v>
      </c>
      <c r="AZ15" s="353">
        <f t="shared" si="29"/>
        <v>0</v>
      </c>
      <c r="BA15" s="354">
        <f t="shared" si="15"/>
        <v>16773366</v>
      </c>
    </row>
    <row r="16" spans="1:53" ht="14.25" hidden="1" thickBot="1">
      <c r="A16" s="141">
        <v>40544</v>
      </c>
      <c r="B16" s="143">
        <v>1723406</v>
      </c>
      <c r="C16" s="143">
        <v>0</v>
      </c>
      <c r="D16" s="143">
        <f t="shared" si="1"/>
        <v>1723406</v>
      </c>
      <c r="E16" s="143">
        <f t="shared" si="2"/>
        <v>2275133</v>
      </c>
      <c r="F16" s="143">
        <v>0</v>
      </c>
      <c r="G16" s="143">
        <f t="shared" si="3"/>
        <v>2275133</v>
      </c>
      <c r="H16" s="143">
        <v>490163</v>
      </c>
      <c r="I16" s="143">
        <v>0</v>
      </c>
      <c r="J16" s="143">
        <f t="shared" si="4"/>
        <v>490163</v>
      </c>
      <c r="K16" s="143">
        <v>0</v>
      </c>
      <c r="L16" s="143">
        <v>0</v>
      </c>
      <c r="M16" s="143">
        <f t="shared" si="5"/>
        <v>0</v>
      </c>
      <c r="N16" s="143">
        <f t="shared" si="6"/>
        <v>0</v>
      </c>
      <c r="O16" s="143">
        <v>0</v>
      </c>
      <c r="P16" s="143">
        <f t="shared" si="7"/>
        <v>0</v>
      </c>
      <c r="Q16" s="143">
        <v>0</v>
      </c>
      <c r="R16" s="143">
        <v>0</v>
      </c>
      <c r="S16" s="143">
        <f t="shared" si="8"/>
        <v>0</v>
      </c>
      <c r="T16" s="143">
        <v>0</v>
      </c>
      <c r="U16" s="143">
        <v>0</v>
      </c>
      <c r="V16" s="143">
        <f>U16+T16</f>
        <v>0</v>
      </c>
      <c r="W16" s="143">
        <f t="shared" si="0"/>
        <v>4488702</v>
      </c>
      <c r="X16" s="143">
        <f t="shared" si="10"/>
        <v>0</v>
      </c>
      <c r="Y16" s="237">
        <f t="shared" si="11"/>
        <v>4488702</v>
      </c>
      <c r="Z16" s="143">
        <v>1833004</v>
      </c>
      <c r="AA16" s="143">
        <v>442129</v>
      </c>
      <c r="AB16" s="143">
        <f>AA16+Z16</f>
        <v>2275133</v>
      </c>
      <c r="AC16" s="349">
        <v>0</v>
      </c>
      <c r="AD16" s="143">
        <v>0</v>
      </c>
      <c r="AE16" s="143">
        <f t="shared" si="13"/>
        <v>0</v>
      </c>
      <c r="AF16" s="349">
        <f>B16</f>
        <v>1723406</v>
      </c>
      <c r="AG16" s="350">
        <f>C16</f>
        <v>0</v>
      </c>
      <c r="AH16" s="350">
        <f>AG16+AF16</f>
        <v>1723406</v>
      </c>
      <c r="AI16" s="350">
        <f>E16</f>
        <v>2275133</v>
      </c>
      <c r="AJ16" s="350">
        <f>F16</f>
        <v>0</v>
      </c>
      <c r="AK16" s="350">
        <f>AJ16+AI16</f>
        <v>2275133</v>
      </c>
      <c r="AL16" s="350">
        <f>H16</f>
        <v>490163</v>
      </c>
      <c r="AM16" s="350">
        <f>I16</f>
        <v>0</v>
      </c>
      <c r="AN16" s="350">
        <f>AM16+AL16</f>
        <v>490163</v>
      </c>
      <c r="AO16" s="350">
        <f>K16</f>
        <v>0</v>
      </c>
      <c r="AP16" s="350">
        <f>L16</f>
        <v>0</v>
      </c>
      <c r="AQ16" s="350">
        <f>AP16+AO16</f>
        <v>0</v>
      </c>
      <c r="AR16" s="350">
        <f>N16</f>
        <v>0</v>
      </c>
      <c r="AS16" s="350">
        <f>O16</f>
        <v>0</v>
      </c>
      <c r="AT16" s="350">
        <f>AS16+AR16</f>
        <v>0</v>
      </c>
      <c r="AU16" s="350">
        <f>Q16</f>
        <v>0</v>
      </c>
      <c r="AV16" s="350">
        <f>R16</f>
        <v>0</v>
      </c>
      <c r="AW16" s="350">
        <f>AV16+AU16</f>
        <v>0</v>
      </c>
      <c r="AX16" s="350">
        <f>T16</f>
        <v>0</v>
      </c>
      <c r="AY16" s="350">
        <f>U16</f>
        <v>0</v>
      </c>
      <c r="AZ16" s="350">
        <f>SUM(AX16:AY16)</f>
        <v>0</v>
      </c>
      <c r="BA16" s="351">
        <f>AW16+AT16+AQ16+AN16+AK16+AH16+AZ16</f>
        <v>4488702</v>
      </c>
    </row>
    <row r="17" spans="1:53" ht="14.25" hidden="1" thickBot="1">
      <c r="A17" s="138">
        <v>40575</v>
      </c>
      <c r="B17" s="18">
        <v>1503587</v>
      </c>
      <c r="C17" s="18">
        <v>0</v>
      </c>
      <c r="D17" s="18">
        <f t="shared" si="1"/>
        <v>1503587</v>
      </c>
      <c r="E17" s="18">
        <f t="shared" si="2"/>
        <v>725551</v>
      </c>
      <c r="F17" s="18">
        <v>0</v>
      </c>
      <c r="G17" s="18">
        <f t="shared" si="3"/>
        <v>725551</v>
      </c>
      <c r="H17" s="18">
        <v>165209</v>
      </c>
      <c r="I17" s="18">
        <v>0</v>
      </c>
      <c r="J17" s="18">
        <f t="shared" si="4"/>
        <v>165209</v>
      </c>
      <c r="K17" s="18">
        <v>0</v>
      </c>
      <c r="L17" s="18">
        <v>0</v>
      </c>
      <c r="M17" s="18">
        <f t="shared" si="5"/>
        <v>0</v>
      </c>
      <c r="N17" s="18">
        <f t="shared" si="6"/>
        <v>0</v>
      </c>
      <c r="O17" s="18">
        <v>0</v>
      </c>
      <c r="P17" s="18">
        <f t="shared" si="7"/>
        <v>0</v>
      </c>
      <c r="Q17" s="18">
        <v>0</v>
      </c>
      <c r="R17" s="18">
        <v>0</v>
      </c>
      <c r="S17" s="18">
        <f t="shared" si="8"/>
        <v>0</v>
      </c>
      <c r="T17" s="18">
        <v>0</v>
      </c>
      <c r="U17" s="18">
        <v>0</v>
      </c>
      <c r="V17" s="18">
        <f t="shared" ref="V17:V27" si="30">U17+T17</f>
        <v>0</v>
      </c>
      <c r="W17" s="18">
        <f t="shared" si="0"/>
        <v>2394347</v>
      </c>
      <c r="X17" s="18">
        <f t="shared" si="10"/>
        <v>0</v>
      </c>
      <c r="Y17" s="235">
        <f t="shared" si="11"/>
        <v>2394347</v>
      </c>
      <c r="Z17" s="18">
        <v>591021</v>
      </c>
      <c r="AA17" s="18">
        <v>134530</v>
      </c>
      <c r="AB17" s="18">
        <f t="shared" si="12"/>
        <v>725551</v>
      </c>
      <c r="AC17" s="352">
        <v>0</v>
      </c>
      <c r="AD17" s="18">
        <v>0</v>
      </c>
      <c r="AE17" s="18">
        <f t="shared" si="13"/>
        <v>0</v>
      </c>
      <c r="AF17" s="352">
        <f>B17+AF16</f>
        <v>3226993</v>
      </c>
      <c r="AG17" s="353">
        <f>C17+AG16</f>
        <v>0</v>
      </c>
      <c r="AH17" s="353">
        <f t="shared" ref="AH17:AH27" si="31">AG17+AF17</f>
        <v>3226993</v>
      </c>
      <c r="AI17" s="353">
        <f>AI16+E16</f>
        <v>4550266</v>
      </c>
      <c r="AJ17" s="353">
        <f>AJ16+F17</f>
        <v>0</v>
      </c>
      <c r="AK17" s="353">
        <f t="shared" ref="AK17:AK27" si="32">AJ17+AI17</f>
        <v>4550266</v>
      </c>
      <c r="AL17" s="353">
        <f>AL16+H17</f>
        <v>655372</v>
      </c>
      <c r="AM17" s="353">
        <f>AM16+I17</f>
        <v>0</v>
      </c>
      <c r="AN17" s="353">
        <f t="shared" ref="AN17:AN27" si="33">AM17+AL17</f>
        <v>655372</v>
      </c>
      <c r="AO17" s="353">
        <f>AO16+K17</f>
        <v>0</v>
      </c>
      <c r="AP17" s="353">
        <f>AP16+L17</f>
        <v>0</v>
      </c>
      <c r="AQ17" s="353">
        <f t="shared" ref="AQ17:AQ27" si="34">AP17+AO17</f>
        <v>0</v>
      </c>
      <c r="AR17" s="353">
        <f>AR16+N17</f>
        <v>0</v>
      </c>
      <c r="AS17" s="353">
        <f>AS16+O17</f>
        <v>0</v>
      </c>
      <c r="AT17" s="353">
        <f t="shared" ref="AT17:AT27" si="35">AS17+AR17</f>
        <v>0</v>
      </c>
      <c r="AU17" s="353">
        <f>AU16+Q17</f>
        <v>0</v>
      </c>
      <c r="AV17" s="353">
        <f>AV16+R17</f>
        <v>0</v>
      </c>
      <c r="AW17" s="353">
        <f t="shared" ref="AW17:AW27" si="36">AV17+AU17</f>
        <v>0</v>
      </c>
      <c r="AX17" s="353">
        <f>AX16+T17</f>
        <v>0</v>
      </c>
      <c r="AY17" s="353">
        <f>AY16+U17</f>
        <v>0</v>
      </c>
      <c r="AZ17" s="353">
        <f>SUM(AX17:AY17)</f>
        <v>0</v>
      </c>
      <c r="BA17" s="354">
        <f t="shared" ref="BA17:BA27" si="37">AW17+AT17+AQ17+AN17+AK17+AH17+AZ17</f>
        <v>8432631</v>
      </c>
    </row>
    <row r="18" spans="1:53" ht="14.25" hidden="1" thickBot="1">
      <c r="A18" s="138">
        <v>40603</v>
      </c>
      <c r="B18" s="18">
        <v>1822590</v>
      </c>
      <c r="C18" s="18">
        <v>0</v>
      </c>
      <c r="D18" s="18">
        <f t="shared" si="1"/>
        <v>1822590</v>
      </c>
      <c r="E18" s="18">
        <f t="shared" si="2"/>
        <v>765014</v>
      </c>
      <c r="F18" s="18">
        <v>0</v>
      </c>
      <c r="G18" s="18">
        <f t="shared" si="3"/>
        <v>765014</v>
      </c>
      <c r="H18" s="18">
        <v>651051</v>
      </c>
      <c r="I18" s="18">
        <v>0</v>
      </c>
      <c r="J18" s="18">
        <f t="shared" si="4"/>
        <v>651051</v>
      </c>
      <c r="K18" s="18">
        <v>0</v>
      </c>
      <c r="L18" s="18">
        <v>0</v>
      </c>
      <c r="M18" s="18">
        <f t="shared" si="5"/>
        <v>0</v>
      </c>
      <c r="N18" s="18">
        <f t="shared" si="6"/>
        <v>0</v>
      </c>
      <c r="O18" s="18">
        <v>0</v>
      </c>
      <c r="P18" s="18">
        <f t="shared" si="7"/>
        <v>0</v>
      </c>
      <c r="Q18" s="18">
        <v>0</v>
      </c>
      <c r="R18" s="18">
        <v>0</v>
      </c>
      <c r="S18" s="18">
        <f t="shared" si="8"/>
        <v>0</v>
      </c>
      <c r="T18" s="18">
        <v>0</v>
      </c>
      <c r="U18" s="18">
        <v>0</v>
      </c>
      <c r="V18" s="18">
        <f t="shared" si="30"/>
        <v>0</v>
      </c>
      <c r="W18" s="18">
        <f t="shared" si="0"/>
        <v>3238655</v>
      </c>
      <c r="X18" s="18">
        <f t="shared" si="10"/>
        <v>0</v>
      </c>
      <c r="Y18" s="235">
        <f t="shared" si="11"/>
        <v>3238655</v>
      </c>
      <c r="Z18" s="18">
        <v>557144</v>
      </c>
      <c r="AA18" s="18">
        <v>207870</v>
      </c>
      <c r="AB18" s="18">
        <f t="shared" si="12"/>
        <v>765014</v>
      </c>
      <c r="AC18" s="352">
        <v>0</v>
      </c>
      <c r="AD18" s="18">
        <v>0</v>
      </c>
      <c r="AE18" s="18">
        <f t="shared" si="13"/>
        <v>0</v>
      </c>
      <c r="AF18" s="352">
        <f t="shared" ref="AF18:AG27" si="38">B18+AF17</f>
        <v>5049583</v>
      </c>
      <c r="AG18" s="353">
        <f t="shared" si="38"/>
        <v>0</v>
      </c>
      <c r="AH18" s="353">
        <f t="shared" si="31"/>
        <v>5049583</v>
      </c>
      <c r="AI18" s="353">
        <f t="shared" ref="AI18:AI27" si="39">AI17+E17</f>
        <v>5275817</v>
      </c>
      <c r="AJ18" s="353">
        <f t="shared" ref="AJ18:AJ27" si="40">AJ17+F18</f>
        <v>0</v>
      </c>
      <c r="AK18" s="353">
        <f t="shared" si="32"/>
        <v>5275817</v>
      </c>
      <c r="AL18" s="353">
        <f t="shared" ref="AL18:AM27" si="41">AL17+H18</f>
        <v>1306423</v>
      </c>
      <c r="AM18" s="353">
        <f t="shared" si="41"/>
        <v>0</v>
      </c>
      <c r="AN18" s="353">
        <f t="shared" si="33"/>
        <v>1306423</v>
      </c>
      <c r="AO18" s="353">
        <f t="shared" ref="AO18:AP27" si="42">AO17+K18</f>
        <v>0</v>
      </c>
      <c r="AP18" s="353">
        <f t="shared" si="42"/>
        <v>0</v>
      </c>
      <c r="AQ18" s="353">
        <f t="shared" si="34"/>
        <v>0</v>
      </c>
      <c r="AR18" s="353">
        <f t="shared" ref="AR18:AS27" si="43">AR17+N18</f>
        <v>0</v>
      </c>
      <c r="AS18" s="353">
        <f t="shared" si="43"/>
        <v>0</v>
      </c>
      <c r="AT18" s="353">
        <f t="shared" si="35"/>
        <v>0</v>
      </c>
      <c r="AU18" s="353">
        <f t="shared" ref="AU18:AV27" si="44">AU17+Q18</f>
        <v>0</v>
      </c>
      <c r="AV18" s="353">
        <f t="shared" si="44"/>
        <v>0</v>
      </c>
      <c r="AW18" s="353">
        <f t="shared" si="36"/>
        <v>0</v>
      </c>
      <c r="AX18" s="353">
        <f t="shared" ref="AX18:AY27" si="45">AX17+T18</f>
        <v>0</v>
      </c>
      <c r="AY18" s="353">
        <f t="shared" si="45"/>
        <v>0</v>
      </c>
      <c r="AZ18" s="353">
        <f t="shared" ref="AZ18:AZ27" si="46">SUM(AX18:AY18)</f>
        <v>0</v>
      </c>
      <c r="BA18" s="354">
        <f t="shared" si="37"/>
        <v>11631823</v>
      </c>
    </row>
    <row r="19" spans="1:53" ht="14.25" hidden="1" thickBot="1">
      <c r="A19" s="138">
        <v>40634</v>
      </c>
      <c r="B19" s="18">
        <v>1614284</v>
      </c>
      <c r="C19" s="18">
        <v>0</v>
      </c>
      <c r="D19" s="18">
        <f t="shared" si="1"/>
        <v>1614284</v>
      </c>
      <c r="E19" s="18">
        <f t="shared" si="2"/>
        <v>279648</v>
      </c>
      <c r="F19" s="18">
        <v>0</v>
      </c>
      <c r="G19" s="18">
        <f t="shared" si="3"/>
        <v>279648</v>
      </c>
      <c r="H19" s="18">
        <v>308060</v>
      </c>
      <c r="I19" s="18">
        <v>0</v>
      </c>
      <c r="J19" s="18">
        <f t="shared" si="4"/>
        <v>308060</v>
      </c>
      <c r="K19" s="18">
        <v>0</v>
      </c>
      <c r="L19" s="18">
        <v>0</v>
      </c>
      <c r="M19" s="18">
        <f t="shared" si="5"/>
        <v>0</v>
      </c>
      <c r="N19" s="18">
        <f t="shared" si="6"/>
        <v>0</v>
      </c>
      <c r="O19" s="18">
        <v>0</v>
      </c>
      <c r="P19" s="18">
        <f t="shared" si="7"/>
        <v>0</v>
      </c>
      <c r="Q19" s="18">
        <v>0</v>
      </c>
      <c r="R19" s="18">
        <v>0</v>
      </c>
      <c r="S19" s="18">
        <f t="shared" si="8"/>
        <v>0</v>
      </c>
      <c r="T19" s="18">
        <v>0</v>
      </c>
      <c r="U19" s="18">
        <v>0</v>
      </c>
      <c r="V19" s="18">
        <f t="shared" si="30"/>
        <v>0</v>
      </c>
      <c r="W19" s="18">
        <f t="shared" si="0"/>
        <v>2201992</v>
      </c>
      <c r="X19" s="18">
        <f t="shared" si="10"/>
        <v>0</v>
      </c>
      <c r="Y19" s="235">
        <f t="shared" si="11"/>
        <v>2201992</v>
      </c>
      <c r="Z19" s="18">
        <v>189755</v>
      </c>
      <c r="AA19" s="18">
        <v>89893</v>
      </c>
      <c r="AB19" s="18">
        <f t="shared" si="12"/>
        <v>279648</v>
      </c>
      <c r="AC19" s="352">
        <v>0</v>
      </c>
      <c r="AD19" s="18">
        <v>0</v>
      </c>
      <c r="AE19" s="18">
        <f t="shared" si="13"/>
        <v>0</v>
      </c>
      <c r="AF19" s="352">
        <f t="shared" si="38"/>
        <v>6663867</v>
      </c>
      <c r="AG19" s="353">
        <f t="shared" si="38"/>
        <v>0</v>
      </c>
      <c r="AH19" s="353">
        <f t="shared" si="31"/>
        <v>6663867</v>
      </c>
      <c r="AI19" s="353">
        <f t="shared" si="39"/>
        <v>6040831</v>
      </c>
      <c r="AJ19" s="353">
        <f t="shared" si="40"/>
        <v>0</v>
      </c>
      <c r="AK19" s="353">
        <f t="shared" si="32"/>
        <v>6040831</v>
      </c>
      <c r="AL19" s="353">
        <f t="shared" si="41"/>
        <v>1614483</v>
      </c>
      <c r="AM19" s="353">
        <f t="shared" si="41"/>
        <v>0</v>
      </c>
      <c r="AN19" s="353">
        <f t="shared" si="33"/>
        <v>1614483</v>
      </c>
      <c r="AO19" s="353">
        <f t="shared" si="42"/>
        <v>0</v>
      </c>
      <c r="AP19" s="353">
        <f t="shared" si="42"/>
        <v>0</v>
      </c>
      <c r="AQ19" s="353">
        <f t="shared" si="34"/>
        <v>0</v>
      </c>
      <c r="AR19" s="353">
        <f t="shared" si="43"/>
        <v>0</v>
      </c>
      <c r="AS19" s="353">
        <f t="shared" si="43"/>
        <v>0</v>
      </c>
      <c r="AT19" s="353">
        <f t="shared" si="35"/>
        <v>0</v>
      </c>
      <c r="AU19" s="353">
        <f t="shared" si="44"/>
        <v>0</v>
      </c>
      <c r="AV19" s="353">
        <f t="shared" si="44"/>
        <v>0</v>
      </c>
      <c r="AW19" s="353">
        <f t="shared" si="36"/>
        <v>0</v>
      </c>
      <c r="AX19" s="353">
        <f t="shared" si="45"/>
        <v>0</v>
      </c>
      <c r="AY19" s="353">
        <f t="shared" si="45"/>
        <v>0</v>
      </c>
      <c r="AZ19" s="353">
        <f t="shared" si="46"/>
        <v>0</v>
      </c>
      <c r="BA19" s="354">
        <f t="shared" si="37"/>
        <v>14319181</v>
      </c>
    </row>
    <row r="20" spans="1:53" ht="14.25" hidden="1" thickBot="1">
      <c r="A20" s="138">
        <v>40664</v>
      </c>
      <c r="B20" s="18">
        <v>1699974</v>
      </c>
      <c r="C20" s="18">
        <v>0</v>
      </c>
      <c r="D20" s="18">
        <f t="shared" si="1"/>
        <v>1699974</v>
      </c>
      <c r="E20" s="18">
        <f t="shared" si="2"/>
        <v>4380619</v>
      </c>
      <c r="F20" s="18">
        <v>0</v>
      </c>
      <c r="G20" s="18">
        <f t="shared" si="3"/>
        <v>4380619</v>
      </c>
      <c r="H20" s="18">
        <v>320058</v>
      </c>
      <c r="I20" s="18">
        <v>0</v>
      </c>
      <c r="J20" s="18">
        <f t="shared" si="4"/>
        <v>320058</v>
      </c>
      <c r="K20" s="18">
        <v>0</v>
      </c>
      <c r="L20" s="18">
        <v>0</v>
      </c>
      <c r="M20" s="18">
        <f t="shared" si="5"/>
        <v>0</v>
      </c>
      <c r="N20" s="18">
        <f t="shared" si="6"/>
        <v>0</v>
      </c>
      <c r="O20" s="18">
        <v>0</v>
      </c>
      <c r="P20" s="18">
        <f t="shared" si="7"/>
        <v>0</v>
      </c>
      <c r="Q20" s="18">
        <v>0</v>
      </c>
      <c r="R20" s="18">
        <v>0</v>
      </c>
      <c r="S20" s="18">
        <f t="shared" si="8"/>
        <v>0</v>
      </c>
      <c r="T20" s="18">
        <v>0</v>
      </c>
      <c r="U20" s="18">
        <v>0</v>
      </c>
      <c r="V20" s="18">
        <f t="shared" si="30"/>
        <v>0</v>
      </c>
      <c r="W20" s="18">
        <f t="shared" si="0"/>
        <v>6400651</v>
      </c>
      <c r="X20" s="18">
        <f t="shared" si="10"/>
        <v>0</v>
      </c>
      <c r="Y20" s="235">
        <f t="shared" si="11"/>
        <v>6400651</v>
      </c>
      <c r="Z20" s="18">
        <v>4116009</v>
      </c>
      <c r="AA20" s="18">
        <v>264610</v>
      </c>
      <c r="AB20" s="18">
        <f t="shared" si="12"/>
        <v>4380619</v>
      </c>
      <c r="AC20" s="352">
        <v>0</v>
      </c>
      <c r="AD20" s="18">
        <v>0</v>
      </c>
      <c r="AE20" s="18">
        <f t="shared" si="13"/>
        <v>0</v>
      </c>
      <c r="AF20" s="352">
        <f t="shared" si="38"/>
        <v>8363841</v>
      </c>
      <c r="AG20" s="353">
        <f t="shared" si="38"/>
        <v>0</v>
      </c>
      <c r="AH20" s="353">
        <f t="shared" si="31"/>
        <v>8363841</v>
      </c>
      <c r="AI20" s="353">
        <f t="shared" si="39"/>
        <v>6320479</v>
      </c>
      <c r="AJ20" s="353">
        <f t="shared" si="40"/>
        <v>0</v>
      </c>
      <c r="AK20" s="353">
        <f t="shared" si="32"/>
        <v>6320479</v>
      </c>
      <c r="AL20" s="353">
        <f t="shared" si="41"/>
        <v>1934541</v>
      </c>
      <c r="AM20" s="353">
        <f t="shared" si="41"/>
        <v>0</v>
      </c>
      <c r="AN20" s="353">
        <f t="shared" si="33"/>
        <v>1934541</v>
      </c>
      <c r="AO20" s="353">
        <f t="shared" si="42"/>
        <v>0</v>
      </c>
      <c r="AP20" s="353">
        <f t="shared" si="42"/>
        <v>0</v>
      </c>
      <c r="AQ20" s="353">
        <f t="shared" si="34"/>
        <v>0</v>
      </c>
      <c r="AR20" s="353">
        <f t="shared" si="43"/>
        <v>0</v>
      </c>
      <c r="AS20" s="353">
        <f t="shared" si="43"/>
        <v>0</v>
      </c>
      <c r="AT20" s="353">
        <f t="shared" si="35"/>
        <v>0</v>
      </c>
      <c r="AU20" s="353">
        <f t="shared" si="44"/>
        <v>0</v>
      </c>
      <c r="AV20" s="353">
        <f t="shared" si="44"/>
        <v>0</v>
      </c>
      <c r="AW20" s="353">
        <f t="shared" si="36"/>
        <v>0</v>
      </c>
      <c r="AX20" s="353">
        <f t="shared" si="45"/>
        <v>0</v>
      </c>
      <c r="AY20" s="353">
        <f t="shared" si="45"/>
        <v>0</v>
      </c>
      <c r="AZ20" s="353">
        <f t="shared" si="46"/>
        <v>0</v>
      </c>
      <c r="BA20" s="354">
        <f t="shared" si="37"/>
        <v>16618861</v>
      </c>
    </row>
    <row r="21" spans="1:53" ht="14.25" hidden="1" thickBot="1">
      <c r="A21" s="138">
        <v>40695</v>
      </c>
      <c r="B21" s="18">
        <v>2201578</v>
      </c>
      <c r="C21" s="18">
        <v>3035212</v>
      </c>
      <c r="D21" s="18">
        <f t="shared" si="1"/>
        <v>5236790</v>
      </c>
      <c r="E21" s="18">
        <f t="shared" si="2"/>
        <v>820327</v>
      </c>
      <c r="F21" s="18">
        <v>0</v>
      </c>
      <c r="G21" s="18">
        <f t="shared" si="3"/>
        <v>820327</v>
      </c>
      <c r="H21" s="18">
        <v>607121</v>
      </c>
      <c r="I21" s="18">
        <v>0</v>
      </c>
      <c r="J21" s="18">
        <f t="shared" si="4"/>
        <v>607121</v>
      </c>
      <c r="K21" s="18">
        <v>0</v>
      </c>
      <c r="L21" s="18">
        <v>0</v>
      </c>
      <c r="M21" s="18">
        <f t="shared" si="5"/>
        <v>0</v>
      </c>
      <c r="N21" s="18">
        <f t="shared" si="6"/>
        <v>0</v>
      </c>
      <c r="O21" s="18">
        <v>0</v>
      </c>
      <c r="P21" s="18">
        <f t="shared" si="7"/>
        <v>0</v>
      </c>
      <c r="Q21" s="18">
        <v>0</v>
      </c>
      <c r="R21" s="18">
        <v>0</v>
      </c>
      <c r="S21" s="18">
        <f t="shared" si="8"/>
        <v>0</v>
      </c>
      <c r="T21" s="18">
        <v>0</v>
      </c>
      <c r="U21" s="18">
        <v>0</v>
      </c>
      <c r="V21" s="18">
        <f t="shared" si="30"/>
        <v>0</v>
      </c>
      <c r="W21" s="18">
        <f t="shared" si="0"/>
        <v>3629026</v>
      </c>
      <c r="X21" s="18">
        <f t="shared" si="10"/>
        <v>3035212</v>
      </c>
      <c r="Y21" s="235">
        <f t="shared" si="11"/>
        <v>6664238</v>
      </c>
      <c r="Z21" s="18">
        <v>391438</v>
      </c>
      <c r="AA21" s="18">
        <v>428889</v>
      </c>
      <c r="AB21" s="18">
        <f t="shared" si="12"/>
        <v>820327</v>
      </c>
      <c r="AC21" s="352">
        <v>0</v>
      </c>
      <c r="AD21" s="18">
        <v>0</v>
      </c>
      <c r="AE21" s="18">
        <f t="shared" si="13"/>
        <v>0</v>
      </c>
      <c r="AF21" s="352">
        <f t="shared" si="38"/>
        <v>10565419</v>
      </c>
      <c r="AG21" s="353">
        <f t="shared" si="38"/>
        <v>3035212</v>
      </c>
      <c r="AH21" s="353">
        <f t="shared" si="31"/>
        <v>13600631</v>
      </c>
      <c r="AI21" s="353">
        <f t="shared" si="39"/>
        <v>10701098</v>
      </c>
      <c r="AJ21" s="353">
        <f t="shared" si="40"/>
        <v>0</v>
      </c>
      <c r="AK21" s="353">
        <f t="shared" si="32"/>
        <v>10701098</v>
      </c>
      <c r="AL21" s="353">
        <f t="shared" si="41"/>
        <v>2541662</v>
      </c>
      <c r="AM21" s="353">
        <f t="shared" si="41"/>
        <v>0</v>
      </c>
      <c r="AN21" s="353">
        <f t="shared" si="33"/>
        <v>2541662</v>
      </c>
      <c r="AO21" s="353">
        <f t="shared" si="42"/>
        <v>0</v>
      </c>
      <c r="AP21" s="353">
        <f t="shared" si="42"/>
        <v>0</v>
      </c>
      <c r="AQ21" s="353">
        <f t="shared" si="34"/>
        <v>0</v>
      </c>
      <c r="AR21" s="353">
        <f t="shared" si="43"/>
        <v>0</v>
      </c>
      <c r="AS21" s="353">
        <f t="shared" si="43"/>
        <v>0</v>
      </c>
      <c r="AT21" s="353">
        <f t="shared" si="35"/>
        <v>0</v>
      </c>
      <c r="AU21" s="353">
        <f t="shared" si="44"/>
        <v>0</v>
      </c>
      <c r="AV21" s="353">
        <f t="shared" si="44"/>
        <v>0</v>
      </c>
      <c r="AW21" s="353">
        <f t="shared" si="36"/>
        <v>0</v>
      </c>
      <c r="AX21" s="353">
        <f t="shared" si="45"/>
        <v>0</v>
      </c>
      <c r="AY21" s="353">
        <f t="shared" si="45"/>
        <v>0</v>
      </c>
      <c r="AZ21" s="353">
        <f t="shared" si="46"/>
        <v>0</v>
      </c>
      <c r="BA21" s="354">
        <f t="shared" si="37"/>
        <v>26843391</v>
      </c>
    </row>
    <row r="22" spans="1:53" ht="14.25" hidden="1" thickBot="1">
      <c r="A22" s="138">
        <v>40725</v>
      </c>
      <c r="B22" s="18">
        <v>2035393</v>
      </c>
      <c r="C22" s="18">
        <v>13166006</v>
      </c>
      <c r="D22" s="18">
        <f t="shared" si="1"/>
        <v>15201399</v>
      </c>
      <c r="E22" s="18">
        <f t="shared" si="2"/>
        <v>810431</v>
      </c>
      <c r="F22" s="18">
        <v>0</v>
      </c>
      <c r="G22" s="18">
        <f t="shared" si="3"/>
        <v>810431</v>
      </c>
      <c r="H22" s="18">
        <v>309797</v>
      </c>
      <c r="I22" s="18">
        <v>0</v>
      </c>
      <c r="J22" s="18">
        <f t="shared" si="4"/>
        <v>309797</v>
      </c>
      <c r="K22" s="18">
        <v>0</v>
      </c>
      <c r="L22" s="18">
        <v>0</v>
      </c>
      <c r="M22" s="18">
        <f t="shared" si="5"/>
        <v>0</v>
      </c>
      <c r="N22" s="18">
        <f t="shared" si="6"/>
        <v>0</v>
      </c>
      <c r="O22" s="18">
        <v>0</v>
      </c>
      <c r="P22" s="18">
        <f t="shared" si="7"/>
        <v>0</v>
      </c>
      <c r="Q22" s="18">
        <v>0</v>
      </c>
      <c r="R22" s="18">
        <v>0</v>
      </c>
      <c r="S22" s="18">
        <f t="shared" si="8"/>
        <v>0</v>
      </c>
      <c r="T22" s="18">
        <v>0</v>
      </c>
      <c r="U22" s="18">
        <v>0</v>
      </c>
      <c r="V22" s="18">
        <f t="shared" si="30"/>
        <v>0</v>
      </c>
      <c r="W22" s="18">
        <f t="shared" si="0"/>
        <v>3155621</v>
      </c>
      <c r="X22" s="18">
        <f t="shared" si="10"/>
        <v>13166006</v>
      </c>
      <c r="Y22" s="235">
        <f t="shared" si="11"/>
        <v>16321627</v>
      </c>
      <c r="Z22" s="18">
        <v>274273</v>
      </c>
      <c r="AA22" s="18">
        <v>536158</v>
      </c>
      <c r="AB22" s="18">
        <f t="shared" si="12"/>
        <v>810431</v>
      </c>
      <c r="AC22" s="352">
        <v>0</v>
      </c>
      <c r="AD22" s="18">
        <v>0</v>
      </c>
      <c r="AE22" s="18">
        <f t="shared" si="13"/>
        <v>0</v>
      </c>
      <c r="AF22" s="352">
        <f t="shared" si="38"/>
        <v>12600812</v>
      </c>
      <c r="AG22" s="353">
        <f t="shared" si="38"/>
        <v>16201218</v>
      </c>
      <c r="AH22" s="353">
        <f t="shared" si="31"/>
        <v>28802030</v>
      </c>
      <c r="AI22" s="353">
        <f t="shared" si="39"/>
        <v>11521425</v>
      </c>
      <c r="AJ22" s="353">
        <f t="shared" si="40"/>
        <v>0</v>
      </c>
      <c r="AK22" s="353">
        <f t="shared" si="32"/>
        <v>11521425</v>
      </c>
      <c r="AL22" s="353">
        <f t="shared" si="41"/>
        <v>2851459</v>
      </c>
      <c r="AM22" s="353">
        <f t="shared" si="41"/>
        <v>0</v>
      </c>
      <c r="AN22" s="353">
        <f t="shared" si="33"/>
        <v>2851459</v>
      </c>
      <c r="AO22" s="353">
        <f t="shared" si="42"/>
        <v>0</v>
      </c>
      <c r="AP22" s="353">
        <f t="shared" si="42"/>
        <v>0</v>
      </c>
      <c r="AQ22" s="353">
        <f t="shared" si="34"/>
        <v>0</v>
      </c>
      <c r="AR22" s="353">
        <f t="shared" si="43"/>
        <v>0</v>
      </c>
      <c r="AS22" s="353">
        <f t="shared" si="43"/>
        <v>0</v>
      </c>
      <c r="AT22" s="353">
        <f t="shared" si="35"/>
        <v>0</v>
      </c>
      <c r="AU22" s="353">
        <f t="shared" si="44"/>
        <v>0</v>
      </c>
      <c r="AV22" s="353">
        <f t="shared" si="44"/>
        <v>0</v>
      </c>
      <c r="AW22" s="353">
        <f t="shared" si="36"/>
        <v>0</v>
      </c>
      <c r="AX22" s="353">
        <f t="shared" si="45"/>
        <v>0</v>
      </c>
      <c r="AY22" s="353">
        <f t="shared" si="45"/>
        <v>0</v>
      </c>
      <c r="AZ22" s="353">
        <f t="shared" si="46"/>
        <v>0</v>
      </c>
      <c r="BA22" s="354">
        <f t="shared" si="37"/>
        <v>43174914</v>
      </c>
    </row>
    <row r="23" spans="1:53" ht="14.25" hidden="1" thickBot="1">
      <c r="A23" s="138">
        <v>40756</v>
      </c>
      <c r="B23" s="18">
        <v>1961596</v>
      </c>
      <c r="C23" s="18">
        <v>22822671</v>
      </c>
      <c r="D23" s="18">
        <f t="shared" si="1"/>
        <v>24784267</v>
      </c>
      <c r="E23" s="18">
        <f t="shared" si="2"/>
        <v>1145938</v>
      </c>
      <c r="F23" s="18">
        <v>0</v>
      </c>
      <c r="G23" s="18">
        <f t="shared" si="3"/>
        <v>1145938</v>
      </c>
      <c r="H23" s="18">
        <v>484550</v>
      </c>
      <c r="I23" s="18">
        <v>0</v>
      </c>
      <c r="J23" s="18">
        <f t="shared" si="4"/>
        <v>484550</v>
      </c>
      <c r="K23" s="18">
        <v>308293</v>
      </c>
      <c r="L23" s="18">
        <v>0</v>
      </c>
      <c r="M23" s="18">
        <f t="shared" si="5"/>
        <v>308293</v>
      </c>
      <c r="N23" s="18">
        <f t="shared" si="6"/>
        <v>0</v>
      </c>
      <c r="O23" s="18">
        <v>0</v>
      </c>
      <c r="P23" s="18">
        <f t="shared" si="7"/>
        <v>0</v>
      </c>
      <c r="Q23" s="18">
        <v>0</v>
      </c>
      <c r="R23" s="18">
        <v>0</v>
      </c>
      <c r="S23" s="18">
        <f t="shared" si="8"/>
        <v>0</v>
      </c>
      <c r="T23" s="18">
        <v>0</v>
      </c>
      <c r="U23" s="18">
        <v>0</v>
      </c>
      <c r="V23" s="18">
        <f t="shared" si="30"/>
        <v>0</v>
      </c>
      <c r="W23" s="18">
        <f t="shared" si="0"/>
        <v>3900377</v>
      </c>
      <c r="X23" s="18">
        <f t="shared" si="10"/>
        <v>22822671</v>
      </c>
      <c r="Y23" s="235">
        <f t="shared" si="11"/>
        <v>26723048</v>
      </c>
      <c r="Z23" s="18">
        <v>580234</v>
      </c>
      <c r="AA23" s="18">
        <v>565704</v>
      </c>
      <c r="AB23" s="18">
        <f t="shared" si="12"/>
        <v>1145938</v>
      </c>
      <c r="AC23" s="352">
        <v>0</v>
      </c>
      <c r="AD23" s="18">
        <v>0</v>
      </c>
      <c r="AE23" s="18">
        <f t="shared" si="13"/>
        <v>0</v>
      </c>
      <c r="AF23" s="352">
        <f t="shared" si="38"/>
        <v>14562408</v>
      </c>
      <c r="AG23" s="353">
        <f t="shared" si="38"/>
        <v>39023889</v>
      </c>
      <c r="AH23" s="353">
        <f t="shared" si="31"/>
        <v>53586297</v>
      </c>
      <c r="AI23" s="353">
        <f t="shared" si="39"/>
        <v>12331856</v>
      </c>
      <c r="AJ23" s="353">
        <f t="shared" si="40"/>
        <v>0</v>
      </c>
      <c r="AK23" s="353">
        <f t="shared" si="32"/>
        <v>12331856</v>
      </c>
      <c r="AL23" s="353">
        <f t="shared" si="41"/>
        <v>3336009</v>
      </c>
      <c r="AM23" s="353">
        <f t="shared" si="41"/>
        <v>0</v>
      </c>
      <c r="AN23" s="353">
        <f t="shared" si="33"/>
        <v>3336009</v>
      </c>
      <c r="AO23" s="353">
        <f t="shared" si="42"/>
        <v>308293</v>
      </c>
      <c r="AP23" s="353">
        <f t="shared" si="42"/>
        <v>0</v>
      </c>
      <c r="AQ23" s="353">
        <f t="shared" si="34"/>
        <v>308293</v>
      </c>
      <c r="AR23" s="353">
        <f t="shared" si="43"/>
        <v>0</v>
      </c>
      <c r="AS23" s="353">
        <f t="shared" si="43"/>
        <v>0</v>
      </c>
      <c r="AT23" s="353">
        <f t="shared" si="35"/>
        <v>0</v>
      </c>
      <c r="AU23" s="353">
        <f t="shared" si="44"/>
        <v>0</v>
      </c>
      <c r="AV23" s="353">
        <f t="shared" si="44"/>
        <v>0</v>
      </c>
      <c r="AW23" s="353">
        <f t="shared" si="36"/>
        <v>0</v>
      </c>
      <c r="AX23" s="353">
        <f t="shared" si="45"/>
        <v>0</v>
      </c>
      <c r="AY23" s="353">
        <f t="shared" si="45"/>
        <v>0</v>
      </c>
      <c r="AZ23" s="353">
        <f t="shared" si="46"/>
        <v>0</v>
      </c>
      <c r="BA23" s="354">
        <f t="shared" si="37"/>
        <v>69562455</v>
      </c>
    </row>
    <row r="24" spans="1:53" ht="14.25" hidden="1" thickBot="1">
      <c r="A24" s="138">
        <v>40787</v>
      </c>
      <c r="B24" s="18">
        <v>1836413</v>
      </c>
      <c r="C24" s="18">
        <v>35850732</v>
      </c>
      <c r="D24" s="18">
        <f t="shared" si="1"/>
        <v>37687145</v>
      </c>
      <c r="E24" s="18">
        <f t="shared" si="2"/>
        <v>1889562</v>
      </c>
      <c r="F24" s="18">
        <v>0</v>
      </c>
      <c r="G24" s="18">
        <f t="shared" si="3"/>
        <v>1889562</v>
      </c>
      <c r="H24" s="18">
        <v>167520</v>
      </c>
      <c r="I24" s="18">
        <v>0</v>
      </c>
      <c r="J24" s="18">
        <f t="shared" si="4"/>
        <v>167520</v>
      </c>
      <c r="K24" s="18">
        <v>297653</v>
      </c>
      <c r="L24" s="18">
        <v>0</v>
      </c>
      <c r="M24" s="18">
        <f t="shared" si="5"/>
        <v>297653</v>
      </c>
      <c r="N24" s="18">
        <f t="shared" si="6"/>
        <v>0</v>
      </c>
      <c r="O24" s="18">
        <v>0</v>
      </c>
      <c r="P24" s="18">
        <f t="shared" si="7"/>
        <v>0</v>
      </c>
      <c r="Q24" s="18">
        <v>0</v>
      </c>
      <c r="R24" s="18">
        <v>0</v>
      </c>
      <c r="S24" s="18">
        <f t="shared" si="8"/>
        <v>0</v>
      </c>
      <c r="T24" s="18">
        <v>0</v>
      </c>
      <c r="U24" s="18">
        <v>0</v>
      </c>
      <c r="V24" s="18">
        <f t="shared" si="30"/>
        <v>0</v>
      </c>
      <c r="W24" s="18">
        <f t="shared" si="0"/>
        <v>4191148</v>
      </c>
      <c r="X24" s="18">
        <f t="shared" si="10"/>
        <v>35850732</v>
      </c>
      <c r="Y24" s="235">
        <f t="shared" si="11"/>
        <v>40041880</v>
      </c>
      <c r="Z24" s="18">
        <v>1263302</v>
      </c>
      <c r="AA24" s="18">
        <v>626260</v>
      </c>
      <c r="AB24" s="18">
        <f t="shared" si="12"/>
        <v>1889562</v>
      </c>
      <c r="AC24" s="352">
        <v>0</v>
      </c>
      <c r="AD24" s="18">
        <v>0</v>
      </c>
      <c r="AE24" s="18">
        <f t="shared" si="13"/>
        <v>0</v>
      </c>
      <c r="AF24" s="352">
        <f t="shared" si="38"/>
        <v>16398821</v>
      </c>
      <c r="AG24" s="353">
        <f t="shared" si="38"/>
        <v>74874621</v>
      </c>
      <c r="AH24" s="353">
        <f t="shared" si="31"/>
        <v>91273442</v>
      </c>
      <c r="AI24" s="353">
        <f t="shared" si="39"/>
        <v>13477794</v>
      </c>
      <c r="AJ24" s="353">
        <f t="shared" si="40"/>
        <v>0</v>
      </c>
      <c r="AK24" s="353">
        <f t="shared" si="32"/>
        <v>13477794</v>
      </c>
      <c r="AL24" s="353">
        <f t="shared" si="41"/>
        <v>3503529</v>
      </c>
      <c r="AM24" s="353">
        <f t="shared" si="41"/>
        <v>0</v>
      </c>
      <c r="AN24" s="353">
        <f t="shared" si="33"/>
        <v>3503529</v>
      </c>
      <c r="AO24" s="353">
        <f t="shared" si="42"/>
        <v>605946</v>
      </c>
      <c r="AP24" s="353">
        <f t="shared" si="42"/>
        <v>0</v>
      </c>
      <c r="AQ24" s="353">
        <f t="shared" si="34"/>
        <v>605946</v>
      </c>
      <c r="AR24" s="353">
        <f t="shared" si="43"/>
        <v>0</v>
      </c>
      <c r="AS24" s="353">
        <f t="shared" si="43"/>
        <v>0</v>
      </c>
      <c r="AT24" s="353">
        <f t="shared" si="35"/>
        <v>0</v>
      </c>
      <c r="AU24" s="353">
        <f t="shared" si="44"/>
        <v>0</v>
      </c>
      <c r="AV24" s="353">
        <f t="shared" si="44"/>
        <v>0</v>
      </c>
      <c r="AW24" s="353">
        <f t="shared" si="36"/>
        <v>0</v>
      </c>
      <c r="AX24" s="353">
        <f t="shared" si="45"/>
        <v>0</v>
      </c>
      <c r="AY24" s="353">
        <f t="shared" si="45"/>
        <v>0</v>
      </c>
      <c r="AZ24" s="353">
        <f t="shared" si="46"/>
        <v>0</v>
      </c>
      <c r="BA24" s="354">
        <f t="shared" si="37"/>
        <v>108860711</v>
      </c>
    </row>
    <row r="25" spans="1:53" ht="14.25" hidden="1" thickBot="1">
      <c r="A25" s="138">
        <v>40817</v>
      </c>
      <c r="B25" s="18">
        <v>1885529</v>
      </c>
      <c r="C25" s="18">
        <v>19149943</v>
      </c>
      <c r="D25" s="18">
        <f t="shared" si="1"/>
        <v>21035472</v>
      </c>
      <c r="E25" s="18">
        <f t="shared" si="2"/>
        <v>1149922</v>
      </c>
      <c r="F25" s="18">
        <v>0</v>
      </c>
      <c r="G25" s="18">
        <f t="shared" si="3"/>
        <v>1149922</v>
      </c>
      <c r="H25" s="18">
        <v>19154</v>
      </c>
      <c r="I25" s="18">
        <v>0</v>
      </c>
      <c r="J25" s="18">
        <f t="shared" si="4"/>
        <v>19154</v>
      </c>
      <c r="K25" s="18">
        <v>207334</v>
      </c>
      <c r="L25" s="18">
        <v>0</v>
      </c>
      <c r="M25" s="18">
        <f t="shared" si="5"/>
        <v>207334</v>
      </c>
      <c r="N25" s="18">
        <f t="shared" si="6"/>
        <v>0</v>
      </c>
      <c r="O25" s="18">
        <v>0</v>
      </c>
      <c r="P25" s="18">
        <f t="shared" si="7"/>
        <v>0</v>
      </c>
      <c r="Q25" s="18">
        <v>0</v>
      </c>
      <c r="R25" s="18">
        <v>0</v>
      </c>
      <c r="S25" s="18">
        <f t="shared" si="8"/>
        <v>0</v>
      </c>
      <c r="T25" s="18">
        <v>0</v>
      </c>
      <c r="U25" s="18">
        <v>0</v>
      </c>
      <c r="V25" s="18">
        <f t="shared" si="30"/>
        <v>0</v>
      </c>
      <c r="W25" s="18">
        <f t="shared" si="0"/>
        <v>3261939</v>
      </c>
      <c r="X25" s="18">
        <f t="shared" si="10"/>
        <v>19149943</v>
      </c>
      <c r="Y25" s="235">
        <f t="shared" si="11"/>
        <v>22411882</v>
      </c>
      <c r="Z25" s="18">
        <v>687473</v>
      </c>
      <c r="AA25" s="18">
        <v>462449</v>
      </c>
      <c r="AB25" s="18">
        <f t="shared" si="12"/>
        <v>1149922</v>
      </c>
      <c r="AC25" s="352">
        <v>0</v>
      </c>
      <c r="AD25" s="18">
        <v>0</v>
      </c>
      <c r="AE25" s="18">
        <f t="shared" si="13"/>
        <v>0</v>
      </c>
      <c r="AF25" s="352">
        <f t="shared" si="38"/>
        <v>18284350</v>
      </c>
      <c r="AG25" s="353">
        <f t="shared" si="38"/>
        <v>94024564</v>
      </c>
      <c r="AH25" s="353">
        <f t="shared" si="31"/>
        <v>112308914</v>
      </c>
      <c r="AI25" s="353">
        <f t="shared" si="39"/>
        <v>15367356</v>
      </c>
      <c r="AJ25" s="353">
        <f t="shared" si="40"/>
        <v>0</v>
      </c>
      <c r="AK25" s="353">
        <f t="shared" si="32"/>
        <v>15367356</v>
      </c>
      <c r="AL25" s="353">
        <f t="shared" si="41"/>
        <v>3522683</v>
      </c>
      <c r="AM25" s="353">
        <f t="shared" si="41"/>
        <v>0</v>
      </c>
      <c r="AN25" s="353">
        <f t="shared" si="33"/>
        <v>3522683</v>
      </c>
      <c r="AO25" s="353">
        <f t="shared" si="42"/>
        <v>813280</v>
      </c>
      <c r="AP25" s="353">
        <f t="shared" si="42"/>
        <v>0</v>
      </c>
      <c r="AQ25" s="353">
        <f t="shared" si="34"/>
        <v>813280</v>
      </c>
      <c r="AR25" s="353">
        <f t="shared" si="43"/>
        <v>0</v>
      </c>
      <c r="AS25" s="353">
        <f t="shared" si="43"/>
        <v>0</v>
      </c>
      <c r="AT25" s="353">
        <f t="shared" si="35"/>
        <v>0</v>
      </c>
      <c r="AU25" s="353">
        <f t="shared" si="44"/>
        <v>0</v>
      </c>
      <c r="AV25" s="353">
        <f t="shared" si="44"/>
        <v>0</v>
      </c>
      <c r="AW25" s="353">
        <f t="shared" si="36"/>
        <v>0</v>
      </c>
      <c r="AX25" s="353">
        <f t="shared" si="45"/>
        <v>0</v>
      </c>
      <c r="AY25" s="353">
        <f t="shared" si="45"/>
        <v>0</v>
      </c>
      <c r="AZ25" s="353">
        <f t="shared" si="46"/>
        <v>0</v>
      </c>
      <c r="BA25" s="354">
        <f t="shared" si="37"/>
        <v>132012233</v>
      </c>
    </row>
    <row r="26" spans="1:53" ht="14.25" hidden="1" thickBot="1">
      <c r="A26" s="138">
        <v>40848</v>
      </c>
      <c r="B26" s="18">
        <v>1644525</v>
      </c>
      <c r="C26" s="18">
        <v>25215515</v>
      </c>
      <c r="D26" s="18">
        <f t="shared" si="1"/>
        <v>26860040</v>
      </c>
      <c r="E26" s="18">
        <f t="shared" si="2"/>
        <v>1533521</v>
      </c>
      <c r="F26" s="18">
        <v>0</v>
      </c>
      <c r="G26" s="18">
        <f t="shared" si="3"/>
        <v>1533521</v>
      </c>
      <c r="H26" s="18">
        <v>31231</v>
      </c>
      <c r="I26" s="18">
        <v>0</v>
      </c>
      <c r="J26" s="18">
        <f t="shared" si="4"/>
        <v>31231</v>
      </c>
      <c r="K26" s="18">
        <v>297813</v>
      </c>
      <c r="L26" s="18">
        <v>0</v>
      </c>
      <c r="M26" s="18">
        <f t="shared" si="5"/>
        <v>297813</v>
      </c>
      <c r="N26" s="18">
        <f t="shared" si="6"/>
        <v>0</v>
      </c>
      <c r="O26" s="18">
        <v>0</v>
      </c>
      <c r="P26" s="18">
        <f t="shared" si="7"/>
        <v>0</v>
      </c>
      <c r="Q26" s="18">
        <v>0</v>
      </c>
      <c r="R26" s="18">
        <v>0</v>
      </c>
      <c r="S26" s="18">
        <f t="shared" si="8"/>
        <v>0</v>
      </c>
      <c r="T26" s="18">
        <v>0</v>
      </c>
      <c r="U26" s="18">
        <v>0</v>
      </c>
      <c r="V26" s="18">
        <f t="shared" si="30"/>
        <v>0</v>
      </c>
      <c r="W26" s="18">
        <f t="shared" si="0"/>
        <v>3507090</v>
      </c>
      <c r="X26" s="18">
        <f t="shared" si="10"/>
        <v>25215515</v>
      </c>
      <c r="Y26" s="235">
        <f t="shared" si="11"/>
        <v>28722605</v>
      </c>
      <c r="Z26" s="18">
        <v>1280544</v>
      </c>
      <c r="AA26" s="18">
        <v>252977</v>
      </c>
      <c r="AB26" s="18">
        <f t="shared" si="12"/>
        <v>1533521</v>
      </c>
      <c r="AC26" s="352">
        <v>0</v>
      </c>
      <c r="AD26" s="18">
        <v>0</v>
      </c>
      <c r="AE26" s="18">
        <f t="shared" si="13"/>
        <v>0</v>
      </c>
      <c r="AF26" s="352">
        <f t="shared" si="38"/>
        <v>19928875</v>
      </c>
      <c r="AG26" s="353">
        <f t="shared" si="38"/>
        <v>119240079</v>
      </c>
      <c r="AH26" s="353">
        <f t="shared" si="31"/>
        <v>139168954</v>
      </c>
      <c r="AI26" s="353">
        <f t="shared" si="39"/>
        <v>16517278</v>
      </c>
      <c r="AJ26" s="353">
        <f t="shared" si="40"/>
        <v>0</v>
      </c>
      <c r="AK26" s="353">
        <f t="shared" si="32"/>
        <v>16517278</v>
      </c>
      <c r="AL26" s="353">
        <f t="shared" si="41"/>
        <v>3553914</v>
      </c>
      <c r="AM26" s="353">
        <f t="shared" si="41"/>
        <v>0</v>
      </c>
      <c r="AN26" s="353">
        <f t="shared" si="33"/>
        <v>3553914</v>
      </c>
      <c r="AO26" s="353">
        <f t="shared" si="42"/>
        <v>1111093</v>
      </c>
      <c r="AP26" s="353">
        <f t="shared" si="42"/>
        <v>0</v>
      </c>
      <c r="AQ26" s="353">
        <f t="shared" si="34"/>
        <v>1111093</v>
      </c>
      <c r="AR26" s="353">
        <f t="shared" si="43"/>
        <v>0</v>
      </c>
      <c r="AS26" s="353">
        <f t="shared" si="43"/>
        <v>0</v>
      </c>
      <c r="AT26" s="353">
        <f t="shared" si="35"/>
        <v>0</v>
      </c>
      <c r="AU26" s="353">
        <f t="shared" si="44"/>
        <v>0</v>
      </c>
      <c r="AV26" s="353">
        <f t="shared" si="44"/>
        <v>0</v>
      </c>
      <c r="AW26" s="353">
        <f t="shared" si="36"/>
        <v>0</v>
      </c>
      <c r="AX26" s="353">
        <f t="shared" si="45"/>
        <v>0</v>
      </c>
      <c r="AY26" s="353">
        <f t="shared" si="45"/>
        <v>0</v>
      </c>
      <c r="AZ26" s="353">
        <f t="shared" si="46"/>
        <v>0</v>
      </c>
      <c r="BA26" s="354">
        <f t="shared" si="37"/>
        <v>160351239</v>
      </c>
    </row>
    <row r="27" spans="1:53" ht="13.5" hidden="1" customHeight="1" thickBot="1">
      <c r="A27" s="138">
        <v>40878</v>
      </c>
      <c r="B27" s="18">
        <v>1394142</v>
      </c>
      <c r="C27" s="18">
        <v>53185709</v>
      </c>
      <c r="D27" s="18">
        <f t="shared" si="1"/>
        <v>54579851</v>
      </c>
      <c r="E27" s="18">
        <f t="shared" si="2"/>
        <v>943950</v>
      </c>
      <c r="F27" s="18">
        <v>0</v>
      </c>
      <c r="G27" s="18">
        <f t="shared" si="3"/>
        <v>943950</v>
      </c>
      <c r="H27" s="18">
        <v>308830</v>
      </c>
      <c r="I27" s="18">
        <v>0</v>
      </c>
      <c r="J27" s="18">
        <f t="shared" si="4"/>
        <v>308830</v>
      </c>
      <c r="K27" s="18">
        <v>312801</v>
      </c>
      <c r="L27" s="18">
        <v>0</v>
      </c>
      <c r="M27" s="18">
        <f t="shared" si="5"/>
        <v>312801</v>
      </c>
      <c r="N27" s="18">
        <f t="shared" si="6"/>
        <v>0</v>
      </c>
      <c r="O27" s="18">
        <v>0</v>
      </c>
      <c r="P27" s="18">
        <f t="shared" si="7"/>
        <v>0</v>
      </c>
      <c r="Q27" s="18">
        <v>0</v>
      </c>
      <c r="R27" s="18">
        <v>0</v>
      </c>
      <c r="S27" s="18">
        <f t="shared" si="8"/>
        <v>0</v>
      </c>
      <c r="T27" s="18">
        <v>0</v>
      </c>
      <c r="U27" s="18">
        <v>0</v>
      </c>
      <c r="V27" s="18">
        <f t="shared" si="30"/>
        <v>0</v>
      </c>
      <c r="W27" s="18">
        <f t="shared" si="0"/>
        <v>2959723</v>
      </c>
      <c r="X27" s="18">
        <f t="shared" si="10"/>
        <v>53185709</v>
      </c>
      <c r="Y27" s="235">
        <f t="shared" si="11"/>
        <v>56145432</v>
      </c>
      <c r="Z27" s="18">
        <v>419381</v>
      </c>
      <c r="AA27" s="18">
        <v>524569</v>
      </c>
      <c r="AB27" s="18">
        <f t="shared" si="12"/>
        <v>943950</v>
      </c>
      <c r="AC27" s="352">
        <v>0</v>
      </c>
      <c r="AD27" s="18">
        <v>0</v>
      </c>
      <c r="AE27" s="18">
        <f t="shared" si="13"/>
        <v>0</v>
      </c>
      <c r="AF27" s="352">
        <f t="shared" si="38"/>
        <v>21323017</v>
      </c>
      <c r="AG27" s="353">
        <f t="shared" si="38"/>
        <v>172425788</v>
      </c>
      <c r="AH27" s="353">
        <f t="shared" si="31"/>
        <v>193748805</v>
      </c>
      <c r="AI27" s="353">
        <f t="shared" si="39"/>
        <v>18050799</v>
      </c>
      <c r="AJ27" s="353">
        <f t="shared" si="40"/>
        <v>0</v>
      </c>
      <c r="AK27" s="353">
        <f t="shared" si="32"/>
        <v>18050799</v>
      </c>
      <c r="AL27" s="353">
        <f t="shared" si="41"/>
        <v>3862744</v>
      </c>
      <c r="AM27" s="353">
        <f t="shared" si="41"/>
        <v>0</v>
      </c>
      <c r="AN27" s="353">
        <f t="shared" si="33"/>
        <v>3862744</v>
      </c>
      <c r="AO27" s="353">
        <f t="shared" si="42"/>
        <v>1423894</v>
      </c>
      <c r="AP27" s="353">
        <f t="shared" si="42"/>
        <v>0</v>
      </c>
      <c r="AQ27" s="353">
        <f t="shared" si="34"/>
        <v>1423894</v>
      </c>
      <c r="AR27" s="353">
        <f t="shared" si="43"/>
        <v>0</v>
      </c>
      <c r="AS27" s="353">
        <f t="shared" si="43"/>
        <v>0</v>
      </c>
      <c r="AT27" s="353">
        <f t="shared" si="35"/>
        <v>0</v>
      </c>
      <c r="AU27" s="353">
        <f t="shared" si="44"/>
        <v>0</v>
      </c>
      <c r="AV27" s="353">
        <f t="shared" si="44"/>
        <v>0</v>
      </c>
      <c r="AW27" s="353">
        <f t="shared" si="36"/>
        <v>0</v>
      </c>
      <c r="AX27" s="353">
        <f t="shared" si="45"/>
        <v>0</v>
      </c>
      <c r="AY27" s="353">
        <f t="shared" si="45"/>
        <v>0</v>
      </c>
      <c r="AZ27" s="353">
        <f t="shared" si="46"/>
        <v>0</v>
      </c>
      <c r="BA27" s="354">
        <f t="shared" si="37"/>
        <v>217086242</v>
      </c>
    </row>
    <row r="28" spans="1:53" ht="14.25" hidden="1" thickBot="1">
      <c r="A28" s="141">
        <v>40909</v>
      </c>
      <c r="B28" s="143">
        <v>2206799</v>
      </c>
      <c r="C28" s="143">
        <v>3924080</v>
      </c>
      <c r="D28" s="143">
        <f t="shared" si="1"/>
        <v>6130879</v>
      </c>
      <c r="E28" s="143">
        <f t="shared" si="2"/>
        <v>512733</v>
      </c>
      <c r="F28" s="143">
        <v>0</v>
      </c>
      <c r="G28" s="143">
        <f t="shared" si="3"/>
        <v>512733</v>
      </c>
      <c r="H28" s="143">
        <v>59505</v>
      </c>
      <c r="I28" s="143">
        <v>0</v>
      </c>
      <c r="J28" s="143">
        <f t="shared" si="4"/>
        <v>59505</v>
      </c>
      <c r="K28" s="143">
        <v>264944</v>
      </c>
      <c r="L28" s="143">
        <v>0</v>
      </c>
      <c r="M28" s="143">
        <f t="shared" si="5"/>
        <v>264944</v>
      </c>
      <c r="N28" s="143">
        <f t="shared" si="6"/>
        <v>0</v>
      </c>
      <c r="O28" s="143">
        <v>0</v>
      </c>
      <c r="P28" s="143">
        <f t="shared" si="7"/>
        <v>0</v>
      </c>
      <c r="Q28" s="143">
        <v>0</v>
      </c>
      <c r="R28" s="143">
        <v>0</v>
      </c>
      <c r="S28" s="143">
        <f t="shared" si="8"/>
        <v>0</v>
      </c>
      <c r="T28" s="143">
        <v>0</v>
      </c>
      <c r="U28" s="143">
        <v>0</v>
      </c>
      <c r="V28" s="143">
        <f>U28+T28</f>
        <v>0</v>
      </c>
      <c r="W28" s="143">
        <f t="shared" si="0"/>
        <v>3043981</v>
      </c>
      <c r="X28" s="143">
        <f t="shared" si="10"/>
        <v>3924080</v>
      </c>
      <c r="Y28" s="237">
        <f t="shared" si="11"/>
        <v>6968061</v>
      </c>
      <c r="Z28" s="143">
        <v>50472</v>
      </c>
      <c r="AA28" s="143">
        <v>462261</v>
      </c>
      <c r="AB28" s="143">
        <f>AA28+Z28</f>
        <v>512733</v>
      </c>
      <c r="AC28" s="349">
        <v>0</v>
      </c>
      <c r="AD28" s="143">
        <v>0</v>
      </c>
      <c r="AE28" s="143">
        <f t="shared" si="13"/>
        <v>0</v>
      </c>
      <c r="AF28" s="349">
        <f>B28</f>
        <v>2206799</v>
      </c>
      <c r="AG28" s="350">
        <f>C28</f>
        <v>3924080</v>
      </c>
      <c r="AH28" s="350">
        <f>AG28+AF28</f>
        <v>6130879</v>
      </c>
      <c r="AI28" s="350">
        <f>E28</f>
        <v>512733</v>
      </c>
      <c r="AJ28" s="350">
        <f>F28</f>
        <v>0</v>
      </c>
      <c r="AK28" s="350">
        <f>AJ28+AI28</f>
        <v>512733</v>
      </c>
      <c r="AL28" s="350">
        <f>H28</f>
        <v>59505</v>
      </c>
      <c r="AM28" s="350">
        <f>I28</f>
        <v>0</v>
      </c>
      <c r="AN28" s="350">
        <f>AM28+AL28</f>
        <v>59505</v>
      </c>
      <c r="AO28" s="350">
        <f>K28</f>
        <v>264944</v>
      </c>
      <c r="AP28" s="350">
        <f>L28</f>
        <v>0</v>
      </c>
      <c r="AQ28" s="350">
        <f>AP28+AO28</f>
        <v>264944</v>
      </c>
      <c r="AR28" s="350">
        <f>N28</f>
        <v>0</v>
      </c>
      <c r="AS28" s="350">
        <f>O28</f>
        <v>0</v>
      </c>
      <c r="AT28" s="350">
        <f>AS28+AR28</f>
        <v>0</v>
      </c>
      <c r="AU28" s="350">
        <f>Q28</f>
        <v>0</v>
      </c>
      <c r="AV28" s="350">
        <f>R28</f>
        <v>0</v>
      </c>
      <c r="AW28" s="350">
        <f>AV28+AU28</f>
        <v>0</v>
      </c>
      <c r="AX28" s="350">
        <f>T28</f>
        <v>0</v>
      </c>
      <c r="AY28" s="350">
        <f>U28</f>
        <v>0</v>
      </c>
      <c r="AZ28" s="350">
        <f>SUM(AX28:AY28)</f>
        <v>0</v>
      </c>
      <c r="BA28" s="351">
        <f>AW28+AT28+AQ28+AN28+AK28+AH28+AZ28</f>
        <v>6968061</v>
      </c>
    </row>
    <row r="29" spans="1:53" ht="14.25" hidden="1" thickBot="1">
      <c r="A29" s="138">
        <v>40940</v>
      </c>
      <c r="B29" s="18">
        <v>2190906</v>
      </c>
      <c r="C29" s="18">
        <v>0</v>
      </c>
      <c r="D29" s="18">
        <f t="shared" si="1"/>
        <v>2190906</v>
      </c>
      <c r="E29" s="18">
        <f t="shared" si="2"/>
        <v>1722881</v>
      </c>
      <c r="F29" s="18">
        <v>0</v>
      </c>
      <c r="G29" s="18">
        <f t="shared" si="3"/>
        <v>1722881</v>
      </c>
      <c r="H29" s="18">
        <v>25663</v>
      </c>
      <c r="I29" s="18">
        <v>0</v>
      </c>
      <c r="J29" s="18">
        <f t="shared" si="4"/>
        <v>25663</v>
      </c>
      <c r="K29" s="18">
        <v>295752</v>
      </c>
      <c r="L29" s="18">
        <v>0</v>
      </c>
      <c r="M29" s="18">
        <f t="shared" si="5"/>
        <v>295752</v>
      </c>
      <c r="N29" s="18">
        <f t="shared" si="6"/>
        <v>0</v>
      </c>
      <c r="O29" s="18">
        <v>0</v>
      </c>
      <c r="P29" s="18">
        <f t="shared" si="7"/>
        <v>0</v>
      </c>
      <c r="Q29" s="18">
        <v>0</v>
      </c>
      <c r="R29" s="18">
        <v>0</v>
      </c>
      <c r="S29" s="18">
        <f t="shared" si="8"/>
        <v>0</v>
      </c>
      <c r="T29" s="18">
        <v>0</v>
      </c>
      <c r="U29" s="18">
        <v>0</v>
      </c>
      <c r="V29" s="18">
        <f t="shared" ref="V29:V39" si="47">U29+T29</f>
        <v>0</v>
      </c>
      <c r="W29" s="18">
        <f t="shared" si="0"/>
        <v>4235202</v>
      </c>
      <c r="X29" s="18">
        <f t="shared" si="10"/>
        <v>0</v>
      </c>
      <c r="Y29" s="235">
        <f t="shared" si="11"/>
        <v>4235202</v>
      </c>
      <c r="Z29" s="18">
        <v>1390888</v>
      </c>
      <c r="AA29" s="18">
        <v>331993</v>
      </c>
      <c r="AB29" s="18">
        <f t="shared" si="12"/>
        <v>1722881</v>
      </c>
      <c r="AC29" s="352">
        <v>0</v>
      </c>
      <c r="AD29" s="18">
        <v>0</v>
      </c>
      <c r="AE29" s="18">
        <f t="shared" si="13"/>
        <v>0</v>
      </c>
      <c r="AF29" s="352">
        <f>B29+AF28</f>
        <v>4397705</v>
      </c>
      <c r="AG29" s="353">
        <f>C29+AG28</f>
        <v>3924080</v>
      </c>
      <c r="AH29" s="353">
        <f t="shared" ref="AH29:AH39" si="48">AG29+AF29</f>
        <v>8321785</v>
      </c>
      <c r="AI29" s="353">
        <f>AI28+E28</f>
        <v>1025466</v>
      </c>
      <c r="AJ29" s="353">
        <f>AJ28+F29</f>
        <v>0</v>
      </c>
      <c r="AK29" s="353">
        <f t="shared" ref="AK29:AK39" si="49">AJ29+AI29</f>
        <v>1025466</v>
      </c>
      <c r="AL29" s="353">
        <f>AL28+H29</f>
        <v>85168</v>
      </c>
      <c r="AM29" s="353">
        <f>AM28+I29</f>
        <v>0</v>
      </c>
      <c r="AN29" s="353">
        <f t="shared" ref="AN29:AN39" si="50">AM29+AL29</f>
        <v>85168</v>
      </c>
      <c r="AO29" s="353">
        <f>AO28+K29</f>
        <v>560696</v>
      </c>
      <c r="AP29" s="353">
        <f>AP28+L29</f>
        <v>0</v>
      </c>
      <c r="AQ29" s="353">
        <f t="shared" ref="AQ29:AQ39" si="51">AP29+AO29</f>
        <v>560696</v>
      </c>
      <c r="AR29" s="353">
        <f>AR28+N29</f>
        <v>0</v>
      </c>
      <c r="AS29" s="353">
        <f>AS28+O29</f>
        <v>0</v>
      </c>
      <c r="AT29" s="353">
        <f t="shared" ref="AT29:AT39" si="52">AS29+AR29</f>
        <v>0</v>
      </c>
      <c r="AU29" s="353">
        <f>AU28+Q29</f>
        <v>0</v>
      </c>
      <c r="AV29" s="353">
        <f>AV28+R29</f>
        <v>0</v>
      </c>
      <c r="AW29" s="353">
        <f t="shared" ref="AW29:AW39" si="53">AV29+AU29</f>
        <v>0</v>
      </c>
      <c r="AX29" s="353">
        <f>AX28+T29</f>
        <v>0</v>
      </c>
      <c r="AY29" s="353">
        <f>AY28+U29</f>
        <v>0</v>
      </c>
      <c r="AZ29" s="353">
        <f>SUM(AX29:AY29)</f>
        <v>0</v>
      </c>
      <c r="BA29" s="354">
        <f t="shared" ref="BA29:BA39" si="54">AW29+AT29+AQ29+AN29+AK29+AH29+AZ29</f>
        <v>9993115</v>
      </c>
    </row>
    <row r="30" spans="1:53" ht="14.25" hidden="1" thickBot="1">
      <c r="A30" s="138">
        <v>40969</v>
      </c>
      <c r="B30" s="18">
        <v>2084816</v>
      </c>
      <c r="C30" s="18">
        <v>18534884</v>
      </c>
      <c r="D30" s="18">
        <f t="shared" si="1"/>
        <v>20619700</v>
      </c>
      <c r="E30" s="18">
        <f t="shared" si="2"/>
        <v>649714</v>
      </c>
      <c r="F30" s="18">
        <v>0</v>
      </c>
      <c r="G30" s="18">
        <f t="shared" si="3"/>
        <v>649714</v>
      </c>
      <c r="H30" s="18">
        <v>6454</v>
      </c>
      <c r="I30" s="18">
        <v>0</v>
      </c>
      <c r="J30" s="18">
        <f t="shared" si="4"/>
        <v>6454</v>
      </c>
      <c r="K30" s="18">
        <v>239203</v>
      </c>
      <c r="L30" s="18">
        <v>0</v>
      </c>
      <c r="M30" s="18">
        <f t="shared" si="5"/>
        <v>239203</v>
      </c>
      <c r="N30" s="18">
        <f t="shared" si="6"/>
        <v>0</v>
      </c>
      <c r="O30" s="18">
        <v>0</v>
      </c>
      <c r="P30" s="18">
        <f t="shared" si="7"/>
        <v>0</v>
      </c>
      <c r="Q30" s="18">
        <v>0</v>
      </c>
      <c r="R30" s="18">
        <v>0</v>
      </c>
      <c r="S30" s="18">
        <f t="shared" si="8"/>
        <v>0</v>
      </c>
      <c r="T30" s="18">
        <v>0</v>
      </c>
      <c r="U30" s="18">
        <v>0</v>
      </c>
      <c r="V30" s="18">
        <f t="shared" si="47"/>
        <v>0</v>
      </c>
      <c r="W30" s="18">
        <f t="shared" si="0"/>
        <v>2980187</v>
      </c>
      <c r="X30" s="18">
        <f t="shared" si="10"/>
        <v>18534884</v>
      </c>
      <c r="Y30" s="235">
        <f t="shared" si="11"/>
        <v>21515071</v>
      </c>
      <c r="Z30" s="18">
        <v>362441</v>
      </c>
      <c r="AA30" s="18">
        <v>287273</v>
      </c>
      <c r="AB30" s="18">
        <f t="shared" si="12"/>
        <v>649714</v>
      </c>
      <c r="AC30" s="352">
        <v>0</v>
      </c>
      <c r="AD30" s="18">
        <v>0</v>
      </c>
      <c r="AE30" s="18">
        <f t="shared" si="13"/>
        <v>0</v>
      </c>
      <c r="AF30" s="352">
        <f t="shared" ref="AF30:AG39" si="55">B30+AF29</f>
        <v>6482521</v>
      </c>
      <c r="AG30" s="353">
        <f t="shared" si="55"/>
        <v>22458964</v>
      </c>
      <c r="AH30" s="353">
        <f t="shared" si="48"/>
        <v>28941485</v>
      </c>
      <c r="AI30" s="353">
        <f t="shared" ref="AI30:AI39" si="56">AI29+E29</f>
        <v>2748347</v>
      </c>
      <c r="AJ30" s="353">
        <f t="shared" ref="AJ30:AJ39" si="57">AJ29+F30</f>
        <v>0</v>
      </c>
      <c r="AK30" s="353">
        <f t="shared" si="49"/>
        <v>2748347</v>
      </c>
      <c r="AL30" s="353">
        <f t="shared" ref="AL30:AM39" si="58">AL29+H30</f>
        <v>91622</v>
      </c>
      <c r="AM30" s="353">
        <f t="shared" si="58"/>
        <v>0</v>
      </c>
      <c r="AN30" s="353">
        <f t="shared" si="50"/>
        <v>91622</v>
      </c>
      <c r="AO30" s="353">
        <f t="shared" ref="AO30:AP39" si="59">AO29+K30</f>
        <v>799899</v>
      </c>
      <c r="AP30" s="353">
        <f t="shared" si="59"/>
        <v>0</v>
      </c>
      <c r="AQ30" s="353">
        <f t="shared" si="51"/>
        <v>799899</v>
      </c>
      <c r="AR30" s="353">
        <f t="shared" ref="AR30:AS39" si="60">AR29+N30</f>
        <v>0</v>
      </c>
      <c r="AS30" s="353">
        <f t="shared" si="60"/>
        <v>0</v>
      </c>
      <c r="AT30" s="353">
        <f t="shared" si="52"/>
        <v>0</v>
      </c>
      <c r="AU30" s="353">
        <f t="shared" ref="AU30:AV39" si="61">AU29+Q30</f>
        <v>0</v>
      </c>
      <c r="AV30" s="353">
        <f t="shared" si="61"/>
        <v>0</v>
      </c>
      <c r="AW30" s="353">
        <f t="shared" si="53"/>
        <v>0</v>
      </c>
      <c r="AX30" s="353">
        <f t="shared" ref="AX30:AY39" si="62">AX29+T30</f>
        <v>0</v>
      </c>
      <c r="AY30" s="353">
        <f t="shared" si="62"/>
        <v>0</v>
      </c>
      <c r="AZ30" s="353">
        <f t="shared" ref="AZ30:AZ39" si="63">SUM(AX30:AY30)</f>
        <v>0</v>
      </c>
      <c r="BA30" s="354">
        <f t="shared" si="54"/>
        <v>32581353</v>
      </c>
    </row>
    <row r="31" spans="1:53" ht="14.25" hidden="1" thickBot="1">
      <c r="A31" s="138">
        <v>41000</v>
      </c>
      <c r="B31" s="18">
        <v>2237130</v>
      </c>
      <c r="C31" s="18">
        <v>13760307</v>
      </c>
      <c r="D31" s="18">
        <f t="shared" si="1"/>
        <v>15997437</v>
      </c>
      <c r="E31" s="18">
        <f t="shared" si="2"/>
        <v>370302</v>
      </c>
      <c r="F31" s="18">
        <v>0</v>
      </c>
      <c r="G31" s="18">
        <f t="shared" si="3"/>
        <v>370302</v>
      </c>
      <c r="H31" s="18">
        <v>0</v>
      </c>
      <c r="I31" s="18">
        <v>0</v>
      </c>
      <c r="J31" s="18">
        <f t="shared" si="4"/>
        <v>0</v>
      </c>
      <c r="K31" s="18">
        <v>233286</v>
      </c>
      <c r="L31" s="18">
        <v>0</v>
      </c>
      <c r="M31" s="18">
        <f t="shared" si="5"/>
        <v>233286</v>
      </c>
      <c r="N31" s="18">
        <f t="shared" si="6"/>
        <v>0</v>
      </c>
      <c r="O31" s="18">
        <v>0</v>
      </c>
      <c r="P31" s="18">
        <f t="shared" si="7"/>
        <v>0</v>
      </c>
      <c r="Q31" s="18">
        <v>0</v>
      </c>
      <c r="R31" s="18">
        <v>0</v>
      </c>
      <c r="S31" s="18">
        <f t="shared" si="8"/>
        <v>0</v>
      </c>
      <c r="T31" s="18">
        <v>0</v>
      </c>
      <c r="U31" s="18">
        <v>0</v>
      </c>
      <c r="V31" s="18">
        <f t="shared" si="47"/>
        <v>0</v>
      </c>
      <c r="W31" s="18">
        <f t="shared" si="0"/>
        <v>2840718</v>
      </c>
      <c r="X31" s="18">
        <f t="shared" si="10"/>
        <v>13760307</v>
      </c>
      <c r="Y31" s="235">
        <f t="shared" si="11"/>
        <v>16601025</v>
      </c>
      <c r="Z31" s="18">
        <v>1300</v>
      </c>
      <c r="AA31" s="18">
        <v>369002</v>
      </c>
      <c r="AB31" s="18">
        <f t="shared" si="12"/>
        <v>370302</v>
      </c>
      <c r="AC31" s="352">
        <v>0</v>
      </c>
      <c r="AD31" s="18">
        <v>0</v>
      </c>
      <c r="AE31" s="18">
        <f t="shared" si="13"/>
        <v>0</v>
      </c>
      <c r="AF31" s="352">
        <f t="shared" si="55"/>
        <v>8719651</v>
      </c>
      <c r="AG31" s="353">
        <f t="shared" si="55"/>
        <v>36219271</v>
      </c>
      <c r="AH31" s="353">
        <f t="shared" si="48"/>
        <v>44938922</v>
      </c>
      <c r="AI31" s="353">
        <f t="shared" si="56"/>
        <v>3398061</v>
      </c>
      <c r="AJ31" s="353">
        <f t="shared" si="57"/>
        <v>0</v>
      </c>
      <c r="AK31" s="353">
        <f t="shared" si="49"/>
        <v>3398061</v>
      </c>
      <c r="AL31" s="353">
        <f t="shared" si="58"/>
        <v>91622</v>
      </c>
      <c r="AM31" s="353">
        <f t="shared" si="58"/>
        <v>0</v>
      </c>
      <c r="AN31" s="353">
        <f t="shared" si="50"/>
        <v>91622</v>
      </c>
      <c r="AO31" s="353">
        <f t="shared" si="59"/>
        <v>1033185</v>
      </c>
      <c r="AP31" s="353">
        <f t="shared" si="59"/>
        <v>0</v>
      </c>
      <c r="AQ31" s="353">
        <f t="shared" si="51"/>
        <v>1033185</v>
      </c>
      <c r="AR31" s="353">
        <f t="shared" si="60"/>
        <v>0</v>
      </c>
      <c r="AS31" s="353">
        <f t="shared" si="60"/>
        <v>0</v>
      </c>
      <c r="AT31" s="353">
        <f t="shared" si="52"/>
        <v>0</v>
      </c>
      <c r="AU31" s="353">
        <f t="shared" si="61"/>
        <v>0</v>
      </c>
      <c r="AV31" s="353">
        <f t="shared" si="61"/>
        <v>0</v>
      </c>
      <c r="AW31" s="353">
        <f t="shared" si="53"/>
        <v>0</v>
      </c>
      <c r="AX31" s="353">
        <f t="shared" si="62"/>
        <v>0</v>
      </c>
      <c r="AY31" s="353">
        <f t="shared" si="62"/>
        <v>0</v>
      </c>
      <c r="AZ31" s="353">
        <f t="shared" si="63"/>
        <v>0</v>
      </c>
      <c r="BA31" s="354">
        <f t="shared" si="54"/>
        <v>49461790</v>
      </c>
    </row>
    <row r="32" spans="1:53" ht="14.25" hidden="1" thickBot="1">
      <c r="A32" s="138">
        <v>41030</v>
      </c>
      <c r="B32" s="18">
        <v>2609704</v>
      </c>
      <c r="C32" s="18">
        <v>14054596</v>
      </c>
      <c r="D32" s="18">
        <f t="shared" si="1"/>
        <v>16664300</v>
      </c>
      <c r="E32" s="18">
        <f t="shared" si="2"/>
        <v>408502</v>
      </c>
      <c r="F32" s="18">
        <v>0</v>
      </c>
      <c r="G32" s="18">
        <f t="shared" si="3"/>
        <v>408502</v>
      </c>
      <c r="H32" s="18">
        <v>0</v>
      </c>
      <c r="I32" s="18">
        <v>0</v>
      </c>
      <c r="J32" s="18">
        <f t="shared" si="4"/>
        <v>0</v>
      </c>
      <c r="K32" s="18">
        <v>289218</v>
      </c>
      <c r="L32" s="18">
        <v>0</v>
      </c>
      <c r="M32" s="18">
        <f t="shared" si="5"/>
        <v>289218</v>
      </c>
      <c r="N32" s="18">
        <f t="shared" si="6"/>
        <v>0</v>
      </c>
      <c r="O32" s="18">
        <v>0</v>
      </c>
      <c r="P32" s="18">
        <f t="shared" si="7"/>
        <v>0</v>
      </c>
      <c r="Q32" s="18">
        <v>0</v>
      </c>
      <c r="R32" s="18">
        <v>0</v>
      </c>
      <c r="S32" s="18">
        <f t="shared" si="8"/>
        <v>0</v>
      </c>
      <c r="T32" s="18">
        <v>0</v>
      </c>
      <c r="U32" s="18">
        <v>0</v>
      </c>
      <c r="V32" s="18">
        <f t="shared" si="47"/>
        <v>0</v>
      </c>
      <c r="W32" s="18">
        <f t="shared" si="0"/>
        <v>3307424</v>
      </c>
      <c r="X32" s="18">
        <f t="shared" si="10"/>
        <v>14054596</v>
      </c>
      <c r="Y32" s="235">
        <f t="shared" si="11"/>
        <v>17362020</v>
      </c>
      <c r="Z32" s="18">
        <v>1250</v>
      </c>
      <c r="AA32" s="18">
        <v>407252</v>
      </c>
      <c r="AB32" s="18">
        <f t="shared" si="12"/>
        <v>408502</v>
      </c>
      <c r="AC32" s="352">
        <v>0</v>
      </c>
      <c r="AD32" s="18">
        <v>0</v>
      </c>
      <c r="AE32" s="18">
        <f t="shared" si="13"/>
        <v>0</v>
      </c>
      <c r="AF32" s="352">
        <f t="shared" si="55"/>
        <v>11329355</v>
      </c>
      <c r="AG32" s="353">
        <f t="shared" si="55"/>
        <v>50273867</v>
      </c>
      <c r="AH32" s="353">
        <f t="shared" si="48"/>
        <v>61603222</v>
      </c>
      <c r="AI32" s="353">
        <f t="shared" si="56"/>
        <v>3768363</v>
      </c>
      <c r="AJ32" s="353">
        <f t="shared" si="57"/>
        <v>0</v>
      </c>
      <c r="AK32" s="353">
        <f t="shared" si="49"/>
        <v>3768363</v>
      </c>
      <c r="AL32" s="353">
        <f t="shared" si="58"/>
        <v>91622</v>
      </c>
      <c r="AM32" s="353">
        <f t="shared" si="58"/>
        <v>0</v>
      </c>
      <c r="AN32" s="353">
        <f t="shared" si="50"/>
        <v>91622</v>
      </c>
      <c r="AO32" s="353">
        <f t="shared" si="59"/>
        <v>1322403</v>
      </c>
      <c r="AP32" s="353">
        <f t="shared" si="59"/>
        <v>0</v>
      </c>
      <c r="AQ32" s="353">
        <f t="shared" si="51"/>
        <v>1322403</v>
      </c>
      <c r="AR32" s="353">
        <f t="shared" si="60"/>
        <v>0</v>
      </c>
      <c r="AS32" s="353">
        <f t="shared" si="60"/>
        <v>0</v>
      </c>
      <c r="AT32" s="353">
        <f t="shared" si="52"/>
        <v>0</v>
      </c>
      <c r="AU32" s="353">
        <f t="shared" si="61"/>
        <v>0</v>
      </c>
      <c r="AV32" s="353">
        <f t="shared" si="61"/>
        <v>0</v>
      </c>
      <c r="AW32" s="353">
        <f t="shared" si="53"/>
        <v>0</v>
      </c>
      <c r="AX32" s="353">
        <f t="shared" si="62"/>
        <v>0</v>
      </c>
      <c r="AY32" s="353">
        <f t="shared" si="62"/>
        <v>0</v>
      </c>
      <c r="AZ32" s="353">
        <f t="shared" si="63"/>
        <v>0</v>
      </c>
      <c r="BA32" s="354">
        <f t="shared" si="54"/>
        <v>66785610</v>
      </c>
    </row>
    <row r="33" spans="1:53" ht="14.25" hidden="1" thickBot="1">
      <c r="A33" s="138">
        <v>41061</v>
      </c>
      <c r="B33" s="18">
        <v>2690340</v>
      </c>
      <c r="C33" s="18">
        <v>36895958</v>
      </c>
      <c r="D33" s="18">
        <f t="shared" si="1"/>
        <v>39586298</v>
      </c>
      <c r="E33" s="18">
        <f t="shared" si="2"/>
        <v>510434</v>
      </c>
      <c r="F33" s="18">
        <v>0</v>
      </c>
      <c r="G33" s="18">
        <f t="shared" si="3"/>
        <v>510434</v>
      </c>
      <c r="H33" s="18">
        <v>12067</v>
      </c>
      <c r="I33" s="18">
        <v>0</v>
      </c>
      <c r="J33" s="18">
        <f t="shared" si="4"/>
        <v>12067</v>
      </c>
      <c r="K33" s="18">
        <v>260906</v>
      </c>
      <c r="L33" s="18">
        <v>0</v>
      </c>
      <c r="M33" s="18">
        <f t="shared" si="5"/>
        <v>260906</v>
      </c>
      <c r="N33" s="18">
        <f t="shared" si="6"/>
        <v>0</v>
      </c>
      <c r="O33" s="18">
        <v>0</v>
      </c>
      <c r="P33" s="18">
        <f t="shared" si="7"/>
        <v>0</v>
      </c>
      <c r="Q33" s="18">
        <v>0</v>
      </c>
      <c r="R33" s="18">
        <v>0</v>
      </c>
      <c r="S33" s="18">
        <f t="shared" si="8"/>
        <v>0</v>
      </c>
      <c r="T33" s="18">
        <v>0</v>
      </c>
      <c r="U33" s="18">
        <v>0</v>
      </c>
      <c r="V33" s="18">
        <f t="shared" si="47"/>
        <v>0</v>
      </c>
      <c r="W33" s="18">
        <f t="shared" si="0"/>
        <v>3473747</v>
      </c>
      <c r="X33" s="18">
        <f t="shared" si="10"/>
        <v>36895958</v>
      </c>
      <c r="Y33" s="235">
        <f t="shared" si="11"/>
        <v>40369705</v>
      </c>
      <c r="Z33" s="18">
        <v>61048</v>
      </c>
      <c r="AA33" s="18">
        <v>449386</v>
      </c>
      <c r="AB33" s="18">
        <f t="shared" si="12"/>
        <v>510434</v>
      </c>
      <c r="AC33" s="352">
        <v>0</v>
      </c>
      <c r="AD33" s="18">
        <v>0</v>
      </c>
      <c r="AE33" s="18">
        <f t="shared" si="13"/>
        <v>0</v>
      </c>
      <c r="AF33" s="352">
        <f t="shared" si="55"/>
        <v>14019695</v>
      </c>
      <c r="AG33" s="353">
        <f t="shared" si="55"/>
        <v>87169825</v>
      </c>
      <c r="AH33" s="353">
        <f t="shared" si="48"/>
        <v>101189520</v>
      </c>
      <c r="AI33" s="353">
        <f t="shared" si="56"/>
        <v>4176865</v>
      </c>
      <c r="AJ33" s="353">
        <f t="shared" si="57"/>
        <v>0</v>
      </c>
      <c r="AK33" s="353">
        <f t="shared" si="49"/>
        <v>4176865</v>
      </c>
      <c r="AL33" s="353">
        <f t="shared" si="58"/>
        <v>103689</v>
      </c>
      <c r="AM33" s="353">
        <f t="shared" si="58"/>
        <v>0</v>
      </c>
      <c r="AN33" s="353">
        <f t="shared" si="50"/>
        <v>103689</v>
      </c>
      <c r="AO33" s="353">
        <f t="shared" si="59"/>
        <v>1583309</v>
      </c>
      <c r="AP33" s="353">
        <f t="shared" si="59"/>
        <v>0</v>
      </c>
      <c r="AQ33" s="353">
        <f t="shared" si="51"/>
        <v>1583309</v>
      </c>
      <c r="AR33" s="353">
        <f t="shared" si="60"/>
        <v>0</v>
      </c>
      <c r="AS33" s="353">
        <f t="shared" si="60"/>
        <v>0</v>
      </c>
      <c r="AT33" s="353">
        <f t="shared" si="52"/>
        <v>0</v>
      </c>
      <c r="AU33" s="353">
        <f t="shared" si="61"/>
        <v>0</v>
      </c>
      <c r="AV33" s="353">
        <f t="shared" si="61"/>
        <v>0</v>
      </c>
      <c r="AW33" s="353">
        <f t="shared" si="53"/>
        <v>0</v>
      </c>
      <c r="AX33" s="353">
        <f t="shared" si="62"/>
        <v>0</v>
      </c>
      <c r="AY33" s="353">
        <f t="shared" si="62"/>
        <v>0</v>
      </c>
      <c r="AZ33" s="353">
        <f t="shared" si="63"/>
        <v>0</v>
      </c>
      <c r="BA33" s="354">
        <f t="shared" si="54"/>
        <v>107053383</v>
      </c>
    </row>
    <row r="34" spans="1:53" ht="14.25" hidden="1" thickBot="1">
      <c r="A34" s="138">
        <v>41091</v>
      </c>
      <c r="B34" s="18">
        <v>2522719</v>
      </c>
      <c r="C34" s="18">
        <v>48445637</v>
      </c>
      <c r="D34" s="18">
        <f t="shared" si="1"/>
        <v>50968356</v>
      </c>
      <c r="E34" s="18">
        <f t="shared" si="2"/>
        <v>554454</v>
      </c>
      <c r="F34" s="18">
        <v>0</v>
      </c>
      <c r="G34" s="18">
        <f t="shared" si="3"/>
        <v>554454</v>
      </c>
      <c r="H34" s="18">
        <v>18890</v>
      </c>
      <c r="I34" s="18">
        <v>0</v>
      </c>
      <c r="J34" s="18">
        <f t="shared" si="4"/>
        <v>18890</v>
      </c>
      <c r="K34" s="18">
        <v>279550</v>
      </c>
      <c r="L34" s="18">
        <v>0</v>
      </c>
      <c r="M34" s="18">
        <f t="shared" si="5"/>
        <v>279550</v>
      </c>
      <c r="N34" s="18">
        <f t="shared" si="6"/>
        <v>0</v>
      </c>
      <c r="O34" s="18">
        <v>0</v>
      </c>
      <c r="P34" s="18">
        <f t="shared" si="7"/>
        <v>0</v>
      </c>
      <c r="Q34" s="18">
        <v>0</v>
      </c>
      <c r="R34" s="18">
        <v>0</v>
      </c>
      <c r="S34" s="18">
        <f t="shared" si="8"/>
        <v>0</v>
      </c>
      <c r="T34" s="18">
        <v>0</v>
      </c>
      <c r="U34" s="18">
        <v>0</v>
      </c>
      <c r="V34" s="18">
        <f t="shared" si="47"/>
        <v>0</v>
      </c>
      <c r="W34" s="18">
        <f t="shared" si="0"/>
        <v>3375613</v>
      </c>
      <c r="X34" s="18">
        <f t="shared" si="10"/>
        <v>48445637</v>
      </c>
      <c r="Y34" s="235">
        <f t="shared" si="11"/>
        <v>51821250</v>
      </c>
      <c r="Z34" s="18">
        <v>294827</v>
      </c>
      <c r="AA34" s="18">
        <v>259627</v>
      </c>
      <c r="AB34" s="18">
        <f t="shared" si="12"/>
        <v>554454</v>
      </c>
      <c r="AC34" s="352">
        <v>0</v>
      </c>
      <c r="AD34" s="18">
        <v>0</v>
      </c>
      <c r="AE34" s="18">
        <f t="shared" si="13"/>
        <v>0</v>
      </c>
      <c r="AF34" s="352">
        <f t="shared" si="55"/>
        <v>16542414</v>
      </c>
      <c r="AG34" s="353">
        <f t="shared" si="55"/>
        <v>135615462</v>
      </c>
      <c r="AH34" s="353">
        <f t="shared" si="48"/>
        <v>152157876</v>
      </c>
      <c r="AI34" s="353">
        <f t="shared" si="56"/>
        <v>4687299</v>
      </c>
      <c r="AJ34" s="353">
        <f t="shared" si="57"/>
        <v>0</v>
      </c>
      <c r="AK34" s="353">
        <f t="shared" si="49"/>
        <v>4687299</v>
      </c>
      <c r="AL34" s="353">
        <f t="shared" si="58"/>
        <v>122579</v>
      </c>
      <c r="AM34" s="353">
        <f t="shared" si="58"/>
        <v>0</v>
      </c>
      <c r="AN34" s="353">
        <f t="shared" si="50"/>
        <v>122579</v>
      </c>
      <c r="AO34" s="353">
        <f t="shared" si="59"/>
        <v>1862859</v>
      </c>
      <c r="AP34" s="353">
        <f t="shared" si="59"/>
        <v>0</v>
      </c>
      <c r="AQ34" s="353">
        <f t="shared" si="51"/>
        <v>1862859</v>
      </c>
      <c r="AR34" s="353">
        <f t="shared" si="60"/>
        <v>0</v>
      </c>
      <c r="AS34" s="353">
        <f t="shared" si="60"/>
        <v>0</v>
      </c>
      <c r="AT34" s="353">
        <f t="shared" si="52"/>
        <v>0</v>
      </c>
      <c r="AU34" s="353">
        <f t="shared" si="61"/>
        <v>0</v>
      </c>
      <c r="AV34" s="353">
        <f t="shared" si="61"/>
        <v>0</v>
      </c>
      <c r="AW34" s="353">
        <f t="shared" si="53"/>
        <v>0</v>
      </c>
      <c r="AX34" s="353">
        <f t="shared" si="62"/>
        <v>0</v>
      </c>
      <c r="AY34" s="353">
        <f t="shared" si="62"/>
        <v>0</v>
      </c>
      <c r="AZ34" s="353">
        <f t="shared" si="63"/>
        <v>0</v>
      </c>
      <c r="BA34" s="354">
        <f t="shared" si="54"/>
        <v>158830613</v>
      </c>
    </row>
    <row r="35" spans="1:53" ht="14.25" hidden="1" thickBot="1">
      <c r="A35" s="138">
        <v>41122</v>
      </c>
      <c r="B35" s="18">
        <v>2687091</v>
      </c>
      <c r="C35" s="18">
        <v>82020340</v>
      </c>
      <c r="D35" s="18">
        <f t="shared" si="1"/>
        <v>84707431</v>
      </c>
      <c r="E35" s="18">
        <f t="shared" si="2"/>
        <v>1233548</v>
      </c>
      <c r="F35" s="18">
        <v>0</v>
      </c>
      <c r="G35" s="18">
        <f t="shared" si="3"/>
        <v>1233548</v>
      </c>
      <c r="H35" s="18">
        <v>0</v>
      </c>
      <c r="I35" s="18">
        <v>0</v>
      </c>
      <c r="J35" s="18">
        <f t="shared" si="4"/>
        <v>0</v>
      </c>
      <c r="K35" s="18">
        <v>305175</v>
      </c>
      <c r="L35" s="18">
        <v>0</v>
      </c>
      <c r="M35" s="18">
        <f t="shared" si="5"/>
        <v>305175</v>
      </c>
      <c r="N35" s="18">
        <f t="shared" si="6"/>
        <v>0</v>
      </c>
      <c r="O35" s="18">
        <v>0</v>
      </c>
      <c r="P35" s="18">
        <f t="shared" si="7"/>
        <v>0</v>
      </c>
      <c r="Q35" s="18">
        <v>0</v>
      </c>
      <c r="R35" s="18">
        <v>0</v>
      </c>
      <c r="S35" s="18">
        <f t="shared" si="8"/>
        <v>0</v>
      </c>
      <c r="T35" s="18">
        <v>0</v>
      </c>
      <c r="U35" s="18">
        <v>0</v>
      </c>
      <c r="V35" s="18">
        <f t="shared" si="47"/>
        <v>0</v>
      </c>
      <c r="W35" s="18">
        <f t="shared" si="0"/>
        <v>4225814</v>
      </c>
      <c r="X35" s="18">
        <f t="shared" si="10"/>
        <v>82020340</v>
      </c>
      <c r="Y35" s="235">
        <f t="shared" si="11"/>
        <v>86246154</v>
      </c>
      <c r="Z35" s="18">
        <v>810</v>
      </c>
      <c r="AA35" s="18">
        <v>1232738</v>
      </c>
      <c r="AB35" s="18">
        <f t="shared" si="12"/>
        <v>1233548</v>
      </c>
      <c r="AC35" s="352">
        <v>0</v>
      </c>
      <c r="AD35" s="18">
        <v>0</v>
      </c>
      <c r="AE35" s="18">
        <f t="shared" si="13"/>
        <v>0</v>
      </c>
      <c r="AF35" s="352">
        <f t="shared" si="55"/>
        <v>19229505</v>
      </c>
      <c r="AG35" s="353">
        <f t="shared" si="55"/>
        <v>217635802</v>
      </c>
      <c r="AH35" s="353">
        <f t="shared" si="48"/>
        <v>236865307</v>
      </c>
      <c r="AI35" s="353">
        <f t="shared" si="56"/>
        <v>5241753</v>
      </c>
      <c r="AJ35" s="353">
        <f t="shared" si="57"/>
        <v>0</v>
      </c>
      <c r="AK35" s="353">
        <f t="shared" si="49"/>
        <v>5241753</v>
      </c>
      <c r="AL35" s="353">
        <f t="shared" si="58"/>
        <v>122579</v>
      </c>
      <c r="AM35" s="353">
        <f t="shared" si="58"/>
        <v>0</v>
      </c>
      <c r="AN35" s="353">
        <f t="shared" si="50"/>
        <v>122579</v>
      </c>
      <c r="AO35" s="353">
        <f t="shared" si="59"/>
        <v>2168034</v>
      </c>
      <c r="AP35" s="353">
        <f t="shared" si="59"/>
        <v>0</v>
      </c>
      <c r="AQ35" s="353">
        <f t="shared" si="51"/>
        <v>2168034</v>
      </c>
      <c r="AR35" s="353">
        <f t="shared" si="60"/>
        <v>0</v>
      </c>
      <c r="AS35" s="353">
        <f t="shared" si="60"/>
        <v>0</v>
      </c>
      <c r="AT35" s="353">
        <f t="shared" si="52"/>
        <v>0</v>
      </c>
      <c r="AU35" s="353">
        <f t="shared" si="61"/>
        <v>0</v>
      </c>
      <c r="AV35" s="353">
        <f t="shared" si="61"/>
        <v>0</v>
      </c>
      <c r="AW35" s="353">
        <f t="shared" si="53"/>
        <v>0</v>
      </c>
      <c r="AX35" s="353">
        <f t="shared" si="62"/>
        <v>0</v>
      </c>
      <c r="AY35" s="353">
        <f t="shared" si="62"/>
        <v>0</v>
      </c>
      <c r="AZ35" s="353">
        <f t="shared" si="63"/>
        <v>0</v>
      </c>
      <c r="BA35" s="354">
        <f t="shared" si="54"/>
        <v>244397673</v>
      </c>
    </row>
    <row r="36" spans="1:53" ht="14.25" hidden="1" thickBot="1">
      <c r="A36" s="138">
        <v>41153</v>
      </c>
      <c r="B36" s="18">
        <v>2013963</v>
      </c>
      <c r="C36" s="18">
        <v>74568582</v>
      </c>
      <c r="D36" s="18">
        <f t="shared" si="1"/>
        <v>76582545</v>
      </c>
      <c r="E36" s="18">
        <f t="shared" si="2"/>
        <v>1040125</v>
      </c>
      <c r="F36" s="18">
        <v>0</v>
      </c>
      <c r="G36" s="18">
        <f t="shared" si="3"/>
        <v>1040125</v>
      </c>
      <c r="H36" s="18">
        <v>0</v>
      </c>
      <c r="I36" s="18">
        <v>0</v>
      </c>
      <c r="J36" s="18">
        <f t="shared" si="4"/>
        <v>0</v>
      </c>
      <c r="K36" s="18">
        <v>79715</v>
      </c>
      <c r="L36" s="18">
        <v>0</v>
      </c>
      <c r="M36" s="18">
        <f t="shared" si="5"/>
        <v>79715</v>
      </c>
      <c r="N36" s="18">
        <f t="shared" si="6"/>
        <v>0</v>
      </c>
      <c r="O36" s="18">
        <v>0</v>
      </c>
      <c r="P36" s="18">
        <f t="shared" si="7"/>
        <v>0</v>
      </c>
      <c r="Q36" s="18">
        <v>0</v>
      </c>
      <c r="R36" s="18">
        <v>0</v>
      </c>
      <c r="S36" s="18">
        <f t="shared" si="8"/>
        <v>0</v>
      </c>
      <c r="T36" s="18">
        <v>0</v>
      </c>
      <c r="U36" s="18">
        <v>0</v>
      </c>
      <c r="V36" s="18">
        <f t="shared" si="47"/>
        <v>0</v>
      </c>
      <c r="W36" s="18">
        <f t="shared" si="0"/>
        <v>3133803</v>
      </c>
      <c r="X36" s="18">
        <f t="shared" si="10"/>
        <v>74568582</v>
      </c>
      <c r="Y36" s="235">
        <f t="shared" si="11"/>
        <v>77702385</v>
      </c>
      <c r="Z36" s="18">
        <v>1000</v>
      </c>
      <c r="AA36" s="18">
        <v>1039125</v>
      </c>
      <c r="AB36" s="18">
        <f t="shared" si="12"/>
        <v>1040125</v>
      </c>
      <c r="AC36" s="352">
        <v>0</v>
      </c>
      <c r="AD36" s="18">
        <v>0</v>
      </c>
      <c r="AE36" s="18">
        <f t="shared" si="13"/>
        <v>0</v>
      </c>
      <c r="AF36" s="352">
        <f t="shared" si="55"/>
        <v>21243468</v>
      </c>
      <c r="AG36" s="353">
        <f t="shared" si="55"/>
        <v>292204384</v>
      </c>
      <c r="AH36" s="353">
        <f t="shared" si="48"/>
        <v>313447852</v>
      </c>
      <c r="AI36" s="353">
        <f t="shared" si="56"/>
        <v>6475301</v>
      </c>
      <c r="AJ36" s="353">
        <f t="shared" si="57"/>
        <v>0</v>
      </c>
      <c r="AK36" s="353">
        <f t="shared" si="49"/>
        <v>6475301</v>
      </c>
      <c r="AL36" s="353">
        <f t="shared" si="58"/>
        <v>122579</v>
      </c>
      <c r="AM36" s="353">
        <f t="shared" si="58"/>
        <v>0</v>
      </c>
      <c r="AN36" s="353">
        <f t="shared" si="50"/>
        <v>122579</v>
      </c>
      <c r="AO36" s="353">
        <f t="shared" si="59"/>
        <v>2247749</v>
      </c>
      <c r="AP36" s="353">
        <f t="shared" si="59"/>
        <v>0</v>
      </c>
      <c r="AQ36" s="353">
        <f t="shared" si="51"/>
        <v>2247749</v>
      </c>
      <c r="AR36" s="353">
        <f t="shared" si="60"/>
        <v>0</v>
      </c>
      <c r="AS36" s="353">
        <f t="shared" si="60"/>
        <v>0</v>
      </c>
      <c r="AT36" s="353">
        <f t="shared" si="52"/>
        <v>0</v>
      </c>
      <c r="AU36" s="353">
        <f t="shared" si="61"/>
        <v>0</v>
      </c>
      <c r="AV36" s="353">
        <f t="shared" si="61"/>
        <v>0</v>
      </c>
      <c r="AW36" s="353">
        <f t="shared" si="53"/>
        <v>0</v>
      </c>
      <c r="AX36" s="353">
        <f t="shared" si="62"/>
        <v>0</v>
      </c>
      <c r="AY36" s="353">
        <f t="shared" si="62"/>
        <v>0</v>
      </c>
      <c r="AZ36" s="353">
        <f t="shared" si="63"/>
        <v>0</v>
      </c>
      <c r="BA36" s="354">
        <f t="shared" si="54"/>
        <v>322293481</v>
      </c>
    </row>
    <row r="37" spans="1:53" ht="14.25" hidden="1" thickBot="1">
      <c r="A37" s="138">
        <v>41183</v>
      </c>
      <c r="B37" s="18">
        <v>2384701</v>
      </c>
      <c r="C37" s="18">
        <v>74666044</v>
      </c>
      <c r="D37" s="18">
        <f t="shared" si="1"/>
        <v>77050745</v>
      </c>
      <c r="E37" s="18">
        <f t="shared" si="2"/>
        <v>1119440</v>
      </c>
      <c r="F37" s="18">
        <v>0</v>
      </c>
      <c r="G37" s="18">
        <f t="shared" si="3"/>
        <v>1119440</v>
      </c>
      <c r="H37" s="18">
        <v>0</v>
      </c>
      <c r="I37" s="18">
        <v>0</v>
      </c>
      <c r="J37" s="18">
        <f t="shared" si="4"/>
        <v>0</v>
      </c>
      <c r="K37" s="18">
        <v>177688</v>
      </c>
      <c r="L37" s="18">
        <v>0</v>
      </c>
      <c r="M37" s="18">
        <f t="shared" si="5"/>
        <v>177688</v>
      </c>
      <c r="N37" s="18">
        <f t="shared" si="6"/>
        <v>0</v>
      </c>
      <c r="O37" s="18">
        <v>0</v>
      </c>
      <c r="P37" s="18">
        <f t="shared" si="7"/>
        <v>0</v>
      </c>
      <c r="Q37" s="18">
        <v>0</v>
      </c>
      <c r="R37" s="18">
        <v>0</v>
      </c>
      <c r="S37" s="18">
        <f t="shared" si="8"/>
        <v>0</v>
      </c>
      <c r="T37" s="18">
        <v>0</v>
      </c>
      <c r="U37" s="18">
        <v>0</v>
      </c>
      <c r="V37" s="18">
        <f t="shared" si="47"/>
        <v>0</v>
      </c>
      <c r="W37" s="18">
        <f t="shared" si="0"/>
        <v>3681829</v>
      </c>
      <c r="X37" s="18">
        <f t="shared" si="10"/>
        <v>74666044</v>
      </c>
      <c r="Y37" s="235">
        <f t="shared" si="11"/>
        <v>78347873</v>
      </c>
      <c r="Z37" s="18">
        <v>1050</v>
      </c>
      <c r="AA37" s="18">
        <v>1118390</v>
      </c>
      <c r="AB37" s="18">
        <f t="shared" si="12"/>
        <v>1119440</v>
      </c>
      <c r="AC37" s="352">
        <v>0</v>
      </c>
      <c r="AD37" s="18">
        <v>0</v>
      </c>
      <c r="AE37" s="18">
        <f t="shared" si="13"/>
        <v>0</v>
      </c>
      <c r="AF37" s="352">
        <f t="shared" si="55"/>
        <v>23628169</v>
      </c>
      <c r="AG37" s="353">
        <f t="shared" si="55"/>
        <v>366870428</v>
      </c>
      <c r="AH37" s="353">
        <f t="shared" si="48"/>
        <v>390498597</v>
      </c>
      <c r="AI37" s="353">
        <f t="shared" si="56"/>
        <v>7515426</v>
      </c>
      <c r="AJ37" s="353">
        <f t="shared" si="57"/>
        <v>0</v>
      </c>
      <c r="AK37" s="353">
        <f t="shared" si="49"/>
        <v>7515426</v>
      </c>
      <c r="AL37" s="353">
        <f t="shared" si="58"/>
        <v>122579</v>
      </c>
      <c r="AM37" s="353">
        <f t="shared" si="58"/>
        <v>0</v>
      </c>
      <c r="AN37" s="353">
        <f t="shared" si="50"/>
        <v>122579</v>
      </c>
      <c r="AO37" s="353">
        <f t="shared" si="59"/>
        <v>2425437</v>
      </c>
      <c r="AP37" s="353">
        <f t="shared" si="59"/>
        <v>0</v>
      </c>
      <c r="AQ37" s="353">
        <f t="shared" si="51"/>
        <v>2425437</v>
      </c>
      <c r="AR37" s="353">
        <f t="shared" si="60"/>
        <v>0</v>
      </c>
      <c r="AS37" s="353">
        <f t="shared" si="60"/>
        <v>0</v>
      </c>
      <c r="AT37" s="353">
        <f t="shared" si="52"/>
        <v>0</v>
      </c>
      <c r="AU37" s="353">
        <f t="shared" si="61"/>
        <v>0</v>
      </c>
      <c r="AV37" s="353">
        <f t="shared" si="61"/>
        <v>0</v>
      </c>
      <c r="AW37" s="353">
        <f t="shared" si="53"/>
        <v>0</v>
      </c>
      <c r="AX37" s="353">
        <f t="shared" si="62"/>
        <v>0</v>
      </c>
      <c r="AY37" s="353">
        <f t="shared" si="62"/>
        <v>0</v>
      </c>
      <c r="AZ37" s="353">
        <f t="shared" si="63"/>
        <v>0</v>
      </c>
      <c r="BA37" s="354">
        <f t="shared" si="54"/>
        <v>400562039</v>
      </c>
    </row>
    <row r="38" spans="1:53" ht="14.25" hidden="1" thickBot="1">
      <c r="A38" s="138">
        <v>41214</v>
      </c>
      <c r="B38" s="18">
        <v>2430060</v>
      </c>
      <c r="C38" s="18">
        <v>106309471</v>
      </c>
      <c r="D38" s="18">
        <f t="shared" si="1"/>
        <v>108739531</v>
      </c>
      <c r="E38" s="18">
        <f t="shared" si="2"/>
        <v>1905118</v>
      </c>
      <c r="F38" s="18">
        <v>0</v>
      </c>
      <c r="G38" s="18">
        <f t="shared" si="3"/>
        <v>1905118</v>
      </c>
      <c r="H38" s="18">
        <v>0</v>
      </c>
      <c r="I38" s="18">
        <v>0</v>
      </c>
      <c r="J38" s="18">
        <f t="shared" si="4"/>
        <v>0</v>
      </c>
      <c r="K38" s="18">
        <v>296569</v>
      </c>
      <c r="L38" s="18">
        <v>0</v>
      </c>
      <c r="M38" s="18">
        <f t="shared" si="5"/>
        <v>296569</v>
      </c>
      <c r="N38" s="18">
        <f t="shared" si="6"/>
        <v>0</v>
      </c>
      <c r="O38" s="18">
        <v>0</v>
      </c>
      <c r="P38" s="18">
        <f t="shared" si="7"/>
        <v>0</v>
      </c>
      <c r="Q38" s="18">
        <v>0</v>
      </c>
      <c r="R38" s="18">
        <v>0</v>
      </c>
      <c r="S38" s="18">
        <f t="shared" si="8"/>
        <v>0</v>
      </c>
      <c r="T38" s="18">
        <v>0</v>
      </c>
      <c r="U38" s="18">
        <v>0</v>
      </c>
      <c r="V38" s="18">
        <f t="shared" si="47"/>
        <v>0</v>
      </c>
      <c r="W38" s="18">
        <f t="shared" si="0"/>
        <v>4631747</v>
      </c>
      <c r="X38" s="18">
        <f t="shared" si="10"/>
        <v>106309471</v>
      </c>
      <c r="Y38" s="235">
        <f t="shared" si="11"/>
        <v>110941218</v>
      </c>
      <c r="Z38" s="18">
        <v>1200</v>
      </c>
      <c r="AA38" s="18">
        <v>1903918</v>
      </c>
      <c r="AB38" s="18">
        <f t="shared" si="12"/>
        <v>1905118</v>
      </c>
      <c r="AC38" s="352">
        <v>0</v>
      </c>
      <c r="AD38" s="18">
        <v>0</v>
      </c>
      <c r="AE38" s="18">
        <f t="shared" si="13"/>
        <v>0</v>
      </c>
      <c r="AF38" s="352">
        <f t="shared" si="55"/>
        <v>26058229</v>
      </c>
      <c r="AG38" s="353">
        <f t="shared" si="55"/>
        <v>473179899</v>
      </c>
      <c r="AH38" s="353">
        <f t="shared" si="48"/>
        <v>499238128</v>
      </c>
      <c r="AI38" s="353">
        <f t="shared" si="56"/>
        <v>8634866</v>
      </c>
      <c r="AJ38" s="353">
        <f t="shared" si="57"/>
        <v>0</v>
      </c>
      <c r="AK38" s="353">
        <f t="shared" si="49"/>
        <v>8634866</v>
      </c>
      <c r="AL38" s="353">
        <f t="shared" si="58"/>
        <v>122579</v>
      </c>
      <c r="AM38" s="353">
        <f t="shared" si="58"/>
        <v>0</v>
      </c>
      <c r="AN38" s="353">
        <f t="shared" si="50"/>
        <v>122579</v>
      </c>
      <c r="AO38" s="353">
        <f t="shared" si="59"/>
        <v>2722006</v>
      </c>
      <c r="AP38" s="353">
        <f t="shared" si="59"/>
        <v>0</v>
      </c>
      <c r="AQ38" s="353">
        <f t="shared" si="51"/>
        <v>2722006</v>
      </c>
      <c r="AR38" s="353">
        <f t="shared" si="60"/>
        <v>0</v>
      </c>
      <c r="AS38" s="353">
        <f t="shared" si="60"/>
        <v>0</v>
      </c>
      <c r="AT38" s="353">
        <f t="shared" si="52"/>
        <v>0</v>
      </c>
      <c r="AU38" s="353">
        <f t="shared" si="61"/>
        <v>0</v>
      </c>
      <c r="AV38" s="353">
        <f t="shared" si="61"/>
        <v>0</v>
      </c>
      <c r="AW38" s="353">
        <f t="shared" si="53"/>
        <v>0</v>
      </c>
      <c r="AX38" s="353">
        <f t="shared" si="62"/>
        <v>0</v>
      </c>
      <c r="AY38" s="353">
        <f t="shared" si="62"/>
        <v>0</v>
      </c>
      <c r="AZ38" s="353">
        <f t="shared" si="63"/>
        <v>0</v>
      </c>
      <c r="BA38" s="354">
        <f t="shared" si="54"/>
        <v>510717579</v>
      </c>
    </row>
    <row r="39" spans="1:53" ht="13.5" hidden="1" customHeight="1" thickBot="1">
      <c r="A39" s="138">
        <v>41244</v>
      </c>
      <c r="B39" s="18">
        <v>1610352</v>
      </c>
      <c r="C39" s="18">
        <v>102613203</v>
      </c>
      <c r="D39" s="18">
        <f t="shared" si="1"/>
        <v>104223555</v>
      </c>
      <c r="E39" s="18">
        <f t="shared" si="2"/>
        <v>2178367</v>
      </c>
      <c r="F39" s="18">
        <v>0</v>
      </c>
      <c r="G39" s="18">
        <f t="shared" si="3"/>
        <v>2178367</v>
      </c>
      <c r="H39" s="18">
        <v>0</v>
      </c>
      <c r="I39" s="18">
        <v>0</v>
      </c>
      <c r="J39" s="18">
        <f t="shared" si="4"/>
        <v>0</v>
      </c>
      <c r="K39" s="18">
        <v>160003</v>
      </c>
      <c r="L39" s="18">
        <v>0</v>
      </c>
      <c r="M39" s="18">
        <f t="shared" si="5"/>
        <v>160003</v>
      </c>
      <c r="N39" s="18">
        <f t="shared" si="6"/>
        <v>0</v>
      </c>
      <c r="O39" s="18">
        <v>0</v>
      </c>
      <c r="P39" s="18">
        <f t="shared" si="7"/>
        <v>0</v>
      </c>
      <c r="Q39" s="18">
        <v>0</v>
      </c>
      <c r="R39" s="18">
        <v>0</v>
      </c>
      <c r="S39" s="18">
        <f t="shared" si="8"/>
        <v>0</v>
      </c>
      <c r="T39" s="18">
        <v>0</v>
      </c>
      <c r="U39" s="18">
        <v>0</v>
      </c>
      <c r="V39" s="18">
        <f t="shared" si="47"/>
        <v>0</v>
      </c>
      <c r="W39" s="18">
        <f t="shared" si="0"/>
        <v>3948722</v>
      </c>
      <c r="X39" s="18">
        <f t="shared" si="10"/>
        <v>102613203</v>
      </c>
      <c r="Y39" s="235">
        <f t="shared" si="11"/>
        <v>106561925</v>
      </c>
      <c r="Z39" s="18">
        <v>1000</v>
      </c>
      <c r="AA39" s="18">
        <v>2177367</v>
      </c>
      <c r="AB39" s="18">
        <f t="shared" si="12"/>
        <v>2178367</v>
      </c>
      <c r="AC39" s="352">
        <v>0</v>
      </c>
      <c r="AD39" s="18">
        <v>0</v>
      </c>
      <c r="AE39" s="18">
        <f t="shared" si="13"/>
        <v>0</v>
      </c>
      <c r="AF39" s="352">
        <f t="shared" si="55"/>
        <v>27668581</v>
      </c>
      <c r="AG39" s="353">
        <f t="shared" si="55"/>
        <v>575793102</v>
      </c>
      <c r="AH39" s="353">
        <f t="shared" si="48"/>
        <v>603461683</v>
      </c>
      <c r="AI39" s="353">
        <f t="shared" si="56"/>
        <v>10539984</v>
      </c>
      <c r="AJ39" s="353">
        <f t="shared" si="57"/>
        <v>0</v>
      </c>
      <c r="AK39" s="353">
        <f t="shared" si="49"/>
        <v>10539984</v>
      </c>
      <c r="AL39" s="353">
        <f t="shared" si="58"/>
        <v>122579</v>
      </c>
      <c r="AM39" s="353">
        <f t="shared" si="58"/>
        <v>0</v>
      </c>
      <c r="AN39" s="353">
        <f t="shared" si="50"/>
        <v>122579</v>
      </c>
      <c r="AO39" s="353">
        <f t="shared" si="59"/>
        <v>2882009</v>
      </c>
      <c r="AP39" s="353">
        <f t="shared" si="59"/>
        <v>0</v>
      </c>
      <c r="AQ39" s="353">
        <f t="shared" si="51"/>
        <v>2882009</v>
      </c>
      <c r="AR39" s="353">
        <f t="shared" si="60"/>
        <v>0</v>
      </c>
      <c r="AS39" s="353">
        <f t="shared" si="60"/>
        <v>0</v>
      </c>
      <c r="AT39" s="353">
        <f t="shared" si="52"/>
        <v>0</v>
      </c>
      <c r="AU39" s="353">
        <f t="shared" si="61"/>
        <v>0</v>
      </c>
      <c r="AV39" s="353">
        <f t="shared" si="61"/>
        <v>0</v>
      </c>
      <c r="AW39" s="353">
        <f t="shared" si="53"/>
        <v>0</v>
      </c>
      <c r="AX39" s="353">
        <f t="shared" si="62"/>
        <v>0</v>
      </c>
      <c r="AY39" s="353">
        <f t="shared" si="62"/>
        <v>0</v>
      </c>
      <c r="AZ39" s="353">
        <f t="shared" si="63"/>
        <v>0</v>
      </c>
      <c r="BA39" s="354">
        <f t="shared" si="54"/>
        <v>617006255</v>
      </c>
    </row>
    <row r="40" spans="1:53" ht="14.25" hidden="1" thickBot="1">
      <c r="A40" s="141">
        <v>41275</v>
      </c>
      <c r="B40" s="143">
        <v>1944597</v>
      </c>
      <c r="C40" s="143">
        <v>49766106</v>
      </c>
      <c r="D40" s="143">
        <f t="shared" si="1"/>
        <v>51710703</v>
      </c>
      <c r="E40" s="143">
        <f t="shared" si="2"/>
        <v>403778</v>
      </c>
      <c r="F40" s="143">
        <v>0</v>
      </c>
      <c r="G40" s="143">
        <f t="shared" si="3"/>
        <v>403778</v>
      </c>
      <c r="H40" s="143">
        <v>0</v>
      </c>
      <c r="I40" s="143">
        <v>0</v>
      </c>
      <c r="J40" s="143">
        <f t="shared" si="4"/>
        <v>0</v>
      </c>
      <c r="K40" s="143">
        <v>362227</v>
      </c>
      <c r="L40" s="143">
        <v>0</v>
      </c>
      <c r="M40" s="143">
        <f t="shared" si="5"/>
        <v>362227</v>
      </c>
      <c r="N40" s="143">
        <f t="shared" si="6"/>
        <v>0</v>
      </c>
      <c r="O40" s="143">
        <v>0</v>
      </c>
      <c r="P40" s="143">
        <f t="shared" si="7"/>
        <v>0</v>
      </c>
      <c r="Q40" s="143">
        <v>0</v>
      </c>
      <c r="R40" s="143">
        <v>0</v>
      </c>
      <c r="S40" s="143">
        <f t="shared" si="8"/>
        <v>0</v>
      </c>
      <c r="T40" s="143">
        <v>0</v>
      </c>
      <c r="U40" s="143">
        <v>0</v>
      </c>
      <c r="V40" s="143">
        <f>U40+T40</f>
        <v>0</v>
      </c>
      <c r="W40" s="143">
        <f t="shared" si="0"/>
        <v>2710602</v>
      </c>
      <c r="X40" s="143">
        <f t="shared" si="10"/>
        <v>49766106</v>
      </c>
      <c r="Y40" s="237">
        <f t="shared" si="11"/>
        <v>52476708</v>
      </c>
      <c r="Z40" s="143">
        <v>1243</v>
      </c>
      <c r="AA40" s="143">
        <v>402535</v>
      </c>
      <c r="AB40" s="143">
        <f>AA40+Z40</f>
        <v>403778</v>
      </c>
      <c r="AC40" s="349">
        <v>0</v>
      </c>
      <c r="AD40" s="143">
        <v>0</v>
      </c>
      <c r="AE40" s="143">
        <f t="shared" si="13"/>
        <v>0</v>
      </c>
      <c r="AF40" s="349">
        <f>B40</f>
        <v>1944597</v>
      </c>
      <c r="AG40" s="350">
        <f>C40</f>
        <v>49766106</v>
      </c>
      <c r="AH40" s="350">
        <f>AG40+AF40</f>
        <v>51710703</v>
      </c>
      <c r="AI40" s="350">
        <f>E40</f>
        <v>403778</v>
      </c>
      <c r="AJ40" s="350">
        <f>F40</f>
        <v>0</v>
      </c>
      <c r="AK40" s="350">
        <f>AJ40+AI40</f>
        <v>403778</v>
      </c>
      <c r="AL40" s="350">
        <f>H40</f>
        <v>0</v>
      </c>
      <c r="AM40" s="350">
        <f>I40</f>
        <v>0</v>
      </c>
      <c r="AN40" s="350">
        <f>AM40+AL40</f>
        <v>0</v>
      </c>
      <c r="AO40" s="350">
        <f>K40</f>
        <v>362227</v>
      </c>
      <c r="AP40" s="350">
        <f>L40</f>
        <v>0</v>
      </c>
      <c r="AQ40" s="350">
        <f>AP40+AO40</f>
        <v>362227</v>
      </c>
      <c r="AR40" s="350">
        <f>N40</f>
        <v>0</v>
      </c>
      <c r="AS40" s="350">
        <f>O40</f>
        <v>0</v>
      </c>
      <c r="AT40" s="350">
        <f>AS40+AR40</f>
        <v>0</v>
      </c>
      <c r="AU40" s="350">
        <f>Q40</f>
        <v>0</v>
      </c>
      <c r="AV40" s="350">
        <f>R40</f>
        <v>0</v>
      </c>
      <c r="AW40" s="350">
        <f>AV40+AU40</f>
        <v>0</v>
      </c>
      <c r="AX40" s="350">
        <f>T40</f>
        <v>0</v>
      </c>
      <c r="AY40" s="350">
        <f>U40</f>
        <v>0</v>
      </c>
      <c r="AZ40" s="350">
        <f>SUM(AX40:AY40)</f>
        <v>0</v>
      </c>
      <c r="BA40" s="351">
        <f>AW40+AT40+AQ40+AN40+AK40+AH40+AZ40</f>
        <v>52476708</v>
      </c>
    </row>
    <row r="41" spans="1:53" ht="14.25" hidden="1" thickBot="1">
      <c r="A41" s="138">
        <v>41306</v>
      </c>
      <c r="B41" s="18">
        <v>1684366</v>
      </c>
      <c r="C41" s="18">
        <v>29065960</v>
      </c>
      <c r="D41" s="18">
        <f t="shared" si="1"/>
        <v>30750326</v>
      </c>
      <c r="E41" s="18">
        <f t="shared" si="2"/>
        <v>583120</v>
      </c>
      <c r="F41" s="18">
        <v>0</v>
      </c>
      <c r="G41" s="18">
        <f t="shared" si="3"/>
        <v>583120</v>
      </c>
      <c r="H41" s="18">
        <v>0</v>
      </c>
      <c r="I41" s="18">
        <v>0</v>
      </c>
      <c r="J41" s="18">
        <f t="shared" si="4"/>
        <v>0</v>
      </c>
      <c r="K41" s="18">
        <v>366126</v>
      </c>
      <c r="L41" s="18">
        <v>0</v>
      </c>
      <c r="M41" s="18">
        <f t="shared" si="5"/>
        <v>366126</v>
      </c>
      <c r="N41" s="18">
        <f t="shared" si="6"/>
        <v>0</v>
      </c>
      <c r="O41" s="18">
        <v>0</v>
      </c>
      <c r="P41" s="18">
        <f t="shared" si="7"/>
        <v>0</v>
      </c>
      <c r="Q41" s="18">
        <v>0</v>
      </c>
      <c r="R41" s="18">
        <v>0</v>
      </c>
      <c r="S41" s="18">
        <f t="shared" si="8"/>
        <v>0</v>
      </c>
      <c r="T41" s="18">
        <v>0</v>
      </c>
      <c r="U41" s="18">
        <v>0</v>
      </c>
      <c r="V41" s="18">
        <f t="shared" ref="V41:V51" si="64">U41+T41</f>
        <v>0</v>
      </c>
      <c r="W41" s="18">
        <f t="shared" si="0"/>
        <v>2633612</v>
      </c>
      <c r="X41" s="18">
        <f t="shared" si="10"/>
        <v>29065960</v>
      </c>
      <c r="Y41" s="235">
        <f t="shared" si="11"/>
        <v>31699572</v>
      </c>
      <c r="Z41" s="18">
        <v>1742</v>
      </c>
      <c r="AA41" s="18">
        <v>581378</v>
      </c>
      <c r="AB41" s="18">
        <f t="shared" si="12"/>
        <v>583120</v>
      </c>
      <c r="AC41" s="352">
        <v>0</v>
      </c>
      <c r="AD41" s="18">
        <v>0</v>
      </c>
      <c r="AE41" s="18">
        <f t="shared" si="13"/>
        <v>0</v>
      </c>
      <c r="AF41" s="352">
        <f>B41+AF40</f>
        <v>3628963</v>
      </c>
      <c r="AG41" s="353">
        <f>C41+AG40</f>
        <v>78832066</v>
      </c>
      <c r="AH41" s="353">
        <f t="shared" ref="AH41:AH51" si="65">AG41+AF41</f>
        <v>82461029</v>
      </c>
      <c r="AI41" s="353">
        <f>AI40+E40</f>
        <v>807556</v>
      </c>
      <c r="AJ41" s="353">
        <f>AJ40+F41</f>
        <v>0</v>
      </c>
      <c r="AK41" s="353">
        <f t="shared" ref="AK41:AK51" si="66">AJ41+AI41</f>
        <v>807556</v>
      </c>
      <c r="AL41" s="353">
        <f>AL40+H41</f>
        <v>0</v>
      </c>
      <c r="AM41" s="353">
        <f>AM40+I41</f>
        <v>0</v>
      </c>
      <c r="AN41" s="353">
        <f t="shared" ref="AN41:AN51" si="67">AM41+AL41</f>
        <v>0</v>
      </c>
      <c r="AO41" s="353">
        <f>AO40+K41</f>
        <v>728353</v>
      </c>
      <c r="AP41" s="353">
        <f>AP40+L41</f>
        <v>0</v>
      </c>
      <c r="AQ41" s="353">
        <f t="shared" ref="AQ41:AQ51" si="68">AP41+AO41</f>
        <v>728353</v>
      </c>
      <c r="AR41" s="353">
        <f>AR40+N41</f>
        <v>0</v>
      </c>
      <c r="AS41" s="353">
        <f>AS40+O41</f>
        <v>0</v>
      </c>
      <c r="AT41" s="353">
        <f t="shared" ref="AT41:AT51" si="69">AS41+AR41</f>
        <v>0</v>
      </c>
      <c r="AU41" s="353">
        <f>AU40+Q41</f>
        <v>0</v>
      </c>
      <c r="AV41" s="353">
        <f>AV40+R41</f>
        <v>0</v>
      </c>
      <c r="AW41" s="353">
        <f t="shared" ref="AW41:AW51" si="70">AV41+AU41</f>
        <v>0</v>
      </c>
      <c r="AX41" s="353">
        <f>AX40+T41</f>
        <v>0</v>
      </c>
      <c r="AY41" s="353">
        <f>AY40+U41</f>
        <v>0</v>
      </c>
      <c r="AZ41" s="353">
        <f>SUM(AX41:AY41)</f>
        <v>0</v>
      </c>
      <c r="BA41" s="354">
        <f t="shared" ref="BA41:BA51" si="71">AW41+AT41+AQ41+AN41+AK41+AH41+AZ41</f>
        <v>83996938</v>
      </c>
    </row>
    <row r="42" spans="1:53" ht="14.25" hidden="1" thickBot="1">
      <c r="A42" s="138">
        <v>41334</v>
      </c>
      <c r="B42" s="18">
        <v>1697156</v>
      </c>
      <c r="C42" s="18">
        <v>46198180</v>
      </c>
      <c r="D42" s="18">
        <f t="shared" si="1"/>
        <v>47895336</v>
      </c>
      <c r="E42" s="18">
        <f t="shared" si="2"/>
        <v>694466</v>
      </c>
      <c r="F42" s="18">
        <v>0</v>
      </c>
      <c r="G42" s="18">
        <f t="shared" si="3"/>
        <v>694466</v>
      </c>
      <c r="H42" s="18">
        <v>0</v>
      </c>
      <c r="I42" s="18">
        <v>0</v>
      </c>
      <c r="J42" s="18">
        <f t="shared" si="4"/>
        <v>0</v>
      </c>
      <c r="K42" s="18">
        <v>523311</v>
      </c>
      <c r="L42" s="18">
        <v>0</v>
      </c>
      <c r="M42" s="18">
        <f t="shared" si="5"/>
        <v>523311</v>
      </c>
      <c r="N42" s="18">
        <f t="shared" si="6"/>
        <v>0</v>
      </c>
      <c r="O42" s="18">
        <v>0</v>
      </c>
      <c r="P42" s="18">
        <f t="shared" si="7"/>
        <v>0</v>
      </c>
      <c r="Q42" s="18">
        <v>0</v>
      </c>
      <c r="R42" s="18">
        <v>0</v>
      </c>
      <c r="S42" s="18">
        <f t="shared" si="8"/>
        <v>0</v>
      </c>
      <c r="T42" s="18">
        <v>0</v>
      </c>
      <c r="U42" s="18">
        <v>0</v>
      </c>
      <c r="V42" s="18">
        <f t="shared" si="64"/>
        <v>0</v>
      </c>
      <c r="W42" s="18">
        <f t="shared" si="0"/>
        <v>2914933</v>
      </c>
      <c r="X42" s="18">
        <f t="shared" si="10"/>
        <v>46198180</v>
      </c>
      <c r="Y42" s="235">
        <f t="shared" si="11"/>
        <v>49113113</v>
      </c>
      <c r="Z42" s="18">
        <v>1677</v>
      </c>
      <c r="AA42" s="18">
        <v>692789</v>
      </c>
      <c r="AB42" s="18">
        <f t="shared" si="12"/>
        <v>694466</v>
      </c>
      <c r="AC42" s="352">
        <v>0</v>
      </c>
      <c r="AD42" s="18">
        <v>0</v>
      </c>
      <c r="AE42" s="18">
        <f t="shared" si="13"/>
        <v>0</v>
      </c>
      <c r="AF42" s="352">
        <f t="shared" ref="AF42:AG51" si="72">B42+AF41</f>
        <v>5326119</v>
      </c>
      <c r="AG42" s="353">
        <f t="shared" si="72"/>
        <v>125030246</v>
      </c>
      <c r="AH42" s="353">
        <f t="shared" si="65"/>
        <v>130356365</v>
      </c>
      <c r="AI42" s="353">
        <f t="shared" ref="AI42:AI51" si="73">AI41+E41</f>
        <v>1390676</v>
      </c>
      <c r="AJ42" s="353">
        <f t="shared" ref="AJ42:AJ51" si="74">AJ41+F42</f>
        <v>0</v>
      </c>
      <c r="AK42" s="353">
        <f t="shared" si="66"/>
        <v>1390676</v>
      </c>
      <c r="AL42" s="353">
        <f t="shared" ref="AL42:AM51" si="75">AL41+H42</f>
        <v>0</v>
      </c>
      <c r="AM42" s="353">
        <f t="shared" si="75"/>
        <v>0</v>
      </c>
      <c r="AN42" s="353">
        <f t="shared" si="67"/>
        <v>0</v>
      </c>
      <c r="AO42" s="353">
        <f t="shared" ref="AO42:AP51" si="76">AO41+K42</f>
        <v>1251664</v>
      </c>
      <c r="AP42" s="353">
        <f t="shared" si="76"/>
        <v>0</v>
      </c>
      <c r="AQ42" s="353">
        <f t="shared" si="68"/>
        <v>1251664</v>
      </c>
      <c r="AR42" s="353">
        <f t="shared" ref="AR42:AS51" si="77">AR41+N42</f>
        <v>0</v>
      </c>
      <c r="AS42" s="353">
        <f t="shared" si="77"/>
        <v>0</v>
      </c>
      <c r="AT42" s="353">
        <f t="shared" si="69"/>
        <v>0</v>
      </c>
      <c r="AU42" s="353">
        <f t="shared" ref="AU42:AV51" si="78">AU41+Q42</f>
        <v>0</v>
      </c>
      <c r="AV42" s="353">
        <f t="shared" si="78"/>
        <v>0</v>
      </c>
      <c r="AW42" s="353">
        <f t="shared" si="70"/>
        <v>0</v>
      </c>
      <c r="AX42" s="353">
        <f t="shared" ref="AX42:AY51" si="79">AX41+T42</f>
        <v>0</v>
      </c>
      <c r="AY42" s="353">
        <f t="shared" si="79"/>
        <v>0</v>
      </c>
      <c r="AZ42" s="353">
        <f t="shared" ref="AZ42:AZ51" si="80">SUM(AX42:AY42)</f>
        <v>0</v>
      </c>
      <c r="BA42" s="354">
        <f t="shared" si="71"/>
        <v>132998705</v>
      </c>
    </row>
    <row r="43" spans="1:53" ht="14.25" hidden="1" thickBot="1">
      <c r="A43" s="138">
        <v>41365</v>
      </c>
      <c r="B43" s="18">
        <v>1827312</v>
      </c>
      <c r="C43" s="18">
        <v>24939902</v>
      </c>
      <c r="D43" s="18">
        <f t="shared" si="1"/>
        <v>26767214</v>
      </c>
      <c r="E43" s="18">
        <f t="shared" si="2"/>
        <v>649996</v>
      </c>
      <c r="F43" s="18">
        <v>0</v>
      </c>
      <c r="G43" s="18">
        <f t="shared" si="3"/>
        <v>649996</v>
      </c>
      <c r="H43" s="18">
        <v>0</v>
      </c>
      <c r="I43" s="18">
        <v>0</v>
      </c>
      <c r="J43" s="18">
        <f t="shared" si="4"/>
        <v>0</v>
      </c>
      <c r="K43" s="18">
        <v>475454</v>
      </c>
      <c r="L43" s="18">
        <v>0</v>
      </c>
      <c r="M43" s="18">
        <f t="shared" si="5"/>
        <v>475454</v>
      </c>
      <c r="N43" s="18">
        <f t="shared" si="6"/>
        <v>0</v>
      </c>
      <c r="O43" s="18">
        <v>0</v>
      </c>
      <c r="P43" s="18">
        <f t="shared" si="7"/>
        <v>0</v>
      </c>
      <c r="Q43" s="18">
        <v>0</v>
      </c>
      <c r="R43" s="18">
        <v>0</v>
      </c>
      <c r="S43" s="18">
        <f t="shared" si="8"/>
        <v>0</v>
      </c>
      <c r="T43" s="18">
        <v>0</v>
      </c>
      <c r="U43" s="18">
        <v>0</v>
      </c>
      <c r="V43" s="18">
        <f t="shared" si="64"/>
        <v>0</v>
      </c>
      <c r="W43" s="18">
        <f t="shared" si="0"/>
        <v>2952762</v>
      </c>
      <c r="X43" s="18">
        <f t="shared" si="10"/>
        <v>24939902</v>
      </c>
      <c r="Y43" s="235">
        <f t="shared" si="11"/>
        <v>27892664</v>
      </c>
      <c r="Z43" s="18">
        <v>1300</v>
      </c>
      <c r="AA43" s="18">
        <v>648696</v>
      </c>
      <c r="AB43" s="18">
        <f t="shared" si="12"/>
        <v>649996</v>
      </c>
      <c r="AC43" s="352">
        <v>0</v>
      </c>
      <c r="AD43" s="18">
        <v>0</v>
      </c>
      <c r="AE43" s="18">
        <f t="shared" si="13"/>
        <v>0</v>
      </c>
      <c r="AF43" s="352">
        <f t="shared" si="72"/>
        <v>7153431</v>
      </c>
      <c r="AG43" s="353">
        <f t="shared" si="72"/>
        <v>149970148</v>
      </c>
      <c r="AH43" s="353">
        <f t="shared" si="65"/>
        <v>157123579</v>
      </c>
      <c r="AI43" s="353">
        <f t="shared" si="73"/>
        <v>2085142</v>
      </c>
      <c r="AJ43" s="353">
        <f t="shared" si="74"/>
        <v>0</v>
      </c>
      <c r="AK43" s="353">
        <f t="shared" si="66"/>
        <v>2085142</v>
      </c>
      <c r="AL43" s="353">
        <f t="shared" si="75"/>
        <v>0</v>
      </c>
      <c r="AM43" s="353">
        <f t="shared" si="75"/>
        <v>0</v>
      </c>
      <c r="AN43" s="353">
        <f t="shared" si="67"/>
        <v>0</v>
      </c>
      <c r="AO43" s="353">
        <f t="shared" si="76"/>
        <v>1727118</v>
      </c>
      <c r="AP43" s="353">
        <f t="shared" si="76"/>
        <v>0</v>
      </c>
      <c r="AQ43" s="353">
        <f t="shared" si="68"/>
        <v>1727118</v>
      </c>
      <c r="AR43" s="353">
        <f t="shared" si="77"/>
        <v>0</v>
      </c>
      <c r="AS43" s="353">
        <f t="shared" si="77"/>
        <v>0</v>
      </c>
      <c r="AT43" s="353">
        <f t="shared" si="69"/>
        <v>0</v>
      </c>
      <c r="AU43" s="353">
        <f t="shared" si="78"/>
        <v>0</v>
      </c>
      <c r="AV43" s="353">
        <f t="shared" si="78"/>
        <v>0</v>
      </c>
      <c r="AW43" s="353">
        <f t="shared" si="70"/>
        <v>0</v>
      </c>
      <c r="AX43" s="353">
        <f t="shared" si="79"/>
        <v>0</v>
      </c>
      <c r="AY43" s="353">
        <f t="shared" si="79"/>
        <v>0</v>
      </c>
      <c r="AZ43" s="353">
        <f t="shared" si="80"/>
        <v>0</v>
      </c>
      <c r="BA43" s="354">
        <f t="shared" si="71"/>
        <v>160935839</v>
      </c>
    </row>
    <row r="44" spans="1:53" ht="14.25" hidden="1" thickBot="1">
      <c r="A44" s="138">
        <v>41395</v>
      </c>
      <c r="B44" s="18">
        <v>1943952</v>
      </c>
      <c r="C44" s="18">
        <v>28718019</v>
      </c>
      <c r="D44" s="18">
        <f t="shared" si="1"/>
        <v>30661971</v>
      </c>
      <c r="E44" s="18">
        <f t="shared" si="2"/>
        <v>1825728</v>
      </c>
      <c r="F44" s="18">
        <v>0</v>
      </c>
      <c r="G44" s="18">
        <f t="shared" si="3"/>
        <v>1825728</v>
      </c>
      <c r="H44" s="18">
        <v>0</v>
      </c>
      <c r="I44" s="18">
        <v>0</v>
      </c>
      <c r="J44" s="18">
        <f t="shared" si="4"/>
        <v>0</v>
      </c>
      <c r="K44" s="18">
        <v>575116</v>
      </c>
      <c r="L44" s="18">
        <v>0</v>
      </c>
      <c r="M44" s="18">
        <f t="shared" si="5"/>
        <v>575116</v>
      </c>
      <c r="N44" s="18">
        <f t="shared" si="6"/>
        <v>0</v>
      </c>
      <c r="O44" s="18">
        <v>0</v>
      </c>
      <c r="P44" s="18">
        <f t="shared" si="7"/>
        <v>0</v>
      </c>
      <c r="Q44" s="18">
        <v>0</v>
      </c>
      <c r="R44" s="18">
        <v>0</v>
      </c>
      <c r="S44" s="18">
        <f t="shared" si="8"/>
        <v>0</v>
      </c>
      <c r="T44" s="18">
        <v>0</v>
      </c>
      <c r="U44" s="18">
        <v>0</v>
      </c>
      <c r="V44" s="18">
        <f t="shared" si="64"/>
        <v>0</v>
      </c>
      <c r="W44" s="18">
        <f t="shared" si="0"/>
        <v>4344796</v>
      </c>
      <c r="X44" s="18">
        <f t="shared" si="10"/>
        <v>28718019</v>
      </c>
      <c r="Y44" s="235">
        <f t="shared" si="11"/>
        <v>33062815</v>
      </c>
      <c r="Z44" s="18">
        <v>1050</v>
      </c>
      <c r="AA44" s="18">
        <v>1824678</v>
      </c>
      <c r="AB44" s="18">
        <f t="shared" si="12"/>
        <v>1825728</v>
      </c>
      <c r="AC44" s="352">
        <v>0</v>
      </c>
      <c r="AD44" s="18">
        <v>0</v>
      </c>
      <c r="AE44" s="18">
        <f t="shared" si="13"/>
        <v>0</v>
      </c>
      <c r="AF44" s="352">
        <f t="shared" si="72"/>
        <v>9097383</v>
      </c>
      <c r="AG44" s="353">
        <f t="shared" si="72"/>
        <v>178688167</v>
      </c>
      <c r="AH44" s="353">
        <f t="shared" si="65"/>
        <v>187785550</v>
      </c>
      <c r="AI44" s="353">
        <f t="shared" si="73"/>
        <v>2735138</v>
      </c>
      <c r="AJ44" s="353">
        <f t="shared" si="74"/>
        <v>0</v>
      </c>
      <c r="AK44" s="353">
        <f t="shared" si="66"/>
        <v>2735138</v>
      </c>
      <c r="AL44" s="353">
        <f t="shared" si="75"/>
        <v>0</v>
      </c>
      <c r="AM44" s="353">
        <f t="shared" si="75"/>
        <v>0</v>
      </c>
      <c r="AN44" s="353">
        <f t="shared" si="67"/>
        <v>0</v>
      </c>
      <c r="AO44" s="353">
        <f t="shared" si="76"/>
        <v>2302234</v>
      </c>
      <c r="AP44" s="353">
        <f t="shared" si="76"/>
        <v>0</v>
      </c>
      <c r="AQ44" s="353">
        <f t="shared" si="68"/>
        <v>2302234</v>
      </c>
      <c r="AR44" s="353">
        <f t="shared" si="77"/>
        <v>0</v>
      </c>
      <c r="AS44" s="353">
        <f t="shared" si="77"/>
        <v>0</v>
      </c>
      <c r="AT44" s="353">
        <f t="shared" si="69"/>
        <v>0</v>
      </c>
      <c r="AU44" s="353">
        <f t="shared" si="78"/>
        <v>0</v>
      </c>
      <c r="AV44" s="353">
        <f t="shared" si="78"/>
        <v>0</v>
      </c>
      <c r="AW44" s="353">
        <f t="shared" si="70"/>
        <v>0</v>
      </c>
      <c r="AX44" s="353">
        <f t="shared" si="79"/>
        <v>0</v>
      </c>
      <c r="AY44" s="353">
        <f t="shared" si="79"/>
        <v>0</v>
      </c>
      <c r="AZ44" s="353">
        <f t="shared" si="80"/>
        <v>0</v>
      </c>
      <c r="BA44" s="354">
        <f t="shared" si="71"/>
        <v>192822922</v>
      </c>
    </row>
    <row r="45" spans="1:53" ht="14.25" hidden="1" thickBot="1">
      <c r="A45" s="138">
        <v>41426</v>
      </c>
      <c r="B45" s="18">
        <v>1796908</v>
      </c>
      <c r="C45" s="18">
        <v>33454217</v>
      </c>
      <c r="D45" s="18">
        <f t="shared" si="1"/>
        <v>35251125</v>
      </c>
      <c r="E45" s="18">
        <f t="shared" si="2"/>
        <v>5656316</v>
      </c>
      <c r="F45" s="18">
        <v>0</v>
      </c>
      <c r="G45" s="18">
        <f t="shared" si="3"/>
        <v>5656316</v>
      </c>
      <c r="H45" s="18">
        <v>0</v>
      </c>
      <c r="I45" s="18">
        <v>0</v>
      </c>
      <c r="J45" s="18">
        <f t="shared" si="4"/>
        <v>0</v>
      </c>
      <c r="K45" s="18">
        <v>2423577</v>
      </c>
      <c r="L45" s="18">
        <v>0</v>
      </c>
      <c r="M45" s="18">
        <f t="shared" si="5"/>
        <v>2423577</v>
      </c>
      <c r="N45" s="18">
        <f t="shared" si="6"/>
        <v>0</v>
      </c>
      <c r="O45" s="18">
        <v>0</v>
      </c>
      <c r="P45" s="18">
        <f t="shared" si="7"/>
        <v>0</v>
      </c>
      <c r="Q45" s="18">
        <v>0</v>
      </c>
      <c r="R45" s="18">
        <v>0</v>
      </c>
      <c r="S45" s="18">
        <f t="shared" si="8"/>
        <v>0</v>
      </c>
      <c r="T45" s="18">
        <v>0</v>
      </c>
      <c r="U45" s="18">
        <v>0</v>
      </c>
      <c r="V45" s="18">
        <f t="shared" si="64"/>
        <v>0</v>
      </c>
      <c r="W45" s="18">
        <f t="shared" si="0"/>
        <v>9876801</v>
      </c>
      <c r="X45" s="18">
        <f t="shared" si="10"/>
        <v>33454217</v>
      </c>
      <c r="Y45" s="235">
        <f t="shared" si="11"/>
        <v>43331018</v>
      </c>
      <c r="Z45" s="18">
        <v>1250</v>
      </c>
      <c r="AA45" s="18">
        <v>5655066</v>
      </c>
      <c r="AB45" s="18">
        <f t="shared" si="12"/>
        <v>5656316</v>
      </c>
      <c r="AC45" s="352">
        <v>0</v>
      </c>
      <c r="AD45" s="18">
        <v>0</v>
      </c>
      <c r="AE45" s="18">
        <f t="shared" si="13"/>
        <v>0</v>
      </c>
      <c r="AF45" s="352">
        <f t="shared" si="72"/>
        <v>10894291</v>
      </c>
      <c r="AG45" s="353">
        <f t="shared" si="72"/>
        <v>212142384</v>
      </c>
      <c r="AH45" s="353">
        <f t="shared" si="65"/>
        <v>223036675</v>
      </c>
      <c r="AI45" s="353">
        <f t="shared" si="73"/>
        <v>4560866</v>
      </c>
      <c r="AJ45" s="353">
        <f t="shared" si="74"/>
        <v>0</v>
      </c>
      <c r="AK45" s="353">
        <f t="shared" si="66"/>
        <v>4560866</v>
      </c>
      <c r="AL45" s="353">
        <f t="shared" si="75"/>
        <v>0</v>
      </c>
      <c r="AM45" s="353">
        <f t="shared" si="75"/>
        <v>0</v>
      </c>
      <c r="AN45" s="353">
        <f t="shared" si="67"/>
        <v>0</v>
      </c>
      <c r="AO45" s="353">
        <f t="shared" si="76"/>
        <v>4725811</v>
      </c>
      <c r="AP45" s="353">
        <f t="shared" si="76"/>
        <v>0</v>
      </c>
      <c r="AQ45" s="353">
        <f t="shared" si="68"/>
        <v>4725811</v>
      </c>
      <c r="AR45" s="353">
        <f t="shared" si="77"/>
        <v>0</v>
      </c>
      <c r="AS45" s="353">
        <f t="shared" si="77"/>
        <v>0</v>
      </c>
      <c r="AT45" s="353">
        <f t="shared" si="69"/>
        <v>0</v>
      </c>
      <c r="AU45" s="353">
        <f t="shared" si="78"/>
        <v>0</v>
      </c>
      <c r="AV45" s="353">
        <f t="shared" si="78"/>
        <v>0</v>
      </c>
      <c r="AW45" s="353">
        <f t="shared" si="70"/>
        <v>0</v>
      </c>
      <c r="AX45" s="353">
        <f t="shared" si="79"/>
        <v>0</v>
      </c>
      <c r="AY45" s="353">
        <f t="shared" si="79"/>
        <v>0</v>
      </c>
      <c r="AZ45" s="353">
        <f t="shared" si="80"/>
        <v>0</v>
      </c>
      <c r="BA45" s="354">
        <f t="shared" si="71"/>
        <v>232323352</v>
      </c>
    </row>
    <row r="46" spans="1:53" ht="14.25" hidden="1" thickBot="1">
      <c r="A46" s="138">
        <v>41456</v>
      </c>
      <c r="B46" s="18">
        <v>2027766</v>
      </c>
      <c r="C46" s="18">
        <v>53724053</v>
      </c>
      <c r="D46" s="18">
        <f t="shared" si="1"/>
        <v>55751819</v>
      </c>
      <c r="E46" s="18">
        <f t="shared" si="2"/>
        <v>4357542</v>
      </c>
      <c r="F46" s="18">
        <v>0</v>
      </c>
      <c r="G46" s="18">
        <f t="shared" si="3"/>
        <v>4357542</v>
      </c>
      <c r="H46" s="18">
        <v>0</v>
      </c>
      <c r="I46" s="18">
        <v>0</v>
      </c>
      <c r="J46" s="18">
        <f t="shared" si="4"/>
        <v>0</v>
      </c>
      <c r="K46" s="18">
        <v>3431987</v>
      </c>
      <c r="L46" s="18">
        <v>0</v>
      </c>
      <c r="M46" s="18">
        <f t="shared" si="5"/>
        <v>3431987</v>
      </c>
      <c r="N46" s="18">
        <f t="shared" si="6"/>
        <v>0</v>
      </c>
      <c r="O46" s="18">
        <v>0</v>
      </c>
      <c r="P46" s="18">
        <f t="shared" si="7"/>
        <v>0</v>
      </c>
      <c r="Q46" s="18">
        <v>0</v>
      </c>
      <c r="R46" s="18">
        <v>0</v>
      </c>
      <c r="S46" s="18">
        <f t="shared" si="8"/>
        <v>0</v>
      </c>
      <c r="T46" s="18">
        <v>0</v>
      </c>
      <c r="U46" s="18">
        <v>0</v>
      </c>
      <c r="V46" s="18">
        <f t="shared" si="64"/>
        <v>0</v>
      </c>
      <c r="W46" s="18">
        <f t="shared" si="0"/>
        <v>9817295</v>
      </c>
      <c r="X46" s="18">
        <f t="shared" si="10"/>
        <v>53724053</v>
      </c>
      <c r="Y46" s="235">
        <f t="shared" si="11"/>
        <v>63541348</v>
      </c>
      <c r="Z46" s="18">
        <v>1250</v>
      </c>
      <c r="AA46" s="18">
        <v>4356292</v>
      </c>
      <c r="AB46" s="18">
        <f t="shared" si="12"/>
        <v>4357542</v>
      </c>
      <c r="AC46" s="352">
        <v>0</v>
      </c>
      <c r="AD46" s="18">
        <v>0</v>
      </c>
      <c r="AE46" s="18">
        <f t="shared" si="13"/>
        <v>0</v>
      </c>
      <c r="AF46" s="352">
        <f t="shared" si="72"/>
        <v>12922057</v>
      </c>
      <c r="AG46" s="353">
        <f t="shared" si="72"/>
        <v>265866437</v>
      </c>
      <c r="AH46" s="353">
        <f t="shared" si="65"/>
        <v>278788494</v>
      </c>
      <c r="AI46" s="353">
        <f t="shared" si="73"/>
        <v>10217182</v>
      </c>
      <c r="AJ46" s="353">
        <f t="shared" si="74"/>
        <v>0</v>
      </c>
      <c r="AK46" s="353">
        <f t="shared" si="66"/>
        <v>10217182</v>
      </c>
      <c r="AL46" s="353">
        <f t="shared" si="75"/>
        <v>0</v>
      </c>
      <c r="AM46" s="353">
        <f t="shared" si="75"/>
        <v>0</v>
      </c>
      <c r="AN46" s="353">
        <f t="shared" si="67"/>
        <v>0</v>
      </c>
      <c r="AO46" s="353">
        <f t="shared" si="76"/>
        <v>8157798</v>
      </c>
      <c r="AP46" s="353">
        <f t="shared" si="76"/>
        <v>0</v>
      </c>
      <c r="AQ46" s="353">
        <f t="shared" si="68"/>
        <v>8157798</v>
      </c>
      <c r="AR46" s="353">
        <f t="shared" si="77"/>
        <v>0</v>
      </c>
      <c r="AS46" s="353">
        <f t="shared" si="77"/>
        <v>0</v>
      </c>
      <c r="AT46" s="353">
        <f t="shared" si="69"/>
        <v>0</v>
      </c>
      <c r="AU46" s="353">
        <f t="shared" si="78"/>
        <v>0</v>
      </c>
      <c r="AV46" s="353">
        <f t="shared" si="78"/>
        <v>0</v>
      </c>
      <c r="AW46" s="353">
        <f t="shared" si="70"/>
        <v>0</v>
      </c>
      <c r="AX46" s="353">
        <f t="shared" si="79"/>
        <v>0</v>
      </c>
      <c r="AY46" s="353">
        <f t="shared" si="79"/>
        <v>0</v>
      </c>
      <c r="AZ46" s="353">
        <f t="shared" si="80"/>
        <v>0</v>
      </c>
      <c r="BA46" s="354">
        <f t="shared" si="71"/>
        <v>297163474</v>
      </c>
    </row>
    <row r="47" spans="1:53" ht="14.25" hidden="1" thickBot="1">
      <c r="A47" s="138">
        <v>41487</v>
      </c>
      <c r="B47" s="18">
        <v>2084363</v>
      </c>
      <c r="C47" s="18">
        <v>80484976</v>
      </c>
      <c r="D47" s="18">
        <f t="shared" si="1"/>
        <v>82569339</v>
      </c>
      <c r="E47" s="18">
        <f t="shared" si="2"/>
        <v>6366432</v>
      </c>
      <c r="F47" s="18">
        <v>0</v>
      </c>
      <c r="G47" s="18">
        <f t="shared" si="3"/>
        <v>6366432</v>
      </c>
      <c r="H47" s="18">
        <v>0</v>
      </c>
      <c r="I47" s="18">
        <v>0</v>
      </c>
      <c r="J47" s="18">
        <f t="shared" si="4"/>
        <v>0</v>
      </c>
      <c r="K47" s="18">
        <v>4149093</v>
      </c>
      <c r="L47" s="18">
        <v>0</v>
      </c>
      <c r="M47" s="18">
        <f t="shared" si="5"/>
        <v>4149093</v>
      </c>
      <c r="N47" s="18">
        <f t="shared" si="6"/>
        <v>127898</v>
      </c>
      <c r="O47" s="18">
        <v>0</v>
      </c>
      <c r="P47" s="18">
        <f t="shared" si="7"/>
        <v>127898</v>
      </c>
      <c r="Q47" s="18">
        <v>0</v>
      </c>
      <c r="R47" s="18">
        <v>0</v>
      </c>
      <c r="S47" s="18">
        <f t="shared" si="8"/>
        <v>0</v>
      </c>
      <c r="T47" s="18">
        <v>0</v>
      </c>
      <c r="U47" s="18">
        <v>0</v>
      </c>
      <c r="V47" s="18">
        <f t="shared" si="64"/>
        <v>0</v>
      </c>
      <c r="W47" s="18">
        <f t="shared" si="0"/>
        <v>12727786</v>
      </c>
      <c r="X47" s="18">
        <f t="shared" si="10"/>
        <v>80484976</v>
      </c>
      <c r="Y47" s="235">
        <f t="shared" si="11"/>
        <v>93212762</v>
      </c>
      <c r="Z47" s="18">
        <v>250</v>
      </c>
      <c r="AA47" s="18">
        <v>6366182</v>
      </c>
      <c r="AB47" s="18">
        <f t="shared" si="12"/>
        <v>6366432</v>
      </c>
      <c r="AC47" s="352">
        <v>0</v>
      </c>
      <c r="AD47" s="18">
        <v>127898</v>
      </c>
      <c r="AE47" s="18">
        <f t="shared" si="13"/>
        <v>127898</v>
      </c>
      <c r="AF47" s="352">
        <f t="shared" si="72"/>
        <v>15006420</v>
      </c>
      <c r="AG47" s="353">
        <f t="shared" si="72"/>
        <v>346351413</v>
      </c>
      <c r="AH47" s="353">
        <f t="shared" si="65"/>
        <v>361357833</v>
      </c>
      <c r="AI47" s="353">
        <f t="shared" si="73"/>
        <v>14574724</v>
      </c>
      <c r="AJ47" s="353">
        <f t="shared" si="74"/>
        <v>0</v>
      </c>
      <c r="AK47" s="353">
        <f t="shared" si="66"/>
        <v>14574724</v>
      </c>
      <c r="AL47" s="353">
        <f t="shared" si="75"/>
        <v>0</v>
      </c>
      <c r="AM47" s="353">
        <f t="shared" si="75"/>
        <v>0</v>
      </c>
      <c r="AN47" s="353">
        <f t="shared" si="67"/>
        <v>0</v>
      </c>
      <c r="AO47" s="353">
        <f t="shared" si="76"/>
        <v>12306891</v>
      </c>
      <c r="AP47" s="353">
        <f t="shared" si="76"/>
        <v>0</v>
      </c>
      <c r="AQ47" s="353">
        <f t="shared" si="68"/>
        <v>12306891</v>
      </c>
      <c r="AR47" s="353">
        <f t="shared" si="77"/>
        <v>127898</v>
      </c>
      <c r="AS47" s="353">
        <f t="shared" si="77"/>
        <v>0</v>
      </c>
      <c r="AT47" s="353">
        <f t="shared" si="69"/>
        <v>127898</v>
      </c>
      <c r="AU47" s="353">
        <f t="shared" si="78"/>
        <v>0</v>
      </c>
      <c r="AV47" s="353">
        <f t="shared" si="78"/>
        <v>0</v>
      </c>
      <c r="AW47" s="353">
        <f t="shared" si="70"/>
        <v>0</v>
      </c>
      <c r="AX47" s="353">
        <f t="shared" si="79"/>
        <v>0</v>
      </c>
      <c r="AY47" s="353">
        <f t="shared" si="79"/>
        <v>0</v>
      </c>
      <c r="AZ47" s="353">
        <f t="shared" si="80"/>
        <v>0</v>
      </c>
      <c r="BA47" s="354">
        <f t="shared" si="71"/>
        <v>388367346</v>
      </c>
    </row>
    <row r="48" spans="1:53" ht="14.25" hidden="1" thickBot="1">
      <c r="A48" s="138">
        <v>41518</v>
      </c>
      <c r="B48" s="18">
        <v>1978203</v>
      </c>
      <c r="C48" s="18">
        <v>49727263</v>
      </c>
      <c r="D48" s="18">
        <f t="shared" si="1"/>
        <v>51705466</v>
      </c>
      <c r="E48" s="18">
        <f t="shared" si="2"/>
        <v>7873106</v>
      </c>
      <c r="F48" s="18">
        <v>0</v>
      </c>
      <c r="G48" s="18">
        <f t="shared" si="3"/>
        <v>7873106</v>
      </c>
      <c r="H48" s="18">
        <v>0</v>
      </c>
      <c r="I48" s="18">
        <v>0</v>
      </c>
      <c r="J48" s="18">
        <f t="shared" si="4"/>
        <v>0</v>
      </c>
      <c r="K48" s="18">
        <v>5943278</v>
      </c>
      <c r="L48" s="18">
        <v>0</v>
      </c>
      <c r="M48" s="18">
        <f t="shared" si="5"/>
        <v>5943278</v>
      </c>
      <c r="N48" s="18">
        <f t="shared" si="6"/>
        <v>503877</v>
      </c>
      <c r="O48" s="18">
        <v>0</v>
      </c>
      <c r="P48" s="18">
        <f t="shared" si="7"/>
        <v>503877</v>
      </c>
      <c r="Q48" s="18">
        <v>0</v>
      </c>
      <c r="R48" s="18">
        <v>0</v>
      </c>
      <c r="S48" s="18">
        <f t="shared" si="8"/>
        <v>0</v>
      </c>
      <c r="T48" s="18">
        <v>0</v>
      </c>
      <c r="U48" s="18">
        <v>0</v>
      </c>
      <c r="V48" s="18">
        <f t="shared" si="64"/>
        <v>0</v>
      </c>
      <c r="W48" s="18">
        <f t="shared" si="0"/>
        <v>16298464</v>
      </c>
      <c r="X48" s="18">
        <f t="shared" si="10"/>
        <v>49727263</v>
      </c>
      <c r="Y48" s="235">
        <f t="shared" si="11"/>
        <v>66025727</v>
      </c>
      <c r="Z48" s="18">
        <v>700</v>
      </c>
      <c r="AA48" s="18">
        <v>7872406</v>
      </c>
      <c r="AB48" s="18">
        <f t="shared" si="12"/>
        <v>7873106</v>
      </c>
      <c r="AC48" s="352">
        <v>0</v>
      </c>
      <c r="AD48" s="18">
        <v>503877</v>
      </c>
      <c r="AE48" s="18">
        <f t="shared" si="13"/>
        <v>503877</v>
      </c>
      <c r="AF48" s="352">
        <f t="shared" si="72"/>
        <v>16984623</v>
      </c>
      <c r="AG48" s="353">
        <f t="shared" si="72"/>
        <v>396078676</v>
      </c>
      <c r="AH48" s="353">
        <f t="shared" si="65"/>
        <v>413063299</v>
      </c>
      <c r="AI48" s="353">
        <f t="shared" si="73"/>
        <v>20941156</v>
      </c>
      <c r="AJ48" s="353">
        <f t="shared" si="74"/>
        <v>0</v>
      </c>
      <c r="AK48" s="353">
        <f t="shared" si="66"/>
        <v>20941156</v>
      </c>
      <c r="AL48" s="353">
        <f t="shared" si="75"/>
        <v>0</v>
      </c>
      <c r="AM48" s="353">
        <f t="shared" si="75"/>
        <v>0</v>
      </c>
      <c r="AN48" s="353">
        <f t="shared" si="67"/>
        <v>0</v>
      </c>
      <c r="AO48" s="353">
        <f t="shared" si="76"/>
        <v>18250169</v>
      </c>
      <c r="AP48" s="353">
        <f t="shared" si="76"/>
        <v>0</v>
      </c>
      <c r="AQ48" s="353">
        <f t="shared" si="68"/>
        <v>18250169</v>
      </c>
      <c r="AR48" s="353">
        <f t="shared" si="77"/>
        <v>631775</v>
      </c>
      <c r="AS48" s="353">
        <f t="shared" si="77"/>
        <v>0</v>
      </c>
      <c r="AT48" s="353">
        <f t="shared" si="69"/>
        <v>631775</v>
      </c>
      <c r="AU48" s="353">
        <f t="shared" si="78"/>
        <v>0</v>
      </c>
      <c r="AV48" s="353">
        <f t="shared" si="78"/>
        <v>0</v>
      </c>
      <c r="AW48" s="353">
        <f t="shared" si="70"/>
        <v>0</v>
      </c>
      <c r="AX48" s="353">
        <f t="shared" si="79"/>
        <v>0</v>
      </c>
      <c r="AY48" s="353">
        <f t="shared" si="79"/>
        <v>0</v>
      </c>
      <c r="AZ48" s="353">
        <f t="shared" si="80"/>
        <v>0</v>
      </c>
      <c r="BA48" s="354">
        <f t="shared" si="71"/>
        <v>452886399</v>
      </c>
    </row>
    <row r="49" spans="1:53" ht="14.25" hidden="1" thickBot="1">
      <c r="A49" s="138">
        <v>41548</v>
      </c>
      <c r="B49" s="18">
        <v>2071303</v>
      </c>
      <c r="C49" s="18">
        <v>15647453</v>
      </c>
      <c r="D49" s="18">
        <f t="shared" si="1"/>
        <v>17718756</v>
      </c>
      <c r="E49" s="18">
        <f t="shared" si="2"/>
        <v>7878698</v>
      </c>
      <c r="F49" s="18">
        <v>0</v>
      </c>
      <c r="G49" s="18">
        <f t="shared" si="3"/>
        <v>7878698</v>
      </c>
      <c r="H49" s="18">
        <v>0</v>
      </c>
      <c r="I49" s="18">
        <v>0</v>
      </c>
      <c r="J49" s="18">
        <f t="shared" si="4"/>
        <v>0</v>
      </c>
      <c r="K49" s="18">
        <v>3973504</v>
      </c>
      <c r="L49" s="18">
        <v>0</v>
      </c>
      <c r="M49" s="18">
        <f t="shared" si="5"/>
        <v>3973504</v>
      </c>
      <c r="N49" s="18">
        <f t="shared" si="6"/>
        <v>451592</v>
      </c>
      <c r="O49" s="18">
        <v>0</v>
      </c>
      <c r="P49" s="18">
        <f t="shared" si="7"/>
        <v>451592</v>
      </c>
      <c r="Q49" s="18">
        <v>0</v>
      </c>
      <c r="R49" s="18">
        <v>0</v>
      </c>
      <c r="S49" s="18">
        <f t="shared" si="8"/>
        <v>0</v>
      </c>
      <c r="T49" s="18">
        <v>0</v>
      </c>
      <c r="U49" s="18">
        <v>0</v>
      </c>
      <c r="V49" s="18">
        <f t="shared" si="64"/>
        <v>0</v>
      </c>
      <c r="W49" s="18">
        <f t="shared" si="0"/>
        <v>14375097</v>
      </c>
      <c r="X49" s="18">
        <f t="shared" si="10"/>
        <v>15647453</v>
      </c>
      <c r="Y49" s="235">
        <f t="shared" si="11"/>
        <v>30022550</v>
      </c>
      <c r="Z49" s="18">
        <v>500</v>
      </c>
      <c r="AA49" s="18">
        <v>7878198</v>
      </c>
      <c r="AB49" s="18">
        <f t="shared" si="12"/>
        <v>7878698</v>
      </c>
      <c r="AC49" s="352">
        <v>0</v>
      </c>
      <c r="AD49" s="18">
        <v>451592</v>
      </c>
      <c r="AE49" s="18">
        <f t="shared" si="13"/>
        <v>451592</v>
      </c>
      <c r="AF49" s="352">
        <f t="shared" si="72"/>
        <v>19055926</v>
      </c>
      <c r="AG49" s="353">
        <f t="shared" si="72"/>
        <v>411726129</v>
      </c>
      <c r="AH49" s="353">
        <f t="shared" si="65"/>
        <v>430782055</v>
      </c>
      <c r="AI49" s="353">
        <f t="shared" si="73"/>
        <v>28814262</v>
      </c>
      <c r="AJ49" s="353">
        <f t="shared" si="74"/>
        <v>0</v>
      </c>
      <c r="AK49" s="353">
        <f t="shared" si="66"/>
        <v>28814262</v>
      </c>
      <c r="AL49" s="353">
        <f t="shared" si="75"/>
        <v>0</v>
      </c>
      <c r="AM49" s="353">
        <f t="shared" si="75"/>
        <v>0</v>
      </c>
      <c r="AN49" s="353">
        <f t="shared" si="67"/>
        <v>0</v>
      </c>
      <c r="AO49" s="353">
        <f t="shared" si="76"/>
        <v>22223673</v>
      </c>
      <c r="AP49" s="353">
        <f t="shared" si="76"/>
        <v>0</v>
      </c>
      <c r="AQ49" s="353">
        <f t="shared" si="68"/>
        <v>22223673</v>
      </c>
      <c r="AR49" s="353">
        <f t="shared" si="77"/>
        <v>1083367</v>
      </c>
      <c r="AS49" s="353">
        <f t="shared" si="77"/>
        <v>0</v>
      </c>
      <c r="AT49" s="353">
        <f t="shared" si="69"/>
        <v>1083367</v>
      </c>
      <c r="AU49" s="353">
        <f t="shared" si="78"/>
        <v>0</v>
      </c>
      <c r="AV49" s="353">
        <f t="shared" si="78"/>
        <v>0</v>
      </c>
      <c r="AW49" s="353">
        <f t="shared" si="70"/>
        <v>0</v>
      </c>
      <c r="AX49" s="353">
        <f t="shared" si="79"/>
        <v>0</v>
      </c>
      <c r="AY49" s="353">
        <f t="shared" si="79"/>
        <v>0</v>
      </c>
      <c r="AZ49" s="353">
        <f t="shared" si="80"/>
        <v>0</v>
      </c>
      <c r="BA49" s="354">
        <f t="shared" si="71"/>
        <v>482903357</v>
      </c>
    </row>
    <row r="50" spans="1:53" ht="14.25" hidden="1" thickBot="1">
      <c r="A50" s="138">
        <v>41579</v>
      </c>
      <c r="B50" s="18">
        <v>1968966</v>
      </c>
      <c r="C50" s="18">
        <v>13318277</v>
      </c>
      <c r="D50" s="18">
        <f t="shared" si="1"/>
        <v>15287243</v>
      </c>
      <c r="E50" s="18">
        <f t="shared" si="2"/>
        <v>4420456</v>
      </c>
      <c r="F50" s="18">
        <v>0</v>
      </c>
      <c r="G50" s="18">
        <f t="shared" si="3"/>
        <v>4420456</v>
      </c>
      <c r="H50" s="18">
        <v>0</v>
      </c>
      <c r="I50" s="18">
        <v>0</v>
      </c>
      <c r="J50" s="18">
        <f t="shared" si="4"/>
        <v>0</v>
      </c>
      <c r="K50" s="18">
        <v>2092389</v>
      </c>
      <c r="L50" s="18">
        <v>0</v>
      </c>
      <c r="M50" s="18">
        <f t="shared" si="5"/>
        <v>2092389</v>
      </c>
      <c r="N50" s="18">
        <f t="shared" si="6"/>
        <v>462368</v>
      </c>
      <c r="O50" s="18">
        <v>0</v>
      </c>
      <c r="P50" s="18">
        <f t="shared" si="7"/>
        <v>462368</v>
      </c>
      <c r="Q50" s="18">
        <v>0</v>
      </c>
      <c r="R50" s="18">
        <v>0</v>
      </c>
      <c r="S50" s="18">
        <f t="shared" si="8"/>
        <v>0</v>
      </c>
      <c r="T50" s="18">
        <v>0</v>
      </c>
      <c r="U50" s="18">
        <v>0</v>
      </c>
      <c r="V50" s="18">
        <f t="shared" si="64"/>
        <v>0</v>
      </c>
      <c r="W50" s="18">
        <f t="shared" si="0"/>
        <v>8944179</v>
      </c>
      <c r="X50" s="18">
        <f t="shared" si="10"/>
        <v>13318277</v>
      </c>
      <c r="Y50" s="235">
        <f t="shared" si="11"/>
        <v>22262456</v>
      </c>
      <c r="Z50" s="18">
        <v>0</v>
      </c>
      <c r="AA50" s="18">
        <v>4420456</v>
      </c>
      <c r="AB50" s="18">
        <f t="shared" si="12"/>
        <v>4420456</v>
      </c>
      <c r="AC50" s="352">
        <v>0</v>
      </c>
      <c r="AD50" s="18">
        <v>462368</v>
      </c>
      <c r="AE50" s="18">
        <f t="shared" si="13"/>
        <v>462368</v>
      </c>
      <c r="AF50" s="352">
        <f t="shared" si="72"/>
        <v>21024892</v>
      </c>
      <c r="AG50" s="353">
        <f t="shared" si="72"/>
        <v>425044406</v>
      </c>
      <c r="AH50" s="353">
        <f t="shared" si="65"/>
        <v>446069298</v>
      </c>
      <c r="AI50" s="353">
        <f t="shared" si="73"/>
        <v>36692960</v>
      </c>
      <c r="AJ50" s="353">
        <f t="shared" si="74"/>
        <v>0</v>
      </c>
      <c r="AK50" s="353">
        <f t="shared" si="66"/>
        <v>36692960</v>
      </c>
      <c r="AL50" s="353">
        <f t="shared" si="75"/>
        <v>0</v>
      </c>
      <c r="AM50" s="353">
        <f t="shared" si="75"/>
        <v>0</v>
      </c>
      <c r="AN50" s="353">
        <f t="shared" si="67"/>
        <v>0</v>
      </c>
      <c r="AO50" s="353">
        <f t="shared" si="76"/>
        <v>24316062</v>
      </c>
      <c r="AP50" s="353">
        <f t="shared" si="76"/>
        <v>0</v>
      </c>
      <c r="AQ50" s="353">
        <f t="shared" si="68"/>
        <v>24316062</v>
      </c>
      <c r="AR50" s="353">
        <f t="shared" si="77"/>
        <v>1545735</v>
      </c>
      <c r="AS50" s="353">
        <f t="shared" si="77"/>
        <v>0</v>
      </c>
      <c r="AT50" s="353">
        <f t="shared" si="69"/>
        <v>1545735</v>
      </c>
      <c r="AU50" s="353">
        <f t="shared" si="78"/>
        <v>0</v>
      </c>
      <c r="AV50" s="353">
        <f t="shared" si="78"/>
        <v>0</v>
      </c>
      <c r="AW50" s="353">
        <f t="shared" si="70"/>
        <v>0</v>
      </c>
      <c r="AX50" s="353">
        <f t="shared" si="79"/>
        <v>0</v>
      </c>
      <c r="AY50" s="353">
        <f t="shared" si="79"/>
        <v>0</v>
      </c>
      <c r="AZ50" s="353">
        <f t="shared" si="80"/>
        <v>0</v>
      </c>
      <c r="BA50" s="354">
        <f t="shared" si="71"/>
        <v>508624055</v>
      </c>
    </row>
    <row r="51" spans="1:53" ht="13.5" hidden="1" customHeight="1" thickBot="1">
      <c r="A51" s="138">
        <v>41609</v>
      </c>
      <c r="B51" s="18">
        <v>1912497</v>
      </c>
      <c r="C51" s="18">
        <v>10268862</v>
      </c>
      <c r="D51" s="18">
        <f t="shared" si="1"/>
        <v>12181359</v>
      </c>
      <c r="E51" s="18">
        <f t="shared" si="2"/>
        <v>568804</v>
      </c>
      <c r="F51" s="18">
        <v>0</v>
      </c>
      <c r="G51" s="18">
        <f t="shared" si="3"/>
        <v>568804</v>
      </c>
      <c r="H51" s="18">
        <v>0</v>
      </c>
      <c r="I51" s="18">
        <v>0</v>
      </c>
      <c r="J51" s="18">
        <f t="shared" si="4"/>
        <v>0</v>
      </c>
      <c r="K51" s="18">
        <v>1618751</v>
      </c>
      <c r="L51" s="18">
        <v>0</v>
      </c>
      <c r="M51" s="18">
        <f t="shared" si="5"/>
        <v>1618751</v>
      </c>
      <c r="N51" s="18">
        <f t="shared" si="6"/>
        <v>765422</v>
      </c>
      <c r="O51" s="18">
        <v>0</v>
      </c>
      <c r="P51" s="18">
        <f t="shared" si="7"/>
        <v>765422</v>
      </c>
      <c r="Q51" s="18">
        <v>0</v>
      </c>
      <c r="R51" s="18">
        <v>0</v>
      </c>
      <c r="S51" s="18">
        <f t="shared" si="8"/>
        <v>0</v>
      </c>
      <c r="T51" s="18">
        <v>0</v>
      </c>
      <c r="U51" s="18">
        <v>0</v>
      </c>
      <c r="V51" s="18">
        <f t="shared" si="64"/>
        <v>0</v>
      </c>
      <c r="W51" s="18">
        <f t="shared" si="0"/>
        <v>4865474</v>
      </c>
      <c r="X51" s="18">
        <f t="shared" si="10"/>
        <v>10268862</v>
      </c>
      <c r="Y51" s="235">
        <f t="shared" si="11"/>
        <v>15134336</v>
      </c>
      <c r="Z51" s="18">
        <v>650</v>
      </c>
      <c r="AA51" s="18">
        <v>568154</v>
      </c>
      <c r="AB51" s="18">
        <f t="shared" si="12"/>
        <v>568804</v>
      </c>
      <c r="AC51" s="352">
        <v>0</v>
      </c>
      <c r="AD51" s="18">
        <v>765422</v>
      </c>
      <c r="AE51" s="18">
        <f t="shared" si="13"/>
        <v>765422</v>
      </c>
      <c r="AF51" s="352">
        <f t="shared" si="72"/>
        <v>22937389</v>
      </c>
      <c r="AG51" s="353">
        <f t="shared" si="72"/>
        <v>435313268</v>
      </c>
      <c r="AH51" s="353">
        <f t="shared" si="65"/>
        <v>458250657</v>
      </c>
      <c r="AI51" s="353">
        <f t="shared" si="73"/>
        <v>41113416</v>
      </c>
      <c r="AJ51" s="353">
        <f t="shared" si="74"/>
        <v>0</v>
      </c>
      <c r="AK51" s="353">
        <f t="shared" si="66"/>
        <v>41113416</v>
      </c>
      <c r="AL51" s="353">
        <f t="shared" si="75"/>
        <v>0</v>
      </c>
      <c r="AM51" s="353">
        <f t="shared" si="75"/>
        <v>0</v>
      </c>
      <c r="AN51" s="353">
        <f t="shared" si="67"/>
        <v>0</v>
      </c>
      <c r="AO51" s="353">
        <f t="shared" si="76"/>
        <v>25934813</v>
      </c>
      <c r="AP51" s="353">
        <f t="shared" si="76"/>
        <v>0</v>
      </c>
      <c r="AQ51" s="353">
        <f t="shared" si="68"/>
        <v>25934813</v>
      </c>
      <c r="AR51" s="353">
        <f t="shared" si="77"/>
        <v>2311157</v>
      </c>
      <c r="AS51" s="353">
        <f t="shared" si="77"/>
        <v>0</v>
      </c>
      <c r="AT51" s="353">
        <f t="shared" si="69"/>
        <v>2311157</v>
      </c>
      <c r="AU51" s="353">
        <f t="shared" si="78"/>
        <v>0</v>
      </c>
      <c r="AV51" s="353">
        <f t="shared" si="78"/>
        <v>0</v>
      </c>
      <c r="AW51" s="353">
        <f t="shared" si="70"/>
        <v>0</v>
      </c>
      <c r="AX51" s="353">
        <f t="shared" si="79"/>
        <v>0</v>
      </c>
      <c r="AY51" s="353">
        <f t="shared" si="79"/>
        <v>0</v>
      </c>
      <c r="AZ51" s="353">
        <f t="shared" si="80"/>
        <v>0</v>
      </c>
      <c r="BA51" s="354">
        <f t="shared" si="71"/>
        <v>527610043</v>
      </c>
    </row>
    <row r="52" spans="1:53" ht="14.25" hidden="1" thickBot="1">
      <c r="A52" s="141">
        <v>41640</v>
      </c>
      <c r="B52" s="143">
        <v>2360846</v>
      </c>
      <c r="C52" s="143">
        <v>2659456</v>
      </c>
      <c r="D52" s="143">
        <f t="shared" si="1"/>
        <v>5020302</v>
      </c>
      <c r="E52" s="143">
        <f t="shared" si="2"/>
        <v>234258</v>
      </c>
      <c r="F52" s="143">
        <v>0</v>
      </c>
      <c r="G52" s="143">
        <f t="shared" si="3"/>
        <v>234258</v>
      </c>
      <c r="H52" s="143">
        <v>0</v>
      </c>
      <c r="I52" s="143">
        <v>0</v>
      </c>
      <c r="J52" s="143">
        <f t="shared" si="4"/>
        <v>0</v>
      </c>
      <c r="K52" s="143">
        <v>1934013</v>
      </c>
      <c r="L52" s="143">
        <v>0</v>
      </c>
      <c r="M52" s="143">
        <f t="shared" si="5"/>
        <v>1934013</v>
      </c>
      <c r="N52" s="143">
        <f t="shared" si="6"/>
        <v>898682</v>
      </c>
      <c r="O52" s="143">
        <v>0</v>
      </c>
      <c r="P52" s="143">
        <f t="shared" si="7"/>
        <v>898682</v>
      </c>
      <c r="Q52" s="143">
        <v>0</v>
      </c>
      <c r="R52" s="143">
        <v>0</v>
      </c>
      <c r="S52" s="143">
        <f t="shared" si="8"/>
        <v>0</v>
      </c>
      <c r="T52" s="143">
        <v>0</v>
      </c>
      <c r="U52" s="143">
        <v>0</v>
      </c>
      <c r="V52" s="143">
        <f>U52+T52</f>
        <v>0</v>
      </c>
      <c r="W52" s="143">
        <f t="shared" si="0"/>
        <v>5427799</v>
      </c>
      <c r="X52" s="143">
        <f t="shared" si="10"/>
        <v>2659456</v>
      </c>
      <c r="Y52" s="237">
        <f t="shared" si="11"/>
        <v>8087255</v>
      </c>
      <c r="Z52" s="143">
        <v>0</v>
      </c>
      <c r="AA52" s="143">
        <v>234258</v>
      </c>
      <c r="AB52" s="143">
        <f>AA52+Z52</f>
        <v>234258</v>
      </c>
      <c r="AC52" s="349">
        <v>0</v>
      </c>
      <c r="AD52" s="143">
        <v>898682</v>
      </c>
      <c r="AE52" s="143">
        <f t="shared" si="13"/>
        <v>898682</v>
      </c>
      <c r="AF52" s="349">
        <f>B52</f>
        <v>2360846</v>
      </c>
      <c r="AG52" s="350">
        <f>C52</f>
        <v>2659456</v>
      </c>
      <c r="AH52" s="350">
        <f>AG52+AF52</f>
        <v>5020302</v>
      </c>
      <c r="AI52" s="350">
        <f>E52</f>
        <v>234258</v>
      </c>
      <c r="AJ52" s="350">
        <f>F52</f>
        <v>0</v>
      </c>
      <c r="AK52" s="350">
        <f>AJ52+AI52</f>
        <v>234258</v>
      </c>
      <c r="AL52" s="350">
        <f>H52</f>
        <v>0</v>
      </c>
      <c r="AM52" s="350">
        <f>I52</f>
        <v>0</v>
      </c>
      <c r="AN52" s="350">
        <f>AM52+AL52</f>
        <v>0</v>
      </c>
      <c r="AO52" s="350">
        <f>K52</f>
        <v>1934013</v>
      </c>
      <c r="AP52" s="350">
        <f>L52</f>
        <v>0</v>
      </c>
      <c r="AQ52" s="350">
        <f>AP52+AO52</f>
        <v>1934013</v>
      </c>
      <c r="AR52" s="350">
        <f>N52</f>
        <v>898682</v>
      </c>
      <c r="AS52" s="350">
        <f>O52</f>
        <v>0</v>
      </c>
      <c r="AT52" s="350">
        <f>AS52+AR52</f>
        <v>898682</v>
      </c>
      <c r="AU52" s="350">
        <f>Q52</f>
        <v>0</v>
      </c>
      <c r="AV52" s="350">
        <f>R52</f>
        <v>0</v>
      </c>
      <c r="AW52" s="350">
        <f>AV52+AU52</f>
        <v>0</v>
      </c>
      <c r="AX52" s="350">
        <f>T52</f>
        <v>0</v>
      </c>
      <c r="AY52" s="350">
        <f>U52</f>
        <v>0</v>
      </c>
      <c r="AZ52" s="350">
        <f>SUM(AX52:AY52)</f>
        <v>0</v>
      </c>
      <c r="BA52" s="351">
        <f>AW52+AT52+AQ52+AN52+AK52+AH52+AZ52</f>
        <v>8087255</v>
      </c>
    </row>
    <row r="53" spans="1:53" ht="14.25" hidden="1" thickBot="1">
      <c r="A53" s="138">
        <v>41671</v>
      </c>
      <c r="B53" s="18">
        <v>1716474</v>
      </c>
      <c r="C53" s="18">
        <v>0</v>
      </c>
      <c r="D53" s="18">
        <f t="shared" si="1"/>
        <v>1716474</v>
      </c>
      <c r="E53" s="18">
        <f t="shared" si="2"/>
        <v>523301</v>
      </c>
      <c r="F53" s="18">
        <v>0</v>
      </c>
      <c r="G53" s="18">
        <f t="shared" si="3"/>
        <v>523301</v>
      </c>
      <c r="H53" s="18">
        <v>0</v>
      </c>
      <c r="I53" s="18">
        <v>0</v>
      </c>
      <c r="J53" s="18">
        <f t="shared" si="4"/>
        <v>0</v>
      </c>
      <c r="K53" s="18">
        <v>2454845</v>
      </c>
      <c r="L53" s="18">
        <v>0</v>
      </c>
      <c r="M53" s="18">
        <f t="shared" si="5"/>
        <v>2454845</v>
      </c>
      <c r="N53" s="18">
        <f t="shared" si="6"/>
        <v>889639</v>
      </c>
      <c r="O53" s="18">
        <v>0</v>
      </c>
      <c r="P53" s="18">
        <f t="shared" si="7"/>
        <v>889639</v>
      </c>
      <c r="Q53" s="18">
        <v>0</v>
      </c>
      <c r="R53" s="18">
        <v>0</v>
      </c>
      <c r="S53" s="18">
        <f t="shared" si="8"/>
        <v>0</v>
      </c>
      <c r="T53" s="18">
        <v>0</v>
      </c>
      <c r="U53" s="18">
        <v>0</v>
      </c>
      <c r="V53" s="18">
        <f t="shared" ref="V53:V63" si="81">U53+T53</f>
        <v>0</v>
      </c>
      <c r="W53" s="18">
        <f t="shared" si="0"/>
        <v>5584259</v>
      </c>
      <c r="X53" s="18">
        <f t="shared" si="10"/>
        <v>0</v>
      </c>
      <c r="Y53" s="235">
        <f t="shared" si="11"/>
        <v>5584259</v>
      </c>
      <c r="Z53" s="18">
        <v>300</v>
      </c>
      <c r="AA53" s="18">
        <v>523001</v>
      </c>
      <c r="AB53" s="18">
        <f t="shared" si="12"/>
        <v>523301</v>
      </c>
      <c r="AC53" s="352">
        <v>0</v>
      </c>
      <c r="AD53" s="18">
        <v>889639</v>
      </c>
      <c r="AE53" s="18">
        <f t="shared" si="13"/>
        <v>889639</v>
      </c>
      <c r="AF53" s="352">
        <f>B53+AF52</f>
        <v>4077320</v>
      </c>
      <c r="AG53" s="353">
        <f>C53+AG52</f>
        <v>2659456</v>
      </c>
      <c r="AH53" s="353">
        <f t="shared" ref="AH53:AH63" si="82">AG53+AF53</f>
        <v>6736776</v>
      </c>
      <c r="AI53" s="353">
        <f>AI52+E52</f>
        <v>468516</v>
      </c>
      <c r="AJ53" s="353">
        <f>AJ52+F53</f>
        <v>0</v>
      </c>
      <c r="AK53" s="353">
        <f t="shared" ref="AK53:AK63" si="83">AJ53+AI53</f>
        <v>468516</v>
      </c>
      <c r="AL53" s="353">
        <f>AL52+H53</f>
        <v>0</v>
      </c>
      <c r="AM53" s="353">
        <f>AM52+I53</f>
        <v>0</v>
      </c>
      <c r="AN53" s="353">
        <f t="shared" ref="AN53:AN63" si="84">AM53+AL53</f>
        <v>0</v>
      </c>
      <c r="AO53" s="353">
        <f>AO52+K53</f>
        <v>4388858</v>
      </c>
      <c r="AP53" s="353">
        <f>AP52+L53</f>
        <v>0</v>
      </c>
      <c r="AQ53" s="353">
        <f t="shared" ref="AQ53:AQ63" si="85">AP53+AO53</f>
        <v>4388858</v>
      </c>
      <c r="AR53" s="353">
        <f>AR52+N53</f>
        <v>1788321</v>
      </c>
      <c r="AS53" s="353">
        <f>AS52+O53</f>
        <v>0</v>
      </c>
      <c r="AT53" s="353">
        <f t="shared" ref="AT53:AT63" si="86">AS53+AR53</f>
        <v>1788321</v>
      </c>
      <c r="AU53" s="353">
        <f>AU52+Q53</f>
        <v>0</v>
      </c>
      <c r="AV53" s="353">
        <f>AV52+R53</f>
        <v>0</v>
      </c>
      <c r="AW53" s="353">
        <f t="shared" ref="AW53:AW63" si="87">AV53+AU53</f>
        <v>0</v>
      </c>
      <c r="AX53" s="353">
        <f>AX52+T53</f>
        <v>0</v>
      </c>
      <c r="AY53" s="353">
        <f>AY52+U53</f>
        <v>0</v>
      </c>
      <c r="AZ53" s="353">
        <f>SUM(AX53:AY53)</f>
        <v>0</v>
      </c>
      <c r="BA53" s="354">
        <f t="shared" ref="BA53:BA63" si="88">AW53+AT53+AQ53+AN53+AK53+AH53+AZ53</f>
        <v>13382471</v>
      </c>
    </row>
    <row r="54" spans="1:53" ht="14.25" hidden="1" thickBot="1">
      <c r="A54" s="138">
        <v>41699</v>
      </c>
      <c r="B54" s="18">
        <v>2249101</v>
      </c>
      <c r="C54" s="18">
        <v>2692148</v>
      </c>
      <c r="D54" s="18">
        <f t="shared" si="1"/>
        <v>4941249</v>
      </c>
      <c r="E54" s="18">
        <f t="shared" si="2"/>
        <v>738516</v>
      </c>
      <c r="F54" s="18">
        <v>0</v>
      </c>
      <c r="G54" s="18">
        <f t="shared" si="3"/>
        <v>738516</v>
      </c>
      <c r="H54" s="18">
        <v>0</v>
      </c>
      <c r="I54" s="18">
        <v>0</v>
      </c>
      <c r="J54" s="18">
        <f t="shared" si="4"/>
        <v>0</v>
      </c>
      <c r="K54" s="18">
        <v>2969797</v>
      </c>
      <c r="L54" s="18">
        <v>0</v>
      </c>
      <c r="M54" s="18">
        <f t="shared" si="5"/>
        <v>2969797</v>
      </c>
      <c r="N54" s="18">
        <f t="shared" si="6"/>
        <v>1007018</v>
      </c>
      <c r="O54" s="18">
        <v>0</v>
      </c>
      <c r="P54" s="18">
        <f t="shared" si="7"/>
        <v>1007018</v>
      </c>
      <c r="Q54" s="18">
        <v>0</v>
      </c>
      <c r="R54" s="18">
        <v>0</v>
      </c>
      <c r="S54" s="18">
        <f t="shared" si="8"/>
        <v>0</v>
      </c>
      <c r="T54" s="18">
        <v>0</v>
      </c>
      <c r="U54" s="18">
        <v>0</v>
      </c>
      <c r="V54" s="18">
        <f t="shared" si="81"/>
        <v>0</v>
      </c>
      <c r="W54" s="18">
        <f t="shared" si="0"/>
        <v>6964432</v>
      </c>
      <c r="X54" s="18">
        <f t="shared" si="10"/>
        <v>2692148</v>
      </c>
      <c r="Y54" s="235">
        <f t="shared" si="11"/>
        <v>9656580</v>
      </c>
      <c r="Z54" s="18">
        <v>0</v>
      </c>
      <c r="AA54" s="18">
        <v>738516</v>
      </c>
      <c r="AB54" s="18">
        <f t="shared" si="12"/>
        <v>738516</v>
      </c>
      <c r="AC54" s="352">
        <v>0</v>
      </c>
      <c r="AD54" s="18">
        <v>1007018</v>
      </c>
      <c r="AE54" s="18">
        <f t="shared" si="13"/>
        <v>1007018</v>
      </c>
      <c r="AF54" s="352">
        <f t="shared" ref="AF54:AG63" si="89">B54+AF53</f>
        <v>6326421</v>
      </c>
      <c r="AG54" s="353">
        <f t="shared" si="89"/>
        <v>5351604</v>
      </c>
      <c r="AH54" s="353">
        <f t="shared" si="82"/>
        <v>11678025</v>
      </c>
      <c r="AI54" s="353">
        <f t="shared" ref="AI54:AI63" si="90">AI53+E53</f>
        <v>991817</v>
      </c>
      <c r="AJ54" s="353">
        <f t="shared" ref="AJ54:AJ63" si="91">AJ53+F54</f>
        <v>0</v>
      </c>
      <c r="AK54" s="353">
        <f t="shared" si="83"/>
        <v>991817</v>
      </c>
      <c r="AL54" s="353">
        <f t="shared" ref="AL54:AM63" si="92">AL53+H54</f>
        <v>0</v>
      </c>
      <c r="AM54" s="353">
        <f t="shared" si="92"/>
        <v>0</v>
      </c>
      <c r="AN54" s="353">
        <f t="shared" si="84"/>
        <v>0</v>
      </c>
      <c r="AO54" s="353">
        <f t="shared" ref="AO54:AP63" si="93">AO53+K54</f>
        <v>7358655</v>
      </c>
      <c r="AP54" s="353">
        <f t="shared" si="93"/>
        <v>0</v>
      </c>
      <c r="AQ54" s="353">
        <f t="shared" si="85"/>
        <v>7358655</v>
      </c>
      <c r="AR54" s="353">
        <f t="shared" ref="AR54:AS63" si="94">AR53+N54</f>
        <v>2795339</v>
      </c>
      <c r="AS54" s="353">
        <f t="shared" si="94"/>
        <v>0</v>
      </c>
      <c r="AT54" s="353">
        <f t="shared" si="86"/>
        <v>2795339</v>
      </c>
      <c r="AU54" s="353">
        <f t="shared" ref="AU54:AV63" si="95">AU53+Q54</f>
        <v>0</v>
      </c>
      <c r="AV54" s="353">
        <f t="shared" si="95"/>
        <v>0</v>
      </c>
      <c r="AW54" s="353">
        <f t="shared" si="87"/>
        <v>0</v>
      </c>
      <c r="AX54" s="353">
        <f t="shared" ref="AX54:AY63" si="96">AX53+T54</f>
        <v>0</v>
      </c>
      <c r="AY54" s="353">
        <f t="shared" si="96"/>
        <v>0</v>
      </c>
      <c r="AZ54" s="353">
        <f t="shared" ref="AZ54:AZ63" si="97">SUM(AX54:AY54)</f>
        <v>0</v>
      </c>
      <c r="BA54" s="354">
        <f t="shared" si="88"/>
        <v>22823836</v>
      </c>
    </row>
    <row r="55" spans="1:53" ht="14.25" hidden="1" thickBot="1">
      <c r="A55" s="138">
        <v>41730</v>
      </c>
      <c r="B55" s="18">
        <v>2270945</v>
      </c>
      <c r="C55" s="18">
        <v>16271251</v>
      </c>
      <c r="D55" s="18">
        <f t="shared" si="1"/>
        <v>18542196</v>
      </c>
      <c r="E55" s="18">
        <f t="shared" si="2"/>
        <v>918911</v>
      </c>
      <c r="F55" s="18">
        <v>0</v>
      </c>
      <c r="G55" s="18">
        <f t="shared" si="3"/>
        <v>918911</v>
      </c>
      <c r="H55" s="18">
        <v>0</v>
      </c>
      <c r="I55" s="18">
        <v>0</v>
      </c>
      <c r="J55" s="18">
        <f t="shared" si="4"/>
        <v>0</v>
      </c>
      <c r="K55" s="18">
        <v>2411989</v>
      </c>
      <c r="L55" s="18">
        <v>0</v>
      </c>
      <c r="M55" s="18">
        <f t="shared" si="5"/>
        <v>2411989</v>
      </c>
      <c r="N55" s="18">
        <f t="shared" si="6"/>
        <v>886488</v>
      </c>
      <c r="O55" s="18">
        <v>0</v>
      </c>
      <c r="P55" s="18">
        <f t="shared" si="7"/>
        <v>886488</v>
      </c>
      <c r="Q55" s="18">
        <v>0</v>
      </c>
      <c r="R55" s="18">
        <v>0</v>
      </c>
      <c r="S55" s="18">
        <f t="shared" si="8"/>
        <v>0</v>
      </c>
      <c r="T55" s="18">
        <v>0</v>
      </c>
      <c r="U55" s="18">
        <v>0</v>
      </c>
      <c r="V55" s="18">
        <f t="shared" si="81"/>
        <v>0</v>
      </c>
      <c r="W55" s="18">
        <f t="shared" si="0"/>
        <v>6488333</v>
      </c>
      <c r="X55" s="18">
        <f t="shared" si="10"/>
        <v>16271251</v>
      </c>
      <c r="Y55" s="235">
        <f t="shared" si="11"/>
        <v>22759584</v>
      </c>
      <c r="Z55" s="18">
        <v>0</v>
      </c>
      <c r="AA55" s="18">
        <v>918911</v>
      </c>
      <c r="AB55" s="18">
        <f t="shared" si="12"/>
        <v>918911</v>
      </c>
      <c r="AC55" s="352">
        <v>0</v>
      </c>
      <c r="AD55" s="18">
        <v>886488</v>
      </c>
      <c r="AE55" s="18">
        <f t="shared" si="13"/>
        <v>886488</v>
      </c>
      <c r="AF55" s="352">
        <f t="shared" si="89"/>
        <v>8597366</v>
      </c>
      <c r="AG55" s="353">
        <f t="shared" si="89"/>
        <v>21622855</v>
      </c>
      <c r="AH55" s="353">
        <f t="shared" si="82"/>
        <v>30220221</v>
      </c>
      <c r="AI55" s="353">
        <f t="shared" si="90"/>
        <v>1730333</v>
      </c>
      <c r="AJ55" s="353">
        <f t="shared" si="91"/>
        <v>0</v>
      </c>
      <c r="AK55" s="353">
        <f t="shared" si="83"/>
        <v>1730333</v>
      </c>
      <c r="AL55" s="353">
        <f t="shared" si="92"/>
        <v>0</v>
      </c>
      <c r="AM55" s="353">
        <f t="shared" si="92"/>
        <v>0</v>
      </c>
      <c r="AN55" s="353">
        <f t="shared" si="84"/>
        <v>0</v>
      </c>
      <c r="AO55" s="353">
        <f t="shared" si="93"/>
        <v>9770644</v>
      </c>
      <c r="AP55" s="353">
        <f t="shared" si="93"/>
        <v>0</v>
      </c>
      <c r="AQ55" s="353">
        <f t="shared" si="85"/>
        <v>9770644</v>
      </c>
      <c r="AR55" s="353">
        <f t="shared" si="94"/>
        <v>3681827</v>
      </c>
      <c r="AS55" s="353">
        <f t="shared" si="94"/>
        <v>0</v>
      </c>
      <c r="AT55" s="353">
        <f t="shared" si="86"/>
        <v>3681827</v>
      </c>
      <c r="AU55" s="353">
        <f t="shared" si="95"/>
        <v>0</v>
      </c>
      <c r="AV55" s="353">
        <f t="shared" si="95"/>
        <v>0</v>
      </c>
      <c r="AW55" s="353">
        <f t="shared" si="87"/>
        <v>0</v>
      </c>
      <c r="AX55" s="353">
        <f t="shared" si="96"/>
        <v>0</v>
      </c>
      <c r="AY55" s="353">
        <f t="shared" si="96"/>
        <v>0</v>
      </c>
      <c r="AZ55" s="353">
        <f t="shared" si="97"/>
        <v>0</v>
      </c>
      <c r="BA55" s="354">
        <f t="shared" si="88"/>
        <v>45403025</v>
      </c>
    </row>
    <row r="56" spans="1:53" ht="14.25" hidden="1" thickBot="1">
      <c r="A56" s="138">
        <v>41760</v>
      </c>
      <c r="B56" s="18">
        <v>2078392</v>
      </c>
      <c r="C56" s="18">
        <v>20556279</v>
      </c>
      <c r="D56" s="18">
        <f t="shared" si="1"/>
        <v>22634671</v>
      </c>
      <c r="E56" s="18">
        <f t="shared" si="2"/>
        <v>761660</v>
      </c>
      <c r="F56" s="18">
        <v>0</v>
      </c>
      <c r="G56" s="18">
        <f t="shared" si="3"/>
        <v>761660</v>
      </c>
      <c r="H56" s="18">
        <v>0</v>
      </c>
      <c r="I56" s="18">
        <v>0</v>
      </c>
      <c r="J56" s="18">
        <f t="shared" si="4"/>
        <v>0</v>
      </c>
      <c r="K56" s="18">
        <v>2193478</v>
      </c>
      <c r="L56" s="18">
        <v>0</v>
      </c>
      <c r="M56" s="18">
        <f t="shared" si="5"/>
        <v>2193478</v>
      </c>
      <c r="N56" s="18">
        <f t="shared" si="6"/>
        <v>937353</v>
      </c>
      <c r="O56" s="18">
        <v>0</v>
      </c>
      <c r="P56" s="18">
        <f t="shared" si="7"/>
        <v>937353</v>
      </c>
      <c r="Q56" s="18">
        <v>0</v>
      </c>
      <c r="R56" s="18">
        <v>0</v>
      </c>
      <c r="S56" s="18">
        <f t="shared" si="8"/>
        <v>0</v>
      </c>
      <c r="T56" s="18">
        <v>0</v>
      </c>
      <c r="U56" s="18">
        <v>0</v>
      </c>
      <c r="V56" s="18">
        <f t="shared" si="81"/>
        <v>0</v>
      </c>
      <c r="W56" s="18">
        <f t="shared" si="0"/>
        <v>5970883</v>
      </c>
      <c r="X56" s="18">
        <f t="shared" si="10"/>
        <v>20556279</v>
      </c>
      <c r="Y56" s="235">
        <f t="shared" si="11"/>
        <v>26527162</v>
      </c>
      <c r="Z56" s="18">
        <v>0</v>
      </c>
      <c r="AA56" s="18">
        <v>761660</v>
      </c>
      <c r="AB56" s="18">
        <f t="shared" si="12"/>
        <v>761660</v>
      </c>
      <c r="AC56" s="352">
        <v>0</v>
      </c>
      <c r="AD56" s="18">
        <v>937353</v>
      </c>
      <c r="AE56" s="18">
        <f t="shared" si="13"/>
        <v>937353</v>
      </c>
      <c r="AF56" s="352">
        <f t="shared" si="89"/>
        <v>10675758</v>
      </c>
      <c r="AG56" s="353">
        <f t="shared" si="89"/>
        <v>42179134</v>
      </c>
      <c r="AH56" s="353">
        <f t="shared" si="82"/>
        <v>52854892</v>
      </c>
      <c r="AI56" s="353">
        <f t="shared" si="90"/>
        <v>2649244</v>
      </c>
      <c r="AJ56" s="353">
        <f t="shared" si="91"/>
        <v>0</v>
      </c>
      <c r="AK56" s="353">
        <f t="shared" si="83"/>
        <v>2649244</v>
      </c>
      <c r="AL56" s="353">
        <f t="shared" si="92"/>
        <v>0</v>
      </c>
      <c r="AM56" s="353">
        <f t="shared" si="92"/>
        <v>0</v>
      </c>
      <c r="AN56" s="353">
        <f t="shared" si="84"/>
        <v>0</v>
      </c>
      <c r="AO56" s="353">
        <f t="shared" si="93"/>
        <v>11964122</v>
      </c>
      <c r="AP56" s="353">
        <f t="shared" si="93"/>
        <v>0</v>
      </c>
      <c r="AQ56" s="353">
        <f t="shared" si="85"/>
        <v>11964122</v>
      </c>
      <c r="AR56" s="353">
        <f t="shared" si="94"/>
        <v>4619180</v>
      </c>
      <c r="AS56" s="353">
        <f t="shared" si="94"/>
        <v>0</v>
      </c>
      <c r="AT56" s="353">
        <f t="shared" si="86"/>
        <v>4619180</v>
      </c>
      <c r="AU56" s="353">
        <f t="shared" si="95"/>
        <v>0</v>
      </c>
      <c r="AV56" s="353">
        <f t="shared" si="95"/>
        <v>0</v>
      </c>
      <c r="AW56" s="353">
        <f t="shared" si="87"/>
        <v>0</v>
      </c>
      <c r="AX56" s="353">
        <f t="shared" si="96"/>
        <v>0</v>
      </c>
      <c r="AY56" s="353">
        <f t="shared" si="96"/>
        <v>0</v>
      </c>
      <c r="AZ56" s="353">
        <f t="shared" si="97"/>
        <v>0</v>
      </c>
      <c r="BA56" s="354">
        <f t="shared" si="88"/>
        <v>72087438</v>
      </c>
    </row>
    <row r="57" spans="1:53" ht="14.25" hidden="1" thickBot="1">
      <c r="A57" s="138">
        <v>41791</v>
      </c>
      <c r="B57" s="18">
        <v>2181942</v>
      </c>
      <c r="C57" s="18">
        <v>10573426</v>
      </c>
      <c r="D57" s="18">
        <f t="shared" si="1"/>
        <v>12755368</v>
      </c>
      <c r="E57" s="18">
        <f t="shared" si="2"/>
        <v>776903</v>
      </c>
      <c r="F57" s="18">
        <v>0</v>
      </c>
      <c r="G57" s="18">
        <f t="shared" si="3"/>
        <v>776903</v>
      </c>
      <c r="H57" s="18">
        <v>0</v>
      </c>
      <c r="I57" s="18">
        <v>0</v>
      </c>
      <c r="J57" s="18">
        <f t="shared" si="4"/>
        <v>0</v>
      </c>
      <c r="K57" s="18">
        <v>2514332</v>
      </c>
      <c r="L57" s="18">
        <v>0</v>
      </c>
      <c r="M57" s="18">
        <f t="shared" si="5"/>
        <v>2514332</v>
      </c>
      <c r="N57" s="18">
        <f t="shared" si="6"/>
        <v>928776</v>
      </c>
      <c r="O57" s="18">
        <v>0</v>
      </c>
      <c r="P57" s="18">
        <f t="shared" si="7"/>
        <v>928776</v>
      </c>
      <c r="Q57" s="18">
        <v>0</v>
      </c>
      <c r="R57" s="18">
        <v>0</v>
      </c>
      <c r="S57" s="18">
        <f t="shared" si="8"/>
        <v>0</v>
      </c>
      <c r="T57" s="18">
        <v>0</v>
      </c>
      <c r="U57" s="18">
        <v>0</v>
      </c>
      <c r="V57" s="18">
        <f t="shared" si="81"/>
        <v>0</v>
      </c>
      <c r="W57" s="18">
        <f t="shared" si="0"/>
        <v>6401953</v>
      </c>
      <c r="X57" s="18">
        <f t="shared" si="10"/>
        <v>10573426</v>
      </c>
      <c r="Y57" s="235">
        <f t="shared" si="11"/>
        <v>16975379</v>
      </c>
      <c r="Z57" s="18">
        <v>0</v>
      </c>
      <c r="AA57" s="18">
        <v>776903</v>
      </c>
      <c r="AB57" s="18">
        <f t="shared" si="12"/>
        <v>776903</v>
      </c>
      <c r="AC57" s="352">
        <v>0</v>
      </c>
      <c r="AD57" s="18">
        <v>928776</v>
      </c>
      <c r="AE57" s="18">
        <f t="shared" si="13"/>
        <v>928776</v>
      </c>
      <c r="AF57" s="352">
        <f t="shared" si="89"/>
        <v>12857700</v>
      </c>
      <c r="AG57" s="353">
        <f t="shared" si="89"/>
        <v>52752560</v>
      </c>
      <c r="AH57" s="353">
        <f t="shared" si="82"/>
        <v>65610260</v>
      </c>
      <c r="AI57" s="353">
        <f t="shared" si="90"/>
        <v>3410904</v>
      </c>
      <c r="AJ57" s="353">
        <f t="shared" si="91"/>
        <v>0</v>
      </c>
      <c r="AK57" s="353">
        <f t="shared" si="83"/>
        <v>3410904</v>
      </c>
      <c r="AL57" s="353">
        <f t="shared" si="92"/>
        <v>0</v>
      </c>
      <c r="AM57" s="353">
        <f t="shared" si="92"/>
        <v>0</v>
      </c>
      <c r="AN57" s="353">
        <f t="shared" si="84"/>
        <v>0</v>
      </c>
      <c r="AO57" s="353">
        <f t="shared" si="93"/>
        <v>14478454</v>
      </c>
      <c r="AP57" s="353">
        <f t="shared" si="93"/>
        <v>0</v>
      </c>
      <c r="AQ57" s="353">
        <f t="shared" si="85"/>
        <v>14478454</v>
      </c>
      <c r="AR57" s="353">
        <f t="shared" si="94"/>
        <v>5547956</v>
      </c>
      <c r="AS57" s="353">
        <f t="shared" si="94"/>
        <v>0</v>
      </c>
      <c r="AT57" s="353">
        <f t="shared" si="86"/>
        <v>5547956</v>
      </c>
      <c r="AU57" s="353">
        <f t="shared" si="95"/>
        <v>0</v>
      </c>
      <c r="AV57" s="353">
        <f t="shared" si="95"/>
        <v>0</v>
      </c>
      <c r="AW57" s="353">
        <f t="shared" si="87"/>
        <v>0</v>
      </c>
      <c r="AX57" s="353">
        <f t="shared" si="96"/>
        <v>0</v>
      </c>
      <c r="AY57" s="353">
        <f t="shared" si="96"/>
        <v>0</v>
      </c>
      <c r="AZ57" s="353">
        <f t="shared" si="97"/>
        <v>0</v>
      </c>
      <c r="BA57" s="354">
        <f t="shared" si="88"/>
        <v>89047574</v>
      </c>
    </row>
    <row r="58" spans="1:53" ht="14.25" hidden="1" thickBot="1">
      <c r="A58" s="138">
        <v>41821</v>
      </c>
      <c r="B58" s="18">
        <v>2273944</v>
      </c>
      <c r="C58" s="18">
        <v>4972076</v>
      </c>
      <c r="D58" s="18">
        <f t="shared" si="1"/>
        <v>7246020</v>
      </c>
      <c r="E58" s="18">
        <f t="shared" si="2"/>
        <v>1384274</v>
      </c>
      <c r="F58" s="18">
        <v>0</v>
      </c>
      <c r="G58" s="18">
        <f t="shared" si="3"/>
        <v>1384274</v>
      </c>
      <c r="H58" s="18">
        <v>0</v>
      </c>
      <c r="I58" s="18">
        <v>0</v>
      </c>
      <c r="J58" s="18">
        <f t="shared" si="4"/>
        <v>0</v>
      </c>
      <c r="K58" s="18">
        <v>4340962</v>
      </c>
      <c r="L58" s="18">
        <v>0</v>
      </c>
      <c r="M58" s="18">
        <f t="shared" si="5"/>
        <v>4340962</v>
      </c>
      <c r="N58" s="18">
        <f t="shared" si="6"/>
        <v>1064973</v>
      </c>
      <c r="O58" s="18">
        <v>0</v>
      </c>
      <c r="P58" s="18">
        <f t="shared" si="7"/>
        <v>1064973</v>
      </c>
      <c r="Q58" s="18">
        <v>0</v>
      </c>
      <c r="R58" s="18">
        <v>0</v>
      </c>
      <c r="S58" s="18">
        <f t="shared" si="8"/>
        <v>0</v>
      </c>
      <c r="T58" s="18">
        <v>0</v>
      </c>
      <c r="U58" s="18">
        <v>0</v>
      </c>
      <c r="V58" s="18">
        <f t="shared" si="81"/>
        <v>0</v>
      </c>
      <c r="W58" s="18">
        <f t="shared" si="0"/>
        <v>9064153</v>
      </c>
      <c r="X58" s="18">
        <f t="shared" si="10"/>
        <v>4972076</v>
      </c>
      <c r="Y58" s="235">
        <f t="shared" si="11"/>
        <v>14036229</v>
      </c>
      <c r="Z58" s="18">
        <v>0</v>
      </c>
      <c r="AA58" s="18">
        <v>1384274</v>
      </c>
      <c r="AB58" s="18">
        <f t="shared" si="12"/>
        <v>1384274</v>
      </c>
      <c r="AC58" s="352">
        <v>0</v>
      </c>
      <c r="AD58" s="18">
        <v>1064973</v>
      </c>
      <c r="AE58" s="18">
        <f t="shared" si="13"/>
        <v>1064973</v>
      </c>
      <c r="AF58" s="352">
        <f t="shared" si="89"/>
        <v>15131644</v>
      </c>
      <c r="AG58" s="353">
        <f t="shared" si="89"/>
        <v>57724636</v>
      </c>
      <c r="AH58" s="353">
        <f t="shared" si="82"/>
        <v>72856280</v>
      </c>
      <c r="AI58" s="353">
        <f t="shared" si="90"/>
        <v>4187807</v>
      </c>
      <c r="AJ58" s="353">
        <f t="shared" si="91"/>
        <v>0</v>
      </c>
      <c r="AK58" s="353">
        <f t="shared" si="83"/>
        <v>4187807</v>
      </c>
      <c r="AL58" s="353">
        <f t="shared" si="92"/>
        <v>0</v>
      </c>
      <c r="AM58" s="353">
        <f t="shared" si="92"/>
        <v>0</v>
      </c>
      <c r="AN58" s="353">
        <f t="shared" si="84"/>
        <v>0</v>
      </c>
      <c r="AO58" s="353">
        <f t="shared" si="93"/>
        <v>18819416</v>
      </c>
      <c r="AP58" s="353">
        <f t="shared" si="93"/>
        <v>0</v>
      </c>
      <c r="AQ58" s="353">
        <f t="shared" si="85"/>
        <v>18819416</v>
      </c>
      <c r="AR58" s="353">
        <f t="shared" si="94"/>
        <v>6612929</v>
      </c>
      <c r="AS58" s="353">
        <f t="shared" si="94"/>
        <v>0</v>
      </c>
      <c r="AT58" s="353">
        <f t="shared" si="86"/>
        <v>6612929</v>
      </c>
      <c r="AU58" s="353">
        <f t="shared" si="95"/>
        <v>0</v>
      </c>
      <c r="AV58" s="353">
        <f t="shared" si="95"/>
        <v>0</v>
      </c>
      <c r="AW58" s="353">
        <f t="shared" si="87"/>
        <v>0</v>
      </c>
      <c r="AX58" s="353">
        <f t="shared" si="96"/>
        <v>0</v>
      </c>
      <c r="AY58" s="353">
        <f t="shared" si="96"/>
        <v>0</v>
      </c>
      <c r="AZ58" s="353">
        <f t="shared" si="97"/>
        <v>0</v>
      </c>
      <c r="BA58" s="354">
        <f t="shared" si="88"/>
        <v>102476432</v>
      </c>
    </row>
    <row r="59" spans="1:53" ht="14.25" hidden="1" thickBot="1">
      <c r="A59" s="138">
        <v>41852</v>
      </c>
      <c r="B59" s="18">
        <v>2143347</v>
      </c>
      <c r="C59" s="18">
        <v>0</v>
      </c>
      <c r="D59" s="18">
        <f t="shared" si="1"/>
        <v>2143347</v>
      </c>
      <c r="E59" s="18">
        <f t="shared" si="2"/>
        <v>488601</v>
      </c>
      <c r="F59" s="18">
        <v>0</v>
      </c>
      <c r="G59" s="18">
        <f t="shared" si="3"/>
        <v>488601</v>
      </c>
      <c r="H59" s="18">
        <v>0</v>
      </c>
      <c r="I59" s="18">
        <v>0</v>
      </c>
      <c r="J59" s="18">
        <f t="shared" si="4"/>
        <v>0</v>
      </c>
      <c r="K59" s="18">
        <v>1533275</v>
      </c>
      <c r="L59" s="18">
        <v>0</v>
      </c>
      <c r="M59" s="18">
        <f t="shared" si="5"/>
        <v>1533275</v>
      </c>
      <c r="N59" s="18">
        <f t="shared" si="6"/>
        <v>116938</v>
      </c>
      <c r="O59" s="18">
        <v>0</v>
      </c>
      <c r="P59" s="18">
        <f t="shared" si="7"/>
        <v>116938</v>
      </c>
      <c r="Q59" s="18">
        <v>0</v>
      </c>
      <c r="R59" s="18">
        <v>0</v>
      </c>
      <c r="S59" s="18">
        <f t="shared" si="8"/>
        <v>0</v>
      </c>
      <c r="T59" s="18">
        <v>0</v>
      </c>
      <c r="U59" s="18">
        <v>0</v>
      </c>
      <c r="V59" s="18">
        <f t="shared" si="81"/>
        <v>0</v>
      </c>
      <c r="W59" s="18">
        <f t="shared" si="0"/>
        <v>4282161</v>
      </c>
      <c r="X59" s="18">
        <f t="shared" si="10"/>
        <v>0</v>
      </c>
      <c r="Y59" s="235">
        <f t="shared" si="11"/>
        <v>4282161</v>
      </c>
      <c r="Z59" s="18">
        <v>0</v>
      </c>
      <c r="AA59" s="18">
        <v>488601</v>
      </c>
      <c r="AB59" s="18">
        <f t="shared" si="12"/>
        <v>488601</v>
      </c>
      <c r="AC59" s="352">
        <v>0</v>
      </c>
      <c r="AD59" s="18">
        <v>116938</v>
      </c>
      <c r="AE59" s="18">
        <f t="shared" si="13"/>
        <v>116938</v>
      </c>
      <c r="AF59" s="352">
        <f t="shared" si="89"/>
        <v>17274991</v>
      </c>
      <c r="AG59" s="353">
        <f t="shared" si="89"/>
        <v>57724636</v>
      </c>
      <c r="AH59" s="353">
        <f t="shared" si="82"/>
        <v>74999627</v>
      </c>
      <c r="AI59" s="353">
        <f t="shared" si="90"/>
        <v>5572081</v>
      </c>
      <c r="AJ59" s="353">
        <f t="shared" si="91"/>
        <v>0</v>
      </c>
      <c r="AK59" s="353">
        <f t="shared" si="83"/>
        <v>5572081</v>
      </c>
      <c r="AL59" s="353">
        <f t="shared" si="92"/>
        <v>0</v>
      </c>
      <c r="AM59" s="353">
        <f t="shared" si="92"/>
        <v>0</v>
      </c>
      <c r="AN59" s="353">
        <f t="shared" si="84"/>
        <v>0</v>
      </c>
      <c r="AO59" s="353">
        <f t="shared" si="93"/>
        <v>20352691</v>
      </c>
      <c r="AP59" s="353">
        <f t="shared" si="93"/>
        <v>0</v>
      </c>
      <c r="AQ59" s="353">
        <f t="shared" si="85"/>
        <v>20352691</v>
      </c>
      <c r="AR59" s="353">
        <f t="shared" si="94"/>
        <v>6729867</v>
      </c>
      <c r="AS59" s="353">
        <f t="shared" si="94"/>
        <v>0</v>
      </c>
      <c r="AT59" s="353">
        <f t="shared" si="86"/>
        <v>6729867</v>
      </c>
      <c r="AU59" s="353">
        <f t="shared" si="95"/>
        <v>0</v>
      </c>
      <c r="AV59" s="353">
        <f t="shared" si="95"/>
        <v>0</v>
      </c>
      <c r="AW59" s="353">
        <f t="shared" si="87"/>
        <v>0</v>
      </c>
      <c r="AX59" s="353">
        <f t="shared" si="96"/>
        <v>0</v>
      </c>
      <c r="AY59" s="353">
        <f t="shared" si="96"/>
        <v>0</v>
      </c>
      <c r="AZ59" s="353">
        <f t="shared" si="97"/>
        <v>0</v>
      </c>
      <c r="BA59" s="354">
        <f t="shared" si="88"/>
        <v>107654266</v>
      </c>
    </row>
    <row r="60" spans="1:53" ht="14.25" hidden="1" thickBot="1">
      <c r="A60" s="138">
        <v>41883</v>
      </c>
      <c r="B60" s="18">
        <v>2177573</v>
      </c>
      <c r="C60" s="18">
        <v>0</v>
      </c>
      <c r="D60" s="18">
        <f t="shared" si="1"/>
        <v>2177573</v>
      </c>
      <c r="E60" s="18">
        <f t="shared" si="2"/>
        <v>626006</v>
      </c>
      <c r="F60" s="18">
        <v>0</v>
      </c>
      <c r="G60" s="18">
        <f t="shared" si="3"/>
        <v>626006</v>
      </c>
      <c r="H60" s="18">
        <v>0</v>
      </c>
      <c r="I60" s="18">
        <v>0</v>
      </c>
      <c r="J60" s="18">
        <f t="shared" si="4"/>
        <v>0</v>
      </c>
      <c r="K60" s="18">
        <v>0</v>
      </c>
      <c r="L60" s="18">
        <v>0</v>
      </c>
      <c r="M60" s="18">
        <f t="shared" si="5"/>
        <v>0</v>
      </c>
      <c r="N60" s="18">
        <f t="shared" si="6"/>
        <v>701034</v>
      </c>
      <c r="O60" s="18">
        <v>0</v>
      </c>
      <c r="P60" s="18">
        <f t="shared" si="7"/>
        <v>701034</v>
      </c>
      <c r="Q60" s="18">
        <v>2367</v>
      </c>
      <c r="R60" s="18">
        <v>0</v>
      </c>
      <c r="S60" s="18">
        <f t="shared" si="8"/>
        <v>2367</v>
      </c>
      <c r="T60" s="18">
        <v>0</v>
      </c>
      <c r="U60" s="18">
        <v>0</v>
      </c>
      <c r="V60" s="18">
        <f t="shared" si="81"/>
        <v>0</v>
      </c>
      <c r="W60" s="18">
        <f t="shared" si="0"/>
        <v>3506980</v>
      </c>
      <c r="X60" s="18">
        <f t="shared" si="10"/>
        <v>0</v>
      </c>
      <c r="Y60" s="235">
        <f t="shared" si="11"/>
        <v>3506980</v>
      </c>
      <c r="Z60" s="18">
        <v>0</v>
      </c>
      <c r="AA60" s="18">
        <v>626006</v>
      </c>
      <c r="AB60" s="18">
        <f t="shared" si="12"/>
        <v>626006</v>
      </c>
      <c r="AC60" s="352">
        <v>0</v>
      </c>
      <c r="AD60" s="18">
        <v>701034</v>
      </c>
      <c r="AE60" s="18">
        <f t="shared" si="13"/>
        <v>701034</v>
      </c>
      <c r="AF60" s="352">
        <f t="shared" si="89"/>
        <v>19452564</v>
      </c>
      <c r="AG60" s="353">
        <f t="shared" si="89"/>
        <v>57724636</v>
      </c>
      <c r="AH60" s="353">
        <f t="shared" si="82"/>
        <v>77177200</v>
      </c>
      <c r="AI60" s="353">
        <f t="shared" si="90"/>
        <v>6060682</v>
      </c>
      <c r="AJ60" s="353">
        <f t="shared" si="91"/>
        <v>0</v>
      </c>
      <c r="AK60" s="353">
        <f t="shared" si="83"/>
        <v>6060682</v>
      </c>
      <c r="AL60" s="353">
        <f t="shared" si="92"/>
        <v>0</v>
      </c>
      <c r="AM60" s="353">
        <f t="shared" si="92"/>
        <v>0</v>
      </c>
      <c r="AN60" s="353">
        <f t="shared" si="84"/>
        <v>0</v>
      </c>
      <c r="AO60" s="353">
        <f t="shared" si="93"/>
        <v>20352691</v>
      </c>
      <c r="AP60" s="353">
        <f t="shared" si="93"/>
        <v>0</v>
      </c>
      <c r="AQ60" s="353">
        <f t="shared" si="85"/>
        <v>20352691</v>
      </c>
      <c r="AR60" s="353">
        <f t="shared" si="94"/>
        <v>7430901</v>
      </c>
      <c r="AS60" s="353">
        <f t="shared" si="94"/>
        <v>0</v>
      </c>
      <c r="AT60" s="353">
        <f t="shared" si="86"/>
        <v>7430901</v>
      </c>
      <c r="AU60" s="353">
        <f t="shared" si="95"/>
        <v>2367</v>
      </c>
      <c r="AV60" s="353">
        <f t="shared" si="95"/>
        <v>0</v>
      </c>
      <c r="AW60" s="353">
        <f t="shared" si="87"/>
        <v>2367</v>
      </c>
      <c r="AX60" s="353">
        <f t="shared" si="96"/>
        <v>0</v>
      </c>
      <c r="AY60" s="353">
        <f t="shared" si="96"/>
        <v>0</v>
      </c>
      <c r="AZ60" s="353">
        <f t="shared" si="97"/>
        <v>0</v>
      </c>
      <c r="BA60" s="354">
        <f t="shared" si="88"/>
        <v>111023841</v>
      </c>
    </row>
    <row r="61" spans="1:53" ht="14.25" hidden="1" thickBot="1">
      <c r="A61" s="138">
        <v>41913</v>
      </c>
      <c r="B61" s="18">
        <v>2402920</v>
      </c>
      <c r="C61" s="18">
        <v>0</v>
      </c>
      <c r="D61" s="18">
        <f t="shared" si="1"/>
        <v>2402920</v>
      </c>
      <c r="E61" s="18">
        <f t="shared" si="2"/>
        <v>842544</v>
      </c>
      <c r="F61" s="18">
        <v>0</v>
      </c>
      <c r="G61" s="18">
        <f t="shared" si="3"/>
        <v>842544</v>
      </c>
      <c r="H61" s="18">
        <v>10101</v>
      </c>
      <c r="I61" s="18">
        <v>0</v>
      </c>
      <c r="J61" s="18">
        <f t="shared" si="4"/>
        <v>10101</v>
      </c>
      <c r="K61" s="18">
        <v>0</v>
      </c>
      <c r="L61" s="18">
        <v>0</v>
      </c>
      <c r="M61" s="18">
        <f t="shared" si="5"/>
        <v>0</v>
      </c>
      <c r="N61" s="18">
        <f t="shared" si="6"/>
        <v>1589528</v>
      </c>
      <c r="O61" s="18">
        <v>0</v>
      </c>
      <c r="P61" s="18">
        <f t="shared" si="7"/>
        <v>1589528</v>
      </c>
      <c r="Q61" s="18">
        <v>3351</v>
      </c>
      <c r="R61" s="18">
        <v>0</v>
      </c>
      <c r="S61" s="18">
        <f t="shared" si="8"/>
        <v>3351</v>
      </c>
      <c r="T61" s="18">
        <v>0</v>
      </c>
      <c r="U61" s="18">
        <v>0</v>
      </c>
      <c r="V61" s="18">
        <f t="shared" si="81"/>
        <v>0</v>
      </c>
      <c r="W61" s="18">
        <f t="shared" si="0"/>
        <v>4848444</v>
      </c>
      <c r="X61" s="18">
        <f t="shared" si="10"/>
        <v>0</v>
      </c>
      <c r="Y61" s="235">
        <f t="shared" si="11"/>
        <v>4848444</v>
      </c>
      <c r="Z61" s="18">
        <v>0</v>
      </c>
      <c r="AA61" s="18">
        <v>842544</v>
      </c>
      <c r="AB61" s="18">
        <f t="shared" si="12"/>
        <v>842544</v>
      </c>
      <c r="AC61" s="352">
        <v>0</v>
      </c>
      <c r="AD61" s="18">
        <v>1589528</v>
      </c>
      <c r="AE61" s="18">
        <f t="shared" si="13"/>
        <v>1589528</v>
      </c>
      <c r="AF61" s="352">
        <f t="shared" si="89"/>
        <v>21855484</v>
      </c>
      <c r="AG61" s="353">
        <f t="shared" si="89"/>
        <v>57724636</v>
      </c>
      <c r="AH61" s="353">
        <f t="shared" si="82"/>
        <v>79580120</v>
      </c>
      <c r="AI61" s="353">
        <f t="shared" si="90"/>
        <v>6686688</v>
      </c>
      <c r="AJ61" s="353">
        <f t="shared" si="91"/>
        <v>0</v>
      </c>
      <c r="AK61" s="353">
        <f t="shared" si="83"/>
        <v>6686688</v>
      </c>
      <c r="AL61" s="353">
        <f t="shared" si="92"/>
        <v>10101</v>
      </c>
      <c r="AM61" s="353">
        <f t="shared" si="92"/>
        <v>0</v>
      </c>
      <c r="AN61" s="353">
        <f t="shared" si="84"/>
        <v>10101</v>
      </c>
      <c r="AO61" s="353">
        <f t="shared" si="93"/>
        <v>20352691</v>
      </c>
      <c r="AP61" s="353">
        <f t="shared" si="93"/>
        <v>0</v>
      </c>
      <c r="AQ61" s="353">
        <f t="shared" si="85"/>
        <v>20352691</v>
      </c>
      <c r="AR61" s="353">
        <f t="shared" si="94"/>
        <v>9020429</v>
      </c>
      <c r="AS61" s="353">
        <f t="shared" si="94"/>
        <v>0</v>
      </c>
      <c r="AT61" s="353">
        <f t="shared" si="86"/>
        <v>9020429</v>
      </c>
      <c r="AU61" s="353">
        <f t="shared" si="95"/>
        <v>5718</v>
      </c>
      <c r="AV61" s="353">
        <f t="shared" si="95"/>
        <v>0</v>
      </c>
      <c r="AW61" s="353">
        <f t="shared" si="87"/>
        <v>5718</v>
      </c>
      <c r="AX61" s="353">
        <f t="shared" si="96"/>
        <v>0</v>
      </c>
      <c r="AY61" s="353">
        <f t="shared" si="96"/>
        <v>0</v>
      </c>
      <c r="AZ61" s="353">
        <f t="shared" si="97"/>
        <v>0</v>
      </c>
      <c r="BA61" s="354">
        <f t="shared" si="88"/>
        <v>115655747</v>
      </c>
    </row>
    <row r="62" spans="1:53" ht="14.25" hidden="1" thickBot="1">
      <c r="A62" s="138">
        <v>41944</v>
      </c>
      <c r="B62" s="18">
        <v>1695561</v>
      </c>
      <c r="C62" s="18">
        <v>0</v>
      </c>
      <c r="D62" s="18">
        <f t="shared" si="1"/>
        <v>1695561</v>
      </c>
      <c r="E62" s="18">
        <f t="shared" si="2"/>
        <v>519406</v>
      </c>
      <c r="F62" s="18">
        <v>0</v>
      </c>
      <c r="G62" s="18">
        <f t="shared" si="3"/>
        <v>519406</v>
      </c>
      <c r="H62" s="18">
        <v>24343</v>
      </c>
      <c r="I62" s="18">
        <v>0</v>
      </c>
      <c r="J62" s="18">
        <f t="shared" si="4"/>
        <v>24343</v>
      </c>
      <c r="K62" s="18">
        <v>0</v>
      </c>
      <c r="L62" s="18">
        <v>0</v>
      </c>
      <c r="M62" s="18">
        <f t="shared" si="5"/>
        <v>0</v>
      </c>
      <c r="N62" s="18">
        <f t="shared" si="6"/>
        <v>1341905</v>
      </c>
      <c r="O62" s="18">
        <v>0</v>
      </c>
      <c r="P62" s="18">
        <f t="shared" si="7"/>
        <v>1341905</v>
      </c>
      <c r="Q62" s="18">
        <v>604</v>
      </c>
      <c r="R62" s="18">
        <v>0</v>
      </c>
      <c r="S62" s="18">
        <f t="shared" si="8"/>
        <v>604</v>
      </c>
      <c r="T62" s="18">
        <v>0</v>
      </c>
      <c r="U62" s="18">
        <v>0</v>
      </c>
      <c r="V62" s="18">
        <f t="shared" si="81"/>
        <v>0</v>
      </c>
      <c r="W62" s="18">
        <f t="shared" si="0"/>
        <v>3581819</v>
      </c>
      <c r="X62" s="18">
        <f t="shared" si="10"/>
        <v>0</v>
      </c>
      <c r="Y62" s="235">
        <f t="shared" si="11"/>
        <v>3581819</v>
      </c>
      <c r="Z62" s="18">
        <v>0</v>
      </c>
      <c r="AA62" s="18">
        <v>519406</v>
      </c>
      <c r="AB62" s="18">
        <f t="shared" si="12"/>
        <v>519406</v>
      </c>
      <c r="AC62" s="352">
        <v>0</v>
      </c>
      <c r="AD62" s="18">
        <v>1341905</v>
      </c>
      <c r="AE62" s="18">
        <f t="shared" si="13"/>
        <v>1341905</v>
      </c>
      <c r="AF62" s="352">
        <f t="shared" si="89"/>
        <v>23551045</v>
      </c>
      <c r="AG62" s="353">
        <f t="shared" si="89"/>
        <v>57724636</v>
      </c>
      <c r="AH62" s="353">
        <f t="shared" si="82"/>
        <v>81275681</v>
      </c>
      <c r="AI62" s="353">
        <f t="shared" si="90"/>
        <v>7529232</v>
      </c>
      <c r="AJ62" s="353">
        <f t="shared" si="91"/>
        <v>0</v>
      </c>
      <c r="AK62" s="353">
        <f t="shared" si="83"/>
        <v>7529232</v>
      </c>
      <c r="AL62" s="353">
        <f t="shared" si="92"/>
        <v>34444</v>
      </c>
      <c r="AM62" s="353">
        <f t="shared" si="92"/>
        <v>0</v>
      </c>
      <c r="AN62" s="353">
        <f t="shared" si="84"/>
        <v>34444</v>
      </c>
      <c r="AO62" s="353">
        <f t="shared" si="93"/>
        <v>20352691</v>
      </c>
      <c r="AP62" s="353">
        <f t="shared" si="93"/>
        <v>0</v>
      </c>
      <c r="AQ62" s="353">
        <f t="shared" si="85"/>
        <v>20352691</v>
      </c>
      <c r="AR62" s="353">
        <f t="shared" si="94"/>
        <v>10362334</v>
      </c>
      <c r="AS62" s="353">
        <f t="shared" si="94"/>
        <v>0</v>
      </c>
      <c r="AT62" s="353">
        <f t="shared" si="86"/>
        <v>10362334</v>
      </c>
      <c r="AU62" s="353">
        <f t="shared" si="95"/>
        <v>6322</v>
      </c>
      <c r="AV62" s="353">
        <f t="shared" si="95"/>
        <v>0</v>
      </c>
      <c r="AW62" s="353">
        <f t="shared" si="87"/>
        <v>6322</v>
      </c>
      <c r="AX62" s="353">
        <f t="shared" si="96"/>
        <v>0</v>
      </c>
      <c r="AY62" s="353">
        <f t="shared" si="96"/>
        <v>0</v>
      </c>
      <c r="AZ62" s="353">
        <f t="shared" si="97"/>
        <v>0</v>
      </c>
      <c r="BA62" s="354">
        <f t="shared" si="88"/>
        <v>119560704</v>
      </c>
    </row>
    <row r="63" spans="1:53" ht="13.5" hidden="1" customHeight="1" thickBot="1">
      <c r="A63" s="138">
        <v>41974</v>
      </c>
      <c r="B63" s="18">
        <v>2272503</v>
      </c>
      <c r="C63" s="18">
        <v>6750019</v>
      </c>
      <c r="D63" s="18">
        <f t="shared" si="1"/>
        <v>9022522</v>
      </c>
      <c r="E63" s="18">
        <f t="shared" si="2"/>
        <v>790638</v>
      </c>
      <c r="F63" s="18">
        <v>0</v>
      </c>
      <c r="G63" s="18">
        <f t="shared" si="3"/>
        <v>790638</v>
      </c>
      <c r="H63" s="18">
        <v>36733</v>
      </c>
      <c r="I63" s="18">
        <v>0</v>
      </c>
      <c r="J63" s="18">
        <f t="shared" si="4"/>
        <v>36733</v>
      </c>
      <c r="K63" s="18">
        <v>0</v>
      </c>
      <c r="L63" s="18">
        <v>0</v>
      </c>
      <c r="M63" s="18">
        <f t="shared" si="5"/>
        <v>0</v>
      </c>
      <c r="N63" s="18">
        <f t="shared" si="6"/>
        <v>1731585</v>
      </c>
      <c r="O63" s="18">
        <v>0</v>
      </c>
      <c r="P63" s="18">
        <f t="shared" si="7"/>
        <v>1731585</v>
      </c>
      <c r="Q63" s="18">
        <v>22</v>
      </c>
      <c r="R63" s="18">
        <v>0</v>
      </c>
      <c r="S63" s="18">
        <f t="shared" si="8"/>
        <v>22</v>
      </c>
      <c r="T63" s="18">
        <v>0</v>
      </c>
      <c r="U63" s="18">
        <v>0</v>
      </c>
      <c r="V63" s="18">
        <f t="shared" si="81"/>
        <v>0</v>
      </c>
      <c r="W63" s="18">
        <f t="shared" si="0"/>
        <v>4831481</v>
      </c>
      <c r="X63" s="18">
        <f t="shared" si="10"/>
        <v>6750019</v>
      </c>
      <c r="Y63" s="235">
        <f t="shared" si="11"/>
        <v>11581500</v>
      </c>
      <c r="Z63" s="18">
        <v>0</v>
      </c>
      <c r="AA63" s="18">
        <v>790638</v>
      </c>
      <c r="AB63" s="18">
        <f t="shared" si="12"/>
        <v>790638</v>
      </c>
      <c r="AC63" s="352">
        <v>0</v>
      </c>
      <c r="AD63" s="18">
        <v>1731585</v>
      </c>
      <c r="AE63" s="18">
        <f t="shared" si="13"/>
        <v>1731585</v>
      </c>
      <c r="AF63" s="352">
        <f t="shared" si="89"/>
        <v>25823548</v>
      </c>
      <c r="AG63" s="353">
        <f t="shared" si="89"/>
        <v>64474655</v>
      </c>
      <c r="AH63" s="353">
        <f t="shared" si="82"/>
        <v>90298203</v>
      </c>
      <c r="AI63" s="353">
        <f t="shared" si="90"/>
        <v>8048638</v>
      </c>
      <c r="AJ63" s="353">
        <f t="shared" si="91"/>
        <v>0</v>
      </c>
      <c r="AK63" s="353">
        <f t="shared" si="83"/>
        <v>8048638</v>
      </c>
      <c r="AL63" s="353">
        <f t="shared" si="92"/>
        <v>71177</v>
      </c>
      <c r="AM63" s="353">
        <f t="shared" si="92"/>
        <v>0</v>
      </c>
      <c r="AN63" s="353">
        <f t="shared" si="84"/>
        <v>71177</v>
      </c>
      <c r="AO63" s="353">
        <f t="shared" si="93"/>
        <v>20352691</v>
      </c>
      <c r="AP63" s="353">
        <f t="shared" si="93"/>
        <v>0</v>
      </c>
      <c r="AQ63" s="353">
        <f t="shared" si="85"/>
        <v>20352691</v>
      </c>
      <c r="AR63" s="353">
        <f t="shared" si="94"/>
        <v>12093919</v>
      </c>
      <c r="AS63" s="353">
        <f t="shared" si="94"/>
        <v>0</v>
      </c>
      <c r="AT63" s="353">
        <f t="shared" si="86"/>
        <v>12093919</v>
      </c>
      <c r="AU63" s="353">
        <f t="shared" si="95"/>
        <v>6344</v>
      </c>
      <c r="AV63" s="353">
        <f t="shared" si="95"/>
        <v>0</v>
      </c>
      <c r="AW63" s="353">
        <f t="shared" si="87"/>
        <v>6344</v>
      </c>
      <c r="AX63" s="353">
        <f t="shared" si="96"/>
        <v>0</v>
      </c>
      <c r="AY63" s="353">
        <f t="shared" si="96"/>
        <v>0</v>
      </c>
      <c r="AZ63" s="353">
        <f t="shared" si="97"/>
        <v>0</v>
      </c>
      <c r="BA63" s="354">
        <f t="shared" si="88"/>
        <v>130870972</v>
      </c>
    </row>
    <row r="64" spans="1:53" ht="14.25" hidden="1" thickBot="1">
      <c r="A64" s="141">
        <v>42005</v>
      </c>
      <c r="B64" s="143">
        <v>2406832</v>
      </c>
      <c r="C64" s="143">
        <v>0</v>
      </c>
      <c r="D64" s="143">
        <f t="shared" si="1"/>
        <v>2406832</v>
      </c>
      <c r="E64" s="143">
        <f t="shared" si="2"/>
        <v>166050</v>
      </c>
      <c r="F64" s="143">
        <v>0</v>
      </c>
      <c r="G64" s="143">
        <f t="shared" si="3"/>
        <v>166050</v>
      </c>
      <c r="H64" s="143">
        <v>37763</v>
      </c>
      <c r="I64" s="143">
        <v>0</v>
      </c>
      <c r="J64" s="143">
        <f t="shared" si="4"/>
        <v>37763</v>
      </c>
      <c r="K64" s="143">
        <v>0</v>
      </c>
      <c r="L64" s="143">
        <v>0</v>
      </c>
      <c r="M64" s="143">
        <f t="shared" si="5"/>
        <v>0</v>
      </c>
      <c r="N64" s="143">
        <f t="shared" si="6"/>
        <v>1733383</v>
      </c>
      <c r="O64" s="143">
        <v>0</v>
      </c>
      <c r="P64" s="143">
        <f t="shared" si="7"/>
        <v>1733383</v>
      </c>
      <c r="Q64" s="143">
        <v>0</v>
      </c>
      <c r="R64" s="143">
        <v>0</v>
      </c>
      <c r="S64" s="143">
        <f t="shared" si="8"/>
        <v>0</v>
      </c>
      <c r="T64" s="143">
        <v>0</v>
      </c>
      <c r="U64" s="143">
        <v>0</v>
      </c>
      <c r="V64" s="143">
        <f>U64+T64</f>
        <v>0</v>
      </c>
      <c r="W64" s="143">
        <f t="shared" si="0"/>
        <v>4344028</v>
      </c>
      <c r="X64" s="143">
        <f t="shared" si="10"/>
        <v>0</v>
      </c>
      <c r="Y64" s="237">
        <f t="shared" si="11"/>
        <v>4344028</v>
      </c>
      <c r="Z64" s="143">
        <v>0</v>
      </c>
      <c r="AA64" s="143">
        <v>166050</v>
      </c>
      <c r="AB64" s="143">
        <f>AA64+Z64</f>
        <v>166050</v>
      </c>
      <c r="AC64" s="349">
        <v>0</v>
      </c>
      <c r="AD64" s="143">
        <v>1733383</v>
      </c>
      <c r="AE64" s="143">
        <f t="shared" si="13"/>
        <v>1733383</v>
      </c>
      <c r="AF64" s="349">
        <f>B64</f>
        <v>2406832</v>
      </c>
      <c r="AG64" s="350">
        <f>C64</f>
        <v>0</v>
      </c>
      <c r="AH64" s="350">
        <f>AG64+AF64</f>
        <v>2406832</v>
      </c>
      <c r="AI64" s="350">
        <f>E64</f>
        <v>166050</v>
      </c>
      <c r="AJ64" s="350">
        <f>F64</f>
        <v>0</v>
      </c>
      <c r="AK64" s="350">
        <f>AJ64+AI64</f>
        <v>166050</v>
      </c>
      <c r="AL64" s="350">
        <f>H64</f>
        <v>37763</v>
      </c>
      <c r="AM64" s="350">
        <f>I64</f>
        <v>0</v>
      </c>
      <c r="AN64" s="350">
        <f>AM64+AL64</f>
        <v>37763</v>
      </c>
      <c r="AO64" s="350">
        <f>K64</f>
        <v>0</v>
      </c>
      <c r="AP64" s="350">
        <f>L64</f>
        <v>0</v>
      </c>
      <c r="AQ64" s="350">
        <f>AP64+AO64</f>
        <v>0</v>
      </c>
      <c r="AR64" s="350">
        <f>N64</f>
        <v>1733383</v>
      </c>
      <c r="AS64" s="350">
        <f>O64</f>
        <v>0</v>
      </c>
      <c r="AT64" s="350">
        <f>AS64+AR64</f>
        <v>1733383</v>
      </c>
      <c r="AU64" s="350">
        <f>Q64</f>
        <v>0</v>
      </c>
      <c r="AV64" s="350">
        <f>R64</f>
        <v>0</v>
      </c>
      <c r="AW64" s="350">
        <f>AV64+AU64</f>
        <v>0</v>
      </c>
      <c r="AX64" s="350">
        <f>T64</f>
        <v>0</v>
      </c>
      <c r="AY64" s="350">
        <f>U64</f>
        <v>0</v>
      </c>
      <c r="AZ64" s="350">
        <f>SUM(AX64:AY64)</f>
        <v>0</v>
      </c>
      <c r="BA64" s="351">
        <f>AW64+AT64+AQ64+AN64+AK64+AH64+AZ64</f>
        <v>4344028</v>
      </c>
    </row>
    <row r="65" spans="1:53" ht="14.25" hidden="1" thickBot="1">
      <c r="A65" s="138">
        <v>42036</v>
      </c>
      <c r="B65" s="18">
        <v>1708936</v>
      </c>
      <c r="C65" s="18">
        <v>0</v>
      </c>
      <c r="D65" s="18">
        <f t="shared" si="1"/>
        <v>1708936</v>
      </c>
      <c r="E65" s="18">
        <f t="shared" si="2"/>
        <v>390698</v>
      </c>
      <c r="F65" s="18">
        <v>0</v>
      </c>
      <c r="G65" s="18">
        <f t="shared" si="3"/>
        <v>390698</v>
      </c>
      <c r="H65" s="18">
        <v>55101</v>
      </c>
      <c r="I65" s="18">
        <v>0</v>
      </c>
      <c r="J65" s="18">
        <f t="shared" si="4"/>
        <v>55101</v>
      </c>
      <c r="K65" s="18">
        <v>0</v>
      </c>
      <c r="L65" s="18">
        <v>0</v>
      </c>
      <c r="M65" s="18">
        <f t="shared" si="5"/>
        <v>0</v>
      </c>
      <c r="N65" s="18">
        <f t="shared" si="6"/>
        <v>1294131</v>
      </c>
      <c r="O65" s="18">
        <v>0</v>
      </c>
      <c r="P65" s="18">
        <f t="shared" si="7"/>
        <v>1294131</v>
      </c>
      <c r="Q65" s="18">
        <v>189</v>
      </c>
      <c r="R65" s="18">
        <v>0</v>
      </c>
      <c r="S65" s="18">
        <f t="shared" si="8"/>
        <v>189</v>
      </c>
      <c r="T65" s="18">
        <v>0</v>
      </c>
      <c r="U65" s="18">
        <v>0</v>
      </c>
      <c r="V65" s="18">
        <f t="shared" ref="V65:V75" si="98">U65+T65</f>
        <v>0</v>
      </c>
      <c r="W65" s="18">
        <f t="shared" si="0"/>
        <v>3449055</v>
      </c>
      <c r="X65" s="18">
        <f t="shared" si="10"/>
        <v>0</v>
      </c>
      <c r="Y65" s="235">
        <f t="shared" si="11"/>
        <v>3449055</v>
      </c>
      <c r="Z65" s="18">
        <v>0</v>
      </c>
      <c r="AA65" s="18">
        <v>390698</v>
      </c>
      <c r="AB65" s="18">
        <f t="shared" si="12"/>
        <v>390698</v>
      </c>
      <c r="AC65" s="352">
        <v>0</v>
      </c>
      <c r="AD65" s="18">
        <v>1294131</v>
      </c>
      <c r="AE65" s="18">
        <f t="shared" si="13"/>
        <v>1294131</v>
      </c>
      <c r="AF65" s="352">
        <f>B65+AF64</f>
        <v>4115768</v>
      </c>
      <c r="AG65" s="353">
        <f>C65+AG64</f>
        <v>0</v>
      </c>
      <c r="AH65" s="353">
        <f t="shared" ref="AH65:AH75" si="99">AG65+AF65</f>
        <v>4115768</v>
      </c>
      <c r="AI65" s="353">
        <f>AI64+E64</f>
        <v>332100</v>
      </c>
      <c r="AJ65" s="353">
        <f>AJ64+F65</f>
        <v>0</v>
      </c>
      <c r="AK65" s="353">
        <f t="shared" ref="AK65:AK75" si="100">AJ65+AI65</f>
        <v>332100</v>
      </c>
      <c r="AL65" s="353">
        <f>AL64+H65</f>
        <v>92864</v>
      </c>
      <c r="AM65" s="353">
        <f>AM64+I65</f>
        <v>0</v>
      </c>
      <c r="AN65" s="353">
        <f t="shared" ref="AN65:AN75" si="101">AM65+AL65</f>
        <v>92864</v>
      </c>
      <c r="AO65" s="353">
        <f>AO64+K65</f>
        <v>0</v>
      </c>
      <c r="AP65" s="353">
        <f>AP64+L65</f>
        <v>0</v>
      </c>
      <c r="AQ65" s="353">
        <f t="shared" ref="AQ65:AQ75" si="102">AP65+AO65</f>
        <v>0</v>
      </c>
      <c r="AR65" s="353">
        <f>AR64+N65</f>
        <v>3027514</v>
      </c>
      <c r="AS65" s="353">
        <f>AS64+O65</f>
        <v>0</v>
      </c>
      <c r="AT65" s="353">
        <f t="shared" ref="AT65:AT75" si="103">AS65+AR65</f>
        <v>3027514</v>
      </c>
      <c r="AU65" s="353">
        <f>AU64+Q65</f>
        <v>189</v>
      </c>
      <c r="AV65" s="353">
        <f>AV64+R65</f>
        <v>0</v>
      </c>
      <c r="AW65" s="353">
        <f t="shared" ref="AW65:AW75" si="104">AV65+AU65</f>
        <v>189</v>
      </c>
      <c r="AX65" s="353">
        <f>AX64+T65</f>
        <v>0</v>
      </c>
      <c r="AY65" s="353">
        <f>AY64+U65</f>
        <v>0</v>
      </c>
      <c r="AZ65" s="353">
        <f>SUM(AX65:AY65)</f>
        <v>0</v>
      </c>
      <c r="BA65" s="354">
        <f t="shared" ref="BA65:BA75" si="105">AW65+AT65+AQ65+AN65+AK65+AH65+AZ65</f>
        <v>7568435</v>
      </c>
    </row>
    <row r="66" spans="1:53" ht="14.25" hidden="1" thickBot="1">
      <c r="A66" s="138">
        <v>42064</v>
      </c>
      <c r="B66" s="18">
        <v>2032746</v>
      </c>
      <c r="C66" s="18">
        <v>0</v>
      </c>
      <c r="D66" s="18">
        <f t="shared" si="1"/>
        <v>2032746</v>
      </c>
      <c r="E66" s="18">
        <f t="shared" si="2"/>
        <v>701443</v>
      </c>
      <c r="F66" s="18">
        <v>0</v>
      </c>
      <c r="G66" s="18">
        <f t="shared" si="3"/>
        <v>701443</v>
      </c>
      <c r="H66" s="18">
        <v>42124</v>
      </c>
      <c r="I66" s="18">
        <v>0</v>
      </c>
      <c r="J66" s="18">
        <f t="shared" si="4"/>
        <v>42124</v>
      </c>
      <c r="K66" s="18">
        <v>0</v>
      </c>
      <c r="L66" s="18">
        <v>0</v>
      </c>
      <c r="M66" s="18">
        <f t="shared" si="5"/>
        <v>0</v>
      </c>
      <c r="N66" s="18">
        <f t="shared" si="6"/>
        <v>1095686</v>
      </c>
      <c r="O66" s="18">
        <v>0</v>
      </c>
      <c r="P66" s="18">
        <f t="shared" si="7"/>
        <v>1095686</v>
      </c>
      <c r="Q66" s="18">
        <v>0</v>
      </c>
      <c r="R66" s="18">
        <v>0</v>
      </c>
      <c r="S66" s="18">
        <f t="shared" si="8"/>
        <v>0</v>
      </c>
      <c r="T66" s="18">
        <v>0</v>
      </c>
      <c r="U66" s="18">
        <v>0</v>
      </c>
      <c r="V66" s="18">
        <f t="shared" si="98"/>
        <v>0</v>
      </c>
      <c r="W66" s="18">
        <f t="shared" si="0"/>
        <v>3871999</v>
      </c>
      <c r="X66" s="18">
        <f t="shared" si="10"/>
        <v>0</v>
      </c>
      <c r="Y66" s="235">
        <f t="shared" si="11"/>
        <v>3871999</v>
      </c>
      <c r="Z66" s="18">
        <v>0</v>
      </c>
      <c r="AA66" s="18">
        <v>701443</v>
      </c>
      <c r="AB66" s="18">
        <f t="shared" si="12"/>
        <v>701443</v>
      </c>
      <c r="AC66" s="352">
        <v>0</v>
      </c>
      <c r="AD66" s="18">
        <v>1095686</v>
      </c>
      <c r="AE66" s="18">
        <f t="shared" si="13"/>
        <v>1095686</v>
      </c>
      <c r="AF66" s="352">
        <f t="shared" ref="AF66:AG75" si="106">B66+AF65</f>
        <v>6148514</v>
      </c>
      <c r="AG66" s="353">
        <f t="shared" si="106"/>
        <v>0</v>
      </c>
      <c r="AH66" s="353">
        <f t="shared" si="99"/>
        <v>6148514</v>
      </c>
      <c r="AI66" s="353">
        <f t="shared" ref="AI66:AI75" si="107">AI65+E65</f>
        <v>722798</v>
      </c>
      <c r="AJ66" s="353">
        <f t="shared" ref="AJ66:AJ75" si="108">AJ65+F66</f>
        <v>0</v>
      </c>
      <c r="AK66" s="353">
        <f t="shared" si="100"/>
        <v>722798</v>
      </c>
      <c r="AL66" s="353">
        <f t="shared" ref="AL66:AM75" si="109">AL65+H66</f>
        <v>134988</v>
      </c>
      <c r="AM66" s="353">
        <f t="shared" si="109"/>
        <v>0</v>
      </c>
      <c r="AN66" s="353">
        <f t="shared" si="101"/>
        <v>134988</v>
      </c>
      <c r="AO66" s="353">
        <f t="shared" ref="AO66:AP75" si="110">AO65+K66</f>
        <v>0</v>
      </c>
      <c r="AP66" s="353">
        <f t="shared" si="110"/>
        <v>0</v>
      </c>
      <c r="AQ66" s="353">
        <f t="shared" si="102"/>
        <v>0</v>
      </c>
      <c r="AR66" s="353">
        <f t="shared" ref="AR66:AS75" si="111">AR65+N66</f>
        <v>4123200</v>
      </c>
      <c r="AS66" s="353">
        <f t="shared" si="111"/>
        <v>0</v>
      </c>
      <c r="AT66" s="353">
        <f t="shared" si="103"/>
        <v>4123200</v>
      </c>
      <c r="AU66" s="353">
        <f t="shared" ref="AU66:AV75" si="112">AU65+Q66</f>
        <v>189</v>
      </c>
      <c r="AV66" s="353">
        <f t="shared" si="112"/>
        <v>0</v>
      </c>
      <c r="AW66" s="353">
        <f t="shared" si="104"/>
        <v>189</v>
      </c>
      <c r="AX66" s="353">
        <f t="shared" ref="AX66:AY75" si="113">AX65+T66</f>
        <v>0</v>
      </c>
      <c r="AY66" s="353">
        <f t="shared" si="113"/>
        <v>0</v>
      </c>
      <c r="AZ66" s="353">
        <f t="shared" ref="AZ66:AZ75" si="114">SUM(AX66:AY66)</f>
        <v>0</v>
      </c>
      <c r="BA66" s="354">
        <f t="shared" si="105"/>
        <v>11129689</v>
      </c>
    </row>
    <row r="67" spans="1:53" ht="14.25" hidden="1" thickBot="1">
      <c r="A67" s="138">
        <v>42095</v>
      </c>
      <c r="B67" s="18">
        <v>1820525</v>
      </c>
      <c r="C67" s="18">
        <v>10702691</v>
      </c>
      <c r="D67" s="18">
        <f t="shared" si="1"/>
        <v>12523216</v>
      </c>
      <c r="E67" s="18">
        <f t="shared" si="2"/>
        <v>558072</v>
      </c>
      <c r="F67" s="18">
        <v>0</v>
      </c>
      <c r="G67" s="18">
        <f t="shared" si="3"/>
        <v>558072</v>
      </c>
      <c r="H67" s="18">
        <v>32261</v>
      </c>
      <c r="I67" s="18">
        <v>0</v>
      </c>
      <c r="J67" s="18">
        <f t="shared" si="4"/>
        <v>32261</v>
      </c>
      <c r="K67" s="18">
        <v>0</v>
      </c>
      <c r="L67" s="18">
        <v>0</v>
      </c>
      <c r="M67" s="18">
        <f t="shared" si="5"/>
        <v>0</v>
      </c>
      <c r="N67" s="18">
        <f t="shared" si="6"/>
        <v>1214342</v>
      </c>
      <c r="O67" s="18">
        <v>0</v>
      </c>
      <c r="P67" s="18">
        <f t="shared" si="7"/>
        <v>1214342</v>
      </c>
      <c r="Q67" s="18">
        <v>68</v>
      </c>
      <c r="R67" s="18">
        <v>0</v>
      </c>
      <c r="S67" s="18">
        <f t="shared" si="8"/>
        <v>68</v>
      </c>
      <c r="T67" s="18">
        <v>0</v>
      </c>
      <c r="U67" s="18">
        <v>0</v>
      </c>
      <c r="V67" s="18">
        <f t="shared" si="98"/>
        <v>0</v>
      </c>
      <c r="W67" s="18">
        <f t="shared" si="0"/>
        <v>3625268</v>
      </c>
      <c r="X67" s="18">
        <f t="shared" si="10"/>
        <v>10702691</v>
      </c>
      <c r="Y67" s="235">
        <f t="shared" si="11"/>
        <v>14327959</v>
      </c>
      <c r="Z67" s="18">
        <v>0</v>
      </c>
      <c r="AA67" s="18">
        <v>558072</v>
      </c>
      <c r="AB67" s="18">
        <f t="shared" si="12"/>
        <v>558072</v>
      </c>
      <c r="AC67" s="352">
        <v>0</v>
      </c>
      <c r="AD67" s="18">
        <v>1214342</v>
      </c>
      <c r="AE67" s="18">
        <f t="shared" si="13"/>
        <v>1214342</v>
      </c>
      <c r="AF67" s="352">
        <f t="shared" si="106"/>
        <v>7969039</v>
      </c>
      <c r="AG67" s="353">
        <f t="shared" si="106"/>
        <v>10702691</v>
      </c>
      <c r="AH67" s="353">
        <f t="shared" si="99"/>
        <v>18671730</v>
      </c>
      <c r="AI67" s="353">
        <f t="shared" si="107"/>
        <v>1424241</v>
      </c>
      <c r="AJ67" s="353">
        <f t="shared" si="108"/>
        <v>0</v>
      </c>
      <c r="AK67" s="353">
        <f t="shared" si="100"/>
        <v>1424241</v>
      </c>
      <c r="AL67" s="353">
        <f t="shared" si="109"/>
        <v>167249</v>
      </c>
      <c r="AM67" s="353">
        <f t="shared" si="109"/>
        <v>0</v>
      </c>
      <c r="AN67" s="353">
        <f t="shared" si="101"/>
        <v>167249</v>
      </c>
      <c r="AO67" s="353">
        <f t="shared" si="110"/>
        <v>0</v>
      </c>
      <c r="AP67" s="353">
        <f t="shared" si="110"/>
        <v>0</v>
      </c>
      <c r="AQ67" s="353">
        <f t="shared" si="102"/>
        <v>0</v>
      </c>
      <c r="AR67" s="353">
        <f t="shared" si="111"/>
        <v>5337542</v>
      </c>
      <c r="AS67" s="353">
        <f t="shared" si="111"/>
        <v>0</v>
      </c>
      <c r="AT67" s="353">
        <f t="shared" si="103"/>
        <v>5337542</v>
      </c>
      <c r="AU67" s="353">
        <f t="shared" si="112"/>
        <v>257</v>
      </c>
      <c r="AV67" s="353">
        <f t="shared" si="112"/>
        <v>0</v>
      </c>
      <c r="AW67" s="353">
        <f t="shared" si="104"/>
        <v>257</v>
      </c>
      <c r="AX67" s="353">
        <f t="shared" si="113"/>
        <v>0</v>
      </c>
      <c r="AY67" s="353">
        <f t="shared" si="113"/>
        <v>0</v>
      </c>
      <c r="AZ67" s="353">
        <f t="shared" si="114"/>
        <v>0</v>
      </c>
      <c r="BA67" s="354">
        <f t="shared" si="105"/>
        <v>25601019</v>
      </c>
    </row>
    <row r="68" spans="1:53" ht="14.25" hidden="1" thickBot="1">
      <c r="A68" s="138">
        <v>42125</v>
      </c>
      <c r="B68" s="18">
        <v>1951230</v>
      </c>
      <c r="C68" s="18">
        <v>0</v>
      </c>
      <c r="D68" s="18">
        <f t="shared" si="1"/>
        <v>1951230</v>
      </c>
      <c r="E68" s="18">
        <f t="shared" si="2"/>
        <v>341069</v>
      </c>
      <c r="F68" s="18">
        <v>0</v>
      </c>
      <c r="G68" s="18">
        <f t="shared" si="3"/>
        <v>341069</v>
      </c>
      <c r="H68" s="18">
        <v>32062</v>
      </c>
      <c r="I68" s="18">
        <v>0</v>
      </c>
      <c r="J68" s="18">
        <f t="shared" si="4"/>
        <v>32062</v>
      </c>
      <c r="K68" s="18">
        <v>0</v>
      </c>
      <c r="L68" s="18">
        <v>0</v>
      </c>
      <c r="M68" s="18">
        <f t="shared" si="5"/>
        <v>0</v>
      </c>
      <c r="N68" s="18">
        <f t="shared" si="6"/>
        <v>1476394</v>
      </c>
      <c r="O68" s="18">
        <v>0</v>
      </c>
      <c r="P68" s="18">
        <f t="shared" si="7"/>
        <v>1476394</v>
      </c>
      <c r="Q68" s="18">
        <v>1429</v>
      </c>
      <c r="R68" s="18">
        <v>0</v>
      </c>
      <c r="S68" s="18">
        <f t="shared" si="8"/>
        <v>1429</v>
      </c>
      <c r="T68" s="18">
        <v>0</v>
      </c>
      <c r="U68" s="18">
        <v>0</v>
      </c>
      <c r="V68" s="18">
        <f t="shared" si="98"/>
        <v>0</v>
      </c>
      <c r="W68" s="18">
        <f t="shared" ref="W68:W131" si="115">B68+E68+H68+K68+N68+Q68+T68</f>
        <v>3802184</v>
      </c>
      <c r="X68" s="18">
        <f t="shared" si="10"/>
        <v>0</v>
      </c>
      <c r="Y68" s="235">
        <f t="shared" si="11"/>
        <v>3802184</v>
      </c>
      <c r="Z68" s="18">
        <v>0</v>
      </c>
      <c r="AA68" s="18">
        <v>341069</v>
      </c>
      <c r="AB68" s="18">
        <f t="shared" si="12"/>
        <v>341069</v>
      </c>
      <c r="AC68" s="352">
        <v>0</v>
      </c>
      <c r="AD68" s="18">
        <v>1476394</v>
      </c>
      <c r="AE68" s="18">
        <f t="shared" si="13"/>
        <v>1476394</v>
      </c>
      <c r="AF68" s="352">
        <f t="shared" si="106"/>
        <v>9920269</v>
      </c>
      <c r="AG68" s="353">
        <f t="shared" si="106"/>
        <v>10702691</v>
      </c>
      <c r="AH68" s="353">
        <f t="shared" si="99"/>
        <v>20622960</v>
      </c>
      <c r="AI68" s="353">
        <f t="shared" si="107"/>
        <v>1982313</v>
      </c>
      <c r="AJ68" s="353">
        <f t="shared" si="108"/>
        <v>0</v>
      </c>
      <c r="AK68" s="353">
        <f t="shared" si="100"/>
        <v>1982313</v>
      </c>
      <c r="AL68" s="353">
        <f t="shared" si="109"/>
        <v>199311</v>
      </c>
      <c r="AM68" s="353">
        <f t="shared" si="109"/>
        <v>0</v>
      </c>
      <c r="AN68" s="353">
        <f t="shared" si="101"/>
        <v>199311</v>
      </c>
      <c r="AO68" s="353">
        <f t="shared" si="110"/>
        <v>0</v>
      </c>
      <c r="AP68" s="353">
        <f t="shared" si="110"/>
        <v>0</v>
      </c>
      <c r="AQ68" s="353">
        <f t="shared" si="102"/>
        <v>0</v>
      </c>
      <c r="AR68" s="353">
        <f t="shared" si="111"/>
        <v>6813936</v>
      </c>
      <c r="AS68" s="353">
        <f t="shared" si="111"/>
        <v>0</v>
      </c>
      <c r="AT68" s="353">
        <f t="shared" si="103"/>
        <v>6813936</v>
      </c>
      <c r="AU68" s="353">
        <f t="shared" si="112"/>
        <v>1686</v>
      </c>
      <c r="AV68" s="353">
        <f t="shared" si="112"/>
        <v>0</v>
      </c>
      <c r="AW68" s="353">
        <f t="shared" si="104"/>
        <v>1686</v>
      </c>
      <c r="AX68" s="353">
        <f t="shared" si="113"/>
        <v>0</v>
      </c>
      <c r="AY68" s="353">
        <f t="shared" si="113"/>
        <v>0</v>
      </c>
      <c r="AZ68" s="353">
        <f t="shared" si="114"/>
        <v>0</v>
      </c>
      <c r="BA68" s="354">
        <f t="shared" si="105"/>
        <v>29620206</v>
      </c>
    </row>
    <row r="69" spans="1:53" ht="14.25" hidden="1" thickBot="1">
      <c r="A69" s="138">
        <v>42156</v>
      </c>
      <c r="B69" s="18">
        <v>2144244</v>
      </c>
      <c r="C69" s="18">
        <v>0</v>
      </c>
      <c r="D69" s="18">
        <f t="shared" ref="D69:D132" si="116">C69+B69</f>
        <v>2144244</v>
      </c>
      <c r="E69" s="18">
        <f t="shared" ref="E69:E132" si="117">AB69</f>
        <v>544047</v>
      </c>
      <c r="F69" s="18">
        <v>0</v>
      </c>
      <c r="G69" s="18">
        <f t="shared" ref="G69:G132" si="118">F69+E69</f>
        <v>544047</v>
      </c>
      <c r="H69" s="18">
        <v>24369</v>
      </c>
      <c r="I69" s="18">
        <v>0</v>
      </c>
      <c r="J69" s="18">
        <f t="shared" ref="J69:J132" si="119">I69+H69</f>
        <v>24369</v>
      </c>
      <c r="K69" s="18">
        <v>0</v>
      </c>
      <c r="L69" s="18">
        <v>0</v>
      </c>
      <c r="M69" s="18">
        <f t="shared" ref="M69:M132" si="120">L69+K69</f>
        <v>0</v>
      </c>
      <c r="N69" s="18">
        <f t="shared" ref="N69:N132" si="121">AE69</f>
        <v>1120164</v>
      </c>
      <c r="O69" s="18">
        <v>0</v>
      </c>
      <c r="P69" s="18">
        <f t="shared" ref="P69:P132" si="122">O69+N69</f>
        <v>1120164</v>
      </c>
      <c r="Q69" s="18">
        <v>0</v>
      </c>
      <c r="R69" s="18">
        <v>0</v>
      </c>
      <c r="S69" s="18">
        <f t="shared" ref="S69:S115" si="123">R69+Q69</f>
        <v>0</v>
      </c>
      <c r="T69" s="18">
        <v>0</v>
      </c>
      <c r="U69" s="18">
        <v>0</v>
      </c>
      <c r="V69" s="18">
        <f t="shared" si="98"/>
        <v>0</v>
      </c>
      <c r="W69" s="18">
        <f t="shared" si="115"/>
        <v>3832824</v>
      </c>
      <c r="X69" s="18">
        <f t="shared" ref="X69:X108" si="124">C69+F69+I69+L69+O69+R69</f>
        <v>0</v>
      </c>
      <c r="Y69" s="235">
        <f t="shared" ref="Y69:Y108" si="125">X69+W69</f>
        <v>3832824</v>
      </c>
      <c r="Z69" s="18">
        <v>0</v>
      </c>
      <c r="AA69" s="18">
        <v>544047</v>
      </c>
      <c r="AB69" s="18">
        <f t="shared" ref="AB69:AB75" si="126">AA69+Z69</f>
        <v>544047</v>
      </c>
      <c r="AC69" s="352">
        <v>0</v>
      </c>
      <c r="AD69" s="18">
        <v>1120164</v>
      </c>
      <c r="AE69" s="18">
        <f t="shared" ref="AE69:AE132" si="127">AD69+AC69</f>
        <v>1120164</v>
      </c>
      <c r="AF69" s="352">
        <f t="shared" si="106"/>
        <v>12064513</v>
      </c>
      <c r="AG69" s="353">
        <f t="shared" si="106"/>
        <v>10702691</v>
      </c>
      <c r="AH69" s="353">
        <f t="shared" si="99"/>
        <v>22767204</v>
      </c>
      <c r="AI69" s="353">
        <f t="shared" si="107"/>
        <v>2323382</v>
      </c>
      <c r="AJ69" s="353">
        <f t="shared" si="108"/>
        <v>0</v>
      </c>
      <c r="AK69" s="353">
        <f t="shared" si="100"/>
        <v>2323382</v>
      </c>
      <c r="AL69" s="353">
        <f t="shared" si="109"/>
        <v>223680</v>
      </c>
      <c r="AM69" s="353">
        <f t="shared" si="109"/>
        <v>0</v>
      </c>
      <c r="AN69" s="353">
        <f t="shared" si="101"/>
        <v>223680</v>
      </c>
      <c r="AO69" s="353">
        <f t="shared" si="110"/>
        <v>0</v>
      </c>
      <c r="AP69" s="353">
        <f t="shared" si="110"/>
        <v>0</v>
      </c>
      <c r="AQ69" s="353">
        <f t="shared" si="102"/>
        <v>0</v>
      </c>
      <c r="AR69" s="353">
        <f t="shared" si="111"/>
        <v>7934100</v>
      </c>
      <c r="AS69" s="353">
        <f t="shared" si="111"/>
        <v>0</v>
      </c>
      <c r="AT69" s="353">
        <f t="shared" si="103"/>
        <v>7934100</v>
      </c>
      <c r="AU69" s="353">
        <f t="shared" si="112"/>
        <v>1686</v>
      </c>
      <c r="AV69" s="353">
        <f t="shared" si="112"/>
        <v>0</v>
      </c>
      <c r="AW69" s="353">
        <f t="shared" si="104"/>
        <v>1686</v>
      </c>
      <c r="AX69" s="353">
        <f t="shared" si="113"/>
        <v>0</v>
      </c>
      <c r="AY69" s="353">
        <f t="shared" si="113"/>
        <v>0</v>
      </c>
      <c r="AZ69" s="353">
        <f t="shared" si="114"/>
        <v>0</v>
      </c>
      <c r="BA69" s="354">
        <f t="shared" si="105"/>
        <v>33250052</v>
      </c>
    </row>
    <row r="70" spans="1:53" ht="14.25" hidden="1" thickBot="1">
      <c r="A70" s="138">
        <v>42186</v>
      </c>
      <c r="B70" s="18">
        <v>2197184</v>
      </c>
      <c r="C70" s="18">
        <v>0</v>
      </c>
      <c r="D70" s="18">
        <f t="shared" si="116"/>
        <v>2197184</v>
      </c>
      <c r="E70" s="18">
        <f t="shared" si="117"/>
        <v>476182</v>
      </c>
      <c r="F70" s="18">
        <v>0</v>
      </c>
      <c r="G70" s="18">
        <f t="shared" si="118"/>
        <v>476182</v>
      </c>
      <c r="H70" s="18">
        <v>40808</v>
      </c>
      <c r="I70" s="18">
        <v>0</v>
      </c>
      <c r="J70" s="18">
        <f t="shared" si="119"/>
        <v>40808</v>
      </c>
      <c r="K70" s="18">
        <v>0</v>
      </c>
      <c r="L70" s="18">
        <v>0</v>
      </c>
      <c r="M70" s="18">
        <f t="shared" si="120"/>
        <v>0</v>
      </c>
      <c r="N70" s="18">
        <f t="shared" si="121"/>
        <v>1530569</v>
      </c>
      <c r="O70" s="18">
        <v>0</v>
      </c>
      <c r="P70" s="18">
        <f t="shared" si="122"/>
        <v>1530569</v>
      </c>
      <c r="Q70" s="18">
        <v>1868</v>
      </c>
      <c r="R70" s="18">
        <v>0</v>
      </c>
      <c r="S70" s="18">
        <f t="shared" si="123"/>
        <v>1868</v>
      </c>
      <c r="T70" s="18">
        <v>0</v>
      </c>
      <c r="U70" s="18">
        <v>0</v>
      </c>
      <c r="V70" s="18">
        <f t="shared" si="98"/>
        <v>0</v>
      </c>
      <c r="W70" s="18">
        <f t="shared" si="115"/>
        <v>4246611</v>
      </c>
      <c r="X70" s="18">
        <f t="shared" si="124"/>
        <v>0</v>
      </c>
      <c r="Y70" s="235">
        <f t="shared" si="125"/>
        <v>4246611</v>
      </c>
      <c r="Z70" s="18">
        <v>0</v>
      </c>
      <c r="AA70" s="18">
        <v>476182</v>
      </c>
      <c r="AB70" s="18">
        <f t="shared" si="126"/>
        <v>476182</v>
      </c>
      <c r="AC70" s="352">
        <v>0</v>
      </c>
      <c r="AD70" s="18">
        <v>1530569</v>
      </c>
      <c r="AE70" s="18">
        <f t="shared" si="127"/>
        <v>1530569</v>
      </c>
      <c r="AF70" s="352">
        <f t="shared" si="106"/>
        <v>14261697</v>
      </c>
      <c r="AG70" s="353">
        <f t="shared" si="106"/>
        <v>10702691</v>
      </c>
      <c r="AH70" s="353">
        <f t="shared" si="99"/>
        <v>24964388</v>
      </c>
      <c r="AI70" s="353">
        <f t="shared" si="107"/>
        <v>2867429</v>
      </c>
      <c r="AJ70" s="353">
        <f t="shared" si="108"/>
        <v>0</v>
      </c>
      <c r="AK70" s="353">
        <f t="shared" si="100"/>
        <v>2867429</v>
      </c>
      <c r="AL70" s="353">
        <f t="shared" si="109"/>
        <v>264488</v>
      </c>
      <c r="AM70" s="353">
        <f t="shared" si="109"/>
        <v>0</v>
      </c>
      <c r="AN70" s="353">
        <f t="shared" si="101"/>
        <v>264488</v>
      </c>
      <c r="AO70" s="353">
        <f t="shared" si="110"/>
        <v>0</v>
      </c>
      <c r="AP70" s="353">
        <f t="shared" si="110"/>
        <v>0</v>
      </c>
      <c r="AQ70" s="353">
        <f t="shared" si="102"/>
        <v>0</v>
      </c>
      <c r="AR70" s="353">
        <f t="shared" si="111"/>
        <v>9464669</v>
      </c>
      <c r="AS70" s="353">
        <f t="shared" si="111"/>
        <v>0</v>
      </c>
      <c r="AT70" s="353">
        <f t="shared" si="103"/>
        <v>9464669</v>
      </c>
      <c r="AU70" s="353">
        <f t="shared" si="112"/>
        <v>3554</v>
      </c>
      <c r="AV70" s="353">
        <f t="shared" si="112"/>
        <v>0</v>
      </c>
      <c r="AW70" s="353">
        <f t="shared" si="104"/>
        <v>3554</v>
      </c>
      <c r="AX70" s="353">
        <f t="shared" si="113"/>
        <v>0</v>
      </c>
      <c r="AY70" s="353">
        <f t="shared" si="113"/>
        <v>0</v>
      </c>
      <c r="AZ70" s="353">
        <f t="shared" si="114"/>
        <v>0</v>
      </c>
      <c r="BA70" s="354">
        <f t="shared" si="105"/>
        <v>37564528</v>
      </c>
    </row>
    <row r="71" spans="1:53" ht="14.25" hidden="1" thickBot="1">
      <c r="A71" s="138">
        <v>42217</v>
      </c>
      <c r="B71" s="18">
        <v>2370536</v>
      </c>
      <c r="C71" s="18">
        <v>15377300</v>
      </c>
      <c r="D71" s="18">
        <f t="shared" si="116"/>
        <v>17747836</v>
      </c>
      <c r="E71" s="18">
        <f t="shared" si="117"/>
        <v>445036</v>
      </c>
      <c r="F71" s="18">
        <v>0</v>
      </c>
      <c r="G71" s="18">
        <f t="shared" si="118"/>
        <v>445036</v>
      </c>
      <c r="H71" s="18">
        <v>24015</v>
      </c>
      <c r="I71" s="18">
        <v>0</v>
      </c>
      <c r="J71" s="18">
        <f t="shared" si="119"/>
        <v>24015</v>
      </c>
      <c r="K71" s="18">
        <v>0</v>
      </c>
      <c r="L71" s="18">
        <v>0</v>
      </c>
      <c r="M71" s="18">
        <f t="shared" si="120"/>
        <v>0</v>
      </c>
      <c r="N71" s="18">
        <f t="shared" si="121"/>
        <v>1518950</v>
      </c>
      <c r="O71" s="18">
        <v>0</v>
      </c>
      <c r="P71" s="18">
        <f t="shared" si="122"/>
        <v>1518950</v>
      </c>
      <c r="Q71" s="18">
        <v>1429</v>
      </c>
      <c r="R71" s="18">
        <v>0</v>
      </c>
      <c r="S71" s="18">
        <f t="shared" si="123"/>
        <v>1429</v>
      </c>
      <c r="T71" s="18">
        <v>0</v>
      </c>
      <c r="U71" s="18">
        <v>0</v>
      </c>
      <c r="V71" s="18">
        <f t="shared" si="98"/>
        <v>0</v>
      </c>
      <c r="W71" s="18">
        <f t="shared" si="115"/>
        <v>4359966</v>
      </c>
      <c r="X71" s="18">
        <f t="shared" si="124"/>
        <v>15377300</v>
      </c>
      <c r="Y71" s="235">
        <f t="shared" si="125"/>
        <v>19737266</v>
      </c>
      <c r="Z71" s="18">
        <v>0</v>
      </c>
      <c r="AA71" s="18">
        <v>445036</v>
      </c>
      <c r="AB71" s="18">
        <f t="shared" si="126"/>
        <v>445036</v>
      </c>
      <c r="AC71" s="352">
        <v>0</v>
      </c>
      <c r="AD71" s="18">
        <v>1518950</v>
      </c>
      <c r="AE71" s="18">
        <f t="shared" si="127"/>
        <v>1518950</v>
      </c>
      <c r="AF71" s="352">
        <f t="shared" si="106"/>
        <v>16632233</v>
      </c>
      <c r="AG71" s="353">
        <f t="shared" si="106"/>
        <v>26079991</v>
      </c>
      <c r="AH71" s="353">
        <f t="shared" si="99"/>
        <v>42712224</v>
      </c>
      <c r="AI71" s="353">
        <f t="shared" si="107"/>
        <v>3343611</v>
      </c>
      <c r="AJ71" s="353">
        <f t="shared" si="108"/>
        <v>0</v>
      </c>
      <c r="AK71" s="353">
        <f t="shared" si="100"/>
        <v>3343611</v>
      </c>
      <c r="AL71" s="353">
        <f t="shared" si="109"/>
        <v>288503</v>
      </c>
      <c r="AM71" s="353">
        <f t="shared" si="109"/>
        <v>0</v>
      </c>
      <c r="AN71" s="353">
        <f t="shared" si="101"/>
        <v>288503</v>
      </c>
      <c r="AO71" s="353">
        <f t="shared" si="110"/>
        <v>0</v>
      </c>
      <c r="AP71" s="353">
        <f t="shared" si="110"/>
        <v>0</v>
      </c>
      <c r="AQ71" s="353">
        <f t="shared" si="102"/>
        <v>0</v>
      </c>
      <c r="AR71" s="353">
        <f t="shared" si="111"/>
        <v>10983619</v>
      </c>
      <c r="AS71" s="353">
        <f t="shared" si="111"/>
        <v>0</v>
      </c>
      <c r="AT71" s="353">
        <f t="shared" si="103"/>
        <v>10983619</v>
      </c>
      <c r="AU71" s="353">
        <f t="shared" si="112"/>
        <v>4983</v>
      </c>
      <c r="AV71" s="353">
        <f t="shared" si="112"/>
        <v>0</v>
      </c>
      <c r="AW71" s="353">
        <f t="shared" si="104"/>
        <v>4983</v>
      </c>
      <c r="AX71" s="353">
        <f t="shared" si="113"/>
        <v>0</v>
      </c>
      <c r="AY71" s="353">
        <f t="shared" si="113"/>
        <v>0</v>
      </c>
      <c r="AZ71" s="353">
        <f t="shared" si="114"/>
        <v>0</v>
      </c>
      <c r="BA71" s="354">
        <f t="shared" si="105"/>
        <v>57332940</v>
      </c>
    </row>
    <row r="72" spans="1:53" ht="14.25" hidden="1" thickBot="1">
      <c r="A72" s="138">
        <v>42248</v>
      </c>
      <c r="B72" s="18">
        <v>2033261</v>
      </c>
      <c r="C72" s="18">
        <v>19853081</v>
      </c>
      <c r="D72" s="18">
        <f t="shared" si="116"/>
        <v>21886342</v>
      </c>
      <c r="E72" s="18">
        <f t="shared" si="117"/>
        <v>370351</v>
      </c>
      <c r="F72" s="18">
        <v>0</v>
      </c>
      <c r="G72" s="18">
        <f t="shared" si="118"/>
        <v>370351</v>
      </c>
      <c r="H72" s="18">
        <v>26937</v>
      </c>
      <c r="I72" s="18">
        <v>0</v>
      </c>
      <c r="J72" s="18">
        <f t="shared" si="119"/>
        <v>26937</v>
      </c>
      <c r="K72" s="18">
        <v>0</v>
      </c>
      <c r="L72" s="18">
        <v>0</v>
      </c>
      <c r="M72" s="18">
        <f t="shared" si="120"/>
        <v>0</v>
      </c>
      <c r="N72" s="18">
        <f t="shared" si="121"/>
        <v>1387570</v>
      </c>
      <c r="O72" s="18">
        <v>0</v>
      </c>
      <c r="P72" s="18">
        <f t="shared" si="122"/>
        <v>1387570</v>
      </c>
      <c r="Q72" s="18">
        <v>39</v>
      </c>
      <c r="R72" s="18">
        <v>0</v>
      </c>
      <c r="S72" s="18">
        <f t="shared" si="123"/>
        <v>39</v>
      </c>
      <c r="T72" s="18">
        <v>0</v>
      </c>
      <c r="U72" s="18">
        <v>0</v>
      </c>
      <c r="V72" s="18">
        <f t="shared" si="98"/>
        <v>0</v>
      </c>
      <c r="W72" s="18">
        <f t="shared" si="115"/>
        <v>3818158</v>
      </c>
      <c r="X72" s="18">
        <f t="shared" si="124"/>
        <v>19853081</v>
      </c>
      <c r="Y72" s="235">
        <f t="shared" si="125"/>
        <v>23671239</v>
      </c>
      <c r="Z72" s="18">
        <v>0</v>
      </c>
      <c r="AA72" s="18">
        <v>370351</v>
      </c>
      <c r="AB72" s="18">
        <f t="shared" si="126"/>
        <v>370351</v>
      </c>
      <c r="AC72" s="352">
        <v>0</v>
      </c>
      <c r="AD72" s="18">
        <v>1387570</v>
      </c>
      <c r="AE72" s="18">
        <f t="shared" si="127"/>
        <v>1387570</v>
      </c>
      <c r="AF72" s="352">
        <f t="shared" si="106"/>
        <v>18665494</v>
      </c>
      <c r="AG72" s="353">
        <f t="shared" si="106"/>
        <v>45933072</v>
      </c>
      <c r="AH72" s="353">
        <f t="shared" si="99"/>
        <v>64598566</v>
      </c>
      <c r="AI72" s="353">
        <f t="shared" si="107"/>
        <v>3788647</v>
      </c>
      <c r="AJ72" s="353">
        <f t="shared" si="108"/>
        <v>0</v>
      </c>
      <c r="AK72" s="353">
        <f t="shared" si="100"/>
        <v>3788647</v>
      </c>
      <c r="AL72" s="353">
        <f t="shared" si="109"/>
        <v>315440</v>
      </c>
      <c r="AM72" s="353">
        <f t="shared" si="109"/>
        <v>0</v>
      </c>
      <c r="AN72" s="353">
        <f t="shared" si="101"/>
        <v>315440</v>
      </c>
      <c r="AO72" s="353">
        <f t="shared" si="110"/>
        <v>0</v>
      </c>
      <c r="AP72" s="353">
        <f t="shared" si="110"/>
        <v>0</v>
      </c>
      <c r="AQ72" s="353">
        <f t="shared" si="102"/>
        <v>0</v>
      </c>
      <c r="AR72" s="353">
        <f t="shared" si="111"/>
        <v>12371189</v>
      </c>
      <c r="AS72" s="353">
        <f t="shared" si="111"/>
        <v>0</v>
      </c>
      <c r="AT72" s="353">
        <f t="shared" si="103"/>
        <v>12371189</v>
      </c>
      <c r="AU72" s="353">
        <f t="shared" si="112"/>
        <v>5022</v>
      </c>
      <c r="AV72" s="353">
        <f t="shared" si="112"/>
        <v>0</v>
      </c>
      <c r="AW72" s="353">
        <f t="shared" si="104"/>
        <v>5022</v>
      </c>
      <c r="AX72" s="353">
        <f t="shared" si="113"/>
        <v>0</v>
      </c>
      <c r="AY72" s="353">
        <f t="shared" si="113"/>
        <v>0</v>
      </c>
      <c r="AZ72" s="353">
        <f t="shared" si="114"/>
        <v>0</v>
      </c>
      <c r="BA72" s="354">
        <f t="shared" si="105"/>
        <v>81078864</v>
      </c>
    </row>
    <row r="73" spans="1:53" ht="14.25" hidden="1" thickBot="1">
      <c r="A73" s="138">
        <v>42278</v>
      </c>
      <c r="B73" s="18">
        <v>2183363</v>
      </c>
      <c r="C73" s="18">
        <v>7506431</v>
      </c>
      <c r="D73" s="18">
        <f t="shared" si="116"/>
        <v>9689794</v>
      </c>
      <c r="E73" s="18">
        <f t="shared" si="117"/>
        <v>376668</v>
      </c>
      <c r="F73" s="18">
        <v>0</v>
      </c>
      <c r="G73" s="18">
        <f t="shared" si="118"/>
        <v>376668</v>
      </c>
      <c r="H73" s="18">
        <v>45945</v>
      </c>
      <c r="I73" s="18">
        <v>0</v>
      </c>
      <c r="J73" s="18">
        <f t="shared" si="119"/>
        <v>45945</v>
      </c>
      <c r="K73" s="18">
        <v>0</v>
      </c>
      <c r="L73" s="18">
        <v>0</v>
      </c>
      <c r="M73" s="18">
        <f t="shared" si="120"/>
        <v>0</v>
      </c>
      <c r="N73" s="18">
        <f t="shared" si="121"/>
        <v>1285035</v>
      </c>
      <c r="O73" s="18">
        <v>0</v>
      </c>
      <c r="P73" s="18">
        <f t="shared" si="122"/>
        <v>1285035</v>
      </c>
      <c r="Q73" s="18">
        <v>0</v>
      </c>
      <c r="R73" s="18">
        <v>0</v>
      </c>
      <c r="S73" s="18">
        <f t="shared" si="123"/>
        <v>0</v>
      </c>
      <c r="T73" s="18">
        <v>0</v>
      </c>
      <c r="U73" s="18">
        <v>0</v>
      </c>
      <c r="V73" s="18">
        <f t="shared" si="98"/>
        <v>0</v>
      </c>
      <c r="W73" s="18">
        <f t="shared" si="115"/>
        <v>3891011</v>
      </c>
      <c r="X73" s="18">
        <f t="shared" si="124"/>
        <v>7506431</v>
      </c>
      <c r="Y73" s="235">
        <f t="shared" si="125"/>
        <v>11397442</v>
      </c>
      <c r="Z73" s="18">
        <v>0</v>
      </c>
      <c r="AA73" s="18">
        <v>376668</v>
      </c>
      <c r="AB73" s="18">
        <f t="shared" si="126"/>
        <v>376668</v>
      </c>
      <c r="AC73" s="352">
        <v>0</v>
      </c>
      <c r="AD73" s="18">
        <v>1285035</v>
      </c>
      <c r="AE73" s="18">
        <f t="shared" si="127"/>
        <v>1285035</v>
      </c>
      <c r="AF73" s="352">
        <f t="shared" si="106"/>
        <v>20848857</v>
      </c>
      <c r="AG73" s="353">
        <f t="shared" si="106"/>
        <v>53439503</v>
      </c>
      <c r="AH73" s="353">
        <f t="shared" si="99"/>
        <v>74288360</v>
      </c>
      <c r="AI73" s="353">
        <f t="shared" si="107"/>
        <v>4158998</v>
      </c>
      <c r="AJ73" s="353">
        <f t="shared" si="108"/>
        <v>0</v>
      </c>
      <c r="AK73" s="353">
        <f t="shared" si="100"/>
        <v>4158998</v>
      </c>
      <c r="AL73" s="353">
        <f t="shared" si="109"/>
        <v>361385</v>
      </c>
      <c r="AM73" s="353">
        <f t="shared" si="109"/>
        <v>0</v>
      </c>
      <c r="AN73" s="353">
        <f t="shared" si="101"/>
        <v>361385</v>
      </c>
      <c r="AO73" s="353">
        <f t="shared" si="110"/>
        <v>0</v>
      </c>
      <c r="AP73" s="353">
        <f t="shared" si="110"/>
        <v>0</v>
      </c>
      <c r="AQ73" s="353">
        <f t="shared" si="102"/>
        <v>0</v>
      </c>
      <c r="AR73" s="353">
        <f t="shared" si="111"/>
        <v>13656224</v>
      </c>
      <c r="AS73" s="353">
        <f t="shared" si="111"/>
        <v>0</v>
      </c>
      <c r="AT73" s="353">
        <f t="shared" si="103"/>
        <v>13656224</v>
      </c>
      <c r="AU73" s="353">
        <f t="shared" si="112"/>
        <v>5022</v>
      </c>
      <c r="AV73" s="353">
        <f t="shared" si="112"/>
        <v>0</v>
      </c>
      <c r="AW73" s="353">
        <f t="shared" si="104"/>
        <v>5022</v>
      </c>
      <c r="AX73" s="353">
        <f t="shared" si="113"/>
        <v>0</v>
      </c>
      <c r="AY73" s="353">
        <f t="shared" si="113"/>
        <v>0</v>
      </c>
      <c r="AZ73" s="353">
        <f t="shared" si="114"/>
        <v>0</v>
      </c>
      <c r="BA73" s="354">
        <f t="shared" si="105"/>
        <v>92469989</v>
      </c>
    </row>
    <row r="74" spans="1:53" ht="14.25" hidden="1" thickBot="1">
      <c r="A74" s="138">
        <v>42309</v>
      </c>
      <c r="B74" s="18">
        <v>1856141</v>
      </c>
      <c r="C74" s="18">
        <v>23293886</v>
      </c>
      <c r="D74" s="18">
        <f t="shared" si="116"/>
        <v>25150027</v>
      </c>
      <c r="E74" s="18">
        <f t="shared" si="117"/>
        <v>311314</v>
      </c>
      <c r="F74" s="18">
        <v>0</v>
      </c>
      <c r="G74" s="18">
        <f t="shared" si="118"/>
        <v>311314</v>
      </c>
      <c r="H74" s="18">
        <v>66206</v>
      </c>
      <c r="I74" s="18">
        <v>0</v>
      </c>
      <c r="J74" s="18">
        <f t="shared" si="119"/>
        <v>66206</v>
      </c>
      <c r="K74" s="18">
        <v>0</v>
      </c>
      <c r="L74" s="18">
        <v>0</v>
      </c>
      <c r="M74" s="18">
        <f t="shared" si="120"/>
        <v>0</v>
      </c>
      <c r="N74" s="18">
        <f t="shared" si="121"/>
        <v>1177840</v>
      </c>
      <c r="O74" s="18">
        <v>0</v>
      </c>
      <c r="P74" s="18">
        <f t="shared" si="122"/>
        <v>1177840</v>
      </c>
      <c r="Q74" s="18">
        <v>0</v>
      </c>
      <c r="R74" s="18">
        <v>0</v>
      </c>
      <c r="S74" s="18">
        <f t="shared" si="123"/>
        <v>0</v>
      </c>
      <c r="T74" s="18">
        <v>0</v>
      </c>
      <c r="U74" s="18">
        <v>0</v>
      </c>
      <c r="V74" s="18">
        <f t="shared" si="98"/>
        <v>0</v>
      </c>
      <c r="W74" s="18">
        <f t="shared" si="115"/>
        <v>3411501</v>
      </c>
      <c r="X74" s="18">
        <f t="shared" si="124"/>
        <v>23293886</v>
      </c>
      <c r="Y74" s="235">
        <f t="shared" si="125"/>
        <v>26705387</v>
      </c>
      <c r="Z74" s="18">
        <v>0</v>
      </c>
      <c r="AA74" s="18">
        <v>311314</v>
      </c>
      <c r="AB74" s="18">
        <f t="shared" si="126"/>
        <v>311314</v>
      </c>
      <c r="AC74" s="352">
        <v>0</v>
      </c>
      <c r="AD74" s="18">
        <v>1177840</v>
      </c>
      <c r="AE74" s="18">
        <f t="shared" si="127"/>
        <v>1177840</v>
      </c>
      <c r="AF74" s="352">
        <f t="shared" si="106"/>
        <v>22704998</v>
      </c>
      <c r="AG74" s="353">
        <f t="shared" si="106"/>
        <v>76733389</v>
      </c>
      <c r="AH74" s="353">
        <f t="shared" si="99"/>
        <v>99438387</v>
      </c>
      <c r="AI74" s="353">
        <f t="shared" si="107"/>
        <v>4535666</v>
      </c>
      <c r="AJ74" s="353">
        <f t="shared" si="108"/>
        <v>0</v>
      </c>
      <c r="AK74" s="353">
        <f t="shared" si="100"/>
        <v>4535666</v>
      </c>
      <c r="AL74" s="353">
        <f t="shared" si="109"/>
        <v>427591</v>
      </c>
      <c r="AM74" s="353">
        <f t="shared" si="109"/>
        <v>0</v>
      </c>
      <c r="AN74" s="353">
        <f t="shared" si="101"/>
        <v>427591</v>
      </c>
      <c r="AO74" s="353">
        <f t="shared" si="110"/>
        <v>0</v>
      </c>
      <c r="AP74" s="353">
        <f t="shared" si="110"/>
        <v>0</v>
      </c>
      <c r="AQ74" s="353">
        <f t="shared" si="102"/>
        <v>0</v>
      </c>
      <c r="AR74" s="353">
        <f t="shared" si="111"/>
        <v>14834064</v>
      </c>
      <c r="AS74" s="353">
        <f t="shared" si="111"/>
        <v>0</v>
      </c>
      <c r="AT74" s="353">
        <f t="shared" si="103"/>
        <v>14834064</v>
      </c>
      <c r="AU74" s="353">
        <f t="shared" si="112"/>
        <v>5022</v>
      </c>
      <c r="AV74" s="353">
        <f t="shared" si="112"/>
        <v>0</v>
      </c>
      <c r="AW74" s="353">
        <f t="shared" si="104"/>
        <v>5022</v>
      </c>
      <c r="AX74" s="353">
        <f t="shared" si="113"/>
        <v>0</v>
      </c>
      <c r="AY74" s="353">
        <f t="shared" si="113"/>
        <v>0</v>
      </c>
      <c r="AZ74" s="353">
        <f t="shared" si="114"/>
        <v>0</v>
      </c>
      <c r="BA74" s="354">
        <f t="shared" si="105"/>
        <v>119240730</v>
      </c>
    </row>
    <row r="75" spans="1:53" ht="13.5" hidden="1" customHeight="1" thickBot="1">
      <c r="A75" s="138">
        <v>42339</v>
      </c>
      <c r="B75" s="18">
        <v>2125836</v>
      </c>
      <c r="C75" s="18">
        <v>12221061</v>
      </c>
      <c r="D75" s="18">
        <f t="shared" si="116"/>
        <v>14346897</v>
      </c>
      <c r="E75" s="18">
        <f t="shared" si="117"/>
        <v>298845</v>
      </c>
      <c r="F75" s="18">
        <v>0</v>
      </c>
      <c r="G75" s="18">
        <f t="shared" si="118"/>
        <v>298845</v>
      </c>
      <c r="H75" s="18">
        <v>101876</v>
      </c>
      <c r="I75" s="18">
        <v>0</v>
      </c>
      <c r="J75" s="18">
        <f t="shared" si="119"/>
        <v>101876</v>
      </c>
      <c r="K75" s="18">
        <v>0</v>
      </c>
      <c r="L75" s="18">
        <v>0</v>
      </c>
      <c r="M75" s="18">
        <f t="shared" si="120"/>
        <v>0</v>
      </c>
      <c r="N75" s="18">
        <f t="shared" si="121"/>
        <v>1158175</v>
      </c>
      <c r="O75" s="18">
        <v>0</v>
      </c>
      <c r="P75" s="18">
        <f t="shared" si="122"/>
        <v>1158175</v>
      </c>
      <c r="Q75" s="18">
        <v>0</v>
      </c>
      <c r="R75" s="18">
        <v>0</v>
      </c>
      <c r="S75" s="18">
        <f t="shared" si="123"/>
        <v>0</v>
      </c>
      <c r="T75" s="18">
        <v>0</v>
      </c>
      <c r="U75" s="18">
        <v>0</v>
      </c>
      <c r="V75" s="18">
        <f t="shared" si="98"/>
        <v>0</v>
      </c>
      <c r="W75" s="18">
        <f t="shared" si="115"/>
        <v>3684732</v>
      </c>
      <c r="X75" s="18">
        <f t="shared" si="124"/>
        <v>12221061</v>
      </c>
      <c r="Y75" s="235">
        <f t="shared" si="125"/>
        <v>15905793</v>
      </c>
      <c r="Z75" s="18">
        <v>0</v>
      </c>
      <c r="AA75" s="18">
        <v>298845</v>
      </c>
      <c r="AB75" s="18">
        <f t="shared" si="126"/>
        <v>298845</v>
      </c>
      <c r="AC75" s="352">
        <v>0</v>
      </c>
      <c r="AD75" s="18">
        <v>1158175</v>
      </c>
      <c r="AE75" s="18">
        <f t="shared" si="127"/>
        <v>1158175</v>
      </c>
      <c r="AF75" s="352">
        <f t="shared" si="106"/>
        <v>24830834</v>
      </c>
      <c r="AG75" s="353">
        <f t="shared" si="106"/>
        <v>88954450</v>
      </c>
      <c r="AH75" s="353">
        <f t="shared" si="99"/>
        <v>113785284</v>
      </c>
      <c r="AI75" s="353">
        <f t="shared" si="107"/>
        <v>4846980</v>
      </c>
      <c r="AJ75" s="353">
        <f t="shared" si="108"/>
        <v>0</v>
      </c>
      <c r="AK75" s="353">
        <f t="shared" si="100"/>
        <v>4846980</v>
      </c>
      <c r="AL75" s="353">
        <f t="shared" si="109"/>
        <v>529467</v>
      </c>
      <c r="AM75" s="353">
        <f t="shared" si="109"/>
        <v>0</v>
      </c>
      <c r="AN75" s="353">
        <f t="shared" si="101"/>
        <v>529467</v>
      </c>
      <c r="AO75" s="353">
        <f t="shared" si="110"/>
        <v>0</v>
      </c>
      <c r="AP75" s="353">
        <f t="shared" si="110"/>
        <v>0</v>
      </c>
      <c r="AQ75" s="353">
        <f t="shared" si="102"/>
        <v>0</v>
      </c>
      <c r="AR75" s="353">
        <f t="shared" si="111"/>
        <v>15992239</v>
      </c>
      <c r="AS75" s="353">
        <f t="shared" si="111"/>
        <v>0</v>
      </c>
      <c r="AT75" s="353">
        <f t="shared" si="103"/>
        <v>15992239</v>
      </c>
      <c r="AU75" s="353">
        <f t="shared" si="112"/>
        <v>5022</v>
      </c>
      <c r="AV75" s="353">
        <f t="shared" si="112"/>
        <v>0</v>
      </c>
      <c r="AW75" s="353">
        <f t="shared" si="104"/>
        <v>5022</v>
      </c>
      <c r="AX75" s="353">
        <f t="shared" si="113"/>
        <v>0</v>
      </c>
      <c r="AY75" s="353">
        <f t="shared" si="113"/>
        <v>0</v>
      </c>
      <c r="AZ75" s="353">
        <f t="shared" si="114"/>
        <v>0</v>
      </c>
      <c r="BA75" s="354">
        <f t="shared" si="105"/>
        <v>135158992</v>
      </c>
    </row>
    <row r="76" spans="1:53">
      <c r="A76" s="141">
        <v>42370</v>
      </c>
      <c r="B76" s="143">
        <v>2221196</v>
      </c>
      <c r="C76" s="143">
        <v>0</v>
      </c>
      <c r="D76" s="143">
        <f t="shared" si="116"/>
        <v>2221196</v>
      </c>
      <c r="E76" s="143">
        <f t="shared" si="117"/>
        <v>235311</v>
      </c>
      <c r="F76" s="143">
        <v>0</v>
      </c>
      <c r="G76" s="143">
        <f t="shared" si="118"/>
        <v>235311</v>
      </c>
      <c r="H76" s="143">
        <v>125765</v>
      </c>
      <c r="I76" s="143">
        <v>0</v>
      </c>
      <c r="J76" s="143">
        <f t="shared" si="119"/>
        <v>125765</v>
      </c>
      <c r="K76" s="143">
        <v>0</v>
      </c>
      <c r="L76" s="143">
        <v>0</v>
      </c>
      <c r="M76" s="143">
        <f t="shared" si="120"/>
        <v>0</v>
      </c>
      <c r="N76" s="143">
        <f t="shared" si="121"/>
        <v>1134604</v>
      </c>
      <c r="O76" s="143">
        <v>0</v>
      </c>
      <c r="P76" s="143">
        <f t="shared" si="122"/>
        <v>1134604</v>
      </c>
      <c r="Q76" s="143">
        <v>0</v>
      </c>
      <c r="R76" s="143">
        <v>0</v>
      </c>
      <c r="S76" s="143">
        <f t="shared" si="123"/>
        <v>0</v>
      </c>
      <c r="T76" s="143">
        <v>0</v>
      </c>
      <c r="U76" s="143">
        <v>0</v>
      </c>
      <c r="V76" s="143">
        <f>U76+T76</f>
        <v>0</v>
      </c>
      <c r="W76" s="143">
        <f t="shared" si="115"/>
        <v>3716876</v>
      </c>
      <c r="X76" s="143">
        <f t="shared" si="124"/>
        <v>0</v>
      </c>
      <c r="Y76" s="237">
        <f t="shared" si="125"/>
        <v>3716876</v>
      </c>
      <c r="Z76" s="143">
        <v>0</v>
      </c>
      <c r="AA76" s="143">
        <v>235311</v>
      </c>
      <c r="AB76" s="143">
        <f>AA76+Z76</f>
        <v>235311</v>
      </c>
      <c r="AC76" s="349">
        <v>0</v>
      </c>
      <c r="AD76" s="143">
        <v>1134604</v>
      </c>
      <c r="AE76" s="143">
        <f t="shared" si="127"/>
        <v>1134604</v>
      </c>
      <c r="AF76" s="349">
        <f>B76</f>
        <v>2221196</v>
      </c>
      <c r="AG76" s="350">
        <f>C76</f>
        <v>0</v>
      </c>
      <c r="AH76" s="350">
        <f>AG76+AF76</f>
        <v>2221196</v>
      </c>
      <c r="AI76" s="350">
        <f>E76</f>
        <v>235311</v>
      </c>
      <c r="AJ76" s="350">
        <f>F76</f>
        <v>0</v>
      </c>
      <c r="AK76" s="350">
        <f>AJ76+AI76</f>
        <v>235311</v>
      </c>
      <c r="AL76" s="350">
        <f>H76</f>
        <v>125765</v>
      </c>
      <c r="AM76" s="350">
        <f>I76</f>
        <v>0</v>
      </c>
      <c r="AN76" s="350">
        <f>AM76+AL76</f>
        <v>125765</v>
      </c>
      <c r="AO76" s="350">
        <f>K76</f>
        <v>0</v>
      </c>
      <c r="AP76" s="350">
        <f>L76</f>
        <v>0</v>
      </c>
      <c r="AQ76" s="350">
        <f>AP76+AO76</f>
        <v>0</v>
      </c>
      <c r="AR76" s="350">
        <f>N76</f>
        <v>1134604</v>
      </c>
      <c r="AS76" s="350">
        <f>O76</f>
        <v>0</v>
      </c>
      <c r="AT76" s="350">
        <f>AS76+AR76</f>
        <v>1134604</v>
      </c>
      <c r="AU76" s="350">
        <f>Q76</f>
        <v>0</v>
      </c>
      <c r="AV76" s="350">
        <f>R76</f>
        <v>0</v>
      </c>
      <c r="AW76" s="350">
        <f>AV76+AU76</f>
        <v>0</v>
      </c>
      <c r="AX76" s="350">
        <f>T76</f>
        <v>0</v>
      </c>
      <c r="AY76" s="350">
        <f>U76</f>
        <v>0</v>
      </c>
      <c r="AZ76" s="350">
        <f>SUM(AX76:AY76)</f>
        <v>0</v>
      </c>
      <c r="BA76" s="351">
        <f>AW76+AT76+AQ76+AN76+AK76+AH76+AZ76</f>
        <v>3716876</v>
      </c>
    </row>
    <row r="77" spans="1:53">
      <c r="A77" s="138">
        <v>42401</v>
      </c>
      <c r="B77" s="18">
        <v>1973477</v>
      </c>
      <c r="C77" s="18">
        <v>0</v>
      </c>
      <c r="D77" s="18">
        <f t="shared" si="116"/>
        <v>1973477</v>
      </c>
      <c r="E77" s="18">
        <f t="shared" si="117"/>
        <v>302371</v>
      </c>
      <c r="F77" s="18">
        <v>0</v>
      </c>
      <c r="G77" s="18">
        <f t="shared" si="118"/>
        <v>302371</v>
      </c>
      <c r="H77" s="18">
        <v>138896</v>
      </c>
      <c r="I77" s="18">
        <v>0</v>
      </c>
      <c r="J77" s="18">
        <f t="shared" si="119"/>
        <v>138896</v>
      </c>
      <c r="K77" s="18">
        <v>0</v>
      </c>
      <c r="L77" s="18">
        <v>0</v>
      </c>
      <c r="M77" s="18">
        <f t="shared" si="120"/>
        <v>0</v>
      </c>
      <c r="N77" s="18">
        <f t="shared" si="121"/>
        <v>547026</v>
      </c>
      <c r="O77" s="18">
        <v>0</v>
      </c>
      <c r="P77" s="18">
        <f t="shared" si="122"/>
        <v>547026</v>
      </c>
      <c r="Q77" s="18">
        <v>0</v>
      </c>
      <c r="R77" s="18">
        <v>0</v>
      </c>
      <c r="S77" s="18">
        <f t="shared" si="123"/>
        <v>0</v>
      </c>
      <c r="T77" s="18">
        <v>0</v>
      </c>
      <c r="U77" s="18">
        <v>0</v>
      </c>
      <c r="V77" s="18">
        <f t="shared" ref="V77:V87" si="128">U77+T77</f>
        <v>0</v>
      </c>
      <c r="W77" s="18">
        <f t="shared" si="115"/>
        <v>2961770</v>
      </c>
      <c r="X77" s="18">
        <f t="shared" si="124"/>
        <v>0</v>
      </c>
      <c r="Y77" s="235">
        <f t="shared" si="125"/>
        <v>2961770</v>
      </c>
      <c r="Z77" s="18">
        <v>0</v>
      </c>
      <c r="AA77" s="18">
        <v>302371</v>
      </c>
      <c r="AB77" s="18">
        <f t="shared" ref="AB77:AB140" si="129">AA77+Z77</f>
        <v>302371</v>
      </c>
      <c r="AC77" s="352">
        <v>0</v>
      </c>
      <c r="AD77" s="18">
        <v>547026</v>
      </c>
      <c r="AE77" s="18">
        <f t="shared" si="127"/>
        <v>547026</v>
      </c>
      <c r="AF77" s="352">
        <f>B77+AF76</f>
        <v>4194673</v>
      </c>
      <c r="AG77" s="353">
        <f>C77+AG76</f>
        <v>0</v>
      </c>
      <c r="AH77" s="353">
        <f t="shared" ref="AH77:AH87" si="130">AG77+AF77</f>
        <v>4194673</v>
      </c>
      <c r="AI77" s="353">
        <f>AI76+E76</f>
        <v>470622</v>
      </c>
      <c r="AJ77" s="353">
        <f>AJ76+F77</f>
        <v>0</v>
      </c>
      <c r="AK77" s="353">
        <f t="shared" ref="AK77:AK87" si="131">AJ77+AI77</f>
        <v>470622</v>
      </c>
      <c r="AL77" s="353">
        <f>AL76+H77</f>
        <v>264661</v>
      </c>
      <c r="AM77" s="353">
        <f>AM76+I77</f>
        <v>0</v>
      </c>
      <c r="AN77" s="353">
        <f t="shared" ref="AN77:AN87" si="132">AM77+AL77</f>
        <v>264661</v>
      </c>
      <c r="AO77" s="353">
        <f>AO76+K77</f>
        <v>0</v>
      </c>
      <c r="AP77" s="353">
        <f>AP76+L77</f>
        <v>0</v>
      </c>
      <c r="AQ77" s="353">
        <f t="shared" ref="AQ77:AQ87" si="133">AP77+AO77</f>
        <v>0</v>
      </c>
      <c r="AR77" s="353">
        <f>AR76+N77</f>
        <v>1681630</v>
      </c>
      <c r="AS77" s="353">
        <f>AS76+O77</f>
        <v>0</v>
      </c>
      <c r="AT77" s="353">
        <f t="shared" ref="AT77:AT87" si="134">AS77+AR77</f>
        <v>1681630</v>
      </c>
      <c r="AU77" s="353">
        <f>AU76+Q77</f>
        <v>0</v>
      </c>
      <c r="AV77" s="353">
        <f>AV76+R77</f>
        <v>0</v>
      </c>
      <c r="AW77" s="353">
        <f t="shared" ref="AW77:AW87" si="135">AV77+AU77</f>
        <v>0</v>
      </c>
      <c r="AX77" s="353">
        <f>AX76+T77</f>
        <v>0</v>
      </c>
      <c r="AY77" s="353">
        <f>AY76+U77</f>
        <v>0</v>
      </c>
      <c r="AZ77" s="353">
        <f>SUM(AX77:AY77)</f>
        <v>0</v>
      </c>
      <c r="BA77" s="354">
        <f t="shared" ref="BA77:BA87" si="136">AW77+AT77+AQ77+AN77+AK77+AH77+AZ77</f>
        <v>6611586</v>
      </c>
    </row>
    <row r="78" spans="1:53">
      <c r="A78" s="138">
        <v>42430</v>
      </c>
      <c r="B78" s="18">
        <v>2110279</v>
      </c>
      <c r="C78" s="18">
        <v>0</v>
      </c>
      <c r="D78" s="18">
        <f t="shared" si="116"/>
        <v>2110279</v>
      </c>
      <c r="E78" s="18">
        <f t="shared" si="117"/>
        <v>453723</v>
      </c>
      <c r="F78" s="18">
        <v>0</v>
      </c>
      <c r="G78" s="18">
        <f t="shared" si="118"/>
        <v>453723</v>
      </c>
      <c r="H78" s="18">
        <v>90201</v>
      </c>
      <c r="I78" s="18">
        <v>0</v>
      </c>
      <c r="J78" s="18">
        <f t="shared" si="119"/>
        <v>90201</v>
      </c>
      <c r="K78" s="18">
        <v>0</v>
      </c>
      <c r="L78" s="18">
        <v>0</v>
      </c>
      <c r="M78" s="18">
        <f t="shared" si="120"/>
        <v>0</v>
      </c>
      <c r="N78" s="18">
        <f t="shared" si="121"/>
        <v>1086408</v>
      </c>
      <c r="O78" s="18">
        <v>0</v>
      </c>
      <c r="P78" s="18">
        <f t="shared" si="122"/>
        <v>1086408</v>
      </c>
      <c r="Q78" s="18">
        <v>0</v>
      </c>
      <c r="R78" s="18">
        <v>0</v>
      </c>
      <c r="S78" s="18">
        <f t="shared" si="123"/>
        <v>0</v>
      </c>
      <c r="T78" s="18">
        <v>0</v>
      </c>
      <c r="U78" s="18">
        <v>0</v>
      </c>
      <c r="V78" s="18">
        <f t="shared" si="128"/>
        <v>0</v>
      </c>
      <c r="W78" s="18">
        <f t="shared" si="115"/>
        <v>3740611</v>
      </c>
      <c r="X78" s="18">
        <f t="shared" si="124"/>
        <v>0</v>
      </c>
      <c r="Y78" s="235">
        <f t="shared" si="125"/>
        <v>3740611</v>
      </c>
      <c r="Z78" s="18">
        <v>0</v>
      </c>
      <c r="AA78" s="18">
        <v>453723</v>
      </c>
      <c r="AB78" s="18">
        <f t="shared" si="129"/>
        <v>453723</v>
      </c>
      <c r="AC78" s="352">
        <v>0</v>
      </c>
      <c r="AD78" s="18">
        <v>1086408</v>
      </c>
      <c r="AE78" s="18">
        <f t="shared" si="127"/>
        <v>1086408</v>
      </c>
      <c r="AF78" s="352">
        <f t="shared" ref="AF78:AG87" si="137">B78+AF77</f>
        <v>6304952</v>
      </c>
      <c r="AG78" s="353">
        <f t="shared" si="137"/>
        <v>0</v>
      </c>
      <c r="AH78" s="353">
        <f t="shared" si="130"/>
        <v>6304952</v>
      </c>
      <c r="AI78" s="353">
        <f t="shared" ref="AI78:AI87" si="138">AI77+E77</f>
        <v>772993</v>
      </c>
      <c r="AJ78" s="353">
        <f t="shared" ref="AJ78:AJ87" si="139">AJ77+F78</f>
        <v>0</v>
      </c>
      <c r="AK78" s="353">
        <f t="shared" si="131"/>
        <v>772993</v>
      </c>
      <c r="AL78" s="353">
        <f t="shared" ref="AL78:AM87" si="140">AL77+H78</f>
        <v>354862</v>
      </c>
      <c r="AM78" s="353">
        <f t="shared" si="140"/>
        <v>0</v>
      </c>
      <c r="AN78" s="353">
        <f t="shared" si="132"/>
        <v>354862</v>
      </c>
      <c r="AO78" s="353">
        <f t="shared" ref="AO78:AP87" si="141">AO77+K78</f>
        <v>0</v>
      </c>
      <c r="AP78" s="353">
        <f t="shared" si="141"/>
        <v>0</v>
      </c>
      <c r="AQ78" s="353">
        <f t="shared" si="133"/>
        <v>0</v>
      </c>
      <c r="AR78" s="353">
        <f t="shared" ref="AR78:AS87" si="142">AR77+N78</f>
        <v>2768038</v>
      </c>
      <c r="AS78" s="353">
        <f t="shared" si="142"/>
        <v>0</v>
      </c>
      <c r="AT78" s="353">
        <f t="shared" si="134"/>
        <v>2768038</v>
      </c>
      <c r="AU78" s="353">
        <f t="shared" ref="AU78:AV87" si="143">AU77+Q78</f>
        <v>0</v>
      </c>
      <c r="AV78" s="353">
        <f t="shared" si="143"/>
        <v>0</v>
      </c>
      <c r="AW78" s="353">
        <f t="shared" si="135"/>
        <v>0</v>
      </c>
      <c r="AX78" s="353">
        <f t="shared" ref="AX78:AY87" si="144">AX77+T78</f>
        <v>0</v>
      </c>
      <c r="AY78" s="353">
        <f t="shared" si="144"/>
        <v>0</v>
      </c>
      <c r="AZ78" s="353">
        <f t="shared" ref="AZ78:AZ87" si="145">SUM(AX78:AY78)</f>
        <v>0</v>
      </c>
      <c r="BA78" s="354">
        <f t="shared" si="136"/>
        <v>10200845</v>
      </c>
    </row>
    <row r="79" spans="1:53">
      <c r="A79" s="138">
        <v>42461</v>
      </c>
      <c r="B79" s="18">
        <v>2240412</v>
      </c>
      <c r="C79" s="18">
        <v>0</v>
      </c>
      <c r="D79" s="18">
        <f t="shared" si="116"/>
        <v>2240412</v>
      </c>
      <c r="E79" s="18">
        <f t="shared" si="117"/>
        <v>390974</v>
      </c>
      <c r="F79" s="18">
        <v>0</v>
      </c>
      <c r="G79" s="18">
        <f t="shared" si="118"/>
        <v>390974</v>
      </c>
      <c r="H79" s="18">
        <v>58963</v>
      </c>
      <c r="I79" s="18">
        <v>0</v>
      </c>
      <c r="J79" s="18">
        <f t="shared" si="119"/>
        <v>58963</v>
      </c>
      <c r="K79" s="18">
        <v>0</v>
      </c>
      <c r="L79" s="18">
        <v>0</v>
      </c>
      <c r="M79" s="18">
        <f t="shared" si="120"/>
        <v>0</v>
      </c>
      <c r="N79" s="18">
        <f t="shared" si="121"/>
        <v>1106818</v>
      </c>
      <c r="O79" s="18">
        <v>0</v>
      </c>
      <c r="P79" s="18">
        <f t="shared" si="122"/>
        <v>1106818</v>
      </c>
      <c r="Q79" s="18">
        <v>0</v>
      </c>
      <c r="R79" s="18">
        <v>0</v>
      </c>
      <c r="S79" s="18">
        <f t="shared" si="123"/>
        <v>0</v>
      </c>
      <c r="T79" s="18">
        <v>0</v>
      </c>
      <c r="U79" s="18">
        <v>0</v>
      </c>
      <c r="V79" s="18">
        <f t="shared" si="128"/>
        <v>0</v>
      </c>
      <c r="W79" s="18">
        <f t="shared" si="115"/>
        <v>3797167</v>
      </c>
      <c r="X79" s="18">
        <f t="shared" si="124"/>
        <v>0</v>
      </c>
      <c r="Y79" s="235">
        <f t="shared" si="125"/>
        <v>3797167</v>
      </c>
      <c r="Z79" s="18">
        <v>0</v>
      </c>
      <c r="AA79" s="18">
        <v>390974</v>
      </c>
      <c r="AB79" s="18">
        <f t="shared" si="129"/>
        <v>390974</v>
      </c>
      <c r="AC79" s="352">
        <v>0</v>
      </c>
      <c r="AD79" s="18">
        <v>1106818</v>
      </c>
      <c r="AE79" s="18">
        <f t="shared" si="127"/>
        <v>1106818</v>
      </c>
      <c r="AF79" s="352">
        <f t="shared" si="137"/>
        <v>8545364</v>
      </c>
      <c r="AG79" s="353">
        <f t="shared" si="137"/>
        <v>0</v>
      </c>
      <c r="AH79" s="353">
        <f t="shared" si="130"/>
        <v>8545364</v>
      </c>
      <c r="AI79" s="353">
        <f t="shared" si="138"/>
        <v>1226716</v>
      </c>
      <c r="AJ79" s="353">
        <f t="shared" si="139"/>
        <v>0</v>
      </c>
      <c r="AK79" s="353">
        <f t="shared" si="131"/>
        <v>1226716</v>
      </c>
      <c r="AL79" s="353">
        <f t="shared" si="140"/>
        <v>413825</v>
      </c>
      <c r="AM79" s="353">
        <f t="shared" si="140"/>
        <v>0</v>
      </c>
      <c r="AN79" s="353">
        <f t="shared" si="132"/>
        <v>413825</v>
      </c>
      <c r="AO79" s="353">
        <f t="shared" si="141"/>
        <v>0</v>
      </c>
      <c r="AP79" s="353">
        <f t="shared" si="141"/>
        <v>0</v>
      </c>
      <c r="AQ79" s="353">
        <f t="shared" si="133"/>
        <v>0</v>
      </c>
      <c r="AR79" s="353">
        <f t="shared" si="142"/>
        <v>3874856</v>
      </c>
      <c r="AS79" s="353">
        <f t="shared" si="142"/>
        <v>0</v>
      </c>
      <c r="AT79" s="353">
        <f t="shared" si="134"/>
        <v>3874856</v>
      </c>
      <c r="AU79" s="353">
        <f t="shared" si="143"/>
        <v>0</v>
      </c>
      <c r="AV79" s="353">
        <f t="shared" si="143"/>
        <v>0</v>
      </c>
      <c r="AW79" s="353">
        <f t="shared" si="135"/>
        <v>0</v>
      </c>
      <c r="AX79" s="353">
        <f t="shared" si="144"/>
        <v>0</v>
      </c>
      <c r="AY79" s="353">
        <f t="shared" si="144"/>
        <v>0</v>
      </c>
      <c r="AZ79" s="353">
        <f t="shared" si="145"/>
        <v>0</v>
      </c>
      <c r="BA79" s="354">
        <f t="shared" si="136"/>
        <v>14060761</v>
      </c>
    </row>
    <row r="80" spans="1:53">
      <c r="A80" s="138">
        <v>42491</v>
      </c>
      <c r="B80" s="18">
        <v>2514342</v>
      </c>
      <c r="C80" s="18">
        <v>1873940</v>
      </c>
      <c r="D80" s="18">
        <f t="shared" si="116"/>
        <v>4388282</v>
      </c>
      <c r="E80" s="18">
        <f t="shared" si="117"/>
        <v>309105</v>
      </c>
      <c r="F80" s="18">
        <v>0</v>
      </c>
      <c r="G80" s="18">
        <f t="shared" si="118"/>
        <v>309105</v>
      </c>
      <c r="H80" s="18">
        <v>47696</v>
      </c>
      <c r="I80" s="18">
        <v>0</v>
      </c>
      <c r="J80" s="18">
        <f t="shared" si="119"/>
        <v>47696</v>
      </c>
      <c r="K80" s="18">
        <v>0</v>
      </c>
      <c r="L80" s="18">
        <v>0</v>
      </c>
      <c r="M80" s="18">
        <f t="shared" si="120"/>
        <v>0</v>
      </c>
      <c r="N80" s="18">
        <f t="shared" si="121"/>
        <v>1571814</v>
      </c>
      <c r="O80" s="18">
        <v>0</v>
      </c>
      <c r="P80" s="18">
        <f t="shared" si="122"/>
        <v>1571814</v>
      </c>
      <c r="Q80" s="18">
        <v>0</v>
      </c>
      <c r="R80" s="18">
        <v>0</v>
      </c>
      <c r="S80" s="18">
        <f t="shared" si="123"/>
        <v>0</v>
      </c>
      <c r="T80" s="18">
        <v>0</v>
      </c>
      <c r="U80" s="18">
        <v>0</v>
      </c>
      <c r="V80" s="18">
        <f t="shared" si="128"/>
        <v>0</v>
      </c>
      <c r="W80" s="18">
        <f t="shared" si="115"/>
        <v>4442957</v>
      </c>
      <c r="X80" s="18">
        <f t="shared" si="124"/>
        <v>1873940</v>
      </c>
      <c r="Y80" s="235">
        <f t="shared" si="125"/>
        <v>6316897</v>
      </c>
      <c r="Z80" s="18">
        <v>0</v>
      </c>
      <c r="AA80" s="18">
        <v>309105</v>
      </c>
      <c r="AB80" s="18">
        <f t="shared" si="129"/>
        <v>309105</v>
      </c>
      <c r="AC80" s="352">
        <v>0</v>
      </c>
      <c r="AD80" s="18">
        <v>1571814</v>
      </c>
      <c r="AE80" s="18">
        <f t="shared" si="127"/>
        <v>1571814</v>
      </c>
      <c r="AF80" s="352">
        <f t="shared" si="137"/>
        <v>11059706</v>
      </c>
      <c r="AG80" s="353">
        <f t="shared" si="137"/>
        <v>1873940</v>
      </c>
      <c r="AH80" s="353">
        <f t="shared" si="130"/>
        <v>12933646</v>
      </c>
      <c r="AI80" s="353">
        <f t="shared" si="138"/>
        <v>1617690</v>
      </c>
      <c r="AJ80" s="353">
        <f t="shared" si="139"/>
        <v>0</v>
      </c>
      <c r="AK80" s="353">
        <f t="shared" si="131"/>
        <v>1617690</v>
      </c>
      <c r="AL80" s="353">
        <f t="shared" si="140"/>
        <v>461521</v>
      </c>
      <c r="AM80" s="353">
        <f t="shared" si="140"/>
        <v>0</v>
      </c>
      <c r="AN80" s="353">
        <f t="shared" si="132"/>
        <v>461521</v>
      </c>
      <c r="AO80" s="353">
        <f t="shared" si="141"/>
        <v>0</v>
      </c>
      <c r="AP80" s="353">
        <f t="shared" si="141"/>
        <v>0</v>
      </c>
      <c r="AQ80" s="353">
        <f t="shared" si="133"/>
        <v>0</v>
      </c>
      <c r="AR80" s="353">
        <f t="shared" si="142"/>
        <v>5446670</v>
      </c>
      <c r="AS80" s="353">
        <f t="shared" si="142"/>
        <v>0</v>
      </c>
      <c r="AT80" s="353">
        <f t="shared" si="134"/>
        <v>5446670</v>
      </c>
      <c r="AU80" s="353">
        <f t="shared" si="143"/>
        <v>0</v>
      </c>
      <c r="AV80" s="353">
        <f t="shared" si="143"/>
        <v>0</v>
      </c>
      <c r="AW80" s="353">
        <f t="shared" si="135"/>
        <v>0</v>
      </c>
      <c r="AX80" s="353">
        <f t="shared" si="144"/>
        <v>0</v>
      </c>
      <c r="AY80" s="353">
        <f t="shared" si="144"/>
        <v>0</v>
      </c>
      <c r="AZ80" s="353">
        <f t="shared" si="145"/>
        <v>0</v>
      </c>
      <c r="BA80" s="354">
        <f t="shared" si="136"/>
        <v>20459527</v>
      </c>
    </row>
    <row r="81" spans="1:53">
      <c r="A81" s="138">
        <v>42522</v>
      </c>
      <c r="B81" s="18">
        <v>2406606</v>
      </c>
      <c r="C81" s="18">
        <v>10778727</v>
      </c>
      <c r="D81" s="18">
        <f t="shared" si="116"/>
        <v>13185333</v>
      </c>
      <c r="E81" s="18">
        <f t="shared" si="117"/>
        <v>526111</v>
      </c>
      <c r="F81" s="18">
        <v>0</v>
      </c>
      <c r="G81" s="18">
        <f t="shared" si="118"/>
        <v>526111</v>
      </c>
      <c r="H81" s="18">
        <v>44179</v>
      </c>
      <c r="I81" s="18">
        <v>0</v>
      </c>
      <c r="J81" s="18">
        <f t="shared" si="119"/>
        <v>44179</v>
      </c>
      <c r="K81" s="18">
        <v>0</v>
      </c>
      <c r="L81" s="18">
        <v>0</v>
      </c>
      <c r="M81" s="18">
        <f t="shared" si="120"/>
        <v>0</v>
      </c>
      <c r="N81" s="18">
        <f t="shared" si="121"/>
        <v>1548252</v>
      </c>
      <c r="O81" s="18">
        <v>0</v>
      </c>
      <c r="P81" s="18">
        <f t="shared" si="122"/>
        <v>1548252</v>
      </c>
      <c r="Q81" s="18">
        <v>0</v>
      </c>
      <c r="R81" s="18">
        <v>0</v>
      </c>
      <c r="S81" s="18">
        <f t="shared" si="123"/>
        <v>0</v>
      </c>
      <c r="T81" s="18">
        <v>0</v>
      </c>
      <c r="U81" s="18">
        <v>0</v>
      </c>
      <c r="V81" s="18">
        <f t="shared" si="128"/>
        <v>0</v>
      </c>
      <c r="W81" s="18">
        <f t="shared" si="115"/>
        <v>4525148</v>
      </c>
      <c r="X81" s="18">
        <f t="shared" si="124"/>
        <v>10778727</v>
      </c>
      <c r="Y81" s="235">
        <f t="shared" si="125"/>
        <v>15303875</v>
      </c>
      <c r="Z81" s="18">
        <v>0</v>
      </c>
      <c r="AA81" s="18">
        <v>526111</v>
      </c>
      <c r="AB81" s="18">
        <f t="shared" si="129"/>
        <v>526111</v>
      </c>
      <c r="AC81" s="352">
        <v>0</v>
      </c>
      <c r="AD81" s="18">
        <v>1548252</v>
      </c>
      <c r="AE81" s="18">
        <f t="shared" si="127"/>
        <v>1548252</v>
      </c>
      <c r="AF81" s="352">
        <f t="shared" si="137"/>
        <v>13466312</v>
      </c>
      <c r="AG81" s="353">
        <f t="shared" si="137"/>
        <v>12652667</v>
      </c>
      <c r="AH81" s="353">
        <f t="shared" si="130"/>
        <v>26118979</v>
      </c>
      <c r="AI81" s="353">
        <f t="shared" si="138"/>
        <v>1926795</v>
      </c>
      <c r="AJ81" s="353">
        <f t="shared" si="139"/>
        <v>0</v>
      </c>
      <c r="AK81" s="353">
        <f t="shared" si="131"/>
        <v>1926795</v>
      </c>
      <c r="AL81" s="353">
        <f t="shared" si="140"/>
        <v>505700</v>
      </c>
      <c r="AM81" s="353">
        <f t="shared" si="140"/>
        <v>0</v>
      </c>
      <c r="AN81" s="353">
        <f t="shared" si="132"/>
        <v>505700</v>
      </c>
      <c r="AO81" s="353">
        <f t="shared" si="141"/>
        <v>0</v>
      </c>
      <c r="AP81" s="353">
        <f t="shared" si="141"/>
        <v>0</v>
      </c>
      <c r="AQ81" s="353">
        <f t="shared" si="133"/>
        <v>0</v>
      </c>
      <c r="AR81" s="353">
        <f t="shared" si="142"/>
        <v>6994922</v>
      </c>
      <c r="AS81" s="353">
        <f t="shared" si="142"/>
        <v>0</v>
      </c>
      <c r="AT81" s="353">
        <f t="shared" si="134"/>
        <v>6994922</v>
      </c>
      <c r="AU81" s="353">
        <f t="shared" si="143"/>
        <v>0</v>
      </c>
      <c r="AV81" s="353">
        <f t="shared" si="143"/>
        <v>0</v>
      </c>
      <c r="AW81" s="353">
        <f t="shared" si="135"/>
        <v>0</v>
      </c>
      <c r="AX81" s="353">
        <f t="shared" si="144"/>
        <v>0</v>
      </c>
      <c r="AY81" s="353">
        <f t="shared" si="144"/>
        <v>0</v>
      </c>
      <c r="AZ81" s="353">
        <f t="shared" si="145"/>
        <v>0</v>
      </c>
      <c r="BA81" s="354">
        <f t="shared" si="136"/>
        <v>35546396</v>
      </c>
    </row>
    <row r="82" spans="1:53">
      <c r="A82" s="138">
        <v>42552</v>
      </c>
      <c r="B82" s="18">
        <v>2327696</v>
      </c>
      <c r="C82" s="18">
        <v>10758306</v>
      </c>
      <c r="D82" s="18">
        <f t="shared" si="116"/>
        <v>13086002</v>
      </c>
      <c r="E82" s="18">
        <f t="shared" si="117"/>
        <v>425193</v>
      </c>
      <c r="F82" s="18">
        <v>0</v>
      </c>
      <c r="G82" s="18">
        <f t="shared" si="118"/>
        <v>425193</v>
      </c>
      <c r="H82" s="18">
        <v>42993</v>
      </c>
      <c r="I82" s="18">
        <v>0</v>
      </c>
      <c r="J82" s="18">
        <f t="shared" si="119"/>
        <v>42993</v>
      </c>
      <c r="K82" s="18">
        <v>0</v>
      </c>
      <c r="L82" s="18">
        <v>0</v>
      </c>
      <c r="M82" s="18">
        <f t="shared" si="120"/>
        <v>0</v>
      </c>
      <c r="N82" s="18">
        <f t="shared" si="121"/>
        <v>1414232</v>
      </c>
      <c r="O82" s="18">
        <v>0</v>
      </c>
      <c r="P82" s="18">
        <f t="shared" si="122"/>
        <v>1414232</v>
      </c>
      <c r="Q82" s="18">
        <v>0</v>
      </c>
      <c r="R82" s="18">
        <v>0</v>
      </c>
      <c r="S82" s="18">
        <f t="shared" si="123"/>
        <v>0</v>
      </c>
      <c r="T82" s="18">
        <v>0</v>
      </c>
      <c r="U82" s="18">
        <v>0</v>
      </c>
      <c r="V82" s="18">
        <f t="shared" si="128"/>
        <v>0</v>
      </c>
      <c r="W82" s="18">
        <f t="shared" si="115"/>
        <v>4210114</v>
      </c>
      <c r="X82" s="18">
        <f t="shared" si="124"/>
        <v>10758306</v>
      </c>
      <c r="Y82" s="235">
        <f t="shared" si="125"/>
        <v>14968420</v>
      </c>
      <c r="Z82" s="18">
        <v>0</v>
      </c>
      <c r="AA82" s="18">
        <v>425193</v>
      </c>
      <c r="AB82" s="18">
        <f t="shared" si="129"/>
        <v>425193</v>
      </c>
      <c r="AC82" s="352">
        <v>0</v>
      </c>
      <c r="AD82" s="18">
        <v>1414232</v>
      </c>
      <c r="AE82" s="18">
        <f t="shared" si="127"/>
        <v>1414232</v>
      </c>
      <c r="AF82" s="352">
        <f t="shared" si="137"/>
        <v>15794008</v>
      </c>
      <c r="AG82" s="353">
        <f t="shared" si="137"/>
        <v>23410973</v>
      </c>
      <c r="AH82" s="353">
        <f t="shared" si="130"/>
        <v>39204981</v>
      </c>
      <c r="AI82" s="353">
        <f t="shared" si="138"/>
        <v>2452906</v>
      </c>
      <c r="AJ82" s="353">
        <f t="shared" si="139"/>
        <v>0</v>
      </c>
      <c r="AK82" s="353">
        <f t="shared" si="131"/>
        <v>2452906</v>
      </c>
      <c r="AL82" s="353">
        <f t="shared" si="140"/>
        <v>548693</v>
      </c>
      <c r="AM82" s="353">
        <f t="shared" si="140"/>
        <v>0</v>
      </c>
      <c r="AN82" s="353">
        <f t="shared" si="132"/>
        <v>548693</v>
      </c>
      <c r="AO82" s="353">
        <f t="shared" si="141"/>
        <v>0</v>
      </c>
      <c r="AP82" s="353">
        <f t="shared" si="141"/>
        <v>0</v>
      </c>
      <c r="AQ82" s="353">
        <f t="shared" si="133"/>
        <v>0</v>
      </c>
      <c r="AR82" s="353">
        <f t="shared" si="142"/>
        <v>8409154</v>
      </c>
      <c r="AS82" s="353">
        <f t="shared" si="142"/>
        <v>0</v>
      </c>
      <c r="AT82" s="353">
        <f t="shared" si="134"/>
        <v>8409154</v>
      </c>
      <c r="AU82" s="353">
        <f t="shared" si="143"/>
        <v>0</v>
      </c>
      <c r="AV82" s="353">
        <f t="shared" si="143"/>
        <v>0</v>
      </c>
      <c r="AW82" s="353">
        <f t="shared" si="135"/>
        <v>0</v>
      </c>
      <c r="AX82" s="353">
        <f t="shared" si="144"/>
        <v>0</v>
      </c>
      <c r="AY82" s="353">
        <f t="shared" si="144"/>
        <v>0</v>
      </c>
      <c r="AZ82" s="353">
        <f t="shared" si="145"/>
        <v>0</v>
      </c>
      <c r="BA82" s="354">
        <f t="shared" si="136"/>
        <v>50615734</v>
      </c>
    </row>
    <row r="83" spans="1:53">
      <c r="A83" s="138">
        <v>42583</v>
      </c>
      <c r="B83" s="18">
        <v>2528155</v>
      </c>
      <c r="C83" s="18">
        <v>10993061</v>
      </c>
      <c r="D83" s="18">
        <f t="shared" si="116"/>
        <v>13521216</v>
      </c>
      <c r="E83" s="18">
        <f t="shared" si="117"/>
        <v>474815</v>
      </c>
      <c r="F83" s="18">
        <v>0</v>
      </c>
      <c r="G83" s="18">
        <f t="shared" si="118"/>
        <v>474815</v>
      </c>
      <c r="H83" s="18">
        <v>30611</v>
      </c>
      <c r="I83" s="18">
        <v>0</v>
      </c>
      <c r="J83" s="18">
        <f t="shared" si="119"/>
        <v>30611</v>
      </c>
      <c r="K83" s="18">
        <v>0</v>
      </c>
      <c r="L83" s="18">
        <v>0</v>
      </c>
      <c r="M83" s="18">
        <f t="shared" si="120"/>
        <v>0</v>
      </c>
      <c r="N83" s="18">
        <f t="shared" si="121"/>
        <v>1814951</v>
      </c>
      <c r="O83" s="18">
        <v>0</v>
      </c>
      <c r="P83" s="18">
        <f t="shared" si="122"/>
        <v>1814951</v>
      </c>
      <c r="Q83" s="18">
        <v>0</v>
      </c>
      <c r="R83" s="18">
        <v>0</v>
      </c>
      <c r="S83" s="18">
        <f t="shared" si="123"/>
        <v>0</v>
      </c>
      <c r="T83" s="18">
        <v>0</v>
      </c>
      <c r="U83" s="18">
        <v>0</v>
      </c>
      <c r="V83" s="18">
        <f t="shared" si="128"/>
        <v>0</v>
      </c>
      <c r="W83" s="18">
        <f t="shared" si="115"/>
        <v>4848532</v>
      </c>
      <c r="X83" s="18">
        <f t="shared" si="124"/>
        <v>10993061</v>
      </c>
      <c r="Y83" s="235">
        <f t="shared" si="125"/>
        <v>15841593</v>
      </c>
      <c r="Z83" s="18">
        <v>0</v>
      </c>
      <c r="AA83" s="18">
        <v>474815</v>
      </c>
      <c r="AB83" s="18">
        <f t="shared" si="129"/>
        <v>474815</v>
      </c>
      <c r="AC83" s="352">
        <v>0</v>
      </c>
      <c r="AD83" s="18">
        <v>1814951</v>
      </c>
      <c r="AE83" s="18">
        <f t="shared" si="127"/>
        <v>1814951</v>
      </c>
      <c r="AF83" s="352">
        <f t="shared" si="137"/>
        <v>18322163</v>
      </c>
      <c r="AG83" s="353">
        <f t="shared" si="137"/>
        <v>34404034</v>
      </c>
      <c r="AH83" s="353">
        <f t="shared" si="130"/>
        <v>52726197</v>
      </c>
      <c r="AI83" s="353">
        <f t="shared" si="138"/>
        <v>2878099</v>
      </c>
      <c r="AJ83" s="353">
        <f t="shared" si="139"/>
        <v>0</v>
      </c>
      <c r="AK83" s="353">
        <f t="shared" si="131"/>
        <v>2878099</v>
      </c>
      <c r="AL83" s="353">
        <f t="shared" si="140"/>
        <v>579304</v>
      </c>
      <c r="AM83" s="353">
        <f t="shared" si="140"/>
        <v>0</v>
      </c>
      <c r="AN83" s="353">
        <f t="shared" si="132"/>
        <v>579304</v>
      </c>
      <c r="AO83" s="353">
        <f t="shared" si="141"/>
        <v>0</v>
      </c>
      <c r="AP83" s="353">
        <f t="shared" si="141"/>
        <v>0</v>
      </c>
      <c r="AQ83" s="353">
        <f t="shared" si="133"/>
        <v>0</v>
      </c>
      <c r="AR83" s="353">
        <f t="shared" si="142"/>
        <v>10224105</v>
      </c>
      <c r="AS83" s="353">
        <f t="shared" si="142"/>
        <v>0</v>
      </c>
      <c r="AT83" s="353">
        <f t="shared" si="134"/>
        <v>10224105</v>
      </c>
      <c r="AU83" s="353">
        <f t="shared" si="143"/>
        <v>0</v>
      </c>
      <c r="AV83" s="353">
        <f t="shared" si="143"/>
        <v>0</v>
      </c>
      <c r="AW83" s="353">
        <f t="shared" si="135"/>
        <v>0</v>
      </c>
      <c r="AX83" s="353">
        <f t="shared" si="144"/>
        <v>0</v>
      </c>
      <c r="AY83" s="353">
        <f t="shared" si="144"/>
        <v>0</v>
      </c>
      <c r="AZ83" s="353">
        <f t="shared" si="145"/>
        <v>0</v>
      </c>
      <c r="BA83" s="354">
        <f t="shared" si="136"/>
        <v>66407705</v>
      </c>
    </row>
    <row r="84" spans="1:53">
      <c r="A84" s="138">
        <v>42614</v>
      </c>
      <c r="B84" s="18">
        <v>1921626</v>
      </c>
      <c r="C84" s="18">
        <v>0</v>
      </c>
      <c r="D84" s="18">
        <f t="shared" si="116"/>
        <v>1921626</v>
      </c>
      <c r="E84" s="18">
        <f t="shared" si="117"/>
        <v>354877</v>
      </c>
      <c r="F84" s="18">
        <v>0</v>
      </c>
      <c r="G84" s="18">
        <f t="shared" si="118"/>
        <v>354877</v>
      </c>
      <c r="H84" s="18">
        <v>73804</v>
      </c>
      <c r="I84" s="18">
        <v>0</v>
      </c>
      <c r="J84" s="18">
        <f t="shared" si="119"/>
        <v>73804</v>
      </c>
      <c r="K84" s="18">
        <v>0</v>
      </c>
      <c r="L84" s="18">
        <v>0</v>
      </c>
      <c r="M84" s="18">
        <f t="shared" si="120"/>
        <v>0</v>
      </c>
      <c r="N84" s="18">
        <f t="shared" si="121"/>
        <v>1596891</v>
      </c>
      <c r="O84" s="18">
        <v>0</v>
      </c>
      <c r="P84" s="18">
        <f t="shared" si="122"/>
        <v>1596891</v>
      </c>
      <c r="Q84" s="18">
        <v>0</v>
      </c>
      <c r="R84" s="18">
        <v>0</v>
      </c>
      <c r="S84" s="18">
        <f t="shared" si="123"/>
        <v>0</v>
      </c>
      <c r="T84" s="18">
        <v>0</v>
      </c>
      <c r="U84" s="18">
        <v>0</v>
      </c>
      <c r="V84" s="18">
        <f t="shared" si="128"/>
        <v>0</v>
      </c>
      <c r="W84" s="18">
        <f t="shared" si="115"/>
        <v>3947198</v>
      </c>
      <c r="X84" s="18">
        <f t="shared" si="124"/>
        <v>0</v>
      </c>
      <c r="Y84" s="235">
        <f t="shared" si="125"/>
        <v>3947198</v>
      </c>
      <c r="Z84" s="18">
        <v>0</v>
      </c>
      <c r="AA84" s="18">
        <v>354877</v>
      </c>
      <c r="AB84" s="18">
        <f t="shared" si="129"/>
        <v>354877</v>
      </c>
      <c r="AC84" s="352">
        <v>0</v>
      </c>
      <c r="AD84" s="18">
        <v>1596891</v>
      </c>
      <c r="AE84" s="18">
        <f t="shared" si="127"/>
        <v>1596891</v>
      </c>
      <c r="AF84" s="352">
        <f t="shared" si="137"/>
        <v>20243789</v>
      </c>
      <c r="AG84" s="353">
        <f t="shared" si="137"/>
        <v>34404034</v>
      </c>
      <c r="AH84" s="353">
        <f t="shared" si="130"/>
        <v>54647823</v>
      </c>
      <c r="AI84" s="353">
        <f t="shared" si="138"/>
        <v>3352914</v>
      </c>
      <c r="AJ84" s="353">
        <f t="shared" si="139"/>
        <v>0</v>
      </c>
      <c r="AK84" s="353">
        <f t="shared" si="131"/>
        <v>3352914</v>
      </c>
      <c r="AL84" s="353">
        <f t="shared" si="140"/>
        <v>653108</v>
      </c>
      <c r="AM84" s="353">
        <f t="shared" si="140"/>
        <v>0</v>
      </c>
      <c r="AN84" s="353">
        <f t="shared" si="132"/>
        <v>653108</v>
      </c>
      <c r="AO84" s="353">
        <f t="shared" si="141"/>
        <v>0</v>
      </c>
      <c r="AP84" s="353">
        <f t="shared" si="141"/>
        <v>0</v>
      </c>
      <c r="AQ84" s="353">
        <f t="shared" si="133"/>
        <v>0</v>
      </c>
      <c r="AR84" s="353">
        <f t="shared" si="142"/>
        <v>11820996</v>
      </c>
      <c r="AS84" s="353">
        <f t="shared" si="142"/>
        <v>0</v>
      </c>
      <c r="AT84" s="353">
        <f t="shared" si="134"/>
        <v>11820996</v>
      </c>
      <c r="AU84" s="353">
        <f t="shared" si="143"/>
        <v>0</v>
      </c>
      <c r="AV84" s="353">
        <f t="shared" si="143"/>
        <v>0</v>
      </c>
      <c r="AW84" s="353">
        <f t="shared" si="135"/>
        <v>0</v>
      </c>
      <c r="AX84" s="353">
        <f t="shared" si="144"/>
        <v>0</v>
      </c>
      <c r="AY84" s="353">
        <f t="shared" si="144"/>
        <v>0</v>
      </c>
      <c r="AZ84" s="353">
        <f t="shared" si="145"/>
        <v>0</v>
      </c>
      <c r="BA84" s="354">
        <f t="shared" si="136"/>
        <v>70474841</v>
      </c>
    </row>
    <row r="85" spans="1:53">
      <c r="A85" s="138">
        <v>42644</v>
      </c>
      <c r="B85" s="18">
        <v>2353091</v>
      </c>
      <c r="C85" s="18">
        <v>0</v>
      </c>
      <c r="D85" s="18">
        <f t="shared" si="116"/>
        <v>2353091</v>
      </c>
      <c r="E85" s="18">
        <f t="shared" si="117"/>
        <v>531220</v>
      </c>
      <c r="F85" s="18">
        <v>0</v>
      </c>
      <c r="G85" s="18">
        <f t="shared" si="118"/>
        <v>531220</v>
      </c>
      <c r="H85" s="18">
        <v>82558</v>
      </c>
      <c r="I85" s="18">
        <v>0</v>
      </c>
      <c r="J85" s="18">
        <f t="shared" si="119"/>
        <v>82558</v>
      </c>
      <c r="K85" s="18">
        <v>0</v>
      </c>
      <c r="L85" s="18">
        <v>0</v>
      </c>
      <c r="M85" s="18">
        <f t="shared" si="120"/>
        <v>0</v>
      </c>
      <c r="N85" s="18">
        <f t="shared" si="121"/>
        <v>1648116</v>
      </c>
      <c r="O85" s="18">
        <v>0</v>
      </c>
      <c r="P85" s="18">
        <f t="shared" si="122"/>
        <v>1648116</v>
      </c>
      <c r="Q85" s="18">
        <v>0</v>
      </c>
      <c r="R85" s="18">
        <v>0</v>
      </c>
      <c r="S85" s="18">
        <f t="shared" si="123"/>
        <v>0</v>
      </c>
      <c r="T85" s="18">
        <v>0</v>
      </c>
      <c r="U85" s="18">
        <v>0</v>
      </c>
      <c r="V85" s="18">
        <f t="shared" si="128"/>
        <v>0</v>
      </c>
      <c r="W85" s="18">
        <f t="shared" si="115"/>
        <v>4614985</v>
      </c>
      <c r="X85" s="18">
        <f t="shared" si="124"/>
        <v>0</v>
      </c>
      <c r="Y85" s="235">
        <f t="shared" si="125"/>
        <v>4614985</v>
      </c>
      <c r="Z85" s="18">
        <v>0</v>
      </c>
      <c r="AA85" s="18">
        <v>531220</v>
      </c>
      <c r="AB85" s="18">
        <f t="shared" si="129"/>
        <v>531220</v>
      </c>
      <c r="AC85" s="352">
        <v>0</v>
      </c>
      <c r="AD85" s="18">
        <v>1648116</v>
      </c>
      <c r="AE85" s="18">
        <f t="shared" si="127"/>
        <v>1648116</v>
      </c>
      <c r="AF85" s="352">
        <f t="shared" si="137"/>
        <v>22596880</v>
      </c>
      <c r="AG85" s="353">
        <f t="shared" si="137"/>
        <v>34404034</v>
      </c>
      <c r="AH85" s="353">
        <f t="shared" si="130"/>
        <v>57000914</v>
      </c>
      <c r="AI85" s="353">
        <f t="shared" si="138"/>
        <v>3707791</v>
      </c>
      <c r="AJ85" s="353">
        <f t="shared" si="139"/>
        <v>0</v>
      </c>
      <c r="AK85" s="353">
        <f t="shared" si="131"/>
        <v>3707791</v>
      </c>
      <c r="AL85" s="353">
        <f t="shared" si="140"/>
        <v>735666</v>
      </c>
      <c r="AM85" s="353">
        <f t="shared" si="140"/>
        <v>0</v>
      </c>
      <c r="AN85" s="353">
        <f t="shared" si="132"/>
        <v>735666</v>
      </c>
      <c r="AO85" s="353">
        <f t="shared" si="141"/>
        <v>0</v>
      </c>
      <c r="AP85" s="353">
        <f t="shared" si="141"/>
        <v>0</v>
      </c>
      <c r="AQ85" s="353">
        <f t="shared" si="133"/>
        <v>0</v>
      </c>
      <c r="AR85" s="353">
        <f t="shared" si="142"/>
        <v>13469112</v>
      </c>
      <c r="AS85" s="353">
        <f t="shared" si="142"/>
        <v>0</v>
      </c>
      <c r="AT85" s="353">
        <f t="shared" si="134"/>
        <v>13469112</v>
      </c>
      <c r="AU85" s="353">
        <f t="shared" si="143"/>
        <v>0</v>
      </c>
      <c r="AV85" s="353">
        <f t="shared" si="143"/>
        <v>0</v>
      </c>
      <c r="AW85" s="353">
        <f t="shared" si="135"/>
        <v>0</v>
      </c>
      <c r="AX85" s="353">
        <f t="shared" si="144"/>
        <v>0</v>
      </c>
      <c r="AY85" s="353">
        <f t="shared" si="144"/>
        <v>0</v>
      </c>
      <c r="AZ85" s="353">
        <f t="shared" si="145"/>
        <v>0</v>
      </c>
      <c r="BA85" s="354">
        <f t="shared" si="136"/>
        <v>74913483</v>
      </c>
    </row>
    <row r="86" spans="1:53">
      <c r="A86" s="138">
        <v>42675</v>
      </c>
      <c r="B86" s="18">
        <v>2299988</v>
      </c>
      <c r="C86" s="18">
        <v>0</v>
      </c>
      <c r="D86" s="18">
        <f t="shared" si="116"/>
        <v>2299988</v>
      </c>
      <c r="E86" s="18">
        <f t="shared" si="117"/>
        <v>383524</v>
      </c>
      <c r="F86" s="18">
        <v>0</v>
      </c>
      <c r="G86" s="18">
        <f t="shared" si="118"/>
        <v>383524</v>
      </c>
      <c r="H86" s="18">
        <v>95538</v>
      </c>
      <c r="I86" s="18">
        <v>0</v>
      </c>
      <c r="J86" s="18">
        <f t="shared" si="119"/>
        <v>95538</v>
      </c>
      <c r="K86" s="18">
        <v>0</v>
      </c>
      <c r="L86" s="18">
        <v>0</v>
      </c>
      <c r="M86" s="18">
        <f t="shared" si="120"/>
        <v>0</v>
      </c>
      <c r="N86" s="18">
        <f t="shared" si="121"/>
        <v>1821731</v>
      </c>
      <c r="O86" s="18">
        <v>0</v>
      </c>
      <c r="P86" s="18">
        <f t="shared" si="122"/>
        <v>1821731</v>
      </c>
      <c r="Q86" s="18">
        <v>0</v>
      </c>
      <c r="R86" s="18">
        <v>0</v>
      </c>
      <c r="S86" s="18">
        <f t="shared" si="123"/>
        <v>0</v>
      </c>
      <c r="T86" s="18">
        <v>0</v>
      </c>
      <c r="U86" s="18">
        <v>0</v>
      </c>
      <c r="V86" s="18">
        <f t="shared" si="128"/>
        <v>0</v>
      </c>
      <c r="W86" s="18">
        <f t="shared" si="115"/>
        <v>4600781</v>
      </c>
      <c r="X86" s="18">
        <f t="shared" si="124"/>
        <v>0</v>
      </c>
      <c r="Y86" s="235">
        <f t="shared" si="125"/>
        <v>4600781</v>
      </c>
      <c r="Z86" s="18">
        <v>0</v>
      </c>
      <c r="AA86" s="18">
        <v>383524</v>
      </c>
      <c r="AB86" s="18">
        <f t="shared" si="129"/>
        <v>383524</v>
      </c>
      <c r="AC86" s="352">
        <v>0</v>
      </c>
      <c r="AD86" s="18">
        <v>1821731</v>
      </c>
      <c r="AE86" s="18">
        <f t="shared" si="127"/>
        <v>1821731</v>
      </c>
      <c r="AF86" s="352">
        <f t="shared" si="137"/>
        <v>24896868</v>
      </c>
      <c r="AG86" s="353">
        <f t="shared" si="137"/>
        <v>34404034</v>
      </c>
      <c r="AH86" s="353">
        <f t="shared" si="130"/>
        <v>59300902</v>
      </c>
      <c r="AI86" s="353">
        <f t="shared" si="138"/>
        <v>4239011</v>
      </c>
      <c r="AJ86" s="353">
        <f t="shared" si="139"/>
        <v>0</v>
      </c>
      <c r="AK86" s="353">
        <f t="shared" si="131"/>
        <v>4239011</v>
      </c>
      <c r="AL86" s="353">
        <f t="shared" si="140"/>
        <v>831204</v>
      </c>
      <c r="AM86" s="353">
        <f t="shared" si="140"/>
        <v>0</v>
      </c>
      <c r="AN86" s="353">
        <f t="shared" si="132"/>
        <v>831204</v>
      </c>
      <c r="AO86" s="353">
        <f t="shared" si="141"/>
        <v>0</v>
      </c>
      <c r="AP86" s="353">
        <f t="shared" si="141"/>
        <v>0</v>
      </c>
      <c r="AQ86" s="353">
        <f t="shared" si="133"/>
        <v>0</v>
      </c>
      <c r="AR86" s="353">
        <f t="shared" si="142"/>
        <v>15290843</v>
      </c>
      <c r="AS86" s="353">
        <f t="shared" si="142"/>
        <v>0</v>
      </c>
      <c r="AT86" s="353">
        <f t="shared" si="134"/>
        <v>15290843</v>
      </c>
      <c r="AU86" s="353">
        <f t="shared" si="143"/>
        <v>0</v>
      </c>
      <c r="AV86" s="353">
        <f t="shared" si="143"/>
        <v>0</v>
      </c>
      <c r="AW86" s="353">
        <f t="shared" si="135"/>
        <v>0</v>
      </c>
      <c r="AX86" s="353">
        <f t="shared" si="144"/>
        <v>0</v>
      </c>
      <c r="AY86" s="353">
        <f t="shared" si="144"/>
        <v>0</v>
      </c>
      <c r="AZ86" s="353">
        <f t="shared" si="145"/>
        <v>0</v>
      </c>
      <c r="BA86" s="354">
        <f t="shared" si="136"/>
        <v>79661960</v>
      </c>
    </row>
    <row r="87" spans="1:53" ht="13.5" customHeight="1" thickBot="1">
      <c r="A87" s="138">
        <v>42705</v>
      </c>
      <c r="B87" s="18">
        <v>2158378</v>
      </c>
      <c r="C87" s="18">
        <v>0</v>
      </c>
      <c r="D87" s="18">
        <f t="shared" si="116"/>
        <v>2158378</v>
      </c>
      <c r="E87" s="18">
        <f t="shared" si="117"/>
        <v>278792</v>
      </c>
      <c r="F87" s="18">
        <v>0</v>
      </c>
      <c r="G87" s="18">
        <f t="shared" si="118"/>
        <v>278792</v>
      </c>
      <c r="H87" s="18">
        <v>134248</v>
      </c>
      <c r="I87" s="18">
        <v>0</v>
      </c>
      <c r="J87" s="18">
        <f t="shared" si="119"/>
        <v>134248</v>
      </c>
      <c r="K87" s="18">
        <v>0</v>
      </c>
      <c r="L87" s="18">
        <v>0</v>
      </c>
      <c r="M87" s="18">
        <f t="shared" si="120"/>
        <v>0</v>
      </c>
      <c r="N87" s="18">
        <f t="shared" si="121"/>
        <v>2820344</v>
      </c>
      <c r="O87" s="18">
        <v>0</v>
      </c>
      <c r="P87" s="18">
        <f t="shared" si="122"/>
        <v>2820344</v>
      </c>
      <c r="Q87" s="18">
        <v>0</v>
      </c>
      <c r="R87" s="18">
        <v>0</v>
      </c>
      <c r="S87" s="18">
        <f t="shared" si="123"/>
        <v>0</v>
      </c>
      <c r="T87" s="18">
        <v>0</v>
      </c>
      <c r="U87" s="18">
        <v>0</v>
      </c>
      <c r="V87" s="18">
        <f t="shared" si="128"/>
        <v>0</v>
      </c>
      <c r="W87" s="18">
        <f t="shared" si="115"/>
        <v>5391762</v>
      </c>
      <c r="X87" s="18">
        <f t="shared" si="124"/>
        <v>0</v>
      </c>
      <c r="Y87" s="235">
        <f t="shared" si="125"/>
        <v>5391762</v>
      </c>
      <c r="Z87" s="18">
        <v>0</v>
      </c>
      <c r="AA87" s="18">
        <v>278792</v>
      </c>
      <c r="AB87" s="18">
        <f t="shared" si="129"/>
        <v>278792</v>
      </c>
      <c r="AC87" s="352">
        <v>0</v>
      </c>
      <c r="AD87" s="18">
        <v>2820344</v>
      </c>
      <c r="AE87" s="18">
        <f t="shared" si="127"/>
        <v>2820344</v>
      </c>
      <c r="AF87" s="352">
        <f t="shared" si="137"/>
        <v>27055246</v>
      </c>
      <c r="AG87" s="353">
        <f t="shared" si="137"/>
        <v>34404034</v>
      </c>
      <c r="AH87" s="353">
        <f t="shared" si="130"/>
        <v>61459280</v>
      </c>
      <c r="AI87" s="353">
        <f t="shared" si="138"/>
        <v>4622535</v>
      </c>
      <c r="AJ87" s="353">
        <f t="shared" si="139"/>
        <v>0</v>
      </c>
      <c r="AK87" s="353">
        <f t="shared" si="131"/>
        <v>4622535</v>
      </c>
      <c r="AL87" s="353">
        <f t="shared" si="140"/>
        <v>965452</v>
      </c>
      <c r="AM87" s="353">
        <f t="shared" si="140"/>
        <v>0</v>
      </c>
      <c r="AN87" s="353">
        <f t="shared" si="132"/>
        <v>965452</v>
      </c>
      <c r="AO87" s="353">
        <f t="shared" si="141"/>
        <v>0</v>
      </c>
      <c r="AP87" s="353">
        <f t="shared" si="141"/>
        <v>0</v>
      </c>
      <c r="AQ87" s="353">
        <f t="shared" si="133"/>
        <v>0</v>
      </c>
      <c r="AR87" s="353">
        <f t="shared" si="142"/>
        <v>18111187</v>
      </c>
      <c r="AS87" s="353">
        <f t="shared" si="142"/>
        <v>0</v>
      </c>
      <c r="AT87" s="353">
        <f t="shared" si="134"/>
        <v>18111187</v>
      </c>
      <c r="AU87" s="353">
        <f t="shared" si="143"/>
        <v>0</v>
      </c>
      <c r="AV87" s="353">
        <f t="shared" si="143"/>
        <v>0</v>
      </c>
      <c r="AW87" s="353">
        <f t="shared" si="135"/>
        <v>0</v>
      </c>
      <c r="AX87" s="353">
        <f t="shared" si="144"/>
        <v>0</v>
      </c>
      <c r="AY87" s="353">
        <f t="shared" si="144"/>
        <v>0</v>
      </c>
      <c r="AZ87" s="353">
        <f t="shared" si="145"/>
        <v>0</v>
      </c>
      <c r="BA87" s="354">
        <f t="shared" si="136"/>
        <v>85158454</v>
      </c>
    </row>
    <row r="88" spans="1:53">
      <c r="A88" s="141">
        <v>42736</v>
      </c>
      <c r="B88" s="143">
        <v>2054933</v>
      </c>
      <c r="C88" s="143">
        <v>0</v>
      </c>
      <c r="D88" s="143">
        <f t="shared" si="116"/>
        <v>2054933</v>
      </c>
      <c r="E88" s="143">
        <f t="shared" si="117"/>
        <v>449601</v>
      </c>
      <c r="F88" s="143">
        <v>0</v>
      </c>
      <c r="G88" s="143">
        <f t="shared" si="118"/>
        <v>449601</v>
      </c>
      <c r="H88" s="143">
        <v>152849</v>
      </c>
      <c r="I88" s="143">
        <v>0</v>
      </c>
      <c r="J88" s="143">
        <f t="shared" si="119"/>
        <v>152849</v>
      </c>
      <c r="K88" s="143">
        <v>0</v>
      </c>
      <c r="L88" s="143">
        <v>0</v>
      </c>
      <c r="M88" s="143">
        <f t="shared" si="120"/>
        <v>0</v>
      </c>
      <c r="N88" s="143">
        <f t="shared" si="121"/>
        <v>1752312</v>
      </c>
      <c r="O88" s="143">
        <v>0</v>
      </c>
      <c r="P88" s="143">
        <f t="shared" si="122"/>
        <v>1752312</v>
      </c>
      <c r="Q88" s="143">
        <v>0</v>
      </c>
      <c r="R88" s="143">
        <v>0</v>
      </c>
      <c r="S88" s="143">
        <f t="shared" si="123"/>
        <v>0</v>
      </c>
      <c r="T88" s="143">
        <v>0</v>
      </c>
      <c r="U88" s="143">
        <v>0</v>
      </c>
      <c r="V88" s="143">
        <f>U88+T88</f>
        <v>0</v>
      </c>
      <c r="W88" s="143">
        <f t="shared" si="115"/>
        <v>4409695</v>
      </c>
      <c r="X88" s="143">
        <f t="shared" si="124"/>
        <v>0</v>
      </c>
      <c r="Y88" s="237">
        <f t="shared" si="125"/>
        <v>4409695</v>
      </c>
      <c r="Z88" s="143">
        <v>0</v>
      </c>
      <c r="AA88" s="143">
        <v>449601</v>
      </c>
      <c r="AB88" s="143">
        <f>AA88+Z88</f>
        <v>449601</v>
      </c>
      <c r="AC88" s="349">
        <v>0</v>
      </c>
      <c r="AD88" s="143">
        <v>1752312</v>
      </c>
      <c r="AE88" s="143">
        <f t="shared" si="127"/>
        <v>1752312</v>
      </c>
      <c r="AF88" s="349">
        <f>B88</f>
        <v>2054933</v>
      </c>
      <c r="AG88" s="350">
        <f>C88</f>
        <v>0</v>
      </c>
      <c r="AH88" s="350">
        <f>AG88+AF88</f>
        <v>2054933</v>
      </c>
      <c r="AI88" s="350">
        <f>E88</f>
        <v>449601</v>
      </c>
      <c r="AJ88" s="350">
        <f>F88</f>
        <v>0</v>
      </c>
      <c r="AK88" s="350">
        <f>AJ88+AI88</f>
        <v>449601</v>
      </c>
      <c r="AL88" s="350">
        <f>H88</f>
        <v>152849</v>
      </c>
      <c r="AM88" s="350">
        <f>I88</f>
        <v>0</v>
      </c>
      <c r="AN88" s="350">
        <f>AM88+AL88</f>
        <v>152849</v>
      </c>
      <c r="AO88" s="350">
        <f>K88</f>
        <v>0</v>
      </c>
      <c r="AP88" s="350">
        <f>L88</f>
        <v>0</v>
      </c>
      <c r="AQ88" s="350">
        <f>AP88+AO88</f>
        <v>0</v>
      </c>
      <c r="AR88" s="350">
        <f>N88</f>
        <v>1752312</v>
      </c>
      <c r="AS88" s="350">
        <f>O88</f>
        <v>0</v>
      </c>
      <c r="AT88" s="350">
        <f>AS88+AR88</f>
        <v>1752312</v>
      </c>
      <c r="AU88" s="350">
        <f>Q88</f>
        <v>0</v>
      </c>
      <c r="AV88" s="350">
        <f>R88</f>
        <v>0</v>
      </c>
      <c r="AW88" s="350">
        <f>AV88+AU88</f>
        <v>0</v>
      </c>
      <c r="AX88" s="350">
        <f>T88</f>
        <v>0</v>
      </c>
      <c r="AY88" s="350">
        <f>U88</f>
        <v>0</v>
      </c>
      <c r="AZ88" s="350">
        <f>SUM(AX88:AY88)</f>
        <v>0</v>
      </c>
      <c r="BA88" s="351">
        <f>AW88+AT88+AQ88+AN88+AK88+AH88+AZ88</f>
        <v>4409695</v>
      </c>
    </row>
    <row r="89" spans="1:53">
      <c r="A89" s="138">
        <v>42767</v>
      </c>
      <c r="B89" s="18">
        <v>2111437</v>
      </c>
      <c r="C89" s="18">
        <v>0</v>
      </c>
      <c r="D89" s="18">
        <f t="shared" si="116"/>
        <v>2111437</v>
      </c>
      <c r="E89" s="18">
        <f t="shared" si="117"/>
        <v>357500</v>
      </c>
      <c r="F89" s="18">
        <v>0</v>
      </c>
      <c r="G89" s="18">
        <f t="shared" si="118"/>
        <v>357500</v>
      </c>
      <c r="H89" s="18">
        <v>145129</v>
      </c>
      <c r="I89" s="18">
        <v>0</v>
      </c>
      <c r="J89" s="18">
        <f t="shared" si="119"/>
        <v>145129</v>
      </c>
      <c r="K89" s="18">
        <v>0</v>
      </c>
      <c r="L89" s="18">
        <v>0</v>
      </c>
      <c r="M89" s="18">
        <f t="shared" si="120"/>
        <v>0</v>
      </c>
      <c r="N89" s="18">
        <f t="shared" si="121"/>
        <v>1622317</v>
      </c>
      <c r="O89" s="18">
        <v>0</v>
      </c>
      <c r="P89" s="18">
        <f t="shared" si="122"/>
        <v>1622317</v>
      </c>
      <c r="Q89" s="18">
        <v>0</v>
      </c>
      <c r="R89" s="18">
        <v>0</v>
      </c>
      <c r="S89" s="18">
        <f t="shared" si="123"/>
        <v>0</v>
      </c>
      <c r="T89" s="18">
        <v>0</v>
      </c>
      <c r="U89" s="18">
        <v>0</v>
      </c>
      <c r="V89" s="18">
        <f t="shared" ref="V89:V99" si="146">U89+T89</f>
        <v>0</v>
      </c>
      <c r="W89" s="18">
        <f t="shared" si="115"/>
        <v>4236383</v>
      </c>
      <c r="X89" s="18">
        <f t="shared" si="124"/>
        <v>0</v>
      </c>
      <c r="Y89" s="235">
        <f t="shared" si="125"/>
        <v>4236383</v>
      </c>
      <c r="Z89" s="18">
        <v>0</v>
      </c>
      <c r="AA89" s="18">
        <v>357500</v>
      </c>
      <c r="AB89" s="18">
        <f t="shared" si="129"/>
        <v>357500</v>
      </c>
      <c r="AC89" s="352">
        <v>0</v>
      </c>
      <c r="AD89" s="18">
        <v>1622317</v>
      </c>
      <c r="AE89" s="18">
        <f t="shared" si="127"/>
        <v>1622317</v>
      </c>
      <c r="AF89" s="352">
        <f>B89+AF88</f>
        <v>4166370</v>
      </c>
      <c r="AG89" s="353">
        <f>C89+AG88</f>
        <v>0</v>
      </c>
      <c r="AH89" s="353">
        <f t="shared" ref="AH89:AH99" si="147">AG89+AF89</f>
        <v>4166370</v>
      </c>
      <c r="AI89" s="353">
        <f>AI88+E88</f>
        <v>899202</v>
      </c>
      <c r="AJ89" s="353">
        <f>AJ88+F89</f>
        <v>0</v>
      </c>
      <c r="AK89" s="353">
        <f t="shared" ref="AK89:AK99" si="148">AJ89+AI89</f>
        <v>899202</v>
      </c>
      <c r="AL89" s="353">
        <f>AL88+H89</f>
        <v>297978</v>
      </c>
      <c r="AM89" s="353">
        <f>AM88+I89</f>
        <v>0</v>
      </c>
      <c r="AN89" s="353">
        <f t="shared" ref="AN89:AN99" si="149">AM89+AL89</f>
        <v>297978</v>
      </c>
      <c r="AO89" s="353">
        <f>AO88+K89</f>
        <v>0</v>
      </c>
      <c r="AP89" s="353">
        <f>AP88+L89</f>
        <v>0</v>
      </c>
      <c r="AQ89" s="353">
        <f t="shared" ref="AQ89:AQ99" si="150">AP89+AO89</f>
        <v>0</v>
      </c>
      <c r="AR89" s="353">
        <f>AR88+N89</f>
        <v>3374629</v>
      </c>
      <c r="AS89" s="353">
        <f>AS88+O89</f>
        <v>0</v>
      </c>
      <c r="AT89" s="353">
        <f t="shared" ref="AT89:AT99" si="151">AS89+AR89</f>
        <v>3374629</v>
      </c>
      <c r="AU89" s="353">
        <f>AU88+Q89</f>
        <v>0</v>
      </c>
      <c r="AV89" s="353">
        <f>AV88+R89</f>
        <v>0</v>
      </c>
      <c r="AW89" s="353">
        <f t="shared" ref="AW89:AW99" si="152">AV89+AU89</f>
        <v>0</v>
      </c>
      <c r="AX89" s="353">
        <f>AX88+T89</f>
        <v>0</v>
      </c>
      <c r="AY89" s="353">
        <f>AY88+U89</f>
        <v>0</v>
      </c>
      <c r="AZ89" s="353">
        <f>SUM(AX89:AY89)</f>
        <v>0</v>
      </c>
      <c r="BA89" s="354">
        <f t="shared" ref="BA89:BA99" si="153">AW89+AT89+AQ89+AN89+AK89+AH89+AZ89</f>
        <v>8738179</v>
      </c>
    </row>
    <row r="90" spans="1:53">
      <c r="A90" s="138">
        <v>42795</v>
      </c>
      <c r="B90" s="18">
        <v>2213701</v>
      </c>
      <c r="C90" s="18">
        <v>0</v>
      </c>
      <c r="D90" s="18">
        <f t="shared" si="116"/>
        <v>2213701</v>
      </c>
      <c r="E90" s="18">
        <f t="shared" si="117"/>
        <v>457937</v>
      </c>
      <c r="F90" s="18">
        <v>0</v>
      </c>
      <c r="G90" s="18">
        <f t="shared" si="118"/>
        <v>457937</v>
      </c>
      <c r="H90" s="18">
        <v>158088</v>
      </c>
      <c r="I90" s="18">
        <v>0</v>
      </c>
      <c r="J90" s="18">
        <f t="shared" si="119"/>
        <v>158088</v>
      </c>
      <c r="K90" s="18">
        <v>0</v>
      </c>
      <c r="L90" s="18">
        <v>0</v>
      </c>
      <c r="M90" s="18">
        <f t="shared" si="120"/>
        <v>0</v>
      </c>
      <c r="N90" s="18">
        <f t="shared" si="121"/>
        <v>895275</v>
      </c>
      <c r="O90" s="18">
        <v>0</v>
      </c>
      <c r="P90" s="18">
        <f t="shared" si="122"/>
        <v>895275</v>
      </c>
      <c r="Q90" s="18">
        <v>0</v>
      </c>
      <c r="R90" s="18">
        <v>0</v>
      </c>
      <c r="S90" s="18">
        <f t="shared" si="123"/>
        <v>0</v>
      </c>
      <c r="T90" s="18">
        <v>0</v>
      </c>
      <c r="U90" s="18">
        <v>0</v>
      </c>
      <c r="V90" s="18">
        <f t="shared" si="146"/>
        <v>0</v>
      </c>
      <c r="W90" s="18">
        <f t="shared" si="115"/>
        <v>3725001</v>
      </c>
      <c r="X90" s="18">
        <f t="shared" si="124"/>
        <v>0</v>
      </c>
      <c r="Y90" s="235">
        <f t="shared" si="125"/>
        <v>3725001</v>
      </c>
      <c r="Z90" s="18">
        <v>0</v>
      </c>
      <c r="AA90" s="18">
        <v>457937</v>
      </c>
      <c r="AB90" s="18">
        <f t="shared" si="129"/>
        <v>457937</v>
      </c>
      <c r="AC90" s="352">
        <v>0</v>
      </c>
      <c r="AD90" s="18">
        <v>895275</v>
      </c>
      <c r="AE90" s="18">
        <f t="shared" si="127"/>
        <v>895275</v>
      </c>
      <c r="AF90" s="352">
        <f t="shared" ref="AF90:AG99" si="154">B90+AF89</f>
        <v>6380071</v>
      </c>
      <c r="AG90" s="353">
        <f t="shared" si="154"/>
        <v>0</v>
      </c>
      <c r="AH90" s="353">
        <f t="shared" si="147"/>
        <v>6380071</v>
      </c>
      <c r="AI90" s="353">
        <f t="shared" ref="AI90:AI99" si="155">AI89+E89</f>
        <v>1256702</v>
      </c>
      <c r="AJ90" s="353">
        <f t="shared" ref="AJ90:AJ99" si="156">AJ89+F90</f>
        <v>0</v>
      </c>
      <c r="AK90" s="353">
        <f t="shared" si="148"/>
        <v>1256702</v>
      </c>
      <c r="AL90" s="353">
        <f t="shared" ref="AL90:AM99" si="157">AL89+H90</f>
        <v>456066</v>
      </c>
      <c r="AM90" s="353">
        <f t="shared" si="157"/>
        <v>0</v>
      </c>
      <c r="AN90" s="353">
        <f t="shared" si="149"/>
        <v>456066</v>
      </c>
      <c r="AO90" s="353">
        <f t="shared" ref="AO90:AP99" si="158">AO89+K90</f>
        <v>0</v>
      </c>
      <c r="AP90" s="353">
        <f t="shared" si="158"/>
        <v>0</v>
      </c>
      <c r="AQ90" s="353">
        <f t="shared" si="150"/>
        <v>0</v>
      </c>
      <c r="AR90" s="353">
        <f t="shared" ref="AR90:AS99" si="159">AR89+N90</f>
        <v>4269904</v>
      </c>
      <c r="AS90" s="353">
        <f t="shared" si="159"/>
        <v>0</v>
      </c>
      <c r="AT90" s="353">
        <f t="shared" si="151"/>
        <v>4269904</v>
      </c>
      <c r="AU90" s="353">
        <f t="shared" ref="AU90:AV99" si="160">AU89+Q90</f>
        <v>0</v>
      </c>
      <c r="AV90" s="353">
        <f t="shared" si="160"/>
        <v>0</v>
      </c>
      <c r="AW90" s="353">
        <f t="shared" si="152"/>
        <v>0</v>
      </c>
      <c r="AX90" s="353">
        <f t="shared" ref="AX90:AY99" si="161">AX89+T90</f>
        <v>0</v>
      </c>
      <c r="AY90" s="353">
        <f t="shared" si="161"/>
        <v>0</v>
      </c>
      <c r="AZ90" s="353">
        <f t="shared" ref="AZ90:AZ99" si="162">SUM(AX90:AY90)</f>
        <v>0</v>
      </c>
      <c r="BA90" s="354">
        <f t="shared" si="153"/>
        <v>12362743</v>
      </c>
    </row>
    <row r="91" spans="1:53">
      <c r="A91" s="138">
        <v>42826</v>
      </c>
      <c r="B91" s="18">
        <v>1749802</v>
      </c>
      <c r="C91" s="18">
        <v>0</v>
      </c>
      <c r="D91" s="18">
        <f t="shared" si="116"/>
        <v>1749802</v>
      </c>
      <c r="E91" s="18">
        <f t="shared" si="117"/>
        <v>335064</v>
      </c>
      <c r="F91" s="18">
        <v>0</v>
      </c>
      <c r="G91" s="18">
        <f t="shared" si="118"/>
        <v>335064</v>
      </c>
      <c r="H91" s="18">
        <v>100562</v>
      </c>
      <c r="I91" s="18">
        <v>0</v>
      </c>
      <c r="J91" s="18">
        <f t="shared" si="119"/>
        <v>100562</v>
      </c>
      <c r="K91" s="18">
        <v>0</v>
      </c>
      <c r="L91" s="18">
        <v>0</v>
      </c>
      <c r="M91" s="18">
        <f t="shared" si="120"/>
        <v>0</v>
      </c>
      <c r="N91" s="18">
        <f t="shared" si="121"/>
        <v>3024315</v>
      </c>
      <c r="O91" s="18">
        <v>0</v>
      </c>
      <c r="P91" s="18">
        <f t="shared" si="122"/>
        <v>3024315</v>
      </c>
      <c r="Q91" s="18">
        <v>0</v>
      </c>
      <c r="R91" s="18">
        <v>0</v>
      </c>
      <c r="S91" s="18">
        <f t="shared" si="123"/>
        <v>0</v>
      </c>
      <c r="T91" s="18">
        <v>0</v>
      </c>
      <c r="U91" s="18">
        <v>0</v>
      </c>
      <c r="V91" s="18">
        <f t="shared" si="146"/>
        <v>0</v>
      </c>
      <c r="W91" s="18">
        <f t="shared" si="115"/>
        <v>5209743</v>
      </c>
      <c r="X91" s="18">
        <f t="shared" si="124"/>
        <v>0</v>
      </c>
      <c r="Y91" s="235">
        <f t="shared" si="125"/>
        <v>5209743</v>
      </c>
      <c r="Z91" s="18">
        <v>0</v>
      </c>
      <c r="AA91" s="18">
        <v>335064</v>
      </c>
      <c r="AB91" s="18">
        <f t="shared" si="129"/>
        <v>335064</v>
      </c>
      <c r="AC91" s="352">
        <v>0</v>
      </c>
      <c r="AD91" s="18">
        <v>3024315</v>
      </c>
      <c r="AE91" s="18">
        <f t="shared" si="127"/>
        <v>3024315</v>
      </c>
      <c r="AF91" s="352">
        <f t="shared" si="154"/>
        <v>8129873</v>
      </c>
      <c r="AG91" s="353">
        <f t="shared" si="154"/>
        <v>0</v>
      </c>
      <c r="AH91" s="353">
        <f t="shared" si="147"/>
        <v>8129873</v>
      </c>
      <c r="AI91" s="353">
        <f t="shared" si="155"/>
        <v>1714639</v>
      </c>
      <c r="AJ91" s="353">
        <f t="shared" si="156"/>
        <v>0</v>
      </c>
      <c r="AK91" s="353">
        <f t="shared" si="148"/>
        <v>1714639</v>
      </c>
      <c r="AL91" s="353">
        <f t="shared" si="157"/>
        <v>556628</v>
      </c>
      <c r="AM91" s="353">
        <f t="shared" si="157"/>
        <v>0</v>
      </c>
      <c r="AN91" s="353">
        <f t="shared" si="149"/>
        <v>556628</v>
      </c>
      <c r="AO91" s="353">
        <f t="shared" si="158"/>
        <v>0</v>
      </c>
      <c r="AP91" s="353">
        <f t="shared" si="158"/>
        <v>0</v>
      </c>
      <c r="AQ91" s="353">
        <f t="shared" si="150"/>
        <v>0</v>
      </c>
      <c r="AR91" s="353">
        <f t="shared" si="159"/>
        <v>7294219</v>
      </c>
      <c r="AS91" s="353">
        <f t="shared" si="159"/>
        <v>0</v>
      </c>
      <c r="AT91" s="353">
        <f t="shared" si="151"/>
        <v>7294219</v>
      </c>
      <c r="AU91" s="353">
        <f t="shared" si="160"/>
        <v>0</v>
      </c>
      <c r="AV91" s="353">
        <f t="shared" si="160"/>
        <v>0</v>
      </c>
      <c r="AW91" s="353">
        <f t="shared" si="152"/>
        <v>0</v>
      </c>
      <c r="AX91" s="353">
        <f t="shared" si="161"/>
        <v>0</v>
      </c>
      <c r="AY91" s="353">
        <f t="shared" si="161"/>
        <v>0</v>
      </c>
      <c r="AZ91" s="353">
        <f t="shared" si="162"/>
        <v>0</v>
      </c>
      <c r="BA91" s="354">
        <f t="shared" si="153"/>
        <v>17695359</v>
      </c>
    </row>
    <row r="92" spans="1:53">
      <c r="A92" s="138">
        <v>42856</v>
      </c>
      <c r="B92" s="18">
        <v>2219885</v>
      </c>
      <c r="C92" s="18">
        <v>8455346</v>
      </c>
      <c r="D92" s="18">
        <f t="shared" si="116"/>
        <v>10675231</v>
      </c>
      <c r="E92" s="18">
        <f t="shared" si="117"/>
        <v>367344</v>
      </c>
      <c r="F92" s="18">
        <v>0</v>
      </c>
      <c r="G92" s="18">
        <f t="shared" si="118"/>
        <v>367344</v>
      </c>
      <c r="H92" s="18">
        <v>28517</v>
      </c>
      <c r="I92" s="18">
        <v>0</v>
      </c>
      <c r="J92" s="18">
        <f t="shared" si="119"/>
        <v>28517</v>
      </c>
      <c r="K92" s="18">
        <v>0</v>
      </c>
      <c r="L92" s="18">
        <v>0</v>
      </c>
      <c r="M92" s="18">
        <f t="shared" si="120"/>
        <v>0</v>
      </c>
      <c r="N92" s="18">
        <f t="shared" si="121"/>
        <v>1327849</v>
      </c>
      <c r="O92" s="18">
        <v>0</v>
      </c>
      <c r="P92" s="18">
        <f t="shared" si="122"/>
        <v>1327849</v>
      </c>
      <c r="Q92" s="18">
        <v>0</v>
      </c>
      <c r="R92" s="18">
        <v>0</v>
      </c>
      <c r="S92" s="18">
        <f t="shared" si="123"/>
        <v>0</v>
      </c>
      <c r="T92" s="18">
        <v>0</v>
      </c>
      <c r="U92" s="18">
        <v>0</v>
      </c>
      <c r="V92" s="18">
        <f t="shared" si="146"/>
        <v>0</v>
      </c>
      <c r="W92" s="18">
        <f t="shared" si="115"/>
        <v>3943595</v>
      </c>
      <c r="X92" s="18">
        <f t="shared" si="124"/>
        <v>8455346</v>
      </c>
      <c r="Y92" s="235">
        <f t="shared" si="125"/>
        <v>12398941</v>
      </c>
      <c r="Z92" s="18">
        <v>0</v>
      </c>
      <c r="AA92" s="18">
        <v>367344</v>
      </c>
      <c r="AB92" s="18">
        <f t="shared" si="129"/>
        <v>367344</v>
      </c>
      <c r="AC92" s="352">
        <v>0</v>
      </c>
      <c r="AD92" s="18">
        <v>1327849</v>
      </c>
      <c r="AE92" s="18">
        <f t="shared" si="127"/>
        <v>1327849</v>
      </c>
      <c r="AF92" s="352">
        <f t="shared" si="154"/>
        <v>10349758</v>
      </c>
      <c r="AG92" s="353">
        <f t="shared" si="154"/>
        <v>8455346</v>
      </c>
      <c r="AH92" s="353">
        <f t="shared" si="147"/>
        <v>18805104</v>
      </c>
      <c r="AI92" s="353">
        <f t="shared" si="155"/>
        <v>2049703</v>
      </c>
      <c r="AJ92" s="353">
        <f t="shared" si="156"/>
        <v>0</v>
      </c>
      <c r="AK92" s="353">
        <f t="shared" si="148"/>
        <v>2049703</v>
      </c>
      <c r="AL92" s="353">
        <f t="shared" si="157"/>
        <v>585145</v>
      </c>
      <c r="AM92" s="353">
        <f t="shared" si="157"/>
        <v>0</v>
      </c>
      <c r="AN92" s="353">
        <f t="shared" si="149"/>
        <v>585145</v>
      </c>
      <c r="AO92" s="353">
        <f t="shared" si="158"/>
        <v>0</v>
      </c>
      <c r="AP92" s="353">
        <f t="shared" si="158"/>
        <v>0</v>
      </c>
      <c r="AQ92" s="353">
        <f t="shared" si="150"/>
        <v>0</v>
      </c>
      <c r="AR92" s="353">
        <f t="shared" si="159"/>
        <v>8622068</v>
      </c>
      <c r="AS92" s="353">
        <f t="shared" si="159"/>
        <v>0</v>
      </c>
      <c r="AT92" s="353">
        <f t="shared" si="151"/>
        <v>8622068</v>
      </c>
      <c r="AU92" s="353">
        <f t="shared" si="160"/>
        <v>0</v>
      </c>
      <c r="AV92" s="353">
        <f t="shared" si="160"/>
        <v>0</v>
      </c>
      <c r="AW92" s="353">
        <f t="shared" si="152"/>
        <v>0</v>
      </c>
      <c r="AX92" s="353">
        <f t="shared" si="161"/>
        <v>0</v>
      </c>
      <c r="AY92" s="353">
        <f t="shared" si="161"/>
        <v>0</v>
      </c>
      <c r="AZ92" s="353">
        <f t="shared" si="162"/>
        <v>0</v>
      </c>
      <c r="BA92" s="354">
        <f t="shared" si="153"/>
        <v>30062020</v>
      </c>
    </row>
    <row r="93" spans="1:53">
      <c r="A93" s="138">
        <v>42887</v>
      </c>
      <c r="B93" s="18">
        <v>2404533</v>
      </c>
      <c r="C93" s="18">
        <v>10825825</v>
      </c>
      <c r="D93" s="18">
        <f t="shared" si="116"/>
        <v>13230358</v>
      </c>
      <c r="E93" s="18">
        <f t="shared" si="117"/>
        <v>372167</v>
      </c>
      <c r="F93" s="18">
        <v>0</v>
      </c>
      <c r="G93" s="18">
        <f t="shared" si="118"/>
        <v>372167</v>
      </c>
      <c r="H93" s="18">
        <v>41729</v>
      </c>
      <c r="I93" s="18">
        <v>0</v>
      </c>
      <c r="J93" s="18">
        <f t="shared" si="119"/>
        <v>41729</v>
      </c>
      <c r="K93" s="18">
        <v>0</v>
      </c>
      <c r="L93" s="18">
        <v>0</v>
      </c>
      <c r="M93" s="18">
        <f t="shared" si="120"/>
        <v>0</v>
      </c>
      <c r="N93" s="18">
        <f t="shared" si="121"/>
        <v>1385530</v>
      </c>
      <c r="O93" s="18">
        <v>0</v>
      </c>
      <c r="P93" s="18">
        <f t="shared" si="122"/>
        <v>1385530</v>
      </c>
      <c r="Q93" s="18">
        <v>11985</v>
      </c>
      <c r="R93" s="18">
        <v>0</v>
      </c>
      <c r="S93" s="18">
        <f t="shared" si="123"/>
        <v>11985</v>
      </c>
      <c r="T93" s="18">
        <v>0</v>
      </c>
      <c r="U93" s="18">
        <v>0</v>
      </c>
      <c r="V93" s="18">
        <f t="shared" si="146"/>
        <v>0</v>
      </c>
      <c r="W93" s="18">
        <f t="shared" si="115"/>
        <v>4215944</v>
      </c>
      <c r="X93" s="18">
        <f t="shared" si="124"/>
        <v>10825825</v>
      </c>
      <c r="Y93" s="235">
        <f t="shared" si="125"/>
        <v>15041769</v>
      </c>
      <c r="Z93" s="18">
        <v>0</v>
      </c>
      <c r="AA93" s="18">
        <v>372167</v>
      </c>
      <c r="AB93" s="18">
        <f t="shared" si="129"/>
        <v>372167</v>
      </c>
      <c r="AC93" s="352">
        <v>0</v>
      </c>
      <c r="AD93" s="18">
        <v>1385530</v>
      </c>
      <c r="AE93" s="18">
        <f t="shared" si="127"/>
        <v>1385530</v>
      </c>
      <c r="AF93" s="352">
        <f t="shared" si="154"/>
        <v>12754291</v>
      </c>
      <c r="AG93" s="353">
        <f t="shared" si="154"/>
        <v>19281171</v>
      </c>
      <c r="AH93" s="353">
        <f t="shared" si="147"/>
        <v>32035462</v>
      </c>
      <c r="AI93" s="353">
        <f t="shared" si="155"/>
        <v>2417047</v>
      </c>
      <c r="AJ93" s="353">
        <f t="shared" si="156"/>
        <v>0</v>
      </c>
      <c r="AK93" s="353">
        <f t="shared" si="148"/>
        <v>2417047</v>
      </c>
      <c r="AL93" s="353">
        <f t="shared" si="157"/>
        <v>626874</v>
      </c>
      <c r="AM93" s="353">
        <f t="shared" si="157"/>
        <v>0</v>
      </c>
      <c r="AN93" s="353">
        <f t="shared" si="149"/>
        <v>626874</v>
      </c>
      <c r="AO93" s="353">
        <f t="shared" si="158"/>
        <v>0</v>
      </c>
      <c r="AP93" s="353">
        <f t="shared" si="158"/>
        <v>0</v>
      </c>
      <c r="AQ93" s="353">
        <f t="shared" si="150"/>
        <v>0</v>
      </c>
      <c r="AR93" s="353">
        <f t="shared" si="159"/>
        <v>10007598</v>
      </c>
      <c r="AS93" s="353">
        <f t="shared" si="159"/>
        <v>0</v>
      </c>
      <c r="AT93" s="353">
        <f t="shared" si="151"/>
        <v>10007598</v>
      </c>
      <c r="AU93" s="353">
        <f t="shared" si="160"/>
        <v>11985</v>
      </c>
      <c r="AV93" s="353">
        <f t="shared" si="160"/>
        <v>0</v>
      </c>
      <c r="AW93" s="353">
        <f t="shared" si="152"/>
        <v>11985</v>
      </c>
      <c r="AX93" s="353">
        <f t="shared" si="161"/>
        <v>0</v>
      </c>
      <c r="AY93" s="353">
        <f t="shared" si="161"/>
        <v>0</v>
      </c>
      <c r="AZ93" s="353">
        <f t="shared" si="162"/>
        <v>0</v>
      </c>
      <c r="BA93" s="354">
        <f t="shared" si="153"/>
        <v>45098966</v>
      </c>
    </row>
    <row r="94" spans="1:53">
      <c r="A94" s="138">
        <v>42917</v>
      </c>
      <c r="B94" s="18">
        <v>2221115</v>
      </c>
      <c r="C94" s="18">
        <v>0</v>
      </c>
      <c r="D94" s="18">
        <f t="shared" si="116"/>
        <v>2221115</v>
      </c>
      <c r="E94" s="18">
        <f t="shared" si="117"/>
        <v>516394</v>
      </c>
      <c r="F94" s="18">
        <v>0</v>
      </c>
      <c r="G94" s="18">
        <f t="shared" si="118"/>
        <v>516394</v>
      </c>
      <c r="H94" s="18">
        <v>26125</v>
      </c>
      <c r="I94" s="18">
        <v>0</v>
      </c>
      <c r="J94" s="18">
        <f t="shared" si="119"/>
        <v>26125</v>
      </c>
      <c r="K94" s="18">
        <v>0</v>
      </c>
      <c r="L94" s="18">
        <v>0</v>
      </c>
      <c r="M94" s="18">
        <f t="shared" si="120"/>
        <v>0</v>
      </c>
      <c r="N94" s="18">
        <f t="shared" si="121"/>
        <v>1447987</v>
      </c>
      <c r="O94" s="18">
        <v>0</v>
      </c>
      <c r="P94" s="18">
        <f t="shared" si="122"/>
        <v>1447987</v>
      </c>
      <c r="Q94" s="18">
        <v>0</v>
      </c>
      <c r="R94" s="18">
        <v>0</v>
      </c>
      <c r="S94" s="18">
        <f t="shared" si="123"/>
        <v>0</v>
      </c>
      <c r="T94" s="18">
        <v>0</v>
      </c>
      <c r="U94" s="18">
        <v>0</v>
      </c>
      <c r="V94" s="18">
        <f t="shared" si="146"/>
        <v>0</v>
      </c>
      <c r="W94" s="18">
        <f t="shared" si="115"/>
        <v>4211621</v>
      </c>
      <c r="X94" s="18">
        <f t="shared" si="124"/>
        <v>0</v>
      </c>
      <c r="Y94" s="235">
        <f t="shared" si="125"/>
        <v>4211621</v>
      </c>
      <c r="Z94" s="18">
        <v>0</v>
      </c>
      <c r="AA94" s="18">
        <v>516394</v>
      </c>
      <c r="AB94" s="18">
        <f t="shared" si="129"/>
        <v>516394</v>
      </c>
      <c r="AC94" s="352">
        <v>0</v>
      </c>
      <c r="AD94" s="18">
        <v>1447987</v>
      </c>
      <c r="AE94" s="18">
        <f t="shared" si="127"/>
        <v>1447987</v>
      </c>
      <c r="AF94" s="352">
        <f t="shared" si="154"/>
        <v>14975406</v>
      </c>
      <c r="AG94" s="353">
        <f t="shared" si="154"/>
        <v>19281171</v>
      </c>
      <c r="AH94" s="353">
        <f t="shared" si="147"/>
        <v>34256577</v>
      </c>
      <c r="AI94" s="353">
        <f t="shared" si="155"/>
        <v>2789214</v>
      </c>
      <c r="AJ94" s="353">
        <f t="shared" si="156"/>
        <v>0</v>
      </c>
      <c r="AK94" s="353">
        <f t="shared" si="148"/>
        <v>2789214</v>
      </c>
      <c r="AL94" s="353">
        <f t="shared" si="157"/>
        <v>652999</v>
      </c>
      <c r="AM94" s="353">
        <f t="shared" si="157"/>
        <v>0</v>
      </c>
      <c r="AN94" s="353">
        <f t="shared" si="149"/>
        <v>652999</v>
      </c>
      <c r="AO94" s="353">
        <f t="shared" si="158"/>
        <v>0</v>
      </c>
      <c r="AP94" s="353">
        <f t="shared" si="158"/>
        <v>0</v>
      </c>
      <c r="AQ94" s="353">
        <f t="shared" si="150"/>
        <v>0</v>
      </c>
      <c r="AR94" s="353">
        <f t="shared" si="159"/>
        <v>11455585</v>
      </c>
      <c r="AS94" s="353">
        <f t="shared" si="159"/>
        <v>0</v>
      </c>
      <c r="AT94" s="353">
        <f t="shared" si="151"/>
        <v>11455585</v>
      </c>
      <c r="AU94" s="353">
        <f t="shared" si="160"/>
        <v>11985</v>
      </c>
      <c r="AV94" s="353">
        <f t="shared" si="160"/>
        <v>0</v>
      </c>
      <c r="AW94" s="353">
        <f t="shared" si="152"/>
        <v>11985</v>
      </c>
      <c r="AX94" s="353">
        <f t="shared" si="161"/>
        <v>0</v>
      </c>
      <c r="AY94" s="353">
        <f t="shared" si="161"/>
        <v>0</v>
      </c>
      <c r="AZ94" s="353">
        <f t="shared" si="162"/>
        <v>0</v>
      </c>
      <c r="BA94" s="354">
        <f t="shared" si="153"/>
        <v>49166360</v>
      </c>
    </row>
    <row r="95" spans="1:53">
      <c r="A95" s="138">
        <v>42948</v>
      </c>
      <c r="B95" s="18">
        <v>2204241</v>
      </c>
      <c r="C95" s="18">
        <v>22448893</v>
      </c>
      <c r="D95" s="18">
        <f t="shared" si="116"/>
        <v>24653134</v>
      </c>
      <c r="E95" s="18">
        <f t="shared" si="117"/>
        <v>440230</v>
      </c>
      <c r="F95" s="18">
        <v>0</v>
      </c>
      <c r="G95" s="18">
        <f t="shared" si="118"/>
        <v>440230</v>
      </c>
      <c r="H95" s="18">
        <v>50752</v>
      </c>
      <c r="I95" s="18">
        <v>0</v>
      </c>
      <c r="J95" s="18">
        <f t="shared" si="119"/>
        <v>50752</v>
      </c>
      <c r="K95" s="18">
        <v>0</v>
      </c>
      <c r="L95" s="18">
        <v>0</v>
      </c>
      <c r="M95" s="18">
        <f t="shared" si="120"/>
        <v>0</v>
      </c>
      <c r="N95" s="18">
        <f t="shared" si="121"/>
        <v>1788693</v>
      </c>
      <c r="O95" s="18">
        <v>0</v>
      </c>
      <c r="P95" s="18">
        <f t="shared" si="122"/>
        <v>1788693</v>
      </c>
      <c r="Q95" s="18">
        <v>10049</v>
      </c>
      <c r="R95" s="18">
        <v>0</v>
      </c>
      <c r="S95" s="18">
        <f t="shared" si="123"/>
        <v>10049</v>
      </c>
      <c r="T95" s="18">
        <v>0</v>
      </c>
      <c r="U95" s="18">
        <v>0</v>
      </c>
      <c r="V95" s="18">
        <f t="shared" si="146"/>
        <v>0</v>
      </c>
      <c r="W95" s="18">
        <f t="shared" si="115"/>
        <v>4493965</v>
      </c>
      <c r="X95" s="18">
        <f t="shared" si="124"/>
        <v>22448893</v>
      </c>
      <c r="Y95" s="235">
        <f t="shared" si="125"/>
        <v>26942858</v>
      </c>
      <c r="Z95" s="18">
        <v>0</v>
      </c>
      <c r="AA95" s="18">
        <v>440230</v>
      </c>
      <c r="AB95" s="18">
        <f t="shared" si="129"/>
        <v>440230</v>
      </c>
      <c r="AC95" s="352">
        <v>0</v>
      </c>
      <c r="AD95" s="18">
        <v>1788693</v>
      </c>
      <c r="AE95" s="18">
        <f t="shared" si="127"/>
        <v>1788693</v>
      </c>
      <c r="AF95" s="352">
        <f t="shared" si="154"/>
        <v>17179647</v>
      </c>
      <c r="AG95" s="353">
        <f t="shared" si="154"/>
        <v>41730064</v>
      </c>
      <c r="AH95" s="353">
        <f t="shared" si="147"/>
        <v>58909711</v>
      </c>
      <c r="AI95" s="353">
        <f t="shared" si="155"/>
        <v>3305608</v>
      </c>
      <c r="AJ95" s="353">
        <f t="shared" si="156"/>
        <v>0</v>
      </c>
      <c r="AK95" s="353">
        <f t="shared" si="148"/>
        <v>3305608</v>
      </c>
      <c r="AL95" s="353">
        <f t="shared" si="157"/>
        <v>703751</v>
      </c>
      <c r="AM95" s="353">
        <f t="shared" si="157"/>
        <v>0</v>
      </c>
      <c r="AN95" s="353">
        <f t="shared" si="149"/>
        <v>703751</v>
      </c>
      <c r="AO95" s="353">
        <f t="shared" si="158"/>
        <v>0</v>
      </c>
      <c r="AP95" s="353">
        <f t="shared" si="158"/>
        <v>0</v>
      </c>
      <c r="AQ95" s="353">
        <f t="shared" si="150"/>
        <v>0</v>
      </c>
      <c r="AR95" s="353">
        <f t="shared" si="159"/>
        <v>13244278</v>
      </c>
      <c r="AS95" s="353">
        <f t="shared" si="159"/>
        <v>0</v>
      </c>
      <c r="AT95" s="353">
        <f t="shared" si="151"/>
        <v>13244278</v>
      </c>
      <c r="AU95" s="353">
        <f t="shared" si="160"/>
        <v>22034</v>
      </c>
      <c r="AV95" s="353">
        <f t="shared" si="160"/>
        <v>0</v>
      </c>
      <c r="AW95" s="353">
        <f t="shared" si="152"/>
        <v>22034</v>
      </c>
      <c r="AX95" s="353">
        <f t="shared" si="161"/>
        <v>0</v>
      </c>
      <c r="AY95" s="353">
        <f t="shared" si="161"/>
        <v>0</v>
      </c>
      <c r="AZ95" s="353">
        <f t="shared" si="162"/>
        <v>0</v>
      </c>
      <c r="BA95" s="354">
        <f t="shared" si="153"/>
        <v>76185382</v>
      </c>
    </row>
    <row r="96" spans="1:53">
      <c r="A96" s="138">
        <v>42979</v>
      </c>
      <c r="B96" s="18">
        <v>2274090</v>
      </c>
      <c r="C96" s="18">
        <v>10902520</v>
      </c>
      <c r="D96" s="18">
        <f t="shared" si="116"/>
        <v>13176610</v>
      </c>
      <c r="E96" s="18">
        <f t="shared" si="117"/>
        <v>383102</v>
      </c>
      <c r="F96" s="18">
        <v>0</v>
      </c>
      <c r="G96" s="18">
        <f t="shared" si="118"/>
        <v>383102</v>
      </c>
      <c r="H96" s="18">
        <v>60923</v>
      </c>
      <c r="I96" s="18">
        <v>0</v>
      </c>
      <c r="J96" s="18">
        <f t="shared" si="119"/>
        <v>60923</v>
      </c>
      <c r="K96" s="18">
        <v>0</v>
      </c>
      <c r="L96" s="18">
        <v>0</v>
      </c>
      <c r="M96" s="18">
        <f t="shared" si="120"/>
        <v>0</v>
      </c>
      <c r="N96" s="18">
        <f t="shared" si="121"/>
        <v>1864564</v>
      </c>
      <c r="O96" s="18">
        <v>0</v>
      </c>
      <c r="P96" s="18">
        <f t="shared" si="122"/>
        <v>1864564</v>
      </c>
      <c r="Q96" s="18">
        <v>76232</v>
      </c>
      <c r="R96" s="18">
        <v>0</v>
      </c>
      <c r="S96" s="18">
        <f t="shared" si="123"/>
        <v>76232</v>
      </c>
      <c r="T96" s="18">
        <v>0</v>
      </c>
      <c r="U96" s="18">
        <v>0</v>
      </c>
      <c r="V96" s="18">
        <f t="shared" si="146"/>
        <v>0</v>
      </c>
      <c r="W96" s="18">
        <f t="shared" si="115"/>
        <v>4658911</v>
      </c>
      <c r="X96" s="18">
        <f t="shared" si="124"/>
        <v>10902520</v>
      </c>
      <c r="Y96" s="235">
        <f t="shared" si="125"/>
        <v>15561431</v>
      </c>
      <c r="Z96" s="18">
        <v>0</v>
      </c>
      <c r="AA96" s="18">
        <v>383102</v>
      </c>
      <c r="AB96" s="18">
        <f t="shared" si="129"/>
        <v>383102</v>
      </c>
      <c r="AC96" s="352">
        <v>0</v>
      </c>
      <c r="AD96" s="18">
        <v>1864564</v>
      </c>
      <c r="AE96" s="18">
        <f t="shared" si="127"/>
        <v>1864564</v>
      </c>
      <c r="AF96" s="352">
        <f t="shared" si="154"/>
        <v>19453737</v>
      </c>
      <c r="AG96" s="353">
        <f t="shared" si="154"/>
        <v>52632584</v>
      </c>
      <c r="AH96" s="353">
        <f t="shared" si="147"/>
        <v>72086321</v>
      </c>
      <c r="AI96" s="353">
        <f t="shared" si="155"/>
        <v>3745838</v>
      </c>
      <c r="AJ96" s="353">
        <f t="shared" si="156"/>
        <v>0</v>
      </c>
      <c r="AK96" s="353">
        <f t="shared" si="148"/>
        <v>3745838</v>
      </c>
      <c r="AL96" s="353">
        <f t="shared" si="157"/>
        <v>764674</v>
      </c>
      <c r="AM96" s="353">
        <f t="shared" si="157"/>
        <v>0</v>
      </c>
      <c r="AN96" s="353">
        <f t="shared" si="149"/>
        <v>764674</v>
      </c>
      <c r="AO96" s="353">
        <f t="shared" si="158"/>
        <v>0</v>
      </c>
      <c r="AP96" s="353">
        <f t="shared" si="158"/>
        <v>0</v>
      </c>
      <c r="AQ96" s="353">
        <f t="shared" si="150"/>
        <v>0</v>
      </c>
      <c r="AR96" s="353">
        <f t="shared" si="159"/>
        <v>15108842</v>
      </c>
      <c r="AS96" s="353">
        <f t="shared" si="159"/>
        <v>0</v>
      </c>
      <c r="AT96" s="353">
        <f t="shared" si="151"/>
        <v>15108842</v>
      </c>
      <c r="AU96" s="353">
        <f t="shared" si="160"/>
        <v>98266</v>
      </c>
      <c r="AV96" s="353">
        <f t="shared" si="160"/>
        <v>0</v>
      </c>
      <c r="AW96" s="353">
        <f t="shared" si="152"/>
        <v>98266</v>
      </c>
      <c r="AX96" s="353">
        <f t="shared" si="161"/>
        <v>0</v>
      </c>
      <c r="AY96" s="353">
        <f t="shared" si="161"/>
        <v>0</v>
      </c>
      <c r="AZ96" s="353">
        <f t="shared" si="162"/>
        <v>0</v>
      </c>
      <c r="BA96" s="354">
        <f t="shared" si="153"/>
        <v>91803941</v>
      </c>
    </row>
    <row r="97" spans="1:53">
      <c r="A97" s="138">
        <v>43009</v>
      </c>
      <c r="B97" s="18">
        <v>2200220</v>
      </c>
      <c r="C97" s="18">
        <v>0</v>
      </c>
      <c r="D97" s="18">
        <f t="shared" si="116"/>
        <v>2200220</v>
      </c>
      <c r="E97" s="18">
        <f t="shared" si="117"/>
        <v>325147</v>
      </c>
      <c r="F97" s="18">
        <v>0</v>
      </c>
      <c r="G97" s="18">
        <f t="shared" si="118"/>
        <v>325147</v>
      </c>
      <c r="H97" s="18">
        <v>78524</v>
      </c>
      <c r="I97" s="18">
        <v>0</v>
      </c>
      <c r="J97" s="18">
        <f t="shared" si="119"/>
        <v>78524</v>
      </c>
      <c r="K97" s="18">
        <v>0</v>
      </c>
      <c r="L97" s="18">
        <v>0</v>
      </c>
      <c r="M97" s="18">
        <f t="shared" si="120"/>
        <v>0</v>
      </c>
      <c r="N97" s="18">
        <f t="shared" si="121"/>
        <v>1790442</v>
      </c>
      <c r="O97" s="18">
        <v>0</v>
      </c>
      <c r="P97" s="18">
        <f t="shared" si="122"/>
        <v>1790442</v>
      </c>
      <c r="Q97" s="18">
        <v>21040</v>
      </c>
      <c r="R97" s="18">
        <v>0</v>
      </c>
      <c r="S97" s="18">
        <f t="shared" si="123"/>
        <v>21040</v>
      </c>
      <c r="T97" s="18">
        <v>0</v>
      </c>
      <c r="U97" s="18">
        <v>0</v>
      </c>
      <c r="V97" s="18">
        <f t="shared" si="146"/>
        <v>0</v>
      </c>
      <c r="W97" s="18">
        <f t="shared" si="115"/>
        <v>4415373</v>
      </c>
      <c r="X97" s="18">
        <f t="shared" si="124"/>
        <v>0</v>
      </c>
      <c r="Y97" s="235">
        <f t="shared" si="125"/>
        <v>4415373</v>
      </c>
      <c r="Z97" s="18">
        <v>0</v>
      </c>
      <c r="AA97" s="18">
        <v>325147</v>
      </c>
      <c r="AB97" s="18">
        <f t="shared" si="129"/>
        <v>325147</v>
      </c>
      <c r="AC97" s="352">
        <v>0</v>
      </c>
      <c r="AD97" s="18">
        <v>1790442</v>
      </c>
      <c r="AE97" s="18">
        <f t="shared" si="127"/>
        <v>1790442</v>
      </c>
      <c r="AF97" s="352">
        <f t="shared" si="154"/>
        <v>21653957</v>
      </c>
      <c r="AG97" s="353">
        <f t="shared" si="154"/>
        <v>52632584</v>
      </c>
      <c r="AH97" s="353">
        <f t="shared" si="147"/>
        <v>74286541</v>
      </c>
      <c r="AI97" s="353">
        <f t="shared" si="155"/>
        <v>4128940</v>
      </c>
      <c r="AJ97" s="353">
        <f t="shared" si="156"/>
        <v>0</v>
      </c>
      <c r="AK97" s="353">
        <f t="shared" si="148"/>
        <v>4128940</v>
      </c>
      <c r="AL97" s="353">
        <f t="shared" si="157"/>
        <v>843198</v>
      </c>
      <c r="AM97" s="353">
        <f t="shared" si="157"/>
        <v>0</v>
      </c>
      <c r="AN97" s="353">
        <f t="shared" si="149"/>
        <v>843198</v>
      </c>
      <c r="AO97" s="353">
        <f t="shared" si="158"/>
        <v>0</v>
      </c>
      <c r="AP97" s="353">
        <f t="shared" si="158"/>
        <v>0</v>
      </c>
      <c r="AQ97" s="353">
        <f t="shared" si="150"/>
        <v>0</v>
      </c>
      <c r="AR97" s="353">
        <f t="shared" si="159"/>
        <v>16899284</v>
      </c>
      <c r="AS97" s="353">
        <f t="shared" si="159"/>
        <v>0</v>
      </c>
      <c r="AT97" s="353">
        <f t="shared" si="151"/>
        <v>16899284</v>
      </c>
      <c r="AU97" s="353">
        <f t="shared" si="160"/>
        <v>119306</v>
      </c>
      <c r="AV97" s="353">
        <f t="shared" si="160"/>
        <v>0</v>
      </c>
      <c r="AW97" s="353">
        <f t="shared" si="152"/>
        <v>119306</v>
      </c>
      <c r="AX97" s="353">
        <f t="shared" si="161"/>
        <v>0</v>
      </c>
      <c r="AY97" s="353">
        <f t="shared" si="161"/>
        <v>0</v>
      </c>
      <c r="AZ97" s="353">
        <f t="shared" si="162"/>
        <v>0</v>
      </c>
      <c r="BA97" s="354">
        <f t="shared" si="153"/>
        <v>96277269</v>
      </c>
    </row>
    <row r="98" spans="1:53">
      <c r="A98" s="138">
        <v>43040</v>
      </c>
      <c r="B98" s="18">
        <v>2015095</v>
      </c>
      <c r="C98" s="18">
        <v>21236792</v>
      </c>
      <c r="D98" s="18">
        <f t="shared" si="116"/>
        <v>23251887</v>
      </c>
      <c r="E98" s="18">
        <f t="shared" si="117"/>
        <v>597475</v>
      </c>
      <c r="F98" s="18">
        <v>0</v>
      </c>
      <c r="G98" s="18">
        <f t="shared" si="118"/>
        <v>597475</v>
      </c>
      <c r="H98" s="18">
        <v>162998</v>
      </c>
      <c r="I98" s="18">
        <v>0</v>
      </c>
      <c r="J98" s="18">
        <f t="shared" si="119"/>
        <v>162998</v>
      </c>
      <c r="K98" s="18">
        <v>0</v>
      </c>
      <c r="L98" s="18">
        <v>0</v>
      </c>
      <c r="M98" s="18">
        <f t="shared" si="120"/>
        <v>0</v>
      </c>
      <c r="N98" s="18">
        <f t="shared" si="121"/>
        <v>1830738</v>
      </c>
      <c r="O98" s="18">
        <v>0</v>
      </c>
      <c r="P98" s="18">
        <f t="shared" si="122"/>
        <v>1830738</v>
      </c>
      <c r="Q98" s="18">
        <v>1412277</v>
      </c>
      <c r="R98" s="18">
        <v>0</v>
      </c>
      <c r="S98" s="18">
        <f t="shared" si="123"/>
        <v>1412277</v>
      </c>
      <c r="T98" s="18">
        <v>0</v>
      </c>
      <c r="U98" s="18">
        <v>0</v>
      </c>
      <c r="V98" s="18">
        <f t="shared" si="146"/>
        <v>0</v>
      </c>
      <c r="W98" s="18">
        <f t="shared" si="115"/>
        <v>6018583</v>
      </c>
      <c r="X98" s="18">
        <f t="shared" si="124"/>
        <v>21236792</v>
      </c>
      <c r="Y98" s="235">
        <f t="shared" si="125"/>
        <v>27255375</v>
      </c>
      <c r="Z98" s="18">
        <v>0</v>
      </c>
      <c r="AA98" s="18">
        <v>597475</v>
      </c>
      <c r="AB98" s="18">
        <f t="shared" si="129"/>
        <v>597475</v>
      </c>
      <c r="AC98" s="352">
        <v>0</v>
      </c>
      <c r="AD98" s="18">
        <v>1830738</v>
      </c>
      <c r="AE98" s="18">
        <f t="shared" si="127"/>
        <v>1830738</v>
      </c>
      <c r="AF98" s="352">
        <f t="shared" si="154"/>
        <v>23669052</v>
      </c>
      <c r="AG98" s="353">
        <f t="shared" si="154"/>
        <v>73869376</v>
      </c>
      <c r="AH98" s="353">
        <f t="shared" si="147"/>
        <v>97538428</v>
      </c>
      <c r="AI98" s="353">
        <f t="shared" si="155"/>
        <v>4454087</v>
      </c>
      <c r="AJ98" s="353">
        <f t="shared" si="156"/>
        <v>0</v>
      </c>
      <c r="AK98" s="353">
        <f t="shared" si="148"/>
        <v>4454087</v>
      </c>
      <c r="AL98" s="353">
        <f t="shared" si="157"/>
        <v>1006196</v>
      </c>
      <c r="AM98" s="353">
        <f t="shared" si="157"/>
        <v>0</v>
      </c>
      <c r="AN98" s="353">
        <f t="shared" si="149"/>
        <v>1006196</v>
      </c>
      <c r="AO98" s="353">
        <f t="shared" si="158"/>
        <v>0</v>
      </c>
      <c r="AP98" s="353">
        <f t="shared" si="158"/>
        <v>0</v>
      </c>
      <c r="AQ98" s="353">
        <f t="shared" si="150"/>
        <v>0</v>
      </c>
      <c r="AR98" s="353">
        <f t="shared" si="159"/>
        <v>18730022</v>
      </c>
      <c r="AS98" s="353">
        <f t="shared" si="159"/>
        <v>0</v>
      </c>
      <c r="AT98" s="353">
        <f t="shared" si="151"/>
        <v>18730022</v>
      </c>
      <c r="AU98" s="353">
        <f t="shared" si="160"/>
        <v>1531583</v>
      </c>
      <c r="AV98" s="353">
        <f t="shared" si="160"/>
        <v>0</v>
      </c>
      <c r="AW98" s="353">
        <f t="shared" si="152"/>
        <v>1531583</v>
      </c>
      <c r="AX98" s="353">
        <f t="shared" si="161"/>
        <v>0</v>
      </c>
      <c r="AY98" s="353">
        <f t="shared" si="161"/>
        <v>0</v>
      </c>
      <c r="AZ98" s="353">
        <f t="shared" si="162"/>
        <v>0</v>
      </c>
      <c r="BA98" s="354">
        <f t="shared" si="153"/>
        <v>123260316</v>
      </c>
    </row>
    <row r="99" spans="1:53" ht="13.5" customHeight="1" thickBot="1">
      <c r="A99" s="138">
        <v>43070</v>
      </c>
      <c r="B99" s="18">
        <v>1834205</v>
      </c>
      <c r="C99" s="18">
        <v>19714</v>
      </c>
      <c r="D99" s="18">
        <f t="shared" si="116"/>
        <v>1853919</v>
      </c>
      <c r="E99" s="18">
        <f t="shared" si="117"/>
        <v>545276</v>
      </c>
      <c r="F99" s="18">
        <v>0</v>
      </c>
      <c r="G99" s="18">
        <f t="shared" si="118"/>
        <v>545276</v>
      </c>
      <c r="H99" s="18">
        <v>216776</v>
      </c>
      <c r="I99" s="18">
        <v>0</v>
      </c>
      <c r="J99" s="18">
        <f t="shared" si="119"/>
        <v>216776</v>
      </c>
      <c r="K99" s="18">
        <v>0</v>
      </c>
      <c r="L99" s="18">
        <v>0</v>
      </c>
      <c r="M99" s="18">
        <f t="shared" si="120"/>
        <v>0</v>
      </c>
      <c r="N99" s="18">
        <f t="shared" si="121"/>
        <v>2289344</v>
      </c>
      <c r="O99" s="18">
        <v>0</v>
      </c>
      <c r="P99" s="18">
        <f t="shared" si="122"/>
        <v>2289344</v>
      </c>
      <c r="Q99" s="18">
        <v>486515</v>
      </c>
      <c r="R99" s="18">
        <v>0</v>
      </c>
      <c r="S99" s="18">
        <f t="shared" si="123"/>
        <v>486515</v>
      </c>
      <c r="T99" s="18">
        <v>0</v>
      </c>
      <c r="U99" s="18">
        <v>0</v>
      </c>
      <c r="V99" s="18">
        <f t="shared" si="146"/>
        <v>0</v>
      </c>
      <c r="W99" s="18">
        <f t="shared" si="115"/>
        <v>5372116</v>
      </c>
      <c r="X99" s="18">
        <f t="shared" si="124"/>
        <v>19714</v>
      </c>
      <c r="Y99" s="235">
        <f t="shared" si="125"/>
        <v>5391830</v>
      </c>
      <c r="Z99" s="18">
        <v>0</v>
      </c>
      <c r="AA99" s="18">
        <v>545276</v>
      </c>
      <c r="AB99" s="18">
        <f t="shared" si="129"/>
        <v>545276</v>
      </c>
      <c r="AC99" s="352">
        <v>0</v>
      </c>
      <c r="AD99" s="18">
        <v>2289344</v>
      </c>
      <c r="AE99" s="18">
        <f t="shared" si="127"/>
        <v>2289344</v>
      </c>
      <c r="AF99" s="352">
        <f t="shared" si="154"/>
        <v>25503257</v>
      </c>
      <c r="AG99" s="353">
        <f t="shared" si="154"/>
        <v>73889090</v>
      </c>
      <c r="AH99" s="353">
        <f t="shared" si="147"/>
        <v>99392347</v>
      </c>
      <c r="AI99" s="353">
        <f t="shared" si="155"/>
        <v>5051562</v>
      </c>
      <c r="AJ99" s="353">
        <f t="shared" si="156"/>
        <v>0</v>
      </c>
      <c r="AK99" s="353">
        <f t="shared" si="148"/>
        <v>5051562</v>
      </c>
      <c r="AL99" s="353">
        <f t="shared" si="157"/>
        <v>1222972</v>
      </c>
      <c r="AM99" s="353">
        <f t="shared" si="157"/>
        <v>0</v>
      </c>
      <c r="AN99" s="353">
        <f t="shared" si="149"/>
        <v>1222972</v>
      </c>
      <c r="AO99" s="353">
        <f t="shared" si="158"/>
        <v>0</v>
      </c>
      <c r="AP99" s="353">
        <f t="shared" si="158"/>
        <v>0</v>
      </c>
      <c r="AQ99" s="353">
        <f t="shared" si="150"/>
        <v>0</v>
      </c>
      <c r="AR99" s="353">
        <f t="shared" si="159"/>
        <v>21019366</v>
      </c>
      <c r="AS99" s="353">
        <f t="shared" si="159"/>
        <v>0</v>
      </c>
      <c r="AT99" s="353">
        <f t="shared" si="151"/>
        <v>21019366</v>
      </c>
      <c r="AU99" s="353">
        <f t="shared" si="160"/>
        <v>2018098</v>
      </c>
      <c r="AV99" s="353">
        <f t="shared" si="160"/>
        <v>0</v>
      </c>
      <c r="AW99" s="353">
        <f t="shared" si="152"/>
        <v>2018098</v>
      </c>
      <c r="AX99" s="353">
        <f t="shared" si="161"/>
        <v>0</v>
      </c>
      <c r="AY99" s="353">
        <f t="shared" si="161"/>
        <v>0</v>
      </c>
      <c r="AZ99" s="353">
        <f t="shared" si="162"/>
        <v>0</v>
      </c>
      <c r="BA99" s="354">
        <f t="shared" si="153"/>
        <v>128704345</v>
      </c>
    </row>
    <row r="100" spans="1:53">
      <c r="A100" s="141">
        <v>43101</v>
      </c>
      <c r="B100" s="143">
        <v>2191637</v>
      </c>
      <c r="C100" s="143">
        <v>0</v>
      </c>
      <c r="D100" s="143">
        <f t="shared" si="116"/>
        <v>2191637</v>
      </c>
      <c r="E100" s="143">
        <f t="shared" si="117"/>
        <v>321773</v>
      </c>
      <c r="F100" s="143">
        <v>0</v>
      </c>
      <c r="G100" s="143">
        <f t="shared" si="118"/>
        <v>321773</v>
      </c>
      <c r="H100" s="143">
        <v>264103</v>
      </c>
      <c r="I100" s="143">
        <v>0</v>
      </c>
      <c r="J100" s="143">
        <f t="shared" si="119"/>
        <v>264103</v>
      </c>
      <c r="K100" s="143">
        <v>0</v>
      </c>
      <c r="L100" s="143">
        <v>0</v>
      </c>
      <c r="M100" s="143">
        <f t="shared" si="120"/>
        <v>0</v>
      </c>
      <c r="N100" s="143">
        <f t="shared" si="121"/>
        <v>1754449</v>
      </c>
      <c r="O100" s="143">
        <v>0</v>
      </c>
      <c r="P100" s="143">
        <f t="shared" si="122"/>
        <v>1754449</v>
      </c>
      <c r="Q100" s="143">
        <v>0</v>
      </c>
      <c r="R100" s="143">
        <v>0</v>
      </c>
      <c r="S100" s="143">
        <f t="shared" si="123"/>
        <v>0</v>
      </c>
      <c r="T100" s="143">
        <v>0</v>
      </c>
      <c r="U100" s="143">
        <v>0</v>
      </c>
      <c r="V100" s="143">
        <f>U100+T100</f>
        <v>0</v>
      </c>
      <c r="W100" s="143">
        <f t="shared" si="115"/>
        <v>4531962</v>
      </c>
      <c r="X100" s="143">
        <f t="shared" si="124"/>
        <v>0</v>
      </c>
      <c r="Y100" s="237">
        <f t="shared" si="125"/>
        <v>4531962</v>
      </c>
      <c r="Z100" s="143">
        <v>0</v>
      </c>
      <c r="AA100" s="143">
        <v>321773</v>
      </c>
      <c r="AB100" s="143">
        <f>AA100+Z100</f>
        <v>321773</v>
      </c>
      <c r="AC100" s="349">
        <v>0</v>
      </c>
      <c r="AD100" s="143">
        <v>1754449</v>
      </c>
      <c r="AE100" s="143">
        <f t="shared" si="127"/>
        <v>1754449</v>
      </c>
      <c r="AF100" s="349">
        <f>B100</f>
        <v>2191637</v>
      </c>
      <c r="AG100" s="350">
        <f>C100</f>
        <v>0</v>
      </c>
      <c r="AH100" s="350">
        <f>AG100+AF100</f>
        <v>2191637</v>
      </c>
      <c r="AI100" s="350">
        <f>E100</f>
        <v>321773</v>
      </c>
      <c r="AJ100" s="350">
        <f>F100</f>
        <v>0</v>
      </c>
      <c r="AK100" s="350">
        <f>AJ100+AI100</f>
        <v>321773</v>
      </c>
      <c r="AL100" s="350">
        <f>H100</f>
        <v>264103</v>
      </c>
      <c r="AM100" s="350">
        <f>I100</f>
        <v>0</v>
      </c>
      <c r="AN100" s="350">
        <f>AM100+AL100</f>
        <v>264103</v>
      </c>
      <c r="AO100" s="350">
        <f>K100</f>
        <v>0</v>
      </c>
      <c r="AP100" s="350">
        <f>L100</f>
        <v>0</v>
      </c>
      <c r="AQ100" s="350">
        <f>AP100+AO100</f>
        <v>0</v>
      </c>
      <c r="AR100" s="350">
        <f>N100</f>
        <v>1754449</v>
      </c>
      <c r="AS100" s="350">
        <f>O100</f>
        <v>0</v>
      </c>
      <c r="AT100" s="350">
        <f>AS100+AR100</f>
        <v>1754449</v>
      </c>
      <c r="AU100" s="350">
        <f>Q100</f>
        <v>0</v>
      </c>
      <c r="AV100" s="350">
        <f>R100</f>
        <v>0</v>
      </c>
      <c r="AW100" s="350">
        <f>AV100+AU100</f>
        <v>0</v>
      </c>
      <c r="AX100" s="350">
        <f>T100</f>
        <v>0</v>
      </c>
      <c r="AY100" s="350">
        <f>U100</f>
        <v>0</v>
      </c>
      <c r="AZ100" s="350">
        <f>SUM(AX100:AY100)</f>
        <v>0</v>
      </c>
      <c r="BA100" s="351">
        <f>AW100+AT100+AQ100+AN100+AK100+AH100+AZ100</f>
        <v>4531962</v>
      </c>
    </row>
    <row r="101" spans="1:53">
      <c r="A101" s="138">
        <v>43132</v>
      </c>
      <c r="B101" s="18">
        <v>1746856</v>
      </c>
      <c r="C101" s="18">
        <v>0</v>
      </c>
      <c r="D101" s="18">
        <f t="shared" si="116"/>
        <v>1746856</v>
      </c>
      <c r="E101" s="18">
        <f t="shared" si="117"/>
        <v>1440235</v>
      </c>
      <c r="F101" s="18">
        <v>0</v>
      </c>
      <c r="G101" s="18">
        <f t="shared" si="118"/>
        <v>1440235</v>
      </c>
      <c r="H101" s="18">
        <v>243659</v>
      </c>
      <c r="I101" s="18">
        <v>0</v>
      </c>
      <c r="J101" s="18">
        <f t="shared" si="119"/>
        <v>243659</v>
      </c>
      <c r="K101" s="18">
        <v>0</v>
      </c>
      <c r="L101" s="18">
        <v>0</v>
      </c>
      <c r="M101" s="18">
        <f t="shared" si="120"/>
        <v>0</v>
      </c>
      <c r="N101" s="18">
        <f t="shared" si="121"/>
        <v>1951298</v>
      </c>
      <c r="O101" s="18">
        <v>0</v>
      </c>
      <c r="P101" s="18">
        <f t="shared" si="122"/>
        <v>1951298</v>
      </c>
      <c r="Q101" s="18">
        <v>54262</v>
      </c>
      <c r="R101" s="18">
        <v>0</v>
      </c>
      <c r="S101" s="18">
        <f t="shared" si="123"/>
        <v>54262</v>
      </c>
      <c r="T101" s="18">
        <v>0</v>
      </c>
      <c r="U101" s="18">
        <v>0</v>
      </c>
      <c r="V101" s="18">
        <f t="shared" ref="V101:V164" si="163">U101+T101</f>
        <v>0</v>
      </c>
      <c r="W101" s="18">
        <f t="shared" si="115"/>
        <v>5436310</v>
      </c>
      <c r="X101" s="18">
        <f t="shared" si="124"/>
        <v>0</v>
      </c>
      <c r="Y101" s="235">
        <f t="shared" si="125"/>
        <v>5436310</v>
      </c>
      <c r="Z101" s="18">
        <v>0</v>
      </c>
      <c r="AA101" s="18">
        <v>1440235</v>
      </c>
      <c r="AB101" s="18">
        <f t="shared" si="129"/>
        <v>1440235</v>
      </c>
      <c r="AC101" s="352">
        <v>0</v>
      </c>
      <c r="AD101" s="18">
        <v>1951298</v>
      </c>
      <c r="AE101" s="18">
        <f t="shared" si="127"/>
        <v>1951298</v>
      </c>
      <c r="AF101" s="352">
        <f>B101+AF100</f>
        <v>3938493</v>
      </c>
      <c r="AG101" s="353">
        <f>C101+AG100</f>
        <v>0</v>
      </c>
      <c r="AH101" s="353">
        <f t="shared" ref="AH101:AH164" si="164">AG101+AF101</f>
        <v>3938493</v>
      </c>
      <c r="AI101" s="353">
        <f>AI100+E100</f>
        <v>643546</v>
      </c>
      <c r="AJ101" s="353">
        <f>AJ100+F101</f>
        <v>0</v>
      </c>
      <c r="AK101" s="353">
        <f t="shared" ref="AK101:AK137" si="165">AJ101+AI101</f>
        <v>643546</v>
      </c>
      <c r="AL101" s="353">
        <f>AL100+H101</f>
        <v>507762</v>
      </c>
      <c r="AM101" s="353">
        <f>AM100+I101</f>
        <v>0</v>
      </c>
      <c r="AN101" s="353">
        <f t="shared" ref="AN101:AN164" si="166">AM101+AL101</f>
        <v>507762</v>
      </c>
      <c r="AO101" s="353">
        <f>AO100+K101</f>
        <v>0</v>
      </c>
      <c r="AP101" s="353">
        <f>AP100+L101</f>
        <v>0</v>
      </c>
      <c r="AQ101" s="353">
        <f t="shared" ref="AQ101:AQ164" si="167">AP101+AO101</f>
        <v>0</v>
      </c>
      <c r="AR101" s="353">
        <f>AR100+N101</f>
        <v>3705747</v>
      </c>
      <c r="AS101" s="353">
        <f>AS100+O101</f>
        <v>0</v>
      </c>
      <c r="AT101" s="353">
        <f t="shared" ref="AT101:AT164" si="168">AS101+AR101</f>
        <v>3705747</v>
      </c>
      <c r="AU101" s="353">
        <f>AU100+Q101</f>
        <v>54262</v>
      </c>
      <c r="AV101" s="353">
        <f>AV100+R101</f>
        <v>0</v>
      </c>
      <c r="AW101" s="353">
        <f t="shared" ref="AW101:AW164" si="169">AV101+AU101</f>
        <v>54262</v>
      </c>
      <c r="AX101" s="353">
        <f>AX100+T101</f>
        <v>0</v>
      </c>
      <c r="AY101" s="353">
        <f>AY100+U101</f>
        <v>0</v>
      </c>
      <c r="AZ101" s="353">
        <f>SUM(AX101:AY101)</f>
        <v>0</v>
      </c>
      <c r="BA101" s="354">
        <f t="shared" ref="BA101:BA111" si="170">AW101+AT101+AQ101+AN101+AK101+AH101+AZ101</f>
        <v>8849810</v>
      </c>
    </row>
    <row r="102" spans="1:53">
      <c r="A102" s="138">
        <v>43160</v>
      </c>
      <c r="B102" s="18">
        <v>2029616</v>
      </c>
      <c r="C102" s="18">
        <v>0</v>
      </c>
      <c r="D102" s="18">
        <f t="shared" si="116"/>
        <v>2029616</v>
      </c>
      <c r="E102" s="18">
        <f t="shared" si="117"/>
        <v>2271977</v>
      </c>
      <c r="F102" s="18">
        <v>0</v>
      </c>
      <c r="G102" s="18">
        <f t="shared" si="118"/>
        <v>2271977</v>
      </c>
      <c r="H102" s="18">
        <v>248001</v>
      </c>
      <c r="I102" s="18">
        <v>0</v>
      </c>
      <c r="J102" s="18">
        <f t="shared" si="119"/>
        <v>248001</v>
      </c>
      <c r="K102" s="18">
        <v>0</v>
      </c>
      <c r="L102" s="18">
        <v>0</v>
      </c>
      <c r="M102" s="18">
        <f t="shared" si="120"/>
        <v>0</v>
      </c>
      <c r="N102" s="18">
        <f t="shared" si="121"/>
        <v>2374590</v>
      </c>
      <c r="O102" s="18">
        <v>0</v>
      </c>
      <c r="P102" s="18">
        <f t="shared" si="122"/>
        <v>2374590</v>
      </c>
      <c r="Q102" s="18">
        <v>69321</v>
      </c>
      <c r="R102" s="18">
        <v>0</v>
      </c>
      <c r="S102" s="18">
        <f t="shared" si="123"/>
        <v>69321</v>
      </c>
      <c r="T102" s="18">
        <v>0</v>
      </c>
      <c r="U102" s="18">
        <v>0</v>
      </c>
      <c r="V102" s="18">
        <f t="shared" si="163"/>
        <v>0</v>
      </c>
      <c r="W102" s="18">
        <f t="shared" si="115"/>
        <v>6993505</v>
      </c>
      <c r="X102" s="18">
        <f t="shared" si="124"/>
        <v>0</v>
      </c>
      <c r="Y102" s="235">
        <f t="shared" si="125"/>
        <v>6993505</v>
      </c>
      <c r="Z102" s="18">
        <v>0</v>
      </c>
      <c r="AA102" s="18">
        <v>2271977</v>
      </c>
      <c r="AB102" s="18">
        <f t="shared" si="129"/>
        <v>2271977</v>
      </c>
      <c r="AC102" s="352">
        <v>0</v>
      </c>
      <c r="AD102" s="18">
        <v>2374590</v>
      </c>
      <c r="AE102" s="18">
        <f t="shared" si="127"/>
        <v>2374590</v>
      </c>
      <c r="AF102" s="352">
        <f t="shared" ref="AF102:AG111" si="171">B102+AF101</f>
        <v>5968109</v>
      </c>
      <c r="AG102" s="353">
        <f t="shared" si="171"/>
        <v>0</v>
      </c>
      <c r="AH102" s="353">
        <f t="shared" si="164"/>
        <v>5968109</v>
      </c>
      <c r="AI102" s="353">
        <f t="shared" ref="AI102:AI108" si="172">AI101+E101</f>
        <v>2083781</v>
      </c>
      <c r="AJ102" s="353">
        <f t="shared" ref="AJ102:AJ108" si="173">AJ101+F102</f>
        <v>0</v>
      </c>
      <c r="AK102" s="353">
        <f t="shared" si="165"/>
        <v>2083781</v>
      </c>
      <c r="AL102" s="353">
        <f t="shared" ref="AL102:AM111" si="174">AL101+H102</f>
        <v>755763</v>
      </c>
      <c r="AM102" s="353">
        <f t="shared" si="174"/>
        <v>0</v>
      </c>
      <c r="AN102" s="353">
        <f t="shared" si="166"/>
        <v>755763</v>
      </c>
      <c r="AO102" s="353">
        <f t="shared" ref="AO102:AP111" si="175">AO101+K102</f>
        <v>0</v>
      </c>
      <c r="AP102" s="353">
        <f t="shared" si="175"/>
        <v>0</v>
      </c>
      <c r="AQ102" s="353">
        <f t="shared" si="167"/>
        <v>0</v>
      </c>
      <c r="AR102" s="353">
        <f t="shared" ref="AR102:AS111" si="176">AR101+N102</f>
        <v>6080337</v>
      </c>
      <c r="AS102" s="353">
        <f t="shared" si="176"/>
        <v>0</v>
      </c>
      <c r="AT102" s="353">
        <f t="shared" si="168"/>
        <v>6080337</v>
      </c>
      <c r="AU102" s="353">
        <f t="shared" ref="AU102:AV111" si="177">AU101+Q102</f>
        <v>123583</v>
      </c>
      <c r="AV102" s="353">
        <f t="shared" si="177"/>
        <v>0</v>
      </c>
      <c r="AW102" s="353">
        <f t="shared" si="169"/>
        <v>123583</v>
      </c>
      <c r="AX102" s="353">
        <f t="shared" ref="AX102:AY111" si="178">AX101+T102</f>
        <v>0</v>
      </c>
      <c r="AY102" s="353">
        <f t="shared" si="178"/>
        <v>0</v>
      </c>
      <c r="AZ102" s="353">
        <f t="shared" ref="AZ102:AZ111" si="179">SUM(AX102:AY102)</f>
        <v>0</v>
      </c>
      <c r="BA102" s="354">
        <f t="shared" si="170"/>
        <v>15011573</v>
      </c>
    </row>
    <row r="103" spans="1:53">
      <c r="A103" s="138">
        <v>43191</v>
      </c>
      <c r="B103" s="18">
        <v>2129955</v>
      </c>
      <c r="C103" s="18">
        <v>0</v>
      </c>
      <c r="D103" s="18">
        <f t="shared" si="116"/>
        <v>2129955</v>
      </c>
      <c r="E103" s="18">
        <f t="shared" si="117"/>
        <v>1030741</v>
      </c>
      <c r="F103" s="18">
        <v>0</v>
      </c>
      <c r="G103" s="18">
        <f t="shared" si="118"/>
        <v>1030741</v>
      </c>
      <c r="H103" s="18">
        <v>181496</v>
      </c>
      <c r="I103" s="18">
        <v>0</v>
      </c>
      <c r="J103" s="18">
        <f t="shared" si="119"/>
        <v>181496</v>
      </c>
      <c r="K103" s="18">
        <v>0</v>
      </c>
      <c r="L103" s="18">
        <v>0</v>
      </c>
      <c r="M103" s="18">
        <f t="shared" si="120"/>
        <v>0</v>
      </c>
      <c r="N103" s="18">
        <f t="shared" si="121"/>
        <v>1791949</v>
      </c>
      <c r="O103" s="18">
        <v>0</v>
      </c>
      <c r="P103" s="18">
        <f t="shared" si="122"/>
        <v>1791949</v>
      </c>
      <c r="Q103" s="18">
        <v>182174</v>
      </c>
      <c r="R103" s="18">
        <v>0</v>
      </c>
      <c r="S103" s="18">
        <f t="shared" si="123"/>
        <v>182174</v>
      </c>
      <c r="T103" s="18">
        <v>0</v>
      </c>
      <c r="U103" s="18">
        <v>0</v>
      </c>
      <c r="V103" s="18">
        <f t="shared" si="163"/>
        <v>0</v>
      </c>
      <c r="W103" s="18">
        <f t="shared" si="115"/>
        <v>5316315</v>
      </c>
      <c r="X103" s="18">
        <f t="shared" si="124"/>
        <v>0</v>
      </c>
      <c r="Y103" s="235">
        <f t="shared" si="125"/>
        <v>5316315</v>
      </c>
      <c r="Z103" s="18">
        <v>0</v>
      </c>
      <c r="AA103" s="18">
        <v>1030741</v>
      </c>
      <c r="AB103" s="18">
        <f t="shared" si="129"/>
        <v>1030741</v>
      </c>
      <c r="AC103" s="352">
        <v>0</v>
      </c>
      <c r="AD103" s="18">
        <v>1791949</v>
      </c>
      <c r="AE103" s="18">
        <f t="shared" si="127"/>
        <v>1791949</v>
      </c>
      <c r="AF103" s="352">
        <f t="shared" si="171"/>
        <v>8098064</v>
      </c>
      <c r="AG103" s="353">
        <f t="shared" si="171"/>
        <v>0</v>
      </c>
      <c r="AH103" s="353">
        <f t="shared" si="164"/>
        <v>8098064</v>
      </c>
      <c r="AI103" s="353">
        <f t="shared" si="172"/>
        <v>4355758</v>
      </c>
      <c r="AJ103" s="353">
        <f t="shared" si="173"/>
        <v>0</v>
      </c>
      <c r="AK103" s="353">
        <f t="shared" si="165"/>
        <v>4355758</v>
      </c>
      <c r="AL103" s="353">
        <f t="shared" si="174"/>
        <v>937259</v>
      </c>
      <c r="AM103" s="353">
        <f t="shared" si="174"/>
        <v>0</v>
      </c>
      <c r="AN103" s="353">
        <f t="shared" si="166"/>
        <v>937259</v>
      </c>
      <c r="AO103" s="353">
        <f t="shared" si="175"/>
        <v>0</v>
      </c>
      <c r="AP103" s="353">
        <f t="shared" si="175"/>
        <v>0</v>
      </c>
      <c r="AQ103" s="353">
        <f t="shared" si="167"/>
        <v>0</v>
      </c>
      <c r="AR103" s="353">
        <f t="shared" si="176"/>
        <v>7872286</v>
      </c>
      <c r="AS103" s="353">
        <f t="shared" si="176"/>
        <v>0</v>
      </c>
      <c r="AT103" s="353">
        <f t="shared" si="168"/>
        <v>7872286</v>
      </c>
      <c r="AU103" s="353">
        <f t="shared" si="177"/>
        <v>305757</v>
      </c>
      <c r="AV103" s="353">
        <f t="shared" si="177"/>
        <v>0</v>
      </c>
      <c r="AW103" s="353">
        <f t="shared" si="169"/>
        <v>305757</v>
      </c>
      <c r="AX103" s="353">
        <f t="shared" si="178"/>
        <v>0</v>
      </c>
      <c r="AY103" s="353">
        <f t="shared" si="178"/>
        <v>0</v>
      </c>
      <c r="AZ103" s="353">
        <f t="shared" si="179"/>
        <v>0</v>
      </c>
      <c r="BA103" s="354">
        <f t="shared" si="170"/>
        <v>21569124</v>
      </c>
    </row>
    <row r="104" spans="1:53">
      <c r="A104" s="138">
        <v>43221</v>
      </c>
      <c r="B104" s="18">
        <v>2025926</v>
      </c>
      <c r="C104" s="18">
        <v>0</v>
      </c>
      <c r="D104" s="18">
        <f t="shared" si="116"/>
        <v>2025926</v>
      </c>
      <c r="E104" s="18">
        <f t="shared" si="117"/>
        <v>430228</v>
      </c>
      <c r="F104" s="18">
        <v>0</v>
      </c>
      <c r="G104" s="18">
        <f t="shared" si="118"/>
        <v>430228</v>
      </c>
      <c r="H104" s="18">
        <v>86075</v>
      </c>
      <c r="I104" s="18">
        <v>0</v>
      </c>
      <c r="J104" s="18">
        <f t="shared" si="119"/>
        <v>86075</v>
      </c>
      <c r="K104" s="18">
        <v>0</v>
      </c>
      <c r="L104" s="18">
        <v>0</v>
      </c>
      <c r="M104" s="18">
        <f t="shared" si="120"/>
        <v>0</v>
      </c>
      <c r="N104" s="18">
        <f t="shared" si="121"/>
        <v>1878943</v>
      </c>
      <c r="O104" s="18">
        <v>0</v>
      </c>
      <c r="P104" s="18">
        <f t="shared" si="122"/>
        <v>1878943</v>
      </c>
      <c r="Q104" s="18">
        <v>225406</v>
      </c>
      <c r="R104" s="18">
        <v>0</v>
      </c>
      <c r="S104" s="18">
        <f t="shared" si="123"/>
        <v>225406</v>
      </c>
      <c r="T104" s="18">
        <v>0</v>
      </c>
      <c r="U104" s="18">
        <v>0</v>
      </c>
      <c r="V104" s="18">
        <f t="shared" si="163"/>
        <v>0</v>
      </c>
      <c r="W104" s="18">
        <f t="shared" si="115"/>
        <v>4646578</v>
      </c>
      <c r="X104" s="18">
        <f t="shared" si="124"/>
        <v>0</v>
      </c>
      <c r="Y104" s="235">
        <f t="shared" si="125"/>
        <v>4646578</v>
      </c>
      <c r="Z104" s="18">
        <v>0</v>
      </c>
      <c r="AA104" s="18">
        <v>430228</v>
      </c>
      <c r="AB104" s="18">
        <f t="shared" si="129"/>
        <v>430228</v>
      </c>
      <c r="AC104" s="352">
        <v>0</v>
      </c>
      <c r="AD104" s="18">
        <v>1878943</v>
      </c>
      <c r="AE104" s="18">
        <f t="shared" si="127"/>
        <v>1878943</v>
      </c>
      <c r="AF104" s="352">
        <f t="shared" si="171"/>
        <v>10123990</v>
      </c>
      <c r="AG104" s="353">
        <f t="shared" si="171"/>
        <v>0</v>
      </c>
      <c r="AH104" s="353">
        <f t="shared" si="164"/>
        <v>10123990</v>
      </c>
      <c r="AI104" s="353">
        <f t="shared" si="172"/>
        <v>5386499</v>
      </c>
      <c r="AJ104" s="353">
        <f t="shared" si="173"/>
        <v>0</v>
      </c>
      <c r="AK104" s="353">
        <f t="shared" si="165"/>
        <v>5386499</v>
      </c>
      <c r="AL104" s="353">
        <f t="shared" si="174"/>
        <v>1023334</v>
      </c>
      <c r="AM104" s="353">
        <f t="shared" si="174"/>
        <v>0</v>
      </c>
      <c r="AN104" s="353">
        <f t="shared" si="166"/>
        <v>1023334</v>
      </c>
      <c r="AO104" s="353">
        <f t="shared" si="175"/>
        <v>0</v>
      </c>
      <c r="AP104" s="353">
        <f t="shared" si="175"/>
        <v>0</v>
      </c>
      <c r="AQ104" s="353">
        <f t="shared" si="167"/>
        <v>0</v>
      </c>
      <c r="AR104" s="353">
        <f t="shared" si="176"/>
        <v>9751229</v>
      </c>
      <c r="AS104" s="353">
        <f t="shared" si="176"/>
        <v>0</v>
      </c>
      <c r="AT104" s="353">
        <f t="shared" si="168"/>
        <v>9751229</v>
      </c>
      <c r="AU104" s="353">
        <f t="shared" si="177"/>
        <v>531163</v>
      </c>
      <c r="AV104" s="353">
        <f t="shared" si="177"/>
        <v>0</v>
      </c>
      <c r="AW104" s="353">
        <f t="shared" si="169"/>
        <v>531163</v>
      </c>
      <c r="AX104" s="353">
        <f t="shared" si="178"/>
        <v>0</v>
      </c>
      <c r="AY104" s="353">
        <f t="shared" si="178"/>
        <v>0</v>
      </c>
      <c r="AZ104" s="353">
        <f t="shared" si="179"/>
        <v>0</v>
      </c>
      <c r="BA104" s="354">
        <f t="shared" si="170"/>
        <v>26816215</v>
      </c>
    </row>
    <row r="105" spans="1:53">
      <c r="A105" s="138">
        <v>43252</v>
      </c>
      <c r="B105" s="18">
        <v>2194561</v>
      </c>
      <c r="C105" s="18">
        <v>0</v>
      </c>
      <c r="D105" s="18">
        <f t="shared" si="116"/>
        <v>2194561</v>
      </c>
      <c r="E105" s="18">
        <f t="shared" si="117"/>
        <v>930706</v>
      </c>
      <c r="F105" s="18">
        <v>0</v>
      </c>
      <c r="G105" s="18">
        <f t="shared" si="118"/>
        <v>930706</v>
      </c>
      <c r="H105" s="18">
        <v>57169</v>
      </c>
      <c r="I105" s="18">
        <v>0</v>
      </c>
      <c r="J105" s="18">
        <f t="shared" si="119"/>
        <v>57169</v>
      </c>
      <c r="K105" s="18">
        <v>0</v>
      </c>
      <c r="L105" s="18">
        <v>0</v>
      </c>
      <c r="M105" s="18">
        <f t="shared" si="120"/>
        <v>0</v>
      </c>
      <c r="N105" s="18">
        <f t="shared" si="121"/>
        <v>277187</v>
      </c>
      <c r="O105" s="18">
        <v>0</v>
      </c>
      <c r="P105" s="18">
        <f t="shared" si="122"/>
        <v>277187</v>
      </c>
      <c r="Q105" s="18">
        <v>356242</v>
      </c>
      <c r="R105" s="18">
        <v>0</v>
      </c>
      <c r="S105" s="18">
        <f t="shared" si="123"/>
        <v>356242</v>
      </c>
      <c r="T105" s="18">
        <v>0</v>
      </c>
      <c r="U105" s="18">
        <v>0</v>
      </c>
      <c r="V105" s="18">
        <f t="shared" si="163"/>
        <v>0</v>
      </c>
      <c r="W105" s="18">
        <f t="shared" si="115"/>
        <v>3815865</v>
      </c>
      <c r="X105" s="18">
        <f t="shared" si="124"/>
        <v>0</v>
      </c>
      <c r="Y105" s="235">
        <f t="shared" si="125"/>
        <v>3815865</v>
      </c>
      <c r="Z105" s="18">
        <v>0</v>
      </c>
      <c r="AA105" s="18">
        <v>930706</v>
      </c>
      <c r="AB105" s="18">
        <f t="shared" si="129"/>
        <v>930706</v>
      </c>
      <c r="AC105" s="352">
        <v>0</v>
      </c>
      <c r="AD105" s="18">
        <v>277187</v>
      </c>
      <c r="AE105" s="18">
        <f t="shared" si="127"/>
        <v>277187</v>
      </c>
      <c r="AF105" s="352">
        <f t="shared" si="171"/>
        <v>12318551</v>
      </c>
      <c r="AG105" s="353">
        <f t="shared" si="171"/>
        <v>0</v>
      </c>
      <c r="AH105" s="353">
        <f t="shared" si="164"/>
        <v>12318551</v>
      </c>
      <c r="AI105" s="353">
        <f t="shared" si="172"/>
        <v>5816727</v>
      </c>
      <c r="AJ105" s="353">
        <f t="shared" si="173"/>
        <v>0</v>
      </c>
      <c r="AK105" s="353">
        <f t="shared" si="165"/>
        <v>5816727</v>
      </c>
      <c r="AL105" s="353">
        <f t="shared" si="174"/>
        <v>1080503</v>
      </c>
      <c r="AM105" s="353">
        <f t="shared" si="174"/>
        <v>0</v>
      </c>
      <c r="AN105" s="353">
        <f t="shared" si="166"/>
        <v>1080503</v>
      </c>
      <c r="AO105" s="353">
        <f t="shared" si="175"/>
        <v>0</v>
      </c>
      <c r="AP105" s="353">
        <f t="shared" si="175"/>
        <v>0</v>
      </c>
      <c r="AQ105" s="353">
        <f t="shared" si="167"/>
        <v>0</v>
      </c>
      <c r="AR105" s="353">
        <f t="shared" si="176"/>
        <v>10028416</v>
      </c>
      <c r="AS105" s="353">
        <f t="shared" si="176"/>
        <v>0</v>
      </c>
      <c r="AT105" s="353">
        <f t="shared" si="168"/>
        <v>10028416</v>
      </c>
      <c r="AU105" s="353">
        <f t="shared" si="177"/>
        <v>887405</v>
      </c>
      <c r="AV105" s="353">
        <f t="shared" si="177"/>
        <v>0</v>
      </c>
      <c r="AW105" s="353">
        <f t="shared" si="169"/>
        <v>887405</v>
      </c>
      <c r="AX105" s="353">
        <f t="shared" si="178"/>
        <v>0</v>
      </c>
      <c r="AY105" s="353">
        <f t="shared" si="178"/>
        <v>0</v>
      </c>
      <c r="AZ105" s="353">
        <f t="shared" si="179"/>
        <v>0</v>
      </c>
      <c r="BA105" s="354">
        <f t="shared" si="170"/>
        <v>30131602</v>
      </c>
    </row>
    <row r="106" spans="1:53">
      <c r="A106" s="138">
        <v>43282</v>
      </c>
      <c r="B106" s="18">
        <v>2183916</v>
      </c>
      <c r="C106" s="18">
        <v>0</v>
      </c>
      <c r="D106" s="18">
        <f t="shared" si="116"/>
        <v>2183916</v>
      </c>
      <c r="E106" s="18">
        <f t="shared" si="117"/>
        <v>2489820</v>
      </c>
      <c r="F106" s="18">
        <v>0</v>
      </c>
      <c r="G106" s="18">
        <f t="shared" si="118"/>
        <v>2489820</v>
      </c>
      <c r="H106" s="18">
        <v>24500</v>
      </c>
      <c r="I106" s="18">
        <v>0</v>
      </c>
      <c r="J106" s="18">
        <f t="shared" si="119"/>
        <v>24500</v>
      </c>
      <c r="K106" s="18">
        <v>0</v>
      </c>
      <c r="L106" s="18">
        <v>0</v>
      </c>
      <c r="M106" s="18">
        <f t="shared" si="120"/>
        <v>0</v>
      </c>
      <c r="N106" s="18">
        <f t="shared" si="121"/>
        <v>37327</v>
      </c>
      <c r="O106" s="18">
        <v>0</v>
      </c>
      <c r="P106" s="18">
        <f t="shared" si="122"/>
        <v>37327</v>
      </c>
      <c r="Q106" s="18">
        <v>109444</v>
      </c>
      <c r="R106" s="18">
        <v>0</v>
      </c>
      <c r="S106" s="18">
        <f t="shared" si="123"/>
        <v>109444</v>
      </c>
      <c r="T106" s="18">
        <v>0</v>
      </c>
      <c r="U106" s="18">
        <v>0</v>
      </c>
      <c r="V106" s="18">
        <f t="shared" si="163"/>
        <v>0</v>
      </c>
      <c r="W106" s="18">
        <f t="shared" si="115"/>
        <v>4845007</v>
      </c>
      <c r="X106" s="18">
        <f t="shared" si="124"/>
        <v>0</v>
      </c>
      <c r="Y106" s="235">
        <f t="shared" si="125"/>
        <v>4845007</v>
      </c>
      <c r="Z106" s="18">
        <v>0</v>
      </c>
      <c r="AA106" s="18">
        <v>2489820</v>
      </c>
      <c r="AB106" s="18">
        <f t="shared" si="129"/>
        <v>2489820</v>
      </c>
      <c r="AC106" s="352">
        <v>0</v>
      </c>
      <c r="AD106" s="18">
        <v>37327</v>
      </c>
      <c r="AE106" s="18">
        <f t="shared" si="127"/>
        <v>37327</v>
      </c>
      <c r="AF106" s="352">
        <f t="shared" si="171"/>
        <v>14502467</v>
      </c>
      <c r="AG106" s="353">
        <f t="shared" si="171"/>
        <v>0</v>
      </c>
      <c r="AH106" s="353">
        <f t="shared" si="164"/>
        <v>14502467</v>
      </c>
      <c r="AI106" s="353">
        <f t="shared" si="172"/>
        <v>6747433</v>
      </c>
      <c r="AJ106" s="353">
        <f t="shared" si="173"/>
        <v>0</v>
      </c>
      <c r="AK106" s="353">
        <f t="shared" si="165"/>
        <v>6747433</v>
      </c>
      <c r="AL106" s="353">
        <f t="shared" si="174"/>
        <v>1105003</v>
      </c>
      <c r="AM106" s="353">
        <f t="shared" si="174"/>
        <v>0</v>
      </c>
      <c r="AN106" s="353">
        <f t="shared" si="166"/>
        <v>1105003</v>
      </c>
      <c r="AO106" s="353">
        <f t="shared" si="175"/>
        <v>0</v>
      </c>
      <c r="AP106" s="353">
        <f t="shared" si="175"/>
        <v>0</v>
      </c>
      <c r="AQ106" s="353">
        <f t="shared" si="167"/>
        <v>0</v>
      </c>
      <c r="AR106" s="353">
        <f t="shared" si="176"/>
        <v>10065743</v>
      </c>
      <c r="AS106" s="353">
        <f t="shared" si="176"/>
        <v>0</v>
      </c>
      <c r="AT106" s="353">
        <f t="shared" si="168"/>
        <v>10065743</v>
      </c>
      <c r="AU106" s="353">
        <f t="shared" si="177"/>
        <v>996849</v>
      </c>
      <c r="AV106" s="353">
        <f t="shared" si="177"/>
        <v>0</v>
      </c>
      <c r="AW106" s="353">
        <f t="shared" si="169"/>
        <v>996849</v>
      </c>
      <c r="AX106" s="353">
        <f t="shared" si="178"/>
        <v>0</v>
      </c>
      <c r="AY106" s="353">
        <f t="shared" si="178"/>
        <v>0</v>
      </c>
      <c r="AZ106" s="353">
        <f t="shared" si="179"/>
        <v>0</v>
      </c>
      <c r="BA106" s="354">
        <f t="shared" si="170"/>
        <v>33417495</v>
      </c>
    </row>
    <row r="107" spans="1:53">
      <c r="A107" s="138">
        <v>43313</v>
      </c>
      <c r="B107" s="18">
        <v>2143845</v>
      </c>
      <c r="C107" s="18">
        <v>20110256</v>
      </c>
      <c r="D107" s="18">
        <f t="shared" si="116"/>
        <v>22254101</v>
      </c>
      <c r="E107" s="18">
        <f t="shared" si="117"/>
        <v>2138451</v>
      </c>
      <c r="F107" s="18">
        <v>0</v>
      </c>
      <c r="G107" s="18">
        <f t="shared" si="118"/>
        <v>2138451</v>
      </c>
      <c r="H107" s="18">
        <v>0</v>
      </c>
      <c r="I107" s="18">
        <v>0</v>
      </c>
      <c r="J107" s="18">
        <f t="shared" si="119"/>
        <v>0</v>
      </c>
      <c r="K107" s="18">
        <v>0</v>
      </c>
      <c r="L107" s="18">
        <v>0</v>
      </c>
      <c r="M107" s="18">
        <f t="shared" si="120"/>
        <v>0</v>
      </c>
      <c r="N107" s="18">
        <f t="shared" si="121"/>
        <v>1781383</v>
      </c>
      <c r="O107" s="18">
        <v>0</v>
      </c>
      <c r="P107" s="18">
        <f t="shared" si="122"/>
        <v>1781383</v>
      </c>
      <c r="Q107" s="18">
        <v>24246</v>
      </c>
      <c r="R107" s="18">
        <v>0</v>
      </c>
      <c r="S107" s="18">
        <f t="shared" si="123"/>
        <v>24246</v>
      </c>
      <c r="T107" s="18">
        <v>0</v>
      </c>
      <c r="U107" s="18">
        <v>0</v>
      </c>
      <c r="V107" s="18">
        <f t="shared" si="163"/>
        <v>0</v>
      </c>
      <c r="W107" s="18">
        <f t="shared" si="115"/>
        <v>6087925</v>
      </c>
      <c r="X107" s="18">
        <f t="shared" si="124"/>
        <v>20110256</v>
      </c>
      <c r="Y107" s="235">
        <f t="shared" si="125"/>
        <v>26198181</v>
      </c>
      <c r="Z107" s="18">
        <v>0</v>
      </c>
      <c r="AA107" s="18">
        <v>2138451</v>
      </c>
      <c r="AB107" s="18">
        <f t="shared" si="129"/>
        <v>2138451</v>
      </c>
      <c r="AC107" s="352">
        <v>0</v>
      </c>
      <c r="AD107" s="18">
        <v>1781383</v>
      </c>
      <c r="AE107" s="18">
        <f t="shared" si="127"/>
        <v>1781383</v>
      </c>
      <c r="AF107" s="352">
        <f t="shared" si="171"/>
        <v>16646312</v>
      </c>
      <c r="AG107" s="353">
        <f t="shared" si="171"/>
        <v>20110256</v>
      </c>
      <c r="AH107" s="353">
        <f t="shared" si="164"/>
        <v>36756568</v>
      </c>
      <c r="AI107" s="353">
        <f t="shared" si="172"/>
        <v>9237253</v>
      </c>
      <c r="AJ107" s="353">
        <f t="shared" si="173"/>
        <v>0</v>
      </c>
      <c r="AK107" s="353">
        <f t="shared" si="165"/>
        <v>9237253</v>
      </c>
      <c r="AL107" s="353">
        <f t="shared" si="174"/>
        <v>1105003</v>
      </c>
      <c r="AM107" s="353">
        <f t="shared" si="174"/>
        <v>0</v>
      </c>
      <c r="AN107" s="353">
        <f t="shared" si="166"/>
        <v>1105003</v>
      </c>
      <c r="AO107" s="353">
        <f t="shared" si="175"/>
        <v>0</v>
      </c>
      <c r="AP107" s="353">
        <f t="shared" si="175"/>
        <v>0</v>
      </c>
      <c r="AQ107" s="353">
        <f t="shared" si="167"/>
        <v>0</v>
      </c>
      <c r="AR107" s="353">
        <f t="shared" si="176"/>
        <v>11847126</v>
      </c>
      <c r="AS107" s="353">
        <f t="shared" si="176"/>
        <v>0</v>
      </c>
      <c r="AT107" s="353">
        <f t="shared" si="168"/>
        <v>11847126</v>
      </c>
      <c r="AU107" s="353">
        <f t="shared" si="177"/>
        <v>1021095</v>
      </c>
      <c r="AV107" s="353">
        <f t="shared" si="177"/>
        <v>0</v>
      </c>
      <c r="AW107" s="353">
        <f t="shared" si="169"/>
        <v>1021095</v>
      </c>
      <c r="AX107" s="353">
        <f t="shared" si="178"/>
        <v>0</v>
      </c>
      <c r="AY107" s="353">
        <f t="shared" si="178"/>
        <v>0</v>
      </c>
      <c r="AZ107" s="353">
        <f t="shared" si="179"/>
        <v>0</v>
      </c>
      <c r="BA107" s="354">
        <f t="shared" si="170"/>
        <v>59967045</v>
      </c>
    </row>
    <row r="108" spans="1:53">
      <c r="A108" s="138">
        <v>43344</v>
      </c>
      <c r="B108" s="18">
        <v>2068219</v>
      </c>
      <c r="C108" s="18">
        <v>4202525</v>
      </c>
      <c r="D108" s="18">
        <f t="shared" si="116"/>
        <v>6270744</v>
      </c>
      <c r="E108" s="18">
        <f t="shared" si="117"/>
        <v>3630173</v>
      </c>
      <c r="F108" s="18">
        <v>0</v>
      </c>
      <c r="G108" s="18">
        <f t="shared" si="118"/>
        <v>3630173</v>
      </c>
      <c r="H108" s="18">
        <v>22735</v>
      </c>
      <c r="I108" s="18">
        <v>0</v>
      </c>
      <c r="J108" s="18">
        <f t="shared" si="119"/>
        <v>22735</v>
      </c>
      <c r="K108" s="18">
        <v>0</v>
      </c>
      <c r="L108" s="18">
        <v>0</v>
      </c>
      <c r="M108" s="18">
        <f t="shared" si="120"/>
        <v>0</v>
      </c>
      <c r="N108" s="18">
        <f t="shared" si="121"/>
        <v>2807894</v>
      </c>
      <c r="O108" s="18">
        <v>0</v>
      </c>
      <c r="P108" s="18">
        <f t="shared" si="122"/>
        <v>2807894</v>
      </c>
      <c r="Q108" s="18">
        <v>23560</v>
      </c>
      <c r="R108" s="18">
        <v>0</v>
      </c>
      <c r="S108" s="18">
        <f t="shared" si="123"/>
        <v>23560</v>
      </c>
      <c r="T108" s="18">
        <v>0</v>
      </c>
      <c r="U108" s="18">
        <v>0</v>
      </c>
      <c r="V108" s="18">
        <f t="shared" si="163"/>
        <v>0</v>
      </c>
      <c r="W108" s="18">
        <f t="shared" si="115"/>
        <v>8552581</v>
      </c>
      <c r="X108" s="18">
        <f t="shared" si="124"/>
        <v>4202525</v>
      </c>
      <c r="Y108" s="235">
        <f t="shared" si="125"/>
        <v>12755106</v>
      </c>
      <c r="Z108" s="18">
        <v>0</v>
      </c>
      <c r="AA108" s="18">
        <v>3630173</v>
      </c>
      <c r="AB108" s="18">
        <f t="shared" si="129"/>
        <v>3630173</v>
      </c>
      <c r="AC108" s="352">
        <v>0</v>
      </c>
      <c r="AD108" s="18">
        <v>2807894</v>
      </c>
      <c r="AE108" s="18">
        <f t="shared" si="127"/>
        <v>2807894</v>
      </c>
      <c r="AF108" s="352">
        <f t="shared" si="171"/>
        <v>18714531</v>
      </c>
      <c r="AG108" s="353">
        <f t="shared" si="171"/>
        <v>24312781</v>
      </c>
      <c r="AH108" s="353">
        <f t="shared" si="164"/>
        <v>43027312</v>
      </c>
      <c r="AI108" s="353">
        <f t="shared" si="172"/>
        <v>11375704</v>
      </c>
      <c r="AJ108" s="353">
        <f t="shared" si="173"/>
        <v>0</v>
      </c>
      <c r="AK108" s="353">
        <f t="shared" si="165"/>
        <v>11375704</v>
      </c>
      <c r="AL108" s="353">
        <f t="shared" si="174"/>
        <v>1127738</v>
      </c>
      <c r="AM108" s="353">
        <f t="shared" si="174"/>
        <v>0</v>
      </c>
      <c r="AN108" s="353">
        <f t="shared" si="166"/>
        <v>1127738</v>
      </c>
      <c r="AO108" s="353">
        <f t="shared" si="175"/>
        <v>0</v>
      </c>
      <c r="AP108" s="353">
        <f t="shared" si="175"/>
        <v>0</v>
      </c>
      <c r="AQ108" s="353">
        <f t="shared" si="167"/>
        <v>0</v>
      </c>
      <c r="AR108" s="353">
        <f t="shared" si="176"/>
        <v>14655020</v>
      </c>
      <c r="AS108" s="353">
        <f t="shared" si="176"/>
        <v>0</v>
      </c>
      <c r="AT108" s="353">
        <f t="shared" si="168"/>
        <v>14655020</v>
      </c>
      <c r="AU108" s="353">
        <f t="shared" si="177"/>
        <v>1044655</v>
      </c>
      <c r="AV108" s="353">
        <f t="shared" si="177"/>
        <v>0</v>
      </c>
      <c r="AW108" s="353">
        <f t="shared" si="169"/>
        <v>1044655</v>
      </c>
      <c r="AX108" s="353">
        <f t="shared" si="178"/>
        <v>0</v>
      </c>
      <c r="AY108" s="353">
        <f t="shared" si="178"/>
        <v>0</v>
      </c>
      <c r="AZ108" s="353">
        <f t="shared" si="179"/>
        <v>0</v>
      </c>
      <c r="BA108" s="354">
        <f t="shared" si="170"/>
        <v>71230429</v>
      </c>
    </row>
    <row r="109" spans="1:53">
      <c r="A109" s="138">
        <v>43374</v>
      </c>
      <c r="B109" s="18">
        <v>2077899</v>
      </c>
      <c r="C109" s="18">
        <v>19292506</v>
      </c>
      <c r="D109" s="18">
        <f t="shared" si="116"/>
        <v>21370405</v>
      </c>
      <c r="E109" s="18">
        <f t="shared" si="117"/>
        <v>3099580</v>
      </c>
      <c r="F109" s="18">
        <v>0</v>
      </c>
      <c r="G109" s="18">
        <f t="shared" si="118"/>
        <v>3099580</v>
      </c>
      <c r="H109" s="18">
        <v>88731</v>
      </c>
      <c r="I109" s="18">
        <v>0</v>
      </c>
      <c r="J109" s="18">
        <f t="shared" si="119"/>
        <v>88731</v>
      </c>
      <c r="K109" s="18">
        <v>0</v>
      </c>
      <c r="L109" s="18">
        <v>0</v>
      </c>
      <c r="M109" s="18">
        <f t="shared" si="120"/>
        <v>0</v>
      </c>
      <c r="N109" s="18">
        <f t="shared" si="121"/>
        <v>2226208</v>
      </c>
      <c r="O109" s="18">
        <v>0</v>
      </c>
      <c r="P109" s="18">
        <f t="shared" si="122"/>
        <v>2226208</v>
      </c>
      <c r="Q109" s="18">
        <v>18751</v>
      </c>
      <c r="R109" s="18">
        <v>0</v>
      </c>
      <c r="S109" s="18">
        <f t="shared" si="123"/>
        <v>18751</v>
      </c>
      <c r="T109" s="18">
        <v>0</v>
      </c>
      <c r="U109" s="18">
        <v>0</v>
      </c>
      <c r="V109" s="18">
        <f t="shared" si="163"/>
        <v>0</v>
      </c>
      <c r="W109" s="18">
        <f t="shared" si="115"/>
        <v>7511169</v>
      </c>
      <c r="X109" s="18">
        <f>C109+F109+I109+L109+O109+R109</f>
        <v>19292506</v>
      </c>
      <c r="Y109" s="235">
        <f>X109+W109</f>
        <v>26803675</v>
      </c>
      <c r="Z109" s="18">
        <v>0</v>
      </c>
      <c r="AA109" s="18">
        <v>3099580</v>
      </c>
      <c r="AB109" s="18">
        <f t="shared" si="129"/>
        <v>3099580</v>
      </c>
      <c r="AC109" s="352">
        <v>0</v>
      </c>
      <c r="AD109" s="18">
        <v>2226208</v>
      </c>
      <c r="AE109" s="18">
        <f t="shared" si="127"/>
        <v>2226208</v>
      </c>
      <c r="AF109" s="352">
        <f t="shared" si="171"/>
        <v>20792430</v>
      </c>
      <c r="AG109" s="353">
        <f t="shared" si="171"/>
        <v>43605287</v>
      </c>
      <c r="AH109" s="353">
        <f t="shared" si="164"/>
        <v>64397717</v>
      </c>
      <c r="AI109" s="353">
        <f>AI108+E108</f>
        <v>15005877</v>
      </c>
      <c r="AJ109" s="353">
        <f>AJ108+F109</f>
        <v>0</v>
      </c>
      <c r="AK109" s="353">
        <f t="shared" si="165"/>
        <v>15005877</v>
      </c>
      <c r="AL109" s="353">
        <f t="shared" si="174"/>
        <v>1216469</v>
      </c>
      <c r="AM109" s="353">
        <f t="shared" si="174"/>
        <v>0</v>
      </c>
      <c r="AN109" s="353">
        <f t="shared" si="166"/>
        <v>1216469</v>
      </c>
      <c r="AO109" s="353">
        <f t="shared" si="175"/>
        <v>0</v>
      </c>
      <c r="AP109" s="353">
        <f t="shared" si="175"/>
        <v>0</v>
      </c>
      <c r="AQ109" s="353">
        <f t="shared" si="167"/>
        <v>0</v>
      </c>
      <c r="AR109" s="353">
        <f t="shared" si="176"/>
        <v>16881228</v>
      </c>
      <c r="AS109" s="353">
        <f t="shared" si="176"/>
        <v>0</v>
      </c>
      <c r="AT109" s="353">
        <f t="shared" si="168"/>
        <v>16881228</v>
      </c>
      <c r="AU109" s="353">
        <f t="shared" si="177"/>
        <v>1063406</v>
      </c>
      <c r="AV109" s="353">
        <f t="shared" si="177"/>
        <v>0</v>
      </c>
      <c r="AW109" s="353">
        <f t="shared" si="169"/>
        <v>1063406</v>
      </c>
      <c r="AX109" s="353">
        <f t="shared" si="178"/>
        <v>0</v>
      </c>
      <c r="AY109" s="353">
        <f t="shared" si="178"/>
        <v>0</v>
      </c>
      <c r="AZ109" s="353">
        <f t="shared" si="179"/>
        <v>0</v>
      </c>
      <c r="BA109" s="354">
        <f t="shared" si="170"/>
        <v>98564697</v>
      </c>
    </row>
    <row r="110" spans="1:53">
      <c r="A110" s="138">
        <v>43405</v>
      </c>
      <c r="B110" s="18">
        <v>1930932</v>
      </c>
      <c r="C110" s="18">
        <v>10885655</v>
      </c>
      <c r="D110" s="18">
        <f t="shared" si="116"/>
        <v>12816587</v>
      </c>
      <c r="E110" s="18">
        <f t="shared" si="117"/>
        <v>3453701</v>
      </c>
      <c r="F110" s="18">
        <v>0</v>
      </c>
      <c r="G110" s="18">
        <f t="shared" si="118"/>
        <v>3453701</v>
      </c>
      <c r="H110" s="18">
        <v>300676</v>
      </c>
      <c r="I110" s="18">
        <v>0</v>
      </c>
      <c r="J110" s="18">
        <f t="shared" si="119"/>
        <v>300676</v>
      </c>
      <c r="K110" s="18">
        <v>0</v>
      </c>
      <c r="L110" s="18">
        <v>0</v>
      </c>
      <c r="M110" s="18">
        <f t="shared" si="120"/>
        <v>0</v>
      </c>
      <c r="N110" s="18">
        <f t="shared" si="121"/>
        <v>2081337</v>
      </c>
      <c r="O110" s="18">
        <v>0</v>
      </c>
      <c r="P110" s="18">
        <f t="shared" si="122"/>
        <v>2081337</v>
      </c>
      <c r="Q110" s="18">
        <v>47026</v>
      </c>
      <c r="R110" s="18">
        <v>0</v>
      </c>
      <c r="S110" s="18">
        <f t="shared" si="123"/>
        <v>47026</v>
      </c>
      <c r="T110" s="18">
        <v>184806</v>
      </c>
      <c r="U110" s="18">
        <v>0</v>
      </c>
      <c r="V110" s="18">
        <f t="shared" si="163"/>
        <v>184806</v>
      </c>
      <c r="W110" s="18">
        <f t="shared" si="115"/>
        <v>7998478</v>
      </c>
      <c r="X110" s="18">
        <f t="shared" ref="X110:X173" si="180">C110+F110+I110+L110+O110+R110</f>
        <v>10885655</v>
      </c>
      <c r="Y110" s="235">
        <f t="shared" ref="Y110:Y173" si="181">X110+W110</f>
        <v>18884133</v>
      </c>
      <c r="Z110" s="18">
        <v>0</v>
      </c>
      <c r="AA110" s="18">
        <v>3453701</v>
      </c>
      <c r="AB110" s="18">
        <f t="shared" si="129"/>
        <v>3453701</v>
      </c>
      <c r="AC110" s="352">
        <v>0</v>
      </c>
      <c r="AD110" s="18">
        <v>2081337</v>
      </c>
      <c r="AE110" s="18">
        <f t="shared" si="127"/>
        <v>2081337</v>
      </c>
      <c r="AF110" s="352">
        <f t="shared" si="171"/>
        <v>22723362</v>
      </c>
      <c r="AG110" s="353">
        <f t="shared" si="171"/>
        <v>54490942</v>
      </c>
      <c r="AH110" s="353">
        <f t="shared" si="164"/>
        <v>77214304</v>
      </c>
      <c r="AI110" s="353">
        <f>AI109+E109</f>
        <v>18105457</v>
      </c>
      <c r="AJ110" s="353">
        <f>AJ109+F110</f>
        <v>0</v>
      </c>
      <c r="AK110" s="353">
        <f t="shared" si="165"/>
        <v>18105457</v>
      </c>
      <c r="AL110" s="353">
        <f t="shared" si="174"/>
        <v>1517145</v>
      </c>
      <c r="AM110" s="353">
        <f t="shared" si="174"/>
        <v>0</v>
      </c>
      <c r="AN110" s="353">
        <f t="shared" si="166"/>
        <v>1517145</v>
      </c>
      <c r="AO110" s="353">
        <f t="shared" si="175"/>
        <v>0</v>
      </c>
      <c r="AP110" s="353">
        <f t="shared" si="175"/>
        <v>0</v>
      </c>
      <c r="AQ110" s="353">
        <f t="shared" si="167"/>
        <v>0</v>
      </c>
      <c r="AR110" s="353">
        <f t="shared" si="176"/>
        <v>18962565</v>
      </c>
      <c r="AS110" s="353">
        <f t="shared" si="176"/>
        <v>0</v>
      </c>
      <c r="AT110" s="353">
        <f t="shared" si="168"/>
        <v>18962565</v>
      </c>
      <c r="AU110" s="353">
        <f t="shared" si="177"/>
        <v>1110432</v>
      </c>
      <c r="AV110" s="353">
        <f t="shared" si="177"/>
        <v>0</v>
      </c>
      <c r="AW110" s="353">
        <f t="shared" si="169"/>
        <v>1110432</v>
      </c>
      <c r="AX110" s="353">
        <f t="shared" si="178"/>
        <v>184806</v>
      </c>
      <c r="AY110" s="353">
        <f t="shared" si="178"/>
        <v>0</v>
      </c>
      <c r="AZ110" s="353">
        <f t="shared" si="179"/>
        <v>184806</v>
      </c>
      <c r="BA110" s="354">
        <f t="shared" si="170"/>
        <v>117094709</v>
      </c>
    </row>
    <row r="111" spans="1:53" ht="13.5" customHeight="1" thickBot="1">
      <c r="A111" s="138">
        <v>43435</v>
      </c>
      <c r="B111" s="18">
        <v>1990329</v>
      </c>
      <c r="C111" s="18">
        <v>23177377</v>
      </c>
      <c r="D111" s="18">
        <f t="shared" si="116"/>
        <v>25167706</v>
      </c>
      <c r="E111" s="18">
        <f t="shared" si="117"/>
        <v>2370500</v>
      </c>
      <c r="F111" s="18">
        <v>0</v>
      </c>
      <c r="G111" s="18">
        <f t="shared" si="118"/>
        <v>2370500</v>
      </c>
      <c r="H111" s="18">
        <v>246989</v>
      </c>
      <c r="I111" s="18">
        <v>0</v>
      </c>
      <c r="J111" s="18">
        <f t="shared" si="119"/>
        <v>246989</v>
      </c>
      <c r="K111" s="18">
        <v>0</v>
      </c>
      <c r="L111" s="18">
        <v>0</v>
      </c>
      <c r="M111" s="18">
        <f t="shared" si="120"/>
        <v>0</v>
      </c>
      <c r="N111" s="18">
        <f t="shared" si="121"/>
        <v>2438715</v>
      </c>
      <c r="O111" s="18">
        <v>0</v>
      </c>
      <c r="P111" s="18">
        <f t="shared" si="122"/>
        <v>2438715</v>
      </c>
      <c r="Q111" s="18">
        <v>50310</v>
      </c>
      <c r="R111" s="18">
        <v>0</v>
      </c>
      <c r="S111" s="18">
        <f t="shared" si="123"/>
        <v>50310</v>
      </c>
      <c r="T111" s="18">
        <v>475255</v>
      </c>
      <c r="U111" s="18">
        <v>0</v>
      </c>
      <c r="V111" s="18">
        <f t="shared" si="163"/>
        <v>475255</v>
      </c>
      <c r="W111" s="18">
        <f t="shared" si="115"/>
        <v>7572098</v>
      </c>
      <c r="X111" s="18">
        <f t="shared" si="180"/>
        <v>23177377</v>
      </c>
      <c r="Y111" s="235">
        <f t="shared" si="181"/>
        <v>30749475</v>
      </c>
      <c r="Z111" s="18">
        <v>0</v>
      </c>
      <c r="AA111" s="18">
        <v>2370500</v>
      </c>
      <c r="AB111" s="18">
        <f t="shared" si="129"/>
        <v>2370500</v>
      </c>
      <c r="AC111" s="352">
        <v>0</v>
      </c>
      <c r="AD111" s="18">
        <v>2438715</v>
      </c>
      <c r="AE111" s="18">
        <f t="shared" si="127"/>
        <v>2438715</v>
      </c>
      <c r="AF111" s="352">
        <f t="shared" si="171"/>
        <v>24713691</v>
      </c>
      <c r="AG111" s="353">
        <f t="shared" si="171"/>
        <v>77668319</v>
      </c>
      <c r="AH111" s="353">
        <f t="shared" si="164"/>
        <v>102382010</v>
      </c>
      <c r="AI111" s="353">
        <f>AI110+E110</f>
        <v>21559158</v>
      </c>
      <c r="AJ111" s="353">
        <f>AJ110+F111</f>
        <v>0</v>
      </c>
      <c r="AK111" s="353">
        <f t="shared" si="165"/>
        <v>21559158</v>
      </c>
      <c r="AL111" s="353">
        <f t="shared" si="174"/>
        <v>1764134</v>
      </c>
      <c r="AM111" s="353">
        <f t="shared" si="174"/>
        <v>0</v>
      </c>
      <c r="AN111" s="353">
        <f t="shared" si="166"/>
        <v>1764134</v>
      </c>
      <c r="AO111" s="353">
        <f t="shared" si="175"/>
        <v>0</v>
      </c>
      <c r="AP111" s="353">
        <f t="shared" si="175"/>
        <v>0</v>
      </c>
      <c r="AQ111" s="353">
        <f t="shared" si="167"/>
        <v>0</v>
      </c>
      <c r="AR111" s="353">
        <f t="shared" si="176"/>
        <v>21401280</v>
      </c>
      <c r="AS111" s="353">
        <f t="shared" si="176"/>
        <v>0</v>
      </c>
      <c r="AT111" s="353">
        <f t="shared" si="168"/>
        <v>21401280</v>
      </c>
      <c r="AU111" s="353">
        <f t="shared" si="177"/>
        <v>1160742</v>
      </c>
      <c r="AV111" s="353">
        <f t="shared" si="177"/>
        <v>0</v>
      </c>
      <c r="AW111" s="353">
        <f t="shared" si="169"/>
        <v>1160742</v>
      </c>
      <c r="AX111" s="353">
        <f t="shared" si="178"/>
        <v>660061</v>
      </c>
      <c r="AY111" s="353">
        <f t="shared" si="178"/>
        <v>0</v>
      </c>
      <c r="AZ111" s="353">
        <f t="shared" si="179"/>
        <v>660061</v>
      </c>
      <c r="BA111" s="354">
        <f t="shared" si="170"/>
        <v>148927385</v>
      </c>
    </row>
    <row r="112" spans="1:53">
      <c r="A112" s="141">
        <v>43466</v>
      </c>
      <c r="B112" s="143">
        <v>2101339</v>
      </c>
      <c r="C112" s="143">
        <v>0</v>
      </c>
      <c r="D112" s="143">
        <f t="shared" si="116"/>
        <v>2101339</v>
      </c>
      <c r="E112" s="143">
        <f t="shared" si="117"/>
        <v>2981550</v>
      </c>
      <c r="F112" s="143">
        <v>0</v>
      </c>
      <c r="G112" s="143">
        <f t="shared" si="118"/>
        <v>2981550</v>
      </c>
      <c r="H112" s="143">
        <v>372581</v>
      </c>
      <c r="I112" s="143">
        <v>0</v>
      </c>
      <c r="J112" s="143">
        <f t="shared" si="119"/>
        <v>372581</v>
      </c>
      <c r="K112" s="143">
        <v>0</v>
      </c>
      <c r="L112" s="143">
        <v>0</v>
      </c>
      <c r="M112" s="143">
        <f t="shared" si="120"/>
        <v>0</v>
      </c>
      <c r="N112" s="143">
        <f t="shared" si="121"/>
        <v>1922242</v>
      </c>
      <c r="O112" s="143">
        <v>0</v>
      </c>
      <c r="P112" s="143">
        <f t="shared" si="122"/>
        <v>1922242</v>
      </c>
      <c r="Q112" s="143">
        <v>21965</v>
      </c>
      <c r="R112" s="143">
        <v>0</v>
      </c>
      <c r="S112" s="143">
        <f t="shared" si="123"/>
        <v>21965</v>
      </c>
      <c r="T112" s="143">
        <v>0</v>
      </c>
      <c r="U112" s="143">
        <v>0</v>
      </c>
      <c r="V112" s="143">
        <f t="shared" si="163"/>
        <v>0</v>
      </c>
      <c r="W112" s="143">
        <f t="shared" si="115"/>
        <v>7399677</v>
      </c>
      <c r="X112" s="143">
        <f>C112+F112+I112+L112+O112+R112+U112</f>
        <v>0</v>
      </c>
      <c r="Y112" s="237">
        <f>X112+W112</f>
        <v>7399677</v>
      </c>
      <c r="Z112" s="143">
        <v>0</v>
      </c>
      <c r="AA112" s="143">
        <v>2981550</v>
      </c>
      <c r="AB112" s="143">
        <f t="shared" si="129"/>
        <v>2981550</v>
      </c>
      <c r="AC112" s="349">
        <v>0</v>
      </c>
      <c r="AD112" s="143">
        <v>1922242</v>
      </c>
      <c r="AE112" s="143">
        <f t="shared" si="127"/>
        <v>1922242</v>
      </c>
      <c r="AF112" s="349">
        <f>B112</f>
        <v>2101339</v>
      </c>
      <c r="AG112" s="350">
        <f>C112</f>
        <v>0</v>
      </c>
      <c r="AH112" s="350">
        <f t="shared" si="164"/>
        <v>2101339</v>
      </c>
      <c r="AI112" s="350">
        <f>E112</f>
        <v>2981550</v>
      </c>
      <c r="AJ112" s="350">
        <f>F112</f>
        <v>0</v>
      </c>
      <c r="AK112" s="350">
        <f t="shared" si="165"/>
        <v>2981550</v>
      </c>
      <c r="AL112" s="350">
        <f>H112</f>
        <v>372581</v>
      </c>
      <c r="AM112" s="350">
        <f>I112</f>
        <v>0</v>
      </c>
      <c r="AN112" s="350">
        <f t="shared" si="166"/>
        <v>372581</v>
      </c>
      <c r="AO112" s="350">
        <f>K112</f>
        <v>0</v>
      </c>
      <c r="AP112" s="350">
        <f>L112</f>
        <v>0</v>
      </c>
      <c r="AQ112" s="350">
        <f t="shared" si="167"/>
        <v>0</v>
      </c>
      <c r="AR112" s="350">
        <f>N112</f>
        <v>1922242</v>
      </c>
      <c r="AS112" s="350">
        <f>O112</f>
        <v>0</v>
      </c>
      <c r="AT112" s="350">
        <f t="shared" si="168"/>
        <v>1922242</v>
      </c>
      <c r="AU112" s="350">
        <f>Q112</f>
        <v>21965</v>
      </c>
      <c r="AV112" s="350">
        <f>R112</f>
        <v>0</v>
      </c>
      <c r="AW112" s="350">
        <f t="shared" si="169"/>
        <v>21965</v>
      </c>
      <c r="AX112" s="350">
        <f>T112</f>
        <v>0</v>
      </c>
      <c r="AY112" s="350">
        <f>U112</f>
        <v>0</v>
      </c>
      <c r="AZ112" s="350">
        <f>SUM(AX112:AY112)</f>
        <v>0</v>
      </c>
      <c r="BA112" s="351">
        <f>AW112+AT112+AQ112+AN112+AK112+AH112+AZ112</f>
        <v>7399677</v>
      </c>
    </row>
    <row r="113" spans="1:53">
      <c r="A113" s="138">
        <v>43497</v>
      </c>
      <c r="B113" s="18">
        <v>2049780</v>
      </c>
      <c r="C113" s="18">
        <v>0</v>
      </c>
      <c r="D113" s="18">
        <f t="shared" si="116"/>
        <v>2049780</v>
      </c>
      <c r="E113" s="18">
        <f t="shared" si="117"/>
        <v>2348092</v>
      </c>
      <c r="F113" s="18">
        <v>0</v>
      </c>
      <c r="G113" s="18">
        <f t="shared" si="118"/>
        <v>2348092</v>
      </c>
      <c r="H113" s="18">
        <v>298465</v>
      </c>
      <c r="I113" s="18">
        <v>0</v>
      </c>
      <c r="J113" s="18">
        <f t="shared" si="119"/>
        <v>298465</v>
      </c>
      <c r="K113" s="18">
        <v>0</v>
      </c>
      <c r="L113" s="18">
        <v>0</v>
      </c>
      <c r="M113" s="18">
        <f t="shared" si="120"/>
        <v>0</v>
      </c>
      <c r="N113" s="18">
        <f t="shared" si="121"/>
        <v>2289494</v>
      </c>
      <c r="O113" s="18">
        <v>0</v>
      </c>
      <c r="P113" s="18">
        <f t="shared" si="122"/>
        <v>2289494</v>
      </c>
      <c r="Q113" s="18">
        <v>10402</v>
      </c>
      <c r="R113" s="18">
        <v>0</v>
      </c>
      <c r="S113" s="18">
        <f t="shared" si="123"/>
        <v>10402</v>
      </c>
      <c r="T113" s="18">
        <v>0</v>
      </c>
      <c r="U113" s="18">
        <v>0</v>
      </c>
      <c r="V113" s="18">
        <f t="shared" si="163"/>
        <v>0</v>
      </c>
      <c r="W113" s="18">
        <f t="shared" si="115"/>
        <v>6996233</v>
      </c>
      <c r="X113" s="18">
        <f t="shared" si="180"/>
        <v>0</v>
      </c>
      <c r="Y113" s="235">
        <f t="shared" si="181"/>
        <v>6996233</v>
      </c>
      <c r="Z113" s="18">
        <v>0</v>
      </c>
      <c r="AA113" s="18">
        <v>2348092</v>
      </c>
      <c r="AB113" s="18">
        <f t="shared" si="129"/>
        <v>2348092</v>
      </c>
      <c r="AC113" s="352">
        <v>0</v>
      </c>
      <c r="AD113" s="18">
        <v>2289494</v>
      </c>
      <c r="AE113" s="18">
        <f t="shared" si="127"/>
        <v>2289494</v>
      </c>
      <c r="AF113" s="352">
        <f t="shared" ref="AF113:AG123" si="182">B113+AF112</f>
        <v>4151119</v>
      </c>
      <c r="AG113" s="353">
        <f t="shared" si="182"/>
        <v>0</v>
      </c>
      <c r="AH113" s="353">
        <f t="shared" si="164"/>
        <v>4151119</v>
      </c>
      <c r="AI113" s="353">
        <f t="shared" ref="AI113:AI123" si="183">AI112+E112</f>
        <v>5963100</v>
      </c>
      <c r="AJ113" s="353">
        <f t="shared" ref="AJ113:AJ123" si="184">AJ112+F113</f>
        <v>0</v>
      </c>
      <c r="AK113" s="353">
        <f t="shared" si="165"/>
        <v>5963100</v>
      </c>
      <c r="AL113" s="353">
        <f t="shared" ref="AL113:AM123" si="185">AL112+H113</f>
        <v>671046</v>
      </c>
      <c r="AM113" s="353">
        <f t="shared" si="185"/>
        <v>0</v>
      </c>
      <c r="AN113" s="353">
        <f t="shared" si="166"/>
        <v>671046</v>
      </c>
      <c r="AO113" s="353">
        <f t="shared" ref="AO113:AP123" si="186">AO112+K113</f>
        <v>0</v>
      </c>
      <c r="AP113" s="353">
        <f t="shared" si="186"/>
        <v>0</v>
      </c>
      <c r="AQ113" s="353">
        <f t="shared" si="167"/>
        <v>0</v>
      </c>
      <c r="AR113" s="353">
        <f t="shared" ref="AR113:AS123" si="187">AR112+N113</f>
        <v>4211736</v>
      </c>
      <c r="AS113" s="353">
        <f t="shared" si="187"/>
        <v>0</v>
      </c>
      <c r="AT113" s="353">
        <f t="shared" si="168"/>
        <v>4211736</v>
      </c>
      <c r="AU113" s="353">
        <f t="shared" ref="AU113:AV123" si="188">AU112+Q113</f>
        <v>32367</v>
      </c>
      <c r="AV113" s="353">
        <f t="shared" si="188"/>
        <v>0</v>
      </c>
      <c r="AW113" s="353">
        <f t="shared" si="169"/>
        <v>32367</v>
      </c>
      <c r="AX113" s="353">
        <f>AX112+T113</f>
        <v>0</v>
      </c>
      <c r="AY113" s="353">
        <f>AY112+U113</f>
        <v>0</v>
      </c>
      <c r="AZ113" s="353">
        <f>SUM(AX113:AY113)</f>
        <v>0</v>
      </c>
      <c r="BA113" s="354">
        <f t="shared" ref="BA113:BA123" si="189">AW113+AT113+AQ113+AN113+AK113+AH113+AZ113</f>
        <v>15029368</v>
      </c>
    </row>
    <row r="114" spans="1:53">
      <c r="A114" s="138">
        <v>43525</v>
      </c>
      <c r="B114" s="18">
        <v>2096964</v>
      </c>
      <c r="C114" s="18">
        <v>6514949</v>
      </c>
      <c r="D114" s="18">
        <f t="shared" si="116"/>
        <v>8611913</v>
      </c>
      <c r="E114" s="18">
        <f t="shared" si="117"/>
        <v>2875234</v>
      </c>
      <c r="F114" s="18">
        <v>0</v>
      </c>
      <c r="G114" s="18">
        <f t="shared" si="118"/>
        <v>2875234</v>
      </c>
      <c r="H114" s="18">
        <v>300692</v>
      </c>
      <c r="I114" s="18">
        <v>0</v>
      </c>
      <c r="J114" s="18">
        <f t="shared" si="119"/>
        <v>300692</v>
      </c>
      <c r="K114" s="18">
        <v>0</v>
      </c>
      <c r="L114" s="18">
        <v>0</v>
      </c>
      <c r="M114" s="18">
        <f t="shared" si="120"/>
        <v>0</v>
      </c>
      <c r="N114" s="18">
        <f t="shared" si="121"/>
        <v>1938116</v>
      </c>
      <c r="O114" s="18">
        <v>0</v>
      </c>
      <c r="P114" s="18">
        <f t="shared" si="122"/>
        <v>1938116</v>
      </c>
      <c r="Q114" s="18">
        <v>10859</v>
      </c>
      <c r="R114" s="18">
        <v>0</v>
      </c>
      <c r="S114" s="18">
        <f t="shared" si="123"/>
        <v>10859</v>
      </c>
      <c r="T114" s="18">
        <v>955371</v>
      </c>
      <c r="U114" s="18">
        <v>0</v>
      </c>
      <c r="V114" s="18">
        <f t="shared" si="163"/>
        <v>955371</v>
      </c>
      <c r="W114" s="18">
        <f t="shared" si="115"/>
        <v>8177236</v>
      </c>
      <c r="X114" s="18">
        <f t="shared" si="180"/>
        <v>6514949</v>
      </c>
      <c r="Y114" s="235">
        <f t="shared" si="181"/>
        <v>14692185</v>
      </c>
      <c r="Z114" s="18">
        <v>0</v>
      </c>
      <c r="AA114" s="18">
        <v>2875234</v>
      </c>
      <c r="AB114" s="18">
        <f t="shared" si="129"/>
        <v>2875234</v>
      </c>
      <c r="AC114" s="352">
        <v>0</v>
      </c>
      <c r="AD114" s="18">
        <v>1938116</v>
      </c>
      <c r="AE114" s="18">
        <f t="shared" si="127"/>
        <v>1938116</v>
      </c>
      <c r="AF114" s="352">
        <f t="shared" si="182"/>
        <v>6248083</v>
      </c>
      <c r="AG114" s="353">
        <f t="shared" si="182"/>
        <v>6514949</v>
      </c>
      <c r="AH114" s="353">
        <f t="shared" si="164"/>
        <v>12763032</v>
      </c>
      <c r="AI114" s="353">
        <f t="shared" si="183"/>
        <v>8311192</v>
      </c>
      <c r="AJ114" s="353">
        <f t="shared" si="184"/>
        <v>0</v>
      </c>
      <c r="AK114" s="353">
        <f t="shared" si="165"/>
        <v>8311192</v>
      </c>
      <c r="AL114" s="353">
        <f t="shared" si="185"/>
        <v>971738</v>
      </c>
      <c r="AM114" s="353">
        <f t="shared" si="185"/>
        <v>0</v>
      </c>
      <c r="AN114" s="353">
        <f t="shared" si="166"/>
        <v>971738</v>
      </c>
      <c r="AO114" s="353">
        <f t="shared" si="186"/>
        <v>0</v>
      </c>
      <c r="AP114" s="353">
        <f t="shared" si="186"/>
        <v>0</v>
      </c>
      <c r="AQ114" s="353">
        <f t="shared" si="167"/>
        <v>0</v>
      </c>
      <c r="AR114" s="353">
        <f t="shared" si="187"/>
        <v>6149852</v>
      </c>
      <c r="AS114" s="353">
        <f t="shared" si="187"/>
        <v>0</v>
      </c>
      <c r="AT114" s="353">
        <f t="shared" si="168"/>
        <v>6149852</v>
      </c>
      <c r="AU114" s="353">
        <f t="shared" si="188"/>
        <v>43226</v>
      </c>
      <c r="AV114" s="353">
        <f t="shared" si="188"/>
        <v>0</v>
      </c>
      <c r="AW114" s="353">
        <f t="shared" si="169"/>
        <v>43226</v>
      </c>
      <c r="AX114" s="353">
        <f t="shared" ref="AX114:AY123" si="190">AX113+T114</f>
        <v>955371</v>
      </c>
      <c r="AY114" s="353">
        <f t="shared" si="190"/>
        <v>0</v>
      </c>
      <c r="AZ114" s="353">
        <f t="shared" ref="AZ114:AZ123" si="191">SUM(AX114:AY114)</f>
        <v>955371</v>
      </c>
      <c r="BA114" s="354">
        <f t="shared" si="189"/>
        <v>29194411</v>
      </c>
    </row>
    <row r="115" spans="1:53">
      <c r="A115" s="138">
        <v>43556</v>
      </c>
      <c r="B115" s="18">
        <v>1881112</v>
      </c>
      <c r="C115" s="18">
        <v>13423497</v>
      </c>
      <c r="D115" s="18">
        <f t="shared" si="116"/>
        <v>15304609</v>
      </c>
      <c r="E115" s="18">
        <f t="shared" si="117"/>
        <v>2995674</v>
      </c>
      <c r="F115" s="18">
        <v>0</v>
      </c>
      <c r="G115" s="18">
        <f t="shared" si="118"/>
        <v>2995674</v>
      </c>
      <c r="H115" s="18">
        <v>155995</v>
      </c>
      <c r="I115" s="18">
        <v>0</v>
      </c>
      <c r="J115" s="18">
        <f t="shared" si="119"/>
        <v>155995</v>
      </c>
      <c r="K115" s="18">
        <v>0</v>
      </c>
      <c r="L115" s="18">
        <v>0</v>
      </c>
      <c r="M115" s="18">
        <f t="shared" si="120"/>
        <v>0</v>
      </c>
      <c r="N115" s="18">
        <f t="shared" si="121"/>
        <v>1892697</v>
      </c>
      <c r="O115" s="18">
        <v>0</v>
      </c>
      <c r="P115" s="18">
        <f t="shared" si="122"/>
        <v>1892697</v>
      </c>
      <c r="Q115" s="18">
        <v>6004</v>
      </c>
      <c r="R115" s="18">
        <v>0</v>
      </c>
      <c r="S115" s="18">
        <f t="shared" si="123"/>
        <v>6004</v>
      </c>
      <c r="T115" s="18">
        <v>486747</v>
      </c>
      <c r="U115" s="18">
        <v>0</v>
      </c>
      <c r="V115" s="18">
        <f t="shared" si="163"/>
        <v>486747</v>
      </c>
      <c r="W115" s="18">
        <f t="shared" si="115"/>
        <v>7418229</v>
      </c>
      <c r="X115" s="18">
        <f t="shared" si="180"/>
        <v>13423497</v>
      </c>
      <c r="Y115" s="235">
        <f t="shared" si="181"/>
        <v>20841726</v>
      </c>
      <c r="Z115" s="18">
        <v>0</v>
      </c>
      <c r="AA115" s="18">
        <v>2995674</v>
      </c>
      <c r="AB115" s="18">
        <f t="shared" si="129"/>
        <v>2995674</v>
      </c>
      <c r="AC115" s="352">
        <v>0</v>
      </c>
      <c r="AD115" s="18">
        <v>1892697</v>
      </c>
      <c r="AE115" s="18">
        <f t="shared" si="127"/>
        <v>1892697</v>
      </c>
      <c r="AF115" s="352">
        <f t="shared" si="182"/>
        <v>8129195</v>
      </c>
      <c r="AG115" s="353">
        <f t="shared" si="182"/>
        <v>19938446</v>
      </c>
      <c r="AH115" s="353">
        <f t="shared" si="164"/>
        <v>28067641</v>
      </c>
      <c r="AI115" s="353">
        <f t="shared" si="183"/>
        <v>11186426</v>
      </c>
      <c r="AJ115" s="353">
        <f t="shared" si="184"/>
        <v>0</v>
      </c>
      <c r="AK115" s="353">
        <f t="shared" si="165"/>
        <v>11186426</v>
      </c>
      <c r="AL115" s="353">
        <f t="shared" si="185"/>
        <v>1127733</v>
      </c>
      <c r="AM115" s="353">
        <f t="shared" si="185"/>
        <v>0</v>
      </c>
      <c r="AN115" s="353">
        <f t="shared" si="166"/>
        <v>1127733</v>
      </c>
      <c r="AO115" s="353">
        <f t="shared" si="186"/>
        <v>0</v>
      </c>
      <c r="AP115" s="353">
        <f t="shared" si="186"/>
        <v>0</v>
      </c>
      <c r="AQ115" s="353">
        <f t="shared" si="167"/>
        <v>0</v>
      </c>
      <c r="AR115" s="353">
        <f t="shared" si="187"/>
        <v>8042549</v>
      </c>
      <c r="AS115" s="353">
        <f t="shared" si="187"/>
        <v>0</v>
      </c>
      <c r="AT115" s="353">
        <f t="shared" si="168"/>
        <v>8042549</v>
      </c>
      <c r="AU115" s="353">
        <f t="shared" si="188"/>
        <v>49230</v>
      </c>
      <c r="AV115" s="353">
        <f t="shared" si="188"/>
        <v>0</v>
      </c>
      <c r="AW115" s="353">
        <f t="shared" si="169"/>
        <v>49230</v>
      </c>
      <c r="AX115" s="353">
        <f t="shared" si="190"/>
        <v>1442118</v>
      </c>
      <c r="AY115" s="353">
        <f t="shared" si="190"/>
        <v>0</v>
      </c>
      <c r="AZ115" s="353">
        <f t="shared" si="191"/>
        <v>1442118</v>
      </c>
      <c r="BA115" s="354">
        <f t="shared" si="189"/>
        <v>49915697</v>
      </c>
    </row>
    <row r="116" spans="1:53">
      <c r="A116" s="138">
        <v>43586</v>
      </c>
      <c r="B116" s="18">
        <v>2180038</v>
      </c>
      <c r="C116" s="18">
        <v>0</v>
      </c>
      <c r="D116" s="18">
        <f t="shared" si="116"/>
        <v>2180038</v>
      </c>
      <c r="E116" s="18">
        <f t="shared" si="117"/>
        <v>3468236</v>
      </c>
      <c r="F116" s="18">
        <v>0</v>
      </c>
      <c r="G116" s="18">
        <f t="shared" si="118"/>
        <v>3468236</v>
      </c>
      <c r="H116" s="18">
        <v>120715</v>
      </c>
      <c r="I116" s="18">
        <v>0</v>
      </c>
      <c r="J116" s="18">
        <f t="shared" si="119"/>
        <v>120715</v>
      </c>
      <c r="K116" s="18">
        <v>0</v>
      </c>
      <c r="L116" s="18">
        <v>0</v>
      </c>
      <c r="M116" s="18">
        <f t="shared" si="120"/>
        <v>0</v>
      </c>
      <c r="N116" s="18">
        <f t="shared" si="121"/>
        <v>2632037</v>
      </c>
      <c r="O116" s="18">
        <v>0</v>
      </c>
      <c r="P116" s="18">
        <f t="shared" si="122"/>
        <v>2632037</v>
      </c>
      <c r="Q116" s="18">
        <v>9006</v>
      </c>
      <c r="R116" s="18">
        <v>0</v>
      </c>
      <c r="S116" s="18">
        <f>R116+Q116</f>
        <v>9006</v>
      </c>
      <c r="T116" s="18">
        <v>381883</v>
      </c>
      <c r="U116" s="18">
        <v>0</v>
      </c>
      <c r="V116" s="18">
        <f t="shared" si="163"/>
        <v>381883</v>
      </c>
      <c r="W116" s="18">
        <f t="shared" si="115"/>
        <v>8791915</v>
      </c>
      <c r="X116" s="18">
        <f t="shared" si="180"/>
        <v>0</v>
      </c>
      <c r="Y116" s="235">
        <f t="shared" si="181"/>
        <v>8791915</v>
      </c>
      <c r="Z116" s="18">
        <v>0</v>
      </c>
      <c r="AA116" s="18">
        <v>3468236</v>
      </c>
      <c r="AB116" s="18">
        <f t="shared" si="129"/>
        <v>3468236</v>
      </c>
      <c r="AC116" s="352">
        <v>511168</v>
      </c>
      <c r="AD116" s="18">
        <v>2120869</v>
      </c>
      <c r="AE116" s="18">
        <f t="shared" si="127"/>
        <v>2632037</v>
      </c>
      <c r="AF116" s="352">
        <f t="shared" si="182"/>
        <v>10309233</v>
      </c>
      <c r="AG116" s="353">
        <f t="shared" si="182"/>
        <v>19938446</v>
      </c>
      <c r="AH116" s="353">
        <f t="shared" si="164"/>
        <v>30247679</v>
      </c>
      <c r="AI116" s="353">
        <f t="shared" si="183"/>
        <v>14182100</v>
      </c>
      <c r="AJ116" s="353">
        <f t="shared" si="184"/>
        <v>0</v>
      </c>
      <c r="AK116" s="353">
        <f t="shared" si="165"/>
        <v>14182100</v>
      </c>
      <c r="AL116" s="353">
        <f t="shared" si="185"/>
        <v>1248448</v>
      </c>
      <c r="AM116" s="353">
        <f t="shared" si="185"/>
        <v>0</v>
      </c>
      <c r="AN116" s="353">
        <f t="shared" si="166"/>
        <v>1248448</v>
      </c>
      <c r="AO116" s="353">
        <f t="shared" si="186"/>
        <v>0</v>
      </c>
      <c r="AP116" s="353">
        <f t="shared" si="186"/>
        <v>0</v>
      </c>
      <c r="AQ116" s="353">
        <f t="shared" si="167"/>
        <v>0</v>
      </c>
      <c r="AR116" s="353">
        <f t="shared" si="187"/>
        <v>10674586</v>
      </c>
      <c r="AS116" s="353">
        <f t="shared" si="187"/>
        <v>0</v>
      </c>
      <c r="AT116" s="353">
        <f t="shared" si="168"/>
        <v>10674586</v>
      </c>
      <c r="AU116" s="353">
        <f t="shared" si="188"/>
        <v>58236</v>
      </c>
      <c r="AV116" s="353">
        <f t="shared" si="188"/>
        <v>0</v>
      </c>
      <c r="AW116" s="353">
        <f t="shared" si="169"/>
        <v>58236</v>
      </c>
      <c r="AX116" s="353">
        <f t="shared" si="190"/>
        <v>1824001</v>
      </c>
      <c r="AY116" s="353">
        <f t="shared" si="190"/>
        <v>0</v>
      </c>
      <c r="AZ116" s="353">
        <f t="shared" si="191"/>
        <v>1824001</v>
      </c>
      <c r="BA116" s="354">
        <f t="shared" si="189"/>
        <v>58235050</v>
      </c>
    </row>
    <row r="117" spans="1:53">
      <c r="A117" s="138">
        <v>43617</v>
      </c>
      <c r="B117" s="18">
        <v>1966786</v>
      </c>
      <c r="C117" s="18">
        <v>24556742</v>
      </c>
      <c r="D117" s="18">
        <f t="shared" si="116"/>
        <v>26523528</v>
      </c>
      <c r="E117" s="18">
        <f t="shared" si="117"/>
        <v>2475387</v>
      </c>
      <c r="F117" s="18">
        <v>0</v>
      </c>
      <c r="G117" s="18">
        <f t="shared" si="118"/>
        <v>2475387</v>
      </c>
      <c r="H117" s="18">
        <v>57282</v>
      </c>
      <c r="I117" s="18">
        <v>0</v>
      </c>
      <c r="J117" s="18">
        <f t="shared" si="119"/>
        <v>57282</v>
      </c>
      <c r="K117" s="18">
        <v>0</v>
      </c>
      <c r="L117" s="18">
        <v>0</v>
      </c>
      <c r="M117" s="18">
        <f t="shared" si="120"/>
        <v>0</v>
      </c>
      <c r="N117" s="18">
        <f t="shared" si="121"/>
        <v>1742628</v>
      </c>
      <c r="O117" s="18">
        <v>0</v>
      </c>
      <c r="P117" s="18">
        <f t="shared" si="122"/>
        <v>1742628</v>
      </c>
      <c r="Q117" s="18">
        <v>15538</v>
      </c>
      <c r="R117" s="18">
        <v>0</v>
      </c>
      <c r="S117" s="18">
        <f>R117+Q117</f>
        <v>15538</v>
      </c>
      <c r="T117" s="18">
        <v>0</v>
      </c>
      <c r="U117" s="18">
        <v>0</v>
      </c>
      <c r="V117" s="18">
        <f t="shared" si="163"/>
        <v>0</v>
      </c>
      <c r="W117" s="18">
        <f t="shared" si="115"/>
        <v>6257621</v>
      </c>
      <c r="X117" s="18">
        <f t="shared" si="180"/>
        <v>24556742</v>
      </c>
      <c r="Y117" s="235">
        <f t="shared" si="181"/>
        <v>30814363</v>
      </c>
      <c r="Z117" s="18">
        <v>0</v>
      </c>
      <c r="AA117" s="18">
        <v>2475387</v>
      </c>
      <c r="AB117" s="18">
        <f t="shared" si="129"/>
        <v>2475387</v>
      </c>
      <c r="AC117" s="352">
        <v>0</v>
      </c>
      <c r="AD117" s="18">
        <v>1742628</v>
      </c>
      <c r="AE117" s="18">
        <f t="shared" si="127"/>
        <v>1742628</v>
      </c>
      <c r="AF117" s="352">
        <f t="shared" si="182"/>
        <v>12276019</v>
      </c>
      <c r="AG117" s="353">
        <f t="shared" si="182"/>
        <v>44495188</v>
      </c>
      <c r="AH117" s="353">
        <f t="shared" si="164"/>
        <v>56771207</v>
      </c>
      <c r="AI117" s="353">
        <f t="shared" si="183"/>
        <v>17650336</v>
      </c>
      <c r="AJ117" s="353">
        <f t="shared" si="184"/>
        <v>0</v>
      </c>
      <c r="AK117" s="353">
        <f t="shared" si="165"/>
        <v>17650336</v>
      </c>
      <c r="AL117" s="353">
        <f t="shared" si="185"/>
        <v>1305730</v>
      </c>
      <c r="AM117" s="353">
        <f t="shared" si="185"/>
        <v>0</v>
      </c>
      <c r="AN117" s="353">
        <f t="shared" si="166"/>
        <v>1305730</v>
      </c>
      <c r="AO117" s="353">
        <f t="shared" si="186"/>
        <v>0</v>
      </c>
      <c r="AP117" s="353">
        <f t="shared" si="186"/>
        <v>0</v>
      </c>
      <c r="AQ117" s="353">
        <f t="shared" si="167"/>
        <v>0</v>
      </c>
      <c r="AR117" s="353">
        <f t="shared" si="187"/>
        <v>12417214</v>
      </c>
      <c r="AS117" s="353">
        <f t="shared" si="187"/>
        <v>0</v>
      </c>
      <c r="AT117" s="353">
        <f t="shared" si="168"/>
        <v>12417214</v>
      </c>
      <c r="AU117" s="353">
        <f t="shared" si="188"/>
        <v>73774</v>
      </c>
      <c r="AV117" s="353">
        <f t="shared" si="188"/>
        <v>0</v>
      </c>
      <c r="AW117" s="353">
        <f t="shared" si="169"/>
        <v>73774</v>
      </c>
      <c r="AX117" s="353">
        <f t="shared" si="190"/>
        <v>1824001</v>
      </c>
      <c r="AY117" s="353">
        <f t="shared" si="190"/>
        <v>0</v>
      </c>
      <c r="AZ117" s="353">
        <f t="shared" si="191"/>
        <v>1824001</v>
      </c>
      <c r="BA117" s="354">
        <f t="shared" si="189"/>
        <v>90042262</v>
      </c>
    </row>
    <row r="118" spans="1:53">
      <c r="A118" s="138">
        <v>43647</v>
      </c>
      <c r="B118" s="18">
        <v>2095521</v>
      </c>
      <c r="C118" s="18">
        <v>23287643</v>
      </c>
      <c r="D118" s="18">
        <f t="shared" si="116"/>
        <v>25383164</v>
      </c>
      <c r="E118" s="18">
        <f t="shared" si="117"/>
        <v>3103036</v>
      </c>
      <c r="F118" s="18">
        <v>0</v>
      </c>
      <c r="G118" s="18">
        <f t="shared" si="118"/>
        <v>3103036</v>
      </c>
      <c r="H118" s="18">
        <v>79585</v>
      </c>
      <c r="I118" s="18">
        <v>0</v>
      </c>
      <c r="J118" s="18">
        <f t="shared" si="119"/>
        <v>79585</v>
      </c>
      <c r="K118" s="18">
        <v>0</v>
      </c>
      <c r="L118" s="18">
        <v>0</v>
      </c>
      <c r="M118" s="18">
        <f t="shared" si="120"/>
        <v>0</v>
      </c>
      <c r="N118" s="18">
        <f t="shared" si="121"/>
        <v>1920939</v>
      </c>
      <c r="O118" s="18">
        <v>0</v>
      </c>
      <c r="P118" s="18">
        <f t="shared" si="122"/>
        <v>1920939</v>
      </c>
      <c r="Q118" s="18">
        <v>6532</v>
      </c>
      <c r="R118" s="18">
        <v>0</v>
      </c>
      <c r="S118" s="18">
        <f>R118+Q118</f>
        <v>6532</v>
      </c>
      <c r="T118" s="18">
        <v>296246</v>
      </c>
      <c r="U118" s="18">
        <v>0</v>
      </c>
      <c r="V118" s="18">
        <f t="shared" si="163"/>
        <v>296246</v>
      </c>
      <c r="W118" s="18">
        <f t="shared" si="115"/>
        <v>7501859</v>
      </c>
      <c r="X118" s="18">
        <f t="shared" si="180"/>
        <v>23287643</v>
      </c>
      <c r="Y118" s="235">
        <f t="shared" si="181"/>
        <v>30789502</v>
      </c>
      <c r="Z118" s="18">
        <v>0</v>
      </c>
      <c r="AA118" s="18">
        <v>3103036</v>
      </c>
      <c r="AB118" s="18">
        <f t="shared" si="129"/>
        <v>3103036</v>
      </c>
      <c r="AC118" s="352">
        <v>229748</v>
      </c>
      <c r="AD118" s="18">
        <v>1691191</v>
      </c>
      <c r="AE118" s="18">
        <f t="shared" si="127"/>
        <v>1920939</v>
      </c>
      <c r="AF118" s="352">
        <f t="shared" si="182"/>
        <v>14371540</v>
      </c>
      <c r="AG118" s="353">
        <f t="shared" si="182"/>
        <v>67782831</v>
      </c>
      <c r="AH118" s="353">
        <f t="shared" si="164"/>
        <v>82154371</v>
      </c>
      <c r="AI118" s="353">
        <f t="shared" si="183"/>
        <v>20125723</v>
      </c>
      <c r="AJ118" s="353">
        <f t="shared" si="184"/>
        <v>0</v>
      </c>
      <c r="AK118" s="353">
        <f t="shared" si="165"/>
        <v>20125723</v>
      </c>
      <c r="AL118" s="353">
        <f t="shared" si="185"/>
        <v>1385315</v>
      </c>
      <c r="AM118" s="353">
        <f t="shared" si="185"/>
        <v>0</v>
      </c>
      <c r="AN118" s="353">
        <f t="shared" si="166"/>
        <v>1385315</v>
      </c>
      <c r="AO118" s="353">
        <f t="shared" si="186"/>
        <v>0</v>
      </c>
      <c r="AP118" s="353">
        <f t="shared" si="186"/>
        <v>0</v>
      </c>
      <c r="AQ118" s="353">
        <f t="shared" si="167"/>
        <v>0</v>
      </c>
      <c r="AR118" s="353">
        <f t="shared" si="187"/>
        <v>14338153</v>
      </c>
      <c r="AS118" s="353">
        <f t="shared" si="187"/>
        <v>0</v>
      </c>
      <c r="AT118" s="353">
        <f t="shared" si="168"/>
        <v>14338153</v>
      </c>
      <c r="AU118" s="353">
        <f t="shared" si="188"/>
        <v>80306</v>
      </c>
      <c r="AV118" s="353">
        <f t="shared" si="188"/>
        <v>0</v>
      </c>
      <c r="AW118" s="353">
        <f t="shared" si="169"/>
        <v>80306</v>
      </c>
      <c r="AX118" s="353">
        <f t="shared" si="190"/>
        <v>2120247</v>
      </c>
      <c r="AY118" s="353">
        <f t="shared" si="190"/>
        <v>0</v>
      </c>
      <c r="AZ118" s="353">
        <f t="shared" si="191"/>
        <v>2120247</v>
      </c>
      <c r="BA118" s="354">
        <f t="shared" si="189"/>
        <v>120204115</v>
      </c>
    </row>
    <row r="119" spans="1:53">
      <c r="A119" s="138">
        <v>43678</v>
      </c>
      <c r="B119" s="18">
        <v>1995104</v>
      </c>
      <c r="C119" s="18">
        <v>13950027</v>
      </c>
      <c r="D119" s="18">
        <f t="shared" si="116"/>
        <v>15945131</v>
      </c>
      <c r="E119" s="18">
        <f t="shared" si="117"/>
        <v>3613287</v>
      </c>
      <c r="F119" s="18">
        <v>0</v>
      </c>
      <c r="G119" s="18">
        <f t="shared" si="118"/>
        <v>3613287</v>
      </c>
      <c r="H119" s="18">
        <v>22205</v>
      </c>
      <c r="I119" s="18">
        <v>0</v>
      </c>
      <c r="J119" s="18">
        <f t="shared" si="119"/>
        <v>22205</v>
      </c>
      <c r="K119" s="18">
        <v>0</v>
      </c>
      <c r="L119" s="18">
        <v>0</v>
      </c>
      <c r="M119" s="18">
        <f t="shared" si="120"/>
        <v>0</v>
      </c>
      <c r="N119" s="18">
        <f t="shared" si="121"/>
        <v>843551</v>
      </c>
      <c r="O119" s="18">
        <v>0</v>
      </c>
      <c r="P119" s="18">
        <f t="shared" si="122"/>
        <v>843551</v>
      </c>
      <c r="Q119" s="18">
        <v>2721</v>
      </c>
      <c r="R119" s="18">
        <v>0</v>
      </c>
      <c r="S119" s="18">
        <f>R119+Q119</f>
        <v>2721</v>
      </c>
      <c r="T119" s="18">
        <v>305732</v>
      </c>
      <c r="U119" s="18">
        <v>0</v>
      </c>
      <c r="V119" s="18">
        <f t="shared" si="163"/>
        <v>305732</v>
      </c>
      <c r="W119" s="18">
        <f t="shared" si="115"/>
        <v>6782600</v>
      </c>
      <c r="X119" s="18">
        <f t="shared" si="180"/>
        <v>13950027</v>
      </c>
      <c r="Y119" s="235">
        <f t="shared" si="181"/>
        <v>20732627</v>
      </c>
      <c r="Z119" s="18">
        <v>0</v>
      </c>
      <c r="AA119" s="18">
        <v>3613287</v>
      </c>
      <c r="AB119" s="18">
        <f t="shared" si="129"/>
        <v>3613287</v>
      </c>
      <c r="AC119" s="352">
        <v>328511</v>
      </c>
      <c r="AD119" s="18">
        <v>515040</v>
      </c>
      <c r="AE119" s="18">
        <f t="shared" si="127"/>
        <v>843551</v>
      </c>
      <c r="AF119" s="352">
        <f t="shared" si="182"/>
        <v>16366644</v>
      </c>
      <c r="AG119" s="353">
        <f t="shared" si="182"/>
        <v>81732858</v>
      </c>
      <c r="AH119" s="353">
        <f t="shared" si="164"/>
        <v>98099502</v>
      </c>
      <c r="AI119" s="353">
        <f t="shared" si="183"/>
        <v>23228759</v>
      </c>
      <c r="AJ119" s="353">
        <f t="shared" si="184"/>
        <v>0</v>
      </c>
      <c r="AK119" s="353">
        <f t="shared" si="165"/>
        <v>23228759</v>
      </c>
      <c r="AL119" s="353">
        <f t="shared" si="185"/>
        <v>1407520</v>
      </c>
      <c r="AM119" s="353">
        <f t="shared" si="185"/>
        <v>0</v>
      </c>
      <c r="AN119" s="353">
        <f t="shared" si="166"/>
        <v>1407520</v>
      </c>
      <c r="AO119" s="353">
        <f t="shared" si="186"/>
        <v>0</v>
      </c>
      <c r="AP119" s="353">
        <f t="shared" si="186"/>
        <v>0</v>
      </c>
      <c r="AQ119" s="353">
        <f t="shared" si="167"/>
        <v>0</v>
      </c>
      <c r="AR119" s="353">
        <f t="shared" si="187"/>
        <v>15181704</v>
      </c>
      <c r="AS119" s="353">
        <f t="shared" si="187"/>
        <v>0</v>
      </c>
      <c r="AT119" s="353">
        <f t="shared" si="168"/>
        <v>15181704</v>
      </c>
      <c r="AU119" s="353">
        <f t="shared" si="188"/>
        <v>83027</v>
      </c>
      <c r="AV119" s="353">
        <f t="shared" si="188"/>
        <v>0</v>
      </c>
      <c r="AW119" s="353">
        <f t="shared" si="169"/>
        <v>83027</v>
      </c>
      <c r="AX119" s="353">
        <f t="shared" si="190"/>
        <v>2425979</v>
      </c>
      <c r="AY119" s="353">
        <f t="shared" si="190"/>
        <v>0</v>
      </c>
      <c r="AZ119" s="353">
        <f t="shared" si="191"/>
        <v>2425979</v>
      </c>
      <c r="BA119" s="354">
        <f t="shared" si="189"/>
        <v>140426491</v>
      </c>
    </row>
    <row r="120" spans="1:53">
      <c r="A120" s="138">
        <v>43709</v>
      </c>
      <c r="B120" s="18">
        <v>2030713</v>
      </c>
      <c r="C120" s="18">
        <v>28711738</v>
      </c>
      <c r="D120" s="18">
        <f t="shared" si="116"/>
        <v>30742451</v>
      </c>
      <c r="E120" s="18">
        <f t="shared" si="117"/>
        <v>3039211</v>
      </c>
      <c r="F120" s="18">
        <v>0</v>
      </c>
      <c r="G120" s="18">
        <f t="shared" si="118"/>
        <v>3039211</v>
      </c>
      <c r="H120" s="18">
        <v>89823</v>
      </c>
      <c r="I120" s="18">
        <v>0</v>
      </c>
      <c r="J120" s="18">
        <f t="shared" si="119"/>
        <v>89823</v>
      </c>
      <c r="K120" s="18">
        <v>0</v>
      </c>
      <c r="L120" s="18">
        <v>0</v>
      </c>
      <c r="M120" s="18">
        <f t="shared" si="120"/>
        <v>0</v>
      </c>
      <c r="N120" s="18">
        <f t="shared" si="121"/>
        <v>2145600</v>
      </c>
      <c r="O120" s="18">
        <v>0</v>
      </c>
      <c r="P120" s="18">
        <f t="shared" si="122"/>
        <v>2145600</v>
      </c>
      <c r="Q120" s="18">
        <v>0</v>
      </c>
      <c r="R120" s="18">
        <v>0</v>
      </c>
      <c r="S120" s="18">
        <f>R120+Q120</f>
        <v>0</v>
      </c>
      <c r="T120" s="18">
        <v>404010</v>
      </c>
      <c r="U120" s="18">
        <v>0</v>
      </c>
      <c r="V120" s="18">
        <f t="shared" si="163"/>
        <v>404010</v>
      </c>
      <c r="W120" s="18">
        <f t="shared" si="115"/>
        <v>7709357</v>
      </c>
      <c r="X120" s="18">
        <f t="shared" si="180"/>
        <v>28711738</v>
      </c>
      <c r="Y120" s="235">
        <f t="shared" si="181"/>
        <v>36421095</v>
      </c>
      <c r="Z120" s="18">
        <v>0</v>
      </c>
      <c r="AA120" s="18">
        <v>3039211</v>
      </c>
      <c r="AB120" s="18">
        <f t="shared" si="129"/>
        <v>3039211</v>
      </c>
      <c r="AC120" s="352">
        <v>273475</v>
      </c>
      <c r="AD120" s="18">
        <v>1872125</v>
      </c>
      <c r="AE120" s="18">
        <f t="shared" si="127"/>
        <v>2145600</v>
      </c>
      <c r="AF120" s="352">
        <f t="shared" si="182"/>
        <v>18397357</v>
      </c>
      <c r="AG120" s="353">
        <f t="shared" si="182"/>
        <v>110444596</v>
      </c>
      <c r="AH120" s="353">
        <f t="shared" si="164"/>
        <v>128841953</v>
      </c>
      <c r="AI120" s="353">
        <f t="shared" si="183"/>
        <v>26842046</v>
      </c>
      <c r="AJ120" s="353">
        <f t="shared" si="184"/>
        <v>0</v>
      </c>
      <c r="AK120" s="353">
        <f t="shared" si="165"/>
        <v>26842046</v>
      </c>
      <c r="AL120" s="353">
        <f t="shared" si="185"/>
        <v>1497343</v>
      </c>
      <c r="AM120" s="353">
        <f t="shared" si="185"/>
        <v>0</v>
      </c>
      <c r="AN120" s="353">
        <f t="shared" si="166"/>
        <v>1497343</v>
      </c>
      <c r="AO120" s="353">
        <f t="shared" si="186"/>
        <v>0</v>
      </c>
      <c r="AP120" s="353">
        <f t="shared" si="186"/>
        <v>0</v>
      </c>
      <c r="AQ120" s="353">
        <f t="shared" si="167"/>
        <v>0</v>
      </c>
      <c r="AR120" s="353">
        <f t="shared" si="187"/>
        <v>17327304</v>
      </c>
      <c r="AS120" s="353">
        <f t="shared" si="187"/>
        <v>0</v>
      </c>
      <c r="AT120" s="353">
        <f t="shared" si="168"/>
        <v>17327304</v>
      </c>
      <c r="AU120" s="353">
        <f t="shared" si="188"/>
        <v>83027</v>
      </c>
      <c r="AV120" s="353">
        <f t="shared" si="188"/>
        <v>0</v>
      </c>
      <c r="AW120" s="353">
        <f t="shared" si="169"/>
        <v>83027</v>
      </c>
      <c r="AX120" s="353">
        <f t="shared" si="190"/>
        <v>2829989</v>
      </c>
      <c r="AY120" s="353">
        <f t="shared" si="190"/>
        <v>0</v>
      </c>
      <c r="AZ120" s="353">
        <f t="shared" si="191"/>
        <v>2829989</v>
      </c>
      <c r="BA120" s="354">
        <f t="shared" si="189"/>
        <v>177421662</v>
      </c>
    </row>
    <row r="121" spans="1:53">
      <c r="A121" s="138">
        <v>43739</v>
      </c>
      <c r="B121" s="18">
        <v>1819727</v>
      </c>
      <c r="C121" s="18">
        <v>54364003</v>
      </c>
      <c r="D121" s="18">
        <f t="shared" si="116"/>
        <v>56183730</v>
      </c>
      <c r="E121" s="18">
        <f t="shared" si="117"/>
        <v>1976794</v>
      </c>
      <c r="F121" s="18">
        <v>0</v>
      </c>
      <c r="G121" s="18">
        <f t="shared" si="118"/>
        <v>1976794</v>
      </c>
      <c r="H121" s="18">
        <v>134585</v>
      </c>
      <c r="I121" s="18">
        <v>0</v>
      </c>
      <c r="J121" s="18">
        <f t="shared" si="119"/>
        <v>134585</v>
      </c>
      <c r="K121" s="18">
        <v>0</v>
      </c>
      <c r="L121" s="18">
        <v>0</v>
      </c>
      <c r="M121" s="18">
        <f t="shared" si="120"/>
        <v>0</v>
      </c>
      <c r="N121" s="18">
        <f t="shared" si="121"/>
        <v>1997933</v>
      </c>
      <c r="O121" s="18">
        <v>0</v>
      </c>
      <c r="P121" s="18">
        <f t="shared" si="122"/>
        <v>1997933</v>
      </c>
      <c r="Q121" s="18">
        <v>0</v>
      </c>
      <c r="R121" s="18">
        <v>0</v>
      </c>
      <c r="S121" s="18">
        <f t="shared" ref="S121:S164" si="192">R121+Q121</f>
        <v>0</v>
      </c>
      <c r="T121" s="18">
        <v>0</v>
      </c>
      <c r="U121" s="18">
        <v>0</v>
      </c>
      <c r="V121" s="18">
        <f t="shared" si="163"/>
        <v>0</v>
      </c>
      <c r="W121" s="18">
        <f t="shared" si="115"/>
        <v>5929039</v>
      </c>
      <c r="X121" s="18">
        <f t="shared" si="180"/>
        <v>54364003</v>
      </c>
      <c r="Y121" s="235">
        <f t="shared" si="181"/>
        <v>60293042</v>
      </c>
      <c r="Z121" s="18">
        <v>0</v>
      </c>
      <c r="AA121" s="18">
        <v>1976794</v>
      </c>
      <c r="AB121" s="18">
        <f t="shared" si="129"/>
        <v>1976794</v>
      </c>
      <c r="AC121" s="352">
        <v>0</v>
      </c>
      <c r="AD121" s="18">
        <v>1997933</v>
      </c>
      <c r="AE121" s="18">
        <f t="shared" si="127"/>
        <v>1997933</v>
      </c>
      <c r="AF121" s="352">
        <f t="shared" si="182"/>
        <v>20217084</v>
      </c>
      <c r="AG121" s="353">
        <f t="shared" si="182"/>
        <v>164808599</v>
      </c>
      <c r="AH121" s="353">
        <f t="shared" si="164"/>
        <v>185025683</v>
      </c>
      <c r="AI121" s="353">
        <f t="shared" si="183"/>
        <v>29881257</v>
      </c>
      <c r="AJ121" s="353">
        <f t="shared" si="184"/>
        <v>0</v>
      </c>
      <c r="AK121" s="353">
        <f t="shared" si="165"/>
        <v>29881257</v>
      </c>
      <c r="AL121" s="353">
        <f t="shared" si="185"/>
        <v>1631928</v>
      </c>
      <c r="AM121" s="353">
        <f t="shared" si="185"/>
        <v>0</v>
      </c>
      <c r="AN121" s="353">
        <f t="shared" si="166"/>
        <v>1631928</v>
      </c>
      <c r="AO121" s="353">
        <f t="shared" si="186"/>
        <v>0</v>
      </c>
      <c r="AP121" s="353">
        <f t="shared" si="186"/>
        <v>0</v>
      </c>
      <c r="AQ121" s="353">
        <f t="shared" si="167"/>
        <v>0</v>
      </c>
      <c r="AR121" s="353">
        <f t="shared" si="187"/>
        <v>19325237</v>
      </c>
      <c r="AS121" s="353">
        <f t="shared" si="187"/>
        <v>0</v>
      </c>
      <c r="AT121" s="353">
        <f t="shared" si="168"/>
        <v>19325237</v>
      </c>
      <c r="AU121" s="353">
        <f t="shared" si="188"/>
        <v>83027</v>
      </c>
      <c r="AV121" s="353">
        <f t="shared" si="188"/>
        <v>0</v>
      </c>
      <c r="AW121" s="353">
        <f t="shared" si="169"/>
        <v>83027</v>
      </c>
      <c r="AX121" s="353">
        <f t="shared" si="190"/>
        <v>2829989</v>
      </c>
      <c r="AY121" s="353">
        <f t="shared" si="190"/>
        <v>0</v>
      </c>
      <c r="AZ121" s="353">
        <f t="shared" si="191"/>
        <v>2829989</v>
      </c>
      <c r="BA121" s="354">
        <f t="shared" si="189"/>
        <v>238777121</v>
      </c>
    </row>
    <row r="122" spans="1:53">
      <c r="A122" s="138">
        <v>43770</v>
      </c>
      <c r="B122" s="18">
        <v>1813191</v>
      </c>
      <c r="C122" s="18">
        <v>9565841</v>
      </c>
      <c r="D122" s="18">
        <f t="shared" si="116"/>
        <v>11379032</v>
      </c>
      <c r="E122" s="18">
        <f t="shared" si="117"/>
        <v>2394703</v>
      </c>
      <c r="F122" s="18">
        <v>0</v>
      </c>
      <c r="G122" s="18">
        <f t="shared" si="118"/>
        <v>2394703</v>
      </c>
      <c r="H122" s="18">
        <v>169211</v>
      </c>
      <c r="I122" s="18">
        <v>0</v>
      </c>
      <c r="J122" s="18">
        <f t="shared" si="119"/>
        <v>169211</v>
      </c>
      <c r="K122" s="18">
        <v>0</v>
      </c>
      <c r="L122" s="18">
        <v>0</v>
      </c>
      <c r="M122" s="18">
        <f t="shared" si="120"/>
        <v>0</v>
      </c>
      <c r="N122" s="18">
        <f t="shared" si="121"/>
        <v>2241651</v>
      </c>
      <c r="O122" s="18">
        <v>0</v>
      </c>
      <c r="P122" s="18">
        <f t="shared" si="122"/>
        <v>2241651</v>
      </c>
      <c r="Q122" s="18">
        <v>0</v>
      </c>
      <c r="R122" s="18">
        <v>0</v>
      </c>
      <c r="S122" s="18">
        <f t="shared" si="192"/>
        <v>0</v>
      </c>
      <c r="T122" s="18">
        <v>366982</v>
      </c>
      <c r="U122" s="18">
        <v>0</v>
      </c>
      <c r="V122" s="18">
        <f t="shared" si="163"/>
        <v>366982</v>
      </c>
      <c r="W122" s="18">
        <f t="shared" si="115"/>
        <v>6985738</v>
      </c>
      <c r="X122" s="18">
        <f t="shared" si="180"/>
        <v>9565841</v>
      </c>
      <c r="Y122" s="235">
        <f t="shared" si="181"/>
        <v>16551579</v>
      </c>
      <c r="Z122" s="18">
        <v>0</v>
      </c>
      <c r="AA122" s="18">
        <v>2394703</v>
      </c>
      <c r="AB122" s="18">
        <f t="shared" si="129"/>
        <v>2394703</v>
      </c>
      <c r="AC122" s="352">
        <v>268266</v>
      </c>
      <c r="AD122" s="18">
        <v>1973385</v>
      </c>
      <c r="AE122" s="18">
        <f t="shared" si="127"/>
        <v>2241651</v>
      </c>
      <c r="AF122" s="352">
        <f t="shared" si="182"/>
        <v>22030275</v>
      </c>
      <c r="AG122" s="353">
        <f t="shared" si="182"/>
        <v>174374440</v>
      </c>
      <c r="AH122" s="353">
        <f t="shared" si="164"/>
        <v>196404715</v>
      </c>
      <c r="AI122" s="353">
        <f t="shared" si="183"/>
        <v>31858051</v>
      </c>
      <c r="AJ122" s="353">
        <f t="shared" si="184"/>
        <v>0</v>
      </c>
      <c r="AK122" s="353">
        <f t="shared" si="165"/>
        <v>31858051</v>
      </c>
      <c r="AL122" s="353">
        <f t="shared" si="185"/>
        <v>1801139</v>
      </c>
      <c r="AM122" s="353">
        <f t="shared" si="185"/>
        <v>0</v>
      </c>
      <c r="AN122" s="353">
        <f t="shared" si="166"/>
        <v>1801139</v>
      </c>
      <c r="AO122" s="353">
        <f t="shared" si="186"/>
        <v>0</v>
      </c>
      <c r="AP122" s="353">
        <f t="shared" si="186"/>
        <v>0</v>
      </c>
      <c r="AQ122" s="353">
        <f t="shared" si="167"/>
        <v>0</v>
      </c>
      <c r="AR122" s="353">
        <f t="shared" si="187"/>
        <v>21566888</v>
      </c>
      <c r="AS122" s="353">
        <f t="shared" si="187"/>
        <v>0</v>
      </c>
      <c r="AT122" s="353">
        <f t="shared" si="168"/>
        <v>21566888</v>
      </c>
      <c r="AU122" s="353">
        <f t="shared" si="188"/>
        <v>83027</v>
      </c>
      <c r="AV122" s="353">
        <f t="shared" si="188"/>
        <v>0</v>
      </c>
      <c r="AW122" s="353">
        <f t="shared" si="169"/>
        <v>83027</v>
      </c>
      <c r="AX122" s="353">
        <f t="shared" si="190"/>
        <v>3196971</v>
      </c>
      <c r="AY122" s="353">
        <f t="shared" si="190"/>
        <v>0</v>
      </c>
      <c r="AZ122" s="353">
        <f t="shared" si="191"/>
        <v>3196971</v>
      </c>
      <c r="BA122" s="354">
        <f t="shared" si="189"/>
        <v>254910791</v>
      </c>
    </row>
    <row r="123" spans="1:53" ht="13.5" customHeight="1" thickBot="1">
      <c r="A123" s="138">
        <v>43800</v>
      </c>
      <c r="B123" s="18">
        <v>1861860</v>
      </c>
      <c r="C123" s="18">
        <v>21228729</v>
      </c>
      <c r="D123" s="18">
        <f t="shared" si="116"/>
        <v>23090589</v>
      </c>
      <c r="E123" s="18">
        <f t="shared" si="117"/>
        <v>3022605</v>
      </c>
      <c r="F123" s="18">
        <v>0</v>
      </c>
      <c r="G123" s="18">
        <f t="shared" si="118"/>
        <v>3022605</v>
      </c>
      <c r="H123" s="18">
        <v>246372</v>
      </c>
      <c r="I123" s="18">
        <v>0</v>
      </c>
      <c r="J123" s="18">
        <f t="shared" si="119"/>
        <v>246372</v>
      </c>
      <c r="K123" s="18">
        <v>0</v>
      </c>
      <c r="L123" s="18">
        <v>0</v>
      </c>
      <c r="M123" s="18">
        <f t="shared" si="120"/>
        <v>0</v>
      </c>
      <c r="N123" s="18">
        <f t="shared" si="121"/>
        <v>2971111</v>
      </c>
      <c r="O123" s="18">
        <v>0</v>
      </c>
      <c r="P123" s="18">
        <f t="shared" si="122"/>
        <v>2971111</v>
      </c>
      <c r="Q123" s="18">
        <v>0</v>
      </c>
      <c r="R123" s="18">
        <v>0</v>
      </c>
      <c r="S123" s="18">
        <f t="shared" si="192"/>
        <v>0</v>
      </c>
      <c r="T123" s="18">
        <v>1012409</v>
      </c>
      <c r="U123" s="18">
        <v>0</v>
      </c>
      <c r="V123" s="18">
        <f t="shared" si="163"/>
        <v>1012409</v>
      </c>
      <c r="W123" s="18">
        <f t="shared" si="115"/>
        <v>9114357</v>
      </c>
      <c r="X123" s="18">
        <f t="shared" si="180"/>
        <v>21228729</v>
      </c>
      <c r="Y123" s="235">
        <f t="shared" si="181"/>
        <v>30343086</v>
      </c>
      <c r="Z123" s="18">
        <v>0</v>
      </c>
      <c r="AA123" s="18">
        <v>3022605</v>
      </c>
      <c r="AB123" s="18">
        <f>AA123+Z123</f>
        <v>3022605</v>
      </c>
      <c r="AC123" s="352">
        <v>864766</v>
      </c>
      <c r="AD123" s="18">
        <v>2106345</v>
      </c>
      <c r="AE123" s="18">
        <f t="shared" si="127"/>
        <v>2971111</v>
      </c>
      <c r="AF123" s="352">
        <f t="shared" si="182"/>
        <v>23892135</v>
      </c>
      <c r="AG123" s="353">
        <f t="shared" si="182"/>
        <v>195603169</v>
      </c>
      <c r="AH123" s="353">
        <f t="shared" si="164"/>
        <v>219495304</v>
      </c>
      <c r="AI123" s="353">
        <f t="shared" si="183"/>
        <v>34252754</v>
      </c>
      <c r="AJ123" s="353">
        <f t="shared" si="184"/>
        <v>0</v>
      </c>
      <c r="AK123" s="353">
        <f t="shared" si="165"/>
        <v>34252754</v>
      </c>
      <c r="AL123" s="353">
        <f t="shared" si="185"/>
        <v>2047511</v>
      </c>
      <c r="AM123" s="353">
        <f t="shared" si="185"/>
        <v>0</v>
      </c>
      <c r="AN123" s="353">
        <f t="shared" si="166"/>
        <v>2047511</v>
      </c>
      <c r="AO123" s="353">
        <f t="shared" si="186"/>
        <v>0</v>
      </c>
      <c r="AP123" s="353">
        <f t="shared" si="186"/>
        <v>0</v>
      </c>
      <c r="AQ123" s="353">
        <f t="shared" si="167"/>
        <v>0</v>
      </c>
      <c r="AR123" s="353">
        <f t="shared" si="187"/>
        <v>24537999</v>
      </c>
      <c r="AS123" s="353">
        <f t="shared" si="187"/>
        <v>0</v>
      </c>
      <c r="AT123" s="353">
        <f t="shared" si="168"/>
        <v>24537999</v>
      </c>
      <c r="AU123" s="353">
        <f t="shared" si="188"/>
        <v>83027</v>
      </c>
      <c r="AV123" s="353">
        <f t="shared" si="188"/>
        <v>0</v>
      </c>
      <c r="AW123" s="353">
        <f t="shared" si="169"/>
        <v>83027</v>
      </c>
      <c r="AX123" s="353">
        <f t="shared" si="190"/>
        <v>4209380</v>
      </c>
      <c r="AY123" s="353">
        <f t="shared" si="190"/>
        <v>0</v>
      </c>
      <c r="AZ123" s="353">
        <f t="shared" si="191"/>
        <v>4209380</v>
      </c>
      <c r="BA123" s="354">
        <f t="shared" si="189"/>
        <v>284625975</v>
      </c>
    </row>
    <row r="124" spans="1:53">
      <c r="A124" s="141">
        <v>43831</v>
      </c>
      <c r="B124" s="143">
        <v>1856511</v>
      </c>
      <c r="C124" s="143">
        <v>7566830</v>
      </c>
      <c r="D124" s="143">
        <f t="shared" si="116"/>
        <v>9423341</v>
      </c>
      <c r="E124" s="143">
        <f t="shared" si="117"/>
        <v>4025292</v>
      </c>
      <c r="F124" s="143">
        <v>0</v>
      </c>
      <c r="G124" s="143">
        <f t="shared" si="118"/>
        <v>4025292</v>
      </c>
      <c r="H124" s="143">
        <v>259436</v>
      </c>
      <c r="I124" s="143">
        <v>0</v>
      </c>
      <c r="J124" s="143">
        <f t="shared" si="119"/>
        <v>259436</v>
      </c>
      <c r="K124" s="143">
        <v>0</v>
      </c>
      <c r="L124" s="143">
        <v>0</v>
      </c>
      <c r="M124" s="143">
        <f t="shared" si="120"/>
        <v>0</v>
      </c>
      <c r="N124" s="143">
        <f t="shared" si="121"/>
        <v>2027357</v>
      </c>
      <c r="O124" s="143">
        <v>0</v>
      </c>
      <c r="P124" s="143">
        <f t="shared" si="122"/>
        <v>2027357</v>
      </c>
      <c r="Q124" s="143">
        <v>0</v>
      </c>
      <c r="R124" s="143">
        <v>0</v>
      </c>
      <c r="S124" s="143">
        <f t="shared" si="192"/>
        <v>0</v>
      </c>
      <c r="T124" s="143">
        <v>0</v>
      </c>
      <c r="U124" s="143">
        <v>0</v>
      </c>
      <c r="V124" s="143">
        <f t="shared" si="163"/>
        <v>0</v>
      </c>
      <c r="W124" s="143">
        <f t="shared" si="115"/>
        <v>8168596</v>
      </c>
      <c r="X124" s="143">
        <f t="shared" si="180"/>
        <v>7566830</v>
      </c>
      <c r="Y124" s="237">
        <f t="shared" si="181"/>
        <v>15735426</v>
      </c>
      <c r="Z124" s="143">
        <v>0</v>
      </c>
      <c r="AA124" s="143">
        <v>4025292</v>
      </c>
      <c r="AB124" s="143">
        <f t="shared" si="129"/>
        <v>4025292</v>
      </c>
      <c r="AC124" s="349">
        <v>0</v>
      </c>
      <c r="AD124" s="143">
        <v>2027357</v>
      </c>
      <c r="AE124" s="143">
        <f t="shared" si="127"/>
        <v>2027357</v>
      </c>
      <c r="AF124" s="349">
        <f>B124</f>
        <v>1856511</v>
      </c>
      <c r="AG124" s="350">
        <f>C124</f>
        <v>7566830</v>
      </c>
      <c r="AH124" s="350">
        <f t="shared" si="164"/>
        <v>9423341</v>
      </c>
      <c r="AI124" s="350">
        <f>E124</f>
        <v>4025292</v>
      </c>
      <c r="AJ124" s="350">
        <f>F124</f>
        <v>0</v>
      </c>
      <c r="AK124" s="350">
        <f t="shared" si="165"/>
        <v>4025292</v>
      </c>
      <c r="AL124" s="350">
        <f>H124</f>
        <v>259436</v>
      </c>
      <c r="AM124" s="350">
        <f>I124</f>
        <v>0</v>
      </c>
      <c r="AN124" s="350">
        <f t="shared" si="166"/>
        <v>259436</v>
      </c>
      <c r="AO124" s="350">
        <f>K124</f>
        <v>0</v>
      </c>
      <c r="AP124" s="350">
        <f>L124</f>
        <v>0</v>
      </c>
      <c r="AQ124" s="350">
        <f t="shared" si="167"/>
        <v>0</v>
      </c>
      <c r="AR124" s="350">
        <f>N124</f>
        <v>2027357</v>
      </c>
      <c r="AS124" s="350">
        <f>O124</f>
        <v>0</v>
      </c>
      <c r="AT124" s="350">
        <f t="shared" si="168"/>
        <v>2027357</v>
      </c>
      <c r="AU124" s="350">
        <f>Q124</f>
        <v>0</v>
      </c>
      <c r="AV124" s="350">
        <f>R124</f>
        <v>0</v>
      </c>
      <c r="AW124" s="350">
        <f t="shared" si="169"/>
        <v>0</v>
      </c>
      <c r="AX124" s="350">
        <f>T124</f>
        <v>0</v>
      </c>
      <c r="AY124" s="350">
        <f>U124</f>
        <v>0</v>
      </c>
      <c r="AZ124" s="350">
        <f>SUM(AX124:AY124)</f>
        <v>0</v>
      </c>
      <c r="BA124" s="351">
        <f>AW124+AT124+AQ124+AN124+AK124+AH124+AZ124</f>
        <v>15735426</v>
      </c>
    </row>
    <row r="125" spans="1:53">
      <c r="A125" s="138">
        <v>43862</v>
      </c>
      <c r="B125" s="18">
        <v>1782835</v>
      </c>
      <c r="C125" s="18">
        <v>12396799</v>
      </c>
      <c r="D125" s="18">
        <f t="shared" si="116"/>
        <v>14179634</v>
      </c>
      <c r="E125" s="18">
        <f t="shared" si="117"/>
        <v>3352809</v>
      </c>
      <c r="F125" s="18">
        <v>0</v>
      </c>
      <c r="G125" s="18">
        <f t="shared" si="118"/>
        <v>3352809</v>
      </c>
      <c r="H125" s="18">
        <v>202527</v>
      </c>
      <c r="I125" s="18">
        <v>0</v>
      </c>
      <c r="J125" s="18">
        <f t="shared" si="119"/>
        <v>202527</v>
      </c>
      <c r="K125" s="18">
        <v>0</v>
      </c>
      <c r="L125" s="18">
        <v>0</v>
      </c>
      <c r="M125" s="18">
        <f t="shared" si="120"/>
        <v>0</v>
      </c>
      <c r="N125" s="18">
        <f t="shared" si="121"/>
        <v>2104018</v>
      </c>
      <c r="O125" s="18">
        <v>0</v>
      </c>
      <c r="P125" s="18">
        <f t="shared" si="122"/>
        <v>2104018</v>
      </c>
      <c r="Q125" s="18">
        <v>0</v>
      </c>
      <c r="R125" s="18">
        <v>0</v>
      </c>
      <c r="S125" s="18">
        <f t="shared" si="192"/>
        <v>0</v>
      </c>
      <c r="T125" s="18">
        <v>0</v>
      </c>
      <c r="U125" s="18">
        <v>0</v>
      </c>
      <c r="V125" s="18">
        <f t="shared" si="163"/>
        <v>0</v>
      </c>
      <c r="W125" s="18">
        <f t="shared" si="115"/>
        <v>7442189</v>
      </c>
      <c r="X125" s="18">
        <f t="shared" si="180"/>
        <v>12396799</v>
      </c>
      <c r="Y125" s="235">
        <f t="shared" si="181"/>
        <v>19838988</v>
      </c>
      <c r="Z125" s="18">
        <v>0</v>
      </c>
      <c r="AA125" s="18">
        <v>3352809</v>
      </c>
      <c r="AB125" s="18">
        <f t="shared" si="129"/>
        <v>3352809</v>
      </c>
      <c r="AC125" s="352">
        <v>275611</v>
      </c>
      <c r="AD125" s="18">
        <v>1828407</v>
      </c>
      <c r="AE125" s="18">
        <f t="shared" si="127"/>
        <v>2104018</v>
      </c>
      <c r="AF125" s="352">
        <f t="shared" ref="AF125:AG135" si="193">B125+AF124</f>
        <v>3639346</v>
      </c>
      <c r="AG125" s="353">
        <f t="shared" si="193"/>
        <v>19963629</v>
      </c>
      <c r="AH125" s="353">
        <f t="shared" si="164"/>
        <v>23602975</v>
      </c>
      <c r="AI125" s="353">
        <f t="shared" ref="AI125:AI135" si="194">AI124+E124</f>
        <v>8050584</v>
      </c>
      <c r="AJ125" s="353">
        <f t="shared" ref="AJ125:AJ135" si="195">AJ124+F125</f>
        <v>0</v>
      </c>
      <c r="AK125" s="353">
        <f t="shared" si="165"/>
        <v>8050584</v>
      </c>
      <c r="AL125" s="353">
        <f t="shared" ref="AL125:AM135" si="196">AL124+H125</f>
        <v>461963</v>
      </c>
      <c r="AM125" s="353">
        <f t="shared" si="196"/>
        <v>0</v>
      </c>
      <c r="AN125" s="353">
        <f t="shared" si="166"/>
        <v>461963</v>
      </c>
      <c r="AO125" s="353">
        <f t="shared" ref="AO125:AP135" si="197">AO124+K125</f>
        <v>0</v>
      </c>
      <c r="AP125" s="353">
        <f t="shared" si="197"/>
        <v>0</v>
      </c>
      <c r="AQ125" s="353">
        <f t="shared" si="167"/>
        <v>0</v>
      </c>
      <c r="AR125" s="353">
        <f t="shared" ref="AR125:AS135" si="198">AR124+N125</f>
        <v>4131375</v>
      </c>
      <c r="AS125" s="353">
        <f t="shared" si="198"/>
        <v>0</v>
      </c>
      <c r="AT125" s="353">
        <f t="shared" si="168"/>
        <v>4131375</v>
      </c>
      <c r="AU125" s="353">
        <f t="shared" ref="AU125:AV135" si="199">AU124+Q125</f>
        <v>0</v>
      </c>
      <c r="AV125" s="353">
        <f t="shared" si="199"/>
        <v>0</v>
      </c>
      <c r="AW125" s="353">
        <f t="shared" si="169"/>
        <v>0</v>
      </c>
      <c r="AX125" s="353">
        <f>AX124+T125</f>
        <v>0</v>
      </c>
      <c r="AY125" s="353">
        <f>AY124+U125</f>
        <v>0</v>
      </c>
      <c r="AZ125" s="353">
        <f>SUM(AX125:AY125)</f>
        <v>0</v>
      </c>
      <c r="BA125" s="354">
        <f t="shared" ref="BA125:BA135" si="200">AW125+AT125+AQ125+AN125+AK125+AH125+AZ125</f>
        <v>36246897</v>
      </c>
    </row>
    <row r="126" spans="1:53">
      <c r="A126" s="138">
        <v>43891</v>
      </c>
      <c r="B126" s="18">
        <v>2067683</v>
      </c>
      <c r="C126" s="18">
        <v>24356072</v>
      </c>
      <c r="D126" s="18">
        <f t="shared" si="116"/>
        <v>26423755</v>
      </c>
      <c r="E126" s="18">
        <f t="shared" si="117"/>
        <v>3562685</v>
      </c>
      <c r="F126" s="18">
        <v>0</v>
      </c>
      <c r="G126" s="18">
        <f t="shared" si="118"/>
        <v>3562685</v>
      </c>
      <c r="H126" s="18">
        <v>258720</v>
      </c>
      <c r="I126" s="18">
        <v>0</v>
      </c>
      <c r="J126" s="18">
        <f t="shared" si="119"/>
        <v>258720</v>
      </c>
      <c r="K126" s="18">
        <v>0</v>
      </c>
      <c r="L126" s="18">
        <v>0</v>
      </c>
      <c r="M126" s="18">
        <f t="shared" si="120"/>
        <v>0</v>
      </c>
      <c r="N126" s="18">
        <f t="shared" si="121"/>
        <v>2071831</v>
      </c>
      <c r="O126" s="18">
        <v>0</v>
      </c>
      <c r="P126" s="18">
        <f t="shared" si="122"/>
        <v>2071831</v>
      </c>
      <c r="Q126" s="18">
        <v>0</v>
      </c>
      <c r="R126" s="18">
        <v>0</v>
      </c>
      <c r="S126" s="18">
        <f t="shared" si="192"/>
        <v>0</v>
      </c>
      <c r="T126" s="18">
        <v>628681</v>
      </c>
      <c r="U126" s="18">
        <v>0</v>
      </c>
      <c r="V126" s="18">
        <f t="shared" si="163"/>
        <v>628681</v>
      </c>
      <c r="W126" s="18">
        <f t="shared" si="115"/>
        <v>8589600</v>
      </c>
      <c r="X126" s="18">
        <f t="shared" si="180"/>
        <v>24356072</v>
      </c>
      <c r="Y126" s="235">
        <f t="shared" si="181"/>
        <v>32945672</v>
      </c>
      <c r="Z126" s="18">
        <v>0</v>
      </c>
      <c r="AA126" s="18">
        <v>3562685</v>
      </c>
      <c r="AB126" s="18">
        <f t="shared" si="129"/>
        <v>3562685</v>
      </c>
      <c r="AC126" s="352">
        <v>188487</v>
      </c>
      <c r="AD126" s="18">
        <v>1883344</v>
      </c>
      <c r="AE126" s="18">
        <f t="shared" si="127"/>
        <v>2071831</v>
      </c>
      <c r="AF126" s="352">
        <f t="shared" si="193"/>
        <v>5707029</v>
      </c>
      <c r="AG126" s="353">
        <f t="shared" si="193"/>
        <v>44319701</v>
      </c>
      <c r="AH126" s="353">
        <f t="shared" si="164"/>
        <v>50026730</v>
      </c>
      <c r="AI126" s="353">
        <f t="shared" si="194"/>
        <v>11403393</v>
      </c>
      <c r="AJ126" s="353">
        <f t="shared" si="195"/>
        <v>0</v>
      </c>
      <c r="AK126" s="353">
        <f t="shared" si="165"/>
        <v>11403393</v>
      </c>
      <c r="AL126" s="353">
        <f t="shared" si="196"/>
        <v>720683</v>
      </c>
      <c r="AM126" s="353">
        <f t="shared" si="196"/>
        <v>0</v>
      </c>
      <c r="AN126" s="353">
        <f t="shared" si="166"/>
        <v>720683</v>
      </c>
      <c r="AO126" s="353">
        <f t="shared" si="197"/>
        <v>0</v>
      </c>
      <c r="AP126" s="353">
        <f t="shared" si="197"/>
        <v>0</v>
      </c>
      <c r="AQ126" s="353">
        <f t="shared" si="167"/>
        <v>0</v>
      </c>
      <c r="AR126" s="353">
        <f t="shared" si="198"/>
        <v>6203206</v>
      </c>
      <c r="AS126" s="353">
        <f t="shared" si="198"/>
        <v>0</v>
      </c>
      <c r="AT126" s="353">
        <f t="shared" si="168"/>
        <v>6203206</v>
      </c>
      <c r="AU126" s="353">
        <f t="shared" si="199"/>
        <v>0</v>
      </c>
      <c r="AV126" s="353">
        <f t="shared" si="199"/>
        <v>0</v>
      </c>
      <c r="AW126" s="353">
        <f t="shared" si="169"/>
        <v>0</v>
      </c>
      <c r="AX126" s="353">
        <f t="shared" ref="AX126:AY135" si="201">AX125+T126</f>
        <v>628681</v>
      </c>
      <c r="AY126" s="353">
        <f t="shared" si="201"/>
        <v>0</v>
      </c>
      <c r="AZ126" s="353">
        <f t="shared" ref="AZ126:AZ135" si="202">SUM(AX126:AY126)</f>
        <v>628681</v>
      </c>
      <c r="BA126" s="354">
        <f t="shared" si="200"/>
        <v>68982693</v>
      </c>
    </row>
    <row r="127" spans="1:53">
      <c r="A127" s="138">
        <v>43922</v>
      </c>
      <c r="B127" s="18">
        <v>1989362</v>
      </c>
      <c r="C127" s="18">
        <v>0</v>
      </c>
      <c r="D127" s="18">
        <f t="shared" si="116"/>
        <v>1989362</v>
      </c>
      <c r="E127" s="18">
        <f t="shared" si="117"/>
        <v>3082235</v>
      </c>
      <c r="F127" s="18">
        <v>0</v>
      </c>
      <c r="G127" s="18">
        <f t="shared" si="118"/>
        <v>3082235</v>
      </c>
      <c r="H127" s="18">
        <v>199425</v>
      </c>
      <c r="I127" s="18">
        <v>0</v>
      </c>
      <c r="J127" s="18">
        <f t="shared" si="119"/>
        <v>199425</v>
      </c>
      <c r="K127" s="18">
        <v>0</v>
      </c>
      <c r="L127" s="18">
        <v>0</v>
      </c>
      <c r="M127" s="18">
        <f t="shared" si="120"/>
        <v>0</v>
      </c>
      <c r="N127" s="18">
        <f t="shared" si="121"/>
        <v>1835076</v>
      </c>
      <c r="O127" s="18">
        <v>0</v>
      </c>
      <c r="P127" s="18">
        <f t="shared" si="122"/>
        <v>1835076</v>
      </c>
      <c r="Q127" s="18">
        <v>8244</v>
      </c>
      <c r="R127" s="18">
        <v>0</v>
      </c>
      <c r="S127" s="18">
        <f t="shared" si="192"/>
        <v>8244</v>
      </c>
      <c r="T127" s="18">
        <v>0</v>
      </c>
      <c r="U127" s="18">
        <v>0</v>
      </c>
      <c r="V127" s="18">
        <f t="shared" si="163"/>
        <v>0</v>
      </c>
      <c r="W127" s="18">
        <f t="shared" si="115"/>
        <v>7114342</v>
      </c>
      <c r="X127" s="18">
        <f t="shared" si="180"/>
        <v>0</v>
      </c>
      <c r="Y127" s="235">
        <f t="shared" si="181"/>
        <v>7114342</v>
      </c>
      <c r="Z127" s="18">
        <v>0</v>
      </c>
      <c r="AA127" s="18">
        <v>3082235</v>
      </c>
      <c r="AB127" s="18">
        <f t="shared" si="129"/>
        <v>3082235</v>
      </c>
      <c r="AC127" s="352">
        <v>288443</v>
      </c>
      <c r="AD127" s="18">
        <v>1546633</v>
      </c>
      <c r="AE127" s="18">
        <f t="shared" si="127"/>
        <v>1835076</v>
      </c>
      <c r="AF127" s="352">
        <f t="shared" si="193"/>
        <v>7696391</v>
      </c>
      <c r="AG127" s="353">
        <f t="shared" si="193"/>
        <v>44319701</v>
      </c>
      <c r="AH127" s="353">
        <f t="shared" si="164"/>
        <v>52016092</v>
      </c>
      <c r="AI127" s="353">
        <f t="shared" si="194"/>
        <v>14966078</v>
      </c>
      <c r="AJ127" s="353">
        <f t="shared" si="195"/>
        <v>0</v>
      </c>
      <c r="AK127" s="353">
        <f t="shared" si="165"/>
        <v>14966078</v>
      </c>
      <c r="AL127" s="353">
        <f t="shared" si="196"/>
        <v>920108</v>
      </c>
      <c r="AM127" s="353">
        <f t="shared" si="196"/>
        <v>0</v>
      </c>
      <c r="AN127" s="353">
        <f t="shared" si="166"/>
        <v>920108</v>
      </c>
      <c r="AO127" s="353">
        <f t="shared" si="197"/>
        <v>0</v>
      </c>
      <c r="AP127" s="353">
        <f t="shared" si="197"/>
        <v>0</v>
      </c>
      <c r="AQ127" s="353">
        <f t="shared" si="167"/>
        <v>0</v>
      </c>
      <c r="AR127" s="353">
        <f t="shared" si="198"/>
        <v>8038282</v>
      </c>
      <c r="AS127" s="353">
        <f t="shared" si="198"/>
        <v>0</v>
      </c>
      <c r="AT127" s="353">
        <f t="shared" si="168"/>
        <v>8038282</v>
      </c>
      <c r="AU127" s="353">
        <f t="shared" si="199"/>
        <v>8244</v>
      </c>
      <c r="AV127" s="353">
        <f t="shared" si="199"/>
        <v>0</v>
      </c>
      <c r="AW127" s="353">
        <f t="shared" si="169"/>
        <v>8244</v>
      </c>
      <c r="AX127" s="353">
        <f t="shared" si="201"/>
        <v>628681</v>
      </c>
      <c r="AY127" s="353">
        <f t="shared" si="201"/>
        <v>0</v>
      </c>
      <c r="AZ127" s="353">
        <f t="shared" si="202"/>
        <v>628681</v>
      </c>
      <c r="BA127" s="354">
        <f t="shared" si="200"/>
        <v>76577485</v>
      </c>
    </row>
    <row r="128" spans="1:53">
      <c r="A128" s="138">
        <v>43952</v>
      </c>
      <c r="B128" s="18">
        <v>1967105</v>
      </c>
      <c r="C128" s="18">
        <v>0</v>
      </c>
      <c r="D128" s="18">
        <f t="shared" si="116"/>
        <v>1967105</v>
      </c>
      <c r="E128" s="18">
        <f t="shared" si="117"/>
        <v>4256121</v>
      </c>
      <c r="F128" s="18">
        <v>0</v>
      </c>
      <c r="G128" s="18">
        <f t="shared" si="118"/>
        <v>4256121</v>
      </c>
      <c r="H128" s="18">
        <v>144926</v>
      </c>
      <c r="I128" s="18">
        <v>0</v>
      </c>
      <c r="J128" s="18">
        <f t="shared" si="119"/>
        <v>144926</v>
      </c>
      <c r="K128" s="18">
        <v>0</v>
      </c>
      <c r="L128" s="18">
        <v>0</v>
      </c>
      <c r="M128" s="18">
        <f t="shared" si="120"/>
        <v>0</v>
      </c>
      <c r="N128" s="18">
        <f t="shared" si="121"/>
        <v>1906035</v>
      </c>
      <c r="O128" s="18">
        <v>0</v>
      </c>
      <c r="P128" s="18">
        <f t="shared" si="122"/>
        <v>1906035</v>
      </c>
      <c r="Q128" s="18">
        <v>7740</v>
      </c>
      <c r="R128" s="18">
        <v>0</v>
      </c>
      <c r="S128" s="18">
        <f t="shared" si="192"/>
        <v>7740</v>
      </c>
      <c r="T128" s="18">
        <v>376204</v>
      </c>
      <c r="U128" s="18">
        <v>0</v>
      </c>
      <c r="V128" s="18">
        <f t="shared" si="163"/>
        <v>376204</v>
      </c>
      <c r="W128" s="18">
        <f t="shared" si="115"/>
        <v>8658131</v>
      </c>
      <c r="X128" s="18">
        <f t="shared" si="180"/>
        <v>0</v>
      </c>
      <c r="Y128" s="235">
        <f t="shared" si="181"/>
        <v>8658131</v>
      </c>
      <c r="Z128" s="18">
        <v>0</v>
      </c>
      <c r="AA128" s="18">
        <v>4256121</v>
      </c>
      <c r="AB128" s="18">
        <f t="shared" si="129"/>
        <v>4256121</v>
      </c>
      <c r="AC128" s="352">
        <v>76739</v>
      </c>
      <c r="AD128" s="18">
        <v>1829296</v>
      </c>
      <c r="AE128" s="18">
        <f t="shared" si="127"/>
        <v>1906035</v>
      </c>
      <c r="AF128" s="352">
        <f t="shared" si="193"/>
        <v>9663496</v>
      </c>
      <c r="AG128" s="353">
        <f t="shared" si="193"/>
        <v>44319701</v>
      </c>
      <c r="AH128" s="353">
        <f t="shared" si="164"/>
        <v>53983197</v>
      </c>
      <c r="AI128" s="353">
        <f t="shared" si="194"/>
        <v>18048313</v>
      </c>
      <c r="AJ128" s="353">
        <f t="shared" si="195"/>
        <v>0</v>
      </c>
      <c r="AK128" s="353">
        <f t="shared" si="165"/>
        <v>18048313</v>
      </c>
      <c r="AL128" s="353">
        <f t="shared" si="196"/>
        <v>1065034</v>
      </c>
      <c r="AM128" s="353">
        <f t="shared" si="196"/>
        <v>0</v>
      </c>
      <c r="AN128" s="353">
        <f t="shared" si="166"/>
        <v>1065034</v>
      </c>
      <c r="AO128" s="353">
        <f t="shared" si="197"/>
        <v>0</v>
      </c>
      <c r="AP128" s="353">
        <f t="shared" si="197"/>
        <v>0</v>
      </c>
      <c r="AQ128" s="353">
        <f t="shared" si="167"/>
        <v>0</v>
      </c>
      <c r="AR128" s="353">
        <f t="shared" si="198"/>
        <v>9944317</v>
      </c>
      <c r="AS128" s="353">
        <f t="shared" si="198"/>
        <v>0</v>
      </c>
      <c r="AT128" s="353">
        <f t="shared" si="168"/>
        <v>9944317</v>
      </c>
      <c r="AU128" s="353">
        <f t="shared" si="199"/>
        <v>15984</v>
      </c>
      <c r="AV128" s="353">
        <f t="shared" si="199"/>
        <v>0</v>
      </c>
      <c r="AW128" s="353">
        <f t="shared" si="169"/>
        <v>15984</v>
      </c>
      <c r="AX128" s="353">
        <f t="shared" si="201"/>
        <v>1004885</v>
      </c>
      <c r="AY128" s="353">
        <f t="shared" si="201"/>
        <v>0</v>
      </c>
      <c r="AZ128" s="353">
        <f t="shared" si="202"/>
        <v>1004885</v>
      </c>
      <c r="BA128" s="354">
        <f t="shared" si="200"/>
        <v>84061730</v>
      </c>
    </row>
    <row r="129" spans="1:53">
      <c r="A129" s="138">
        <v>43983</v>
      </c>
      <c r="B129" s="18">
        <v>1972220</v>
      </c>
      <c r="C129" s="18">
        <v>0</v>
      </c>
      <c r="D129" s="18">
        <f t="shared" si="116"/>
        <v>1972220</v>
      </c>
      <c r="E129" s="18">
        <f t="shared" si="117"/>
        <v>3353056</v>
      </c>
      <c r="F129" s="18">
        <v>0</v>
      </c>
      <c r="G129" s="18">
        <f t="shared" si="118"/>
        <v>3353056</v>
      </c>
      <c r="H129" s="18">
        <v>65082</v>
      </c>
      <c r="I129" s="18">
        <v>0</v>
      </c>
      <c r="J129" s="18">
        <f t="shared" si="119"/>
        <v>65082</v>
      </c>
      <c r="K129" s="18">
        <v>0</v>
      </c>
      <c r="L129" s="18">
        <v>0</v>
      </c>
      <c r="M129" s="18">
        <f t="shared" si="120"/>
        <v>0</v>
      </c>
      <c r="N129" s="18">
        <f t="shared" si="121"/>
        <v>1610763</v>
      </c>
      <c r="O129" s="18">
        <v>0</v>
      </c>
      <c r="P129" s="18">
        <f t="shared" si="122"/>
        <v>1610763</v>
      </c>
      <c r="Q129" s="18">
        <v>8314</v>
      </c>
      <c r="R129" s="18">
        <v>0</v>
      </c>
      <c r="S129" s="18">
        <f t="shared" si="192"/>
        <v>8314</v>
      </c>
      <c r="T129" s="18">
        <v>437146</v>
      </c>
      <c r="U129" s="18">
        <v>0</v>
      </c>
      <c r="V129" s="18">
        <f t="shared" si="163"/>
        <v>437146</v>
      </c>
      <c r="W129" s="18">
        <f t="shared" si="115"/>
        <v>7446581</v>
      </c>
      <c r="X129" s="18">
        <f t="shared" si="180"/>
        <v>0</v>
      </c>
      <c r="Y129" s="235">
        <f t="shared" si="181"/>
        <v>7446581</v>
      </c>
      <c r="Z129" s="18">
        <v>0</v>
      </c>
      <c r="AA129" s="18">
        <v>3353056</v>
      </c>
      <c r="AB129" s="18">
        <f t="shared" si="129"/>
        <v>3353056</v>
      </c>
      <c r="AC129" s="352">
        <v>0</v>
      </c>
      <c r="AD129" s="18">
        <v>1610763</v>
      </c>
      <c r="AE129" s="18">
        <f t="shared" si="127"/>
        <v>1610763</v>
      </c>
      <c r="AF129" s="352">
        <f t="shared" si="193"/>
        <v>11635716</v>
      </c>
      <c r="AG129" s="353">
        <f t="shared" si="193"/>
        <v>44319701</v>
      </c>
      <c r="AH129" s="353">
        <f t="shared" si="164"/>
        <v>55955417</v>
      </c>
      <c r="AI129" s="353">
        <f t="shared" si="194"/>
        <v>22304434</v>
      </c>
      <c r="AJ129" s="353">
        <f t="shared" si="195"/>
        <v>0</v>
      </c>
      <c r="AK129" s="353">
        <f t="shared" si="165"/>
        <v>22304434</v>
      </c>
      <c r="AL129" s="353">
        <f t="shared" si="196"/>
        <v>1130116</v>
      </c>
      <c r="AM129" s="353">
        <f t="shared" si="196"/>
        <v>0</v>
      </c>
      <c r="AN129" s="353">
        <f t="shared" si="166"/>
        <v>1130116</v>
      </c>
      <c r="AO129" s="353">
        <f t="shared" si="197"/>
        <v>0</v>
      </c>
      <c r="AP129" s="353">
        <f t="shared" si="197"/>
        <v>0</v>
      </c>
      <c r="AQ129" s="353">
        <f t="shared" si="167"/>
        <v>0</v>
      </c>
      <c r="AR129" s="353">
        <f t="shared" si="198"/>
        <v>11555080</v>
      </c>
      <c r="AS129" s="353">
        <f t="shared" si="198"/>
        <v>0</v>
      </c>
      <c r="AT129" s="353">
        <f t="shared" si="168"/>
        <v>11555080</v>
      </c>
      <c r="AU129" s="353">
        <f t="shared" si="199"/>
        <v>24298</v>
      </c>
      <c r="AV129" s="353">
        <f t="shared" si="199"/>
        <v>0</v>
      </c>
      <c r="AW129" s="353">
        <f t="shared" si="169"/>
        <v>24298</v>
      </c>
      <c r="AX129" s="353">
        <f t="shared" si="201"/>
        <v>1442031</v>
      </c>
      <c r="AY129" s="353">
        <f t="shared" si="201"/>
        <v>0</v>
      </c>
      <c r="AZ129" s="353">
        <f t="shared" si="202"/>
        <v>1442031</v>
      </c>
      <c r="BA129" s="354">
        <f t="shared" si="200"/>
        <v>92411376</v>
      </c>
    </row>
    <row r="130" spans="1:53">
      <c r="A130" s="138">
        <v>44013</v>
      </c>
      <c r="B130" s="18">
        <v>1804923</v>
      </c>
      <c r="C130" s="18">
        <v>22037693</v>
      </c>
      <c r="D130" s="18">
        <f t="shared" si="116"/>
        <v>23842616</v>
      </c>
      <c r="E130" s="18">
        <f t="shared" si="117"/>
        <v>3624640</v>
      </c>
      <c r="F130" s="18">
        <v>0</v>
      </c>
      <c r="G130" s="18">
        <f t="shared" si="118"/>
        <v>3624640</v>
      </c>
      <c r="H130" s="18">
        <v>40728</v>
      </c>
      <c r="I130" s="18">
        <v>0</v>
      </c>
      <c r="J130" s="18">
        <f t="shared" si="119"/>
        <v>40728</v>
      </c>
      <c r="K130" s="18">
        <v>0</v>
      </c>
      <c r="L130" s="18">
        <v>0</v>
      </c>
      <c r="M130" s="18">
        <f t="shared" si="120"/>
        <v>0</v>
      </c>
      <c r="N130" s="18">
        <f t="shared" si="121"/>
        <v>2235005</v>
      </c>
      <c r="O130" s="18">
        <v>0</v>
      </c>
      <c r="P130" s="18">
        <f t="shared" si="122"/>
        <v>2235005</v>
      </c>
      <c r="Q130" s="18">
        <v>10378</v>
      </c>
      <c r="R130" s="18">
        <v>0</v>
      </c>
      <c r="S130" s="18">
        <f t="shared" si="192"/>
        <v>10378</v>
      </c>
      <c r="T130" s="18">
        <v>416467</v>
      </c>
      <c r="U130" s="18">
        <v>0</v>
      </c>
      <c r="V130" s="18">
        <f t="shared" si="163"/>
        <v>416467</v>
      </c>
      <c r="W130" s="18">
        <f t="shared" si="115"/>
        <v>8132141</v>
      </c>
      <c r="X130" s="18">
        <f t="shared" si="180"/>
        <v>22037693</v>
      </c>
      <c r="Y130" s="235">
        <f t="shared" si="181"/>
        <v>30169834</v>
      </c>
      <c r="Z130" s="18">
        <v>0</v>
      </c>
      <c r="AA130" s="18">
        <v>3624640</v>
      </c>
      <c r="AB130" s="18">
        <f t="shared" si="129"/>
        <v>3624640</v>
      </c>
      <c r="AC130" s="352">
        <v>517912</v>
      </c>
      <c r="AD130" s="18">
        <v>1717093</v>
      </c>
      <c r="AE130" s="18">
        <f t="shared" si="127"/>
        <v>2235005</v>
      </c>
      <c r="AF130" s="352">
        <f t="shared" si="193"/>
        <v>13440639</v>
      </c>
      <c r="AG130" s="353">
        <f t="shared" si="193"/>
        <v>66357394</v>
      </c>
      <c r="AH130" s="353">
        <f t="shared" si="164"/>
        <v>79798033</v>
      </c>
      <c r="AI130" s="353">
        <f t="shared" si="194"/>
        <v>25657490</v>
      </c>
      <c r="AJ130" s="353">
        <f t="shared" si="195"/>
        <v>0</v>
      </c>
      <c r="AK130" s="353">
        <f t="shared" si="165"/>
        <v>25657490</v>
      </c>
      <c r="AL130" s="353">
        <f t="shared" si="196"/>
        <v>1170844</v>
      </c>
      <c r="AM130" s="353">
        <f t="shared" si="196"/>
        <v>0</v>
      </c>
      <c r="AN130" s="353">
        <f t="shared" si="166"/>
        <v>1170844</v>
      </c>
      <c r="AO130" s="353">
        <f t="shared" si="197"/>
        <v>0</v>
      </c>
      <c r="AP130" s="353">
        <f t="shared" si="197"/>
        <v>0</v>
      </c>
      <c r="AQ130" s="353">
        <f t="shared" si="167"/>
        <v>0</v>
      </c>
      <c r="AR130" s="353">
        <f t="shared" si="198"/>
        <v>13790085</v>
      </c>
      <c r="AS130" s="353">
        <f t="shared" si="198"/>
        <v>0</v>
      </c>
      <c r="AT130" s="353">
        <f t="shared" si="168"/>
        <v>13790085</v>
      </c>
      <c r="AU130" s="353">
        <f t="shared" si="199"/>
        <v>34676</v>
      </c>
      <c r="AV130" s="353">
        <f t="shared" si="199"/>
        <v>0</v>
      </c>
      <c r="AW130" s="353">
        <f t="shared" si="169"/>
        <v>34676</v>
      </c>
      <c r="AX130" s="353">
        <f t="shared" si="201"/>
        <v>1858498</v>
      </c>
      <c r="AY130" s="353">
        <f t="shared" si="201"/>
        <v>0</v>
      </c>
      <c r="AZ130" s="353">
        <f t="shared" si="202"/>
        <v>1858498</v>
      </c>
      <c r="BA130" s="354">
        <f t="shared" si="200"/>
        <v>122309626</v>
      </c>
    </row>
    <row r="131" spans="1:53">
      <c r="A131" s="138">
        <v>44044</v>
      </c>
      <c r="B131" s="18">
        <v>1946561</v>
      </c>
      <c r="C131" s="18">
        <v>27566484</v>
      </c>
      <c r="D131" s="18">
        <f t="shared" si="116"/>
        <v>29513045</v>
      </c>
      <c r="E131" s="18">
        <f t="shared" si="117"/>
        <v>3674667</v>
      </c>
      <c r="F131" s="18">
        <v>0</v>
      </c>
      <c r="G131" s="18">
        <f t="shared" si="118"/>
        <v>3674667</v>
      </c>
      <c r="H131" s="18">
        <v>32580</v>
      </c>
      <c r="I131" s="18">
        <v>0</v>
      </c>
      <c r="J131" s="18">
        <f t="shared" si="119"/>
        <v>32580</v>
      </c>
      <c r="K131" s="18">
        <v>0</v>
      </c>
      <c r="L131" s="18">
        <v>0</v>
      </c>
      <c r="M131" s="18">
        <f t="shared" si="120"/>
        <v>0</v>
      </c>
      <c r="N131" s="18">
        <f t="shared" si="121"/>
        <v>2060197</v>
      </c>
      <c r="O131" s="18">
        <v>0</v>
      </c>
      <c r="P131" s="18">
        <f t="shared" si="122"/>
        <v>2060197</v>
      </c>
      <c r="Q131" s="18">
        <v>9452</v>
      </c>
      <c r="R131" s="18">
        <v>0</v>
      </c>
      <c r="S131" s="18">
        <f t="shared" si="192"/>
        <v>9452</v>
      </c>
      <c r="T131" s="18">
        <v>395713</v>
      </c>
      <c r="U131" s="18">
        <v>0</v>
      </c>
      <c r="V131" s="18">
        <f t="shared" si="163"/>
        <v>395713</v>
      </c>
      <c r="W131" s="18">
        <f t="shared" si="115"/>
        <v>8119170</v>
      </c>
      <c r="X131" s="18">
        <f t="shared" si="180"/>
        <v>27566484</v>
      </c>
      <c r="Y131" s="235">
        <f t="shared" si="181"/>
        <v>35685654</v>
      </c>
      <c r="Z131" s="18">
        <v>0</v>
      </c>
      <c r="AA131" s="18">
        <v>3674667</v>
      </c>
      <c r="AB131" s="18">
        <f t="shared" si="129"/>
        <v>3674667</v>
      </c>
      <c r="AC131" s="352">
        <v>379861</v>
      </c>
      <c r="AD131" s="18">
        <v>1680336</v>
      </c>
      <c r="AE131" s="18">
        <f t="shared" si="127"/>
        <v>2060197</v>
      </c>
      <c r="AF131" s="352">
        <f t="shared" si="193"/>
        <v>15387200</v>
      </c>
      <c r="AG131" s="353">
        <f t="shared" si="193"/>
        <v>93923878</v>
      </c>
      <c r="AH131" s="353">
        <f t="shared" si="164"/>
        <v>109311078</v>
      </c>
      <c r="AI131" s="353">
        <f t="shared" si="194"/>
        <v>29282130</v>
      </c>
      <c r="AJ131" s="353">
        <f t="shared" si="195"/>
        <v>0</v>
      </c>
      <c r="AK131" s="353">
        <f t="shared" si="165"/>
        <v>29282130</v>
      </c>
      <c r="AL131" s="353">
        <f t="shared" si="196"/>
        <v>1203424</v>
      </c>
      <c r="AM131" s="353">
        <f t="shared" si="196"/>
        <v>0</v>
      </c>
      <c r="AN131" s="353">
        <f t="shared" si="166"/>
        <v>1203424</v>
      </c>
      <c r="AO131" s="353">
        <f t="shared" si="197"/>
        <v>0</v>
      </c>
      <c r="AP131" s="353">
        <f t="shared" si="197"/>
        <v>0</v>
      </c>
      <c r="AQ131" s="353">
        <f t="shared" si="167"/>
        <v>0</v>
      </c>
      <c r="AR131" s="353">
        <f t="shared" si="198"/>
        <v>15850282</v>
      </c>
      <c r="AS131" s="353">
        <f t="shared" si="198"/>
        <v>0</v>
      </c>
      <c r="AT131" s="353">
        <f t="shared" si="168"/>
        <v>15850282</v>
      </c>
      <c r="AU131" s="353">
        <f t="shared" si="199"/>
        <v>44128</v>
      </c>
      <c r="AV131" s="353">
        <f t="shared" si="199"/>
        <v>0</v>
      </c>
      <c r="AW131" s="353">
        <f t="shared" si="169"/>
        <v>44128</v>
      </c>
      <c r="AX131" s="353">
        <f t="shared" si="201"/>
        <v>2254211</v>
      </c>
      <c r="AY131" s="353">
        <f t="shared" si="201"/>
        <v>0</v>
      </c>
      <c r="AZ131" s="353">
        <f t="shared" si="202"/>
        <v>2254211</v>
      </c>
      <c r="BA131" s="354">
        <f t="shared" si="200"/>
        <v>157945253</v>
      </c>
    </row>
    <row r="132" spans="1:53">
      <c r="A132" s="138">
        <v>44075</v>
      </c>
      <c r="B132" s="18">
        <v>1892214</v>
      </c>
      <c r="C132" s="18">
        <v>27396158</v>
      </c>
      <c r="D132" s="18">
        <f t="shared" si="116"/>
        <v>29288372</v>
      </c>
      <c r="E132" s="18">
        <f t="shared" si="117"/>
        <v>3281535</v>
      </c>
      <c r="F132" s="18">
        <v>0</v>
      </c>
      <c r="G132" s="18">
        <f t="shared" si="118"/>
        <v>3281535</v>
      </c>
      <c r="H132" s="18">
        <v>72403</v>
      </c>
      <c r="I132" s="18">
        <v>0</v>
      </c>
      <c r="J132" s="18">
        <f t="shared" si="119"/>
        <v>72403</v>
      </c>
      <c r="K132" s="18">
        <v>0</v>
      </c>
      <c r="L132" s="18">
        <v>0</v>
      </c>
      <c r="M132" s="18">
        <f t="shared" si="120"/>
        <v>0</v>
      </c>
      <c r="N132" s="18">
        <f t="shared" si="121"/>
        <v>2315488</v>
      </c>
      <c r="O132" s="18">
        <v>0</v>
      </c>
      <c r="P132" s="18">
        <f t="shared" si="122"/>
        <v>2315488</v>
      </c>
      <c r="Q132" s="18">
        <v>9276</v>
      </c>
      <c r="R132" s="18">
        <v>0</v>
      </c>
      <c r="S132" s="18">
        <f t="shared" si="192"/>
        <v>9276</v>
      </c>
      <c r="T132" s="18">
        <v>346477</v>
      </c>
      <c r="U132" s="18">
        <v>0</v>
      </c>
      <c r="V132" s="18">
        <f t="shared" si="163"/>
        <v>346477</v>
      </c>
      <c r="W132" s="18">
        <f t="shared" ref="W132:W186" si="203">B132+E132+H132+K132+N132+Q132+T132</f>
        <v>7917393</v>
      </c>
      <c r="X132" s="18">
        <f t="shared" si="180"/>
        <v>27396158</v>
      </c>
      <c r="Y132" s="235">
        <f t="shared" si="181"/>
        <v>35313551</v>
      </c>
      <c r="Z132" s="18">
        <v>0</v>
      </c>
      <c r="AA132" s="18">
        <v>3281535</v>
      </c>
      <c r="AB132" s="18">
        <f t="shared" si="129"/>
        <v>3281535</v>
      </c>
      <c r="AC132" s="352">
        <v>357763</v>
      </c>
      <c r="AD132" s="18">
        <v>1957725</v>
      </c>
      <c r="AE132" s="18">
        <f t="shared" si="127"/>
        <v>2315488</v>
      </c>
      <c r="AF132" s="352">
        <f t="shared" si="193"/>
        <v>17279414</v>
      </c>
      <c r="AG132" s="353">
        <f t="shared" si="193"/>
        <v>121320036</v>
      </c>
      <c r="AH132" s="353">
        <f t="shared" si="164"/>
        <v>138599450</v>
      </c>
      <c r="AI132" s="353">
        <f t="shared" si="194"/>
        <v>32956797</v>
      </c>
      <c r="AJ132" s="353">
        <f t="shared" si="195"/>
        <v>0</v>
      </c>
      <c r="AK132" s="353">
        <f t="shared" si="165"/>
        <v>32956797</v>
      </c>
      <c r="AL132" s="353">
        <f t="shared" si="196"/>
        <v>1275827</v>
      </c>
      <c r="AM132" s="353">
        <f t="shared" si="196"/>
        <v>0</v>
      </c>
      <c r="AN132" s="353">
        <f t="shared" si="166"/>
        <v>1275827</v>
      </c>
      <c r="AO132" s="353">
        <f t="shared" si="197"/>
        <v>0</v>
      </c>
      <c r="AP132" s="353">
        <f t="shared" si="197"/>
        <v>0</v>
      </c>
      <c r="AQ132" s="353">
        <f t="shared" si="167"/>
        <v>0</v>
      </c>
      <c r="AR132" s="353">
        <f t="shared" si="198"/>
        <v>18165770</v>
      </c>
      <c r="AS132" s="353">
        <f t="shared" si="198"/>
        <v>0</v>
      </c>
      <c r="AT132" s="353">
        <f t="shared" si="168"/>
        <v>18165770</v>
      </c>
      <c r="AU132" s="353">
        <f t="shared" si="199"/>
        <v>53404</v>
      </c>
      <c r="AV132" s="353">
        <f t="shared" si="199"/>
        <v>0</v>
      </c>
      <c r="AW132" s="353">
        <f t="shared" si="169"/>
        <v>53404</v>
      </c>
      <c r="AX132" s="353">
        <f t="shared" si="201"/>
        <v>2600688</v>
      </c>
      <c r="AY132" s="353">
        <f t="shared" si="201"/>
        <v>0</v>
      </c>
      <c r="AZ132" s="353">
        <f t="shared" si="202"/>
        <v>2600688</v>
      </c>
      <c r="BA132" s="354">
        <f t="shared" si="200"/>
        <v>193651936</v>
      </c>
    </row>
    <row r="133" spans="1:53">
      <c r="A133" s="138">
        <v>44105</v>
      </c>
      <c r="B133" s="18">
        <v>1985006</v>
      </c>
      <c r="C133" s="18">
        <v>16839735</v>
      </c>
      <c r="D133" s="18">
        <f t="shared" ref="D133:D186" si="204">C133+B133</f>
        <v>18824741</v>
      </c>
      <c r="E133" s="18">
        <f t="shared" ref="E133:E186" si="205">AB133</f>
        <v>4348250</v>
      </c>
      <c r="F133" s="18">
        <v>0</v>
      </c>
      <c r="G133" s="18">
        <f t="shared" ref="G133:G186" si="206">F133+E133</f>
        <v>4348250</v>
      </c>
      <c r="H133" s="18">
        <v>105930</v>
      </c>
      <c r="I133" s="18">
        <v>0</v>
      </c>
      <c r="J133" s="18">
        <f t="shared" ref="J133:J165" si="207">I133+H133</f>
        <v>105930</v>
      </c>
      <c r="K133" s="18">
        <v>0</v>
      </c>
      <c r="L133" s="18">
        <v>0</v>
      </c>
      <c r="M133" s="18">
        <f t="shared" ref="M133:M186" si="208">L133+K133</f>
        <v>0</v>
      </c>
      <c r="N133" s="18">
        <f t="shared" ref="N133:N164" si="209">AE133</f>
        <v>710861</v>
      </c>
      <c r="O133" s="18">
        <v>0</v>
      </c>
      <c r="P133" s="18">
        <f t="shared" ref="P133:P164" si="210">O133+N133</f>
        <v>710861</v>
      </c>
      <c r="Q133" s="18">
        <v>7669</v>
      </c>
      <c r="R133" s="18">
        <v>0</v>
      </c>
      <c r="S133" s="18">
        <f t="shared" si="192"/>
        <v>7669</v>
      </c>
      <c r="T133" s="18">
        <v>247224</v>
      </c>
      <c r="U133" s="18">
        <v>0</v>
      </c>
      <c r="V133" s="18">
        <f t="shared" si="163"/>
        <v>247224</v>
      </c>
      <c r="W133" s="18">
        <f t="shared" si="203"/>
        <v>7404940</v>
      </c>
      <c r="X133" s="18">
        <f t="shared" si="180"/>
        <v>16839735</v>
      </c>
      <c r="Y133" s="235">
        <f t="shared" si="181"/>
        <v>24244675</v>
      </c>
      <c r="Z133" s="18">
        <v>0</v>
      </c>
      <c r="AA133" s="18">
        <v>4348250</v>
      </c>
      <c r="AB133" s="18">
        <f t="shared" si="129"/>
        <v>4348250</v>
      </c>
      <c r="AC133" s="352">
        <v>392252</v>
      </c>
      <c r="AD133" s="18">
        <v>318609</v>
      </c>
      <c r="AE133" s="18">
        <f t="shared" ref="AE133:AE186" si="211">AD133+AC133</f>
        <v>710861</v>
      </c>
      <c r="AF133" s="352">
        <f t="shared" si="193"/>
        <v>19264420</v>
      </c>
      <c r="AG133" s="353">
        <f t="shared" si="193"/>
        <v>138159771</v>
      </c>
      <c r="AH133" s="353">
        <f t="shared" si="164"/>
        <v>157424191</v>
      </c>
      <c r="AI133" s="353">
        <f t="shared" si="194"/>
        <v>36238332</v>
      </c>
      <c r="AJ133" s="353">
        <f t="shared" si="195"/>
        <v>0</v>
      </c>
      <c r="AK133" s="353">
        <f t="shared" si="165"/>
        <v>36238332</v>
      </c>
      <c r="AL133" s="353">
        <f t="shared" si="196"/>
        <v>1381757</v>
      </c>
      <c r="AM133" s="353">
        <f t="shared" si="196"/>
        <v>0</v>
      </c>
      <c r="AN133" s="353">
        <f t="shared" si="166"/>
        <v>1381757</v>
      </c>
      <c r="AO133" s="353">
        <f t="shared" si="197"/>
        <v>0</v>
      </c>
      <c r="AP133" s="353">
        <f t="shared" si="197"/>
        <v>0</v>
      </c>
      <c r="AQ133" s="353">
        <f t="shared" si="167"/>
        <v>0</v>
      </c>
      <c r="AR133" s="353">
        <f t="shared" si="198"/>
        <v>18876631</v>
      </c>
      <c r="AS133" s="353">
        <f t="shared" si="198"/>
        <v>0</v>
      </c>
      <c r="AT133" s="353">
        <f t="shared" si="168"/>
        <v>18876631</v>
      </c>
      <c r="AU133" s="353">
        <f t="shared" si="199"/>
        <v>61073</v>
      </c>
      <c r="AV133" s="353">
        <f t="shared" si="199"/>
        <v>0</v>
      </c>
      <c r="AW133" s="353">
        <f t="shared" si="169"/>
        <v>61073</v>
      </c>
      <c r="AX133" s="353">
        <f t="shared" si="201"/>
        <v>2847912</v>
      </c>
      <c r="AY133" s="353">
        <f t="shared" si="201"/>
        <v>0</v>
      </c>
      <c r="AZ133" s="353">
        <f t="shared" si="202"/>
        <v>2847912</v>
      </c>
      <c r="BA133" s="354">
        <f t="shared" si="200"/>
        <v>216829896</v>
      </c>
    </row>
    <row r="134" spans="1:53">
      <c r="A134" s="138">
        <v>44136</v>
      </c>
      <c r="B134" s="18">
        <v>1902346</v>
      </c>
      <c r="C134" s="18">
        <v>21572221</v>
      </c>
      <c r="D134" s="18">
        <f t="shared" si="204"/>
        <v>23474567</v>
      </c>
      <c r="E134" s="18">
        <f t="shared" si="205"/>
        <v>5931919</v>
      </c>
      <c r="F134" s="18">
        <v>0</v>
      </c>
      <c r="G134" s="18">
        <f t="shared" si="206"/>
        <v>5931919</v>
      </c>
      <c r="H134" s="18">
        <v>138968</v>
      </c>
      <c r="I134" s="18">
        <v>0</v>
      </c>
      <c r="J134" s="18">
        <f t="shared" si="207"/>
        <v>138968</v>
      </c>
      <c r="K134" s="18">
        <v>0</v>
      </c>
      <c r="L134" s="18">
        <v>0</v>
      </c>
      <c r="M134" s="18">
        <f t="shared" si="208"/>
        <v>0</v>
      </c>
      <c r="N134" s="18">
        <f t="shared" si="209"/>
        <v>1656278</v>
      </c>
      <c r="O134" s="18">
        <v>0</v>
      </c>
      <c r="P134" s="18">
        <f t="shared" si="210"/>
        <v>1656278</v>
      </c>
      <c r="Q134" s="18">
        <v>8502</v>
      </c>
      <c r="R134" s="18">
        <v>0</v>
      </c>
      <c r="S134" s="18">
        <f t="shared" si="192"/>
        <v>8502</v>
      </c>
      <c r="T134" s="18">
        <v>956600</v>
      </c>
      <c r="U134" s="18">
        <v>0</v>
      </c>
      <c r="V134" s="18">
        <f t="shared" si="163"/>
        <v>956600</v>
      </c>
      <c r="W134" s="18">
        <f t="shared" si="203"/>
        <v>10594613</v>
      </c>
      <c r="X134" s="18">
        <f t="shared" si="180"/>
        <v>21572221</v>
      </c>
      <c r="Y134" s="235">
        <f t="shared" si="181"/>
        <v>32166834</v>
      </c>
      <c r="Z134" s="18">
        <v>0</v>
      </c>
      <c r="AA134" s="18">
        <v>5931919</v>
      </c>
      <c r="AB134" s="18">
        <f t="shared" si="129"/>
        <v>5931919</v>
      </c>
      <c r="AC134" s="352">
        <v>365481</v>
      </c>
      <c r="AD134" s="18">
        <v>1290797</v>
      </c>
      <c r="AE134" s="18">
        <f t="shared" si="211"/>
        <v>1656278</v>
      </c>
      <c r="AF134" s="352">
        <f t="shared" si="193"/>
        <v>21166766</v>
      </c>
      <c r="AG134" s="353">
        <f t="shared" si="193"/>
        <v>159731992</v>
      </c>
      <c r="AH134" s="353">
        <f t="shared" si="164"/>
        <v>180898758</v>
      </c>
      <c r="AI134" s="353">
        <f t="shared" si="194"/>
        <v>40586582</v>
      </c>
      <c r="AJ134" s="353">
        <f t="shared" si="195"/>
        <v>0</v>
      </c>
      <c r="AK134" s="353">
        <f t="shared" si="165"/>
        <v>40586582</v>
      </c>
      <c r="AL134" s="353">
        <f t="shared" si="196"/>
        <v>1520725</v>
      </c>
      <c r="AM134" s="353">
        <f t="shared" si="196"/>
        <v>0</v>
      </c>
      <c r="AN134" s="353">
        <f t="shared" si="166"/>
        <v>1520725</v>
      </c>
      <c r="AO134" s="353">
        <f t="shared" si="197"/>
        <v>0</v>
      </c>
      <c r="AP134" s="353">
        <f t="shared" si="197"/>
        <v>0</v>
      </c>
      <c r="AQ134" s="353">
        <f t="shared" si="167"/>
        <v>0</v>
      </c>
      <c r="AR134" s="353">
        <f t="shared" si="198"/>
        <v>20532909</v>
      </c>
      <c r="AS134" s="353">
        <f t="shared" si="198"/>
        <v>0</v>
      </c>
      <c r="AT134" s="353">
        <f t="shared" si="168"/>
        <v>20532909</v>
      </c>
      <c r="AU134" s="353">
        <f t="shared" si="199"/>
        <v>69575</v>
      </c>
      <c r="AV134" s="353">
        <f t="shared" si="199"/>
        <v>0</v>
      </c>
      <c r="AW134" s="353">
        <f t="shared" si="169"/>
        <v>69575</v>
      </c>
      <c r="AX134" s="353">
        <f t="shared" si="201"/>
        <v>3804512</v>
      </c>
      <c r="AY134" s="353">
        <f t="shared" si="201"/>
        <v>0</v>
      </c>
      <c r="AZ134" s="353">
        <f t="shared" si="202"/>
        <v>3804512</v>
      </c>
      <c r="BA134" s="354">
        <f t="shared" si="200"/>
        <v>247413061</v>
      </c>
    </row>
    <row r="135" spans="1:53" ht="13.5" customHeight="1" thickBot="1">
      <c r="A135" s="138">
        <v>44166</v>
      </c>
      <c r="B135" s="18">
        <v>2285111</v>
      </c>
      <c r="C135" s="18">
        <v>25454380</v>
      </c>
      <c r="D135" s="18">
        <f t="shared" si="204"/>
        <v>27739491</v>
      </c>
      <c r="E135" s="18">
        <f t="shared" si="205"/>
        <v>8103462</v>
      </c>
      <c r="F135" s="18">
        <v>0</v>
      </c>
      <c r="G135" s="18">
        <f t="shared" si="206"/>
        <v>8103462</v>
      </c>
      <c r="H135" s="18">
        <v>271858</v>
      </c>
      <c r="I135" s="18">
        <v>0</v>
      </c>
      <c r="J135" s="18">
        <f t="shared" si="207"/>
        <v>271858</v>
      </c>
      <c r="K135" s="18">
        <v>0</v>
      </c>
      <c r="L135" s="18">
        <v>0</v>
      </c>
      <c r="M135" s="18">
        <f t="shared" si="208"/>
        <v>0</v>
      </c>
      <c r="N135" s="18">
        <f t="shared" si="209"/>
        <v>1621947</v>
      </c>
      <c r="O135" s="18">
        <v>0</v>
      </c>
      <c r="P135" s="18">
        <f t="shared" si="210"/>
        <v>1621947</v>
      </c>
      <c r="Q135" s="18">
        <v>15796</v>
      </c>
      <c r="R135" s="18">
        <v>0</v>
      </c>
      <c r="S135" s="18">
        <f t="shared" si="192"/>
        <v>15796</v>
      </c>
      <c r="T135" s="18">
        <v>502249</v>
      </c>
      <c r="U135" s="18">
        <v>0</v>
      </c>
      <c r="V135" s="18">
        <f t="shared" si="163"/>
        <v>502249</v>
      </c>
      <c r="W135" s="18">
        <f t="shared" si="203"/>
        <v>12800423</v>
      </c>
      <c r="X135" s="18">
        <f t="shared" si="180"/>
        <v>25454380</v>
      </c>
      <c r="Y135" s="235">
        <f t="shared" si="181"/>
        <v>38254803</v>
      </c>
      <c r="Z135" s="18">
        <v>0</v>
      </c>
      <c r="AA135" s="18">
        <v>8103462</v>
      </c>
      <c r="AB135" s="18">
        <f t="shared" si="129"/>
        <v>8103462</v>
      </c>
      <c r="AC135" s="352">
        <v>550077</v>
      </c>
      <c r="AD135" s="18">
        <v>1071870</v>
      </c>
      <c r="AE135" s="18">
        <f t="shared" si="211"/>
        <v>1621947</v>
      </c>
      <c r="AF135" s="352">
        <f t="shared" si="193"/>
        <v>23451877</v>
      </c>
      <c r="AG135" s="353">
        <f t="shared" si="193"/>
        <v>185186372</v>
      </c>
      <c r="AH135" s="353">
        <f t="shared" si="164"/>
        <v>208638249</v>
      </c>
      <c r="AI135" s="353">
        <f t="shared" si="194"/>
        <v>46518501</v>
      </c>
      <c r="AJ135" s="353">
        <f t="shared" si="195"/>
        <v>0</v>
      </c>
      <c r="AK135" s="353">
        <f t="shared" si="165"/>
        <v>46518501</v>
      </c>
      <c r="AL135" s="353">
        <f t="shared" si="196"/>
        <v>1792583</v>
      </c>
      <c r="AM135" s="353">
        <f t="shared" si="196"/>
        <v>0</v>
      </c>
      <c r="AN135" s="353">
        <f t="shared" si="166"/>
        <v>1792583</v>
      </c>
      <c r="AO135" s="353">
        <f t="shared" si="197"/>
        <v>0</v>
      </c>
      <c r="AP135" s="353">
        <f t="shared" si="197"/>
        <v>0</v>
      </c>
      <c r="AQ135" s="353">
        <f t="shared" si="167"/>
        <v>0</v>
      </c>
      <c r="AR135" s="353">
        <f t="shared" si="198"/>
        <v>22154856</v>
      </c>
      <c r="AS135" s="353">
        <f t="shared" si="198"/>
        <v>0</v>
      </c>
      <c r="AT135" s="353">
        <f t="shared" si="168"/>
        <v>22154856</v>
      </c>
      <c r="AU135" s="353">
        <f t="shared" si="199"/>
        <v>85371</v>
      </c>
      <c r="AV135" s="353">
        <f t="shared" si="199"/>
        <v>0</v>
      </c>
      <c r="AW135" s="353">
        <f t="shared" si="169"/>
        <v>85371</v>
      </c>
      <c r="AX135" s="353">
        <f t="shared" si="201"/>
        <v>4306761</v>
      </c>
      <c r="AY135" s="353">
        <f t="shared" si="201"/>
        <v>0</v>
      </c>
      <c r="AZ135" s="353">
        <f t="shared" si="202"/>
        <v>4306761</v>
      </c>
      <c r="BA135" s="354">
        <f t="shared" si="200"/>
        <v>283496321</v>
      </c>
    </row>
    <row r="136" spans="1:53">
      <c r="A136" s="141">
        <v>44197</v>
      </c>
      <c r="B136" s="143">
        <v>2426841</v>
      </c>
      <c r="C136" s="143">
        <v>0</v>
      </c>
      <c r="D136" s="143">
        <f t="shared" si="204"/>
        <v>2426841</v>
      </c>
      <c r="E136" s="143">
        <f t="shared" si="205"/>
        <v>8703348</v>
      </c>
      <c r="F136" s="143">
        <v>0</v>
      </c>
      <c r="G136" s="143">
        <f t="shared" si="206"/>
        <v>8703348</v>
      </c>
      <c r="H136" s="143">
        <v>173333</v>
      </c>
      <c r="I136" s="143">
        <v>0</v>
      </c>
      <c r="J136" s="143">
        <f t="shared" si="207"/>
        <v>173333</v>
      </c>
      <c r="K136" s="143">
        <v>0</v>
      </c>
      <c r="L136" s="143">
        <v>0</v>
      </c>
      <c r="M136" s="143">
        <f t="shared" si="208"/>
        <v>0</v>
      </c>
      <c r="N136" s="143">
        <f t="shared" si="209"/>
        <v>1424788</v>
      </c>
      <c r="O136" s="143">
        <v>0</v>
      </c>
      <c r="P136" s="143">
        <f t="shared" si="210"/>
        <v>1424788</v>
      </c>
      <c r="Q136" s="143">
        <v>49137</v>
      </c>
      <c r="R136" s="143">
        <v>0</v>
      </c>
      <c r="S136" s="143">
        <f t="shared" si="192"/>
        <v>49137</v>
      </c>
      <c r="T136" s="143">
        <v>0</v>
      </c>
      <c r="U136" s="143">
        <v>0</v>
      </c>
      <c r="V136" s="143">
        <f t="shared" si="163"/>
        <v>0</v>
      </c>
      <c r="W136" s="143">
        <f t="shared" si="203"/>
        <v>12777447</v>
      </c>
      <c r="X136" s="143">
        <f t="shared" si="180"/>
        <v>0</v>
      </c>
      <c r="Y136" s="237">
        <f t="shared" si="181"/>
        <v>12777447</v>
      </c>
      <c r="Z136" s="143">
        <v>0</v>
      </c>
      <c r="AA136" s="143">
        <v>8703348</v>
      </c>
      <c r="AB136" s="143">
        <f t="shared" si="129"/>
        <v>8703348</v>
      </c>
      <c r="AC136" s="349">
        <v>0</v>
      </c>
      <c r="AD136" s="143">
        <v>1424788</v>
      </c>
      <c r="AE136" s="143">
        <f t="shared" si="211"/>
        <v>1424788</v>
      </c>
      <c r="AF136" s="349">
        <f>B136</f>
        <v>2426841</v>
      </c>
      <c r="AG136" s="350">
        <f>C136</f>
        <v>0</v>
      </c>
      <c r="AH136" s="350">
        <f t="shared" si="164"/>
        <v>2426841</v>
      </c>
      <c r="AI136" s="350">
        <f>E136</f>
        <v>8703348</v>
      </c>
      <c r="AJ136" s="350">
        <f>F136</f>
        <v>0</v>
      </c>
      <c r="AK136" s="350">
        <f t="shared" si="165"/>
        <v>8703348</v>
      </c>
      <c r="AL136" s="350">
        <f>H136</f>
        <v>173333</v>
      </c>
      <c r="AM136" s="350">
        <f>I136</f>
        <v>0</v>
      </c>
      <c r="AN136" s="350">
        <f t="shared" si="166"/>
        <v>173333</v>
      </c>
      <c r="AO136" s="350">
        <f>K136</f>
        <v>0</v>
      </c>
      <c r="AP136" s="350">
        <f>L136</f>
        <v>0</v>
      </c>
      <c r="AQ136" s="350">
        <f t="shared" si="167"/>
        <v>0</v>
      </c>
      <c r="AR136" s="350">
        <f>N136</f>
        <v>1424788</v>
      </c>
      <c r="AS136" s="350">
        <f>O136</f>
        <v>0</v>
      </c>
      <c r="AT136" s="350">
        <f t="shared" si="168"/>
        <v>1424788</v>
      </c>
      <c r="AU136" s="350">
        <f>Q136</f>
        <v>49137</v>
      </c>
      <c r="AV136" s="350">
        <f>R136</f>
        <v>0</v>
      </c>
      <c r="AW136" s="350">
        <f t="shared" si="169"/>
        <v>49137</v>
      </c>
      <c r="AX136" s="350">
        <f>T136</f>
        <v>0</v>
      </c>
      <c r="AY136" s="350">
        <f>U136</f>
        <v>0</v>
      </c>
      <c r="AZ136" s="350">
        <f>SUM(AX136:AY136)</f>
        <v>0</v>
      </c>
      <c r="BA136" s="351">
        <f>AW136+AT136+AQ136+AN136+AK136+AH136+AZ136</f>
        <v>12777447</v>
      </c>
    </row>
    <row r="137" spans="1:53">
      <c r="A137" s="138">
        <v>44228</v>
      </c>
      <c r="B137" s="18">
        <v>1464560</v>
      </c>
      <c r="C137" s="18">
        <v>0</v>
      </c>
      <c r="D137" s="18">
        <f t="shared" si="204"/>
        <v>1464560</v>
      </c>
      <c r="E137" s="18">
        <f t="shared" si="205"/>
        <v>4481922</v>
      </c>
      <c r="F137" s="18">
        <v>0</v>
      </c>
      <c r="G137" s="18">
        <f t="shared" si="206"/>
        <v>4481922</v>
      </c>
      <c r="H137" s="18">
        <v>190850</v>
      </c>
      <c r="I137" s="18">
        <v>0</v>
      </c>
      <c r="J137" s="18">
        <f t="shared" si="207"/>
        <v>190850</v>
      </c>
      <c r="K137" s="18">
        <v>0</v>
      </c>
      <c r="L137" s="18">
        <v>0</v>
      </c>
      <c r="M137" s="18">
        <f t="shared" si="208"/>
        <v>0</v>
      </c>
      <c r="N137" s="18">
        <f t="shared" si="209"/>
        <v>1941346</v>
      </c>
      <c r="O137" s="18">
        <v>0</v>
      </c>
      <c r="P137" s="18">
        <f t="shared" si="210"/>
        <v>1941346</v>
      </c>
      <c r="Q137" s="18">
        <v>6860</v>
      </c>
      <c r="R137" s="18">
        <v>0</v>
      </c>
      <c r="S137" s="18">
        <f t="shared" si="192"/>
        <v>6860</v>
      </c>
      <c r="T137" s="18">
        <v>266160</v>
      </c>
      <c r="U137" s="18">
        <v>0</v>
      </c>
      <c r="V137" s="18">
        <f t="shared" si="163"/>
        <v>266160</v>
      </c>
      <c r="W137" s="18">
        <f t="shared" si="203"/>
        <v>8351698</v>
      </c>
      <c r="X137" s="18">
        <f t="shared" si="180"/>
        <v>0</v>
      </c>
      <c r="Y137" s="235">
        <f t="shared" si="181"/>
        <v>8351698</v>
      </c>
      <c r="Z137" s="18">
        <v>0</v>
      </c>
      <c r="AA137" s="18">
        <v>4481922</v>
      </c>
      <c r="AB137" s="18">
        <f t="shared" si="129"/>
        <v>4481922</v>
      </c>
      <c r="AC137" s="352">
        <v>357446</v>
      </c>
      <c r="AD137" s="18">
        <v>1583900</v>
      </c>
      <c r="AE137" s="18">
        <f t="shared" si="211"/>
        <v>1941346</v>
      </c>
      <c r="AF137" s="352">
        <f t="shared" ref="AF137:AG147" si="212">B137+AF136</f>
        <v>3891401</v>
      </c>
      <c r="AG137" s="353">
        <f t="shared" si="212"/>
        <v>0</v>
      </c>
      <c r="AH137" s="353">
        <f t="shared" si="164"/>
        <v>3891401</v>
      </c>
      <c r="AI137" s="353">
        <f t="shared" ref="AI137:AI142" si="213">AI136+E136</f>
        <v>17406696</v>
      </c>
      <c r="AJ137" s="353">
        <f t="shared" ref="AJ137:AJ142" si="214">AJ136+F137</f>
        <v>0</v>
      </c>
      <c r="AK137" s="353">
        <f t="shared" si="165"/>
        <v>17406696</v>
      </c>
      <c r="AL137" s="353">
        <f t="shared" ref="AL137:AM147" si="215">AL136+H137</f>
        <v>364183</v>
      </c>
      <c r="AM137" s="353">
        <f t="shared" si="215"/>
        <v>0</v>
      </c>
      <c r="AN137" s="353">
        <f t="shared" si="166"/>
        <v>364183</v>
      </c>
      <c r="AO137" s="353">
        <f t="shared" ref="AO137:AP147" si="216">AO136+K137</f>
        <v>0</v>
      </c>
      <c r="AP137" s="353">
        <f t="shared" si="216"/>
        <v>0</v>
      </c>
      <c r="AQ137" s="353">
        <f t="shared" si="167"/>
        <v>0</v>
      </c>
      <c r="AR137" s="353">
        <f t="shared" ref="AR137:AS147" si="217">AR136+N137</f>
        <v>3366134</v>
      </c>
      <c r="AS137" s="353">
        <f t="shared" si="217"/>
        <v>0</v>
      </c>
      <c r="AT137" s="353">
        <f t="shared" si="168"/>
        <v>3366134</v>
      </c>
      <c r="AU137" s="353">
        <f t="shared" ref="AU137:AV147" si="218">AU136+Q137</f>
        <v>55997</v>
      </c>
      <c r="AV137" s="353">
        <f t="shared" si="218"/>
        <v>0</v>
      </c>
      <c r="AW137" s="353">
        <f t="shared" si="169"/>
        <v>55997</v>
      </c>
      <c r="AX137" s="353">
        <f>AX136+T137</f>
        <v>266160</v>
      </c>
      <c r="AY137" s="353">
        <f>AY136+U137</f>
        <v>0</v>
      </c>
      <c r="AZ137" s="353">
        <f>SUM(AX137:AY137)</f>
        <v>266160</v>
      </c>
      <c r="BA137" s="354">
        <f t="shared" ref="BA137:BA147" si="219">AW137+AT137+AQ137+AN137+AK137+AH137+AZ137</f>
        <v>25350571</v>
      </c>
    </row>
    <row r="138" spans="1:53">
      <c r="A138" s="138">
        <v>44256</v>
      </c>
      <c r="B138" s="18">
        <v>2445094</v>
      </c>
      <c r="C138" s="18">
        <v>0</v>
      </c>
      <c r="D138" s="18">
        <f t="shared" si="204"/>
        <v>2445094</v>
      </c>
      <c r="E138" s="18">
        <f t="shared" si="205"/>
        <v>4066092</v>
      </c>
      <c r="F138" s="18">
        <v>0</v>
      </c>
      <c r="G138" s="18">
        <f t="shared" si="206"/>
        <v>4066092</v>
      </c>
      <c r="H138" s="18">
        <v>182168</v>
      </c>
      <c r="I138" s="18">
        <v>0</v>
      </c>
      <c r="J138" s="18">
        <f t="shared" si="207"/>
        <v>182168</v>
      </c>
      <c r="K138" s="18">
        <v>0</v>
      </c>
      <c r="L138" s="18">
        <v>0</v>
      </c>
      <c r="M138" s="18">
        <f t="shared" si="208"/>
        <v>0</v>
      </c>
      <c r="N138" s="18">
        <f t="shared" si="209"/>
        <v>1489953</v>
      </c>
      <c r="O138" s="18">
        <v>0</v>
      </c>
      <c r="P138" s="18">
        <f t="shared" si="210"/>
        <v>1489953</v>
      </c>
      <c r="Q138" s="18">
        <v>8056</v>
      </c>
      <c r="R138" s="18">
        <v>0</v>
      </c>
      <c r="S138" s="18">
        <f t="shared" si="192"/>
        <v>8056</v>
      </c>
      <c r="T138" s="18">
        <v>136014</v>
      </c>
      <c r="U138" s="18">
        <v>0</v>
      </c>
      <c r="V138" s="18">
        <f t="shared" si="163"/>
        <v>136014</v>
      </c>
      <c r="W138" s="18">
        <f t="shared" si="203"/>
        <v>8327377</v>
      </c>
      <c r="X138" s="18">
        <f t="shared" si="180"/>
        <v>0</v>
      </c>
      <c r="Y138" s="235">
        <f t="shared" si="181"/>
        <v>8327377</v>
      </c>
      <c r="Z138" s="18">
        <v>0</v>
      </c>
      <c r="AA138" s="18">
        <v>4066092</v>
      </c>
      <c r="AB138" s="18">
        <f t="shared" si="129"/>
        <v>4066092</v>
      </c>
      <c r="AC138" s="352">
        <v>158138</v>
      </c>
      <c r="AD138" s="18">
        <v>1331815</v>
      </c>
      <c r="AE138" s="18">
        <f t="shared" si="211"/>
        <v>1489953</v>
      </c>
      <c r="AF138" s="352">
        <f t="shared" si="212"/>
        <v>6336495</v>
      </c>
      <c r="AG138" s="353">
        <f t="shared" si="212"/>
        <v>0</v>
      </c>
      <c r="AH138" s="353">
        <f t="shared" si="164"/>
        <v>6336495</v>
      </c>
      <c r="AI138" s="353">
        <f t="shared" si="213"/>
        <v>21888618</v>
      </c>
      <c r="AJ138" s="353">
        <f t="shared" si="214"/>
        <v>0</v>
      </c>
      <c r="AK138" s="353">
        <f>AJ138+AI138</f>
        <v>21888618</v>
      </c>
      <c r="AL138" s="353">
        <f t="shared" si="215"/>
        <v>546351</v>
      </c>
      <c r="AM138" s="353">
        <f t="shared" si="215"/>
        <v>0</v>
      </c>
      <c r="AN138" s="353">
        <f t="shared" si="166"/>
        <v>546351</v>
      </c>
      <c r="AO138" s="353">
        <f t="shared" si="216"/>
        <v>0</v>
      </c>
      <c r="AP138" s="353">
        <f t="shared" si="216"/>
        <v>0</v>
      </c>
      <c r="AQ138" s="353">
        <f t="shared" si="167"/>
        <v>0</v>
      </c>
      <c r="AR138" s="353">
        <f t="shared" si="217"/>
        <v>4856087</v>
      </c>
      <c r="AS138" s="353">
        <f t="shared" si="217"/>
        <v>0</v>
      </c>
      <c r="AT138" s="353">
        <f t="shared" si="168"/>
        <v>4856087</v>
      </c>
      <c r="AU138" s="353">
        <f t="shared" si="218"/>
        <v>64053</v>
      </c>
      <c r="AV138" s="353">
        <f t="shared" si="218"/>
        <v>0</v>
      </c>
      <c r="AW138" s="353">
        <f t="shared" si="169"/>
        <v>64053</v>
      </c>
      <c r="AX138" s="353">
        <f t="shared" ref="AX138:AY147" si="220">AX137+T138</f>
        <v>402174</v>
      </c>
      <c r="AY138" s="353">
        <f t="shared" si="220"/>
        <v>0</v>
      </c>
      <c r="AZ138" s="353">
        <f t="shared" ref="AZ138:AZ186" si="221">SUM(AX138:AY138)</f>
        <v>402174</v>
      </c>
      <c r="BA138" s="354">
        <f t="shared" si="219"/>
        <v>34093778</v>
      </c>
    </row>
    <row r="139" spans="1:53">
      <c r="A139" s="138">
        <v>44287</v>
      </c>
      <c r="B139" s="18">
        <v>2129916</v>
      </c>
      <c r="C139" s="18">
        <v>0</v>
      </c>
      <c r="D139" s="18">
        <f t="shared" si="204"/>
        <v>2129916</v>
      </c>
      <c r="E139" s="18">
        <f t="shared" si="205"/>
        <v>3055962</v>
      </c>
      <c r="F139" s="18">
        <v>0</v>
      </c>
      <c r="G139" s="18">
        <f t="shared" si="206"/>
        <v>3055962</v>
      </c>
      <c r="H139" s="18">
        <v>122065</v>
      </c>
      <c r="I139" s="18">
        <v>0</v>
      </c>
      <c r="J139" s="18">
        <f t="shared" si="207"/>
        <v>122065</v>
      </c>
      <c r="K139" s="18">
        <v>0</v>
      </c>
      <c r="L139" s="18">
        <v>0</v>
      </c>
      <c r="M139" s="18">
        <f t="shared" si="208"/>
        <v>0</v>
      </c>
      <c r="N139" s="18">
        <f t="shared" si="209"/>
        <v>1141251</v>
      </c>
      <c r="O139" s="18">
        <v>0</v>
      </c>
      <c r="P139" s="18">
        <f t="shared" si="210"/>
        <v>1141251</v>
      </c>
      <c r="Q139" s="18">
        <v>10683</v>
      </c>
      <c r="R139" s="18">
        <v>0</v>
      </c>
      <c r="S139" s="18">
        <f t="shared" si="192"/>
        <v>10683</v>
      </c>
      <c r="T139" s="18">
        <v>233241</v>
      </c>
      <c r="U139" s="18">
        <v>0</v>
      </c>
      <c r="V139" s="18">
        <f t="shared" si="163"/>
        <v>233241</v>
      </c>
      <c r="W139" s="18">
        <f t="shared" si="203"/>
        <v>6693118</v>
      </c>
      <c r="X139" s="18">
        <f t="shared" si="180"/>
        <v>0</v>
      </c>
      <c r="Y139" s="235">
        <f t="shared" si="181"/>
        <v>6693118</v>
      </c>
      <c r="Z139" s="18">
        <v>0</v>
      </c>
      <c r="AA139" s="18">
        <v>3055962</v>
      </c>
      <c r="AB139" s="18">
        <f t="shared" si="129"/>
        <v>3055962</v>
      </c>
      <c r="AC139" s="352">
        <v>52122</v>
      </c>
      <c r="AD139" s="18">
        <v>1089129</v>
      </c>
      <c r="AE139" s="18">
        <f t="shared" si="211"/>
        <v>1141251</v>
      </c>
      <c r="AF139" s="352">
        <f t="shared" si="212"/>
        <v>8466411</v>
      </c>
      <c r="AG139" s="353">
        <f t="shared" si="212"/>
        <v>0</v>
      </c>
      <c r="AH139" s="353">
        <f t="shared" si="164"/>
        <v>8466411</v>
      </c>
      <c r="AI139" s="353">
        <f t="shared" si="213"/>
        <v>25954710</v>
      </c>
      <c r="AJ139" s="353">
        <f t="shared" si="214"/>
        <v>0</v>
      </c>
      <c r="AK139" s="353">
        <f t="shared" ref="AK139:AK186" si="222">AJ139+AI139</f>
        <v>25954710</v>
      </c>
      <c r="AL139" s="353">
        <f t="shared" si="215"/>
        <v>668416</v>
      </c>
      <c r="AM139" s="353">
        <f t="shared" si="215"/>
        <v>0</v>
      </c>
      <c r="AN139" s="353">
        <f t="shared" si="166"/>
        <v>668416</v>
      </c>
      <c r="AO139" s="353">
        <f t="shared" si="216"/>
        <v>0</v>
      </c>
      <c r="AP139" s="353">
        <f t="shared" si="216"/>
        <v>0</v>
      </c>
      <c r="AQ139" s="353">
        <f t="shared" si="167"/>
        <v>0</v>
      </c>
      <c r="AR139" s="353">
        <f t="shared" si="217"/>
        <v>5997338</v>
      </c>
      <c r="AS139" s="353">
        <f t="shared" si="217"/>
        <v>0</v>
      </c>
      <c r="AT139" s="353">
        <f t="shared" si="168"/>
        <v>5997338</v>
      </c>
      <c r="AU139" s="353">
        <f t="shared" si="218"/>
        <v>74736</v>
      </c>
      <c r="AV139" s="353">
        <f t="shared" si="218"/>
        <v>0</v>
      </c>
      <c r="AW139" s="353">
        <f t="shared" si="169"/>
        <v>74736</v>
      </c>
      <c r="AX139" s="353">
        <f t="shared" si="220"/>
        <v>635415</v>
      </c>
      <c r="AY139" s="353">
        <f t="shared" si="220"/>
        <v>0</v>
      </c>
      <c r="AZ139" s="353">
        <f t="shared" si="221"/>
        <v>635415</v>
      </c>
      <c r="BA139" s="354">
        <f t="shared" si="219"/>
        <v>41797026</v>
      </c>
    </row>
    <row r="140" spans="1:53">
      <c r="A140" s="138">
        <v>44317</v>
      </c>
      <c r="B140" s="18">
        <v>1974084</v>
      </c>
      <c r="C140" s="18">
        <v>0</v>
      </c>
      <c r="D140" s="18">
        <f t="shared" si="204"/>
        <v>1974084</v>
      </c>
      <c r="E140" s="18">
        <f t="shared" si="205"/>
        <v>2229105</v>
      </c>
      <c r="F140" s="18">
        <v>0</v>
      </c>
      <c r="G140" s="18">
        <f t="shared" si="206"/>
        <v>2229105</v>
      </c>
      <c r="H140" s="18">
        <v>40718</v>
      </c>
      <c r="I140" s="18">
        <v>0</v>
      </c>
      <c r="J140" s="18">
        <f t="shared" si="207"/>
        <v>40718</v>
      </c>
      <c r="K140" s="18">
        <v>0</v>
      </c>
      <c r="L140" s="18">
        <v>0</v>
      </c>
      <c r="M140" s="18">
        <f t="shared" si="208"/>
        <v>0</v>
      </c>
      <c r="N140" s="18">
        <f t="shared" si="209"/>
        <v>1470032</v>
      </c>
      <c r="O140" s="18">
        <v>0</v>
      </c>
      <c r="P140" s="18">
        <f t="shared" si="210"/>
        <v>1470032</v>
      </c>
      <c r="Q140" s="18">
        <v>10694</v>
      </c>
      <c r="R140" s="18">
        <v>0</v>
      </c>
      <c r="S140" s="18">
        <f t="shared" si="192"/>
        <v>10694</v>
      </c>
      <c r="T140" s="18">
        <v>227288</v>
      </c>
      <c r="U140" s="18">
        <v>0</v>
      </c>
      <c r="V140" s="18">
        <f t="shared" si="163"/>
        <v>227288</v>
      </c>
      <c r="W140" s="18">
        <f t="shared" si="203"/>
        <v>5951921</v>
      </c>
      <c r="X140" s="18">
        <f t="shared" si="180"/>
        <v>0</v>
      </c>
      <c r="Y140" s="235">
        <f t="shared" si="181"/>
        <v>5951921</v>
      </c>
      <c r="Z140" s="18">
        <v>0</v>
      </c>
      <c r="AA140" s="18">
        <v>2229105</v>
      </c>
      <c r="AB140" s="18">
        <f t="shared" si="129"/>
        <v>2229105</v>
      </c>
      <c r="AC140" s="352">
        <v>405003</v>
      </c>
      <c r="AD140" s="18">
        <v>1065029</v>
      </c>
      <c r="AE140" s="18">
        <f t="shared" si="211"/>
        <v>1470032</v>
      </c>
      <c r="AF140" s="352">
        <f t="shared" si="212"/>
        <v>10440495</v>
      </c>
      <c r="AG140" s="353">
        <f t="shared" si="212"/>
        <v>0</v>
      </c>
      <c r="AH140" s="353">
        <f t="shared" si="164"/>
        <v>10440495</v>
      </c>
      <c r="AI140" s="353">
        <f t="shared" si="213"/>
        <v>29010672</v>
      </c>
      <c r="AJ140" s="353">
        <f t="shared" si="214"/>
        <v>0</v>
      </c>
      <c r="AK140" s="353">
        <f t="shared" si="222"/>
        <v>29010672</v>
      </c>
      <c r="AL140" s="353">
        <f t="shared" si="215"/>
        <v>709134</v>
      </c>
      <c r="AM140" s="353">
        <f t="shared" si="215"/>
        <v>0</v>
      </c>
      <c r="AN140" s="353">
        <f t="shared" si="166"/>
        <v>709134</v>
      </c>
      <c r="AO140" s="353">
        <f t="shared" si="216"/>
        <v>0</v>
      </c>
      <c r="AP140" s="353">
        <f t="shared" si="216"/>
        <v>0</v>
      </c>
      <c r="AQ140" s="353">
        <f t="shared" si="167"/>
        <v>0</v>
      </c>
      <c r="AR140" s="353">
        <f t="shared" si="217"/>
        <v>7467370</v>
      </c>
      <c r="AS140" s="353">
        <f t="shared" si="217"/>
        <v>0</v>
      </c>
      <c r="AT140" s="353">
        <f t="shared" si="168"/>
        <v>7467370</v>
      </c>
      <c r="AU140" s="353">
        <f t="shared" si="218"/>
        <v>85430</v>
      </c>
      <c r="AV140" s="353">
        <f t="shared" si="218"/>
        <v>0</v>
      </c>
      <c r="AW140" s="353">
        <f t="shared" si="169"/>
        <v>85430</v>
      </c>
      <c r="AX140" s="353">
        <f t="shared" si="220"/>
        <v>862703</v>
      </c>
      <c r="AY140" s="353">
        <f t="shared" si="220"/>
        <v>0</v>
      </c>
      <c r="AZ140" s="353">
        <f t="shared" si="221"/>
        <v>862703</v>
      </c>
      <c r="BA140" s="354">
        <f t="shared" si="219"/>
        <v>48575804</v>
      </c>
    </row>
    <row r="141" spans="1:53">
      <c r="A141" s="138">
        <v>44348</v>
      </c>
      <c r="B141" s="18">
        <v>2574692</v>
      </c>
      <c r="C141" s="18">
        <v>12876367</v>
      </c>
      <c r="D141" s="18">
        <f t="shared" si="204"/>
        <v>15451059</v>
      </c>
      <c r="E141" s="18">
        <f t="shared" si="205"/>
        <v>4201540</v>
      </c>
      <c r="F141" s="18">
        <v>0</v>
      </c>
      <c r="G141" s="18">
        <f t="shared" si="206"/>
        <v>4201540</v>
      </c>
      <c r="H141" s="18">
        <v>39743</v>
      </c>
      <c r="I141" s="18">
        <v>0</v>
      </c>
      <c r="J141" s="18">
        <f t="shared" si="207"/>
        <v>39743</v>
      </c>
      <c r="K141" s="18">
        <v>0</v>
      </c>
      <c r="L141" s="18">
        <v>0</v>
      </c>
      <c r="M141" s="18">
        <f t="shared" si="208"/>
        <v>0</v>
      </c>
      <c r="N141" s="18">
        <f t="shared" si="209"/>
        <v>1233824</v>
      </c>
      <c r="O141" s="18">
        <v>0</v>
      </c>
      <c r="P141" s="18">
        <f t="shared" si="210"/>
        <v>1233824</v>
      </c>
      <c r="Q141" s="18">
        <v>244138</v>
      </c>
      <c r="R141" s="18">
        <v>0</v>
      </c>
      <c r="S141" s="18">
        <f t="shared" si="192"/>
        <v>244138</v>
      </c>
      <c r="T141" s="18">
        <v>450653</v>
      </c>
      <c r="U141" s="18">
        <v>0</v>
      </c>
      <c r="V141" s="18">
        <f t="shared" si="163"/>
        <v>450653</v>
      </c>
      <c r="W141" s="18">
        <f t="shared" si="203"/>
        <v>8744590</v>
      </c>
      <c r="X141" s="18">
        <f t="shared" si="180"/>
        <v>12876367</v>
      </c>
      <c r="Y141" s="235">
        <f t="shared" si="181"/>
        <v>21620957</v>
      </c>
      <c r="Z141" s="18">
        <v>0</v>
      </c>
      <c r="AA141" s="18">
        <v>4201540</v>
      </c>
      <c r="AB141" s="18">
        <f t="shared" ref="AB141:AB186" si="223">AA141+Z141</f>
        <v>4201540</v>
      </c>
      <c r="AC141" s="352">
        <v>357103</v>
      </c>
      <c r="AD141" s="18">
        <v>876721</v>
      </c>
      <c r="AE141" s="18">
        <f t="shared" si="211"/>
        <v>1233824</v>
      </c>
      <c r="AF141" s="352">
        <f t="shared" si="212"/>
        <v>13015187</v>
      </c>
      <c r="AG141" s="353">
        <f t="shared" si="212"/>
        <v>12876367</v>
      </c>
      <c r="AH141" s="353">
        <f t="shared" si="164"/>
        <v>25891554</v>
      </c>
      <c r="AI141" s="353">
        <f t="shared" si="213"/>
        <v>31239777</v>
      </c>
      <c r="AJ141" s="353">
        <f t="shared" si="214"/>
        <v>0</v>
      </c>
      <c r="AK141" s="353">
        <f t="shared" si="222"/>
        <v>31239777</v>
      </c>
      <c r="AL141" s="353">
        <f t="shared" si="215"/>
        <v>748877</v>
      </c>
      <c r="AM141" s="353">
        <f t="shared" si="215"/>
        <v>0</v>
      </c>
      <c r="AN141" s="353">
        <f t="shared" si="166"/>
        <v>748877</v>
      </c>
      <c r="AO141" s="353">
        <f t="shared" si="216"/>
        <v>0</v>
      </c>
      <c r="AP141" s="353">
        <f t="shared" si="216"/>
        <v>0</v>
      </c>
      <c r="AQ141" s="353">
        <f t="shared" si="167"/>
        <v>0</v>
      </c>
      <c r="AR141" s="353">
        <f t="shared" si="217"/>
        <v>8701194</v>
      </c>
      <c r="AS141" s="353">
        <f t="shared" si="217"/>
        <v>0</v>
      </c>
      <c r="AT141" s="353">
        <f t="shared" si="168"/>
        <v>8701194</v>
      </c>
      <c r="AU141" s="353">
        <f t="shared" si="218"/>
        <v>329568</v>
      </c>
      <c r="AV141" s="353">
        <f t="shared" si="218"/>
        <v>0</v>
      </c>
      <c r="AW141" s="353">
        <f t="shared" si="169"/>
        <v>329568</v>
      </c>
      <c r="AX141" s="353">
        <f t="shared" si="220"/>
        <v>1313356</v>
      </c>
      <c r="AY141" s="353">
        <f t="shared" si="220"/>
        <v>0</v>
      </c>
      <c r="AZ141" s="353">
        <f t="shared" si="221"/>
        <v>1313356</v>
      </c>
      <c r="BA141" s="354">
        <f t="shared" si="219"/>
        <v>68224326</v>
      </c>
    </row>
    <row r="142" spans="1:53">
      <c r="A142" s="138">
        <v>44378</v>
      </c>
      <c r="B142" s="18">
        <v>2169995</v>
      </c>
      <c r="C142" s="18">
        <v>10338232</v>
      </c>
      <c r="D142" s="18">
        <f t="shared" si="204"/>
        <v>12508227</v>
      </c>
      <c r="E142" s="18">
        <f t="shared" si="205"/>
        <v>5244569</v>
      </c>
      <c r="F142" s="18">
        <v>0</v>
      </c>
      <c r="G142" s="18">
        <f t="shared" si="206"/>
        <v>5244569</v>
      </c>
      <c r="H142" s="18">
        <v>32631</v>
      </c>
      <c r="I142" s="18">
        <v>0</v>
      </c>
      <c r="J142" s="18">
        <f t="shared" si="207"/>
        <v>32631</v>
      </c>
      <c r="K142" s="18">
        <v>0</v>
      </c>
      <c r="L142" s="18">
        <v>0</v>
      </c>
      <c r="M142" s="18">
        <f t="shared" si="208"/>
        <v>0</v>
      </c>
      <c r="N142" s="18">
        <f t="shared" si="209"/>
        <v>1283369</v>
      </c>
      <c r="O142" s="18">
        <v>0</v>
      </c>
      <c r="P142" s="18">
        <f t="shared" si="210"/>
        <v>1283369</v>
      </c>
      <c r="Q142" s="18">
        <v>229115</v>
      </c>
      <c r="R142" s="18">
        <v>0</v>
      </c>
      <c r="S142" s="18">
        <f t="shared" si="192"/>
        <v>229115</v>
      </c>
      <c r="T142" s="18">
        <v>673636</v>
      </c>
      <c r="U142" s="18">
        <v>0</v>
      </c>
      <c r="V142" s="18">
        <f t="shared" si="163"/>
        <v>673636</v>
      </c>
      <c r="W142" s="18">
        <f t="shared" si="203"/>
        <v>9633315</v>
      </c>
      <c r="X142" s="18">
        <f t="shared" si="180"/>
        <v>10338232</v>
      </c>
      <c r="Y142" s="235">
        <f t="shared" si="181"/>
        <v>19971547</v>
      </c>
      <c r="Z142" s="18">
        <v>0</v>
      </c>
      <c r="AA142" s="18">
        <v>5244569</v>
      </c>
      <c r="AB142" s="18">
        <f t="shared" si="223"/>
        <v>5244569</v>
      </c>
      <c r="AC142" s="352">
        <v>362495</v>
      </c>
      <c r="AD142" s="18">
        <v>920874</v>
      </c>
      <c r="AE142" s="18">
        <f t="shared" si="211"/>
        <v>1283369</v>
      </c>
      <c r="AF142" s="352">
        <f t="shared" si="212"/>
        <v>15185182</v>
      </c>
      <c r="AG142" s="353">
        <f t="shared" si="212"/>
        <v>23214599</v>
      </c>
      <c r="AH142" s="353">
        <f t="shared" si="164"/>
        <v>38399781</v>
      </c>
      <c r="AI142" s="353">
        <f t="shared" si="213"/>
        <v>35441317</v>
      </c>
      <c r="AJ142" s="353">
        <f t="shared" si="214"/>
        <v>0</v>
      </c>
      <c r="AK142" s="353">
        <f t="shared" si="222"/>
        <v>35441317</v>
      </c>
      <c r="AL142" s="353">
        <f t="shared" si="215"/>
        <v>781508</v>
      </c>
      <c r="AM142" s="353">
        <f t="shared" si="215"/>
        <v>0</v>
      </c>
      <c r="AN142" s="353">
        <f t="shared" si="166"/>
        <v>781508</v>
      </c>
      <c r="AO142" s="353">
        <f t="shared" si="216"/>
        <v>0</v>
      </c>
      <c r="AP142" s="353">
        <f t="shared" si="216"/>
        <v>0</v>
      </c>
      <c r="AQ142" s="353">
        <f t="shared" si="167"/>
        <v>0</v>
      </c>
      <c r="AR142" s="353">
        <f t="shared" si="217"/>
        <v>9984563</v>
      </c>
      <c r="AS142" s="353">
        <f t="shared" si="217"/>
        <v>0</v>
      </c>
      <c r="AT142" s="353">
        <f t="shared" si="168"/>
        <v>9984563</v>
      </c>
      <c r="AU142" s="353">
        <f t="shared" si="218"/>
        <v>558683</v>
      </c>
      <c r="AV142" s="353">
        <f t="shared" si="218"/>
        <v>0</v>
      </c>
      <c r="AW142" s="353">
        <f t="shared" si="169"/>
        <v>558683</v>
      </c>
      <c r="AX142" s="353">
        <f t="shared" si="220"/>
        <v>1986992</v>
      </c>
      <c r="AY142" s="353">
        <f t="shared" si="220"/>
        <v>0</v>
      </c>
      <c r="AZ142" s="353">
        <f t="shared" si="221"/>
        <v>1986992</v>
      </c>
      <c r="BA142" s="354">
        <f t="shared" si="219"/>
        <v>87152844</v>
      </c>
    </row>
    <row r="143" spans="1:53">
      <c r="A143" s="138">
        <v>44409</v>
      </c>
      <c r="B143" s="18">
        <v>2303866</v>
      </c>
      <c r="C143" s="18">
        <v>14794361</v>
      </c>
      <c r="D143" s="18">
        <f t="shared" si="204"/>
        <v>17098227</v>
      </c>
      <c r="E143" s="18">
        <f t="shared" si="205"/>
        <v>7740697</v>
      </c>
      <c r="F143" s="18">
        <v>0</v>
      </c>
      <c r="G143" s="18">
        <f t="shared" si="206"/>
        <v>7740697</v>
      </c>
      <c r="H143" s="18">
        <v>34146</v>
      </c>
      <c r="I143" s="18">
        <v>0</v>
      </c>
      <c r="J143" s="18">
        <f t="shared" si="207"/>
        <v>34146</v>
      </c>
      <c r="K143" s="18">
        <v>0</v>
      </c>
      <c r="L143" s="18">
        <v>0</v>
      </c>
      <c r="M143" s="18">
        <f t="shared" si="208"/>
        <v>0</v>
      </c>
      <c r="N143" s="18">
        <f t="shared" si="209"/>
        <v>1332972</v>
      </c>
      <c r="O143" s="18">
        <v>0</v>
      </c>
      <c r="P143" s="18">
        <f t="shared" si="210"/>
        <v>1332972</v>
      </c>
      <c r="Q143" s="18">
        <v>149358</v>
      </c>
      <c r="R143" s="18">
        <v>0</v>
      </c>
      <c r="S143" s="18">
        <f t="shared" si="192"/>
        <v>149358</v>
      </c>
      <c r="T143" s="18">
        <v>609098</v>
      </c>
      <c r="U143" s="18">
        <v>0</v>
      </c>
      <c r="V143" s="18">
        <f t="shared" si="163"/>
        <v>609098</v>
      </c>
      <c r="W143" s="18">
        <f t="shared" si="203"/>
        <v>12170137</v>
      </c>
      <c r="X143" s="18">
        <f t="shared" si="180"/>
        <v>14794361</v>
      </c>
      <c r="Y143" s="235">
        <f t="shared" si="181"/>
        <v>26964498</v>
      </c>
      <c r="Z143" s="18">
        <v>0</v>
      </c>
      <c r="AA143" s="18">
        <v>7740697</v>
      </c>
      <c r="AB143" s="18">
        <f t="shared" si="223"/>
        <v>7740697</v>
      </c>
      <c r="AC143" s="352">
        <v>341876</v>
      </c>
      <c r="AD143" s="18">
        <v>991096</v>
      </c>
      <c r="AE143" s="18">
        <f t="shared" si="211"/>
        <v>1332972</v>
      </c>
      <c r="AF143" s="352">
        <f t="shared" si="212"/>
        <v>17489048</v>
      </c>
      <c r="AG143" s="353">
        <f t="shared" si="212"/>
        <v>38008960</v>
      </c>
      <c r="AH143" s="353">
        <f t="shared" si="164"/>
        <v>55498008</v>
      </c>
      <c r="AI143" s="353">
        <f>AI142+E142</f>
        <v>40685886</v>
      </c>
      <c r="AJ143" s="353">
        <f>AJ142+F143</f>
        <v>0</v>
      </c>
      <c r="AK143" s="353">
        <f t="shared" si="222"/>
        <v>40685886</v>
      </c>
      <c r="AL143" s="353">
        <f t="shared" si="215"/>
        <v>815654</v>
      </c>
      <c r="AM143" s="353">
        <f t="shared" si="215"/>
        <v>0</v>
      </c>
      <c r="AN143" s="353">
        <f t="shared" si="166"/>
        <v>815654</v>
      </c>
      <c r="AO143" s="353">
        <f t="shared" si="216"/>
        <v>0</v>
      </c>
      <c r="AP143" s="353">
        <f t="shared" si="216"/>
        <v>0</v>
      </c>
      <c r="AQ143" s="353">
        <f t="shared" si="167"/>
        <v>0</v>
      </c>
      <c r="AR143" s="353">
        <f t="shared" si="217"/>
        <v>11317535</v>
      </c>
      <c r="AS143" s="353">
        <f t="shared" si="217"/>
        <v>0</v>
      </c>
      <c r="AT143" s="353">
        <f t="shared" si="168"/>
        <v>11317535</v>
      </c>
      <c r="AU143" s="353">
        <f t="shared" si="218"/>
        <v>708041</v>
      </c>
      <c r="AV143" s="353">
        <f t="shared" si="218"/>
        <v>0</v>
      </c>
      <c r="AW143" s="353">
        <f t="shared" si="169"/>
        <v>708041</v>
      </c>
      <c r="AX143" s="353">
        <f t="shared" si="220"/>
        <v>2596090</v>
      </c>
      <c r="AY143" s="353">
        <f t="shared" si="220"/>
        <v>0</v>
      </c>
      <c r="AZ143" s="353">
        <f t="shared" si="221"/>
        <v>2596090</v>
      </c>
      <c r="BA143" s="354">
        <f t="shared" si="219"/>
        <v>111621214</v>
      </c>
    </row>
    <row r="144" spans="1:53">
      <c r="A144" s="138">
        <v>44440</v>
      </c>
      <c r="B144" s="18">
        <v>1804886</v>
      </c>
      <c r="C144" s="18">
        <v>10763933</v>
      </c>
      <c r="D144" s="18">
        <f t="shared" si="204"/>
        <v>12568819</v>
      </c>
      <c r="E144" s="18">
        <f t="shared" si="205"/>
        <v>5824657</v>
      </c>
      <c r="F144" s="18">
        <v>0</v>
      </c>
      <c r="G144" s="18">
        <f t="shared" si="206"/>
        <v>5824657</v>
      </c>
      <c r="H144" s="18">
        <v>88635</v>
      </c>
      <c r="I144" s="18">
        <v>0</v>
      </c>
      <c r="J144" s="18">
        <f t="shared" si="207"/>
        <v>88635</v>
      </c>
      <c r="K144" s="18">
        <v>0</v>
      </c>
      <c r="L144" s="18">
        <v>0</v>
      </c>
      <c r="M144" s="18">
        <f t="shared" si="208"/>
        <v>0</v>
      </c>
      <c r="N144" s="18">
        <f t="shared" si="209"/>
        <v>1007768</v>
      </c>
      <c r="O144" s="18">
        <v>0</v>
      </c>
      <c r="P144" s="18">
        <f t="shared" si="210"/>
        <v>1007768</v>
      </c>
      <c r="Q144" s="18">
        <v>279130</v>
      </c>
      <c r="R144" s="18">
        <v>0</v>
      </c>
      <c r="S144" s="18">
        <f t="shared" si="192"/>
        <v>279130</v>
      </c>
      <c r="T144" s="18">
        <v>369009</v>
      </c>
      <c r="U144" s="18">
        <v>0</v>
      </c>
      <c r="V144" s="18">
        <f t="shared" si="163"/>
        <v>369009</v>
      </c>
      <c r="W144" s="18">
        <f t="shared" si="203"/>
        <v>9374085</v>
      </c>
      <c r="X144" s="18">
        <f t="shared" si="180"/>
        <v>10763933</v>
      </c>
      <c r="Y144" s="235">
        <f t="shared" si="181"/>
        <v>20138018</v>
      </c>
      <c r="Z144" s="18">
        <v>0</v>
      </c>
      <c r="AA144" s="18">
        <v>5824657</v>
      </c>
      <c r="AB144" s="18">
        <f t="shared" si="223"/>
        <v>5824657</v>
      </c>
      <c r="AC144" s="352">
        <v>332632</v>
      </c>
      <c r="AD144" s="18">
        <v>675136</v>
      </c>
      <c r="AE144" s="18">
        <f t="shared" si="211"/>
        <v>1007768</v>
      </c>
      <c r="AF144" s="352">
        <f t="shared" si="212"/>
        <v>19293934</v>
      </c>
      <c r="AG144" s="353">
        <f t="shared" si="212"/>
        <v>48772893</v>
      </c>
      <c r="AH144" s="353">
        <f t="shared" si="164"/>
        <v>68066827</v>
      </c>
      <c r="AI144" s="353">
        <f>AI143+E143</f>
        <v>48426583</v>
      </c>
      <c r="AJ144" s="353">
        <f>AJ143+F144</f>
        <v>0</v>
      </c>
      <c r="AK144" s="353">
        <f t="shared" si="222"/>
        <v>48426583</v>
      </c>
      <c r="AL144" s="353">
        <f t="shared" si="215"/>
        <v>904289</v>
      </c>
      <c r="AM144" s="353">
        <f t="shared" si="215"/>
        <v>0</v>
      </c>
      <c r="AN144" s="353">
        <f t="shared" si="166"/>
        <v>904289</v>
      </c>
      <c r="AO144" s="353">
        <f t="shared" si="216"/>
        <v>0</v>
      </c>
      <c r="AP144" s="353">
        <f t="shared" si="216"/>
        <v>0</v>
      </c>
      <c r="AQ144" s="353">
        <f t="shared" si="167"/>
        <v>0</v>
      </c>
      <c r="AR144" s="353">
        <f t="shared" si="217"/>
        <v>12325303</v>
      </c>
      <c r="AS144" s="353">
        <f t="shared" si="217"/>
        <v>0</v>
      </c>
      <c r="AT144" s="353">
        <f t="shared" si="168"/>
        <v>12325303</v>
      </c>
      <c r="AU144" s="353">
        <f t="shared" si="218"/>
        <v>987171</v>
      </c>
      <c r="AV144" s="353">
        <f t="shared" si="218"/>
        <v>0</v>
      </c>
      <c r="AW144" s="353">
        <f t="shared" si="169"/>
        <v>987171</v>
      </c>
      <c r="AX144" s="353">
        <f t="shared" si="220"/>
        <v>2965099</v>
      </c>
      <c r="AY144" s="353">
        <f t="shared" si="220"/>
        <v>0</v>
      </c>
      <c r="AZ144" s="353">
        <f t="shared" si="221"/>
        <v>2965099</v>
      </c>
      <c r="BA144" s="354">
        <f t="shared" si="219"/>
        <v>133675272</v>
      </c>
    </row>
    <row r="145" spans="1:57">
      <c r="A145" s="138">
        <v>44470</v>
      </c>
      <c r="B145" s="18">
        <v>1944892</v>
      </c>
      <c r="C145" s="18">
        <v>10741498</v>
      </c>
      <c r="D145" s="18">
        <f t="shared" si="204"/>
        <v>12686390</v>
      </c>
      <c r="E145" s="18">
        <f t="shared" si="205"/>
        <v>5090487</v>
      </c>
      <c r="F145" s="18">
        <v>0</v>
      </c>
      <c r="G145" s="18">
        <f t="shared" si="206"/>
        <v>5090487</v>
      </c>
      <c r="H145" s="18">
        <v>146431</v>
      </c>
      <c r="I145" s="18">
        <v>0</v>
      </c>
      <c r="J145" s="18">
        <f t="shared" si="207"/>
        <v>146431</v>
      </c>
      <c r="K145" s="18">
        <v>0</v>
      </c>
      <c r="L145" s="18">
        <v>0</v>
      </c>
      <c r="M145" s="18">
        <f t="shared" si="208"/>
        <v>0</v>
      </c>
      <c r="N145" s="18">
        <f t="shared" si="209"/>
        <v>2268434</v>
      </c>
      <c r="O145" s="18">
        <v>0</v>
      </c>
      <c r="P145" s="18">
        <f t="shared" si="210"/>
        <v>2268434</v>
      </c>
      <c r="Q145" s="18">
        <v>173281</v>
      </c>
      <c r="R145" s="18">
        <v>0</v>
      </c>
      <c r="S145" s="18">
        <f t="shared" si="192"/>
        <v>173281</v>
      </c>
      <c r="T145" s="18">
        <v>276052</v>
      </c>
      <c r="U145" s="18">
        <v>0</v>
      </c>
      <c r="V145" s="18">
        <f t="shared" si="163"/>
        <v>276052</v>
      </c>
      <c r="W145" s="18">
        <f t="shared" si="203"/>
        <v>9899577</v>
      </c>
      <c r="X145" s="18">
        <f t="shared" si="180"/>
        <v>10741498</v>
      </c>
      <c r="Y145" s="235">
        <f t="shared" si="181"/>
        <v>20641075</v>
      </c>
      <c r="Z145" s="18">
        <v>0</v>
      </c>
      <c r="AA145" s="18">
        <v>5090487</v>
      </c>
      <c r="AB145" s="18">
        <f t="shared" si="223"/>
        <v>5090487</v>
      </c>
      <c r="AC145" s="352">
        <v>177241</v>
      </c>
      <c r="AD145" s="18">
        <v>2091193</v>
      </c>
      <c r="AE145" s="18">
        <f t="shared" si="211"/>
        <v>2268434</v>
      </c>
      <c r="AF145" s="352">
        <f t="shared" si="212"/>
        <v>21238826</v>
      </c>
      <c r="AG145" s="353">
        <f t="shared" si="212"/>
        <v>59514391</v>
      </c>
      <c r="AH145" s="353">
        <f t="shared" si="164"/>
        <v>80753217</v>
      </c>
      <c r="AI145" s="353">
        <f>AI144+E144</f>
        <v>54251240</v>
      </c>
      <c r="AJ145" s="353">
        <f>AJ144+F145</f>
        <v>0</v>
      </c>
      <c r="AK145" s="353">
        <f t="shared" si="222"/>
        <v>54251240</v>
      </c>
      <c r="AL145" s="353">
        <f t="shared" si="215"/>
        <v>1050720</v>
      </c>
      <c r="AM145" s="353">
        <f t="shared" si="215"/>
        <v>0</v>
      </c>
      <c r="AN145" s="353">
        <f t="shared" si="166"/>
        <v>1050720</v>
      </c>
      <c r="AO145" s="353">
        <f t="shared" si="216"/>
        <v>0</v>
      </c>
      <c r="AP145" s="353">
        <f t="shared" si="216"/>
        <v>0</v>
      </c>
      <c r="AQ145" s="353">
        <f t="shared" si="167"/>
        <v>0</v>
      </c>
      <c r="AR145" s="353">
        <f t="shared" si="217"/>
        <v>14593737</v>
      </c>
      <c r="AS145" s="353">
        <f t="shared" si="217"/>
        <v>0</v>
      </c>
      <c r="AT145" s="353">
        <f t="shared" si="168"/>
        <v>14593737</v>
      </c>
      <c r="AU145" s="353">
        <f t="shared" si="218"/>
        <v>1160452</v>
      </c>
      <c r="AV145" s="353">
        <f t="shared" si="218"/>
        <v>0</v>
      </c>
      <c r="AW145" s="353">
        <f t="shared" si="169"/>
        <v>1160452</v>
      </c>
      <c r="AX145" s="353">
        <f t="shared" si="220"/>
        <v>3241151</v>
      </c>
      <c r="AY145" s="353">
        <f t="shared" si="220"/>
        <v>0</v>
      </c>
      <c r="AZ145" s="353">
        <f t="shared" si="221"/>
        <v>3241151</v>
      </c>
      <c r="BA145" s="354">
        <f t="shared" si="219"/>
        <v>155050517</v>
      </c>
    </row>
    <row r="146" spans="1:57">
      <c r="A146" s="138">
        <v>44501</v>
      </c>
      <c r="B146" s="18">
        <v>2215134</v>
      </c>
      <c r="C146" s="18">
        <v>0</v>
      </c>
      <c r="D146" s="18">
        <f t="shared" si="204"/>
        <v>2215134</v>
      </c>
      <c r="E146" s="18">
        <f t="shared" si="205"/>
        <v>753698</v>
      </c>
      <c r="F146" s="18">
        <v>0</v>
      </c>
      <c r="G146" s="18">
        <f t="shared" si="206"/>
        <v>753698</v>
      </c>
      <c r="H146" s="18">
        <v>123229</v>
      </c>
      <c r="I146" s="18">
        <v>0</v>
      </c>
      <c r="J146" s="18">
        <f t="shared" si="207"/>
        <v>123229</v>
      </c>
      <c r="K146" s="18">
        <v>0</v>
      </c>
      <c r="L146" s="18">
        <v>0</v>
      </c>
      <c r="M146" s="18">
        <f t="shared" si="208"/>
        <v>0</v>
      </c>
      <c r="N146" s="18">
        <f t="shared" si="209"/>
        <v>3264206</v>
      </c>
      <c r="O146" s="18">
        <v>0</v>
      </c>
      <c r="P146" s="18">
        <f t="shared" si="210"/>
        <v>3264206</v>
      </c>
      <c r="Q146" s="18">
        <v>163969</v>
      </c>
      <c r="R146" s="18">
        <v>0</v>
      </c>
      <c r="S146" s="18">
        <f t="shared" si="192"/>
        <v>163969</v>
      </c>
      <c r="T146" s="18">
        <v>441432</v>
      </c>
      <c r="U146" s="18">
        <v>0</v>
      </c>
      <c r="V146" s="18">
        <f t="shared" si="163"/>
        <v>441432</v>
      </c>
      <c r="W146" s="18">
        <f t="shared" si="203"/>
        <v>6961668</v>
      </c>
      <c r="X146" s="18">
        <f t="shared" si="180"/>
        <v>0</v>
      </c>
      <c r="Y146" s="235">
        <f t="shared" si="181"/>
        <v>6961668</v>
      </c>
      <c r="Z146" s="18">
        <v>0</v>
      </c>
      <c r="AA146" s="18">
        <v>753698</v>
      </c>
      <c r="AB146" s="18">
        <f t="shared" si="223"/>
        <v>753698</v>
      </c>
      <c r="AC146" s="352">
        <v>383828</v>
      </c>
      <c r="AD146" s="18">
        <v>2880378</v>
      </c>
      <c r="AE146" s="18">
        <f t="shared" si="211"/>
        <v>3264206</v>
      </c>
      <c r="AF146" s="352">
        <f t="shared" si="212"/>
        <v>23453960</v>
      </c>
      <c r="AG146" s="353">
        <f t="shared" si="212"/>
        <v>59514391</v>
      </c>
      <c r="AH146" s="353">
        <f t="shared" si="164"/>
        <v>82968351</v>
      </c>
      <c r="AI146" s="353">
        <f>AI145+E145</f>
        <v>59341727</v>
      </c>
      <c r="AJ146" s="353">
        <f>AJ145+F146</f>
        <v>0</v>
      </c>
      <c r="AK146" s="353">
        <f t="shared" si="222"/>
        <v>59341727</v>
      </c>
      <c r="AL146" s="353">
        <f t="shared" si="215"/>
        <v>1173949</v>
      </c>
      <c r="AM146" s="353">
        <f t="shared" si="215"/>
        <v>0</v>
      </c>
      <c r="AN146" s="353">
        <f t="shared" si="166"/>
        <v>1173949</v>
      </c>
      <c r="AO146" s="353">
        <f t="shared" si="216"/>
        <v>0</v>
      </c>
      <c r="AP146" s="353">
        <f t="shared" si="216"/>
        <v>0</v>
      </c>
      <c r="AQ146" s="353">
        <f t="shared" si="167"/>
        <v>0</v>
      </c>
      <c r="AR146" s="353">
        <f t="shared" si="217"/>
        <v>17857943</v>
      </c>
      <c r="AS146" s="353">
        <f t="shared" si="217"/>
        <v>0</v>
      </c>
      <c r="AT146" s="353">
        <f t="shared" si="168"/>
        <v>17857943</v>
      </c>
      <c r="AU146" s="353">
        <f t="shared" si="218"/>
        <v>1324421</v>
      </c>
      <c r="AV146" s="353">
        <f t="shared" si="218"/>
        <v>0</v>
      </c>
      <c r="AW146" s="353">
        <f t="shared" si="169"/>
        <v>1324421</v>
      </c>
      <c r="AX146" s="353">
        <f t="shared" si="220"/>
        <v>3682583</v>
      </c>
      <c r="AY146" s="353">
        <f t="shared" si="220"/>
        <v>0</v>
      </c>
      <c r="AZ146" s="353">
        <f t="shared" si="221"/>
        <v>3682583</v>
      </c>
      <c r="BA146" s="354">
        <f t="shared" si="219"/>
        <v>166348974</v>
      </c>
    </row>
    <row r="147" spans="1:57" ht="13.5" customHeight="1" thickBot="1">
      <c r="A147" s="138">
        <v>44531</v>
      </c>
      <c r="B147" s="18">
        <v>2617650</v>
      </c>
      <c r="C147" s="18">
        <v>0</v>
      </c>
      <c r="D147" s="18">
        <f t="shared" si="204"/>
        <v>2617650</v>
      </c>
      <c r="E147" s="18">
        <f t="shared" si="205"/>
        <v>11052730</v>
      </c>
      <c r="F147" s="18">
        <v>0</v>
      </c>
      <c r="G147" s="18">
        <f t="shared" si="206"/>
        <v>11052730</v>
      </c>
      <c r="H147" s="18">
        <v>176614</v>
      </c>
      <c r="I147" s="18">
        <v>0</v>
      </c>
      <c r="J147" s="18">
        <f t="shared" si="207"/>
        <v>176614</v>
      </c>
      <c r="K147" s="18">
        <v>0</v>
      </c>
      <c r="L147" s="18">
        <v>0</v>
      </c>
      <c r="M147" s="18">
        <f t="shared" si="208"/>
        <v>0</v>
      </c>
      <c r="N147" s="18">
        <f t="shared" si="209"/>
        <v>4549541</v>
      </c>
      <c r="O147" s="18">
        <v>0</v>
      </c>
      <c r="P147" s="18">
        <f t="shared" si="210"/>
        <v>4549541</v>
      </c>
      <c r="Q147" s="18">
        <v>334997</v>
      </c>
      <c r="R147" s="18">
        <v>0</v>
      </c>
      <c r="S147" s="18">
        <f t="shared" si="192"/>
        <v>334997</v>
      </c>
      <c r="T147" s="18">
        <v>907732</v>
      </c>
      <c r="U147" s="18">
        <v>0</v>
      </c>
      <c r="V147" s="18">
        <f t="shared" si="163"/>
        <v>907732</v>
      </c>
      <c r="W147" s="18">
        <f t="shared" si="203"/>
        <v>19639264</v>
      </c>
      <c r="X147" s="18">
        <f t="shared" si="180"/>
        <v>0</v>
      </c>
      <c r="Y147" s="235">
        <f t="shared" si="181"/>
        <v>19639264</v>
      </c>
      <c r="Z147" s="18">
        <v>0</v>
      </c>
      <c r="AA147" s="18">
        <v>11052730</v>
      </c>
      <c r="AB147" s="18">
        <f t="shared" si="223"/>
        <v>11052730</v>
      </c>
      <c r="AC147" s="352">
        <v>582081</v>
      </c>
      <c r="AD147" s="18">
        <v>3967460</v>
      </c>
      <c r="AE147" s="18">
        <f t="shared" si="211"/>
        <v>4549541</v>
      </c>
      <c r="AF147" s="352">
        <f t="shared" si="212"/>
        <v>26071610</v>
      </c>
      <c r="AG147" s="353">
        <f t="shared" si="212"/>
        <v>59514391</v>
      </c>
      <c r="AH147" s="353">
        <f t="shared" si="164"/>
        <v>85586001</v>
      </c>
      <c r="AI147" s="353">
        <f>AI146+E146</f>
        <v>60095425</v>
      </c>
      <c r="AJ147" s="353">
        <f>AJ146+F147</f>
        <v>0</v>
      </c>
      <c r="AK147" s="353">
        <f t="shared" si="222"/>
        <v>60095425</v>
      </c>
      <c r="AL147" s="353">
        <f t="shared" si="215"/>
        <v>1350563</v>
      </c>
      <c r="AM147" s="353">
        <f t="shared" si="215"/>
        <v>0</v>
      </c>
      <c r="AN147" s="353">
        <f t="shared" si="166"/>
        <v>1350563</v>
      </c>
      <c r="AO147" s="353">
        <f t="shared" si="216"/>
        <v>0</v>
      </c>
      <c r="AP147" s="353">
        <f t="shared" si="216"/>
        <v>0</v>
      </c>
      <c r="AQ147" s="353">
        <f t="shared" si="167"/>
        <v>0</v>
      </c>
      <c r="AR147" s="353">
        <f t="shared" si="217"/>
        <v>22407484</v>
      </c>
      <c r="AS147" s="353">
        <f t="shared" si="217"/>
        <v>0</v>
      </c>
      <c r="AT147" s="353">
        <f t="shared" si="168"/>
        <v>22407484</v>
      </c>
      <c r="AU147" s="353">
        <f t="shared" si="218"/>
        <v>1659418</v>
      </c>
      <c r="AV147" s="353">
        <f t="shared" si="218"/>
        <v>0</v>
      </c>
      <c r="AW147" s="353">
        <f t="shared" si="169"/>
        <v>1659418</v>
      </c>
      <c r="AX147" s="353">
        <f t="shared" si="220"/>
        <v>4590315</v>
      </c>
      <c r="AY147" s="353">
        <f t="shared" si="220"/>
        <v>0</v>
      </c>
      <c r="AZ147" s="353">
        <f t="shared" si="221"/>
        <v>4590315</v>
      </c>
      <c r="BA147" s="354">
        <f t="shared" si="219"/>
        <v>175689206</v>
      </c>
    </row>
    <row r="148" spans="1:57">
      <c r="A148" s="141">
        <v>44562</v>
      </c>
      <c r="B148" s="143">
        <v>2549105</v>
      </c>
      <c r="C148" s="143">
        <v>0</v>
      </c>
      <c r="D148" s="143">
        <f t="shared" si="204"/>
        <v>2549105</v>
      </c>
      <c r="E148" s="143">
        <f t="shared" si="205"/>
        <v>4020554</v>
      </c>
      <c r="F148" s="143">
        <v>0</v>
      </c>
      <c r="G148" s="143">
        <f t="shared" si="206"/>
        <v>4020554</v>
      </c>
      <c r="H148" s="143">
        <v>175856</v>
      </c>
      <c r="I148" s="143">
        <v>0</v>
      </c>
      <c r="J148" s="143">
        <f t="shared" si="207"/>
        <v>175856</v>
      </c>
      <c r="K148" s="143">
        <v>0</v>
      </c>
      <c r="L148" s="143">
        <v>0</v>
      </c>
      <c r="M148" s="143">
        <f t="shared" si="208"/>
        <v>0</v>
      </c>
      <c r="N148" s="143">
        <f t="shared" si="209"/>
        <v>4361085</v>
      </c>
      <c r="O148" s="143">
        <v>0</v>
      </c>
      <c r="P148" s="143">
        <f t="shared" si="210"/>
        <v>4361085</v>
      </c>
      <c r="Q148" s="143">
        <v>41162</v>
      </c>
      <c r="R148" s="143">
        <v>0</v>
      </c>
      <c r="S148" s="143">
        <f t="shared" si="192"/>
        <v>41162</v>
      </c>
      <c r="T148" s="143">
        <v>0</v>
      </c>
      <c r="U148" s="143">
        <v>0</v>
      </c>
      <c r="V148" s="143">
        <f t="shared" si="163"/>
        <v>0</v>
      </c>
      <c r="W148" s="143">
        <f t="shared" si="203"/>
        <v>11147762</v>
      </c>
      <c r="X148" s="143">
        <f t="shared" si="180"/>
        <v>0</v>
      </c>
      <c r="Y148" s="237">
        <f t="shared" si="181"/>
        <v>11147762</v>
      </c>
      <c r="Z148" s="143">
        <v>0</v>
      </c>
      <c r="AA148" s="143">
        <v>4020554</v>
      </c>
      <c r="AB148" s="143">
        <f t="shared" si="223"/>
        <v>4020554</v>
      </c>
      <c r="AC148" s="349">
        <v>0</v>
      </c>
      <c r="AD148" s="143">
        <v>4361085</v>
      </c>
      <c r="AE148" s="143">
        <f t="shared" si="211"/>
        <v>4361085</v>
      </c>
      <c r="AF148" s="349">
        <f>B148</f>
        <v>2549105</v>
      </c>
      <c r="AG148" s="350">
        <f>C148</f>
        <v>0</v>
      </c>
      <c r="AH148" s="350">
        <f t="shared" si="164"/>
        <v>2549105</v>
      </c>
      <c r="AI148" s="350">
        <f>E148</f>
        <v>4020554</v>
      </c>
      <c r="AJ148" s="350">
        <f>F148</f>
        <v>0</v>
      </c>
      <c r="AK148" s="350">
        <f t="shared" si="222"/>
        <v>4020554</v>
      </c>
      <c r="AL148" s="350">
        <f>H148</f>
        <v>175856</v>
      </c>
      <c r="AM148" s="350">
        <f>I148</f>
        <v>0</v>
      </c>
      <c r="AN148" s="350">
        <f t="shared" si="166"/>
        <v>175856</v>
      </c>
      <c r="AO148" s="350">
        <f>K148</f>
        <v>0</v>
      </c>
      <c r="AP148" s="350">
        <f>L148</f>
        <v>0</v>
      </c>
      <c r="AQ148" s="350">
        <f t="shared" si="167"/>
        <v>0</v>
      </c>
      <c r="AR148" s="350">
        <f>N148</f>
        <v>4361085</v>
      </c>
      <c r="AS148" s="350">
        <f>O148</f>
        <v>0</v>
      </c>
      <c r="AT148" s="350">
        <f t="shared" si="168"/>
        <v>4361085</v>
      </c>
      <c r="AU148" s="350">
        <f>Q148</f>
        <v>41162</v>
      </c>
      <c r="AV148" s="350">
        <f>R148</f>
        <v>0</v>
      </c>
      <c r="AW148" s="350">
        <f t="shared" si="169"/>
        <v>41162</v>
      </c>
      <c r="AX148" s="350">
        <f>T148</f>
        <v>0</v>
      </c>
      <c r="AY148" s="350">
        <f>U148</f>
        <v>0</v>
      </c>
      <c r="AZ148" s="350">
        <f t="shared" si="221"/>
        <v>0</v>
      </c>
      <c r="BA148" s="351">
        <f>AW148+AT148+AQ148+AN148+AK148+AH148+AZ148</f>
        <v>11147762</v>
      </c>
      <c r="BB148" s="26">
        <f t="shared" ref="BB148:BB186" si="224">BA148/BA136-1</f>
        <v>-0.12754386693992936</v>
      </c>
    </row>
    <row r="149" spans="1:57">
      <c r="A149" s="138">
        <v>44593</v>
      </c>
      <c r="B149" s="18">
        <v>2436030</v>
      </c>
      <c r="C149" s="18">
        <v>10691838</v>
      </c>
      <c r="D149" s="18">
        <f t="shared" si="204"/>
        <v>13127868</v>
      </c>
      <c r="E149" s="18">
        <f t="shared" si="205"/>
        <v>4714822</v>
      </c>
      <c r="F149" s="18">
        <v>0</v>
      </c>
      <c r="G149" s="18">
        <f t="shared" si="206"/>
        <v>4714822</v>
      </c>
      <c r="H149" s="18">
        <v>118334</v>
      </c>
      <c r="I149" s="18">
        <v>0</v>
      </c>
      <c r="J149" s="18">
        <f t="shared" si="207"/>
        <v>118334</v>
      </c>
      <c r="K149" s="18">
        <v>0</v>
      </c>
      <c r="L149" s="18">
        <v>0</v>
      </c>
      <c r="M149" s="18">
        <f t="shared" si="208"/>
        <v>0</v>
      </c>
      <c r="N149" s="18">
        <f t="shared" si="209"/>
        <v>3814281</v>
      </c>
      <c r="O149" s="18">
        <v>0</v>
      </c>
      <c r="P149" s="18">
        <f t="shared" si="210"/>
        <v>3814281</v>
      </c>
      <c r="Q149" s="18">
        <v>136915</v>
      </c>
      <c r="R149" s="18">
        <v>0</v>
      </c>
      <c r="S149" s="18">
        <f t="shared" si="192"/>
        <v>136915</v>
      </c>
      <c r="T149" s="18">
        <v>502505</v>
      </c>
      <c r="U149" s="18">
        <v>0</v>
      </c>
      <c r="V149" s="18">
        <f t="shared" si="163"/>
        <v>502505</v>
      </c>
      <c r="W149" s="18">
        <f t="shared" si="203"/>
        <v>11722887</v>
      </c>
      <c r="X149" s="18">
        <f t="shared" si="180"/>
        <v>10691838</v>
      </c>
      <c r="Y149" s="235">
        <f t="shared" si="181"/>
        <v>22414725</v>
      </c>
      <c r="Z149" s="18">
        <v>0</v>
      </c>
      <c r="AA149" s="18">
        <v>4714822</v>
      </c>
      <c r="AB149" s="18">
        <f t="shared" si="223"/>
        <v>4714822</v>
      </c>
      <c r="AC149" s="352">
        <v>0</v>
      </c>
      <c r="AD149" s="18">
        <v>3814281</v>
      </c>
      <c r="AE149" s="18">
        <f t="shared" si="211"/>
        <v>3814281</v>
      </c>
      <c r="AF149" s="352">
        <f t="shared" ref="AF149:AG159" si="225">B149+AF148</f>
        <v>4985135</v>
      </c>
      <c r="AG149" s="353">
        <f t="shared" si="225"/>
        <v>10691838</v>
      </c>
      <c r="AH149" s="353">
        <f t="shared" si="164"/>
        <v>15676973</v>
      </c>
      <c r="AI149" s="353">
        <f>AI148+E149</f>
        <v>8735376</v>
      </c>
      <c r="AJ149" s="353">
        <f>AJ148+F149</f>
        <v>0</v>
      </c>
      <c r="AK149" s="353">
        <f t="shared" si="222"/>
        <v>8735376</v>
      </c>
      <c r="AL149" s="353">
        <f t="shared" ref="AL149:AM159" si="226">AL148+H149</f>
        <v>294190</v>
      </c>
      <c r="AM149" s="353">
        <f t="shared" si="226"/>
        <v>0</v>
      </c>
      <c r="AN149" s="353">
        <f t="shared" si="166"/>
        <v>294190</v>
      </c>
      <c r="AO149" s="353">
        <f t="shared" ref="AO149:AP159" si="227">AO148+K149</f>
        <v>0</v>
      </c>
      <c r="AP149" s="353">
        <f t="shared" si="227"/>
        <v>0</v>
      </c>
      <c r="AQ149" s="353">
        <f t="shared" si="167"/>
        <v>0</v>
      </c>
      <c r="AR149" s="353">
        <f t="shared" ref="AR149:AS159" si="228">AR148+N149</f>
        <v>8175366</v>
      </c>
      <c r="AS149" s="353">
        <f t="shared" si="228"/>
        <v>0</v>
      </c>
      <c r="AT149" s="353">
        <f t="shared" si="168"/>
        <v>8175366</v>
      </c>
      <c r="AU149" s="353">
        <f t="shared" ref="AU149:AV159" si="229">AU148+Q149</f>
        <v>178077</v>
      </c>
      <c r="AV149" s="353">
        <f t="shared" si="229"/>
        <v>0</v>
      </c>
      <c r="AW149" s="353">
        <f t="shared" si="169"/>
        <v>178077</v>
      </c>
      <c r="AX149" s="353">
        <f t="shared" ref="AX149:AY159" si="230">AX148+T149</f>
        <v>502505</v>
      </c>
      <c r="AY149" s="353">
        <f t="shared" si="230"/>
        <v>0</v>
      </c>
      <c r="AZ149" s="353">
        <f t="shared" si="221"/>
        <v>502505</v>
      </c>
      <c r="BA149" s="354">
        <f t="shared" ref="BA149:BA186" si="231">AW149+AT149+AQ149+AN149+AK149+AH149+AZ149</f>
        <v>33562487</v>
      </c>
      <c r="BB149" s="26">
        <f t="shared" si="224"/>
        <v>0.32393416306086364</v>
      </c>
    </row>
    <row r="150" spans="1:57">
      <c r="A150" s="138">
        <v>44621</v>
      </c>
      <c r="B150" s="18">
        <v>2331151</v>
      </c>
      <c r="C150" s="18">
        <v>0</v>
      </c>
      <c r="D150" s="18">
        <f t="shared" si="204"/>
        <v>2331151</v>
      </c>
      <c r="E150" s="18">
        <f t="shared" si="205"/>
        <v>4778660</v>
      </c>
      <c r="F150" s="18">
        <v>0</v>
      </c>
      <c r="G150" s="18">
        <f t="shared" si="206"/>
        <v>4778660</v>
      </c>
      <c r="H150" s="18">
        <v>287837</v>
      </c>
      <c r="I150" s="18">
        <v>0</v>
      </c>
      <c r="J150" s="18">
        <f t="shared" si="207"/>
        <v>287837</v>
      </c>
      <c r="K150" s="18">
        <v>0</v>
      </c>
      <c r="L150" s="18">
        <v>0</v>
      </c>
      <c r="M150" s="18">
        <f t="shared" si="208"/>
        <v>0</v>
      </c>
      <c r="N150" s="18">
        <f t="shared" si="209"/>
        <v>4695932</v>
      </c>
      <c r="O150" s="18">
        <v>0</v>
      </c>
      <c r="P150" s="18">
        <f t="shared" si="210"/>
        <v>4695932</v>
      </c>
      <c r="Q150" s="18">
        <v>173422</v>
      </c>
      <c r="R150" s="18">
        <v>0</v>
      </c>
      <c r="S150" s="18">
        <f t="shared" si="192"/>
        <v>173422</v>
      </c>
      <c r="T150" s="18">
        <v>408998</v>
      </c>
      <c r="U150" s="18">
        <v>0</v>
      </c>
      <c r="V150" s="18">
        <f t="shared" si="163"/>
        <v>408998</v>
      </c>
      <c r="W150" s="18">
        <f t="shared" si="203"/>
        <v>12676000</v>
      </c>
      <c r="X150" s="18">
        <f t="shared" si="180"/>
        <v>0</v>
      </c>
      <c r="Y150" s="235">
        <f t="shared" si="181"/>
        <v>12676000</v>
      </c>
      <c r="Z150" s="18">
        <v>0</v>
      </c>
      <c r="AA150" s="18">
        <v>4778660</v>
      </c>
      <c r="AB150" s="18">
        <f t="shared" si="223"/>
        <v>4778660</v>
      </c>
      <c r="AC150" s="352">
        <v>523590</v>
      </c>
      <c r="AD150" s="18">
        <v>4172342</v>
      </c>
      <c r="AE150" s="18">
        <f t="shared" si="211"/>
        <v>4695932</v>
      </c>
      <c r="AF150" s="352">
        <f t="shared" si="225"/>
        <v>7316286</v>
      </c>
      <c r="AG150" s="353">
        <f t="shared" si="225"/>
        <v>10691838</v>
      </c>
      <c r="AH150" s="353">
        <f t="shared" si="164"/>
        <v>18008124</v>
      </c>
      <c r="AI150" s="353">
        <f t="shared" ref="AI150:AJ159" si="232">AI149+E150</f>
        <v>13514036</v>
      </c>
      <c r="AJ150" s="353">
        <f t="shared" si="232"/>
        <v>0</v>
      </c>
      <c r="AK150" s="353">
        <f t="shared" si="222"/>
        <v>13514036</v>
      </c>
      <c r="AL150" s="353">
        <f t="shared" si="226"/>
        <v>582027</v>
      </c>
      <c r="AM150" s="353">
        <f t="shared" si="226"/>
        <v>0</v>
      </c>
      <c r="AN150" s="353">
        <f t="shared" si="166"/>
        <v>582027</v>
      </c>
      <c r="AO150" s="353">
        <f t="shared" si="227"/>
        <v>0</v>
      </c>
      <c r="AP150" s="353">
        <f t="shared" si="227"/>
        <v>0</v>
      </c>
      <c r="AQ150" s="353">
        <f t="shared" si="167"/>
        <v>0</v>
      </c>
      <c r="AR150" s="353">
        <f t="shared" si="228"/>
        <v>12871298</v>
      </c>
      <c r="AS150" s="353">
        <f t="shared" si="228"/>
        <v>0</v>
      </c>
      <c r="AT150" s="353">
        <f t="shared" si="168"/>
        <v>12871298</v>
      </c>
      <c r="AU150" s="353">
        <f t="shared" si="229"/>
        <v>351499</v>
      </c>
      <c r="AV150" s="353">
        <f t="shared" si="229"/>
        <v>0</v>
      </c>
      <c r="AW150" s="353">
        <f t="shared" si="169"/>
        <v>351499</v>
      </c>
      <c r="AX150" s="353">
        <f t="shared" si="230"/>
        <v>911503</v>
      </c>
      <c r="AY150" s="353">
        <f t="shared" si="230"/>
        <v>0</v>
      </c>
      <c r="AZ150" s="353">
        <f t="shared" si="221"/>
        <v>911503</v>
      </c>
      <c r="BA150" s="354">
        <f t="shared" si="231"/>
        <v>46238487</v>
      </c>
      <c r="BB150" s="26">
        <f t="shared" si="224"/>
        <v>0.35621482019387818</v>
      </c>
    </row>
    <row r="151" spans="1:57">
      <c r="A151" s="138">
        <v>44652</v>
      </c>
      <c r="B151" s="18">
        <v>2237127</v>
      </c>
      <c r="C151" s="18">
        <v>0</v>
      </c>
      <c r="D151" s="18">
        <f t="shared" si="204"/>
        <v>2237127</v>
      </c>
      <c r="E151" s="18">
        <f t="shared" si="205"/>
        <v>5292420</v>
      </c>
      <c r="F151" s="18">
        <v>0</v>
      </c>
      <c r="G151" s="18">
        <f t="shared" si="206"/>
        <v>5292420</v>
      </c>
      <c r="H151" s="18">
        <v>246187</v>
      </c>
      <c r="I151" s="18">
        <v>0</v>
      </c>
      <c r="J151" s="18">
        <f t="shared" si="207"/>
        <v>246187</v>
      </c>
      <c r="K151" s="18">
        <v>0</v>
      </c>
      <c r="L151" s="18">
        <v>0</v>
      </c>
      <c r="M151" s="18">
        <f t="shared" si="208"/>
        <v>0</v>
      </c>
      <c r="N151" s="18">
        <f t="shared" si="209"/>
        <v>4577705</v>
      </c>
      <c r="O151" s="18">
        <v>0</v>
      </c>
      <c r="P151" s="18">
        <f t="shared" si="210"/>
        <v>4577705</v>
      </c>
      <c r="Q151" s="18">
        <v>105556</v>
      </c>
      <c r="R151" s="18">
        <v>0</v>
      </c>
      <c r="S151" s="18">
        <f t="shared" si="192"/>
        <v>105556</v>
      </c>
      <c r="T151" s="18">
        <v>338480</v>
      </c>
      <c r="U151" s="18">
        <v>0</v>
      </c>
      <c r="V151" s="18">
        <f t="shared" si="163"/>
        <v>338480</v>
      </c>
      <c r="W151" s="18">
        <f t="shared" si="203"/>
        <v>12797475</v>
      </c>
      <c r="X151" s="18">
        <f t="shared" si="180"/>
        <v>0</v>
      </c>
      <c r="Y151" s="235">
        <f t="shared" si="181"/>
        <v>12797475</v>
      </c>
      <c r="Z151" s="18">
        <v>0</v>
      </c>
      <c r="AA151" s="18">
        <v>5292420</v>
      </c>
      <c r="AB151" s="18">
        <f t="shared" si="223"/>
        <v>5292420</v>
      </c>
      <c r="AC151" s="352">
        <v>283536</v>
      </c>
      <c r="AD151" s="18">
        <v>4294169</v>
      </c>
      <c r="AE151" s="18">
        <f t="shared" si="211"/>
        <v>4577705</v>
      </c>
      <c r="AF151" s="352">
        <f t="shared" si="225"/>
        <v>9553413</v>
      </c>
      <c r="AG151" s="353">
        <f t="shared" si="225"/>
        <v>10691838</v>
      </c>
      <c r="AH151" s="353">
        <f t="shared" si="164"/>
        <v>20245251</v>
      </c>
      <c r="AI151" s="353">
        <f t="shared" si="232"/>
        <v>18806456</v>
      </c>
      <c r="AJ151" s="353">
        <f t="shared" si="232"/>
        <v>0</v>
      </c>
      <c r="AK151" s="353">
        <f t="shared" si="222"/>
        <v>18806456</v>
      </c>
      <c r="AL151" s="353">
        <f t="shared" si="226"/>
        <v>828214</v>
      </c>
      <c r="AM151" s="353">
        <f t="shared" si="226"/>
        <v>0</v>
      </c>
      <c r="AN151" s="353">
        <f t="shared" si="166"/>
        <v>828214</v>
      </c>
      <c r="AO151" s="353">
        <f t="shared" si="227"/>
        <v>0</v>
      </c>
      <c r="AP151" s="353">
        <f t="shared" si="227"/>
        <v>0</v>
      </c>
      <c r="AQ151" s="353">
        <f t="shared" si="167"/>
        <v>0</v>
      </c>
      <c r="AR151" s="353">
        <f t="shared" si="228"/>
        <v>17449003</v>
      </c>
      <c r="AS151" s="353">
        <f t="shared" si="228"/>
        <v>0</v>
      </c>
      <c r="AT151" s="353">
        <f t="shared" si="168"/>
        <v>17449003</v>
      </c>
      <c r="AU151" s="353">
        <f t="shared" si="229"/>
        <v>457055</v>
      </c>
      <c r="AV151" s="353">
        <f t="shared" si="229"/>
        <v>0</v>
      </c>
      <c r="AW151" s="353">
        <f t="shared" si="169"/>
        <v>457055</v>
      </c>
      <c r="AX151" s="353">
        <f t="shared" si="230"/>
        <v>1249983</v>
      </c>
      <c r="AY151" s="353">
        <f t="shared" si="230"/>
        <v>0</v>
      </c>
      <c r="AZ151" s="353">
        <f t="shared" si="221"/>
        <v>1249983</v>
      </c>
      <c r="BA151" s="354">
        <f t="shared" si="231"/>
        <v>59035962</v>
      </c>
      <c r="BB151" s="26">
        <f t="shared" si="224"/>
        <v>0.41244408154781165</v>
      </c>
    </row>
    <row r="152" spans="1:57">
      <c r="A152" s="138">
        <v>44682</v>
      </c>
      <c r="B152" s="18">
        <v>2788151</v>
      </c>
      <c r="C152" s="18">
        <v>10688242</v>
      </c>
      <c r="D152" s="18">
        <f t="shared" si="204"/>
        <v>13476393</v>
      </c>
      <c r="E152" s="18">
        <f t="shared" si="205"/>
        <v>8683370</v>
      </c>
      <c r="F152" s="18">
        <v>0</v>
      </c>
      <c r="G152" s="18">
        <f t="shared" si="206"/>
        <v>8683370</v>
      </c>
      <c r="H152" s="18">
        <v>183328</v>
      </c>
      <c r="I152" s="18">
        <v>0</v>
      </c>
      <c r="J152" s="18">
        <f t="shared" si="207"/>
        <v>183328</v>
      </c>
      <c r="K152" s="18">
        <v>0</v>
      </c>
      <c r="L152" s="18">
        <v>0</v>
      </c>
      <c r="M152" s="18">
        <f t="shared" si="208"/>
        <v>0</v>
      </c>
      <c r="N152" s="18">
        <f t="shared" si="209"/>
        <v>3698246</v>
      </c>
      <c r="O152" s="18">
        <v>0</v>
      </c>
      <c r="P152" s="18">
        <f t="shared" si="210"/>
        <v>3698246</v>
      </c>
      <c r="Q152" s="18">
        <v>73892</v>
      </c>
      <c r="R152" s="18">
        <v>0</v>
      </c>
      <c r="S152" s="18">
        <f t="shared" si="192"/>
        <v>73892</v>
      </c>
      <c r="T152" s="18">
        <v>64595</v>
      </c>
      <c r="U152" s="18">
        <v>0</v>
      </c>
      <c r="V152" s="18">
        <f t="shared" si="163"/>
        <v>64595</v>
      </c>
      <c r="W152" s="18">
        <f t="shared" si="203"/>
        <v>15491582</v>
      </c>
      <c r="X152" s="18">
        <f t="shared" si="180"/>
        <v>10688242</v>
      </c>
      <c r="Y152" s="235">
        <f t="shared" si="181"/>
        <v>26179824</v>
      </c>
      <c r="Z152" s="18">
        <v>0</v>
      </c>
      <c r="AA152" s="18">
        <v>8683370</v>
      </c>
      <c r="AB152" s="18">
        <f t="shared" si="223"/>
        <v>8683370</v>
      </c>
      <c r="AC152" s="352">
        <v>61757</v>
      </c>
      <c r="AD152" s="18">
        <v>3636489</v>
      </c>
      <c r="AE152" s="18">
        <f t="shared" si="211"/>
        <v>3698246</v>
      </c>
      <c r="AF152" s="352">
        <f t="shared" si="225"/>
        <v>12341564</v>
      </c>
      <c r="AG152" s="353">
        <f t="shared" si="225"/>
        <v>21380080</v>
      </c>
      <c r="AH152" s="353">
        <f t="shared" si="164"/>
        <v>33721644</v>
      </c>
      <c r="AI152" s="353">
        <f t="shared" si="232"/>
        <v>27489826</v>
      </c>
      <c r="AJ152" s="353">
        <f t="shared" si="232"/>
        <v>0</v>
      </c>
      <c r="AK152" s="353">
        <f t="shared" si="222"/>
        <v>27489826</v>
      </c>
      <c r="AL152" s="353">
        <f t="shared" si="226"/>
        <v>1011542</v>
      </c>
      <c r="AM152" s="353">
        <f t="shared" si="226"/>
        <v>0</v>
      </c>
      <c r="AN152" s="353">
        <f t="shared" si="166"/>
        <v>1011542</v>
      </c>
      <c r="AO152" s="353">
        <f t="shared" si="227"/>
        <v>0</v>
      </c>
      <c r="AP152" s="353">
        <f t="shared" si="227"/>
        <v>0</v>
      </c>
      <c r="AQ152" s="353">
        <f t="shared" si="167"/>
        <v>0</v>
      </c>
      <c r="AR152" s="353">
        <f t="shared" si="228"/>
        <v>21147249</v>
      </c>
      <c r="AS152" s="353">
        <f t="shared" si="228"/>
        <v>0</v>
      </c>
      <c r="AT152" s="353">
        <f t="shared" si="168"/>
        <v>21147249</v>
      </c>
      <c r="AU152" s="353">
        <f t="shared" si="229"/>
        <v>530947</v>
      </c>
      <c r="AV152" s="353">
        <f t="shared" si="229"/>
        <v>0</v>
      </c>
      <c r="AW152" s="353">
        <f t="shared" si="169"/>
        <v>530947</v>
      </c>
      <c r="AX152" s="353">
        <f t="shared" si="230"/>
        <v>1314578</v>
      </c>
      <c r="AY152" s="353">
        <f t="shared" si="230"/>
        <v>0</v>
      </c>
      <c r="AZ152" s="353">
        <f t="shared" si="221"/>
        <v>1314578</v>
      </c>
      <c r="BA152" s="354">
        <f t="shared" si="231"/>
        <v>85215786</v>
      </c>
      <c r="BB152" s="26">
        <f t="shared" si="224"/>
        <v>0.75428462285462117</v>
      </c>
    </row>
    <row r="153" spans="1:57">
      <c r="A153" s="138">
        <v>44713</v>
      </c>
      <c r="B153" s="18">
        <v>2536364</v>
      </c>
      <c r="C153" s="18">
        <v>0</v>
      </c>
      <c r="D153" s="18">
        <f t="shared" si="204"/>
        <v>2536364</v>
      </c>
      <c r="E153" s="18">
        <f t="shared" si="205"/>
        <v>4577635</v>
      </c>
      <c r="F153" s="18">
        <v>0</v>
      </c>
      <c r="G153" s="18">
        <f t="shared" si="206"/>
        <v>4577635</v>
      </c>
      <c r="H153" s="18">
        <v>90471</v>
      </c>
      <c r="I153" s="18">
        <v>0</v>
      </c>
      <c r="J153" s="18">
        <f t="shared" si="207"/>
        <v>90471</v>
      </c>
      <c r="K153" s="18">
        <v>0</v>
      </c>
      <c r="L153" s="18">
        <v>0</v>
      </c>
      <c r="M153" s="18">
        <f t="shared" si="208"/>
        <v>0</v>
      </c>
      <c r="N153" s="18">
        <f t="shared" si="209"/>
        <v>4392779</v>
      </c>
      <c r="O153" s="18">
        <v>0</v>
      </c>
      <c r="P153" s="18">
        <f t="shared" si="210"/>
        <v>4392779</v>
      </c>
      <c r="Q153" s="18">
        <v>71031</v>
      </c>
      <c r="R153" s="18">
        <v>0</v>
      </c>
      <c r="S153" s="18">
        <f t="shared" si="192"/>
        <v>71031</v>
      </c>
      <c r="T153" s="18">
        <v>452822</v>
      </c>
      <c r="U153" s="18">
        <v>0</v>
      </c>
      <c r="V153" s="18">
        <f t="shared" si="163"/>
        <v>452822</v>
      </c>
      <c r="W153" s="18">
        <f t="shared" si="203"/>
        <v>12121102</v>
      </c>
      <c r="X153" s="18">
        <f t="shared" si="180"/>
        <v>0</v>
      </c>
      <c r="Y153" s="235">
        <f t="shared" si="181"/>
        <v>12121102</v>
      </c>
      <c r="Z153" s="18">
        <v>0</v>
      </c>
      <c r="AA153" s="18">
        <v>4577635</v>
      </c>
      <c r="AB153" s="18">
        <f t="shared" si="223"/>
        <v>4577635</v>
      </c>
      <c r="AC153" s="352">
        <v>133548</v>
      </c>
      <c r="AD153" s="18">
        <v>4259231</v>
      </c>
      <c r="AE153" s="18">
        <f t="shared" si="211"/>
        <v>4392779</v>
      </c>
      <c r="AF153" s="352">
        <f t="shared" si="225"/>
        <v>14877928</v>
      </c>
      <c r="AG153" s="353">
        <f t="shared" si="225"/>
        <v>21380080</v>
      </c>
      <c r="AH153" s="353">
        <f t="shared" si="164"/>
        <v>36258008</v>
      </c>
      <c r="AI153" s="353">
        <f t="shared" si="232"/>
        <v>32067461</v>
      </c>
      <c r="AJ153" s="353">
        <f t="shared" si="232"/>
        <v>0</v>
      </c>
      <c r="AK153" s="353">
        <f t="shared" si="222"/>
        <v>32067461</v>
      </c>
      <c r="AL153" s="353">
        <f t="shared" si="226"/>
        <v>1102013</v>
      </c>
      <c r="AM153" s="353">
        <f t="shared" si="226"/>
        <v>0</v>
      </c>
      <c r="AN153" s="353">
        <f t="shared" si="166"/>
        <v>1102013</v>
      </c>
      <c r="AO153" s="353">
        <f t="shared" si="227"/>
        <v>0</v>
      </c>
      <c r="AP153" s="353">
        <f t="shared" si="227"/>
        <v>0</v>
      </c>
      <c r="AQ153" s="353">
        <f t="shared" si="167"/>
        <v>0</v>
      </c>
      <c r="AR153" s="353">
        <f t="shared" si="228"/>
        <v>25540028</v>
      </c>
      <c r="AS153" s="353">
        <f t="shared" si="228"/>
        <v>0</v>
      </c>
      <c r="AT153" s="353">
        <f t="shared" si="168"/>
        <v>25540028</v>
      </c>
      <c r="AU153" s="353">
        <f t="shared" si="229"/>
        <v>601978</v>
      </c>
      <c r="AV153" s="353">
        <f t="shared" si="229"/>
        <v>0</v>
      </c>
      <c r="AW153" s="353">
        <f t="shared" si="169"/>
        <v>601978</v>
      </c>
      <c r="AX153" s="353">
        <f t="shared" si="230"/>
        <v>1767400</v>
      </c>
      <c r="AY153" s="353">
        <f t="shared" si="230"/>
        <v>0</v>
      </c>
      <c r="AZ153" s="353">
        <f t="shared" si="221"/>
        <v>1767400</v>
      </c>
      <c r="BA153" s="354">
        <f t="shared" si="231"/>
        <v>97336888</v>
      </c>
      <c r="BB153" s="26">
        <f t="shared" si="224"/>
        <v>0.42671820605453847</v>
      </c>
    </row>
    <row r="154" spans="1:57">
      <c r="A154" s="138">
        <v>44743</v>
      </c>
      <c r="B154" s="18">
        <v>2377142</v>
      </c>
      <c r="C154" s="18">
        <v>2348368</v>
      </c>
      <c r="D154" s="18">
        <f t="shared" si="204"/>
        <v>4725510</v>
      </c>
      <c r="E154" s="18">
        <f t="shared" si="205"/>
        <v>4786731</v>
      </c>
      <c r="F154" s="18">
        <v>0</v>
      </c>
      <c r="G154" s="18">
        <f t="shared" si="206"/>
        <v>4786731</v>
      </c>
      <c r="H154" s="18">
        <v>0</v>
      </c>
      <c r="I154" s="18">
        <v>0</v>
      </c>
      <c r="J154" s="18">
        <f t="shared" si="207"/>
        <v>0</v>
      </c>
      <c r="K154" s="18">
        <v>0</v>
      </c>
      <c r="L154" s="18">
        <v>0</v>
      </c>
      <c r="M154" s="18">
        <f t="shared" si="208"/>
        <v>0</v>
      </c>
      <c r="N154" s="18">
        <f t="shared" si="209"/>
        <v>4846378</v>
      </c>
      <c r="O154" s="18">
        <v>0</v>
      </c>
      <c r="P154" s="18">
        <f t="shared" si="210"/>
        <v>4846378</v>
      </c>
      <c r="Q154" s="18">
        <v>51846</v>
      </c>
      <c r="R154" s="18">
        <v>0</v>
      </c>
      <c r="S154" s="18">
        <f t="shared" si="192"/>
        <v>51846</v>
      </c>
      <c r="T154" s="18">
        <v>518411</v>
      </c>
      <c r="U154" s="18">
        <v>0</v>
      </c>
      <c r="V154" s="18">
        <f t="shared" si="163"/>
        <v>518411</v>
      </c>
      <c r="W154" s="18">
        <f t="shared" si="203"/>
        <v>12580508</v>
      </c>
      <c r="X154" s="18">
        <f t="shared" si="180"/>
        <v>2348368</v>
      </c>
      <c r="Y154" s="235">
        <f t="shared" si="181"/>
        <v>14928876</v>
      </c>
      <c r="Z154" s="18">
        <v>0</v>
      </c>
      <c r="AA154" s="18">
        <v>4786731</v>
      </c>
      <c r="AB154" s="18">
        <f t="shared" si="223"/>
        <v>4786731</v>
      </c>
      <c r="AC154" s="352">
        <v>117189</v>
      </c>
      <c r="AD154" s="18">
        <v>4729189</v>
      </c>
      <c r="AE154" s="18">
        <f t="shared" si="211"/>
        <v>4846378</v>
      </c>
      <c r="AF154" s="352">
        <f t="shared" si="225"/>
        <v>17255070</v>
      </c>
      <c r="AG154" s="353">
        <f t="shared" si="225"/>
        <v>23728448</v>
      </c>
      <c r="AH154" s="353">
        <f t="shared" si="164"/>
        <v>40983518</v>
      </c>
      <c r="AI154" s="353">
        <f t="shared" si="232"/>
        <v>36854192</v>
      </c>
      <c r="AJ154" s="353">
        <f t="shared" si="232"/>
        <v>0</v>
      </c>
      <c r="AK154" s="353">
        <f t="shared" si="222"/>
        <v>36854192</v>
      </c>
      <c r="AL154" s="353">
        <f t="shared" si="226"/>
        <v>1102013</v>
      </c>
      <c r="AM154" s="353">
        <f t="shared" si="226"/>
        <v>0</v>
      </c>
      <c r="AN154" s="353">
        <f t="shared" si="166"/>
        <v>1102013</v>
      </c>
      <c r="AO154" s="353">
        <f t="shared" si="227"/>
        <v>0</v>
      </c>
      <c r="AP154" s="353">
        <f t="shared" si="227"/>
        <v>0</v>
      </c>
      <c r="AQ154" s="353">
        <f t="shared" si="167"/>
        <v>0</v>
      </c>
      <c r="AR154" s="353">
        <f t="shared" si="228"/>
        <v>30386406</v>
      </c>
      <c r="AS154" s="353">
        <f t="shared" si="228"/>
        <v>0</v>
      </c>
      <c r="AT154" s="353">
        <f t="shared" si="168"/>
        <v>30386406</v>
      </c>
      <c r="AU154" s="353">
        <f t="shared" si="229"/>
        <v>653824</v>
      </c>
      <c r="AV154" s="353">
        <f t="shared" si="229"/>
        <v>0</v>
      </c>
      <c r="AW154" s="353">
        <f t="shared" si="169"/>
        <v>653824</v>
      </c>
      <c r="AX154" s="353">
        <f t="shared" si="230"/>
        <v>2285811</v>
      </c>
      <c r="AY154" s="353">
        <f t="shared" si="230"/>
        <v>0</v>
      </c>
      <c r="AZ154" s="353">
        <f t="shared" si="221"/>
        <v>2285811</v>
      </c>
      <c r="BA154" s="354">
        <f t="shared" si="231"/>
        <v>112265764</v>
      </c>
      <c r="BB154" s="26">
        <f t="shared" si="224"/>
        <v>0.28814802647174664</v>
      </c>
    </row>
    <row r="155" spans="1:57">
      <c r="A155" s="138">
        <v>44774</v>
      </c>
      <c r="B155" s="18">
        <v>2438601</v>
      </c>
      <c r="C155" s="18">
        <v>8397241</v>
      </c>
      <c r="D155" s="18">
        <f t="shared" si="204"/>
        <v>10835842</v>
      </c>
      <c r="E155" s="18">
        <f t="shared" si="205"/>
        <v>7251742</v>
      </c>
      <c r="F155" s="18">
        <v>0</v>
      </c>
      <c r="G155" s="18">
        <f t="shared" si="206"/>
        <v>7251742</v>
      </c>
      <c r="H155" s="18">
        <v>205832</v>
      </c>
      <c r="I155" s="18">
        <v>0</v>
      </c>
      <c r="J155" s="18">
        <f t="shared" si="207"/>
        <v>205832</v>
      </c>
      <c r="K155" s="18">
        <v>0</v>
      </c>
      <c r="L155" s="18">
        <v>0</v>
      </c>
      <c r="M155" s="18">
        <f t="shared" si="208"/>
        <v>0</v>
      </c>
      <c r="N155" s="18">
        <f t="shared" si="209"/>
        <v>7401530</v>
      </c>
      <c r="O155" s="18">
        <v>0</v>
      </c>
      <c r="P155" s="18">
        <f t="shared" si="210"/>
        <v>7401530</v>
      </c>
      <c r="Q155" s="18">
        <v>62165</v>
      </c>
      <c r="R155" s="18">
        <v>0</v>
      </c>
      <c r="S155" s="18">
        <f t="shared" si="192"/>
        <v>62165</v>
      </c>
      <c r="T155" s="18">
        <v>176799</v>
      </c>
      <c r="U155" s="18">
        <v>0</v>
      </c>
      <c r="V155" s="18">
        <f t="shared" si="163"/>
        <v>176799</v>
      </c>
      <c r="W155" s="18">
        <f t="shared" si="203"/>
        <v>17536669</v>
      </c>
      <c r="X155" s="18">
        <f t="shared" si="180"/>
        <v>8397241</v>
      </c>
      <c r="Y155" s="235">
        <f t="shared" si="181"/>
        <v>25933910</v>
      </c>
      <c r="Z155" s="18">
        <v>0</v>
      </c>
      <c r="AA155" s="18">
        <v>7251742</v>
      </c>
      <c r="AB155" s="18">
        <f t="shared" si="223"/>
        <v>7251742</v>
      </c>
      <c r="AC155" s="352">
        <v>0</v>
      </c>
      <c r="AD155" s="18">
        <v>7401530</v>
      </c>
      <c r="AE155" s="18">
        <f t="shared" si="211"/>
        <v>7401530</v>
      </c>
      <c r="AF155" s="352">
        <f t="shared" si="225"/>
        <v>19693671</v>
      </c>
      <c r="AG155" s="353">
        <f t="shared" si="225"/>
        <v>32125689</v>
      </c>
      <c r="AH155" s="353">
        <f t="shared" si="164"/>
        <v>51819360</v>
      </c>
      <c r="AI155" s="353">
        <f t="shared" si="232"/>
        <v>44105934</v>
      </c>
      <c r="AJ155" s="353">
        <f t="shared" si="232"/>
        <v>0</v>
      </c>
      <c r="AK155" s="353">
        <f t="shared" si="222"/>
        <v>44105934</v>
      </c>
      <c r="AL155" s="353">
        <f t="shared" si="226"/>
        <v>1307845</v>
      </c>
      <c r="AM155" s="353">
        <f t="shared" si="226"/>
        <v>0</v>
      </c>
      <c r="AN155" s="353">
        <f t="shared" si="166"/>
        <v>1307845</v>
      </c>
      <c r="AO155" s="353">
        <f t="shared" si="227"/>
        <v>0</v>
      </c>
      <c r="AP155" s="353">
        <f t="shared" si="227"/>
        <v>0</v>
      </c>
      <c r="AQ155" s="353">
        <f t="shared" si="167"/>
        <v>0</v>
      </c>
      <c r="AR155" s="353">
        <f t="shared" si="228"/>
        <v>37787936</v>
      </c>
      <c r="AS155" s="353">
        <f t="shared" si="228"/>
        <v>0</v>
      </c>
      <c r="AT155" s="353">
        <f t="shared" si="168"/>
        <v>37787936</v>
      </c>
      <c r="AU155" s="353">
        <f t="shared" si="229"/>
        <v>715989</v>
      </c>
      <c r="AV155" s="353">
        <f t="shared" si="229"/>
        <v>0</v>
      </c>
      <c r="AW155" s="353">
        <f t="shared" si="169"/>
        <v>715989</v>
      </c>
      <c r="AX155" s="353">
        <f t="shared" si="230"/>
        <v>2462610</v>
      </c>
      <c r="AY155" s="353">
        <f t="shared" si="230"/>
        <v>0</v>
      </c>
      <c r="AZ155" s="353">
        <f t="shared" si="221"/>
        <v>2462610</v>
      </c>
      <c r="BA155" s="354">
        <f t="shared" si="231"/>
        <v>138199674</v>
      </c>
      <c r="BB155" s="26">
        <f t="shared" si="224"/>
        <v>0.23811298092493427</v>
      </c>
    </row>
    <row r="156" spans="1:57">
      <c r="A156" s="138">
        <v>44805</v>
      </c>
      <c r="B156" s="18">
        <v>2332869</v>
      </c>
      <c r="C156" s="18">
        <v>9130925</v>
      </c>
      <c r="D156" s="18">
        <f t="shared" si="204"/>
        <v>11463794</v>
      </c>
      <c r="E156" s="18">
        <f t="shared" si="205"/>
        <v>8895630</v>
      </c>
      <c r="F156" s="18">
        <v>0</v>
      </c>
      <c r="G156" s="18">
        <f t="shared" si="206"/>
        <v>8895630</v>
      </c>
      <c r="H156" s="18">
        <v>108106</v>
      </c>
      <c r="I156" s="18">
        <v>0</v>
      </c>
      <c r="J156" s="18">
        <f t="shared" si="207"/>
        <v>108106</v>
      </c>
      <c r="K156" s="18">
        <v>0</v>
      </c>
      <c r="L156" s="18">
        <v>0</v>
      </c>
      <c r="M156" s="18">
        <f t="shared" si="208"/>
        <v>0</v>
      </c>
      <c r="N156" s="18">
        <f t="shared" si="209"/>
        <v>5126140</v>
      </c>
      <c r="O156" s="18">
        <v>0</v>
      </c>
      <c r="P156" s="18">
        <f t="shared" si="210"/>
        <v>5126140</v>
      </c>
      <c r="Q156" s="18">
        <v>71465</v>
      </c>
      <c r="R156" s="18">
        <v>0</v>
      </c>
      <c r="S156" s="18">
        <f t="shared" si="192"/>
        <v>71465</v>
      </c>
      <c r="T156" s="18">
        <v>644107</v>
      </c>
      <c r="U156" s="18">
        <v>0</v>
      </c>
      <c r="V156" s="18">
        <f t="shared" si="163"/>
        <v>644107</v>
      </c>
      <c r="W156" s="18">
        <f t="shared" si="203"/>
        <v>17178317</v>
      </c>
      <c r="X156" s="18">
        <f t="shared" si="180"/>
        <v>9130925</v>
      </c>
      <c r="Y156" s="235">
        <f t="shared" si="181"/>
        <v>26309242</v>
      </c>
      <c r="Z156" s="18">
        <v>0</v>
      </c>
      <c r="AA156" s="18">
        <v>8895630</v>
      </c>
      <c r="AB156" s="18">
        <f t="shared" si="223"/>
        <v>8895630</v>
      </c>
      <c r="AC156" s="352">
        <v>189601</v>
      </c>
      <c r="AD156" s="18">
        <v>4936539</v>
      </c>
      <c r="AE156" s="18">
        <f t="shared" si="211"/>
        <v>5126140</v>
      </c>
      <c r="AF156" s="352">
        <f t="shared" si="225"/>
        <v>22026540</v>
      </c>
      <c r="AG156" s="353">
        <f t="shared" si="225"/>
        <v>41256614</v>
      </c>
      <c r="AH156" s="353">
        <f t="shared" si="164"/>
        <v>63283154</v>
      </c>
      <c r="AI156" s="353">
        <f t="shared" si="232"/>
        <v>53001564</v>
      </c>
      <c r="AJ156" s="353">
        <f t="shared" si="232"/>
        <v>0</v>
      </c>
      <c r="AK156" s="353">
        <f t="shared" si="222"/>
        <v>53001564</v>
      </c>
      <c r="AL156" s="353">
        <f t="shared" si="226"/>
        <v>1415951</v>
      </c>
      <c r="AM156" s="353">
        <f t="shared" si="226"/>
        <v>0</v>
      </c>
      <c r="AN156" s="353">
        <f t="shared" si="166"/>
        <v>1415951</v>
      </c>
      <c r="AO156" s="353">
        <f t="shared" si="227"/>
        <v>0</v>
      </c>
      <c r="AP156" s="353">
        <f t="shared" si="227"/>
        <v>0</v>
      </c>
      <c r="AQ156" s="353">
        <f t="shared" si="167"/>
        <v>0</v>
      </c>
      <c r="AR156" s="353">
        <f t="shared" si="228"/>
        <v>42914076</v>
      </c>
      <c r="AS156" s="353">
        <f t="shared" si="228"/>
        <v>0</v>
      </c>
      <c r="AT156" s="353">
        <f t="shared" si="168"/>
        <v>42914076</v>
      </c>
      <c r="AU156" s="353">
        <f t="shared" si="229"/>
        <v>787454</v>
      </c>
      <c r="AV156" s="353">
        <f t="shared" si="229"/>
        <v>0</v>
      </c>
      <c r="AW156" s="353">
        <f t="shared" si="169"/>
        <v>787454</v>
      </c>
      <c r="AX156" s="353">
        <f t="shared" si="230"/>
        <v>3106717</v>
      </c>
      <c r="AY156" s="353">
        <f t="shared" si="230"/>
        <v>0</v>
      </c>
      <c r="AZ156" s="353">
        <f t="shared" si="221"/>
        <v>3106717</v>
      </c>
      <c r="BA156" s="354">
        <f t="shared" si="231"/>
        <v>164508916</v>
      </c>
      <c r="BB156" s="26">
        <f t="shared" si="224"/>
        <v>0.23066079117460103</v>
      </c>
    </row>
    <row r="157" spans="1:57">
      <c r="A157" s="138">
        <v>44835</v>
      </c>
      <c r="B157" s="18">
        <v>2374934</v>
      </c>
      <c r="C157" s="18">
        <v>17831309</v>
      </c>
      <c r="D157" s="18">
        <f t="shared" si="204"/>
        <v>20206243</v>
      </c>
      <c r="E157" s="18">
        <f t="shared" si="205"/>
        <v>5690860</v>
      </c>
      <c r="F157" s="18">
        <v>0</v>
      </c>
      <c r="G157" s="18">
        <f t="shared" si="206"/>
        <v>5690860</v>
      </c>
      <c r="H157" s="18">
        <v>149442</v>
      </c>
      <c r="I157" s="18">
        <v>0</v>
      </c>
      <c r="J157" s="18">
        <f t="shared" si="207"/>
        <v>149442</v>
      </c>
      <c r="K157" s="18">
        <v>0</v>
      </c>
      <c r="L157" s="18">
        <v>0</v>
      </c>
      <c r="M157" s="18">
        <f t="shared" si="208"/>
        <v>0</v>
      </c>
      <c r="N157" s="18">
        <f t="shared" si="209"/>
        <v>5972224</v>
      </c>
      <c r="O157" s="18">
        <v>0</v>
      </c>
      <c r="P157" s="18">
        <f t="shared" si="210"/>
        <v>5972224</v>
      </c>
      <c r="Q157" s="18">
        <v>70406</v>
      </c>
      <c r="R157" s="18">
        <v>0</v>
      </c>
      <c r="S157" s="18">
        <f t="shared" si="192"/>
        <v>70406</v>
      </c>
      <c r="T157" s="18">
        <v>274746</v>
      </c>
      <c r="U157" s="18">
        <v>0</v>
      </c>
      <c r="V157" s="18">
        <f t="shared" si="163"/>
        <v>274746</v>
      </c>
      <c r="W157" s="18">
        <f t="shared" si="203"/>
        <v>14532612</v>
      </c>
      <c r="X157" s="18">
        <f t="shared" si="180"/>
        <v>17831309</v>
      </c>
      <c r="Y157" s="235">
        <f t="shared" si="181"/>
        <v>32363921</v>
      </c>
      <c r="Z157" s="18">
        <v>0</v>
      </c>
      <c r="AA157" s="18">
        <v>5690860</v>
      </c>
      <c r="AB157" s="18">
        <f t="shared" si="223"/>
        <v>5690860</v>
      </c>
      <c r="AC157" s="352">
        <v>0</v>
      </c>
      <c r="AD157" s="18">
        <v>5972224</v>
      </c>
      <c r="AE157" s="18">
        <f t="shared" si="211"/>
        <v>5972224</v>
      </c>
      <c r="AF157" s="352">
        <f t="shared" si="225"/>
        <v>24401474</v>
      </c>
      <c r="AG157" s="353">
        <f t="shared" si="225"/>
        <v>59087923</v>
      </c>
      <c r="AH157" s="353">
        <f t="shared" si="164"/>
        <v>83489397</v>
      </c>
      <c r="AI157" s="353">
        <f t="shared" si="232"/>
        <v>58692424</v>
      </c>
      <c r="AJ157" s="353">
        <f t="shared" si="232"/>
        <v>0</v>
      </c>
      <c r="AK157" s="353">
        <f t="shared" si="222"/>
        <v>58692424</v>
      </c>
      <c r="AL157" s="353">
        <f t="shared" si="226"/>
        <v>1565393</v>
      </c>
      <c r="AM157" s="353">
        <f t="shared" si="226"/>
        <v>0</v>
      </c>
      <c r="AN157" s="353">
        <f t="shared" si="166"/>
        <v>1565393</v>
      </c>
      <c r="AO157" s="353">
        <f t="shared" si="227"/>
        <v>0</v>
      </c>
      <c r="AP157" s="353">
        <f t="shared" si="227"/>
        <v>0</v>
      </c>
      <c r="AQ157" s="353">
        <f t="shared" si="167"/>
        <v>0</v>
      </c>
      <c r="AR157" s="353">
        <f t="shared" si="228"/>
        <v>48886300</v>
      </c>
      <c r="AS157" s="353">
        <f t="shared" si="228"/>
        <v>0</v>
      </c>
      <c r="AT157" s="353">
        <f t="shared" si="168"/>
        <v>48886300</v>
      </c>
      <c r="AU157" s="353">
        <f t="shared" si="229"/>
        <v>857860</v>
      </c>
      <c r="AV157" s="353">
        <f t="shared" si="229"/>
        <v>0</v>
      </c>
      <c r="AW157" s="353">
        <f t="shared" si="169"/>
        <v>857860</v>
      </c>
      <c r="AX157" s="353">
        <f t="shared" si="230"/>
        <v>3381463</v>
      </c>
      <c r="AY157" s="353">
        <f t="shared" si="230"/>
        <v>0</v>
      </c>
      <c r="AZ157" s="353">
        <f t="shared" si="221"/>
        <v>3381463</v>
      </c>
      <c r="BA157" s="354">
        <f t="shared" si="231"/>
        <v>196872837</v>
      </c>
      <c r="BB157" s="26">
        <f t="shared" si="224"/>
        <v>0.2697335088537629</v>
      </c>
    </row>
    <row r="158" spans="1:57">
      <c r="A158" s="138">
        <v>44866</v>
      </c>
      <c r="B158" s="18">
        <v>2172050</v>
      </c>
      <c r="C158" s="18">
        <v>9712376</v>
      </c>
      <c r="D158" s="18">
        <f t="shared" si="204"/>
        <v>11884426</v>
      </c>
      <c r="E158" s="18">
        <f t="shared" si="205"/>
        <v>8102250</v>
      </c>
      <c r="F158" s="18">
        <v>0</v>
      </c>
      <c r="G158" s="18">
        <f t="shared" si="206"/>
        <v>8102250</v>
      </c>
      <c r="H158" s="18">
        <v>221910</v>
      </c>
      <c r="I158" s="18">
        <v>0</v>
      </c>
      <c r="J158" s="18">
        <f t="shared" si="207"/>
        <v>221910</v>
      </c>
      <c r="K158" s="18">
        <v>0</v>
      </c>
      <c r="L158" s="18">
        <v>0</v>
      </c>
      <c r="M158" s="18">
        <f t="shared" si="208"/>
        <v>0</v>
      </c>
      <c r="N158" s="18">
        <f t="shared" si="209"/>
        <v>7251155</v>
      </c>
      <c r="O158" s="18">
        <v>0</v>
      </c>
      <c r="P158" s="18">
        <f t="shared" si="210"/>
        <v>7251155</v>
      </c>
      <c r="Q158" s="18">
        <v>61227</v>
      </c>
      <c r="R158" s="18">
        <v>0</v>
      </c>
      <c r="S158" s="18">
        <f t="shared" si="192"/>
        <v>61227</v>
      </c>
      <c r="T158" s="18">
        <v>168243</v>
      </c>
      <c r="U158" s="18">
        <v>0</v>
      </c>
      <c r="V158" s="18">
        <f t="shared" si="163"/>
        <v>168243</v>
      </c>
      <c r="W158" s="18">
        <f t="shared" si="203"/>
        <v>17976835</v>
      </c>
      <c r="X158" s="18">
        <f t="shared" si="180"/>
        <v>9712376</v>
      </c>
      <c r="Y158" s="235">
        <f t="shared" si="181"/>
        <v>27689211</v>
      </c>
      <c r="Z158" s="18">
        <v>0</v>
      </c>
      <c r="AA158" s="18">
        <v>8102250</v>
      </c>
      <c r="AB158" s="18">
        <f t="shared" si="223"/>
        <v>8102250</v>
      </c>
      <c r="AC158" s="352">
        <v>25232</v>
      </c>
      <c r="AD158" s="18">
        <v>7225923</v>
      </c>
      <c r="AE158" s="18">
        <f t="shared" si="211"/>
        <v>7251155</v>
      </c>
      <c r="AF158" s="352">
        <f t="shared" si="225"/>
        <v>26573524</v>
      </c>
      <c r="AG158" s="353">
        <f t="shared" si="225"/>
        <v>68800299</v>
      </c>
      <c r="AH158" s="353">
        <f t="shared" si="164"/>
        <v>95373823</v>
      </c>
      <c r="AI158" s="353">
        <f t="shared" si="232"/>
        <v>66794674</v>
      </c>
      <c r="AJ158" s="353">
        <f t="shared" si="232"/>
        <v>0</v>
      </c>
      <c r="AK158" s="353">
        <f t="shared" si="222"/>
        <v>66794674</v>
      </c>
      <c r="AL158" s="353">
        <f t="shared" si="226"/>
        <v>1787303</v>
      </c>
      <c r="AM158" s="353">
        <f t="shared" si="226"/>
        <v>0</v>
      </c>
      <c r="AN158" s="353">
        <f t="shared" si="166"/>
        <v>1787303</v>
      </c>
      <c r="AO158" s="353">
        <f t="shared" si="227"/>
        <v>0</v>
      </c>
      <c r="AP158" s="353">
        <f t="shared" si="227"/>
        <v>0</v>
      </c>
      <c r="AQ158" s="353">
        <f t="shared" si="167"/>
        <v>0</v>
      </c>
      <c r="AR158" s="353">
        <f t="shared" si="228"/>
        <v>56137455</v>
      </c>
      <c r="AS158" s="353">
        <f t="shared" si="228"/>
        <v>0</v>
      </c>
      <c r="AT158" s="353">
        <f t="shared" si="168"/>
        <v>56137455</v>
      </c>
      <c r="AU158" s="353">
        <f t="shared" si="229"/>
        <v>919087</v>
      </c>
      <c r="AV158" s="353">
        <f t="shared" si="229"/>
        <v>0</v>
      </c>
      <c r="AW158" s="353">
        <f t="shared" si="169"/>
        <v>919087</v>
      </c>
      <c r="AX158" s="353">
        <f t="shared" si="230"/>
        <v>3549706</v>
      </c>
      <c r="AY158" s="353">
        <f t="shared" si="230"/>
        <v>0</v>
      </c>
      <c r="AZ158" s="353">
        <f t="shared" si="221"/>
        <v>3549706</v>
      </c>
      <c r="BA158" s="354">
        <f t="shared" si="231"/>
        <v>224562048</v>
      </c>
      <c r="BB158" s="26">
        <f t="shared" si="224"/>
        <v>0.34994549470440384</v>
      </c>
    </row>
    <row r="159" spans="1:57" ht="14.25" thickBot="1">
      <c r="A159" s="138">
        <v>44896</v>
      </c>
      <c r="B159" s="18">
        <v>2347973</v>
      </c>
      <c r="C159" s="18">
        <v>11746584</v>
      </c>
      <c r="D159" s="18">
        <f t="shared" si="204"/>
        <v>14094557</v>
      </c>
      <c r="E159" s="18">
        <f t="shared" si="205"/>
        <v>9172390</v>
      </c>
      <c r="F159" s="18">
        <v>0</v>
      </c>
      <c r="G159" s="18">
        <f t="shared" si="206"/>
        <v>9172390</v>
      </c>
      <c r="H159" s="18">
        <v>114305</v>
      </c>
      <c r="I159" s="18">
        <v>0</v>
      </c>
      <c r="J159" s="18">
        <f t="shared" si="207"/>
        <v>114305</v>
      </c>
      <c r="K159" s="18">
        <v>0</v>
      </c>
      <c r="L159" s="18">
        <v>0</v>
      </c>
      <c r="M159" s="18">
        <f t="shared" si="208"/>
        <v>0</v>
      </c>
      <c r="N159" s="18">
        <f t="shared" si="209"/>
        <v>7384698</v>
      </c>
      <c r="O159" s="18">
        <v>0</v>
      </c>
      <c r="P159" s="18">
        <f t="shared" si="210"/>
        <v>7384698</v>
      </c>
      <c r="Q159" s="18">
        <v>134652</v>
      </c>
      <c r="R159" s="18">
        <v>0</v>
      </c>
      <c r="S159" s="18">
        <f t="shared" si="192"/>
        <v>134652</v>
      </c>
      <c r="T159" s="18">
        <v>935542</v>
      </c>
      <c r="U159" s="18">
        <v>0</v>
      </c>
      <c r="V159" s="18">
        <f t="shared" si="163"/>
        <v>935542</v>
      </c>
      <c r="W159" s="18">
        <f t="shared" si="203"/>
        <v>20089560</v>
      </c>
      <c r="X159" s="18">
        <f t="shared" si="180"/>
        <v>11746584</v>
      </c>
      <c r="Y159" s="235">
        <f t="shared" si="181"/>
        <v>31836144</v>
      </c>
      <c r="Z159" s="18">
        <v>0</v>
      </c>
      <c r="AA159" s="18">
        <v>9172390</v>
      </c>
      <c r="AB159" s="18">
        <f t="shared" si="223"/>
        <v>9172390</v>
      </c>
      <c r="AC159" s="352">
        <v>286549</v>
      </c>
      <c r="AD159" s="18">
        <v>7098149</v>
      </c>
      <c r="AE159" s="18">
        <f t="shared" si="211"/>
        <v>7384698</v>
      </c>
      <c r="AF159" s="352">
        <f t="shared" si="225"/>
        <v>28921497</v>
      </c>
      <c r="AG159" s="353">
        <f t="shared" si="225"/>
        <v>80546883</v>
      </c>
      <c r="AH159" s="353">
        <f t="shared" si="164"/>
        <v>109468380</v>
      </c>
      <c r="AI159" s="353">
        <f t="shared" si="232"/>
        <v>75967064</v>
      </c>
      <c r="AJ159" s="353">
        <f t="shared" si="232"/>
        <v>0</v>
      </c>
      <c r="AK159" s="353">
        <f t="shared" si="222"/>
        <v>75967064</v>
      </c>
      <c r="AL159" s="353">
        <f t="shared" si="226"/>
        <v>1901608</v>
      </c>
      <c r="AM159" s="353">
        <f t="shared" si="226"/>
        <v>0</v>
      </c>
      <c r="AN159" s="353">
        <f t="shared" si="166"/>
        <v>1901608</v>
      </c>
      <c r="AO159" s="353">
        <f t="shared" si="227"/>
        <v>0</v>
      </c>
      <c r="AP159" s="353">
        <f t="shared" si="227"/>
        <v>0</v>
      </c>
      <c r="AQ159" s="353">
        <f t="shared" si="167"/>
        <v>0</v>
      </c>
      <c r="AR159" s="353">
        <f t="shared" si="228"/>
        <v>63522153</v>
      </c>
      <c r="AS159" s="353">
        <f t="shared" si="228"/>
        <v>0</v>
      </c>
      <c r="AT159" s="353">
        <f t="shared" si="168"/>
        <v>63522153</v>
      </c>
      <c r="AU159" s="353">
        <f t="shared" si="229"/>
        <v>1053739</v>
      </c>
      <c r="AV159" s="353">
        <f t="shared" si="229"/>
        <v>0</v>
      </c>
      <c r="AW159" s="353">
        <f t="shared" si="169"/>
        <v>1053739</v>
      </c>
      <c r="AX159" s="353">
        <f t="shared" si="230"/>
        <v>4485248</v>
      </c>
      <c r="AY159" s="353">
        <f t="shared" si="230"/>
        <v>0</v>
      </c>
      <c r="AZ159" s="353">
        <f t="shared" si="221"/>
        <v>4485248</v>
      </c>
      <c r="BA159" s="354">
        <f t="shared" si="231"/>
        <v>256398192</v>
      </c>
      <c r="BB159" s="26">
        <f t="shared" si="224"/>
        <v>0.45938500057880627</v>
      </c>
    </row>
    <row r="160" spans="1:57">
      <c r="A160" s="141">
        <v>44927</v>
      </c>
      <c r="B160" s="143">
        <v>2395622</v>
      </c>
      <c r="C160" s="143">
        <v>0</v>
      </c>
      <c r="D160" s="143">
        <f t="shared" si="204"/>
        <v>2395622</v>
      </c>
      <c r="E160" s="143">
        <f t="shared" si="205"/>
        <v>3658476</v>
      </c>
      <c r="F160" s="143">
        <v>0</v>
      </c>
      <c r="G160" s="143">
        <f t="shared" si="206"/>
        <v>3658476</v>
      </c>
      <c r="H160" s="143">
        <v>143111</v>
      </c>
      <c r="I160" s="143">
        <v>0</v>
      </c>
      <c r="J160" s="143">
        <f t="shared" si="207"/>
        <v>143111</v>
      </c>
      <c r="K160" s="143">
        <v>0</v>
      </c>
      <c r="L160" s="143">
        <v>0</v>
      </c>
      <c r="M160" s="143">
        <f t="shared" si="208"/>
        <v>0</v>
      </c>
      <c r="N160" s="143">
        <f t="shared" si="209"/>
        <v>5194575</v>
      </c>
      <c r="O160" s="143">
        <v>0</v>
      </c>
      <c r="P160" s="143">
        <f t="shared" si="210"/>
        <v>5194575</v>
      </c>
      <c r="Q160" s="143">
        <v>45290</v>
      </c>
      <c r="R160" s="143">
        <v>0</v>
      </c>
      <c r="S160" s="143">
        <f t="shared" si="192"/>
        <v>45290</v>
      </c>
      <c r="T160" s="143">
        <v>0</v>
      </c>
      <c r="U160" s="143">
        <v>0</v>
      </c>
      <c r="V160" s="143">
        <f t="shared" si="163"/>
        <v>0</v>
      </c>
      <c r="W160" s="143">
        <f t="shared" si="203"/>
        <v>11437074</v>
      </c>
      <c r="X160" s="143">
        <f t="shared" si="180"/>
        <v>0</v>
      </c>
      <c r="Y160" s="237">
        <f t="shared" si="181"/>
        <v>11437074</v>
      </c>
      <c r="Z160" s="143">
        <v>0</v>
      </c>
      <c r="AA160" s="143">
        <v>3658476</v>
      </c>
      <c r="AB160" s="143">
        <f t="shared" si="223"/>
        <v>3658476</v>
      </c>
      <c r="AC160" s="349">
        <v>0</v>
      </c>
      <c r="AD160" s="143">
        <v>5194575</v>
      </c>
      <c r="AE160" s="143">
        <f t="shared" si="211"/>
        <v>5194575</v>
      </c>
      <c r="AF160" s="349">
        <f>B160</f>
        <v>2395622</v>
      </c>
      <c r="AG160" s="350">
        <f>C160</f>
        <v>0</v>
      </c>
      <c r="AH160" s="350">
        <f t="shared" si="164"/>
        <v>2395622</v>
      </c>
      <c r="AI160" s="350">
        <f>E160</f>
        <v>3658476</v>
      </c>
      <c r="AJ160" s="350">
        <f>F160</f>
        <v>0</v>
      </c>
      <c r="AK160" s="350">
        <f t="shared" si="222"/>
        <v>3658476</v>
      </c>
      <c r="AL160" s="350">
        <f>H160</f>
        <v>143111</v>
      </c>
      <c r="AM160" s="350">
        <f>I160</f>
        <v>0</v>
      </c>
      <c r="AN160" s="350">
        <f t="shared" si="166"/>
        <v>143111</v>
      </c>
      <c r="AO160" s="350">
        <f>K160</f>
        <v>0</v>
      </c>
      <c r="AP160" s="350">
        <f>L160</f>
        <v>0</v>
      </c>
      <c r="AQ160" s="350">
        <f t="shared" si="167"/>
        <v>0</v>
      </c>
      <c r="AR160" s="350">
        <f>N160</f>
        <v>5194575</v>
      </c>
      <c r="AS160" s="350">
        <f>O160</f>
        <v>0</v>
      </c>
      <c r="AT160" s="350">
        <f t="shared" si="168"/>
        <v>5194575</v>
      </c>
      <c r="AU160" s="350">
        <f>Q160</f>
        <v>45290</v>
      </c>
      <c r="AV160" s="350">
        <f>R160</f>
        <v>0</v>
      </c>
      <c r="AW160" s="350">
        <f t="shared" si="169"/>
        <v>45290</v>
      </c>
      <c r="AX160" s="350">
        <f>T160</f>
        <v>0</v>
      </c>
      <c r="AY160" s="350">
        <f>U160</f>
        <v>0</v>
      </c>
      <c r="AZ160" s="350">
        <f t="shared" si="221"/>
        <v>0</v>
      </c>
      <c r="BA160" s="351">
        <f t="shared" si="231"/>
        <v>11437074</v>
      </c>
      <c r="BB160" s="26">
        <f t="shared" si="224"/>
        <v>2.5952473689337729E-2</v>
      </c>
      <c r="BD160" s="18">
        <f>BA160-BE160</f>
        <v>0</v>
      </c>
      <c r="BE160" s="18">
        <v>11437074</v>
      </c>
    </row>
    <row r="161" spans="1:57">
      <c r="A161" s="138">
        <v>44958</v>
      </c>
      <c r="B161" s="18">
        <v>2258268</v>
      </c>
      <c r="C161" s="18">
        <v>0</v>
      </c>
      <c r="D161" s="18">
        <f t="shared" si="204"/>
        <v>2258268</v>
      </c>
      <c r="E161" s="18">
        <f t="shared" si="205"/>
        <v>2098580</v>
      </c>
      <c r="F161" s="18">
        <v>0</v>
      </c>
      <c r="G161" s="18">
        <f t="shared" si="206"/>
        <v>2098580</v>
      </c>
      <c r="H161" s="18">
        <v>225187</v>
      </c>
      <c r="I161" s="18">
        <v>0</v>
      </c>
      <c r="J161" s="18">
        <f t="shared" si="207"/>
        <v>225187</v>
      </c>
      <c r="K161" s="18">
        <v>0</v>
      </c>
      <c r="L161" s="18">
        <v>0</v>
      </c>
      <c r="M161" s="18">
        <f t="shared" si="208"/>
        <v>0</v>
      </c>
      <c r="N161" s="18">
        <f t="shared" si="209"/>
        <v>5232456</v>
      </c>
      <c r="O161" s="18">
        <v>0</v>
      </c>
      <c r="P161" s="18">
        <f t="shared" si="210"/>
        <v>5232456</v>
      </c>
      <c r="Q161" s="18">
        <v>81116</v>
      </c>
      <c r="R161" s="18">
        <v>0</v>
      </c>
      <c r="S161" s="18">
        <f t="shared" si="192"/>
        <v>81116</v>
      </c>
      <c r="T161" s="18">
        <v>440964</v>
      </c>
      <c r="U161" s="18">
        <v>0</v>
      </c>
      <c r="V161" s="18">
        <f t="shared" si="163"/>
        <v>440964</v>
      </c>
      <c r="W161" s="18">
        <f t="shared" si="203"/>
        <v>10336571</v>
      </c>
      <c r="X161" s="18">
        <f t="shared" si="180"/>
        <v>0</v>
      </c>
      <c r="Y161" s="235">
        <f t="shared" si="181"/>
        <v>10336571</v>
      </c>
      <c r="Z161" s="18">
        <v>0</v>
      </c>
      <c r="AA161" s="18">
        <v>2098580</v>
      </c>
      <c r="AB161" s="18">
        <f t="shared" si="223"/>
        <v>2098580</v>
      </c>
      <c r="AC161" s="352">
        <v>0</v>
      </c>
      <c r="AD161" s="18">
        <v>5232456</v>
      </c>
      <c r="AE161" s="18">
        <f t="shared" si="211"/>
        <v>5232456</v>
      </c>
      <c r="AF161" s="352">
        <f t="shared" ref="AF161:AG171" si="233">B161+AF160</f>
        <v>4653890</v>
      </c>
      <c r="AG161" s="353">
        <f t="shared" si="233"/>
        <v>0</v>
      </c>
      <c r="AH161" s="353">
        <f t="shared" si="164"/>
        <v>4653890</v>
      </c>
      <c r="AI161" s="353">
        <f t="shared" ref="AI161:AJ171" si="234">AI160+E161</f>
        <v>5757056</v>
      </c>
      <c r="AJ161" s="353">
        <f t="shared" si="234"/>
        <v>0</v>
      </c>
      <c r="AK161" s="353">
        <f t="shared" si="222"/>
        <v>5757056</v>
      </c>
      <c r="AL161" s="353">
        <f t="shared" ref="AL161:AM171" si="235">AL160+H161</f>
        <v>368298</v>
      </c>
      <c r="AM161" s="353">
        <f t="shared" si="235"/>
        <v>0</v>
      </c>
      <c r="AN161" s="353">
        <f t="shared" si="166"/>
        <v>368298</v>
      </c>
      <c r="AO161" s="353">
        <f t="shared" ref="AO161:AP171" si="236">AO160+K161</f>
        <v>0</v>
      </c>
      <c r="AP161" s="353">
        <f t="shared" si="236"/>
        <v>0</v>
      </c>
      <c r="AQ161" s="353">
        <f t="shared" si="167"/>
        <v>0</v>
      </c>
      <c r="AR161" s="353">
        <f t="shared" ref="AR161:AS171" si="237">AR160+N161</f>
        <v>10427031</v>
      </c>
      <c r="AS161" s="353">
        <f t="shared" si="237"/>
        <v>0</v>
      </c>
      <c r="AT161" s="353">
        <f t="shared" si="168"/>
        <v>10427031</v>
      </c>
      <c r="AU161" s="353">
        <f t="shared" ref="AU161:AV171" si="238">AU160+Q161</f>
        <v>126406</v>
      </c>
      <c r="AV161" s="353">
        <f t="shared" si="238"/>
        <v>0</v>
      </c>
      <c r="AW161" s="353">
        <f t="shared" si="169"/>
        <v>126406</v>
      </c>
      <c r="AX161" s="353">
        <f t="shared" ref="AX161:AY171" si="239">AX160+T161</f>
        <v>440964</v>
      </c>
      <c r="AY161" s="353">
        <f t="shared" si="239"/>
        <v>0</v>
      </c>
      <c r="AZ161" s="353">
        <f t="shared" si="221"/>
        <v>440964</v>
      </c>
      <c r="BA161" s="354">
        <f t="shared" si="231"/>
        <v>21773645</v>
      </c>
      <c r="BB161" s="26">
        <f t="shared" si="224"/>
        <v>-0.35125054946017553</v>
      </c>
      <c r="BD161" s="18">
        <f t="shared" ref="BD161:BD174" si="240">BA161-BE161</f>
        <v>0</v>
      </c>
      <c r="BE161" s="18">
        <v>21773645</v>
      </c>
    </row>
    <row r="162" spans="1:57">
      <c r="A162" s="138">
        <v>44986</v>
      </c>
      <c r="B162" s="18">
        <v>3125864</v>
      </c>
      <c r="C162" s="18">
        <v>0</v>
      </c>
      <c r="D162" s="18">
        <f t="shared" si="204"/>
        <v>3125864</v>
      </c>
      <c r="E162" s="18">
        <f t="shared" si="205"/>
        <v>9786748</v>
      </c>
      <c r="F162" s="18">
        <v>0</v>
      </c>
      <c r="G162" s="18">
        <f t="shared" si="206"/>
        <v>9786748</v>
      </c>
      <c r="H162" s="18">
        <v>310805</v>
      </c>
      <c r="I162" s="18">
        <v>0</v>
      </c>
      <c r="J162" s="18">
        <f t="shared" si="207"/>
        <v>310805</v>
      </c>
      <c r="K162" s="18">
        <v>0</v>
      </c>
      <c r="L162" s="18">
        <v>0</v>
      </c>
      <c r="M162" s="18">
        <f t="shared" si="208"/>
        <v>0</v>
      </c>
      <c r="N162" s="18">
        <f t="shared" si="209"/>
        <v>4392760</v>
      </c>
      <c r="O162" s="18">
        <v>0</v>
      </c>
      <c r="P162" s="18">
        <f t="shared" si="210"/>
        <v>4392760</v>
      </c>
      <c r="Q162" s="18">
        <v>20698</v>
      </c>
      <c r="R162" s="18">
        <v>0</v>
      </c>
      <c r="S162" s="18">
        <f t="shared" si="192"/>
        <v>20698</v>
      </c>
      <c r="T162" s="18">
        <v>541639</v>
      </c>
      <c r="U162" s="18">
        <v>0</v>
      </c>
      <c r="V162" s="18">
        <f t="shared" si="163"/>
        <v>541639</v>
      </c>
      <c r="W162" s="18">
        <f t="shared" si="203"/>
        <v>18178514</v>
      </c>
      <c r="X162" s="18">
        <f t="shared" si="180"/>
        <v>0</v>
      </c>
      <c r="Y162" s="235">
        <f t="shared" si="181"/>
        <v>18178514</v>
      </c>
      <c r="Z162" s="18">
        <v>0</v>
      </c>
      <c r="AA162" s="18">
        <v>9786748</v>
      </c>
      <c r="AB162" s="18">
        <f t="shared" si="223"/>
        <v>9786748</v>
      </c>
      <c r="AC162" s="352">
        <v>86961</v>
      </c>
      <c r="AD162" s="18">
        <v>4305799</v>
      </c>
      <c r="AE162" s="18">
        <f t="shared" si="211"/>
        <v>4392760</v>
      </c>
      <c r="AF162" s="352">
        <f t="shared" si="233"/>
        <v>7779754</v>
      </c>
      <c r="AG162" s="353">
        <f t="shared" si="233"/>
        <v>0</v>
      </c>
      <c r="AH162" s="353">
        <f t="shared" si="164"/>
        <v>7779754</v>
      </c>
      <c r="AI162" s="353">
        <f t="shared" si="234"/>
        <v>15543804</v>
      </c>
      <c r="AJ162" s="353">
        <f t="shared" si="234"/>
        <v>0</v>
      </c>
      <c r="AK162" s="353">
        <f t="shared" si="222"/>
        <v>15543804</v>
      </c>
      <c r="AL162" s="353">
        <f t="shared" si="235"/>
        <v>679103</v>
      </c>
      <c r="AM162" s="353">
        <f t="shared" si="235"/>
        <v>0</v>
      </c>
      <c r="AN162" s="353">
        <f t="shared" si="166"/>
        <v>679103</v>
      </c>
      <c r="AO162" s="353">
        <f t="shared" si="236"/>
        <v>0</v>
      </c>
      <c r="AP162" s="353">
        <f t="shared" si="236"/>
        <v>0</v>
      </c>
      <c r="AQ162" s="353">
        <f t="shared" si="167"/>
        <v>0</v>
      </c>
      <c r="AR162" s="353">
        <f t="shared" si="237"/>
        <v>14819791</v>
      </c>
      <c r="AS162" s="353">
        <f t="shared" si="237"/>
        <v>0</v>
      </c>
      <c r="AT162" s="353">
        <f t="shared" si="168"/>
        <v>14819791</v>
      </c>
      <c r="AU162" s="353">
        <f t="shared" si="238"/>
        <v>147104</v>
      </c>
      <c r="AV162" s="353">
        <f t="shared" si="238"/>
        <v>0</v>
      </c>
      <c r="AW162" s="353">
        <f t="shared" si="169"/>
        <v>147104</v>
      </c>
      <c r="AX162" s="353">
        <f t="shared" si="239"/>
        <v>982603</v>
      </c>
      <c r="AY162" s="353">
        <f t="shared" si="239"/>
        <v>0</v>
      </c>
      <c r="AZ162" s="353">
        <f t="shared" si="221"/>
        <v>982603</v>
      </c>
      <c r="BA162" s="354">
        <f t="shared" si="231"/>
        <v>39952159</v>
      </c>
      <c r="BB162" s="26">
        <f t="shared" si="224"/>
        <v>-0.13595444850952842</v>
      </c>
      <c r="BD162" s="18">
        <f t="shared" si="240"/>
        <v>0</v>
      </c>
      <c r="BE162" s="18">
        <v>39952159</v>
      </c>
    </row>
    <row r="163" spans="1:57">
      <c r="A163" s="138">
        <v>45017</v>
      </c>
      <c r="B163" s="18">
        <v>2058614</v>
      </c>
      <c r="C163" s="18">
        <v>0</v>
      </c>
      <c r="D163" s="18">
        <f t="shared" si="204"/>
        <v>2058614</v>
      </c>
      <c r="E163" s="18">
        <f t="shared" si="205"/>
        <v>4886807</v>
      </c>
      <c r="F163" s="18">
        <v>0</v>
      </c>
      <c r="G163" s="18">
        <f t="shared" si="206"/>
        <v>4886807</v>
      </c>
      <c r="H163" s="18">
        <v>325750</v>
      </c>
      <c r="I163" s="18">
        <v>0</v>
      </c>
      <c r="J163" s="18">
        <f t="shared" si="207"/>
        <v>325750</v>
      </c>
      <c r="K163" s="18">
        <v>0</v>
      </c>
      <c r="L163" s="18">
        <v>0</v>
      </c>
      <c r="M163" s="18">
        <f t="shared" si="208"/>
        <v>0</v>
      </c>
      <c r="N163" s="18">
        <f t="shared" si="209"/>
        <v>4149612</v>
      </c>
      <c r="O163" s="18">
        <v>0</v>
      </c>
      <c r="P163" s="18">
        <f t="shared" si="210"/>
        <v>4149612</v>
      </c>
      <c r="Q163" s="18">
        <v>586374</v>
      </c>
      <c r="R163" s="18">
        <v>0</v>
      </c>
      <c r="S163" s="18">
        <f t="shared" si="192"/>
        <v>586374</v>
      </c>
      <c r="T163" s="18">
        <v>314976</v>
      </c>
      <c r="U163" s="18">
        <v>0</v>
      </c>
      <c r="V163" s="18">
        <f t="shared" si="163"/>
        <v>314976</v>
      </c>
      <c r="W163" s="18">
        <f t="shared" si="203"/>
        <v>12322133</v>
      </c>
      <c r="X163" s="18">
        <f t="shared" si="180"/>
        <v>0</v>
      </c>
      <c r="Y163" s="235">
        <f t="shared" si="181"/>
        <v>12322133</v>
      </c>
      <c r="Z163" s="18">
        <v>0</v>
      </c>
      <c r="AA163" s="18">
        <v>4886807</v>
      </c>
      <c r="AB163" s="18">
        <f t="shared" si="223"/>
        <v>4886807</v>
      </c>
      <c r="AC163" s="352">
        <v>151279</v>
      </c>
      <c r="AD163" s="18">
        <v>3998333</v>
      </c>
      <c r="AE163" s="18">
        <f t="shared" si="211"/>
        <v>4149612</v>
      </c>
      <c r="AF163" s="352">
        <f t="shared" si="233"/>
        <v>9838368</v>
      </c>
      <c r="AG163" s="353">
        <f t="shared" si="233"/>
        <v>0</v>
      </c>
      <c r="AH163" s="353">
        <f t="shared" si="164"/>
        <v>9838368</v>
      </c>
      <c r="AI163" s="353">
        <f t="shared" si="234"/>
        <v>20430611</v>
      </c>
      <c r="AJ163" s="353">
        <f t="shared" si="234"/>
        <v>0</v>
      </c>
      <c r="AK163" s="353">
        <f t="shared" si="222"/>
        <v>20430611</v>
      </c>
      <c r="AL163" s="353">
        <f t="shared" si="235"/>
        <v>1004853</v>
      </c>
      <c r="AM163" s="353">
        <f t="shared" si="235"/>
        <v>0</v>
      </c>
      <c r="AN163" s="353">
        <f t="shared" si="166"/>
        <v>1004853</v>
      </c>
      <c r="AO163" s="353">
        <f t="shared" si="236"/>
        <v>0</v>
      </c>
      <c r="AP163" s="353">
        <f t="shared" si="236"/>
        <v>0</v>
      </c>
      <c r="AQ163" s="353">
        <f t="shared" si="167"/>
        <v>0</v>
      </c>
      <c r="AR163" s="353">
        <f t="shared" si="237"/>
        <v>18969403</v>
      </c>
      <c r="AS163" s="353">
        <f t="shared" si="237"/>
        <v>0</v>
      </c>
      <c r="AT163" s="353">
        <f t="shared" si="168"/>
        <v>18969403</v>
      </c>
      <c r="AU163" s="353">
        <f t="shared" si="238"/>
        <v>733478</v>
      </c>
      <c r="AV163" s="353">
        <f t="shared" si="238"/>
        <v>0</v>
      </c>
      <c r="AW163" s="353">
        <f t="shared" si="169"/>
        <v>733478</v>
      </c>
      <c r="AX163" s="353">
        <f t="shared" si="239"/>
        <v>1297579</v>
      </c>
      <c r="AY163" s="353">
        <f t="shared" si="239"/>
        <v>0</v>
      </c>
      <c r="AZ163" s="353">
        <f t="shared" si="221"/>
        <v>1297579</v>
      </c>
      <c r="BA163" s="354">
        <f t="shared" si="231"/>
        <v>52274292</v>
      </c>
      <c r="BB163" s="26">
        <f t="shared" si="224"/>
        <v>-0.11453476442037147</v>
      </c>
      <c r="BD163" s="18">
        <f t="shared" si="240"/>
        <v>0</v>
      </c>
      <c r="BE163" s="18">
        <v>52274292</v>
      </c>
    </row>
    <row r="164" spans="1:57">
      <c r="A164" s="138">
        <v>45047</v>
      </c>
      <c r="B164" s="18">
        <v>2737856</v>
      </c>
      <c r="C164" s="18">
        <v>0</v>
      </c>
      <c r="D164" s="18">
        <f t="shared" si="204"/>
        <v>2737856</v>
      </c>
      <c r="E164" s="18">
        <f t="shared" si="205"/>
        <v>7140938</v>
      </c>
      <c r="F164" s="18">
        <v>0</v>
      </c>
      <c r="G164" s="18">
        <f t="shared" si="206"/>
        <v>7140938</v>
      </c>
      <c r="H164" s="18">
        <v>213817</v>
      </c>
      <c r="I164" s="18">
        <v>0</v>
      </c>
      <c r="J164" s="18">
        <f t="shared" si="207"/>
        <v>213817</v>
      </c>
      <c r="K164" s="18">
        <v>0</v>
      </c>
      <c r="L164" s="18">
        <v>0</v>
      </c>
      <c r="M164" s="18">
        <f t="shared" si="208"/>
        <v>0</v>
      </c>
      <c r="N164" s="18">
        <f t="shared" si="209"/>
        <v>5125704</v>
      </c>
      <c r="O164" s="18">
        <v>0</v>
      </c>
      <c r="P164" s="18">
        <f t="shared" si="210"/>
        <v>5125704</v>
      </c>
      <c r="Q164" s="18">
        <v>84107</v>
      </c>
      <c r="R164" s="18">
        <v>0</v>
      </c>
      <c r="S164" s="18">
        <f t="shared" si="192"/>
        <v>84107</v>
      </c>
      <c r="T164" s="18">
        <v>658616</v>
      </c>
      <c r="U164" s="18">
        <v>0</v>
      </c>
      <c r="V164" s="18">
        <f t="shared" si="163"/>
        <v>658616</v>
      </c>
      <c r="W164" s="18">
        <f t="shared" si="203"/>
        <v>15961038</v>
      </c>
      <c r="X164" s="18">
        <f t="shared" si="180"/>
        <v>0</v>
      </c>
      <c r="Y164" s="235">
        <f t="shared" si="181"/>
        <v>15961038</v>
      </c>
      <c r="Z164" s="18">
        <v>0</v>
      </c>
      <c r="AA164" s="18">
        <v>7140938</v>
      </c>
      <c r="AB164" s="18">
        <f t="shared" si="223"/>
        <v>7140938</v>
      </c>
      <c r="AC164" s="352">
        <v>83490</v>
      </c>
      <c r="AD164" s="18">
        <v>5042214</v>
      </c>
      <c r="AE164" s="18">
        <f t="shared" si="211"/>
        <v>5125704</v>
      </c>
      <c r="AF164" s="352">
        <f t="shared" si="233"/>
        <v>12576224</v>
      </c>
      <c r="AG164" s="353">
        <f t="shared" si="233"/>
        <v>0</v>
      </c>
      <c r="AH164" s="353">
        <f t="shared" si="164"/>
        <v>12576224</v>
      </c>
      <c r="AI164" s="353">
        <f t="shared" si="234"/>
        <v>27571549</v>
      </c>
      <c r="AJ164" s="353">
        <f t="shared" si="234"/>
        <v>0</v>
      </c>
      <c r="AK164" s="353">
        <f t="shared" si="222"/>
        <v>27571549</v>
      </c>
      <c r="AL164" s="353">
        <f t="shared" si="235"/>
        <v>1218670</v>
      </c>
      <c r="AM164" s="353">
        <f t="shared" si="235"/>
        <v>0</v>
      </c>
      <c r="AN164" s="353">
        <f t="shared" si="166"/>
        <v>1218670</v>
      </c>
      <c r="AO164" s="353">
        <f t="shared" si="236"/>
        <v>0</v>
      </c>
      <c r="AP164" s="353">
        <f t="shared" si="236"/>
        <v>0</v>
      </c>
      <c r="AQ164" s="353">
        <f t="shared" si="167"/>
        <v>0</v>
      </c>
      <c r="AR164" s="353">
        <f t="shared" si="237"/>
        <v>24095107</v>
      </c>
      <c r="AS164" s="353">
        <f t="shared" si="237"/>
        <v>0</v>
      </c>
      <c r="AT164" s="353">
        <f t="shared" si="168"/>
        <v>24095107</v>
      </c>
      <c r="AU164" s="353">
        <f t="shared" si="238"/>
        <v>817585</v>
      </c>
      <c r="AV164" s="353">
        <f t="shared" si="238"/>
        <v>0</v>
      </c>
      <c r="AW164" s="353">
        <f t="shared" si="169"/>
        <v>817585</v>
      </c>
      <c r="AX164" s="353">
        <f t="shared" si="239"/>
        <v>1956195</v>
      </c>
      <c r="AY164" s="353">
        <f t="shared" si="239"/>
        <v>0</v>
      </c>
      <c r="AZ164" s="353">
        <f t="shared" si="221"/>
        <v>1956195</v>
      </c>
      <c r="BA164" s="354">
        <f t="shared" si="231"/>
        <v>68235330</v>
      </c>
      <c r="BB164" s="26">
        <f t="shared" si="224"/>
        <v>-0.19926420675155188</v>
      </c>
      <c r="BD164" s="18">
        <f t="shared" si="240"/>
        <v>0</v>
      </c>
      <c r="BE164" s="18">
        <v>68235330</v>
      </c>
    </row>
    <row r="165" spans="1:57">
      <c r="A165" s="138">
        <v>45078</v>
      </c>
      <c r="B165" s="18">
        <v>2590243</v>
      </c>
      <c r="C165" s="18">
        <v>0</v>
      </c>
      <c r="D165" s="18">
        <f t="shared" si="204"/>
        <v>2590243</v>
      </c>
      <c r="E165" s="18">
        <f t="shared" si="205"/>
        <v>9795364</v>
      </c>
      <c r="F165" s="18">
        <v>0</v>
      </c>
      <c r="G165" s="18">
        <f t="shared" si="206"/>
        <v>9795364</v>
      </c>
      <c r="H165" s="18">
        <v>228834</v>
      </c>
      <c r="I165" s="18">
        <v>0</v>
      </c>
      <c r="J165" s="18">
        <f t="shared" si="207"/>
        <v>228834</v>
      </c>
      <c r="K165" s="18">
        <v>0</v>
      </c>
      <c r="L165" s="18">
        <v>0</v>
      </c>
      <c r="M165" s="18">
        <f t="shared" si="208"/>
        <v>0</v>
      </c>
      <c r="N165" s="18">
        <f>AE165</f>
        <v>3849430</v>
      </c>
      <c r="O165" s="18">
        <v>0</v>
      </c>
      <c r="P165" s="18">
        <f>O165+N165</f>
        <v>3849430</v>
      </c>
      <c r="Q165" s="18">
        <v>122158</v>
      </c>
      <c r="R165" s="18">
        <v>0</v>
      </c>
      <c r="S165" s="18">
        <f>R165+Q165</f>
        <v>122158</v>
      </c>
      <c r="T165" s="18">
        <v>313319</v>
      </c>
      <c r="U165" s="18">
        <v>0</v>
      </c>
      <c r="V165" s="18">
        <f t="shared" ref="V165:V186" si="241">U165+T165</f>
        <v>313319</v>
      </c>
      <c r="W165" s="18">
        <f t="shared" si="203"/>
        <v>16899348</v>
      </c>
      <c r="X165" s="18">
        <f t="shared" si="180"/>
        <v>0</v>
      </c>
      <c r="Y165" s="235">
        <f t="shared" si="181"/>
        <v>16899348</v>
      </c>
      <c r="Z165" s="18">
        <v>0</v>
      </c>
      <c r="AA165" s="18">
        <v>9795364</v>
      </c>
      <c r="AB165" s="18">
        <f t="shared" si="223"/>
        <v>9795364</v>
      </c>
      <c r="AC165" s="352">
        <v>0</v>
      </c>
      <c r="AD165" s="18">
        <v>3849430</v>
      </c>
      <c r="AE165" s="18">
        <f t="shared" si="211"/>
        <v>3849430</v>
      </c>
      <c r="AF165" s="352">
        <f t="shared" si="233"/>
        <v>15166467</v>
      </c>
      <c r="AG165" s="353">
        <f t="shared" si="233"/>
        <v>0</v>
      </c>
      <c r="AH165" s="353">
        <f t="shared" ref="AH165:AH186" si="242">AG165+AF165</f>
        <v>15166467</v>
      </c>
      <c r="AI165" s="353">
        <f t="shared" si="234"/>
        <v>37366913</v>
      </c>
      <c r="AJ165" s="353">
        <f t="shared" si="234"/>
        <v>0</v>
      </c>
      <c r="AK165" s="353">
        <f t="shared" si="222"/>
        <v>37366913</v>
      </c>
      <c r="AL165" s="353">
        <f t="shared" si="235"/>
        <v>1447504</v>
      </c>
      <c r="AM165" s="353">
        <f t="shared" si="235"/>
        <v>0</v>
      </c>
      <c r="AN165" s="353">
        <f t="shared" ref="AN165:AN186" si="243">AM165+AL165</f>
        <v>1447504</v>
      </c>
      <c r="AO165" s="353">
        <f t="shared" si="236"/>
        <v>0</v>
      </c>
      <c r="AP165" s="353">
        <f t="shared" si="236"/>
        <v>0</v>
      </c>
      <c r="AQ165" s="353">
        <f t="shared" ref="AQ165:AQ186" si="244">AP165+AO165</f>
        <v>0</v>
      </c>
      <c r="AR165" s="353">
        <f t="shared" si="237"/>
        <v>27944537</v>
      </c>
      <c r="AS165" s="353">
        <f t="shared" si="237"/>
        <v>0</v>
      </c>
      <c r="AT165" s="353">
        <f t="shared" ref="AT165:AT186" si="245">AS165+AR165</f>
        <v>27944537</v>
      </c>
      <c r="AU165" s="353">
        <f t="shared" si="238"/>
        <v>939743</v>
      </c>
      <c r="AV165" s="353">
        <f t="shared" si="238"/>
        <v>0</v>
      </c>
      <c r="AW165" s="353">
        <f t="shared" ref="AW165:AW186" si="246">AV165+AU165</f>
        <v>939743</v>
      </c>
      <c r="AX165" s="353">
        <f t="shared" si="239"/>
        <v>2269514</v>
      </c>
      <c r="AY165" s="353">
        <f t="shared" si="239"/>
        <v>0</v>
      </c>
      <c r="AZ165" s="353">
        <f t="shared" si="221"/>
        <v>2269514</v>
      </c>
      <c r="BA165" s="354">
        <f t="shared" si="231"/>
        <v>85134678</v>
      </c>
      <c r="BB165" s="26">
        <f t="shared" si="224"/>
        <v>-0.12536059299532976</v>
      </c>
      <c r="BD165" s="18">
        <f t="shared" si="240"/>
        <v>29</v>
      </c>
      <c r="BE165" s="18">
        <v>85134649</v>
      </c>
    </row>
    <row r="166" spans="1:57">
      <c r="A166" s="138">
        <v>45108</v>
      </c>
      <c r="B166" s="18">
        <v>2084196</v>
      </c>
      <c r="C166" s="18">
        <v>0</v>
      </c>
      <c r="D166" s="18">
        <f t="shared" si="204"/>
        <v>2084196</v>
      </c>
      <c r="E166" s="18">
        <f t="shared" si="205"/>
        <v>4437004</v>
      </c>
      <c r="F166" s="18">
        <v>0</v>
      </c>
      <c r="G166" s="18">
        <f t="shared" si="206"/>
        <v>4437004</v>
      </c>
      <c r="H166" s="18">
        <v>247129</v>
      </c>
      <c r="I166" s="18">
        <v>0</v>
      </c>
      <c r="J166" s="18">
        <f>I166+H166</f>
        <v>247129</v>
      </c>
      <c r="K166" s="18">
        <v>0</v>
      </c>
      <c r="L166" s="18">
        <v>0</v>
      </c>
      <c r="M166" s="18">
        <f t="shared" si="208"/>
        <v>0</v>
      </c>
      <c r="N166" s="18">
        <f>AE166</f>
        <v>2365674</v>
      </c>
      <c r="O166" s="18">
        <v>0</v>
      </c>
      <c r="P166" s="18">
        <f>O166+N166</f>
        <v>2365674</v>
      </c>
      <c r="Q166" s="18">
        <v>118176</v>
      </c>
      <c r="R166" s="18">
        <v>0</v>
      </c>
      <c r="S166" s="18">
        <f>R166+Q166</f>
        <v>118176</v>
      </c>
      <c r="T166" s="18">
        <v>135872</v>
      </c>
      <c r="U166" s="18">
        <v>0</v>
      </c>
      <c r="V166" s="18">
        <f t="shared" si="241"/>
        <v>135872</v>
      </c>
      <c r="W166" s="18">
        <f t="shared" si="203"/>
        <v>9388051</v>
      </c>
      <c r="X166" s="18">
        <f t="shared" si="180"/>
        <v>0</v>
      </c>
      <c r="Y166" s="235">
        <f t="shared" si="181"/>
        <v>9388051</v>
      </c>
      <c r="Z166" s="18">
        <v>0</v>
      </c>
      <c r="AA166" s="18">
        <v>4437004</v>
      </c>
      <c r="AB166" s="18">
        <f t="shared" si="223"/>
        <v>4437004</v>
      </c>
      <c r="AC166" s="352">
        <v>161951</v>
      </c>
      <c r="AD166" s="18">
        <v>2203723</v>
      </c>
      <c r="AE166" s="18">
        <f t="shared" si="211"/>
        <v>2365674</v>
      </c>
      <c r="AF166" s="352">
        <f t="shared" si="233"/>
        <v>17250663</v>
      </c>
      <c r="AG166" s="353">
        <f t="shared" si="233"/>
        <v>0</v>
      </c>
      <c r="AH166" s="353">
        <f t="shared" si="242"/>
        <v>17250663</v>
      </c>
      <c r="AI166" s="353">
        <f t="shared" si="234"/>
        <v>41803917</v>
      </c>
      <c r="AJ166" s="353">
        <f t="shared" si="234"/>
        <v>0</v>
      </c>
      <c r="AK166" s="353">
        <f t="shared" si="222"/>
        <v>41803917</v>
      </c>
      <c r="AL166" s="353">
        <f t="shared" si="235"/>
        <v>1694633</v>
      </c>
      <c r="AM166" s="353">
        <f t="shared" si="235"/>
        <v>0</v>
      </c>
      <c r="AN166" s="353">
        <f t="shared" si="243"/>
        <v>1694633</v>
      </c>
      <c r="AO166" s="353">
        <f t="shared" si="236"/>
        <v>0</v>
      </c>
      <c r="AP166" s="353">
        <f t="shared" si="236"/>
        <v>0</v>
      </c>
      <c r="AQ166" s="353">
        <f t="shared" si="244"/>
        <v>0</v>
      </c>
      <c r="AR166" s="353">
        <f t="shared" si="237"/>
        <v>30310211</v>
      </c>
      <c r="AS166" s="353">
        <f t="shared" si="237"/>
        <v>0</v>
      </c>
      <c r="AT166" s="353">
        <f t="shared" si="245"/>
        <v>30310211</v>
      </c>
      <c r="AU166" s="353">
        <f t="shared" si="238"/>
        <v>1057919</v>
      </c>
      <c r="AV166" s="353">
        <f t="shared" si="238"/>
        <v>0</v>
      </c>
      <c r="AW166" s="353">
        <f t="shared" si="246"/>
        <v>1057919</v>
      </c>
      <c r="AX166" s="353">
        <f t="shared" si="239"/>
        <v>2405386</v>
      </c>
      <c r="AY166" s="353">
        <f t="shared" si="239"/>
        <v>0</v>
      </c>
      <c r="AZ166" s="353">
        <f t="shared" si="221"/>
        <v>2405386</v>
      </c>
      <c r="BA166" s="354">
        <f t="shared" si="231"/>
        <v>94522729</v>
      </c>
      <c r="BB166" s="26">
        <f t="shared" si="224"/>
        <v>-0.15804493166768097</v>
      </c>
      <c r="BD166" s="18">
        <f t="shared" si="240"/>
        <v>29</v>
      </c>
      <c r="BE166" s="18">
        <v>94522700</v>
      </c>
    </row>
    <row r="167" spans="1:57">
      <c r="A167" s="138">
        <v>45139</v>
      </c>
      <c r="B167" s="18">
        <v>2352734</v>
      </c>
      <c r="C167" s="18">
        <v>0</v>
      </c>
      <c r="D167" s="18">
        <f t="shared" si="204"/>
        <v>2352734</v>
      </c>
      <c r="E167" s="18">
        <f t="shared" si="205"/>
        <v>8073780</v>
      </c>
      <c r="F167" s="18">
        <v>0</v>
      </c>
      <c r="G167" s="18">
        <f t="shared" si="206"/>
        <v>8073780</v>
      </c>
      <c r="H167" s="18">
        <v>89357</v>
      </c>
      <c r="I167" s="18">
        <v>0</v>
      </c>
      <c r="J167" s="18">
        <f>I167+H167</f>
        <v>89357</v>
      </c>
      <c r="K167" s="18">
        <v>0</v>
      </c>
      <c r="L167" s="18">
        <v>0</v>
      </c>
      <c r="M167" s="18">
        <f t="shared" si="208"/>
        <v>0</v>
      </c>
      <c r="N167" s="18">
        <f>AE167</f>
        <v>3305222</v>
      </c>
      <c r="O167" s="18">
        <v>0</v>
      </c>
      <c r="P167" s="18">
        <f>O167+N167</f>
        <v>3305222</v>
      </c>
      <c r="Q167" s="18">
        <v>137708</v>
      </c>
      <c r="R167" s="18">
        <v>0</v>
      </c>
      <c r="S167" s="18">
        <f>R167+Q167</f>
        <v>137708</v>
      </c>
      <c r="T167" s="18">
        <v>337003</v>
      </c>
      <c r="U167" s="18">
        <v>0</v>
      </c>
      <c r="V167" s="18">
        <f t="shared" si="241"/>
        <v>337003</v>
      </c>
      <c r="W167" s="18">
        <f t="shared" si="203"/>
        <v>14295804</v>
      </c>
      <c r="X167" s="18">
        <f t="shared" si="180"/>
        <v>0</v>
      </c>
      <c r="Y167" s="235">
        <f t="shared" si="181"/>
        <v>14295804</v>
      </c>
      <c r="Z167" s="18">
        <v>0</v>
      </c>
      <c r="AA167" s="18">
        <v>8073780</v>
      </c>
      <c r="AB167" s="18">
        <f t="shared" si="223"/>
        <v>8073780</v>
      </c>
      <c r="AC167" s="352">
        <v>26590</v>
      </c>
      <c r="AD167" s="18">
        <v>3278632</v>
      </c>
      <c r="AE167" s="18">
        <f t="shared" si="211"/>
        <v>3305222</v>
      </c>
      <c r="AF167" s="352">
        <f t="shared" si="233"/>
        <v>19603397</v>
      </c>
      <c r="AG167" s="353">
        <f t="shared" si="233"/>
        <v>0</v>
      </c>
      <c r="AH167" s="353">
        <f t="shared" si="242"/>
        <v>19603397</v>
      </c>
      <c r="AI167" s="353">
        <f t="shared" si="234"/>
        <v>49877697</v>
      </c>
      <c r="AJ167" s="353">
        <f t="shared" si="234"/>
        <v>0</v>
      </c>
      <c r="AK167" s="353">
        <f t="shared" si="222"/>
        <v>49877697</v>
      </c>
      <c r="AL167" s="353">
        <f t="shared" si="235"/>
        <v>1783990</v>
      </c>
      <c r="AM167" s="353">
        <f t="shared" si="235"/>
        <v>0</v>
      </c>
      <c r="AN167" s="353">
        <f t="shared" si="243"/>
        <v>1783990</v>
      </c>
      <c r="AO167" s="353">
        <f t="shared" si="236"/>
        <v>0</v>
      </c>
      <c r="AP167" s="353">
        <f t="shared" si="236"/>
        <v>0</v>
      </c>
      <c r="AQ167" s="353">
        <f t="shared" si="244"/>
        <v>0</v>
      </c>
      <c r="AR167" s="353">
        <f t="shared" si="237"/>
        <v>33615433</v>
      </c>
      <c r="AS167" s="353">
        <f t="shared" si="237"/>
        <v>0</v>
      </c>
      <c r="AT167" s="353">
        <f t="shared" si="245"/>
        <v>33615433</v>
      </c>
      <c r="AU167" s="353">
        <f t="shared" si="238"/>
        <v>1195627</v>
      </c>
      <c r="AV167" s="353">
        <f t="shared" si="238"/>
        <v>0</v>
      </c>
      <c r="AW167" s="353">
        <f t="shared" si="246"/>
        <v>1195627</v>
      </c>
      <c r="AX167" s="353">
        <f t="shared" si="239"/>
        <v>2742389</v>
      </c>
      <c r="AY167" s="353">
        <f t="shared" si="239"/>
        <v>0</v>
      </c>
      <c r="AZ167" s="353">
        <f t="shared" si="221"/>
        <v>2742389</v>
      </c>
      <c r="BA167" s="354">
        <f t="shared" si="231"/>
        <v>108818533</v>
      </c>
      <c r="BB167" s="26">
        <f t="shared" si="224"/>
        <v>-0.21259920627598583</v>
      </c>
      <c r="BD167" s="18">
        <f t="shared" si="240"/>
        <v>29</v>
      </c>
      <c r="BE167" s="18">
        <v>108818504</v>
      </c>
    </row>
    <row r="168" spans="1:57">
      <c r="A168" s="138">
        <v>45170</v>
      </c>
      <c r="B168" s="18">
        <v>2567266</v>
      </c>
      <c r="C168" s="18">
        <v>19402670</v>
      </c>
      <c r="D168" s="18">
        <f t="shared" si="204"/>
        <v>21969936</v>
      </c>
      <c r="E168" s="18">
        <f t="shared" si="205"/>
        <v>7402500</v>
      </c>
      <c r="F168" s="18">
        <v>0</v>
      </c>
      <c r="G168" s="18">
        <f t="shared" si="206"/>
        <v>7402500</v>
      </c>
      <c r="H168" s="18">
        <v>533534</v>
      </c>
      <c r="I168" s="18">
        <v>0</v>
      </c>
      <c r="J168" s="18">
        <f t="shared" ref="J168:J186" si="247">I168+H168</f>
        <v>533534</v>
      </c>
      <c r="K168" s="18">
        <v>0</v>
      </c>
      <c r="L168" s="18">
        <v>0</v>
      </c>
      <c r="M168" s="18">
        <f t="shared" si="208"/>
        <v>0</v>
      </c>
      <c r="N168" s="18">
        <f>AE168</f>
        <v>3341531</v>
      </c>
      <c r="O168" s="18">
        <v>0</v>
      </c>
      <c r="P168" s="18">
        <f t="shared" ref="P168:P186" si="248">O168+N168</f>
        <v>3341531</v>
      </c>
      <c r="Q168" s="18">
        <v>101931</v>
      </c>
      <c r="R168" s="18">
        <v>0</v>
      </c>
      <c r="S168" s="18">
        <f t="shared" ref="S168:S186" si="249">R168+Q168</f>
        <v>101931</v>
      </c>
      <c r="T168" s="18">
        <v>432276</v>
      </c>
      <c r="U168" s="18">
        <v>0</v>
      </c>
      <c r="V168" s="18">
        <f t="shared" si="241"/>
        <v>432276</v>
      </c>
      <c r="W168" s="18">
        <f t="shared" si="203"/>
        <v>14379038</v>
      </c>
      <c r="X168" s="18">
        <f t="shared" si="180"/>
        <v>19402670</v>
      </c>
      <c r="Y168" s="235">
        <f t="shared" si="181"/>
        <v>33781708</v>
      </c>
      <c r="Z168" s="18">
        <v>0</v>
      </c>
      <c r="AA168" s="18">
        <v>7402500</v>
      </c>
      <c r="AB168" s="18">
        <f t="shared" si="223"/>
        <v>7402500</v>
      </c>
      <c r="AC168" s="352">
        <v>77023</v>
      </c>
      <c r="AD168" s="18">
        <v>3264508</v>
      </c>
      <c r="AE168" s="18">
        <f t="shared" si="211"/>
        <v>3341531</v>
      </c>
      <c r="AF168" s="352">
        <f t="shared" si="233"/>
        <v>22170663</v>
      </c>
      <c r="AG168" s="353">
        <f t="shared" si="233"/>
        <v>19402670</v>
      </c>
      <c r="AH168" s="353">
        <f t="shared" si="242"/>
        <v>41573333</v>
      </c>
      <c r="AI168" s="353">
        <f t="shared" si="234"/>
        <v>57280197</v>
      </c>
      <c r="AJ168" s="353">
        <f t="shared" si="234"/>
        <v>0</v>
      </c>
      <c r="AK168" s="353">
        <f t="shared" si="222"/>
        <v>57280197</v>
      </c>
      <c r="AL168" s="353">
        <f t="shared" si="235"/>
        <v>2317524</v>
      </c>
      <c r="AM168" s="353">
        <f t="shared" si="235"/>
        <v>0</v>
      </c>
      <c r="AN168" s="353">
        <f t="shared" si="243"/>
        <v>2317524</v>
      </c>
      <c r="AO168" s="353">
        <f t="shared" si="236"/>
        <v>0</v>
      </c>
      <c r="AP168" s="353">
        <f t="shared" si="236"/>
        <v>0</v>
      </c>
      <c r="AQ168" s="353">
        <f t="shared" si="244"/>
        <v>0</v>
      </c>
      <c r="AR168" s="353">
        <f t="shared" si="237"/>
        <v>36956964</v>
      </c>
      <c r="AS168" s="353">
        <f t="shared" si="237"/>
        <v>0</v>
      </c>
      <c r="AT168" s="353">
        <f t="shared" si="245"/>
        <v>36956964</v>
      </c>
      <c r="AU168" s="353">
        <f t="shared" si="238"/>
        <v>1297558</v>
      </c>
      <c r="AV168" s="353">
        <f t="shared" si="238"/>
        <v>0</v>
      </c>
      <c r="AW168" s="353">
        <f t="shared" si="246"/>
        <v>1297558</v>
      </c>
      <c r="AX168" s="353">
        <f t="shared" si="239"/>
        <v>3174665</v>
      </c>
      <c r="AY168" s="353">
        <f t="shared" si="239"/>
        <v>0</v>
      </c>
      <c r="AZ168" s="353">
        <f t="shared" si="221"/>
        <v>3174665</v>
      </c>
      <c r="BA168" s="354">
        <f t="shared" si="231"/>
        <v>142600241</v>
      </c>
      <c r="BB168" s="26">
        <f t="shared" si="224"/>
        <v>-0.13317621641856781</v>
      </c>
      <c r="BD168" s="18">
        <f t="shared" si="240"/>
        <v>379</v>
      </c>
      <c r="BE168" s="18">
        <v>142599862</v>
      </c>
    </row>
    <row r="169" spans="1:57">
      <c r="A169" s="138">
        <v>45200</v>
      </c>
      <c r="B169" s="18">
        <v>2760921</v>
      </c>
      <c r="C169" s="18">
        <v>1836333</v>
      </c>
      <c r="D169" s="18">
        <f t="shared" si="204"/>
        <v>4597254</v>
      </c>
      <c r="E169" s="18">
        <f t="shared" si="205"/>
        <v>6904320</v>
      </c>
      <c r="F169" s="18">
        <v>0</v>
      </c>
      <c r="G169" s="18">
        <f t="shared" si="206"/>
        <v>6904320</v>
      </c>
      <c r="H169" s="18">
        <v>0</v>
      </c>
      <c r="I169" s="18">
        <v>0</v>
      </c>
      <c r="J169" s="18">
        <f t="shared" si="247"/>
        <v>0</v>
      </c>
      <c r="K169" s="18">
        <v>0</v>
      </c>
      <c r="L169" s="18">
        <v>0</v>
      </c>
      <c r="M169" s="18">
        <f t="shared" si="208"/>
        <v>0</v>
      </c>
      <c r="N169" s="18">
        <f>AE169</f>
        <v>6032906</v>
      </c>
      <c r="O169" s="18">
        <v>0</v>
      </c>
      <c r="P169" s="18">
        <f t="shared" si="248"/>
        <v>6032906</v>
      </c>
      <c r="Q169" s="18">
        <v>70596</v>
      </c>
      <c r="R169" s="18">
        <v>0</v>
      </c>
      <c r="S169" s="18">
        <f t="shared" si="249"/>
        <v>70596</v>
      </c>
      <c r="T169" s="18">
        <v>482205</v>
      </c>
      <c r="U169" s="18">
        <v>0</v>
      </c>
      <c r="V169" s="18">
        <f t="shared" si="241"/>
        <v>482205</v>
      </c>
      <c r="W169" s="18">
        <f t="shared" si="203"/>
        <v>16250948</v>
      </c>
      <c r="X169" s="18">
        <f t="shared" si="180"/>
        <v>1836333</v>
      </c>
      <c r="Y169" s="235">
        <f t="shared" si="181"/>
        <v>18087281</v>
      </c>
      <c r="Z169" s="18">
        <v>0</v>
      </c>
      <c r="AA169" s="18">
        <v>6904320</v>
      </c>
      <c r="AB169" s="18">
        <f t="shared" si="223"/>
        <v>6904320</v>
      </c>
      <c r="AC169" s="352">
        <v>81664</v>
      </c>
      <c r="AD169" s="18">
        <v>5951242</v>
      </c>
      <c r="AE169" s="18">
        <f t="shared" si="211"/>
        <v>6032906</v>
      </c>
      <c r="AF169" s="352">
        <f t="shared" si="233"/>
        <v>24931584</v>
      </c>
      <c r="AG169" s="353">
        <f t="shared" si="233"/>
        <v>21239003</v>
      </c>
      <c r="AH169" s="353">
        <f t="shared" si="242"/>
        <v>46170587</v>
      </c>
      <c r="AI169" s="353">
        <f t="shared" si="234"/>
        <v>64184517</v>
      </c>
      <c r="AJ169" s="353">
        <f t="shared" si="234"/>
        <v>0</v>
      </c>
      <c r="AK169" s="353">
        <f t="shared" si="222"/>
        <v>64184517</v>
      </c>
      <c r="AL169" s="353">
        <f t="shared" si="235"/>
        <v>2317524</v>
      </c>
      <c r="AM169" s="353">
        <f t="shared" si="235"/>
        <v>0</v>
      </c>
      <c r="AN169" s="353">
        <f t="shared" si="243"/>
        <v>2317524</v>
      </c>
      <c r="AO169" s="353">
        <f t="shared" si="236"/>
        <v>0</v>
      </c>
      <c r="AP169" s="353">
        <f t="shared" si="236"/>
        <v>0</v>
      </c>
      <c r="AQ169" s="353">
        <f t="shared" si="244"/>
        <v>0</v>
      </c>
      <c r="AR169" s="353">
        <f t="shared" si="237"/>
        <v>42989870</v>
      </c>
      <c r="AS169" s="353">
        <f t="shared" si="237"/>
        <v>0</v>
      </c>
      <c r="AT169" s="353">
        <f t="shared" si="245"/>
        <v>42989870</v>
      </c>
      <c r="AU169" s="353">
        <f t="shared" si="238"/>
        <v>1368154</v>
      </c>
      <c r="AV169" s="353">
        <f t="shared" si="238"/>
        <v>0</v>
      </c>
      <c r="AW169" s="353">
        <f t="shared" si="246"/>
        <v>1368154</v>
      </c>
      <c r="AX169" s="353">
        <f t="shared" si="239"/>
        <v>3656870</v>
      </c>
      <c r="AY169" s="353">
        <f t="shared" si="239"/>
        <v>0</v>
      </c>
      <c r="AZ169" s="353">
        <f t="shared" si="221"/>
        <v>3656870</v>
      </c>
      <c r="BA169" s="354">
        <f t="shared" si="231"/>
        <v>160687522</v>
      </c>
      <c r="BB169" s="26">
        <f t="shared" si="224"/>
        <v>-0.18380044475104507</v>
      </c>
      <c r="BD169" s="18">
        <f t="shared" si="240"/>
        <v>384</v>
      </c>
      <c r="BE169" s="18">
        <v>160687138</v>
      </c>
    </row>
    <row r="170" spans="1:57">
      <c r="A170" s="138">
        <v>45231</v>
      </c>
      <c r="B170" s="18">
        <v>2348268</v>
      </c>
      <c r="C170" s="18">
        <v>0</v>
      </c>
      <c r="D170" s="18">
        <f t="shared" si="204"/>
        <v>2348268</v>
      </c>
      <c r="E170" s="18">
        <f t="shared" si="205"/>
        <v>4408772</v>
      </c>
      <c r="F170" s="18">
        <v>0</v>
      </c>
      <c r="G170" s="18">
        <f t="shared" si="206"/>
        <v>4408772</v>
      </c>
      <c r="H170" s="18">
        <v>0</v>
      </c>
      <c r="I170" s="18">
        <v>0</v>
      </c>
      <c r="J170" s="18">
        <f t="shared" si="247"/>
        <v>0</v>
      </c>
      <c r="K170" s="18">
        <v>0</v>
      </c>
      <c r="L170" s="18">
        <v>0</v>
      </c>
      <c r="M170" s="18">
        <f t="shared" si="208"/>
        <v>0</v>
      </c>
      <c r="N170" s="18">
        <f t="shared" ref="N170:N186" si="250">AE170</f>
        <v>3753042</v>
      </c>
      <c r="O170" s="18">
        <v>0</v>
      </c>
      <c r="P170" s="18">
        <f t="shared" si="248"/>
        <v>3753042</v>
      </c>
      <c r="Q170" s="18">
        <v>70456</v>
      </c>
      <c r="R170" s="18">
        <v>0</v>
      </c>
      <c r="S170" s="18">
        <f t="shared" si="249"/>
        <v>70456</v>
      </c>
      <c r="T170" s="18">
        <v>307315</v>
      </c>
      <c r="U170" s="18">
        <v>0</v>
      </c>
      <c r="V170" s="18">
        <f t="shared" si="241"/>
        <v>307315</v>
      </c>
      <c r="W170" s="18">
        <f t="shared" si="203"/>
        <v>10887853</v>
      </c>
      <c r="X170" s="18">
        <f t="shared" si="180"/>
        <v>0</v>
      </c>
      <c r="Y170" s="235">
        <f t="shared" si="181"/>
        <v>10887853</v>
      </c>
      <c r="Z170" s="18">
        <v>0</v>
      </c>
      <c r="AA170" s="18">
        <v>4408772</v>
      </c>
      <c r="AB170" s="18">
        <f t="shared" si="223"/>
        <v>4408772</v>
      </c>
      <c r="AC170" s="352">
        <v>0</v>
      </c>
      <c r="AD170" s="18">
        <v>3753042</v>
      </c>
      <c r="AE170" s="18">
        <f t="shared" si="211"/>
        <v>3753042</v>
      </c>
      <c r="AF170" s="352">
        <f t="shared" si="233"/>
        <v>27279852</v>
      </c>
      <c r="AG170" s="353">
        <f t="shared" si="233"/>
        <v>21239003</v>
      </c>
      <c r="AH170" s="353">
        <f t="shared" si="242"/>
        <v>48518855</v>
      </c>
      <c r="AI170" s="353">
        <f t="shared" si="234"/>
        <v>68593289</v>
      </c>
      <c r="AJ170" s="353">
        <f t="shared" si="234"/>
        <v>0</v>
      </c>
      <c r="AK170" s="353">
        <f t="shared" si="222"/>
        <v>68593289</v>
      </c>
      <c r="AL170" s="353">
        <f t="shared" si="235"/>
        <v>2317524</v>
      </c>
      <c r="AM170" s="353">
        <f t="shared" si="235"/>
        <v>0</v>
      </c>
      <c r="AN170" s="353">
        <f t="shared" si="243"/>
        <v>2317524</v>
      </c>
      <c r="AO170" s="353">
        <f t="shared" si="236"/>
        <v>0</v>
      </c>
      <c r="AP170" s="353">
        <f t="shared" si="236"/>
        <v>0</v>
      </c>
      <c r="AQ170" s="353">
        <f t="shared" si="244"/>
        <v>0</v>
      </c>
      <c r="AR170" s="353">
        <f t="shared" si="237"/>
        <v>46742912</v>
      </c>
      <c r="AS170" s="353">
        <f t="shared" si="237"/>
        <v>0</v>
      </c>
      <c r="AT170" s="353">
        <f t="shared" si="245"/>
        <v>46742912</v>
      </c>
      <c r="AU170" s="353">
        <f t="shared" si="238"/>
        <v>1438610</v>
      </c>
      <c r="AV170" s="353">
        <f t="shared" si="238"/>
        <v>0</v>
      </c>
      <c r="AW170" s="353">
        <f t="shared" si="246"/>
        <v>1438610</v>
      </c>
      <c r="AX170" s="353">
        <f t="shared" si="239"/>
        <v>3964185</v>
      </c>
      <c r="AY170" s="353">
        <f t="shared" si="239"/>
        <v>0</v>
      </c>
      <c r="AZ170" s="353">
        <f t="shared" si="221"/>
        <v>3964185</v>
      </c>
      <c r="BA170" s="354">
        <f t="shared" si="231"/>
        <v>171575375</v>
      </c>
      <c r="BB170" s="26">
        <f t="shared" si="224"/>
        <v>-0.23595560101055013</v>
      </c>
      <c r="BD170" s="18">
        <f t="shared" si="240"/>
        <v>384</v>
      </c>
      <c r="BE170" s="18">
        <v>171574991</v>
      </c>
    </row>
    <row r="171" spans="1:57" ht="14.25" thickBot="1">
      <c r="A171" s="138">
        <v>45261</v>
      </c>
      <c r="B171" s="18">
        <v>2645976</v>
      </c>
      <c r="C171" s="18">
        <v>0</v>
      </c>
      <c r="D171" s="18">
        <f t="shared" si="204"/>
        <v>2645976</v>
      </c>
      <c r="E171" s="18">
        <f t="shared" si="205"/>
        <v>3567815</v>
      </c>
      <c r="F171" s="18">
        <v>0</v>
      </c>
      <c r="G171" s="18">
        <f t="shared" si="206"/>
        <v>3567815</v>
      </c>
      <c r="H171" s="18">
        <v>172594</v>
      </c>
      <c r="I171" s="18">
        <v>0</v>
      </c>
      <c r="J171" s="18">
        <f t="shared" si="247"/>
        <v>172594</v>
      </c>
      <c r="K171" s="18">
        <v>0</v>
      </c>
      <c r="L171" s="18">
        <v>0</v>
      </c>
      <c r="M171" s="18">
        <f t="shared" si="208"/>
        <v>0</v>
      </c>
      <c r="N171" s="18">
        <f t="shared" si="250"/>
        <v>5565497</v>
      </c>
      <c r="O171" s="18">
        <v>0</v>
      </c>
      <c r="P171" s="18">
        <f t="shared" si="248"/>
        <v>5565497</v>
      </c>
      <c r="Q171" s="18">
        <v>114960</v>
      </c>
      <c r="R171" s="18">
        <v>0</v>
      </c>
      <c r="S171" s="18">
        <f t="shared" si="249"/>
        <v>114960</v>
      </c>
      <c r="T171" s="18">
        <v>755252</v>
      </c>
      <c r="U171" s="18">
        <v>0</v>
      </c>
      <c r="V171" s="18">
        <f t="shared" si="241"/>
        <v>755252</v>
      </c>
      <c r="W171" s="18">
        <f t="shared" si="203"/>
        <v>12822094</v>
      </c>
      <c r="X171" s="18">
        <f t="shared" si="180"/>
        <v>0</v>
      </c>
      <c r="Y171" s="235">
        <f t="shared" si="181"/>
        <v>12822094</v>
      </c>
      <c r="Z171" s="18">
        <v>0</v>
      </c>
      <c r="AA171" s="18">
        <v>3567815</v>
      </c>
      <c r="AB171" s="18">
        <f t="shared" si="223"/>
        <v>3567815</v>
      </c>
      <c r="AC171" s="352">
        <v>188026</v>
      </c>
      <c r="AD171" s="18">
        <v>5377471</v>
      </c>
      <c r="AE171" s="18">
        <f t="shared" si="211"/>
        <v>5565497</v>
      </c>
      <c r="AF171" s="352">
        <f t="shared" si="233"/>
        <v>29925828</v>
      </c>
      <c r="AG171" s="353">
        <f t="shared" si="233"/>
        <v>21239003</v>
      </c>
      <c r="AH171" s="353">
        <f t="shared" si="242"/>
        <v>51164831</v>
      </c>
      <c r="AI171" s="353">
        <f t="shared" si="234"/>
        <v>72161104</v>
      </c>
      <c r="AJ171" s="353">
        <f t="shared" si="234"/>
        <v>0</v>
      </c>
      <c r="AK171" s="353">
        <f t="shared" si="222"/>
        <v>72161104</v>
      </c>
      <c r="AL171" s="353">
        <f t="shared" si="235"/>
        <v>2490118</v>
      </c>
      <c r="AM171" s="353">
        <f t="shared" si="235"/>
        <v>0</v>
      </c>
      <c r="AN171" s="353">
        <f t="shared" si="243"/>
        <v>2490118</v>
      </c>
      <c r="AO171" s="353">
        <f t="shared" si="236"/>
        <v>0</v>
      </c>
      <c r="AP171" s="353">
        <f t="shared" si="236"/>
        <v>0</v>
      </c>
      <c r="AQ171" s="353">
        <f t="shared" si="244"/>
        <v>0</v>
      </c>
      <c r="AR171" s="353">
        <f t="shared" si="237"/>
        <v>52308409</v>
      </c>
      <c r="AS171" s="353">
        <f t="shared" si="237"/>
        <v>0</v>
      </c>
      <c r="AT171" s="353">
        <f t="shared" si="245"/>
        <v>52308409</v>
      </c>
      <c r="AU171" s="353">
        <f t="shared" si="238"/>
        <v>1553570</v>
      </c>
      <c r="AV171" s="353">
        <f t="shared" si="238"/>
        <v>0</v>
      </c>
      <c r="AW171" s="353">
        <f t="shared" si="246"/>
        <v>1553570</v>
      </c>
      <c r="AX171" s="353">
        <f t="shared" si="239"/>
        <v>4719437</v>
      </c>
      <c r="AY171" s="353">
        <f t="shared" si="239"/>
        <v>0</v>
      </c>
      <c r="AZ171" s="353">
        <f t="shared" si="221"/>
        <v>4719437</v>
      </c>
      <c r="BA171" s="354">
        <f t="shared" si="231"/>
        <v>184397469</v>
      </c>
      <c r="BB171" s="26">
        <f t="shared" si="224"/>
        <v>-0.28081603243130515</v>
      </c>
      <c r="BD171" s="18">
        <f t="shared" si="240"/>
        <v>384</v>
      </c>
      <c r="BE171" s="18">
        <v>184397085</v>
      </c>
    </row>
    <row r="172" spans="1:57">
      <c r="A172" s="141">
        <v>45292</v>
      </c>
      <c r="B172" s="143">
        <v>2544908</v>
      </c>
      <c r="C172" s="143">
        <v>0</v>
      </c>
      <c r="D172" s="143">
        <f t="shared" si="204"/>
        <v>2544908</v>
      </c>
      <c r="E172" s="143">
        <v>5200778</v>
      </c>
      <c r="F172" s="143">
        <v>0</v>
      </c>
      <c r="G172" s="143">
        <f t="shared" si="206"/>
        <v>5200778</v>
      </c>
      <c r="H172" s="143">
        <v>632838</v>
      </c>
      <c r="I172" s="143">
        <v>0</v>
      </c>
      <c r="J172" s="143">
        <f t="shared" si="247"/>
        <v>632838</v>
      </c>
      <c r="K172" s="143">
        <v>0</v>
      </c>
      <c r="L172" s="143">
        <v>0</v>
      </c>
      <c r="M172" s="143">
        <f t="shared" si="208"/>
        <v>0</v>
      </c>
      <c r="N172" s="143">
        <f t="shared" si="250"/>
        <v>3767995</v>
      </c>
      <c r="O172" s="143">
        <v>0</v>
      </c>
      <c r="P172" s="143">
        <f t="shared" si="248"/>
        <v>3767995</v>
      </c>
      <c r="Q172" s="143">
        <v>0</v>
      </c>
      <c r="R172" s="143">
        <v>0</v>
      </c>
      <c r="S172" s="143">
        <f t="shared" si="249"/>
        <v>0</v>
      </c>
      <c r="T172" s="143">
        <v>0</v>
      </c>
      <c r="U172" s="143">
        <v>0</v>
      </c>
      <c r="V172" s="143">
        <f t="shared" si="241"/>
        <v>0</v>
      </c>
      <c r="W172" s="143">
        <f t="shared" si="203"/>
        <v>12146519</v>
      </c>
      <c r="X172" s="143">
        <f t="shared" si="180"/>
        <v>0</v>
      </c>
      <c r="Y172" s="237">
        <f t="shared" si="181"/>
        <v>12146519</v>
      </c>
      <c r="Z172" s="143">
        <v>0</v>
      </c>
      <c r="AA172" s="143">
        <v>5200778</v>
      </c>
      <c r="AB172" s="143">
        <f t="shared" si="223"/>
        <v>5200778</v>
      </c>
      <c r="AC172" s="349">
        <v>0</v>
      </c>
      <c r="AD172" s="143">
        <v>3767995</v>
      </c>
      <c r="AE172" s="143">
        <f t="shared" si="211"/>
        <v>3767995</v>
      </c>
      <c r="AF172" s="349">
        <f>B172</f>
        <v>2544908</v>
      </c>
      <c r="AG172" s="350">
        <f>C172</f>
        <v>0</v>
      </c>
      <c r="AH172" s="350">
        <f t="shared" si="242"/>
        <v>2544908</v>
      </c>
      <c r="AI172" s="350">
        <f>E172</f>
        <v>5200778</v>
      </c>
      <c r="AJ172" s="350">
        <f>F172</f>
        <v>0</v>
      </c>
      <c r="AK172" s="350">
        <f t="shared" si="222"/>
        <v>5200778</v>
      </c>
      <c r="AL172" s="350">
        <f>H172</f>
        <v>632838</v>
      </c>
      <c r="AM172" s="350">
        <f>I172</f>
        <v>0</v>
      </c>
      <c r="AN172" s="350">
        <f t="shared" si="243"/>
        <v>632838</v>
      </c>
      <c r="AO172" s="350">
        <f>K172</f>
        <v>0</v>
      </c>
      <c r="AP172" s="350">
        <f>L172</f>
        <v>0</v>
      </c>
      <c r="AQ172" s="350">
        <f t="shared" si="244"/>
        <v>0</v>
      </c>
      <c r="AR172" s="350">
        <f>N172</f>
        <v>3767995</v>
      </c>
      <c r="AS172" s="350">
        <f>O172</f>
        <v>0</v>
      </c>
      <c r="AT172" s="350">
        <f t="shared" si="245"/>
        <v>3767995</v>
      </c>
      <c r="AU172" s="350">
        <f>Q172</f>
        <v>0</v>
      </c>
      <c r="AV172" s="350">
        <f>R172</f>
        <v>0</v>
      </c>
      <c r="AW172" s="350">
        <f t="shared" si="246"/>
        <v>0</v>
      </c>
      <c r="AX172" s="350">
        <f>T172</f>
        <v>0</v>
      </c>
      <c r="AY172" s="350">
        <f>U172</f>
        <v>0</v>
      </c>
      <c r="AZ172" s="350">
        <f t="shared" si="221"/>
        <v>0</v>
      </c>
      <c r="BA172" s="351">
        <f t="shared" si="231"/>
        <v>12146519</v>
      </c>
      <c r="BB172" s="26">
        <f t="shared" si="224"/>
        <v>6.2030288516101262E-2</v>
      </c>
      <c r="BD172" s="18">
        <f t="shared" si="240"/>
        <v>0</v>
      </c>
      <c r="BE172" s="18">
        <v>12146519</v>
      </c>
    </row>
    <row r="173" spans="1:57">
      <c r="A173" s="138">
        <v>45323</v>
      </c>
      <c r="B173" s="18">
        <v>2449930</v>
      </c>
      <c r="C173" s="18">
        <v>0</v>
      </c>
      <c r="D173" s="18">
        <f t="shared" si="204"/>
        <v>2449930</v>
      </c>
      <c r="E173" s="18">
        <f t="shared" si="205"/>
        <v>3935204</v>
      </c>
      <c r="F173" s="18">
        <v>0</v>
      </c>
      <c r="G173" s="18">
        <f t="shared" si="206"/>
        <v>3935204</v>
      </c>
      <c r="H173" s="18">
        <v>0</v>
      </c>
      <c r="I173" s="18">
        <v>0</v>
      </c>
      <c r="J173" s="18">
        <f t="shared" si="247"/>
        <v>0</v>
      </c>
      <c r="K173" s="18">
        <v>0</v>
      </c>
      <c r="L173" s="18">
        <v>0</v>
      </c>
      <c r="M173" s="18">
        <f t="shared" si="208"/>
        <v>0</v>
      </c>
      <c r="N173" s="18">
        <f t="shared" si="250"/>
        <v>4568658</v>
      </c>
      <c r="O173" s="18">
        <v>0</v>
      </c>
      <c r="P173" s="18">
        <f t="shared" si="248"/>
        <v>4568658</v>
      </c>
      <c r="Q173" s="18">
        <v>65859</v>
      </c>
      <c r="R173" s="18">
        <v>0</v>
      </c>
      <c r="S173" s="18">
        <f t="shared" si="249"/>
        <v>65859</v>
      </c>
      <c r="T173" s="18">
        <v>292847</v>
      </c>
      <c r="U173" s="18">
        <v>0</v>
      </c>
      <c r="V173" s="18">
        <f t="shared" si="241"/>
        <v>292847</v>
      </c>
      <c r="W173" s="18">
        <f t="shared" si="203"/>
        <v>11312498</v>
      </c>
      <c r="X173" s="18">
        <f t="shared" si="180"/>
        <v>0</v>
      </c>
      <c r="Y173" s="235">
        <f t="shared" si="181"/>
        <v>11312498</v>
      </c>
      <c r="Z173" s="18">
        <v>0</v>
      </c>
      <c r="AA173" s="18">
        <v>3935204</v>
      </c>
      <c r="AB173" s="18">
        <f t="shared" si="223"/>
        <v>3935204</v>
      </c>
      <c r="AC173" s="352">
        <v>55877</v>
      </c>
      <c r="AD173" s="18">
        <v>4512781</v>
      </c>
      <c r="AE173" s="18">
        <f t="shared" si="211"/>
        <v>4568658</v>
      </c>
      <c r="AF173" s="352">
        <f t="shared" ref="AF173:AG183" si="251">B173+AF172</f>
        <v>4994838</v>
      </c>
      <c r="AG173" s="353">
        <f t="shared" si="251"/>
        <v>0</v>
      </c>
      <c r="AH173" s="353">
        <f t="shared" si="242"/>
        <v>4994838</v>
      </c>
      <c r="AI173" s="353">
        <f t="shared" ref="AI173:AJ183" si="252">AI172+E173</f>
        <v>9135982</v>
      </c>
      <c r="AJ173" s="353">
        <f t="shared" si="252"/>
        <v>0</v>
      </c>
      <c r="AK173" s="353">
        <f t="shared" si="222"/>
        <v>9135982</v>
      </c>
      <c r="AL173" s="353">
        <f t="shared" ref="AL173:AM183" si="253">AL172+H173</f>
        <v>632838</v>
      </c>
      <c r="AM173" s="353">
        <f t="shared" si="253"/>
        <v>0</v>
      </c>
      <c r="AN173" s="353">
        <f t="shared" si="243"/>
        <v>632838</v>
      </c>
      <c r="AO173" s="353">
        <f t="shared" ref="AO173:AP183" si="254">AO172+K173</f>
        <v>0</v>
      </c>
      <c r="AP173" s="353">
        <f t="shared" si="254"/>
        <v>0</v>
      </c>
      <c r="AQ173" s="353">
        <f t="shared" si="244"/>
        <v>0</v>
      </c>
      <c r="AR173" s="353">
        <f t="shared" ref="AR173:AS183" si="255">AR172+N173</f>
        <v>8336653</v>
      </c>
      <c r="AS173" s="353">
        <f t="shared" si="255"/>
        <v>0</v>
      </c>
      <c r="AT173" s="353">
        <f t="shared" si="245"/>
        <v>8336653</v>
      </c>
      <c r="AU173" s="353">
        <f t="shared" ref="AU173:AV183" si="256">AU172+Q173</f>
        <v>65859</v>
      </c>
      <c r="AV173" s="353">
        <f t="shared" si="256"/>
        <v>0</v>
      </c>
      <c r="AW173" s="353">
        <f t="shared" si="246"/>
        <v>65859</v>
      </c>
      <c r="AX173" s="353">
        <f t="shared" ref="AX173:AY183" si="257">AX172+T173</f>
        <v>292847</v>
      </c>
      <c r="AY173" s="353">
        <f t="shared" si="257"/>
        <v>0</v>
      </c>
      <c r="AZ173" s="353">
        <f t="shared" si="221"/>
        <v>292847</v>
      </c>
      <c r="BA173" s="354">
        <f t="shared" si="231"/>
        <v>23459017</v>
      </c>
      <c r="BB173" s="26">
        <f t="shared" si="224"/>
        <v>7.7404219642600136E-2</v>
      </c>
      <c r="BD173" s="18">
        <f t="shared" si="240"/>
        <v>507</v>
      </c>
      <c r="BE173" s="18">
        <v>23458510</v>
      </c>
    </row>
    <row r="174" spans="1:57">
      <c r="A174" s="138">
        <v>45352</v>
      </c>
      <c r="B174" s="18">
        <v>2114115</v>
      </c>
      <c r="C174" s="18">
        <v>0</v>
      </c>
      <c r="D174" s="18">
        <f t="shared" si="204"/>
        <v>2114115</v>
      </c>
      <c r="E174" s="18">
        <f t="shared" si="205"/>
        <v>5284964</v>
      </c>
      <c r="F174" s="18">
        <v>0</v>
      </c>
      <c r="G174" s="18">
        <f t="shared" si="206"/>
        <v>5284964</v>
      </c>
      <c r="H174" s="18">
        <v>165552</v>
      </c>
      <c r="I174" s="18">
        <v>0</v>
      </c>
      <c r="J174" s="18">
        <f t="shared" si="247"/>
        <v>165552</v>
      </c>
      <c r="K174" s="18">
        <v>0</v>
      </c>
      <c r="L174" s="18">
        <v>0</v>
      </c>
      <c r="M174" s="18">
        <f t="shared" si="208"/>
        <v>0</v>
      </c>
      <c r="N174" s="18">
        <f t="shared" si="250"/>
        <v>2987184</v>
      </c>
      <c r="O174" s="18">
        <v>0</v>
      </c>
      <c r="P174" s="18">
        <f t="shared" si="248"/>
        <v>2987184</v>
      </c>
      <c r="Q174" s="18">
        <v>62223</v>
      </c>
      <c r="R174" s="18">
        <v>0</v>
      </c>
      <c r="S174" s="18">
        <f t="shared" si="249"/>
        <v>62223</v>
      </c>
      <c r="T174" s="18">
        <v>299391</v>
      </c>
      <c r="U174" s="18">
        <v>0</v>
      </c>
      <c r="V174" s="18">
        <f t="shared" si="241"/>
        <v>299391</v>
      </c>
      <c r="W174" s="18">
        <f t="shared" si="203"/>
        <v>10913429</v>
      </c>
      <c r="X174" s="18">
        <f t="shared" ref="X174:X186" si="258">C174+F174+I174+L174+O174+R174</f>
        <v>0</v>
      </c>
      <c r="Y174" s="235">
        <f t="shared" ref="Y174:Y186" si="259">X174+W174</f>
        <v>10913429</v>
      </c>
      <c r="Z174" s="18">
        <v>0</v>
      </c>
      <c r="AA174" s="18">
        <v>5284964</v>
      </c>
      <c r="AB174" s="18">
        <f t="shared" si="223"/>
        <v>5284964</v>
      </c>
      <c r="AC174" s="352">
        <v>26975</v>
      </c>
      <c r="AD174" s="18">
        <v>2960209</v>
      </c>
      <c r="AE174" s="18">
        <f t="shared" si="211"/>
        <v>2987184</v>
      </c>
      <c r="AF174" s="352">
        <f t="shared" si="251"/>
        <v>7108953</v>
      </c>
      <c r="AG174" s="353">
        <f t="shared" si="251"/>
        <v>0</v>
      </c>
      <c r="AH174" s="353">
        <f t="shared" si="242"/>
        <v>7108953</v>
      </c>
      <c r="AI174" s="353">
        <f t="shared" si="252"/>
        <v>14420946</v>
      </c>
      <c r="AJ174" s="353">
        <f t="shared" si="252"/>
        <v>0</v>
      </c>
      <c r="AK174" s="353">
        <f t="shared" si="222"/>
        <v>14420946</v>
      </c>
      <c r="AL174" s="353">
        <f t="shared" si="253"/>
        <v>798390</v>
      </c>
      <c r="AM174" s="353">
        <f t="shared" si="253"/>
        <v>0</v>
      </c>
      <c r="AN174" s="353">
        <f t="shared" si="243"/>
        <v>798390</v>
      </c>
      <c r="AO174" s="353">
        <f t="shared" si="254"/>
        <v>0</v>
      </c>
      <c r="AP174" s="353">
        <f t="shared" si="254"/>
        <v>0</v>
      </c>
      <c r="AQ174" s="353">
        <f t="shared" si="244"/>
        <v>0</v>
      </c>
      <c r="AR174" s="353">
        <f t="shared" si="255"/>
        <v>11323837</v>
      </c>
      <c r="AS174" s="353">
        <f t="shared" si="255"/>
        <v>0</v>
      </c>
      <c r="AT174" s="353">
        <f t="shared" si="245"/>
        <v>11323837</v>
      </c>
      <c r="AU174" s="353">
        <f t="shared" si="256"/>
        <v>128082</v>
      </c>
      <c r="AV174" s="353">
        <f t="shared" si="256"/>
        <v>0</v>
      </c>
      <c r="AW174" s="353">
        <f t="shared" si="246"/>
        <v>128082</v>
      </c>
      <c r="AX174" s="353">
        <f t="shared" si="257"/>
        <v>592238</v>
      </c>
      <c r="AY174" s="353">
        <f t="shared" si="257"/>
        <v>0</v>
      </c>
      <c r="AZ174" s="353">
        <f t="shared" si="221"/>
        <v>592238</v>
      </c>
      <c r="BA174" s="354">
        <f t="shared" si="231"/>
        <v>34372446</v>
      </c>
      <c r="BB174" s="26">
        <f t="shared" si="224"/>
        <v>-0.13965986168607314</v>
      </c>
      <c r="BD174" s="18">
        <f t="shared" si="240"/>
        <v>2026699</v>
      </c>
      <c r="BE174" s="18">
        <v>32345747</v>
      </c>
    </row>
    <row r="175" spans="1:57">
      <c r="A175" s="138">
        <v>45383</v>
      </c>
      <c r="B175" s="18">
        <v>2530447</v>
      </c>
      <c r="C175" s="18">
        <v>0</v>
      </c>
      <c r="D175" s="18">
        <f t="shared" si="204"/>
        <v>2530447</v>
      </c>
      <c r="E175" s="18">
        <f t="shared" si="205"/>
        <v>3922034</v>
      </c>
      <c r="F175" s="18">
        <v>0</v>
      </c>
      <c r="G175" s="18">
        <f t="shared" si="206"/>
        <v>3922034</v>
      </c>
      <c r="H175" s="18">
        <v>141198</v>
      </c>
      <c r="I175" s="18">
        <v>0</v>
      </c>
      <c r="J175" s="18">
        <f t="shared" si="247"/>
        <v>141198</v>
      </c>
      <c r="K175" s="18">
        <v>0</v>
      </c>
      <c r="L175" s="18">
        <v>0</v>
      </c>
      <c r="M175" s="18">
        <f t="shared" si="208"/>
        <v>0</v>
      </c>
      <c r="N175" s="18">
        <f t="shared" si="250"/>
        <v>4355945</v>
      </c>
      <c r="O175" s="18">
        <v>0</v>
      </c>
      <c r="P175" s="18">
        <f t="shared" si="248"/>
        <v>4355945</v>
      </c>
      <c r="Q175" s="18">
        <v>73154</v>
      </c>
      <c r="R175" s="18">
        <v>0</v>
      </c>
      <c r="S175" s="18">
        <f t="shared" si="249"/>
        <v>73154</v>
      </c>
      <c r="T175" s="18">
        <v>279076</v>
      </c>
      <c r="U175" s="18">
        <v>0</v>
      </c>
      <c r="V175" s="18">
        <f t="shared" si="241"/>
        <v>279076</v>
      </c>
      <c r="W175" s="18">
        <f t="shared" si="203"/>
        <v>11301854</v>
      </c>
      <c r="X175" s="18">
        <f t="shared" si="258"/>
        <v>0</v>
      </c>
      <c r="Y175" s="235">
        <f t="shared" si="259"/>
        <v>11301854</v>
      </c>
      <c r="Z175" s="18">
        <v>0</v>
      </c>
      <c r="AA175" s="18">
        <v>3922034</v>
      </c>
      <c r="AB175" s="18">
        <f t="shared" si="223"/>
        <v>3922034</v>
      </c>
      <c r="AC175" s="352">
        <v>1125974</v>
      </c>
      <c r="AD175" s="18">
        <v>3229971</v>
      </c>
      <c r="AE175" s="18">
        <f t="shared" si="211"/>
        <v>4355945</v>
      </c>
      <c r="AF175" s="352">
        <f t="shared" si="251"/>
        <v>9639400</v>
      </c>
      <c r="AG175" s="353">
        <f t="shared" si="251"/>
        <v>0</v>
      </c>
      <c r="AH175" s="353">
        <f t="shared" si="242"/>
        <v>9639400</v>
      </c>
      <c r="AI175" s="353">
        <f t="shared" si="252"/>
        <v>18342980</v>
      </c>
      <c r="AJ175" s="353">
        <f t="shared" si="252"/>
        <v>0</v>
      </c>
      <c r="AK175" s="353">
        <f t="shared" si="222"/>
        <v>18342980</v>
      </c>
      <c r="AL175" s="353">
        <f t="shared" si="253"/>
        <v>939588</v>
      </c>
      <c r="AM175" s="353">
        <f t="shared" si="253"/>
        <v>0</v>
      </c>
      <c r="AN175" s="353">
        <f t="shared" si="243"/>
        <v>939588</v>
      </c>
      <c r="AO175" s="353">
        <f t="shared" si="254"/>
        <v>0</v>
      </c>
      <c r="AP175" s="353">
        <f t="shared" si="254"/>
        <v>0</v>
      </c>
      <c r="AQ175" s="353">
        <f t="shared" si="244"/>
        <v>0</v>
      </c>
      <c r="AR175" s="353">
        <f t="shared" si="255"/>
        <v>15679782</v>
      </c>
      <c r="AS175" s="353">
        <f t="shared" si="255"/>
        <v>0</v>
      </c>
      <c r="AT175" s="353">
        <f t="shared" si="245"/>
        <v>15679782</v>
      </c>
      <c r="AU175" s="353">
        <f t="shared" si="256"/>
        <v>201236</v>
      </c>
      <c r="AV175" s="353">
        <f t="shared" si="256"/>
        <v>0</v>
      </c>
      <c r="AW175" s="353">
        <f t="shared" si="246"/>
        <v>201236</v>
      </c>
      <c r="AX175" s="353">
        <f t="shared" si="257"/>
        <v>871314</v>
      </c>
      <c r="AY175" s="353">
        <f t="shared" si="257"/>
        <v>0</v>
      </c>
      <c r="AZ175" s="353">
        <f t="shared" si="221"/>
        <v>871314</v>
      </c>
      <c r="BA175" s="354">
        <f t="shared" si="231"/>
        <v>45674300</v>
      </c>
      <c r="BB175" s="26">
        <f t="shared" si="224"/>
        <v>-0.12625693715756114</v>
      </c>
      <c r="BD175" s="18"/>
      <c r="BE175" s="18"/>
    </row>
    <row r="176" spans="1:57">
      <c r="A176" s="138">
        <v>45413</v>
      </c>
      <c r="B176" s="18">
        <v>2537729</v>
      </c>
      <c r="C176" s="18">
        <v>0</v>
      </c>
      <c r="D176" s="18">
        <f t="shared" si="204"/>
        <v>2537729</v>
      </c>
      <c r="E176" s="18">
        <f t="shared" si="205"/>
        <v>1427701</v>
      </c>
      <c r="F176" s="18">
        <v>0</v>
      </c>
      <c r="G176" s="18">
        <f t="shared" si="206"/>
        <v>1427701</v>
      </c>
      <c r="H176" s="18">
        <v>0</v>
      </c>
      <c r="I176" s="18">
        <v>0</v>
      </c>
      <c r="J176" s="18">
        <f t="shared" si="247"/>
        <v>0</v>
      </c>
      <c r="K176" s="18">
        <v>0</v>
      </c>
      <c r="L176" s="18">
        <v>0</v>
      </c>
      <c r="M176" s="18">
        <f t="shared" si="208"/>
        <v>0</v>
      </c>
      <c r="N176" s="18">
        <f t="shared" si="250"/>
        <v>3226454</v>
      </c>
      <c r="O176" s="18">
        <v>0</v>
      </c>
      <c r="P176" s="18">
        <f t="shared" si="248"/>
        <v>3226454</v>
      </c>
      <c r="Q176" s="18">
        <v>54250</v>
      </c>
      <c r="R176" s="18">
        <v>0</v>
      </c>
      <c r="S176" s="18">
        <f t="shared" si="249"/>
        <v>54250</v>
      </c>
      <c r="T176" s="18">
        <v>29626</v>
      </c>
      <c r="U176" s="18">
        <v>0</v>
      </c>
      <c r="V176" s="18">
        <f t="shared" si="241"/>
        <v>29626</v>
      </c>
      <c r="W176" s="18">
        <f t="shared" si="203"/>
        <v>7275760</v>
      </c>
      <c r="X176" s="18">
        <f t="shared" si="258"/>
        <v>0</v>
      </c>
      <c r="Y176" s="235">
        <f t="shared" si="259"/>
        <v>7275760</v>
      </c>
      <c r="Z176" s="18">
        <v>0</v>
      </c>
      <c r="AA176" s="18">
        <v>1427701</v>
      </c>
      <c r="AB176" s="18">
        <f t="shared" si="223"/>
        <v>1427701</v>
      </c>
      <c r="AC176" s="352">
        <v>126993</v>
      </c>
      <c r="AD176" s="18">
        <v>3099461</v>
      </c>
      <c r="AE176" s="18">
        <f t="shared" si="211"/>
        <v>3226454</v>
      </c>
      <c r="AF176" s="352">
        <f t="shared" si="251"/>
        <v>12177129</v>
      </c>
      <c r="AG176" s="353">
        <f t="shared" si="251"/>
        <v>0</v>
      </c>
      <c r="AH176" s="353">
        <f t="shared" si="242"/>
        <v>12177129</v>
      </c>
      <c r="AI176" s="353">
        <f t="shared" si="252"/>
        <v>19770681</v>
      </c>
      <c r="AJ176" s="353">
        <f t="shared" si="252"/>
        <v>0</v>
      </c>
      <c r="AK176" s="353">
        <f t="shared" si="222"/>
        <v>19770681</v>
      </c>
      <c r="AL176" s="353">
        <f t="shared" si="253"/>
        <v>939588</v>
      </c>
      <c r="AM176" s="353">
        <f t="shared" si="253"/>
        <v>0</v>
      </c>
      <c r="AN176" s="353">
        <f t="shared" si="243"/>
        <v>939588</v>
      </c>
      <c r="AO176" s="353">
        <f t="shared" si="254"/>
        <v>0</v>
      </c>
      <c r="AP176" s="353">
        <f t="shared" si="254"/>
        <v>0</v>
      </c>
      <c r="AQ176" s="353">
        <f t="shared" si="244"/>
        <v>0</v>
      </c>
      <c r="AR176" s="353">
        <f t="shared" si="255"/>
        <v>18906236</v>
      </c>
      <c r="AS176" s="353">
        <f t="shared" si="255"/>
        <v>0</v>
      </c>
      <c r="AT176" s="353">
        <f t="shared" si="245"/>
        <v>18906236</v>
      </c>
      <c r="AU176" s="353">
        <f t="shared" si="256"/>
        <v>255486</v>
      </c>
      <c r="AV176" s="353">
        <f t="shared" si="256"/>
        <v>0</v>
      </c>
      <c r="AW176" s="353">
        <f t="shared" si="246"/>
        <v>255486</v>
      </c>
      <c r="AX176" s="353">
        <f t="shared" si="257"/>
        <v>900940</v>
      </c>
      <c r="AY176" s="353">
        <f t="shared" si="257"/>
        <v>0</v>
      </c>
      <c r="AZ176" s="353">
        <f t="shared" si="221"/>
        <v>900940</v>
      </c>
      <c r="BA176" s="354">
        <f t="shared" si="231"/>
        <v>52950060</v>
      </c>
      <c r="BB176" s="26">
        <f t="shared" si="224"/>
        <v>-0.22400814944399039</v>
      </c>
      <c r="BD176" s="18"/>
      <c r="BE176" s="18"/>
    </row>
    <row r="177" spans="1:57">
      <c r="A177" s="138">
        <v>45444</v>
      </c>
      <c r="B177" s="18">
        <v>2214046</v>
      </c>
      <c r="C177" s="18">
        <v>0</v>
      </c>
      <c r="D177" s="18">
        <f t="shared" si="204"/>
        <v>2214046</v>
      </c>
      <c r="E177" s="18">
        <f t="shared" si="205"/>
        <v>6189823</v>
      </c>
      <c r="F177" s="18">
        <v>0</v>
      </c>
      <c r="G177" s="18">
        <f t="shared" si="206"/>
        <v>6189823</v>
      </c>
      <c r="H177" s="18">
        <v>389879</v>
      </c>
      <c r="I177" s="18">
        <v>0</v>
      </c>
      <c r="J177" s="18">
        <f t="shared" si="247"/>
        <v>389879</v>
      </c>
      <c r="K177" s="18">
        <v>0</v>
      </c>
      <c r="L177" s="18">
        <v>0</v>
      </c>
      <c r="M177" s="18">
        <f t="shared" si="208"/>
        <v>0</v>
      </c>
      <c r="N177" s="18">
        <f t="shared" si="250"/>
        <v>4151978</v>
      </c>
      <c r="O177" s="18">
        <v>0</v>
      </c>
      <c r="P177" s="18">
        <f t="shared" si="248"/>
        <v>4151978</v>
      </c>
      <c r="Q177" s="18">
        <v>113403</v>
      </c>
      <c r="R177" s="18">
        <v>0</v>
      </c>
      <c r="S177" s="18">
        <f t="shared" si="249"/>
        <v>113403</v>
      </c>
      <c r="T177" s="18">
        <v>0</v>
      </c>
      <c r="U177" s="18">
        <v>0</v>
      </c>
      <c r="V177" s="18">
        <f t="shared" si="241"/>
        <v>0</v>
      </c>
      <c r="W177" s="18">
        <f t="shared" si="203"/>
        <v>13059129</v>
      </c>
      <c r="X177" s="18">
        <f t="shared" si="258"/>
        <v>0</v>
      </c>
      <c r="Y177" s="235">
        <f t="shared" si="259"/>
        <v>13059129</v>
      </c>
      <c r="Z177" s="18">
        <v>0</v>
      </c>
      <c r="AA177" s="18">
        <v>6189823</v>
      </c>
      <c r="AB177" s="18">
        <f t="shared" si="223"/>
        <v>6189823</v>
      </c>
      <c r="AC177" s="352">
        <v>1415949</v>
      </c>
      <c r="AD177" s="18">
        <v>2736029</v>
      </c>
      <c r="AE177" s="18">
        <f t="shared" si="211"/>
        <v>4151978</v>
      </c>
      <c r="AF177" s="352">
        <f t="shared" si="251"/>
        <v>14391175</v>
      </c>
      <c r="AG177" s="353">
        <f t="shared" si="251"/>
        <v>0</v>
      </c>
      <c r="AH177" s="353">
        <f t="shared" si="242"/>
        <v>14391175</v>
      </c>
      <c r="AI177" s="353">
        <f t="shared" si="252"/>
        <v>25960504</v>
      </c>
      <c r="AJ177" s="353">
        <f t="shared" si="252"/>
        <v>0</v>
      </c>
      <c r="AK177" s="353">
        <f t="shared" si="222"/>
        <v>25960504</v>
      </c>
      <c r="AL177" s="353">
        <f t="shared" si="253"/>
        <v>1329467</v>
      </c>
      <c r="AM177" s="353">
        <f t="shared" si="253"/>
        <v>0</v>
      </c>
      <c r="AN177" s="353">
        <f t="shared" si="243"/>
        <v>1329467</v>
      </c>
      <c r="AO177" s="353">
        <f t="shared" si="254"/>
        <v>0</v>
      </c>
      <c r="AP177" s="353">
        <f t="shared" si="254"/>
        <v>0</v>
      </c>
      <c r="AQ177" s="353">
        <f t="shared" si="244"/>
        <v>0</v>
      </c>
      <c r="AR177" s="353">
        <f t="shared" si="255"/>
        <v>23058214</v>
      </c>
      <c r="AS177" s="353">
        <f t="shared" si="255"/>
        <v>0</v>
      </c>
      <c r="AT177" s="353">
        <f t="shared" si="245"/>
        <v>23058214</v>
      </c>
      <c r="AU177" s="353">
        <f t="shared" si="256"/>
        <v>368889</v>
      </c>
      <c r="AV177" s="353">
        <f t="shared" si="256"/>
        <v>0</v>
      </c>
      <c r="AW177" s="353">
        <f t="shared" si="246"/>
        <v>368889</v>
      </c>
      <c r="AX177" s="353">
        <f t="shared" si="257"/>
        <v>900940</v>
      </c>
      <c r="AY177" s="353">
        <f t="shared" si="257"/>
        <v>0</v>
      </c>
      <c r="AZ177" s="353">
        <f t="shared" si="221"/>
        <v>900940</v>
      </c>
      <c r="BA177" s="354">
        <f t="shared" si="231"/>
        <v>66009189</v>
      </c>
      <c r="BB177" s="26">
        <f t="shared" si="224"/>
        <v>-0.2246498072148696</v>
      </c>
    </row>
    <row r="178" spans="1:57" ht="15">
      <c r="A178" s="138">
        <v>45474</v>
      </c>
      <c r="B178" s="18">
        <v>2272727</v>
      </c>
      <c r="C178" s="18">
        <v>0</v>
      </c>
      <c r="D178" s="18">
        <f t="shared" si="204"/>
        <v>2272727</v>
      </c>
      <c r="E178" s="18">
        <f t="shared" si="205"/>
        <v>6786703</v>
      </c>
      <c r="F178" s="18">
        <v>0</v>
      </c>
      <c r="G178" s="18">
        <f t="shared" si="206"/>
        <v>6786703</v>
      </c>
      <c r="H178" s="147">
        <v>204034</v>
      </c>
      <c r="I178" s="18">
        <v>0</v>
      </c>
      <c r="J178" s="18">
        <f t="shared" si="247"/>
        <v>204034</v>
      </c>
      <c r="K178" s="18">
        <v>0</v>
      </c>
      <c r="L178" s="18">
        <v>0</v>
      </c>
      <c r="M178" s="18">
        <f t="shared" si="208"/>
        <v>0</v>
      </c>
      <c r="N178" s="18">
        <f t="shared" si="250"/>
        <v>4070842</v>
      </c>
      <c r="O178" s="18">
        <v>0</v>
      </c>
      <c r="P178" s="18">
        <f t="shared" si="248"/>
        <v>4070842</v>
      </c>
      <c r="Q178" s="18">
        <v>106952</v>
      </c>
      <c r="R178" s="18">
        <v>0</v>
      </c>
      <c r="S178" s="18">
        <f t="shared" si="249"/>
        <v>106952</v>
      </c>
      <c r="T178" s="18">
        <v>0</v>
      </c>
      <c r="U178" s="18">
        <v>0</v>
      </c>
      <c r="V178" s="18">
        <f t="shared" si="241"/>
        <v>0</v>
      </c>
      <c r="W178" s="18">
        <f t="shared" si="203"/>
        <v>13441258</v>
      </c>
      <c r="X178" s="18">
        <f t="shared" si="258"/>
        <v>0</v>
      </c>
      <c r="Y178" s="235">
        <f t="shared" si="259"/>
        <v>13441258</v>
      </c>
      <c r="Z178" s="18">
        <v>0</v>
      </c>
      <c r="AA178" s="18">
        <v>6786703</v>
      </c>
      <c r="AB178" s="18">
        <f t="shared" si="223"/>
        <v>6786703</v>
      </c>
      <c r="AC178" s="352">
        <v>1403057</v>
      </c>
      <c r="AD178" s="18">
        <v>2667785</v>
      </c>
      <c r="AE178" s="18">
        <f t="shared" si="211"/>
        <v>4070842</v>
      </c>
      <c r="AF178" s="352">
        <f t="shared" si="251"/>
        <v>16663902</v>
      </c>
      <c r="AG178" s="353">
        <f t="shared" si="251"/>
        <v>0</v>
      </c>
      <c r="AH178" s="353">
        <f t="shared" si="242"/>
        <v>16663902</v>
      </c>
      <c r="AI178" s="353">
        <f t="shared" si="252"/>
        <v>32747207</v>
      </c>
      <c r="AJ178" s="353">
        <f t="shared" si="252"/>
        <v>0</v>
      </c>
      <c r="AK178" s="353">
        <f t="shared" si="222"/>
        <v>32747207</v>
      </c>
      <c r="AL178" s="353">
        <f t="shared" si="253"/>
        <v>1533501</v>
      </c>
      <c r="AM178" s="353">
        <f t="shared" si="253"/>
        <v>0</v>
      </c>
      <c r="AN178" s="353">
        <f t="shared" si="243"/>
        <v>1533501</v>
      </c>
      <c r="AO178" s="353">
        <f t="shared" si="254"/>
        <v>0</v>
      </c>
      <c r="AP178" s="353">
        <f t="shared" si="254"/>
        <v>0</v>
      </c>
      <c r="AQ178" s="353">
        <f t="shared" si="244"/>
        <v>0</v>
      </c>
      <c r="AR178" s="353">
        <f t="shared" si="255"/>
        <v>27129056</v>
      </c>
      <c r="AS178" s="353">
        <f t="shared" si="255"/>
        <v>0</v>
      </c>
      <c r="AT178" s="353">
        <f t="shared" si="245"/>
        <v>27129056</v>
      </c>
      <c r="AU178" s="353">
        <f t="shared" si="256"/>
        <v>475841</v>
      </c>
      <c r="AV178" s="353">
        <f t="shared" si="256"/>
        <v>0</v>
      </c>
      <c r="AW178" s="353">
        <f t="shared" si="246"/>
        <v>475841</v>
      </c>
      <c r="AX178" s="353">
        <f t="shared" si="257"/>
        <v>900940</v>
      </c>
      <c r="AY178" s="353">
        <f t="shared" si="257"/>
        <v>0</v>
      </c>
      <c r="AZ178" s="353">
        <f t="shared" si="221"/>
        <v>900940</v>
      </c>
      <c r="BA178" s="354">
        <f t="shared" si="231"/>
        <v>79450447</v>
      </c>
      <c r="BB178" s="26">
        <f t="shared" si="224"/>
        <v>-0.15945669533091877</v>
      </c>
    </row>
    <row r="179" spans="1:57" ht="15">
      <c r="A179" s="138">
        <v>45505</v>
      </c>
      <c r="B179" s="18">
        <v>2063554</v>
      </c>
      <c r="C179" s="18">
        <v>0</v>
      </c>
      <c r="D179" s="18">
        <f t="shared" si="204"/>
        <v>2063554</v>
      </c>
      <c r="E179" s="18">
        <f t="shared" si="205"/>
        <v>8864247</v>
      </c>
      <c r="F179" s="18">
        <v>0</v>
      </c>
      <c r="G179" s="18">
        <f t="shared" si="206"/>
        <v>8864247</v>
      </c>
      <c r="H179" s="147">
        <v>229695</v>
      </c>
      <c r="I179" s="18">
        <v>0</v>
      </c>
      <c r="J179" s="18">
        <f t="shared" si="247"/>
        <v>229695</v>
      </c>
      <c r="K179" s="18">
        <v>0</v>
      </c>
      <c r="L179" s="18">
        <v>0</v>
      </c>
      <c r="M179" s="18">
        <f t="shared" si="208"/>
        <v>0</v>
      </c>
      <c r="N179" s="18">
        <f t="shared" si="250"/>
        <v>4163743</v>
      </c>
      <c r="O179" s="18">
        <v>0</v>
      </c>
      <c r="P179" s="18">
        <f t="shared" si="248"/>
        <v>4163743</v>
      </c>
      <c r="Q179" s="18">
        <v>108995</v>
      </c>
      <c r="R179" s="18">
        <v>0</v>
      </c>
      <c r="S179" s="18">
        <f t="shared" si="249"/>
        <v>108995</v>
      </c>
      <c r="T179" s="18">
        <v>0</v>
      </c>
      <c r="U179" s="18">
        <v>0</v>
      </c>
      <c r="V179" s="18">
        <f t="shared" si="241"/>
        <v>0</v>
      </c>
      <c r="W179" s="18">
        <f t="shared" si="203"/>
        <v>15430234</v>
      </c>
      <c r="X179" s="18">
        <f t="shared" si="258"/>
        <v>0</v>
      </c>
      <c r="Y179" s="235">
        <f t="shared" si="259"/>
        <v>15430234</v>
      </c>
      <c r="Z179" s="18">
        <v>0</v>
      </c>
      <c r="AA179" s="18">
        <v>8864247</v>
      </c>
      <c r="AB179" s="18">
        <f t="shared" si="223"/>
        <v>8864247</v>
      </c>
      <c r="AC179" s="352">
        <v>1304981</v>
      </c>
      <c r="AD179" s="18">
        <v>2858762</v>
      </c>
      <c r="AE179" s="18">
        <f t="shared" si="211"/>
        <v>4163743</v>
      </c>
      <c r="AF179" s="352">
        <f t="shared" si="251"/>
        <v>18727456</v>
      </c>
      <c r="AG179" s="353">
        <f t="shared" si="251"/>
        <v>0</v>
      </c>
      <c r="AH179" s="353">
        <f t="shared" si="242"/>
        <v>18727456</v>
      </c>
      <c r="AI179" s="353">
        <f t="shared" si="252"/>
        <v>41611454</v>
      </c>
      <c r="AJ179" s="353">
        <f t="shared" si="252"/>
        <v>0</v>
      </c>
      <c r="AK179" s="353">
        <f t="shared" si="222"/>
        <v>41611454</v>
      </c>
      <c r="AL179" s="353">
        <f t="shared" si="253"/>
        <v>1763196</v>
      </c>
      <c r="AM179" s="353">
        <f t="shared" si="253"/>
        <v>0</v>
      </c>
      <c r="AN179" s="353">
        <f t="shared" si="243"/>
        <v>1763196</v>
      </c>
      <c r="AO179" s="353">
        <f t="shared" si="254"/>
        <v>0</v>
      </c>
      <c r="AP179" s="353">
        <f t="shared" si="254"/>
        <v>0</v>
      </c>
      <c r="AQ179" s="353">
        <f t="shared" si="244"/>
        <v>0</v>
      </c>
      <c r="AR179" s="353">
        <f t="shared" si="255"/>
        <v>31292799</v>
      </c>
      <c r="AS179" s="353">
        <f t="shared" si="255"/>
        <v>0</v>
      </c>
      <c r="AT179" s="353">
        <f t="shared" si="245"/>
        <v>31292799</v>
      </c>
      <c r="AU179" s="353">
        <f t="shared" si="256"/>
        <v>584836</v>
      </c>
      <c r="AV179" s="353">
        <f t="shared" si="256"/>
        <v>0</v>
      </c>
      <c r="AW179" s="353">
        <f t="shared" si="246"/>
        <v>584836</v>
      </c>
      <c r="AX179" s="353">
        <f t="shared" si="257"/>
        <v>900940</v>
      </c>
      <c r="AY179" s="353">
        <f t="shared" si="257"/>
        <v>0</v>
      </c>
      <c r="AZ179" s="353">
        <f t="shared" si="221"/>
        <v>900940</v>
      </c>
      <c r="BA179" s="354">
        <f t="shared" si="231"/>
        <v>94880681</v>
      </c>
      <c r="BB179" s="26">
        <f t="shared" si="224"/>
        <v>-0.12808343961042001</v>
      </c>
    </row>
    <row r="180" spans="1:57" ht="15">
      <c r="A180" s="138">
        <v>45536</v>
      </c>
      <c r="B180" s="18">
        <v>2338802</v>
      </c>
      <c r="C180" s="18">
        <v>0</v>
      </c>
      <c r="D180" s="18">
        <f t="shared" si="204"/>
        <v>2338802</v>
      </c>
      <c r="E180" s="18">
        <f t="shared" si="205"/>
        <v>6811136</v>
      </c>
      <c r="F180" s="18">
        <v>0</v>
      </c>
      <c r="G180" s="18">
        <f t="shared" si="206"/>
        <v>6811136</v>
      </c>
      <c r="H180" s="147">
        <v>312604</v>
      </c>
      <c r="I180" s="18">
        <v>0</v>
      </c>
      <c r="J180" s="18">
        <f t="shared" si="247"/>
        <v>312604</v>
      </c>
      <c r="K180" s="18">
        <v>0</v>
      </c>
      <c r="L180" s="18">
        <v>0</v>
      </c>
      <c r="M180" s="18">
        <f t="shared" si="208"/>
        <v>0</v>
      </c>
      <c r="N180" s="18">
        <f t="shared" si="250"/>
        <v>8814802</v>
      </c>
      <c r="O180" s="18">
        <v>0</v>
      </c>
      <c r="P180" s="18">
        <f t="shared" si="248"/>
        <v>8814802</v>
      </c>
      <c r="Q180" s="18">
        <v>122167</v>
      </c>
      <c r="R180" s="18">
        <v>0</v>
      </c>
      <c r="S180" s="18">
        <f t="shared" si="249"/>
        <v>122167</v>
      </c>
      <c r="T180" s="18">
        <v>0</v>
      </c>
      <c r="U180" s="18">
        <v>0</v>
      </c>
      <c r="V180" s="18">
        <f t="shared" si="241"/>
        <v>0</v>
      </c>
      <c r="W180" s="18">
        <f t="shared" si="203"/>
        <v>18399511</v>
      </c>
      <c r="X180" s="18">
        <f t="shared" si="258"/>
        <v>0</v>
      </c>
      <c r="Y180" s="235">
        <f t="shared" si="259"/>
        <v>18399511</v>
      </c>
      <c r="Z180" s="18">
        <v>0</v>
      </c>
      <c r="AA180" s="18">
        <v>6811136</v>
      </c>
      <c r="AB180" s="18">
        <f t="shared" si="223"/>
        <v>6811136</v>
      </c>
      <c r="AC180" s="352">
        <v>5053087</v>
      </c>
      <c r="AD180" s="18">
        <v>3761715</v>
      </c>
      <c r="AE180" s="18">
        <f t="shared" si="211"/>
        <v>8814802</v>
      </c>
      <c r="AF180" s="352">
        <f t="shared" si="251"/>
        <v>21066258</v>
      </c>
      <c r="AG180" s="353">
        <f t="shared" si="251"/>
        <v>0</v>
      </c>
      <c r="AH180" s="353">
        <f t="shared" si="242"/>
        <v>21066258</v>
      </c>
      <c r="AI180" s="353">
        <f t="shared" si="252"/>
        <v>48422590</v>
      </c>
      <c r="AJ180" s="353">
        <f t="shared" si="252"/>
        <v>0</v>
      </c>
      <c r="AK180" s="353">
        <f t="shared" si="222"/>
        <v>48422590</v>
      </c>
      <c r="AL180" s="353">
        <f t="shared" si="253"/>
        <v>2075800</v>
      </c>
      <c r="AM180" s="353">
        <f t="shared" si="253"/>
        <v>0</v>
      </c>
      <c r="AN180" s="353">
        <f t="shared" si="243"/>
        <v>2075800</v>
      </c>
      <c r="AO180" s="353">
        <f t="shared" si="254"/>
        <v>0</v>
      </c>
      <c r="AP180" s="353">
        <f t="shared" si="254"/>
        <v>0</v>
      </c>
      <c r="AQ180" s="353">
        <f t="shared" si="244"/>
        <v>0</v>
      </c>
      <c r="AR180" s="353">
        <f t="shared" si="255"/>
        <v>40107601</v>
      </c>
      <c r="AS180" s="353">
        <f t="shared" si="255"/>
        <v>0</v>
      </c>
      <c r="AT180" s="353">
        <f t="shared" si="245"/>
        <v>40107601</v>
      </c>
      <c r="AU180" s="353">
        <f t="shared" si="256"/>
        <v>707003</v>
      </c>
      <c r="AV180" s="353">
        <f t="shared" si="256"/>
        <v>0</v>
      </c>
      <c r="AW180" s="353">
        <f t="shared" si="246"/>
        <v>707003</v>
      </c>
      <c r="AX180" s="353">
        <f t="shared" si="257"/>
        <v>900940</v>
      </c>
      <c r="AY180" s="353">
        <f t="shared" si="257"/>
        <v>0</v>
      </c>
      <c r="AZ180" s="353">
        <f t="shared" si="221"/>
        <v>900940</v>
      </c>
      <c r="BA180" s="354">
        <f t="shared" si="231"/>
        <v>113280192</v>
      </c>
      <c r="BB180" s="26">
        <f t="shared" si="224"/>
        <v>-0.2056100943055208</v>
      </c>
    </row>
    <row r="181" spans="1:57" ht="15">
      <c r="A181" s="138">
        <v>45566</v>
      </c>
      <c r="B181" s="18">
        <v>2350773</v>
      </c>
      <c r="C181" s="18">
        <v>0</v>
      </c>
      <c r="D181" s="18">
        <f t="shared" si="204"/>
        <v>2350773</v>
      </c>
      <c r="E181" s="18">
        <f t="shared" si="205"/>
        <v>5111224</v>
      </c>
      <c r="F181" s="18">
        <v>0</v>
      </c>
      <c r="G181" s="18">
        <f t="shared" si="206"/>
        <v>5111224</v>
      </c>
      <c r="H181" s="147">
        <v>78448</v>
      </c>
      <c r="I181" s="18">
        <v>0</v>
      </c>
      <c r="J181" s="18">
        <f t="shared" si="247"/>
        <v>78448</v>
      </c>
      <c r="K181" s="18">
        <v>0</v>
      </c>
      <c r="L181" s="18">
        <v>0</v>
      </c>
      <c r="M181" s="18">
        <f t="shared" si="208"/>
        <v>0</v>
      </c>
      <c r="N181" s="18">
        <f t="shared" si="250"/>
        <v>7930462</v>
      </c>
      <c r="O181" s="18">
        <v>0</v>
      </c>
      <c r="P181" s="18">
        <f t="shared" si="248"/>
        <v>7930462</v>
      </c>
      <c r="Q181" s="18">
        <v>126126</v>
      </c>
      <c r="R181" s="18">
        <v>0</v>
      </c>
      <c r="S181" s="18">
        <f t="shared" si="249"/>
        <v>126126</v>
      </c>
      <c r="T181" s="18">
        <v>0</v>
      </c>
      <c r="U181" s="18">
        <v>0</v>
      </c>
      <c r="V181" s="18">
        <f t="shared" si="241"/>
        <v>0</v>
      </c>
      <c r="W181" s="18">
        <f t="shared" si="203"/>
        <v>15597033</v>
      </c>
      <c r="X181" s="18">
        <f t="shared" si="258"/>
        <v>0</v>
      </c>
      <c r="Y181" s="235">
        <f t="shared" si="259"/>
        <v>15597033</v>
      </c>
      <c r="Z181" s="18">
        <v>0</v>
      </c>
      <c r="AA181" s="18">
        <v>5111224</v>
      </c>
      <c r="AB181" s="18">
        <f t="shared" si="223"/>
        <v>5111224</v>
      </c>
      <c r="AC181" s="352">
        <v>4053915</v>
      </c>
      <c r="AD181" s="18">
        <v>3876547</v>
      </c>
      <c r="AE181" s="18">
        <f t="shared" si="211"/>
        <v>7930462</v>
      </c>
      <c r="AF181" s="352">
        <f t="shared" si="251"/>
        <v>23417031</v>
      </c>
      <c r="AG181" s="353">
        <f t="shared" si="251"/>
        <v>0</v>
      </c>
      <c r="AH181" s="353">
        <f t="shared" si="242"/>
        <v>23417031</v>
      </c>
      <c r="AI181" s="353">
        <f t="shared" si="252"/>
        <v>53533814</v>
      </c>
      <c r="AJ181" s="353">
        <f t="shared" si="252"/>
        <v>0</v>
      </c>
      <c r="AK181" s="353">
        <f t="shared" si="222"/>
        <v>53533814</v>
      </c>
      <c r="AL181" s="353">
        <f t="shared" si="253"/>
        <v>2154248</v>
      </c>
      <c r="AM181" s="353">
        <f t="shared" si="253"/>
        <v>0</v>
      </c>
      <c r="AN181" s="353">
        <f t="shared" si="243"/>
        <v>2154248</v>
      </c>
      <c r="AO181" s="353">
        <f t="shared" si="254"/>
        <v>0</v>
      </c>
      <c r="AP181" s="353">
        <f t="shared" si="254"/>
        <v>0</v>
      </c>
      <c r="AQ181" s="353">
        <f t="shared" si="244"/>
        <v>0</v>
      </c>
      <c r="AR181" s="353">
        <f t="shared" si="255"/>
        <v>48038063</v>
      </c>
      <c r="AS181" s="353">
        <f t="shared" si="255"/>
        <v>0</v>
      </c>
      <c r="AT181" s="353">
        <f t="shared" si="245"/>
        <v>48038063</v>
      </c>
      <c r="AU181" s="353">
        <f t="shared" si="256"/>
        <v>833129</v>
      </c>
      <c r="AV181" s="353">
        <f t="shared" si="256"/>
        <v>0</v>
      </c>
      <c r="AW181" s="353">
        <f t="shared" si="246"/>
        <v>833129</v>
      </c>
      <c r="AX181" s="353">
        <f t="shared" si="257"/>
        <v>900940</v>
      </c>
      <c r="AY181" s="353">
        <f t="shared" si="257"/>
        <v>0</v>
      </c>
      <c r="AZ181" s="353">
        <f t="shared" si="221"/>
        <v>900940</v>
      </c>
      <c r="BA181" s="354">
        <f t="shared" si="231"/>
        <v>128877225</v>
      </c>
      <c r="BB181" s="26">
        <f t="shared" si="224"/>
        <v>-0.19796370374048089</v>
      </c>
    </row>
    <row r="182" spans="1:57" ht="15">
      <c r="A182" s="138">
        <v>45597</v>
      </c>
      <c r="B182" s="18">
        <v>2503531</v>
      </c>
      <c r="C182" s="18">
        <v>0</v>
      </c>
      <c r="D182" s="18">
        <f t="shared" si="204"/>
        <v>2503531</v>
      </c>
      <c r="E182" s="18">
        <f t="shared" si="205"/>
        <v>7182048</v>
      </c>
      <c r="F182" s="18">
        <v>0</v>
      </c>
      <c r="G182" s="18">
        <f t="shared" si="206"/>
        <v>7182048</v>
      </c>
      <c r="H182" s="147">
        <v>318049</v>
      </c>
      <c r="I182" s="18">
        <v>0</v>
      </c>
      <c r="J182" s="18">
        <f t="shared" si="247"/>
        <v>318049</v>
      </c>
      <c r="K182" s="18">
        <v>0</v>
      </c>
      <c r="L182" s="18">
        <v>0</v>
      </c>
      <c r="M182" s="18">
        <f t="shared" si="208"/>
        <v>0</v>
      </c>
      <c r="N182" s="18">
        <f t="shared" si="250"/>
        <v>7227566</v>
      </c>
      <c r="O182" s="18">
        <v>0</v>
      </c>
      <c r="P182" s="18">
        <f t="shared" si="248"/>
        <v>7227566</v>
      </c>
      <c r="Q182" s="18">
        <v>166766</v>
      </c>
      <c r="R182" s="18">
        <v>0</v>
      </c>
      <c r="S182" s="18">
        <f t="shared" si="249"/>
        <v>166766</v>
      </c>
      <c r="T182" s="18">
        <v>0</v>
      </c>
      <c r="U182" s="18">
        <v>0</v>
      </c>
      <c r="V182" s="18">
        <f t="shared" si="241"/>
        <v>0</v>
      </c>
      <c r="W182" s="18">
        <f t="shared" si="203"/>
        <v>17397960</v>
      </c>
      <c r="X182" s="18">
        <f t="shared" si="258"/>
        <v>0</v>
      </c>
      <c r="Y182" s="235">
        <f t="shared" si="259"/>
        <v>17397960</v>
      </c>
      <c r="Z182" s="18">
        <v>0</v>
      </c>
      <c r="AA182" s="18">
        <v>7182048</v>
      </c>
      <c r="AB182" s="18">
        <f t="shared" si="223"/>
        <v>7182048</v>
      </c>
      <c r="AC182" s="352">
        <v>4076056</v>
      </c>
      <c r="AD182" s="18">
        <v>3151510</v>
      </c>
      <c r="AE182" s="18">
        <f t="shared" si="211"/>
        <v>7227566</v>
      </c>
      <c r="AF182" s="352">
        <f t="shared" si="251"/>
        <v>25920562</v>
      </c>
      <c r="AG182" s="353">
        <f t="shared" si="251"/>
        <v>0</v>
      </c>
      <c r="AH182" s="353">
        <f t="shared" si="242"/>
        <v>25920562</v>
      </c>
      <c r="AI182" s="353">
        <f t="shared" si="252"/>
        <v>60715862</v>
      </c>
      <c r="AJ182" s="353">
        <f t="shared" si="252"/>
        <v>0</v>
      </c>
      <c r="AK182" s="353">
        <f t="shared" si="222"/>
        <v>60715862</v>
      </c>
      <c r="AL182" s="353">
        <f t="shared" si="253"/>
        <v>2472297</v>
      </c>
      <c r="AM182" s="353">
        <f t="shared" si="253"/>
        <v>0</v>
      </c>
      <c r="AN182" s="353">
        <f t="shared" si="243"/>
        <v>2472297</v>
      </c>
      <c r="AO182" s="353">
        <f t="shared" si="254"/>
        <v>0</v>
      </c>
      <c r="AP182" s="353">
        <f t="shared" si="254"/>
        <v>0</v>
      </c>
      <c r="AQ182" s="353">
        <f t="shared" si="244"/>
        <v>0</v>
      </c>
      <c r="AR182" s="353">
        <f t="shared" si="255"/>
        <v>55265629</v>
      </c>
      <c r="AS182" s="353">
        <f t="shared" si="255"/>
        <v>0</v>
      </c>
      <c r="AT182" s="353">
        <f t="shared" si="245"/>
        <v>55265629</v>
      </c>
      <c r="AU182" s="353">
        <f t="shared" si="256"/>
        <v>999895</v>
      </c>
      <c r="AV182" s="353">
        <f t="shared" si="256"/>
        <v>0</v>
      </c>
      <c r="AW182" s="353">
        <f t="shared" si="246"/>
        <v>999895</v>
      </c>
      <c r="AX182" s="353">
        <f t="shared" si="257"/>
        <v>900940</v>
      </c>
      <c r="AY182" s="353">
        <f t="shared" si="257"/>
        <v>0</v>
      </c>
      <c r="AZ182" s="353">
        <f t="shared" si="221"/>
        <v>900940</v>
      </c>
      <c r="BA182" s="354">
        <f t="shared" si="231"/>
        <v>146275185</v>
      </c>
      <c r="BB182" s="26">
        <f t="shared" si="224"/>
        <v>-0.14745816525244371</v>
      </c>
    </row>
    <row r="183" spans="1:57" ht="15.75" thickBot="1">
      <c r="A183" s="138">
        <v>45627</v>
      </c>
      <c r="B183" s="18">
        <v>2764927</v>
      </c>
      <c r="C183" s="18">
        <v>0</v>
      </c>
      <c r="D183" s="18">
        <f t="shared" si="204"/>
        <v>2764927</v>
      </c>
      <c r="E183" s="18">
        <f t="shared" si="205"/>
        <v>6420761</v>
      </c>
      <c r="F183" s="18">
        <v>0</v>
      </c>
      <c r="G183" s="18">
        <f t="shared" si="206"/>
        <v>6420761</v>
      </c>
      <c r="H183" s="147">
        <v>300855</v>
      </c>
      <c r="I183" s="18">
        <v>0</v>
      </c>
      <c r="J183" s="18">
        <f t="shared" si="247"/>
        <v>300855</v>
      </c>
      <c r="K183" s="18">
        <v>0</v>
      </c>
      <c r="L183" s="18">
        <v>0</v>
      </c>
      <c r="M183" s="18">
        <f t="shared" si="208"/>
        <v>0</v>
      </c>
      <c r="N183" s="18">
        <f t="shared" si="250"/>
        <v>8760089</v>
      </c>
      <c r="O183" s="18">
        <v>0</v>
      </c>
      <c r="P183" s="18">
        <f t="shared" si="248"/>
        <v>8760089</v>
      </c>
      <c r="Q183" s="18">
        <v>120576</v>
      </c>
      <c r="R183" s="18">
        <v>0</v>
      </c>
      <c r="S183" s="18">
        <f t="shared" si="249"/>
        <v>120576</v>
      </c>
      <c r="T183" s="355">
        <v>28862</v>
      </c>
      <c r="U183" s="18">
        <v>0</v>
      </c>
      <c r="V183" s="18">
        <f t="shared" si="241"/>
        <v>28862</v>
      </c>
      <c r="W183" s="18">
        <f t="shared" si="203"/>
        <v>18396070</v>
      </c>
      <c r="X183" s="18">
        <f t="shared" si="258"/>
        <v>0</v>
      </c>
      <c r="Y183" s="235">
        <f t="shared" si="259"/>
        <v>18396070</v>
      </c>
      <c r="Z183" s="18">
        <v>0</v>
      </c>
      <c r="AA183" s="18">
        <v>6420761</v>
      </c>
      <c r="AB183" s="18">
        <f t="shared" si="223"/>
        <v>6420761</v>
      </c>
      <c r="AC183" s="352">
        <v>3849612</v>
      </c>
      <c r="AD183" s="18">
        <v>4910477</v>
      </c>
      <c r="AE183" s="18">
        <f t="shared" si="211"/>
        <v>8760089</v>
      </c>
      <c r="AF183" s="352">
        <f t="shared" si="251"/>
        <v>28685489</v>
      </c>
      <c r="AG183" s="353">
        <f t="shared" si="251"/>
        <v>0</v>
      </c>
      <c r="AH183" s="353">
        <f t="shared" si="242"/>
        <v>28685489</v>
      </c>
      <c r="AI183" s="353">
        <f t="shared" si="252"/>
        <v>67136623</v>
      </c>
      <c r="AJ183" s="353">
        <f t="shared" si="252"/>
        <v>0</v>
      </c>
      <c r="AK183" s="353">
        <f t="shared" si="222"/>
        <v>67136623</v>
      </c>
      <c r="AL183" s="353">
        <f t="shared" si="253"/>
        <v>2773152</v>
      </c>
      <c r="AM183" s="353">
        <f t="shared" si="253"/>
        <v>0</v>
      </c>
      <c r="AN183" s="353">
        <f t="shared" si="243"/>
        <v>2773152</v>
      </c>
      <c r="AO183" s="353">
        <f t="shared" si="254"/>
        <v>0</v>
      </c>
      <c r="AP183" s="353">
        <f t="shared" si="254"/>
        <v>0</v>
      </c>
      <c r="AQ183" s="353">
        <f t="shared" si="244"/>
        <v>0</v>
      </c>
      <c r="AR183" s="353">
        <f t="shared" si="255"/>
        <v>64025718</v>
      </c>
      <c r="AS183" s="353">
        <f t="shared" si="255"/>
        <v>0</v>
      </c>
      <c r="AT183" s="353">
        <f t="shared" si="245"/>
        <v>64025718</v>
      </c>
      <c r="AU183" s="353">
        <f t="shared" si="256"/>
        <v>1120471</v>
      </c>
      <c r="AV183" s="353">
        <f t="shared" si="256"/>
        <v>0</v>
      </c>
      <c r="AW183" s="353">
        <f t="shared" si="246"/>
        <v>1120471</v>
      </c>
      <c r="AX183" s="353">
        <f t="shared" si="257"/>
        <v>929802</v>
      </c>
      <c r="AY183" s="353">
        <f t="shared" si="257"/>
        <v>0</v>
      </c>
      <c r="AZ183" s="353">
        <f t="shared" si="221"/>
        <v>929802</v>
      </c>
      <c r="BA183" s="354">
        <f t="shared" si="231"/>
        <v>164671255</v>
      </c>
      <c r="BB183" s="26">
        <f t="shared" si="224"/>
        <v>-0.10697659846947249</v>
      </c>
    </row>
    <row r="184" spans="1:57">
      <c r="A184" s="141">
        <v>45658</v>
      </c>
      <c r="B184" s="143">
        <v>2317112</v>
      </c>
      <c r="C184" s="143">
        <v>0</v>
      </c>
      <c r="D184" s="143">
        <f t="shared" si="204"/>
        <v>2317112</v>
      </c>
      <c r="E184" s="143">
        <f t="shared" si="205"/>
        <v>5416008</v>
      </c>
      <c r="F184" s="143">
        <v>0</v>
      </c>
      <c r="G184" s="143">
        <f t="shared" si="206"/>
        <v>5416008</v>
      </c>
      <c r="H184" s="143">
        <v>211105</v>
      </c>
      <c r="I184" s="143">
        <v>0</v>
      </c>
      <c r="J184" s="143">
        <f t="shared" si="247"/>
        <v>211105</v>
      </c>
      <c r="K184" s="143">
        <v>0</v>
      </c>
      <c r="L184" s="143">
        <v>0</v>
      </c>
      <c r="M184" s="143">
        <f t="shared" si="208"/>
        <v>0</v>
      </c>
      <c r="N184" s="143">
        <f t="shared" si="250"/>
        <v>8033156</v>
      </c>
      <c r="O184" s="143">
        <v>0</v>
      </c>
      <c r="P184" s="143">
        <f t="shared" si="248"/>
        <v>8033156</v>
      </c>
      <c r="Q184" s="143">
        <v>14085</v>
      </c>
      <c r="R184" s="143">
        <v>0</v>
      </c>
      <c r="S184" s="143">
        <f t="shared" si="249"/>
        <v>14085</v>
      </c>
      <c r="T184" s="143">
        <v>0</v>
      </c>
      <c r="U184" s="143">
        <v>0</v>
      </c>
      <c r="V184" s="143">
        <f t="shared" si="241"/>
        <v>0</v>
      </c>
      <c r="W184" s="143">
        <f t="shared" si="203"/>
        <v>15991466</v>
      </c>
      <c r="X184" s="143">
        <f t="shared" si="258"/>
        <v>0</v>
      </c>
      <c r="Y184" s="237">
        <f t="shared" si="259"/>
        <v>15991466</v>
      </c>
      <c r="Z184" s="143">
        <v>0</v>
      </c>
      <c r="AA184" s="143">
        <v>5416008</v>
      </c>
      <c r="AB184" s="143">
        <f t="shared" si="223"/>
        <v>5416008</v>
      </c>
      <c r="AC184" s="349">
        <v>5700777</v>
      </c>
      <c r="AD184" s="143">
        <v>2332379</v>
      </c>
      <c r="AE184" s="143">
        <f t="shared" si="211"/>
        <v>8033156</v>
      </c>
      <c r="AF184" s="349">
        <f>B184</f>
        <v>2317112</v>
      </c>
      <c r="AG184" s="350">
        <f>C184</f>
        <v>0</v>
      </c>
      <c r="AH184" s="350">
        <f t="shared" si="242"/>
        <v>2317112</v>
      </c>
      <c r="AI184" s="350">
        <f>E184</f>
        <v>5416008</v>
      </c>
      <c r="AJ184" s="350">
        <f>F184</f>
        <v>0</v>
      </c>
      <c r="AK184" s="350">
        <f t="shared" si="222"/>
        <v>5416008</v>
      </c>
      <c r="AL184" s="350">
        <f>H184</f>
        <v>211105</v>
      </c>
      <c r="AM184" s="350">
        <f>I184</f>
        <v>0</v>
      </c>
      <c r="AN184" s="350">
        <f t="shared" si="243"/>
        <v>211105</v>
      </c>
      <c r="AO184" s="350">
        <f>K184</f>
        <v>0</v>
      </c>
      <c r="AP184" s="350">
        <f>L184</f>
        <v>0</v>
      </c>
      <c r="AQ184" s="350">
        <f t="shared" si="244"/>
        <v>0</v>
      </c>
      <c r="AR184" s="350">
        <f>N184</f>
        <v>8033156</v>
      </c>
      <c r="AS184" s="350">
        <f>O184</f>
        <v>0</v>
      </c>
      <c r="AT184" s="350">
        <f t="shared" si="245"/>
        <v>8033156</v>
      </c>
      <c r="AU184" s="350">
        <f>Q184</f>
        <v>14085</v>
      </c>
      <c r="AV184" s="350">
        <f>R184</f>
        <v>0</v>
      </c>
      <c r="AW184" s="350">
        <f t="shared" si="246"/>
        <v>14085</v>
      </c>
      <c r="AX184" s="350">
        <f>T184</f>
        <v>0</v>
      </c>
      <c r="AY184" s="350">
        <f>U184</f>
        <v>0</v>
      </c>
      <c r="AZ184" s="350">
        <f t="shared" si="221"/>
        <v>0</v>
      </c>
      <c r="BA184" s="351">
        <f t="shared" si="231"/>
        <v>15991466</v>
      </c>
      <c r="BB184" s="26">
        <f t="shared" si="224"/>
        <v>0.31654723464393375</v>
      </c>
      <c r="BD184" s="18">
        <f t="shared" ref="BD184:BD186" si="260">BA184-BE184</f>
        <v>3844947</v>
      </c>
      <c r="BE184" s="18">
        <v>12146519</v>
      </c>
    </row>
    <row r="185" spans="1:57">
      <c r="A185" s="138">
        <v>45689</v>
      </c>
      <c r="B185" s="18">
        <v>2100498</v>
      </c>
      <c r="C185" s="18">
        <v>0</v>
      </c>
      <c r="D185" s="18">
        <f t="shared" si="204"/>
        <v>2100498</v>
      </c>
      <c r="E185" s="18">
        <f t="shared" si="205"/>
        <v>4635669</v>
      </c>
      <c r="F185" s="18">
        <v>0</v>
      </c>
      <c r="G185" s="18">
        <f t="shared" si="206"/>
        <v>4635669</v>
      </c>
      <c r="H185" s="18">
        <v>70616</v>
      </c>
      <c r="I185" s="18">
        <v>0</v>
      </c>
      <c r="J185" s="18">
        <f t="shared" si="247"/>
        <v>70616</v>
      </c>
      <c r="K185" s="18">
        <v>0</v>
      </c>
      <c r="L185" s="18">
        <v>0</v>
      </c>
      <c r="M185" s="18">
        <f t="shared" si="208"/>
        <v>0</v>
      </c>
      <c r="N185" s="18">
        <f t="shared" si="250"/>
        <v>9815948</v>
      </c>
      <c r="O185" s="18">
        <v>0</v>
      </c>
      <c r="P185" s="18">
        <f t="shared" si="248"/>
        <v>9815948</v>
      </c>
      <c r="Q185" s="18">
        <v>0</v>
      </c>
      <c r="R185" s="18">
        <v>0</v>
      </c>
      <c r="S185" s="18">
        <f t="shared" si="249"/>
        <v>0</v>
      </c>
      <c r="T185" s="18">
        <v>0</v>
      </c>
      <c r="U185" s="18">
        <v>0</v>
      </c>
      <c r="V185" s="18">
        <f t="shared" si="241"/>
        <v>0</v>
      </c>
      <c r="W185" s="18">
        <f t="shared" si="203"/>
        <v>16622731</v>
      </c>
      <c r="X185" s="18">
        <f t="shared" si="258"/>
        <v>0</v>
      </c>
      <c r="Y185" s="235">
        <f t="shared" si="259"/>
        <v>16622731</v>
      </c>
      <c r="Z185" s="18">
        <v>0</v>
      </c>
      <c r="AA185" s="18">
        <v>4635669</v>
      </c>
      <c r="AB185" s="18">
        <f t="shared" si="223"/>
        <v>4635669</v>
      </c>
      <c r="AC185" s="352">
        <v>7398276</v>
      </c>
      <c r="AD185" s="18">
        <v>2417672</v>
      </c>
      <c r="AE185" s="18">
        <f t="shared" si="211"/>
        <v>9815948</v>
      </c>
      <c r="AF185" s="352">
        <f t="shared" ref="AF185:AG186" si="261">B185+AF184</f>
        <v>4417610</v>
      </c>
      <c r="AG185" s="353">
        <f t="shared" si="261"/>
        <v>0</v>
      </c>
      <c r="AH185" s="353">
        <f t="shared" si="242"/>
        <v>4417610</v>
      </c>
      <c r="AI185" s="353">
        <f t="shared" ref="AI185:AJ186" si="262">AI184+E185</f>
        <v>10051677</v>
      </c>
      <c r="AJ185" s="353">
        <f t="shared" si="262"/>
        <v>0</v>
      </c>
      <c r="AK185" s="353">
        <f t="shared" si="222"/>
        <v>10051677</v>
      </c>
      <c r="AL185" s="353">
        <f t="shared" ref="AL185:AM186" si="263">AL184+H185</f>
        <v>281721</v>
      </c>
      <c r="AM185" s="353">
        <f t="shared" si="263"/>
        <v>0</v>
      </c>
      <c r="AN185" s="353">
        <f t="shared" si="243"/>
        <v>281721</v>
      </c>
      <c r="AO185" s="353">
        <f t="shared" ref="AO185:AP186" si="264">AO184+K185</f>
        <v>0</v>
      </c>
      <c r="AP185" s="353">
        <f t="shared" si="264"/>
        <v>0</v>
      </c>
      <c r="AQ185" s="353">
        <f t="shared" si="244"/>
        <v>0</v>
      </c>
      <c r="AR185" s="353">
        <f t="shared" ref="AR185:AS186" si="265">AR184+N185</f>
        <v>17849104</v>
      </c>
      <c r="AS185" s="353">
        <f t="shared" si="265"/>
        <v>0</v>
      </c>
      <c r="AT185" s="353">
        <f t="shared" si="245"/>
        <v>17849104</v>
      </c>
      <c r="AU185" s="353">
        <f t="shared" ref="AU185:AV186" si="266">AU184+Q185</f>
        <v>14085</v>
      </c>
      <c r="AV185" s="353">
        <f t="shared" si="266"/>
        <v>0</v>
      </c>
      <c r="AW185" s="353">
        <f t="shared" si="246"/>
        <v>14085</v>
      </c>
      <c r="AX185" s="353">
        <f t="shared" ref="AX185:AY186" si="267">AX184+T185</f>
        <v>0</v>
      </c>
      <c r="AY185" s="353">
        <f t="shared" si="267"/>
        <v>0</v>
      </c>
      <c r="AZ185" s="353">
        <f t="shared" si="221"/>
        <v>0</v>
      </c>
      <c r="BA185" s="354">
        <f t="shared" si="231"/>
        <v>32614197</v>
      </c>
      <c r="BB185" s="26">
        <f t="shared" si="224"/>
        <v>0.39026272925246608</v>
      </c>
      <c r="BD185" s="18">
        <f t="shared" si="260"/>
        <v>9155687</v>
      </c>
      <c r="BE185" s="18">
        <v>23458510</v>
      </c>
    </row>
    <row r="186" spans="1:57">
      <c r="A186" s="138">
        <v>45717</v>
      </c>
      <c r="B186" s="18">
        <v>2317486</v>
      </c>
      <c r="C186" s="18">
        <v>0</v>
      </c>
      <c r="D186" s="18">
        <f t="shared" si="204"/>
        <v>2317486</v>
      </c>
      <c r="E186" s="18">
        <f t="shared" si="205"/>
        <v>6570323</v>
      </c>
      <c r="F186" s="18">
        <v>0</v>
      </c>
      <c r="G186" s="18">
        <f t="shared" si="206"/>
        <v>6570323</v>
      </c>
      <c r="H186" s="18">
        <v>211997</v>
      </c>
      <c r="I186" s="18">
        <v>0</v>
      </c>
      <c r="J186" s="18">
        <f t="shared" si="247"/>
        <v>211997</v>
      </c>
      <c r="K186" s="18">
        <v>0</v>
      </c>
      <c r="L186" s="18">
        <v>0</v>
      </c>
      <c r="M186" s="18">
        <f t="shared" si="208"/>
        <v>0</v>
      </c>
      <c r="N186" s="18">
        <f t="shared" si="250"/>
        <v>7651665</v>
      </c>
      <c r="O186" s="18">
        <v>0</v>
      </c>
      <c r="P186" s="18">
        <f t="shared" si="248"/>
        <v>7651665</v>
      </c>
      <c r="Q186" s="18">
        <v>0</v>
      </c>
      <c r="R186" s="18">
        <v>0</v>
      </c>
      <c r="S186" s="18">
        <f t="shared" si="249"/>
        <v>0</v>
      </c>
      <c r="T186" s="18">
        <v>59839</v>
      </c>
      <c r="U186" s="18">
        <v>0</v>
      </c>
      <c r="V186" s="18">
        <f t="shared" si="241"/>
        <v>59839</v>
      </c>
      <c r="W186" s="18">
        <f t="shared" si="203"/>
        <v>16811310</v>
      </c>
      <c r="X186" s="18">
        <f t="shared" si="258"/>
        <v>0</v>
      </c>
      <c r="Y186" s="235">
        <f t="shared" si="259"/>
        <v>16811310</v>
      </c>
      <c r="Z186" s="18">
        <v>0</v>
      </c>
      <c r="AA186" s="18">
        <v>6570323</v>
      </c>
      <c r="AB186" s="18">
        <f t="shared" si="223"/>
        <v>6570323</v>
      </c>
      <c r="AC186" s="352">
        <v>5198421</v>
      </c>
      <c r="AD186" s="18">
        <v>2453244</v>
      </c>
      <c r="AE186" s="18">
        <f t="shared" si="211"/>
        <v>7651665</v>
      </c>
      <c r="AF186" s="352">
        <f t="shared" si="261"/>
        <v>6735096</v>
      </c>
      <c r="AG186" s="353">
        <f t="shared" si="261"/>
        <v>0</v>
      </c>
      <c r="AH186" s="353">
        <f t="shared" si="242"/>
        <v>6735096</v>
      </c>
      <c r="AI186" s="353">
        <f t="shared" si="262"/>
        <v>16622000</v>
      </c>
      <c r="AJ186" s="353">
        <f t="shared" si="262"/>
        <v>0</v>
      </c>
      <c r="AK186" s="353">
        <f t="shared" si="222"/>
        <v>16622000</v>
      </c>
      <c r="AL186" s="353">
        <f t="shared" si="263"/>
        <v>493718</v>
      </c>
      <c r="AM186" s="353">
        <f t="shared" si="263"/>
        <v>0</v>
      </c>
      <c r="AN186" s="353">
        <f t="shared" si="243"/>
        <v>493718</v>
      </c>
      <c r="AO186" s="353">
        <f t="shared" si="264"/>
        <v>0</v>
      </c>
      <c r="AP186" s="353">
        <f t="shared" si="264"/>
        <v>0</v>
      </c>
      <c r="AQ186" s="353">
        <f t="shared" si="244"/>
        <v>0</v>
      </c>
      <c r="AR186" s="353">
        <f t="shared" si="265"/>
        <v>25500769</v>
      </c>
      <c r="AS186" s="353">
        <f t="shared" si="265"/>
        <v>0</v>
      </c>
      <c r="AT186" s="353">
        <f t="shared" si="245"/>
        <v>25500769</v>
      </c>
      <c r="AU186" s="353">
        <f t="shared" si="266"/>
        <v>14085</v>
      </c>
      <c r="AV186" s="353">
        <f t="shared" si="266"/>
        <v>0</v>
      </c>
      <c r="AW186" s="353">
        <f t="shared" si="246"/>
        <v>14085</v>
      </c>
      <c r="AX186" s="353">
        <f t="shared" si="267"/>
        <v>59839</v>
      </c>
      <c r="AY186" s="353">
        <f t="shared" si="267"/>
        <v>0</v>
      </c>
      <c r="AZ186" s="353">
        <f t="shared" si="221"/>
        <v>59839</v>
      </c>
      <c r="BA186" s="354">
        <f t="shared" si="231"/>
        <v>49425507</v>
      </c>
      <c r="BB186" s="26">
        <f t="shared" si="224"/>
        <v>0.43793976721935945</v>
      </c>
      <c r="BD186" s="18">
        <f t="shared" si="260"/>
        <v>25966997</v>
      </c>
      <c r="BE186" s="18">
        <v>23458510</v>
      </c>
    </row>
  </sheetData>
  <mergeCells count="20">
    <mergeCell ref="AX2:AZ2"/>
    <mergeCell ref="BA2:BA3"/>
    <mergeCell ref="Z2:AB2"/>
    <mergeCell ref="AC2:AE2"/>
    <mergeCell ref="AF2:AH2"/>
    <mergeCell ref="AI2:AK2"/>
    <mergeCell ref="AL2:AN2"/>
    <mergeCell ref="AO2:AQ2"/>
    <mergeCell ref="B1:Y1"/>
    <mergeCell ref="AF1:BA1"/>
    <mergeCell ref="B2:D2"/>
    <mergeCell ref="E2:G2"/>
    <mergeCell ref="H2:J2"/>
    <mergeCell ref="K2:M2"/>
    <mergeCell ref="N2:P2"/>
    <mergeCell ref="Q2:S2"/>
    <mergeCell ref="T2:V2"/>
    <mergeCell ref="W2:Y2"/>
    <mergeCell ref="AR2:AT2"/>
    <mergeCell ref="AU2:AW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16F7-CF99-409A-806B-28EDC0D08757}">
  <dimension ref="A1:BB450"/>
  <sheetViews>
    <sheetView zoomScale="120" zoomScaleNormal="120" workbookViewId="0">
      <pane xSplit="1" ySplit="2" topLeftCell="N3"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13" width="12.140625" style="2" hidden="1" customWidth="1"/>
    <col min="14" max="20" width="12.140625" style="2" customWidth="1"/>
    <col min="21" max="21" width="9.140625" style="2"/>
    <col min="22" max="22" width="10.140625" style="2" bestFit="1" customWidth="1"/>
    <col min="23" max="16384" width="9.140625" style="2"/>
  </cols>
  <sheetData>
    <row r="1" spans="1:54" ht="18.75" thickBot="1">
      <c r="A1" s="78" t="s">
        <v>466</v>
      </c>
    </row>
    <row r="2" spans="1:54"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Y2" s="80">
        <f t="shared" ref="Y2:AF2" si="0">H2</f>
        <v>2016</v>
      </c>
      <c r="Z2" s="80">
        <f t="shared" si="0"/>
        <v>2017</v>
      </c>
      <c r="AA2" s="80">
        <f t="shared" si="0"/>
        <v>2018</v>
      </c>
      <c r="AB2" s="80">
        <f t="shared" si="0"/>
        <v>2019</v>
      </c>
      <c r="AC2" s="80">
        <f t="shared" si="0"/>
        <v>2020</v>
      </c>
      <c r="AD2" s="80">
        <f t="shared" si="0"/>
        <v>2021</v>
      </c>
      <c r="AE2" s="80">
        <f t="shared" si="0"/>
        <v>2022</v>
      </c>
      <c r="AF2" s="80">
        <f t="shared" si="0"/>
        <v>2023</v>
      </c>
      <c r="AG2" s="80">
        <f>P2</f>
        <v>2024</v>
      </c>
      <c r="AH2" s="80">
        <f>Q2</f>
        <v>2025</v>
      </c>
      <c r="AI2" s="80">
        <f>R2</f>
        <v>2026</v>
      </c>
    </row>
    <row r="3" spans="1:54">
      <c r="A3" s="356" t="s">
        <v>415</v>
      </c>
      <c r="B3" s="96">
        <f>B4+B5</f>
        <v>4043017</v>
      </c>
      <c r="C3" s="96">
        <f t="shared" ref="C3:I3" si="1">C4+C5</f>
        <v>193748805</v>
      </c>
      <c r="D3" s="96">
        <f t="shared" si="1"/>
        <v>603461683</v>
      </c>
      <c r="E3" s="96">
        <f t="shared" si="1"/>
        <v>458250657</v>
      </c>
      <c r="F3" s="96">
        <f t="shared" si="1"/>
        <v>90298203</v>
      </c>
      <c r="G3" s="96">
        <f t="shared" si="1"/>
        <v>113785284</v>
      </c>
      <c r="H3" s="96">
        <f t="shared" si="1"/>
        <v>61459280</v>
      </c>
      <c r="I3" s="96">
        <f t="shared" si="1"/>
        <v>99392347</v>
      </c>
      <c r="J3" s="96">
        <f>J4+J5</f>
        <v>102382010</v>
      </c>
      <c r="K3" s="96">
        <f>K4+K5</f>
        <v>219495304</v>
      </c>
      <c r="L3" s="96">
        <f>L4+L5</f>
        <v>208638249</v>
      </c>
      <c r="M3" s="96">
        <f>M4+M5</f>
        <v>85586001</v>
      </c>
      <c r="N3" s="96">
        <f t="shared" ref="N3:T3" si="2">N4+N5</f>
        <v>109468380</v>
      </c>
      <c r="O3" s="96">
        <f>O4+O5</f>
        <v>51164831</v>
      </c>
      <c r="P3" s="96">
        <f t="shared" si="2"/>
        <v>28685489</v>
      </c>
      <c r="Q3" s="102">
        <f t="shared" si="2"/>
        <v>33387387.181493059</v>
      </c>
      <c r="R3" s="102">
        <f t="shared" si="2"/>
        <v>32232011.270047031</v>
      </c>
      <c r="S3" s="102">
        <f t="shared" si="2"/>
        <v>37309058.288327254</v>
      </c>
      <c r="T3" s="102">
        <f t="shared" si="2"/>
        <v>40479901.902477115</v>
      </c>
      <c r="X3" s="210" t="s">
        <v>415</v>
      </c>
      <c r="Y3" s="357">
        <f>H3/'D5 Gallon Forecast'!H3</f>
        <v>1</v>
      </c>
      <c r="Z3" s="357">
        <f>I3/'D5 Gallon Forecast'!I3</f>
        <v>1</v>
      </c>
      <c r="AA3" s="357">
        <f>J3/'D5 Gallon Forecast'!J3</f>
        <v>1</v>
      </c>
      <c r="AB3" s="357">
        <f>K3/'D5 Gallon Forecast'!K3</f>
        <v>1</v>
      </c>
      <c r="AC3" s="357">
        <f>L3/'D5 Gallon Forecast'!L3</f>
        <v>1</v>
      </c>
      <c r="AD3" s="357">
        <f>M3/'D5 Gallon Forecast'!M3</f>
        <v>1</v>
      </c>
      <c r="AE3" s="357">
        <f>N3/'D5 Gallon Forecast'!N3</f>
        <v>1</v>
      </c>
      <c r="AF3" s="357">
        <f>O3/'D5 Gallon Forecast'!O3</f>
        <v>1</v>
      </c>
      <c r="AG3" s="358">
        <f>P3/'D5 Gallon Forecast'!P3</f>
        <v>1</v>
      </c>
      <c r="AH3" s="358">
        <f>Q3/'D5 Gallon Forecast'!Q3</f>
        <v>1</v>
      </c>
      <c r="AI3" s="358">
        <f>R3/'D5 Gallon Forecast'!R3</f>
        <v>1</v>
      </c>
      <c r="AT3" s="2">
        <f>B3/'D5 Gallon Forecast'!B3</f>
        <v>1</v>
      </c>
      <c r="AU3" s="2">
        <f>C3/'D5 Gallon Forecast'!C3</f>
        <v>1</v>
      </c>
      <c r="AV3" s="2">
        <f>D3/'D5 Gallon Forecast'!D3</f>
        <v>1</v>
      </c>
      <c r="AW3" s="2">
        <f>E3/'D5 Gallon Forecast'!E3</f>
        <v>1</v>
      </c>
      <c r="AX3" s="2">
        <f>F3/'D5 Gallon Forecast'!F3</f>
        <v>1</v>
      </c>
      <c r="AY3" s="2">
        <f>G3/'D5 Gallon Forecast'!G3</f>
        <v>1</v>
      </c>
      <c r="AZ3" s="2">
        <f>H3/'D5 Gallon Forecast'!H3</f>
        <v>1</v>
      </c>
      <c r="BA3" s="2">
        <f>I3/'D5 Gallon Forecast'!I3</f>
        <v>1</v>
      </c>
      <c r="BB3" s="2">
        <f>J3/'D5 Gallon Forecast'!J3</f>
        <v>1</v>
      </c>
    </row>
    <row r="4" spans="1:54">
      <c r="A4" s="2" t="s">
        <v>224</v>
      </c>
      <c r="B4" s="3">
        <f>B82</f>
        <v>4043017</v>
      </c>
      <c r="C4" s="3">
        <f t="shared" ref="C4:I4" si="3">C82</f>
        <v>21323017</v>
      </c>
      <c r="D4" s="3">
        <f t="shared" si="3"/>
        <v>27668581</v>
      </c>
      <c r="E4" s="3">
        <f t="shared" si="3"/>
        <v>22937389</v>
      </c>
      <c r="F4" s="3">
        <f t="shared" si="3"/>
        <v>25823548</v>
      </c>
      <c r="G4" s="3">
        <f t="shared" si="3"/>
        <v>24830834</v>
      </c>
      <c r="H4" s="3">
        <f t="shared" si="3"/>
        <v>27055246</v>
      </c>
      <c r="I4" s="3">
        <f t="shared" si="3"/>
        <v>25503257</v>
      </c>
      <c r="J4" s="3">
        <f>J82</f>
        <v>24713691</v>
      </c>
      <c r="K4" s="3">
        <f>K82</f>
        <v>23892135</v>
      </c>
      <c r="L4" s="3">
        <f>L82</f>
        <v>23451877</v>
      </c>
      <c r="M4" s="3">
        <f>M82</f>
        <v>26071610</v>
      </c>
      <c r="N4" s="3">
        <f t="shared" ref="N4:T4" si="4">N82</f>
        <v>28921497</v>
      </c>
      <c r="O4" s="3">
        <f>O82</f>
        <v>29925828</v>
      </c>
      <c r="P4" s="3">
        <f t="shared" si="4"/>
        <v>28685489</v>
      </c>
      <c r="Q4" s="177">
        <f t="shared" si="4"/>
        <v>33387387.181493059</v>
      </c>
      <c r="R4" s="177">
        <f t="shared" si="4"/>
        <v>32232011.270047031</v>
      </c>
      <c r="S4" s="177">
        <f t="shared" si="4"/>
        <v>37309058.288327254</v>
      </c>
      <c r="T4" s="177">
        <f t="shared" si="4"/>
        <v>40479901.902477115</v>
      </c>
      <c r="X4" s="210" t="s">
        <v>224</v>
      </c>
      <c r="Y4" s="357">
        <f>H4/'D5 Gallon Forecast'!H4</f>
        <v>1</v>
      </c>
      <c r="Z4" s="357">
        <f>I4/'D5 Gallon Forecast'!I4</f>
        <v>1</v>
      </c>
      <c r="AA4" s="357">
        <f>J4/'D5 Gallon Forecast'!J4</f>
        <v>1</v>
      </c>
      <c r="AB4" s="357">
        <f>K4/'D5 Gallon Forecast'!K4</f>
        <v>1</v>
      </c>
      <c r="AC4" s="357">
        <f>L4/'D5 Gallon Forecast'!L4</f>
        <v>1</v>
      </c>
      <c r="AD4" s="357">
        <f>M4/'D5 Gallon Forecast'!M4</f>
        <v>1</v>
      </c>
      <c r="AE4" s="357">
        <f>N4/'D5 Gallon Forecast'!N4</f>
        <v>1</v>
      </c>
      <c r="AF4" s="357">
        <f>O4/'D5 Gallon Forecast'!O4</f>
        <v>1</v>
      </c>
      <c r="AG4" s="358">
        <f>P4/'D5 Gallon Forecast'!P4</f>
        <v>1</v>
      </c>
      <c r="AH4" s="358">
        <f>Q4/'D5 Gallon Forecast'!Q4</f>
        <v>1</v>
      </c>
      <c r="AI4" s="358">
        <f>R4/'D5 Gallon Forecast'!R4</f>
        <v>1</v>
      </c>
      <c r="AT4" s="2">
        <f>B4/'D5 Gallon Forecast'!B4</f>
        <v>1</v>
      </c>
      <c r="AU4" s="2">
        <f>C4/'D5 Gallon Forecast'!C4</f>
        <v>1</v>
      </c>
      <c r="AV4" s="2">
        <f>D4/'D5 Gallon Forecast'!D4</f>
        <v>1</v>
      </c>
      <c r="AW4" s="2">
        <f>E4/'D5 Gallon Forecast'!E4</f>
        <v>1</v>
      </c>
      <c r="AX4" s="2">
        <f>F4/'D5 Gallon Forecast'!F4</f>
        <v>1</v>
      </c>
      <c r="AY4" s="2">
        <f>G4/'D5 Gallon Forecast'!G4</f>
        <v>1</v>
      </c>
      <c r="AZ4" s="2">
        <f>H4/'D5 Gallon Forecast'!H4</f>
        <v>1</v>
      </c>
      <c r="BA4" s="2">
        <f>I4/'D5 Gallon Forecast'!I4</f>
        <v>1</v>
      </c>
      <c r="BB4" s="2">
        <f>J4/'D5 Gallon Forecast'!J4</f>
        <v>1</v>
      </c>
    </row>
    <row r="5" spans="1:54" ht="13.5" thickBot="1">
      <c r="A5" s="2" t="s">
        <v>225</v>
      </c>
      <c r="B5" s="3">
        <f>B98</f>
        <v>0</v>
      </c>
      <c r="C5" s="3">
        <f t="shared" ref="C5:I5" si="5">C98</f>
        <v>172425788</v>
      </c>
      <c r="D5" s="3">
        <f t="shared" si="5"/>
        <v>575793102</v>
      </c>
      <c r="E5" s="3">
        <f t="shared" si="5"/>
        <v>435313268</v>
      </c>
      <c r="F5" s="3">
        <f t="shared" si="5"/>
        <v>64474655</v>
      </c>
      <c r="G5" s="3">
        <f t="shared" si="5"/>
        <v>88954450</v>
      </c>
      <c r="H5" s="3">
        <f t="shared" si="5"/>
        <v>34404034</v>
      </c>
      <c r="I5" s="3">
        <f t="shared" si="5"/>
        <v>73889090</v>
      </c>
      <c r="J5" s="3">
        <f>J98</f>
        <v>77668319</v>
      </c>
      <c r="K5" s="3">
        <f>K98</f>
        <v>195603169</v>
      </c>
      <c r="L5" s="3">
        <f>L98</f>
        <v>185186372</v>
      </c>
      <c r="M5" s="3">
        <f>M98</f>
        <v>59514391</v>
      </c>
      <c r="N5" s="3">
        <f t="shared" ref="N5:T5" si="6">N98</f>
        <v>80546883</v>
      </c>
      <c r="O5" s="3">
        <f>O98</f>
        <v>21239003</v>
      </c>
      <c r="P5" s="3">
        <f t="shared" si="6"/>
        <v>0</v>
      </c>
      <c r="Q5" s="177">
        <f t="shared" si="6"/>
        <v>0</v>
      </c>
      <c r="R5" s="177">
        <f t="shared" si="6"/>
        <v>0</v>
      </c>
      <c r="S5" s="177">
        <f t="shared" si="6"/>
        <v>0</v>
      </c>
      <c r="T5" s="177">
        <f t="shared" si="6"/>
        <v>0</v>
      </c>
      <c r="X5" s="210" t="s">
        <v>225</v>
      </c>
      <c r="Y5" s="357">
        <f>H5/'D5 Gallon Forecast'!H5</f>
        <v>1</v>
      </c>
      <c r="Z5" s="357">
        <f>I5/'D5 Gallon Forecast'!I5</f>
        <v>1</v>
      </c>
      <c r="AA5" s="357">
        <f>J5/'D5 Gallon Forecast'!J5</f>
        <v>1</v>
      </c>
      <c r="AB5" s="357">
        <f>K5/'D5 Gallon Forecast'!K5</f>
        <v>1</v>
      </c>
      <c r="AC5" s="357">
        <f>L5/'D5 Gallon Forecast'!L5</f>
        <v>1</v>
      </c>
      <c r="AD5" s="357">
        <f>M5/'D5 Gallon Forecast'!M5</f>
        <v>1</v>
      </c>
      <c r="AE5" s="357">
        <f>N5/'D5 Gallon Forecast'!N5</f>
        <v>1</v>
      </c>
      <c r="AF5" s="357">
        <f>O5/'D5 Gallon Forecast'!O5</f>
        <v>1</v>
      </c>
      <c r="AG5" s="358" t="e">
        <f>P5/'D5 Gallon Forecast'!P5</f>
        <v>#DIV/0!</v>
      </c>
      <c r="AH5" s="358" t="e">
        <f>Q5/'D5 Gallon Forecast'!Q5</f>
        <v>#DIV/0!</v>
      </c>
      <c r="AI5" s="358" t="e">
        <f>R5/'D5 Gallon Forecast'!R5</f>
        <v>#DIV/0!</v>
      </c>
      <c r="AT5" s="2" t="e">
        <f>B5/'D5 Gallon Forecast'!B5</f>
        <v>#DIV/0!</v>
      </c>
      <c r="AU5" s="2">
        <f>C5/'D5 Gallon Forecast'!C5</f>
        <v>1</v>
      </c>
      <c r="AV5" s="2">
        <f>D5/'D5 Gallon Forecast'!D5</f>
        <v>1</v>
      </c>
      <c r="AW5" s="2">
        <f>E5/'D5 Gallon Forecast'!E5</f>
        <v>1</v>
      </c>
      <c r="AX5" s="2">
        <f>F5/'D5 Gallon Forecast'!F5</f>
        <v>1</v>
      </c>
      <c r="AY5" s="2">
        <f>G5/'D5 Gallon Forecast'!G5</f>
        <v>1</v>
      </c>
      <c r="AZ5" s="2">
        <f>H5/'D5 Gallon Forecast'!H5</f>
        <v>1</v>
      </c>
      <c r="BA5" s="2">
        <f>I5/'D5 Gallon Forecast'!I5</f>
        <v>1</v>
      </c>
      <c r="BB5" s="2">
        <f>J5/'D5 Gallon Forecast'!J5</f>
        <v>1</v>
      </c>
    </row>
    <row r="6" spans="1:54">
      <c r="A6" s="359" t="s">
        <v>283</v>
      </c>
      <c r="B6" s="98">
        <f>B7+B10</f>
        <v>12771446</v>
      </c>
      <c r="C6" s="98">
        <f t="shared" ref="C6:T6" si="7">C7+C10</f>
        <v>27204942</v>
      </c>
      <c r="D6" s="98">
        <f t="shared" si="7"/>
        <v>20532873</v>
      </c>
      <c r="E6" s="98">
        <f t="shared" si="7"/>
        <v>70172481</v>
      </c>
      <c r="F6" s="98">
        <f t="shared" si="7"/>
        <v>14628528</v>
      </c>
      <c r="G6" s="98">
        <f t="shared" si="7"/>
        <v>8465623</v>
      </c>
      <c r="H6" s="98">
        <f t="shared" si="7"/>
        <v>7932226</v>
      </c>
      <c r="I6" s="98">
        <f t="shared" si="7"/>
        <v>8750305</v>
      </c>
      <c r="J6" s="98">
        <f t="shared" si="7"/>
        <v>40133415</v>
      </c>
      <c r="K6" s="98">
        <f t="shared" si="7"/>
        <v>58299481</v>
      </c>
      <c r="L6" s="98">
        <f t="shared" si="7"/>
        <v>86014356</v>
      </c>
      <c r="M6" s="98">
        <f t="shared" si="7"/>
        <v>106156180</v>
      </c>
      <c r="N6" s="98">
        <f t="shared" si="7"/>
        <v>129144016</v>
      </c>
      <c r="O6" s="98">
        <f t="shared" si="7"/>
        <v>122673890</v>
      </c>
      <c r="P6" s="98">
        <f t="shared" si="7"/>
        <v>114132272</v>
      </c>
      <c r="Q6" s="179">
        <f t="shared" si="7"/>
        <v>104913649.73643684</v>
      </c>
      <c r="R6" s="179">
        <f t="shared" si="7"/>
        <v>126895632.76228479</v>
      </c>
      <c r="S6" s="179">
        <f t="shared" si="7"/>
        <v>153297015.42165399</v>
      </c>
      <c r="T6" s="179">
        <f t="shared" si="7"/>
        <v>160251305.70010197</v>
      </c>
      <c r="X6" s="210" t="s">
        <v>283</v>
      </c>
      <c r="Y6" s="357">
        <f>H6/'D5 Gallon Forecast'!H6</f>
        <v>1.6999997428212847</v>
      </c>
      <c r="Z6" s="357">
        <f>I6/'D5 Gallon Forecast'!I6</f>
        <v>1.7000004079858766</v>
      </c>
      <c r="AA6" s="357">
        <f>J6/'D5 Gallon Forecast'!J6</f>
        <v>1.7000004447666532</v>
      </c>
      <c r="AB6" s="357">
        <f>K6/'D5 Gallon Forecast'!K6</f>
        <v>1.7000001662107582</v>
      </c>
      <c r="AC6" s="357">
        <f>L6/'D5 Gallon Forecast'!L6</f>
        <v>1.7000003023914361</v>
      </c>
      <c r="AD6" s="357">
        <f>M6/'D5 Gallon Forecast'!M6</f>
        <v>1.7000001297145493</v>
      </c>
      <c r="AE6" s="357">
        <f>N6/'D5 Gallon Forecast'!N6</f>
        <v>1.7000000947779159</v>
      </c>
      <c r="AF6" s="357">
        <f>O6/'D5 Gallon Forecast'!O6</f>
        <v>1.7000001829240305</v>
      </c>
      <c r="AG6" s="358">
        <f>P6/'D5 Gallon Forecast'!P6</f>
        <v>1.7000001921455001</v>
      </c>
      <c r="AH6" s="358">
        <f>Q6/'D5 Gallon Forecast'!Q6</f>
        <v>1.7000001662780351</v>
      </c>
      <c r="AI6" s="358">
        <f>R6/'D5 Gallon Forecast'!R6</f>
        <v>1.7000002275722625</v>
      </c>
      <c r="AT6" s="2">
        <f>B6/'D5 Gallon Forecast'!B6</f>
        <v>1.6337964926859745</v>
      </c>
      <c r="AU6" s="2">
        <f>C6/'D5 Gallon Forecast'!C6</f>
        <v>1.6271272019644469</v>
      </c>
      <c r="AV6" s="2">
        <f>D6/'D5 Gallon Forecast'!D6</f>
        <v>1.6822477157649862</v>
      </c>
      <c r="AW6" s="2">
        <f>E6/'D5 Gallon Forecast'!E6</f>
        <v>1.6999789139328465</v>
      </c>
      <c r="AX6" s="2">
        <f>F6/'D5 Gallon Forecast'!F6</f>
        <v>1.6999996978507192</v>
      </c>
      <c r="AY6" s="2">
        <f>G6/'D5 Gallon Forecast'!G6</f>
        <v>1.7000011044675714</v>
      </c>
      <c r="AZ6" s="2">
        <f>H6/'D5 Gallon Forecast'!H6</f>
        <v>1.6999997428212847</v>
      </c>
      <c r="BA6" s="2">
        <f>I6/'D5 Gallon Forecast'!I6</f>
        <v>1.7000004079858766</v>
      </c>
      <c r="BB6" s="2">
        <f>J6/'D5 Gallon Forecast'!J6</f>
        <v>1.7000004447666532</v>
      </c>
    </row>
    <row r="7" spans="1:54">
      <c r="A7" s="2" t="s">
        <v>224</v>
      </c>
      <c r="B7" s="3">
        <f>B8+B9</f>
        <v>12771446</v>
      </c>
      <c r="C7" s="3">
        <f t="shared" ref="C7:T7" si="8">C8+C9</f>
        <v>27204942</v>
      </c>
      <c r="D7" s="3">
        <f t="shared" si="8"/>
        <v>20532873</v>
      </c>
      <c r="E7" s="3">
        <f t="shared" si="8"/>
        <v>70172481</v>
      </c>
      <c r="F7" s="3">
        <f t="shared" si="8"/>
        <v>14628528</v>
      </c>
      <c r="G7" s="3">
        <f t="shared" si="8"/>
        <v>8465623</v>
      </c>
      <c r="H7" s="3">
        <f t="shared" si="8"/>
        <v>7932226</v>
      </c>
      <c r="I7" s="3">
        <f t="shared" si="8"/>
        <v>8750305</v>
      </c>
      <c r="J7" s="3">
        <f t="shared" si="8"/>
        <v>40133415</v>
      </c>
      <c r="K7" s="3">
        <f t="shared" si="8"/>
        <v>58299481</v>
      </c>
      <c r="L7" s="3">
        <f t="shared" si="8"/>
        <v>86014356</v>
      </c>
      <c r="M7" s="3">
        <f t="shared" si="8"/>
        <v>106156180</v>
      </c>
      <c r="N7" s="3">
        <f t="shared" si="8"/>
        <v>129144016</v>
      </c>
      <c r="O7" s="3">
        <f t="shared" si="8"/>
        <v>122673890</v>
      </c>
      <c r="P7" s="3">
        <f t="shared" si="8"/>
        <v>114132272</v>
      </c>
      <c r="Q7" s="177">
        <f t="shared" si="8"/>
        <v>104913649.73643684</v>
      </c>
      <c r="R7" s="177">
        <f t="shared" si="8"/>
        <v>126895632.76228479</v>
      </c>
      <c r="S7" s="177">
        <f t="shared" si="8"/>
        <v>153297015.42165399</v>
      </c>
      <c r="T7" s="177">
        <f t="shared" si="8"/>
        <v>160251305.70010197</v>
      </c>
      <c r="X7" s="210" t="s">
        <v>224</v>
      </c>
      <c r="Y7" s="357">
        <f>H7/'D5 Gallon Forecast'!H7</f>
        <v>1.6999997428212847</v>
      </c>
      <c r="Z7" s="357">
        <f>I7/'D5 Gallon Forecast'!I7</f>
        <v>1.7000004079858766</v>
      </c>
      <c r="AA7" s="357">
        <f>J7/'D5 Gallon Forecast'!J7</f>
        <v>1.7000004447666532</v>
      </c>
      <c r="AB7" s="357">
        <f>K7/'D5 Gallon Forecast'!K7</f>
        <v>1.7000001662107582</v>
      </c>
      <c r="AC7" s="357">
        <f>L7/'D5 Gallon Forecast'!L7</f>
        <v>1.7000003023914361</v>
      </c>
      <c r="AD7" s="357">
        <f>M7/'D5 Gallon Forecast'!M7</f>
        <v>1.7000001297145493</v>
      </c>
      <c r="AE7" s="357">
        <f>N7/'D5 Gallon Forecast'!N7</f>
        <v>1.7000000947779159</v>
      </c>
      <c r="AF7" s="357">
        <f>O7/'D5 Gallon Forecast'!O7</f>
        <v>1.7000001829240305</v>
      </c>
      <c r="AG7" s="358">
        <f>P7/'D5 Gallon Forecast'!P7</f>
        <v>1.7000001921455001</v>
      </c>
      <c r="AH7" s="358">
        <f>Q7/'D5 Gallon Forecast'!Q7</f>
        <v>1.7000001662780351</v>
      </c>
      <c r="AI7" s="358">
        <f>R7/'D5 Gallon Forecast'!R7</f>
        <v>1.7000002275722625</v>
      </c>
      <c r="AT7" s="2">
        <f>B7/'D5 Gallon Forecast'!B7</f>
        <v>1.6337964926859745</v>
      </c>
      <c r="AU7" s="2">
        <f>C7/'D5 Gallon Forecast'!C7</f>
        <v>1.6271272019644469</v>
      </c>
      <c r="AV7" s="2">
        <f>D7/'D5 Gallon Forecast'!D7</f>
        <v>1.6822477157649862</v>
      </c>
      <c r="AW7" s="2">
        <f>E7/'D5 Gallon Forecast'!E7</f>
        <v>1.6999789139328465</v>
      </c>
      <c r="AX7" s="2">
        <f>F7/'D5 Gallon Forecast'!F7</f>
        <v>1.6999996978507192</v>
      </c>
      <c r="AY7" s="2">
        <f>G7/'D5 Gallon Forecast'!G7</f>
        <v>1.7000011044675714</v>
      </c>
      <c r="AZ7" s="2">
        <f>H7/'D5 Gallon Forecast'!H7</f>
        <v>1.6999997428212847</v>
      </c>
      <c r="BA7" s="2">
        <f>I7/'D5 Gallon Forecast'!I7</f>
        <v>1.7000004079858766</v>
      </c>
      <c r="BB7" s="2">
        <f>J7/'D5 Gallon Forecast'!J7</f>
        <v>1.7000004447666532</v>
      </c>
    </row>
    <row r="8" spans="1:54">
      <c r="A8" s="2" t="s">
        <v>285</v>
      </c>
      <c r="B8" s="3">
        <f>B146</f>
        <v>8280103</v>
      </c>
      <c r="C8" s="3">
        <f t="shared" ref="C8:I8" si="9">C146</f>
        <v>19493670</v>
      </c>
      <c r="D8" s="3">
        <f t="shared" si="9"/>
        <v>3467654</v>
      </c>
      <c r="E8" s="3">
        <f t="shared" si="9"/>
        <v>18579</v>
      </c>
      <c r="F8" s="3">
        <f t="shared" si="9"/>
        <v>480</v>
      </c>
      <c r="G8" s="3">
        <f t="shared" si="9"/>
        <v>0</v>
      </c>
      <c r="H8" s="3">
        <f t="shared" si="9"/>
        <v>0</v>
      </c>
      <c r="I8" s="3">
        <f t="shared" si="9"/>
        <v>0</v>
      </c>
      <c r="J8" s="3">
        <f>J146</f>
        <v>0</v>
      </c>
      <c r="K8" s="3">
        <f>K146</f>
        <v>0</v>
      </c>
      <c r="L8" s="3">
        <f>L146</f>
        <v>0</v>
      </c>
      <c r="M8" s="3">
        <f>M146</f>
        <v>0</v>
      </c>
      <c r="N8" s="3">
        <f t="shared" ref="N8:T8" si="10">N146</f>
        <v>0</v>
      </c>
      <c r="O8" s="3">
        <f>O146</f>
        <v>0</v>
      </c>
      <c r="P8" s="3">
        <f t="shared" si="10"/>
        <v>0</v>
      </c>
      <c r="Q8" s="177">
        <f t="shared" si="10"/>
        <v>0</v>
      </c>
      <c r="R8" s="177">
        <f t="shared" si="10"/>
        <v>0</v>
      </c>
      <c r="S8" s="177">
        <f t="shared" si="10"/>
        <v>0</v>
      </c>
      <c r="T8" s="177">
        <f t="shared" si="10"/>
        <v>0</v>
      </c>
      <c r="X8" s="210" t="s">
        <v>285</v>
      </c>
      <c r="Y8" s="357" t="e">
        <f>H8/'D5 Gallon Forecast'!H8</f>
        <v>#DIV/0!</v>
      </c>
      <c r="Z8" s="357" t="e">
        <f>I8/'D5 Gallon Forecast'!I8</f>
        <v>#DIV/0!</v>
      </c>
      <c r="AA8" s="357" t="e">
        <f>J8/'D5 Gallon Forecast'!J8</f>
        <v>#DIV/0!</v>
      </c>
      <c r="AB8" s="357" t="e">
        <f>K8/'D5 Gallon Forecast'!K8</f>
        <v>#DIV/0!</v>
      </c>
      <c r="AC8" s="357" t="e">
        <f>L8/'D5 Gallon Forecast'!L8</f>
        <v>#DIV/0!</v>
      </c>
      <c r="AD8" s="357" t="e">
        <f>M8/'D5 Gallon Forecast'!M8</f>
        <v>#DIV/0!</v>
      </c>
      <c r="AE8" s="357" t="e">
        <f>N8/'D5 Gallon Forecast'!N8</f>
        <v>#DIV/0!</v>
      </c>
      <c r="AF8" s="357" t="e">
        <f>O8/'D5 Gallon Forecast'!O8</f>
        <v>#DIV/0!</v>
      </c>
      <c r="AG8" s="358" t="e">
        <f>P8/'D5 Gallon Forecast'!P8</f>
        <v>#DIV/0!</v>
      </c>
      <c r="AH8" s="358" t="e">
        <f>Q8/'D5 Gallon Forecast'!Q8</f>
        <v>#DIV/0!</v>
      </c>
      <c r="AI8" s="358" t="e">
        <f>R8/'D5 Gallon Forecast'!R8</f>
        <v>#DIV/0!</v>
      </c>
      <c r="AT8" s="2">
        <f>B8/'D5 Gallon Forecast'!B8</f>
        <v>1.599997024197142</v>
      </c>
      <c r="AU8" s="2">
        <f>C8/'D5 Gallon Forecast'!C8</f>
        <v>1.59999550214231</v>
      </c>
      <c r="AV8" s="2">
        <f>D8/'D5 Gallon Forecast'!D8</f>
        <v>1.599998338936347</v>
      </c>
      <c r="AW8" s="2">
        <f>E8/'D5 Gallon Forecast'!E8</f>
        <v>1.5999827764381673</v>
      </c>
      <c r="AX8" s="2">
        <f>F8/'D5 Gallon Forecast'!F8</f>
        <v>1.6</v>
      </c>
      <c r="AY8" s="2" t="e">
        <f>G8/'D5 Gallon Forecast'!G8</f>
        <v>#DIV/0!</v>
      </c>
      <c r="AZ8" s="2" t="e">
        <f>H8/'D5 Gallon Forecast'!H8</f>
        <v>#DIV/0!</v>
      </c>
      <c r="BA8" s="2" t="e">
        <f>I8/'D5 Gallon Forecast'!I8</f>
        <v>#DIV/0!</v>
      </c>
      <c r="BB8" s="2" t="e">
        <f>J8/'D5 Gallon Forecast'!J8</f>
        <v>#DIV/0!</v>
      </c>
    </row>
    <row r="9" spans="1:54">
      <c r="A9" s="2" t="s">
        <v>286</v>
      </c>
      <c r="B9" s="3">
        <f>B162</f>
        <v>4491343</v>
      </c>
      <c r="C9" s="3">
        <f t="shared" ref="C9:I9" si="11">C162</f>
        <v>7711272</v>
      </c>
      <c r="D9" s="3">
        <f t="shared" si="11"/>
        <v>17065219</v>
      </c>
      <c r="E9" s="3">
        <f t="shared" si="11"/>
        <v>70153902</v>
      </c>
      <c r="F9" s="3">
        <f t="shared" si="11"/>
        <v>14628048</v>
      </c>
      <c r="G9" s="3">
        <f t="shared" si="11"/>
        <v>8465623</v>
      </c>
      <c r="H9" s="3">
        <f t="shared" si="11"/>
        <v>7932226</v>
      </c>
      <c r="I9" s="3">
        <f t="shared" si="11"/>
        <v>8750305</v>
      </c>
      <c r="J9" s="3">
        <f>J162</f>
        <v>40133415</v>
      </c>
      <c r="K9" s="3">
        <f>K162</f>
        <v>58299481</v>
      </c>
      <c r="L9" s="3">
        <f>L162</f>
        <v>86014356</v>
      </c>
      <c r="M9" s="3">
        <f>M162</f>
        <v>106156180</v>
      </c>
      <c r="N9" s="3">
        <f t="shared" ref="N9:T9" si="12">N162</f>
        <v>129144016</v>
      </c>
      <c r="O9" s="3">
        <f>O162</f>
        <v>122673890</v>
      </c>
      <c r="P9" s="3">
        <f t="shared" si="12"/>
        <v>114132272</v>
      </c>
      <c r="Q9" s="177">
        <f t="shared" si="12"/>
        <v>104913649.73643684</v>
      </c>
      <c r="R9" s="177">
        <f t="shared" si="12"/>
        <v>126895632.76228479</v>
      </c>
      <c r="S9" s="177">
        <f t="shared" si="12"/>
        <v>153297015.42165399</v>
      </c>
      <c r="T9" s="177">
        <f t="shared" si="12"/>
        <v>160251305.70010197</v>
      </c>
      <c r="X9" s="210" t="s">
        <v>286</v>
      </c>
      <c r="Y9" s="357">
        <f>H9/'D5 Gallon Forecast'!H9</f>
        <v>1.6999997428212847</v>
      </c>
      <c r="Z9" s="357">
        <f>I9/'D5 Gallon Forecast'!I9</f>
        <v>1.7000004079858766</v>
      </c>
      <c r="AA9" s="357">
        <f>J9/'D5 Gallon Forecast'!J9</f>
        <v>1.7000004447666532</v>
      </c>
      <c r="AB9" s="357">
        <f>K9/'D5 Gallon Forecast'!K9</f>
        <v>1.7000001662107582</v>
      </c>
      <c r="AC9" s="357">
        <f>L9/'D5 Gallon Forecast'!L9</f>
        <v>1.7000003023914361</v>
      </c>
      <c r="AD9" s="357">
        <f>M9/'D5 Gallon Forecast'!M9</f>
        <v>1.7000001297145493</v>
      </c>
      <c r="AE9" s="357">
        <f>N9/'D5 Gallon Forecast'!N9</f>
        <v>1.7000000947779159</v>
      </c>
      <c r="AF9" s="357">
        <f>O9/'D5 Gallon Forecast'!O9</f>
        <v>1.7000001829240305</v>
      </c>
      <c r="AG9" s="358">
        <f>P9/'D5 Gallon Forecast'!P9</f>
        <v>1.7000001921455001</v>
      </c>
      <c r="AH9" s="358">
        <f>Q9/'D5 Gallon Forecast'!Q9</f>
        <v>1.7000001662780351</v>
      </c>
      <c r="AI9" s="358">
        <f>R9/'D5 Gallon Forecast'!R9</f>
        <v>1.7000002275722625</v>
      </c>
      <c r="AT9" s="2">
        <f>B9/'D5 Gallon Forecast'!B9</f>
        <v>1.7000028766500048</v>
      </c>
      <c r="AU9" s="2">
        <f>C9/'D5 Gallon Forecast'!C9</f>
        <v>1.7000016313796313</v>
      </c>
      <c r="AV9" s="2">
        <f>D9/'D5 Gallon Forecast'!D9</f>
        <v>1.7000054391506478</v>
      </c>
      <c r="AW9" s="2">
        <f>E9/'D5 Gallon Forecast'!E9</f>
        <v>1.7000070516683738</v>
      </c>
      <c r="AX9" s="2">
        <f>F9/'D5 Gallon Forecast'!F9</f>
        <v>1.70000318429959</v>
      </c>
      <c r="AY9" s="2">
        <f>G9/'D5 Gallon Forecast'!G9</f>
        <v>1.7000011044675714</v>
      </c>
      <c r="AZ9" s="2">
        <f>H9/'D5 Gallon Forecast'!H9</f>
        <v>1.6999997428212847</v>
      </c>
      <c r="BA9" s="2">
        <f>I9/'D5 Gallon Forecast'!I9</f>
        <v>1.7000004079858766</v>
      </c>
      <c r="BB9" s="2">
        <f>J9/'D5 Gallon Forecast'!J9</f>
        <v>1.7000004447666532</v>
      </c>
    </row>
    <row r="10" spans="1:54" ht="13.5" thickBot="1">
      <c r="A10" s="360" t="s">
        <v>225</v>
      </c>
      <c r="B10" s="361">
        <f>B178</f>
        <v>0</v>
      </c>
      <c r="C10" s="361">
        <f t="shared" ref="C10:I10" si="13">C178</f>
        <v>0</v>
      </c>
      <c r="D10" s="361">
        <f t="shared" si="13"/>
        <v>0</v>
      </c>
      <c r="E10" s="361">
        <f t="shared" si="13"/>
        <v>0</v>
      </c>
      <c r="F10" s="361">
        <f t="shared" si="13"/>
        <v>0</v>
      </c>
      <c r="G10" s="361">
        <f t="shared" si="13"/>
        <v>0</v>
      </c>
      <c r="H10" s="361">
        <f t="shared" si="13"/>
        <v>0</v>
      </c>
      <c r="I10" s="361">
        <f t="shared" si="13"/>
        <v>0</v>
      </c>
      <c r="J10" s="361">
        <f>J178</f>
        <v>0</v>
      </c>
      <c r="K10" s="361">
        <f>K178</f>
        <v>0</v>
      </c>
      <c r="L10" s="361">
        <f>L178</f>
        <v>0</v>
      </c>
      <c r="M10" s="361">
        <f>M178</f>
        <v>0</v>
      </c>
      <c r="N10" s="361">
        <f t="shared" ref="N10:T10" si="14">N178</f>
        <v>0</v>
      </c>
      <c r="O10" s="361">
        <f>O178</f>
        <v>0</v>
      </c>
      <c r="P10" s="361">
        <f t="shared" si="14"/>
        <v>0</v>
      </c>
      <c r="Q10" s="362">
        <f t="shared" si="14"/>
        <v>0</v>
      </c>
      <c r="R10" s="362">
        <f t="shared" si="14"/>
        <v>0</v>
      </c>
      <c r="S10" s="362">
        <f t="shared" si="14"/>
        <v>0</v>
      </c>
      <c r="T10" s="362">
        <f t="shared" si="14"/>
        <v>0</v>
      </c>
      <c r="X10" s="210" t="s">
        <v>225</v>
      </c>
      <c r="Y10" s="357" t="e">
        <f>H10/'D5 Gallon Forecast'!H10</f>
        <v>#DIV/0!</v>
      </c>
      <c r="Z10" s="357" t="e">
        <f>I10/'D5 Gallon Forecast'!I10</f>
        <v>#DIV/0!</v>
      </c>
      <c r="AA10" s="357" t="e">
        <f>J10/'D5 Gallon Forecast'!J10</f>
        <v>#DIV/0!</v>
      </c>
      <c r="AB10" s="357" t="e">
        <f>K10/'D5 Gallon Forecast'!K10</f>
        <v>#DIV/0!</v>
      </c>
      <c r="AC10" s="357" t="e">
        <f>L10/'D5 Gallon Forecast'!L10</f>
        <v>#DIV/0!</v>
      </c>
      <c r="AD10" s="357" t="e">
        <f>M10/'D5 Gallon Forecast'!M10</f>
        <v>#DIV/0!</v>
      </c>
      <c r="AE10" s="357" t="e">
        <f>N10/'D5 Gallon Forecast'!N10</f>
        <v>#DIV/0!</v>
      </c>
      <c r="AF10" s="357" t="e">
        <f>O10/'D5 Gallon Forecast'!O10</f>
        <v>#DIV/0!</v>
      </c>
      <c r="AG10" s="358" t="e">
        <f>P10/'D5 Gallon Forecast'!P10</f>
        <v>#DIV/0!</v>
      </c>
      <c r="AH10" s="358" t="e">
        <f>Q10/'D5 Gallon Forecast'!Q10</f>
        <v>#DIV/0!</v>
      </c>
      <c r="AI10" s="358" t="e">
        <f>R10/'D5 Gallon Forecast'!R10</f>
        <v>#DIV/0!</v>
      </c>
      <c r="AT10" s="2" t="e">
        <f>B10/'D5 Gallon Forecast'!B10</f>
        <v>#DIV/0!</v>
      </c>
      <c r="AU10" s="2" t="e">
        <f>C10/'D5 Gallon Forecast'!C10</f>
        <v>#DIV/0!</v>
      </c>
      <c r="AV10" s="2" t="e">
        <f>D10/'D5 Gallon Forecast'!D10</f>
        <v>#DIV/0!</v>
      </c>
      <c r="AW10" s="2" t="e">
        <f>E10/'D5 Gallon Forecast'!E10</f>
        <v>#DIV/0!</v>
      </c>
      <c r="AX10" s="2" t="e">
        <f>F10/'D5 Gallon Forecast'!F10</f>
        <v>#DIV/0!</v>
      </c>
      <c r="AY10" s="2" t="e">
        <f>G10/'D5 Gallon Forecast'!G10</f>
        <v>#DIV/0!</v>
      </c>
      <c r="AZ10" s="2" t="e">
        <f>H10/'D5 Gallon Forecast'!H10</f>
        <v>#DIV/0!</v>
      </c>
      <c r="BA10" s="2" t="e">
        <f>I10/'D5 Gallon Forecast'!I10</f>
        <v>#DIV/0!</v>
      </c>
      <c r="BB10" s="2" t="e">
        <f>J10/'D5 Gallon Forecast'!J10</f>
        <v>#DIV/0!</v>
      </c>
    </row>
    <row r="11" spans="1:54">
      <c r="A11" s="97" t="s">
        <v>289</v>
      </c>
      <c r="B11" s="98">
        <f>B12+B13</f>
        <v>11797169</v>
      </c>
      <c r="C11" s="98">
        <f t="shared" ref="C11:T11" si="15">C12+C13</f>
        <v>6180377</v>
      </c>
      <c r="D11" s="98">
        <f t="shared" si="15"/>
        <v>196124</v>
      </c>
      <c r="E11" s="98">
        <f t="shared" si="15"/>
        <v>0</v>
      </c>
      <c r="F11" s="98">
        <f t="shared" si="15"/>
        <v>113884</v>
      </c>
      <c r="G11" s="98">
        <f t="shared" si="15"/>
        <v>847149</v>
      </c>
      <c r="H11" s="98">
        <f t="shared" si="15"/>
        <v>1544722</v>
      </c>
      <c r="I11" s="96">
        <f t="shared" si="15"/>
        <v>1956751</v>
      </c>
      <c r="J11" s="96">
        <f t="shared" si="15"/>
        <v>2822612</v>
      </c>
      <c r="K11" s="96">
        <f t="shared" si="15"/>
        <v>3276020</v>
      </c>
      <c r="L11" s="96">
        <f t="shared" si="15"/>
        <v>2868136</v>
      </c>
      <c r="M11" s="96">
        <f t="shared" si="15"/>
        <v>2160903</v>
      </c>
      <c r="N11" s="96">
        <f t="shared" si="15"/>
        <v>3042574</v>
      </c>
      <c r="O11" s="96">
        <f t="shared" si="15"/>
        <v>3984191</v>
      </c>
      <c r="P11" s="96">
        <f t="shared" si="15"/>
        <v>4437052</v>
      </c>
      <c r="Q11" s="102">
        <f t="shared" si="15"/>
        <v>3959999.728298604</v>
      </c>
      <c r="R11" s="102">
        <f t="shared" si="15"/>
        <v>4838924.0723740263</v>
      </c>
      <c r="S11" s="102">
        <f t="shared" si="15"/>
        <v>4982048.7127480153</v>
      </c>
      <c r="T11" s="102">
        <f t="shared" si="15"/>
        <v>5584185.7741136905</v>
      </c>
      <c r="X11" s="210" t="s">
        <v>289</v>
      </c>
      <c r="Y11" s="357">
        <f>H11/'D5 Gallon Forecast'!H11</f>
        <v>1.5999987570588698</v>
      </c>
      <c r="Z11" s="357">
        <f>I11/'D5 Gallon Forecast'!I11</f>
        <v>1.5999965657431241</v>
      </c>
      <c r="AA11" s="357">
        <f>J11/'D5 Gallon Forecast'!J11</f>
        <v>1.5999986395591264</v>
      </c>
      <c r="AB11" s="357">
        <f>K11/'D5 Gallon Forecast'!K11</f>
        <v>1.6000011721548748</v>
      </c>
      <c r="AC11" s="357">
        <f>L11/'D5 Gallon Forecast'!L11</f>
        <v>1.6000017851335195</v>
      </c>
      <c r="AD11" s="357">
        <f>M11/'D5 Gallon Forecast'!M11</f>
        <v>1.600001628950297</v>
      </c>
      <c r="AE11" s="357">
        <f>N11/'D5 Gallon Forecast'!N11</f>
        <v>1.6000006310448842</v>
      </c>
      <c r="AF11" s="357">
        <f>O11/'D5 Gallon Forecast'!O11</f>
        <v>1.6000008834922683</v>
      </c>
      <c r="AG11" s="358">
        <f>P11/'D5 Gallon Forecast'!P11</f>
        <v>1.6000031732844071</v>
      </c>
      <c r="AH11" s="358">
        <f>Q11/'D5 Gallon Forecast'!Q11</f>
        <v>1.4399999011994924</v>
      </c>
      <c r="AI11" s="358">
        <f>R11/'D5 Gallon Forecast'!R11</f>
        <v>1.5609432491529116</v>
      </c>
      <c r="AT11" s="2">
        <f>B11/'D5 Gallon Forecast'!B11</f>
        <v>1.6000003526270512</v>
      </c>
      <c r="AU11" s="2">
        <f>C11/'D5 Gallon Forecast'!C11</f>
        <v>1.5999965309634809</v>
      </c>
      <c r="AV11" s="2">
        <f>D11/'D5 Gallon Forecast'!D11</f>
        <v>1.599980420789858</v>
      </c>
      <c r="AW11" s="2" t="e">
        <f>E11/'D5 Gallon Forecast'!E11</f>
        <v>#DIV/0!</v>
      </c>
      <c r="AX11" s="2">
        <f>F11/'D5 Gallon Forecast'!F11</f>
        <v>1.6000112395858213</v>
      </c>
      <c r="AY11" s="2">
        <f>G11/'D5 Gallon Forecast'!G11</f>
        <v>1.6000033996453036</v>
      </c>
      <c r="AZ11" s="2">
        <f>H11/'D5 Gallon Forecast'!H11</f>
        <v>1.5999987570588698</v>
      </c>
      <c r="BA11" s="2">
        <f>I11/'D5 Gallon Forecast'!I11</f>
        <v>1.5999965657431241</v>
      </c>
      <c r="BB11" s="2">
        <f>J11/'D5 Gallon Forecast'!J11</f>
        <v>1.5999986395591264</v>
      </c>
    </row>
    <row r="12" spans="1:54">
      <c r="A12" s="2" t="s">
        <v>224</v>
      </c>
      <c r="B12" s="3">
        <f>B210</f>
        <v>11797169</v>
      </c>
      <c r="C12" s="3">
        <f t="shared" ref="C12:I12" si="16">C210</f>
        <v>6180377</v>
      </c>
      <c r="D12" s="3">
        <f t="shared" si="16"/>
        <v>196124</v>
      </c>
      <c r="E12" s="3">
        <f t="shared" si="16"/>
        <v>0</v>
      </c>
      <c r="F12" s="3">
        <f t="shared" si="16"/>
        <v>113884</v>
      </c>
      <c r="G12" s="3">
        <f t="shared" si="16"/>
        <v>847149</v>
      </c>
      <c r="H12" s="3">
        <f t="shared" si="16"/>
        <v>1544722</v>
      </c>
      <c r="I12" s="3">
        <f t="shared" si="16"/>
        <v>1956751</v>
      </c>
      <c r="J12" s="3">
        <f>J210</f>
        <v>2822612</v>
      </c>
      <c r="K12" s="3">
        <f>K210</f>
        <v>3276020</v>
      </c>
      <c r="L12" s="3">
        <f>L210</f>
        <v>2868136</v>
      </c>
      <c r="M12" s="3">
        <f>M210</f>
        <v>2160903</v>
      </c>
      <c r="N12" s="3">
        <f t="shared" ref="N12:T12" si="17">N210</f>
        <v>3042574</v>
      </c>
      <c r="O12" s="3">
        <f>O210</f>
        <v>3984191</v>
      </c>
      <c r="P12" s="3">
        <f t="shared" si="17"/>
        <v>4437052</v>
      </c>
      <c r="Q12" s="177">
        <f t="shared" si="17"/>
        <v>3959999.728298604</v>
      </c>
      <c r="R12" s="177">
        <f t="shared" si="17"/>
        <v>4838924.0723740263</v>
      </c>
      <c r="S12" s="177">
        <f t="shared" si="17"/>
        <v>4982048.7127480153</v>
      </c>
      <c r="T12" s="177">
        <f t="shared" si="17"/>
        <v>5584185.7741136905</v>
      </c>
      <c r="X12" s="210" t="s">
        <v>224</v>
      </c>
      <c r="Y12" s="357">
        <f>H12/'D5 Gallon Forecast'!H12</f>
        <v>1.5999987570588698</v>
      </c>
      <c r="Z12" s="357">
        <f>I12/'D5 Gallon Forecast'!I12</f>
        <v>1.5999965657431241</v>
      </c>
      <c r="AA12" s="357">
        <f>J12/'D5 Gallon Forecast'!J12</f>
        <v>1.5999986395591264</v>
      </c>
      <c r="AB12" s="357">
        <f>K12/'D5 Gallon Forecast'!K12</f>
        <v>1.6000011721548748</v>
      </c>
      <c r="AC12" s="357">
        <f>L12/'D5 Gallon Forecast'!L12</f>
        <v>1.6000017851335195</v>
      </c>
      <c r="AD12" s="357">
        <f>M12/'D5 Gallon Forecast'!M12</f>
        <v>1.600001628950297</v>
      </c>
      <c r="AE12" s="357">
        <f>N12/'D5 Gallon Forecast'!N12</f>
        <v>1.6000006310448842</v>
      </c>
      <c r="AF12" s="357">
        <f>O12/'D5 Gallon Forecast'!O12</f>
        <v>1.6000008834922683</v>
      </c>
      <c r="AG12" s="358">
        <f>P12/'D5 Gallon Forecast'!P12</f>
        <v>1.6000031732844071</v>
      </c>
      <c r="AH12" s="358">
        <f>Q12/'D5 Gallon Forecast'!Q12</f>
        <v>1.5999998902216581</v>
      </c>
      <c r="AI12" s="358">
        <f>R12/'D5 Gallon Forecast'!R12</f>
        <v>1.6000007713685398</v>
      </c>
      <c r="AT12" s="2">
        <f>B12/'D5 Gallon Forecast'!B12</f>
        <v>1.6000003526270512</v>
      </c>
      <c r="AU12" s="2">
        <f>C12/'D5 Gallon Forecast'!C12</f>
        <v>1.5999965309634809</v>
      </c>
      <c r="AV12" s="2">
        <f>D12/'D5 Gallon Forecast'!D12</f>
        <v>1.599980420789858</v>
      </c>
      <c r="AW12" s="2" t="e">
        <f>E12/'D5 Gallon Forecast'!E12</f>
        <v>#DIV/0!</v>
      </c>
      <c r="AX12" s="2">
        <f>F12/'D5 Gallon Forecast'!F12</f>
        <v>1.6000112395858213</v>
      </c>
      <c r="AY12" s="2">
        <f>G12/'D5 Gallon Forecast'!G12</f>
        <v>1.6000033996453036</v>
      </c>
      <c r="AZ12" s="2">
        <f>H12/'D5 Gallon Forecast'!H12</f>
        <v>1.5999987570588698</v>
      </c>
      <c r="BA12" s="2">
        <f>I12/'D5 Gallon Forecast'!I12</f>
        <v>1.5999965657431241</v>
      </c>
      <c r="BB12" s="2">
        <f>J12/'D5 Gallon Forecast'!J12</f>
        <v>1.5999986395591264</v>
      </c>
    </row>
    <row r="13" spans="1:54" ht="13.5" thickBot="1">
      <c r="A13" s="2" t="s">
        <v>225</v>
      </c>
      <c r="B13" s="3">
        <f>B178</f>
        <v>0</v>
      </c>
      <c r="C13" s="3">
        <f t="shared" ref="C13:I13" si="18">C178</f>
        <v>0</v>
      </c>
      <c r="D13" s="3">
        <f t="shared" si="18"/>
        <v>0</v>
      </c>
      <c r="E13" s="3">
        <f t="shared" si="18"/>
        <v>0</v>
      </c>
      <c r="F13" s="3">
        <f t="shared" si="18"/>
        <v>0</v>
      </c>
      <c r="G13" s="3">
        <f t="shared" si="18"/>
        <v>0</v>
      </c>
      <c r="H13" s="3">
        <f t="shared" si="18"/>
        <v>0</v>
      </c>
      <c r="I13" s="3">
        <f t="shared" si="18"/>
        <v>0</v>
      </c>
      <c r="J13" s="3">
        <f>J178</f>
        <v>0</v>
      </c>
      <c r="K13" s="3">
        <f>K178</f>
        <v>0</v>
      </c>
      <c r="L13" s="3">
        <f>L178</f>
        <v>0</v>
      </c>
      <c r="M13" s="3">
        <f>M178</f>
        <v>0</v>
      </c>
      <c r="N13" s="3">
        <f t="shared" ref="N13:T13" si="19">N178</f>
        <v>0</v>
      </c>
      <c r="O13" s="3">
        <f>O178</f>
        <v>0</v>
      </c>
      <c r="P13" s="3">
        <f t="shared" si="19"/>
        <v>0</v>
      </c>
      <c r="Q13" s="177">
        <f t="shared" si="19"/>
        <v>0</v>
      </c>
      <c r="R13" s="177">
        <f t="shared" si="19"/>
        <v>0</v>
      </c>
      <c r="S13" s="177">
        <f t="shared" si="19"/>
        <v>0</v>
      </c>
      <c r="T13" s="177">
        <f t="shared" si="19"/>
        <v>0</v>
      </c>
      <c r="X13" s="210" t="s">
        <v>225</v>
      </c>
      <c r="Y13" s="357" t="e">
        <f>H13/'D5 Gallon Forecast'!H13</f>
        <v>#DIV/0!</v>
      </c>
      <c r="Z13" s="357" t="e">
        <f>I13/'D5 Gallon Forecast'!I13</f>
        <v>#DIV/0!</v>
      </c>
      <c r="AA13" s="357" t="e">
        <f>J13/'D5 Gallon Forecast'!J13</f>
        <v>#DIV/0!</v>
      </c>
      <c r="AB13" s="357" t="e">
        <f>K13/'D5 Gallon Forecast'!K13</f>
        <v>#DIV/0!</v>
      </c>
      <c r="AC13" s="357" t="e">
        <f>L13/'D5 Gallon Forecast'!L13</f>
        <v>#DIV/0!</v>
      </c>
      <c r="AD13" s="357" t="e">
        <f>M13/'D5 Gallon Forecast'!M13</f>
        <v>#DIV/0!</v>
      </c>
      <c r="AE13" s="357" t="e">
        <f>N13/'D5 Gallon Forecast'!N13</f>
        <v>#DIV/0!</v>
      </c>
      <c r="AF13" s="357" t="e">
        <f>O13/'D5 Gallon Forecast'!O13</f>
        <v>#DIV/0!</v>
      </c>
      <c r="AG13" s="358" t="e">
        <f>P13/'D5 Gallon Forecast'!P13</f>
        <v>#DIV/0!</v>
      </c>
      <c r="AH13" s="358">
        <f>Q13/'D5 Gallon Forecast'!Q13</f>
        <v>0</v>
      </c>
      <c r="AI13" s="358">
        <f>R13/'D5 Gallon Forecast'!R13</f>
        <v>0</v>
      </c>
      <c r="AT13" s="2" t="e">
        <f>B13/'D5 Gallon Forecast'!B13</f>
        <v>#DIV/0!</v>
      </c>
      <c r="AU13" s="2" t="e">
        <f>C13/'D5 Gallon Forecast'!C13</f>
        <v>#DIV/0!</v>
      </c>
      <c r="AV13" s="2" t="e">
        <f>D13/'D5 Gallon Forecast'!D13</f>
        <v>#DIV/0!</v>
      </c>
      <c r="AW13" s="2" t="e">
        <f>E13/'D5 Gallon Forecast'!E13</f>
        <v>#DIV/0!</v>
      </c>
      <c r="AX13" s="2" t="e">
        <f>F13/'D5 Gallon Forecast'!F13</f>
        <v>#DIV/0!</v>
      </c>
      <c r="AY13" s="2" t="e">
        <f>G13/'D5 Gallon Forecast'!G13</f>
        <v>#DIV/0!</v>
      </c>
      <c r="AZ13" s="2" t="e">
        <f>H13/'D5 Gallon Forecast'!H13</f>
        <v>#DIV/0!</v>
      </c>
      <c r="BA13" s="2" t="e">
        <f>I13/'D5 Gallon Forecast'!I13</f>
        <v>#DIV/0!</v>
      </c>
      <c r="BB13" s="2" t="e">
        <f>J13/'D5 Gallon Forecast'!J13</f>
        <v>#DIV/0!</v>
      </c>
    </row>
    <row r="14" spans="1:54">
      <c r="A14" s="97" t="s">
        <v>417</v>
      </c>
      <c r="B14" s="98">
        <f>B15+B16</f>
        <v>0</v>
      </c>
      <c r="C14" s="98">
        <f t="shared" ref="C14:I14" si="20">C15+C16</f>
        <v>1423894</v>
      </c>
      <c r="D14" s="98">
        <f t="shared" si="20"/>
        <v>2882009</v>
      </c>
      <c r="E14" s="98">
        <f t="shared" si="20"/>
        <v>25934813</v>
      </c>
      <c r="F14" s="98">
        <f t="shared" si="20"/>
        <v>20352691</v>
      </c>
      <c r="G14" s="98">
        <f t="shared" si="20"/>
        <v>0</v>
      </c>
      <c r="H14" s="98">
        <f t="shared" si="20"/>
        <v>0</v>
      </c>
      <c r="I14" s="98">
        <f t="shared" si="20"/>
        <v>0</v>
      </c>
      <c r="J14" s="98">
        <f>J15+J16</f>
        <v>0</v>
      </c>
      <c r="K14" s="98">
        <f>K15+K16</f>
        <v>0</v>
      </c>
      <c r="L14" s="98">
        <f>L15+L16</f>
        <v>0</v>
      </c>
      <c r="M14" s="98">
        <f>M15+M16</f>
        <v>0</v>
      </c>
      <c r="N14" s="98">
        <f t="shared" ref="N14:T14" si="21">N15+N16</f>
        <v>0</v>
      </c>
      <c r="O14" s="98">
        <f>O15+O16</f>
        <v>0</v>
      </c>
      <c r="P14" s="98">
        <f t="shared" si="21"/>
        <v>0</v>
      </c>
      <c r="Q14" s="179">
        <f t="shared" si="21"/>
        <v>0</v>
      </c>
      <c r="R14" s="179">
        <f t="shared" si="21"/>
        <v>0</v>
      </c>
      <c r="S14" s="179">
        <f t="shared" si="21"/>
        <v>0</v>
      </c>
      <c r="T14" s="179">
        <f t="shared" si="21"/>
        <v>0</v>
      </c>
      <c r="X14" s="210" t="s">
        <v>417</v>
      </c>
      <c r="Y14" s="357" t="e">
        <f>H14/'D5 Gallon Forecast'!H14</f>
        <v>#DIV/0!</v>
      </c>
      <c r="Z14" s="357" t="e">
        <f>I14/'D5 Gallon Forecast'!I14</f>
        <v>#DIV/0!</v>
      </c>
      <c r="AA14" s="357" t="e">
        <f>J14/'D5 Gallon Forecast'!J14</f>
        <v>#DIV/0!</v>
      </c>
      <c r="AB14" s="357" t="e">
        <f>K14/'D5 Gallon Forecast'!K14</f>
        <v>#DIV/0!</v>
      </c>
      <c r="AC14" s="357" t="e">
        <f>L14/'D5 Gallon Forecast'!L14</f>
        <v>#DIV/0!</v>
      </c>
      <c r="AD14" s="357" t="e">
        <f>M14/'D5 Gallon Forecast'!M14</f>
        <v>#DIV/0!</v>
      </c>
      <c r="AE14" s="357" t="e">
        <f>N14/'D5 Gallon Forecast'!N14</f>
        <v>#DIV/0!</v>
      </c>
      <c r="AF14" s="357" t="e">
        <f>O14/'D5 Gallon Forecast'!O14</f>
        <v>#DIV/0!</v>
      </c>
      <c r="AG14" s="358" t="e">
        <f>P14/'D5 Gallon Forecast'!P14</f>
        <v>#DIV/0!</v>
      </c>
      <c r="AH14" s="358" t="e">
        <f>Q14/'D5 Gallon Forecast'!Q14</f>
        <v>#DIV/0!</v>
      </c>
      <c r="AI14" s="358" t="e">
        <f>R14/'D5 Gallon Forecast'!R14</f>
        <v>#DIV/0!</v>
      </c>
      <c r="AT14" s="2" t="e">
        <f>B14/'D5 Gallon Forecast'!B14</f>
        <v>#DIV/0!</v>
      </c>
      <c r="AU14" s="2">
        <f>C14/'D5 Gallon Forecast'!C14</f>
        <v>1</v>
      </c>
      <c r="AV14" s="2">
        <f>D14/'D5 Gallon Forecast'!D14</f>
        <v>1</v>
      </c>
      <c r="AW14" s="2">
        <f>E14/'D5 Gallon Forecast'!E14</f>
        <v>1</v>
      </c>
      <c r="AX14" s="2">
        <f>F14/'D5 Gallon Forecast'!F14</f>
        <v>1</v>
      </c>
      <c r="AY14" s="2" t="e">
        <f>G14/'D5 Gallon Forecast'!G14</f>
        <v>#DIV/0!</v>
      </c>
      <c r="AZ14" s="2" t="e">
        <f>H14/'D5 Gallon Forecast'!H14</f>
        <v>#DIV/0!</v>
      </c>
      <c r="BA14" s="2" t="e">
        <f>I14/'D5 Gallon Forecast'!I14</f>
        <v>#DIV/0!</v>
      </c>
      <c r="BB14" s="2" t="e">
        <f>J14/'D5 Gallon Forecast'!J14</f>
        <v>#DIV/0!</v>
      </c>
    </row>
    <row r="15" spans="1:54">
      <c r="A15" s="2" t="s">
        <v>224</v>
      </c>
      <c r="B15" s="3">
        <f>B258</f>
        <v>0</v>
      </c>
      <c r="C15" s="3">
        <f t="shared" ref="C15:I15" si="22">C258</f>
        <v>1423894</v>
      </c>
      <c r="D15" s="3">
        <f t="shared" si="22"/>
        <v>2882009</v>
      </c>
      <c r="E15" s="3">
        <f t="shared" si="22"/>
        <v>25934813</v>
      </c>
      <c r="F15" s="3">
        <f t="shared" si="22"/>
        <v>20352691</v>
      </c>
      <c r="G15" s="3">
        <f t="shared" si="22"/>
        <v>0</v>
      </c>
      <c r="H15" s="3">
        <f t="shared" si="22"/>
        <v>0</v>
      </c>
      <c r="I15" s="3">
        <f t="shared" si="22"/>
        <v>0</v>
      </c>
      <c r="J15" s="3">
        <f>J258</f>
        <v>0</v>
      </c>
      <c r="K15" s="3">
        <f>K258</f>
        <v>0</v>
      </c>
      <c r="L15" s="3">
        <f>L258</f>
        <v>0</v>
      </c>
      <c r="M15" s="3">
        <f>M258</f>
        <v>0</v>
      </c>
      <c r="N15" s="3">
        <f t="shared" ref="N15:T15" si="23">N258</f>
        <v>0</v>
      </c>
      <c r="O15" s="3">
        <f>O258</f>
        <v>0</v>
      </c>
      <c r="P15" s="3">
        <f t="shared" si="23"/>
        <v>0</v>
      </c>
      <c r="Q15" s="177">
        <f t="shared" si="23"/>
        <v>0</v>
      </c>
      <c r="R15" s="177">
        <f t="shared" si="23"/>
        <v>0</v>
      </c>
      <c r="S15" s="177">
        <f t="shared" si="23"/>
        <v>0</v>
      </c>
      <c r="T15" s="177">
        <f t="shared" si="23"/>
        <v>0</v>
      </c>
      <c r="X15" s="210" t="s">
        <v>224</v>
      </c>
      <c r="Y15" s="357" t="e">
        <f>H15/'D5 Gallon Forecast'!H15</f>
        <v>#DIV/0!</v>
      </c>
      <c r="Z15" s="357" t="e">
        <f>I15/'D5 Gallon Forecast'!I15</f>
        <v>#DIV/0!</v>
      </c>
      <c r="AA15" s="357" t="e">
        <f>J15/'D5 Gallon Forecast'!J15</f>
        <v>#DIV/0!</v>
      </c>
      <c r="AB15" s="357" t="e">
        <f>K15/'D5 Gallon Forecast'!K15</f>
        <v>#DIV/0!</v>
      </c>
      <c r="AC15" s="357" t="e">
        <f>L15/'D5 Gallon Forecast'!L15</f>
        <v>#DIV/0!</v>
      </c>
      <c r="AD15" s="357" t="e">
        <f>M15/'D5 Gallon Forecast'!M15</f>
        <v>#DIV/0!</v>
      </c>
      <c r="AE15" s="357" t="e">
        <f>N15/'D5 Gallon Forecast'!N15</f>
        <v>#DIV/0!</v>
      </c>
      <c r="AF15" s="357" t="e">
        <f>O15/'D5 Gallon Forecast'!O15</f>
        <v>#DIV/0!</v>
      </c>
      <c r="AG15" s="358" t="e">
        <f>P15/'D5 Gallon Forecast'!P15</f>
        <v>#DIV/0!</v>
      </c>
      <c r="AH15" s="358" t="e">
        <f>Q15/'D5 Gallon Forecast'!Q15</f>
        <v>#DIV/0!</v>
      </c>
      <c r="AI15" s="358" t="e">
        <f>R15/'D5 Gallon Forecast'!R15</f>
        <v>#DIV/0!</v>
      </c>
      <c r="AT15" s="2" t="e">
        <f>B15/'D5 Gallon Forecast'!B15</f>
        <v>#DIV/0!</v>
      </c>
      <c r="AU15" s="2">
        <f>C15/'D5 Gallon Forecast'!C15</f>
        <v>1</v>
      </c>
      <c r="AV15" s="2">
        <f>D15/'D5 Gallon Forecast'!D15</f>
        <v>1</v>
      </c>
      <c r="AW15" s="2">
        <f>E15/'D5 Gallon Forecast'!E15</f>
        <v>1</v>
      </c>
      <c r="AX15" s="2">
        <f>F15/'D5 Gallon Forecast'!F15</f>
        <v>1</v>
      </c>
      <c r="AY15" s="2" t="e">
        <f>G15/'D5 Gallon Forecast'!G15</f>
        <v>#DIV/0!</v>
      </c>
      <c r="AZ15" s="2" t="e">
        <f>H15/'D5 Gallon Forecast'!H15</f>
        <v>#DIV/0!</v>
      </c>
      <c r="BA15" s="2" t="e">
        <f>I15/'D5 Gallon Forecast'!I15</f>
        <v>#DIV/0!</v>
      </c>
      <c r="BB15" s="2" t="e">
        <f>J15/'D5 Gallon Forecast'!J15</f>
        <v>#DIV/0!</v>
      </c>
    </row>
    <row r="16" spans="1:54" ht="13.5" thickBot="1">
      <c r="A16" s="2" t="s">
        <v>225</v>
      </c>
      <c r="B16" s="3">
        <f>B274</f>
        <v>0</v>
      </c>
      <c r="C16" s="3">
        <f t="shared" ref="C16:I16" si="24">C274</f>
        <v>0</v>
      </c>
      <c r="D16" s="3">
        <f t="shared" si="24"/>
        <v>0</v>
      </c>
      <c r="E16" s="3">
        <f t="shared" si="24"/>
        <v>0</v>
      </c>
      <c r="F16" s="3">
        <f t="shared" si="24"/>
        <v>0</v>
      </c>
      <c r="G16" s="3">
        <f t="shared" si="24"/>
        <v>0</v>
      </c>
      <c r="H16" s="3">
        <f t="shared" si="24"/>
        <v>0</v>
      </c>
      <c r="I16" s="3">
        <f t="shared" si="24"/>
        <v>0</v>
      </c>
      <c r="J16" s="3">
        <f>J274</f>
        <v>0</v>
      </c>
      <c r="K16" s="3">
        <f>K274</f>
        <v>0</v>
      </c>
      <c r="L16" s="3">
        <f>L274</f>
        <v>0</v>
      </c>
      <c r="M16" s="3">
        <f>M274</f>
        <v>0</v>
      </c>
      <c r="N16" s="3">
        <f t="shared" ref="N16:T16" si="25">N274</f>
        <v>0</v>
      </c>
      <c r="O16" s="3">
        <f>O274</f>
        <v>0</v>
      </c>
      <c r="P16" s="3">
        <f t="shared" si="25"/>
        <v>0</v>
      </c>
      <c r="Q16" s="177">
        <f t="shared" si="25"/>
        <v>0</v>
      </c>
      <c r="R16" s="177">
        <f t="shared" si="25"/>
        <v>0</v>
      </c>
      <c r="S16" s="177">
        <f t="shared" si="25"/>
        <v>0</v>
      </c>
      <c r="T16" s="177">
        <f t="shared" si="25"/>
        <v>0</v>
      </c>
      <c r="X16" s="210" t="s">
        <v>225</v>
      </c>
      <c r="Y16" s="357" t="e">
        <f>H16/'D5 Gallon Forecast'!H16</f>
        <v>#DIV/0!</v>
      </c>
      <c r="Z16" s="357" t="e">
        <f>I16/'D5 Gallon Forecast'!I16</f>
        <v>#DIV/0!</v>
      </c>
      <c r="AA16" s="357" t="e">
        <f>J16/'D5 Gallon Forecast'!J16</f>
        <v>#DIV/0!</v>
      </c>
      <c r="AB16" s="357" t="e">
        <f>K16/'D5 Gallon Forecast'!K16</f>
        <v>#DIV/0!</v>
      </c>
      <c r="AC16" s="357" t="e">
        <f>L16/'D5 Gallon Forecast'!L16</f>
        <v>#DIV/0!</v>
      </c>
      <c r="AD16" s="357" t="e">
        <f>M16/'D5 Gallon Forecast'!M16</f>
        <v>#DIV/0!</v>
      </c>
      <c r="AE16" s="357" t="e">
        <f>N16/'D5 Gallon Forecast'!N16</f>
        <v>#DIV/0!</v>
      </c>
      <c r="AF16" s="357" t="e">
        <f>O16/'D5 Gallon Forecast'!O16</f>
        <v>#DIV/0!</v>
      </c>
      <c r="AG16" s="358" t="e">
        <f>P16/'D5 Gallon Forecast'!P16</f>
        <v>#DIV/0!</v>
      </c>
      <c r="AH16" s="358" t="e">
        <f>Q16/'D5 Gallon Forecast'!Q16</f>
        <v>#DIV/0!</v>
      </c>
      <c r="AI16" s="358" t="e">
        <f>R16/'D5 Gallon Forecast'!R16</f>
        <v>#DIV/0!</v>
      </c>
      <c r="AT16" s="2" t="e">
        <f>B16/'D5 Gallon Forecast'!B16</f>
        <v>#DIV/0!</v>
      </c>
      <c r="AU16" s="2" t="e">
        <f>C16/'D5 Gallon Forecast'!C16</f>
        <v>#DIV/0!</v>
      </c>
      <c r="AV16" s="2" t="e">
        <f>D16/'D5 Gallon Forecast'!D16</f>
        <v>#DIV/0!</v>
      </c>
      <c r="AW16" s="2" t="e">
        <f>E16/'D5 Gallon Forecast'!E16</f>
        <v>#DIV/0!</v>
      </c>
      <c r="AX16" s="2" t="e">
        <f>F16/'D5 Gallon Forecast'!F16</f>
        <v>#DIV/0!</v>
      </c>
      <c r="AY16" s="2" t="e">
        <f>G16/'D5 Gallon Forecast'!G16</f>
        <v>#DIV/0!</v>
      </c>
      <c r="AZ16" s="2" t="e">
        <f>H16/'D5 Gallon Forecast'!H16</f>
        <v>#DIV/0!</v>
      </c>
      <c r="BA16" s="2" t="e">
        <f>I16/'D5 Gallon Forecast'!I16</f>
        <v>#DIV/0!</v>
      </c>
      <c r="BB16" s="2" t="e">
        <f>J16/'D5 Gallon Forecast'!J16</f>
        <v>#DIV/0!</v>
      </c>
    </row>
    <row r="17" spans="1:54">
      <c r="A17" s="97" t="s">
        <v>420</v>
      </c>
      <c r="B17" s="98">
        <f t="shared" ref="B17:T17" si="26">B18+B21</f>
        <v>0</v>
      </c>
      <c r="C17" s="98">
        <f t="shared" si="26"/>
        <v>0</v>
      </c>
      <c r="D17" s="98">
        <f t="shared" si="26"/>
        <v>0</v>
      </c>
      <c r="E17" s="98">
        <f t="shared" si="26"/>
        <v>3466737</v>
      </c>
      <c r="F17" s="98">
        <f t="shared" si="26"/>
        <v>18140883</v>
      </c>
      <c r="G17" s="98">
        <f t="shared" si="26"/>
        <v>23988365</v>
      </c>
      <c r="H17" s="98">
        <f t="shared" si="26"/>
        <v>27166789</v>
      </c>
      <c r="I17" s="98">
        <f t="shared" si="26"/>
        <v>31529071</v>
      </c>
      <c r="J17" s="98">
        <f t="shared" si="26"/>
        <v>32101934</v>
      </c>
      <c r="K17" s="98">
        <f t="shared" si="26"/>
        <v>36559419</v>
      </c>
      <c r="L17" s="98">
        <f t="shared" si="26"/>
        <v>32893031</v>
      </c>
      <c r="M17" s="98">
        <f t="shared" si="26"/>
        <v>33260250</v>
      </c>
      <c r="N17" s="98">
        <f t="shared" si="26"/>
        <v>95121181</v>
      </c>
      <c r="O17" s="98">
        <f>O18+O21</f>
        <v>78377096</v>
      </c>
      <c r="P17" s="98">
        <f t="shared" si="26"/>
        <v>93789611</v>
      </c>
      <c r="Q17" s="179">
        <f t="shared" si="26"/>
        <v>136778559.56864101</v>
      </c>
      <c r="R17" s="179">
        <f t="shared" si="26"/>
        <v>139459031.21168345</v>
      </c>
      <c r="S17" s="179">
        <f t="shared" si="26"/>
        <v>152607255.85189521</v>
      </c>
      <c r="T17" s="179">
        <f t="shared" si="26"/>
        <v>159791284.0544349</v>
      </c>
      <c r="X17" s="210" t="s">
        <v>420</v>
      </c>
      <c r="Y17" s="357">
        <f>H17/'D5 Gallon Forecast'!H17</f>
        <v>1.5000004693231868</v>
      </c>
      <c r="Z17" s="357">
        <f>I17/'D5 Gallon Forecast'!I17</f>
        <v>1.5000010466538334</v>
      </c>
      <c r="AA17" s="357">
        <f>J17/'D5 Gallon Forecast'!J17</f>
        <v>1.5000006541664797</v>
      </c>
      <c r="AB17" s="357">
        <f>K17/'D5 Gallon Forecast'!K17</f>
        <v>1.4899103631066251</v>
      </c>
      <c r="AC17" s="357">
        <f>L17/'D5 Gallon Forecast'!L17</f>
        <v>1.4846871945364934</v>
      </c>
      <c r="AD17" s="357">
        <f>M17/'D5 Gallon Forecast'!M17</f>
        <v>1.4843366618046006</v>
      </c>
      <c r="AE17" s="357">
        <f>N17/'D5 Gallon Forecast'!N17</f>
        <v>1.4974489450947923</v>
      </c>
      <c r="AF17" s="357">
        <f>O17/'D5 Gallon Forecast'!O17</f>
        <v>1.4983651290177837</v>
      </c>
      <c r="AG17" s="358">
        <f>P17/'D5 Gallon Forecast'!P17</f>
        <v>1.4648740214049611</v>
      </c>
      <c r="AH17" s="358">
        <f>Q17/'D5 Gallon Forecast'!Q17</f>
        <v>1.4361112543163927</v>
      </c>
      <c r="AI17" s="358">
        <f>R17/'D5 Gallon Forecast'!R17</f>
        <v>1.4361524290939787</v>
      </c>
      <c r="AT17" s="2" t="e">
        <f>B17/'D5 Gallon Forecast'!B17</f>
        <v>#DIV/0!</v>
      </c>
      <c r="AU17" s="2" t="e">
        <f>C17/'D5 Gallon Forecast'!C17</f>
        <v>#DIV/0!</v>
      </c>
      <c r="AV17" s="2" t="e">
        <f>D17/'D5 Gallon Forecast'!D17</f>
        <v>#DIV/0!</v>
      </c>
      <c r="AW17" s="2">
        <f>E17/'D5 Gallon Forecast'!E17</f>
        <v>1.5000006490255746</v>
      </c>
      <c r="AX17" s="2">
        <f>F17/'D5 Gallon Forecast'!F17</f>
        <v>1.5000003720878237</v>
      </c>
      <c r="AY17" s="2">
        <f>G17/'D5 Gallon Forecast'!G17</f>
        <v>1.5000004064471524</v>
      </c>
      <c r="AZ17" s="2">
        <f>H17/'D5 Gallon Forecast'!H17</f>
        <v>1.5000004693231868</v>
      </c>
      <c r="BA17" s="2">
        <f>I17/'D5 Gallon Forecast'!I17</f>
        <v>1.5000010466538334</v>
      </c>
      <c r="BB17" s="2">
        <f>J17/'D5 Gallon Forecast'!J17</f>
        <v>1.5000006541664797</v>
      </c>
    </row>
    <row r="18" spans="1:54">
      <c r="A18" s="2" t="s">
        <v>224</v>
      </c>
      <c r="B18" s="3">
        <f>B19+B20</f>
        <v>0</v>
      </c>
      <c r="C18" s="3">
        <f t="shared" ref="C18:T18" si="27">C19+C20</f>
        <v>0</v>
      </c>
      <c r="D18" s="3">
        <f t="shared" si="27"/>
        <v>0</v>
      </c>
      <c r="E18" s="3">
        <f t="shared" si="27"/>
        <v>3466737</v>
      </c>
      <c r="F18" s="3">
        <f t="shared" si="27"/>
        <v>18140883</v>
      </c>
      <c r="G18" s="3">
        <f t="shared" si="27"/>
        <v>23988365</v>
      </c>
      <c r="H18" s="3">
        <f t="shared" si="27"/>
        <v>27166789</v>
      </c>
      <c r="I18" s="3">
        <f t="shared" si="27"/>
        <v>31529071</v>
      </c>
      <c r="J18" s="3">
        <f t="shared" si="27"/>
        <v>32101934</v>
      </c>
      <c r="K18" s="3">
        <f t="shared" si="27"/>
        <v>36559419</v>
      </c>
      <c r="L18" s="3">
        <f t="shared" si="27"/>
        <v>32893031</v>
      </c>
      <c r="M18" s="3">
        <f t="shared" si="27"/>
        <v>33260250</v>
      </c>
      <c r="N18" s="3">
        <f t="shared" si="27"/>
        <v>95121181</v>
      </c>
      <c r="O18" s="3">
        <f t="shared" si="27"/>
        <v>78377096</v>
      </c>
      <c r="P18" s="3">
        <f t="shared" si="27"/>
        <v>93789611</v>
      </c>
      <c r="Q18" s="177">
        <f t="shared" si="27"/>
        <v>136778559.56864101</v>
      </c>
      <c r="R18" s="177">
        <f t="shared" si="27"/>
        <v>139459031.21168345</v>
      </c>
      <c r="S18" s="177">
        <f t="shared" si="27"/>
        <v>152607255.85189521</v>
      </c>
      <c r="T18" s="177">
        <f t="shared" si="27"/>
        <v>159791284.0544349</v>
      </c>
      <c r="X18" s="210" t="s">
        <v>224</v>
      </c>
      <c r="Y18" s="357">
        <f>H18/'D5 Gallon Forecast'!H18</f>
        <v>1.5000004693231868</v>
      </c>
      <c r="Z18" s="357">
        <f>I18/'D5 Gallon Forecast'!I18</f>
        <v>1.5000010466538334</v>
      </c>
      <c r="AA18" s="357">
        <f>J18/'D5 Gallon Forecast'!J18</f>
        <v>1.5000006541664797</v>
      </c>
      <c r="AB18" s="357">
        <f>K18/'D5 Gallon Forecast'!K18</f>
        <v>1.4899103631066251</v>
      </c>
      <c r="AC18" s="357">
        <f>L18/'D5 Gallon Forecast'!L18</f>
        <v>1.4846871945364934</v>
      </c>
      <c r="AD18" s="357">
        <f>M18/'D5 Gallon Forecast'!M18</f>
        <v>1.4843366618046006</v>
      </c>
      <c r="AE18" s="357">
        <f>N18/'D5 Gallon Forecast'!N18</f>
        <v>1.4974489450947923</v>
      </c>
      <c r="AF18" s="357">
        <f>O18/'D5 Gallon Forecast'!O18</f>
        <v>1.4983651290177837</v>
      </c>
      <c r="AG18" s="358">
        <f>P18/'D5 Gallon Forecast'!P18</f>
        <v>1.4648740214049611</v>
      </c>
      <c r="AH18" s="358">
        <f>Q18/'D5 Gallon Forecast'!Q18</f>
        <v>1.4361112543163927</v>
      </c>
      <c r="AI18" s="358">
        <f>R18/'D5 Gallon Forecast'!R18</f>
        <v>1.4361524290939787</v>
      </c>
      <c r="AT18" s="2" t="e">
        <f>B18/'D5 Gallon Forecast'!B18</f>
        <v>#DIV/0!</v>
      </c>
      <c r="AU18" s="2" t="e">
        <f>C18/'D5 Gallon Forecast'!C18</f>
        <v>#DIV/0!</v>
      </c>
      <c r="AV18" s="2" t="e">
        <f>D18/'D5 Gallon Forecast'!D18</f>
        <v>#DIV/0!</v>
      </c>
      <c r="AW18" s="2">
        <f>E18/'D5 Gallon Forecast'!E18</f>
        <v>1.5000006490255746</v>
      </c>
      <c r="AX18" s="2">
        <f>F18/'D5 Gallon Forecast'!F18</f>
        <v>1.5000003720878237</v>
      </c>
      <c r="AY18" s="2">
        <f>G18/'D5 Gallon Forecast'!G18</f>
        <v>1.5000004064471524</v>
      </c>
      <c r="AZ18" s="2">
        <f>H18/'D5 Gallon Forecast'!H18</f>
        <v>1.5000004693231868</v>
      </c>
      <c r="BA18" s="2">
        <f>I18/'D5 Gallon Forecast'!I18</f>
        <v>1.5000010466538334</v>
      </c>
      <c r="BB18" s="2">
        <f>J18/'D5 Gallon Forecast'!J18</f>
        <v>1.5000006541664797</v>
      </c>
    </row>
    <row r="19" spans="1:54">
      <c r="A19" s="2" t="s">
        <v>421</v>
      </c>
      <c r="B19" s="3">
        <f>B322</f>
        <v>0</v>
      </c>
      <c r="C19" s="3">
        <f t="shared" ref="C19:T19" si="28">C322</f>
        <v>0</v>
      </c>
      <c r="D19" s="3">
        <f t="shared" si="28"/>
        <v>0</v>
      </c>
      <c r="E19" s="3">
        <f t="shared" si="28"/>
        <v>0</v>
      </c>
      <c r="F19" s="3">
        <f t="shared" si="28"/>
        <v>0</v>
      </c>
      <c r="G19" s="3">
        <f t="shared" si="28"/>
        <v>0</v>
      </c>
      <c r="H19" s="3">
        <f t="shared" si="28"/>
        <v>0</v>
      </c>
      <c r="I19" s="3">
        <f t="shared" si="28"/>
        <v>0</v>
      </c>
      <c r="J19" s="3">
        <f t="shared" si="28"/>
        <v>0</v>
      </c>
      <c r="K19" s="3">
        <f t="shared" si="28"/>
        <v>3466307</v>
      </c>
      <c r="L19" s="3">
        <f t="shared" si="28"/>
        <v>4749675</v>
      </c>
      <c r="M19" s="3">
        <f t="shared" si="28"/>
        <v>4913953</v>
      </c>
      <c r="N19" s="3">
        <f t="shared" si="28"/>
        <v>2269402</v>
      </c>
      <c r="O19" s="3">
        <f>O322</f>
        <v>1199778</v>
      </c>
      <c r="P19" s="3">
        <f t="shared" si="28"/>
        <v>31489468</v>
      </c>
      <c r="Q19" s="177">
        <f t="shared" si="28"/>
        <v>85189991.243626684</v>
      </c>
      <c r="R19" s="177">
        <f t="shared" si="28"/>
        <v>86799991.030023813</v>
      </c>
      <c r="S19" s="177">
        <f t="shared" si="28"/>
        <v>90999990.595992729</v>
      </c>
      <c r="T19" s="177">
        <f t="shared" si="28"/>
        <v>93099990.37897715</v>
      </c>
      <c r="X19" s="210" t="s">
        <v>421</v>
      </c>
      <c r="Y19" s="357" t="e">
        <f>H19/'D5 Gallon Forecast'!H19</f>
        <v>#DIV/0!</v>
      </c>
      <c r="Z19" s="357" t="e">
        <f>I19/'D5 Gallon Forecast'!I19</f>
        <v>#DIV/0!</v>
      </c>
      <c r="AA19" s="357" t="e">
        <f>J19/'D5 Gallon Forecast'!J19</f>
        <v>#DIV/0!</v>
      </c>
      <c r="AB19" s="357">
        <f>K19/'D5 Gallon Forecast'!K19</f>
        <v>1.3999997576672076</v>
      </c>
      <c r="AC19" s="357">
        <f>L19/'D5 Gallon Forecast'!L19</f>
        <v>1.3999995873403082</v>
      </c>
      <c r="AD19" s="357">
        <f>M19/'D5 Gallon Forecast'!M19</f>
        <v>1.4000005698062516</v>
      </c>
      <c r="AE19" s="357">
        <f>N19/'D5 Gallon Forecast'!N19</f>
        <v>1.3999995064780919</v>
      </c>
      <c r="AF19" s="357">
        <f>O19/'D5 Gallon Forecast'!O19</f>
        <v>1.4000004667531716</v>
      </c>
      <c r="AG19" s="358">
        <f>P19/'D5 Gallon Forecast'!P19</f>
        <v>1.4000000711348985</v>
      </c>
      <c r="AH19" s="358">
        <f>Q19/'D5 Gallon Forecast'!Q19</f>
        <v>1.3999998560990417</v>
      </c>
      <c r="AI19" s="358">
        <f>R19/'D5 Gallon Forecast'!R19</f>
        <v>1.3999998553229647</v>
      </c>
      <c r="AT19" s="2" t="e">
        <f>B21/'D5 Gallon Forecast'!B21</f>
        <v>#DIV/0!</v>
      </c>
      <c r="AU19" s="2" t="e">
        <f>C21/'D5 Gallon Forecast'!C21</f>
        <v>#DIV/0!</v>
      </c>
      <c r="AV19" s="2" t="e">
        <f>D21/'D5 Gallon Forecast'!D21</f>
        <v>#DIV/0!</v>
      </c>
      <c r="AW19" s="2" t="e">
        <f>E21/'D5 Gallon Forecast'!E21</f>
        <v>#DIV/0!</v>
      </c>
      <c r="AX19" s="2" t="e">
        <f>F21/'D5 Gallon Forecast'!F21</f>
        <v>#DIV/0!</v>
      </c>
      <c r="AY19" s="2" t="e">
        <f>G21/'D5 Gallon Forecast'!G21</f>
        <v>#DIV/0!</v>
      </c>
      <c r="AZ19" s="2" t="e">
        <f>H21/'D5 Gallon Forecast'!H21</f>
        <v>#DIV/0!</v>
      </c>
      <c r="BA19" s="2" t="e">
        <f>I21/'D5 Gallon Forecast'!I21</f>
        <v>#DIV/0!</v>
      </c>
      <c r="BB19" s="2" t="e">
        <f>J21/'D5 Gallon Forecast'!J21</f>
        <v>#DIV/0!</v>
      </c>
    </row>
    <row r="20" spans="1:54">
      <c r="A20" s="2" t="s">
        <v>284</v>
      </c>
      <c r="B20" s="3">
        <f>B338</f>
        <v>0</v>
      </c>
      <c r="C20" s="3">
        <f t="shared" ref="C20:T20" si="29">C338</f>
        <v>0</v>
      </c>
      <c r="D20" s="3">
        <f t="shared" si="29"/>
        <v>0</v>
      </c>
      <c r="E20" s="3">
        <f t="shared" si="29"/>
        <v>3466737</v>
      </c>
      <c r="F20" s="3">
        <f t="shared" si="29"/>
        <v>18140883</v>
      </c>
      <c r="G20" s="3">
        <f t="shared" si="29"/>
        <v>23988365</v>
      </c>
      <c r="H20" s="3">
        <f t="shared" si="29"/>
        <v>27166789</v>
      </c>
      <c r="I20" s="3">
        <f t="shared" si="29"/>
        <v>31529071</v>
      </c>
      <c r="J20" s="3">
        <f t="shared" si="29"/>
        <v>32101934</v>
      </c>
      <c r="K20" s="3">
        <f t="shared" si="29"/>
        <v>33093112</v>
      </c>
      <c r="L20" s="3">
        <f t="shared" si="29"/>
        <v>28143356</v>
      </c>
      <c r="M20" s="3">
        <f t="shared" si="29"/>
        <v>28346297</v>
      </c>
      <c r="N20" s="3">
        <f t="shared" si="29"/>
        <v>92851779</v>
      </c>
      <c r="O20" s="3">
        <f>O338</f>
        <v>77177318</v>
      </c>
      <c r="P20" s="3">
        <f t="shared" si="29"/>
        <v>62300143</v>
      </c>
      <c r="Q20" s="177">
        <f t="shared" si="29"/>
        <v>51588568.325014308</v>
      </c>
      <c r="R20" s="177">
        <f t="shared" si="29"/>
        <v>52659040.181659624</v>
      </c>
      <c r="S20" s="177">
        <f t="shared" si="29"/>
        <v>61607265.255902484</v>
      </c>
      <c r="T20" s="177">
        <f t="shared" si="29"/>
        <v>66691293.675457761</v>
      </c>
      <c r="X20" s="210" t="s">
        <v>284</v>
      </c>
      <c r="Y20" s="357">
        <f>H20/'D5 Gallon Forecast'!H20</f>
        <v>1.5000004693231868</v>
      </c>
      <c r="Z20" s="357">
        <f>I20/'D5 Gallon Forecast'!I20</f>
        <v>1.5000010466538334</v>
      </c>
      <c r="AA20" s="357">
        <f>J20/'D5 Gallon Forecast'!J20</f>
        <v>1.5000006541664797</v>
      </c>
      <c r="AB20" s="357">
        <f>K20/'D5 Gallon Forecast'!K20</f>
        <v>1.5000006572367546</v>
      </c>
      <c r="AC20" s="357">
        <f>L20/'D5 Gallon Forecast'!L20</f>
        <v>1.5000005862842529</v>
      </c>
      <c r="AD20" s="357">
        <f>M20/'D5 Gallon Forecast'!M20</f>
        <v>1.5000009789644873</v>
      </c>
      <c r="AE20" s="357">
        <f>N20/'D5 Gallon Forecast'!N20</f>
        <v>1.5000008481263942</v>
      </c>
      <c r="AF20" s="357">
        <f>O20/'D5 Gallon Forecast'!O20</f>
        <v>1.5000035081632821</v>
      </c>
      <c r="AG20" s="358">
        <f>P20/'D5 Gallon Forecast'!P20</f>
        <v>1.5000067415878586</v>
      </c>
      <c r="AH20" s="358">
        <f>Q20/'D5 Gallon Forecast'!Q20</f>
        <v>1.5000028132626722</v>
      </c>
      <c r="AI20" s="358">
        <f>R20/'D5 Gallon Forecast'!R20</f>
        <v>1.5000007449556738</v>
      </c>
      <c r="AT20" s="2" t="e">
        <f>B22/'D5 Gallon Forecast'!B22</f>
        <v>#DIV/0!</v>
      </c>
      <c r="AU20" s="2" t="e">
        <f>C22/'D5 Gallon Forecast'!C22</f>
        <v>#DIV/0!</v>
      </c>
      <c r="AV20" s="2" t="e">
        <f>D22/'D5 Gallon Forecast'!D22</f>
        <v>#DIV/0!</v>
      </c>
      <c r="AW20" s="2" t="e">
        <f>E22/'D5 Gallon Forecast'!E22</f>
        <v>#DIV/0!</v>
      </c>
      <c r="AX20" s="2">
        <f>F22/'D5 Gallon Forecast'!F22</f>
        <v>1</v>
      </c>
      <c r="AY20" s="2">
        <f>G22/'D5 Gallon Forecast'!G22</f>
        <v>1</v>
      </c>
      <c r="AZ20" s="2" t="e">
        <f>H22/'D5 Gallon Forecast'!H22</f>
        <v>#DIV/0!</v>
      </c>
      <c r="BA20" s="2">
        <f>I22/'D5 Gallon Forecast'!I22</f>
        <v>1</v>
      </c>
      <c r="BB20" s="2">
        <f>J22/'D5 Gallon Forecast'!J22</f>
        <v>0.98107675952106499</v>
      </c>
    </row>
    <row r="21" spans="1:54" ht="13.5" thickBot="1">
      <c r="A21" s="2" t="s">
        <v>225</v>
      </c>
      <c r="B21" s="3">
        <f>B354</f>
        <v>0</v>
      </c>
      <c r="C21" s="3">
        <f t="shared" ref="C21:I21" si="30">C354</f>
        <v>0</v>
      </c>
      <c r="D21" s="3">
        <f t="shared" si="30"/>
        <v>0</v>
      </c>
      <c r="E21" s="3">
        <f t="shared" si="30"/>
        <v>0</v>
      </c>
      <c r="F21" s="3">
        <f t="shared" si="30"/>
        <v>0</v>
      </c>
      <c r="G21" s="3">
        <f t="shared" si="30"/>
        <v>0</v>
      </c>
      <c r="H21" s="3">
        <f t="shared" si="30"/>
        <v>0</v>
      </c>
      <c r="I21" s="3">
        <f t="shared" si="30"/>
        <v>0</v>
      </c>
      <c r="J21" s="3">
        <f>J354</f>
        <v>0</v>
      </c>
      <c r="K21" s="3">
        <f>K354</f>
        <v>0</v>
      </c>
      <c r="L21" s="3">
        <f>L354</f>
        <v>0</v>
      </c>
      <c r="M21" s="3">
        <f>M354</f>
        <v>0</v>
      </c>
      <c r="N21" s="3">
        <f t="shared" ref="N21:T21" si="31">N354</f>
        <v>0</v>
      </c>
      <c r="O21" s="3">
        <f>O354</f>
        <v>0</v>
      </c>
      <c r="P21" s="3">
        <f t="shared" si="31"/>
        <v>0</v>
      </c>
      <c r="Q21" s="177">
        <f t="shared" si="31"/>
        <v>0</v>
      </c>
      <c r="R21" s="177">
        <f t="shared" si="31"/>
        <v>0</v>
      </c>
      <c r="S21" s="177">
        <f t="shared" si="31"/>
        <v>0</v>
      </c>
      <c r="T21" s="177">
        <f t="shared" si="31"/>
        <v>0</v>
      </c>
      <c r="X21" s="210" t="s">
        <v>225</v>
      </c>
      <c r="Y21" s="357" t="e">
        <f>H21/'D5 Gallon Forecast'!H21</f>
        <v>#DIV/0!</v>
      </c>
      <c r="Z21" s="357" t="e">
        <f>I21/'D5 Gallon Forecast'!I21</f>
        <v>#DIV/0!</v>
      </c>
      <c r="AA21" s="357" t="e">
        <f>J21/'D5 Gallon Forecast'!J21</f>
        <v>#DIV/0!</v>
      </c>
      <c r="AB21" s="357" t="e">
        <f>K21/'D5 Gallon Forecast'!K21</f>
        <v>#DIV/0!</v>
      </c>
      <c r="AC21" s="357" t="e">
        <f>L21/'D5 Gallon Forecast'!L21</f>
        <v>#DIV/0!</v>
      </c>
      <c r="AD21" s="357" t="e">
        <f>M21/'D5 Gallon Forecast'!M21</f>
        <v>#DIV/0!</v>
      </c>
      <c r="AE21" s="357" t="e">
        <f>N21/'D5 Gallon Forecast'!N21</f>
        <v>#DIV/0!</v>
      </c>
      <c r="AF21" s="357" t="e">
        <f>O21/'D5 Gallon Forecast'!O21</f>
        <v>#DIV/0!</v>
      </c>
      <c r="AG21" s="358" t="e">
        <f>P21/'D5 Gallon Forecast'!P21</f>
        <v>#DIV/0!</v>
      </c>
      <c r="AH21" s="358" t="e">
        <f>Q21/'D5 Gallon Forecast'!Q21</f>
        <v>#DIV/0!</v>
      </c>
      <c r="AI21" s="358" t="e">
        <f>R21/'D5 Gallon Forecast'!R21</f>
        <v>#DIV/0!</v>
      </c>
      <c r="AT21" s="2" t="e">
        <f>B23/'D5 Gallon Forecast'!B23</f>
        <v>#DIV/0!</v>
      </c>
      <c r="AU21" s="2" t="e">
        <f>C23/'D5 Gallon Forecast'!C23</f>
        <v>#DIV/0!</v>
      </c>
      <c r="AV21" s="2" t="e">
        <f>D23/'D5 Gallon Forecast'!D23</f>
        <v>#DIV/0!</v>
      </c>
      <c r="AW21" s="2" t="e">
        <f>E23/'D5 Gallon Forecast'!E23</f>
        <v>#DIV/0!</v>
      </c>
      <c r="AX21" s="2">
        <f>F23/'D5 Gallon Forecast'!F23</f>
        <v>1</v>
      </c>
      <c r="AY21" s="2">
        <f>G23/'D5 Gallon Forecast'!G23</f>
        <v>1</v>
      </c>
      <c r="AZ21" s="2" t="e">
        <f>H23/'D5 Gallon Forecast'!H23</f>
        <v>#DIV/0!</v>
      </c>
      <c r="BA21" s="2">
        <f>I23/'D5 Gallon Forecast'!I23</f>
        <v>1</v>
      </c>
      <c r="BB21" s="2">
        <f>J23/'D5 Gallon Forecast'!J23</f>
        <v>0.98107675952106499</v>
      </c>
    </row>
    <row r="22" spans="1:54">
      <c r="A22" s="97" t="s">
        <v>226</v>
      </c>
      <c r="B22" s="98">
        <f>B23+B24</f>
        <v>0</v>
      </c>
      <c r="C22" s="98">
        <f t="shared" ref="C22:T22" si="32">C23+C24</f>
        <v>0</v>
      </c>
      <c r="D22" s="98">
        <f t="shared" si="32"/>
        <v>0</v>
      </c>
      <c r="E22" s="98">
        <f t="shared" si="32"/>
        <v>0</v>
      </c>
      <c r="F22" s="98">
        <f t="shared" si="32"/>
        <v>6344</v>
      </c>
      <c r="G22" s="98">
        <f t="shared" si="32"/>
        <v>5022</v>
      </c>
      <c r="H22" s="98">
        <f t="shared" si="32"/>
        <v>0</v>
      </c>
      <c r="I22" s="98">
        <f t="shared" si="32"/>
        <v>2018098</v>
      </c>
      <c r="J22" s="98">
        <f t="shared" si="32"/>
        <v>1138777</v>
      </c>
      <c r="K22" s="98">
        <f t="shared" si="32"/>
        <v>83027</v>
      </c>
      <c r="L22" s="98">
        <f t="shared" si="32"/>
        <v>85371</v>
      </c>
      <c r="M22" s="98">
        <f t="shared" si="32"/>
        <v>1659418</v>
      </c>
      <c r="N22" s="98">
        <f t="shared" si="32"/>
        <v>1053739</v>
      </c>
      <c r="O22" s="98">
        <f t="shared" si="32"/>
        <v>1553570</v>
      </c>
      <c r="P22" s="98">
        <f t="shared" si="32"/>
        <v>1120471</v>
      </c>
      <c r="Q22" s="179">
        <f t="shared" si="32"/>
        <v>-5267427.5313445721</v>
      </c>
      <c r="R22" s="179">
        <f t="shared" si="32"/>
        <v>5895103.8560705185</v>
      </c>
      <c r="S22" s="179">
        <f t="shared" si="32"/>
        <v>-1997661.7747203447</v>
      </c>
      <c r="T22" s="179">
        <f t="shared" si="32"/>
        <v>-2546529.2631063387</v>
      </c>
      <c r="X22" s="210" t="s">
        <v>226</v>
      </c>
      <c r="Y22" s="357" t="e">
        <f>H22/'D5 Gallon Forecast'!H22</f>
        <v>#DIV/0!</v>
      </c>
      <c r="Z22" s="357">
        <f>I22/'D5 Gallon Forecast'!I22</f>
        <v>1</v>
      </c>
      <c r="AA22" s="357">
        <f>J22/'D5 Gallon Forecast'!J22</f>
        <v>0.98107675952106499</v>
      </c>
      <c r="AB22" s="357">
        <f>K22/'D5 Gallon Forecast'!K22</f>
        <v>1</v>
      </c>
      <c r="AC22" s="357">
        <f>L22/'D5 Gallon Forecast'!L22</f>
        <v>1</v>
      </c>
      <c r="AD22" s="357">
        <f>M22/'D5 Gallon Forecast'!M22</f>
        <v>1</v>
      </c>
      <c r="AE22" s="357">
        <f>N22/'D5 Gallon Forecast'!N22</f>
        <v>1</v>
      </c>
      <c r="AF22" s="357">
        <f>O22/'D5 Gallon Forecast'!O22</f>
        <v>1</v>
      </c>
      <c r="AG22" s="358">
        <f>P22/'D5 Gallon Forecast'!P22</f>
        <v>1</v>
      </c>
      <c r="AH22" s="358">
        <f>Q22/'D5 Gallon Forecast'!Q22</f>
        <v>0.99620527023088523</v>
      </c>
      <c r="AI22" s="358">
        <f>R22/'D5 Gallon Forecast'!R22</f>
        <v>0.99621535190421284</v>
      </c>
      <c r="AT22" s="2" t="e">
        <f>B24/'D5 Gallon Forecast'!B24</f>
        <v>#DIV/0!</v>
      </c>
      <c r="AU22" s="2" t="e">
        <f>C24/'D5 Gallon Forecast'!C24</f>
        <v>#DIV/0!</v>
      </c>
      <c r="AV22" s="2" t="e">
        <f>D24/'D5 Gallon Forecast'!D24</f>
        <v>#DIV/0!</v>
      </c>
      <c r="AW22" s="2" t="e">
        <f>E24/'D5 Gallon Forecast'!E24</f>
        <v>#DIV/0!</v>
      </c>
      <c r="AX22" s="2" t="e">
        <f>F24/'D5 Gallon Forecast'!F24</f>
        <v>#DIV/0!</v>
      </c>
      <c r="AY22" s="2" t="e">
        <f>G24/'D5 Gallon Forecast'!G24</f>
        <v>#DIV/0!</v>
      </c>
      <c r="AZ22" s="2" t="e">
        <f>H24/'D5 Gallon Forecast'!H24</f>
        <v>#DIV/0!</v>
      </c>
      <c r="BA22" s="2" t="e">
        <f>I24/'D5 Gallon Forecast'!I24</f>
        <v>#DIV/0!</v>
      </c>
      <c r="BB22" s="2" t="e">
        <f>J24/'D5 Gallon Forecast'!J24</f>
        <v>#DIV/0!</v>
      </c>
    </row>
    <row r="23" spans="1:54">
      <c r="A23" s="2" t="s">
        <v>224</v>
      </c>
      <c r="B23" s="3">
        <f>B386</f>
        <v>0</v>
      </c>
      <c r="C23" s="3">
        <f t="shared" ref="C23:I23" si="33">C386</f>
        <v>0</v>
      </c>
      <c r="D23" s="3">
        <f t="shared" si="33"/>
        <v>0</v>
      </c>
      <c r="E23" s="3">
        <f t="shared" si="33"/>
        <v>0</v>
      </c>
      <c r="F23" s="3">
        <f t="shared" si="33"/>
        <v>6344</v>
      </c>
      <c r="G23" s="3">
        <f t="shared" si="33"/>
        <v>5022</v>
      </c>
      <c r="H23" s="3">
        <f t="shared" si="33"/>
        <v>0</v>
      </c>
      <c r="I23" s="3">
        <f t="shared" si="33"/>
        <v>2018098</v>
      </c>
      <c r="J23" s="3">
        <f>J386</f>
        <v>1138777</v>
      </c>
      <c r="K23" s="3">
        <f>K386</f>
        <v>83027</v>
      </c>
      <c r="L23" s="3">
        <f>L386</f>
        <v>85371</v>
      </c>
      <c r="M23" s="3">
        <f>M386</f>
        <v>1659418</v>
      </c>
      <c r="N23" s="3">
        <f t="shared" ref="N23:T23" si="34">N386</f>
        <v>1053739</v>
      </c>
      <c r="O23" s="3">
        <f>O386</f>
        <v>1553570</v>
      </c>
      <c r="P23" s="3">
        <f t="shared" si="34"/>
        <v>1120471</v>
      </c>
      <c r="Q23" s="177">
        <f t="shared" si="34"/>
        <v>-5267427.5313445721</v>
      </c>
      <c r="R23" s="177">
        <f t="shared" si="34"/>
        <v>5895103.8560705185</v>
      </c>
      <c r="S23" s="177">
        <f t="shared" si="34"/>
        <v>-1997661.7747203447</v>
      </c>
      <c r="T23" s="177">
        <f t="shared" si="34"/>
        <v>-2546529.2631063387</v>
      </c>
      <c r="X23" s="210" t="s">
        <v>224</v>
      </c>
      <c r="Y23" s="357" t="e">
        <f>H23/'D5 Gallon Forecast'!H23</f>
        <v>#DIV/0!</v>
      </c>
      <c r="Z23" s="357">
        <f>I23/'D5 Gallon Forecast'!I23</f>
        <v>1</v>
      </c>
      <c r="AA23" s="357">
        <f>J23/'D5 Gallon Forecast'!J23</f>
        <v>0.98107675952106499</v>
      </c>
      <c r="AB23" s="357">
        <f>K23/'D5 Gallon Forecast'!K23</f>
        <v>1</v>
      </c>
      <c r="AC23" s="357">
        <f>L23/'D5 Gallon Forecast'!L23</f>
        <v>1</v>
      </c>
      <c r="AD23" s="357">
        <f>M23/'D5 Gallon Forecast'!M23</f>
        <v>1</v>
      </c>
      <c r="AE23" s="357">
        <f>N23/'D5 Gallon Forecast'!N23</f>
        <v>1</v>
      </c>
      <c r="AF23" s="357">
        <f>O23/'D5 Gallon Forecast'!O23</f>
        <v>1</v>
      </c>
      <c r="AG23" s="358">
        <f>P23/'D5 Gallon Forecast'!P23</f>
        <v>1</v>
      </c>
      <c r="AH23" s="358">
        <f>Q23/'D5 Gallon Forecast'!Q23</f>
        <v>0.99620527023088523</v>
      </c>
      <c r="AI23" s="358">
        <f>R23/'D5 Gallon Forecast'!R23</f>
        <v>0.99621535190421284</v>
      </c>
      <c r="AT23" s="2" t="e">
        <f>B25/'D5 Gallon Forecast'!B25</f>
        <v>#DIV/0!</v>
      </c>
      <c r="AU23" s="2" t="e">
        <f>C25/'D5 Gallon Forecast'!C25</f>
        <v>#DIV/0!</v>
      </c>
      <c r="AV23" s="2" t="e">
        <f>D25/'D5 Gallon Forecast'!D25</f>
        <v>#DIV/0!</v>
      </c>
      <c r="AW23" s="2" t="e">
        <f>E25/'D5 Gallon Forecast'!E25</f>
        <v>#DIV/0!</v>
      </c>
      <c r="AX23" s="2" t="e">
        <f>F25/'D5 Gallon Forecast'!F25</f>
        <v>#DIV/0!</v>
      </c>
      <c r="AY23" s="2" t="e">
        <f>G25/'D5 Gallon Forecast'!G25</f>
        <v>#DIV/0!</v>
      </c>
      <c r="AZ23" s="2" t="e">
        <f>H25/'D5 Gallon Forecast'!H25</f>
        <v>#DIV/0!</v>
      </c>
      <c r="BA23" s="2" t="e">
        <f>I25/'D5 Gallon Forecast'!I25</f>
        <v>#DIV/0!</v>
      </c>
      <c r="BB23" s="2">
        <f>J25/'D5 Gallon Forecast'!J25</f>
        <v>1.1000013635103423</v>
      </c>
    </row>
    <row r="24" spans="1:54" ht="13.5" thickBot="1">
      <c r="A24" s="2" t="s">
        <v>225</v>
      </c>
      <c r="B24" s="3">
        <f>B402</f>
        <v>0</v>
      </c>
      <c r="C24" s="3">
        <f t="shared" ref="C24:I24" si="35">C402</f>
        <v>0</v>
      </c>
      <c r="D24" s="3">
        <f t="shared" si="35"/>
        <v>0</v>
      </c>
      <c r="E24" s="3">
        <f t="shared" si="35"/>
        <v>0</v>
      </c>
      <c r="F24" s="3">
        <f t="shared" si="35"/>
        <v>0</v>
      </c>
      <c r="G24" s="3">
        <f t="shared" si="35"/>
        <v>0</v>
      </c>
      <c r="H24" s="3">
        <f t="shared" si="35"/>
        <v>0</v>
      </c>
      <c r="I24" s="3">
        <f t="shared" si="35"/>
        <v>0</v>
      </c>
      <c r="J24" s="3">
        <f>J402</f>
        <v>0</v>
      </c>
      <c r="K24" s="3">
        <f>K402</f>
        <v>0</v>
      </c>
      <c r="L24" s="3">
        <f>L402</f>
        <v>0</v>
      </c>
      <c r="M24" s="3">
        <f>M402</f>
        <v>0</v>
      </c>
      <c r="N24" s="3">
        <f t="shared" ref="N24:T24" si="36">N402</f>
        <v>0</v>
      </c>
      <c r="O24" s="3">
        <f>O402</f>
        <v>0</v>
      </c>
      <c r="P24" s="3">
        <f t="shared" si="36"/>
        <v>0</v>
      </c>
      <c r="Q24" s="177">
        <f t="shared" si="36"/>
        <v>0</v>
      </c>
      <c r="R24" s="177">
        <f t="shared" si="36"/>
        <v>0</v>
      </c>
      <c r="S24" s="177">
        <f t="shared" si="36"/>
        <v>0</v>
      </c>
      <c r="T24" s="177">
        <f t="shared" si="36"/>
        <v>0</v>
      </c>
      <c r="X24" s="210" t="s">
        <v>225</v>
      </c>
      <c r="Y24" s="357" t="e">
        <f>H24/'D5 Gallon Forecast'!H24</f>
        <v>#DIV/0!</v>
      </c>
      <c r="Z24" s="357" t="e">
        <f>I24/'D5 Gallon Forecast'!I24</f>
        <v>#DIV/0!</v>
      </c>
      <c r="AA24" s="357" t="e">
        <f>J24/'D5 Gallon Forecast'!J24</f>
        <v>#DIV/0!</v>
      </c>
      <c r="AB24" s="357" t="e">
        <f>K24/'D5 Gallon Forecast'!K24</f>
        <v>#DIV/0!</v>
      </c>
      <c r="AC24" s="357" t="e">
        <f>L24/'D5 Gallon Forecast'!L24</f>
        <v>#DIV/0!</v>
      </c>
      <c r="AD24" s="357" t="e">
        <f>M24/'D5 Gallon Forecast'!M24</f>
        <v>#DIV/0!</v>
      </c>
      <c r="AE24" s="357" t="e">
        <f>N24/'D5 Gallon Forecast'!N24</f>
        <v>#DIV/0!</v>
      </c>
      <c r="AF24" s="357" t="e">
        <f>O24/'D5 Gallon Forecast'!O24</f>
        <v>#DIV/0!</v>
      </c>
      <c r="AG24" s="358" t="e">
        <f>P24/'D5 Gallon Forecast'!P24</f>
        <v>#DIV/0!</v>
      </c>
      <c r="AH24" s="358" t="e">
        <f>Q24/'D5 Gallon Forecast'!Q24</f>
        <v>#DIV/0!</v>
      </c>
      <c r="AI24" s="358" t="e">
        <f>R24/'D5 Gallon Forecast'!R24</f>
        <v>#DIV/0!</v>
      </c>
      <c r="AT24" s="2" t="e">
        <f>B26/'D5 Gallon Forecast'!B26</f>
        <v>#DIV/0!</v>
      </c>
      <c r="AU24" s="2" t="e">
        <f>C26/'D5 Gallon Forecast'!C26</f>
        <v>#DIV/0!</v>
      </c>
      <c r="AV24" s="2" t="e">
        <f>D26/'D5 Gallon Forecast'!D26</f>
        <v>#DIV/0!</v>
      </c>
      <c r="AW24" s="2" t="e">
        <f>E26/'D5 Gallon Forecast'!E26</f>
        <v>#DIV/0!</v>
      </c>
      <c r="AX24" s="2" t="e">
        <f>F26/'D5 Gallon Forecast'!F26</f>
        <v>#DIV/0!</v>
      </c>
      <c r="AY24" s="2" t="e">
        <f>G26/'D5 Gallon Forecast'!G26</f>
        <v>#DIV/0!</v>
      </c>
      <c r="AZ24" s="2" t="e">
        <f>H26/'D5 Gallon Forecast'!H26</f>
        <v>#DIV/0!</v>
      </c>
      <c r="BA24" s="2" t="e">
        <f>I26/'D5 Gallon Forecast'!I26</f>
        <v>#DIV/0!</v>
      </c>
      <c r="BB24" s="2">
        <f>J26/'D5 Gallon Forecast'!J26</f>
        <v>1.1000013635103423</v>
      </c>
    </row>
    <row r="25" spans="1:54">
      <c r="A25" s="97" t="s">
        <v>422</v>
      </c>
      <c r="B25" s="98">
        <f>B26+B27</f>
        <v>0</v>
      </c>
      <c r="C25" s="98">
        <f t="shared" ref="C25:T25" si="37">C26+C27</f>
        <v>0</v>
      </c>
      <c r="D25" s="98">
        <f t="shared" si="37"/>
        <v>0</v>
      </c>
      <c r="E25" s="98">
        <f t="shared" si="37"/>
        <v>0</v>
      </c>
      <c r="F25" s="98">
        <f t="shared" si="37"/>
        <v>0</v>
      </c>
      <c r="G25" s="98">
        <f t="shared" si="37"/>
        <v>0</v>
      </c>
      <c r="H25" s="98">
        <f t="shared" si="37"/>
        <v>0</v>
      </c>
      <c r="I25" s="98">
        <f t="shared" si="37"/>
        <v>0</v>
      </c>
      <c r="J25" s="98">
        <f t="shared" si="37"/>
        <v>726068</v>
      </c>
      <c r="K25" s="98">
        <f t="shared" si="37"/>
        <v>4630318</v>
      </c>
      <c r="L25" s="98">
        <f t="shared" si="37"/>
        <v>4737438</v>
      </c>
      <c r="M25" s="98">
        <f t="shared" si="37"/>
        <v>5049347</v>
      </c>
      <c r="N25" s="98">
        <f t="shared" si="37"/>
        <v>4933775</v>
      </c>
      <c r="O25" s="98">
        <f t="shared" si="37"/>
        <v>5191382</v>
      </c>
      <c r="P25" s="98">
        <f t="shared" si="37"/>
        <v>991034</v>
      </c>
      <c r="Q25" s="179">
        <f t="shared" si="37"/>
        <v>65823</v>
      </c>
      <c r="R25" s="179">
        <f t="shared" si="37"/>
        <v>0</v>
      </c>
      <c r="S25" s="179">
        <f t="shared" si="37"/>
        <v>0</v>
      </c>
      <c r="T25" s="179">
        <f t="shared" si="37"/>
        <v>0</v>
      </c>
      <c r="X25" s="210" t="s">
        <v>422</v>
      </c>
      <c r="Y25" s="357" t="e">
        <f>H25/'D5 Gallon Forecast'!H25</f>
        <v>#DIV/0!</v>
      </c>
      <c r="Z25" s="357" t="e">
        <f>I25/'D5 Gallon Forecast'!I25</f>
        <v>#DIV/0!</v>
      </c>
      <c r="AA25" s="357">
        <f>J25/'D5 Gallon Forecast'!J25</f>
        <v>1.1000013635103423</v>
      </c>
      <c r="AB25" s="357">
        <f>K25/'D5 Gallon Forecast'!K25</f>
        <v>1.1000000000000001</v>
      </c>
      <c r="AC25" s="357">
        <f>L25/'D5 Gallon Forecast'!L25</f>
        <v>1.1000002089737508</v>
      </c>
      <c r="AD25" s="357">
        <f>M25/'D5 Gallon Forecast'!M25</f>
        <v>1.1000001089249867</v>
      </c>
      <c r="AE25" s="357">
        <f>N25/'D5 Gallon Forecast'!N25</f>
        <v>1.1000004904968466</v>
      </c>
      <c r="AF25" s="357">
        <f>O25/'D5 Gallon Forecast'!O25</f>
        <v>1.1000002754565852</v>
      </c>
      <c r="AG25" s="358">
        <f>P25/'D5 Gallon Forecast'!P25</f>
        <v>1.0658548809316393</v>
      </c>
      <c r="AH25" s="358">
        <f>Q25/'D5 Gallon Forecast'!Q25</f>
        <v>1.1000016711509217</v>
      </c>
      <c r="AI25" s="358" t="e">
        <f>R25/'D5 Gallon Forecast'!R25</f>
        <v>#DIV/0!</v>
      </c>
      <c r="AT25" s="2" t="e">
        <f>B27/'D5 Gallon Forecast'!B27</f>
        <v>#DIV/0!</v>
      </c>
      <c r="AU25" s="2" t="e">
        <f>C27/'D5 Gallon Forecast'!C27</f>
        <v>#DIV/0!</v>
      </c>
      <c r="AV25" s="2" t="e">
        <f>D27/'D5 Gallon Forecast'!D27</f>
        <v>#DIV/0!</v>
      </c>
      <c r="AW25" s="2" t="e">
        <f>E27/'D5 Gallon Forecast'!E27</f>
        <v>#DIV/0!</v>
      </c>
      <c r="AX25" s="2" t="e">
        <f>F27/'D5 Gallon Forecast'!F27</f>
        <v>#DIV/0!</v>
      </c>
      <c r="AY25" s="2" t="e">
        <f>G27/'D5 Gallon Forecast'!G27</f>
        <v>#DIV/0!</v>
      </c>
      <c r="AZ25" s="2" t="e">
        <f>H27/'D5 Gallon Forecast'!H27</f>
        <v>#DIV/0!</v>
      </c>
      <c r="BA25" s="2" t="e">
        <f>I27/'D5 Gallon Forecast'!I27</f>
        <v>#DIV/0!</v>
      </c>
      <c r="BB25" s="2" t="e">
        <f>J27/'D5 Gallon Forecast'!J27</f>
        <v>#DIV/0!</v>
      </c>
    </row>
    <row r="26" spans="1:54">
      <c r="A26" s="2" t="s">
        <v>224</v>
      </c>
      <c r="B26" s="3">
        <f>B434</f>
        <v>0</v>
      </c>
      <c r="C26" s="3">
        <f t="shared" ref="C26:J26" si="38">C434</f>
        <v>0</v>
      </c>
      <c r="D26" s="3">
        <f t="shared" si="38"/>
        <v>0</v>
      </c>
      <c r="E26" s="3">
        <f t="shared" si="38"/>
        <v>0</v>
      </c>
      <c r="F26" s="3">
        <f t="shared" si="38"/>
        <v>0</v>
      </c>
      <c r="G26" s="3">
        <f t="shared" si="38"/>
        <v>0</v>
      </c>
      <c r="H26" s="3">
        <f t="shared" si="38"/>
        <v>0</v>
      </c>
      <c r="I26" s="3">
        <f t="shared" si="38"/>
        <v>0</v>
      </c>
      <c r="J26" s="3">
        <f t="shared" si="38"/>
        <v>726068</v>
      </c>
      <c r="K26" s="3">
        <f>K434</f>
        <v>4630318</v>
      </c>
      <c r="L26" s="3">
        <f>L434</f>
        <v>4737438</v>
      </c>
      <c r="M26" s="3">
        <f>M434</f>
        <v>5049347</v>
      </c>
      <c r="N26" s="3">
        <f t="shared" ref="N26:T26" si="39">N434</f>
        <v>4933775</v>
      </c>
      <c r="O26" s="3">
        <f>O434</f>
        <v>5191382</v>
      </c>
      <c r="P26" s="3">
        <f t="shared" si="39"/>
        <v>991034</v>
      </c>
      <c r="Q26" s="177">
        <f t="shared" si="39"/>
        <v>65823</v>
      </c>
      <c r="R26" s="177">
        <f t="shared" si="39"/>
        <v>0</v>
      </c>
      <c r="S26" s="177">
        <f t="shared" si="39"/>
        <v>0</v>
      </c>
      <c r="T26" s="177">
        <f t="shared" si="39"/>
        <v>0</v>
      </c>
      <c r="X26" s="210" t="s">
        <v>224</v>
      </c>
      <c r="Y26" s="357" t="e">
        <f>H26/'D5 Gallon Forecast'!H26</f>
        <v>#DIV/0!</v>
      </c>
      <c r="Z26" s="357" t="e">
        <f>I26/'D5 Gallon Forecast'!I26</f>
        <v>#DIV/0!</v>
      </c>
      <c r="AA26" s="357">
        <f>J26/'D5 Gallon Forecast'!J26</f>
        <v>1.1000013635103423</v>
      </c>
      <c r="AB26" s="357">
        <f>K26/'D5 Gallon Forecast'!K26</f>
        <v>1.1000000000000001</v>
      </c>
      <c r="AC26" s="357">
        <f>L26/'D5 Gallon Forecast'!L26</f>
        <v>1.1000002089737508</v>
      </c>
      <c r="AD26" s="357">
        <f>M26/'D5 Gallon Forecast'!M26</f>
        <v>1.1000001089249867</v>
      </c>
      <c r="AE26" s="357">
        <f>N26/'D5 Gallon Forecast'!N26</f>
        <v>1.1000004904968466</v>
      </c>
      <c r="AF26" s="357">
        <f>O26/'D5 Gallon Forecast'!O26</f>
        <v>1.1000002754565852</v>
      </c>
      <c r="AG26" s="358">
        <f>P26/'D5 Gallon Forecast'!P26</f>
        <v>1.0658548809316393</v>
      </c>
      <c r="AH26" s="358">
        <f>Q26/'D5 Gallon Forecast'!Q26</f>
        <v>1.1000016711509217</v>
      </c>
      <c r="AI26" s="358" t="e">
        <f>R26/'D5 Gallon Forecast'!R26</f>
        <v>#DIV/0!</v>
      </c>
    </row>
    <row r="27" spans="1:54" ht="13.5" thickBot="1">
      <c r="A27" s="2" t="s">
        <v>225</v>
      </c>
      <c r="B27" s="3">
        <f>B450</f>
        <v>0</v>
      </c>
      <c r="C27" s="3">
        <f t="shared" ref="C27:J27" si="40">C450</f>
        <v>0</v>
      </c>
      <c r="D27" s="3">
        <f t="shared" si="40"/>
        <v>0</v>
      </c>
      <c r="E27" s="3">
        <f t="shared" si="40"/>
        <v>0</v>
      </c>
      <c r="F27" s="3">
        <f t="shared" si="40"/>
        <v>0</v>
      </c>
      <c r="G27" s="3">
        <f t="shared" si="40"/>
        <v>0</v>
      </c>
      <c r="H27" s="3">
        <f t="shared" si="40"/>
        <v>0</v>
      </c>
      <c r="I27" s="3">
        <f t="shared" si="40"/>
        <v>0</v>
      </c>
      <c r="J27" s="3">
        <f t="shared" si="40"/>
        <v>0</v>
      </c>
      <c r="K27" s="3">
        <f>K450</f>
        <v>0</v>
      </c>
      <c r="L27" s="3">
        <f>L450</f>
        <v>0</v>
      </c>
      <c r="M27" s="3">
        <f>M450</f>
        <v>0</v>
      </c>
      <c r="N27" s="3">
        <f t="shared" ref="N27:T27" si="41">N450</f>
        <v>0</v>
      </c>
      <c r="O27" s="3">
        <f>O450</f>
        <v>0</v>
      </c>
      <c r="P27" s="3">
        <f t="shared" si="41"/>
        <v>0</v>
      </c>
      <c r="Q27" s="177">
        <f t="shared" si="41"/>
        <v>0</v>
      </c>
      <c r="R27" s="177">
        <f t="shared" si="41"/>
        <v>0</v>
      </c>
      <c r="S27" s="177">
        <f t="shared" si="41"/>
        <v>0</v>
      </c>
      <c r="T27" s="177">
        <f t="shared" si="41"/>
        <v>0</v>
      </c>
      <c r="X27" s="210" t="s">
        <v>225</v>
      </c>
      <c r="Y27" s="357" t="e">
        <f>H27/'D5 Gallon Forecast'!H27</f>
        <v>#DIV/0!</v>
      </c>
      <c r="Z27" s="357" t="e">
        <f>I27/'D5 Gallon Forecast'!I27</f>
        <v>#DIV/0!</v>
      </c>
      <c r="AA27" s="357" t="e">
        <f>J27/'D5 Gallon Forecast'!J27</f>
        <v>#DIV/0!</v>
      </c>
      <c r="AB27" s="357" t="e">
        <f>K27/'D5 Gallon Forecast'!K27</f>
        <v>#DIV/0!</v>
      </c>
      <c r="AC27" s="357" t="e">
        <f>L27/'D5 Gallon Forecast'!L27</f>
        <v>#DIV/0!</v>
      </c>
      <c r="AD27" s="357" t="e">
        <f>M27/'D5 Gallon Forecast'!M27</f>
        <v>#DIV/0!</v>
      </c>
      <c r="AE27" s="357" t="e">
        <f>N27/'D5 Gallon Forecast'!N27</f>
        <v>#DIV/0!</v>
      </c>
      <c r="AF27" s="357" t="e">
        <f>O27/'D5 Gallon Forecast'!O27</f>
        <v>#DIV/0!</v>
      </c>
      <c r="AG27" s="358" t="e">
        <f>P27/'D5 Gallon Forecast'!P27</f>
        <v>#DIV/0!</v>
      </c>
      <c r="AH27" s="358" t="e">
        <f>Q27/'D5 Gallon Forecast'!Q27</f>
        <v>#DIV/0!</v>
      </c>
      <c r="AI27" s="358" t="e">
        <f>R27/'D5 Gallon Forecast'!R27</f>
        <v>#DIV/0!</v>
      </c>
    </row>
    <row r="28" spans="1:54" ht="13.5" thickBot="1">
      <c r="A28" s="97" t="s">
        <v>423</v>
      </c>
      <c r="B28" s="98">
        <f t="shared" ref="B28:I28" si="42">B22+B17+B14+B11+B6+B3</f>
        <v>28611632</v>
      </c>
      <c r="C28" s="98">
        <f t="shared" si="42"/>
        <v>228558018</v>
      </c>
      <c r="D28" s="98">
        <f t="shared" si="42"/>
        <v>627072689</v>
      </c>
      <c r="E28" s="98">
        <f t="shared" si="42"/>
        <v>557824688</v>
      </c>
      <c r="F28" s="98">
        <f t="shared" si="42"/>
        <v>143540533</v>
      </c>
      <c r="G28" s="98">
        <f t="shared" si="42"/>
        <v>147091443</v>
      </c>
      <c r="H28" s="98">
        <f t="shared" si="42"/>
        <v>98103017</v>
      </c>
      <c r="I28" s="98">
        <f t="shared" si="42"/>
        <v>143646572</v>
      </c>
      <c r="J28" s="98">
        <f t="shared" ref="J28:O28" si="43">J22+J17+J14+J11+J6+J3+J25</f>
        <v>179304816</v>
      </c>
      <c r="K28" s="98">
        <f t="shared" si="43"/>
        <v>322343569</v>
      </c>
      <c r="L28" s="98">
        <f t="shared" si="43"/>
        <v>335236581</v>
      </c>
      <c r="M28" s="98">
        <f t="shared" si="43"/>
        <v>233872099</v>
      </c>
      <c r="N28" s="98">
        <f t="shared" si="43"/>
        <v>342763665</v>
      </c>
      <c r="O28" s="98">
        <f t="shared" si="43"/>
        <v>262944960</v>
      </c>
      <c r="P28" s="98">
        <f>P22+P17+P14+P11+P6+P3+P25</f>
        <v>243155929</v>
      </c>
      <c r="Q28" s="179">
        <f>Q22+Q17+Q14+Q11+Q6+Q3+Q25</f>
        <v>273837991.68352491</v>
      </c>
      <c r="R28" s="179">
        <f>R22+R17+R14+R11+R6+R3+R25</f>
        <v>309320703.17245978</v>
      </c>
      <c r="S28" s="179">
        <f>S22+S17+S14+S11+S6+S3+S25</f>
        <v>346197716.49990416</v>
      </c>
      <c r="T28" s="179">
        <f>T22+T17+T14+T11+T6+T3+T25</f>
        <v>363560148.16802132</v>
      </c>
      <c r="X28" s="210" t="s">
        <v>423</v>
      </c>
      <c r="Y28" s="357">
        <f>H28/'D5 Gallon Forecast'!H28</f>
        <v>1.1514177113465791</v>
      </c>
      <c r="Z28" s="357">
        <f>I28/'D5 Gallon Forecast'!I28</f>
        <v>1.1152682429707697</v>
      </c>
      <c r="AA28" s="357">
        <f>J28/'D5 Gallon Forecast'!J28</f>
        <v>1.1876369951823902</v>
      </c>
      <c r="AB28" s="357">
        <f>K28/'D5 Gallon Forecast'!K28</f>
        <v>1.1323530125705108</v>
      </c>
      <c r="AC28" s="357">
        <f>L28/'D5 Gallon Forecast'!L28</f>
        <v>1.1657382399748384</v>
      </c>
      <c r="AD28" s="357">
        <f>M28/'D5 Gallon Forecast'!M28</f>
        <v>1.3136034251181548</v>
      </c>
      <c r="AE28" s="357">
        <f>N28/'D5 Gallon Forecast'!N28</f>
        <v>1.3368411934823627</v>
      </c>
      <c r="AF28" s="357">
        <f>O28/'D5 Gallon Forecast'!O28</f>
        <v>1.4259683792080682</v>
      </c>
      <c r="AG28" s="358">
        <f>P28/'D5 Gallon Forecast'!P28</f>
        <v>1.4766142943405636</v>
      </c>
      <c r="AH28" s="358">
        <f>Q28/'D5 Gallon Forecast'!Q28</f>
        <v>1.4576243638244581</v>
      </c>
      <c r="AI28" s="358">
        <f>R28/'D5 Gallon Forecast'!R28</f>
        <v>1.452209874049107</v>
      </c>
    </row>
    <row r="29" spans="1:54" ht="13.5" thickBot="1">
      <c r="A29" s="97"/>
      <c r="B29" s="363">
        <f>B28/'D5 Gallon Forecast'!B28</f>
        <v>1.4876104868633444</v>
      </c>
      <c r="C29" s="363">
        <f>C28/'D5 Gallon Forecast'!C28</f>
        <v>1.0593402493519284</v>
      </c>
      <c r="D29" s="363">
        <f>D28/'D5 Gallon Forecast'!D28</f>
        <v>1.0135787646883048</v>
      </c>
      <c r="E29" s="363">
        <f>E28/'D5 Gallon Forecast'!E28</f>
        <v>1.0569364124321681</v>
      </c>
      <c r="F29" s="363">
        <f>F28/'D5 Gallon Forecast'!F28</f>
        <v>1.0921663627522527</v>
      </c>
      <c r="G29" s="363">
        <f>G28/'D5 Gallon Forecast'!G28</f>
        <v>1.087216351130021</v>
      </c>
      <c r="H29" s="363">
        <f>H28/'D5 Gallon Forecast'!H28</f>
        <v>1.1514177113465791</v>
      </c>
      <c r="I29" s="363">
        <f>I28/'D5 Gallon Forecast'!I28</f>
        <v>1.1152682429707697</v>
      </c>
      <c r="J29" s="363">
        <f>J28/'D5 Gallon Forecast'!J28</f>
        <v>1.1876369951823902</v>
      </c>
      <c r="K29" s="363">
        <f>K28/'D5 Gallon Forecast'!K28</f>
        <v>1.1323530125705108</v>
      </c>
      <c r="L29" s="363">
        <f>L28/'D5 Gallon Forecast'!L28</f>
        <v>1.1657382399748384</v>
      </c>
      <c r="M29" s="363">
        <f>M28/'D5 Gallon Forecast'!M28</f>
        <v>1.3136034251181548</v>
      </c>
      <c r="N29" s="363">
        <f>N28/'D5 Gallon Forecast'!N28</f>
        <v>1.3368411934823627</v>
      </c>
      <c r="O29" s="363">
        <f>O28/'D5 Gallon Forecast'!O28</f>
        <v>1.4259683792080682</v>
      </c>
      <c r="P29" s="363">
        <f>P28/'D5 Gallon Forecast'!P28</f>
        <v>1.4766142943405636</v>
      </c>
      <c r="Q29" s="364">
        <f>Q28/'D5 Gallon Forecast'!Q28</f>
        <v>1.4576243638244581</v>
      </c>
      <c r="R29" s="364">
        <f>R28/'D5 Gallon Forecast'!R28</f>
        <v>1.452209874049107</v>
      </c>
      <c r="S29" s="364">
        <f>S28/'D5 Gallon Forecast'!S28</f>
        <v>1.474750656016631</v>
      </c>
      <c r="T29" s="364">
        <f>T28/'D5 Gallon Forecast'!T28</f>
        <v>1.4733947240851928</v>
      </c>
    </row>
    <row r="30" spans="1:54" ht="13.5" thickBot="1">
      <c r="A30" s="80" t="s">
        <v>230</v>
      </c>
      <c r="B30" s="80">
        <v>2010</v>
      </c>
      <c r="C30" s="80">
        <v>2011</v>
      </c>
      <c r="D30" s="80">
        <v>2012</v>
      </c>
      <c r="E30" s="80">
        <v>2013</v>
      </c>
      <c r="F30" s="80">
        <v>2014</v>
      </c>
      <c r="G30" s="80">
        <v>2015</v>
      </c>
      <c r="H30" s="80">
        <v>2016</v>
      </c>
      <c r="I30" s="80">
        <v>2017</v>
      </c>
      <c r="J30" s="80">
        <v>2018</v>
      </c>
      <c r="K30" s="80">
        <v>2019</v>
      </c>
      <c r="L30" s="80">
        <v>2020</v>
      </c>
      <c r="M30" s="80">
        <v>2021</v>
      </c>
      <c r="N30" s="80">
        <v>2022</v>
      </c>
      <c r="O30" s="80">
        <v>2023</v>
      </c>
      <c r="P30" s="80">
        <v>2024</v>
      </c>
      <c r="Q30" s="80">
        <v>2025</v>
      </c>
      <c r="R30" s="80">
        <v>2026</v>
      </c>
      <c r="S30" s="80">
        <v>2027</v>
      </c>
      <c r="T30" s="80">
        <v>2028</v>
      </c>
    </row>
    <row r="31" spans="1:54">
      <c r="A31" s="94" t="s">
        <v>424</v>
      </c>
      <c r="I31" s="3">
        <f>'[1]RVO Forecast'!H$22</f>
        <v>878121866.63709116</v>
      </c>
      <c r="J31" s="3">
        <f>'[1]RVO Forecast'!I$22</f>
        <v>754325636.53902721</v>
      </c>
      <c r="K31" s="3">
        <f>'[1]RVO Forecast'!J$22</f>
        <v>1215660314.8663955</v>
      </c>
      <c r="L31" s="3">
        <f>'[1]RVO Forecast'!K$22</f>
        <v>1690000000</v>
      </c>
      <c r="M31" s="3">
        <f>'[1]RVO Forecast'!L$22</f>
        <v>2060000000</v>
      </c>
      <c r="N31" s="3">
        <f>'[1]RVO Forecast'!M$22</f>
        <v>2240000000</v>
      </c>
      <c r="O31" s="3">
        <f>'[1]RVO Forecast'!N$22</f>
        <v>2280000000.0000005</v>
      </c>
    </row>
    <row r="32" spans="1:54">
      <c r="A32" s="94" t="s">
        <v>467</v>
      </c>
      <c r="I32" s="3">
        <f>'[1]RVO Forecast'!H$22-'[1]RVO Forecast'!H$43</f>
        <v>466117455.01071125</v>
      </c>
      <c r="J32" s="3">
        <f>'[1]RVO Forecast'!I$22-'[1]RVO Forecast'!I$43</f>
        <v>754325636.53902721</v>
      </c>
      <c r="K32" s="3">
        <f>'[1]RVO Forecast'!J$22-'[1]RVO Forecast'!J$43</f>
        <v>525684887.54403639</v>
      </c>
      <c r="L32" s="3">
        <f>'[1]RVO Forecast'!K$22-'[1]RVO Forecast'!K$43</f>
        <v>372809693.2352941</v>
      </c>
      <c r="M32" s="3">
        <f>'[1]RVO Forecast'!L$22-'[1]RVO Forecast'!L$43</f>
        <v>803581390.47593498</v>
      </c>
      <c r="N32" s="3">
        <f>'[1]RVO Forecast'!M$22-'[1]RVO Forecast'!M$43</f>
        <v>900073726.56381512</v>
      </c>
      <c r="O32" s="3">
        <f>'[1]RVO Forecast'!N$22-'[1]RVO Forecast'!N$43</f>
        <v>888439465.5996666</v>
      </c>
    </row>
    <row r="33" spans="1:20" ht="13.5" thickBot="1">
      <c r="A33" s="94" t="s">
        <v>468</v>
      </c>
      <c r="I33" s="3">
        <f t="shared" ref="I33:O33" si="44">I31-I32</f>
        <v>412004411.62637991</v>
      </c>
      <c r="J33" s="3">
        <f t="shared" si="44"/>
        <v>0</v>
      </c>
      <c r="K33" s="3">
        <f t="shared" si="44"/>
        <v>689975427.32235909</v>
      </c>
      <c r="L33" s="3">
        <f t="shared" si="44"/>
        <v>1317190306.7647059</v>
      </c>
      <c r="M33" s="3">
        <f t="shared" si="44"/>
        <v>1256418609.524065</v>
      </c>
      <c r="N33" s="3">
        <f t="shared" si="44"/>
        <v>1339926273.4361849</v>
      </c>
      <c r="O33" s="3">
        <f t="shared" si="44"/>
        <v>1391560534.4003339</v>
      </c>
    </row>
    <row r="34" spans="1:20">
      <c r="A34" s="191"/>
      <c r="B34" s="191"/>
      <c r="C34" s="191"/>
      <c r="D34" s="191"/>
      <c r="E34" s="191"/>
      <c r="F34" s="191"/>
      <c r="G34" s="191"/>
      <c r="H34" s="191"/>
      <c r="I34" s="101">
        <f>'Monthly D5 RIN Data'!$BC99</f>
        <v>143646572</v>
      </c>
      <c r="J34" s="101">
        <f>'Monthly D5 RIN Data'!$BC111</f>
        <v>179304816</v>
      </c>
      <c r="K34" s="101">
        <f>'Monthly D5 RIN Data'!$BC123</f>
        <v>322343569</v>
      </c>
      <c r="L34" s="101">
        <f>'Monthly D5 RIN Data'!$BC135</f>
        <v>335236581</v>
      </c>
      <c r="M34" s="101">
        <f>'Monthly D5 RIN Data'!$BC147</f>
        <v>233872099</v>
      </c>
      <c r="N34" s="101">
        <f>'Monthly D5 RIN Data'!$BC159</f>
        <v>342763665</v>
      </c>
      <c r="O34" s="101">
        <f>'Monthly D5 RIN Data'!$BC171</f>
        <v>262944960</v>
      </c>
      <c r="P34" s="191"/>
      <c r="Q34" s="191"/>
      <c r="R34" s="191"/>
      <c r="S34" s="191"/>
      <c r="T34" s="191"/>
    </row>
    <row r="35" spans="1:20">
      <c r="I35" s="3">
        <f t="shared" ref="I35:O35" si="45">I28-I34</f>
        <v>0</v>
      </c>
      <c r="J35" s="3">
        <f t="shared" si="45"/>
        <v>0</v>
      </c>
      <c r="K35" s="3">
        <f t="shared" si="45"/>
        <v>0</v>
      </c>
      <c r="L35" s="3">
        <f t="shared" si="45"/>
        <v>0</v>
      </c>
      <c r="M35" s="3">
        <f t="shared" si="45"/>
        <v>0</v>
      </c>
      <c r="N35" s="3">
        <f t="shared" si="45"/>
        <v>0</v>
      </c>
      <c r="O35" s="3">
        <f t="shared" si="45"/>
        <v>0</v>
      </c>
    </row>
    <row r="36" spans="1:20" ht="16.5" thickBot="1">
      <c r="A36" s="109" t="s">
        <v>431</v>
      </c>
    </row>
    <row r="37" spans="1:20" ht="13.5" thickBot="1">
      <c r="A37" s="110"/>
      <c r="B37" s="111">
        <v>2010</v>
      </c>
      <c r="C37" s="111">
        <v>2011</v>
      </c>
      <c r="D37" s="111">
        <v>2012</v>
      </c>
      <c r="E37" s="111">
        <v>2013</v>
      </c>
      <c r="F37" s="111">
        <v>2014</v>
      </c>
      <c r="G37" s="111">
        <v>2015</v>
      </c>
      <c r="H37" s="111">
        <v>2016</v>
      </c>
      <c r="I37" s="111">
        <v>2017</v>
      </c>
      <c r="J37" s="111">
        <v>2018</v>
      </c>
      <c r="K37" s="111">
        <v>2019</v>
      </c>
      <c r="L37" s="111">
        <v>2020</v>
      </c>
      <c r="M37" s="111">
        <v>2021</v>
      </c>
      <c r="N37" s="111">
        <v>2022</v>
      </c>
      <c r="O37" s="111">
        <v>2023</v>
      </c>
      <c r="P37" s="111">
        <v>2024</v>
      </c>
      <c r="Q37" s="111">
        <v>2025</v>
      </c>
      <c r="R37" s="111">
        <v>2026</v>
      </c>
      <c r="S37" s="111">
        <v>2027</v>
      </c>
      <c r="T37" s="111">
        <v>2028</v>
      </c>
    </row>
    <row r="38" spans="1:20">
      <c r="A38" s="2" t="s">
        <v>43</v>
      </c>
      <c r="B38" s="3">
        <f>B54+B102+B182+B230+B294+B358</f>
        <v>0</v>
      </c>
      <c r="C38" s="3">
        <f t="shared" ref="C38:T49" si="46">C54+C102+C182+C230+C278+C358</f>
        <v>6192088</v>
      </c>
      <c r="D38" s="3">
        <f t="shared" si="46"/>
        <v>7357628</v>
      </c>
      <c r="E38" s="3">
        <f t="shared" si="46"/>
        <v>52759230</v>
      </c>
      <c r="F38" s="3">
        <f t="shared" si="46"/>
        <v>8700577</v>
      </c>
      <c r="G38" s="3">
        <f t="shared" si="46"/>
        <v>5349614</v>
      </c>
      <c r="H38" s="3">
        <f t="shared" si="46"/>
        <v>4524355</v>
      </c>
      <c r="I38" s="3">
        <f t="shared" si="46"/>
        <v>5692281</v>
      </c>
      <c r="J38" s="3">
        <f t="shared" si="46"/>
        <v>5792888</v>
      </c>
      <c r="K38" s="3">
        <f t="shared" si="46"/>
        <v>10671435</v>
      </c>
      <c r="L38" s="3">
        <f t="shared" si="46"/>
        <v>19722474</v>
      </c>
      <c r="M38" s="3">
        <f t="shared" si="46"/>
        <v>19686185</v>
      </c>
      <c r="N38" s="3">
        <f t="shared" si="46"/>
        <v>16248209</v>
      </c>
      <c r="O38" s="3">
        <f t="shared" si="46"/>
        <v>16738005</v>
      </c>
      <c r="P38" s="3">
        <f t="shared" si="46"/>
        <v>19167979</v>
      </c>
      <c r="Q38" s="3">
        <f t="shared" si="46"/>
        <v>23483794</v>
      </c>
      <c r="R38" s="4">
        <f t="shared" si="46"/>
        <v>32195611.022172991</v>
      </c>
      <c r="S38" s="4">
        <f t="shared" si="46"/>
        <v>21236467.811833911</v>
      </c>
      <c r="T38" s="4">
        <f t="shared" si="46"/>
        <v>18318371.682452142</v>
      </c>
    </row>
    <row r="39" spans="1:20">
      <c r="A39" s="2" t="s">
        <v>44</v>
      </c>
      <c r="B39" s="3">
        <f t="shared" ref="B39:J49" si="47">B55+B103+B183+B231+B279+B359</f>
        <v>0</v>
      </c>
      <c r="C39" s="3">
        <f t="shared" si="47"/>
        <v>2942250</v>
      </c>
      <c r="D39" s="3">
        <f t="shared" si="47"/>
        <v>5317529</v>
      </c>
      <c r="E39" s="3">
        <f t="shared" si="47"/>
        <v>32107582</v>
      </c>
      <c r="F39" s="3">
        <f t="shared" si="47"/>
        <v>6395361</v>
      </c>
      <c r="G39" s="3">
        <f t="shared" si="47"/>
        <v>4402671</v>
      </c>
      <c r="H39" s="3">
        <f t="shared" si="47"/>
        <v>3530282</v>
      </c>
      <c r="I39" s="3">
        <f t="shared" si="47"/>
        <v>5384870</v>
      </c>
      <c r="J39" s="3">
        <f t="shared" si="47"/>
        <v>7566324</v>
      </c>
      <c r="K39" s="3">
        <f t="shared" si="46"/>
        <v>9963727</v>
      </c>
      <c r="L39" s="3">
        <f t="shared" si="46"/>
        <v>23331919</v>
      </c>
      <c r="M39" s="3">
        <f t="shared" si="46"/>
        <v>12272323</v>
      </c>
      <c r="N39" s="3">
        <f t="shared" si="46"/>
        <v>27190741</v>
      </c>
      <c r="O39" s="3">
        <f t="shared" si="46"/>
        <v>12725980</v>
      </c>
      <c r="P39" s="3">
        <f t="shared" si="46"/>
        <v>13724188</v>
      </c>
      <c r="Q39" s="3">
        <f t="shared" si="46"/>
        <v>24131613</v>
      </c>
      <c r="R39" s="4">
        <f t="shared" si="46"/>
        <v>38673512.320290439</v>
      </c>
      <c r="S39" s="4">
        <f t="shared" si="46"/>
        <v>16069356.371994279</v>
      </c>
      <c r="T39" s="4">
        <f t="shared" si="46"/>
        <v>6939687.2850509323</v>
      </c>
    </row>
    <row r="40" spans="1:20">
      <c r="A40" s="2" t="s">
        <v>45</v>
      </c>
      <c r="B40" s="3">
        <f t="shared" si="47"/>
        <v>0</v>
      </c>
      <c r="C40" s="3">
        <f t="shared" si="47"/>
        <v>4109072</v>
      </c>
      <c r="D40" s="3">
        <f t="shared" si="47"/>
        <v>21937498</v>
      </c>
      <c r="E40" s="3">
        <f t="shared" si="47"/>
        <v>49599076</v>
      </c>
      <c r="F40" s="3">
        <f t="shared" si="47"/>
        <v>10677050</v>
      </c>
      <c r="G40" s="3">
        <f t="shared" si="47"/>
        <v>4936128</v>
      </c>
      <c r="H40" s="3">
        <f t="shared" si="47"/>
        <v>4655543</v>
      </c>
      <c r="I40" s="3">
        <f t="shared" si="47"/>
        <v>4588049</v>
      </c>
      <c r="J40" s="3">
        <f t="shared" si="47"/>
        <v>9919986</v>
      </c>
      <c r="K40" s="3">
        <f t="shared" si="46"/>
        <v>16898953</v>
      </c>
      <c r="L40" s="3">
        <f t="shared" si="46"/>
        <v>35983174</v>
      </c>
      <c r="M40" s="3">
        <f t="shared" si="46"/>
        <v>11876095</v>
      </c>
      <c r="N40" s="3">
        <f t="shared" si="46"/>
        <v>18080376</v>
      </c>
      <c r="O40" s="3">
        <f t="shared" si="46"/>
        <v>26400582</v>
      </c>
      <c r="P40" s="3">
        <f>P56+P104+P184+P232+P280+P360</f>
        <v>16308403</v>
      </c>
      <c r="Q40" s="3">
        <f t="shared" si="46"/>
        <v>24897417.507736813</v>
      </c>
      <c r="R40" s="4">
        <f>R56+R104+R184+R232+R280+R360</f>
        <v>39898933.279352859</v>
      </c>
      <c r="S40" s="4">
        <f>S56+S104+S184+S232+S280+S360</f>
        <v>21420647.130243175</v>
      </c>
      <c r="T40" s="4">
        <f>T56+T104+T184+T232+T280+T360</f>
        <v>14613707.751969421</v>
      </c>
    </row>
    <row r="41" spans="1:20">
      <c r="A41" s="2" t="s">
        <v>46</v>
      </c>
      <c r="B41" s="3">
        <f t="shared" si="47"/>
        <v>0</v>
      </c>
      <c r="C41" s="3">
        <f t="shared" si="47"/>
        <v>2563595</v>
      </c>
      <c r="D41" s="3">
        <f t="shared" si="47"/>
        <v>16860106</v>
      </c>
      <c r="E41" s="3">
        <f t="shared" si="47"/>
        <v>28347537</v>
      </c>
      <c r="F41" s="3">
        <f t="shared" si="47"/>
        <v>23846069</v>
      </c>
      <c r="G41" s="3">
        <f t="shared" si="47"/>
        <v>15345141</v>
      </c>
      <c r="H41" s="3">
        <f t="shared" si="47"/>
        <v>4659635</v>
      </c>
      <c r="I41" s="3">
        <f t="shared" si="47"/>
        <v>7016783</v>
      </c>
      <c r="J41" s="3">
        <f t="shared" si="47"/>
        <v>7042704</v>
      </c>
      <c r="K41" s="3">
        <f t="shared" si="46"/>
        <v>23491903</v>
      </c>
      <c r="L41" s="3">
        <f t="shared" si="46"/>
        <v>10280257</v>
      </c>
      <c r="M41" s="3">
        <f t="shared" si="46"/>
        <v>9237707</v>
      </c>
      <c r="N41" s="3">
        <f t="shared" si="46"/>
        <v>18571902</v>
      </c>
      <c r="O41" s="3">
        <f t="shared" si="46"/>
        <v>19248890</v>
      </c>
      <c r="P41" s="3">
        <f t="shared" si="46"/>
        <v>15722561</v>
      </c>
      <c r="Q41" s="4">
        <f t="shared" si="46"/>
        <v>19190022.362707887</v>
      </c>
      <c r="R41" s="4">
        <f t="shared" si="46"/>
        <v>21920279.938764401</v>
      </c>
      <c r="S41" s="4">
        <f t="shared" si="46"/>
        <v>23892299.638462052</v>
      </c>
      <c r="T41" s="4">
        <f t="shared" si="46"/>
        <v>24803748.624816295</v>
      </c>
    </row>
    <row r="42" spans="1:20">
      <c r="A42" s="2" t="s">
        <v>47</v>
      </c>
      <c r="B42" s="3">
        <f t="shared" si="47"/>
        <v>0</v>
      </c>
      <c r="C42" s="3">
        <f t="shared" si="47"/>
        <v>9247512</v>
      </c>
      <c r="D42" s="3">
        <f t="shared" si="47"/>
        <v>17647848</v>
      </c>
      <c r="E42" s="3">
        <f t="shared" si="47"/>
        <v>34340741</v>
      </c>
      <c r="F42" s="3">
        <f t="shared" si="47"/>
        <v>27529008</v>
      </c>
      <c r="G42" s="3">
        <f t="shared" si="47"/>
        <v>4798368</v>
      </c>
      <c r="H42" s="3">
        <f t="shared" si="47"/>
        <v>7347796</v>
      </c>
      <c r="I42" s="3">
        <f t="shared" si="47"/>
        <v>13337119</v>
      </c>
      <c r="J42" s="3">
        <f t="shared" si="47"/>
        <v>5938853</v>
      </c>
      <c r="K42" s="3">
        <f t="shared" si="46"/>
        <v>12175127</v>
      </c>
      <c r="L42" s="3">
        <f t="shared" si="46"/>
        <v>12293512</v>
      </c>
      <c r="M42" s="3">
        <f t="shared" si="46"/>
        <v>8003954</v>
      </c>
      <c r="N42" s="3">
        <f t="shared" si="46"/>
        <v>34146535</v>
      </c>
      <c r="O42" s="3">
        <f t="shared" si="46"/>
        <v>21194716</v>
      </c>
      <c r="P42" s="3">
        <f t="shared" si="46"/>
        <v>9300927</v>
      </c>
      <c r="Q42" s="4">
        <f t="shared" si="46"/>
        <v>17579078.330372564</v>
      </c>
      <c r="R42" s="4">
        <f t="shared" si="46"/>
        <v>18669459.066381663</v>
      </c>
      <c r="S42" s="4">
        <f t="shared" si="46"/>
        <v>22718944.902649462</v>
      </c>
      <c r="T42" s="4">
        <f t="shared" si="46"/>
        <v>22835677.90243689</v>
      </c>
    </row>
    <row r="43" spans="1:20">
      <c r="A43" s="2" t="s">
        <v>48</v>
      </c>
      <c r="B43" s="3">
        <f t="shared" si="47"/>
        <v>0</v>
      </c>
      <c r="C43" s="3">
        <f t="shared" si="47"/>
        <v>7563592</v>
      </c>
      <c r="D43" s="3">
        <f t="shared" si="47"/>
        <v>40728147</v>
      </c>
      <c r="E43" s="3">
        <f t="shared" si="47"/>
        <v>47290359</v>
      </c>
      <c r="F43" s="3">
        <f t="shared" si="47"/>
        <v>17983601</v>
      </c>
      <c r="G43" s="3">
        <f t="shared" si="47"/>
        <v>4788361</v>
      </c>
      <c r="H43" s="3">
        <f t="shared" si="47"/>
        <v>16472787</v>
      </c>
      <c r="I43" s="3">
        <f t="shared" si="47"/>
        <v>16020090</v>
      </c>
      <c r="J43" s="3">
        <f t="shared" si="47"/>
        <v>4640257</v>
      </c>
      <c r="K43" s="3">
        <f t="shared" si="46"/>
        <v>33452818</v>
      </c>
      <c r="L43" s="3">
        <f t="shared" si="46"/>
        <v>10201007</v>
      </c>
      <c r="M43" s="3">
        <f t="shared" si="46"/>
        <v>24716430</v>
      </c>
      <c r="N43" s="3">
        <f t="shared" si="46"/>
        <v>17109947</v>
      </c>
      <c r="O43" s="3">
        <f t="shared" si="46"/>
        <v>23036255</v>
      </c>
      <c r="P43" s="3">
        <f t="shared" si="46"/>
        <v>19457980</v>
      </c>
      <c r="Q43" s="4">
        <f t="shared" si="46"/>
        <v>20030716.977857497</v>
      </c>
      <c r="R43" s="4">
        <f t="shared" si="46"/>
        <v>23689472.950286955</v>
      </c>
      <c r="S43" s="4">
        <f t="shared" si="46"/>
        <v>26994256.750281956</v>
      </c>
      <c r="T43" s="4">
        <f t="shared" si="46"/>
        <v>29084423.921354473</v>
      </c>
    </row>
    <row r="44" spans="1:20">
      <c r="A44" s="2" t="s">
        <v>49</v>
      </c>
      <c r="B44" s="3">
        <f t="shared" si="47"/>
        <v>1542139</v>
      </c>
      <c r="C44" s="3">
        <f t="shared" si="47"/>
        <v>17047375</v>
      </c>
      <c r="D44" s="3">
        <f t="shared" si="47"/>
        <v>52191219</v>
      </c>
      <c r="E44" s="3">
        <f t="shared" si="47"/>
        <v>66591538</v>
      </c>
      <c r="F44" s="3">
        <f t="shared" si="47"/>
        <v>15537712</v>
      </c>
      <c r="G44" s="3">
        <f t="shared" si="47"/>
        <v>5369707</v>
      </c>
      <c r="H44" s="3">
        <f t="shared" si="47"/>
        <v>15998969</v>
      </c>
      <c r="I44" s="3">
        <f t="shared" si="47"/>
        <v>5312768</v>
      </c>
      <c r="J44" s="3">
        <f t="shared" si="47"/>
        <v>6621245</v>
      </c>
      <c r="K44" s="3">
        <f t="shared" si="46"/>
        <v>33650626</v>
      </c>
      <c r="L44" s="3">
        <f t="shared" si="46"/>
        <v>33380767</v>
      </c>
      <c r="M44" s="3">
        <f t="shared" si="46"/>
        <v>23594124</v>
      </c>
      <c r="N44" s="3">
        <f t="shared" si="46"/>
        <v>20172654</v>
      </c>
      <c r="O44" s="3">
        <f t="shared" si="46"/>
        <v>15285380</v>
      </c>
      <c r="P44" s="3">
        <f t="shared" si="46"/>
        <v>20495975</v>
      </c>
      <c r="Q44" s="4">
        <f t="shared" si="46"/>
        <v>21536209.113042146</v>
      </c>
      <c r="R44" s="4">
        <f t="shared" si="46"/>
        <v>24077253.139577053</v>
      </c>
      <c r="S44" s="4">
        <f t="shared" si="46"/>
        <v>26953688.710289914</v>
      </c>
      <c r="T44" s="4">
        <f t="shared" si="46"/>
        <v>28087850.457282901</v>
      </c>
    </row>
    <row r="45" spans="1:20">
      <c r="A45" s="2" t="s">
        <v>50</v>
      </c>
      <c r="B45" s="3">
        <f t="shared" si="47"/>
        <v>2935557</v>
      </c>
      <c r="C45" s="3">
        <f t="shared" si="47"/>
        <v>27757911</v>
      </c>
      <c r="D45" s="3">
        <f t="shared" si="47"/>
        <v>87109558</v>
      </c>
      <c r="E45" s="3">
        <f t="shared" si="47"/>
        <v>97733236</v>
      </c>
      <c r="F45" s="3">
        <f t="shared" si="47"/>
        <v>4682654</v>
      </c>
      <c r="G45" s="3">
        <f t="shared" si="47"/>
        <v>20822675</v>
      </c>
      <c r="H45" s="3">
        <f t="shared" si="47"/>
        <v>17099805</v>
      </c>
      <c r="I45" s="3">
        <f t="shared" si="47"/>
        <v>28175819</v>
      </c>
      <c r="J45" s="3">
        <f t="shared" si="47"/>
        <v>28585790</v>
      </c>
      <c r="K45" s="3">
        <f t="shared" si="46"/>
        <v>23358445</v>
      </c>
      <c r="L45" s="3">
        <f t="shared" si="46"/>
        <v>38873869</v>
      </c>
      <c r="M45" s="3">
        <f t="shared" si="46"/>
        <v>32426675</v>
      </c>
      <c r="N45" s="3">
        <f t="shared" si="46"/>
        <v>34657599</v>
      </c>
      <c r="O45" s="3">
        <f t="shared" si="46"/>
        <v>21292845</v>
      </c>
      <c r="P45" s="3">
        <f t="shared" si="46"/>
        <v>25078854</v>
      </c>
      <c r="Q45" s="4">
        <f t="shared" si="46"/>
        <v>23339055.52682386</v>
      </c>
      <c r="R45" s="4">
        <f t="shared" si="46"/>
        <v>27039438.236710478</v>
      </c>
      <c r="S45" s="4">
        <f t="shared" si="46"/>
        <v>30714459.193325054</v>
      </c>
      <c r="T45" s="4">
        <f t="shared" si="46"/>
        <v>32751485.461831529</v>
      </c>
    </row>
    <row r="46" spans="1:20">
      <c r="A46" s="2" t="s">
        <v>51</v>
      </c>
      <c r="B46" s="3">
        <f t="shared" si="47"/>
        <v>3152645</v>
      </c>
      <c r="C46" s="3">
        <f t="shared" si="47"/>
        <v>41338750</v>
      </c>
      <c r="D46" s="3">
        <f t="shared" si="47"/>
        <v>78430373</v>
      </c>
      <c r="E46" s="3">
        <f t="shared" si="47"/>
        <v>71788824</v>
      </c>
      <c r="F46" s="3">
        <f t="shared" si="47"/>
        <v>4295701</v>
      </c>
      <c r="G46" s="3">
        <f t="shared" si="47"/>
        <v>24640432</v>
      </c>
      <c r="H46" s="3">
        <f t="shared" si="47"/>
        <v>5038341</v>
      </c>
      <c r="I46" s="3">
        <f t="shared" si="47"/>
        <v>16798442</v>
      </c>
      <c r="J46" s="3">
        <f t="shared" si="47"/>
        <v>16713819</v>
      </c>
      <c r="K46" s="3">
        <f t="shared" si="46"/>
        <v>39243876</v>
      </c>
      <c r="L46" s="3">
        <f t="shared" si="46"/>
        <v>38429561</v>
      </c>
      <c r="M46" s="3">
        <f t="shared" si="46"/>
        <v>24370074</v>
      </c>
      <c r="N46" s="3">
        <f t="shared" si="46"/>
        <v>34501051</v>
      </c>
      <c r="O46" s="3">
        <f t="shared" si="46"/>
        <v>44544485</v>
      </c>
      <c r="P46" s="3">
        <f t="shared" si="46"/>
        <v>27429240</v>
      </c>
      <c r="Q46" s="4">
        <f t="shared" si="46"/>
        <v>26767896.081616361</v>
      </c>
      <c r="R46" s="4">
        <f t="shared" si="46"/>
        <v>33976068.938078493</v>
      </c>
      <c r="S46" s="4">
        <f t="shared" si="46"/>
        <v>38220188.978408523</v>
      </c>
      <c r="T46" s="4">
        <f t="shared" si="46"/>
        <v>39761631.971947886</v>
      </c>
    </row>
    <row r="47" spans="1:20">
      <c r="A47" s="2" t="s">
        <v>52</v>
      </c>
      <c r="B47" s="3">
        <f t="shared" si="47"/>
        <v>5004760</v>
      </c>
      <c r="C47" s="3">
        <f t="shared" si="47"/>
        <v>23159569</v>
      </c>
      <c r="D47" s="3">
        <f t="shared" si="47"/>
        <v>79131381</v>
      </c>
      <c r="E47" s="3">
        <f t="shared" si="47"/>
        <v>35763423</v>
      </c>
      <c r="F47" s="3">
        <f t="shared" si="47"/>
        <v>6239052</v>
      </c>
      <c r="G47" s="3">
        <f t="shared" si="47"/>
        <v>12331195</v>
      </c>
      <c r="H47" s="3">
        <f t="shared" si="47"/>
        <v>5860431</v>
      </c>
      <c r="I47" s="3">
        <f t="shared" si="47"/>
        <v>5585313</v>
      </c>
      <c r="J47" s="3">
        <f t="shared" si="47"/>
        <v>30139725</v>
      </c>
      <c r="K47" s="3">
        <f t="shared" si="46"/>
        <v>62756515</v>
      </c>
      <c r="L47" s="3">
        <f t="shared" si="46"/>
        <v>27420991</v>
      </c>
      <c r="M47" s="3">
        <f t="shared" si="46"/>
        <v>25132719</v>
      </c>
      <c r="N47" s="3">
        <f t="shared" si="46"/>
        <v>39148562</v>
      </c>
      <c r="O47" s="3">
        <f t="shared" si="46"/>
        <v>22149095</v>
      </c>
      <c r="P47" s="3">
        <f t="shared" si="46"/>
        <v>21694265</v>
      </c>
      <c r="Q47" s="4">
        <f t="shared" si="46"/>
        <v>24648035.89885575</v>
      </c>
      <c r="R47" s="4">
        <f t="shared" si="46"/>
        <v>28944206.743511371</v>
      </c>
      <c r="S47" s="4">
        <f t="shared" si="46"/>
        <v>32227188.873535775</v>
      </c>
      <c r="T47" s="4">
        <f t="shared" si="46"/>
        <v>33622513.144909233</v>
      </c>
    </row>
    <row r="48" spans="1:20">
      <c r="A48" s="2" t="s">
        <v>53</v>
      </c>
      <c r="B48" s="3">
        <f t="shared" si="47"/>
        <v>7399599</v>
      </c>
      <c r="C48" s="3">
        <f t="shared" si="47"/>
        <v>29686751</v>
      </c>
      <c r="D48" s="3">
        <f t="shared" si="47"/>
        <v>112274703</v>
      </c>
      <c r="E48" s="3">
        <f t="shared" si="47"/>
        <v>25587994</v>
      </c>
      <c r="F48" s="3">
        <f t="shared" si="47"/>
        <v>4630963</v>
      </c>
      <c r="G48" s="3">
        <f t="shared" si="47"/>
        <v>27551952</v>
      </c>
      <c r="H48" s="3">
        <f t="shared" si="47"/>
        <v>5837436</v>
      </c>
      <c r="I48" s="3">
        <f t="shared" si="47"/>
        <v>28686775</v>
      </c>
      <c r="J48" s="3">
        <f t="shared" si="47"/>
        <v>22337997</v>
      </c>
      <c r="K48" s="3">
        <f t="shared" si="46"/>
        <v>19056418</v>
      </c>
      <c r="L48" s="3">
        <f t="shared" si="46"/>
        <v>36237550</v>
      </c>
      <c r="M48" s="3">
        <f t="shared" si="46"/>
        <v>8715487</v>
      </c>
      <c r="N48" s="3">
        <f t="shared" si="46"/>
        <v>36948757</v>
      </c>
      <c r="O48" s="3">
        <f t="shared" si="46"/>
        <v>17979863</v>
      </c>
      <c r="P48" s="3">
        <f t="shared" si="46"/>
        <v>28460894</v>
      </c>
      <c r="Q48" s="4">
        <f t="shared" si="46"/>
        <v>27934692.709716372</v>
      </c>
      <c r="R48" s="4">
        <f t="shared" si="46"/>
        <v>30155405.818626598</v>
      </c>
      <c r="S48" s="4">
        <f t="shared" si="46"/>
        <v>34924721.150043026</v>
      </c>
      <c r="T48" s="4">
        <f t="shared" si="46"/>
        <v>36191274.480729476</v>
      </c>
    </row>
    <row r="49" spans="1:20">
      <c r="A49" s="2" t="s">
        <v>54</v>
      </c>
      <c r="B49" s="3">
        <f t="shared" si="47"/>
        <v>8576932</v>
      </c>
      <c r="C49" s="3">
        <f t="shared" si="47"/>
        <v>56949553</v>
      </c>
      <c r="D49" s="3">
        <f t="shared" si="47"/>
        <v>108086699</v>
      </c>
      <c r="E49" s="3">
        <f t="shared" si="47"/>
        <v>15915148</v>
      </c>
      <c r="F49" s="3">
        <f t="shared" si="47"/>
        <v>13022785</v>
      </c>
      <c r="G49" s="3">
        <f t="shared" si="47"/>
        <v>16755199</v>
      </c>
      <c r="H49" s="3">
        <f t="shared" si="47"/>
        <v>7077637</v>
      </c>
      <c r="I49" s="3">
        <f t="shared" si="47"/>
        <v>7048263</v>
      </c>
      <c r="J49" s="3">
        <f t="shared" si="47"/>
        <v>33279160</v>
      </c>
      <c r="K49" s="3">
        <f t="shared" si="46"/>
        <v>32993408</v>
      </c>
      <c r="L49" s="3">
        <f t="shared" si="46"/>
        <v>44344062</v>
      </c>
      <c r="M49" s="3">
        <f t="shared" si="46"/>
        <v>28790979</v>
      </c>
      <c r="N49" s="3">
        <f t="shared" si="46"/>
        <v>41053557</v>
      </c>
      <c r="O49" s="3">
        <f t="shared" si="46"/>
        <v>86542930</v>
      </c>
      <c r="P49" s="3">
        <f t="shared" si="46"/>
        <v>81971768</v>
      </c>
      <c r="Q49" s="4">
        <f>Q65+Q113+Q193+Q241+Q289+Q369</f>
        <v>68323623.49981001</v>
      </c>
      <c r="R49" s="4">
        <f>R65+R113+R193+R241+R289+R369</f>
        <v>38419425.17342861</v>
      </c>
      <c r="S49" s="4">
        <f>S65+S113+S193+S241+S289+S369</f>
        <v>107343355.92272507</v>
      </c>
      <c r="T49" s="4">
        <f>T65+T113+T193+T241+T289+T369</f>
        <v>137485091.89797807</v>
      </c>
    </row>
    <row r="50" spans="1:20" ht="13.5" thickBot="1">
      <c r="A50" s="2" t="s">
        <v>29</v>
      </c>
      <c r="B50" s="3">
        <f>SUM(B38:B49)</f>
        <v>28611632</v>
      </c>
      <c r="C50" s="3">
        <f t="shared" ref="C50:O50" si="48">SUM(C38:C49)</f>
        <v>228558018</v>
      </c>
      <c r="D50" s="3">
        <f t="shared" si="48"/>
        <v>627072689</v>
      </c>
      <c r="E50" s="3">
        <f t="shared" si="48"/>
        <v>557824688</v>
      </c>
      <c r="F50" s="3">
        <f t="shared" si="48"/>
        <v>143540533</v>
      </c>
      <c r="G50" s="3">
        <f t="shared" si="48"/>
        <v>147091443</v>
      </c>
      <c r="H50" s="3">
        <f t="shared" si="48"/>
        <v>98103017</v>
      </c>
      <c r="I50" s="3">
        <f t="shared" si="48"/>
        <v>143646572</v>
      </c>
      <c r="J50" s="3">
        <f t="shared" si="48"/>
        <v>178578748</v>
      </c>
      <c r="K50" s="3">
        <f t="shared" si="48"/>
        <v>317713251</v>
      </c>
      <c r="L50" s="3">
        <f t="shared" si="48"/>
        <v>330499143</v>
      </c>
      <c r="M50" s="3">
        <f t="shared" si="48"/>
        <v>228822752</v>
      </c>
      <c r="N50" s="3">
        <f t="shared" si="48"/>
        <v>337829890</v>
      </c>
      <c r="O50" s="3">
        <f t="shared" si="48"/>
        <v>327139026</v>
      </c>
      <c r="P50" s="3">
        <f>SUM(P38:P49)</f>
        <v>298813034</v>
      </c>
      <c r="Q50" s="4">
        <f>SUM(Q38:Q49)</f>
        <v>321862155.00853926</v>
      </c>
      <c r="R50" s="4">
        <f>SUM(R38:R49)</f>
        <v>357659066.62718189</v>
      </c>
      <c r="S50" s="4">
        <f>SUM(S38:S49)</f>
        <v>402715575.43379223</v>
      </c>
      <c r="T50" s="4">
        <f>SUM(T38:T49)</f>
        <v>424495464.58275926</v>
      </c>
    </row>
    <row r="51" spans="1:20">
      <c r="A51" s="114"/>
      <c r="B51" s="114"/>
      <c r="C51" s="114"/>
      <c r="D51" s="114"/>
      <c r="E51" s="114"/>
      <c r="F51" s="114"/>
      <c r="G51" s="114"/>
      <c r="H51" s="114"/>
      <c r="I51" s="114"/>
      <c r="J51" s="114"/>
      <c r="K51" s="114"/>
      <c r="L51" s="114"/>
      <c r="M51" s="114"/>
      <c r="N51" s="114"/>
      <c r="O51" s="114"/>
      <c r="P51" s="114"/>
      <c r="Q51" s="114"/>
      <c r="R51" s="114"/>
      <c r="S51" s="114"/>
      <c r="T51" s="114"/>
    </row>
    <row r="52" spans="1:20" ht="16.5" thickBot="1">
      <c r="A52" s="109" t="s">
        <v>433</v>
      </c>
    </row>
    <row r="53" spans="1:20" ht="13.5" thickBot="1">
      <c r="A53" s="110"/>
      <c r="B53" s="111">
        <v>2010</v>
      </c>
      <c r="C53" s="111">
        <v>2011</v>
      </c>
      <c r="D53" s="111">
        <v>2012</v>
      </c>
      <c r="E53" s="111">
        <v>2013</v>
      </c>
      <c r="F53" s="111">
        <v>2014</v>
      </c>
      <c r="G53" s="111">
        <v>2015</v>
      </c>
      <c r="H53" s="111">
        <v>2016</v>
      </c>
      <c r="I53" s="111">
        <v>2017</v>
      </c>
      <c r="J53" s="111">
        <v>2018</v>
      </c>
      <c r="K53" s="111">
        <v>2019</v>
      </c>
      <c r="L53" s="111">
        <v>2020</v>
      </c>
      <c r="M53" s="111">
        <v>2021</v>
      </c>
      <c r="N53" s="111">
        <v>2022</v>
      </c>
      <c r="O53" s="111">
        <v>2023</v>
      </c>
      <c r="P53" s="111">
        <v>2024</v>
      </c>
      <c r="Q53" s="111">
        <v>2025</v>
      </c>
      <c r="R53" s="111">
        <v>2026</v>
      </c>
      <c r="S53" s="111">
        <v>2027</v>
      </c>
      <c r="T53" s="111">
        <v>2028</v>
      </c>
    </row>
    <row r="54" spans="1:20">
      <c r="A54" s="2" t="s">
        <v>43</v>
      </c>
      <c r="B54" s="3">
        <f>B70+B86</f>
        <v>0</v>
      </c>
      <c r="C54" s="3">
        <f t="shared" ref="C54:T65" si="49">C70+C86</f>
        <v>1723406</v>
      </c>
      <c r="D54" s="3">
        <f t="shared" si="49"/>
        <v>6130879</v>
      </c>
      <c r="E54" s="3">
        <f t="shared" si="49"/>
        <v>51710703</v>
      </c>
      <c r="F54" s="3">
        <f t="shared" si="49"/>
        <v>5020302</v>
      </c>
      <c r="G54" s="3">
        <f t="shared" si="49"/>
        <v>2406832</v>
      </c>
      <c r="H54" s="3">
        <f t="shared" si="49"/>
        <v>2221196</v>
      </c>
      <c r="I54" s="3">
        <f t="shared" si="49"/>
        <v>2054933</v>
      </c>
      <c r="J54" s="3">
        <f t="shared" si="49"/>
        <v>2191637</v>
      </c>
      <c r="K54" s="3">
        <f t="shared" si="49"/>
        <v>2101339</v>
      </c>
      <c r="L54" s="3">
        <f t="shared" si="49"/>
        <v>9423341</v>
      </c>
      <c r="M54" s="3">
        <f t="shared" si="49"/>
        <v>2426841</v>
      </c>
      <c r="N54" s="3">
        <f t="shared" si="49"/>
        <v>2549105</v>
      </c>
      <c r="O54" s="3">
        <f t="shared" si="49"/>
        <v>2395622</v>
      </c>
      <c r="P54" s="3">
        <f t="shared" si="49"/>
        <v>2544908</v>
      </c>
      <c r="Q54" s="3">
        <f t="shared" si="49"/>
        <v>2317112</v>
      </c>
      <c r="R54" s="4">
        <f t="shared" si="49"/>
        <v>2682551.7906044959</v>
      </c>
      <c r="S54" s="4">
        <f t="shared" si="49"/>
        <v>3042489.35813733</v>
      </c>
      <c r="T54" s="4">
        <f t="shared" si="49"/>
        <v>3253302.441405558</v>
      </c>
    </row>
    <row r="55" spans="1:20">
      <c r="A55" s="2" t="s">
        <v>44</v>
      </c>
      <c r="B55" s="3">
        <f t="shared" ref="B55:J65" si="50">B71+B87</f>
        <v>0</v>
      </c>
      <c r="C55" s="3">
        <f t="shared" si="50"/>
        <v>1503587</v>
      </c>
      <c r="D55" s="3">
        <f t="shared" si="50"/>
        <v>2190906</v>
      </c>
      <c r="E55" s="3">
        <f t="shared" si="50"/>
        <v>30750326</v>
      </c>
      <c r="F55" s="3">
        <f t="shared" si="50"/>
        <v>1716474</v>
      </c>
      <c r="G55" s="3">
        <f t="shared" si="50"/>
        <v>1708936</v>
      </c>
      <c r="H55" s="3">
        <f t="shared" si="50"/>
        <v>1973477</v>
      </c>
      <c r="I55" s="3">
        <f t="shared" si="50"/>
        <v>2111437</v>
      </c>
      <c r="J55" s="3">
        <f t="shared" si="50"/>
        <v>1746856</v>
      </c>
      <c r="K55" s="3">
        <f t="shared" si="49"/>
        <v>2049780</v>
      </c>
      <c r="L55" s="3">
        <f t="shared" si="49"/>
        <v>14179634</v>
      </c>
      <c r="M55" s="3">
        <f t="shared" si="49"/>
        <v>1464560</v>
      </c>
      <c r="N55" s="3">
        <f t="shared" si="49"/>
        <v>13127868</v>
      </c>
      <c r="O55" s="3">
        <f t="shared" si="49"/>
        <v>2258268</v>
      </c>
      <c r="P55" s="3">
        <f t="shared" si="49"/>
        <v>2449930</v>
      </c>
      <c r="Q55" s="3">
        <f t="shared" si="49"/>
        <v>2100498</v>
      </c>
      <c r="R55" s="4">
        <f t="shared" si="49"/>
        <v>2348306.5095371576</v>
      </c>
      <c r="S55" s="4">
        <f t="shared" si="49"/>
        <v>2824151.9904497149</v>
      </c>
      <c r="T55" s="4">
        <f t="shared" si="49"/>
        <v>3002331.5472689429</v>
      </c>
    </row>
    <row r="56" spans="1:20">
      <c r="A56" s="2" t="s">
        <v>45</v>
      </c>
      <c r="B56" s="3">
        <f t="shared" si="50"/>
        <v>0</v>
      </c>
      <c r="C56" s="3">
        <f t="shared" si="50"/>
        <v>1822590</v>
      </c>
      <c r="D56" s="3">
        <f t="shared" si="50"/>
        <v>20619700</v>
      </c>
      <c r="E56" s="3">
        <f t="shared" si="50"/>
        <v>47895336</v>
      </c>
      <c r="F56" s="3">
        <f t="shared" si="50"/>
        <v>4941249</v>
      </c>
      <c r="G56" s="3">
        <f t="shared" si="50"/>
        <v>2032746</v>
      </c>
      <c r="H56" s="3">
        <f t="shared" si="50"/>
        <v>2110279</v>
      </c>
      <c r="I56" s="3">
        <f t="shared" si="50"/>
        <v>2213701</v>
      </c>
      <c r="J56" s="3">
        <f t="shared" si="50"/>
        <v>2029616</v>
      </c>
      <c r="K56" s="3">
        <f t="shared" si="49"/>
        <v>8611913</v>
      </c>
      <c r="L56" s="3">
        <f t="shared" si="49"/>
        <v>26423755</v>
      </c>
      <c r="M56" s="3">
        <f t="shared" si="49"/>
        <v>2445094</v>
      </c>
      <c r="N56" s="3">
        <f t="shared" si="49"/>
        <v>2331151</v>
      </c>
      <c r="O56" s="3">
        <f t="shared" si="49"/>
        <v>3125864</v>
      </c>
      <c r="P56" s="3">
        <f>P72+P88</f>
        <v>2114115</v>
      </c>
      <c r="Q56" s="3">
        <f t="shared" si="49"/>
        <v>2317486</v>
      </c>
      <c r="R56" s="4">
        <f>R72+R88</f>
        <v>2704506.3022636184</v>
      </c>
      <c r="S56" s="4">
        <f>S72+S88</f>
        <v>3067781.5650613056</v>
      </c>
      <c r="T56" s="4">
        <f>T72+T88</f>
        <v>3340273.8902091705</v>
      </c>
    </row>
    <row r="57" spans="1:20">
      <c r="A57" s="2" t="s">
        <v>46</v>
      </c>
      <c r="B57" s="3">
        <f t="shared" si="50"/>
        <v>0</v>
      </c>
      <c r="C57" s="3">
        <f t="shared" si="50"/>
        <v>1614284</v>
      </c>
      <c r="D57" s="3">
        <f t="shared" si="50"/>
        <v>15997437</v>
      </c>
      <c r="E57" s="3">
        <f t="shared" si="50"/>
        <v>26767214</v>
      </c>
      <c r="F57" s="3">
        <f t="shared" si="50"/>
        <v>18542196</v>
      </c>
      <c r="G57" s="3">
        <f t="shared" si="50"/>
        <v>12523216</v>
      </c>
      <c r="H57" s="3">
        <f t="shared" si="50"/>
        <v>2240412</v>
      </c>
      <c r="I57" s="3">
        <f t="shared" si="50"/>
        <v>1749802</v>
      </c>
      <c r="J57" s="3">
        <f t="shared" si="50"/>
        <v>2129955</v>
      </c>
      <c r="K57" s="3">
        <f t="shared" si="49"/>
        <v>15304609</v>
      </c>
      <c r="L57" s="3">
        <f t="shared" si="49"/>
        <v>1989362</v>
      </c>
      <c r="M57" s="3">
        <f t="shared" si="49"/>
        <v>2129916</v>
      </c>
      <c r="N57" s="3">
        <f t="shared" si="49"/>
        <v>2237127</v>
      </c>
      <c r="O57" s="3">
        <f t="shared" si="49"/>
        <v>2058614</v>
      </c>
      <c r="P57" s="3">
        <f t="shared" si="49"/>
        <v>2530447</v>
      </c>
      <c r="Q57" s="4">
        <f t="shared" si="49"/>
        <v>2666353.2326315162</v>
      </c>
      <c r="R57" s="4">
        <f t="shared" si="49"/>
        <v>2548544.503919851</v>
      </c>
      <c r="S57" s="4">
        <f t="shared" si="49"/>
        <v>2933301.2067448152</v>
      </c>
      <c r="T57" s="4">
        <f t="shared" si="49"/>
        <v>3191802.3720973684</v>
      </c>
    </row>
    <row r="58" spans="1:20">
      <c r="A58" s="2" t="s">
        <v>47</v>
      </c>
      <c r="B58" s="3">
        <f t="shared" si="50"/>
        <v>0</v>
      </c>
      <c r="C58" s="3">
        <f t="shared" si="50"/>
        <v>1699974</v>
      </c>
      <c r="D58" s="3">
        <f t="shared" si="50"/>
        <v>16664300</v>
      </c>
      <c r="E58" s="3">
        <f t="shared" si="50"/>
        <v>30661971</v>
      </c>
      <c r="F58" s="3">
        <f t="shared" si="50"/>
        <v>22634671</v>
      </c>
      <c r="G58" s="3">
        <f t="shared" si="50"/>
        <v>1951230</v>
      </c>
      <c r="H58" s="3">
        <f t="shared" si="50"/>
        <v>4388282</v>
      </c>
      <c r="I58" s="3">
        <f t="shared" si="50"/>
        <v>10675231</v>
      </c>
      <c r="J58" s="3">
        <f t="shared" si="50"/>
        <v>2025926</v>
      </c>
      <c r="K58" s="3">
        <f t="shared" si="49"/>
        <v>2180038</v>
      </c>
      <c r="L58" s="3">
        <f t="shared" si="49"/>
        <v>1967105</v>
      </c>
      <c r="M58" s="3">
        <f t="shared" si="49"/>
        <v>1974084</v>
      </c>
      <c r="N58" s="3">
        <f t="shared" si="49"/>
        <v>13476393</v>
      </c>
      <c r="O58" s="3">
        <f t="shared" si="49"/>
        <v>2737856</v>
      </c>
      <c r="P58" s="3">
        <f t="shared" si="49"/>
        <v>2537729</v>
      </c>
      <c r="Q58" s="4">
        <f t="shared" si="49"/>
        <v>2924441.0956325573</v>
      </c>
      <c r="R58" s="4">
        <f t="shared" si="49"/>
        <v>2842333.4766850173</v>
      </c>
      <c r="S58" s="4">
        <f t="shared" si="49"/>
        <v>3369218.8760459125</v>
      </c>
      <c r="T58" s="4">
        <f t="shared" si="49"/>
        <v>3611366.2186319614</v>
      </c>
    </row>
    <row r="59" spans="1:20">
      <c r="A59" s="2" t="s">
        <v>48</v>
      </c>
      <c r="B59" s="3">
        <f t="shared" si="50"/>
        <v>0</v>
      </c>
      <c r="C59" s="3">
        <f t="shared" si="50"/>
        <v>5236790</v>
      </c>
      <c r="D59" s="3">
        <f t="shared" si="50"/>
        <v>39586298</v>
      </c>
      <c r="E59" s="3">
        <f t="shared" si="50"/>
        <v>35251125</v>
      </c>
      <c r="F59" s="3">
        <f t="shared" si="50"/>
        <v>12755368</v>
      </c>
      <c r="G59" s="3">
        <f t="shared" si="50"/>
        <v>2144244</v>
      </c>
      <c r="H59" s="3">
        <f t="shared" si="50"/>
        <v>13185333</v>
      </c>
      <c r="I59" s="3">
        <f t="shared" si="50"/>
        <v>13230358</v>
      </c>
      <c r="J59" s="3">
        <f t="shared" si="50"/>
        <v>2194561</v>
      </c>
      <c r="K59" s="3">
        <f t="shared" si="49"/>
        <v>26523528</v>
      </c>
      <c r="L59" s="3">
        <f t="shared" si="49"/>
        <v>1972220</v>
      </c>
      <c r="M59" s="3">
        <f t="shared" si="49"/>
        <v>15451059</v>
      </c>
      <c r="N59" s="3">
        <f t="shared" si="49"/>
        <v>2536364</v>
      </c>
      <c r="O59" s="3">
        <f t="shared" si="49"/>
        <v>2590243</v>
      </c>
      <c r="P59" s="3">
        <f t="shared" si="49"/>
        <v>2214046</v>
      </c>
      <c r="Q59" s="4">
        <f t="shared" si="49"/>
        <v>2895851.7952426393</v>
      </c>
      <c r="R59" s="4">
        <f t="shared" si="49"/>
        <v>2809208.4597637844</v>
      </c>
      <c r="S59" s="4">
        <f t="shared" si="49"/>
        <v>3178036.2062862492</v>
      </c>
      <c r="T59" s="4">
        <f t="shared" si="49"/>
        <v>3429892.2670694455</v>
      </c>
    </row>
    <row r="60" spans="1:20">
      <c r="A60" s="2" t="s">
        <v>49</v>
      </c>
      <c r="B60" s="3">
        <f t="shared" si="50"/>
        <v>347397</v>
      </c>
      <c r="C60" s="3">
        <f t="shared" si="50"/>
        <v>15201399</v>
      </c>
      <c r="D60" s="3">
        <f t="shared" si="50"/>
        <v>50968356</v>
      </c>
      <c r="E60" s="3">
        <f t="shared" si="50"/>
        <v>55751819</v>
      </c>
      <c r="F60" s="3">
        <f t="shared" si="50"/>
        <v>7246020</v>
      </c>
      <c r="G60" s="3">
        <f t="shared" si="50"/>
        <v>2197184</v>
      </c>
      <c r="H60" s="3">
        <f t="shared" si="50"/>
        <v>13086002</v>
      </c>
      <c r="I60" s="3">
        <f t="shared" si="50"/>
        <v>2221115</v>
      </c>
      <c r="J60" s="3">
        <f t="shared" si="50"/>
        <v>2183916</v>
      </c>
      <c r="K60" s="3">
        <f t="shared" si="49"/>
        <v>25383164</v>
      </c>
      <c r="L60" s="3">
        <f t="shared" si="49"/>
        <v>23842616</v>
      </c>
      <c r="M60" s="3">
        <f t="shared" si="49"/>
        <v>12508227</v>
      </c>
      <c r="N60" s="3">
        <f t="shared" si="49"/>
        <v>4725510</v>
      </c>
      <c r="O60" s="3">
        <f t="shared" si="49"/>
        <v>2084196</v>
      </c>
      <c r="P60" s="3">
        <f t="shared" si="49"/>
        <v>2272727</v>
      </c>
      <c r="Q60" s="4">
        <f t="shared" si="49"/>
        <v>2608745.1589768725</v>
      </c>
      <c r="R60" s="4">
        <f t="shared" si="49"/>
        <v>2524500.2606017208</v>
      </c>
      <c r="S60" s="4">
        <f t="shared" si="49"/>
        <v>2890968.2013887144</v>
      </c>
      <c r="T60" s="4">
        <f t="shared" si="49"/>
        <v>3102562.2003470268</v>
      </c>
    </row>
    <row r="61" spans="1:20">
      <c r="A61" s="2" t="s">
        <v>50</v>
      </c>
      <c r="B61" s="3">
        <f t="shared" si="50"/>
        <v>373169</v>
      </c>
      <c r="C61" s="3">
        <f t="shared" si="50"/>
        <v>24784267</v>
      </c>
      <c r="D61" s="3">
        <f t="shared" si="50"/>
        <v>84707431</v>
      </c>
      <c r="E61" s="3">
        <f t="shared" si="50"/>
        <v>82569339</v>
      </c>
      <c r="F61" s="3">
        <f t="shared" si="50"/>
        <v>2143347</v>
      </c>
      <c r="G61" s="3">
        <f t="shared" si="50"/>
        <v>17747836</v>
      </c>
      <c r="H61" s="3">
        <f t="shared" si="50"/>
        <v>13521216</v>
      </c>
      <c r="I61" s="3">
        <f t="shared" si="50"/>
        <v>24653134</v>
      </c>
      <c r="J61" s="3">
        <f t="shared" si="50"/>
        <v>22254101</v>
      </c>
      <c r="K61" s="3">
        <f t="shared" si="49"/>
        <v>15945131</v>
      </c>
      <c r="L61" s="3">
        <f t="shared" si="49"/>
        <v>29513045</v>
      </c>
      <c r="M61" s="3">
        <f t="shared" si="49"/>
        <v>17098227</v>
      </c>
      <c r="N61" s="3">
        <f t="shared" si="49"/>
        <v>10835842</v>
      </c>
      <c r="O61" s="3">
        <f t="shared" si="49"/>
        <v>2352734</v>
      </c>
      <c r="P61" s="3">
        <f t="shared" si="49"/>
        <v>2063554</v>
      </c>
      <c r="Q61" s="4">
        <f t="shared" si="49"/>
        <v>2705293.2434301563</v>
      </c>
      <c r="R61" s="4">
        <f t="shared" si="49"/>
        <v>2601520.0004472677</v>
      </c>
      <c r="S61" s="4">
        <f t="shared" si="49"/>
        <v>2962684.3167262413</v>
      </c>
      <c r="T61" s="4">
        <f t="shared" si="49"/>
        <v>3178903.518065054</v>
      </c>
    </row>
    <row r="62" spans="1:20">
      <c r="A62" s="2" t="s">
        <v>51</v>
      </c>
      <c r="B62" s="3">
        <f t="shared" si="50"/>
        <v>320813</v>
      </c>
      <c r="C62" s="3">
        <f t="shared" si="50"/>
        <v>37687145</v>
      </c>
      <c r="D62" s="3">
        <f t="shared" si="50"/>
        <v>76582545</v>
      </c>
      <c r="E62" s="3">
        <f t="shared" si="50"/>
        <v>51705466</v>
      </c>
      <c r="F62" s="3">
        <f t="shared" si="50"/>
        <v>2177573</v>
      </c>
      <c r="G62" s="3">
        <f t="shared" si="50"/>
        <v>21886342</v>
      </c>
      <c r="H62" s="3">
        <f t="shared" si="50"/>
        <v>1921626</v>
      </c>
      <c r="I62" s="3">
        <f t="shared" si="50"/>
        <v>13176610</v>
      </c>
      <c r="J62" s="3">
        <f t="shared" si="50"/>
        <v>6270744</v>
      </c>
      <c r="K62" s="3">
        <f t="shared" si="49"/>
        <v>30742451</v>
      </c>
      <c r="L62" s="3">
        <f t="shared" si="49"/>
        <v>29288372</v>
      </c>
      <c r="M62" s="3">
        <f t="shared" si="49"/>
        <v>12568819</v>
      </c>
      <c r="N62" s="3">
        <f t="shared" si="49"/>
        <v>11463794</v>
      </c>
      <c r="O62" s="3">
        <f t="shared" si="49"/>
        <v>21969936</v>
      </c>
      <c r="P62" s="3">
        <f t="shared" si="49"/>
        <v>2338802</v>
      </c>
      <c r="Q62" s="4">
        <f t="shared" si="49"/>
        <v>2664056.2957418049</v>
      </c>
      <c r="R62" s="4">
        <f t="shared" si="49"/>
        <v>2567275.6487281965</v>
      </c>
      <c r="S62" s="4">
        <f t="shared" si="49"/>
        <v>3037853.5410813116</v>
      </c>
      <c r="T62" s="4">
        <f t="shared" si="49"/>
        <v>3301558.2248755032</v>
      </c>
    </row>
    <row r="63" spans="1:20">
      <c r="A63" s="2" t="s">
        <v>52</v>
      </c>
      <c r="B63" s="3">
        <f t="shared" si="50"/>
        <v>338770</v>
      </c>
      <c r="C63" s="3">
        <f t="shared" si="50"/>
        <v>21035472</v>
      </c>
      <c r="D63" s="3">
        <f t="shared" si="50"/>
        <v>77050745</v>
      </c>
      <c r="E63" s="3">
        <f t="shared" si="50"/>
        <v>17718756</v>
      </c>
      <c r="F63" s="3">
        <f t="shared" si="50"/>
        <v>2402920</v>
      </c>
      <c r="G63" s="3">
        <f t="shared" si="50"/>
        <v>9689794</v>
      </c>
      <c r="H63" s="3">
        <f t="shared" si="50"/>
        <v>2353091</v>
      </c>
      <c r="I63" s="3">
        <f t="shared" si="50"/>
        <v>2200220</v>
      </c>
      <c r="J63" s="3">
        <f t="shared" si="50"/>
        <v>21370405</v>
      </c>
      <c r="K63" s="3">
        <f t="shared" si="49"/>
        <v>56183730</v>
      </c>
      <c r="L63" s="3">
        <f t="shared" si="49"/>
        <v>18824741</v>
      </c>
      <c r="M63" s="3">
        <f t="shared" si="49"/>
        <v>12686390</v>
      </c>
      <c r="N63" s="3">
        <f t="shared" si="49"/>
        <v>20206243</v>
      </c>
      <c r="O63" s="3">
        <f t="shared" si="49"/>
        <v>4597254</v>
      </c>
      <c r="P63" s="3">
        <f t="shared" si="49"/>
        <v>2350773</v>
      </c>
      <c r="Q63" s="4">
        <f t="shared" si="49"/>
        <v>2781105.071773258</v>
      </c>
      <c r="R63" s="4">
        <f t="shared" si="49"/>
        <v>2677955.090057529</v>
      </c>
      <c r="S63" s="4">
        <f t="shared" si="49"/>
        <v>3153669.3233542382</v>
      </c>
      <c r="T63" s="4">
        <f t="shared" si="49"/>
        <v>3439173.5452284608</v>
      </c>
    </row>
    <row r="64" spans="1:20">
      <c r="A64" s="2" t="s">
        <v>53</v>
      </c>
      <c r="B64" s="3">
        <f t="shared" si="50"/>
        <v>910657</v>
      </c>
      <c r="C64" s="3">
        <f t="shared" si="50"/>
        <v>26860040</v>
      </c>
      <c r="D64" s="3">
        <f t="shared" si="50"/>
        <v>108739531</v>
      </c>
      <c r="E64" s="3">
        <f t="shared" si="50"/>
        <v>15287243</v>
      </c>
      <c r="F64" s="3">
        <f t="shared" si="50"/>
        <v>1695561</v>
      </c>
      <c r="G64" s="3">
        <f t="shared" si="50"/>
        <v>25150027</v>
      </c>
      <c r="H64" s="3">
        <f t="shared" si="50"/>
        <v>2299988</v>
      </c>
      <c r="I64" s="3">
        <f t="shared" si="50"/>
        <v>23251887</v>
      </c>
      <c r="J64" s="3">
        <f t="shared" si="50"/>
        <v>12816587</v>
      </c>
      <c r="K64" s="3">
        <f t="shared" si="49"/>
        <v>11379032</v>
      </c>
      <c r="L64" s="3">
        <f t="shared" si="49"/>
        <v>23474567</v>
      </c>
      <c r="M64" s="3">
        <f t="shared" si="49"/>
        <v>2215134</v>
      </c>
      <c r="N64" s="3">
        <f t="shared" si="49"/>
        <v>11884426</v>
      </c>
      <c r="O64" s="3">
        <f t="shared" si="49"/>
        <v>2348268</v>
      </c>
      <c r="P64" s="3">
        <f t="shared" si="49"/>
        <v>2503531</v>
      </c>
      <c r="Q64" s="4">
        <f t="shared" si="49"/>
        <v>2714066.134320938</v>
      </c>
      <c r="R64" s="4">
        <f t="shared" si="49"/>
        <v>2621035.9020146946</v>
      </c>
      <c r="S64" s="4">
        <f t="shared" si="49"/>
        <v>3010735.6414660257</v>
      </c>
      <c r="T64" s="4">
        <f t="shared" si="49"/>
        <v>3307167.1805251339</v>
      </c>
    </row>
    <row r="65" spans="1:20">
      <c r="A65" s="2" t="s">
        <v>54</v>
      </c>
      <c r="B65" s="3">
        <f t="shared" si="50"/>
        <v>1752211</v>
      </c>
      <c r="C65" s="3">
        <f t="shared" si="50"/>
        <v>54579851</v>
      </c>
      <c r="D65" s="3">
        <f t="shared" si="50"/>
        <v>104223555</v>
      </c>
      <c r="E65" s="3">
        <f t="shared" si="50"/>
        <v>12181359</v>
      </c>
      <c r="F65" s="3">
        <f t="shared" si="50"/>
        <v>9022522</v>
      </c>
      <c r="G65" s="3">
        <f t="shared" si="50"/>
        <v>14346897</v>
      </c>
      <c r="H65" s="3">
        <f t="shared" si="50"/>
        <v>2158378</v>
      </c>
      <c r="I65" s="3">
        <f t="shared" si="50"/>
        <v>1853919</v>
      </c>
      <c r="J65" s="3">
        <f t="shared" si="50"/>
        <v>25167706</v>
      </c>
      <c r="K65" s="3">
        <f t="shared" si="49"/>
        <v>23090589</v>
      </c>
      <c r="L65" s="3">
        <f t="shared" si="49"/>
        <v>27739491</v>
      </c>
      <c r="M65" s="3">
        <f t="shared" si="49"/>
        <v>2617650</v>
      </c>
      <c r="N65" s="3">
        <f t="shared" si="49"/>
        <v>14094557</v>
      </c>
      <c r="O65" s="3">
        <f t="shared" si="49"/>
        <v>2645976</v>
      </c>
      <c r="P65" s="3">
        <f t="shared" si="49"/>
        <v>2764927</v>
      </c>
      <c r="Q65" s="4">
        <f t="shared" si="49"/>
        <v>4692379.1537433192</v>
      </c>
      <c r="R65" s="4">
        <f t="shared" si="49"/>
        <v>3304273.3254236989</v>
      </c>
      <c r="S65" s="4">
        <f t="shared" si="49"/>
        <v>3838168.0615853965</v>
      </c>
      <c r="T65" s="4">
        <f t="shared" si="49"/>
        <v>4321568.4967534915</v>
      </c>
    </row>
    <row r="66" spans="1:20" ht="13.5" thickBot="1">
      <c r="A66" s="2" t="s">
        <v>29</v>
      </c>
      <c r="B66" s="3">
        <f t="shared" ref="B66:P66" si="51">SUM(B54:B65)</f>
        <v>4043017</v>
      </c>
      <c r="C66" s="3">
        <f t="shared" si="51"/>
        <v>193748805</v>
      </c>
      <c r="D66" s="3">
        <f t="shared" si="51"/>
        <v>603461683</v>
      </c>
      <c r="E66" s="3">
        <f t="shared" si="51"/>
        <v>458250657</v>
      </c>
      <c r="F66" s="3">
        <f t="shared" si="51"/>
        <v>90298203</v>
      </c>
      <c r="G66" s="3">
        <f t="shared" si="51"/>
        <v>113785284</v>
      </c>
      <c r="H66" s="3">
        <f t="shared" si="51"/>
        <v>61459280</v>
      </c>
      <c r="I66" s="3">
        <f t="shared" si="51"/>
        <v>99392347</v>
      </c>
      <c r="J66" s="3">
        <f t="shared" si="51"/>
        <v>102382010</v>
      </c>
      <c r="K66" s="3">
        <f t="shared" si="51"/>
        <v>219495304</v>
      </c>
      <c r="L66" s="3">
        <f t="shared" si="51"/>
        <v>208638249</v>
      </c>
      <c r="M66" s="3">
        <f t="shared" si="51"/>
        <v>85586001</v>
      </c>
      <c r="N66" s="3">
        <f t="shared" si="51"/>
        <v>109468380</v>
      </c>
      <c r="O66" s="3">
        <f t="shared" si="51"/>
        <v>51164831</v>
      </c>
      <c r="P66" s="3">
        <f t="shared" si="51"/>
        <v>28685489</v>
      </c>
      <c r="Q66" s="4">
        <f>SUM(Q54:Q65)</f>
        <v>33387387.181493059</v>
      </c>
      <c r="R66" s="4">
        <f>SUM(R54:R65)</f>
        <v>32232011.270047031</v>
      </c>
      <c r="S66" s="4">
        <f>SUM(S54:S65)</f>
        <v>37309058.288327254</v>
      </c>
      <c r="T66" s="4">
        <f>SUM(T54:T65)</f>
        <v>40479901.902477115</v>
      </c>
    </row>
    <row r="67" spans="1:20">
      <c r="A67" s="114"/>
      <c r="B67" s="114"/>
      <c r="C67" s="114"/>
      <c r="D67" s="114"/>
      <c r="E67" s="114"/>
      <c r="F67" s="114"/>
      <c r="G67" s="114"/>
      <c r="H67" s="114"/>
      <c r="I67" s="114"/>
      <c r="J67" s="114"/>
      <c r="K67" s="114"/>
      <c r="L67" s="114"/>
      <c r="M67" s="114"/>
      <c r="N67" s="114"/>
      <c r="O67" s="114"/>
      <c r="P67" s="114"/>
      <c r="Q67" s="114"/>
      <c r="R67" s="114"/>
      <c r="S67" s="114"/>
      <c r="T67" s="114"/>
    </row>
    <row r="68" spans="1:20" ht="16.5" thickBot="1">
      <c r="A68" s="109" t="s">
        <v>434</v>
      </c>
    </row>
    <row r="69" spans="1:20" ht="13.5" thickBot="1">
      <c r="A69" s="110"/>
      <c r="B69" s="111">
        <v>2010</v>
      </c>
      <c r="C69" s="111">
        <v>2011</v>
      </c>
      <c r="D69" s="111">
        <v>2012</v>
      </c>
      <c r="E69" s="111">
        <v>2013</v>
      </c>
      <c r="F69" s="111">
        <v>2014</v>
      </c>
      <c r="G69" s="111">
        <v>2015</v>
      </c>
      <c r="H69" s="111">
        <v>2016</v>
      </c>
      <c r="I69" s="111">
        <v>2017</v>
      </c>
      <c r="J69" s="111">
        <v>2018</v>
      </c>
      <c r="K69" s="111">
        <v>2019</v>
      </c>
      <c r="L69" s="111">
        <v>2020</v>
      </c>
      <c r="M69" s="111">
        <v>2021</v>
      </c>
      <c r="N69" s="111">
        <v>2022</v>
      </c>
      <c r="O69" s="111">
        <v>2023</v>
      </c>
      <c r="P69" s="111">
        <v>2024</v>
      </c>
      <c r="Q69" s="111">
        <v>2025</v>
      </c>
      <c r="R69" s="111">
        <v>2026</v>
      </c>
      <c r="S69" s="111">
        <v>2027</v>
      </c>
      <c r="T69" s="111">
        <v>2028</v>
      </c>
    </row>
    <row r="70" spans="1:20">
      <c r="A70" s="2" t="s">
        <v>43</v>
      </c>
      <c r="B70" s="3">
        <f>'Monthly D5 RIN Data'!$B4</f>
        <v>0</v>
      </c>
      <c r="C70" s="3">
        <f>'Monthly D5 RIN Data'!$B16</f>
        <v>1723406</v>
      </c>
      <c r="D70" s="3">
        <f>'Monthly D5 RIN Data'!$B28</f>
        <v>2206799</v>
      </c>
      <c r="E70" s="3">
        <f>'Monthly D5 RIN Data'!$B40</f>
        <v>1944597</v>
      </c>
      <c r="F70" s="3">
        <f>'Monthly D5 RIN Data'!$B52</f>
        <v>2360846</v>
      </c>
      <c r="G70" s="3">
        <f>'Monthly D5 RIN Data'!$B64</f>
        <v>2406832</v>
      </c>
      <c r="H70" s="3">
        <f>'Monthly D5 RIN Data'!$B76</f>
        <v>2221196</v>
      </c>
      <c r="I70" s="3">
        <f>'Monthly D5 RIN Data'!$B88</f>
        <v>2054933</v>
      </c>
      <c r="J70" s="3">
        <f>'Monthly D5 RIN Data'!$B100</f>
        <v>2191637</v>
      </c>
      <c r="K70" s="3">
        <f>'Monthly D5 RIN Data'!$B112</f>
        <v>2101339</v>
      </c>
      <c r="L70" s="3">
        <f>'Monthly D5 RIN Data'!$B124</f>
        <v>1856511</v>
      </c>
      <c r="M70" s="3">
        <f>'Monthly D5 RIN Data'!$B136</f>
        <v>2426841</v>
      </c>
      <c r="N70" s="3">
        <f>'Monthly D5 RIN Data'!$B148</f>
        <v>2549105</v>
      </c>
      <c r="O70" s="3">
        <f>'Monthly D5 RIN Data'!$B160</f>
        <v>2395622</v>
      </c>
      <c r="P70" s="3">
        <f>'Monthly D5 RIN Data'!$B172</f>
        <v>2544908</v>
      </c>
      <c r="Q70" s="3">
        <f>'Monthly D5 RIN Data'!$B184</f>
        <v>2317112</v>
      </c>
      <c r="R70" s="4">
        <f>'D5 Gallon Forecast'!R72*AVERAGE('D5 RIN Forecast'!$AA$4:$AE$4)</f>
        <v>2682551.7906044959</v>
      </c>
      <c r="S70" s="4">
        <f>'D5 Gallon Forecast'!S72*AVERAGE('D5 RIN Forecast'!$AA$4:$AE$4)</f>
        <v>3042489.35813733</v>
      </c>
      <c r="T70" s="4">
        <f>'D5 Gallon Forecast'!T72*AVERAGE('D5 RIN Forecast'!$AA$4:$AE$4)</f>
        <v>3253302.441405558</v>
      </c>
    </row>
    <row r="71" spans="1:20">
      <c r="A71" s="2" t="s">
        <v>44</v>
      </c>
      <c r="B71" s="3">
        <f>'Monthly D5 RIN Data'!$B5</f>
        <v>0</v>
      </c>
      <c r="C71" s="3">
        <f>'Monthly D5 RIN Data'!$B17</f>
        <v>1503587</v>
      </c>
      <c r="D71" s="3">
        <f>'Monthly D5 RIN Data'!$B29</f>
        <v>2190906</v>
      </c>
      <c r="E71" s="3">
        <f>'Monthly D5 RIN Data'!$B41</f>
        <v>1684366</v>
      </c>
      <c r="F71" s="3">
        <f>'Monthly D5 RIN Data'!$B53</f>
        <v>1716474</v>
      </c>
      <c r="G71" s="3">
        <f>'Monthly D5 RIN Data'!$B65</f>
        <v>1708936</v>
      </c>
      <c r="H71" s="3">
        <f>'Monthly D5 RIN Data'!$B77</f>
        <v>1973477</v>
      </c>
      <c r="I71" s="3">
        <f>'Monthly D5 RIN Data'!$B89</f>
        <v>2111437</v>
      </c>
      <c r="J71" s="3">
        <f>'Monthly D5 RIN Data'!$B101</f>
        <v>1746856</v>
      </c>
      <c r="K71" s="3">
        <f>'Monthly D5 RIN Data'!$B113</f>
        <v>2049780</v>
      </c>
      <c r="L71" s="3">
        <f>'Monthly D5 RIN Data'!$B125</f>
        <v>1782835</v>
      </c>
      <c r="M71" s="3">
        <f>'Monthly D5 RIN Data'!$B137</f>
        <v>1464560</v>
      </c>
      <c r="N71" s="3">
        <f>'Monthly D5 RIN Data'!$B149</f>
        <v>2436030</v>
      </c>
      <c r="O71" s="3">
        <f>'Monthly D5 RIN Data'!$B161</f>
        <v>2258268</v>
      </c>
      <c r="P71" s="3">
        <f>'Monthly D5 RIN Data'!$B173</f>
        <v>2449930</v>
      </c>
      <c r="Q71" s="3">
        <f>'Monthly D5 RIN Data'!$B185</f>
        <v>2100498</v>
      </c>
      <c r="R71" s="4">
        <f>'D5 Gallon Forecast'!R73*AVERAGE('D5 RIN Forecast'!$AA$4:$AE$4)</f>
        <v>2348306.5095371576</v>
      </c>
      <c r="S71" s="4">
        <f>'D5 Gallon Forecast'!S73*AVERAGE('D5 RIN Forecast'!$AA$4:$AE$4)</f>
        <v>2824151.9904497149</v>
      </c>
      <c r="T71" s="4">
        <f>'D5 Gallon Forecast'!T73*AVERAGE('D5 RIN Forecast'!$AA$4:$AE$4)</f>
        <v>3002331.5472689429</v>
      </c>
    </row>
    <row r="72" spans="1:20">
      <c r="A72" s="2" t="s">
        <v>45</v>
      </c>
      <c r="B72" s="3">
        <f>'Monthly D5 RIN Data'!$B6</f>
        <v>0</v>
      </c>
      <c r="C72" s="3">
        <f>'Monthly D5 RIN Data'!$B18</f>
        <v>1822590</v>
      </c>
      <c r="D72" s="3">
        <f>'Monthly D5 RIN Data'!$B30</f>
        <v>2084816</v>
      </c>
      <c r="E72" s="3">
        <f>'Monthly D5 RIN Data'!$B42</f>
        <v>1697156</v>
      </c>
      <c r="F72" s="3">
        <f>'Monthly D5 RIN Data'!$B54</f>
        <v>2249101</v>
      </c>
      <c r="G72" s="3">
        <f>'Monthly D5 RIN Data'!$B66</f>
        <v>2032746</v>
      </c>
      <c r="H72" s="3">
        <f>'Monthly D5 RIN Data'!$B78</f>
        <v>2110279</v>
      </c>
      <c r="I72" s="3">
        <f>'Monthly D5 RIN Data'!$B90</f>
        <v>2213701</v>
      </c>
      <c r="J72" s="3">
        <f>'Monthly D5 RIN Data'!$B102</f>
        <v>2029616</v>
      </c>
      <c r="K72" s="3">
        <f>'Monthly D5 RIN Data'!$B114</f>
        <v>2096964</v>
      </c>
      <c r="L72" s="3">
        <f>'Monthly D5 RIN Data'!$B126</f>
        <v>2067683</v>
      </c>
      <c r="M72" s="3">
        <f>'Monthly D5 RIN Data'!$B138</f>
        <v>2445094</v>
      </c>
      <c r="N72" s="3">
        <f>'Monthly D5 RIN Data'!$B150</f>
        <v>2331151</v>
      </c>
      <c r="O72" s="3">
        <f>'Monthly D5 RIN Data'!$B162</f>
        <v>3125864</v>
      </c>
      <c r="P72" s="3">
        <f>'Monthly D5 RIN Data'!$B174</f>
        <v>2114115</v>
      </c>
      <c r="Q72" s="3">
        <f>'Monthly D5 RIN Data'!$B186</f>
        <v>2317486</v>
      </c>
      <c r="R72" s="4">
        <f>'D5 Gallon Forecast'!R74*AVERAGE('D5 RIN Forecast'!$AA$4:$AE$4)</f>
        <v>2704506.3022636184</v>
      </c>
      <c r="S72" s="4">
        <f>'D5 Gallon Forecast'!S74*AVERAGE('D5 RIN Forecast'!$AA$4:$AE$4)</f>
        <v>3067781.5650613056</v>
      </c>
      <c r="T72" s="4">
        <f>'D5 Gallon Forecast'!T74*AVERAGE('D5 RIN Forecast'!$AA$4:$AE$4)</f>
        <v>3340273.8902091705</v>
      </c>
    </row>
    <row r="73" spans="1:20">
      <c r="A73" s="2" t="s">
        <v>46</v>
      </c>
      <c r="B73" s="3">
        <f>'Monthly D5 RIN Data'!$B7</f>
        <v>0</v>
      </c>
      <c r="C73" s="3">
        <f>'Monthly D5 RIN Data'!$B19</f>
        <v>1614284</v>
      </c>
      <c r="D73" s="3">
        <f>'Monthly D5 RIN Data'!$B31</f>
        <v>2237130</v>
      </c>
      <c r="E73" s="3">
        <f>'Monthly D5 RIN Data'!$B43</f>
        <v>1827312</v>
      </c>
      <c r="F73" s="3">
        <f>'Monthly D5 RIN Data'!$B55</f>
        <v>2270945</v>
      </c>
      <c r="G73" s="3">
        <f>'Monthly D5 RIN Data'!$B67</f>
        <v>1820525</v>
      </c>
      <c r="H73" s="3">
        <f>'Monthly D5 RIN Data'!$B79</f>
        <v>2240412</v>
      </c>
      <c r="I73" s="3">
        <f>'Monthly D5 RIN Data'!$B91</f>
        <v>1749802</v>
      </c>
      <c r="J73" s="3">
        <f>'Monthly D5 RIN Data'!$B103</f>
        <v>2129955</v>
      </c>
      <c r="K73" s="3">
        <f>'Monthly D5 RIN Data'!$B115</f>
        <v>1881112</v>
      </c>
      <c r="L73" s="3">
        <f>'Monthly D5 RIN Data'!$B127</f>
        <v>1989362</v>
      </c>
      <c r="M73" s="3">
        <f>'Monthly D5 RIN Data'!$B139</f>
        <v>2129916</v>
      </c>
      <c r="N73" s="3">
        <f>'Monthly D5 RIN Data'!$B151</f>
        <v>2237127</v>
      </c>
      <c r="O73" s="3">
        <f>'Monthly D5 RIN Data'!$B163</f>
        <v>2058614</v>
      </c>
      <c r="P73" s="3">
        <f>'Monthly D5 RIN Data'!$B175</f>
        <v>2530447</v>
      </c>
      <c r="Q73" s="4">
        <f>'D5 Gallon Forecast'!Q75*AVERAGE('D5 RIN Forecast'!$AA$4:$AE$4)</f>
        <v>2666353.2326315162</v>
      </c>
      <c r="R73" s="4">
        <f>'D5 Gallon Forecast'!R75*AVERAGE('D5 RIN Forecast'!$AA$4:$AE$4)</f>
        <v>2548544.503919851</v>
      </c>
      <c r="S73" s="4">
        <f>'D5 Gallon Forecast'!S75*AVERAGE('D5 RIN Forecast'!$AA$4:$AE$4)</f>
        <v>2933301.2067448152</v>
      </c>
      <c r="T73" s="4">
        <f>'D5 Gallon Forecast'!T75*AVERAGE('D5 RIN Forecast'!$AA$4:$AE$4)</f>
        <v>3191802.3720973684</v>
      </c>
    </row>
    <row r="74" spans="1:20">
      <c r="A74" s="2" t="s">
        <v>47</v>
      </c>
      <c r="B74" s="3">
        <f>'Monthly D5 RIN Data'!$B8</f>
        <v>0</v>
      </c>
      <c r="C74" s="3">
        <f>'Monthly D5 RIN Data'!$B20</f>
        <v>1699974</v>
      </c>
      <c r="D74" s="3">
        <f>'Monthly D5 RIN Data'!$B32</f>
        <v>2609704</v>
      </c>
      <c r="E74" s="3">
        <f>'Monthly D5 RIN Data'!$B44</f>
        <v>1943952</v>
      </c>
      <c r="F74" s="3">
        <f>'Monthly D5 RIN Data'!$B56</f>
        <v>2078392</v>
      </c>
      <c r="G74" s="3">
        <f>'Monthly D5 RIN Data'!$B68</f>
        <v>1951230</v>
      </c>
      <c r="H74" s="3">
        <f>'Monthly D5 RIN Data'!$B80</f>
        <v>2514342</v>
      </c>
      <c r="I74" s="3">
        <f>'Monthly D5 RIN Data'!$B92</f>
        <v>2219885</v>
      </c>
      <c r="J74" s="3">
        <f>'Monthly D5 RIN Data'!$B104</f>
        <v>2025926</v>
      </c>
      <c r="K74" s="3">
        <f>'Monthly D5 RIN Data'!$B116</f>
        <v>2180038</v>
      </c>
      <c r="L74" s="3">
        <f>'Monthly D5 RIN Data'!$B128</f>
        <v>1967105</v>
      </c>
      <c r="M74" s="3">
        <f>'Monthly D5 RIN Data'!$B140</f>
        <v>1974084</v>
      </c>
      <c r="N74" s="3">
        <f>'Monthly D5 RIN Data'!$B152</f>
        <v>2788151</v>
      </c>
      <c r="O74" s="3">
        <f>'Monthly D5 RIN Data'!$B164</f>
        <v>2737856</v>
      </c>
      <c r="P74" s="3">
        <f>'Monthly D5 RIN Data'!$B176</f>
        <v>2537729</v>
      </c>
      <c r="Q74" s="4">
        <f>'D5 Gallon Forecast'!Q76*AVERAGE('D5 RIN Forecast'!$AA$4:$AE$4)</f>
        <v>2924441.0956325573</v>
      </c>
      <c r="R74" s="4">
        <f>'D5 Gallon Forecast'!R76*AVERAGE('D5 RIN Forecast'!$AA$4:$AE$4)</f>
        <v>2842333.4766850173</v>
      </c>
      <c r="S74" s="4">
        <f>'D5 Gallon Forecast'!S76*AVERAGE('D5 RIN Forecast'!$AA$4:$AE$4)</f>
        <v>3369218.8760459125</v>
      </c>
      <c r="T74" s="4">
        <f>'D5 Gallon Forecast'!T76*AVERAGE('D5 RIN Forecast'!$AA$4:$AE$4)</f>
        <v>3611366.2186319614</v>
      </c>
    </row>
    <row r="75" spans="1:20">
      <c r="A75" s="2" t="s">
        <v>48</v>
      </c>
      <c r="B75" s="3">
        <f>'Monthly D5 RIN Data'!$B9</f>
        <v>0</v>
      </c>
      <c r="C75" s="3">
        <f>'Monthly D5 RIN Data'!$B21</f>
        <v>2201578</v>
      </c>
      <c r="D75" s="3">
        <f>'Monthly D5 RIN Data'!$B33</f>
        <v>2690340</v>
      </c>
      <c r="E75" s="3">
        <f>'Monthly D5 RIN Data'!$B45</f>
        <v>1796908</v>
      </c>
      <c r="F75" s="3">
        <f>'Monthly D5 RIN Data'!$B57</f>
        <v>2181942</v>
      </c>
      <c r="G75" s="3">
        <f>'Monthly D5 RIN Data'!$B69</f>
        <v>2144244</v>
      </c>
      <c r="H75" s="3">
        <f>'Monthly D5 RIN Data'!$B81</f>
        <v>2406606</v>
      </c>
      <c r="I75" s="3">
        <f>'Monthly D5 RIN Data'!$B93</f>
        <v>2404533</v>
      </c>
      <c r="J75" s="3">
        <f>'Monthly D5 RIN Data'!$B105</f>
        <v>2194561</v>
      </c>
      <c r="K75" s="3">
        <f>'Monthly D5 RIN Data'!$B117</f>
        <v>1966786</v>
      </c>
      <c r="L75" s="3">
        <f>'Monthly D5 RIN Data'!$B129</f>
        <v>1972220</v>
      </c>
      <c r="M75" s="3">
        <f>'Monthly D5 RIN Data'!$B141</f>
        <v>2574692</v>
      </c>
      <c r="N75" s="3">
        <f>'Monthly D5 RIN Data'!$B153</f>
        <v>2536364</v>
      </c>
      <c r="O75" s="3">
        <f>'Monthly D5 RIN Data'!$B165</f>
        <v>2590243</v>
      </c>
      <c r="P75" s="3">
        <f>'Monthly D5 RIN Data'!$B177</f>
        <v>2214046</v>
      </c>
      <c r="Q75" s="4">
        <f>'D5 Gallon Forecast'!Q77*AVERAGE('D5 RIN Forecast'!$AA$4:$AE$4)</f>
        <v>2895851.7952426393</v>
      </c>
      <c r="R75" s="4">
        <f>'D5 Gallon Forecast'!R77*AVERAGE('D5 RIN Forecast'!$AA$4:$AE$4)</f>
        <v>2809208.4597637844</v>
      </c>
      <c r="S75" s="4">
        <f>'D5 Gallon Forecast'!S77*AVERAGE('D5 RIN Forecast'!$AA$4:$AE$4)</f>
        <v>3178036.2062862492</v>
      </c>
      <c r="T75" s="4">
        <f>'D5 Gallon Forecast'!T77*AVERAGE('D5 RIN Forecast'!$AA$4:$AE$4)</f>
        <v>3429892.2670694455</v>
      </c>
    </row>
    <row r="76" spans="1:20">
      <c r="A76" s="2" t="s">
        <v>49</v>
      </c>
      <c r="B76" s="3">
        <f>'Monthly D5 RIN Data'!$B10</f>
        <v>347397</v>
      </c>
      <c r="C76" s="3">
        <f>'Monthly D5 RIN Data'!$B22</f>
        <v>2035393</v>
      </c>
      <c r="D76" s="3">
        <f>'Monthly D5 RIN Data'!$B34</f>
        <v>2522719</v>
      </c>
      <c r="E76" s="3">
        <f>'Monthly D5 RIN Data'!$B46</f>
        <v>2027766</v>
      </c>
      <c r="F76" s="3">
        <f>'Monthly D5 RIN Data'!$B58</f>
        <v>2273944</v>
      </c>
      <c r="G76" s="3">
        <f>'Monthly D5 RIN Data'!$B70</f>
        <v>2197184</v>
      </c>
      <c r="H76" s="3">
        <f>'Monthly D5 RIN Data'!$B82</f>
        <v>2327696</v>
      </c>
      <c r="I76" s="3">
        <f>'Monthly D5 RIN Data'!$B94</f>
        <v>2221115</v>
      </c>
      <c r="J76" s="3">
        <f>'Monthly D5 RIN Data'!$B106</f>
        <v>2183916</v>
      </c>
      <c r="K76" s="3">
        <f>'Monthly D5 RIN Data'!$B118</f>
        <v>2095521</v>
      </c>
      <c r="L76" s="3">
        <f>'Monthly D5 RIN Data'!$B130</f>
        <v>1804923</v>
      </c>
      <c r="M76" s="3">
        <f>'Monthly D5 RIN Data'!$B142</f>
        <v>2169995</v>
      </c>
      <c r="N76" s="3">
        <f>'Monthly D5 RIN Data'!$B154</f>
        <v>2377142</v>
      </c>
      <c r="O76" s="3">
        <f>'Monthly D5 RIN Data'!$B166</f>
        <v>2084196</v>
      </c>
      <c r="P76" s="3">
        <f>'Monthly D5 RIN Data'!$B178</f>
        <v>2272727</v>
      </c>
      <c r="Q76" s="4">
        <f>'D5 Gallon Forecast'!Q78*AVERAGE('D5 RIN Forecast'!$AA$4:$AE$4)</f>
        <v>2608745.1589768725</v>
      </c>
      <c r="R76" s="4">
        <f>'D5 Gallon Forecast'!R78*AVERAGE('D5 RIN Forecast'!$AA$4:$AE$4)</f>
        <v>2524500.2606017208</v>
      </c>
      <c r="S76" s="4">
        <f>'D5 Gallon Forecast'!S78*AVERAGE('D5 RIN Forecast'!$AA$4:$AE$4)</f>
        <v>2890968.2013887144</v>
      </c>
      <c r="T76" s="4">
        <f>'D5 Gallon Forecast'!T78*AVERAGE('D5 RIN Forecast'!$AA$4:$AE$4)</f>
        <v>3102562.2003470268</v>
      </c>
    </row>
    <row r="77" spans="1:20">
      <c r="A77" s="2" t="s">
        <v>50</v>
      </c>
      <c r="B77" s="3">
        <f>'Monthly D5 RIN Data'!$B11</f>
        <v>373169</v>
      </c>
      <c r="C77" s="3">
        <f>'Monthly D5 RIN Data'!$B23</f>
        <v>1961596</v>
      </c>
      <c r="D77" s="3">
        <f>'Monthly D5 RIN Data'!$B35</f>
        <v>2687091</v>
      </c>
      <c r="E77" s="3">
        <f>'Monthly D5 RIN Data'!$B47</f>
        <v>2084363</v>
      </c>
      <c r="F77" s="3">
        <f>'Monthly D5 RIN Data'!$B59</f>
        <v>2143347</v>
      </c>
      <c r="G77" s="3">
        <f>'Monthly D5 RIN Data'!$B71</f>
        <v>2370536</v>
      </c>
      <c r="H77" s="3">
        <f>'Monthly D5 RIN Data'!$B83</f>
        <v>2528155</v>
      </c>
      <c r="I77" s="3">
        <f>'Monthly D5 RIN Data'!$B95</f>
        <v>2204241</v>
      </c>
      <c r="J77" s="3">
        <f>'Monthly D5 RIN Data'!$B107</f>
        <v>2143845</v>
      </c>
      <c r="K77" s="3">
        <f>'Monthly D5 RIN Data'!$B119</f>
        <v>1995104</v>
      </c>
      <c r="L77" s="3">
        <f>'Monthly D5 RIN Data'!$B131</f>
        <v>1946561</v>
      </c>
      <c r="M77" s="3">
        <f>'Monthly D5 RIN Data'!$B143</f>
        <v>2303866</v>
      </c>
      <c r="N77" s="3">
        <f>'Monthly D5 RIN Data'!$B155</f>
        <v>2438601</v>
      </c>
      <c r="O77" s="3">
        <f>'Monthly D5 RIN Data'!$B167</f>
        <v>2352734</v>
      </c>
      <c r="P77" s="3">
        <f>'Monthly D5 RIN Data'!$B179</f>
        <v>2063554</v>
      </c>
      <c r="Q77" s="4">
        <f>'D5 Gallon Forecast'!Q79*AVERAGE('D5 RIN Forecast'!$AA$4:$AE$4)</f>
        <v>2705293.2434301563</v>
      </c>
      <c r="R77" s="4">
        <f>'D5 Gallon Forecast'!R79*AVERAGE('D5 RIN Forecast'!$AA$4:$AE$4)</f>
        <v>2601520.0004472677</v>
      </c>
      <c r="S77" s="4">
        <f>'D5 Gallon Forecast'!S79*AVERAGE('D5 RIN Forecast'!$AA$4:$AE$4)</f>
        <v>2962684.3167262413</v>
      </c>
      <c r="T77" s="4">
        <f>'D5 Gallon Forecast'!T79*AVERAGE('D5 RIN Forecast'!$AA$4:$AE$4)</f>
        <v>3178903.518065054</v>
      </c>
    </row>
    <row r="78" spans="1:20">
      <c r="A78" s="2" t="s">
        <v>51</v>
      </c>
      <c r="B78" s="3">
        <f>'Monthly D5 RIN Data'!$B12</f>
        <v>320813</v>
      </c>
      <c r="C78" s="3">
        <f>'Monthly D5 RIN Data'!$B24</f>
        <v>1836413</v>
      </c>
      <c r="D78" s="3">
        <f>'Monthly D5 RIN Data'!$B36</f>
        <v>2013963</v>
      </c>
      <c r="E78" s="3">
        <f>'Monthly D5 RIN Data'!$B48</f>
        <v>1978203</v>
      </c>
      <c r="F78" s="3">
        <f>'Monthly D5 RIN Data'!$B60</f>
        <v>2177573</v>
      </c>
      <c r="G78" s="3">
        <f>'Monthly D5 RIN Data'!$B72</f>
        <v>2033261</v>
      </c>
      <c r="H78" s="3">
        <f>'Monthly D5 RIN Data'!$B84</f>
        <v>1921626</v>
      </c>
      <c r="I78" s="3">
        <f>'Monthly D5 RIN Data'!$B96</f>
        <v>2274090</v>
      </c>
      <c r="J78" s="3">
        <f>'Monthly D5 RIN Data'!$B108</f>
        <v>2068219</v>
      </c>
      <c r="K78" s="3">
        <f>'Monthly D5 RIN Data'!$B120</f>
        <v>2030713</v>
      </c>
      <c r="L78" s="3">
        <f>'Monthly D5 RIN Data'!$B132</f>
        <v>1892214</v>
      </c>
      <c r="M78" s="3">
        <f>'Monthly D5 RIN Data'!$B144</f>
        <v>1804886</v>
      </c>
      <c r="N78" s="3">
        <f>'Monthly D5 RIN Data'!$B156</f>
        <v>2332869</v>
      </c>
      <c r="O78" s="3">
        <f>'Monthly D5 RIN Data'!$B168</f>
        <v>2567266</v>
      </c>
      <c r="P78" s="3">
        <f>'Monthly D5 RIN Data'!$B180</f>
        <v>2338802</v>
      </c>
      <c r="Q78" s="4">
        <f>'D5 Gallon Forecast'!Q80*AVERAGE('D5 RIN Forecast'!$AA$4:$AE$4)</f>
        <v>2664056.2957418049</v>
      </c>
      <c r="R78" s="4">
        <f>'D5 Gallon Forecast'!R80*AVERAGE('D5 RIN Forecast'!$AA$4:$AE$4)</f>
        <v>2567275.6487281965</v>
      </c>
      <c r="S78" s="4">
        <f>'D5 Gallon Forecast'!S80*AVERAGE('D5 RIN Forecast'!$AA$4:$AE$4)</f>
        <v>3037853.5410813116</v>
      </c>
      <c r="T78" s="4">
        <f>'D5 Gallon Forecast'!T80*AVERAGE('D5 RIN Forecast'!$AA$4:$AE$4)</f>
        <v>3301558.2248755032</v>
      </c>
    </row>
    <row r="79" spans="1:20">
      <c r="A79" s="2" t="s">
        <v>52</v>
      </c>
      <c r="B79" s="3">
        <f>'Monthly D5 RIN Data'!$B13</f>
        <v>338770</v>
      </c>
      <c r="C79" s="3">
        <f>'Monthly D5 RIN Data'!$B25</f>
        <v>1885529</v>
      </c>
      <c r="D79" s="3">
        <f>'Monthly D5 RIN Data'!$B37</f>
        <v>2384701</v>
      </c>
      <c r="E79" s="3">
        <f>'Monthly D5 RIN Data'!$B49</f>
        <v>2071303</v>
      </c>
      <c r="F79" s="3">
        <f>'Monthly D5 RIN Data'!$B61</f>
        <v>2402920</v>
      </c>
      <c r="G79" s="3">
        <f>'Monthly D5 RIN Data'!$B73</f>
        <v>2183363</v>
      </c>
      <c r="H79" s="3">
        <f>'Monthly D5 RIN Data'!$B85</f>
        <v>2353091</v>
      </c>
      <c r="I79" s="3">
        <f>'Monthly D5 RIN Data'!$B97</f>
        <v>2200220</v>
      </c>
      <c r="J79" s="3">
        <f>'Monthly D5 RIN Data'!$B109</f>
        <v>2077899</v>
      </c>
      <c r="K79" s="3">
        <f>'Monthly D5 RIN Data'!$B121</f>
        <v>1819727</v>
      </c>
      <c r="L79" s="3">
        <f>'Monthly D5 RIN Data'!$B133</f>
        <v>1985006</v>
      </c>
      <c r="M79" s="3">
        <f>'Monthly D5 RIN Data'!$B145</f>
        <v>1944892</v>
      </c>
      <c r="N79" s="3">
        <f>'Monthly D5 RIN Data'!$B157</f>
        <v>2374934</v>
      </c>
      <c r="O79" s="3">
        <f>'Monthly D5 RIN Data'!$B169</f>
        <v>2760921</v>
      </c>
      <c r="P79" s="3">
        <f>'Monthly D5 RIN Data'!$B181</f>
        <v>2350773</v>
      </c>
      <c r="Q79" s="4">
        <f>'D5 Gallon Forecast'!Q81*AVERAGE('D5 RIN Forecast'!$AA$4:$AE$4)</f>
        <v>2781105.071773258</v>
      </c>
      <c r="R79" s="4">
        <f>'D5 Gallon Forecast'!R81*AVERAGE('D5 RIN Forecast'!$AA$4:$AE$4)</f>
        <v>2677955.090057529</v>
      </c>
      <c r="S79" s="4">
        <f>'D5 Gallon Forecast'!S81*AVERAGE('D5 RIN Forecast'!$AA$4:$AE$4)</f>
        <v>3153669.3233542382</v>
      </c>
      <c r="T79" s="4">
        <f>'D5 Gallon Forecast'!T81*AVERAGE('D5 RIN Forecast'!$AA$4:$AE$4)</f>
        <v>3439173.5452284608</v>
      </c>
    </row>
    <row r="80" spans="1:20">
      <c r="A80" s="2" t="s">
        <v>53</v>
      </c>
      <c r="B80" s="3">
        <f>'Monthly D5 RIN Data'!$B14</f>
        <v>910657</v>
      </c>
      <c r="C80" s="3">
        <f>'Monthly D5 RIN Data'!$B26</f>
        <v>1644525</v>
      </c>
      <c r="D80" s="3">
        <f>'Monthly D5 RIN Data'!$B38</f>
        <v>2430060</v>
      </c>
      <c r="E80" s="3">
        <f>'Monthly D5 RIN Data'!$B50</f>
        <v>1968966</v>
      </c>
      <c r="F80" s="3">
        <f>'Monthly D5 RIN Data'!$B62</f>
        <v>1695561</v>
      </c>
      <c r="G80" s="3">
        <f>'Monthly D5 RIN Data'!$B74</f>
        <v>1856141</v>
      </c>
      <c r="H80" s="3">
        <f>'Monthly D5 RIN Data'!$B86</f>
        <v>2299988</v>
      </c>
      <c r="I80" s="3">
        <f>'Monthly D5 RIN Data'!$B98</f>
        <v>2015095</v>
      </c>
      <c r="J80" s="3">
        <f>'Monthly D5 RIN Data'!$B110</f>
        <v>1930932</v>
      </c>
      <c r="K80" s="3">
        <f>'Monthly D5 RIN Data'!$B122</f>
        <v>1813191</v>
      </c>
      <c r="L80" s="3">
        <f>'Monthly D5 RIN Data'!$B134</f>
        <v>1902346</v>
      </c>
      <c r="M80" s="3">
        <f>'Monthly D5 RIN Data'!$B146</f>
        <v>2215134</v>
      </c>
      <c r="N80" s="3">
        <f>'Monthly D5 RIN Data'!$B158</f>
        <v>2172050</v>
      </c>
      <c r="O80" s="3">
        <f>'Monthly D5 RIN Data'!$B170</f>
        <v>2348268</v>
      </c>
      <c r="P80" s="3">
        <f>'Monthly D5 RIN Data'!$B182</f>
        <v>2503531</v>
      </c>
      <c r="Q80" s="4">
        <f>'D5 Gallon Forecast'!Q82*AVERAGE('D5 RIN Forecast'!$AA$4:$AE$4)</f>
        <v>2714066.134320938</v>
      </c>
      <c r="R80" s="4">
        <f>'D5 Gallon Forecast'!R82*AVERAGE('D5 RIN Forecast'!$AA$4:$AE$4)</f>
        <v>2621035.9020146946</v>
      </c>
      <c r="S80" s="4">
        <f>'D5 Gallon Forecast'!S82*AVERAGE('D5 RIN Forecast'!$AA$4:$AE$4)</f>
        <v>3010735.6414660257</v>
      </c>
      <c r="T80" s="4">
        <f>'D5 Gallon Forecast'!T82*AVERAGE('D5 RIN Forecast'!$AA$4:$AE$4)</f>
        <v>3307167.1805251339</v>
      </c>
    </row>
    <row r="81" spans="1:20">
      <c r="A81" s="2" t="s">
        <v>54</v>
      </c>
      <c r="B81" s="3">
        <f>'Monthly D5 RIN Data'!$B15</f>
        <v>1752211</v>
      </c>
      <c r="C81" s="3">
        <f>'Monthly D5 RIN Data'!$B27</f>
        <v>1394142</v>
      </c>
      <c r="D81" s="3">
        <f>'Monthly D5 RIN Data'!$B39</f>
        <v>1610352</v>
      </c>
      <c r="E81" s="3">
        <f>'Monthly D5 RIN Data'!$B51</f>
        <v>1912497</v>
      </c>
      <c r="F81" s="3">
        <f>'Monthly D5 RIN Data'!$B63</f>
        <v>2272503</v>
      </c>
      <c r="G81" s="3">
        <f>'Monthly D5 RIN Data'!$B75</f>
        <v>2125836</v>
      </c>
      <c r="H81" s="3">
        <f>'Monthly D5 RIN Data'!$B87</f>
        <v>2158378</v>
      </c>
      <c r="I81" s="3">
        <f>'Monthly D5 RIN Data'!$B99</f>
        <v>1834205</v>
      </c>
      <c r="J81" s="3">
        <f>'Monthly D5 RIN Data'!$B111</f>
        <v>1990329</v>
      </c>
      <c r="K81" s="3">
        <f>'Monthly D5 RIN Data'!$B123</f>
        <v>1861860</v>
      </c>
      <c r="L81" s="3">
        <f>'Monthly D5 RIN Data'!$B135</f>
        <v>2285111</v>
      </c>
      <c r="M81" s="3">
        <f>'Monthly D5 RIN Data'!$B147</f>
        <v>2617650</v>
      </c>
      <c r="N81" s="3">
        <f>'Monthly D5 RIN Data'!$B159</f>
        <v>2347973</v>
      </c>
      <c r="O81" s="3">
        <f>'Monthly D5 RIN Data'!$B171</f>
        <v>2645976</v>
      </c>
      <c r="P81" s="3">
        <f>'Monthly D5 RIN Data'!$B183</f>
        <v>2764927</v>
      </c>
      <c r="Q81" s="4">
        <f>'D5 Gallon Forecast'!Q83*AVERAGE('D5 RIN Forecast'!$AA$4:$AE$4)</f>
        <v>4692379.1537433192</v>
      </c>
      <c r="R81" s="4">
        <f>'D5 Gallon Forecast'!R83*AVERAGE('D5 RIN Forecast'!$AA$4:$AE$4)</f>
        <v>3304273.3254236989</v>
      </c>
      <c r="S81" s="4">
        <f>'D5 Gallon Forecast'!S83*AVERAGE('D5 RIN Forecast'!$AA$4:$AE$4)</f>
        <v>3838168.0615853965</v>
      </c>
      <c r="T81" s="4">
        <f>'D5 Gallon Forecast'!T83*AVERAGE('D5 RIN Forecast'!$AA$4:$AE$4)</f>
        <v>4321568.4967534915</v>
      </c>
    </row>
    <row r="82" spans="1:20" ht="13.5" thickBot="1">
      <c r="A82" s="2" t="s">
        <v>29</v>
      </c>
      <c r="B82" s="3">
        <f>SUM(B70:B81)</f>
        <v>4043017</v>
      </c>
      <c r="C82" s="3">
        <f t="shared" ref="C82:O82" si="52">SUM(C70:C81)</f>
        <v>21323017</v>
      </c>
      <c r="D82" s="3">
        <f t="shared" si="52"/>
        <v>27668581</v>
      </c>
      <c r="E82" s="3">
        <f t="shared" si="52"/>
        <v>22937389</v>
      </c>
      <c r="F82" s="3">
        <f t="shared" si="52"/>
        <v>25823548</v>
      </c>
      <c r="G82" s="3">
        <f t="shared" si="52"/>
        <v>24830834</v>
      </c>
      <c r="H82" s="3">
        <f t="shared" si="52"/>
        <v>27055246</v>
      </c>
      <c r="I82" s="3">
        <f t="shared" si="52"/>
        <v>25503257</v>
      </c>
      <c r="J82" s="3">
        <f t="shared" si="52"/>
        <v>24713691</v>
      </c>
      <c r="K82" s="3">
        <f t="shared" si="52"/>
        <v>23892135</v>
      </c>
      <c r="L82" s="3">
        <f t="shared" si="52"/>
        <v>23451877</v>
      </c>
      <c r="M82" s="3">
        <f t="shared" si="52"/>
        <v>26071610</v>
      </c>
      <c r="N82" s="3">
        <f t="shared" si="52"/>
        <v>28921497</v>
      </c>
      <c r="O82" s="3">
        <f t="shared" si="52"/>
        <v>29925828</v>
      </c>
      <c r="P82" s="3">
        <f>SUM(P70:P81)</f>
        <v>28685489</v>
      </c>
      <c r="Q82" s="4">
        <f>SUM(Q70:Q81)</f>
        <v>33387387.181493059</v>
      </c>
      <c r="R82" s="4">
        <f>SUM(R70:R81)</f>
        <v>32232011.270047031</v>
      </c>
      <c r="S82" s="4">
        <f>SUM(S70:S81)</f>
        <v>37309058.288327254</v>
      </c>
      <c r="T82" s="4">
        <f>SUM(T70:T81)</f>
        <v>40479901.902477115</v>
      </c>
    </row>
    <row r="83" spans="1:20">
      <c r="A83" s="114"/>
      <c r="B83" s="114"/>
      <c r="C83" s="114"/>
      <c r="D83" s="114"/>
      <c r="E83" s="114"/>
      <c r="F83" s="114"/>
      <c r="G83" s="114"/>
      <c r="H83" s="114"/>
      <c r="I83" s="114"/>
      <c r="J83" s="114"/>
      <c r="K83" s="114"/>
      <c r="L83" s="114"/>
      <c r="M83" s="114"/>
      <c r="N83" s="114"/>
      <c r="O83" s="114"/>
      <c r="P83" s="114"/>
      <c r="Q83" s="114"/>
      <c r="R83" s="114"/>
      <c r="S83" s="114"/>
      <c r="T83" s="114"/>
    </row>
    <row r="84" spans="1:20" ht="16.5" thickBot="1">
      <c r="A84" s="109" t="s">
        <v>435</v>
      </c>
    </row>
    <row r="85" spans="1:20" ht="13.5" thickBot="1">
      <c r="A85" s="110"/>
      <c r="B85" s="111">
        <v>2010</v>
      </c>
      <c r="C85" s="111">
        <v>2011</v>
      </c>
      <c r="D85" s="111">
        <v>2012</v>
      </c>
      <c r="E85" s="111">
        <v>2013</v>
      </c>
      <c r="F85" s="111">
        <v>2014</v>
      </c>
      <c r="G85" s="111">
        <v>2015</v>
      </c>
      <c r="H85" s="111">
        <v>2016</v>
      </c>
      <c r="I85" s="111">
        <v>2017</v>
      </c>
      <c r="J85" s="111">
        <v>2018</v>
      </c>
      <c r="K85" s="111">
        <v>2019</v>
      </c>
      <c r="L85" s="111">
        <v>2020</v>
      </c>
      <c r="M85" s="111">
        <v>2021</v>
      </c>
      <c r="N85" s="111">
        <v>2022</v>
      </c>
      <c r="O85" s="111">
        <v>2023</v>
      </c>
      <c r="P85" s="111">
        <v>2024</v>
      </c>
      <c r="Q85" s="111">
        <v>2025</v>
      </c>
      <c r="R85" s="111">
        <v>2026</v>
      </c>
      <c r="S85" s="111">
        <v>2027</v>
      </c>
      <c r="T85" s="111">
        <v>2028</v>
      </c>
    </row>
    <row r="86" spans="1:20">
      <c r="A86" s="2" t="s">
        <v>43</v>
      </c>
      <c r="B86" s="3">
        <f>'Monthly D5 RIN Data'!$C4</f>
        <v>0</v>
      </c>
      <c r="C86" s="3">
        <f>'Monthly D5 RIN Data'!$C16</f>
        <v>0</v>
      </c>
      <c r="D86" s="3">
        <f>'Monthly D5 RIN Data'!$C28</f>
        <v>3924080</v>
      </c>
      <c r="E86" s="3">
        <f>'Monthly D5 RIN Data'!$C40</f>
        <v>49766106</v>
      </c>
      <c r="F86" s="3">
        <f>'Monthly D5 RIN Data'!$C52</f>
        <v>2659456</v>
      </c>
      <c r="G86" s="3">
        <f>'Monthly D5 RIN Data'!$C64</f>
        <v>0</v>
      </c>
      <c r="H86" s="3">
        <f>'Monthly D5 RIN Data'!$C76</f>
        <v>0</v>
      </c>
      <c r="I86" s="3">
        <f>'Monthly D5 RIN Data'!$C88</f>
        <v>0</v>
      </c>
      <c r="J86" s="3">
        <f>'Monthly D5 RIN Data'!$C100</f>
        <v>0</v>
      </c>
      <c r="K86" s="3">
        <f>'Monthly D5 RIN Data'!$C112</f>
        <v>0</v>
      </c>
      <c r="L86" s="3">
        <f>'Monthly D5 RIN Data'!$C124</f>
        <v>7566830</v>
      </c>
      <c r="M86" s="3">
        <f>'Monthly D5 RIN Data'!$C136</f>
        <v>0</v>
      </c>
      <c r="N86" s="3">
        <f>'Monthly D5 RIN Data'!$C148</f>
        <v>0</v>
      </c>
      <c r="O86" s="3">
        <f>'Monthly D5 RIN Data'!$C160</f>
        <v>0</v>
      </c>
      <c r="P86" s="3">
        <f>'Monthly D5 RIN Data'!$C172</f>
        <v>0</v>
      </c>
      <c r="Q86" s="3">
        <f>'Monthly D5 RIN Data'!$C184</f>
        <v>0</v>
      </c>
      <c r="R86" s="4">
        <f>'D5 Gallon Forecast'!R88*AVERAGE('D5 RIN Forecast'!$AA$5:$AE$5)</f>
        <v>0</v>
      </c>
      <c r="S86" s="4">
        <f>'D5 Gallon Forecast'!S88*AVERAGE('D5 RIN Forecast'!$AA$5:$AE$5)</f>
        <v>0</v>
      </c>
      <c r="T86" s="4">
        <f>'D5 Gallon Forecast'!T88*AVERAGE('D5 RIN Forecast'!$AA$5:$AE$5)</f>
        <v>0</v>
      </c>
    </row>
    <row r="87" spans="1:20">
      <c r="A87" s="2" t="s">
        <v>44</v>
      </c>
      <c r="B87" s="3">
        <f>'Monthly D5 RIN Data'!$C5</f>
        <v>0</v>
      </c>
      <c r="C87" s="3">
        <f>'Monthly D5 RIN Data'!$C17</f>
        <v>0</v>
      </c>
      <c r="D87" s="3">
        <f>'Monthly D5 RIN Data'!$C29</f>
        <v>0</v>
      </c>
      <c r="E87" s="3">
        <f>'Monthly D5 RIN Data'!$C41</f>
        <v>29065960</v>
      </c>
      <c r="F87" s="3">
        <f>'Monthly D5 RIN Data'!$C53</f>
        <v>0</v>
      </c>
      <c r="G87" s="3">
        <f>'Monthly D5 RIN Data'!$C65</f>
        <v>0</v>
      </c>
      <c r="H87" s="3">
        <f>'Monthly D5 RIN Data'!$C77</f>
        <v>0</v>
      </c>
      <c r="I87" s="3">
        <f>'Monthly D5 RIN Data'!$C89</f>
        <v>0</v>
      </c>
      <c r="J87" s="3">
        <f>'Monthly D5 RIN Data'!$C101</f>
        <v>0</v>
      </c>
      <c r="K87" s="3">
        <f>'Monthly D5 RIN Data'!$C113</f>
        <v>0</v>
      </c>
      <c r="L87" s="3">
        <f>'Monthly D5 RIN Data'!$C125</f>
        <v>12396799</v>
      </c>
      <c r="M87" s="3">
        <f>'Monthly D5 RIN Data'!$C137</f>
        <v>0</v>
      </c>
      <c r="N87" s="3">
        <f>'Monthly D5 RIN Data'!$C149</f>
        <v>10691838</v>
      </c>
      <c r="O87" s="3">
        <f>'Monthly D5 RIN Data'!$C161</f>
        <v>0</v>
      </c>
      <c r="P87" s="3">
        <f>'Monthly D5 RIN Data'!$C173</f>
        <v>0</v>
      </c>
      <c r="Q87" s="3">
        <f>'Monthly D5 RIN Data'!$C185</f>
        <v>0</v>
      </c>
      <c r="R87" s="4">
        <f>'D5 Gallon Forecast'!R89*AVERAGE('D5 RIN Forecast'!$AA$5:$AE$5)</f>
        <v>0</v>
      </c>
      <c r="S87" s="4">
        <f>'D5 Gallon Forecast'!S89*AVERAGE('D5 RIN Forecast'!$AA$5:$AE$5)</f>
        <v>0</v>
      </c>
      <c r="T87" s="4">
        <f>'D5 Gallon Forecast'!T89*AVERAGE('D5 RIN Forecast'!$AA$5:$AE$5)</f>
        <v>0</v>
      </c>
    </row>
    <row r="88" spans="1:20">
      <c r="A88" s="2" t="s">
        <v>45</v>
      </c>
      <c r="B88" s="3">
        <f>'Monthly D5 RIN Data'!$C6</f>
        <v>0</v>
      </c>
      <c r="C88" s="3">
        <f>'Monthly D5 RIN Data'!$C18</f>
        <v>0</v>
      </c>
      <c r="D88" s="3">
        <f>'Monthly D5 RIN Data'!$C30</f>
        <v>18534884</v>
      </c>
      <c r="E88" s="3">
        <f>'Monthly D5 RIN Data'!$C42</f>
        <v>46198180</v>
      </c>
      <c r="F88" s="3">
        <f>'Monthly D5 RIN Data'!$C54</f>
        <v>2692148</v>
      </c>
      <c r="G88" s="3">
        <f>'Monthly D5 RIN Data'!$C66</f>
        <v>0</v>
      </c>
      <c r="H88" s="3">
        <f>'Monthly D5 RIN Data'!$C78</f>
        <v>0</v>
      </c>
      <c r="I88" s="3">
        <f>'Monthly D5 RIN Data'!$C90</f>
        <v>0</v>
      </c>
      <c r="J88" s="3">
        <f>'Monthly D5 RIN Data'!$C102</f>
        <v>0</v>
      </c>
      <c r="K88" s="3">
        <f>'Monthly D5 RIN Data'!$C114</f>
        <v>6514949</v>
      </c>
      <c r="L88" s="3">
        <f>'Monthly D5 RIN Data'!$C126</f>
        <v>24356072</v>
      </c>
      <c r="M88" s="3">
        <f>'Monthly D5 RIN Data'!$C138</f>
        <v>0</v>
      </c>
      <c r="N88" s="3">
        <f>'Monthly D5 RIN Data'!$C150</f>
        <v>0</v>
      </c>
      <c r="O88" s="3">
        <f>'Monthly D5 RIN Data'!$C162</f>
        <v>0</v>
      </c>
      <c r="P88" s="3">
        <f>'Monthly D5 RIN Data'!$C174</f>
        <v>0</v>
      </c>
      <c r="Q88" s="3">
        <f>'Monthly D5 RIN Data'!$C186</f>
        <v>0</v>
      </c>
      <c r="R88" s="4">
        <f>'D5 Gallon Forecast'!R90*AVERAGE('D5 RIN Forecast'!$AA$5:$AE$5)</f>
        <v>0</v>
      </c>
      <c r="S88" s="4">
        <f>'D5 Gallon Forecast'!S90*AVERAGE('D5 RIN Forecast'!$AA$5:$AE$5)</f>
        <v>0</v>
      </c>
      <c r="T88" s="4">
        <f>'D5 Gallon Forecast'!T90*AVERAGE('D5 RIN Forecast'!$AA$5:$AE$5)</f>
        <v>0</v>
      </c>
    </row>
    <row r="89" spans="1:20">
      <c r="A89" s="2" t="s">
        <v>46</v>
      </c>
      <c r="B89" s="3">
        <f>'Monthly D5 RIN Data'!$C7</f>
        <v>0</v>
      </c>
      <c r="C89" s="3">
        <f>'Monthly D5 RIN Data'!$C19</f>
        <v>0</v>
      </c>
      <c r="D89" s="3">
        <f>'Monthly D5 RIN Data'!$C31</f>
        <v>13760307</v>
      </c>
      <c r="E89" s="3">
        <f>'Monthly D5 RIN Data'!$C43</f>
        <v>24939902</v>
      </c>
      <c r="F89" s="3">
        <f>'Monthly D5 RIN Data'!$C55</f>
        <v>16271251</v>
      </c>
      <c r="G89" s="3">
        <f>'Monthly D5 RIN Data'!$C67</f>
        <v>10702691</v>
      </c>
      <c r="H89" s="3">
        <f>'Monthly D5 RIN Data'!$C79</f>
        <v>0</v>
      </c>
      <c r="I89" s="3">
        <f>'Monthly D5 RIN Data'!$C91</f>
        <v>0</v>
      </c>
      <c r="J89" s="3">
        <f>'Monthly D5 RIN Data'!$C103</f>
        <v>0</v>
      </c>
      <c r="K89" s="3">
        <f>'Monthly D5 RIN Data'!$C115</f>
        <v>13423497</v>
      </c>
      <c r="L89" s="3">
        <f>'Monthly D5 RIN Data'!$C127</f>
        <v>0</v>
      </c>
      <c r="M89" s="3">
        <f>'Monthly D5 RIN Data'!$C139</f>
        <v>0</v>
      </c>
      <c r="N89" s="3">
        <f>'Monthly D5 RIN Data'!$C151</f>
        <v>0</v>
      </c>
      <c r="O89" s="3">
        <f>'Monthly D5 RIN Data'!$C163</f>
        <v>0</v>
      </c>
      <c r="P89" s="3">
        <f>'Monthly D5 RIN Data'!$C175</f>
        <v>0</v>
      </c>
      <c r="Q89" s="4">
        <f>'D5 Gallon Forecast'!Q91*AVERAGE('D5 RIN Forecast'!$AA$5:$AE$5)</f>
        <v>0</v>
      </c>
      <c r="R89" s="4">
        <f>'D5 Gallon Forecast'!R91*AVERAGE('D5 RIN Forecast'!$AA$5:$AE$5)</f>
        <v>0</v>
      </c>
      <c r="S89" s="4">
        <f>'D5 Gallon Forecast'!S91*AVERAGE('D5 RIN Forecast'!$AA$5:$AE$5)</f>
        <v>0</v>
      </c>
      <c r="T89" s="4">
        <f>'D5 Gallon Forecast'!T91*AVERAGE('D5 RIN Forecast'!$AA$5:$AE$5)</f>
        <v>0</v>
      </c>
    </row>
    <row r="90" spans="1:20">
      <c r="A90" s="2" t="s">
        <v>47</v>
      </c>
      <c r="B90" s="3">
        <f>'Monthly D5 RIN Data'!$C8</f>
        <v>0</v>
      </c>
      <c r="C90" s="3">
        <f>'Monthly D5 RIN Data'!$C20</f>
        <v>0</v>
      </c>
      <c r="D90" s="3">
        <f>'Monthly D5 RIN Data'!$C32</f>
        <v>14054596</v>
      </c>
      <c r="E90" s="3">
        <f>'Monthly D5 RIN Data'!$C44</f>
        <v>28718019</v>
      </c>
      <c r="F90" s="3">
        <f>'Monthly D5 RIN Data'!$C56</f>
        <v>20556279</v>
      </c>
      <c r="G90" s="3">
        <f>'Monthly D5 RIN Data'!$C68</f>
        <v>0</v>
      </c>
      <c r="H90" s="3">
        <f>'Monthly D5 RIN Data'!$C80</f>
        <v>1873940</v>
      </c>
      <c r="I90" s="3">
        <f>'Monthly D5 RIN Data'!$C92</f>
        <v>8455346</v>
      </c>
      <c r="J90" s="3">
        <f>'Monthly D5 RIN Data'!$C104</f>
        <v>0</v>
      </c>
      <c r="K90" s="3">
        <f>'Monthly D5 RIN Data'!$C116</f>
        <v>0</v>
      </c>
      <c r="L90" s="3">
        <f>'Monthly D5 RIN Data'!$C128</f>
        <v>0</v>
      </c>
      <c r="M90" s="3">
        <f>'Monthly D5 RIN Data'!$C140</f>
        <v>0</v>
      </c>
      <c r="N90" s="3">
        <f>'Monthly D5 RIN Data'!$C152</f>
        <v>10688242</v>
      </c>
      <c r="O90" s="3">
        <f>'Monthly D5 RIN Data'!$C164</f>
        <v>0</v>
      </c>
      <c r="P90" s="3">
        <f>'Monthly D5 RIN Data'!$C176</f>
        <v>0</v>
      </c>
      <c r="Q90" s="4">
        <f>'D5 Gallon Forecast'!Q92*AVERAGE('D5 RIN Forecast'!$AA$5:$AE$5)</f>
        <v>0</v>
      </c>
      <c r="R90" s="4">
        <f>'D5 Gallon Forecast'!R92*AVERAGE('D5 RIN Forecast'!$AA$5:$AE$5)</f>
        <v>0</v>
      </c>
      <c r="S90" s="4">
        <f>'D5 Gallon Forecast'!S92*AVERAGE('D5 RIN Forecast'!$AA$5:$AE$5)</f>
        <v>0</v>
      </c>
      <c r="T90" s="4">
        <f>'D5 Gallon Forecast'!T92*AVERAGE('D5 RIN Forecast'!$AA$5:$AE$5)</f>
        <v>0</v>
      </c>
    </row>
    <row r="91" spans="1:20">
      <c r="A91" s="2" t="s">
        <v>48</v>
      </c>
      <c r="B91" s="3">
        <f>'Monthly D5 RIN Data'!$C9</f>
        <v>0</v>
      </c>
      <c r="C91" s="3">
        <f>'Monthly D5 RIN Data'!$C21</f>
        <v>3035212</v>
      </c>
      <c r="D91" s="3">
        <f>'Monthly D5 RIN Data'!$C33</f>
        <v>36895958</v>
      </c>
      <c r="E91" s="3">
        <f>'Monthly D5 RIN Data'!$C45</f>
        <v>33454217</v>
      </c>
      <c r="F91" s="3">
        <f>'Monthly D5 RIN Data'!$C57</f>
        <v>10573426</v>
      </c>
      <c r="G91" s="3">
        <f>'Monthly D5 RIN Data'!$C69</f>
        <v>0</v>
      </c>
      <c r="H91" s="3">
        <f>'Monthly D5 RIN Data'!$C81</f>
        <v>10778727</v>
      </c>
      <c r="I91" s="3">
        <f>'Monthly D5 RIN Data'!$C93</f>
        <v>10825825</v>
      </c>
      <c r="J91" s="3">
        <f>'Monthly D5 RIN Data'!$C105</f>
        <v>0</v>
      </c>
      <c r="K91" s="3">
        <f>'Monthly D5 RIN Data'!$C117</f>
        <v>24556742</v>
      </c>
      <c r="L91" s="3">
        <f>'Monthly D5 RIN Data'!$C129</f>
        <v>0</v>
      </c>
      <c r="M91" s="3">
        <f>'Monthly D5 RIN Data'!$C141</f>
        <v>12876367</v>
      </c>
      <c r="N91" s="3">
        <f>'Monthly D5 RIN Data'!$C153</f>
        <v>0</v>
      </c>
      <c r="O91" s="3">
        <f>'Monthly D5 RIN Data'!$C165</f>
        <v>0</v>
      </c>
      <c r="P91" s="3">
        <f>'Monthly D5 RIN Data'!$C177</f>
        <v>0</v>
      </c>
      <c r="Q91" s="4">
        <f>'D5 Gallon Forecast'!Q93*AVERAGE('D5 RIN Forecast'!$AA$5:$AE$5)</f>
        <v>0</v>
      </c>
      <c r="R91" s="4">
        <f>'D5 Gallon Forecast'!R93*AVERAGE('D5 RIN Forecast'!$AA$5:$AE$5)</f>
        <v>0</v>
      </c>
      <c r="S91" s="4">
        <f>'D5 Gallon Forecast'!S93*AVERAGE('D5 RIN Forecast'!$AA$5:$AE$5)</f>
        <v>0</v>
      </c>
      <c r="T91" s="4">
        <f>'D5 Gallon Forecast'!T93*AVERAGE('D5 RIN Forecast'!$AA$5:$AE$5)</f>
        <v>0</v>
      </c>
    </row>
    <row r="92" spans="1:20">
      <c r="A92" s="2" t="s">
        <v>49</v>
      </c>
      <c r="B92" s="3">
        <f>'Monthly D5 RIN Data'!$C10</f>
        <v>0</v>
      </c>
      <c r="C92" s="3">
        <f>'Monthly D5 RIN Data'!$C22</f>
        <v>13166006</v>
      </c>
      <c r="D92" s="3">
        <f>'Monthly D5 RIN Data'!$C34</f>
        <v>48445637</v>
      </c>
      <c r="E92" s="3">
        <f>'Monthly D5 RIN Data'!$C46</f>
        <v>53724053</v>
      </c>
      <c r="F92" s="3">
        <f>'Monthly D5 RIN Data'!$C58</f>
        <v>4972076</v>
      </c>
      <c r="G92" s="3">
        <f>'Monthly D5 RIN Data'!$C70</f>
        <v>0</v>
      </c>
      <c r="H92" s="3">
        <f>'Monthly D5 RIN Data'!$C82</f>
        <v>10758306</v>
      </c>
      <c r="I92" s="3">
        <f>'Monthly D5 RIN Data'!$C94</f>
        <v>0</v>
      </c>
      <c r="J92" s="3">
        <f>'Monthly D5 RIN Data'!$C106</f>
        <v>0</v>
      </c>
      <c r="K92" s="3">
        <f>'Monthly D5 RIN Data'!$C118</f>
        <v>23287643</v>
      </c>
      <c r="L92" s="3">
        <f>'Monthly D5 RIN Data'!$C130</f>
        <v>22037693</v>
      </c>
      <c r="M92" s="3">
        <f>'Monthly D5 RIN Data'!$C142</f>
        <v>10338232</v>
      </c>
      <c r="N92" s="3">
        <f>'Monthly D5 RIN Data'!$C154</f>
        <v>2348368</v>
      </c>
      <c r="O92" s="3">
        <f>'Monthly D5 RIN Data'!$C166</f>
        <v>0</v>
      </c>
      <c r="P92" s="3">
        <f>'Monthly D5 RIN Data'!$C178</f>
        <v>0</v>
      </c>
      <c r="Q92" s="4">
        <f>'D5 Gallon Forecast'!Q94*AVERAGE('D5 RIN Forecast'!$AA$5:$AE$5)</f>
        <v>0</v>
      </c>
      <c r="R92" s="4">
        <f>'D5 Gallon Forecast'!R94*AVERAGE('D5 RIN Forecast'!$AA$5:$AE$5)</f>
        <v>0</v>
      </c>
      <c r="S92" s="4">
        <f>'D5 Gallon Forecast'!S94*AVERAGE('D5 RIN Forecast'!$AA$5:$AE$5)</f>
        <v>0</v>
      </c>
      <c r="T92" s="4">
        <f>'D5 Gallon Forecast'!T94*AVERAGE('D5 RIN Forecast'!$AA$5:$AE$5)</f>
        <v>0</v>
      </c>
    </row>
    <row r="93" spans="1:20">
      <c r="A93" s="2" t="s">
        <v>50</v>
      </c>
      <c r="B93" s="3">
        <f>'Monthly D5 RIN Data'!$C11</f>
        <v>0</v>
      </c>
      <c r="C93" s="3">
        <f>'Monthly D5 RIN Data'!$C23</f>
        <v>22822671</v>
      </c>
      <c r="D93" s="3">
        <f>'Monthly D5 RIN Data'!$C35</f>
        <v>82020340</v>
      </c>
      <c r="E93" s="3">
        <f>'Monthly D5 RIN Data'!$C47</f>
        <v>80484976</v>
      </c>
      <c r="F93" s="3">
        <f>'Monthly D5 RIN Data'!$C59</f>
        <v>0</v>
      </c>
      <c r="G93" s="3">
        <f>'Monthly D5 RIN Data'!$C71</f>
        <v>15377300</v>
      </c>
      <c r="H93" s="3">
        <f>'Monthly D5 RIN Data'!$C83</f>
        <v>10993061</v>
      </c>
      <c r="I93" s="3">
        <f>'Monthly D5 RIN Data'!$C95</f>
        <v>22448893</v>
      </c>
      <c r="J93" s="3">
        <f>'Monthly D5 RIN Data'!$C107</f>
        <v>20110256</v>
      </c>
      <c r="K93" s="3">
        <f>'Monthly D5 RIN Data'!$C119</f>
        <v>13950027</v>
      </c>
      <c r="L93" s="3">
        <f>'Monthly D5 RIN Data'!$C131</f>
        <v>27566484</v>
      </c>
      <c r="M93" s="3">
        <f>'Monthly D5 RIN Data'!$C143</f>
        <v>14794361</v>
      </c>
      <c r="N93" s="3">
        <f>'Monthly D5 RIN Data'!$C155</f>
        <v>8397241</v>
      </c>
      <c r="O93" s="3">
        <f>'Monthly D5 RIN Data'!$C167</f>
        <v>0</v>
      </c>
      <c r="P93" s="3">
        <f>'Monthly D5 RIN Data'!$C179</f>
        <v>0</v>
      </c>
      <c r="Q93" s="4">
        <f>'D5 Gallon Forecast'!Q95*AVERAGE('D5 RIN Forecast'!$AA$5:$AE$5)</f>
        <v>0</v>
      </c>
      <c r="R93" s="4">
        <f>'D5 Gallon Forecast'!R95*AVERAGE('D5 RIN Forecast'!$AA$5:$AE$5)</f>
        <v>0</v>
      </c>
      <c r="S93" s="4">
        <f>'D5 Gallon Forecast'!S95*AVERAGE('D5 RIN Forecast'!$AA$5:$AE$5)</f>
        <v>0</v>
      </c>
      <c r="T93" s="4">
        <f>'D5 Gallon Forecast'!T95*AVERAGE('D5 RIN Forecast'!$AA$5:$AE$5)</f>
        <v>0</v>
      </c>
    </row>
    <row r="94" spans="1:20">
      <c r="A94" s="2" t="s">
        <v>51</v>
      </c>
      <c r="B94" s="3">
        <f>'Monthly D5 RIN Data'!$C12</f>
        <v>0</v>
      </c>
      <c r="C94" s="3">
        <f>'Monthly D5 RIN Data'!$C24</f>
        <v>35850732</v>
      </c>
      <c r="D94" s="3">
        <f>'Monthly D5 RIN Data'!$C36</f>
        <v>74568582</v>
      </c>
      <c r="E94" s="3">
        <f>'Monthly D5 RIN Data'!$C48</f>
        <v>49727263</v>
      </c>
      <c r="F94" s="3">
        <f>'Monthly D5 RIN Data'!$C60</f>
        <v>0</v>
      </c>
      <c r="G94" s="3">
        <f>'Monthly D5 RIN Data'!$C72</f>
        <v>19853081</v>
      </c>
      <c r="H94" s="3">
        <f>'Monthly D5 RIN Data'!$C84</f>
        <v>0</v>
      </c>
      <c r="I94" s="3">
        <f>'Monthly D5 RIN Data'!$C96</f>
        <v>10902520</v>
      </c>
      <c r="J94" s="3">
        <f>'Monthly D5 RIN Data'!$C108</f>
        <v>4202525</v>
      </c>
      <c r="K94" s="3">
        <f>'Monthly D5 RIN Data'!$C120</f>
        <v>28711738</v>
      </c>
      <c r="L94" s="3">
        <f>'Monthly D5 RIN Data'!$C132</f>
        <v>27396158</v>
      </c>
      <c r="M94" s="3">
        <f>'Monthly D5 RIN Data'!$C144</f>
        <v>10763933</v>
      </c>
      <c r="N94" s="3">
        <f>'Monthly D5 RIN Data'!$C156</f>
        <v>9130925</v>
      </c>
      <c r="O94" s="3">
        <f>'Monthly D5 RIN Data'!$C168</f>
        <v>19402670</v>
      </c>
      <c r="P94" s="3">
        <f>'Monthly D5 RIN Data'!$C180</f>
        <v>0</v>
      </c>
      <c r="Q94" s="4">
        <f>'D5 Gallon Forecast'!Q96*AVERAGE('D5 RIN Forecast'!$AA$5:$AE$5)</f>
        <v>0</v>
      </c>
      <c r="R94" s="4">
        <f>'D5 Gallon Forecast'!R96*AVERAGE('D5 RIN Forecast'!$AA$5:$AE$5)</f>
        <v>0</v>
      </c>
      <c r="S94" s="4">
        <f>'D5 Gallon Forecast'!S96*AVERAGE('D5 RIN Forecast'!$AA$5:$AE$5)</f>
        <v>0</v>
      </c>
      <c r="T94" s="4">
        <f>'D5 Gallon Forecast'!T96*AVERAGE('D5 RIN Forecast'!$AA$5:$AE$5)</f>
        <v>0</v>
      </c>
    </row>
    <row r="95" spans="1:20">
      <c r="A95" s="2" t="s">
        <v>52</v>
      </c>
      <c r="B95" s="3">
        <f>'Monthly D5 RIN Data'!$C13</f>
        <v>0</v>
      </c>
      <c r="C95" s="3">
        <f>'Monthly D5 RIN Data'!$C25</f>
        <v>19149943</v>
      </c>
      <c r="D95" s="3">
        <f>'Monthly D5 RIN Data'!$C37</f>
        <v>74666044</v>
      </c>
      <c r="E95" s="3">
        <f>'Monthly D5 RIN Data'!$C49</f>
        <v>15647453</v>
      </c>
      <c r="F95" s="3">
        <f>'Monthly D5 RIN Data'!$C61</f>
        <v>0</v>
      </c>
      <c r="G95" s="3">
        <f>'Monthly D5 RIN Data'!$C73</f>
        <v>7506431</v>
      </c>
      <c r="H95" s="3">
        <f>'Monthly D5 RIN Data'!$C85</f>
        <v>0</v>
      </c>
      <c r="I95" s="3">
        <f>'Monthly D5 RIN Data'!$C97</f>
        <v>0</v>
      </c>
      <c r="J95" s="3">
        <f>'Monthly D5 RIN Data'!$C109</f>
        <v>19292506</v>
      </c>
      <c r="K95" s="3">
        <f>'Monthly D5 RIN Data'!$C121</f>
        <v>54364003</v>
      </c>
      <c r="L95" s="3">
        <f>'Monthly D5 RIN Data'!$C133</f>
        <v>16839735</v>
      </c>
      <c r="M95" s="3">
        <f>'Monthly D5 RIN Data'!$C145</f>
        <v>10741498</v>
      </c>
      <c r="N95" s="3">
        <f>'Monthly D5 RIN Data'!$C157</f>
        <v>17831309</v>
      </c>
      <c r="O95" s="3">
        <f>'Monthly D5 RIN Data'!$C169</f>
        <v>1836333</v>
      </c>
      <c r="P95" s="3">
        <f>'Monthly D5 RIN Data'!$C181</f>
        <v>0</v>
      </c>
      <c r="Q95" s="4">
        <f>'D5 Gallon Forecast'!Q97*AVERAGE('D5 RIN Forecast'!$AA$5:$AE$5)</f>
        <v>0</v>
      </c>
      <c r="R95" s="4">
        <f>'D5 Gallon Forecast'!R97*AVERAGE('D5 RIN Forecast'!$AA$5:$AE$5)</f>
        <v>0</v>
      </c>
      <c r="S95" s="4">
        <f>'D5 Gallon Forecast'!S97*AVERAGE('D5 RIN Forecast'!$AA$5:$AE$5)</f>
        <v>0</v>
      </c>
      <c r="T95" s="4">
        <f>'D5 Gallon Forecast'!T97*AVERAGE('D5 RIN Forecast'!$AA$5:$AE$5)</f>
        <v>0</v>
      </c>
    </row>
    <row r="96" spans="1:20">
      <c r="A96" s="2" t="s">
        <v>53</v>
      </c>
      <c r="B96" s="3">
        <f>'Monthly D5 RIN Data'!$C14</f>
        <v>0</v>
      </c>
      <c r="C96" s="3">
        <f>'Monthly D5 RIN Data'!$C26</f>
        <v>25215515</v>
      </c>
      <c r="D96" s="3">
        <f>'Monthly D5 RIN Data'!$C38</f>
        <v>106309471</v>
      </c>
      <c r="E96" s="3">
        <f>'Monthly D5 RIN Data'!$C50</f>
        <v>13318277</v>
      </c>
      <c r="F96" s="3">
        <f>'Monthly D5 RIN Data'!$C62</f>
        <v>0</v>
      </c>
      <c r="G96" s="3">
        <f>'Monthly D5 RIN Data'!$C74</f>
        <v>23293886</v>
      </c>
      <c r="H96" s="3">
        <f>'Monthly D5 RIN Data'!$C86</f>
        <v>0</v>
      </c>
      <c r="I96" s="3">
        <f>'Monthly D5 RIN Data'!$C98</f>
        <v>21236792</v>
      </c>
      <c r="J96" s="3">
        <f>'Monthly D5 RIN Data'!$C110</f>
        <v>10885655</v>
      </c>
      <c r="K96" s="3">
        <f>'Monthly D5 RIN Data'!$C122</f>
        <v>9565841</v>
      </c>
      <c r="L96" s="3">
        <f>'Monthly D5 RIN Data'!$C134</f>
        <v>21572221</v>
      </c>
      <c r="M96" s="3">
        <f>'Monthly D5 RIN Data'!$C146</f>
        <v>0</v>
      </c>
      <c r="N96" s="3">
        <f>'Monthly D5 RIN Data'!$C158</f>
        <v>9712376</v>
      </c>
      <c r="O96" s="3">
        <f>'Monthly D5 RIN Data'!$C170</f>
        <v>0</v>
      </c>
      <c r="P96" s="3">
        <f>'Monthly D5 RIN Data'!$C182</f>
        <v>0</v>
      </c>
      <c r="Q96" s="4">
        <f>'D5 Gallon Forecast'!Q98*AVERAGE('D5 RIN Forecast'!$AA$5:$AE$5)</f>
        <v>0</v>
      </c>
      <c r="R96" s="4">
        <f>'D5 Gallon Forecast'!R98*AVERAGE('D5 RIN Forecast'!$AA$5:$AE$5)</f>
        <v>0</v>
      </c>
      <c r="S96" s="4">
        <f>'D5 Gallon Forecast'!S98*AVERAGE('D5 RIN Forecast'!$AA$5:$AE$5)</f>
        <v>0</v>
      </c>
      <c r="T96" s="4">
        <f>'D5 Gallon Forecast'!T98*AVERAGE('D5 RIN Forecast'!$AA$5:$AE$5)</f>
        <v>0</v>
      </c>
    </row>
    <row r="97" spans="1:20">
      <c r="A97" s="2" t="s">
        <v>54</v>
      </c>
      <c r="B97" s="3">
        <f>'Monthly D5 RIN Data'!$C15</f>
        <v>0</v>
      </c>
      <c r="C97" s="3">
        <f>'Monthly D5 RIN Data'!$C27</f>
        <v>53185709</v>
      </c>
      <c r="D97" s="3">
        <f>'Monthly D5 RIN Data'!$C39</f>
        <v>102613203</v>
      </c>
      <c r="E97" s="3">
        <f>'Monthly D5 RIN Data'!$C51</f>
        <v>10268862</v>
      </c>
      <c r="F97" s="3">
        <f>'Monthly D5 RIN Data'!$C63</f>
        <v>6750019</v>
      </c>
      <c r="G97" s="3">
        <f>'Monthly D5 RIN Data'!$C75</f>
        <v>12221061</v>
      </c>
      <c r="H97" s="3">
        <f>'Monthly D5 RIN Data'!$C87</f>
        <v>0</v>
      </c>
      <c r="I97" s="3">
        <f>'Monthly D5 RIN Data'!$C99</f>
        <v>19714</v>
      </c>
      <c r="J97" s="3">
        <f>'Monthly D5 RIN Data'!$C111</f>
        <v>23177377</v>
      </c>
      <c r="K97" s="3">
        <f>'Monthly D5 RIN Data'!$C123</f>
        <v>21228729</v>
      </c>
      <c r="L97" s="3">
        <f>'Monthly D5 RIN Data'!$C135</f>
        <v>25454380</v>
      </c>
      <c r="M97" s="3">
        <f>'Monthly D5 RIN Data'!$C147</f>
        <v>0</v>
      </c>
      <c r="N97" s="3">
        <f>'Monthly D5 RIN Data'!$C159</f>
        <v>11746584</v>
      </c>
      <c r="O97" s="3">
        <f>'Monthly D5 RIN Data'!$C171</f>
        <v>0</v>
      </c>
      <c r="P97" s="3">
        <f>'Monthly D5 RIN Data'!$C183</f>
        <v>0</v>
      </c>
      <c r="Q97" s="4">
        <f>'D5 Gallon Forecast'!Q99*AVERAGE('D5 RIN Forecast'!$AA$5:$AE$5)</f>
        <v>0</v>
      </c>
      <c r="R97" s="4">
        <f>'D5 Gallon Forecast'!R99*AVERAGE('D5 RIN Forecast'!$AA$5:$AE$5)</f>
        <v>0</v>
      </c>
      <c r="S97" s="4">
        <f>'D5 Gallon Forecast'!S99*AVERAGE('D5 RIN Forecast'!$AA$5:$AE$5)</f>
        <v>0</v>
      </c>
      <c r="T97" s="4">
        <f>'D5 Gallon Forecast'!T99*AVERAGE('D5 RIN Forecast'!$AA$5:$AE$5)</f>
        <v>0</v>
      </c>
    </row>
    <row r="98" spans="1:20" ht="13.5" thickBot="1">
      <c r="A98" s="2" t="s">
        <v>29</v>
      </c>
      <c r="B98" s="3">
        <f t="shared" ref="B98:O98" si="53">SUM(B86:B97)</f>
        <v>0</v>
      </c>
      <c r="C98" s="3">
        <f t="shared" si="53"/>
        <v>172425788</v>
      </c>
      <c r="D98" s="3">
        <f t="shared" si="53"/>
        <v>575793102</v>
      </c>
      <c r="E98" s="3">
        <f t="shared" si="53"/>
        <v>435313268</v>
      </c>
      <c r="F98" s="3">
        <f t="shared" si="53"/>
        <v>64474655</v>
      </c>
      <c r="G98" s="3">
        <f t="shared" si="53"/>
        <v>88954450</v>
      </c>
      <c r="H98" s="3">
        <f t="shared" si="53"/>
        <v>34404034</v>
      </c>
      <c r="I98" s="3">
        <f t="shared" si="53"/>
        <v>73889090</v>
      </c>
      <c r="J98" s="3">
        <f t="shared" si="53"/>
        <v>77668319</v>
      </c>
      <c r="K98" s="3">
        <f t="shared" si="53"/>
        <v>195603169</v>
      </c>
      <c r="L98" s="3">
        <f t="shared" si="53"/>
        <v>185186372</v>
      </c>
      <c r="M98" s="3">
        <f t="shared" si="53"/>
        <v>59514391</v>
      </c>
      <c r="N98" s="3">
        <f t="shared" si="53"/>
        <v>80546883</v>
      </c>
      <c r="O98" s="3">
        <f t="shared" si="53"/>
        <v>21239003</v>
      </c>
      <c r="P98" s="4">
        <f>SUM(P86:P97)</f>
        <v>0</v>
      </c>
      <c r="Q98" s="4">
        <f>SUM(Q86:Q97)</f>
        <v>0</v>
      </c>
      <c r="R98" s="4">
        <f>SUM(R86:R97)</f>
        <v>0</v>
      </c>
      <c r="S98" s="4">
        <f>SUM(S86:S97)</f>
        <v>0</v>
      </c>
      <c r="T98" s="4">
        <f>SUM(T86:T97)</f>
        <v>0</v>
      </c>
    </row>
    <row r="99" spans="1:20">
      <c r="A99" s="114"/>
      <c r="B99" s="114"/>
      <c r="C99" s="114"/>
      <c r="D99" s="114"/>
      <c r="E99" s="114"/>
      <c r="F99" s="114"/>
      <c r="G99" s="114"/>
      <c r="H99" s="114"/>
      <c r="I99" s="114"/>
      <c r="J99" s="114"/>
      <c r="K99" s="114"/>
      <c r="L99" s="114"/>
      <c r="M99" s="114"/>
      <c r="N99" s="114"/>
      <c r="O99" s="114"/>
      <c r="P99" s="114"/>
      <c r="Q99" s="114"/>
      <c r="R99" s="114"/>
      <c r="S99" s="114"/>
      <c r="T99" s="114"/>
    </row>
    <row r="100" spans="1:20" ht="16.5" thickBot="1">
      <c r="A100" s="109" t="s">
        <v>436</v>
      </c>
    </row>
    <row r="101" spans="1:20" ht="13.5" thickBot="1">
      <c r="A101" s="110"/>
      <c r="B101" s="111">
        <v>2010</v>
      </c>
      <c r="C101" s="111">
        <v>2011</v>
      </c>
      <c r="D101" s="111">
        <v>2012</v>
      </c>
      <c r="E101" s="111">
        <v>2013</v>
      </c>
      <c r="F101" s="111">
        <v>2014</v>
      </c>
      <c r="G101" s="111">
        <v>2015</v>
      </c>
      <c r="H101" s="111">
        <v>2016</v>
      </c>
      <c r="I101" s="111">
        <v>2017</v>
      </c>
      <c r="J101" s="111">
        <v>2018</v>
      </c>
      <c r="K101" s="111">
        <v>2019</v>
      </c>
      <c r="L101" s="111">
        <v>2020</v>
      </c>
      <c r="M101" s="111">
        <v>2021</v>
      </c>
      <c r="N101" s="111">
        <v>2022</v>
      </c>
      <c r="O101" s="111">
        <v>2023</v>
      </c>
      <c r="P101" s="111">
        <v>2024</v>
      </c>
      <c r="Q101" s="111">
        <v>2025</v>
      </c>
      <c r="R101" s="111">
        <v>2026</v>
      </c>
      <c r="S101" s="111">
        <v>2027</v>
      </c>
      <c r="T101" s="111">
        <v>2028</v>
      </c>
    </row>
    <row r="102" spans="1:20">
      <c r="A102" s="2" t="s">
        <v>43</v>
      </c>
      <c r="B102" s="3">
        <f>B118+B166</f>
        <v>0</v>
      </c>
      <c r="C102" s="3">
        <f t="shared" ref="C102:T113" si="54">C118+C166</f>
        <v>3684420</v>
      </c>
      <c r="D102" s="3">
        <f t="shared" si="54"/>
        <v>866598</v>
      </c>
      <c r="E102" s="3">
        <f t="shared" si="54"/>
        <v>686300</v>
      </c>
      <c r="F102" s="3">
        <f t="shared" si="54"/>
        <v>398238</v>
      </c>
      <c r="G102" s="3">
        <f t="shared" si="54"/>
        <v>282285</v>
      </c>
      <c r="H102" s="3">
        <f t="shared" si="54"/>
        <v>400028</v>
      </c>
      <c r="I102" s="3">
        <f t="shared" si="54"/>
        <v>764322</v>
      </c>
      <c r="J102" s="3">
        <f t="shared" si="54"/>
        <v>547014</v>
      </c>
      <c r="K102" s="3">
        <f t="shared" si="54"/>
        <v>5068638</v>
      </c>
      <c r="L102" s="3">
        <f t="shared" si="54"/>
        <v>6842999</v>
      </c>
      <c r="M102" s="3">
        <f t="shared" si="54"/>
        <v>14795692</v>
      </c>
      <c r="N102" s="3">
        <f t="shared" si="54"/>
        <v>6834941</v>
      </c>
      <c r="O102" s="3">
        <f t="shared" si="54"/>
        <v>6219410</v>
      </c>
      <c r="P102" s="3">
        <f t="shared" si="54"/>
        <v>8841325</v>
      </c>
      <c r="Q102" s="3">
        <f t="shared" si="54"/>
        <v>9207214</v>
      </c>
      <c r="R102" s="4">
        <f t="shared" si="54"/>
        <v>10093808.954782281</v>
      </c>
      <c r="S102" s="4">
        <f t="shared" si="54"/>
        <v>10565003.84460867</v>
      </c>
      <c r="T102" s="4">
        <f t="shared" si="54"/>
        <v>11576503.990972506</v>
      </c>
    </row>
    <row r="103" spans="1:20">
      <c r="A103" s="2" t="s">
        <v>44</v>
      </c>
      <c r="B103" s="3">
        <f t="shared" ref="B103:J113" si="55">B119+B167</f>
        <v>0</v>
      </c>
      <c r="C103" s="3">
        <f t="shared" si="55"/>
        <v>1174330</v>
      </c>
      <c r="D103" s="3">
        <f t="shared" si="55"/>
        <v>2789811</v>
      </c>
      <c r="E103" s="3">
        <f t="shared" si="55"/>
        <v>991130</v>
      </c>
      <c r="F103" s="3">
        <f t="shared" si="55"/>
        <v>889583</v>
      </c>
      <c r="G103" s="3">
        <f t="shared" si="55"/>
        <v>664188</v>
      </c>
      <c r="H103" s="3">
        <f t="shared" si="55"/>
        <v>514031</v>
      </c>
      <c r="I103" s="3">
        <f t="shared" si="55"/>
        <v>607750</v>
      </c>
      <c r="J103" s="3">
        <f t="shared" si="55"/>
        <v>2448400</v>
      </c>
      <c r="K103" s="3">
        <f t="shared" si="54"/>
        <v>3991755</v>
      </c>
      <c r="L103" s="3">
        <f t="shared" si="54"/>
        <v>5699775</v>
      </c>
      <c r="M103" s="3">
        <f t="shared" si="54"/>
        <v>7619268</v>
      </c>
      <c r="N103" s="3">
        <f t="shared" si="54"/>
        <v>8015199</v>
      </c>
      <c r="O103" s="3">
        <f t="shared" si="54"/>
        <v>3567587</v>
      </c>
      <c r="P103" s="3">
        <f t="shared" si="54"/>
        <v>6689848</v>
      </c>
      <c r="Q103" s="3">
        <f t="shared" si="54"/>
        <v>7880637</v>
      </c>
      <c r="R103" s="4">
        <f t="shared" si="54"/>
        <v>7427103.9346280824</v>
      </c>
      <c r="S103" s="4">
        <f t="shared" si="54"/>
        <v>8611776.854861239</v>
      </c>
      <c r="T103" s="4">
        <f t="shared" si="54"/>
        <v>8806547.0051201452</v>
      </c>
    </row>
    <row r="104" spans="1:20">
      <c r="A104" s="2" t="s">
        <v>45</v>
      </c>
      <c r="B104" s="3">
        <f t="shared" si="55"/>
        <v>0</v>
      </c>
      <c r="C104" s="3">
        <f t="shared" si="55"/>
        <v>1244801</v>
      </c>
      <c r="D104" s="3">
        <f t="shared" si="55"/>
        <v>1068269</v>
      </c>
      <c r="E104" s="3">
        <f t="shared" si="55"/>
        <v>1180429</v>
      </c>
      <c r="F104" s="3">
        <f t="shared" si="55"/>
        <v>1255477</v>
      </c>
      <c r="G104" s="3">
        <f t="shared" si="55"/>
        <v>1192455</v>
      </c>
      <c r="H104" s="3">
        <f t="shared" si="55"/>
        <v>771330</v>
      </c>
      <c r="I104" s="3">
        <f t="shared" si="55"/>
        <v>778493</v>
      </c>
      <c r="J104" s="3">
        <f t="shared" si="55"/>
        <v>3862361</v>
      </c>
      <c r="K104" s="3">
        <f t="shared" si="54"/>
        <v>4887899</v>
      </c>
      <c r="L104" s="3">
        <f t="shared" si="54"/>
        <v>6056567</v>
      </c>
      <c r="M104" s="3">
        <f t="shared" si="54"/>
        <v>6912356</v>
      </c>
      <c r="N104" s="3">
        <f t="shared" si="54"/>
        <v>8123722</v>
      </c>
      <c r="O104" s="3">
        <f t="shared" si="54"/>
        <v>16637473</v>
      </c>
      <c r="P104" s="3">
        <f>P120+P168</f>
        <v>8984440</v>
      </c>
      <c r="Q104" s="3">
        <f t="shared" si="54"/>
        <v>11169549</v>
      </c>
      <c r="R104" s="4">
        <f>R120+R168</f>
        <v>11397678.966027984</v>
      </c>
      <c r="S104" s="4">
        <f>S120+S168</f>
        <v>14441585.035927288</v>
      </c>
      <c r="T104" s="4">
        <f>T120+T168</f>
        <v>16138373.971872132</v>
      </c>
    </row>
    <row r="105" spans="1:20">
      <c r="A105" s="2" t="s">
        <v>46</v>
      </c>
      <c r="B105" s="3">
        <f t="shared" si="55"/>
        <v>0</v>
      </c>
      <c r="C105" s="3">
        <f t="shared" si="55"/>
        <v>456418</v>
      </c>
      <c r="D105" s="3">
        <f t="shared" si="55"/>
        <v>629383</v>
      </c>
      <c r="E105" s="3">
        <f t="shared" si="55"/>
        <v>1104869</v>
      </c>
      <c r="F105" s="3">
        <f t="shared" si="55"/>
        <v>1562152</v>
      </c>
      <c r="G105" s="3">
        <f t="shared" si="55"/>
        <v>948725</v>
      </c>
      <c r="H105" s="3">
        <f t="shared" si="55"/>
        <v>664656</v>
      </c>
      <c r="I105" s="3">
        <f t="shared" si="55"/>
        <v>569609</v>
      </c>
      <c r="J105" s="3">
        <f t="shared" si="55"/>
        <v>1752259</v>
      </c>
      <c r="K105" s="3">
        <f t="shared" si="54"/>
        <v>5092649</v>
      </c>
      <c r="L105" s="3">
        <f t="shared" si="54"/>
        <v>5239801</v>
      </c>
      <c r="M105" s="3">
        <f t="shared" si="54"/>
        <v>5195137</v>
      </c>
      <c r="N105" s="3">
        <f t="shared" si="54"/>
        <v>8997114</v>
      </c>
      <c r="O105" s="3">
        <f t="shared" si="54"/>
        <v>8307574</v>
      </c>
      <c r="P105" s="3">
        <f t="shared" si="54"/>
        <v>6667458</v>
      </c>
      <c r="Q105" s="4">
        <f t="shared" si="54"/>
        <v>6467727.498761978</v>
      </c>
      <c r="R105" s="4">
        <f t="shared" si="54"/>
        <v>7836690.1410681447</v>
      </c>
      <c r="S105" s="4">
        <f t="shared" si="54"/>
        <v>9816127.2260135617</v>
      </c>
      <c r="T105" s="4">
        <f t="shared" si="54"/>
        <v>10073953.332270853</v>
      </c>
    </row>
    <row r="106" spans="1:20">
      <c r="A106" s="2" t="s">
        <v>47</v>
      </c>
      <c r="B106" s="3">
        <f t="shared" si="55"/>
        <v>0</v>
      </c>
      <c r="C106" s="3">
        <f t="shared" si="55"/>
        <v>7035448</v>
      </c>
      <c r="D106" s="3">
        <f t="shared" si="55"/>
        <v>694330</v>
      </c>
      <c r="E106" s="3">
        <f t="shared" si="55"/>
        <v>3103654</v>
      </c>
      <c r="F106" s="3">
        <f t="shared" si="55"/>
        <v>1294829</v>
      </c>
      <c r="G106" s="3">
        <f t="shared" si="55"/>
        <v>579818</v>
      </c>
      <c r="H106" s="3">
        <f t="shared" si="55"/>
        <v>525478</v>
      </c>
      <c r="I106" s="3">
        <f t="shared" si="55"/>
        <v>624485</v>
      </c>
      <c r="J106" s="3">
        <f t="shared" si="55"/>
        <v>731388</v>
      </c>
      <c r="K106" s="3">
        <f t="shared" si="54"/>
        <v>5896000</v>
      </c>
      <c r="L106" s="3">
        <f t="shared" si="54"/>
        <v>7235406</v>
      </c>
      <c r="M106" s="3">
        <f t="shared" si="54"/>
        <v>3789479</v>
      </c>
      <c r="N106" s="3">
        <f t="shared" si="54"/>
        <v>14761731</v>
      </c>
      <c r="O106" s="3">
        <f t="shared" si="54"/>
        <v>12139595</v>
      </c>
      <c r="P106" s="3">
        <f t="shared" si="54"/>
        <v>2427093</v>
      </c>
      <c r="Q106" s="4">
        <f t="shared" si="54"/>
        <v>7585478.2056948012</v>
      </c>
      <c r="R106" s="4">
        <f t="shared" si="54"/>
        <v>8951302.2261874862</v>
      </c>
      <c r="S106" s="4">
        <f t="shared" si="54"/>
        <v>11762252.97111107</v>
      </c>
      <c r="T106" s="4">
        <f t="shared" si="54"/>
        <v>11045425.528067159</v>
      </c>
    </row>
    <row r="107" spans="1:20">
      <c r="A107" s="2" t="s">
        <v>48</v>
      </c>
      <c r="B107" s="3">
        <f t="shared" si="55"/>
        <v>0</v>
      </c>
      <c r="C107" s="3">
        <f t="shared" si="55"/>
        <v>1355410</v>
      </c>
      <c r="D107" s="3">
        <f t="shared" si="55"/>
        <v>861636</v>
      </c>
      <c r="E107" s="3">
        <f t="shared" si="55"/>
        <v>9615657</v>
      </c>
      <c r="F107" s="3">
        <f t="shared" si="55"/>
        <v>1320737</v>
      </c>
      <c r="G107" s="3">
        <f t="shared" si="55"/>
        <v>924880</v>
      </c>
      <c r="H107" s="3">
        <f t="shared" si="55"/>
        <v>894389</v>
      </c>
      <c r="I107" s="3">
        <f t="shared" si="55"/>
        <v>632684</v>
      </c>
      <c r="J107" s="3">
        <f t="shared" si="55"/>
        <v>1582201</v>
      </c>
      <c r="K107" s="3">
        <f t="shared" si="54"/>
        <v>4208159</v>
      </c>
      <c r="L107" s="3">
        <f t="shared" si="54"/>
        <v>5700196</v>
      </c>
      <c r="M107" s="3">
        <f t="shared" si="54"/>
        <v>7142618</v>
      </c>
      <c r="N107" s="3">
        <f t="shared" si="54"/>
        <v>7781980</v>
      </c>
      <c r="O107" s="3">
        <f t="shared" si="54"/>
        <v>16652119</v>
      </c>
      <c r="P107" s="3">
        <f t="shared" si="54"/>
        <v>10522701</v>
      </c>
      <c r="Q107" s="4">
        <f t="shared" si="54"/>
        <v>8985210.8486692179</v>
      </c>
      <c r="R107" s="4">
        <f t="shared" si="54"/>
        <v>11234300.91346411</v>
      </c>
      <c r="S107" s="4">
        <f t="shared" si="54"/>
        <v>14150113.076121492</v>
      </c>
      <c r="T107" s="4">
        <f t="shared" si="54"/>
        <v>15858466.226602003</v>
      </c>
    </row>
    <row r="108" spans="1:20">
      <c r="A108" s="2" t="s">
        <v>49</v>
      </c>
      <c r="B108" s="3">
        <f t="shared" si="55"/>
        <v>531710</v>
      </c>
      <c r="C108" s="3">
        <f t="shared" si="55"/>
        <v>1350302</v>
      </c>
      <c r="D108" s="3">
        <f t="shared" si="55"/>
        <v>913089</v>
      </c>
      <c r="E108" s="3">
        <f t="shared" si="55"/>
        <v>7407732</v>
      </c>
      <c r="F108" s="3">
        <f t="shared" si="55"/>
        <v>2353270</v>
      </c>
      <c r="G108" s="3">
        <f t="shared" si="55"/>
        <v>809509</v>
      </c>
      <c r="H108" s="3">
        <f t="shared" si="55"/>
        <v>722828</v>
      </c>
      <c r="I108" s="3">
        <f t="shared" si="55"/>
        <v>877870</v>
      </c>
      <c r="J108" s="3">
        <f t="shared" si="55"/>
        <v>4232694</v>
      </c>
      <c r="K108" s="3">
        <f t="shared" si="54"/>
        <v>5275161</v>
      </c>
      <c r="L108" s="3">
        <f t="shared" si="54"/>
        <v>6161891</v>
      </c>
      <c r="M108" s="3">
        <f t="shared" si="54"/>
        <v>8915768</v>
      </c>
      <c r="N108" s="3">
        <f t="shared" si="54"/>
        <v>8137445</v>
      </c>
      <c r="O108" s="3">
        <f t="shared" si="54"/>
        <v>7542907</v>
      </c>
      <c r="P108" s="3">
        <f t="shared" si="54"/>
        <v>11537395</v>
      </c>
      <c r="Q108" s="4">
        <f t="shared" si="54"/>
        <v>7950547.7400329066</v>
      </c>
      <c r="R108" s="4">
        <f t="shared" si="54"/>
        <v>9694767.8304757625</v>
      </c>
      <c r="S108" s="4">
        <f t="shared" si="54"/>
        <v>11505252.556951363</v>
      </c>
      <c r="T108" s="4">
        <f t="shared" si="54"/>
        <v>12427890.881371906</v>
      </c>
    </row>
    <row r="109" spans="1:20">
      <c r="A109" s="2" t="s">
        <v>50</v>
      </c>
      <c r="B109" s="3">
        <f t="shared" si="55"/>
        <v>1226079</v>
      </c>
      <c r="C109" s="3">
        <f t="shared" si="55"/>
        <v>1890072</v>
      </c>
      <c r="D109" s="3">
        <f t="shared" si="55"/>
        <v>2096952</v>
      </c>
      <c r="E109" s="3">
        <f t="shared" si="55"/>
        <v>10822957</v>
      </c>
      <c r="F109" s="3">
        <f t="shared" si="55"/>
        <v>830625</v>
      </c>
      <c r="G109" s="3">
        <f t="shared" si="55"/>
        <v>756561</v>
      </c>
      <c r="H109" s="3">
        <f t="shared" si="55"/>
        <v>807185</v>
      </c>
      <c r="I109" s="3">
        <f t="shared" si="55"/>
        <v>748391</v>
      </c>
      <c r="J109" s="3">
        <f t="shared" si="55"/>
        <v>3635368</v>
      </c>
      <c r="K109" s="3">
        <f t="shared" si="54"/>
        <v>6142589</v>
      </c>
      <c r="L109" s="3">
        <f t="shared" si="54"/>
        <v>6246934</v>
      </c>
      <c r="M109" s="3">
        <f t="shared" si="54"/>
        <v>13159185</v>
      </c>
      <c r="N109" s="3">
        <f t="shared" si="54"/>
        <v>12327962</v>
      </c>
      <c r="O109" s="3">
        <f t="shared" si="54"/>
        <v>13725429</v>
      </c>
      <c r="P109" s="3">
        <f t="shared" si="54"/>
        <v>15069221</v>
      </c>
      <c r="Q109" s="4">
        <f t="shared" si="54"/>
        <v>11377987.38489823</v>
      </c>
      <c r="R109" s="4">
        <f t="shared" si="54"/>
        <v>14439602.991997978</v>
      </c>
      <c r="S109" s="4">
        <f t="shared" si="54"/>
        <v>17166993.922056004</v>
      </c>
      <c r="T109" s="4">
        <f t="shared" si="54"/>
        <v>18495715.308817431</v>
      </c>
    </row>
    <row r="110" spans="1:20">
      <c r="A110" s="2" t="s">
        <v>51</v>
      </c>
      <c r="B110" s="3">
        <f t="shared" si="55"/>
        <v>1605551</v>
      </c>
      <c r="C110" s="3">
        <f t="shared" si="55"/>
        <v>3085921</v>
      </c>
      <c r="D110" s="3">
        <f t="shared" si="55"/>
        <v>1768113</v>
      </c>
      <c r="E110" s="3">
        <f t="shared" si="55"/>
        <v>13384264</v>
      </c>
      <c r="F110" s="3">
        <f t="shared" si="55"/>
        <v>1064210</v>
      </c>
      <c r="G110" s="3">
        <f t="shared" si="55"/>
        <v>629597</v>
      </c>
      <c r="H110" s="3">
        <f t="shared" si="55"/>
        <v>603291</v>
      </c>
      <c r="I110" s="3">
        <f t="shared" si="55"/>
        <v>651274</v>
      </c>
      <c r="J110" s="3">
        <f t="shared" si="55"/>
        <v>6171296</v>
      </c>
      <c r="K110" s="3">
        <f t="shared" si="54"/>
        <v>5166656</v>
      </c>
      <c r="L110" s="3">
        <f t="shared" si="54"/>
        <v>5578611</v>
      </c>
      <c r="M110" s="3">
        <f t="shared" si="54"/>
        <v>9901919</v>
      </c>
      <c r="N110" s="3">
        <f t="shared" si="54"/>
        <v>15122570</v>
      </c>
      <c r="O110" s="3">
        <f t="shared" si="54"/>
        <v>12584252</v>
      </c>
      <c r="P110" s="3">
        <f t="shared" si="54"/>
        <v>11578932</v>
      </c>
      <c r="Q110" s="4">
        <f t="shared" si="54"/>
        <v>10294781.786736164</v>
      </c>
      <c r="R110" s="4">
        <f t="shared" si="54"/>
        <v>13081112.688012902</v>
      </c>
      <c r="S110" s="4">
        <f t="shared" si="54"/>
        <v>16069748.025284462</v>
      </c>
      <c r="T110" s="4">
        <f t="shared" si="54"/>
        <v>16390405.520811321</v>
      </c>
    </row>
    <row r="111" spans="1:20">
      <c r="A111" s="2" t="s">
        <v>52</v>
      </c>
      <c r="B111" s="3">
        <f t="shared" si="55"/>
        <v>2354841</v>
      </c>
      <c r="C111" s="3">
        <f t="shared" si="55"/>
        <v>1886117</v>
      </c>
      <c r="D111" s="3">
        <f t="shared" si="55"/>
        <v>1902948</v>
      </c>
      <c r="E111" s="3">
        <f t="shared" si="55"/>
        <v>13393775</v>
      </c>
      <c r="F111" s="3">
        <f t="shared" si="55"/>
        <v>1432327</v>
      </c>
      <c r="G111" s="3">
        <f t="shared" si="55"/>
        <v>640336</v>
      </c>
      <c r="H111" s="3">
        <f t="shared" si="55"/>
        <v>903074</v>
      </c>
      <c r="I111" s="3">
        <f t="shared" si="55"/>
        <v>552750</v>
      </c>
      <c r="J111" s="3">
        <f t="shared" si="55"/>
        <v>5269287</v>
      </c>
      <c r="K111" s="3">
        <f t="shared" si="54"/>
        <v>3360549</v>
      </c>
      <c r="L111" s="3">
        <f t="shared" si="54"/>
        <v>7392026</v>
      </c>
      <c r="M111" s="3">
        <f t="shared" si="54"/>
        <v>8653829</v>
      </c>
      <c r="N111" s="3">
        <f t="shared" si="54"/>
        <v>9674462</v>
      </c>
      <c r="O111" s="3">
        <f t="shared" si="54"/>
        <v>11737344</v>
      </c>
      <c r="P111" s="3">
        <f t="shared" si="54"/>
        <v>8689082</v>
      </c>
      <c r="Q111" s="4">
        <f t="shared" si="54"/>
        <v>8674509.7078919411</v>
      </c>
      <c r="R111" s="4">
        <f t="shared" si="54"/>
        <v>10430421.395217668</v>
      </c>
      <c r="S111" s="4">
        <f t="shared" si="54"/>
        <v>12618964.477181345</v>
      </c>
      <c r="T111" s="4">
        <f t="shared" si="54"/>
        <v>13437835.361579444</v>
      </c>
    </row>
    <row r="112" spans="1:20">
      <c r="A112" s="2" t="s">
        <v>53</v>
      </c>
      <c r="B112" s="3">
        <f t="shared" si="55"/>
        <v>3058663</v>
      </c>
      <c r="C112" s="3">
        <f t="shared" si="55"/>
        <v>2478929</v>
      </c>
      <c r="D112" s="3">
        <f t="shared" si="55"/>
        <v>3238603</v>
      </c>
      <c r="E112" s="3">
        <f t="shared" si="55"/>
        <v>7514810</v>
      </c>
      <c r="F112" s="3">
        <f t="shared" si="55"/>
        <v>882991</v>
      </c>
      <c r="G112" s="3">
        <f t="shared" si="55"/>
        <v>529233</v>
      </c>
      <c r="H112" s="3">
        <f t="shared" si="55"/>
        <v>651990</v>
      </c>
      <c r="I112" s="3">
        <f t="shared" si="55"/>
        <v>1015708</v>
      </c>
      <c r="J112" s="3">
        <f t="shared" si="55"/>
        <v>5871294</v>
      </c>
      <c r="K112" s="3">
        <f t="shared" si="54"/>
        <v>4070997</v>
      </c>
      <c r="L112" s="3">
        <f t="shared" si="54"/>
        <v>10084263</v>
      </c>
      <c r="M112" s="3">
        <f t="shared" si="54"/>
        <v>1281287</v>
      </c>
      <c r="N112" s="3">
        <f t="shared" si="54"/>
        <v>13773827</v>
      </c>
      <c r="O112" s="3">
        <f t="shared" si="54"/>
        <v>7494912</v>
      </c>
      <c r="P112" s="3">
        <f t="shared" si="54"/>
        <v>12209483</v>
      </c>
      <c r="Q112" s="4">
        <f t="shared" si="54"/>
        <v>8429581.4290647078</v>
      </c>
      <c r="R112" s="4">
        <f t="shared" si="54"/>
        <v>9497949.4661965929</v>
      </c>
      <c r="S112" s="4">
        <f t="shared" si="54"/>
        <v>13183143.02914956</v>
      </c>
      <c r="T112" s="4">
        <f t="shared" si="54"/>
        <v>13093774.13826471</v>
      </c>
    </row>
    <row r="113" spans="1:20">
      <c r="A113" s="2" t="s">
        <v>54</v>
      </c>
      <c r="B113" s="3">
        <f t="shared" si="55"/>
        <v>3994602</v>
      </c>
      <c r="C113" s="3">
        <f t="shared" si="55"/>
        <v>1562774</v>
      </c>
      <c r="D113" s="3">
        <f t="shared" si="55"/>
        <v>3703141</v>
      </c>
      <c r="E113" s="3">
        <f t="shared" si="55"/>
        <v>966904</v>
      </c>
      <c r="F113" s="3">
        <f t="shared" si="55"/>
        <v>1344089</v>
      </c>
      <c r="G113" s="3">
        <f t="shared" si="55"/>
        <v>508036</v>
      </c>
      <c r="H113" s="3">
        <f t="shared" si="55"/>
        <v>473946</v>
      </c>
      <c r="I113" s="3">
        <f t="shared" si="55"/>
        <v>926969</v>
      </c>
      <c r="J113" s="3">
        <f t="shared" si="55"/>
        <v>4029853</v>
      </c>
      <c r="K113" s="3">
        <f t="shared" si="54"/>
        <v>5138429</v>
      </c>
      <c r="L113" s="3">
        <f t="shared" si="54"/>
        <v>13775887</v>
      </c>
      <c r="M113" s="3">
        <f t="shared" si="54"/>
        <v>18789642</v>
      </c>
      <c r="N113" s="3">
        <f t="shared" si="54"/>
        <v>15593063</v>
      </c>
      <c r="O113" s="3">
        <f t="shared" si="54"/>
        <v>6065288</v>
      </c>
      <c r="P113" s="3">
        <f t="shared" si="54"/>
        <v>10915294</v>
      </c>
      <c r="Q113" s="4">
        <f t="shared" si="54"/>
        <v>6890425.1346868984</v>
      </c>
      <c r="R113" s="4">
        <f t="shared" si="54"/>
        <v>12810893.254225783</v>
      </c>
      <c r="S113" s="4">
        <f t="shared" si="54"/>
        <v>13406054.402387913</v>
      </c>
      <c r="T113" s="4">
        <f t="shared" si="54"/>
        <v>12906414.434352353</v>
      </c>
    </row>
    <row r="114" spans="1:20" ht="13.5" thickBot="1">
      <c r="A114" s="2" t="s">
        <v>29</v>
      </c>
      <c r="B114" s="3">
        <f t="shared" ref="B114:O114" si="56">SUM(B102:B113)</f>
        <v>12771446</v>
      </c>
      <c r="C114" s="3">
        <f t="shared" si="56"/>
        <v>27204942</v>
      </c>
      <c r="D114" s="3">
        <f t="shared" si="56"/>
        <v>20532873</v>
      </c>
      <c r="E114" s="3">
        <f t="shared" si="56"/>
        <v>70172481</v>
      </c>
      <c r="F114" s="3">
        <f t="shared" si="56"/>
        <v>14628528</v>
      </c>
      <c r="G114" s="3">
        <f t="shared" si="56"/>
        <v>8465623</v>
      </c>
      <c r="H114" s="3">
        <f t="shared" si="56"/>
        <v>7932226</v>
      </c>
      <c r="I114" s="3">
        <f t="shared" si="56"/>
        <v>8750305</v>
      </c>
      <c r="J114" s="3">
        <f t="shared" si="56"/>
        <v>40133415</v>
      </c>
      <c r="K114" s="3">
        <f t="shared" si="56"/>
        <v>58299481</v>
      </c>
      <c r="L114" s="3">
        <f t="shared" si="56"/>
        <v>86014356</v>
      </c>
      <c r="M114" s="3">
        <f t="shared" si="56"/>
        <v>106156180</v>
      </c>
      <c r="N114" s="3">
        <f t="shared" si="56"/>
        <v>129144016</v>
      </c>
      <c r="O114" s="3">
        <f t="shared" si="56"/>
        <v>122673890</v>
      </c>
      <c r="P114" s="3">
        <f>SUM(P102:P113)</f>
        <v>114132272</v>
      </c>
      <c r="Q114" s="4">
        <f>SUM(Q102:Q113)</f>
        <v>104913649.73643684</v>
      </c>
      <c r="R114" s="4">
        <f>SUM(R102:R113)</f>
        <v>126895632.76228479</v>
      </c>
      <c r="S114" s="4">
        <f>SUM(S102:S113)</f>
        <v>153297015.42165399</v>
      </c>
      <c r="T114" s="4">
        <f>SUM(T102:T113)</f>
        <v>160251305.70010197</v>
      </c>
    </row>
    <row r="115" spans="1:20">
      <c r="A115" s="114"/>
      <c r="B115" s="114"/>
      <c r="C115" s="114"/>
      <c r="D115" s="114"/>
      <c r="E115" s="114"/>
      <c r="F115" s="114"/>
      <c r="G115" s="114"/>
      <c r="H115" s="114"/>
      <c r="I115" s="114"/>
      <c r="J115" s="114"/>
      <c r="K115" s="114"/>
      <c r="L115" s="114"/>
      <c r="M115" s="114"/>
      <c r="N115" s="114"/>
      <c r="O115" s="114"/>
      <c r="P115" s="114"/>
      <c r="Q115" s="114"/>
      <c r="R115" s="114"/>
      <c r="S115" s="114"/>
      <c r="T115" s="114"/>
    </row>
    <row r="116" spans="1:20" ht="16.5" thickBot="1">
      <c r="A116" s="109" t="s">
        <v>437</v>
      </c>
    </row>
    <row r="117" spans="1:20" ht="13.5" thickBot="1">
      <c r="A117" s="110"/>
      <c r="B117" s="111">
        <v>2010</v>
      </c>
      <c r="C117" s="111">
        <v>2011</v>
      </c>
      <c r="D117" s="111">
        <v>2012</v>
      </c>
      <c r="E117" s="111">
        <v>2013</v>
      </c>
      <c r="F117" s="111">
        <v>2014</v>
      </c>
      <c r="G117" s="111">
        <v>2015</v>
      </c>
      <c r="H117" s="111">
        <v>2016</v>
      </c>
      <c r="I117" s="111">
        <v>2017</v>
      </c>
      <c r="J117" s="111">
        <v>2018</v>
      </c>
      <c r="K117" s="111">
        <v>2019</v>
      </c>
      <c r="L117" s="111">
        <v>2020</v>
      </c>
      <c r="M117" s="111">
        <v>2021</v>
      </c>
      <c r="N117" s="111">
        <v>2022</v>
      </c>
      <c r="O117" s="111">
        <v>2023</v>
      </c>
      <c r="P117" s="111">
        <v>2024</v>
      </c>
      <c r="Q117" s="111">
        <v>2025</v>
      </c>
      <c r="R117" s="111">
        <v>2026</v>
      </c>
      <c r="S117" s="111">
        <v>2027</v>
      </c>
      <c r="T117" s="111">
        <v>2028</v>
      </c>
    </row>
    <row r="118" spans="1:20">
      <c r="A118" s="2" t="s">
        <v>43</v>
      </c>
      <c r="B118" s="3">
        <f>B134+B150</f>
        <v>0</v>
      </c>
      <c r="C118" s="3">
        <f t="shared" ref="C118:T129" si="57">C134+C150</f>
        <v>3684420</v>
      </c>
      <c r="D118" s="3">
        <f t="shared" si="57"/>
        <v>866598</v>
      </c>
      <c r="E118" s="3">
        <f t="shared" si="57"/>
        <v>686300</v>
      </c>
      <c r="F118" s="3">
        <f t="shared" si="57"/>
        <v>398238</v>
      </c>
      <c r="G118" s="3">
        <f t="shared" si="57"/>
        <v>282285</v>
      </c>
      <c r="H118" s="3">
        <f t="shared" si="57"/>
        <v>400028</v>
      </c>
      <c r="I118" s="3">
        <f t="shared" si="57"/>
        <v>764322</v>
      </c>
      <c r="J118" s="3">
        <f t="shared" si="57"/>
        <v>547014</v>
      </c>
      <c r="K118" s="3">
        <f t="shared" si="57"/>
        <v>5068638</v>
      </c>
      <c r="L118" s="3">
        <f t="shared" si="57"/>
        <v>6842999</v>
      </c>
      <c r="M118" s="3">
        <f t="shared" si="57"/>
        <v>14795692</v>
      </c>
      <c r="N118" s="3">
        <f t="shared" si="57"/>
        <v>6834941</v>
      </c>
      <c r="O118" s="3">
        <f t="shared" si="57"/>
        <v>6219410</v>
      </c>
      <c r="P118" s="3">
        <f t="shared" si="57"/>
        <v>8841325</v>
      </c>
      <c r="Q118" s="3">
        <f t="shared" si="57"/>
        <v>9207214</v>
      </c>
      <c r="R118" s="4">
        <f t="shared" si="57"/>
        <v>10093808.954782281</v>
      </c>
      <c r="S118" s="4">
        <f t="shared" si="57"/>
        <v>10565003.84460867</v>
      </c>
      <c r="T118" s="4">
        <f t="shared" si="57"/>
        <v>11576503.990972506</v>
      </c>
    </row>
    <row r="119" spans="1:20">
      <c r="A119" s="2" t="s">
        <v>44</v>
      </c>
      <c r="B119" s="3">
        <f t="shared" ref="B119:K129" si="58">B135+B151</f>
        <v>0</v>
      </c>
      <c r="C119" s="3">
        <f t="shared" si="58"/>
        <v>1174330</v>
      </c>
      <c r="D119" s="3">
        <f t="shared" si="58"/>
        <v>2789811</v>
      </c>
      <c r="E119" s="3">
        <f t="shared" si="58"/>
        <v>991130</v>
      </c>
      <c r="F119" s="3">
        <f t="shared" si="58"/>
        <v>889583</v>
      </c>
      <c r="G119" s="3">
        <f t="shared" si="58"/>
        <v>664188</v>
      </c>
      <c r="H119" s="3">
        <f t="shared" si="58"/>
        <v>514031</v>
      </c>
      <c r="I119" s="3">
        <f t="shared" si="58"/>
        <v>607750</v>
      </c>
      <c r="J119" s="3">
        <f t="shared" si="58"/>
        <v>2448400</v>
      </c>
      <c r="K119" s="3">
        <f t="shared" si="58"/>
        <v>3991755</v>
      </c>
      <c r="L119" s="3">
        <f t="shared" si="57"/>
        <v>5699775</v>
      </c>
      <c r="M119" s="3">
        <f t="shared" si="57"/>
        <v>7619268</v>
      </c>
      <c r="N119" s="3">
        <f t="shared" si="57"/>
        <v>8015199</v>
      </c>
      <c r="O119" s="3">
        <f t="shared" si="57"/>
        <v>3567587</v>
      </c>
      <c r="P119" s="3">
        <f t="shared" si="57"/>
        <v>6689848</v>
      </c>
      <c r="Q119" s="3">
        <f t="shared" si="57"/>
        <v>7880637</v>
      </c>
      <c r="R119" s="4">
        <f t="shared" si="57"/>
        <v>7427103.9346280824</v>
      </c>
      <c r="S119" s="4">
        <f t="shared" si="57"/>
        <v>8611776.854861239</v>
      </c>
      <c r="T119" s="4">
        <f t="shared" si="57"/>
        <v>8806547.0051201452</v>
      </c>
    </row>
    <row r="120" spans="1:20">
      <c r="A120" s="2" t="s">
        <v>45</v>
      </c>
      <c r="B120" s="3">
        <f t="shared" si="58"/>
        <v>0</v>
      </c>
      <c r="C120" s="3">
        <f t="shared" si="58"/>
        <v>1244801</v>
      </c>
      <c r="D120" s="3">
        <f t="shared" si="58"/>
        <v>1068269</v>
      </c>
      <c r="E120" s="3">
        <f t="shared" si="58"/>
        <v>1180429</v>
      </c>
      <c r="F120" s="3">
        <f t="shared" si="58"/>
        <v>1255477</v>
      </c>
      <c r="G120" s="3">
        <f t="shared" si="58"/>
        <v>1192455</v>
      </c>
      <c r="H120" s="3">
        <f t="shared" si="58"/>
        <v>771330</v>
      </c>
      <c r="I120" s="3">
        <f t="shared" si="58"/>
        <v>778493</v>
      </c>
      <c r="J120" s="3">
        <f t="shared" si="58"/>
        <v>3862361</v>
      </c>
      <c r="K120" s="3">
        <f t="shared" si="58"/>
        <v>4887899</v>
      </c>
      <c r="L120" s="3">
        <f t="shared" si="57"/>
        <v>6056567</v>
      </c>
      <c r="M120" s="3">
        <f t="shared" si="57"/>
        <v>6912356</v>
      </c>
      <c r="N120" s="3">
        <f t="shared" si="57"/>
        <v>8123722</v>
      </c>
      <c r="O120" s="3">
        <f t="shared" si="57"/>
        <v>16637473</v>
      </c>
      <c r="P120" s="3">
        <f>P136+P152</f>
        <v>8984440</v>
      </c>
      <c r="Q120" s="3">
        <f t="shared" si="57"/>
        <v>11169549</v>
      </c>
      <c r="R120" s="4">
        <f>R136+R152</f>
        <v>11397678.966027984</v>
      </c>
      <c r="S120" s="4">
        <f>S136+S152</f>
        <v>14441585.035927288</v>
      </c>
      <c r="T120" s="4">
        <f>T136+T152</f>
        <v>16138373.971872132</v>
      </c>
    </row>
    <row r="121" spans="1:20">
      <c r="A121" s="2" t="s">
        <v>46</v>
      </c>
      <c r="B121" s="3">
        <f t="shared" si="58"/>
        <v>0</v>
      </c>
      <c r="C121" s="3">
        <f t="shared" si="58"/>
        <v>456418</v>
      </c>
      <c r="D121" s="3">
        <f t="shared" si="58"/>
        <v>629383</v>
      </c>
      <c r="E121" s="3">
        <f t="shared" si="58"/>
        <v>1104869</v>
      </c>
      <c r="F121" s="3">
        <f t="shared" si="58"/>
        <v>1562152</v>
      </c>
      <c r="G121" s="3">
        <f t="shared" si="58"/>
        <v>948725</v>
      </c>
      <c r="H121" s="3">
        <f t="shared" si="58"/>
        <v>664656</v>
      </c>
      <c r="I121" s="3">
        <f t="shared" si="58"/>
        <v>569609</v>
      </c>
      <c r="J121" s="3">
        <f t="shared" si="58"/>
        <v>1752259</v>
      </c>
      <c r="K121" s="3">
        <f t="shared" si="58"/>
        <v>5092649</v>
      </c>
      <c r="L121" s="3">
        <f t="shared" si="57"/>
        <v>5239801</v>
      </c>
      <c r="M121" s="3">
        <f t="shared" si="57"/>
        <v>5195137</v>
      </c>
      <c r="N121" s="3">
        <f t="shared" si="57"/>
        <v>8997114</v>
      </c>
      <c r="O121" s="3">
        <f t="shared" si="57"/>
        <v>8307574</v>
      </c>
      <c r="P121" s="3">
        <f t="shared" si="57"/>
        <v>6667458</v>
      </c>
      <c r="Q121" s="4">
        <f t="shared" si="57"/>
        <v>6467727.498761978</v>
      </c>
      <c r="R121" s="4">
        <f t="shared" si="57"/>
        <v>7836690.1410681447</v>
      </c>
      <c r="S121" s="4">
        <f t="shared" si="57"/>
        <v>9816127.2260135617</v>
      </c>
      <c r="T121" s="4">
        <f t="shared" si="57"/>
        <v>10073953.332270853</v>
      </c>
    </row>
    <row r="122" spans="1:20">
      <c r="A122" s="2" t="s">
        <v>47</v>
      </c>
      <c r="B122" s="3">
        <f t="shared" si="58"/>
        <v>0</v>
      </c>
      <c r="C122" s="3">
        <f t="shared" si="58"/>
        <v>7035448</v>
      </c>
      <c r="D122" s="3">
        <f t="shared" si="58"/>
        <v>694330</v>
      </c>
      <c r="E122" s="3">
        <f t="shared" si="58"/>
        <v>3103654</v>
      </c>
      <c r="F122" s="3">
        <f t="shared" si="58"/>
        <v>1294829</v>
      </c>
      <c r="G122" s="3">
        <f t="shared" si="58"/>
        <v>579818</v>
      </c>
      <c r="H122" s="3">
        <f t="shared" si="58"/>
        <v>525478</v>
      </c>
      <c r="I122" s="3">
        <f t="shared" si="58"/>
        <v>624485</v>
      </c>
      <c r="J122" s="3">
        <f t="shared" si="58"/>
        <v>731388</v>
      </c>
      <c r="K122" s="3">
        <f t="shared" si="58"/>
        <v>5896000</v>
      </c>
      <c r="L122" s="3">
        <f t="shared" si="57"/>
        <v>7235406</v>
      </c>
      <c r="M122" s="3">
        <f t="shared" si="57"/>
        <v>3789479</v>
      </c>
      <c r="N122" s="3">
        <f t="shared" si="57"/>
        <v>14761731</v>
      </c>
      <c r="O122" s="3">
        <f t="shared" si="57"/>
        <v>12139595</v>
      </c>
      <c r="P122" s="3">
        <f t="shared" si="57"/>
        <v>2427093</v>
      </c>
      <c r="Q122" s="4">
        <f t="shared" si="57"/>
        <v>7585478.2056948012</v>
      </c>
      <c r="R122" s="4">
        <f t="shared" si="57"/>
        <v>8951302.2261874862</v>
      </c>
      <c r="S122" s="4">
        <f t="shared" si="57"/>
        <v>11762252.97111107</v>
      </c>
      <c r="T122" s="4">
        <f t="shared" si="57"/>
        <v>11045425.528067159</v>
      </c>
    </row>
    <row r="123" spans="1:20">
      <c r="A123" s="2" t="s">
        <v>48</v>
      </c>
      <c r="B123" s="3">
        <f t="shared" si="58"/>
        <v>0</v>
      </c>
      <c r="C123" s="3">
        <f t="shared" si="58"/>
        <v>1355410</v>
      </c>
      <c r="D123" s="3">
        <f t="shared" si="58"/>
        <v>861636</v>
      </c>
      <c r="E123" s="3">
        <f t="shared" si="58"/>
        <v>9615657</v>
      </c>
      <c r="F123" s="3">
        <f t="shared" si="58"/>
        <v>1320737</v>
      </c>
      <c r="G123" s="3">
        <f t="shared" si="58"/>
        <v>924880</v>
      </c>
      <c r="H123" s="3">
        <f t="shared" si="58"/>
        <v>894389</v>
      </c>
      <c r="I123" s="3">
        <f t="shared" si="58"/>
        <v>632684</v>
      </c>
      <c r="J123" s="3">
        <f t="shared" si="58"/>
        <v>1582201</v>
      </c>
      <c r="K123" s="3">
        <f t="shared" si="58"/>
        <v>4208159</v>
      </c>
      <c r="L123" s="3">
        <f t="shared" si="57"/>
        <v>5700196</v>
      </c>
      <c r="M123" s="3">
        <f t="shared" si="57"/>
        <v>7142618</v>
      </c>
      <c r="N123" s="3">
        <f t="shared" si="57"/>
        <v>7781980</v>
      </c>
      <c r="O123" s="3">
        <f t="shared" si="57"/>
        <v>16652119</v>
      </c>
      <c r="P123" s="3">
        <f t="shared" si="57"/>
        <v>10522701</v>
      </c>
      <c r="Q123" s="4">
        <f t="shared" si="57"/>
        <v>8985210.8486692179</v>
      </c>
      <c r="R123" s="4">
        <f t="shared" si="57"/>
        <v>11234300.91346411</v>
      </c>
      <c r="S123" s="4">
        <f t="shared" si="57"/>
        <v>14150113.076121492</v>
      </c>
      <c r="T123" s="4">
        <f t="shared" si="57"/>
        <v>15858466.226602003</v>
      </c>
    </row>
    <row r="124" spans="1:20">
      <c r="A124" s="2" t="s">
        <v>49</v>
      </c>
      <c r="B124" s="3">
        <f t="shared" si="58"/>
        <v>531710</v>
      </c>
      <c r="C124" s="3">
        <f t="shared" si="58"/>
        <v>1350302</v>
      </c>
      <c r="D124" s="3">
        <f t="shared" si="58"/>
        <v>913089</v>
      </c>
      <c r="E124" s="3">
        <f t="shared" si="58"/>
        <v>7407732</v>
      </c>
      <c r="F124" s="3">
        <f t="shared" si="58"/>
        <v>2353270</v>
      </c>
      <c r="G124" s="3">
        <f t="shared" si="58"/>
        <v>809509</v>
      </c>
      <c r="H124" s="3">
        <f t="shared" si="58"/>
        <v>722828</v>
      </c>
      <c r="I124" s="3">
        <f t="shared" si="58"/>
        <v>877870</v>
      </c>
      <c r="J124" s="3">
        <f t="shared" si="58"/>
        <v>4232694</v>
      </c>
      <c r="K124" s="3">
        <f t="shared" si="58"/>
        <v>5275161</v>
      </c>
      <c r="L124" s="3">
        <f t="shared" si="57"/>
        <v>6161891</v>
      </c>
      <c r="M124" s="3">
        <f t="shared" si="57"/>
        <v>8915768</v>
      </c>
      <c r="N124" s="3">
        <f t="shared" si="57"/>
        <v>8137445</v>
      </c>
      <c r="O124" s="3">
        <f t="shared" si="57"/>
        <v>7542907</v>
      </c>
      <c r="P124" s="3">
        <f t="shared" si="57"/>
        <v>11537395</v>
      </c>
      <c r="Q124" s="4">
        <f t="shared" si="57"/>
        <v>7950547.7400329066</v>
      </c>
      <c r="R124" s="4">
        <f t="shared" si="57"/>
        <v>9694767.8304757625</v>
      </c>
      <c r="S124" s="4">
        <f t="shared" si="57"/>
        <v>11505252.556951363</v>
      </c>
      <c r="T124" s="4">
        <f t="shared" si="57"/>
        <v>12427890.881371906</v>
      </c>
    </row>
    <row r="125" spans="1:20">
      <c r="A125" s="2" t="s">
        <v>50</v>
      </c>
      <c r="B125" s="3">
        <f t="shared" si="58"/>
        <v>1226079</v>
      </c>
      <c r="C125" s="3">
        <f t="shared" si="58"/>
        <v>1890072</v>
      </c>
      <c r="D125" s="3">
        <f t="shared" si="58"/>
        <v>2096952</v>
      </c>
      <c r="E125" s="3">
        <f t="shared" si="58"/>
        <v>10822957</v>
      </c>
      <c r="F125" s="3">
        <f t="shared" si="58"/>
        <v>830625</v>
      </c>
      <c r="G125" s="3">
        <f t="shared" si="58"/>
        <v>756561</v>
      </c>
      <c r="H125" s="3">
        <f t="shared" si="58"/>
        <v>807185</v>
      </c>
      <c r="I125" s="3">
        <f t="shared" si="58"/>
        <v>748391</v>
      </c>
      <c r="J125" s="3">
        <f t="shared" si="58"/>
        <v>3635368</v>
      </c>
      <c r="K125" s="3">
        <f t="shared" si="58"/>
        <v>6142589</v>
      </c>
      <c r="L125" s="3">
        <f t="shared" si="57"/>
        <v>6246934</v>
      </c>
      <c r="M125" s="3">
        <f t="shared" si="57"/>
        <v>13159185</v>
      </c>
      <c r="N125" s="3">
        <f t="shared" si="57"/>
        <v>12327962</v>
      </c>
      <c r="O125" s="3">
        <f t="shared" si="57"/>
        <v>13725429</v>
      </c>
      <c r="P125" s="3">
        <f t="shared" si="57"/>
        <v>15069221</v>
      </c>
      <c r="Q125" s="4">
        <f t="shared" si="57"/>
        <v>11377987.38489823</v>
      </c>
      <c r="R125" s="4">
        <f t="shared" si="57"/>
        <v>14439602.991997978</v>
      </c>
      <c r="S125" s="4">
        <f t="shared" si="57"/>
        <v>17166993.922056004</v>
      </c>
      <c r="T125" s="4">
        <f t="shared" si="57"/>
        <v>18495715.308817431</v>
      </c>
    </row>
    <row r="126" spans="1:20">
      <c r="A126" s="2" t="s">
        <v>51</v>
      </c>
      <c r="B126" s="3">
        <f t="shared" si="58"/>
        <v>1605551</v>
      </c>
      <c r="C126" s="3">
        <f t="shared" si="58"/>
        <v>3085921</v>
      </c>
      <c r="D126" s="3">
        <f t="shared" si="58"/>
        <v>1768113</v>
      </c>
      <c r="E126" s="3">
        <f t="shared" si="58"/>
        <v>13384264</v>
      </c>
      <c r="F126" s="3">
        <f t="shared" si="58"/>
        <v>1064210</v>
      </c>
      <c r="G126" s="3">
        <f t="shared" si="58"/>
        <v>629597</v>
      </c>
      <c r="H126" s="3">
        <f t="shared" si="58"/>
        <v>603291</v>
      </c>
      <c r="I126" s="3">
        <f t="shared" si="58"/>
        <v>651274</v>
      </c>
      <c r="J126" s="3">
        <f t="shared" si="58"/>
        <v>6171296</v>
      </c>
      <c r="K126" s="3">
        <f t="shared" si="58"/>
        <v>5166656</v>
      </c>
      <c r="L126" s="3">
        <f t="shared" si="57"/>
        <v>5578611</v>
      </c>
      <c r="M126" s="3">
        <f t="shared" si="57"/>
        <v>9901919</v>
      </c>
      <c r="N126" s="3">
        <f t="shared" si="57"/>
        <v>15122570</v>
      </c>
      <c r="O126" s="3">
        <f t="shared" si="57"/>
        <v>12584252</v>
      </c>
      <c r="P126" s="3">
        <f t="shared" si="57"/>
        <v>11578932</v>
      </c>
      <c r="Q126" s="4">
        <f t="shared" si="57"/>
        <v>10294781.786736164</v>
      </c>
      <c r="R126" s="4">
        <f t="shared" si="57"/>
        <v>13081112.688012902</v>
      </c>
      <c r="S126" s="4">
        <f t="shared" si="57"/>
        <v>16069748.025284462</v>
      </c>
      <c r="T126" s="4">
        <f t="shared" si="57"/>
        <v>16390405.520811321</v>
      </c>
    </row>
    <row r="127" spans="1:20">
      <c r="A127" s="2" t="s">
        <v>52</v>
      </c>
      <c r="B127" s="3">
        <f t="shared" si="58"/>
        <v>2354841</v>
      </c>
      <c r="C127" s="3">
        <f t="shared" si="58"/>
        <v>1886117</v>
      </c>
      <c r="D127" s="3">
        <f t="shared" si="58"/>
        <v>1902948</v>
      </c>
      <c r="E127" s="3">
        <f t="shared" si="58"/>
        <v>13393775</v>
      </c>
      <c r="F127" s="3">
        <f t="shared" si="58"/>
        <v>1432327</v>
      </c>
      <c r="G127" s="3">
        <f t="shared" si="58"/>
        <v>640336</v>
      </c>
      <c r="H127" s="3">
        <f t="shared" si="58"/>
        <v>903074</v>
      </c>
      <c r="I127" s="3">
        <f t="shared" si="58"/>
        <v>552750</v>
      </c>
      <c r="J127" s="3">
        <f t="shared" si="58"/>
        <v>5269287</v>
      </c>
      <c r="K127" s="3">
        <f t="shared" si="58"/>
        <v>3360549</v>
      </c>
      <c r="L127" s="3">
        <f t="shared" si="57"/>
        <v>7392026</v>
      </c>
      <c r="M127" s="3">
        <f t="shared" si="57"/>
        <v>8653829</v>
      </c>
      <c r="N127" s="3">
        <f t="shared" si="57"/>
        <v>9674462</v>
      </c>
      <c r="O127" s="3">
        <f t="shared" si="57"/>
        <v>11737344</v>
      </c>
      <c r="P127" s="3">
        <f t="shared" si="57"/>
        <v>8689082</v>
      </c>
      <c r="Q127" s="4">
        <f t="shared" si="57"/>
        <v>8674509.7078919411</v>
      </c>
      <c r="R127" s="4">
        <f t="shared" si="57"/>
        <v>10430421.395217668</v>
      </c>
      <c r="S127" s="4">
        <f t="shared" si="57"/>
        <v>12618964.477181345</v>
      </c>
      <c r="T127" s="4">
        <f t="shared" si="57"/>
        <v>13437835.361579444</v>
      </c>
    </row>
    <row r="128" spans="1:20">
      <c r="A128" s="2" t="s">
        <v>53</v>
      </c>
      <c r="B128" s="3">
        <f t="shared" si="58"/>
        <v>3058663</v>
      </c>
      <c r="C128" s="3">
        <f t="shared" si="58"/>
        <v>2478929</v>
      </c>
      <c r="D128" s="3">
        <f t="shared" si="58"/>
        <v>3238603</v>
      </c>
      <c r="E128" s="3">
        <f t="shared" si="58"/>
        <v>7514810</v>
      </c>
      <c r="F128" s="3">
        <f t="shared" si="58"/>
        <v>882991</v>
      </c>
      <c r="G128" s="3">
        <f t="shared" si="58"/>
        <v>529233</v>
      </c>
      <c r="H128" s="3">
        <f t="shared" si="58"/>
        <v>651990</v>
      </c>
      <c r="I128" s="3">
        <f t="shared" si="58"/>
        <v>1015708</v>
      </c>
      <c r="J128" s="3">
        <f t="shared" si="58"/>
        <v>5871294</v>
      </c>
      <c r="K128" s="3">
        <f t="shared" si="58"/>
        <v>4070997</v>
      </c>
      <c r="L128" s="3">
        <f t="shared" si="57"/>
        <v>10084263</v>
      </c>
      <c r="M128" s="3">
        <f t="shared" si="57"/>
        <v>1281287</v>
      </c>
      <c r="N128" s="3">
        <f t="shared" si="57"/>
        <v>13773827</v>
      </c>
      <c r="O128" s="3">
        <f t="shared" si="57"/>
        <v>7494912</v>
      </c>
      <c r="P128" s="3">
        <f t="shared" si="57"/>
        <v>12209483</v>
      </c>
      <c r="Q128" s="4">
        <f t="shared" si="57"/>
        <v>8429581.4290647078</v>
      </c>
      <c r="R128" s="4">
        <f t="shared" si="57"/>
        <v>9497949.4661965929</v>
      </c>
      <c r="S128" s="4">
        <f t="shared" si="57"/>
        <v>13183143.02914956</v>
      </c>
      <c r="T128" s="4">
        <f t="shared" si="57"/>
        <v>13093774.13826471</v>
      </c>
    </row>
    <row r="129" spans="1:20">
      <c r="A129" s="2" t="s">
        <v>54</v>
      </c>
      <c r="B129" s="3">
        <f t="shared" si="58"/>
        <v>3994602</v>
      </c>
      <c r="C129" s="3">
        <f t="shared" si="58"/>
        <v>1562774</v>
      </c>
      <c r="D129" s="3">
        <f t="shared" si="58"/>
        <v>3703141</v>
      </c>
      <c r="E129" s="3">
        <f t="shared" si="58"/>
        <v>966904</v>
      </c>
      <c r="F129" s="3">
        <f t="shared" si="58"/>
        <v>1344089</v>
      </c>
      <c r="G129" s="3">
        <f t="shared" si="58"/>
        <v>508036</v>
      </c>
      <c r="H129" s="3">
        <f t="shared" si="58"/>
        <v>473946</v>
      </c>
      <c r="I129" s="3">
        <f t="shared" si="58"/>
        <v>926969</v>
      </c>
      <c r="J129" s="3">
        <f t="shared" si="58"/>
        <v>4029853</v>
      </c>
      <c r="K129" s="3">
        <f t="shared" si="58"/>
        <v>5138429</v>
      </c>
      <c r="L129" s="3">
        <f t="shared" si="57"/>
        <v>13775887</v>
      </c>
      <c r="M129" s="3">
        <f t="shared" si="57"/>
        <v>18789642</v>
      </c>
      <c r="N129" s="3">
        <f t="shared" si="57"/>
        <v>15593063</v>
      </c>
      <c r="O129" s="3">
        <f t="shared" si="57"/>
        <v>6065288</v>
      </c>
      <c r="P129" s="3">
        <f t="shared" si="57"/>
        <v>10915294</v>
      </c>
      <c r="Q129" s="4">
        <f t="shared" si="57"/>
        <v>6890425.1346868984</v>
      </c>
      <c r="R129" s="4">
        <f t="shared" si="57"/>
        <v>12810893.254225783</v>
      </c>
      <c r="S129" s="4">
        <f t="shared" si="57"/>
        <v>13406054.402387913</v>
      </c>
      <c r="T129" s="4">
        <f t="shared" si="57"/>
        <v>12906414.434352353</v>
      </c>
    </row>
    <row r="130" spans="1:20" ht="13.5" thickBot="1">
      <c r="A130" s="2" t="s">
        <v>29</v>
      </c>
      <c r="B130" s="3">
        <f t="shared" ref="B130:O130" si="59">SUM(B118:B129)</f>
        <v>12771446</v>
      </c>
      <c r="C130" s="3">
        <f t="shared" si="59"/>
        <v>27204942</v>
      </c>
      <c r="D130" s="3">
        <f t="shared" si="59"/>
        <v>20532873</v>
      </c>
      <c r="E130" s="3">
        <f t="shared" si="59"/>
        <v>70172481</v>
      </c>
      <c r="F130" s="3">
        <f t="shared" si="59"/>
        <v>14628528</v>
      </c>
      <c r="G130" s="3">
        <f t="shared" si="59"/>
        <v>8465623</v>
      </c>
      <c r="H130" s="3">
        <f t="shared" si="59"/>
        <v>7932226</v>
      </c>
      <c r="I130" s="3">
        <f t="shared" si="59"/>
        <v>8750305</v>
      </c>
      <c r="J130" s="3">
        <f t="shared" si="59"/>
        <v>40133415</v>
      </c>
      <c r="K130" s="3">
        <f t="shared" si="59"/>
        <v>58299481</v>
      </c>
      <c r="L130" s="3">
        <f t="shared" si="59"/>
        <v>86014356</v>
      </c>
      <c r="M130" s="3">
        <f t="shared" si="59"/>
        <v>106156180</v>
      </c>
      <c r="N130" s="3">
        <f t="shared" si="59"/>
        <v>129144016</v>
      </c>
      <c r="O130" s="3">
        <f t="shared" si="59"/>
        <v>122673890</v>
      </c>
      <c r="P130" s="3">
        <f>SUM(P118:P129)</f>
        <v>114132272</v>
      </c>
      <c r="Q130" s="4">
        <f>SUM(Q118:Q129)</f>
        <v>104913649.73643684</v>
      </c>
      <c r="R130" s="4">
        <f>SUM(R118:R129)</f>
        <v>126895632.76228479</v>
      </c>
      <c r="S130" s="4">
        <f>SUM(S118:S129)</f>
        <v>153297015.42165399</v>
      </c>
      <c r="T130" s="4">
        <f>SUM(T118:T129)</f>
        <v>160251305.70010197</v>
      </c>
    </row>
    <row r="131" spans="1:20">
      <c r="A131" s="114"/>
      <c r="B131" s="114"/>
      <c r="C131" s="114"/>
      <c r="D131" s="114"/>
      <c r="E131" s="114"/>
      <c r="F131" s="114"/>
      <c r="G131" s="114"/>
      <c r="H131" s="114"/>
      <c r="I131" s="114"/>
      <c r="J131" s="114"/>
      <c r="K131" s="114"/>
      <c r="L131" s="114"/>
      <c r="M131" s="114"/>
      <c r="N131" s="114"/>
      <c r="O131" s="114"/>
      <c r="P131" s="114"/>
      <c r="Q131" s="114"/>
      <c r="R131" s="114"/>
      <c r="S131" s="114"/>
      <c r="T131" s="114"/>
    </row>
    <row r="132" spans="1:20" ht="16.5" thickBot="1">
      <c r="A132" s="109" t="s">
        <v>438</v>
      </c>
    </row>
    <row r="133" spans="1:20" ht="13.5" thickBot="1">
      <c r="A133" s="110"/>
      <c r="B133" s="111">
        <v>2010</v>
      </c>
      <c r="C133" s="111">
        <v>2011</v>
      </c>
      <c r="D133" s="111">
        <v>2012</v>
      </c>
      <c r="E133" s="111">
        <v>2013</v>
      </c>
      <c r="F133" s="111">
        <v>2014</v>
      </c>
      <c r="G133" s="111">
        <v>2015</v>
      </c>
      <c r="H133" s="111">
        <v>2016</v>
      </c>
      <c r="I133" s="111">
        <v>2017</v>
      </c>
      <c r="J133" s="111">
        <v>2018</v>
      </c>
      <c r="K133" s="111">
        <v>2019</v>
      </c>
      <c r="L133" s="111">
        <v>2020</v>
      </c>
      <c r="M133" s="111">
        <v>2021</v>
      </c>
      <c r="N133" s="111">
        <v>2022</v>
      </c>
      <c r="O133" s="111">
        <v>2023</v>
      </c>
      <c r="P133" s="111">
        <v>2024</v>
      </c>
      <c r="Q133" s="111">
        <v>2025</v>
      </c>
      <c r="R133" s="111">
        <v>2026</v>
      </c>
      <c r="S133" s="111">
        <v>2027</v>
      </c>
      <c r="T133" s="111">
        <v>2028</v>
      </c>
    </row>
    <row r="134" spans="1:20">
      <c r="A134" s="2" t="s">
        <v>43</v>
      </c>
      <c r="B134" s="3">
        <f>'Monthly D5 RIN Data'!$Z4</f>
        <v>0</v>
      </c>
      <c r="C134" s="3">
        <f>'Monthly D5 RIN Data'!$Z16</f>
        <v>2932800</v>
      </c>
      <c r="D134" s="3">
        <f>'Monthly D5 RIN Data'!$Z28</f>
        <v>80752</v>
      </c>
      <c r="E134" s="3">
        <f>'Monthly D5 RIN Data'!$Z40</f>
        <v>1989</v>
      </c>
      <c r="F134" s="3">
        <f>'Monthly D5 RIN Data'!$Z52</f>
        <v>0</v>
      </c>
      <c r="G134" s="3">
        <f>'Monthly D5 RIN Data'!$Z64</f>
        <v>0</v>
      </c>
      <c r="H134" s="3">
        <f>'Monthly D5 RIN Data'!$Z76</f>
        <v>0</v>
      </c>
      <c r="I134" s="3">
        <f>'Monthly D5 RIN Data'!$Z88</f>
        <v>0</v>
      </c>
      <c r="J134" s="3">
        <f>'Monthly D5 RIN Data'!$Z100</f>
        <v>0</v>
      </c>
      <c r="K134" s="3">
        <f>'Monthly D5 RIN Data'!$Z112</f>
        <v>0</v>
      </c>
      <c r="L134" s="3">
        <f>'Monthly D5 RIN Data'!$Z124</f>
        <v>0</v>
      </c>
      <c r="M134" s="3">
        <f>'Monthly D5 RIN Data'!$Z136</f>
        <v>0</v>
      </c>
      <c r="N134" s="3">
        <f>'Monthly D5 RIN Data'!$Z148</f>
        <v>0</v>
      </c>
      <c r="O134" s="3">
        <f>'Monthly D5 RIN Data'!$Z160</f>
        <v>0</v>
      </c>
      <c r="P134" s="3">
        <f>'Monthly D5 RIN Data'!$Z172</f>
        <v>0</v>
      </c>
      <c r="Q134" s="3">
        <f>'Monthly D5 RIN Data'!$Z184</f>
        <v>0</v>
      </c>
      <c r="R134" s="4">
        <f>'D5 Gallon Forecast'!R136</f>
        <v>0</v>
      </c>
      <c r="S134" s="4">
        <f>'D5 Gallon Forecast'!S136</f>
        <v>0</v>
      </c>
      <c r="T134" s="4">
        <f>'D5 Gallon Forecast'!T136</f>
        <v>0</v>
      </c>
    </row>
    <row r="135" spans="1:20">
      <c r="A135" s="2" t="s">
        <v>44</v>
      </c>
      <c r="B135" s="3">
        <f>'Monthly D5 RIN Data'!$Z5</f>
        <v>0</v>
      </c>
      <c r="C135" s="3">
        <f>'Monthly D5 RIN Data'!$Z17</f>
        <v>945629</v>
      </c>
      <c r="D135" s="3">
        <f>'Monthly D5 RIN Data'!$Z29</f>
        <v>2225421</v>
      </c>
      <c r="E135" s="3">
        <f>'Monthly D5 RIN Data'!$Z41</f>
        <v>2787</v>
      </c>
      <c r="F135" s="3">
        <f>'Monthly D5 RIN Data'!$Z53</f>
        <v>480</v>
      </c>
      <c r="G135" s="3">
        <f>'Monthly D5 RIN Data'!$Z65</f>
        <v>0</v>
      </c>
      <c r="H135" s="3">
        <f>'Monthly D5 RIN Data'!$Z77</f>
        <v>0</v>
      </c>
      <c r="I135" s="3">
        <f>'Monthly D5 RIN Data'!$Z89</f>
        <v>0</v>
      </c>
      <c r="J135" s="3">
        <f>'Monthly D5 RIN Data'!$Z101</f>
        <v>0</v>
      </c>
      <c r="K135" s="3">
        <f>'Monthly D5 RIN Data'!$Z113</f>
        <v>0</v>
      </c>
      <c r="L135" s="3">
        <f>'Monthly D5 RIN Data'!$Z125</f>
        <v>0</v>
      </c>
      <c r="M135" s="3">
        <f>'Monthly D5 RIN Data'!$Z137</f>
        <v>0</v>
      </c>
      <c r="N135" s="3">
        <f>'Monthly D5 RIN Data'!$Z149</f>
        <v>0</v>
      </c>
      <c r="O135" s="3">
        <f>'Monthly D5 RIN Data'!$Z161</f>
        <v>0</v>
      </c>
      <c r="P135" s="3">
        <f>'Monthly D5 RIN Data'!$Z173</f>
        <v>0</v>
      </c>
      <c r="Q135" s="3">
        <f>'Monthly D5 RIN Data'!$Z185</f>
        <v>0</v>
      </c>
      <c r="R135" s="4">
        <f>'D5 Gallon Forecast'!R137</f>
        <v>0</v>
      </c>
      <c r="S135" s="4">
        <f>'D5 Gallon Forecast'!S137</f>
        <v>0</v>
      </c>
      <c r="T135" s="4">
        <f>'D5 Gallon Forecast'!T137</f>
        <v>0</v>
      </c>
    </row>
    <row r="136" spans="1:20">
      <c r="A136" s="2" t="s">
        <v>45</v>
      </c>
      <c r="B136" s="3">
        <f>'Monthly D5 RIN Data'!$Z6</f>
        <v>0</v>
      </c>
      <c r="C136" s="3">
        <f>'Monthly D5 RIN Data'!$Z18</f>
        <v>891421</v>
      </c>
      <c r="D136" s="3">
        <f>'Monthly D5 RIN Data'!$Z30</f>
        <v>579905</v>
      </c>
      <c r="E136" s="3">
        <f>'Monthly D5 RIN Data'!$Z42</f>
        <v>2683</v>
      </c>
      <c r="F136" s="3">
        <f>'Monthly D5 RIN Data'!$Z54</f>
        <v>0</v>
      </c>
      <c r="G136" s="3">
        <f>'Monthly D5 RIN Data'!$Z66</f>
        <v>0</v>
      </c>
      <c r="H136" s="3">
        <f>'Monthly D5 RIN Data'!$Z78</f>
        <v>0</v>
      </c>
      <c r="I136" s="3">
        <f>'Monthly D5 RIN Data'!$Z90</f>
        <v>0</v>
      </c>
      <c r="J136" s="3">
        <f>'Monthly D5 RIN Data'!$Z102</f>
        <v>0</v>
      </c>
      <c r="K136" s="3">
        <f>'Monthly D5 RIN Data'!$Z114</f>
        <v>0</v>
      </c>
      <c r="L136" s="3">
        <f>'Monthly D5 RIN Data'!$Z126</f>
        <v>0</v>
      </c>
      <c r="M136" s="3">
        <f>'Monthly D5 RIN Data'!$Z138</f>
        <v>0</v>
      </c>
      <c r="N136" s="3">
        <f>'Monthly D5 RIN Data'!$Z150</f>
        <v>0</v>
      </c>
      <c r="O136" s="3">
        <f>'Monthly D5 RIN Data'!$Z162</f>
        <v>0</v>
      </c>
      <c r="P136" s="3">
        <f>'Monthly D5 RIN Data'!$Z174</f>
        <v>0</v>
      </c>
      <c r="Q136" s="3">
        <f>'Monthly D5 RIN Data'!$Z186</f>
        <v>0</v>
      </c>
      <c r="R136" s="4">
        <f>'D5 Gallon Forecast'!R138</f>
        <v>0</v>
      </c>
      <c r="S136" s="4">
        <f>'D5 Gallon Forecast'!S138</f>
        <v>0</v>
      </c>
      <c r="T136" s="4">
        <f>'D5 Gallon Forecast'!T138</f>
        <v>0</v>
      </c>
    </row>
    <row r="137" spans="1:20">
      <c r="A137" s="2" t="s">
        <v>46</v>
      </c>
      <c r="B137" s="3">
        <f>'Monthly D5 RIN Data'!$Z7</f>
        <v>0</v>
      </c>
      <c r="C137" s="3">
        <f>'Monthly D5 RIN Data'!$Z19</f>
        <v>303601</v>
      </c>
      <c r="D137" s="3">
        <f>'Monthly D5 RIN Data'!$Z31</f>
        <v>2080</v>
      </c>
      <c r="E137" s="3">
        <f>'Monthly D5 RIN Data'!$Z43</f>
        <v>2080</v>
      </c>
      <c r="F137" s="3">
        <f>'Monthly D5 RIN Data'!$Z55</f>
        <v>0</v>
      </c>
      <c r="G137" s="3">
        <f>'Monthly D5 RIN Data'!$Z67</f>
        <v>0</v>
      </c>
      <c r="H137" s="3">
        <f>'Monthly D5 RIN Data'!$Z79</f>
        <v>0</v>
      </c>
      <c r="I137" s="3">
        <f>'Monthly D5 RIN Data'!$Z91</f>
        <v>0</v>
      </c>
      <c r="J137" s="3">
        <f>'Monthly D5 RIN Data'!$Z103</f>
        <v>0</v>
      </c>
      <c r="K137" s="3">
        <f>'Monthly D5 RIN Data'!$Z115</f>
        <v>0</v>
      </c>
      <c r="L137" s="3">
        <f>'Monthly D5 RIN Data'!$Z127</f>
        <v>0</v>
      </c>
      <c r="M137" s="3">
        <f>'Monthly D5 RIN Data'!$Z139</f>
        <v>0</v>
      </c>
      <c r="N137" s="3">
        <f>'Monthly D5 RIN Data'!$Z151</f>
        <v>0</v>
      </c>
      <c r="O137" s="3">
        <f>'Monthly D5 RIN Data'!$Z163</f>
        <v>0</v>
      </c>
      <c r="P137" s="3">
        <f>'Monthly D5 RIN Data'!$Z175</f>
        <v>0</v>
      </c>
      <c r="Q137" s="4">
        <f>'D5 Gallon Forecast'!Q139</f>
        <v>0</v>
      </c>
      <c r="R137" s="4">
        <f>'D5 Gallon Forecast'!R139</f>
        <v>0</v>
      </c>
      <c r="S137" s="4">
        <f>'D5 Gallon Forecast'!S139</f>
        <v>0</v>
      </c>
      <c r="T137" s="4">
        <f>'D5 Gallon Forecast'!T139</f>
        <v>0</v>
      </c>
    </row>
    <row r="138" spans="1:20">
      <c r="A138" s="2" t="s">
        <v>47</v>
      </c>
      <c r="B138" s="3">
        <f>'Monthly D5 RIN Data'!$Z8</f>
        <v>0</v>
      </c>
      <c r="C138" s="3">
        <f>'Monthly D5 RIN Data'!$Z20</f>
        <v>6585611</v>
      </c>
      <c r="D138" s="3">
        <f>'Monthly D5 RIN Data'!$Z32</f>
        <v>2000</v>
      </c>
      <c r="E138" s="3">
        <f>'Monthly D5 RIN Data'!$Z44</f>
        <v>1680</v>
      </c>
      <c r="F138" s="3">
        <f>'Monthly D5 RIN Data'!$Z56</f>
        <v>0</v>
      </c>
      <c r="G138" s="3">
        <f>'Monthly D5 RIN Data'!$Z68</f>
        <v>0</v>
      </c>
      <c r="H138" s="3">
        <f>'Monthly D5 RIN Data'!$Z80</f>
        <v>0</v>
      </c>
      <c r="I138" s="3">
        <f>'Monthly D5 RIN Data'!$Z92</f>
        <v>0</v>
      </c>
      <c r="J138" s="3">
        <f>'Monthly D5 RIN Data'!$Z104</f>
        <v>0</v>
      </c>
      <c r="K138" s="3">
        <f>'Monthly D5 RIN Data'!$Z116</f>
        <v>0</v>
      </c>
      <c r="L138" s="3">
        <f>'Monthly D5 RIN Data'!$Z128</f>
        <v>0</v>
      </c>
      <c r="M138" s="3">
        <f>'Monthly D5 RIN Data'!$Z140</f>
        <v>0</v>
      </c>
      <c r="N138" s="3">
        <f>'Monthly D5 RIN Data'!$Z152</f>
        <v>0</v>
      </c>
      <c r="O138" s="3">
        <f>'Monthly D5 RIN Data'!$Z164</f>
        <v>0</v>
      </c>
      <c r="P138" s="3">
        <f>'Monthly D5 RIN Data'!$Z176</f>
        <v>0</v>
      </c>
      <c r="Q138" s="4">
        <f>'D5 Gallon Forecast'!Q140</f>
        <v>0</v>
      </c>
      <c r="R138" s="4">
        <f>'D5 Gallon Forecast'!R140</f>
        <v>0</v>
      </c>
      <c r="S138" s="4">
        <f>'D5 Gallon Forecast'!S140</f>
        <v>0</v>
      </c>
      <c r="T138" s="4">
        <f>'D5 Gallon Forecast'!T140</f>
        <v>0</v>
      </c>
    </row>
    <row r="139" spans="1:20">
      <c r="A139" s="2" t="s">
        <v>48</v>
      </c>
      <c r="B139" s="3">
        <f>'Monthly D5 RIN Data'!$Z9</f>
        <v>0</v>
      </c>
      <c r="C139" s="3">
        <f>'Monthly D5 RIN Data'!$Z21</f>
        <v>626298</v>
      </c>
      <c r="D139" s="3">
        <f>'Monthly D5 RIN Data'!$Z33</f>
        <v>97677</v>
      </c>
      <c r="E139" s="3">
        <f>'Monthly D5 RIN Data'!$Z45</f>
        <v>2000</v>
      </c>
      <c r="F139" s="3">
        <f>'Monthly D5 RIN Data'!$Z57</f>
        <v>0</v>
      </c>
      <c r="G139" s="3">
        <f>'Monthly D5 RIN Data'!$Z69</f>
        <v>0</v>
      </c>
      <c r="H139" s="3">
        <f>'Monthly D5 RIN Data'!$Z81</f>
        <v>0</v>
      </c>
      <c r="I139" s="3">
        <f>'Monthly D5 RIN Data'!$Z93</f>
        <v>0</v>
      </c>
      <c r="J139" s="3">
        <f>'Monthly D5 RIN Data'!$Z105</f>
        <v>0</v>
      </c>
      <c r="K139" s="3">
        <f>'Monthly D5 RIN Data'!$Z117</f>
        <v>0</v>
      </c>
      <c r="L139" s="3">
        <f>'Monthly D5 RIN Data'!$Z129</f>
        <v>0</v>
      </c>
      <c r="M139" s="3">
        <f>'Monthly D5 RIN Data'!$Z141</f>
        <v>0</v>
      </c>
      <c r="N139" s="3">
        <f>'Monthly D5 RIN Data'!$Z153</f>
        <v>0</v>
      </c>
      <c r="O139" s="3">
        <f>'Monthly D5 RIN Data'!$Z165</f>
        <v>0</v>
      </c>
      <c r="P139" s="3">
        <f>'Monthly D5 RIN Data'!$Z177</f>
        <v>0</v>
      </c>
      <c r="Q139" s="4">
        <f>'D5 Gallon Forecast'!Q141</f>
        <v>0</v>
      </c>
      <c r="R139" s="4">
        <f>'D5 Gallon Forecast'!R141</f>
        <v>0</v>
      </c>
      <c r="S139" s="4">
        <f>'D5 Gallon Forecast'!S141</f>
        <v>0</v>
      </c>
      <c r="T139" s="4">
        <f>'D5 Gallon Forecast'!T141</f>
        <v>0</v>
      </c>
    </row>
    <row r="140" spans="1:20">
      <c r="A140" s="2" t="s">
        <v>49</v>
      </c>
      <c r="B140" s="3">
        <f>'Monthly D5 RIN Data'!$Z10</f>
        <v>60420</v>
      </c>
      <c r="C140" s="3">
        <f>'Monthly D5 RIN Data'!$Z22</f>
        <v>438833</v>
      </c>
      <c r="D140" s="3">
        <f>'Monthly D5 RIN Data'!$Z34</f>
        <v>471723</v>
      </c>
      <c r="E140" s="3">
        <f>'Monthly D5 RIN Data'!$Z46</f>
        <v>2000</v>
      </c>
      <c r="F140" s="3">
        <f>'Monthly D5 RIN Data'!$Z58</f>
        <v>0</v>
      </c>
      <c r="G140" s="3">
        <f>'Monthly D5 RIN Data'!$Z70</f>
        <v>0</v>
      </c>
      <c r="H140" s="3">
        <f>'Monthly D5 RIN Data'!$Z82</f>
        <v>0</v>
      </c>
      <c r="I140" s="3">
        <f>'Monthly D5 RIN Data'!$Z94</f>
        <v>0</v>
      </c>
      <c r="J140" s="3">
        <f>'Monthly D5 RIN Data'!$Z106</f>
        <v>0</v>
      </c>
      <c r="K140" s="3">
        <f>'Monthly D5 RIN Data'!$Z118</f>
        <v>0</v>
      </c>
      <c r="L140" s="3">
        <f>'Monthly D5 RIN Data'!$Z130</f>
        <v>0</v>
      </c>
      <c r="M140" s="3">
        <f>'Monthly D5 RIN Data'!$Z142</f>
        <v>0</v>
      </c>
      <c r="N140" s="3">
        <f>'Monthly D5 RIN Data'!$Z154</f>
        <v>0</v>
      </c>
      <c r="O140" s="3">
        <f>'Monthly D5 RIN Data'!$Z166</f>
        <v>0</v>
      </c>
      <c r="P140" s="3">
        <f>'Monthly D5 RIN Data'!$Z178</f>
        <v>0</v>
      </c>
      <c r="Q140" s="4">
        <f>'D5 Gallon Forecast'!Q142</f>
        <v>0</v>
      </c>
      <c r="R140" s="4">
        <f>'D5 Gallon Forecast'!R142</f>
        <v>0</v>
      </c>
      <c r="S140" s="4">
        <f>'D5 Gallon Forecast'!S142</f>
        <v>0</v>
      </c>
      <c r="T140" s="4">
        <f>'D5 Gallon Forecast'!T142</f>
        <v>0</v>
      </c>
    </row>
    <row r="141" spans="1:20">
      <c r="A141" s="2" t="s">
        <v>50</v>
      </c>
      <c r="B141" s="3">
        <f>'Monthly D5 RIN Data'!$Z11</f>
        <v>252309</v>
      </c>
      <c r="C141" s="3">
        <f>'Monthly D5 RIN Data'!$Z23</f>
        <v>928372</v>
      </c>
      <c r="D141" s="3">
        <f>'Monthly D5 RIN Data'!$Z35</f>
        <v>1296</v>
      </c>
      <c r="E141" s="3">
        <f>'Monthly D5 RIN Data'!$Z47</f>
        <v>400</v>
      </c>
      <c r="F141" s="3">
        <f>'Monthly D5 RIN Data'!$Z59</f>
        <v>0</v>
      </c>
      <c r="G141" s="3">
        <f>'Monthly D5 RIN Data'!$Z71</f>
        <v>0</v>
      </c>
      <c r="H141" s="3">
        <f>'Monthly D5 RIN Data'!$Z83</f>
        <v>0</v>
      </c>
      <c r="I141" s="3">
        <f>'Monthly D5 RIN Data'!$Z95</f>
        <v>0</v>
      </c>
      <c r="J141" s="3">
        <f>'Monthly D5 RIN Data'!$Z107</f>
        <v>0</v>
      </c>
      <c r="K141" s="3">
        <f>'Monthly D5 RIN Data'!$Z119</f>
        <v>0</v>
      </c>
      <c r="L141" s="3">
        <f>'Monthly D5 RIN Data'!$Z131</f>
        <v>0</v>
      </c>
      <c r="M141" s="3">
        <f>'Monthly D5 RIN Data'!$Z143</f>
        <v>0</v>
      </c>
      <c r="N141" s="3">
        <f>'Monthly D5 RIN Data'!$Z155</f>
        <v>0</v>
      </c>
      <c r="O141" s="3">
        <f>'Monthly D5 RIN Data'!$Z167</f>
        <v>0</v>
      </c>
      <c r="P141" s="3">
        <f>'Monthly D5 RIN Data'!$Z179</f>
        <v>0</v>
      </c>
      <c r="Q141" s="4">
        <f>'D5 Gallon Forecast'!Q143</f>
        <v>0</v>
      </c>
      <c r="R141" s="4">
        <f>'D5 Gallon Forecast'!R143</f>
        <v>0</v>
      </c>
      <c r="S141" s="4">
        <f>'D5 Gallon Forecast'!S143</f>
        <v>0</v>
      </c>
      <c r="T141" s="4">
        <f>'D5 Gallon Forecast'!T143</f>
        <v>0</v>
      </c>
    </row>
    <row r="142" spans="1:20">
      <c r="A142" s="2" t="s">
        <v>51</v>
      </c>
      <c r="B142" s="3">
        <f>'Monthly D5 RIN Data'!$Z12</f>
        <v>796780</v>
      </c>
      <c r="C142" s="3">
        <f>'Monthly D5 RIN Data'!$Z24</f>
        <v>2021278</v>
      </c>
      <c r="D142" s="3">
        <f>'Monthly D5 RIN Data'!$Z36</f>
        <v>1600</v>
      </c>
      <c r="E142" s="3">
        <f>'Monthly D5 RIN Data'!$Z48</f>
        <v>1120</v>
      </c>
      <c r="F142" s="3">
        <f>'Monthly D5 RIN Data'!$Z60</f>
        <v>0</v>
      </c>
      <c r="G142" s="3">
        <f>'Monthly D5 RIN Data'!$Z72</f>
        <v>0</v>
      </c>
      <c r="H142" s="3">
        <f>'Monthly D5 RIN Data'!$Z84</f>
        <v>0</v>
      </c>
      <c r="I142" s="3">
        <f>'Monthly D5 RIN Data'!$Z96</f>
        <v>0</v>
      </c>
      <c r="J142" s="3">
        <f>'Monthly D5 RIN Data'!$Z108</f>
        <v>0</v>
      </c>
      <c r="K142" s="3">
        <f>'Monthly D5 RIN Data'!$Z120</f>
        <v>0</v>
      </c>
      <c r="L142" s="3">
        <f>'Monthly D5 RIN Data'!$Z132</f>
        <v>0</v>
      </c>
      <c r="M142" s="3">
        <f>'Monthly D5 RIN Data'!$Z144</f>
        <v>0</v>
      </c>
      <c r="N142" s="3">
        <f>'Monthly D5 RIN Data'!$Z156</f>
        <v>0</v>
      </c>
      <c r="O142" s="3">
        <f>'Monthly D5 RIN Data'!$Z168</f>
        <v>0</v>
      </c>
      <c r="P142" s="3">
        <f>'Monthly D5 RIN Data'!$Z180</f>
        <v>0</v>
      </c>
      <c r="Q142" s="4">
        <f>'D5 Gallon Forecast'!Q144</f>
        <v>0</v>
      </c>
      <c r="R142" s="4">
        <f>'D5 Gallon Forecast'!R144</f>
        <v>0</v>
      </c>
      <c r="S142" s="4">
        <f>'D5 Gallon Forecast'!S144</f>
        <v>0</v>
      </c>
      <c r="T142" s="4">
        <f>'D5 Gallon Forecast'!T144</f>
        <v>0</v>
      </c>
    </row>
    <row r="143" spans="1:20">
      <c r="A143" s="2" t="s">
        <v>52</v>
      </c>
      <c r="B143" s="3">
        <f>'Monthly D5 RIN Data'!$Z13</f>
        <v>1867398</v>
      </c>
      <c r="C143" s="3">
        <f>'Monthly D5 RIN Data'!$Z25</f>
        <v>1099952</v>
      </c>
      <c r="D143" s="3">
        <f>'Monthly D5 RIN Data'!$Z37</f>
        <v>1680</v>
      </c>
      <c r="E143" s="3">
        <f>'Monthly D5 RIN Data'!$Z49</f>
        <v>800</v>
      </c>
      <c r="F143" s="3">
        <f>'Monthly D5 RIN Data'!$Z61</f>
        <v>0</v>
      </c>
      <c r="G143" s="3">
        <f>'Monthly D5 RIN Data'!$Z73</f>
        <v>0</v>
      </c>
      <c r="H143" s="3">
        <f>'Monthly D5 RIN Data'!$Z85</f>
        <v>0</v>
      </c>
      <c r="I143" s="3">
        <f>'Monthly D5 RIN Data'!$Z97</f>
        <v>0</v>
      </c>
      <c r="J143" s="3">
        <f>'Monthly D5 RIN Data'!$Z109</f>
        <v>0</v>
      </c>
      <c r="K143" s="3">
        <f>'Monthly D5 RIN Data'!$Z121</f>
        <v>0</v>
      </c>
      <c r="L143" s="3">
        <f>'Monthly D5 RIN Data'!$Z133</f>
        <v>0</v>
      </c>
      <c r="M143" s="3">
        <f>'Monthly D5 RIN Data'!$Z145</f>
        <v>0</v>
      </c>
      <c r="N143" s="3">
        <f>'Monthly D5 RIN Data'!$Z157</f>
        <v>0</v>
      </c>
      <c r="O143" s="3">
        <f>'Monthly D5 RIN Data'!$Z169</f>
        <v>0</v>
      </c>
      <c r="P143" s="3">
        <f>'Monthly D5 RIN Data'!$Z181</f>
        <v>0</v>
      </c>
      <c r="Q143" s="4">
        <f>'D5 Gallon Forecast'!Q145</f>
        <v>0</v>
      </c>
      <c r="R143" s="4">
        <f>'D5 Gallon Forecast'!R145</f>
        <v>0</v>
      </c>
      <c r="S143" s="4">
        <f>'D5 Gallon Forecast'!S145</f>
        <v>0</v>
      </c>
      <c r="T143" s="4">
        <f>'D5 Gallon Forecast'!T145</f>
        <v>0</v>
      </c>
    </row>
    <row r="144" spans="1:20">
      <c r="A144" s="2" t="s">
        <v>53</v>
      </c>
      <c r="B144" s="3">
        <f>'Monthly D5 RIN Data'!$Z14</f>
        <v>2307174</v>
      </c>
      <c r="C144" s="3">
        <f>'Monthly D5 RIN Data'!$Z26</f>
        <v>2048868</v>
      </c>
      <c r="D144" s="3">
        <f>'Monthly D5 RIN Data'!$Z38</f>
        <v>1920</v>
      </c>
      <c r="E144" s="3">
        <f>'Monthly D5 RIN Data'!$Z50</f>
        <v>0</v>
      </c>
      <c r="F144" s="3">
        <f>'Monthly D5 RIN Data'!$Z62</f>
        <v>0</v>
      </c>
      <c r="G144" s="3">
        <f>'Monthly D5 RIN Data'!$Z74</f>
        <v>0</v>
      </c>
      <c r="H144" s="3">
        <f>'Monthly D5 RIN Data'!$Z86</f>
        <v>0</v>
      </c>
      <c r="I144" s="3">
        <f>'Monthly D5 RIN Data'!$Z98</f>
        <v>0</v>
      </c>
      <c r="J144" s="3">
        <f>'Monthly D5 RIN Data'!$Z110</f>
        <v>0</v>
      </c>
      <c r="K144" s="3">
        <f>'Monthly D5 RIN Data'!$Z122</f>
        <v>0</v>
      </c>
      <c r="L144" s="3">
        <f>'Monthly D5 RIN Data'!$Z134</f>
        <v>0</v>
      </c>
      <c r="M144" s="3">
        <f>'Monthly D5 RIN Data'!$Z146</f>
        <v>0</v>
      </c>
      <c r="N144" s="3">
        <f>'Monthly D5 RIN Data'!$Z158</f>
        <v>0</v>
      </c>
      <c r="O144" s="3">
        <f>'Monthly D5 RIN Data'!$Z170</f>
        <v>0</v>
      </c>
      <c r="P144" s="3">
        <f>'Monthly D5 RIN Data'!$Z182</f>
        <v>0</v>
      </c>
      <c r="Q144" s="4">
        <f>'D5 Gallon Forecast'!Q146</f>
        <v>0</v>
      </c>
      <c r="R144" s="4">
        <f>'D5 Gallon Forecast'!R146</f>
        <v>0</v>
      </c>
      <c r="S144" s="4">
        <f>'D5 Gallon Forecast'!S146</f>
        <v>0</v>
      </c>
      <c r="T144" s="4">
        <f>'D5 Gallon Forecast'!T146</f>
        <v>0</v>
      </c>
    </row>
    <row r="145" spans="1:20">
      <c r="A145" s="2" t="s">
        <v>54</v>
      </c>
      <c r="B145" s="3">
        <f>'Monthly D5 RIN Data'!$Z15</f>
        <v>2996022</v>
      </c>
      <c r="C145" s="3">
        <f>'Monthly D5 RIN Data'!$Z27</f>
        <v>671007</v>
      </c>
      <c r="D145" s="3">
        <f>'Monthly D5 RIN Data'!$Z39</f>
        <v>1600</v>
      </c>
      <c r="E145" s="3">
        <f>'Monthly D5 RIN Data'!$Z51</f>
        <v>1040</v>
      </c>
      <c r="F145" s="3">
        <f>'Monthly D5 RIN Data'!$Z63</f>
        <v>0</v>
      </c>
      <c r="G145" s="3">
        <f>'Monthly D5 RIN Data'!$Z75</f>
        <v>0</v>
      </c>
      <c r="H145" s="3">
        <f>'Monthly D5 RIN Data'!$Z87</f>
        <v>0</v>
      </c>
      <c r="I145" s="3">
        <f>'Monthly D5 RIN Data'!$Z99</f>
        <v>0</v>
      </c>
      <c r="J145" s="3">
        <f>'Monthly D5 RIN Data'!$Z111</f>
        <v>0</v>
      </c>
      <c r="K145" s="3">
        <f>'Monthly D5 RIN Data'!$Z123</f>
        <v>0</v>
      </c>
      <c r="L145" s="3">
        <f>'Monthly D5 RIN Data'!$Z135</f>
        <v>0</v>
      </c>
      <c r="M145" s="3">
        <f>'Monthly D5 RIN Data'!$Z147</f>
        <v>0</v>
      </c>
      <c r="N145" s="3">
        <f>'Monthly D5 RIN Data'!$Z159</f>
        <v>0</v>
      </c>
      <c r="O145" s="3">
        <f>'Monthly D5 RIN Data'!$Z171</f>
        <v>0</v>
      </c>
      <c r="P145" s="3">
        <f>'Monthly D5 RIN Data'!$Z183</f>
        <v>0</v>
      </c>
      <c r="Q145" s="4">
        <f>'D5 Gallon Forecast'!Q147</f>
        <v>0</v>
      </c>
      <c r="R145" s="4">
        <f>'D5 Gallon Forecast'!R147</f>
        <v>0</v>
      </c>
      <c r="S145" s="4">
        <f>'D5 Gallon Forecast'!S147</f>
        <v>0</v>
      </c>
      <c r="T145" s="4">
        <f>'D5 Gallon Forecast'!T147</f>
        <v>0</v>
      </c>
    </row>
    <row r="146" spans="1:20" ht="13.5" thickBot="1">
      <c r="A146" s="2" t="s">
        <v>29</v>
      </c>
      <c r="B146" s="3">
        <f t="shared" ref="B146:O146" si="60">SUM(B134:B145)</f>
        <v>8280103</v>
      </c>
      <c r="C146" s="3">
        <f t="shared" si="60"/>
        <v>19493670</v>
      </c>
      <c r="D146" s="3">
        <f t="shared" si="60"/>
        <v>3467654</v>
      </c>
      <c r="E146" s="3">
        <f t="shared" si="60"/>
        <v>18579</v>
      </c>
      <c r="F146" s="3">
        <f t="shared" si="60"/>
        <v>480</v>
      </c>
      <c r="G146" s="3">
        <f t="shared" si="60"/>
        <v>0</v>
      </c>
      <c r="H146" s="3">
        <f t="shared" si="60"/>
        <v>0</v>
      </c>
      <c r="I146" s="3">
        <f t="shared" si="60"/>
        <v>0</v>
      </c>
      <c r="J146" s="3">
        <f t="shared" si="60"/>
        <v>0</v>
      </c>
      <c r="K146" s="3">
        <f t="shared" si="60"/>
        <v>0</v>
      </c>
      <c r="L146" s="3">
        <f t="shared" si="60"/>
        <v>0</v>
      </c>
      <c r="M146" s="3">
        <f t="shared" si="60"/>
        <v>0</v>
      </c>
      <c r="N146" s="3">
        <f t="shared" si="60"/>
        <v>0</v>
      </c>
      <c r="O146" s="3">
        <f t="shared" si="60"/>
        <v>0</v>
      </c>
      <c r="P146" s="3">
        <f>SUM(P134:P145)</f>
        <v>0</v>
      </c>
      <c r="Q146" s="4">
        <f>SUM(Q134:Q145)</f>
        <v>0</v>
      </c>
      <c r="R146" s="4">
        <f>SUM(R134:R145)</f>
        <v>0</v>
      </c>
      <c r="S146" s="4">
        <f>SUM(S134:S145)</f>
        <v>0</v>
      </c>
      <c r="T146" s="4">
        <f>SUM(T134:T145)</f>
        <v>0</v>
      </c>
    </row>
    <row r="147" spans="1:20">
      <c r="A147" s="114"/>
      <c r="B147" s="114"/>
      <c r="C147" s="114"/>
      <c r="D147" s="114"/>
      <c r="E147" s="114"/>
      <c r="F147" s="114"/>
      <c r="G147" s="114"/>
      <c r="H147" s="114"/>
      <c r="I147" s="114"/>
      <c r="J147" s="114"/>
      <c r="K147" s="114"/>
      <c r="L147" s="114"/>
      <c r="M147" s="114"/>
      <c r="N147" s="114"/>
      <c r="O147" s="114"/>
      <c r="P147" s="114"/>
      <c r="Q147" s="114"/>
      <c r="R147" s="114"/>
      <c r="S147" s="114"/>
      <c r="T147" s="114"/>
    </row>
    <row r="148" spans="1:20" ht="16.5" thickBot="1">
      <c r="A148" s="109" t="s">
        <v>439</v>
      </c>
    </row>
    <row r="149" spans="1:20" ht="13.5" thickBot="1">
      <c r="A149" s="110"/>
      <c r="B149" s="111">
        <v>2010</v>
      </c>
      <c r="C149" s="111">
        <v>2011</v>
      </c>
      <c r="D149" s="111">
        <v>2012</v>
      </c>
      <c r="E149" s="111">
        <v>2013</v>
      </c>
      <c r="F149" s="111">
        <v>2014</v>
      </c>
      <c r="G149" s="111">
        <v>2015</v>
      </c>
      <c r="H149" s="111">
        <v>2016</v>
      </c>
      <c r="I149" s="111">
        <v>2017</v>
      </c>
      <c r="J149" s="111">
        <v>2018</v>
      </c>
      <c r="K149" s="111">
        <v>2019</v>
      </c>
      <c r="L149" s="111">
        <v>2020</v>
      </c>
      <c r="M149" s="111">
        <v>2021</v>
      </c>
      <c r="N149" s="111">
        <v>2022</v>
      </c>
      <c r="O149" s="111">
        <v>2023</v>
      </c>
      <c r="P149" s="111">
        <v>2024</v>
      </c>
      <c r="Q149" s="111">
        <v>2025</v>
      </c>
      <c r="R149" s="111">
        <v>2026</v>
      </c>
      <c r="S149" s="111">
        <v>2027</v>
      </c>
      <c r="T149" s="111">
        <v>2028</v>
      </c>
    </row>
    <row r="150" spans="1:20">
      <c r="A150" s="2" t="s">
        <v>43</v>
      </c>
      <c r="B150" s="3">
        <f>'Monthly D5 RIN Data'!$AA4</f>
        <v>0</v>
      </c>
      <c r="C150" s="3">
        <f>'Monthly D5 RIN Data'!$AA16</f>
        <v>751620</v>
      </c>
      <c r="D150" s="3">
        <f>'Monthly D5 RIN Data'!$AA28</f>
        <v>785846</v>
      </c>
      <c r="E150" s="3">
        <f>'Monthly D5 RIN Data'!$AA40</f>
        <v>684311</v>
      </c>
      <c r="F150" s="3">
        <f>'Monthly D5 RIN Data'!$AA52</f>
        <v>398238</v>
      </c>
      <c r="G150" s="3">
        <f>'Monthly D5 RIN Data'!$AA64</f>
        <v>282285</v>
      </c>
      <c r="H150" s="3">
        <f>'Monthly D5 RIN Data'!$AA76</f>
        <v>400028</v>
      </c>
      <c r="I150" s="3">
        <f>'Monthly D5 RIN Data'!$AA88</f>
        <v>764322</v>
      </c>
      <c r="J150" s="3">
        <f>'Monthly D5 RIN Data'!$AA100</f>
        <v>547014</v>
      </c>
      <c r="K150" s="3">
        <f>'Monthly D5 RIN Data'!$AA112</f>
        <v>5068638</v>
      </c>
      <c r="L150" s="3">
        <f>'Monthly D5 RIN Data'!$AA124</f>
        <v>6842999</v>
      </c>
      <c r="M150" s="3">
        <f>'Monthly D5 RIN Data'!$AA136</f>
        <v>14795692</v>
      </c>
      <c r="N150" s="3">
        <f>'Monthly D5 RIN Data'!$AA148</f>
        <v>6834941</v>
      </c>
      <c r="O150" s="3">
        <f>'Monthly D5 RIN Data'!$AA160</f>
        <v>6219410</v>
      </c>
      <c r="P150" s="3">
        <f>'Monthly D5 RIN Data'!$AA172</f>
        <v>8841325</v>
      </c>
      <c r="Q150" s="3">
        <f>'Monthly D5 RIN Data'!$AA184</f>
        <v>9207214</v>
      </c>
      <c r="R150" s="4">
        <f>'D5 Gallon Forecast'!R152*AVERAGE('D5 RIN Forecast'!$AA$9:$AE$9)</f>
        <v>10093808.954782281</v>
      </c>
      <c r="S150" s="4">
        <f>'D5 Gallon Forecast'!S152*AVERAGE('D5 RIN Forecast'!$AA$9:$AE$9)</f>
        <v>10565003.84460867</v>
      </c>
      <c r="T150" s="4">
        <f>'D5 Gallon Forecast'!T152*AVERAGE('D5 RIN Forecast'!$AA$9:$AE$9)</f>
        <v>11576503.990972506</v>
      </c>
    </row>
    <row r="151" spans="1:20">
      <c r="A151" s="2" t="s">
        <v>44</v>
      </c>
      <c r="B151" s="3">
        <f>'Monthly D5 RIN Data'!$AA5</f>
        <v>0</v>
      </c>
      <c r="C151" s="3">
        <f>'Monthly D5 RIN Data'!$AA17</f>
        <v>228701</v>
      </c>
      <c r="D151" s="3">
        <f>'Monthly D5 RIN Data'!$AA29</f>
        <v>564390</v>
      </c>
      <c r="E151" s="3">
        <f>'Monthly D5 RIN Data'!$AA41</f>
        <v>988343</v>
      </c>
      <c r="F151" s="3">
        <f>'Monthly D5 RIN Data'!$AA53</f>
        <v>889103</v>
      </c>
      <c r="G151" s="3">
        <f>'Monthly D5 RIN Data'!$AA65</f>
        <v>664188</v>
      </c>
      <c r="H151" s="3">
        <f>'Monthly D5 RIN Data'!$AA77</f>
        <v>514031</v>
      </c>
      <c r="I151" s="3">
        <f>'Monthly D5 RIN Data'!$AA89</f>
        <v>607750</v>
      </c>
      <c r="J151" s="3">
        <f>'Monthly D5 RIN Data'!$AA101</f>
        <v>2448400</v>
      </c>
      <c r="K151" s="3">
        <f>'Monthly D5 RIN Data'!$AA113</f>
        <v>3991755</v>
      </c>
      <c r="L151" s="3">
        <f>'Monthly D5 RIN Data'!$AA125</f>
        <v>5699775</v>
      </c>
      <c r="M151" s="3">
        <f>'Monthly D5 RIN Data'!$AA137</f>
        <v>7619268</v>
      </c>
      <c r="N151" s="3">
        <f>'Monthly D5 RIN Data'!$AA149</f>
        <v>8015199</v>
      </c>
      <c r="O151" s="3">
        <f>'Monthly D5 RIN Data'!$AA161</f>
        <v>3567587</v>
      </c>
      <c r="P151" s="3">
        <f>'Monthly D5 RIN Data'!$AA173</f>
        <v>6689848</v>
      </c>
      <c r="Q151" s="3">
        <f>'Monthly D5 RIN Data'!$AA185</f>
        <v>7880637</v>
      </c>
      <c r="R151" s="4">
        <f>'D5 Gallon Forecast'!R153*AVERAGE('D5 RIN Forecast'!$AA$9:$AE$9)</f>
        <v>7427103.9346280824</v>
      </c>
      <c r="S151" s="4">
        <f>'D5 Gallon Forecast'!S153*AVERAGE('D5 RIN Forecast'!$AA$9:$AE$9)</f>
        <v>8611776.854861239</v>
      </c>
      <c r="T151" s="4">
        <f>'D5 Gallon Forecast'!T153*AVERAGE('D5 RIN Forecast'!$AA$9:$AE$9)</f>
        <v>8806547.0051201452</v>
      </c>
    </row>
    <row r="152" spans="1:20">
      <c r="A152" s="2" t="s">
        <v>45</v>
      </c>
      <c r="B152" s="3">
        <f>'Monthly D5 RIN Data'!$AA6</f>
        <v>0</v>
      </c>
      <c r="C152" s="3">
        <f>'Monthly D5 RIN Data'!$AA18</f>
        <v>353380</v>
      </c>
      <c r="D152" s="3">
        <f>'Monthly D5 RIN Data'!$AA30</f>
        <v>488364</v>
      </c>
      <c r="E152" s="3">
        <f>'Monthly D5 RIN Data'!$AA42</f>
        <v>1177746</v>
      </c>
      <c r="F152" s="3">
        <f>'Monthly D5 RIN Data'!$AA54</f>
        <v>1255477</v>
      </c>
      <c r="G152" s="3">
        <f>'Monthly D5 RIN Data'!$AA66</f>
        <v>1192455</v>
      </c>
      <c r="H152" s="3">
        <f>'Monthly D5 RIN Data'!$AA78</f>
        <v>771330</v>
      </c>
      <c r="I152" s="3">
        <f>'Monthly D5 RIN Data'!$AA90</f>
        <v>778493</v>
      </c>
      <c r="J152" s="3">
        <f>'Monthly D5 RIN Data'!$AA102</f>
        <v>3862361</v>
      </c>
      <c r="K152" s="3">
        <f>'Monthly D5 RIN Data'!$AA114</f>
        <v>4887899</v>
      </c>
      <c r="L152" s="3">
        <f>'Monthly D5 RIN Data'!$AA126</f>
        <v>6056567</v>
      </c>
      <c r="M152" s="3">
        <f>'Monthly D5 RIN Data'!$AA138</f>
        <v>6912356</v>
      </c>
      <c r="N152" s="3">
        <f>'Monthly D5 RIN Data'!$AA150</f>
        <v>8123722</v>
      </c>
      <c r="O152" s="3">
        <f>'Monthly D5 RIN Data'!$AA162</f>
        <v>16637473</v>
      </c>
      <c r="P152" s="3">
        <f>'Monthly D5 RIN Data'!$AA174</f>
        <v>8984440</v>
      </c>
      <c r="Q152" s="3">
        <f>'Monthly D5 RIN Data'!$AA186</f>
        <v>11169549</v>
      </c>
      <c r="R152" s="4">
        <f>'D5 Gallon Forecast'!R154*AVERAGE('D5 RIN Forecast'!$AA$9:$AE$9)</f>
        <v>11397678.966027984</v>
      </c>
      <c r="S152" s="4">
        <f>'D5 Gallon Forecast'!S154*AVERAGE('D5 RIN Forecast'!$AA$9:$AE$9)</f>
        <v>14441585.035927288</v>
      </c>
      <c r="T152" s="4">
        <f>'D5 Gallon Forecast'!T154*AVERAGE('D5 RIN Forecast'!$AA$9:$AE$9)</f>
        <v>16138373.971872132</v>
      </c>
    </row>
    <row r="153" spans="1:20">
      <c r="A153" s="2" t="s">
        <v>46</v>
      </c>
      <c r="B153" s="3">
        <f>'Monthly D5 RIN Data'!$AA7</f>
        <v>0</v>
      </c>
      <c r="C153" s="3">
        <f>'Monthly D5 RIN Data'!$AA19</f>
        <v>152817</v>
      </c>
      <c r="D153" s="3">
        <f>'Monthly D5 RIN Data'!$AA31</f>
        <v>627303</v>
      </c>
      <c r="E153" s="3">
        <f>'Monthly D5 RIN Data'!$AA43</f>
        <v>1102789</v>
      </c>
      <c r="F153" s="3">
        <f>'Monthly D5 RIN Data'!$AA55</f>
        <v>1562152</v>
      </c>
      <c r="G153" s="3">
        <f>'Monthly D5 RIN Data'!$AA67</f>
        <v>948725</v>
      </c>
      <c r="H153" s="3">
        <f>'Monthly D5 RIN Data'!$AA79</f>
        <v>664656</v>
      </c>
      <c r="I153" s="3">
        <f>'Monthly D5 RIN Data'!$AA91</f>
        <v>569609</v>
      </c>
      <c r="J153" s="3">
        <f>'Monthly D5 RIN Data'!$AA103</f>
        <v>1752259</v>
      </c>
      <c r="K153" s="3">
        <f>'Monthly D5 RIN Data'!$AA115</f>
        <v>5092649</v>
      </c>
      <c r="L153" s="3">
        <f>'Monthly D5 RIN Data'!$AA127</f>
        <v>5239801</v>
      </c>
      <c r="M153" s="3">
        <f>'Monthly D5 RIN Data'!$AA139</f>
        <v>5195137</v>
      </c>
      <c r="N153" s="3">
        <f>'Monthly D5 RIN Data'!$AA151</f>
        <v>8997114</v>
      </c>
      <c r="O153" s="3">
        <f>'Monthly D5 RIN Data'!$AA163</f>
        <v>8307574</v>
      </c>
      <c r="P153" s="3">
        <f>'Monthly D5 RIN Data'!$AA175</f>
        <v>6667458</v>
      </c>
      <c r="Q153" s="4">
        <f>'D5 Gallon Forecast'!Q155*AVERAGE('D5 RIN Forecast'!$AA$9:$AE$9)</f>
        <v>6467727.498761978</v>
      </c>
      <c r="R153" s="4">
        <f>'D5 Gallon Forecast'!R155*AVERAGE('D5 RIN Forecast'!$AA$9:$AE$9)</f>
        <v>7836690.1410681447</v>
      </c>
      <c r="S153" s="4">
        <f>'D5 Gallon Forecast'!S155*AVERAGE('D5 RIN Forecast'!$AA$9:$AE$9)</f>
        <v>9816127.2260135617</v>
      </c>
      <c r="T153" s="4">
        <f>'D5 Gallon Forecast'!T155*AVERAGE('D5 RIN Forecast'!$AA$9:$AE$9)</f>
        <v>10073953.332270853</v>
      </c>
    </row>
    <row r="154" spans="1:20">
      <c r="A154" s="2" t="s">
        <v>47</v>
      </c>
      <c r="B154" s="3">
        <f>'Monthly D5 RIN Data'!$AA8</f>
        <v>0</v>
      </c>
      <c r="C154" s="3">
        <f>'Monthly D5 RIN Data'!$AA20</f>
        <v>449837</v>
      </c>
      <c r="D154" s="3">
        <f>'Monthly D5 RIN Data'!$AA32</f>
        <v>692330</v>
      </c>
      <c r="E154" s="3">
        <f>'Monthly D5 RIN Data'!$AA44</f>
        <v>3101974</v>
      </c>
      <c r="F154" s="3">
        <f>'Monthly D5 RIN Data'!$AA56</f>
        <v>1294829</v>
      </c>
      <c r="G154" s="3">
        <f>'Monthly D5 RIN Data'!$AA68</f>
        <v>579818</v>
      </c>
      <c r="H154" s="3">
        <f>'Monthly D5 RIN Data'!$AA80</f>
        <v>525478</v>
      </c>
      <c r="I154" s="3">
        <f>'Monthly D5 RIN Data'!$AA92</f>
        <v>624485</v>
      </c>
      <c r="J154" s="3">
        <f>'Monthly D5 RIN Data'!$AA104</f>
        <v>731388</v>
      </c>
      <c r="K154" s="3">
        <f>'Monthly D5 RIN Data'!$AA116</f>
        <v>5896000</v>
      </c>
      <c r="L154" s="3">
        <f>'Monthly D5 RIN Data'!$AA128</f>
        <v>7235406</v>
      </c>
      <c r="M154" s="3">
        <f>'Monthly D5 RIN Data'!$AA140</f>
        <v>3789479</v>
      </c>
      <c r="N154" s="3">
        <f>'Monthly D5 RIN Data'!$AA152</f>
        <v>14761731</v>
      </c>
      <c r="O154" s="3">
        <f>'Monthly D5 RIN Data'!$AA164</f>
        <v>12139595</v>
      </c>
      <c r="P154" s="3">
        <f>'Monthly D5 RIN Data'!$AA176</f>
        <v>2427093</v>
      </c>
      <c r="Q154" s="4">
        <f>'D5 Gallon Forecast'!Q156*AVERAGE('D5 RIN Forecast'!$AA$9:$AE$9)</f>
        <v>7585478.2056948012</v>
      </c>
      <c r="R154" s="4">
        <f>'D5 Gallon Forecast'!R156*AVERAGE('D5 RIN Forecast'!$AA$9:$AE$9)</f>
        <v>8951302.2261874862</v>
      </c>
      <c r="S154" s="4">
        <f>'D5 Gallon Forecast'!S156*AVERAGE('D5 RIN Forecast'!$AA$9:$AE$9)</f>
        <v>11762252.97111107</v>
      </c>
      <c r="T154" s="4">
        <f>'D5 Gallon Forecast'!T156*AVERAGE('D5 RIN Forecast'!$AA$9:$AE$9)</f>
        <v>11045425.528067159</v>
      </c>
    </row>
    <row r="155" spans="1:20">
      <c r="A155" s="2" t="s">
        <v>48</v>
      </c>
      <c r="B155" s="3">
        <f>'Monthly D5 RIN Data'!$AA9</f>
        <v>0</v>
      </c>
      <c r="C155" s="3">
        <f>'Monthly D5 RIN Data'!$AA21</f>
        <v>729112</v>
      </c>
      <c r="D155" s="3">
        <f>'Monthly D5 RIN Data'!$AA33</f>
        <v>763959</v>
      </c>
      <c r="E155" s="3">
        <f>'Monthly D5 RIN Data'!$AA45</f>
        <v>9613657</v>
      </c>
      <c r="F155" s="3">
        <f>'Monthly D5 RIN Data'!$AA57</f>
        <v>1320737</v>
      </c>
      <c r="G155" s="3">
        <f>'Monthly D5 RIN Data'!$AA69</f>
        <v>924880</v>
      </c>
      <c r="H155" s="3">
        <f>'Monthly D5 RIN Data'!$AA81</f>
        <v>894389</v>
      </c>
      <c r="I155" s="3">
        <f>'Monthly D5 RIN Data'!$AA93</f>
        <v>632684</v>
      </c>
      <c r="J155" s="3">
        <f>'Monthly D5 RIN Data'!$AA105</f>
        <v>1582201</v>
      </c>
      <c r="K155" s="3">
        <f>'Monthly D5 RIN Data'!$AA117</f>
        <v>4208159</v>
      </c>
      <c r="L155" s="3">
        <f>'Monthly D5 RIN Data'!$AA129</f>
        <v>5700196</v>
      </c>
      <c r="M155" s="3">
        <f>'Monthly D5 RIN Data'!$AA141</f>
        <v>7142618</v>
      </c>
      <c r="N155" s="3">
        <f>'Monthly D5 RIN Data'!$AA153</f>
        <v>7781980</v>
      </c>
      <c r="O155" s="3">
        <f>'Monthly D5 RIN Data'!$AA165</f>
        <v>16652119</v>
      </c>
      <c r="P155" s="3">
        <f>'Monthly D5 RIN Data'!$AA177</f>
        <v>10522701</v>
      </c>
      <c r="Q155" s="4">
        <f>'D5 Gallon Forecast'!Q157*AVERAGE('D5 RIN Forecast'!$AA$9:$AE$9)</f>
        <v>8985210.8486692179</v>
      </c>
      <c r="R155" s="4">
        <f>'D5 Gallon Forecast'!R157*AVERAGE('D5 RIN Forecast'!$AA$9:$AE$9)</f>
        <v>11234300.91346411</v>
      </c>
      <c r="S155" s="4">
        <f>'D5 Gallon Forecast'!S157*AVERAGE('D5 RIN Forecast'!$AA$9:$AE$9)</f>
        <v>14150113.076121492</v>
      </c>
      <c r="T155" s="4">
        <f>'D5 Gallon Forecast'!T157*AVERAGE('D5 RIN Forecast'!$AA$9:$AE$9)</f>
        <v>15858466.226602003</v>
      </c>
    </row>
    <row r="156" spans="1:20">
      <c r="A156" s="2" t="s">
        <v>49</v>
      </c>
      <c r="B156" s="3">
        <f>'Monthly D5 RIN Data'!$AA10</f>
        <v>471290</v>
      </c>
      <c r="C156" s="3">
        <f>'Monthly D5 RIN Data'!$AA22</f>
        <v>911469</v>
      </c>
      <c r="D156" s="3">
        <f>'Monthly D5 RIN Data'!$AA34</f>
        <v>441366</v>
      </c>
      <c r="E156" s="3">
        <f>'Monthly D5 RIN Data'!$AA46</f>
        <v>7405732</v>
      </c>
      <c r="F156" s="3">
        <f>'Monthly D5 RIN Data'!$AA58</f>
        <v>2353270</v>
      </c>
      <c r="G156" s="3">
        <f>'Monthly D5 RIN Data'!$AA70</f>
        <v>809509</v>
      </c>
      <c r="H156" s="3">
        <f>'Monthly D5 RIN Data'!$AA82</f>
        <v>722828</v>
      </c>
      <c r="I156" s="3">
        <f>'Monthly D5 RIN Data'!$AA94</f>
        <v>877870</v>
      </c>
      <c r="J156" s="3">
        <f>'Monthly D5 RIN Data'!$AA106</f>
        <v>4232694</v>
      </c>
      <c r="K156" s="3">
        <f>'Monthly D5 RIN Data'!$AA118</f>
        <v>5275161</v>
      </c>
      <c r="L156" s="3">
        <f>'Monthly D5 RIN Data'!$AA130</f>
        <v>6161891</v>
      </c>
      <c r="M156" s="3">
        <f>'Monthly D5 RIN Data'!$AA142</f>
        <v>8915768</v>
      </c>
      <c r="N156" s="3">
        <f>'Monthly D5 RIN Data'!$AA154</f>
        <v>8137445</v>
      </c>
      <c r="O156" s="3">
        <f>'Monthly D5 RIN Data'!$AA166</f>
        <v>7542907</v>
      </c>
      <c r="P156" s="3">
        <f>'Monthly D5 RIN Data'!$AA178</f>
        <v>11537395</v>
      </c>
      <c r="Q156" s="4">
        <f>'D5 Gallon Forecast'!Q158*AVERAGE('D5 RIN Forecast'!$AA$9:$AE$9)</f>
        <v>7950547.7400329066</v>
      </c>
      <c r="R156" s="4">
        <f>'D5 Gallon Forecast'!R158*AVERAGE('D5 RIN Forecast'!$AA$9:$AE$9)</f>
        <v>9694767.8304757625</v>
      </c>
      <c r="S156" s="4">
        <f>'D5 Gallon Forecast'!S158*AVERAGE('D5 RIN Forecast'!$AA$9:$AE$9)</f>
        <v>11505252.556951363</v>
      </c>
      <c r="T156" s="4">
        <f>'D5 Gallon Forecast'!T158*AVERAGE('D5 RIN Forecast'!$AA$9:$AE$9)</f>
        <v>12427890.881371906</v>
      </c>
    </row>
    <row r="157" spans="1:20">
      <c r="A157" s="2" t="s">
        <v>50</v>
      </c>
      <c r="B157" s="3">
        <f>'Monthly D5 RIN Data'!$AA11</f>
        <v>973770</v>
      </c>
      <c r="C157" s="3">
        <f>'Monthly D5 RIN Data'!$AA23</f>
        <v>961700</v>
      </c>
      <c r="D157" s="3">
        <f>'Monthly D5 RIN Data'!$AA35</f>
        <v>2095656</v>
      </c>
      <c r="E157" s="3">
        <f>'Monthly D5 RIN Data'!$AA47</f>
        <v>10822557</v>
      </c>
      <c r="F157" s="3">
        <f>'Monthly D5 RIN Data'!$AA59</f>
        <v>830625</v>
      </c>
      <c r="G157" s="3">
        <f>'Monthly D5 RIN Data'!$AA71</f>
        <v>756561</v>
      </c>
      <c r="H157" s="3">
        <f>'Monthly D5 RIN Data'!$AA83</f>
        <v>807185</v>
      </c>
      <c r="I157" s="3">
        <f>'Monthly D5 RIN Data'!$AA95</f>
        <v>748391</v>
      </c>
      <c r="J157" s="3">
        <f>'Monthly D5 RIN Data'!$AA107</f>
        <v>3635368</v>
      </c>
      <c r="K157" s="3">
        <f>'Monthly D5 RIN Data'!$AA119</f>
        <v>6142589</v>
      </c>
      <c r="L157" s="3">
        <f>'Monthly D5 RIN Data'!$AA131</f>
        <v>6246934</v>
      </c>
      <c r="M157" s="3">
        <f>'Monthly D5 RIN Data'!$AA143</f>
        <v>13159185</v>
      </c>
      <c r="N157" s="3">
        <f>'Monthly D5 RIN Data'!$AA155</f>
        <v>12327962</v>
      </c>
      <c r="O157" s="3">
        <f>'Monthly D5 RIN Data'!$AA167</f>
        <v>13725429</v>
      </c>
      <c r="P157" s="3">
        <f>'Monthly D5 RIN Data'!$AA179</f>
        <v>15069221</v>
      </c>
      <c r="Q157" s="4">
        <f>'D5 Gallon Forecast'!Q159*AVERAGE('D5 RIN Forecast'!$AA$9:$AE$9)</f>
        <v>11377987.38489823</v>
      </c>
      <c r="R157" s="4">
        <f>'D5 Gallon Forecast'!R159*AVERAGE('D5 RIN Forecast'!$AA$9:$AE$9)</f>
        <v>14439602.991997978</v>
      </c>
      <c r="S157" s="4">
        <f>'D5 Gallon Forecast'!S159*AVERAGE('D5 RIN Forecast'!$AA$9:$AE$9)</f>
        <v>17166993.922056004</v>
      </c>
      <c r="T157" s="4">
        <f>'D5 Gallon Forecast'!T159*AVERAGE('D5 RIN Forecast'!$AA$9:$AE$9)</f>
        <v>18495715.308817431</v>
      </c>
    </row>
    <row r="158" spans="1:20">
      <c r="A158" s="2" t="s">
        <v>51</v>
      </c>
      <c r="B158" s="3">
        <f>'Monthly D5 RIN Data'!$AA12</f>
        <v>808771</v>
      </c>
      <c r="C158" s="3">
        <f>'Monthly D5 RIN Data'!$AA24</f>
        <v>1064643</v>
      </c>
      <c r="D158" s="3">
        <f>'Monthly D5 RIN Data'!$AA36</f>
        <v>1766513</v>
      </c>
      <c r="E158" s="3">
        <f>'Monthly D5 RIN Data'!$AA48</f>
        <v>13383144</v>
      </c>
      <c r="F158" s="3">
        <f>'Monthly D5 RIN Data'!$AA60</f>
        <v>1064210</v>
      </c>
      <c r="G158" s="3">
        <f>'Monthly D5 RIN Data'!$AA72</f>
        <v>629597</v>
      </c>
      <c r="H158" s="3">
        <f>'Monthly D5 RIN Data'!$AA84</f>
        <v>603291</v>
      </c>
      <c r="I158" s="3">
        <f>'Monthly D5 RIN Data'!$AA96</f>
        <v>651274</v>
      </c>
      <c r="J158" s="3">
        <f>'Monthly D5 RIN Data'!$AA108</f>
        <v>6171296</v>
      </c>
      <c r="K158" s="3">
        <f>'Monthly D5 RIN Data'!$AA120</f>
        <v>5166656</v>
      </c>
      <c r="L158" s="3">
        <f>'Monthly D5 RIN Data'!$AA132</f>
        <v>5578611</v>
      </c>
      <c r="M158" s="3">
        <f>'Monthly D5 RIN Data'!$AA144</f>
        <v>9901919</v>
      </c>
      <c r="N158" s="3">
        <f>'Monthly D5 RIN Data'!$AA156</f>
        <v>15122570</v>
      </c>
      <c r="O158" s="3">
        <f>'Monthly D5 RIN Data'!$AA168</f>
        <v>12584252</v>
      </c>
      <c r="P158" s="3">
        <f>'Monthly D5 RIN Data'!$AA180</f>
        <v>11578932</v>
      </c>
      <c r="Q158" s="4">
        <f>'D5 Gallon Forecast'!Q160*AVERAGE('D5 RIN Forecast'!$AA$9:$AE$9)</f>
        <v>10294781.786736164</v>
      </c>
      <c r="R158" s="4">
        <f>'D5 Gallon Forecast'!R160*AVERAGE('D5 RIN Forecast'!$AA$9:$AE$9)</f>
        <v>13081112.688012902</v>
      </c>
      <c r="S158" s="4">
        <f>'D5 Gallon Forecast'!S160*AVERAGE('D5 RIN Forecast'!$AA$9:$AE$9)</f>
        <v>16069748.025284462</v>
      </c>
      <c r="T158" s="4">
        <f>'D5 Gallon Forecast'!T160*AVERAGE('D5 RIN Forecast'!$AA$9:$AE$9)</f>
        <v>16390405.520811321</v>
      </c>
    </row>
    <row r="159" spans="1:20">
      <c r="A159" s="2" t="s">
        <v>52</v>
      </c>
      <c r="B159" s="3">
        <f>'Monthly D5 RIN Data'!$AA13</f>
        <v>487443</v>
      </c>
      <c r="C159" s="3">
        <f>'Monthly D5 RIN Data'!$AA25</f>
        <v>786165</v>
      </c>
      <c r="D159" s="3">
        <f>'Monthly D5 RIN Data'!$AA37</f>
        <v>1901268</v>
      </c>
      <c r="E159" s="3">
        <f>'Monthly D5 RIN Data'!$AA49</f>
        <v>13392975</v>
      </c>
      <c r="F159" s="3">
        <f>'Monthly D5 RIN Data'!$AA61</f>
        <v>1432327</v>
      </c>
      <c r="G159" s="3">
        <f>'Monthly D5 RIN Data'!$AA73</f>
        <v>640336</v>
      </c>
      <c r="H159" s="3">
        <f>'Monthly D5 RIN Data'!$AA85</f>
        <v>903074</v>
      </c>
      <c r="I159" s="3">
        <f>'Monthly D5 RIN Data'!$AA97</f>
        <v>552750</v>
      </c>
      <c r="J159" s="3">
        <f>'Monthly D5 RIN Data'!$AA109</f>
        <v>5269287</v>
      </c>
      <c r="K159" s="3">
        <f>'Monthly D5 RIN Data'!$AA121</f>
        <v>3360549</v>
      </c>
      <c r="L159" s="3">
        <f>'Monthly D5 RIN Data'!$AA133</f>
        <v>7392026</v>
      </c>
      <c r="M159" s="3">
        <f>'Monthly D5 RIN Data'!$AA145</f>
        <v>8653829</v>
      </c>
      <c r="N159" s="3">
        <f>'Monthly D5 RIN Data'!$AA157</f>
        <v>9674462</v>
      </c>
      <c r="O159" s="3">
        <f>'Monthly D5 RIN Data'!$AA169</f>
        <v>11737344</v>
      </c>
      <c r="P159" s="3">
        <f>'Monthly D5 RIN Data'!$AA181</f>
        <v>8689082</v>
      </c>
      <c r="Q159" s="4">
        <f>'D5 Gallon Forecast'!Q161*AVERAGE('D5 RIN Forecast'!$AA$9:$AE$9)</f>
        <v>8674509.7078919411</v>
      </c>
      <c r="R159" s="4">
        <f>'D5 Gallon Forecast'!R161*AVERAGE('D5 RIN Forecast'!$AA$9:$AE$9)</f>
        <v>10430421.395217668</v>
      </c>
      <c r="S159" s="4">
        <f>'D5 Gallon Forecast'!S161*AVERAGE('D5 RIN Forecast'!$AA$9:$AE$9)</f>
        <v>12618964.477181345</v>
      </c>
      <c r="T159" s="4">
        <f>'D5 Gallon Forecast'!T161*AVERAGE('D5 RIN Forecast'!$AA$9:$AE$9)</f>
        <v>13437835.361579444</v>
      </c>
    </row>
    <row r="160" spans="1:20">
      <c r="A160" s="2" t="s">
        <v>53</v>
      </c>
      <c r="B160" s="3">
        <f>'Monthly D5 RIN Data'!$AA14</f>
        <v>751489</v>
      </c>
      <c r="C160" s="3">
        <f>'Monthly D5 RIN Data'!$AA26</f>
        <v>430061</v>
      </c>
      <c r="D160" s="3">
        <f>'Monthly D5 RIN Data'!$AA38</f>
        <v>3236683</v>
      </c>
      <c r="E160" s="3">
        <f>'Monthly D5 RIN Data'!$AA50</f>
        <v>7514810</v>
      </c>
      <c r="F160" s="3">
        <f>'Monthly D5 RIN Data'!$AA62</f>
        <v>882991</v>
      </c>
      <c r="G160" s="3">
        <f>'Monthly D5 RIN Data'!$AA74</f>
        <v>529233</v>
      </c>
      <c r="H160" s="3">
        <f>'Monthly D5 RIN Data'!$AA86</f>
        <v>651990</v>
      </c>
      <c r="I160" s="3">
        <f>'Monthly D5 RIN Data'!$AA98</f>
        <v>1015708</v>
      </c>
      <c r="J160" s="3">
        <f>'Monthly D5 RIN Data'!$AA110</f>
        <v>5871294</v>
      </c>
      <c r="K160" s="3">
        <f>'Monthly D5 RIN Data'!$AA122</f>
        <v>4070997</v>
      </c>
      <c r="L160" s="3">
        <f>'Monthly D5 RIN Data'!$AA134</f>
        <v>10084263</v>
      </c>
      <c r="M160" s="3">
        <f>'Monthly D5 RIN Data'!$AA146</f>
        <v>1281287</v>
      </c>
      <c r="N160" s="3">
        <f>'Monthly D5 RIN Data'!$AA158</f>
        <v>13773827</v>
      </c>
      <c r="O160" s="3">
        <f>'Monthly D5 RIN Data'!$AA170</f>
        <v>7494912</v>
      </c>
      <c r="P160" s="3">
        <f>'Monthly D5 RIN Data'!$AA182</f>
        <v>12209483</v>
      </c>
      <c r="Q160" s="4">
        <f>'D5 Gallon Forecast'!Q162*AVERAGE('D5 RIN Forecast'!$AA$9:$AE$9)</f>
        <v>8429581.4290647078</v>
      </c>
      <c r="R160" s="4">
        <f>'D5 Gallon Forecast'!R162*AVERAGE('D5 RIN Forecast'!$AA$9:$AE$9)</f>
        <v>9497949.4661965929</v>
      </c>
      <c r="S160" s="4">
        <f>'D5 Gallon Forecast'!S162*AVERAGE('D5 RIN Forecast'!$AA$9:$AE$9)</f>
        <v>13183143.02914956</v>
      </c>
      <c r="T160" s="4">
        <f>'D5 Gallon Forecast'!T162*AVERAGE('D5 RIN Forecast'!$AA$9:$AE$9)</f>
        <v>13093774.13826471</v>
      </c>
    </row>
    <row r="161" spans="1:20">
      <c r="A161" s="2" t="s">
        <v>54</v>
      </c>
      <c r="B161" s="3">
        <f>'Monthly D5 RIN Data'!$AA15</f>
        <v>998580</v>
      </c>
      <c r="C161" s="3">
        <f>'Monthly D5 RIN Data'!$AA27</f>
        <v>891767</v>
      </c>
      <c r="D161" s="3">
        <f>'Monthly D5 RIN Data'!$AA39</f>
        <v>3701541</v>
      </c>
      <c r="E161" s="3">
        <f>'Monthly D5 RIN Data'!$AA51</f>
        <v>965864</v>
      </c>
      <c r="F161" s="3">
        <f>'Monthly D5 RIN Data'!$AA63</f>
        <v>1344089</v>
      </c>
      <c r="G161" s="3">
        <f>'Monthly D5 RIN Data'!$AA75</f>
        <v>508036</v>
      </c>
      <c r="H161" s="3">
        <f>'Monthly D5 RIN Data'!$AA87</f>
        <v>473946</v>
      </c>
      <c r="I161" s="3">
        <f>'Monthly D5 RIN Data'!$AA99</f>
        <v>926969</v>
      </c>
      <c r="J161" s="3">
        <f>'Monthly D5 RIN Data'!$AA111</f>
        <v>4029853</v>
      </c>
      <c r="K161" s="3">
        <f>'Monthly D5 RIN Data'!$AA123</f>
        <v>5138429</v>
      </c>
      <c r="L161" s="3">
        <f>'Monthly D5 RIN Data'!$AA135</f>
        <v>13775887</v>
      </c>
      <c r="M161" s="3">
        <f>'Monthly D5 RIN Data'!$AA147</f>
        <v>18789642</v>
      </c>
      <c r="N161" s="3">
        <f>'Monthly D5 RIN Data'!$AA159</f>
        <v>15593063</v>
      </c>
      <c r="O161" s="3">
        <f>'Monthly D5 RIN Data'!$AA171</f>
        <v>6065288</v>
      </c>
      <c r="P161" s="3">
        <f>'Monthly D5 RIN Data'!$AA183</f>
        <v>10915294</v>
      </c>
      <c r="Q161" s="4">
        <f>'D5 Gallon Forecast'!Q163*AVERAGE('D5 RIN Forecast'!$AA$9:$AE$9)</f>
        <v>6890425.1346868984</v>
      </c>
      <c r="R161" s="4">
        <f>'D5 Gallon Forecast'!R163*AVERAGE('D5 RIN Forecast'!$AA$9:$AE$9)</f>
        <v>12810893.254225783</v>
      </c>
      <c r="S161" s="4">
        <f>'D5 Gallon Forecast'!S163*AVERAGE('D5 RIN Forecast'!$AA$9:$AE$9)</f>
        <v>13406054.402387913</v>
      </c>
      <c r="T161" s="4">
        <f>'D5 Gallon Forecast'!T163*AVERAGE('D5 RIN Forecast'!$AA$9:$AE$9)</f>
        <v>12906414.434352353</v>
      </c>
    </row>
    <row r="162" spans="1:20" ht="13.5" thickBot="1">
      <c r="A162" s="2" t="s">
        <v>29</v>
      </c>
      <c r="B162" s="3">
        <f t="shared" ref="B162:O162" si="61">SUM(B150:B161)</f>
        <v>4491343</v>
      </c>
      <c r="C162" s="3">
        <f t="shared" si="61"/>
        <v>7711272</v>
      </c>
      <c r="D162" s="3">
        <f t="shared" si="61"/>
        <v>17065219</v>
      </c>
      <c r="E162" s="3">
        <f t="shared" si="61"/>
        <v>70153902</v>
      </c>
      <c r="F162" s="3">
        <f t="shared" si="61"/>
        <v>14628048</v>
      </c>
      <c r="G162" s="3">
        <f t="shared" si="61"/>
        <v>8465623</v>
      </c>
      <c r="H162" s="3">
        <f t="shared" si="61"/>
        <v>7932226</v>
      </c>
      <c r="I162" s="3">
        <f t="shared" si="61"/>
        <v>8750305</v>
      </c>
      <c r="J162" s="3">
        <f t="shared" si="61"/>
        <v>40133415</v>
      </c>
      <c r="K162" s="3">
        <f t="shared" si="61"/>
        <v>58299481</v>
      </c>
      <c r="L162" s="3">
        <f t="shared" si="61"/>
        <v>86014356</v>
      </c>
      <c r="M162" s="3">
        <f t="shared" si="61"/>
        <v>106156180</v>
      </c>
      <c r="N162" s="3">
        <f t="shared" si="61"/>
        <v>129144016</v>
      </c>
      <c r="O162" s="3">
        <f t="shared" si="61"/>
        <v>122673890</v>
      </c>
      <c r="P162" s="3">
        <f>SUM(P150:P161)</f>
        <v>114132272</v>
      </c>
      <c r="Q162" s="4">
        <f>SUM(Q150:Q161)</f>
        <v>104913649.73643684</v>
      </c>
      <c r="R162" s="4">
        <f>SUM(R150:R161)</f>
        <v>126895632.76228479</v>
      </c>
      <c r="S162" s="4">
        <f>SUM(S150:S161)</f>
        <v>153297015.42165399</v>
      </c>
      <c r="T162" s="4">
        <f>SUM(T150:T161)</f>
        <v>160251305.70010197</v>
      </c>
    </row>
    <row r="163" spans="1:20">
      <c r="A163" s="114"/>
      <c r="B163" s="114"/>
      <c r="C163" s="114"/>
      <c r="D163" s="114"/>
      <c r="E163" s="114"/>
      <c r="F163" s="114"/>
      <c r="G163" s="114"/>
      <c r="H163" s="114"/>
      <c r="I163" s="114"/>
      <c r="J163" s="114"/>
      <c r="K163" s="114"/>
      <c r="L163" s="114"/>
      <c r="M163" s="114"/>
      <c r="N163" s="114"/>
      <c r="O163" s="114"/>
      <c r="P163" s="114"/>
      <c r="Q163" s="114"/>
      <c r="R163" s="114"/>
      <c r="S163" s="114"/>
      <c r="T163" s="114"/>
    </row>
    <row r="164" spans="1:20" ht="16.5" thickBot="1">
      <c r="A164" s="109" t="s">
        <v>442</v>
      </c>
    </row>
    <row r="165" spans="1:20" ht="13.5" thickBot="1">
      <c r="A165" s="110"/>
      <c r="B165" s="111">
        <v>2010</v>
      </c>
      <c r="C165" s="111">
        <v>2011</v>
      </c>
      <c r="D165" s="111">
        <v>2012</v>
      </c>
      <c r="E165" s="111">
        <v>2013</v>
      </c>
      <c r="F165" s="111">
        <v>2014</v>
      </c>
      <c r="G165" s="111">
        <v>2015</v>
      </c>
      <c r="H165" s="111">
        <v>2016</v>
      </c>
      <c r="I165" s="111">
        <v>2017</v>
      </c>
      <c r="J165" s="111">
        <v>2018</v>
      </c>
      <c r="K165" s="111">
        <v>2019</v>
      </c>
      <c r="L165" s="111">
        <v>2020</v>
      </c>
      <c r="M165" s="111">
        <v>2021</v>
      </c>
      <c r="N165" s="111">
        <v>2022</v>
      </c>
      <c r="O165" s="111">
        <v>2023</v>
      </c>
      <c r="P165" s="111">
        <v>2024</v>
      </c>
      <c r="Q165" s="111">
        <v>2025</v>
      </c>
      <c r="R165" s="111">
        <v>2026</v>
      </c>
      <c r="S165" s="111">
        <v>2027</v>
      </c>
      <c r="T165" s="111">
        <v>2028</v>
      </c>
    </row>
    <row r="166" spans="1:20">
      <c r="A166" s="2" t="s">
        <v>43</v>
      </c>
      <c r="B166" s="3">
        <f>'Monthly D5 RIN Data'!$F4</f>
        <v>0</v>
      </c>
      <c r="C166" s="3">
        <f>'Monthly D5 RIN Data'!$F16</f>
        <v>0</v>
      </c>
      <c r="D166" s="3">
        <f>'Monthly D5 RIN Data'!$F28</f>
        <v>0</v>
      </c>
      <c r="E166" s="3">
        <f>'Monthly D5 RIN Data'!$F40</f>
        <v>0</v>
      </c>
      <c r="F166" s="3">
        <f>'Monthly D5 RIN Data'!$F52</f>
        <v>0</v>
      </c>
      <c r="G166" s="3">
        <f>'Monthly D5 RIN Data'!$F64</f>
        <v>0</v>
      </c>
      <c r="H166" s="3">
        <f>'Monthly D5 RIN Data'!$F76</f>
        <v>0</v>
      </c>
      <c r="I166" s="3">
        <f>'Monthly D5 RIN Data'!$F88</f>
        <v>0</v>
      </c>
      <c r="J166" s="3">
        <f>'Monthly D5 RIN Data'!$F100</f>
        <v>0</v>
      </c>
      <c r="K166" s="3">
        <f>'Monthly D5 RIN Data'!$F112</f>
        <v>0</v>
      </c>
      <c r="L166" s="3">
        <f>'Monthly D5 RIN Data'!$F124</f>
        <v>0</v>
      </c>
      <c r="M166" s="3">
        <f>'Monthly D5 RIN Data'!$F136</f>
        <v>0</v>
      </c>
      <c r="N166" s="3">
        <f>'Monthly D5 RIN Data'!$F148</f>
        <v>0</v>
      </c>
      <c r="O166" s="3">
        <f>'Monthly D5 RIN Data'!$F160</f>
        <v>0</v>
      </c>
      <c r="P166" s="3">
        <f>'Monthly D5 RIN Data'!$F172</f>
        <v>0</v>
      </c>
      <c r="Q166" s="3">
        <f>'Monthly D5 RIN Data'!$F184</f>
        <v>0</v>
      </c>
      <c r="R166" s="4">
        <f>'D5 Gallon Forecast'!R168</f>
        <v>0</v>
      </c>
      <c r="S166" s="4">
        <f>'D5 Gallon Forecast'!S168</f>
        <v>0</v>
      </c>
      <c r="T166" s="4">
        <f>'D5 Gallon Forecast'!T168</f>
        <v>0</v>
      </c>
    </row>
    <row r="167" spans="1:20">
      <c r="A167" s="2" t="s">
        <v>44</v>
      </c>
      <c r="B167" s="3">
        <f>'Monthly D5 RIN Data'!$F5</f>
        <v>0</v>
      </c>
      <c r="C167" s="3">
        <f>'Monthly D5 RIN Data'!$F17</f>
        <v>0</v>
      </c>
      <c r="D167" s="3">
        <f>'Monthly D5 RIN Data'!$F29</f>
        <v>0</v>
      </c>
      <c r="E167" s="3">
        <f>'Monthly D5 RIN Data'!$F41</f>
        <v>0</v>
      </c>
      <c r="F167" s="3">
        <f>'Monthly D5 RIN Data'!$F53</f>
        <v>0</v>
      </c>
      <c r="G167" s="3">
        <f>'Monthly D5 RIN Data'!$F65</f>
        <v>0</v>
      </c>
      <c r="H167" s="3">
        <f>'Monthly D5 RIN Data'!$F77</f>
        <v>0</v>
      </c>
      <c r="I167" s="3">
        <f>'Monthly D5 RIN Data'!$F89</f>
        <v>0</v>
      </c>
      <c r="J167" s="3">
        <f>'Monthly D5 RIN Data'!$F101</f>
        <v>0</v>
      </c>
      <c r="K167" s="3">
        <f>'Monthly D5 RIN Data'!$F113</f>
        <v>0</v>
      </c>
      <c r="L167" s="3">
        <f>'Monthly D5 RIN Data'!$F125</f>
        <v>0</v>
      </c>
      <c r="M167" s="3">
        <f>'Monthly D5 RIN Data'!$F137</f>
        <v>0</v>
      </c>
      <c r="N167" s="3">
        <f>'Monthly D5 RIN Data'!$F149</f>
        <v>0</v>
      </c>
      <c r="O167" s="3">
        <f>'Monthly D5 RIN Data'!$F161</f>
        <v>0</v>
      </c>
      <c r="P167" s="3">
        <f>'Monthly D5 RIN Data'!$F173</f>
        <v>0</v>
      </c>
      <c r="Q167" s="3">
        <f>'Monthly D5 RIN Data'!$F185</f>
        <v>0</v>
      </c>
      <c r="R167" s="4">
        <f>'D5 Gallon Forecast'!R169</f>
        <v>0</v>
      </c>
      <c r="S167" s="4">
        <f>'D5 Gallon Forecast'!S169</f>
        <v>0</v>
      </c>
      <c r="T167" s="4">
        <f>'D5 Gallon Forecast'!T169</f>
        <v>0</v>
      </c>
    </row>
    <row r="168" spans="1:20">
      <c r="A168" s="2" t="s">
        <v>45</v>
      </c>
      <c r="B168" s="3">
        <f>'Monthly D5 RIN Data'!$F6</f>
        <v>0</v>
      </c>
      <c r="C168" s="3">
        <f>'Monthly D5 RIN Data'!$F18</f>
        <v>0</v>
      </c>
      <c r="D168" s="3">
        <f>'Monthly D5 RIN Data'!$F30</f>
        <v>0</v>
      </c>
      <c r="E168" s="3">
        <f>'Monthly D5 RIN Data'!$F42</f>
        <v>0</v>
      </c>
      <c r="F168" s="3">
        <f>'Monthly D5 RIN Data'!$F54</f>
        <v>0</v>
      </c>
      <c r="G168" s="3">
        <f>'Monthly D5 RIN Data'!$F66</f>
        <v>0</v>
      </c>
      <c r="H168" s="3">
        <f>'Monthly D5 RIN Data'!$F78</f>
        <v>0</v>
      </c>
      <c r="I168" s="3">
        <f>'Monthly D5 RIN Data'!$F90</f>
        <v>0</v>
      </c>
      <c r="J168" s="3">
        <f>'Monthly D5 RIN Data'!$F102</f>
        <v>0</v>
      </c>
      <c r="K168" s="3">
        <f>'Monthly D5 RIN Data'!$F114</f>
        <v>0</v>
      </c>
      <c r="L168" s="3">
        <f>'Monthly D5 RIN Data'!$F126</f>
        <v>0</v>
      </c>
      <c r="M168" s="3">
        <f>'Monthly D5 RIN Data'!$F138</f>
        <v>0</v>
      </c>
      <c r="N168" s="3">
        <f>'Monthly D5 RIN Data'!$F150</f>
        <v>0</v>
      </c>
      <c r="O168" s="3">
        <f>'Monthly D5 RIN Data'!$F162</f>
        <v>0</v>
      </c>
      <c r="P168" s="3">
        <f>'Monthly D5 RIN Data'!$F174</f>
        <v>0</v>
      </c>
      <c r="Q168" s="3">
        <f>'Monthly D5 RIN Data'!$F186</f>
        <v>0</v>
      </c>
      <c r="R168" s="4">
        <f>'D5 Gallon Forecast'!R170</f>
        <v>0</v>
      </c>
      <c r="S168" s="4">
        <f>'D5 Gallon Forecast'!S170</f>
        <v>0</v>
      </c>
      <c r="T168" s="4">
        <f>'D5 Gallon Forecast'!T170</f>
        <v>0</v>
      </c>
    </row>
    <row r="169" spans="1:20">
      <c r="A169" s="2" t="s">
        <v>46</v>
      </c>
      <c r="B169" s="3">
        <f>'Monthly D5 RIN Data'!$F7</f>
        <v>0</v>
      </c>
      <c r="C169" s="3">
        <f>'Monthly D5 RIN Data'!$F19</f>
        <v>0</v>
      </c>
      <c r="D169" s="3">
        <f>'Monthly D5 RIN Data'!$F31</f>
        <v>0</v>
      </c>
      <c r="E169" s="3">
        <f>'Monthly D5 RIN Data'!$F43</f>
        <v>0</v>
      </c>
      <c r="F169" s="3">
        <f>'Monthly D5 RIN Data'!$F55</f>
        <v>0</v>
      </c>
      <c r="G169" s="3">
        <f>'Monthly D5 RIN Data'!$F67</f>
        <v>0</v>
      </c>
      <c r="H169" s="3">
        <f>'Monthly D5 RIN Data'!$F79</f>
        <v>0</v>
      </c>
      <c r="I169" s="3">
        <f>'Monthly D5 RIN Data'!$F91</f>
        <v>0</v>
      </c>
      <c r="J169" s="3">
        <f>'Monthly D5 RIN Data'!$F103</f>
        <v>0</v>
      </c>
      <c r="K169" s="3">
        <f>'Monthly D5 RIN Data'!$F115</f>
        <v>0</v>
      </c>
      <c r="L169" s="3">
        <f>'Monthly D5 RIN Data'!$F127</f>
        <v>0</v>
      </c>
      <c r="M169" s="3">
        <f>'Monthly D5 RIN Data'!$F139</f>
        <v>0</v>
      </c>
      <c r="N169" s="3">
        <f>'Monthly D5 RIN Data'!$F151</f>
        <v>0</v>
      </c>
      <c r="O169" s="3">
        <f>'Monthly D5 RIN Data'!$F163</f>
        <v>0</v>
      </c>
      <c r="P169" s="3">
        <f>'Monthly D5 RIN Data'!$F175</f>
        <v>0</v>
      </c>
      <c r="Q169" s="4">
        <f>'D5 Gallon Forecast'!Q171</f>
        <v>0</v>
      </c>
      <c r="R169" s="4">
        <f>'D5 Gallon Forecast'!R171</f>
        <v>0</v>
      </c>
      <c r="S169" s="4">
        <f>'D5 Gallon Forecast'!S171</f>
        <v>0</v>
      </c>
      <c r="T169" s="4">
        <f>'D5 Gallon Forecast'!T171</f>
        <v>0</v>
      </c>
    </row>
    <row r="170" spans="1:20">
      <c r="A170" s="2" t="s">
        <v>47</v>
      </c>
      <c r="B170" s="3">
        <f>'Monthly D5 RIN Data'!$F8</f>
        <v>0</v>
      </c>
      <c r="C170" s="3">
        <f>'Monthly D5 RIN Data'!$F20</f>
        <v>0</v>
      </c>
      <c r="D170" s="3">
        <f>'Monthly D5 RIN Data'!$F32</f>
        <v>0</v>
      </c>
      <c r="E170" s="3">
        <f>'Monthly D5 RIN Data'!$F44</f>
        <v>0</v>
      </c>
      <c r="F170" s="3">
        <f>'Monthly D5 RIN Data'!$F56</f>
        <v>0</v>
      </c>
      <c r="G170" s="3">
        <f>'Monthly D5 RIN Data'!$F68</f>
        <v>0</v>
      </c>
      <c r="H170" s="3">
        <f>'Monthly D5 RIN Data'!$F80</f>
        <v>0</v>
      </c>
      <c r="I170" s="3">
        <f>'Monthly D5 RIN Data'!$F92</f>
        <v>0</v>
      </c>
      <c r="J170" s="3">
        <f>'Monthly D5 RIN Data'!$F104</f>
        <v>0</v>
      </c>
      <c r="K170" s="3">
        <f>'Monthly D5 RIN Data'!$F116</f>
        <v>0</v>
      </c>
      <c r="L170" s="3">
        <f>'Monthly D5 RIN Data'!$F128</f>
        <v>0</v>
      </c>
      <c r="M170" s="3">
        <f>'Monthly D5 RIN Data'!$F140</f>
        <v>0</v>
      </c>
      <c r="N170" s="3">
        <f>'Monthly D5 RIN Data'!$F152</f>
        <v>0</v>
      </c>
      <c r="O170" s="3">
        <f>'Monthly D5 RIN Data'!$F164</f>
        <v>0</v>
      </c>
      <c r="P170" s="3">
        <f>'Monthly D5 RIN Data'!$F176</f>
        <v>0</v>
      </c>
      <c r="Q170" s="4">
        <f>'D5 Gallon Forecast'!Q172</f>
        <v>0</v>
      </c>
      <c r="R170" s="4">
        <f>'D5 Gallon Forecast'!R172</f>
        <v>0</v>
      </c>
      <c r="S170" s="4">
        <f>'D5 Gallon Forecast'!S172</f>
        <v>0</v>
      </c>
      <c r="T170" s="4">
        <f>'D5 Gallon Forecast'!T172</f>
        <v>0</v>
      </c>
    </row>
    <row r="171" spans="1:20">
      <c r="A171" s="2" t="s">
        <v>48</v>
      </c>
      <c r="B171" s="3">
        <f>'Monthly D5 RIN Data'!$F9</f>
        <v>0</v>
      </c>
      <c r="C171" s="3">
        <f>'Monthly D5 RIN Data'!$F21</f>
        <v>0</v>
      </c>
      <c r="D171" s="3">
        <f>'Monthly D5 RIN Data'!$F33</f>
        <v>0</v>
      </c>
      <c r="E171" s="3">
        <f>'Monthly D5 RIN Data'!$F45</f>
        <v>0</v>
      </c>
      <c r="F171" s="3">
        <f>'Monthly D5 RIN Data'!$F57</f>
        <v>0</v>
      </c>
      <c r="G171" s="3">
        <f>'Monthly D5 RIN Data'!$F69</f>
        <v>0</v>
      </c>
      <c r="H171" s="3">
        <f>'Monthly D5 RIN Data'!$F81</f>
        <v>0</v>
      </c>
      <c r="I171" s="3">
        <f>'Monthly D5 RIN Data'!$F93</f>
        <v>0</v>
      </c>
      <c r="J171" s="3">
        <f>'Monthly D5 RIN Data'!$F105</f>
        <v>0</v>
      </c>
      <c r="K171" s="3">
        <f>'Monthly D5 RIN Data'!$F117</f>
        <v>0</v>
      </c>
      <c r="L171" s="3">
        <f>'Monthly D5 RIN Data'!$F129</f>
        <v>0</v>
      </c>
      <c r="M171" s="3">
        <f>'Monthly D5 RIN Data'!$F141</f>
        <v>0</v>
      </c>
      <c r="N171" s="3">
        <f>'Monthly D5 RIN Data'!$F153</f>
        <v>0</v>
      </c>
      <c r="O171" s="3">
        <f>'Monthly D5 RIN Data'!$F165</f>
        <v>0</v>
      </c>
      <c r="P171" s="3">
        <f>'Monthly D5 RIN Data'!$F177</f>
        <v>0</v>
      </c>
      <c r="Q171" s="4">
        <f>'D5 Gallon Forecast'!Q173</f>
        <v>0</v>
      </c>
      <c r="R171" s="4">
        <f>'D5 Gallon Forecast'!R173</f>
        <v>0</v>
      </c>
      <c r="S171" s="4">
        <f>'D5 Gallon Forecast'!S173</f>
        <v>0</v>
      </c>
      <c r="T171" s="4">
        <f>'D5 Gallon Forecast'!T173</f>
        <v>0</v>
      </c>
    </row>
    <row r="172" spans="1:20">
      <c r="A172" s="2" t="s">
        <v>49</v>
      </c>
      <c r="B172" s="3">
        <f>'Monthly D5 RIN Data'!$F10</f>
        <v>0</v>
      </c>
      <c r="C172" s="3">
        <f>'Monthly D5 RIN Data'!$F22</f>
        <v>0</v>
      </c>
      <c r="D172" s="3">
        <f>'Monthly D5 RIN Data'!$F34</f>
        <v>0</v>
      </c>
      <c r="E172" s="3">
        <f>'Monthly D5 RIN Data'!$F46</f>
        <v>0</v>
      </c>
      <c r="F172" s="3">
        <f>'Monthly D5 RIN Data'!$F58</f>
        <v>0</v>
      </c>
      <c r="G172" s="3">
        <f>'Monthly D5 RIN Data'!$F70</f>
        <v>0</v>
      </c>
      <c r="H172" s="3">
        <f>'Monthly D5 RIN Data'!$F82</f>
        <v>0</v>
      </c>
      <c r="I172" s="3">
        <f>'Monthly D5 RIN Data'!$F94</f>
        <v>0</v>
      </c>
      <c r="J172" s="3">
        <f>'Monthly D5 RIN Data'!$F106</f>
        <v>0</v>
      </c>
      <c r="K172" s="3">
        <f>'Monthly D5 RIN Data'!$F118</f>
        <v>0</v>
      </c>
      <c r="L172" s="3">
        <f>'Monthly D5 RIN Data'!$F130</f>
        <v>0</v>
      </c>
      <c r="M172" s="3">
        <f>'Monthly D5 RIN Data'!$F142</f>
        <v>0</v>
      </c>
      <c r="N172" s="3">
        <f>'Monthly D5 RIN Data'!$F154</f>
        <v>0</v>
      </c>
      <c r="O172" s="3">
        <f>'Monthly D5 RIN Data'!$F166</f>
        <v>0</v>
      </c>
      <c r="P172" s="3">
        <f>'Monthly D5 RIN Data'!$F178</f>
        <v>0</v>
      </c>
      <c r="Q172" s="4">
        <f>'D5 Gallon Forecast'!Q174</f>
        <v>0</v>
      </c>
      <c r="R172" s="4">
        <f>'D5 Gallon Forecast'!R174</f>
        <v>0</v>
      </c>
      <c r="S172" s="4">
        <f>'D5 Gallon Forecast'!S174</f>
        <v>0</v>
      </c>
      <c r="T172" s="4">
        <f>'D5 Gallon Forecast'!T174</f>
        <v>0</v>
      </c>
    </row>
    <row r="173" spans="1:20">
      <c r="A173" s="2" t="s">
        <v>50</v>
      </c>
      <c r="B173" s="3">
        <f>'Monthly D5 RIN Data'!$F11</f>
        <v>0</v>
      </c>
      <c r="C173" s="3">
        <f>'Monthly D5 RIN Data'!$F23</f>
        <v>0</v>
      </c>
      <c r="D173" s="3">
        <f>'Monthly D5 RIN Data'!$F35</f>
        <v>0</v>
      </c>
      <c r="E173" s="3">
        <f>'Monthly D5 RIN Data'!$F47</f>
        <v>0</v>
      </c>
      <c r="F173" s="3">
        <f>'Monthly D5 RIN Data'!$F59</f>
        <v>0</v>
      </c>
      <c r="G173" s="3">
        <f>'Monthly D5 RIN Data'!$F71</f>
        <v>0</v>
      </c>
      <c r="H173" s="3">
        <f>'Monthly D5 RIN Data'!$F83</f>
        <v>0</v>
      </c>
      <c r="I173" s="3">
        <f>'Monthly D5 RIN Data'!$F95</f>
        <v>0</v>
      </c>
      <c r="J173" s="3">
        <f>'Monthly D5 RIN Data'!$F107</f>
        <v>0</v>
      </c>
      <c r="K173" s="3">
        <f>'Monthly D5 RIN Data'!$F119</f>
        <v>0</v>
      </c>
      <c r="L173" s="3">
        <f>'Monthly D5 RIN Data'!$F131</f>
        <v>0</v>
      </c>
      <c r="M173" s="3">
        <f>'Monthly D5 RIN Data'!$F143</f>
        <v>0</v>
      </c>
      <c r="N173" s="3">
        <f>'Monthly D5 RIN Data'!$F155</f>
        <v>0</v>
      </c>
      <c r="O173" s="3">
        <f>'Monthly D5 RIN Data'!$F167</f>
        <v>0</v>
      </c>
      <c r="P173" s="3">
        <f>'Monthly D5 RIN Data'!$F179</f>
        <v>0</v>
      </c>
      <c r="Q173" s="4">
        <f>'D5 Gallon Forecast'!Q175</f>
        <v>0</v>
      </c>
      <c r="R173" s="4">
        <f>'D5 Gallon Forecast'!R175</f>
        <v>0</v>
      </c>
      <c r="S173" s="4">
        <f>'D5 Gallon Forecast'!S175</f>
        <v>0</v>
      </c>
      <c r="T173" s="4">
        <f>'D5 Gallon Forecast'!T175</f>
        <v>0</v>
      </c>
    </row>
    <row r="174" spans="1:20">
      <c r="A174" s="2" t="s">
        <v>51</v>
      </c>
      <c r="B174" s="3">
        <f>'Monthly D5 RIN Data'!$F12</f>
        <v>0</v>
      </c>
      <c r="C174" s="3">
        <f>'Monthly D5 RIN Data'!$F24</f>
        <v>0</v>
      </c>
      <c r="D174" s="3">
        <f>'Monthly D5 RIN Data'!$F36</f>
        <v>0</v>
      </c>
      <c r="E174" s="3">
        <f>'Monthly D5 RIN Data'!$F48</f>
        <v>0</v>
      </c>
      <c r="F174" s="3">
        <f>'Monthly D5 RIN Data'!$F60</f>
        <v>0</v>
      </c>
      <c r="G174" s="3">
        <f>'Monthly D5 RIN Data'!$F72</f>
        <v>0</v>
      </c>
      <c r="H174" s="3">
        <f>'Monthly D5 RIN Data'!$F84</f>
        <v>0</v>
      </c>
      <c r="I174" s="3">
        <f>'Monthly D5 RIN Data'!$F96</f>
        <v>0</v>
      </c>
      <c r="J174" s="3">
        <f>'Monthly D5 RIN Data'!$F108</f>
        <v>0</v>
      </c>
      <c r="K174" s="3">
        <f>'Monthly D5 RIN Data'!$F120</f>
        <v>0</v>
      </c>
      <c r="L174" s="3">
        <f>'Monthly D5 RIN Data'!$F132</f>
        <v>0</v>
      </c>
      <c r="M174" s="3">
        <f>'Monthly D5 RIN Data'!$F144</f>
        <v>0</v>
      </c>
      <c r="N174" s="3">
        <f>'Monthly D5 RIN Data'!$F156</f>
        <v>0</v>
      </c>
      <c r="O174" s="3">
        <f>'Monthly D5 RIN Data'!$F168</f>
        <v>0</v>
      </c>
      <c r="P174" s="3">
        <f>'Monthly D5 RIN Data'!$F180</f>
        <v>0</v>
      </c>
      <c r="Q174" s="4">
        <f>'D5 Gallon Forecast'!Q176</f>
        <v>0</v>
      </c>
      <c r="R174" s="4">
        <f>'D5 Gallon Forecast'!R176</f>
        <v>0</v>
      </c>
      <c r="S174" s="4">
        <f>'D5 Gallon Forecast'!S176</f>
        <v>0</v>
      </c>
      <c r="T174" s="4">
        <f>'D5 Gallon Forecast'!T176</f>
        <v>0</v>
      </c>
    </row>
    <row r="175" spans="1:20">
      <c r="A175" s="2" t="s">
        <v>52</v>
      </c>
      <c r="B175" s="3">
        <f>'Monthly D5 RIN Data'!$F13</f>
        <v>0</v>
      </c>
      <c r="C175" s="3">
        <f>'Monthly D5 RIN Data'!$F25</f>
        <v>0</v>
      </c>
      <c r="D175" s="3">
        <f>'Monthly D5 RIN Data'!$F37</f>
        <v>0</v>
      </c>
      <c r="E175" s="3">
        <f>'Monthly D5 RIN Data'!$F49</f>
        <v>0</v>
      </c>
      <c r="F175" s="3">
        <f>'Monthly D5 RIN Data'!$F61</f>
        <v>0</v>
      </c>
      <c r="G175" s="3">
        <f>'Monthly D5 RIN Data'!$F73</f>
        <v>0</v>
      </c>
      <c r="H175" s="3">
        <f>'Monthly D5 RIN Data'!$F85</f>
        <v>0</v>
      </c>
      <c r="I175" s="3">
        <f>'Monthly D5 RIN Data'!$F97</f>
        <v>0</v>
      </c>
      <c r="J175" s="3">
        <f>'Monthly D5 RIN Data'!$F109</f>
        <v>0</v>
      </c>
      <c r="K175" s="3">
        <f>'Monthly D5 RIN Data'!$F121</f>
        <v>0</v>
      </c>
      <c r="L175" s="3">
        <f>'Monthly D5 RIN Data'!$F133</f>
        <v>0</v>
      </c>
      <c r="M175" s="3">
        <f>'Monthly D5 RIN Data'!$F145</f>
        <v>0</v>
      </c>
      <c r="N175" s="3">
        <f>'Monthly D5 RIN Data'!$F157</f>
        <v>0</v>
      </c>
      <c r="O175" s="3">
        <f>'Monthly D5 RIN Data'!$F169</f>
        <v>0</v>
      </c>
      <c r="P175" s="3">
        <f>'Monthly D5 RIN Data'!$F181</f>
        <v>0</v>
      </c>
      <c r="Q175" s="4">
        <f>'D5 Gallon Forecast'!Q177</f>
        <v>0</v>
      </c>
      <c r="R175" s="4">
        <f>'D5 Gallon Forecast'!R177</f>
        <v>0</v>
      </c>
      <c r="S175" s="4">
        <f>'D5 Gallon Forecast'!S177</f>
        <v>0</v>
      </c>
      <c r="T175" s="4">
        <f>'D5 Gallon Forecast'!T177</f>
        <v>0</v>
      </c>
    </row>
    <row r="176" spans="1:20">
      <c r="A176" s="2" t="s">
        <v>53</v>
      </c>
      <c r="B176" s="3">
        <f>'Monthly D5 RIN Data'!$F14</f>
        <v>0</v>
      </c>
      <c r="C176" s="3">
        <f>'Monthly D5 RIN Data'!$F26</f>
        <v>0</v>
      </c>
      <c r="D176" s="3">
        <f>'Monthly D5 RIN Data'!$F38</f>
        <v>0</v>
      </c>
      <c r="E176" s="3">
        <f>'Monthly D5 RIN Data'!$F50</f>
        <v>0</v>
      </c>
      <c r="F176" s="3">
        <f>'Monthly D5 RIN Data'!$F62</f>
        <v>0</v>
      </c>
      <c r="G176" s="3">
        <f>'Monthly D5 RIN Data'!$F74</f>
        <v>0</v>
      </c>
      <c r="H176" s="3">
        <f>'Monthly D5 RIN Data'!$F86</f>
        <v>0</v>
      </c>
      <c r="I176" s="3">
        <f>'Monthly D5 RIN Data'!$F98</f>
        <v>0</v>
      </c>
      <c r="J176" s="3">
        <f>'Monthly D5 RIN Data'!$F110</f>
        <v>0</v>
      </c>
      <c r="K176" s="3">
        <f>'Monthly D5 RIN Data'!$F122</f>
        <v>0</v>
      </c>
      <c r="L176" s="3">
        <f>'Monthly D5 RIN Data'!$F134</f>
        <v>0</v>
      </c>
      <c r="M176" s="3">
        <f>'Monthly D5 RIN Data'!$F146</f>
        <v>0</v>
      </c>
      <c r="N176" s="3">
        <f>'Monthly D5 RIN Data'!$F158</f>
        <v>0</v>
      </c>
      <c r="O176" s="3">
        <f>'Monthly D5 RIN Data'!$F170</f>
        <v>0</v>
      </c>
      <c r="P176" s="3">
        <f>'Monthly D5 RIN Data'!$F182</f>
        <v>0</v>
      </c>
      <c r="Q176" s="4">
        <f>'D5 Gallon Forecast'!Q178</f>
        <v>0</v>
      </c>
      <c r="R176" s="4">
        <f>'D5 Gallon Forecast'!R178</f>
        <v>0</v>
      </c>
      <c r="S176" s="4">
        <f>'D5 Gallon Forecast'!S178</f>
        <v>0</v>
      </c>
      <c r="T176" s="4">
        <f>'D5 Gallon Forecast'!T178</f>
        <v>0</v>
      </c>
    </row>
    <row r="177" spans="1:20">
      <c r="A177" s="2" t="s">
        <v>54</v>
      </c>
      <c r="B177" s="3">
        <f>'Monthly D5 RIN Data'!$F15</f>
        <v>0</v>
      </c>
      <c r="C177" s="3">
        <f>'Monthly D5 RIN Data'!$F27</f>
        <v>0</v>
      </c>
      <c r="D177" s="3">
        <f>'Monthly D5 RIN Data'!$F39</f>
        <v>0</v>
      </c>
      <c r="E177" s="3">
        <f>'Monthly D5 RIN Data'!$F51</f>
        <v>0</v>
      </c>
      <c r="F177" s="3">
        <f>'Monthly D5 RIN Data'!$F63</f>
        <v>0</v>
      </c>
      <c r="G177" s="3">
        <f>'Monthly D5 RIN Data'!$F75</f>
        <v>0</v>
      </c>
      <c r="H177" s="3">
        <f>'Monthly D5 RIN Data'!$F87</f>
        <v>0</v>
      </c>
      <c r="I177" s="3">
        <f>'Monthly D5 RIN Data'!$F99</f>
        <v>0</v>
      </c>
      <c r="J177" s="3">
        <f>'Monthly D5 RIN Data'!$F111</f>
        <v>0</v>
      </c>
      <c r="K177" s="3">
        <f>'Monthly D5 RIN Data'!$F123</f>
        <v>0</v>
      </c>
      <c r="L177" s="3">
        <f>'Monthly D5 RIN Data'!$F135</f>
        <v>0</v>
      </c>
      <c r="M177" s="3">
        <f>'Monthly D5 RIN Data'!$F147</f>
        <v>0</v>
      </c>
      <c r="N177" s="3">
        <f>'Monthly D5 RIN Data'!$F159</f>
        <v>0</v>
      </c>
      <c r="O177" s="3">
        <f>'Monthly D5 RIN Data'!$F171</f>
        <v>0</v>
      </c>
      <c r="P177" s="3">
        <f>'Monthly D5 RIN Data'!$F183</f>
        <v>0</v>
      </c>
      <c r="Q177" s="4">
        <f>'D5 Gallon Forecast'!Q179</f>
        <v>0</v>
      </c>
      <c r="R177" s="4">
        <f>'D5 Gallon Forecast'!R179</f>
        <v>0</v>
      </c>
      <c r="S177" s="4">
        <f>'D5 Gallon Forecast'!S179</f>
        <v>0</v>
      </c>
      <c r="T177" s="4">
        <f>'D5 Gallon Forecast'!T179</f>
        <v>0</v>
      </c>
    </row>
    <row r="178" spans="1:20" ht="13.5" thickBot="1">
      <c r="A178" s="2" t="s">
        <v>29</v>
      </c>
      <c r="B178" s="3">
        <f t="shared" ref="B178:O178" si="62">SUM(B166:B177)</f>
        <v>0</v>
      </c>
      <c r="C178" s="3">
        <f t="shared" si="62"/>
        <v>0</v>
      </c>
      <c r="D178" s="3">
        <f t="shared" si="62"/>
        <v>0</v>
      </c>
      <c r="E178" s="3">
        <f t="shared" si="62"/>
        <v>0</v>
      </c>
      <c r="F178" s="3">
        <f t="shared" si="62"/>
        <v>0</v>
      </c>
      <c r="G178" s="3">
        <f t="shared" si="62"/>
        <v>0</v>
      </c>
      <c r="H178" s="3">
        <f t="shared" si="62"/>
        <v>0</v>
      </c>
      <c r="I178" s="3">
        <f t="shared" si="62"/>
        <v>0</v>
      </c>
      <c r="J178" s="3">
        <f t="shared" si="62"/>
        <v>0</v>
      </c>
      <c r="K178" s="3">
        <f t="shared" si="62"/>
        <v>0</v>
      </c>
      <c r="L178" s="3">
        <f t="shared" si="62"/>
        <v>0</v>
      </c>
      <c r="M178" s="3">
        <f t="shared" si="62"/>
        <v>0</v>
      </c>
      <c r="N178" s="3">
        <f t="shared" si="62"/>
        <v>0</v>
      </c>
      <c r="O178" s="3">
        <f t="shared" si="62"/>
        <v>0</v>
      </c>
      <c r="P178" s="3">
        <f>SUM(P166:P177)</f>
        <v>0</v>
      </c>
      <c r="Q178" s="4">
        <f>SUM(Q166:Q177)</f>
        <v>0</v>
      </c>
      <c r="R178" s="4">
        <f>SUM(R166:R177)</f>
        <v>0</v>
      </c>
      <c r="S178" s="4">
        <f>SUM(S166:S177)</f>
        <v>0</v>
      </c>
      <c r="T178" s="4">
        <f>SUM(T166:T177)</f>
        <v>0</v>
      </c>
    </row>
    <row r="179" spans="1:20">
      <c r="A179" s="114"/>
      <c r="B179" s="114"/>
      <c r="C179" s="114"/>
      <c r="D179" s="114"/>
      <c r="E179" s="114"/>
      <c r="F179" s="114"/>
      <c r="G179" s="114"/>
      <c r="H179" s="114"/>
      <c r="I179" s="114"/>
      <c r="J179" s="114"/>
      <c r="K179" s="114"/>
      <c r="L179" s="114"/>
      <c r="M179" s="114"/>
      <c r="N179" s="114"/>
      <c r="O179" s="114"/>
      <c r="P179" s="114"/>
      <c r="Q179" s="114"/>
      <c r="R179" s="114"/>
      <c r="S179" s="114"/>
      <c r="T179" s="114"/>
    </row>
    <row r="180" spans="1:20" ht="16.5" thickBot="1">
      <c r="A180" s="109" t="s">
        <v>443</v>
      </c>
    </row>
    <row r="181" spans="1:20" ht="13.5" thickBot="1">
      <c r="A181" s="110"/>
      <c r="B181" s="111">
        <v>2010</v>
      </c>
      <c r="C181" s="111">
        <v>2011</v>
      </c>
      <c r="D181" s="111">
        <v>2012</v>
      </c>
      <c r="E181" s="111">
        <v>2013</v>
      </c>
      <c r="F181" s="111">
        <v>2014</v>
      </c>
      <c r="G181" s="111">
        <v>2015</v>
      </c>
      <c r="H181" s="111">
        <v>2016</v>
      </c>
      <c r="I181" s="111">
        <v>2017</v>
      </c>
      <c r="J181" s="111">
        <v>2018</v>
      </c>
      <c r="K181" s="111">
        <v>2019</v>
      </c>
      <c r="L181" s="111">
        <v>2020</v>
      </c>
      <c r="M181" s="111">
        <v>2021</v>
      </c>
      <c r="N181" s="111">
        <v>2022</v>
      </c>
      <c r="O181" s="111">
        <v>2023</v>
      </c>
      <c r="P181" s="111">
        <v>2024</v>
      </c>
      <c r="Q181" s="111">
        <v>2025</v>
      </c>
      <c r="R181" s="111">
        <v>2026</v>
      </c>
      <c r="S181" s="111">
        <v>2027</v>
      </c>
      <c r="T181" s="111">
        <v>2028</v>
      </c>
    </row>
    <row r="182" spans="1:20">
      <c r="A182" s="2" t="s">
        <v>43</v>
      </c>
      <c r="B182" s="3">
        <f>B198+B214</f>
        <v>0</v>
      </c>
      <c r="C182" s="3">
        <f t="shared" ref="C182:T193" si="63">C198+C214</f>
        <v>784262</v>
      </c>
      <c r="D182" s="3">
        <f t="shared" si="63"/>
        <v>95207</v>
      </c>
      <c r="E182" s="3">
        <f t="shared" si="63"/>
        <v>0</v>
      </c>
      <c r="F182" s="3">
        <f t="shared" si="63"/>
        <v>0</v>
      </c>
      <c r="G182" s="3">
        <f t="shared" si="63"/>
        <v>60421</v>
      </c>
      <c r="H182" s="3">
        <f t="shared" si="63"/>
        <v>201225</v>
      </c>
      <c r="I182" s="3">
        <f t="shared" si="63"/>
        <v>244558</v>
      </c>
      <c r="J182" s="3">
        <f t="shared" si="63"/>
        <v>422563</v>
      </c>
      <c r="K182" s="3">
        <f t="shared" si="63"/>
        <v>596129</v>
      </c>
      <c r="L182" s="3">
        <f t="shared" si="63"/>
        <v>415096</v>
      </c>
      <c r="M182" s="3">
        <f t="shared" si="63"/>
        <v>277332</v>
      </c>
      <c r="N182" s="3">
        <f t="shared" si="63"/>
        <v>281372</v>
      </c>
      <c r="O182" s="3">
        <f t="shared" si="63"/>
        <v>228976</v>
      </c>
      <c r="P182" s="3">
        <f t="shared" si="63"/>
        <v>1012545</v>
      </c>
      <c r="Q182" s="3">
        <f t="shared" si="63"/>
        <v>337767</v>
      </c>
      <c r="R182" s="4">
        <f t="shared" si="63"/>
        <v>588327.47650811169</v>
      </c>
      <c r="S182" s="4">
        <f t="shared" si="63"/>
        <v>602137.7991656136</v>
      </c>
      <c r="T182" s="4">
        <f t="shared" si="63"/>
        <v>696633.87705269735</v>
      </c>
    </row>
    <row r="183" spans="1:20">
      <c r="A183" s="2" t="s">
        <v>44</v>
      </c>
      <c r="B183" s="3">
        <f t="shared" ref="B183:J193" si="64">B199+B215</f>
        <v>0</v>
      </c>
      <c r="C183" s="3">
        <f t="shared" si="64"/>
        <v>264333</v>
      </c>
      <c r="D183" s="3">
        <f t="shared" si="64"/>
        <v>41060</v>
      </c>
      <c r="E183" s="3">
        <f t="shared" si="64"/>
        <v>0</v>
      </c>
      <c r="F183" s="3">
        <f t="shared" si="64"/>
        <v>0</v>
      </c>
      <c r="G183" s="3">
        <f t="shared" si="64"/>
        <v>88161</v>
      </c>
      <c r="H183" s="3">
        <f t="shared" si="64"/>
        <v>222234</v>
      </c>
      <c r="I183" s="3">
        <f t="shared" si="64"/>
        <v>232206</v>
      </c>
      <c r="J183" s="3">
        <f t="shared" si="64"/>
        <v>389857</v>
      </c>
      <c r="K183" s="3">
        <f t="shared" si="63"/>
        <v>477547</v>
      </c>
      <c r="L183" s="3">
        <f t="shared" si="63"/>
        <v>324044</v>
      </c>
      <c r="M183" s="3">
        <f t="shared" si="63"/>
        <v>305358</v>
      </c>
      <c r="N183" s="3">
        <f t="shared" si="63"/>
        <v>189336</v>
      </c>
      <c r="O183" s="3">
        <f t="shared" si="63"/>
        <v>360302</v>
      </c>
      <c r="P183" s="3">
        <f t="shared" si="63"/>
        <v>0</v>
      </c>
      <c r="Q183" s="3">
        <f t="shared" si="63"/>
        <v>112984</v>
      </c>
      <c r="R183" s="4">
        <f t="shared" si="63"/>
        <v>266366.57780823775</v>
      </c>
      <c r="S183" s="4">
        <f t="shared" si="63"/>
        <v>228412.09200989601</v>
      </c>
      <c r="T183" s="4">
        <f t="shared" si="63"/>
        <v>243482.39869495531</v>
      </c>
    </row>
    <row r="184" spans="1:20">
      <c r="A184" s="2" t="s">
        <v>45</v>
      </c>
      <c r="B184" s="3">
        <f t="shared" si="64"/>
        <v>0</v>
      </c>
      <c r="C184" s="3">
        <f t="shared" si="64"/>
        <v>1041681</v>
      </c>
      <c r="D184" s="3">
        <f t="shared" si="64"/>
        <v>10326</v>
      </c>
      <c r="E184" s="3">
        <f t="shared" si="64"/>
        <v>0</v>
      </c>
      <c r="F184" s="3">
        <f t="shared" si="64"/>
        <v>0</v>
      </c>
      <c r="G184" s="3">
        <f t="shared" si="64"/>
        <v>67398</v>
      </c>
      <c r="H184" s="3">
        <f t="shared" si="64"/>
        <v>144322</v>
      </c>
      <c r="I184" s="3">
        <f t="shared" si="64"/>
        <v>252941</v>
      </c>
      <c r="J184" s="3">
        <f t="shared" si="64"/>
        <v>396802</v>
      </c>
      <c r="K184" s="3">
        <f t="shared" si="63"/>
        <v>481106</v>
      </c>
      <c r="L184" s="3">
        <f t="shared" si="63"/>
        <v>413954</v>
      </c>
      <c r="M184" s="3">
        <f t="shared" si="63"/>
        <v>291471</v>
      </c>
      <c r="N184" s="3">
        <f t="shared" si="63"/>
        <v>460538</v>
      </c>
      <c r="O184" s="3">
        <f t="shared" si="63"/>
        <v>497287</v>
      </c>
      <c r="P184" s="3">
        <f>P200+P216</f>
        <v>264883</v>
      </c>
      <c r="Q184" s="3">
        <f t="shared" si="63"/>
        <v>339196</v>
      </c>
      <c r="R184" s="4">
        <f>R200+R216</f>
        <v>510007.85587685759</v>
      </c>
      <c r="S184" s="4">
        <f>S200+S216</f>
        <v>509426.6322293324</v>
      </c>
      <c r="T184" s="4">
        <f>T200+T216</f>
        <v>533413.05716240359</v>
      </c>
    </row>
    <row r="185" spans="1:20">
      <c r="A185" s="2" t="s">
        <v>46</v>
      </c>
      <c r="B185" s="3">
        <f t="shared" si="64"/>
        <v>0</v>
      </c>
      <c r="C185" s="3">
        <f t="shared" si="64"/>
        <v>492893</v>
      </c>
      <c r="D185" s="3">
        <f t="shared" si="64"/>
        <v>0</v>
      </c>
      <c r="E185" s="3">
        <f t="shared" si="64"/>
        <v>0</v>
      </c>
      <c r="F185" s="3">
        <f t="shared" si="64"/>
        <v>0</v>
      </c>
      <c r="G185" s="3">
        <f t="shared" si="64"/>
        <v>51618</v>
      </c>
      <c r="H185" s="3">
        <f t="shared" si="64"/>
        <v>94340</v>
      </c>
      <c r="I185" s="3">
        <f t="shared" si="64"/>
        <v>160898</v>
      </c>
      <c r="J185" s="3">
        <f t="shared" si="64"/>
        <v>290391</v>
      </c>
      <c r="K185" s="3">
        <f t="shared" si="63"/>
        <v>249595</v>
      </c>
      <c r="L185" s="3">
        <f t="shared" si="63"/>
        <v>319080</v>
      </c>
      <c r="M185" s="3">
        <f t="shared" si="63"/>
        <v>195305</v>
      </c>
      <c r="N185" s="3">
        <f t="shared" si="63"/>
        <v>393901</v>
      </c>
      <c r="O185" s="3">
        <f t="shared" si="63"/>
        <v>521201</v>
      </c>
      <c r="P185" s="3">
        <f t="shared" si="63"/>
        <v>225915</v>
      </c>
      <c r="Q185" s="4">
        <f t="shared" si="63"/>
        <v>397468.70741094614</v>
      </c>
      <c r="R185" s="4">
        <f t="shared" si="63"/>
        <v>477100.45173905301</v>
      </c>
      <c r="S185" s="4">
        <f t="shared" si="63"/>
        <v>495577.00575969205</v>
      </c>
      <c r="T185" s="4">
        <f t="shared" si="63"/>
        <v>532523.17397458991</v>
      </c>
    </row>
    <row r="186" spans="1:20">
      <c r="A186" s="2" t="s">
        <v>47</v>
      </c>
      <c r="B186" s="3">
        <f t="shared" si="64"/>
        <v>0</v>
      </c>
      <c r="C186" s="3">
        <f t="shared" si="64"/>
        <v>512090</v>
      </c>
      <c r="D186" s="3">
        <f t="shared" si="64"/>
        <v>0</v>
      </c>
      <c r="E186" s="3">
        <f t="shared" si="64"/>
        <v>0</v>
      </c>
      <c r="F186" s="3">
        <f t="shared" si="64"/>
        <v>0</v>
      </c>
      <c r="G186" s="3">
        <f t="shared" si="64"/>
        <v>51299</v>
      </c>
      <c r="H186" s="3">
        <f t="shared" si="64"/>
        <v>76314</v>
      </c>
      <c r="I186" s="3">
        <f t="shared" si="64"/>
        <v>45628</v>
      </c>
      <c r="J186" s="3">
        <f t="shared" si="64"/>
        <v>137718</v>
      </c>
      <c r="K186" s="3">
        <f t="shared" si="63"/>
        <v>193144</v>
      </c>
      <c r="L186" s="3">
        <f t="shared" si="63"/>
        <v>231881</v>
      </c>
      <c r="M186" s="3">
        <f t="shared" si="63"/>
        <v>65149</v>
      </c>
      <c r="N186" s="3">
        <f t="shared" si="63"/>
        <v>293324</v>
      </c>
      <c r="O186" s="3">
        <f t="shared" si="63"/>
        <v>342109</v>
      </c>
      <c r="P186" s="3">
        <f t="shared" si="63"/>
        <v>0</v>
      </c>
      <c r="Q186" s="4">
        <f t="shared" si="63"/>
        <v>303888.29810528131</v>
      </c>
      <c r="R186" s="4">
        <f t="shared" si="63"/>
        <v>276407.75457995618</v>
      </c>
      <c r="S186" s="4">
        <f t="shared" si="63"/>
        <v>298914.11574486282</v>
      </c>
      <c r="T186" s="4">
        <f t="shared" si="63"/>
        <v>307179.49986987648</v>
      </c>
    </row>
    <row r="187" spans="1:20">
      <c r="A187" s="2" t="s">
        <v>48</v>
      </c>
      <c r="B187" s="3">
        <f t="shared" si="64"/>
        <v>0</v>
      </c>
      <c r="C187" s="3">
        <f t="shared" si="64"/>
        <v>971392</v>
      </c>
      <c r="D187" s="3">
        <f t="shared" si="64"/>
        <v>19307</v>
      </c>
      <c r="E187" s="3">
        <f t="shared" si="64"/>
        <v>0</v>
      </c>
      <c r="F187" s="3">
        <f t="shared" si="64"/>
        <v>0</v>
      </c>
      <c r="G187" s="3">
        <f t="shared" si="64"/>
        <v>38991</v>
      </c>
      <c r="H187" s="3">
        <f t="shared" si="64"/>
        <v>70686</v>
      </c>
      <c r="I187" s="3">
        <f t="shared" si="64"/>
        <v>66766</v>
      </c>
      <c r="J187" s="3">
        <f t="shared" si="64"/>
        <v>91471</v>
      </c>
      <c r="K187" s="3">
        <f t="shared" si="63"/>
        <v>91649</v>
      </c>
      <c r="L187" s="3">
        <f t="shared" si="63"/>
        <v>104131</v>
      </c>
      <c r="M187" s="3">
        <f t="shared" si="63"/>
        <v>63588</v>
      </c>
      <c r="N187" s="3">
        <f t="shared" si="63"/>
        <v>144753</v>
      </c>
      <c r="O187" s="3">
        <f t="shared" si="63"/>
        <v>366134</v>
      </c>
      <c r="P187" s="3">
        <f t="shared" si="63"/>
        <v>623806</v>
      </c>
      <c r="Q187" s="4">
        <f t="shared" si="63"/>
        <v>312715.33652374224</v>
      </c>
      <c r="R187" s="4">
        <f t="shared" si="63"/>
        <v>415793.50991138775</v>
      </c>
      <c r="S187" s="4">
        <f t="shared" si="63"/>
        <v>458110.49009660649</v>
      </c>
      <c r="T187" s="4">
        <f t="shared" si="63"/>
        <v>547437.32282245276</v>
      </c>
    </row>
    <row r="188" spans="1:20">
      <c r="A188" s="2" t="s">
        <v>49</v>
      </c>
      <c r="B188" s="3">
        <f t="shared" si="64"/>
        <v>663032</v>
      </c>
      <c r="C188" s="3">
        <f t="shared" si="64"/>
        <v>495674</v>
      </c>
      <c r="D188" s="3">
        <f t="shared" si="64"/>
        <v>30224</v>
      </c>
      <c r="E188" s="3">
        <f t="shared" si="64"/>
        <v>0</v>
      </c>
      <c r="F188" s="3">
        <f t="shared" si="64"/>
        <v>0</v>
      </c>
      <c r="G188" s="3">
        <f t="shared" si="64"/>
        <v>65292</v>
      </c>
      <c r="H188" s="3">
        <f t="shared" si="64"/>
        <v>68790</v>
      </c>
      <c r="I188" s="3">
        <f t="shared" si="64"/>
        <v>41800</v>
      </c>
      <c r="J188" s="3">
        <f t="shared" si="64"/>
        <v>39200</v>
      </c>
      <c r="K188" s="3">
        <f t="shared" si="63"/>
        <v>127335</v>
      </c>
      <c r="L188" s="3">
        <f t="shared" si="63"/>
        <v>65164</v>
      </c>
      <c r="M188" s="3">
        <f t="shared" si="63"/>
        <v>52209</v>
      </c>
      <c r="N188" s="3">
        <f t="shared" si="63"/>
        <v>0</v>
      </c>
      <c r="O188" s="3">
        <f t="shared" si="63"/>
        <v>395406</v>
      </c>
      <c r="P188" s="3">
        <f t="shared" si="63"/>
        <v>326455</v>
      </c>
      <c r="Q188" s="4">
        <f t="shared" si="63"/>
        <v>281504.04373803362</v>
      </c>
      <c r="R188" s="4">
        <f t="shared" si="63"/>
        <v>290470.82421865832</v>
      </c>
      <c r="S188" s="4">
        <f t="shared" si="63"/>
        <v>318118.63707849104</v>
      </c>
      <c r="T188" s="4">
        <f t="shared" si="63"/>
        <v>405430.53760414355</v>
      </c>
    </row>
    <row r="189" spans="1:20">
      <c r="A189" s="2" t="s">
        <v>50</v>
      </c>
      <c r="B189" s="3">
        <f t="shared" si="64"/>
        <v>1336309</v>
      </c>
      <c r="C189" s="3">
        <f t="shared" si="64"/>
        <v>775279</v>
      </c>
      <c r="D189" s="3">
        <f t="shared" si="64"/>
        <v>0</v>
      </c>
      <c r="E189" s="3">
        <f t="shared" si="64"/>
        <v>0</v>
      </c>
      <c r="F189" s="3">
        <f t="shared" si="64"/>
        <v>0</v>
      </c>
      <c r="G189" s="3">
        <f t="shared" si="64"/>
        <v>38424</v>
      </c>
      <c r="H189" s="3">
        <f t="shared" si="64"/>
        <v>48977</v>
      </c>
      <c r="I189" s="3">
        <f t="shared" si="64"/>
        <v>81204</v>
      </c>
      <c r="J189" s="3">
        <f t="shared" si="64"/>
        <v>0</v>
      </c>
      <c r="K189" s="3">
        <f t="shared" si="63"/>
        <v>35528</v>
      </c>
      <c r="L189" s="3">
        <f t="shared" si="63"/>
        <v>52128</v>
      </c>
      <c r="M189" s="3">
        <f t="shared" si="63"/>
        <v>54634</v>
      </c>
      <c r="N189" s="3">
        <f t="shared" si="63"/>
        <v>329330</v>
      </c>
      <c r="O189" s="3">
        <f t="shared" si="63"/>
        <v>142970</v>
      </c>
      <c r="P189" s="3">
        <f t="shared" si="63"/>
        <v>367511</v>
      </c>
      <c r="Q189" s="4">
        <f t="shared" si="63"/>
        <v>307277.03457315319</v>
      </c>
      <c r="R189" s="4">
        <f t="shared" si="63"/>
        <v>330688.24770846131</v>
      </c>
      <c r="S189" s="4">
        <f t="shared" si="63"/>
        <v>363345.41736879759</v>
      </c>
      <c r="T189" s="4">
        <f t="shared" si="63"/>
        <v>380238.68233642727</v>
      </c>
    </row>
    <row r="190" spans="1:20">
      <c r="A190" s="2" t="s">
        <v>51</v>
      </c>
      <c r="B190" s="3">
        <f t="shared" si="64"/>
        <v>1226281</v>
      </c>
      <c r="C190" s="3">
        <f t="shared" si="64"/>
        <v>268031</v>
      </c>
      <c r="D190" s="3">
        <f t="shared" si="64"/>
        <v>0</v>
      </c>
      <c r="E190" s="3">
        <f t="shared" si="64"/>
        <v>0</v>
      </c>
      <c r="F190" s="3">
        <f t="shared" si="64"/>
        <v>0</v>
      </c>
      <c r="G190" s="3">
        <f t="shared" si="64"/>
        <v>43099</v>
      </c>
      <c r="H190" s="3">
        <f t="shared" si="64"/>
        <v>118087</v>
      </c>
      <c r="I190" s="3">
        <f t="shared" si="64"/>
        <v>97477</v>
      </c>
      <c r="J190" s="3">
        <f t="shared" si="64"/>
        <v>36376</v>
      </c>
      <c r="K190" s="3">
        <f t="shared" si="63"/>
        <v>143716</v>
      </c>
      <c r="L190" s="3">
        <f t="shared" si="63"/>
        <v>115846</v>
      </c>
      <c r="M190" s="3">
        <f t="shared" si="63"/>
        <v>141816</v>
      </c>
      <c r="N190" s="3">
        <f t="shared" si="63"/>
        <v>172969</v>
      </c>
      <c r="O190" s="3">
        <f t="shared" si="63"/>
        <v>853655</v>
      </c>
      <c r="P190" s="3">
        <f t="shared" si="63"/>
        <v>500170</v>
      </c>
      <c r="Q190" s="4">
        <f t="shared" si="63"/>
        <v>428454.45928591985</v>
      </c>
      <c r="R190" s="4">
        <f t="shared" si="63"/>
        <v>577064.95090275758</v>
      </c>
      <c r="S190" s="4">
        <f t="shared" si="63"/>
        <v>622625.40978408966</v>
      </c>
      <c r="T190" s="4">
        <f t="shared" si="63"/>
        <v>750008.80871842732</v>
      </c>
    </row>
    <row r="191" spans="1:20">
      <c r="A191" s="2" t="s">
        <v>52</v>
      </c>
      <c r="B191" s="3">
        <f t="shared" si="64"/>
        <v>2311149</v>
      </c>
      <c r="C191" s="3">
        <f t="shared" si="64"/>
        <v>30646</v>
      </c>
      <c r="D191" s="3">
        <f t="shared" si="64"/>
        <v>0</v>
      </c>
      <c r="E191" s="3">
        <f t="shared" si="64"/>
        <v>0</v>
      </c>
      <c r="F191" s="3">
        <f t="shared" si="64"/>
        <v>16162</v>
      </c>
      <c r="G191" s="3">
        <f t="shared" si="64"/>
        <v>73512</v>
      </c>
      <c r="H191" s="3">
        <f t="shared" si="64"/>
        <v>132092</v>
      </c>
      <c r="I191" s="3">
        <f t="shared" si="64"/>
        <v>125638</v>
      </c>
      <c r="J191" s="3">
        <f t="shared" si="64"/>
        <v>141969</v>
      </c>
      <c r="K191" s="3">
        <f t="shared" si="63"/>
        <v>215335</v>
      </c>
      <c r="L191" s="3">
        <f t="shared" si="63"/>
        <v>169488</v>
      </c>
      <c r="M191" s="3">
        <f t="shared" si="63"/>
        <v>234290</v>
      </c>
      <c r="N191" s="3">
        <f t="shared" si="63"/>
        <v>239107</v>
      </c>
      <c r="O191" s="3">
        <f t="shared" si="63"/>
        <v>0</v>
      </c>
      <c r="P191" s="3">
        <f t="shared" si="63"/>
        <v>125516</v>
      </c>
      <c r="Q191" s="4">
        <f t="shared" si="63"/>
        <v>344496.62825712882</v>
      </c>
      <c r="R191" s="4">
        <f t="shared" si="63"/>
        <v>259605.69166261435</v>
      </c>
      <c r="S191" s="4">
        <f t="shared" si="63"/>
        <v>238183.16132215323</v>
      </c>
      <c r="T191" s="4">
        <f t="shared" si="63"/>
        <v>243416.66371941389</v>
      </c>
    </row>
    <row r="192" spans="1:20">
      <c r="A192" s="2" t="s">
        <v>53</v>
      </c>
      <c r="B192" s="3">
        <f t="shared" si="64"/>
        <v>3430279</v>
      </c>
      <c r="C192" s="3">
        <f t="shared" si="64"/>
        <v>49969</v>
      </c>
      <c r="D192" s="3">
        <f t="shared" si="64"/>
        <v>0</v>
      </c>
      <c r="E192" s="3">
        <f t="shared" si="64"/>
        <v>0</v>
      </c>
      <c r="F192" s="3">
        <f t="shared" si="64"/>
        <v>38949</v>
      </c>
      <c r="G192" s="3">
        <f t="shared" si="64"/>
        <v>105931</v>
      </c>
      <c r="H192" s="3">
        <f t="shared" si="64"/>
        <v>152860</v>
      </c>
      <c r="I192" s="3">
        <f t="shared" si="64"/>
        <v>260794</v>
      </c>
      <c r="J192" s="3">
        <f t="shared" si="64"/>
        <v>481083</v>
      </c>
      <c r="K192" s="3">
        <f t="shared" si="63"/>
        <v>270738</v>
      </c>
      <c r="L192" s="3">
        <f t="shared" si="63"/>
        <v>222349</v>
      </c>
      <c r="M192" s="3">
        <f t="shared" si="63"/>
        <v>197167</v>
      </c>
      <c r="N192" s="3">
        <f t="shared" si="63"/>
        <v>355058</v>
      </c>
      <c r="O192" s="3">
        <f t="shared" si="63"/>
        <v>0</v>
      </c>
      <c r="P192" s="3">
        <f t="shared" si="63"/>
        <v>508880</v>
      </c>
      <c r="Q192" s="4">
        <f t="shared" si="63"/>
        <v>308161.80593155482</v>
      </c>
      <c r="R192" s="4">
        <f t="shared" si="63"/>
        <v>376790.90097148751</v>
      </c>
      <c r="S192" s="4">
        <f t="shared" si="63"/>
        <v>380828.77725887019</v>
      </c>
      <c r="T192" s="4">
        <f t="shared" si="63"/>
        <v>396050.410994948</v>
      </c>
    </row>
    <row r="193" spans="1:20">
      <c r="A193" s="2" t="s">
        <v>54</v>
      </c>
      <c r="B193" s="3">
        <f t="shared" si="64"/>
        <v>2830119</v>
      </c>
      <c r="C193" s="3">
        <f t="shared" si="64"/>
        <v>494127</v>
      </c>
      <c r="D193" s="3">
        <f t="shared" si="64"/>
        <v>0</v>
      </c>
      <c r="E193" s="3">
        <f t="shared" si="64"/>
        <v>0</v>
      </c>
      <c r="F193" s="3">
        <f t="shared" si="64"/>
        <v>58773</v>
      </c>
      <c r="G193" s="3">
        <f t="shared" si="64"/>
        <v>163003</v>
      </c>
      <c r="H193" s="3">
        <f t="shared" si="64"/>
        <v>214795</v>
      </c>
      <c r="I193" s="3">
        <f t="shared" si="64"/>
        <v>346841</v>
      </c>
      <c r="J193" s="3">
        <f t="shared" si="64"/>
        <v>395182</v>
      </c>
      <c r="K193" s="3">
        <f t="shared" si="63"/>
        <v>394198</v>
      </c>
      <c r="L193" s="3">
        <f t="shared" si="63"/>
        <v>434975</v>
      </c>
      <c r="M193" s="3">
        <f t="shared" si="63"/>
        <v>282584</v>
      </c>
      <c r="N193" s="3">
        <f t="shared" si="63"/>
        <v>182886</v>
      </c>
      <c r="O193" s="3">
        <f t="shared" si="63"/>
        <v>276151</v>
      </c>
      <c r="P193" s="3">
        <f t="shared" si="63"/>
        <v>481371</v>
      </c>
      <c r="Q193" s="4">
        <f t="shared" si="63"/>
        <v>486086.41447284399</v>
      </c>
      <c r="R193" s="4">
        <f t="shared" si="63"/>
        <v>470299.83048644388</v>
      </c>
      <c r="S193" s="4">
        <f t="shared" si="63"/>
        <v>466369.17492961063</v>
      </c>
      <c r="T193" s="4">
        <f t="shared" si="63"/>
        <v>548371.34116335528</v>
      </c>
    </row>
    <row r="194" spans="1:20" ht="13.5" thickBot="1">
      <c r="A194" s="2" t="s">
        <v>29</v>
      </c>
      <c r="B194" s="3">
        <f t="shared" ref="B194:T194" si="65">SUM(B182:B193)</f>
        <v>11797169</v>
      </c>
      <c r="C194" s="3">
        <f t="shared" si="65"/>
        <v>6180377</v>
      </c>
      <c r="D194" s="3">
        <f t="shared" si="65"/>
        <v>196124</v>
      </c>
      <c r="E194" s="3">
        <f t="shared" si="65"/>
        <v>0</v>
      </c>
      <c r="F194" s="3">
        <f t="shared" si="65"/>
        <v>113884</v>
      </c>
      <c r="G194" s="3">
        <f t="shared" si="65"/>
        <v>847149</v>
      </c>
      <c r="H194" s="3">
        <f t="shared" si="65"/>
        <v>1544722</v>
      </c>
      <c r="I194" s="3">
        <f t="shared" si="65"/>
        <v>1956751</v>
      </c>
      <c r="J194" s="3">
        <f t="shared" si="65"/>
        <v>2822612</v>
      </c>
      <c r="K194" s="3">
        <f t="shared" si="65"/>
        <v>3276020</v>
      </c>
      <c r="L194" s="3">
        <f t="shared" si="65"/>
        <v>2868136</v>
      </c>
      <c r="M194" s="3">
        <f t="shared" si="65"/>
        <v>2160903</v>
      </c>
      <c r="N194" s="3">
        <f t="shared" si="65"/>
        <v>3042574</v>
      </c>
      <c r="O194" s="3">
        <f t="shared" si="65"/>
        <v>3984191</v>
      </c>
      <c r="P194" s="3">
        <f t="shared" si="65"/>
        <v>4437052</v>
      </c>
      <c r="Q194" s="4">
        <f t="shared" si="65"/>
        <v>3959999.728298604</v>
      </c>
      <c r="R194" s="4">
        <f t="shared" si="65"/>
        <v>4838924.0723740263</v>
      </c>
      <c r="S194" s="4">
        <f t="shared" si="65"/>
        <v>4982048.7127480153</v>
      </c>
      <c r="T194" s="4">
        <f t="shared" si="65"/>
        <v>5584185.7741136905</v>
      </c>
    </row>
    <row r="195" spans="1:20">
      <c r="A195" s="114"/>
      <c r="B195" s="114"/>
      <c r="C195" s="114"/>
      <c r="D195" s="114"/>
      <c r="E195" s="114"/>
      <c r="F195" s="114"/>
      <c r="G195" s="114"/>
      <c r="H195" s="114"/>
      <c r="I195" s="114"/>
      <c r="J195" s="114"/>
      <c r="K195" s="114"/>
      <c r="L195" s="114"/>
      <c r="M195" s="114"/>
      <c r="N195" s="114"/>
      <c r="O195" s="114"/>
      <c r="P195" s="114"/>
      <c r="Q195" s="114"/>
      <c r="R195" s="114"/>
      <c r="S195" s="114"/>
      <c r="T195" s="114"/>
    </row>
    <row r="196" spans="1:20" ht="16.5" thickBot="1">
      <c r="A196" s="109" t="s">
        <v>444</v>
      </c>
    </row>
    <row r="197" spans="1:20" ht="13.5" thickBot="1">
      <c r="A197" s="110"/>
      <c r="B197" s="111">
        <v>2010</v>
      </c>
      <c r="C197" s="111">
        <v>2011</v>
      </c>
      <c r="D197" s="111">
        <v>2012</v>
      </c>
      <c r="E197" s="111">
        <v>2013</v>
      </c>
      <c r="F197" s="111">
        <v>2014</v>
      </c>
      <c r="G197" s="111">
        <v>2015</v>
      </c>
      <c r="H197" s="111">
        <v>2016</v>
      </c>
      <c r="I197" s="111">
        <v>2017</v>
      </c>
      <c r="J197" s="111">
        <v>2018</v>
      </c>
      <c r="K197" s="111">
        <v>2019</v>
      </c>
      <c r="L197" s="111">
        <v>2020</v>
      </c>
      <c r="M197" s="111">
        <v>2021</v>
      </c>
      <c r="N197" s="111">
        <v>2022</v>
      </c>
      <c r="O197" s="111">
        <v>2023</v>
      </c>
      <c r="P197" s="111">
        <v>2024</v>
      </c>
      <c r="Q197" s="111">
        <v>2025</v>
      </c>
      <c r="R197" s="111">
        <v>2026</v>
      </c>
      <c r="S197" s="111">
        <v>2027</v>
      </c>
      <c r="T197" s="111">
        <v>2028</v>
      </c>
    </row>
    <row r="198" spans="1:20">
      <c r="A198" s="2" t="s">
        <v>43</v>
      </c>
      <c r="B198" s="3">
        <f>'Monthly D5 RIN Data'!$H4</f>
        <v>0</v>
      </c>
      <c r="C198" s="3">
        <f>'Monthly D5 RIN Data'!$H16</f>
        <v>784262</v>
      </c>
      <c r="D198" s="3">
        <f>'Monthly D5 RIN Data'!$H28</f>
        <v>95207</v>
      </c>
      <c r="E198" s="3">
        <f>'Monthly D5 RIN Data'!$H40</f>
        <v>0</v>
      </c>
      <c r="F198" s="3">
        <f>'Monthly D5 RIN Data'!$H52</f>
        <v>0</v>
      </c>
      <c r="G198" s="3">
        <f>'Monthly D5 RIN Data'!$H64</f>
        <v>60421</v>
      </c>
      <c r="H198" s="3">
        <f>'Monthly D5 RIN Data'!$H76</f>
        <v>201225</v>
      </c>
      <c r="I198" s="3">
        <f>'Monthly D5 RIN Data'!$H88</f>
        <v>244558</v>
      </c>
      <c r="J198" s="3">
        <f>'Monthly D5 RIN Data'!$H100</f>
        <v>422563</v>
      </c>
      <c r="K198" s="3">
        <f>'Monthly D5 RIN Data'!$H112</f>
        <v>596129</v>
      </c>
      <c r="L198" s="3">
        <f>'Monthly D5 RIN Data'!$H124</f>
        <v>415096</v>
      </c>
      <c r="M198" s="3">
        <f>'Monthly D5 RIN Data'!$H136</f>
        <v>277332</v>
      </c>
      <c r="N198" s="3">
        <f>'Monthly D5 RIN Data'!$H148</f>
        <v>281372</v>
      </c>
      <c r="O198" s="3">
        <f>'Monthly D5 RIN Data'!$H160</f>
        <v>228976</v>
      </c>
      <c r="P198" s="3">
        <f>'Monthly D5 RIN Data'!$H172</f>
        <v>1012545</v>
      </c>
      <c r="Q198" s="3">
        <f>'Monthly D5 RIN Data'!$H184</f>
        <v>337767</v>
      </c>
      <c r="R198" s="4">
        <f>'D5 Gallon Forecast'!R200*AVERAGE('D5 RIN Forecast'!$AA$12:$AE$12)</f>
        <v>588327.47650811169</v>
      </c>
      <c r="S198" s="4">
        <f>'D5 Gallon Forecast'!S200*AVERAGE('D5 RIN Forecast'!$AA$12:$AE$12)</f>
        <v>602137.7991656136</v>
      </c>
      <c r="T198" s="4">
        <f>'D5 Gallon Forecast'!T200*AVERAGE('D5 RIN Forecast'!$AA$12:$AE$12)</f>
        <v>696633.87705269735</v>
      </c>
    </row>
    <row r="199" spans="1:20">
      <c r="A199" s="2" t="s">
        <v>44</v>
      </c>
      <c r="B199" s="3">
        <f>'Monthly D5 RIN Data'!$H5</f>
        <v>0</v>
      </c>
      <c r="C199" s="3">
        <f>'Monthly D5 RIN Data'!$H17</f>
        <v>264333</v>
      </c>
      <c r="D199" s="3">
        <f>'Monthly D5 RIN Data'!$H29</f>
        <v>41060</v>
      </c>
      <c r="E199" s="3">
        <f>'Monthly D5 RIN Data'!$H41</f>
        <v>0</v>
      </c>
      <c r="F199" s="3">
        <f>'Monthly D5 RIN Data'!$H53</f>
        <v>0</v>
      </c>
      <c r="G199" s="3">
        <f>'Monthly D5 RIN Data'!$H65</f>
        <v>88161</v>
      </c>
      <c r="H199" s="3">
        <f>'Monthly D5 RIN Data'!$H77</f>
        <v>222234</v>
      </c>
      <c r="I199" s="3">
        <f>'Monthly D5 RIN Data'!$H89</f>
        <v>232206</v>
      </c>
      <c r="J199" s="3">
        <f>'Monthly D5 RIN Data'!$H101</f>
        <v>389857</v>
      </c>
      <c r="K199" s="3">
        <f>'Monthly D5 RIN Data'!$H113</f>
        <v>477547</v>
      </c>
      <c r="L199" s="3">
        <f>'Monthly D5 RIN Data'!$H125</f>
        <v>324044</v>
      </c>
      <c r="M199" s="3">
        <f>'Monthly D5 RIN Data'!$H137</f>
        <v>305358</v>
      </c>
      <c r="N199" s="3">
        <f>'Monthly D5 RIN Data'!$H149</f>
        <v>189336</v>
      </c>
      <c r="O199" s="3">
        <f>'Monthly D5 RIN Data'!$H161</f>
        <v>360302</v>
      </c>
      <c r="P199" s="3">
        <f>'Monthly D5 RIN Data'!$H173</f>
        <v>0</v>
      </c>
      <c r="Q199" s="3">
        <f>'Monthly D5 RIN Data'!$H185</f>
        <v>112984</v>
      </c>
      <c r="R199" s="4">
        <f>'D5 Gallon Forecast'!R201*AVERAGE('D5 RIN Forecast'!$AA$12:$AE$12)</f>
        <v>266366.57780823775</v>
      </c>
      <c r="S199" s="4">
        <f>'D5 Gallon Forecast'!S201*AVERAGE('D5 RIN Forecast'!$AA$12:$AE$12)</f>
        <v>228412.09200989601</v>
      </c>
      <c r="T199" s="4">
        <f>'D5 Gallon Forecast'!T201*AVERAGE('D5 RIN Forecast'!$AA$12:$AE$12)</f>
        <v>243482.39869495531</v>
      </c>
    </row>
    <row r="200" spans="1:20">
      <c r="A200" s="2" t="s">
        <v>45</v>
      </c>
      <c r="B200" s="3">
        <f>'Monthly D5 RIN Data'!$H6</f>
        <v>0</v>
      </c>
      <c r="C200" s="3">
        <f>'Monthly D5 RIN Data'!$H18</f>
        <v>1041681</v>
      </c>
      <c r="D200" s="3">
        <f>'Monthly D5 RIN Data'!$H30</f>
        <v>10326</v>
      </c>
      <c r="E200" s="3">
        <f>'Monthly D5 RIN Data'!$H42</f>
        <v>0</v>
      </c>
      <c r="F200" s="3">
        <f>'Monthly D5 RIN Data'!$H54</f>
        <v>0</v>
      </c>
      <c r="G200" s="3">
        <f>'Monthly D5 RIN Data'!$H66</f>
        <v>67398</v>
      </c>
      <c r="H200" s="3">
        <f>'Monthly D5 RIN Data'!$H78</f>
        <v>144322</v>
      </c>
      <c r="I200" s="3">
        <f>'Monthly D5 RIN Data'!$H90</f>
        <v>252941</v>
      </c>
      <c r="J200" s="3">
        <f>'Monthly D5 RIN Data'!$H102</f>
        <v>396802</v>
      </c>
      <c r="K200" s="3">
        <f>'Monthly D5 RIN Data'!$H114</f>
        <v>481106</v>
      </c>
      <c r="L200" s="3">
        <f>'Monthly D5 RIN Data'!$H126</f>
        <v>413954</v>
      </c>
      <c r="M200" s="3">
        <f>'Monthly D5 RIN Data'!$H138</f>
        <v>291471</v>
      </c>
      <c r="N200" s="3">
        <f>'Monthly D5 RIN Data'!$H150</f>
        <v>460538</v>
      </c>
      <c r="O200" s="3">
        <f>'Monthly D5 RIN Data'!$H162</f>
        <v>497287</v>
      </c>
      <c r="P200" s="3">
        <f>'Monthly D5 RIN Data'!$H174</f>
        <v>264883</v>
      </c>
      <c r="Q200" s="3">
        <f>'Monthly D5 RIN Data'!$H186</f>
        <v>339196</v>
      </c>
      <c r="R200" s="4">
        <f>'D5 Gallon Forecast'!R202*AVERAGE('D5 RIN Forecast'!$AA$12:$AE$12)</f>
        <v>510007.85587685759</v>
      </c>
      <c r="S200" s="4">
        <f>'D5 Gallon Forecast'!S202*AVERAGE('D5 RIN Forecast'!$AA$12:$AE$12)</f>
        <v>509426.6322293324</v>
      </c>
      <c r="T200" s="4">
        <f>'D5 Gallon Forecast'!T202*AVERAGE('D5 RIN Forecast'!$AA$12:$AE$12)</f>
        <v>533413.05716240359</v>
      </c>
    </row>
    <row r="201" spans="1:20">
      <c r="A201" s="2" t="s">
        <v>46</v>
      </c>
      <c r="B201" s="3">
        <f>'Monthly D5 RIN Data'!$H7</f>
        <v>0</v>
      </c>
      <c r="C201" s="3">
        <f>'Monthly D5 RIN Data'!$H19</f>
        <v>492893</v>
      </c>
      <c r="D201" s="3">
        <f>'Monthly D5 RIN Data'!$H31</f>
        <v>0</v>
      </c>
      <c r="E201" s="3">
        <f>'Monthly D5 RIN Data'!$H43</f>
        <v>0</v>
      </c>
      <c r="F201" s="3">
        <f>'Monthly D5 RIN Data'!$H55</f>
        <v>0</v>
      </c>
      <c r="G201" s="3">
        <f>'Monthly D5 RIN Data'!$H67</f>
        <v>51618</v>
      </c>
      <c r="H201" s="3">
        <f>'Monthly D5 RIN Data'!$H79</f>
        <v>94340</v>
      </c>
      <c r="I201" s="3">
        <f>'Monthly D5 RIN Data'!$H91</f>
        <v>160898</v>
      </c>
      <c r="J201" s="3">
        <f>'Monthly D5 RIN Data'!$H103</f>
        <v>290391</v>
      </c>
      <c r="K201" s="3">
        <f>'Monthly D5 RIN Data'!$H115</f>
        <v>249595</v>
      </c>
      <c r="L201" s="3">
        <f>'Monthly D5 RIN Data'!$H127</f>
        <v>319080</v>
      </c>
      <c r="M201" s="3">
        <f>'Monthly D5 RIN Data'!$H139</f>
        <v>195305</v>
      </c>
      <c r="N201" s="3">
        <f>'Monthly D5 RIN Data'!$H151</f>
        <v>393901</v>
      </c>
      <c r="O201" s="3">
        <f>'Monthly D5 RIN Data'!$H163</f>
        <v>521201</v>
      </c>
      <c r="P201" s="3">
        <f>'Monthly D5 RIN Data'!$H175</f>
        <v>225915</v>
      </c>
      <c r="Q201" s="4">
        <f>'D5 Gallon Forecast'!Q203*AVERAGE('D5 RIN Forecast'!$AA$12:$AE$12)</f>
        <v>397468.70741094614</v>
      </c>
      <c r="R201" s="4">
        <f>'D5 Gallon Forecast'!R203*AVERAGE('D5 RIN Forecast'!$AA$12:$AE$12)</f>
        <v>477100.45173905301</v>
      </c>
      <c r="S201" s="4">
        <f>'D5 Gallon Forecast'!S203*AVERAGE('D5 RIN Forecast'!$AA$12:$AE$12)</f>
        <v>495577.00575969205</v>
      </c>
      <c r="T201" s="4">
        <f>'D5 Gallon Forecast'!T203*AVERAGE('D5 RIN Forecast'!$AA$12:$AE$12)</f>
        <v>532523.17397458991</v>
      </c>
    </row>
    <row r="202" spans="1:20">
      <c r="A202" s="2" t="s">
        <v>47</v>
      </c>
      <c r="B202" s="3">
        <f>'Monthly D5 RIN Data'!$H8</f>
        <v>0</v>
      </c>
      <c r="C202" s="3">
        <f>'Monthly D5 RIN Data'!$H20</f>
        <v>512090</v>
      </c>
      <c r="D202" s="3">
        <f>'Monthly D5 RIN Data'!$H32</f>
        <v>0</v>
      </c>
      <c r="E202" s="3">
        <f>'Monthly D5 RIN Data'!$H44</f>
        <v>0</v>
      </c>
      <c r="F202" s="3">
        <f>'Monthly D5 RIN Data'!$H56</f>
        <v>0</v>
      </c>
      <c r="G202" s="3">
        <f>'Monthly D5 RIN Data'!$H68</f>
        <v>51299</v>
      </c>
      <c r="H202" s="3">
        <f>'Monthly D5 RIN Data'!$H80</f>
        <v>76314</v>
      </c>
      <c r="I202" s="3">
        <f>'Monthly D5 RIN Data'!$H92</f>
        <v>45628</v>
      </c>
      <c r="J202" s="3">
        <f>'Monthly D5 RIN Data'!$H104</f>
        <v>137718</v>
      </c>
      <c r="K202" s="3">
        <f>'Monthly D5 RIN Data'!$H116</f>
        <v>193144</v>
      </c>
      <c r="L202" s="3">
        <f>'Monthly D5 RIN Data'!$H128</f>
        <v>231881</v>
      </c>
      <c r="M202" s="3">
        <f>'Monthly D5 RIN Data'!$H140</f>
        <v>65149</v>
      </c>
      <c r="N202" s="3">
        <f>'Monthly D5 RIN Data'!$H152</f>
        <v>293324</v>
      </c>
      <c r="O202" s="3">
        <f>'Monthly D5 RIN Data'!$H164</f>
        <v>342109</v>
      </c>
      <c r="P202" s="3">
        <f>'Monthly D5 RIN Data'!$H176</f>
        <v>0</v>
      </c>
      <c r="Q202" s="4">
        <f>'D5 Gallon Forecast'!Q204*AVERAGE('D5 RIN Forecast'!$AA$12:$AE$12)</f>
        <v>303888.29810528131</v>
      </c>
      <c r="R202" s="4">
        <f>'D5 Gallon Forecast'!R204*AVERAGE('D5 RIN Forecast'!$AA$12:$AE$12)</f>
        <v>276407.75457995618</v>
      </c>
      <c r="S202" s="4">
        <f>'D5 Gallon Forecast'!S204*AVERAGE('D5 RIN Forecast'!$AA$12:$AE$12)</f>
        <v>298914.11574486282</v>
      </c>
      <c r="T202" s="4">
        <f>'D5 Gallon Forecast'!T204*AVERAGE('D5 RIN Forecast'!$AA$12:$AE$12)</f>
        <v>307179.49986987648</v>
      </c>
    </row>
    <row r="203" spans="1:20">
      <c r="A203" s="2" t="s">
        <v>48</v>
      </c>
      <c r="B203" s="3">
        <f>'Monthly D5 RIN Data'!$H9</f>
        <v>0</v>
      </c>
      <c r="C203" s="3">
        <f>'Monthly D5 RIN Data'!$H21</f>
        <v>971392</v>
      </c>
      <c r="D203" s="3">
        <f>'Monthly D5 RIN Data'!$H33</f>
        <v>19307</v>
      </c>
      <c r="E203" s="3">
        <f>'Monthly D5 RIN Data'!$H45</f>
        <v>0</v>
      </c>
      <c r="F203" s="3">
        <f>'Monthly D5 RIN Data'!$H57</f>
        <v>0</v>
      </c>
      <c r="G203" s="3">
        <f>'Monthly D5 RIN Data'!$H69</f>
        <v>38991</v>
      </c>
      <c r="H203" s="3">
        <f>'Monthly D5 RIN Data'!$H81</f>
        <v>70686</v>
      </c>
      <c r="I203" s="3">
        <f>'Monthly D5 RIN Data'!$H93</f>
        <v>66766</v>
      </c>
      <c r="J203" s="3">
        <f>'Monthly D5 RIN Data'!$H105</f>
        <v>91471</v>
      </c>
      <c r="K203" s="3">
        <f>'Monthly D5 RIN Data'!$H117</f>
        <v>91649</v>
      </c>
      <c r="L203" s="3">
        <f>'Monthly D5 RIN Data'!$H129</f>
        <v>104131</v>
      </c>
      <c r="M203" s="3">
        <f>'Monthly D5 RIN Data'!$H141</f>
        <v>63588</v>
      </c>
      <c r="N203" s="3">
        <f>'Monthly D5 RIN Data'!$H153</f>
        <v>144753</v>
      </c>
      <c r="O203" s="3">
        <f>'Monthly D5 RIN Data'!$H165</f>
        <v>366134</v>
      </c>
      <c r="P203" s="3">
        <f>'Monthly D5 RIN Data'!$H177</f>
        <v>623806</v>
      </c>
      <c r="Q203" s="4">
        <f>'D5 Gallon Forecast'!Q205*AVERAGE('D5 RIN Forecast'!$AA$12:$AE$12)</f>
        <v>312715.33652374224</v>
      </c>
      <c r="R203" s="4">
        <f>'D5 Gallon Forecast'!R205*AVERAGE('D5 RIN Forecast'!$AA$12:$AE$12)</f>
        <v>415793.50991138775</v>
      </c>
      <c r="S203" s="4">
        <f>'D5 Gallon Forecast'!S205*AVERAGE('D5 RIN Forecast'!$AA$12:$AE$12)</f>
        <v>458110.49009660649</v>
      </c>
      <c r="T203" s="4">
        <f>'D5 Gallon Forecast'!T205*AVERAGE('D5 RIN Forecast'!$AA$12:$AE$12)</f>
        <v>547437.32282245276</v>
      </c>
    </row>
    <row r="204" spans="1:20">
      <c r="A204" s="2" t="s">
        <v>49</v>
      </c>
      <c r="B204" s="3">
        <f>'Monthly D5 RIN Data'!$H10</f>
        <v>663032</v>
      </c>
      <c r="C204" s="3">
        <f>'Monthly D5 RIN Data'!$H22</f>
        <v>495674</v>
      </c>
      <c r="D204" s="3">
        <f>'Monthly D5 RIN Data'!$H34</f>
        <v>30224</v>
      </c>
      <c r="E204" s="3">
        <f>'Monthly D5 RIN Data'!$H46</f>
        <v>0</v>
      </c>
      <c r="F204" s="3">
        <f>'Monthly D5 RIN Data'!$H58</f>
        <v>0</v>
      </c>
      <c r="G204" s="3">
        <f>'Monthly D5 RIN Data'!$H70</f>
        <v>65292</v>
      </c>
      <c r="H204" s="3">
        <f>'Monthly D5 RIN Data'!$H82</f>
        <v>68790</v>
      </c>
      <c r="I204" s="3">
        <f>'Monthly D5 RIN Data'!$H94</f>
        <v>41800</v>
      </c>
      <c r="J204" s="3">
        <f>'Monthly D5 RIN Data'!$H106</f>
        <v>39200</v>
      </c>
      <c r="K204" s="3">
        <f>'Monthly D5 RIN Data'!$H118</f>
        <v>127335</v>
      </c>
      <c r="L204" s="3">
        <f>'Monthly D5 RIN Data'!$H130</f>
        <v>65164</v>
      </c>
      <c r="M204" s="3">
        <f>'Monthly D5 RIN Data'!$H142</f>
        <v>52209</v>
      </c>
      <c r="N204" s="3">
        <f>'Monthly D5 RIN Data'!$H154</f>
        <v>0</v>
      </c>
      <c r="O204" s="3">
        <f>'Monthly D5 RIN Data'!$H166</f>
        <v>395406</v>
      </c>
      <c r="P204" s="3">
        <f>'Monthly D5 RIN Data'!$H178</f>
        <v>326455</v>
      </c>
      <c r="Q204" s="4">
        <f>'D5 Gallon Forecast'!Q206*AVERAGE('D5 RIN Forecast'!$AA$12:$AE$12)</f>
        <v>281504.04373803362</v>
      </c>
      <c r="R204" s="4">
        <f>'D5 Gallon Forecast'!R206*AVERAGE('D5 RIN Forecast'!$AA$12:$AE$12)</f>
        <v>290470.82421865832</v>
      </c>
      <c r="S204" s="4">
        <f>'D5 Gallon Forecast'!S206*AVERAGE('D5 RIN Forecast'!$AA$12:$AE$12)</f>
        <v>318118.63707849104</v>
      </c>
      <c r="T204" s="4">
        <f>'D5 Gallon Forecast'!T206*AVERAGE('D5 RIN Forecast'!$AA$12:$AE$12)</f>
        <v>405430.53760414355</v>
      </c>
    </row>
    <row r="205" spans="1:20">
      <c r="A205" s="2" t="s">
        <v>50</v>
      </c>
      <c r="B205" s="3">
        <f>'Monthly D5 RIN Data'!$H11</f>
        <v>1336309</v>
      </c>
      <c r="C205" s="3">
        <f>'Monthly D5 RIN Data'!$H23</f>
        <v>775279</v>
      </c>
      <c r="D205" s="3">
        <f>'Monthly D5 RIN Data'!$H35</f>
        <v>0</v>
      </c>
      <c r="E205" s="3">
        <f>'Monthly D5 RIN Data'!$H47</f>
        <v>0</v>
      </c>
      <c r="F205" s="3">
        <f>'Monthly D5 RIN Data'!$H59</f>
        <v>0</v>
      </c>
      <c r="G205" s="3">
        <f>'Monthly D5 RIN Data'!$H71</f>
        <v>38424</v>
      </c>
      <c r="H205" s="3">
        <f>'Monthly D5 RIN Data'!$H83</f>
        <v>48977</v>
      </c>
      <c r="I205" s="3">
        <f>'Monthly D5 RIN Data'!$H95</f>
        <v>81204</v>
      </c>
      <c r="J205" s="3">
        <f>'Monthly D5 RIN Data'!$H107</f>
        <v>0</v>
      </c>
      <c r="K205" s="3">
        <f>'Monthly D5 RIN Data'!$H119</f>
        <v>35528</v>
      </c>
      <c r="L205" s="3">
        <f>'Monthly D5 RIN Data'!$H131</f>
        <v>52128</v>
      </c>
      <c r="M205" s="3">
        <f>'Monthly D5 RIN Data'!$H143</f>
        <v>54634</v>
      </c>
      <c r="N205" s="3">
        <f>'Monthly D5 RIN Data'!$H155</f>
        <v>329330</v>
      </c>
      <c r="O205" s="3">
        <f>'Monthly D5 RIN Data'!$H167</f>
        <v>142970</v>
      </c>
      <c r="P205" s="3">
        <f>'Monthly D5 RIN Data'!$H179</f>
        <v>367511</v>
      </c>
      <c r="Q205" s="4">
        <f>'D5 Gallon Forecast'!Q207*AVERAGE('D5 RIN Forecast'!$AA$12:$AE$12)</f>
        <v>307277.03457315319</v>
      </c>
      <c r="R205" s="4">
        <f>'D5 Gallon Forecast'!R207*AVERAGE('D5 RIN Forecast'!$AA$12:$AE$12)</f>
        <v>330688.24770846131</v>
      </c>
      <c r="S205" s="4">
        <f>'D5 Gallon Forecast'!S207*AVERAGE('D5 RIN Forecast'!$AA$12:$AE$12)</f>
        <v>363345.41736879759</v>
      </c>
      <c r="T205" s="4">
        <f>'D5 Gallon Forecast'!T207*AVERAGE('D5 RIN Forecast'!$AA$12:$AE$12)</f>
        <v>380238.68233642727</v>
      </c>
    </row>
    <row r="206" spans="1:20">
      <c r="A206" s="2" t="s">
        <v>51</v>
      </c>
      <c r="B206" s="3">
        <f>'Monthly D5 RIN Data'!$H12</f>
        <v>1226281</v>
      </c>
      <c r="C206" s="3">
        <f>'Monthly D5 RIN Data'!$H24</f>
        <v>268031</v>
      </c>
      <c r="D206" s="3">
        <f>'Monthly D5 RIN Data'!$H36</f>
        <v>0</v>
      </c>
      <c r="E206" s="3">
        <f>'Monthly D5 RIN Data'!$H48</f>
        <v>0</v>
      </c>
      <c r="F206" s="3">
        <f>'Monthly D5 RIN Data'!$H60</f>
        <v>0</v>
      </c>
      <c r="G206" s="3">
        <f>'Monthly D5 RIN Data'!$H72</f>
        <v>43099</v>
      </c>
      <c r="H206" s="3">
        <f>'Monthly D5 RIN Data'!$H84</f>
        <v>118087</v>
      </c>
      <c r="I206" s="3">
        <f>'Monthly D5 RIN Data'!$H96</f>
        <v>97477</v>
      </c>
      <c r="J206" s="3">
        <f>'Monthly D5 RIN Data'!$H108</f>
        <v>36376</v>
      </c>
      <c r="K206" s="3">
        <f>'Monthly D5 RIN Data'!$H120</f>
        <v>143716</v>
      </c>
      <c r="L206" s="3">
        <f>'Monthly D5 RIN Data'!$H132</f>
        <v>115846</v>
      </c>
      <c r="M206" s="3">
        <f>'Monthly D5 RIN Data'!$H144</f>
        <v>141816</v>
      </c>
      <c r="N206" s="3">
        <f>'Monthly D5 RIN Data'!$H156</f>
        <v>172969</v>
      </c>
      <c r="O206" s="3">
        <f>'Monthly D5 RIN Data'!$H168</f>
        <v>853655</v>
      </c>
      <c r="P206" s="3">
        <f>'Monthly D5 RIN Data'!$H180</f>
        <v>500170</v>
      </c>
      <c r="Q206" s="4">
        <f>'D5 Gallon Forecast'!Q208*AVERAGE('D5 RIN Forecast'!$AA$12:$AE$12)</f>
        <v>428454.45928591985</v>
      </c>
      <c r="R206" s="4">
        <f>'D5 Gallon Forecast'!R208*AVERAGE('D5 RIN Forecast'!$AA$12:$AE$12)</f>
        <v>577064.95090275758</v>
      </c>
      <c r="S206" s="4">
        <f>'D5 Gallon Forecast'!S208*AVERAGE('D5 RIN Forecast'!$AA$12:$AE$12)</f>
        <v>622625.40978408966</v>
      </c>
      <c r="T206" s="4">
        <f>'D5 Gallon Forecast'!T208*AVERAGE('D5 RIN Forecast'!$AA$12:$AE$12)</f>
        <v>750008.80871842732</v>
      </c>
    </row>
    <row r="207" spans="1:20">
      <c r="A207" s="2" t="s">
        <v>52</v>
      </c>
      <c r="B207" s="3">
        <f>'Monthly D5 RIN Data'!$H13</f>
        <v>2311149</v>
      </c>
      <c r="C207" s="3">
        <f>'Monthly D5 RIN Data'!$H25</f>
        <v>30646</v>
      </c>
      <c r="D207" s="3">
        <f>'Monthly D5 RIN Data'!$H37</f>
        <v>0</v>
      </c>
      <c r="E207" s="3">
        <f>'Monthly D5 RIN Data'!$H49</f>
        <v>0</v>
      </c>
      <c r="F207" s="3">
        <f>'Monthly D5 RIN Data'!$H61</f>
        <v>16162</v>
      </c>
      <c r="G207" s="3">
        <f>'Monthly D5 RIN Data'!$H73</f>
        <v>73512</v>
      </c>
      <c r="H207" s="3">
        <f>'Monthly D5 RIN Data'!$H85</f>
        <v>132092</v>
      </c>
      <c r="I207" s="3">
        <f>'Monthly D5 RIN Data'!$H97</f>
        <v>125638</v>
      </c>
      <c r="J207" s="3">
        <f>'Monthly D5 RIN Data'!$H109</f>
        <v>141969</v>
      </c>
      <c r="K207" s="3">
        <f>'Monthly D5 RIN Data'!$H121</f>
        <v>215335</v>
      </c>
      <c r="L207" s="3">
        <f>'Monthly D5 RIN Data'!$H133</f>
        <v>169488</v>
      </c>
      <c r="M207" s="3">
        <f>'Monthly D5 RIN Data'!$H145</f>
        <v>234290</v>
      </c>
      <c r="N207" s="3">
        <f>'Monthly D5 RIN Data'!$H157</f>
        <v>239107</v>
      </c>
      <c r="O207" s="3">
        <f>'Monthly D5 RIN Data'!$H169</f>
        <v>0</v>
      </c>
      <c r="P207" s="3">
        <f>'Monthly D5 RIN Data'!$H181</f>
        <v>125516</v>
      </c>
      <c r="Q207" s="4">
        <f>'D5 Gallon Forecast'!Q209*AVERAGE('D5 RIN Forecast'!$AA$12:$AE$12)</f>
        <v>344496.62825712882</v>
      </c>
      <c r="R207" s="4">
        <f>'D5 Gallon Forecast'!R209*AVERAGE('D5 RIN Forecast'!$AA$12:$AE$12)</f>
        <v>259605.69166261435</v>
      </c>
      <c r="S207" s="4">
        <f>'D5 Gallon Forecast'!S209*AVERAGE('D5 RIN Forecast'!$AA$12:$AE$12)</f>
        <v>238183.16132215323</v>
      </c>
      <c r="T207" s="4">
        <f>'D5 Gallon Forecast'!T209*AVERAGE('D5 RIN Forecast'!$AA$12:$AE$12)</f>
        <v>243416.66371941389</v>
      </c>
    </row>
    <row r="208" spans="1:20">
      <c r="A208" s="2" t="s">
        <v>53</v>
      </c>
      <c r="B208" s="3">
        <f>'Monthly D5 RIN Data'!$H14</f>
        <v>3430279</v>
      </c>
      <c r="C208" s="3">
        <f>'Monthly D5 RIN Data'!$H26</f>
        <v>49969</v>
      </c>
      <c r="D208" s="3">
        <f>'Monthly D5 RIN Data'!$H38</f>
        <v>0</v>
      </c>
      <c r="E208" s="3">
        <f>'Monthly D5 RIN Data'!$H50</f>
        <v>0</v>
      </c>
      <c r="F208" s="3">
        <f>'Monthly D5 RIN Data'!$H62</f>
        <v>38949</v>
      </c>
      <c r="G208" s="3">
        <f>'Monthly D5 RIN Data'!$H74</f>
        <v>105931</v>
      </c>
      <c r="H208" s="3">
        <f>'Monthly D5 RIN Data'!$H86</f>
        <v>152860</v>
      </c>
      <c r="I208" s="3">
        <f>'Monthly D5 RIN Data'!$H98</f>
        <v>260794</v>
      </c>
      <c r="J208" s="3">
        <f>'Monthly D5 RIN Data'!$H110</f>
        <v>481083</v>
      </c>
      <c r="K208" s="3">
        <f>'Monthly D5 RIN Data'!$H122</f>
        <v>270738</v>
      </c>
      <c r="L208" s="3">
        <f>'Monthly D5 RIN Data'!$H134</f>
        <v>222349</v>
      </c>
      <c r="M208" s="3">
        <f>'Monthly D5 RIN Data'!$H146</f>
        <v>197167</v>
      </c>
      <c r="N208" s="3">
        <f>'Monthly D5 RIN Data'!$H158</f>
        <v>355058</v>
      </c>
      <c r="O208" s="3">
        <f>'Monthly D5 RIN Data'!$H170</f>
        <v>0</v>
      </c>
      <c r="P208" s="3">
        <f>'Monthly D5 RIN Data'!$H182</f>
        <v>508880</v>
      </c>
      <c r="Q208" s="4">
        <f>'D5 Gallon Forecast'!Q210*AVERAGE('D5 RIN Forecast'!$AA$12:$AE$12)</f>
        <v>308161.80593155482</v>
      </c>
      <c r="R208" s="4">
        <f>'D5 Gallon Forecast'!R210*AVERAGE('D5 RIN Forecast'!$AA$12:$AE$12)</f>
        <v>376790.90097148751</v>
      </c>
      <c r="S208" s="4">
        <f>'D5 Gallon Forecast'!S210*AVERAGE('D5 RIN Forecast'!$AA$12:$AE$12)</f>
        <v>380828.77725887019</v>
      </c>
      <c r="T208" s="4">
        <f>'D5 Gallon Forecast'!T210*AVERAGE('D5 RIN Forecast'!$AA$12:$AE$12)</f>
        <v>396050.410994948</v>
      </c>
    </row>
    <row r="209" spans="1:20">
      <c r="A209" s="2" t="s">
        <v>54</v>
      </c>
      <c r="B209" s="3">
        <f>'Monthly D5 RIN Data'!$H15</f>
        <v>2830119</v>
      </c>
      <c r="C209" s="3">
        <f>'Monthly D5 RIN Data'!$H27</f>
        <v>494127</v>
      </c>
      <c r="D209" s="3">
        <f>'Monthly D5 RIN Data'!$H39</f>
        <v>0</v>
      </c>
      <c r="E209" s="3">
        <f>'Monthly D5 RIN Data'!$H51</f>
        <v>0</v>
      </c>
      <c r="F209" s="3">
        <f>'Monthly D5 RIN Data'!$H63</f>
        <v>58773</v>
      </c>
      <c r="G209" s="3">
        <f>'Monthly D5 RIN Data'!$H75</f>
        <v>163003</v>
      </c>
      <c r="H209" s="3">
        <f>'Monthly D5 RIN Data'!$H87</f>
        <v>214795</v>
      </c>
      <c r="I209" s="3">
        <f>'Monthly D5 RIN Data'!$H99</f>
        <v>346841</v>
      </c>
      <c r="J209" s="3">
        <f>'Monthly D5 RIN Data'!$H111</f>
        <v>395182</v>
      </c>
      <c r="K209" s="3">
        <f>'Monthly D5 RIN Data'!$H123</f>
        <v>394198</v>
      </c>
      <c r="L209" s="3">
        <f>'Monthly D5 RIN Data'!$H135</f>
        <v>434975</v>
      </c>
      <c r="M209" s="3">
        <f>'Monthly D5 RIN Data'!$H147</f>
        <v>282584</v>
      </c>
      <c r="N209" s="3">
        <f>'Monthly D5 RIN Data'!$H159</f>
        <v>182886</v>
      </c>
      <c r="O209" s="3">
        <f>'Monthly D5 RIN Data'!$H171</f>
        <v>276151</v>
      </c>
      <c r="P209" s="3">
        <f>'Monthly D5 RIN Data'!$H183</f>
        <v>481371</v>
      </c>
      <c r="Q209" s="4">
        <f>'D5 Gallon Forecast'!Q211*AVERAGE('D5 RIN Forecast'!$AA$12:$AE$12)</f>
        <v>486086.41447284399</v>
      </c>
      <c r="R209" s="4">
        <f>'D5 Gallon Forecast'!R211*AVERAGE('D5 RIN Forecast'!$AA$12:$AE$12)</f>
        <v>470299.83048644388</v>
      </c>
      <c r="S209" s="4">
        <f>'D5 Gallon Forecast'!S211*AVERAGE('D5 RIN Forecast'!$AA$12:$AE$12)</f>
        <v>466369.17492961063</v>
      </c>
      <c r="T209" s="4">
        <f>'D5 Gallon Forecast'!T211*AVERAGE('D5 RIN Forecast'!$AA$12:$AE$12)</f>
        <v>548371.34116335528</v>
      </c>
    </row>
    <row r="210" spans="1:20" ht="13.5" thickBot="1">
      <c r="A210" s="2" t="s">
        <v>29</v>
      </c>
      <c r="B210" s="3">
        <f t="shared" ref="B210:O210" si="66">SUM(B198:B209)</f>
        <v>11797169</v>
      </c>
      <c r="C210" s="3">
        <f t="shared" si="66"/>
        <v>6180377</v>
      </c>
      <c r="D210" s="3">
        <f t="shared" si="66"/>
        <v>196124</v>
      </c>
      <c r="E210" s="3">
        <f t="shared" si="66"/>
        <v>0</v>
      </c>
      <c r="F210" s="3">
        <f t="shared" si="66"/>
        <v>113884</v>
      </c>
      <c r="G210" s="3">
        <f t="shared" si="66"/>
        <v>847149</v>
      </c>
      <c r="H210" s="3">
        <f t="shared" si="66"/>
        <v>1544722</v>
      </c>
      <c r="I210" s="3">
        <f t="shared" si="66"/>
        <v>1956751</v>
      </c>
      <c r="J210" s="3">
        <f t="shared" si="66"/>
        <v>2822612</v>
      </c>
      <c r="K210" s="3">
        <f t="shared" si="66"/>
        <v>3276020</v>
      </c>
      <c r="L210" s="3">
        <f t="shared" si="66"/>
        <v>2868136</v>
      </c>
      <c r="M210" s="3">
        <f t="shared" si="66"/>
        <v>2160903</v>
      </c>
      <c r="N210" s="3">
        <f t="shared" si="66"/>
        <v>3042574</v>
      </c>
      <c r="O210" s="3">
        <f t="shared" si="66"/>
        <v>3984191</v>
      </c>
      <c r="P210" s="3">
        <f>SUM(P198:P209)</f>
        <v>4437052</v>
      </c>
      <c r="Q210" s="4">
        <f>SUM(Q198:Q209)</f>
        <v>3959999.728298604</v>
      </c>
      <c r="R210" s="4">
        <f>SUM(R198:R209)</f>
        <v>4838924.0723740263</v>
      </c>
      <c r="S210" s="4">
        <f>SUM(S198:S209)</f>
        <v>4982048.7127480153</v>
      </c>
      <c r="T210" s="4">
        <f>SUM(T198:T209)</f>
        <v>5584185.7741136905</v>
      </c>
    </row>
    <row r="211" spans="1:20">
      <c r="A211" s="114"/>
      <c r="B211" s="114"/>
      <c r="C211" s="114"/>
      <c r="D211" s="114"/>
      <c r="E211" s="114"/>
      <c r="F211" s="114"/>
      <c r="G211" s="114"/>
      <c r="H211" s="114"/>
      <c r="I211" s="114"/>
      <c r="J211" s="114"/>
      <c r="K211" s="114"/>
      <c r="L211" s="114"/>
      <c r="M211" s="114"/>
      <c r="N211" s="114"/>
      <c r="O211" s="114"/>
      <c r="P211" s="114"/>
      <c r="Q211" s="114"/>
      <c r="R211" s="114"/>
      <c r="S211" s="114"/>
      <c r="T211" s="114"/>
    </row>
    <row r="212" spans="1:20" ht="16.5" thickBot="1">
      <c r="A212" s="109" t="s">
        <v>445</v>
      </c>
    </row>
    <row r="213" spans="1:20" ht="13.5" thickBot="1">
      <c r="A213" s="110"/>
      <c r="B213" s="111">
        <v>2010</v>
      </c>
      <c r="C213" s="111">
        <v>2011</v>
      </c>
      <c r="D213" s="111">
        <v>2012</v>
      </c>
      <c r="E213" s="111">
        <v>2013</v>
      </c>
      <c r="F213" s="111">
        <v>2014</v>
      </c>
      <c r="G213" s="111">
        <v>2015</v>
      </c>
      <c r="H213" s="111">
        <v>2016</v>
      </c>
      <c r="I213" s="111">
        <v>2017</v>
      </c>
      <c r="J213" s="111">
        <v>2018</v>
      </c>
      <c r="K213" s="111">
        <v>2019</v>
      </c>
      <c r="L213" s="111">
        <v>2020</v>
      </c>
      <c r="M213" s="111">
        <v>2021</v>
      </c>
      <c r="N213" s="111">
        <v>2022</v>
      </c>
      <c r="O213" s="111">
        <v>2023</v>
      </c>
      <c r="P213" s="111">
        <v>2024</v>
      </c>
      <c r="Q213" s="111">
        <v>2025</v>
      </c>
      <c r="R213" s="111">
        <v>2026</v>
      </c>
      <c r="S213" s="111">
        <v>2027</v>
      </c>
      <c r="T213" s="111">
        <v>2028</v>
      </c>
    </row>
    <row r="214" spans="1:20">
      <c r="A214" s="2" t="s">
        <v>43</v>
      </c>
      <c r="B214" s="3">
        <f>'Monthly D5 RIN Data'!$I4</f>
        <v>0</v>
      </c>
      <c r="C214" s="3">
        <f>'Monthly D5 RIN Data'!$I16</f>
        <v>0</v>
      </c>
      <c r="D214" s="3">
        <f>'Monthly D5 RIN Data'!$I28</f>
        <v>0</v>
      </c>
      <c r="E214" s="3">
        <f>'Monthly D5 RIN Data'!$I40</f>
        <v>0</v>
      </c>
      <c r="F214" s="3">
        <f>'Monthly D5 RIN Data'!$I52</f>
        <v>0</v>
      </c>
      <c r="G214" s="3">
        <f>'Monthly D5 RIN Data'!$I64</f>
        <v>0</v>
      </c>
      <c r="H214" s="3">
        <f>'Monthly D5 RIN Data'!$I76</f>
        <v>0</v>
      </c>
      <c r="I214" s="3">
        <f>'Monthly D5 RIN Data'!$I88</f>
        <v>0</v>
      </c>
      <c r="J214" s="3">
        <f>'Monthly D5 RIN Data'!$I100</f>
        <v>0</v>
      </c>
      <c r="K214" s="3">
        <f>'Monthly D5 RIN Data'!$I112</f>
        <v>0</v>
      </c>
      <c r="L214" s="3">
        <f>'Monthly D5 RIN Data'!$I124</f>
        <v>0</v>
      </c>
      <c r="M214" s="3">
        <f>'Monthly D5 RIN Data'!$I136</f>
        <v>0</v>
      </c>
      <c r="N214" s="3">
        <f>'Monthly D5 RIN Data'!$I148</f>
        <v>0</v>
      </c>
      <c r="O214" s="3">
        <f>'Monthly D5 RIN Data'!$I160</f>
        <v>0</v>
      </c>
      <c r="P214" s="3">
        <f>'Monthly D5 RIN Data'!$I172</f>
        <v>0</v>
      </c>
      <c r="Q214" s="3">
        <f>'Monthly D5 RIN Data'!$I184</f>
        <v>0</v>
      </c>
      <c r="R214" s="4">
        <f>'D5 Gallon Forecast'!R216</f>
        <v>0</v>
      </c>
      <c r="S214" s="4">
        <f>'D5 Gallon Forecast'!S216</f>
        <v>0</v>
      </c>
      <c r="T214" s="4">
        <f>'D5 Gallon Forecast'!T216</f>
        <v>0</v>
      </c>
    </row>
    <row r="215" spans="1:20">
      <c r="A215" s="2" t="s">
        <v>44</v>
      </c>
      <c r="B215" s="3">
        <f>'Monthly D5 RIN Data'!$I5</f>
        <v>0</v>
      </c>
      <c r="C215" s="3">
        <f>'Monthly D5 RIN Data'!$I17</f>
        <v>0</v>
      </c>
      <c r="D215" s="3">
        <f>'Monthly D5 RIN Data'!$I29</f>
        <v>0</v>
      </c>
      <c r="E215" s="3">
        <f>'Monthly D5 RIN Data'!$I41</f>
        <v>0</v>
      </c>
      <c r="F215" s="3">
        <f>'Monthly D5 RIN Data'!$I53</f>
        <v>0</v>
      </c>
      <c r="G215" s="3">
        <f>'Monthly D5 RIN Data'!$I65</f>
        <v>0</v>
      </c>
      <c r="H215" s="3">
        <f>'Monthly D5 RIN Data'!$I77</f>
        <v>0</v>
      </c>
      <c r="I215" s="3">
        <f>'Monthly D5 RIN Data'!$I89</f>
        <v>0</v>
      </c>
      <c r="J215" s="3">
        <f>'Monthly D5 RIN Data'!$I101</f>
        <v>0</v>
      </c>
      <c r="K215" s="3">
        <f>'Monthly D5 RIN Data'!$I113</f>
        <v>0</v>
      </c>
      <c r="L215" s="3">
        <f>'Monthly D5 RIN Data'!$I125</f>
        <v>0</v>
      </c>
      <c r="M215" s="3">
        <f>'Monthly D5 RIN Data'!$I137</f>
        <v>0</v>
      </c>
      <c r="N215" s="3">
        <f>'Monthly D5 RIN Data'!$I149</f>
        <v>0</v>
      </c>
      <c r="O215" s="3">
        <f>'Monthly D5 RIN Data'!$I161</f>
        <v>0</v>
      </c>
      <c r="P215" s="3">
        <f>'Monthly D5 RIN Data'!$I173</f>
        <v>0</v>
      </c>
      <c r="Q215" s="3">
        <f>'Monthly D5 RIN Data'!$I185</f>
        <v>0</v>
      </c>
      <c r="R215" s="4">
        <f>'D5 Gallon Forecast'!R217</f>
        <v>0</v>
      </c>
      <c r="S215" s="4">
        <f>'D5 Gallon Forecast'!S217</f>
        <v>0</v>
      </c>
      <c r="T215" s="4">
        <f>'D5 Gallon Forecast'!T217</f>
        <v>0</v>
      </c>
    </row>
    <row r="216" spans="1:20">
      <c r="A216" s="2" t="s">
        <v>45</v>
      </c>
      <c r="B216" s="3">
        <f>'Monthly D5 RIN Data'!$I6</f>
        <v>0</v>
      </c>
      <c r="C216" s="3">
        <f>'Monthly D5 RIN Data'!$I18</f>
        <v>0</v>
      </c>
      <c r="D216" s="3">
        <f>'Monthly D5 RIN Data'!$I30</f>
        <v>0</v>
      </c>
      <c r="E216" s="3">
        <f>'Monthly D5 RIN Data'!$I42</f>
        <v>0</v>
      </c>
      <c r="F216" s="3">
        <f>'Monthly D5 RIN Data'!$I54</f>
        <v>0</v>
      </c>
      <c r="G216" s="3">
        <f>'Monthly D5 RIN Data'!$I66</f>
        <v>0</v>
      </c>
      <c r="H216" s="3">
        <f>'Monthly D5 RIN Data'!$I78</f>
        <v>0</v>
      </c>
      <c r="I216" s="3">
        <f>'Monthly D5 RIN Data'!$I90</f>
        <v>0</v>
      </c>
      <c r="J216" s="3">
        <f>'Monthly D5 RIN Data'!$I102</f>
        <v>0</v>
      </c>
      <c r="K216" s="3">
        <f>'Monthly D5 RIN Data'!$I114</f>
        <v>0</v>
      </c>
      <c r="L216" s="3">
        <f>'Monthly D5 RIN Data'!$I126</f>
        <v>0</v>
      </c>
      <c r="M216" s="3">
        <f>'Monthly D5 RIN Data'!$I138</f>
        <v>0</v>
      </c>
      <c r="N216" s="3">
        <f>'Monthly D5 RIN Data'!$I150</f>
        <v>0</v>
      </c>
      <c r="O216" s="3">
        <f>'Monthly D5 RIN Data'!$I162</f>
        <v>0</v>
      </c>
      <c r="P216" s="3">
        <f>'Monthly D5 RIN Data'!$I174</f>
        <v>0</v>
      </c>
      <c r="Q216" s="3">
        <f>'Monthly D5 RIN Data'!$I186</f>
        <v>0</v>
      </c>
      <c r="R216" s="4">
        <f>'D5 Gallon Forecast'!R218</f>
        <v>0</v>
      </c>
      <c r="S216" s="4">
        <f>'D5 Gallon Forecast'!S218</f>
        <v>0</v>
      </c>
      <c r="T216" s="4">
        <f>'D5 Gallon Forecast'!T218</f>
        <v>0</v>
      </c>
    </row>
    <row r="217" spans="1:20">
      <c r="A217" s="2" t="s">
        <v>46</v>
      </c>
      <c r="B217" s="3">
        <f>'Monthly D5 RIN Data'!$I7</f>
        <v>0</v>
      </c>
      <c r="C217" s="3">
        <f>'Monthly D5 RIN Data'!$I19</f>
        <v>0</v>
      </c>
      <c r="D217" s="3">
        <f>'Monthly D5 RIN Data'!$I31</f>
        <v>0</v>
      </c>
      <c r="E217" s="3">
        <f>'Monthly D5 RIN Data'!$I43</f>
        <v>0</v>
      </c>
      <c r="F217" s="3">
        <f>'Monthly D5 RIN Data'!$I55</f>
        <v>0</v>
      </c>
      <c r="G217" s="3">
        <f>'Monthly D5 RIN Data'!$I67</f>
        <v>0</v>
      </c>
      <c r="H217" s="3">
        <f>'Monthly D5 RIN Data'!$I79</f>
        <v>0</v>
      </c>
      <c r="I217" s="3">
        <f>'Monthly D5 RIN Data'!$I91</f>
        <v>0</v>
      </c>
      <c r="J217" s="3">
        <f>'Monthly D5 RIN Data'!$I103</f>
        <v>0</v>
      </c>
      <c r="K217" s="3">
        <f>'Monthly D5 RIN Data'!$I115</f>
        <v>0</v>
      </c>
      <c r="L217" s="3">
        <f>'Monthly D5 RIN Data'!$I127</f>
        <v>0</v>
      </c>
      <c r="M217" s="3">
        <f>'Monthly D5 RIN Data'!$I139</f>
        <v>0</v>
      </c>
      <c r="N217" s="3">
        <f>'Monthly D5 RIN Data'!$I151</f>
        <v>0</v>
      </c>
      <c r="O217" s="3">
        <f>'Monthly D5 RIN Data'!$I163</f>
        <v>0</v>
      </c>
      <c r="P217" s="3">
        <f>'Monthly D5 RIN Data'!$I175</f>
        <v>0</v>
      </c>
      <c r="Q217" s="4">
        <f>'D5 Gallon Forecast'!Q219</f>
        <v>0</v>
      </c>
      <c r="R217" s="4">
        <f>'D5 Gallon Forecast'!R219</f>
        <v>0</v>
      </c>
      <c r="S217" s="4">
        <f>'D5 Gallon Forecast'!S219</f>
        <v>0</v>
      </c>
      <c r="T217" s="4">
        <f>'D5 Gallon Forecast'!T219</f>
        <v>0</v>
      </c>
    </row>
    <row r="218" spans="1:20">
      <c r="A218" s="2" t="s">
        <v>47</v>
      </c>
      <c r="B218" s="3">
        <f>'Monthly D5 RIN Data'!$I8</f>
        <v>0</v>
      </c>
      <c r="C218" s="3">
        <f>'Monthly D5 RIN Data'!$I20</f>
        <v>0</v>
      </c>
      <c r="D218" s="3">
        <f>'Monthly D5 RIN Data'!$I32</f>
        <v>0</v>
      </c>
      <c r="E218" s="3">
        <f>'Monthly D5 RIN Data'!$I44</f>
        <v>0</v>
      </c>
      <c r="F218" s="3">
        <f>'Monthly D5 RIN Data'!$I56</f>
        <v>0</v>
      </c>
      <c r="G218" s="3">
        <f>'Monthly D5 RIN Data'!$I68</f>
        <v>0</v>
      </c>
      <c r="H218" s="3">
        <f>'Monthly D5 RIN Data'!$I80</f>
        <v>0</v>
      </c>
      <c r="I218" s="3">
        <f>'Monthly D5 RIN Data'!$I92</f>
        <v>0</v>
      </c>
      <c r="J218" s="3">
        <f>'Monthly D5 RIN Data'!$I104</f>
        <v>0</v>
      </c>
      <c r="K218" s="3">
        <f>'Monthly D5 RIN Data'!$I116</f>
        <v>0</v>
      </c>
      <c r="L218" s="3">
        <f>'Monthly D5 RIN Data'!$I128</f>
        <v>0</v>
      </c>
      <c r="M218" s="3">
        <f>'Monthly D5 RIN Data'!$I140</f>
        <v>0</v>
      </c>
      <c r="N218" s="3">
        <f>'Monthly D5 RIN Data'!$I152</f>
        <v>0</v>
      </c>
      <c r="O218" s="3">
        <f>'Monthly D5 RIN Data'!$I164</f>
        <v>0</v>
      </c>
      <c r="P218" s="3">
        <f>'Monthly D5 RIN Data'!$I176</f>
        <v>0</v>
      </c>
      <c r="Q218" s="4">
        <f>'D5 Gallon Forecast'!Q220</f>
        <v>0</v>
      </c>
      <c r="R218" s="4">
        <f>'D5 Gallon Forecast'!R220</f>
        <v>0</v>
      </c>
      <c r="S218" s="4">
        <f>'D5 Gallon Forecast'!S220</f>
        <v>0</v>
      </c>
      <c r="T218" s="4">
        <f>'D5 Gallon Forecast'!T220</f>
        <v>0</v>
      </c>
    </row>
    <row r="219" spans="1:20">
      <c r="A219" s="2" t="s">
        <v>48</v>
      </c>
      <c r="B219" s="3">
        <f>'Monthly D5 RIN Data'!$I9</f>
        <v>0</v>
      </c>
      <c r="C219" s="3">
        <f>'Monthly D5 RIN Data'!$I21</f>
        <v>0</v>
      </c>
      <c r="D219" s="3">
        <f>'Monthly D5 RIN Data'!$I33</f>
        <v>0</v>
      </c>
      <c r="E219" s="3">
        <f>'Monthly D5 RIN Data'!$I45</f>
        <v>0</v>
      </c>
      <c r="F219" s="3">
        <f>'Monthly D5 RIN Data'!$I57</f>
        <v>0</v>
      </c>
      <c r="G219" s="3">
        <f>'Monthly D5 RIN Data'!$I69</f>
        <v>0</v>
      </c>
      <c r="H219" s="3">
        <f>'Monthly D5 RIN Data'!$I81</f>
        <v>0</v>
      </c>
      <c r="I219" s="3">
        <f>'Monthly D5 RIN Data'!$I93</f>
        <v>0</v>
      </c>
      <c r="J219" s="3">
        <f>'Monthly D5 RIN Data'!$I105</f>
        <v>0</v>
      </c>
      <c r="K219" s="3">
        <f>'Monthly D5 RIN Data'!$I117</f>
        <v>0</v>
      </c>
      <c r="L219" s="3">
        <f>'Monthly D5 RIN Data'!$I129</f>
        <v>0</v>
      </c>
      <c r="M219" s="3">
        <f>'Monthly D5 RIN Data'!$I141</f>
        <v>0</v>
      </c>
      <c r="N219" s="3">
        <f>'Monthly D5 RIN Data'!$I153</f>
        <v>0</v>
      </c>
      <c r="O219" s="3">
        <f>'Monthly D5 RIN Data'!$I165</f>
        <v>0</v>
      </c>
      <c r="P219" s="3">
        <f>'Monthly D5 RIN Data'!$I177</f>
        <v>0</v>
      </c>
      <c r="Q219" s="4">
        <f>'D5 Gallon Forecast'!Q221</f>
        <v>0</v>
      </c>
      <c r="R219" s="4">
        <f>'D5 Gallon Forecast'!R221</f>
        <v>0</v>
      </c>
      <c r="S219" s="4">
        <f>'D5 Gallon Forecast'!S221</f>
        <v>0</v>
      </c>
      <c r="T219" s="4">
        <f>'D5 Gallon Forecast'!T221</f>
        <v>0</v>
      </c>
    </row>
    <row r="220" spans="1:20">
      <c r="A220" s="2" t="s">
        <v>49</v>
      </c>
      <c r="B220" s="3">
        <f>'Monthly D5 RIN Data'!$I10</f>
        <v>0</v>
      </c>
      <c r="C220" s="3">
        <f>'Monthly D5 RIN Data'!$I22</f>
        <v>0</v>
      </c>
      <c r="D220" s="3">
        <f>'Monthly D5 RIN Data'!$I34</f>
        <v>0</v>
      </c>
      <c r="E220" s="3">
        <f>'Monthly D5 RIN Data'!$I46</f>
        <v>0</v>
      </c>
      <c r="F220" s="3">
        <f>'Monthly D5 RIN Data'!$I58</f>
        <v>0</v>
      </c>
      <c r="G220" s="3">
        <f>'Monthly D5 RIN Data'!$I70</f>
        <v>0</v>
      </c>
      <c r="H220" s="3">
        <f>'Monthly D5 RIN Data'!$I82</f>
        <v>0</v>
      </c>
      <c r="I220" s="3">
        <f>'Monthly D5 RIN Data'!$I94</f>
        <v>0</v>
      </c>
      <c r="J220" s="3">
        <f>'Monthly D5 RIN Data'!$I106</f>
        <v>0</v>
      </c>
      <c r="K220" s="3">
        <f>'Monthly D5 RIN Data'!$I118</f>
        <v>0</v>
      </c>
      <c r="L220" s="3">
        <f>'Monthly D5 RIN Data'!$I130</f>
        <v>0</v>
      </c>
      <c r="M220" s="3">
        <f>'Monthly D5 RIN Data'!$I142</f>
        <v>0</v>
      </c>
      <c r="N220" s="3">
        <f>'Monthly D5 RIN Data'!$I154</f>
        <v>0</v>
      </c>
      <c r="O220" s="3">
        <f>'Monthly D5 RIN Data'!$I166</f>
        <v>0</v>
      </c>
      <c r="P220" s="3">
        <f>'Monthly D5 RIN Data'!$I178</f>
        <v>0</v>
      </c>
      <c r="Q220" s="4">
        <f>'D5 Gallon Forecast'!Q222</f>
        <v>0</v>
      </c>
      <c r="R220" s="4">
        <f>'D5 Gallon Forecast'!R222</f>
        <v>0</v>
      </c>
      <c r="S220" s="4">
        <f>'D5 Gallon Forecast'!S222</f>
        <v>0</v>
      </c>
      <c r="T220" s="4">
        <f>'D5 Gallon Forecast'!T222</f>
        <v>0</v>
      </c>
    </row>
    <row r="221" spans="1:20">
      <c r="A221" s="2" t="s">
        <v>50</v>
      </c>
      <c r="B221" s="3">
        <f>'Monthly D5 RIN Data'!$I11</f>
        <v>0</v>
      </c>
      <c r="C221" s="3">
        <f>'Monthly D5 RIN Data'!$I23</f>
        <v>0</v>
      </c>
      <c r="D221" s="3">
        <f>'Monthly D5 RIN Data'!$I35</f>
        <v>0</v>
      </c>
      <c r="E221" s="3">
        <f>'Monthly D5 RIN Data'!$I47</f>
        <v>0</v>
      </c>
      <c r="F221" s="3">
        <f>'Monthly D5 RIN Data'!$I59</f>
        <v>0</v>
      </c>
      <c r="G221" s="3">
        <f>'Monthly D5 RIN Data'!$I71</f>
        <v>0</v>
      </c>
      <c r="H221" s="3">
        <f>'Monthly D5 RIN Data'!$I83</f>
        <v>0</v>
      </c>
      <c r="I221" s="3">
        <f>'Monthly D5 RIN Data'!$I95</f>
        <v>0</v>
      </c>
      <c r="J221" s="3">
        <f>'Monthly D5 RIN Data'!$I107</f>
        <v>0</v>
      </c>
      <c r="K221" s="3">
        <f>'Monthly D5 RIN Data'!$I119</f>
        <v>0</v>
      </c>
      <c r="L221" s="3">
        <f>'Monthly D5 RIN Data'!$I131</f>
        <v>0</v>
      </c>
      <c r="M221" s="3">
        <f>'Monthly D5 RIN Data'!$I143</f>
        <v>0</v>
      </c>
      <c r="N221" s="3">
        <f>'Monthly D5 RIN Data'!$I155</f>
        <v>0</v>
      </c>
      <c r="O221" s="3">
        <f>'Monthly D5 RIN Data'!$I167</f>
        <v>0</v>
      </c>
      <c r="P221" s="3">
        <f>'Monthly D5 RIN Data'!$I179</f>
        <v>0</v>
      </c>
      <c r="Q221" s="4">
        <f>'D5 Gallon Forecast'!Q223</f>
        <v>0</v>
      </c>
      <c r="R221" s="4">
        <f>'D5 Gallon Forecast'!R223</f>
        <v>0</v>
      </c>
      <c r="S221" s="4">
        <f>'D5 Gallon Forecast'!S223</f>
        <v>0</v>
      </c>
      <c r="T221" s="4">
        <f>'D5 Gallon Forecast'!T223</f>
        <v>0</v>
      </c>
    </row>
    <row r="222" spans="1:20">
      <c r="A222" s="2" t="s">
        <v>51</v>
      </c>
      <c r="B222" s="3">
        <f>'Monthly D5 RIN Data'!$I12</f>
        <v>0</v>
      </c>
      <c r="C222" s="3">
        <f>'Monthly D5 RIN Data'!$I24</f>
        <v>0</v>
      </c>
      <c r="D222" s="3">
        <f>'Monthly D5 RIN Data'!$I36</f>
        <v>0</v>
      </c>
      <c r="E222" s="3">
        <f>'Monthly D5 RIN Data'!$I48</f>
        <v>0</v>
      </c>
      <c r="F222" s="3">
        <f>'Monthly D5 RIN Data'!$I60</f>
        <v>0</v>
      </c>
      <c r="G222" s="3">
        <f>'Monthly D5 RIN Data'!$I72</f>
        <v>0</v>
      </c>
      <c r="H222" s="3">
        <f>'Monthly D5 RIN Data'!$I84</f>
        <v>0</v>
      </c>
      <c r="I222" s="3">
        <f>'Monthly D5 RIN Data'!$I96</f>
        <v>0</v>
      </c>
      <c r="J222" s="3">
        <f>'Monthly D5 RIN Data'!$I108</f>
        <v>0</v>
      </c>
      <c r="K222" s="3">
        <f>'Monthly D5 RIN Data'!$I120</f>
        <v>0</v>
      </c>
      <c r="L222" s="3">
        <f>'Monthly D5 RIN Data'!$I132</f>
        <v>0</v>
      </c>
      <c r="M222" s="3">
        <f>'Monthly D5 RIN Data'!$I144</f>
        <v>0</v>
      </c>
      <c r="N222" s="3">
        <f>'Monthly D5 RIN Data'!$I156</f>
        <v>0</v>
      </c>
      <c r="O222" s="3">
        <f>'Monthly D5 RIN Data'!$I168</f>
        <v>0</v>
      </c>
      <c r="P222" s="3">
        <f>'Monthly D5 RIN Data'!$I180</f>
        <v>0</v>
      </c>
      <c r="Q222" s="4">
        <f>'D5 Gallon Forecast'!Q224</f>
        <v>0</v>
      </c>
      <c r="R222" s="4">
        <f>'D5 Gallon Forecast'!R224</f>
        <v>0</v>
      </c>
      <c r="S222" s="4">
        <f>'D5 Gallon Forecast'!S224</f>
        <v>0</v>
      </c>
      <c r="T222" s="4">
        <f>'D5 Gallon Forecast'!T224</f>
        <v>0</v>
      </c>
    </row>
    <row r="223" spans="1:20">
      <c r="A223" s="2" t="s">
        <v>52</v>
      </c>
      <c r="B223" s="3">
        <f>'Monthly D5 RIN Data'!$I13</f>
        <v>0</v>
      </c>
      <c r="C223" s="3">
        <f>'Monthly D5 RIN Data'!$I25</f>
        <v>0</v>
      </c>
      <c r="D223" s="3">
        <f>'Monthly D5 RIN Data'!$I37</f>
        <v>0</v>
      </c>
      <c r="E223" s="3">
        <f>'Monthly D5 RIN Data'!$I49</f>
        <v>0</v>
      </c>
      <c r="F223" s="3">
        <f>'Monthly D5 RIN Data'!$I61</f>
        <v>0</v>
      </c>
      <c r="G223" s="3">
        <f>'Monthly D5 RIN Data'!$I73</f>
        <v>0</v>
      </c>
      <c r="H223" s="3">
        <f>'Monthly D5 RIN Data'!$I85</f>
        <v>0</v>
      </c>
      <c r="I223" s="3">
        <f>'Monthly D5 RIN Data'!$I97</f>
        <v>0</v>
      </c>
      <c r="J223" s="3">
        <f>'Monthly D5 RIN Data'!$I109</f>
        <v>0</v>
      </c>
      <c r="K223" s="3">
        <f>'Monthly D5 RIN Data'!$I121</f>
        <v>0</v>
      </c>
      <c r="L223" s="3">
        <f>'Monthly D5 RIN Data'!$I133</f>
        <v>0</v>
      </c>
      <c r="M223" s="3">
        <f>'Monthly D5 RIN Data'!$I145</f>
        <v>0</v>
      </c>
      <c r="N223" s="3">
        <f>'Monthly D5 RIN Data'!$I157</f>
        <v>0</v>
      </c>
      <c r="O223" s="3">
        <f>'Monthly D5 RIN Data'!$I169</f>
        <v>0</v>
      </c>
      <c r="P223" s="3">
        <f>'Monthly D5 RIN Data'!$I181</f>
        <v>0</v>
      </c>
      <c r="Q223" s="4">
        <f>'D5 Gallon Forecast'!Q225</f>
        <v>0</v>
      </c>
      <c r="R223" s="4">
        <f>'D5 Gallon Forecast'!R225</f>
        <v>0</v>
      </c>
      <c r="S223" s="4">
        <f>'D5 Gallon Forecast'!S225</f>
        <v>0</v>
      </c>
      <c r="T223" s="4">
        <f>'D5 Gallon Forecast'!T225</f>
        <v>0</v>
      </c>
    </row>
    <row r="224" spans="1:20">
      <c r="A224" s="2" t="s">
        <v>53</v>
      </c>
      <c r="B224" s="3">
        <f>'Monthly D5 RIN Data'!$I14</f>
        <v>0</v>
      </c>
      <c r="C224" s="3">
        <f>'Monthly D5 RIN Data'!$I26</f>
        <v>0</v>
      </c>
      <c r="D224" s="3">
        <f>'Monthly D5 RIN Data'!$I38</f>
        <v>0</v>
      </c>
      <c r="E224" s="3">
        <f>'Monthly D5 RIN Data'!$I50</f>
        <v>0</v>
      </c>
      <c r="F224" s="3">
        <f>'Monthly D5 RIN Data'!$I62</f>
        <v>0</v>
      </c>
      <c r="G224" s="3">
        <f>'Monthly D5 RIN Data'!$I74</f>
        <v>0</v>
      </c>
      <c r="H224" s="3">
        <f>'Monthly D5 RIN Data'!$I86</f>
        <v>0</v>
      </c>
      <c r="I224" s="3">
        <f>'Monthly D5 RIN Data'!$I98</f>
        <v>0</v>
      </c>
      <c r="J224" s="3">
        <f>'Monthly D5 RIN Data'!$I110</f>
        <v>0</v>
      </c>
      <c r="K224" s="3">
        <f>'Monthly D5 RIN Data'!$I122</f>
        <v>0</v>
      </c>
      <c r="L224" s="3">
        <f>'Monthly D5 RIN Data'!$I134</f>
        <v>0</v>
      </c>
      <c r="M224" s="3">
        <f>'Monthly D5 RIN Data'!$I146</f>
        <v>0</v>
      </c>
      <c r="N224" s="3">
        <f>'Monthly D5 RIN Data'!$I158</f>
        <v>0</v>
      </c>
      <c r="O224" s="3">
        <f>'Monthly D5 RIN Data'!$I170</f>
        <v>0</v>
      </c>
      <c r="P224" s="3">
        <f>'Monthly D5 RIN Data'!$I182</f>
        <v>0</v>
      </c>
      <c r="Q224" s="4">
        <f>'D5 Gallon Forecast'!Q226</f>
        <v>0</v>
      </c>
      <c r="R224" s="4">
        <f>'D5 Gallon Forecast'!R226</f>
        <v>0</v>
      </c>
      <c r="S224" s="4">
        <f>'D5 Gallon Forecast'!S226</f>
        <v>0</v>
      </c>
      <c r="T224" s="4">
        <f>'D5 Gallon Forecast'!T226</f>
        <v>0</v>
      </c>
    </row>
    <row r="225" spans="1:20">
      <c r="A225" s="2" t="s">
        <v>54</v>
      </c>
      <c r="B225" s="3">
        <f>'Monthly D5 RIN Data'!$I15</f>
        <v>0</v>
      </c>
      <c r="C225" s="3">
        <f>'Monthly D5 RIN Data'!$I27</f>
        <v>0</v>
      </c>
      <c r="D225" s="3">
        <f>'Monthly D5 RIN Data'!$I39</f>
        <v>0</v>
      </c>
      <c r="E225" s="3">
        <f>'Monthly D5 RIN Data'!$I51</f>
        <v>0</v>
      </c>
      <c r="F225" s="3">
        <f>'Monthly D5 RIN Data'!$I63</f>
        <v>0</v>
      </c>
      <c r="G225" s="3">
        <f>'Monthly D5 RIN Data'!$I75</f>
        <v>0</v>
      </c>
      <c r="H225" s="3">
        <f>'Monthly D5 RIN Data'!$I87</f>
        <v>0</v>
      </c>
      <c r="I225" s="3">
        <f>'Monthly D5 RIN Data'!$I99</f>
        <v>0</v>
      </c>
      <c r="J225" s="3">
        <f>'Monthly D5 RIN Data'!$I111</f>
        <v>0</v>
      </c>
      <c r="K225" s="3">
        <f>'Monthly D5 RIN Data'!$I123</f>
        <v>0</v>
      </c>
      <c r="L225" s="3">
        <f>'Monthly D5 RIN Data'!$I135</f>
        <v>0</v>
      </c>
      <c r="M225" s="3">
        <f>'Monthly D5 RIN Data'!$I147</f>
        <v>0</v>
      </c>
      <c r="N225" s="3">
        <f>'Monthly D5 RIN Data'!$I159</f>
        <v>0</v>
      </c>
      <c r="O225" s="3">
        <f>'Monthly D5 RIN Data'!$I171</f>
        <v>0</v>
      </c>
      <c r="P225" s="3">
        <f>'Monthly D5 RIN Data'!$I183</f>
        <v>0</v>
      </c>
      <c r="Q225" s="4">
        <f>'D5 Gallon Forecast'!Q227</f>
        <v>0</v>
      </c>
      <c r="R225" s="4">
        <f>'D5 Gallon Forecast'!R227</f>
        <v>0</v>
      </c>
      <c r="S225" s="4">
        <f>'D5 Gallon Forecast'!S227</f>
        <v>0</v>
      </c>
      <c r="T225" s="4">
        <f>'D5 Gallon Forecast'!T227</f>
        <v>0</v>
      </c>
    </row>
    <row r="226" spans="1:20" ht="13.5" thickBot="1">
      <c r="A226" s="2" t="s">
        <v>29</v>
      </c>
      <c r="B226" s="3">
        <f t="shared" ref="B226:O226" si="67">SUM(B214:B225)</f>
        <v>0</v>
      </c>
      <c r="C226" s="3">
        <f t="shared" si="67"/>
        <v>0</v>
      </c>
      <c r="D226" s="3">
        <f t="shared" si="67"/>
        <v>0</v>
      </c>
      <c r="E226" s="3">
        <f t="shared" si="67"/>
        <v>0</v>
      </c>
      <c r="F226" s="3">
        <f t="shared" si="67"/>
        <v>0</v>
      </c>
      <c r="G226" s="3">
        <f t="shared" si="67"/>
        <v>0</v>
      </c>
      <c r="H226" s="3">
        <f t="shared" si="67"/>
        <v>0</v>
      </c>
      <c r="I226" s="3">
        <f t="shared" si="67"/>
        <v>0</v>
      </c>
      <c r="J226" s="3">
        <f t="shared" si="67"/>
        <v>0</v>
      </c>
      <c r="K226" s="3">
        <f t="shared" si="67"/>
        <v>0</v>
      </c>
      <c r="L226" s="3">
        <f t="shared" si="67"/>
        <v>0</v>
      </c>
      <c r="M226" s="3">
        <f t="shared" si="67"/>
        <v>0</v>
      </c>
      <c r="N226" s="3">
        <f t="shared" si="67"/>
        <v>0</v>
      </c>
      <c r="O226" s="3">
        <f t="shared" si="67"/>
        <v>0</v>
      </c>
      <c r="P226" s="3">
        <f>SUM(P214:P225)</f>
        <v>0</v>
      </c>
      <c r="Q226" s="4">
        <f>SUM(Q214:Q225)</f>
        <v>0</v>
      </c>
      <c r="R226" s="4">
        <f>SUM(R214:R225)</f>
        <v>0</v>
      </c>
      <c r="S226" s="4">
        <f>SUM(S214:S225)</f>
        <v>0</v>
      </c>
      <c r="T226" s="4">
        <f>SUM(T214:T225)</f>
        <v>0</v>
      </c>
    </row>
    <row r="227" spans="1:20">
      <c r="A227" s="114"/>
      <c r="B227" s="114"/>
      <c r="C227" s="114"/>
      <c r="D227" s="114"/>
      <c r="E227" s="114"/>
      <c r="F227" s="114"/>
      <c r="G227" s="114"/>
      <c r="H227" s="114"/>
      <c r="I227" s="114"/>
      <c r="J227" s="114"/>
      <c r="K227" s="114"/>
      <c r="L227" s="114"/>
      <c r="M227" s="114"/>
      <c r="N227" s="114"/>
      <c r="O227" s="114"/>
      <c r="P227" s="114"/>
      <c r="Q227" s="114"/>
      <c r="R227" s="114"/>
      <c r="S227" s="114"/>
      <c r="T227" s="114"/>
    </row>
    <row r="228" spans="1:20" ht="16.5" thickBot="1">
      <c r="A228" s="109" t="s">
        <v>446</v>
      </c>
    </row>
    <row r="229" spans="1:20" ht="13.5" thickBot="1">
      <c r="A229" s="110"/>
      <c r="B229" s="111">
        <v>2010</v>
      </c>
      <c r="C229" s="111">
        <v>2011</v>
      </c>
      <c r="D229" s="111">
        <v>2012</v>
      </c>
      <c r="E229" s="111">
        <v>2013</v>
      </c>
      <c r="F229" s="111">
        <v>2014</v>
      </c>
      <c r="G229" s="111">
        <v>2015</v>
      </c>
      <c r="H229" s="111">
        <v>2016</v>
      </c>
      <c r="I229" s="111">
        <v>2017</v>
      </c>
      <c r="J229" s="111">
        <v>2018</v>
      </c>
      <c r="K229" s="111">
        <v>2019</v>
      </c>
      <c r="L229" s="111">
        <v>2020</v>
      </c>
      <c r="M229" s="111">
        <v>2021</v>
      </c>
      <c r="N229" s="111">
        <v>2022</v>
      </c>
      <c r="O229" s="111">
        <v>2023</v>
      </c>
      <c r="P229" s="111">
        <v>2024</v>
      </c>
      <c r="Q229" s="111">
        <v>2025</v>
      </c>
      <c r="R229" s="111">
        <v>2026</v>
      </c>
      <c r="S229" s="111">
        <v>2027</v>
      </c>
      <c r="T229" s="111">
        <v>2028</v>
      </c>
    </row>
    <row r="230" spans="1:20">
      <c r="A230" s="2" t="s">
        <v>43</v>
      </c>
      <c r="B230" s="3">
        <f>B246+B262</f>
        <v>0</v>
      </c>
      <c r="C230" s="3">
        <f t="shared" ref="C230:T241" si="68">C246+C262</f>
        <v>0</v>
      </c>
      <c r="D230" s="3">
        <f t="shared" si="68"/>
        <v>264944</v>
      </c>
      <c r="E230" s="3">
        <f t="shared" si="68"/>
        <v>362227</v>
      </c>
      <c r="F230" s="3">
        <f t="shared" si="68"/>
        <v>1934013</v>
      </c>
      <c r="G230" s="3">
        <f t="shared" si="68"/>
        <v>0</v>
      </c>
      <c r="H230" s="3">
        <f t="shared" si="68"/>
        <v>0</v>
      </c>
      <c r="I230" s="3">
        <f t="shared" si="68"/>
        <v>0</v>
      </c>
      <c r="J230" s="3">
        <f t="shared" si="68"/>
        <v>0</v>
      </c>
      <c r="K230" s="3">
        <f t="shared" si="68"/>
        <v>0</v>
      </c>
      <c r="L230" s="3">
        <f t="shared" si="68"/>
        <v>0</v>
      </c>
      <c r="M230" s="3">
        <f t="shared" si="68"/>
        <v>0</v>
      </c>
      <c r="N230" s="3">
        <f t="shared" si="68"/>
        <v>0</v>
      </c>
      <c r="O230" s="3">
        <f t="shared" si="68"/>
        <v>0</v>
      </c>
      <c r="P230" s="3">
        <f t="shared" si="68"/>
        <v>0</v>
      </c>
      <c r="Q230" s="3">
        <f t="shared" si="68"/>
        <v>0</v>
      </c>
      <c r="R230" s="4">
        <f t="shared" si="68"/>
        <v>0</v>
      </c>
      <c r="S230" s="4">
        <f t="shared" si="68"/>
        <v>0</v>
      </c>
      <c r="T230" s="4">
        <f t="shared" si="68"/>
        <v>0</v>
      </c>
    </row>
    <row r="231" spans="1:20">
      <c r="A231" s="2" t="s">
        <v>44</v>
      </c>
      <c r="B231" s="3">
        <f t="shared" ref="B231:J241" si="69">B247+B263</f>
        <v>0</v>
      </c>
      <c r="C231" s="3">
        <f t="shared" si="69"/>
        <v>0</v>
      </c>
      <c r="D231" s="3">
        <f t="shared" si="69"/>
        <v>295752</v>
      </c>
      <c r="E231" s="3">
        <f t="shared" si="69"/>
        <v>366126</v>
      </c>
      <c r="F231" s="3">
        <f t="shared" si="69"/>
        <v>2454845</v>
      </c>
      <c r="G231" s="3">
        <f t="shared" si="69"/>
        <v>0</v>
      </c>
      <c r="H231" s="3">
        <f t="shared" si="69"/>
        <v>0</v>
      </c>
      <c r="I231" s="3">
        <f t="shared" si="69"/>
        <v>0</v>
      </c>
      <c r="J231" s="3">
        <f t="shared" si="69"/>
        <v>0</v>
      </c>
      <c r="K231" s="3">
        <f t="shared" si="68"/>
        <v>0</v>
      </c>
      <c r="L231" s="3">
        <f t="shared" si="68"/>
        <v>0</v>
      </c>
      <c r="M231" s="3">
        <f t="shared" si="68"/>
        <v>0</v>
      </c>
      <c r="N231" s="3">
        <f t="shared" si="68"/>
        <v>0</v>
      </c>
      <c r="O231" s="3">
        <f t="shared" si="68"/>
        <v>0</v>
      </c>
      <c r="P231" s="3">
        <f>P247+P263</f>
        <v>0</v>
      </c>
      <c r="Q231" s="3">
        <f t="shared" si="68"/>
        <v>0</v>
      </c>
      <c r="R231" s="4">
        <f t="shared" si="68"/>
        <v>0</v>
      </c>
      <c r="S231" s="4">
        <f t="shared" si="68"/>
        <v>0</v>
      </c>
      <c r="T231" s="4">
        <f t="shared" si="68"/>
        <v>0</v>
      </c>
    </row>
    <row r="232" spans="1:20">
      <c r="A232" s="2" t="s">
        <v>45</v>
      </c>
      <c r="B232" s="3">
        <f t="shared" si="69"/>
        <v>0</v>
      </c>
      <c r="C232" s="3">
        <f t="shared" si="69"/>
        <v>0</v>
      </c>
      <c r="D232" s="3">
        <f t="shared" si="69"/>
        <v>239203</v>
      </c>
      <c r="E232" s="3">
        <f t="shared" si="69"/>
        <v>523311</v>
      </c>
      <c r="F232" s="3">
        <f t="shared" si="69"/>
        <v>2969797</v>
      </c>
      <c r="G232" s="3">
        <f t="shared" si="69"/>
        <v>0</v>
      </c>
      <c r="H232" s="3">
        <f t="shared" si="69"/>
        <v>0</v>
      </c>
      <c r="I232" s="3">
        <f t="shared" si="69"/>
        <v>0</v>
      </c>
      <c r="J232" s="3">
        <f t="shared" si="69"/>
        <v>0</v>
      </c>
      <c r="K232" s="3">
        <f t="shared" si="68"/>
        <v>0</v>
      </c>
      <c r="L232" s="3">
        <f t="shared" si="68"/>
        <v>0</v>
      </c>
      <c r="M232" s="3">
        <f t="shared" si="68"/>
        <v>0</v>
      </c>
      <c r="N232" s="3">
        <f t="shared" si="68"/>
        <v>0</v>
      </c>
      <c r="O232" s="3">
        <f t="shared" si="68"/>
        <v>0</v>
      </c>
      <c r="P232" s="3">
        <f>P248+P264</f>
        <v>0</v>
      </c>
      <c r="Q232" s="3">
        <f t="shared" si="68"/>
        <v>0</v>
      </c>
      <c r="R232" s="4">
        <f t="shared" si="68"/>
        <v>0</v>
      </c>
      <c r="S232" s="4">
        <f t="shared" si="68"/>
        <v>0</v>
      </c>
      <c r="T232" s="4">
        <f t="shared" si="68"/>
        <v>0</v>
      </c>
    </row>
    <row r="233" spans="1:20">
      <c r="A233" s="2" t="s">
        <v>46</v>
      </c>
      <c r="B233" s="3">
        <f t="shared" si="69"/>
        <v>0</v>
      </c>
      <c r="C233" s="3">
        <f t="shared" si="69"/>
        <v>0</v>
      </c>
      <c r="D233" s="3">
        <f t="shared" si="69"/>
        <v>233286</v>
      </c>
      <c r="E233" s="3">
        <f t="shared" si="69"/>
        <v>475454</v>
      </c>
      <c r="F233" s="3">
        <f t="shared" si="69"/>
        <v>2411989</v>
      </c>
      <c r="G233" s="3">
        <f t="shared" si="69"/>
        <v>0</v>
      </c>
      <c r="H233" s="3">
        <f t="shared" si="69"/>
        <v>0</v>
      </c>
      <c r="I233" s="3">
        <f t="shared" si="69"/>
        <v>0</v>
      </c>
      <c r="J233" s="3">
        <f t="shared" si="69"/>
        <v>0</v>
      </c>
      <c r="K233" s="3">
        <f t="shared" si="68"/>
        <v>0</v>
      </c>
      <c r="L233" s="3">
        <f t="shared" si="68"/>
        <v>0</v>
      </c>
      <c r="M233" s="3">
        <f t="shared" si="68"/>
        <v>0</v>
      </c>
      <c r="N233" s="3">
        <f t="shared" si="68"/>
        <v>0</v>
      </c>
      <c r="O233" s="3">
        <f t="shared" si="68"/>
        <v>0</v>
      </c>
      <c r="P233" s="3">
        <f t="shared" si="68"/>
        <v>0</v>
      </c>
      <c r="Q233" s="4">
        <f t="shared" si="68"/>
        <v>0</v>
      </c>
      <c r="R233" s="4">
        <f t="shared" si="68"/>
        <v>0</v>
      </c>
      <c r="S233" s="4">
        <f t="shared" si="68"/>
        <v>0</v>
      </c>
      <c r="T233" s="4">
        <f t="shared" si="68"/>
        <v>0</v>
      </c>
    </row>
    <row r="234" spans="1:20">
      <c r="A234" s="2" t="s">
        <v>47</v>
      </c>
      <c r="B234" s="3">
        <f t="shared" si="69"/>
        <v>0</v>
      </c>
      <c r="C234" s="3">
        <f t="shared" si="69"/>
        <v>0</v>
      </c>
      <c r="D234" s="3">
        <f t="shared" si="69"/>
        <v>289218</v>
      </c>
      <c r="E234" s="3">
        <f t="shared" si="69"/>
        <v>575116</v>
      </c>
      <c r="F234" s="3">
        <f t="shared" si="69"/>
        <v>2193478</v>
      </c>
      <c r="G234" s="3">
        <f t="shared" si="69"/>
        <v>0</v>
      </c>
      <c r="H234" s="3">
        <f t="shared" si="69"/>
        <v>0</v>
      </c>
      <c r="I234" s="3">
        <f t="shared" si="69"/>
        <v>0</v>
      </c>
      <c r="J234" s="3">
        <f t="shared" si="69"/>
        <v>0</v>
      </c>
      <c r="K234" s="3">
        <f t="shared" si="68"/>
        <v>0</v>
      </c>
      <c r="L234" s="3">
        <f t="shared" si="68"/>
        <v>0</v>
      </c>
      <c r="M234" s="3">
        <f t="shared" si="68"/>
        <v>0</v>
      </c>
      <c r="N234" s="3">
        <f t="shared" si="68"/>
        <v>0</v>
      </c>
      <c r="O234" s="3">
        <f t="shared" si="68"/>
        <v>0</v>
      </c>
      <c r="P234" s="3">
        <f t="shared" si="68"/>
        <v>0</v>
      </c>
      <c r="Q234" s="4">
        <f t="shared" si="68"/>
        <v>0</v>
      </c>
      <c r="R234" s="4">
        <f t="shared" si="68"/>
        <v>0</v>
      </c>
      <c r="S234" s="4">
        <f t="shared" si="68"/>
        <v>0</v>
      </c>
      <c r="T234" s="4">
        <f t="shared" si="68"/>
        <v>0</v>
      </c>
    </row>
    <row r="235" spans="1:20">
      <c r="A235" s="2" t="s">
        <v>48</v>
      </c>
      <c r="B235" s="3">
        <f t="shared" si="69"/>
        <v>0</v>
      </c>
      <c r="C235" s="3">
        <f t="shared" si="69"/>
        <v>0</v>
      </c>
      <c r="D235" s="3">
        <f t="shared" si="69"/>
        <v>260906</v>
      </c>
      <c r="E235" s="3">
        <f t="shared" si="69"/>
        <v>2423577</v>
      </c>
      <c r="F235" s="3">
        <f t="shared" si="69"/>
        <v>2514332</v>
      </c>
      <c r="G235" s="3">
        <f t="shared" si="69"/>
        <v>0</v>
      </c>
      <c r="H235" s="3">
        <f t="shared" si="69"/>
        <v>0</v>
      </c>
      <c r="I235" s="3">
        <f t="shared" si="69"/>
        <v>0</v>
      </c>
      <c r="J235" s="3">
        <f t="shared" si="69"/>
        <v>0</v>
      </c>
      <c r="K235" s="3">
        <f t="shared" si="68"/>
        <v>0</v>
      </c>
      <c r="L235" s="3">
        <f t="shared" si="68"/>
        <v>0</v>
      </c>
      <c r="M235" s="3">
        <f t="shared" si="68"/>
        <v>0</v>
      </c>
      <c r="N235" s="3">
        <f t="shared" si="68"/>
        <v>0</v>
      </c>
      <c r="O235" s="3">
        <f t="shared" si="68"/>
        <v>0</v>
      </c>
      <c r="P235" s="3">
        <f t="shared" si="68"/>
        <v>0</v>
      </c>
      <c r="Q235" s="4">
        <f t="shared" si="68"/>
        <v>0</v>
      </c>
      <c r="R235" s="4">
        <f t="shared" si="68"/>
        <v>0</v>
      </c>
      <c r="S235" s="4">
        <f t="shared" si="68"/>
        <v>0</v>
      </c>
      <c r="T235" s="4">
        <f t="shared" si="68"/>
        <v>0</v>
      </c>
    </row>
    <row r="236" spans="1:20">
      <c r="A236" s="2" t="s">
        <v>49</v>
      </c>
      <c r="B236" s="3">
        <f t="shared" si="69"/>
        <v>0</v>
      </c>
      <c r="C236" s="3">
        <f t="shared" si="69"/>
        <v>0</v>
      </c>
      <c r="D236" s="3">
        <f t="shared" si="69"/>
        <v>279550</v>
      </c>
      <c r="E236" s="3">
        <f t="shared" si="69"/>
        <v>3431987</v>
      </c>
      <c r="F236" s="3">
        <f t="shared" si="69"/>
        <v>4340962</v>
      </c>
      <c r="G236" s="3">
        <f t="shared" si="69"/>
        <v>0</v>
      </c>
      <c r="H236" s="3">
        <f t="shared" si="69"/>
        <v>0</v>
      </c>
      <c r="I236" s="3">
        <f t="shared" si="69"/>
        <v>0</v>
      </c>
      <c r="J236" s="3">
        <f t="shared" si="69"/>
        <v>0</v>
      </c>
      <c r="K236" s="3">
        <f t="shared" si="68"/>
        <v>0</v>
      </c>
      <c r="L236" s="3">
        <f t="shared" si="68"/>
        <v>0</v>
      </c>
      <c r="M236" s="3">
        <f t="shared" si="68"/>
        <v>0</v>
      </c>
      <c r="N236" s="3">
        <f t="shared" si="68"/>
        <v>0</v>
      </c>
      <c r="O236" s="3">
        <f t="shared" si="68"/>
        <v>0</v>
      </c>
      <c r="P236" s="3">
        <f t="shared" si="68"/>
        <v>0</v>
      </c>
      <c r="Q236" s="4">
        <f t="shared" si="68"/>
        <v>0</v>
      </c>
      <c r="R236" s="4">
        <f t="shared" si="68"/>
        <v>0</v>
      </c>
      <c r="S236" s="4">
        <f t="shared" si="68"/>
        <v>0</v>
      </c>
      <c r="T236" s="4">
        <f t="shared" si="68"/>
        <v>0</v>
      </c>
    </row>
    <row r="237" spans="1:20">
      <c r="A237" s="2" t="s">
        <v>50</v>
      </c>
      <c r="B237" s="3">
        <f t="shared" si="69"/>
        <v>0</v>
      </c>
      <c r="C237" s="3">
        <f t="shared" si="69"/>
        <v>308293</v>
      </c>
      <c r="D237" s="3">
        <f t="shared" si="69"/>
        <v>305175</v>
      </c>
      <c r="E237" s="3">
        <f t="shared" si="69"/>
        <v>4149093</v>
      </c>
      <c r="F237" s="3">
        <f t="shared" si="69"/>
        <v>1533275</v>
      </c>
      <c r="G237" s="3">
        <f t="shared" si="69"/>
        <v>0</v>
      </c>
      <c r="H237" s="3">
        <f t="shared" si="69"/>
        <v>0</v>
      </c>
      <c r="I237" s="3">
        <f t="shared" si="69"/>
        <v>0</v>
      </c>
      <c r="J237" s="3">
        <f t="shared" si="69"/>
        <v>0</v>
      </c>
      <c r="K237" s="3">
        <f t="shared" si="68"/>
        <v>0</v>
      </c>
      <c r="L237" s="3">
        <f t="shared" si="68"/>
        <v>0</v>
      </c>
      <c r="M237" s="3">
        <f t="shared" si="68"/>
        <v>0</v>
      </c>
      <c r="N237" s="3">
        <f t="shared" si="68"/>
        <v>0</v>
      </c>
      <c r="O237" s="3">
        <f t="shared" si="68"/>
        <v>0</v>
      </c>
      <c r="P237" s="3">
        <f t="shared" si="68"/>
        <v>0</v>
      </c>
      <c r="Q237" s="4">
        <f t="shared" si="68"/>
        <v>0</v>
      </c>
      <c r="R237" s="4">
        <f t="shared" si="68"/>
        <v>0</v>
      </c>
      <c r="S237" s="4">
        <f t="shared" si="68"/>
        <v>0</v>
      </c>
      <c r="T237" s="4">
        <f t="shared" si="68"/>
        <v>0</v>
      </c>
    </row>
    <row r="238" spans="1:20">
      <c r="A238" s="2" t="s">
        <v>51</v>
      </c>
      <c r="B238" s="3">
        <f t="shared" si="69"/>
        <v>0</v>
      </c>
      <c r="C238" s="3">
        <f t="shared" si="69"/>
        <v>297653</v>
      </c>
      <c r="D238" s="3">
        <f t="shared" si="69"/>
        <v>79715</v>
      </c>
      <c r="E238" s="3">
        <f t="shared" si="69"/>
        <v>5943278</v>
      </c>
      <c r="F238" s="3">
        <f t="shared" si="69"/>
        <v>0</v>
      </c>
      <c r="G238" s="3">
        <f t="shared" si="69"/>
        <v>0</v>
      </c>
      <c r="H238" s="3">
        <f t="shared" si="69"/>
        <v>0</v>
      </c>
      <c r="I238" s="3">
        <f t="shared" si="69"/>
        <v>0</v>
      </c>
      <c r="J238" s="3">
        <f t="shared" si="69"/>
        <v>0</v>
      </c>
      <c r="K238" s="3">
        <f t="shared" si="68"/>
        <v>0</v>
      </c>
      <c r="L238" s="3">
        <f t="shared" si="68"/>
        <v>0</v>
      </c>
      <c r="M238" s="3">
        <f t="shared" si="68"/>
        <v>0</v>
      </c>
      <c r="N238" s="3">
        <f t="shared" si="68"/>
        <v>0</v>
      </c>
      <c r="O238" s="3">
        <f t="shared" si="68"/>
        <v>0</v>
      </c>
      <c r="P238" s="3">
        <f t="shared" si="68"/>
        <v>0</v>
      </c>
      <c r="Q238" s="4">
        <f t="shared" si="68"/>
        <v>0</v>
      </c>
      <c r="R238" s="4">
        <f t="shared" si="68"/>
        <v>0</v>
      </c>
      <c r="S238" s="4">
        <f t="shared" si="68"/>
        <v>0</v>
      </c>
      <c r="T238" s="4">
        <f t="shared" si="68"/>
        <v>0</v>
      </c>
    </row>
    <row r="239" spans="1:20">
      <c r="A239" s="2" t="s">
        <v>52</v>
      </c>
      <c r="B239" s="3">
        <f t="shared" si="69"/>
        <v>0</v>
      </c>
      <c r="C239" s="3">
        <f t="shared" si="69"/>
        <v>207334</v>
      </c>
      <c r="D239" s="3">
        <f t="shared" si="69"/>
        <v>177688</v>
      </c>
      <c r="E239" s="3">
        <f t="shared" si="69"/>
        <v>3973504</v>
      </c>
      <c r="F239" s="3">
        <f t="shared" si="69"/>
        <v>0</v>
      </c>
      <c r="G239" s="3">
        <f t="shared" si="69"/>
        <v>0</v>
      </c>
      <c r="H239" s="3">
        <f t="shared" si="69"/>
        <v>0</v>
      </c>
      <c r="I239" s="3">
        <f t="shared" si="69"/>
        <v>0</v>
      </c>
      <c r="J239" s="3">
        <f t="shared" si="69"/>
        <v>0</v>
      </c>
      <c r="K239" s="3">
        <f t="shared" si="68"/>
        <v>0</v>
      </c>
      <c r="L239" s="3">
        <f t="shared" si="68"/>
        <v>0</v>
      </c>
      <c r="M239" s="3">
        <f t="shared" si="68"/>
        <v>0</v>
      </c>
      <c r="N239" s="3">
        <f t="shared" si="68"/>
        <v>0</v>
      </c>
      <c r="O239" s="3">
        <f t="shared" si="68"/>
        <v>0</v>
      </c>
      <c r="P239" s="3">
        <f t="shared" si="68"/>
        <v>0</v>
      </c>
      <c r="Q239" s="4">
        <f t="shared" si="68"/>
        <v>0</v>
      </c>
      <c r="R239" s="4">
        <f t="shared" si="68"/>
        <v>0</v>
      </c>
      <c r="S239" s="4">
        <f t="shared" si="68"/>
        <v>0</v>
      </c>
      <c r="T239" s="4">
        <f t="shared" si="68"/>
        <v>0</v>
      </c>
    </row>
    <row r="240" spans="1:20">
      <c r="A240" s="2" t="s">
        <v>53</v>
      </c>
      <c r="B240" s="3">
        <f t="shared" si="69"/>
        <v>0</v>
      </c>
      <c r="C240" s="3">
        <f t="shared" si="69"/>
        <v>297813</v>
      </c>
      <c r="D240" s="3">
        <f t="shared" si="69"/>
        <v>296569</v>
      </c>
      <c r="E240" s="3">
        <f t="shared" si="69"/>
        <v>2092389</v>
      </c>
      <c r="F240" s="3">
        <f t="shared" si="69"/>
        <v>0</v>
      </c>
      <c r="G240" s="3">
        <f t="shared" si="69"/>
        <v>0</v>
      </c>
      <c r="H240" s="3">
        <f t="shared" si="69"/>
        <v>0</v>
      </c>
      <c r="I240" s="3">
        <f t="shared" si="69"/>
        <v>0</v>
      </c>
      <c r="J240" s="3">
        <f t="shared" si="69"/>
        <v>0</v>
      </c>
      <c r="K240" s="3">
        <f t="shared" si="68"/>
        <v>0</v>
      </c>
      <c r="L240" s="3">
        <f t="shared" si="68"/>
        <v>0</v>
      </c>
      <c r="M240" s="3">
        <f t="shared" si="68"/>
        <v>0</v>
      </c>
      <c r="N240" s="3">
        <f t="shared" si="68"/>
        <v>0</v>
      </c>
      <c r="O240" s="3">
        <f t="shared" si="68"/>
        <v>0</v>
      </c>
      <c r="P240" s="3">
        <f t="shared" si="68"/>
        <v>0</v>
      </c>
      <c r="Q240" s="4">
        <f t="shared" si="68"/>
        <v>0</v>
      </c>
      <c r="R240" s="4">
        <f t="shared" si="68"/>
        <v>0</v>
      </c>
      <c r="S240" s="4">
        <f t="shared" si="68"/>
        <v>0</v>
      </c>
      <c r="T240" s="4">
        <f t="shared" si="68"/>
        <v>0</v>
      </c>
    </row>
    <row r="241" spans="1:20">
      <c r="A241" s="2" t="s">
        <v>54</v>
      </c>
      <c r="B241" s="3">
        <f t="shared" si="69"/>
        <v>0</v>
      </c>
      <c r="C241" s="3">
        <f t="shared" si="69"/>
        <v>312801</v>
      </c>
      <c r="D241" s="3">
        <f t="shared" si="69"/>
        <v>160003</v>
      </c>
      <c r="E241" s="3">
        <f t="shared" si="69"/>
        <v>1618751</v>
      </c>
      <c r="F241" s="3">
        <f t="shared" si="69"/>
        <v>0</v>
      </c>
      <c r="G241" s="3">
        <f t="shared" si="69"/>
        <v>0</v>
      </c>
      <c r="H241" s="3">
        <f t="shared" si="69"/>
        <v>0</v>
      </c>
      <c r="I241" s="3">
        <f t="shared" si="69"/>
        <v>0</v>
      </c>
      <c r="J241" s="3">
        <f t="shared" si="69"/>
        <v>0</v>
      </c>
      <c r="K241" s="3">
        <f t="shared" si="68"/>
        <v>0</v>
      </c>
      <c r="L241" s="3">
        <f t="shared" si="68"/>
        <v>0</v>
      </c>
      <c r="M241" s="3">
        <f t="shared" si="68"/>
        <v>0</v>
      </c>
      <c r="N241" s="3">
        <f t="shared" si="68"/>
        <v>0</v>
      </c>
      <c r="O241" s="3">
        <f t="shared" si="68"/>
        <v>0</v>
      </c>
      <c r="P241" s="3">
        <f t="shared" si="68"/>
        <v>0</v>
      </c>
      <c r="Q241" s="4">
        <f t="shared" si="68"/>
        <v>0</v>
      </c>
      <c r="R241" s="4">
        <f t="shared" si="68"/>
        <v>0</v>
      </c>
      <c r="S241" s="4">
        <f t="shared" si="68"/>
        <v>0</v>
      </c>
      <c r="T241" s="4">
        <f t="shared" si="68"/>
        <v>0</v>
      </c>
    </row>
    <row r="242" spans="1:20" ht="13.5" thickBot="1">
      <c r="A242" s="2" t="s">
        <v>29</v>
      </c>
      <c r="B242" s="3">
        <f t="shared" ref="B242:T242" si="70">SUM(B230:B241)</f>
        <v>0</v>
      </c>
      <c r="C242" s="3">
        <f t="shared" si="70"/>
        <v>1423894</v>
      </c>
      <c r="D242" s="3">
        <f t="shared" si="70"/>
        <v>2882009</v>
      </c>
      <c r="E242" s="3">
        <f t="shared" si="70"/>
        <v>25934813</v>
      </c>
      <c r="F242" s="3">
        <f t="shared" si="70"/>
        <v>20352691</v>
      </c>
      <c r="G242" s="3">
        <f t="shared" si="70"/>
        <v>0</v>
      </c>
      <c r="H242" s="3">
        <f t="shared" si="70"/>
        <v>0</v>
      </c>
      <c r="I242" s="3">
        <f t="shared" si="70"/>
        <v>0</v>
      </c>
      <c r="J242" s="3">
        <f t="shared" si="70"/>
        <v>0</v>
      </c>
      <c r="K242" s="3">
        <f t="shared" si="70"/>
        <v>0</v>
      </c>
      <c r="L242" s="3">
        <f t="shared" si="70"/>
        <v>0</v>
      </c>
      <c r="M242" s="3">
        <f t="shared" si="70"/>
        <v>0</v>
      </c>
      <c r="N242" s="3">
        <f t="shared" si="70"/>
        <v>0</v>
      </c>
      <c r="O242" s="3">
        <f t="shared" si="70"/>
        <v>0</v>
      </c>
      <c r="P242" s="3">
        <f t="shared" si="70"/>
        <v>0</v>
      </c>
      <c r="Q242" s="4">
        <f t="shared" si="70"/>
        <v>0</v>
      </c>
      <c r="R242" s="4">
        <f t="shared" si="70"/>
        <v>0</v>
      </c>
      <c r="S242" s="4">
        <f t="shared" si="70"/>
        <v>0</v>
      </c>
      <c r="T242" s="4">
        <f t="shared" si="70"/>
        <v>0</v>
      </c>
    </row>
    <row r="243" spans="1:20">
      <c r="A243" s="114"/>
      <c r="B243" s="114"/>
      <c r="C243" s="114"/>
      <c r="D243" s="114"/>
      <c r="E243" s="114"/>
      <c r="F243" s="114"/>
      <c r="G243" s="114"/>
      <c r="H243" s="114"/>
      <c r="I243" s="114"/>
      <c r="J243" s="114"/>
      <c r="K243" s="114"/>
      <c r="L243" s="114"/>
      <c r="M243" s="114"/>
      <c r="N243" s="114"/>
      <c r="O243" s="114"/>
      <c r="P243" s="114"/>
      <c r="Q243" s="114"/>
      <c r="R243" s="114"/>
      <c r="S243" s="114"/>
      <c r="T243" s="114"/>
    </row>
    <row r="244" spans="1:20" ht="16.5" thickBot="1">
      <c r="A244" s="109" t="s">
        <v>447</v>
      </c>
    </row>
    <row r="245" spans="1:20" ht="13.5" thickBot="1">
      <c r="A245" s="110"/>
      <c r="B245" s="111">
        <v>2010</v>
      </c>
      <c r="C245" s="111">
        <v>2011</v>
      </c>
      <c r="D245" s="111">
        <v>2012</v>
      </c>
      <c r="E245" s="111">
        <v>2013</v>
      </c>
      <c r="F245" s="111">
        <v>2014</v>
      </c>
      <c r="G245" s="111">
        <v>2015</v>
      </c>
      <c r="H245" s="111">
        <v>2016</v>
      </c>
      <c r="I245" s="111">
        <v>2017</v>
      </c>
      <c r="J245" s="111">
        <v>2018</v>
      </c>
      <c r="K245" s="111">
        <v>2019</v>
      </c>
      <c r="L245" s="111">
        <v>2020</v>
      </c>
      <c r="M245" s="111">
        <v>2021</v>
      </c>
      <c r="N245" s="111">
        <v>2022</v>
      </c>
      <c r="O245" s="111">
        <v>2023</v>
      </c>
      <c r="P245" s="111">
        <v>2024</v>
      </c>
      <c r="Q245" s="111">
        <v>2025</v>
      </c>
      <c r="R245" s="111">
        <v>2026</v>
      </c>
      <c r="S245" s="111">
        <v>2027</v>
      </c>
      <c r="T245" s="111">
        <v>2028</v>
      </c>
    </row>
    <row r="246" spans="1:20">
      <c r="A246" s="2" t="s">
        <v>43</v>
      </c>
      <c r="B246" s="3">
        <f>'Monthly D5 RIN Data'!$K4</f>
        <v>0</v>
      </c>
      <c r="C246" s="3">
        <f>'Monthly D5 RIN Data'!$K16</f>
        <v>0</v>
      </c>
      <c r="D246" s="3">
        <f>'Monthly D5 RIN Data'!$K28</f>
        <v>264944</v>
      </c>
      <c r="E246" s="3">
        <f>'Monthly D5 RIN Data'!$K40</f>
        <v>362227</v>
      </c>
      <c r="F246" s="3">
        <f>'Monthly D5 RIN Data'!$K52</f>
        <v>1934013</v>
      </c>
      <c r="G246" s="3">
        <f>'Monthly D5 RIN Data'!$K64</f>
        <v>0</v>
      </c>
      <c r="H246" s="3">
        <f>'Monthly D5 RIN Data'!$K76</f>
        <v>0</v>
      </c>
      <c r="I246" s="3">
        <f>'Monthly D5 RIN Data'!$K88</f>
        <v>0</v>
      </c>
      <c r="J246" s="3">
        <f>'Monthly D5 RIN Data'!$K100</f>
        <v>0</v>
      </c>
      <c r="K246" s="3">
        <f>'Monthly D5 RIN Data'!$K112</f>
        <v>0</v>
      </c>
      <c r="L246" s="3">
        <f>'Monthly D5 RIN Data'!$K124</f>
        <v>0</v>
      </c>
      <c r="M246" s="3">
        <f>'Monthly D5 RIN Data'!$K136</f>
        <v>0</v>
      </c>
      <c r="N246" s="3">
        <f>'Monthly D5 RIN Data'!$K148</f>
        <v>0</v>
      </c>
      <c r="O246" s="3">
        <f>'Monthly D5 RIN Data'!$K160</f>
        <v>0</v>
      </c>
      <c r="P246" s="3">
        <f>'Monthly D5 RIN Data'!$K172</f>
        <v>0</v>
      </c>
      <c r="Q246" s="3">
        <f>'Monthly D5 RIN Data'!$K184</f>
        <v>0</v>
      </c>
      <c r="R246" s="4">
        <f>'D5 Gallon Forecast'!R248</f>
        <v>0</v>
      </c>
      <c r="S246" s="4">
        <f>'D5 Gallon Forecast'!S248</f>
        <v>0</v>
      </c>
      <c r="T246" s="4">
        <f>'D5 Gallon Forecast'!T248</f>
        <v>0</v>
      </c>
    </row>
    <row r="247" spans="1:20">
      <c r="A247" s="2" t="s">
        <v>44</v>
      </c>
      <c r="B247" s="3">
        <f>'Monthly D5 RIN Data'!$K5</f>
        <v>0</v>
      </c>
      <c r="C247" s="3">
        <f>'Monthly D5 RIN Data'!$K17</f>
        <v>0</v>
      </c>
      <c r="D247" s="3">
        <f>'Monthly D5 RIN Data'!$K29</f>
        <v>295752</v>
      </c>
      <c r="E247" s="3">
        <f>'Monthly D5 RIN Data'!$K41</f>
        <v>366126</v>
      </c>
      <c r="F247" s="3">
        <f>'Monthly D5 RIN Data'!$K53</f>
        <v>2454845</v>
      </c>
      <c r="G247" s="3">
        <f>'Monthly D5 RIN Data'!$K65</f>
        <v>0</v>
      </c>
      <c r="H247" s="3">
        <f>'Monthly D5 RIN Data'!$K77</f>
        <v>0</v>
      </c>
      <c r="I247" s="3">
        <f>'Monthly D5 RIN Data'!$K89</f>
        <v>0</v>
      </c>
      <c r="J247" s="3">
        <f>'Monthly D5 RIN Data'!$K101</f>
        <v>0</v>
      </c>
      <c r="K247" s="3">
        <f>'Monthly D5 RIN Data'!$K113</f>
        <v>0</v>
      </c>
      <c r="L247" s="3">
        <f>'Monthly D5 RIN Data'!$K125</f>
        <v>0</v>
      </c>
      <c r="M247" s="3">
        <f>'Monthly D5 RIN Data'!$K137</f>
        <v>0</v>
      </c>
      <c r="N247" s="3">
        <f>'Monthly D5 RIN Data'!$K149</f>
        <v>0</v>
      </c>
      <c r="O247" s="3">
        <f>'Monthly D5 RIN Data'!$K161</f>
        <v>0</v>
      </c>
      <c r="P247" s="3">
        <f>'Monthly D5 RIN Data'!$K173</f>
        <v>0</v>
      </c>
      <c r="Q247" s="3">
        <f>'Monthly D5 RIN Data'!$K185</f>
        <v>0</v>
      </c>
      <c r="R247" s="4">
        <f>'D5 Gallon Forecast'!R249</f>
        <v>0</v>
      </c>
      <c r="S247" s="4">
        <f>'D5 Gallon Forecast'!S249</f>
        <v>0</v>
      </c>
      <c r="T247" s="4">
        <f>'D5 Gallon Forecast'!T249</f>
        <v>0</v>
      </c>
    </row>
    <row r="248" spans="1:20">
      <c r="A248" s="2" t="s">
        <v>45</v>
      </c>
      <c r="B248" s="3">
        <f>'Monthly D5 RIN Data'!$K6</f>
        <v>0</v>
      </c>
      <c r="C248" s="3">
        <f>'Monthly D5 RIN Data'!$K18</f>
        <v>0</v>
      </c>
      <c r="D248" s="3">
        <f>'Monthly D5 RIN Data'!$K30</f>
        <v>239203</v>
      </c>
      <c r="E248" s="3">
        <f>'Monthly D5 RIN Data'!$K42</f>
        <v>523311</v>
      </c>
      <c r="F248" s="3">
        <f>'Monthly D5 RIN Data'!$K54</f>
        <v>2969797</v>
      </c>
      <c r="G248" s="3">
        <f>'Monthly D5 RIN Data'!$K66</f>
        <v>0</v>
      </c>
      <c r="H248" s="3">
        <f>'Monthly D5 RIN Data'!$K78</f>
        <v>0</v>
      </c>
      <c r="I248" s="3">
        <f>'Monthly D5 RIN Data'!$K90</f>
        <v>0</v>
      </c>
      <c r="J248" s="3">
        <f>'Monthly D5 RIN Data'!$K102</f>
        <v>0</v>
      </c>
      <c r="K248" s="3">
        <f>'Monthly D5 RIN Data'!$K114</f>
        <v>0</v>
      </c>
      <c r="L248" s="3">
        <f>'Monthly D5 RIN Data'!$K126</f>
        <v>0</v>
      </c>
      <c r="M248" s="3">
        <f>'Monthly D5 RIN Data'!$K138</f>
        <v>0</v>
      </c>
      <c r="N248" s="3">
        <f>'Monthly D5 RIN Data'!$K150</f>
        <v>0</v>
      </c>
      <c r="O248" s="3">
        <f>'Monthly D5 RIN Data'!$K162</f>
        <v>0</v>
      </c>
      <c r="P248" s="3">
        <f>'Monthly D5 RIN Data'!$K174</f>
        <v>0</v>
      </c>
      <c r="Q248" s="3">
        <f>'Monthly D5 RIN Data'!$K186</f>
        <v>0</v>
      </c>
      <c r="R248" s="4">
        <f>'D5 Gallon Forecast'!R250</f>
        <v>0</v>
      </c>
      <c r="S248" s="4">
        <f>'D5 Gallon Forecast'!S250</f>
        <v>0</v>
      </c>
      <c r="T248" s="4">
        <f>'D5 Gallon Forecast'!T250</f>
        <v>0</v>
      </c>
    </row>
    <row r="249" spans="1:20">
      <c r="A249" s="2" t="s">
        <v>46</v>
      </c>
      <c r="B249" s="3">
        <f>'Monthly D5 RIN Data'!$K7</f>
        <v>0</v>
      </c>
      <c r="C249" s="3">
        <f>'Monthly D5 RIN Data'!$K19</f>
        <v>0</v>
      </c>
      <c r="D249" s="3">
        <f>'Monthly D5 RIN Data'!$K31</f>
        <v>233286</v>
      </c>
      <c r="E249" s="3">
        <f>'Monthly D5 RIN Data'!$K43</f>
        <v>475454</v>
      </c>
      <c r="F249" s="3">
        <f>'Monthly D5 RIN Data'!$K55</f>
        <v>2411989</v>
      </c>
      <c r="G249" s="3">
        <f>'Monthly D5 RIN Data'!$K67</f>
        <v>0</v>
      </c>
      <c r="H249" s="3">
        <f>'Monthly D5 RIN Data'!$K79</f>
        <v>0</v>
      </c>
      <c r="I249" s="3">
        <f>'Monthly D5 RIN Data'!$K91</f>
        <v>0</v>
      </c>
      <c r="J249" s="3">
        <f>'Monthly D5 RIN Data'!$K103</f>
        <v>0</v>
      </c>
      <c r="K249" s="3">
        <f>'Monthly D5 RIN Data'!$K115</f>
        <v>0</v>
      </c>
      <c r="L249" s="3">
        <f>'Monthly D5 RIN Data'!$K127</f>
        <v>0</v>
      </c>
      <c r="M249" s="3">
        <f>'Monthly D5 RIN Data'!$K139</f>
        <v>0</v>
      </c>
      <c r="N249" s="3">
        <f>'Monthly D5 RIN Data'!$K151</f>
        <v>0</v>
      </c>
      <c r="O249" s="3">
        <f>'Monthly D5 RIN Data'!$K163</f>
        <v>0</v>
      </c>
      <c r="P249" s="3">
        <f>'Monthly D5 RIN Data'!$K175</f>
        <v>0</v>
      </c>
      <c r="Q249" s="4">
        <f>'D5 Gallon Forecast'!Q251</f>
        <v>0</v>
      </c>
      <c r="R249" s="4">
        <f>'D5 Gallon Forecast'!R251</f>
        <v>0</v>
      </c>
      <c r="S249" s="4">
        <f>'D5 Gallon Forecast'!S251</f>
        <v>0</v>
      </c>
      <c r="T249" s="4">
        <f>'D5 Gallon Forecast'!T251</f>
        <v>0</v>
      </c>
    </row>
    <row r="250" spans="1:20">
      <c r="A250" s="2" t="s">
        <v>47</v>
      </c>
      <c r="B250" s="3">
        <f>'Monthly D5 RIN Data'!$K8</f>
        <v>0</v>
      </c>
      <c r="C250" s="3">
        <f>'Monthly D5 RIN Data'!$K20</f>
        <v>0</v>
      </c>
      <c r="D250" s="3">
        <f>'Monthly D5 RIN Data'!$K32</f>
        <v>289218</v>
      </c>
      <c r="E250" s="3">
        <f>'Monthly D5 RIN Data'!$K44</f>
        <v>575116</v>
      </c>
      <c r="F250" s="3">
        <f>'Monthly D5 RIN Data'!$K56</f>
        <v>2193478</v>
      </c>
      <c r="G250" s="3">
        <f>'Monthly D5 RIN Data'!$K68</f>
        <v>0</v>
      </c>
      <c r="H250" s="3">
        <f>'Monthly D5 RIN Data'!$K80</f>
        <v>0</v>
      </c>
      <c r="I250" s="3">
        <f>'Monthly D5 RIN Data'!$K92</f>
        <v>0</v>
      </c>
      <c r="J250" s="3">
        <f>'Monthly D5 RIN Data'!$K104</f>
        <v>0</v>
      </c>
      <c r="K250" s="3">
        <f>'Monthly D5 RIN Data'!$K116</f>
        <v>0</v>
      </c>
      <c r="L250" s="3">
        <f>'Monthly D5 RIN Data'!$K128</f>
        <v>0</v>
      </c>
      <c r="M250" s="3">
        <f>'Monthly D5 RIN Data'!$K140</f>
        <v>0</v>
      </c>
      <c r="N250" s="3">
        <f>'Monthly D5 RIN Data'!$K152</f>
        <v>0</v>
      </c>
      <c r="O250" s="3">
        <f>'Monthly D5 RIN Data'!$K164</f>
        <v>0</v>
      </c>
      <c r="P250" s="3">
        <f>'Monthly D5 RIN Data'!$K176</f>
        <v>0</v>
      </c>
      <c r="Q250" s="4">
        <f>'D5 Gallon Forecast'!Q252</f>
        <v>0</v>
      </c>
      <c r="R250" s="4">
        <f>'D5 Gallon Forecast'!R252</f>
        <v>0</v>
      </c>
      <c r="S250" s="4">
        <f>'D5 Gallon Forecast'!S252</f>
        <v>0</v>
      </c>
      <c r="T250" s="4">
        <f>'D5 Gallon Forecast'!T252</f>
        <v>0</v>
      </c>
    </row>
    <row r="251" spans="1:20">
      <c r="A251" s="2" t="s">
        <v>48</v>
      </c>
      <c r="B251" s="3">
        <f>'Monthly D5 RIN Data'!$K9</f>
        <v>0</v>
      </c>
      <c r="C251" s="3">
        <f>'Monthly D5 RIN Data'!$K21</f>
        <v>0</v>
      </c>
      <c r="D251" s="3">
        <f>'Monthly D5 RIN Data'!$K33</f>
        <v>260906</v>
      </c>
      <c r="E251" s="3">
        <f>'Monthly D5 RIN Data'!$K45</f>
        <v>2423577</v>
      </c>
      <c r="F251" s="3">
        <f>'Monthly D5 RIN Data'!$K57</f>
        <v>2514332</v>
      </c>
      <c r="G251" s="3">
        <f>'Monthly D5 RIN Data'!$K69</f>
        <v>0</v>
      </c>
      <c r="H251" s="3">
        <f>'Monthly D5 RIN Data'!$K81</f>
        <v>0</v>
      </c>
      <c r="I251" s="3">
        <f>'Monthly D5 RIN Data'!$K93</f>
        <v>0</v>
      </c>
      <c r="J251" s="3">
        <f>'Monthly D5 RIN Data'!$K105</f>
        <v>0</v>
      </c>
      <c r="K251" s="3">
        <f>'Monthly D5 RIN Data'!$K117</f>
        <v>0</v>
      </c>
      <c r="L251" s="3">
        <f>'Monthly D5 RIN Data'!$K129</f>
        <v>0</v>
      </c>
      <c r="M251" s="3">
        <f>'Monthly D5 RIN Data'!$K141</f>
        <v>0</v>
      </c>
      <c r="N251" s="3">
        <f>'Monthly D5 RIN Data'!$K153</f>
        <v>0</v>
      </c>
      <c r="O251" s="3">
        <f>'Monthly D5 RIN Data'!$K165</f>
        <v>0</v>
      </c>
      <c r="P251" s="3">
        <f>'Monthly D5 RIN Data'!$K177</f>
        <v>0</v>
      </c>
      <c r="Q251" s="4">
        <f>'D5 Gallon Forecast'!Q253</f>
        <v>0</v>
      </c>
      <c r="R251" s="4">
        <f>'D5 Gallon Forecast'!R253</f>
        <v>0</v>
      </c>
      <c r="S251" s="4">
        <f>'D5 Gallon Forecast'!S253</f>
        <v>0</v>
      </c>
      <c r="T251" s="4">
        <f>'D5 Gallon Forecast'!T253</f>
        <v>0</v>
      </c>
    </row>
    <row r="252" spans="1:20">
      <c r="A252" s="2" t="s">
        <v>49</v>
      </c>
      <c r="B252" s="3">
        <f>'Monthly D5 RIN Data'!$K10</f>
        <v>0</v>
      </c>
      <c r="C252" s="3">
        <f>'Monthly D5 RIN Data'!$K22</f>
        <v>0</v>
      </c>
      <c r="D252" s="3">
        <f>'Monthly D5 RIN Data'!$K34</f>
        <v>279550</v>
      </c>
      <c r="E252" s="3">
        <f>'Monthly D5 RIN Data'!$K46</f>
        <v>3431987</v>
      </c>
      <c r="F252" s="3">
        <f>'Monthly D5 RIN Data'!$K58</f>
        <v>4340962</v>
      </c>
      <c r="G252" s="3">
        <f>'Monthly D5 RIN Data'!$K70</f>
        <v>0</v>
      </c>
      <c r="H252" s="3">
        <f>'Monthly D5 RIN Data'!$K82</f>
        <v>0</v>
      </c>
      <c r="I252" s="3">
        <f>'Monthly D5 RIN Data'!$K94</f>
        <v>0</v>
      </c>
      <c r="J252" s="3">
        <f>'Monthly D5 RIN Data'!$K106</f>
        <v>0</v>
      </c>
      <c r="K252" s="3">
        <f>'Monthly D5 RIN Data'!$K118</f>
        <v>0</v>
      </c>
      <c r="L252" s="3">
        <f>'Monthly D5 RIN Data'!$K130</f>
        <v>0</v>
      </c>
      <c r="M252" s="3">
        <f>'Monthly D5 RIN Data'!$K142</f>
        <v>0</v>
      </c>
      <c r="N252" s="3">
        <f>'Monthly D5 RIN Data'!$K154</f>
        <v>0</v>
      </c>
      <c r="O252" s="3">
        <f>'Monthly D5 RIN Data'!$K166</f>
        <v>0</v>
      </c>
      <c r="P252" s="3">
        <f>'Monthly D5 RIN Data'!$K178</f>
        <v>0</v>
      </c>
      <c r="Q252" s="4">
        <f>'D5 Gallon Forecast'!Q254</f>
        <v>0</v>
      </c>
      <c r="R252" s="4">
        <f>'D5 Gallon Forecast'!R254</f>
        <v>0</v>
      </c>
      <c r="S252" s="4">
        <f>'D5 Gallon Forecast'!S254</f>
        <v>0</v>
      </c>
      <c r="T252" s="4">
        <f>'D5 Gallon Forecast'!T254</f>
        <v>0</v>
      </c>
    </row>
    <row r="253" spans="1:20">
      <c r="A253" s="2" t="s">
        <v>50</v>
      </c>
      <c r="B253" s="3">
        <f>'Monthly D5 RIN Data'!$K11</f>
        <v>0</v>
      </c>
      <c r="C253" s="3">
        <f>'Monthly D5 RIN Data'!$K23</f>
        <v>308293</v>
      </c>
      <c r="D253" s="3">
        <f>'Monthly D5 RIN Data'!$K35</f>
        <v>305175</v>
      </c>
      <c r="E253" s="3">
        <f>'Monthly D5 RIN Data'!$K47</f>
        <v>4149093</v>
      </c>
      <c r="F253" s="3">
        <f>'Monthly D5 RIN Data'!$K59</f>
        <v>1533275</v>
      </c>
      <c r="G253" s="3">
        <f>'Monthly D5 RIN Data'!$K71</f>
        <v>0</v>
      </c>
      <c r="H253" s="3">
        <f>'Monthly D5 RIN Data'!$K83</f>
        <v>0</v>
      </c>
      <c r="I253" s="3">
        <f>'Monthly D5 RIN Data'!$K95</f>
        <v>0</v>
      </c>
      <c r="J253" s="3">
        <f>'Monthly D5 RIN Data'!$K107</f>
        <v>0</v>
      </c>
      <c r="K253" s="3">
        <f>'Monthly D5 RIN Data'!$K119</f>
        <v>0</v>
      </c>
      <c r="L253" s="3">
        <f>'Monthly D5 RIN Data'!$K131</f>
        <v>0</v>
      </c>
      <c r="M253" s="3">
        <f>'Monthly D5 RIN Data'!$K143</f>
        <v>0</v>
      </c>
      <c r="N253" s="3">
        <f>'Monthly D5 RIN Data'!$K155</f>
        <v>0</v>
      </c>
      <c r="O253" s="3">
        <f>'Monthly D5 RIN Data'!$K167</f>
        <v>0</v>
      </c>
      <c r="P253" s="3">
        <f>'Monthly D5 RIN Data'!$K179</f>
        <v>0</v>
      </c>
      <c r="Q253" s="4">
        <f>'D5 Gallon Forecast'!Q255</f>
        <v>0</v>
      </c>
      <c r="R253" s="4">
        <f>'D5 Gallon Forecast'!R255</f>
        <v>0</v>
      </c>
      <c r="S253" s="4">
        <f>'D5 Gallon Forecast'!S255</f>
        <v>0</v>
      </c>
      <c r="T253" s="4">
        <f>'D5 Gallon Forecast'!T255</f>
        <v>0</v>
      </c>
    </row>
    <row r="254" spans="1:20">
      <c r="A254" s="2" t="s">
        <v>51</v>
      </c>
      <c r="B254" s="3">
        <f>'Monthly D5 RIN Data'!$K12</f>
        <v>0</v>
      </c>
      <c r="C254" s="3">
        <f>'Monthly D5 RIN Data'!$K24</f>
        <v>297653</v>
      </c>
      <c r="D254" s="3">
        <f>'Monthly D5 RIN Data'!$K36</f>
        <v>79715</v>
      </c>
      <c r="E254" s="3">
        <f>'Monthly D5 RIN Data'!$K48</f>
        <v>5943278</v>
      </c>
      <c r="F254" s="3">
        <f>'Monthly D5 RIN Data'!$K60</f>
        <v>0</v>
      </c>
      <c r="G254" s="3">
        <f>'Monthly D5 RIN Data'!$K72</f>
        <v>0</v>
      </c>
      <c r="H254" s="3">
        <f>'Monthly D5 RIN Data'!$K84</f>
        <v>0</v>
      </c>
      <c r="I254" s="3">
        <f>'Monthly D5 RIN Data'!$K96</f>
        <v>0</v>
      </c>
      <c r="J254" s="3">
        <f>'Monthly D5 RIN Data'!$K108</f>
        <v>0</v>
      </c>
      <c r="K254" s="3">
        <f>'Monthly D5 RIN Data'!$K120</f>
        <v>0</v>
      </c>
      <c r="L254" s="3">
        <f>'Monthly D5 RIN Data'!$K132</f>
        <v>0</v>
      </c>
      <c r="M254" s="3">
        <f>'Monthly D5 RIN Data'!$K144</f>
        <v>0</v>
      </c>
      <c r="N254" s="3">
        <f>'Monthly D5 RIN Data'!$K156</f>
        <v>0</v>
      </c>
      <c r="O254" s="3">
        <f>'Monthly D5 RIN Data'!$K168</f>
        <v>0</v>
      </c>
      <c r="P254" s="3">
        <f>'Monthly D5 RIN Data'!$K180</f>
        <v>0</v>
      </c>
      <c r="Q254" s="4">
        <f>'D5 Gallon Forecast'!Q256</f>
        <v>0</v>
      </c>
      <c r="R254" s="4">
        <f>'D5 Gallon Forecast'!R256</f>
        <v>0</v>
      </c>
      <c r="S254" s="4">
        <f>'D5 Gallon Forecast'!S256</f>
        <v>0</v>
      </c>
      <c r="T254" s="4">
        <f>'D5 Gallon Forecast'!T256</f>
        <v>0</v>
      </c>
    </row>
    <row r="255" spans="1:20">
      <c r="A255" s="2" t="s">
        <v>52</v>
      </c>
      <c r="B255" s="3">
        <f>'Monthly D5 RIN Data'!$K13</f>
        <v>0</v>
      </c>
      <c r="C255" s="3">
        <f>'Monthly D5 RIN Data'!$K25</f>
        <v>207334</v>
      </c>
      <c r="D255" s="3">
        <f>'Monthly D5 RIN Data'!$K37</f>
        <v>177688</v>
      </c>
      <c r="E255" s="3">
        <f>'Monthly D5 RIN Data'!$K49</f>
        <v>3973504</v>
      </c>
      <c r="F255" s="3">
        <f>'Monthly D5 RIN Data'!$K61</f>
        <v>0</v>
      </c>
      <c r="G255" s="3">
        <f>'Monthly D5 RIN Data'!$K73</f>
        <v>0</v>
      </c>
      <c r="H255" s="3">
        <f>'Monthly D5 RIN Data'!$K85</f>
        <v>0</v>
      </c>
      <c r="I255" s="3">
        <f>'Monthly D5 RIN Data'!$K97</f>
        <v>0</v>
      </c>
      <c r="J255" s="3">
        <f>'Monthly D5 RIN Data'!$K109</f>
        <v>0</v>
      </c>
      <c r="K255" s="3">
        <f>'Monthly D5 RIN Data'!$K121</f>
        <v>0</v>
      </c>
      <c r="L255" s="3">
        <f>'Monthly D5 RIN Data'!$K133</f>
        <v>0</v>
      </c>
      <c r="M255" s="3">
        <f>'Monthly D5 RIN Data'!$K145</f>
        <v>0</v>
      </c>
      <c r="N255" s="3">
        <f>'Monthly D5 RIN Data'!$K157</f>
        <v>0</v>
      </c>
      <c r="O255" s="3">
        <f>'Monthly D5 RIN Data'!$K169</f>
        <v>0</v>
      </c>
      <c r="P255" s="3">
        <f>'Monthly D5 RIN Data'!$K181</f>
        <v>0</v>
      </c>
      <c r="Q255" s="4">
        <f>'D5 Gallon Forecast'!Q257</f>
        <v>0</v>
      </c>
      <c r="R255" s="4">
        <f>'D5 Gallon Forecast'!R257</f>
        <v>0</v>
      </c>
      <c r="S255" s="4">
        <f>'D5 Gallon Forecast'!S257</f>
        <v>0</v>
      </c>
      <c r="T255" s="4">
        <f>'D5 Gallon Forecast'!T257</f>
        <v>0</v>
      </c>
    </row>
    <row r="256" spans="1:20">
      <c r="A256" s="2" t="s">
        <v>53</v>
      </c>
      <c r="B256" s="3">
        <f>'Monthly D5 RIN Data'!$K14</f>
        <v>0</v>
      </c>
      <c r="C256" s="3">
        <f>'Monthly D5 RIN Data'!$K26</f>
        <v>297813</v>
      </c>
      <c r="D256" s="3">
        <f>'Monthly D5 RIN Data'!$K38</f>
        <v>296569</v>
      </c>
      <c r="E256" s="3">
        <f>'Monthly D5 RIN Data'!$K50</f>
        <v>2092389</v>
      </c>
      <c r="F256" s="3">
        <f>'Monthly D5 RIN Data'!$K62</f>
        <v>0</v>
      </c>
      <c r="G256" s="3">
        <f>'Monthly D5 RIN Data'!$K74</f>
        <v>0</v>
      </c>
      <c r="H256" s="3">
        <f>'Monthly D5 RIN Data'!$K86</f>
        <v>0</v>
      </c>
      <c r="I256" s="3">
        <f>'Monthly D5 RIN Data'!$K98</f>
        <v>0</v>
      </c>
      <c r="J256" s="3">
        <f>'Monthly D5 RIN Data'!$K110</f>
        <v>0</v>
      </c>
      <c r="K256" s="3">
        <f>'Monthly D5 RIN Data'!$K122</f>
        <v>0</v>
      </c>
      <c r="L256" s="3">
        <f>'Monthly D5 RIN Data'!$K134</f>
        <v>0</v>
      </c>
      <c r="M256" s="3">
        <f>'Monthly D5 RIN Data'!$K146</f>
        <v>0</v>
      </c>
      <c r="N256" s="3">
        <f>'Monthly D5 RIN Data'!$K158</f>
        <v>0</v>
      </c>
      <c r="O256" s="3">
        <f>'Monthly D5 RIN Data'!$K170</f>
        <v>0</v>
      </c>
      <c r="P256" s="3">
        <f>'Monthly D5 RIN Data'!$K182</f>
        <v>0</v>
      </c>
      <c r="Q256" s="4">
        <f>'D5 Gallon Forecast'!Q258</f>
        <v>0</v>
      </c>
      <c r="R256" s="4">
        <f>'D5 Gallon Forecast'!R258</f>
        <v>0</v>
      </c>
      <c r="S256" s="4">
        <f>'D5 Gallon Forecast'!S258</f>
        <v>0</v>
      </c>
      <c r="T256" s="4">
        <f>'D5 Gallon Forecast'!T258</f>
        <v>0</v>
      </c>
    </row>
    <row r="257" spans="1:20">
      <c r="A257" s="2" t="s">
        <v>54</v>
      </c>
      <c r="B257" s="3">
        <f>'Monthly D5 RIN Data'!$K15</f>
        <v>0</v>
      </c>
      <c r="C257" s="3">
        <f>'Monthly D5 RIN Data'!$K27</f>
        <v>312801</v>
      </c>
      <c r="D257" s="3">
        <f>'Monthly D5 RIN Data'!$K39</f>
        <v>160003</v>
      </c>
      <c r="E257" s="3">
        <f>'Monthly D5 RIN Data'!$K51</f>
        <v>1618751</v>
      </c>
      <c r="F257" s="3">
        <f>'Monthly D5 RIN Data'!$K63</f>
        <v>0</v>
      </c>
      <c r="G257" s="3">
        <f>'Monthly D5 RIN Data'!$K75</f>
        <v>0</v>
      </c>
      <c r="H257" s="3">
        <f>'Monthly D5 RIN Data'!$K87</f>
        <v>0</v>
      </c>
      <c r="I257" s="3">
        <f>'Monthly D5 RIN Data'!$K99</f>
        <v>0</v>
      </c>
      <c r="J257" s="3">
        <f>'Monthly D5 RIN Data'!$K111</f>
        <v>0</v>
      </c>
      <c r="K257" s="3">
        <f>'Monthly D5 RIN Data'!$K123</f>
        <v>0</v>
      </c>
      <c r="L257" s="3">
        <f>'Monthly D5 RIN Data'!$K135</f>
        <v>0</v>
      </c>
      <c r="M257" s="3">
        <f>'Monthly D5 RIN Data'!$K147</f>
        <v>0</v>
      </c>
      <c r="N257" s="3">
        <f>'Monthly D5 RIN Data'!$K159</f>
        <v>0</v>
      </c>
      <c r="O257" s="3">
        <f>'Monthly D5 RIN Data'!$K171</f>
        <v>0</v>
      </c>
      <c r="P257" s="3">
        <f>'Monthly D5 RIN Data'!$K183</f>
        <v>0</v>
      </c>
      <c r="Q257" s="4">
        <f>'D5 Gallon Forecast'!Q259</f>
        <v>0</v>
      </c>
      <c r="R257" s="4">
        <f>'D5 Gallon Forecast'!R259</f>
        <v>0</v>
      </c>
      <c r="S257" s="4">
        <f>'D5 Gallon Forecast'!S259</f>
        <v>0</v>
      </c>
      <c r="T257" s="4">
        <f>'D5 Gallon Forecast'!T259</f>
        <v>0</v>
      </c>
    </row>
    <row r="258" spans="1:20" ht="13.5" thickBot="1">
      <c r="A258" s="2" t="s">
        <v>29</v>
      </c>
      <c r="B258" s="3">
        <f t="shared" ref="B258:O258" si="71">SUM(B246:B257)</f>
        <v>0</v>
      </c>
      <c r="C258" s="3">
        <f t="shared" si="71"/>
        <v>1423894</v>
      </c>
      <c r="D258" s="3">
        <f t="shared" si="71"/>
        <v>2882009</v>
      </c>
      <c r="E258" s="3">
        <f t="shared" si="71"/>
        <v>25934813</v>
      </c>
      <c r="F258" s="3">
        <f t="shared" si="71"/>
        <v>20352691</v>
      </c>
      <c r="G258" s="3">
        <f t="shared" si="71"/>
        <v>0</v>
      </c>
      <c r="H258" s="3">
        <f t="shared" si="71"/>
        <v>0</v>
      </c>
      <c r="I258" s="3">
        <f t="shared" si="71"/>
        <v>0</v>
      </c>
      <c r="J258" s="3">
        <f t="shared" si="71"/>
        <v>0</v>
      </c>
      <c r="K258" s="3">
        <f t="shared" si="71"/>
        <v>0</v>
      </c>
      <c r="L258" s="3">
        <f t="shared" si="71"/>
        <v>0</v>
      </c>
      <c r="M258" s="3">
        <f t="shared" si="71"/>
        <v>0</v>
      </c>
      <c r="N258" s="3">
        <f t="shared" si="71"/>
        <v>0</v>
      </c>
      <c r="O258" s="3">
        <f t="shared" si="71"/>
        <v>0</v>
      </c>
      <c r="P258" s="3">
        <f>SUM(P246:P257)</f>
        <v>0</v>
      </c>
      <c r="Q258" s="4">
        <f>SUM(Q246:Q257)</f>
        <v>0</v>
      </c>
      <c r="R258" s="4">
        <f>SUM(R246:R257)</f>
        <v>0</v>
      </c>
      <c r="S258" s="4">
        <f>SUM(S246:S257)</f>
        <v>0</v>
      </c>
      <c r="T258" s="4">
        <f>SUM(T246:T257)</f>
        <v>0</v>
      </c>
    </row>
    <row r="259" spans="1:20">
      <c r="A259" s="114"/>
      <c r="B259" s="114"/>
      <c r="C259" s="114"/>
      <c r="D259" s="114"/>
      <c r="E259" s="114"/>
      <c r="F259" s="114"/>
      <c r="G259" s="114"/>
      <c r="H259" s="114"/>
      <c r="I259" s="114"/>
      <c r="J259" s="114"/>
      <c r="K259" s="114"/>
      <c r="L259" s="114"/>
      <c r="M259" s="114"/>
      <c r="N259" s="114"/>
      <c r="O259" s="114"/>
      <c r="P259" s="114"/>
      <c r="Q259" s="114"/>
      <c r="R259" s="114"/>
      <c r="S259" s="114"/>
      <c r="T259" s="114"/>
    </row>
    <row r="260" spans="1:20" ht="16.5" thickBot="1">
      <c r="A260" s="109" t="s">
        <v>448</v>
      </c>
    </row>
    <row r="261" spans="1:20" ht="13.5" thickBot="1">
      <c r="A261" s="110"/>
      <c r="B261" s="111">
        <v>2010</v>
      </c>
      <c r="C261" s="111">
        <v>2011</v>
      </c>
      <c r="D261" s="111">
        <v>2012</v>
      </c>
      <c r="E261" s="111">
        <v>2013</v>
      </c>
      <c r="F261" s="111">
        <v>2014</v>
      </c>
      <c r="G261" s="111">
        <v>2015</v>
      </c>
      <c r="H261" s="111">
        <v>2016</v>
      </c>
      <c r="I261" s="111">
        <v>2017</v>
      </c>
      <c r="J261" s="111">
        <v>2018</v>
      </c>
      <c r="K261" s="111">
        <v>2019</v>
      </c>
      <c r="L261" s="111">
        <v>2020</v>
      </c>
      <c r="M261" s="111">
        <v>2021</v>
      </c>
      <c r="N261" s="111">
        <v>2022</v>
      </c>
      <c r="O261" s="111">
        <v>2023</v>
      </c>
      <c r="P261" s="111">
        <v>2024</v>
      </c>
      <c r="Q261" s="111">
        <v>2025</v>
      </c>
      <c r="R261" s="111">
        <v>2026</v>
      </c>
      <c r="S261" s="111">
        <v>2027</v>
      </c>
      <c r="T261" s="111">
        <v>2028</v>
      </c>
    </row>
    <row r="262" spans="1:20">
      <c r="A262" s="2" t="s">
        <v>43</v>
      </c>
      <c r="B262" s="3">
        <f>'Monthly D5 RIN Data'!$L4</f>
        <v>0</v>
      </c>
      <c r="C262" s="3">
        <f>'Monthly D5 RIN Data'!$L16</f>
        <v>0</v>
      </c>
      <c r="D262" s="3">
        <f>'Monthly D5 RIN Data'!$L28</f>
        <v>0</v>
      </c>
      <c r="E262" s="3">
        <f>'Monthly D5 RIN Data'!$L40</f>
        <v>0</v>
      </c>
      <c r="F262" s="3">
        <f>'Monthly D5 RIN Data'!$L52</f>
        <v>0</v>
      </c>
      <c r="G262" s="3">
        <f>'Monthly D5 RIN Data'!$L64</f>
        <v>0</v>
      </c>
      <c r="H262" s="3">
        <f>'Monthly D5 RIN Data'!$L76</f>
        <v>0</v>
      </c>
      <c r="I262" s="3">
        <f>'Monthly D5 RIN Data'!$L88</f>
        <v>0</v>
      </c>
      <c r="J262" s="3">
        <f>'Monthly D5 RIN Data'!$L100</f>
        <v>0</v>
      </c>
      <c r="K262" s="3">
        <f>'Monthly D5 RIN Data'!$L112</f>
        <v>0</v>
      </c>
      <c r="L262" s="3">
        <f>'Monthly D5 RIN Data'!$L124</f>
        <v>0</v>
      </c>
      <c r="M262" s="3">
        <f>'Monthly D5 RIN Data'!$L136</f>
        <v>0</v>
      </c>
      <c r="N262" s="3">
        <f>'Monthly D5 RIN Data'!$L148</f>
        <v>0</v>
      </c>
      <c r="O262" s="3">
        <f>'Monthly D5 RIN Data'!$L160</f>
        <v>0</v>
      </c>
      <c r="P262" s="3">
        <f>'Monthly D5 RIN Data'!$L172</f>
        <v>0</v>
      </c>
      <c r="Q262" s="3">
        <f>'Monthly D5 RIN Data'!$L184</f>
        <v>0</v>
      </c>
      <c r="R262" s="4">
        <f>'D5 Gallon Forecast'!R264</f>
        <v>0</v>
      </c>
      <c r="S262" s="4">
        <f>'D5 Gallon Forecast'!S264</f>
        <v>0</v>
      </c>
      <c r="T262" s="4">
        <f>'D5 Gallon Forecast'!T264</f>
        <v>0</v>
      </c>
    </row>
    <row r="263" spans="1:20">
      <c r="A263" s="2" t="s">
        <v>44</v>
      </c>
      <c r="B263" s="3">
        <f>'Monthly D5 RIN Data'!$L5</f>
        <v>0</v>
      </c>
      <c r="C263" s="3">
        <f>'Monthly D5 RIN Data'!$L17</f>
        <v>0</v>
      </c>
      <c r="D263" s="3">
        <f>'Monthly D5 RIN Data'!$L29</f>
        <v>0</v>
      </c>
      <c r="E263" s="3">
        <f>'Monthly D5 RIN Data'!$L41</f>
        <v>0</v>
      </c>
      <c r="F263" s="3">
        <f>'Monthly D5 RIN Data'!$L53</f>
        <v>0</v>
      </c>
      <c r="G263" s="3">
        <f>'Monthly D5 RIN Data'!$L65</f>
        <v>0</v>
      </c>
      <c r="H263" s="3">
        <f>'Monthly D5 RIN Data'!$L77</f>
        <v>0</v>
      </c>
      <c r="I263" s="3">
        <f>'Monthly D5 RIN Data'!$L89</f>
        <v>0</v>
      </c>
      <c r="J263" s="3">
        <f>'Monthly D5 RIN Data'!$L101</f>
        <v>0</v>
      </c>
      <c r="K263" s="3">
        <f>'Monthly D5 RIN Data'!$L113</f>
        <v>0</v>
      </c>
      <c r="L263" s="3">
        <f>'Monthly D5 RIN Data'!$L125</f>
        <v>0</v>
      </c>
      <c r="M263" s="3">
        <f>'Monthly D5 RIN Data'!$L137</f>
        <v>0</v>
      </c>
      <c r="N263" s="3">
        <f>'Monthly D5 RIN Data'!$L149</f>
        <v>0</v>
      </c>
      <c r="O263" s="3">
        <f>'Monthly D5 RIN Data'!$L161</f>
        <v>0</v>
      </c>
      <c r="P263" s="3">
        <f>'Monthly D5 RIN Data'!$L173</f>
        <v>0</v>
      </c>
      <c r="Q263" s="3">
        <f>'Monthly D5 RIN Data'!$L185</f>
        <v>0</v>
      </c>
      <c r="R263" s="4">
        <f>'D5 Gallon Forecast'!R265</f>
        <v>0</v>
      </c>
      <c r="S263" s="4">
        <f>'D5 Gallon Forecast'!S265</f>
        <v>0</v>
      </c>
      <c r="T263" s="4">
        <f>'D5 Gallon Forecast'!T265</f>
        <v>0</v>
      </c>
    </row>
    <row r="264" spans="1:20">
      <c r="A264" s="2" t="s">
        <v>45</v>
      </c>
      <c r="B264" s="3">
        <f>'Monthly D5 RIN Data'!$L6</f>
        <v>0</v>
      </c>
      <c r="C264" s="3">
        <f>'Monthly D5 RIN Data'!$L18</f>
        <v>0</v>
      </c>
      <c r="D264" s="3">
        <f>'Monthly D5 RIN Data'!$L30</f>
        <v>0</v>
      </c>
      <c r="E264" s="3">
        <f>'Monthly D5 RIN Data'!$L42</f>
        <v>0</v>
      </c>
      <c r="F264" s="3">
        <f>'Monthly D5 RIN Data'!$L54</f>
        <v>0</v>
      </c>
      <c r="G264" s="3">
        <f>'Monthly D5 RIN Data'!$L66</f>
        <v>0</v>
      </c>
      <c r="H264" s="3">
        <f>'Monthly D5 RIN Data'!$L78</f>
        <v>0</v>
      </c>
      <c r="I264" s="3">
        <f>'Monthly D5 RIN Data'!$L90</f>
        <v>0</v>
      </c>
      <c r="J264" s="3">
        <f>'Monthly D5 RIN Data'!$L102</f>
        <v>0</v>
      </c>
      <c r="K264" s="3">
        <f>'Monthly D5 RIN Data'!$L114</f>
        <v>0</v>
      </c>
      <c r="L264" s="3">
        <f>'Monthly D5 RIN Data'!$L126</f>
        <v>0</v>
      </c>
      <c r="M264" s="3">
        <f>'Monthly D5 RIN Data'!$L138</f>
        <v>0</v>
      </c>
      <c r="N264" s="3">
        <f>'Monthly D5 RIN Data'!$L150</f>
        <v>0</v>
      </c>
      <c r="O264" s="3">
        <f>'Monthly D5 RIN Data'!$L162</f>
        <v>0</v>
      </c>
      <c r="P264" s="3">
        <f>'Monthly D5 RIN Data'!$L174</f>
        <v>0</v>
      </c>
      <c r="Q264" s="3">
        <f>'Monthly D5 RIN Data'!$L186</f>
        <v>0</v>
      </c>
      <c r="R264" s="4">
        <f>'D5 Gallon Forecast'!R266</f>
        <v>0</v>
      </c>
      <c r="S264" s="4">
        <f>'D5 Gallon Forecast'!S266</f>
        <v>0</v>
      </c>
      <c r="T264" s="4">
        <f>'D5 Gallon Forecast'!T266</f>
        <v>0</v>
      </c>
    </row>
    <row r="265" spans="1:20">
      <c r="A265" s="2" t="s">
        <v>46</v>
      </c>
      <c r="B265" s="3">
        <f>'Monthly D5 RIN Data'!$L7</f>
        <v>0</v>
      </c>
      <c r="C265" s="3">
        <f>'Monthly D5 RIN Data'!$L19</f>
        <v>0</v>
      </c>
      <c r="D265" s="3">
        <f>'Monthly D5 RIN Data'!$L31</f>
        <v>0</v>
      </c>
      <c r="E265" s="3">
        <f>'Monthly D5 RIN Data'!$L43</f>
        <v>0</v>
      </c>
      <c r="F265" s="3">
        <f>'Monthly D5 RIN Data'!$L55</f>
        <v>0</v>
      </c>
      <c r="G265" s="3">
        <f>'Monthly D5 RIN Data'!$L67</f>
        <v>0</v>
      </c>
      <c r="H265" s="3">
        <f>'Monthly D5 RIN Data'!$L79</f>
        <v>0</v>
      </c>
      <c r="I265" s="3">
        <f>'Monthly D5 RIN Data'!$L91</f>
        <v>0</v>
      </c>
      <c r="J265" s="3">
        <f>'Monthly D5 RIN Data'!$L103</f>
        <v>0</v>
      </c>
      <c r="K265" s="3">
        <f>'Monthly D5 RIN Data'!$L115</f>
        <v>0</v>
      </c>
      <c r="L265" s="3">
        <f>'Monthly D5 RIN Data'!$L127</f>
        <v>0</v>
      </c>
      <c r="M265" s="3">
        <f>'Monthly D5 RIN Data'!$L139</f>
        <v>0</v>
      </c>
      <c r="N265" s="3">
        <f>'Monthly D5 RIN Data'!$L151</f>
        <v>0</v>
      </c>
      <c r="O265" s="3">
        <f>'Monthly D5 RIN Data'!$L163</f>
        <v>0</v>
      </c>
      <c r="P265" s="3">
        <f>'Monthly D5 RIN Data'!$L175</f>
        <v>0</v>
      </c>
      <c r="Q265" s="4">
        <f>'D5 Gallon Forecast'!Q267</f>
        <v>0</v>
      </c>
      <c r="R265" s="4">
        <f>'D5 Gallon Forecast'!R267</f>
        <v>0</v>
      </c>
      <c r="S265" s="4">
        <f>'D5 Gallon Forecast'!S267</f>
        <v>0</v>
      </c>
      <c r="T265" s="4">
        <f>'D5 Gallon Forecast'!T267</f>
        <v>0</v>
      </c>
    </row>
    <row r="266" spans="1:20">
      <c r="A266" s="2" t="s">
        <v>47</v>
      </c>
      <c r="B266" s="3">
        <f>'Monthly D5 RIN Data'!$L8</f>
        <v>0</v>
      </c>
      <c r="C266" s="3">
        <f>'Monthly D5 RIN Data'!$L20</f>
        <v>0</v>
      </c>
      <c r="D266" s="3">
        <f>'Monthly D5 RIN Data'!$L32</f>
        <v>0</v>
      </c>
      <c r="E266" s="3">
        <f>'Monthly D5 RIN Data'!$L44</f>
        <v>0</v>
      </c>
      <c r="F266" s="3">
        <f>'Monthly D5 RIN Data'!$L56</f>
        <v>0</v>
      </c>
      <c r="G266" s="3">
        <f>'Monthly D5 RIN Data'!$L68</f>
        <v>0</v>
      </c>
      <c r="H266" s="3">
        <f>'Monthly D5 RIN Data'!$L80</f>
        <v>0</v>
      </c>
      <c r="I266" s="3">
        <f>'Monthly D5 RIN Data'!$L92</f>
        <v>0</v>
      </c>
      <c r="J266" s="3">
        <f>'Monthly D5 RIN Data'!$L104</f>
        <v>0</v>
      </c>
      <c r="K266" s="3">
        <f>'Monthly D5 RIN Data'!$L116</f>
        <v>0</v>
      </c>
      <c r="L266" s="3">
        <f>'Monthly D5 RIN Data'!$L128</f>
        <v>0</v>
      </c>
      <c r="M266" s="3">
        <f>'Monthly D5 RIN Data'!$L140</f>
        <v>0</v>
      </c>
      <c r="N266" s="3">
        <f>'Monthly D5 RIN Data'!$L152</f>
        <v>0</v>
      </c>
      <c r="O266" s="3">
        <f>'Monthly D5 RIN Data'!$L164</f>
        <v>0</v>
      </c>
      <c r="P266" s="3">
        <f>'Monthly D5 RIN Data'!$L176</f>
        <v>0</v>
      </c>
      <c r="Q266" s="4">
        <f>'D5 Gallon Forecast'!Q268</f>
        <v>0</v>
      </c>
      <c r="R266" s="4">
        <f>'D5 Gallon Forecast'!R268</f>
        <v>0</v>
      </c>
      <c r="S266" s="4">
        <f>'D5 Gallon Forecast'!S268</f>
        <v>0</v>
      </c>
      <c r="T266" s="4">
        <f>'D5 Gallon Forecast'!T268</f>
        <v>0</v>
      </c>
    </row>
    <row r="267" spans="1:20">
      <c r="A267" s="2" t="s">
        <v>48</v>
      </c>
      <c r="B267" s="3">
        <f>'Monthly D5 RIN Data'!$L9</f>
        <v>0</v>
      </c>
      <c r="C267" s="3">
        <f>'Monthly D5 RIN Data'!$L21</f>
        <v>0</v>
      </c>
      <c r="D267" s="3">
        <f>'Monthly D5 RIN Data'!$L33</f>
        <v>0</v>
      </c>
      <c r="E267" s="3">
        <f>'Monthly D5 RIN Data'!$L45</f>
        <v>0</v>
      </c>
      <c r="F267" s="3">
        <f>'Monthly D5 RIN Data'!$L57</f>
        <v>0</v>
      </c>
      <c r="G267" s="3">
        <f>'Monthly D5 RIN Data'!$L69</f>
        <v>0</v>
      </c>
      <c r="H267" s="3">
        <f>'Monthly D5 RIN Data'!$L81</f>
        <v>0</v>
      </c>
      <c r="I267" s="3">
        <f>'Monthly D5 RIN Data'!$L93</f>
        <v>0</v>
      </c>
      <c r="J267" s="3">
        <f>'Monthly D5 RIN Data'!$L105</f>
        <v>0</v>
      </c>
      <c r="K267" s="3">
        <f>'Monthly D5 RIN Data'!$L117</f>
        <v>0</v>
      </c>
      <c r="L267" s="3">
        <f>'Monthly D5 RIN Data'!$L129</f>
        <v>0</v>
      </c>
      <c r="M267" s="3">
        <f>'Monthly D5 RIN Data'!$L141</f>
        <v>0</v>
      </c>
      <c r="N267" s="3">
        <f>'Monthly D5 RIN Data'!$L153</f>
        <v>0</v>
      </c>
      <c r="O267" s="3">
        <f>'Monthly D5 RIN Data'!$L165</f>
        <v>0</v>
      </c>
      <c r="P267" s="3">
        <f>'Monthly D5 RIN Data'!$L177</f>
        <v>0</v>
      </c>
      <c r="Q267" s="4">
        <f>'D5 Gallon Forecast'!Q269</f>
        <v>0</v>
      </c>
      <c r="R267" s="4">
        <f>'D5 Gallon Forecast'!R269</f>
        <v>0</v>
      </c>
      <c r="S267" s="4">
        <f>'D5 Gallon Forecast'!S269</f>
        <v>0</v>
      </c>
      <c r="T267" s="4">
        <f>'D5 Gallon Forecast'!T269</f>
        <v>0</v>
      </c>
    </row>
    <row r="268" spans="1:20">
      <c r="A268" s="2" t="s">
        <v>49</v>
      </c>
      <c r="B268" s="3">
        <f>'Monthly D5 RIN Data'!$L10</f>
        <v>0</v>
      </c>
      <c r="C268" s="3">
        <f>'Monthly D5 RIN Data'!$L22</f>
        <v>0</v>
      </c>
      <c r="D268" s="3">
        <f>'Monthly D5 RIN Data'!$L34</f>
        <v>0</v>
      </c>
      <c r="E268" s="3">
        <f>'Monthly D5 RIN Data'!$L46</f>
        <v>0</v>
      </c>
      <c r="F268" s="3">
        <f>'Monthly D5 RIN Data'!$L58</f>
        <v>0</v>
      </c>
      <c r="G268" s="3">
        <f>'Monthly D5 RIN Data'!$L70</f>
        <v>0</v>
      </c>
      <c r="H268" s="3">
        <f>'Monthly D5 RIN Data'!$L82</f>
        <v>0</v>
      </c>
      <c r="I268" s="3">
        <f>'Monthly D5 RIN Data'!$L94</f>
        <v>0</v>
      </c>
      <c r="J268" s="3">
        <f>'Monthly D5 RIN Data'!$L106</f>
        <v>0</v>
      </c>
      <c r="K268" s="3">
        <f>'Monthly D5 RIN Data'!$L118</f>
        <v>0</v>
      </c>
      <c r="L268" s="3">
        <f>'Monthly D5 RIN Data'!$L130</f>
        <v>0</v>
      </c>
      <c r="M268" s="3">
        <f>'Monthly D5 RIN Data'!$L142</f>
        <v>0</v>
      </c>
      <c r="N268" s="3">
        <f>'Monthly D5 RIN Data'!$L154</f>
        <v>0</v>
      </c>
      <c r="O268" s="3">
        <f>'Monthly D5 RIN Data'!$L166</f>
        <v>0</v>
      </c>
      <c r="P268" s="3">
        <f>'Monthly D5 RIN Data'!$L178</f>
        <v>0</v>
      </c>
      <c r="Q268" s="4">
        <f>'D5 Gallon Forecast'!Q270</f>
        <v>0</v>
      </c>
      <c r="R268" s="4">
        <f>'D5 Gallon Forecast'!R270</f>
        <v>0</v>
      </c>
      <c r="S268" s="4">
        <f>'D5 Gallon Forecast'!S270</f>
        <v>0</v>
      </c>
      <c r="T268" s="4">
        <f>'D5 Gallon Forecast'!T270</f>
        <v>0</v>
      </c>
    </row>
    <row r="269" spans="1:20">
      <c r="A269" s="2" t="s">
        <v>50</v>
      </c>
      <c r="B269" s="3">
        <f>'Monthly D5 RIN Data'!$L11</f>
        <v>0</v>
      </c>
      <c r="C269" s="3">
        <f>'Monthly D5 RIN Data'!$L23</f>
        <v>0</v>
      </c>
      <c r="D269" s="3">
        <f>'Monthly D5 RIN Data'!$L35</f>
        <v>0</v>
      </c>
      <c r="E269" s="3">
        <f>'Monthly D5 RIN Data'!$L47</f>
        <v>0</v>
      </c>
      <c r="F269" s="3">
        <f>'Monthly D5 RIN Data'!$L59</f>
        <v>0</v>
      </c>
      <c r="G269" s="3">
        <f>'Monthly D5 RIN Data'!$L71</f>
        <v>0</v>
      </c>
      <c r="H269" s="3">
        <f>'Monthly D5 RIN Data'!$L83</f>
        <v>0</v>
      </c>
      <c r="I269" s="3">
        <f>'Monthly D5 RIN Data'!$L95</f>
        <v>0</v>
      </c>
      <c r="J269" s="3">
        <f>'Monthly D5 RIN Data'!$L107</f>
        <v>0</v>
      </c>
      <c r="K269" s="3">
        <f>'Monthly D5 RIN Data'!$L119</f>
        <v>0</v>
      </c>
      <c r="L269" s="3">
        <f>'Monthly D5 RIN Data'!$L131</f>
        <v>0</v>
      </c>
      <c r="M269" s="3">
        <f>'Monthly D5 RIN Data'!$L143</f>
        <v>0</v>
      </c>
      <c r="N269" s="3">
        <f>'Monthly D5 RIN Data'!$L155</f>
        <v>0</v>
      </c>
      <c r="O269" s="3">
        <f>'Monthly D5 RIN Data'!$L167</f>
        <v>0</v>
      </c>
      <c r="P269" s="3">
        <f>'Monthly D5 RIN Data'!$L179</f>
        <v>0</v>
      </c>
      <c r="Q269" s="4">
        <f>'D5 Gallon Forecast'!Q271</f>
        <v>0</v>
      </c>
      <c r="R269" s="4">
        <f>'D5 Gallon Forecast'!R271</f>
        <v>0</v>
      </c>
      <c r="S269" s="4">
        <f>'D5 Gallon Forecast'!S271</f>
        <v>0</v>
      </c>
      <c r="T269" s="4">
        <f>'D5 Gallon Forecast'!T271</f>
        <v>0</v>
      </c>
    </row>
    <row r="270" spans="1:20">
      <c r="A270" s="2" t="s">
        <v>51</v>
      </c>
      <c r="B270" s="3">
        <f>'Monthly D5 RIN Data'!$L12</f>
        <v>0</v>
      </c>
      <c r="C270" s="3">
        <f>'Monthly D5 RIN Data'!$L24</f>
        <v>0</v>
      </c>
      <c r="D270" s="3">
        <f>'Monthly D5 RIN Data'!$L36</f>
        <v>0</v>
      </c>
      <c r="E270" s="3">
        <f>'Monthly D5 RIN Data'!$L48</f>
        <v>0</v>
      </c>
      <c r="F270" s="3">
        <f>'Monthly D5 RIN Data'!$L60</f>
        <v>0</v>
      </c>
      <c r="G270" s="3">
        <f>'Monthly D5 RIN Data'!$L72</f>
        <v>0</v>
      </c>
      <c r="H270" s="3">
        <f>'Monthly D5 RIN Data'!$L84</f>
        <v>0</v>
      </c>
      <c r="I270" s="3">
        <f>'Monthly D5 RIN Data'!$L96</f>
        <v>0</v>
      </c>
      <c r="J270" s="3">
        <f>'Monthly D5 RIN Data'!$L108</f>
        <v>0</v>
      </c>
      <c r="K270" s="3">
        <f>'Monthly D5 RIN Data'!$L120</f>
        <v>0</v>
      </c>
      <c r="L270" s="3">
        <f>'Monthly D5 RIN Data'!$L132</f>
        <v>0</v>
      </c>
      <c r="M270" s="3">
        <f>'Monthly D5 RIN Data'!$L144</f>
        <v>0</v>
      </c>
      <c r="N270" s="3">
        <f>'Monthly D5 RIN Data'!$L156</f>
        <v>0</v>
      </c>
      <c r="O270" s="3">
        <f>'Monthly D5 RIN Data'!$L168</f>
        <v>0</v>
      </c>
      <c r="P270" s="3">
        <f>'Monthly D5 RIN Data'!$L180</f>
        <v>0</v>
      </c>
      <c r="Q270" s="4">
        <f>'D5 Gallon Forecast'!Q272</f>
        <v>0</v>
      </c>
      <c r="R270" s="4">
        <f>'D5 Gallon Forecast'!R272</f>
        <v>0</v>
      </c>
      <c r="S270" s="4">
        <f>'D5 Gallon Forecast'!S272</f>
        <v>0</v>
      </c>
      <c r="T270" s="4">
        <f>'D5 Gallon Forecast'!T272</f>
        <v>0</v>
      </c>
    </row>
    <row r="271" spans="1:20">
      <c r="A271" s="2" t="s">
        <v>52</v>
      </c>
      <c r="B271" s="3">
        <f>'Monthly D5 RIN Data'!$L13</f>
        <v>0</v>
      </c>
      <c r="C271" s="3">
        <f>'Monthly D5 RIN Data'!$L25</f>
        <v>0</v>
      </c>
      <c r="D271" s="3">
        <f>'Monthly D5 RIN Data'!$L37</f>
        <v>0</v>
      </c>
      <c r="E271" s="3">
        <f>'Monthly D5 RIN Data'!$L49</f>
        <v>0</v>
      </c>
      <c r="F271" s="3">
        <f>'Monthly D5 RIN Data'!$L61</f>
        <v>0</v>
      </c>
      <c r="G271" s="3">
        <f>'Monthly D5 RIN Data'!$L73</f>
        <v>0</v>
      </c>
      <c r="H271" s="3">
        <f>'Monthly D5 RIN Data'!$L85</f>
        <v>0</v>
      </c>
      <c r="I271" s="3">
        <f>'Monthly D5 RIN Data'!$L97</f>
        <v>0</v>
      </c>
      <c r="J271" s="3">
        <f>'Monthly D5 RIN Data'!$L109</f>
        <v>0</v>
      </c>
      <c r="K271" s="3">
        <f>'Monthly D5 RIN Data'!$L121</f>
        <v>0</v>
      </c>
      <c r="L271" s="3">
        <f>'Monthly D5 RIN Data'!$L133</f>
        <v>0</v>
      </c>
      <c r="M271" s="3">
        <f>'Monthly D5 RIN Data'!$L145</f>
        <v>0</v>
      </c>
      <c r="N271" s="3">
        <f>'Monthly D5 RIN Data'!$L157</f>
        <v>0</v>
      </c>
      <c r="O271" s="3">
        <f>'Monthly D5 RIN Data'!$L169</f>
        <v>0</v>
      </c>
      <c r="P271" s="3">
        <f>'Monthly D5 RIN Data'!$L181</f>
        <v>0</v>
      </c>
      <c r="Q271" s="4">
        <f>'D5 Gallon Forecast'!Q273</f>
        <v>0</v>
      </c>
      <c r="R271" s="4">
        <f>'D5 Gallon Forecast'!R273</f>
        <v>0</v>
      </c>
      <c r="S271" s="4">
        <f>'D5 Gallon Forecast'!S273</f>
        <v>0</v>
      </c>
      <c r="T271" s="4">
        <f>'D5 Gallon Forecast'!T273</f>
        <v>0</v>
      </c>
    </row>
    <row r="272" spans="1:20">
      <c r="A272" s="2" t="s">
        <v>53</v>
      </c>
      <c r="B272" s="3">
        <f>'Monthly D5 RIN Data'!$L14</f>
        <v>0</v>
      </c>
      <c r="C272" s="3">
        <f>'Monthly D5 RIN Data'!$L26</f>
        <v>0</v>
      </c>
      <c r="D272" s="3">
        <f>'Monthly D5 RIN Data'!$L38</f>
        <v>0</v>
      </c>
      <c r="E272" s="3">
        <f>'Monthly D5 RIN Data'!$L50</f>
        <v>0</v>
      </c>
      <c r="F272" s="3">
        <f>'Monthly D5 RIN Data'!$L62</f>
        <v>0</v>
      </c>
      <c r="G272" s="3">
        <f>'Monthly D5 RIN Data'!$L74</f>
        <v>0</v>
      </c>
      <c r="H272" s="3">
        <f>'Monthly D5 RIN Data'!$L86</f>
        <v>0</v>
      </c>
      <c r="I272" s="3">
        <f>'Monthly D5 RIN Data'!$L98</f>
        <v>0</v>
      </c>
      <c r="J272" s="3">
        <f>'Monthly D5 RIN Data'!$L110</f>
        <v>0</v>
      </c>
      <c r="K272" s="3">
        <f>'Monthly D5 RIN Data'!$L122</f>
        <v>0</v>
      </c>
      <c r="L272" s="3">
        <f>'Monthly D5 RIN Data'!$L134</f>
        <v>0</v>
      </c>
      <c r="M272" s="3">
        <f>'Monthly D5 RIN Data'!$L146</f>
        <v>0</v>
      </c>
      <c r="N272" s="3">
        <f>'Monthly D5 RIN Data'!$L158</f>
        <v>0</v>
      </c>
      <c r="O272" s="3">
        <f>'Monthly D5 RIN Data'!$L170</f>
        <v>0</v>
      </c>
      <c r="P272" s="3">
        <f>'Monthly D5 RIN Data'!$L182</f>
        <v>0</v>
      </c>
      <c r="Q272" s="4">
        <f>'D5 Gallon Forecast'!Q274</f>
        <v>0</v>
      </c>
      <c r="R272" s="4">
        <f>'D5 Gallon Forecast'!R274</f>
        <v>0</v>
      </c>
      <c r="S272" s="4">
        <f>'D5 Gallon Forecast'!S274</f>
        <v>0</v>
      </c>
      <c r="T272" s="4">
        <f>'D5 Gallon Forecast'!T274</f>
        <v>0</v>
      </c>
    </row>
    <row r="273" spans="1:20">
      <c r="A273" s="2" t="s">
        <v>54</v>
      </c>
      <c r="B273" s="3">
        <f>'Monthly D5 RIN Data'!$L15</f>
        <v>0</v>
      </c>
      <c r="C273" s="3">
        <f>'Monthly D5 RIN Data'!$L27</f>
        <v>0</v>
      </c>
      <c r="D273" s="3">
        <f>'Monthly D5 RIN Data'!$L39</f>
        <v>0</v>
      </c>
      <c r="E273" s="3">
        <f>'Monthly D5 RIN Data'!$L51</f>
        <v>0</v>
      </c>
      <c r="F273" s="3">
        <f>'Monthly D5 RIN Data'!$L63</f>
        <v>0</v>
      </c>
      <c r="G273" s="3">
        <f>'Monthly D5 RIN Data'!$L75</f>
        <v>0</v>
      </c>
      <c r="H273" s="3">
        <f>'Monthly D5 RIN Data'!$L87</f>
        <v>0</v>
      </c>
      <c r="I273" s="3">
        <f>'Monthly D5 RIN Data'!$L99</f>
        <v>0</v>
      </c>
      <c r="J273" s="3">
        <f>'Monthly D5 RIN Data'!$L111</f>
        <v>0</v>
      </c>
      <c r="K273" s="3">
        <f>'Monthly D5 RIN Data'!$L123</f>
        <v>0</v>
      </c>
      <c r="L273" s="3">
        <f>'Monthly D5 RIN Data'!$L135</f>
        <v>0</v>
      </c>
      <c r="M273" s="3">
        <f>'Monthly D5 RIN Data'!$L147</f>
        <v>0</v>
      </c>
      <c r="N273" s="3">
        <f>'Monthly D5 RIN Data'!$L159</f>
        <v>0</v>
      </c>
      <c r="O273" s="3">
        <f>'Monthly D5 RIN Data'!$L171</f>
        <v>0</v>
      </c>
      <c r="P273" s="3">
        <f>'Monthly D5 RIN Data'!$L183</f>
        <v>0</v>
      </c>
      <c r="Q273" s="4">
        <f>'D5 Gallon Forecast'!Q275</f>
        <v>0</v>
      </c>
      <c r="R273" s="4">
        <f>'D5 Gallon Forecast'!R275</f>
        <v>0</v>
      </c>
      <c r="S273" s="4">
        <f>'D5 Gallon Forecast'!S275</f>
        <v>0</v>
      </c>
      <c r="T273" s="4">
        <f>'D5 Gallon Forecast'!T275</f>
        <v>0</v>
      </c>
    </row>
    <row r="274" spans="1:20" ht="13.5" thickBot="1">
      <c r="A274" s="2" t="s">
        <v>29</v>
      </c>
      <c r="B274" s="3">
        <f t="shared" ref="B274:O274" si="72">SUM(B262:B273)</f>
        <v>0</v>
      </c>
      <c r="C274" s="3">
        <f t="shared" si="72"/>
        <v>0</v>
      </c>
      <c r="D274" s="3">
        <f t="shared" si="72"/>
        <v>0</v>
      </c>
      <c r="E274" s="3">
        <f t="shared" si="72"/>
        <v>0</v>
      </c>
      <c r="F274" s="3">
        <f t="shared" si="72"/>
        <v>0</v>
      </c>
      <c r="G274" s="3">
        <f t="shared" si="72"/>
        <v>0</v>
      </c>
      <c r="H274" s="3">
        <f t="shared" si="72"/>
        <v>0</v>
      </c>
      <c r="I274" s="3">
        <f t="shared" si="72"/>
        <v>0</v>
      </c>
      <c r="J274" s="3">
        <f t="shared" si="72"/>
        <v>0</v>
      </c>
      <c r="K274" s="3">
        <f t="shared" si="72"/>
        <v>0</v>
      </c>
      <c r="L274" s="3">
        <f t="shared" si="72"/>
        <v>0</v>
      </c>
      <c r="M274" s="3">
        <f t="shared" si="72"/>
        <v>0</v>
      </c>
      <c r="N274" s="3">
        <f t="shared" si="72"/>
        <v>0</v>
      </c>
      <c r="O274" s="3">
        <f t="shared" si="72"/>
        <v>0</v>
      </c>
      <c r="P274" s="3">
        <f>SUM(P262:P273)</f>
        <v>0</v>
      </c>
      <c r="Q274" s="4">
        <f>SUM(Q262:Q273)</f>
        <v>0</v>
      </c>
      <c r="R274" s="4">
        <f>SUM(R262:R273)</f>
        <v>0</v>
      </c>
      <c r="S274" s="4">
        <f>SUM(S262:S273)</f>
        <v>0</v>
      </c>
      <c r="T274" s="4">
        <f>SUM(T262:T273)</f>
        <v>0</v>
      </c>
    </row>
    <row r="275" spans="1:20">
      <c r="A275" s="114"/>
      <c r="B275" s="114"/>
      <c r="C275" s="114"/>
      <c r="D275" s="114"/>
      <c r="E275" s="114"/>
      <c r="F275" s="114"/>
      <c r="G275" s="114"/>
      <c r="H275" s="114"/>
      <c r="I275" s="114"/>
      <c r="J275" s="114"/>
      <c r="K275" s="114"/>
      <c r="L275" s="114"/>
      <c r="M275" s="114"/>
      <c r="N275" s="114"/>
      <c r="O275" s="114"/>
      <c r="P275" s="114"/>
      <c r="Q275" s="114"/>
      <c r="R275" s="114"/>
      <c r="S275" s="114"/>
      <c r="T275" s="114"/>
    </row>
    <row r="276" spans="1:20" ht="16.5" thickBot="1">
      <c r="A276" s="109" t="s">
        <v>449</v>
      </c>
    </row>
    <row r="277" spans="1:20" ht="13.5" thickBot="1">
      <c r="A277" s="110"/>
      <c r="B277" s="111">
        <v>2010</v>
      </c>
      <c r="C277" s="111">
        <v>2011</v>
      </c>
      <c r="D277" s="111">
        <v>2012</v>
      </c>
      <c r="E277" s="111">
        <v>2013</v>
      </c>
      <c r="F277" s="111">
        <v>2014</v>
      </c>
      <c r="G277" s="111">
        <v>2015</v>
      </c>
      <c r="H277" s="111">
        <v>2016</v>
      </c>
      <c r="I277" s="111">
        <v>2017</v>
      </c>
      <c r="J277" s="111">
        <v>2018</v>
      </c>
      <c r="K277" s="111">
        <v>2019</v>
      </c>
      <c r="L277" s="111">
        <v>2020</v>
      </c>
      <c r="M277" s="111">
        <v>2021</v>
      </c>
      <c r="N277" s="111">
        <v>2022</v>
      </c>
      <c r="O277" s="111">
        <v>2023</v>
      </c>
      <c r="P277" s="111">
        <v>2024</v>
      </c>
      <c r="Q277" s="111">
        <v>2025</v>
      </c>
      <c r="R277" s="111">
        <v>2026</v>
      </c>
      <c r="S277" s="111">
        <v>2027</v>
      </c>
      <c r="T277" s="111">
        <v>2028</v>
      </c>
    </row>
    <row r="278" spans="1:20">
      <c r="A278" s="2" t="s">
        <v>43</v>
      </c>
      <c r="B278" s="3">
        <f t="shared" ref="B278:T289" si="73">B294+B342</f>
        <v>0</v>
      </c>
      <c r="C278" s="3">
        <f t="shared" si="73"/>
        <v>0</v>
      </c>
      <c r="D278" s="3">
        <f t="shared" si="73"/>
        <v>0</v>
      </c>
      <c r="E278" s="3">
        <f t="shared" si="73"/>
        <v>0</v>
      </c>
      <c r="F278" s="3">
        <f t="shared" si="73"/>
        <v>1348024</v>
      </c>
      <c r="G278" s="3">
        <f t="shared" si="73"/>
        <v>2600076</v>
      </c>
      <c r="H278" s="3">
        <f t="shared" si="73"/>
        <v>1701906</v>
      </c>
      <c r="I278" s="3">
        <f t="shared" si="73"/>
        <v>2628468</v>
      </c>
      <c r="J278" s="3">
        <f t="shared" si="73"/>
        <v>2631674</v>
      </c>
      <c r="K278" s="3">
        <f t="shared" si="73"/>
        <v>2883364</v>
      </c>
      <c r="L278" s="3">
        <f t="shared" si="73"/>
        <v>3041038</v>
      </c>
      <c r="M278" s="3">
        <f t="shared" si="73"/>
        <v>2137183</v>
      </c>
      <c r="N278" s="3">
        <f t="shared" si="73"/>
        <v>6541629</v>
      </c>
      <c r="O278" s="3">
        <f t="shared" si="73"/>
        <v>7848707</v>
      </c>
      <c r="P278" s="3">
        <f t="shared" si="73"/>
        <v>6769201</v>
      </c>
      <c r="Q278" s="3">
        <f t="shared" si="73"/>
        <v>11607616</v>
      </c>
      <c r="R278" s="4">
        <f t="shared" si="73"/>
        <v>9981455.6609623842</v>
      </c>
      <c r="S278" s="4">
        <f t="shared" si="73"/>
        <v>11145037.106302014</v>
      </c>
      <c r="T278" s="4">
        <f t="shared" si="73"/>
        <v>12220100.230158944</v>
      </c>
    </row>
    <row r="279" spans="1:20">
      <c r="A279" s="2" t="s">
        <v>44</v>
      </c>
      <c r="B279" s="3">
        <f t="shared" si="73"/>
        <v>0</v>
      </c>
      <c r="C279" s="3">
        <f t="shared" si="73"/>
        <v>0</v>
      </c>
      <c r="D279" s="3">
        <f t="shared" si="73"/>
        <v>0</v>
      </c>
      <c r="E279" s="3">
        <f t="shared" si="73"/>
        <v>0</v>
      </c>
      <c r="F279" s="3">
        <f t="shared" si="73"/>
        <v>1334459</v>
      </c>
      <c r="G279" s="3">
        <f t="shared" si="73"/>
        <v>1941197</v>
      </c>
      <c r="H279" s="3">
        <f t="shared" si="73"/>
        <v>820540</v>
      </c>
      <c r="I279" s="3">
        <f t="shared" si="73"/>
        <v>2433477</v>
      </c>
      <c r="J279" s="3">
        <f t="shared" si="73"/>
        <v>2926949</v>
      </c>
      <c r="K279" s="3">
        <f t="shared" si="73"/>
        <v>3434243</v>
      </c>
      <c r="L279" s="3">
        <f t="shared" si="73"/>
        <v>3128466</v>
      </c>
      <c r="M279" s="3">
        <f t="shared" si="73"/>
        <v>2876277</v>
      </c>
      <c r="N279" s="3">
        <f t="shared" si="73"/>
        <v>5721423</v>
      </c>
      <c r="O279" s="3">
        <f t="shared" si="73"/>
        <v>6458707</v>
      </c>
      <c r="P279" s="3">
        <f t="shared" si="73"/>
        <v>4518551</v>
      </c>
      <c r="Q279" s="3">
        <f t="shared" si="73"/>
        <v>14037494</v>
      </c>
      <c r="R279" s="4">
        <f t="shared" si="73"/>
        <v>11441157.303768508</v>
      </c>
      <c r="S279" s="4">
        <f t="shared" si="73"/>
        <v>12445457.967153188</v>
      </c>
      <c r="T279" s="4">
        <f t="shared" si="73"/>
        <v>13184163.654180497</v>
      </c>
    </row>
    <row r="280" spans="1:20">
      <c r="A280" s="2" t="s">
        <v>45</v>
      </c>
      <c r="B280" s="3">
        <f t="shared" si="73"/>
        <v>0</v>
      </c>
      <c r="C280" s="3">
        <f t="shared" si="73"/>
        <v>0</v>
      </c>
      <c r="D280" s="3">
        <f t="shared" si="73"/>
        <v>0</v>
      </c>
      <c r="E280" s="3">
        <f t="shared" si="73"/>
        <v>0</v>
      </c>
      <c r="F280" s="3">
        <f t="shared" si="73"/>
        <v>1510527</v>
      </c>
      <c r="G280" s="3">
        <f t="shared" si="73"/>
        <v>1643529</v>
      </c>
      <c r="H280" s="3">
        <f t="shared" si="73"/>
        <v>1629612</v>
      </c>
      <c r="I280" s="3">
        <f t="shared" si="73"/>
        <v>1342914</v>
      </c>
      <c r="J280" s="3">
        <f t="shared" si="73"/>
        <v>3561886</v>
      </c>
      <c r="K280" s="3">
        <f t="shared" si="73"/>
        <v>2907176</v>
      </c>
      <c r="L280" s="3">
        <f t="shared" si="73"/>
        <v>3088898</v>
      </c>
      <c r="M280" s="3">
        <f t="shared" si="73"/>
        <v>2219118</v>
      </c>
      <c r="N280" s="3">
        <f t="shared" si="73"/>
        <v>6991543</v>
      </c>
      <c r="O280" s="3">
        <f t="shared" si="73"/>
        <v>6119260</v>
      </c>
      <c r="P280" s="3">
        <f>P296+P344</f>
        <v>4882742</v>
      </c>
      <c r="Q280" s="3">
        <f t="shared" si="73"/>
        <v>11071186.507736813</v>
      </c>
      <c r="R280" s="4">
        <f>R296+R344</f>
        <v>9654163.6077016238</v>
      </c>
      <c r="S280" s="4">
        <f>S296+S344</f>
        <v>10712748.797130773</v>
      </c>
      <c r="T280" s="4">
        <f>T296+T344</f>
        <v>11142388.898233594</v>
      </c>
    </row>
    <row r="281" spans="1:20">
      <c r="A281" s="2" t="s">
        <v>46</v>
      </c>
      <c r="B281" s="3">
        <f t="shared" si="73"/>
        <v>0</v>
      </c>
      <c r="C281" s="3">
        <f t="shared" si="73"/>
        <v>0</v>
      </c>
      <c r="D281" s="3">
        <f t="shared" si="73"/>
        <v>0</v>
      </c>
      <c r="E281" s="3">
        <f t="shared" si="73"/>
        <v>0</v>
      </c>
      <c r="F281" s="3">
        <f t="shared" si="73"/>
        <v>1329732</v>
      </c>
      <c r="G281" s="3">
        <f t="shared" si="73"/>
        <v>1821514</v>
      </c>
      <c r="H281" s="3">
        <f t="shared" si="73"/>
        <v>1660227</v>
      </c>
      <c r="I281" s="3">
        <f t="shared" si="73"/>
        <v>4536474</v>
      </c>
      <c r="J281" s="3">
        <f t="shared" si="73"/>
        <v>2687925</v>
      </c>
      <c r="K281" s="3">
        <f t="shared" si="73"/>
        <v>2839046</v>
      </c>
      <c r="L281" s="3">
        <f t="shared" si="73"/>
        <v>2723770</v>
      </c>
      <c r="M281" s="3">
        <f t="shared" si="73"/>
        <v>1706666</v>
      </c>
      <c r="N281" s="3">
        <f t="shared" si="73"/>
        <v>6838204</v>
      </c>
      <c r="O281" s="3">
        <f t="shared" si="73"/>
        <v>7775127</v>
      </c>
      <c r="P281" s="3">
        <f t="shared" si="73"/>
        <v>6225587</v>
      </c>
      <c r="Q281" s="4">
        <f t="shared" si="73"/>
        <v>10413102.590403738</v>
      </c>
      <c r="R281" s="4">
        <f t="shared" si="73"/>
        <v>9977703.9550602995</v>
      </c>
      <c r="S281" s="4">
        <f t="shared" si="73"/>
        <v>11147848.972621139</v>
      </c>
      <c r="T281" s="4">
        <f t="shared" si="73"/>
        <v>11954282.845572989</v>
      </c>
    </row>
    <row r="282" spans="1:20">
      <c r="A282" s="2" t="s">
        <v>47</v>
      </c>
      <c r="B282" s="3">
        <f t="shared" si="73"/>
        <v>0</v>
      </c>
      <c r="C282" s="3">
        <f t="shared" si="73"/>
        <v>0</v>
      </c>
      <c r="D282" s="3">
        <f t="shared" si="73"/>
        <v>0</v>
      </c>
      <c r="E282" s="3">
        <f t="shared" si="73"/>
        <v>0</v>
      </c>
      <c r="F282" s="3">
        <f t="shared" si="73"/>
        <v>1406030</v>
      </c>
      <c r="G282" s="3">
        <f t="shared" si="73"/>
        <v>2214592</v>
      </c>
      <c r="H282" s="3">
        <f t="shared" si="73"/>
        <v>2357722</v>
      </c>
      <c r="I282" s="3">
        <f t="shared" si="73"/>
        <v>1991775</v>
      </c>
      <c r="J282" s="3">
        <f t="shared" si="73"/>
        <v>2818415</v>
      </c>
      <c r="K282" s="3">
        <f t="shared" si="73"/>
        <v>3896939</v>
      </c>
      <c r="L282" s="3">
        <f t="shared" si="73"/>
        <v>2851380</v>
      </c>
      <c r="M282" s="3">
        <f t="shared" si="73"/>
        <v>2164548</v>
      </c>
      <c r="N282" s="3">
        <f t="shared" si="73"/>
        <v>5541195</v>
      </c>
      <c r="O282" s="3">
        <f t="shared" si="73"/>
        <v>5891049</v>
      </c>
      <c r="P282" s="3">
        <f t="shared" si="73"/>
        <v>4281855</v>
      </c>
      <c r="Q282" s="4">
        <f t="shared" si="73"/>
        <v>6987308.7321379799</v>
      </c>
      <c r="R282" s="4">
        <f t="shared" si="73"/>
        <v>6595781.1602981295</v>
      </c>
      <c r="S282" s="4">
        <f t="shared" si="73"/>
        <v>7285357.2654316016</v>
      </c>
      <c r="T282" s="4">
        <f t="shared" si="73"/>
        <v>7719435.2848355742</v>
      </c>
    </row>
    <row r="283" spans="1:20">
      <c r="A283" s="2" t="s">
        <v>48</v>
      </c>
      <c r="B283" s="3">
        <f t="shared" si="73"/>
        <v>0</v>
      </c>
      <c r="C283" s="3">
        <f t="shared" si="73"/>
        <v>0</v>
      </c>
      <c r="D283" s="3">
        <f t="shared" si="73"/>
        <v>0</v>
      </c>
      <c r="E283" s="3">
        <f t="shared" si="73"/>
        <v>0</v>
      </c>
      <c r="F283" s="3">
        <f t="shared" si="73"/>
        <v>1393164</v>
      </c>
      <c r="G283" s="3">
        <f t="shared" si="73"/>
        <v>1680246</v>
      </c>
      <c r="H283" s="3">
        <f t="shared" si="73"/>
        <v>2322379</v>
      </c>
      <c r="I283" s="3">
        <f t="shared" si="73"/>
        <v>2078297</v>
      </c>
      <c r="J283" s="3">
        <f t="shared" si="73"/>
        <v>415782</v>
      </c>
      <c r="K283" s="3">
        <f t="shared" si="73"/>
        <v>2613944</v>
      </c>
      <c r="L283" s="3">
        <f t="shared" si="73"/>
        <v>2416146</v>
      </c>
      <c r="M283" s="3">
        <f t="shared" si="73"/>
        <v>1815027</v>
      </c>
      <c r="N283" s="3">
        <f t="shared" si="73"/>
        <v>6575819</v>
      </c>
      <c r="O283" s="3">
        <f t="shared" si="73"/>
        <v>3305601</v>
      </c>
      <c r="P283" s="3">
        <f t="shared" si="73"/>
        <v>5984024</v>
      </c>
      <c r="Q283" s="4">
        <f t="shared" si="73"/>
        <v>8375032.4518236713</v>
      </c>
      <c r="R283" s="4">
        <f t="shared" si="73"/>
        <v>8603900.044224754</v>
      </c>
      <c r="S283" s="4">
        <f t="shared" si="73"/>
        <v>9389117.1652309317</v>
      </c>
      <c r="T283" s="4">
        <f t="shared" si="73"/>
        <v>9527563.1862910986</v>
      </c>
    </row>
    <row r="284" spans="1:20">
      <c r="A284" s="2" t="s">
        <v>49</v>
      </c>
      <c r="B284" s="3">
        <f t="shared" si="73"/>
        <v>0</v>
      </c>
      <c r="C284" s="3">
        <f t="shared" si="73"/>
        <v>0</v>
      </c>
      <c r="D284" s="3">
        <f t="shared" si="73"/>
        <v>0</v>
      </c>
      <c r="E284" s="3">
        <f t="shared" si="73"/>
        <v>0</v>
      </c>
      <c r="F284" s="3">
        <f t="shared" si="73"/>
        <v>1597460</v>
      </c>
      <c r="G284" s="3">
        <f t="shared" si="73"/>
        <v>2295854</v>
      </c>
      <c r="H284" s="3">
        <f t="shared" si="73"/>
        <v>2121349</v>
      </c>
      <c r="I284" s="3">
        <f t="shared" si="73"/>
        <v>2171983</v>
      </c>
      <c r="J284" s="3">
        <f t="shared" si="73"/>
        <v>55991</v>
      </c>
      <c r="K284" s="3">
        <f t="shared" si="73"/>
        <v>2858434</v>
      </c>
      <c r="L284" s="3">
        <f t="shared" si="73"/>
        <v>3300718</v>
      </c>
      <c r="M284" s="3">
        <f t="shared" si="73"/>
        <v>1888805</v>
      </c>
      <c r="N284" s="3">
        <f t="shared" si="73"/>
        <v>7257853</v>
      </c>
      <c r="O284" s="3">
        <f t="shared" si="73"/>
        <v>5144695</v>
      </c>
      <c r="P284" s="3">
        <f t="shared" si="73"/>
        <v>6252446</v>
      </c>
      <c r="Q284" s="4">
        <f t="shared" si="73"/>
        <v>11192524.226079779</v>
      </c>
      <c r="R284" s="4">
        <f t="shared" si="73"/>
        <v>11148412.807410911</v>
      </c>
      <c r="S284" s="4">
        <f t="shared" si="73"/>
        <v>12330420.63868711</v>
      </c>
      <c r="T284" s="4">
        <f t="shared" si="73"/>
        <v>12260595.878803484</v>
      </c>
    </row>
    <row r="285" spans="1:20">
      <c r="A285" s="2" t="s">
        <v>50</v>
      </c>
      <c r="B285" s="3">
        <f t="shared" si="73"/>
        <v>0</v>
      </c>
      <c r="C285" s="3">
        <f t="shared" si="73"/>
        <v>0</v>
      </c>
      <c r="D285" s="3">
        <f t="shared" si="73"/>
        <v>0</v>
      </c>
      <c r="E285" s="3">
        <f t="shared" si="73"/>
        <v>191847</v>
      </c>
      <c r="F285" s="3">
        <f t="shared" si="73"/>
        <v>175407</v>
      </c>
      <c r="G285" s="3">
        <f t="shared" si="73"/>
        <v>2278425</v>
      </c>
      <c r="H285" s="3">
        <f t="shared" si="73"/>
        <v>2722427</v>
      </c>
      <c r="I285" s="3">
        <f t="shared" si="73"/>
        <v>2683041</v>
      </c>
      <c r="J285" s="3">
        <f t="shared" si="73"/>
        <v>2672075</v>
      </c>
      <c r="K285" s="3">
        <f t="shared" si="73"/>
        <v>1232476</v>
      </c>
      <c r="L285" s="3">
        <f t="shared" si="73"/>
        <v>3052310</v>
      </c>
      <c r="M285" s="3">
        <f t="shared" si="73"/>
        <v>1965271</v>
      </c>
      <c r="N285" s="3">
        <f t="shared" si="73"/>
        <v>11102300</v>
      </c>
      <c r="O285" s="3">
        <f t="shared" si="73"/>
        <v>4934004</v>
      </c>
      <c r="P285" s="3">
        <f t="shared" si="73"/>
        <v>7469573</v>
      </c>
      <c r="Q285" s="4">
        <f t="shared" si="73"/>
        <v>9398649.3199216891</v>
      </c>
      <c r="R285" s="4">
        <f t="shared" si="73"/>
        <v>9291331.7844991572</v>
      </c>
      <c r="S285" s="4">
        <f t="shared" si="73"/>
        <v>10329039.110707214</v>
      </c>
      <c r="T285" s="4">
        <f t="shared" si="73"/>
        <v>10823197.475570111</v>
      </c>
    </row>
    <row r="286" spans="1:20">
      <c r="A286" s="2" t="s">
        <v>51</v>
      </c>
      <c r="B286" s="3">
        <f t="shared" si="73"/>
        <v>0</v>
      </c>
      <c r="C286" s="3">
        <f t="shared" si="73"/>
        <v>0</v>
      </c>
      <c r="D286" s="3">
        <f t="shared" si="73"/>
        <v>0</v>
      </c>
      <c r="E286" s="3">
        <f t="shared" si="73"/>
        <v>755816</v>
      </c>
      <c r="F286" s="3">
        <f t="shared" si="73"/>
        <v>1051551</v>
      </c>
      <c r="G286" s="3">
        <f t="shared" si="73"/>
        <v>2081355</v>
      </c>
      <c r="H286" s="3">
        <f t="shared" si="73"/>
        <v>2395337</v>
      </c>
      <c r="I286" s="3">
        <f t="shared" si="73"/>
        <v>2796849</v>
      </c>
      <c r="J286" s="3">
        <f t="shared" si="73"/>
        <v>4211843</v>
      </c>
      <c r="K286" s="3">
        <f t="shared" si="73"/>
        <v>3191053</v>
      </c>
      <c r="L286" s="3">
        <f t="shared" si="73"/>
        <v>3437456</v>
      </c>
      <c r="M286" s="3">
        <f t="shared" si="73"/>
        <v>1478390</v>
      </c>
      <c r="N286" s="3">
        <f t="shared" si="73"/>
        <v>7670253</v>
      </c>
      <c r="O286" s="3">
        <f t="shared" si="73"/>
        <v>9034711</v>
      </c>
      <c r="P286" s="3">
        <f t="shared" si="73"/>
        <v>12889169</v>
      </c>
      <c r="Q286" s="4">
        <f t="shared" si="73"/>
        <v>13942687.91330706</v>
      </c>
      <c r="R286" s="4">
        <f t="shared" si="73"/>
        <v>17131385.113315936</v>
      </c>
      <c r="S286" s="4">
        <f t="shared" si="73"/>
        <v>18651747.616198462</v>
      </c>
      <c r="T286" s="4">
        <f t="shared" si="73"/>
        <v>19553100.267399758</v>
      </c>
    </row>
    <row r="287" spans="1:20">
      <c r="A287" s="2" t="s">
        <v>52</v>
      </c>
      <c r="B287" s="3">
        <f t="shared" si="73"/>
        <v>0</v>
      </c>
      <c r="C287" s="3">
        <f t="shared" si="73"/>
        <v>0</v>
      </c>
      <c r="D287" s="3">
        <f t="shared" si="73"/>
        <v>0</v>
      </c>
      <c r="E287" s="3">
        <f t="shared" si="73"/>
        <v>677388</v>
      </c>
      <c r="F287" s="3">
        <f t="shared" si="73"/>
        <v>2384292</v>
      </c>
      <c r="G287" s="3">
        <f t="shared" si="73"/>
        <v>1927553</v>
      </c>
      <c r="H287" s="3">
        <f t="shared" si="73"/>
        <v>2472174</v>
      </c>
      <c r="I287" s="3">
        <f t="shared" si="73"/>
        <v>2685665</v>
      </c>
      <c r="J287" s="3">
        <f t="shared" si="73"/>
        <v>3339313</v>
      </c>
      <c r="K287" s="3">
        <f t="shared" si="73"/>
        <v>2996901</v>
      </c>
      <c r="L287" s="3">
        <f t="shared" si="73"/>
        <v>1027067</v>
      </c>
      <c r="M287" s="3">
        <f t="shared" si="73"/>
        <v>3384929</v>
      </c>
      <c r="N287" s="3">
        <f t="shared" si="73"/>
        <v>8958344</v>
      </c>
      <c r="O287" s="3">
        <f t="shared" si="73"/>
        <v>5743901</v>
      </c>
      <c r="P287" s="3">
        <f t="shared" si="73"/>
        <v>10402768</v>
      </c>
      <c r="Q287" s="4">
        <f t="shared" si="73"/>
        <v>13279210.469964474</v>
      </c>
      <c r="R287" s="4">
        <f t="shared" si="73"/>
        <v>15133700.699765544</v>
      </c>
      <c r="S287" s="4">
        <f t="shared" si="73"/>
        <v>16343997.729983572</v>
      </c>
      <c r="T287" s="4">
        <f t="shared" si="73"/>
        <v>16658730.233674545</v>
      </c>
    </row>
    <row r="288" spans="1:20">
      <c r="A288" s="2" t="s">
        <v>53</v>
      </c>
      <c r="B288" s="3">
        <f t="shared" si="73"/>
        <v>0</v>
      </c>
      <c r="C288" s="3">
        <f t="shared" si="73"/>
        <v>0</v>
      </c>
      <c r="D288" s="3">
        <f t="shared" si="73"/>
        <v>0</v>
      </c>
      <c r="E288" s="3">
        <f t="shared" si="73"/>
        <v>693552</v>
      </c>
      <c r="F288" s="3">
        <f t="shared" si="73"/>
        <v>2012858</v>
      </c>
      <c r="G288" s="3">
        <f t="shared" si="73"/>
        <v>1766761</v>
      </c>
      <c r="H288" s="3">
        <f t="shared" si="73"/>
        <v>2732598</v>
      </c>
      <c r="I288" s="3">
        <f t="shared" si="73"/>
        <v>2746109</v>
      </c>
      <c r="J288" s="3">
        <f t="shared" si="73"/>
        <v>3122007</v>
      </c>
      <c r="K288" s="3">
        <f t="shared" si="73"/>
        <v>3335651</v>
      </c>
      <c r="L288" s="3">
        <f t="shared" si="73"/>
        <v>2447869</v>
      </c>
      <c r="M288" s="3">
        <f t="shared" si="73"/>
        <v>4857930</v>
      </c>
      <c r="N288" s="3">
        <f t="shared" si="73"/>
        <v>10874219</v>
      </c>
      <c r="O288" s="3">
        <f t="shared" si="73"/>
        <v>8066227</v>
      </c>
      <c r="P288" s="3">
        <f t="shared" si="73"/>
        <v>13072234</v>
      </c>
      <c r="Q288" s="4">
        <f t="shared" si="73"/>
        <v>16936155.300292991</v>
      </c>
      <c r="R288" s="4">
        <f t="shared" si="73"/>
        <v>17220683.107089717</v>
      </c>
      <c r="S288" s="4">
        <f t="shared" si="73"/>
        <v>18480234.351482347</v>
      </c>
      <c r="T288" s="4">
        <f t="shared" si="73"/>
        <v>19574913.94727179</v>
      </c>
    </row>
    <row r="289" spans="1:20">
      <c r="A289" s="2" t="s">
        <v>54</v>
      </c>
      <c r="B289" s="3">
        <f t="shared" si="73"/>
        <v>0</v>
      </c>
      <c r="C289" s="3">
        <f t="shared" si="73"/>
        <v>0</v>
      </c>
      <c r="D289" s="3">
        <f t="shared" si="73"/>
        <v>0</v>
      </c>
      <c r="E289" s="3">
        <f t="shared" si="73"/>
        <v>1148134</v>
      </c>
      <c r="F289" s="3">
        <f t="shared" si="73"/>
        <v>2597379</v>
      </c>
      <c r="G289" s="3">
        <f t="shared" si="73"/>
        <v>1737263</v>
      </c>
      <c r="H289" s="3">
        <f t="shared" si="73"/>
        <v>4230518</v>
      </c>
      <c r="I289" s="3">
        <f t="shared" si="73"/>
        <v>3434019</v>
      </c>
      <c r="J289" s="3">
        <f t="shared" si="73"/>
        <v>3658074</v>
      </c>
      <c r="K289" s="3">
        <f t="shared" si="73"/>
        <v>4370192</v>
      </c>
      <c r="L289" s="3">
        <f t="shared" si="73"/>
        <v>2377913</v>
      </c>
      <c r="M289" s="3">
        <f t="shared" si="73"/>
        <v>6766106</v>
      </c>
      <c r="N289" s="3">
        <f t="shared" si="73"/>
        <v>11048399</v>
      </c>
      <c r="O289" s="3">
        <f t="shared" si="73"/>
        <v>77440555</v>
      </c>
      <c r="P289" s="3">
        <f t="shared" si="73"/>
        <v>67689600</v>
      </c>
      <c r="Q289" s="4">
        <f>Q305+Q353</f>
        <v>57627578.381987117</v>
      </c>
      <c r="R289" s="4">
        <f>R305+R353</f>
        <v>61617719.422308579</v>
      </c>
      <c r="S289" s="4">
        <f>S305+S353</f>
        <v>70864108.06485495</v>
      </c>
      <c r="T289" s="4">
        <f>T305+T353</f>
        <v>76108128.567180395</v>
      </c>
    </row>
    <row r="290" spans="1:20" ht="13.5" thickBot="1">
      <c r="A290" s="2" t="s">
        <v>29</v>
      </c>
      <c r="B290" s="3">
        <f t="shared" ref="B290:T290" si="74">SUM(B278:B289)</f>
        <v>0</v>
      </c>
      <c r="C290" s="3">
        <f t="shared" si="74"/>
        <v>0</v>
      </c>
      <c r="D290" s="3">
        <f t="shared" si="74"/>
        <v>0</v>
      </c>
      <c r="E290" s="3">
        <f t="shared" si="74"/>
        <v>3466737</v>
      </c>
      <c r="F290" s="3">
        <f t="shared" si="74"/>
        <v>18140883</v>
      </c>
      <c r="G290" s="3">
        <f t="shared" si="74"/>
        <v>23988365</v>
      </c>
      <c r="H290" s="3">
        <f t="shared" si="74"/>
        <v>27166789</v>
      </c>
      <c r="I290" s="3">
        <f t="shared" si="74"/>
        <v>31529071</v>
      </c>
      <c r="J290" s="3">
        <f t="shared" si="74"/>
        <v>32101934</v>
      </c>
      <c r="K290" s="3">
        <f t="shared" si="74"/>
        <v>36559419</v>
      </c>
      <c r="L290" s="3">
        <f t="shared" si="74"/>
        <v>32893031</v>
      </c>
      <c r="M290" s="3">
        <f t="shared" si="74"/>
        <v>33260250</v>
      </c>
      <c r="N290" s="3">
        <f t="shared" si="74"/>
        <v>95121181</v>
      </c>
      <c r="O290" s="3">
        <f t="shared" si="74"/>
        <v>147762544</v>
      </c>
      <c r="P290" s="3">
        <f t="shared" si="74"/>
        <v>150437750</v>
      </c>
      <c r="Q290" s="4">
        <f t="shared" si="74"/>
        <v>184868545.89365533</v>
      </c>
      <c r="R290" s="4">
        <f t="shared" si="74"/>
        <v>187797394.66640556</v>
      </c>
      <c r="S290" s="4">
        <f t="shared" si="74"/>
        <v>209125114.78578326</v>
      </c>
      <c r="T290" s="4">
        <f t="shared" si="74"/>
        <v>220726600.46917278</v>
      </c>
    </row>
    <row r="291" spans="1:20">
      <c r="A291" s="114"/>
      <c r="B291" s="114"/>
      <c r="C291" s="114"/>
      <c r="D291" s="114"/>
      <c r="E291" s="114"/>
      <c r="F291" s="114"/>
      <c r="G291" s="114"/>
      <c r="H291" s="114"/>
      <c r="I291" s="114"/>
      <c r="J291" s="114"/>
      <c r="K291" s="114"/>
      <c r="L291" s="114"/>
      <c r="M291" s="114"/>
      <c r="N291" s="114"/>
      <c r="O291" s="114"/>
      <c r="P291" s="114"/>
      <c r="Q291" s="114"/>
      <c r="R291" s="114"/>
      <c r="S291" s="114"/>
      <c r="T291" s="114"/>
    </row>
    <row r="292" spans="1:20" ht="16.5" thickBot="1">
      <c r="A292" s="109" t="s">
        <v>469</v>
      </c>
    </row>
    <row r="293" spans="1:20" ht="13.5" thickBot="1">
      <c r="A293" s="110"/>
      <c r="B293" s="111">
        <v>2010</v>
      </c>
      <c r="C293" s="111">
        <v>2011</v>
      </c>
      <c r="D293" s="111">
        <v>2012</v>
      </c>
      <c r="E293" s="111">
        <v>2013</v>
      </c>
      <c r="F293" s="111">
        <v>2014</v>
      </c>
      <c r="G293" s="111">
        <v>2015</v>
      </c>
      <c r="H293" s="111">
        <v>2016</v>
      </c>
      <c r="I293" s="111">
        <v>2017</v>
      </c>
      <c r="J293" s="111">
        <v>2018</v>
      </c>
      <c r="K293" s="111">
        <v>2019</v>
      </c>
      <c r="L293" s="111">
        <v>2020</v>
      </c>
      <c r="M293" s="111">
        <v>2021</v>
      </c>
      <c r="N293" s="111">
        <v>2022</v>
      </c>
      <c r="O293" s="111">
        <v>2023</v>
      </c>
      <c r="P293" s="111">
        <v>2024</v>
      </c>
      <c r="Q293" s="111">
        <v>2025</v>
      </c>
      <c r="R293" s="111">
        <v>2026</v>
      </c>
      <c r="S293" s="111">
        <v>2027</v>
      </c>
      <c r="T293" s="111">
        <v>2028</v>
      </c>
    </row>
    <row r="294" spans="1:20">
      <c r="A294" s="2" t="s">
        <v>43</v>
      </c>
      <c r="B294" s="3">
        <f>B310+B326</f>
        <v>0</v>
      </c>
      <c r="C294" s="3">
        <f t="shared" ref="C294:N305" si="75">C310+C326</f>
        <v>0</v>
      </c>
      <c r="D294" s="3">
        <f t="shared" si="75"/>
        <v>0</v>
      </c>
      <c r="E294" s="3">
        <f t="shared" si="75"/>
        <v>0</v>
      </c>
      <c r="F294" s="3">
        <f t="shared" si="75"/>
        <v>1348024</v>
      </c>
      <c r="G294" s="3">
        <f t="shared" si="75"/>
        <v>2600076</v>
      </c>
      <c r="H294" s="3">
        <f t="shared" si="75"/>
        <v>1701906</v>
      </c>
      <c r="I294" s="3">
        <f t="shared" si="75"/>
        <v>2628468</v>
      </c>
      <c r="J294" s="3">
        <f t="shared" si="75"/>
        <v>2631674</v>
      </c>
      <c r="K294" s="3">
        <f t="shared" si="75"/>
        <v>2883364</v>
      </c>
      <c r="L294" s="3">
        <f t="shared" si="75"/>
        <v>3041038</v>
      </c>
      <c r="M294" s="3">
        <f t="shared" si="75"/>
        <v>2137183</v>
      </c>
      <c r="N294" s="3">
        <f t="shared" si="75"/>
        <v>6541629</v>
      </c>
      <c r="O294" s="3">
        <f t="shared" ref="O294:T305" si="76">O310+O327</f>
        <v>7848707</v>
      </c>
      <c r="P294" s="3">
        <f t="shared" si="76"/>
        <v>6769201</v>
      </c>
      <c r="Q294" s="3">
        <f t="shared" si="76"/>
        <v>11607616</v>
      </c>
      <c r="R294" s="4">
        <f t="shared" si="76"/>
        <v>9981455.6609623842</v>
      </c>
      <c r="S294" s="4">
        <f t="shared" si="76"/>
        <v>11145037.106302014</v>
      </c>
      <c r="T294" s="4">
        <f t="shared" si="76"/>
        <v>12220100.230158944</v>
      </c>
    </row>
    <row r="295" spans="1:20">
      <c r="A295" s="2" t="s">
        <v>44</v>
      </c>
      <c r="B295" s="3">
        <f t="shared" ref="B295:M305" si="77">B311+B327</f>
        <v>0</v>
      </c>
      <c r="C295" s="3">
        <f t="shared" si="77"/>
        <v>0</v>
      </c>
      <c r="D295" s="3">
        <f t="shared" si="77"/>
        <v>0</v>
      </c>
      <c r="E295" s="3">
        <f t="shared" si="77"/>
        <v>0</v>
      </c>
      <c r="F295" s="3">
        <f t="shared" si="77"/>
        <v>1334459</v>
      </c>
      <c r="G295" s="3">
        <f t="shared" si="77"/>
        <v>1941197</v>
      </c>
      <c r="H295" s="3">
        <f t="shared" si="77"/>
        <v>820540</v>
      </c>
      <c r="I295" s="3">
        <f t="shared" si="77"/>
        <v>2433477</v>
      </c>
      <c r="J295" s="3">
        <f t="shared" si="77"/>
        <v>2926949</v>
      </c>
      <c r="K295" s="3">
        <f t="shared" si="77"/>
        <v>3434243</v>
      </c>
      <c r="L295" s="3">
        <f t="shared" si="77"/>
        <v>3128466</v>
      </c>
      <c r="M295" s="3">
        <f t="shared" si="77"/>
        <v>2876277</v>
      </c>
      <c r="N295" s="3">
        <f t="shared" si="75"/>
        <v>5721423</v>
      </c>
      <c r="O295" s="3">
        <f t="shared" si="76"/>
        <v>6458707</v>
      </c>
      <c r="P295" s="3">
        <f t="shared" si="76"/>
        <v>4518551</v>
      </c>
      <c r="Q295" s="3">
        <f t="shared" si="76"/>
        <v>14037494</v>
      </c>
      <c r="R295" s="4">
        <f t="shared" si="76"/>
        <v>11441157.303768508</v>
      </c>
      <c r="S295" s="4">
        <f t="shared" si="76"/>
        <v>12445457.967153188</v>
      </c>
      <c r="T295" s="4">
        <f t="shared" si="76"/>
        <v>13184163.654180497</v>
      </c>
    </row>
    <row r="296" spans="1:20">
      <c r="A296" s="2" t="s">
        <v>45</v>
      </c>
      <c r="B296" s="3">
        <f t="shared" si="77"/>
        <v>0</v>
      </c>
      <c r="C296" s="3">
        <f t="shared" si="77"/>
        <v>0</v>
      </c>
      <c r="D296" s="3">
        <f t="shared" si="77"/>
        <v>0</v>
      </c>
      <c r="E296" s="3">
        <f t="shared" si="77"/>
        <v>0</v>
      </c>
      <c r="F296" s="3">
        <f t="shared" si="77"/>
        <v>1510527</v>
      </c>
      <c r="G296" s="3">
        <f t="shared" si="77"/>
        <v>1643529</v>
      </c>
      <c r="H296" s="3">
        <f t="shared" si="77"/>
        <v>1629612</v>
      </c>
      <c r="I296" s="3">
        <f t="shared" si="77"/>
        <v>1342914</v>
      </c>
      <c r="J296" s="3">
        <f t="shared" si="77"/>
        <v>3561886</v>
      </c>
      <c r="K296" s="3">
        <f t="shared" si="77"/>
        <v>2907176</v>
      </c>
      <c r="L296" s="3">
        <f t="shared" si="77"/>
        <v>3088898</v>
      </c>
      <c r="M296" s="3">
        <f t="shared" si="77"/>
        <v>2219118</v>
      </c>
      <c r="N296" s="3">
        <f t="shared" si="75"/>
        <v>6991543</v>
      </c>
      <c r="O296" s="3">
        <f t="shared" si="76"/>
        <v>6119260</v>
      </c>
      <c r="P296" s="3">
        <f t="shared" si="76"/>
        <v>4882742</v>
      </c>
      <c r="Q296" s="3">
        <f t="shared" si="76"/>
        <v>11071186.507736813</v>
      </c>
      <c r="R296" s="4">
        <f t="shared" si="76"/>
        <v>9654163.6077016238</v>
      </c>
      <c r="S296" s="4">
        <f t="shared" si="76"/>
        <v>10712748.797130773</v>
      </c>
      <c r="T296" s="4">
        <f t="shared" si="76"/>
        <v>11142388.898233594</v>
      </c>
    </row>
    <row r="297" spans="1:20">
      <c r="A297" s="2" t="s">
        <v>46</v>
      </c>
      <c r="B297" s="3">
        <f t="shared" si="77"/>
        <v>0</v>
      </c>
      <c r="C297" s="3">
        <f t="shared" si="77"/>
        <v>0</v>
      </c>
      <c r="D297" s="3">
        <f t="shared" si="77"/>
        <v>0</v>
      </c>
      <c r="E297" s="3">
        <f t="shared" si="77"/>
        <v>0</v>
      </c>
      <c r="F297" s="3">
        <f t="shared" si="77"/>
        <v>1329732</v>
      </c>
      <c r="G297" s="3">
        <f t="shared" si="77"/>
        <v>1821514</v>
      </c>
      <c r="H297" s="3">
        <f t="shared" si="77"/>
        <v>1660227</v>
      </c>
      <c r="I297" s="3">
        <f t="shared" si="77"/>
        <v>4536474</v>
      </c>
      <c r="J297" s="3">
        <f t="shared" si="77"/>
        <v>2687925</v>
      </c>
      <c r="K297" s="3">
        <f t="shared" si="77"/>
        <v>2839046</v>
      </c>
      <c r="L297" s="3">
        <f t="shared" si="77"/>
        <v>2723770</v>
      </c>
      <c r="M297" s="3">
        <f t="shared" si="77"/>
        <v>1706666</v>
      </c>
      <c r="N297" s="3">
        <f t="shared" si="75"/>
        <v>6838204</v>
      </c>
      <c r="O297" s="3">
        <f t="shared" si="76"/>
        <v>7775127</v>
      </c>
      <c r="P297" s="3">
        <f t="shared" si="76"/>
        <v>6225587</v>
      </c>
      <c r="Q297" s="4">
        <f t="shared" si="76"/>
        <v>10413102.590403738</v>
      </c>
      <c r="R297" s="4">
        <f t="shared" si="76"/>
        <v>9977703.9550602995</v>
      </c>
      <c r="S297" s="4">
        <f t="shared" si="76"/>
        <v>11147848.972621139</v>
      </c>
      <c r="T297" s="4">
        <f t="shared" si="76"/>
        <v>11954282.845572989</v>
      </c>
    </row>
    <row r="298" spans="1:20">
      <c r="A298" s="2" t="s">
        <v>47</v>
      </c>
      <c r="B298" s="3">
        <f t="shared" si="77"/>
        <v>0</v>
      </c>
      <c r="C298" s="3">
        <f t="shared" si="77"/>
        <v>0</v>
      </c>
      <c r="D298" s="3">
        <f t="shared" si="77"/>
        <v>0</v>
      </c>
      <c r="E298" s="3">
        <f t="shared" si="77"/>
        <v>0</v>
      </c>
      <c r="F298" s="3">
        <f t="shared" si="77"/>
        <v>1406030</v>
      </c>
      <c r="G298" s="3">
        <f t="shared" si="77"/>
        <v>2214592</v>
      </c>
      <c r="H298" s="3">
        <f t="shared" si="77"/>
        <v>2357722</v>
      </c>
      <c r="I298" s="3">
        <f t="shared" si="77"/>
        <v>1991775</v>
      </c>
      <c r="J298" s="3">
        <f t="shared" si="77"/>
        <v>2818415</v>
      </c>
      <c r="K298" s="3">
        <f t="shared" si="77"/>
        <v>3896939</v>
      </c>
      <c r="L298" s="3">
        <f t="shared" si="77"/>
        <v>2851380</v>
      </c>
      <c r="M298" s="3">
        <f t="shared" si="77"/>
        <v>2164548</v>
      </c>
      <c r="N298" s="3">
        <f t="shared" si="75"/>
        <v>5541195</v>
      </c>
      <c r="O298" s="3">
        <f t="shared" si="76"/>
        <v>5891049</v>
      </c>
      <c r="P298" s="3">
        <f t="shared" si="76"/>
        <v>4281855</v>
      </c>
      <c r="Q298" s="4">
        <f t="shared" si="76"/>
        <v>6987308.7321379799</v>
      </c>
      <c r="R298" s="4">
        <f t="shared" si="76"/>
        <v>6595781.1602981295</v>
      </c>
      <c r="S298" s="4">
        <f t="shared" si="76"/>
        <v>7285357.2654316016</v>
      </c>
      <c r="T298" s="4">
        <f t="shared" si="76"/>
        <v>7719435.2848355742</v>
      </c>
    </row>
    <row r="299" spans="1:20">
      <c r="A299" s="2" t="s">
        <v>48</v>
      </c>
      <c r="B299" s="3">
        <f t="shared" si="77"/>
        <v>0</v>
      </c>
      <c r="C299" s="3">
        <f t="shared" si="77"/>
        <v>0</v>
      </c>
      <c r="D299" s="3">
        <f t="shared" si="77"/>
        <v>0</v>
      </c>
      <c r="E299" s="3">
        <f t="shared" si="77"/>
        <v>0</v>
      </c>
      <c r="F299" s="3">
        <f t="shared" si="77"/>
        <v>1393164</v>
      </c>
      <c r="G299" s="3">
        <f t="shared" si="77"/>
        <v>1680246</v>
      </c>
      <c r="H299" s="3">
        <f t="shared" si="77"/>
        <v>2322379</v>
      </c>
      <c r="I299" s="3">
        <f t="shared" si="77"/>
        <v>2078297</v>
      </c>
      <c r="J299" s="3">
        <f t="shared" si="77"/>
        <v>415782</v>
      </c>
      <c r="K299" s="3">
        <f t="shared" si="77"/>
        <v>2613944</v>
      </c>
      <c r="L299" s="3">
        <f t="shared" si="77"/>
        <v>2416146</v>
      </c>
      <c r="M299" s="3">
        <f t="shared" si="77"/>
        <v>1815027</v>
      </c>
      <c r="N299" s="3">
        <f t="shared" si="75"/>
        <v>6575819</v>
      </c>
      <c r="O299" s="3">
        <f t="shared" si="76"/>
        <v>3305601</v>
      </c>
      <c r="P299" s="3">
        <f t="shared" si="76"/>
        <v>5984024</v>
      </c>
      <c r="Q299" s="4">
        <f t="shared" si="76"/>
        <v>8375032.4518236713</v>
      </c>
      <c r="R299" s="4">
        <f t="shared" si="76"/>
        <v>8603900.044224754</v>
      </c>
      <c r="S299" s="4">
        <f t="shared" si="76"/>
        <v>9389117.1652309317</v>
      </c>
      <c r="T299" s="4">
        <f t="shared" si="76"/>
        <v>9527563.1862910986</v>
      </c>
    </row>
    <row r="300" spans="1:20">
      <c r="A300" s="2" t="s">
        <v>49</v>
      </c>
      <c r="B300" s="3">
        <f t="shared" si="77"/>
        <v>0</v>
      </c>
      <c r="C300" s="3">
        <f t="shared" si="77"/>
        <v>0</v>
      </c>
      <c r="D300" s="3">
        <f t="shared" si="77"/>
        <v>0</v>
      </c>
      <c r="E300" s="3">
        <f t="shared" si="77"/>
        <v>0</v>
      </c>
      <c r="F300" s="3">
        <f t="shared" si="77"/>
        <v>1597460</v>
      </c>
      <c r="G300" s="3">
        <f t="shared" si="77"/>
        <v>2295854</v>
      </c>
      <c r="H300" s="3">
        <f t="shared" si="77"/>
        <v>2121349</v>
      </c>
      <c r="I300" s="3">
        <f t="shared" si="77"/>
        <v>2171983</v>
      </c>
      <c r="J300" s="3">
        <f t="shared" si="77"/>
        <v>55991</v>
      </c>
      <c r="K300" s="3">
        <f t="shared" si="77"/>
        <v>2858434</v>
      </c>
      <c r="L300" s="3">
        <f t="shared" si="77"/>
        <v>3300718</v>
      </c>
      <c r="M300" s="3">
        <f t="shared" si="77"/>
        <v>1888805</v>
      </c>
      <c r="N300" s="3">
        <f t="shared" si="75"/>
        <v>7257853</v>
      </c>
      <c r="O300" s="3">
        <f t="shared" si="76"/>
        <v>5144695</v>
      </c>
      <c r="P300" s="3">
        <f t="shared" si="76"/>
        <v>6252446</v>
      </c>
      <c r="Q300" s="4">
        <f t="shared" si="76"/>
        <v>11192524.226079779</v>
      </c>
      <c r="R300" s="4">
        <f t="shared" si="76"/>
        <v>11148412.807410911</v>
      </c>
      <c r="S300" s="4">
        <f t="shared" si="76"/>
        <v>12330420.63868711</v>
      </c>
      <c r="T300" s="4">
        <f t="shared" si="76"/>
        <v>12260595.878803484</v>
      </c>
    </row>
    <row r="301" spans="1:20">
      <c r="A301" s="2" t="s">
        <v>50</v>
      </c>
      <c r="B301" s="3">
        <f t="shared" si="77"/>
        <v>0</v>
      </c>
      <c r="C301" s="3">
        <f t="shared" si="77"/>
        <v>0</v>
      </c>
      <c r="D301" s="3">
        <f t="shared" si="77"/>
        <v>0</v>
      </c>
      <c r="E301" s="3">
        <f t="shared" si="77"/>
        <v>191847</v>
      </c>
      <c r="F301" s="3">
        <f t="shared" si="77"/>
        <v>175407</v>
      </c>
      <c r="G301" s="3">
        <f t="shared" si="77"/>
        <v>2278425</v>
      </c>
      <c r="H301" s="3">
        <f t="shared" si="77"/>
        <v>2722427</v>
      </c>
      <c r="I301" s="3">
        <f t="shared" si="77"/>
        <v>2683041</v>
      </c>
      <c r="J301" s="3">
        <f t="shared" si="77"/>
        <v>2672075</v>
      </c>
      <c r="K301" s="3">
        <f t="shared" si="77"/>
        <v>1232476</v>
      </c>
      <c r="L301" s="3">
        <f t="shared" si="77"/>
        <v>3052310</v>
      </c>
      <c r="M301" s="3">
        <f t="shared" si="77"/>
        <v>1965271</v>
      </c>
      <c r="N301" s="3">
        <f t="shared" si="75"/>
        <v>11102300</v>
      </c>
      <c r="O301" s="3">
        <f t="shared" si="76"/>
        <v>4934004</v>
      </c>
      <c r="P301" s="3">
        <f t="shared" si="76"/>
        <v>7469573</v>
      </c>
      <c r="Q301" s="4">
        <f t="shared" si="76"/>
        <v>9398649.3199216891</v>
      </c>
      <c r="R301" s="4">
        <f t="shared" si="76"/>
        <v>9291331.7844991572</v>
      </c>
      <c r="S301" s="4">
        <f t="shared" si="76"/>
        <v>10329039.110707214</v>
      </c>
      <c r="T301" s="4">
        <f t="shared" si="76"/>
        <v>10823197.475570111</v>
      </c>
    </row>
    <row r="302" spans="1:20">
      <c r="A302" s="2" t="s">
        <v>51</v>
      </c>
      <c r="B302" s="3">
        <f t="shared" si="77"/>
        <v>0</v>
      </c>
      <c r="C302" s="3">
        <f t="shared" si="77"/>
        <v>0</v>
      </c>
      <c r="D302" s="3">
        <f t="shared" si="77"/>
        <v>0</v>
      </c>
      <c r="E302" s="3">
        <f t="shared" si="77"/>
        <v>755816</v>
      </c>
      <c r="F302" s="3">
        <f t="shared" si="77"/>
        <v>1051551</v>
      </c>
      <c r="G302" s="3">
        <f t="shared" si="77"/>
        <v>2081355</v>
      </c>
      <c r="H302" s="3">
        <f t="shared" si="77"/>
        <v>2395337</v>
      </c>
      <c r="I302" s="3">
        <f t="shared" si="77"/>
        <v>2796849</v>
      </c>
      <c r="J302" s="3">
        <f t="shared" si="77"/>
        <v>4211843</v>
      </c>
      <c r="K302" s="3">
        <f t="shared" si="77"/>
        <v>3191053</v>
      </c>
      <c r="L302" s="3">
        <f t="shared" si="77"/>
        <v>3437456</v>
      </c>
      <c r="M302" s="3">
        <f t="shared" si="77"/>
        <v>1478390</v>
      </c>
      <c r="N302" s="3">
        <f t="shared" si="75"/>
        <v>7670253</v>
      </c>
      <c r="O302" s="3">
        <f t="shared" si="76"/>
        <v>9034711</v>
      </c>
      <c r="P302" s="3">
        <f t="shared" si="76"/>
        <v>12889169</v>
      </c>
      <c r="Q302" s="4">
        <f t="shared" si="76"/>
        <v>13942687.91330706</v>
      </c>
      <c r="R302" s="4">
        <f t="shared" si="76"/>
        <v>17131385.113315936</v>
      </c>
      <c r="S302" s="4">
        <f t="shared" si="76"/>
        <v>18651747.616198462</v>
      </c>
      <c r="T302" s="4">
        <f t="shared" si="76"/>
        <v>19553100.267399758</v>
      </c>
    </row>
    <row r="303" spans="1:20">
      <c r="A303" s="2" t="s">
        <v>52</v>
      </c>
      <c r="B303" s="3">
        <f t="shared" si="77"/>
        <v>0</v>
      </c>
      <c r="C303" s="3">
        <f t="shared" si="77"/>
        <v>0</v>
      </c>
      <c r="D303" s="3">
        <f t="shared" si="77"/>
        <v>0</v>
      </c>
      <c r="E303" s="3">
        <f t="shared" si="77"/>
        <v>677388</v>
      </c>
      <c r="F303" s="3">
        <f t="shared" si="77"/>
        <v>2384292</v>
      </c>
      <c r="G303" s="3">
        <f t="shared" si="77"/>
        <v>1927553</v>
      </c>
      <c r="H303" s="3">
        <f t="shared" si="77"/>
        <v>2472174</v>
      </c>
      <c r="I303" s="3">
        <f t="shared" si="77"/>
        <v>2685665</v>
      </c>
      <c r="J303" s="3">
        <f t="shared" si="77"/>
        <v>3339313</v>
      </c>
      <c r="K303" s="3">
        <f t="shared" si="77"/>
        <v>2996901</v>
      </c>
      <c r="L303" s="3">
        <f t="shared" si="77"/>
        <v>1027067</v>
      </c>
      <c r="M303" s="3">
        <f t="shared" si="77"/>
        <v>3384929</v>
      </c>
      <c r="N303" s="3">
        <f t="shared" si="75"/>
        <v>8958344</v>
      </c>
      <c r="O303" s="3">
        <f t="shared" si="76"/>
        <v>5743901</v>
      </c>
      <c r="P303" s="3">
        <f t="shared" si="76"/>
        <v>10402768</v>
      </c>
      <c r="Q303" s="4">
        <f t="shared" si="76"/>
        <v>13279210.469964474</v>
      </c>
      <c r="R303" s="4">
        <f t="shared" si="76"/>
        <v>15133700.699765544</v>
      </c>
      <c r="S303" s="4">
        <f t="shared" si="76"/>
        <v>16343997.729983572</v>
      </c>
      <c r="T303" s="4">
        <f t="shared" si="76"/>
        <v>16658730.233674545</v>
      </c>
    </row>
    <row r="304" spans="1:20">
      <c r="A304" s="2" t="s">
        <v>53</v>
      </c>
      <c r="B304" s="3">
        <f t="shared" si="77"/>
        <v>0</v>
      </c>
      <c r="C304" s="3">
        <f t="shared" si="77"/>
        <v>0</v>
      </c>
      <c r="D304" s="3">
        <f t="shared" si="77"/>
        <v>0</v>
      </c>
      <c r="E304" s="3">
        <f t="shared" si="77"/>
        <v>693552</v>
      </c>
      <c r="F304" s="3">
        <f t="shared" si="77"/>
        <v>2012858</v>
      </c>
      <c r="G304" s="3">
        <f t="shared" si="77"/>
        <v>1766761</v>
      </c>
      <c r="H304" s="3">
        <f t="shared" si="77"/>
        <v>2732598</v>
      </c>
      <c r="I304" s="3">
        <f t="shared" si="77"/>
        <v>2746109</v>
      </c>
      <c r="J304" s="3">
        <f t="shared" si="77"/>
        <v>3122007</v>
      </c>
      <c r="K304" s="3">
        <f t="shared" si="77"/>
        <v>3335651</v>
      </c>
      <c r="L304" s="3">
        <f t="shared" si="77"/>
        <v>2447869</v>
      </c>
      <c r="M304" s="3">
        <f t="shared" si="77"/>
        <v>4857930</v>
      </c>
      <c r="N304" s="3">
        <f t="shared" si="75"/>
        <v>10874219</v>
      </c>
      <c r="O304" s="3">
        <f t="shared" si="76"/>
        <v>8066227</v>
      </c>
      <c r="P304" s="3">
        <f t="shared" si="76"/>
        <v>13072234</v>
      </c>
      <c r="Q304" s="4">
        <f t="shared" si="76"/>
        <v>16936155.300292991</v>
      </c>
      <c r="R304" s="4">
        <f t="shared" si="76"/>
        <v>17220683.107089717</v>
      </c>
      <c r="S304" s="4">
        <f t="shared" si="76"/>
        <v>18480234.351482347</v>
      </c>
      <c r="T304" s="4">
        <f t="shared" si="76"/>
        <v>19574913.94727179</v>
      </c>
    </row>
    <row r="305" spans="1:20">
      <c r="A305" s="2" t="s">
        <v>54</v>
      </c>
      <c r="B305" s="3">
        <f t="shared" si="77"/>
        <v>0</v>
      </c>
      <c r="C305" s="3">
        <f t="shared" si="77"/>
        <v>0</v>
      </c>
      <c r="D305" s="3">
        <f t="shared" si="77"/>
        <v>0</v>
      </c>
      <c r="E305" s="3">
        <f t="shared" si="77"/>
        <v>1148134</v>
      </c>
      <c r="F305" s="3">
        <f t="shared" si="77"/>
        <v>2597379</v>
      </c>
      <c r="G305" s="3">
        <f t="shared" si="77"/>
        <v>1737263</v>
      </c>
      <c r="H305" s="3">
        <f t="shared" si="77"/>
        <v>4230518</v>
      </c>
      <c r="I305" s="3">
        <f t="shared" si="77"/>
        <v>3434019</v>
      </c>
      <c r="J305" s="3">
        <f t="shared" si="77"/>
        <v>3658074</v>
      </c>
      <c r="K305" s="3">
        <f t="shared" si="77"/>
        <v>4370192</v>
      </c>
      <c r="L305" s="3">
        <f t="shared" si="77"/>
        <v>2377913</v>
      </c>
      <c r="M305" s="3">
        <f t="shared" si="77"/>
        <v>6766106</v>
      </c>
      <c r="N305" s="3">
        <f t="shared" si="75"/>
        <v>11048399</v>
      </c>
      <c r="O305" s="3">
        <f t="shared" si="76"/>
        <v>77440555</v>
      </c>
      <c r="P305" s="3">
        <f t="shared" si="76"/>
        <v>67689600</v>
      </c>
      <c r="Q305" s="4">
        <f t="shared" si="76"/>
        <v>57627578.381987117</v>
      </c>
      <c r="R305" s="4">
        <f t="shared" si="76"/>
        <v>61617719.422308579</v>
      </c>
      <c r="S305" s="4">
        <f t="shared" si="76"/>
        <v>70864108.06485495</v>
      </c>
      <c r="T305" s="4">
        <f t="shared" si="76"/>
        <v>76108128.567180395</v>
      </c>
    </row>
    <row r="306" spans="1:20" ht="13.5" thickBot="1">
      <c r="A306" s="2" t="s">
        <v>29</v>
      </c>
      <c r="B306" s="3">
        <f t="shared" ref="B306:O306" si="78">SUM(B294:B305)</f>
        <v>0</v>
      </c>
      <c r="C306" s="3">
        <f t="shared" si="78"/>
        <v>0</v>
      </c>
      <c r="D306" s="3">
        <f t="shared" si="78"/>
        <v>0</v>
      </c>
      <c r="E306" s="3">
        <f t="shared" si="78"/>
        <v>3466737</v>
      </c>
      <c r="F306" s="3">
        <f t="shared" si="78"/>
        <v>18140883</v>
      </c>
      <c r="G306" s="3">
        <f t="shared" si="78"/>
        <v>23988365</v>
      </c>
      <c r="H306" s="3">
        <f t="shared" si="78"/>
        <v>27166789</v>
      </c>
      <c r="I306" s="3">
        <f t="shared" si="78"/>
        <v>31529071</v>
      </c>
      <c r="J306" s="3">
        <f t="shared" si="78"/>
        <v>32101934</v>
      </c>
      <c r="K306" s="3">
        <f t="shared" si="78"/>
        <v>36559419</v>
      </c>
      <c r="L306" s="3">
        <f t="shared" si="78"/>
        <v>32893031</v>
      </c>
      <c r="M306" s="177">
        <f t="shared" si="78"/>
        <v>33260250</v>
      </c>
      <c r="N306" s="3">
        <f t="shared" si="78"/>
        <v>95121181</v>
      </c>
      <c r="O306" s="3">
        <f t="shared" si="78"/>
        <v>147762544</v>
      </c>
      <c r="P306" s="3">
        <f>SUM(P294:P305)</f>
        <v>150437750</v>
      </c>
      <c r="Q306" s="4">
        <f>SUM(Q294:Q305)</f>
        <v>184868545.89365533</v>
      </c>
      <c r="R306" s="4">
        <f>SUM(R294:R305)</f>
        <v>187797394.66640556</v>
      </c>
      <c r="S306" s="4">
        <f>SUM(S294:S305)</f>
        <v>209125114.78578326</v>
      </c>
      <c r="T306" s="4">
        <f>SUM(T294:T305)</f>
        <v>220726600.46917278</v>
      </c>
    </row>
    <row r="307" spans="1:20">
      <c r="A307" s="114"/>
      <c r="B307" s="114"/>
      <c r="C307" s="114"/>
      <c r="D307" s="114"/>
      <c r="E307" s="114"/>
      <c r="F307" s="114"/>
      <c r="G307" s="114"/>
      <c r="H307" s="114"/>
      <c r="I307" s="114"/>
      <c r="J307" s="114"/>
      <c r="K307" s="114"/>
      <c r="L307" s="114"/>
      <c r="M307" s="114"/>
      <c r="N307" s="114"/>
      <c r="O307" s="114"/>
      <c r="P307" s="114"/>
      <c r="Q307" s="114"/>
      <c r="R307" s="114"/>
      <c r="S307" s="114"/>
      <c r="T307" s="114"/>
    </row>
    <row r="308" spans="1:20" ht="16.5" thickBot="1">
      <c r="A308" s="109" t="s">
        <v>470</v>
      </c>
    </row>
    <row r="309" spans="1:20" ht="13.5" thickBot="1">
      <c r="A309" s="110"/>
      <c r="B309" s="111">
        <f>B2</f>
        <v>2010</v>
      </c>
      <c r="C309" s="111">
        <f t="shared" ref="C309:T309" si="79">C2</f>
        <v>2011</v>
      </c>
      <c r="D309" s="111">
        <f t="shared" si="79"/>
        <v>2012</v>
      </c>
      <c r="E309" s="111">
        <f t="shared" si="79"/>
        <v>2013</v>
      </c>
      <c r="F309" s="111">
        <f t="shared" si="79"/>
        <v>2014</v>
      </c>
      <c r="G309" s="111">
        <f t="shared" si="79"/>
        <v>2015</v>
      </c>
      <c r="H309" s="111">
        <f t="shared" si="79"/>
        <v>2016</v>
      </c>
      <c r="I309" s="111">
        <f t="shared" si="79"/>
        <v>2017</v>
      </c>
      <c r="J309" s="111">
        <f t="shared" si="79"/>
        <v>2018</v>
      </c>
      <c r="K309" s="111">
        <f t="shared" si="79"/>
        <v>2019</v>
      </c>
      <c r="L309" s="111">
        <f t="shared" si="79"/>
        <v>2020</v>
      </c>
      <c r="M309" s="111">
        <f t="shared" si="79"/>
        <v>2021</v>
      </c>
      <c r="N309" s="111">
        <f t="shared" si="79"/>
        <v>2022</v>
      </c>
      <c r="O309" s="111">
        <f t="shared" si="79"/>
        <v>2023</v>
      </c>
      <c r="P309" s="111">
        <f t="shared" si="79"/>
        <v>2024</v>
      </c>
      <c r="Q309" s="111">
        <f t="shared" si="79"/>
        <v>2025</v>
      </c>
      <c r="R309" s="111">
        <f t="shared" si="79"/>
        <v>2026</v>
      </c>
      <c r="S309" s="111">
        <f t="shared" si="79"/>
        <v>2027</v>
      </c>
      <c r="T309" s="111">
        <f t="shared" si="79"/>
        <v>2028</v>
      </c>
    </row>
    <row r="310" spans="1:20">
      <c r="A310" s="2" t="s">
        <v>43</v>
      </c>
      <c r="B310" s="3">
        <f>'Monthly D5 RIN Data'!$AC4</f>
        <v>0</v>
      </c>
      <c r="C310" s="3">
        <f>'Monthly D5 RIN Data'!$AC16</f>
        <v>0</v>
      </c>
      <c r="D310" s="3">
        <f>'Monthly D5 RIN Data'!$AC28</f>
        <v>0</v>
      </c>
      <c r="E310" s="3">
        <f>'Monthly D5 RIN Data'!$AC40</f>
        <v>0</v>
      </c>
      <c r="F310" s="3">
        <f>'Monthly D5 RIN Data'!$AC52</f>
        <v>0</v>
      </c>
      <c r="G310" s="3">
        <f>'Monthly D5 RIN Data'!$AC64</f>
        <v>0</v>
      </c>
      <c r="H310" s="3">
        <f>'Monthly D5 RIN Data'!$AC76</f>
        <v>0</v>
      </c>
      <c r="I310" s="3">
        <f>'Monthly D5 RIN Data'!$AC88</f>
        <v>0</v>
      </c>
      <c r="J310" s="3">
        <f>'Monthly D5 RIN Data'!$AC100</f>
        <v>0</v>
      </c>
      <c r="K310" s="3">
        <f>'Monthly D5 RIN Data'!$AC112</f>
        <v>0</v>
      </c>
      <c r="L310" s="3">
        <f>'Monthly D5 RIN Data'!$AC124</f>
        <v>0</v>
      </c>
      <c r="M310" s="3">
        <f>'Monthly D5 RIN Data'!$AC136</f>
        <v>0</v>
      </c>
      <c r="N310" s="3">
        <f>'Monthly D5 RIN Data'!$AC148</f>
        <v>0</v>
      </c>
      <c r="O310" s="3">
        <f>'Monthly D5 RIN Data'!$AC160</f>
        <v>0</v>
      </c>
      <c r="P310" s="3">
        <f>'Monthly D5 RIN Data'!$AC172</f>
        <v>0</v>
      </c>
      <c r="Q310" s="3">
        <f>'Monthly D5 RIN Data'!$AC184</f>
        <v>7981088</v>
      </c>
      <c r="R310" s="4">
        <f>'D5 Gallon Forecast'!R296*AVERAGE('D5 RIN Forecast'!$AB$19:$AE$19)</f>
        <v>5539292.8152483376</v>
      </c>
      <c r="S310" s="4">
        <f>'D5 Gallon Forecast'!S296*AVERAGE('D5 RIN Forecast'!$AB$19:$AE$19)</f>
        <v>5945216.7480101204</v>
      </c>
      <c r="T310" s="4">
        <f>'D5 Gallon Forecast'!T296*AVERAGE('D5 RIN Forecast'!$AB$19:$AE$19)</f>
        <v>6129097.9144046204</v>
      </c>
    </row>
    <row r="311" spans="1:20">
      <c r="A311" s="2" t="s">
        <v>44</v>
      </c>
      <c r="B311" s="3">
        <f>'Monthly D5 RIN Data'!$AC5</f>
        <v>0</v>
      </c>
      <c r="C311" s="3">
        <f>'Monthly D5 RIN Data'!$AC17</f>
        <v>0</v>
      </c>
      <c r="D311" s="3">
        <f>'Monthly D5 RIN Data'!$AC29</f>
        <v>0</v>
      </c>
      <c r="E311" s="3">
        <f>'Monthly D5 RIN Data'!$AC41</f>
        <v>0</v>
      </c>
      <c r="F311" s="3">
        <f>'Monthly D5 RIN Data'!$AC53</f>
        <v>0</v>
      </c>
      <c r="G311" s="3">
        <f>'Monthly D5 RIN Data'!$AC65</f>
        <v>0</v>
      </c>
      <c r="H311" s="3">
        <f>'Monthly D5 RIN Data'!$AC77</f>
        <v>0</v>
      </c>
      <c r="I311" s="3">
        <f>'Monthly D5 RIN Data'!$AC89</f>
        <v>0</v>
      </c>
      <c r="J311" s="3">
        <f>'Monthly D5 RIN Data'!$AC101</f>
        <v>0</v>
      </c>
      <c r="K311" s="3">
        <f>'Monthly D5 RIN Data'!$AC113</f>
        <v>0</v>
      </c>
      <c r="L311" s="3">
        <f>'Monthly D5 RIN Data'!$AC125</f>
        <v>385855</v>
      </c>
      <c r="M311" s="3">
        <f>'Monthly D5 RIN Data'!$AC137</f>
        <v>500424</v>
      </c>
      <c r="N311" s="3">
        <f>'Monthly D5 RIN Data'!$AC149</f>
        <v>0</v>
      </c>
      <c r="O311" s="3">
        <f>'Monthly D5 RIN Data'!$AC161</f>
        <v>0</v>
      </c>
      <c r="P311" s="3">
        <f>'Monthly D5 RIN Data'!$AC173</f>
        <v>78228</v>
      </c>
      <c r="Q311" s="3">
        <f>'Monthly D5 RIN Data'!$AC185</f>
        <v>10357585</v>
      </c>
      <c r="R311" s="4">
        <f>'D5 Gallon Forecast'!R297*AVERAGE('D5 RIN Forecast'!$AB$19:$AE$19)</f>
        <v>7590322.1992898667</v>
      </c>
      <c r="S311" s="4">
        <f>'D5 Gallon Forecast'!S297*AVERAGE('D5 RIN Forecast'!$AB$19:$AE$19)</f>
        <v>7926499.349291251</v>
      </c>
      <c r="T311" s="4">
        <f>'D5 Gallon Forecast'!T297*AVERAGE('D5 RIN Forecast'!$AB$19:$AE$19)</f>
        <v>8171660.1243396541</v>
      </c>
    </row>
    <row r="312" spans="1:20">
      <c r="A312" s="2" t="s">
        <v>45</v>
      </c>
      <c r="B312" s="3">
        <f>'Monthly D5 RIN Data'!$AC6</f>
        <v>0</v>
      </c>
      <c r="C312" s="3">
        <f>'Monthly D5 RIN Data'!$AC18</f>
        <v>0</v>
      </c>
      <c r="D312" s="3">
        <f>'Monthly D5 RIN Data'!$AC30</f>
        <v>0</v>
      </c>
      <c r="E312" s="3">
        <f>'Monthly D5 RIN Data'!$AC42</f>
        <v>0</v>
      </c>
      <c r="F312" s="3">
        <f>'Monthly D5 RIN Data'!$AC54</f>
        <v>0</v>
      </c>
      <c r="G312" s="3">
        <f>'Monthly D5 RIN Data'!$AC66</f>
        <v>0</v>
      </c>
      <c r="H312" s="3">
        <f>'Monthly D5 RIN Data'!$AC78</f>
        <v>0</v>
      </c>
      <c r="I312" s="3">
        <f>'Monthly D5 RIN Data'!$AC90</f>
        <v>0</v>
      </c>
      <c r="J312" s="3">
        <f>'Monthly D5 RIN Data'!$AC102</f>
        <v>0</v>
      </c>
      <c r="K312" s="3">
        <f>'Monthly D5 RIN Data'!$AC114</f>
        <v>0</v>
      </c>
      <c r="L312" s="3">
        <f>'Monthly D5 RIN Data'!$AC126</f>
        <v>263882</v>
      </c>
      <c r="M312" s="3">
        <f>'Monthly D5 RIN Data'!$AC138</f>
        <v>221393</v>
      </c>
      <c r="N312" s="3">
        <f>'Monthly D5 RIN Data'!$AC150</f>
        <v>733026</v>
      </c>
      <c r="O312" s="3">
        <f>'Monthly D5 RIN Data'!$AC162</f>
        <v>121745</v>
      </c>
      <c r="P312" s="3">
        <f>'Monthly D5 RIN Data'!$AC174</f>
        <v>37765</v>
      </c>
      <c r="Q312" s="3">
        <f>'Monthly D5 RIN Data'!$AC186</f>
        <v>7277788</v>
      </c>
      <c r="R312" s="4">
        <f>'D5 Gallon Forecast'!R298*AVERAGE('D5 RIN Forecast'!$AB$19:$AE$19)</f>
        <v>5824292.3683013422</v>
      </c>
      <c r="S312" s="4">
        <f>'D5 Gallon Forecast'!S298*AVERAGE('D5 RIN Forecast'!$AB$19:$AE$19)</f>
        <v>6153749.7160460707</v>
      </c>
      <c r="T312" s="4">
        <f>'D5 Gallon Forecast'!T298*AVERAGE('D5 RIN Forecast'!$AB$19:$AE$19)</f>
        <v>6113274.0784412762</v>
      </c>
    </row>
    <row r="313" spans="1:20">
      <c r="A313" s="2" t="s">
        <v>46</v>
      </c>
      <c r="B313" s="3">
        <f>'Monthly D5 RIN Data'!$AC7</f>
        <v>0</v>
      </c>
      <c r="C313" s="3">
        <f>'Monthly D5 RIN Data'!$AC19</f>
        <v>0</v>
      </c>
      <c r="D313" s="3">
        <f>'Monthly D5 RIN Data'!$AC31</f>
        <v>0</v>
      </c>
      <c r="E313" s="3">
        <f>'Monthly D5 RIN Data'!$AC43</f>
        <v>0</v>
      </c>
      <c r="F313" s="3">
        <f>'Monthly D5 RIN Data'!$AC55</f>
        <v>0</v>
      </c>
      <c r="G313" s="3">
        <f>'Monthly D5 RIN Data'!$AC67</f>
        <v>0</v>
      </c>
      <c r="H313" s="3">
        <f>'Monthly D5 RIN Data'!$AC79</f>
        <v>0</v>
      </c>
      <c r="I313" s="3">
        <f>'Monthly D5 RIN Data'!$AC91</f>
        <v>0</v>
      </c>
      <c r="J313" s="3">
        <f>'Monthly D5 RIN Data'!$AC103</f>
        <v>0</v>
      </c>
      <c r="K313" s="3">
        <f>'Monthly D5 RIN Data'!$AC115</f>
        <v>0</v>
      </c>
      <c r="L313" s="3">
        <f>'Monthly D5 RIN Data'!$AC127</f>
        <v>403820</v>
      </c>
      <c r="M313" s="3">
        <f>'Monthly D5 RIN Data'!$AC139</f>
        <v>72971</v>
      </c>
      <c r="N313" s="3">
        <f>'Monthly D5 RIN Data'!$AC151</f>
        <v>396950</v>
      </c>
      <c r="O313" s="3">
        <f>'Monthly D5 RIN Data'!$AC163</f>
        <v>211791</v>
      </c>
      <c r="P313" s="3">
        <f>'Monthly D5 RIN Data'!$AC175</f>
        <v>1576365</v>
      </c>
      <c r="Q313" s="4">
        <f>'D5 Gallon Forecast'!Q299*AVERAGE('D5 RIN Forecast'!$AB$19:$AE$19)</f>
        <v>6481920.6402959162</v>
      </c>
      <c r="R313" s="4">
        <f>'D5 Gallon Forecast'!R299*AVERAGE('D5 RIN Forecast'!$AB$19:$AE$19)</f>
        <v>6066015.3346247133</v>
      </c>
      <c r="S313" s="4">
        <f>'D5 Gallon Forecast'!S299*AVERAGE('D5 RIN Forecast'!$AB$19:$AE$19)</f>
        <v>6478451.0191300157</v>
      </c>
      <c r="T313" s="4">
        <f>'D5 Gallon Forecast'!T299*AVERAGE('D5 RIN Forecast'!$AB$19:$AE$19)</f>
        <v>6553837.6713457853</v>
      </c>
    </row>
    <row r="314" spans="1:20">
      <c r="A314" s="2" t="s">
        <v>47</v>
      </c>
      <c r="B314" s="3">
        <f>'Monthly D5 RIN Data'!$AC8</f>
        <v>0</v>
      </c>
      <c r="C314" s="3">
        <f>'Monthly D5 RIN Data'!$AC20</f>
        <v>0</v>
      </c>
      <c r="D314" s="3">
        <f>'Monthly D5 RIN Data'!$AC32</f>
        <v>0</v>
      </c>
      <c r="E314" s="3">
        <f>'Monthly D5 RIN Data'!$AC44</f>
        <v>0</v>
      </c>
      <c r="F314" s="3">
        <f>'Monthly D5 RIN Data'!$AC56</f>
        <v>0</v>
      </c>
      <c r="G314" s="3">
        <f>'Monthly D5 RIN Data'!$AC68</f>
        <v>0</v>
      </c>
      <c r="H314" s="3">
        <f>'Monthly D5 RIN Data'!$AC80</f>
        <v>0</v>
      </c>
      <c r="I314" s="3">
        <f>'Monthly D5 RIN Data'!$AC92</f>
        <v>0</v>
      </c>
      <c r="J314" s="3">
        <f>'Monthly D5 RIN Data'!$AC104</f>
        <v>0</v>
      </c>
      <c r="K314" s="3">
        <f>'Monthly D5 RIN Data'!$AC116</f>
        <v>715635</v>
      </c>
      <c r="L314" s="3">
        <f>'Monthly D5 RIN Data'!$AC128</f>
        <v>107435</v>
      </c>
      <c r="M314" s="3">
        <f>'Monthly D5 RIN Data'!$AC140</f>
        <v>567004</v>
      </c>
      <c r="N314" s="3">
        <f>'Monthly D5 RIN Data'!$AC152</f>
        <v>86460</v>
      </c>
      <c r="O314" s="3">
        <f>'Monthly D5 RIN Data'!$AC164</f>
        <v>116886</v>
      </c>
      <c r="P314" s="3">
        <f>'Monthly D5 RIN Data'!$AC176</f>
        <v>177790</v>
      </c>
      <c r="Q314" s="4">
        <f>'D5 Gallon Forecast'!Q300*AVERAGE('D5 RIN Forecast'!$AB$19:$AE$19)</f>
        <v>3415235.7331739469</v>
      </c>
      <c r="R314" s="4">
        <f>'D5 Gallon Forecast'!R300*AVERAGE('D5 RIN Forecast'!$AB$19:$AE$19)</f>
        <v>3028411.6047260263</v>
      </c>
      <c r="S314" s="4">
        <f>'D5 Gallon Forecast'!S300*AVERAGE('D5 RIN Forecast'!$AB$19:$AE$19)</f>
        <v>3001011.5541605558</v>
      </c>
      <c r="T314" s="4">
        <f>'D5 Gallon Forecast'!T300*AVERAGE('D5 RIN Forecast'!$AB$19:$AE$19)</f>
        <v>3066607.1854395997</v>
      </c>
    </row>
    <row r="315" spans="1:20">
      <c r="A315" s="2" t="s">
        <v>48</v>
      </c>
      <c r="B315" s="3">
        <f>'Monthly D5 RIN Data'!$AC9</f>
        <v>0</v>
      </c>
      <c r="C315" s="3">
        <f>'Monthly D5 RIN Data'!$AC21</f>
        <v>0</v>
      </c>
      <c r="D315" s="3">
        <f>'Monthly D5 RIN Data'!$AC33</f>
        <v>0</v>
      </c>
      <c r="E315" s="3">
        <f>'Monthly D5 RIN Data'!$AC45</f>
        <v>0</v>
      </c>
      <c r="F315" s="3">
        <f>'Monthly D5 RIN Data'!$AC57</f>
        <v>0</v>
      </c>
      <c r="G315" s="3">
        <f>'Monthly D5 RIN Data'!$AC69</f>
        <v>0</v>
      </c>
      <c r="H315" s="3">
        <f>'Monthly D5 RIN Data'!$AC81</f>
        <v>0</v>
      </c>
      <c r="I315" s="3">
        <f>'Monthly D5 RIN Data'!$AC93</f>
        <v>0</v>
      </c>
      <c r="J315" s="3">
        <f>'Monthly D5 RIN Data'!$AC105</f>
        <v>0</v>
      </c>
      <c r="K315" s="3">
        <f>'Monthly D5 RIN Data'!$AC117</f>
        <v>0</v>
      </c>
      <c r="L315" s="3">
        <f>'Monthly D5 RIN Data'!$AC129</f>
        <v>0</v>
      </c>
      <c r="M315" s="3">
        <f>'Monthly D5 RIN Data'!$AC141</f>
        <v>499944</v>
      </c>
      <c r="N315" s="3">
        <f>'Monthly D5 RIN Data'!$AC153</f>
        <v>186967</v>
      </c>
      <c r="O315" s="3">
        <f>'Monthly D5 RIN Data'!$AC165</f>
        <v>0</v>
      </c>
      <c r="P315" s="3">
        <f>'Monthly D5 RIN Data'!$AC177</f>
        <v>1982329</v>
      </c>
      <c r="Q315" s="4">
        <f>'D5 Gallon Forecast'!Q301*AVERAGE('D5 RIN Forecast'!$AB$19:$AE$19)</f>
        <v>5095942.2435955796</v>
      </c>
      <c r="R315" s="4">
        <f>'D5 Gallon Forecast'!R301*AVERAGE('D5 RIN Forecast'!$AB$19:$AE$19)</f>
        <v>5389443.4199980861</v>
      </c>
      <c r="S315" s="4">
        <f>'D5 Gallon Forecast'!S301*AVERAGE('D5 RIN Forecast'!$AB$19:$AE$19)</f>
        <v>5564549.5179287642</v>
      </c>
      <c r="T315" s="4">
        <f>'D5 Gallon Forecast'!T301*AVERAGE('D5 RIN Forecast'!$AB$19:$AE$19)</f>
        <v>5677786.9027144471</v>
      </c>
    </row>
    <row r="316" spans="1:20">
      <c r="A316" s="2" t="s">
        <v>49</v>
      </c>
      <c r="B316" s="3">
        <f>'Monthly D5 RIN Data'!$AC10</f>
        <v>0</v>
      </c>
      <c r="C316" s="3">
        <f>'Monthly D5 RIN Data'!$AC22</f>
        <v>0</v>
      </c>
      <c r="D316" s="3">
        <f>'Monthly D5 RIN Data'!$AC34</f>
        <v>0</v>
      </c>
      <c r="E316" s="3">
        <f>'Monthly D5 RIN Data'!$AC46</f>
        <v>0</v>
      </c>
      <c r="F316" s="3">
        <f>'Monthly D5 RIN Data'!$AC58</f>
        <v>0</v>
      </c>
      <c r="G316" s="3">
        <f>'Monthly D5 RIN Data'!$AC70</f>
        <v>0</v>
      </c>
      <c r="H316" s="3">
        <f>'Monthly D5 RIN Data'!$AC82</f>
        <v>0</v>
      </c>
      <c r="I316" s="3">
        <f>'Monthly D5 RIN Data'!$AC94</f>
        <v>0</v>
      </c>
      <c r="J316" s="3">
        <f>'Monthly D5 RIN Data'!$AC106</f>
        <v>0</v>
      </c>
      <c r="K316" s="3">
        <f>'Monthly D5 RIN Data'!$AC118</f>
        <v>321647</v>
      </c>
      <c r="L316" s="3">
        <f>'Monthly D5 RIN Data'!$AC130</f>
        <v>725077</v>
      </c>
      <c r="M316" s="3">
        <f>'Monthly D5 RIN Data'!$AC142</f>
        <v>507493</v>
      </c>
      <c r="N316" s="3">
        <f>'Monthly D5 RIN Data'!$AC154</f>
        <v>164065</v>
      </c>
      <c r="O316" s="3">
        <f>'Monthly D5 RIN Data'!$AC166</f>
        <v>226731</v>
      </c>
      <c r="P316" s="3">
        <f>'Monthly D5 RIN Data'!$AC178</f>
        <v>1964281</v>
      </c>
      <c r="Q316" s="4">
        <f>'D5 Gallon Forecast'!Q302*AVERAGE('D5 RIN Forecast'!$AB$19:$AE$19)</f>
        <v>6849303.4601945896</v>
      </c>
      <c r="R316" s="4">
        <f>'D5 Gallon Forecast'!R302*AVERAGE('D5 RIN Forecast'!$AB$19:$AE$19)</f>
        <v>6740548.3440846642</v>
      </c>
      <c r="S316" s="4">
        <f>'D5 Gallon Forecast'!S302*AVERAGE('D5 RIN Forecast'!$AB$19:$AE$19)</f>
        <v>7011345.1442112178</v>
      </c>
      <c r="T316" s="4">
        <f>'D5 Gallon Forecast'!T302*AVERAGE('D5 RIN Forecast'!$AB$19:$AE$19)</f>
        <v>7176542.1503333338</v>
      </c>
    </row>
    <row r="317" spans="1:20">
      <c r="A317" s="2" t="s">
        <v>50</v>
      </c>
      <c r="B317" s="3">
        <f>'Monthly D5 RIN Data'!$AC11</f>
        <v>0</v>
      </c>
      <c r="C317" s="3">
        <f>'Monthly D5 RIN Data'!$AC23</f>
        <v>0</v>
      </c>
      <c r="D317" s="3">
        <f>'Monthly D5 RIN Data'!$AC35</f>
        <v>0</v>
      </c>
      <c r="E317" s="3">
        <f>'Monthly D5 RIN Data'!$AC47</f>
        <v>0</v>
      </c>
      <c r="F317" s="3">
        <f>'Monthly D5 RIN Data'!$AC59</f>
        <v>0</v>
      </c>
      <c r="G317" s="3">
        <f>'Monthly D5 RIN Data'!$AC71</f>
        <v>0</v>
      </c>
      <c r="H317" s="3">
        <f>'Monthly D5 RIN Data'!$AC83</f>
        <v>0</v>
      </c>
      <c r="I317" s="3">
        <f>'Monthly D5 RIN Data'!$AC95</f>
        <v>0</v>
      </c>
      <c r="J317" s="3">
        <f>'Monthly D5 RIN Data'!$AC107</f>
        <v>0</v>
      </c>
      <c r="K317" s="3">
        <f>'Monthly D5 RIN Data'!$AC119</f>
        <v>459915</v>
      </c>
      <c r="L317" s="3">
        <f>'Monthly D5 RIN Data'!$AC131</f>
        <v>531805</v>
      </c>
      <c r="M317" s="3">
        <f>'Monthly D5 RIN Data'!$AC143</f>
        <v>478626</v>
      </c>
      <c r="N317" s="3">
        <f>'Monthly D5 RIN Data'!$AC155</f>
        <v>0</v>
      </c>
      <c r="O317" s="3">
        <f>'Monthly D5 RIN Data'!$AC167</f>
        <v>37226</v>
      </c>
      <c r="P317" s="3">
        <f>'Monthly D5 RIN Data'!$AC179</f>
        <v>1826973</v>
      </c>
      <c r="Q317" s="4">
        <f>'D5 Gallon Forecast'!Q303*AVERAGE('D5 RIN Forecast'!$AB$19:$AE$19)</f>
        <v>5488061.9827508405</v>
      </c>
      <c r="R317" s="4">
        <f>'D5 Gallon Forecast'!R303*AVERAGE('D5 RIN Forecast'!$AB$19:$AE$19)</f>
        <v>5435046.5325747561</v>
      </c>
      <c r="S317" s="4">
        <f>'D5 Gallon Forecast'!S303*AVERAGE('D5 RIN Forecast'!$AB$19:$AE$19)</f>
        <v>5622868.3818757124</v>
      </c>
      <c r="T317" s="4">
        <f>'D5 Gallon Forecast'!T303*AVERAGE('D5 RIN Forecast'!$AB$19:$AE$19)</f>
        <v>5796779.5512015605</v>
      </c>
    </row>
    <row r="318" spans="1:20">
      <c r="A318" s="2" t="s">
        <v>51</v>
      </c>
      <c r="B318" s="3">
        <f>'Monthly D5 RIN Data'!$AC12</f>
        <v>0</v>
      </c>
      <c r="C318" s="3">
        <f>'Monthly D5 RIN Data'!$AC24</f>
        <v>0</v>
      </c>
      <c r="D318" s="3">
        <f>'Monthly D5 RIN Data'!$AC36</f>
        <v>0</v>
      </c>
      <c r="E318" s="3">
        <f>'Monthly D5 RIN Data'!$AC48</f>
        <v>0</v>
      </c>
      <c r="F318" s="3">
        <f>'Monthly D5 RIN Data'!$AC60</f>
        <v>0</v>
      </c>
      <c r="G318" s="3">
        <f>'Monthly D5 RIN Data'!$AC72</f>
        <v>0</v>
      </c>
      <c r="H318" s="3">
        <f>'Monthly D5 RIN Data'!$AC84</f>
        <v>0</v>
      </c>
      <c r="I318" s="3">
        <f>'Monthly D5 RIN Data'!$AC96</f>
        <v>0</v>
      </c>
      <c r="J318" s="3">
        <f>'Monthly D5 RIN Data'!$AC108</f>
        <v>0</v>
      </c>
      <c r="K318" s="3">
        <f>'Monthly D5 RIN Data'!$AC120</f>
        <v>382865</v>
      </c>
      <c r="L318" s="3">
        <f>'Monthly D5 RIN Data'!$AC132</f>
        <v>500868</v>
      </c>
      <c r="M318" s="3">
        <f>'Monthly D5 RIN Data'!$AC144</f>
        <v>465685</v>
      </c>
      <c r="N318" s="3">
        <f>'Monthly D5 RIN Data'!$AC156</f>
        <v>265441</v>
      </c>
      <c r="O318" s="3">
        <f>'Monthly D5 RIN Data'!$AC168</f>
        <v>107832</v>
      </c>
      <c r="P318" s="3">
        <f>'Monthly D5 RIN Data'!$AC180</f>
        <v>7074323</v>
      </c>
      <c r="Q318" s="4">
        <f>'D5 Gallon Forecast'!Q304*AVERAGE('D5 RIN Forecast'!$AB$19:$AE$19)</f>
        <v>9063754.5542292204</v>
      </c>
      <c r="R318" s="4">
        <f>'D5 Gallon Forecast'!R304*AVERAGE('D5 RIN Forecast'!$AB$19:$AE$19)</f>
        <v>11782951.670664571</v>
      </c>
      <c r="S318" s="4">
        <f>'D5 Gallon Forecast'!S304*AVERAGE('D5 RIN Forecast'!$AB$19:$AE$19)</f>
        <v>12441643.942308174</v>
      </c>
      <c r="T318" s="4">
        <f>'D5 Gallon Forecast'!T304*AVERAGE('D5 RIN Forecast'!$AB$19:$AE$19)</f>
        <v>12742875.752438124</v>
      </c>
    </row>
    <row r="319" spans="1:20">
      <c r="A319" s="2" t="s">
        <v>52</v>
      </c>
      <c r="B319" s="3">
        <f>'Monthly D5 RIN Data'!$AC13</f>
        <v>0</v>
      </c>
      <c r="C319" s="3">
        <f>'Monthly D5 RIN Data'!$AC25</f>
        <v>0</v>
      </c>
      <c r="D319" s="3">
        <f>'Monthly D5 RIN Data'!$AC37</f>
        <v>0</v>
      </c>
      <c r="E319" s="3">
        <f>'Monthly D5 RIN Data'!$AC49</f>
        <v>0</v>
      </c>
      <c r="F319" s="3">
        <f>'Monthly D5 RIN Data'!$AC61</f>
        <v>0</v>
      </c>
      <c r="G319" s="3">
        <f>'Monthly D5 RIN Data'!$AC73</f>
        <v>0</v>
      </c>
      <c r="H319" s="3">
        <f>'Monthly D5 RIN Data'!$AC85</f>
        <v>0</v>
      </c>
      <c r="I319" s="3">
        <f>'Monthly D5 RIN Data'!$AC97</f>
        <v>0</v>
      </c>
      <c r="J319" s="3">
        <f>'Monthly D5 RIN Data'!$AC109</f>
        <v>0</v>
      </c>
      <c r="K319" s="3">
        <f>'Monthly D5 RIN Data'!$AC121</f>
        <v>0</v>
      </c>
      <c r="L319" s="3">
        <f>'Monthly D5 RIN Data'!$AC133</f>
        <v>549153</v>
      </c>
      <c r="M319" s="3">
        <f>'Monthly D5 RIN Data'!$AC145</f>
        <v>248137</v>
      </c>
      <c r="N319" s="3">
        <f>'Monthly D5 RIN Data'!$AC157</f>
        <v>0</v>
      </c>
      <c r="O319" s="3">
        <f>'Monthly D5 RIN Data'!$AC169</f>
        <v>114330</v>
      </c>
      <c r="P319" s="3">
        <f>'Monthly D5 RIN Data'!$AC181</f>
        <v>5675480</v>
      </c>
      <c r="Q319" s="4">
        <f>'D5 Gallon Forecast'!Q305*AVERAGE('D5 RIN Forecast'!$AB$19:$AE$19)</f>
        <v>8375671.8721716404</v>
      </c>
      <c r="R319" s="4">
        <f>'D5 Gallon Forecast'!R305*AVERAGE('D5 RIN Forecast'!$AB$19:$AE$19)</f>
        <v>10003807.475237401</v>
      </c>
      <c r="S319" s="4">
        <f>'D5 Gallon Forecast'!S305*AVERAGE('D5 RIN Forecast'!$AB$19:$AE$19)</f>
        <v>10627783.098733468</v>
      </c>
      <c r="T319" s="4">
        <f>'D5 Gallon Forecast'!T305*AVERAGE('D5 RIN Forecast'!$AB$19:$AE$19)</f>
        <v>10956492.586581314</v>
      </c>
    </row>
    <row r="320" spans="1:20">
      <c r="A320" s="2" t="s">
        <v>53</v>
      </c>
      <c r="B320" s="3">
        <f>'Monthly D5 RIN Data'!$AC14</f>
        <v>0</v>
      </c>
      <c r="C320" s="3">
        <f>'Monthly D5 RIN Data'!$AC26</f>
        <v>0</v>
      </c>
      <c r="D320" s="3">
        <f>'Monthly D5 RIN Data'!$AC38</f>
        <v>0</v>
      </c>
      <c r="E320" s="3">
        <f>'Monthly D5 RIN Data'!$AC50</f>
        <v>0</v>
      </c>
      <c r="F320" s="3">
        <f>'Monthly D5 RIN Data'!$AC62</f>
        <v>0</v>
      </c>
      <c r="G320" s="3">
        <f>'Monthly D5 RIN Data'!$AC74</f>
        <v>0</v>
      </c>
      <c r="H320" s="3">
        <f>'Monthly D5 RIN Data'!$AC86</f>
        <v>0</v>
      </c>
      <c r="I320" s="3">
        <f>'Monthly D5 RIN Data'!$AC98</f>
        <v>0</v>
      </c>
      <c r="J320" s="3">
        <f>'Monthly D5 RIN Data'!$AC110</f>
        <v>0</v>
      </c>
      <c r="K320" s="3">
        <f>'Monthly D5 RIN Data'!$AC122</f>
        <v>375572</v>
      </c>
      <c r="L320" s="3">
        <f>'Monthly D5 RIN Data'!$AC134</f>
        <v>511673</v>
      </c>
      <c r="M320" s="3">
        <f>'Monthly D5 RIN Data'!$AC146</f>
        <v>537361</v>
      </c>
      <c r="N320" s="3">
        <f>'Monthly D5 RIN Data'!$AC158</f>
        <v>35325</v>
      </c>
      <c r="O320" s="3">
        <f>'Monthly D5 RIN Data'!$AC170</f>
        <v>0</v>
      </c>
      <c r="P320" s="3">
        <f>'Monthly D5 RIN Data'!$AC182</f>
        <v>5706477</v>
      </c>
      <c r="Q320" s="4">
        <f>'D5 Gallon Forecast'!Q306*AVERAGE('D5 RIN Forecast'!$AB$19:$AE$19)</f>
        <v>8764629.7002421543</v>
      </c>
      <c r="R320" s="4">
        <f>'D5 Gallon Forecast'!R306*AVERAGE('D5 RIN Forecast'!$AB$19:$AE$19)</f>
        <v>10441180.024625091</v>
      </c>
      <c r="S320" s="4">
        <f>'D5 Gallon Forecast'!S306*AVERAGE('D5 RIN Forecast'!$AB$19:$AE$19)</f>
        <v>10970029.315344913</v>
      </c>
      <c r="T320" s="4">
        <f>'D5 Gallon Forecast'!T306*AVERAGE('D5 RIN Forecast'!$AB$19:$AE$19)</f>
        <v>11298201.57001481</v>
      </c>
    </row>
    <row r="321" spans="1:20">
      <c r="A321" s="2" t="s">
        <v>54</v>
      </c>
      <c r="B321" s="3">
        <f>'Monthly D5 RIN Data'!$AC15</f>
        <v>0</v>
      </c>
      <c r="C321" s="3">
        <f>'Monthly D5 RIN Data'!$AC27</f>
        <v>0</v>
      </c>
      <c r="D321" s="3">
        <f>'Monthly D5 RIN Data'!$AC39</f>
        <v>0</v>
      </c>
      <c r="E321" s="3">
        <f>'Monthly D5 RIN Data'!$AC51</f>
        <v>0</v>
      </c>
      <c r="F321" s="3">
        <f>'Monthly D5 RIN Data'!$AC63</f>
        <v>0</v>
      </c>
      <c r="G321" s="3">
        <f>'Monthly D5 RIN Data'!$AC75</f>
        <v>0</v>
      </c>
      <c r="H321" s="3">
        <f>'Monthly D5 RIN Data'!$AC87</f>
        <v>0</v>
      </c>
      <c r="I321" s="3">
        <f>'Monthly D5 RIN Data'!$AC99</f>
        <v>0</v>
      </c>
      <c r="J321" s="3">
        <f>'Monthly D5 RIN Data'!$AC111</f>
        <v>0</v>
      </c>
      <c r="K321" s="3">
        <f>'Monthly D5 RIN Data'!$AC123</f>
        <v>1210673</v>
      </c>
      <c r="L321" s="3">
        <f>'Monthly D5 RIN Data'!$AC135</f>
        <v>770107</v>
      </c>
      <c r="M321" s="3">
        <f>'Monthly D5 RIN Data'!$AC147</f>
        <v>814915</v>
      </c>
      <c r="N321" s="3">
        <f>'Monthly D5 RIN Data'!$AC159</f>
        <v>401168</v>
      </c>
      <c r="O321" s="3">
        <f>'Monthly D5 RIN Data'!$AC171</f>
        <v>263237</v>
      </c>
      <c r="P321" s="3">
        <f>'Monthly D5 RIN Data'!$AC183</f>
        <v>5389457</v>
      </c>
      <c r="Q321" s="4">
        <f>'D5 Gallon Forecast'!Q307*AVERAGE('D5 RIN Forecast'!$AB$19:$AE$19)</f>
        <v>6039010.0569728063</v>
      </c>
      <c r="R321" s="4">
        <f>'D5 Gallon Forecast'!R307*AVERAGE('D5 RIN Forecast'!$AB$19:$AE$19)</f>
        <v>8958679.2406489514</v>
      </c>
      <c r="S321" s="4">
        <f>'D5 Gallon Forecast'!S307*AVERAGE('D5 RIN Forecast'!$AB$19:$AE$19)</f>
        <v>9256842.8089524619</v>
      </c>
      <c r="T321" s="4">
        <f>'D5 Gallon Forecast'!T307*AVERAGE('D5 RIN Forecast'!$AB$19:$AE$19)</f>
        <v>9416834.8917226326</v>
      </c>
    </row>
    <row r="322" spans="1:20" ht="13.5" thickBot="1">
      <c r="A322" s="2" t="s">
        <v>29</v>
      </c>
      <c r="B322" s="3">
        <f t="shared" ref="B322:O322" si="80">SUM(B310:B321)</f>
        <v>0</v>
      </c>
      <c r="C322" s="3">
        <f t="shared" si="80"/>
        <v>0</v>
      </c>
      <c r="D322" s="3">
        <f t="shared" si="80"/>
        <v>0</v>
      </c>
      <c r="E322" s="3">
        <f t="shared" si="80"/>
        <v>0</v>
      </c>
      <c r="F322" s="3">
        <f t="shared" si="80"/>
        <v>0</v>
      </c>
      <c r="G322" s="3">
        <f t="shared" si="80"/>
        <v>0</v>
      </c>
      <c r="H322" s="3">
        <f t="shared" si="80"/>
        <v>0</v>
      </c>
      <c r="I322" s="3">
        <f t="shared" si="80"/>
        <v>0</v>
      </c>
      <c r="J322" s="3">
        <f t="shared" si="80"/>
        <v>0</v>
      </c>
      <c r="K322" s="3">
        <f t="shared" si="80"/>
        <v>3466307</v>
      </c>
      <c r="L322" s="3">
        <f t="shared" si="80"/>
        <v>4749675</v>
      </c>
      <c r="M322" s="3">
        <f t="shared" si="80"/>
        <v>4913953</v>
      </c>
      <c r="N322" s="3">
        <f t="shared" si="80"/>
        <v>2269402</v>
      </c>
      <c r="O322" s="3">
        <f t="shared" si="80"/>
        <v>1199778</v>
      </c>
      <c r="P322" s="3">
        <f>SUM(P310:P321)</f>
        <v>31489468</v>
      </c>
      <c r="Q322" s="4">
        <f>SUM(Q310:Q321)</f>
        <v>85189991.243626684</v>
      </c>
      <c r="R322" s="4">
        <f>SUM(R310:R321)</f>
        <v>86799991.030023813</v>
      </c>
      <c r="S322" s="4">
        <f>SUM(S310:S321)</f>
        <v>90999990.595992729</v>
      </c>
      <c r="T322" s="4">
        <f>SUM(T310:T321)</f>
        <v>93099990.37897715</v>
      </c>
    </row>
    <row r="323" spans="1:20">
      <c r="A323" s="114"/>
      <c r="B323" s="114"/>
      <c r="C323" s="114"/>
      <c r="D323" s="114"/>
      <c r="E323" s="114"/>
      <c r="F323" s="114"/>
      <c r="G323" s="114"/>
      <c r="H323" s="114"/>
      <c r="I323" s="114"/>
      <c r="J323" s="114"/>
      <c r="K323" s="114"/>
      <c r="L323" s="114"/>
      <c r="M323" s="114"/>
      <c r="N323" s="114"/>
      <c r="O323" s="114"/>
      <c r="P323" s="114"/>
      <c r="Q323" s="114"/>
      <c r="R323" s="114"/>
      <c r="S323" s="114"/>
      <c r="T323" s="114"/>
    </row>
    <row r="324" spans="1:20" ht="16.5" thickBot="1">
      <c r="A324" s="109" t="s">
        <v>471</v>
      </c>
    </row>
    <row r="325" spans="1:20" ht="13.5" thickBot="1">
      <c r="A325" s="110"/>
      <c r="B325" s="111">
        <f>B2</f>
        <v>2010</v>
      </c>
      <c r="C325" s="111">
        <f t="shared" ref="C325:T325" si="81">C2</f>
        <v>2011</v>
      </c>
      <c r="D325" s="111">
        <f t="shared" si="81"/>
        <v>2012</v>
      </c>
      <c r="E325" s="111">
        <f t="shared" si="81"/>
        <v>2013</v>
      </c>
      <c r="F325" s="111">
        <f t="shared" si="81"/>
        <v>2014</v>
      </c>
      <c r="G325" s="111">
        <f t="shared" si="81"/>
        <v>2015</v>
      </c>
      <c r="H325" s="111">
        <f t="shared" si="81"/>
        <v>2016</v>
      </c>
      <c r="I325" s="111">
        <f t="shared" si="81"/>
        <v>2017</v>
      </c>
      <c r="J325" s="111">
        <f t="shared" si="81"/>
        <v>2018</v>
      </c>
      <c r="K325" s="111">
        <f t="shared" si="81"/>
        <v>2019</v>
      </c>
      <c r="L325" s="111">
        <f t="shared" si="81"/>
        <v>2020</v>
      </c>
      <c r="M325" s="111">
        <f t="shared" si="81"/>
        <v>2021</v>
      </c>
      <c r="N325" s="111">
        <f t="shared" si="81"/>
        <v>2022</v>
      </c>
      <c r="O325" s="111">
        <f t="shared" si="81"/>
        <v>2023</v>
      </c>
      <c r="P325" s="111">
        <f t="shared" si="81"/>
        <v>2024</v>
      </c>
      <c r="Q325" s="111">
        <f t="shared" si="81"/>
        <v>2025</v>
      </c>
      <c r="R325" s="111">
        <f t="shared" si="81"/>
        <v>2026</v>
      </c>
      <c r="S325" s="111">
        <f t="shared" si="81"/>
        <v>2027</v>
      </c>
      <c r="T325" s="111">
        <f t="shared" si="81"/>
        <v>2028</v>
      </c>
    </row>
    <row r="326" spans="1:20">
      <c r="A326" s="2" t="s">
        <v>43</v>
      </c>
      <c r="B326" s="3">
        <f>'Monthly D5 RIN Data'!$AD4</f>
        <v>0</v>
      </c>
      <c r="C326" s="3">
        <f>'Monthly D5 RIN Data'!$AD16</f>
        <v>0</v>
      </c>
      <c r="D326" s="3">
        <f>'Monthly D5 RIN Data'!$AD28</f>
        <v>0</v>
      </c>
      <c r="E326" s="3">
        <f>'Monthly D5 RIN Data'!$AD40</f>
        <v>0</v>
      </c>
      <c r="F326" s="3">
        <f>'Monthly D5 RIN Data'!$AD52</f>
        <v>1348024</v>
      </c>
      <c r="G326" s="3">
        <f>'Monthly D5 RIN Data'!$AD64</f>
        <v>2600076</v>
      </c>
      <c r="H326" s="3">
        <f>'Monthly D5 RIN Data'!$AD76</f>
        <v>1701906</v>
      </c>
      <c r="I326" s="3">
        <f>'Monthly D5 RIN Data'!$AD88</f>
        <v>2628468</v>
      </c>
      <c r="J326" s="3">
        <f>'Monthly D5 RIN Data'!$AD100</f>
        <v>2631674</v>
      </c>
      <c r="K326" s="3">
        <f>'Monthly D5 RIN Data'!$AD112</f>
        <v>2883364</v>
      </c>
      <c r="L326" s="3">
        <f>'Monthly D5 RIN Data'!$AD124</f>
        <v>3041038</v>
      </c>
      <c r="M326" s="3">
        <f>'Monthly D5 RIN Data'!$AD136</f>
        <v>2137183</v>
      </c>
      <c r="N326" s="3">
        <f>'Monthly D5 RIN Data'!$AD148</f>
        <v>6541629</v>
      </c>
      <c r="O326" s="3">
        <f>'Monthly D5 RIN Data'!$AD160</f>
        <v>7791870</v>
      </c>
      <c r="P326" s="3">
        <f>'Monthly D5 RIN Data'!$AD172</f>
        <v>5652004</v>
      </c>
      <c r="Q326" s="3">
        <f>'Monthly D5 RIN Data'!$AD184</f>
        <v>3498582</v>
      </c>
      <c r="R326" s="4">
        <f>'D5 Gallon Forecast'!R312*AVERAGE('D5 RIN Forecast'!$AA$20:$AE$20)</f>
        <v>4320676.7269375138</v>
      </c>
      <c r="S326" s="4">
        <f>'D5 Gallon Forecast'!S312*AVERAGE('D5 RIN Forecast'!$AA$20:$AE$20)</f>
        <v>5089406.3220143933</v>
      </c>
      <c r="T326" s="4">
        <f>'D5 Gallon Forecast'!T312*AVERAGE('D5 RIN Forecast'!$AA$20:$AE$20)</f>
        <v>5755977.2607199084</v>
      </c>
    </row>
    <row r="327" spans="1:20">
      <c r="A327" s="2" t="s">
        <v>44</v>
      </c>
      <c r="B327" s="3">
        <f>'Monthly D5 RIN Data'!$AD5</f>
        <v>0</v>
      </c>
      <c r="C327" s="3">
        <f>'Monthly D5 RIN Data'!$AD17</f>
        <v>0</v>
      </c>
      <c r="D327" s="3">
        <f>'Monthly D5 RIN Data'!$AD29</f>
        <v>0</v>
      </c>
      <c r="E327" s="3">
        <f>'Monthly D5 RIN Data'!$AD41</f>
        <v>0</v>
      </c>
      <c r="F327" s="3">
        <f>'Monthly D5 RIN Data'!$AD53</f>
        <v>1334459</v>
      </c>
      <c r="G327" s="3">
        <f>'Monthly D5 RIN Data'!$AD65</f>
        <v>1941197</v>
      </c>
      <c r="H327" s="3">
        <f>'Monthly D5 RIN Data'!$AD77</f>
        <v>820540</v>
      </c>
      <c r="I327" s="3">
        <f>'Monthly D5 RIN Data'!$AD89</f>
        <v>2433477</v>
      </c>
      <c r="J327" s="3">
        <f>'Monthly D5 RIN Data'!$AD101</f>
        <v>2926949</v>
      </c>
      <c r="K327" s="3">
        <f>'Monthly D5 RIN Data'!$AD113</f>
        <v>3434243</v>
      </c>
      <c r="L327" s="3">
        <f>'Monthly D5 RIN Data'!$AD125</f>
        <v>2742611</v>
      </c>
      <c r="M327" s="3">
        <f>'Monthly D5 RIN Data'!$AD137</f>
        <v>2375853</v>
      </c>
      <c r="N327" s="3">
        <f>'Monthly D5 RIN Data'!$AD149</f>
        <v>5721423</v>
      </c>
      <c r="O327" s="3">
        <f>'Monthly D5 RIN Data'!$AD161</f>
        <v>7848707</v>
      </c>
      <c r="P327" s="3">
        <f>'Monthly D5 RIN Data'!$AD173</f>
        <v>6769201</v>
      </c>
      <c r="Q327" s="3">
        <f>'Monthly D5 RIN Data'!$AD185</f>
        <v>3626528</v>
      </c>
      <c r="R327" s="4">
        <f>'D5 Gallon Forecast'!R313*AVERAGE('D5 RIN Forecast'!$AA$20:$AE$20)</f>
        <v>4442162.8457140476</v>
      </c>
      <c r="S327" s="4">
        <f>'D5 Gallon Forecast'!S313*AVERAGE('D5 RIN Forecast'!$AA$20:$AE$20)</f>
        <v>5199820.3582918933</v>
      </c>
      <c r="T327" s="4">
        <f>'D5 Gallon Forecast'!T313*AVERAGE('D5 RIN Forecast'!$AA$20:$AE$20)</f>
        <v>6091002.3157543233</v>
      </c>
    </row>
    <row r="328" spans="1:20">
      <c r="A328" s="2" t="s">
        <v>45</v>
      </c>
      <c r="B328" s="3">
        <f>'Monthly D5 RIN Data'!$AD6</f>
        <v>0</v>
      </c>
      <c r="C328" s="3">
        <f>'Monthly D5 RIN Data'!$AD18</f>
        <v>0</v>
      </c>
      <c r="D328" s="3">
        <f>'Monthly D5 RIN Data'!$AD30</f>
        <v>0</v>
      </c>
      <c r="E328" s="3">
        <f>'Monthly D5 RIN Data'!$AD42</f>
        <v>0</v>
      </c>
      <c r="F328" s="3">
        <f>'Monthly D5 RIN Data'!$AD54</f>
        <v>1510527</v>
      </c>
      <c r="G328" s="3">
        <f>'Monthly D5 RIN Data'!$AD66</f>
        <v>1643529</v>
      </c>
      <c r="H328" s="3">
        <f>'Monthly D5 RIN Data'!$AD78</f>
        <v>1629612</v>
      </c>
      <c r="I328" s="3">
        <f>'Monthly D5 RIN Data'!$AD90</f>
        <v>1342914</v>
      </c>
      <c r="J328" s="3">
        <f>'Monthly D5 RIN Data'!$AD102</f>
        <v>3561886</v>
      </c>
      <c r="K328" s="3">
        <f>'Monthly D5 RIN Data'!$AD114</f>
        <v>2907176</v>
      </c>
      <c r="L328" s="3">
        <f>'Monthly D5 RIN Data'!$AD126</f>
        <v>2825016</v>
      </c>
      <c r="M328" s="3">
        <f>'Monthly D5 RIN Data'!$AD138</f>
        <v>1997725</v>
      </c>
      <c r="N328" s="3">
        <f>'Monthly D5 RIN Data'!$AD150</f>
        <v>6258517</v>
      </c>
      <c r="O328" s="3">
        <f>'Monthly D5 RIN Data'!$AD162</f>
        <v>6458707</v>
      </c>
      <c r="P328" s="3">
        <f>'Monthly D5 RIN Data'!$AD174</f>
        <v>4440323</v>
      </c>
      <c r="Q328" s="3">
        <f>'Monthly D5 RIN Data'!$AD186</f>
        <v>3679909</v>
      </c>
      <c r="R328" s="4">
        <f>'D5 Gallon Forecast'!R314*AVERAGE('D5 RIN Forecast'!$AA$20:$AE$20)</f>
        <v>3850835.1044786423</v>
      </c>
      <c r="S328" s="4">
        <f>'D5 Gallon Forecast'!S314*AVERAGE('D5 RIN Forecast'!$AA$20:$AE$20)</f>
        <v>4518958.6178619359</v>
      </c>
      <c r="T328" s="4">
        <f>'D5 Gallon Forecast'!T314*AVERAGE('D5 RIN Forecast'!$AA$20:$AE$20)</f>
        <v>5012503.5298408419</v>
      </c>
    </row>
    <row r="329" spans="1:20">
      <c r="A329" s="2" t="s">
        <v>46</v>
      </c>
      <c r="B329" s="3">
        <f>'Monthly D5 RIN Data'!$AD7</f>
        <v>0</v>
      </c>
      <c r="C329" s="3">
        <f>'Monthly D5 RIN Data'!$AD19</f>
        <v>0</v>
      </c>
      <c r="D329" s="3">
        <f>'Monthly D5 RIN Data'!$AD31</f>
        <v>0</v>
      </c>
      <c r="E329" s="3">
        <f>'Monthly D5 RIN Data'!$AD43</f>
        <v>0</v>
      </c>
      <c r="F329" s="3">
        <f>'Monthly D5 RIN Data'!$AD55</f>
        <v>1329732</v>
      </c>
      <c r="G329" s="3">
        <f>'Monthly D5 RIN Data'!$AD67</f>
        <v>1821514</v>
      </c>
      <c r="H329" s="3">
        <f>'Monthly D5 RIN Data'!$AD79</f>
        <v>1660227</v>
      </c>
      <c r="I329" s="3">
        <f>'Monthly D5 RIN Data'!$AD91</f>
        <v>4536474</v>
      </c>
      <c r="J329" s="3">
        <f>'Monthly D5 RIN Data'!$AD103</f>
        <v>2687925</v>
      </c>
      <c r="K329" s="3">
        <f>'Monthly D5 RIN Data'!$AD115</f>
        <v>2839046</v>
      </c>
      <c r="L329" s="3">
        <f>'Monthly D5 RIN Data'!$AD127</f>
        <v>2319950</v>
      </c>
      <c r="M329" s="3">
        <f>'Monthly D5 RIN Data'!$AD139</f>
        <v>1633695</v>
      </c>
      <c r="N329" s="3">
        <f>'Monthly D5 RIN Data'!$AD151</f>
        <v>6441254</v>
      </c>
      <c r="O329" s="3">
        <f>'Monthly D5 RIN Data'!$AD163</f>
        <v>5997515</v>
      </c>
      <c r="P329" s="3">
        <f>'Monthly D5 RIN Data'!$AD175</f>
        <v>4844977</v>
      </c>
      <c r="Q329" s="4">
        <f>'D5 Gallon Forecast'!Q315*AVERAGE('D5 RIN Forecast'!$AA$20:$AE$20)</f>
        <v>3793398.5077368128</v>
      </c>
      <c r="R329" s="4">
        <f>'D5 Gallon Forecast'!R315*AVERAGE('D5 RIN Forecast'!$AA$20:$AE$20)</f>
        <v>3829871.239400282</v>
      </c>
      <c r="S329" s="4">
        <f>'D5 Gallon Forecast'!S315*AVERAGE('D5 RIN Forecast'!$AA$20:$AE$20)</f>
        <v>4558999.0810847022</v>
      </c>
      <c r="T329" s="4">
        <f>'D5 Gallon Forecast'!T315*AVERAGE('D5 RIN Forecast'!$AA$20:$AE$20)</f>
        <v>5029114.8197923182</v>
      </c>
    </row>
    <row r="330" spans="1:20">
      <c r="A330" s="2" t="s">
        <v>47</v>
      </c>
      <c r="B330" s="3">
        <f>'Monthly D5 RIN Data'!$AD8</f>
        <v>0</v>
      </c>
      <c r="C330" s="3">
        <f>'Monthly D5 RIN Data'!$AD20</f>
        <v>0</v>
      </c>
      <c r="D330" s="3">
        <f>'Monthly D5 RIN Data'!$AD32</f>
        <v>0</v>
      </c>
      <c r="E330" s="3">
        <f>'Monthly D5 RIN Data'!$AD44</f>
        <v>0</v>
      </c>
      <c r="F330" s="3">
        <f>'Monthly D5 RIN Data'!$AD56</f>
        <v>1406030</v>
      </c>
      <c r="G330" s="3">
        <f>'Monthly D5 RIN Data'!$AD68</f>
        <v>2214592</v>
      </c>
      <c r="H330" s="3">
        <f>'Monthly D5 RIN Data'!$AD80</f>
        <v>2357722</v>
      </c>
      <c r="I330" s="3">
        <f>'Monthly D5 RIN Data'!$AD92</f>
        <v>1991775</v>
      </c>
      <c r="J330" s="3">
        <f>'Monthly D5 RIN Data'!$AD104</f>
        <v>2818415</v>
      </c>
      <c r="K330" s="3">
        <f>'Monthly D5 RIN Data'!$AD116</f>
        <v>3181304</v>
      </c>
      <c r="L330" s="3">
        <f>'Monthly D5 RIN Data'!$AD128</f>
        <v>2743945</v>
      </c>
      <c r="M330" s="3">
        <f>'Monthly D5 RIN Data'!$AD140</f>
        <v>1597544</v>
      </c>
      <c r="N330" s="3">
        <f>'Monthly D5 RIN Data'!$AD152</f>
        <v>5454735</v>
      </c>
      <c r="O330" s="3">
        <f>'Monthly D5 RIN Data'!$AD164</f>
        <v>7563336</v>
      </c>
      <c r="P330" s="3">
        <f>'Monthly D5 RIN Data'!$AD176</f>
        <v>4649222</v>
      </c>
      <c r="Q330" s="4">
        <f>'D5 Gallon Forecast'!Q316*AVERAGE('D5 RIN Forecast'!$AA$20:$AE$20)</f>
        <v>3931181.9501078208</v>
      </c>
      <c r="R330" s="4">
        <f>'D5 Gallon Forecast'!R316*AVERAGE('D5 RIN Forecast'!$AA$20:$AE$20)</f>
        <v>3911688.6204355857</v>
      </c>
      <c r="S330" s="4">
        <f>'D5 Gallon Forecast'!S316*AVERAGE('D5 RIN Forecast'!$AA$20:$AE$20)</f>
        <v>4669397.9534911243</v>
      </c>
      <c r="T330" s="4">
        <f>'D5 Gallon Forecast'!T316*AVERAGE('D5 RIN Forecast'!$AA$20:$AE$20)</f>
        <v>5400445.1742272051</v>
      </c>
    </row>
    <row r="331" spans="1:20">
      <c r="A331" s="2" t="s">
        <v>48</v>
      </c>
      <c r="B331" s="3">
        <f>'Monthly D5 RIN Data'!$AD9</f>
        <v>0</v>
      </c>
      <c r="C331" s="3">
        <f>'Monthly D5 RIN Data'!$AD21</f>
        <v>0</v>
      </c>
      <c r="D331" s="3">
        <f>'Monthly D5 RIN Data'!$AD33</f>
        <v>0</v>
      </c>
      <c r="E331" s="3">
        <f>'Monthly D5 RIN Data'!$AD45</f>
        <v>0</v>
      </c>
      <c r="F331" s="3">
        <f>'Monthly D5 RIN Data'!$AD57</f>
        <v>1393164</v>
      </c>
      <c r="G331" s="3">
        <f>'Monthly D5 RIN Data'!$AD69</f>
        <v>1680246</v>
      </c>
      <c r="H331" s="3">
        <f>'Monthly D5 RIN Data'!$AD81</f>
        <v>2322379</v>
      </c>
      <c r="I331" s="3">
        <f>'Monthly D5 RIN Data'!$AD93</f>
        <v>2078297</v>
      </c>
      <c r="J331" s="3">
        <f>'Monthly D5 RIN Data'!$AD105</f>
        <v>415782</v>
      </c>
      <c r="K331" s="3">
        <f>'Monthly D5 RIN Data'!$AD117</f>
        <v>2613944</v>
      </c>
      <c r="L331" s="3">
        <f>'Monthly D5 RIN Data'!$AD129</f>
        <v>2416146</v>
      </c>
      <c r="M331" s="3">
        <f>'Monthly D5 RIN Data'!$AD141</f>
        <v>1315083</v>
      </c>
      <c r="N331" s="3">
        <f>'Monthly D5 RIN Data'!$AD153</f>
        <v>6388852</v>
      </c>
      <c r="O331" s="3">
        <f>'Monthly D5 RIN Data'!$AD165</f>
        <v>5774163</v>
      </c>
      <c r="P331" s="3">
        <f>'Monthly D5 RIN Data'!$AD177</f>
        <v>4104065</v>
      </c>
      <c r="Q331" s="4">
        <f>'D5 Gallon Forecast'!Q317*AVERAGE('D5 RIN Forecast'!$AA$20:$AE$20)</f>
        <v>3572072.9989640331</v>
      </c>
      <c r="R331" s="4">
        <f>'D5 Gallon Forecast'!R317*AVERAGE('D5 RIN Forecast'!$AA$20:$AE$20)</f>
        <v>3567369.5555721032</v>
      </c>
      <c r="S331" s="4">
        <f>'D5 Gallon Forecast'!S317*AVERAGE('D5 RIN Forecast'!$AA$20:$AE$20)</f>
        <v>4284345.7112710457</v>
      </c>
      <c r="T331" s="4">
        <f>'D5 Gallon Forecast'!T317*AVERAGE('D5 RIN Forecast'!$AA$20:$AE$20)</f>
        <v>4652828.0993959745</v>
      </c>
    </row>
    <row r="332" spans="1:20">
      <c r="A332" s="2" t="s">
        <v>49</v>
      </c>
      <c r="B332" s="3">
        <f>'Monthly D5 RIN Data'!$AD10</f>
        <v>0</v>
      </c>
      <c r="C332" s="3">
        <f>'Monthly D5 RIN Data'!$AD22</f>
        <v>0</v>
      </c>
      <c r="D332" s="3">
        <f>'Monthly D5 RIN Data'!$AD34</f>
        <v>0</v>
      </c>
      <c r="E332" s="3">
        <f>'Monthly D5 RIN Data'!$AD46</f>
        <v>0</v>
      </c>
      <c r="F332" s="3">
        <f>'Monthly D5 RIN Data'!$AD58</f>
        <v>1597460</v>
      </c>
      <c r="G332" s="3">
        <f>'Monthly D5 RIN Data'!$AD70</f>
        <v>2295854</v>
      </c>
      <c r="H332" s="3">
        <f>'Monthly D5 RIN Data'!$AD82</f>
        <v>2121349</v>
      </c>
      <c r="I332" s="3">
        <f>'Monthly D5 RIN Data'!$AD94</f>
        <v>2171983</v>
      </c>
      <c r="J332" s="3">
        <f>'Monthly D5 RIN Data'!$AD106</f>
        <v>55991</v>
      </c>
      <c r="K332" s="3">
        <f>'Monthly D5 RIN Data'!$AD118</f>
        <v>2536787</v>
      </c>
      <c r="L332" s="3">
        <f>'Monthly D5 RIN Data'!$AD130</f>
        <v>2575641</v>
      </c>
      <c r="M332" s="3">
        <f>'Monthly D5 RIN Data'!$AD142</f>
        <v>1381312</v>
      </c>
      <c r="N332" s="3">
        <f>'Monthly D5 RIN Data'!$AD154</f>
        <v>7093788</v>
      </c>
      <c r="O332" s="3">
        <f>'Monthly D5 RIN Data'!$AD166</f>
        <v>3305601</v>
      </c>
      <c r="P332" s="3">
        <f>'Monthly D5 RIN Data'!$AD178</f>
        <v>4001695</v>
      </c>
      <c r="Q332" s="4">
        <f>'D5 Gallon Forecast'!Q318*AVERAGE('D5 RIN Forecast'!$AA$20:$AE$20)</f>
        <v>3279090.2082280917</v>
      </c>
      <c r="R332" s="4">
        <f>'D5 Gallon Forecast'!R318*AVERAGE('D5 RIN Forecast'!$AA$20:$AE$20)</f>
        <v>3214456.6242266675</v>
      </c>
      <c r="S332" s="4">
        <f>'D5 Gallon Forecast'!S318*AVERAGE('D5 RIN Forecast'!$AA$20:$AE$20)</f>
        <v>3824567.647302167</v>
      </c>
      <c r="T332" s="4">
        <f>'D5 Gallon Forecast'!T318*AVERAGE('D5 RIN Forecast'!$AA$20:$AE$20)</f>
        <v>3849776.2835766515</v>
      </c>
    </row>
    <row r="333" spans="1:20">
      <c r="A333" s="2" t="s">
        <v>50</v>
      </c>
      <c r="B333" s="3">
        <f>'Monthly D5 RIN Data'!$AD11</f>
        <v>0</v>
      </c>
      <c r="C333" s="3">
        <f>'Monthly D5 RIN Data'!$AD23</f>
        <v>0</v>
      </c>
      <c r="D333" s="3">
        <f>'Monthly D5 RIN Data'!$AD35</f>
        <v>0</v>
      </c>
      <c r="E333" s="3">
        <f>'Monthly D5 RIN Data'!$AD47</f>
        <v>191847</v>
      </c>
      <c r="F333" s="3">
        <f>'Monthly D5 RIN Data'!$AD59</f>
        <v>175407</v>
      </c>
      <c r="G333" s="3">
        <f>'Monthly D5 RIN Data'!$AD71</f>
        <v>2278425</v>
      </c>
      <c r="H333" s="3">
        <f>'Monthly D5 RIN Data'!$AD83</f>
        <v>2722427</v>
      </c>
      <c r="I333" s="3">
        <f>'Monthly D5 RIN Data'!$AD95</f>
        <v>2683041</v>
      </c>
      <c r="J333" s="3">
        <f>'Monthly D5 RIN Data'!$AD107</f>
        <v>2672075</v>
      </c>
      <c r="K333" s="3">
        <f>'Monthly D5 RIN Data'!$AD119</f>
        <v>772561</v>
      </c>
      <c r="L333" s="3">
        <f>'Monthly D5 RIN Data'!$AD131</f>
        <v>2520505</v>
      </c>
      <c r="M333" s="3">
        <f>'Monthly D5 RIN Data'!$AD143</f>
        <v>1486645</v>
      </c>
      <c r="N333" s="3">
        <f>'Monthly D5 RIN Data'!$AD155</f>
        <v>11102300</v>
      </c>
      <c r="O333" s="3">
        <f>'Monthly D5 RIN Data'!$AD167</f>
        <v>4917964</v>
      </c>
      <c r="P333" s="3">
        <f>'Monthly D5 RIN Data'!$AD179</f>
        <v>4288165</v>
      </c>
      <c r="Q333" s="4">
        <f>'D5 Gallon Forecast'!Q319*AVERAGE('D5 RIN Forecast'!$AA$20:$AE$20)</f>
        <v>4343220.7658851892</v>
      </c>
      <c r="R333" s="4">
        <f>'D5 Gallon Forecast'!R319*AVERAGE('D5 RIN Forecast'!$AA$20:$AE$20)</f>
        <v>4407864.4633262455</v>
      </c>
      <c r="S333" s="4">
        <f>'D5 Gallon Forecast'!S319*AVERAGE('D5 RIN Forecast'!$AA$20:$AE$20)</f>
        <v>5319075.4944758918</v>
      </c>
      <c r="T333" s="4">
        <f>'D5 Gallon Forecast'!T319*AVERAGE('D5 RIN Forecast'!$AA$20:$AE$20)</f>
        <v>5084053.7284701495</v>
      </c>
    </row>
    <row r="334" spans="1:20">
      <c r="A334" s="2" t="s">
        <v>51</v>
      </c>
      <c r="B334" s="3">
        <f>'Monthly D5 RIN Data'!$AD12</f>
        <v>0</v>
      </c>
      <c r="C334" s="3">
        <f>'Monthly D5 RIN Data'!$AD24</f>
        <v>0</v>
      </c>
      <c r="D334" s="3">
        <f>'Monthly D5 RIN Data'!$AD36</f>
        <v>0</v>
      </c>
      <c r="E334" s="3">
        <f>'Monthly D5 RIN Data'!$AD48</f>
        <v>755816</v>
      </c>
      <c r="F334" s="3">
        <f>'Monthly D5 RIN Data'!$AD60</f>
        <v>1051551</v>
      </c>
      <c r="G334" s="3">
        <f>'Monthly D5 RIN Data'!$AD72</f>
        <v>2081355</v>
      </c>
      <c r="H334" s="3">
        <f>'Monthly D5 RIN Data'!$AD84</f>
        <v>2395337</v>
      </c>
      <c r="I334" s="3">
        <f>'Monthly D5 RIN Data'!$AD96</f>
        <v>2796849</v>
      </c>
      <c r="J334" s="3">
        <f>'Monthly D5 RIN Data'!$AD108</f>
        <v>4211843</v>
      </c>
      <c r="K334" s="3">
        <f>'Monthly D5 RIN Data'!$AD120</f>
        <v>2808188</v>
      </c>
      <c r="L334" s="3">
        <f>'Monthly D5 RIN Data'!$AD132</f>
        <v>2936588</v>
      </c>
      <c r="M334" s="3">
        <f>'Monthly D5 RIN Data'!$AD144</f>
        <v>1012705</v>
      </c>
      <c r="N334" s="3">
        <f>'Monthly D5 RIN Data'!$AD156</f>
        <v>7404812</v>
      </c>
      <c r="O334" s="3">
        <f>'Monthly D5 RIN Data'!$AD168</f>
        <v>4896778</v>
      </c>
      <c r="P334" s="3">
        <f>'Monthly D5 RIN Data'!$AD180</f>
        <v>5642600</v>
      </c>
      <c r="Q334" s="4">
        <f>'D5 Gallon Forecast'!Q320*AVERAGE('D5 RIN Forecast'!$AA$20:$AE$20)</f>
        <v>3910587.3371708482</v>
      </c>
      <c r="R334" s="4">
        <f>'D5 Gallon Forecast'!R320*AVERAGE('D5 RIN Forecast'!$AA$20:$AE$20)</f>
        <v>3856285.2519244002</v>
      </c>
      <c r="S334" s="4">
        <f>'D5 Gallon Forecast'!S320*AVERAGE('D5 RIN Forecast'!$AA$20:$AE$20)</f>
        <v>4706170.7288315017</v>
      </c>
      <c r="T334" s="4">
        <f>'D5 Gallon Forecast'!T320*AVERAGE('D5 RIN Forecast'!$AA$20:$AE$20)</f>
        <v>5026417.9243685501</v>
      </c>
    </row>
    <row r="335" spans="1:20">
      <c r="A335" s="2" t="s">
        <v>52</v>
      </c>
      <c r="B335" s="3">
        <f>'Monthly D5 RIN Data'!$AD13</f>
        <v>0</v>
      </c>
      <c r="C335" s="3">
        <f>'Monthly D5 RIN Data'!$AD25</f>
        <v>0</v>
      </c>
      <c r="D335" s="3">
        <f>'Monthly D5 RIN Data'!$AD37</f>
        <v>0</v>
      </c>
      <c r="E335" s="3">
        <f>'Monthly D5 RIN Data'!$AD49</f>
        <v>677388</v>
      </c>
      <c r="F335" s="3">
        <f>'Monthly D5 RIN Data'!$AD61</f>
        <v>2384292</v>
      </c>
      <c r="G335" s="3">
        <f>'Monthly D5 RIN Data'!$AD73</f>
        <v>1927553</v>
      </c>
      <c r="H335" s="3">
        <f>'Monthly D5 RIN Data'!$AD85</f>
        <v>2472174</v>
      </c>
      <c r="I335" s="3">
        <f>'Monthly D5 RIN Data'!$AD97</f>
        <v>2685665</v>
      </c>
      <c r="J335" s="3">
        <f>'Monthly D5 RIN Data'!$AD109</f>
        <v>3339313</v>
      </c>
      <c r="K335" s="3">
        <f>'Monthly D5 RIN Data'!$AD121</f>
        <v>2996901</v>
      </c>
      <c r="L335" s="3">
        <f>'Monthly D5 RIN Data'!$AD133</f>
        <v>477914</v>
      </c>
      <c r="M335" s="3">
        <f>'Monthly D5 RIN Data'!$AD145</f>
        <v>3136792</v>
      </c>
      <c r="N335" s="3">
        <f>'Monthly D5 RIN Data'!$AD157</f>
        <v>8958344</v>
      </c>
      <c r="O335" s="3">
        <f>'Monthly D5 RIN Data'!$AD169</f>
        <v>8926879</v>
      </c>
      <c r="P335" s="3">
        <f>'Monthly D5 RIN Data'!$AD181</f>
        <v>5814846</v>
      </c>
      <c r="Q335" s="4">
        <f>'D5 Gallon Forecast'!Q321*AVERAGE('D5 RIN Forecast'!$AA$20:$AE$20)</f>
        <v>4878933.3590778392</v>
      </c>
      <c r="R335" s="4">
        <f>'D5 Gallon Forecast'!R321*AVERAGE('D5 RIN Forecast'!$AA$20:$AE$20)</f>
        <v>5348433.4426513659</v>
      </c>
      <c r="S335" s="4">
        <f>'D5 Gallon Forecast'!S321*AVERAGE('D5 RIN Forecast'!$AA$20:$AE$20)</f>
        <v>6210103.6738902861</v>
      </c>
      <c r="T335" s="4">
        <f>'D5 Gallon Forecast'!T321*AVERAGE('D5 RIN Forecast'!$AA$20:$AE$20)</f>
        <v>6810224.5149616338</v>
      </c>
    </row>
    <row r="336" spans="1:20">
      <c r="A336" s="2" t="s">
        <v>53</v>
      </c>
      <c r="B336" s="3">
        <f>'Monthly D5 RIN Data'!$AD14</f>
        <v>0</v>
      </c>
      <c r="C336" s="3">
        <f>'Monthly D5 RIN Data'!$AD26</f>
        <v>0</v>
      </c>
      <c r="D336" s="3">
        <f>'Monthly D5 RIN Data'!$AD38</f>
        <v>0</v>
      </c>
      <c r="E336" s="3">
        <f>'Monthly D5 RIN Data'!$AD50</f>
        <v>693552</v>
      </c>
      <c r="F336" s="3">
        <f>'Monthly D5 RIN Data'!$AD62</f>
        <v>2012858</v>
      </c>
      <c r="G336" s="3">
        <f>'Monthly D5 RIN Data'!$AD74</f>
        <v>1766761</v>
      </c>
      <c r="H336" s="3">
        <f>'Monthly D5 RIN Data'!$AD86</f>
        <v>2732598</v>
      </c>
      <c r="I336" s="3">
        <f>'Monthly D5 RIN Data'!$AD98</f>
        <v>2746109</v>
      </c>
      <c r="J336" s="3">
        <f>'Monthly D5 RIN Data'!$AD110</f>
        <v>3122007</v>
      </c>
      <c r="K336" s="3">
        <f>'Monthly D5 RIN Data'!$AD122</f>
        <v>2960079</v>
      </c>
      <c r="L336" s="3">
        <f>'Monthly D5 RIN Data'!$AD134</f>
        <v>1936196</v>
      </c>
      <c r="M336" s="3">
        <f>'Monthly D5 RIN Data'!$AD146</f>
        <v>4320569</v>
      </c>
      <c r="N336" s="3">
        <f>'Monthly D5 RIN Data'!$AD158</f>
        <v>10838894</v>
      </c>
      <c r="O336" s="3">
        <f>'Monthly D5 RIN Data'!$AD170</f>
        <v>5629571</v>
      </c>
      <c r="P336" s="3">
        <f>'Monthly D5 RIN Data'!$AD182</f>
        <v>4727288</v>
      </c>
      <c r="Q336" s="4">
        <f>'D5 Gallon Forecast'!Q322*AVERAGE('D5 RIN Forecast'!$AA$20:$AE$20)</f>
        <v>4903538.597792835</v>
      </c>
      <c r="R336" s="4">
        <f>'D5 Gallon Forecast'!R322*AVERAGE('D5 RIN Forecast'!$AA$20:$AE$20)</f>
        <v>5129893.2245281432</v>
      </c>
      <c r="S336" s="4">
        <f>'D5 Gallon Forecast'!S322*AVERAGE('D5 RIN Forecast'!$AA$20:$AE$20)</f>
        <v>5716214.6312501039</v>
      </c>
      <c r="T336" s="4">
        <f>'D5 Gallon Forecast'!T322*AVERAGE('D5 RIN Forecast'!$AA$20:$AE$20)</f>
        <v>5702237.6470932299</v>
      </c>
    </row>
    <row r="337" spans="1:20">
      <c r="A337" s="2" t="s">
        <v>54</v>
      </c>
      <c r="B337" s="3">
        <f>'Monthly D5 RIN Data'!$AD15</f>
        <v>0</v>
      </c>
      <c r="C337" s="3">
        <f>'Monthly D5 RIN Data'!$AD27</f>
        <v>0</v>
      </c>
      <c r="D337" s="3">
        <f>'Monthly D5 RIN Data'!$AD39</f>
        <v>0</v>
      </c>
      <c r="E337" s="3">
        <f>'Monthly D5 RIN Data'!$AD51</f>
        <v>1148134</v>
      </c>
      <c r="F337" s="3">
        <f>'Monthly D5 RIN Data'!$AD63</f>
        <v>2597379</v>
      </c>
      <c r="G337" s="3">
        <f>'Monthly D5 RIN Data'!$AD75</f>
        <v>1737263</v>
      </c>
      <c r="H337" s="3">
        <f>'Monthly D5 RIN Data'!$AD87</f>
        <v>4230518</v>
      </c>
      <c r="I337" s="3">
        <f>'Monthly D5 RIN Data'!$AD99</f>
        <v>3434019</v>
      </c>
      <c r="J337" s="3">
        <f>'Monthly D5 RIN Data'!$AD111</f>
        <v>3658074</v>
      </c>
      <c r="K337" s="3">
        <f>'Monthly D5 RIN Data'!$AD123</f>
        <v>3159519</v>
      </c>
      <c r="L337" s="3">
        <f>'Monthly D5 RIN Data'!$AD135</f>
        <v>1607806</v>
      </c>
      <c r="M337" s="3">
        <f>'Monthly D5 RIN Data'!$AD147</f>
        <v>5951191</v>
      </c>
      <c r="N337" s="3">
        <f>'Monthly D5 RIN Data'!$AD159</f>
        <v>10647231</v>
      </c>
      <c r="O337" s="3">
        <f>'Monthly D5 RIN Data'!$AD171</f>
        <v>8066227</v>
      </c>
      <c r="P337" s="3">
        <f>'Monthly D5 RIN Data'!$AD183</f>
        <v>7365757</v>
      </c>
      <c r="Q337" s="4">
        <f>'D5 Gallon Forecast'!Q323*AVERAGE('D5 RIN Forecast'!$AA$20:$AE$20)</f>
        <v>8171525.6000508359</v>
      </c>
      <c r="R337" s="4">
        <f>'D5 Gallon Forecast'!R323*AVERAGE('D5 RIN Forecast'!$AA$20:$AE$20)</f>
        <v>6779503.0824646261</v>
      </c>
      <c r="S337" s="4">
        <f>'D5 Gallon Forecast'!S323*AVERAGE('D5 RIN Forecast'!$AA$20:$AE$20)</f>
        <v>7510205.0361374356</v>
      </c>
      <c r="T337" s="4">
        <f>'D5 Gallon Forecast'!T323*AVERAGE('D5 RIN Forecast'!$AA$20:$AE$20)</f>
        <v>8276712.3772569802</v>
      </c>
    </row>
    <row r="338" spans="1:20" ht="13.5" thickBot="1">
      <c r="A338" s="2" t="s">
        <v>29</v>
      </c>
      <c r="B338" s="3">
        <f t="shared" ref="B338:O338" si="82">SUM(B326:B337)</f>
        <v>0</v>
      </c>
      <c r="C338" s="3">
        <f t="shared" si="82"/>
        <v>0</v>
      </c>
      <c r="D338" s="3">
        <f t="shared" si="82"/>
        <v>0</v>
      </c>
      <c r="E338" s="3">
        <f t="shared" si="82"/>
        <v>3466737</v>
      </c>
      <c r="F338" s="3">
        <f t="shared" si="82"/>
        <v>18140883</v>
      </c>
      <c r="G338" s="3">
        <f t="shared" si="82"/>
        <v>23988365</v>
      </c>
      <c r="H338" s="3">
        <f t="shared" si="82"/>
        <v>27166789</v>
      </c>
      <c r="I338" s="3">
        <f t="shared" si="82"/>
        <v>31529071</v>
      </c>
      <c r="J338" s="3">
        <f t="shared" si="82"/>
        <v>32101934</v>
      </c>
      <c r="K338" s="3">
        <f t="shared" si="82"/>
        <v>33093112</v>
      </c>
      <c r="L338" s="3">
        <f t="shared" si="82"/>
        <v>28143356</v>
      </c>
      <c r="M338" s="3">
        <f t="shared" si="82"/>
        <v>28346297</v>
      </c>
      <c r="N338" s="3">
        <f t="shared" si="82"/>
        <v>92851779</v>
      </c>
      <c r="O338" s="3">
        <f t="shared" si="82"/>
        <v>77177318</v>
      </c>
      <c r="P338" s="3">
        <f>SUM(P326:P337)</f>
        <v>62300143</v>
      </c>
      <c r="Q338" s="4">
        <f>SUM(Q326:Q337)</f>
        <v>51588568.325014308</v>
      </c>
      <c r="R338" s="4">
        <f>SUM(R326:R337)</f>
        <v>52659040.181659624</v>
      </c>
      <c r="S338" s="4">
        <f>SUM(S326:S337)</f>
        <v>61607265.255902484</v>
      </c>
      <c r="T338" s="4">
        <f>SUM(T326:T337)</f>
        <v>66691293.675457761</v>
      </c>
    </row>
    <row r="339" spans="1:20">
      <c r="A339" s="114"/>
      <c r="B339" s="114"/>
      <c r="C339" s="114"/>
      <c r="D339" s="114"/>
      <c r="E339" s="114"/>
      <c r="F339" s="114"/>
      <c r="G339" s="114"/>
      <c r="H339" s="114"/>
      <c r="I339" s="114"/>
      <c r="J339" s="114"/>
      <c r="K339" s="114"/>
      <c r="L339" s="114"/>
      <c r="M339" s="114"/>
      <c r="N339" s="114"/>
      <c r="O339" s="114"/>
      <c r="P339" s="114"/>
      <c r="Q339" s="114"/>
      <c r="R339" s="114"/>
      <c r="S339" s="114"/>
      <c r="T339" s="114"/>
    </row>
    <row r="340" spans="1:20" ht="16.5" thickBot="1">
      <c r="A340" s="109" t="s">
        <v>452</v>
      </c>
    </row>
    <row r="341" spans="1:20" ht="13.5" thickBot="1">
      <c r="A341" s="110"/>
      <c r="B341" s="111">
        <v>2010</v>
      </c>
      <c r="C341" s="111">
        <v>2011</v>
      </c>
      <c r="D341" s="111">
        <v>2012</v>
      </c>
      <c r="E341" s="111">
        <v>2013</v>
      </c>
      <c r="F341" s="111">
        <v>2014</v>
      </c>
      <c r="G341" s="111">
        <v>2015</v>
      </c>
      <c r="H341" s="111">
        <v>2016</v>
      </c>
      <c r="I341" s="111">
        <v>2017</v>
      </c>
      <c r="J341" s="111">
        <v>2018</v>
      </c>
      <c r="K341" s="111">
        <v>2019</v>
      </c>
      <c r="L341" s="111">
        <v>2020</v>
      </c>
      <c r="M341" s="111">
        <v>2021</v>
      </c>
      <c r="N341" s="111">
        <v>2022</v>
      </c>
      <c r="O341" s="111">
        <v>2023</v>
      </c>
      <c r="P341" s="111">
        <v>2024</v>
      </c>
      <c r="Q341" s="111">
        <v>2025</v>
      </c>
      <c r="R341" s="111">
        <v>2026</v>
      </c>
      <c r="S341" s="111">
        <v>2027</v>
      </c>
      <c r="T341" s="111">
        <v>2028</v>
      </c>
    </row>
    <row r="342" spans="1:20">
      <c r="A342" s="2" t="s">
        <v>43</v>
      </c>
      <c r="B342" s="3">
        <f>'Monthly D5 RIN Data'!$O4</f>
        <v>0</v>
      </c>
      <c r="C342" s="3">
        <f>'Monthly D5 RIN Data'!$O16</f>
        <v>0</v>
      </c>
      <c r="D342" s="3">
        <f>'Monthly D5 RIN Data'!$O28</f>
        <v>0</v>
      </c>
      <c r="E342" s="3">
        <f>'Monthly D5 RIN Data'!$O40</f>
        <v>0</v>
      </c>
      <c r="F342" s="3">
        <f>'Monthly D5 RIN Data'!$O52</f>
        <v>0</v>
      </c>
      <c r="G342" s="3">
        <f>'Monthly D5 RIN Data'!$O64</f>
        <v>0</v>
      </c>
      <c r="H342" s="3">
        <f>'Monthly D5 RIN Data'!$O76</f>
        <v>0</v>
      </c>
      <c r="I342" s="3">
        <f>'Monthly D5 RIN Data'!$O88</f>
        <v>0</v>
      </c>
      <c r="J342" s="3">
        <f>'Monthly D5 RIN Data'!$O100</f>
        <v>0</v>
      </c>
      <c r="K342" s="3">
        <f>'Monthly D5 RIN Data'!$O112</f>
        <v>0</v>
      </c>
      <c r="L342" s="3">
        <f>'Monthly D5 RIN Data'!$O124</f>
        <v>0</v>
      </c>
      <c r="M342" s="3">
        <f>'Monthly D5 RIN Data'!$O136</f>
        <v>0</v>
      </c>
      <c r="N342" s="3">
        <f>'Monthly D5 RIN Data'!$O148</f>
        <v>0</v>
      </c>
      <c r="O342" s="3">
        <f>'Monthly D5 RIN Data'!$O160</f>
        <v>0</v>
      </c>
      <c r="P342" s="3">
        <f>'Monthly D5 RIN Data'!$O172</f>
        <v>0</v>
      </c>
      <c r="Q342" s="3">
        <f>'Monthly D5 RIN Data'!$O184</f>
        <v>0</v>
      </c>
      <c r="R342" s="4">
        <f>'D5 Gallon Forecast'!R328</f>
        <v>0</v>
      </c>
      <c r="S342" s="4">
        <f>'D5 Gallon Forecast'!S328</f>
        <v>0</v>
      </c>
      <c r="T342" s="4">
        <f>'D5 Gallon Forecast'!T328</f>
        <v>0</v>
      </c>
    </row>
    <row r="343" spans="1:20">
      <c r="A343" s="2" t="s">
        <v>44</v>
      </c>
      <c r="B343" s="3">
        <f>'Monthly D5 RIN Data'!$O5</f>
        <v>0</v>
      </c>
      <c r="C343" s="3">
        <f>'Monthly D5 RIN Data'!$O17</f>
        <v>0</v>
      </c>
      <c r="D343" s="3">
        <f>'Monthly D5 RIN Data'!$O29</f>
        <v>0</v>
      </c>
      <c r="E343" s="3">
        <f>'Monthly D5 RIN Data'!$O41</f>
        <v>0</v>
      </c>
      <c r="F343" s="3">
        <f>'Monthly D5 RIN Data'!$O53</f>
        <v>0</v>
      </c>
      <c r="G343" s="3">
        <f>'Monthly D5 RIN Data'!$O65</f>
        <v>0</v>
      </c>
      <c r="H343" s="3">
        <f>'Monthly D5 RIN Data'!$O77</f>
        <v>0</v>
      </c>
      <c r="I343" s="3">
        <f>'Monthly D5 RIN Data'!$O89</f>
        <v>0</v>
      </c>
      <c r="J343" s="3">
        <f>'Monthly D5 RIN Data'!$O101</f>
        <v>0</v>
      </c>
      <c r="K343" s="3">
        <f>'Monthly D5 RIN Data'!$O113</f>
        <v>0</v>
      </c>
      <c r="L343" s="3">
        <f>'Monthly D5 RIN Data'!$O125</f>
        <v>0</v>
      </c>
      <c r="M343" s="3">
        <f>'Monthly D5 RIN Data'!$O137</f>
        <v>0</v>
      </c>
      <c r="N343" s="3">
        <f>'Monthly D5 RIN Data'!$O149</f>
        <v>0</v>
      </c>
      <c r="O343" s="3">
        <f>'Monthly D5 RIN Data'!$O161</f>
        <v>0</v>
      </c>
      <c r="P343" s="3">
        <f>'Monthly D5 RIN Data'!$O173</f>
        <v>0</v>
      </c>
      <c r="Q343" s="3">
        <f>'Monthly D5 RIN Data'!$O185</f>
        <v>0</v>
      </c>
      <c r="R343" s="4">
        <f>'D5 Gallon Forecast'!R329</f>
        <v>0</v>
      </c>
      <c r="S343" s="4">
        <f>'D5 Gallon Forecast'!S329</f>
        <v>0</v>
      </c>
      <c r="T343" s="4">
        <f>'D5 Gallon Forecast'!T329</f>
        <v>0</v>
      </c>
    </row>
    <row r="344" spans="1:20">
      <c r="A344" s="2" t="s">
        <v>45</v>
      </c>
      <c r="B344" s="3">
        <f>'Monthly D5 RIN Data'!$O6</f>
        <v>0</v>
      </c>
      <c r="C344" s="3">
        <f>'Monthly D5 RIN Data'!$O18</f>
        <v>0</v>
      </c>
      <c r="D344" s="3">
        <f>'Monthly D5 RIN Data'!$O30</f>
        <v>0</v>
      </c>
      <c r="E344" s="3">
        <f>'Monthly D5 RIN Data'!$O42</f>
        <v>0</v>
      </c>
      <c r="F344" s="3">
        <f>'Monthly D5 RIN Data'!$O54</f>
        <v>0</v>
      </c>
      <c r="G344" s="3">
        <f>'Monthly D5 RIN Data'!$O66</f>
        <v>0</v>
      </c>
      <c r="H344" s="3">
        <f>'Monthly D5 RIN Data'!$O78</f>
        <v>0</v>
      </c>
      <c r="I344" s="3">
        <f>'Monthly D5 RIN Data'!$O90</f>
        <v>0</v>
      </c>
      <c r="J344" s="3">
        <f>'Monthly D5 RIN Data'!$O102</f>
        <v>0</v>
      </c>
      <c r="K344" s="3">
        <f>'Monthly D5 RIN Data'!$O114</f>
        <v>0</v>
      </c>
      <c r="L344" s="3">
        <f>'Monthly D5 RIN Data'!$O126</f>
        <v>0</v>
      </c>
      <c r="M344" s="3">
        <f>'Monthly D5 RIN Data'!$O138</f>
        <v>0</v>
      </c>
      <c r="N344" s="3">
        <f>'Monthly D5 RIN Data'!$O150</f>
        <v>0</v>
      </c>
      <c r="O344" s="3">
        <f>'Monthly D5 RIN Data'!$O162</f>
        <v>0</v>
      </c>
      <c r="P344" s="3">
        <f>'Monthly D5 RIN Data'!$O174</f>
        <v>0</v>
      </c>
      <c r="Q344" s="3">
        <f>'Monthly D5 RIN Data'!$O186</f>
        <v>0</v>
      </c>
      <c r="R344" s="4">
        <f>'D5 Gallon Forecast'!R330</f>
        <v>0</v>
      </c>
      <c r="S344" s="4">
        <f>'D5 Gallon Forecast'!S330</f>
        <v>0</v>
      </c>
      <c r="T344" s="4">
        <f>'D5 Gallon Forecast'!T330</f>
        <v>0</v>
      </c>
    </row>
    <row r="345" spans="1:20">
      <c r="A345" s="2" t="s">
        <v>46</v>
      </c>
      <c r="B345" s="3">
        <f>'Monthly D5 RIN Data'!$O7</f>
        <v>0</v>
      </c>
      <c r="C345" s="3">
        <f>'Monthly D5 RIN Data'!$O19</f>
        <v>0</v>
      </c>
      <c r="D345" s="3">
        <f>'Monthly D5 RIN Data'!$O31</f>
        <v>0</v>
      </c>
      <c r="E345" s="3">
        <f>'Monthly D5 RIN Data'!$O43</f>
        <v>0</v>
      </c>
      <c r="F345" s="3">
        <f>'Monthly D5 RIN Data'!$O55</f>
        <v>0</v>
      </c>
      <c r="G345" s="3">
        <f>'Monthly D5 RIN Data'!$O67</f>
        <v>0</v>
      </c>
      <c r="H345" s="3">
        <f>'Monthly D5 RIN Data'!$O79</f>
        <v>0</v>
      </c>
      <c r="I345" s="3">
        <f>'Monthly D5 RIN Data'!$O91</f>
        <v>0</v>
      </c>
      <c r="J345" s="3">
        <f>'Monthly D5 RIN Data'!$O103</f>
        <v>0</v>
      </c>
      <c r="K345" s="3">
        <f>'Monthly D5 RIN Data'!$O115</f>
        <v>0</v>
      </c>
      <c r="L345" s="3">
        <f>'Monthly D5 RIN Data'!$O127</f>
        <v>0</v>
      </c>
      <c r="M345" s="3">
        <f>'Monthly D5 RIN Data'!$O139</f>
        <v>0</v>
      </c>
      <c r="N345" s="3">
        <f>'Monthly D5 RIN Data'!$O151</f>
        <v>0</v>
      </c>
      <c r="O345" s="3">
        <f>'Monthly D5 RIN Data'!$O163</f>
        <v>0</v>
      </c>
      <c r="P345" s="3">
        <f>'Monthly D5 RIN Data'!$O175</f>
        <v>0</v>
      </c>
      <c r="Q345" s="4">
        <f>'D5 Gallon Forecast'!Q331</f>
        <v>0</v>
      </c>
      <c r="R345" s="4">
        <f>'D5 Gallon Forecast'!R331</f>
        <v>0</v>
      </c>
      <c r="S345" s="4">
        <f>'D5 Gallon Forecast'!S331</f>
        <v>0</v>
      </c>
      <c r="T345" s="4">
        <f>'D5 Gallon Forecast'!T331</f>
        <v>0</v>
      </c>
    </row>
    <row r="346" spans="1:20">
      <c r="A346" s="2" t="s">
        <v>47</v>
      </c>
      <c r="B346" s="3">
        <f>'Monthly D5 RIN Data'!$O8</f>
        <v>0</v>
      </c>
      <c r="C346" s="3">
        <f>'Monthly D5 RIN Data'!$O20</f>
        <v>0</v>
      </c>
      <c r="D346" s="3">
        <f>'Monthly D5 RIN Data'!$O32</f>
        <v>0</v>
      </c>
      <c r="E346" s="3">
        <f>'Monthly D5 RIN Data'!$O44</f>
        <v>0</v>
      </c>
      <c r="F346" s="3">
        <f>'Monthly D5 RIN Data'!$O56</f>
        <v>0</v>
      </c>
      <c r="G346" s="3">
        <f>'Monthly D5 RIN Data'!$O68</f>
        <v>0</v>
      </c>
      <c r="H346" s="3">
        <f>'Monthly D5 RIN Data'!$O80</f>
        <v>0</v>
      </c>
      <c r="I346" s="3">
        <f>'Monthly D5 RIN Data'!$O92</f>
        <v>0</v>
      </c>
      <c r="J346" s="3">
        <f>'Monthly D5 RIN Data'!$O104</f>
        <v>0</v>
      </c>
      <c r="K346" s="3">
        <f>'Monthly D5 RIN Data'!$O116</f>
        <v>0</v>
      </c>
      <c r="L346" s="3">
        <f>'Monthly D5 RIN Data'!$O128</f>
        <v>0</v>
      </c>
      <c r="M346" s="3">
        <f>'Monthly D5 RIN Data'!$O140</f>
        <v>0</v>
      </c>
      <c r="N346" s="3">
        <f>'Monthly D5 RIN Data'!$O152</f>
        <v>0</v>
      </c>
      <c r="O346" s="3">
        <f>'Monthly D5 RIN Data'!$O164</f>
        <v>0</v>
      </c>
      <c r="P346" s="3">
        <f>'Monthly D5 RIN Data'!$O176</f>
        <v>0</v>
      </c>
      <c r="Q346" s="4">
        <f>'D5 Gallon Forecast'!Q332</f>
        <v>0</v>
      </c>
      <c r="R346" s="4">
        <f>'D5 Gallon Forecast'!R332</f>
        <v>0</v>
      </c>
      <c r="S346" s="4">
        <f>'D5 Gallon Forecast'!S332</f>
        <v>0</v>
      </c>
      <c r="T346" s="4">
        <f>'D5 Gallon Forecast'!T332</f>
        <v>0</v>
      </c>
    </row>
    <row r="347" spans="1:20">
      <c r="A347" s="2" t="s">
        <v>48</v>
      </c>
      <c r="B347" s="3">
        <f>'Monthly D5 RIN Data'!$O9</f>
        <v>0</v>
      </c>
      <c r="C347" s="3">
        <f>'Monthly D5 RIN Data'!$O21</f>
        <v>0</v>
      </c>
      <c r="D347" s="3">
        <f>'Monthly D5 RIN Data'!$O33</f>
        <v>0</v>
      </c>
      <c r="E347" s="3">
        <f>'Monthly D5 RIN Data'!$O45</f>
        <v>0</v>
      </c>
      <c r="F347" s="3">
        <f>'Monthly D5 RIN Data'!$O57</f>
        <v>0</v>
      </c>
      <c r="G347" s="3">
        <f>'Monthly D5 RIN Data'!$O69</f>
        <v>0</v>
      </c>
      <c r="H347" s="3">
        <f>'Monthly D5 RIN Data'!$O81</f>
        <v>0</v>
      </c>
      <c r="I347" s="3">
        <f>'Monthly D5 RIN Data'!$O93</f>
        <v>0</v>
      </c>
      <c r="J347" s="3">
        <f>'Monthly D5 RIN Data'!$O105</f>
        <v>0</v>
      </c>
      <c r="K347" s="3">
        <f>'Monthly D5 RIN Data'!$O117</f>
        <v>0</v>
      </c>
      <c r="L347" s="3">
        <f>'Monthly D5 RIN Data'!$O129</f>
        <v>0</v>
      </c>
      <c r="M347" s="3">
        <f>'Monthly D5 RIN Data'!$O141</f>
        <v>0</v>
      </c>
      <c r="N347" s="3">
        <f>'Monthly D5 RIN Data'!$O153</f>
        <v>0</v>
      </c>
      <c r="O347" s="3">
        <f>'Monthly D5 RIN Data'!$O165</f>
        <v>0</v>
      </c>
      <c r="P347" s="3">
        <f>'Monthly D5 RIN Data'!$O177</f>
        <v>0</v>
      </c>
      <c r="Q347" s="4">
        <f>'D5 Gallon Forecast'!Q333</f>
        <v>0</v>
      </c>
      <c r="R347" s="4">
        <f>'D5 Gallon Forecast'!R333</f>
        <v>0</v>
      </c>
      <c r="S347" s="4">
        <f>'D5 Gallon Forecast'!S333</f>
        <v>0</v>
      </c>
      <c r="T347" s="4">
        <f>'D5 Gallon Forecast'!T333</f>
        <v>0</v>
      </c>
    </row>
    <row r="348" spans="1:20">
      <c r="A348" s="2" t="s">
        <v>49</v>
      </c>
      <c r="B348" s="3">
        <f>'Monthly D5 RIN Data'!$O10</f>
        <v>0</v>
      </c>
      <c r="C348" s="3">
        <f>'Monthly D5 RIN Data'!$O22</f>
        <v>0</v>
      </c>
      <c r="D348" s="3">
        <f>'Monthly D5 RIN Data'!$O34</f>
        <v>0</v>
      </c>
      <c r="E348" s="3">
        <f>'Monthly D5 RIN Data'!$O46</f>
        <v>0</v>
      </c>
      <c r="F348" s="3">
        <f>'Monthly D5 RIN Data'!$O58</f>
        <v>0</v>
      </c>
      <c r="G348" s="3">
        <f>'Monthly D5 RIN Data'!$O70</f>
        <v>0</v>
      </c>
      <c r="H348" s="3">
        <f>'Monthly D5 RIN Data'!$O82</f>
        <v>0</v>
      </c>
      <c r="I348" s="3">
        <f>'Monthly D5 RIN Data'!$O94</f>
        <v>0</v>
      </c>
      <c r="J348" s="3">
        <f>'Monthly D5 RIN Data'!$O106</f>
        <v>0</v>
      </c>
      <c r="K348" s="3">
        <f>'Monthly D5 RIN Data'!$O118</f>
        <v>0</v>
      </c>
      <c r="L348" s="3">
        <f>'Monthly D5 RIN Data'!$O130</f>
        <v>0</v>
      </c>
      <c r="M348" s="3">
        <f>'Monthly D5 RIN Data'!$O142</f>
        <v>0</v>
      </c>
      <c r="N348" s="3">
        <f>'Monthly D5 RIN Data'!$O154</f>
        <v>0</v>
      </c>
      <c r="O348" s="3">
        <f>'Monthly D5 RIN Data'!$O166</f>
        <v>0</v>
      </c>
      <c r="P348" s="3">
        <f>'Monthly D5 RIN Data'!$O178</f>
        <v>0</v>
      </c>
      <c r="Q348" s="4">
        <f>'D5 Gallon Forecast'!Q334</f>
        <v>0</v>
      </c>
      <c r="R348" s="4">
        <f>'D5 Gallon Forecast'!R334</f>
        <v>0</v>
      </c>
      <c r="S348" s="4">
        <f>'D5 Gallon Forecast'!S334</f>
        <v>0</v>
      </c>
      <c r="T348" s="4">
        <f>'D5 Gallon Forecast'!T334</f>
        <v>0</v>
      </c>
    </row>
    <row r="349" spans="1:20">
      <c r="A349" s="2" t="s">
        <v>50</v>
      </c>
      <c r="B349" s="3">
        <f>'Monthly D5 RIN Data'!$O11</f>
        <v>0</v>
      </c>
      <c r="C349" s="3">
        <f>'Monthly D5 RIN Data'!$O23</f>
        <v>0</v>
      </c>
      <c r="D349" s="3">
        <f>'Monthly D5 RIN Data'!$O35</f>
        <v>0</v>
      </c>
      <c r="E349" s="3">
        <f>'Monthly D5 RIN Data'!$O47</f>
        <v>0</v>
      </c>
      <c r="F349" s="3">
        <f>'Monthly D5 RIN Data'!$O59</f>
        <v>0</v>
      </c>
      <c r="G349" s="3">
        <f>'Monthly D5 RIN Data'!$O71</f>
        <v>0</v>
      </c>
      <c r="H349" s="3">
        <f>'Monthly D5 RIN Data'!$O83</f>
        <v>0</v>
      </c>
      <c r="I349" s="3">
        <f>'Monthly D5 RIN Data'!$O95</f>
        <v>0</v>
      </c>
      <c r="J349" s="3">
        <f>'Monthly D5 RIN Data'!$O107</f>
        <v>0</v>
      </c>
      <c r="K349" s="3">
        <f>'Monthly D5 RIN Data'!$O119</f>
        <v>0</v>
      </c>
      <c r="L349" s="3">
        <f>'Monthly D5 RIN Data'!$O131</f>
        <v>0</v>
      </c>
      <c r="M349" s="3">
        <f>'Monthly D5 RIN Data'!$O143</f>
        <v>0</v>
      </c>
      <c r="N349" s="3">
        <f>'Monthly D5 RIN Data'!$O155</f>
        <v>0</v>
      </c>
      <c r="O349" s="3">
        <f>'Monthly D5 RIN Data'!$O167</f>
        <v>0</v>
      </c>
      <c r="P349" s="3">
        <f>'Monthly D5 RIN Data'!$O179</f>
        <v>0</v>
      </c>
      <c r="Q349" s="4">
        <f>'D5 Gallon Forecast'!Q335</f>
        <v>0</v>
      </c>
      <c r="R349" s="4">
        <f>'D5 Gallon Forecast'!R335</f>
        <v>0</v>
      </c>
      <c r="S349" s="4">
        <f>'D5 Gallon Forecast'!S335</f>
        <v>0</v>
      </c>
      <c r="T349" s="4">
        <f>'D5 Gallon Forecast'!T335</f>
        <v>0</v>
      </c>
    </row>
    <row r="350" spans="1:20">
      <c r="A350" s="2" t="s">
        <v>51</v>
      </c>
      <c r="B350" s="3">
        <f>'Monthly D5 RIN Data'!$O12</f>
        <v>0</v>
      </c>
      <c r="C350" s="3">
        <f>'Monthly D5 RIN Data'!$O24</f>
        <v>0</v>
      </c>
      <c r="D350" s="3">
        <f>'Monthly D5 RIN Data'!$O36</f>
        <v>0</v>
      </c>
      <c r="E350" s="3">
        <f>'Monthly D5 RIN Data'!$O48</f>
        <v>0</v>
      </c>
      <c r="F350" s="3">
        <f>'Monthly D5 RIN Data'!$O60</f>
        <v>0</v>
      </c>
      <c r="G350" s="3">
        <f>'Monthly D5 RIN Data'!$O72</f>
        <v>0</v>
      </c>
      <c r="H350" s="3">
        <f>'Monthly D5 RIN Data'!$O84</f>
        <v>0</v>
      </c>
      <c r="I350" s="3">
        <f>'Monthly D5 RIN Data'!$O96</f>
        <v>0</v>
      </c>
      <c r="J350" s="3">
        <f>'Monthly D5 RIN Data'!$O108</f>
        <v>0</v>
      </c>
      <c r="K350" s="3">
        <f>'Monthly D5 RIN Data'!$O120</f>
        <v>0</v>
      </c>
      <c r="L350" s="3">
        <f>'Monthly D5 RIN Data'!$O132</f>
        <v>0</v>
      </c>
      <c r="M350" s="3">
        <f>'Monthly D5 RIN Data'!$O144</f>
        <v>0</v>
      </c>
      <c r="N350" s="3">
        <f>'Monthly D5 RIN Data'!$O156</f>
        <v>0</v>
      </c>
      <c r="O350" s="3">
        <f>'Monthly D5 RIN Data'!$O168</f>
        <v>0</v>
      </c>
      <c r="P350" s="3">
        <f>'Monthly D5 RIN Data'!$O180</f>
        <v>0</v>
      </c>
      <c r="Q350" s="4">
        <f>'D5 Gallon Forecast'!Q336</f>
        <v>0</v>
      </c>
      <c r="R350" s="4">
        <f>'D5 Gallon Forecast'!R336</f>
        <v>0</v>
      </c>
      <c r="S350" s="4">
        <f>'D5 Gallon Forecast'!S336</f>
        <v>0</v>
      </c>
      <c r="T350" s="4">
        <f>'D5 Gallon Forecast'!T336</f>
        <v>0</v>
      </c>
    </row>
    <row r="351" spans="1:20">
      <c r="A351" s="2" t="s">
        <v>52</v>
      </c>
      <c r="B351" s="3">
        <f>'Monthly D5 RIN Data'!$O13</f>
        <v>0</v>
      </c>
      <c r="C351" s="3">
        <f>'Monthly D5 RIN Data'!$O25</f>
        <v>0</v>
      </c>
      <c r="D351" s="3">
        <f>'Monthly D5 RIN Data'!$O37</f>
        <v>0</v>
      </c>
      <c r="E351" s="3">
        <f>'Monthly D5 RIN Data'!$O49</f>
        <v>0</v>
      </c>
      <c r="F351" s="3">
        <f>'Monthly D5 RIN Data'!$O61</f>
        <v>0</v>
      </c>
      <c r="G351" s="3">
        <f>'Monthly D5 RIN Data'!$O73</f>
        <v>0</v>
      </c>
      <c r="H351" s="3">
        <f>'Monthly D5 RIN Data'!$O85</f>
        <v>0</v>
      </c>
      <c r="I351" s="3">
        <f>'Monthly D5 RIN Data'!$O97</f>
        <v>0</v>
      </c>
      <c r="J351" s="3">
        <f>'Monthly D5 RIN Data'!$O109</f>
        <v>0</v>
      </c>
      <c r="K351" s="3">
        <f>'Monthly D5 RIN Data'!$O121</f>
        <v>0</v>
      </c>
      <c r="L351" s="3">
        <f>'Monthly D5 RIN Data'!$O133</f>
        <v>0</v>
      </c>
      <c r="M351" s="3">
        <f>'Monthly D5 RIN Data'!$O145</f>
        <v>0</v>
      </c>
      <c r="N351" s="3">
        <f>'Monthly D5 RIN Data'!$O157</f>
        <v>0</v>
      </c>
      <c r="O351" s="3">
        <f>'Monthly D5 RIN Data'!$O169</f>
        <v>0</v>
      </c>
      <c r="P351" s="3">
        <f>'Monthly D5 RIN Data'!$O181</f>
        <v>0</v>
      </c>
      <c r="Q351" s="4">
        <f>'D5 Gallon Forecast'!Q337</f>
        <v>0</v>
      </c>
      <c r="R351" s="4">
        <f>'D5 Gallon Forecast'!R337</f>
        <v>0</v>
      </c>
      <c r="S351" s="4">
        <f>'D5 Gallon Forecast'!S337</f>
        <v>0</v>
      </c>
      <c r="T351" s="4">
        <f>'D5 Gallon Forecast'!T337</f>
        <v>0</v>
      </c>
    </row>
    <row r="352" spans="1:20">
      <c r="A352" s="2" t="s">
        <v>53</v>
      </c>
      <c r="B352" s="3">
        <f>'Monthly D5 RIN Data'!$O14</f>
        <v>0</v>
      </c>
      <c r="C352" s="3">
        <f>'Monthly D5 RIN Data'!$O26</f>
        <v>0</v>
      </c>
      <c r="D352" s="3">
        <f>'Monthly D5 RIN Data'!$O38</f>
        <v>0</v>
      </c>
      <c r="E352" s="3">
        <f>'Monthly D5 RIN Data'!$O50</f>
        <v>0</v>
      </c>
      <c r="F352" s="3">
        <f>'Monthly D5 RIN Data'!$O62</f>
        <v>0</v>
      </c>
      <c r="G352" s="3">
        <f>'Monthly D5 RIN Data'!$O74</f>
        <v>0</v>
      </c>
      <c r="H352" s="3">
        <f>'Monthly D5 RIN Data'!$O86</f>
        <v>0</v>
      </c>
      <c r="I352" s="3">
        <f>'Monthly D5 RIN Data'!$O98</f>
        <v>0</v>
      </c>
      <c r="J352" s="3">
        <f>'Monthly D5 RIN Data'!$O110</f>
        <v>0</v>
      </c>
      <c r="K352" s="3">
        <f>'Monthly D5 RIN Data'!$O122</f>
        <v>0</v>
      </c>
      <c r="L352" s="3">
        <f>'Monthly D5 RIN Data'!$O134</f>
        <v>0</v>
      </c>
      <c r="M352" s="3">
        <f>'Monthly D5 RIN Data'!$O146</f>
        <v>0</v>
      </c>
      <c r="N352" s="3">
        <f>'Monthly D5 RIN Data'!$O158</f>
        <v>0</v>
      </c>
      <c r="O352" s="3">
        <f>'Monthly D5 RIN Data'!$O170</f>
        <v>0</v>
      </c>
      <c r="P352" s="3">
        <f>'Monthly D5 RIN Data'!$O182</f>
        <v>0</v>
      </c>
      <c r="Q352" s="4">
        <f>'D5 Gallon Forecast'!Q338</f>
        <v>0</v>
      </c>
      <c r="R352" s="4">
        <f>'D5 Gallon Forecast'!R338</f>
        <v>0</v>
      </c>
      <c r="S352" s="4">
        <f>'D5 Gallon Forecast'!S338</f>
        <v>0</v>
      </c>
      <c r="T352" s="4">
        <f>'D5 Gallon Forecast'!T338</f>
        <v>0</v>
      </c>
    </row>
    <row r="353" spans="1:20">
      <c r="A353" s="2" t="s">
        <v>54</v>
      </c>
      <c r="B353" s="3">
        <f>'Monthly D5 RIN Data'!$O15</f>
        <v>0</v>
      </c>
      <c r="C353" s="3">
        <f>'Monthly D5 RIN Data'!$O27</f>
        <v>0</v>
      </c>
      <c r="D353" s="3">
        <f>'Monthly D5 RIN Data'!$O39</f>
        <v>0</v>
      </c>
      <c r="E353" s="3">
        <f>'Monthly D5 RIN Data'!$O51</f>
        <v>0</v>
      </c>
      <c r="F353" s="3">
        <f>'Monthly D5 RIN Data'!$O63</f>
        <v>0</v>
      </c>
      <c r="G353" s="3">
        <f>'Monthly D5 RIN Data'!$O75</f>
        <v>0</v>
      </c>
      <c r="H353" s="3">
        <f>'Monthly D5 RIN Data'!$O87</f>
        <v>0</v>
      </c>
      <c r="I353" s="3">
        <f>'Monthly D5 RIN Data'!$O99</f>
        <v>0</v>
      </c>
      <c r="J353" s="3">
        <f>'Monthly D5 RIN Data'!$O111</f>
        <v>0</v>
      </c>
      <c r="K353" s="3">
        <f>'Monthly D5 RIN Data'!$O123</f>
        <v>0</v>
      </c>
      <c r="L353" s="3">
        <f>'Monthly D5 RIN Data'!$O135</f>
        <v>0</v>
      </c>
      <c r="M353" s="3">
        <f>'Monthly D5 RIN Data'!$O147</f>
        <v>0</v>
      </c>
      <c r="N353" s="3">
        <f>'Monthly D5 RIN Data'!$O159</f>
        <v>0</v>
      </c>
      <c r="O353" s="3">
        <f>'Monthly D5 RIN Data'!$O171</f>
        <v>0</v>
      </c>
      <c r="P353" s="3">
        <f>'Monthly D5 RIN Data'!$O183</f>
        <v>0</v>
      </c>
      <c r="Q353" s="4">
        <f>'D5 Gallon Forecast'!Q339</f>
        <v>0</v>
      </c>
      <c r="R353" s="4">
        <f>'D5 Gallon Forecast'!R339</f>
        <v>0</v>
      </c>
      <c r="S353" s="4">
        <f>'D5 Gallon Forecast'!S339</f>
        <v>0</v>
      </c>
      <c r="T353" s="4">
        <f>'D5 Gallon Forecast'!T339</f>
        <v>0</v>
      </c>
    </row>
    <row r="354" spans="1:20" ht="13.5" thickBot="1">
      <c r="A354" s="2" t="s">
        <v>29</v>
      </c>
      <c r="B354" s="3">
        <f t="shared" ref="B354:O354" si="83">SUM(B342:B353)</f>
        <v>0</v>
      </c>
      <c r="C354" s="3">
        <f t="shared" si="83"/>
        <v>0</v>
      </c>
      <c r="D354" s="3">
        <f t="shared" si="83"/>
        <v>0</v>
      </c>
      <c r="E354" s="3">
        <f t="shared" si="83"/>
        <v>0</v>
      </c>
      <c r="F354" s="3">
        <f t="shared" si="83"/>
        <v>0</v>
      </c>
      <c r="G354" s="3">
        <f t="shared" si="83"/>
        <v>0</v>
      </c>
      <c r="H354" s="3">
        <f t="shared" si="83"/>
        <v>0</v>
      </c>
      <c r="I354" s="3">
        <f t="shared" si="83"/>
        <v>0</v>
      </c>
      <c r="J354" s="3">
        <f t="shared" si="83"/>
        <v>0</v>
      </c>
      <c r="K354" s="3">
        <f t="shared" si="83"/>
        <v>0</v>
      </c>
      <c r="L354" s="3">
        <f t="shared" si="83"/>
        <v>0</v>
      </c>
      <c r="M354" s="3">
        <f t="shared" si="83"/>
        <v>0</v>
      </c>
      <c r="N354" s="3">
        <f t="shared" si="83"/>
        <v>0</v>
      </c>
      <c r="O354" s="3">
        <f t="shared" si="83"/>
        <v>0</v>
      </c>
      <c r="P354" s="3">
        <f>SUM(P342:P353)</f>
        <v>0</v>
      </c>
      <c r="Q354" s="4">
        <f>SUM(Q342:Q353)</f>
        <v>0</v>
      </c>
      <c r="R354" s="4">
        <f>SUM(R342:R353)</f>
        <v>0</v>
      </c>
      <c r="S354" s="4">
        <f>SUM(S342:S353)</f>
        <v>0</v>
      </c>
      <c r="T354" s="4">
        <f>SUM(T342:T353)</f>
        <v>0</v>
      </c>
    </row>
    <row r="355" spans="1:20">
      <c r="A355" s="114"/>
      <c r="B355" s="114"/>
      <c r="C355" s="114"/>
      <c r="D355" s="114"/>
      <c r="E355" s="114"/>
      <c r="F355" s="114"/>
      <c r="G355" s="114"/>
      <c r="H355" s="114"/>
      <c r="I355" s="114"/>
      <c r="J355" s="114"/>
      <c r="K355" s="114"/>
      <c r="L355" s="114"/>
      <c r="M355" s="114"/>
      <c r="N355" s="114"/>
      <c r="O355" s="114"/>
      <c r="P355" s="114"/>
      <c r="Q355" s="114"/>
      <c r="R355" s="114"/>
      <c r="S355" s="114"/>
      <c r="T355" s="114"/>
    </row>
    <row r="356" spans="1:20" ht="16.5" thickBot="1">
      <c r="A356" s="109" t="s">
        <v>453</v>
      </c>
    </row>
    <row r="357" spans="1:20" ht="13.5" thickBot="1">
      <c r="A357" s="110"/>
      <c r="B357" s="111">
        <v>2010</v>
      </c>
      <c r="C357" s="111">
        <v>2011</v>
      </c>
      <c r="D357" s="111">
        <v>2012</v>
      </c>
      <c r="E357" s="111">
        <v>2013</v>
      </c>
      <c r="F357" s="111">
        <v>2014</v>
      </c>
      <c r="G357" s="111">
        <v>2015</v>
      </c>
      <c r="H357" s="111">
        <v>2016</v>
      </c>
      <c r="I357" s="111">
        <v>2017</v>
      </c>
      <c r="J357" s="111">
        <v>2018</v>
      </c>
      <c r="K357" s="111">
        <v>2019</v>
      </c>
      <c r="L357" s="111">
        <v>2020</v>
      </c>
      <c r="M357" s="111">
        <v>2021</v>
      </c>
      <c r="N357" s="111">
        <v>2022</v>
      </c>
      <c r="O357" s="111">
        <v>2023</v>
      </c>
      <c r="P357" s="111">
        <v>2024</v>
      </c>
      <c r="Q357" s="111">
        <v>2025</v>
      </c>
      <c r="R357" s="111">
        <v>2026</v>
      </c>
      <c r="S357" s="111">
        <v>2027</v>
      </c>
      <c r="T357" s="111">
        <v>2028</v>
      </c>
    </row>
    <row r="358" spans="1:20">
      <c r="A358" s="2" t="s">
        <v>43</v>
      </c>
      <c r="B358" s="3">
        <f>B374+B390</f>
        <v>0</v>
      </c>
      <c r="C358" s="3">
        <f t="shared" ref="C358:T369" si="84">C374+C390</f>
        <v>0</v>
      </c>
      <c r="D358" s="3">
        <f t="shared" si="84"/>
        <v>0</v>
      </c>
      <c r="E358" s="3">
        <f t="shared" si="84"/>
        <v>0</v>
      </c>
      <c r="F358" s="3">
        <f t="shared" si="84"/>
        <v>0</v>
      </c>
      <c r="G358" s="3">
        <f t="shared" si="84"/>
        <v>0</v>
      </c>
      <c r="H358" s="3">
        <f t="shared" si="84"/>
        <v>0</v>
      </c>
      <c r="I358" s="3">
        <f t="shared" si="84"/>
        <v>0</v>
      </c>
      <c r="J358" s="3">
        <f t="shared" si="84"/>
        <v>0</v>
      </c>
      <c r="K358" s="3">
        <f t="shared" si="84"/>
        <v>21965</v>
      </c>
      <c r="L358" s="3">
        <f t="shared" si="84"/>
        <v>0</v>
      </c>
      <c r="M358" s="3">
        <f t="shared" si="84"/>
        <v>49137</v>
      </c>
      <c r="N358" s="3">
        <f t="shared" si="84"/>
        <v>41162</v>
      </c>
      <c r="O358" s="3">
        <f t="shared" si="84"/>
        <v>45290</v>
      </c>
      <c r="P358" s="3">
        <f t="shared" si="84"/>
        <v>0</v>
      </c>
      <c r="Q358" s="3">
        <f t="shared" si="84"/>
        <v>14085</v>
      </c>
      <c r="R358" s="4">
        <f t="shared" si="84"/>
        <v>8849467.1393157169</v>
      </c>
      <c r="S358" s="4">
        <f t="shared" si="84"/>
        <v>-4118200.2963797143</v>
      </c>
      <c r="T358" s="4">
        <f t="shared" si="84"/>
        <v>-9428168.8571375646</v>
      </c>
    </row>
    <row r="359" spans="1:20">
      <c r="A359" s="2" t="s">
        <v>44</v>
      </c>
      <c r="B359" s="3">
        <f t="shared" ref="B359:J369" si="85">B375+B391</f>
        <v>0</v>
      </c>
      <c r="C359" s="3">
        <f t="shared" si="85"/>
        <v>0</v>
      </c>
      <c r="D359" s="3">
        <f t="shared" si="85"/>
        <v>0</v>
      </c>
      <c r="E359" s="3">
        <f t="shared" si="85"/>
        <v>0</v>
      </c>
      <c r="F359" s="3">
        <f t="shared" si="85"/>
        <v>0</v>
      </c>
      <c r="G359" s="3">
        <f t="shared" si="85"/>
        <v>189</v>
      </c>
      <c r="H359" s="3">
        <f t="shared" si="85"/>
        <v>0</v>
      </c>
      <c r="I359" s="3">
        <f t="shared" si="85"/>
        <v>0</v>
      </c>
      <c r="J359" s="3">
        <f t="shared" si="85"/>
        <v>54262</v>
      </c>
      <c r="K359" s="3">
        <f t="shared" si="84"/>
        <v>10402</v>
      </c>
      <c r="L359" s="3">
        <f t="shared" si="84"/>
        <v>0</v>
      </c>
      <c r="M359" s="3">
        <f t="shared" si="84"/>
        <v>6860</v>
      </c>
      <c r="N359" s="3">
        <f t="shared" si="84"/>
        <v>136915</v>
      </c>
      <c r="O359" s="3">
        <f t="shared" si="84"/>
        <v>81116</v>
      </c>
      <c r="P359" s="3">
        <f t="shared" si="84"/>
        <v>65859</v>
      </c>
      <c r="Q359" s="3">
        <f t="shared" si="84"/>
        <v>0</v>
      </c>
      <c r="R359" s="4">
        <f t="shared" si="84"/>
        <v>17190577.994548451</v>
      </c>
      <c r="S359" s="4">
        <f t="shared" si="84"/>
        <v>-8040442.5324797593</v>
      </c>
      <c r="T359" s="4">
        <f t="shared" si="84"/>
        <v>-18296837.320213608</v>
      </c>
    </row>
    <row r="360" spans="1:20">
      <c r="A360" s="2" t="s">
        <v>45</v>
      </c>
      <c r="B360" s="3">
        <f t="shared" si="85"/>
        <v>0</v>
      </c>
      <c r="C360" s="3">
        <f t="shared" si="85"/>
        <v>0</v>
      </c>
      <c r="D360" s="3">
        <f t="shared" si="85"/>
        <v>0</v>
      </c>
      <c r="E360" s="3">
        <f t="shared" si="85"/>
        <v>0</v>
      </c>
      <c r="F360" s="3">
        <f t="shared" si="85"/>
        <v>0</v>
      </c>
      <c r="G360" s="3">
        <f t="shared" si="85"/>
        <v>0</v>
      </c>
      <c r="H360" s="3">
        <f t="shared" si="85"/>
        <v>0</v>
      </c>
      <c r="I360" s="3">
        <f t="shared" si="85"/>
        <v>0</v>
      </c>
      <c r="J360" s="3">
        <f t="shared" si="85"/>
        <v>69321</v>
      </c>
      <c r="K360" s="3">
        <f t="shared" si="84"/>
        <v>10859</v>
      </c>
      <c r="L360" s="3">
        <f t="shared" si="84"/>
        <v>0</v>
      </c>
      <c r="M360" s="3">
        <f t="shared" si="84"/>
        <v>8056</v>
      </c>
      <c r="N360" s="3">
        <f t="shared" si="84"/>
        <v>173422</v>
      </c>
      <c r="O360" s="3">
        <f t="shared" si="84"/>
        <v>20698</v>
      </c>
      <c r="P360" s="3">
        <f>P376+P392</f>
        <v>62223</v>
      </c>
      <c r="Q360" s="3">
        <f t="shared" si="84"/>
        <v>0</v>
      </c>
      <c r="R360" s="4">
        <f>R376+R392</f>
        <v>15632576.547482772</v>
      </c>
      <c r="S360" s="4">
        <f>S376+S392</f>
        <v>-7310894.9001055211</v>
      </c>
      <c r="T360" s="4">
        <f>T376+T392</f>
        <v>-16540742.065507879</v>
      </c>
    </row>
    <row r="361" spans="1:20">
      <c r="A361" s="2" t="s">
        <v>46</v>
      </c>
      <c r="B361" s="3">
        <f t="shared" si="85"/>
        <v>0</v>
      </c>
      <c r="C361" s="3">
        <f t="shared" si="85"/>
        <v>0</v>
      </c>
      <c r="D361" s="3">
        <f t="shared" si="85"/>
        <v>0</v>
      </c>
      <c r="E361" s="3">
        <f t="shared" si="85"/>
        <v>0</v>
      </c>
      <c r="F361" s="3">
        <f t="shared" si="85"/>
        <v>0</v>
      </c>
      <c r="G361" s="3">
        <f t="shared" si="85"/>
        <v>68</v>
      </c>
      <c r="H361" s="3">
        <f t="shared" si="85"/>
        <v>0</v>
      </c>
      <c r="I361" s="3">
        <f t="shared" si="85"/>
        <v>0</v>
      </c>
      <c r="J361" s="3">
        <f t="shared" si="85"/>
        <v>182174</v>
      </c>
      <c r="K361" s="3">
        <f t="shared" si="84"/>
        <v>6004</v>
      </c>
      <c r="L361" s="3">
        <f t="shared" si="84"/>
        <v>8244</v>
      </c>
      <c r="M361" s="3">
        <f t="shared" si="84"/>
        <v>10683</v>
      </c>
      <c r="N361" s="3">
        <f t="shared" si="84"/>
        <v>105556</v>
      </c>
      <c r="O361" s="3">
        <f t="shared" si="84"/>
        <v>586374</v>
      </c>
      <c r="P361" s="3">
        <f t="shared" si="84"/>
        <v>73154</v>
      </c>
      <c r="Q361" s="4">
        <f t="shared" si="84"/>
        <v>-754629.6665002876</v>
      </c>
      <c r="R361" s="4">
        <f t="shared" si="84"/>
        <v>1080240.8869770525</v>
      </c>
      <c r="S361" s="4">
        <f t="shared" si="84"/>
        <v>-500554.77267715201</v>
      </c>
      <c r="T361" s="4">
        <f t="shared" si="84"/>
        <v>-948813.09909950709</v>
      </c>
    </row>
    <row r="362" spans="1:20">
      <c r="A362" s="2" t="s">
        <v>47</v>
      </c>
      <c r="B362" s="3">
        <f t="shared" si="85"/>
        <v>0</v>
      </c>
      <c r="C362" s="3">
        <f t="shared" si="85"/>
        <v>0</v>
      </c>
      <c r="D362" s="3">
        <f t="shared" si="85"/>
        <v>0</v>
      </c>
      <c r="E362" s="3">
        <f t="shared" si="85"/>
        <v>0</v>
      </c>
      <c r="F362" s="3">
        <f t="shared" si="85"/>
        <v>0</v>
      </c>
      <c r="G362" s="3">
        <f t="shared" si="85"/>
        <v>1429</v>
      </c>
      <c r="H362" s="3">
        <f t="shared" si="85"/>
        <v>0</v>
      </c>
      <c r="I362" s="3">
        <f t="shared" si="85"/>
        <v>0</v>
      </c>
      <c r="J362" s="3">
        <f t="shared" si="85"/>
        <v>225406</v>
      </c>
      <c r="K362" s="3">
        <f t="shared" si="84"/>
        <v>9006</v>
      </c>
      <c r="L362" s="3">
        <f t="shared" si="84"/>
        <v>7740</v>
      </c>
      <c r="M362" s="3">
        <f t="shared" si="84"/>
        <v>10694</v>
      </c>
      <c r="N362" s="3">
        <f t="shared" si="84"/>
        <v>73892</v>
      </c>
      <c r="O362" s="3">
        <f t="shared" si="84"/>
        <v>84107</v>
      </c>
      <c r="P362" s="3">
        <f t="shared" si="84"/>
        <v>54250</v>
      </c>
      <c r="Q362" s="4">
        <f t="shared" si="84"/>
        <v>-222038.00119805185</v>
      </c>
      <c r="R362" s="4">
        <f t="shared" si="84"/>
        <v>3634.4486310729098</v>
      </c>
      <c r="S362" s="4">
        <f t="shared" si="84"/>
        <v>3201.6743160153223</v>
      </c>
      <c r="T362" s="4">
        <f t="shared" si="84"/>
        <v>152271.3710323211</v>
      </c>
    </row>
    <row r="363" spans="1:20">
      <c r="A363" s="2" t="s">
        <v>48</v>
      </c>
      <c r="B363" s="3">
        <f t="shared" si="85"/>
        <v>0</v>
      </c>
      <c r="C363" s="3">
        <f t="shared" si="85"/>
        <v>0</v>
      </c>
      <c r="D363" s="3">
        <f t="shared" si="85"/>
        <v>0</v>
      </c>
      <c r="E363" s="3">
        <f t="shared" si="85"/>
        <v>0</v>
      </c>
      <c r="F363" s="3">
        <f t="shared" si="85"/>
        <v>0</v>
      </c>
      <c r="G363" s="3">
        <f t="shared" si="85"/>
        <v>0</v>
      </c>
      <c r="H363" s="3">
        <f t="shared" si="85"/>
        <v>0</v>
      </c>
      <c r="I363" s="3">
        <f t="shared" si="85"/>
        <v>11985</v>
      </c>
      <c r="J363" s="3">
        <f t="shared" si="85"/>
        <v>356242</v>
      </c>
      <c r="K363" s="3">
        <f t="shared" si="84"/>
        <v>15538</v>
      </c>
      <c r="L363" s="3">
        <f t="shared" si="84"/>
        <v>8314</v>
      </c>
      <c r="M363" s="3">
        <f t="shared" si="84"/>
        <v>244138</v>
      </c>
      <c r="N363" s="3">
        <f t="shared" si="84"/>
        <v>71031</v>
      </c>
      <c r="O363" s="3">
        <f t="shared" si="84"/>
        <v>122158</v>
      </c>
      <c r="P363" s="3">
        <f t="shared" si="84"/>
        <v>113403</v>
      </c>
      <c r="Q363" s="4">
        <f t="shared" si="84"/>
        <v>-538093.45440177084</v>
      </c>
      <c r="R363" s="4">
        <f t="shared" si="84"/>
        <v>626270.02292291657</v>
      </c>
      <c r="S363" s="4">
        <f t="shared" si="84"/>
        <v>-181120.18745332709</v>
      </c>
      <c r="T363" s="4">
        <f t="shared" si="84"/>
        <v>-278935.0814305229</v>
      </c>
    </row>
    <row r="364" spans="1:20">
      <c r="A364" s="2" t="s">
        <v>49</v>
      </c>
      <c r="B364" s="3">
        <f t="shared" si="85"/>
        <v>0</v>
      </c>
      <c r="C364" s="3">
        <f t="shared" si="85"/>
        <v>0</v>
      </c>
      <c r="D364" s="3">
        <f t="shared" si="85"/>
        <v>0</v>
      </c>
      <c r="E364" s="3">
        <f t="shared" si="85"/>
        <v>0</v>
      </c>
      <c r="F364" s="3">
        <f t="shared" si="85"/>
        <v>0</v>
      </c>
      <c r="G364" s="3">
        <f t="shared" si="85"/>
        <v>1868</v>
      </c>
      <c r="H364" s="3">
        <f t="shared" si="85"/>
        <v>0</v>
      </c>
      <c r="I364" s="3">
        <f t="shared" si="85"/>
        <v>0</v>
      </c>
      <c r="J364" s="3">
        <f t="shared" si="85"/>
        <v>109444</v>
      </c>
      <c r="K364" s="3">
        <f t="shared" si="84"/>
        <v>6532</v>
      </c>
      <c r="L364" s="3">
        <f t="shared" si="84"/>
        <v>10378</v>
      </c>
      <c r="M364" s="3">
        <f t="shared" si="84"/>
        <v>229115</v>
      </c>
      <c r="N364" s="3">
        <f t="shared" si="84"/>
        <v>51846</v>
      </c>
      <c r="O364" s="3">
        <f t="shared" si="84"/>
        <v>118176</v>
      </c>
      <c r="P364" s="3">
        <f t="shared" si="84"/>
        <v>106952</v>
      </c>
      <c r="Q364" s="4">
        <f t="shared" si="84"/>
        <v>-497112.05578544689</v>
      </c>
      <c r="R364" s="4">
        <f t="shared" si="84"/>
        <v>419101.41686999821</v>
      </c>
      <c r="S364" s="4">
        <f t="shared" si="84"/>
        <v>-91071.323815768556</v>
      </c>
      <c r="T364" s="4">
        <f t="shared" si="84"/>
        <v>-108629.04084365754</v>
      </c>
    </row>
    <row r="365" spans="1:20">
      <c r="A365" s="2" t="s">
        <v>50</v>
      </c>
      <c r="B365" s="3">
        <f t="shared" si="85"/>
        <v>0</v>
      </c>
      <c r="C365" s="3">
        <f t="shared" si="85"/>
        <v>0</v>
      </c>
      <c r="D365" s="3">
        <f t="shared" si="85"/>
        <v>0</v>
      </c>
      <c r="E365" s="3">
        <f t="shared" si="85"/>
        <v>0</v>
      </c>
      <c r="F365" s="3">
        <f t="shared" si="85"/>
        <v>0</v>
      </c>
      <c r="G365" s="3">
        <f t="shared" si="85"/>
        <v>1429</v>
      </c>
      <c r="H365" s="3">
        <f t="shared" si="85"/>
        <v>0</v>
      </c>
      <c r="I365" s="3">
        <f t="shared" si="85"/>
        <v>10049</v>
      </c>
      <c r="J365" s="3">
        <f t="shared" si="85"/>
        <v>24246</v>
      </c>
      <c r="K365" s="3">
        <f t="shared" si="84"/>
        <v>2721</v>
      </c>
      <c r="L365" s="3">
        <f t="shared" si="84"/>
        <v>9452</v>
      </c>
      <c r="M365" s="3">
        <f t="shared" si="84"/>
        <v>149358</v>
      </c>
      <c r="N365" s="3">
        <f t="shared" si="84"/>
        <v>62165</v>
      </c>
      <c r="O365" s="3">
        <f t="shared" si="84"/>
        <v>137708</v>
      </c>
      <c r="P365" s="3">
        <f t="shared" si="84"/>
        <v>108995</v>
      </c>
      <c r="Q365" s="4">
        <f t="shared" si="84"/>
        <v>-450151.45599936927</v>
      </c>
      <c r="R365" s="4">
        <f t="shared" si="84"/>
        <v>376295.21205761266</v>
      </c>
      <c r="S365" s="4">
        <f t="shared" si="84"/>
        <v>-107603.57353320331</v>
      </c>
      <c r="T365" s="4">
        <f t="shared" si="84"/>
        <v>-126569.52295749438</v>
      </c>
    </row>
    <row r="366" spans="1:20">
      <c r="A366" s="2" t="s">
        <v>51</v>
      </c>
      <c r="B366" s="3">
        <f t="shared" si="85"/>
        <v>0</v>
      </c>
      <c r="C366" s="3">
        <f t="shared" si="85"/>
        <v>0</v>
      </c>
      <c r="D366" s="3">
        <f t="shared" si="85"/>
        <v>0</v>
      </c>
      <c r="E366" s="3">
        <f t="shared" si="85"/>
        <v>0</v>
      </c>
      <c r="F366" s="3">
        <f t="shared" si="85"/>
        <v>2367</v>
      </c>
      <c r="G366" s="3">
        <f t="shared" si="85"/>
        <v>39</v>
      </c>
      <c r="H366" s="3">
        <f t="shared" si="85"/>
        <v>0</v>
      </c>
      <c r="I366" s="3">
        <f t="shared" si="85"/>
        <v>76232</v>
      </c>
      <c r="J366" s="3">
        <f t="shared" si="85"/>
        <v>23560</v>
      </c>
      <c r="K366" s="3">
        <f t="shared" si="84"/>
        <v>0</v>
      </c>
      <c r="L366" s="3">
        <f t="shared" si="84"/>
        <v>9276</v>
      </c>
      <c r="M366" s="3">
        <f t="shared" si="84"/>
        <v>279130</v>
      </c>
      <c r="N366" s="3">
        <f t="shared" si="84"/>
        <v>71465</v>
      </c>
      <c r="O366" s="3">
        <f t="shared" si="84"/>
        <v>101931</v>
      </c>
      <c r="P366" s="3">
        <f t="shared" si="84"/>
        <v>122167</v>
      </c>
      <c r="Q366" s="4">
        <f t="shared" si="84"/>
        <v>-562084.37345458986</v>
      </c>
      <c r="R366" s="4">
        <f t="shared" si="84"/>
        <v>619230.53711870592</v>
      </c>
      <c r="S366" s="4">
        <f t="shared" si="84"/>
        <v>-161785.61393980146</v>
      </c>
      <c r="T366" s="4">
        <f t="shared" si="84"/>
        <v>-233440.84985713018</v>
      </c>
    </row>
    <row r="367" spans="1:20">
      <c r="A367" s="2" t="s">
        <v>52</v>
      </c>
      <c r="B367" s="3">
        <f t="shared" si="85"/>
        <v>0</v>
      </c>
      <c r="C367" s="3">
        <f t="shared" si="85"/>
        <v>0</v>
      </c>
      <c r="D367" s="3">
        <f t="shared" si="85"/>
        <v>0</v>
      </c>
      <c r="E367" s="3">
        <f t="shared" si="85"/>
        <v>0</v>
      </c>
      <c r="F367" s="3">
        <f t="shared" si="85"/>
        <v>3351</v>
      </c>
      <c r="G367" s="3">
        <f t="shared" si="85"/>
        <v>0</v>
      </c>
      <c r="H367" s="3">
        <f t="shared" si="85"/>
        <v>0</v>
      </c>
      <c r="I367" s="3">
        <f t="shared" si="85"/>
        <v>21040</v>
      </c>
      <c r="J367" s="3">
        <f t="shared" si="85"/>
        <v>18751</v>
      </c>
      <c r="K367" s="3">
        <f t="shared" si="84"/>
        <v>0</v>
      </c>
      <c r="L367" s="3">
        <f t="shared" si="84"/>
        <v>7669</v>
      </c>
      <c r="M367" s="3">
        <f t="shared" si="84"/>
        <v>173281</v>
      </c>
      <c r="N367" s="3">
        <f t="shared" si="84"/>
        <v>70406</v>
      </c>
      <c r="O367" s="3">
        <f t="shared" si="84"/>
        <v>70596</v>
      </c>
      <c r="P367" s="3">
        <f t="shared" si="84"/>
        <v>126126</v>
      </c>
      <c r="Q367" s="4">
        <f t="shared" si="84"/>
        <v>-431285.97903105424</v>
      </c>
      <c r="R367" s="4">
        <f t="shared" si="84"/>
        <v>442523.86680801312</v>
      </c>
      <c r="S367" s="4">
        <f t="shared" si="84"/>
        <v>-127625.81830553687</v>
      </c>
      <c r="T367" s="4">
        <f t="shared" si="84"/>
        <v>-156642.65929264139</v>
      </c>
    </row>
    <row r="368" spans="1:20">
      <c r="A368" s="2" t="s">
        <v>53</v>
      </c>
      <c r="B368" s="3">
        <f t="shared" si="85"/>
        <v>0</v>
      </c>
      <c r="C368" s="3">
        <f t="shared" si="85"/>
        <v>0</v>
      </c>
      <c r="D368" s="3">
        <f t="shared" si="85"/>
        <v>0</v>
      </c>
      <c r="E368" s="3">
        <f t="shared" si="85"/>
        <v>0</v>
      </c>
      <c r="F368" s="3">
        <f t="shared" si="85"/>
        <v>604</v>
      </c>
      <c r="G368" s="3">
        <f t="shared" si="85"/>
        <v>0</v>
      </c>
      <c r="H368" s="3">
        <f t="shared" si="85"/>
        <v>0</v>
      </c>
      <c r="I368" s="3">
        <f t="shared" si="85"/>
        <v>1412277</v>
      </c>
      <c r="J368" s="3">
        <f t="shared" si="85"/>
        <v>47026</v>
      </c>
      <c r="K368" s="3">
        <f t="shared" si="84"/>
        <v>0</v>
      </c>
      <c r="L368" s="3">
        <f t="shared" si="84"/>
        <v>8502</v>
      </c>
      <c r="M368" s="3">
        <f t="shared" si="84"/>
        <v>163969</v>
      </c>
      <c r="N368" s="3">
        <f t="shared" si="84"/>
        <v>61227</v>
      </c>
      <c r="O368" s="3">
        <f t="shared" si="84"/>
        <v>70456</v>
      </c>
      <c r="P368" s="3">
        <f t="shared" si="84"/>
        <v>166766</v>
      </c>
      <c r="Q368" s="4">
        <f t="shared" si="84"/>
        <v>-453271.9598938222</v>
      </c>
      <c r="R368" s="4">
        <f t="shared" si="84"/>
        <v>438946.4423541053</v>
      </c>
      <c r="S368" s="4">
        <f t="shared" si="84"/>
        <v>-130220.64931377448</v>
      </c>
      <c r="T368" s="4">
        <f t="shared" si="84"/>
        <v>-180631.19632710557</v>
      </c>
    </row>
    <row r="369" spans="1:20">
      <c r="A369" s="2" t="s">
        <v>54</v>
      </c>
      <c r="B369" s="3">
        <f t="shared" si="85"/>
        <v>0</v>
      </c>
      <c r="C369" s="3">
        <f t="shared" si="85"/>
        <v>0</v>
      </c>
      <c r="D369" s="3">
        <f t="shared" si="85"/>
        <v>0</v>
      </c>
      <c r="E369" s="3">
        <f t="shared" si="85"/>
        <v>0</v>
      </c>
      <c r="F369" s="3">
        <f t="shared" si="85"/>
        <v>22</v>
      </c>
      <c r="G369" s="3">
        <f t="shared" si="85"/>
        <v>0</v>
      </c>
      <c r="H369" s="3">
        <f t="shared" si="85"/>
        <v>0</v>
      </c>
      <c r="I369" s="3">
        <f t="shared" si="85"/>
        <v>486515</v>
      </c>
      <c r="J369" s="3">
        <f t="shared" si="85"/>
        <v>28345</v>
      </c>
      <c r="K369" s="3">
        <f t="shared" si="84"/>
        <v>0</v>
      </c>
      <c r="L369" s="3">
        <f t="shared" si="84"/>
        <v>15796</v>
      </c>
      <c r="M369" s="3">
        <f t="shared" si="84"/>
        <v>334997</v>
      </c>
      <c r="N369" s="3">
        <f t="shared" si="84"/>
        <v>134652</v>
      </c>
      <c r="O369" s="3">
        <f t="shared" si="84"/>
        <v>114960</v>
      </c>
      <c r="P369" s="3">
        <f t="shared" si="84"/>
        <v>120576</v>
      </c>
      <c r="Q369" s="4">
        <f t="shared" si="84"/>
        <v>-1372845.5850801792</v>
      </c>
      <c r="R369" s="4">
        <f t="shared" si="84"/>
        <v>-39783760.659015894</v>
      </c>
      <c r="S369" s="4">
        <f t="shared" si="84"/>
        <v>18768656.218967199</v>
      </c>
      <c r="T369" s="4">
        <f t="shared" si="84"/>
        <v>43600609.058528453</v>
      </c>
    </row>
    <row r="370" spans="1:20" ht="13.5" thickBot="1">
      <c r="A370" s="2" t="s">
        <v>29</v>
      </c>
      <c r="B370" s="3">
        <f t="shared" ref="B370:T370" si="86">SUM(B358:B369)</f>
        <v>0</v>
      </c>
      <c r="C370" s="3">
        <f t="shared" si="86"/>
        <v>0</v>
      </c>
      <c r="D370" s="3">
        <f t="shared" si="86"/>
        <v>0</v>
      </c>
      <c r="E370" s="3">
        <f t="shared" si="86"/>
        <v>0</v>
      </c>
      <c r="F370" s="3">
        <f t="shared" si="86"/>
        <v>6344</v>
      </c>
      <c r="G370" s="3">
        <f t="shared" si="86"/>
        <v>5022</v>
      </c>
      <c r="H370" s="3">
        <f t="shared" si="86"/>
        <v>0</v>
      </c>
      <c r="I370" s="3">
        <f t="shared" si="86"/>
        <v>2018098</v>
      </c>
      <c r="J370" s="3">
        <f t="shared" si="86"/>
        <v>1138777</v>
      </c>
      <c r="K370" s="3">
        <f t="shared" si="86"/>
        <v>83027</v>
      </c>
      <c r="L370" s="3">
        <f t="shared" si="86"/>
        <v>85371</v>
      </c>
      <c r="M370" s="3">
        <f t="shared" si="86"/>
        <v>1659418</v>
      </c>
      <c r="N370" s="3">
        <f t="shared" si="86"/>
        <v>1053739</v>
      </c>
      <c r="O370" s="3">
        <f t="shared" si="86"/>
        <v>1553570</v>
      </c>
      <c r="P370" s="3">
        <f t="shared" si="86"/>
        <v>1120471</v>
      </c>
      <c r="Q370" s="4">
        <f t="shared" si="86"/>
        <v>-5267427.5313445721</v>
      </c>
      <c r="R370" s="4">
        <f t="shared" si="86"/>
        <v>5895103.8560705185</v>
      </c>
      <c r="S370" s="4">
        <f t="shared" si="86"/>
        <v>-1997661.7747203447</v>
      </c>
      <c r="T370" s="4">
        <f t="shared" si="86"/>
        <v>-2546529.2631063387</v>
      </c>
    </row>
    <row r="371" spans="1:20">
      <c r="A371" s="114"/>
      <c r="B371" s="114"/>
      <c r="C371" s="114"/>
      <c r="D371" s="114"/>
      <c r="E371" s="114"/>
      <c r="F371" s="114"/>
      <c r="G371" s="114"/>
      <c r="H371" s="114"/>
      <c r="I371" s="114"/>
      <c r="J371" s="114"/>
      <c r="K371" s="114"/>
      <c r="L371" s="114"/>
      <c r="M371" s="114"/>
      <c r="N371" s="114"/>
      <c r="O371" s="114"/>
      <c r="P371" s="114"/>
      <c r="Q371" s="114"/>
      <c r="R371" s="114"/>
      <c r="S371" s="114"/>
      <c r="T371" s="114"/>
    </row>
    <row r="372" spans="1:20" ht="16.5" thickBot="1">
      <c r="A372" s="109" t="s">
        <v>454</v>
      </c>
    </row>
    <row r="373" spans="1:20" ht="13.5" thickBot="1">
      <c r="A373" s="110"/>
      <c r="B373" s="111">
        <v>2010</v>
      </c>
      <c r="C373" s="111">
        <v>2011</v>
      </c>
      <c r="D373" s="111">
        <v>2012</v>
      </c>
      <c r="E373" s="111">
        <v>2013</v>
      </c>
      <c r="F373" s="111">
        <v>2014</v>
      </c>
      <c r="G373" s="111">
        <v>2015</v>
      </c>
      <c r="H373" s="111">
        <v>2016</v>
      </c>
      <c r="I373" s="111">
        <v>2017</v>
      </c>
      <c r="J373" s="111">
        <v>2018</v>
      </c>
      <c r="K373" s="111">
        <v>2019</v>
      </c>
      <c r="L373" s="111">
        <v>2020</v>
      </c>
      <c r="M373" s="111">
        <v>2021</v>
      </c>
      <c r="N373" s="111">
        <v>2022</v>
      </c>
      <c r="O373" s="111">
        <v>2023</v>
      </c>
      <c r="P373" s="111">
        <v>2024</v>
      </c>
      <c r="Q373" s="111">
        <v>2025</v>
      </c>
      <c r="R373" s="111">
        <v>2026</v>
      </c>
      <c r="S373" s="111">
        <v>2027</v>
      </c>
      <c r="T373" s="111">
        <v>2028</v>
      </c>
    </row>
    <row r="374" spans="1:20">
      <c r="A374" s="2" t="s">
        <v>43</v>
      </c>
      <c r="B374" s="3">
        <f>'Monthly D5 RIN Data'!$Q4</f>
        <v>0</v>
      </c>
      <c r="C374" s="3">
        <f>'Monthly D5 RIN Data'!$Q16</f>
        <v>0</v>
      </c>
      <c r="D374" s="3">
        <f>'Monthly D5 RIN Data'!$Q28</f>
        <v>0</v>
      </c>
      <c r="E374" s="3">
        <f>'Monthly D5 RIN Data'!$Q40</f>
        <v>0</v>
      </c>
      <c r="F374" s="3">
        <f>'Monthly D5 RIN Data'!$Q52</f>
        <v>0</v>
      </c>
      <c r="G374" s="3">
        <f>'Monthly D5 RIN Data'!$Q64</f>
        <v>0</v>
      </c>
      <c r="H374" s="3">
        <f>'Monthly D5 RIN Data'!$Q76</f>
        <v>0</v>
      </c>
      <c r="I374" s="3">
        <f>'Monthly D5 RIN Data'!$Q88</f>
        <v>0</v>
      </c>
      <c r="J374" s="3">
        <f>'Monthly D5 RIN Data'!$Q100</f>
        <v>0</v>
      </c>
      <c r="K374" s="3">
        <f>'Monthly D5 RIN Data'!$Q112</f>
        <v>21965</v>
      </c>
      <c r="L374" s="3">
        <f>'Monthly D5 RIN Data'!$Q124</f>
        <v>0</v>
      </c>
      <c r="M374" s="3">
        <f>'Monthly D5 RIN Data'!$Q136</f>
        <v>49137</v>
      </c>
      <c r="N374" s="3">
        <f>'Monthly D5 RIN Data'!$Q148</f>
        <v>41162</v>
      </c>
      <c r="O374" s="3">
        <f>'Monthly D5 RIN Data'!$Q160</f>
        <v>45290</v>
      </c>
      <c r="P374" s="3">
        <f>'Monthly D5 RIN Data'!$Q172</f>
        <v>0</v>
      </c>
      <c r="Q374" s="3">
        <f>'Monthly D5 RIN Data'!$Q184</f>
        <v>14085</v>
      </c>
      <c r="R374" s="4">
        <f>'D5 Gallon Forecast'!R360*AVERAGE('D5 RIN Forecast'!$AA$23:$AE$23)</f>
        <v>8849467.1393157169</v>
      </c>
      <c r="S374" s="4">
        <f>'D5 Gallon Forecast'!S360*AVERAGE('D5 RIN Forecast'!$AA$23:$AE$23)</f>
        <v>-4118200.2963797143</v>
      </c>
      <c r="T374" s="4">
        <f>'D5 Gallon Forecast'!T360*AVERAGE('D5 RIN Forecast'!$AA$23:$AE$23)</f>
        <v>-9428168.8571375646</v>
      </c>
    </row>
    <row r="375" spans="1:20">
      <c r="A375" s="2" t="s">
        <v>44</v>
      </c>
      <c r="B375" s="3">
        <f>'Monthly D5 RIN Data'!$Q5</f>
        <v>0</v>
      </c>
      <c r="C375" s="3">
        <f>'Monthly D5 RIN Data'!$Q17</f>
        <v>0</v>
      </c>
      <c r="D375" s="3">
        <f>'Monthly D5 RIN Data'!$Q29</f>
        <v>0</v>
      </c>
      <c r="E375" s="3">
        <f>'Monthly D5 RIN Data'!$Q41</f>
        <v>0</v>
      </c>
      <c r="F375" s="3">
        <f>'Monthly D5 RIN Data'!$Q53</f>
        <v>0</v>
      </c>
      <c r="G375" s="3">
        <f>'Monthly D5 RIN Data'!$Q65</f>
        <v>189</v>
      </c>
      <c r="H375" s="3">
        <f>'Monthly D5 RIN Data'!$Q77</f>
        <v>0</v>
      </c>
      <c r="I375" s="3">
        <f>'Monthly D5 RIN Data'!$Q89</f>
        <v>0</v>
      </c>
      <c r="J375" s="3">
        <f>'Monthly D5 RIN Data'!$Q101</f>
        <v>54262</v>
      </c>
      <c r="K375" s="3">
        <f>'Monthly D5 RIN Data'!$Q113</f>
        <v>10402</v>
      </c>
      <c r="L375" s="3">
        <f>'Monthly D5 RIN Data'!$Q125</f>
        <v>0</v>
      </c>
      <c r="M375" s="3">
        <f>'Monthly D5 RIN Data'!$Q137</f>
        <v>6860</v>
      </c>
      <c r="N375" s="3">
        <f>'Monthly D5 RIN Data'!$Q149</f>
        <v>136915</v>
      </c>
      <c r="O375" s="3">
        <f>'Monthly D5 RIN Data'!$Q161</f>
        <v>81116</v>
      </c>
      <c r="P375" s="3">
        <f>'Monthly D5 RIN Data'!$Q173</f>
        <v>65859</v>
      </c>
      <c r="Q375" s="3">
        <f>'Monthly D5 RIN Data'!$Q185</f>
        <v>0</v>
      </c>
      <c r="R375" s="4">
        <f>'D5 Gallon Forecast'!R361*AVERAGE('D5 RIN Forecast'!$AA$23:$AE$23)</f>
        <v>17190577.994548451</v>
      </c>
      <c r="S375" s="4">
        <f>'D5 Gallon Forecast'!S361*AVERAGE('D5 RIN Forecast'!$AA$23:$AE$23)</f>
        <v>-8040442.5324797593</v>
      </c>
      <c r="T375" s="4">
        <f>'D5 Gallon Forecast'!T361*AVERAGE('D5 RIN Forecast'!$AA$23:$AE$23)</f>
        <v>-18296837.320213608</v>
      </c>
    </row>
    <row r="376" spans="1:20">
      <c r="A376" s="2" t="s">
        <v>45</v>
      </c>
      <c r="B376" s="3">
        <f>'Monthly D5 RIN Data'!$Q6</f>
        <v>0</v>
      </c>
      <c r="C376" s="3">
        <f>'Monthly D5 RIN Data'!$Q18</f>
        <v>0</v>
      </c>
      <c r="D376" s="3">
        <f>'Monthly D5 RIN Data'!$Q30</f>
        <v>0</v>
      </c>
      <c r="E376" s="3">
        <f>'Monthly D5 RIN Data'!$Q42</f>
        <v>0</v>
      </c>
      <c r="F376" s="3">
        <f>'Monthly D5 RIN Data'!$Q54</f>
        <v>0</v>
      </c>
      <c r="G376" s="3">
        <f>'Monthly D5 RIN Data'!$Q66</f>
        <v>0</v>
      </c>
      <c r="H376" s="3">
        <f>'Monthly D5 RIN Data'!$Q78</f>
        <v>0</v>
      </c>
      <c r="I376" s="3">
        <f>'Monthly D5 RIN Data'!$Q90</f>
        <v>0</v>
      </c>
      <c r="J376" s="3">
        <f>'Monthly D5 RIN Data'!$Q102</f>
        <v>69321</v>
      </c>
      <c r="K376" s="3">
        <f>'Monthly D5 RIN Data'!$Q114</f>
        <v>10859</v>
      </c>
      <c r="L376" s="3">
        <f>'Monthly D5 RIN Data'!$Q126</f>
        <v>0</v>
      </c>
      <c r="M376" s="3">
        <f>'Monthly D5 RIN Data'!$Q138</f>
        <v>8056</v>
      </c>
      <c r="N376" s="3">
        <f>'Monthly D5 RIN Data'!$Q150</f>
        <v>173422</v>
      </c>
      <c r="O376" s="3">
        <f>'Monthly D5 RIN Data'!$Q162</f>
        <v>20698</v>
      </c>
      <c r="P376" s="3">
        <f>'Monthly D5 RIN Data'!$Q174</f>
        <v>62223</v>
      </c>
      <c r="Q376" s="3">
        <f>'Monthly D5 RIN Data'!$Q186</f>
        <v>0</v>
      </c>
      <c r="R376" s="4">
        <f>'D5 Gallon Forecast'!R362*AVERAGE('D5 RIN Forecast'!$AA$23:$AE$23)</f>
        <v>15632576.547482772</v>
      </c>
      <c r="S376" s="4">
        <f>'D5 Gallon Forecast'!S362*AVERAGE('D5 RIN Forecast'!$AA$23:$AE$23)</f>
        <v>-7310894.9001055211</v>
      </c>
      <c r="T376" s="4">
        <f>'D5 Gallon Forecast'!T362*AVERAGE('D5 RIN Forecast'!$AA$23:$AE$23)</f>
        <v>-16540742.065507879</v>
      </c>
    </row>
    <row r="377" spans="1:20">
      <c r="A377" s="2" t="s">
        <v>46</v>
      </c>
      <c r="B377" s="3">
        <f>'Monthly D5 RIN Data'!$Q7</f>
        <v>0</v>
      </c>
      <c r="C377" s="3">
        <f>'Monthly D5 RIN Data'!$Q19</f>
        <v>0</v>
      </c>
      <c r="D377" s="3">
        <f>'Monthly D5 RIN Data'!$Q31</f>
        <v>0</v>
      </c>
      <c r="E377" s="3">
        <f>'Monthly D5 RIN Data'!$Q43</f>
        <v>0</v>
      </c>
      <c r="F377" s="3">
        <f>'Monthly D5 RIN Data'!$Q55</f>
        <v>0</v>
      </c>
      <c r="G377" s="3">
        <f>'Monthly D5 RIN Data'!$Q67</f>
        <v>68</v>
      </c>
      <c r="H377" s="3">
        <f>'Monthly D5 RIN Data'!$Q79</f>
        <v>0</v>
      </c>
      <c r="I377" s="3">
        <f>'Monthly D5 RIN Data'!$Q91</f>
        <v>0</v>
      </c>
      <c r="J377" s="3">
        <f>'Monthly D5 RIN Data'!$Q103</f>
        <v>182174</v>
      </c>
      <c r="K377" s="3">
        <f>'Monthly D5 RIN Data'!$Q115</f>
        <v>6004</v>
      </c>
      <c r="L377" s="3">
        <f>'Monthly D5 RIN Data'!$Q127</f>
        <v>8244</v>
      </c>
      <c r="M377" s="3">
        <f>'Monthly D5 RIN Data'!$Q139</f>
        <v>10683</v>
      </c>
      <c r="N377" s="3">
        <f>'Monthly D5 RIN Data'!$Q151</f>
        <v>105556</v>
      </c>
      <c r="O377" s="3">
        <f>'Monthly D5 RIN Data'!$Q163</f>
        <v>586374</v>
      </c>
      <c r="P377" s="3">
        <f>'Monthly D5 RIN Data'!$Q175</f>
        <v>73154</v>
      </c>
      <c r="Q377" s="4">
        <f>'D5 Gallon Forecast'!Q363*AVERAGE('D5 RIN Forecast'!$AA$23:$AE$23)</f>
        <v>-754629.6665002876</v>
      </c>
      <c r="R377" s="4">
        <f>'D5 Gallon Forecast'!R363*AVERAGE('D5 RIN Forecast'!$AA$23:$AE$23)</f>
        <v>1080240.8869770525</v>
      </c>
      <c r="S377" s="4">
        <f>'D5 Gallon Forecast'!S363*AVERAGE('D5 RIN Forecast'!$AA$23:$AE$23)</f>
        <v>-500554.77267715201</v>
      </c>
      <c r="T377" s="4">
        <f>'D5 Gallon Forecast'!T363*AVERAGE('D5 RIN Forecast'!$AA$23:$AE$23)</f>
        <v>-948813.09909950709</v>
      </c>
    </row>
    <row r="378" spans="1:20">
      <c r="A378" s="2" t="s">
        <v>47</v>
      </c>
      <c r="B378" s="3">
        <f>'Monthly D5 RIN Data'!$Q8</f>
        <v>0</v>
      </c>
      <c r="C378" s="3">
        <f>'Monthly D5 RIN Data'!$Q20</f>
        <v>0</v>
      </c>
      <c r="D378" s="3">
        <f>'Monthly D5 RIN Data'!$Q32</f>
        <v>0</v>
      </c>
      <c r="E378" s="3">
        <f>'Monthly D5 RIN Data'!$Q44</f>
        <v>0</v>
      </c>
      <c r="F378" s="3">
        <f>'Monthly D5 RIN Data'!$Q56</f>
        <v>0</v>
      </c>
      <c r="G378" s="3">
        <f>'Monthly D5 RIN Data'!$Q68</f>
        <v>1429</v>
      </c>
      <c r="H378" s="3">
        <f>'Monthly D5 RIN Data'!$Q80</f>
        <v>0</v>
      </c>
      <c r="I378" s="3">
        <f>'Monthly D5 RIN Data'!$Q92</f>
        <v>0</v>
      </c>
      <c r="J378" s="3">
        <f>'Monthly D5 RIN Data'!$Q104</f>
        <v>225406</v>
      </c>
      <c r="K378" s="3">
        <f>'Monthly D5 RIN Data'!$Q116</f>
        <v>9006</v>
      </c>
      <c r="L378" s="3">
        <f>'Monthly D5 RIN Data'!$Q128</f>
        <v>7740</v>
      </c>
      <c r="M378" s="3">
        <f>'Monthly D5 RIN Data'!$Q140</f>
        <v>10694</v>
      </c>
      <c r="N378" s="3">
        <f>'Monthly D5 RIN Data'!$Q152</f>
        <v>73892</v>
      </c>
      <c r="O378" s="3">
        <f>'Monthly D5 RIN Data'!$Q164</f>
        <v>84107</v>
      </c>
      <c r="P378" s="3">
        <f>'Monthly D5 RIN Data'!$Q176</f>
        <v>54250</v>
      </c>
      <c r="Q378" s="4">
        <f>'D5 Gallon Forecast'!Q364*AVERAGE('D5 RIN Forecast'!$AA$23:$AE$23)</f>
        <v>-222038.00119805185</v>
      </c>
      <c r="R378" s="4">
        <f>'D5 Gallon Forecast'!R364*AVERAGE('D5 RIN Forecast'!$AA$23:$AE$23)</f>
        <v>3634.4486310729098</v>
      </c>
      <c r="S378" s="4">
        <f>'D5 Gallon Forecast'!S364*AVERAGE('D5 RIN Forecast'!$AA$23:$AE$23)</f>
        <v>3201.6743160153223</v>
      </c>
      <c r="T378" s="4">
        <f>'D5 Gallon Forecast'!T364*AVERAGE('D5 RIN Forecast'!$AA$23:$AE$23)</f>
        <v>152271.3710323211</v>
      </c>
    </row>
    <row r="379" spans="1:20">
      <c r="A379" s="2" t="s">
        <v>48</v>
      </c>
      <c r="B379" s="3">
        <f>'Monthly D5 RIN Data'!$Q9</f>
        <v>0</v>
      </c>
      <c r="C379" s="3">
        <f>'Monthly D5 RIN Data'!$Q21</f>
        <v>0</v>
      </c>
      <c r="D379" s="3">
        <f>'Monthly D5 RIN Data'!$Q33</f>
        <v>0</v>
      </c>
      <c r="E379" s="3">
        <f>'Monthly D5 RIN Data'!$Q45</f>
        <v>0</v>
      </c>
      <c r="F379" s="3">
        <f>'Monthly D5 RIN Data'!$Q57</f>
        <v>0</v>
      </c>
      <c r="G379" s="3">
        <f>'Monthly D5 RIN Data'!$Q69</f>
        <v>0</v>
      </c>
      <c r="H379" s="3">
        <f>'Monthly D5 RIN Data'!$Q81</f>
        <v>0</v>
      </c>
      <c r="I379" s="3">
        <f>'Monthly D5 RIN Data'!$Q93</f>
        <v>11985</v>
      </c>
      <c r="J379" s="3">
        <f>'Monthly D5 RIN Data'!$Q105</f>
        <v>356242</v>
      </c>
      <c r="K379" s="3">
        <f>'Monthly D5 RIN Data'!$Q117</f>
        <v>15538</v>
      </c>
      <c r="L379" s="3">
        <f>'Monthly D5 RIN Data'!$Q129</f>
        <v>8314</v>
      </c>
      <c r="M379" s="3">
        <f>'Monthly D5 RIN Data'!$Q141</f>
        <v>244138</v>
      </c>
      <c r="N379" s="3">
        <f>'Monthly D5 RIN Data'!$Q153</f>
        <v>71031</v>
      </c>
      <c r="O379" s="3">
        <f>'Monthly D5 RIN Data'!$Q165</f>
        <v>122158</v>
      </c>
      <c r="P379" s="3">
        <f>'Monthly D5 RIN Data'!$Q177</f>
        <v>113403</v>
      </c>
      <c r="Q379" s="4">
        <f>'D5 Gallon Forecast'!Q365*AVERAGE('D5 RIN Forecast'!$AA$23:$AE$23)</f>
        <v>-538093.45440177084</v>
      </c>
      <c r="R379" s="4">
        <f>'D5 Gallon Forecast'!R365*AVERAGE('D5 RIN Forecast'!$AA$23:$AE$23)</f>
        <v>626270.02292291657</v>
      </c>
      <c r="S379" s="4">
        <f>'D5 Gallon Forecast'!S365*AVERAGE('D5 RIN Forecast'!$AA$23:$AE$23)</f>
        <v>-181120.18745332709</v>
      </c>
      <c r="T379" s="4">
        <f>'D5 Gallon Forecast'!T365*AVERAGE('D5 RIN Forecast'!$AA$23:$AE$23)</f>
        <v>-278935.0814305229</v>
      </c>
    </row>
    <row r="380" spans="1:20">
      <c r="A380" s="2" t="s">
        <v>49</v>
      </c>
      <c r="B380" s="3">
        <f>'Monthly D5 RIN Data'!$Q10</f>
        <v>0</v>
      </c>
      <c r="C380" s="3">
        <f>'Monthly D5 RIN Data'!$Q22</f>
        <v>0</v>
      </c>
      <c r="D380" s="3">
        <f>'Monthly D5 RIN Data'!$Q34</f>
        <v>0</v>
      </c>
      <c r="E380" s="3">
        <f>'Monthly D5 RIN Data'!$Q46</f>
        <v>0</v>
      </c>
      <c r="F380" s="3">
        <f>'Monthly D5 RIN Data'!$Q58</f>
        <v>0</v>
      </c>
      <c r="G380" s="3">
        <f>'Monthly D5 RIN Data'!$Q70</f>
        <v>1868</v>
      </c>
      <c r="H380" s="3">
        <f>'Monthly D5 RIN Data'!$Q82</f>
        <v>0</v>
      </c>
      <c r="I380" s="3">
        <f>'Monthly D5 RIN Data'!$Q94</f>
        <v>0</v>
      </c>
      <c r="J380" s="3">
        <f>'Monthly D5 RIN Data'!$Q106</f>
        <v>109444</v>
      </c>
      <c r="K380" s="3">
        <f>'Monthly D5 RIN Data'!$Q118</f>
        <v>6532</v>
      </c>
      <c r="L380" s="3">
        <f>'Monthly D5 RIN Data'!$Q130</f>
        <v>10378</v>
      </c>
      <c r="M380" s="3">
        <f>'Monthly D5 RIN Data'!$Q142</f>
        <v>229115</v>
      </c>
      <c r="N380" s="3">
        <f>'Monthly D5 RIN Data'!$Q154</f>
        <v>51846</v>
      </c>
      <c r="O380" s="3">
        <f>'Monthly D5 RIN Data'!$Q166</f>
        <v>118176</v>
      </c>
      <c r="P380" s="3">
        <f>'Monthly D5 RIN Data'!$Q178</f>
        <v>106952</v>
      </c>
      <c r="Q380" s="4">
        <f>'D5 Gallon Forecast'!Q366*AVERAGE('D5 RIN Forecast'!$AA$23:$AE$23)</f>
        <v>-497112.05578544689</v>
      </c>
      <c r="R380" s="4">
        <f>'D5 Gallon Forecast'!R366*AVERAGE('D5 RIN Forecast'!$AA$23:$AE$23)</f>
        <v>419101.41686999821</v>
      </c>
      <c r="S380" s="4">
        <f>'D5 Gallon Forecast'!S366*AVERAGE('D5 RIN Forecast'!$AA$23:$AE$23)</f>
        <v>-91071.323815768556</v>
      </c>
      <c r="T380" s="4">
        <f>'D5 Gallon Forecast'!T366*AVERAGE('D5 RIN Forecast'!$AA$23:$AE$23)</f>
        <v>-108629.04084365754</v>
      </c>
    </row>
    <row r="381" spans="1:20">
      <c r="A381" s="2" t="s">
        <v>50</v>
      </c>
      <c r="B381" s="3">
        <f>'Monthly D5 RIN Data'!$Q11</f>
        <v>0</v>
      </c>
      <c r="C381" s="3">
        <f>'Monthly D5 RIN Data'!$Q23</f>
        <v>0</v>
      </c>
      <c r="D381" s="3">
        <f>'Monthly D5 RIN Data'!$Q35</f>
        <v>0</v>
      </c>
      <c r="E381" s="3">
        <f>'Monthly D5 RIN Data'!$Q47</f>
        <v>0</v>
      </c>
      <c r="F381" s="3">
        <f>'Monthly D5 RIN Data'!$Q59</f>
        <v>0</v>
      </c>
      <c r="G381" s="3">
        <f>'Monthly D5 RIN Data'!$Q71</f>
        <v>1429</v>
      </c>
      <c r="H381" s="3">
        <f>'Monthly D5 RIN Data'!$Q83</f>
        <v>0</v>
      </c>
      <c r="I381" s="3">
        <f>'Monthly D5 RIN Data'!$Q95</f>
        <v>10049</v>
      </c>
      <c r="J381" s="3">
        <f>'Monthly D5 RIN Data'!$Q107</f>
        <v>24246</v>
      </c>
      <c r="K381" s="3">
        <f>'Monthly D5 RIN Data'!$Q119</f>
        <v>2721</v>
      </c>
      <c r="L381" s="3">
        <f>'Monthly D5 RIN Data'!$Q131</f>
        <v>9452</v>
      </c>
      <c r="M381" s="3">
        <f>'Monthly D5 RIN Data'!$Q143</f>
        <v>149358</v>
      </c>
      <c r="N381" s="3">
        <f>'Monthly D5 RIN Data'!$Q155</f>
        <v>62165</v>
      </c>
      <c r="O381" s="3">
        <f>'Monthly D5 RIN Data'!$Q167</f>
        <v>137708</v>
      </c>
      <c r="P381" s="3">
        <f>'Monthly D5 RIN Data'!$Q179</f>
        <v>108995</v>
      </c>
      <c r="Q381" s="4">
        <f>'D5 Gallon Forecast'!Q367*AVERAGE('D5 RIN Forecast'!$AA$23:$AE$23)</f>
        <v>-450151.45599936927</v>
      </c>
      <c r="R381" s="4">
        <f>'D5 Gallon Forecast'!R367*AVERAGE('D5 RIN Forecast'!$AA$23:$AE$23)</f>
        <v>376295.21205761266</v>
      </c>
      <c r="S381" s="4">
        <f>'D5 Gallon Forecast'!S367*AVERAGE('D5 RIN Forecast'!$AA$23:$AE$23)</f>
        <v>-107603.57353320331</v>
      </c>
      <c r="T381" s="4">
        <f>'D5 Gallon Forecast'!T367*AVERAGE('D5 RIN Forecast'!$AA$23:$AE$23)</f>
        <v>-126569.52295749438</v>
      </c>
    </row>
    <row r="382" spans="1:20">
      <c r="A382" s="2" t="s">
        <v>51</v>
      </c>
      <c r="B382" s="3">
        <f>'Monthly D5 RIN Data'!$Q12</f>
        <v>0</v>
      </c>
      <c r="C382" s="3">
        <f>'Monthly D5 RIN Data'!$Q24</f>
        <v>0</v>
      </c>
      <c r="D382" s="3">
        <f>'Monthly D5 RIN Data'!$Q36</f>
        <v>0</v>
      </c>
      <c r="E382" s="3">
        <f>'Monthly D5 RIN Data'!$Q48</f>
        <v>0</v>
      </c>
      <c r="F382" s="3">
        <f>'Monthly D5 RIN Data'!$Q60</f>
        <v>2367</v>
      </c>
      <c r="G382" s="3">
        <f>'Monthly D5 RIN Data'!$Q72</f>
        <v>39</v>
      </c>
      <c r="H382" s="3">
        <f>'Monthly D5 RIN Data'!$Q84</f>
        <v>0</v>
      </c>
      <c r="I382" s="3">
        <f>'Monthly D5 RIN Data'!$Q96</f>
        <v>76232</v>
      </c>
      <c r="J382" s="3">
        <f>'Monthly D5 RIN Data'!$Q108</f>
        <v>23560</v>
      </c>
      <c r="K382" s="3">
        <f>'Monthly D5 RIN Data'!$Q120</f>
        <v>0</v>
      </c>
      <c r="L382" s="3">
        <f>'Monthly D5 RIN Data'!$Q132</f>
        <v>9276</v>
      </c>
      <c r="M382" s="3">
        <f>'Monthly D5 RIN Data'!$Q144</f>
        <v>279130</v>
      </c>
      <c r="N382" s="3">
        <f>'Monthly D5 RIN Data'!$Q156</f>
        <v>71465</v>
      </c>
      <c r="O382" s="3">
        <f>'Monthly D5 RIN Data'!$Q168</f>
        <v>101931</v>
      </c>
      <c r="P382" s="3">
        <f>'Monthly D5 RIN Data'!$Q180</f>
        <v>122167</v>
      </c>
      <c r="Q382" s="4">
        <f>'D5 Gallon Forecast'!Q368*AVERAGE('D5 RIN Forecast'!$AA$23:$AE$23)</f>
        <v>-562084.37345458986</v>
      </c>
      <c r="R382" s="4">
        <f>'D5 Gallon Forecast'!R368*AVERAGE('D5 RIN Forecast'!$AA$23:$AE$23)</f>
        <v>619230.53711870592</v>
      </c>
      <c r="S382" s="4">
        <f>'D5 Gallon Forecast'!S368*AVERAGE('D5 RIN Forecast'!$AA$23:$AE$23)</f>
        <v>-161785.61393980146</v>
      </c>
      <c r="T382" s="4">
        <f>'D5 Gallon Forecast'!T368*AVERAGE('D5 RIN Forecast'!$AA$23:$AE$23)</f>
        <v>-233440.84985713018</v>
      </c>
    </row>
    <row r="383" spans="1:20">
      <c r="A383" s="2" t="s">
        <v>52</v>
      </c>
      <c r="B383" s="3">
        <f>'Monthly D5 RIN Data'!$Q13</f>
        <v>0</v>
      </c>
      <c r="C383" s="3">
        <f>'Monthly D5 RIN Data'!$Q25</f>
        <v>0</v>
      </c>
      <c r="D383" s="3">
        <f>'Monthly D5 RIN Data'!$Q37</f>
        <v>0</v>
      </c>
      <c r="E383" s="3">
        <f>'Monthly D5 RIN Data'!$Q49</f>
        <v>0</v>
      </c>
      <c r="F383" s="3">
        <f>'Monthly D5 RIN Data'!$Q61</f>
        <v>3351</v>
      </c>
      <c r="G383" s="3">
        <f>'Monthly D5 RIN Data'!$Q73</f>
        <v>0</v>
      </c>
      <c r="H383" s="3">
        <f>'Monthly D5 RIN Data'!$Q85</f>
        <v>0</v>
      </c>
      <c r="I383" s="3">
        <f>'Monthly D5 RIN Data'!$Q97</f>
        <v>21040</v>
      </c>
      <c r="J383" s="3">
        <f>'Monthly D5 RIN Data'!$Q109</f>
        <v>18751</v>
      </c>
      <c r="K383" s="3">
        <f>'Monthly D5 RIN Data'!$Q121</f>
        <v>0</v>
      </c>
      <c r="L383" s="3">
        <f>'Monthly D5 RIN Data'!$Q133</f>
        <v>7669</v>
      </c>
      <c r="M383" s="3">
        <f>'Monthly D5 RIN Data'!$Q145</f>
        <v>173281</v>
      </c>
      <c r="N383" s="3">
        <f>'Monthly D5 RIN Data'!$Q157</f>
        <v>70406</v>
      </c>
      <c r="O383" s="3">
        <f>'Monthly D5 RIN Data'!$Q169</f>
        <v>70596</v>
      </c>
      <c r="P383" s="3">
        <f>'Monthly D5 RIN Data'!$Q181</f>
        <v>126126</v>
      </c>
      <c r="Q383" s="4">
        <f>'D5 Gallon Forecast'!Q369*AVERAGE('D5 RIN Forecast'!$AA$23:$AE$23)</f>
        <v>-431285.97903105424</v>
      </c>
      <c r="R383" s="4">
        <f>'D5 Gallon Forecast'!R369*AVERAGE('D5 RIN Forecast'!$AA$23:$AE$23)</f>
        <v>442523.86680801312</v>
      </c>
      <c r="S383" s="4">
        <f>'D5 Gallon Forecast'!S369*AVERAGE('D5 RIN Forecast'!$AA$23:$AE$23)</f>
        <v>-127625.81830553687</v>
      </c>
      <c r="T383" s="4">
        <f>'D5 Gallon Forecast'!T369*AVERAGE('D5 RIN Forecast'!$AA$23:$AE$23)</f>
        <v>-156642.65929264139</v>
      </c>
    </row>
    <row r="384" spans="1:20">
      <c r="A384" s="2" t="s">
        <v>53</v>
      </c>
      <c r="B384" s="3">
        <f>'Monthly D5 RIN Data'!$Q14</f>
        <v>0</v>
      </c>
      <c r="C384" s="3">
        <f>'Monthly D5 RIN Data'!$Q26</f>
        <v>0</v>
      </c>
      <c r="D384" s="3">
        <f>'Monthly D5 RIN Data'!$Q38</f>
        <v>0</v>
      </c>
      <c r="E384" s="3">
        <f>'Monthly D5 RIN Data'!$Q50</f>
        <v>0</v>
      </c>
      <c r="F384" s="3">
        <f>'Monthly D5 RIN Data'!$Q62</f>
        <v>604</v>
      </c>
      <c r="G384" s="3">
        <f>'Monthly D5 RIN Data'!$Q74</f>
        <v>0</v>
      </c>
      <c r="H384" s="3">
        <f>'Monthly D5 RIN Data'!$Q86</f>
        <v>0</v>
      </c>
      <c r="I384" s="3">
        <f>'Monthly D5 RIN Data'!$Q98</f>
        <v>1412277</v>
      </c>
      <c r="J384" s="3">
        <f>'Monthly D5 RIN Data'!$Q110</f>
        <v>47026</v>
      </c>
      <c r="K384" s="3">
        <f>'Monthly D5 RIN Data'!$Q122</f>
        <v>0</v>
      </c>
      <c r="L384" s="3">
        <f>'Monthly D5 RIN Data'!$Q134</f>
        <v>8502</v>
      </c>
      <c r="M384" s="3">
        <f>'Monthly D5 RIN Data'!$Q146</f>
        <v>163969</v>
      </c>
      <c r="N384" s="3">
        <f>'Monthly D5 RIN Data'!$Q158</f>
        <v>61227</v>
      </c>
      <c r="O384" s="3">
        <f>'Monthly D5 RIN Data'!$Q170</f>
        <v>70456</v>
      </c>
      <c r="P384" s="3">
        <f>'Monthly D5 RIN Data'!$Q182</f>
        <v>166766</v>
      </c>
      <c r="Q384" s="4">
        <f>'D5 Gallon Forecast'!Q370*AVERAGE('D5 RIN Forecast'!$AA$23:$AE$23)</f>
        <v>-453271.9598938222</v>
      </c>
      <c r="R384" s="4">
        <f>'D5 Gallon Forecast'!R370*AVERAGE('D5 RIN Forecast'!$AA$23:$AE$23)</f>
        <v>438946.4423541053</v>
      </c>
      <c r="S384" s="4">
        <f>'D5 Gallon Forecast'!S370*AVERAGE('D5 RIN Forecast'!$AA$23:$AE$23)</f>
        <v>-130220.64931377448</v>
      </c>
      <c r="T384" s="4">
        <f>'D5 Gallon Forecast'!T370*AVERAGE('D5 RIN Forecast'!$AA$23:$AE$23)</f>
        <v>-180631.19632710557</v>
      </c>
    </row>
    <row r="385" spans="1:20">
      <c r="A385" s="2" t="s">
        <v>54</v>
      </c>
      <c r="B385" s="3">
        <f>'Monthly D5 RIN Data'!$Q15</f>
        <v>0</v>
      </c>
      <c r="C385" s="3">
        <f>'Monthly D5 RIN Data'!$Q27</f>
        <v>0</v>
      </c>
      <c r="D385" s="3">
        <f>'Monthly D5 RIN Data'!$Q39</f>
        <v>0</v>
      </c>
      <c r="E385" s="3">
        <f>'Monthly D5 RIN Data'!$Q51</f>
        <v>0</v>
      </c>
      <c r="F385" s="3">
        <f>'Monthly D5 RIN Data'!$Q63</f>
        <v>22</v>
      </c>
      <c r="G385" s="3">
        <f>'Monthly D5 RIN Data'!$Q75</f>
        <v>0</v>
      </c>
      <c r="H385" s="3">
        <f>'Monthly D5 RIN Data'!$Q87</f>
        <v>0</v>
      </c>
      <c r="I385" s="3">
        <f>'Monthly D5 RIN Data'!$Q99</f>
        <v>486515</v>
      </c>
      <c r="J385" s="3">
        <f>'Monthly D5 RIN Data'!$Q111</f>
        <v>28345</v>
      </c>
      <c r="K385" s="3">
        <f>'Monthly D5 RIN Data'!$Q123</f>
        <v>0</v>
      </c>
      <c r="L385" s="3">
        <f>'Monthly D5 RIN Data'!$Q135</f>
        <v>15796</v>
      </c>
      <c r="M385" s="3">
        <f>'Monthly D5 RIN Data'!$Q147</f>
        <v>334997</v>
      </c>
      <c r="N385" s="3">
        <f>'Monthly D5 RIN Data'!$Q159</f>
        <v>134652</v>
      </c>
      <c r="O385" s="3">
        <f>'Monthly D5 RIN Data'!$Q171</f>
        <v>114960</v>
      </c>
      <c r="P385" s="3">
        <f>'Monthly D5 RIN Data'!$Q183</f>
        <v>120576</v>
      </c>
      <c r="Q385" s="4">
        <f>'D5 Gallon Forecast'!Q371*AVERAGE('D5 RIN Forecast'!$AA$23:$AE$23)</f>
        <v>-1372845.5850801792</v>
      </c>
      <c r="R385" s="4">
        <f>'D5 Gallon Forecast'!R371*AVERAGE('D5 RIN Forecast'!$AA$23:$AE$23)</f>
        <v>-39783760.659015894</v>
      </c>
      <c r="S385" s="4">
        <f>'D5 Gallon Forecast'!S371*AVERAGE('D5 RIN Forecast'!$AA$23:$AE$23)</f>
        <v>18768656.218967199</v>
      </c>
      <c r="T385" s="4">
        <f>'D5 Gallon Forecast'!T371*AVERAGE('D5 RIN Forecast'!$AA$23:$AE$23)</f>
        <v>43600609.058528453</v>
      </c>
    </row>
    <row r="386" spans="1:20" ht="13.5" thickBot="1">
      <c r="A386" s="2" t="s">
        <v>29</v>
      </c>
      <c r="B386" s="3">
        <f t="shared" ref="B386:O386" si="87">SUM(B374:B385)</f>
        <v>0</v>
      </c>
      <c r="C386" s="3">
        <f t="shared" si="87"/>
        <v>0</v>
      </c>
      <c r="D386" s="3">
        <f t="shared" si="87"/>
        <v>0</v>
      </c>
      <c r="E386" s="3">
        <f t="shared" si="87"/>
        <v>0</v>
      </c>
      <c r="F386" s="3">
        <f t="shared" si="87"/>
        <v>6344</v>
      </c>
      <c r="G386" s="3">
        <f t="shared" si="87"/>
        <v>5022</v>
      </c>
      <c r="H386" s="3">
        <f t="shared" si="87"/>
        <v>0</v>
      </c>
      <c r="I386" s="3">
        <f t="shared" si="87"/>
        <v>2018098</v>
      </c>
      <c r="J386" s="3">
        <f t="shared" si="87"/>
        <v>1138777</v>
      </c>
      <c r="K386" s="3">
        <f t="shared" si="87"/>
        <v>83027</v>
      </c>
      <c r="L386" s="3">
        <f t="shared" si="87"/>
        <v>85371</v>
      </c>
      <c r="M386" s="3">
        <f t="shared" si="87"/>
        <v>1659418</v>
      </c>
      <c r="N386" s="3">
        <f t="shared" si="87"/>
        <v>1053739</v>
      </c>
      <c r="O386" s="3">
        <f t="shared" si="87"/>
        <v>1553570</v>
      </c>
      <c r="P386" s="3">
        <f>SUM(P374:P385)</f>
        <v>1120471</v>
      </c>
      <c r="Q386" s="4">
        <f>SUM(Q374:Q385)</f>
        <v>-5267427.5313445721</v>
      </c>
      <c r="R386" s="4">
        <f>SUM(R374:R385)</f>
        <v>5895103.8560705185</v>
      </c>
      <c r="S386" s="4">
        <f>SUM(S374:S385)</f>
        <v>-1997661.7747203447</v>
      </c>
      <c r="T386" s="4">
        <f>SUM(T374:T385)</f>
        <v>-2546529.2631063387</v>
      </c>
    </row>
    <row r="387" spans="1:20">
      <c r="A387" s="114"/>
      <c r="B387" s="114"/>
      <c r="C387" s="114"/>
      <c r="D387" s="114"/>
      <c r="E387" s="114"/>
      <c r="F387" s="114"/>
      <c r="G387" s="114"/>
      <c r="H387" s="114"/>
      <c r="I387" s="114"/>
      <c r="J387" s="114"/>
      <c r="K387" s="114"/>
      <c r="L387" s="114"/>
      <c r="M387" s="114"/>
      <c r="N387" s="114"/>
      <c r="O387" s="114"/>
      <c r="P387" s="114"/>
      <c r="Q387" s="114"/>
      <c r="R387" s="114"/>
      <c r="S387" s="114"/>
      <c r="T387" s="114"/>
    </row>
    <row r="388" spans="1:20" ht="16.5" thickBot="1">
      <c r="A388" s="109" t="s">
        <v>455</v>
      </c>
    </row>
    <row r="389" spans="1:20" ht="13.5" thickBot="1">
      <c r="A389" s="110"/>
      <c r="B389" s="111">
        <v>2010</v>
      </c>
      <c r="C389" s="111">
        <v>2011</v>
      </c>
      <c r="D389" s="111">
        <v>2012</v>
      </c>
      <c r="E389" s="111">
        <v>2013</v>
      </c>
      <c r="F389" s="111">
        <v>2014</v>
      </c>
      <c r="G389" s="111">
        <v>2015</v>
      </c>
      <c r="H389" s="111">
        <v>2016</v>
      </c>
      <c r="I389" s="111">
        <v>2017</v>
      </c>
      <c r="J389" s="111">
        <v>2018</v>
      </c>
      <c r="K389" s="111">
        <v>2019</v>
      </c>
      <c r="L389" s="111">
        <v>2020</v>
      </c>
      <c r="M389" s="111">
        <v>2021</v>
      </c>
      <c r="N389" s="111">
        <v>2022</v>
      </c>
      <c r="O389" s="111">
        <v>2023</v>
      </c>
      <c r="P389" s="111">
        <v>2024</v>
      </c>
      <c r="Q389" s="111">
        <v>2025</v>
      </c>
      <c r="R389" s="111">
        <v>2026</v>
      </c>
      <c r="S389" s="111">
        <v>2027</v>
      </c>
      <c r="T389" s="111">
        <v>2028</v>
      </c>
    </row>
    <row r="390" spans="1:20">
      <c r="A390" s="2" t="s">
        <v>43</v>
      </c>
      <c r="B390" s="3">
        <f>'Monthly D5 RIN Data'!$R4</f>
        <v>0</v>
      </c>
      <c r="C390" s="3">
        <f>'Monthly D5 RIN Data'!$R16</f>
        <v>0</v>
      </c>
      <c r="D390" s="3">
        <f>'Monthly D5 RIN Data'!$R28</f>
        <v>0</v>
      </c>
      <c r="E390" s="3">
        <f>'Monthly D5 RIN Data'!$R40</f>
        <v>0</v>
      </c>
      <c r="F390" s="3">
        <f>'Monthly D5 RIN Data'!$R52</f>
        <v>0</v>
      </c>
      <c r="G390" s="3">
        <f>'Monthly D5 RIN Data'!$R64</f>
        <v>0</v>
      </c>
      <c r="H390" s="3">
        <f>'Monthly D5 RIN Data'!$R76</f>
        <v>0</v>
      </c>
      <c r="I390" s="3">
        <f>'Monthly D5 RIN Data'!$R88</f>
        <v>0</v>
      </c>
      <c r="J390" s="3">
        <f>'Monthly D5 RIN Data'!$R100</f>
        <v>0</v>
      </c>
      <c r="K390" s="3">
        <f>'Monthly D5 RIN Data'!$R112</f>
        <v>0</v>
      </c>
      <c r="L390" s="3">
        <f>'Monthly D5 RIN Data'!$R124</f>
        <v>0</v>
      </c>
      <c r="M390" s="3">
        <f>'Monthly D5 RIN Data'!$R136</f>
        <v>0</v>
      </c>
      <c r="N390" s="3">
        <f>'Monthly D5 RIN Data'!$R148</f>
        <v>0</v>
      </c>
      <c r="O390" s="3">
        <f>'Monthly D5 RIN Data'!$R160</f>
        <v>0</v>
      </c>
      <c r="P390" s="3">
        <f>'Monthly D5 RIN Data'!$R172</f>
        <v>0</v>
      </c>
      <c r="Q390" s="3">
        <f>'Monthly D5 RIN Data'!$R184</f>
        <v>0</v>
      </c>
      <c r="R390" s="4">
        <f>'D5 Gallon Forecast'!R376</f>
        <v>0</v>
      </c>
      <c r="S390" s="4">
        <f>'D5 Gallon Forecast'!S376</f>
        <v>0</v>
      </c>
      <c r="T390" s="4">
        <f>'D5 Gallon Forecast'!T376</f>
        <v>0</v>
      </c>
    </row>
    <row r="391" spans="1:20">
      <c r="A391" s="2" t="s">
        <v>44</v>
      </c>
      <c r="B391" s="3">
        <f>'Monthly D5 RIN Data'!$R5</f>
        <v>0</v>
      </c>
      <c r="C391" s="3">
        <f>'Monthly D5 RIN Data'!$R17</f>
        <v>0</v>
      </c>
      <c r="D391" s="3">
        <f>'Monthly D5 RIN Data'!$R29</f>
        <v>0</v>
      </c>
      <c r="E391" s="3">
        <f>'Monthly D5 RIN Data'!$R41</f>
        <v>0</v>
      </c>
      <c r="F391" s="3">
        <f>'Monthly D5 RIN Data'!$R53</f>
        <v>0</v>
      </c>
      <c r="G391" s="3">
        <f>'Monthly D5 RIN Data'!$R65</f>
        <v>0</v>
      </c>
      <c r="H391" s="3">
        <f>'Monthly D5 RIN Data'!$R77</f>
        <v>0</v>
      </c>
      <c r="I391" s="3">
        <f>'Monthly D5 RIN Data'!$R89</f>
        <v>0</v>
      </c>
      <c r="J391" s="3">
        <f>'Monthly D5 RIN Data'!$R101</f>
        <v>0</v>
      </c>
      <c r="K391" s="3">
        <f>'Monthly D5 RIN Data'!$R113</f>
        <v>0</v>
      </c>
      <c r="L391" s="3">
        <f>'Monthly D5 RIN Data'!$R125</f>
        <v>0</v>
      </c>
      <c r="M391" s="3">
        <f>'Monthly D5 RIN Data'!$R137</f>
        <v>0</v>
      </c>
      <c r="N391" s="3">
        <f>'Monthly D5 RIN Data'!$R149</f>
        <v>0</v>
      </c>
      <c r="O391" s="3">
        <f>'Monthly D5 RIN Data'!$R161</f>
        <v>0</v>
      </c>
      <c r="P391" s="3">
        <f>'Monthly D5 RIN Data'!$R173</f>
        <v>0</v>
      </c>
      <c r="Q391" s="3">
        <f>'Monthly D5 RIN Data'!$R185</f>
        <v>0</v>
      </c>
      <c r="R391" s="4">
        <f>'D5 Gallon Forecast'!R377</f>
        <v>0</v>
      </c>
      <c r="S391" s="4">
        <f>'D5 Gallon Forecast'!S377</f>
        <v>0</v>
      </c>
      <c r="T391" s="4">
        <f>'D5 Gallon Forecast'!T377</f>
        <v>0</v>
      </c>
    </row>
    <row r="392" spans="1:20">
      <c r="A392" s="2" t="s">
        <v>45</v>
      </c>
      <c r="B392" s="3">
        <f>'Monthly D5 RIN Data'!$R6</f>
        <v>0</v>
      </c>
      <c r="C392" s="3">
        <f>'Monthly D5 RIN Data'!$R18</f>
        <v>0</v>
      </c>
      <c r="D392" s="3">
        <f>'Monthly D5 RIN Data'!$R30</f>
        <v>0</v>
      </c>
      <c r="E392" s="3">
        <f>'Monthly D5 RIN Data'!$R42</f>
        <v>0</v>
      </c>
      <c r="F392" s="3">
        <f>'Monthly D5 RIN Data'!$R54</f>
        <v>0</v>
      </c>
      <c r="G392" s="3">
        <f>'Monthly D5 RIN Data'!$R66</f>
        <v>0</v>
      </c>
      <c r="H392" s="3">
        <f>'Monthly D5 RIN Data'!$R78</f>
        <v>0</v>
      </c>
      <c r="I392" s="3">
        <f>'Monthly D5 RIN Data'!$R90</f>
        <v>0</v>
      </c>
      <c r="J392" s="3">
        <f>'Monthly D5 RIN Data'!$R102</f>
        <v>0</v>
      </c>
      <c r="K392" s="3">
        <f>'Monthly D5 RIN Data'!$R114</f>
        <v>0</v>
      </c>
      <c r="L392" s="3">
        <f>'Monthly D5 RIN Data'!$R126</f>
        <v>0</v>
      </c>
      <c r="M392" s="3">
        <f>'Monthly D5 RIN Data'!$R138</f>
        <v>0</v>
      </c>
      <c r="N392" s="3">
        <f>'Monthly D5 RIN Data'!$R150</f>
        <v>0</v>
      </c>
      <c r="O392" s="3">
        <f>'Monthly D5 RIN Data'!$R162</f>
        <v>0</v>
      </c>
      <c r="P392" s="3">
        <f>'Monthly D5 RIN Data'!$R174</f>
        <v>0</v>
      </c>
      <c r="Q392" s="3">
        <f>'Monthly D5 RIN Data'!$R186</f>
        <v>0</v>
      </c>
      <c r="R392" s="4">
        <f>'D5 Gallon Forecast'!R378</f>
        <v>0</v>
      </c>
      <c r="S392" s="4">
        <f>'D5 Gallon Forecast'!S378</f>
        <v>0</v>
      </c>
      <c r="T392" s="4">
        <f>'D5 Gallon Forecast'!T378</f>
        <v>0</v>
      </c>
    </row>
    <row r="393" spans="1:20">
      <c r="A393" s="2" t="s">
        <v>46</v>
      </c>
      <c r="B393" s="3">
        <f>'Monthly D5 RIN Data'!$R7</f>
        <v>0</v>
      </c>
      <c r="C393" s="3">
        <f>'Monthly D5 RIN Data'!$R19</f>
        <v>0</v>
      </c>
      <c r="D393" s="3">
        <f>'Monthly D5 RIN Data'!$R31</f>
        <v>0</v>
      </c>
      <c r="E393" s="3">
        <f>'Monthly D5 RIN Data'!$R43</f>
        <v>0</v>
      </c>
      <c r="F393" s="3">
        <f>'Monthly D5 RIN Data'!$R55</f>
        <v>0</v>
      </c>
      <c r="G393" s="3">
        <f>'Monthly D5 RIN Data'!$R67</f>
        <v>0</v>
      </c>
      <c r="H393" s="3">
        <f>'Monthly D5 RIN Data'!$R79</f>
        <v>0</v>
      </c>
      <c r="I393" s="3">
        <f>'Monthly D5 RIN Data'!$R91</f>
        <v>0</v>
      </c>
      <c r="J393" s="3">
        <f>'Monthly D5 RIN Data'!$R103</f>
        <v>0</v>
      </c>
      <c r="K393" s="3">
        <f>'Monthly D5 RIN Data'!$R115</f>
        <v>0</v>
      </c>
      <c r="L393" s="3">
        <f>'Monthly D5 RIN Data'!$R127</f>
        <v>0</v>
      </c>
      <c r="M393" s="3">
        <f>'Monthly D5 RIN Data'!$R139</f>
        <v>0</v>
      </c>
      <c r="N393" s="3">
        <f>'Monthly D5 RIN Data'!$R151</f>
        <v>0</v>
      </c>
      <c r="O393" s="3">
        <f>'Monthly D5 RIN Data'!$R163</f>
        <v>0</v>
      </c>
      <c r="P393" s="3">
        <f>'Monthly D5 RIN Data'!$R175</f>
        <v>0</v>
      </c>
      <c r="Q393" s="4">
        <f>'D5 Gallon Forecast'!Q379</f>
        <v>0</v>
      </c>
      <c r="R393" s="4">
        <f>'D5 Gallon Forecast'!R379</f>
        <v>0</v>
      </c>
      <c r="S393" s="4">
        <f>'D5 Gallon Forecast'!S379</f>
        <v>0</v>
      </c>
      <c r="T393" s="4">
        <f>'D5 Gallon Forecast'!T379</f>
        <v>0</v>
      </c>
    </row>
    <row r="394" spans="1:20">
      <c r="A394" s="2" t="s">
        <v>47</v>
      </c>
      <c r="B394" s="3">
        <f>'Monthly D5 RIN Data'!$R8</f>
        <v>0</v>
      </c>
      <c r="C394" s="3">
        <f>'Monthly D5 RIN Data'!$R20</f>
        <v>0</v>
      </c>
      <c r="D394" s="3">
        <f>'Monthly D5 RIN Data'!$R32</f>
        <v>0</v>
      </c>
      <c r="E394" s="3">
        <f>'Monthly D5 RIN Data'!$R44</f>
        <v>0</v>
      </c>
      <c r="F394" s="3">
        <f>'Monthly D5 RIN Data'!$R56</f>
        <v>0</v>
      </c>
      <c r="G394" s="3">
        <f>'Monthly D5 RIN Data'!$R68</f>
        <v>0</v>
      </c>
      <c r="H394" s="3">
        <f>'Monthly D5 RIN Data'!$R80</f>
        <v>0</v>
      </c>
      <c r="I394" s="3">
        <f>'Monthly D5 RIN Data'!$R92</f>
        <v>0</v>
      </c>
      <c r="J394" s="3">
        <f>'Monthly D5 RIN Data'!$R104</f>
        <v>0</v>
      </c>
      <c r="K394" s="3">
        <f>'Monthly D5 RIN Data'!$R116</f>
        <v>0</v>
      </c>
      <c r="L394" s="3">
        <f>'Monthly D5 RIN Data'!$R128</f>
        <v>0</v>
      </c>
      <c r="M394" s="3">
        <f>'Monthly D5 RIN Data'!$R140</f>
        <v>0</v>
      </c>
      <c r="N394" s="3">
        <f>'Monthly D5 RIN Data'!$R152</f>
        <v>0</v>
      </c>
      <c r="O394" s="3">
        <f>'Monthly D5 RIN Data'!$R164</f>
        <v>0</v>
      </c>
      <c r="P394" s="3">
        <f>'Monthly D5 RIN Data'!$R176</f>
        <v>0</v>
      </c>
      <c r="Q394" s="4">
        <f>'D5 Gallon Forecast'!Q380</f>
        <v>0</v>
      </c>
      <c r="R394" s="4">
        <f>'D5 Gallon Forecast'!R380</f>
        <v>0</v>
      </c>
      <c r="S394" s="4">
        <f>'D5 Gallon Forecast'!S380</f>
        <v>0</v>
      </c>
      <c r="T394" s="4">
        <f>'D5 Gallon Forecast'!T380</f>
        <v>0</v>
      </c>
    </row>
    <row r="395" spans="1:20">
      <c r="A395" s="2" t="s">
        <v>48</v>
      </c>
      <c r="B395" s="3">
        <f>'Monthly D5 RIN Data'!$R9</f>
        <v>0</v>
      </c>
      <c r="C395" s="3">
        <f>'Monthly D5 RIN Data'!$R21</f>
        <v>0</v>
      </c>
      <c r="D395" s="3">
        <f>'Monthly D5 RIN Data'!$R33</f>
        <v>0</v>
      </c>
      <c r="E395" s="3">
        <f>'Monthly D5 RIN Data'!$R45</f>
        <v>0</v>
      </c>
      <c r="F395" s="3">
        <f>'Monthly D5 RIN Data'!$R57</f>
        <v>0</v>
      </c>
      <c r="G395" s="3">
        <f>'Monthly D5 RIN Data'!$R69</f>
        <v>0</v>
      </c>
      <c r="H395" s="3">
        <f>'Monthly D5 RIN Data'!$R81</f>
        <v>0</v>
      </c>
      <c r="I395" s="3">
        <f>'Monthly D5 RIN Data'!$R93</f>
        <v>0</v>
      </c>
      <c r="J395" s="3">
        <f>'Monthly D5 RIN Data'!$R105</f>
        <v>0</v>
      </c>
      <c r="K395" s="3">
        <f>'Monthly D5 RIN Data'!$R117</f>
        <v>0</v>
      </c>
      <c r="L395" s="3">
        <f>'Monthly D5 RIN Data'!$R129</f>
        <v>0</v>
      </c>
      <c r="M395" s="3">
        <f>'Monthly D5 RIN Data'!$R141</f>
        <v>0</v>
      </c>
      <c r="N395" s="3">
        <f>'Monthly D5 RIN Data'!$R153</f>
        <v>0</v>
      </c>
      <c r="O395" s="3">
        <f>'Monthly D5 RIN Data'!$R165</f>
        <v>0</v>
      </c>
      <c r="P395" s="3">
        <f>'Monthly D5 RIN Data'!$R177</f>
        <v>0</v>
      </c>
      <c r="Q395" s="4">
        <f>'D5 Gallon Forecast'!Q381</f>
        <v>0</v>
      </c>
      <c r="R395" s="4">
        <f>'D5 Gallon Forecast'!R381</f>
        <v>0</v>
      </c>
      <c r="S395" s="4">
        <f>'D5 Gallon Forecast'!S381</f>
        <v>0</v>
      </c>
      <c r="T395" s="4">
        <f>'D5 Gallon Forecast'!T381</f>
        <v>0</v>
      </c>
    </row>
    <row r="396" spans="1:20">
      <c r="A396" s="2" t="s">
        <v>49</v>
      </c>
      <c r="B396" s="3">
        <f>'Monthly D5 RIN Data'!$R10</f>
        <v>0</v>
      </c>
      <c r="C396" s="3">
        <f>'Monthly D5 RIN Data'!$R22</f>
        <v>0</v>
      </c>
      <c r="D396" s="3">
        <f>'Monthly D5 RIN Data'!$R34</f>
        <v>0</v>
      </c>
      <c r="E396" s="3">
        <f>'Monthly D5 RIN Data'!$R46</f>
        <v>0</v>
      </c>
      <c r="F396" s="3">
        <f>'Monthly D5 RIN Data'!$R58</f>
        <v>0</v>
      </c>
      <c r="G396" s="3">
        <f>'Monthly D5 RIN Data'!$R70</f>
        <v>0</v>
      </c>
      <c r="H396" s="3">
        <f>'Monthly D5 RIN Data'!$R82</f>
        <v>0</v>
      </c>
      <c r="I396" s="3">
        <f>'Monthly D5 RIN Data'!$R94</f>
        <v>0</v>
      </c>
      <c r="J396" s="3">
        <f>'Monthly D5 RIN Data'!$R106</f>
        <v>0</v>
      </c>
      <c r="K396" s="3">
        <f>'Monthly D5 RIN Data'!$R118</f>
        <v>0</v>
      </c>
      <c r="L396" s="3">
        <f>'Monthly D5 RIN Data'!$R130</f>
        <v>0</v>
      </c>
      <c r="M396" s="3">
        <f>'Monthly D5 RIN Data'!$R142</f>
        <v>0</v>
      </c>
      <c r="N396" s="3">
        <f>'Monthly D5 RIN Data'!$R154</f>
        <v>0</v>
      </c>
      <c r="O396" s="3">
        <f>'Monthly D5 RIN Data'!$R166</f>
        <v>0</v>
      </c>
      <c r="P396" s="3">
        <f>'Monthly D5 RIN Data'!$R178</f>
        <v>0</v>
      </c>
      <c r="Q396" s="4">
        <f>'D5 Gallon Forecast'!Q382</f>
        <v>0</v>
      </c>
      <c r="R396" s="4">
        <f>'D5 Gallon Forecast'!R382</f>
        <v>0</v>
      </c>
      <c r="S396" s="4">
        <f>'D5 Gallon Forecast'!S382</f>
        <v>0</v>
      </c>
      <c r="T396" s="4">
        <f>'D5 Gallon Forecast'!T382</f>
        <v>0</v>
      </c>
    </row>
    <row r="397" spans="1:20">
      <c r="A397" s="2" t="s">
        <v>50</v>
      </c>
      <c r="B397" s="3">
        <f>'Monthly D5 RIN Data'!$R11</f>
        <v>0</v>
      </c>
      <c r="C397" s="3">
        <f>'Monthly D5 RIN Data'!$R23</f>
        <v>0</v>
      </c>
      <c r="D397" s="3">
        <f>'Monthly D5 RIN Data'!$R35</f>
        <v>0</v>
      </c>
      <c r="E397" s="3">
        <f>'Monthly D5 RIN Data'!$R47</f>
        <v>0</v>
      </c>
      <c r="F397" s="3">
        <f>'Monthly D5 RIN Data'!$R59</f>
        <v>0</v>
      </c>
      <c r="G397" s="3">
        <f>'Monthly D5 RIN Data'!$R71</f>
        <v>0</v>
      </c>
      <c r="H397" s="3">
        <f>'Monthly D5 RIN Data'!$R83</f>
        <v>0</v>
      </c>
      <c r="I397" s="3">
        <f>'Monthly D5 RIN Data'!$R95</f>
        <v>0</v>
      </c>
      <c r="J397" s="3">
        <f>'Monthly D5 RIN Data'!$R107</f>
        <v>0</v>
      </c>
      <c r="K397" s="3">
        <f>'Monthly D5 RIN Data'!$R119</f>
        <v>0</v>
      </c>
      <c r="L397" s="3">
        <f>'Monthly D5 RIN Data'!$R131</f>
        <v>0</v>
      </c>
      <c r="M397" s="3">
        <f>'Monthly D5 RIN Data'!$R143</f>
        <v>0</v>
      </c>
      <c r="N397" s="3">
        <f>'Monthly D5 RIN Data'!$R155</f>
        <v>0</v>
      </c>
      <c r="O397" s="3">
        <f>'Monthly D5 RIN Data'!$R167</f>
        <v>0</v>
      </c>
      <c r="P397" s="3">
        <f>'Monthly D5 RIN Data'!$R179</f>
        <v>0</v>
      </c>
      <c r="Q397" s="4">
        <f>'D5 Gallon Forecast'!Q383</f>
        <v>0</v>
      </c>
      <c r="R397" s="4">
        <f>'D5 Gallon Forecast'!R383</f>
        <v>0</v>
      </c>
      <c r="S397" s="4">
        <f>'D5 Gallon Forecast'!S383</f>
        <v>0</v>
      </c>
      <c r="T397" s="4">
        <f>'D5 Gallon Forecast'!T383</f>
        <v>0</v>
      </c>
    </row>
    <row r="398" spans="1:20">
      <c r="A398" s="2" t="s">
        <v>51</v>
      </c>
      <c r="B398" s="3">
        <f>'Monthly D5 RIN Data'!$R12</f>
        <v>0</v>
      </c>
      <c r="C398" s="3">
        <f>'Monthly D5 RIN Data'!$R24</f>
        <v>0</v>
      </c>
      <c r="D398" s="3">
        <f>'Monthly D5 RIN Data'!$R36</f>
        <v>0</v>
      </c>
      <c r="E398" s="3">
        <f>'Monthly D5 RIN Data'!$R48</f>
        <v>0</v>
      </c>
      <c r="F398" s="3">
        <f>'Monthly D5 RIN Data'!$R60</f>
        <v>0</v>
      </c>
      <c r="G398" s="3">
        <f>'Monthly D5 RIN Data'!$R72</f>
        <v>0</v>
      </c>
      <c r="H398" s="3">
        <f>'Monthly D5 RIN Data'!$R84</f>
        <v>0</v>
      </c>
      <c r="I398" s="3">
        <f>'Monthly D5 RIN Data'!$R96</f>
        <v>0</v>
      </c>
      <c r="J398" s="3">
        <f>'Monthly D5 RIN Data'!$R108</f>
        <v>0</v>
      </c>
      <c r="K398" s="3">
        <f>'Monthly D5 RIN Data'!$R120</f>
        <v>0</v>
      </c>
      <c r="L398" s="3">
        <f>'Monthly D5 RIN Data'!$R132</f>
        <v>0</v>
      </c>
      <c r="M398" s="3">
        <f>'Monthly D5 RIN Data'!$R144</f>
        <v>0</v>
      </c>
      <c r="N398" s="3">
        <f>'Monthly D5 RIN Data'!$R156</f>
        <v>0</v>
      </c>
      <c r="O398" s="3">
        <f>'Monthly D5 RIN Data'!$R168</f>
        <v>0</v>
      </c>
      <c r="P398" s="3">
        <f>'Monthly D5 RIN Data'!$R180</f>
        <v>0</v>
      </c>
      <c r="Q398" s="4">
        <f>'D5 Gallon Forecast'!Q384</f>
        <v>0</v>
      </c>
      <c r="R398" s="4">
        <f>'D5 Gallon Forecast'!R384</f>
        <v>0</v>
      </c>
      <c r="S398" s="4">
        <f>'D5 Gallon Forecast'!S384</f>
        <v>0</v>
      </c>
      <c r="T398" s="4">
        <f>'D5 Gallon Forecast'!T384</f>
        <v>0</v>
      </c>
    </row>
    <row r="399" spans="1:20">
      <c r="A399" s="2" t="s">
        <v>52</v>
      </c>
      <c r="B399" s="3">
        <f>'Monthly D5 RIN Data'!$R13</f>
        <v>0</v>
      </c>
      <c r="C399" s="3">
        <f>'Monthly D5 RIN Data'!$R25</f>
        <v>0</v>
      </c>
      <c r="D399" s="3">
        <f>'Monthly D5 RIN Data'!$R37</f>
        <v>0</v>
      </c>
      <c r="E399" s="3">
        <f>'Monthly D5 RIN Data'!$R49</f>
        <v>0</v>
      </c>
      <c r="F399" s="3">
        <f>'Monthly D5 RIN Data'!$R61</f>
        <v>0</v>
      </c>
      <c r="G399" s="3">
        <f>'Monthly D5 RIN Data'!$R73</f>
        <v>0</v>
      </c>
      <c r="H399" s="3">
        <f>'Monthly D5 RIN Data'!$R85</f>
        <v>0</v>
      </c>
      <c r="I399" s="3">
        <f>'Monthly D5 RIN Data'!$R97</f>
        <v>0</v>
      </c>
      <c r="J399" s="3">
        <f>'Monthly D5 RIN Data'!$R109</f>
        <v>0</v>
      </c>
      <c r="K399" s="3">
        <f>'Monthly D5 RIN Data'!$R121</f>
        <v>0</v>
      </c>
      <c r="L399" s="3">
        <f>'Monthly D5 RIN Data'!$R133</f>
        <v>0</v>
      </c>
      <c r="M399" s="3">
        <f>'Monthly D5 RIN Data'!$R145</f>
        <v>0</v>
      </c>
      <c r="N399" s="3">
        <f>'Monthly D5 RIN Data'!$R157</f>
        <v>0</v>
      </c>
      <c r="O399" s="3">
        <f>'Monthly D5 RIN Data'!$R169</f>
        <v>0</v>
      </c>
      <c r="P399" s="3">
        <f>'Monthly D5 RIN Data'!$R181</f>
        <v>0</v>
      </c>
      <c r="Q399" s="4">
        <f>'D5 Gallon Forecast'!Q385</f>
        <v>0</v>
      </c>
      <c r="R399" s="4">
        <f>'D5 Gallon Forecast'!R385</f>
        <v>0</v>
      </c>
      <c r="S399" s="4">
        <f>'D5 Gallon Forecast'!S385</f>
        <v>0</v>
      </c>
      <c r="T399" s="4">
        <f>'D5 Gallon Forecast'!T385</f>
        <v>0</v>
      </c>
    </row>
    <row r="400" spans="1:20">
      <c r="A400" s="2" t="s">
        <v>53</v>
      </c>
      <c r="B400" s="3">
        <f>'Monthly D5 RIN Data'!$R14</f>
        <v>0</v>
      </c>
      <c r="C400" s="3">
        <f>'Monthly D5 RIN Data'!$R26</f>
        <v>0</v>
      </c>
      <c r="D400" s="3">
        <f>'Monthly D5 RIN Data'!$R38</f>
        <v>0</v>
      </c>
      <c r="E400" s="3">
        <f>'Monthly D5 RIN Data'!$R50</f>
        <v>0</v>
      </c>
      <c r="F400" s="3">
        <f>'Monthly D5 RIN Data'!$R62</f>
        <v>0</v>
      </c>
      <c r="G400" s="3">
        <f>'Monthly D5 RIN Data'!$R74</f>
        <v>0</v>
      </c>
      <c r="H400" s="3">
        <f>'Monthly D5 RIN Data'!$R86</f>
        <v>0</v>
      </c>
      <c r="I400" s="3">
        <f>'Monthly D5 RIN Data'!$R98</f>
        <v>0</v>
      </c>
      <c r="J400" s="3">
        <f>'Monthly D5 RIN Data'!$R110</f>
        <v>0</v>
      </c>
      <c r="K400" s="3">
        <f>'Monthly D5 RIN Data'!$R122</f>
        <v>0</v>
      </c>
      <c r="L400" s="3">
        <f>'Monthly D5 RIN Data'!$R134</f>
        <v>0</v>
      </c>
      <c r="M400" s="3">
        <f>'Monthly D5 RIN Data'!$R146</f>
        <v>0</v>
      </c>
      <c r="N400" s="3">
        <f>'Monthly D5 RIN Data'!$R158</f>
        <v>0</v>
      </c>
      <c r="O400" s="3">
        <f>'Monthly D5 RIN Data'!$R170</f>
        <v>0</v>
      </c>
      <c r="P400" s="3">
        <f>'Monthly D5 RIN Data'!$R182</f>
        <v>0</v>
      </c>
      <c r="Q400" s="4">
        <f>'D5 Gallon Forecast'!Q386</f>
        <v>0</v>
      </c>
      <c r="R400" s="4">
        <f>'D5 Gallon Forecast'!R386</f>
        <v>0</v>
      </c>
      <c r="S400" s="4">
        <f>'D5 Gallon Forecast'!S386</f>
        <v>0</v>
      </c>
      <c r="T400" s="4">
        <f>'D5 Gallon Forecast'!T386</f>
        <v>0</v>
      </c>
    </row>
    <row r="401" spans="1:20">
      <c r="A401" s="2" t="s">
        <v>54</v>
      </c>
      <c r="B401" s="3">
        <f>'Monthly D5 RIN Data'!$R15</f>
        <v>0</v>
      </c>
      <c r="C401" s="3">
        <f>'Monthly D5 RIN Data'!$R27</f>
        <v>0</v>
      </c>
      <c r="D401" s="3">
        <f>'Monthly D5 RIN Data'!$R39</f>
        <v>0</v>
      </c>
      <c r="E401" s="3">
        <f>'Monthly D5 RIN Data'!$R51</f>
        <v>0</v>
      </c>
      <c r="F401" s="3">
        <f>'Monthly D5 RIN Data'!$R63</f>
        <v>0</v>
      </c>
      <c r="G401" s="3">
        <f>'Monthly D5 RIN Data'!$R75</f>
        <v>0</v>
      </c>
      <c r="H401" s="3">
        <f>'Monthly D5 RIN Data'!$R87</f>
        <v>0</v>
      </c>
      <c r="I401" s="3">
        <f>'Monthly D5 RIN Data'!$R99</f>
        <v>0</v>
      </c>
      <c r="J401" s="3">
        <f>'Monthly D5 RIN Data'!$R111</f>
        <v>0</v>
      </c>
      <c r="K401" s="3">
        <f>'Monthly D5 RIN Data'!$R123</f>
        <v>0</v>
      </c>
      <c r="L401" s="3">
        <f>'Monthly D5 RIN Data'!$R135</f>
        <v>0</v>
      </c>
      <c r="M401" s="3">
        <f>'Monthly D5 RIN Data'!$R147</f>
        <v>0</v>
      </c>
      <c r="N401" s="3">
        <f>'Monthly D5 RIN Data'!$R159</f>
        <v>0</v>
      </c>
      <c r="O401" s="3">
        <f>'Monthly D5 RIN Data'!$R171</f>
        <v>0</v>
      </c>
      <c r="P401" s="3">
        <f>'Monthly D5 RIN Data'!$R183</f>
        <v>0</v>
      </c>
      <c r="Q401" s="4">
        <f>'D5 Gallon Forecast'!Q387</f>
        <v>0</v>
      </c>
      <c r="R401" s="4">
        <f>'D5 Gallon Forecast'!R387</f>
        <v>0</v>
      </c>
      <c r="S401" s="4">
        <f>'D5 Gallon Forecast'!S387</f>
        <v>0</v>
      </c>
      <c r="T401" s="4">
        <f>'D5 Gallon Forecast'!T387</f>
        <v>0</v>
      </c>
    </row>
    <row r="402" spans="1:20" ht="13.5" thickBot="1">
      <c r="A402" s="2" t="s">
        <v>29</v>
      </c>
      <c r="B402" s="3">
        <f t="shared" ref="B402:O402" si="88">SUM(B390:B401)</f>
        <v>0</v>
      </c>
      <c r="C402" s="3">
        <f t="shared" si="88"/>
        <v>0</v>
      </c>
      <c r="D402" s="3">
        <f t="shared" si="88"/>
        <v>0</v>
      </c>
      <c r="E402" s="3">
        <f t="shared" si="88"/>
        <v>0</v>
      </c>
      <c r="F402" s="3">
        <f t="shared" si="88"/>
        <v>0</v>
      </c>
      <c r="G402" s="3">
        <f t="shared" si="88"/>
        <v>0</v>
      </c>
      <c r="H402" s="3">
        <f t="shared" si="88"/>
        <v>0</v>
      </c>
      <c r="I402" s="3">
        <f t="shared" si="88"/>
        <v>0</v>
      </c>
      <c r="J402" s="3">
        <f t="shared" si="88"/>
        <v>0</v>
      </c>
      <c r="K402" s="3">
        <f t="shared" si="88"/>
        <v>0</v>
      </c>
      <c r="L402" s="3">
        <f t="shared" si="88"/>
        <v>0</v>
      </c>
      <c r="M402" s="3">
        <f t="shared" si="88"/>
        <v>0</v>
      </c>
      <c r="N402" s="3">
        <f t="shared" si="88"/>
        <v>0</v>
      </c>
      <c r="O402" s="3">
        <f t="shared" si="88"/>
        <v>0</v>
      </c>
      <c r="P402" s="3">
        <f>SUM(P390:P401)</f>
        <v>0</v>
      </c>
      <c r="Q402" s="4">
        <f>SUM(Q390:Q401)</f>
        <v>0</v>
      </c>
      <c r="R402" s="4">
        <f>SUM(R390:R401)</f>
        <v>0</v>
      </c>
      <c r="S402" s="4">
        <f>SUM(S390:S401)</f>
        <v>0</v>
      </c>
      <c r="T402" s="4">
        <f>SUM(T390:T401)</f>
        <v>0</v>
      </c>
    </row>
    <row r="403" spans="1:20">
      <c r="A403" s="114"/>
      <c r="B403" s="114"/>
      <c r="C403" s="114"/>
      <c r="D403" s="114"/>
      <c r="E403" s="114"/>
      <c r="F403" s="114"/>
      <c r="G403" s="114"/>
      <c r="H403" s="114"/>
      <c r="I403" s="114"/>
      <c r="J403" s="114"/>
      <c r="K403" s="114"/>
      <c r="L403" s="114"/>
      <c r="M403" s="114"/>
      <c r="N403" s="114"/>
      <c r="O403" s="114"/>
      <c r="P403" s="114"/>
      <c r="Q403" s="114"/>
      <c r="R403" s="114"/>
      <c r="S403" s="114"/>
      <c r="T403" s="114"/>
    </row>
    <row r="404" spans="1:20" ht="16.5" thickBot="1">
      <c r="A404" s="109" t="s">
        <v>456</v>
      </c>
    </row>
    <row r="405" spans="1:20" ht="13.5" thickBot="1">
      <c r="A405" s="110"/>
      <c r="B405" s="111">
        <v>2010</v>
      </c>
      <c r="C405" s="111">
        <v>2011</v>
      </c>
      <c r="D405" s="111">
        <v>2012</v>
      </c>
      <c r="E405" s="111">
        <v>2013</v>
      </c>
      <c r="F405" s="111">
        <v>2014</v>
      </c>
      <c r="G405" s="111">
        <v>2015</v>
      </c>
      <c r="H405" s="111">
        <v>2016</v>
      </c>
      <c r="I405" s="111">
        <v>2017</v>
      </c>
      <c r="J405" s="111">
        <v>2018</v>
      </c>
      <c r="K405" s="111">
        <v>2019</v>
      </c>
      <c r="L405" s="111">
        <v>2020</v>
      </c>
      <c r="M405" s="111">
        <v>2021</v>
      </c>
      <c r="N405" s="111">
        <v>2022</v>
      </c>
      <c r="O405" s="111">
        <v>2023</v>
      </c>
      <c r="P405" s="111">
        <v>2024</v>
      </c>
      <c r="Q405" s="111">
        <v>2025</v>
      </c>
      <c r="R405" s="111">
        <v>2026</v>
      </c>
      <c r="S405" s="111">
        <v>2027</v>
      </c>
      <c r="T405" s="111">
        <v>2028</v>
      </c>
    </row>
    <row r="406" spans="1:20">
      <c r="A406" s="2" t="s">
        <v>43</v>
      </c>
      <c r="B406" s="3">
        <f>B422+B438</f>
        <v>0</v>
      </c>
      <c r="C406" s="3">
        <f t="shared" ref="C406:T417" si="89">C422+C438</f>
        <v>0</v>
      </c>
      <c r="D406" s="3">
        <f t="shared" si="89"/>
        <v>0</v>
      </c>
      <c r="E406" s="3">
        <f t="shared" si="89"/>
        <v>0</v>
      </c>
      <c r="F406" s="3">
        <f t="shared" si="89"/>
        <v>0</v>
      </c>
      <c r="G406" s="3">
        <f t="shared" si="89"/>
        <v>0</v>
      </c>
      <c r="H406" s="3">
        <f t="shared" si="89"/>
        <v>0</v>
      </c>
      <c r="I406" s="3">
        <f t="shared" si="89"/>
        <v>0</v>
      </c>
      <c r="J406" s="3">
        <f t="shared" si="89"/>
        <v>0</v>
      </c>
      <c r="K406" s="3">
        <f t="shared" si="89"/>
        <v>0</v>
      </c>
      <c r="L406" s="3">
        <f t="shared" si="89"/>
        <v>0</v>
      </c>
      <c r="M406" s="3">
        <f t="shared" si="89"/>
        <v>0</v>
      </c>
      <c r="N406" s="3">
        <f t="shared" si="89"/>
        <v>0</v>
      </c>
      <c r="O406" s="3">
        <f t="shared" si="89"/>
        <v>0</v>
      </c>
      <c r="P406" s="3">
        <f t="shared" si="89"/>
        <v>0</v>
      </c>
      <c r="Q406" s="3">
        <f t="shared" si="89"/>
        <v>0</v>
      </c>
      <c r="R406" s="4">
        <f t="shared" si="89"/>
        <v>0</v>
      </c>
      <c r="S406" s="4">
        <f t="shared" si="89"/>
        <v>0</v>
      </c>
      <c r="T406" s="4">
        <f t="shared" si="89"/>
        <v>0</v>
      </c>
    </row>
    <row r="407" spans="1:20">
      <c r="A407" s="2" t="s">
        <v>44</v>
      </c>
      <c r="B407" s="3">
        <f t="shared" ref="B407:J417" si="90">B423+B439</f>
        <v>0</v>
      </c>
      <c r="C407" s="3">
        <f t="shared" si="90"/>
        <v>0</v>
      </c>
      <c r="D407" s="3">
        <f t="shared" si="90"/>
        <v>0</v>
      </c>
      <c r="E407" s="3">
        <f t="shared" si="90"/>
        <v>0</v>
      </c>
      <c r="F407" s="3">
        <f t="shared" si="90"/>
        <v>0</v>
      </c>
      <c r="G407" s="3">
        <f t="shared" si="90"/>
        <v>0</v>
      </c>
      <c r="H407" s="3">
        <f t="shared" si="90"/>
        <v>0</v>
      </c>
      <c r="I407" s="3">
        <f t="shared" si="90"/>
        <v>0</v>
      </c>
      <c r="J407" s="3">
        <f t="shared" si="90"/>
        <v>0</v>
      </c>
      <c r="K407" s="3">
        <f t="shared" si="89"/>
        <v>0</v>
      </c>
      <c r="L407" s="3">
        <f t="shared" si="89"/>
        <v>0</v>
      </c>
      <c r="M407" s="3">
        <f t="shared" si="89"/>
        <v>292776</v>
      </c>
      <c r="N407" s="3">
        <f t="shared" si="89"/>
        <v>552755</v>
      </c>
      <c r="O407" s="3">
        <f t="shared" si="89"/>
        <v>485061</v>
      </c>
      <c r="P407" s="3">
        <f t="shared" si="89"/>
        <v>322132</v>
      </c>
      <c r="Q407" s="3">
        <f t="shared" si="89"/>
        <v>0</v>
      </c>
      <c r="R407" s="4">
        <f t="shared" si="89"/>
        <v>0</v>
      </c>
      <c r="S407" s="4">
        <f t="shared" si="89"/>
        <v>0</v>
      </c>
      <c r="T407" s="4">
        <f t="shared" si="89"/>
        <v>0</v>
      </c>
    </row>
    <row r="408" spans="1:20">
      <c r="A408" s="2" t="s">
        <v>45</v>
      </c>
      <c r="B408" s="3">
        <f t="shared" si="90"/>
        <v>0</v>
      </c>
      <c r="C408" s="3">
        <f t="shared" si="90"/>
        <v>0</v>
      </c>
      <c r="D408" s="3">
        <f t="shared" si="90"/>
        <v>0</v>
      </c>
      <c r="E408" s="3">
        <f t="shared" si="90"/>
        <v>0</v>
      </c>
      <c r="F408" s="3">
        <f t="shared" si="90"/>
        <v>0</v>
      </c>
      <c r="G408" s="3">
        <f t="shared" si="90"/>
        <v>0</v>
      </c>
      <c r="H408" s="3">
        <f t="shared" si="90"/>
        <v>0</v>
      </c>
      <c r="I408" s="3">
        <f t="shared" si="90"/>
        <v>0</v>
      </c>
      <c r="J408" s="3">
        <f t="shared" si="90"/>
        <v>0</v>
      </c>
      <c r="K408" s="3">
        <f t="shared" si="89"/>
        <v>1050908</v>
      </c>
      <c r="L408" s="3">
        <f t="shared" si="89"/>
        <v>691549</v>
      </c>
      <c r="M408" s="3">
        <f t="shared" si="89"/>
        <v>149615</v>
      </c>
      <c r="N408" s="3">
        <f t="shared" si="89"/>
        <v>449898</v>
      </c>
      <c r="O408" s="3">
        <f t="shared" si="89"/>
        <v>595803</v>
      </c>
      <c r="P408" s="3">
        <f t="shared" si="89"/>
        <v>329330</v>
      </c>
      <c r="Q408" s="3">
        <f t="shared" si="89"/>
        <v>65823</v>
      </c>
      <c r="R408" s="4">
        <f t="shared" si="89"/>
        <v>0</v>
      </c>
      <c r="S408" s="4">
        <f t="shared" si="89"/>
        <v>0</v>
      </c>
      <c r="T408" s="4">
        <f t="shared" si="89"/>
        <v>0</v>
      </c>
    </row>
    <row r="409" spans="1:20">
      <c r="A409" s="2" t="s">
        <v>46</v>
      </c>
      <c r="B409" s="3">
        <f t="shared" si="90"/>
        <v>0</v>
      </c>
      <c r="C409" s="3">
        <f t="shared" si="90"/>
        <v>0</v>
      </c>
      <c r="D409" s="3">
        <f t="shared" si="90"/>
        <v>0</v>
      </c>
      <c r="E409" s="3">
        <f t="shared" si="90"/>
        <v>0</v>
      </c>
      <c r="F409" s="3">
        <f t="shared" si="90"/>
        <v>0</v>
      </c>
      <c r="G409" s="3">
        <f t="shared" si="90"/>
        <v>0</v>
      </c>
      <c r="H409" s="3">
        <f t="shared" si="90"/>
        <v>0</v>
      </c>
      <c r="I409" s="3">
        <f t="shared" si="90"/>
        <v>0</v>
      </c>
      <c r="J409" s="3">
        <f t="shared" si="90"/>
        <v>0</v>
      </c>
      <c r="K409" s="3">
        <f t="shared" si="89"/>
        <v>535422</v>
      </c>
      <c r="L409" s="3">
        <f t="shared" si="89"/>
        <v>0</v>
      </c>
      <c r="M409" s="3">
        <f t="shared" si="89"/>
        <v>256565</v>
      </c>
      <c r="N409" s="3">
        <f t="shared" si="89"/>
        <v>372328</v>
      </c>
      <c r="O409" s="3">
        <f t="shared" si="89"/>
        <v>346474</v>
      </c>
      <c r="P409" s="3">
        <f t="shared" si="89"/>
        <v>306983</v>
      </c>
      <c r="Q409" s="4">
        <f t="shared" si="89"/>
        <v>0</v>
      </c>
      <c r="R409" s="4">
        <f t="shared" si="89"/>
        <v>0</v>
      </c>
      <c r="S409" s="4">
        <f t="shared" si="89"/>
        <v>0</v>
      </c>
      <c r="T409" s="4">
        <f t="shared" si="89"/>
        <v>0</v>
      </c>
    </row>
    <row r="410" spans="1:20">
      <c r="A410" s="2" t="s">
        <v>47</v>
      </c>
      <c r="B410" s="3">
        <f t="shared" si="90"/>
        <v>0</v>
      </c>
      <c r="C410" s="3">
        <f t="shared" si="90"/>
        <v>0</v>
      </c>
      <c r="D410" s="3">
        <f t="shared" si="90"/>
        <v>0</v>
      </c>
      <c r="E410" s="3">
        <f t="shared" si="90"/>
        <v>0</v>
      </c>
      <c r="F410" s="3">
        <f t="shared" si="90"/>
        <v>0</v>
      </c>
      <c r="G410" s="3">
        <f t="shared" si="90"/>
        <v>0</v>
      </c>
      <c r="H410" s="3">
        <f t="shared" si="90"/>
        <v>0</v>
      </c>
      <c r="I410" s="3">
        <f t="shared" si="90"/>
        <v>0</v>
      </c>
      <c r="J410" s="3">
        <f t="shared" si="90"/>
        <v>0</v>
      </c>
      <c r="K410" s="3">
        <f t="shared" si="89"/>
        <v>420071</v>
      </c>
      <c r="L410" s="3">
        <f t="shared" si="89"/>
        <v>413824</v>
      </c>
      <c r="M410" s="3">
        <f t="shared" si="89"/>
        <v>250017</v>
      </c>
      <c r="N410" s="3">
        <f t="shared" si="89"/>
        <v>71055</v>
      </c>
      <c r="O410" s="3">
        <f t="shared" si="89"/>
        <v>724477</v>
      </c>
      <c r="P410" s="3">
        <f t="shared" si="89"/>
        <v>32589</v>
      </c>
      <c r="Q410" s="4">
        <f t="shared" si="89"/>
        <v>0</v>
      </c>
      <c r="R410" s="4">
        <f t="shared" si="89"/>
        <v>0</v>
      </c>
      <c r="S410" s="4">
        <f t="shared" si="89"/>
        <v>0</v>
      </c>
      <c r="T410" s="4">
        <f t="shared" si="89"/>
        <v>0</v>
      </c>
    </row>
    <row r="411" spans="1:20">
      <c r="A411" s="2" t="s">
        <v>48</v>
      </c>
      <c r="B411" s="3">
        <f t="shared" si="90"/>
        <v>0</v>
      </c>
      <c r="C411" s="3">
        <f t="shared" si="90"/>
        <v>0</v>
      </c>
      <c r="D411" s="3">
        <f t="shared" si="90"/>
        <v>0</v>
      </c>
      <c r="E411" s="3">
        <f t="shared" si="90"/>
        <v>0</v>
      </c>
      <c r="F411" s="3">
        <f t="shared" si="90"/>
        <v>0</v>
      </c>
      <c r="G411" s="3">
        <f t="shared" si="90"/>
        <v>0</v>
      </c>
      <c r="H411" s="3">
        <f t="shared" si="90"/>
        <v>0</v>
      </c>
      <c r="I411" s="3">
        <f t="shared" si="90"/>
        <v>0</v>
      </c>
      <c r="J411" s="3">
        <f t="shared" si="90"/>
        <v>0</v>
      </c>
      <c r="K411" s="3">
        <f t="shared" si="89"/>
        <v>0</v>
      </c>
      <c r="L411" s="3">
        <f t="shared" si="89"/>
        <v>480861</v>
      </c>
      <c r="M411" s="3">
        <f t="shared" si="89"/>
        <v>495718</v>
      </c>
      <c r="N411" s="3">
        <f t="shared" si="89"/>
        <v>498104</v>
      </c>
      <c r="O411" s="3">
        <f t="shared" si="89"/>
        <v>344651</v>
      </c>
      <c r="P411" s="3">
        <f t="shared" si="89"/>
        <v>0</v>
      </c>
      <c r="Q411" s="4">
        <f t="shared" si="89"/>
        <v>0</v>
      </c>
      <c r="R411" s="4">
        <f t="shared" si="89"/>
        <v>0</v>
      </c>
      <c r="S411" s="4">
        <f t="shared" si="89"/>
        <v>0</v>
      </c>
      <c r="T411" s="4">
        <f t="shared" si="89"/>
        <v>0</v>
      </c>
    </row>
    <row r="412" spans="1:20">
      <c r="A412" s="2" t="s">
        <v>49</v>
      </c>
      <c r="B412" s="3">
        <f t="shared" si="90"/>
        <v>0</v>
      </c>
      <c r="C412" s="3">
        <f t="shared" si="90"/>
        <v>0</v>
      </c>
      <c r="D412" s="3">
        <f t="shared" si="90"/>
        <v>0</v>
      </c>
      <c r="E412" s="3">
        <f t="shared" si="90"/>
        <v>0</v>
      </c>
      <c r="F412" s="3">
        <f t="shared" si="90"/>
        <v>0</v>
      </c>
      <c r="G412" s="3">
        <f t="shared" si="90"/>
        <v>0</v>
      </c>
      <c r="H412" s="3">
        <f t="shared" si="90"/>
        <v>0</v>
      </c>
      <c r="I412" s="3">
        <f t="shared" si="90"/>
        <v>0</v>
      </c>
      <c r="J412" s="3">
        <f t="shared" si="90"/>
        <v>0</v>
      </c>
      <c r="K412" s="3">
        <f t="shared" si="89"/>
        <v>325871</v>
      </c>
      <c r="L412" s="3">
        <f t="shared" si="89"/>
        <v>458114</v>
      </c>
      <c r="M412" s="3">
        <f t="shared" si="89"/>
        <v>741000</v>
      </c>
      <c r="N412" s="3">
        <f t="shared" si="89"/>
        <v>570253</v>
      </c>
      <c r="O412" s="3">
        <f t="shared" si="89"/>
        <v>149459</v>
      </c>
      <c r="P412" s="3">
        <f t="shared" si="89"/>
        <v>0</v>
      </c>
      <c r="Q412" s="4">
        <f t="shared" si="89"/>
        <v>0</v>
      </c>
      <c r="R412" s="4">
        <f t="shared" si="89"/>
        <v>0</v>
      </c>
      <c r="S412" s="4">
        <f t="shared" si="89"/>
        <v>0</v>
      </c>
      <c r="T412" s="4">
        <f t="shared" si="89"/>
        <v>0</v>
      </c>
    </row>
    <row r="413" spans="1:20">
      <c r="A413" s="2" t="s">
        <v>50</v>
      </c>
      <c r="B413" s="3">
        <f t="shared" si="90"/>
        <v>0</v>
      </c>
      <c r="C413" s="3">
        <f t="shared" si="90"/>
        <v>0</v>
      </c>
      <c r="D413" s="3">
        <f t="shared" si="90"/>
        <v>0</v>
      </c>
      <c r="E413" s="3">
        <f t="shared" si="90"/>
        <v>0</v>
      </c>
      <c r="F413" s="3">
        <f t="shared" si="90"/>
        <v>0</v>
      </c>
      <c r="G413" s="3">
        <f t="shared" si="90"/>
        <v>0</v>
      </c>
      <c r="H413" s="3">
        <f t="shared" si="90"/>
        <v>0</v>
      </c>
      <c r="I413" s="3">
        <f t="shared" si="90"/>
        <v>0</v>
      </c>
      <c r="J413" s="3">
        <f t="shared" si="90"/>
        <v>0</v>
      </c>
      <c r="K413" s="3">
        <f t="shared" si="89"/>
        <v>336305</v>
      </c>
      <c r="L413" s="3">
        <f t="shared" si="89"/>
        <v>435284</v>
      </c>
      <c r="M413" s="3">
        <f t="shared" si="89"/>
        <v>670008</v>
      </c>
      <c r="N413" s="3">
        <f t="shared" si="89"/>
        <v>194479</v>
      </c>
      <c r="O413" s="3">
        <f t="shared" si="89"/>
        <v>370703</v>
      </c>
      <c r="P413" s="3">
        <f t="shared" si="89"/>
        <v>0</v>
      </c>
      <c r="Q413" s="4">
        <f t="shared" si="89"/>
        <v>0</v>
      </c>
      <c r="R413" s="4">
        <f t="shared" si="89"/>
        <v>0</v>
      </c>
      <c r="S413" s="4">
        <f t="shared" si="89"/>
        <v>0</v>
      </c>
      <c r="T413" s="4">
        <f t="shared" si="89"/>
        <v>0</v>
      </c>
    </row>
    <row r="414" spans="1:20">
      <c r="A414" s="2" t="s">
        <v>51</v>
      </c>
      <c r="B414" s="3">
        <f t="shared" si="90"/>
        <v>0</v>
      </c>
      <c r="C414" s="3">
        <f t="shared" si="90"/>
        <v>0</v>
      </c>
      <c r="D414" s="3">
        <f t="shared" si="90"/>
        <v>0</v>
      </c>
      <c r="E414" s="3">
        <f t="shared" si="90"/>
        <v>0</v>
      </c>
      <c r="F414" s="3">
        <f t="shared" si="90"/>
        <v>0</v>
      </c>
      <c r="G414" s="3">
        <f t="shared" si="90"/>
        <v>0</v>
      </c>
      <c r="H414" s="3">
        <f t="shared" si="90"/>
        <v>0</v>
      </c>
      <c r="I414" s="3">
        <f t="shared" si="90"/>
        <v>0</v>
      </c>
      <c r="J414" s="3">
        <f t="shared" si="90"/>
        <v>0</v>
      </c>
      <c r="K414" s="3">
        <f t="shared" si="89"/>
        <v>444411</v>
      </c>
      <c r="L414" s="3">
        <f t="shared" si="89"/>
        <v>381125</v>
      </c>
      <c r="M414" s="3">
        <f t="shared" si="89"/>
        <v>405910</v>
      </c>
      <c r="N414" s="3">
        <f t="shared" si="89"/>
        <v>708518</v>
      </c>
      <c r="O414" s="3">
        <f t="shared" si="89"/>
        <v>475504</v>
      </c>
      <c r="P414" s="3">
        <f t="shared" si="89"/>
        <v>0</v>
      </c>
      <c r="Q414" s="4">
        <f t="shared" si="89"/>
        <v>0</v>
      </c>
      <c r="R414" s="4">
        <f t="shared" si="89"/>
        <v>0</v>
      </c>
      <c r="S414" s="4">
        <f t="shared" si="89"/>
        <v>0</v>
      </c>
      <c r="T414" s="4">
        <f t="shared" si="89"/>
        <v>0</v>
      </c>
    </row>
    <row r="415" spans="1:20">
      <c r="A415" s="2" t="s">
        <v>52</v>
      </c>
      <c r="B415" s="3">
        <f t="shared" si="90"/>
        <v>0</v>
      </c>
      <c r="C415" s="3">
        <f t="shared" si="90"/>
        <v>0</v>
      </c>
      <c r="D415" s="3">
        <f t="shared" si="90"/>
        <v>0</v>
      </c>
      <c r="E415" s="3">
        <f t="shared" si="90"/>
        <v>0</v>
      </c>
      <c r="F415" s="3">
        <f t="shared" si="90"/>
        <v>0</v>
      </c>
      <c r="G415" s="3">
        <f t="shared" si="90"/>
        <v>0</v>
      </c>
      <c r="H415" s="3">
        <f t="shared" si="90"/>
        <v>0</v>
      </c>
      <c r="I415" s="3">
        <f t="shared" si="90"/>
        <v>0</v>
      </c>
      <c r="J415" s="3">
        <f t="shared" si="90"/>
        <v>0</v>
      </c>
      <c r="K415" s="3">
        <f t="shared" si="89"/>
        <v>0</v>
      </c>
      <c r="L415" s="3">
        <f t="shared" si="89"/>
        <v>271947</v>
      </c>
      <c r="M415" s="3">
        <f t="shared" si="89"/>
        <v>303658</v>
      </c>
      <c r="N415" s="3">
        <f t="shared" si="89"/>
        <v>302221</v>
      </c>
      <c r="O415" s="3">
        <f t="shared" si="89"/>
        <v>530426</v>
      </c>
      <c r="P415" s="3">
        <f t="shared" si="89"/>
        <v>0</v>
      </c>
      <c r="Q415" s="4">
        <f t="shared" si="89"/>
        <v>0</v>
      </c>
      <c r="R415" s="4">
        <f t="shared" si="89"/>
        <v>0</v>
      </c>
      <c r="S415" s="4">
        <f t="shared" si="89"/>
        <v>0</v>
      </c>
      <c r="T415" s="4">
        <f t="shared" si="89"/>
        <v>0</v>
      </c>
    </row>
    <row r="416" spans="1:20">
      <c r="A416" s="2" t="s">
        <v>53</v>
      </c>
      <c r="B416" s="3">
        <f t="shared" si="90"/>
        <v>0</v>
      </c>
      <c r="C416" s="3">
        <f t="shared" si="90"/>
        <v>0</v>
      </c>
      <c r="D416" s="3">
        <f t="shared" si="90"/>
        <v>0</v>
      </c>
      <c r="E416" s="3">
        <f t="shared" si="90"/>
        <v>0</v>
      </c>
      <c r="F416" s="3">
        <f t="shared" si="90"/>
        <v>0</v>
      </c>
      <c r="G416" s="3">
        <f t="shared" si="90"/>
        <v>0</v>
      </c>
      <c r="H416" s="3">
        <f t="shared" si="90"/>
        <v>0</v>
      </c>
      <c r="I416" s="3">
        <f t="shared" si="90"/>
        <v>0</v>
      </c>
      <c r="J416" s="3">
        <f t="shared" si="90"/>
        <v>203287</v>
      </c>
      <c r="K416" s="3">
        <f t="shared" si="89"/>
        <v>403680</v>
      </c>
      <c r="L416" s="3">
        <f t="shared" si="89"/>
        <v>1052260</v>
      </c>
      <c r="M416" s="3">
        <f t="shared" si="89"/>
        <v>485575</v>
      </c>
      <c r="N416" s="3">
        <f t="shared" si="89"/>
        <v>185067</v>
      </c>
      <c r="O416" s="3">
        <f t="shared" si="89"/>
        <v>338047</v>
      </c>
      <c r="P416" s="3">
        <f t="shared" si="89"/>
        <v>0</v>
      </c>
      <c r="Q416" s="4">
        <f t="shared" si="89"/>
        <v>0</v>
      </c>
      <c r="R416" s="4">
        <f t="shared" si="89"/>
        <v>0</v>
      </c>
      <c r="S416" s="4">
        <f t="shared" si="89"/>
        <v>0</v>
      </c>
      <c r="T416" s="4">
        <f t="shared" si="89"/>
        <v>0</v>
      </c>
    </row>
    <row r="417" spans="1:20">
      <c r="A417" s="2" t="s">
        <v>54</v>
      </c>
      <c r="B417" s="3">
        <f t="shared" si="90"/>
        <v>0</v>
      </c>
      <c r="C417" s="3">
        <f t="shared" si="90"/>
        <v>0</v>
      </c>
      <c r="D417" s="3">
        <f t="shared" si="90"/>
        <v>0</v>
      </c>
      <c r="E417" s="3">
        <f t="shared" si="90"/>
        <v>0</v>
      </c>
      <c r="F417" s="3">
        <f t="shared" si="90"/>
        <v>0</v>
      </c>
      <c r="G417" s="3">
        <f t="shared" si="90"/>
        <v>0</v>
      </c>
      <c r="H417" s="3">
        <f t="shared" si="90"/>
        <v>0</v>
      </c>
      <c r="I417" s="3">
        <f t="shared" si="90"/>
        <v>0</v>
      </c>
      <c r="J417" s="3">
        <f t="shared" si="90"/>
        <v>522781</v>
      </c>
      <c r="K417" s="3">
        <f t="shared" si="89"/>
        <v>1113650</v>
      </c>
      <c r="L417" s="3">
        <f t="shared" si="89"/>
        <v>552474</v>
      </c>
      <c r="M417" s="3">
        <f t="shared" si="89"/>
        <v>998505</v>
      </c>
      <c r="N417" s="3">
        <f>N433+N449</f>
        <v>1029097</v>
      </c>
      <c r="O417" s="3">
        <f t="shared" si="89"/>
        <v>830777</v>
      </c>
      <c r="P417" s="3">
        <f t="shared" si="89"/>
        <v>0</v>
      </c>
      <c r="Q417" s="4">
        <f t="shared" si="89"/>
        <v>0</v>
      </c>
      <c r="R417" s="4">
        <f t="shared" si="89"/>
        <v>0</v>
      </c>
      <c r="S417" s="4">
        <f t="shared" si="89"/>
        <v>0</v>
      </c>
      <c r="T417" s="4">
        <f t="shared" si="89"/>
        <v>0</v>
      </c>
    </row>
    <row r="418" spans="1:20" ht="13.5" thickBot="1">
      <c r="A418" s="2" t="s">
        <v>29</v>
      </c>
      <c r="B418" s="3">
        <f t="shared" ref="B418:T418" si="91">SUM(B406:B417)</f>
        <v>0</v>
      </c>
      <c r="C418" s="3">
        <f t="shared" si="91"/>
        <v>0</v>
      </c>
      <c r="D418" s="3">
        <f t="shared" si="91"/>
        <v>0</v>
      </c>
      <c r="E418" s="3">
        <f t="shared" si="91"/>
        <v>0</v>
      </c>
      <c r="F418" s="3">
        <f t="shared" si="91"/>
        <v>0</v>
      </c>
      <c r="G418" s="3">
        <f t="shared" si="91"/>
        <v>0</v>
      </c>
      <c r="H418" s="3">
        <f t="shared" si="91"/>
        <v>0</v>
      </c>
      <c r="I418" s="3">
        <f t="shared" si="91"/>
        <v>0</v>
      </c>
      <c r="J418" s="3">
        <f t="shared" si="91"/>
        <v>726068</v>
      </c>
      <c r="K418" s="3">
        <f t="shared" si="91"/>
        <v>4630318</v>
      </c>
      <c r="L418" s="3">
        <f t="shared" si="91"/>
        <v>4737438</v>
      </c>
      <c r="M418" s="3">
        <f t="shared" si="91"/>
        <v>5049347</v>
      </c>
      <c r="N418" s="3">
        <f t="shared" si="91"/>
        <v>4933775</v>
      </c>
      <c r="O418" s="3">
        <f t="shared" si="91"/>
        <v>5191382</v>
      </c>
      <c r="P418" s="3">
        <f t="shared" si="91"/>
        <v>991034</v>
      </c>
      <c r="Q418" s="4">
        <f t="shared" si="91"/>
        <v>65823</v>
      </c>
      <c r="R418" s="4">
        <f t="shared" si="91"/>
        <v>0</v>
      </c>
      <c r="S418" s="4">
        <f t="shared" si="91"/>
        <v>0</v>
      </c>
      <c r="T418" s="4">
        <f t="shared" si="91"/>
        <v>0</v>
      </c>
    </row>
    <row r="419" spans="1:20">
      <c r="A419" s="114"/>
      <c r="B419" s="114"/>
      <c r="C419" s="114"/>
      <c r="D419" s="114"/>
      <c r="E419" s="114"/>
      <c r="F419" s="114"/>
      <c r="G419" s="114"/>
      <c r="H419" s="114"/>
      <c r="I419" s="114"/>
      <c r="J419" s="114"/>
      <c r="K419" s="114"/>
      <c r="L419" s="114"/>
      <c r="M419" s="114"/>
      <c r="N419" s="114"/>
      <c r="O419" s="114"/>
      <c r="P419" s="114"/>
      <c r="Q419" s="114"/>
      <c r="R419" s="114"/>
      <c r="S419" s="114"/>
      <c r="T419" s="114"/>
    </row>
    <row r="420" spans="1:20" ht="16.5" thickBot="1">
      <c r="A420" s="109" t="s">
        <v>457</v>
      </c>
    </row>
    <row r="421" spans="1:20" ht="13.5" thickBot="1">
      <c r="A421" s="110"/>
      <c r="B421" s="111">
        <v>2010</v>
      </c>
      <c r="C421" s="111">
        <v>2011</v>
      </c>
      <c r="D421" s="111">
        <v>2012</v>
      </c>
      <c r="E421" s="111">
        <v>2013</v>
      </c>
      <c r="F421" s="111">
        <v>2014</v>
      </c>
      <c r="G421" s="111">
        <v>2015</v>
      </c>
      <c r="H421" s="111">
        <v>2016</v>
      </c>
      <c r="I421" s="111">
        <v>2017</v>
      </c>
      <c r="J421" s="111">
        <v>2018</v>
      </c>
      <c r="K421" s="111">
        <v>2019</v>
      </c>
      <c r="L421" s="111">
        <v>2020</v>
      </c>
      <c r="M421" s="111">
        <v>2021</v>
      </c>
      <c r="N421" s="111">
        <v>2022</v>
      </c>
      <c r="O421" s="111">
        <v>2023</v>
      </c>
      <c r="P421" s="111">
        <v>2024</v>
      </c>
      <c r="Q421" s="111">
        <v>2025</v>
      </c>
      <c r="R421" s="111">
        <v>2026</v>
      </c>
      <c r="S421" s="111">
        <v>2027</v>
      </c>
      <c r="T421" s="111">
        <v>2028</v>
      </c>
    </row>
    <row r="422" spans="1:20">
      <c r="A422" s="2" t="s">
        <v>43</v>
      </c>
      <c r="B422" s="3">
        <f>'Monthly D5 RIN Data'!$T4</f>
        <v>0</v>
      </c>
      <c r="C422" s="3">
        <f>'Monthly D5 RIN Data'!$T16</f>
        <v>0</v>
      </c>
      <c r="D422" s="3">
        <f>'Monthly D5 RIN Data'!$T28</f>
        <v>0</v>
      </c>
      <c r="E422" s="3">
        <f>'Monthly D5 RIN Data'!$T40</f>
        <v>0</v>
      </c>
      <c r="F422" s="3">
        <f>'Monthly D5 RIN Data'!$T52</f>
        <v>0</v>
      </c>
      <c r="G422" s="3">
        <f>'Monthly D5 RIN Data'!$T64</f>
        <v>0</v>
      </c>
      <c r="H422" s="3">
        <f>'Monthly D5 RIN Data'!$T76</f>
        <v>0</v>
      </c>
      <c r="I422" s="3">
        <f>'Monthly D5 RIN Data'!$T88</f>
        <v>0</v>
      </c>
      <c r="J422" s="3">
        <f>'Monthly D5 RIN Data'!$T100</f>
        <v>0</v>
      </c>
      <c r="K422" s="3">
        <f>'Monthly D5 RIN Data'!$T112</f>
        <v>0</v>
      </c>
      <c r="L422" s="3">
        <f>'Monthly D5 RIN Data'!$T124</f>
        <v>0</v>
      </c>
      <c r="M422" s="3">
        <f>'Monthly D5 RIN Data'!$T136</f>
        <v>0</v>
      </c>
      <c r="N422" s="3">
        <f>'Monthly D5 RIN Data'!$T148</f>
        <v>0</v>
      </c>
      <c r="O422" s="3">
        <f>'Monthly D5 RIN Data'!$T160</f>
        <v>0</v>
      </c>
      <c r="P422" s="3">
        <f>'Monthly D5 RIN Data'!$T172</f>
        <v>0</v>
      </c>
      <c r="Q422" s="3">
        <f>'Monthly D5 RIN Data'!$T184</f>
        <v>0</v>
      </c>
      <c r="R422" s="4">
        <f>'D5 Gallon Forecast'!R408*AVERAGE('D5 RIN Forecast'!$AA$26:$AE$26)</f>
        <v>0</v>
      </c>
      <c r="S422" s="4">
        <f>'D5 Gallon Forecast'!S408*AVERAGE('D5 RIN Forecast'!$AA$26:$AE$26)</f>
        <v>0</v>
      </c>
      <c r="T422" s="4">
        <f>'D5 Gallon Forecast'!T408*AVERAGE('D5 RIN Forecast'!$AA$26:$AE$26)</f>
        <v>0</v>
      </c>
    </row>
    <row r="423" spans="1:20">
      <c r="A423" s="2" t="s">
        <v>44</v>
      </c>
      <c r="B423" s="3">
        <f>'Monthly D5 RIN Data'!$T5</f>
        <v>0</v>
      </c>
      <c r="C423" s="3">
        <f>'Monthly D5 RIN Data'!$T17</f>
        <v>0</v>
      </c>
      <c r="D423" s="3">
        <f>'Monthly D5 RIN Data'!$T29</f>
        <v>0</v>
      </c>
      <c r="E423" s="3">
        <f>'Monthly D5 RIN Data'!$T41</f>
        <v>0</v>
      </c>
      <c r="F423" s="3">
        <f>'Monthly D5 RIN Data'!$T53</f>
        <v>0</v>
      </c>
      <c r="G423" s="3">
        <f>'Monthly D5 RIN Data'!$T65</f>
        <v>0</v>
      </c>
      <c r="H423" s="3">
        <f>'Monthly D5 RIN Data'!$T77</f>
        <v>0</v>
      </c>
      <c r="I423" s="3">
        <f>'Monthly D5 RIN Data'!$T89</f>
        <v>0</v>
      </c>
      <c r="J423" s="3">
        <f>'Monthly D5 RIN Data'!$T101</f>
        <v>0</v>
      </c>
      <c r="K423" s="3">
        <f>'Monthly D5 RIN Data'!$T113</f>
        <v>0</v>
      </c>
      <c r="L423" s="3">
        <f>'Monthly D5 RIN Data'!$T125</f>
        <v>0</v>
      </c>
      <c r="M423" s="3">
        <f>'Monthly D5 RIN Data'!$T137</f>
        <v>292776</v>
      </c>
      <c r="N423" s="3">
        <f>'Monthly D5 RIN Data'!$T149</f>
        <v>552755</v>
      </c>
      <c r="O423" s="3">
        <f>'Monthly D5 RIN Data'!$T161</f>
        <v>485061</v>
      </c>
      <c r="P423" s="3">
        <f>'Monthly D5 RIN Data'!$T173</f>
        <v>322132</v>
      </c>
      <c r="Q423" s="3">
        <f>'Monthly D5 RIN Data'!$T185</f>
        <v>0</v>
      </c>
      <c r="R423" s="4">
        <f>'D5 Gallon Forecast'!R409*AVERAGE('D5 RIN Forecast'!$AA$26:$AE$26)</f>
        <v>0</v>
      </c>
      <c r="S423" s="4">
        <f>'D5 Gallon Forecast'!S409*AVERAGE('D5 RIN Forecast'!$AA$26:$AE$26)</f>
        <v>0</v>
      </c>
      <c r="T423" s="4">
        <f>'D5 Gallon Forecast'!T409*AVERAGE('D5 RIN Forecast'!$AA$26:$AE$26)</f>
        <v>0</v>
      </c>
    </row>
    <row r="424" spans="1:20">
      <c r="A424" s="2" t="s">
        <v>45</v>
      </c>
      <c r="B424" s="3">
        <f>'Monthly D5 RIN Data'!$T6</f>
        <v>0</v>
      </c>
      <c r="C424" s="3">
        <f>'Monthly D5 RIN Data'!$T18</f>
        <v>0</v>
      </c>
      <c r="D424" s="3">
        <f>'Monthly D5 RIN Data'!$T30</f>
        <v>0</v>
      </c>
      <c r="E424" s="3">
        <f>'Monthly D5 RIN Data'!$T42</f>
        <v>0</v>
      </c>
      <c r="F424" s="3">
        <f>'Monthly D5 RIN Data'!$T54</f>
        <v>0</v>
      </c>
      <c r="G424" s="3">
        <f>'Monthly D5 RIN Data'!$T66</f>
        <v>0</v>
      </c>
      <c r="H424" s="3">
        <f>'Monthly D5 RIN Data'!$T78</f>
        <v>0</v>
      </c>
      <c r="I424" s="3">
        <f>'Monthly D5 RIN Data'!$T90</f>
        <v>0</v>
      </c>
      <c r="J424" s="3">
        <f>'Monthly D5 RIN Data'!$T102</f>
        <v>0</v>
      </c>
      <c r="K424" s="3">
        <f>'Monthly D5 RIN Data'!$T114</f>
        <v>1050908</v>
      </c>
      <c r="L424" s="3">
        <f>'Monthly D5 RIN Data'!$T126</f>
        <v>691549</v>
      </c>
      <c r="M424" s="3">
        <f>'Monthly D5 RIN Data'!$T138</f>
        <v>149615</v>
      </c>
      <c r="N424" s="3">
        <f>'Monthly D5 RIN Data'!$T150</f>
        <v>449898</v>
      </c>
      <c r="O424" s="3">
        <f>'Monthly D5 RIN Data'!$T162</f>
        <v>595803</v>
      </c>
      <c r="P424" s="3">
        <f>'Monthly D5 RIN Data'!$T174</f>
        <v>329330</v>
      </c>
      <c r="Q424" s="3">
        <f>'Monthly D5 RIN Data'!$T186</f>
        <v>65823</v>
      </c>
      <c r="R424" s="4">
        <f>'D5 Gallon Forecast'!R410*AVERAGE('D5 RIN Forecast'!$AA$26:$AE$26)</f>
        <v>0</v>
      </c>
      <c r="S424" s="4">
        <f>'D5 Gallon Forecast'!S410*AVERAGE('D5 RIN Forecast'!$AA$26:$AE$26)</f>
        <v>0</v>
      </c>
      <c r="T424" s="4">
        <f>'D5 Gallon Forecast'!T410*AVERAGE('D5 RIN Forecast'!$AA$26:$AE$26)</f>
        <v>0</v>
      </c>
    </row>
    <row r="425" spans="1:20">
      <c r="A425" s="2" t="s">
        <v>46</v>
      </c>
      <c r="B425" s="3">
        <f>'Monthly D5 RIN Data'!$T7</f>
        <v>0</v>
      </c>
      <c r="C425" s="3">
        <f>'Monthly D5 RIN Data'!$T19</f>
        <v>0</v>
      </c>
      <c r="D425" s="3">
        <f>'Monthly D5 RIN Data'!$T31</f>
        <v>0</v>
      </c>
      <c r="E425" s="3">
        <f>'Monthly D5 RIN Data'!$T43</f>
        <v>0</v>
      </c>
      <c r="F425" s="3">
        <f>'Monthly D5 RIN Data'!$T55</f>
        <v>0</v>
      </c>
      <c r="G425" s="3">
        <f>'Monthly D5 RIN Data'!$T67</f>
        <v>0</v>
      </c>
      <c r="H425" s="3">
        <f>'Monthly D5 RIN Data'!$T79</f>
        <v>0</v>
      </c>
      <c r="I425" s="3">
        <f>'Monthly D5 RIN Data'!$T91</f>
        <v>0</v>
      </c>
      <c r="J425" s="3">
        <f>'Monthly D5 RIN Data'!$T103</f>
        <v>0</v>
      </c>
      <c r="K425" s="3">
        <f>'Monthly D5 RIN Data'!$T115</f>
        <v>535422</v>
      </c>
      <c r="L425" s="3">
        <f>'Monthly D5 RIN Data'!$T127</f>
        <v>0</v>
      </c>
      <c r="M425" s="3">
        <f>'Monthly D5 RIN Data'!$T139</f>
        <v>256565</v>
      </c>
      <c r="N425" s="3">
        <f>'Monthly D5 RIN Data'!$T151</f>
        <v>372328</v>
      </c>
      <c r="O425" s="3">
        <f>'Monthly D5 RIN Data'!$T163</f>
        <v>346474</v>
      </c>
      <c r="P425" s="3">
        <f>'Monthly D5 RIN Data'!$T175</f>
        <v>306983</v>
      </c>
      <c r="Q425" s="4">
        <f>'D5 Gallon Forecast'!Q411*AVERAGE('D5 RIN Forecast'!$AA$26:$AE$26)</f>
        <v>0</v>
      </c>
      <c r="R425" s="4">
        <f>'D5 Gallon Forecast'!R411*AVERAGE('D5 RIN Forecast'!$AA$26:$AE$26)</f>
        <v>0</v>
      </c>
      <c r="S425" s="4">
        <f>'D5 Gallon Forecast'!S411*AVERAGE('D5 RIN Forecast'!$AA$26:$AE$26)</f>
        <v>0</v>
      </c>
      <c r="T425" s="4">
        <f>'D5 Gallon Forecast'!T411*AVERAGE('D5 RIN Forecast'!$AA$26:$AE$26)</f>
        <v>0</v>
      </c>
    </row>
    <row r="426" spans="1:20">
      <c r="A426" s="2" t="s">
        <v>47</v>
      </c>
      <c r="B426" s="3">
        <f>'Monthly D5 RIN Data'!$T8</f>
        <v>0</v>
      </c>
      <c r="C426" s="3">
        <f>'Monthly D5 RIN Data'!$T20</f>
        <v>0</v>
      </c>
      <c r="D426" s="3">
        <f>'Monthly D5 RIN Data'!$T32</f>
        <v>0</v>
      </c>
      <c r="E426" s="3">
        <f>'Monthly D5 RIN Data'!$T44</f>
        <v>0</v>
      </c>
      <c r="F426" s="3">
        <f>'Monthly D5 RIN Data'!$T56</f>
        <v>0</v>
      </c>
      <c r="G426" s="3">
        <f>'Monthly D5 RIN Data'!$T68</f>
        <v>0</v>
      </c>
      <c r="H426" s="3">
        <f>'Monthly D5 RIN Data'!$T80</f>
        <v>0</v>
      </c>
      <c r="I426" s="3">
        <f>'Monthly D5 RIN Data'!$T92</f>
        <v>0</v>
      </c>
      <c r="J426" s="3">
        <f>'Monthly D5 RIN Data'!$T104</f>
        <v>0</v>
      </c>
      <c r="K426" s="3">
        <f>'Monthly D5 RIN Data'!$T116</f>
        <v>420071</v>
      </c>
      <c r="L426" s="3">
        <f>'Monthly D5 RIN Data'!$T128</f>
        <v>413824</v>
      </c>
      <c r="M426" s="3">
        <f>'Monthly D5 RIN Data'!$T140</f>
        <v>250017</v>
      </c>
      <c r="N426" s="3">
        <f>'Monthly D5 RIN Data'!$T152</f>
        <v>71055</v>
      </c>
      <c r="O426" s="3">
        <f>'Monthly D5 RIN Data'!$T164</f>
        <v>724477</v>
      </c>
      <c r="P426" s="3">
        <f>'Monthly D5 RIN Data'!$T176</f>
        <v>32589</v>
      </c>
      <c r="Q426" s="4">
        <f>'D5 Gallon Forecast'!Q412*AVERAGE('D5 RIN Forecast'!$AA$26:$AE$26)</f>
        <v>0</v>
      </c>
      <c r="R426" s="4">
        <f>'D5 Gallon Forecast'!R412*AVERAGE('D5 RIN Forecast'!$AA$26:$AE$26)</f>
        <v>0</v>
      </c>
      <c r="S426" s="4">
        <f>'D5 Gallon Forecast'!S412*AVERAGE('D5 RIN Forecast'!$AA$26:$AE$26)</f>
        <v>0</v>
      </c>
      <c r="T426" s="4">
        <f>'D5 Gallon Forecast'!T412*AVERAGE('D5 RIN Forecast'!$AA$26:$AE$26)</f>
        <v>0</v>
      </c>
    </row>
    <row r="427" spans="1:20">
      <c r="A427" s="2" t="s">
        <v>48</v>
      </c>
      <c r="B427" s="3">
        <f>'Monthly D5 RIN Data'!$T9</f>
        <v>0</v>
      </c>
      <c r="C427" s="3">
        <f>'Monthly D5 RIN Data'!$T21</f>
        <v>0</v>
      </c>
      <c r="D427" s="3">
        <f>'Monthly D5 RIN Data'!$T33</f>
        <v>0</v>
      </c>
      <c r="E427" s="3">
        <f>'Monthly D5 RIN Data'!$T45</f>
        <v>0</v>
      </c>
      <c r="F427" s="3">
        <f>'Monthly D5 RIN Data'!$T57</f>
        <v>0</v>
      </c>
      <c r="G427" s="3">
        <f>'Monthly D5 RIN Data'!$T69</f>
        <v>0</v>
      </c>
      <c r="H427" s="3">
        <f>'Monthly D5 RIN Data'!$T81</f>
        <v>0</v>
      </c>
      <c r="I427" s="3">
        <f>'Monthly D5 RIN Data'!$T93</f>
        <v>0</v>
      </c>
      <c r="J427" s="3">
        <f>'Monthly D5 RIN Data'!$T105</f>
        <v>0</v>
      </c>
      <c r="K427" s="3">
        <f>'Monthly D5 RIN Data'!$T117</f>
        <v>0</v>
      </c>
      <c r="L427" s="3">
        <f>'Monthly D5 RIN Data'!$T129</f>
        <v>480861</v>
      </c>
      <c r="M427" s="3">
        <f>'Monthly D5 RIN Data'!$T141</f>
        <v>495718</v>
      </c>
      <c r="N427" s="3">
        <f>'Monthly D5 RIN Data'!$T153</f>
        <v>498104</v>
      </c>
      <c r="O427" s="3">
        <f>'Monthly D5 RIN Data'!$T165</f>
        <v>344651</v>
      </c>
      <c r="P427" s="3">
        <f>'Monthly D5 RIN Data'!$T177</f>
        <v>0</v>
      </c>
      <c r="Q427" s="4">
        <f>'D5 Gallon Forecast'!Q413*AVERAGE('D5 RIN Forecast'!$AA$26:$AE$26)</f>
        <v>0</v>
      </c>
      <c r="R427" s="4">
        <f>'D5 Gallon Forecast'!R413*AVERAGE('D5 RIN Forecast'!$AA$26:$AE$26)</f>
        <v>0</v>
      </c>
      <c r="S427" s="4">
        <f>'D5 Gallon Forecast'!S413*AVERAGE('D5 RIN Forecast'!$AA$26:$AE$26)</f>
        <v>0</v>
      </c>
      <c r="T427" s="4">
        <f>'D5 Gallon Forecast'!T413*AVERAGE('D5 RIN Forecast'!$AA$26:$AE$26)</f>
        <v>0</v>
      </c>
    </row>
    <row r="428" spans="1:20">
      <c r="A428" s="2" t="s">
        <v>49</v>
      </c>
      <c r="B428" s="3">
        <f>'Monthly D5 RIN Data'!$T10</f>
        <v>0</v>
      </c>
      <c r="C428" s="3">
        <f>'Monthly D5 RIN Data'!$T22</f>
        <v>0</v>
      </c>
      <c r="D428" s="3">
        <f>'Monthly D5 RIN Data'!$T34</f>
        <v>0</v>
      </c>
      <c r="E428" s="3">
        <f>'Monthly D5 RIN Data'!$T46</f>
        <v>0</v>
      </c>
      <c r="F428" s="3">
        <f>'Monthly D5 RIN Data'!$T58</f>
        <v>0</v>
      </c>
      <c r="G428" s="3">
        <f>'Monthly D5 RIN Data'!$T70</f>
        <v>0</v>
      </c>
      <c r="H428" s="3">
        <f>'Monthly D5 RIN Data'!$T82</f>
        <v>0</v>
      </c>
      <c r="I428" s="3">
        <f>'Monthly D5 RIN Data'!$T94</f>
        <v>0</v>
      </c>
      <c r="J428" s="3">
        <f>'Monthly D5 RIN Data'!$T106</f>
        <v>0</v>
      </c>
      <c r="K428" s="3">
        <f>'Monthly D5 RIN Data'!$T118</f>
        <v>325871</v>
      </c>
      <c r="L428" s="3">
        <f>'Monthly D5 RIN Data'!$T130</f>
        <v>458114</v>
      </c>
      <c r="M428" s="3">
        <f>'Monthly D5 RIN Data'!$T142</f>
        <v>741000</v>
      </c>
      <c r="N428" s="3">
        <f>'Monthly D5 RIN Data'!$T154</f>
        <v>570253</v>
      </c>
      <c r="O428" s="3">
        <f>'Monthly D5 RIN Data'!$T166</f>
        <v>149459</v>
      </c>
      <c r="P428" s="3">
        <f>'Monthly D5 RIN Data'!$T178</f>
        <v>0</v>
      </c>
      <c r="Q428" s="4">
        <f>'D5 Gallon Forecast'!Q414*AVERAGE('D5 RIN Forecast'!$AA$26:$AE$26)</f>
        <v>0</v>
      </c>
      <c r="R428" s="4">
        <f>'D5 Gallon Forecast'!R414*AVERAGE('D5 RIN Forecast'!$AA$26:$AE$26)</f>
        <v>0</v>
      </c>
      <c r="S428" s="4">
        <f>'D5 Gallon Forecast'!S414*AVERAGE('D5 RIN Forecast'!$AA$26:$AE$26)</f>
        <v>0</v>
      </c>
      <c r="T428" s="4">
        <f>'D5 Gallon Forecast'!T414*AVERAGE('D5 RIN Forecast'!$AA$26:$AE$26)</f>
        <v>0</v>
      </c>
    </row>
    <row r="429" spans="1:20">
      <c r="A429" s="2" t="s">
        <v>50</v>
      </c>
      <c r="B429" s="3">
        <f>'Monthly D5 RIN Data'!$T11</f>
        <v>0</v>
      </c>
      <c r="C429" s="3">
        <f>'Monthly D5 RIN Data'!$T23</f>
        <v>0</v>
      </c>
      <c r="D429" s="3">
        <f>'Monthly D5 RIN Data'!$T35</f>
        <v>0</v>
      </c>
      <c r="E429" s="3">
        <f>'Monthly D5 RIN Data'!$T47</f>
        <v>0</v>
      </c>
      <c r="F429" s="3">
        <f>'Monthly D5 RIN Data'!$T59</f>
        <v>0</v>
      </c>
      <c r="G429" s="3">
        <f>'Monthly D5 RIN Data'!$T71</f>
        <v>0</v>
      </c>
      <c r="H429" s="3">
        <f>'Monthly D5 RIN Data'!$T83</f>
        <v>0</v>
      </c>
      <c r="I429" s="3">
        <f>'Monthly D5 RIN Data'!$T95</f>
        <v>0</v>
      </c>
      <c r="J429" s="3">
        <f>'Monthly D5 RIN Data'!$T107</f>
        <v>0</v>
      </c>
      <c r="K429" s="3">
        <f>'Monthly D5 RIN Data'!$T119</f>
        <v>336305</v>
      </c>
      <c r="L429" s="3">
        <f>'Monthly D5 RIN Data'!$T131</f>
        <v>435284</v>
      </c>
      <c r="M429" s="3">
        <f>'Monthly D5 RIN Data'!$T143</f>
        <v>670008</v>
      </c>
      <c r="N429" s="3">
        <f>'Monthly D5 RIN Data'!$T155</f>
        <v>194479</v>
      </c>
      <c r="O429" s="3">
        <f>'Monthly D5 RIN Data'!$T167</f>
        <v>370703</v>
      </c>
      <c r="P429" s="3">
        <f>'Monthly D5 RIN Data'!$T179</f>
        <v>0</v>
      </c>
      <c r="Q429" s="4">
        <f>'D5 Gallon Forecast'!Q415*AVERAGE('D5 RIN Forecast'!$AA$26:$AE$26)</f>
        <v>0</v>
      </c>
      <c r="R429" s="4">
        <f>'D5 Gallon Forecast'!R415*AVERAGE('D5 RIN Forecast'!$AA$26:$AE$26)</f>
        <v>0</v>
      </c>
      <c r="S429" s="4">
        <f>'D5 Gallon Forecast'!S415*AVERAGE('D5 RIN Forecast'!$AA$26:$AE$26)</f>
        <v>0</v>
      </c>
      <c r="T429" s="4">
        <f>'D5 Gallon Forecast'!T415*AVERAGE('D5 RIN Forecast'!$AA$26:$AE$26)</f>
        <v>0</v>
      </c>
    </row>
    <row r="430" spans="1:20">
      <c r="A430" s="2" t="s">
        <v>51</v>
      </c>
      <c r="B430" s="3">
        <f>'Monthly D5 RIN Data'!$T12</f>
        <v>0</v>
      </c>
      <c r="C430" s="3">
        <f>'Monthly D5 RIN Data'!$T24</f>
        <v>0</v>
      </c>
      <c r="D430" s="3">
        <f>'Monthly D5 RIN Data'!$T36</f>
        <v>0</v>
      </c>
      <c r="E430" s="3">
        <f>'Monthly D5 RIN Data'!$T48</f>
        <v>0</v>
      </c>
      <c r="F430" s="3">
        <f>'Monthly D5 RIN Data'!$T60</f>
        <v>0</v>
      </c>
      <c r="G430" s="3">
        <f>'Monthly D5 RIN Data'!$T72</f>
        <v>0</v>
      </c>
      <c r="H430" s="3">
        <f>'Monthly D5 RIN Data'!$T84</f>
        <v>0</v>
      </c>
      <c r="I430" s="3">
        <f>'Monthly D5 RIN Data'!$T96</f>
        <v>0</v>
      </c>
      <c r="J430" s="3">
        <f>'Monthly D5 RIN Data'!$T108</f>
        <v>0</v>
      </c>
      <c r="K430" s="3">
        <f>'Monthly D5 RIN Data'!$T120</f>
        <v>444411</v>
      </c>
      <c r="L430" s="3">
        <f>'Monthly D5 RIN Data'!$T132</f>
        <v>381125</v>
      </c>
      <c r="M430" s="3">
        <f>'Monthly D5 RIN Data'!$T144</f>
        <v>405910</v>
      </c>
      <c r="N430" s="3">
        <f>'Monthly D5 RIN Data'!$T156</f>
        <v>708518</v>
      </c>
      <c r="O430" s="3">
        <f>'Monthly D5 RIN Data'!$T168</f>
        <v>475504</v>
      </c>
      <c r="P430" s="3">
        <f>'Monthly D5 RIN Data'!$T180</f>
        <v>0</v>
      </c>
      <c r="Q430" s="4">
        <f>'D5 Gallon Forecast'!Q416*AVERAGE('D5 RIN Forecast'!$AA$26:$AE$26)</f>
        <v>0</v>
      </c>
      <c r="R430" s="4">
        <f>'D5 Gallon Forecast'!R416*AVERAGE('D5 RIN Forecast'!$AA$26:$AE$26)</f>
        <v>0</v>
      </c>
      <c r="S430" s="4">
        <f>'D5 Gallon Forecast'!S416*AVERAGE('D5 RIN Forecast'!$AA$26:$AE$26)</f>
        <v>0</v>
      </c>
      <c r="T430" s="4">
        <f>'D5 Gallon Forecast'!T416*AVERAGE('D5 RIN Forecast'!$AA$26:$AE$26)</f>
        <v>0</v>
      </c>
    </row>
    <row r="431" spans="1:20">
      <c r="A431" s="2" t="s">
        <v>52</v>
      </c>
      <c r="B431" s="3">
        <f>'Monthly D5 RIN Data'!$T13</f>
        <v>0</v>
      </c>
      <c r="C431" s="3">
        <f>'Monthly D5 RIN Data'!$T25</f>
        <v>0</v>
      </c>
      <c r="D431" s="3">
        <f>'Monthly D5 RIN Data'!$T37</f>
        <v>0</v>
      </c>
      <c r="E431" s="3">
        <f>'Monthly D5 RIN Data'!$T49</f>
        <v>0</v>
      </c>
      <c r="F431" s="3">
        <f>'Monthly D5 RIN Data'!$T61</f>
        <v>0</v>
      </c>
      <c r="G431" s="3">
        <f>'Monthly D5 RIN Data'!$T73</f>
        <v>0</v>
      </c>
      <c r="H431" s="3">
        <f>'Monthly D5 RIN Data'!$T85</f>
        <v>0</v>
      </c>
      <c r="I431" s="3">
        <f>'Monthly D5 RIN Data'!$T97</f>
        <v>0</v>
      </c>
      <c r="J431" s="3">
        <f>'Monthly D5 RIN Data'!$T109</f>
        <v>0</v>
      </c>
      <c r="K431" s="3">
        <f>'Monthly D5 RIN Data'!$T121</f>
        <v>0</v>
      </c>
      <c r="L431" s="3">
        <f>'Monthly D5 RIN Data'!$T133</f>
        <v>271947</v>
      </c>
      <c r="M431" s="3">
        <f>'Monthly D5 RIN Data'!$T145</f>
        <v>303658</v>
      </c>
      <c r="N431" s="3">
        <f>'Monthly D5 RIN Data'!$T157</f>
        <v>302221</v>
      </c>
      <c r="O431" s="3">
        <f>'Monthly D5 RIN Data'!$T169</f>
        <v>530426</v>
      </c>
      <c r="P431" s="3">
        <f>'Monthly D5 RIN Data'!$T181</f>
        <v>0</v>
      </c>
      <c r="Q431" s="4">
        <f>'D5 Gallon Forecast'!Q417*AVERAGE('D5 RIN Forecast'!$AA$26:$AE$26)</f>
        <v>0</v>
      </c>
      <c r="R431" s="4">
        <f>'D5 Gallon Forecast'!R417*AVERAGE('D5 RIN Forecast'!$AA$26:$AE$26)</f>
        <v>0</v>
      </c>
      <c r="S431" s="4">
        <f>'D5 Gallon Forecast'!S417*AVERAGE('D5 RIN Forecast'!$AA$26:$AE$26)</f>
        <v>0</v>
      </c>
      <c r="T431" s="4">
        <f>'D5 Gallon Forecast'!T417*AVERAGE('D5 RIN Forecast'!$AA$26:$AE$26)</f>
        <v>0</v>
      </c>
    </row>
    <row r="432" spans="1:20">
      <c r="A432" s="2" t="s">
        <v>53</v>
      </c>
      <c r="B432" s="3">
        <f>'Monthly D5 RIN Data'!$T14</f>
        <v>0</v>
      </c>
      <c r="C432" s="3">
        <f>'Monthly D5 RIN Data'!$T26</f>
        <v>0</v>
      </c>
      <c r="D432" s="3">
        <f>'Monthly D5 RIN Data'!$T38</f>
        <v>0</v>
      </c>
      <c r="E432" s="3">
        <f>'Monthly D5 RIN Data'!$T50</f>
        <v>0</v>
      </c>
      <c r="F432" s="3">
        <f>'Monthly D5 RIN Data'!$T62</f>
        <v>0</v>
      </c>
      <c r="G432" s="3">
        <f>'Monthly D5 RIN Data'!$T74</f>
        <v>0</v>
      </c>
      <c r="H432" s="3">
        <f>'Monthly D5 RIN Data'!$T86</f>
        <v>0</v>
      </c>
      <c r="I432" s="3">
        <f>'Monthly D5 RIN Data'!$T98</f>
        <v>0</v>
      </c>
      <c r="J432" s="3">
        <f>'Monthly D5 RIN Data'!$T110</f>
        <v>203287</v>
      </c>
      <c r="K432" s="3">
        <f>'Monthly D5 RIN Data'!$T122</f>
        <v>403680</v>
      </c>
      <c r="L432" s="3">
        <f>'Monthly D5 RIN Data'!$T134</f>
        <v>1052260</v>
      </c>
      <c r="M432" s="3">
        <f>'Monthly D5 RIN Data'!$T146</f>
        <v>485575</v>
      </c>
      <c r="N432" s="3">
        <f>'Monthly D5 RIN Data'!$T158</f>
        <v>185067</v>
      </c>
      <c r="O432" s="3">
        <f>'Monthly D5 RIN Data'!$T170</f>
        <v>338047</v>
      </c>
      <c r="P432" s="3">
        <f>'Monthly D5 RIN Data'!$T182</f>
        <v>0</v>
      </c>
      <c r="Q432" s="4">
        <f>'D5 Gallon Forecast'!Q418*AVERAGE('D5 RIN Forecast'!$AA$26:$AE$26)</f>
        <v>0</v>
      </c>
      <c r="R432" s="4">
        <f>'D5 Gallon Forecast'!R418*AVERAGE('D5 RIN Forecast'!$AA$26:$AE$26)</f>
        <v>0</v>
      </c>
      <c r="S432" s="4">
        <f>'D5 Gallon Forecast'!S418*AVERAGE('D5 RIN Forecast'!$AA$26:$AE$26)</f>
        <v>0</v>
      </c>
      <c r="T432" s="4">
        <f>'D5 Gallon Forecast'!T418*AVERAGE('D5 RIN Forecast'!$AA$26:$AE$26)</f>
        <v>0</v>
      </c>
    </row>
    <row r="433" spans="1:20">
      <c r="A433" s="2" t="s">
        <v>54</v>
      </c>
      <c r="B433" s="3">
        <f>'Monthly D5 RIN Data'!$T15</f>
        <v>0</v>
      </c>
      <c r="C433" s="3">
        <f>'Monthly D5 RIN Data'!$T27</f>
        <v>0</v>
      </c>
      <c r="D433" s="3">
        <f>'Monthly D5 RIN Data'!$T39</f>
        <v>0</v>
      </c>
      <c r="E433" s="3">
        <f>'Monthly D5 RIN Data'!$T51</f>
        <v>0</v>
      </c>
      <c r="F433" s="3">
        <f>'Monthly D5 RIN Data'!$T63</f>
        <v>0</v>
      </c>
      <c r="G433" s="3">
        <f>'Monthly D5 RIN Data'!$T75</f>
        <v>0</v>
      </c>
      <c r="H433" s="3">
        <f>'Monthly D5 RIN Data'!$T87</f>
        <v>0</v>
      </c>
      <c r="I433" s="3">
        <f>'Monthly D5 RIN Data'!$T99</f>
        <v>0</v>
      </c>
      <c r="J433" s="3">
        <f>'Monthly D5 RIN Data'!$T111</f>
        <v>522781</v>
      </c>
      <c r="K433" s="3">
        <f>'Monthly D5 RIN Data'!$T123</f>
        <v>1113650</v>
      </c>
      <c r="L433" s="3">
        <f>'Monthly D5 RIN Data'!$T135</f>
        <v>552474</v>
      </c>
      <c r="M433" s="3">
        <f>'Monthly D5 RIN Data'!$T147</f>
        <v>998505</v>
      </c>
      <c r="N433" s="3">
        <f>'Monthly D5 RIN Data'!$T159</f>
        <v>1029097</v>
      </c>
      <c r="O433" s="3">
        <f>'Monthly D5 RIN Data'!$T171</f>
        <v>830777</v>
      </c>
      <c r="P433" s="3">
        <f>'Monthly D5 RIN Data'!$T183</f>
        <v>0</v>
      </c>
      <c r="Q433" s="4">
        <f>'D5 Gallon Forecast'!Q419*AVERAGE('D5 RIN Forecast'!$AA$26:$AE$26)</f>
        <v>0</v>
      </c>
      <c r="R433" s="4">
        <f>'D5 Gallon Forecast'!R419*AVERAGE('D5 RIN Forecast'!$AA$26:$AE$26)</f>
        <v>0</v>
      </c>
      <c r="S433" s="4">
        <f>'D5 Gallon Forecast'!S419*AVERAGE('D5 RIN Forecast'!$AA$26:$AE$26)</f>
        <v>0</v>
      </c>
      <c r="T433" s="4">
        <f>'D5 Gallon Forecast'!T419*AVERAGE('D5 RIN Forecast'!$AA$26:$AE$26)</f>
        <v>0</v>
      </c>
    </row>
    <row r="434" spans="1:20" ht="13.5" thickBot="1">
      <c r="A434" s="2" t="s">
        <v>29</v>
      </c>
      <c r="B434" s="3">
        <f t="shared" ref="B434:O434" si="92">SUM(B422:B433)</f>
        <v>0</v>
      </c>
      <c r="C434" s="3">
        <f t="shared" si="92"/>
        <v>0</v>
      </c>
      <c r="D434" s="3">
        <f t="shared" si="92"/>
        <v>0</v>
      </c>
      <c r="E434" s="3">
        <f t="shared" si="92"/>
        <v>0</v>
      </c>
      <c r="F434" s="3">
        <f t="shared" si="92"/>
        <v>0</v>
      </c>
      <c r="G434" s="3">
        <f t="shared" si="92"/>
        <v>0</v>
      </c>
      <c r="H434" s="3">
        <f t="shared" si="92"/>
        <v>0</v>
      </c>
      <c r="I434" s="3">
        <f t="shared" si="92"/>
        <v>0</v>
      </c>
      <c r="J434" s="3">
        <f t="shared" si="92"/>
        <v>726068</v>
      </c>
      <c r="K434" s="3">
        <f t="shared" si="92"/>
        <v>4630318</v>
      </c>
      <c r="L434" s="3">
        <f t="shared" si="92"/>
        <v>4737438</v>
      </c>
      <c r="M434" s="3">
        <f t="shared" si="92"/>
        <v>5049347</v>
      </c>
      <c r="N434" s="3">
        <f t="shared" si="92"/>
        <v>4933775</v>
      </c>
      <c r="O434" s="3">
        <f t="shared" si="92"/>
        <v>5191382</v>
      </c>
      <c r="P434" s="3">
        <f>SUM(P422:P433)</f>
        <v>991034</v>
      </c>
      <c r="Q434" s="4">
        <f>SUM(Q422:Q433)</f>
        <v>65823</v>
      </c>
      <c r="R434" s="4">
        <f>SUM(R422:R433)</f>
        <v>0</v>
      </c>
      <c r="S434" s="4">
        <f>SUM(S422:S433)</f>
        <v>0</v>
      </c>
      <c r="T434" s="4">
        <f>SUM(T422:T433)</f>
        <v>0</v>
      </c>
    </row>
    <row r="435" spans="1:20">
      <c r="A435" s="114"/>
      <c r="B435" s="114"/>
      <c r="C435" s="114"/>
      <c r="D435" s="114"/>
      <c r="E435" s="114"/>
      <c r="F435" s="114"/>
      <c r="G435" s="114"/>
      <c r="H435" s="114"/>
      <c r="I435" s="114"/>
      <c r="J435" s="114"/>
      <c r="K435" s="114"/>
      <c r="L435" s="114"/>
      <c r="M435" s="114"/>
      <c r="N435" s="114"/>
      <c r="O435" s="114"/>
      <c r="P435" s="114"/>
      <c r="Q435" s="114"/>
      <c r="R435" s="114"/>
      <c r="S435" s="114"/>
      <c r="T435" s="114"/>
    </row>
    <row r="436" spans="1:20" ht="16.5" thickBot="1">
      <c r="A436" s="109" t="s">
        <v>458</v>
      </c>
    </row>
    <row r="437" spans="1:20" ht="13.5" thickBot="1">
      <c r="A437" s="110"/>
      <c r="B437" s="111">
        <v>2010</v>
      </c>
      <c r="C437" s="111">
        <v>2011</v>
      </c>
      <c r="D437" s="111">
        <v>2012</v>
      </c>
      <c r="E437" s="111">
        <v>2013</v>
      </c>
      <c r="F437" s="111">
        <v>2014</v>
      </c>
      <c r="G437" s="111">
        <v>2015</v>
      </c>
      <c r="H437" s="111">
        <v>2016</v>
      </c>
      <c r="I437" s="111">
        <v>2017</v>
      </c>
      <c r="J437" s="111">
        <v>2018</v>
      </c>
      <c r="K437" s="111">
        <v>2019</v>
      </c>
      <c r="L437" s="111">
        <v>2020</v>
      </c>
      <c r="M437" s="111">
        <v>2021</v>
      </c>
      <c r="N437" s="111">
        <v>2022</v>
      </c>
      <c r="O437" s="111">
        <v>2023</v>
      </c>
      <c r="P437" s="111">
        <v>2024</v>
      </c>
      <c r="Q437" s="111">
        <v>2025</v>
      </c>
      <c r="R437" s="111">
        <v>2026</v>
      </c>
      <c r="S437" s="111">
        <v>2027</v>
      </c>
      <c r="T437" s="111">
        <v>2028</v>
      </c>
    </row>
    <row r="438" spans="1:20">
      <c r="A438" s="2" t="s">
        <v>43</v>
      </c>
      <c r="B438" s="3">
        <f>'Monthly D5 RIN Data'!$U4</f>
        <v>0</v>
      </c>
      <c r="C438" s="3">
        <f>'Monthly D5 RIN Data'!$U16</f>
        <v>0</v>
      </c>
      <c r="D438" s="3">
        <f>'Monthly D5 RIN Data'!$U28</f>
        <v>0</v>
      </c>
      <c r="E438" s="3">
        <f>'Monthly D5 RIN Data'!$U40</f>
        <v>0</v>
      </c>
      <c r="F438" s="3">
        <f>'Monthly D5 RIN Data'!$U52</f>
        <v>0</v>
      </c>
      <c r="G438" s="3">
        <f>'Monthly D5 RIN Data'!$U64</f>
        <v>0</v>
      </c>
      <c r="H438" s="3">
        <f>'Monthly D5 RIN Data'!$U76</f>
        <v>0</v>
      </c>
      <c r="I438" s="3">
        <f>'Monthly D5 RIN Data'!$U88</f>
        <v>0</v>
      </c>
      <c r="J438" s="3">
        <f>'Monthly D5 RIN Data'!$U100</f>
        <v>0</v>
      </c>
      <c r="K438" s="3">
        <f>'Monthly D5 RIN Data'!$U112</f>
        <v>0</v>
      </c>
      <c r="L438" s="3">
        <f>'Monthly D5 RIN Data'!$U124</f>
        <v>0</v>
      </c>
      <c r="M438" s="3">
        <f>'Monthly D5 RIN Data'!$U136</f>
        <v>0</v>
      </c>
      <c r="N438" s="3">
        <f>'Monthly D5 RIN Data'!$U148</f>
        <v>0</v>
      </c>
      <c r="O438" s="3">
        <f>'Monthly D5 RIN Data'!$U160</f>
        <v>0</v>
      </c>
      <c r="P438" s="3">
        <f>'Monthly D5 RIN Data'!$U172</f>
        <v>0</v>
      </c>
      <c r="Q438" s="3">
        <f>'Monthly D5 RIN Data'!$U184</f>
        <v>0</v>
      </c>
      <c r="R438" s="4">
        <f>'D5 Gallon Forecast'!R425</f>
        <v>0</v>
      </c>
      <c r="S438" s="4">
        <f>'D5 Gallon Forecast'!S425</f>
        <v>0</v>
      </c>
      <c r="T438" s="4">
        <f>'D5 Gallon Forecast'!T425</f>
        <v>0</v>
      </c>
    </row>
    <row r="439" spans="1:20">
      <c r="A439" s="2" t="s">
        <v>44</v>
      </c>
      <c r="B439" s="3">
        <f>'Monthly D5 RIN Data'!$U5</f>
        <v>0</v>
      </c>
      <c r="C439" s="3">
        <f>'Monthly D5 RIN Data'!$U17</f>
        <v>0</v>
      </c>
      <c r="D439" s="3">
        <f>'Monthly D5 RIN Data'!$U29</f>
        <v>0</v>
      </c>
      <c r="E439" s="3">
        <f>'Monthly D5 RIN Data'!$U41</f>
        <v>0</v>
      </c>
      <c r="F439" s="3">
        <f>'Monthly D5 RIN Data'!$U53</f>
        <v>0</v>
      </c>
      <c r="G439" s="3">
        <f>'Monthly D5 RIN Data'!$U65</f>
        <v>0</v>
      </c>
      <c r="H439" s="3">
        <f>'Monthly D5 RIN Data'!$U77</f>
        <v>0</v>
      </c>
      <c r="I439" s="3">
        <f>'Monthly D5 RIN Data'!$U89</f>
        <v>0</v>
      </c>
      <c r="J439" s="3">
        <f>'Monthly D5 RIN Data'!$U101</f>
        <v>0</v>
      </c>
      <c r="K439" s="3">
        <f>'Monthly D5 RIN Data'!$U113</f>
        <v>0</v>
      </c>
      <c r="L439" s="3">
        <f>'Monthly D5 RIN Data'!$U125</f>
        <v>0</v>
      </c>
      <c r="M439" s="3">
        <f>'Monthly D5 RIN Data'!$U137</f>
        <v>0</v>
      </c>
      <c r="N439" s="3">
        <f>'Monthly D5 RIN Data'!$U149</f>
        <v>0</v>
      </c>
      <c r="O439" s="3">
        <f>'Monthly D5 RIN Data'!$U161</f>
        <v>0</v>
      </c>
      <c r="P439" s="3">
        <f>'Monthly D5 RIN Data'!$U173</f>
        <v>0</v>
      </c>
      <c r="Q439" s="3">
        <f>'Monthly D5 RIN Data'!$U185</f>
        <v>0</v>
      </c>
      <c r="R439" s="4">
        <f>'D5 Gallon Forecast'!R426</f>
        <v>0</v>
      </c>
      <c r="S439" s="4">
        <f>'D5 Gallon Forecast'!S426</f>
        <v>0</v>
      </c>
      <c r="T439" s="4">
        <f>'D5 Gallon Forecast'!T426</f>
        <v>0</v>
      </c>
    </row>
    <row r="440" spans="1:20">
      <c r="A440" s="2" t="s">
        <v>45</v>
      </c>
      <c r="B440" s="3">
        <f>'Monthly D5 RIN Data'!$U6</f>
        <v>0</v>
      </c>
      <c r="C440" s="3">
        <f>'Monthly D5 RIN Data'!$U18</f>
        <v>0</v>
      </c>
      <c r="D440" s="3">
        <f>'Monthly D5 RIN Data'!$U30</f>
        <v>0</v>
      </c>
      <c r="E440" s="3">
        <f>'Monthly D5 RIN Data'!$U42</f>
        <v>0</v>
      </c>
      <c r="F440" s="3">
        <f>'Monthly D5 RIN Data'!$U54</f>
        <v>0</v>
      </c>
      <c r="G440" s="3">
        <f>'Monthly D5 RIN Data'!$U66</f>
        <v>0</v>
      </c>
      <c r="H440" s="3">
        <f>'Monthly D5 RIN Data'!$U78</f>
        <v>0</v>
      </c>
      <c r="I440" s="3">
        <f>'Monthly D5 RIN Data'!$U90</f>
        <v>0</v>
      </c>
      <c r="J440" s="3">
        <f>'Monthly D5 RIN Data'!$U102</f>
        <v>0</v>
      </c>
      <c r="K440" s="3">
        <f>'Monthly D5 RIN Data'!$U114</f>
        <v>0</v>
      </c>
      <c r="L440" s="3">
        <f>'Monthly D5 RIN Data'!$U126</f>
        <v>0</v>
      </c>
      <c r="M440" s="3">
        <f>'Monthly D5 RIN Data'!$U138</f>
        <v>0</v>
      </c>
      <c r="N440" s="3">
        <f>'Monthly D5 RIN Data'!$U150</f>
        <v>0</v>
      </c>
      <c r="O440" s="3">
        <f>'Monthly D5 RIN Data'!$U162</f>
        <v>0</v>
      </c>
      <c r="P440" s="3">
        <f>'Monthly D5 RIN Data'!$U174</f>
        <v>0</v>
      </c>
      <c r="Q440" s="3">
        <f>'Monthly D5 RIN Data'!$U186</f>
        <v>0</v>
      </c>
      <c r="R440" s="4">
        <f>'D5 Gallon Forecast'!R427</f>
        <v>0</v>
      </c>
      <c r="S440" s="4">
        <f>'D5 Gallon Forecast'!S427</f>
        <v>0</v>
      </c>
      <c r="T440" s="4">
        <f>'D5 Gallon Forecast'!T427</f>
        <v>0</v>
      </c>
    </row>
    <row r="441" spans="1:20">
      <c r="A441" s="2" t="s">
        <v>46</v>
      </c>
      <c r="B441" s="3">
        <f>'Monthly D5 RIN Data'!$U7</f>
        <v>0</v>
      </c>
      <c r="C441" s="3">
        <f>'Monthly D5 RIN Data'!$U19</f>
        <v>0</v>
      </c>
      <c r="D441" s="3">
        <f>'Monthly D5 RIN Data'!$U31</f>
        <v>0</v>
      </c>
      <c r="E441" s="3">
        <f>'Monthly D5 RIN Data'!$U43</f>
        <v>0</v>
      </c>
      <c r="F441" s="3">
        <f>'Monthly D5 RIN Data'!$U55</f>
        <v>0</v>
      </c>
      <c r="G441" s="3">
        <f>'Monthly D5 RIN Data'!$U67</f>
        <v>0</v>
      </c>
      <c r="H441" s="3">
        <f>'Monthly D5 RIN Data'!$U79</f>
        <v>0</v>
      </c>
      <c r="I441" s="3">
        <f>'Monthly D5 RIN Data'!$U91</f>
        <v>0</v>
      </c>
      <c r="J441" s="3">
        <f>'Monthly D5 RIN Data'!$U103</f>
        <v>0</v>
      </c>
      <c r="K441" s="3">
        <f>'Monthly D5 RIN Data'!$U115</f>
        <v>0</v>
      </c>
      <c r="L441" s="3">
        <f>'Monthly D5 RIN Data'!$U127</f>
        <v>0</v>
      </c>
      <c r="M441" s="3">
        <f>'Monthly D5 RIN Data'!$U139</f>
        <v>0</v>
      </c>
      <c r="N441" s="3">
        <f>'Monthly D5 RIN Data'!$U151</f>
        <v>0</v>
      </c>
      <c r="O441" s="3">
        <f>'Monthly D5 RIN Data'!$U163</f>
        <v>0</v>
      </c>
      <c r="P441" s="3">
        <f>'Monthly D5 RIN Data'!$U175</f>
        <v>0</v>
      </c>
      <c r="Q441" s="4">
        <f>'D5 Gallon Forecast'!Q428</f>
        <v>0</v>
      </c>
      <c r="R441" s="4">
        <f>'D5 Gallon Forecast'!R428</f>
        <v>0</v>
      </c>
      <c r="S441" s="4">
        <f>'D5 Gallon Forecast'!S428</f>
        <v>0</v>
      </c>
      <c r="T441" s="4">
        <f>'D5 Gallon Forecast'!T428</f>
        <v>0</v>
      </c>
    </row>
    <row r="442" spans="1:20">
      <c r="A442" s="2" t="s">
        <v>47</v>
      </c>
      <c r="B442" s="3">
        <f>'Monthly D5 RIN Data'!$U8</f>
        <v>0</v>
      </c>
      <c r="C442" s="3">
        <f>'Monthly D5 RIN Data'!$U20</f>
        <v>0</v>
      </c>
      <c r="D442" s="3">
        <f>'Monthly D5 RIN Data'!$U32</f>
        <v>0</v>
      </c>
      <c r="E442" s="3">
        <f>'Monthly D5 RIN Data'!$U44</f>
        <v>0</v>
      </c>
      <c r="F442" s="3">
        <f>'Monthly D5 RIN Data'!$U56</f>
        <v>0</v>
      </c>
      <c r="G442" s="3">
        <f>'Monthly D5 RIN Data'!$U68</f>
        <v>0</v>
      </c>
      <c r="H442" s="3">
        <f>'Monthly D5 RIN Data'!$U80</f>
        <v>0</v>
      </c>
      <c r="I442" s="3">
        <f>'Monthly D5 RIN Data'!$U92</f>
        <v>0</v>
      </c>
      <c r="J442" s="3">
        <f>'Monthly D5 RIN Data'!$U104</f>
        <v>0</v>
      </c>
      <c r="K442" s="3">
        <f>'Monthly D5 RIN Data'!$U116</f>
        <v>0</v>
      </c>
      <c r="L442" s="3">
        <f>'Monthly D5 RIN Data'!$U128</f>
        <v>0</v>
      </c>
      <c r="M442" s="3">
        <f>'Monthly D5 RIN Data'!$U140</f>
        <v>0</v>
      </c>
      <c r="N442" s="3">
        <f>'Monthly D5 RIN Data'!$U152</f>
        <v>0</v>
      </c>
      <c r="O442" s="3">
        <f>'Monthly D5 RIN Data'!$U164</f>
        <v>0</v>
      </c>
      <c r="P442" s="3">
        <f>'Monthly D5 RIN Data'!$U176</f>
        <v>0</v>
      </c>
      <c r="Q442" s="4">
        <f>'D5 Gallon Forecast'!Q429</f>
        <v>0</v>
      </c>
      <c r="R442" s="4">
        <f>'D5 Gallon Forecast'!R429</f>
        <v>0</v>
      </c>
      <c r="S442" s="4">
        <f>'D5 Gallon Forecast'!S429</f>
        <v>0</v>
      </c>
      <c r="T442" s="4">
        <f>'D5 Gallon Forecast'!T429</f>
        <v>0</v>
      </c>
    </row>
    <row r="443" spans="1:20">
      <c r="A443" s="2" t="s">
        <v>48</v>
      </c>
      <c r="B443" s="3">
        <f>'Monthly D5 RIN Data'!$U9</f>
        <v>0</v>
      </c>
      <c r="C443" s="3">
        <f>'Monthly D5 RIN Data'!$U21</f>
        <v>0</v>
      </c>
      <c r="D443" s="3">
        <f>'Monthly D5 RIN Data'!$U33</f>
        <v>0</v>
      </c>
      <c r="E443" s="3">
        <f>'Monthly D5 RIN Data'!$U45</f>
        <v>0</v>
      </c>
      <c r="F443" s="3">
        <f>'Monthly D5 RIN Data'!$U57</f>
        <v>0</v>
      </c>
      <c r="G443" s="3">
        <f>'Monthly D5 RIN Data'!$U69</f>
        <v>0</v>
      </c>
      <c r="H443" s="3">
        <f>'Monthly D5 RIN Data'!$U81</f>
        <v>0</v>
      </c>
      <c r="I443" s="3">
        <f>'Monthly D5 RIN Data'!$U93</f>
        <v>0</v>
      </c>
      <c r="J443" s="3">
        <f>'Monthly D5 RIN Data'!$U105</f>
        <v>0</v>
      </c>
      <c r="K443" s="3">
        <f>'Monthly D5 RIN Data'!$U117</f>
        <v>0</v>
      </c>
      <c r="L443" s="3">
        <f>'Monthly D5 RIN Data'!$U129</f>
        <v>0</v>
      </c>
      <c r="M443" s="3">
        <f>'Monthly D5 RIN Data'!$U141</f>
        <v>0</v>
      </c>
      <c r="N443" s="3">
        <f>'Monthly D5 RIN Data'!$U153</f>
        <v>0</v>
      </c>
      <c r="O443" s="3">
        <f>'Monthly D5 RIN Data'!$U165</f>
        <v>0</v>
      </c>
      <c r="P443" s="3">
        <f>'Monthly D5 RIN Data'!$U177</f>
        <v>0</v>
      </c>
      <c r="Q443" s="4">
        <f>'D5 Gallon Forecast'!Q430</f>
        <v>0</v>
      </c>
      <c r="R443" s="4">
        <f>'D5 Gallon Forecast'!R430</f>
        <v>0</v>
      </c>
      <c r="S443" s="4">
        <f>'D5 Gallon Forecast'!S430</f>
        <v>0</v>
      </c>
      <c r="T443" s="4">
        <f>'D5 Gallon Forecast'!T430</f>
        <v>0</v>
      </c>
    </row>
    <row r="444" spans="1:20">
      <c r="A444" s="2" t="s">
        <v>49</v>
      </c>
      <c r="B444" s="3">
        <f>'Monthly D5 RIN Data'!$U10</f>
        <v>0</v>
      </c>
      <c r="C444" s="3">
        <f>'Monthly D5 RIN Data'!$U22</f>
        <v>0</v>
      </c>
      <c r="D444" s="3">
        <f>'Monthly D5 RIN Data'!$U34</f>
        <v>0</v>
      </c>
      <c r="E444" s="3">
        <f>'Monthly D5 RIN Data'!$U46</f>
        <v>0</v>
      </c>
      <c r="F444" s="3">
        <f>'Monthly D5 RIN Data'!$U58</f>
        <v>0</v>
      </c>
      <c r="G444" s="3">
        <f>'Monthly D5 RIN Data'!$U70</f>
        <v>0</v>
      </c>
      <c r="H444" s="3">
        <f>'Monthly D5 RIN Data'!$U82</f>
        <v>0</v>
      </c>
      <c r="I444" s="3">
        <f>'Monthly D5 RIN Data'!$U94</f>
        <v>0</v>
      </c>
      <c r="J444" s="3">
        <f>'Monthly D5 RIN Data'!$U106</f>
        <v>0</v>
      </c>
      <c r="K444" s="3">
        <f>'Monthly D5 RIN Data'!$U118</f>
        <v>0</v>
      </c>
      <c r="L444" s="3">
        <f>'Monthly D5 RIN Data'!$U130</f>
        <v>0</v>
      </c>
      <c r="M444" s="3">
        <f>'Monthly D5 RIN Data'!$U142</f>
        <v>0</v>
      </c>
      <c r="N444" s="3">
        <f>'Monthly D5 RIN Data'!$U154</f>
        <v>0</v>
      </c>
      <c r="O444" s="3">
        <f>'Monthly D5 RIN Data'!$U166</f>
        <v>0</v>
      </c>
      <c r="P444" s="3">
        <f>'Monthly D5 RIN Data'!$U178</f>
        <v>0</v>
      </c>
      <c r="Q444" s="4">
        <f>'D5 Gallon Forecast'!Q431</f>
        <v>0</v>
      </c>
      <c r="R444" s="4">
        <f>'D5 Gallon Forecast'!R431</f>
        <v>0</v>
      </c>
      <c r="S444" s="4">
        <f>'D5 Gallon Forecast'!S431</f>
        <v>0</v>
      </c>
      <c r="T444" s="4">
        <f>'D5 Gallon Forecast'!T431</f>
        <v>0</v>
      </c>
    </row>
    <row r="445" spans="1:20">
      <c r="A445" s="2" t="s">
        <v>50</v>
      </c>
      <c r="B445" s="3">
        <f>'Monthly D5 RIN Data'!$U11</f>
        <v>0</v>
      </c>
      <c r="C445" s="3">
        <f>'Monthly D5 RIN Data'!$U23</f>
        <v>0</v>
      </c>
      <c r="D445" s="3">
        <f>'Monthly D5 RIN Data'!$U35</f>
        <v>0</v>
      </c>
      <c r="E445" s="3">
        <f>'Monthly D5 RIN Data'!$U47</f>
        <v>0</v>
      </c>
      <c r="F445" s="3">
        <f>'Monthly D5 RIN Data'!$U59</f>
        <v>0</v>
      </c>
      <c r="G445" s="3">
        <f>'Monthly D5 RIN Data'!$U71</f>
        <v>0</v>
      </c>
      <c r="H445" s="3">
        <f>'Monthly D5 RIN Data'!$U83</f>
        <v>0</v>
      </c>
      <c r="I445" s="3">
        <f>'Monthly D5 RIN Data'!$U95</f>
        <v>0</v>
      </c>
      <c r="J445" s="3">
        <f>'Monthly D5 RIN Data'!$U107</f>
        <v>0</v>
      </c>
      <c r="K445" s="3">
        <f>'Monthly D5 RIN Data'!$U119</f>
        <v>0</v>
      </c>
      <c r="L445" s="3">
        <f>'Monthly D5 RIN Data'!$U131</f>
        <v>0</v>
      </c>
      <c r="M445" s="3">
        <f>'Monthly D5 RIN Data'!$U143</f>
        <v>0</v>
      </c>
      <c r="N445" s="3">
        <f>'Monthly D5 RIN Data'!$U155</f>
        <v>0</v>
      </c>
      <c r="O445" s="3">
        <f>'Monthly D5 RIN Data'!$U167</f>
        <v>0</v>
      </c>
      <c r="P445" s="3">
        <f>'Monthly D5 RIN Data'!$U179</f>
        <v>0</v>
      </c>
      <c r="Q445" s="4">
        <f>'D5 Gallon Forecast'!Q432</f>
        <v>0</v>
      </c>
      <c r="R445" s="4">
        <f>'D5 Gallon Forecast'!R432</f>
        <v>0</v>
      </c>
      <c r="S445" s="4">
        <f>'D5 Gallon Forecast'!S432</f>
        <v>0</v>
      </c>
      <c r="T445" s="4">
        <f>'D5 Gallon Forecast'!T432</f>
        <v>0</v>
      </c>
    </row>
    <row r="446" spans="1:20">
      <c r="A446" s="2" t="s">
        <v>51</v>
      </c>
      <c r="B446" s="3">
        <f>'Monthly D5 RIN Data'!$U12</f>
        <v>0</v>
      </c>
      <c r="C446" s="3">
        <f>'Monthly D5 RIN Data'!$U24</f>
        <v>0</v>
      </c>
      <c r="D446" s="3">
        <f>'Monthly D5 RIN Data'!$U36</f>
        <v>0</v>
      </c>
      <c r="E446" s="3">
        <f>'Monthly D5 RIN Data'!$U48</f>
        <v>0</v>
      </c>
      <c r="F446" s="3">
        <f>'Monthly D5 RIN Data'!$U60</f>
        <v>0</v>
      </c>
      <c r="G446" s="3">
        <f>'Monthly D5 RIN Data'!$U72</f>
        <v>0</v>
      </c>
      <c r="H446" s="3">
        <f>'Monthly D5 RIN Data'!$U84</f>
        <v>0</v>
      </c>
      <c r="I446" s="3">
        <f>'Monthly D5 RIN Data'!$U96</f>
        <v>0</v>
      </c>
      <c r="J446" s="3">
        <f>'Monthly D5 RIN Data'!$U108</f>
        <v>0</v>
      </c>
      <c r="K446" s="3">
        <f>'Monthly D5 RIN Data'!$U120</f>
        <v>0</v>
      </c>
      <c r="L446" s="3">
        <f>'Monthly D5 RIN Data'!$U132</f>
        <v>0</v>
      </c>
      <c r="M446" s="3">
        <f>'Monthly D5 RIN Data'!$U144</f>
        <v>0</v>
      </c>
      <c r="N446" s="3">
        <f>'Monthly D5 RIN Data'!$U156</f>
        <v>0</v>
      </c>
      <c r="O446" s="3">
        <f>'Monthly D5 RIN Data'!$U168</f>
        <v>0</v>
      </c>
      <c r="P446" s="3">
        <f>'Monthly D5 RIN Data'!$U180</f>
        <v>0</v>
      </c>
      <c r="Q446" s="4">
        <f>'D5 Gallon Forecast'!Q433</f>
        <v>0</v>
      </c>
      <c r="R446" s="4">
        <f>'D5 Gallon Forecast'!R433</f>
        <v>0</v>
      </c>
      <c r="S446" s="4">
        <f>'D5 Gallon Forecast'!S433</f>
        <v>0</v>
      </c>
      <c r="T446" s="4">
        <f>'D5 Gallon Forecast'!T433</f>
        <v>0</v>
      </c>
    </row>
    <row r="447" spans="1:20">
      <c r="A447" s="2" t="s">
        <v>52</v>
      </c>
      <c r="B447" s="3">
        <f>'Monthly D5 RIN Data'!$U13</f>
        <v>0</v>
      </c>
      <c r="C447" s="3">
        <f>'Monthly D5 RIN Data'!$U25</f>
        <v>0</v>
      </c>
      <c r="D447" s="3">
        <f>'Monthly D5 RIN Data'!$U37</f>
        <v>0</v>
      </c>
      <c r="E447" s="3">
        <f>'Monthly D5 RIN Data'!$U49</f>
        <v>0</v>
      </c>
      <c r="F447" s="3">
        <f>'Monthly D5 RIN Data'!$U61</f>
        <v>0</v>
      </c>
      <c r="G447" s="3">
        <f>'Monthly D5 RIN Data'!$U73</f>
        <v>0</v>
      </c>
      <c r="H447" s="3">
        <f>'Monthly D5 RIN Data'!$U85</f>
        <v>0</v>
      </c>
      <c r="I447" s="3">
        <f>'Monthly D5 RIN Data'!$U97</f>
        <v>0</v>
      </c>
      <c r="J447" s="3">
        <f>'Monthly D5 RIN Data'!$U109</f>
        <v>0</v>
      </c>
      <c r="K447" s="3">
        <f>'Monthly D5 RIN Data'!$U121</f>
        <v>0</v>
      </c>
      <c r="L447" s="3">
        <f>'Monthly D5 RIN Data'!$U133</f>
        <v>0</v>
      </c>
      <c r="M447" s="3">
        <f>'Monthly D5 RIN Data'!$U145</f>
        <v>0</v>
      </c>
      <c r="N447" s="3">
        <f>'Monthly D5 RIN Data'!$U157</f>
        <v>0</v>
      </c>
      <c r="O447" s="3">
        <f>'Monthly D5 RIN Data'!$U169</f>
        <v>0</v>
      </c>
      <c r="P447" s="3">
        <f>'Monthly D5 RIN Data'!$U181</f>
        <v>0</v>
      </c>
      <c r="Q447" s="4">
        <f>'D5 Gallon Forecast'!Q434</f>
        <v>0</v>
      </c>
      <c r="R447" s="4">
        <f>'D5 Gallon Forecast'!R434</f>
        <v>0</v>
      </c>
      <c r="S447" s="4">
        <f>'D5 Gallon Forecast'!S434</f>
        <v>0</v>
      </c>
      <c r="T447" s="4">
        <f>'D5 Gallon Forecast'!T434</f>
        <v>0</v>
      </c>
    </row>
    <row r="448" spans="1:20">
      <c r="A448" s="2" t="s">
        <v>53</v>
      </c>
      <c r="B448" s="3">
        <f>'Monthly D5 RIN Data'!$U14</f>
        <v>0</v>
      </c>
      <c r="C448" s="3">
        <f>'Monthly D5 RIN Data'!$U26</f>
        <v>0</v>
      </c>
      <c r="D448" s="3">
        <f>'Monthly D5 RIN Data'!$U38</f>
        <v>0</v>
      </c>
      <c r="E448" s="3">
        <f>'Monthly D5 RIN Data'!$U50</f>
        <v>0</v>
      </c>
      <c r="F448" s="3">
        <f>'Monthly D5 RIN Data'!$U62</f>
        <v>0</v>
      </c>
      <c r="G448" s="3">
        <f>'Monthly D5 RIN Data'!$U74</f>
        <v>0</v>
      </c>
      <c r="H448" s="3">
        <f>'Monthly D5 RIN Data'!$U86</f>
        <v>0</v>
      </c>
      <c r="I448" s="3">
        <f>'Monthly D5 RIN Data'!$U98</f>
        <v>0</v>
      </c>
      <c r="J448" s="3">
        <f>'Monthly D5 RIN Data'!$U110</f>
        <v>0</v>
      </c>
      <c r="K448" s="3">
        <f>'Monthly D5 RIN Data'!$U122</f>
        <v>0</v>
      </c>
      <c r="L448" s="3">
        <f>'Monthly D5 RIN Data'!$U134</f>
        <v>0</v>
      </c>
      <c r="M448" s="3">
        <f>'Monthly D5 RIN Data'!$U146</f>
        <v>0</v>
      </c>
      <c r="N448" s="3">
        <f>'Monthly D5 RIN Data'!$U158</f>
        <v>0</v>
      </c>
      <c r="O448" s="3">
        <f>'Monthly D5 RIN Data'!$U170</f>
        <v>0</v>
      </c>
      <c r="P448" s="3">
        <f>'Monthly D5 RIN Data'!$U182</f>
        <v>0</v>
      </c>
      <c r="Q448" s="4">
        <f>'D5 Gallon Forecast'!Q435</f>
        <v>0</v>
      </c>
      <c r="R448" s="4">
        <f>'D5 Gallon Forecast'!R435</f>
        <v>0</v>
      </c>
      <c r="S448" s="4">
        <f>'D5 Gallon Forecast'!S435</f>
        <v>0</v>
      </c>
      <c r="T448" s="4">
        <f>'D5 Gallon Forecast'!T435</f>
        <v>0</v>
      </c>
    </row>
    <row r="449" spans="1:20">
      <c r="A449" s="2" t="s">
        <v>54</v>
      </c>
      <c r="B449" s="3">
        <f>'Monthly D5 RIN Data'!$U15</f>
        <v>0</v>
      </c>
      <c r="C449" s="3">
        <f>'Monthly D5 RIN Data'!$U27</f>
        <v>0</v>
      </c>
      <c r="D449" s="3">
        <f>'Monthly D5 RIN Data'!$U39</f>
        <v>0</v>
      </c>
      <c r="E449" s="3">
        <f>'Monthly D5 RIN Data'!$U51</f>
        <v>0</v>
      </c>
      <c r="F449" s="3">
        <f>'Monthly D5 RIN Data'!$U63</f>
        <v>0</v>
      </c>
      <c r="G449" s="3">
        <f>'Monthly D5 RIN Data'!$U75</f>
        <v>0</v>
      </c>
      <c r="H449" s="3">
        <f>'Monthly D5 RIN Data'!$U87</f>
        <v>0</v>
      </c>
      <c r="I449" s="3">
        <f>'Monthly D5 RIN Data'!$U99</f>
        <v>0</v>
      </c>
      <c r="J449" s="3">
        <f>'Monthly D5 RIN Data'!$U111</f>
        <v>0</v>
      </c>
      <c r="K449" s="3">
        <f>'Monthly D5 RIN Data'!$U123</f>
        <v>0</v>
      </c>
      <c r="L449" s="3">
        <f>'Monthly D5 RIN Data'!$U135</f>
        <v>0</v>
      </c>
      <c r="M449" s="3">
        <f>'Monthly D5 RIN Data'!$U147</f>
        <v>0</v>
      </c>
      <c r="N449" s="3">
        <f>'Monthly D5 RIN Data'!$U159</f>
        <v>0</v>
      </c>
      <c r="O449" s="3">
        <f>'Monthly D5 RIN Data'!$U171</f>
        <v>0</v>
      </c>
      <c r="P449" s="3">
        <f>'Monthly D5 RIN Data'!$U183</f>
        <v>0</v>
      </c>
      <c r="Q449" s="4">
        <f>'D5 Gallon Forecast'!Q436</f>
        <v>0</v>
      </c>
      <c r="R449" s="4">
        <f>'D5 Gallon Forecast'!R436</f>
        <v>0</v>
      </c>
      <c r="S449" s="4">
        <f>'D5 Gallon Forecast'!S436</f>
        <v>0</v>
      </c>
      <c r="T449" s="4">
        <f>'D5 Gallon Forecast'!T436</f>
        <v>0</v>
      </c>
    </row>
    <row r="450" spans="1:20">
      <c r="A450" s="2" t="s">
        <v>29</v>
      </c>
      <c r="B450" s="3">
        <f t="shared" ref="B450:O450" si="93">SUM(B438:B449)</f>
        <v>0</v>
      </c>
      <c r="C450" s="3">
        <f t="shared" si="93"/>
        <v>0</v>
      </c>
      <c r="D450" s="3">
        <f t="shared" si="93"/>
        <v>0</v>
      </c>
      <c r="E450" s="3">
        <f t="shared" si="93"/>
        <v>0</v>
      </c>
      <c r="F450" s="3">
        <f t="shared" si="93"/>
        <v>0</v>
      </c>
      <c r="G450" s="3">
        <f t="shared" si="93"/>
        <v>0</v>
      </c>
      <c r="H450" s="3">
        <f t="shared" si="93"/>
        <v>0</v>
      </c>
      <c r="I450" s="3">
        <f t="shared" si="93"/>
        <v>0</v>
      </c>
      <c r="J450" s="3">
        <f t="shared" si="93"/>
        <v>0</v>
      </c>
      <c r="K450" s="3">
        <f t="shared" si="93"/>
        <v>0</v>
      </c>
      <c r="L450" s="3">
        <f t="shared" si="93"/>
        <v>0</v>
      </c>
      <c r="M450" s="3">
        <f t="shared" si="93"/>
        <v>0</v>
      </c>
      <c r="N450" s="3">
        <f t="shared" si="93"/>
        <v>0</v>
      </c>
      <c r="O450" s="3">
        <f t="shared" si="93"/>
        <v>0</v>
      </c>
      <c r="P450" s="3">
        <f>SUM(P438:P449)</f>
        <v>0</v>
      </c>
      <c r="Q450" s="4">
        <f>SUM(Q438:Q449)</f>
        <v>0</v>
      </c>
      <c r="R450" s="4">
        <f>SUM(R438:R449)</f>
        <v>0</v>
      </c>
      <c r="S450" s="4">
        <f>SUM(S438:S449)</f>
        <v>0</v>
      </c>
      <c r="T450" s="4">
        <f>SUM(T438:T449)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D322B-7D3B-45DD-A3AC-4CEF453556C2}">
  <sheetPr>
    <tabColor theme="0" tint="-0.34998626667073579"/>
  </sheetPr>
  <dimension ref="A1:BD186"/>
  <sheetViews>
    <sheetView zoomScaleNormal="100" workbookViewId="0">
      <pane xSplit="1" ySplit="3" topLeftCell="B169"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25" width="11.42578125" customWidth="1"/>
    <col min="26" max="31" width="12.140625" customWidth="1"/>
    <col min="32" max="55" width="10.7109375" customWidth="1"/>
  </cols>
  <sheetData>
    <row r="1" spans="1:56" ht="18">
      <c r="B1" s="551" t="s">
        <v>472</v>
      </c>
      <c r="C1" s="552"/>
      <c r="D1" s="552"/>
      <c r="E1" s="552"/>
      <c r="F1" s="552"/>
      <c r="G1" s="552"/>
      <c r="H1" s="552"/>
      <c r="I1" s="552"/>
      <c r="J1" s="552"/>
      <c r="K1" s="552"/>
      <c r="L1" s="552"/>
      <c r="M1" s="552"/>
      <c r="N1" s="552"/>
      <c r="O1" s="552"/>
      <c r="P1" s="552"/>
      <c r="Q1" s="552"/>
      <c r="R1" s="552"/>
      <c r="S1" s="552"/>
      <c r="T1" s="552"/>
      <c r="U1" s="552"/>
      <c r="V1" s="552"/>
      <c r="W1" s="552"/>
      <c r="X1" s="552"/>
      <c r="Y1" s="553"/>
      <c r="Z1" s="554" t="s">
        <v>399</v>
      </c>
      <c r="AA1" s="555"/>
      <c r="AB1" s="556"/>
      <c r="AC1" s="557" t="s">
        <v>473</v>
      </c>
      <c r="AD1" s="499"/>
      <c r="AE1" s="558"/>
      <c r="AF1" s="559" t="s">
        <v>256</v>
      </c>
      <c r="AG1" s="560"/>
      <c r="AH1" s="560"/>
      <c r="AI1" s="560"/>
      <c r="AJ1" s="560"/>
      <c r="AK1" s="560"/>
      <c r="AL1" s="560"/>
      <c r="AM1" s="560"/>
      <c r="AN1" s="560"/>
      <c r="AO1" s="560"/>
      <c r="AP1" s="560"/>
      <c r="AQ1" s="560"/>
      <c r="AR1" s="560"/>
      <c r="AS1" s="560"/>
      <c r="AT1" s="560"/>
      <c r="AU1" s="560"/>
      <c r="AV1" s="560"/>
      <c r="AW1" s="560"/>
      <c r="AX1" s="560"/>
      <c r="AY1" s="560"/>
      <c r="AZ1" s="560"/>
      <c r="BA1" s="560"/>
      <c r="BB1" s="560"/>
      <c r="BC1" s="561"/>
    </row>
    <row r="2" spans="1:56">
      <c r="B2" s="562" t="s">
        <v>415</v>
      </c>
      <c r="C2" s="500"/>
      <c r="D2" s="500"/>
      <c r="E2" s="502" t="s">
        <v>283</v>
      </c>
      <c r="F2" s="502"/>
      <c r="G2" s="502"/>
      <c r="H2" s="503" t="s">
        <v>289</v>
      </c>
      <c r="I2" s="503"/>
      <c r="J2" s="503"/>
      <c r="K2" s="563" t="s">
        <v>417</v>
      </c>
      <c r="L2" s="563"/>
      <c r="M2" s="563"/>
      <c r="N2" s="564" t="s">
        <v>474</v>
      </c>
      <c r="O2" s="564"/>
      <c r="P2" s="564"/>
      <c r="Q2" s="565" t="s">
        <v>226</v>
      </c>
      <c r="R2" s="565"/>
      <c r="S2" s="565"/>
      <c r="T2" s="568" t="s">
        <v>422</v>
      </c>
      <c r="U2" s="568"/>
      <c r="V2" s="568"/>
      <c r="W2" s="569" t="s">
        <v>462</v>
      </c>
      <c r="X2" s="569"/>
      <c r="Y2" s="570"/>
      <c r="Z2" s="571" t="s">
        <v>260</v>
      </c>
      <c r="AA2" s="571"/>
      <c r="AB2" s="572"/>
      <c r="AC2" s="573" t="s">
        <v>260</v>
      </c>
      <c r="AD2" s="571"/>
      <c r="AE2" s="572"/>
      <c r="AF2" s="574" t="s">
        <v>415</v>
      </c>
      <c r="AG2" s="506"/>
      <c r="AH2" s="506"/>
      <c r="AI2" s="507" t="s">
        <v>283</v>
      </c>
      <c r="AJ2" s="507"/>
      <c r="AK2" s="507"/>
      <c r="AL2" s="508" t="s">
        <v>289</v>
      </c>
      <c r="AM2" s="508"/>
      <c r="AN2" s="508"/>
      <c r="AO2" s="548" t="s">
        <v>417</v>
      </c>
      <c r="AP2" s="548"/>
      <c r="AQ2" s="548"/>
      <c r="AR2" s="549" t="s">
        <v>464</v>
      </c>
      <c r="AS2" s="549"/>
      <c r="AT2" s="549"/>
      <c r="AU2" s="550" t="s">
        <v>226</v>
      </c>
      <c r="AV2" s="550"/>
      <c r="AW2" s="550"/>
      <c r="AX2" s="547" t="s">
        <v>422</v>
      </c>
      <c r="AY2" s="547"/>
      <c r="AZ2" s="547"/>
      <c r="BA2" s="566" t="s">
        <v>459</v>
      </c>
      <c r="BB2" s="566"/>
      <c r="BC2" s="567"/>
    </row>
    <row r="3" spans="1:56" ht="15.75" thickBot="1">
      <c r="B3" s="367" t="s">
        <v>260</v>
      </c>
      <c r="C3" s="368" t="s">
        <v>261</v>
      </c>
      <c r="D3" s="368" t="s">
        <v>262</v>
      </c>
      <c r="E3" s="369" t="s">
        <v>260</v>
      </c>
      <c r="F3" s="369" t="s">
        <v>261</v>
      </c>
      <c r="G3" s="369" t="s">
        <v>262</v>
      </c>
      <c r="H3" s="279" t="s">
        <v>260</v>
      </c>
      <c r="I3" s="279" t="s">
        <v>261</v>
      </c>
      <c r="J3" s="279" t="s">
        <v>262</v>
      </c>
      <c r="K3" s="370" t="s">
        <v>260</v>
      </c>
      <c r="L3" s="370" t="s">
        <v>261</v>
      </c>
      <c r="M3" s="370" t="s">
        <v>262</v>
      </c>
      <c r="N3" s="371" t="s">
        <v>260</v>
      </c>
      <c r="O3" s="371" t="s">
        <v>261</v>
      </c>
      <c r="P3" s="371" t="s">
        <v>262</v>
      </c>
      <c r="Q3" s="280" t="s">
        <v>260</v>
      </c>
      <c r="R3" s="280" t="s">
        <v>261</v>
      </c>
      <c r="S3" s="280" t="s">
        <v>262</v>
      </c>
      <c r="T3" s="372" t="s">
        <v>260</v>
      </c>
      <c r="U3" s="372" t="s">
        <v>261</v>
      </c>
      <c r="V3" s="372" t="s">
        <v>262</v>
      </c>
      <c r="W3" s="373" t="s">
        <v>260</v>
      </c>
      <c r="X3" s="373" t="s">
        <v>261</v>
      </c>
      <c r="Y3" s="374" t="s">
        <v>262</v>
      </c>
      <c r="Z3" s="275" t="s">
        <v>410</v>
      </c>
      <c r="AA3" s="275" t="s">
        <v>411</v>
      </c>
      <c r="AB3" s="375" t="s">
        <v>262</v>
      </c>
      <c r="AC3" s="275" t="s">
        <v>465</v>
      </c>
      <c r="AD3" s="275" t="s">
        <v>409</v>
      </c>
      <c r="AE3" s="275" t="s">
        <v>262</v>
      </c>
      <c r="AF3" s="376" t="s">
        <v>260</v>
      </c>
      <c r="AG3" s="167" t="s">
        <v>261</v>
      </c>
      <c r="AH3" s="167" t="s">
        <v>262</v>
      </c>
      <c r="AI3" s="168" t="s">
        <v>260</v>
      </c>
      <c r="AJ3" s="168" t="s">
        <v>261</v>
      </c>
      <c r="AK3" s="168" t="s">
        <v>262</v>
      </c>
      <c r="AL3" s="169" t="s">
        <v>260</v>
      </c>
      <c r="AM3" s="169" t="s">
        <v>261</v>
      </c>
      <c r="AN3" s="169" t="s">
        <v>262</v>
      </c>
      <c r="AO3" s="289" t="s">
        <v>260</v>
      </c>
      <c r="AP3" s="289" t="s">
        <v>261</v>
      </c>
      <c r="AQ3" s="289" t="s">
        <v>262</v>
      </c>
      <c r="AR3" s="287" t="s">
        <v>260</v>
      </c>
      <c r="AS3" s="287" t="s">
        <v>261</v>
      </c>
      <c r="AT3" s="287" t="s">
        <v>262</v>
      </c>
      <c r="AU3" s="377" t="s">
        <v>260</v>
      </c>
      <c r="AV3" s="377" t="s">
        <v>261</v>
      </c>
      <c r="AW3" s="377" t="s">
        <v>262</v>
      </c>
      <c r="AX3" s="288" t="s">
        <v>260</v>
      </c>
      <c r="AY3" s="288" t="s">
        <v>261</v>
      </c>
      <c r="AZ3" s="288" t="s">
        <v>262</v>
      </c>
      <c r="BA3" s="365" t="s">
        <v>260</v>
      </c>
      <c r="BB3" s="365" t="s">
        <v>261</v>
      </c>
      <c r="BC3" s="366" t="s">
        <v>262</v>
      </c>
    </row>
    <row r="4" spans="1:56" ht="15.75" hidden="1" thickBot="1">
      <c r="A4" s="170">
        <v>40179</v>
      </c>
      <c r="B4" s="378">
        <v>0</v>
      </c>
      <c r="C4" s="3">
        <v>0</v>
      </c>
      <c r="D4" s="3">
        <f>C4+B4</f>
        <v>0</v>
      </c>
      <c r="E4" s="3">
        <f>AB4</f>
        <v>0</v>
      </c>
      <c r="F4" s="3">
        <v>0</v>
      </c>
      <c r="G4" s="3">
        <f>F4+E4</f>
        <v>0</v>
      </c>
      <c r="H4" s="3">
        <v>0</v>
      </c>
      <c r="I4" s="3">
        <v>0</v>
      </c>
      <c r="J4" s="3">
        <f>I4+H4</f>
        <v>0</v>
      </c>
      <c r="K4" s="3">
        <v>0</v>
      </c>
      <c r="L4" s="3">
        <v>0</v>
      </c>
      <c r="M4" s="3">
        <f>L4+K4</f>
        <v>0</v>
      </c>
      <c r="N4" s="3">
        <f>AE4</f>
        <v>0</v>
      </c>
      <c r="O4" s="3">
        <v>0</v>
      </c>
      <c r="P4" s="3">
        <f>O4+N4</f>
        <v>0</v>
      </c>
      <c r="Q4" s="3">
        <v>0</v>
      </c>
      <c r="R4" s="3">
        <v>0</v>
      </c>
      <c r="S4" s="3">
        <f>R4+Q4</f>
        <v>0</v>
      </c>
      <c r="T4" s="3">
        <v>0</v>
      </c>
      <c r="U4" s="3">
        <v>0</v>
      </c>
      <c r="V4" s="3">
        <f>U4+T4</f>
        <v>0</v>
      </c>
      <c r="W4" s="3">
        <f>B4+E4+H4+K4+N4+Q4+T4</f>
        <v>0</v>
      </c>
      <c r="X4" s="3">
        <f>C4+F4+I4+L4+O4+R4+U4</f>
        <v>0</v>
      </c>
      <c r="Y4" s="379">
        <f>X4+W4</f>
        <v>0</v>
      </c>
      <c r="Z4" s="3">
        <v>0</v>
      </c>
      <c r="AA4" s="3">
        <v>0</v>
      </c>
      <c r="AB4" s="380">
        <f>AA4+Z4</f>
        <v>0</v>
      </c>
      <c r="AC4" s="3">
        <v>0</v>
      </c>
      <c r="AD4" s="3">
        <v>0</v>
      </c>
      <c r="AE4" s="380">
        <f>SUM(AC4:AD4)</f>
        <v>0</v>
      </c>
      <c r="AF4" s="381">
        <f>B4</f>
        <v>0</v>
      </c>
      <c r="AG4" s="177">
        <f>C4</f>
        <v>0</v>
      </c>
      <c r="AH4" s="177">
        <f>AG4+AF4</f>
        <v>0</v>
      </c>
      <c r="AI4" s="177">
        <f>E4</f>
        <v>0</v>
      </c>
      <c r="AJ4" s="177">
        <f>F4</f>
        <v>0</v>
      </c>
      <c r="AK4" s="177">
        <f>AJ4+AI4</f>
        <v>0</v>
      </c>
      <c r="AL4" s="177">
        <f>H4</f>
        <v>0</v>
      </c>
      <c r="AM4" s="177">
        <f>I4</f>
        <v>0</v>
      </c>
      <c r="AN4" s="177">
        <f>AM4+AL4</f>
        <v>0</v>
      </c>
      <c r="AO4" s="177">
        <f>K4</f>
        <v>0</v>
      </c>
      <c r="AP4" s="177">
        <f>L4</f>
        <v>0</v>
      </c>
      <c r="AQ4" s="177">
        <f>AP4+AO4</f>
        <v>0</v>
      </c>
      <c r="AR4" s="177">
        <f>N4</f>
        <v>0</v>
      </c>
      <c r="AS4" s="177">
        <f>O4</f>
        <v>0</v>
      </c>
      <c r="AT4" s="177">
        <f>AS4+AR4</f>
        <v>0</v>
      </c>
      <c r="AU4" s="177">
        <f>Q4</f>
        <v>0</v>
      </c>
      <c r="AV4" s="177">
        <f>R4</f>
        <v>0</v>
      </c>
      <c r="AW4" s="177">
        <f>AV4+AU4</f>
        <v>0</v>
      </c>
      <c r="AX4" s="177">
        <f>T4</f>
        <v>0</v>
      </c>
      <c r="AY4" s="177">
        <f>U4</f>
        <v>0</v>
      </c>
      <c r="AZ4" s="177">
        <f>SUM(AX4:AY4)</f>
        <v>0</v>
      </c>
      <c r="BA4" s="177">
        <f>AF4+AI4+AL4+AO4+AR4+AU4+AX4</f>
        <v>0</v>
      </c>
      <c r="BB4" s="177">
        <f>AG4+AJ4+AM4+AP4+AS4+AV4+AY4</f>
        <v>0</v>
      </c>
      <c r="BC4" s="382">
        <f>BA4+BB4</f>
        <v>0</v>
      </c>
    </row>
    <row r="5" spans="1:56" ht="15.75" hidden="1" thickBot="1">
      <c r="A5" s="170">
        <v>40210</v>
      </c>
      <c r="B5" s="378">
        <v>0</v>
      </c>
      <c r="C5" s="3">
        <v>0</v>
      </c>
      <c r="D5" s="3">
        <f t="shared" ref="D5:D68" si="0">C5+B5</f>
        <v>0</v>
      </c>
      <c r="E5" s="3">
        <f t="shared" ref="E5:E68" si="1">AB5</f>
        <v>0</v>
      </c>
      <c r="F5" s="3">
        <v>0</v>
      </c>
      <c r="G5" s="3">
        <f t="shared" ref="G5:G68" si="2">F5+E5</f>
        <v>0</v>
      </c>
      <c r="H5" s="3">
        <v>0</v>
      </c>
      <c r="I5" s="3">
        <v>0</v>
      </c>
      <c r="J5" s="3">
        <f t="shared" ref="J5:J68" si="3">I5+H5</f>
        <v>0</v>
      </c>
      <c r="K5" s="3">
        <v>0</v>
      </c>
      <c r="L5" s="3">
        <v>0</v>
      </c>
      <c r="M5" s="3">
        <f t="shared" ref="M5:M68" si="4">L5+K5</f>
        <v>0</v>
      </c>
      <c r="N5" s="3">
        <f t="shared" ref="N5:N68" si="5">AE5</f>
        <v>0</v>
      </c>
      <c r="O5" s="3">
        <v>0</v>
      </c>
      <c r="P5" s="3">
        <f t="shared" ref="P5:P68" si="6">O5+N5</f>
        <v>0</v>
      </c>
      <c r="Q5" s="3">
        <v>0</v>
      </c>
      <c r="R5" s="3">
        <v>0</v>
      </c>
      <c r="S5" s="3">
        <f t="shared" ref="S5:S68" si="7">R5+Q5</f>
        <v>0</v>
      </c>
      <c r="T5" s="3">
        <v>0</v>
      </c>
      <c r="U5" s="3">
        <v>0</v>
      </c>
      <c r="V5" s="3">
        <f t="shared" ref="V5:V68" si="8">U5+T5</f>
        <v>0</v>
      </c>
      <c r="W5" s="3">
        <f t="shared" ref="W5:X68" si="9">B5+E5+H5+K5+N5+Q5+T5</f>
        <v>0</v>
      </c>
      <c r="X5" s="3">
        <f t="shared" si="9"/>
        <v>0</v>
      </c>
      <c r="Y5" s="379">
        <f t="shared" ref="Y5:Y68" si="10">X5+W5</f>
        <v>0</v>
      </c>
      <c r="Z5" s="3">
        <v>0</v>
      </c>
      <c r="AA5" s="3">
        <v>0</v>
      </c>
      <c r="AB5" s="380">
        <f t="shared" ref="AB5:AB68" si="11">AA5+Z5</f>
        <v>0</v>
      </c>
      <c r="AC5" s="3">
        <v>0</v>
      </c>
      <c r="AD5" s="3">
        <v>0</v>
      </c>
      <c r="AE5" s="380">
        <f>SUM(AC5:AD5)</f>
        <v>0</v>
      </c>
      <c r="AF5" s="381">
        <f t="shared" ref="AF5:AG15" si="12">B5+AF4</f>
        <v>0</v>
      </c>
      <c r="AG5" s="177">
        <f t="shared" si="12"/>
        <v>0</v>
      </c>
      <c r="AH5" s="177">
        <f>AG5+AF5</f>
        <v>0</v>
      </c>
      <c r="AI5" s="177">
        <f>AI4+E5</f>
        <v>0</v>
      </c>
      <c r="AJ5" s="177">
        <f>AJ4+F5</f>
        <v>0</v>
      </c>
      <c r="AK5" s="177">
        <f>AJ5+AI5</f>
        <v>0</v>
      </c>
      <c r="AL5" s="177">
        <f t="shared" ref="AL5:AM15" si="13">AL4+H5</f>
        <v>0</v>
      </c>
      <c r="AM5" s="177">
        <f t="shared" si="13"/>
        <v>0</v>
      </c>
      <c r="AN5" s="177">
        <f>AM5+AL5</f>
        <v>0</v>
      </c>
      <c r="AO5" s="177">
        <f t="shared" ref="AO5:AP15" si="14">AO4+K5</f>
        <v>0</v>
      </c>
      <c r="AP5" s="177">
        <f t="shared" si="14"/>
        <v>0</v>
      </c>
      <c r="AQ5" s="177">
        <f>AP5+AO5</f>
        <v>0</v>
      </c>
      <c r="AR5" s="177">
        <f t="shared" ref="AR5:AS15" si="15">AR4+N5</f>
        <v>0</v>
      </c>
      <c r="AS5" s="177">
        <f t="shared" si="15"/>
        <v>0</v>
      </c>
      <c r="AT5" s="177">
        <f>AS5+AR5</f>
        <v>0</v>
      </c>
      <c r="AU5" s="177">
        <f t="shared" ref="AU5:AV15" si="16">AU4+Q5</f>
        <v>0</v>
      </c>
      <c r="AV5" s="177">
        <f t="shared" si="16"/>
        <v>0</v>
      </c>
      <c r="AW5" s="177">
        <f t="shared" ref="AW5:AW15" si="17">AV5+AU5</f>
        <v>0</v>
      </c>
      <c r="AX5" s="177">
        <f>AX4+T5</f>
        <v>0</v>
      </c>
      <c r="AY5" s="177">
        <f>AY4+U5</f>
        <v>0</v>
      </c>
      <c r="AZ5" s="177">
        <f>SUM(AX5:AY5)</f>
        <v>0</v>
      </c>
      <c r="BA5" s="177">
        <f t="shared" ref="BA5:BB68" si="18">AF5+AI5+AL5+AO5+AR5+AU5+AX5</f>
        <v>0</v>
      </c>
      <c r="BB5" s="177">
        <f t="shared" si="18"/>
        <v>0</v>
      </c>
      <c r="BC5" s="382">
        <f t="shared" ref="BC5:BC68" si="19">BA5+BB5</f>
        <v>0</v>
      </c>
      <c r="BD5" s="383"/>
    </row>
    <row r="6" spans="1:56" ht="15.75" hidden="1" thickBot="1">
      <c r="A6" s="170">
        <v>40238</v>
      </c>
      <c r="B6" s="378">
        <v>0</v>
      </c>
      <c r="C6" s="3">
        <v>0</v>
      </c>
      <c r="D6" s="3">
        <f t="shared" si="0"/>
        <v>0</v>
      </c>
      <c r="E6" s="3">
        <f t="shared" si="1"/>
        <v>0</v>
      </c>
      <c r="F6" s="3">
        <v>0</v>
      </c>
      <c r="G6" s="3">
        <f t="shared" si="2"/>
        <v>0</v>
      </c>
      <c r="H6" s="3">
        <v>0</v>
      </c>
      <c r="I6" s="3">
        <v>0</v>
      </c>
      <c r="J6" s="3">
        <f t="shared" si="3"/>
        <v>0</v>
      </c>
      <c r="K6" s="3">
        <v>0</v>
      </c>
      <c r="L6" s="3">
        <v>0</v>
      </c>
      <c r="M6" s="3">
        <f t="shared" si="4"/>
        <v>0</v>
      </c>
      <c r="N6" s="3">
        <f t="shared" si="5"/>
        <v>0</v>
      </c>
      <c r="O6" s="3">
        <v>0</v>
      </c>
      <c r="P6" s="3">
        <f t="shared" si="6"/>
        <v>0</v>
      </c>
      <c r="Q6" s="3">
        <v>0</v>
      </c>
      <c r="R6" s="3">
        <v>0</v>
      </c>
      <c r="S6" s="3">
        <f t="shared" si="7"/>
        <v>0</v>
      </c>
      <c r="T6" s="3">
        <v>0</v>
      </c>
      <c r="U6" s="3">
        <v>0</v>
      </c>
      <c r="V6" s="3">
        <f t="shared" si="8"/>
        <v>0</v>
      </c>
      <c r="W6" s="3">
        <f t="shared" si="9"/>
        <v>0</v>
      </c>
      <c r="X6" s="3">
        <f t="shared" si="9"/>
        <v>0</v>
      </c>
      <c r="Y6" s="379">
        <f t="shared" si="10"/>
        <v>0</v>
      </c>
      <c r="Z6" s="3">
        <v>0</v>
      </c>
      <c r="AA6" s="3">
        <v>0</v>
      </c>
      <c r="AB6" s="380">
        <f t="shared" si="11"/>
        <v>0</v>
      </c>
      <c r="AC6" s="3">
        <v>0</v>
      </c>
      <c r="AD6" s="3">
        <v>0</v>
      </c>
      <c r="AE6" s="380">
        <f t="shared" ref="AE6:AE15" si="20">SUM(AC6:AD6)</f>
        <v>0</v>
      </c>
      <c r="AF6" s="381">
        <f t="shared" si="12"/>
        <v>0</v>
      </c>
      <c r="AG6" s="177">
        <f t="shared" si="12"/>
        <v>0</v>
      </c>
      <c r="AH6" s="177">
        <f t="shared" ref="AH6:AH15" si="21">AG6+AF6</f>
        <v>0</v>
      </c>
      <c r="AI6" s="177">
        <f t="shared" ref="AI6:AJ15" si="22">AI5+E6</f>
        <v>0</v>
      </c>
      <c r="AJ6" s="177">
        <f t="shared" si="22"/>
        <v>0</v>
      </c>
      <c r="AK6" s="177">
        <f t="shared" ref="AK6:AK15" si="23">AJ6+AI6</f>
        <v>0</v>
      </c>
      <c r="AL6" s="177">
        <f t="shared" si="13"/>
        <v>0</v>
      </c>
      <c r="AM6" s="177">
        <f t="shared" si="13"/>
        <v>0</v>
      </c>
      <c r="AN6" s="177">
        <f t="shared" ref="AN6:AN15" si="24">AM6+AL6</f>
        <v>0</v>
      </c>
      <c r="AO6" s="177">
        <f t="shared" si="14"/>
        <v>0</v>
      </c>
      <c r="AP6" s="177">
        <f t="shared" si="14"/>
        <v>0</v>
      </c>
      <c r="AQ6" s="177">
        <f t="shared" ref="AQ6:AQ15" si="25">AP6+AO6</f>
        <v>0</v>
      </c>
      <c r="AR6" s="177">
        <f t="shared" si="15"/>
        <v>0</v>
      </c>
      <c r="AS6" s="177">
        <f t="shared" si="15"/>
        <v>0</v>
      </c>
      <c r="AT6" s="177">
        <f t="shared" ref="AT6:AT15" si="26">AS6+AR6</f>
        <v>0</v>
      </c>
      <c r="AU6" s="177">
        <f t="shared" si="16"/>
        <v>0</v>
      </c>
      <c r="AV6" s="177">
        <f t="shared" si="16"/>
        <v>0</v>
      </c>
      <c r="AW6" s="177">
        <f t="shared" si="17"/>
        <v>0</v>
      </c>
      <c r="AX6" s="177">
        <f t="shared" ref="AX6:AY15" si="27">AX5+T6</f>
        <v>0</v>
      </c>
      <c r="AY6" s="177">
        <f t="shared" si="27"/>
        <v>0</v>
      </c>
      <c r="AZ6" s="177">
        <f t="shared" ref="AZ6:AZ15" si="28">SUM(AX6:AY6)</f>
        <v>0</v>
      </c>
      <c r="BA6" s="177">
        <f t="shared" si="18"/>
        <v>0</v>
      </c>
      <c r="BB6" s="177">
        <f t="shared" si="18"/>
        <v>0</v>
      </c>
      <c r="BC6" s="382">
        <f t="shared" si="19"/>
        <v>0</v>
      </c>
      <c r="BD6" s="384"/>
    </row>
    <row r="7" spans="1:56" ht="15.75" hidden="1" thickBot="1">
      <c r="A7" s="170">
        <v>40269</v>
      </c>
      <c r="B7" s="378">
        <v>0</v>
      </c>
      <c r="C7" s="3">
        <v>0</v>
      </c>
      <c r="D7" s="3">
        <f t="shared" si="0"/>
        <v>0</v>
      </c>
      <c r="E7" s="3">
        <f t="shared" si="1"/>
        <v>0</v>
      </c>
      <c r="F7" s="3">
        <v>0</v>
      </c>
      <c r="G7" s="3">
        <f t="shared" si="2"/>
        <v>0</v>
      </c>
      <c r="H7" s="3">
        <v>0</v>
      </c>
      <c r="I7" s="3">
        <v>0</v>
      </c>
      <c r="J7" s="3">
        <f t="shared" si="3"/>
        <v>0</v>
      </c>
      <c r="K7" s="3">
        <v>0</v>
      </c>
      <c r="L7" s="3">
        <v>0</v>
      </c>
      <c r="M7" s="3">
        <f t="shared" si="4"/>
        <v>0</v>
      </c>
      <c r="N7" s="3">
        <f t="shared" si="5"/>
        <v>0</v>
      </c>
      <c r="O7" s="3">
        <v>0</v>
      </c>
      <c r="P7" s="3">
        <f t="shared" si="6"/>
        <v>0</v>
      </c>
      <c r="Q7" s="3">
        <v>0</v>
      </c>
      <c r="R7" s="3">
        <v>0</v>
      </c>
      <c r="S7" s="3">
        <f t="shared" si="7"/>
        <v>0</v>
      </c>
      <c r="T7" s="3">
        <v>0</v>
      </c>
      <c r="U7" s="3">
        <v>0</v>
      </c>
      <c r="V7" s="3">
        <f t="shared" si="8"/>
        <v>0</v>
      </c>
      <c r="W7" s="3">
        <f t="shared" si="9"/>
        <v>0</v>
      </c>
      <c r="X7" s="3">
        <f t="shared" si="9"/>
        <v>0</v>
      </c>
      <c r="Y7" s="379">
        <f t="shared" si="10"/>
        <v>0</v>
      </c>
      <c r="Z7" s="3">
        <v>0</v>
      </c>
      <c r="AA7" s="3">
        <v>0</v>
      </c>
      <c r="AB7" s="380">
        <f t="shared" si="11"/>
        <v>0</v>
      </c>
      <c r="AC7" s="3">
        <v>0</v>
      </c>
      <c r="AD7" s="3">
        <v>0</v>
      </c>
      <c r="AE7" s="380">
        <f t="shared" si="20"/>
        <v>0</v>
      </c>
      <c r="AF7" s="381">
        <f t="shared" si="12"/>
        <v>0</v>
      </c>
      <c r="AG7" s="177">
        <f t="shared" si="12"/>
        <v>0</v>
      </c>
      <c r="AH7" s="177">
        <f t="shared" si="21"/>
        <v>0</v>
      </c>
      <c r="AI7" s="177">
        <f t="shared" si="22"/>
        <v>0</v>
      </c>
      <c r="AJ7" s="177">
        <f t="shared" si="22"/>
        <v>0</v>
      </c>
      <c r="AK7" s="177">
        <f t="shared" si="23"/>
        <v>0</v>
      </c>
      <c r="AL7" s="177">
        <f t="shared" si="13"/>
        <v>0</v>
      </c>
      <c r="AM7" s="177">
        <f t="shared" si="13"/>
        <v>0</v>
      </c>
      <c r="AN7" s="177">
        <f t="shared" si="24"/>
        <v>0</v>
      </c>
      <c r="AO7" s="177">
        <f t="shared" si="14"/>
        <v>0</v>
      </c>
      <c r="AP7" s="177">
        <f t="shared" si="14"/>
        <v>0</v>
      </c>
      <c r="AQ7" s="177">
        <f t="shared" si="25"/>
        <v>0</v>
      </c>
      <c r="AR7" s="177">
        <f t="shared" si="15"/>
        <v>0</v>
      </c>
      <c r="AS7" s="177">
        <f t="shared" si="15"/>
        <v>0</v>
      </c>
      <c r="AT7" s="177">
        <f t="shared" si="26"/>
        <v>0</v>
      </c>
      <c r="AU7" s="177">
        <f t="shared" si="16"/>
        <v>0</v>
      </c>
      <c r="AV7" s="177">
        <f t="shared" si="16"/>
        <v>0</v>
      </c>
      <c r="AW7" s="177">
        <f t="shared" si="17"/>
        <v>0</v>
      </c>
      <c r="AX7" s="177">
        <f t="shared" si="27"/>
        <v>0</v>
      </c>
      <c r="AY7" s="177">
        <f t="shared" si="27"/>
        <v>0</v>
      </c>
      <c r="AZ7" s="177">
        <f t="shared" si="28"/>
        <v>0</v>
      </c>
      <c r="BA7" s="177">
        <f t="shared" si="18"/>
        <v>0</v>
      </c>
      <c r="BB7" s="177">
        <f t="shared" si="18"/>
        <v>0</v>
      </c>
      <c r="BC7" s="382">
        <f t="shared" si="19"/>
        <v>0</v>
      </c>
    </row>
    <row r="8" spans="1:56" ht="15.75" hidden="1" thickBot="1">
      <c r="A8" s="170">
        <v>40299</v>
      </c>
      <c r="B8" s="378">
        <v>0</v>
      </c>
      <c r="C8" s="3">
        <v>0</v>
      </c>
      <c r="D8" s="3">
        <f t="shared" si="0"/>
        <v>0</v>
      </c>
      <c r="E8" s="3">
        <f t="shared" si="1"/>
        <v>0</v>
      </c>
      <c r="F8" s="3">
        <v>0</v>
      </c>
      <c r="G8" s="3">
        <f t="shared" si="2"/>
        <v>0</v>
      </c>
      <c r="H8" s="3">
        <v>0</v>
      </c>
      <c r="I8" s="3">
        <v>0</v>
      </c>
      <c r="J8" s="3">
        <f t="shared" si="3"/>
        <v>0</v>
      </c>
      <c r="K8" s="3">
        <v>0</v>
      </c>
      <c r="L8" s="3">
        <v>0</v>
      </c>
      <c r="M8" s="3">
        <f t="shared" si="4"/>
        <v>0</v>
      </c>
      <c r="N8" s="3">
        <f t="shared" si="5"/>
        <v>0</v>
      </c>
      <c r="O8" s="3">
        <v>0</v>
      </c>
      <c r="P8" s="3">
        <f t="shared" si="6"/>
        <v>0</v>
      </c>
      <c r="Q8" s="3">
        <v>0</v>
      </c>
      <c r="R8" s="3">
        <v>0</v>
      </c>
      <c r="S8" s="3">
        <f t="shared" si="7"/>
        <v>0</v>
      </c>
      <c r="T8" s="3">
        <v>0</v>
      </c>
      <c r="U8" s="3">
        <v>0</v>
      </c>
      <c r="V8" s="3">
        <f t="shared" si="8"/>
        <v>0</v>
      </c>
      <c r="W8" s="3">
        <f t="shared" si="9"/>
        <v>0</v>
      </c>
      <c r="X8" s="3">
        <f t="shared" si="9"/>
        <v>0</v>
      </c>
      <c r="Y8" s="379">
        <f t="shared" si="10"/>
        <v>0</v>
      </c>
      <c r="Z8" s="3">
        <v>0</v>
      </c>
      <c r="AA8" s="3">
        <v>0</v>
      </c>
      <c r="AB8" s="380">
        <f t="shared" si="11"/>
        <v>0</v>
      </c>
      <c r="AC8" s="3">
        <v>0</v>
      </c>
      <c r="AD8" s="3">
        <v>0</v>
      </c>
      <c r="AE8" s="380">
        <f t="shared" si="20"/>
        <v>0</v>
      </c>
      <c r="AF8" s="381">
        <f t="shared" si="12"/>
        <v>0</v>
      </c>
      <c r="AG8" s="177">
        <f t="shared" si="12"/>
        <v>0</v>
      </c>
      <c r="AH8" s="177">
        <f t="shared" si="21"/>
        <v>0</v>
      </c>
      <c r="AI8" s="177">
        <f t="shared" si="22"/>
        <v>0</v>
      </c>
      <c r="AJ8" s="177">
        <f t="shared" si="22"/>
        <v>0</v>
      </c>
      <c r="AK8" s="177">
        <f t="shared" si="23"/>
        <v>0</v>
      </c>
      <c r="AL8" s="177">
        <f t="shared" si="13"/>
        <v>0</v>
      </c>
      <c r="AM8" s="177">
        <f t="shared" si="13"/>
        <v>0</v>
      </c>
      <c r="AN8" s="177">
        <f t="shared" si="24"/>
        <v>0</v>
      </c>
      <c r="AO8" s="177">
        <f t="shared" si="14"/>
        <v>0</v>
      </c>
      <c r="AP8" s="177">
        <f t="shared" si="14"/>
        <v>0</v>
      </c>
      <c r="AQ8" s="177">
        <f t="shared" si="25"/>
        <v>0</v>
      </c>
      <c r="AR8" s="177">
        <f t="shared" si="15"/>
        <v>0</v>
      </c>
      <c r="AS8" s="177">
        <f t="shared" si="15"/>
        <v>0</v>
      </c>
      <c r="AT8" s="177">
        <f t="shared" si="26"/>
        <v>0</v>
      </c>
      <c r="AU8" s="177">
        <f t="shared" si="16"/>
        <v>0</v>
      </c>
      <c r="AV8" s="177">
        <f t="shared" si="16"/>
        <v>0</v>
      </c>
      <c r="AW8" s="177">
        <f t="shared" si="17"/>
        <v>0</v>
      </c>
      <c r="AX8" s="177">
        <f t="shared" si="27"/>
        <v>0</v>
      </c>
      <c r="AY8" s="177">
        <f t="shared" si="27"/>
        <v>0</v>
      </c>
      <c r="AZ8" s="177">
        <f t="shared" si="28"/>
        <v>0</v>
      </c>
      <c r="BA8" s="177">
        <f t="shared" si="18"/>
        <v>0</v>
      </c>
      <c r="BB8" s="177">
        <f t="shared" si="18"/>
        <v>0</v>
      </c>
      <c r="BC8" s="382">
        <f t="shared" si="19"/>
        <v>0</v>
      </c>
    </row>
    <row r="9" spans="1:56" ht="15.75" hidden="1" thickBot="1">
      <c r="A9" s="170">
        <v>40330</v>
      </c>
      <c r="B9" s="378">
        <v>0</v>
      </c>
      <c r="C9" s="3">
        <v>0</v>
      </c>
      <c r="D9" s="3">
        <f t="shared" si="0"/>
        <v>0</v>
      </c>
      <c r="E9" s="3">
        <f t="shared" si="1"/>
        <v>0</v>
      </c>
      <c r="F9" s="3">
        <v>0</v>
      </c>
      <c r="G9" s="3">
        <f t="shared" si="2"/>
        <v>0</v>
      </c>
      <c r="H9" s="3">
        <v>0</v>
      </c>
      <c r="I9" s="3">
        <v>0</v>
      </c>
      <c r="J9" s="3">
        <f t="shared" si="3"/>
        <v>0</v>
      </c>
      <c r="K9" s="3">
        <v>0</v>
      </c>
      <c r="L9" s="3">
        <v>0</v>
      </c>
      <c r="M9" s="3">
        <f t="shared" si="4"/>
        <v>0</v>
      </c>
      <c r="N9" s="3">
        <f t="shared" si="5"/>
        <v>0</v>
      </c>
      <c r="O9" s="3">
        <v>0</v>
      </c>
      <c r="P9" s="3">
        <f t="shared" si="6"/>
        <v>0</v>
      </c>
      <c r="Q9" s="3">
        <v>0</v>
      </c>
      <c r="R9" s="3">
        <v>0</v>
      </c>
      <c r="S9" s="3">
        <f t="shared" si="7"/>
        <v>0</v>
      </c>
      <c r="T9" s="3">
        <v>0</v>
      </c>
      <c r="U9" s="3">
        <v>0</v>
      </c>
      <c r="V9" s="3">
        <f t="shared" si="8"/>
        <v>0</v>
      </c>
      <c r="W9" s="3">
        <f t="shared" si="9"/>
        <v>0</v>
      </c>
      <c r="X9" s="3">
        <f t="shared" si="9"/>
        <v>0</v>
      </c>
      <c r="Y9" s="379">
        <f t="shared" si="10"/>
        <v>0</v>
      </c>
      <c r="Z9" s="3">
        <v>0</v>
      </c>
      <c r="AA9" s="3">
        <v>0</v>
      </c>
      <c r="AB9" s="380">
        <f t="shared" si="11"/>
        <v>0</v>
      </c>
      <c r="AC9" s="3">
        <v>0</v>
      </c>
      <c r="AD9" s="3">
        <v>0</v>
      </c>
      <c r="AE9" s="380">
        <f t="shared" si="20"/>
        <v>0</v>
      </c>
      <c r="AF9" s="381">
        <f t="shared" si="12"/>
        <v>0</v>
      </c>
      <c r="AG9" s="177">
        <f t="shared" si="12"/>
        <v>0</v>
      </c>
      <c r="AH9" s="177">
        <f t="shared" si="21"/>
        <v>0</v>
      </c>
      <c r="AI9" s="177">
        <f t="shared" si="22"/>
        <v>0</v>
      </c>
      <c r="AJ9" s="177">
        <f t="shared" si="22"/>
        <v>0</v>
      </c>
      <c r="AK9" s="177">
        <f t="shared" si="23"/>
        <v>0</v>
      </c>
      <c r="AL9" s="177">
        <f t="shared" si="13"/>
        <v>0</v>
      </c>
      <c r="AM9" s="177">
        <f t="shared" si="13"/>
        <v>0</v>
      </c>
      <c r="AN9" s="177">
        <f t="shared" si="24"/>
        <v>0</v>
      </c>
      <c r="AO9" s="177">
        <f t="shared" si="14"/>
        <v>0</v>
      </c>
      <c r="AP9" s="177">
        <f t="shared" si="14"/>
        <v>0</v>
      </c>
      <c r="AQ9" s="177">
        <f t="shared" si="25"/>
        <v>0</v>
      </c>
      <c r="AR9" s="177">
        <f t="shared" si="15"/>
        <v>0</v>
      </c>
      <c r="AS9" s="177">
        <f t="shared" si="15"/>
        <v>0</v>
      </c>
      <c r="AT9" s="177">
        <f t="shared" si="26"/>
        <v>0</v>
      </c>
      <c r="AU9" s="177">
        <f t="shared" si="16"/>
        <v>0</v>
      </c>
      <c r="AV9" s="177">
        <f t="shared" si="16"/>
        <v>0</v>
      </c>
      <c r="AW9" s="177">
        <f t="shared" si="17"/>
        <v>0</v>
      </c>
      <c r="AX9" s="177">
        <f t="shared" si="27"/>
        <v>0</v>
      </c>
      <c r="AY9" s="177">
        <f t="shared" si="27"/>
        <v>0</v>
      </c>
      <c r="AZ9" s="177">
        <f t="shared" si="28"/>
        <v>0</v>
      </c>
      <c r="BA9" s="177">
        <f t="shared" si="18"/>
        <v>0</v>
      </c>
      <c r="BB9" s="177">
        <f t="shared" si="18"/>
        <v>0</v>
      </c>
      <c r="BC9" s="382">
        <f t="shared" si="19"/>
        <v>0</v>
      </c>
    </row>
    <row r="10" spans="1:56" ht="15.75" hidden="1" thickBot="1">
      <c r="A10" s="170">
        <v>40360</v>
      </c>
      <c r="B10" s="378">
        <v>347397</v>
      </c>
      <c r="C10" s="3">
        <v>0</v>
      </c>
      <c r="D10" s="3">
        <f t="shared" si="0"/>
        <v>347397</v>
      </c>
      <c r="E10" s="3">
        <f t="shared" si="1"/>
        <v>531710</v>
      </c>
      <c r="F10" s="3">
        <v>0</v>
      </c>
      <c r="G10" s="3">
        <f t="shared" si="2"/>
        <v>531710</v>
      </c>
      <c r="H10" s="3">
        <v>663032</v>
      </c>
      <c r="I10" s="3">
        <v>0</v>
      </c>
      <c r="J10" s="3">
        <f t="shared" si="3"/>
        <v>663032</v>
      </c>
      <c r="K10" s="3">
        <v>0</v>
      </c>
      <c r="L10" s="3">
        <v>0</v>
      </c>
      <c r="M10" s="3">
        <f t="shared" si="4"/>
        <v>0</v>
      </c>
      <c r="N10" s="3">
        <f t="shared" si="5"/>
        <v>0</v>
      </c>
      <c r="O10" s="3">
        <v>0</v>
      </c>
      <c r="P10" s="3">
        <f t="shared" si="6"/>
        <v>0</v>
      </c>
      <c r="Q10" s="3">
        <v>0</v>
      </c>
      <c r="R10" s="3">
        <v>0</v>
      </c>
      <c r="S10" s="3">
        <f t="shared" si="7"/>
        <v>0</v>
      </c>
      <c r="T10" s="3">
        <v>0</v>
      </c>
      <c r="U10" s="3">
        <v>0</v>
      </c>
      <c r="V10" s="3">
        <f t="shared" si="8"/>
        <v>0</v>
      </c>
      <c r="W10" s="3">
        <f t="shared" si="9"/>
        <v>1542139</v>
      </c>
      <c r="X10" s="3">
        <f t="shared" si="9"/>
        <v>0</v>
      </c>
      <c r="Y10" s="379">
        <f t="shared" si="10"/>
        <v>1542139</v>
      </c>
      <c r="Z10" s="3">
        <v>60420</v>
      </c>
      <c r="AA10" s="3">
        <v>471290</v>
      </c>
      <c r="AB10" s="380">
        <f t="shared" si="11"/>
        <v>531710</v>
      </c>
      <c r="AC10" s="3">
        <v>0</v>
      </c>
      <c r="AD10" s="3">
        <v>0</v>
      </c>
      <c r="AE10" s="380">
        <f t="shared" si="20"/>
        <v>0</v>
      </c>
      <c r="AF10" s="381">
        <f t="shared" si="12"/>
        <v>347397</v>
      </c>
      <c r="AG10" s="177">
        <f t="shared" si="12"/>
        <v>0</v>
      </c>
      <c r="AH10" s="177">
        <f t="shared" si="21"/>
        <v>347397</v>
      </c>
      <c r="AI10" s="177">
        <f t="shared" si="22"/>
        <v>531710</v>
      </c>
      <c r="AJ10" s="177">
        <f t="shared" si="22"/>
        <v>0</v>
      </c>
      <c r="AK10" s="177">
        <f t="shared" si="23"/>
        <v>531710</v>
      </c>
      <c r="AL10" s="177">
        <f t="shared" si="13"/>
        <v>663032</v>
      </c>
      <c r="AM10" s="177">
        <f t="shared" si="13"/>
        <v>0</v>
      </c>
      <c r="AN10" s="177">
        <f t="shared" si="24"/>
        <v>663032</v>
      </c>
      <c r="AO10" s="177">
        <f t="shared" si="14"/>
        <v>0</v>
      </c>
      <c r="AP10" s="177">
        <f t="shared" si="14"/>
        <v>0</v>
      </c>
      <c r="AQ10" s="177">
        <f t="shared" si="25"/>
        <v>0</v>
      </c>
      <c r="AR10" s="177">
        <f t="shared" si="15"/>
        <v>0</v>
      </c>
      <c r="AS10" s="177">
        <f t="shared" si="15"/>
        <v>0</v>
      </c>
      <c r="AT10" s="177">
        <f t="shared" si="26"/>
        <v>0</v>
      </c>
      <c r="AU10" s="177">
        <f t="shared" si="16"/>
        <v>0</v>
      </c>
      <c r="AV10" s="177">
        <f t="shared" si="16"/>
        <v>0</v>
      </c>
      <c r="AW10" s="177">
        <f t="shared" si="17"/>
        <v>0</v>
      </c>
      <c r="AX10" s="177">
        <f t="shared" si="27"/>
        <v>0</v>
      </c>
      <c r="AY10" s="177">
        <f t="shared" si="27"/>
        <v>0</v>
      </c>
      <c r="AZ10" s="177">
        <f t="shared" si="28"/>
        <v>0</v>
      </c>
      <c r="BA10" s="177">
        <f t="shared" si="18"/>
        <v>1542139</v>
      </c>
      <c r="BB10" s="177">
        <f t="shared" si="18"/>
        <v>0</v>
      </c>
      <c r="BC10" s="382">
        <f t="shared" si="19"/>
        <v>1542139</v>
      </c>
    </row>
    <row r="11" spans="1:56" ht="15.75" hidden="1" thickBot="1">
      <c r="A11" s="170">
        <v>40391</v>
      </c>
      <c r="B11" s="378">
        <v>373169</v>
      </c>
      <c r="C11" s="3">
        <v>0</v>
      </c>
      <c r="D11" s="3">
        <f t="shared" si="0"/>
        <v>373169</v>
      </c>
      <c r="E11" s="3">
        <f t="shared" si="1"/>
        <v>1226079</v>
      </c>
      <c r="F11" s="3">
        <v>0</v>
      </c>
      <c r="G11" s="3">
        <f t="shared" si="2"/>
        <v>1226079</v>
      </c>
      <c r="H11" s="3">
        <v>1336309</v>
      </c>
      <c r="I11" s="3">
        <v>0</v>
      </c>
      <c r="J11" s="3">
        <f t="shared" si="3"/>
        <v>1336309</v>
      </c>
      <c r="K11" s="3">
        <v>0</v>
      </c>
      <c r="L11" s="3">
        <v>0</v>
      </c>
      <c r="M11" s="3">
        <f t="shared" si="4"/>
        <v>0</v>
      </c>
      <c r="N11" s="3">
        <f t="shared" si="5"/>
        <v>0</v>
      </c>
      <c r="O11" s="3">
        <v>0</v>
      </c>
      <c r="P11" s="3">
        <f t="shared" si="6"/>
        <v>0</v>
      </c>
      <c r="Q11" s="3">
        <v>0</v>
      </c>
      <c r="R11" s="3">
        <v>0</v>
      </c>
      <c r="S11" s="3">
        <f t="shared" si="7"/>
        <v>0</v>
      </c>
      <c r="T11" s="3">
        <v>0</v>
      </c>
      <c r="U11" s="3">
        <v>0</v>
      </c>
      <c r="V11" s="3">
        <f t="shared" si="8"/>
        <v>0</v>
      </c>
      <c r="W11" s="3">
        <f t="shared" si="9"/>
        <v>2935557</v>
      </c>
      <c r="X11" s="3">
        <f t="shared" si="9"/>
        <v>0</v>
      </c>
      <c r="Y11" s="379">
        <f t="shared" si="10"/>
        <v>2935557</v>
      </c>
      <c r="Z11" s="3">
        <v>252309</v>
      </c>
      <c r="AA11" s="3">
        <v>973770</v>
      </c>
      <c r="AB11" s="380">
        <f t="shared" si="11"/>
        <v>1226079</v>
      </c>
      <c r="AC11" s="3">
        <v>0</v>
      </c>
      <c r="AD11" s="3">
        <v>0</v>
      </c>
      <c r="AE11" s="380">
        <f t="shared" si="20"/>
        <v>0</v>
      </c>
      <c r="AF11" s="381">
        <f t="shared" si="12"/>
        <v>720566</v>
      </c>
      <c r="AG11" s="177">
        <f t="shared" si="12"/>
        <v>0</v>
      </c>
      <c r="AH11" s="177">
        <f t="shared" si="21"/>
        <v>720566</v>
      </c>
      <c r="AI11" s="177">
        <f t="shared" si="22"/>
        <v>1757789</v>
      </c>
      <c r="AJ11" s="177">
        <f t="shared" si="22"/>
        <v>0</v>
      </c>
      <c r="AK11" s="177">
        <f t="shared" si="23"/>
        <v>1757789</v>
      </c>
      <c r="AL11" s="177">
        <f t="shared" si="13"/>
        <v>1999341</v>
      </c>
      <c r="AM11" s="177">
        <f t="shared" si="13"/>
        <v>0</v>
      </c>
      <c r="AN11" s="177">
        <f t="shared" si="24"/>
        <v>1999341</v>
      </c>
      <c r="AO11" s="177">
        <f t="shared" si="14"/>
        <v>0</v>
      </c>
      <c r="AP11" s="177">
        <f t="shared" si="14"/>
        <v>0</v>
      </c>
      <c r="AQ11" s="177">
        <f t="shared" si="25"/>
        <v>0</v>
      </c>
      <c r="AR11" s="177">
        <f t="shared" si="15"/>
        <v>0</v>
      </c>
      <c r="AS11" s="177">
        <f t="shared" si="15"/>
        <v>0</v>
      </c>
      <c r="AT11" s="177">
        <f t="shared" si="26"/>
        <v>0</v>
      </c>
      <c r="AU11" s="177">
        <f t="shared" si="16"/>
        <v>0</v>
      </c>
      <c r="AV11" s="177">
        <f t="shared" si="16"/>
        <v>0</v>
      </c>
      <c r="AW11" s="177">
        <f t="shared" si="17"/>
        <v>0</v>
      </c>
      <c r="AX11" s="177">
        <f t="shared" si="27"/>
        <v>0</v>
      </c>
      <c r="AY11" s="177">
        <f t="shared" si="27"/>
        <v>0</v>
      </c>
      <c r="AZ11" s="177">
        <f t="shared" si="28"/>
        <v>0</v>
      </c>
      <c r="BA11" s="177">
        <f t="shared" si="18"/>
        <v>4477696</v>
      </c>
      <c r="BB11" s="177">
        <f t="shared" si="18"/>
        <v>0</v>
      </c>
      <c r="BC11" s="382">
        <f t="shared" si="19"/>
        <v>4477696</v>
      </c>
    </row>
    <row r="12" spans="1:56" ht="15.75" hidden="1" thickBot="1">
      <c r="A12" s="170">
        <v>40422</v>
      </c>
      <c r="B12" s="378">
        <v>320813</v>
      </c>
      <c r="C12" s="3">
        <v>0</v>
      </c>
      <c r="D12" s="3">
        <f t="shared" si="0"/>
        <v>320813</v>
      </c>
      <c r="E12" s="3">
        <f t="shared" si="1"/>
        <v>1605551</v>
      </c>
      <c r="F12" s="3">
        <v>0</v>
      </c>
      <c r="G12" s="3">
        <f t="shared" si="2"/>
        <v>1605551</v>
      </c>
      <c r="H12" s="3">
        <v>1226281</v>
      </c>
      <c r="I12" s="3">
        <v>0</v>
      </c>
      <c r="J12" s="3">
        <f t="shared" si="3"/>
        <v>1226281</v>
      </c>
      <c r="K12" s="3">
        <v>0</v>
      </c>
      <c r="L12" s="3">
        <v>0</v>
      </c>
      <c r="M12" s="3">
        <f t="shared" si="4"/>
        <v>0</v>
      </c>
      <c r="N12" s="3">
        <f t="shared" si="5"/>
        <v>0</v>
      </c>
      <c r="O12" s="3">
        <v>0</v>
      </c>
      <c r="P12" s="3">
        <f t="shared" si="6"/>
        <v>0</v>
      </c>
      <c r="Q12" s="3">
        <v>0</v>
      </c>
      <c r="R12" s="3">
        <v>0</v>
      </c>
      <c r="S12" s="3">
        <f t="shared" si="7"/>
        <v>0</v>
      </c>
      <c r="T12" s="3">
        <v>0</v>
      </c>
      <c r="U12" s="3">
        <v>0</v>
      </c>
      <c r="V12" s="3">
        <f t="shared" si="8"/>
        <v>0</v>
      </c>
      <c r="W12" s="3">
        <f t="shared" si="9"/>
        <v>3152645</v>
      </c>
      <c r="X12" s="3">
        <f t="shared" si="9"/>
        <v>0</v>
      </c>
      <c r="Y12" s="379">
        <f t="shared" si="10"/>
        <v>3152645</v>
      </c>
      <c r="Z12" s="3">
        <v>796780</v>
      </c>
      <c r="AA12" s="3">
        <v>808771</v>
      </c>
      <c r="AB12" s="380">
        <f t="shared" si="11"/>
        <v>1605551</v>
      </c>
      <c r="AC12" s="3">
        <v>0</v>
      </c>
      <c r="AD12" s="3">
        <v>0</v>
      </c>
      <c r="AE12" s="380">
        <f t="shared" si="20"/>
        <v>0</v>
      </c>
      <c r="AF12" s="381">
        <f t="shared" si="12"/>
        <v>1041379</v>
      </c>
      <c r="AG12" s="177">
        <f t="shared" si="12"/>
        <v>0</v>
      </c>
      <c r="AH12" s="177">
        <f t="shared" si="21"/>
        <v>1041379</v>
      </c>
      <c r="AI12" s="177">
        <f t="shared" si="22"/>
        <v>3363340</v>
      </c>
      <c r="AJ12" s="177">
        <f t="shared" si="22"/>
        <v>0</v>
      </c>
      <c r="AK12" s="177">
        <f t="shared" si="23"/>
        <v>3363340</v>
      </c>
      <c r="AL12" s="177">
        <f t="shared" si="13"/>
        <v>3225622</v>
      </c>
      <c r="AM12" s="177">
        <f t="shared" si="13"/>
        <v>0</v>
      </c>
      <c r="AN12" s="177">
        <f t="shared" si="24"/>
        <v>3225622</v>
      </c>
      <c r="AO12" s="177">
        <f t="shared" si="14"/>
        <v>0</v>
      </c>
      <c r="AP12" s="177">
        <f t="shared" si="14"/>
        <v>0</v>
      </c>
      <c r="AQ12" s="177">
        <f t="shared" si="25"/>
        <v>0</v>
      </c>
      <c r="AR12" s="177">
        <f t="shared" si="15"/>
        <v>0</v>
      </c>
      <c r="AS12" s="177">
        <f t="shared" si="15"/>
        <v>0</v>
      </c>
      <c r="AT12" s="177">
        <f t="shared" si="26"/>
        <v>0</v>
      </c>
      <c r="AU12" s="177">
        <f t="shared" si="16"/>
        <v>0</v>
      </c>
      <c r="AV12" s="177">
        <f t="shared" si="16"/>
        <v>0</v>
      </c>
      <c r="AW12" s="177">
        <f t="shared" si="17"/>
        <v>0</v>
      </c>
      <c r="AX12" s="177">
        <f t="shared" si="27"/>
        <v>0</v>
      </c>
      <c r="AY12" s="177">
        <f t="shared" si="27"/>
        <v>0</v>
      </c>
      <c r="AZ12" s="177">
        <f t="shared" si="28"/>
        <v>0</v>
      </c>
      <c r="BA12" s="177">
        <f t="shared" si="18"/>
        <v>7630341</v>
      </c>
      <c r="BB12" s="177">
        <f t="shared" si="18"/>
        <v>0</v>
      </c>
      <c r="BC12" s="382">
        <f t="shared" si="19"/>
        <v>7630341</v>
      </c>
    </row>
    <row r="13" spans="1:56" ht="15.75" hidden="1" thickBot="1">
      <c r="A13" s="170">
        <v>40452</v>
      </c>
      <c r="B13" s="378">
        <v>338770</v>
      </c>
      <c r="C13" s="3">
        <v>0</v>
      </c>
      <c r="D13" s="3">
        <f t="shared" si="0"/>
        <v>338770</v>
      </c>
      <c r="E13" s="3">
        <f t="shared" si="1"/>
        <v>2354841</v>
      </c>
      <c r="F13" s="3">
        <v>0</v>
      </c>
      <c r="G13" s="3">
        <f t="shared" si="2"/>
        <v>2354841</v>
      </c>
      <c r="H13" s="3">
        <v>2311149</v>
      </c>
      <c r="I13" s="3">
        <v>0</v>
      </c>
      <c r="J13" s="3">
        <f t="shared" si="3"/>
        <v>2311149</v>
      </c>
      <c r="K13" s="3">
        <v>0</v>
      </c>
      <c r="L13" s="3">
        <v>0</v>
      </c>
      <c r="M13" s="3">
        <f t="shared" si="4"/>
        <v>0</v>
      </c>
      <c r="N13" s="3">
        <f t="shared" si="5"/>
        <v>0</v>
      </c>
      <c r="O13" s="3">
        <v>0</v>
      </c>
      <c r="P13" s="3">
        <f t="shared" si="6"/>
        <v>0</v>
      </c>
      <c r="Q13" s="3">
        <v>0</v>
      </c>
      <c r="R13" s="3">
        <v>0</v>
      </c>
      <c r="S13" s="3">
        <f t="shared" si="7"/>
        <v>0</v>
      </c>
      <c r="T13" s="3">
        <v>0</v>
      </c>
      <c r="U13" s="3">
        <v>0</v>
      </c>
      <c r="V13" s="3">
        <f t="shared" si="8"/>
        <v>0</v>
      </c>
      <c r="W13" s="3">
        <f t="shared" si="9"/>
        <v>5004760</v>
      </c>
      <c r="X13" s="3">
        <f t="shared" si="9"/>
        <v>0</v>
      </c>
      <c r="Y13" s="379">
        <f t="shared" si="10"/>
        <v>5004760</v>
      </c>
      <c r="Z13" s="3">
        <v>1867398</v>
      </c>
      <c r="AA13" s="3">
        <v>487443</v>
      </c>
      <c r="AB13" s="380">
        <f t="shared" si="11"/>
        <v>2354841</v>
      </c>
      <c r="AC13" s="3">
        <v>0</v>
      </c>
      <c r="AD13" s="3">
        <v>0</v>
      </c>
      <c r="AE13" s="380">
        <f t="shared" si="20"/>
        <v>0</v>
      </c>
      <c r="AF13" s="381">
        <f t="shared" si="12"/>
        <v>1380149</v>
      </c>
      <c r="AG13" s="177">
        <f t="shared" si="12"/>
        <v>0</v>
      </c>
      <c r="AH13" s="177">
        <f t="shared" si="21"/>
        <v>1380149</v>
      </c>
      <c r="AI13" s="177">
        <f t="shared" si="22"/>
        <v>5718181</v>
      </c>
      <c r="AJ13" s="177">
        <f t="shared" si="22"/>
        <v>0</v>
      </c>
      <c r="AK13" s="177">
        <f t="shared" si="23"/>
        <v>5718181</v>
      </c>
      <c r="AL13" s="177">
        <f t="shared" si="13"/>
        <v>5536771</v>
      </c>
      <c r="AM13" s="177">
        <f t="shared" si="13"/>
        <v>0</v>
      </c>
      <c r="AN13" s="177">
        <f t="shared" si="24"/>
        <v>5536771</v>
      </c>
      <c r="AO13" s="177">
        <f t="shared" si="14"/>
        <v>0</v>
      </c>
      <c r="AP13" s="177">
        <f t="shared" si="14"/>
        <v>0</v>
      </c>
      <c r="AQ13" s="177">
        <f t="shared" si="25"/>
        <v>0</v>
      </c>
      <c r="AR13" s="177">
        <f t="shared" si="15"/>
        <v>0</v>
      </c>
      <c r="AS13" s="177">
        <f t="shared" si="15"/>
        <v>0</v>
      </c>
      <c r="AT13" s="177">
        <f t="shared" si="26"/>
        <v>0</v>
      </c>
      <c r="AU13" s="177">
        <f t="shared" si="16"/>
        <v>0</v>
      </c>
      <c r="AV13" s="177">
        <f t="shared" si="16"/>
        <v>0</v>
      </c>
      <c r="AW13" s="177">
        <f t="shared" si="17"/>
        <v>0</v>
      </c>
      <c r="AX13" s="177">
        <f t="shared" si="27"/>
        <v>0</v>
      </c>
      <c r="AY13" s="177">
        <f t="shared" si="27"/>
        <v>0</v>
      </c>
      <c r="AZ13" s="177">
        <f t="shared" si="28"/>
        <v>0</v>
      </c>
      <c r="BA13" s="177">
        <f t="shared" si="18"/>
        <v>12635101</v>
      </c>
      <c r="BB13" s="177">
        <f t="shared" si="18"/>
        <v>0</v>
      </c>
      <c r="BC13" s="382">
        <f t="shared" si="19"/>
        <v>12635101</v>
      </c>
    </row>
    <row r="14" spans="1:56" ht="15.75" hidden="1" thickBot="1">
      <c r="A14" s="170">
        <v>40483</v>
      </c>
      <c r="B14" s="378">
        <v>910657</v>
      </c>
      <c r="C14" s="3">
        <v>0</v>
      </c>
      <c r="D14" s="3">
        <f t="shared" si="0"/>
        <v>910657</v>
      </c>
      <c r="E14" s="3">
        <f t="shared" si="1"/>
        <v>3058663</v>
      </c>
      <c r="F14" s="3">
        <v>0</v>
      </c>
      <c r="G14" s="3">
        <f t="shared" si="2"/>
        <v>3058663</v>
      </c>
      <c r="H14" s="3">
        <v>3430279</v>
      </c>
      <c r="I14" s="3">
        <v>0</v>
      </c>
      <c r="J14" s="3">
        <f t="shared" si="3"/>
        <v>3430279</v>
      </c>
      <c r="K14" s="3">
        <v>0</v>
      </c>
      <c r="L14" s="3">
        <v>0</v>
      </c>
      <c r="M14" s="3">
        <f t="shared" si="4"/>
        <v>0</v>
      </c>
      <c r="N14" s="3">
        <f t="shared" si="5"/>
        <v>0</v>
      </c>
      <c r="O14" s="3">
        <v>0</v>
      </c>
      <c r="P14" s="3">
        <f t="shared" si="6"/>
        <v>0</v>
      </c>
      <c r="Q14" s="3">
        <v>0</v>
      </c>
      <c r="R14" s="3">
        <v>0</v>
      </c>
      <c r="S14" s="3">
        <f t="shared" si="7"/>
        <v>0</v>
      </c>
      <c r="T14" s="3">
        <v>0</v>
      </c>
      <c r="U14" s="3">
        <v>0</v>
      </c>
      <c r="V14" s="3">
        <f t="shared" si="8"/>
        <v>0</v>
      </c>
      <c r="W14" s="3">
        <f t="shared" si="9"/>
        <v>7399599</v>
      </c>
      <c r="X14" s="3">
        <f t="shared" si="9"/>
        <v>0</v>
      </c>
      <c r="Y14" s="379">
        <f t="shared" si="10"/>
        <v>7399599</v>
      </c>
      <c r="Z14" s="3">
        <v>2307174</v>
      </c>
      <c r="AA14" s="3">
        <v>751489</v>
      </c>
      <c r="AB14" s="380">
        <f t="shared" si="11"/>
        <v>3058663</v>
      </c>
      <c r="AC14" s="3">
        <v>0</v>
      </c>
      <c r="AD14" s="3">
        <v>0</v>
      </c>
      <c r="AE14" s="380">
        <f t="shared" si="20"/>
        <v>0</v>
      </c>
      <c r="AF14" s="381">
        <f t="shared" si="12"/>
        <v>2290806</v>
      </c>
      <c r="AG14" s="177">
        <f t="shared" si="12"/>
        <v>0</v>
      </c>
      <c r="AH14" s="177">
        <f t="shared" si="21"/>
        <v>2290806</v>
      </c>
      <c r="AI14" s="177">
        <f t="shared" si="22"/>
        <v>8776844</v>
      </c>
      <c r="AJ14" s="177">
        <f t="shared" si="22"/>
        <v>0</v>
      </c>
      <c r="AK14" s="177">
        <f t="shared" si="23"/>
        <v>8776844</v>
      </c>
      <c r="AL14" s="177">
        <f t="shared" si="13"/>
        <v>8967050</v>
      </c>
      <c r="AM14" s="177">
        <f t="shared" si="13"/>
        <v>0</v>
      </c>
      <c r="AN14" s="177">
        <f t="shared" si="24"/>
        <v>8967050</v>
      </c>
      <c r="AO14" s="177">
        <f t="shared" si="14"/>
        <v>0</v>
      </c>
      <c r="AP14" s="177">
        <f t="shared" si="14"/>
        <v>0</v>
      </c>
      <c r="AQ14" s="177">
        <f t="shared" si="25"/>
        <v>0</v>
      </c>
      <c r="AR14" s="177">
        <f t="shared" si="15"/>
        <v>0</v>
      </c>
      <c r="AS14" s="177">
        <f t="shared" si="15"/>
        <v>0</v>
      </c>
      <c r="AT14" s="177">
        <f t="shared" si="26"/>
        <v>0</v>
      </c>
      <c r="AU14" s="177">
        <f t="shared" si="16"/>
        <v>0</v>
      </c>
      <c r="AV14" s="177">
        <f t="shared" si="16"/>
        <v>0</v>
      </c>
      <c r="AW14" s="177">
        <f t="shared" si="17"/>
        <v>0</v>
      </c>
      <c r="AX14" s="177">
        <f t="shared" si="27"/>
        <v>0</v>
      </c>
      <c r="AY14" s="177">
        <f t="shared" si="27"/>
        <v>0</v>
      </c>
      <c r="AZ14" s="177">
        <f t="shared" si="28"/>
        <v>0</v>
      </c>
      <c r="BA14" s="177">
        <f t="shared" si="18"/>
        <v>20034700</v>
      </c>
      <c r="BB14" s="177">
        <f t="shared" si="18"/>
        <v>0</v>
      </c>
      <c r="BC14" s="382">
        <f t="shared" si="19"/>
        <v>20034700</v>
      </c>
    </row>
    <row r="15" spans="1:56" ht="15.75" hidden="1" thickBot="1">
      <c r="A15" s="170">
        <v>40513</v>
      </c>
      <c r="B15" s="378">
        <v>1752211</v>
      </c>
      <c r="C15" s="3">
        <v>0</v>
      </c>
      <c r="D15" s="3">
        <f t="shared" si="0"/>
        <v>1752211</v>
      </c>
      <c r="E15" s="3">
        <f t="shared" si="1"/>
        <v>3994602</v>
      </c>
      <c r="F15" s="3">
        <v>0</v>
      </c>
      <c r="G15" s="3">
        <f t="shared" si="2"/>
        <v>3994602</v>
      </c>
      <c r="H15" s="3">
        <v>2830119</v>
      </c>
      <c r="I15" s="3">
        <v>0</v>
      </c>
      <c r="J15" s="3">
        <f t="shared" si="3"/>
        <v>2830119</v>
      </c>
      <c r="K15" s="3">
        <v>0</v>
      </c>
      <c r="L15" s="3">
        <v>0</v>
      </c>
      <c r="M15" s="3">
        <f t="shared" si="4"/>
        <v>0</v>
      </c>
      <c r="N15" s="3">
        <f t="shared" si="5"/>
        <v>0</v>
      </c>
      <c r="O15" s="3">
        <v>0</v>
      </c>
      <c r="P15" s="3">
        <f t="shared" si="6"/>
        <v>0</v>
      </c>
      <c r="Q15" s="3">
        <v>0</v>
      </c>
      <c r="R15" s="3">
        <v>0</v>
      </c>
      <c r="S15" s="3">
        <f t="shared" si="7"/>
        <v>0</v>
      </c>
      <c r="T15" s="3">
        <v>0</v>
      </c>
      <c r="U15" s="3">
        <v>0</v>
      </c>
      <c r="V15" s="3">
        <f t="shared" si="8"/>
        <v>0</v>
      </c>
      <c r="W15" s="3">
        <f t="shared" si="9"/>
        <v>8576932</v>
      </c>
      <c r="X15" s="3">
        <f t="shared" si="9"/>
        <v>0</v>
      </c>
      <c r="Y15" s="379">
        <f t="shared" si="10"/>
        <v>8576932</v>
      </c>
      <c r="Z15" s="3">
        <v>2996022</v>
      </c>
      <c r="AA15" s="3">
        <v>998580</v>
      </c>
      <c r="AB15" s="380">
        <f t="shared" si="11"/>
        <v>3994602</v>
      </c>
      <c r="AC15" s="3">
        <v>0</v>
      </c>
      <c r="AD15" s="3">
        <v>0</v>
      </c>
      <c r="AE15" s="380">
        <f t="shared" si="20"/>
        <v>0</v>
      </c>
      <c r="AF15" s="381">
        <f t="shared" si="12"/>
        <v>4043017</v>
      </c>
      <c r="AG15" s="177">
        <f t="shared" si="12"/>
        <v>0</v>
      </c>
      <c r="AH15" s="177">
        <f t="shared" si="21"/>
        <v>4043017</v>
      </c>
      <c r="AI15" s="177">
        <f t="shared" si="22"/>
        <v>12771446</v>
      </c>
      <c r="AJ15" s="177">
        <f t="shared" si="22"/>
        <v>0</v>
      </c>
      <c r="AK15" s="177">
        <f t="shared" si="23"/>
        <v>12771446</v>
      </c>
      <c r="AL15" s="177">
        <f t="shared" si="13"/>
        <v>11797169</v>
      </c>
      <c r="AM15" s="177">
        <f t="shared" si="13"/>
        <v>0</v>
      </c>
      <c r="AN15" s="177">
        <f t="shared" si="24"/>
        <v>11797169</v>
      </c>
      <c r="AO15" s="177">
        <f t="shared" si="14"/>
        <v>0</v>
      </c>
      <c r="AP15" s="177">
        <f t="shared" si="14"/>
        <v>0</v>
      </c>
      <c r="AQ15" s="177">
        <f t="shared" si="25"/>
        <v>0</v>
      </c>
      <c r="AR15" s="177">
        <f t="shared" si="15"/>
        <v>0</v>
      </c>
      <c r="AS15" s="177">
        <f t="shared" si="15"/>
        <v>0</v>
      </c>
      <c r="AT15" s="177">
        <f t="shared" si="26"/>
        <v>0</v>
      </c>
      <c r="AU15" s="177">
        <f t="shared" si="16"/>
        <v>0</v>
      </c>
      <c r="AV15" s="177">
        <f t="shared" si="16"/>
        <v>0</v>
      </c>
      <c r="AW15" s="177">
        <f t="shared" si="17"/>
        <v>0</v>
      </c>
      <c r="AX15" s="177">
        <f t="shared" si="27"/>
        <v>0</v>
      </c>
      <c r="AY15" s="177">
        <f t="shared" si="27"/>
        <v>0</v>
      </c>
      <c r="AZ15" s="177">
        <f t="shared" si="28"/>
        <v>0</v>
      </c>
      <c r="BA15" s="177">
        <f t="shared" si="18"/>
        <v>28611632</v>
      </c>
      <c r="BB15" s="177">
        <f t="shared" si="18"/>
        <v>0</v>
      </c>
      <c r="BC15" s="382">
        <f t="shared" si="19"/>
        <v>28611632</v>
      </c>
    </row>
    <row r="16" spans="1:56" ht="15.75" hidden="1" thickBot="1">
      <c r="A16" s="171">
        <v>40544</v>
      </c>
      <c r="B16" s="385">
        <v>1723406</v>
      </c>
      <c r="C16" s="104">
        <v>0</v>
      </c>
      <c r="D16" s="104">
        <f t="shared" si="0"/>
        <v>1723406</v>
      </c>
      <c r="E16" s="104">
        <f t="shared" si="1"/>
        <v>3684420</v>
      </c>
      <c r="F16" s="104">
        <v>0</v>
      </c>
      <c r="G16" s="104">
        <f t="shared" si="2"/>
        <v>3684420</v>
      </c>
      <c r="H16" s="104">
        <v>784262</v>
      </c>
      <c r="I16" s="104">
        <v>0</v>
      </c>
      <c r="J16" s="104">
        <f t="shared" si="3"/>
        <v>784262</v>
      </c>
      <c r="K16" s="104">
        <v>0</v>
      </c>
      <c r="L16" s="104">
        <v>0</v>
      </c>
      <c r="M16" s="104">
        <f t="shared" si="4"/>
        <v>0</v>
      </c>
      <c r="N16" s="104">
        <f t="shared" si="5"/>
        <v>0</v>
      </c>
      <c r="O16" s="104">
        <v>0</v>
      </c>
      <c r="P16" s="104">
        <f t="shared" si="6"/>
        <v>0</v>
      </c>
      <c r="Q16" s="104">
        <v>0</v>
      </c>
      <c r="R16" s="104">
        <v>0</v>
      </c>
      <c r="S16" s="104">
        <f t="shared" si="7"/>
        <v>0</v>
      </c>
      <c r="T16" s="104">
        <v>0</v>
      </c>
      <c r="U16" s="104">
        <v>0</v>
      </c>
      <c r="V16" s="104">
        <f t="shared" si="8"/>
        <v>0</v>
      </c>
      <c r="W16" s="104">
        <f t="shared" si="9"/>
        <v>6192088</v>
      </c>
      <c r="X16" s="104">
        <f t="shared" si="9"/>
        <v>0</v>
      </c>
      <c r="Y16" s="386">
        <f t="shared" si="10"/>
        <v>6192088</v>
      </c>
      <c r="Z16" s="104">
        <v>2932800</v>
      </c>
      <c r="AA16" s="104">
        <v>751620</v>
      </c>
      <c r="AB16" s="387">
        <f>AA16+Z16</f>
        <v>3684420</v>
      </c>
      <c r="AC16" s="104">
        <v>0</v>
      </c>
      <c r="AD16" s="104">
        <v>0</v>
      </c>
      <c r="AE16" s="387">
        <f>SUM(AC16:AD16)</f>
        <v>0</v>
      </c>
      <c r="AF16" s="388">
        <f>B16</f>
        <v>1723406</v>
      </c>
      <c r="AG16" s="389">
        <f>C16</f>
        <v>0</v>
      </c>
      <c r="AH16" s="389">
        <f>AG16+AF16</f>
        <v>1723406</v>
      </c>
      <c r="AI16" s="389">
        <f>E16</f>
        <v>3684420</v>
      </c>
      <c r="AJ16" s="389">
        <f>F16</f>
        <v>0</v>
      </c>
      <c r="AK16" s="389">
        <f>AJ16+AI16</f>
        <v>3684420</v>
      </c>
      <c r="AL16" s="389">
        <f>H16</f>
        <v>784262</v>
      </c>
      <c r="AM16" s="389">
        <f>I16</f>
        <v>0</v>
      </c>
      <c r="AN16" s="389">
        <f>AM16+AL16</f>
        <v>784262</v>
      </c>
      <c r="AO16" s="389">
        <f>K16</f>
        <v>0</v>
      </c>
      <c r="AP16" s="389">
        <f>L16</f>
        <v>0</v>
      </c>
      <c r="AQ16" s="389">
        <f>AP16+AO16</f>
        <v>0</v>
      </c>
      <c r="AR16" s="389">
        <f>N16</f>
        <v>0</v>
      </c>
      <c r="AS16" s="389">
        <f>O16</f>
        <v>0</v>
      </c>
      <c r="AT16" s="389">
        <f>AS16+AR16</f>
        <v>0</v>
      </c>
      <c r="AU16" s="389">
        <f>Q16</f>
        <v>0</v>
      </c>
      <c r="AV16" s="389">
        <f>R16</f>
        <v>0</v>
      </c>
      <c r="AW16" s="389">
        <f>AV16+AU16</f>
        <v>0</v>
      </c>
      <c r="AX16" s="389">
        <f>T16</f>
        <v>0</v>
      </c>
      <c r="AY16" s="389">
        <f>U16</f>
        <v>0</v>
      </c>
      <c r="AZ16" s="389">
        <f>SUM(AX16:AY16)</f>
        <v>0</v>
      </c>
      <c r="BA16" s="389">
        <f t="shared" si="18"/>
        <v>6192088</v>
      </c>
      <c r="BB16" s="389">
        <f t="shared" si="18"/>
        <v>0</v>
      </c>
      <c r="BC16" s="390">
        <f t="shared" si="19"/>
        <v>6192088</v>
      </c>
    </row>
    <row r="17" spans="1:55" ht="15.75" hidden="1" thickBot="1">
      <c r="A17" s="170">
        <v>40575</v>
      </c>
      <c r="B17" s="378">
        <v>1503587</v>
      </c>
      <c r="C17" s="3">
        <v>0</v>
      </c>
      <c r="D17" s="3">
        <f t="shared" si="0"/>
        <v>1503587</v>
      </c>
      <c r="E17" s="3">
        <f t="shared" si="1"/>
        <v>1174330</v>
      </c>
      <c r="F17" s="3">
        <v>0</v>
      </c>
      <c r="G17" s="3">
        <f t="shared" si="2"/>
        <v>1174330</v>
      </c>
      <c r="H17" s="3">
        <v>264333</v>
      </c>
      <c r="I17" s="3">
        <v>0</v>
      </c>
      <c r="J17" s="3">
        <f t="shared" si="3"/>
        <v>264333</v>
      </c>
      <c r="K17" s="3">
        <v>0</v>
      </c>
      <c r="L17" s="3">
        <v>0</v>
      </c>
      <c r="M17" s="3">
        <f t="shared" si="4"/>
        <v>0</v>
      </c>
      <c r="N17" s="3">
        <f t="shared" si="5"/>
        <v>0</v>
      </c>
      <c r="O17" s="3">
        <v>0</v>
      </c>
      <c r="P17" s="3">
        <f t="shared" si="6"/>
        <v>0</v>
      </c>
      <c r="Q17" s="3">
        <v>0</v>
      </c>
      <c r="R17" s="3">
        <v>0</v>
      </c>
      <c r="S17" s="3">
        <f t="shared" si="7"/>
        <v>0</v>
      </c>
      <c r="T17" s="3">
        <v>0</v>
      </c>
      <c r="U17" s="3">
        <v>0</v>
      </c>
      <c r="V17" s="3">
        <f t="shared" si="8"/>
        <v>0</v>
      </c>
      <c r="W17" s="3">
        <f t="shared" si="9"/>
        <v>2942250</v>
      </c>
      <c r="X17" s="3">
        <f t="shared" si="9"/>
        <v>0</v>
      </c>
      <c r="Y17" s="379">
        <f t="shared" si="10"/>
        <v>2942250</v>
      </c>
      <c r="Z17" s="3">
        <v>945629</v>
      </c>
      <c r="AA17" s="3">
        <v>228701</v>
      </c>
      <c r="AB17" s="380">
        <f t="shared" si="11"/>
        <v>1174330</v>
      </c>
      <c r="AC17" s="3">
        <v>0</v>
      </c>
      <c r="AD17" s="3">
        <v>0</v>
      </c>
      <c r="AE17" s="380">
        <f>SUM(AC17:AD17)</f>
        <v>0</v>
      </c>
      <c r="AF17" s="381">
        <f t="shared" ref="AF17:AG27" si="29">B17+AF16</f>
        <v>3226993</v>
      </c>
      <c r="AG17" s="177">
        <f t="shared" si="29"/>
        <v>0</v>
      </c>
      <c r="AH17" s="177">
        <f t="shared" ref="AH17:AH27" si="30">AG17+AF17</f>
        <v>3226993</v>
      </c>
      <c r="AI17" s="177">
        <f>AI16+E17</f>
        <v>4858750</v>
      </c>
      <c r="AJ17" s="177">
        <f>AJ16+F17</f>
        <v>0</v>
      </c>
      <c r="AK17" s="177">
        <f t="shared" ref="AK17:AK27" si="31">AJ17+AI17</f>
        <v>4858750</v>
      </c>
      <c r="AL17" s="177">
        <f t="shared" ref="AL17:AM27" si="32">AL16+H17</f>
        <v>1048595</v>
      </c>
      <c r="AM17" s="177">
        <f t="shared" si="32"/>
        <v>0</v>
      </c>
      <c r="AN17" s="177">
        <f t="shared" ref="AN17:AN27" si="33">AM17+AL17</f>
        <v>1048595</v>
      </c>
      <c r="AO17" s="177">
        <f t="shared" ref="AO17:AP27" si="34">AO16+K17</f>
        <v>0</v>
      </c>
      <c r="AP17" s="177">
        <f t="shared" si="34"/>
        <v>0</v>
      </c>
      <c r="AQ17" s="177">
        <f t="shared" ref="AQ17:AQ27" si="35">AP17+AO17</f>
        <v>0</v>
      </c>
      <c r="AR17" s="177">
        <f t="shared" ref="AR17:AS27" si="36">AR16+N17</f>
        <v>0</v>
      </c>
      <c r="AS17" s="177">
        <f t="shared" si="36"/>
        <v>0</v>
      </c>
      <c r="AT17" s="177">
        <f t="shared" ref="AT17:AT27" si="37">AS17+AR17</f>
        <v>0</v>
      </c>
      <c r="AU17" s="177">
        <f t="shared" ref="AU17:AV27" si="38">AU16+Q17</f>
        <v>0</v>
      </c>
      <c r="AV17" s="177">
        <f t="shared" si="38"/>
        <v>0</v>
      </c>
      <c r="AW17" s="177">
        <f t="shared" ref="AW17:AW27" si="39">AV17+AU17</f>
        <v>0</v>
      </c>
      <c r="AX17" s="177">
        <f>AX16+T17</f>
        <v>0</v>
      </c>
      <c r="AY17" s="177">
        <f>AY16+U17</f>
        <v>0</v>
      </c>
      <c r="AZ17" s="177">
        <f>SUM(AX17:AY17)</f>
        <v>0</v>
      </c>
      <c r="BA17" s="177">
        <f t="shared" si="18"/>
        <v>9134338</v>
      </c>
      <c r="BB17" s="177">
        <f t="shared" si="18"/>
        <v>0</v>
      </c>
      <c r="BC17" s="382">
        <f t="shared" si="19"/>
        <v>9134338</v>
      </c>
    </row>
    <row r="18" spans="1:55" ht="15.75" hidden="1" thickBot="1">
      <c r="A18" s="170">
        <v>40603</v>
      </c>
      <c r="B18" s="378">
        <v>1822590</v>
      </c>
      <c r="C18" s="3">
        <v>0</v>
      </c>
      <c r="D18" s="3">
        <f t="shared" si="0"/>
        <v>1822590</v>
      </c>
      <c r="E18" s="3">
        <f t="shared" si="1"/>
        <v>1244801</v>
      </c>
      <c r="F18" s="3">
        <v>0</v>
      </c>
      <c r="G18" s="3">
        <f t="shared" si="2"/>
        <v>1244801</v>
      </c>
      <c r="H18" s="3">
        <v>1041681</v>
      </c>
      <c r="I18" s="3">
        <v>0</v>
      </c>
      <c r="J18" s="3">
        <f t="shared" si="3"/>
        <v>1041681</v>
      </c>
      <c r="K18" s="3">
        <v>0</v>
      </c>
      <c r="L18" s="3">
        <v>0</v>
      </c>
      <c r="M18" s="3">
        <f t="shared" si="4"/>
        <v>0</v>
      </c>
      <c r="N18" s="3">
        <f t="shared" si="5"/>
        <v>0</v>
      </c>
      <c r="O18" s="3">
        <v>0</v>
      </c>
      <c r="P18" s="3">
        <f t="shared" si="6"/>
        <v>0</v>
      </c>
      <c r="Q18" s="3">
        <v>0</v>
      </c>
      <c r="R18" s="3">
        <v>0</v>
      </c>
      <c r="S18" s="3">
        <f t="shared" si="7"/>
        <v>0</v>
      </c>
      <c r="T18" s="3">
        <v>0</v>
      </c>
      <c r="U18" s="3">
        <v>0</v>
      </c>
      <c r="V18" s="3">
        <f t="shared" si="8"/>
        <v>0</v>
      </c>
      <c r="W18" s="3">
        <f t="shared" si="9"/>
        <v>4109072</v>
      </c>
      <c r="X18" s="3">
        <f t="shared" si="9"/>
        <v>0</v>
      </c>
      <c r="Y18" s="379">
        <f t="shared" si="10"/>
        <v>4109072</v>
      </c>
      <c r="Z18" s="3">
        <v>891421</v>
      </c>
      <c r="AA18" s="3">
        <v>353380</v>
      </c>
      <c r="AB18" s="380">
        <f t="shared" si="11"/>
        <v>1244801</v>
      </c>
      <c r="AC18" s="3">
        <v>0</v>
      </c>
      <c r="AD18" s="3">
        <v>0</v>
      </c>
      <c r="AE18" s="380">
        <f t="shared" ref="AE18:AE27" si="40">SUM(AC18:AD18)</f>
        <v>0</v>
      </c>
      <c r="AF18" s="381">
        <f t="shared" si="29"/>
        <v>5049583</v>
      </c>
      <c r="AG18" s="177">
        <f t="shared" si="29"/>
        <v>0</v>
      </c>
      <c r="AH18" s="177">
        <f t="shared" si="30"/>
        <v>5049583</v>
      </c>
      <c r="AI18" s="177">
        <f t="shared" ref="AI18:AJ27" si="41">AI17+E18</f>
        <v>6103551</v>
      </c>
      <c r="AJ18" s="177">
        <f t="shared" si="41"/>
        <v>0</v>
      </c>
      <c r="AK18" s="177">
        <f t="shared" si="31"/>
        <v>6103551</v>
      </c>
      <c r="AL18" s="177">
        <f t="shared" si="32"/>
        <v>2090276</v>
      </c>
      <c r="AM18" s="177">
        <f t="shared" si="32"/>
        <v>0</v>
      </c>
      <c r="AN18" s="177">
        <f t="shared" si="33"/>
        <v>2090276</v>
      </c>
      <c r="AO18" s="177">
        <f t="shared" si="34"/>
        <v>0</v>
      </c>
      <c r="AP18" s="177">
        <f t="shared" si="34"/>
        <v>0</v>
      </c>
      <c r="AQ18" s="177">
        <f t="shared" si="35"/>
        <v>0</v>
      </c>
      <c r="AR18" s="177">
        <f t="shared" si="36"/>
        <v>0</v>
      </c>
      <c r="AS18" s="177">
        <f t="shared" si="36"/>
        <v>0</v>
      </c>
      <c r="AT18" s="177">
        <f t="shared" si="37"/>
        <v>0</v>
      </c>
      <c r="AU18" s="177">
        <f t="shared" si="38"/>
        <v>0</v>
      </c>
      <c r="AV18" s="177">
        <f t="shared" si="38"/>
        <v>0</v>
      </c>
      <c r="AW18" s="177">
        <f t="shared" si="39"/>
        <v>0</v>
      </c>
      <c r="AX18" s="177">
        <f t="shared" ref="AX18:AY27" si="42">AX17+T18</f>
        <v>0</v>
      </c>
      <c r="AY18" s="177">
        <f t="shared" si="42"/>
        <v>0</v>
      </c>
      <c r="AZ18" s="177">
        <f t="shared" ref="AZ18:AZ27" si="43">SUM(AX18:AY18)</f>
        <v>0</v>
      </c>
      <c r="BA18" s="177">
        <f t="shared" si="18"/>
        <v>13243410</v>
      </c>
      <c r="BB18" s="177">
        <f t="shared" si="18"/>
        <v>0</v>
      </c>
      <c r="BC18" s="382">
        <f t="shared" si="19"/>
        <v>13243410</v>
      </c>
    </row>
    <row r="19" spans="1:55" ht="15.75" hidden="1" thickBot="1">
      <c r="A19" s="170">
        <v>40634</v>
      </c>
      <c r="B19" s="378">
        <v>1614284</v>
      </c>
      <c r="C19" s="3">
        <v>0</v>
      </c>
      <c r="D19" s="3">
        <f t="shared" si="0"/>
        <v>1614284</v>
      </c>
      <c r="E19" s="3">
        <f t="shared" si="1"/>
        <v>456418</v>
      </c>
      <c r="F19" s="3">
        <v>0</v>
      </c>
      <c r="G19" s="3">
        <f t="shared" si="2"/>
        <v>456418</v>
      </c>
      <c r="H19" s="3">
        <v>492893</v>
      </c>
      <c r="I19" s="3">
        <v>0</v>
      </c>
      <c r="J19" s="3">
        <f t="shared" si="3"/>
        <v>492893</v>
      </c>
      <c r="K19" s="3">
        <v>0</v>
      </c>
      <c r="L19" s="3">
        <v>0</v>
      </c>
      <c r="M19" s="3">
        <f t="shared" si="4"/>
        <v>0</v>
      </c>
      <c r="N19" s="3">
        <f t="shared" si="5"/>
        <v>0</v>
      </c>
      <c r="O19" s="3">
        <v>0</v>
      </c>
      <c r="P19" s="3">
        <f t="shared" si="6"/>
        <v>0</v>
      </c>
      <c r="Q19" s="3">
        <v>0</v>
      </c>
      <c r="R19" s="3">
        <v>0</v>
      </c>
      <c r="S19" s="3">
        <f t="shared" si="7"/>
        <v>0</v>
      </c>
      <c r="T19" s="3">
        <v>0</v>
      </c>
      <c r="U19" s="3">
        <v>0</v>
      </c>
      <c r="V19" s="3">
        <f t="shared" si="8"/>
        <v>0</v>
      </c>
      <c r="W19" s="3">
        <f t="shared" si="9"/>
        <v>2563595</v>
      </c>
      <c r="X19" s="3">
        <f t="shared" si="9"/>
        <v>0</v>
      </c>
      <c r="Y19" s="379">
        <f t="shared" si="10"/>
        <v>2563595</v>
      </c>
      <c r="Z19" s="3">
        <v>303601</v>
      </c>
      <c r="AA19" s="3">
        <v>152817</v>
      </c>
      <c r="AB19" s="380">
        <f t="shared" si="11"/>
        <v>456418</v>
      </c>
      <c r="AC19" s="3">
        <v>0</v>
      </c>
      <c r="AD19" s="3">
        <v>0</v>
      </c>
      <c r="AE19" s="380">
        <f t="shared" si="40"/>
        <v>0</v>
      </c>
      <c r="AF19" s="381">
        <f t="shared" si="29"/>
        <v>6663867</v>
      </c>
      <c r="AG19" s="177">
        <f t="shared" si="29"/>
        <v>0</v>
      </c>
      <c r="AH19" s="177">
        <f t="shared" si="30"/>
        <v>6663867</v>
      </c>
      <c r="AI19" s="177">
        <f t="shared" si="41"/>
        <v>6559969</v>
      </c>
      <c r="AJ19" s="177">
        <f t="shared" si="41"/>
        <v>0</v>
      </c>
      <c r="AK19" s="177">
        <f t="shared" si="31"/>
        <v>6559969</v>
      </c>
      <c r="AL19" s="177">
        <f t="shared" si="32"/>
        <v>2583169</v>
      </c>
      <c r="AM19" s="177">
        <f t="shared" si="32"/>
        <v>0</v>
      </c>
      <c r="AN19" s="177">
        <f t="shared" si="33"/>
        <v>2583169</v>
      </c>
      <c r="AO19" s="177">
        <f t="shared" si="34"/>
        <v>0</v>
      </c>
      <c r="AP19" s="177">
        <f t="shared" si="34"/>
        <v>0</v>
      </c>
      <c r="AQ19" s="177">
        <f t="shared" si="35"/>
        <v>0</v>
      </c>
      <c r="AR19" s="177">
        <f t="shared" si="36"/>
        <v>0</v>
      </c>
      <c r="AS19" s="177">
        <f t="shared" si="36"/>
        <v>0</v>
      </c>
      <c r="AT19" s="177">
        <f t="shared" si="37"/>
        <v>0</v>
      </c>
      <c r="AU19" s="177">
        <f t="shared" si="38"/>
        <v>0</v>
      </c>
      <c r="AV19" s="177">
        <f t="shared" si="38"/>
        <v>0</v>
      </c>
      <c r="AW19" s="177">
        <f t="shared" si="39"/>
        <v>0</v>
      </c>
      <c r="AX19" s="177">
        <f t="shared" si="42"/>
        <v>0</v>
      </c>
      <c r="AY19" s="177">
        <f t="shared" si="42"/>
        <v>0</v>
      </c>
      <c r="AZ19" s="177">
        <f t="shared" si="43"/>
        <v>0</v>
      </c>
      <c r="BA19" s="177">
        <f t="shared" si="18"/>
        <v>15807005</v>
      </c>
      <c r="BB19" s="177">
        <f t="shared" si="18"/>
        <v>0</v>
      </c>
      <c r="BC19" s="382">
        <f t="shared" si="19"/>
        <v>15807005</v>
      </c>
    </row>
    <row r="20" spans="1:55" ht="15.75" hidden="1" thickBot="1">
      <c r="A20" s="170">
        <v>40664</v>
      </c>
      <c r="B20" s="378">
        <v>1699974</v>
      </c>
      <c r="C20" s="3">
        <v>0</v>
      </c>
      <c r="D20" s="3">
        <f t="shared" si="0"/>
        <v>1699974</v>
      </c>
      <c r="E20" s="3">
        <f t="shared" si="1"/>
        <v>7035448</v>
      </c>
      <c r="F20" s="3">
        <v>0</v>
      </c>
      <c r="G20" s="3">
        <f t="shared" si="2"/>
        <v>7035448</v>
      </c>
      <c r="H20" s="3">
        <v>512090</v>
      </c>
      <c r="I20" s="3">
        <v>0</v>
      </c>
      <c r="J20" s="3">
        <f t="shared" si="3"/>
        <v>512090</v>
      </c>
      <c r="K20" s="3">
        <v>0</v>
      </c>
      <c r="L20" s="3">
        <v>0</v>
      </c>
      <c r="M20" s="3">
        <f t="shared" si="4"/>
        <v>0</v>
      </c>
      <c r="N20" s="3">
        <f t="shared" si="5"/>
        <v>0</v>
      </c>
      <c r="O20" s="3">
        <v>0</v>
      </c>
      <c r="P20" s="3">
        <f t="shared" si="6"/>
        <v>0</v>
      </c>
      <c r="Q20" s="3">
        <v>0</v>
      </c>
      <c r="R20" s="3">
        <v>0</v>
      </c>
      <c r="S20" s="3">
        <f t="shared" si="7"/>
        <v>0</v>
      </c>
      <c r="T20" s="3">
        <v>0</v>
      </c>
      <c r="U20" s="3">
        <v>0</v>
      </c>
      <c r="V20" s="3">
        <f t="shared" si="8"/>
        <v>0</v>
      </c>
      <c r="W20" s="3">
        <f t="shared" si="9"/>
        <v>9247512</v>
      </c>
      <c r="X20" s="3">
        <f t="shared" si="9"/>
        <v>0</v>
      </c>
      <c r="Y20" s="379">
        <f t="shared" si="10"/>
        <v>9247512</v>
      </c>
      <c r="Z20" s="3">
        <v>6585611</v>
      </c>
      <c r="AA20" s="3">
        <v>449837</v>
      </c>
      <c r="AB20" s="380">
        <f t="shared" si="11"/>
        <v>7035448</v>
      </c>
      <c r="AC20" s="3">
        <v>0</v>
      </c>
      <c r="AD20" s="3">
        <v>0</v>
      </c>
      <c r="AE20" s="380">
        <f t="shared" si="40"/>
        <v>0</v>
      </c>
      <c r="AF20" s="381">
        <f t="shared" si="29"/>
        <v>8363841</v>
      </c>
      <c r="AG20" s="177">
        <f t="shared" si="29"/>
        <v>0</v>
      </c>
      <c r="AH20" s="177">
        <f t="shared" si="30"/>
        <v>8363841</v>
      </c>
      <c r="AI20" s="177">
        <f t="shared" si="41"/>
        <v>13595417</v>
      </c>
      <c r="AJ20" s="177">
        <f t="shared" si="41"/>
        <v>0</v>
      </c>
      <c r="AK20" s="177">
        <f t="shared" si="31"/>
        <v>13595417</v>
      </c>
      <c r="AL20" s="177">
        <f t="shared" si="32"/>
        <v>3095259</v>
      </c>
      <c r="AM20" s="177">
        <f t="shared" si="32"/>
        <v>0</v>
      </c>
      <c r="AN20" s="177">
        <f t="shared" si="33"/>
        <v>3095259</v>
      </c>
      <c r="AO20" s="177">
        <f t="shared" si="34"/>
        <v>0</v>
      </c>
      <c r="AP20" s="177">
        <f t="shared" si="34"/>
        <v>0</v>
      </c>
      <c r="AQ20" s="177">
        <f t="shared" si="35"/>
        <v>0</v>
      </c>
      <c r="AR20" s="177">
        <f t="shared" si="36"/>
        <v>0</v>
      </c>
      <c r="AS20" s="177">
        <f t="shared" si="36"/>
        <v>0</v>
      </c>
      <c r="AT20" s="177">
        <f t="shared" si="37"/>
        <v>0</v>
      </c>
      <c r="AU20" s="177">
        <f t="shared" si="38"/>
        <v>0</v>
      </c>
      <c r="AV20" s="177">
        <f t="shared" si="38"/>
        <v>0</v>
      </c>
      <c r="AW20" s="177">
        <f t="shared" si="39"/>
        <v>0</v>
      </c>
      <c r="AX20" s="177">
        <f t="shared" si="42"/>
        <v>0</v>
      </c>
      <c r="AY20" s="177">
        <f t="shared" si="42"/>
        <v>0</v>
      </c>
      <c r="AZ20" s="177">
        <f t="shared" si="43"/>
        <v>0</v>
      </c>
      <c r="BA20" s="177">
        <f t="shared" si="18"/>
        <v>25054517</v>
      </c>
      <c r="BB20" s="177">
        <f t="shared" si="18"/>
        <v>0</v>
      </c>
      <c r="BC20" s="382">
        <f t="shared" si="19"/>
        <v>25054517</v>
      </c>
    </row>
    <row r="21" spans="1:55" ht="15.75" hidden="1" thickBot="1">
      <c r="A21" s="170">
        <v>40695</v>
      </c>
      <c r="B21" s="378">
        <v>2201578</v>
      </c>
      <c r="C21" s="3">
        <v>3035212</v>
      </c>
      <c r="D21" s="3">
        <f t="shared" si="0"/>
        <v>5236790</v>
      </c>
      <c r="E21" s="3">
        <f t="shared" si="1"/>
        <v>1355410</v>
      </c>
      <c r="F21" s="3">
        <v>0</v>
      </c>
      <c r="G21" s="3">
        <f t="shared" si="2"/>
        <v>1355410</v>
      </c>
      <c r="H21" s="3">
        <v>971392</v>
      </c>
      <c r="I21" s="3">
        <v>0</v>
      </c>
      <c r="J21" s="3">
        <f t="shared" si="3"/>
        <v>971392</v>
      </c>
      <c r="K21" s="3">
        <v>0</v>
      </c>
      <c r="L21" s="3">
        <v>0</v>
      </c>
      <c r="M21" s="3">
        <f t="shared" si="4"/>
        <v>0</v>
      </c>
      <c r="N21" s="3">
        <f t="shared" si="5"/>
        <v>0</v>
      </c>
      <c r="O21" s="3">
        <v>0</v>
      </c>
      <c r="P21" s="3">
        <f t="shared" si="6"/>
        <v>0</v>
      </c>
      <c r="Q21" s="3">
        <v>0</v>
      </c>
      <c r="R21" s="3">
        <v>0</v>
      </c>
      <c r="S21" s="3">
        <f t="shared" si="7"/>
        <v>0</v>
      </c>
      <c r="T21" s="3">
        <v>0</v>
      </c>
      <c r="U21" s="3">
        <v>0</v>
      </c>
      <c r="V21" s="3">
        <f t="shared" si="8"/>
        <v>0</v>
      </c>
      <c r="W21" s="3">
        <f t="shared" si="9"/>
        <v>4528380</v>
      </c>
      <c r="X21" s="3">
        <f t="shared" si="9"/>
        <v>3035212</v>
      </c>
      <c r="Y21" s="379">
        <f t="shared" si="10"/>
        <v>7563592</v>
      </c>
      <c r="Z21" s="3">
        <v>626298</v>
      </c>
      <c r="AA21" s="3">
        <v>729112</v>
      </c>
      <c r="AB21" s="380">
        <f t="shared" si="11"/>
        <v>1355410</v>
      </c>
      <c r="AC21" s="3">
        <v>0</v>
      </c>
      <c r="AD21" s="3">
        <v>0</v>
      </c>
      <c r="AE21" s="380">
        <f t="shared" si="40"/>
        <v>0</v>
      </c>
      <c r="AF21" s="381">
        <f t="shared" si="29"/>
        <v>10565419</v>
      </c>
      <c r="AG21" s="177">
        <f t="shared" si="29"/>
        <v>3035212</v>
      </c>
      <c r="AH21" s="177">
        <f t="shared" si="30"/>
        <v>13600631</v>
      </c>
      <c r="AI21" s="177">
        <f t="shared" si="41"/>
        <v>14950827</v>
      </c>
      <c r="AJ21" s="177">
        <f t="shared" si="41"/>
        <v>0</v>
      </c>
      <c r="AK21" s="177">
        <f t="shared" si="31"/>
        <v>14950827</v>
      </c>
      <c r="AL21" s="177">
        <f t="shared" si="32"/>
        <v>4066651</v>
      </c>
      <c r="AM21" s="177">
        <f t="shared" si="32"/>
        <v>0</v>
      </c>
      <c r="AN21" s="177">
        <f t="shared" si="33"/>
        <v>4066651</v>
      </c>
      <c r="AO21" s="177">
        <f t="shared" si="34"/>
        <v>0</v>
      </c>
      <c r="AP21" s="177">
        <f t="shared" si="34"/>
        <v>0</v>
      </c>
      <c r="AQ21" s="177">
        <f t="shared" si="35"/>
        <v>0</v>
      </c>
      <c r="AR21" s="177">
        <f t="shared" si="36"/>
        <v>0</v>
      </c>
      <c r="AS21" s="177">
        <f t="shared" si="36"/>
        <v>0</v>
      </c>
      <c r="AT21" s="177">
        <f t="shared" si="37"/>
        <v>0</v>
      </c>
      <c r="AU21" s="177">
        <f t="shared" si="38"/>
        <v>0</v>
      </c>
      <c r="AV21" s="177">
        <f t="shared" si="38"/>
        <v>0</v>
      </c>
      <c r="AW21" s="177">
        <f t="shared" si="39"/>
        <v>0</v>
      </c>
      <c r="AX21" s="177">
        <f t="shared" si="42"/>
        <v>0</v>
      </c>
      <c r="AY21" s="177">
        <f t="shared" si="42"/>
        <v>0</v>
      </c>
      <c r="AZ21" s="177">
        <f t="shared" si="43"/>
        <v>0</v>
      </c>
      <c r="BA21" s="177">
        <f t="shared" si="18"/>
        <v>29582897</v>
      </c>
      <c r="BB21" s="177">
        <f t="shared" si="18"/>
        <v>3035212</v>
      </c>
      <c r="BC21" s="382">
        <f t="shared" si="19"/>
        <v>32618109</v>
      </c>
    </row>
    <row r="22" spans="1:55" ht="15.75" hidden="1" thickBot="1">
      <c r="A22" s="170">
        <v>40725</v>
      </c>
      <c r="B22" s="378">
        <v>2035393</v>
      </c>
      <c r="C22" s="3">
        <v>13166006</v>
      </c>
      <c r="D22" s="3">
        <f t="shared" si="0"/>
        <v>15201399</v>
      </c>
      <c r="E22" s="3">
        <f t="shared" si="1"/>
        <v>1350302</v>
      </c>
      <c r="F22" s="3">
        <v>0</v>
      </c>
      <c r="G22" s="3">
        <f t="shared" si="2"/>
        <v>1350302</v>
      </c>
      <c r="H22" s="3">
        <v>495674</v>
      </c>
      <c r="I22" s="3">
        <v>0</v>
      </c>
      <c r="J22" s="3">
        <f t="shared" si="3"/>
        <v>495674</v>
      </c>
      <c r="K22" s="3">
        <v>0</v>
      </c>
      <c r="L22" s="3">
        <v>0</v>
      </c>
      <c r="M22" s="3">
        <f t="shared" si="4"/>
        <v>0</v>
      </c>
      <c r="N22" s="3">
        <f t="shared" si="5"/>
        <v>0</v>
      </c>
      <c r="O22" s="3">
        <v>0</v>
      </c>
      <c r="P22" s="3">
        <f t="shared" si="6"/>
        <v>0</v>
      </c>
      <c r="Q22" s="3">
        <v>0</v>
      </c>
      <c r="R22" s="3">
        <v>0</v>
      </c>
      <c r="S22" s="3">
        <f t="shared" si="7"/>
        <v>0</v>
      </c>
      <c r="T22" s="3">
        <v>0</v>
      </c>
      <c r="U22" s="3">
        <v>0</v>
      </c>
      <c r="V22" s="3">
        <f t="shared" si="8"/>
        <v>0</v>
      </c>
      <c r="W22" s="3">
        <f t="shared" si="9"/>
        <v>3881369</v>
      </c>
      <c r="X22" s="3">
        <f t="shared" si="9"/>
        <v>13166006</v>
      </c>
      <c r="Y22" s="379">
        <f t="shared" si="10"/>
        <v>17047375</v>
      </c>
      <c r="Z22" s="3">
        <v>438833</v>
      </c>
      <c r="AA22" s="3">
        <v>911469</v>
      </c>
      <c r="AB22" s="380">
        <f t="shared" si="11"/>
        <v>1350302</v>
      </c>
      <c r="AC22" s="3">
        <v>0</v>
      </c>
      <c r="AD22" s="3">
        <v>0</v>
      </c>
      <c r="AE22" s="380">
        <f t="shared" si="40"/>
        <v>0</v>
      </c>
      <c r="AF22" s="381">
        <f t="shared" si="29"/>
        <v>12600812</v>
      </c>
      <c r="AG22" s="177">
        <f t="shared" si="29"/>
        <v>16201218</v>
      </c>
      <c r="AH22" s="177">
        <f t="shared" si="30"/>
        <v>28802030</v>
      </c>
      <c r="AI22" s="177">
        <f t="shared" si="41"/>
        <v>16301129</v>
      </c>
      <c r="AJ22" s="177">
        <f t="shared" si="41"/>
        <v>0</v>
      </c>
      <c r="AK22" s="177">
        <f t="shared" si="31"/>
        <v>16301129</v>
      </c>
      <c r="AL22" s="177">
        <f t="shared" si="32"/>
        <v>4562325</v>
      </c>
      <c r="AM22" s="177">
        <f t="shared" si="32"/>
        <v>0</v>
      </c>
      <c r="AN22" s="177">
        <f t="shared" si="33"/>
        <v>4562325</v>
      </c>
      <c r="AO22" s="177">
        <f t="shared" si="34"/>
        <v>0</v>
      </c>
      <c r="AP22" s="177">
        <f t="shared" si="34"/>
        <v>0</v>
      </c>
      <c r="AQ22" s="177">
        <f t="shared" si="35"/>
        <v>0</v>
      </c>
      <c r="AR22" s="177">
        <f t="shared" si="36"/>
        <v>0</v>
      </c>
      <c r="AS22" s="177">
        <f t="shared" si="36"/>
        <v>0</v>
      </c>
      <c r="AT22" s="177">
        <f t="shared" si="37"/>
        <v>0</v>
      </c>
      <c r="AU22" s="177">
        <f t="shared" si="38"/>
        <v>0</v>
      </c>
      <c r="AV22" s="177">
        <f t="shared" si="38"/>
        <v>0</v>
      </c>
      <c r="AW22" s="177">
        <f t="shared" si="39"/>
        <v>0</v>
      </c>
      <c r="AX22" s="177">
        <f t="shared" si="42"/>
        <v>0</v>
      </c>
      <c r="AY22" s="177">
        <f t="shared" si="42"/>
        <v>0</v>
      </c>
      <c r="AZ22" s="177">
        <f t="shared" si="43"/>
        <v>0</v>
      </c>
      <c r="BA22" s="177">
        <f t="shared" si="18"/>
        <v>33464266</v>
      </c>
      <c r="BB22" s="177">
        <f t="shared" si="18"/>
        <v>16201218</v>
      </c>
      <c r="BC22" s="382">
        <f t="shared" si="19"/>
        <v>49665484</v>
      </c>
    </row>
    <row r="23" spans="1:55" ht="15.75" hidden="1" thickBot="1">
      <c r="A23" s="170">
        <v>40756</v>
      </c>
      <c r="B23" s="378">
        <v>1961596</v>
      </c>
      <c r="C23" s="3">
        <v>22822671</v>
      </c>
      <c r="D23" s="3">
        <f t="shared" si="0"/>
        <v>24784267</v>
      </c>
      <c r="E23" s="3">
        <f t="shared" si="1"/>
        <v>1890072</v>
      </c>
      <c r="F23" s="3">
        <v>0</v>
      </c>
      <c r="G23" s="3">
        <f t="shared" si="2"/>
        <v>1890072</v>
      </c>
      <c r="H23" s="3">
        <v>775279</v>
      </c>
      <c r="I23" s="3">
        <v>0</v>
      </c>
      <c r="J23" s="3">
        <f t="shared" si="3"/>
        <v>775279</v>
      </c>
      <c r="K23" s="3">
        <v>308293</v>
      </c>
      <c r="L23" s="3">
        <v>0</v>
      </c>
      <c r="M23" s="3">
        <f t="shared" si="4"/>
        <v>308293</v>
      </c>
      <c r="N23" s="3">
        <f t="shared" si="5"/>
        <v>0</v>
      </c>
      <c r="O23" s="3">
        <v>0</v>
      </c>
      <c r="P23" s="3">
        <f t="shared" si="6"/>
        <v>0</v>
      </c>
      <c r="Q23" s="3">
        <v>0</v>
      </c>
      <c r="R23" s="3">
        <v>0</v>
      </c>
      <c r="S23" s="3">
        <f t="shared" si="7"/>
        <v>0</v>
      </c>
      <c r="T23" s="3">
        <v>0</v>
      </c>
      <c r="U23" s="3">
        <v>0</v>
      </c>
      <c r="V23" s="3">
        <f t="shared" si="8"/>
        <v>0</v>
      </c>
      <c r="W23" s="3">
        <f t="shared" si="9"/>
        <v>4935240</v>
      </c>
      <c r="X23" s="3">
        <f t="shared" si="9"/>
        <v>22822671</v>
      </c>
      <c r="Y23" s="379">
        <f t="shared" si="10"/>
        <v>27757911</v>
      </c>
      <c r="Z23" s="3">
        <v>928372</v>
      </c>
      <c r="AA23" s="3">
        <v>961700</v>
      </c>
      <c r="AB23" s="380">
        <f t="shared" si="11"/>
        <v>1890072</v>
      </c>
      <c r="AC23" s="3">
        <v>0</v>
      </c>
      <c r="AD23" s="3">
        <v>0</v>
      </c>
      <c r="AE23" s="380">
        <f t="shared" si="40"/>
        <v>0</v>
      </c>
      <c r="AF23" s="381">
        <f t="shared" si="29"/>
        <v>14562408</v>
      </c>
      <c r="AG23" s="177">
        <f t="shared" si="29"/>
        <v>39023889</v>
      </c>
      <c r="AH23" s="177">
        <f t="shared" si="30"/>
        <v>53586297</v>
      </c>
      <c r="AI23" s="177">
        <f t="shared" si="41"/>
        <v>18191201</v>
      </c>
      <c r="AJ23" s="177">
        <f t="shared" si="41"/>
        <v>0</v>
      </c>
      <c r="AK23" s="177">
        <f t="shared" si="31"/>
        <v>18191201</v>
      </c>
      <c r="AL23" s="177">
        <f t="shared" si="32"/>
        <v>5337604</v>
      </c>
      <c r="AM23" s="177">
        <f t="shared" si="32"/>
        <v>0</v>
      </c>
      <c r="AN23" s="177">
        <f t="shared" si="33"/>
        <v>5337604</v>
      </c>
      <c r="AO23" s="177">
        <f t="shared" si="34"/>
        <v>308293</v>
      </c>
      <c r="AP23" s="177">
        <f t="shared" si="34"/>
        <v>0</v>
      </c>
      <c r="AQ23" s="177">
        <f t="shared" si="35"/>
        <v>308293</v>
      </c>
      <c r="AR23" s="177">
        <f t="shared" si="36"/>
        <v>0</v>
      </c>
      <c r="AS23" s="177">
        <f t="shared" si="36"/>
        <v>0</v>
      </c>
      <c r="AT23" s="177">
        <f t="shared" si="37"/>
        <v>0</v>
      </c>
      <c r="AU23" s="177">
        <f t="shared" si="38"/>
        <v>0</v>
      </c>
      <c r="AV23" s="177">
        <f t="shared" si="38"/>
        <v>0</v>
      </c>
      <c r="AW23" s="177">
        <f t="shared" si="39"/>
        <v>0</v>
      </c>
      <c r="AX23" s="177">
        <f t="shared" si="42"/>
        <v>0</v>
      </c>
      <c r="AY23" s="177">
        <f t="shared" si="42"/>
        <v>0</v>
      </c>
      <c r="AZ23" s="177">
        <f t="shared" si="43"/>
        <v>0</v>
      </c>
      <c r="BA23" s="177">
        <f t="shared" si="18"/>
        <v>38399506</v>
      </c>
      <c r="BB23" s="177">
        <f t="shared" si="18"/>
        <v>39023889</v>
      </c>
      <c r="BC23" s="382">
        <f t="shared" si="19"/>
        <v>77423395</v>
      </c>
    </row>
    <row r="24" spans="1:55" ht="15.75" hidden="1" thickBot="1">
      <c r="A24" s="170">
        <v>40787</v>
      </c>
      <c r="B24" s="378">
        <v>1836413</v>
      </c>
      <c r="C24" s="3">
        <v>35850732</v>
      </c>
      <c r="D24" s="3">
        <f t="shared" si="0"/>
        <v>37687145</v>
      </c>
      <c r="E24" s="3">
        <f t="shared" si="1"/>
        <v>3085921</v>
      </c>
      <c r="F24" s="3">
        <v>0</v>
      </c>
      <c r="G24" s="3">
        <f t="shared" si="2"/>
        <v>3085921</v>
      </c>
      <c r="H24" s="3">
        <v>268031</v>
      </c>
      <c r="I24" s="3">
        <v>0</v>
      </c>
      <c r="J24" s="3">
        <f t="shared" si="3"/>
        <v>268031</v>
      </c>
      <c r="K24" s="3">
        <v>297653</v>
      </c>
      <c r="L24" s="3">
        <v>0</v>
      </c>
      <c r="M24" s="3">
        <f t="shared" si="4"/>
        <v>297653</v>
      </c>
      <c r="N24" s="3">
        <f t="shared" si="5"/>
        <v>0</v>
      </c>
      <c r="O24" s="3">
        <v>0</v>
      </c>
      <c r="P24" s="3">
        <f t="shared" si="6"/>
        <v>0</v>
      </c>
      <c r="Q24" s="3">
        <v>0</v>
      </c>
      <c r="R24" s="3">
        <v>0</v>
      </c>
      <c r="S24" s="3">
        <f t="shared" si="7"/>
        <v>0</v>
      </c>
      <c r="T24" s="3">
        <v>0</v>
      </c>
      <c r="U24" s="3">
        <v>0</v>
      </c>
      <c r="V24" s="3">
        <f t="shared" si="8"/>
        <v>0</v>
      </c>
      <c r="W24" s="3">
        <f t="shared" si="9"/>
        <v>5488018</v>
      </c>
      <c r="X24" s="3">
        <f t="shared" si="9"/>
        <v>35850732</v>
      </c>
      <c r="Y24" s="379">
        <f t="shared" si="10"/>
        <v>41338750</v>
      </c>
      <c r="Z24" s="3">
        <v>2021278</v>
      </c>
      <c r="AA24" s="3">
        <v>1064643</v>
      </c>
      <c r="AB24" s="380">
        <f t="shared" si="11"/>
        <v>3085921</v>
      </c>
      <c r="AC24" s="3">
        <v>0</v>
      </c>
      <c r="AD24" s="3">
        <v>0</v>
      </c>
      <c r="AE24" s="380">
        <f t="shared" si="40"/>
        <v>0</v>
      </c>
      <c r="AF24" s="381">
        <f t="shared" si="29"/>
        <v>16398821</v>
      </c>
      <c r="AG24" s="177">
        <f t="shared" si="29"/>
        <v>74874621</v>
      </c>
      <c r="AH24" s="177">
        <f t="shared" si="30"/>
        <v>91273442</v>
      </c>
      <c r="AI24" s="177">
        <f t="shared" si="41"/>
        <v>21277122</v>
      </c>
      <c r="AJ24" s="177">
        <f t="shared" si="41"/>
        <v>0</v>
      </c>
      <c r="AK24" s="177">
        <f t="shared" si="31"/>
        <v>21277122</v>
      </c>
      <c r="AL24" s="177">
        <f t="shared" si="32"/>
        <v>5605635</v>
      </c>
      <c r="AM24" s="177">
        <f t="shared" si="32"/>
        <v>0</v>
      </c>
      <c r="AN24" s="177">
        <f t="shared" si="33"/>
        <v>5605635</v>
      </c>
      <c r="AO24" s="177">
        <f t="shared" si="34"/>
        <v>605946</v>
      </c>
      <c r="AP24" s="177">
        <f t="shared" si="34"/>
        <v>0</v>
      </c>
      <c r="AQ24" s="177">
        <f t="shared" si="35"/>
        <v>605946</v>
      </c>
      <c r="AR24" s="177">
        <f t="shared" si="36"/>
        <v>0</v>
      </c>
      <c r="AS24" s="177">
        <f t="shared" si="36"/>
        <v>0</v>
      </c>
      <c r="AT24" s="177">
        <f t="shared" si="37"/>
        <v>0</v>
      </c>
      <c r="AU24" s="177">
        <f t="shared" si="38"/>
        <v>0</v>
      </c>
      <c r="AV24" s="177">
        <f t="shared" si="38"/>
        <v>0</v>
      </c>
      <c r="AW24" s="177">
        <f t="shared" si="39"/>
        <v>0</v>
      </c>
      <c r="AX24" s="177">
        <f t="shared" si="42"/>
        <v>0</v>
      </c>
      <c r="AY24" s="177">
        <f t="shared" si="42"/>
        <v>0</v>
      </c>
      <c r="AZ24" s="177">
        <f t="shared" si="43"/>
        <v>0</v>
      </c>
      <c r="BA24" s="177">
        <f t="shared" si="18"/>
        <v>43887524</v>
      </c>
      <c r="BB24" s="177">
        <f t="shared" si="18"/>
        <v>74874621</v>
      </c>
      <c r="BC24" s="382">
        <f t="shared" si="19"/>
        <v>118762145</v>
      </c>
    </row>
    <row r="25" spans="1:55" ht="15.75" hidden="1" thickBot="1">
      <c r="A25" s="170">
        <v>40817</v>
      </c>
      <c r="B25" s="378">
        <v>1885529</v>
      </c>
      <c r="C25" s="3">
        <v>19149943</v>
      </c>
      <c r="D25" s="3">
        <f t="shared" si="0"/>
        <v>21035472</v>
      </c>
      <c r="E25" s="3">
        <f t="shared" si="1"/>
        <v>1886117</v>
      </c>
      <c r="F25" s="3">
        <v>0</v>
      </c>
      <c r="G25" s="3">
        <f t="shared" si="2"/>
        <v>1886117</v>
      </c>
      <c r="H25" s="3">
        <v>30646</v>
      </c>
      <c r="I25" s="3">
        <v>0</v>
      </c>
      <c r="J25" s="3">
        <f t="shared" si="3"/>
        <v>30646</v>
      </c>
      <c r="K25" s="3">
        <v>207334</v>
      </c>
      <c r="L25" s="3">
        <v>0</v>
      </c>
      <c r="M25" s="3">
        <f t="shared" si="4"/>
        <v>207334</v>
      </c>
      <c r="N25" s="3">
        <f t="shared" si="5"/>
        <v>0</v>
      </c>
      <c r="O25" s="3">
        <v>0</v>
      </c>
      <c r="P25" s="3">
        <f t="shared" si="6"/>
        <v>0</v>
      </c>
      <c r="Q25" s="3">
        <v>0</v>
      </c>
      <c r="R25" s="3">
        <v>0</v>
      </c>
      <c r="S25" s="3">
        <f t="shared" si="7"/>
        <v>0</v>
      </c>
      <c r="T25" s="3">
        <v>0</v>
      </c>
      <c r="U25" s="3">
        <v>0</v>
      </c>
      <c r="V25" s="3">
        <f t="shared" si="8"/>
        <v>0</v>
      </c>
      <c r="W25" s="3">
        <f t="shared" si="9"/>
        <v>4009626</v>
      </c>
      <c r="X25" s="3">
        <f t="shared" si="9"/>
        <v>19149943</v>
      </c>
      <c r="Y25" s="379">
        <f t="shared" si="10"/>
        <v>23159569</v>
      </c>
      <c r="Z25" s="3">
        <v>1099952</v>
      </c>
      <c r="AA25" s="3">
        <v>786165</v>
      </c>
      <c r="AB25" s="380">
        <f t="shared" si="11"/>
        <v>1886117</v>
      </c>
      <c r="AC25" s="3">
        <v>0</v>
      </c>
      <c r="AD25" s="3">
        <v>0</v>
      </c>
      <c r="AE25" s="380">
        <f t="shared" si="40"/>
        <v>0</v>
      </c>
      <c r="AF25" s="381">
        <f t="shared" si="29"/>
        <v>18284350</v>
      </c>
      <c r="AG25" s="177">
        <f t="shared" si="29"/>
        <v>94024564</v>
      </c>
      <c r="AH25" s="177">
        <f t="shared" si="30"/>
        <v>112308914</v>
      </c>
      <c r="AI25" s="177">
        <f t="shared" si="41"/>
        <v>23163239</v>
      </c>
      <c r="AJ25" s="177">
        <f t="shared" si="41"/>
        <v>0</v>
      </c>
      <c r="AK25" s="177">
        <f t="shared" si="31"/>
        <v>23163239</v>
      </c>
      <c r="AL25" s="177">
        <f t="shared" si="32"/>
        <v>5636281</v>
      </c>
      <c r="AM25" s="177">
        <f t="shared" si="32"/>
        <v>0</v>
      </c>
      <c r="AN25" s="177">
        <f t="shared" si="33"/>
        <v>5636281</v>
      </c>
      <c r="AO25" s="177">
        <f t="shared" si="34"/>
        <v>813280</v>
      </c>
      <c r="AP25" s="177">
        <f t="shared" si="34"/>
        <v>0</v>
      </c>
      <c r="AQ25" s="177">
        <f t="shared" si="35"/>
        <v>813280</v>
      </c>
      <c r="AR25" s="177">
        <f t="shared" si="36"/>
        <v>0</v>
      </c>
      <c r="AS25" s="177">
        <f t="shared" si="36"/>
        <v>0</v>
      </c>
      <c r="AT25" s="177">
        <f t="shared" si="37"/>
        <v>0</v>
      </c>
      <c r="AU25" s="177">
        <f t="shared" si="38"/>
        <v>0</v>
      </c>
      <c r="AV25" s="177">
        <f t="shared" si="38"/>
        <v>0</v>
      </c>
      <c r="AW25" s="177">
        <f t="shared" si="39"/>
        <v>0</v>
      </c>
      <c r="AX25" s="177">
        <f t="shared" si="42"/>
        <v>0</v>
      </c>
      <c r="AY25" s="177">
        <f t="shared" si="42"/>
        <v>0</v>
      </c>
      <c r="AZ25" s="177">
        <f t="shared" si="43"/>
        <v>0</v>
      </c>
      <c r="BA25" s="177">
        <f t="shared" si="18"/>
        <v>47897150</v>
      </c>
      <c r="BB25" s="177">
        <f t="shared" si="18"/>
        <v>94024564</v>
      </c>
      <c r="BC25" s="382">
        <f t="shared" si="19"/>
        <v>141921714</v>
      </c>
    </row>
    <row r="26" spans="1:55" ht="15.75" hidden="1" thickBot="1">
      <c r="A26" s="170">
        <v>40848</v>
      </c>
      <c r="B26" s="378">
        <v>1644525</v>
      </c>
      <c r="C26" s="3">
        <v>25215515</v>
      </c>
      <c r="D26" s="3">
        <f t="shared" si="0"/>
        <v>26860040</v>
      </c>
      <c r="E26" s="3">
        <f t="shared" si="1"/>
        <v>2478929</v>
      </c>
      <c r="F26" s="3">
        <v>0</v>
      </c>
      <c r="G26" s="3">
        <f t="shared" si="2"/>
        <v>2478929</v>
      </c>
      <c r="H26" s="3">
        <v>49969</v>
      </c>
      <c r="I26" s="3">
        <v>0</v>
      </c>
      <c r="J26" s="3">
        <f t="shared" si="3"/>
        <v>49969</v>
      </c>
      <c r="K26" s="3">
        <v>297813</v>
      </c>
      <c r="L26" s="3">
        <v>0</v>
      </c>
      <c r="M26" s="3">
        <f t="shared" si="4"/>
        <v>297813</v>
      </c>
      <c r="N26" s="3">
        <f t="shared" si="5"/>
        <v>0</v>
      </c>
      <c r="O26" s="3">
        <v>0</v>
      </c>
      <c r="P26" s="3">
        <f t="shared" si="6"/>
        <v>0</v>
      </c>
      <c r="Q26" s="3">
        <v>0</v>
      </c>
      <c r="R26" s="3">
        <v>0</v>
      </c>
      <c r="S26" s="3">
        <f t="shared" si="7"/>
        <v>0</v>
      </c>
      <c r="T26" s="3">
        <v>0</v>
      </c>
      <c r="U26" s="3">
        <v>0</v>
      </c>
      <c r="V26" s="3">
        <f t="shared" si="8"/>
        <v>0</v>
      </c>
      <c r="W26" s="3">
        <f t="shared" si="9"/>
        <v>4471236</v>
      </c>
      <c r="X26" s="3">
        <f t="shared" si="9"/>
        <v>25215515</v>
      </c>
      <c r="Y26" s="379">
        <f t="shared" si="10"/>
        <v>29686751</v>
      </c>
      <c r="Z26" s="3">
        <v>2048868</v>
      </c>
      <c r="AA26" s="3">
        <v>430061</v>
      </c>
      <c r="AB26" s="380">
        <f t="shared" si="11"/>
        <v>2478929</v>
      </c>
      <c r="AC26" s="3">
        <v>0</v>
      </c>
      <c r="AD26" s="3">
        <v>0</v>
      </c>
      <c r="AE26" s="380">
        <f t="shared" si="40"/>
        <v>0</v>
      </c>
      <c r="AF26" s="381">
        <f t="shared" si="29"/>
        <v>19928875</v>
      </c>
      <c r="AG26" s="177">
        <f t="shared" si="29"/>
        <v>119240079</v>
      </c>
      <c r="AH26" s="177">
        <f t="shared" si="30"/>
        <v>139168954</v>
      </c>
      <c r="AI26" s="177">
        <f t="shared" si="41"/>
        <v>25642168</v>
      </c>
      <c r="AJ26" s="177">
        <f t="shared" si="41"/>
        <v>0</v>
      </c>
      <c r="AK26" s="177">
        <f t="shared" si="31"/>
        <v>25642168</v>
      </c>
      <c r="AL26" s="177">
        <f t="shared" si="32"/>
        <v>5686250</v>
      </c>
      <c r="AM26" s="177">
        <f t="shared" si="32"/>
        <v>0</v>
      </c>
      <c r="AN26" s="177">
        <f t="shared" si="33"/>
        <v>5686250</v>
      </c>
      <c r="AO26" s="177">
        <f t="shared" si="34"/>
        <v>1111093</v>
      </c>
      <c r="AP26" s="177">
        <f t="shared" si="34"/>
        <v>0</v>
      </c>
      <c r="AQ26" s="177">
        <f t="shared" si="35"/>
        <v>1111093</v>
      </c>
      <c r="AR26" s="177">
        <f t="shared" si="36"/>
        <v>0</v>
      </c>
      <c r="AS26" s="177">
        <f t="shared" si="36"/>
        <v>0</v>
      </c>
      <c r="AT26" s="177">
        <f t="shared" si="37"/>
        <v>0</v>
      </c>
      <c r="AU26" s="177">
        <f t="shared" si="38"/>
        <v>0</v>
      </c>
      <c r="AV26" s="177">
        <f t="shared" si="38"/>
        <v>0</v>
      </c>
      <c r="AW26" s="177">
        <f t="shared" si="39"/>
        <v>0</v>
      </c>
      <c r="AX26" s="177">
        <f t="shared" si="42"/>
        <v>0</v>
      </c>
      <c r="AY26" s="177">
        <f t="shared" si="42"/>
        <v>0</v>
      </c>
      <c r="AZ26" s="177">
        <f t="shared" si="43"/>
        <v>0</v>
      </c>
      <c r="BA26" s="177">
        <f t="shared" si="18"/>
        <v>52368386</v>
      </c>
      <c r="BB26" s="177">
        <f t="shared" si="18"/>
        <v>119240079</v>
      </c>
      <c r="BC26" s="382">
        <f t="shared" si="19"/>
        <v>171608465</v>
      </c>
    </row>
    <row r="27" spans="1:55" ht="15.75" hidden="1" thickBot="1">
      <c r="A27" s="170">
        <v>40878</v>
      </c>
      <c r="B27" s="378">
        <v>1394142</v>
      </c>
      <c r="C27" s="3">
        <v>53185709</v>
      </c>
      <c r="D27" s="3">
        <f t="shared" si="0"/>
        <v>54579851</v>
      </c>
      <c r="E27" s="3">
        <f t="shared" si="1"/>
        <v>1562774</v>
      </c>
      <c r="F27" s="3">
        <v>0</v>
      </c>
      <c r="G27" s="3">
        <f t="shared" si="2"/>
        <v>1562774</v>
      </c>
      <c r="H27" s="3">
        <v>494127</v>
      </c>
      <c r="I27" s="3">
        <v>0</v>
      </c>
      <c r="J27" s="3">
        <f t="shared" si="3"/>
        <v>494127</v>
      </c>
      <c r="K27" s="3">
        <v>312801</v>
      </c>
      <c r="L27" s="3">
        <v>0</v>
      </c>
      <c r="M27" s="3">
        <f t="shared" si="4"/>
        <v>312801</v>
      </c>
      <c r="N27" s="3">
        <f t="shared" si="5"/>
        <v>0</v>
      </c>
      <c r="O27" s="3">
        <v>0</v>
      </c>
      <c r="P27" s="3">
        <f t="shared" si="6"/>
        <v>0</v>
      </c>
      <c r="Q27" s="3">
        <v>0</v>
      </c>
      <c r="R27" s="3">
        <v>0</v>
      </c>
      <c r="S27" s="3">
        <f t="shared" si="7"/>
        <v>0</v>
      </c>
      <c r="T27" s="3">
        <v>0</v>
      </c>
      <c r="U27" s="3">
        <v>0</v>
      </c>
      <c r="V27" s="3">
        <f t="shared" si="8"/>
        <v>0</v>
      </c>
      <c r="W27" s="3">
        <f t="shared" si="9"/>
        <v>3763844</v>
      </c>
      <c r="X27" s="3">
        <f t="shared" si="9"/>
        <v>53185709</v>
      </c>
      <c r="Y27" s="379">
        <f t="shared" si="10"/>
        <v>56949553</v>
      </c>
      <c r="Z27" s="3">
        <v>671007</v>
      </c>
      <c r="AA27" s="3">
        <v>891767</v>
      </c>
      <c r="AB27" s="380">
        <f t="shared" si="11"/>
        <v>1562774</v>
      </c>
      <c r="AC27" s="3">
        <v>0</v>
      </c>
      <c r="AD27" s="3">
        <v>0</v>
      </c>
      <c r="AE27" s="380">
        <f t="shared" si="40"/>
        <v>0</v>
      </c>
      <c r="AF27" s="381">
        <f t="shared" si="29"/>
        <v>21323017</v>
      </c>
      <c r="AG27" s="177">
        <f t="shared" si="29"/>
        <v>172425788</v>
      </c>
      <c r="AH27" s="177">
        <f t="shared" si="30"/>
        <v>193748805</v>
      </c>
      <c r="AI27" s="177">
        <f t="shared" si="41"/>
        <v>27204942</v>
      </c>
      <c r="AJ27" s="177">
        <f t="shared" si="41"/>
        <v>0</v>
      </c>
      <c r="AK27" s="177">
        <f t="shared" si="31"/>
        <v>27204942</v>
      </c>
      <c r="AL27" s="177">
        <f t="shared" si="32"/>
        <v>6180377</v>
      </c>
      <c r="AM27" s="177">
        <f t="shared" si="32"/>
        <v>0</v>
      </c>
      <c r="AN27" s="177">
        <f t="shared" si="33"/>
        <v>6180377</v>
      </c>
      <c r="AO27" s="177">
        <f t="shared" si="34"/>
        <v>1423894</v>
      </c>
      <c r="AP27" s="177">
        <f t="shared" si="34"/>
        <v>0</v>
      </c>
      <c r="AQ27" s="177">
        <f t="shared" si="35"/>
        <v>1423894</v>
      </c>
      <c r="AR27" s="177">
        <f t="shared" si="36"/>
        <v>0</v>
      </c>
      <c r="AS27" s="177">
        <f t="shared" si="36"/>
        <v>0</v>
      </c>
      <c r="AT27" s="177">
        <f t="shared" si="37"/>
        <v>0</v>
      </c>
      <c r="AU27" s="177">
        <f t="shared" si="38"/>
        <v>0</v>
      </c>
      <c r="AV27" s="177">
        <f t="shared" si="38"/>
        <v>0</v>
      </c>
      <c r="AW27" s="177">
        <f t="shared" si="39"/>
        <v>0</v>
      </c>
      <c r="AX27" s="177">
        <f t="shared" si="42"/>
        <v>0</v>
      </c>
      <c r="AY27" s="177">
        <f t="shared" si="42"/>
        <v>0</v>
      </c>
      <c r="AZ27" s="177">
        <f t="shared" si="43"/>
        <v>0</v>
      </c>
      <c r="BA27" s="177">
        <f t="shared" si="18"/>
        <v>56132230</v>
      </c>
      <c r="BB27" s="177">
        <f t="shared" si="18"/>
        <v>172425788</v>
      </c>
      <c r="BC27" s="382">
        <f t="shared" si="19"/>
        <v>228558018</v>
      </c>
    </row>
    <row r="28" spans="1:55" ht="15.75" hidden="1" thickBot="1">
      <c r="A28" s="171">
        <v>40909</v>
      </c>
      <c r="B28" s="385">
        <v>2206799</v>
      </c>
      <c r="C28" s="104">
        <v>3924080</v>
      </c>
      <c r="D28" s="104">
        <f t="shared" si="0"/>
        <v>6130879</v>
      </c>
      <c r="E28" s="104">
        <f t="shared" si="1"/>
        <v>866598</v>
      </c>
      <c r="F28" s="104">
        <v>0</v>
      </c>
      <c r="G28" s="104">
        <f t="shared" si="2"/>
        <v>866598</v>
      </c>
      <c r="H28" s="104">
        <v>95207</v>
      </c>
      <c r="I28" s="104">
        <v>0</v>
      </c>
      <c r="J28" s="104">
        <f t="shared" si="3"/>
        <v>95207</v>
      </c>
      <c r="K28" s="104">
        <v>264944</v>
      </c>
      <c r="L28" s="104">
        <v>0</v>
      </c>
      <c r="M28" s="104">
        <f t="shared" si="4"/>
        <v>264944</v>
      </c>
      <c r="N28" s="104">
        <f t="shared" si="5"/>
        <v>0</v>
      </c>
      <c r="O28" s="104">
        <v>0</v>
      </c>
      <c r="P28" s="104">
        <f t="shared" si="6"/>
        <v>0</v>
      </c>
      <c r="Q28" s="104">
        <v>0</v>
      </c>
      <c r="R28" s="104">
        <v>0</v>
      </c>
      <c r="S28" s="104">
        <f t="shared" si="7"/>
        <v>0</v>
      </c>
      <c r="T28" s="104">
        <v>0</v>
      </c>
      <c r="U28" s="104">
        <v>0</v>
      </c>
      <c r="V28" s="104">
        <f t="shared" si="8"/>
        <v>0</v>
      </c>
      <c r="W28" s="104">
        <f t="shared" si="9"/>
        <v>3433548</v>
      </c>
      <c r="X28" s="104">
        <f t="shared" si="9"/>
        <v>3924080</v>
      </c>
      <c r="Y28" s="386">
        <f t="shared" si="10"/>
        <v>7357628</v>
      </c>
      <c r="Z28" s="104">
        <v>80752</v>
      </c>
      <c r="AA28" s="104">
        <v>785846</v>
      </c>
      <c r="AB28" s="387">
        <f>AA28+Z28</f>
        <v>866598</v>
      </c>
      <c r="AC28" s="104">
        <v>0</v>
      </c>
      <c r="AD28" s="104">
        <v>0</v>
      </c>
      <c r="AE28" s="387">
        <f>SUM(AC28:AD28)</f>
        <v>0</v>
      </c>
      <c r="AF28" s="388">
        <f>B28</f>
        <v>2206799</v>
      </c>
      <c r="AG28" s="389">
        <f>C28</f>
        <v>3924080</v>
      </c>
      <c r="AH28" s="389">
        <f>AG28+AF28</f>
        <v>6130879</v>
      </c>
      <c r="AI28" s="389">
        <f>E28</f>
        <v>866598</v>
      </c>
      <c r="AJ28" s="389">
        <f>F28</f>
        <v>0</v>
      </c>
      <c r="AK28" s="389">
        <f>AJ28+AI28</f>
        <v>866598</v>
      </c>
      <c r="AL28" s="389">
        <f>H28</f>
        <v>95207</v>
      </c>
      <c r="AM28" s="389">
        <f>I28</f>
        <v>0</v>
      </c>
      <c r="AN28" s="389">
        <f>AM28+AL28</f>
        <v>95207</v>
      </c>
      <c r="AO28" s="389">
        <f>K28</f>
        <v>264944</v>
      </c>
      <c r="AP28" s="389">
        <f>L28</f>
        <v>0</v>
      </c>
      <c r="AQ28" s="389">
        <f>AP28+AO28</f>
        <v>264944</v>
      </c>
      <c r="AR28" s="389">
        <f>N28</f>
        <v>0</v>
      </c>
      <c r="AS28" s="389">
        <f>O28</f>
        <v>0</v>
      </c>
      <c r="AT28" s="389">
        <f>AS28+AR28</f>
        <v>0</v>
      </c>
      <c r="AU28" s="389">
        <f>Q28</f>
        <v>0</v>
      </c>
      <c r="AV28" s="389">
        <f>R28</f>
        <v>0</v>
      </c>
      <c r="AW28" s="389">
        <f>AV28+AU28</f>
        <v>0</v>
      </c>
      <c r="AX28" s="389">
        <f>T28</f>
        <v>0</v>
      </c>
      <c r="AY28" s="389">
        <f>U28</f>
        <v>0</v>
      </c>
      <c r="AZ28" s="389">
        <f>SUM(AX28:AY28)</f>
        <v>0</v>
      </c>
      <c r="BA28" s="389">
        <f t="shared" si="18"/>
        <v>3433548</v>
      </c>
      <c r="BB28" s="389">
        <f t="shared" si="18"/>
        <v>3924080</v>
      </c>
      <c r="BC28" s="390">
        <f t="shared" si="19"/>
        <v>7357628</v>
      </c>
    </row>
    <row r="29" spans="1:55" ht="15.75" hidden="1" thickBot="1">
      <c r="A29" s="170">
        <v>40940</v>
      </c>
      <c r="B29" s="378">
        <v>2190906</v>
      </c>
      <c r="C29" s="3">
        <v>0</v>
      </c>
      <c r="D29" s="3">
        <f t="shared" si="0"/>
        <v>2190906</v>
      </c>
      <c r="E29" s="3">
        <f t="shared" si="1"/>
        <v>2789811</v>
      </c>
      <c r="F29" s="3">
        <v>0</v>
      </c>
      <c r="G29" s="3">
        <f t="shared" si="2"/>
        <v>2789811</v>
      </c>
      <c r="H29" s="3">
        <v>41060</v>
      </c>
      <c r="I29" s="3">
        <v>0</v>
      </c>
      <c r="J29" s="3">
        <f t="shared" si="3"/>
        <v>41060</v>
      </c>
      <c r="K29" s="3">
        <v>295752</v>
      </c>
      <c r="L29" s="3">
        <v>0</v>
      </c>
      <c r="M29" s="3">
        <f t="shared" si="4"/>
        <v>295752</v>
      </c>
      <c r="N29" s="3">
        <f t="shared" si="5"/>
        <v>0</v>
      </c>
      <c r="O29" s="3">
        <v>0</v>
      </c>
      <c r="P29" s="3">
        <f t="shared" si="6"/>
        <v>0</v>
      </c>
      <c r="Q29" s="3">
        <v>0</v>
      </c>
      <c r="R29" s="3">
        <v>0</v>
      </c>
      <c r="S29" s="3">
        <f t="shared" si="7"/>
        <v>0</v>
      </c>
      <c r="T29" s="3">
        <v>0</v>
      </c>
      <c r="U29" s="3">
        <v>0</v>
      </c>
      <c r="V29" s="3">
        <f t="shared" si="8"/>
        <v>0</v>
      </c>
      <c r="W29" s="3">
        <f t="shared" si="9"/>
        <v>5317529</v>
      </c>
      <c r="X29" s="3">
        <f t="shared" si="9"/>
        <v>0</v>
      </c>
      <c r="Y29" s="379">
        <f t="shared" si="10"/>
        <v>5317529</v>
      </c>
      <c r="Z29" s="3">
        <v>2225421</v>
      </c>
      <c r="AA29" s="3">
        <v>564390</v>
      </c>
      <c r="AB29" s="380">
        <f t="shared" si="11"/>
        <v>2789811</v>
      </c>
      <c r="AC29" s="3">
        <v>0</v>
      </c>
      <c r="AD29" s="3">
        <v>0</v>
      </c>
      <c r="AE29" s="380">
        <f>SUM(AC29:AD29)</f>
        <v>0</v>
      </c>
      <c r="AF29" s="381">
        <f t="shared" ref="AF29:AG39" si="44">B29+AF28</f>
        <v>4397705</v>
      </c>
      <c r="AG29" s="177">
        <f t="shared" si="44"/>
        <v>3924080</v>
      </c>
      <c r="AH29" s="177">
        <f t="shared" ref="AH29:AH39" si="45">AG29+AF29</f>
        <v>8321785</v>
      </c>
      <c r="AI29" s="177">
        <f>AI28+E29</f>
        <v>3656409</v>
      </c>
      <c r="AJ29" s="177">
        <f>AJ28+F29</f>
        <v>0</v>
      </c>
      <c r="AK29" s="177">
        <f t="shared" ref="AK29:AK39" si="46">AJ29+AI29</f>
        <v>3656409</v>
      </c>
      <c r="AL29" s="177">
        <f t="shared" ref="AL29:AM39" si="47">AL28+H29</f>
        <v>136267</v>
      </c>
      <c r="AM29" s="177">
        <f t="shared" si="47"/>
        <v>0</v>
      </c>
      <c r="AN29" s="177">
        <f t="shared" ref="AN29:AN39" si="48">AM29+AL29</f>
        <v>136267</v>
      </c>
      <c r="AO29" s="177">
        <f t="shared" ref="AO29:AP39" si="49">AO28+K29</f>
        <v>560696</v>
      </c>
      <c r="AP29" s="177">
        <f t="shared" si="49"/>
        <v>0</v>
      </c>
      <c r="AQ29" s="177">
        <f t="shared" ref="AQ29:AQ39" si="50">AP29+AO29</f>
        <v>560696</v>
      </c>
      <c r="AR29" s="177">
        <f t="shared" ref="AR29:AS39" si="51">AR28+N29</f>
        <v>0</v>
      </c>
      <c r="AS29" s="177">
        <f t="shared" si="51"/>
        <v>0</v>
      </c>
      <c r="AT29" s="177">
        <f t="shared" ref="AT29:AT39" si="52">AS29+AR29</f>
        <v>0</v>
      </c>
      <c r="AU29" s="177">
        <f t="shared" ref="AU29:AV39" si="53">AU28+Q29</f>
        <v>0</v>
      </c>
      <c r="AV29" s="177">
        <f t="shared" si="53"/>
        <v>0</v>
      </c>
      <c r="AW29" s="177">
        <f t="shared" ref="AW29:AW39" si="54">AV29+AU29</f>
        <v>0</v>
      </c>
      <c r="AX29" s="177">
        <f>AX28+T29</f>
        <v>0</v>
      </c>
      <c r="AY29" s="177">
        <f>AY28+U29</f>
        <v>0</v>
      </c>
      <c r="AZ29" s="177">
        <f>SUM(AX29:AY29)</f>
        <v>0</v>
      </c>
      <c r="BA29" s="177">
        <f t="shared" si="18"/>
        <v>8751077</v>
      </c>
      <c r="BB29" s="177">
        <f t="shared" si="18"/>
        <v>3924080</v>
      </c>
      <c r="BC29" s="382">
        <f t="shared" si="19"/>
        <v>12675157</v>
      </c>
    </row>
    <row r="30" spans="1:55" ht="15.75" hidden="1" thickBot="1">
      <c r="A30" s="170">
        <v>40969</v>
      </c>
      <c r="B30" s="378">
        <v>2084816</v>
      </c>
      <c r="C30" s="3">
        <v>18534884</v>
      </c>
      <c r="D30" s="3">
        <f t="shared" si="0"/>
        <v>20619700</v>
      </c>
      <c r="E30" s="3">
        <f t="shared" si="1"/>
        <v>1068269</v>
      </c>
      <c r="F30" s="3">
        <v>0</v>
      </c>
      <c r="G30" s="3">
        <f t="shared" si="2"/>
        <v>1068269</v>
      </c>
      <c r="H30" s="3">
        <v>10326</v>
      </c>
      <c r="I30" s="3">
        <v>0</v>
      </c>
      <c r="J30" s="3">
        <f t="shared" si="3"/>
        <v>10326</v>
      </c>
      <c r="K30" s="3">
        <v>239203</v>
      </c>
      <c r="L30" s="3">
        <v>0</v>
      </c>
      <c r="M30" s="3">
        <f t="shared" si="4"/>
        <v>239203</v>
      </c>
      <c r="N30" s="3">
        <f t="shared" si="5"/>
        <v>0</v>
      </c>
      <c r="O30" s="3">
        <v>0</v>
      </c>
      <c r="P30" s="3">
        <f t="shared" si="6"/>
        <v>0</v>
      </c>
      <c r="Q30" s="3">
        <v>0</v>
      </c>
      <c r="R30" s="3">
        <v>0</v>
      </c>
      <c r="S30" s="3">
        <f t="shared" si="7"/>
        <v>0</v>
      </c>
      <c r="T30" s="3">
        <v>0</v>
      </c>
      <c r="U30" s="3">
        <v>0</v>
      </c>
      <c r="V30" s="3">
        <f t="shared" si="8"/>
        <v>0</v>
      </c>
      <c r="W30" s="3">
        <f t="shared" si="9"/>
        <v>3402614</v>
      </c>
      <c r="X30" s="3">
        <f t="shared" si="9"/>
        <v>18534884</v>
      </c>
      <c r="Y30" s="379">
        <f t="shared" si="10"/>
        <v>21937498</v>
      </c>
      <c r="Z30" s="3">
        <v>579905</v>
      </c>
      <c r="AA30" s="3">
        <v>488364</v>
      </c>
      <c r="AB30" s="380">
        <f t="shared" si="11"/>
        <v>1068269</v>
      </c>
      <c r="AC30" s="3">
        <v>0</v>
      </c>
      <c r="AD30" s="3">
        <v>0</v>
      </c>
      <c r="AE30" s="380">
        <f t="shared" ref="AE30:AE93" si="55">SUM(AC30:AD30)</f>
        <v>0</v>
      </c>
      <c r="AF30" s="381">
        <f t="shared" si="44"/>
        <v>6482521</v>
      </c>
      <c r="AG30" s="177">
        <f t="shared" si="44"/>
        <v>22458964</v>
      </c>
      <c r="AH30" s="177">
        <f t="shared" si="45"/>
        <v>28941485</v>
      </c>
      <c r="AI30" s="177">
        <f t="shared" ref="AI30:AJ39" si="56">AI29+E30</f>
        <v>4724678</v>
      </c>
      <c r="AJ30" s="177">
        <f t="shared" si="56"/>
        <v>0</v>
      </c>
      <c r="AK30" s="177">
        <f t="shared" si="46"/>
        <v>4724678</v>
      </c>
      <c r="AL30" s="177">
        <f t="shared" si="47"/>
        <v>146593</v>
      </c>
      <c r="AM30" s="177">
        <f t="shared" si="47"/>
        <v>0</v>
      </c>
      <c r="AN30" s="177">
        <f t="shared" si="48"/>
        <v>146593</v>
      </c>
      <c r="AO30" s="177">
        <f t="shared" si="49"/>
        <v>799899</v>
      </c>
      <c r="AP30" s="177">
        <f t="shared" si="49"/>
        <v>0</v>
      </c>
      <c r="AQ30" s="177">
        <f t="shared" si="50"/>
        <v>799899</v>
      </c>
      <c r="AR30" s="177">
        <f t="shared" si="51"/>
        <v>0</v>
      </c>
      <c r="AS30" s="177">
        <f t="shared" si="51"/>
        <v>0</v>
      </c>
      <c r="AT30" s="177">
        <f t="shared" si="52"/>
        <v>0</v>
      </c>
      <c r="AU30" s="177">
        <f t="shared" si="53"/>
        <v>0</v>
      </c>
      <c r="AV30" s="177">
        <f t="shared" si="53"/>
        <v>0</v>
      </c>
      <c r="AW30" s="177">
        <f t="shared" si="54"/>
        <v>0</v>
      </c>
      <c r="AX30" s="177">
        <f t="shared" ref="AX30:AY39" si="57">AX29+T30</f>
        <v>0</v>
      </c>
      <c r="AY30" s="177">
        <f t="shared" si="57"/>
        <v>0</v>
      </c>
      <c r="AZ30" s="177">
        <f t="shared" ref="AZ30:AZ39" si="58">SUM(AX30:AY30)</f>
        <v>0</v>
      </c>
      <c r="BA30" s="177">
        <f t="shared" si="18"/>
        <v>12153691</v>
      </c>
      <c r="BB30" s="177">
        <f t="shared" si="18"/>
        <v>22458964</v>
      </c>
      <c r="BC30" s="382">
        <f t="shared" si="19"/>
        <v>34612655</v>
      </c>
    </row>
    <row r="31" spans="1:55" ht="15.75" hidden="1" thickBot="1">
      <c r="A31" s="170">
        <v>41000</v>
      </c>
      <c r="B31" s="378">
        <v>2237130</v>
      </c>
      <c r="C31" s="3">
        <v>13760307</v>
      </c>
      <c r="D31" s="3">
        <f t="shared" si="0"/>
        <v>15997437</v>
      </c>
      <c r="E31" s="3">
        <f t="shared" si="1"/>
        <v>629383</v>
      </c>
      <c r="F31" s="3">
        <v>0</v>
      </c>
      <c r="G31" s="3">
        <f t="shared" si="2"/>
        <v>629383</v>
      </c>
      <c r="H31" s="3">
        <v>0</v>
      </c>
      <c r="I31" s="3">
        <v>0</v>
      </c>
      <c r="J31" s="3">
        <f t="shared" si="3"/>
        <v>0</v>
      </c>
      <c r="K31" s="3">
        <v>233286</v>
      </c>
      <c r="L31" s="3">
        <v>0</v>
      </c>
      <c r="M31" s="3">
        <f t="shared" si="4"/>
        <v>233286</v>
      </c>
      <c r="N31" s="3">
        <f t="shared" si="5"/>
        <v>0</v>
      </c>
      <c r="O31" s="3">
        <v>0</v>
      </c>
      <c r="P31" s="3">
        <f t="shared" si="6"/>
        <v>0</v>
      </c>
      <c r="Q31" s="3">
        <v>0</v>
      </c>
      <c r="R31" s="3">
        <v>0</v>
      </c>
      <c r="S31" s="3">
        <f t="shared" si="7"/>
        <v>0</v>
      </c>
      <c r="T31" s="3">
        <v>0</v>
      </c>
      <c r="U31" s="3">
        <v>0</v>
      </c>
      <c r="V31" s="3">
        <f t="shared" si="8"/>
        <v>0</v>
      </c>
      <c r="W31" s="3">
        <f t="shared" si="9"/>
        <v>3099799</v>
      </c>
      <c r="X31" s="3">
        <f t="shared" si="9"/>
        <v>13760307</v>
      </c>
      <c r="Y31" s="379">
        <f t="shared" si="10"/>
        <v>16860106</v>
      </c>
      <c r="Z31" s="3">
        <v>2080</v>
      </c>
      <c r="AA31" s="3">
        <v>627303</v>
      </c>
      <c r="AB31" s="380">
        <f t="shared" si="11"/>
        <v>629383</v>
      </c>
      <c r="AC31" s="3">
        <v>0</v>
      </c>
      <c r="AD31" s="3">
        <v>0</v>
      </c>
      <c r="AE31" s="380">
        <f t="shared" si="55"/>
        <v>0</v>
      </c>
      <c r="AF31" s="381">
        <f t="shared" si="44"/>
        <v>8719651</v>
      </c>
      <c r="AG31" s="177">
        <f t="shared" si="44"/>
        <v>36219271</v>
      </c>
      <c r="AH31" s="177">
        <f t="shared" si="45"/>
        <v>44938922</v>
      </c>
      <c r="AI31" s="177">
        <f t="shared" si="56"/>
        <v>5354061</v>
      </c>
      <c r="AJ31" s="177">
        <f t="shared" si="56"/>
        <v>0</v>
      </c>
      <c r="AK31" s="177">
        <f t="shared" si="46"/>
        <v>5354061</v>
      </c>
      <c r="AL31" s="177">
        <f t="shared" si="47"/>
        <v>146593</v>
      </c>
      <c r="AM31" s="177">
        <f t="shared" si="47"/>
        <v>0</v>
      </c>
      <c r="AN31" s="177">
        <f t="shared" si="48"/>
        <v>146593</v>
      </c>
      <c r="AO31" s="177">
        <f t="shared" si="49"/>
        <v>1033185</v>
      </c>
      <c r="AP31" s="177">
        <f t="shared" si="49"/>
        <v>0</v>
      </c>
      <c r="AQ31" s="177">
        <f t="shared" si="50"/>
        <v>1033185</v>
      </c>
      <c r="AR31" s="177">
        <f t="shared" si="51"/>
        <v>0</v>
      </c>
      <c r="AS31" s="177">
        <f t="shared" si="51"/>
        <v>0</v>
      </c>
      <c r="AT31" s="177">
        <f t="shared" si="52"/>
        <v>0</v>
      </c>
      <c r="AU31" s="177">
        <f t="shared" si="53"/>
        <v>0</v>
      </c>
      <c r="AV31" s="177">
        <f t="shared" si="53"/>
        <v>0</v>
      </c>
      <c r="AW31" s="177">
        <f t="shared" si="54"/>
        <v>0</v>
      </c>
      <c r="AX31" s="177">
        <f t="shared" si="57"/>
        <v>0</v>
      </c>
      <c r="AY31" s="177">
        <f t="shared" si="57"/>
        <v>0</v>
      </c>
      <c r="AZ31" s="177">
        <f t="shared" si="58"/>
        <v>0</v>
      </c>
      <c r="BA31" s="177">
        <f t="shared" si="18"/>
        <v>15253490</v>
      </c>
      <c r="BB31" s="177">
        <f t="shared" si="18"/>
        <v>36219271</v>
      </c>
      <c r="BC31" s="382">
        <f t="shared" si="19"/>
        <v>51472761</v>
      </c>
    </row>
    <row r="32" spans="1:55" ht="15.75" hidden="1" thickBot="1">
      <c r="A32" s="170">
        <v>41030</v>
      </c>
      <c r="B32" s="378">
        <v>2609704</v>
      </c>
      <c r="C32" s="3">
        <v>14054596</v>
      </c>
      <c r="D32" s="3">
        <f t="shared" si="0"/>
        <v>16664300</v>
      </c>
      <c r="E32" s="3">
        <f t="shared" si="1"/>
        <v>694330</v>
      </c>
      <c r="F32" s="3">
        <v>0</v>
      </c>
      <c r="G32" s="3">
        <f t="shared" si="2"/>
        <v>694330</v>
      </c>
      <c r="H32" s="3">
        <v>0</v>
      </c>
      <c r="I32" s="3">
        <v>0</v>
      </c>
      <c r="J32" s="3">
        <f t="shared" si="3"/>
        <v>0</v>
      </c>
      <c r="K32" s="3">
        <v>289218</v>
      </c>
      <c r="L32" s="3">
        <v>0</v>
      </c>
      <c r="M32" s="3">
        <f t="shared" si="4"/>
        <v>289218</v>
      </c>
      <c r="N32" s="3">
        <f t="shared" si="5"/>
        <v>0</v>
      </c>
      <c r="O32" s="3">
        <v>0</v>
      </c>
      <c r="P32" s="3">
        <f t="shared" si="6"/>
        <v>0</v>
      </c>
      <c r="Q32" s="3">
        <v>0</v>
      </c>
      <c r="R32" s="3">
        <v>0</v>
      </c>
      <c r="S32" s="3">
        <f t="shared" si="7"/>
        <v>0</v>
      </c>
      <c r="T32" s="3">
        <v>0</v>
      </c>
      <c r="U32" s="3">
        <v>0</v>
      </c>
      <c r="V32" s="3">
        <f t="shared" si="8"/>
        <v>0</v>
      </c>
      <c r="W32" s="3">
        <f t="shared" si="9"/>
        <v>3593252</v>
      </c>
      <c r="X32" s="3">
        <f t="shared" si="9"/>
        <v>14054596</v>
      </c>
      <c r="Y32" s="379">
        <f t="shared" si="10"/>
        <v>17647848</v>
      </c>
      <c r="Z32" s="3">
        <v>2000</v>
      </c>
      <c r="AA32" s="3">
        <v>692330</v>
      </c>
      <c r="AB32" s="380">
        <f t="shared" si="11"/>
        <v>694330</v>
      </c>
      <c r="AC32" s="3">
        <v>0</v>
      </c>
      <c r="AD32" s="3">
        <v>0</v>
      </c>
      <c r="AE32" s="380">
        <f t="shared" si="55"/>
        <v>0</v>
      </c>
      <c r="AF32" s="381">
        <f t="shared" si="44"/>
        <v>11329355</v>
      </c>
      <c r="AG32" s="177">
        <f t="shared" si="44"/>
        <v>50273867</v>
      </c>
      <c r="AH32" s="177">
        <f t="shared" si="45"/>
        <v>61603222</v>
      </c>
      <c r="AI32" s="177">
        <f t="shared" si="56"/>
        <v>6048391</v>
      </c>
      <c r="AJ32" s="177">
        <f t="shared" si="56"/>
        <v>0</v>
      </c>
      <c r="AK32" s="177">
        <f t="shared" si="46"/>
        <v>6048391</v>
      </c>
      <c r="AL32" s="177">
        <f t="shared" si="47"/>
        <v>146593</v>
      </c>
      <c r="AM32" s="177">
        <f t="shared" si="47"/>
        <v>0</v>
      </c>
      <c r="AN32" s="177">
        <f t="shared" si="48"/>
        <v>146593</v>
      </c>
      <c r="AO32" s="177">
        <f t="shared" si="49"/>
        <v>1322403</v>
      </c>
      <c r="AP32" s="177">
        <f t="shared" si="49"/>
        <v>0</v>
      </c>
      <c r="AQ32" s="177">
        <f t="shared" si="50"/>
        <v>1322403</v>
      </c>
      <c r="AR32" s="177">
        <f t="shared" si="51"/>
        <v>0</v>
      </c>
      <c r="AS32" s="177">
        <f t="shared" si="51"/>
        <v>0</v>
      </c>
      <c r="AT32" s="177">
        <f t="shared" si="52"/>
        <v>0</v>
      </c>
      <c r="AU32" s="177">
        <f t="shared" si="53"/>
        <v>0</v>
      </c>
      <c r="AV32" s="177">
        <f t="shared" si="53"/>
        <v>0</v>
      </c>
      <c r="AW32" s="177">
        <f t="shared" si="54"/>
        <v>0</v>
      </c>
      <c r="AX32" s="177">
        <f t="shared" si="57"/>
        <v>0</v>
      </c>
      <c r="AY32" s="177">
        <f t="shared" si="57"/>
        <v>0</v>
      </c>
      <c r="AZ32" s="177">
        <f t="shared" si="58"/>
        <v>0</v>
      </c>
      <c r="BA32" s="177">
        <f t="shared" si="18"/>
        <v>18846742</v>
      </c>
      <c r="BB32" s="177">
        <f t="shared" si="18"/>
        <v>50273867</v>
      </c>
      <c r="BC32" s="382">
        <f t="shared" si="19"/>
        <v>69120609</v>
      </c>
    </row>
    <row r="33" spans="1:55" ht="15.75" hidden="1" thickBot="1">
      <c r="A33" s="170">
        <v>41061</v>
      </c>
      <c r="B33" s="378">
        <v>2690340</v>
      </c>
      <c r="C33" s="3">
        <v>36895958</v>
      </c>
      <c r="D33" s="3">
        <f t="shared" si="0"/>
        <v>39586298</v>
      </c>
      <c r="E33" s="3">
        <f t="shared" si="1"/>
        <v>861636</v>
      </c>
      <c r="F33" s="3">
        <v>0</v>
      </c>
      <c r="G33" s="3">
        <f t="shared" si="2"/>
        <v>861636</v>
      </c>
      <c r="H33" s="3">
        <v>19307</v>
      </c>
      <c r="I33" s="3">
        <v>0</v>
      </c>
      <c r="J33" s="3">
        <f t="shared" si="3"/>
        <v>19307</v>
      </c>
      <c r="K33" s="3">
        <v>260906</v>
      </c>
      <c r="L33" s="3">
        <v>0</v>
      </c>
      <c r="M33" s="3">
        <f t="shared" si="4"/>
        <v>260906</v>
      </c>
      <c r="N33" s="3">
        <f t="shared" si="5"/>
        <v>0</v>
      </c>
      <c r="O33" s="3">
        <v>0</v>
      </c>
      <c r="P33" s="3">
        <f t="shared" si="6"/>
        <v>0</v>
      </c>
      <c r="Q33" s="3">
        <v>0</v>
      </c>
      <c r="R33" s="3">
        <v>0</v>
      </c>
      <c r="S33" s="3">
        <f t="shared" si="7"/>
        <v>0</v>
      </c>
      <c r="T33" s="3">
        <v>0</v>
      </c>
      <c r="U33" s="3">
        <v>0</v>
      </c>
      <c r="V33" s="3">
        <f t="shared" si="8"/>
        <v>0</v>
      </c>
      <c r="W33" s="3">
        <f t="shared" si="9"/>
        <v>3832189</v>
      </c>
      <c r="X33" s="3">
        <f t="shared" si="9"/>
        <v>36895958</v>
      </c>
      <c r="Y33" s="379">
        <f t="shared" si="10"/>
        <v>40728147</v>
      </c>
      <c r="Z33" s="3">
        <v>97677</v>
      </c>
      <c r="AA33" s="3">
        <v>763959</v>
      </c>
      <c r="AB33" s="380">
        <f t="shared" si="11"/>
        <v>861636</v>
      </c>
      <c r="AC33" s="3">
        <v>0</v>
      </c>
      <c r="AD33" s="3">
        <v>0</v>
      </c>
      <c r="AE33" s="380">
        <f t="shared" si="55"/>
        <v>0</v>
      </c>
      <c r="AF33" s="381">
        <f t="shared" si="44"/>
        <v>14019695</v>
      </c>
      <c r="AG33" s="177">
        <f t="shared" si="44"/>
        <v>87169825</v>
      </c>
      <c r="AH33" s="177">
        <f t="shared" si="45"/>
        <v>101189520</v>
      </c>
      <c r="AI33" s="177">
        <f t="shared" si="56"/>
        <v>6910027</v>
      </c>
      <c r="AJ33" s="177">
        <f t="shared" si="56"/>
        <v>0</v>
      </c>
      <c r="AK33" s="177">
        <f t="shared" si="46"/>
        <v>6910027</v>
      </c>
      <c r="AL33" s="177">
        <f t="shared" si="47"/>
        <v>165900</v>
      </c>
      <c r="AM33" s="177">
        <f t="shared" si="47"/>
        <v>0</v>
      </c>
      <c r="AN33" s="177">
        <f t="shared" si="48"/>
        <v>165900</v>
      </c>
      <c r="AO33" s="177">
        <f t="shared" si="49"/>
        <v>1583309</v>
      </c>
      <c r="AP33" s="177">
        <f t="shared" si="49"/>
        <v>0</v>
      </c>
      <c r="AQ33" s="177">
        <f t="shared" si="50"/>
        <v>1583309</v>
      </c>
      <c r="AR33" s="177">
        <f t="shared" si="51"/>
        <v>0</v>
      </c>
      <c r="AS33" s="177">
        <f t="shared" si="51"/>
        <v>0</v>
      </c>
      <c r="AT33" s="177">
        <f t="shared" si="52"/>
        <v>0</v>
      </c>
      <c r="AU33" s="177">
        <f t="shared" si="53"/>
        <v>0</v>
      </c>
      <c r="AV33" s="177">
        <f t="shared" si="53"/>
        <v>0</v>
      </c>
      <c r="AW33" s="177">
        <f t="shared" si="54"/>
        <v>0</v>
      </c>
      <c r="AX33" s="177">
        <f t="shared" si="57"/>
        <v>0</v>
      </c>
      <c r="AY33" s="177">
        <f t="shared" si="57"/>
        <v>0</v>
      </c>
      <c r="AZ33" s="177">
        <f t="shared" si="58"/>
        <v>0</v>
      </c>
      <c r="BA33" s="177">
        <f t="shared" si="18"/>
        <v>22678931</v>
      </c>
      <c r="BB33" s="177">
        <f t="shared" si="18"/>
        <v>87169825</v>
      </c>
      <c r="BC33" s="382">
        <f t="shared" si="19"/>
        <v>109848756</v>
      </c>
    </row>
    <row r="34" spans="1:55" ht="15.75" hidden="1" thickBot="1">
      <c r="A34" s="170">
        <v>41091</v>
      </c>
      <c r="B34" s="378">
        <v>2522719</v>
      </c>
      <c r="C34" s="3">
        <v>48445637</v>
      </c>
      <c r="D34" s="3">
        <f t="shared" si="0"/>
        <v>50968356</v>
      </c>
      <c r="E34" s="3">
        <f t="shared" si="1"/>
        <v>913089</v>
      </c>
      <c r="F34" s="3">
        <v>0</v>
      </c>
      <c r="G34" s="3">
        <f t="shared" si="2"/>
        <v>913089</v>
      </c>
      <c r="H34" s="3">
        <v>30224</v>
      </c>
      <c r="I34" s="3">
        <v>0</v>
      </c>
      <c r="J34" s="3">
        <f t="shared" si="3"/>
        <v>30224</v>
      </c>
      <c r="K34" s="3">
        <v>279550</v>
      </c>
      <c r="L34" s="3">
        <v>0</v>
      </c>
      <c r="M34" s="3">
        <f t="shared" si="4"/>
        <v>279550</v>
      </c>
      <c r="N34" s="3">
        <f t="shared" si="5"/>
        <v>0</v>
      </c>
      <c r="O34" s="3">
        <v>0</v>
      </c>
      <c r="P34" s="3">
        <f t="shared" si="6"/>
        <v>0</v>
      </c>
      <c r="Q34" s="3">
        <v>0</v>
      </c>
      <c r="R34" s="3">
        <v>0</v>
      </c>
      <c r="S34" s="3">
        <f t="shared" si="7"/>
        <v>0</v>
      </c>
      <c r="T34" s="3">
        <v>0</v>
      </c>
      <c r="U34" s="3">
        <v>0</v>
      </c>
      <c r="V34" s="3">
        <f t="shared" si="8"/>
        <v>0</v>
      </c>
      <c r="W34" s="3">
        <f t="shared" si="9"/>
        <v>3745582</v>
      </c>
      <c r="X34" s="3">
        <f t="shared" si="9"/>
        <v>48445637</v>
      </c>
      <c r="Y34" s="379">
        <f t="shared" si="10"/>
        <v>52191219</v>
      </c>
      <c r="Z34" s="3">
        <v>471723</v>
      </c>
      <c r="AA34" s="3">
        <v>441366</v>
      </c>
      <c r="AB34" s="380">
        <f t="shared" si="11"/>
        <v>913089</v>
      </c>
      <c r="AC34" s="3">
        <v>0</v>
      </c>
      <c r="AD34" s="3">
        <v>0</v>
      </c>
      <c r="AE34" s="380">
        <f t="shared" si="55"/>
        <v>0</v>
      </c>
      <c r="AF34" s="381">
        <f t="shared" si="44"/>
        <v>16542414</v>
      </c>
      <c r="AG34" s="177">
        <f t="shared" si="44"/>
        <v>135615462</v>
      </c>
      <c r="AH34" s="177">
        <f t="shared" si="45"/>
        <v>152157876</v>
      </c>
      <c r="AI34" s="177">
        <f t="shared" si="56"/>
        <v>7823116</v>
      </c>
      <c r="AJ34" s="177">
        <f t="shared" si="56"/>
        <v>0</v>
      </c>
      <c r="AK34" s="177">
        <f t="shared" si="46"/>
        <v>7823116</v>
      </c>
      <c r="AL34" s="177">
        <f t="shared" si="47"/>
        <v>196124</v>
      </c>
      <c r="AM34" s="177">
        <f t="shared" si="47"/>
        <v>0</v>
      </c>
      <c r="AN34" s="177">
        <f t="shared" si="48"/>
        <v>196124</v>
      </c>
      <c r="AO34" s="177">
        <f t="shared" si="49"/>
        <v>1862859</v>
      </c>
      <c r="AP34" s="177">
        <f t="shared" si="49"/>
        <v>0</v>
      </c>
      <c r="AQ34" s="177">
        <f t="shared" si="50"/>
        <v>1862859</v>
      </c>
      <c r="AR34" s="177">
        <f t="shared" si="51"/>
        <v>0</v>
      </c>
      <c r="AS34" s="177">
        <f t="shared" si="51"/>
        <v>0</v>
      </c>
      <c r="AT34" s="177">
        <f t="shared" si="52"/>
        <v>0</v>
      </c>
      <c r="AU34" s="177">
        <f t="shared" si="53"/>
        <v>0</v>
      </c>
      <c r="AV34" s="177">
        <f t="shared" si="53"/>
        <v>0</v>
      </c>
      <c r="AW34" s="177">
        <f t="shared" si="54"/>
        <v>0</v>
      </c>
      <c r="AX34" s="177">
        <f t="shared" si="57"/>
        <v>0</v>
      </c>
      <c r="AY34" s="177">
        <f t="shared" si="57"/>
        <v>0</v>
      </c>
      <c r="AZ34" s="177">
        <f t="shared" si="58"/>
        <v>0</v>
      </c>
      <c r="BA34" s="177">
        <f t="shared" si="18"/>
        <v>26424513</v>
      </c>
      <c r="BB34" s="177">
        <f t="shared" si="18"/>
        <v>135615462</v>
      </c>
      <c r="BC34" s="382">
        <f t="shared" si="19"/>
        <v>162039975</v>
      </c>
    </row>
    <row r="35" spans="1:55" ht="15.75" hidden="1" thickBot="1">
      <c r="A35" s="170">
        <v>41122</v>
      </c>
      <c r="B35" s="378">
        <v>2687091</v>
      </c>
      <c r="C35" s="3">
        <v>82020340</v>
      </c>
      <c r="D35" s="3">
        <f t="shared" si="0"/>
        <v>84707431</v>
      </c>
      <c r="E35" s="3">
        <f t="shared" si="1"/>
        <v>2096952</v>
      </c>
      <c r="F35" s="3">
        <v>0</v>
      </c>
      <c r="G35" s="3">
        <f t="shared" si="2"/>
        <v>2096952</v>
      </c>
      <c r="H35" s="3">
        <v>0</v>
      </c>
      <c r="I35" s="3">
        <v>0</v>
      </c>
      <c r="J35" s="3">
        <f t="shared" si="3"/>
        <v>0</v>
      </c>
      <c r="K35" s="3">
        <v>305175</v>
      </c>
      <c r="L35" s="3">
        <v>0</v>
      </c>
      <c r="M35" s="3">
        <f t="shared" si="4"/>
        <v>305175</v>
      </c>
      <c r="N35" s="3">
        <f t="shared" si="5"/>
        <v>0</v>
      </c>
      <c r="O35" s="3">
        <v>0</v>
      </c>
      <c r="P35" s="3">
        <f t="shared" si="6"/>
        <v>0</v>
      </c>
      <c r="Q35" s="3">
        <v>0</v>
      </c>
      <c r="R35" s="3">
        <v>0</v>
      </c>
      <c r="S35" s="3">
        <f t="shared" si="7"/>
        <v>0</v>
      </c>
      <c r="T35" s="3">
        <v>0</v>
      </c>
      <c r="U35" s="3">
        <v>0</v>
      </c>
      <c r="V35" s="3">
        <f t="shared" si="8"/>
        <v>0</v>
      </c>
      <c r="W35" s="3">
        <f t="shared" si="9"/>
        <v>5089218</v>
      </c>
      <c r="X35" s="3">
        <f t="shared" si="9"/>
        <v>82020340</v>
      </c>
      <c r="Y35" s="379">
        <f t="shared" si="10"/>
        <v>87109558</v>
      </c>
      <c r="Z35" s="3">
        <v>1296</v>
      </c>
      <c r="AA35" s="3">
        <v>2095656</v>
      </c>
      <c r="AB35" s="380">
        <f t="shared" si="11"/>
        <v>2096952</v>
      </c>
      <c r="AC35" s="3">
        <v>0</v>
      </c>
      <c r="AD35" s="3">
        <v>0</v>
      </c>
      <c r="AE35" s="380">
        <f t="shared" si="55"/>
        <v>0</v>
      </c>
      <c r="AF35" s="381">
        <f t="shared" si="44"/>
        <v>19229505</v>
      </c>
      <c r="AG35" s="177">
        <f t="shared" si="44"/>
        <v>217635802</v>
      </c>
      <c r="AH35" s="177">
        <f t="shared" si="45"/>
        <v>236865307</v>
      </c>
      <c r="AI35" s="177">
        <f t="shared" si="56"/>
        <v>9920068</v>
      </c>
      <c r="AJ35" s="177">
        <f t="shared" si="56"/>
        <v>0</v>
      </c>
      <c r="AK35" s="177">
        <f t="shared" si="46"/>
        <v>9920068</v>
      </c>
      <c r="AL35" s="177">
        <f t="shared" si="47"/>
        <v>196124</v>
      </c>
      <c r="AM35" s="177">
        <f t="shared" si="47"/>
        <v>0</v>
      </c>
      <c r="AN35" s="177">
        <f t="shared" si="48"/>
        <v>196124</v>
      </c>
      <c r="AO35" s="177">
        <f t="shared" si="49"/>
        <v>2168034</v>
      </c>
      <c r="AP35" s="177">
        <f t="shared" si="49"/>
        <v>0</v>
      </c>
      <c r="AQ35" s="177">
        <f t="shared" si="50"/>
        <v>2168034</v>
      </c>
      <c r="AR35" s="177">
        <f t="shared" si="51"/>
        <v>0</v>
      </c>
      <c r="AS35" s="177">
        <f t="shared" si="51"/>
        <v>0</v>
      </c>
      <c r="AT35" s="177">
        <f t="shared" si="52"/>
        <v>0</v>
      </c>
      <c r="AU35" s="177">
        <f t="shared" si="53"/>
        <v>0</v>
      </c>
      <c r="AV35" s="177">
        <f t="shared" si="53"/>
        <v>0</v>
      </c>
      <c r="AW35" s="177">
        <f t="shared" si="54"/>
        <v>0</v>
      </c>
      <c r="AX35" s="177">
        <f t="shared" si="57"/>
        <v>0</v>
      </c>
      <c r="AY35" s="177">
        <f t="shared" si="57"/>
        <v>0</v>
      </c>
      <c r="AZ35" s="177">
        <f t="shared" si="58"/>
        <v>0</v>
      </c>
      <c r="BA35" s="177">
        <f t="shared" si="18"/>
        <v>31513731</v>
      </c>
      <c r="BB35" s="177">
        <f t="shared" si="18"/>
        <v>217635802</v>
      </c>
      <c r="BC35" s="382">
        <f t="shared" si="19"/>
        <v>249149533</v>
      </c>
    </row>
    <row r="36" spans="1:55" ht="15.75" hidden="1" thickBot="1">
      <c r="A36" s="170">
        <v>41153</v>
      </c>
      <c r="B36" s="378">
        <v>2013963</v>
      </c>
      <c r="C36" s="3">
        <v>74568582</v>
      </c>
      <c r="D36" s="3">
        <f t="shared" si="0"/>
        <v>76582545</v>
      </c>
      <c r="E36" s="3">
        <f t="shared" si="1"/>
        <v>1768113</v>
      </c>
      <c r="F36" s="3">
        <v>0</v>
      </c>
      <c r="G36" s="3">
        <f t="shared" si="2"/>
        <v>1768113</v>
      </c>
      <c r="H36" s="3">
        <v>0</v>
      </c>
      <c r="I36" s="3">
        <v>0</v>
      </c>
      <c r="J36" s="3">
        <f t="shared" si="3"/>
        <v>0</v>
      </c>
      <c r="K36" s="3">
        <v>79715</v>
      </c>
      <c r="L36" s="3">
        <v>0</v>
      </c>
      <c r="M36" s="3">
        <f t="shared" si="4"/>
        <v>79715</v>
      </c>
      <c r="N36" s="3">
        <f t="shared" si="5"/>
        <v>0</v>
      </c>
      <c r="O36" s="3">
        <v>0</v>
      </c>
      <c r="P36" s="3">
        <f t="shared" si="6"/>
        <v>0</v>
      </c>
      <c r="Q36" s="3">
        <v>0</v>
      </c>
      <c r="R36" s="3">
        <v>0</v>
      </c>
      <c r="S36" s="3">
        <f t="shared" si="7"/>
        <v>0</v>
      </c>
      <c r="T36" s="3">
        <v>0</v>
      </c>
      <c r="U36" s="3">
        <v>0</v>
      </c>
      <c r="V36" s="3">
        <f t="shared" si="8"/>
        <v>0</v>
      </c>
      <c r="W36" s="3">
        <f t="shared" si="9"/>
        <v>3861791</v>
      </c>
      <c r="X36" s="3">
        <f t="shared" si="9"/>
        <v>74568582</v>
      </c>
      <c r="Y36" s="379">
        <f t="shared" si="10"/>
        <v>78430373</v>
      </c>
      <c r="Z36" s="3">
        <v>1600</v>
      </c>
      <c r="AA36" s="3">
        <v>1766513</v>
      </c>
      <c r="AB36" s="380">
        <f t="shared" si="11"/>
        <v>1768113</v>
      </c>
      <c r="AC36" s="3">
        <v>0</v>
      </c>
      <c r="AD36" s="3">
        <v>0</v>
      </c>
      <c r="AE36" s="380">
        <f t="shared" si="55"/>
        <v>0</v>
      </c>
      <c r="AF36" s="381">
        <f t="shared" si="44"/>
        <v>21243468</v>
      </c>
      <c r="AG36" s="177">
        <f t="shared" si="44"/>
        <v>292204384</v>
      </c>
      <c r="AH36" s="177">
        <f t="shared" si="45"/>
        <v>313447852</v>
      </c>
      <c r="AI36" s="177">
        <f t="shared" si="56"/>
        <v>11688181</v>
      </c>
      <c r="AJ36" s="177">
        <f t="shared" si="56"/>
        <v>0</v>
      </c>
      <c r="AK36" s="177">
        <f t="shared" si="46"/>
        <v>11688181</v>
      </c>
      <c r="AL36" s="177">
        <f t="shared" si="47"/>
        <v>196124</v>
      </c>
      <c r="AM36" s="177">
        <f t="shared" si="47"/>
        <v>0</v>
      </c>
      <c r="AN36" s="177">
        <f t="shared" si="48"/>
        <v>196124</v>
      </c>
      <c r="AO36" s="177">
        <f t="shared" si="49"/>
        <v>2247749</v>
      </c>
      <c r="AP36" s="177">
        <f t="shared" si="49"/>
        <v>0</v>
      </c>
      <c r="AQ36" s="177">
        <f t="shared" si="50"/>
        <v>2247749</v>
      </c>
      <c r="AR36" s="177">
        <f t="shared" si="51"/>
        <v>0</v>
      </c>
      <c r="AS36" s="177">
        <f t="shared" si="51"/>
        <v>0</v>
      </c>
      <c r="AT36" s="177">
        <f t="shared" si="52"/>
        <v>0</v>
      </c>
      <c r="AU36" s="177">
        <f t="shared" si="53"/>
        <v>0</v>
      </c>
      <c r="AV36" s="177">
        <f t="shared" si="53"/>
        <v>0</v>
      </c>
      <c r="AW36" s="177">
        <f t="shared" si="54"/>
        <v>0</v>
      </c>
      <c r="AX36" s="177">
        <f t="shared" si="57"/>
        <v>0</v>
      </c>
      <c r="AY36" s="177">
        <f t="shared" si="57"/>
        <v>0</v>
      </c>
      <c r="AZ36" s="177">
        <f t="shared" si="58"/>
        <v>0</v>
      </c>
      <c r="BA36" s="177">
        <f t="shared" si="18"/>
        <v>35375522</v>
      </c>
      <c r="BB36" s="177">
        <f t="shared" si="18"/>
        <v>292204384</v>
      </c>
      <c r="BC36" s="382">
        <f t="shared" si="19"/>
        <v>327579906</v>
      </c>
    </row>
    <row r="37" spans="1:55" ht="15.75" hidden="1" thickBot="1">
      <c r="A37" s="170">
        <v>41183</v>
      </c>
      <c r="B37" s="378">
        <v>2384701</v>
      </c>
      <c r="C37" s="3">
        <v>74666044</v>
      </c>
      <c r="D37" s="3">
        <f t="shared" si="0"/>
        <v>77050745</v>
      </c>
      <c r="E37" s="3">
        <f t="shared" si="1"/>
        <v>1902948</v>
      </c>
      <c r="F37" s="3">
        <v>0</v>
      </c>
      <c r="G37" s="3">
        <f t="shared" si="2"/>
        <v>1902948</v>
      </c>
      <c r="H37" s="3">
        <v>0</v>
      </c>
      <c r="I37" s="3">
        <v>0</v>
      </c>
      <c r="J37" s="3">
        <f t="shared" si="3"/>
        <v>0</v>
      </c>
      <c r="K37" s="3">
        <v>177688</v>
      </c>
      <c r="L37" s="3">
        <v>0</v>
      </c>
      <c r="M37" s="3">
        <f t="shared" si="4"/>
        <v>177688</v>
      </c>
      <c r="N37" s="3">
        <f t="shared" si="5"/>
        <v>0</v>
      </c>
      <c r="O37" s="3">
        <v>0</v>
      </c>
      <c r="P37" s="3">
        <f t="shared" si="6"/>
        <v>0</v>
      </c>
      <c r="Q37" s="3">
        <v>0</v>
      </c>
      <c r="R37" s="3">
        <v>0</v>
      </c>
      <c r="S37" s="3">
        <f t="shared" si="7"/>
        <v>0</v>
      </c>
      <c r="T37" s="3">
        <v>0</v>
      </c>
      <c r="U37" s="3">
        <v>0</v>
      </c>
      <c r="V37" s="3">
        <f t="shared" si="8"/>
        <v>0</v>
      </c>
      <c r="W37" s="3">
        <f t="shared" si="9"/>
        <v>4465337</v>
      </c>
      <c r="X37" s="3">
        <f t="shared" si="9"/>
        <v>74666044</v>
      </c>
      <c r="Y37" s="379">
        <f t="shared" si="10"/>
        <v>79131381</v>
      </c>
      <c r="Z37" s="3">
        <v>1680</v>
      </c>
      <c r="AA37" s="3">
        <v>1901268</v>
      </c>
      <c r="AB37" s="380">
        <f t="shared" si="11"/>
        <v>1902948</v>
      </c>
      <c r="AC37" s="3">
        <v>0</v>
      </c>
      <c r="AD37" s="3">
        <v>0</v>
      </c>
      <c r="AE37" s="380">
        <f t="shared" si="55"/>
        <v>0</v>
      </c>
      <c r="AF37" s="381">
        <f t="shared" si="44"/>
        <v>23628169</v>
      </c>
      <c r="AG37" s="177">
        <f t="shared" si="44"/>
        <v>366870428</v>
      </c>
      <c r="AH37" s="177">
        <f t="shared" si="45"/>
        <v>390498597</v>
      </c>
      <c r="AI37" s="177">
        <f t="shared" si="56"/>
        <v>13591129</v>
      </c>
      <c r="AJ37" s="177">
        <f t="shared" si="56"/>
        <v>0</v>
      </c>
      <c r="AK37" s="177">
        <f t="shared" si="46"/>
        <v>13591129</v>
      </c>
      <c r="AL37" s="177">
        <f t="shared" si="47"/>
        <v>196124</v>
      </c>
      <c r="AM37" s="177">
        <f t="shared" si="47"/>
        <v>0</v>
      </c>
      <c r="AN37" s="177">
        <f t="shared" si="48"/>
        <v>196124</v>
      </c>
      <c r="AO37" s="177">
        <f t="shared" si="49"/>
        <v>2425437</v>
      </c>
      <c r="AP37" s="177">
        <f t="shared" si="49"/>
        <v>0</v>
      </c>
      <c r="AQ37" s="177">
        <f t="shared" si="50"/>
        <v>2425437</v>
      </c>
      <c r="AR37" s="177">
        <f t="shared" si="51"/>
        <v>0</v>
      </c>
      <c r="AS37" s="177">
        <f t="shared" si="51"/>
        <v>0</v>
      </c>
      <c r="AT37" s="177">
        <f t="shared" si="52"/>
        <v>0</v>
      </c>
      <c r="AU37" s="177">
        <f t="shared" si="53"/>
        <v>0</v>
      </c>
      <c r="AV37" s="177">
        <f t="shared" si="53"/>
        <v>0</v>
      </c>
      <c r="AW37" s="177">
        <f t="shared" si="54"/>
        <v>0</v>
      </c>
      <c r="AX37" s="177">
        <f t="shared" si="57"/>
        <v>0</v>
      </c>
      <c r="AY37" s="177">
        <f t="shared" si="57"/>
        <v>0</v>
      </c>
      <c r="AZ37" s="177">
        <f t="shared" si="58"/>
        <v>0</v>
      </c>
      <c r="BA37" s="177">
        <f t="shared" si="18"/>
        <v>39840859</v>
      </c>
      <c r="BB37" s="177">
        <f t="shared" si="18"/>
        <v>366870428</v>
      </c>
      <c r="BC37" s="382">
        <f t="shared" si="19"/>
        <v>406711287</v>
      </c>
    </row>
    <row r="38" spans="1:55" ht="15.75" hidden="1" thickBot="1">
      <c r="A38" s="170">
        <v>41214</v>
      </c>
      <c r="B38" s="378">
        <v>2430060</v>
      </c>
      <c r="C38" s="3">
        <v>106309471</v>
      </c>
      <c r="D38" s="3">
        <f t="shared" si="0"/>
        <v>108739531</v>
      </c>
      <c r="E38" s="3">
        <f t="shared" si="1"/>
        <v>3238603</v>
      </c>
      <c r="F38" s="3">
        <v>0</v>
      </c>
      <c r="G38" s="3">
        <f t="shared" si="2"/>
        <v>3238603</v>
      </c>
      <c r="H38" s="3">
        <v>0</v>
      </c>
      <c r="I38" s="3">
        <v>0</v>
      </c>
      <c r="J38" s="3">
        <f t="shared" si="3"/>
        <v>0</v>
      </c>
      <c r="K38" s="3">
        <v>296569</v>
      </c>
      <c r="L38" s="3">
        <v>0</v>
      </c>
      <c r="M38" s="3">
        <f t="shared" si="4"/>
        <v>296569</v>
      </c>
      <c r="N38" s="3">
        <f t="shared" si="5"/>
        <v>0</v>
      </c>
      <c r="O38" s="3">
        <v>0</v>
      </c>
      <c r="P38" s="3">
        <f t="shared" si="6"/>
        <v>0</v>
      </c>
      <c r="Q38" s="3">
        <v>0</v>
      </c>
      <c r="R38" s="3">
        <v>0</v>
      </c>
      <c r="S38" s="3">
        <f t="shared" si="7"/>
        <v>0</v>
      </c>
      <c r="T38" s="3">
        <v>0</v>
      </c>
      <c r="U38" s="3">
        <v>0</v>
      </c>
      <c r="V38" s="3">
        <f t="shared" si="8"/>
        <v>0</v>
      </c>
      <c r="W38" s="3">
        <f t="shared" si="9"/>
        <v>5965232</v>
      </c>
      <c r="X38" s="3">
        <f t="shared" si="9"/>
        <v>106309471</v>
      </c>
      <c r="Y38" s="379">
        <f t="shared" si="10"/>
        <v>112274703</v>
      </c>
      <c r="Z38" s="3">
        <v>1920</v>
      </c>
      <c r="AA38" s="3">
        <v>3236683</v>
      </c>
      <c r="AB38" s="380">
        <f t="shared" si="11"/>
        <v>3238603</v>
      </c>
      <c r="AC38" s="3">
        <v>0</v>
      </c>
      <c r="AD38" s="3">
        <v>0</v>
      </c>
      <c r="AE38" s="380">
        <f t="shared" si="55"/>
        <v>0</v>
      </c>
      <c r="AF38" s="381">
        <f t="shared" si="44"/>
        <v>26058229</v>
      </c>
      <c r="AG38" s="177">
        <f t="shared" si="44"/>
        <v>473179899</v>
      </c>
      <c r="AH38" s="177">
        <f t="shared" si="45"/>
        <v>499238128</v>
      </c>
      <c r="AI38" s="177">
        <f t="shared" si="56"/>
        <v>16829732</v>
      </c>
      <c r="AJ38" s="177">
        <f t="shared" si="56"/>
        <v>0</v>
      </c>
      <c r="AK38" s="177">
        <f t="shared" si="46"/>
        <v>16829732</v>
      </c>
      <c r="AL38" s="177">
        <f t="shared" si="47"/>
        <v>196124</v>
      </c>
      <c r="AM38" s="177">
        <f t="shared" si="47"/>
        <v>0</v>
      </c>
      <c r="AN38" s="177">
        <f t="shared" si="48"/>
        <v>196124</v>
      </c>
      <c r="AO38" s="177">
        <f t="shared" si="49"/>
        <v>2722006</v>
      </c>
      <c r="AP38" s="177">
        <f t="shared" si="49"/>
        <v>0</v>
      </c>
      <c r="AQ38" s="177">
        <f t="shared" si="50"/>
        <v>2722006</v>
      </c>
      <c r="AR38" s="177">
        <f t="shared" si="51"/>
        <v>0</v>
      </c>
      <c r="AS38" s="177">
        <f t="shared" si="51"/>
        <v>0</v>
      </c>
      <c r="AT38" s="177">
        <f t="shared" si="52"/>
        <v>0</v>
      </c>
      <c r="AU38" s="177">
        <f t="shared" si="53"/>
        <v>0</v>
      </c>
      <c r="AV38" s="177">
        <f t="shared" si="53"/>
        <v>0</v>
      </c>
      <c r="AW38" s="177">
        <f t="shared" si="54"/>
        <v>0</v>
      </c>
      <c r="AX38" s="177">
        <f t="shared" si="57"/>
        <v>0</v>
      </c>
      <c r="AY38" s="177">
        <f t="shared" si="57"/>
        <v>0</v>
      </c>
      <c r="AZ38" s="177">
        <f t="shared" si="58"/>
        <v>0</v>
      </c>
      <c r="BA38" s="177">
        <f t="shared" si="18"/>
        <v>45806091</v>
      </c>
      <c r="BB38" s="177">
        <f t="shared" si="18"/>
        <v>473179899</v>
      </c>
      <c r="BC38" s="382">
        <f t="shared" si="19"/>
        <v>518985990</v>
      </c>
    </row>
    <row r="39" spans="1:55" ht="15.75" hidden="1" thickBot="1">
      <c r="A39" s="170">
        <v>41244</v>
      </c>
      <c r="B39" s="378">
        <v>1610352</v>
      </c>
      <c r="C39" s="3">
        <v>102613203</v>
      </c>
      <c r="D39" s="3">
        <f t="shared" si="0"/>
        <v>104223555</v>
      </c>
      <c r="E39" s="3">
        <f t="shared" si="1"/>
        <v>3703141</v>
      </c>
      <c r="F39" s="3">
        <v>0</v>
      </c>
      <c r="G39" s="3">
        <f t="shared" si="2"/>
        <v>3703141</v>
      </c>
      <c r="H39" s="3">
        <v>0</v>
      </c>
      <c r="I39" s="3">
        <v>0</v>
      </c>
      <c r="J39" s="3">
        <f t="shared" si="3"/>
        <v>0</v>
      </c>
      <c r="K39" s="3">
        <v>160003</v>
      </c>
      <c r="L39" s="3">
        <v>0</v>
      </c>
      <c r="M39" s="3">
        <f t="shared" si="4"/>
        <v>160003</v>
      </c>
      <c r="N39" s="3">
        <f t="shared" si="5"/>
        <v>0</v>
      </c>
      <c r="O39" s="3">
        <v>0</v>
      </c>
      <c r="P39" s="3">
        <f t="shared" si="6"/>
        <v>0</v>
      </c>
      <c r="Q39" s="3">
        <v>0</v>
      </c>
      <c r="R39" s="3">
        <v>0</v>
      </c>
      <c r="S39" s="3">
        <f t="shared" si="7"/>
        <v>0</v>
      </c>
      <c r="T39" s="3">
        <v>0</v>
      </c>
      <c r="U39" s="3">
        <v>0</v>
      </c>
      <c r="V39" s="3">
        <f t="shared" si="8"/>
        <v>0</v>
      </c>
      <c r="W39" s="3">
        <f t="shared" si="9"/>
        <v>5473496</v>
      </c>
      <c r="X39" s="3">
        <f t="shared" si="9"/>
        <v>102613203</v>
      </c>
      <c r="Y39" s="379">
        <f t="shared" si="10"/>
        <v>108086699</v>
      </c>
      <c r="Z39" s="3">
        <v>1600</v>
      </c>
      <c r="AA39" s="3">
        <v>3701541</v>
      </c>
      <c r="AB39" s="380">
        <f t="shared" si="11"/>
        <v>3703141</v>
      </c>
      <c r="AC39" s="3">
        <v>0</v>
      </c>
      <c r="AD39" s="3">
        <v>0</v>
      </c>
      <c r="AE39" s="380">
        <f t="shared" si="55"/>
        <v>0</v>
      </c>
      <c r="AF39" s="381">
        <f t="shared" si="44"/>
        <v>27668581</v>
      </c>
      <c r="AG39" s="177">
        <f t="shared" si="44"/>
        <v>575793102</v>
      </c>
      <c r="AH39" s="177">
        <f t="shared" si="45"/>
        <v>603461683</v>
      </c>
      <c r="AI39" s="177">
        <f t="shared" si="56"/>
        <v>20532873</v>
      </c>
      <c r="AJ39" s="177">
        <f t="shared" si="56"/>
        <v>0</v>
      </c>
      <c r="AK39" s="177">
        <f t="shared" si="46"/>
        <v>20532873</v>
      </c>
      <c r="AL39" s="177">
        <f t="shared" si="47"/>
        <v>196124</v>
      </c>
      <c r="AM39" s="177">
        <f t="shared" si="47"/>
        <v>0</v>
      </c>
      <c r="AN39" s="177">
        <f t="shared" si="48"/>
        <v>196124</v>
      </c>
      <c r="AO39" s="177">
        <f t="shared" si="49"/>
        <v>2882009</v>
      </c>
      <c r="AP39" s="177">
        <f t="shared" si="49"/>
        <v>0</v>
      </c>
      <c r="AQ39" s="177">
        <f t="shared" si="50"/>
        <v>2882009</v>
      </c>
      <c r="AR39" s="177">
        <f t="shared" si="51"/>
        <v>0</v>
      </c>
      <c r="AS39" s="177">
        <f t="shared" si="51"/>
        <v>0</v>
      </c>
      <c r="AT39" s="177">
        <f t="shared" si="52"/>
        <v>0</v>
      </c>
      <c r="AU39" s="177">
        <f t="shared" si="53"/>
        <v>0</v>
      </c>
      <c r="AV39" s="177">
        <f t="shared" si="53"/>
        <v>0</v>
      </c>
      <c r="AW39" s="177">
        <f t="shared" si="54"/>
        <v>0</v>
      </c>
      <c r="AX39" s="177">
        <f t="shared" si="57"/>
        <v>0</v>
      </c>
      <c r="AY39" s="177">
        <f t="shared" si="57"/>
        <v>0</v>
      </c>
      <c r="AZ39" s="177">
        <f t="shared" si="58"/>
        <v>0</v>
      </c>
      <c r="BA39" s="177">
        <f t="shared" si="18"/>
        <v>51279587</v>
      </c>
      <c r="BB39" s="177">
        <f t="shared" si="18"/>
        <v>575793102</v>
      </c>
      <c r="BC39" s="382">
        <f t="shared" si="19"/>
        <v>627072689</v>
      </c>
    </row>
    <row r="40" spans="1:55" ht="15.75" hidden="1" thickBot="1">
      <c r="A40" s="171">
        <v>41275</v>
      </c>
      <c r="B40" s="385">
        <v>1944597</v>
      </c>
      <c r="C40" s="104">
        <v>49766106</v>
      </c>
      <c r="D40" s="104">
        <f t="shared" si="0"/>
        <v>51710703</v>
      </c>
      <c r="E40" s="104">
        <f t="shared" si="1"/>
        <v>686300</v>
      </c>
      <c r="F40" s="104">
        <v>0</v>
      </c>
      <c r="G40" s="104">
        <f t="shared" si="2"/>
        <v>686300</v>
      </c>
      <c r="H40" s="104">
        <v>0</v>
      </c>
      <c r="I40" s="104">
        <v>0</v>
      </c>
      <c r="J40" s="104">
        <f t="shared" si="3"/>
        <v>0</v>
      </c>
      <c r="K40" s="104">
        <v>362227</v>
      </c>
      <c r="L40" s="104">
        <v>0</v>
      </c>
      <c r="M40" s="104">
        <f t="shared" si="4"/>
        <v>362227</v>
      </c>
      <c r="N40" s="104">
        <f t="shared" si="5"/>
        <v>0</v>
      </c>
      <c r="O40" s="104">
        <v>0</v>
      </c>
      <c r="P40" s="104">
        <f t="shared" si="6"/>
        <v>0</v>
      </c>
      <c r="Q40" s="104">
        <v>0</v>
      </c>
      <c r="R40" s="104">
        <v>0</v>
      </c>
      <c r="S40" s="104">
        <f t="shared" si="7"/>
        <v>0</v>
      </c>
      <c r="T40" s="104">
        <v>0</v>
      </c>
      <c r="U40" s="104">
        <v>0</v>
      </c>
      <c r="V40" s="104">
        <f t="shared" si="8"/>
        <v>0</v>
      </c>
      <c r="W40" s="104">
        <f t="shared" si="9"/>
        <v>2993124</v>
      </c>
      <c r="X40" s="104">
        <f t="shared" si="9"/>
        <v>49766106</v>
      </c>
      <c r="Y40" s="386">
        <f t="shared" si="10"/>
        <v>52759230</v>
      </c>
      <c r="Z40" s="104">
        <v>1989</v>
      </c>
      <c r="AA40" s="104">
        <v>684311</v>
      </c>
      <c r="AB40" s="387">
        <f>AA40+Z40</f>
        <v>686300</v>
      </c>
      <c r="AC40" s="104">
        <v>0</v>
      </c>
      <c r="AD40" s="104">
        <v>0</v>
      </c>
      <c r="AE40" s="387">
        <f t="shared" si="55"/>
        <v>0</v>
      </c>
      <c r="AF40" s="388">
        <f>B40</f>
        <v>1944597</v>
      </c>
      <c r="AG40" s="389">
        <f>C40</f>
        <v>49766106</v>
      </c>
      <c r="AH40" s="389">
        <f>AG40+AF40</f>
        <v>51710703</v>
      </c>
      <c r="AI40" s="389">
        <f>E40</f>
        <v>686300</v>
      </c>
      <c r="AJ40" s="389">
        <f>F40</f>
        <v>0</v>
      </c>
      <c r="AK40" s="389">
        <f>AJ40+AI40</f>
        <v>686300</v>
      </c>
      <c r="AL40" s="389">
        <f>H40</f>
        <v>0</v>
      </c>
      <c r="AM40" s="389">
        <f>I40</f>
        <v>0</v>
      </c>
      <c r="AN40" s="389">
        <f>AM40+AL40</f>
        <v>0</v>
      </c>
      <c r="AO40" s="389">
        <f>K40</f>
        <v>362227</v>
      </c>
      <c r="AP40" s="389">
        <f>L40</f>
        <v>0</v>
      </c>
      <c r="AQ40" s="389">
        <f>AP40+AO40</f>
        <v>362227</v>
      </c>
      <c r="AR40" s="389">
        <f>N40</f>
        <v>0</v>
      </c>
      <c r="AS40" s="389">
        <f>O40</f>
        <v>0</v>
      </c>
      <c r="AT40" s="389">
        <f>AS40+AR40</f>
        <v>0</v>
      </c>
      <c r="AU40" s="389">
        <f>Q40</f>
        <v>0</v>
      </c>
      <c r="AV40" s="389">
        <f>R40</f>
        <v>0</v>
      </c>
      <c r="AW40" s="389">
        <f>AV40+AU40</f>
        <v>0</v>
      </c>
      <c r="AX40" s="389">
        <f>T40</f>
        <v>0</v>
      </c>
      <c r="AY40" s="389">
        <f>U40</f>
        <v>0</v>
      </c>
      <c r="AZ40" s="389">
        <f>SUM(AX40:AY40)</f>
        <v>0</v>
      </c>
      <c r="BA40" s="389">
        <f t="shared" si="18"/>
        <v>2993124</v>
      </c>
      <c r="BB40" s="389">
        <f t="shared" si="18"/>
        <v>49766106</v>
      </c>
      <c r="BC40" s="390">
        <f t="shared" si="19"/>
        <v>52759230</v>
      </c>
    </row>
    <row r="41" spans="1:55" ht="15.75" hidden="1" thickBot="1">
      <c r="A41" s="170">
        <v>41306</v>
      </c>
      <c r="B41" s="378">
        <v>1684366</v>
      </c>
      <c r="C41" s="3">
        <v>29065960</v>
      </c>
      <c r="D41" s="3">
        <f t="shared" si="0"/>
        <v>30750326</v>
      </c>
      <c r="E41" s="3">
        <f t="shared" si="1"/>
        <v>991130</v>
      </c>
      <c r="F41" s="3">
        <v>0</v>
      </c>
      <c r="G41" s="3">
        <f t="shared" si="2"/>
        <v>991130</v>
      </c>
      <c r="H41" s="3">
        <v>0</v>
      </c>
      <c r="I41" s="3">
        <v>0</v>
      </c>
      <c r="J41" s="3">
        <f t="shared" si="3"/>
        <v>0</v>
      </c>
      <c r="K41" s="3">
        <v>366126</v>
      </c>
      <c r="L41" s="3">
        <v>0</v>
      </c>
      <c r="M41" s="3">
        <f t="shared" si="4"/>
        <v>366126</v>
      </c>
      <c r="N41" s="3">
        <f t="shared" si="5"/>
        <v>0</v>
      </c>
      <c r="O41" s="3">
        <v>0</v>
      </c>
      <c r="P41" s="3">
        <f t="shared" si="6"/>
        <v>0</v>
      </c>
      <c r="Q41" s="3">
        <v>0</v>
      </c>
      <c r="R41" s="3">
        <v>0</v>
      </c>
      <c r="S41" s="3">
        <f t="shared" si="7"/>
        <v>0</v>
      </c>
      <c r="T41" s="3">
        <v>0</v>
      </c>
      <c r="U41" s="3">
        <v>0</v>
      </c>
      <c r="V41" s="3">
        <f t="shared" si="8"/>
        <v>0</v>
      </c>
      <c r="W41" s="3">
        <f t="shared" si="9"/>
        <v>3041622</v>
      </c>
      <c r="X41" s="3">
        <f t="shared" si="9"/>
        <v>29065960</v>
      </c>
      <c r="Y41" s="379">
        <f t="shared" si="10"/>
        <v>32107582</v>
      </c>
      <c r="Z41" s="3">
        <v>2787</v>
      </c>
      <c r="AA41" s="3">
        <v>988343</v>
      </c>
      <c r="AB41" s="380">
        <f t="shared" si="11"/>
        <v>991130</v>
      </c>
      <c r="AC41" s="3">
        <v>0</v>
      </c>
      <c r="AD41" s="3">
        <v>0</v>
      </c>
      <c r="AE41" s="380">
        <f t="shared" si="55"/>
        <v>0</v>
      </c>
      <c r="AF41" s="381">
        <f t="shared" ref="AF41:AG51" si="59">B41+AF40</f>
        <v>3628963</v>
      </c>
      <c r="AG41" s="177">
        <f t="shared" si="59"/>
        <v>78832066</v>
      </c>
      <c r="AH41" s="177">
        <f t="shared" ref="AH41:AH51" si="60">AG41+AF41</f>
        <v>82461029</v>
      </c>
      <c r="AI41" s="177">
        <f>AI40+E41</f>
        <v>1677430</v>
      </c>
      <c r="AJ41" s="177">
        <f>AJ40+F41</f>
        <v>0</v>
      </c>
      <c r="AK41" s="177">
        <f t="shared" ref="AK41:AK51" si="61">AJ41+AI41</f>
        <v>1677430</v>
      </c>
      <c r="AL41" s="177">
        <f t="shared" ref="AL41:AM51" si="62">AL40+H41</f>
        <v>0</v>
      </c>
      <c r="AM41" s="177">
        <f t="shared" si="62"/>
        <v>0</v>
      </c>
      <c r="AN41" s="177">
        <f t="shared" ref="AN41:AN51" si="63">AM41+AL41</f>
        <v>0</v>
      </c>
      <c r="AO41" s="177">
        <f t="shared" ref="AO41:AP51" si="64">AO40+K41</f>
        <v>728353</v>
      </c>
      <c r="AP41" s="177">
        <f t="shared" si="64"/>
        <v>0</v>
      </c>
      <c r="AQ41" s="177">
        <f t="shared" ref="AQ41:AQ51" si="65">AP41+AO41</f>
        <v>728353</v>
      </c>
      <c r="AR41" s="177">
        <f t="shared" ref="AR41:AS51" si="66">AR40+N41</f>
        <v>0</v>
      </c>
      <c r="AS41" s="177">
        <f t="shared" si="66"/>
        <v>0</v>
      </c>
      <c r="AT41" s="177">
        <f t="shared" ref="AT41:AT51" si="67">AS41+AR41</f>
        <v>0</v>
      </c>
      <c r="AU41" s="177">
        <f t="shared" ref="AU41:AV51" si="68">AU40+Q41</f>
        <v>0</v>
      </c>
      <c r="AV41" s="177">
        <f t="shared" si="68"/>
        <v>0</v>
      </c>
      <c r="AW41" s="177">
        <f t="shared" ref="AW41:AW51" si="69">AV41+AU41</f>
        <v>0</v>
      </c>
      <c r="AX41" s="177">
        <f>AX40+T41</f>
        <v>0</v>
      </c>
      <c r="AY41" s="177">
        <f>AY40+U41</f>
        <v>0</v>
      </c>
      <c r="AZ41" s="177">
        <f>SUM(AX41:AY41)</f>
        <v>0</v>
      </c>
      <c r="BA41" s="177">
        <f t="shared" si="18"/>
        <v>6034746</v>
      </c>
      <c r="BB41" s="177">
        <f t="shared" si="18"/>
        <v>78832066</v>
      </c>
      <c r="BC41" s="382">
        <f t="shared" si="19"/>
        <v>84866812</v>
      </c>
    </row>
    <row r="42" spans="1:55" ht="15.75" hidden="1" thickBot="1">
      <c r="A42" s="170">
        <v>41334</v>
      </c>
      <c r="B42" s="378">
        <v>1697156</v>
      </c>
      <c r="C42" s="3">
        <v>46198180</v>
      </c>
      <c r="D42" s="3">
        <f t="shared" si="0"/>
        <v>47895336</v>
      </c>
      <c r="E42" s="3">
        <f t="shared" si="1"/>
        <v>1180429</v>
      </c>
      <c r="F42" s="3">
        <v>0</v>
      </c>
      <c r="G42" s="3">
        <f t="shared" si="2"/>
        <v>1180429</v>
      </c>
      <c r="H42" s="3">
        <v>0</v>
      </c>
      <c r="I42" s="3">
        <v>0</v>
      </c>
      <c r="J42" s="3">
        <f t="shared" si="3"/>
        <v>0</v>
      </c>
      <c r="K42" s="3">
        <v>523311</v>
      </c>
      <c r="L42" s="3">
        <v>0</v>
      </c>
      <c r="M42" s="3">
        <f t="shared" si="4"/>
        <v>523311</v>
      </c>
      <c r="N42" s="3">
        <f t="shared" si="5"/>
        <v>0</v>
      </c>
      <c r="O42" s="3">
        <v>0</v>
      </c>
      <c r="P42" s="3">
        <f t="shared" si="6"/>
        <v>0</v>
      </c>
      <c r="Q42" s="3">
        <v>0</v>
      </c>
      <c r="R42" s="3">
        <v>0</v>
      </c>
      <c r="S42" s="3">
        <f t="shared" si="7"/>
        <v>0</v>
      </c>
      <c r="T42" s="3">
        <v>0</v>
      </c>
      <c r="U42" s="3">
        <v>0</v>
      </c>
      <c r="V42" s="3">
        <f t="shared" si="8"/>
        <v>0</v>
      </c>
      <c r="W42" s="3">
        <f t="shared" si="9"/>
        <v>3400896</v>
      </c>
      <c r="X42" s="3">
        <f t="shared" si="9"/>
        <v>46198180</v>
      </c>
      <c r="Y42" s="379">
        <f t="shared" si="10"/>
        <v>49599076</v>
      </c>
      <c r="Z42" s="3">
        <v>2683</v>
      </c>
      <c r="AA42" s="3">
        <v>1177746</v>
      </c>
      <c r="AB42" s="380">
        <f t="shared" si="11"/>
        <v>1180429</v>
      </c>
      <c r="AC42" s="3">
        <v>0</v>
      </c>
      <c r="AD42" s="3">
        <v>0</v>
      </c>
      <c r="AE42" s="380">
        <f t="shared" si="55"/>
        <v>0</v>
      </c>
      <c r="AF42" s="381">
        <f t="shared" si="59"/>
        <v>5326119</v>
      </c>
      <c r="AG42" s="177">
        <f t="shared" si="59"/>
        <v>125030246</v>
      </c>
      <c r="AH42" s="177">
        <f t="shared" si="60"/>
        <v>130356365</v>
      </c>
      <c r="AI42" s="177">
        <f t="shared" ref="AI42:AJ51" si="70">AI41+E42</f>
        <v>2857859</v>
      </c>
      <c r="AJ42" s="177">
        <f t="shared" si="70"/>
        <v>0</v>
      </c>
      <c r="AK42" s="177">
        <f t="shared" si="61"/>
        <v>2857859</v>
      </c>
      <c r="AL42" s="177">
        <f t="shared" si="62"/>
        <v>0</v>
      </c>
      <c r="AM42" s="177">
        <f t="shared" si="62"/>
        <v>0</v>
      </c>
      <c r="AN42" s="177">
        <f t="shared" si="63"/>
        <v>0</v>
      </c>
      <c r="AO42" s="177">
        <f t="shared" si="64"/>
        <v>1251664</v>
      </c>
      <c r="AP42" s="177">
        <f t="shared" si="64"/>
        <v>0</v>
      </c>
      <c r="AQ42" s="177">
        <f t="shared" si="65"/>
        <v>1251664</v>
      </c>
      <c r="AR42" s="177">
        <f t="shared" si="66"/>
        <v>0</v>
      </c>
      <c r="AS42" s="177">
        <f t="shared" si="66"/>
        <v>0</v>
      </c>
      <c r="AT42" s="177">
        <f t="shared" si="67"/>
        <v>0</v>
      </c>
      <c r="AU42" s="177">
        <f t="shared" si="68"/>
        <v>0</v>
      </c>
      <c r="AV42" s="177">
        <f t="shared" si="68"/>
        <v>0</v>
      </c>
      <c r="AW42" s="177">
        <f t="shared" si="69"/>
        <v>0</v>
      </c>
      <c r="AX42" s="177">
        <f t="shared" ref="AX42:AY51" si="71">AX41+T42</f>
        <v>0</v>
      </c>
      <c r="AY42" s="177">
        <f t="shared" si="71"/>
        <v>0</v>
      </c>
      <c r="AZ42" s="177">
        <f t="shared" ref="AZ42:AZ51" si="72">SUM(AX42:AY42)</f>
        <v>0</v>
      </c>
      <c r="BA42" s="177">
        <f t="shared" si="18"/>
        <v>9435642</v>
      </c>
      <c r="BB42" s="177">
        <f t="shared" si="18"/>
        <v>125030246</v>
      </c>
      <c r="BC42" s="382">
        <f t="shared" si="19"/>
        <v>134465888</v>
      </c>
    </row>
    <row r="43" spans="1:55" ht="15.75" hidden="1" thickBot="1">
      <c r="A43" s="170">
        <v>41365</v>
      </c>
      <c r="B43" s="378">
        <v>1827312</v>
      </c>
      <c r="C43" s="3">
        <v>24939902</v>
      </c>
      <c r="D43" s="3">
        <f t="shared" si="0"/>
        <v>26767214</v>
      </c>
      <c r="E43" s="3">
        <f t="shared" si="1"/>
        <v>1104869</v>
      </c>
      <c r="F43" s="3">
        <v>0</v>
      </c>
      <c r="G43" s="3">
        <f t="shared" si="2"/>
        <v>1104869</v>
      </c>
      <c r="H43" s="3">
        <v>0</v>
      </c>
      <c r="I43" s="3">
        <v>0</v>
      </c>
      <c r="J43" s="3">
        <f t="shared" si="3"/>
        <v>0</v>
      </c>
      <c r="K43" s="3">
        <v>475454</v>
      </c>
      <c r="L43" s="3">
        <v>0</v>
      </c>
      <c r="M43" s="3">
        <f t="shared" si="4"/>
        <v>475454</v>
      </c>
      <c r="N43" s="3">
        <f t="shared" si="5"/>
        <v>0</v>
      </c>
      <c r="O43" s="3">
        <v>0</v>
      </c>
      <c r="P43" s="3">
        <f t="shared" si="6"/>
        <v>0</v>
      </c>
      <c r="Q43" s="3">
        <v>0</v>
      </c>
      <c r="R43" s="3">
        <v>0</v>
      </c>
      <c r="S43" s="3">
        <f t="shared" si="7"/>
        <v>0</v>
      </c>
      <c r="T43" s="3">
        <v>0</v>
      </c>
      <c r="U43" s="3">
        <v>0</v>
      </c>
      <c r="V43" s="3">
        <f t="shared" si="8"/>
        <v>0</v>
      </c>
      <c r="W43" s="3">
        <f t="shared" si="9"/>
        <v>3407635</v>
      </c>
      <c r="X43" s="3">
        <f t="shared" si="9"/>
        <v>24939902</v>
      </c>
      <c r="Y43" s="379">
        <f t="shared" si="10"/>
        <v>28347537</v>
      </c>
      <c r="Z43" s="3">
        <v>2080</v>
      </c>
      <c r="AA43" s="3">
        <v>1102789</v>
      </c>
      <c r="AB43" s="380">
        <f t="shared" si="11"/>
        <v>1104869</v>
      </c>
      <c r="AC43" s="3">
        <v>0</v>
      </c>
      <c r="AD43" s="3">
        <v>0</v>
      </c>
      <c r="AE43" s="380">
        <f t="shared" si="55"/>
        <v>0</v>
      </c>
      <c r="AF43" s="381">
        <f t="shared" si="59"/>
        <v>7153431</v>
      </c>
      <c r="AG43" s="177">
        <f t="shared" si="59"/>
        <v>149970148</v>
      </c>
      <c r="AH43" s="177">
        <f t="shared" si="60"/>
        <v>157123579</v>
      </c>
      <c r="AI43" s="177">
        <f t="shared" si="70"/>
        <v>3962728</v>
      </c>
      <c r="AJ43" s="177">
        <f t="shared" si="70"/>
        <v>0</v>
      </c>
      <c r="AK43" s="177">
        <f t="shared" si="61"/>
        <v>3962728</v>
      </c>
      <c r="AL43" s="177">
        <f t="shared" si="62"/>
        <v>0</v>
      </c>
      <c r="AM43" s="177">
        <f t="shared" si="62"/>
        <v>0</v>
      </c>
      <c r="AN43" s="177">
        <f t="shared" si="63"/>
        <v>0</v>
      </c>
      <c r="AO43" s="177">
        <f t="shared" si="64"/>
        <v>1727118</v>
      </c>
      <c r="AP43" s="177">
        <f t="shared" si="64"/>
        <v>0</v>
      </c>
      <c r="AQ43" s="177">
        <f t="shared" si="65"/>
        <v>1727118</v>
      </c>
      <c r="AR43" s="177">
        <f t="shared" si="66"/>
        <v>0</v>
      </c>
      <c r="AS43" s="177">
        <f t="shared" si="66"/>
        <v>0</v>
      </c>
      <c r="AT43" s="177">
        <f t="shared" si="67"/>
        <v>0</v>
      </c>
      <c r="AU43" s="177">
        <f t="shared" si="68"/>
        <v>0</v>
      </c>
      <c r="AV43" s="177">
        <f t="shared" si="68"/>
        <v>0</v>
      </c>
      <c r="AW43" s="177">
        <f t="shared" si="69"/>
        <v>0</v>
      </c>
      <c r="AX43" s="177">
        <f t="shared" si="71"/>
        <v>0</v>
      </c>
      <c r="AY43" s="177">
        <f t="shared" si="71"/>
        <v>0</v>
      </c>
      <c r="AZ43" s="177">
        <f t="shared" si="72"/>
        <v>0</v>
      </c>
      <c r="BA43" s="177">
        <f t="shared" si="18"/>
        <v>12843277</v>
      </c>
      <c r="BB43" s="177">
        <f t="shared" si="18"/>
        <v>149970148</v>
      </c>
      <c r="BC43" s="382">
        <f t="shared" si="19"/>
        <v>162813425</v>
      </c>
    </row>
    <row r="44" spans="1:55" ht="15.75" hidden="1" thickBot="1">
      <c r="A44" s="170">
        <v>41395</v>
      </c>
      <c r="B44" s="378">
        <v>1943952</v>
      </c>
      <c r="C44" s="3">
        <v>28718019</v>
      </c>
      <c r="D44" s="3">
        <f t="shared" si="0"/>
        <v>30661971</v>
      </c>
      <c r="E44" s="3">
        <f t="shared" si="1"/>
        <v>3103654</v>
      </c>
      <c r="F44" s="3">
        <v>0</v>
      </c>
      <c r="G44" s="3">
        <f t="shared" si="2"/>
        <v>3103654</v>
      </c>
      <c r="H44" s="3">
        <v>0</v>
      </c>
      <c r="I44" s="3">
        <v>0</v>
      </c>
      <c r="J44" s="3">
        <f t="shared" si="3"/>
        <v>0</v>
      </c>
      <c r="K44" s="3">
        <v>575116</v>
      </c>
      <c r="L44" s="3">
        <v>0</v>
      </c>
      <c r="M44" s="3">
        <f t="shared" si="4"/>
        <v>575116</v>
      </c>
      <c r="N44" s="3">
        <f t="shared" si="5"/>
        <v>0</v>
      </c>
      <c r="O44" s="3">
        <v>0</v>
      </c>
      <c r="P44" s="3">
        <f t="shared" si="6"/>
        <v>0</v>
      </c>
      <c r="Q44" s="3">
        <v>0</v>
      </c>
      <c r="R44" s="3">
        <v>0</v>
      </c>
      <c r="S44" s="3">
        <f t="shared" si="7"/>
        <v>0</v>
      </c>
      <c r="T44" s="3">
        <v>0</v>
      </c>
      <c r="U44" s="3">
        <v>0</v>
      </c>
      <c r="V44" s="3">
        <f t="shared" si="8"/>
        <v>0</v>
      </c>
      <c r="W44" s="3">
        <f t="shared" si="9"/>
        <v>5622722</v>
      </c>
      <c r="X44" s="3">
        <f t="shared" si="9"/>
        <v>28718019</v>
      </c>
      <c r="Y44" s="379">
        <f t="shared" si="10"/>
        <v>34340741</v>
      </c>
      <c r="Z44" s="3">
        <v>1680</v>
      </c>
      <c r="AA44" s="3">
        <v>3101974</v>
      </c>
      <c r="AB44" s="380">
        <f t="shared" si="11"/>
        <v>3103654</v>
      </c>
      <c r="AC44" s="3">
        <v>0</v>
      </c>
      <c r="AD44" s="3">
        <v>0</v>
      </c>
      <c r="AE44" s="380">
        <f t="shared" si="55"/>
        <v>0</v>
      </c>
      <c r="AF44" s="381">
        <f t="shared" si="59"/>
        <v>9097383</v>
      </c>
      <c r="AG44" s="177">
        <f t="shared" si="59"/>
        <v>178688167</v>
      </c>
      <c r="AH44" s="177">
        <f t="shared" si="60"/>
        <v>187785550</v>
      </c>
      <c r="AI44" s="177">
        <f t="shared" si="70"/>
        <v>7066382</v>
      </c>
      <c r="AJ44" s="177">
        <f t="shared" si="70"/>
        <v>0</v>
      </c>
      <c r="AK44" s="177">
        <f t="shared" si="61"/>
        <v>7066382</v>
      </c>
      <c r="AL44" s="177">
        <f t="shared" si="62"/>
        <v>0</v>
      </c>
      <c r="AM44" s="177">
        <f t="shared" si="62"/>
        <v>0</v>
      </c>
      <c r="AN44" s="177">
        <f t="shared" si="63"/>
        <v>0</v>
      </c>
      <c r="AO44" s="177">
        <f t="shared" si="64"/>
        <v>2302234</v>
      </c>
      <c r="AP44" s="177">
        <f t="shared" si="64"/>
        <v>0</v>
      </c>
      <c r="AQ44" s="177">
        <f t="shared" si="65"/>
        <v>2302234</v>
      </c>
      <c r="AR44" s="177">
        <f t="shared" si="66"/>
        <v>0</v>
      </c>
      <c r="AS44" s="177">
        <f t="shared" si="66"/>
        <v>0</v>
      </c>
      <c r="AT44" s="177">
        <f t="shared" si="67"/>
        <v>0</v>
      </c>
      <c r="AU44" s="177">
        <f t="shared" si="68"/>
        <v>0</v>
      </c>
      <c r="AV44" s="177">
        <f t="shared" si="68"/>
        <v>0</v>
      </c>
      <c r="AW44" s="177">
        <f t="shared" si="69"/>
        <v>0</v>
      </c>
      <c r="AX44" s="177">
        <f t="shared" si="71"/>
        <v>0</v>
      </c>
      <c r="AY44" s="177">
        <f t="shared" si="71"/>
        <v>0</v>
      </c>
      <c r="AZ44" s="177">
        <f t="shared" si="72"/>
        <v>0</v>
      </c>
      <c r="BA44" s="177">
        <f t="shared" si="18"/>
        <v>18465999</v>
      </c>
      <c r="BB44" s="177">
        <f t="shared" si="18"/>
        <v>178688167</v>
      </c>
      <c r="BC44" s="382">
        <f t="shared" si="19"/>
        <v>197154166</v>
      </c>
    </row>
    <row r="45" spans="1:55" ht="15.75" hidden="1" thickBot="1">
      <c r="A45" s="170">
        <v>41426</v>
      </c>
      <c r="B45" s="378">
        <v>1796908</v>
      </c>
      <c r="C45" s="3">
        <v>33454217</v>
      </c>
      <c r="D45" s="3">
        <f t="shared" si="0"/>
        <v>35251125</v>
      </c>
      <c r="E45" s="3">
        <f t="shared" si="1"/>
        <v>9615657</v>
      </c>
      <c r="F45" s="3">
        <v>0</v>
      </c>
      <c r="G45" s="3">
        <f t="shared" si="2"/>
        <v>9615657</v>
      </c>
      <c r="H45" s="3">
        <v>0</v>
      </c>
      <c r="I45" s="3">
        <v>0</v>
      </c>
      <c r="J45" s="3">
        <f t="shared" si="3"/>
        <v>0</v>
      </c>
      <c r="K45" s="3">
        <v>2423577</v>
      </c>
      <c r="L45" s="3">
        <v>0</v>
      </c>
      <c r="M45" s="3">
        <f t="shared" si="4"/>
        <v>2423577</v>
      </c>
      <c r="N45" s="3">
        <f t="shared" si="5"/>
        <v>0</v>
      </c>
      <c r="O45" s="3">
        <v>0</v>
      </c>
      <c r="P45" s="3">
        <f t="shared" si="6"/>
        <v>0</v>
      </c>
      <c r="Q45" s="3">
        <v>0</v>
      </c>
      <c r="R45" s="3">
        <v>0</v>
      </c>
      <c r="S45" s="3">
        <f t="shared" si="7"/>
        <v>0</v>
      </c>
      <c r="T45" s="3">
        <v>0</v>
      </c>
      <c r="U45" s="3">
        <v>0</v>
      </c>
      <c r="V45" s="3">
        <f t="shared" si="8"/>
        <v>0</v>
      </c>
      <c r="W45" s="3">
        <f t="shared" si="9"/>
        <v>13836142</v>
      </c>
      <c r="X45" s="3">
        <f t="shared" si="9"/>
        <v>33454217</v>
      </c>
      <c r="Y45" s="379">
        <f t="shared" si="10"/>
        <v>47290359</v>
      </c>
      <c r="Z45" s="3">
        <v>2000</v>
      </c>
      <c r="AA45" s="3">
        <v>9613657</v>
      </c>
      <c r="AB45" s="380">
        <f t="shared" si="11"/>
        <v>9615657</v>
      </c>
      <c r="AC45" s="3">
        <v>0</v>
      </c>
      <c r="AD45" s="3">
        <v>0</v>
      </c>
      <c r="AE45" s="380">
        <f t="shared" si="55"/>
        <v>0</v>
      </c>
      <c r="AF45" s="381">
        <f t="shared" si="59"/>
        <v>10894291</v>
      </c>
      <c r="AG45" s="177">
        <f t="shared" si="59"/>
        <v>212142384</v>
      </c>
      <c r="AH45" s="177">
        <f t="shared" si="60"/>
        <v>223036675</v>
      </c>
      <c r="AI45" s="177">
        <f t="shared" si="70"/>
        <v>16682039</v>
      </c>
      <c r="AJ45" s="177">
        <f t="shared" si="70"/>
        <v>0</v>
      </c>
      <c r="AK45" s="177">
        <f t="shared" si="61"/>
        <v>16682039</v>
      </c>
      <c r="AL45" s="177">
        <f t="shared" si="62"/>
        <v>0</v>
      </c>
      <c r="AM45" s="177">
        <f t="shared" si="62"/>
        <v>0</v>
      </c>
      <c r="AN45" s="177">
        <f t="shared" si="63"/>
        <v>0</v>
      </c>
      <c r="AO45" s="177">
        <f t="shared" si="64"/>
        <v>4725811</v>
      </c>
      <c r="AP45" s="177">
        <f t="shared" si="64"/>
        <v>0</v>
      </c>
      <c r="AQ45" s="177">
        <f t="shared" si="65"/>
        <v>4725811</v>
      </c>
      <c r="AR45" s="177">
        <f t="shared" si="66"/>
        <v>0</v>
      </c>
      <c r="AS45" s="177">
        <f t="shared" si="66"/>
        <v>0</v>
      </c>
      <c r="AT45" s="177">
        <f t="shared" si="67"/>
        <v>0</v>
      </c>
      <c r="AU45" s="177">
        <f t="shared" si="68"/>
        <v>0</v>
      </c>
      <c r="AV45" s="177">
        <f t="shared" si="68"/>
        <v>0</v>
      </c>
      <c r="AW45" s="177">
        <f t="shared" si="69"/>
        <v>0</v>
      </c>
      <c r="AX45" s="177">
        <f t="shared" si="71"/>
        <v>0</v>
      </c>
      <c r="AY45" s="177">
        <f t="shared" si="71"/>
        <v>0</v>
      </c>
      <c r="AZ45" s="177">
        <f t="shared" si="72"/>
        <v>0</v>
      </c>
      <c r="BA45" s="177">
        <f t="shared" si="18"/>
        <v>32302141</v>
      </c>
      <c r="BB45" s="177">
        <f t="shared" si="18"/>
        <v>212142384</v>
      </c>
      <c r="BC45" s="382">
        <f t="shared" si="19"/>
        <v>244444525</v>
      </c>
    </row>
    <row r="46" spans="1:55" ht="15.75" hidden="1" thickBot="1">
      <c r="A46" s="170">
        <v>41456</v>
      </c>
      <c r="B46" s="378">
        <v>2027766</v>
      </c>
      <c r="C46" s="3">
        <v>53724053</v>
      </c>
      <c r="D46" s="3">
        <f t="shared" si="0"/>
        <v>55751819</v>
      </c>
      <c r="E46" s="3">
        <f t="shared" si="1"/>
        <v>7407732</v>
      </c>
      <c r="F46" s="3">
        <v>0</v>
      </c>
      <c r="G46" s="3">
        <f t="shared" si="2"/>
        <v>7407732</v>
      </c>
      <c r="H46" s="3">
        <v>0</v>
      </c>
      <c r="I46" s="3">
        <v>0</v>
      </c>
      <c r="J46" s="3">
        <f t="shared" si="3"/>
        <v>0</v>
      </c>
      <c r="K46" s="3">
        <v>3431987</v>
      </c>
      <c r="L46" s="3">
        <v>0</v>
      </c>
      <c r="M46" s="3">
        <f t="shared" si="4"/>
        <v>3431987</v>
      </c>
      <c r="N46" s="3">
        <f t="shared" si="5"/>
        <v>0</v>
      </c>
      <c r="O46" s="3">
        <v>0</v>
      </c>
      <c r="P46" s="3">
        <f t="shared" si="6"/>
        <v>0</v>
      </c>
      <c r="Q46" s="3">
        <v>0</v>
      </c>
      <c r="R46" s="3">
        <v>0</v>
      </c>
      <c r="S46" s="3">
        <f t="shared" si="7"/>
        <v>0</v>
      </c>
      <c r="T46" s="3">
        <v>0</v>
      </c>
      <c r="U46" s="3">
        <v>0</v>
      </c>
      <c r="V46" s="3">
        <f t="shared" si="8"/>
        <v>0</v>
      </c>
      <c r="W46" s="3">
        <f t="shared" si="9"/>
        <v>12867485</v>
      </c>
      <c r="X46" s="3">
        <f t="shared" si="9"/>
        <v>53724053</v>
      </c>
      <c r="Y46" s="379">
        <f t="shared" si="10"/>
        <v>66591538</v>
      </c>
      <c r="Z46" s="3">
        <v>2000</v>
      </c>
      <c r="AA46" s="3">
        <v>7405732</v>
      </c>
      <c r="AB46" s="380">
        <f t="shared" si="11"/>
        <v>7407732</v>
      </c>
      <c r="AC46" s="3">
        <v>0</v>
      </c>
      <c r="AD46" s="3">
        <v>0</v>
      </c>
      <c r="AE46" s="380">
        <f t="shared" si="55"/>
        <v>0</v>
      </c>
      <c r="AF46" s="381">
        <f t="shared" si="59"/>
        <v>12922057</v>
      </c>
      <c r="AG46" s="177">
        <f t="shared" si="59"/>
        <v>265866437</v>
      </c>
      <c r="AH46" s="177">
        <f t="shared" si="60"/>
        <v>278788494</v>
      </c>
      <c r="AI46" s="177">
        <f t="shared" si="70"/>
        <v>24089771</v>
      </c>
      <c r="AJ46" s="177">
        <f t="shared" si="70"/>
        <v>0</v>
      </c>
      <c r="AK46" s="177">
        <f t="shared" si="61"/>
        <v>24089771</v>
      </c>
      <c r="AL46" s="177">
        <f t="shared" si="62"/>
        <v>0</v>
      </c>
      <c r="AM46" s="177">
        <f t="shared" si="62"/>
        <v>0</v>
      </c>
      <c r="AN46" s="177">
        <f t="shared" si="63"/>
        <v>0</v>
      </c>
      <c r="AO46" s="177">
        <f t="shared" si="64"/>
        <v>8157798</v>
      </c>
      <c r="AP46" s="177">
        <f t="shared" si="64"/>
        <v>0</v>
      </c>
      <c r="AQ46" s="177">
        <f t="shared" si="65"/>
        <v>8157798</v>
      </c>
      <c r="AR46" s="177">
        <f t="shared" si="66"/>
        <v>0</v>
      </c>
      <c r="AS46" s="177">
        <f t="shared" si="66"/>
        <v>0</v>
      </c>
      <c r="AT46" s="177">
        <f t="shared" si="67"/>
        <v>0</v>
      </c>
      <c r="AU46" s="177">
        <f t="shared" si="68"/>
        <v>0</v>
      </c>
      <c r="AV46" s="177">
        <f t="shared" si="68"/>
        <v>0</v>
      </c>
      <c r="AW46" s="177">
        <f t="shared" si="69"/>
        <v>0</v>
      </c>
      <c r="AX46" s="177">
        <f t="shared" si="71"/>
        <v>0</v>
      </c>
      <c r="AY46" s="177">
        <f t="shared" si="71"/>
        <v>0</v>
      </c>
      <c r="AZ46" s="177">
        <f t="shared" si="72"/>
        <v>0</v>
      </c>
      <c r="BA46" s="177">
        <f t="shared" si="18"/>
        <v>45169626</v>
      </c>
      <c r="BB46" s="177">
        <f t="shared" si="18"/>
        <v>265866437</v>
      </c>
      <c r="BC46" s="382">
        <f t="shared" si="19"/>
        <v>311036063</v>
      </c>
    </row>
    <row r="47" spans="1:55" ht="15.75" hidden="1" thickBot="1">
      <c r="A47" s="170">
        <v>41487</v>
      </c>
      <c r="B47" s="378">
        <v>2084363</v>
      </c>
      <c r="C47" s="3">
        <v>80484976</v>
      </c>
      <c r="D47" s="3">
        <f t="shared" si="0"/>
        <v>82569339</v>
      </c>
      <c r="E47" s="3">
        <f t="shared" si="1"/>
        <v>10822957</v>
      </c>
      <c r="F47" s="3">
        <v>0</v>
      </c>
      <c r="G47" s="3">
        <f t="shared" si="2"/>
        <v>10822957</v>
      </c>
      <c r="H47" s="3">
        <v>0</v>
      </c>
      <c r="I47" s="3">
        <v>0</v>
      </c>
      <c r="J47" s="3">
        <f t="shared" si="3"/>
        <v>0</v>
      </c>
      <c r="K47" s="3">
        <v>4149093</v>
      </c>
      <c r="L47" s="3">
        <v>0</v>
      </c>
      <c r="M47" s="3">
        <f t="shared" si="4"/>
        <v>4149093</v>
      </c>
      <c r="N47" s="3">
        <f t="shared" si="5"/>
        <v>191847</v>
      </c>
      <c r="O47" s="3">
        <v>0</v>
      </c>
      <c r="P47" s="3">
        <f t="shared" si="6"/>
        <v>191847</v>
      </c>
      <c r="Q47" s="3">
        <v>0</v>
      </c>
      <c r="R47" s="3">
        <v>0</v>
      </c>
      <c r="S47" s="3">
        <f t="shared" si="7"/>
        <v>0</v>
      </c>
      <c r="T47" s="3">
        <v>0</v>
      </c>
      <c r="U47" s="3">
        <v>0</v>
      </c>
      <c r="V47" s="3">
        <f t="shared" si="8"/>
        <v>0</v>
      </c>
      <c r="W47" s="3">
        <f t="shared" si="9"/>
        <v>17248260</v>
      </c>
      <c r="X47" s="3">
        <f t="shared" si="9"/>
        <v>80484976</v>
      </c>
      <c r="Y47" s="379">
        <f t="shared" si="10"/>
        <v>97733236</v>
      </c>
      <c r="Z47" s="3">
        <v>400</v>
      </c>
      <c r="AA47" s="3">
        <v>10822557</v>
      </c>
      <c r="AB47" s="380">
        <f t="shared" si="11"/>
        <v>10822957</v>
      </c>
      <c r="AC47" s="3">
        <v>0</v>
      </c>
      <c r="AD47" s="3">
        <v>191847</v>
      </c>
      <c r="AE47" s="380">
        <f t="shared" si="55"/>
        <v>191847</v>
      </c>
      <c r="AF47" s="381">
        <f t="shared" si="59"/>
        <v>15006420</v>
      </c>
      <c r="AG47" s="177">
        <f t="shared" si="59"/>
        <v>346351413</v>
      </c>
      <c r="AH47" s="177">
        <f t="shared" si="60"/>
        <v>361357833</v>
      </c>
      <c r="AI47" s="177">
        <f t="shared" si="70"/>
        <v>34912728</v>
      </c>
      <c r="AJ47" s="177">
        <f t="shared" si="70"/>
        <v>0</v>
      </c>
      <c r="AK47" s="177">
        <f t="shared" si="61"/>
        <v>34912728</v>
      </c>
      <c r="AL47" s="177">
        <f t="shared" si="62"/>
        <v>0</v>
      </c>
      <c r="AM47" s="177">
        <f t="shared" si="62"/>
        <v>0</v>
      </c>
      <c r="AN47" s="177">
        <f t="shared" si="63"/>
        <v>0</v>
      </c>
      <c r="AO47" s="177">
        <f t="shared" si="64"/>
        <v>12306891</v>
      </c>
      <c r="AP47" s="177">
        <f t="shared" si="64"/>
        <v>0</v>
      </c>
      <c r="AQ47" s="177">
        <f t="shared" si="65"/>
        <v>12306891</v>
      </c>
      <c r="AR47" s="177">
        <f t="shared" si="66"/>
        <v>191847</v>
      </c>
      <c r="AS47" s="177">
        <f t="shared" si="66"/>
        <v>0</v>
      </c>
      <c r="AT47" s="177">
        <f t="shared" si="67"/>
        <v>191847</v>
      </c>
      <c r="AU47" s="177">
        <f t="shared" si="68"/>
        <v>0</v>
      </c>
      <c r="AV47" s="177">
        <f t="shared" si="68"/>
        <v>0</v>
      </c>
      <c r="AW47" s="177">
        <f t="shared" si="69"/>
        <v>0</v>
      </c>
      <c r="AX47" s="177">
        <f t="shared" si="71"/>
        <v>0</v>
      </c>
      <c r="AY47" s="177">
        <f t="shared" si="71"/>
        <v>0</v>
      </c>
      <c r="AZ47" s="177">
        <f t="shared" si="72"/>
        <v>0</v>
      </c>
      <c r="BA47" s="177">
        <f t="shared" si="18"/>
        <v>62417886</v>
      </c>
      <c r="BB47" s="177">
        <f t="shared" si="18"/>
        <v>346351413</v>
      </c>
      <c r="BC47" s="382">
        <f t="shared" si="19"/>
        <v>408769299</v>
      </c>
    </row>
    <row r="48" spans="1:55" ht="15.75" hidden="1" thickBot="1">
      <c r="A48" s="170">
        <v>41518</v>
      </c>
      <c r="B48" s="378">
        <v>1978203</v>
      </c>
      <c r="C48" s="3">
        <v>49727263</v>
      </c>
      <c r="D48" s="3">
        <f t="shared" si="0"/>
        <v>51705466</v>
      </c>
      <c r="E48" s="3">
        <f t="shared" si="1"/>
        <v>13384264</v>
      </c>
      <c r="F48" s="3">
        <v>0</v>
      </c>
      <c r="G48" s="3">
        <f t="shared" si="2"/>
        <v>13384264</v>
      </c>
      <c r="H48" s="3">
        <v>0</v>
      </c>
      <c r="I48" s="3">
        <v>0</v>
      </c>
      <c r="J48" s="3">
        <f t="shared" si="3"/>
        <v>0</v>
      </c>
      <c r="K48" s="3">
        <v>5943278</v>
      </c>
      <c r="L48" s="3">
        <v>0</v>
      </c>
      <c r="M48" s="3">
        <f t="shared" si="4"/>
        <v>5943278</v>
      </c>
      <c r="N48" s="3">
        <f t="shared" si="5"/>
        <v>755816</v>
      </c>
      <c r="O48" s="3">
        <v>0</v>
      </c>
      <c r="P48" s="3">
        <f t="shared" si="6"/>
        <v>755816</v>
      </c>
      <c r="Q48" s="3">
        <v>0</v>
      </c>
      <c r="R48" s="3">
        <v>0</v>
      </c>
      <c r="S48" s="3">
        <f t="shared" si="7"/>
        <v>0</v>
      </c>
      <c r="T48" s="3">
        <v>0</v>
      </c>
      <c r="U48" s="3">
        <v>0</v>
      </c>
      <c r="V48" s="3">
        <f t="shared" si="8"/>
        <v>0</v>
      </c>
      <c r="W48" s="3">
        <f t="shared" si="9"/>
        <v>22061561</v>
      </c>
      <c r="X48" s="3">
        <f t="shared" si="9"/>
        <v>49727263</v>
      </c>
      <c r="Y48" s="379">
        <f t="shared" si="10"/>
        <v>71788824</v>
      </c>
      <c r="Z48" s="3">
        <v>1120</v>
      </c>
      <c r="AA48" s="3">
        <v>13383144</v>
      </c>
      <c r="AB48" s="380">
        <f t="shared" si="11"/>
        <v>13384264</v>
      </c>
      <c r="AC48" s="3">
        <v>0</v>
      </c>
      <c r="AD48" s="3">
        <v>755816</v>
      </c>
      <c r="AE48" s="380">
        <f t="shared" si="55"/>
        <v>755816</v>
      </c>
      <c r="AF48" s="381">
        <f t="shared" si="59"/>
        <v>16984623</v>
      </c>
      <c r="AG48" s="177">
        <f t="shared" si="59"/>
        <v>396078676</v>
      </c>
      <c r="AH48" s="177">
        <f t="shared" si="60"/>
        <v>413063299</v>
      </c>
      <c r="AI48" s="177">
        <f t="shared" si="70"/>
        <v>48296992</v>
      </c>
      <c r="AJ48" s="177">
        <f t="shared" si="70"/>
        <v>0</v>
      </c>
      <c r="AK48" s="177">
        <f t="shared" si="61"/>
        <v>48296992</v>
      </c>
      <c r="AL48" s="177">
        <f t="shared" si="62"/>
        <v>0</v>
      </c>
      <c r="AM48" s="177">
        <f t="shared" si="62"/>
        <v>0</v>
      </c>
      <c r="AN48" s="177">
        <f t="shared" si="63"/>
        <v>0</v>
      </c>
      <c r="AO48" s="177">
        <f t="shared" si="64"/>
        <v>18250169</v>
      </c>
      <c r="AP48" s="177">
        <f t="shared" si="64"/>
        <v>0</v>
      </c>
      <c r="AQ48" s="177">
        <f t="shared" si="65"/>
        <v>18250169</v>
      </c>
      <c r="AR48" s="177">
        <f t="shared" si="66"/>
        <v>947663</v>
      </c>
      <c r="AS48" s="177">
        <f t="shared" si="66"/>
        <v>0</v>
      </c>
      <c r="AT48" s="177">
        <f t="shared" si="67"/>
        <v>947663</v>
      </c>
      <c r="AU48" s="177">
        <f t="shared" si="68"/>
        <v>0</v>
      </c>
      <c r="AV48" s="177">
        <f t="shared" si="68"/>
        <v>0</v>
      </c>
      <c r="AW48" s="177">
        <f t="shared" si="69"/>
        <v>0</v>
      </c>
      <c r="AX48" s="177">
        <f t="shared" si="71"/>
        <v>0</v>
      </c>
      <c r="AY48" s="177">
        <f t="shared" si="71"/>
        <v>0</v>
      </c>
      <c r="AZ48" s="177">
        <f t="shared" si="72"/>
        <v>0</v>
      </c>
      <c r="BA48" s="177">
        <f t="shared" si="18"/>
        <v>84479447</v>
      </c>
      <c r="BB48" s="177">
        <f t="shared" si="18"/>
        <v>396078676</v>
      </c>
      <c r="BC48" s="382">
        <f t="shared" si="19"/>
        <v>480558123</v>
      </c>
    </row>
    <row r="49" spans="1:56" ht="15.75" hidden="1" thickBot="1">
      <c r="A49" s="170">
        <v>41548</v>
      </c>
      <c r="B49" s="378">
        <v>2071303</v>
      </c>
      <c r="C49" s="3">
        <v>15647453</v>
      </c>
      <c r="D49" s="3">
        <f t="shared" si="0"/>
        <v>17718756</v>
      </c>
      <c r="E49" s="3">
        <f t="shared" si="1"/>
        <v>13393775</v>
      </c>
      <c r="F49" s="3">
        <v>0</v>
      </c>
      <c r="G49" s="3">
        <f t="shared" si="2"/>
        <v>13393775</v>
      </c>
      <c r="H49" s="3">
        <v>0</v>
      </c>
      <c r="I49" s="3">
        <v>0</v>
      </c>
      <c r="J49" s="3">
        <f t="shared" si="3"/>
        <v>0</v>
      </c>
      <c r="K49" s="3">
        <v>3973504</v>
      </c>
      <c r="L49" s="3">
        <v>0</v>
      </c>
      <c r="M49" s="3">
        <f t="shared" si="4"/>
        <v>3973504</v>
      </c>
      <c r="N49" s="3">
        <f t="shared" si="5"/>
        <v>677388</v>
      </c>
      <c r="O49" s="3">
        <v>0</v>
      </c>
      <c r="P49" s="3">
        <f t="shared" si="6"/>
        <v>677388</v>
      </c>
      <c r="Q49" s="3">
        <v>0</v>
      </c>
      <c r="R49" s="3">
        <v>0</v>
      </c>
      <c r="S49" s="3">
        <f t="shared" si="7"/>
        <v>0</v>
      </c>
      <c r="T49" s="3">
        <v>0</v>
      </c>
      <c r="U49" s="3">
        <v>0</v>
      </c>
      <c r="V49" s="3">
        <f t="shared" si="8"/>
        <v>0</v>
      </c>
      <c r="W49" s="3">
        <f t="shared" si="9"/>
        <v>20115970</v>
      </c>
      <c r="X49" s="3">
        <f t="shared" si="9"/>
        <v>15647453</v>
      </c>
      <c r="Y49" s="379">
        <f t="shared" si="10"/>
        <v>35763423</v>
      </c>
      <c r="Z49" s="3">
        <v>800</v>
      </c>
      <c r="AA49" s="3">
        <v>13392975</v>
      </c>
      <c r="AB49" s="380">
        <f t="shared" si="11"/>
        <v>13393775</v>
      </c>
      <c r="AC49" s="3">
        <v>0</v>
      </c>
      <c r="AD49" s="3">
        <v>677388</v>
      </c>
      <c r="AE49" s="380">
        <f t="shared" si="55"/>
        <v>677388</v>
      </c>
      <c r="AF49" s="381">
        <f t="shared" si="59"/>
        <v>19055926</v>
      </c>
      <c r="AG49" s="177">
        <f t="shared" si="59"/>
        <v>411726129</v>
      </c>
      <c r="AH49" s="177">
        <f t="shared" si="60"/>
        <v>430782055</v>
      </c>
      <c r="AI49" s="177">
        <f t="shared" si="70"/>
        <v>61690767</v>
      </c>
      <c r="AJ49" s="177">
        <f t="shared" si="70"/>
        <v>0</v>
      </c>
      <c r="AK49" s="177">
        <f t="shared" si="61"/>
        <v>61690767</v>
      </c>
      <c r="AL49" s="177">
        <f t="shared" si="62"/>
        <v>0</v>
      </c>
      <c r="AM49" s="177">
        <f t="shared" si="62"/>
        <v>0</v>
      </c>
      <c r="AN49" s="177">
        <f t="shared" si="63"/>
        <v>0</v>
      </c>
      <c r="AO49" s="177">
        <f t="shared" si="64"/>
        <v>22223673</v>
      </c>
      <c r="AP49" s="177">
        <f t="shared" si="64"/>
        <v>0</v>
      </c>
      <c r="AQ49" s="177">
        <f t="shared" si="65"/>
        <v>22223673</v>
      </c>
      <c r="AR49" s="177">
        <f t="shared" si="66"/>
        <v>1625051</v>
      </c>
      <c r="AS49" s="177">
        <f t="shared" si="66"/>
        <v>0</v>
      </c>
      <c r="AT49" s="177">
        <f t="shared" si="67"/>
        <v>1625051</v>
      </c>
      <c r="AU49" s="177">
        <f t="shared" si="68"/>
        <v>0</v>
      </c>
      <c r="AV49" s="177">
        <f t="shared" si="68"/>
        <v>0</v>
      </c>
      <c r="AW49" s="177">
        <f t="shared" si="69"/>
        <v>0</v>
      </c>
      <c r="AX49" s="177">
        <f t="shared" si="71"/>
        <v>0</v>
      </c>
      <c r="AY49" s="177">
        <f t="shared" si="71"/>
        <v>0</v>
      </c>
      <c r="AZ49" s="177">
        <f t="shared" si="72"/>
        <v>0</v>
      </c>
      <c r="BA49" s="177">
        <f t="shared" si="18"/>
        <v>104595417</v>
      </c>
      <c r="BB49" s="177">
        <f t="shared" si="18"/>
        <v>411726129</v>
      </c>
      <c r="BC49" s="382">
        <f t="shared" si="19"/>
        <v>516321546</v>
      </c>
    </row>
    <row r="50" spans="1:56" ht="15.75" hidden="1" thickBot="1">
      <c r="A50" s="170">
        <v>41579</v>
      </c>
      <c r="B50" s="378">
        <v>1968966</v>
      </c>
      <c r="C50" s="3">
        <v>13318277</v>
      </c>
      <c r="D50" s="3">
        <f t="shared" si="0"/>
        <v>15287243</v>
      </c>
      <c r="E50" s="3">
        <f t="shared" si="1"/>
        <v>7514810</v>
      </c>
      <c r="F50" s="3">
        <v>0</v>
      </c>
      <c r="G50" s="3">
        <f t="shared" si="2"/>
        <v>7514810</v>
      </c>
      <c r="H50" s="3">
        <v>0</v>
      </c>
      <c r="I50" s="3">
        <v>0</v>
      </c>
      <c r="J50" s="3">
        <f t="shared" si="3"/>
        <v>0</v>
      </c>
      <c r="K50" s="3">
        <v>2092389</v>
      </c>
      <c r="L50" s="3">
        <v>0</v>
      </c>
      <c r="M50" s="3">
        <f t="shared" si="4"/>
        <v>2092389</v>
      </c>
      <c r="N50" s="3">
        <f t="shared" si="5"/>
        <v>693552</v>
      </c>
      <c r="O50" s="3">
        <v>0</v>
      </c>
      <c r="P50" s="3">
        <f t="shared" si="6"/>
        <v>693552</v>
      </c>
      <c r="Q50" s="3">
        <v>0</v>
      </c>
      <c r="R50" s="3">
        <v>0</v>
      </c>
      <c r="S50" s="3">
        <f t="shared" si="7"/>
        <v>0</v>
      </c>
      <c r="T50" s="3">
        <v>0</v>
      </c>
      <c r="U50" s="3">
        <v>0</v>
      </c>
      <c r="V50" s="3">
        <f t="shared" si="8"/>
        <v>0</v>
      </c>
      <c r="W50" s="3">
        <f t="shared" si="9"/>
        <v>12269717</v>
      </c>
      <c r="X50" s="3">
        <f t="shared" si="9"/>
        <v>13318277</v>
      </c>
      <c r="Y50" s="379">
        <f t="shared" si="10"/>
        <v>25587994</v>
      </c>
      <c r="Z50" s="3">
        <v>0</v>
      </c>
      <c r="AA50" s="3">
        <v>7514810</v>
      </c>
      <c r="AB50" s="380">
        <f t="shared" si="11"/>
        <v>7514810</v>
      </c>
      <c r="AC50" s="3">
        <v>0</v>
      </c>
      <c r="AD50" s="3">
        <v>693552</v>
      </c>
      <c r="AE50" s="380">
        <f t="shared" si="55"/>
        <v>693552</v>
      </c>
      <c r="AF50" s="381">
        <f t="shared" si="59"/>
        <v>21024892</v>
      </c>
      <c r="AG50" s="177">
        <f t="shared" si="59"/>
        <v>425044406</v>
      </c>
      <c r="AH50" s="177">
        <f t="shared" si="60"/>
        <v>446069298</v>
      </c>
      <c r="AI50" s="177">
        <f t="shared" si="70"/>
        <v>69205577</v>
      </c>
      <c r="AJ50" s="177">
        <f t="shared" si="70"/>
        <v>0</v>
      </c>
      <c r="AK50" s="177">
        <f t="shared" si="61"/>
        <v>69205577</v>
      </c>
      <c r="AL50" s="177">
        <f t="shared" si="62"/>
        <v>0</v>
      </c>
      <c r="AM50" s="177">
        <f t="shared" si="62"/>
        <v>0</v>
      </c>
      <c r="AN50" s="177">
        <f t="shared" si="63"/>
        <v>0</v>
      </c>
      <c r="AO50" s="177">
        <f t="shared" si="64"/>
        <v>24316062</v>
      </c>
      <c r="AP50" s="177">
        <f t="shared" si="64"/>
        <v>0</v>
      </c>
      <c r="AQ50" s="177">
        <f t="shared" si="65"/>
        <v>24316062</v>
      </c>
      <c r="AR50" s="177">
        <f t="shared" si="66"/>
        <v>2318603</v>
      </c>
      <c r="AS50" s="177">
        <f t="shared" si="66"/>
        <v>0</v>
      </c>
      <c r="AT50" s="177">
        <f t="shared" si="67"/>
        <v>2318603</v>
      </c>
      <c r="AU50" s="177">
        <f t="shared" si="68"/>
        <v>0</v>
      </c>
      <c r="AV50" s="177">
        <f t="shared" si="68"/>
        <v>0</v>
      </c>
      <c r="AW50" s="177">
        <f t="shared" si="69"/>
        <v>0</v>
      </c>
      <c r="AX50" s="177">
        <f t="shared" si="71"/>
        <v>0</v>
      </c>
      <c r="AY50" s="177">
        <f t="shared" si="71"/>
        <v>0</v>
      </c>
      <c r="AZ50" s="177">
        <f t="shared" si="72"/>
        <v>0</v>
      </c>
      <c r="BA50" s="177">
        <f t="shared" si="18"/>
        <v>116865134</v>
      </c>
      <c r="BB50" s="177">
        <f t="shared" si="18"/>
        <v>425044406</v>
      </c>
      <c r="BC50" s="382">
        <f t="shared" si="19"/>
        <v>541909540</v>
      </c>
    </row>
    <row r="51" spans="1:56" ht="15.75" hidden="1" thickBot="1">
      <c r="A51" s="170">
        <v>41609</v>
      </c>
      <c r="B51" s="378">
        <v>1912497</v>
      </c>
      <c r="C51" s="3">
        <v>10268862</v>
      </c>
      <c r="D51" s="3">
        <f t="shared" si="0"/>
        <v>12181359</v>
      </c>
      <c r="E51" s="3">
        <f t="shared" si="1"/>
        <v>966904</v>
      </c>
      <c r="F51" s="3">
        <v>0</v>
      </c>
      <c r="G51" s="3">
        <f t="shared" si="2"/>
        <v>966904</v>
      </c>
      <c r="H51" s="3">
        <v>0</v>
      </c>
      <c r="I51" s="3">
        <v>0</v>
      </c>
      <c r="J51" s="3">
        <f t="shared" si="3"/>
        <v>0</v>
      </c>
      <c r="K51" s="3">
        <v>1618751</v>
      </c>
      <c r="L51" s="3">
        <v>0</v>
      </c>
      <c r="M51" s="3">
        <f t="shared" si="4"/>
        <v>1618751</v>
      </c>
      <c r="N51" s="3">
        <f t="shared" si="5"/>
        <v>1148134</v>
      </c>
      <c r="O51" s="3">
        <v>0</v>
      </c>
      <c r="P51" s="3">
        <f t="shared" si="6"/>
        <v>1148134</v>
      </c>
      <c r="Q51" s="3">
        <v>0</v>
      </c>
      <c r="R51" s="3">
        <v>0</v>
      </c>
      <c r="S51" s="3">
        <f t="shared" si="7"/>
        <v>0</v>
      </c>
      <c r="T51" s="3">
        <v>0</v>
      </c>
      <c r="U51" s="3">
        <v>0</v>
      </c>
      <c r="V51" s="3">
        <f t="shared" si="8"/>
        <v>0</v>
      </c>
      <c r="W51" s="3">
        <f t="shared" si="9"/>
        <v>5646286</v>
      </c>
      <c r="X51" s="3">
        <f t="shared" si="9"/>
        <v>10268862</v>
      </c>
      <c r="Y51" s="379">
        <f t="shared" si="10"/>
        <v>15915148</v>
      </c>
      <c r="Z51" s="3">
        <v>1040</v>
      </c>
      <c r="AA51" s="3">
        <v>965864</v>
      </c>
      <c r="AB51" s="380">
        <f t="shared" si="11"/>
        <v>966904</v>
      </c>
      <c r="AC51" s="3">
        <v>0</v>
      </c>
      <c r="AD51" s="3">
        <v>1148134</v>
      </c>
      <c r="AE51" s="380">
        <f t="shared" si="55"/>
        <v>1148134</v>
      </c>
      <c r="AF51" s="381">
        <f t="shared" si="59"/>
        <v>22937389</v>
      </c>
      <c r="AG51" s="177">
        <f t="shared" si="59"/>
        <v>435313268</v>
      </c>
      <c r="AH51" s="177">
        <f t="shared" si="60"/>
        <v>458250657</v>
      </c>
      <c r="AI51" s="177">
        <f t="shared" si="70"/>
        <v>70172481</v>
      </c>
      <c r="AJ51" s="177">
        <f t="shared" si="70"/>
        <v>0</v>
      </c>
      <c r="AK51" s="177">
        <f t="shared" si="61"/>
        <v>70172481</v>
      </c>
      <c r="AL51" s="177">
        <f t="shared" si="62"/>
        <v>0</v>
      </c>
      <c r="AM51" s="177">
        <f t="shared" si="62"/>
        <v>0</v>
      </c>
      <c r="AN51" s="177">
        <f t="shared" si="63"/>
        <v>0</v>
      </c>
      <c r="AO51" s="177">
        <f t="shared" si="64"/>
        <v>25934813</v>
      </c>
      <c r="AP51" s="177">
        <f t="shared" si="64"/>
        <v>0</v>
      </c>
      <c r="AQ51" s="177">
        <f t="shared" si="65"/>
        <v>25934813</v>
      </c>
      <c r="AR51" s="177">
        <f t="shared" si="66"/>
        <v>3466737</v>
      </c>
      <c r="AS51" s="177">
        <f t="shared" si="66"/>
        <v>0</v>
      </c>
      <c r="AT51" s="177">
        <f t="shared" si="67"/>
        <v>3466737</v>
      </c>
      <c r="AU51" s="177">
        <f t="shared" si="68"/>
        <v>0</v>
      </c>
      <c r="AV51" s="177">
        <f t="shared" si="68"/>
        <v>0</v>
      </c>
      <c r="AW51" s="177">
        <f t="shared" si="69"/>
        <v>0</v>
      </c>
      <c r="AX51" s="177">
        <f t="shared" si="71"/>
        <v>0</v>
      </c>
      <c r="AY51" s="177">
        <f t="shared" si="71"/>
        <v>0</v>
      </c>
      <c r="AZ51" s="177">
        <f t="shared" si="72"/>
        <v>0</v>
      </c>
      <c r="BA51" s="177">
        <f t="shared" si="18"/>
        <v>122511420</v>
      </c>
      <c r="BB51" s="177">
        <f t="shared" si="18"/>
        <v>435313268</v>
      </c>
      <c r="BC51" s="382">
        <f t="shared" si="19"/>
        <v>557824688</v>
      </c>
    </row>
    <row r="52" spans="1:56" ht="15.75" hidden="1" thickBot="1">
      <c r="A52" s="171">
        <v>41640</v>
      </c>
      <c r="B52" s="385">
        <v>2360846</v>
      </c>
      <c r="C52" s="104">
        <v>2659456</v>
      </c>
      <c r="D52" s="104">
        <f t="shared" si="0"/>
        <v>5020302</v>
      </c>
      <c r="E52" s="104">
        <f t="shared" si="1"/>
        <v>398238</v>
      </c>
      <c r="F52" s="104">
        <v>0</v>
      </c>
      <c r="G52" s="104">
        <f t="shared" si="2"/>
        <v>398238</v>
      </c>
      <c r="H52" s="104">
        <v>0</v>
      </c>
      <c r="I52" s="104">
        <v>0</v>
      </c>
      <c r="J52" s="104">
        <f t="shared" si="3"/>
        <v>0</v>
      </c>
      <c r="K52" s="104">
        <v>1934013</v>
      </c>
      <c r="L52" s="104">
        <v>0</v>
      </c>
      <c r="M52" s="104">
        <f t="shared" si="4"/>
        <v>1934013</v>
      </c>
      <c r="N52" s="104">
        <f t="shared" si="5"/>
        <v>1348024</v>
      </c>
      <c r="O52" s="104">
        <v>0</v>
      </c>
      <c r="P52" s="104">
        <f t="shared" si="6"/>
        <v>1348024</v>
      </c>
      <c r="Q52" s="104">
        <v>0</v>
      </c>
      <c r="R52" s="104">
        <v>0</v>
      </c>
      <c r="S52" s="104">
        <f t="shared" si="7"/>
        <v>0</v>
      </c>
      <c r="T52" s="104">
        <v>0</v>
      </c>
      <c r="U52" s="104">
        <v>0</v>
      </c>
      <c r="V52" s="104">
        <f t="shared" si="8"/>
        <v>0</v>
      </c>
      <c r="W52" s="104">
        <f t="shared" si="9"/>
        <v>6041121</v>
      </c>
      <c r="X52" s="104">
        <f t="shared" si="9"/>
        <v>2659456</v>
      </c>
      <c r="Y52" s="386">
        <f t="shared" si="10"/>
        <v>8700577</v>
      </c>
      <c r="Z52" s="104">
        <v>0</v>
      </c>
      <c r="AA52" s="104">
        <v>398238</v>
      </c>
      <c r="AB52" s="387">
        <f>AA52+Z52</f>
        <v>398238</v>
      </c>
      <c r="AC52" s="104">
        <v>0</v>
      </c>
      <c r="AD52" s="104">
        <v>1348024</v>
      </c>
      <c r="AE52" s="387">
        <f t="shared" si="55"/>
        <v>1348024</v>
      </c>
      <c r="AF52" s="388">
        <f>B52</f>
        <v>2360846</v>
      </c>
      <c r="AG52" s="389">
        <f>C52</f>
        <v>2659456</v>
      </c>
      <c r="AH52" s="389">
        <f>AG52+AF52</f>
        <v>5020302</v>
      </c>
      <c r="AI52" s="389">
        <f>E52</f>
        <v>398238</v>
      </c>
      <c r="AJ52" s="389">
        <f>F52</f>
        <v>0</v>
      </c>
      <c r="AK52" s="389">
        <f>AJ52+AI52</f>
        <v>398238</v>
      </c>
      <c r="AL52" s="389">
        <f>H52</f>
        <v>0</v>
      </c>
      <c r="AM52" s="389">
        <f>I52</f>
        <v>0</v>
      </c>
      <c r="AN52" s="389">
        <f>AM52+AL52</f>
        <v>0</v>
      </c>
      <c r="AO52" s="389">
        <f>K52</f>
        <v>1934013</v>
      </c>
      <c r="AP52" s="389">
        <f>L52</f>
        <v>0</v>
      </c>
      <c r="AQ52" s="389">
        <f>AP52+AO52</f>
        <v>1934013</v>
      </c>
      <c r="AR52" s="389">
        <f>N52</f>
        <v>1348024</v>
      </c>
      <c r="AS52" s="389">
        <f>O52</f>
        <v>0</v>
      </c>
      <c r="AT52" s="389">
        <f>AS52+AR52</f>
        <v>1348024</v>
      </c>
      <c r="AU52" s="389">
        <f>Q52</f>
        <v>0</v>
      </c>
      <c r="AV52" s="389">
        <f>R52</f>
        <v>0</v>
      </c>
      <c r="AW52" s="389">
        <f>AV52+AU52</f>
        <v>0</v>
      </c>
      <c r="AX52" s="389">
        <f>T52</f>
        <v>0</v>
      </c>
      <c r="AY52" s="389">
        <f>U52</f>
        <v>0</v>
      </c>
      <c r="AZ52" s="389">
        <f>SUM(AX52:AY52)</f>
        <v>0</v>
      </c>
      <c r="BA52" s="389">
        <f t="shared" si="18"/>
        <v>6041121</v>
      </c>
      <c r="BB52" s="389">
        <f t="shared" si="18"/>
        <v>2659456</v>
      </c>
      <c r="BC52" s="390">
        <f t="shared" si="19"/>
        <v>8700577</v>
      </c>
    </row>
    <row r="53" spans="1:56" ht="15.75" hidden="1" thickBot="1">
      <c r="A53" s="170">
        <v>41671</v>
      </c>
      <c r="B53" s="378">
        <v>1716474</v>
      </c>
      <c r="C53" s="3">
        <v>0</v>
      </c>
      <c r="D53" s="3">
        <f t="shared" si="0"/>
        <v>1716474</v>
      </c>
      <c r="E53" s="3">
        <f t="shared" si="1"/>
        <v>889583</v>
      </c>
      <c r="F53" s="3">
        <v>0</v>
      </c>
      <c r="G53" s="3">
        <f t="shared" si="2"/>
        <v>889583</v>
      </c>
      <c r="H53" s="3">
        <v>0</v>
      </c>
      <c r="I53" s="3">
        <v>0</v>
      </c>
      <c r="J53" s="3">
        <f t="shared" si="3"/>
        <v>0</v>
      </c>
      <c r="K53" s="3">
        <v>2454845</v>
      </c>
      <c r="L53" s="3">
        <v>0</v>
      </c>
      <c r="M53" s="3">
        <f t="shared" si="4"/>
        <v>2454845</v>
      </c>
      <c r="N53" s="3">
        <f t="shared" si="5"/>
        <v>1334459</v>
      </c>
      <c r="O53" s="3">
        <v>0</v>
      </c>
      <c r="P53" s="3">
        <f t="shared" si="6"/>
        <v>1334459</v>
      </c>
      <c r="Q53" s="3">
        <v>0</v>
      </c>
      <c r="R53" s="3">
        <v>0</v>
      </c>
      <c r="S53" s="3">
        <f t="shared" si="7"/>
        <v>0</v>
      </c>
      <c r="T53" s="3">
        <v>0</v>
      </c>
      <c r="U53" s="3">
        <v>0</v>
      </c>
      <c r="V53" s="3">
        <f t="shared" si="8"/>
        <v>0</v>
      </c>
      <c r="W53" s="3">
        <f t="shared" si="9"/>
        <v>6395361</v>
      </c>
      <c r="X53" s="3">
        <f t="shared" si="9"/>
        <v>0</v>
      </c>
      <c r="Y53" s="379">
        <f t="shared" si="10"/>
        <v>6395361</v>
      </c>
      <c r="Z53" s="3">
        <v>480</v>
      </c>
      <c r="AA53" s="3">
        <v>889103</v>
      </c>
      <c r="AB53" s="380">
        <f t="shared" si="11"/>
        <v>889583</v>
      </c>
      <c r="AC53" s="3">
        <v>0</v>
      </c>
      <c r="AD53" s="3">
        <v>1334459</v>
      </c>
      <c r="AE53" s="380">
        <f t="shared" si="55"/>
        <v>1334459</v>
      </c>
      <c r="AF53" s="381">
        <f t="shared" ref="AF53:AG63" si="73">B53+AF52</f>
        <v>4077320</v>
      </c>
      <c r="AG53" s="177">
        <f t="shared" si="73"/>
        <v>2659456</v>
      </c>
      <c r="AH53" s="177">
        <f t="shared" ref="AH53:AH63" si="74">AG53+AF53</f>
        <v>6736776</v>
      </c>
      <c r="AI53" s="177">
        <f>AI52+E53</f>
        <v>1287821</v>
      </c>
      <c r="AJ53" s="177">
        <f>AJ52+F53</f>
        <v>0</v>
      </c>
      <c r="AK53" s="177">
        <f t="shared" ref="AK53:AK63" si="75">AJ53+AI53</f>
        <v>1287821</v>
      </c>
      <c r="AL53" s="177">
        <f t="shared" ref="AL53:AM63" si="76">AL52+H53</f>
        <v>0</v>
      </c>
      <c r="AM53" s="177">
        <f t="shared" si="76"/>
        <v>0</v>
      </c>
      <c r="AN53" s="177">
        <f t="shared" ref="AN53:AN63" si="77">AM53+AL53</f>
        <v>0</v>
      </c>
      <c r="AO53" s="177">
        <f t="shared" ref="AO53:AP63" si="78">AO52+K53</f>
        <v>4388858</v>
      </c>
      <c r="AP53" s="177">
        <f t="shared" si="78"/>
        <v>0</v>
      </c>
      <c r="AQ53" s="177">
        <f t="shared" ref="AQ53:AQ63" si="79">AP53+AO53</f>
        <v>4388858</v>
      </c>
      <c r="AR53" s="177">
        <f t="shared" ref="AR53:AS63" si="80">AR52+N53</f>
        <v>2682483</v>
      </c>
      <c r="AS53" s="177">
        <f t="shared" si="80"/>
        <v>0</v>
      </c>
      <c r="AT53" s="177">
        <f t="shared" ref="AT53:AT63" si="81">AS53+AR53</f>
        <v>2682483</v>
      </c>
      <c r="AU53" s="177">
        <f t="shared" ref="AU53:AV63" si="82">AU52+Q53</f>
        <v>0</v>
      </c>
      <c r="AV53" s="177">
        <f t="shared" si="82"/>
        <v>0</v>
      </c>
      <c r="AW53" s="177">
        <f t="shared" ref="AW53:AW63" si="83">AV53+AU53</f>
        <v>0</v>
      </c>
      <c r="AX53" s="177">
        <f>AX52+T53</f>
        <v>0</v>
      </c>
      <c r="AY53" s="177">
        <f>AY52+U53</f>
        <v>0</v>
      </c>
      <c r="AZ53" s="177">
        <f>SUM(AX53:AY53)</f>
        <v>0</v>
      </c>
      <c r="BA53" s="177">
        <f t="shared" si="18"/>
        <v>12436482</v>
      </c>
      <c r="BB53" s="177">
        <f t="shared" si="18"/>
        <v>2659456</v>
      </c>
      <c r="BC53" s="382">
        <f t="shared" si="19"/>
        <v>15095938</v>
      </c>
    </row>
    <row r="54" spans="1:56" ht="15.75" hidden="1" thickBot="1">
      <c r="A54" s="170">
        <v>41699</v>
      </c>
      <c r="B54" s="378">
        <v>2249101</v>
      </c>
      <c r="C54" s="3">
        <v>2692148</v>
      </c>
      <c r="D54" s="3">
        <f t="shared" si="0"/>
        <v>4941249</v>
      </c>
      <c r="E54" s="3">
        <f t="shared" si="1"/>
        <v>1255477</v>
      </c>
      <c r="F54" s="3">
        <v>0</v>
      </c>
      <c r="G54" s="3">
        <f t="shared" si="2"/>
        <v>1255477</v>
      </c>
      <c r="H54" s="3">
        <v>0</v>
      </c>
      <c r="I54" s="3">
        <v>0</v>
      </c>
      <c r="J54" s="3">
        <f t="shared" si="3"/>
        <v>0</v>
      </c>
      <c r="K54" s="3">
        <v>2969797</v>
      </c>
      <c r="L54" s="3">
        <v>0</v>
      </c>
      <c r="M54" s="3">
        <f t="shared" si="4"/>
        <v>2969797</v>
      </c>
      <c r="N54" s="3">
        <f t="shared" si="5"/>
        <v>1510527</v>
      </c>
      <c r="O54" s="3">
        <v>0</v>
      </c>
      <c r="P54" s="3">
        <f t="shared" si="6"/>
        <v>1510527</v>
      </c>
      <c r="Q54" s="3">
        <v>0</v>
      </c>
      <c r="R54" s="3">
        <v>0</v>
      </c>
      <c r="S54" s="3">
        <f t="shared" si="7"/>
        <v>0</v>
      </c>
      <c r="T54" s="3">
        <v>0</v>
      </c>
      <c r="U54" s="3">
        <v>0</v>
      </c>
      <c r="V54" s="3">
        <f t="shared" si="8"/>
        <v>0</v>
      </c>
      <c r="W54" s="3">
        <f t="shared" si="9"/>
        <v>7984902</v>
      </c>
      <c r="X54" s="3">
        <f t="shared" si="9"/>
        <v>2692148</v>
      </c>
      <c r="Y54" s="379">
        <f t="shared" si="10"/>
        <v>10677050</v>
      </c>
      <c r="Z54" s="3">
        <v>0</v>
      </c>
      <c r="AA54" s="3">
        <v>1255477</v>
      </c>
      <c r="AB54" s="380">
        <f t="shared" si="11"/>
        <v>1255477</v>
      </c>
      <c r="AC54" s="3">
        <v>0</v>
      </c>
      <c r="AD54" s="3">
        <v>1510527</v>
      </c>
      <c r="AE54" s="380">
        <f t="shared" si="55"/>
        <v>1510527</v>
      </c>
      <c r="AF54" s="381">
        <f t="shared" si="73"/>
        <v>6326421</v>
      </c>
      <c r="AG54" s="177">
        <f t="shared" si="73"/>
        <v>5351604</v>
      </c>
      <c r="AH54" s="177">
        <f t="shared" si="74"/>
        <v>11678025</v>
      </c>
      <c r="AI54" s="177">
        <f t="shared" ref="AI54:AJ63" si="84">AI53+E54</f>
        <v>2543298</v>
      </c>
      <c r="AJ54" s="177">
        <f t="shared" si="84"/>
        <v>0</v>
      </c>
      <c r="AK54" s="177">
        <f t="shared" si="75"/>
        <v>2543298</v>
      </c>
      <c r="AL54" s="177">
        <f t="shared" si="76"/>
        <v>0</v>
      </c>
      <c r="AM54" s="177">
        <f t="shared" si="76"/>
        <v>0</v>
      </c>
      <c r="AN54" s="177">
        <f t="shared" si="77"/>
        <v>0</v>
      </c>
      <c r="AO54" s="177">
        <f t="shared" si="78"/>
        <v>7358655</v>
      </c>
      <c r="AP54" s="177">
        <f t="shared" si="78"/>
        <v>0</v>
      </c>
      <c r="AQ54" s="177">
        <f t="shared" si="79"/>
        <v>7358655</v>
      </c>
      <c r="AR54" s="177">
        <f t="shared" si="80"/>
        <v>4193010</v>
      </c>
      <c r="AS54" s="177">
        <f t="shared" si="80"/>
        <v>0</v>
      </c>
      <c r="AT54" s="177">
        <f t="shared" si="81"/>
        <v>4193010</v>
      </c>
      <c r="AU54" s="177">
        <f t="shared" si="82"/>
        <v>0</v>
      </c>
      <c r="AV54" s="177">
        <f t="shared" si="82"/>
        <v>0</v>
      </c>
      <c r="AW54" s="177">
        <f t="shared" si="83"/>
        <v>0</v>
      </c>
      <c r="AX54" s="177">
        <f t="shared" ref="AX54:AY63" si="85">AX53+T54</f>
        <v>0</v>
      </c>
      <c r="AY54" s="177">
        <f t="shared" si="85"/>
        <v>0</v>
      </c>
      <c r="AZ54" s="177">
        <f t="shared" ref="AZ54:AZ63" si="86">SUM(AX54:AY54)</f>
        <v>0</v>
      </c>
      <c r="BA54" s="177">
        <f t="shared" si="18"/>
        <v>20421384</v>
      </c>
      <c r="BB54" s="177">
        <f t="shared" si="18"/>
        <v>5351604</v>
      </c>
      <c r="BC54" s="382">
        <f t="shared" si="19"/>
        <v>25772988</v>
      </c>
    </row>
    <row r="55" spans="1:56" ht="15.75" hidden="1" thickBot="1">
      <c r="A55" s="170">
        <v>41730</v>
      </c>
      <c r="B55" s="378">
        <v>2270945</v>
      </c>
      <c r="C55" s="3">
        <v>16271251</v>
      </c>
      <c r="D55" s="3">
        <f t="shared" si="0"/>
        <v>18542196</v>
      </c>
      <c r="E55" s="3">
        <f t="shared" si="1"/>
        <v>1562152</v>
      </c>
      <c r="F55" s="3">
        <v>0</v>
      </c>
      <c r="G55" s="3">
        <f t="shared" si="2"/>
        <v>1562152</v>
      </c>
      <c r="H55" s="3">
        <v>0</v>
      </c>
      <c r="I55" s="3">
        <v>0</v>
      </c>
      <c r="J55" s="3">
        <f t="shared" si="3"/>
        <v>0</v>
      </c>
      <c r="K55" s="3">
        <v>2411989</v>
      </c>
      <c r="L55" s="3">
        <v>0</v>
      </c>
      <c r="M55" s="3">
        <f t="shared" si="4"/>
        <v>2411989</v>
      </c>
      <c r="N55" s="3">
        <f t="shared" si="5"/>
        <v>1329732</v>
      </c>
      <c r="O55" s="3">
        <v>0</v>
      </c>
      <c r="P55" s="3">
        <f t="shared" si="6"/>
        <v>1329732</v>
      </c>
      <c r="Q55" s="3">
        <v>0</v>
      </c>
      <c r="R55" s="3">
        <v>0</v>
      </c>
      <c r="S55" s="3">
        <f t="shared" si="7"/>
        <v>0</v>
      </c>
      <c r="T55" s="3">
        <v>0</v>
      </c>
      <c r="U55" s="3">
        <v>0</v>
      </c>
      <c r="V55" s="3">
        <f t="shared" si="8"/>
        <v>0</v>
      </c>
      <c r="W55" s="3">
        <f t="shared" si="9"/>
        <v>7574818</v>
      </c>
      <c r="X55" s="3">
        <f t="shared" si="9"/>
        <v>16271251</v>
      </c>
      <c r="Y55" s="379">
        <f t="shared" si="10"/>
        <v>23846069</v>
      </c>
      <c r="Z55" s="3">
        <v>0</v>
      </c>
      <c r="AA55" s="3">
        <v>1562152</v>
      </c>
      <c r="AB55" s="380">
        <f t="shared" si="11"/>
        <v>1562152</v>
      </c>
      <c r="AC55" s="3">
        <v>0</v>
      </c>
      <c r="AD55" s="3">
        <v>1329732</v>
      </c>
      <c r="AE55" s="380">
        <f t="shared" si="55"/>
        <v>1329732</v>
      </c>
      <c r="AF55" s="381">
        <f t="shared" si="73"/>
        <v>8597366</v>
      </c>
      <c r="AG55" s="177">
        <f t="shared" si="73"/>
        <v>21622855</v>
      </c>
      <c r="AH55" s="177">
        <f t="shared" si="74"/>
        <v>30220221</v>
      </c>
      <c r="AI55" s="177">
        <f t="shared" si="84"/>
        <v>4105450</v>
      </c>
      <c r="AJ55" s="177">
        <f t="shared" si="84"/>
        <v>0</v>
      </c>
      <c r="AK55" s="177">
        <f t="shared" si="75"/>
        <v>4105450</v>
      </c>
      <c r="AL55" s="177">
        <f t="shared" si="76"/>
        <v>0</v>
      </c>
      <c r="AM55" s="177">
        <f t="shared" si="76"/>
        <v>0</v>
      </c>
      <c r="AN55" s="177">
        <f t="shared" si="77"/>
        <v>0</v>
      </c>
      <c r="AO55" s="177">
        <f t="shared" si="78"/>
        <v>9770644</v>
      </c>
      <c r="AP55" s="177">
        <f t="shared" si="78"/>
        <v>0</v>
      </c>
      <c r="AQ55" s="177">
        <f t="shared" si="79"/>
        <v>9770644</v>
      </c>
      <c r="AR55" s="177">
        <f t="shared" si="80"/>
        <v>5522742</v>
      </c>
      <c r="AS55" s="177">
        <f t="shared" si="80"/>
        <v>0</v>
      </c>
      <c r="AT55" s="177">
        <f t="shared" si="81"/>
        <v>5522742</v>
      </c>
      <c r="AU55" s="177">
        <f t="shared" si="82"/>
        <v>0</v>
      </c>
      <c r="AV55" s="177">
        <f t="shared" si="82"/>
        <v>0</v>
      </c>
      <c r="AW55" s="177">
        <f t="shared" si="83"/>
        <v>0</v>
      </c>
      <c r="AX55" s="177">
        <f t="shared" si="85"/>
        <v>0</v>
      </c>
      <c r="AY55" s="177">
        <f t="shared" si="85"/>
        <v>0</v>
      </c>
      <c r="AZ55" s="177">
        <f t="shared" si="86"/>
        <v>0</v>
      </c>
      <c r="BA55" s="177">
        <f t="shared" si="18"/>
        <v>27996202</v>
      </c>
      <c r="BB55" s="177">
        <f t="shared" si="18"/>
        <v>21622855</v>
      </c>
      <c r="BC55" s="382">
        <f t="shared" si="19"/>
        <v>49619057</v>
      </c>
    </row>
    <row r="56" spans="1:56" ht="15.75" hidden="1" thickBot="1">
      <c r="A56" s="170">
        <v>41760</v>
      </c>
      <c r="B56" s="378">
        <v>2078392</v>
      </c>
      <c r="C56" s="3">
        <v>20556279</v>
      </c>
      <c r="D56" s="3">
        <f t="shared" si="0"/>
        <v>22634671</v>
      </c>
      <c r="E56" s="3">
        <f t="shared" si="1"/>
        <v>1294829</v>
      </c>
      <c r="F56" s="3">
        <v>0</v>
      </c>
      <c r="G56" s="3">
        <f t="shared" si="2"/>
        <v>1294829</v>
      </c>
      <c r="H56" s="3">
        <v>0</v>
      </c>
      <c r="I56" s="3">
        <v>0</v>
      </c>
      <c r="J56" s="3">
        <f t="shared" si="3"/>
        <v>0</v>
      </c>
      <c r="K56" s="3">
        <v>2193478</v>
      </c>
      <c r="L56" s="3">
        <v>0</v>
      </c>
      <c r="M56" s="3">
        <f t="shared" si="4"/>
        <v>2193478</v>
      </c>
      <c r="N56" s="3">
        <f t="shared" si="5"/>
        <v>1406030</v>
      </c>
      <c r="O56" s="3">
        <v>0</v>
      </c>
      <c r="P56" s="3">
        <f t="shared" si="6"/>
        <v>1406030</v>
      </c>
      <c r="Q56" s="3">
        <v>0</v>
      </c>
      <c r="R56" s="3">
        <v>0</v>
      </c>
      <c r="S56" s="3">
        <f t="shared" si="7"/>
        <v>0</v>
      </c>
      <c r="T56" s="3">
        <v>0</v>
      </c>
      <c r="U56" s="3">
        <v>0</v>
      </c>
      <c r="V56" s="3">
        <f t="shared" si="8"/>
        <v>0</v>
      </c>
      <c r="W56" s="3">
        <f t="shared" si="9"/>
        <v>6972729</v>
      </c>
      <c r="X56" s="3">
        <f t="shared" si="9"/>
        <v>20556279</v>
      </c>
      <c r="Y56" s="379">
        <f t="shared" si="10"/>
        <v>27529008</v>
      </c>
      <c r="Z56" s="3">
        <v>0</v>
      </c>
      <c r="AA56" s="3">
        <v>1294829</v>
      </c>
      <c r="AB56" s="380">
        <f t="shared" si="11"/>
        <v>1294829</v>
      </c>
      <c r="AC56" s="3">
        <v>0</v>
      </c>
      <c r="AD56" s="3">
        <v>1406030</v>
      </c>
      <c r="AE56" s="380">
        <f t="shared" si="55"/>
        <v>1406030</v>
      </c>
      <c r="AF56" s="381">
        <f t="shared" si="73"/>
        <v>10675758</v>
      </c>
      <c r="AG56" s="177">
        <f t="shared" si="73"/>
        <v>42179134</v>
      </c>
      <c r="AH56" s="177">
        <f t="shared" si="74"/>
        <v>52854892</v>
      </c>
      <c r="AI56" s="177">
        <f t="shared" si="84"/>
        <v>5400279</v>
      </c>
      <c r="AJ56" s="177">
        <f t="shared" si="84"/>
        <v>0</v>
      </c>
      <c r="AK56" s="177">
        <f t="shared" si="75"/>
        <v>5400279</v>
      </c>
      <c r="AL56" s="177">
        <f t="shared" si="76"/>
        <v>0</v>
      </c>
      <c r="AM56" s="177">
        <f t="shared" si="76"/>
        <v>0</v>
      </c>
      <c r="AN56" s="177">
        <f t="shared" si="77"/>
        <v>0</v>
      </c>
      <c r="AO56" s="177">
        <f t="shared" si="78"/>
        <v>11964122</v>
      </c>
      <c r="AP56" s="177">
        <f t="shared" si="78"/>
        <v>0</v>
      </c>
      <c r="AQ56" s="177">
        <f t="shared" si="79"/>
        <v>11964122</v>
      </c>
      <c r="AR56" s="177">
        <f t="shared" si="80"/>
        <v>6928772</v>
      </c>
      <c r="AS56" s="177">
        <f t="shared" si="80"/>
        <v>0</v>
      </c>
      <c r="AT56" s="177">
        <f t="shared" si="81"/>
        <v>6928772</v>
      </c>
      <c r="AU56" s="177">
        <f t="shared" si="82"/>
        <v>0</v>
      </c>
      <c r="AV56" s="177">
        <f t="shared" si="82"/>
        <v>0</v>
      </c>
      <c r="AW56" s="177">
        <f t="shared" si="83"/>
        <v>0</v>
      </c>
      <c r="AX56" s="177">
        <f t="shared" si="85"/>
        <v>0</v>
      </c>
      <c r="AY56" s="177">
        <f t="shared" si="85"/>
        <v>0</v>
      </c>
      <c r="AZ56" s="177">
        <f t="shared" si="86"/>
        <v>0</v>
      </c>
      <c r="BA56" s="177">
        <f t="shared" si="18"/>
        <v>34968931</v>
      </c>
      <c r="BB56" s="177">
        <f t="shared" si="18"/>
        <v>42179134</v>
      </c>
      <c r="BC56" s="382">
        <f t="shared" si="19"/>
        <v>77148065</v>
      </c>
    </row>
    <row r="57" spans="1:56" ht="15.75" hidden="1" thickBot="1">
      <c r="A57" s="170">
        <v>41791</v>
      </c>
      <c r="B57" s="378">
        <v>2181942</v>
      </c>
      <c r="C57" s="3">
        <v>10573426</v>
      </c>
      <c r="D57" s="3">
        <f t="shared" si="0"/>
        <v>12755368</v>
      </c>
      <c r="E57" s="3">
        <f t="shared" si="1"/>
        <v>1320737</v>
      </c>
      <c r="F57" s="3">
        <v>0</v>
      </c>
      <c r="G57" s="3">
        <f t="shared" si="2"/>
        <v>1320737</v>
      </c>
      <c r="H57" s="3">
        <v>0</v>
      </c>
      <c r="I57" s="3">
        <v>0</v>
      </c>
      <c r="J57" s="3">
        <f t="shared" si="3"/>
        <v>0</v>
      </c>
      <c r="K57" s="3">
        <v>2514332</v>
      </c>
      <c r="L57" s="3">
        <v>0</v>
      </c>
      <c r="M57" s="3">
        <f t="shared" si="4"/>
        <v>2514332</v>
      </c>
      <c r="N57" s="3">
        <f t="shared" si="5"/>
        <v>1393164</v>
      </c>
      <c r="O57" s="3">
        <v>0</v>
      </c>
      <c r="P57" s="3">
        <f t="shared" si="6"/>
        <v>1393164</v>
      </c>
      <c r="Q57" s="3">
        <v>0</v>
      </c>
      <c r="R57" s="3">
        <v>0</v>
      </c>
      <c r="S57" s="3">
        <f t="shared" si="7"/>
        <v>0</v>
      </c>
      <c r="T57" s="3">
        <v>0</v>
      </c>
      <c r="U57" s="3">
        <v>0</v>
      </c>
      <c r="V57" s="3">
        <f t="shared" si="8"/>
        <v>0</v>
      </c>
      <c r="W57" s="3">
        <f t="shared" si="9"/>
        <v>7410175</v>
      </c>
      <c r="X57" s="3">
        <f t="shared" si="9"/>
        <v>10573426</v>
      </c>
      <c r="Y57" s="379">
        <f t="shared" si="10"/>
        <v>17983601</v>
      </c>
      <c r="Z57" s="3">
        <v>0</v>
      </c>
      <c r="AA57" s="3">
        <v>1320737</v>
      </c>
      <c r="AB57" s="380">
        <f t="shared" si="11"/>
        <v>1320737</v>
      </c>
      <c r="AC57" s="3">
        <v>0</v>
      </c>
      <c r="AD57" s="3">
        <v>1393164</v>
      </c>
      <c r="AE57" s="380">
        <f t="shared" si="55"/>
        <v>1393164</v>
      </c>
      <c r="AF57" s="381">
        <f t="shared" si="73"/>
        <v>12857700</v>
      </c>
      <c r="AG57" s="177">
        <f t="shared" si="73"/>
        <v>52752560</v>
      </c>
      <c r="AH57" s="177">
        <f t="shared" si="74"/>
        <v>65610260</v>
      </c>
      <c r="AI57" s="177">
        <f t="shared" si="84"/>
        <v>6721016</v>
      </c>
      <c r="AJ57" s="177">
        <f t="shared" si="84"/>
        <v>0</v>
      </c>
      <c r="AK57" s="177">
        <f t="shared" si="75"/>
        <v>6721016</v>
      </c>
      <c r="AL57" s="177">
        <f t="shared" si="76"/>
        <v>0</v>
      </c>
      <c r="AM57" s="177">
        <f t="shared" si="76"/>
        <v>0</v>
      </c>
      <c r="AN57" s="177">
        <f t="shared" si="77"/>
        <v>0</v>
      </c>
      <c r="AO57" s="177">
        <f t="shared" si="78"/>
        <v>14478454</v>
      </c>
      <c r="AP57" s="177">
        <f t="shared" si="78"/>
        <v>0</v>
      </c>
      <c r="AQ57" s="177">
        <f t="shared" si="79"/>
        <v>14478454</v>
      </c>
      <c r="AR57" s="177">
        <f t="shared" si="80"/>
        <v>8321936</v>
      </c>
      <c r="AS57" s="177">
        <f t="shared" si="80"/>
        <v>0</v>
      </c>
      <c r="AT57" s="177">
        <f t="shared" si="81"/>
        <v>8321936</v>
      </c>
      <c r="AU57" s="177">
        <f t="shared" si="82"/>
        <v>0</v>
      </c>
      <c r="AV57" s="177">
        <f t="shared" si="82"/>
        <v>0</v>
      </c>
      <c r="AW57" s="177">
        <f t="shared" si="83"/>
        <v>0</v>
      </c>
      <c r="AX57" s="177">
        <f t="shared" si="85"/>
        <v>0</v>
      </c>
      <c r="AY57" s="177">
        <f t="shared" si="85"/>
        <v>0</v>
      </c>
      <c r="AZ57" s="177">
        <f t="shared" si="86"/>
        <v>0</v>
      </c>
      <c r="BA57" s="177">
        <f t="shared" si="18"/>
        <v>42379106</v>
      </c>
      <c r="BB57" s="177">
        <f t="shared" si="18"/>
        <v>52752560</v>
      </c>
      <c r="BC57" s="382">
        <f t="shared" si="19"/>
        <v>95131666</v>
      </c>
    </row>
    <row r="58" spans="1:56" ht="15.75" hidden="1" thickBot="1">
      <c r="A58" s="170">
        <v>41821</v>
      </c>
      <c r="B58" s="378">
        <v>2273944</v>
      </c>
      <c r="C58" s="3">
        <v>4972076</v>
      </c>
      <c r="D58" s="3">
        <f t="shared" si="0"/>
        <v>7246020</v>
      </c>
      <c r="E58" s="3">
        <f t="shared" si="1"/>
        <v>2353270</v>
      </c>
      <c r="F58" s="3">
        <v>0</v>
      </c>
      <c r="G58" s="3">
        <f t="shared" si="2"/>
        <v>2353270</v>
      </c>
      <c r="H58" s="3">
        <v>0</v>
      </c>
      <c r="I58" s="3">
        <v>0</v>
      </c>
      <c r="J58" s="3">
        <f t="shared" si="3"/>
        <v>0</v>
      </c>
      <c r="K58" s="3">
        <v>4340962</v>
      </c>
      <c r="L58" s="3">
        <v>0</v>
      </c>
      <c r="M58" s="3">
        <f t="shared" si="4"/>
        <v>4340962</v>
      </c>
      <c r="N58" s="3">
        <f t="shared" si="5"/>
        <v>1597460</v>
      </c>
      <c r="O58" s="3">
        <v>0</v>
      </c>
      <c r="P58" s="3">
        <f t="shared" si="6"/>
        <v>1597460</v>
      </c>
      <c r="Q58" s="3">
        <v>0</v>
      </c>
      <c r="R58" s="3">
        <v>0</v>
      </c>
      <c r="S58" s="3">
        <f t="shared" si="7"/>
        <v>0</v>
      </c>
      <c r="T58" s="3">
        <v>0</v>
      </c>
      <c r="U58" s="3">
        <v>0</v>
      </c>
      <c r="V58" s="3">
        <f t="shared" si="8"/>
        <v>0</v>
      </c>
      <c r="W58" s="3">
        <f t="shared" si="9"/>
        <v>10565636</v>
      </c>
      <c r="X58" s="3">
        <f t="shared" si="9"/>
        <v>4972076</v>
      </c>
      <c r="Y58" s="379">
        <f t="shared" si="10"/>
        <v>15537712</v>
      </c>
      <c r="Z58" s="3">
        <v>0</v>
      </c>
      <c r="AA58" s="3">
        <v>2353270</v>
      </c>
      <c r="AB58" s="380">
        <f t="shared" si="11"/>
        <v>2353270</v>
      </c>
      <c r="AC58" s="3">
        <v>0</v>
      </c>
      <c r="AD58" s="3">
        <v>1597460</v>
      </c>
      <c r="AE58" s="380">
        <f t="shared" si="55"/>
        <v>1597460</v>
      </c>
      <c r="AF58" s="381">
        <f t="shared" si="73"/>
        <v>15131644</v>
      </c>
      <c r="AG58" s="177">
        <f t="shared" si="73"/>
        <v>57724636</v>
      </c>
      <c r="AH58" s="177">
        <f t="shared" si="74"/>
        <v>72856280</v>
      </c>
      <c r="AI58" s="177">
        <f t="shared" si="84"/>
        <v>9074286</v>
      </c>
      <c r="AJ58" s="177">
        <f t="shared" si="84"/>
        <v>0</v>
      </c>
      <c r="AK58" s="177">
        <f t="shared" si="75"/>
        <v>9074286</v>
      </c>
      <c r="AL58" s="177">
        <f t="shared" si="76"/>
        <v>0</v>
      </c>
      <c r="AM58" s="177">
        <f t="shared" si="76"/>
        <v>0</v>
      </c>
      <c r="AN58" s="177">
        <f t="shared" si="77"/>
        <v>0</v>
      </c>
      <c r="AO58" s="177">
        <f t="shared" si="78"/>
        <v>18819416</v>
      </c>
      <c r="AP58" s="177">
        <f t="shared" si="78"/>
        <v>0</v>
      </c>
      <c r="AQ58" s="177">
        <f t="shared" si="79"/>
        <v>18819416</v>
      </c>
      <c r="AR58" s="177">
        <f t="shared" si="80"/>
        <v>9919396</v>
      </c>
      <c r="AS58" s="177">
        <f t="shared" si="80"/>
        <v>0</v>
      </c>
      <c r="AT58" s="177">
        <f t="shared" si="81"/>
        <v>9919396</v>
      </c>
      <c r="AU58" s="177">
        <f t="shared" si="82"/>
        <v>0</v>
      </c>
      <c r="AV58" s="177">
        <f t="shared" si="82"/>
        <v>0</v>
      </c>
      <c r="AW58" s="177">
        <f t="shared" si="83"/>
        <v>0</v>
      </c>
      <c r="AX58" s="177">
        <f t="shared" si="85"/>
        <v>0</v>
      </c>
      <c r="AY58" s="177">
        <f t="shared" si="85"/>
        <v>0</v>
      </c>
      <c r="AZ58" s="177">
        <f t="shared" si="86"/>
        <v>0</v>
      </c>
      <c r="BA58" s="177">
        <f t="shared" si="18"/>
        <v>52944742</v>
      </c>
      <c r="BB58" s="177">
        <f t="shared" si="18"/>
        <v>57724636</v>
      </c>
      <c r="BC58" s="382">
        <f t="shared" si="19"/>
        <v>110669378</v>
      </c>
    </row>
    <row r="59" spans="1:56" ht="15.75" hidden="1" thickBot="1">
      <c r="A59" s="170">
        <v>41852</v>
      </c>
      <c r="B59" s="378">
        <v>2143347</v>
      </c>
      <c r="C59" s="3">
        <v>0</v>
      </c>
      <c r="D59" s="3">
        <f t="shared" si="0"/>
        <v>2143347</v>
      </c>
      <c r="E59" s="3">
        <f t="shared" si="1"/>
        <v>830625</v>
      </c>
      <c r="F59" s="3">
        <v>0</v>
      </c>
      <c r="G59" s="3">
        <f t="shared" si="2"/>
        <v>830625</v>
      </c>
      <c r="H59" s="3">
        <v>0</v>
      </c>
      <c r="I59" s="3">
        <v>0</v>
      </c>
      <c r="J59" s="3">
        <f t="shared" si="3"/>
        <v>0</v>
      </c>
      <c r="K59" s="3">
        <v>1533275</v>
      </c>
      <c r="L59" s="3">
        <v>0</v>
      </c>
      <c r="M59" s="3">
        <f t="shared" si="4"/>
        <v>1533275</v>
      </c>
      <c r="N59" s="3">
        <f t="shared" si="5"/>
        <v>175407</v>
      </c>
      <c r="O59" s="3">
        <v>0</v>
      </c>
      <c r="P59" s="3">
        <f t="shared" si="6"/>
        <v>175407</v>
      </c>
      <c r="Q59" s="3">
        <v>0</v>
      </c>
      <c r="R59" s="3">
        <v>0</v>
      </c>
      <c r="S59" s="3">
        <f t="shared" si="7"/>
        <v>0</v>
      </c>
      <c r="T59" s="3">
        <v>0</v>
      </c>
      <c r="U59" s="3">
        <v>0</v>
      </c>
      <c r="V59" s="3">
        <f t="shared" si="8"/>
        <v>0</v>
      </c>
      <c r="W59" s="3">
        <f t="shared" si="9"/>
        <v>4682654</v>
      </c>
      <c r="X59" s="3">
        <f t="shared" si="9"/>
        <v>0</v>
      </c>
      <c r="Y59" s="379">
        <f t="shared" si="10"/>
        <v>4682654</v>
      </c>
      <c r="Z59" s="3">
        <v>0</v>
      </c>
      <c r="AA59" s="3">
        <v>830625</v>
      </c>
      <c r="AB59" s="380">
        <f t="shared" si="11"/>
        <v>830625</v>
      </c>
      <c r="AC59" s="3">
        <v>0</v>
      </c>
      <c r="AD59" s="3">
        <v>175407</v>
      </c>
      <c r="AE59" s="380">
        <f t="shared" si="55"/>
        <v>175407</v>
      </c>
      <c r="AF59" s="381">
        <f t="shared" si="73"/>
        <v>17274991</v>
      </c>
      <c r="AG59" s="177">
        <f t="shared" si="73"/>
        <v>57724636</v>
      </c>
      <c r="AH59" s="177">
        <f t="shared" si="74"/>
        <v>74999627</v>
      </c>
      <c r="AI59" s="177">
        <f t="shared" si="84"/>
        <v>9904911</v>
      </c>
      <c r="AJ59" s="177">
        <f t="shared" si="84"/>
        <v>0</v>
      </c>
      <c r="AK59" s="177">
        <f t="shared" si="75"/>
        <v>9904911</v>
      </c>
      <c r="AL59" s="177">
        <f t="shared" si="76"/>
        <v>0</v>
      </c>
      <c r="AM59" s="177">
        <f t="shared" si="76"/>
        <v>0</v>
      </c>
      <c r="AN59" s="177">
        <f t="shared" si="77"/>
        <v>0</v>
      </c>
      <c r="AO59" s="177">
        <f t="shared" si="78"/>
        <v>20352691</v>
      </c>
      <c r="AP59" s="177">
        <f t="shared" si="78"/>
        <v>0</v>
      </c>
      <c r="AQ59" s="177">
        <f t="shared" si="79"/>
        <v>20352691</v>
      </c>
      <c r="AR59" s="177">
        <f t="shared" si="80"/>
        <v>10094803</v>
      </c>
      <c r="AS59" s="177">
        <f t="shared" si="80"/>
        <v>0</v>
      </c>
      <c r="AT59" s="177">
        <f t="shared" si="81"/>
        <v>10094803</v>
      </c>
      <c r="AU59" s="177">
        <f t="shared" si="82"/>
        <v>0</v>
      </c>
      <c r="AV59" s="177">
        <f t="shared" si="82"/>
        <v>0</v>
      </c>
      <c r="AW59" s="177">
        <f t="shared" si="83"/>
        <v>0</v>
      </c>
      <c r="AX59" s="177">
        <f t="shared" si="85"/>
        <v>0</v>
      </c>
      <c r="AY59" s="177">
        <f t="shared" si="85"/>
        <v>0</v>
      </c>
      <c r="AZ59" s="177">
        <f t="shared" si="86"/>
        <v>0</v>
      </c>
      <c r="BA59" s="177">
        <f t="shared" si="18"/>
        <v>57627396</v>
      </c>
      <c r="BB59" s="177">
        <f t="shared" si="18"/>
        <v>57724636</v>
      </c>
      <c r="BC59" s="382">
        <f t="shared" si="19"/>
        <v>115352032</v>
      </c>
    </row>
    <row r="60" spans="1:56" ht="15.75" hidden="1" thickBot="1">
      <c r="A60" s="170">
        <v>41883</v>
      </c>
      <c r="B60" s="378">
        <v>2177573</v>
      </c>
      <c r="C60" s="3">
        <v>0</v>
      </c>
      <c r="D60" s="3">
        <f t="shared" si="0"/>
        <v>2177573</v>
      </c>
      <c r="E60" s="3">
        <f t="shared" si="1"/>
        <v>1064210</v>
      </c>
      <c r="F60" s="3">
        <v>0</v>
      </c>
      <c r="G60" s="3">
        <f t="shared" si="2"/>
        <v>1064210</v>
      </c>
      <c r="H60" s="3">
        <v>0</v>
      </c>
      <c r="I60" s="3">
        <v>0</v>
      </c>
      <c r="J60" s="3">
        <f t="shared" si="3"/>
        <v>0</v>
      </c>
      <c r="K60" s="3">
        <v>0</v>
      </c>
      <c r="L60" s="3">
        <v>0</v>
      </c>
      <c r="M60" s="3">
        <f t="shared" si="4"/>
        <v>0</v>
      </c>
      <c r="N60" s="3">
        <f t="shared" si="5"/>
        <v>1051551</v>
      </c>
      <c r="O60" s="3">
        <v>0</v>
      </c>
      <c r="P60" s="3">
        <f t="shared" si="6"/>
        <v>1051551</v>
      </c>
      <c r="Q60" s="3">
        <v>2367</v>
      </c>
      <c r="R60" s="3">
        <v>0</v>
      </c>
      <c r="S60" s="3">
        <f t="shared" si="7"/>
        <v>2367</v>
      </c>
      <c r="T60" s="3">
        <v>0</v>
      </c>
      <c r="U60" s="3">
        <v>0</v>
      </c>
      <c r="V60" s="3">
        <f t="shared" si="8"/>
        <v>0</v>
      </c>
      <c r="W60" s="3">
        <f t="shared" si="9"/>
        <v>4295701</v>
      </c>
      <c r="X60" s="3">
        <f t="shared" si="9"/>
        <v>0</v>
      </c>
      <c r="Y60" s="379">
        <f t="shared" si="10"/>
        <v>4295701</v>
      </c>
      <c r="Z60" s="3">
        <v>0</v>
      </c>
      <c r="AA60" s="3">
        <v>1064210</v>
      </c>
      <c r="AB60" s="380">
        <f t="shared" si="11"/>
        <v>1064210</v>
      </c>
      <c r="AC60" s="3">
        <v>0</v>
      </c>
      <c r="AD60" s="3">
        <v>1051551</v>
      </c>
      <c r="AE60" s="380">
        <f t="shared" si="55"/>
        <v>1051551</v>
      </c>
      <c r="AF60" s="381">
        <f t="shared" si="73"/>
        <v>19452564</v>
      </c>
      <c r="AG60" s="177">
        <f t="shared" si="73"/>
        <v>57724636</v>
      </c>
      <c r="AH60" s="177">
        <f t="shared" si="74"/>
        <v>77177200</v>
      </c>
      <c r="AI60" s="177">
        <f t="shared" si="84"/>
        <v>10969121</v>
      </c>
      <c r="AJ60" s="177">
        <f t="shared" si="84"/>
        <v>0</v>
      </c>
      <c r="AK60" s="177">
        <f t="shared" si="75"/>
        <v>10969121</v>
      </c>
      <c r="AL60" s="177">
        <f t="shared" si="76"/>
        <v>0</v>
      </c>
      <c r="AM60" s="177">
        <f t="shared" si="76"/>
        <v>0</v>
      </c>
      <c r="AN60" s="177">
        <f t="shared" si="77"/>
        <v>0</v>
      </c>
      <c r="AO60" s="177">
        <f t="shared" si="78"/>
        <v>20352691</v>
      </c>
      <c r="AP60" s="177">
        <f t="shared" si="78"/>
        <v>0</v>
      </c>
      <c r="AQ60" s="177">
        <f t="shared" si="79"/>
        <v>20352691</v>
      </c>
      <c r="AR60" s="177">
        <f t="shared" si="80"/>
        <v>11146354</v>
      </c>
      <c r="AS60" s="177">
        <f t="shared" si="80"/>
        <v>0</v>
      </c>
      <c r="AT60" s="177">
        <f t="shared" si="81"/>
        <v>11146354</v>
      </c>
      <c r="AU60" s="177">
        <f t="shared" si="82"/>
        <v>2367</v>
      </c>
      <c r="AV60" s="177">
        <f t="shared" si="82"/>
        <v>0</v>
      </c>
      <c r="AW60" s="177">
        <f t="shared" si="83"/>
        <v>2367</v>
      </c>
      <c r="AX60" s="177">
        <f t="shared" si="85"/>
        <v>0</v>
      </c>
      <c r="AY60" s="177">
        <f t="shared" si="85"/>
        <v>0</v>
      </c>
      <c r="AZ60" s="177">
        <f t="shared" si="86"/>
        <v>0</v>
      </c>
      <c r="BA60" s="177">
        <f t="shared" si="18"/>
        <v>61923097</v>
      </c>
      <c r="BB60" s="177">
        <f t="shared" si="18"/>
        <v>57724636</v>
      </c>
      <c r="BC60" s="382">
        <f t="shared" si="19"/>
        <v>119647733</v>
      </c>
    </row>
    <row r="61" spans="1:56" ht="15.75" hidden="1" thickBot="1">
      <c r="A61" s="170">
        <v>41913</v>
      </c>
      <c r="B61" s="378">
        <v>2402920</v>
      </c>
      <c r="C61" s="3">
        <v>0</v>
      </c>
      <c r="D61" s="3">
        <f t="shared" si="0"/>
        <v>2402920</v>
      </c>
      <c r="E61" s="3">
        <f t="shared" si="1"/>
        <v>1432327</v>
      </c>
      <c r="F61" s="3">
        <v>0</v>
      </c>
      <c r="G61" s="3">
        <f t="shared" si="2"/>
        <v>1432327</v>
      </c>
      <c r="H61" s="3">
        <v>16162</v>
      </c>
      <c r="I61" s="3">
        <v>0</v>
      </c>
      <c r="J61" s="3">
        <f t="shared" si="3"/>
        <v>16162</v>
      </c>
      <c r="K61" s="3">
        <v>0</v>
      </c>
      <c r="L61" s="3">
        <v>0</v>
      </c>
      <c r="M61" s="3">
        <f t="shared" si="4"/>
        <v>0</v>
      </c>
      <c r="N61" s="3">
        <f t="shared" si="5"/>
        <v>2384292</v>
      </c>
      <c r="O61" s="3">
        <v>0</v>
      </c>
      <c r="P61" s="3">
        <f t="shared" si="6"/>
        <v>2384292</v>
      </c>
      <c r="Q61" s="3">
        <v>3351</v>
      </c>
      <c r="R61" s="3">
        <v>0</v>
      </c>
      <c r="S61" s="3">
        <f t="shared" si="7"/>
        <v>3351</v>
      </c>
      <c r="T61" s="3">
        <v>0</v>
      </c>
      <c r="U61" s="3">
        <v>0</v>
      </c>
      <c r="V61" s="3">
        <f t="shared" si="8"/>
        <v>0</v>
      </c>
      <c r="W61" s="3">
        <f t="shared" si="9"/>
        <v>6239052</v>
      </c>
      <c r="X61" s="3">
        <f t="shared" si="9"/>
        <v>0</v>
      </c>
      <c r="Y61" s="379">
        <f t="shared" si="10"/>
        <v>6239052</v>
      </c>
      <c r="Z61" s="3">
        <v>0</v>
      </c>
      <c r="AA61" s="3">
        <v>1432327</v>
      </c>
      <c r="AB61" s="380">
        <f t="shared" si="11"/>
        <v>1432327</v>
      </c>
      <c r="AC61" s="3">
        <v>0</v>
      </c>
      <c r="AD61" s="3">
        <v>2384292</v>
      </c>
      <c r="AE61" s="380">
        <f t="shared" si="55"/>
        <v>2384292</v>
      </c>
      <c r="AF61" s="381">
        <f t="shared" si="73"/>
        <v>21855484</v>
      </c>
      <c r="AG61" s="177">
        <f t="shared" si="73"/>
        <v>57724636</v>
      </c>
      <c r="AH61" s="177">
        <f t="shared" si="74"/>
        <v>79580120</v>
      </c>
      <c r="AI61" s="177">
        <f t="shared" si="84"/>
        <v>12401448</v>
      </c>
      <c r="AJ61" s="177">
        <f t="shared" si="84"/>
        <v>0</v>
      </c>
      <c r="AK61" s="177">
        <f t="shared" si="75"/>
        <v>12401448</v>
      </c>
      <c r="AL61" s="177">
        <f t="shared" si="76"/>
        <v>16162</v>
      </c>
      <c r="AM61" s="177">
        <f t="shared" si="76"/>
        <v>0</v>
      </c>
      <c r="AN61" s="177">
        <f t="shared" si="77"/>
        <v>16162</v>
      </c>
      <c r="AO61" s="177">
        <f t="shared" si="78"/>
        <v>20352691</v>
      </c>
      <c r="AP61" s="177">
        <f t="shared" si="78"/>
        <v>0</v>
      </c>
      <c r="AQ61" s="177">
        <f t="shared" si="79"/>
        <v>20352691</v>
      </c>
      <c r="AR61" s="177">
        <f t="shared" si="80"/>
        <v>13530646</v>
      </c>
      <c r="AS61" s="177">
        <f t="shared" si="80"/>
        <v>0</v>
      </c>
      <c r="AT61" s="177">
        <f t="shared" si="81"/>
        <v>13530646</v>
      </c>
      <c r="AU61" s="177">
        <f t="shared" si="82"/>
        <v>5718</v>
      </c>
      <c r="AV61" s="177">
        <f t="shared" si="82"/>
        <v>0</v>
      </c>
      <c r="AW61" s="177">
        <f t="shared" si="83"/>
        <v>5718</v>
      </c>
      <c r="AX61" s="177">
        <f t="shared" si="85"/>
        <v>0</v>
      </c>
      <c r="AY61" s="177">
        <f t="shared" si="85"/>
        <v>0</v>
      </c>
      <c r="AZ61" s="177">
        <f t="shared" si="86"/>
        <v>0</v>
      </c>
      <c r="BA61" s="177">
        <f t="shared" si="18"/>
        <v>68162149</v>
      </c>
      <c r="BB61" s="177">
        <f t="shared" si="18"/>
        <v>57724636</v>
      </c>
      <c r="BC61" s="382">
        <f t="shared" si="19"/>
        <v>125886785</v>
      </c>
    </row>
    <row r="62" spans="1:56" ht="15.75" hidden="1" thickBot="1">
      <c r="A62" s="170">
        <v>41944</v>
      </c>
      <c r="B62" s="378">
        <v>1695561</v>
      </c>
      <c r="C62" s="3">
        <v>0</v>
      </c>
      <c r="D62" s="3">
        <f t="shared" si="0"/>
        <v>1695561</v>
      </c>
      <c r="E62" s="3">
        <f t="shared" si="1"/>
        <v>882991</v>
      </c>
      <c r="F62" s="3">
        <v>0</v>
      </c>
      <c r="G62" s="3">
        <f t="shared" si="2"/>
        <v>882991</v>
      </c>
      <c r="H62" s="3">
        <v>38949</v>
      </c>
      <c r="I62" s="3">
        <v>0</v>
      </c>
      <c r="J62" s="3">
        <f t="shared" si="3"/>
        <v>38949</v>
      </c>
      <c r="K62" s="3">
        <v>0</v>
      </c>
      <c r="L62" s="3">
        <v>0</v>
      </c>
      <c r="M62" s="3">
        <f t="shared" si="4"/>
        <v>0</v>
      </c>
      <c r="N62" s="3">
        <f t="shared" si="5"/>
        <v>2012858</v>
      </c>
      <c r="O62" s="3">
        <v>0</v>
      </c>
      <c r="P62" s="3">
        <f t="shared" si="6"/>
        <v>2012858</v>
      </c>
      <c r="Q62" s="3">
        <v>604</v>
      </c>
      <c r="R62" s="3">
        <v>0</v>
      </c>
      <c r="S62" s="3">
        <f t="shared" si="7"/>
        <v>604</v>
      </c>
      <c r="T62" s="3">
        <v>0</v>
      </c>
      <c r="U62" s="3">
        <v>0</v>
      </c>
      <c r="V62" s="3">
        <f t="shared" si="8"/>
        <v>0</v>
      </c>
      <c r="W62" s="3">
        <f t="shared" si="9"/>
        <v>4630963</v>
      </c>
      <c r="X62" s="3">
        <f t="shared" si="9"/>
        <v>0</v>
      </c>
      <c r="Y62" s="379">
        <f t="shared" si="10"/>
        <v>4630963</v>
      </c>
      <c r="Z62" s="3">
        <v>0</v>
      </c>
      <c r="AA62" s="3">
        <v>882991</v>
      </c>
      <c r="AB62" s="380">
        <f t="shared" si="11"/>
        <v>882991</v>
      </c>
      <c r="AC62" s="3">
        <v>0</v>
      </c>
      <c r="AD62" s="3">
        <v>2012858</v>
      </c>
      <c r="AE62" s="380">
        <f t="shared" si="55"/>
        <v>2012858</v>
      </c>
      <c r="AF62" s="381">
        <f t="shared" si="73"/>
        <v>23551045</v>
      </c>
      <c r="AG62" s="177">
        <f t="shared" si="73"/>
        <v>57724636</v>
      </c>
      <c r="AH62" s="177">
        <f t="shared" si="74"/>
        <v>81275681</v>
      </c>
      <c r="AI62" s="177">
        <f t="shared" si="84"/>
        <v>13284439</v>
      </c>
      <c r="AJ62" s="177">
        <f t="shared" si="84"/>
        <v>0</v>
      </c>
      <c r="AK62" s="177">
        <f t="shared" si="75"/>
        <v>13284439</v>
      </c>
      <c r="AL62" s="177">
        <f t="shared" si="76"/>
        <v>55111</v>
      </c>
      <c r="AM62" s="177">
        <f t="shared" si="76"/>
        <v>0</v>
      </c>
      <c r="AN62" s="177">
        <f t="shared" si="77"/>
        <v>55111</v>
      </c>
      <c r="AO62" s="177">
        <f t="shared" si="78"/>
        <v>20352691</v>
      </c>
      <c r="AP62" s="177">
        <f t="shared" si="78"/>
        <v>0</v>
      </c>
      <c r="AQ62" s="177">
        <f t="shared" si="79"/>
        <v>20352691</v>
      </c>
      <c r="AR62" s="177">
        <f t="shared" si="80"/>
        <v>15543504</v>
      </c>
      <c r="AS62" s="177">
        <f t="shared" si="80"/>
        <v>0</v>
      </c>
      <c r="AT62" s="177">
        <f t="shared" si="81"/>
        <v>15543504</v>
      </c>
      <c r="AU62" s="177">
        <f t="shared" si="82"/>
        <v>6322</v>
      </c>
      <c r="AV62" s="177">
        <f t="shared" si="82"/>
        <v>0</v>
      </c>
      <c r="AW62" s="177">
        <f t="shared" si="83"/>
        <v>6322</v>
      </c>
      <c r="AX62" s="177">
        <f t="shared" si="85"/>
        <v>0</v>
      </c>
      <c r="AY62" s="177">
        <f t="shared" si="85"/>
        <v>0</v>
      </c>
      <c r="AZ62" s="177">
        <f t="shared" si="86"/>
        <v>0</v>
      </c>
      <c r="BA62" s="177">
        <f t="shared" si="18"/>
        <v>72793112</v>
      </c>
      <c r="BB62" s="177">
        <f t="shared" si="18"/>
        <v>57724636</v>
      </c>
      <c r="BC62" s="382">
        <f t="shared" si="19"/>
        <v>130517748</v>
      </c>
    </row>
    <row r="63" spans="1:56" ht="15.75" hidden="1" thickBot="1">
      <c r="A63" s="170">
        <v>41974</v>
      </c>
      <c r="B63" s="378">
        <v>2272503</v>
      </c>
      <c r="C63" s="3">
        <v>6750019</v>
      </c>
      <c r="D63" s="3">
        <f t="shared" si="0"/>
        <v>9022522</v>
      </c>
      <c r="E63" s="3">
        <f t="shared" si="1"/>
        <v>1344089</v>
      </c>
      <c r="F63" s="3">
        <v>0</v>
      </c>
      <c r="G63" s="3">
        <f t="shared" si="2"/>
        <v>1344089</v>
      </c>
      <c r="H63" s="3">
        <v>58773</v>
      </c>
      <c r="I63" s="3">
        <v>0</v>
      </c>
      <c r="J63" s="3">
        <f t="shared" si="3"/>
        <v>58773</v>
      </c>
      <c r="K63" s="3">
        <v>0</v>
      </c>
      <c r="L63" s="3">
        <v>0</v>
      </c>
      <c r="M63" s="3">
        <f t="shared" si="4"/>
        <v>0</v>
      </c>
      <c r="N63" s="3">
        <f t="shared" si="5"/>
        <v>2597379</v>
      </c>
      <c r="O63" s="3">
        <v>0</v>
      </c>
      <c r="P63" s="3">
        <f t="shared" si="6"/>
        <v>2597379</v>
      </c>
      <c r="Q63" s="3">
        <v>22</v>
      </c>
      <c r="R63" s="3">
        <v>0</v>
      </c>
      <c r="S63" s="3">
        <f t="shared" si="7"/>
        <v>22</v>
      </c>
      <c r="T63" s="3">
        <v>0</v>
      </c>
      <c r="U63" s="3">
        <v>0</v>
      </c>
      <c r="V63" s="3">
        <f t="shared" si="8"/>
        <v>0</v>
      </c>
      <c r="W63" s="3">
        <f t="shared" si="9"/>
        <v>6272766</v>
      </c>
      <c r="X63" s="3">
        <f t="shared" si="9"/>
        <v>6750019</v>
      </c>
      <c r="Y63" s="379">
        <f t="shared" si="10"/>
        <v>13022785</v>
      </c>
      <c r="Z63" s="3">
        <v>0</v>
      </c>
      <c r="AA63" s="3">
        <v>1344089</v>
      </c>
      <c r="AB63" s="380">
        <f t="shared" si="11"/>
        <v>1344089</v>
      </c>
      <c r="AC63" s="3">
        <v>0</v>
      </c>
      <c r="AD63" s="3">
        <v>2597379</v>
      </c>
      <c r="AE63" s="380">
        <f t="shared" si="55"/>
        <v>2597379</v>
      </c>
      <c r="AF63" s="381">
        <f t="shared" si="73"/>
        <v>25823548</v>
      </c>
      <c r="AG63" s="177">
        <f t="shared" si="73"/>
        <v>64474655</v>
      </c>
      <c r="AH63" s="177">
        <f t="shared" si="74"/>
        <v>90298203</v>
      </c>
      <c r="AI63" s="177">
        <f t="shared" si="84"/>
        <v>14628528</v>
      </c>
      <c r="AJ63" s="177">
        <f t="shared" si="84"/>
        <v>0</v>
      </c>
      <c r="AK63" s="177">
        <f t="shared" si="75"/>
        <v>14628528</v>
      </c>
      <c r="AL63" s="177">
        <f t="shared" si="76"/>
        <v>113884</v>
      </c>
      <c r="AM63" s="177">
        <f t="shared" si="76"/>
        <v>0</v>
      </c>
      <c r="AN63" s="177">
        <f t="shared" si="77"/>
        <v>113884</v>
      </c>
      <c r="AO63" s="177">
        <f t="shared" si="78"/>
        <v>20352691</v>
      </c>
      <c r="AP63" s="177">
        <f t="shared" si="78"/>
        <v>0</v>
      </c>
      <c r="AQ63" s="177">
        <f t="shared" si="79"/>
        <v>20352691</v>
      </c>
      <c r="AR63" s="177">
        <f t="shared" si="80"/>
        <v>18140883</v>
      </c>
      <c r="AS63" s="177">
        <f t="shared" si="80"/>
        <v>0</v>
      </c>
      <c r="AT63" s="177">
        <f t="shared" si="81"/>
        <v>18140883</v>
      </c>
      <c r="AU63" s="177">
        <f t="shared" si="82"/>
        <v>6344</v>
      </c>
      <c r="AV63" s="177">
        <f t="shared" si="82"/>
        <v>0</v>
      </c>
      <c r="AW63" s="177">
        <f t="shared" si="83"/>
        <v>6344</v>
      </c>
      <c r="AX63" s="177">
        <f t="shared" si="85"/>
        <v>0</v>
      </c>
      <c r="AY63" s="177">
        <f t="shared" si="85"/>
        <v>0</v>
      </c>
      <c r="AZ63" s="177">
        <f t="shared" si="86"/>
        <v>0</v>
      </c>
      <c r="BA63" s="177">
        <f t="shared" si="18"/>
        <v>79065878</v>
      </c>
      <c r="BB63" s="177">
        <f t="shared" si="18"/>
        <v>64474655</v>
      </c>
      <c r="BC63" s="382">
        <f t="shared" si="19"/>
        <v>143540533</v>
      </c>
    </row>
    <row r="64" spans="1:56" ht="15.75" hidden="1" thickBot="1">
      <c r="A64" s="171">
        <v>42005</v>
      </c>
      <c r="B64" s="385">
        <v>2406832</v>
      </c>
      <c r="C64" s="104">
        <v>0</v>
      </c>
      <c r="D64" s="104">
        <f t="shared" si="0"/>
        <v>2406832</v>
      </c>
      <c r="E64" s="104">
        <f t="shared" si="1"/>
        <v>282285</v>
      </c>
      <c r="F64" s="104">
        <v>0</v>
      </c>
      <c r="G64" s="104">
        <f t="shared" si="2"/>
        <v>282285</v>
      </c>
      <c r="H64" s="104">
        <v>60421</v>
      </c>
      <c r="I64" s="104">
        <v>0</v>
      </c>
      <c r="J64" s="104">
        <f t="shared" si="3"/>
        <v>60421</v>
      </c>
      <c r="K64" s="104">
        <v>0</v>
      </c>
      <c r="L64" s="104">
        <v>0</v>
      </c>
      <c r="M64" s="104">
        <f t="shared" si="4"/>
        <v>0</v>
      </c>
      <c r="N64" s="104">
        <f t="shared" si="5"/>
        <v>2600076</v>
      </c>
      <c r="O64" s="104">
        <v>0</v>
      </c>
      <c r="P64" s="104">
        <f t="shared" si="6"/>
        <v>2600076</v>
      </c>
      <c r="Q64" s="104">
        <v>0</v>
      </c>
      <c r="R64" s="104">
        <v>0</v>
      </c>
      <c r="S64" s="104">
        <f t="shared" si="7"/>
        <v>0</v>
      </c>
      <c r="T64" s="104">
        <v>0</v>
      </c>
      <c r="U64" s="104">
        <v>0</v>
      </c>
      <c r="V64" s="104">
        <f t="shared" si="8"/>
        <v>0</v>
      </c>
      <c r="W64" s="104">
        <f t="shared" si="9"/>
        <v>5349614</v>
      </c>
      <c r="X64" s="104">
        <f t="shared" si="9"/>
        <v>0</v>
      </c>
      <c r="Y64" s="386">
        <f t="shared" si="10"/>
        <v>5349614</v>
      </c>
      <c r="Z64" s="104">
        <v>0</v>
      </c>
      <c r="AA64" s="104">
        <v>282285</v>
      </c>
      <c r="AB64" s="387">
        <f>AA64+Z64</f>
        <v>282285</v>
      </c>
      <c r="AC64" s="104">
        <v>0</v>
      </c>
      <c r="AD64" s="104">
        <v>2600076</v>
      </c>
      <c r="AE64" s="387">
        <f t="shared" si="55"/>
        <v>2600076</v>
      </c>
      <c r="AF64" s="388">
        <f>B64</f>
        <v>2406832</v>
      </c>
      <c r="AG64" s="389">
        <f>C64</f>
        <v>0</v>
      </c>
      <c r="AH64" s="389">
        <f>AG64+AF64</f>
        <v>2406832</v>
      </c>
      <c r="AI64" s="389">
        <f>E64</f>
        <v>282285</v>
      </c>
      <c r="AJ64" s="389">
        <f>F64</f>
        <v>0</v>
      </c>
      <c r="AK64" s="389">
        <f>AJ64+AI64</f>
        <v>282285</v>
      </c>
      <c r="AL64" s="389">
        <f>H64</f>
        <v>60421</v>
      </c>
      <c r="AM64" s="389">
        <f>I64</f>
        <v>0</v>
      </c>
      <c r="AN64" s="389">
        <f>AM64+AL64</f>
        <v>60421</v>
      </c>
      <c r="AO64" s="389">
        <f>K64</f>
        <v>0</v>
      </c>
      <c r="AP64" s="389">
        <f>L64</f>
        <v>0</v>
      </c>
      <c r="AQ64" s="389">
        <f>AP64+AO64</f>
        <v>0</v>
      </c>
      <c r="AR64" s="389">
        <f>N64</f>
        <v>2600076</v>
      </c>
      <c r="AS64" s="389">
        <f>O64</f>
        <v>0</v>
      </c>
      <c r="AT64" s="389">
        <f>AS64+AR64</f>
        <v>2600076</v>
      </c>
      <c r="AU64" s="389">
        <f>Q64</f>
        <v>0</v>
      </c>
      <c r="AV64" s="389">
        <f>R64</f>
        <v>0</v>
      </c>
      <c r="AW64" s="389">
        <f>AV64+AU64</f>
        <v>0</v>
      </c>
      <c r="AX64" s="389">
        <f>T64</f>
        <v>0</v>
      </c>
      <c r="AY64" s="389">
        <f>U64</f>
        <v>0</v>
      </c>
      <c r="AZ64" s="389">
        <f>SUM(AX64:AY64)</f>
        <v>0</v>
      </c>
      <c r="BA64" s="389">
        <f t="shared" si="18"/>
        <v>5349614</v>
      </c>
      <c r="BB64" s="389">
        <f t="shared" si="18"/>
        <v>0</v>
      </c>
      <c r="BC64" s="390">
        <f t="shared" si="19"/>
        <v>5349614</v>
      </c>
      <c r="BD64" s="83">
        <f t="shared" ref="BD64:BD127" si="87">BC64/BC52-1</f>
        <v>-0.38514261755283585</v>
      </c>
    </row>
    <row r="65" spans="1:56" ht="15.75" hidden="1" thickBot="1">
      <c r="A65" s="170">
        <v>42036</v>
      </c>
      <c r="B65" s="378">
        <v>1708936</v>
      </c>
      <c r="C65" s="3">
        <v>0</v>
      </c>
      <c r="D65" s="3">
        <f t="shared" si="0"/>
        <v>1708936</v>
      </c>
      <c r="E65" s="3">
        <f t="shared" si="1"/>
        <v>664188</v>
      </c>
      <c r="F65" s="3">
        <v>0</v>
      </c>
      <c r="G65" s="3">
        <f t="shared" si="2"/>
        <v>664188</v>
      </c>
      <c r="H65" s="3">
        <v>88161</v>
      </c>
      <c r="I65" s="3">
        <v>0</v>
      </c>
      <c r="J65" s="3">
        <f t="shared" si="3"/>
        <v>88161</v>
      </c>
      <c r="K65" s="3">
        <v>0</v>
      </c>
      <c r="L65" s="3">
        <v>0</v>
      </c>
      <c r="M65" s="3">
        <f t="shared" si="4"/>
        <v>0</v>
      </c>
      <c r="N65" s="3">
        <f t="shared" si="5"/>
        <v>1941197</v>
      </c>
      <c r="O65" s="3">
        <v>0</v>
      </c>
      <c r="P65" s="3">
        <f t="shared" si="6"/>
        <v>1941197</v>
      </c>
      <c r="Q65" s="3">
        <v>189</v>
      </c>
      <c r="R65" s="3">
        <v>0</v>
      </c>
      <c r="S65" s="3">
        <f t="shared" si="7"/>
        <v>189</v>
      </c>
      <c r="T65" s="3">
        <v>0</v>
      </c>
      <c r="U65" s="3">
        <v>0</v>
      </c>
      <c r="V65" s="3">
        <f t="shared" si="8"/>
        <v>0</v>
      </c>
      <c r="W65" s="3">
        <f t="shared" si="9"/>
        <v>4402671</v>
      </c>
      <c r="X65" s="3">
        <f t="shared" si="9"/>
        <v>0</v>
      </c>
      <c r="Y65" s="379">
        <f t="shared" si="10"/>
        <v>4402671</v>
      </c>
      <c r="Z65" s="3">
        <v>0</v>
      </c>
      <c r="AA65" s="3">
        <v>664188</v>
      </c>
      <c r="AB65" s="380">
        <f t="shared" si="11"/>
        <v>664188</v>
      </c>
      <c r="AC65" s="3">
        <v>0</v>
      </c>
      <c r="AD65" s="3">
        <v>1941197</v>
      </c>
      <c r="AE65" s="380">
        <f t="shared" si="55"/>
        <v>1941197</v>
      </c>
      <c r="AF65" s="381">
        <f t="shared" ref="AF65:AG75" si="88">B65+AF64</f>
        <v>4115768</v>
      </c>
      <c r="AG65" s="177">
        <f t="shared" si="88"/>
        <v>0</v>
      </c>
      <c r="AH65" s="177">
        <f t="shared" ref="AH65:AH75" si="89">AG65+AF65</f>
        <v>4115768</v>
      </c>
      <c r="AI65" s="177">
        <f>AI64+E65</f>
        <v>946473</v>
      </c>
      <c r="AJ65" s="177">
        <f>AJ64+F65</f>
        <v>0</v>
      </c>
      <c r="AK65" s="177">
        <f t="shared" ref="AK65:AK75" si="90">AJ65+AI65</f>
        <v>946473</v>
      </c>
      <c r="AL65" s="177">
        <f t="shared" ref="AL65:AM75" si="91">AL64+H65</f>
        <v>148582</v>
      </c>
      <c r="AM65" s="177">
        <f t="shared" si="91"/>
        <v>0</v>
      </c>
      <c r="AN65" s="177">
        <f t="shared" ref="AN65:AN75" si="92">AM65+AL65</f>
        <v>148582</v>
      </c>
      <c r="AO65" s="177">
        <f t="shared" ref="AO65:AP75" si="93">AO64+K65</f>
        <v>0</v>
      </c>
      <c r="AP65" s="177">
        <f t="shared" si="93"/>
        <v>0</v>
      </c>
      <c r="AQ65" s="177">
        <f t="shared" ref="AQ65:AQ75" si="94">AP65+AO65</f>
        <v>0</v>
      </c>
      <c r="AR65" s="177">
        <f t="shared" ref="AR65:AS75" si="95">AR64+N65</f>
        <v>4541273</v>
      </c>
      <c r="AS65" s="177">
        <f t="shared" si="95"/>
        <v>0</v>
      </c>
      <c r="AT65" s="177">
        <f t="shared" ref="AT65:AT75" si="96">AS65+AR65</f>
        <v>4541273</v>
      </c>
      <c r="AU65" s="177">
        <f t="shared" ref="AU65:AV75" si="97">AU64+Q65</f>
        <v>189</v>
      </c>
      <c r="AV65" s="177">
        <f t="shared" si="97"/>
        <v>0</v>
      </c>
      <c r="AW65" s="177">
        <f t="shared" ref="AW65:AW75" si="98">AV65+AU65</f>
        <v>189</v>
      </c>
      <c r="AX65" s="177">
        <f>AX64+T65</f>
        <v>0</v>
      </c>
      <c r="AY65" s="177">
        <f>AY64+U65</f>
        <v>0</v>
      </c>
      <c r="AZ65" s="177">
        <f>SUM(AX65:AY65)</f>
        <v>0</v>
      </c>
      <c r="BA65" s="177">
        <f t="shared" si="18"/>
        <v>9752285</v>
      </c>
      <c r="BB65" s="177">
        <f t="shared" si="18"/>
        <v>0</v>
      </c>
      <c r="BC65" s="382">
        <f t="shared" si="19"/>
        <v>9752285</v>
      </c>
      <c r="BD65" s="83">
        <f t="shared" si="87"/>
        <v>-0.35397952747288708</v>
      </c>
    </row>
    <row r="66" spans="1:56" ht="15.75" hidden="1" thickBot="1">
      <c r="A66" s="170">
        <v>42064</v>
      </c>
      <c r="B66" s="378">
        <v>2032746</v>
      </c>
      <c r="C66" s="3">
        <v>0</v>
      </c>
      <c r="D66" s="3">
        <f t="shared" si="0"/>
        <v>2032746</v>
      </c>
      <c r="E66" s="3">
        <f t="shared" si="1"/>
        <v>1192455</v>
      </c>
      <c r="F66" s="3">
        <v>0</v>
      </c>
      <c r="G66" s="3">
        <f t="shared" si="2"/>
        <v>1192455</v>
      </c>
      <c r="H66" s="3">
        <v>67398</v>
      </c>
      <c r="I66" s="3">
        <v>0</v>
      </c>
      <c r="J66" s="3">
        <f t="shared" si="3"/>
        <v>67398</v>
      </c>
      <c r="K66" s="3">
        <v>0</v>
      </c>
      <c r="L66" s="3">
        <v>0</v>
      </c>
      <c r="M66" s="3">
        <f t="shared" si="4"/>
        <v>0</v>
      </c>
      <c r="N66" s="3">
        <f t="shared" si="5"/>
        <v>1643529</v>
      </c>
      <c r="O66" s="3">
        <v>0</v>
      </c>
      <c r="P66" s="3">
        <f t="shared" si="6"/>
        <v>1643529</v>
      </c>
      <c r="Q66" s="3">
        <v>0</v>
      </c>
      <c r="R66" s="3">
        <v>0</v>
      </c>
      <c r="S66" s="3">
        <f t="shared" si="7"/>
        <v>0</v>
      </c>
      <c r="T66" s="3">
        <v>0</v>
      </c>
      <c r="U66" s="3">
        <v>0</v>
      </c>
      <c r="V66" s="3">
        <f t="shared" si="8"/>
        <v>0</v>
      </c>
      <c r="W66" s="3">
        <f t="shared" si="9"/>
        <v>4936128</v>
      </c>
      <c r="X66" s="3">
        <f t="shared" si="9"/>
        <v>0</v>
      </c>
      <c r="Y66" s="379">
        <f t="shared" si="10"/>
        <v>4936128</v>
      </c>
      <c r="Z66" s="3">
        <v>0</v>
      </c>
      <c r="AA66" s="3">
        <v>1192455</v>
      </c>
      <c r="AB66" s="380">
        <f t="shared" si="11"/>
        <v>1192455</v>
      </c>
      <c r="AC66" s="3">
        <v>0</v>
      </c>
      <c r="AD66" s="3">
        <v>1643529</v>
      </c>
      <c r="AE66" s="380">
        <f t="shared" si="55"/>
        <v>1643529</v>
      </c>
      <c r="AF66" s="381">
        <f t="shared" si="88"/>
        <v>6148514</v>
      </c>
      <c r="AG66" s="177">
        <f t="shared" si="88"/>
        <v>0</v>
      </c>
      <c r="AH66" s="177">
        <f t="shared" si="89"/>
        <v>6148514</v>
      </c>
      <c r="AI66" s="177">
        <f t="shared" ref="AI66:AJ75" si="99">AI65+E66</f>
        <v>2138928</v>
      </c>
      <c r="AJ66" s="177">
        <f t="shared" si="99"/>
        <v>0</v>
      </c>
      <c r="AK66" s="177">
        <f t="shared" si="90"/>
        <v>2138928</v>
      </c>
      <c r="AL66" s="177">
        <f t="shared" si="91"/>
        <v>215980</v>
      </c>
      <c r="AM66" s="177">
        <f t="shared" si="91"/>
        <v>0</v>
      </c>
      <c r="AN66" s="177">
        <f t="shared" si="92"/>
        <v>215980</v>
      </c>
      <c r="AO66" s="177">
        <f t="shared" si="93"/>
        <v>0</v>
      </c>
      <c r="AP66" s="177">
        <f t="shared" si="93"/>
        <v>0</v>
      </c>
      <c r="AQ66" s="177">
        <f t="shared" si="94"/>
        <v>0</v>
      </c>
      <c r="AR66" s="177">
        <f t="shared" si="95"/>
        <v>6184802</v>
      </c>
      <c r="AS66" s="177">
        <f t="shared" si="95"/>
        <v>0</v>
      </c>
      <c r="AT66" s="177">
        <f t="shared" si="96"/>
        <v>6184802</v>
      </c>
      <c r="AU66" s="177">
        <f t="shared" si="97"/>
        <v>189</v>
      </c>
      <c r="AV66" s="177">
        <f t="shared" si="97"/>
        <v>0</v>
      </c>
      <c r="AW66" s="177">
        <f t="shared" si="98"/>
        <v>189</v>
      </c>
      <c r="AX66" s="177">
        <f t="shared" ref="AX66:AY75" si="100">AX65+T66</f>
        <v>0</v>
      </c>
      <c r="AY66" s="177">
        <f t="shared" si="100"/>
        <v>0</v>
      </c>
      <c r="AZ66" s="177">
        <f t="shared" ref="AZ66:AZ75" si="101">SUM(AX66:AY66)</f>
        <v>0</v>
      </c>
      <c r="BA66" s="177">
        <f t="shared" si="18"/>
        <v>14688413</v>
      </c>
      <c r="BB66" s="177">
        <f t="shared" si="18"/>
        <v>0</v>
      </c>
      <c r="BC66" s="382">
        <f t="shared" si="19"/>
        <v>14688413</v>
      </c>
      <c r="BD66" s="83">
        <f t="shared" si="87"/>
        <v>-0.4300849788934058</v>
      </c>
    </row>
    <row r="67" spans="1:56" ht="15.75" hidden="1" thickBot="1">
      <c r="A67" s="170">
        <v>42095</v>
      </c>
      <c r="B67" s="378">
        <v>1820525</v>
      </c>
      <c r="C67" s="3">
        <v>10702691</v>
      </c>
      <c r="D67" s="3">
        <f t="shared" si="0"/>
        <v>12523216</v>
      </c>
      <c r="E67" s="3">
        <f t="shared" si="1"/>
        <v>948725</v>
      </c>
      <c r="F67" s="3">
        <v>0</v>
      </c>
      <c r="G67" s="3">
        <f t="shared" si="2"/>
        <v>948725</v>
      </c>
      <c r="H67" s="3">
        <v>51618</v>
      </c>
      <c r="I67" s="3">
        <v>0</v>
      </c>
      <c r="J67" s="3">
        <f t="shared" si="3"/>
        <v>51618</v>
      </c>
      <c r="K67" s="3">
        <v>0</v>
      </c>
      <c r="L67" s="3">
        <v>0</v>
      </c>
      <c r="M67" s="3">
        <f t="shared" si="4"/>
        <v>0</v>
      </c>
      <c r="N67" s="3">
        <f t="shared" si="5"/>
        <v>1821514</v>
      </c>
      <c r="O67" s="3">
        <v>0</v>
      </c>
      <c r="P67" s="3">
        <f t="shared" si="6"/>
        <v>1821514</v>
      </c>
      <c r="Q67" s="3">
        <v>68</v>
      </c>
      <c r="R67" s="3">
        <v>0</v>
      </c>
      <c r="S67" s="3">
        <f t="shared" si="7"/>
        <v>68</v>
      </c>
      <c r="T67" s="3">
        <v>0</v>
      </c>
      <c r="U67" s="3">
        <v>0</v>
      </c>
      <c r="V67" s="3">
        <f t="shared" si="8"/>
        <v>0</v>
      </c>
      <c r="W67" s="3">
        <f t="shared" si="9"/>
        <v>4642450</v>
      </c>
      <c r="X67" s="3">
        <f t="shared" si="9"/>
        <v>10702691</v>
      </c>
      <c r="Y67" s="379">
        <f t="shared" si="10"/>
        <v>15345141</v>
      </c>
      <c r="Z67" s="3">
        <v>0</v>
      </c>
      <c r="AA67" s="3">
        <v>948725</v>
      </c>
      <c r="AB67" s="380">
        <f t="shared" si="11"/>
        <v>948725</v>
      </c>
      <c r="AC67" s="3">
        <v>0</v>
      </c>
      <c r="AD67" s="3">
        <v>1821514</v>
      </c>
      <c r="AE67" s="380">
        <f t="shared" si="55"/>
        <v>1821514</v>
      </c>
      <c r="AF67" s="381">
        <f t="shared" si="88"/>
        <v>7969039</v>
      </c>
      <c r="AG67" s="177">
        <f t="shared" si="88"/>
        <v>10702691</v>
      </c>
      <c r="AH67" s="177">
        <f t="shared" si="89"/>
        <v>18671730</v>
      </c>
      <c r="AI67" s="177">
        <f t="shared" si="99"/>
        <v>3087653</v>
      </c>
      <c r="AJ67" s="177">
        <f t="shared" si="99"/>
        <v>0</v>
      </c>
      <c r="AK67" s="177">
        <f t="shared" si="90"/>
        <v>3087653</v>
      </c>
      <c r="AL67" s="177">
        <f t="shared" si="91"/>
        <v>267598</v>
      </c>
      <c r="AM67" s="177">
        <f t="shared" si="91"/>
        <v>0</v>
      </c>
      <c r="AN67" s="177">
        <f t="shared" si="92"/>
        <v>267598</v>
      </c>
      <c r="AO67" s="177">
        <f t="shared" si="93"/>
        <v>0</v>
      </c>
      <c r="AP67" s="177">
        <f t="shared" si="93"/>
        <v>0</v>
      </c>
      <c r="AQ67" s="177">
        <f t="shared" si="94"/>
        <v>0</v>
      </c>
      <c r="AR67" s="177">
        <f t="shared" si="95"/>
        <v>8006316</v>
      </c>
      <c r="AS67" s="177">
        <f t="shared" si="95"/>
        <v>0</v>
      </c>
      <c r="AT67" s="177">
        <f t="shared" si="96"/>
        <v>8006316</v>
      </c>
      <c r="AU67" s="177">
        <f t="shared" si="97"/>
        <v>257</v>
      </c>
      <c r="AV67" s="177">
        <f t="shared" si="97"/>
        <v>0</v>
      </c>
      <c r="AW67" s="177">
        <f t="shared" si="98"/>
        <v>257</v>
      </c>
      <c r="AX67" s="177">
        <f t="shared" si="100"/>
        <v>0</v>
      </c>
      <c r="AY67" s="177">
        <f t="shared" si="100"/>
        <v>0</v>
      </c>
      <c r="AZ67" s="177">
        <f t="shared" si="101"/>
        <v>0</v>
      </c>
      <c r="BA67" s="177">
        <f t="shared" si="18"/>
        <v>19330863</v>
      </c>
      <c r="BB67" s="177">
        <f t="shared" si="18"/>
        <v>10702691</v>
      </c>
      <c r="BC67" s="382">
        <f t="shared" si="19"/>
        <v>30033554</v>
      </c>
      <c r="BD67" s="83">
        <f t="shared" si="87"/>
        <v>-0.39471735627704496</v>
      </c>
    </row>
    <row r="68" spans="1:56" ht="15.75" hidden="1" thickBot="1">
      <c r="A68" s="170">
        <v>42125</v>
      </c>
      <c r="B68" s="378">
        <v>1951230</v>
      </c>
      <c r="C68" s="3">
        <v>0</v>
      </c>
      <c r="D68" s="3">
        <f t="shared" si="0"/>
        <v>1951230</v>
      </c>
      <c r="E68" s="3">
        <f t="shared" si="1"/>
        <v>579818</v>
      </c>
      <c r="F68" s="3">
        <v>0</v>
      </c>
      <c r="G68" s="3">
        <f t="shared" si="2"/>
        <v>579818</v>
      </c>
      <c r="H68" s="3">
        <v>51299</v>
      </c>
      <c r="I68" s="3">
        <v>0</v>
      </c>
      <c r="J68" s="3">
        <f t="shared" si="3"/>
        <v>51299</v>
      </c>
      <c r="K68" s="3">
        <v>0</v>
      </c>
      <c r="L68" s="3">
        <v>0</v>
      </c>
      <c r="M68" s="3">
        <f t="shared" si="4"/>
        <v>0</v>
      </c>
      <c r="N68" s="3">
        <f t="shared" si="5"/>
        <v>2214592</v>
      </c>
      <c r="O68" s="3">
        <v>0</v>
      </c>
      <c r="P68" s="3">
        <f t="shared" si="6"/>
        <v>2214592</v>
      </c>
      <c r="Q68" s="3">
        <v>1429</v>
      </c>
      <c r="R68" s="3">
        <v>0</v>
      </c>
      <c r="S68" s="3">
        <f t="shared" si="7"/>
        <v>1429</v>
      </c>
      <c r="T68" s="3">
        <v>0</v>
      </c>
      <c r="U68" s="3">
        <v>0</v>
      </c>
      <c r="V68" s="3">
        <f t="shared" si="8"/>
        <v>0</v>
      </c>
      <c r="W68" s="3">
        <f t="shared" si="9"/>
        <v>4798368</v>
      </c>
      <c r="X68" s="3">
        <f t="shared" si="9"/>
        <v>0</v>
      </c>
      <c r="Y68" s="379">
        <f t="shared" si="10"/>
        <v>4798368</v>
      </c>
      <c r="Z68" s="3">
        <v>0</v>
      </c>
      <c r="AA68" s="3">
        <v>579818</v>
      </c>
      <c r="AB68" s="380">
        <f t="shared" si="11"/>
        <v>579818</v>
      </c>
      <c r="AC68" s="3">
        <v>0</v>
      </c>
      <c r="AD68" s="3">
        <v>2214592</v>
      </c>
      <c r="AE68" s="380">
        <f t="shared" si="55"/>
        <v>2214592</v>
      </c>
      <c r="AF68" s="381">
        <f t="shared" si="88"/>
        <v>9920269</v>
      </c>
      <c r="AG68" s="177">
        <f t="shared" si="88"/>
        <v>10702691</v>
      </c>
      <c r="AH68" s="177">
        <f t="shared" si="89"/>
        <v>20622960</v>
      </c>
      <c r="AI68" s="177">
        <f t="shared" si="99"/>
        <v>3667471</v>
      </c>
      <c r="AJ68" s="177">
        <f t="shared" si="99"/>
        <v>0</v>
      </c>
      <c r="AK68" s="177">
        <f t="shared" si="90"/>
        <v>3667471</v>
      </c>
      <c r="AL68" s="177">
        <f t="shared" si="91"/>
        <v>318897</v>
      </c>
      <c r="AM68" s="177">
        <f t="shared" si="91"/>
        <v>0</v>
      </c>
      <c r="AN68" s="177">
        <f t="shared" si="92"/>
        <v>318897</v>
      </c>
      <c r="AO68" s="177">
        <f t="shared" si="93"/>
        <v>0</v>
      </c>
      <c r="AP68" s="177">
        <f t="shared" si="93"/>
        <v>0</v>
      </c>
      <c r="AQ68" s="177">
        <f t="shared" si="94"/>
        <v>0</v>
      </c>
      <c r="AR68" s="177">
        <f t="shared" si="95"/>
        <v>10220908</v>
      </c>
      <c r="AS68" s="177">
        <f t="shared" si="95"/>
        <v>0</v>
      </c>
      <c r="AT68" s="177">
        <f t="shared" si="96"/>
        <v>10220908</v>
      </c>
      <c r="AU68" s="177">
        <f t="shared" si="97"/>
        <v>1686</v>
      </c>
      <c r="AV68" s="177">
        <f t="shared" si="97"/>
        <v>0</v>
      </c>
      <c r="AW68" s="177">
        <f t="shared" si="98"/>
        <v>1686</v>
      </c>
      <c r="AX68" s="177">
        <f t="shared" si="100"/>
        <v>0</v>
      </c>
      <c r="AY68" s="177">
        <f t="shared" si="100"/>
        <v>0</v>
      </c>
      <c r="AZ68" s="177">
        <f t="shared" si="101"/>
        <v>0</v>
      </c>
      <c r="BA68" s="177">
        <f t="shared" si="18"/>
        <v>24129231</v>
      </c>
      <c r="BB68" s="177">
        <f t="shared" si="18"/>
        <v>10702691</v>
      </c>
      <c r="BC68" s="382">
        <f t="shared" si="19"/>
        <v>34831922</v>
      </c>
      <c r="BD68" s="83">
        <f t="shared" si="87"/>
        <v>-0.54850556524003546</v>
      </c>
    </row>
    <row r="69" spans="1:56" ht="15.75" hidden="1" thickBot="1">
      <c r="A69" s="170">
        <v>42156</v>
      </c>
      <c r="B69" s="378">
        <v>2144244</v>
      </c>
      <c r="C69" s="3">
        <v>0</v>
      </c>
      <c r="D69" s="3">
        <f t="shared" ref="D69:D132" si="102">C69+B69</f>
        <v>2144244</v>
      </c>
      <c r="E69" s="3">
        <f t="shared" ref="E69:E132" si="103">AB69</f>
        <v>924880</v>
      </c>
      <c r="F69" s="3">
        <v>0</v>
      </c>
      <c r="G69" s="3">
        <f t="shared" ref="G69:G132" si="104">F69+E69</f>
        <v>924880</v>
      </c>
      <c r="H69" s="3">
        <v>38991</v>
      </c>
      <c r="I69" s="3">
        <v>0</v>
      </c>
      <c r="J69" s="3">
        <f t="shared" ref="J69:J115" si="105">I69+H69</f>
        <v>38991</v>
      </c>
      <c r="K69" s="3">
        <v>0</v>
      </c>
      <c r="L69" s="3">
        <v>0</v>
      </c>
      <c r="M69" s="3">
        <f t="shared" ref="M69:M132" si="106">L69+K69</f>
        <v>0</v>
      </c>
      <c r="N69" s="3">
        <f t="shared" ref="N69:N132" si="107">AE69</f>
        <v>1680246</v>
      </c>
      <c r="O69" s="3">
        <v>0</v>
      </c>
      <c r="P69" s="3">
        <f t="shared" ref="P69:P132" si="108">O69+N69</f>
        <v>1680246</v>
      </c>
      <c r="Q69" s="3">
        <v>0</v>
      </c>
      <c r="R69" s="3">
        <v>0</v>
      </c>
      <c r="S69" s="3">
        <f t="shared" ref="S69:S132" si="109">R69+Q69</f>
        <v>0</v>
      </c>
      <c r="T69" s="3">
        <v>0</v>
      </c>
      <c r="U69" s="3">
        <v>0</v>
      </c>
      <c r="V69" s="3">
        <f t="shared" ref="V69:V115" si="110">U69+T69</f>
        <v>0</v>
      </c>
      <c r="W69" s="3">
        <f t="shared" ref="W69:X132" si="111">B69+E69+H69+K69+N69+Q69+T69</f>
        <v>4788361</v>
      </c>
      <c r="X69" s="3">
        <f t="shared" si="111"/>
        <v>0</v>
      </c>
      <c r="Y69" s="379">
        <f t="shared" ref="Y69:Y132" si="112">X69+W69</f>
        <v>4788361</v>
      </c>
      <c r="Z69" s="3">
        <v>0</v>
      </c>
      <c r="AA69" s="3">
        <v>924880</v>
      </c>
      <c r="AB69" s="380">
        <f t="shared" ref="AB69:AB75" si="113">AA69+Z69</f>
        <v>924880</v>
      </c>
      <c r="AC69" s="3">
        <v>0</v>
      </c>
      <c r="AD69" s="3">
        <v>1680246</v>
      </c>
      <c r="AE69" s="380">
        <f t="shared" si="55"/>
        <v>1680246</v>
      </c>
      <c r="AF69" s="381">
        <f t="shared" si="88"/>
        <v>12064513</v>
      </c>
      <c r="AG69" s="177">
        <f t="shared" si="88"/>
        <v>10702691</v>
      </c>
      <c r="AH69" s="177">
        <f t="shared" si="89"/>
        <v>22767204</v>
      </c>
      <c r="AI69" s="177">
        <f t="shared" si="99"/>
        <v>4592351</v>
      </c>
      <c r="AJ69" s="177">
        <f t="shared" si="99"/>
        <v>0</v>
      </c>
      <c r="AK69" s="177">
        <f t="shared" si="90"/>
        <v>4592351</v>
      </c>
      <c r="AL69" s="177">
        <f t="shared" si="91"/>
        <v>357888</v>
      </c>
      <c r="AM69" s="177">
        <f t="shared" si="91"/>
        <v>0</v>
      </c>
      <c r="AN69" s="177">
        <f t="shared" si="92"/>
        <v>357888</v>
      </c>
      <c r="AO69" s="177">
        <f t="shared" si="93"/>
        <v>0</v>
      </c>
      <c r="AP69" s="177">
        <f t="shared" si="93"/>
        <v>0</v>
      </c>
      <c r="AQ69" s="177">
        <f t="shared" si="94"/>
        <v>0</v>
      </c>
      <c r="AR69" s="177">
        <f t="shared" si="95"/>
        <v>11901154</v>
      </c>
      <c r="AS69" s="177">
        <f t="shared" si="95"/>
        <v>0</v>
      </c>
      <c r="AT69" s="177">
        <f t="shared" si="96"/>
        <v>11901154</v>
      </c>
      <c r="AU69" s="177">
        <f t="shared" si="97"/>
        <v>1686</v>
      </c>
      <c r="AV69" s="177">
        <f t="shared" si="97"/>
        <v>0</v>
      </c>
      <c r="AW69" s="177">
        <f t="shared" si="98"/>
        <v>1686</v>
      </c>
      <c r="AX69" s="177">
        <f t="shared" si="100"/>
        <v>0</v>
      </c>
      <c r="AY69" s="177">
        <f t="shared" si="100"/>
        <v>0</v>
      </c>
      <c r="AZ69" s="177">
        <f t="shared" si="101"/>
        <v>0</v>
      </c>
      <c r="BA69" s="177">
        <f t="shared" ref="BA69:BB132" si="114">AF69+AI69+AL69+AO69+AR69+AU69+AX69</f>
        <v>28917592</v>
      </c>
      <c r="BB69" s="177">
        <f t="shared" si="114"/>
        <v>10702691</v>
      </c>
      <c r="BC69" s="382">
        <f t="shared" ref="BC69:BC132" si="115">BA69+BB69</f>
        <v>39620283</v>
      </c>
      <c r="BD69" s="83">
        <f t="shared" si="87"/>
        <v>-0.58352161098492694</v>
      </c>
    </row>
    <row r="70" spans="1:56" ht="15.75" hidden="1" thickBot="1">
      <c r="A70" s="170">
        <v>42186</v>
      </c>
      <c r="B70" s="378">
        <v>2197184</v>
      </c>
      <c r="C70" s="3">
        <v>0</v>
      </c>
      <c r="D70" s="3">
        <f t="shared" si="102"/>
        <v>2197184</v>
      </c>
      <c r="E70" s="3">
        <f t="shared" si="103"/>
        <v>809509</v>
      </c>
      <c r="F70" s="3">
        <v>0</v>
      </c>
      <c r="G70" s="3">
        <f t="shared" si="104"/>
        <v>809509</v>
      </c>
      <c r="H70" s="3">
        <v>65292</v>
      </c>
      <c r="I70" s="3">
        <v>0</v>
      </c>
      <c r="J70" s="3">
        <f t="shared" si="105"/>
        <v>65292</v>
      </c>
      <c r="K70" s="3">
        <v>0</v>
      </c>
      <c r="L70" s="3">
        <v>0</v>
      </c>
      <c r="M70" s="3">
        <f t="shared" si="106"/>
        <v>0</v>
      </c>
      <c r="N70" s="3">
        <f t="shared" si="107"/>
        <v>2295854</v>
      </c>
      <c r="O70" s="3">
        <v>0</v>
      </c>
      <c r="P70" s="3">
        <f t="shared" si="108"/>
        <v>2295854</v>
      </c>
      <c r="Q70" s="3">
        <v>1868</v>
      </c>
      <c r="R70" s="3">
        <v>0</v>
      </c>
      <c r="S70" s="3">
        <f t="shared" si="109"/>
        <v>1868</v>
      </c>
      <c r="T70" s="3">
        <v>0</v>
      </c>
      <c r="U70" s="3">
        <v>0</v>
      </c>
      <c r="V70" s="3">
        <f t="shared" si="110"/>
        <v>0</v>
      </c>
      <c r="W70" s="3">
        <f t="shared" si="111"/>
        <v>5369707</v>
      </c>
      <c r="X70" s="3">
        <f t="shared" si="111"/>
        <v>0</v>
      </c>
      <c r="Y70" s="379">
        <f t="shared" si="112"/>
        <v>5369707</v>
      </c>
      <c r="Z70" s="3">
        <v>0</v>
      </c>
      <c r="AA70" s="3">
        <v>809509</v>
      </c>
      <c r="AB70" s="380">
        <f t="shared" si="113"/>
        <v>809509</v>
      </c>
      <c r="AC70" s="3">
        <v>0</v>
      </c>
      <c r="AD70" s="3">
        <v>2295854</v>
      </c>
      <c r="AE70" s="380">
        <f t="shared" si="55"/>
        <v>2295854</v>
      </c>
      <c r="AF70" s="381">
        <f t="shared" si="88"/>
        <v>14261697</v>
      </c>
      <c r="AG70" s="177">
        <f t="shared" si="88"/>
        <v>10702691</v>
      </c>
      <c r="AH70" s="177">
        <f t="shared" si="89"/>
        <v>24964388</v>
      </c>
      <c r="AI70" s="177">
        <f t="shared" si="99"/>
        <v>5401860</v>
      </c>
      <c r="AJ70" s="177">
        <f t="shared" si="99"/>
        <v>0</v>
      </c>
      <c r="AK70" s="177">
        <f t="shared" si="90"/>
        <v>5401860</v>
      </c>
      <c r="AL70" s="177">
        <f t="shared" si="91"/>
        <v>423180</v>
      </c>
      <c r="AM70" s="177">
        <f t="shared" si="91"/>
        <v>0</v>
      </c>
      <c r="AN70" s="177">
        <f t="shared" si="92"/>
        <v>423180</v>
      </c>
      <c r="AO70" s="177">
        <f t="shared" si="93"/>
        <v>0</v>
      </c>
      <c r="AP70" s="177">
        <f t="shared" si="93"/>
        <v>0</v>
      </c>
      <c r="AQ70" s="177">
        <f t="shared" si="94"/>
        <v>0</v>
      </c>
      <c r="AR70" s="177">
        <f t="shared" si="95"/>
        <v>14197008</v>
      </c>
      <c r="AS70" s="177">
        <f t="shared" si="95"/>
        <v>0</v>
      </c>
      <c r="AT70" s="177">
        <f t="shared" si="96"/>
        <v>14197008</v>
      </c>
      <c r="AU70" s="177">
        <f t="shared" si="97"/>
        <v>3554</v>
      </c>
      <c r="AV70" s="177">
        <f t="shared" si="97"/>
        <v>0</v>
      </c>
      <c r="AW70" s="177">
        <f t="shared" si="98"/>
        <v>3554</v>
      </c>
      <c r="AX70" s="177">
        <f t="shared" si="100"/>
        <v>0</v>
      </c>
      <c r="AY70" s="177">
        <f t="shared" si="100"/>
        <v>0</v>
      </c>
      <c r="AZ70" s="177">
        <f t="shared" si="101"/>
        <v>0</v>
      </c>
      <c r="BA70" s="177">
        <f t="shared" si="114"/>
        <v>34287299</v>
      </c>
      <c r="BB70" s="177">
        <f t="shared" si="114"/>
        <v>10702691</v>
      </c>
      <c r="BC70" s="382">
        <f t="shared" si="115"/>
        <v>44989990</v>
      </c>
      <c r="BD70" s="83">
        <f t="shared" si="87"/>
        <v>-0.59347390567244362</v>
      </c>
    </row>
    <row r="71" spans="1:56" ht="15.75" hidden="1" thickBot="1">
      <c r="A71" s="170">
        <v>42217</v>
      </c>
      <c r="B71" s="378">
        <v>2370536</v>
      </c>
      <c r="C71" s="3">
        <v>15377300</v>
      </c>
      <c r="D71" s="3">
        <f t="shared" si="102"/>
        <v>17747836</v>
      </c>
      <c r="E71" s="3">
        <f t="shared" si="103"/>
        <v>756561</v>
      </c>
      <c r="F71" s="3">
        <v>0</v>
      </c>
      <c r="G71" s="3">
        <f t="shared" si="104"/>
        <v>756561</v>
      </c>
      <c r="H71" s="3">
        <v>38424</v>
      </c>
      <c r="I71" s="3">
        <v>0</v>
      </c>
      <c r="J71" s="3">
        <f t="shared" si="105"/>
        <v>38424</v>
      </c>
      <c r="K71" s="3">
        <v>0</v>
      </c>
      <c r="L71" s="3">
        <v>0</v>
      </c>
      <c r="M71" s="3">
        <f t="shared" si="106"/>
        <v>0</v>
      </c>
      <c r="N71" s="3">
        <f t="shared" si="107"/>
        <v>2278425</v>
      </c>
      <c r="O71" s="3">
        <v>0</v>
      </c>
      <c r="P71" s="3">
        <f t="shared" si="108"/>
        <v>2278425</v>
      </c>
      <c r="Q71" s="3">
        <v>1429</v>
      </c>
      <c r="R71" s="3">
        <v>0</v>
      </c>
      <c r="S71" s="3">
        <f t="shared" si="109"/>
        <v>1429</v>
      </c>
      <c r="T71" s="3">
        <v>0</v>
      </c>
      <c r="U71" s="3">
        <v>0</v>
      </c>
      <c r="V71" s="3">
        <f t="shared" si="110"/>
        <v>0</v>
      </c>
      <c r="W71" s="3">
        <f t="shared" si="111"/>
        <v>5445375</v>
      </c>
      <c r="X71" s="3">
        <f t="shared" si="111"/>
        <v>15377300</v>
      </c>
      <c r="Y71" s="379">
        <f t="shared" si="112"/>
        <v>20822675</v>
      </c>
      <c r="Z71" s="3">
        <v>0</v>
      </c>
      <c r="AA71" s="3">
        <v>756561</v>
      </c>
      <c r="AB71" s="380">
        <f t="shared" si="113"/>
        <v>756561</v>
      </c>
      <c r="AC71" s="3">
        <v>0</v>
      </c>
      <c r="AD71" s="3">
        <v>2278425</v>
      </c>
      <c r="AE71" s="380">
        <f t="shared" si="55"/>
        <v>2278425</v>
      </c>
      <c r="AF71" s="381">
        <f t="shared" si="88"/>
        <v>16632233</v>
      </c>
      <c r="AG71" s="177">
        <f t="shared" si="88"/>
        <v>26079991</v>
      </c>
      <c r="AH71" s="177">
        <f t="shared" si="89"/>
        <v>42712224</v>
      </c>
      <c r="AI71" s="177">
        <f t="shared" si="99"/>
        <v>6158421</v>
      </c>
      <c r="AJ71" s="177">
        <f t="shared" si="99"/>
        <v>0</v>
      </c>
      <c r="AK71" s="177">
        <f t="shared" si="90"/>
        <v>6158421</v>
      </c>
      <c r="AL71" s="177">
        <f t="shared" si="91"/>
        <v>461604</v>
      </c>
      <c r="AM71" s="177">
        <f t="shared" si="91"/>
        <v>0</v>
      </c>
      <c r="AN71" s="177">
        <f t="shared" si="92"/>
        <v>461604</v>
      </c>
      <c r="AO71" s="177">
        <f t="shared" si="93"/>
        <v>0</v>
      </c>
      <c r="AP71" s="177">
        <f t="shared" si="93"/>
        <v>0</v>
      </c>
      <c r="AQ71" s="177">
        <f t="shared" si="94"/>
        <v>0</v>
      </c>
      <c r="AR71" s="177">
        <f t="shared" si="95"/>
        <v>16475433</v>
      </c>
      <c r="AS71" s="177">
        <f t="shared" si="95"/>
        <v>0</v>
      </c>
      <c r="AT71" s="177">
        <f t="shared" si="96"/>
        <v>16475433</v>
      </c>
      <c r="AU71" s="177">
        <f t="shared" si="97"/>
        <v>4983</v>
      </c>
      <c r="AV71" s="177">
        <f t="shared" si="97"/>
        <v>0</v>
      </c>
      <c r="AW71" s="177">
        <f t="shared" si="98"/>
        <v>4983</v>
      </c>
      <c r="AX71" s="177">
        <f t="shared" si="100"/>
        <v>0</v>
      </c>
      <c r="AY71" s="177">
        <f t="shared" si="100"/>
        <v>0</v>
      </c>
      <c r="AZ71" s="177">
        <f t="shared" si="101"/>
        <v>0</v>
      </c>
      <c r="BA71" s="177">
        <f t="shared" si="114"/>
        <v>39732674</v>
      </c>
      <c r="BB71" s="177">
        <f t="shared" si="114"/>
        <v>26079991</v>
      </c>
      <c r="BC71" s="382">
        <f t="shared" si="115"/>
        <v>65812665</v>
      </c>
      <c r="BD71" s="83">
        <f t="shared" si="87"/>
        <v>-0.42946245628338819</v>
      </c>
    </row>
    <row r="72" spans="1:56" ht="15.75" hidden="1" thickBot="1">
      <c r="A72" s="170">
        <v>42248</v>
      </c>
      <c r="B72" s="378">
        <v>2033261</v>
      </c>
      <c r="C72" s="3">
        <v>19853081</v>
      </c>
      <c r="D72" s="3">
        <f t="shared" si="102"/>
        <v>21886342</v>
      </c>
      <c r="E72" s="3">
        <f t="shared" si="103"/>
        <v>629597</v>
      </c>
      <c r="F72" s="3">
        <v>0</v>
      </c>
      <c r="G72" s="3">
        <f t="shared" si="104"/>
        <v>629597</v>
      </c>
      <c r="H72" s="3">
        <v>43099</v>
      </c>
      <c r="I72" s="3">
        <v>0</v>
      </c>
      <c r="J72" s="3">
        <f t="shared" si="105"/>
        <v>43099</v>
      </c>
      <c r="K72" s="3">
        <v>0</v>
      </c>
      <c r="L72" s="3">
        <v>0</v>
      </c>
      <c r="M72" s="3">
        <f t="shared" si="106"/>
        <v>0</v>
      </c>
      <c r="N72" s="3">
        <f t="shared" si="107"/>
        <v>2081355</v>
      </c>
      <c r="O72" s="3">
        <v>0</v>
      </c>
      <c r="P72" s="3">
        <f t="shared" si="108"/>
        <v>2081355</v>
      </c>
      <c r="Q72" s="3">
        <v>39</v>
      </c>
      <c r="R72" s="3">
        <v>0</v>
      </c>
      <c r="S72" s="3">
        <f t="shared" si="109"/>
        <v>39</v>
      </c>
      <c r="T72" s="3">
        <v>0</v>
      </c>
      <c r="U72" s="3">
        <v>0</v>
      </c>
      <c r="V72" s="3">
        <f t="shared" si="110"/>
        <v>0</v>
      </c>
      <c r="W72" s="3">
        <f t="shared" si="111"/>
        <v>4787351</v>
      </c>
      <c r="X72" s="3">
        <f t="shared" si="111"/>
        <v>19853081</v>
      </c>
      <c r="Y72" s="379">
        <f t="shared" si="112"/>
        <v>24640432</v>
      </c>
      <c r="Z72" s="3">
        <v>0</v>
      </c>
      <c r="AA72" s="3">
        <v>629597</v>
      </c>
      <c r="AB72" s="380">
        <f t="shared" si="113"/>
        <v>629597</v>
      </c>
      <c r="AC72" s="3">
        <v>0</v>
      </c>
      <c r="AD72" s="3">
        <v>2081355</v>
      </c>
      <c r="AE72" s="380">
        <f t="shared" si="55"/>
        <v>2081355</v>
      </c>
      <c r="AF72" s="381">
        <f t="shared" si="88"/>
        <v>18665494</v>
      </c>
      <c r="AG72" s="177">
        <f t="shared" si="88"/>
        <v>45933072</v>
      </c>
      <c r="AH72" s="177">
        <f t="shared" si="89"/>
        <v>64598566</v>
      </c>
      <c r="AI72" s="177">
        <f t="shared" si="99"/>
        <v>6788018</v>
      </c>
      <c r="AJ72" s="177">
        <f t="shared" si="99"/>
        <v>0</v>
      </c>
      <c r="AK72" s="177">
        <f t="shared" si="90"/>
        <v>6788018</v>
      </c>
      <c r="AL72" s="177">
        <f t="shared" si="91"/>
        <v>504703</v>
      </c>
      <c r="AM72" s="177">
        <f t="shared" si="91"/>
        <v>0</v>
      </c>
      <c r="AN72" s="177">
        <f t="shared" si="92"/>
        <v>504703</v>
      </c>
      <c r="AO72" s="177">
        <f t="shared" si="93"/>
        <v>0</v>
      </c>
      <c r="AP72" s="177">
        <f t="shared" si="93"/>
        <v>0</v>
      </c>
      <c r="AQ72" s="177">
        <f t="shared" si="94"/>
        <v>0</v>
      </c>
      <c r="AR72" s="177">
        <f t="shared" si="95"/>
        <v>18556788</v>
      </c>
      <c r="AS72" s="177">
        <f t="shared" si="95"/>
        <v>0</v>
      </c>
      <c r="AT72" s="177">
        <f t="shared" si="96"/>
        <v>18556788</v>
      </c>
      <c r="AU72" s="177">
        <f t="shared" si="97"/>
        <v>5022</v>
      </c>
      <c r="AV72" s="177">
        <f t="shared" si="97"/>
        <v>0</v>
      </c>
      <c r="AW72" s="177">
        <f t="shared" si="98"/>
        <v>5022</v>
      </c>
      <c r="AX72" s="177">
        <f t="shared" si="100"/>
        <v>0</v>
      </c>
      <c r="AY72" s="177">
        <f t="shared" si="100"/>
        <v>0</v>
      </c>
      <c r="AZ72" s="177">
        <f t="shared" si="101"/>
        <v>0</v>
      </c>
      <c r="BA72" s="177">
        <f t="shared" si="114"/>
        <v>44520025</v>
      </c>
      <c r="BB72" s="177">
        <f t="shared" si="114"/>
        <v>45933072</v>
      </c>
      <c r="BC72" s="382">
        <f t="shared" si="115"/>
        <v>90453097</v>
      </c>
      <c r="BD72" s="83">
        <f t="shared" si="87"/>
        <v>-0.24400492402141882</v>
      </c>
    </row>
    <row r="73" spans="1:56" ht="15.75" hidden="1" thickBot="1">
      <c r="A73" s="170">
        <v>42278</v>
      </c>
      <c r="B73" s="378">
        <v>2183363</v>
      </c>
      <c r="C73" s="3">
        <v>7506431</v>
      </c>
      <c r="D73" s="3">
        <f t="shared" si="102"/>
        <v>9689794</v>
      </c>
      <c r="E73" s="3">
        <f t="shared" si="103"/>
        <v>640336</v>
      </c>
      <c r="F73" s="3">
        <v>0</v>
      </c>
      <c r="G73" s="3">
        <f t="shared" si="104"/>
        <v>640336</v>
      </c>
      <c r="H73" s="3">
        <v>73512</v>
      </c>
      <c r="I73" s="3">
        <v>0</v>
      </c>
      <c r="J73" s="3">
        <f t="shared" si="105"/>
        <v>73512</v>
      </c>
      <c r="K73" s="3">
        <v>0</v>
      </c>
      <c r="L73" s="3">
        <v>0</v>
      </c>
      <c r="M73" s="3">
        <f t="shared" si="106"/>
        <v>0</v>
      </c>
      <c r="N73" s="3">
        <f t="shared" si="107"/>
        <v>1927553</v>
      </c>
      <c r="O73" s="3">
        <v>0</v>
      </c>
      <c r="P73" s="3">
        <f t="shared" si="108"/>
        <v>1927553</v>
      </c>
      <c r="Q73" s="3">
        <v>0</v>
      </c>
      <c r="R73" s="3">
        <v>0</v>
      </c>
      <c r="S73" s="3">
        <f t="shared" si="109"/>
        <v>0</v>
      </c>
      <c r="T73" s="3">
        <v>0</v>
      </c>
      <c r="U73" s="3">
        <v>0</v>
      </c>
      <c r="V73" s="3">
        <f t="shared" si="110"/>
        <v>0</v>
      </c>
      <c r="W73" s="3">
        <f t="shared" si="111"/>
        <v>4824764</v>
      </c>
      <c r="X73" s="3">
        <f t="shared" si="111"/>
        <v>7506431</v>
      </c>
      <c r="Y73" s="379">
        <f t="shared" si="112"/>
        <v>12331195</v>
      </c>
      <c r="Z73" s="3">
        <v>0</v>
      </c>
      <c r="AA73" s="3">
        <v>640336</v>
      </c>
      <c r="AB73" s="380">
        <f t="shared" si="113"/>
        <v>640336</v>
      </c>
      <c r="AC73" s="3">
        <v>0</v>
      </c>
      <c r="AD73" s="3">
        <v>1927553</v>
      </c>
      <c r="AE73" s="380">
        <f t="shared" si="55"/>
        <v>1927553</v>
      </c>
      <c r="AF73" s="381">
        <f t="shared" si="88"/>
        <v>20848857</v>
      </c>
      <c r="AG73" s="177">
        <f t="shared" si="88"/>
        <v>53439503</v>
      </c>
      <c r="AH73" s="177">
        <f t="shared" si="89"/>
        <v>74288360</v>
      </c>
      <c r="AI73" s="177">
        <f t="shared" si="99"/>
        <v>7428354</v>
      </c>
      <c r="AJ73" s="177">
        <f t="shared" si="99"/>
        <v>0</v>
      </c>
      <c r="AK73" s="177">
        <f t="shared" si="90"/>
        <v>7428354</v>
      </c>
      <c r="AL73" s="177">
        <f t="shared" si="91"/>
        <v>578215</v>
      </c>
      <c r="AM73" s="177">
        <f t="shared" si="91"/>
        <v>0</v>
      </c>
      <c r="AN73" s="177">
        <f t="shared" si="92"/>
        <v>578215</v>
      </c>
      <c r="AO73" s="177">
        <f t="shared" si="93"/>
        <v>0</v>
      </c>
      <c r="AP73" s="177">
        <f t="shared" si="93"/>
        <v>0</v>
      </c>
      <c r="AQ73" s="177">
        <f t="shared" si="94"/>
        <v>0</v>
      </c>
      <c r="AR73" s="177">
        <f t="shared" si="95"/>
        <v>20484341</v>
      </c>
      <c r="AS73" s="177">
        <f t="shared" si="95"/>
        <v>0</v>
      </c>
      <c r="AT73" s="177">
        <f t="shared" si="96"/>
        <v>20484341</v>
      </c>
      <c r="AU73" s="177">
        <f t="shared" si="97"/>
        <v>5022</v>
      </c>
      <c r="AV73" s="177">
        <f t="shared" si="97"/>
        <v>0</v>
      </c>
      <c r="AW73" s="177">
        <f t="shared" si="98"/>
        <v>5022</v>
      </c>
      <c r="AX73" s="177">
        <f t="shared" si="100"/>
        <v>0</v>
      </c>
      <c r="AY73" s="177">
        <f t="shared" si="100"/>
        <v>0</v>
      </c>
      <c r="AZ73" s="177">
        <f t="shared" si="101"/>
        <v>0</v>
      </c>
      <c r="BA73" s="177">
        <f t="shared" si="114"/>
        <v>49344789</v>
      </c>
      <c r="BB73" s="177">
        <f t="shared" si="114"/>
        <v>53439503</v>
      </c>
      <c r="BC73" s="382">
        <f t="shared" si="115"/>
        <v>102784292</v>
      </c>
      <c r="BD73" s="83">
        <f t="shared" si="87"/>
        <v>-0.18351801581079386</v>
      </c>
    </row>
    <row r="74" spans="1:56" ht="15.75" hidden="1" thickBot="1">
      <c r="A74" s="170">
        <v>42309</v>
      </c>
      <c r="B74" s="378">
        <v>1856141</v>
      </c>
      <c r="C74" s="3">
        <v>23293886</v>
      </c>
      <c r="D74" s="3">
        <f t="shared" si="102"/>
        <v>25150027</v>
      </c>
      <c r="E74" s="3">
        <f t="shared" si="103"/>
        <v>529233</v>
      </c>
      <c r="F74" s="3">
        <v>0</v>
      </c>
      <c r="G74" s="3">
        <f t="shared" si="104"/>
        <v>529233</v>
      </c>
      <c r="H74" s="3">
        <v>105931</v>
      </c>
      <c r="I74" s="3">
        <v>0</v>
      </c>
      <c r="J74" s="3">
        <f t="shared" si="105"/>
        <v>105931</v>
      </c>
      <c r="K74" s="3">
        <v>0</v>
      </c>
      <c r="L74" s="3">
        <v>0</v>
      </c>
      <c r="M74" s="3">
        <f t="shared" si="106"/>
        <v>0</v>
      </c>
      <c r="N74" s="3">
        <f t="shared" si="107"/>
        <v>1766761</v>
      </c>
      <c r="O74" s="3">
        <v>0</v>
      </c>
      <c r="P74" s="3">
        <f t="shared" si="108"/>
        <v>1766761</v>
      </c>
      <c r="Q74" s="3">
        <v>0</v>
      </c>
      <c r="R74" s="3">
        <v>0</v>
      </c>
      <c r="S74" s="3">
        <f t="shared" si="109"/>
        <v>0</v>
      </c>
      <c r="T74" s="3">
        <v>0</v>
      </c>
      <c r="U74" s="3">
        <v>0</v>
      </c>
      <c r="V74" s="3">
        <f t="shared" si="110"/>
        <v>0</v>
      </c>
      <c r="W74" s="3">
        <f t="shared" si="111"/>
        <v>4258066</v>
      </c>
      <c r="X74" s="3">
        <f t="shared" si="111"/>
        <v>23293886</v>
      </c>
      <c r="Y74" s="379">
        <f t="shared" si="112"/>
        <v>27551952</v>
      </c>
      <c r="Z74" s="3">
        <v>0</v>
      </c>
      <c r="AA74" s="3">
        <v>529233</v>
      </c>
      <c r="AB74" s="380">
        <f t="shared" si="113"/>
        <v>529233</v>
      </c>
      <c r="AC74" s="3">
        <v>0</v>
      </c>
      <c r="AD74" s="3">
        <v>1766761</v>
      </c>
      <c r="AE74" s="380">
        <f t="shared" si="55"/>
        <v>1766761</v>
      </c>
      <c r="AF74" s="381">
        <f t="shared" si="88"/>
        <v>22704998</v>
      </c>
      <c r="AG74" s="177">
        <f t="shared" si="88"/>
        <v>76733389</v>
      </c>
      <c r="AH74" s="177">
        <f t="shared" si="89"/>
        <v>99438387</v>
      </c>
      <c r="AI74" s="177">
        <f t="shared" si="99"/>
        <v>7957587</v>
      </c>
      <c r="AJ74" s="177">
        <f t="shared" si="99"/>
        <v>0</v>
      </c>
      <c r="AK74" s="177">
        <f t="shared" si="90"/>
        <v>7957587</v>
      </c>
      <c r="AL74" s="177">
        <f t="shared" si="91"/>
        <v>684146</v>
      </c>
      <c r="AM74" s="177">
        <f t="shared" si="91"/>
        <v>0</v>
      </c>
      <c r="AN74" s="177">
        <f t="shared" si="92"/>
        <v>684146</v>
      </c>
      <c r="AO74" s="177">
        <f t="shared" si="93"/>
        <v>0</v>
      </c>
      <c r="AP74" s="177">
        <f t="shared" si="93"/>
        <v>0</v>
      </c>
      <c r="AQ74" s="177">
        <f t="shared" si="94"/>
        <v>0</v>
      </c>
      <c r="AR74" s="177">
        <f t="shared" si="95"/>
        <v>22251102</v>
      </c>
      <c r="AS74" s="177">
        <f t="shared" si="95"/>
        <v>0</v>
      </c>
      <c r="AT74" s="177">
        <f t="shared" si="96"/>
        <v>22251102</v>
      </c>
      <c r="AU74" s="177">
        <f t="shared" si="97"/>
        <v>5022</v>
      </c>
      <c r="AV74" s="177">
        <f t="shared" si="97"/>
        <v>0</v>
      </c>
      <c r="AW74" s="177">
        <f t="shared" si="98"/>
        <v>5022</v>
      </c>
      <c r="AX74" s="177">
        <f t="shared" si="100"/>
        <v>0</v>
      </c>
      <c r="AY74" s="177">
        <f t="shared" si="100"/>
        <v>0</v>
      </c>
      <c r="AZ74" s="177">
        <f t="shared" si="101"/>
        <v>0</v>
      </c>
      <c r="BA74" s="177">
        <f t="shared" si="114"/>
        <v>53602855</v>
      </c>
      <c r="BB74" s="177">
        <f t="shared" si="114"/>
        <v>76733389</v>
      </c>
      <c r="BC74" s="382">
        <f t="shared" si="115"/>
        <v>130336244</v>
      </c>
      <c r="BD74" s="83">
        <f t="shared" si="87"/>
        <v>-1.3906461211696808E-3</v>
      </c>
    </row>
    <row r="75" spans="1:56" ht="15.75" hidden="1" thickBot="1">
      <c r="A75" s="170">
        <v>42339</v>
      </c>
      <c r="B75" s="378">
        <v>2125836</v>
      </c>
      <c r="C75" s="3">
        <v>12221061</v>
      </c>
      <c r="D75" s="3">
        <f t="shared" si="102"/>
        <v>14346897</v>
      </c>
      <c r="E75" s="3">
        <f t="shared" si="103"/>
        <v>508036</v>
      </c>
      <c r="F75" s="3">
        <v>0</v>
      </c>
      <c r="G75" s="3">
        <f t="shared" si="104"/>
        <v>508036</v>
      </c>
      <c r="H75" s="3">
        <v>163003</v>
      </c>
      <c r="I75" s="3">
        <v>0</v>
      </c>
      <c r="J75" s="3">
        <f t="shared" si="105"/>
        <v>163003</v>
      </c>
      <c r="K75" s="3">
        <v>0</v>
      </c>
      <c r="L75" s="3">
        <v>0</v>
      </c>
      <c r="M75" s="3">
        <f t="shared" si="106"/>
        <v>0</v>
      </c>
      <c r="N75" s="3">
        <f t="shared" si="107"/>
        <v>1737263</v>
      </c>
      <c r="O75" s="3">
        <v>0</v>
      </c>
      <c r="P75" s="3">
        <f t="shared" si="108"/>
        <v>1737263</v>
      </c>
      <c r="Q75" s="3">
        <v>0</v>
      </c>
      <c r="R75" s="3">
        <v>0</v>
      </c>
      <c r="S75" s="3">
        <f t="shared" si="109"/>
        <v>0</v>
      </c>
      <c r="T75" s="3">
        <v>0</v>
      </c>
      <c r="U75" s="3">
        <v>0</v>
      </c>
      <c r="V75" s="3">
        <f t="shared" si="110"/>
        <v>0</v>
      </c>
      <c r="W75" s="3">
        <f t="shared" si="111"/>
        <v>4534138</v>
      </c>
      <c r="X75" s="3">
        <f t="shared" si="111"/>
        <v>12221061</v>
      </c>
      <c r="Y75" s="379">
        <f t="shared" si="112"/>
        <v>16755199</v>
      </c>
      <c r="Z75" s="3">
        <v>0</v>
      </c>
      <c r="AA75" s="3">
        <v>508036</v>
      </c>
      <c r="AB75" s="380">
        <f t="shared" si="113"/>
        <v>508036</v>
      </c>
      <c r="AC75" s="3">
        <v>0</v>
      </c>
      <c r="AD75" s="3">
        <v>1737263</v>
      </c>
      <c r="AE75" s="380">
        <f t="shared" si="55"/>
        <v>1737263</v>
      </c>
      <c r="AF75" s="381">
        <f t="shared" si="88"/>
        <v>24830834</v>
      </c>
      <c r="AG75" s="177">
        <f t="shared" si="88"/>
        <v>88954450</v>
      </c>
      <c r="AH75" s="177">
        <f t="shared" si="89"/>
        <v>113785284</v>
      </c>
      <c r="AI75" s="177">
        <f t="shared" si="99"/>
        <v>8465623</v>
      </c>
      <c r="AJ75" s="177">
        <f t="shared" si="99"/>
        <v>0</v>
      </c>
      <c r="AK75" s="177">
        <f t="shared" si="90"/>
        <v>8465623</v>
      </c>
      <c r="AL75" s="177">
        <f t="shared" si="91"/>
        <v>847149</v>
      </c>
      <c r="AM75" s="177">
        <f t="shared" si="91"/>
        <v>0</v>
      </c>
      <c r="AN75" s="177">
        <f t="shared" si="92"/>
        <v>847149</v>
      </c>
      <c r="AO75" s="177">
        <f t="shared" si="93"/>
        <v>0</v>
      </c>
      <c r="AP75" s="177">
        <f t="shared" si="93"/>
        <v>0</v>
      </c>
      <c r="AQ75" s="177">
        <f t="shared" si="94"/>
        <v>0</v>
      </c>
      <c r="AR75" s="177">
        <f t="shared" si="95"/>
        <v>23988365</v>
      </c>
      <c r="AS75" s="177">
        <f t="shared" si="95"/>
        <v>0</v>
      </c>
      <c r="AT75" s="177">
        <f t="shared" si="96"/>
        <v>23988365</v>
      </c>
      <c r="AU75" s="177">
        <f t="shared" si="97"/>
        <v>5022</v>
      </c>
      <c r="AV75" s="177">
        <f t="shared" si="97"/>
        <v>0</v>
      </c>
      <c r="AW75" s="177">
        <f t="shared" si="98"/>
        <v>5022</v>
      </c>
      <c r="AX75" s="177">
        <f t="shared" si="100"/>
        <v>0</v>
      </c>
      <c r="AY75" s="177">
        <f t="shared" si="100"/>
        <v>0</v>
      </c>
      <c r="AZ75" s="177">
        <f t="shared" si="101"/>
        <v>0</v>
      </c>
      <c r="BA75" s="177">
        <f t="shared" si="114"/>
        <v>58136993</v>
      </c>
      <c r="BB75" s="177">
        <f t="shared" si="114"/>
        <v>88954450</v>
      </c>
      <c r="BC75" s="382">
        <f t="shared" si="115"/>
        <v>147091443</v>
      </c>
      <c r="BD75" s="83">
        <f t="shared" si="87"/>
        <v>2.4738029919395554E-2</v>
      </c>
    </row>
    <row r="76" spans="1:56">
      <c r="A76" s="171">
        <v>42370</v>
      </c>
      <c r="B76" s="385">
        <v>2221196</v>
      </c>
      <c r="C76" s="104">
        <v>0</v>
      </c>
      <c r="D76" s="104">
        <f t="shared" si="102"/>
        <v>2221196</v>
      </c>
      <c r="E76" s="104">
        <f t="shared" si="103"/>
        <v>400028</v>
      </c>
      <c r="F76" s="104">
        <v>0</v>
      </c>
      <c r="G76" s="104">
        <f t="shared" si="104"/>
        <v>400028</v>
      </c>
      <c r="H76" s="104">
        <v>201225</v>
      </c>
      <c r="I76" s="104">
        <v>0</v>
      </c>
      <c r="J76" s="104">
        <f t="shared" si="105"/>
        <v>201225</v>
      </c>
      <c r="K76" s="104">
        <v>0</v>
      </c>
      <c r="L76" s="104">
        <v>0</v>
      </c>
      <c r="M76" s="104">
        <f t="shared" si="106"/>
        <v>0</v>
      </c>
      <c r="N76" s="104">
        <f t="shared" si="107"/>
        <v>1701906</v>
      </c>
      <c r="O76" s="104">
        <v>0</v>
      </c>
      <c r="P76" s="104">
        <f t="shared" si="108"/>
        <v>1701906</v>
      </c>
      <c r="Q76" s="104">
        <v>0</v>
      </c>
      <c r="R76" s="104">
        <v>0</v>
      </c>
      <c r="S76" s="104">
        <f t="shared" si="109"/>
        <v>0</v>
      </c>
      <c r="T76" s="104">
        <v>0</v>
      </c>
      <c r="U76" s="104">
        <v>0</v>
      </c>
      <c r="V76" s="104">
        <f t="shared" si="110"/>
        <v>0</v>
      </c>
      <c r="W76" s="104">
        <f t="shared" si="111"/>
        <v>4524355</v>
      </c>
      <c r="X76" s="104">
        <f t="shared" si="111"/>
        <v>0</v>
      </c>
      <c r="Y76" s="386">
        <f t="shared" si="112"/>
        <v>4524355</v>
      </c>
      <c r="Z76" s="104">
        <v>0</v>
      </c>
      <c r="AA76" s="104">
        <v>400028</v>
      </c>
      <c r="AB76" s="387">
        <f>AA76+Z76</f>
        <v>400028</v>
      </c>
      <c r="AC76" s="104">
        <v>0</v>
      </c>
      <c r="AD76" s="104">
        <v>1701906</v>
      </c>
      <c r="AE76" s="387">
        <f t="shared" si="55"/>
        <v>1701906</v>
      </c>
      <c r="AF76" s="388">
        <f>B76</f>
        <v>2221196</v>
      </c>
      <c r="AG76" s="389">
        <f>C76</f>
        <v>0</v>
      </c>
      <c r="AH76" s="389">
        <f>AG76+AF76</f>
        <v>2221196</v>
      </c>
      <c r="AI76" s="389">
        <f>E76</f>
        <v>400028</v>
      </c>
      <c r="AJ76" s="389">
        <f>F76</f>
        <v>0</v>
      </c>
      <c r="AK76" s="389">
        <f>AJ76+AI76</f>
        <v>400028</v>
      </c>
      <c r="AL76" s="389">
        <f>H76</f>
        <v>201225</v>
      </c>
      <c r="AM76" s="389">
        <f>I76</f>
        <v>0</v>
      </c>
      <c r="AN76" s="389">
        <f>AM76+AL76</f>
        <v>201225</v>
      </c>
      <c r="AO76" s="389">
        <f>K76</f>
        <v>0</v>
      </c>
      <c r="AP76" s="389">
        <f>L76</f>
        <v>0</v>
      </c>
      <c r="AQ76" s="389">
        <f>AP76+AO76</f>
        <v>0</v>
      </c>
      <c r="AR76" s="389">
        <f>N76</f>
        <v>1701906</v>
      </c>
      <c r="AS76" s="389">
        <f>O76</f>
        <v>0</v>
      </c>
      <c r="AT76" s="389">
        <f>AS76+AR76</f>
        <v>1701906</v>
      </c>
      <c r="AU76" s="389">
        <f>Q76</f>
        <v>0</v>
      </c>
      <c r="AV76" s="389">
        <f>R76</f>
        <v>0</v>
      </c>
      <c r="AW76" s="389">
        <f>AV76+AU76</f>
        <v>0</v>
      </c>
      <c r="AX76" s="389">
        <f>T76</f>
        <v>0</v>
      </c>
      <c r="AY76" s="389">
        <f>U76</f>
        <v>0</v>
      </c>
      <c r="AZ76" s="389">
        <f>SUM(AX76:AY76)</f>
        <v>0</v>
      </c>
      <c r="BA76" s="389">
        <f t="shared" si="114"/>
        <v>4524355</v>
      </c>
      <c r="BB76" s="389">
        <f t="shared" si="114"/>
        <v>0</v>
      </c>
      <c r="BC76" s="390">
        <f t="shared" si="115"/>
        <v>4524355</v>
      </c>
      <c r="BD76" s="83">
        <f t="shared" si="87"/>
        <v>-0.15426514884999176</v>
      </c>
    </row>
    <row r="77" spans="1:56">
      <c r="A77" s="170">
        <v>42401</v>
      </c>
      <c r="B77" s="378">
        <v>1973477</v>
      </c>
      <c r="C77" s="3">
        <v>0</v>
      </c>
      <c r="D77" s="3">
        <f t="shared" si="102"/>
        <v>1973477</v>
      </c>
      <c r="E77" s="3">
        <f t="shared" si="103"/>
        <v>514031</v>
      </c>
      <c r="F77" s="3">
        <v>0</v>
      </c>
      <c r="G77" s="3">
        <f t="shared" si="104"/>
        <v>514031</v>
      </c>
      <c r="H77" s="3">
        <v>222234</v>
      </c>
      <c r="I77" s="3">
        <v>0</v>
      </c>
      <c r="J77" s="3">
        <f t="shared" si="105"/>
        <v>222234</v>
      </c>
      <c r="K77" s="3">
        <v>0</v>
      </c>
      <c r="L77" s="3">
        <v>0</v>
      </c>
      <c r="M77" s="3">
        <f t="shared" si="106"/>
        <v>0</v>
      </c>
      <c r="N77" s="3">
        <f t="shared" si="107"/>
        <v>820540</v>
      </c>
      <c r="O77" s="3">
        <v>0</v>
      </c>
      <c r="P77" s="3">
        <f t="shared" si="108"/>
        <v>820540</v>
      </c>
      <c r="Q77" s="3">
        <v>0</v>
      </c>
      <c r="R77" s="3">
        <v>0</v>
      </c>
      <c r="S77" s="3">
        <f t="shared" si="109"/>
        <v>0</v>
      </c>
      <c r="T77" s="3">
        <v>0</v>
      </c>
      <c r="U77" s="3">
        <v>0</v>
      </c>
      <c r="V77" s="3">
        <f t="shared" si="110"/>
        <v>0</v>
      </c>
      <c r="W77" s="3">
        <f t="shared" si="111"/>
        <v>3530282</v>
      </c>
      <c r="X77" s="3">
        <f t="shared" si="111"/>
        <v>0</v>
      </c>
      <c r="Y77" s="379">
        <f t="shared" si="112"/>
        <v>3530282</v>
      </c>
      <c r="Z77" s="3">
        <v>0</v>
      </c>
      <c r="AA77" s="3">
        <v>514031</v>
      </c>
      <c r="AB77" s="380">
        <f t="shared" ref="AB77:AB115" si="116">AA77+Z77</f>
        <v>514031</v>
      </c>
      <c r="AC77" s="3">
        <v>0</v>
      </c>
      <c r="AD77" s="3">
        <v>820540</v>
      </c>
      <c r="AE77" s="380">
        <f t="shared" si="55"/>
        <v>820540</v>
      </c>
      <c r="AF77" s="381">
        <f t="shared" ref="AF77:AG87" si="117">B77+AF76</f>
        <v>4194673</v>
      </c>
      <c r="AG77" s="177">
        <f t="shared" si="117"/>
        <v>0</v>
      </c>
      <c r="AH77" s="177">
        <f t="shared" ref="AH77:AH87" si="118">AG77+AF77</f>
        <v>4194673</v>
      </c>
      <c r="AI77" s="177">
        <f>AI76+E77</f>
        <v>914059</v>
      </c>
      <c r="AJ77" s="177">
        <f>AJ76+F77</f>
        <v>0</v>
      </c>
      <c r="AK77" s="177">
        <f t="shared" ref="AK77:AK87" si="119">AJ77+AI77</f>
        <v>914059</v>
      </c>
      <c r="AL77" s="177">
        <f t="shared" ref="AL77:AM87" si="120">AL76+H77</f>
        <v>423459</v>
      </c>
      <c r="AM77" s="177">
        <f t="shared" si="120"/>
        <v>0</v>
      </c>
      <c r="AN77" s="177">
        <f t="shared" ref="AN77:AN87" si="121">AM77+AL77</f>
        <v>423459</v>
      </c>
      <c r="AO77" s="177">
        <f t="shared" ref="AO77:AP87" si="122">AO76+K77</f>
        <v>0</v>
      </c>
      <c r="AP77" s="177">
        <f t="shared" si="122"/>
        <v>0</v>
      </c>
      <c r="AQ77" s="177">
        <f t="shared" ref="AQ77:AQ87" si="123">AP77+AO77</f>
        <v>0</v>
      </c>
      <c r="AR77" s="177">
        <f t="shared" ref="AR77:AS87" si="124">AR76+N77</f>
        <v>2522446</v>
      </c>
      <c r="AS77" s="177">
        <f t="shared" si="124"/>
        <v>0</v>
      </c>
      <c r="AT77" s="177">
        <f t="shared" ref="AT77:AT87" si="125">AS77+AR77</f>
        <v>2522446</v>
      </c>
      <c r="AU77" s="177">
        <f t="shared" ref="AU77:AV87" si="126">AU76+Q77</f>
        <v>0</v>
      </c>
      <c r="AV77" s="177">
        <f t="shared" si="126"/>
        <v>0</v>
      </c>
      <c r="AW77" s="177">
        <f t="shared" ref="AW77:AW87" si="127">AV77+AU77</f>
        <v>0</v>
      </c>
      <c r="AX77" s="177">
        <f>AX76+T77</f>
        <v>0</v>
      </c>
      <c r="AY77" s="177">
        <f>AY76+U77</f>
        <v>0</v>
      </c>
      <c r="AZ77" s="177">
        <f>SUM(AX77:AY77)</f>
        <v>0</v>
      </c>
      <c r="BA77" s="177">
        <f t="shared" si="114"/>
        <v>8054637</v>
      </c>
      <c r="BB77" s="177">
        <f t="shared" si="114"/>
        <v>0</v>
      </c>
      <c r="BC77" s="382">
        <f t="shared" si="115"/>
        <v>8054637</v>
      </c>
      <c r="BD77" s="83">
        <f t="shared" si="87"/>
        <v>-0.17407694709496291</v>
      </c>
    </row>
    <row r="78" spans="1:56">
      <c r="A78" s="170">
        <v>42430</v>
      </c>
      <c r="B78" s="378">
        <v>2110279</v>
      </c>
      <c r="C78" s="3">
        <v>0</v>
      </c>
      <c r="D78" s="3">
        <f t="shared" si="102"/>
        <v>2110279</v>
      </c>
      <c r="E78" s="3">
        <f t="shared" si="103"/>
        <v>771330</v>
      </c>
      <c r="F78" s="3">
        <v>0</v>
      </c>
      <c r="G78" s="3">
        <f t="shared" si="104"/>
        <v>771330</v>
      </c>
      <c r="H78" s="3">
        <v>144322</v>
      </c>
      <c r="I78" s="3">
        <v>0</v>
      </c>
      <c r="J78" s="3">
        <f t="shared" si="105"/>
        <v>144322</v>
      </c>
      <c r="K78" s="3">
        <v>0</v>
      </c>
      <c r="L78" s="3">
        <v>0</v>
      </c>
      <c r="M78" s="3">
        <f t="shared" si="106"/>
        <v>0</v>
      </c>
      <c r="N78" s="3">
        <f t="shared" si="107"/>
        <v>1629612</v>
      </c>
      <c r="O78" s="3">
        <v>0</v>
      </c>
      <c r="P78" s="3">
        <f t="shared" si="108"/>
        <v>1629612</v>
      </c>
      <c r="Q78" s="3">
        <v>0</v>
      </c>
      <c r="R78" s="3">
        <v>0</v>
      </c>
      <c r="S78" s="3">
        <f t="shared" si="109"/>
        <v>0</v>
      </c>
      <c r="T78" s="3">
        <v>0</v>
      </c>
      <c r="U78" s="3">
        <v>0</v>
      </c>
      <c r="V78" s="3">
        <f t="shared" si="110"/>
        <v>0</v>
      </c>
      <c r="W78" s="3">
        <f t="shared" si="111"/>
        <v>4655543</v>
      </c>
      <c r="X78" s="3">
        <f t="shared" si="111"/>
        <v>0</v>
      </c>
      <c r="Y78" s="379">
        <f t="shared" si="112"/>
        <v>4655543</v>
      </c>
      <c r="Z78" s="3">
        <v>0</v>
      </c>
      <c r="AA78" s="3">
        <v>771330</v>
      </c>
      <c r="AB78" s="380">
        <f t="shared" si="116"/>
        <v>771330</v>
      </c>
      <c r="AC78" s="3">
        <v>0</v>
      </c>
      <c r="AD78" s="3">
        <v>1629612</v>
      </c>
      <c r="AE78" s="380">
        <f t="shared" si="55"/>
        <v>1629612</v>
      </c>
      <c r="AF78" s="381">
        <f t="shared" si="117"/>
        <v>6304952</v>
      </c>
      <c r="AG78" s="177">
        <f t="shared" si="117"/>
        <v>0</v>
      </c>
      <c r="AH78" s="177">
        <f t="shared" si="118"/>
        <v>6304952</v>
      </c>
      <c r="AI78" s="177">
        <f t="shared" ref="AI78:AJ87" si="128">AI77+E78</f>
        <v>1685389</v>
      </c>
      <c r="AJ78" s="177">
        <f t="shared" si="128"/>
        <v>0</v>
      </c>
      <c r="AK78" s="177">
        <f t="shared" si="119"/>
        <v>1685389</v>
      </c>
      <c r="AL78" s="177">
        <f t="shared" si="120"/>
        <v>567781</v>
      </c>
      <c r="AM78" s="177">
        <f t="shared" si="120"/>
        <v>0</v>
      </c>
      <c r="AN78" s="177">
        <f t="shared" si="121"/>
        <v>567781</v>
      </c>
      <c r="AO78" s="177">
        <f t="shared" si="122"/>
        <v>0</v>
      </c>
      <c r="AP78" s="177">
        <f t="shared" si="122"/>
        <v>0</v>
      </c>
      <c r="AQ78" s="177">
        <f t="shared" si="123"/>
        <v>0</v>
      </c>
      <c r="AR78" s="177">
        <f t="shared" si="124"/>
        <v>4152058</v>
      </c>
      <c r="AS78" s="177">
        <f t="shared" si="124"/>
        <v>0</v>
      </c>
      <c r="AT78" s="177">
        <f t="shared" si="125"/>
        <v>4152058</v>
      </c>
      <c r="AU78" s="177">
        <f t="shared" si="126"/>
        <v>0</v>
      </c>
      <c r="AV78" s="177">
        <f t="shared" si="126"/>
        <v>0</v>
      </c>
      <c r="AW78" s="177">
        <f t="shared" si="127"/>
        <v>0</v>
      </c>
      <c r="AX78" s="177">
        <f t="shared" ref="AX78:AY87" si="129">AX77+T78</f>
        <v>0</v>
      </c>
      <c r="AY78" s="177">
        <f t="shared" si="129"/>
        <v>0</v>
      </c>
      <c r="AZ78" s="177">
        <f t="shared" ref="AZ78:AZ87" si="130">SUM(AX78:AY78)</f>
        <v>0</v>
      </c>
      <c r="BA78" s="177">
        <f t="shared" si="114"/>
        <v>12710180</v>
      </c>
      <c r="BB78" s="177">
        <f t="shared" si="114"/>
        <v>0</v>
      </c>
      <c r="BC78" s="382">
        <f t="shared" si="115"/>
        <v>12710180</v>
      </c>
      <c r="BD78" s="83">
        <f t="shared" si="87"/>
        <v>-0.13467983232769942</v>
      </c>
    </row>
    <row r="79" spans="1:56">
      <c r="A79" s="170">
        <v>42461</v>
      </c>
      <c r="B79" s="378">
        <v>2240412</v>
      </c>
      <c r="C79" s="3">
        <v>0</v>
      </c>
      <c r="D79" s="3">
        <f t="shared" si="102"/>
        <v>2240412</v>
      </c>
      <c r="E79" s="3">
        <f t="shared" si="103"/>
        <v>664656</v>
      </c>
      <c r="F79" s="3">
        <v>0</v>
      </c>
      <c r="G79" s="3">
        <f t="shared" si="104"/>
        <v>664656</v>
      </c>
      <c r="H79" s="3">
        <v>94340</v>
      </c>
      <c r="I79" s="3">
        <v>0</v>
      </c>
      <c r="J79" s="3">
        <f t="shared" si="105"/>
        <v>94340</v>
      </c>
      <c r="K79" s="3">
        <v>0</v>
      </c>
      <c r="L79" s="3">
        <v>0</v>
      </c>
      <c r="M79" s="3">
        <f t="shared" si="106"/>
        <v>0</v>
      </c>
      <c r="N79" s="3">
        <f t="shared" si="107"/>
        <v>1660227</v>
      </c>
      <c r="O79" s="3">
        <v>0</v>
      </c>
      <c r="P79" s="3">
        <f t="shared" si="108"/>
        <v>1660227</v>
      </c>
      <c r="Q79" s="3">
        <v>0</v>
      </c>
      <c r="R79" s="3">
        <v>0</v>
      </c>
      <c r="S79" s="3">
        <f t="shared" si="109"/>
        <v>0</v>
      </c>
      <c r="T79" s="3">
        <v>0</v>
      </c>
      <c r="U79" s="3">
        <v>0</v>
      </c>
      <c r="V79" s="3">
        <f t="shared" si="110"/>
        <v>0</v>
      </c>
      <c r="W79" s="3">
        <f t="shared" si="111"/>
        <v>4659635</v>
      </c>
      <c r="X79" s="3">
        <f t="shared" si="111"/>
        <v>0</v>
      </c>
      <c r="Y79" s="379">
        <f t="shared" si="112"/>
        <v>4659635</v>
      </c>
      <c r="Z79" s="3">
        <v>0</v>
      </c>
      <c r="AA79" s="3">
        <v>664656</v>
      </c>
      <c r="AB79" s="380">
        <f t="shared" si="116"/>
        <v>664656</v>
      </c>
      <c r="AC79" s="3">
        <v>0</v>
      </c>
      <c r="AD79" s="3">
        <v>1660227</v>
      </c>
      <c r="AE79" s="380">
        <f t="shared" si="55"/>
        <v>1660227</v>
      </c>
      <c r="AF79" s="381">
        <f t="shared" si="117"/>
        <v>8545364</v>
      </c>
      <c r="AG79" s="177">
        <f t="shared" si="117"/>
        <v>0</v>
      </c>
      <c r="AH79" s="177">
        <f t="shared" si="118"/>
        <v>8545364</v>
      </c>
      <c r="AI79" s="177">
        <f t="shared" si="128"/>
        <v>2350045</v>
      </c>
      <c r="AJ79" s="177">
        <f t="shared" si="128"/>
        <v>0</v>
      </c>
      <c r="AK79" s="177">
        <f t="shared" si="119"/>
        <v>2350045</v>
      </c>
      <c r="AL79" s="177">
        <f t="shared" si="120"/>
        <v>662121</v>
      </c>
      <c r="AM79" s="177">
        <f t="shared" si="120"/>
        <v>0</v>
      </c>
      <c r="AN79" s="177">
        <f t="shared" si="121"/>
        <v>662121</v>
      </c>
      <c r="AO79" s="177">
        <f t="shared" si="122"/>
        <v>0</v>
      </c>
      <c r="AP79" s="177">
        <f t="shared" si="122"/>
        <v>0</v>
      </c>
      <c r="AQ79" s="177">
        <f t="shared" si="123"/>
        <v>0</v>
      </c>
      <c r="AR79" s="177">
        <f t="shared" si="124"/>
        <v>5812285</v>
      </c>
      <c r="AS79" s="177">
        <f t="shared" si="124"/>
        <v>0</v>
      </c>
      <c r="AT79" s="177">
        <f t="shared" si="125"/>
        <v>5812285</v>
      </c>
      <c r="AU79" s="177">
        <f t="shared" si="126"/>
        <v>0</v>
      </c>
      <c r="AV79" s="177">
        <f t="shared" si="126"/>
        <v>0</v>
      </c>
      <c r="AW79" s="177">
        <f t="shared" si="127"/>
        <v>0</v>
      </c>
      <c r="AX79" s="177">
        <f t="shared" si="129"/>
        <v>0</v>
      </c>
      <c r="AY79" s="177">
        <f t="shared" si="129"/>
        <v>0</v>
      </c>
      <c r="AZ79" s="177">
        <f t="shared" si="130"/>
        <v>0</v>
      </c>
      <c r="BA79" s="177">
        <f t="shared" si="114"/>
        <v>17369815</v>
      </c>
      <c r="BB79" s="177">
        <f t="shared" si="114"/>
        <v>0</v>
      </c>
      <c r="BC79" s="382">
        <f t="shared" si="115"/>
        <v>17369815</v>
      </c>
      <c r="BD79" s="83">
        <f t="shared" si="87"/>
        <v>-0.42165302847608377</v>
      </c>
    </row>
    <row r="80" spans="1:56">
      <c r="A80" s="170">
        <v>42491</v>
      </c>
      <c r="B80" s="378">
        <v>2514342</v>
      </c>
      <c r="C80" s="3">
        <v>1873940</v>
      </c>
      <c r="D80" s="3">
        <f t="shared" si="102"/>
        <v>4388282</v>
      </c>
      <c r="E80" s="3">
        <f t="shared" si="103"/>
        <v>525478</v>
      </c>
      <c r="F80" s="3">
        <v>0</v>
      </c>
      <c r="G80" s="3">
        <f t="shared" si="104"/>
        <v>525478</v>
      </c>
      <c r="H80" s="3">
        <v>76314</v>
      </c>
      <c r="I80" s="3">
        <v>0</v>
      </c>
      <c r="J80" s="3">
        <f t="shared" si="105"/>
        <v>76314</v>
      </c>
      <c r="K80" s="3">
        <v>0</v>
      </c>
      <c r="L80" s="3">
        <v>0</v>
      </c>
      <c r="M80" s="3">
        <f t="shared" si="106"/>
        <v>0</v>
      </c>
      <c r="N80" s="3">
        <f t="shared" si="107"/>
        <v>2357722</v>
      </c>
      <c r="O80" s="3">
        <v>0</v>
      </c>
      <c r="P80" s="3">
        <f t="shared" si="108"/>
        <v>2357722</v>
      </c>
      <c r="Q80" s="3">
        <v>0</v>
      </c>
      <c r="R80" s="3">
        <v>0</v>
      </c>
      <c r="S80" s="3">
        <f t="shared" si="109"/>
        <v>0</v>
      </c>
      <c r="T80" s="3">
        <v>0</v>
      </c>
      <c r="U80" s="3">
        <v>0</v>
      </c>
      <c r="V80" s="3">
        <f t="shared" si="110"/>
        <v>0</v>
      </c>
      <c r="W80" s="3">
        <f t="shared" si="111"/>
        <v>5473856</v>
      </c>
      <c r="X80" s="3">
        <f t="shared" si="111"/>
        <v>1873940</v>
      </c>
      <c r="Y80" s="379">
        <f t="shared" si="112"/>
        <v>7347796</v>
      </c>
      <c r="Z80" s="3">
        <v>0</v>
      </c>
      <c r="AA80" s="3">
        <v>525478</v>
      </c>
      <c r="AB80" s="380">
        <f t="shared" si="116"/>
        <v>525478</v>
      </c>
      <c r="AC80" s="3">
        <v>0</v>
      </c>
      <c r="AD80" s="3">
        <v>2357722</v>
      </c>
      <c r="AE80" s="380">
        <f t="shared" si="55"/>
        <v>2357722</v>
      </c>
      <c r="AF80" s="381">
        <f t="shared" si="117"/>
        <v>11059706</v>
      </c>
      <c r="AG80" s="177">
        <f t="shared" si="117"/>
        <v>1873940</v>
      </c>
      <c r="AH80" s="177">
        <f t="shared" si="118"/>
        <v>12933646</v>
      </c>
      <c r="AI80" s="177">
        <f t="shared" si="128"/>
        <v>2875523</v>
      </c>
      <c r="AJ80" s="177">
        <f t="shared" si="128"/>
        <v>0</v>
      </c>
      <c r="AK80" s="177">
        <f t="shared" si="119"/>
        <v>2875523</v>
      </c>
      <c r="AL80" s="177">
        <f t="shared" si="120"/>
        <v>738435</v>
      </c>
      <c r="AM80" s="177">
        <f t="shared" si="120"/>
        <v>0</v>
      </c>
      <c r="AN80" s="177">
        <f t="shared" si="121"/>
        <v>738435</v>
      </c>
      <c r="AO80" s="177">
        <f t="shared" si="122"/>
        <v>0</v>
      </c>
      <c r="AP80" s="177">
        <f t="shared" si="122"/>
        <v>0</v>
      </c>
      <c r="AQ80" s="177">
        <f t="shared" si="123"/>
        <v>0</v>
      </c>
      <c r="AR80" s="177">
        <f t="shared" si="124"/>
        <v>8170007</v>
      </c>
      <c r="AS80" s="177">
        <f t="shared" si="124"/>
        <v>0</v>
      </c>
      <c r="AT80" s="177">
        <f t="shared" si="125"/>
        <v>8170007</v>
      </c>
      <c r="AU80" s="177">
        <f t="shared" si="126"/>
        <v>0</v>
      </c>
      <c r="AV80" s="177">
        <f t="shared" si="126"/>
        <v>0</v>
      </c>
      <c r="AW80" s="177">
        <f t="shared" si="127"/>
        <v>0</v>
      </c>
      <c r="AX80" s="177">
        <f t="shared" si="129"/>
        <v>0</v>
      </c>
      <c r="AY80" s="177">
        <f t="shared" si="129"/>
        <v>0</v>
      </c>
      <c r="AZ80" s="177">
        <f t="shared" si="130"/>
        <v>0</v>
      </c>
      <c r="BA80" s="177">
        <f t="shared" si="114"/>
        <v>22843671</v>
      </c>
      <c r="BB80" s="177">
        <f t="shared" si="114"/>
        <v>1873940</v>
      </c>
      <c r="BC80" s="382">
        <f t="shared" si="115"/>
        <v>24717611</v>
      </c>
      <c r="BD80" s="83">
        <f t="shared" si="87"/>
        <v>-0.29037476025583664</v>
      </c>
    </row>
    <row r="81" spans="1:56">
      <c r="A81" s="170">
        <v>42522</v>
      </c>
      <c r="B81" s="378">
        <v>2406606</v>
      </c>
      <c r="C81" s="3">
        <v>10778727</v>
      </c>
      <c r="D81" s="3">
        <f t="shared" si="102"/>
        <v>13185333</v>
      </c>
      <c r="E81" s="3">
        <f t="shared" si="103"/>
        <v>894389</v>
      </c>
      <c r="F81" s="3">
        <v>0</v>
      </c>
      <c r="G81" s="3">
        <f t="shared" si="104"/>
        <v>894389</v>
      </c>
      <c r="H81" s="3">
        <v>70686</v>
      </c>
      <c r="I81" s="3">
        <v>0</v>
      </c>
      <c r="J81" s="3">
        <f t="shared" si="105"/>
        <v>70686</v>
      </c>
      <c r="K81" s="3">
        <v>0</v>
      </c>
      <c r="L81" s="3">
        <v>0</v>
      </c>
      <c r="M81" s="3">
        <f t="shared" si="106"/>
        <v>0</v>
      </c>
      <c r="N81" s="3">
        <f t="shared" si="107"/>
        <v>2322379</v>
      </c>
      <c r="O81" s="3">
        <v>0</v>
      </c>
      <c r="P81" s="3">
        <f t="shared" si="108"/>
        <v>2322379</v>
      </c>
      <c r="Q81" s="3">
        <v>0</v>
      </c>
      <c r="R81" s="3">
        <v>0</v>
      </c>
      <c r="S81" s="3">
        <f t="shared" si="109"/>
        <v>0</v>
      </c>
      <c r="T81" s="3">
        <v>0</v>
      </c>
      <c r="U81" s="3">
        <v>0</v>
      </c>
      <c r="V81" s="3">
        <f t="shared" si="110"/>
        <v>0</v>
      </c>
      <c r="W81" s="3">
        <f t="shared" si="111"/>
        <v>5694060</v>
      </c>
      <c r="X81" s="3">
        <f t="shared" si="111"/>
        <v>10778727</v>
      </c>
      <c r="Y81" s="379">
        <f t="shared" si="112"/>
        <v>16472787</v>
      </c>
      <c r="Z81" s="3">
        <v>0</v>
      </c>
      <c r="AA81" s="3">
        <v>894389</v>
      </c>
      <c r="AB81" s="380">
        <f t="shared" si="116"/>
        <v>894389</v>
      </c>
      <c r="AC81" s="3">
        <v>0</v>
      </c>
      <c r="AD81" s="3">
        <v>2322379</v>
      </c>
      <c r="AE81" s="380">
        <f t="shared" si="55"/>
        <v>2322379</v>
      </c>
      <c r="AF81" s="381">
        <f t="shared" si="117"/>
        <v>13466312</v>
      </c>
      <c r="AG81" s="177">
        <f t="shared" si="117"/>
        <v>12652667</v>
      </c>
      <c r="AH81" s="177">
        <f t="shared" si="118"/>
        <v>26118979</v>
      </c>
      <c r="AI81" s="177">
        <f t="shared" si="128"/>
        <v>3769912</v>
      </c>
      <c r="AJ81" s="177">
        <f t="shared" si="128"/>
        <v>0</v>
      </c>
      <c r="AK81" s="177">
        <f t="shared" si="119"/>
        <v>3769912</v>
      </c>
      <c r="AL81" s="177">
        <f t="shared" si="120"/>
        <v>809121</v>
      </c>
      <c r="AM81" s="177">
        <f t="shared" si="120"/>
        <v>0</v>
      </c>
      <c r="AN81" s="177">
        <f t="shared" si="121"/>
        <v>809121</v>
      </c>
      <c r="AO81" s="177">
        <f t="shared" si="122"/>
        <v>0</v>
      </c>
      <c r="AP81" s="177">
        <f t="shared" si="122"/>
        <v>0</v>
      </c>
      <c r="AQ81" s="177">
        <f t="shared" si="123"/>
        <v>0</v>
      </c>
      <c r="AR81" s="177">
        <f t="shared" si="124"/>
        <v>10492386</v>
      </c>
      <c r="AS81" s="177">
        <f t="shared" si="124"/>
        <v>0</v>
      </c>
      <c r="AT81" s="177">
        <f t="shared" si="125"/>
        <v>10492386</v>
      </c>
      <c r="AU81" s="177">
        <f t="shared" si="126"/>
        <v>0</v>
      </c>
      <c r="AV81" s="177">
        <f t="shared" si="126"/>
        <v>0</v>
      </c>
      <c r="AW81" s="177">
        <f t="shared" si="127"/>
        <v>0</v>
      </c>
      <c r="AX81" s="177">
        <f t="shared" si="129"/>
        <v>0</v>
      </c>
      <c r="AY81" s="177">
        <f t="shared" si="129"/>
        <v>0</v>
      </c>
      <c r="AZ81" s="177">
        <f t="shared" si="130"/>
        <v>0</v>
      </c>
      <c r="BA81" s="177">
        <f t="shared" si="114"/>
        <v>28537731</v>
      </c>
      <c r="BB81" s="177">
        <f t="shared" si="114"/>
        <v>12652667</v>
      </c>
      <c r="BC81" s="382">
        <f t="shared" si="115"/>
        <v>41190398</v>
      </c>
      <c r="BD81" s="83">
        <f t="shared" si="87"/>
        <v>3.9629070796894705E-2</v>
      </c>
    </row>
    <row r="82" spans="1:56">
      <c r="A82" s="170">
        <v>42552</v>
      </c>
      <c r="B82" s="378">
        <v>2327696</v>
      </c>
      <c r="C82" s="3">
        <v>10758306</v>
      </c>
      <c r="D82" s="3">
        <f t="shared" si="102"/>
        <v>13086002</v>
      </c>
      <c r="E82" s="3">
        <f t="shared" si="103"/>
        <v>722828</v>
      </c>
      <c r="F82" s="3">
        <v>0</v>
      </c>
      <c r="G82" s="3">
        <f t="shared" si="104"/>
        <v>722828</v>
      </c>
      <c r="H82" s="3">
        <v>68790</v>
      </c>
      <c r="I82" s="3">
        <v>0</v>
      </c>
      <c r="J82" s="3">
        <f t="shared" si="105"/>
        <v>68790</v>
      </c>
      <c r="K82" s="3">
        <v>0</v>
      </c>
      <c r="L82" s="3">
        <v>0</v>
      </c>
      <c r="M82" s="3">
        <f t="shared" si="106"/>
        <v>0</v>
      </c>
      <c r="N82" s="3">
        <f t="shared" si="107"/>
        <v>2121349</v>
      </c>
      <c r="O82" s="3">
        <v>0</v>
      </c>
      <c r="P82" s="3">
        <f t="shared" si="108"/>
        <v>2121349</v>
      </c>
      <c r="Q82" s="3">
        <v>0</v>
      </c>
      <c r="R82" s="3">
        <v>0</v>
      </c>
      <c r="S82" s="3">
        <f t="shared" si="109"/>
        <v>0</v>
      </c>
      <c r="T82" s="3">
        <v>0</v>
      </c>
      <c r="U82" s="3">
        <v>0</v>
      </c>
      <c r="V82" s="3">
        <f t="shared" si="110"/>
        <v>0</v>
      </c>
      <c r="W82" s="3">
        <f t="shared" si="111"/>
        <v>5240663</v>
      </c>
      <c r="X82" s="3">
        <f t="shared" si="111"/>
        <v>10758306</v>
      </c>
      <c r="Y82" s="379">
        <f t="shared" si="112"/>
        <v>15998969</v>
      </c>
      <c r="Z82" s="3">
        <v>0</v>
      </c>
      <c r="AA82" s="3">
        <v>722828</v>
      </c>
      <c r="AB82" s="380">
        <f t="shared" si="116"/>
        <v>722828</v>
      </c>
      <c r="AC82" s="3">
        <v>0</v>
      </c>
      <c r="AD82" s="3">
        <v>2121349</v>
      </c>
      <c r="AE82" s="380">
        <f t="shared" si="55"/>
        <v>2121349</v>
      </c>
      <c r="AF82" s="381">
        <f t="shared" si="117"/>
        <v>15794008</v>
      </c>
      <c r="AG82" s="177">
        <f t="shared" si="117"/>
        <v>23410973</v>
      </c>
      <c r="AH82" s="177">
        <f t="shared" si="118"/>
        <v>39204981</v>
      </c>
      <c r="AI82" s="177">
        <f t="shared" si="128"/>
        <v>4492740</v>
      </c>
      <c r="AJ82" s="177">
        <f t="shared" si="128"/>
        <v>0</v>
      </c>
      <c r="AK82" s="177">
        <f t="shared" si="119"/>
        <v>4492740</v>
      </c>
      <c r="AL82" s="177">
        <f t="shared" si="120"/>
        <v>877911</v>
      </c>
      <c r="AM82" s="177">
        <f t="shared" si="120"/>
        <v>0</v>
      </c>
      <c r="AN82" s="177">
        <f t="shared" si="121"/>
        <v>877911</v>
      </c>
      <c r="AO82" s="177">
        <f t="shared" si="122"/>
        <v>0</v>
      </c>
      <c r="AP82" s="177">
        <f t="shared" si="122"/>
        <v>0</v>
      </c>
      <c r="AQ82" s="177">
        <f t="shared" si="123"/>
        <v>0</v>
      </c>
      <c r="AR82" s="177">
        <f t="shared" si="124"/>
        <v>12613735</v>
      </c>
      <c r="AS82" s="177">
        <f t="shared" si="124"/>
        <v>0</v>
      </c>
      <c r="AT82" s="177">
        <f t="shared" si="125"/>
        <v>12613735</v>
      </c>
      <c r="AU82" s="177">
        <f t="shared" si="126"/>
        <v>0</v>
      </c>
      <c r="AV82" s="177">
        <f t="shared" si="126"/>
        <v>0</v>
      </c>
      <c r="AW82" s="177">
        <f t="shared" si="127"/>
        <v>0</v>
      </c>
      <c r="AX82" s="177">
        <f t="shared" si="129"/>
        <v>0</v>
      </c>
      <c r="AY82" s="177">
        <f t="shared" si="129"/>
        <v>0</v>
      </c>
      <c r="AZ82" s="177">
        <f t="shared" si="130"/>
        <v>0</v>
      </c>
      <c r="BA82" s="177">
        <f t="shared" si="114"/>
        <v>33778394</v>
      </c>
      <c r="BB82" s="177">
        <f t="shared" si="114"/>
        <v>23410973</v>
      </c>
      <c r="BC82" s="382">
        <f t="shared" si="115"/>
        <v>57189367</v>
      </c>
      <c r="BD82" s="83">
        <f t="shared" si="87"/>
        <v>0.27115758416483304</v>
      </c>
    </row>
    <row r="83" spans="1:56">
      <c r="A83" s="170">
        <v>42583</v>
      </c>
      <c r="B83" s="378">
        <v>2528155</v>
      </c>
      <c r="C83" s="3">
        <v>10993061</v>
      </c>
      <c r="D83" s="3">
        <f t="shared" si="102"/>
        <v>13521216</v>
      </c>
      <c r="E83" s="3">
        <f t="shared" si="103"/>
        <v>807185</v>
      </c>
      <c r="F83" s="3">
        <v>0</v>
      </c>
      <c r="G83" s="3">
        <f t="shared" si="104"/>
        <v>807185</v>
      </c>
      <c r="H83" s="3">
        <v>48977</v>
      </c>
      <c r="I83" s="3">
        <v>0</v>
      </c>
      <c r="J83" s="3">
        <f t="shared" si="105"/>
        <v>48977</v>
      </c>
      <c r="K83" s="3">
        <v>0</v>
      </c>
      <c r="L83" s="3">
        <v>0</v>
      </c>
      <c r="M83" s="3">
        <f t="shared" si="106"/>
        <v>0</v>
      </c>
      <c r="N83" s="3">
        <f t="shared" si="107"/>
        <v>2722427</v>
      </c>
      <c r="O83" s="3">
        <v>0</v>
      </c>
      <c r="P83" s="3">
        <f t="shared" si="108"/>
        <v>2722427</v>
      </c>
      <c r="Q83" s="3">
        <v>0</v>
      </c>
      <c r="R83" s="3">
        <v>0</v>
      </c>
      <c r="S83" s="3">
        <f t="shared" si="109"/>
        <v>0</v>
      </c>
      <c r="T83" s="3">
        <v>0</v>
      </c>
      <c r="U83" s="3">
        <v>0</v>
      </c>
      <c r="V83" s="3">
        <f t="shared" si="110"/>
        <v>0</v>
      </c>
      <c r="W83" s="3">
        <f t="shared" si="111"/>
        <v>6106744</v>
      </c>
      <c r="X83" s="3">
        <f t="shared" si="111"/>
        <v>10993061</v>
      </c>
      <c r="Y83" s="379">
        <f t="shared" si="112"/>
        <v>17099805</v>
      </c>
      <c r="Z83" s="3">
        <v>0</v>
      </c>
      <c r="AA83" s="3">
        <v>807185</v>
      </c>
      <c r="AB83" s="380">
        <f t="shared" si="116"/>
        <v>807185</v>
      </c>
      <c r="AC83" s="3">
        <v>0</v>
      </c>
      <c r="AD83" s="3">
        <v>2722427</v>
      </c>
      <c r="AE83" s="380">
        <f t="shared" si="55"/>
        <v>2722427</v>
      </c>
      <c r="AF83" s="381">
        <f t="shared" si="117"/>
        <v>18322163</v>
      </c>
      <c r="AG83" s="177">
        <f t="shared" si="117"/>
        <v>34404034</v>
      </c>
      <c r="AH83" s="177">
        <f t="shared" si="118"/>
        <v>52726197</v>
      </c>
      <c r="AI83" s="177">
        <f t="shared" si="128"/>
        <v>5299925</v>
      </c>
      <c r="AJ83" s="177">
        <f t="shared" si="128"/>
        <v>0</v>
      </c>
      <c r="AK83" s="177">
        <f t="shared" si="119"/>
        <v>5299925</v>
      </c>
      <c r="AL83" s="177">
        <f t="shared" si="120"/>
        <v>926888</v>
      </c>
      <c r="AM83" s="177">
        <f t="shared" si="120"/>
        <v>0</v>
      </c>
      <c r="AN83" s="177">
        <f t="shared" si="121"/>
        <v>926888</v>
      </c>
      <c r="AO83" s="177">
        <f t="shared" si="122"/>
        <v>0</v>
      </c>
      <c r="AP83" s="177">
        <f t="shared" si="122"/>
        <v>0</v>
      </c>
      <c r="AQ83" s="177">
        <f t="shared" si="123"/>
        <v>0</v>
      </c>
      <c r="AR83" s="177">
        <f t="shared" si="124"/>
        <v>15336162</v>
      </c>
      <c r="AS83" s="177">
        <f t="shared" si="124"/>
        <v>0</v>
      </c>
      <c r="AT83" s="177">
        <f t="shared" si="125"/>
        <v>15336162</v>
      </c>
      <c r="AU83" s="177">
        <f t="shared" si="126"/>
        <v>0</v>
      </c>
      <c r="AV83" s="177">
        <f t="shared" si="126"/>
        <v>0</v>
      </c>
      <c r="AW83" s="177">
        <f t="shared" si="127"/>
        <v>0</v>
      </c>
      <c r="AX83" s="177">
        <f t="shared" si="129"/>
        <v>0</v>
      </c>
      <c r="AY83" s="177">
        <f t="shared" si="129"/>
        <v>0</v>
      </c>
      <c r="AZ83" s="177">
        <f t="shared" si="130"/>
        <v>0</v>
      </c>
      <c r="BA83" s="177">
        <f t="shared" si="114"/>
        <v>39885138</v>
      </c>
      <c r="BB83" s="177">
        <f t="shared" si="114"/>
        <v>34404034</v>
      </c>
      <c r="BC83" s="382">
        <f t="shared" si="115"/>
        <v>74289172</v>
      </c>
      <c r="BD83" s="83">
        <f t="shared" si="87"/>
        <v>0.12879750424937209</v>
      </c>
    </row>
    <row r="84" spans="1:56">
      <c r="A84" s="170">
        <v>42614</v>
      </c>
      <c r="B84" s="378">
        <v>1921626</v>
      </c>
      <c r="C84" s="3">
        <v>0</v>
      </c>
      <c r="D84" s="3">
        <f t="shared" si="102"/>
        <v>1921626</v>
      </c>
      <c r="E84" s="3">
        <f t="shared" si="103"/>
        <v>603291</v>
      </c>
      <c r="F84" s="3">
        <v>0</v>
      </c>
      <c r="G84" s="3">
        <f t="shared" si="104"/>
        <v>603291</v>
      </c>
      <c r="H84" s="3">
        <v>118087</v>
      </c>
      <c r="I84" s="3">
        <v>0</v>
      </c>
      <c r="J84" s="3">
        <f t="shared" si="105"/>
        <v>118087</v>
      </c>
      <c r="K84" s="3">
        <v>0</v>
      </c>
      <c r="L84" s="3">
        <v>0</v>
      </c>
      <c r="M84" s="3">
        <f t="shared" si="106"/>
        <v>0</v>
      </c>
      <c r="N84" s="3">
        <f t="shared" si="107"/>
        <v>2395337</v>
      </c>
      <c r="O84" s="3">
        <v>0</v>
      </c>
      <c r="P84" s="3">
        <f t="shared" si="108"/>
        <v>2395337</v>
      </c>
      <c r="Q84" s="3">
        <v>0</v>
      </c>
      <c r="R84" s="3">
        <v>0</v>
      </c>
      <c r="S84" s="3">
        <f t="shared" si="109"/>
        <v>0</v>
      </c>
      <c r="T84" s="3">
        <v>0</v>
      </c>
      <c r="U84" s="3">
        <v>0</v>
      </c>
      <c r="V84" s="3">
        <f t="shared" si="110"/>
        <v>0</v>
      </c>
      <c r="W84" s="3">
        <f t="shared" si="111"/>
        <v>5038341</v>
      </c>
      <c r="X84" s="3">
        <f t="shared" si="111"/>
        <v>0</v>
      </c>
      <c r="Y84" s="379">
        <f t="shared" si="112"/>
        <v>5038341</v>
      </c>
      <c r="Z84" s="3">
        <v>0</v>
      </c>
      <c r="AA84" s="3">
        <v>603291</v>
      </c>
      <c r="AB84" s="380">
        <f t="shared" si="116"/>
        <v>603291</v>
      </c>
      <c r="AC84" s="3">
        <v>0</v>
      </c>
      <c r="AD84" s="3">
        <v>2395337</v>
      </c>
      <c r="AE84" s="380">
        <f t="shared" si="55"/>
        <v>2395337</v>
      </c>
      <c r="AF84" s="381">
        <f t="shared" si="117"/>
        <v>20243789</v>
      </c>
      <c r="AG84" s="177">
        <f t="shared" si="117"/>
        <v>34404034</v>
      </c>
      <c r="AH84" s="177">
        <f t="shared" si="118"/>
        <v>54647823</v>
      </c>
      <c r="AI84" s="177">
        <f t="shared" si="128"/>
        <v>5903216</v>
      </c>
      <c r="AJ84" s="177">
        <f t="shared" si="128"/>
        <v>0</v>
      </c>
      <c r="AK84" s="177">
        <f t="shared" si="119"/>
        <v>5903216</v>
      </c>
      <c r="AL84" s="177">
        <f t="shared" si="120"/>
        <v>1044975</v>
      </c>
      <c r="AM84" s="177">
        <f t="shared" si="120"/>
        <v>0</v>
      </c>
      <c r="AN84" s="177">
        <f t="shared" si="121"/>
        <v>1044975</v>
      </c>
      <c r="AO84" s="177">
        <f t="shared" si="122"/>
        <v>0</v>
      </c>
      <c r="AP84" s="177">
        <f t="shared" si="122"/>
        <v>0</v>
      </c>
      <c r="AQ84" s="177">
        <f t="shared" si="123"/>
        <v>0</v>
      </c>
      <c r="AR84" s="177">
        <f t="shared" si="124"/>
        <v>17731499</v>
      </c>
      <c r="AS84" s="177">
        <f t="shared" si="124"/>
        <v>0</v>
      </c>
      <c r="AT84" s="177">
        <f t="shared" si="125"/>
        <v>17731499</v>
      </c>
      <c r="AU84" s="177">
        <f t="shared" si="126"/>
        <v>0</v>
      </c>
      <c r="AV84" s="177">
        <f t="shared" si="126"/>
        <v>0</v>
      </c>
      <c r="AW84" s="177">
        <f t="shared" si="127"/>
        <v>0</v>
      </c>
      <c r="AX84" s="177">
        <f t="shared" si="129"/>
        <v>0</v>
      </c>
      <c r="AY84" s="177">
        <f t="shared" si="129"/>
        <v>0</v>
      </c>
      <c r="AZ84" s="177">
        <f t="shared" si="130"/>
        <v>0</v>
      </c>
      <c r="BA84" s="177">
        <f t="shared" si="114"/>
        <v>44923479</v>
      </c>
      <c r="BB84" s="177">
        <f t="shared" si="114"/>
        <v>34404034</v>
      </c>
      <c r="BC84" s="382">
        <f t="shared" si="115"/>
        <v>79327513</v>
      </c>
      <c r="BD84" s="83">
        <f t="shared" si="87"/>
        <v>-0.12299837561117444</v>
      </c>
    </row>
    <row r="85" spans="1:56">
      <c r="A85" s="170">
        <v>42644</v>
      </c>
      <c r="B85" s="378">
        <v>2353091</v>
      </c>
      <c r="C85" s="3">
        <v>0</v>
      </c>
      <c r="D85" s="3">
        <f t="shared" si="102"/>
        <v>2353091</v>
      </c>
      <c r="E85" s="3">
        <f t="shared" si="103"/>
        <v>903074</v>
      </c>
      <c r="F85" s="3">
        <v>0</v>
      </c>
      <c r="G85" s="3">
        <f t="shared" si="104"/>
        <v>903074</v>
      </c>
      <c r="H85" s="3">
        <v>132092</v>
      </c>
      <c r="I85" s="3">
        <v>0</v>
      </c>
      <c r="J85" s="3">
        <f t="shared" si="105"/>
        <v>132092</v>
      </c>
      <c r="K85" s="3">
        <v>0</v>
      </c>
      <c r="L85" s="3">
        <v>0</v>
      </c>
      <c r="M85" s="3">
        <f t="shared" si="106"/>
        <v>0</v>
      </c>
      <c r="N85" s="3">
        <f t="shared" si="107"/>
        <v>2472174</v>
      </c>
      <c r="O85" s="3">
        <v>0</v>
      </c>
      <c r="P85" s="3">
        <f t="shared" si="108"/>
        <v>2472174</v>
      </c>
      <c r="Q85" s="3">
        <v>0</v>
      </c>
      <c r="R85" s="3">
        <v>0</v>
      </c>
      <c r="S85" s="3">
        <f t="shared" si="109"/>
        <v>0</v>
      </c>
      <c r="T85" s="3">
        <v>0</v>
      </c>
      <c r="U85" s="3">
        <v>0</v>
      </c>
      <c r="V85" s="3">
        <f t="shared" si="110"/>
        <v>0</v>
      </c>
      <c r="W85" s="3">
        <f t="shared" si="111"/>
        <v>5860431</v>
      </c>
      <c r="X85" s="3">
        <f t="shared" si="111"/>
        <v>0</v>
      </c>
      <c r="Y85" s="379">
        <f t="shared" si="112"/>
        <v>5860431</v>
      </c>
      <c r="Z85" s="3">
        <v>0</v>
      </c>
      <c r="AA85" s="3">
        <v>903074</v>
      </c>
      <c r="AB85" s="380">
        <f t="shared" si="116"/>
        <v>903074</v>
      </c>
      <c r="AC85" s="3">
        <v>0</v>
      </c>
      <c r="AD85" s="3">
        <v>2472174</v>
      </c>
      <c r="AE85" s="380">
        <f t="shared" si="55"/>
        <v>2472174</v>
      </c>
      <c r="AF85" s="381">
        <f t="shared" si="117"/>
        <v>22596880</v>
      </c>
      <c r="AG85" s="177">
        <f t="shared" si="117"/>
        <v>34404034</v>
      </c>
      <c r="AH85" s="177">
        <f t="shared" si="118"/>
        <v>57000914</v>
      </c>
      <c r="AI85" s="177">
        <f t="shared" si="128"/>
        <v>6806290</v>
      </c>
      <c r="AJ85" s="177">
        <f t="shared" si="128"/>
        <v>0</v>
      </c>
      <c r="AK85" s="177">
        <f t="shared" si="119"/>
        <v>6806290</v>
      </c>
      <c r="AL85" s="177">
        <f t="shared" si="120"/>
        <v>1177067</v>
      </c>
      <c r="AM85" s="177">
        <f t="shared" si="120"/>
        <v>0</v>
      </c>
      <c r="AN85" s="177">
        <f t="shared" si="121"/>
        <v>1177067</v>
      </c>
      <c r="AO85" s="177">
        <f t="shared" si="122"/>
        <v>0</v>
      </c>
      <c r="AP85" s="177">
        <f t="shared" si="122"/>
        <v>0</v>
      </c>
      <c r="AQ85" s="177">
        <f t="shared" si="123"/>
        <v>0</v>
      </c>
      <c r="AR85" s="177">
        <f t="shared" si="124"/>
        <v>20203673</v>
      </c>
      <c r="AS85" s="177">
        <f t="shared" si="124"/>
        <v>0</v>
      </c>
      <c r="AT85" s="177">
        <f t="shared" si="125"/>
        <v>20203673</v>
      </c>
      <c r="AU85" s="177">
        <f t="shared" si="126"/>
        <v>0</v>
      </c>
      <c r="AV85" s="177">
        <f t="shared" si="126"/>
        <v>0</v>
      </c>
      <c r="AW85" s="177">
        <f t="shared" si="127"/>
        <v>0</v>
      </c>
      <c r="AX85" s="177">
        <f t="shared" si="129"/>
        <v>0</v>
      </c>
      <c r="AY85" s="177">
        <f t="shared" si="129"/>
        <v>0</v>
      </c>
      <c r="AZ85" s="177">
        <f t="shared" si="130"/>
        <v>0</v>
      </c>
      <c r="BA85" s="177">
        <f t="shared" si="114"/>
        <v>50783910</v>
      </c>
      <c r="BB85" s="177">
        <f t="shared" si="114"/>
        <v>34404034</v>
      </c>
      <c r="BC85" s="382">
        <f t="shared" si="115"/>
        <v>85187944</v>
      </c>
      <c r="BD85" s="83">
        <f t="shared" si="87"/>
        <v>-0.17119685953569641</v>
      </c>
    </row>
    <row r="86" spans="1:56">
      <c r="A86" s="170">
        <v>42675</v>
      </c>
      <c r="B86" s="378">
        <v>2299988</v>
      </c>
      <c r="C86" s="3">
        <v>0</v>
      </c>
      <c r="D86" s="3">
        <f t="shared" si="102"/>
        <v>2299988</v>
      </c>
      <c r="E86" s="3">
        <f t="shared" si="103"/>
        <v>651990</v>
      </c>
      <c r="F86" s="3">
        <v>0</v>
      </c>
      <c r="G86" s="3">
        <f t="shared" si="104"/>
        <v>651990</v>
      </c>
      <c r="H86" s="3">
        <v>152860</v>
      </c>
      <c r="I86" s="3">
        <v>0</v>
      </c>
      <c r="J86" s="3">
        <f t="shared" si="105"/>
        <v>152860</v>
      </c>
      <c r="K86" s="3">
        <v>0</v>
      </c>
      <c r="L86" s="3">
        <v>0</v>
      </c>
      <c r="M86" s="3">
        <f t="shared" si="106"/>
        <v>0</v>
      </c>
      <c r="N86" s="3">
        <f t="shared" si="107"/>
        <v>2732598</v>
      </c>
      <c r="O86" s="3">
        <v>0</v>
      </c>
      <c r="P86" s="3">
        <f t="shared" si="108"/>
        <v>2732598</v>
      </c>
      <c r="Q86" s="3">
        <v>0</v>
      </c>
      <c r="R86" s="3">
        <v>0</v>
      </c>
      <c r="S86" s="3">
        <f t="shared" si="109"/>
        <v>0</v>
      </c>
      <c r="T86" s="3">
        <v>0</v>
      </c>
      <c r="U86" s="3">
        <v>0</v>
      </c>
      <c r="V86" s="3">
        <f t="shared" si="110"/>
        <v>0</v>
      </c>
      <c r="W86" s="3">
        <f t="shared" si="111"/>
        <v>5837436</v>
      </c>
      <c r="X86" s="3">
        <f t="shared" si="111"/>
        <v>0</v>
      </c>
      <c r="Y86" s="379">
        <f t="shared" si="112"/>
        <v>5837436</v>
      </c>
      <c r="Z86" s="3">
        <v>0</v>
      </c>
      <c r="AA86" s="3">
        <v>651990</v>
      </c>
      <c r="AB86" s="380">
        <f t="shared" si="116"/>
        <v>651990</v>
      </c>
      <c r="AC86" s="3">
        <v>0</v>
      </c>
      <c r="AD86" s="3">
        <v>2732598</v>
      </c>
      <c r="AE86" s="380">
        <f t="shared" si="55"/>
        <v>2732598</v>
      </c>
      <c r="AF86" s="381">
        <f t="shared" si="117"/>
        <v>24896868</v>
      </c>
      <c r="AG86" s="177">
        <f t="shared" si="117"/>
        <v>34404034</v>
      </c>
      <c r="AH86" s="177">
        <f t="shared" si="118"/>
        <v>59300902</v>
      </c>
      <c r="AI86" s="177">
        <f t="shared" si="128"/>
        <v>7458280</v>
      </c>
      <c r="AJ86" s="177">
        <f t="shared" si="128"/>
        <v>0</v>
      </c>
      <c r="AK86" s="177">
        <f t="shared" si="119"/>
        <v>7458280</v>
      </c>
      <c r="AL86" s="177">
        <f t="shared" si="120"/>
        <v>1329927</v>
      </c>
      <c r="AM86" s="177">
        <f t="shared" si="120"/>
        <v>0</v>
      </c>
      <c r="AN86" s="177">
        <f t="shared" si="121"/>
        <v>1329927</v>
      </c>
      <c r="AO86" s="177">
        <f t="shared" si="122"/>
        <v>0</v>
      </c>
      <c r="AP86" s="177">
        <f t="shared" si="122"/>
        <v>0</v>
      </c>
      <c r="AQ86" s="177">
        <f t="shared" si="123"/>
        <v>0</v>
      </c>
      <c r="AR86" s="177">
        <f t="shared" si="124"/>
        <v>22936271</v>
      </c>
      <c r="AS86" s="177">
        <f t="shared" si="124"/>
        <v>0</v>
      </c>
      <c r="AT86" s="177">
        <f t="shared" si="125"/>
        <v>22936271</v>
      </c>
      <c r="AU86" s="177">
        <f t="shared" si="126"/>
        <v>0</v>
      </c>
      <c r="AV86" s="177">
        <f t="shared" si="126"/>
        <v>0</v>
      </c>
      <c r="AW86" s="177">
        <f t="shared" si="127"/>
        <v>0</v>
      </c>
      <c r="AX86" s="177">
        <f t="shared" si="129"/>
        <v>0</v>
      </c>
      <c r="AY86" s="177">
        <f t="shared" si="129"/>
        <v>0</v>
      </c>
      <c r="AZ86" s="177">
        <f t="shared" si="130"/>
        <v>0</v>
      </c>
      <c r="BA86" s="177">
        <f t="shared" si="114"/>
        <v>56621346</v>
      </c>
      <c r="BB86" s="177">
        <f t="shared" si="114"/>
        <v>34404034</v>
      </c>
      <c r="BC86" s="382">
        <f t="shared" si="115"/>
        <v>91025380</v>
      </c>
      <c r="BD86" s="83">
        <f t="shared" si="87"/>
        <v>-0.30161114662779454</v>
      </c>
    </row>
    <row r="87" spans="1:56" ht="15.75" thickBot="1">
      <c r="A87" s="170">
        <v>42705</v>
      </c>
      <c r="B87" s="378">
        <v>2158378</v>
      </c>
      <c r="C87" s="3">
        <v>0</v>
      </c>
      <c r="D87" s="3">
        <f t="shared" si="102"/>
        <v>2158378</v>
      </c>
      <c r="E87" s="3">
        <f t="shared" si="103"/>
        <v>473946</v>
      </c>
      <c r="F87" s="3">
        <v>0</v>
      </c>
      <c r="G87" s="3">
        <f t="shared" si="104"/>
        <v>473946</v>
      </c>
      <c r="H87" s="3">
        <v>214795</v>
      </c>
      <c r="I87" s="3">
        <v>0</v>
      </c>
      <c r="J87" s="3">
        <f t="shared" si="105"/>
        <v>214795</v>
      </c>
      <c r="K87" s="3">
        <v>0</v>
      </c>
      <c r="L87" s="3">
        <v>0</v>
      </c>
      <c r="M87" s="3">
        <f t="shared" si="106"/>
        <v>0</v>
      </c>
      <c r="N87" s="3">
        <f t="shared" si="107"/>
        <v>4230518</v>
      </c>
      <c r="O87" s="3">
        <v>0</v>
      </c>
      <c r="P87" s="3">
        <f t="shared" si="108"/>
        <v>4230518</v>
      </c>
      <c r="Q87" s="3">
        <v>0</v>
      </c>
      <c r="R87" s="3">
        <v>0</v>
      </c>
      <c r="S87" s="3">
        <f t="shared" si="109"/>
        <v>0</v>
      </c>
      <c r="T87" s="3">
        <v>0</v>
      </c>
      <c r="U87" s="3">
        <v>0</v>
      </c>
      <c r="V87" s="3">
        <f t="shared" si="110"/>
        <v>0</v>
      </c>
      <c r="W87" s="3">
        <f t="shared" si="111"/>
        <v>7077637</v>
      </c>
      <c r="X87" s="3">
        <f t="shared" si="111"/>
        <v>0</v>
      </c>
      <c r="Y87" s="379">
        <f t="shared" si="112"/>
        <v>7077637</v>
      </c>
      <c r="Z87" s="3">
        <v>0</v>
      </c>
      <c r="AA87" s="3">
        <v>473946</v>
      </c>
      <c r="AB87" s="380">
        <f t="shared" si="116"/>
        <v>473946</v>
      </c>
      <c r="AC87" s="3">
        <v>0</v>
      </c>
      <c r="AD87" s="3">
        <v>4230518</v>
      </c>
      <c r="AE87" s="380">
        <f t="shared" si="55"/>
        <v>4230518</v>
      </c>
      <c r="AF87" s="381">
        <f t="shared" si="117"/>
        <v>27055246</v>
      </c>
      <c r="AG87" s="177">
        <f t="shared" si="117"/>
        <v>34404034</v>
      </c>
      <c r="AH87" s="177">
        <f t="shared" si="118"/>
        <v>61459280</v>
      </c>
      <c r="AI87" s="177">
        <f t="shared" si="128"/>
        <v>7932226</v>
      </c>
      <c r="AJ87" s="177">
        <f t="shared" si="128"/>
        <v>0</v>
      </c>
      <c r="AK87" s="177">
        <f t="shared" si="119"/>
        <v>7932226</v>
      </c>
      <c r="AL87" s="177">
        <f t="shared" si="120"/>
        <v>1544722</v>
      </c>
      <c r="AM87" s="177">
        <f t="shared" si="120"/>
        <v>0</v>
      </c>
      <c r="AN87" s="177">
        <f t="shared" si="121"/>
        <v>1544722</v>
      </c>
      <c r="AO87" s="177">
        <f t="shared" si="122"/>
        <v>0</v>
      </c>
      <c r="AP87" s="177">
        <f t="shared" si="122"/>
        <v>0</v>
      </c>
      <c r="AQ87" s="177">
        <f t="shared" si="123"/>
        <v>0</v>
      </c>
      <c r="AR87" s="177">
        <f t="shared" si="124"/>
        <v>27166789</v>
      </c>
      <c r="AS87" s="177">
        <f t="shared" si="124"/>
        <v>0</v>
      </c>
      <c r="AT87" s="177">
        <f t="shared" si="125"/>
        <v>27166789</v>
      </c>
      <c r="AU87" s="177">
        <f t="shared" si="126"/>
        <v>0</v>
      </c>
      <c r="AV87" s="177">
        <f t="shared" si="126"/>
        <v>0</v>
      </c>
      <c r="AW87" s="177">
        <f t="shared" si="127"/>
        <v>0</v>
      </c>
      <c r="AX87" s="177">
        <f t="shared" si="129"/>
        <v>0</v>
      </c>
      <c r="AY87" s="177">
        <f t="shared" si="129"/>
        <v>0</v>
      </c>
      <c r="AZ87" s="177">
        <f t="shared" si="130"/>
        <v>0</v>
      </c>
      <c r="BA87" s="177">
        <f t="shared" si="114"/>
        <v>63698983</v>
      </c>
      <c r="BB87" s="177">
        <f t="shared" si="114"/>
        <v>34404034</v>
      </c>
      <c r="BC87" s="382">
        <f t="shared" si="115"/>
        <v>98103017</v>
      </c>
      <c r="BD87" s="83">
        <f t="shared" si="87"/>
        <v>-0.33304742275184562</v>
      </c>
    </row>
    <row r="88" spans="1:56">
      <c r="A88" s="171">
        <v>42736</v>
      </c>
      <c r="B88" s="385">
        <v>2054933</v>
      </c>
      <c r="C88" s="104">
        <v>0</v>
      </c>
      <c r="D88" s="104">
        <f t="shared" si="102"/>
        <v>2054933</v>
      </c>
      <c r="E88" s="104">
        <f t="shared" si="103"/>
        <v>764322</v>
      </c>
      <c r="F88" s="104">
        <v>0</v>
      </c>
      <c r="G88" s="104">
        <f t="shared" si="104"/>
        <v>764322</v>
      </c>
      <c r="H88" s="104">
        <v>244558</v>
      </c>
      <c r="I88" s="104">
        <v>0</v>
      </c>
      <c r="J88" s="104">
        <f t="shared" si="105"/>
        <v>244558</v>
      </c>
      <c r="K88" s="104">
        <v>0</v>
      </c>
      <c r="L88" s="104">
        <v>0</v>
      </c>
      <c r="M88" s="104">
        <f t="shared" si="106"/>
        <v>0</v>
      </c>
      <c r="N88" s="104">
        <f t="shared" si="107"/>
        <v>2628468</v>
      </c>
      <c r="O88" s="104">
        <v>0</v>
      </c>
      <c r="P88" s="104">
        <f t="shared" si="108"/>
        <v>2628468</v>
      </c>
      <c r="Q88" s="104">
        <v>0</v>
      </c>
      <c r="R88" s="104">
        <v>0</v>
      </c>
      <c r="S88" s="104">
        <f t="shared" si="109"/>
        <v>0</v>
      </c>
      <c r="T88" s="104">
        <v>0</v>
      </c>
      <c r="U88" s="104">
        <v>0</v>
      </c>
      <c r="V88" s="104">
        <f t="shared" si="110"/>
        <v>0</v>
      </c>
      <c r="W88" s="104">
        <f t="shared" si="111"/>
        <v>5692281</v>
      </c>
      <c r="X88" s="104">
        <f t="shared" si="111"/>
        <v>0</v>
      </c>
      <c r="Y88" s="386">
        <f t="shared" si="112"/>
        <v>5692281</v>
      </c>
      <c r="Z88" s="104">
        <v>0</v>
      </c>
      <c r="AA88" s="104">
        <v>764322</v>
      </c>
      <c r="AB88" s="387">
        <f>AA88+Z88</f>
        <v>764322</v>
      </c>
      <c r="AC88" s="104">
        <v>0</v>
      </c>
      <c r="AD88" s="104">
        <v>2628468</v>
      </c>
      <c r="AE88" s="387">
        <f t="shared" si="55"/>
        <v>2628468</v>
      </c>
      <c r="AF88" s="388">
        <f>B88</f>
        <v>2054933</v>
      </c>
      <c r="AG88" s="389">
        <f>C88</f>
        <v>0</v>
      </c>
      <c r="AH88" s="389">
        <f>AG88+AF88</f>
        <v>2054933</v>
      </c>
      <c r="AI88" s="389">
        <f>E88</f>
        <v>764322</v>
      </c>
      <c r="AJ88" s="389">
        <f>F88</f>
        <v>0</v>
      </c>
      <c r="AK88" s="389">
        <f>AJ88+AI88</f>
        <v>764322</v>
      </c>
      <c r="AL88" s="389">
        <f>H88</f>
        <v>244558</v>
      </c>
      <c r="AM88" s="389">
        <f>I88</f>
        <v>0</v>
      </c>
      <c r="AN88" s="389">
        <f>AM88+AL88</f>
        <v>244558</v>
      </c>
      <c r="AO88" s="389">
        <f>K88</f>
        <v>0</v>
      </c>
      <c r="AP88" s="389">
        <f>L88</f>
        <v>0</v>
      </c>
      <c r="AQ88" s="389">
        <f>AP88+AO88</f>
        <v>0</v>
      </c>
      <c r="AR88" s="389">
        <f>N88</f>
        <v>2628468</v>
      </c>
      <c r="AS88" s="389">
        <f>O88</f>
        <v>0</v>
      </c>
      <c r="AT88" s="389">
        <f>AS88+AR88</f>
        <v>2628468</v>
      </c>
      <c r="AU88" s="389">
        <f>Q88</f>
        <v>0</v>
      </c>
      <c r="AV88" s="389">
        <f>R88</f>
        <v>0</v>
      </c>
      <c r="AW88" s="389">
        <f>AV88+AU88</f>
        <v>0</v>
      </c>
      <c r="AX88" s="389">
        <f>T88</f>
        <v>0</v>
      </c>
      <c r="AY88" s="389">
        <f>U88</f>
        <v>0</v>
      </c>
      <c r="AZ88" s="389">
        <f>SUM(AX88:AY88)</f>
        <v>0</v>
      </c>
      <c r="BA88" s="389">
        <f t="shared" si="114"/>
        <v>5692281</v>
      </c>
      <c r="BB88" s="389">
        <f t="shared" si="114"/>
        <v>0</v>
      </c>
      <c r="BC88" s="390">
        <f t="shared" si="115"/>
        <v>5692281</v>
      </c>
      <c r="BD88" s="83">
        <f t="shared" si="87"/>
        <v>0.25814198930013221</v>
      </c>
    </row>
    <row r="89" spans="1:56">
      <c r="A89" s="170">
        <v>42767</v>
      </c>
      <c r="B89" s="378">
        <v>2111437</v>
      </c>
      <c r="C89" s="3">
        <v>0</v>
      </c>
      <c r="D89" s="3">
        <f t="shared" si="102"/>
        <v>2111437</v>
      </c>
      <c r="E89" s="3">
        <f t="shared" si="103"/>
        <v>607750</v>
      </c>
      <c r="F89" s="3">
        <v>0</v>
      </c>
      <c r="G89" s="3">
        <f t="shared" si="104"/>
        <v>607750</v>
      </c>
      <c r="H89" s="3">
        <v>232206</v>
      </c>
      <c r="I89" s="3">
        <v>0</v>
      </c>
      <c r="J89" s="3">
        <f t="shared" si="105"/>
        <v>232206</v>
      </c>
      <c r="K89" s="3">
        <v>0</v>
      </c>
      <c r="L89" s="3">
        <v>0</v>
      </c>
      <c r="M89" s="3">
        <f t="shared" si="106"/>
        <v>0</v>
      </c>
      <c r="N89" s="3">
        <f t="shared" si="107"/>
        <v>2433477</v>
      </c>
      <c r="O89" s="3">
        <v>0</v>
      </c>
      <c r="P89" s="3">
        <f t="shared" si="108"/>
        <v>2433477</v>
      </c>
      <c r="Q89" s="3">
        <v>0</v>
      </c>
      <c r="R89" s="3">
        <v>0</v>
      </c>
      <c r="S89" s="3">
        <f t="shared" si="109"/>
        <v>0</v>
      </c>
      <c r="T89" s="3">
        <v>0</v>
      </c>
      <c r="U89" s="3">
        <v>0</v>
      </c>
      <c r="V89" s="3">
        <f t="shared" si="110"/>
        <v>0</v>
      </c>
      <c r="W89" s="3">
        <f t="shared" si="111"/>
        <v>5384870</v>
      </c>
      <c r="X89" s="3">
        <f t="shared" si="111"/>
        <v>0</v>
      </c>
      <c r="Y89" s="379">
        <f t="shared" si="112"/>
        <v>5384870</v>
      </c>
      <c r="Z89" s="3">
        <v>0</v>
      </c>
      <c r="AA89" s="3">
        <v>607750</v>
      </c>
      <c r="AB89" s="380">
        <f t="shared" si="116"/>
        <v>607750</v>
      </c>
      <c r="AC89" s="3">
        <v>0</v>
      </c>
      <c r="AD89" s="3">
        <v>2433477</v>
      </c>
      <c r="AE89" s="380">
        <f t="shared" si="55"/>
        <v>2433477</v>
      </c>
      <c r="AF89" s="381">
        <f t="shared" ref="AF89:AG99" si="131">B89+AF88</f>
        <v>4166370</v>
      </c>
      <c r="AG89" s="177">
        <f t="shared" si="131"/>
        <v>0</v>
      </c>
      <c r="AH89" s="177">
        <f t="shared" ref="AH89:AH99" si="132">AG89+AF89</f>
        <v>4166370</v>
      </c>
      <c r="AI89" s="177">
        <f>AI88+E89</f>
        <v>1372072</v>
      </c>
      <c r="AJ89" s="177">
        <f>AJ88+F89</f>
        <v>0</v>
      </c>
      <c r="AK89" s="177">
        <f t="shared" ref="AK89:AK99" si="133">AJ89+AI89</f>
        <v>1372072</v>
      </c>
      <c r="AL89" s="177">
        <f t="shared" ref="AL89:AM99" si="134">AL88+H89</f>
        <v>476764</v>
      </c>
      <c r="AM89" s="177">
        <f t="shared" si="134"/>
        <v>0</v>
      </c>
      <c r="AN89" s="177">
        <f t="shared" ref="AN89:AN99" si="135">AM89+AL89</f>
        <v>476764</v>
      </c>
      <c r="AO89" s="177">
        <f t="shared" ref="AO89:AP99" si="136">AO88+K89</f>
        <v>0</v>
      </c>
      <c r="AP89" s="177">
        <f t="shared" si="136"/>
        <v>0</v>
      </c>
      <c r="AQ89" s="177">
        <f t="shared" ref="AQ89:AQ99" si="137">AP89+AO89</f>
        <v>0</v>
      </c>
      <c r="AR89" s="177">
        <f t="shared" ref="AR89:AS99" si="138">AR88+N89</f>
        <v>5061945</v>
      </c>
      <c r="AS89" s="177">
        <f t="shared" si="138"/>
        <v>0</v>
      </c>
      <c r="AT89" s="177">
        <f t="shared" ref="AT89:AT99" si="139">AS89+AR89</f>
        <v>5061945</v>
      </c>
      <c r="AU89" s="177">
        <f t="shared" ref="AU89:AV99" si="140">AU88+Q89</f>
        <v>0</v>
      </c>
      <c r="AV89" s="177">
        <f t="shared" si="140"/>
        <v>0</v>
      </c>
      <c r="AW89" s="177">
        <f t="shared" ref="AW89:AW99" si="141">AV89+AU89</f>
        <v>0</v>
      </c>
      <c r="AX89" s="177">
        <f>AX88+T89</f>
        <v>0</v>
      </c>
      <c r="AY89" s="177">
        <f>AY88+U89</f>
        <v>0</v>
      </c>
      <c r="AZ89" s="177">
        <f>SUM(AX89:AY89)</f>
        <v>0</v>
      </c>
      <c r="BA89" s="177">
        <f t="shared" si="114"/>
        <v>11077151</v>
      </c>
      <c r="BB89" s="177">
        <f t="shared" si="114"/>
        <v>0</v>
      </c>
      <c r="BC89" s="382">
        <f t="shared" si="115"/>
        <v>11077151</v>
      </c>
      <c r="BD89" s="83">
        <f t="shared" si="87"/>
        <v>0.37525142349680074</v>
      </c>
    </row>
    <row r="90" spans="1:56">
      <c r="A90" s="170">
        <v>42795</v>
      </c>
      <c r="B90" s="378">
        <v>2213701</v>
      </c>
      <c r="C90" s="3">
        <v>0</v>
      </c>
      <c r="D90" s="3">
        <f t="shared" si="102"/>
        <v>2213701</v>
      </c>
      <c r="E90" s="3">
        <f t="shared" si="103"/>
        <v>778493</v>
      </c>
      <c r="F90" s="3">
        <v>0</v>
      </c>
      <c r="G90" s="3">
        <f t="shared" si="104"/>
        <v>778493</v>
      </c>
      <c r="H90" s="3">
        <v>252941</v>
      </c>
      <c r="I90" s="3">
        <v>0</v>
      </c>
      <c r="J90" s="3">
        <f t="shared" si="105"/>
        <v>252941</v>
      </c>
      <c r="K90" s="3">
        <v>0</v>
      </c>
      <c r="L90" s="3">
        <v>0</v>
      </c>
      <c r="M90" s="3">
        <f t="shared" si="106"/>
        <v>0</v>
      </c>
      <c r="N90" s="3">
        <f t="shared" si="107"/>
        <v>1342914</v>
      </c>
      <c r="O90" s="3">
        <v>0</v>
      </c>
      <c r="P90" s="3">
        <f t="shared" si="108"/>
        <v>1342914</v>
      </c>
      <c r="Q90" s="3">
        <v>0</v>
      </c>
      <c r="R90" s="3">
        <v>0</v>
      </c>
      <c r="S90" s="3">
        <f t="shared" si="109"/>
        <v>0</v>
      </c>
      <c r="T90" s="3">
        <v>0</v>
      </c>
      <c r="U90" s="3">
        <v>0</v>
      </c>
      <c r="V90" s="3">
        <f t="shared" si="110"/>
        <v>0</v>
      </c>
      <c r="W90" s="3">
        <f t="shared" si="111"/>
        <v>4588049</v>
      </c>
      <c r="X90" s="3">
        <f t="shared" si="111"/>
        <v>0</v>
      </c>
      <c r="Y90" s="379">
        <f t="shared" si="112"/>
        <v>4588049</v>
      </c>
      <c r="Z90" s="3">
        <v>0</v>
      </c>
      <c r="AA90" s="3">
        <v>778493</v>
      </c>
      <c r="AB90" s="380">
        <f t="shared" si="116"/>
        <v>778493</v>
      </c>
      <c r="AC90" s="3">
        <v>0</v>
      </c>
      <c r="AD90" s="3">
        <v>1342914</v>
      </c>
      <c r="AE90" s="380">
        <f t="shared" si="55"/>
        <v>1342914</v>
      </c>
      <c r="AF90" s="381">
        <f t="shared" si="131"/>
        <v>6380071</v>
      </c>
      <c r="AG90" s="177">
        <f t="shared" si="131"/>
        <v>0</v>
      </c>
      <c r="AH90" s="177">
        <f t="shared" si="132"/>
        <v>6380071</v>
      </c>
      <c r="AI90" s="177">
        <f t="shared" ref="AI90:AJ99" si="142">AI89+E90</f>
        <v>2150565</v>
      </c>
      <c r="AJ90" s="177">
        <f t="shared" si="142"/>
        <v>0</v>
      </c>
      <c r="AK90" s="177">
        <f t="shared" si="133"/>
        <v>2150565</v>
      </c>
      <c r="AL90" s="177">
        <f t="shared" si="134"/>
        <v>729705</v>
      </c>
      <c r="AM90" s="177">
        <f t="shared" si="134"/>
        <v>0</v>
      </c>
      <c r="AN90" s="177">
        <f t="shared" si="135"/>
        <v>729705</v>
      </c>
      <c r="AO90" s="177">
        <f t="shared" si="136"/>
        <v>0</v>
      </c>
      <c r="AP90" s="177">
        <f t="shared" si="136"/>
        <v>0</v>
      </c>
      <c r="AQ90" s="177">
        <f t="shared" si="137"/>
        <v>0</v>
      </c>
      <c r="AR90" s="177">
        <f t="shared" si="138"/>
        <v>6404859</v>
      </c>
      <c r="AS90" s="177">
        <f t="shared" si="138"/>
        <v>0</v>
      </c>
      <c r="AT90" s="177">
        <f t="shared" si="139"/>
        <v>6404859</v>
      </c>
      <c r="AU90" s="177">
        <f t="shared" si="140"/>
        <v>0</v>
      </c>
      <c r="AV90" s="177">
        <f t="shared" si="140"/>
        <v>0</v>
      </c>
      <c r="AW90" s="177">
        <f t="shared" si="141"/>
        <v>0</v>
      </c>
      <c r="AX90" s="177">
        <f t="shared" ref="AX90:AY99" si="143">AX89+T90</f>
        <v>0</v>
      </c>
      <c r="AY90" s="177">
        <f t="shared" si="143"/>
        <v>0</v>
      </c>
      <c r="AZ90" s="177">
        <f t="shared" ref="AZ90:AZ99" si="144">SUM(AX90:AY90)</f>
        <v>0</v>
      </c>
      <c r="BA90" s="177">
        <f t="shared" si="114"/>
        <v>15665200</v>
      </c>
      <c r="BB90" s="177">
        <f t="shared" si="114"/>
        <v>0</v>
      </c>
      <c r="BC90" s="382">
        <f t="shared" si="115"/>
        <v>15665200</v>
      </c>
      <c r="BD90" s="83">
        <f t="shared" si="87"/>
        <v>0.23249238012364892</v>
      </c>
    </row>
    <row r="91" spans="1:56">
      <c r="A91" s="170">
        <v>42826</v>
      </c>
      <c r="B91" s="378">
        <v>1749802</v>
      </c>
      <c r="C91" s="3">
        <v>0</v>
      </c>
      <c r="D91" s="3">
        <f t="shared" si="102"/>
        <v>1749802</v>
      </c>
      <c r="E91" s="3">
        <f t="shared" si="103"/>
        <v>569609</v>
      </c>
      <c r="F91" s="3">
        <v>0</v>
      </c>
      <c r="G91" s="3">
        <f t="shared" si="104"/>
        <v>569609</v>
      </c>
      <c r="H91" s="3">
        <v>160898</v>
      </c>
      <c r="I91" s="3">
        <v>0</v>
      </c>
      <c r="J91" s="3">
        <f t="shared" si="105"/>
        <v>160898</v>
      </c>
      <c r="K91" s="3">
        <v>0</v>
      </c>
      <c r="L91" s="3">
        <v>0</v>
      </c>
      <c r="M91" s="3">
        <f t="shared" si="106"/>
        <v>0</v>
      </c>
      <c r="N91" s="3">
        <f t="shared" si="107"/>
        <v>4536474</v>
      </c>
      <c r="O91" s="3">
        <v>0</v>
      </c>
      <c r="P91" s="3">
        <f t="shared" si="108"/>
        <v>4536474</v>
      </c>
      <c r="Q91" s="3">
        <v>0</v>
      </c>
      <c r="R91" s="3">
        <v>0</v>
      </c>
      <c r="S91" s="3">
        <f t="shared" si="109"/>
        <v>0</v>
      </c>
      <c r="T91" s="3">
        <v>0</v>
      </c>
      <c r="U91" s="3">
        <v>0</v>
      </c>
      <c r="V91" s="3">
        <f t="shared" si="110"/>
        <v>0</v>
      </c>
      <c r="W91" s="3">
        <f t="shared" si="111"/>
        <v>7016783</v>
      </c>
      <c r="X91" s="3">
        <f t="shared" si="111"/>
        <v>0</v>
      </c>
      <c r="Y91" s="379">
        <f t="shared" si="112"/>
        <v>7016783</v>
      </c>
      <c r="Z91" s="3">
        <v>0</v>
      </c>
      <c r="AA91" s="3">
        <v>569609</v>
      </c>
      <c r="AB91" s="380">
        <f t="shared" si="116"/>
        <v>569609</v>
      </c>
      <c r="AC91" s="3">
        <v>0</v>
      </c>
      <c r="AD91" s="3">
        <v>4536474</v>
      </c>
      <c r="AE91" s="380">
        <f t="shared" si="55"/>
        <v>4536474</v>
      </c>
      <c r="AF91" s="381">
        <f t="shared" si="131"/>
        <v>8129873</v>
      </c>
      <c r="AG91" s="177">
        <f t="shared" si="131"/>
        <v>0</v>
      </c>
      <c r="AH91" s="177">
        <f t="shared" si="132"/>
        <v>8129873</v>
      </c>
      <c r="AI91" s="177">
        <f t="shared" si="142"/>
        <v>2720174</v>
      </c>
      <c r="AJ91" s="177">
        <f t="shared" si="142"/>
        <v>0</v>
      </c>
      <c r="AK91" s="177">
        <f t="shared" si="133"/>
        <v>2720174</v>
      </c>
      <c r="AL91" s="177">
        <f t="shared" si="134"/>
        <v>890603</v>
      </c>
      <c r="AM91" s="177">
        <f t="shared" si="134"/>
        <v>0</v>
      </c>
      <c r="AN91" s="177">
        <f t="shared" si="135"/>
        <v>890603</v>
      </c>
      <c r="AO91" s="177">
        <f t="shared" si="136"/>
        <v>0</v>
      </c>
      <c r="AP91" s="177">
        <f t="shared" si="136"/>
        <v>0</v>
      </c>
      <c r="AQ91" s="177">
        <f t="shared" si="137"/>
        <v>0</v>
      </c>
      <c r="AR91" s="177">
        <f t="shared" si="138"/>
        <v>10941333</v>
      </c>
      <c r="AS91" s="177">
        <f t="shared" si="138"/>
        <v>0</v>
      </c>
      <c r="AT91" s="177">
        <f t="shared" si="139"/>
        <v>10941333</v>
      </c>
      <c r="AU91" s="177">
        <f t="shared" si="140"/>
        <v>0</v>
      </c>
      <c r="AV91" s="177">
        <f t="shared" si="140"/>
        <v>0</v>
      </c>
      <c r="AW91" s="177">
        <f t="shared" si="141"/>
        <v>0</v>
      </c>
      <c r="AX91" s="177">
        <f t="shared" si="143"/>
        <v>0</v>
      </c>
      <c r="AY91" s="177">
        <f t="shared" si="143"/>
        <v>0</v>
      </c>
      <c r="AZ91" s="177">
        <f t="shared" si="144"/>
        <v>0</v>
      </c>
      <c r="BA91" s="177">
        <f t="shared" si="114"/>
        <v>22681983</v>
      </c>
      <c r="BB91" s="177">
        <f t="shared" si="114"/>
        <v>0</v>
      </c>
      <c r="BC91" s="382">
        <f t="shared" si="115"/>
        <v>22681983</v>
      </c>
      <c r="BD91" s="83">
        <f t="shared" si="87"/>
        <v>0.30582755199177414</v>
      </c>
    </row>
    <row r="92" spans="1:56">
      <c r="A92" s="170">
        <v>42856</v>
      </c>
      <c r="B92" s="378">
        <v>2219885</v>
      </c>
      <c r="C92" s="3">
        <v>8455346</v>
      </c>
      <c r="D92" s="3">
        <f t="shared" si="102"/>
        <v>10675231</v>
      </c>
      <c r="E92" s="3">
        <f t="shared" si="103"/>
        <v>624485</v>
      </c>
      <c r="F92" s="3">
        <v>0</v>
      </c>
      <c r="G92" s="3">
        <f t="shared" si="104"/>
        <v>624485</v>
      </c>
      <c r="H92" s="3">
        <v>45628</v>
      </c>
      <c r="I92" s="3">
        <v>0</v>
      </c>
      <c r="J92" s="3">
        <f t="shared" si="105"/>
        <v>45628</v>
      </c>
      <c r="K92" s="3">
        <v>0</v>
      </c>
      <c r="L92" s="3">
        <v>0</v>
      </c>
      <c r="M92" s="3">
        <f t="shared" si="106"/>
        <v>0</v>
      </c>
      <c r="N92" s="3">
        <f t="shared" si="107"/>
        <v>1991775</v>
      </c>
      <c r="O92" s="3">
        <v>0</v>
      </c>
      <c r="P92" s="3">
        <f t="shared" si="108"/>
        <v>1991775</v>
      </c>
      <c r="Q92" s="3">
        <v>0</v>
      </c>
      <c r="R92" s="3">
        <v>0</v>
      </c>
      <c r="S92" s="3">
        <f t="shared" si="109"/>
        <v>0</v>
      </c>
      <c r="T92" s="3">
        <v>0</v>
      </c>
      <c r="U92" s="3">
        <v>0</v>
      </c>
      <c r="V92" s="3">
        <f t="shared" si="110"/>
        <v>0</v>
      </c>
      <c r="W92" s="3">
        <f t="shared" si="111"/>
        <v>4881773</v>
      </c>
      <c r="X92" s="3">
        <f t="shared" si="111"/>
        <v>8455346</v>
      </c>
      <c r="Y92" s="379">
        <f t="shared" si="112"/>
        <v>13337119</v>
      </c>
      <c r="Z92" s="3">
        <v>0</v>
      </c>
      <c r="AA92" s="3">
        <v>624485</v>
      </c>
      <c r="AB92" s="380">
        <f t="shared" si="116"/>
        <v>624485</v>
      </c>
      <c r="AC92" s="3">
        <v>0</v>
      </c>
      <c r="AD92" s="3">
        <v>1991775</v>
      </c>
      <c r="AE92" s="380">
        <f t="shared" si="55"/>
        <v>1991775</v>
      </c>
      <c r="AF92" s="381">
        <f t="shared" si="131"/>
        <v>10349758</v>
      </c>
      <c r="AG92" s="177">
        <f t="shared" si="131"/>
        <v>8455346</v>
      </c>
      <c r="AH92" s="177">
        <f t="shared" si="132"/>
        <v>18805104</v>
      </c>
      <c r="AI92" s="177">
        <f t="shared" si="142"/>
        <v>3344659</v>
      </c>
      <c r="AJ92" s="177">
        <f t="shared" si="142"/>
        <v>0</v>
      </c>
      <c r="AK92" s="177">
        <f t="shared" si="133"/>
        <v>3344659</v>
      </c>
      <c r="AL92" s="177">
        <f t="shared" si="134"/>
        <v>936231</v>
      </c>
      <c r="AM92" s="177">
        <f t="shared" si="134"/>
        <v>0</v>
      </c>
      <c r="AN92" s="177">
        <f t="shared" si="135"/>
        <v>936231</v>
      </c>
      <c r="AO92" s="177">
        <f t="shared" si="136"/>
        <v>0</v>
      </c>
      <c r="AP92" s="177">
        <f t="shared" si="136"/>
        <v>0</v>
      </c>
      <c r="AQ92" s="177">
        <f t="shared" si="137"/>
        <v>0</v>
      </c>
      <c r="AR92" s="177">
        <f t="shared" si="138"/>
        <v>12933108</v>
      </c>
      <c r="AS92" s="177">
        <f t="shared" si="138"/>
        <v>0</v>
      </c>
      <c r="AT92" s="177">
        <f t="shared" si="139"/>
        <v>12933108</v>
      </c>
      <c r="AU92" s="177">
        <f t="shared" si="140"/>
        <v>0</v>
      </c>
      <c r="AV92" s="177">
        <f t="shared" si="140"/>
        <v>0</v>
      </c>
      <c r="AW92" s="177">
        <f t="shared" si="141"/>
        <v>0</v>
      </c>
      <c r="AX92" s="177">
        <f t="shared" si="143"/>
        <v>0</v>
      </c>
      <c r="AY92" s="177">
        <f t="shared" si="143"/>
        <v>0</v>
      </c>
      <c r="AZ92" s="177">
        <f t="shared" si="144"/>
        <v>0</v>
      </c>
      <c r="BA92" s="177">
        <f t="shared" si="114"/>
        <v>27563756</v>
      </c>
      <c r="BB92" s="177">
        <f t="shared" si="114"/>
        <v>8455346</v>
      </c>
      <c r="BC92" s="382">
        <f t="shared" si="115"/>
        <v>36019102</v>
      </c>
      <c r="BD92" s="83">
        <f t="shared" si="87"/>
        <v>0.45722424388020344</v>
      </c>
    </row>
    <row r="93" spans="1:56">
      <c r="A93" s="170">
        <v>42887</v>
      </c>
      <c r="B93" s="378">
        <v>2404533</v>
      </c>
      <c r="C93" s="3">
        <v>10825825</v>
      </c>
      <c r="D93" s="3">
        <f t="shared" si="102"/>
        <v>13230358</v>
      </c>
      <c r="E93" s="3">
        <f t="shared" si="103"/>
        <v>632684</v>
      </c>
      <c r="F93" s="3">
        <v>0</v>
      </c>
      <c r="G93" s="3">
        <f t="shared" si="104"/>
        <v>632684</v>
      </c>
      <c r="H93" s="3">
        <v>66766</v>
      </c>
      <c r="I93" s="3">
        <v>0</v>
      </c>
      <c r="J93" s="3">
        <f t="shared" si="105"/>
        <v>66766</v>
      </c>
      <c r="K93" s="3">
        <v>0</v>
      </c>
      <c r="L93" s="3">
        <v>0</v>
      </c>
      <c r="M93" s="3">
        <f t="shared" si="106"/>
        <v>0</v>
      </c>
      <c r="N93" s="3">
        <f t="shared" si="107"/>
        <v>2078297</v>
      </c>
      <c r="O93" s="3">
        <v>0</v>
      </c>
      <c r="P93" s="3">
        <f t="shared" si="108"/>
        <v>2078297</v>
      </c>
      <c r="Q93" s="3">
        <v>11985</v>
      </c>
      <c r="R93" s="3">
        <v>0</v>
      </c>
      <c r="S93" s="3">
        <f t="shared" si="109"/>
        <v>11985</v>
      </c>
      <c r="T93" s="3">
        <v>0</v>
      </c>
      <c r="U93" s="3">
        <v>0</v>
      </c>
      <c r="V93" s="3">
        <f t="shared" si="110"/>
        <v>0</v>
      </c>
      <c r="W93" s="3">
        <f t="shared" si="111"/>
        <v>5194265</v>
      </c>
      <c r="X93" s="3">
        <f t="shared" si="111"/>
        <v>10825825</v>
      </c>
      <c r="Y93" s="379">
        <f t="shared" si="112"/>
        <v>16020090</v>
      </c>
      <c r="Z93" s="3">
        <v>0</v>
      </c>
      <c r="AA93" s="3">
        <v>632684</v>
      </c>
      <c r="AB93" s="380">
        <f t="shared" si="116"/>
        <v>632684</v>
      </c>
      <c r="AC93" s="3">
        <v>0</v>
      </c>
      <c r="AD93" s="3">
        <v>2078297</v>
      </c>
      <c r="AE93" s="380">
        <f t="shared" si="55"/>
        <v>2078297</v>
      </c>
      <c r="AF93" s="381">
        <f t="shared" si="131"/>
        <v>12754291</v>
      </c>
      <c r="AG93" s="177">
        <f t="shared" si="131"/>
        <v>19281171</v>
      </c>
      <c r="AH93" s="177">
        <f t="shared" si="132"/>
        <v>32035462</v>
      </c>
      <c r="AI93" s="177">
        <f t="shared" si="142"/>
        <v>3977343</v>
      </c>
      <c r="AJ93" s="177">
        <f t="shared" si="142"/>
        <v>0</v>
      </c>
      <c r="AK93" s="177">
        <f t="shared" si="133"/>
        <v>3977343</v>
      </c>
      <c r="AL93" s="177">
        <f t="shared" si="134"/>
        <v>1002997</v>
      </c>
      <c r="AM93" s="177">
        <f t="shared" si="134"/>
        <v>0</v>
      </c>
      <c r="AN93" s="177">
        <f t="shared" si="135"/>
        <v>1002997</v>
      </c>
      <c r="AO93" s="177">
        <f t="shared" si="136"/>
        <v>0</v>
      </c>
      <c r="AP93" s="177">
        <f t="shared" si="136"/>
        <v>0</v>
      </c>
      <c r="AQ93" s="177">
        <f t="shared" si="137"/>
        <v>0</v>
      </c>
      <c r="AR93" s="177">
        <f t="shared" si="138"/>
        <v>15011405</v>
      </c>
      <c r="AS93" s="177">
        <f t="shared" si="138"/>
        <v>0</v>
      </c>
      <c r="AT93" s="177">
        <f t="shared" si="139"/>
        <v>15011405</v>
      </c>
      <c r="AU93" s="177">
        <f t="shared" si="140"/>
        <v>11985</v>
      </c>
      <c r="AV93" s="177">
        <f t="shared" si="140"/>
        <v>0</v>
      </c>
      <c r="AW93" s="177">
        <f t="shared" si="141"/>
        <v>11985</v>
      </c>
      <c r="AX93" s="177">
        <f t="shared" si="143"/>
        <v>0</v>
      </c>
      <c r="AY93" s="177">
        <f t="shared" si="143"/>
        <v>0</v>
      </c>
      <c r="AZ93" s="177">
        <f t="shared" si="144"/>
        <v>0</v>
      </c>
      <c r="BA93" s="177">
        <f t="shared" si="114"/>
        <v>32758021</v>
      </c>
      <c r="BB93" s="177">
        <f t="shared" si="114"/>
        <v>19281171</v>
      </c>
      <c r="BC93" s="382">
        <f t="shared" si="115"/>
        <v>52039192</v>
      </c>
      <c r="BD93" s="83">
        <f t="shared" si="87"/>
        <v>0.26338162597991888</v>
      </c>
    </row>
    <row r="94" spans="1:56">
      <c r="A94" s="170">
        <v>42917</v>
      </c>
      <c r="B94" s="378">
        <v>2221115</v>
      </c>
      <c r="C94" s="3">
        <v>0</v>
      </c>
      <c r="D94" s="3">
        <f t="shared" si="102"/>
        <v>2221115</v>
      </c>
      <c r="E94" s="3">
        <f t="shared" si="103"/>
        <v>877870</v>
      </c>
      <c r="F94" s="3">
        <v>0</v>
      </c>
      <c r="G94" s="3">
        <f t="shared" si="104"/>
        <v>877870</v>
      </c>
      <c r="H94" s="3">
        <v>41800</v>
      </c>
      <c r="I94" s="3">
        <v>0</v>
      </c>
      <c r="J94" s="3">
        <f t="shared" si="105"/>
        <v>41800</v>
      </c>
      <c r="K94" s="3">
        <v>0</v>
      </c>
      <c r="L94" s="3">
        <v>0</v>
      </c>
      <c r="M94" s="3">
        <f t="shared" si="106"/>
        <v>0</v>
      </c>
      <c r="N94" s="3">
        <f t="shared" si="107"/>
        <v>2171983</v>
      </c>
      <c r="O94" s="3">
        <v>0</v>
      </c>
      <c r="P94" s="3">
        <f t="shared" si="108"/>
        <v>2171983</v>
      </c>
      <c r="Q94" s="3">
        <v>0</v>
      </c>
      <c r="R94" s="3">
        <v>0</v>
      </c>
      <c r="S94" s="3">
        <f t="shared" si="109"/>
        <v>0</v>
      </c>
      <c r="T94" s="3">
        <v>0</v>
      </c>
      <c r="U94" s="3">
        <v>0</v>
      </c>
      <c r="V94" s="3">
        <f t="shared" si="110"/>
        <v>0</v>
      </c>
      <c r="W94" s="3">
        <f t="shared" si="111"/>
        <v>5312768</v>
      </c>
      <c r="X94" s="3">
        <f t="shared" si="111"/>
        <v>0</v>
      </c>
      <c r="Y94" s="379">
        <f t="shared" si="112"/>
        <v>5312768</v>
      </c>
      <c r="Z94" s="3">
        <v>0</v>
      </c>
      <c r="AA94" s="3">
        <v>877870</v>
      </c>
      <c r="AB94" s="380">
        <f t="shared" si="116"/>
        <v>877870</v>
      </c>
      <c r="AC94" s="3">
        <v>0</v>
      </c>
      <c r="AD94" s="3">
        <v>2171983</v>
      </c>
      <c r="AE94" s="380">
        <f t="shared" ref="AE94:AE157" si="145">SUM(AC94:AD94)</f>
        <v>2171983</v>
      </c>
      <c r="AF94" s="381">
        <f t="shared" si="131"/>
        <v>14975406</v>
      </c>
      <c r="AG94" s="177">
        <f t="shared" si="131"/>
        <v>19281171</v>
      </c>
      <c r="AH94" s="177">
        <f t="shared" si="132"/>
        <v>34256577</v>
      </c>
      <c r="AI94" s="177">
        <f t="shared" si="142"/>
        <v>4855213</v>
      </c>
      <c r="AJ94" s="177">
        <f t="shared" si="142"/>
        <v>0</v>
      </c>
      <c r="AK94" s="177">
        <f t="shared" si="133"/>
        <v>4855213</v>
      </c>
      <c r="AL94" s="177">
        <f t="shared" si="134"/>
        <v>1044797</v>
      </c>
      <c r="AM94" s="177">
        <f t="shared" si="134"/>
        <v>0</v>
      </c>
      <c r="AN94" s="177">
        <f t="shared" si="135"/>
        <v>1044797</v>
      </c>
      <c r="AO94" s="177">
        <f t="shared" si="136"/>
        <v>0</v>
      </c>
      <c r="AP94" s="177">
        <f t="shared" si="136"/>
        <v>0</v>
      </c>
      <c r="AQ94" s="177">
        <f t="shared" si="137"/>
        <v>0</v>
      </c>
      <c r="AR94" s="177">
        <f t="shared" si="138"/>
        <v>17183388</v>
      </c>
      <c r="AS94" s="177">
        <f t="shared" si="138"/>
        <v>0</v>
      </c>
      <c r="AT94" s="177">
        <f t="shared" si="139"/>
        <v>17183388</v>
      </c>
      <c r="AU94" s="177">
        <f t="shared" si="140"/>
        <v>11985</v>
      </c>
      <c r="AV94" s="177">
        <f t="shared" si="140"/>
        <v>0</v>
      </c>
      <c r="AW94" s="177">
        <f t="shared" si="141"/>
        <v>11985</v>
      </c>
      <c r="AX94" s="177">
        <f t="shared" si="143"/>
        <v>0</v>
      </c>
      <c r="AY94" s="177">
        <f t="shared" si="143"/>
        <v>0</v>
      </c>
      <c r="AZ94" s="177">
        <f t="shared" si="144"/>
        <v>0</v>
      </c>
      <c r="BA94" s="177">
        <f t="shared" si="114"/>
        <v>38070789</v>
      </c>
      <c r="BB94" s="177">
        <f t="shared" si="114"/>
        <v>19281171</v>
      </c>
      <c r="BC94" s="382">
        <f t="shared" si="115"/>
        <v>57351960</v>
      </c>
      <c r="BD94" s="83">
        <f t="shared" si="87"/>
        <v>2.8430634666756216E-3</v>
      </c>
    </row>
    <row r="95" spans="1:56">
      <c r="A95" s="170">
        <v>42948</v>
      </c>
      <c r="B95" s="378">
        <v>2204241</v>
      </c>
      <c r="C95" s="3">
        <v>22448893</v>
      </c>
      <c r="D95" s="3">
        <f t="shared" si="102"/>
        <v>24653134</v>
      </c>
      <c r="E95" s="3">
        <f t="shared" si="103"/>
        <v>748391</v>
      </c>
      <c r="F95" s="3">
        <v>0</v>
      </c>
      <c r="G95" s="3">
        <f t="shared" si="104"/>
        <v>748391</v>
      </c>
      <c r="H95" s="3">
        <v>81204</v>
      </c>
      <c r="I95" s="3">
        <v>0</v>
      </c>
      <c r="J95" s="3">
        <f t="shared" si="105"/>
        <v>81204</v>
      </c>
      <c r="K95" s="3">
        <v>0</v>
      </c>
      <c r="L95" s="3">
        <v>0</v>
      </c>
      <c r="M95" s="3">
        <f t="shared" si="106"/>
        <v>0</v>
      </c>
      <c r="N95" s="3">
        <f t="shared" si="107"/>
        <v>2683041</v>
      </c>
      <c r="O95" s="3">
        <v>0</v>
      </c>
      <c r="P95" s="3">
        <f t="shared" si="108"/>
        <v>2683041</v>
      </c>
      <c r="Q95" s="3">
        <v>10049</v>
      </c>
      <c r="R95" s="3">
        <v>0</v>
      </c>
      <c r="S95" s="3">
        <f t="shared" si="109"/>
        <v>10049</v>
      </c>
      <c r="T95" s="3">
        <v>0</v>
      </c>
      <c r="U95" s="3">
        <v>0</v>
      </c>
      <c r="V95" s="3">
        <f t="shared" si="110"/>
        <v>0</v>
      </c>
      <c r="W95" s="3">
        <f t="shared" si="111"/>
        <v>5726926</v>
      </c>
      <c r="X95" s="3">
        <f t="shared" si="111"/>
        <v>22448893</v>
      </c>
      <c r="Y95" s="379">
        <f t="shared" si="112"/>
        <v>28175819</v>
      </c>
      <c r="Z95" s="3">
        <v>0</v>
      </c>
      <c r="AA95" s="3">
        <v>748391</v>
      </c>
      <c r="AB95" s="380">
        <f t="shared" si="116"/>
        <v>748391</v>
      </c>
      <c r="AC95" s="3">
        <v>0</v>
      </c>
      <c r="AD95" s="3">
        <v>2683041</v>
      </c>
      <c r="AE95" s="380">
        <f t="shared" si="145"/>
        <v>2683041</v>
      </c>
      <c r="AF95" s="381">
        <f t="shared" si="131"/>
        <v>17179647</v>
      </c>
      <c r="AG95" s="177">
        <f t="shared" si="131"/>
        <v>41730064</v>
      </c>
      <c r="AH95" s="177">
        <f t="shared" si="132"/>
        <v>58909711</v>
      </c>
      <c r="AI95" s="177">
        <f t="shared" si="142"/>
        <v>5603604</v>
      </c>
      <c r="AJ95" s="177">
        <f t="shared" si="142"/>
        <v>0</v>
      </c>
      <c r="AK95" s="177">
        <f t="shared" si="133"/>
        <v>5603604</v>
      </c>
      <c r="AL95" s="177">
        <f t="shared" si="134"/>
        <v>1126001</v>
      </c>
      <c r="AM95" s="177">
        <f t="shared" si="134"/>
        <v>0</v>
      </c>
      <c r="AN95" s="177">
        <f t="shared" si="135"/>
        <v>1126001</v>
      </c>
      <c r="AO95" s="177">
        <f t="shared" si="136"/>
        <v>0</v>
      </c>
      <c r="AP95" s="177">
        <f t="shared" si="136"/>
        <v>0</v>
      </c>
      <c r="AQ95" s="177">
        <f t="shared" si="137"/>
        <v>0</v>
      </c>
      <c r="AR95" s="177">
        <f t="shared" si="138"/>
        <v>19866429</v>
      </c>
      <c r="AS95" s="177">
        <f t="shared" si="138"/>
        <v>0</v>
      </c>
      <c r="AT95" s="177">
        <f t="shared" si="139"/>
        <v>19866429</v>
      </c>
      <c r="AU95" s="177">
        <f t="shared" si="140"/>
        <v>22034</v>
      </c>
      <c r="AV95" s="177">
        <f t="shared" si="140"/>
        <v>0</v>
      </c>
      <c r="AW95" s="177">
        <f t="shared" si="141"/>
        <v>22034</v>
      </c>
      <c r="AX95" s="177">
        <f t="shared" si="143"/>
        <v>0</v>
      </c>
      <c r="AY95" s="177">
        <f t="shared" si="143"/>
        <v>0</v>
      </c>
      <c r="AZ95" s="177">
        <f t="shared" si="144"/>
        <v>0</v>
      </c>
      <c r="BA95" s="177">
        <f t="shared" si="114"/>
        <v>43797715</v>
      </c>
      <c r="BB95" s="177">
        <f t="shared" si="114"/>
        <v>41730064</v>
      </c>
      <c r="BC95" s="382">
        <f t="shared" si="115"/>
        <v>85527779</v>
      </c>
      <c r="BD95" s="83">
        <f t="shared" si="87"/>
        <v>0.15128189879408005</v>
      </c>
    </row>
    <row r="96" spans="1:56">
      <c r="A96" s="170">
        <v>42979</v>
      </c>
      <c r="B96" s="378">
        <v>2274090</v>
      </c>
      <c r="C96" s="3">
        <v>10902520</v>
      </c>
      <c r="D96" s="3">
        <f t="shared" si="102"/>
        <v>13176610</v>
      </c>
      <c r="E96" s="3">
        <f t="shared" si="103"/>
        <v>651274</v>
      </c>
      <c r="F96" s="3">
        <v>0</v>
      </c>
      <c r="G96" s="3">
        <f t="shared" si="104"/>
        <v>651274</v>
      </c>
      <c r="H96" s="3">
        <v>97477</v>
      </c>
      <c r="I96" s="3">
        <v>0</v>
      </c>
      <c r="J96" s="3">
        <f t="shared" si="105"/>
        <v>97477</v>
      </c>
      <c r="K96" s="3">
        <v>0</v>
      </c>
      <c r="L96" s="3">
        <v>0</v>
      </c>
      <c r="M96" s="3">
        <f t="shared" si="106"/>
        <v>0</v>
      </c>
      <c r="N96" s="3">
        <f t="shared" si="107"/>
        <v>2796849</v>
      </c>
      <c r="O96" s="3">
        <v>0</v>
      </c>
      <c r="P96" s="3">
        <f t="shared" si="108"/>
        <v>2796849</v>
      </c>
      <c r="Q96" s="3">
        <v>76232</v>
      </c>
      <c r="R96" s="3">
        <v>0</v>
      </c>
      <c r="S96" s="3">
        <f t="shared" si="109"/>
        <v>76232</v>
      </c>
      <c r="T96" s="3">
        <v>0</v>
      </c>
      <c r="U96" s="3">
        <v>0</v>
      </c>
      <c r="V96" s="3">
        <f t="shared" si="110"/>
        <v>0</v>
      </c>
      <c r="W96" s="3">
        <f t="shared" si="111"/>
        <v>5895922</v>
      </c>
      <c r="X96" s="3">
        <f t="shared" si="111"/>
        <v>10902520</v>
      </c>
      <c r="Y96" s="379">
        <f t="shared" si="112"/>
        <v>16798442</v>
      </c>
      <c r="Z96" s="3">
        <v>0</v>
      </c>
      <c r="AA96" s="3">
        <v>651274</v>
      </c>
      <c r="AB96" s="380">
        <f t="shared" si="116"/>
        <v>651274</v>
      </c>
      <c r="AC96" s="3">
        <v>0</v>
      </c>
      <c r="AD96" s="3">
        <v>2796849</v>
      </c>
      <c r="AE96" s="380">
        <f t="shared" si="145"/>
        <v>2796849</v>
      </c>
      <c r="AF96" s="381">
        <f t="shared" si="131"/>
        <v>19453737</v>
      </c>
      <c r="AG96" s="177">
        <f t="shared" si="131"/>
        <v>52632584</v>
      </c>
      <c r="AH96" s="177">
        <f t="shared" si="132"/>
        <v>72086321</v>
      </c>
      <c r="AI96" s="177">
        <f t="shared" si="142"/>
        <v>6254878</v>
      </c>
      <c r="AJ96" s="177">
        <f t="shared" si="142"/>
        <v>0</v>
      </c>
      <c r="AK96" s="177">
        <f t="shared" si="133"/>
        <v>6254878</v>
      </c>
      <c r="AL96" s="177">
        <f t="shared" si="134"/>
        <v>1223478</v>
      </c>
      <c r="AM96" s="177">
        <f t="shared" si="134"/>
        <v>0</v>
      </c>
      <c r="AN96" s="177">
        <f t="shared" si="135"/>
        <v>1223478</v>
      </c>
      <c r="AO96" s="177">
        <f t="shared" si="136"/>
        <v>0</v>
      </c>
      <c r="AP96" s="177">
        <f t="shared" si="136"/>
        <v>0</v>
      </c>
      <c r="AQ96" s="177">
        <f t="shared" si="137"/>
        <v>0</v>
      </c>
      <c r="AR96" s="177">
        <f t="shared" si="138"/>
        <v>22663278</v>
      </c>
      <c r="AS96" s="177">
        <f t="shared" si="138"/>
        <v>0</v>
      </c>
      <c r="AT96" s="177">
        <f t="shared" si="139"/>
        <v>22663278</v>
      </c>
      <c r="AU96" s="177">
        <f t="shared" si="140"/>
        <v>98266</v>
      </c>
      <c r="AV96" s="177">
        <f t="shared" si="140"/>
        <v>0</v>
      </c>
      <c r="AW96" s="177">
        <f t="shared" si="141"/>
        <v>98266</v>
      </c>
      <c r="AX96" s="177">
        <f t="shared" si="143"/>
        <v>0</v>
      </c>
      <c r="AY96" s="177">
        <f t="shared" si="143"/>
        <v>0</v>
      </c>
      <c r="AZ96" s="177">
        <f t="shared" si="144"/>
        <v>0</v>
      </c>
      <c r="BA96" s="177">
        <f t="shared" si="114"/>
        <v>49693637</v>
      </c>
      <c r="BB96" s="177">
        <f t="shared" si="114"/>
        <v>52632584</v>
      </c>
      <c r="BC96" s="382">
        <f t="shared" si="115"/>
        <v>102326221</v>
      </c>
      <c r="BD96" s="83">
        <f t="shared" si="87"/>
        <v>0.28992095088119041</v>
      </c>
    </row>
    <row r="97" spans="1:56">
      <c r="A97" s="170">
        <v>43009</v>
      </c>
      <c r="B97" s="378">
        <v>2200220</v>
      </c>
      <c r="C97" s="3">
        <v>0</v>
      </c>
      <c r="D97" s="3">
        <f t="shared" si="102"/>
        <v>2200220</v>
      </c>
      <c r="E97" s="3">
        <f t="shared" si="103"/>
        <v>552750</v>
      </c>
      <c r="F97" s="3">
        <v>0</v>
      </c>
      <c r="G97" s="3">
        <f t="shared" si="104"/>
        <v>552750</v>
      </c>
      <c r="H97" s="3">
        <v>125638</v>
      </c>
      <c r="I97" s="3">
        <v>0</v>
      </c>
      <c r="J97" s="3">
        <f t="shared" si="105"/>
        <v>125638</v>
      </c>
      <c r="K97" s="3">
        <v>0</v>
      </c>
      <c r="L97" s="3">
        <v>0</v>
      </c>
      <c r="M97" s="3">
        <f t="shared" si="106"/>
        <v>0</v>
      </c>
      <c r="N97" s="3">
        <f t="shared" si="107"/>
        <v>2685665</v>
      </c>
      <c r="O97" s="3">
        <v>0</v>
      </c>
      <c r="P97" s="3">
        <f t="shared" si="108"/>
        <v>2685665</v>
      </c>
      <c r="Q97" s="3">
        <v>21040</v>
      </c>
      <c r="R97" s="3">
        <v>0</v>
      </c>
      <c r="S97" s="3">
        <f t="shared" si="109"/>
        <v>21040</v>
      </c>
      <c r="T97" s="3">
        <v>0</v>
      </c>
      <c r="U97" s="3">
        <v>0</v>
      </c>
      <c r="V97" s="3">
        <f t="shared" si="110"/>
        <v>0</v>
      </c>
      <c r="W97" s="3">
        <f t="shared" si="111"/>
        <v>5585313</v>
      </c>
      <c r="X97" s="3">
        <f t="shared" si="111"/>
        <v>0</v>
      </c>
      <c r="Y97" s="379">
        <f t="shared" si="112"/>
        <v>5585313</v>
      </c>
      <c r="Z97" s="3">
        <v>0</v>
      </c>
      <c r="AA97" s="3">
        <v>552750</v>
      </c>
      <c r="AB97" s="380">
        <f t="shared" si="116"/>
        <v>552750</v>
      </c>
      <c r="AC97" s="3">
        <v>0</v>
      </c>
      <c r="AD97" s="3">
        <v>2685665</v>
      </c>
      <c r="AE97" s="380">
        <f t="shared" si="145"/>
        <v>2685665</v>
      </c>
      <c r="AF97" s="381">
        <f t="shared" si="131"/>
        <v>21653957</v>
      </c>
      <c r="AG97" s="177">
        <f t="shared" si="131"/>
        <v>52632584</v>
      </c>
      <c r="AH97" s="177">
        <f t="shared" si="132"/>
        <v>74286541</v>
      </c>
      <c r="AI97" s="177">
        <f t="shared" si="142"/>
        <v>6807628</v>
      </c>
      <c r="AJ97" s="177">
        <f t="shared" si="142"/>
        <v>0</v>
      </c>
      <c r="AK97" s="177">
        <f t="shared" si="133"/>
        <v>6807628</v>
      </c>
      <c r="AL97" s="177">
        <f t="shared" si="134"/>
        <v>1349116</v>
      </c>
      <c r="AM97" s="177">
        <f t="shared" si="134"/>
        <v>0</v>
      </c>
      <c r="AN97" s="177">
        <f t="shared" si="135"/>
        <v>1349116</v>
      </c>
      <c r="AO97" s="177">
        <f t="shared" si="136"/>
        <v>0</v>
      </c>
      <c r="AP97" s="177">
        <f t="shared" si="136"/>
        <v>0</v>
      </c>
      <c r="AQ97" s="177">
        <f t="shared" si="137"/>
        <v>0</v>
      </c>
      <c r="AR97" s="177">
        <f t="shared" si="138"/>
        <v>25348943</v>
      </c>
      <c r="AS97" s="177">
        <f t="shared" si="138"/>
        <v>0</v>
      </c>
      <c r="AT97" s="177">
        <f t="shared" si="139"/>
        <v>25348943</v>
      </c>
      <c r="AU97" s="177">
        <f t="shared" si="140"/>
        <v>119306</v>
      </c>
      <c r="AV97" s="177">
        <f t="shared" si="140"/>
        <v>0</v>
      </c>
      <c r="AW97" s="177">
        <f t="shared" si="141"/>
        <v>119306</v>
      </c>
      <c r="AX97" s="177">
        <f t="shared" si="143"/>
        <v>0</v>
      </c>
      <c r="AY97" s="177">
        <f t="shared" si="143"/>
        <v>0</v>
      </c>
      <c r="AZ97" s="177">
        <f t="shared" si="144"/>
        <v>0</v>
      </c>
      <c r="BA97" s="177">
        <f t="shared" si="114"/>
        <v>55278950</v>
      </c>
      <c r="BB97" s="177">
        <f t="shared" si="114"/>
        <v>52632584</v>
      </c>
      <c r="BC97" s="382">
        <f t="shared" si="115"/>
        <v>107911534</v>
      </c>
      <c r="BD97" s="83">
        <f t="shared" si="87"/>
        <v>0.26674654807962028</v>
      </c>
    </row>
    <row r="98" spans="1:56">
      <c r="A98" s="170">
        <v>43040</v>
      </c>
      <c r="B98" s="378">
        <v>2015095</v>
      </c>
      <c r="C98" s="3">
        <v>21236792</v>
      </c>
      <c r="D98" s="3">
        <f t="shared" si="102"/>
        <v>23251887</v>
      </c>
      <c r="E98" s="3">
        <f t="shared" si="103"/>
        <v>1015708</v>
      </c>
      <c r="F98" s="3">
        <v>0</v>
      </c>
      <c r="G98" s="3">
        <f t="shared" si="104"/>
        <v>1015708</v>
      </c>
      <c r="H98" s="3">
        <v>260794</v>
      </c>
      <c r="I98" s="3">
        <v>0</v>
      </c>
      <c r="J98" s="3">
        <f t="shared" si="105"/>
        <v>260794</v>
      </c>
      <c r="K98" s="3">
        <v>0</v>
      </c>
      <c r="L98" s="3">
        <v>0</v>
      </c>
      <c r="M98" s="3">
        <f t="shared" si="106"/>
        <v>0</v>
      </c>
      <c r="N98" s="3">
        <f t="shared" si="107"/>
        <v>2746109</v>
      </c>
      <c r="O98" s="3">
        <v>0</v>
      </c>
      <c r="P98" s="3">
        <f t="shared" si="108"/>
        <v>2746109</v>
      </c>
      <c r="Q98" s="3">
        <v>1412277</v>
      </c>
      <c r="R98" s="3">
        <v>0</v>
      </c>
      <c r="S98" s="3">
        <f t="shared" si="109"/>
        <v>1412277</v>
      </c>
      <c r="T98" s="3">
        <v>0</v>
      </c>
      <c r="U98" s="3">
        <v>0</v>
      </c>
      <c r="V98" s="3">
        <f t="shared" si="110"/>
        <v>0</v>
      </c>
      <c r="W98" s="3">
        <f t="shared" si="111"/>
        <v>7449983</v>
      </c>
      <c r="X98" s="3">
        <f t="shared" si="111"/>
        <v>21236792</v>
      </c>
      <c r="Y98" s="379">
        <f t="shared" si="112"/>
        <v>28686775</v>
      </c>
      <c r="Z98" s="3">
        <v>0</v>
      </c>
      <c r="AA98" s="3">
        <v>1015708</v>
      </c>
      <c r="AB98" s="380">
        <f t="shared" si="116"/>
        <v>1015708</v>
      </c>
      <c r="AC98" s="3">
        <v>0</v>
      </c>
      <c r="AD98" s="3">
        <v>2746109</v>
      </c>
      <c r="AE98" s="380">
        <f t="shared" si="145"/>
        <v>2746109</v>
      </c>
      <c r="AF98" s="381">
        <f t="shared" si="131"/>
        <v>23669052</v>
      </c>
      <c r="AG98" s="177">
        <f t="shared" si="131"/>
        <v>73869376</v>
      </c>
      <c r="AH98" s="177">
        <f t="shared" si="132"/>
        <v>97538428</v>
      </c>
      <c r="AI98" s="177">
        <f t="shared" si="142"/>
        <v>7823336</v>
      </c>
      <c r="AJ98" s="177">
        <f t="shared" si="142"/>
        <v>0</v>
      </c>
      <c r="AK98" s="177">
        <f t="shared" si="133"/>
        <v>7823336</v>
      </c>
      <c r="AL98" s="177">
        <f t="shared" si="134"/>
        <v>1609910</v>
      </c>
      <c r="AM98" s="177">
        <f t="shared" si="134"/>
        <v>0</v>
      </c>
      <c r="AN98" s="177">
        <f t="shared" si="135"/>
        <v>1609910</v>
      </c>
      <c r="AO98" s="177">
        <f t="shared" si="136"/>
        <v>0</v>
      </c>
      <c r="AP98" s="177">
        <f t="shared" si="136"/>
        <v>0</v>
      </c>
      <c r="AQ98" s="177">
        <f t="shared" si="137"/>
        <v>0</v>
      </c>
      <c r="AR98" s="177">
        <f t="shared" si="138"/>
        <v>28095052</v>
      </c>
      <c r="AS98" s="177">
        <f t="shared" si="138"/>
        <v>0</v>
      </c>
      <c r="AT98" s="177">
        <f t="shared" si="139"/>
        <v>28095052</v>
      </c>
      <c r="AU98" s="177">
        <f t="shared" si="140"/>
        <v>1531583</v>
      </c>
      <c r="AV98" s="177">
        <f t="shared" si="140"/>
        <v>0</v>
      </c>
      <c r="AW98" s="177">
        <f t="shared" si="141"/>
        <v>1531583</v>
      </c>
      <c r="AX98" s="177">
        <f t="shared" si="143"/>
        <v>0</v>
      </c>
      <c r="AY98" s="177">
        <f t="shared" si="143"/>
        <v>0</v>
      </c>
      <c r="AZ98" s="177">
        <f t="shared" si="144"/>
        <v>0</v>
      </c>
      <c r="BA98" s="177">
        <f t="shared" si="114"/>
        <v>62728933</v>
      </c>
      <c r="BB98" s="177">
        <f t="shared" si="114"/>
        <v>73869376</v>
      </c>
      <c r="BC98" s="382">
        <f t="shared" si="115"/>
        <v>136598309</v>
      </c>
      <c r="BD98" s="83">
        <f t="shared" si="87"/>
        <v>0.50066178246111148</v>
      </c>
    </row>
    <row r="99" spans="1:56" ht="15.75" thickBot="1">
      <c r="A99" s="170">
        <v>43070</v>
      </c>
      <c r="B99" s="378">
        <v>1834205</v>
      </c>
      <c r="C99" s="3">
        <v>19714</v>
      </c>
      <c r="D99" s="3">
        <f t="shared" si="102"/>
        <v>1853919</v>
      </c>
      <c r="E99" s="3">
        <f t="shared" si="103"/>
        <v>926969</v>
      </c>
      <c r="F99" s="3">
        <v>0</v>
      </c>
      <c r="G99" s="3">
        <f t="shared" si="104"/>
        <v>926969</v>
      </c>
      <c r="H99" s="3">
        <v>346841</v>
      </c>
      <c r="I99" s="3">
        <v>0</v>
      </c>
      <c r="J99" s="3">
        <f t="shared" si="105"/>
        <v>346841</v>
      </c>
      <c r="K99" s="3">
        <v>0</v>
      </c>
      <c r="L99" s="3">
        <v>0</v>
      </c>
      <c r="M99" s="3">
        <f t="shared" si="106"/>
        <v>0</v>
      </c>
      <c r="N99" s="3">
        <f t="shared" si="107"/>
        <v>3434019</v>
      </c>
      <c r="O99" s="3">
        <v>0</v>
      </c>
      <c r="P99" s="3">
        <f t="shared" si="108"/>
        <v>3434019</v>
      </c>
      <c r="Q99" s="3">
        <v>486515</v>
      </c>
      <c r="R99" s="3">
        <v>0</v>
      </c>
      <c r="S99" s="3">
        <f t="shared" si="109"/>
        <v>486515</v>
      </c>
      <c r="T99" s="3">
        <v>0</v>
      </c>
      <c r="U99" s="3">
        <v>0</v>
      </c>
      <c r="V99" s="3">
        <f t="shared" si="110"/>
        <v>0</v>
      </c>
      <c r="W99" s="3">
        <f t="shared" si="111"/>
        <v>7028549</v>
      </c>
      <c r="X99" s="3">
        <f t="shared" si="111"/>
        <v>19714</v>
      </c>
      <c r="Y99" s="379">
        <f t="shared" si="112"/>
        <v>7048263</v>
      </c>
      <c r="Z99" s="3">
        <v>0</v>
      </c>
      <c r="AA99" s="3">
        <v>926969</v>
      </c>
      <c r="AB99" s="380">
        <f t="shared" si="116"/>
        <v>926969</v>
      </c>
      <c r="AC99" s="3">
        <v>0</v>
      </c>
      <c r="AD99" s="3">
        <v>3434019</v>
      </c>
      <c r="AE99" s="380">
        <f t="shared" si="145"/>
        <v>3434019</v>
      </c>
      <c r="AF99" s="381">
        <f t="shared" si="131"/>
        <v>25503257</v>
      </c>
      <c r="AG99" s="177">
        <f t="shared" si="131"/>
        <v>73889090</v>
      </c>
      <c r="AH99" s="177">
        <f t="shared" si="132"/>
        <v>99392347</v>
      </c>
      <c r="AI99" s="177">
        <f t="shared" si="142"/>
        <v>8750305</v>
      </c>
      <c r="AJ99" s="177">
        <f t="shared" si="142"/>
        <v>0</v>
      </c>
      <c r="AK99" s="177">
        <f t="shared" si="133"/>
        <v>8750305</v>
      </c>
      <c r="AL99" s="177">
        <f t="shared" si="134"/>
        <v>1956751</v>
      </c>
      <c r="AM99" s="177">
        <f t="shared" si="134"/>
        <v>0</v>
      </c>
      <c r="AN99" s="177">
        <f t="shared" si="135"/>
        <v>1956751</v>
      </c>
      <c r="AO99" s="177">
        <f t="shared" si="136"/>
        <v>0</v>
      </c>
      <c r="AP99" s="177">
        <f t="shared" si="136"/>
        <v>0</v>
      </c>
      <c r="AQ99" s="177">
        <f t="shared" si="137"/>
        <v>0</v>
      </c>
      <c r="AR99" s="177">
        <f t="shared" si="138"/>
        <v>31529071</v>
      </c>
      <c r="AS99" s="177">
        <f t="shared" si="138"/>
        <v>0</v>
      </c>
      <c r="AT99" s="177">
        <f t="shared" si="139"/>
        <v>31529071</v>
      </c>
      <c r="AU99" s="177">
        <f t="shared" si="140"/>
        <v>2018098</v>
      </c>
      <c r="AV99" s="177">
        <f t="shared" si="140"/>
        <v>0</v>
      </c>
      <c r="AW99" s="177">
        <f t="shared" si="141"/>
        <v>2018098</v>
      </c>
      <c r="AX99" s="177">
        <f t="shared" si="143"/>
        <v>0</v>
      </c>
      <c r="AY99" s="177">
        <f t="shared" si="143"/>
        <v>0</v>
      </c>
      <c r="AZ99" s="177">
        <f t="shared" si="144"/>
        <v>0</v>
      </c>
      <c r="BA99" s="177">
        <f t="shared" si="114"/>
        <v>69757482</v>
      </c>
      <c r="BB99" s="177">
        <f t="shared" si="114"/>
        <v>73889090</v>
      </c>
      <c r="BC99" s="382">
        <f t="shared" si="115"/>
        <v>143646572</v>
      </c>
      <c r="BD99" s="83">
        <f t="shared" si="87"/>
        <v>0.46424214456116064</v>
      </c>
    </row>
    <row r="100" spans="1:56">
      <c r="A100" s="171">
        <v>43101</v>
      </c>
      <c r="B100" s="385">
        <v>2191637</v>
      </c>
      <c r="C100" s="104">
        <v>0</v>
      </c>
      <c r="D100" s="104">
        <f t="shared" si="102"/>
        <v>2191637</v>
      </c>
      <c r="E100" s="104">
        <f t="shared" si="103"/>
        <v>547014</v>
      </c>
      <c r="F100" s="104">
        <v>0</v>
      </c>
      <c r="G100" s="104">
        <f t="shared" si="104"/>
        <v>547014</v>
      </c>
      <c r="H100" s="104">
        <v>422563</v>
      </c>
      <c r="I100" s="104">
        <v>0</v>
      </c>
      <c r="J100" s="104">
        <f t="shared" si="105"/>
        <v>422563</v>
      </c>
      <c r="K100" s="104">
        <v>0</v>
      </c>
      <c r="L100" s="104">
        <v>0</v>
      </c>
      <c r="M100" s="104">
        <f t="shared" si="106"/>
        <v>0</v>
      </c>
      <c r="N100" s="104">
        <f t="shared" si="107"/>
        <v>2631674</v>
      </c>
      <c r="O100" s="104">
        <v>0</v>
      </c>
      <c r="P100" s="104">
        <f t="shared" si="108"/>
        <v>2631674</v>
      </c>
      <c r="Q100" s="104">
        <v>0</v>
      </c>
      <c r="R100" s="104">
        <v>0</v>
      </c>
      <c r="S100" s="104">
        <f t="shared" si="109"/>
        <v>0</v>
      </c>
      <c r="T100" s="104">
        <v>0</v>
      </c>
      <c r="U100" s="104">
        <v>0</v>
      </c>
      <c r="V100" s="104">
        <f t="shared" si="110"/>
        <v>0</v>
      </c>
      <c r="W100" s="104">
        <f t="shared" si="111"/>
        <v>5792888</v>
      </c>
      <c r="X100" s="104">
        <f t="shared" si="111"/>
        <v>0</v>
      </c>
      <c r="Y100" s="386">
        <f t="shared" si="112"/>
        <v>5792888</v>
      </c>
      <c r="Z100" s="104">
        <v>0</v>
      </c>
      <c r="AA100" s="104">
        <v>547014</v>
      </c>
      <c r="AB100" s="387">
        <f>AA100+Z100</f>
        <v>547014</v>
      </c>
      <c r="AC100" s="104">
        <v>0</v>
      </c>
      <c r="AD100" s="104">
        <v>2631674</v>
      </c>
      <c r="AE100" s="387">
        <f t="shared" si="145"/>
        <v>2631674</v>
      </c>
      <c r="AF100" s="388">
        <f>B100</f>
        <v>2191637</v>
      </c>
      <c r="AG100" s="389">
        <f>C100</f>
        <v>0</v>
      </c>
      <c r="AH100" s="389">
        <f>AG100+AF100</f>
        <v>2191637</v>
      </c>
      <c r="AI100" s="389">
        <f>E100</f>
        <v>547014</v>
      </c>
      <c r="AJ100" s="389">
        <f>F100</f>
        <v>0</v>
      </c>
      <c r="AK100" s="389">
        <f>AJ100+AI100</f>
        <v>547014</v>
      </c>
      <c r="AL100" s="389">
        <f>H100</f>
        <v>422563</v>
      </c>
      <c r="AM100" s="389">
        <f>I100</f>
        <v>0</v>
      </c>
      <c r="AN100" s="389">
        <f>AM100+AL100</f>
        <v>422563</v>
      </c>
      <c r="AO100" s="389">
        <f>K100</f>
        <v>0</v>
      </c>
      <c r="AP100" s="389">
        <f>L100</f>
        <v>0</v>
      </c>
      <c r="AQ100" s="389">
        <f>AP100+AO100</f>
        <v>0</v>
      </c>
      <c r="AR100" s="389">
        <f>N100</f>
        <v>2631674</v>
      </c>
      <c r="AS100" s="389">
        <f>O100</f>
        <v>0</v>
      </c>
      <c r="AT100" s="389">
        <f>AS100+AR100</f>
        <v>2631674</v>
      </c>
      <c r="AU100" s="389">
        <f>Q100</f>
        <v>0</v>
      </c>
      <c r="AV100" s="389">
        <f>R100</f>
        <v>0</v>
      </c>
      <c r="AW100" s="389">
        <f>AV100+AU100</f>
        <v>0</v>
      </c>
      <c r="AX100" s="389">
        <f>T100</f>
        <v>0</v>
      </c>
      <c r="AY100" s="389">
        <f>U100</f>
        <v>0</v>
      </c>
      <c r="AZ100" s="389">
        <f>SUM(AX100:AY100)</f>
        <v>0</v>
      </c>
      <c r="BA100" s="389">
        <f t="shared" si="114"/>
        <v>5792888</v>
      </c>
      <c r="BB100" s="389">
        <f t="shared" si="114"/>
        <v>0</v>
      </c>
      <c r="BC100" s="390">
        <f t="shared" si="115"/>
        <v>5792888</v>
      </c>
      <c r="BD100" s="83">
        <f t="shared" si="87"/>
        <v>1.7674285580771665E-2</v>
      </c>
    </row>
    <row r="101" spans="1:56">
      <c r="A101" s="170">
        <v>43132</v>
      </c>
      <c r="B101" s="378">
        <v>1746856</v>
      </c>
      <c r="C101" s="3">
        <v>0</v>
      </c>
      <c r="D101" s="3">
        <f t="shared" si="102"/>
        <v>1746856</v>
      </c>
      <c r="E101" s="3">
        <f t="shared" si="103"/>
        <v>2448400</v>
      </c>
      <c r="F101" s="3">
        <v>0</v>
      </c>
      <c r="G101" s="3">
        <f t="shared" si="104"/>
        <v>2448400</v>
      </c>
      <c r="H101" s="3">
        <v>389857</v>
      </c>
      <c r="I101" s="3">
        <v>0</v>
      </c>
      <c r="J101" s="3">
        <f t="shared" si="105"/>
        <v>389857</v>
      </c>
      <c r="K101" s="3">
        <v>0</v>
      </c>
      <c r="L101" s="3">
        <v>0</v>
      </c>
      <c r="M101" s="3">
        <f t="shared" si="106"/>
        <v>0</v>
      </c>
      <c r="N101" s="3">
        <f t="shared" si="107"/>
        <v>2926949</v>
      </c>
      <c r="O101" s="3">
        <v>0</v>
      </c>
      <c r="P101" s="3">
        <f t="shared" si="108"/>
        <v>2926949</v>
      </c>
      <c r="Q101" s="3">
        <v>54262</v>
      </c>
      <c r="R101" s="3">
        <v>0</v>
      </c>
      <c r="S101" s="3">
        <f t="shared" si="109"/>
        <v>54262</v>
      </c>
      <c r="T101" s="3">
        <v>0</v>
      </c>
      <c r="U101" s="3">
        <v>0</v>
      </c>
      <c r="V101" s="3">
        <f t="shared" si="110"/>
        <v>0</v>
      </c>
      <c r="W101" s="3">
        <f t="shared" si="111"/>
        <v>7566324</v>
      </c>
      <c r="X101" s="3">
        <f t="shared" si="111"/>
        <v>0</v>
      </c>
      <c r="Y101" s="379">
        <f t="shared" si="112"/>
        <v>7566324</v>
      </c>
      <c r="Z101" s="3">
        <v>0</v>
      </c>
      <c r="AA101" s="3">
        <v>2448400</v>
      </c>
      <c r="AB101" s="380">
        <f t="shared" si="116"/>
        <v>2448400</v>
      </c>
      <c r="AC101" s="3">
        <v>0</v>
      </c>
      <c r="AD101" s="3">
        <v>2926949</v>
      </c>
      <c r="AE101" s="380">
        <f t="shared" si="145"/>
        <v>2926949</v>
      </c>
      <c r="AF101" s="381">
        <f t="shared" ref="AF101:AG111" si="146">B101+AF100</f>
        <v>3938493</v>
      </c>
      <c r="AG101" s="177">
        <f t="shared" si="146"/>
        <v>0</v>
      </c>
      <c r="AH101" s="177">
        <f t="shared" ref="AH101:AH108" si="147">AG101+AF101</f>
        <v>3938493</v>
      </c>
      <c r="AI101" s="177">
        <f>AI100+E101</f>
        <v>2995414</v>
      </c>
      <c r="AJ101" s="177">
        <f>AJ100+F101</f>
        <v>0</v>
      </c>
      <c r="AK101" s="177">
        <f t="shared" ref="AK101:AK108" si="148">AJ101+AI101</f>
        <v>2995414</v>
      </c>
      <c r="AL101" s="177">
        <f t="shared" ref="AL101:AM111" si="149">AL100+H101</f>
        <v>812420</v>
      </c>
      <c r="AM101" s="177">
        <f t="shared" si="149"/>
        <v>0</v>
      </c>
      <c r="AN101" s="177">
        <f t="shared" ref="AN101:AN108" si="150">AM101+AL101</f>
        <v>812420</v>
      </c>
      <c r="AO101" s="177">
        <f t="shared" ref="AO101:AP111" si="151">AO100+K101</f>
        <v>0</v>
      </c>
      <c r="AP101" s="177">
        <f t="shared" si="151"/>
        <v>0</v>
      </c>
      <c r="AQ101" s="177">
        <f t="shared" ref="AQ101:AQ108" si="152">AP101+AO101</f>
        <v>0</v>
      </c>
      <c r="AR101" s="177">
        <f t="shared" ref="AR101:AS111" si="153">AR100+N101</f>
        <v>5558623</v>
      </c>
      <c r="AS101" s="177">
        <f t="shared" si="153"/>
        <v>0</v>
      </c>
      <c r="AT101" s="177">
        <f t="shared" ref="AT101:AT108" si="154">AS101+AR101</f>
        <v>5558623</v>
      </c>
      <c r="AU101" s="177">
        <f t="shared" ref="AU101:AV111" si="155">AU100+Q101</f>
        <v>54262</v>
      </c>
      <c r="AV101" s="177">
        <f t="shared" si="155"/>
        <v>0</v>
      </c>
      <c r="AW101" s="177">
        <f t="shared" ref="AW101:AW108" si="156">AV101+AU101</f>
        <v>54262</v>
      </c>
      <c r="AX101" s="177">
        <f>AX100+T101</f>
        <v>0</v>
      </c>
      <c r="AY101" s="177">
        <f>AY100+U101</f>
        <v>0</v>
      </c>
      <c r="AZ101" s="177">
        <f>SUM(AX101:AY101)</f>
        <v>0</v>
      </c>
      <c r="BA101" s="177">
        <f t="shared" si="114"/>
        <v>13359212</v>
      </c>
      <c r="BB101" s="177">
        <f t="shared" si="114"/>
        <v>0</v>
      </c>
      <c r="BC101" s="382">
        <f t="shared" si="115"/>
        <v>13359212</v>
      </c>
      <c r="BD101" s="83">
        <f t="shared" si="87"/>
        <v>0.20601515678535032</v>
      </c>
    </row>
    <row r="102" spans="1:56">
      <c r="A102" s="170">
        <v>43160</v>
      </c>
      <c r="B102" s="378">
        <v>2029616</v>
      </c>
      <c r="C102" s="3">
        <v>0</v>
      </c>
      <c r="D102" s="3">
        <f t="shared" si="102"/>
        <v>2029616</v>
      </c>
      <c r="E102" s="3">
        <f t="shared" si="103"/>
        <v>3862361</v>
      </c>
      <c r="F102" s="3">
        <v>0</v>
      </c>
      <c r="G102" s="3">
        <f t="shared" si="104"/>
        <v>3862361</v>
      </c>
      <c r="H102" s="3">
        <v>396802</v>
      </c>
      <c r="I102" s="3">
        <v>0</v>
      </c>
      <c r="J102" s="3">
        <f t="shared" si="105"/>
        <v>396802</v>
      </c>
      <c r="K102" s="3">
        <v>0</v>
      </c>
      <c r="L102" s="3">
        <v>0</v>
      </c>
      <c r="M102" s="3">
        <f t="shared" si="106"/>
        <v>0</v>
      </c>
      <c r="N102" s="3">
        <f t="shared" si="107"/>
        <v>3561886</v>
      </c>
      <c r="O102" s="3">
        <v>0</v>
      </c>
      <c r="P102" s="3">
        <f t="shared" si="108"/>
        <v>3561886</v>
      </c>
      <c r="Q102" s="3">
        <v>69321</v>
      </c>
      <c r="R102" s="3">
        <v>0</v>
      </c>
      <c r="S102" s="3">
        <f t="shared" si="109"/>
        <v>69321</v>
      </c>
      <c r="T102" s="3">
        <v>0</v>
      </c>
      <c r="U102" s="3">
        <v>0</v>
      </c>
      <c r="V102" s="3">
        <f t="shared" si="110"/>
        <v>0</v>
      </c>
      <c r="W102" s="3">
        <f t="shared" si="111"/>
        <v>9919986</v>
      </c>
      <c r="X102" s="3">
        <f t="shared" si="111"/>
        <v>0</v>
      </c>
      <c r="Y102" s="379">
        <f t="shared" si="112"/>
        <v>9919986</v>
      </c>
      <c r="Z102" s="3">
        <v>0</v>
      </c>
      <c r="AA102" s="3">
        <v>3862361</v>
      </c>
      <c r="AB102" s="380">
        <f t="shared" si="116"/>
        <v>3862361</v>
      </c>
      <c r="AC102" s="3">
        <v>0</v>
      </c>
      <c r="AD102" s="3">
        <v>3561886</v>
      </c>
      <c r="AE102" s="380">
        <f t="shared" si="145"/>
        <v>3561886</v>
      </c>
      <c r="AF102" s="381">
        <f t="shared" si="146"/>
        <v>5968109</v>
      </c>
      <c r="AG102" s="177">
        <f t="shared" si="146"/>
        <v>0</v>
      </c>
      <c r="AH102" s="177">
        <f t="shared" si="147"/>
        <v>5968109</v>
      </c>
      <c r="AI102" s="177">
        <f t="shared" ref="AI102:AJ111" si="157">AI101+E102</f>
        <v>6857775</v>
      </c>
      <c r="AJ102" s="177">
        <f t="shared" si="157"/>
        <v>0</v>
      </c>
      <c r="AK102" s="177">
        <f t="shared" si="148"/>
        <v>6857775</v>
      </c>
      <c r="AL102" s="177">
        <f t="shared" si="149"/>
        <v>1209222</v>
      </c>
      <c r="AM102" s="177">
        <f t="shared" si="149"/>
        <v>0</v>
      </c>
      <c r="AN102" s="177">
        <f t="shared" si="150"/>
        <v>1209222</v>
      </c>
      <c r="AO102" s="177">
        <f t="shared" si="151"/>
        <v>0</v>
      </c>
      <c r="AP102" s="177">
        <f t="shared" si="151"/>
        <v>0</v>
      </c>
      <c r="AQ102" s="177">
        <f t="shared" si="152"/>
        <v>0</v>
      </c>
      <c r="AR102" s="177">
        <f t="shared" si="153"/>
        <v>9120509</v>
      </c>
      <c r="AS102" s="177">
        <f t="shared" si="153"/>
        <v>0</v>
      </c>
      <c r="AT102" s="177">
        <f t="shared" si="154"/>
        <v>9120509</v>
      </c>
      <c r="AU102" s="177">
        <f t="shared" si="155"/>
        <v>123583</v>
      </c>
      <c r="AV102" s="177">
        <f t="shared" si="155"/>
        <v>0</v>
      </c>
      <c r="AW102" s="177">
        <f t="shared" si="156"/>
        <v>123583</v>
      </c>
      <c r="AX102" s="177">
        <f t="shared" ref="AX102:AY111" si="158">AX101+T102</f>
        <v>0</v>
      </c>
      <c r="AY102" s="177">
        <f t="shared" si="158"/>
        <v>0</v>
      </c>
      <c r="AZ102" s="177">
        <f t="shared" ref="AZ102:AZ111" si="159">SUM(AX102:AY102)</f>
        <v>0</v>
      </c>
      <c r="BA102" s="177">
        <f t="shared" si="114"/>
        <v>23279198</v>
      </c>
      <c r="BB102" s="177">
        <f t="shared" si="114"/>
        <v>0</v>
      </c>
      <c r="BC102" s="382">
        <f t="shared" si="115"/>
        <v>23279198</v>
      </c>
      <c r="BD102" s="83">
        <f t="shared" si="87"/>
        <v>0.48604537446058771</v>
      </c>
    </row>
    <row r="103" spans="1:56">
      <c r="A103" s="170">
        <v>43191</v>
      </c>
      <c r="B103" s="378">
        <v>2129955</v>
      </c>
      <c r="C103" s="3">
        <v>0</v>
      </c>
      <c r="D103" s="3">
        <f t="shared" si="102"/>
        <v>2129955</v>
      </c>
      <c r="E103" s="3">
        <f t="shared" si="103"/>
        <v>1752259</v>
      </c>
      <c r="F103" s="3">
        <v>0</v>
      </c>
      <c r="G103" s="3">
        <f t="shared" si="104"/>
        <v>1752259</v>
      </c>
      <c r="H103" s="3">
        <v>290391</v>
      </c>
      <c r="I103" s="3">
        <v>0</v>
      </c>
      <c r="J103" s="3">
        <f t="shared" si="105"/>
        <v>290391</v>
      </c>
      <c r="K103" s="3">
        <v>0</v>
      </c>
      <c r="L103" s="3">
        <v>0</v>
      </c>
      <c r="M103" s="3">
        <f t="shared" si="106"/>
        <v>0</v>
      </c>
      <c r="N103" s="3">
        <f t="shared" si="107"/>
        <v>2687925</v>
      </c>
      <c r="O103" s="3">
        <v>0</v>
      </c>
      <c r="P103" s="3">
        <f t="shared" si="108"/>
        <v>2687925</v>
      </c>
      <c r="Q103" s="3">
        <v>182174</v>
      </c>
      <c r="R103" s="3">
        <v>0</v>
      </c>
      <c r="S103" s="3">
        <f t="shared" si="109"/>
        <v>182174</v>
      </c>
      <c r="T103" s="3">
        <v>0</v>
      </c>
      <c r="U103" s="3">
        <v>0</v>
      </c>
      <c r="V103" s="3">
        <f t="shared" si="110"/>
        <v>0</v>
      </c>
      <c r="W103" s="3">
        <f t="shared" si="111"/>
        <v>7042704</v>
      </c>
      <c r="X103" s="3">
        <f t="shared" si="111"/>
        <v>0</v>
      </c>
      <c r="Y103" s="379">
        <f t="shared" si="112"/>
        <v>7042704</v>
      </c>
      <c r="Z103" s="3">
        <v>0</v>
      </c>
      <c r="AA103" s="3">
        <v>1752259</v>
      </c>
      <c r="AB103" s="380">
        <f t="shared" si="116"/>
        <v>1752259</v>
      </c>
      <c r="AC103" s="3">
        <v>0</v>
      </c>
      <c r="AD103" s="3">
        <v>2687925</v>
      </c>
      <c r="AE103" s="380">
        <f t="shared" si="145"/>
        <v>2687925</v>
      </c>
      <c r="AF103" s="381">
        <f t="shared" si="146"/>
        <v>8098064</v>
      </c>
      <c r="AG103" s="177">
        <f t="shared" si="146"/>
        <v>0</v>
      </c>
      <c r="AH103" s="177">
        <f t="shared" si="147"/>
        <v>8098064</v>
      </c>
      <c r="AI103" s="177">
        <f t="shared" si="157"/>
        <v>8610034</v>
      </c>
      <c r="AJ103" s="177">
        <f t="shared" si="157"/>
        <v>0</v>
      </c>
      <c r="AK103" s="177">
        <f t="shared" si="148"/>
        <v>8610034</v>
      </c>
      <c r="AL103" s="177">
        <f t="shared" si="149"/>
        <v>1499613</v>
      </c>
      <c r="AM103" s="177">
        <f t="shared" si="149"/>
        <v>0</v>
      </c>
      <c r="AN103" s="177">
        <f t="shared" si="150"/>
        <v>1499613</v>
      </c>
      <c r="AO103" s="177">
        <f t="shared" si="151"/>
        <v>0</v>
      </c>
      <c r="AP103" s="177">
        <f t="shared" si="151"/>
        <v>0</v>
      </c>
      <c r="AQ103" s="177">
        <f t="shared" si="152"/>
        <v>0</v>
      </c>
      <c r="AR103" s="177">
        <f t="shared" si="153"/>
        <v>11808434</v>
      </c>
      <c r="AS103" s="177">
        <f t="shared" si="153"/>
        <v>0</v>
      </c>
      <c r="AT103" s="177">
        <f t="shared" si="154"/>
        <v>11808434</v>
      </c>
      <c r="AU103" s="177">
        <f t="shared" si="155"/>
        <v>305757</v>
      </c>
      <c r="AV103" s="177">
        <f t="shared" si="155"/>
        <v>0</v>
      </c>
      <c r="AW103" s="177">
        <f t="shared" si="156"/>
        <v>305757</v>
      </c>
      <c r="AX103" s="177">
        <f t="shared" si="158"/>
        <v>0</v>
      </c>
      <c r="AY103" s="177">
        <f t="shared" si="158"/>
        <v>0</v>
      </c>
      <c r="AZ103" s="177">
        <f t="shared" si="159"/>
        <v>0</v>
      </c>
      <c r="BA103" s="177">
        <f t="shared" si="114"/>
        <v>30321902</v>
      </c>
      <c r="BB103" s="177">
        <f t="shared" si="114"/>
        <v>0</v>
      </c>
      <c r="BC103" s="382">
        <f t="shared" si="115"/>
        <v>30321902</v>
      </c>
      <c r="BD103" s="83">
        <f t="shared" si="87"/>
        <v>0.33682764862313852</v>
      </c>
    </row>
    <row r="104" spans="1:56">
      <c r="A104" s="170">
        <v>43221</v>
      </c>
      <c r="B104" s="378">
        <v>2025926</v>
      </c>
      <c r="C104" s="3">
        <v>0</v>
      </c>
      <c r="D104" s="3">
        <f t="shared" si="102"/>
        <v>2025926</v>
      </c>
      <c r="E104" s="3">
        <f t="shared" si="103"/>
        <v>731388</v>
      </c>
      <c r="F104" s="3">
        <v>0</v>
      </c>
      <c r="G104" s="3">
        <f t="shared" si="104"/>
        <v>731388</v>
      </c>
      <c r="H104" s="3">
        <v>137718</v>
      </c>
      <c r="I104" s="3">
        <v>0</v>
      </c>
      <c r="J104" s="3">
        <f t="shared" si="105"/>
        <v>137718</v>
      </c>
      <c r="K104" s="3">
        <v>0</v>
      </c>
      <c r="L104" s="3">
        <v>0</v>
      </c>
      <c r="M104" s="3">
        <f t="shared" si="106"/>
        <v>0</v>
      </c>
      <c r="N104" s="3">
        <f t="shared" si="107"/>
        <v>2818415</v>
      </c>
      <c r="O104" s="3">
        <v>0</v>
      </c>
      <c r="P104" s="3">
        <f t="shared" si="108"/>
        <v>2818415</v>
      </c>
      <c r="Q104" s="3">
        <v>225406</v>
      </c>
      <c r="R104" s="3">
        <v>0</v>
      </c>
      <c r="S104" s="3">
        <f t="shared" si="109"/>
        <v>225406</v>
      </c>
      <c r="T104" s="3">
        <v>0</v>
      </c>
      <c r="U104" s="3">
        <v>0</v>
      </c>
      <c r="V104" s="3">
        <f t="shared" si="110"/>
        <v>0</v>
      </c>
      <c r="W104" s="3">
        <f t="shared" si="111"/>
        <v>5938853</v>
      </c>
      <c r="X104" s="3">
        <f t="shared" si="111"/>
        <v>0</v>
      </c>
      <c r="Y104" s="379">
        <f t="shared" si="112"/>
        <v>5938853</v>
      </c>
      <c r="Z104" s="3">
        <v>0</v>
      </c>
      <c r="AA104" s="3">
        <v>731388</v>
      </c>
      <c r="AB104" s="380">
        <f t="shared" si="116"/>
        <v>731388</v>
      </c>
      <c r="AC104" s="3">
        <v>0</v>
      </c>
      <c r="AD104" s="3">
        <v>2818415</v>
      </c>
      <c r="AE104" s="380">
        <f t="shared" si="145"/>
        <v>2818415</v>
      </c>
      <c r="AF104" s="381">
        <f t="shared" si="146"/>
        <v>10123990</v>
      </c>
      <c r="AG104" s="177">
        <f t="shared" si="146"/>
        <v>0</v>
      </c>
      <c r="AH104" s="177">
        <f t="shared" si="147"/>
        <v>10123990</v>
      </c>
      <c r="AI104" s="177">
        <f t="shared" si="157"/>
        <v>9341422</v>
      </c>
      <c r="AJ104" s="177">
        <f t="shared" si="157"/>
        <v>0</v>
      </c>
      <c r="AK104" s="177">
        <f t="shared" si="148"/>
        <v>9341422</v>
      </c>
      <c r="AL104" s="177">
        <f t="shared" si="149"/>
        <v>1637331</v>
      </c>
      <c r="AM104" s="177">
        <f t="shared" si="149"/>
        <v>0</v>
      </c>
      <c r="AN104" s="177">
        <f t="shared" si="150"/>
        <v>1637331</v>
      </c>
      <c r="AO104" s="177">
        <f t="shared" si="151"/>
        <v>0</v>
      </c>
      <c r="AP104" s="177">
        <f t="shared" si="151"/>
        <v>0</v>
      </c>
      <c r="AQ104" s="177">
        <f t="shared" si="152"/>
        <v>0</v>
      </c>
      <c r="AR104" s="177">
        <f t="shared" si="153"/>
        <v>14626849</v>
      </c>
      <c r="AS104" s="177">
        <f t="shared" si="153"/>
        <v>0</v>
      </c>
      <c r="AT104" s="177">
        <f t="shared" si="154"/>
        <v>14626849</v>
      </c>
      <c r="AU104" s="177">
        <f t="shared" si="155"/>
        <v>531163</v>
      </c>
      <c r="AV104" s="177">
        <f t="shared" si="155"/>
        <v>0</v>
      </c>
      <c r="AW104" s="177">
        <f t="shared" si="156"/>
        <v>531163</v>
      </c>
      <c r="AX104" s="177">
        <f t="shared" si="158"/>
        <v>0</v>
      </c>
      <c r="AY104" s="177">
        <f t="shared" si="158"/>
        <v>0</v>
      </c>
      <c r="AZ104" s="177">
        <f t="shared" si="159"/>
        <v>0</v>
      </c>
      <c r="BA104" s="177">
        <f t="shared" si="114"/>
        <v>36260755</v>
      </c>
      <c r="BB104" s="177">
        <f t="shared" si="114"/>
        <v>0</v>
      </c>
      <c r="BC104" s="382">
        <f t="shared" si="115"/>
        <v>36260755</v>
      </c>
      <c r="BD104" s="83">
        <f t="shared" si="87"/>
        <v>6.7090234509454838E-3</v>
      </c>
    </row>
    <row r="105" spans="1:56">
      <c r="A105" s="170">
        <v>43252</v>
      </c>
      <c r="B105" s="378">
        <v>2194561</v>
      </c>
      <c r="C105" s="3">
        <v>0</v>
      </c>
      <c r="D105" s="3">
        <f t="shared" si="102"/>
        <v>2194561</v>
      </c>
      <c r="E105" s="3">
        <f t="shared" si="103"/>
        <v>1582201</v>
      </c>
      <c r="F105" s="3">
        <v>0</v>
      </c>
      <c r="G105" s="3">
        <f t="shared" si="104"/>
        <v>1582201</v>
      </c>
      <c r="H105" s="3">
        <v>91471</v>
      </c>
      <c r="I105" s="3">
        <v>0</v>
      </c>
      <c r="J105" s="3">
        <f t="shared" si="105"/>
        <v>91471</v>
      </c>
      <c r="K105" s="3">
        <v>0</v>
      </c>
      <c r="L105" s="3">
        <v>0</v>
      </c>
      <c r="M105" s="3">
        <f t="shared" si="106"/>
        <v>0</v>
      </c>
      <c r="N105" s="3">
        <f t="shared" si="107"/>
        <v>415782</v>
      </c>
      <c r="O105" s="3">
        <v>0</v>
      </c>
      <c r="P105" s="3">
        <f t="shared" si="108"/>
        <v>415782</v>
      </c>
      <c r="Q105" s="3">
        <v>356242</v>
      </c>
      <c r="R105" s="3">
        <v>0</v>
      </c>
      <c r="S105" s="3">
        <f t="shared" si="109"/>
        <v>356242</v>
      </c>
      <c r="T105" s="3">
        <v>0</v>
      </c>
      <c r="U105" s="3">
        <v>0</v>
      </c>
      <c r="V105" s="3">
        <f t="shared" si="110"/>
        <v>0</v>
      </c>
      <c r="W105" s="3">
        <f t="shared" si="111"/>
        <v>4640257</v>
      </c>
      <c r="X105" s="3">
        <f t="shared" si="111"/>
        <v>0</v>
      </c>
      <c r="Y105" s="379">
        <f t="shared" si="112"/>
        <v>4640257</v>
      </c>
      <c r="Z105" s="3">
        <v>0</v>
      </c>
      <c r="AA105" s="3">
        <v>1582201</v>
      </c>
      <c r="AB105" s="380">
        <f t="shared" si="116"/>
        <v>1582201</v>
      </c>
      <c r="AC105" s="3">
        <v>0</v>
      </c>
      <c r="AD105" s="3">
        <v>415782</v>
      </c>
      <c r="AE105" s="380">
        <f t="shared" si="145"/>
        <v>415782</v>
      </c>
      <c r="AF105" s="381">
        <f t="shared" si="146"/>
        <v>12318551</v>
      </c>
      <c r="AG105" s="177">
        <f t="shared" si="146"/>
        <v>0</v>
      </c>
      <c r="AH105" s="177">
        <f t="shared" si="147"/>
        <v>12318551</v>
      </c>
      <c r="AI105" s="177">
        <f t="shared" si="157"/>
        <v>10923623</v>
      </c>
      <c r="AJ105" s="177">
        <f t="shared" si="157"/>
        <v>0</v>
      </c>
      <c r="AK105" s="177">
        <f t="shared" si="148"/>
        <v>10923623</v>
      </c>
      <c r="AL105" s="177">
        <f t="shared" si="149"/>
        <v>1728802</v>
      </c>
      <c r="AM105" s="177">
        <f t="shared" si="149"/>
        <v>0</v>
      </c>
      <c r="AN105" s="177">
        <f t="shared" si="150"/>
        <v>1728802</v>
      </c>
      <c r="AO105" s="177">
        <f t="shared" si="151"/>
        <v>0</v>
      </c>
      <c r="AP105" s="177">
        <f t="shared" si="151"/>
        <v>0</v>
      </c>
      <c r="AQ105" s="177">
        <f t="shared" si="152"/>
        <v>0</v>
      </c>
      <c r="AR105" s="177">
        <f t="shared" si="153"/>
        <v>15042631</v>
      </c>
      <c r="AS105" s="177">
        <f t="shared" si="153"/>
        <v>0</v>
      </c>
      <c r="AT105" s="177">
        <f t="shared" si="154"/>
        <v>15042631</v>
      </c>
      <c r="AU105" s="177">
        <f t="shared" si="155"/>
        <v>887405</v>
      </c>
      <c r="AV105" s="177">
        <f t="shared" si="155"/>
        <v>0</v>
      </c>
      <c r="AW105" s="177">
        <f t="shared" si="156"/>
        <v>887405</v>
      </c>
      <c r="AX105" s="177">
        <f t="shared" si="158"/>
        <v>0</v>
      </c>
      <c r="AY105" s="177">
        <f t="shared" si="158"/>
        <v>0</v>
      </c>
      <c r="AZ105" s="177">
        <f t="shared" si="159"/>
        <v>0</v>
      </c>
      <c r="BA105" s="177">
        <f t="shared" si="114"/>
        <v>40901012</v>
      </c>
      <c r="BB105" s="177">
        <f t="shared" si="114"/>
        <v>0</v>
      </c>
      <c r="BC105" s="382">
        <f t="shared" si="115"/>
        <v>40901012</v>
      </c>
      <c r="BD105" s="83">
        <f t="shared" si="87"/>
        <v>-0.21403445310987923</v>
      </c>
    </row>
    <row r="106" spans="1:56">
      <c r="A106" s="170">
        <v>43282</v>
      </c>
      <c r="B106" s="378">
        <v>2183916</v>
      </c>
      <c r="C106" s="3">
        <v>0</v>
      </c>
      <c r="D106" s="3">
        <f t="shared" si="102"/>
        <v>2183916</v>
      </c>
      <c r="E106" s="3">
        <f t="shared" si="103"/>
        <v>4232694</v>
      </c>
      <c r="F106" s="3">
        <v>0</v>
      </c>
      <c r="G106" s="3">
        <f t="shared" si="104"/>
        <v>4232694</v>
      </c>
      <c r="H106" s="3">
        <v>39200</v>
      </c>
      <c r="I106" s="3">
        <v>0</v>
      </c>
      <c r="J106" s="3">
        <f t="shared" si="105"/>
        <v>39200</v>
      </c>
      <c r="K106" s="3">
        <v>0</v>
      </c>
      <c r="L106" s="3">
        <v>0</v>
      </c>
      <c r="M106" s="3">
        <f t="shared" si="106"/>
        <v>0</v>
      </c>
      <c r="N106" s="3">
        <f t="shared" si="107"/>
        <v>55991</v>
      </c>
      <c r="O106" s="3">
        <v>0</v>
      </c>
      <c r="P106" s="3">
        <f t="shared" si="108"/>
        <v>55991</v>
      </c>
      <c r="Q106" s="3">
        <v>109444</v>
      </c>
      <c r="R106" s="3">
        <v>0</v>
      </c>
      <c r="S106" s="3">
        <f t="shared" si="109"/>
        <v>109444</v>
      </c>
      <c r="T106" s="3">
        <v>0</v>
      </c>
      <c r="U106" s="3">
        <v>0</v>
      </c>
      <c r="V106" s="3">
        <f t="shared" si="110"/>
        <v>0</v>
      </c>
      <c r="W106" s="3">
        <f t="shared" si="111"/>
        <v>6621245</v>
      </c>
      <c r="X106" s="3">
        <f t="shared" si="111"/>
        <v>0</v>
      </c>
      <c r="Y106" s="379">
        <f t="shared" si="112"/>
        <v>6621245</v>
      </c>
      <c r="Z106" s="3">
        <v>0</v>
      </c>
      <c r="AA106" s="3">
        <v>4232694</v>
      </c>
      <c r="AB106" s="380">
        <f t="shared" si="116"/>
        <v>4232694</v>
      </c>
      <c r="AC106" s="3">
        <v>0</v>
      </c>
      <c r="AD106" s="3">
        <v>55991</v>
      </c>
      <c r="AE106" s="380">
        <f t="shared" si="145"/>
        <v>55991</v>
      </c>
      <c r="AF106" s="381">
        <f t="shared" si="146"/>
        <v>14502467</v>
      </c>
      <c r="AG106" s="177">
        <f t="shared" si="146"/>
        <v>0</v>
      </c>
      <c r="AH106" s="177">
        <f t="shared" si="147"/>
        <v>14502467</v>
      </c>
      <c r="AI106" s="177">
        <f t="shared" si="157"/>
        <v>15156317</v>
      </c>
      <c r="AJ106" s="177">
        <f t="shared" si="157"/>
        <v>0</v>
      </c>
      <c r="AK106" s="177">
        <f t="shared" si="148"/>
        <v>15156317</v>
      </c>
      <c r="AL106" s="177">
        <f t="shared" si="149"/>
        <v>1768002</v>
      </c>
      <c r="AM106" s="177">
        <f t="shared" si="149"/>
        <v>0</v>
      </c>
      <c r="AN106" s="177">
        <f t="shared" si="150"/>
        <v>1768002</v>
      </c>
      <c r="AO106" s="177">
        <f t="shared" si="151"/>
        <v>0</v>
      </c>
      <c r="AP106" s="177">
        <f t="shared" si="151"/>
        <v>0</v>
      </c>
      <c r="AQ106" s="177">
        <f t="shared" si="152"/>
        <v>0</v>
      </c>
      <c r="AR106" s="177">
        <f t="shared" si="153"/>
        <v>15098622</v>
      </c>
      <c r="AS106" s="177">
        <f t="shared" si="153"/>
        <v>0</v>
      </c>
      <c r="AT106" s="177">
        <f t="shared" si="154"/>
        <v>15098622</v>
      </c>
      <c r="AU106" s="177">
        <f t="shared" si="155"/>
        <v>996849</v>
      </c>
      <c r="AV106" s="177">
        <f t="shared" si="155"/>
        <v>0</v>
      </c>
      <c r="AW106" s="177">
        <f t="shared" si="156"/>
        <v>996849</v>
      </c>
      <c r="AX106" s="177">
        <f t="shared" si="158"/>
        <v>0</v>
      </c>
      <c r="AY106" s="177">
        <f t="shared" si="158"/>
        <v>0</v>
      </c>
      <c r="AZ106" s="177">
        <f t="shared" si="159"/>
        <v>0</v>
      </c>
      <c r="BA106" s="177">
        <f t="shared" si="114"/>
        <v>47522257</v>
      </c>
      <c r="BB106" s="177">
        <f t="shared" si="114"/>
        <v>0</v>
      </c>
      <c r="BC106" s="382">
        <f t="shared" si="115"/>
        <v>47522257</v>
      </c>
      <c r="BD106" s="83">
        <f t="shared" si="87"/>
        <v>-0.17139262546563361</v>
      </c>
    </row>
    <row r="107" spans="1:56">
      <c r="A107" s="170">
        <v>43313</v>
      </c>
      <c r="B107" s="378">
        <v>2143845</v>
      </c>
      <c r="C107" s="3">
        <v>20110256</v>
      </c>
      <c r="D107" s="3">
        <f t="shared" si="102"/>
        <v>22254101</v>
      </c>
      <c r="E107" s="3">
        <f t="shared" si="103"/>
        <v>3635368</v>
      </c>
      <c r="F107" s="3">
        <v>0</v>
      </c>
      <c r="G107" s="3">
        <f t="shared" si="104"/>
        <v>3635368</v>
      </c>
      <c r="H107" s="3">
        <v>0</v>
      </c>
      <c r="I107" s="3">
        <v>0</v>
      </c>
      <c r="J107" s="3">
        <f t="shared" si="105"/>
        <v>0</v>
      </c>
      <c r="K107" s="3">
        <v>0</v>
      </c>
      <c r="L107" s="3">
        <v>0</v>
      </c>
      <c r="M107" s="3">
        <f t="shared" si="106"/>
        <v>0</v>
      </c>
      <c r="N107" s="3">
        <f t="shared" si="107"/>
        <v>2672075</v>
      </c>
      <c r="O107" s="3">
        <v>0</v>
      </c>
      <c r="P107" s="3">
        <f t="shared" si="108"/>
        <v>2672075</v>
      </c>
      <c r="Q107" s="3">
        <v>24246</v>
      </c>
      <c r="R107" s="3">
        <v>0</v>
      </c>
      <c r="S107" s="3">
        <f t="shared" si="109"/>
        <v>24246</v>
      </c>
      <c r="T107" s="3">
        <v>0</v>
      </c>
      <c r="U107" s="3">
        <v>0</v>
      </c>
      <c r="V107" s="3">
        <f t="shared" si="110"/>
        <v>0</v>
      </c>
      <c r="W107" s="3">
        <f t="shared" si="111"/>
        <v>8475534</v>
      </c>
      <c r="X107" s="3">
        <f t="shared" si="111"/>
        <v>20110256</v>
      </c>
      <c r="Y107" s="379">
        <f t="shared" si="112"/>
        <v>28585790</v>
      </c>
      <c r="Z107" s="3">
        <v>0</v>
      </c>
      <c r="AA107" s="3">
        <v>3635368</v>
      </c>
      <c r="AB107" s="380">
        <f t="shared" si="116"/>
        <v>3635368</v>
      </c>
      <c r="AC107" s="3">
        <v>0</v>
      </c>
      <c r="AD107" s="3">
        <v>2672075</v>
      </c>
      <c r="AE107" s="380">
        <f t="shared" si="145"/>
        <v>2672075</v>
      </c>
      <c r="AF107" s="381">
        <f t="shared" si="146"/>
        <v>16646312</v>
      </c>
      <c r="AG107" s="177">
        <f t="shared" si="146"/>
        <v>20110256</v>
      </c>
      <c r="AH107" s="177">
        <f t="shared" si="147"/>
        <v>36756568</v>
      </c>
      <c r="AI107" s="177">
        <f t="shared" si="157"/>
        <v>18791685</v>
      </c>
      <c r="AJ107" s="177">
        <f t="shared" si="157"/>
        <v>0</v>
      </c>
      <c r="AK107" s="177">
        <f t="shared" si="148"/>
        <v>18791685</v>
      </c>
      <c r="AL107" s="177">
        <f t="shared" si="149"/>
        <v>1768002</v>
      </c>
      <c r="AM107" s="177">
        <f t="shared" si="149"/>
        <v>0</v>
      </c>
      <c r="AN107" s="177">
        <f t="shared" si="150"/>
        <v>1768002</v>
      </c>
      <c r="AO107" s="177">
        <f t="shared" si="151"/>
        <v>0</v>
      </c>
      <c r="AP107" s="177">
        <f t="shared" si="151"/>
        <v>0</v>
      </c>
      <c r="AQ107" s="177">
        <f t="shared" si="152"/>
        <v>0</v>
      </c>
      <c r="AR107" s="177">
        <f t="shared" si="153"/>
        <v>17770697</v>
      </c>
      <c r="AS107" s="177">
        <f t="shared" si="153"/>
        <v>0</v>
      </c>
      <c r="AT107" s="177">
        <f t="shared" si="154"/>
        <v>17770697</v>
      </c>
      <c r="AU107" s="177">
        <f t="shared" si="155"/>
        <v>1021095</v>
      </c>
      <c r="AV107" s="177">
        <f t="shared" si="155"/>
        <v>0</v>
      </c>
      <c r="AW107" s="177">
        <f t="shared" si="156"/>
        <v>1021095</v>
      </c>
      <c r="AX107" s="177">
        <f t="shared" si="158"/>
        <v>0</v>
      </c>
      <c r="AY107" s="177">
        <f t="shared" si="158"/>
        <v>0</v>
      </c>
      <c r="AZ107" s="177">
        <f t="shared" si="159"/>
        <v>0</v>
      </c>
      <c r="BA107" s="177">
        <f t="shared" si="114"/>
        <v>55997791</v>
      </c>
      <c r="BB107" s="177">
        <f t="shared" si="114"/>
        <v>20110256</v>
      </c>
      <c r="BC107" s="382">
        <f t="shared" si="115"/>
        <v>76108047</v>
      </c>
      <c r="BD107" s="83">
        <f t="shared" si="87"/>
        <v>-0.11013652067359303</v>
      </c>
    </row>
    <row r="108" spans="1:56">
      <c r="A108" s="170">
        <v>43344</v>
      </c>
      <c r="B108" s="378">
        <v>2068219</v>
      </c>
      <c r="C108" s="3">
        <v>4202525</v>
      </c>
      <c r="D108" s="3">
        <f t="shared" si="102"/>
        <v>6270744</v>
      </c>
      <c r="E108" s="3">
        <f t="shared" si="103"/>
        <v>6171296</v>
      </c>
      <c r="F108" s="3">
        <v>0</v>
      </c>
      <c r="G108" s="3">
        <f t="shared" si="104"/>
        <v>6171296</v>
      </c>
      <c r="H108" s="3">
        <v>36376</v>
      </c>
      <c r="I108" s="3">
        <v>0</v>
      </c>
      <c r="J108" s="3">
        <f t="shared" si="105"/>
        <v>36376</v>
      </c>
      <c r="K108" s="3">
        <v>0</v>
      </c>
      <c r="L108" s="3">
        <v>0</v>
      </c>
      <c r="M108" s="3">
        <f t="shared" si="106"/>
        <v>0</v>
      </c>
      <c r="N108" s="3">
        <f t="shared" si="107"/>
        <v>4211843</v>
      </c>
      <c r="O108" s="3">
        <v>0</v>
      </c>
      <c r="P108" s="3">
        <f t="shared" si="108"/>
        <v>4211843</v>
      </c>
      <c r="Q108" s="3">
        <v>23560</v>
      </c>
      <c r="R108" s="3">
        <v>0</v>
      </c>
      <c r="S108" s="3">
        <f t="shared" si="109"/>
        <v>23560</v>
      </c>
      <c r="T108" s="3">
        <v>0</v>
      </c>
      <c r="U108" s="3">
        <v>0</v>
      </c>
      <c r="V108" s="3">
        <f t="shared" si="110"/>
        <v>0</v>
      </c>
      <c r="W108" s="3">
        <f t="shared" si="111"/>
        <v>12511294</v>
      </c>
      <c r="X108" s="3">
        <f t="shared" si="111"/>
        <v>4202525</v>
      </c>
      <c r="Y108" s="379">
        <f t="shared" si="112"/>
        <v>16713819</v>
      </c>
      <c r="Z108" s="3">
        <v>0</v>
      </c>
      <c r="AA108" s="3">
        <v>6171296</v>
      </c>
      <c r="AB108" s="380">
        <f t="shared" si="116"/>
        <v>6171296</v>
      </c>
      <c r="AC108" s="3">
        <v>0</v>
      </c>
      <c r="AD108" s="3">
        <v>4211843</v>
      </c>
      <c r="AE108" s="380">
        <f t="shared" si="145"/>
        <v>4211843</v>
      </c>
      <c r="AF108" s="381">
        <f t="shared" si="146"/>
        <v>18714531</v>
      </c>
      <c r="AG108" s="177">
        <f t="shared" si="146"/>
        <v>24312781</v>
      </c>
      <c r="AH108" s="177">
        <f t="shared" si="147"/>
        <v>43027312</v>
      </c>
      <c r="AI108" s="177">
        <f t="shared" si="157"/>
        <v>24962981</v>
      </c>
      <c r="AJ108" s="177">
        <f t="shared" si="157"/>
        <v>0</v>
      </c>
      <c r="AK108" s="177">
        <f t="shared" si="148"/>
        <v>24962981</v>
      </c>
      <c r="AL108" s="177">
        <f t="shared" si="149"/>
        <v>1804378</v>
      </c>
      <c r="AM108" s="177">
        <f t="shared" si="149"/>
        <v>0</v>
      </c>
      <c r="AN108" s="177">
        <f t="shared" si="150"/>
        <v>1804378</v>
      </c>
      <c r="AO108" s="177">
        <f t="shared" si="151"/>
        <v>0</v>
      </c>
      <c r="AP108" s="177">
        <f t="shared" si="151"/>
        <v>0</v>
      </c>
      <c r="AQ108" s="177">
        <f t="shared" si="152"/>
        <v>0</v>
      </c>
      <c r="AR108" s="177">
        <f t="shared" si="153"/>
        <v>21982540</v>
      </c>
      <c r="AS108" s="177">
        <f t="shared" si="153"/>
        <v>0</v>
      </c>
      <c r="AT108" s="177">
        <f t="shared" si="154"/>
        <v>21982540</v>
      </c>
      <c r="AU108" s="177">
        <f t="shared" si="155"/>
        <v>1044655</v>
      </c>
      <c r="AV108" s="177">
        <f t="shared" si="155"/>
        <v>0</v>
      </c>
      <c r="AW108" s="177">
        <f t="shared" si="156"/>
        <v>1044655</v>
      </c>
      <c r="AX108" s="177">
        <f t="shared" si="158"/>
        <v>0</v>
      </c>
      <c r="AY108" s="177">
        <f t="shared" si="158"/>
        <v>0</v>
      </c>
      <c r="AZ108" s="177">
        <f t="shared" si="159"/>
        <v>0</v>
      </c>
      <c r="BA108" s="177">
        <f t="shared" si="114"/>
        <v>68509085</v>
      </c>
      <c r="BB108" s="177">
        <f t="shared" si="114"/>
        <v>24312781</v>
      </c>
      <c r="BC108" s="382">
        <f t="shared" si="115"/>
        <v>92821866</v>
      </c>
      <c r="BD108" s="83">
        <f t="shared" si="87"/>
        <v>-9.2882888736797953E-2</v>
      </c>
    </row>
    <row r="109" spans="1:56">
      <c r="A109" s="170">
        <v>43374</v>
      </c>
      <c r="B109" s="378">
        <v>2077899</v>
      </c>
      <c r="C109" s="3">
        <v>19292506</v>
      </c>
      <c r="D109" s="3">
        <f t="shared" si="102"/>
        <v>21370405</v>
      </c>
      <c r="E109" s="3">
        <f t="shared" si="103"/>
        <v>5269287</v>
      </c>
      <c r="F109" s="3">
        <v>0</v>
      </c>
      <c r="G109" s="3">
        <f t="shared" si="104"/>
        <v>5269287</v>
      </c>
      <c r="H109" s="3">
        <v>141969</v>
      </c>
      <c r="I109" s="3">
        <v>0</v>
      </c>
      <c r="J109" s="3">
        <f t="shared" si="105"/>
        <v>141969</v>
      </c>
      <c r="K109" s="3">
        <v>0</v>
      </c>
      <c r="L109" s="3">
        <v>0</v>
      </c>
      <c r="M109" s="3">
        <f t="shared" si="106"/>
        <v>0</v>
      </c>
      <c r="N109" s="3">
        <f t="shared" si="107"/>
        <v>3339313</v>
      </c>
      <c r="O109" s="3">
        <v>0</v>
      </c>
      <c r="P109" s="3">
        <f t="shared" si="108"/>
        <v>3339313</v>
      </c>
      <c r="Q109" s="3">
        <v>18751</v>
      </c>
      <c r="R109" s="3">
        <v>0</v>
      </c>
      <c r="S109" s="3">
        <f t="shared" si="109"/>
        <v>18751</v>
      </c>
      <c r="T109" s="3">
        <v>0</v>
      </c>
      <c r="U109" s="3">
        <v>0</v>
      </c>
      <c r="V109" s="3">
        <f t="shared" si="110"/>
        <v>0</v>
      </c>
      <c r="W109" s="3">
        <f t="shared" si="111"/>
        <v>10847219</v>
      </c>
      <c r="X109" s="3">
        <f t="shared" si="111"/>
        <v>19292506</v>
      </c>
      <c r="Y109" s="379">
        <f t="shared" si="112"/>
        <v>30139725</v>
      </c>
      <c r="Z109" s="3">
        <v>0</v>
      </c>
      <c r="AA109" s="3">
        <v>5269287</v>
      </c>
      <c r="AB109" s="380">
        <f t="shared" si="116"/>
        <v>5269287</v>
      </c>
      <c r="AC109" s="3">
        <v>0</v>
      </c>
      <c r="AD109" s="3">
        <v>3339313</v>
      </c>
      <c r="AE109" s="380">
        <f t="shared" si="145"/>
        <v>3339313</v>
      </c>
      <c r="AF109" s="381">
        <f t="shared" si="146"/>
        <v>20792430</v>
      </c>
      <c r="AG109" s="177">
        <f t="shared" si="146"/>
        <v>43605287</v>
      </c>
      <c r="AH109" s="177">
        <f>AG109+AF109</f>
        <v>64397717</v>
      </c>
      <c r="AI109" s="177">
        <f t="shared" si="157"/>
        <v>30232268</v>
      </c>
      <c r="AJ109" s="177">
        <f>AJ108+F109</f>
        <v>0</v>
      </c>
      <c r="AK109" s="177">
        <f>AJ109+AI109</f>
        <v>30232268</v>
      </c>
      <c r="AL109" s="177">
        <f t="shared" si="149"/>
        <v>1946347</v>
      </c>
      <c r="AM109" s="177">
        <f t="shared" si="149"/>
        <v>0</v>
      </c>
      <c r="AN109" s="177">
        <f>AM109+AL109</f>
        <v>1946347</v>
      </c>
      <c r="AO109" s="177">
        <f t="shared" si="151"/>
        <v>0</v>
      </c>
      <c r="AP109" s="177">
        <f t="shared" si="151"/>
        <v>0</v>
      </c>
      <c r="AQ109" s="177">
        <f>AP109+AO109</f>
        <v>0</v>
      </c>
      <c r="AR109" s="177">
        <f t="shared" si="153"/>
        <v>25321853</v>
      </c>
      <c r="AS109" s="177">
        <f t="shared" si="153"/>
        <v>0</v>
      </c>
      <c r="AT109" s="177">
        <f>AS109+AR109</f>
        <v>25321853</v>
      </c>
      <c r="AU109" s="177">
        <f t="shared" si="155"/>
        <v>1063406</v>
      </c>
      <c r="AV109" s="177">
        <f t="shared" si="155"/>
        <v>0</v>
      </c>
      <c r="AW109" s="177">
        <f>AV109+AU109</f>
        <v>1063406</v>
      </c>
      <c r="AX109" s="177">
        <f t="shared" si="158"/>
        <v>0</v>
      </c>
      <c r="AY109" s="177">
        <f t="shared" si="158"/>
        <v>0</v>
      </c>
      <c r="AZ109" s="177">
        <f t="shared" si="159"/>
        <v>0</v>
      </c>
      <c r="BA109" s="177">
        <f t="shared" si="114"/>
        <v>79356304</v>
      </c>
      <c r="BB109" s="177">
        <f t="shared" si="114"/>
        <v>43605287</v>
      </c>
      <c r="BC109" s="382">
        <f t="shared" si="115"/>
        <v>122961591</v>
      </c>
      <c r="BD109" s="83">
        <f t="shared" si="87"/>
        <v>0.13946662087112949</v>
      </c>
    </row>
    <row r="110" spans="1:56">
      <c r="A110" s="170">
        <v>43405</v>
      </c>
      <c r="B110" s="378">
        <v>1930932</v>
      </c>
      <c r="C110" s="3">
        <v>10885655</v>
      </c>
      <c r="D110" s="3">
        <f t="shared" si="102"/>
        <v>12816587</v>
      </c>
      <c r="E110" s="3">
        <f t="shared" si="103"/>
        <v>5871294</v>
      </c>
      <c r="F110" s="3">
        <v>0</v>
      </c>
      <c r="G110" s="3">
        <f t="shared" si="104"/>
        <v>5871294</v>
      </c>
      <c r="H110" s="3">
        <v>481083</v>
      </c>
      <c r="I110" s="3">
        <v>0</v>
      </c>
      <c r="J110" s="3">
        <f t="shared" si="105"/>
        <v>481083</v>
      </c>
      <c r="K110" s="3">
        <v>0</v>
      </c>
      <c r="L110" s="3">
        <v>0</v>
      </c>
      <c r="M110" s="3">
        <f t="shared" si="106"/>
        <v>0</v>
      </c>
      <c r="N110" s="3">
        <f t="shared" si="107"/>
        <v>3122007</v>
      </c>
      <c r="O110" s="3">
        <v>0</v>
      </c>
      <c r="P110" s="3">
        <f t="shared" si="108"/>
        <v>3122007</v>
      </c>
      <c r="Q110" s="3">
        <v>47026</v>
      </c>
      <c r="R110" s="3">
        <v>0</v>
      </c>
      <c r="S110" s="3">
        <f t="shared" si="109"/>
        <v>47026</v>
      </c>
      <c r="T110" s="3">
        <v>203287</v>
      </c>
      <c r="U110" s="3">
        <v>0</v>
      </c>
      <c r="V110" s="3">
        <f t="shared" si="110"/>
        <v>203287</v>
      </c>
      <c r="W110" s="3">
        <f t="shared" si="111"/>
        <v>11655629</v>
      </c>
      <c r="X110" s="3">
        <f t="shared" si="111"/>
        <v>10885655</v>
      </c>
      <c r="Y110" s="379">
        <f t="shared" si="112"/>
        <v>22541284</v>
      </c>
      <c r="Z110" s="3">
        <v>0</v>
      </c>
      <c r="AA110" s="3">
        <v>5871294</v>
      </c>
      <c r="AB110" s="380">
        <f t="shared" si="116"/>
        <v>5871294</v>
      </c>
      <c r="AC110" s="3">
        <v>0</v>
      </c>
      <c r="AD110" s="3">
        <v>3122007</v>
      </c>
      <c r="AE110" s="380">
        <f t="shared" si="145"/>
        <v>3122007</v>
      </c>
      <c r="AF110" s="381">
        <f t="shared" si="146"/>
        <v>22723362</v>
      </c>
      <c r="AG110" s="177">
        <f t="shared" si="146"/>
        <v>54490942</v>
      </c>
      <c r="AH110" s="177">
        <f>AG110+AF110</f>
        <v>77214304</v>
      </c>
      <c r="AI110" s="177">
        <f t="shared" si="157"/>
        <v>36103562</v>
      </c>
      <c r="AJ110" s="177">
        <f>AJ109+F110</f>
        <v>0</v>
      </c>
      <c r="AK110" s="177">
        <f>AJ110+AI110</f>
        <v>36103562</v>
      </c>
      <c r="AL110" s="177">
        <f t="shared" si="149"/>
        <v>2427430</v>
      </c>
      <c r="AM110" s="177">
        <f t="shared" si="149"/>
        <v>0</v>
      </c>
      <c r="AN110" s="177">
        <f>AM110+AL110</f>
        <v>2427430</v>
      </c>
      <c r="AO110" s="177">
        <f t="shared" si="151"/>
        <v>0</v>
      </c>
      <c r="AP110" s="177">
        <f t="shared" si="151"/>
        <v>0</v>
      </c>
      <c r="AQ110" s="177">
        <f>AP110+AO110</f>
        <v>0</v>
      </c>
      <c r="AR110" s="177">
        <f t="shared" si="153"/>
        <v>28443860</v>
      </c>
      <c r="AS110" s="177">
        <f t="shared" si="153"/>
        <v>0</v>
      </c>
      <c r="AT110" s="177">
        <f>AS110+AR110</f>
        <v>28443860</v>
      </c>
      <c r="AU110" s="177">
        <f t="shared" si="155"/>
        <v>1110432</v>
      </c>
      <c r="AV110" s="177">
        <f t="shared" si="155"/>
        <v>0</v>
      </c>
      <c r="AW110" s="177">
        <f>AV110+AU110</f>
        <v>1110432</v>
      </c>
      <c r="AX110" s="177">
        <f t="shared" si="158"/>
        <v>203287</v>
      </c>
      <c r="AY110" s="177">
        <f t="shared" si="158"/>
        <v>0</v>
      </c>
      <c r="AZ110" s="177">
        <f t="shared" si="159"/>
        <v>203287</v>
      </c>
      <c r="BA110" s="177">
        <f t="shared" si="114"/>
        <v>91011933</v>
      </c>
      <c r="BB110" s="177">
        <f t="shared" si="114"/>
        <v>54490942</v>
      </c>
      <c r="BC110" s="382">
        <f t="shared" si="115"/>
        <v>145502875</v>
      </c>
      <c r="BD110" s="83">
        <f t="shared" si="87"/>
        <v>6.5187966565530386E-2</v>
      </c>
    </row>
    <row r="111" spans="1:56" ht="15.75" thickBot="1">
      <c r="A111" s="170">
        <v>43435</v>
      </c>
      <c r="B111" s="378">
        <v>1990329</v>
      </c>
      <c r="C111" s="3">
        <v>23177377</v>
      </c>
      <c r="D111" s="3">
        <f t="shared" si="102"/>
        <v>25167706</v>
      </c>
      <c r="E111" s="3">
        <f t="shared" si="103"/>
        <v>4029853</v>
      </c>
      <c r="F111" s="3">
        <v>0</v>
      </c>
      <c r="G111" s="3">
        <f t="shared" si="104"/>
        <v>4029853</v>
      </c>
      <c r="H111" s="3">
        <v>395182</v>
      </c>
      <c r="I111" s="3">
        <v>0</v>
      </c>
      <c r="J111" s="3">
        <f t="shared" si="105"/>
        <v>395182</v>
      </c>
      <c r="K111" s="3">
        <v>0</v>
      </c>
      <c r="L111" s="3">
        <v>0</v>
      </c>
      <c r="M111" s="3">
        <f t="shared" si="106"/>
        <v>0</v>
      </c>
      <c r="N111" s="3">
        <f t="shared" si="107"/>
        <v>3658074</v>
      </c>
      <c r="O111" s="3">
        <v>0</v>
      </c>
      <c r="P111" s="3">
        <f t="shared" si="108"/>
        <v>3658074</v>
      </c>
      <c r="Q111" s="3">
        <v>28345</v>
      </c>
      <c r="R111" s="3">
        <v>0</v>
      </c>
      <c r="S111" s="3">
        <f t="shared" si="109"/>
        <v>28345</v>
      </c>
      <c r="T111" s="3">
        <v>522781</v>
      </c>
      <c r="U111" s="3">
        <v>0</v>
      </c>
      <c r="V111" s="3">
        <f t="shared" si="110"/>
        <v>522781</v>
      </c>
      <c r="W111" s="3">
        <f t="shared" si="111"/>
        <v>10624564</v>
      </c>
      <c r="X111" s="3">
        <f t="shared" si="111"/>
        <v>23177377</v>
      </c>
      <c r="Y111" s="379">
        <f t="shared" si="112"/>
        <v>33801941</v>
      </c>
      <c r="Z111" s="3">
        <v>0</v>
      </c>
      <c r="AA111" s="3">
        <v>4029853</v>
      </c>
      <c r="AB111" s="380">
        <f t="shared" si="116"/>
        <v>4029853</v>
      </c>
      <c r="AC111" s="3">
        <v>0</v>
      </c>
      <c r="AD111" s="3">
        <v>3658074</v>
      </c>
      <c r="AE111" s="380">
        <f t="shared" si="145"/>
        <v>3658074</v>
      </c>
      <c r="AF111" s="381">
        <f t="shared" si="146"/>
        <v>24713691</v>
      </c>
      <c r="AG111" s="177">
        <f t="shared" si="146"/>
        <v>77668319</v>
      </c>
      <c r="AH111" s="177">
        <f>AG111+AF111</f>
        <v>102382010</v>
      </c>
      <c r="AI111" s="177">
        <f t="shared" si="157"/>
        <v>40133415</v>
      </c>
      <c r="AJ111" s="177">
        <f>AJ110+F111</f>
        <v>0</v>
      </c>
      <c r="AK111" s="177">
        <f>AJ111+AI111</f>
        <v>40133415</v>
      </c>
      <c r="AL111" s="177">
        <f t="shared" si="149"/>
        <v>2822612</v>
      </c>
      <c r="AM111" s="177">
        <f t="shared" si="149"/>
        <v>0</v>
      </c>
      <c r="AN111" s="177">
        <f>AM111+AL111</f>
        <v>2822612</v>
      </c>
      <c r="AO111" s="177">
        <f t="shared" si="151"/>
        <v>0</v>
      </c>
      <c r="AP111" s="177">
        <f t="shared" si="151"/>
        <v>0</v>
      </c>
      <c r="AQ111" s="177">
        <f>AP111+AO111</f>
        <v>0</v>
      </c>
      <c r="AR111" s="177">
        <f t="shared" si="153"/>
        <v>32101934</v>
      </c>
      <c r="AS111" s="177">
        <f t="shared" si="153"/>
        <v>0</v>
      </c>
      <c r="AT111" s="177">
        <f>AS111+AR111</f>
        <v>32101934</v>
      </c>
      <c r="AU111" s="177">
        <f t="shared" si="155"/>
        <v>1138777</v>
      </c>
      <c r="AV111" s="177">
        <f t="shared" si="155"/>
        <v>0</v>
      </c>
      <c r="AW111" s="177">
        <f>AV111+AU111</f>
        <v>1138777</v>
      </c>
      <c r="AX111" s="177">
        <f t="shared" si="158"/>
        <v>726068</v>
      </c>
      <c r="AY111" s="177">
        <f t="shared" si="158"/>
        <v>0</v>
      </c>
      <c r="AZ111" s="177">
        <f t="shared" si="159"/>
        <v>726068</v>
      </c>
      <c r="BA111" s="177">
        <f t="shared" si="114"/>
        <v>101636497</v>
      </c>
      <c r="BB111" s="177">
        <f t="shared" si="114"/>
        <v>77668319</v>
      </c>
      <c r="BC111" s="382">
        <f t="shared" si="115"/>
        <v>179304816</v>
      </c>
      <c r="BD111" s="83">
        <f t="shared" si="87"/>
        <v>0.24823595511906826</v>
      </c>
    </row>
    <row r="112" spans="1:56">
      <c r="A112" s="171">
        <v>43466</v>
      </c>
      <c r="B112" s="385">
        <v>2101339</v>
      </c>
      <c r="C112" s="104">
        <v>0</v>
      </c>
      <c r="D112" s="104">
        <f t="shared" si="102"/>
        <v>2101339</v>
      </c>
      <c r="E112" s="104">
        <f t="shared" si="103"/>
        <v>5068638</v>
      </c>
      <c r="F112" s="104">
        <v>0</v>
      </c>
      <c r="G112" s="104">
        <f t="shared" si="104"/>
        <v>5068638</v>
      </c>
      <c r="H112" s="104">
        <v>596129</v>
      </c>
      <c r="I112" s="104">
        <v>0</v>
      </c>
      <c r="J112" s="104">
        <f t="shared" si="105"/>
        <v>596129</v>
      </c>
      <c r="K112" s="104">
        <v>0</v>
      </c>
      <c r="L112" s="104">
        <v>0</v>
      </c>
      <c r="M112" s="104">
        <f t="shared" si="106"/>
        <v>0</v>
      </c>
      <c r="N112" s="104">
        <f t="shared" si="107"/>
        <v>2883364</v>
      </c>
      <c r="O112" s="104">
        <v>0</v>
      </c>
      <c r="P112" s="104">
        <f t="shared" si="108"/>
        <v>2883364</v>
      </c>
      <c r="Q112" s="104">
        <v>21965</v>
      </c>
      <c r="R112" s="104">
        <v>0</v>
      </c>
      <c r="S112" s="104">
        <f t="shared" si="109"/>
        <v>21965</v>
      </c>
      <c r="T112" s="104">
        <v>0</v>
      </c>
      <c r="U112" s="104">
        <v>0</v>
      </c>
      <c r="V112" s="104">
        <f t="shared" si="110"/>
        <v>0</v>
      </c>
      <c r="W112" s="104">
        <f t="shared" si="111"/>
        <v>10671435</v>
      </c>
      <c r="X112" s="104">
        <f t="shared" si="111"/>
        <v>0</v>
      </c>
      <c r="Y112" s="386">
        <f t="shared" si="112"/>
        <v>10671435</v>
      </c>
      <c r="Z112" s="104">
        <v>0</v>
      </c>
      <c r="AA112" s="104">
        <v>5068638</v>
      </c>
      <c r="AB112" s="387">
        <f t="shared" si="116"/>
        <v>5068638</v>
      </c>
      <c r="AC112" s="104">
        <v>0</v>
      </c>
      <c r="AD112" s="104">
        <v>2883364</v>
      </c>
      <c r="AE112" s="387">
        <f t="shared" si="145"/>
        <v>2883364</v>
      </c>
      <c r="AF112" s="388">
        <f>B112</f>
        <v>2101339</v>
      </c>
      <c r="AG112" s="389">
        <f>C112</f>
        <v>0</v>
      </c>
      <c r="AH112" s="389">
        <f>AG112+AF112</f>
        <v>2101339</v>
      </c>
      <c r="AI112" s="389">
        <f>E112</f>
        <v>5068638</v>
      </c>
      <c r="AJ112" s="389">
        <f>F112</f>
        <v>0</v>
      </c>
      <c r="AK112" s="389">
        <f>AJ112+AI112</f>
        <v>5068638</v>
      </c>
      <c r="AL112" s="389">
        <f>H112</f>
        <v>596129</v>
      </c>
      <c r="AM112" s="389">
        <f>I112</f>
        <v>0</v>
      </c>
      <c r="AN112" s="389">
        <f>AM112+AL112</f>
        <v>596129</v>
      </c>
      <c r="AO112" s="389">
        <f>K112</f>
        <v>0</v>
      </c>
      <c r="AP112" s="389">
        <f>L112</f>
        <v>0</v>
      </c>
      <c r="AQ112" s="389">
        <f>AP112+AO112</f>
        <v>0</v>
      </c>
      <c r="AR112" s="389">
        <f>N112</f>
        <v>2883364</v>
      </c>
      <c r="AS112" s="389">
        <f>O112</f>
        <v>0</v>
      </c>
      <c r="AT112" s="389">
        <f>AS112+AR112</f>
        <v>2883364</v>
      </c>
      <c r="AU112" s="389">
        <f>Q112</f>
        <v>21965</v>
      </c>
      <c r="AV112" s="389">
        <f>R112</f>
        <v>0</v>
      </c>
      <c r="AW112" s="389">
        <f>AV112+AU112</f>
        <v>21965</v>
      </c>
      <c r="AX112" s="389">
        <f>T112</f>
        <v>0</v>
      </c>
      <c r="AY112" s="389">
        <f>U112</f>
        <v>0</v>
      </c>
      <c r="AZ112" s="389">
        <f>SUM(AX112:AY112)</f>
        <v>0</v>
      </c>
      <c r="BA112" s="389">
        <f t="shared" si="114"/>
        <v>10671435</v>
      </c>
      <c r="BB112" s="389">
        <f t="shared" si="114"/>
        <v>0</v>
      </c>
      <c r="BC112" s="390">
        <f t="shared" si="115"/>
        <v>10671435</v>
      </c>
      <c r="BD112" s="83">
        <f t="shared" si="87"/>
        <v>0.84216145729038772</v>
      </c>
    </row>
    <row r="113" spans="1:56">
      <c r="A113" s="170">
        <v>43497</v>
      </c>
      <c r="B113" s="378">
        <v>2049780</v>
      </c>
      <c r="C113" s="3">
        <v>0</v>
      </c>
      <c r="D113" s="3">
        <f t="shared" si="102"/>
        <v>2049780</v>
      </c>
      <c r="E113" s="3">
        <f t="shared" si="103"/>
        <v>3991755</v>
      </c>
      <c r="F113" s="3">
        <v>0</v>
      </c>
      <c r="G113" s="3">
        <f t="shared" si="104"/>
        <v>3991755</v>
      </c>
      <c r="H113" s="3">
        <v>477547</v>
      </c>
      <c r="I113" s="3">
        <v>0</v>
      </c>
      <c r="J113" s="3">
        <f t="shared" si="105"/>
        <v>477547</v>
      </c>
      <c r="K113" s="3">
        <v>0</v>
      </c>
      <c r="L113" s="3">
        <v>0</v>
      </c>
      <c r="M113" s="3">
        <f t="shared" si="106"/>
        <v>0</v>
      </c>
      <c r="N113" s="3">
        <f t="shared" si="107"/>
        <v>3434243</v>
      </c>
      <c r="O113" s="3">
        <v>0</v>
      </c>
      <c r="P113" s="3">
        <f t="shared" si="108"/>
        <v>3434243</v>
      </c>
      <c r="Q113" s="3">
        <v>10402</v>
      </c>
      <c r="R113" s="3">
        <v>0</v>
      </c>
      <c r="S113" s="3">
        <f t="shared" si="109"/>
        <v>10402</v>
      </c>
      <c r="T113" s="3">
        <v>0</v>
      </c>
      <c r="U113" s="3">
        <v>0</v>
      </c>
      <c r="V113" s="3">
        <f t="shared" si="110"/>
        <v>0</v>
      </c>
      <c r="W113" s="3">
        <f t="shared" si="111"/>
        <v>9963727</v>
      </c>
      <c r="X113" s="3">
        <f t="shared" si="111"/>
        <v>0</v>
      </c>
      <c r="Y113" s="379">
        <f t="shared" si="112"/>
        <v>9963727</v>
      </c>
      <c r="Z113" s="3">
        <v>0</v>
      </c>
      <c r="AA113" s="3">
        <v>3991755</v>
      </c>
      <c r="AB113" s="380">
        <f t="shared" si="116"/>
        <v>3991755</v>
      </c>
      <c r="AC113" s="3">
        <v>0</v>
      </c>
      <c r="AD113" s="3">
        <v>3434243</v>
      </c>
      <c r="AE113" s="380">
        <f t="shared" si="145"/>
        <v>3434243</v>
      </c>
      <c r="AF113" s="381">
        <f t="shared" ref="AF113:AG123" si="160">B113+AF112</f>
        <v>4151119</v>
      </c>
      <c r="AG113" s="177">
        <f t="shared" si="160"/>
        <v>0</v>
      </c>
      <c r="AH113" s="177">
        <f t="shared" ref="AH113:AH123" si="161">AG113+AF113</f>
        <v>4151119</v>
      </c>
      <c r="AI113" s="177">
        <f>AI112+E113</f>
        <v>9060393</v>
      </c>
      <c r="AJ113" s="177">
        <f>AJ112+F113</f>
        <v>0</v>
      </c>
      <c r="AK113" s="177">
        <f t="shared" ref="AK113:AK123" si="162">AJ113+AI113</f>
        <v>9060393</v>
      </c>
      <c r="AL113" s="177">
        <f t="shared" ref="AL113:AM123" si="163">AL112+H113</f>
        <v>1073676</v>
      </c>
      <c r="AM113" s="177">
        <f t="shared" si="163"/>
        <v>0</v>
      </c>
      <c r="AN113" s="177">
        <f t="shared" ref="AN113:AN123" si="164">AM113+AL113</f>
        <v>1073676</v>
      </c>
      <c r="AO113" s="177">
        <f t="shared" ref="AO113:AP123" si="165">AO112+K113</f>
        <v>0</v>
      </c>
      <c r="AP113" s="177">
        <f t="shared" si="165"/>
        <v>0</v>
      </c>
      <c r="AQ113" s="177">
        <f t="shared" ref="AQ113:AQ123" si="166">AP113+AO113</f>
        <v>0</v>
      </c>
      <c r="AR113" s="177">
        <f t="shared" ref="AR113:AS123" si="167">AR112+N113</f>
        <v>6317607</v>
      </c>
      <c r="AS113" s="177">
        <f t="shared" si="167"/>
        <v>0</v>
      </c>
      <c r="AT113" s="177">
        <f t="shared" ref="AT113:AT123" si="168">AS113+AR113</f>
        <v>6317607</v>
      </c>
      <c r="AU113" s="177">
        <f t="shared" ref="AU113:AV123" si="169">AU112+Q113</f>
        <v>32367</v>
      </c>
      <c r="AV113" s="177">
        <f t="shared" si="169"/>
        <v>0</v>
      </c>
      <c r="AW113" s="177">
        <f t="shared" ref="AW113:AW123" si="170">AV113+AU113</f>
        <v>32367</v>
      </c>
      <c r="AX113" s="177">
        <f>AX112+T113</f>
        <v>0</v>
      </c>
      <c r="AY113" s="177">
        <f>AY112+U113</f>
        <v>0</v>
      </c>
      <c r="AZ113" s="177">
        <f>SUM(AX113:AY113)</f>
        <v>0</v>
      </c>
      <c r="BA113" s="177">
        <f t="shared" si="114"/>
        <v>20635162</v>
      </c>
      <c r="BB113" s="177">
        <f t="shared" si="114"/>
        <v>0</v>
      </c>
      <c r="BC113" s="382">
        <f t="shared" si="115"/>
        <v>20635162</v>
      </c>
      <c r="BD113" s="83">
        <f t="shared" si="87"/>
        <v>0.54463915985463807</v>
      </c>
    </row>
    <row r="114" spans="1:56">
      <c r="A114" s="170">
        <v>43525</v>
      </c>
      <c r="B114" s="378">
        <v>2096964</v>
      </c>
      <c r="C114" s="3">
        <v>6514949</v>
      </c>
      <c r="D114" s="3">
        <f t="shared" si="102"/>
        <v>8611913</v>
      </c>
      <c r="E114" s="3">
        <f t="shared" si="103"/>
        <v>4887899</v>
      </c>
      <c r="F114" s="3">
        <v>0</v>
      </c>
      <c r="G114" s="3">
        <f t="shared" si="104"/>
        <v>4887899</v>
      </c>
      <c r="H114" s="3">
        <v>481106</v>
      </c>
      <c r="I114" s="3">
        <v>0</v>
      </c>
      <c r="J114" s="3">
        <f t="shared" si="105"/>
        <v>481106</v>
      </c>
      <c r="K114" s="3">
        <v>0</v>
      </c>
      <c r="L114" s="3">
        <v>0</v>
      </c>
      <c r="M114" s="3">
        <f t="shared" si="106"/>
        <v>0</v>
      </c>
      <c r="N114" s="3">
        <f t="shared" si="107"/>
        <v>2907176</v>
      </c>
      <c r="O114" s="3">
        <v>0</v>
      </c>
      <c r="P114" s="3">
        <f t="shared" si="108"/>
        <v>2907176</v>
      </c>
      <c r="Q114" s="3">
        <v>10859</v>
      </c>
      <c r="R114" s="3">
        <v>0</v>
      </c>
      <c r="S114" s="3">
        <f t="shared" si="109"/>
        <v>10859</v>
      </c>
      <c r="T114" s="3">
        <v>1050908</v>
      </c>
      <c r="U114" s="3">
        <v>0</v>
      </c>
      <c r="V114" s="3">
        <f t="shared" si="110"/>
        <v>1050908</v>
      </c>
      <c r="W114" s="3">
        <f t="shared" si="111"/>
        <v>11434912</v>
      </c>
      <c r="X114" s="3">
        <f t="shared" si="111"/>
        <v>6514949</v>
      </c>
      <c r="Y114" s="379">
        <f t="shared" si="112"/>
        <v>17949861</v>
      </c>
      <c r="Z114" s="3">
        <v>0</v>
      </c>
      <c r="AA114" s="3">
        <v>4887899</v>
      </c>
      <c r="AB114" s="380">
        <f t="shared" si="116"/>
        <v>4887899</v>
      </c>
      <c r="AC114" s="3">
        <v>0</v>
      </c>
      <c r="AD114" s="3">
        <v>2907176</v>
      </c>
      <c r="AE114" s="380">
        <f t="shared" si="145"/>
        <v>2907176</v>
      </c>
      <c r="AF114" s="381">
        <f t="shared" si="160"/>
        <v>6248083</v>
      </c>
      <c r="AG114" s="177">
        <f t="shared" si="160"/>
        <v>6514949</v>
      </c>
      <c r="AH114" s="177">
        <f t="shared" si="161"/>
        <v>12763032</v>
      </c>
      <c r="AI114" s="177">
        <f t="shared" ref="AI114:AJ123" si="171">AI113+E114</f>
        <v>13948292</v>
      </c>
      <c r="AJ114" s="177">
        <f t="shared" si="171"/>
        <v>0</v>
      </c>
      <c r="AK114" s="177">
        <f t="shared" si="162"/>
        <v>13948292</v>
      </c>
      <c r="AL114" s="177">
        <f t="shared" si="163"/>
        <v>1554782</v>
      </c>
      <c r="AM114" s="177">
        <f t="shared" si="163"/>
        <v>0</v>
      </c>
      <c r="AN114" s="177">
        <f t="shared" si="164"/>
        <v>1554782</v>
      </c>
      <c r="AO114" s="177">
        <f t="shared" si="165"/>
        <v>0</v>
      </c>
      <c r="AP114" s="177">
        <f t="shared" si="165"/>
        <v>0</v>
      </c>
      <c r="AQ114" s="177">
        <f t="shared" si="166"/>
        <v>0</v>
      </c>
      <c r="AR114" s="177">
        <f t="shared" si="167"/>
        <v>9224783</v>
      </c>
      <c r="AS114" s="177">
        <f t="shared" si="167"/>
        <v>0</v>
      </c>
      <c r="AT114" s="177">
        <f t="shared" si="168"/>
        <v>9224783</v>
      </c>
      <c r="AU114" s="177">
        <f t="shared" si="169"/>
        <v>43226</v>
      </c>
      <c r="AV114" s="177">
        <f t="shared" si="169"/>
        <v>0</v>
      </c>
      <c r="AW114" s="177">
        <f t="shared" si="170"/>
        <v>43226</v>
      </c>
      <c r="AX114" s="177">
        <f t="shared" ref="AX114:AY123" si="172">AX113+T114</f>
        <v>1050908</v>
      </c>
      <c r="AY114" s="177">
        <f t="shared" si="172"/>
        <v>0</v>
      </c>
      <c r="AZ114" s="177">
        <f t="shared" ref="AZ114:AZ123" si="173">SUM(AX114:AY114)</f>
        <v>1050908</v>
      </c>
      <c r="BA114" s="177">
        <f t="shared" si="114"/>
        <v>32070074</v>
      </c>
      <c r="BB114" s="177">
        <f t="shared" si="114"/>
        <v>6514949</v>
      </c>
      <c r="BC114" s="382">
        <f t="shared" si="115"/>
        <v>38585023</v>
      </c>
      <c r="BD114" s="83">
        <f t="shared" si="87"/>
        <v>0.65748936024342419</v>
      </c>
    </row>
    <row r="115" spans="1:56">
      <c r="A115" s="170">
        <v>43556</v>
      </c>
      <c r="B115" s="378">
        <v>1881112</v>
      </c>
      <c r="C115" s="3">
        <v>13423497</v>
      </c>
      <c r="D115" s="3">
        <f t="shared" si="102"/>
        <v>15304609</v>
      </c>
      <c r="E115" s="3">
        <f t="shared" si="103"/>
        <v>5092649</v>
      </c>
      <c r="F115" s="3">
        <v>0</v>
      </c>
      <c r="G115" s="3">
        <f t="shared" si="104"/>
        <v>5092649</v>
      </c>
      <c r="H115" s="3">
        <v>249595</v>
      </c>
      <c r="I115" s="3">
        <v>0</v>
      </c>
      <c r="J115" s="3">
        <f t="shared" si="105"/>
        <v>249595</v>
      </c>
      <c r="K115" s="3">
        <v>0</v>
      </c>
      <c r="L115" s="3">
        <v>0</v>
      </c>
      <c r="M115" s="3">
        <f t="shared" si="106"/>
        <v>0</v>
      </c>
      <c r="N115" s="3">
        <f t="shared" si="107"/>
        <v>2839046</v>
      </c>
      <c r="O115" s="3">
        <v>0</v>
      </c>
      <c r="P115" s="3">
        <f t="shared" si="108"/>
        <v>2839046</v>
      </c>
      <c r="Q115" s="3">
        <v>6004</v>
      </c>
      <c r="R115" s="3">
        <v>0</v>
      </c>
      <c r="S115" s="3">
        <f t="shared" si="109"/>
        <v>6004</v>
      </c>
      <c r="T115" s="3">
        <v>535422</v>
      </c>
      <c r="U115" s="3">
        <v>0</v>
      </c>
      <c r="V115" s="3">
        <f t="shared" si="110"/>
        <v>535422</v>
      </c>
      <c r="W115" s="3">
        <f t="shared" si="111"/>
        <v>10603828</v>
      </c>
      <c r="X115" s="3">
        <f t="shared" si="111"/>
        <v>13423497</v>
      </c>
      <c r="Y115" s="379">
        <f t="shared" si="112"/>
        <v>24027325</v>
      </c>
      <c r="Z115" s="3">
        <v>0</v>
      </c>
      <c r="AA115" s="3">
        <v>5092649</v>
      </c>
      <c r="AB115" s="380">
        <f t="shared" si="116"/>
        <v>5092649</v>
      </c>
      <c r="AC115" s="3">
        <v>0</v>
      </c>
      <c r="AD115" s="3">
        <v>2839046</v>
      </c>
      <c r="AE115" s="380">
        <f t="shared" si="145"/>
        <v>2839046</v>
      </c>
      <c r="AF115" s="381">
        <f t="shared" si="160"/>
        <v>8129195</v>
      </c>
      <c r="AG115" s="177">
        <f t="shared" si="160"/>
        <v>19938446</v>
      </c>
      <c r="AH115" s="177">
        <f t="shared" si="161"/>
        <v>28067641</v>
      </c>
      <c r="AI115" s="177">
        <f t="shared" si="171"/>
        <v>19040941</v>
      </c>
      <c r="AJ115" s="177">
        <f t="shared" si="171"/>
        <v>0</v>
      </c>
      <c r="AK115" s="177">
        <f t="shared" si="162"/>
        <v>19040941</v>
      </c>
      <c r="AL115" s="177">
        <f t="shared" si="163"/>
        <v>1804377</v>
      </c>
      <c r="AM115" s="177">
        <f t="shared" si="163"/>
        <v>0</v>
      </c>
      <c r="AN115" s="177">
        <f t="shared" si="164"/>
        <v>1804377</v>
      </c>
      <c r="AO115" s="177">
        <f t="shared" si="165"/>
        <v>0</v>
      </c>
      <c r="AP115" s="177">
        <f t="shared" si="165"/>
        <v>0</v>
      </c>
      <c r="AQ115" s="177">
        <f t="shared" si="166"/>
        <v>0</v>
      </c>
      <c r="AR115" s="177">
        <f t="shared" si="167"/>
        <v>12063829</v>
      </c>
      <c r="AS115" s="177">
        <f t="shared" si="167"/>
        <v>0</v>
      </c>
      <c r="AT115" s="177">
        <f t="shared" si="168"/>
        <v>12063829</v>
      </c>
      <c r="AU115" s="177">
        <f t="shared" si="169"/>
        <v>49230</v>
      </c>
      <c r="AV115" s="177">
        <f t="shared" si="169"/>
        <v>0</v>
      </c>
      <c r="AW115" s="177">
        <f t="shared" si="170"/>
        <v>49230</v>
      </c>
      <c r="AX115" s="177">
        <f t="shared" si="172"/>
        <v>1586330</v>
      </c>
      <c r="AY115" s="177">
        <f t="shared" si="172"/>
        <v>0</v>
      </c>
      <c r="AZ115" s="177">
        <f t="shared" si="173"/>
        <v>1586330</v>
      </c>
      <c r="BA115" s="177">
        <f t="shared" si="114"/>
        <v>42673902</v>
      </c>
      <c r="BB115" s="177">
        <f t="shared" si="114"/>
        <v>19938446</v>
      </c>
      <c r="BC115" s="382">
        <f t="shared" si="115"/>
        <v>62612348</v>
      </c>
      <c r="BD115" s="83">
        <f t="shared" si="87"/>
        <v>1.0649215210840004</v>
      </c>
    </row>
    <row r="116" spans="1:56">
      <c r="A116" s="170">
        <v>43586</v>
      </c>
      <c r="B116" s="378">
        <v>2180038</v>
      </c>
      <c r="C116" s="3">
        <v>0</v>
      </c>
      <c r="D116" s="3">
        <f t="shared" si="102"/>
        <v>2180038</v>
      </c>
      <c r="E116" s="3">
        <f t="shared" si="103"/>
        <v>5896000</v>
      </c>
      <c r="F116" s="3">
        <v>0</v>
      </c>
      <c r="G116" s="3">
        <f t="shared" si="104"/>
        <v>5896000</v>
      </c>
      <c r="H116" s="3">
        <v>193144</v>
      </c>
      <c r="I116" s="3">
        <v>0</v>
      </c>
      <c r="J116" s="3">
        <f>I116+H116</f>
        <v>193144</v>
      </c>
      <c r="K116" s="3">
        <v>0</v>
      </c>
      <c r="L116" s="3">
        <v>0</v>
      </c>
      <c r="M116" s="3">
        <f t="shared" si="106"/>
        <v>0</v>
      </c>
      <c r="N116" s="3">
        <f t="shared" si="107"/>
        <v>3896939</v>
      </c>
      <c r="O116" s="3">
        <v>0</v>
      </c>
      <c r="P116" s="3">
        <f t="shared" si="108"/>
        <v>3896939</v>
      </c>
      <c r="Q116" s="3">
        <v>9006</v>
      </c>
      <c r="R116" s="3">
        <v>0</v>
      </c>
      <c r="S116" s="3">
        <f t="shared" si="109"/>
        <v>9006</v>
      </c>
      <c r="T116" s="3">
        <v>420071</v>
      </c>
      <c r="U116" s="3">
        <v>0</v>
      </c>
      <c r="V116" s="3">
        <f>U116+T116</f>
        <v>420071</v>
      </c>
      <c r="W116" s="3">
        <f t="shared" si="111"/>
        <v>12595198</v>
      </c>
      <c r="X116" s="3">
        <f t="shared" si="111"/>
        <v>0</v>
      </c>
      <c r="Y116" s="379">
        <f t="shared" si="112"/>
        <v>12595198</v>
      </c>
      <c r="Z116" s="3">
        <v>0</v>
      </c>
      <c r="AA116" s="3">
        <v>5896000</v>
      </c>
      <c r="AB116" s="380">
        <f>AA116+Z116</f>
        <v>5896000</v>
      </c>
      <c r="AC116" s="3">
        <v>715635</v>
      </c>
      <c r="AD116" s="3">
        <v>3181304</v>
      </c>
      <c r="AE116" s="380">
        <f t="shared" si="145"/>
        <v>3896939</v>
      </c>
      <c r="AF116" s="381">
        <f t="shared" si="160"/>
        <v>10309233</v>
      </c>
      <c r="AG116" s="177">
        <f t="shared" si="160"/>
        <v>19938446</v>
      </c>
      <c r="AH116" s="177">
        <f t="shared" si="161"/>
        <v>30247679</v>
      </c>
      <c r="AI116" s="177">
        <f t="shared" si="171"/>
        <v>24936941</v>
      </c>
      <c r="AJ116" s="177">
        <f t="shared" si="171"/>
        <v>0</v>
      </c>
      <c r="AK116" s="177">
        <f t="shared" si="162"/>
        <v>24936941</v>
      </c>
      <c r="AL116" s="177">
        <f t="shared" si="163"/>
        <v>1997521</v>
      </c>
      <c r="AM116" s="177">
        <f t="shared" si="163"/>
        <v>0</v>
      </c>
      <c r="AN116" s="177">
        <f t="shared" si="164"/>
        <v>1997521</v>
      </c>
      <c r="AO116" s="177">
        <f t="shared" si="165"/>
        <v>0</v>
      </c>
      <c r="AP116" s="177">
        <f t="shared" si="165"/>
        <v>0</v>
      </c>
      <c r="AQ116" s="177">
        <f t="shared" si="166"/>
        <v>0</v>
      </c>
      <c r="AR116" s="177">
        <f t="shared" si="167"/>
        <v>15960768</v>
      </c>
      <c r="AS116" s="177">
        <f t="shared" si="167"/>
        <v>0</v>
      </c>
      <c r="AT116" s="177">
        <f t="shared" si="168"/>
        <v>15960768</v>
      </c>
      <c r="AU116" s="177">
        <f t="shared" si="169"/>
        <v>58236</v>
      </c>
      <c r="AV116" s="177">
        <f t="shared" si="169"/>
        <v>0</v>
      </c>
      <c r="AW116" s="177">
        <f t="shared" si="170"/>
        <v>58236</v>
      </c>
      <c r="AX116" s="177">
        <f t="shared" si="172"/>
        <v>2006401</v>
      </c>
      <c r="AY116" s="177">
        <f t="shared" si="172"/>
        <v>0</v>
      </c>
      <c r="AZ116" s="177">
        <f t="shared" si="173"/>
        <v>2006401</v>
      </c>
      <c r="BA116" s="177">
        <f t="shared" si="114"/>
        <v>55269100</v>
      </c>
      <c r="BB116" s="177">
        <f t="shared" si="114"/>
        <v>19938446</v>
      </c>
      <c r="BC116" s="382">
        <f t="shared" si="115"/>
        <v>75207546</v>
      </c>
      <c r="BD116" s="83">
        <f t="shared" si="87"/>
        <v>1.0740755673730455</v>
      </c>
    </row>
    <row r="117" spans="1:56">
      <c r="A117" s="170">
        <v>43617</v>
      </c>
      <c r="B117" s="378">
        <v>1966786</v>
      </c>
      <c r="C117" s="3">
        <v>24556742</v>
      </c>
      <c r="D117" s="3">
        <f t="shared" si="102"/>
        <v>26523528</v>
      </c>
      <c r="E117" s="3">
        <f t="shared" si="103"/>
        <v>4208159</v>
      </c>
      <c r="F117" s="3">
        <v>0</v>
      </c>
      <c r="G117" s="3">
        <f t="shared" si="104"/>
        <v>4208159</v>
      </c>
      <c r="H117" s="3">
        <v>91649</v>
      </c>
      <c r="I117" s="3">
        <v>0</v>
      </c>
      <c r="J117" s="3">
        <f>I117+H117</f>
        <v>91649</v>
      </c>
      <c r="K117" s="3">
        <v>0</v>
      </c>
      <c r="L117" s="3">
        <v>0</v>
      </c>
      <c r="M117" s="3">
        <f t="shared" si="106"/>
        <v>0</v>
      </c>
      <c r="N117" s="3">
        <f t="shared" si="107"/>
        <v>2613944</v>
      </c>
      <c r="O117" s="3">
        <v>0</v>
      </c>
      <c r="P117" s="3">
        <f t="shared" si="108"/>
        <v>2613944</v>
      </c>
      <c r="Q117" s="3">
        <v>15538</v>
      </c>
      <c r="R117" s="3">
        <v>0</v>
      </c>
      <c r="S117" s="3">
        <f t="shared" si="109"/>
        <v>15538</v>
      </c>
      <c r="T117" s="3">
        <v>0</v>
      </c>
      <c r="U117" s="3">
        <v>0</v>
      </c>
      <c r="V117" s="3">
        <f>U117+T117</f>
        <v>0</v>
      </c>
      <c r="W117" s="3">
        <f t="shared" si="111"/>
        <v>8896076</v>
      </c>
      <c r="X117" s="3">
        <f t="shared" si="111"/>
        <v>24556742</v>
      </c>
      <c r="Y117" s="379">
        <f t="shared" si="112"/>
        <v>33452818</v>
      </c>
      <c r="Z117" s="3">
        <v>0</v>
      </c>
      <c r="AA117" s="3">
        <v>4208159</v>
      </c>
      <c r="AB117" s="380">
        <f>AA117+Z117</f>
        <v>4208159</v>
      </c>
      <c r="AC117" s="3">
        <v>0</v>
      </c>
      <c r="AD117" s="3">
        <v>2613944</v>
      </c>
      <c r="AE117" s="380">
        <f t="shared" si="145"/>
        <v>2613944</v>
      </c>
      <c r="AF117" s="381">
        <f t="shared" si="160"/>
        <v>12276019</v>
      </c>
      <c r="AG117" s="177">
        <f t="shared" si="160"/>
        <v>44495188</v>
      </c>
      <c r="AH117" s="177">
        <f t="shared" si="161"/>
        <v>56771207</v>
      </c>
      <c r="AI117" s="177">
        <f t="shared" si="171"/>
        <v>29145100</v>
      </c>
      <c r="AJ117" s="177">
        <f t="shared" si="171"/>
        <v>0</v>
      </c>
      <c r="AK117" s="177">
        <f t="shared" si="162"/>
        <v>29145100</v>
      </c>
      <c r="AL117" s="177">
        <f t="shared" si="163"/>
        <v>2089170</v>
      </c>
      <c r="AM117" s="177">
        <f t="shared" si="163"/>
        <v>0</v>
      </c>
      <c r="AN117" s="177">
        <f t="shared" si="164"/>
        <v>2089170</v>
      </c>
      <c r="AO117" s="177">
        <f t="shared" si="165"/>
        <v>0</v>
      </c>
      <c r="AP117" s="177">
        <f t="shared" si="165"/>
        <v>0</v>
      </c>
      <c r="AQ117" s="177">
        <f t="shared" si="166"/>
        <v>0</v>
      </c>
      <c r="AR117" s="177">
        <f t="shared" si="167"/>
        <v>18574712</v>
      </c>
      <c r="AS117" s="177">
        <f t="shared" si="167"/>
        <v>0</v>
      </c>
      <c r="AT117" s="177">
        <f t="shared" si="168"/>
        <v>18574712</v>
      </c>
      <c r="AU117" s="177">
        <f t="shared" si="169"/>
        <v>73774</v>
      </c>
      <c r="AV117" s="177">
        <f t="shared" si="169"/>
        <v>0</v>
      </c>
      <c r="AW117" s="177">
        <f t="shared" si="170"/>
        <v>73774</v>
      </c>
      <c r="AX117" s="177">
        <f t="shared" si="172"/>
        <v>2006401</v>
      </c>
      <c r="AY117" s="177">
        <f t="shared" si="172"/>
        <v>0</v>
      </c>
      <c r="AZ117" s="177">
        <f t="shared" si="173"/>
        <v>2006401</v>
      </c>
      <c r="BA117" s="177">
        <f t="shared" si="114"/>
        <v>64165176</v>
      </c>
      <c r="BB117" s="177">
        <f t="shared" si="114"/>
        <v>44495188</v>
      </c>
      <c r="BC117" s="382">
        <f t="shared" si="115"/>
        <v>108660364</v>
      </c>
      <c r="BD117" s="83">
        <f t="shared" si="87"/>
        <v>1.6566668814942771</v>
      </c>
    </row>
    <row r="118" spans="1:56">
      <c r="A118" s="170">
        <v>43647</v>
      </c>
      <c r="B118" s="378">
        <v>2095521</v>
      </c>
      <c r="C118" s="3">
        <v>23287643</v>
      </c>
      <c r="D118" s="3">
        <f t="shared" si="102"/>
        <v>25383164</v>
      </c>
      <c r="E118" s="3">
        <f t="shared" si="103"/>
        <v>5275161</v>
      </c>
      <c r="F118" s="3">
        <v>0</v>
      </c>
      <c r="G118" s="3">
        <f t="shared" si="104"/>
        <v>5275161</v>
      </c>
      <c r="H118" s="3">
        <v>127335</v>
      </c>
      <c r="I118" s="3">
        <v>0</v>
      </c>
      <c r="J118" s="3">
        <f>I118+H118</f>
        <v>127335</v>
      </c>
      <c r="K118" s="3">
        <v>0</v>
      </c>
      <c r="L118" s="3">
        <v>0</v>
      </c>
      <c r="M118" s="3">
        <f t="shared" si="106"/>
        <v>0</v>
      </c>
      <c r="N118" s="3">
        <f t="shared" si="107"/>
        <v>2858434</v>
      </c>
      <c r="O118" s="3">
        <v>0</v>
      </c>
      <c r="P118" s="3">
        <f t="shared" si="108"/>
        <v>2858434</v>
      </c>
      <c r="Q118" s="3">
        <v>6532</v>
      </c>
      <c r="R118" s="3">
        <v>0</v>
      </c>
      <c r="S118" s="3">
        <f t="shared" si="109"/>
        <v>6532</v>
      </c>
      <c r="T118" s="3">
        <v>325871</v>
      </c>
      <c r="U118" s="3">
        <v>0</v>
      </c>
      <c r="V118" s="3">
        <f>U118+T118</f>
        <v>325871</v>
      </c>
      <c r="W118" s="3">
        <f t="shared" si="111"/>
        <v>10688854</v>
      </c>
      <c r="X118" s="3">
        <f t="shared" si="111"/>
        <v>23287643</v>
      </c>
      <c r="Y118" s="379">
        <f t="shared" si="112"/>
        <v>33976497</v>
      </c>
      <c r="Z118" s="3">
        <v>0</v>
      </c>
      <c r="AA118" s="3">
        <v>5275161</v>
      </c>
      <c r="AB118" s="380">
        <f>AA118+Z118</f>
        <v>5275161</v>
      </c>
      <c r="AC118" s="3">
        <v>321647</v>
      </c>
      <c r="AD118" s="3">
        <v>2536787</v>
      </c>
      <c r="AE118" s="380">
        <f t="shared" si="145"/>
        <v>2858434</v>
      </c>
      <c r="AF118" s="381">
        <f t="shared" si="160"/>
        <v>14371540</v>
      </c>
      <c r="AG118" s="177">
        <f t="shared" si="160"/>
        <v>67782831</v>
      </c>
      <c r="AH118" s="177">
        <f t="shared" si="161"/>
        <v>82154371</v>
      </c>
      <c r="AI118" s="177">
        <f t="shared" si="171"/>
        <v>34420261</v>
      </c>
      <c r="AJ118" s="177">
        <f t="shared" si="171"/>
        <v>0</v>
      </c>
      <c r="AK118" s="177">
        <f t="shared" si="162"/>
        <v>34420261</v>
      </c>
      <c r="AL118" s="177">
        <f t="shared" si="163"/>
        <v>2216505</v>
      </c>
      <c r="AM118" s="177">
        <f t="shared" si="163"/>
        <v>0</v>
      </c>
      <c r="AN118" s="177">
        <f t="shared" si="164"/>
        <v>2216505</v>
      </c>
      <c r="AO118" s="177">
        <f t="shared" si="165"/>
        <v>0</v>
      </c>
      <c r="AP118" s="177">
        <f t="shared" si="165"/>
        <v>0</v>
      </c>
      <c r="AQ118" s="177">
        <f t="shared" si="166"/>
        <v>0</v>
      </c>
      <c r="AR118" s="177">
        <f t="shared" si="167"/>
        <v>21433146</v>
      </c>
      <c r="AS118" s="177">
        <f t="shared" si="167"/>
        <v>0</v>
      </c>
      <c r="AT118" s="177">
        <f t="shared" si="168"/>
        <v>21433146</v>
      </c>
      <c r="AU118" s="177">
        <f t="shared" si="169"/>
        <v>80306</v>
      </c>
      <c r="AV118" s="177">
        <f t="shared" si="169"/>
        <v>0</v>
      </c>
      <c r="AW118" s="177">
        <f t="shared" si="170"/>
        <v>80306</v>
      </c>
      <c r="AX118" s="177">
        <f t="shared" si="172"/>
        <v>2332272</v>
      </c>
      <c r="AY118" s="177">
        <f t="shared" si="172"/>
        <v>0</v>
      </c>
      <c r="AZ118" s="177">
        <f t="shared" si="173"/>
        <v>2332272</v>
      </c>
      <c r="BA118" s="177">
        <f t="shared" si="114"/>
        <v>74854030</v>
      </c>
      <c r="BB118" s="177">
        <f t="shared" si="114"/>
        <v>67782831</v>
      </c>
      <c r="BC118" s="382">
        <f t="shared" si="115"/>
        <v>142636861</v>
      </c>
      <c r="BD118" s="83">
        <f t="shared" si="87"/>
        <v>2.0014748878614919</v>
      </c>
    </row>
    <row r="119" spans="1:56">
      <c r="A119" s="170">
        <v>43678</v>
      </c>
      <c r="B119" s="378">
        <v>1995104</v>
      </c>
      <c r="C119" s="3">
        <v>13950027</v>
      </c>
      <c r="D119" s="3">
        <f t="shared" si="102"/>
        <v>15945131</v>
      </c>
      <c r="E119" s="3">
        <f t="shared" si="103"/>
        <v>6142589</v>
      </c>
      <c r="F119" s="3">
        <v>0</v>
      </c>
      <c r="G119" s="3">
        <f t="shared" si="104"/>
        <v>6142589</v>
      </c>
      <c r="H119" s="3">
        <v>35528</v>
      </c>
      <c r="I119" s="3">
        <v>0</v>
      </c>
      <c r="J119" s="3">
        <f>I119+H119</f>
        <v>35528</v>
      </c>
      <c r="K119" s="3">
        <v>0</v>
      </c>
      <c r="L119" s="3">
        <v>0</v>
      </c>
      <c r="M119" s="3">
        <f t="shared" si="106"/>
        <v>0</v>
      </c>
      <c r="N119" s="3">
        <f t="shared" si="107"/>
        <v>1232476</v>
      </c>
      <c r="O119" s="3">
        <v>0</v>
      </c>
      <c r="P119" s="3">
        <f t="shared" si="108"/>
        <v>1232476</v>
      </c>
      <c r="Q119" s="3">
        <v>2721</v>
      </c>
      <c r="R119" s="3">
        <v>0</v>
      </c>
      <c r="S119" s="3">
        <f t="shared" si="109"/>
        <v>2721</v>
      </c>
      <c r="T119" s="3">
        <v>336305</v>
      </c>
      <c r="U119" s="3">
        <v>0</v>
      </c>
      <c r="V119" s="3">
        <f>U119+T119</f>
        <v>336305</v>
      </c>
      <c r="W119" s="3">
        <f t="shared" si="111"/>
        <v>9744723</v>
      </c>
      <c r="X119" s="3">
        <f t="shared" si="111"/>
        <v>13950027</v>
      </c>
      <c r="Y119" s="379">
        <f t="shared" si="112"/>
        <v>23694750</v>
      </c>
      <c r="Z119" s="3">
        <v>0</v>
      </c>
      <c r="AA119" s="3">
        <v>6142589</v>
      </c>
      <c r="AB119" s="380">
        <f>AA119+Z119</f>
        <v>6142589</v>
      </c>
      <c r="AC119" s="3">
        <v>459915</v>
      </c>
      <c r="AD119" s="3">
        <v>772561</v>
      </c>
      <c r="AE119" s="380">
        <f t="shared" si="145"/>
        <v>1232476</v>
      </c>
      <c r="AF119" s="381">
        <f t="shared" si="160"/>
        <v>16366644</v>
      </c>
      <c r="AG119" s="177">
        <f t="shared" si="160"/>
        <v>81732858</v>
      </c>
      <c r="AH119" s="177">
        <f t="shared" si="161"/>
        <v>98099502</v>
      </c>
      <c r="AI119" s="177">
        <f t="shared" si="171"/>
        <v>40562850</v>
      </c>
      <c r="AJ119" s="177">
        <f t="shared" si="171"/>
        <v>0</v>
      </c>
      <c r="AK119" s="177">
        <f t="shared" si="162"/>
        <v>40562850</v>
      </c>
      <c r="AL119" s="177">
        <f t="shared" si="163"/>
        <v>2252033</v>
      </c>
      <c r="AM119" s="177">
        <f t="shared" si="163"/>
        <v>0</v>
      </c>
      <c r="AN119" s="177">
        <f t="shared" si="164"/>
        <v>2252033</v>
      </c>
      <c r="AO119" s="177">
        <f t="shared" si="165"/>
        <v>0</v>
      </c>
      <c r="AP119" s="177">
        <f t="shared" si="165"/>
        <v>0</v>
      </c>
      <c r="AQ119" s="177">
        <f t="shared" si="166"/>
        <v>0</v>
      </c>
      <c r="AR119" s="177">
        <f t="shared" si="167"/>
        <v>22665622</v>
      </c>
      <c r="AS119" s="177">
        <f t="shared" si="167"/>
        <v>0</v>
      </c>
      <c r="AT119" s="177">
        <f t="shared" si="168"/>
        <v>22665622</v>
      </c>
      <c r="AU119" s="177">
        <f t="shared" si="169"/>
        <v>83027</v>
      </c>
      <c r="AV119" s="177">
        <f t="shared" si="169"/>
        <v>0</v>
      </c>
      <c r="AW119" s="177">
        <f t="shared" si="170"/>
        <v>83027</v>
      </c>
      <c r="AX119" s="177">
        <f t="shared" si="172"/>
        <v>2668577</v>
      </c>
      <c r="AY119" s="177">
        <f t="shared" si="172"/>
        <v>0</v>
      </c>
      <c r="AZ119" s="177">
        <f t="shared" si="173"/>
        <v>2668577</v>
      </c>
      <c r="BA119" s="177">
        <f t="shared" si="114"/>
        <v>84598753</v>
      </c>
      <c r="BB119" s="177">
        <f t="shared" si="114"/>
        <v>81732858</v>
      </c>
      <c r="BC119" s="382">
        <f t="shared" si="115"/>
        <v>166331611</v>
      </c>
      <c r="BD119" s="83">
        <f t="shared" si="87"/>
        <v>1.1854668140413587</v>
      </c>
    </row>
    <row r="120" spans="1:56">
      <c r="A120" s="170">
        <v>43709</v>
      </c>
      <c r="B120" s="378">
        <v>2030713</v>
      </c>
      <c r="C120" s="3">
        <v>28711738</v>
      </c>
      <c r="D120" s="3">
        <f t="shared" si="102"/>
        <v>30742451</v>
      </c>
      <c r="E120" s="3">
        <f t="shared" si="103"/>
        <v>5166656</v>
      </c>
      <c r="F120" s="3">
        <v>0</v>
      </c>
      <c r="G120" s="3">
        <f t="shared" si="104"/>
        <v>5166656</v>
      </c>
      <c r="H120" s="3">
        <v>143716</v>
      </c>
      <c r="I120" s="3">
        <v>0</v>
      </c>
      <c r="J120" s="3">
        <f>I120+H120</f>
        <v>143716</v>
      </c>
      <c r="K120" s="3">
        <v>0</v>
      </c>
      <c r="L120" s="3">
        <v>0</v>
      </c>
      <c r="M120" s="3">
        <f t="shared" si="106"/>
        <v>0</v>
      </c>
      <c r="N120" s="3">
        <f t="shared" si="107"/>
        <v>3191053</v>
      </c>
      <c r="O120" s="3">
        <v>0</v>
      </c>
      <c r="P120" s="3">
        <f t="shared" si="108"/>
        <v>3191053</v>
      </c>
      <c r="Q120" s="3">
        <v>0</v>
      </c>
      <c r="R120" s="3">
        <v>0</v>
      </c>
      <c r="S120" s="3">
        <f t="shared" si="109"/>
        <v>0</v>
      </c>
      <c r="T120" s="3">
        <v>444411</v>
      </c>
      <c r="U120" s="3">
        <v>0</v>
      </c>
      <c r="V120" s="3">
        <f>U120+T120</f>
        <v>444411</v>
      </c>
      <c r="W120" s="3">
        <f t="shared" si="111"/>
        <v>10976549</v>
      </c>
      <c r="X120" s="3">
        <f t="shared" si="111"/>
        <v>28711738</v>
      </c>
      <c r="Y120" s="379">
        <f t="shared" si="112"/>
        <v>39688287</v>
      </c>
      <c r="Z120" s="3">
        <v>0</v>
      </c>
      <c r="AA120" s="3">
        <v>5166656</v>
      </c>
      <c r="AB120" s="380">
        <f>AA120+Z120</f>
        <v>5166656</v>
      </c>
      <c r="AC120" s="3">
        <v>382865</v>
      </c>
      <c r="AD120" s="3">
        <v>2808188</v>
      </c>
      <c r="AE120" s="380">
        <f t="shared" si="145"/>
        <v>3191053</v>
      </c>
      <c r="AF120" s="381">
        <f t="shared" si="160"/>
        <v>18397357</v>
      </c>
      <c r="AG120" s="177">
        <f t="shared" si="160"/>
        <v>110444596</v>
      </c>
      <c r="AH120" s="177">
        <f t="shared" si="161"/>
        <v>128841953</v>
      </c>
      <c r="AI120" s="177">
        <f t="shared" si="171"/>
        <v>45729506</v>
      </c>
      <c r="AJ120" s="177">
        <f t="shared" si="171"/>
        <v>0</v>
      </c>
      <c r="AK120" s="177">
        <f t="shared" si="162"/>
        <v>45729506</v>
      </c>
      <c r="AL120" s="177">
        <f t="shared" si="163"/>
        <v>2395749</v>
      </c>
      <c r="AM120" s="177">
        <f t="shared" si="163"/>
        <v>0</v>
      </c>
      <c r="AN120" s="177">
        <f t="shared" si="164"/>
        <v>2395749</v>
      </c>
      <c r="AO120" s="177">
        <f t="shared" si="165"/>
        <v>0</v>
      </c>
      <c r="AP120" s="177">
        <f t="shared" si="165"/>
        <v>0</v>
      </c>
      <c r="AQ120" s="177">
        <f t="shared" si="166"/>
        <v>0</v>
      </c>
      <c r="AR120" s="177">
        <f t="shared" si="167"/>
        <v>25856675</v>
      </c>
      <c r="AS120" s="177">
        <f t="shared" si="167"/>
        <v>0</v>
      </c>
      <c r="AT120" s="177">
        <f t="shared" si="168"/>
        <v>25856675</v>
      </c>
      <c r="AU120" s="177">
        <f t="shared" si="169"/>
        <v>83027</v>
      </c>
      <c r="AV120" s="177">
        <f t="shared" si="169"/>
        <v>0</v>
      </c>
      <c r="AW120" s="177">
        <f t="shared" si="170"/>
        <v>83027</v>
      </c>
      <c r="AX120" s="177">
        <f t="shared" si="172"/>
        <v>3112988</v>
      </c>
      <c r="AY120" s="177">
        <f t="shared" si="172"/>
        <v>0</v>
      </c>
      <c r="AZ120" s="177">
        <f t="shared" si="173"/>
        <v>3112988</v>
      </c>
      <c r="BA120" s="177">
        <f t="shared" si="114"/>
        <v>95575302</v>
      </c>
      <c r="BB120" s="177">
        <f t="shared" si="114"/>
        <v>110444596</v>
      </c>
      <c r="BC120" s="382">
        <f t="shared" si="115"/>
        <v>206019898</v>
      </c>
      <c r="BD120" s="83">
        <f t="shared" si="87"/>
        <v>1.2195190301388683</v>
      </c>
    </row>
    <row r="121" spans="1:56">
      <c r="A121" s="170">
        <v>43739</v>
      </c>
      <c r="B121" s="378">
        <v>1819727</v>
      </c>
      <c r="C121" s="3">
        <v>54364003</v>
      </c>
      <c r="D121" s="3">
        <f t="shared" si="102"/>
        <v>56183730</v>
      </c>
      <c r="E121" s="3">
        <f t="shared" si="103"/>
        <v>3360549</v>
      </c>
      <c r="F121" s="3">
        <v>0</v>
      </c>
      <c r="G121" s="3">
        <f t="shared" si="104"/>
        <v>3360549</v>
      </c>
      <c r="H121" s="3">
        <v>215335</v>
      </c>
      <c r="I121" s="3">
        <v>0</v>
      </c>
      <c r="J121" s="3">
        <f t="shared" ref="J121:J184" si="174">I121+H121</f>
        <v>215335</v>
      </c>
      <c r="K121" s="3">
        <v>0</v>
      </c>
      <c r="L121" s="3">
        <v>0</v>
      </c>
      <c r="M121" s="3">
        <f t="shared" si="106"/>
        <v>0</v>
      </c>
      <c r="N121" s="3">
        <f t="shared" si="107"/>
        <v>2996901</v>
      </c>
      <c r="O121" s="3">
        <v>0</v>
      </c>
      <c r="P121" s="3">
        <f t="shared" si="108"/>
        <v>2996901</v>
      </c>
      <c r="Q121" s="3">
        <v>0</v>
      </c>
      <c r="R121" s="3">
        <v>0</v>
      </c>
      <c r="S121" s="3">
        <f t="shared" si="109"/>
        <v>0</v>
      </c>
      <c r="T121" s="3">
        <v>0</v>
      </c>
      <c r="U121" s="3">
        <v>0</v>
      </c>
      <c r="V121" s="3">
        <f t="shared" ref="V121:V149" si="175">U121+T121</f>
        <v>0</v>
      </c>
      <c r="W121" s="3">
        <f t="shared" si="111"/>
        <v>8392512</v>
      </c>
      <c r="X121" s="3">
        <f t="shared" si="111"/>
        <v>54364003</v>
      </c>
      <c r="Y121" s="379">
        <f t="shared" si="112"/>
        <v>62756515</v>
      </c>
      <c r="Z121" s="3">
        <v>0</v>
      </c>
      <c r="AA121" s="3">
        <v>3360549</v>
      </c>
      <c r="AB121" s="380">
        <f t="shared" ref="AB121:AB184" si="176">AA121+Z121</f>
        <v>3360549</v>
      </c>
      <c r="AC121" s="3">
        <v>0</v>
      </c>
      <c r="AD121" s="3">
        <v>2996901</v>
      </c>
      <c r="AE121" s="380">
        <f t="shared" si="145"/>
        <v>2996901</v>
      </c>
      <c r="AF121" s="381">
        <f t="shared" si="160"/>
        <v>20217084</v>
      </c>
      <c r="AG121" s="177">
        <f t="shared" si="160"/>
        <v>164808599</v>
      </c>
      <c r="AH121" s="177">
        <f t="shared" si="161"/>
        <v>185025683</v>
      </c>
      <c r="AI121" s="177">
        <f t="shared" si="171"/>
        <v>49090055</v>
      </c>
      <c r="AJ121" s="177">
        <f>AJ120+F121</f>
        <v>0</v>
      </c>
      <c r="AK121" s="177">
        <f t="shared" si="162"/>
        <v>49090055</v>
      </c>
      <c r="AL121" s="177">
        <f t="shared" si="163"/>
        <v>2611084</v>
      </c>
      <c r="AM121" s="177">
        <f t="shared" si="163"/>
        <v>0</v>
      </c>
      <c r="AN121" s="177">
        <f t="shared" si="164"/>
        <v>2611084</v>
      </c>
      <c r="AO121" s="177">
        <f t="shared" si="165"/>
        <v>0</v>
      </c>
      <c r="AP121" s="177">
        <f t="shared" si="165"/>
        <v>0</v>
      </c>
      <c r="AQ121" s="177">
        <f t="shared" si="166"/>
        <v>0</v>
      </c>
      <c r="AR121" s="177">
        <f t="shared" si="167"/>
        <v>28853576</v>
      </c>
      <c r="AS121" s="177">
        <f t="shared" si="167"/>
        <v>0</v>
      </c>
      <c r="AT121" s="177">
        <f t="shared" si="168"/>
        <v>28853576</v>
      </c>
      <c r="AU121" s="177">
        <f t="shared" si="169"/>
        <v>83027</v>
      </c>
      <c r="AV121" s="177">
        <f t="shared" si="169"/>
        <v>0</v>
      </c>
      <c r="AW121" s="177">
        <f t="shared" si="170"/>
        <v>83027</v>
      </c>
      <c r="AX121" s="177">
        <f t="shared" si="172"/>
        <v>3112988</v>
      </c>
      <c r="AY121" s="177">
        <f t="shared" si="172"/>
        <v>0</v>
      </c>
      <c r="AZ121" s="177">
        <f t="shared" si="173"/>
        <v>3112988</v>
      </c>
      <c r="BA121" s="177">
        <f t="shared" si="114"/>
        <v>103967814</v>
      </c>
      <c r="BB121" s="177">
        <f t="shared" si="114"/>
        <v>164808599</v>
      </c>
      <c r="BC121" s="382">
        <f t="shared" si="115"/>
        <v>268776413</v>
      </c>
      <c r="BD121" s="83">
        <f t="shared" si="87"/>
        <v>1.1858566631591487</v>
      </c>
    </row>
    <row r="122" spans="1:56">
      <c r="A122" s="170">
        <v>43770</v>
      </c>
      <c r="B122" s="378">
        <v>1813191</v>
      </c>
      <c r="C122" s="3">
        <v>9565841</v>
      </c>
      <c r="D122" s="3">
        <f t="shared" si="102"/>
        <v>11379032</v>
      </c>
      <c r="E122" s="3">
        <f t="shared" si="103"/>
        <v>4070997</v>
      </c>
      <c r="F122" s="3">
        <v>0</v>
      </c>
      <c r="G122" s="3">
        <f t="shared" si="104"/>
        <v>4070997</v>
      </c>
      <c r="H122" s="3">
        <v>270738</v>
      </c>
      <c r="I122" s="3">
        <v>0</v>
      </c>
      <c r="J122" s="3">
        <f t="shared" si="174"/>
        <v>270738</v>
      </c>
      <c r="K122" s="3">
        <v>0</v>
      </c>
      <c r="L122" s="3">
        <v>0</v>
      </c>
      <c r="M122" s="3">
        <f t="shared" si="106"/>
        <v>0</v>
      </c>
      <c r="N122" s="3">
        <f t="shared" si="107"/>
        <v>3335651</v>
      </c>
      <c r="O122" s="3">
        <v>0</v>
      </c>
      <c r="P122" s="3">
        <f t="shared" si="108"/>
        <v>3335651</v>
      </c>
      <c r="Q122" s="3">
        <v>0</v>
      </c>
      <c r="R122" s="3">
        <v>0</v>
      </c>
      <c r="S122" s="3">
        <f t="shared" si="109"/>
        <v>0</v>
      </c>
      <c r="T122" s="3">
        <v>403680</v>
      </c>
      <c r="U122" s="3">
        <v>0</v>
      </c>
      <c r="V122" s="3">
        <f t="shared" si="175"/>
        <v>403680</v>
      </c>
      <c r="W122" s="3">
        <f t="shared" si="111"/>
        <v>9894257</v>
      </c>
      <c r="X122" s="3">
        <f t="shared" si="111"/>
        <v>9565841</v>
      </c>
      <c r="Y122" s="379">
        <f t="shared" si="112"/>
        <v>19460098</v>
      </c>
      <c r="Z122" s="3">
        <v>0</v>
      </c>
      <c r="AA122" s="3">
        <v>4070997</v>
      </c>
      <c r="AB122" s="380">
        <f t="shared" si="176"/>
        <v>4070997</v>
      </c>
      <c r="AC122" s="3">
        <v>375572</v>
      </c>
      <c r="AD122" s="3">
        <v>2960079</v>
      </c>
      <c r="AE122" s="380">
        <f t="shared" si="145"/>
        <v>3335651</v>
      </c>
      <c r="AF122" s="381">
        <f t="shared" si="160"/>
        <v>22030275</v>
      </c>
      <c r="AG122" s="177">
        <f t="shared" si="160"/>
        <v>174374440</v>
      </c>
      <c r="AH122" s="177">
        <f t="shared" si="161"/>
        <v>196404715</v>
      </c>
      <c r="AI122" s="177">
        <f t="shared" si="171"/>
        <v>53161052</v>
      </c>
      <c r="AJ122" s="177">
        <f>AJ121+F122</f>
        <v>0</v>
      </c>
      <c r="AK122" s="177">
        <f t="shared" si="162"/>
        <v>53161052</v>
      </c>
      <c r="AL122" s="177">
        <f t="shared" si="163"/>
        <v>2881822</v>
      </c>
      <c r="AM122" s="177">
        <f t="shared" si="163"/>
        <v>0</v>
      </c>
      <c r="AN122" s="177">
        <f t="shared" si="164"/>
        <v>2881822</v>
      </c>
      <c r="AO122" s="177">
        <f t="shared" si="165"/>
        <v>0</v>
      </c>
      <c r="AP122" s="177">
        <f t="shared" si="165"/>
        <v>0</v>
      </c>
      <c r="AQ122" s="177">
        <f t="shared" si="166"/>
        <v>0</v>
      </c>
      <c r="AR122" s="177">
        <f t="shared" si="167"/>
        <v>32189227</v>
      </c>
      <c r="AS122" s="177">
        <f t="shared" si="167"/>
        <v>0</v>
      </c>
      <c r="AT122" s="177">
        <f t="shared" si="168"/>
        <v>32189227</v>
      </c>
      <c r="AU122" s="177">
        <f t="shared" si="169"/>
        <v>83027</v>
      </c>
      <c r="AV122" s="177">
        <f t="shared" si="169"/>
        <v>0</v>
      </c>
      <c r="AW122" s="177">
        <f t="shared" si="170"/>
        <v>83027</v>
      </c>
      <c r="AX122" s="177">
        <f t="shared" si="172"/>
        <v>3516668</v>
      </c>
      <c r="AY122" s="177">
        <f t="shared" si="172"/>
        <v>0</v>
      </c>
      <c r="AZ122" s="177">
        <f t="shared" si="173"/>
        <v>3516668</v>
      </c>
      <c r="BA122" s="177">
        <f t="shared" si="114"/>
        <v>113862071</v>
      </c>
      <c r="BB122" s="177">
        <f t="shared" si="114"/>
        <v>174374440</v>
      </c>
      <c r="BC122" s="382">
        <f t="shared" si="115"/>
        <v>288236511</v>
      </c>
      <c r="BD122" s="83">
        <f t="shared" si="87"/>
        <v>0.98096780561896124</v>
      </c>
    </row>
    <row r="123" spans="1:56" ht="15.75" thickBot="1">
      <c r="A123" s="170">
        <v>43800</v>
      </c>
      <c r="B123" s="378">
        <v>1861860</v>
      </c>
      <c r="C123" s="3">
        <v>21228729</v>
      </c>
      <c r="D123" s="3">
        <f t="shared" si="102"/>
        <v>23090589</v>
      </c>
      <c r="E123" s="3">
        <f t="shared" si="103"/>
        <v>5138429</v>
      </c>
      <c r="F123" s="3">
        <v>0</v>
      </c>
      <c r="G123" s="3">
        <f t="shared" si="104"/>
        <v>5138429</v>
      </c>
      <c r="H123" s="3">
        <v>394198</v>
      </c>
      <c r="I123" s="3">
        <v>0</v>
      </c>
      <c r="J123" s="3">
        <f t="shared" si="174"/>
        <v>394198</v>
      </c>
      <c r="K123" s="3">
        <v>0</v>
      </c>
      <c r="L123" s="3">
        <v>0</v>
      </c>
      <c r="M123" s="3">
        <f t="shared" si="106"/>
        <v>0</v>
      </c>
      <c r="N123" s="3">
        <f t="shared" si="107"/>
        <v>4370192</v>
      </c>
      <c r="O123" s="3">
        <v>0</v>
      </c>
      <c r="P123" s="3">
        <f t="shared" si="108"/>
        <v>4370192</v>
      </c>
      <c r="Q123" s="3">
        <v>0</v>
      </c>
      <c r="R123" s="3">
        <v>0</v>
      </c>
      <c r="S123" s="3">
        <f t="shared" si="109"/>
        <v>0</v>
      </c>
      <c r="T123" s="3">
        <v>1113650</v>
      </c>
      <c r="U123" s="3">
        <v>0</v>
      </c>
      <c r="V123" s="3">
        <f t="shared" si="175"/>
        <v>1113650</v>
      </c>
      <c r="W123" s="3">
        <f t="shared" si="111"/>
        <v>12878329</v>
      </c>
      <c r="X123" s="3">
        <f t="shared" si="111"/>
        <v>21228729</v>
      </c>
      <c r="Y123" s="379">
        <f t="shared" si="112"/>
        <v>34107058</v>
      </c>
      <c r="Z123" s="3">
        <v>0</v>
      </c>
      <c r="AA123" s="3">
        <v>5138429</v>
      </c>
      <c r="AB123" s="380">
        <f t="shared" si="176"/>
        <v>5138429</v>
      </c>
      <c r="AC123" s="3">
        <v>1210673</v>
      </c>
      <c r="AD123" s="3">
        <v>3159519</v>
      </c>
      <c r="AE123" s="380">
        <f t="shared" si="145"/>
        <v>4370192</v>
      </c>
      <c r="AF123" s="381">
        <f t="shared" si="160"/>
        <v>23892135</v>
      </c>
      <c r="AG123" s="177">
        <f t="shared" si="160"/>
        <v>195603169</v>
      </c>
      <c r="AH123" s="177">
        <f t="shared" si="161"/>
        <v>219495304</v>
      </c>
      <c r="AI123" s="177">
        <f t="shared" si="171"/>
        <v>58299481</v>
      </c>
      <c r="AJ123" s="177">
        <f>AJ122+F123</f>
        <v>0</v>
      </c>
      <c r="AK123" s="177">
        <f t="shared" si="162"/>
        <v>58299481</v>
      </c>
      <c r="AL123" s="177">
        <f t="shared" si="163"/>
        <v>3276020</v>
      </c>
      <c r="AM123" s="177">
        <f t="shared" si="163"/>
        <v>0</v>
      </c>
      <c r="AN123" s="177">
        <f t="shared" si="164"/>
        <v>3276020</v>
      </c>
      <c r="AO123" s="177">
        <f t="shared" si="165"/>
        <v>0</v>
      </c>
      <c r="AP123" s="177">
        <f t="shared" si="165"/>
        <v>0</v>
      </c>
      <c r="AQ123" s="177">
        <f t="shared" si="166"/>
        <v>0</v>
      </c>
      <c r="AR123" s="177">
        <f t="shared" si="167"/>
        <v>36559419</v>
      </c>
      <c r="AS123" s="177">
        <f t="shared" si="167"/>
        <v>0</v>
      </c>
      <c r="AT123" s="177">
        <f t="shared" si="168"/>
        <v>36559419</v>
      </c>
      <c r="AU123" s="177">
        <f t="shared" si="169"/>
        <v>83027</v>
      </c>
      <c r="AV123" s="177">
        <f t="shared" si="169"/>
        <v>0</v>
      </c>
      <c r="AW123" s="177">
        <f t="shared" si="170"/>
        <v>83027</v>
      </c>
      <c r="AX123" s="177">
        <f t="shared" si="172"/>
        <v>4630318</v>
      </c>
      <c r="AY123" s="177">
        <f t="shared" si="172"/>
        <v>0</v>
      </c>
      <c r="AZ123" s="177">
        <f t="shared" si="173"/>
        <v>4630318</v>
      </c>
      <c r="BA123" s="177">
        <f t="shared" si="114"/>
        <v>126740400</v>
      </c>
      <c r="BB123" s="177">
        <f t="shared" si="114"/>
        <v>195603169</v>
      </c>
      <c r="BC123" s="382">
        <f t="shared" si="115"/>
        <v>322343569</v>
      </c>
      <c r="BD123" s="83">
        <f t="shared" si="87"/>
        <v>0.79774071991462847</v>
      </c>
    </row>
    <row r="124" spans="1:56">
      <c r="A124" s="171">
        <v>43831</v>
      </c>
      <c r="B124" s="385">
        <v>1856511</v>
      </c>
      <c r="C124" s="104">
        <v>7566830</v>
      </c>
      <c r="D124" s="104">
        <f t="shared" si="102"/>
        <v>9423341</v>
      </c>
      <c r="E124" s="104">
        <f t="shared" si="103"/>
        <v>6842999</v>
      </c>
      <c r="F124" s="104">
        <v>0</v>
      </c>
      <c r="G124" s="104">
        <f t="shared" si="104"/>
        <v>6842999</v>
      </c>
      <c r="H124" s="104">
        <v>415096</v>
      </c>
      <c r="I124" s="104">
        <v>0</v>
      </c>
      <c r="J124" s="104">
        <f t="shared" si="174"/>
        <v>415096</v>
      </c>
      <c r="K124" s="104">
        <v>0</v>
      </c>
      <c r="L124" s="104">
        <v>0</v>
      </c>
      <c r="M124" s="104">
        <f t="shared" si="106"/>
        <v>0</v>
      </c>
      <c r="N124" s="104">
        <f t="shared" si="107"/>
        <v>3041038</v>
      </c>
      <c r="O124" s="104">
        <v>0</v>
      </c>
      <c r="P124" s="104">
        <f t="shared" si="108"/>
        <v>3041038</v>
      </c>
      <c r="Q124" s="104">
        <v>0</v>
      </c>
      <c r="R124" s="104">
        <v>0</v>
      </c>
      <c r="S124" s="104">
        <f t="shared" si="109"/>
        <v>0</v>
      </c>
      <c r="T124" s="104">
        <v>0</v>
      </c>
      <c r="U124" s="104">
        <v>0</v>
      </c>
      <c r="V124" s="104">
        <f t="shared" si="175"/>
        <v>0</v>
      </c>
      <c r="W124" s="104">
        <f t="shared" si="111"/>
        <v>12155644</v>
      </c>
      <c r="X124" s="104">
        <f t="shared" si="111"/>
        <v>7566830</v>
      </c>
      <c r="Y124" s="386">
        <f t="shared" si="112"/>
        <v>19722474</v>
      </c>
      <c r="Z124" s="104">
        <v>0</v>
      </c>
      <c r="AA124" s="104">
        <v>6842999</v>
      </c>
      <c r="AB124" s="387">
        <f t="shared" si="176"/>
        <v>6842999</v>
      </c>
      <c r="AC124" s="104">
        <v>0</v>
      </c>
      <c r="AD124" s="104">
        <v>3041038</v>
      </c>
      <c r="AE124" s="387">
        <f t="shared" si="145"/>
        <v>3041038</v>
      </c>
      <c r="AF124" s="388">
        <f>B124</f>
        <v>1856511</v>
      </c>
      <c r="AG124" s="389">
        <f>C124</f>
        <v>7566830</v>
      </c>
      <c r="AH124" s="389">
        <f>AG124+AF124</f>
        <v>9423341</v>
      </c>
      <c r="AI124" s="389">
        <f>E124</f>
        <v>6842999</v>
      </c>
      <c r="AJ124" s="389">
        <f>F124</f>
        <v>0</v>
      </c>
      <c r="AK124" s="389">
        <f>AJ124+AI124</f>
        <v>6842999</v>
      </c>
      <c r="AL124" s="389">
        <f>H124</f>
        <v>415096</v>
      </c>
      <c r="AM124" s="389">
        <f>I124</f>
        <v>0</v>
      </c>
      <c r="AN124" s="389">
        <f>AM124+AL124</f>
        <v>415096</v>
      </c>
      <c r="AO124" s="389">
        <f>K124</f>
        <v>0</v>
      </c>
      <c r="AP124" s="389">
        <f>L124</f>
        <v>0</v>
      </c>
      <c r="AQ124" s="389">
        <f>AP124+AO124</f>
        <v>0</v>
      </c>
      <c r="AR124" s="389">
        <f>N124</f>
        <v>3041038</v>
      </c>
      <c r="AS124" s="389">
        <f>O124</f>
        <v>0</v>
      </c>
      <c r="AT124" s="389">
        <f>AS124+AR124</f>
        <v>3041038</v>
      </c>
      <c r="AU124" s="389">
        <f>Q124</f>
        <v>0</v>
      </c>
      <c r="AV124" s="389">
        <f>R124</f>
        <v>0</v>
      </c>
      <c r="AW124" s="389">
        <f>AV124+AU124</f>
        <v>0</v>
      </c>
      <c r="AX124" s="389">
        <f>T124</f>
        <v>0</v>
      </c>
      <c r="AY124" s="389">
        <f>U124</f>
        <v>0</v>
      </c>
      <c r="AZ124" s="389">
        <f>SUM(AX124:AY124)</f>
        <v>0</v>
      </c>
      <c r="BA124" s="389">
        <f t="shared" si="114"/>
        <v>12155644</v>
      </c>
      <c r="BB124" s="389">
        <f t="shared" si="114"/>
        <v>7566830</v>
      </c>
      <c r="BC124" s="390">
        <f t="shared" si="115"/>
        <v>19722474</v>
      </c>
      <c r="BD124" s="83">
        <f t="shared" si="87"/>
        <v>0.84815575412303978</v>
      </c>
    </row>
    <row r="125" spans="1:56">
      <c r="A125" s="170">
        <v>43862</v>
      </c>
      <c r="B125" s="378">
        <v>1782835</v>
      </c>
      <c r="C125" s="3">
        <v>12396799</v>
      </c>
      <c r="D125" s="3">
        <f t="shared" si="102"/>
        <v>14179634</v>
      </c>
      <c r="E125" s="3">
        <f t="shared" si="103"/>
        <v>5699775</v>
      </c>
      <c r="F125" s="3">
        <v>0</v>
      </c>
      <c r="G125" s="3">
        <f t="shared" si="104"/>
        <v>5699775</v>
      </c>
      <c r="H125" s="3">
        <v>324044</v>
      </c>
      <c r="I125" s="3">
        <v>0</v>
      </c>
      <c r="J125" s="3">
        <f t="shared" si="174"/>
        <v>324044</v>
      </c>
      <c r="K125" s="3">
        <v>0</v>
      </c>
      <c r="L125" s="3">
        <v>0</v>
      </c>
      <c r="M125" s="3">
        <f t="shared" si="106"/>
        <v>0</v>
      </c>
      <c r="N125" s="3">
        <f t="shared" si="107"/>
        <v>3128466</v>
      </c>
      <c r="O125" s="3">
        <v>0</v>
      </c>
      <c r="P125" s="3">
        <f t="shared" si="108"/>
        <v>3128466</v>
      </c>
      <c r="Q125" s="3">
        <v>0</v>
      </c>
      <c r="R125" s="3">
        <v>0</v>
      </c>
      <c r="S125" s="3">
        <f t="shared" si="109"/>
        <v>0</v>
      </c>
      <c r="T125" s="3">
        <v>0</v>
      </c>
      <c r="U125" s="3">
        <v>0</v>
      </c>
      <c r="V125" s="3">
        <f t="shared" si="175"/>
        <v>0</v>
      </c>
      <c r="W125" s="3">
        <f t="shared" si="111"/>
        <v>10935120</v>
      </c>
      <c r="X125" s="3">
        <f t="shared" si="111"/>
        <v>12396799</v>
      </c>
      <c r="Y125" s="379">
        <f t="shared" si="112"/>
        <v>23331919</v>
      </c>
      <c r="Z125" s="3">
        <v>0</v>
      </c>
      <c r="AA125" s="3">
        <v>5699775</v>
      </c>
      <c r="AB125" s="380">
        <f t="shared" si="176"/>
        <v>5699775</v>
      </c>
      <c r="AC125" s="3">
        <v>385855</v>
      </c>
      <c r="AD125" s="3">
        <v>2742611</v>
      </c>
      <c r="AE125" s="380">
        <f t="shared" si="145"/>
        <v>3128466</v>
      </c>
      <c r="AF125" s="381">
        <f t="shared" ref="AF125:AG135" si="177">B125+AF124</f>
        <v>3639346</v>
      </c>
      <c r="AG125" s="177">
        <f t="shared" si="177"/>
        <v>19963629</v>
      </c>
      <c r="AH125" s="177">
        <f t="shared" ref="AH125:AH135" si="178">AG125+AF125</f>
        <v>23602975</v>
      </c>
      <c r="AI125" s="177">
        <f>AI124+E125</f>
        <v>12542774</v>
      </c>
      <c r="AJ125" s="177">
        <f>AJ124+F125</f>
        <v>0</v>
      </c>
      <c r="AK125" s="177">
        <f t="shared" ref="AK125:AK135" si="179">AJ125+AI125</f>
        <v>12542774</v>
      </c>
      <c r="AL125" s="177">
        <f t="shared" ref="AL125:AM135" si="180">AL124+H125</f>
        <v>739140</v>
      </c>
      <c r="AM125" s="177">
        <f t="shared" si="180"/>
        <v>0</v>
      </c>
      <c r="AN125" s="177">
        <f t="shared" ref="AN125:AN135" si="181">AM125+AL125</f>
        <v>739140</v>
      </c>
      <c r="AO125" s="177">
        <f t="shared" ref="AO125:AP135" si="182">AO124+K125</f>
        <v>0</v>
      </c>
      <c r="AP125" s="177">
        <f t="shared" si="182"/>
        <v>0</v>
      </c>
      <c r="AQ125" s="177">
        <f t="shared" ref="AQ125:AQ135" si="183">AP125+AO125</f>
        <v>0</v>
      </c>
      <c r="AR125" s="177">
        <f t="shared" ref="AR125:AS135" si="184">AR124+N125</f>
        <v>6169504</v>
      </c>
      <c r="AS125" s="177">
        <f t="shared" si="184"/>
        <v>0</v>
      </c>
      <c r="AT125" s="177">
        <f t="shared" ref="AT125:AT135" si="185">AS125+AR125</f>
        <v>6169504</v>
      </c>
      <c r="AU125" s="177">
        <f t="shared" ref="AU125:AV135" si="186">AU124+Q125</f>
        <v>0</v>
      </c>
      <c r="AV125" s="177">
        <f t="shared" si="186"/>
        <v>0</v>
      </c>
      <c r="AW125" s="177">
        <f t="shared" ref="AW125:AW135" si="187">AV125+AU125</f>
        <v>0</v>
      </c>
      <c r="AX125" s="177">
        <f>AX124+T125</f>
        <v>0</v>
      </c>
      <c r="AY125" s="177">
        <f>AY124+U125</f>
        <v>0</v>
      </c>
      <c r="AZ125" s="177">
        <f>SUM(AX125:AY125)</f>
        <v>0</v>
      </c>
      <c r="BA125" s="177">
        <f t="shared" si="114"/>
        <v>23090764</v>
      </c>
      <c r="BB125" s="177">
        <f t="shared" si="114"/>
        <v>19963629</v>
      </c>
      <c r="BC125" s="382">
        <f t="shared" si="115"/>
        <v>43054393</v>
      </c>
      <c r="BD125" s="83">
        <f t="shared" si="87"/>
        <v>1.0864577171722711</v>
      </c>
    </row>
    <row r="126" spans="1:56">
      <c r="A126" s="170">
        <v>43891</v>
      </c>
      <c r="B126" s="378">
        <v>2067683</v>
      </c>
      <c r="C126" s="3">
        <v>24356072</v>
      </c>
      <c r="D126" s="3">
        <f t="shared" si="102"/>
        <v>26423755</v>
      </c>
      <c r="E126" s="3">
        <f t="shared" si="103"/>
        <v>6056567</v>
      </c>
      <c r="F126" s="3">
        <v>0</v>
      </c>
      <c r="G126" s="3">
        <f t="shared" si="104"/>
        <v>6056567</v>
      </c>
      <c r="H126" s="3">
        <v>413954</v>
      </c>
      <c r="I126" s="3">
        <v>0</v>
      </c>
      <c r="J126" s="3">
        <f t="shared" si="174"/>
        <v>413954</v>
      </c>
      <c r="K126" s="3">
        <v>0</v>
      </c>
      <c r="L126" s="3">
        <v>0</v>
      </c>
      <c r="M126" s="3">
        <f t="shared" si="106"/>
        <v>0</v>
      </c>
      <c r="N126" s="3">
        <f t="shared" si="107"/>
        <v>3088898</v>
      </c>
      <c r="O126" s="3">
        <v>0</v>
      </c>
      <c r="P126" s="3">
        <f t="shared" si="108"/>
        <v>3088898</v>
      </c>
      <c r="Q126" s="3">
        <v>0</v>
      </c>
      <c r="R126" s="3">
        <v>0</v>
      </c>
      <c r="S126" s="3">
        <f t="shared" si="109"/>
        <v>0</v>
      </c>
      <c r="T126" s="3">
        <v>691549</v>
      </c>
      <c r="U126" s="3">
        <v>0</v>
      </c>
      <c r="V126" s="3">
        <f t="shared" si="175"/>
        <v>691549</v>
      </c>
      <c r="W126" s="3">
        <f t="shared" si="111"/>
        <v>12318651</v>
      </c>
      <c r="X126" s="3">
        <f t="shared" si="111"/>
        <v>24356072</v>
      </c>
      <c r="Y126" s="379">
        <f t="shared" si="112"/>
        <v>36674723</v>
      </c>
      <c r="Z126" s="3">
        <v>0</v>
      </c>
      <c r="AA126" s="3">
        <v>6056567</v>
      </c>
      <c r="AB126" s="380">
        <f t="shared" si="176"/>
        <v>6056567</v>
      </c>
      <c r="AC126" s="3">
        <v>263882</v>
      </c>
      <c r="AD126" s="3">
        <v>2825016</v>
      </c>
      <c r="AE126" s="380">
        <f t="shared" si="145"/>
        <v>3088898</v>
      </c>
      <c r="AF126" s="381">
        <f t="shared" si="177"/>
        <v>5707029</v>
      </c>
      <c r="AG126" s="177">
        <f t="shared" si="177"/>
        <v>44319701</v>
      </c>
      <c r="AH126" s="177">
        <f t="shared" si="178"/>
        <v>50026730</v>
      </c>
      <c r="AI126" s="177">
        <f t="shared" ref="AI126:AJ135" si="188">AI125+E126</f>
        <v>18599341</v>
      </c>
      <c r="AJ126" s="177">
        <f t="shared" si="188"/>
        <v>0</v>
      </c>
      <c r="AK126" s="177">
        <f t="shared" si="179"/>
        <v>18599341</v>
      </c>
      <c r="AL126" s="177">
        <f t="shared" si="180"/>
        <v>1153094</v>
      </c>
      <c r="AM126" s="177">
        <f t="shared" si="180"/>
        <v>0</v>
      </c>
      <c r="AN126" s="177">
        <f t="shared" si="181"/>
        <v>1153094</v>
      </c>
      <c r="AO126" s="177">
        <f t="shared" si="182"/>
        <v>0</v>
      </c>
      <c r="AP126" s="177">
        <f t="shared" si="182"/>
        <v>0</v>
      </c>
      <c r="AQ126" s="177">
        <f t="shared" si="183"/>
        <v>0</v>
      </c>
      <c r="AR126" s="177">
        <f t="shared" si="184"/>
        <v>9258402</v>
      </c>
      <c r="AS126" s="177">
        <f t="shared" si="184"/>
        <v>0</v>
      </c>
      <c r="AT126" s="177">
        <f t="shared" si="185"/>
        <v>9258402</v>
      </c>
      <c r="AU126" s="177">
        <f t="shared" si="186"/>
        <v>0</v>
      </c>
      <c r="AV126" s="177">
        <f t="shared" si="186"/>
        <v>0</v>
      </c>
      <c r="AW126" s="177">
        <f t="shared" si="187"/>
        <v>0</v>
      </c>
      <c r="AX126" s="177">
        <f t="shared" ref="AX126:AY135" si="189">AX125+T126</f>
        <v>691549</v>
      </c>
      <c r="AY126" s="177">
        <f t="shared" si="189"/>
        <v>0</v>
      </c>
      <c r="AZ126" s="177">
        <f t="shared" ref="AZ126:AZ135" si="190">SUM(AX126:AY126)</f>
        <v>691549</v>
      </c>
      <c r="BA126" s="177">
        <f t="shared" si="114"/>
        <v>35409415</v>
      </c>
      <c r="BB126" s="177">
        <f t="shared" si="114"/>
        <v>44319701</v>
      </c>
      <c r="BC126" s="382">
        <f t="shared" si="115"/>
        <v>79729116</v>
      </c>
      <c r="BD126" s="83">
        <f t="shared" si="87"/>
        <v>1.0663228838816554</v>
      </c>
    </row>
    <row r="127" spans="1:56">
      <c r="A127" s="170">
        <v>43922</v>
      </c>
      <c r="B127" s="378">
        <v>1989362</v>
      </c>
      <c r="C127" s="3">
        <v>0</v>
      </c>
      <c r="D127" s="3">
        <f t="shared" si="102"/>
        <v>1989362</v>
      </c>
      <c r="E127" s="3">
        <f t="shared" si="103"/>
        <v>5239801</v>
      </c>
      <c r="F127" s="3">
        <v>0</v>
      </c>
      <c r="G127" s="3">
        <f t="shared" si="104"/>
        <v>5239801</v>
      </c>
      <c r="H127" s="3">
        <v>319080</v>
      </c>
      <c r="I127" s="3">
        <v>0</v>
      </c>
      <c r="J127" s="3">
        <f t="shared" si="174"/>
        <v>319080</v>
      </c>
      <c r="K127" s="3">
        <v>0</v>
      </c>
      <c r="L127" s="3">
        <v>0</v>
      </c>
      <c r="M127" s="3">
        <f t="shared" si="106"/>
        <v>0</v>
      </c>
      <c r="N127" s="3">
        <f t="shared" si="107"/>
        <v>2723770</v>
      </c>
      <c r="O127" s="3">
        <v>0</v>
      </c>
      <c r="P127" s="3">
        <f t="shared" si="108"/>
        <v>2723770</v>
      </c>
      <c r="Q127" s="3">
        <v>8244</v>
      </c>
      <c r="R127" s="3">
        <v>0</v>
      </c>
      <c r="S127" s="3">
        <f t="shared" si="109"/>
        <v>8244</v>
      </c>
      <c r="T127" s="3">
        <v>0</v>
      </c>
      <c r="U127" s="3">
        <v>0</v>
      </c>
      <c r="V127" s="3">
        <f t="shared" si="175"/>
        <v>0</v>
      </c>
      <c r="W127" s="3">
        <f t="shared" si="111"/>
        <v>10280257</v>
      </c>
      <c r="X127" s="3">
        <f t="shared" si="111"/>
        <v>0</v>
      </c>
      <c r="Y127" s="379">
        <f t="shared" si="112"/>
        <v>10280257</v>
      </c>
      <c r="Z127" s="3">
        <v>0</v>
      </c>
      <c r="AA127" s="3">
        <v>5239801</v>
      </c>
      <c r="AB127" s="380">
        <f t="shared" si="176"/>
        <v>5239801</v>
      </c>
      <c r="AC127" s="3">
        <v>403820</v>
      </c>
      <c r="AD127" s="3">
        <v>2319950</v>
      </c>
      <c r="AE127" s="380">
        <f t="shared" si="145"/>
        <v>2723770</v>
      </c>
      <c r="AF127" s="381">
        <f t="shared" si="177"/>
        <v>7696391</v>
      </c>
      <c r="AG127" s="177">
        <f t="shared" si="177"/>
        <v>44319701</v>
      </c>
      <c r="AH127" s="177">
        <f t="shared" si="178"/>
        <v>52016092</v>
      </c>
      <c r="AI127" s="177">
        <f t="shared" si="188"/>
        <v>23839142</v>
      </c>
      <c r="AJ127" s="177">
        <f t="shared" si="188"/>
        <v>0</v>
      </c>
      <c r="AK127" s="177">
        <f t="shared" si="179"/>
        <v>23839142</v>
      </c>
      <c r="AL127" s="177">
        <f t="shared" si="180"/>
        <v>1472174</v>
      </c>
      <c r="AM127" s="177">
        <f t="shared" si="180"/>
        <v>0</v>
      </c>
      <c r="AN127" s="177">
        <f t="shared" si="181"/>
        <v>1472174</v>
      </c>
      <c r="AO127" s="177">
        <f t="shared" si="182"/>
        <v>0</v>
      </c>
      <c r="AP127" s="177">
        <f t="shared" si="182"/>
        <v>0</v>
      </c>
      <c r="AQ127" s="177">
        <f t="shared" si="183"/>
        <v>0</v>
      </c>
      <c r="AR127" s="177">
        <f t="shared" si="184"/>
        <v>11982172</v>
      </c>
      <c r="AS127" s="177">
        <f t="shared" si="184"/>
        <v>0</v>
      </c>
      <c r="AT127" s="177">
        <f t="shared" si="185"/>
        <v>11982172</v>
      </c>
      <c r="AU127" s="177">
        <f t="shared" si="186"/>
        <v>8244</v>
      </c>
      <c r="AV127" s="177">
        <f t="shared" si="186"/>
        <v>0</v>
      </c>
      <c r="AW127" s="177">
        <f t="shared" si="187"/>
        <v>8244</v>
      </c>
      <c r="AX127" s="177">
        <f t="shared" si="189"/>
        <v>691549</v>
      </c>
      <c r="AY127" s="177">
        <f t="shared" si="189"/>
        <v>0</v>
      </c>
      <c r="AZ127" s="177">
        <f t="shared" si="190"/>
        <v>691549</v>
      </c>
      <c r="BA127" s="177">
        <f t="shared" si="114"/>
        <v>45689672</v>
      </c>
      <c r="BB127" s="177">
        <f t="shared" si="114"/>
        <v>44319701</v>
      </c>
      <c r="BC127" s="382">
        <f t="shared" si="115"/>
        <v>90009373</v>
      </c>
      <c r="BD127" s="83">
        <f t="shared" si="87"/>
        <v>0.43756584563798828</v>
      </c>
    </row>
    <row r="128" spans="1:56">
      <c r="A128" s="170">
        <v>43952</v>
      </c>
      <c r="B128" s="378">
        <v>1967105</v>
      </c>
      <c r="C128" s="3">
        <v>0</v>
      </c>
      <c r="D128" s="3">
        <f t="shared" si="102"/>
        <v>1967105</v>
      </c>
      <c r="E128" s="3">
        <f t="shared" si="103"/>
        <v>7235406</v>
      </c>
      <c r="F128" s="3">
        <v>0</v>
      </c>
      <c r="G128" s="3">
        <f t="shared" si="104"/>
        <v>7235406</v>
      </c>
      <c r="H128" s="3">
        <v>231881</v>
      </c>
      <c r="I128" s="3">
        <v>0</v>
      </c>
      <c r="J128" s="3">
        <f t="shared" si="174"/>
        <v>231881</v>
      </c>
      <c r="K128" s="3">
        <v>0</v>
      </c>
      <c r="L128" s="3">
        <v>0</v>
      </c>
      <c r="M128" s="3">
        <f t="shared" si="106"/>
        <v>0</v>
      </c>
      <c r="N128" s="3">
        <f t="shared" si="107"/>
        <v>2851380</v>
      </c>
      <c r="O128" s="3">
        <v>0</v>
      </c>
      <c r="P128" s="3">
        <f t="shared" si="108"/>
        <v>2851380</v>
      </c>
      <c r="Q128" s="3">
        <v>7740</v>
      </c>
      <c r="R128" s="3">
        <v>0</v>
      </c>
      <c r="S128" s="3">
        <f t="shared" si="109"/>
        <v>7740</v>
      </c>
      <c r="T128" s="3">
        <v>413824</v>
      </c>
      <c r="U128" s="3">
        <v>0</v>
      </c>
      <c r="V128" s="3">
        <f t="shared" si="175"/>
        <v>413824</v>
      </c>
      <c r="W128" s="3">
        <f t="shared" si="111"/>
        <v>12707336</v>
      </c>
      <c r="X128" s="3">
        <f t="shared" si="111"/>
        <v>0</v>
      </c>
      <c r="Y128" s="379">
        <f t="shared" si="112"/>
        <v>12707336</v>
      </c>
      <c r="Z128" s="3">
        <v>0</v>
      </c>
      <c r="AA128" s="3">
        <v>7235406</v>
      </c>
      <c r="AB128" s="380">
        <f t="shared" si="176"/>
        <v>7235406</v>
      </c>
      <c r="AC128" s="3">
        <v>107435</v>
      </c>
      <c r="AD128" s="3">
        <v>2743945</v>
      </c>
      <c r="AE128" s="380">
        <f t="shared" si="145"/>
        <v>2851380</v>
      </c>
      <c r="AF128" s="381">
        <f t="shared" si="177"/>
        <v>9663496</v>
      </c>
      <c r="AG128" s="177">
        <f t="shared" si="177"/>
        <v>44319701</v>
      </c>
      <c r="AH128" s="177">
        <f t="shared" si="178"/>
        <v>53983197</v>
      </c>
      <c r="AI128" s="177">
        <f t="shared" si="188"/>
        <v>31074548</v>
      </c>
      <c r="AJ128" s="177">
        <f t="shared" si="188"/>
        <v>0</v>
      </c>
      <c r="AK128" s="177">
        <f t="shared" si="179"/>
        <v>31074548</v>
      </c>
      <c r="AL128" s="177">
        <f t="shared" si="180"/>
        <v>1704055</v>
      </c>
      <c r="AM128" s="177">
        <f t="shared" si="180"/>
        <v>0</v>
      </c>
      <c r="AN128" s="177">
        <f t="shared" si="181"/>
        <v>1704055</v>
      </c>
      <c r="AO128" s="177">
        <f t="shared" si="182"/>
        <v>0</v>
      </c>
      <c r="AP128" s="177">
        <f t="shared" si="182"/>
        <v>0</v>
      </c>
      <c r="AQ128" s="177">
        <f t="shared" si="183"/>
        <v>0</v>
      </c>
      <c r="AR128" s="177">
        <f t="shared" si="184"/>
        <v>14833552</v>
      </c>
      <c r="AS128" s="177">
        <f t="shared" si="184"/>
        <v>0</v>
      </c>
      <c r="AT128" s="177">
        <f t="shared" si="185"/>
        <v>14833552</v>
      </c>
      <c r="AU128" s="177">
        <f t="shared" si="186"/>
        <v>15984</v>
      </c>
      <c r="AV128" s="177">
        <f t="shared" si="186"/>
        <v>0</v>
      </c>
      <c r="AW128" s="177">
        <f t="shared" si="187"/>
        <v>15984</v>
      </c>
      <c r="AX128" s="177">
        <f t="shared" si="189"/>
        <v>1105373</v>
      </c>
      <c r="AY128" s="177">
        <f t="shared" si="189"/>
        <v>0</v>
      </c>
      <c r="AZ128" s="177">
        <f t="shared" si="190"/>
        <v>1105373</v>
      </c>
      <c r="BA128" s="177">
        <f t="shared" si="114"/>
        <v>58397008</v>
      </c>
      <c r="BB128" s="177">
        <f t="shared" si="114"/>
        <v>44319701</v>
      </c>
      <c r="BC128" s="382">
        <f t="shared" si="115"/>
        <v>102716709</v>
      </c>
      <c r="BD128" s="83">
        <f t="shared" ref="BD128:BD186" si="191">BC128/BC116-1</f>
        <v>0.36577663363726831</v>
      </c>
    </row>
    <row r="129" spans="1:56">
      <c r="A129" s="170">
        <v>43983</v>
      </c>
      <c r="B129" s="378">
        <v>1972220</v>
      </c>
      <c r="C129" s="3">
        <v>0</v>
      </c>
      <c r="D129" s="3">
        <f t="shared" si="102"/>
        <v>1972220</v>
      </c>
      <c r="E129" s="3">
        <f t="shared" si="103"/>
        <v>5700196</v>
      </c>
      <c r="F129" s="3">
        <v>0</v>
      </c>
      <c r="G129" s="3">
        <f t="shared" si="104"/>
        <v>5700196</v>
      </c>
      <c r="H129" s="3">
        <v>104131</v>
      </c>
      <c r="I129" s="3">
        <v>0</v>
      </c>
      <c r="J129" s="3">
        <f t="shared" si="174"/>
        <v>104131</v>
      </c>
      <c r="K129" s="3">
        <v>0</v>
      </c>
      <c r="L129" s="3">
        <v>0</v>
      </c>
      <c r="M129" s="3">
        <f t="shared" si="106"/>
        <v>0</v>
      </c>
      <c r="N129" s="3">
        <f t="shared" si="107"/>
        <v>2416146</v>
      </c>
      <c r="O129" s="3">
        <v>0</v>
      </c>
      <c r="P129" s="3">
        <f t="shared" si="108"/>
        <v>2416146</v>
      </c>
      <c r="Q129" s="3">
        <v>8314</v>
      </c>
      <c r="R129" s="3">
        <v>0</v>
      </c>
      <c r="S129" s="3">
        <f t="shared" si="109"/>
        <v>8314</v>
      </c>
      <c r="T129" s="3">
        <v>480861</v>
      </c>
      <c r="U129" s="3">
        <v>0</v>
      </c>
      <c r="V129" s="3">
        <f t="shared" si="175"/>
        <v>480861</v>
      </c>
      <c r="W129" s="3">
        <f t="shared" si="111"/>
        <v>10681868</v>
      </c>
      <c r="X129" s="3">
        <f t="shared" si="111"/>
        <v>0</v>
      </c>
      <c r="Y129" s="379">
        <f t="shared" si="112"/>
        <v>10681868</v>
      </c>
      <c r="Z129" s="3">
        <v>0</v>
      </c>
      <c r="AA129" s="3">
        <v>5700196</v>
      </c>
      <c r="AB129" s="380">
        <f t="shared" si="176"/>
        <v>5700196</v>
      </c>
      <c r="AC129" s="3">
        <v>0</v>
      </c>
      <c r="AD129" s="3">
        <v>2416146</v>
      </c>
      <c r="AE129" s="380">
        <f t="shared" si="145"/>
        <v>2416146</v>
      </c>
      <c r="AF129" s="381">
        <f t="shared" si="177"/>
        <v>11635716</v>
      </c>
      <c r="AG129" s="177">
        <f t="shared" si="177"/>
        <v>44319701</v>
      </c>
      <c r="AH129" s="177">
        <f t="shared" si="178"/>
        <v>55955417</v>
      </c>
      <c r="AI129" s="177">
        <f t="shared" si="188"/>
        <v>36774744</v>
      </c>
      <c r="AJ129" s="177">
        <f t="shared" si="188"/>
        <v>0</v>
      </c>
      <c r="AK129" s="177">
        <f t="shared" si="179"/>
        <v>36774744</v>
      </c>
      <c r="AL129" s="177">
        <f t="shared" si="180"/>
        <v>1808186</v>
      </c>
      <c r="AM129" s="177">
        <f t="shared" si="180"/>
        <v>0</v>
      </c>
      <c r="AN129" s="177">
        <f t="shared" si="181"/>
        <v>1808186</v>
      </c>
      <c r="AO129" s="177">
        <f t="shared" si="182"/>
        <v>0</v>
      </c>
      <c r="AP129" s="177">
        <f t="shared" si="182"/>
        <v>0</v>
      </c>
      <c r="AQ129" s="177">
        <f t="shared" si="183"/>
        <v>0</v>
      </c>
      <c r="AR129" s="177">
        <f t="shared" si="184"/>
        <v>17249698</v>
      </c>
      <c r="AS129" s="177">
        <f t="shared" si="184"/>
        <v>0</v>
      </c>
      <c r="AT129" s="177">
        <f t="shared" si="185"/>
        <v>17249698</v>
      </c>
      <c r="AU129" s="177">
        <f t="shared" si="186"/>
        <v>24298</v>
      </c>
      <c r="AV129" s="177">
        <f t="shared" si="186"/>
        <v>0</v>
      </c>
      <c r="AW129" s="177">
        <f t="shared" si="187"/>
        <v>24298</v>
      </c>
      <c r="AX129" s="177">
        <f t="shared" si="189"/>
        <v>1586234</v>
      </c>
      <c r="AY129" s="177">
        <f t="shared" si="189"/>
        <v>0</v>
      </c>
      <c r="AZ129" s="177">
        <f t="shared" si="190"/>
        <v>1586234</v>
      </c>
      <c r="BA129" s="177">
        <f t="shared" si="114"/>
        <v>69078876</v>
      </c>
      <c r="BB129" s="177">
        <f t="shared" si="114"/>
        <v>44319701</v>
      </c>
      <c r="BC129" s="382">
        <f t="shared" si="115"/>
        <v>113398577</v>
      </c>
      <c r="BD129" s="83">
        <f t="shared" si="191"/>
        <v>4.3605716248106718E-2</v>
      </c>
    </row>
    <row r="130" spans="1:56">
      <c r="A130" s="170">
        <v>44013</v>
      </c>
      <c r="B130" s="378">
        <v>1804923</v>
      </c>
      <c r="C130" s="3">
        <v>22037693</v>
      </c>
      <c r="D130" s="3">
        <f t="shared" si="102"/>
        <v>23842616</v>
      </c>
      <c r="E130" s="3">
        <f t="shared" si="103"/>
        <v>6161891</v>
      </c>
      <c r="F130" s="3">
        <v>0</v>
      </c>
      <c r="G130" s="3">
        <f t="shared" si="104"/>
        <v>6161891</v>
      </c>
      <c r="H130" s="3">
        <v>65164</v>
      </c>
      <c r="I130" s="3">
        <v>0</v>
      </c>
      <c r="J130" s="3">
        <f t="shared" si="174"/>
        <v>65164</v>
      </c>
      <c r="K130" s="3">
        <v>0</v>
      </c>
      <c r="L130" s="3">
        <v>0</v>
      </c>
      <c r="M130" s="3">
        <f t="shared" si="106"/>
        <v>0</v>
      </c>
      <c r="N130" s="3">
        <f t="shared" si="107"/>
        <v>3300718</v>
      </c>
      <c r="O130" s="3">
        <v>0</v>
      </c>
      <c r="P130" s="3">
        <f t="shared" si="108"/>
        <v>3300718</v>
      </c>
      <c r="Q130" s="3">
        <v>10378</v>
      </c>
      <c r="R130" s="3">
        <v>0</v>
      </c>
      <c r="S130" s="3">
        <f t="shared" si="109"/>
        <v>10378</v>
      </c>
      <c r="T130" s="3">
        <v>458114</v>
      </c>
      <c r="U130" s="3">
        <v>0</v>
      </c>
      <c r="V130" s="3">
        <f t="shared" si="175"/>
        <v>458114</v>
      </c>
      <c r="W130" s="3">
        <f t="shared" si="111"/>
        <v>11801188</v>
      </c>
      <c r="X130" s="3">
        <f t="shared" si="111"/>
        <v>22037693</v>
      </c>
      <c r="Y130" s="379">
        <f t="shared" si="112"/>
        <v>33838881</v>
      </c>
      <c r="Z130" s="3">
        <v>0</v>
      </c>
      <c r="AA130" s="3">
        <v>6161891</v>
      </c>
      <c r="AB130" s="380">
        <f t="shared" si="176"/>
        <v>6161891</v>
      </c>
      <c r="AC130" s="3">
        <v>725077</v>
      </c>
      <c r="AD130" s="3">
        <v>2575641</v>
      </c>
      <c r="AE130" s="380">
        <f t="shared" si="145"/>
        <v>3300718</v>
      </c>
      <c r="AF130" s="381">
        <f t="shared" si="177"/>
        <v>13440639</v>
      </c>
      <c r="AG130" s="177">
        <f t="shared" si="177"/>
        <v>66357394</v>
      </c>
      <c r="AH130" s="177">
        <f t="shared" si="178"/>
        <v>79798033</v>
      </c>
      <c r="AI130" s="177">
        <f t="shared" si="188"/>
        <v>42936635</v>
      </c>
      <c r="AJ130" s="177">
        <f t="shared" si="188"/>
        <v>0</v>
      </c>
      <c r="AK130" s="177">
        <f t="shared" si="179"/>
        <v>42936635</v>
      </c>
      <c r="AL130" s="177">
        <f t="shared" si="180"/>
        <v>1873350</v>
      </c>
      <c r="AM130" s="177">
        <f t="shared" si="180"/>
        <v>0</v>
      </c>
      <c r="AN130" s="177">
        <f t="shared" si="181"/>
        <v>1873350</v>
      </c>
      <c r="AO130" s="177">
        <f t="shared" si="182"/>
        <v>0</v>
      </c>
      <c r="AP130" s="177">
        <f t="shared" si="182"/>
        <v>0</v>
      </c>
      <c r="AQ130" s="177">
        <f t="shared" si="183"/>
        <v>0</v>
      </c>
      <c r="AR130" s="177">
        <f t="shared" si="184"/>
        <v>20550416</v>
      </c>
      <c r="AS130" s="177">
        <f t="shared" si="184"/>
        <v>0</v>
      </c>
      <c r="AT130" s="177">
        <f t="shared" si="185"/>
        <v>20550416</v>
      </c>
      <c r="AU130" s="177">
        <f t="shared" si="186"/>
        <v>34676</v>
      </c>
      <c r="AV130" s="177">
        <f t="shared" si="186"/>
        <v>0</v>
      </c>
      <c r="AW130" s="177">
        <f t="shared" si="187"/>
        <v>34676</v>
      </c>
      <c r="AX130" s="177">
        <f t="shared" si="189"/>
        <v>2044348</v>
      </c>
      <c r="AY130" s="177">
        <f t="shared" si="189"/>
        <v>0</v>
      </c>
      <c r="AZ130" s="177">
        <f t="shared" si="190"/>
        <v>2044348</v>
      </c>
      <c r="BA130" s="177">
        <f t="shared" si="114"/>
        <v>80880064</v>
      </c>
      <c r="BB130" s="177">
        <f t="shared" si="114"/>
        <v>66357394</v>
      </c>
      <c r="BC130" s="382">
        <f t="shared" si="115"/>
        <v>147237458</v>
      </c>
      <c r="BD130" s="83">
        <f t="shared" si="191"/>
        <v>3.2253913664014311E-2</v>
      </c>
    </row>
    <row r="131" spans="1:56">
      <c r="A131" s="170">
        <v>44044</v>
      </c>
      <c r="B131" s="378">
        <v>1946561</v>
      </c>
      <c r="C131" s="3">
        <v>27566484</v>
      </c>
      <c r="D131" s="3">
        <f t="shared" si="102"/>
        <v>29513045</v>
      </c>
      <c r="E131" s="3">
        <f t="shared" si="103"/>
        <v>6246934</v>
      </c>
      <c r="F131" s="3">
        <v>0</v>
      </c>
      <c r="G131" s="3">
        <f t="shared" si="104"/>
        <v>6246934</v>
      </c>
      <c r="H131" s="3">
        <v>52128</v>
      </c>
      <c r="I131" s="3">
        <v>0</v>
      </c>
      <c r="J131" s="3">
        <f t="shared" si="174"/>
        <v>52128</v>
      </c>
      <c r="K131" s="3">
        <v>0</v>
      </c>
      <c r="L131" s="3">
        <v>0</v>
      </c>
      <c r="M131" s="3">
        <f t="shared" si="106"/>
        <v>0</v>
      </c>
      <c r="N131" s="3">
        <f t="shared" si="107"/>
        <v>3052310</v>
      </c>
      <c r="O131" s="3">
        <v>0</v>
      </c>
      <c r="P131" s="3">
        <f t="shared" si="108"/>
        <v>3052310</v>
      </c>
      <c r="Q131" s="3">
        <v>9452</v>
      </c>
      <c r="R131" s="3">
        <v>0</v>
      </c>
      <c r="S131" s="3">
        <f t="shared" si="109"/>
        <v>9452</v>
      </c>
      <c r="T131" s="3">
        <v>435284</v>
      </c>
      <c r="U131" s="3">
        <v>0</v>
      </c>
      <c r="V131" s="3">
        <f t="shared" si="175"/>
        <v>435284</v>
      </c>
      <c r="W131" s="3">
        <f t="shared" si="111"/>
        <v>11742669</v>
      </c>
      <c r="X131" s="3">
        <f t="shared" si="111"/>
        <v>27566484</v>
      </c>
      <c r="Y131" s="379">
        <f t="shared" si="112"/>
        <v>39309153</v>
      </c>
      <c r="Z131" s="3">
        <v>0</v>
      </c>
      <c r="AA131" s="3">
        <v>6246934</v>
      </c>
      <c r="AB131" s="380">
        <f t="shared" si="176"/>
        <v>6246934</v>
      </c>
      <c r="AC131" s="3">
        <v>531805</v>
      </c>
      <c r="AD131" s="3">
        <v>2520505</v>
      </c>
      <c r="AE131" s="380">
        <f t="shared" si="145"/>
        <v>3052310</v>
      </c>
      <c r="AF131" s="381">
        <f t="shared" si="177"/>
        <v>15387200</v>
      </c>
      <c r="AG131" s="177">
        <f t="shared" si="177"/>
        <v>93923878</v>
      </c>
      <c r="AH131" s="177">
        <f t="shared" si="178"/>
        <v>109311078</v>
      </c>
      <c r="AI131" s="177">
        <f t="shared" si="188"/>
        <v>49183569</v>
      </c>
      <c r="AJ131" s="177">
        <f t="shared" si="188"/>
        <v>0</v>
      </c>
      <c r="AK131" s="177">
        <f t="shared" si="179"/>
        <v>49183569</v>
      </c>
      <c r="AL131" s="177">
        <f t="shared" si="180"/>
        <v>1925478</v>
      </c>
      <c r="AM131" s="177">
        <f t="shared" si="180"/>
        <v>0</v>
      </c>
      <c r="AN131" s="177">
        <f t="shared" si="181"/>
        <v>1925478</v>
      </c>
      <c r="AO131" s="177">
        <f t="shared" si="182"/>
        <v>0</v>
      </c>
      <c r="AP131" s="177">
        <f t="shared" si="182"/>
        <v>0</v>
      </c>
      <c r="AQ131" s="177">
        <f t="shared" si="183"/>
        <v>0</v>
      </c>
      <c r="AR131" s="177">
        <f t="shared" si="184"/>
        <v>23602726</v>
      </c>
      <c r="AS131" s="177">
        <f t="shared" si="184"/>
        <v>0</v>
      </c>
      <c r="AT131" s="177">
        <f t="shared" si="185"/>
        <v>23602726</v>
      </c>
      <c r="AU131" s="177">
        <f t="shared" si="186"/>
        <v>44128</v>
      </c>
      <c r="AV131" s="177">
        <f t="shared" si="186"/>
        <v>0</v>
      </c>
      <c r="AW131" s="177">
        <f t="shared" si="187"/>
        <v>44128</v>
      </c>
      <c r="AX131" s="177">
        <f t="shared" si="189"/>
        <v>2479632</v>
      </c>
      <c r="AY131" s="177">
        <f t="shared" si="189"/>
        <v>0</v>
      </c>
      <c r="AZ131" s="177">
        <f t="shared" si="190"/>
        <v>2479632</v>
      </c>
      <c r="BA131" s="177">
        <f t="shared" si="114"/>
        <v>92622733</v>
      </c>
      <c r="BB131" s="177">
        <f t="shared" si="114"/>
        <v>93923878</v>
      </c>
      <c r="BC131" s="382">
        <f t="shared" si="115"/>
        <v>186546611</v>
      </c>
      <c r="BD131" s="83">
        <f t="shared" si="191"/>
        <v>0.12153432458488012</v>
      </c>
    </row>
    <row r="132" spans="1:56">
      <c r="A132" s="170">
        <v>44075</v>
      </c>
      <c r="B132" s="378">
        <v>1892214</v>
      </c>
      <c r="C132" s="3">
        <v>27396158</v>
      </c>
      <c r="D132" s="3">
        <f t="shared" si="102"/>
        <v>29288372</v>
      </c>
      <c r="E132" s="3">
        <f t="shared" si="103"/>
        <v>5578611</v>
      </c>
      <c r="F132" s="3">
        <v>0</v>
      </c>
      <c r="G132" s="3">
        <f t="shared" si="104"/>
        <v>5578611</v>
      </c>
      <c r="H132" s="3">
        <v>115846</v>
      </c>
      <c r="I132" s="3">
        <v>0</v>
      </c>
      <c r="J132" s="3">
        <f t="shared" si="174"/>
        <v>115846</v>
      </c>
      <c r="K132" s="3">
        <v>0</v>
      </c>
      <c r="L132" s="3">
        <v>0</v>
      </c>
      <c r="M132" s="3">
        <f t="shared" si="106"/>
        <v>0</v>
      </c>
      <c r="N132" s="3">
        <f t="shared" si="107"/>
        <v>3437456</v>
      </c>
      <c r="O132" s="3">
        <v>0</v>
      </c>
      <c r="P132" s="3">
        <f t="shared" si="108"/>
        <v>3437456</v>
      </c>
      <c r="Q132" s="3">
        <v>9276</v>
      </c>
      <c r="R132" s="3">
        <v>0</v>
      </c>
      <c r="S132" s="3">
        <f t="shared" si="109"/>
        <v>9276</v>
      </c>
      <c r="T132" s="3">
        <v>381125</v>
      </c>
      <c r="U132" s="3">
        <v>0</v>
      </c>
      <c r="V132" s="3">
        <f t="shared" si="175"/>
        <v>381125</v>
      </c>
      <c r="W132" s="3">
        <f t="shared" si="111"/>
        <v>11414528</v>
      </c>
      <c r="X132" s="3">
        <f t="shared" si="111"/>
        <v>27396158</v>
      </c>
      <c r="Y132" s="379">
        <f t="shared" si="112"/>
        <v>38810686</v>
      </c>
      <c r="Z132" s="3">
        <v>0</v>
      </c>
      <c r="AA132" s="3">
        <v>5578611</v>
      </c>
      <c r="AB132" s="380">
        <f t="shared" si="176"/>
        <v>5578611</v>
      </c>
      <c r="AC132" s="3">
        <v>500868</v>
      </c>
      <c r="AD132" s="3">
        <v>2936588</v>
      </c>
      <c r="AE132" s="380">
        <f t="shared" si="145"/>
        <v>3437456</v>
      </c>
      <c r="AF132" s="381">
        <f t="shared" si="177"/>
        <v>17279414</v>
      </c>
      <c r="AG132" s="177">
        <f t="shared" si="177"/>
        <v>121320036</v>
      </c>
      <c r="AH132" s="177">
        <f t="shared" si="178"/>
        <v>138599450</v>
      </c>
      <c r="AI132" s="177">
        <f t="shared" si="188"/>
        <v>54762180</v>
      </c>
      <c r="AJ132" s="177">
        <f t="shared" si="188"/>
        <v>0</v>
      </c>
      <c r="AK132" s="177">
        <f t="shared" si="179"/>
        <v>54762180</v>
      </c>
      <c r="AL132" s="177">
        <f t="shared" si="180"/>
        <v>2041324</v>
      </c>
      <c r="AM132" s="177">
        <f t="shared" si="180"/>
        <v>0</v>
      </c>
      <c r="AN132" s="177">
        <f t="shared" si="181"/>
        <v>2041324</v>
      </c>
      <c r="AO132" s="177">
        <f t="shared" si="182"/>
        <v>0</v>
      </c>
      <c r="AP132" s="177">
        <f t="shared" si="182"/>
        <v>0</v>
      </c>
      <c r="AQ132" s="177">
        <f t="shared" si="183"/>
        <v>0</v>
      </c>
      <c r="AR132" s="177">
        <f t="shared" si="184"/>
        <v>27040182</v>
      </c>
      <c r="AS132" s="177">
        <f t="shared" si="184"/>
        <v>0</v>
      </c>
      <c r="AT132" s="177">
        <f t="shared" si="185"/>
        <v>27040182</v>
      </c>
      <c r="AU132" s="177">
        <f t="shared" si="186"/>
        <v>53404</v>
      </c>
      <c r="AV132" s="177">
        <f t="shared" si="186"/>
        <v>0</v>
      </c>
      <c r="AW132" s="177">
        <f t="shared" si="187"/>
        <v>53404</v>
      </c>
      <c r="AX132" s="177">
        <f t="shared" si="189"/>
        <v>2860757</v>
      </c>
      <c r="AY132" s="177">
        <f t="shared" si="189"/>
        <v>0</v>
      </c>
      <c r="AZ132" s="177">
        <f t="shared" si="190"/>
        <v>2860757</v>
      </c>
      <c r="BA132" s="177">
        <f t="shared" si="114"/>
        <v>104037261</v>
      </c>
      <c r="BB132" s="177">
        <f t="shared" si="114"/>
        <v>121320036</v>
      </c>
      <c r="BC132" s="382">
        <f t="shared" si="115"/>
        <v>225357297</v>
      </c>
      <c r="BD132" s="83">
        <f t="shared" si="191"/>
        <v>9.3861802610930356E-2</v>
      </c>
    </row>
    <row r="133" spans="1:56">
      <c r="A133" s="170">
        <v>44105</v>
      </c>
      <c r="B133" s="378">
        <v>1985006</v>
      </c>
      <c r="C133" s="3">
        <v>16839735</v>
      </c>
      <c r="D133" s="3">
        <f t="shared" ref="D133:D149" si="192">C133+B133</f>
        <v>18824741</v>
      </c>
      <c r="E133" s="3">
        <f t="shared" ref="E133:E149" si="193">AB133</f>
        <v>7392026</v>
      </c>
      <c r="F133" s="3">
        <v>0</v>
      </c>
      <c r="G133" s="3">
        <f t="shared" ref="G133:G186" si="194">F133+E133</f>
        <v>7392026</v>
      </c>
      <c r="H133" s="3">
        <v>169488</v>
      </c>
      <c r="I133" s="3">
        <v>0</v>
      </c>
      <c r="J133" s="3">
        <f t="shared" si="174"/>
        <v>169488</v>
      </c>
      <c r="K133" s="3">
        <v>0</v>
      </c>
      <c r="L133" s="3">
        <v>0</v>
      </c>
      <c r="M133" s="3">
        <f t="shared" ref="M133:M186" si="195">L133+K133</f>
        <v>0</v>
      </c>
      <c r="N133" s="3">
        <f t="shared" ref="N133:N186" si="196">AE133</f>
        <v>1027067</v>
      </c>
      <c r="O133" s="3">
        <v>0</v>
      </c>
      <c r="P133" s="3">
        <f t="shared" ref="P133:P186" si="197">O133+N133</f>
        <v>1027067</v>
      </c>
      <c r="Q133" s="3">
        <v>7669</v>
      </c>
      <c r="R133" s="3">
        <v>0</v>
      </c>
      <c r="S133" s="3">
        <f t="shared" ref="S133:S186" si="198">R133+Q133</f>
        <v>7669</v>
      </c>
      <c r="T133" s="3">
        <v>271947</v>
      </c>
      <c r="U133" s="3">
        <v>0</v>
      </c>
      <c r="V133" s="3">
        <f t="shared" si="175"/>
        <v>271947</v>
      </c>
      <c r="W133" s="3">
        <f t="shared" ref="W133:X158" si="199">B133+E133+H133+K133+N133+Q133+T133</f>
        <v>10853203</v>
      </c>
      <c r="X133" s="3">
        <f t="shared" si="199"/>
        <v>16839735</v>
      </c>
      <c r="Y133" s="379">
        <f t="shared" ref="Y133:Y149" si="200">X133+W133</f>
        <v>27692938</v>
      </c>
      <c r="Z133" s="3">
        <v>0</v>
      </c>
      <c r="AA133" s="3">
        <v>7392026</v>
      </c>
      <c r="AB133" s="380">
        <f t="shared" si="176"/>
        <v>7392026</v>
      </c>
      <c r="AC133" s="3">
        <v>549153</v>
      </c>
      <c r="AD133" s="3">
        <v>477914</v>
      </c>
      <c r="AE133" s="380">
        <f t="shared" si="145"/>
        <v>1027067</v>
      </c>
      <c r="AF133" s="381">
        <f t="shared" si="177"/>
        <v>19264420</v>
      </c>
      <c r="AG133" s="177">
        <f t="shared" si="177"/>
        <v>138159771</v>
      </c>
      <c r="AH133" s="177">
        <f t="shared" si="178"/>
        <v>157424191</v>
      </c>
      <c r="AI133" s="177">
        <f t="shared" si="188"/>
        <v>62154206</v>
      </c>
      <c r="AJ133" s="177">
        <f>AJ132+F133</f>
        <v>0</v>
      </c>
      <c r="AK133" s="177">
        <f t="shared" si="179"/>
        <v>62154206</v>
      </c>
      <c r="AL133" s="177">
        <f t="shared" si="180"/>
        <v>2210812</v>
      </c>
      <c r="AM133" s="177">
        <f t="shared" si="180"/>
        <v>0</v>
      </c>
      <c r="AN133" s="177">
        <f t="shared" si="181"/>
        <v>2210812</v>
      </c>
      <c r="AO133" s="177">
        <f t="shared" si="182"/>
        <v>0</v>
      </c>
      <c r="AP133" s="177">
        <f t="shared" si="182"/>
        <v>0</v>
      </c>
      <c r="AQ133" s="177">
        <f t="shared" si="183"/>
        <v>0</v>
      </c>
      <c r="AR133" s="177">
        <f t="shared" si="184"/>
        <v>28067249</v>
      </c>
      <c r="AS133" s="177">
        <f t="shared" si="184"/>
        <v>0</v>
      </c>
      <c r="AT133" s="177">
        <f t="shared" si="185"/>
        <v>28067249</v>
      </c>
      <c r="AU133" s="177">
        <f t="shared" si="186"/>
        <v>61073</v>
      </c>
      <c r="AV133" s="177">
        <f t="shared" si="186"/>
        <v>0</v>
      </c>
      <c r="AW133" s="177">
        <f t="shared" si="187"/>
        <v>61073</v>
      </c>
      <c r="AX133" s="177">
        <f t="shared" si="189"/>
        <v>3132704</v>
      </c>
      <c r="AY133" s="177">
        <f t="shared" si="189"/>
        <v>0</v>
      </c>
      <c r="AZ133" s="177">
        <f t="shared" si="190"/>
        <v>3132704</v>
      </c>
      <c r="BA133" s="177">
        <f t="shared" ref="BA133:BB158" si="201">AF133+AI133+AL133+AO133+AR133+AU133+AX133</f>
        <v>114890464</v>
      </c>
      <c r="BB133" s="177">
        <f t="shared" si="201"/>
        <v>138159771</v>
      </c>
      <c r="BC133" s="382">
        <f t="shared" ref="BC133:BC186" si="202">BA133+BB133</f>
        <v>253050235</v>
      </c>
      <c r="BD133" s="83">
        <f t="shared" si="191"/>
        <v>-5.8510260719939033E-2</v>
      </c>
    </row>
    <row r="134" spans="1:56">
      <c r="A134" s="170">
        <v>44136</v>
      </c>
      <c r="B134" s="378">
        <v>1902346</v>
      </c>
      <c r="C134" s="3">
        <v>21572221</v>
      </c>
      <c r="D134" s="3">
        <f t="shared" si="192"/>
        <v>23474567</v>
      </c>
      <c r="E134" s="3">
        <f t="shared" si="193"/>
        <v>10084263</v>
      </c>
      <c r="F134" s="3">
        <v>0</v>
      </c>
      <c r="G134" s="3">
        <f t="shared" si="194"/>
        <v>10084263</v>
      </c>
      <c r="H134" s="3">
        <v>222349</v>
      </c>
      <c r="I134" s="3">
        <v>0</v>
      </c>
      <c r="J134" s="3">
        <f t="shared" si="174"/>
        <v>222349</v>
      </c>
      <c r="K134" s="3">
        <v>0</v>
      </c>
      <c r="L134" s="3">
        <v>0</v>
      </c>
      <c r="M134" s="3">
        <f t="shared" si="195"/>
        <v>0</v>
      </c>
      <c r="N134" s="3">
        <f t="shared" si="196"/>
        <v>2447869</v>
      </c>
      <c r="O134" s="3">
        <v>0</v>
      </c>
      <c r="P134" s="3">
        <f t="shared" si="197"/>
        <v>2447869</v>
      </c>
      <c r="Q134" s="3">
        <v>8502</v>
      </c>
      <c r="R134" s="3">
        <v>0</v>
      </c>
      <c r="S134" s="3">
        <f t="shared" si="198"/>
        <v>8502</v>
      </c>
      <c r="T134" s="3">
        <v>1052260</v>
      </c>
      <c r="U134" s="3">
        <v>0</v>
      </c>
      <c r="V134" s="3">
        <f t="shared" si="175"/>
        <v>1052260</v>
      </c>
      <c r="W134" s="3">
        <f t="shared" si="199"/>
        <v>15717589</v>
      </c>
      <c r="X134" s="3">
        <f t="shared" si="199"/>
        <v>21572221</v>
      </c>
      <c r="Y134" s="379">
        <f t="shared" si="200"/>
        <v>37289810</v>
      </c>
      <c r="Z134" s="3">
        <v>0</v>
      </c>
      <c r="AA134" s="3">
        <v>10084263</v>
      </c>
      <c r="AB134" s="380">
        <f t="shared" si="176"/>
        <v>10084263</v>
      </c>
      <c r="AC134" s="3">
        <v>511673</v>
      </c>
      <c r="AD134" s="3">
        <v>1936196</v>
      </c>
      <c r="AE134" s="380">
        <f t="shared" si="145"/>
        <v>2447869</v>
      </c>
      <c r="AF134" s="381">
        <f t="shared" si="177"/>
        <v>21166766</v>
      </c>
      <c r="AG134" s="177">
        <f t="shared" si="177"/>
        <v>159731992</v>
      </c>
      <c r="AH134" s="177">
        <f t="shared" si="178"/>
        <v>180898758</v>
      </c>
      <c r="AI134" s="177">
        <f t="shared" si="188"/>
        <v>72238469</v>
      </c>
      <c r="AJ134" s="177">
        <f>AJ133+F134</f>
        <v>0</v>
      </c>
      <c r="AK134" s="177">
        <f t="shared" si="179"/>
        <v>72238469</v>
      </c>
      <c r="AL134" s="177">
        <f t="shared" si="180"/>
        <v>2433161</v>
      </c>
      <c r="AM134" s="177">
        <f t="shared" si="180"/>
        <v>0</v>
      </c>
      <c r="AN134" s="177">
        <f t="shared" si="181"/>
        <v>2433161</v>
      </c>
      <c r="AO134" s="177">
        <f t="shared" si="182"/>
        <v>0</v>
      </c>
      <c r="AP134" s="177">
        <f t="shared" si="182"/>
        <v>0</v>
      </c>
      <c r="AQ134" s="177">
        <f t="shared" si="183"/>
        <v>0</v>
      </c>
      <c r="AR134" s="177">
        <f t="shared" si="184"/>
        <v>30515118</v>
      </c>
      <c r="AS134" s="177">
        <f t="shared" si="184"/>
        <v>0</v>
      </c>
      <c r="AT134" s="177">
        <f t="shared" si="185"/>
        <v>30515118</v>
      </c>
      <c r="AU134" s="177">
        <f t="shared" si="186"/>
        <v>69575</v>
      </c>
      <c r="AV134" s="177">
        <f t="shared" si="186"/>
        <v>0</v>
      </c>
      <c r="AW134" s="177">
        <f t="shared" si="187"/>
        <v>69575</v>
      </c>
      <c r="AX134" s="177">
        <f t="shared" si="189"/>
        <v>4184964</v>
      </c>
      <c r="AY134" s="177">
        <f t="shared" si="189"/>
        <v>0</v>
      </c>
      <c r="AZ134" s="177">
        <f t="shared" si="190"/>
        <v>4184964</v>
      </c>
      <c r="BA134" s="177">
        <f t="shared" si="201"/>
        <v>130608053</v>
      </c>
      <c r="BB134" s="177">
        <f t="shared" si="201"/>
        <v>159731992</v>
      </c>
      <c r="BC134" s="382">
        <f t="shared" si="202"/>
        <v>290340045</v>
      </c>
      <c r="BD134" s="83">
        <f t="shared" si="191"/>
        <v>7.2979442913114756E-3</v>
      </c>
    </row>
    <row r="135" spans="1:56" ht="15.75" thickBot="1">
      <c r="A135" s="170">
        <v>44166</v>
      </c>
      <c r="B135" s="378">
        <v>2285111</v>
      </c>
      <c r="C135" s="3">
        <v>25454380</v>
      </c>
      <c r="D135" s="3">
        <f t="shared" si="192"/>
        <v>27739491</v>
      </c>
      <c r="E135" s="3">
        <f t="shared" si="193"/>
        <v>13775887</v>
      </c>
      <c r="F135" s="3">
        <v>0</v>
      </c>
      <c r="G135" s="3">
        <f t="shared" si="194"/>
        <v>13775887</v>
      </c>
      <c r="H135" s="3">
        <v>434975</v>
      </c>
      <c r="I135" s="3">
        <v>0</v>
      </c>
      <c r="J135" s="3">
        <f t="shared" si="174"/>
        <v>434975</v>
      </c>
      <c r="K135" s="3">
        <v>0</v>
      </c>
      <c r="L135" s="3">
        <v>0</v>
      </c>
      <c r="M135" s="3">
        <f t="shared" si="195"/>
        <v>0</v>
      </c>
      <c r="N135" s="3">
        <f t="shared" si="196"/>
        <v>2377913</v>
      </c>
      <c r="O135" s="3">
        <v>0</v>
      </c>
      <c r="P135" s="3">
        <f t="shared" si="197"/>
        <v>2377913</v>
      </c>
      <c r="Q135" s="3">
        <v>15796</v>
      </c>
      <c r="R135" s="3">
        <v>0</v>
      </c>
      <c r="S135" s="3">
        <f t="shared" si="198"/>
        <v>15796</v>
      </c>
      <c r="T135" s="3">
        <v>552474</v>
      </c>
      <c r="U135" s="3">
        <v>0</v>
      </c>
      <c r="V135" s="3">
        <f t="shared" si="175"/>
        <v>552474</v>
      </c>
      <c r="W135" s="3">
        <f t="shared" si="199"/>
        <v>19442156</v>
      </c>
      <c r="X135" s="3">
        <f t="shared" si="199"/>
        <v>25454380</v>
      </c>
      <c r="Y135" s="379">
        <f t="shared" si="200"/>
        <v>44896536</v>
      </c>
      <c r="Z135" s="3">
        <v>0</v>
      </c>
      <c r="AA135" s="3">
        <v>13775887</v>
      </c>
      <c r="AB135" s="380">
        <f t="shared" si="176"/>
        <v>13775887</v>
      </c>
      <c r="AC135" s="3">
        <v>770107</v>
      </c>
      <c r="AD135" s="3">
        <v>1607806</v>
      </c>
      <c r="AE135" s="380">
        <f t="shared" si="145"/>
        <v>2377913</v>
      </c>
      <c r="AF135" s="381">
        <f t="shared" si="177"/>
        <v>23451877</v>
      </c>
      <c r="AG135" s="177">
        <f t="shared" si="177"/>
        <v>185186372</v>
      </c>
      <c r="AH135" s="177">
        <f t="shared" si="178"/>
        <v>208638249</v>
      </c>
      <c r="AI135" s="177">
        <f t="shared" si="188"/>
        <v>86014356</v>
      </c>
      <c r="AJ135" s="177">
        <f>AJ134+F135</f>
        <v>0</v>
      </c>
      <c r="AK135" s="177">
        <f t="shared" si="179"/>
        <v>86014356</v>
      </c>
      <c r="AL135" s="177">
        <f t="shared" si="180"/>
        <v>2868136</v>
      </c>
      <c r="AM135" s="177">
        <f t="shared" si="180"/>
        <v>0</v>
      </c>
      <c r="AN135" s="177">
        <f t="shared" si="181"/>
        <v>2868136</v>
      </c>
      <c r="AO135" s="177">
        <f t="shared" si="182"/>
        <v>0</v>
      </c>
      <c r="AP135" s="177">
        <f t="shared" si="182"/>
        <v>0</v>
      </c>
      <c r="AQ135" s="177">
        <f t="shared" si="183"/>
        <v>0</v>
      </c>
      <c r="AR135" s="177">
        <f t="shared" si="184"/>
        <v>32893031</v>
      </c>
      <c r="AS135" s="177">
        <f t="shared" si="184"/>
        <v>0</v>
      </c>
      <c r="AT135" s="177">
        <f t="shared" si="185"/>
        <v>32893031</v>
      </c>
      <c r="AU135" s="177">
        <f t="shared" si="186"/>
        <v>85371</v>
      </c>
      <c r="AV135" s="177">
        <f t="shared" si="186"/>
        <v>0</v>
      </c>
      <c r="AW135" s="177">
        <f t="shared" si="187"/>
        <v>85371</v>
      </c>
      <c r="AX135" s="177">
        <f t="shared" si="189"/>
        <v>4737438</v>
      </c>
      <c r="AY135" s="177">
        <f t="shared" si="189"/>
        <v>0</v>
      </c>
      <c r="AZ135" s="177">
        <f t="shared" si="190"/>
        <v>4737438</v>
      </c>
      <c r="BA135" s="177">
        <f t="shared" si="201"/>
        <v>150050209</v>
      </c>
      <c r="BB135" s="177">
        <f t="shared" si="201"/>
        <v>185186372</v>
      </c>
      <c r="BC135" s="382">
        <f t="shared" si="202"/>
        <v>335236581</v>
      </c>
      <c r="BD135" s="83">
        <f t="shared" si="191"/>
        <v>3.999773297788356E-2</v>
      </c>
    </row>
    <row r="136" spans="1:56">
      <c r="A136" s="171">
        <v>44197</v>
      </c>
      <c r="B136" s="385">
        <v>2426841</v>
      </c>
      <c r="C136" s="104">
        <v>0</v>
      </c>
      <c r="D136" s="104">
        <f t="shared" si="192"/>
        <v>2426841</v>
      </c>
      <c r="E136" s="104">
        <f t="shared" si="193"/>
        <v>14795692</v>
      </c>
      <c r="F136" s="104">
        <v>0</v>
      </c>
      <c r="G136" s="104">
        <f t="shared" si="194"/>
        <v>14795692</v>
      </c>
      <c r="H136" s="104">
        <v>277332</v>
      </c>
      <c r="I136" s="104">
        <v>0</v>
      </c>
      <c r="J136" s="104">
        <f t="shared" si="174"/>
        <v>277332</v>
      </c>
      <c r="K136" s="104">
        <v>0</v>
      </c>
      <c r="L136" s="104">
        <v>0</v>
      </c>
      <c r="M136" s="104">
        <f t="shared" si="195"/>
        <v>0</v>
      </c>
      <c r="N136" s="104">
        <f t="shared" si="196"/>
        <v>2137183</v>
      </c>
      <c r="O136" s="104">
        <v>0</v>
      </c>
      <c r="P136" s="104">
        <f t="shared" si="197"/>
        <v>2137183</v>
      </c>
      <c r="Q136" s="104">
        <v>49137</v>
      </c>
      <c r="R136" s="104">
        <v>0</v>
      </c>
      <c r="S136" s="104">
        <f t="shared" si="198"/>
        <v>49137</v>
      </c>
      <c r="T136" s="104">
        <v>0</v>
      </c>
      <c r="U136" s="104">
        <v>0</v>
      </c>
      <c r="V136" s="104">
        <f t="shared" si="175"/>
        <v>0</v>
      </c>
      <c r="W136" s="104">
        <f t="shared" si="199"/>
        <v>19686185</v>
      </c>
      <c r="X136" s="104">
        <f t="shared" si="199"/>
        <v>0</v>
      </c>
      <c r="Y136" s="386">
        <f t="shared" si="200"/>
        <v>19686185</v>
      </c>
      <c r="Z136" s="104">
        <v>0</v>
      </c>
      <c r="AA136" s="104">
        <v>14795692</v>
      </c>
      <c r="AB136" s="387">
        <f t="shared" si="176"/>
        <v>14795692</v>
      </c>
      <c r="AC136" s="104">
        <v>0</v>
      </c>
      <c r="AD136" s="104">
        <v>2137183</v>
      </c>
      <c r="AE136" s="387">
        <f t="shared" si="145"/>
        <v>2137183</v>
      </c>
      <c r="AF136" s="388">
        <f>B136</f>
        <v>2426841</v>
      </c>
      <c r="AG136" s="389">
        <f>C136</f>
        <v>0</v>
      </c>
      <c r="AH136" s="389">
        <f>AG136+AF136</f>
        <v>2426841</v>
      </c>
      <c r="AI136" s="389">
        <f>E136</f>
        <v>14795692</v>
      </c>
      <c r="AJ136" s="389">
        <f>F136</f>
        <v>0</v>
      </c>
      <c r="AK136" s="389">
        <f>AJ136+AI136</f>
        <v>14795692</v>
      </c>
      <c r="AL136" s="389">
        <f>H136</f>
        <v>277332</v>
      </c>
      <c r="AM136" s="389">
        <f>I136</f>
        <v>0</v>
      </c>
      <c r="AN136" s="389">
        <f>AM136+AL136</f>
        <v>277332</v>
      </c>
      <c r="AO136" s="389">
        <f>K136</f>
        <v>0</v>
      </c>
      <c r="AP136" s="389">
        <f>L136</f>
        <v>0</v>
      </c>
      <c r="AQ136" s="389">
        <f>AP136+AO136</f>
        <v>0</v>
      </c>
      <c r="AR136" s="389">
        <f>N136</f>
        <v>2137183</v>
      </c>
      <c r="AS136" s="389">
        <f>O136</f>
        <v>0</v>
      </c>
      <c r="AT136" s="389">
        <f>AS136+AR136</f>
        <v>2137183</v>
      </c>
      <c r="AU136" s="389">
        <f>Q136</f>
        <v>49137</v>
      </c>
      <c r="AV136" s="389">
        <f>R136</f>
        <v>0</v>
      </c>
      <c r="AW136" s="389">
        <f>AV136+AU136</f>
        <v>49137</v>
      </c>
      <c r="AX136" s="389">
        <f>T136</f>
        <v>0</v>
      </c>
      <c r="AY136" s="389">
        <f>U136</f>
        <v>0</v>
      </c>
      <c r="AZ136" s="389">
        <f>SUM(AX136:AY136)</f>
        <v>0</v>
      </c>
      <c r="BA136" s="389">
        <f t="shared" si="201"/>
        <v>19686185</v>
      </c>
      <c r="BB136" s="389">
        <f t="shared" si="201"/>
        <v>0</v>
      </c>
      <c r="BC136" s="390">
        <f t="shared" si="202"/>
        <v>19686185</v>
      </c>
      <c r="BD136" s="83">
        <f t="shared" si="191"/>
        <v>-1.8399821442279807E-3</v>
      </c>
    </row>
    <row r="137" spans="1:56">
      <c r="A137" s="170">
        <v>44228</v>
      </c>
      <c r="B137" s="378">
        <v>1464560</v>
      </c>
      <c r="C137" s="3">
        <v>0</v>
      </c>
      <c r="D137" s="3">
        <f t="shared" si="192"/>
        <v>1464560</v>
      </c>
      <c r="E137" s="3">
        <f t="shared" si="193"/>
        <v>7619268</v>
      </c>
      <c r="F137" s="3">
        <v>0</v>
      </c>
      <c r="G137" s="3">
        <f t="shared" si="194"/>
        <v>7619268</v>
      </c>
      <c r="H137" s="3">
        <v>305358</v>
      </c>
      <c r="I137" s="3">
        <v>0</v>
      </c>
      <c r="J137" s="3">
        <f t="shared" si="174"/>
        <v>305358</v>
      </c>
      <c r="K137" s="3">
        <v>0</v>
      </c>
      <c r="L137" s="3">
        <v>0</v>
      </c>
      <c r="M137" s="3">
        <f t="shared" si="195"/>
        <v>0</v>
      </c>
      <c r="N137" s="3">
        <f t="shared" si="196"/>
        <v>2876277</v>
      </c>
      <c r="O137" s="3">
        <v>0</v>
      </c>
      <c r="P137" s="3">
        <f t="shared" si="197"/>
        <v>2876277</v>
      </c>
      <c r="Q137" s="3">
        <v>6860</v>
      </c>
      <c r="R137" s="3">
        <v>0</v>
      </c>
      <c r="S137" s="3">
        <f t="shared" si="198"/>
        <v>6860</v>
      </c>
      <c r="T137" s="3">
        <v>292776</v>
      </c>
      <c r="U137" s="3">
        <v>0</v>
      </c>
      <c r="V137" s="3">
        <f t="shared" si="175"/>
        <v>292776</v>
      </c>
      <c r="W137" s="3">
        <f t="shared" si="199"/>
        <v>12565099</v>
      </c>
      <c r="X137" s="3">
        <f t="shared" si="199"/>
        <v>0</v>
      </c>
      <c r="Y137" s="379">
        <f t="shared" si="200"/>
        <v>12565099</v>
      </c>
      <c r="Z137" s="3">
        <v>0</v>
      </c>
      <c r="AA137" s="3">
        <v>7619268</v>
      </c>
      <c r="AB137" s="380">
        <f t="shared" si="176"/>
        <v>7619268</v>
      </c>
      <c r="AC137" s="3">
        <v>500424</v>
      </c>
      <c r="AD137" s="3">
        <v>2375853</v>
      </c>
      <c r="AE137" s="380">
        <f t="shared" si="145"/>
        <v>2876277</v>
      </c>
      <c r="AF137" s="381">
        <f t="shared" ref="AF137:AG147" si="203">B137+AF136</f>
        <v>3891401</v>
      </c>
      <c r="AG137" s="177">
        <f t="shared" si="203"/>
        <v>0</v>
      </c>
      <c r="AH137" s="177">
        <f t="shared" ref="AH137:AH147" si="204">AG137+AF137</f>
        <v>3891401</v>
      </c>
      <c r="AI137" s="177">
        <f>AI136+E137</f>
        <v>22414960</v>
      </c>
      <c r="AJ137" s="177">
        <f>AJ136+F137</f>
        <v>0</v>
      </c>
      <c r="AK137" s="177">
        <f t="shared" ref="AK137:AK147" si="205">AJ137+AI137</f>
        <v>22414960</v>
      </c>
      <c r="AL137" s="177">
        <f t="shared" ref="AL137:AM147" si="206">AL136+H137</f>
        <v>582690</v>
      </c>
      <c r="AM137" s="177">
        <f t="shared" si="206"/>
        <v>0</v>
      </c>
      <c r="AN137" s="177">
        <f t="shared" ref="AN137:AN147" si="207">AM137+AL137</f>
        <v>582690</v>
      </c>
      <c r="AO137" s="177">
        <f t="shared" ref="AO137:AP147" si="208">AO136+K137</f>
        <v>0</v>
      </c>
      <c r="AP137" s="177">
        <f t="shared" si="208"/>
        <v>0</v>
      </c>
      <c r="AQ137" s="177">
        <f t="shared" ref="AQ137:AQ147" si="209">AP137+AO137</f>
        <v>0</v>
      </c>
      <c r="AR137" s="177">
        <f t="shared" ref="AR137:AS147" si="210">AR136+N137</f>
        <v>5013460</v>
      </c>
      <c r="AS137" s="177">
        <f t="shared" si="210"/>
        <v>0</v>
      </c>
      <c r="AT137" s="177">
        <f t="shared" ref="AT137:AT147" si="211">AS137+AR137</f>
        <v>5013460</v>
      </c>
      <c r="AU137" s="177">
        <f t="shared" ref="AU137:AV147" si="212">AU136+Q137</f>
        <v>55997</v>
      </c>
      <c r="AV137" s="177">
        <f t="shared" si="212"/>
        <v>0</v>
      </c>
      <c r="AW137" s="177">
        <f t="shared" ref="AW137:AW147" si="213">AV137+AU137</f>
        <v>55997</v>
      </c>
      <c r="AX137" s="177">
        <f>AX136+T137</f>
        <v>292776</v>
      </c>
      <c r="AY137" s="177">
        <f>AY136+U137</f>
        <v>0</v>
      </c>
      <c r="AZ137" s="177">
        <f>SUM(AX137:AY137)</f>
        <v>292776</v>
      </c>
      <c r="BA137" s="177">
        <f t="shared" si="201"/>
        <v>32251284</v>
      </c>
      <c r="BB137" s="177">
        <f t="shared" si="201"/>
        <v>0</v>
      </c>
      <c r="BC137" s="382">
        <f t="shared" si="202"/>
        <v>32251284</v>
      </c>
      <c r="BD137" s="83">
        <f t="shared" si="191"/>
        <v>-0.25091769381117512</v>
      </c>
    </row>
    <row r="138" spans="1:56">
      <c r="A138" s="170">
        <v>44256</v>
      </c>
      <c r="B138" s="378">
        <v>2445094</v>
      </c>
      <c r="C138" s="3">
        <v>0</v>
      </c>
      <c r="D138" s="3">
        <f t="shared" si="192"/>
        <v>2445094</v>
      </c>
      <c r="E138" s="3">
        <f t="shared" si="193"/>
        <v>6912356</v>
      </c>
      <c r="F138" s="3">
        <v>0</v>
      </c>
      <c r="G138" s="3">
        <f t="shared" si="194"/>
        <v>6912356</v>
      </c>
      <c r="H138" s="3">
        <v>291471</v>
      </c>
      <c r="I138" s="3">
        <v>0</v>
      </c>
      <c r="J138" s="3">
        <f t="shared" si="174"/>
        <v>291471</v>
      </c>
      <c r="K138" s="3">
        <v>0</v>
      </c>
      <c r="L138" s="3">
        <v>0</v>
      </c>
      <c r="M138" s="3">
        <f t="shared" si="195"/>
        <v>0</v>
      </c>
      <c r="N138" s="3">
        <f t="shared" si="196"/>
        <v>2219118</v>
      </c>
      <c r="O138" s="3">
        <v>0</v>
      </c>
      <c r="P138" s="3">
        <f t="shared" si="197"/>
        <v>2219118</v>
      </c>
      <c r="Q138" s="3">
        <v>8056</v>
      </c>
      <c r="R138" s="3">
        <v>0</v>
      </c>
      <c r="S138" s="3">
        <f t="shared" si="198"/>
        <v>8056</v>
      </c>
      <c r="T138" s="3">
        <v>149615</v>
      </c>
      <c r="U138" s="3">
        <v>0</v>
      </c>
      <c r="V138" s="3">
        <f t="shared" si="175"/>
        <v>149615</v>
      </c>
      <c r="W138" s="3">
        <f t="shared" si="199"/>
        <v>12025710</v>
      </c>
      <c r="X138" s="3">
        <f t="shared" si="199"/>
        <v>0</v>
      </c>
      <c r="Y138" s="379">
        <f t="shared" si="200"/>
        <v>12025710</v>
      </c>
      <c r="Z138" s="3">
        <v>0</v>
      </c>
      <c r="AA138" s="3">
        <v>6912356</v>
      </c>
      <c r="AB138" s="380">
        <f t="shared" si="176"/>
        <v>6912356</v>
      </c>
      <c r="AC138" s="3">
        <v>221393</v>
      </c>
      <c r="AD138" s="3">
        <v>1997725</v>
      </c>
      <c r="AE138" s="380">
        <f t="shared" si="145"/>
        <v>2219118</v>
      </c>
      <c r="AF138" s="381">
        <f t="shared" si="203"/>
        <v>6336495</v>
      </c>
      <c r="AG138" s="177">
        <f t="shared" si="203"/>
        <v>0</v>
      </c>
      <c r="AH138" s="177">
        <f t="shared" si="204"/>
        <v>6336495</v>
      </c>
      <c r="AI138" s="177">
        <f t="shared" ref="AI138:AJ147" si="214">AI137+E138</f>
        <v>29327316</v>
      </c>
      <c r="AJ138" s="177">
        <f t="shared" si="214"/>
        <v>0</v>
      </c>
      <c r="AK138" s="177">
        <f t="shared" si="205"/>
        <v>29327316</v>
      </c>
      <c r="AL138" s="177">
        <f t="shared" si="206"/>
        <v>874161</v>
      </c>
      <c r="AM138" s="177">
        <f t="shared" si="206"/>
        <v>0</v>
      </c>
      <c r="AN138" s="177">
        <f t="shared" si="207"/>
        <v>874161</v>
      </c>
      <c r="AO138" s="177">
        <f t="shared" si="208"/>
        <v>0</v>
      </c>
      <c r="AP138" s="177">
        <f t="shared" si="208"/>
        <v>0</v>
      </c>
      <c r="AQ138" s="177">
        <f t="shared" si="209"/>
        <v>0</v>
      </c>
      <c r="AR138" s="177">
        <f t="shared" si="210"/>
        <v>7232578</v>
      </c>
      <c r="AS138" s="177">
        <f t="shared" si="210"/>
        <v>0</v>
      </c>
      <c r="AT138" s="177">
        <f t="shared" si="211"/>
        <v>7232578</v>
      </c>
      <c r="AU138" s="177">
        <f t="shared" si="212"/>
        <v>64053</v>
      </c>
      <c r="AV138" s="177">
        <f t="shared" si="212"/>
        <v>0</v>
      </c>
      <c r="AW138" s="177">
        <f t="shared" si="213"/>
        <v>64053</v>
      </c>
      <c r="AX138" s="177">
        <f t="shared" ref="AX138:AY147" si="215">AX137+T138</f>
        <v>442391</v>
      </c>
      <c r="AY138" s="177">
        <f t="shared" si="215"/>
        <v>0</v>
      </c>
      <c r="AZ138" s="177">
        <f t="shared" ref="AZ138:AZ147" si="216">SUM(AX138:AY138)</f>
        <v>442391</v>
      </c>
      <c r="BA138" s="177">
        <f t="shared" si="201"/>
        <v>44276994</v>
      </c>
      <c r="BB138" s="177">
        <f t="shared" si="201"/>
        <v>0</v>
      </c>
      <c r="BC138" s="382">
        <f t="shared" si="202"/>
        <v>44276994</v>
      </c>
      <c r="BD138" s="83">
        <f t="shared" si="191"/>
        <v>-0.44465715636430736</v>
      </c>
    </row>
    <row r="139" spans="1:56">
      <c r="A139" s="170">
        <v>44287</v>
      </c>
      <c r="B139" s="378">
        <v>2129916</v>
      </c>
      <c r="C139" s="3">
        <v>0</v>
      </c>
      <c r="D139" s="3">
        <f t="shared" si="192"/>
        <v>2129916</v>
      </c>
      <c r="E139" s="3">
        <f t="shared" si="193"/>
        <v>5195137</v>
      </c>
      <c r="F139" s="3">
        <v>0</v>
      </c>
      <c r="G139" s="3">
        <f t="shared" si="194"/>
        <v>5195137</v>
      </c>
      <c r="H139" s="3">
        <v>195305</v>
      </c>
      <c r="I139" s="3">
        <v>0</v>
      </c>
      <c r="J139" s="3">
        <f t="shared" si="174"/>
        <v>195305</v>
      </c>
      <c r="K139" s="3">
        <v>0</v>
      </c>
      <c r="L139" s="3">
        <v>0</v>
      </c>
      <c r="M139" s="3">
        <f t="shared" si="195"/>
        <v>0</v>
      </c>
      <c r="N139" s="3">
        <f t="shared" si="196"/>
        <v>1706666</v>
      </c>
      <c r="O139" s="3">
        <v>0</v>
      </c>
      <c r="P139" s="3">
        <f t="shared" si="197"/>
        <v>1706666</v>
      </c>
      <c r="Q139" s="3">
        <v>10683</v>
      </c>
      <c r="R139" s="3">
        <v>0</v>
      </c>
      <c r="S139" s="3">
        <f t="shared" si="198"/>
        <v>10683</v>
      </c>
      <c r="T139" s="3">
        <v>256565</v>
      </c>
      <c r="U139" s="3">
        <v>0</v>
      </c>
      <c r="V139" s="3">
        <f t="shared" si="175"/>
        <v>256565</v>
      </c>
      <c r="W139" s="3">
        <f t="shared" si="199"/>
        <v>9494272</v>
      </c>
      <c r="X139" s="3">
        <f t="shared" si="199"/>
        <v>0</v>
      </c>
      <c r="Y139" s="379">
        <f t="shared" si="200"/>
        <v>9494272</v>
      </c>
      <c r="Z139" s="3">
        <v>0</v>
      </c>
      <c r="AA139" s="3">
        <v>5195137</v>
      </c>
      <c r="AB139" s="380">
        <f t="shared" si="176"/>
        <v>5195137</v>
      </c>
      <c r="AC139" s="3">
        <v>72971</v>
      </c>
      <c r="AD139" s="3">
        <v>1633695</v>
      </c>
      <c r="AE139" s="380">
        <f t="shared" si="145"/>
        <v>1706666</v>
      </c>
      <c r="AF139" s="381">
        <f t="shared" si="203"/>
        <v>8466411</v>
      </c>
      <c r="AG139" s="177">
        <f t="shared" si="203"/>
        <v>0</v>
      </c>
      <c r="AH139" s="177">
        <f t="shared" si="204"/>
        <v>8466411</v>
      </c>
      <c r="AI139" s="177">
        <f t="shared" si="214"/>
        <v>34522453</v>
      </c>
      <c r="AJ139" s="177">
        <f t="shared" si="214"/>
        <v>0</v>
      </c>
      <c r="AK139" s="177">
        <f t="shared" si="205"/>
        <v>34522453</v>
      </c>
      <c r="AL139" s="177">
        <f t="shared" si="206"/>
        <v>1069466</v>
      </c>
      <c r="AM139" s="177">
        <f t="shared" si="206"/>
        <v>0</v>
      </c>
      <c r="AN139" s="177">
        <f t="shared" si="207"/>
        <v>1069466</v>
      </c>
      <c r="AO139" s="177">
        <f t="shared" si="208"/>
        <v>0</v>
      </c>
      <c r="AP139" s="177">
        <f t="shared" si="208"/>
        <v>0</v>
      </c>
      <c r="AQ139" s="177">
        <f t="shared" si="209"/>
        <v>0</v>
      </c>
      <c r="AR139" s="177">
        <f t="shared" si="210"/>
        <v>8939244</v>
      </c>
      <c r="AS139" s="177">
        <f t="shared" si="210"/>
        <v>0</v>
      </c>
      <c r="AT139" s="177">
        <f t="shared" si="211"/>
        <v>8939244</v>
      </c>
      <c r="AU139" s="177">
        <f t="shared" si="212"/>
        <v>74736</v>
      </c>
      <c r="AV139" s="177">
        <f t="shared" si="212"/>
        <v>0</v>
      </c>
      <c r="AW139" s="177">
        <f t="shared" si="213"/>
        <v>74736</v>
      </c>
      <c r="AX139" s="177">
        <f t="shared" si="215"/>
        <v>698956</v>
      </c>
      <c r="AY139" s="177">
        <f t="shared" si="215"/>
        <v>0</v>
      </c>
      <c r="AZ139" s="177">
        <f t="shared" si="216"/>
        <v>698956</v>
      </c>
      <c r="BA139" s="177">
        <f t="shared" si="201"/>
        <v>53771266</v>
      </c>
      <c r="BB139" s="177">
        <f t="shared" si="201"/>
        <v>0</v>
      </c>
      <c r="BC139" s="382">
        <f t="shared" si="202"/>
        <v>53771266</v>
      </c>
      <c r="BD139" s="83">
        <f t="shared" si="191"/>
        <v>-0.4026037043942079</v>
      </c>
    </row>
    <row r="140" spans="1:56">
      <c r="A140" s="170">
        <v>44317</v>
      </c>
      <c r="B140" s="378">
        <v>1974084</v>
      </c>
      <c r="C140" s="3">
        <v>0</v>
      </c>
      <c r="D140" s="3">
        <f t="shared" si="192"/>
        <v>1974084</v>
      </c>
      <c r="E140" s="3">
        <f t="shared" si="193"/>
        <v>3789479</v>
      </c>
      <c r="F140" s="3">
        <v>0</v>
      </c>
      <c r="G140" s="3">
        <f t="shared" si="194"/>
        <v>3789479</v>
      </c>
      <c r="H140" s="3">
        <v>65149</v>
      </c>
      <c r="I140" s="3">
        <v>0</v>
      </c>
      <c r="J140" s="3">
        <f t="shared" si="174"/>
        <v>65149</v>
      </c>
      <c r="K140" s="3">
        <v>0</v>
      </c>
      <c r="L140" s="3">
        <v>0</v>
      </c>
      <c r="M140" s="3">
        <f t="shared" si="195"/>
        <v>0</v>
      </c>
      <c r="N140" s="3">
        <f t="shared" si="196"/>
        <v>2164548</v>
      </c>
      <c r="O140" s="3">
        <v>0</v>
      </c>
      <c r="P140" s="3">
        <f t="shared" si="197"/>
        <v>2164548</v>
      </c>
      <c r="Q140" s="3">
        <v>10694</v>
      </c>
      <c r="R140" s="3">
        <v>0</v>
      </c>
      <c r="S140" s="3">
        <f t="shared" si="198"/>
        <v>10694</v>
      </c>
      <c r="T140" s="3">
        <v>250017</v>
      </c>
      <c r="U140" s="3">
        <v>0</v>
      </c>
      <c r="V140" s="3">
        <f t="shared" si="175"/>
        <v>250017</v>
      </c>
      <c r="W140" s="3">
        <f t="shared" si="199"/>
        <v>8253971</v>
      </c>
      <c r="X140" s="3">
        <f t="shared" si="199"/>
        <v>0</v>
      </c>
      <c r="Y140" s="379">
        <f t="shared" si="200"/>
        <v>8253971</v>
      </c>
      <c r="Z140" s="3">
        <v>0</v>
      </c>
      <c r="AA140" s="3">
        <v>3789479</v>
      </c>
      <c r="AB140" s="380">
        <f t="shared" si="176"/>
        <v>3789479</v>
      </c>
      <c r="AC140" s="3">
        <v>567004</v>
      </c>
      <c r="AD140" s="3">
        <v>1597544</v>
      </c>
      <c r="AE140" s="380">
        <f t="shared" si="145"/>
        <v>2164548</v>
      </c>
      <c r="AF140" s="381">
        <f t="shared" si="203"/>
        <v>10440495</v>
      </c>
      <c r="AG140" s="177">
        <f t="shared" si="203"/>
        <v>0</v>
      </c>
      <c r="AH140" s="177">
        <f t="shared" si="204"/>
        <v>10440495</v>
      </c>
      <c r="AI140" s="177">
        <f t="shared" si="214"/>
        <v>38311932</v>
      </c>
      <c r="AJ140" s="177">
        <f t="shared" si="214"/>
        <v>0</v>
      </c>
      <c r="AK140" s="177">
        <f t="shared" si="205"/>
        <v>38311932</v>
      </c>
      <c r="AL140" s="177">
        <f t="shared" si="206"/>
        <v>1134615</v>
      </c>
      <c r="AM140" s="177">
        <f t="shared" si="206"/>
        <v>0</v>
      </c>
      <c r="AN140" s="177">
        <f t="shared" si="207"/>
        <v>1134615</v>
      </c>
      <c r="AO140" s="177">
        <f t="shared" si="208"/>
        <v>0</v>
      </c>
      <c r="AP140" s="177">
        <f t="shared" si="208"/>
        <v>0</v>
      </c>
      <c r="AQ140" s="177">
        <f t="shared" si="209"/>
        <v>0</v>
      </c>
      <c r="AR140" s="177">
        <f t="shared" si="210"/>
        <v>11103792</v>
      </c>
      <c r="AS140" s="177">
        <f t="shared" si="210"/>
        <v>0</v>
      </c>
      <c r="AT140" s="177">
        <f t="shared" si="211"/>
        <v>11103792</v>
      </c>
      <c r="AU140" s="177">
        <f t="shared" si="212"/>
        <v>85430</v>
      </c>
      <c r="AV140" s="177">
        <f t="shared" si="212"/>
        <v>0</v>
      </c>
      <c r="AW140" s="177">
        <f t="shared" si="213"/>
        <v>85430</v>
      </c>
      <c r="AX140" s="177">
        <f t="shared" si="215"/>
        <v>948973</v>
      </c>
      <c r="AY140" s="177">
        <f t="shared" si="215"/>
        <v>0</v>
      </c>
      <c r="AZ140" s="177">
        <f t="shared" si="216"/>
        <v>948973</v>
      </c>
      <c r="BA140" s="177">
        <f t="shared" si="201"/>
        <v>62025237</v>
      </c>
      <c r="BB140" s="177">
        <f t="shared" si="201"/>
        <v>0</v>
      </c>
      <c r="BC140" s="382">
        <f t="shared" si="202"/>
        <v>62025237</v>
      </c>
      <c r="BD140" s="83">
        <f t="shared" si="191"/>
        <v>-0.39615241177557592</v>
      </c>
    </row>
    <row r="141" spans="1:56">
      <c r="A141" s="170">
        <v>44348</v>
      </c>
      <c r="B141" s="378">
        <v>2574692</v>
      </c>
      <c r="C141" s="3">
        <v>12876367</v>
      </c>
      <c r="D141" s="3">
        <f t="shared" si="192"/>
        <v>15451059</v>
      </c>
      <c r="E141" s="3">
        <f t="shared" si="193"/>
        <v>7142618</v>
      </c>
      <c r="F141" s="3">
        <v>0</v>
      </c>
      <c r="G141" s="3">
        <f t="shared" si="194"/>
        <v>7142618</v>
      </c>
      <c r="H141" s="3">
        <v>63588</v>
      </c>
      <c r="I141" s="3">
        <v>0</v>
      </c>
      <c r="J141" s="3">
        <f t="shared" si="174"/>
        <v>63588</v>
      </c>
      <c r="K141" s="3">
        <v>0</v>
      </c>
      <c r="L141" s="3">
        <v>0</v>
      </c>
      <c r="M141" s="3">
        <f t="shared" si="195"/>
        <v>0</v>
      </c>
      <c r="N141" s="3">
        <f t="shared" si="196"/>
        <v>1815027</v>
      </c>
      <c r="O141" s="3">
        <v>0</v>
      </c>
      <c r="P141" s="3">
        <f t="shared" si="197"/>
        <v>1815027</v>
      </c>
      <c r="Q141" s="3">
        <v>244138</v>
      </c>
      <c r="R141" s="3">
        <v>0</v>
      </c>
      <c r="S141" s="3">
        <f t="shared" si="198"/>
        <v>244138</v>
      </c>
      <c r="T141" s="3">
        <v>495718</v>
      </c>
      <c r="U141" s="3">
        <v>0</v>
      </c>
      <c r="V141" s="3">
        <f t="shared" si="175"/>
        <v>495718</v>
      </c>
      <c r="W141" s="3">
        <f t="shared" si="199"/>
        <v>12335781</v>
      </c>
      <c r="X141" s="3">
        <f t="shared" si="199"/>
        <v>12876367</v>
      </c>
      <c r="Y141" s="379">
        <f t="shared" si="200"/>
        <v>25212148</v>
      </c>
      <c r="Z141" s="3">
        <v>0</v>
      </c>
      <c r="AA141" s="3">
        <v>7142618</v>
      </c>
      <c r="AB141" s="380">
        <f t="shared" si="176"/>
        <v>7142618</v>
      </c>
      <c r="AC141" s="3">
        <v>499944</v>
      </c>
      <c r="AD141" s="3">
        <v>1315083</v>
      </c>
      <c r="AE141" s="380">
        <f t="shared" si="145"/>
        <v>1815027</v>
      </c>
      <c r="AF141" s="381">
        <f t="shared" si="203"/>
        <v>13015187</v>
      </c>
      <c r="AG141" s="177">
        <f t="shared" si="203"/>
        <v>12876367</v>
      </c>
      <c r="AH141" s="177">
        <f t="shared" si="204"/>
        <v>25891554</v>
      </c>
      <c r="AI141" s="177">
        <f t="shared" si="214"/>
        <v>45454550</v>
      </c>
      <c r="AJ141" s="177">
        <f t="shared" si="214"/>
        <v>0</v>
      </c>
      <c r="AK141" s="177">
        <f t="shared" si="205"/>
        <v>45454550</v>
      </c>
      <c r="AL141" s="177">
        <f t="shared" si="206"/>
        <v>1198203</v>
      </c>
      <c r="AM141" s="177">
        <f t="shared" si="206"/>
        <v>0</v>
      </c>
      <c r="AN141" s="177">
        <f t="shared" si="207"/>
        <v>1198203</v>
      </c>
      <c r="AO141" s="177">
        <f t="shared" si="208"/>
        <v>0</v>
      </c>
      <c r="AP141" s="177">
        <f t="shared" si="208"/>
        <v>0</v>
      </c>
      <c r="AQ141" s="177">
        <f t="shared" si="209"/>
        <v>0</v>
      </c>
      <c r="AR141" s="177">
        <f t="shared" si="210"/>
        <v>12918819</v>
      </c>
      <c r="AS141" s="177">
        <f t="shared" si="210"/>
        <v>0</v>
      </c>
      <c r="AT141" s="177">
        <f t="shared" si="211"/>
        <v>12918819</v>
      </c>
      <c r="AU141" s="177">
        <f t="shared" si="212"/>
        <v>329568</v>
      </c>
      <c r="AV141" s="177">
        <f t="shared" si="212"/>
        <v>0</v>
      </c>
      <c r="AW141" s="177">
        <f t="shared" si="213"/>
        <v>329568</v>
      </c>
      <c r="AX141" s="177">
        <f t="shared" si="215"/>
        <v>1444691</v>
      </c>
      <c r="AY141" s="177">
        <f t="shared" si="215"/>
        <v>0</v>
      </c>
      <c r="AZ141" s="177">
        <f t="shared" si="216"/>
        <v>1444691</v>
      </c>
      <c r="BA141" s="177">
        <f t="shared" si="201"/>
        <v>74361018</v>
      </c>
      <c r="BB141" s="177">
        <f t="shared" si="201"/>
        <v>12876367</v>
      </c>
      <c r="BC141" s="382">
        <f t="shared" si="202"/>
        <v>87237385</v>
      </c>
      <c r="BD141" s="83">
        <f t="shared" si="191"/>
        <v>-0.23070123710635271</v>
      </c>
    </row>
    <row r="142" spans="1:56">
      <c r="A142" s="170">
        <v>44378</v>
      </c>
      <c r="B142" s="378">
        <v>2169995</v>
      </c>
      <c r="C142" s="3">
        <v>10338232</v>
      </c>
      <c r="D142" s="3">
        <f t="shared" si="192"/>
        <v>12508227</v>
      </c>
      <c r="E142" s="3">
        <f t="shared" si="193"/>
        <v>8915768</v>
      </c>
      <c r="F142" s="3">
        <v>0</v>
      </c>
      <c r="G142" s="3">
        <f t="shared" si="194"/>
        <v>8915768</v>
      </c>
      <c r="H142" s="3">
        <v>52209</v>
      </c>
      <c r="I142" s="3">
        <v>0</v>
      </c>
      <c r="J142" s="3">
        <f t="shared" si="174"/>
        <v>52209</v>
      </c>
      <c r="K142" s="3">
        <v>0</v>
      </c>
      <c r="L142" s="3">
        <v>0</v>
      </c>
      <c r="M142" s="3">
        <f t="shared" si="195"/>
        <v>0</v>
      </c>
      <c r="N142" s="3">
        <f t="shared" si="196"/>
        <v>1888805</v>
      </c>
      <c r="O142" s="3">
        <v>0</v>
      </c>
      <c r="P142" s="3">
        <f t="shared" si="197"/>
        <v>1888805</v>
      </c>
      <c r="Q142" s="3">
        <v>229115</v>
      </c>
      <c r="R142" s="3">
        <v>0</v>
      </c>
      <c r="S142" s="3">
        <f t="shared" si="198"/>
        <v>229115</v>
      </c>
      <c r="T142" s="3">
        <v>741000</v>
      </c>
      <c r="U142" s="3">
        <v>0</v>
      </c>
      <c r="V142" s="3">
        <f t="shared" si="175"/>
        <v>741000</v>
      </c>
      <c r="W142" s="3">
        <f t="shared" si="199"/>
        <v>13996892</v>
      </c>
      <c r="X142" s="3">
        <f t="shared" si="199"/>
        <v>10338232</v>
      </c>
      <c r="Y142" s="379">
        <f t="shared" si="200"/>
        <v>24335124</v>
      </c>
      <c r="Z142" s="3">
        <v>0</v>
      </c>
      <c r="AA142" s="3">
        <v>8915768</v>
      </c>
      <c r="AB142" s="380">
        <f t="shared" si="176"/>
        <v>8915768</v>
      </c>
      <c r="AC142" s="3">
        <v>507493</v>
      </c>
      <c r="AD142" s="3">
        <v>1381312</v>
      </c>
      <c r="AE142" s="380">
        <f t="shared" si="145"/>
        <v>1888805</v>
      </c>
      <c r="AF142" s="381">
        <f t="shared" si="203"/>
        <v>15185182</v>
      </c>
      <c r="AG142" s="177">
        <f t="shared" si="203"/>
        <v>23214599</v>
      </c>
      <c r="AH142" s="177">
        <f t="shared" si="204"/>
        <v>38399781</v>
      </c>
      <c r="AI142" s="177">
        <f t="shared" si="214"/>
        <v>54370318</v>
      </c>
      <c r="AJ142" s="177">
        <f t="shared" si="214"/>
        <v>0</v>
      </c>
      <c r="AK142" s="177">
        <f t="shared" si="205"/>
        <v>54370318</v>
      </c>
      <c r="AL142" s="177">
        <f t="shared" si="206"/>
        <v>1250412</v>
      </c>
      <c r="AM142" s="177">
        <f t="shared" si="206"/>
        <v>0</v>
      </c>
      <c r="AN142" s="177">
        <f t="shared" si="207"/>
        <v>1250412</v>
      </c>
      <c r="AO142" s="177">
        <f t="shared" si="208"/>
        <v>0</v>
      </c>
      <c r="AP142" s="177">
        <f t="shared" si="208"/>
        <v>0</v>
      </c>
      <c r="AQ142" s="177">
        <f t="shared" si="209"/>
        <v>0</v>
      </c>
      <c r="AR142" s="177">
        <f t="shared" si="210"/>
        <v>14807624</v>
      </c>
      <c r="AS142" s="177">
        <f t="shared" si="210"/>
        <v>0</v>
      </c>
      <c r="AT142" s="177">
        <f t="shared" si="211"/>
        <v>14807624</v>
      </c>
      <c r="AU142" s="177">
        <f t="shared" si="212"/>
        <v>558683</v>
      </c>
      <c r="AV142" s="177">
        <f t="shared" si="212"/>
        <v>0</v>
      </c>
      <c r="AW142" s="177">
        <f t="shared" si="213"/>
        <v>558683</v>
      </c>
      <c r="AX142" s="177">
        <f t="shared" si="215"/>
        <v>2185691</v>
      </c>
      <c r="AY142" s="177">
        <f t="shared" si="215"/>
        <v>0</v>
      </c>
      <c r="AZ142" s="177">
        <f t="shared" si="216"/>
        <v>2185691</v>
      </c>
      <c r="BA142" s="177">
        <f t="shared" si="201"/>
        <v>88357910</v>
      </c>
      <c r="BB142" s="177">
        <f t="shared" si="201"/>
        <v>23214599</v>
      </c>
      <c r="BC142" s="382">
        <f t="shared" si="202"/>
        <v>111572509</v>
      </c>
      <c r="BD142" s="83">
        <f t="shared" si="191"/>
        <v>-0.24222741606962539</v>
      </c>
    </row>
    <row r="143" spans="1:56">
      <c r="A143" s="170">
        <v>44409</v>
      </c>
      <c r="B143" s="378">
        <v>2303866</v>
      </c>
      <c r="C143" s="3">
        <v>14794361</v>
      </c>
      <c r="D143" s="3">
        <f t="shared" si="192"/>
        <v>17098227</v>
      </c>
      <c r="E143" s="3">
        <f t="shared" si="193"/>
        <v>13159185</v>
      </c>
      <c r="F143" s="3">
        <v>0</v>
      </c>
      <c r="G143" s="3">
        <f t="shared" si="194"/>
        <v>13159185</v>
      </c>
      <c r="H143" s="3">
        <v>54634</v>
      </c>
      <c r="I143" s="3">
        <v>0</v>
      </c>
      <c r="J143" s="3">
        <f t="shared" si="174"/>
        <v>54634</v>
      </c>
      <c r="K143" s="3">
        <v>0</v>
      </c>
      <c r="L143" s="3">
        <v>0</v>
      </c>
      <c r="M143" s="3">
        <f t="shared" si="195"/>
        <v>0</v>
      </c>
      <c r="N143" s="3">
        <f t="shared" si="196"/>
        <v>1965271</v>
      </c>
      <c r="O143" s="3">
        <v>0</v>
      </c>
      <c r="P143" s="3">
        <f t="shared" si="197"/>
        <v>1965271</v>
      </c>
      <c r="Q143" s="3">
        <v>149358</v>
      </c>
      <c r="R143" s="3">
        <v>0</v>
      </c>
      <c r="S143" s="3">
        <f t="shared" si="198"/>
        <v>149358</v>
      </c>
      <c r="T143" s="3">
        <v>670008</v>
      </c>
      <c r="U143" s="3">
        <v>0</v>
      </c>
      <c r="V143" s="3">
        <f t="shared" si="175"/>
        <v>670008</v>
      </c>
      <c r="W143" s="3">
        <f t="shared" si="199"/>
        <v>18302322</v>
      </c>
      <c r="X143" s="3">
        <f t="shared" si="199"/>
        <v>14794361</v>
      </c>
      <c r="Y143" s="379">
        <f t="shared" si="200"/>
        <v>33096683</v>
      </c>
      <c r="Z143" s="3">
        <v>0</v>
      </c>
      <c r="AA143" s="3">
        <v>13159185</v>
      </c>
      <c r="AB143" s="380">
        <f t="shared" si="176"/>
        <v>13159185</v>
      </c>
      <c r="AC143" s="3">
        <v>478626</v>
      </c>
      <c r="AD143" s="3">
        <v>1486645</v>
      </c>
      <c r="AE143" s="380">
        <f t="shared" si="145"/>
        <v>1965271</v>
      </c>
      <c r="AF143" s="381">
        <f t="shared" si="203"/>
        <v>17489048</v>
      </c>
      <c r="AG143" s="177">
        <f t="shared" si="203"/>
        <v>38008960</v>
      </c>
      <c r="AH143" s="177">
        <f t="shared" si="204"/>
        <v>55498008</v>
      </c>
      <c r="AI143" s="177">
        <f t="shared" si="214"/>
        <v>67529503</v>
      </c>
      <c r="AJ143" s="177">
        <f t="shared" si="214"/>
        <v>0</v>
      </c>
      <c r="AK143" s="177">
        <f t="shared" si="205"/>
        <v>67529503</v>
      </c>
      <c r="AL143" s="177">
        <f t="shared" si="206"/>
        <v>1305046</v>
      </c>
      <c r="AM143" s="177">
        <f t="shared" si="206"/>
        <v>0</v>
      </c>
      <c r="AN143" s="177">
        <f t="shared" si="207"/>
        <v>1305046</v>
      </c>
      <c r="AO143" s="177">
        <f t="shared" si="208"/>
        <v>0</v>
      </c>
      <c r="AP143" s="177">
        <f t="shared" si="208"/>
        <v>0</v>
      </c>
      <c r="AQ143" s="177">
        <f t="shared" si="209"/>
        <v>0</v>
      </c>
      <c r="AR143" s="177">
        <f t="shared" si="210"/>
        <v>16772895</v>
      </c>
      <c r="AS143" s="177">
        <f t="shared" si="210"/>
        <v>0</v>
      </c>
      <c r="AT143" s="177">
        <f t="shared" si="211"/>
        <v>16772895</v>
      </c>
      <c r="AU143" s="177">
        <f t="shared" si="212"/>
        <v>708041</v>
      </c>
      <c r="AV143" s="177">
        <f t="shared" si="212"/>
        <v>0</v>
      </c>
      <c r="AW143" s="177">
        <f t="shared" si="213"/>
        <v>708041</v>
      </c>
      <c r="AX143" s="177">
        <f t="shared" si="215"/>
        <v>2855699</v>
      </c>
      <c r="AY143" s="177">
        <f t="shared" si="215"/>
        <v>0</v>
      </c>
      <c r="AZ143" s="177">
        <f t="shared" si="216"/>
        <v>2855699</v>
      </c>
      <c r="BA143" s="177">
        <f t="shared" si="201"/>
        <v>106660232</v>
      </c>
      <c r="BB143" s="177">
        <f t="shared" si="201"/>
        <v>38008960</v>
      </c>
      <c r="BC143" s="382">
        <f t="shared" si="202"/>
        <v>144669192</v>
      </c>
      <c r="BD143" s="83">
        <f t="shared" si="191"/>
        <v>-0.22448769653606837</v>
      </c>
    </row>
    <row r="144" spans="1:56">
      <c r="A144" s="170">
        <v>44440</v>
      </c>
      <c r="B144" s="378">
        <v>1804886</v>
      </c>
      <c r="C144" s="3">
        <v>10763933</v>
      </c>
      <c r="D144" s="3">
        <f t="shared" si="192"/>
        <v>12568819</v>
      </c>
      <c r="E144" s="3">
        <f t="shared" si="193"/>
        <v>9901919</v>
      </c>
      <c r="F144" s="3">
        <v>0</v>
      </c>
      <c r="G144" s="3">
        <f t="shared" si="194"/>
        <v>9901919</v>
      </c>
      <c r="H144" s="3">
        <v>141816</v>
      </c>
      <c r="I144" s="3">
        <v>0</v>
      </c>
      <c r="J144" s="3">
        <f t="shared" si="174"/>
        <v>141816</v>
      </c>
      <c r="K144" s="3">
        <v>0</v>
      </c>
      <c r="L144" s="3">
        <v>0</v>
      </c>
      <c r="M144" s="3">
        <f t="shared" si="195"/>
        <v>0</v>
      </c>
      <c r="N144" s="3">
        <f t="shared" si="196"/>
        <v>1478390</v>
      </c>
      <c r="O144" s="3">
        <v>0</v>
      </c>
      <c r="P144" s="3">
        <f t="shared" si="197"/>
        <v>1478390</v>
      </c>
      <c r="Q144" s="3">
        <v>279130</v>
      </c>
      <c r="R144" s="3">
        <v>0</v>
      </c>
      <c r="S144" s="3">
        <f t="shared" si="198"/>
        <v>279130</v>
      </c>
      <c r="T144" s="3">
        <v>405910</v>
      </c>
      <c r="U144" s="3">
        <v>0</v>
      </c>
      <c r="V144" s="3">
        <f t="shared" si="175"/>
        <v>405910</v>
      </c>
      <c r="W144" s="3">
        <f t="shared" si="199"/>
        <v>14012051</v>
      </c>
      <c r="X144" s="3">
        <f t="shared" si="199"/>
        <v>10763933</v>
      </c>
      <c r="Y144" s="379">
        <f t="shared" si="200"/>
        <v>24775984</v>
      </c>
      <c r="Z144" s="3">
        <v>0</v>
      </c>
      <c r="AA144" s="3">
        <v>9901919</v>
      </c>
      <c r="AB144" s="380">
        <f t="shared" si="176"/>
        <v>9901919</v>
      </c>
      <c r="AC144" s="3">
        <v>465685</v>
      </c>
      <c r="AD144" s="3">
        <v>1012705</v>
      </c>
      <c r="AE144" s="380">
        <f t="shared" si="145"/>
        <v>1478390</v>
      </c>
      <c r="AF144" s="381">
        <f t="shared" si="203"/>
        <v>19293934</v>
      </c>
      <c r="AG144" s="177">
        <f t="shared" si="203"/>
        <v>48772893</v>
      </c>
      <c r="AH144" s="177">
        <f t="shared" si="204"/>
        <v>68066827</v>
      </c>
      <c r="AI144" s="177">
        <f t="shared" si="214"/>
        <v>77431422</v>
      </c>
      <c r="AJ144" s="177">
        <f t="shared" si="214"/>
        <v>0</v>
      </c>
      <c r="AK144" s="177">
        <f t="shared" si="205"/>
        <v>77431422</v>
      </c>
      <c r="AL144" s="177">
        <f t="shared" si="206"/>
        <v>1446862</v>
      </c>
      <c r="AM144" s="177">
        <f t="shared" si="206"/>
        <v>0</v>
      </c>
      <c r="AN144" s="177">
        <f t="shared" si="207"/>
        <v>1446862</v>
      </c>
      <c r="AO144" s="177">
        <f t="shared" si="208"/>
        <v>0</v>
      </c>
      <c r="AP144" s="177">
        <f t="shared" si="208"/>
        <v>0</v>
      </c>
      <c r="AQ144" s="177">
        <f t="shared" si="209"/>
        <v>0</v>
      </c>
      <c r="AR144" s="177">
        <f t="shared" si="210"/>
        <v>18251285</v>
      </c>
      <c r="AS144" s="177">
        <f t="shared" si="210"/>
        <v>0</v>
      </c>
      <c r="AT144" s="177">
        <f t="shared" si="211"/>
        <v>18251285</v>
      </c>
      <c r="AU144" s="177">
        <f t="shared" si="212"/>
        <v>987171</v>
      </c>
      <c r="AV144" s="177">
        <f t="shared" si="212"/>
        <v>0</v>
      </c>
      <c r="AW144" s="177">
        <f t="shared" si="213"/>
        <v>987171</v>
      </c>
      <c r="AX144" s="177">
        <f t="shared" si="215"/>
        <v>3261609</v>
      </c>
      <c r="AY144" s="177">
        <f t="shared" si="215"/>
        <v>0</v>
      </c>
      <c r="AZ144" s="177">
        <f t="shared" si="216"/>
        <v>3261609</v>
      </c>
      <c r="BA144" s="177">
        <f t="shared" si="201"/>
        <v>120672283</v>
      </c>
      <c r="BB144" s="177">
        <f t="shared" si="201"/>
        <v>48772893</v>
      </c>
      <c r="BC144" s="382">
        <f t="shared" si="202"/>
        <v>169445176</v>
      </c>
      <c r="BD144" s="83">
        <f t="shared" si="191"/>
        <v>-0.24810432918886138</v>
      </c>
    </row>
    <row r="145" spans="1:56">
      <c r="A145" s="170">
        <v>44470</v>
      </c>
      <c r="B145" s="378">
        <v>1944892</v>
      </c>
      <c r="C145" s="3">
        <v>10741498</v>
      </c>
      <c r="D145" s="3">
        <f t="shared" si="192"/>
        <v>12686390</v>
      </c>
      <c r="E145" s="3">
        <f t="shared" si="193"/>
        <v>8653829</v>
      </c>
      <c r="F145" s="3">
        <v>0</v>
      </c>
      <c r="G145" s="3">
        <f t="shared" si="194"/>
        <v>8653829</v>
      </c>
      <c r="H145" s="3">
        <v>234290</v>
      </c>
      <c r="I145" s="3">
        <v>0</v>
      </c>
      <c r="J145" s="3">
        <f t="shared" si="174"/>
        <v>234290</v>
      </c>
      <c r="K145" s="3">
        <v>0</v>
      </c>
      <c r="L145" s="3">
        <v>0</v>
      </c>
      <c r="M145" s="3">
        <f t="shared" si="195"/>
        <v>0</v>
      </c>
      <c r="N145" s="3">
        <f t="shared" si="196"/>
        <v>3384929</v>
      </c>
      <c r="O145" s="3">
        <v>0</v>
      </c>
      <c r="P145" s="3">
        <f t="shared" si="197"/>
        <v>3384929</v>
      </c>
      <c r="Q145" s="3">
        <v>173281</v>
      </c>
      <c r="R145" s="3">
        <v>0</v>
      </c>
      <c r="S145" s="3">
        <f t="shared" si="198"/>
        <v>173281</v>
      </c>
      <c r="T145" s="3">
        <v>303658</v>
      </c>
      <c r="U145" s="3">
        <v>0</v>
      </c>
      <c r="V145" s="3">
        <f t="shared" si="175"/>
        <v>303658</v>
      </c>
      <c r="W145" s="3">
        <f t="shared" si="199"/>
        <v>14694879</v>
      </c>
      <c r="X145" s="3">
        <f t="shared" si="199"/>
        <v>10741498</v>
      </c>
      <c r="Y145" s="379">
        <f t="shared" si="200"/>
        <v>25436377</v>
      </c>
      <c r="Z145" s="3">
        <v>0</v>
      </c>
      <c r="AA145" s="3">
        <v>8653829</v>
      </c>
      <c r="AB145" s="380">
        <f t="shared" si="176"/>
        <v>8653829</v>
      </c>
      <c r="AC145" s="3">
        <v>248137</v>
      </c>
      <c r="AD145" s="3">
        <v>3136792</v>
      </c>
      <c r="AE145" s="380">
        <f t="shared" si="145"/>
        <v>3384929</v>
      </c>
      <c r="AF145" s="381">
        <f t="shared" si="203"/>
        <v>21238826</v>
      </c>
      <c r="AG145" s="177">
        <f t="shared" si="203"/>
        <v>59514391</v>
      </c>
      <c r="AH145" s="177">
        <f t="shared" si="204"/>
        <v>80753217</v>
      </c>
      <c r="AI145" s="177">
        <f t="shared" si="214"/>
        <v>86085251</v>
      </c>
      <c r="AJ145" s="177">
        <f>AJ144+F145</f>
        <v>0</v>
      </c>
      <c r="AK145" s="177">
        <f t="shared" si="205"/>
        <v>86085251</v>
      </c>
      <c r="AL145" s="177">
        <f t="shared" si="206"/>
        <v>1681152</v>
      </c>
      <c r="AM145" s="177">
        <f t="shared" si="206"/>
        <v>0</v>
      </c>
      <c r="AN145" s="177">
        <f t="shared" si="207"/>
        <v>1681152</v>
      </c>
      <c r="AO145" s="177">
        <f t="shared" si="208"/>
        <v>0</v>
      </c>
      <c r="AP145" s="177">
        <f t="shared" si="208"/>
        <v>0</v>
      </c>
      <c r="AQ145" s="177">
        <f t="shared" si="209"/>
        <v>0</v>
      </c>
      <c r="AR145" s="177">
        <f t="shared" si="210"/>
        <v>21636214</v>
      </c>
      <c r="AS145" s="177">
        <f t="shared" si="210"/>
        <v>0</v>
      </c>
      <c r="AT145" s="177">
        <f t="shared" si="211"/>
        <v>21636214</v>
      </c>
      <c r="AU145" s="177">
        <f t="shared" si="212"/>
        <v>1160452</v>
      </c>
      <c r="AV145" s="177">
        <f t="shared" si="212"/>
        <v>0</v>
      </c>
      <c r="AW145" s="177">
        <f t="shared" si="213"/>
        <v>1160452</v>
      </c>
      <c r="AX145" s="177">
        <f t="shared" si="215"/>
        <v>3565267</v>
      </c>
      <c r="AY145" s="177">
        <f t="shared" si="215"/>
        <v>0</v>
      </c>
      <c r="AZ145" s="177">
        <f t="shared" si="216"/>
        <v>3565267</v>
      </c>
      <c r="BA145" s="177">
        <f t="shared" si="201"/>
        <v>135367162</v>
      </c>
      <c r="BB145" s="177">
        <f t="shared" si="201"/>
        <v>59514391</v>
      </c>
      <c r="BC145" s="382">
        <f t="shared" si="202"/>
        <v>194881553</v>
      </c>
      <c r="BD145" s="83">
        <f t="shared" si="191"/>
        <v>-0.22987009674185843</v>
      </c>
    </row>
    <row r="146" spans="1:56">
      <c r="A146" s="170">
        <v>44501</v>
      </c>
      <c r="B146" s="378">
        <v>2215134</v>
      </c>
      <c r="C146" s="3">
        <v>0</v>
      </c>
      <c r="D146" s="3">
        <f t="shared" si="192"/>
        <v>2215134</v>
      </c>
      <c r="E146" s="3">
        <f t="shared" si="193"/>
        <v>1281287</v>
      </c>
      <c r="F146" s="3">
        <v>0</v>
      </c>
      <c r="G146" s="3">
        <f t="shared" si="194"/>
        <v>1281287</v>
      </c>
      <c r="H146" s="3">
        <v>197167</v>
      </c>
      <c r="I146" s="3">
        <v>0</v>
      </c>
      <c r="J146" s="3">
        <f t="shared" si="174"/>
        <v>197167</v>
      </c>
      <c r="K146" s="3">
        <v>0</v>
      </c>
      <c r="L146" s="3">
        <v>0</v>
      </c>
      <c r="M146" s="3">
        <f t="shared" si="195"/>
        <v>0</v>
      </c>
      <c r="N146" s="3">
        <f t="shared" si="196"/>
        <v>4857930</v>
      </c>
      <c r="O146" s="3">
        <v>0</v>
      </c>
      <c r="P146" s="3">
        <f t="shared" si="197"/>
        <v>4857930</v>
      </c>
      <c r="Q146" s="3">
        <v>163969</v>
      </c>
      <c r="R146" s="3">
        <v>0</v>
      </c>
      <c r="S146" s="3">
        <f t="shared" si="198"/>
        <v>163969</v>
      </c>
      <c r="T146" s="3">
        <v>485575</v>
      </c>
      <c r="U146" s="3">
        <v>0</v>
      </c>
      <c r="V146" s="3">
        <f t="shared" si="175"/>
        <v>485575</v>
      </c>
      <c r="W146" s="3">
        <f t="shared" si="199"/>
        <v>9201062</v>
      </c>
      <c r="X146" s="3">
        <f t="shared" si="199"/>
        <v>0</v>
      </c>
      <c r="Y146" s="379">
        <f t="shared" si="200"/>
        <v>9201062</v>
      </c>
      <c r="Z146" s="3">
        <v>0</v>
      </c>
      <c r="AA146" s="3">
        <v>1281287</v>
      </c>
      <c r="AB146" s="380">
        <f t="shared" si="176"/>
        <v>1281287</v>
      </c>
      <c r="AC146" s="3">
        <v>537361</v>
      </c>
      <c r="AD146" s="3">
        <v>4320569</v>
      </c>
      <c r="AE146" s="380">
        <f t="shared" si="145"/>
        <v>4857930</v>
      </c>
      <c r="AF146" s="381">
        <f t="shared" si="203"/>
        <v>23453960</v>
      </c>
      <c r="AG146" s="177">
        <f t="shared" si="203"/>
        <v>59514391</v>
      </c>
      <c r="AH146" s="177">
        <f t="shared" si="204"/>
        <v>82968351</v>
      </c>
      <c r="AI146" s="177">
        <f t="shared" si="214"/>
        <v>87366538</v>
      </c>
      <c r="AJ146" s="177">
        <f>AJ145+F146</f>
        <v>0</v>
      </c>
      <c r="AK146" s="177">
        <f t="shared" si="205"/>
        <v>87366538</v>
      </c>
      <c r="AL146" s="177">
        <f t="shared" si="206"/>
        <v>1878319</v>
      </c>
      <c r="AM146" s="177">
        <f t="shared" si="206"/>
        <v>0</v>
      </c>
      <c r="AN146" s="177">
        <f t="shared" si="207"/>
        <v>1878319</v>
      </c>
      <c r="AO146" s="177">
        <f t="shared" si="208"/>
        <v>0</v>
      </c>
      <c r="AP146" s="177">
        <f t="shared" si="208"/>
        <v>0</v>
      </c>
      <c r="AQ146" s="177">
        <f t="shared" si="209"/>
        <v>0</v>
      </c>
      <c r="AR146" s="177">
        <f t="shared" si="210"/>
        <v>26494144</v>
      </c>
      <c r="AS146" s="177">
        <f t="shared" si="210"/>
        <v>0</v>
      </c>
      <c r="AT146" s="177">
        <f t="shared" si="211"/>
        <v>26494144</v>
      </c>
      <c r="AU146" s="177">
        <f t="shared" si="212"/>
        <v>1324421</v>
      </c>
      <c r="AV146" s="177">
        <f t="shared" si="212"/>
        <v>0</v>
      </c>
      <c r="AW146" s="177">
        <f t="shared" si="213"/>
        <v>1324421</v>
      </c>
      <c r="AX146" s="177">
        <f t="shared" si="215"/>
        <v>4050842</v>
      </c>
      <c r="AY146" s="177">
        <f t="shared" si="215"/>
        <v>0</v>
      </c>
      <c r="AZ146" s="177">
        <f t="shared" si="216"/>
        <v>4050842</v>
      </c>
      <c r="BA146" s="177">
        <f t="shared" si="201"/>
        <v>144568224</v>
      </c>
      <c r="BB146" s="177">
        <f t="shared" si="201"/>
        <v>59514391</v>
      </c>
      <c r="BC146" s="382">
        <f t="shared" si="202"/>
        <v>204082615</v>
      </c>
      <c r="BD146" s="83">
        <f t="shared" si="191"/>
        <v>-0.29709105404319958</v>
      </c>
    </row>
    <row r="147" spans="1:56" ht="15.75" thickBot="1">
      <c r="A147" s="170">
        <v>44531</v>
      </c>
      <c r="B147" s="378">
        <v>2617650</v>
      </c>
      <c r="C147" s="3">
        <v>0</v>
      </c>
      <c r="D147" s="3">
        <f t="shared" si="192"/>
        <v>2617650</v>
      </c>
      <c r="E147" s="3">
        <f t="shared" si="193"/>
        <v>18789642</v>
      </c>
      <c r="F147" s="3">
        <v>0</v>
      </c>
      <c r="G147" s="3">
        <f t="shared" si="194"/>
        <v>18789642</v>
      </c>
      <c r="H147" s="3">
        <v>282584</v>
      </c>
      <c r="I147" s="3">
        <v>0</v>
      </c>
      <c r="J147" s="3">
        <f t="shared" si="174"/>
        <v>282584</v>
      </c>
      <c r="K147" s="3">
        <v>0</v>
      </c>
      <c r="L147" s="3">
        <v>0</v>
      </c>
      <c r="M147" s="3">
        <f t="shared" si="195"/>
        <v>0</v>
      </c>
      <c r="N147" s="3">
        <f t="shared" si="196"/>
        <v>6766106</v>
      </c>
      <c r="O147" s="3">
        <v>0</v>
      </c>
      <c r="P147" s="3">
        <f t="shared" si="197"/>
        <v>6766106</v>
      </c>
      <c r="Q147" s="3">
        <v>334997</v>
      </c>
      <c r="R147" s="3">
        <v>0</v>
      </c>
      <c r="S147" s="3">
        <f t="shared" si="198"/>
        <v>334997</v>
      </c>
      <c r="T147" s="3">
        <v>998505</v>
      </c>
      <c r="U147" s="3">
        <v>0</v>
      </c>
      <c r="V147" s="3">
        <f t="shared" si="175"/>
        <v>998505</v>
      </c>
      <c r="W147" s="3">
        <f t="shared" si="199"/>
        <v>29789484</v>
      </c>
      <c r="X147" s="3">
        <f t="shared" si="199"/>
        <v>0</v>
      </c>
      <c r="Y147" s="379">
        <f t="shared" si="200"/>
        <v>29789484</v>
      </c>
      <c r="Z147" s="3">
        <v>0</v>
      </c>
      <c r="AA147" s="3">
        <v>18789642</v>
      </c>
      <c r="AB147" s="380">
        <f t="shared" si="176"/>
        <v>18789642</v>
      </c>
      <c r="AC147" s="3">
        <v>814915</v>
      </c>
      <c r="AD147" s="3">
        <v>5951191</v>
      </c>
      <c r="AE147" s="380">
        <f t="shared" si="145"/>
        <v>6766106</v>
      </c>
      <c r="AF147" s="381">
        <f t="shared" si="203"/>
        <v>26071610</v>
      </c>
      <c r="AG147" s="177">
        <f t="shared" si="203"/>
        <v>59514391</v>
      </c>
      <c r="AH147" s="177">
        <f t="shared" si="204"/>
        <v>85586001</v>
      </c>
      <c r="AI147" s="177">
        <f t="shared" si="214"/>
        <v>106156180</v>
      </c>
      <c r="AJ147" s="177">
        <f>AJ146+F147</f>
        <v>0</v>
      </c>
      <c r="AK147" s="177">
        <f t="shared" si="205"/>
        <v>106156180</v>
      </c>
      <c r="AL147" s="177">
        <f t="shared" si="206"/>
        <v>2160903</v>
      </c>
      <c r="AM147" s="177">
        <f t="shared" si="206"/>
        <v>0</v>
      </c>
      <c r="AN147" s="177">
        <f t="shared" si="207"/>
        <v>2160903</v>
      </c>
      <c r="AO147" s="177">
        <f t="shared" si="208"/>
        <v>0</v>
      </c>
      <c r="AP147" s="177">
        <f t="shared" si="208"/>
        <v>0</v>
      </c>
      <c r="AQ147" s="177">
        <f t="shared" si="209"/>
        <v>0</v>
      </c>
      <c r="AR147" s="177">
        <f t="shared" si="210"/>
        <v>33260250</v>
      </c>
      <c r="AS147" s="177">
        <f t="shared" si="210"/>
        <v>0</v>
      </c>
      <c r="AT147" s="177">
        <f t="shared" si="211"/>
        <v>33260250</v>
      </c>
      <c r="AU147" s="177">
        <f t="shared" si="212"/>
        <v>1659418</v>
      </c>
      <c r="AV147" s="177">
        <f t="shared" si="212"/>
        <v>0</v>
      </c>
      <c r="AW147" s="177">
        <f t="shared" si="213"/>
        <v>1659418</v>
      </c>
      <c r="AX147" s="177">
        <f t="shared" si="215"/>
        <v>5049347</v>
      </c>
      <c r="AY147" s="177">
        <f t="shared" si="215"/>
        <v>0</v>
      </c>
      <c r="AZ147" s="177">
        <f t="shared" si="216"/>
        <v>5049347</v>
      </c>
      <c r="BA147" s="177">
        <f t="shared" si="201"/>
        <v>174357708</v>
      </c>
      <c r="BB147" s="177">
        <f t="shared" si="201"/>
        <v>59514391</v>
      </c>
      <c r="BC147" s="382">
        <f t="shared" si="202"/>
        <v>233872099</v>
      </c>
      <c r="BD147" s="83">
        <f t="shared" si="191"/>
        <v>-0.30236700809211514</v>
      </c>
    </row>
    <row r="148" spans="1:56">
      <c r="A148" s="171">
        <v>44562</v>
      </c>
      <c r="B148" s="385">
        <v>2549105</v>
      </c>
      <c r="C148" s="104">
        <v>0</v>
      </c>
      <c r="D148" s="104">
        <f t="shared" si="192"/>
        <v>2549105</v>
      </c>
      <c r="E148" s="104">
        <f t="shared" si="193"/>
        <v>6834941</v>
      </c>
      <c r="F148" s="104">
        <v>0</v>
      </c>
      <c r="G148" s="104">
        <f t="shared" si="194"/>
        <v>6834941</v>
      </c>
      <c r="H148" s="104">
        <v>281372</v>
      </c>
      <c r="I148" s="104">
        <v>0</v>
      </c>
      <c r="J148" s="104">
        <f t="shared" si="174"/>
        <v>281372</v>
      </c>
      <c r="K148" s="104">
        <v>0</v>
      </c>
      <c r="L148" s="104">
        <v>0</v>
      </c>
      <c r="M148" s="104">
        <f t="shared" si="195"/>
        <v>0</v>
      </c>
      <c r="N148" s="104">
        <f t="shared" si="196"/>
        <v>6541629</v>
      </c>
      <c r="O148" s="104">
        <v>0</v>
      </c>
      <c r="P148" s="104">
        <f t="shared" si="197"/>
        <v>6541629</v>
      </c>
      <c r="Q148" s="104">
        <v>41162</v>
      </c>
      <c r="R148" s="104">
        <v>0</v>
      </c>
      <c r="S148" s="104">
        <f t="shared" si="198"/>
        <v>41162</v>
      </c>
      <c r="T148" s="104">
        <v>0</v>
      </c>
      <c r="U148" s="104">
        <v>0</v>
      </c>
      <c r="V148" s="104">
        <f t="shared" si="175"/>
        <v>0</v>
      </c>
      <c r="W148" s="104">
        <f t="shared" si="199"/>
        <v>16248209</v>
      </c>
      <c r="X148" s="104">
        <f t="shared" si="199"/>
        <v>0</v>
      </c>
      <c r="Y148" s="386">
        <f t="shared" si="200"/>
        <v>16248209</v>
      </c>
      <c r="Z148" s="104">
        <v>0</v>
      </c>
      <c r="AA148" s="104">
        <v>6834941</v>
      </c>
      <c r="AB148" s="387">
        <f t="shared" si="176"/>
        <v>6834941</v>
      </c>
      <c r="AC148" s="104">
        <v>0</v>
      </c>
      <c r="AD148" s="104">
        <v>6541629</v>
      </c>
      <c r="AE148" s="387">
        <f t="shared" si="145"/>
        <v>6541629</v>
      </c>
      <c r="AF148" s="388">
        <f>B148</f>
        <v>2549105</v>
      </c>
      <c r="AG148" s="389">
        <f>C148</f>
        <v>0</v>
      </c>
      <c r="AH148" s="389">
        <f>AG148+AF148</f>
        <v>2549105</v>
      </c>
      <c r="AI148" s="389">
        <f>E148</f>
        <v>6834941</v>
      </c>
      <c r="AJ148" s="389">
        <f>F148</f>
        <v>0</v>
      </c>
      <c r="AK148" s="389">
        <f>AJ148+AI148</f>
        <v>6834941</v>
      </c>
      <c r="AL148" s="389">
        <f>H148</f>
        <v>281372</v>
      </c>
      <c r="AM148" s="389">
        <f>I148</f>
        <v>0</v>
      </c>
      <c r="AN148" s="389">
        <f>AM148+AL148</f>
        <v>281372</v>
      </c>
      <c r="AO148" s="389">
        <f>K148</f>
        <v>0</v>
      </c>
      <c r="AP148" s="389">
        <f>L148</f>
        <v>0</v>
      </c>
      <c r="AQ148" s="389">
        <f>AP148+AO148</f>
        <v>0</v>
      </c>
      <c r="AR148" s="389">
        <f>N148</f>
        <v>6541629</v>
      </c>
      <c r="AS148" s="389">
        <f>O148</f>
        <v>0</v>
      </c>
      <c r="AT148" s="389">
        <f>AS148+AR148</f>
        <v>6541629</v>
      </c>
      <c r="AU148" s="389">
        <f>Q148</f>
        <v>41162</v>
      </c>
      <c r="AV148" s="389">
        <f>R148</f>
        <v>0</v>
      </c>
      <c r="AW148" s="389">
        <f>AV148+AU148</f>
        <v>41162</v>
      </c>
      <c r="AX148" s="389">
        <f>T148</f>
        <v>0</v>
      </c>
      <c r="AY148" s="389">
        <f>U148</f>
        <v>0</v>
      </c>
      <c r="AZ148" s="389">
        <f>SUM(AX148:AY148)</f>
        <v>0</v>
      </c>
      <c r="BA148" s="389">
        <f>AF148+AI148+AL148+AO148+AR148+AU148+AX148</f>
        <v>16248209</v>
      </c>
      <c r="BB148" s="389">
        <f t="shared" si="201"/>
        <v>0</v>
      </c>
      <c r="BC148" s="390">
        <f>BA148+BB148</f>
        <v>16248209</v>
      </c>
      <c r="BD148" s="83">
        <f t="shared" si="191"/>
        <v>-0.1746390171584794</v>
      </c>
    </row>
    <row r="149" spans="1:56">
      <c r="A149" s="170">
        <v>44593</v>
      </c>
      <c r="B149" s="378">
        <v>2436030</v>
      </c>
      <c r="C149" s="3">
        <v>10691838</v>
      </c>
      <c r="D149" s="3">
        <f t="shared" si="192"/>
        <v>13127868</v>
      </c>
      <c r="E149" s="3">
        <f t="shared" si="193"/>
        <v>8015199</v>
      </c>
      <c r="F149" s="3">
        <v>0</v>
      </c>
      <c r="G149" s="3">
        <f t="shared" si="194"/>
        <v>8015199</v>
      </c>
      <c r="H149" s="3">
        <v>189336</v>
      </c>
      <c r="I149" s="3">
        <v>0</v>
      </c>
      <c r="J149" s="3">
        <f t="shared" si="174"/>
        <v>189336</v>
      </c>
      <c r="K149" s="3">
        <v>0</v>
      </c>
      <c r="L149" s="3">
        <v>0</v>
      </c>
      <c r="M149" s="3">
        <f t="shared" si="195"/>
        <v>0</v>
      </c>
      <c r="N149" s="3">
        <f t="shared" si="196"/>
        <v>5721423</v>
      </c>
      <c r="O149" s="3">
        <v>0</v>
      </c>
      <c r="P149" s="3">
        <f t="shared" si="197"/>
        <v>5721423</v>
      </c>
      <c r="Q149" s="3">
        <v>136915</v>
      </c>
      <c r="R149" s="3">
        <v>0</v>
      </c>
      <c r="S149" s="3">
        <f t="shared" si="198"/>
        <v>136915</v>
      </c>
      <c r="T149" s="3">
        <v>552755</v>
      </c>
      <c r="U149" s="3">
        <v>0</v>
      </c>
      <c r="V149" s="3">
        <f t="shared" si="175"/>
        <v>552755</v>
      </c>
      <c r="W149" s="3">
        <f t="shared" si="199"/>
        <v>17051658</v>
      </c>
      <c r="X149" s="3">
        <f t="shared" si="199"/>
        <v>10691838</v>
      </c>
      <c r="Y149" s="379">
        <f t="shared" si="200"/>
        <v>27743496</v>
      </c>
      <c r="Z149" s="3">
        <v>0</v>
      </c>
      <c r="AA149" s="3">
        <v>8015199</v>
      </c>
      <c r="AB149" s="380">
        <f t="shared" si="176"/>
        <v>8015199</v>
      </c>
      <c r="AC149" s="3">
        <v>0</v>
      </c>
      <c r="AD149" s="3">
        <v>5721423</v>
      </c>
      <c r="AE149" s="380">
        <f t="shared" si="145"/>
        <v>5721423</v>
      </c>
      <c r="AF149" s="381">
        <f t="shared" ref="AF149:AG158" si="217">B149+AF148</f>
        <v>4985135</v>
      </c>
      <c r="AG149" s="177">
        <f t="shared" si="217"/>
        <v>10691838</v>
      </c>
      <c r="AH149" s="177">
        <f>AG149+AF149</f>
        <v>15676973</v>
      </c>
      <c r="AI149" s="177">
        <f>AI148+E149</f>
        <v>14850140</v>
      </c>
      <c r="AJ149" s="177">
        <f>AJ148+F149</f>
        <v>0</v>
      </c>
      <c r="AK149" s="177">
        <f>AJ149+AI149</f>
        <v>14850140</v>
      </c>
      <c r="AL149" s="177">
        <f t="shared" ref="AL149:AM158" si="218">AL148+H149</f>
        <v>470708</v>
      </c>
      <c r="AM149" s="177">
        <f t="shared" si="218"/>
        <v>0</v>
      </c>
      <c r="AN149" s="177">
        <f>AM149+AL149</f>
        <v>470708</v>
      </c>
      <c r="AO149" s="177">
        <f t="shared" ref="AO149:AP158" si="219">AO148+K149</f>
        <v>0</v>
      </c>
      <c r="AP149" s="177">
        <f t="shared" si="219"/>
        <v>0</v>
      </c>
      <c r="AQ149" s="177">
        <f>AP149+AO149</f>
        <v>0</v>
      </c>
      <c r="AR149" s="177">
        <f t="shared" ref="AR149:AS158" si="220">AR148+N149</f>
        <v>12263052</v>
      </c>
      <c r="AS149" s="177">
        <f t="shared" si="220"/>
        <v>0</v>
      </c>
      <c r="AT149" s="177">
        <f>AS149+AR149</f>
        <v>12263052</v>
      </c>
      <c r="AU149" s="177">
        <f t="shared" ref="AU149:AV158" si="221">AU148+Q149</f>
        <v>178077</v>
      </c>
      <c r="AV149" s="177">
        <f t="shared" si="221"/>
        <v>0</v>
      </c>
      <c r="AW149" s="177">
        <f>AV149+AU149</f>
        <v>178077</v>
      </c>
      <c r="AX149" s="177">
        <f>AX148+T149</f>
        <v>552755</v>
      </c>
      <c r="AY149" s="177">
        <f>AY148+U149</f>
        <v>0</v>
      </c>
      <c r="AZ149" s="177">
        <f>SUM(AX149:AY149)</f>
        <v>552755</v>
      </c>
      <c r="BA149" s="177">
        <f t="shared" si="201"/>
        <v>33299867</v>
      </c>
      <c r="BB149" s="177">
        <f t="shared" si="201"/>
        <v>10691838</v>
      </c>
      <c r="BC149" s="382">
        <f t="shared" si="202"/>
        <v>43991705</v>
      </c>
      <c r="BD149" s="83">
        <f t="shared" si="191"/>
        <v>0.36402956855919277</v>
      </c>
    </row>
    <row r="150" spans="1:56">
      <c r="A150" s="170">
        <v>44621</v>
      </c>
      <c r="B150" s="378">
        <v>2331151</v>
      </c>
      <c r="C150" s="3">
        <v>0</v>
      </c>
      <c r="D150" s="3">
        <f>C150+B150</f>
        <v>2331151</v>
      </c>
      <c r="E150" s="3">
        <f>AB150</f>
        <v>8123722</v>
      </c>
      <c r="F150" s="3">
        <v>0</v>
      </c>
      <c r="G150" s="3">
        <f t="shared" si="194"/>
        <v>8123722</v>
      </c>
      <c r="H150" s="3">
        <v>460538</v>
      </c>
      <c r="I150" s="3">
        <v>0</v>
      </c>
      <c r="J150" s="3">
        <f t="shared" si="174"/>
        <v>460538</v>
      </c>
      <c r="K150" s="3">
        <v>0</v>
      </c>
      <c r="L150" s="3">
        <v>0</v>
      </c>
      <c r="M150" s="3">
        <f t="shared" si="195"/>
        <v>0</v>
      </c>
      <c r="N150" s="3">
        <f t="shared" si="196"/>
        <v>6991543</v>
      </c>
      <c r="O150" s="3">
        <v>0</v>
      </c>
      <c r="P150" s="3">
        <f t="shared" si="197"/>
        <v>6991543</v>
      </c>
      <c r="Q150" s="3">
        <v>173422</v>
      </c>
      <c r="R150" s="3">
        <v>0</v>
      </c>
      <c r="S150" s="3">
        <f t="shared" si="198"/>
        <v>173422</v>
      </c>
      <c r="T150" s="3">
        <v>449898</v>
      </c>
      <c r="U150" s="3">
        <v>0</v>
      </c>
      <c r="V150" s="3">
        <f>U150+T150</f>
        <v>449898</v>
      </c>
      <c r="W150" s="3">
        <f t="shared" si="199"/>
        <v>18530274</v>
      </c>
      <c r="X150" s="3">
        <f t="shared" si="199"/>
        <v>0</v>
      </c>
      <c r="Y150" s="379">
        <f>X150+W150</f>
        <v>18530274</v>
      </c>
      <c r="Z150" s="3">
        <v>0</v>
      </c>
      <c r="AA150" s="3">
        <v>8123722</v>
      </c>
      <c r="AB150" s="380">
        <f t="shared" si="176"/>
        <v>8123722</v>
      </c>
      <c r="AC150" s="3">
        <v>733026</v>
      </c>
      <c r="AD150" s="3">
        <v>6258517</v>
      </c>
      <c r="AE150" s="380">
        <f t="shared" si="145"/>
        <v>6991543</v>
      </c>
      <c r="AF150" s="381">
        <f t="shared" si="217"/>
        <v>7316286</v>
      </c>
      <c r="AG150" s="177">
        <f t="shared" si="217"/>
        <v>10691838</v>
      </c>
      <c r="AH150" s="177">
        <f>AG150+AF150</f>
        <v>18008124</v>
      </c>
      <c r="AI150" s="177">
        <f t="shared" ref="AI150:AJ158" si="222">AI149+E150</f>
        <v>22973862</v>
      </c>
      <c r="AJ150" s="177">
        <f>AJ149+F150</f>
        <v>0</v>
      </c>
      <c r="AK150" s="177">
        <f>AJ150+AI150</f>
        <v>22973862</v>
      </c>
      <c r="AL150" s="177">
        <f t="shared" si="218"/>
        <v>931246</v>
      </c>
      <c r="AM150" s="177">
        <f t="shared" si="218"/>
        <v>0</v>
      </c>
      <c r="AN150" s="177">
        <f>AM150+AL150</f>
        <v>931246</v>
      </c>
      <c r="AO150" s="177">
        <f t="shared" si="219"/>
        <v>0</v>
      </c>
      <c r="AP150" s="177">
        <f t="shared" si="219"/>
        <v>0</v>
      </c>
      <c r="AQ150" s="177">
        <f>AP150+AO150</f>
        <v>0</v>
      </c>
      <c r="AR150" s="177">
        <f t="shared" si="220"/>
        <v>19254595</v>
      </c>
      <c r="AS150" s="177">
        <f t="shared" si="220"/>
        <v>0</v>
      </c>
      <c r="AT150" s="177">
        <f>AS150+AR150</f>
        <v>19254595</v>
      </c>
      <c r="AU150" s="177">
        <f t="shared" si="221"/>
        <v>351499</v>
      </c>
      <c r="AV150" s="177">
        <f t="shared" si="221"/>
        <v>0</v>
      </c>
      <c r="AW150" s="177">
        <f>AV150+AU150</f>
        <v>351499</v>
      </c>
      <c r="AX150" s="177">
        <f t="shared" ref="AX150:AY158" si="223">AX149+T150</f>
        <v>1002653</v>
      </c>
      <c r="AY150" s="177">
        <f t="shared" si="223"/>
        <v>0</v>
      </c>
      <c r="AZ150" s="177">
        <f t="shared" ref="AZ150:AZ186" si="224">SUM(AX150:AY150)</f>
        <v>1002653</v>
      </c>
      <c r="BA150" s="177">
        <f t="shared" si="201"/>
        <v>51830141</v>
      </c>
      <c r="BB150" s="177">
        <f t="shared" si="201"/>
        <v>10691838</v>
      </c>
      <c r="BC150" s="382">
        <f t="shared" si="202"/>
        <v>62521979</v>
      </c>
      <c r="BD150" s="83">
        <f t="shared" si="191"/>
        <v>0.41206467177966055</v>
      </c>
    </row>
    <row r="151" spans="1:56">
      <c r="A151" s="170">
        <v>44652</v>
      </c>
      <c r="B151" s="378">
        <v>2237127</v>
      </c>
      <c r="C151" s="3">
        <v>0</v>
      </c>
      <c r="D151" s="3">
        <f t="shared" ref="D151:D186" si="225">C151+B151</f>
        <v>2237127</v>
      </c>
      <c r="E151" s="3">
        <f t="shared" ref="E151:E186" si="226">AB151</f>
        <v>8997114</v>
      </c>
      <c r="F151" s="3">
        <v>0</v>
      </c>
      <c r="G151" s="3">
        <f t="shared" si="194"/>
        <v>8997114</v>
      </c>
      <c r="H151" s="3">
        <v>393901</v>
      </c>
      <c r="I151" s="3">
        <v>0</v>
      </c>
      <c r="J151" s="3">
        <f t="shared" si="174"/>
        <v>393901</v>
      </c>
      <c r="K151" s="3">
        <v>0</v>
      </c>
      <c r="L151" s="3">
        <v>0</v>
      </c>
      <c r="M151" s="3">
        <f t="shared" si="195"/>
        <v>0</v>
      </c>
      <c r="N151" s="3">
        <f t="shared" si="196"/>
        <v>6838204</v>
      </c>
      <c r="O151" s="3">
        <v>0</v>
      </c>
      <c r="P151" s="3">
        <f t="shared" si="197"/>
        <v>6838204</v>
      </c>
      <c r="Q151" s="3">
        <v>105556</v>
      </c>
      <c r="R151" s="3">
        <v>0</v>
      </c>
      <c r="S151" s="3">
        <f t="shared" si="198"/>
        <v>105556</v>
      </c>
      <c r="T151" s="3">
        <v>372328</v>
      </c>
      <c r="U151" s="3">
        <v>0</v>
      </c>
      <c r="V151" s="3">
        <f>U151+T151</f>
        <v>372328</v>
      </c>
      <c r="W151" s="3">
        <f t="shared" si="199"/>
        <v>18944230</v>
      </c>
      <c r="X151" s="3">
        <f t="shared" si="199"/>
        <v>0</v>
      </c>
      <c r="Y151" s="379">
        <f>X151+W151</f>
        <v>18944230</v>
      </c>
      <c r="Z151" s="3">
        <v>0</v>
      </c>
      <c r="AA151" s="3">
        <v>8997114</v>
      </c>
      <c r="AB151" s="380">
        <f t="shared" si="176"/>
        <v>8997114</v>
      </c>
      <c r="AC151" s="3">
        <v>396950</v>
      </c>
      <c r="AD151" s="3">
        <v>6441254</v>
      </c>
      <c r="AE151" s="380">
        <f t="shared" si="145"/>
        <v>6838204</v>
      </c>
      <c r="AF151" s="381">
        <f t="shared" si="217"/>
        <v>9553413</v>
      </c>
      <c r="AG151" s="177">
        <f t="shared" si="217"/>
        <v>10691838</v>
      </c>
      <c r="AH151" s="177">
        <f>AG151+AF151</f>
        <v>20245251</v>
      </c>
      <c r="AI151" s="177">
        <f t="shared" si="222"/>
        <v>31970976</v>
      </c>
      <c r="AJ151" s="177">
        <f>AJ150+F151</f>
        <v>0</v>
      </c>
      <c r="AK151" s="177">
        <f>AJ151+AI151</f>
        <v>31970976</v>
      </c>
      <c r="AL151" s="177">
        <f t="shared" si="218"/>
        <v>1325147</v>
      </c>
      <c r="AM151" s="177">
        <f t="shared" si="218"/>
        <v>0</v>
      </c>
      <c r="AN151" s="177">
        <f>AM151+AL151</f>
        <v>1325147</v>
      </c>
      <c r="AO151" s="177">
        <f t="shared" si="219"/>
        <v>0</v>
      </c>
      <c r="AP151" s="177">
        <f t="shared" si="219"/>
        <v>0</v>
      </c>
      <c r="AQ151" s="177">
        <f>AP151+AO151</f>
        <v>0</v>
      </c>
      <c r="AR151" s="177">
        <f t="shared" si="220"/>
        <v>26092799</v>
      </c>
      <c r="AS151" s="177">
        <f t="shared" si="220"/>
        <v>0</v>
      </c>
      <c r="AT151" s="177">
        <f>AS151+AR151</f>
        <v>26092799</v>
      </c>
      <c r="AU151" s="177">
        <f t="shared" si="221"/>
        <v>457055</v>
      </c>
      <c r="AV151" s="177">
        <f t="shared" si="221"/>
        <v>0</v>
      </c>
      <c r="AW151" s="177">
        <f>AV151+AU151</f>
        <v>457055</v>
      </c>
      <c r="AX151" s="177">
        <f t="shared" si="223"/>
        <v>1374981</v>
      </c>
      <c r="AY151" s="177">
        <f t="shared" si="223"/>
        <v>0</v>
      </c>
      <c r="AZ151" s="177">
        <f t="shared" si="224"/>
        <v>1374981</v>
      </c>
      <c r="BA151" s="177">
        <f t="shared" si="201"/>
        <v>70774371</v>
      </c>
      <c r="BB151" s="177">
        <f t="shared" si="201"/>
        <v>10691838</v>
      </c>
      <c r="BC151" s="382">
        <f t="shared" si="202"/>
        <v>81466209</v>
      </c>
      <c r="BD151" s="83">
        <f t="shared" si="191"/>
        <v>0.51505097536665767</v>
      </c>
    </row>
    <row r="152" spans="1:56">
      <c r="A152" s="170">
        <v>44682</v>
      </c>
      <c r="B152" s="378">
        <v>2788151</v>
      </c>
      <c r="C152" s="3">
        <v>10688242</v>
      </c>
      <c r="D152" s="3">
        <f t="shared" si="225"/>
        <v>13476393</v>
      </c>
      <c r="E152" s="3">
        <f t="shared" si="226"/>
        <v>14761731</v>
      </c>
      <c r="F152" s="3">
        <v>0</v>
      </c>
      <c r="G152" s="3">
        <f t="shared" si="194"/>
        <v>14761731</v>
      </c>
      <c r="H152" s="3">
        <v>293324</v>
      </c>
      <c r="I152" s="3">
        <v>0</v>
      </c>
      <c r="J152" s="3">
        <f t="shared" si="174"/>
        <v>293324</v>
      </c>
      <c r="K152" s="3">
        <v>0</v>
      </c>
      <c r="L152" s="3">
        <v>0</v>
      </c>
      <c r="M152" s="3">
        <f t="shared" si="195"/>
        <v>0</v>
      </c>
      <c r="N152" s="3">
        <f t="shared" si="196"/>
        <v>5541195</v>
      </c>
      <c r="O152" s="3">
        <v>0</v>
      </c>
      <c r="P152" s="3">
        <f t="shared" si="197"/>
        <v>5541195</v>
      </c>
      <c r="Q152" s="3">
        <v>73892</v>
      </c>
      <c r="R152" s="3">
        <v>0</v>
      </c>
      <c r="S152" s="3">
        <f t="shared" si="198"/>
        <v>73892</v>
      </c>
      <c r="T152" s="3">
        <v>71055</v>
      </c>
      <c r="U152" s="3">
        <v>0</v>
      </c>
      <c r="V152" s="3">
        <f t="shared" ref="V152:V186" si="227">U152+T152</f>
        <v>71055</v>
      </c>
      <c r="W152" s="3">
        <f t="shared" si="199"/>
        <v>23529348</v>
      </c>
      <c r="X152" s="3">
        <f t="shared" si="199"/>
        <v>10688242</v>
      </c>
      <c r="Y152" s="379">
        <f t="shared" ref="Y152:Y186" si="228">X152+W152</f>
        <v>34217590</v>
      </c>
      <c r="Z152" s="3">
        <v>0</v>
      </c>
      <c r="AA152" s="3">
        <v>14761731</v>
      </c>
      <c r="AB152" s="380">
        <f t="shared" si="176"/>
        <v>14761731</v>
      </c>
      <c r="AC152" s="3">
        <v>86460</v>
      </c>
      <c r="AD152" s="3">
        <v>5454735</v>
      </c>
      <c r="AE152" s="380">
        <f t="shared" si="145"/>
        <v>5541195</v>
      </c>
      <c r="AF152" s="381">
        <f t="shared" si="217"/>
        <v>12341564</v>
      </c>
      <c r="AG152" s="177">
        <f t="shared" si="217"/>
        <v>21380080</v>
      </c>
      <c r="AH152" s="177">
        <f t="shared" ref="AH152:AH186" si="229">AG152+AF152</f>
        <v>33721644</v>
      </c>
      <c r="AI152" s="177">
        <f t="shared" si="222"/>
        <v>46732707</v>
      </c>
      <c r="AJ152" s="177">
        <f t="shared" si="222"/>
        <v>0</v>
      </c>
      <c r="AK152" s="177">
        <f t="shared" ref="AK152:AK186" si="230">AJ152+AI152</f>
        <v>46732707</v>
      </c>
      <c r="AL152" s="177">
        <f t="shared" si="218"/>
        <v>1618471</v>
      </c>
      <c r="AM152" s="177">
        <f t="shared" si="218"/>
        <v>0</v>
      </c>
      <c r="AN152" s="177">
        <f t="shared" ref="AN152:AN186" si="231">AM152+AL152</f>
        <v>1618471</v>
      </c>
      <c r="AO152" s="177">
        <f t="shared" si="219"/>
        <v>0</v>
      </c>
      <c r="AP152" s="177">
        <f t="shared" si="219"/>
        <v>0</v>
      </c>
      <c r="AQ152" s="177">
        <f t="shared" ref="AQ152:AQ186" si="232">AP152+AO152</f>
        <v>0</v>
      </c>
      <c r="AR152" s="177">
        <f t="shared" si="220"/>
        <v>31633994</v>
      </c>
      <c r="AS152" s="177">
        <f t="shared" si="220"/>
        <v>0</v>
      </c>
      <c r="AT152" s="177">
        <f t="shared" ref="AT152:AT186" si="233">AS152+AR152</f>
        <v>31633994</v>
      </c>
      <c r="AU152" s="177">
        <f t="shared" si="221"/>
        <v>530947</v>
      </c>
      <c r="AV152" s="177">
        <f t="shared" si="221"/>
        <v>0</v>
      </c>
      <c r="AW152" s="177">
        <f t="shared" ref="AW152:AW186" si="234">AV152+AU152</f>
        <v>530947</v>
      </c>
      <c r="AX152" s="177">
        <f t="shared" si="223"/>
        <v>1446036</v>
      </c>
      <c r="AY152" s="177">
        <f t="shared" si="223"/>
        <v>0</v>
      </c>
      <c r="AZ152" s="177">
        <f t="shared" si="224"/>
        <v>1446036</v>
      </c>
      <c r="BA152" s="177">
        <f t="shared" si="201"/>
        <v>94303719</v>
      </c>
      <c r="BB152" s="177">
        <f t="shared" si="201"/>
        <v>21380080</v>
      </c>
      <c r="BC152" s="382">
        <f t="shared" si="202"/>
        <v>115683799</v>
      </c>
      <c r="BD152" s="83">
        <f t="shared" si="191"/>
        <v>0.86510853638495577</v>
      </c>
    </row>
    <row r="153" spans="1:56">
      <c r="A153" s="170">
        <v>44713</v>
      </c>
      <c r="B153" s="378">
        <v>2536364</v>
      </c>
      <c r="C153" s="3">
        <v>0</v>
      </c>
      <c r="D153" s="3">
        <f t="shared" si="225"/>
        <v>2536364</v>
      </c>
      <c r="E153" s="3">
        <f t="shared" si="226"/>
        <v>7781980</v>
      </c>
      <c r="F153" s="3">
        <v>0</v>
      </c>
      <c r="G153" s="3">
        <f t="shared" si="194"/>
        <v>7781980</v>
      </c>
      <c r="H153" s="3">
        <v>144753</v>
      </c>
      <c r="I153" s="3">
        <v>0</v>
      </c>
      <c r="J153" s="3">
        <f t="shared" si="174"/>
        <v>144753</v>
      </c>
      <c r="K153" s="3">
        <v>0</v>
      </c>
      <c r="L153" s="3">
        <v>0</v>
      </c>
      <c r="M153" s="3">
        <f t="shared" si="195"/>
        <v>0</v>
      </c>
      <c r="N153" s="3">
        <f t="shared" si="196"/>
        <v>6575819</v>
      </c>
      <c r="O153" s="3">
        <v>0</v>
      </c>
      <c r="P153" s="3">
        <f t="shared" si="197"/>
        <v>6575819</v>
      </c>
      <c r="Q153" s="3">
        <v>71031</v>
      </c>
      <c r="R153" s="3">
        <v>0</v>
      </c>
      <c r="S153" s="3">
        <f t="shared" si="198"/>
        <v>71031</v>
      </c>
      <c r="T153" s="3">
        <v>498104</v>
      </c>
      <c r="U153" s="3">
        <v>0</v>
      </c>
      <c r="V153" s="3">
        <f t="shared" si="227"/>
        <v>498104</v>
      </c>
      <c r="W153" s="3">
        <f t="shared" si="199"/>
        <v>17608051</v>
      </c>
      <c r="X153" s="3">
        <f t="shared" si="199"/>
        <v>0</v>
      </c>
      <c r="Y153" s="379">
        <f t="shared" si="228"/>
        <v>17608051</v>
      </c>
      <c r="Z153" s="3">
        <v>0</v>
      </c>
      <c r="AA153" s="3">
        <v>7781980</v>
      </c>
      <c r="AB153" s="380">
        <f t="shared" si="176"/>
        <v>7781980</v>
      </c>
      <c r="AC153" s="3">
        <v>186967</v>
      </c>
      <c r="AD153" s="3">
        <v>6388852</v>
      </c>
      <c r="AE153" s="380">
        <f t="shared" si="145"/>
        <v>6575819</v>
      </c>
      <c r="AF153" s="381">
        <f t="shared" si="217"/>
        <v>14877928</v>
      </c>
      <c r="AG153" s="177">
        <f t="shared" si="217"/>
        <v>21380080</v>
      </c>
      <c r="AH153" s="177">
        <f t="shared" si="229"/>
        <v>36258008</v>
      </c>
      <c r="AI153" s="177">
        <f t="shared" si="222"/>
        <v>54514687</v>
      </c>
      <c r="AJ153" s="177">
        <f t="shared" si="222"/>
        <v>0</v>
      </c>
      <c r="AK153" s="177">
        <f t="shared" si="230"/>
        <v>54514687</v>
      </c>
      <c r="AL153" s="177">
        <f t="shared" si="218"/>
        <v>1763224</v>
      </c>
      <c r="AM153" s="177">
        <f t="shared" si="218"/>
        <v>0</v>
      </c>
      <c r="AN153" s="177">
        <f t="shared" si="231"/>
        <v>1763224</v>
      </c>
      <c r="AO153" s="177">
        <f t="shared" si="219"/>
        <v>0</v>
      </c>
      <c r="AP153" s="177">
        <f t="shared" si="219"/>
        <v>0</v>
      </c>
      <c r="AQ153" s="177">
        <f t="shared" si="232"/>
        <v>0</v>
      </c>
      <c r="AR153" s="177">
        <f t="shared" si="220"/>
        <v>38209813</v>
      </c>
      <c r="AS153" s="177">
        <f t="shared" si="220"/>
        <v>0</v>
      </c>
      <c r="AT153" s="177">
        <f t="shared" si="233"/>
        <v>38209813</v>
      </c>
      <c r="AU153" s="177">
        <f t="shared" si="221"/>
        <v>601978</v>
      </c>
      <c r="AV153" s="177">
        <f t="shared" si="221"/>
        <v>0</v>
      </c>
      <c r="AW153" s="177">
        <f t="shared" si="234"/>
        <v>601978</v>
      </c>
      <c r="AX153" s="177">
        <f t="shared" si="223"/>
        <v>1944140</v>
      </c>
      <c r="AY153" s="177">
        <f t="shared" si="223"/>
        <v>0</v>
      </c>
      <c r="AZ153" s="177">
        <f t="shared" si="224"/>
        <v>1944140</v>
      </c>
      <c r="BA153" s="177">
        <f t="shared" si="201"/>
        <v>111911770</v>
      </c>
      <c r="BB153" s="177">
        <f t="shared" si="201"/>
        <v>21380080</v>
      </c>
      <c r="BC153" s="382">
        <f t="shared" si="202"/>
        <v>133291850</v>
      </c>
      <c r="BD153" s="83">
        <f t="shared" si="191"/>
        <v>0.52792120029732659</v>
      </c>
    </row>
    <row r="154" spans="1:56">
      <c r="A154" s="170">
        <v>44743</v>
      </c>
      <c r="B154" s="378">
        <v>2377142</v>
      </c>
      <c r="C154" s="3">
        <v>2348368</v>
      </c>
      <c r="D154" s="3">
        <f t="shared" si="225"/>
        <v>4725510</v>
      </c>
      <c r="E154" s="3">
        <f t="shared" si="226"/>
        <v>8137445</v>
      </c>
      <c r="F154" s="3">
        <v>0</v>
      </c>
      <c r="G154" s="3">
        <f t="shared" si="194"/>
        <v>8137445</v>
      </c>
      <c r="H154" s="3">
        <v>0</v>
      </c>
      <c r="I154" s="3">
        <v>0</v>
      </c>
      <c r="J154" s="3">
        <f t="shared" si="174"/>
        <v>0</v>
      </c>
      <c r="K154" s="3">
        <v>0</v>
      </c>
      <c r="L154" s="3">
        <v>0</v>
      </c>
      <c r="M154" s="3">
        <f t="shared" si="195"/>
        <v>0</v>
      </c>
      <c r="N154" s="3">
        <f t="shared" si="196"/>
        <v>7257853</v>
      </c>
      <c r="O154" s="3">
        <v>0</v>
      </c>
      <c r="P154" s="3">
        <f t="shared" si="197"/>
        <v>7257853</v>
      </c>
      <c r="Q154" s="3">
        <v>51846</v>
      </c>
      <c r="R154" s="3">
        <v>0</v>
      </c>
      <c r="S154" s="3">
        <f t="shared" si="198"/>
        <v>51846</v>
      </c>
      <c r="T154" s="3">
        <v>570253</v>
      </c>
      <c r="U154" s="3">
        <v>0</v>
      </c>
      <c r="V154" s="3">
        <f t="shared" si="227"/>
        <v>570253</v>
      </c>
      <c r="W154" s="3">
        <f t="shared" si="199"/>
        <v>18394539</v>
      </c>
      <c r="X154" s="3">
        <f t="shared" si="199"/>
        <v>2348368</v>
      </c>
      <c r="Y154" s="379">
        <f t="shared" si="228"/>
        <v>20742907</v>
      </c>
      <c r="Z154" s="3">
        <v>0</v>
      </c>
      <c r="AA154" s="3">
        <v>8137445</v>
      </c>
      <c r="AB154" s="380">
        <f t="shared" si="176"/>
        <v>8137445</v>
      </c>
      <c r="AC154" s="3">
        <v>164065</v>
      </c>
      <c r="AD154" s="3">
        <v>7093788</v>
      </c>
      <c r="AE154" s="380">
        <f t="shared" si="145"/>
        <v>7257853</v>
      </c>
      <c r="AF154" s="381">
        <f t="shared" si="217"/>
        <v>17255070</v>
      </c>
      <c r="AG154" s="177">
        <f t="shared" si="217"/>
        <v>23728448</v>
      </c>
      <c r="AH154" s="177">
        <f t="shared" si="229"/>
        <v>40983518</v>
      </c>
      <c r="AI154" s="177">
        <f t="shared" si="222"/>
        <v>62652132</v>
      </c>
      <c r="AJ154" s="177">
        <f t="shared" si="222"/>
        <v>0</v>
      </c>
      <c r="AK154" s="177">
        <f t="shared" si="230"/>
        <v>62652132</v>
      </c>
      <c r="AL154" s="177">
        <f t="shared" si="218"/>
        <v>1763224</v>
      </c>
      <c r="AM154" s="177">
        <f t="shared" si="218"/>
        <v>0</v>
      </c>
      <c r="AN154" s="177">
        <f t="shared" si="231"/>
        <v>1763224</v>
      </c>
      <c r="AO154" s="177">
        <f t="shared" si="219"/>
        <v>0</v>
      </c>
      <c r="AP154" s="177">
        <f t="shared" si="219"/>
        <v>0</v>
      </c>
      <c r="AQ154" s="177">
        <f t="shared" si="232"/>
        <v>0</v>
      </c>
      <c r="AR154" s="177">
        <f t="shared" si="220"/>
        <v>45467666</v>
      </c>
      <c r="AS154" s="177">
        <f t="shared" si="220"/>
        <v>0</v>
      </c>
      <c r="AT154" s="177">
        <f t="shared" si="233"/>
        <v>45467666</v>
      </c>
      <c r="AU154" s="177">
        <f t="shared" si="221"/>
        <v>653824</v>
      </c>
      <c r="AV154" s="177">
        <f t="shared" si="221"/>
        <v>0</v>
      </c>
      <c r="AW154" s="177">
        <f t="shared" si="234"/>
        <v>653824</v>
      </c>
      <c r="AX154" s="177">
        <f t="shared" si="223"/>
        <v>2514393</v>
      </c>
      <c r="AY154" s="177">
        <f t="shared" si="223"/>
        <v>0</v>
      </c>
      <c r="AZ154" s="177">
        <f t="shared" si="224"/>
        <v>2514393</v>
      </c>
      <c r="BA154" s="177">
        <f t="shared" si="201"/>
        <v>130306309</v>
      </c>
      <c r="BB154" s="177">
        <f t="shared" si="201"/>
        <v>23728448</v>
      </c>
      <c r="BC154" s="382">
        <f t="shared" si="202"/>
        <v>154034757</v>
      </c>
      <c r="BD154" s="83">
        <f t="shared" si="191"/>
        <v>0.38057984337342443</v>
      </c>
    </row>
    <row r="155" spans="1:56">
      <c r="A155" s="170">
        <v>44774</v>
      </c>
      <c r="B155" s="378">
        <v>2438601</v>
      </c>
      <c r="C155" s="3">
        <v>8397241</v>
      </c>
      <c r="D155" s="3">
        <f t="shared" si="225"/>
        <v>10835842</v>
      </c>
      <c r="E155" s="3">
        <f t="shared" si="226"/>
        <v>12327962</v>
      </c>
      <c r="F155" s="3">
        <v>0</v>
      </c>
      <c r="G155" s="3">
        <f t="shared" si="194"/>
        <v>12327962</v>
      </c>
      <c r="H155" s="3">
        <v>329330</v>
      </c>
      <c r="I155" s="3">
        <v>0</v>
      </c>
      <c r="J155" s="3">
        <f t="shared" si="174"/>
        <v>329330</v>
      </c>
      <c r="K155" s="3">
        <v>0</v>
      </c>
      <c r="L155" s="3">
        <v>0</v>
      </c>
      <c r="M155" s="3">
        <f t="shared" si="195"/>
        <v>0</v>
      </c>
      <c r="N155" s="3">
        <f t="shared" si="196"/>
        <v>11102300</v>
      </c>
      <c r="O155" s="3">
        <v>0</v>
      </c>
      <c r="P155" s="3">
        <f t="shared" si="197"/>
        <v>11102300</v>
      </c>
      <c r="Q155" s="3">
        <v>62165</v>
      </c>
      <c r="R155" s="3">
        <v>0</v>
      </c>
      <c r="S155" s="3">
        <f t="shared" si="198"/>
        <v>62165</v>
      </c>
      <c r="T155" s="3">
        <v>194479</v>
      </c>
      <c r="U155" s="3">
        <v>0</v>
      </c>
      <c r="V155" s="3">
        <f t="shared" si="227"/>
        <v>194479</v>
      </c>
      <c r="W155" s="3">
        <f t="shared" si="199"/>
        <v>26454837</v>
      </c>
      <c r="X155" s="3">
        <f t="shared" si="199"/>
        <v>8397241</v>
      </c>
      <c r="Y155" s="379">
        <f t="shared" si="228"/>
        <v>34852078</v>
      </c>
      <c r="Z155" s="3">
        <v>0</v>
      </c>
      <c r="AA155" s="3">
        <v>12327962</v>
      </c>
      <c r="AB155" s="380">
        <f t="shared" si="176"/>
        <v>12327962</v>
      </c>
      <c r="AC155" s="3">
        <v>0</v>
      </c>
      <c r="AD155" s="3">
        <v>11102300</v>
      </c>
      <c r="AE155" s="380">
        <f t="shared" si="145"/>
        <v>11102300</v>
      </c>
      <c r="AF155" s="381">
        <f t="shared" si="217"/>
        <v>19693671</v>
      </c>
      <c r="AG155" s="177">
        <f t="shared" si="217"/>
        <v>32125689</v>
      </c>
      <c r="AH155" s="177">
        <f t="shared" si="229"/>
        <v>51819360</v>
      </c>
      <c r="AI155" s="177">
        <f t="shared" si="222"/>
        <v>74980094</v>
      </c>
      <c r="AJ155" s="177">
        <f t="shared" si="222"/>
        <v>0</v>
      </c>
      <c r="AK155" s="177">
        <f t="shared" si="230"/>
        <v>74980094</v>
      </c>
      <c r="AL155" s="177">
        <f t="shared" si="218"/>
        <v>2092554</v>
      </c>
      <c r="AM155" s="177">
        <f t="shared" si="218"/>
        <v>0</v>
      </c>
      <c r="AN155" s="177">
        <f t="shared" si="231"/>
        <v>2092554</v>
      </c>
      <c r="AO155" s="177">
        <f t="shared" si="219"/>
        <v>0</v>
      </c>
      <c r="AP155" s="177">
        <f t="shared" si="219"/>
        <v>0</v>
      </c>
      <c r="AQ155" s="177">
        <f t="shared" si="232"/>
        <v>0</v>
      </c>
      <c r="AR155" s="177">
        <f t="shared" si="220"/>
        <v>56569966</v>
      </c>
      <c r="AS155" s="177">
        <f t="shared" si="220"/>
        <v>0</v>
      </c>
      <c r="AT155" s="177">
        <f t="shared" si="233"/>
        <v>56569966</v>
      </c>
      <c r="AU155" s="177">
        <f t="shared" si="221"/>
        <v>715989</v>
      </c>
      <c r="AV155" s="177">
        <f t="shared" si="221"/>
        <v>0</v>
      </c>
      <c r="AW155" s="177">
        <f t="shared" si="234"/>
        <v>715989</v>
      </c>
      <c r="AX155" s="177">
        <f t="shared" si="223"/>
        <v>2708872</v>
      </c>
      <c r="AY155" s="177">
        <f t="shared" si="223"/>
        <v>0</v>
      </c>
      <c r="AZ155" s="177">
        <f t="shared" si="224"/>
        <v>2708872</v>
      </c>
      <c r="BA155" s="177">
        <f t="shared" si="201"/>
        <v>156761146</v>
      </c>
      <c r="BB155" s="177">
        <f t="shared" si="201"/>
        <v>32125689</v>
      </c>
      <c r="BC155" s="382">
        <f t="shared" si="202"/>
        <v>188886835</v>
      </c>
      <c r="BD155" s="83">
        <f t="shared" si="191"/>
        <v>0.30564657470403245</v>
      </c>
    </row>
    <row r="156" spans="1:56">
      <c r="A156" s="170">
        <v>44805</v>
      </c>
      <c r="B156" s="378">
        <v>2332869</v>
      </c>
      <c r="C156" s="3">
        <v>9130925</v>
      </c>
      <c r="D156" s="3">
        <f t="shared" si="225"/>
        <v>11463794</v>
      </c>
      <c r="E156" s="3">
        <f t="shared" si="226"/>
        <v>15122570</v>
      </c>
      <c r="F156" s="3">
        <v>0</v>
      </c>
      <c r="G156" s="3">
        <f t="shared" si="194"/>
        <v>15122570</v>
      </c>
      <c r="H156" s="3">
        <v>172969</v>
      </c>
      <c r="I156" s="3">
        <v>0</v>
      </c>
      <c r="J156" s="3">
        <f t="shared" si="174"/>
        <v>172969</v>
      </c>
      <c r="K156" s="3">
        <v>0</v>
      </c>
      <c r="L156" s="3">
        <v>0</v>
      </c>
      <c r="M156" s="3">
        <f t="shared" si="195"/>
        <v>0</v>
      </c>
      <c r="N156" s="3">
        <f t="shared" si="196"/>
        <v>7670253</v>
      </c>
      <c r="O156" s="3">
        <v>0</v>
      </c>
      <c r="P156" s="3">
        <f t="shared" si="197"/>
        <v>7670253</v>
      </c>
      <c r="Q156" s="3">
        <v>71465</v>
      </c>
      <c r="R156" s="3">
        <v>0</v>
      </c>
      <c r="S156" s="3">
        <f t="shared" si="198"/>
        <v>71465</v>
      </c>
      <c r="T156" s="3">
        <v>708518</v>
      </c>
      <c r="U156" s="3">
        <v>0</v>
      </c>
      <c r="V156" s="3">
        <f t="shared" si="227"/>
        <v>708518</v>
      </c>
      <c r="W156" s="3">
        <f t="shared" si="199"/>
        <v>26078644</v>
      </c>
      <c r="X156" s="3">
        <f t="shared" si="199"/>
        <v>9130925</v>
      </c>
      <c r="Y156" s="379">
        <f t="shared" si="228"/>
        <v>35209569</v>
      </c>
      <c r="Z156" s="3">
        <v>0</v>
      </c>
      <c r="AA156" s="3">
        <v>15122570</v>
      </c>
      <c r="AB156" s="380">
        <f t="shared" si="176"/>
        <v>15122570</v>
      </c>
      <c r="AC156" s="3">
        <v>265441</v>
      </c>
      <c r="AD156" s="3">
        <v>7404812</v>
      </c>
      <c r="AE156" s="380">
        <f t="shared" si="145"/>
        <v>7670253</v>
      </c>
      <c r="AF156" s="381">
        <f t="shared" si="217"/>
        <v>22026540</v>
      </c>
      <c r="AG156" s="177">
        <f t="shared" si="217"/>
        <v>41256614</v>
      </c>
      <c r="AH156" s="177">
        <f t="shared" si="229"/>
        <v>63283154</v>
      </c>
      <c r="AI156" s="177">
        <f t="shared" si="222"/>
        <v>90102664</v>
      </c>
      <c r="AJ156" s="177">
        <f t="shared" si="222"/>
        <v>0</v>
      </c>
      <c r="AK156" s="177">
        <f t="shared" si="230"/>
        <v>90102664</v>
      </c>
      <c r="AL156" s="177">
        <f t="shared" si="218"/>
        <v>2265523</v>
      </c>
      <c r="AM156" s="177">
        <f t="shared" si="218"/>
        <v>0</v>
      </c>
      <c r="AN156" s="177">
        <f t="shared" si="231"/>
        <v>2265523</v>
      </c>
      <c r="AO156" s="177">
        <f t="shared" si="219"/>
        <v>0</v>
      </c>
      <c r="AP156" s="177">
        <f t="shared" si="219"/>
        <v>0</v>
      </c>
      <c r="AQ156" s="177">
        <f t="shared" si="232"/>
        <v>0</v>
      </c>
      <c r="AR156" s="177">
        <f t="shared" si="220"/>
        <v>64240219</v>
      </c>
      <c r="AS156" s="177">
        <f t="shared" si="220"/>
        <v>0</v>
      </c>
      <c r="AT156" s="177">
        <f t="shared" si="233"/>
        <v>64240219</v>
      </c>
      <c r="AU156" s="177">
        <f t="shared" si="221"/>
        <v>787454</v>
      </c>
      <c r="AV156" s="177">
        <f t="shared" si="221"/>
        <v>0</v>
      </c>
      <c r="AW156" s="177">
        <f t="shared" si="234"/>
        <v>787454</v>
      </c>
      <c r="AX156" s="177">
        <f t="shared" si="223"/>
        <v>3417390</v>
      </c>
      <c r="AY156" s="177">
        <f t="shared" si="223"/>
        <v>0</v>
      </c>
      <c r="AZ156" s="177">
        <f t="shared" si="224"/>
        <v>3417390</v>
      </c>
      <c r="BA156" s="177">
        <f t="shared" si="201"/>
        <v>182839790</v>
      </c>
      <c r="BB156" s="177">
        <f t="shared" si="201"/>
        <v>41256614</v>
      </c>
      <c r="BC156" s="382">
        <f t="shared" si="202"/>
        <v>224096404</v>
      </c>
      <c r="BD156" s="83">
        <f t="shared" si="191"/>
        <v>0.32253044489150873</v>
      </c>
    </row>
    <row r="157" spans="1:56">
      <c r="A157" s="170">
        <v>44835</v>
      </c>
      <c r="B157" s="378">
        <v>2374934</v>
      </c>
      <c r="C157" s="3">
        <v>17831309</v>
      </c>
      <c r="D157" s="3">
        <f t="shared" si="225"/>
        <v>20206243</v>
      </c>
      <c r="E157" s="3">
        <f t="shared" si="226"/>
        <v>9674462</v>
      </c>
      <c r="F157" s="3">
        <v>0</v>
      </c>
      <c r="G157" s="3">
        <f t="shared" si="194"/>
        <v>9674462</v>
      </c>
      <c r="H157" s="3">
        <v>239107</v>
      </c>
      <c r="I157" s="3">
        <v>0</v>
      </c>
      <c r="J157" s="3">
        <f t="shared" si="174"/>
        <v>239107</v>
      </c>
      <c r="K157" s="3">
        <v>0</v>
      </c>
      <c r="L157" s="3">
        <v>0</v>
      </c>
      <c r="M157" s="3">
        <f t="shared" si="195"/>
        <v>0</v>
      </c>
      <c r="N157" s="3">
        <f t="shared" si="196"/>
        <v>8958344</v>
      </c>
      <c r="O157" s="3">
        <v>0</v>
      </c>
      <c r="P157" s="3">
        <f t="shared" si="197"/>
        <v>8958344</v>
      </c>
      <c r="Q157" s="3">
        <v>70406</v>
      </c>
      <c r="R157" s="3">
        <v>0</v>
      </c>
      <c r="S157" s="3">
        <f t="shared" si="198"/>
        <v>70406</v>
      </c>
      <c r="T157" s="3">
        <v>302221</v>
      </c>
      <c r="U157" s="3">
        <v>0</v>
      </c>
      <c r="V157" s="3">
        <f t="shared" si="227"/>
        <v>302221</v>
      </c>
      <c r="W157" s="3">
        <f t="shared" si="199"/>
        <v>21619474</v>
      </c>
      <c r="X157" s="3">
        <f t="shared" si="199"/>
        <v>17831309</v>
      </c>
      <c r="Y157" s="379">
        <f t="shared" si="228"/>
        <v>39450783</v>
      </c>
      <c r="Z157" s="3">
        <v>0</v>
      </c>
      <c r="AA157" s="3">
        <v>9674462</v>
      </c>
      <c r="AB157" s="380">
        <f t="shared" si="176"/>
        <v>9674462</v>
      </c>
      <c r="AC157" s="3">
        <v>0</v>
      </c>
      <c r="AD157" s="3">
        <v>8958344</v>
      </c>
      <c r="AE157" s="380">
        <f t="shared" si="145"/>
        <v>8958344</v>
      </c>
      <c r="AF157" s="381">
        <f t="shared" si="217"/>
        <v>24401474</v>
      </c>
      <c r="AG157" s="177">
        <f t="shared" si="217"/>
        <v>59087923</v>
      </c>
      <c r="AH157" s="177">
        <f t="shared" si="229"/>
        <v>83489397</v>
      </c>
      <c r="AI157" s="177">
        <f t="shared" si="222"/>
        <v>99777126</v>
      </c>
      <c r="AJ157" s="177">
        <f t="shared" si="222"/>
        <v>0</v>
      </c>
      <c r="AK157" s="177">
        <f t="shared" si="230"/>
        <v>99777126</v>
      </c>
      <c r="AL157" s="177">
        <f t="shared" si="218"/>
        <v>2504630</v>
      </c>
      <c r="AM157" s="177">
        <f t="shared" si="218"/>
        <v>0</v>
      </c>
      <c r="AN157" s="177">
        <f t="shared" si="231"/>
        <v>2504630</v>
      </c>
      <c r="AO157" s="177">
        <f t="shared" si="219"/>
        <v>0</v>
      </c>
      <c r="AP157" s="177">
        <f t="shared" si="219"/>
        <v>0</v>
      </c>
      <c r="AQ157" s="177">
        <f t="shared" si="232"/>
        <v>0</v>
      </c>
      <c r="AR157" s="177">
        <f t="shared" si="220"/>
        <v>73198563</v>
      </c>
      <c r="AS157" s="177">
        <f t="shared" si="220"/>
        <v>0</v>
      </c>
      <c r="AT157" s="177">
        <f t="shared" si="233"/>
        <v>73198563</v>
      </c>
      <c r="AU157" s="177">
        <f t="shared" si="221"/>
        <v>857860</v>
      </c>
      <c r="AV157" s="177">
        <f t="shared" si="221"/>
        <v>0</v>
      </c>
      <c r="AW157" s="177">
        <f t="shared" si="234"/>
        <v>857860</v>
      </c>
      <c r="AX157" s="177">
        <f t="shared" si="223"/>
        <v>3719611</v>
      </c>
      <c r="AY157" s="177">
        <f t="shared" si="223"/>
        <v>0</v>
      </c>
      <c r="AZ157" s="177">
        <f t="shared" si="224"/>
        <v>3719611</v>
      </c>
      <c r="BA157" s="177">
        <f t="shared" si="201"/>
        <v>204459264</v>
      </c>
      <c r="BB157" s="177">
        <f t="shared" si="201"/>
        <v>59087923</v>
      </c>
      <c r="BC157" s="382">
        <f t="shared" si="202"/>
        <v>263547187</v>
      </c>
      <c r="BD157" s="83">
        <f t="shared" si="191"/>
        <v>0.35234547828136398</v>
      </c>
    </row>
    <row r="158" spans="1:56">
      <c r="A158" s="170">
        <v>44866</v>
      </c>
      <c r="B158" s="378">
        <v>2172050</v>
      </c>
      <c r="C158" s="3">
        <v>9712376</v>
      </c>
      <c r="D158" s="3">
        <f t="shared" si="225"/>
        <v>11884426</v>
      </c>
      <c r="E158" s="3">
        <f t="shared" si="226"/>
        <v>13773827</v>
      </c>
      <c r="F158" s="3">
        <v>0</v>
      </c>
      <c r="G158" s="3">
        <f t="shared" si="194"/>
        <v>13773827</v>
      </c>
      <c r="H158" s="3">
        <v>355058</v>
      </c>
      <c r="I158" s="3">
        <v>0</v>
      </c>
      <c r="J158" s="3">
        <f t="shared" si="174"/>
        <v>355058</v>
      </c>
      <c r="K158" s="3">
        <v>0</v>
      </c>
      <c r="L158" s="3">
        <v>0</v>
      </c>
      <c r="M158" s="3">
        <f t="shared" si="195"/>
        <v>0</v>
      </c>
      <c r="N158" s="3">
        <f t="shared" si="196"/>
        <v>10874219</v>
      </c>
      <c r="O158" s="3">
        <v>0</v>
      </c>
      <c r="P158" s="3">
        <f t="shared" si="197"/>
        <v>10874219</v>
      </c>
      <c r="Q158" s="3">
        <v>61227</v>
      </c>
      <c r="R158" s="3">
        <v>0</v>
      </c>
      <c r="S158" s="3">
        <f t="shared" si="198"/>
        <v>61227</v>
      </c>
      <c r="T158" s="3">
        <v>185067</v>
      </c>
      <c r="U158" s="3">
        <v>0</v>
      </c>
      <c r="V158" s="3">
        <f t="shared" si="227"/>
        <v>185067</v>
      </c>
      <c r="W158" s="3">
        <f t="shared" si="199"/>
        <v>27421448</v>
      </c>
      <c r="X158" s="3">
        <f t="shared" si="199"/>
        <v>9712376</v>
      </c>
      <c r="Y158" s="379">
        <f t="shared" si="228"/>
        <v>37133824</v>
      </c>
      <c r="Z158" s="3">
        <v>0</v>
      </c>
      <c r="AA158" s="3">
        <v>13773827</v>
      </c>
      <c r="AB158" s="380">
        <f t="shared" si="176"/>
        <v>13773827</v>
      </c>
      <c r="AC158" s="3">
        <v>35325</v>
      </c>
      <c r="AD158" s="3">
        <v>10838894</v>
      </c>
      <c r="AE158" s="380">
        <f t="shared" ref="AE158:AE161" si="235">SUM(AC158:AD158)</f>
        <v>10874219</v>
      </c>
      <c r="AF158" s="381">
        <f t="shared" si="217"/>
        <v>26573524</v>
      </c>
      <c r="AG158" s="177">
        <f t="shared" si="217"/>
        <v>68800299</v>
      </c>
      <c r="AH158" s="177">
        <f t="shared" si="229"/>
        <v>95373823</v>
      </c>
      <c r="AI158" s="177">
        <f t="shared" si="222"/>
        <v>113550953</v>
      </c>
      <c r="AJ158" s="177">
        <f t="shared" si="222"/>
        <v>0</v>
      </c>
      <c r="AK158" s="177">
        <f t="shared" si="230"/>
        <v>113550953</v>
      </c>
      <c r="AL158" s="177">
        <f t="shared" si="218"/>
        <v>2859688</v>
      </c>
      <c r="AM158" s="177">
        <f t="shared" si="218"/>
        <v>0</v>
      </c>
      <c r="AN158" s="177">
        <f t="shared" si="231"/>
        <v>2859688</v>
      </c>
      <c r="AO158" s="177">
        <f t="shared" si="219"/>
        <v>0</v>
      </c>
      <c r="AP158" s="177">
        <f t="shared" si="219"/>
        <v>0</v>
      </c>
      <c r="AQ158" s="177">
        <f t="shared" si="232"/>
        <v>0</v>
      </c>
      <c r="AR158" s="177">
        <f t="shared" si="220"/>
        <v>84072782</v>
      </c>
      <c r="AS158" s="177">
        <f t="shared" si="220"/>
        <v>0</v>
      </c>
      <c r="AT158" s="177">
        <f t="shared" si="233"/>
        <v>84072782</v>
      </c>
      <c r="AU158" s="177">
        <f t="shared" si="221"/>
        <v>919087</v>
      </c>
      <c r="AV158" s="177">
        <f t="shared" si="221"/>
        <v>0</v>
      </c>
      <c r="AW158" s="177">
        <f t="shared" si="234"/>
        <v>919087</v>
      </c>
      <c r="AX158" s="177">
        <f t="shared" si="223"/>
        <v>3904678</v>
      </c>
      <c r="AY158" s="177">
        <f t="shared" si="223"/>
        <v>0</v>
      </c>
      <c r="AZ158" s="177">
        <f t="shared" si="224"/>
        <v>3904678</v>
      </c>
      <c r="BA158" s="177">
        <f t="shared" si="201"/>
        <v>231880712</v>
      </c>
      <c r="BB158" s="177">
        <f t="shared" si="201"/>
        <v>68800299</v>
      </c>
      <c r="BC158" s="382">
        <f t="shared" si="202"/>
        <v>300681011</v>
      </c>
      <c r="BD158" s="83">
        <f t="shared" si="191"/>
        <v>0.47332986202670924</v>
      </c>
    </row>
    <row r="159" spans="1:56" ht="15.75" thickBot="1">
      <c r="A159" s="170">
        <v>44896</v>
      </c>
      <c r="B159" s="378">
        <v>2347973</v>
      </c>
      <c r="C159" s="3">
        <v>11746584</v>
      </c>
      <c r="D159" s="3">
        <f t="shared" si="225"/>
        <v>14094557</v>
      </c>
      <c r="E159" s="3">
        <f t="shared" si="226"/>
        <v>15593063</v>
      </c>
      <c r="F159" s="3">
        <v>0</v>
      </c>
      <c r="G159" s="3">
        <f t="shared" si="194"/>
        <v>15593063</v>
      </c>
      <c r="H159" s="3">
        <v>182886</v>
      </c>
      <c r="I159" s="3">
        <v>0</v>
      </c>
      <c r="J159" s="3">
        <f t="shared" si="174"/>
        <v>182886</v>
      </c>
      <c r="K159" s="3">
        <v>0</v>
      </c>
      <c r="L159" s="3">
        <v>0</v>
      </c>
      <c r="M159" s="3">
        <f t="shared" si="195"/>
        <v>0</v>
      </c>
      <c r="N159" s="3">
        <f t="shared" si="196"/>
        <v>11048399</v>
      </c>
      <c r="O159" s="3">
        <v>0</v>
      </c>
      <c r="P159" s="3">
        <f t="shared" si="197"/>
        <v>11048399</v>
      </c>
      <c r="Q159" s="3">
        <v>134652</v>
      </c>
      <c r="R159" s="3">
        <v>0</v>
      </c>
      <c r="S159" s="3">
        <f t="shared" si="198"/>
        <v>134652</v>
      </c>
      <c r="T159" s="3">
        <v>1029097</v>
      </c>
      <c r="U159" s="3">
        <v>0</v>
      </c>
      <c r="V159" s="3">
        <f t="shared" si="227"/>
        <v>1029097</v>
      </c>
      <c r="W159" s="3">
        <f t="shared" ref="W159:X177" si="236">B159+E159+H159+K159+N159+Q159+T159</f>
        <v>30336070</v>
      </c>
      <c r="X159" s="3">
        <f t="shared" si="236"/>
        <v>11746584</v>
      </c>
      <c r="Y159" s="379">
        <f t="shared" si="228"/>
        <v>42082654</v>
      </c>
      <c r="Z159" s="3">
        <v>0</v>
      </c>
      <c r="AA159" s="3">
        <v>15593063</v>
      </c>
      <c r="AB159" s="380">
        <f t="shared" si="176"/>
        <v>15593063</v>
      </c>
      <c r="AC159" s="3">
        <v>401168</v>
      </c>
      <c r="AD159" s="3">
        <v>10647231</v>
      </c>
      <c r="AE159" s="380">
        <f t="shared" si="235"/>
        <v>11048399</v>
      </c>
      <c r="AF159" s="381">
        <f>B159+AF158</f>
        <v>28921497</v>
      </c>
      <c r="AG159" s="177">
        <f>C159+AG158</f>
        <v>80546883</v>
      </c>
      <c r="AH159" s="177">
        <f t="shared" si="229"/>
        <v>109468380</v>
      </c>
      <c r="AI159" s="177">
        <f>AI158+E159</f>
        <v>129144016</v>
      </c>
      <c r="AJ159" s="177">
        <f>AJ158+F159</f>
        <v>0</v>
      </c>
      <c r="AK159" s="177">
        <f t="shared" si="230"/>
        <v>129144016</v>
      </c>
      <c r="AL159" s="177">
        <f>AL158+H159</f>
        <v>3042574</v>
      </c>
      <c r="AM159" s="177">
        <f>AM158+I159</f>
        <v>0</v>
      </c>
      <c r="AN159" s="177">
        <f t="shared" si="231"/>
        <v>3042574</v>
      </c>
      <c r="AO159" s="177">
        <f>AO158+K159</f>
        <v>0</v>
      </c>
      <c r="AP159" s="177">
        <f>AP158+L159</f>
        <v>0</v>
      </c>
      <c r="AQ159" s="177">
        <f t="shared" si="232"/>
        <v>0</v>
      </c>
      <c r="AR159" s="177">
        <f>AR158+N159</f>
        <v>95121181</v>
      </c>
      <c r="AS159" s="177">
        <f>AS158+O159</f>
        <v>0</v>
      </c>
      <c r="AT159" s="177">
        <f t="shared" si="233"/>
        <v>95121181</v>
      </c>
      <c r="AU159" s="177">
        <f>AU158+Q159</f>
        <v>1053739</v>
      </c>
      <c r="AV159" s="177">
        <f>AV158+R159</f>
        <v>0</v>
      </c>
      <c r="AW159" s="177">
        <f t="shared" si="234"/>
        <v>1053739</v>
      </c>
      <c r="AX159" s="177">
        <f>AX158+T159</f>
        <v>4933775</v>
      </c>
      <c r="AY159" s="177">
        <f>AY158+U159</f>
        <v>0</v>
      </c>
      <c r="AZ159" s="177">
        <f t="shared" si="224"/>
        <v>4933775</v>
      </c>
      <c r="BA159" s="177">
        <f t="shared" ref="BA159:BB174" si="237">AF159+AI159+AL159+AO159+AR159+AU159+AX159</f>
        <v>262216782</v>
      </c>
      <c r="BB159" s="177">
        <f t="shared" si="237"/>
        <v>80546883</v>
      </c>
      <c r="BC159" s="382">
        <f t="shared" si="202"/>
        <v>342763665</v>
      </c>
      <c r="BD159" s="83">
        <f t="shared" si="191"/>
        <v>0.4656030645194662</v>
      </c>
    </row>
    <row r="160" spans="1:56">
      <c r="A160" s="171">
        <v>44927</v>
      </c>
      <c r="B160" s="385">
        <v>2395622</v>
      </c>
      <c r="C160" s="104">
        <v>0</v>
      </c>
      <c r="D160" s="104">
        <f t="shared" si="225"/>
        <v>2395622</v>
      </c>
      <c r="E160" s="104">
        <f t="shared" si="226"/>
        <v>6219410</v>
      </c>
      <c r="F160" s="104">
        <v>0</v>
      </c>
      <c r="G160" s="104">
        <f t="shared" si="194"/>
        <v>6219410</v>
      </c>
      <c r="H160" s="104">
        <v>228976</v>
      </c>
      <c r="I160" s="104">
        <v>0</v>
      </c>
      <c r="J160" s="104">
        <f t="shared" si="174"/>
        <v>228976</v>
      </c>
      <c r="K160" s="104">
        <v>0</v>
      </c>
      <c r="L160" s="104">
        <v>0</v>
      </c>
      <c r="M160" s="104">
        <f t="shared" si="195"/>
        <v>0</v>
      </c>
      <c r="N160" s="104">
        <f t="shared" si="196"/>
        <v>7791870</v>
      </c>
      <c r="O160" s="104">
        <v>0</v>
      </c>
      <c r="P160" s="104">
        <f t="shared" si="197"/>
        <v>7791870</v>
      </c>
      <c r="Q160" s="104">
        <v>45290</v>
      </c>
      <c r="R160" s="104">
        <v>0</v>
      </c>
      <c r="S160" s="104">
        <f t="shared" si="198"/>
        <v>45290</v>
      </c>
      <c r="T160" s="104">
        <v>0</v>
      </c>
      <c r="U160" s="104">
        <v>0</v>
      </c>
      <c r="V160" s="104">
        <f t="shared" si="227"/>
        <v>0</v>
      </c>
      <c r="W160" s="104">
        <f t="shared" si="236"/>
        <v>16681168</v>
      </c>
      <c r="X160" s="104">
        <f t="shared" si="236"/>
        <v>0</v>
      </c>
      <c r="Y160" s="386">
        <f t="shared" si="228"/>
        <v>16681168</v>
      </c>
      <c r="Z160" s="104">
        <v>0</v>
      </c>
      <c r="AA160" s="104">
        <v>6219410</v>
      </c>
      <c r="AB160" s="387">
        <f t="shared" si="176"/>
        <v>6219410</v>
      </c>
      <c r="AC160" s="104">
        <v>0</v>
      </c>
      <c r="AD160" s="104">
        <v>7791870</v>
      </c>
      <c r="AE160" s="387">
        <f t="shared" si="235"/>
        <v>7791870</v>
      </c>
      <c r="AF160" s="388">
        <f>B160</f>
        <v>2395622</v>
      </c>
      <c r="AG160" s="389">
        <f>C160</f>
        <v>0</v>
      </c>
      <c r="AH160" s="389">
        <f t="shared" si="229"/>
        <v>2395622</v>
      </c>
      <c r="AI160" s="389">
        <f>E160</f>
        <v>6219410</v>
      </c>
      <c r="AJ160" s="389">
        <f>F160</f>
        <v>0</v>
      </c>
      <c r="AK160" s="389">
        <f t="shared" si="230"/>
        <v>6219410</v>
      </c>
      <c r="AL160" s="389">
        <f>H160</f>
        <v>228976</v>
      </c>
      <c r="AM160" s="389">
        <f>I160</f>
        <v>0</v>
      </c>
      <c r="AN160" s="389">
        <f t="shared" si="231"/>
        <v>228976</v>
      </c>
      <c r="AO160" s="389">
        <f>K160</f>
        <v>0</v>
      </c>
      <c r="AP160" s="389">
        <f>L160</f>
        <v>0</v>
      </c>
      <c r="AQ160" s="389">
        <f t="shared" si="232"/>
        <v>0</v>
      </c>
      <c r="AR160" s="389">
        <f>N160</f>
        <v>7791870</v>
      </c>
      <c r="AS160" s="389">
        <f>O160</f>
        <v>0</v>
      </c>
      <c r="AT160" s="389">
        <f t="shared" si="233"/>
        <v>7791870</v>
      </c>
      <c r="AU160" s="389">
        <f>Q160</f>
        <v>45290</v>
      </c>
      <c r="AV160" s="389">
        <f>R160</f>
        <v>0</v>
      </c>
      <c r="AW160" s="389">
        <f t="shared" si="234"/>
        <v>45290</v>
      </c>
      <c r="AX160" s="389">
        <f>T160</f>
        <v>0</v>
      </c>
      <c r="AY160" s="389">
        <f>U160</f>
        <v>0</v>
      </c>
      <c r="AZ160" s="389">
        <f t="shared" si="224"/>
        <v>0</v>
      </c>
      <c r="BA160" s="389">
        <f t="shared" si="237"/>
        <v>16681168</v>
      </c>
      <c r="BB160" s="389">
        <f t="shared" si="237"/>
        <v>0</v>
      </c>
      <c r="BC160" s="390">
        <f t="shared" si="202"/>
        <v>16681168</v>
      </c>
      <c r="BD160" s="83">
        <f t="shared" si="191"/>
        <v>2.6646567630930873E-2</v>
      </c>
    </row>
    <row r="161" spans="1:56">
      <c r="A161" s="170">
        <v>44958</v>
      </c>
      <c r="B161" s="378">
        <v>2258268</v>
      </c>
      <c r="C161" s="3">
        <v>0</v>
      </c>
      <c r="D161" s="3">
        <f t="shared" si="225"/>
        <v>2258268</v>
      </c>
      <c r="E161" s="3">
        <f t="shared" si="226"/>
        <v>3567587</v>
      </c>
      <c r="F161" s="3">
        <v>0</v>
      </c>
      <c r="G161" s="3">
        <f t="shared" si="194"/>
        <v>3567587</v>
      </c>
      <c r="H161" s="3">
        <v>360302</v>
      </c>
      <c r="I161" s="3">
        <v>0</v>
      </c>
      <c r="J161" s="3">
        <f t="shared" si="174"/>
        <v>360302</v>
      </c>
      <c r="K161" s="3">
        <v>0</v>
      </c>
      <c r="L161" s="3">
        <v>0</v>
      </c>
      <c r="M161" s="3">
        <f t="shared" si="195"/>
        <v>0</v>
      </c>
      <c r="N161" s="3">
        <f t="shared" si="196"/>
        <v>7848707</v>
      </c>
      <c r="O161" s="3">
        <v>0</v>
      </c>
      <c r="P161" s="3">
        <f t="shared" si="197"/>
        <v>7848707</v>
      </c>
      <c r="Q161" s="3">
        <v>81116</v>
      </c>
      <c r="R161" s="3">
        <v>0</v>
      </c>
      <c r="S161" s="3">
        <f t="shared" si="198"/>
        <v>81116</v>
      </c>
      <c r="T161" s="3">
        <v>485061</v>
      </c>
      <c r="U161" s="3">
        <v>0</v>
      </c>
      <c r="V161" s="3">
        <f t="shared" si="227"/>
        <v>485061</v>
      </c>
      <c r="W161" s="3">
        <f t="shared" si="236"/>
        <v>14601041</v>
      </c>
      <c r="X161" s="3">
        <f t="shared" si="236"/>
        <v>0</v>
      </c>
      <c r="Y161" s="379">
        <f t="shared" si="228"/>
        <v>14601041</v>
      </c>
      <c r="Z161" s="3">
        <v>0</v>
      </c>
      <c r="AA161" s="3">
        <v>3567587</v>
      </c>
      <c r="AB161" s="380">
        <f t="shared" si="176"/>
        <v>3567587</v>
      </c>
      <c r="AC161" s="3">
        <v>0</v>
      </c>
      <c r="AD161" s="3">
        <v>7848707</v>
      </c>
      <c r="AE161" s="380">
        <f t="shared" si="235"/>
        <v>7848707</v>
      </c>
      <c r="AF161" s="381">
        <f t="shared" ref="AF161:AG171" si="238">B161+AF160</f>
        <v>4653890</v>
      </c>
      <c r="AG161" s="177">
        <f t="shared" si="238"/>
        <v>0</v>
      </c>
      <c r="AH161" s="177">
        <f t="shared" si="229"/>
        <v>4653890</v>
      </c>
      <c r="AI161" s="177">
        <f t="shared" ref="AI161:AJ171" si="239">AI160+E161</f>
        <v>9786997</v>
      </c>
      <c r="AJ161" s="177">
        <f t="shared" si="239"/>
        <v>0</v>
      </c>
      <c r="AK161" s="177">
        <f t="shared" si="230"/>
        <v>9786997</v>
      </c>
      <c r="AL161" s="177">
        <f t="shared" ref="AL161:AM171" si="240">AL160+H161</f>
        <v>589278</v>
      </c>
      <c r="AM161" s="177">
        <f t="shared" si="240"/>
        <v>0</v>
      </c>
      <c r="AN161" s="177">
        <f t="shared" si="231"/>
        <v>589278</v>
      </c>
      <c r="AO161" s="177">
        <f t="shared" ref="AO161:AP171" si="241">AO160+K161</f>
        <v>0</v>
      </c>
      <c r="AP161" s="177">
        <f t="shared" si="241"/>
        <v>0</v>
      </c>
      <c r="AQ161" s="177">
        <f t="shared" si="232"/>
        <v>0</v>
      </c>
      <c r="AR161" s="177">
        <f t="shared" ref="AR161:AS171" si="242">AR160+N161</f>
        <v>15640577</v>
      </c>
      <c r="AS161" s="177">
        <f t="shared" si="242"/>
        <v>0</v>
      </c>
      <c r="AT161" s="177">
        <f t="shared" si="233"/>
        <v>15640577</v>
      </c>
      <c r="AU161" s="177">
        <f t="shared" ref="AU161:AV171" si="243">AU160+Q161</f>
        <v>126406</v>
      </c>
      <c r="AV161" s="177">
        <f t="shared" si="243"/>
        <v>0</v>
      </c>
      <c r="AW161" s="177">
        <f t="shared" si="234"/>
        <v>126406</v>
      </c>
      <c r="AX161" s="177">
        <f t="shared" ref="AX161:AY171" si="244">AX160+T161</f>
        <v>485061</v>
      </c>
      <c r="AY161" s="177">
        <f t="shared" si="244"/>
        <v>0</v>
      </c>
      <c r="AZ161" s="177">
        <f t="shared" si="224"/>
        <v>485061</v>
      </c>
      <c r="BA161" s="177">
        <f t="shared" si="237"/>
        <v>31282209</v>
      </c>
      <c r="BB161" s="177">
        <f t="shared" si="237"/>
        <v>0</v>
      </c>
      <c r="BC161" s="382">
        <f t="shared" si="202"/>
        <v>31282209</v>
      </c>
      <c r="BD161" s="83">
        <f t="shared" si="191"/>
        <v>-0.28890664728725568</v>
      </c>
    </row>
    <row r="162" spans="1:56">
      <c r="A162" s="170">
        <v>44986</v>
      </c>
      <c r="B162" s="378">
        <v>3125864</v>
      </c>
      <c r="C162" s="3">
        <v>0</v>
      </c>
      <c r="D162" s="3">
        <f t="shared" si="225"/>
        <v>3125864</v>
      </c>
      <c r="E162" s="3">
        <f t="shared" si="226"/>
        <v>16637473</v>
      </c>
      <c r="F162" s="3">
        <v>0</v>
      </c>
      <c r="G162" s="3">
        <f t="shared" si="194"/>
        <v>16637473</v>
      </c>
      <c r="H162" s="3">
        <v>497287</v>
      </c>
      <c r="I162" s="3">
        <v>0</v>
      </c>
      <c r="J162" s="3">
        <f t="shared" si="174"/>
        <v>497287</v>
      </c>
      <c r="K162" s="3">
        <v>0</v>
      </c>
      <c r="L162" s="3">
        <v>0</v>
      </c>
      <c r="M162" s="3">
        <f t="shared" si="195"/>
        <v>0</v>
      </c>
      <c r="N162" s="3">
        <f t="shared" si="196"/>
        <v>6580452</v>
      </c>
      <c r="O162" s="3">
        <v>0</v>
      </c>
      <c r="P162" s="3">
        <f t="shared" si="197"/>
        <v>6580452</v>
      </c>
      <c r="Q162" s="3">
        <v>20698</v>
      </c>
      <c r="R162" s="3">
        <v>0</v>
      </c>
      <c r="S162" s="3">
        <f t="shared" si="198"/>
        <v>20698</v>
      </c>
      <c r="T162" s="3">
        <v>595803</v>
      </c>
      <c r="U162" s="3">
        <v>0</v>
      </c>
      <c r="V162" s="3">
        <f t="shared" si="227"/>
        <v>595803</v>
      </c>
      <c r="W162" s="3">
        <f t="shared" si="236"/>
        <v>27457577</v>
      </c>
      <c r="X162" s="3">
        <f t="shared" si="236"/>
        <v>0</v>
      </c>
      <c r="Y162" s="379">
        <f t="shared" si="228"/>
        <v>27457577</v>
      </c>
      <c r="Z162" s="3">
        <v>0</v>
      </c>
      <c r="AA162" s="3">
        <v>16637473</v>
      </c>
      <c r="AB162" s="380">
        <f t="shared" si="176"/>
        <v>16637473</v>
      </c>
      <c r="AC162" s="3">
        <v>121745</v>
      </c>
      <c r="AD162" s="3">
        <v>6458707</v>
      </c>
      <c r="AE162" s="380">
        <f>SUM(AC162:AD162)</f>
        <v>6580452</v>
      </c>
      <c r="AF162" s="381">
        <f t="shared" si="238"/>
        <v>7779754</v>
      </c>
      <c r="AG162" s="177">
        <f t="shared" si="238"/>
        <v>0</v>
      </c>
      <c r="AH162" s="177">
        <f t="shared" si="229"/>
        <v>7779754</v>
      </c>
      <c r="AI162" s="177">
        <f t="shared" si="239"/>
        <v>26424470</v>
      </c>
      <c r="AJ162" s="177">
        <f t="shared" si="239"/>
        <v>0</v>
      </c>
      <c r="AK162" s="177">
        <f t="shared" si="230"/>
        <v>26424470</v>
      </c>
      <c r="AL162" s="177">
        <f t="shared" si="240"/>
        <v>1086565</v>
      </c>
      <c r="AM162" s="177">
        <f t="shared" si="240"/>
        <v>0</v>
      </c>
      <c r="AN162" s="177">
        <f t="shared" si="231"/>
        <v>1086565</v>
      </c>
      <c r="AO162" s="177">
        <f t="shared" si="241"/>
        <v>0</v>
      </c>
      <c r="AP162" s="177">
        <f t="shared" si="241"/>
        <v>0</v>
      </c>
      <c r="AQ162" s="177">
        <f t="shared" si="232"/>
        <v>0</v>
      </c>
      <c r="AR162" s="177">
        <f t="shared" si="242"/>
        <v>22221029</v>
      </c>
      <c r="AS162" s="177">
        <f t="shared" si="242"/>
        <v>0</v>
      </c>
      <c r="AT162" s="177">
        <f t="shared" si="233"/>
        <v>22221029</v>
      </c>
      <c r="AU162" s="177">
        <f t="shared" si="243"/>
        <v>147104</v>
      </c>
      <c r="AV162" s="177">
        <f t="shared" si="243"/>
        <v>0</v>
      </c>
      <c r="AW162" s="177">
        <f t="shared" si="234"/>
        <v>147104</v>
      </c>
      <c r="AX162" s="177">
        <f t="shared" si="244"/>
        <v>1080864</v>
      </c>
      <c r="AY162" s="177">
        <f t="shared" si="244"/>
        <v>0</v>
      </c>
      <c r="AZ162" s="177">
        <f t="shared" si="224"/>
        <v>1080864</v>
      </c>
      <c r="BA162" s="177">
        <f t="shared" si="237"/>
        <v>58739786</v>
      </c>
      <c r="BB162" s="177">
        <f t="shared" si="237"/>
        <v>0</v>
      </c>
      <c r="BC162" s="382">
        <f t="shared" si="202"/>
        <v>58739786</v>
      </c>
      <c r="BD162" s="83">
        <f t="shared" si="191"/>
        <v>-6.0493814503216559E-2</v>
      </c>
    </row>
    <row r="163" spans="1:56">
      <c r="A163" s="170">
        <v>45017</v>
      </c>
      <c r="B163" s="378">
        <v>2058614</v>
      </c>
      <c r="C163" s="3">
        <v>0</v>
      </c>
      <c r="D163" s="3">
        <f t="shared" si="225"/>
        <v>2058614</v>
      </c>
      <c r="E163" s="3">
        <f t="shared" si="226"/>
        <v>8307574</v>
      </c>
      <c r="F163" s="3">
        <v>0</v>
      </c>
      <c r="G163" s="3">
        <f t="shared" si="194"/>
        <v>8307574</v>
      </c>
      <c r="H163" s="3">
        <v>521201</v>
      </c>
      <c r="I163" s="3">
        <v>0</v>
      </c>
      <c r="J163" s="3">
        <f t="shared" si="174"/>
        <v>521201</v>
      </c>
      <c r="K163" s="3">
        <v>0</v>
      </c>
      <c r="L163" s="3">
        <v>0</v>
      </c>
      <c r="M163" s="3">
        <f t="shared" si="195"/>
        <v>0</v>
      </c>
      <c r="N163" s="3">
        <f t="shared" si="196"/>
        <v>6209306</v>
      </c>
      <c r="O163" s="3">
        <v>0</v>
      </c>
      <c r="P163" s="3">
        <f t="shared" si="197"/>
        <v>6209306</v>
      </c>
      <c r="Q163" s="3">
        <v>586374</v>
      </c>
      <c r="R163" s="3">
        <v>0</v>
      </c>
      <c r="S163" s="3">
        <f t="shared" si="198"/>
        <v>586374</v>
      </c>
      <c r="T163" s="3">
        <v>346474</v>
      </c>
      <c r="U163" s="3">
        <v>0</v>
      </c>
      <c r="V163" s="3">
        <f t="shared" si="227"/>
        <v>346474</v>
      </c>
      <c r="W163" s="3">
        <f t="shared" si="236"/>
        <v>18029543</v>
      </c>
      <c r="X163" s="3">
        <f t="shared" si="236"/>
        <v>0</v>
      </c>
      <c r="Y163" s="379">
        <f t="shared" si="228"/>
        <v>18029543</v>
      </c>
      <c r="Z163" s="3">
        <v>0</v>
      </c>
      <c r="AA163" s="3">
        <v>8307574</v>
      </c>
      <c r="AB163" s="380">
        <f t="shared" si="176"/>
        <v>8307574</v>
      </c>
      <c r="AC163" s="3">
        <v>211791</v>
      </c>
      <c r="AD163" s="3">
        <v>5997515</v>
      </c>
      <c r="AE163" s="380">
        <f>SUM(AC163:AD163)</f>
        <v>6209306</v>
      </c>
      <c r="AF163" s="381">
        <f t="shared" si="238"/>
        <v>9838368</v>
      </c>
      <c r="AG163" s="177">
        <f t="shared" si="238"/>
        <v>0</v>
      </c>
      <c r="AH163" s="177">
        <f t="shared" si="229"/>
        <v>9838368</v>
      </c>
      <c r="AI163" s="177">
        <f t="shared" si="239"/>
        <v>34732044</v>
      </c>
      <c r="AJ163" s="177">
        <f t="shared" si="239"/>
        <v>0</v>
      </c>
      <c r="AK163" s="177">
        <f t="shared" si="230"/>
        <v>34732044</v>
      </c>
      <c r="AL163" s="177">
        <f t="shared" si="240"/>
        <v>1607766</v>
      </c>
      <c r="AM163" s="177">
        <f t="shared" si="240"/>
        <v>0</v>
      </c>
      <c r="AN163" s="177">
        <f t="shared" si="231"/>
        <v>1607766</v>
      </c>
      <c r="AO163" s="177">
        <f t="shared" si="241"/>
        <v>0</v>
      </c>
      <c r="AP163" s="177">
        <f t="shared" si="241"/>
        <v>0</v>
      </c>
      <c r="AQ163" s="177">
        <f t="shared" si="232"/>
        <v>0</v>
      </c>
      <c r="AR163" s="177">
        <f t="shared" si="242"/>
        <v>28430335</v>
      </c>
      <c r="AS163" s="177">
        <f t="shared" si="242"/>
        <v>0</v>
      </c>
      <c r="AT163" s="177">
        <f t="shared" si="233"/>
        <v>28430335</v>
      </c>
      <c r="AU163" s="177">
        <f t="shared" si="243"/>
        <v>733478</v>
      </c>
      <c r="AV163" s="177">
        <f t="shared" si="243"/>
        <v>0</v>
      </c>
      <c r="AW163" s="177">
        <f t="shared" si="234"/>
        <v>733478</v>
      </c>
      <c r="AX163" s="177">
        <f t="shared" si="244"/>
        <v>1427338</v>
      </c>
      <c r="AY163" s="177">
        <f t="shared" si="244"/>
        <v>0</v>
      </c>
      <c r="AZ163" s="177">
        <f t="shared" si="224"/>
        <v>1427338</v>
      </c>
      <c r="BA163" s="177">
        <f t="shared" si="237"/>
        <v>76769329</v>
      </c>
      <c r="BB163" s="177">
        <f t="shared" si="237"/>
        <v>0</v>
      </c>
      <c r="BC163" s="382">
        <f t="shared" si="202"/>
        <v>76769329</v>
      </c>
      <c r="BD163" s="83">
        <f t="shared" si="191"/>
        <v>-5.7654333712766737E-2</v>
      </c>
    </row>
    <row r="164" spans="1:56">
      <c r="A164" s="170">
        <v>45047</v>
      </c>
      <c r="B164" s="378">
        <v>2737856</v>
      </c>
      <c r="C164" s="3">
        <v>0</v>
      </c>
      <c r="D164" s="3">
        <f t="shared" si="225"/>
        <v>2737856</v>
      </c>
      <c r="E164" s="3">
        <f t="shared" si="226"/>
        <v>12139595</v>
      </c>
      <c r="F164" s="3">
        <v>0</v>
      </c>
      <c r="G164" s="3">
        <f t="shared" si="194"/>
        <v>12139595</v>
      </c>
      <c r="H164" s="3">
        <v>342109</v>
      </c>
      <c r="I164" s="3">
        <v>0</v>
      </c>
      <c r="J164" s="3">
        <f t="shared" si="174"/>
        <v>342109</v>
      </c>
      <c r="K164" s="3">
        <v>0</v>
      </c>
      <c r="L164" s="3">
        <v>0</v>
      </c>
      <c r="M164" s="3">
        <f t="shared" si="195"/>
        <v>0</v>
      </c>
      <c r="N164" s="3">
        <f t="shared" si="196"/>
        <v>7680222</v>
      </c>
      <c r="O164" s="3">
        <v>0</v>
      </c>
      <c r="P164" s="3">
        <f t="shared" si="197"/>
        <v>7680222</v>
      </c>
      <c r="Q164" s="3">
        <v>84107</v>
      </c>
      <c r="R164" s="3">
        <v>0</v>
      </c>
      <c r="S164" s="3">
        <f t="shared" si="198"/>
        <v>84107</v>
      </c>
      <c r="T164" s="3">
        <v>724477</v>
      </c>
      <c r="U164" s="3">
        <v>0</v>
      </c>
      <c r="V164" s="3">
        <f t="shared" si="227"/>
        <v>724477</v>
      </c>
      <c r="W164" s="3">
        <f t="shared" si="236"/>
        <v>23708366</v>
      </c>
      <c r="X164" s="3">
        <f t="shared" si="236"/>
        <v>0</v>
      </c>
      <c r="Y164" s="379">
        <f t="shared" si="228"/>
        <v>23708366</v>
      </c>
      <c r="Z164" s="3">
        <v>0</v>
      </c>
      <c r="AA164" s="3">
        <v>12139595</v>
      </c>
      <c r="AB164" s="380">
        <f t="shared" si="176"/>
        <v>12139595</v>
      </c>
      <c r="AC164" s="3">
        <v>116886</v>
      </c>
      <c r="AD164" s="3">
        <v>7563336</v>
      </c>
      <c r="AE164" s="380">
        <f>SUM(AC164:AD164)</f>
        <v>7680222</v>
      </c>
      <c r="AF164" s="381">
        <f t="shared" si="238"/>
        <v>12576224</v>
      </c>
      <c r="AG164" s="177">
        <f t="shared" si="238"/>
        <v>0</v>
      </c>
      <c r="AH164" s="177">
        <f t="shared" si="229"/>
        <v>12576224</v>
      </c>
      <c r="AI164" s="177">
        <f t="shared" si="239"/>
        <v>46871639</v>
      </c>
      <c r="AJ164" s="177">
        <f t="shared" si="239"/>
        <v>0</v>
      </c>
      <c r="AK164" s="177">
        <f t="shared" si="230"/>
        <v>46871639</v>
      </c>
      <c r="AL164" s="177">
        <f t="shared" si="240"/>
        <v>1949875</v>
      </c>
      <c r="AM164" s="177">
        <f t="shared" si="240"/>
        <v>0</v>
      </c>
      <c r="AN164" s="177">
        <f t="shared" si="231"/>
        <v>1949875</v>
      </c>
      <c r="AO164" s="177">
        <f t="shared" si="241"/>
        <v>0</v>
      </c>
      <c r="AP164" s="177">
        <f t="shared" si="241"/>
        <v>0</v>
      </c>
      <c r="AQ164" s="177">
        <f t="shared" si="232"/>
        <v>0</v>
      </c>
      <c r="AR164" s="177">
        <f t="shared" si="242"/>
        <v>36110557</v>
      </c>
      <c r="AS164" s="177">
        <f t="shared" si="242"/>
        <v>0</v>
      </c>
      <c r="AT164" s="177">
        <f t="shared" si="233"/>
        <v>36110557</v>
      </c>
      <c r="AU164" s="177">
        <f t="shared" si="243"/>
        <v>817585</v>
      </c>
      <c r="AV164" s="177">
        <f t="shared" si="243"/>
        <v>0</v>
      </c>
      <c r="AW164" s="177">
        <f t="shared" si="234"/>
        <v>817585</v>
      </c>
      <c r="AX164" s="177">
        <f t="shared" si="244"/>
        <v>2151815</v>
      </c>
      <c r="AY164" s="177">
        <f t="shared" si="244"/>
        <v>0</v>
      </c>
      <c r="AZ164" s="177">
        <f t="shared" si="224"/>
        <v>2151815</v>
      </c>
      <c r="BA164" s="177">
        <f t="shared" si="237"/>
        <v>100477695</v>
      </c>
      <c r="BB164" s="177">
        <f t="shared" si="237"/>
        <v>0</v>
      </c>
      <c r="BC164" s="382">
        <f t="shared" si="202"/>
        <v>100477695</v>
      </c>
      <c r="BD164" s="83">
        <f t="shared" si="191"/>
        <v>-0.131445406629497</v>
      </c>
    </row>
    <row r="165" spans="1:56">
      <c r="A165" s="170">
        <v>45078</v>
      </c>
      <c r="B165" s="378">
        <v>2590243</v>
      </c>
      <c r="C165" s="3">
        <v>0</v>
      </c>
      <c r="D165" s="3">
        <f t="shared" si="225"/>
        <v>2590243</v>
      </c>
      <c r="E165" s="3">
        <f t="shared" si="226"/>
        <v>16652119</v>
      </c>
      <c r="F165" s="3">
        <v>0</v>
      </c>
      <c r="G165" s="3">
        <f t="shared" si="194"/>
        <v>16652119</v>
      </c>
      <c r="H165" s="3">
        <v>366134</v>
      </c>
      <c r="I165" s="3">
        <v>0</v>
      </c>
      <c r="J165" s="3">
        <f t="shared" si="174"/>
        <v>366134</v>
      </c>
      <c r="K165" s="3">
        <v>0</v>
      </c>
      <c r="L165" s="3">
        <v>0</v>
      </c>
      <c r="M165" s="3">
        <f t="shared" si="195"/>
        <v>0</v>
      </c>
      <c r="N165" s="3">
        <f t="shared" si="196"/>
        <v>5774163</v>
      </c>
      <c r="O165" s="3">
        <v>0</v>
      </c>
      <c r="P165" s="3">
        <f t="shared" si="197"/>
        <v>5774163</v>
      </c>
      <c r="Q165" s="3">
        <v>122158</v>
      </c>
      <c r="R165" s="3">
        <v>0</v>
      </c>
      <c r="S165" s="3">
        <f t="shared" si="198"/>
        <v>122158</v>
      </c>
      <c r="T165" s="3">
        <v>344651</v>
      </c>
      <c r="U165" s="3">
        <v>0</v>
      </c>
      <c r="V165" s="3">
        <f t="shared" si="227"/>
        <v>344651</v>
      </c>
      <c r="W165" s="3">
        <f t="shared" si="236"/>
        <v>25849468</v>
      </c>
      <c r="X165" s="3">
        <f t="shared" si="236"/>
        <v>0</v>
      </c>
      <c r="Y165" s="379">
        <f t="shared" si="228"/>
        <v>25849468</v>
      </c>
      <c r="Z165" s="3">
        <v>0</v>
      </c>
      <c r="AA165" s="3">
        <v>16652119</v>
      </c>
      <c r="AB165" s="380">
        <f t="shared" si="176"/>
        <v>16652119</v>
      </c>
      <c r="AC165" s="3">
        <v>0</v>
      </c>
      <c r="AD165" s="3">
        <v>5774163</v>
      </c>
      <c r="AE165" s="380">
        <f t="shared" ref="AE165:AE175" si="245">SUM(AC165:AD165)</f>
        <v>5774163</v>
      </c>
      <c r="AF165" s="381">
        <f t="shared" si="238"/>
        <v>15166467</v>
      </c>
      <c r="AG165" s="177">
        <f t="shared" si="238"/>
        <v>0</v>
      </c>
      <c r="AH165" s="177">
        <f t="shared" si="229"/>
        <v>15166467</v>
      </c>
      <c r="AI165" s="177">
        <f t="shared" si="239"/>
        <v>63523758</v>
      </c>
      <c r="AJ165" s="177">
        <f t="shared" si="239"/>
        <v>0</v>
      </c>
      <c r="AK165" s="177">
        <f t="shared" si="230"/>
        <v>63523758</v>
      </c>
      <c r="AL165" s="177">
        <f t="shared" si="240"/>
        <v>2316009</v>
      </c>
      <c r="AM165" s="177">
        <f t="shared" si="240"/>
        <v>0</v>
      </c>
      <c r="AN165" s="177">
        <f t="shared" si="231"/>
        <v>2316009</v>
      </c>
      <c r="AO165" s="177">
        <f t="shared" si="241"/>
        <v>0</v>
      </c>
      <c r="AP165" s="177">
        <f t="shared" si="241"/>
        <v>0</v>
      </c>
      <c r="AQ165" s="177">
        <f t="shared" si="232"/>
        <v>0</v>
      </c>
      <c r="AR165" s="177">
        <f t="shared" si="242"/>
        <v>41884720</v>
      </c>
      <c r="AS165" s="177">
        <f t="shared" si="242"/>
        <v>0</v>
      </c>
      <c r="AT165" s="177">
        <f t="shared" si="233"/>
        <v>41884720</v>
      </c>
      <c r="AU165" s="177">
        <f t="shared" si="243"/>
        <v>939743</v>
      </c>
      <c r="AV165" s="177">
        <f t="shared" si="243"/>
        <v>0</v>
      </c>
      <c r="AW165" s="177">
        <f t="shared" si="234"/>
        <v>939743</v>
      </c>
      <c r="AX165" s="177">
        <f t="shared" si="244"/>
        <v>2496466</v>
      </c>
      <c r="AY165" s="177">
        <f t="shared" si="244"/>
        <v>0</v>
      </c>
      <c r="AZ165" s="177">
        <f t="shared" si="224"/>
        <v>2496466</v>
      </c>
      <c r="BA165" s="177">
        <f t="shared" si="237"/>
        <v>126327163</v>
      </c>
      <c r="BB165" s="177">
        <f t="shared" si="237"/>
        <v>0</v>
      </c>
      <c r="BC165" s="382">
        <f t="shared" si="202"/>
        <v>126327163</v>
      </c>
      <c r="BD165" s="83">
        <f t="shared" si="191"/>
        <v>-5.2251409219693512E-2</v>
      </c>
    </row>
    <row r="166" spans="1:56">
      <c r="A166" s="170">
        <v>45108</v>
      </c>
      <c r="B166" s="378">
        <v>2084196</v>
      </c>
      <c r="C166" s="3">
        <v>0</v>
      </c>
      <c r="D166" s="3">
        <f t="shared" si="225"/>
        <v>2084196</v>
      </c>
      <c r="E166" s="3">
        <f t="shared" si="226"/>
        <v>7542907</v>
      </c>
      <c r="F166" s="3">
        <v>0</v>
      </c>
      <c r="G166" s="3">
        <f t="shared" si="194"/>
        <v>7542907</v>
      </c>
      <c r="H166" s="3">
        <v>395406</v>
      </c>
      <c r="I166" s="3">
        <v>0</v>
      </c>
      <c r="J166" s="3">
        <f t="shared" si="174"/>
        <v>395406</v>
      </c>
      <c r="K166" s="3">
        <v>0</v>
      </c>
      <c r="L166" s="3">
        <v>0</v>
      </c>
      <c r="M166" s="3">
        <f t="shared" si="195"/>
        <v>0</v>
      </c>
      <c r="N166" s="3">
        <f t="shared" si="196"/>
        <v>3532332</v>
      </c>
      <c r="O166" s="3">
        <v>0</v>
      </c>
      <c r="P166" s="3">
        <f t="shared" si="197"/>
        <v>3532332</v>
      </c>
      <c r="Q166" s="3">
        <v>118176</v>
      </c>
      <c r="R166" s="3">
        <v>0</v>
      </c>
      <c r="S166" s="3">
        <f t="shared" si="198"/>
        <v>118176</v>
      </c>
      <c r="T166" s="3">
        <v>149459</v>
      </c>
      <c r="U166" s="3">
        <v>0</v>
      </c>
      <c r="V166" s="3">
        <f t="shared" si="227"/>
        <v>149459</v>
      </c>
      <c r="W166" s="3">
        <f t="shared" si="236"/>
        <v>13822476</v>
      </c>
      <c r="X166" s="3">
        <f t="shared" si="236"/>
        <v>0</v>
      </c>
      <c r="Y166" s="379">
        <f t="shared" si="228"/>
        <v>13822476</v>
      </c>
      <c r="Z166" s="3">
        <v>0</v>
      </c>
      <c r="AA166" s="3">
        <v>7542907</v>
      </c>
      <c r="AB166" s="380">
        <f t="shared" si="176"/>
        <v>7542907</v>
      </c>
      <c r="AC166" s="3">
        <v>226731</v>
      </c>
      <c r="AD166" s="3">
        <v>3305601</v>
      </c>
      <c r="AE166" s="380">
        <f t="shared" si="245"/>
        <v>3532332</v>
      </c>
      <c r="AF166" s="381">
        <f t="shared" si="238"/>
        <v>17250663</v>
      </c>
      <c r="AG166" s="177">
        <f t="shared" si="238"/>
        <v>0</v>
      </c>
      <c r="AH166" s="177">
        <f t="shared" si="229"/>
        <v>17250663</v>
      </c>
      <c r="AI166" s="177">
        <f t="shared" si="239"/>
        <v>71066665</v>
      </c>
      <c r="AJ166" s="177">
        <f t="shared" si="239"/>
        <v>0</v>
      </c>
      <c r="AK166" s="177">
        <f t="shared" si="230"/>
        <v>71066665</v>
      </c>
      <c r="AL166" s="177">
        <f t="shared" si="240"/>
        <v>2711415</v>
      </c>
      <c r="AM166" s="177">
        <f t="shared" si="240"/>
        <v>0</v>
      </c>
      <c r="AN166" s="177">
        <f t="shared" si="231"/>
        <v>2711415</v>
      </c>
      <c r="AO166" s="177">
        <f t="shared" si="241"/>
        <v>0</v>
      </c>
      <c r="AP166" s="177">
        <f t="shared" si="241"/>
        <v>0</v>
      </c>
      <c r="AQ166" s="177">
        <f t="shared" si="232"/>
        <v>0</v>
      </c>
      <c r="AR166" s="177">
        <f t="shared" si="242"/>
        <v>45417052</v>
      </c>
      <c r="AS166" s="177">
        <f t="shared" si="242"/>
        <v>0</v>
      </c>
      <c r="AT166" s="177">
        <f t="shared" si="233"/>
        <v>45417052</v>
      </c>
      <c r="AU166" s="177">
        <f t="shared" si="243"/>
        <v>1057919</v>
      </c>
      <c r="AV166" s="177">
        <f t="shared" si="243"/>
        <v>0</v>
      </c>
      <c r="AW166" s="177">
        <f t="shared" si="234"/>
        <v>1057919</v>
      </c>
      <c r="AX166" s="177">
        <f t="shared" si="244"/>
        <v>2645925</v>
      </c>
      <c r="AY166" s="177">
        <f t="shared" si="244"/>
        <v>0</v>
      </c>
      <c r="AZ166" s="177">
        <f t="shared" si="224"/>
        <v>2645925</v>
      </c>
      <c r="BA166" s="177">
        <f t="shared" si="237"/>
        <v>140149639</v>
      </c>
      <c r="BB166" s="177">
        <f t="shared" si="237"/>
        <v>0</v>
      </c>
      <c r="BC166" s="382">
        <f t="shared" si="202"/>
        <v>140149639</v>
      </c>
      <c r="BD166" s="83">
        <f t="shared" si="191"/>
        <v>-9.0142759143639228E-2</v>
      </c>
    </row>
    <row r="167" spans="1:56">
      <c r="A167" s="170">
        <v>45139</v>
      </c>
      <c r="B167" s="378">
        <v>2352734</v>
      </c>
      <c r="C167" s="3">
        <v>0</v>
      </c>
      <c r="D167" s="3">
        <f t="shared" si="225"/>
        <v>2352734</v>
      </c>
      <c r="E167" s="3">
        <f t="shared" si="226"/>
        <v>13725429</v>
      </c>
      <c r="F167" s="3">
        <v>0</v>
      </c>
      <c r="G167" s="3">
        <f t="shared" si="194"/>
        <v>13725429</v>
      </c>
      <c r="H167" s="3">
        <v>142970</v>
      </c>
      <c r="I167" s="3">
        <v>0</v>
      </c>
      <c r="J167" s="3">
        <f t="shared" si="174"/>
        <v>142970</v>
      </c>
      <c r="K167" s="3">
        <v>0</v>
      </c>
      <c r="L167" s="3">
        <v>0</v>
      </c>
      <c r="M167" s="3">
        <f t="shared" si="195"/>
        <v>0</v>
      </c>
      <c r="N167" s="3">
        <f t="shared" si="196"/>
        <v>4955190</v>
      </c>
      <c r="O167" s="3">
        <v>0</v>
      </c>
      <c r="P167" s="3">
        <f t="shared" si="197"/>
        <v>4955190</v>
      </c>
      <c r="Q167" s="3">
        <v>137708</v>
      </c>
      <c r="R167" s="3">
        <v>0</v>
      </c>
      <c r="S167" s="3">
        <f t="shared" si="198"/>
        <v>137708</v>
      </c>
      <c r="T167" s="3">
        <v>370703</v>
      </c>
      <c r="U167" s="3">
        <v>0</v>
      </c>
      <c r="V167" s="3">
        <f t="shared" si="227"/>
        <v>370703</v>
      </c>
      <c r="W167" s="3">
        <f t="shared" si="236"/>
        <v>21684734</v>
      </c>
      <c r="X167" s="3">
        <f t="shared" si="236"/>
        <v>0</v>
      </c>
      <c r="Y167" s="379">
        <f t="shared" si="228"/>
        <v>21684734</v>
      </c>
      <c r="Z167" s="3">
        <v>0</v>
      </c>
      <c r="AA167" s="3">
        <v>13725429</v>
      </c>
      <c r="AB167" s="380">
        <f t="shared" si="176"/>
        <v>13725429</v>
      </c>
      <c r="AC167" s="3">
        <v>37226</v>
      </c>
      <c r="AD167" s="3">
        <v>4917964</v>
      </c>
      <c r="AE167" s="380">
        <f t="shared" si="245"/>
        <v>4955190</v>
      </c>
      <c r="AF167" s="381">
        <f t="shared" si="238"/>
        <v>19603397</v>
      </c>
      <c r="AG167" s="177">
        <f t="shared" si="238"/>
        <v>0</v>
      </c>
      <c r="AH167" s="177">
        <f t="shared" si="229"/>
        <v>19603397</v>
      </c>
      <c r="AI167" s="177">
        <f t="shared" si="239"/>
        <v>84792094</v>
      </c>
      <c r="AJ167" s="177">
        <f t="shared" si="239"/>
        <v>0</v>
      </c>
      <c r="AK167" s="177">
        <f t="shared" si="230"/>
        <v>84792094</v>
      </c>
      <c r="AL167" s="177">
        <f t="shared" si="240"/>
        <v>2854385</v>
      </c>
      <c r="AM167" s="177">
        <f t="shared" si="240"/>
        <v>0</v>
      </c>
      <c r="AN167" s="177">
        <f t="shared" si="231"/>
        <v>2854385</v>
      </c>
      <c r="AO167" s="177">
        <f t="shared" si="241"/>
        <v>0</v>
      </c>
      <c r="AP167" s="177">
        <f t="shared" si="241"/>
        <v>0</v>
      </c>
      <c r="AQ167" s="177">
        <f t="shared" si="232"/>
        <v>0</v>
      </c>
      <c r="AR167" s="177">
        <f t="shared" si="242"/>
        <v>50372242</v>
      </c>
      <c r="AS167" s="177">
        <f t="shared" si="242"/>
        <v>0</v>
      </c>
      <c r="AT167" s="177">
        <f t="shared" si="233"/>
        <v>50372242</v>
      </c>
      <c r="AU167" s="177">
        <f t="shared" si="243"/>
        <v>1195627</v>
      </c>
      <c r="AV167" s="177">
        <f t="shared" si="243"/>
        <v>0</v>
      </c>
      <c r="AW167" s="177">
        <f t="shared" si="234"/>
        <v>1195627</v>
      </c>
      <c r="AX167" s="177">
        <f t="shared" si="244"/>
        <v>3016628</v>
      </c>
      <c r="AY167" s="177">
        <f t="shared" si="244"/>
        <v>0</v>
      </c>
      <c r="AZ167" s="177">
        <f t="shared" si="224"/>
        <v>3016628</v>
      </c>
      <c r="BA167" s="177">
        <f t="shared" si="237"/>
        <v>161834373</v>
      </c>
      <c r="BB167" s="177">
        <f t="shared" si="237"/>
        <v>0</v>
      </c>
      <c r="BC167" s="382">
        <f t="shared" si="202"/>
        <v>161834373</v>
      </c>
      <c r="BD167" s="83">
        <f t="shared" si="191"/>
        <v>-0.14322047378262226</v>
      </c>
    </row>
    <row r="168" spans="1:56">
      <c r="A168" s="170">
        <v>45170</v>
      </c>
      <c r="B168" s="378">
        <v>2567266</v>
      </c>
      <c r="C168" s="3">
        <v>19402670</v>
      </c>
      <c r="D168" s="3">
        <f t="shared" si="225"/>
        <v>21969936</v>
      </c>
      <c r="E168" s="3">
        <f t="shared" si="226"/>
        <v>12584252</v>
      </c>
      <c r="F168" s="3">
        <v>0</v>
      </c>
      <c r="G168" s="3">
        <f t="shared" si="194"/>
        <v>12584252</v>
      </c>
      <c r="H168" s="3">
        <v>853655</v>
      </c>
      <c r="I168" s="3">
        <v>0</v>
      </c>
      <c r="J168" s="3">
        <f t="shared" si="174"/>
        <v>853655</v>
      </c>
      <c r="K168" s="3">
        <v>0</v>
      </c>
      <c r="L168" s="3">
        <v>0</v>
      </c>
      <c r="M168" s="3">
        <f t="shared" si="195"/>
        <v>0</v>
      </c>
      <c r="N168" s="3">
        <f t="shared" si="196"/>
        <v>5004610</v>
      </c>
      <c r="O168" s="3">
        <v>0</v>
      </c>
      <c r="P168" s="3">
        <f t="shared" si="197"/>
        <v>5004610</v>
      </c>
      <c r="Q168" s="3">
        <v>101931</v>
      </c>
      <c r="R168" s="3">
        <v>0</v>
      </c>
      <c r="S168" s="3">
        <f t="shared" si="198"/>
        <v>101931</v>
      </c>
      <c r="T168" s="3">
        <v>475504</v>
      </c>
      <c r="U168" s="3">
        <v>0</v>
      </c>
      <c r="V168" s="3">
        <f t="shared" si="227"/>
        <v>475504</v>
      </c>
      <c r="W168" s="3">
        <f t="shared" si="236"/>
        <v>21587218</v>
      </c>
      <c r="X168" s="3">
        <f t="shared" si="236"/>
        <v>19402670</v>
      </c>
      <c r="Y168" s="379">
        <f t="shared" si="228"/>
        <v>40989888</v>
      </c>
      <c r="Z168" s="3">
        <v>0</v>
      </c>
      <c r="AA168" s="3">
        <v>12584252</v>
      </c>
      <c r="AB168" s="380">
        <f t="shared" si="176"/>
        <v>12584252</v>
      </c>
      <c r="AC168" s="3">
        <v>107832</v>
      </c>
      <c r="AD168" s="3">
        <v>4896778</v>
      </c>
      <c r="AE168" s="380">
        <f t="shared" si="245"/>
        <v>5004610</v>
      </c>
      <c r="AF168" s="381">
        <f t="shared" si="238"/>
        <v>22170663</v>
      </c>
      <c r="AG168" s="177">
        <f t="shared" si="238"/>
        <v>19402670</v>
      </c>
      <c r="AH168" s="177">
        <f t="shared" si="229"/>
        <v>41573333</v>
      </c>
      <c r="AI168" s="177">
        <f t="shared" si="239"/>
        <v>97376346</v>
      </c>
      <c r="AJ168" s="177">
        <f t="shared" si="239"/>
        <v>0</v>
      </c>
      <c r="AK168" s="177">
        <f t="shared" si="230"/>
        <v>97376346</v>
      </c>
      <c r="AL168" s="177">
        <f t="shared" si="240"/>
        <v>3708040</v>
      </c>
      <c r="AM168" s="177">
        <f t="shared" si="240"/>
        <v>0</v>
      </c>
      <c r="AN168" s="177">
        <f t="shared" si="231"/>
        <v>3708040</v>
      </c>
      <c r="AO168" s="177">
        <f t="shared" si="241"/>
        <v>0</v>
      </c>
      <c r="AP168" s="177">
        <f t="shared" si="241"/>
        <v>0</v>
      </c>
      <c r="AQ168" s="177">
        <f t="shared" si="232"/>
        <v>0</v>
      </c>
      <c r="AR168" s="177">
        <f t="shared" si="242"/>
        <v>55376852</v>
      </c>
      <c r="AS168" s="177">
        <f t="shared" si="242"/>
        <v>0</v>
      </c>
      <c r="AT168" s="177">
        <f t="shared" si="233"/>
        <v>55376852</v>
      </c>
      <c r="AU168" s="177">
        <f t="shared" si="243"/>
        <v>1297558</v>
      </c>
      <c r="AV168" s="177">
        <f t="shared" si="243"/>
        <v>0</v>
      </c>
      <c r="AW168" s="177">
        <f t="shared" si="234"/>
        <v>1297558</v>
      </c>
      <c r="AX168" s="177">
        <f t="shared" si="244"/>
        <v>3492132</v>
      </c>
      <c r="AY168" s="177">
        <f t="shared" si="244"/>
        <v>0</v>
      </c>
      <c r="AZ168" s="177">
        <f t="shared" si="224"/>
        <v>3492132</v>
      </c>
      <c r="BA168" s="177">
        <f t="shared" si="237"/>
        <v>183421591</v>
      </c>
      <c r="BB168" s="177">
        <f t="shared" si="237"/>
        <v>19402670</v>
      </c>
      <c r="BC168" s="382">
        <f t="shared" si="202"/>
        <v>202824261</v>
      </c>
      <c r="BD168" s="83">
        <f t="shared" si="191"/>
        <v>-9.4924071160017331E-2</v>
      </c>
    </row>
    <row r="169" spans="1:56">
      <c r="A169" s="170">
        <v>45200</v>
      </c>
      <c r="B169" s="378">
        <v>2760921</v>
      </c>
      <c r="C169" s="3">
        <v>1836333</v>
      </c>
      <c r="D169" s="3">
        <f t="shared" si="225"/>
        <v>4597254</v>
      </c>
      <c r="E169" s="3">
        <f t="shared" si="226"/>
        <v>11737344</v>
      </c>
      <c r="F169" s="3">
        <v>0</v>
      </c>
      <c r="G169" s="3">
        <f t="shared" si="194"/>
        <v>11737344</v>
      </c>
      <c r="H169" s="3">
        <v>0</v>
      </c>
      <c r="I169" s="3">
        <v>0</v>
      </c>
      <c r="J169" s="3">
        <f t="shared" si="174"/>
        <v>0</v>
      </c>
      <c r="K169" s="3">
        <v>0</v>
      </c>
      <c r="L169" s="3">
        <v>0</v>
      </c>
      <c r="M169" s="3">
        <f t="shared" si="195"/>
        <v>0</v>
      </c>
      <c r="N169" s="3">
        <f t="shared" si="196"/>
        <v>9041209</v>
      </c>
      <c r="O169" s="3">
        <v>0</v>
      </c>
      <c r="P169" s="3">
        <f t="shared" si="197"/>
        <v>9041209</v>
      </c>
      <c r="Q169" s="3">
        <v>70596</v>
      </c>
      <c r="R169" s="3">
        <v>0</v>
      </c>
      <c r="S169" s="3">
        <f t="shared" si="198"/>
        <v>70596</v>
      </c>
      <c r="T169" s="3">
        <v>530426</v>
      </c>
      <c r="U169" s="3">
        <v>0</v>
      </c>
      <c r="V169" s="3">
        <f t="shared" si="227"/>
        <v>530426</v>
      </c>
      <c r="W169" s="3">
        <f t="shared" si="236"/>
        <v>24140496</v>
      </c>
      <c r="X169" s="3">
        <f t="shared" si="236"/>
        <v>1836333</v>
      </c>
      <c r="Y169" s="379">
        <f t="shared" si="228"/>
        <v>25976829</v>
      </c>
      <c r="Z169" s="3">
        <v>0</v>
      </c>
      <c r="AA169" s="3">
        <v>11737344</v>
      </c>
      <c r="AB169" s="380">
        <f t="shared" si="176"/>
        <v>11737344</v>
      </c>
      <c r="AC169" s="3">
        <v>114330</v>
      </c>
      <c r="AD169" s="3">
        <v>8926879</v>
      </c>
      <c r="AE169" s="380">
        <f t="shared" si="245"/>
        <v>9041209</v>
      </c>
      <c r="AF169" s="381">
        <f t="shared" si="238"/>
        <v>24931584</v>
      </c>
      <c r="AG169" s="177">
        <f t="shared" si="238"/>
        <v>21239003</v>
      </c>
      <c r="AH169" s="177">
        <f t="shared" si="229"/>
        <v>46170587</v>
      </c>
      <c r="AI169" s="177">
        <f t="shared" si="239"/>
        <v>109113690</v>
      </c>
      <c r="AJ169" s="177">
        <f t="shared" si="239"/>
        <v>0</v>
      </c>
      <c r="AK169" s="177">
        <f t="shared" si="230"/>
        <v>109113690</v>
      </c>
      <c r="AL169" s="177">
        <f t="shared" si="240"/>
        <v>3708040</v>
      </c>
      <c r="AM169" s="177">
        <f t="shared" si="240"/>
        <v>0</v>
      </c>
      <c r="AN169" s="177">
        <f t="shared" si="231"/>
        <v>3708040</v>
      </c>
      <c r="AO169" s="177">
        <f t="shared" si="241"/>
        <v>0</v>
      </c>
      <c r="AP169" s="177">
        <f t="shared" si="241"/>
        <v>0</v>
      </c>
      <c r="AQ169" s="177">
        <f t="shared" si="232"/>
        <v>0</v>
      </c>
      <c r="AR169" s="177">
        <f t="shared" si="242"/>
        <v>64418061</v>
      </c>
      <c r="AS169" s="177">
        <f t="shared" si="242"/>
        <v>0</v>
      </c>
      <c r="AT169" s="177">
        <f t="shared" si="233"/>
        <v>64418061</v>
      </c>
      <c r="AU169" s="177">
        <f t="shared" si="243"/>
        <v>1368154</v>
      </c>
      <c r="AV169" s="177">
        <f t="shared" si="243"/>
        <v>0</v>
      </c>
      <c r="AW169" s="177">
        <f t="shared" si="234"/>
        <v>1368154</v>
      </c>
      <c r="AX169" s="177">
        <f t="shared" si="244"/>
        <v>4022558</v>
      </c>
      <c r="AY169" s="177">
        <f t="shared" si="244"/>
        <v>0</v>
      </c>
      <c r="AZ169" s="177">
        <f t="shared" si="224"/>
        <v>4022558</v>
      </c>
      <c r="BA169" s="177">
        <f t="shared" si="237"/>
        <v>207562087</v>
      </c>
      <c r="BB169" s="177">
        <f t="shared" si="237"/>
        <v>21239003</v>
      </c>
      <c r="BC169" s="382">
        <f t="shared" si="202"/>
        <v>228801090</v>
      </c>
      <c r="BD169" s="83">
        <f t="shared" si="191"/>
        <v>-0.13184013608917788</v>
      </c>
    </row>
    <row r="170" spans="1:56">
      <c r="A170" s="170">
        <v>45231</v>
      </c>
      <c r="B170" s="378">
        <v>2348268</v>
      </c>
      <c r="C170" s="3">
        <v>0</v>
      </c>
      <c r="D170" s="3">
        <f t="shared" si="225"/>
        <v>2348268</v>
      </c>
      <c r="E170" s="3">
        <f t="shared" si="226"/>
        <v>7494912</v>
      </c>
      <c r="F170" s="3">
        <v>0</v>
      </c>
      <c r="G170" s="3">
        <f t="shared" si="194"/>
        <v>7494912</v>
      </c>
      <c r="H170" s="3">
        <v>0</v>
      </c>
      <c r="I170" s="3">
        <v>0</v>
      </c>
      <c r="J170" s="3">
        <f t="shared" si="174"/>
        <v>0</v>
      </c>
      <c r="K170" s="3"/>
      <c r="L170" s="3">
        <v>0</v>
      </c>
      <c r="M170" s="3">
        <f t="shared" si="195"/>
        <v>0</v>
      </c>
      <c r="N170" s="3">
        <f t="shared" si="196"/>
        <v>5629571</v>
      </c>
      <c r="O170" s="3">
        <v>0</v>
      </c>
      <c r="P170" s="3">
        <f t="shared" si="197"/>
        <v>5629571</v>
      </c>
      <c r="Q170" s="3">
        <v>70456</v>
      </c>
      <c r="R170" s="3">
        <v>0</v>
      </c>
      <c r="S170" s="3">
        <f t="shared" si="198"/>
        <v>70456</v>
      </c>
      <c r="T170" s="3">
        <v>338047</v>
      </c>
      <c r="U170" s="3">
        <v>0</v>
      </c>
      <c r="V170" s="3">
        <f t="shared" si="227"/>
        <v>338047</v>
      </c>
      <c r="W170" s="3">
        <f t="shared" si="236"/>
        <v>15881254</v>
      </c>
      <c r="X170" s="3">
        <f t="shared" si="236"/>
        <v>0</v>
      </c>
      <c r="Y170" s="379">
        <f t="shared" si="228"/>
        <v>15881254</v>
      </c>
      <c r="Z170" s="3">
        <v>0</v>
      </c>
      <c r="AA170" s="3">
        <v>7494912</v>
      </c>
      <c r="AB170" s="380">
        <f t="shared" si="176"/>
        <v>7494912</v>
      </c>
      <c r="AC170" s="3">
        <v>0</v>
      </c>
      <c r="AD170" s="3">
        <v>5629571</v>
      </c>
      <c r="AE170" s="380">
        <f t="shared" si="245"/>
        <v>5629571</v>
      </c>
      <c r="AF170" s="381">
        <f t="shared" si="238"/>
        <v>27279852</v>
      </c>
      <c r="AG170" s="177">
        <f t="shared" si="238"/>
        <v>21239003</v>
      </c>
      <c r="AH170" s="177">
        <f t="shared" si="229"/>
        <v>48518855</v>
      </c>
      <c r="AI170" s="177">
        <f t="shared" si="239"/>
        <v>116608602</v>
      </c>
      <c r="AJ170" s="177">
        <f t="shared" si="239"/>
        <v>0</v>
      </c>
      <c r="AK170" s="177">
        <f t="shared" si="230"/>
        <v>116608602</v>
      </c>
      <c r="AL170" s="177">
        <f t="shared" si="240"/>
        <v>3708040</v>
      </c>
      <c r="AM170" s="177">
        <f t="shared" si="240"/>
        <v>0</v>
      </c>
      <c r="AN170" s="177">
        <f t="shared" si="231"/>
        <v>3708040</v>
      </c>
      <c r="AO170" s="177">
        <f t="shared" si="241"/>
        <v>0</v>
      </c>
      <c r="AP170" s="177">
        <f t="shared" si="241"/>
        <v>0</v>
      </c>
      <c r="AQ170" s="177">
        <f t="shared" si="232"/>
        <v>0</v>
      </c>
      <c r="AR170" s="177">
        <f t="shared" si="242"/>
        <v>70047632</v>
      </c>
      <c r="AS170" s="177">
        <f t="shared" si="242"/>
        <v>0</v>
      </c>
      <c r="AT170" s="177">
        <f t="shared" si="233"/>
        <v>70047632</v>
      </c>
      <c r="AU170" s="177">
        <f t="shared" si="243"/>
        <v>1438610</v>
      </c>
      <c r="AV170" s="177">
        <f t="shared" si="243"/>
        <v>0</v>
      </c>
      <c r="AW170" s="177">
        <f t="shared" si="234"/>
        <v>1438610</v>
      </c>
      <c r="AX170" s="177">
        <f t="shared" si="244"/>
        <v>4360605</v>
      </c>
      <c r="AY170" s="177">
        <f t="shared" si="244"/>
        <v>0</v>
      </c>
      <c r="AZ170" s="177">
        <f t="shared" si="224"/>
        <v>4360605</v>
      </c>
      <c r="BA170" s="177">
        <f t="shared" si="237"/>
        <v>223443341</v>
      </c>
      <c r="BB170" s="177">
        <f t="shared" si="237"/>
        <v>21239003</v>
      </c>
      <c r="BC170" s="382">
        <f t="shared" si="202"/>
        <v>244682344</v>
      </c>
      <c r="BD170" s="83">
        <f t="shared" si="191"/>
        <v>-0.18623945294636512</v>
      </c>
    </row>
    <row r="171" spans="1:56" ht="15.75" thickBot="1">
      <c r="A171" s="170">
        <v>45261</v>
      </c>
      <c r="B171" s="378">
        <v>2645976</v>
      </c>
      <c r="C171" s="3">
        <v>0</v>
      </c>
      <c r="D171" s="3">
        <f t="shared" si="225"/>
        <v>2645976</v>
      </c>
      <c r="E171" s="3">
        <f t="shared" si="226"/>
        <v>6065288</v>
      </c>
      <c r="F171" s="3">
        <v>0</v>
      </c>
      <c r="G171" s="3">
        <f t="shared" si="194"/>
        <v>6065288</v>
      </c>
      <c r="H171" s="3">
        <v>276151</v>
      </c>
      <c r="I171" s="3">
        <v>0</v>
      </c>
      <c r="J171" s="3">
        <f t="shared" si="174"/>
        <v>276151</v>
      </c>
      <c r="K171" s="3">
        <v>0</v>
      </c>
      <c r="L171" s="3">
        <v>0</v>
      </c>
      <c r="M171" s="3">
        <f t="shared" si="195"/>
        <v>0</v>
      </c>
      <c r="N171" s="3">
        <f t="shared" si="196"/>
        <v>8329464</v>
      </c>
      <c r="O171" s="3">
        <v>0</v>
      </c>
      <c r="P171" s="3">
        <f t="shared" si="197"/>
        <v>8329464</v>
      </c>
      <c r="Q171" s="3">
        <v>114960</v>
      </c>
      <c r="R171" s="3">
        <v>0</v>
      </c>
      <c r="S171" s="3">
        <f t="shared" si="198"/>
        <v>114960</v>
      </c>
      <c r="T171" s="3">
        <v>830777</v>
      </c>
      <c r="U171" s="3">
        <v>0</v>
      </c>
      <c r="V171" s="3">
        <f t="shared" si="227"/>
        <v>830777</v>
      </c>
      <c r="W171" s="3">
        <f t="shared" si="236"/>
        <v>18262616</v>
      </c>
      <c r="X171" s="3">
        <f t="shared" si="236"/>
        <v>0</v>
      </c>
      <c r="Y171" s="379">
        <f t="shared" si="228"/>
        <v>18262616</v>
      </c>
      <c r="Z171" s="3">
        <v>0</v>
      </c>
      <c r="AA171" s="3">
        <v>6065288</v>
      </c>
      <c r="AB171" s="380">
        <f t="shared" si="176"/>
        <v>6065288</v>
      </c>
      <c r="AC171" s="3">
        <v>263237</v>
      </c>
      <c r="AD171" s="3">
        <v>8066227</v>
      </c>
      <c r="AE171" s="380">
        <f t="shared" si="245"/>
        <v>8329464</v>
      </c>
      <c r="AF171" s="381">
        <f t="shared" si="238"/>
        <v>29925828</v>
      </c>
      <c r="AG171" s="177">
        <f t="shared" si="238"/>
        <v>21239003</v>
      </c>
      <c r="AH171" s="177">
        <f t="shared" si="229"/>
        <v>51164831</v>
      </c>
      <c r="AI171" s="177">
        <f t="shared" si="239"/>
        <v>122673890</v>
      </c>
      <c r="AJ171" s="177">
        <f t="shared" si="239"/>
        <v>0</v>
      </c>
      <c r="AK171" s="177">
        <f t="shared" si="230"/>
        <v>122673890</v>
      </c>
      <c r="AL171" s="177">
        <f t="shared" si="240"/>
        <v>3984191</v>
      </c>
      <c r="AM171" s="177">
        <f t="shared" si="240"/>
        <v>0</v>
      </c>
      <c r="AN171" s="177">
        <f t="shared" si="231"/>
        <v>3984191</v>
      </c>
      <c r="AO171" s="177">
        <f t="shared" si="241"/>
        <v>0</v>
      </c>
      <c r="AP171" s="177">
        <f t="shared" si="241"/>
        <v>0</v>
      </c>
      <c r="AQ171" s="177">
        <f t="shared" si="232"/>
        <v>0</v>
      </c>
      <c r="AR171" s="177">
        <f t="shared" si="242"/>
        <v>78377096</v>
      </c>
      <c r="AS171" s="177">
        <f t="shared" si="242"/>
        <v>0</v>
      </c>
      <c r="AT171" s="177">
        <f t="shared" si="233"/>
        <v>78377096</v>
      </c>
      <c r="AU171" s="177">
        <f t="shared" si="243"/>
        <v>1553570</v>
      </c>
      <c r="AV171" s="177">
        <f t="shared" si="243"/>
        <v>0</v>
      </c>
      <c r="AW171" s="177">
        <f t="shared" si="234"/>
        <v>1553570</v>
      </c>
      <c r="AX171" s="177">
        <f t="shared" si="244"/>
        <v>5191382</v>
      </c>
      <c r="AY171" s="177">
        <f t="shared" si="244"/>
        <v>0</v>
      </c>
      <c r="AZ171" s="177">
        <f t="shared" si="224"/>
        <v>5191382</v>
      </c>
      <c r="BA171" s="177">
        <f t="shared" si="237"/>
        <v>241705957</v>
      </c>
      <c r="BB171" s="177">
        <f t="shared" si="237"/>
        <v>21239003</v>
      </c>
      <c r="BC171" s="382">
        <f t="shared" si="202"/>
        <v>262944960</v>
      </c>
      <c r="BD171" s="83">
        <f t="shared" si="191"/>
        <v>-0.23286804626738955</v>
      </c>
    </row>
    <row r="172" spans="1:56">
      <c r="A172" s="171">
        <v>45292</v>
      </c>
      <c r="B172" s="385">
        <v>2544908</v>
      </c>
      <c r="C172" s="104">
        <v>0</v>
      </c>
      <c r="D172" s="104">
        <f t="shared" si="225"/>
        <v>2544908</v>
      </c>
      <c r="E172" s="104">
        <f t="shared" si="226"/>
        <v>8841325</v>
      </c>
      <c r="F172" s="104">
        <v>0</v>
      </c>
      <c r="G172" s="104">
        <f t="shared" si="194"/>
        <v>8841325</v>
      </c>
      <c r="H172" s="104">
        <v>1012545</v>
      </c>
      <c r="I172" s="104">
        <v>0</v>
      </c>
      <c r="J172" s="104">
        <f t="shared" si="174"/>
        <v>1012545</v>
      </c>
      <c r="K172" s="104">
        <v>0</v>
      </c>
      <c r="L172" s="104">
        <v>0</v>
      </c>
      <c r="M172" s="104">
        <f t="shared" si="195"/>
        <v>0</v>
      </c>
      <c r="N172" s="104">
        <f t="shared" si="196"/>
        <v>5652004</v>
      </c>
      <c r="O172" s="104">
        <v>0</v>
      </c>
      <c r="P172" s="104">
        <f t="shared" si="197"/>
        <v>5652004</v>
      </c>
      <c r="Q172" s="104">
        <v>0</v>
      </c>
      <c r="R172" s="104">
        <v>0</v>
      </c>
      <c r="S172" s="104">
        <f t="shared" si="198"/>
        <v>0</v>
      </c>
      <c r="T172" s="104">
        <v>0</v>
      </c>
      <c r="U172" s="104"/>
      <c r="V172" s="104">
        <f t="shared" si="227"/>
        <v>0</v>
      </c>
      <c r="W172" s="104">
        <f t="shared" si="236"/>
        <v>18050782</v>
      </c>
      <c r="X172" s="104">
        <f t="shared" si="236"/>
        <v>0</v>
      </c>
      <c r="Y172" s="386">
        <f t="shared" si="228"/>
        <v>18050782</v>
      </c>
      <c r="Z172" s="104">
        <v>0</v>
      </c>
      <c r="AA172" s="104">
        <v>8841325</v>
      </c>
      <c r="AB172" s="387">
        <f t="shared" si="176"/>
        <v>8841325</v>
      </c>
      <c r="AC172" s="104">
        <v>0</v>
      </c>
      <c r="AD172" s="104">
        <v>5652004</v>
      </c>
      <c r="AE172" s="387">
        <f t="shared" si="245"/>
        <v>5652004</v>
      </c>
      <c r="AF172" s="388">
        <f>B172</f>
        <v>2544908</v>
      </c>
      <c r="AG172" s="389">
        <f>C172</f>
        <v>0</v>
      </c>
      <c r="AH172" s="389">
        <f t="shared" si="229"/>
        <v>2544908</v>
      </c>
      <c r="AI172" s="389">
        <f>E172</f>
        <v>8841325</v>
      </c>
      <c r="AJ172" s="389">
        <f>F172</f>
        <v>0</v>
      </c>
      <c r="AK172" s="389">
        <f t="shared" si="230"/>
        <v>8841325</v>
      </c>
      <c r="AL172" s="389">
        <f>H172</f>
        <v>1012545</v>
      </c>
      <c r="AM172" s="389">
        <f>I172</f>
        <v>0</v>
      </c>
      <c r="AN172" s="389">
        <f t="shared" si="231"/>
        <v>1012545</v>
      </c>
      <c r="AO172" s="389">
        <f>K172</f>
        <v>0</v>
      </c>
      <c r="AP172" s="389">
        <f>L172</f>
        <v>0</v>
      </c>
      <c r="AQ172" s="389">
        <f t="shared" si="232"/>
        <v>0</v>
      </c>
      <c r="AR172" s="389">
        <f>N172</f>
        <v>5652004</v>
      </c>
      <c r="AS172" s="389">
        <f>O172</f>
        <v>0</v>
      </c>
      <c r="AT172" s="389">
        <f t="shared" si="233"/>
        <v>5652004</v>
      </c>
      <c r="AU172" s="389">
        <f>Q172</f>
        <v>0</v>
      </c>
      <c r="AV172" s="389">
        <f>R172</f>
        <v>0</v>
      </c>
      <c r="AW172" s="389">
        <f t="shared" si="234"/>
        <v>0</v>
      </c>
      <c r="AX172" s="389">
        <f>T172</f>
        <v>0</v>
      </c>
      <c r="AY172" s="389">
        <f>U172</f>
        <v>0</v>
      </c>
      <c r="AZ172" s="389">
        <f t="shared" si="224"/>
        <v>0</v>
      </c>
      <c r="BA172" s="389">
        <f t="shared" si="237"/>
        <v>18050782</v>
      </c>
      <c r="BB172" s="389">
        <f t="shared" si="237"/>
        <v>0</v>
      </c>
      <c r="BC172" s="390">
        <f t="shared" si="202"/>
        <v>18050782</v>
      </c>
      <c r="BD172" s="83">
        <f t="shared" si="191"/>
        <v>8.2105401732061045E-2</v>
      </c>
    </row>
    <row r="173" spans="1:56">
      <c r="A173" s="170">
        <v>45323</v>
      </c>
      <c r="B173" s="378">
        <v>2449930</v>
      </c>
      <c r="C173" s="3">
        <v>0</v>
      </c>
      <c r="D173" s="3">
        <f t="shared" si="225"/>
        <v>2449930</v>
      </c>
      <c r="E173" s="3">
        <f t="shared" si="226"/>
        <v>6689848</v>
      </c>
      <c r="F173" s="3">
        <v>0</v>
      </c>
      <c r="G173" s="3">
        <f t="shared" si="194"/>
        <v>6689848</v>
      </c>
      <c r="H173" s="3">
        <v>0</v>
      </c>
      <c r="I173" s="3">
        <v>0</v>
      </c>
      <c r="J173" s="3">
        <f t="shared" si="174"/>
        <v>0</v>
      </c>
      <c r="K173" s="3">
        <v>0</v>
      </c>
      <c r="L173" s="3">
        <v>0</v>
      </c>
      <c r="M173" s="3">
        <f t="shared" si="195"/>
        <v>0</v>
      </c>
      <c r="N173" s="3">
        <f t="shared" si="196"/>
        <v>6847429</v>
      </c>
      <c r="O173" s="3">
        <v>0</v>
      </c>
      <c r="P173" s="3">
        <f t="shared" si="197"/>
        <v>6847429</v>
      </c>
      <c r="Q173" s="3">
        <v>65859</v>
      </c>
      <c r="R173" s="3">
        <v>0</v>
      </c>
      <c r="S173" s="3">
        <f t="shared" si="198"/>
        <v>65859</v>
      </c>
      <c r="T173" s="3">
        <v>322132</v>
      </c>
      <c r="U173" s="3"/>
      <c r="V173" s="3">
        <f t="shared" si="227"/>
        <v>322132</v>
      </c>
      <c r="W173" s="3">
        <f t="shared" si="236"/>
        <v>16375198</v>
      </c>
      <c r="X173" s="3">
        <f t="shared" si="236"/>
        <v>0</v>
      </c>
      <c r="Y173" s="379">
        <f t="shared" si="228"/>
        <v>16375198</v>
      </c>
      <c r="Z173" s="3">
        <v>0</v>
      </c>
      <c r="AA173" s="3">
        <v>6689848</v>
      </c>
      <c r="AB173" s="380">
        <f t="shared" si="176"/>
        <v>6689848</v>
      </c>
      <c r="AC173" s="3">
        <v>78228</v>
      </c>
      <c r="AD173" s="3">
        <v>6769201</v>
      </c>
      <c r="AE173" s="380">
        <f t="shared" si="245"/>
        <v>6847429</v>
      </c>
      <c r="AF173" s="381">
        <f t="shared" ref="AF173:AG183" si="246">B173+AF172</f>
        <v>4994838</v>
      </c>
      <c r="AG173" s="177">
        <f t="shared" si="246"/>
        <v>0</v>
      </c>
      <c r="AH173" s="177">
        <f t="shared" si="229"/>
        <v>4994838</v>
      </c>
      <c r="AI173" s="177">
        <f t="shared" ref="AI173:AJ183" si="247">AI172+E173</f>
        <v>15531173</v>
      </c>
      <c r="AJ173" s="177">
        <f t="shared" si="247"/>
        <v>0</v>
      </c>
      <c r="AK173" s="177">
        <f t="shared" si="230"/>
        <v>15531173</v>
      </c>
      <c r="AL173" s="177">
        <f t="shared" ref="AL173:AM183" si="248">AL172+H173</f>
        <v>1012545</v>
      </c>
      <c r="AM173" s="177">
        <f t="shared" si="248"/>
        <v>0</v>
      </c>
      <c r="AN173" s="177">
        <f t="shared" si="231"/>
        <v>1012545</v>
      </c>
      <c r="AO173" s="177">
        <f t="shared" ref="AO173:AP183" si="249">AO172+K173</f>
        <v>0</v>
      </c>
      <c r="AP173" s="177">
        <f t="shared" si="249"/>
        <v>0</v>
      </c>
      <c r="AQ173" s="177">
        <f t="shared" si="232"/>
        <v>0</v>
      </c>
      <c r="AR173" s="177">
        <f t="shared" ref="AR173:AS183" si="250">AR172+N173</f>
        <v>12499433</v>
      </c>
      <c r="AS173" s="177">
        <f t="shared" si="250"/>
        <v>0</v>
      </c>
      <c r="AT173" s="177">
        <f t="shared" si="233"/>
        <v>12499433</v>
      </c>
      <c r="AU173" s="177">
        <f t="shared" ref="AU173:AV183" si="251">AU172+Q173</f>
        <v>65859</v>
      </c>
      <c r="AV173" s="177">
        <f t="shared" si="251"/>
        <v>0</v>
      </c>
      <c r="AW173" s="177">
        <f t="shared" si="234"/>
        <v>65859</v>
      </c>
      <c r="AX173" s="177">
        <f t="shared" ref="AX173:AY183" si="252">AX172+T173</f>
        <v>322132</v>
      </c>
      <c r="AY173" s="177">
        <f t="shared" si="252"/>
        <v>0</v>
      </c>
      <c r="AZ173" s="177">
        <f t="shared" si="224"/>
        <v>322132</v>
      </c>
      <c r="BA173" s="177">
        <f t="shared" si="237"/>
        <v>34425980</v>
      </c>
      <c r="BB173" s="177">
        <f t="shared" si="237"/>
        <v>0</v>
      </c>
      <c r="BC173" s="382">
        <f t="shared" si="202"/>
        <v>34425980</v>
      </c>
      <c r="BD173" s="83">
        <f t="shared" si="191"/>
        <v>0.10049709085442138</v>
      </c>
    </row>
    <row r="174" spans="1:56">
      <c r="A174" s="170">
        <v>45352</v>
      </c>
      <c r="B174" s="378">
        <v>2114115</v>
      </c>
      <c r="C174" s="3">
        <v>0</v>
      </c>
      <c r="D174" s="3">
        <f t="shared" si="225"/>
        <v>2114115</v>
      </c>
      <c r="E174" s="3">
        <f t="shared" si="226"/>
        <v>8984440</v>
      </c>
      <c r="F174" s="3">
        <v>0</v>
      </c>
      <c r="G174" s="3">
        <f t="shared" si="194"/>
        <v>8984440</v>
      </c>
      <c r="H174" s="3">
        <v>264883</v>
      </c>
      <c r="I174" s="3">
        <v>0</v>
      </c>
      <c r="J174" s="3">
        <f t="shared" si="174"/>
        <v>264883</v>
      </c>
      <c r="K174" s="3">
        <v>0</v>
      </c>
      <c r="L174" s="3">
        <v>0</v>
      </c>
      <c r="M174" s="3">
        <f t="shared" si="195"/>
        <v>0</v>
      </c>
      <c r="N174" s="3">
        <f t="shared" si="196"/>
        <v>4478088</v>
      </c>
      <c r="O174" s="3">
        <v>0</v>
      </c>
      <c r="P174" s="3">
        <f t="shared" si="197"/>
        <v>4478088</v>
      </c>
      <c r="Q174" s="3">
        <v>62223</v>
      </c>
      <c r="R174" s="3">
        <v>0</v>
      </c>
      <c r="S174" s="3">
        <f t="shared" si="198"/>
        <v>62223</v>
      </c>
      <c r="T174" s="3">
        <v>329330</v>
      </c>
      <c r="U174" s="3"/>
      <c r="V174" s="3">
        <f t="shared" si="227"/>
        <v>329330</v>
      </c>
      <c r="W174" s="3">
        <f t="shared" si="236"/>
        <v>16233079</v>
      </c>
      <c r="X174" s="3">
        <f t="shared" si="236"/>
        <v>0</v>
      </c>
      <c r="Y174" s="379">
        <f t="shared" si="228"/>
        <v>16233079</v>
      </c>
      <c r="Z174" s="3">
        <v>0</v>
      </c>
      <c r="AA174" s="3">
        <v>8984440</v>
      </c>
      <c r="AB174" s="380">
        <f t="shared" si="176"/>
        <v>8984440</v>
      </c>
      <c r="AC174" s="3">
        <v>37765</v>
      </c>
      <c r="AD174" s="3">
        <v>4440323</v>
      </c>
      <c r="AE174" s="380">
        <f t="shared" si="245"/>
        <v>4478088</v>
      </c>
      <c r="AF174" s="381">
        <f t="shared" si="246"/>
        <v>7108953</v>
      </c>
      <c r="AG174" s="177">
        <f t="shared" si="246"/>
        <v>0</v>
      </c>
      <c r="AH174" s="177">
        <f t="shared" si="229"/>
        <v>7108953</v>
      </c>
      <c r="AI174" s="177">
        <f t="shared" si="247"/>
        <v>24515613</v>
      </c>
      <c r="AJ174" s="177">
        <f t="shared" si="247"/>
        <v>0</v>
      </c>
      <c r="AK174" s="177">
        <f t="shared" si="230"/>
        <v>24515613</v>
      </c>
      <c r="AL174" s="177">
        <f t="shared" si="248"/>
        <v>1277428</v>
      </c>
      <c r="AM174" s="177">
        <f t="shared" si="248"/>
        <v>0</v>
      </c>
      <c r="AN174" s="177">
        <f t="shared" si="231"/>
        <v>1277428</v>
      </c>
      <c r="AO174" s="177">
        <f t="shared" si="249"/>
        <v>0</v>
      </c>
      <c r="AP174" s="177">
        <f t="shared" si="249"/>
        <v>0</v>
      </c>
      <c r="AQ174" s="177">
        <f t="shared" si="232"/>
        <v>0</v>
      </c>
      <c r="AR174" s="177">
        <f t="shared" si="250"/>
        <v>16977521</v>
      </c>
      <c r="AS174" s="177">
        <f t="shared" si="250"/>
        <v>0</v>
      </c>
      <c r="AT174" s="177">
        <f t="shared" si="233"/>
        <v>16977521</v>
      </c>
      <c r="AU174" s="177">
        <f t="shared" si="251"/>
        <v>128082</v>
      </c>
      <c r="AV174" s="177">
        <f t="shared" si="251"/>
        <v>0</v>
      </c>
      <c r="AW174" s="177">
        <f t="shared" si="234"/>
        <v>128082</v>
      </c>
      <c r="AX174" s="177">
        <f t="shared" si="252"/>
        <v>651462</v>
      </c>
      <c r="AY174" s="177">
        <f t="shared" si="252"/>
        <v>0</v>
      </c>
      <c r="AZ174" s="177">
        <f t="shared" si="224"/>
        <v>651462</v>
      </c>
      <c r="BA174" s="177">
        <f t="shared" si="237"/>
        <v>50659059</v>
      </c>
      <c r="BB174" s="177">
        <f t="shared" si="237"/>
        <v>0</v>
      </c>
      <c r="BC174" s="382">
        <f t="shared" si="202"/>
        <v>50659059</v>
      </c>
      <c r="BD174" s="83">
        <f t="shared" si="191"/>
        <v>-0.13756820632611766</v>
      </c>
    </row>
    <row r="175" spans="1:56">
      <c r="A175" s="170">
        <v>45383</v>
      </c>
      <c r="B175" s="378">
        <v>2530447</v>
      </c>
      <c r="C175" s="3">
        <v>0</v>
      </c>
      <c r="D175" s="3">
        <f t="shared" si="225"/>
        <v>2530447</v>
      </c>
      <c r="E175" s="3">
        <f t="shared" si="226"/>
        <v>6667458</v>
      </c>
      <c r="F175" s="3">
        <v>0</v>
      </c>
      <c r="G175" s="3">
        <f t="shared" si="194"/>
        <v>6667458</v>
      </c>
      <c r="H175" s="3">
        <v>225915</v>
      </c>
      <c r="I175" s="3">
        <v>0</v>
      </c>
      <c r="J175" s="3">
        <f t="shared" si="174"/>
        <v>225915</v>
      </c>
      <c r="K175" s="3">
        <v>0</v>
      </c>
      <c r="L175" s="3">
        <v>0</v>
      </c>
      <c r="M175" s="3">
        <f t="shared" si="195"/>
        <v>0</v>
      </c>
      <c r="N175" s="3">
        <f t="shared" si="196"/>
        <v>6421342</v>
      </c>
      <c r="O175" s="3">
        <v>0</v>
      </c>
      <c r="P175" s="3">
        <f t="shared" si="197"/>
        <v>6421342</v>
      </c>
      <c r="Q175" s="3">
        <v>73154</v>
      </c>
      <c r="R175" s="3">
        <v>0</v>
      </c>
      <c r="S175" s="3">
        <f t="shared" si="198"/>
        <v>73154</v>
      </c>
      <c r="T175" s="3">
        <v>306983</v>
      </c>
      <c r="U175" s="3"/>
      <c r="V175" s="3">
        <f t="shared" si="227"/>
        <v>306983</v>
      </c>
      <c r="W175" s="3">
        <f t="shared" si="236"/>
        <v>16225299</v>
      </c>
      <c r="X175" s="3">
        <f t="shared" si="236"/>
        <v>0</v>
      </c>
      <c r="Y175" s="379">
        <f t="shared" si="228"/>
        <v>16225299</v>
      </c>
      <c r="Z175" s="3">
        <v>0</v>
      </c>
      <c r="AA175" s="3">
        <v>6667458</v>
      </c>
      <c r="AB175" s="380">
        <f t="shared" si="176"/>
        <v>6667458</v>
      </c>
      <c r="AC175" s="3">
        <v>1576365</v>
      </c>
      <c r="AD175" s="3">
        <v>4844977</v>
      </c>
      <c r="AE175" s="380">
        <f t="shared" si="245"/>
        <v>6421342</v>
      </c>
      <c r="AF175" s="381">
        <f t="shared" si="246"/>
        <v>9639400</v>
      </c>
      <c r="AG175" s="177">
        <f t="shared" si="246"/>
        <v>0</v>
      </c>
      <c r="AH175" s="177">
        <f t="shared" si="229"/>
        <v>9639400</v>
      </c>
      <c r="AI175" s="177">
        <f t="shared" si="247"/>
        <v>31183071</v>
      </c>
      <c r="AJ175" s="177">
        <f t="shared" si="247"/>
        <v>0</v>
      </c>
      <c r="AK175" s="177">
        <f t="shared" si="230"/>
        <v>31183071</v>
      </c>
      <c r="AL175" s="177">
        <f t="shared" si="248"/>
        <v>1503343</v>
      </c>
      <c r="AM175" s="177">
        <f t="shared" si="248"/>
        <v>0</v>
      </c>
      <c r="AN175" s="177">
        <f t="shared" si="231"/>
        <v>1503343</v>
      </c>
      <c r="AO175" s="177">
        <f t="shared" si="249"/>
        <v>0</v>
      </c>
      <c r="AP175" s="177">
        <f t="shared" si="249"/>
        <v>0</v>
      </c>
      <c r="AQ175" s="177">
        <f t="shared" si="232"/>
        <v>0</v>
      </c>
      <c r="AR175" s="177">
        <f t="shared" si="250"/>
        <v>23398863</v>
      </c>
      <c r="AS175" s="177">
        <f t="shared" si="250"/>
        <v>0</v>
      </c>
      <c r="AT175" s="177">
        <f t="shared" si="233"/>
        <v>23398863</v>
      </c>
      <c r="AU175" s="177">
        <f t="shared" si="251"/>
        <v>201236</v>
      </c>
      <c r="AV175" s="177">
        <f t="shared" si="251"/>
        <v>0</v>
      </c>
      <c r="AW175" s="177">
        <f t="shared" si="234"/>
        <v>201236</v>
      </c>
      <c r="AX175" s="177">
        <f t="shared" si="252"/>
        <v>958445</v>
      </c>
      <c r="AY175" s="177">
        <f t="shared" si="252"/>
        <v>0</v>
      </c>
      <c r="AZ175" s="177">
        <f t="shared" si="224"/>
        <v>958445</v>
      </c>
      <c r="BA175" s="177">
        <f t="shared" ref="BA175:BB186" si="253">AF175+AI175+AL175+AO175+AR175+AU175+AX175</f>
        <v>66884358</v>
      </c>
      <c r="BB175" s="177">
        <f t="shared" si="253"/>
        <v>0</v>
      </c>
      <c r="BC175" s="382">
        <f t="shared" si="202"/>
        <v>66884358</v>
      </c>
      <c r="BD175" s="83">
        <f t="shared" si="191"/>
        <v>-0.12876198253602034</v>
      </c>
    </row>
    <row r="176" spans="1:56">
      <c r="A176" s="170">
        <v>45413</v>
      </c>
      <c r="B176" s="378">
        <v>2537729</v>
      </c>
      <c r="C176" s="3">
        <v>0</v>
      </c>
      <c r="D176" s="3">
        <f t="shared" si="225"/>
        <v>2537729</v>
      </c>
      <c r="E176" s="3">
        <f t="shared" si="226"/>
        <v>2427093</v>
      </c>
      <c r="F176" s="3">
        <v>0</v>
      </c>
      <c r="G176" s="3">
        <f t="shared" si="194"/>
        <v>2427093</v>
      </c>
      <c r="H176" s="3">
        <v>0</v>
      </c>
      <c r="I176" s="3">
        <v>0</v>
      </c>
      <c r="J176" s="3">
        <f t="shared" si="174"/>
        <v>0</v>
      </c>
      <c r="K176" s="3">
        <v>0</v>
      </c>
      <c r="L176" s="3">
        <v>0</v>
      </c>
      <c r="M176" s="3">
        <f t="shared" si="195"/>
        <v>0</v>
      </c>
      <c r="N176" s="3">
        <f t="shared" si="196"/>
        <v>4827012</v>
      </c>
      <c r="O176" s="3">
        <v>0</v>
      </c>
      <c r="P176" s="3">
        <f t="shared" si="197"/>
        <v>4827012</v>
      </c>
      <c r="Q176" s="3">
        <v>54250</v>
      </c>
      <c r="R176" s="3">
        <v>0</v>
      </c>
      <c r="S176" s="3">
        <f t="shared" si="198"/>
        <v>54250</v>
      </c>
      <c r="T176" s="3">
        <v>32589</v>
      </c>
      <c r="U176" s="3"/>
      <c r="V176" s="3">
        <f t="shared" si="227"/>
        <v>32589</v>
      </c>
      <c r="W176" s="3">
        <f t="shared" si="236"/>
        <v>9878673</v>
      </c>
      <c r="X176" s="3">
        <f t="shared" si="236"/>
        <v>0</v>
      </c>
      <c r="Y176" s="379">
        <f t="shared" si="228"/>
        <v>9878673</v>
      </c>
      <c r="Z176" s="3">
        <v>0</v>
      </c>
      <c r="AA176" s="3">
        <v>2427093</v>
      </c>
      <c r="AB176" s="380">
        <f t="shared" si="176"/>
        <v>2427093</v>
      </c>
      <c r="AC176" s="3">
        <v>177790</v>
      </c>
      <c r="AD176" s="3">
        <v>4649222</v>
      </c>
      <c r="AE176" s="380">
        <f t="shared" ref="AE176:AE181" si="254">SUM(AC176:AD176)</f>
        <v>4827012</v>
      </c>
      <c r="AF176" s="381">
        <f t="shared" si="246"/>
        <v>12177129</v>
      </c>
      <c r="AG176" s="177">
        <f t="shared" si="246"/>
        <v>0</v>
      </c>
      <c r="AH176" s="177">
        <f t="shared" si="229"/>
        <v>12177129</v>
      </c>
      <c r="AI176" s="177">
        <f t="shared" si="247"/>
        <v>33610164</v>
      </c>
      <c r="AJ176" s="177">
        <f t="shared" si="247"/>
        <v>0</v>
      </c>
      <c r="AK176" s="177">
        <f t="shared" si="230"/>
        <v>33610164</v>
      </c>
      <c r="AL176" s="177">
        <f t="shared" si="248"/>
        <v>1503343</v>
      </c>
      <c r="AM176" s="177">
        <f t="shared" si="248"/>
        <v>0</v>
      </c>
      <c r="AN176" s="177">
        <f t="shared" si="231"/>
        <v>1503343</v>
      </c>
      <c r="AO176" s="177">
        <f t="shared" si="249"/>
        <v>0</v>
      </c>
      <c r="AP176" s="177">
        <f t="shared" si="249"/>
        <v>0</v>
      </c>
      <c r="AQ176" s="177">
        <f t="shared" si="232"/>
        <v>0</v>
      </c>
      <c r="AR176" s="177">
        <f t="shared" si="250"/>
        <v>28225875</v>
      </c>
      <c r="AS176" s="177">
        <f t="shared" si="250"/>
        <v>0</v>
      </c>
      <c r="AT176" s="177">
        <f t="shared" si="233"/>
        <v>28225875</v>
      </c>
      <c r="AU176" s="177">
        <f t="shared" si="251"/>
        <v>255486</v>
      </c>
      <c r="AV176" s="177">
        <f t="shared" si="251"/>
        <v>0</v>
      </c>
      <c r="AW176" s="177">
        <f t="shared" si="234"/>
        <v>255486</v>
      </c>
      <c r="AX176" s="177">
        <f t="shared" si="252"/>
        <v>991034</v>
      </c>
      <c r="AY176" s="177">
        <f t="shared" si="252"/>
        <v>0</v>
      </c>
      <c r="AZ176" s="177">
        <f t="shared" si="224"/>
        <v>991034</v>
      </c>
      <c r="BA176" s="177">
        <f t="shared" si="253"/>
        <v>76763031</v>
      </c>
      <c r="BB176" s="177">
        <f t="shared" si="253"/>
        <v>0</v>
      </c>
      <c r="BC176" s="382">
        <f t="shared" si="202"/>
        <v>76763031</v>
      </c>
      <c r="BD176" s="83">
        <f t="shared" si="191"/>
        <v>-0.23601918813921841</v>
      </c>
    </row>
    <row r="177" spans="1:56">
      <c r="A177" s="170">
        <v>45444</v>
      </c>
      <c r="B177" s="378">
        <v>2214046</v>
      </c>
      <c r="C177" s="3">
        <v>0</v>
      </c>
      <c r="D177" s="3">
        <f t="shared" si="225"/>
        <v>2214046</v>
      </c>
      <c r="E177" s="3">
        <f t="shared" si="226"/>
        <v>10522701</v>
      </c>
      <c r="F177" s="3">
        <v>0</v>
      </c>
      <c r="G177" s="3">
        <f t="shared" si="194"/>
        <v>10522701</v>
      </c>
      <c r="H177" s="3">
        <v>623806</v>
      </c>
      <c r="I177" s="3">
        <v>0</v>
      </c>
      <c r="J177" s="3">
        <f t="shared" si="174"/>
        <v>623806</v>
      </c>
      <c r="K177" s="3">
        <v>0</v>
      </c>
      <c r="L177" s="3">
        <v>0</v>
      </c>
      <c r="M177" s="3">
        <f t="shared" si="195"/>
        <v>0</v>
      </c>
      <c r="N177" s="3">
        <f t="shared" si="196"/>
        <v>6086394</v>
      </c>
      <c r="O177" s="3">
        <v>0</v>
      </c>
      <c r="P177" s="3">
        <f t="shared" si="197"/>
        <v>6086394</v>
      </c>
      <c r="Q177" s="3">
        <v>113403</v>
      </c>
      <c r="R177" s="3">
        <v>0</v>
      </c>
      <c r="S177" s="3">
        <f t="shared" si="198"/>
        <v>113403</v>
      </c>
      <c r="T177" s="3">
        <v>0</v>
      </c>
      <c r="U177" s="3"/>
      <c r="V177" s="3">
        <f t="shared" si="227"/>
        <v>0</v>
      </c>
      <c r="W177" s="3">
        <f t="shared" si="236"/>
        <v>19560350</v>
      </c>
      <c r="X177" s="3">
        <f t="shared" si="236"/>
        <v>0</v>
      </c>
      <c r="Y177" s="379">
        <f t="shared" si="228"/>
        <v>19560350</v>
      </c>
      <c r="Z177" s="3">
        <v>0</v>
      </c>
      <c r="AA177" s="3">
        <v>10522701</v>
      </c>
      <c r="AB177" s="380">
        <f t="shared" si="176"/>
        <v>10522701</v>
      </c>
      <c r="AC177" s="3">
        <v>1982329</v>
      </c>
      <c r="AD177" s="3">
        <v>4104065</v>
      </c>
      <c r="AE177" s="380">
        <f t="shared" si="254"/>
        <v>6086394</v>
      </c>
      <c r="AF177" s="381">
        <f t="shared" si="246"/>
        <v>14391175</v>
      </c>
      <c r="AG177" s="177">
        <f t="shared" si="246"/>
        <v>0</v>
      </c>
      <c r="AH177" s="177">
        <f t="shared" si="229"/>
        <v>14391175</v>
      </c>
      <c r="AI177" s="177">
        <f t="shared" si="247"/>
        <v>44132865</v>
      </c>
      <c r="AJ177" s="177">
        <f t="shared" si="247"/>
        <v>0</v>
      </c>
      <c r="AK177" s="177">
        <f t="shared" si="230"/>
        <v>44132865</v>
      </c>
      <c r="AL177" s="177">
        <f t="shared" si="248"/>
        <v>2127149</v>
      </c>
      <c r="AM177" s="177">
        <f t="shared" si="248"/>
        <v>0</v>
      </c>
      <c r="AN177" s="177">
        <f t="shared" si="231"/>
        <v>2127149</v>
      </c>
      <c r="AO177" s="177">
        <f t="shared" si="249"/>
        <v>0</v>
      </c>
      <c r="AP177" s="177">
        <f t="shared" si="249"/>
        <v>0</v>
      </c>
      <c r="AQ177" s="177">
        <f t="shared" si="232"/>
        <v>0</v>
      </c>
      <c r="AR177" s="177">
        <f t="shared" si="250"/>
        <v>34312269</v>
      </c>
      <c r="AS177" s="177">
        <f t="shared" si="250"/>
        <v>0</v>
      </c>
      <c r="AT177" s="177">
        <f t="shared" si="233"/>
        <v>34312269</v>
      </c>
      <c r="AU177" s="177">
        <f t="shared" si="251"/>
        <v>368889</v>
      </c>
      <c r="AV177" s="177">
        <f t="shared" si="251"/>
        <v>0</v>
      </c>
      <c r="AW177" s="177">
        <f t="shared" si="234"/>
        <v>368889</v>
      </c>
      <c r="AX177" s="177">
        <f t="shared" si="252"/>
        <v>991034</v>
      </c>
      <c r="AY177" s="177">
        <f t="shared" si="252"/>
        <v>0</v>
      </c>
      <c r="AZ177" s="177">
        <f t="shared" si="224"/>
        <v>991034</v>
      </c>
      <c r="BA177" s="177">
        <f t="shared" si="253"/>
        <v>96323381</v>
      </c>
      <c r="BB177" s="177">
        <f t="shared" si="253"/>
        <v>0</v>
      </c>
      <c r="BC177" s="382">
        <f t="shared" si="202"/>
        <v>96323381</v>
      </c>
      <c r="BD177" s="83">
        <f t="shared" si="191"/>
        <v>-0.23750855546403749</v>
      </c>
    </row>
    <row r="178" spans="1:56">
      <c r="A178" s="170">
        <v>45474</v>
      </c>
      <c r="B178" s="378">
        <v>2272727</v>
      </c>
      <c r="C178" s="3">
        <v>0</v>
      </c>
      <c r="D178" s="3">
        <f t="shared" si="225"/>
        <v>2272727</v>
      </c>
      <c r="E178" s="3">
        <f t="shared" si="226"/>
        <v>11537395</v>
      </c>
      <c r="F178" s="3">
        <v>0</v>
      </c>
      <c r="G178" s="3">
        <f t="shared" si="194"/>
        <v>11537395</v>
      </c>
      <c r="H178" s="3">
        <v>326455</v>
      </c>
      <c r="I178" s="3">
        <v>0</v>
      </c>
      <c r="J178" s="3">
        <f t="shared" si="174"/>
        <v>326455</v>
      </c>
      <c r="K178" s="3">
        <v>0</v>
      </c>
      <c r="L178" s="3">
        <v>0</v>
      </c>
      <c r="M178" s="3">
        <f t="shared" si="195"/>
        <v>0</v>
      </c>
      <c r="N178" s="3">
        <f t="shared" si="196"/>
        <v>5965976</v>
      </c>
      <c r="O178" s="3">
        <v>0</v>
      </c>
      <c r="P178" s="3">
        <f t="shared" si="197"/>
        <v>5965976</v>
      </c>
      <c r="Q178" s="3">
        <v>106952</v>
      </c>
      <c r="R178" s="3">
        <v>0</v>
      </c>
      <c r="S178" s="3">
        <f t="shared" si="198"/>
        <v>106952</v>
      </c>
      <c r="T178" s="3">
        <v>0</v>
      </c>
      <c r="U178" s="3"/>
      <c r="V178" s="3">
        <f t="shared" si="227"/>
        <v>0</v>
      </c>
      <c r="W178" s="3">
        <f t="shared" ref="W178:X186" si="255">B178+E178+H178+K178+N178+Q178+T178</f>
        <v>20209505</v>
      </c>
      <c r="X178" s="3">
        <f t="shared" si="255"/>
        <v>0</v>
      </c>
      <c r="Y178" s="379">
        <f t="shared" si="228"/>
        <v>20209505</v>
      </c>
      <c r="Z178" s="3">
        <v>0</v>
      </c>
      <c r="AA178" s="3">
        <v>11537395</v>
      </c>
      <c r="AB178" s="380">
        <f t="shared" si="176"/>
        <v>11537395</v>
      </c>
      <c r="AC178" s="3">
        <v>1964281</v>
      </c>
      <c r="AD178" s="3">
        <v>4001695</v>
      </c>
      <c r="AE178" s="380">
        <f t="shared" si="254"/>
        <v>5965976</v>
      </c>
      <c r="AF178" s="381">
        <f t="shared" si="246"/>
        <v>16663902</v>
      </c>
      <c r="AG178" s="177">
        <f t="shared" si="246"/>
        <v>0</v>
      </c>
      <c r="AH178" s="177">
        <f t="shared" si="229"/>
        <v>16663902</v>
      </c>
      <c r="AI178" s="177">
        <f t="shared" si="247"/>
        <v>55670260</v>
      </c>
      <c r="AJ178" s="177">
        <f t="shared" si="247"/>
        <v>0</v>
      </c>
      <c r="AK178" s="177">
        <f t="shared" si="230"/>
        <v>55670260</v>
      </c>
      <c r="AL178" s="177">
        <f t="shared" si="248"/>
        <v>2453604</v>
      </c>
      <c r="AM178" s="177">
        <f t="shared" si="248"/>
        <v>0</v>
      </c>
      <c r="AN178" s="177">
        <f t="shared" si="231"/>
        <v>2453604</v>
      </c>
      <c r="AO178" s="177">
        <f t="shared" si="249"/>
        <v>0</v>
      </c>
      <c r="AP178" s="177">
        <f t="shared" si="249"/>
        <v>0</v>
      </c>
      <c r="AQ178" s="177">
        <f t="shared" si="232"/>
        <v>0</v>
      </c>
      <c r="AR178" s="177">
        <f t="shared" si="250"/>
        <v>40278245</v>
      </c>
      <c r="AS178" s="177">
        <f t="shared" si="250"/>
        <v>0</v>
      </c>
      <c r="AT178" s="177">
        <f t="shared" si="233"/>
        <v>40278245</v>
      </c>
      <c r="AU178" s="177">
        <f t="shared" si="251"/>
        <v>475841</v>
      </c>
      <c r="AV178" s="177">
        <f t="shared" si="251"/>
        <v>0</v>
      </c>
      <c r="AW178" s="177">
        <f t="shared" si="234"/>
        <v>475841</v>
      </c>
      <c r="AX178" s="177">
        <f t="shared" si="252"/>
        <v>991034</v>
      </c>
      <c r="AY178" s="177">
        <f t="shared" si="252"/>
        <v>0</v>
      </c>
      <c r="AZ178" s="177">
        <f t="shared" si="224"/>
        <v>991034</v>
      </c>
      <c r="BA178" s="177">
        <f t="shared" si="253"/>
        <v>116532886</v>
      </c>
      <c r="BB178" s="177">
        <f t="shared" si="253"/>
        <v>0</v>
      </c>
      <c r="BC178" s="382">
        <f t="shared" si="202"/>
        <v>116532886</v>
      </c>
      <c r="BD178" s="83">
        <f t="shared" si="191"/>
        <v>-0.16851097989628072</v>
      </c>
    </row>
    <row r="179" spans="1:56">
      <c r="A179" s="170">
        <v>45505</v>
      </c>
      <c r="B179" s="378">
        <v>2063554</v>
      </c>
      <c r="C179" s="3">
        <v>0</v>
      </c>
      <c r="D179" s="3">
        <f t="shared" si="225"/>
        <v>2063554</v>
      </c>
      <c r="E179" s="3">
        <f t="shared" si="226"/>
        <v>15069221</v>
      </c>
      <c r="F179" s="3">
        <v>0</v>
      </c>
      <c r="G179" s="3">
        <f t="shared" si="194"/>
        <v>15069221</v>
      </c>
      <c r="H179" s="3">
        <v>367511</v>
      </c>
      <c r="I179" s="3">
        <v>0</v>
      </c>
      <c r="J179" s="3">
        <f t="shared" si="174"/>
        <v>367511</v>
      </c>
      <c r="K179" s="3">
        <v>0</v>
      </c>
      <c r="L179" s="3">
        <v>0</v>
      </c>
      <c r="M179" s="3">
        <f t="shared" si="195"/>
        <v>0</v>
      </c>
      <c r="N179" s="3">
        <f t="shared" si="196"/>
        <v>6115138</v>
      </c>
      <c r="O179" s="3">
        <v>0</v>
      </c>
      <c r="P179" s="3">
        <f t="shared" si="197"/>
        <v>6115138</v>
      </c>
      <c r="Q179" s="3">
        <v>108995</v>
      </c>
      <c r="R179" s="3">
        <v>0</v>
      </c>
      <c r="S179" s="3">
        <f t="shared" si="198"/>
        <v>108995</v>
      </c>
      <c r="T179" s="3">
        <v>0</v>
      </c>
      <c r="U179" s="3"/>
      <c r="V179" s="3">
        <f t="shared" si="227"/>
        <v>0</v>
      </c>
      <c r="W179" s="3">
        <f t="shared" si="255"/>
        <v>23724419</v>
      </c>
      <c r="X179" s="3">
        <f t="shared" si="255"/>
        <v>0</v>
      </c>
      <c r="Y179" s="379">
        <f t="shared" si="228"/>
        <v>23724419</v>
      </c>
      <c r="Z179" s="3">
        <v>0</v>
      </c>
      <c r="AA179" s="3">
        <v>15069221</v>
      </c>
      <c r="AB179" s="380">
        <f t="shared" si="176"/>
        <v>15069221</v>
      </c>
      <c r="AC179" s="3">
        <v>1826973</v>
      </c>
      <c r="AD179" s="3">
        <v>4288165</v>
      </c>
      <c r="AE179" s="380">
        <f t="shared" si="254"/>
        <v>6115138</v>
      </c>
      <c r="AF179" s="381">
        <f t="shared" si="246"/>
        <v>18727456</v>
      </c>
      <c r="AG179" s="177">
        <f t="shared" si="246"/>
        <v>0</v>
      </c>
      <c r="AH179" s="177">
        <f t="shared" si="229"/>
        <v>18727456</v>
      </c>
      <c r="AI179" s="177">
        <f t="shared" si="247"/>
        <v>70739481</v>
      </c>
      <c r="AJ179" s="177">
        <f t="shared" si="247"/>
        <v>0</v>
      </c>
      <c r="AK179" s="177">
        <f t="shared" si="230"/>
        <v>70739481</v>
      </c>
      <c r="AL179" s="177">
        <f t="shared" si="248"/>
        <v>2821115</v>
      </c>
      <c r="AM179" s="177">
        <f t="shared" si="248"/>
        <v>0</v>
      </c>
      <c r="AN179" s="177">
        <f t="shared" si="231"/>
        <v>2821115</v>
      </c>
      <c r="AO179" s="177">
        <f t="shared" si="249"/>
        <v>0</v>
      </c>
      <c r="AP179" s="177">
        <f t="shared" si="249"/>
        <v>0</v>
      </c>
      <c r="AQ179" s="177">
        <f t="shared" si="232"/>
        <v>0</v>
      </c>
      <c r="AR179" s="177">
        <f t="shared" si="250"/>
        <v>46393383</v>
      </c>
      <c r="AS179" s="177">
        <f t="shared" si="250"/>
        <v>0</v>
      </c>
      <c r="AT179" s="177">
        <f t="shared" si="233"/>
        <v>46393383</v>
      </c>
      <c r="AU179" s="177">
        <f t="shared" si="251"/>
        <v>584836</v>
      </c>
      <c r="AV179" s="177">
        <f t="shared" si="251"/>
        <v>0</v>
      </c>
      <c r="AW179" s="177">
        <f t="shared" si="234"/>
        <v>584836</v>
      </c>
      <c r="AX179" s="177">
        <f t="shared" si="252"/>
        <v>991034</v>
      </c>
      <c r="AY179" s="177">
        <f t="shared" si="252"/>
        <v>0</v>
      </c>
      <c r="AZ179" s="177">
        <f t="shared" si="224"/>
        <v>991034</v>
      </c>
      <c r="BA179" s="177">
        <f t="shared" si="253"/>
        <v>140257305</v>
      </c>
      <c r="BB179" s="177">
        <f t="shared" si="253"/>
        <v>0</v>
      </c>
      <c r="BC179" s="382">
        <f t="shared" si="202"/>
        <v>140257305</v>
      </c>
      <c r="BD179" s="83">
        <f t="shared" si="191"/>
        <v>-0.13332809093652809</v>
      </c>
    </row>
    <row r="180" spans="1:56">
      <c r="A180" s="170">
        <v>45536</v>
      </c>
      <c r="B180" s="378">
        <v>2338802</v>
      </c>
      <c r="C180" s="3">
        <v>0</v>
      </c>
      <c r="D180" s="3">
        <f t="shared" si="225"/>
        <v>2338802</v>
      </c>
      <c r="E180" s="3">
        <f t="shared" si="226"/>
        <v>11578932</v>
      </c>
      <c r="F180" s="3">
        <v>0</v>
      </c>
      <c r="G180" s="3">
        <f t="shared" si="194"/>
        <v>11578932</v>
      </c>
      <c r="H180" s="3">
        <v>500170</v>
      </c>
      <c r="I180" s="3">
        <v>0</v>
      </c>
      <c r="J180" s="3">
        <f t="shared" si="174"/>
        <v>500170</v>
      </c>
      <c r="K180" s="3">
        <v>0</v>
      </c>
      <c r="L180" s="3">
        <v>0</v>
      </c>
      <c r="M180" s="3">
        <f t="shared" si="195"/>
        <v>0</v>
      </c>
      <c r="N180" s="3">
        <f t="shared" si="196"/>
        <v>12716923</v>
      </c>
      <c r="O180" s="3">
        <v>0</v>
      </c>
      <c r="P180" s="3">
        <f t="shared" si="197"/>
        <v>12716923</v>
      </c>
      <c r="Q180" s="3">
        <v>122167</v>
      </c>
      <c r="R180" s="3">
        <v>0</v>
      </c>
      <c r="S180" s="3">
        <f t="shared" si="198"/>
        <v>122167</v>
      </c>
      <c r="T180" s="3">
        <v>0</v>
      </c>
      <c r="U180" s="3"/>
      <c r="V180" s="3">
        <f t="shared" si="227"/>
        <v>0</v>
      </c>
      <c r="W180" s="3">
        <f t="shared" si="255"/>
        <v>27256994</v>
      </c>
      <c r="X180" s="3">
        <f t="shared" si="255"/>
        <v>0</v>
      </c>
      <c r="Y180" s="379">
        <f t="shared" si="228"/>
        <v>27256994</v>
      </c>
      <c r="Z180" s="3">
        <v>0</v>
      </c>
      <c r="AA180" s="3">
        <v>11578932</v>
      </c>
      <c r="AB180" s="380">
        <f t="shared" si="176"/>
        <v>11578932</v>
      </c>
      <c r="AC180" s="3">
        <v>7074323</v>
      </c>
      <c r="AD180" s="3">
        <v>5642600</v>
      </c>
      <c r="AE180" s="380">
        <f t="shared" si="254"/>
        <v>12716923</v>
      </c>
      <c r="AF180" s="381">
        <f t="shared" si="246"/>
        <v>21066258</v>
      </c>
      <c r="AG180" s="177">
        <f t="shared" si="246"/>
        <v>0</v>
      </c>
      <c r="AH180" s="177">
        <f t="shared" si="229"/>
        <v>21066258</v>
      </c>
      <c r="AI180" s="177">
        <f t="shared" si="247"/>
        <v>82318413</v>
      </c>
      <c r="AJ180" s="177">
        <f t="shared" si="247"/>
        <v>0</v>
      </c>
      <c r="AK180" s="177">
        <f t="shared" si="230"/>
        <v>82318413</v>
      </c>
      <c r="AL180" s="177">
        <f t="shared" si="248"/>
        <v>3321285</v>
      </c>
      <c r="AM180" s="177">
        <f t="shared" si="248"/>
        <v>0</v>
      </c>
      <c r="AN180" s="177">
        <f t="shared" si="231"/>
        <v>3321285</v>
      </c>
      <c r="AO180" s="177">
        <f t="shared" si="249"/>
        <v>0</v>
      </c>
      <c r="AP180" s="177">
        <f t="shared" si="249"/>
        <v>0</v>
      </c>
      <c r="AQ180" s="177">
        <f t="shared" si="232"/>
        <v>0</v>
      </c>
      <c r="AR180" s="177">
        <f t="shared" si="250"/>
        <v>59110306</v>
      </c>
      <c r="AS180" s="177">
        <f t="shared" si="250"/>
        <v>0</v>
      </c>
      <c r="AT180" s="177">
        <f t="shared" si="233"/>
        <v>59110306</v>
      </c>
      <c r="AU180" s="177">
        <f t="shared" si="251"/>
        <v>707003</v>
      </c>
      <c r="AV180" s="177">
        <f t="shared" si="251"/>
        <v>0</v>
      </c>
      <c r="AW180" s="177">
        <f t="shared" si="234"/>
        <v>707003</v>
      </c>
      <c r="AX180" s="177">
        <f t="shared" si="252"/>
        <v>991034</v>
      </c>
      <c r="AY180" s="177">
        <f t="shared" si="252"/>
        <v>0</v>
      </c>
      <c r="AZ180" s="177">
        <f t="shared" si="224"/>
        <v>991034</v>
      </c>
      <c r="BA180" s="177">
        <f t="shared" si="253"/>
        <v>167514299</v>
      </c>
      <c r="BB180" s="177">
        <f t="shared" si="253"/>
        <v>0</v>
      </c>
      <c r="BC180" s="382">
        <f t="shared" si="202"/>
        <v>167514299</v>
      </c>
      <c r="BD180" s="83">
        <f t="shared" si="191"/>
        <v>-0.1740914120722471</v>
      </c>
    </row>
    <row r="181" spans="1:56">
      <c r="A181" s="170">
        <v>45566</v>
      </c>
      <c r="B181" s="378">
        <v>2350773</v>
      </c>
      <c r="C181" s="3">
        <v>0</v>
      </c>
      <c r="D181" s="3">
        <f t="shared" si="225"/>
        <v>2350773</v>
      </c>
      <c r="E181" s="3">
        <f t="shared" si="226"/>
        <v>8689082</v>
      </c>
      <c r="F181" s="3">
        <v>0</v>
      </c>
      <c r="G181" s="3">
        <f t="shared" si="194"/>
        <v>8689082</v>
      </c>
      <c r="H181" s="3">
        <v>125516</v>
      </c>
      <c r="I181" s="3">
        <v>0</v>
      </c>
      <c r="J181" s="3">
        <f t="shared" si="174"/>
        <v>125516</v>
      </c>
      <c r="K181" s="3">
        <v>0</v>
      </c>
      <c r="L181" s="3">
        <v>0</v>
      </c>
      <c r="M181" s="3">
        <f t="shared" si="195"/>
        <v>0</v>
      </c>
      <c r="N181" s="3">
        <f t="shared" si="196"/>
        <v>11490326</v>
      </c>
      <c r="O181" s="3">
        <v>0</v>
      </c>
      <c r="P181" s="3">
        <f t="shared" si="197"/>
        <v>11490326</v>
      </c>
      <c r="Q181" s="3">
        <v>126126</v>
      </c>
      <c r="R181" s="3">
        <v>0</v>
      </c>
      <c r="S181" s="3">
        <f t="shared" si="198"/>
        <v>126126</v>
      </c>
      <c r="T181" s="3">
        <v>0</v>
      </c>
      <c r="U181" s="3"/>
      <c r="V181" s="3">
        <f t="shared" si="227"/>
        <v>0</v>
      </c>
      <c r="W181" s="3">
        <f t="shared" si="255"/>
        <v>22781823</v>
      </c>
      <c r="X181" s="3">
        <f t="shared" si="255"/>
        <v>0</v>
      </c>
      <c r="Y181" s="379">
        <f t="shared" si="228"/>
        <v>22781823</v>
      </c>
      <c r="Z181" s="3">
        <v>0</v>
      </c>
      <c r="AA181" s="3">
        <v>8689082</v>
      </c>
      <c r="AB181" s="380">
        <f t="shared" si="176"/>
        <v>8689082</v>
      </c>
      <c r="AC181" s="3">
        <v>5675480</v>
      </c>
      <c r="AD181" s="3">
        <v>5814846</v>
      </c>
      <c r="AE181" s="380">
        <f t="shared" si="254"/>
        <v>11490326</v>
      </c>
      <c r="AF181" s="381">
        <f t="shared" si="246"/>
        <v>23417031</v>
      </c>
      <c r="AG181" s="177">
        <f t="shared" si="246"/>
        <v>0</v>
      </c>
      <c r="AH181" s="177">
        <f t="shared" si="229"/>
        <v>23417031</v>
      </c>
      <c r="AI181" s="177">
        <f t="shared" si="247"/>
        <v>91007495</v>
      </c>
      <c r="AJ181" s="177">
        <f t="shared" si="247"/>
        <v>0</v>
      </c>
      <c r="AK181" s="177">
        <f t="shared" si="230"/>
        <v>91007495</v>
      </c>
      <c r="AL181" s="177">
        <f t="shared" si="248"/>
        <v>3446801</v>
      </c>
      <c r="AM181" s="177">
        <f t="shared" si="248"/>
        <v>0</v>
      </c>
      <c r="AN181" s="177">
        <f t="shared" si="231"/>
        <v>3446801</v>
      </c>
      <c r="AO181" s="177">
        <f t="shared" si="249"/>
        <v>0</v>
      </c>
      <c r="AP181" s="177">
        <f t="shared" si="249"/>
        <v>0</v>
      </c>
      <c r="AQ181" s="177">
        <f t="shared" si="232"/>
        <v>0</v>
      </c>
      <c r="AR181" s="177">
        <f t="shared" si="250"/>
        <v>70600632</v>
      </c>
      <c r="AS181" s="177">
        <f t="shared" si="250"/>
        <v>0</v>
      </c>
      <c r="AT181" s="177">
        <f t="shared" si="233"/>
        <v>70600632</v>
      </c>
      <c r="AU181" s="177">
        <f t="shared" si="251"/>
        <v>833129</v>
      </c>
      <c r="AV181" s="177">
        <f t="shared" si="251"/>
        <v>0</v>
      </c>
      <c r="AW181" s="177">
        <f t="shared" si="234"/>
        <v>833129</v>
      </c>
      <c r="AX181" s="177">
        <f t="shared" si="252"/>
        <v>991034</v>
      </c>
      <c r="AY181" s="177">
        <f t="shared" si="252"/>
        <v>0</v>
      </c>
      <c r="AZ181" s="177">
        <f t="shared" si="224"/>
        <v>991034</v>
      </c>
      <c r="BA181" s="177">
        <f t="shared" si="253"/>
        <v>190296122</v>
      </c>
      <c r="BB181" s="177">
        <f t="shared" si="253"/>
        <v>0</v>
      </c>
      <c r="BC181" s="382">
        <f t="shared" si="202"/>
        <v>190296122</v>
      </c>
      <c r="BD181" s="83">
        <f t="shared" si="191"/>
        <v>-0.1682901423240597</v>
      </c>
    </row>
    <row r="182" spans="1:56">
      <c r="A182" s="170">
        <v>45597</v>
      </c>
      <c r="B182" s="378">
        <v>2503531</v>
      </c>
      <c r="C182" s="3">
        <v>0</v>
      </c>
      <c r="D182" s="3">
        <f t="shared" si="225"/>
        <v>2503531</v>
      </c>
      <c r="E182" s="3">
        <f t="shared" si="226"/>
        <v>12209483</v>
      </c>
      <c r="F182" s="3">
        <v>0</v>
      </c>
      <c r="G182" s="3">
        <f t="shared" si="194"/>
        <v>12209483</v>
      </c>
      <c r="H182" s="3">
        <v>508880</v>
      </c>
      <c r="I182" s="3">
        <v>0</v>
      </c>
      <c r="J182" s="3">
        <f t="shared" si="174"/>
        <v>508880</v>
      </c>
      <c r="K182" s="3">
        <v>0</v>
      </c>
      <c r="L182" s="3">
        <v>0</v>
      </c>
      <c r="M182" s="3">
        <f t="shared" si="195"/>
        <v>0</v>
      </c>
      <c r="N182" s="3">
        <f t="shared" si="196"/>
        <v>10433765</v>
      </c>
      <c r="O182" s="3">
        <v>0</v>
      </c>
      <c r="P182" s="3">
        <f t="shared" si="197"/>
        <v>10433765</v>
      </c>
      <c r="Q182" s="3">
        <v>166766</v>
      </c>
      <c r="R182" s="3">
        <v>0</v>
      </c>
      <c r="S182" s="3">
        <f t="shared" si="198"/>
        <v>166766</v>
      </c>
      <c r="T182" s="3">
        <v>0</v>
      </c>
      <c r="U182" s="3"/>
      <c r="V182" s="3">
        <f t="shared" si="227"/>
        <v>0</v>
      </c>
      <c r="W182" s="3">
        <f t="shared" si="255"/>
        <v>25822425</v>
      </c>
      <c r="X182" s="3">
        <f t="shared" si="255"/>
        <v>0</v>
      </c>
      <c r="Y182" s="379">
        <f t="shared" si="228"/>
        <v>25822425</v>
      </c>
      <c r="Z182" s="3">
        <v>0</v>
      </c>
      <c r="AA182" s="3">
        <v>12209483</v>
      </c>
      <c r="AB182" s="380">
        <f t="shared" si="176"/>
        <v>12209483</v>
      </c>
      <c r="AC182" s="3">
        <v>5706477</v>
      </c>
      <c r="AD182" s="3">
        <v>4727288</v>
      </c>
      <c r="AE182" s="380">
        <f t="shared" ref="AE182:AE186" si="256">SUM(AC182:AD182)</f>
        <v>10433765</v>
      </c>
      <c r="AF182" s="381">
        <f t="shared" si="246"/>
        <v>25920562</v>
      </c>
      <c r="AG182" s="177">
        <f t="shared" si="246"/>
        <v>0</v>
      </c>
      <c r="AH182" s="177">
        <f t="shared" si="229"/>
        <v>25920562</v>
      </c>
      <c r="AI182" s="177">
        <f t="shared" si="247"/>
        <v>103216978</v>
      </c>
      <c r="AJ182" s="177">
        <f t="shared" si="247"/>
        <v>0</v>
      </c>
      <c r="AK182" s="177">
        <f t="shared" si="230"/>
        <v>103216978</v>
      </c>
      <c r="AL182" s="177">
        <f t="shared" si="248"/>
        <v>3955681</v>
      </c>
      <c r="AM182" s="177">
        <f t="shared" si="248"/>
        <v>0</v>
      </c>
      <c r="AN182" s="177">
        <f t="shared" si="231"/>
        <v>3955681</v>
      </c>
      <c r="AO182" s="177">
        <f t="shared" si="249"/>
        <v>0</v>
      </c>
      <c r="AP182" s="177">
        <f t="shared" si="249"/>
        <v>0</v>
      </c>
      <c r="AQ182" s="177">
        <f t="shared" si="232"/>
        <v>0</v>
      </c>
      <c r="AR182" s="177">
        <f t="shared" si="250"/>
        <v>81034397</v>
      </c>
      <c r="AS182" s="177">
        <f t="shared" si="250"/>
        <v>0</v>
      </c>
      <c r="AT182" s="177">
        <f t="shared" si="233"/>
        <v>81034397</v>
      </c>
      <c r="AU182" s="177">
        <f t="shared" si="251"/>
        <v>999895</v>
      </c>
      <c r="AV182" s="177">
        <f t="shared" si="251"/>
        <v>0</v>
      </c>
      <c r="AW182" s="177">
        <f t="shared" si="234"/>
        <v>999895</v>
      </c>
      <c r="AX182" s="177">
        <f t="shared" si="252"/>
        <v>991034</v>
      </c>
      <c r="AY182" s="177">
        <f t="shared" si="252"/>
        <v>0</v>
      </c>
      <c r="AZ182" s="177">
        <f t="shared" si="224"/>
        <v>991034</v>
      </c>
      <c r="BA182" s="177">
        <f t="shared" si="253"/>
        <v>216118547</v>
      </c>
      <c r="BB182" s="177">
        <f t="shared" si="253"/>
        <v>0</v>
      </c>
      <c r="BC182" s="382">
        <f t="shared" si="202"/>
        <v>216118547</v>
      </c>
      <c r="BD182" s="83">
        <f t="shared" si="191"/>
        <v>-0.11673828414852849</v>
      </c>
    </row>
    <row r="183" spans="1:56" ht="15.75" thickBot="1">
      <c r="A183" s="170">
        <v>45627</v>
      </c>
      <c r="B183" s="378">
        <v>2764927</v>
      </c>
      <c r="C183" s="3">
        <v>0</v>
      </c>
      <c r="D183" s="3">
        <f t="shared" si="225"/>
        <v>2764927</v>
      </c>
      <c r="E183" s="3">
        <f t="shared" si="226"/>
        <v>10915294</v>
      </c>
      <c r="F183" s="3">
        <v>0</v>
      </c>
      <c r="G183" s="3">
        <f t="shared" si="194"/>
        <v>10915294</v>
      </c>
      <c r="H183" s="3">
        <v>481371</v>
      </c>
      <c r="I183" s="3">
        <v>0</v>
      </c>
      <c r="J183" s="3">
        <f t="shared" si="174"/>
        <v>481371</v>
      </c>
      <c r="K183" s="3">
        <v>0</v>
      </c>
      <c r="L183" s="3">
        <v>0</v>
      </c>
      <c r="M183" s="3">
        <f t="shared" si="195"/>
        <v>0</v>
      </c>
      <c r="N183" s="3">
        <f t="shared" si="196"/>
        <v>12755214</v>
      </c>
      <c r="O183" s="3">
        <v>0</v>
      </c>
      <c r="P183" s="3">
        <f t="shared" si="197"/>
        <v>12755214</v>
      </c>
      <c r="Q183" s="3">
        <v>120576</v>
      </c>
      <c r="R183" s="3">
        <v>0</v>
      </c>
      <c r="S183" s="3">
        <f t="shared" si="198"/>
        <v>120576</v>
      </c>
      <c r="T183" s="3">
        <v>0</v>
      </c>
      <c r="U183" s="3"/>
      <c r="V183" s="3">
        <f t="shared" si="227"/>
        <v>0</v>
      </c>
      <c r="W183" s="3">
        <f t="shared" si="255"/>
        <v>27037382</v>
      </c>
      <c r="X183" s="3">
        <f t="shared" si="255"/>
        <v>0</v>
      </c>
      <c r="Y183" s="379">
        <f t="shared" si="228"/>
        <v>27037382</v>
      </c>
      <c r="Z183" s="3">
        <v>0</v>
      </c>
      <c r="AA183" s="3">
        <v>10915294</v>
      </c>
      <c r="AB183" s="380">
        <f t="shared" si="176"/>
        <v>10915294</v>
      </c>
      <c r="AC183" s="3">
        <v>5389457</v>
      </c>
      <c r="AD183" s="3">
        <v>7365757</v>
      </c>
      <c r="AE183" s="380">
        <f t="shared" si="256"/>
        <v>12755214</v>
      </c>
      <c r="AF183" s="381">
        <f t="shared" si="246"/>
        <v>28685489</v>
      </c>
      <c r="AG183" s="177">
        <f t="shared" si="246"/>
        <v>0</v>
      </c>
      <c r="AH183" s="177">
        <f t="shared" si="229"/>
        <v>28685489</v>
      </c>
      <c r="AI183" s="177">
        <f t="shared" si="247"/>
        <v>114132272</v>
      </c>
      <c r="AJ183" s="177">
        <f t="shared" si="247"/>
        <v>0</v>
      </c>
      <c r="AK183" s="177">
        <f t="shared" si="230"/>
        <v>114132272</v>
      </c>
      <c r="AL183" s="177">
        <f t="shared" si="248"/>
        <v>4437052</v>
      </c>
      <c r="AM183" s="177">
        <f t="shared" si="248"/>
        <v>0</v>
      </c>
      <c r="AN183" s="177">
        <f t="shared" si="231"/>
        <v>4437052</v>
      </c>
      <c r="AO183" s="177">
        <f t="shared" si="249"/>
        <v>0</v>
      </c>
      <c r="AP183" s="177">
        <f t="shared" si="249"/>
        <v>0</v>
      </c>
      <c r="AQ183" s="177">
        <f t="shared" si="232"/>
        <v>0</v>
      </c>
      <c r="AR183" s="177">
        <f t="shared" si="250"/>
        <v>93789611</v>
      </c>
      <c r="AS183" s="177">
        <f t="shared" si="250"/>
        <v>0</v>
      </c>
      <c r="AT183" s="177">
        <f t="shared" si="233"/>
        <v>93789611</v>
      </c>
      <c r="AU183" s="177">
        <f t="shared" si="251"/>
        <v>1120471</v>
      </c>
      <c r="AV183" s="177">
        <f t="shared" si="251"/>
        <v>0</v>
      </c>
      <c r="AW183" s="177">
        <f t="shared" si="234"/>
        <v>1120471</v>
      </c>
      <c r="AX183" s="177">
        <f t="shared" si="252"/>
        <v>991034</v>
      </c>
      <c r="AY183" s="177">
        <f t="shared" si="252"/>
        <v>0</v>
      </c>
      <c r="AZ183" s="177">
        <f t="shared" si="224"/>
        <v>991034</v>
      </c>
      <c r="BA183" s="177">
        <f t="shared" si="253"/>
        <v>243155929</v>
      </c>
      <c r="BB183" s="177">
        <f t="shared" si="253"/>
        <v>0</v>
      </c>
      <c r="BC183" s="382">
        <f t="shared" si="202"/>
        <v>243155929</v>
      </c>
      <c r="BD183" s="83">
        <f t="shared" si="191"/>
        <v>-7.5259213943480785E-2</v>
      </c>
    </row>
    <row r="184" spans="1:56">
      <c r="A184" s="171">
        <v>45658</v>
      </c>
      <c r="B184" s="385">
        <v>2317112</v>
      </c>
      <c r="C184" s="104">
        <v>0</v>
      </c>
      <c r="D184" s="104">
        <f t="shared" si="225"/>
        <v>2317112</v>
      </c>
      <c r="E184" s="104">
        <f t="shared" si="226"/>
        <v>9207214</v>
      </c>
      <c r="F184" s="104">
        <v>0</v>
      </c>
      <c r="G184" s="104">
        <f t="shared" si="194"/>
        <v>9207214</v>
      </c>
      <c r="H184" s="104">
        <v>337767</v>
      </c>
      <c r="I184" s="104">
        <v>0</v>
      </c>
      <c r="J184" s="104">
        <f t="shared" si="174"/>
        <v>337767</v>
      </c>
      <c r="K184" s="104">
        <v>0</v>
      </c>
      <c r="L184" s="104">
        <v>0</v>
      </c>
      <c r="M184" s="104">
        <f t="shared" si="195"/>
        <v>0</v>
      </c>
      <c r="N184" s="104">
        <f t="shared" si="196"/>
        <v>11479670</v>
      </c>
      <c r="O184" s="104">
        <v>0</v>
      </c>
      <c r="P184" s="104">
        <f t="shared" si="197"/>
        <v>11479670</v>
      </c>
      <c r="Q184" s="104">
        <v>14085</v>
      </c>
      <c r="R184" s="104">
        <v>0</v>
      </c>
      <c r="S184" s="104">
        <f t="shared" si="198"/>
        <v>14085</v>
      </c>
      <c r="T184" s="104">
        <v>0</v>
      </c>
      <c r="U184" s="104">
        <v>0</v>
      </c>
      <c r="V184" s="104">
        <f t="shared" si="227"/>
        <v>0</v>
      </c>
      <c r="W184" s="104">
        <f t="shared" si="255"/>
        <v>23355848</v>
      </c>
      <c r="X184" s="104">
        <f t="shared" si="255"/>
        <v>0</v>
      </c>
      <c r="Y184" s="386">
        <f t="shared" si="228"/>
        <v>23355848</v>
      </c>
      <c r="Z184" s="104">
        <v>0</v>
      </c>
      <c r="AA184" s="104">
        <v>9207214</v>
      </c>
      <c r="AB184" s="387">
        <f t="shared" si="176"/>
        <v>9207214</v>
      </c>
      <c r="AC184" s="104">
        <v>7981088</v>
      </c>
      <c r="AD184" s="104">
        <v>3498582</v>
      </c>
      <c r="AE184" s="387">
        <f t="shared" si="256"/>
        <v>11479670</v>
      </c>
      <c r="AF184" s="388">
        <f>B184</f>
        <v>2317112</v>
      </c>
      <c r="AG184" s="389">
        <f>C184</f>
        <v>0</v>
      </c>
      <c r="AH184" s="389">
        <f t="shared" si="229"/>
        <v>2317112</v>
      </c>
      <c r="AI184" s="389">
        <f>E184</f>
        <v>9207214</v>
      </c>
      <c r="AJ184" s="389">
        <f>F184</f>
        <v>0</v>
      </c>
      <c r="AK184" s="389">
        <f t="shared" si="230"/>
        <v>9207214</v>
      </c>
      <c r="AL184" s="389">
        <f>H184</f>
        <v>337767</v>
      </c>
      <c r="AM184" s="389">
        <f>I184</f>
        <v>0</v>
      </c>
      <c r="AN184" s="389">
        <f t="shared" si="231"/>
        <v>337767</v>
      </c>
      <c r="AO184" s="389">
        <f>K184</f>
        <v>0</v>
      </c>
      <c r="AP184" s="389">
        <f>L184</f>
        <v>0</v>
      </c>
      <c r="AQ184" s="389">
        <f t="shared" si="232"/>
        <v>0</v>
      </c>
      <c r="AR184" s="389">
        <f>N184</f>
        <v>11479670</v>
      </c>
      <c r="AS184" s="389">
        <f>O184</f>
        <v>0</v>
      </c>
      <c r="AT184" s="389">
        <f t="shared" si="233"/>
        <v>11479670</v>
      </c>
      <c r="AU184" s="389">
        <f>Q184</f>
        <v>14085</v>
      </c>
      <c r="AV184" s="389">
        <f>R184</f>
        <v>0</v>
      </c>
      <c r="AW184" s="389">
        <f t="shared" si="234"/>
        <v>14085</v>
      </c>
      <c r="AX184" s="389">
        <f>T184</f>
        <v>0</v>
      </c>
      <c r="AY184" s="389">
        <f>U184</f>
        <v>0</v>
      </c>
      <c r="AZ184" s="389">
        <f t="shared" si="224"/>
        <v>0</v>
      </c>
      <c r="BA184" s="389">
        <f t="shared" si="253"/>
        <v>23355848</v>
      </c>
      <c r="BB184" s="389">
        <f t="shared" si="253"/>
        <v>0</v>
      </c>
      <c r="BC184" s="390">
        <f t="shared" si="202"/>
        <v>23355848</v>
      </c>
      <c r="BD184" s="83">
        <f t="shared" si="191"/>
        <v>0.29389674087250062</v>
      </c>
    </row>
    <row r="185" spans="1:56">
      <c r="A185" s="170">
        <v>45689</v>
      </c>
      <c r="B185" s="378">
        <v>2100498</v>
      </c>
      <c r="C185" s="3">
        <v>0</v>
      </c>
      <c r="D185" s="3">
        <f t="shared" si="225"/>
        <v>2100498</v>
      </c>
      <c r="E185" s="3">
        <f t="shared" si="226"/>
        <v>7880637</v>
      </c>
      <c r="F185" s="3">
        <v>0</v>
      </c>
      <c r="G185" s="3">
        <f t="shared" si="194"/>
        <v>7880637</v>
      </c>
      <c r="H185" s="3">
        <v>112984</v>
      </c>
      <c r="I185" s="3">
        <v>0</v>
      </c>
      <c r="J185" s="3">
        <f t="shared" ref="J185:J186" si="257">I185+H185</f>
        <v>112984</v>
      </c>
      <c r="K185" s="3">
        <v>0</v>
      </c>
      <c r="L185" s="3">
        <v>0</v>
      </c>
      <c r="M185" s="3">
        <f t="shared" si="195"/>
        <v>0</v>
      </c>
      <c r="N185" s="3">
        <f t="shared" si="196"/>
        <v>13984113</v>
      </c>
      <c r="O185" s="3">
        <v>0</v>
      </c>
      <c r="P185" s="3">
        <f t="shared" si="197"/>
        <v>13984113</v>
      </c>
      <c r="Q185" s="3">
        <v>0</v>
      </c>
      <c r="R185" s="3">
        <v>0</v>
      </c>
      <c r="S185" s="3">
        <f t="shared" si="198"/>
        <v>0</v>
      </c>
      <c r="T185" s="3">
        <v>0</v>
      </c>
      <c r="U185" s="3">
        <v>0</v>
      </c>
      <c r="V185" s="3">
        <f t="shared" si="227"/>
        <v>0</v>
      </c>
      <c r="W185" s="3">
        <f t="shared" si="255"/>
        <v>24078232</v>
      </c>
      <c r="X185" s="3">
        <f t="shared" si="255"/>
        <v>0</v>
      </c>
      <c r="Y185" s="379">
        <f t="shared" si="228"/>
        <v>24078232</v>
      </c>
      <c r="Z185" s="3">
        <v>0</v>
      </c>
      <c r="AA185" s="3">
        <v>7880637</v>
      </c>
      <c r="AB185" s="380">
        <f t="shared" ref="AB185:AB186" si="258">AA185+Z185</f>
        <v>7880637</v>
      </c>
      <c r="AC185" s="3">
        <v>10357585</v>
      </c>
      <c r="AD185" s="3">
        <v>3626528</v>
      </c>
      <c r="AE185" s="380">
        <f t="shared" si="256"/>
        <v>13984113</v>
      </c>
      <c r="AF185" s="381">
        <f t="shared" ref="AF185:AG186" si="259">B185+AF184</f>
        <v>4417610</v>
      </c>
      <c r="AG185" s="177">
        <f t="shared" si="259"/>
        <v>0</v>
      </c>
      <c r="AH185" s="177">
        <f t="shared" si="229"/>
        <v>4417610</v>
      </c>
      <c r="AI185" s="177">
        <f t="shared" ref="AI185:AJ186" si="260">AI184+E185</f>
        <v>17087851</v>
      </c>
      <c r="AJ185" s="177">
        <f t="shared" si="260"/>
        <v>0</v>
      </c>
      <c r="AK185" s="177">
        <f t="shared" si="230"/>
        <v>17087851</v>
      </c>
      <c r="AL185" s="177">
        <f t="shared" ref="AL185:AM186" si="261">AL184+H185</f>
        <v>450751</v>
      </c>
      <c r="AM185" s="177">
        <f t="shared" si="261"/>
        <v>0</v>
      </c>
      <c r="AN185" s="177">
        <f t="shared" si="231"/>
        <v>450751</v>
      </c>
      <c r="AO185" s="177">
        <f t="shared" ref="AO185:AP186" si="262">AO184+K185</f>
        <v>0</v>
      </c>
      <c r="AP185" s="177">
        <f t="shared" si="262"/>
        <v>0</v>
      </c>
      <c r="AQ185" s="177">
        <f t="shared" si="232"/>
        <v>0</v>
      </c>
      <c r="AR185" s="177">
        <f t="shared" ref="AR185:AS186" si="263">AR184+N185</f>
        <v>25463783</v>
      </c>
      <c r="AS185" s="177">
        <f t="shared" si="263"/>
        <v>0</v>
      </c>
      <c r="AT185" s="177">
        <f t="shared" si="233"/>
        <v>25463783</v>
      </c>
      <c r="AU185" s="177">
        <f t="shared" ref="AU185:AV186" si="264">AU184+Q185</f>
        <v>14085</v>
      </c>
      <c r="AV185" s="177">
        <f t="shared" si="264"/>
        <v>0</v>
      </c>
      <c r="AW185" s="177">
        <f t="shared" si="234"/>
        <v>14085</v>
      </c>
      <c r="AX185" s="177">
        <f t="shared" ref="AX185:AY186" si="265">AX184+T185</f>
        <v>0</v>
      </c>
      <c r="AY185" s="177">
        <f t="shared" si="265"/>
        <v>0</v>
      </c>
      <c r="AZ185" s="177">
        <f t="shared" si="224"/>
        <v>0</v>
      </c>
      <c r="BA185" s="177">
        <f t="shared" si="253"/>
        <v>47434080</v>
      </c>
      <c r="BB185" s="177">
        <f t="shared" si="253"/>
        <v>0</v>
      </c>
      <c r="BC185" s="382">
        <f t="shared" si="202"/>
        <v>47434080</v>
      </c>
      <c r="BD185" s="83">
        <f t="shared" si="191"/>
        <v>0.377857071897445</v>
      </c>
    </row>
    <row r="186" spans="1:56">
      <c r="A186" s="170">
        <v>45717</v>
      </c>
      <c r="B186" s="378">
        <v>2317486</v>
      </c>
      <c r="C186" s="3">
        <v>0</v>
      </c>
      <c r="D186" s="3">
        <f t="shared" si="225"/>
        <v>2317486</v>
      </c>
      <c r="E186" s="3">
        <f t="shared" si="226"/>
        <v>11169549</v>
      </c>
      <c r="F186" s="3">
        <v>0</v>
      </c>
      <c r="G186" s="3">
        <f t="shared" si="194"/>
        <v>11169549</v>
      </c>
      <c r="H186" s="3">
        <v>339196</v>
      </c>
      <c r="I186" s="3">
        <v>0</v>
      </c>
      <c r="J186" s="3">
        <f t="shared" si="257"/>
        <v>339196</v>
      </c>
      <c r="K186" s="3">
        <v>0</v>
      </c>
      <c r="L186" s="3">
        <v>0</v>
      </c>
      <c r="M186" s="3">
        <f t="shared" si="195"/>
        <v>0</v>
      </c>
      <c r="N186" s="3">
        <f t="shared" si="196"/>
        <v>10957697</v>
      </c>
      <c r="O186" s="3">
        <v>0</v>
      </c>
      <c r="P186" s="3">
        <f t="shared" si="197"/>
        <v>10957697</v>
      </c>
      <c r="Q186" s="3">
        <v>0</v>
      </c>
      <c r="R186" s="3">
        <v>0</v>
      </c>
      <c r="S186" s="3">
        <f t="shared" si="198"/>
        <v>0</v>
      </c>
      <c r="T186" s="3">
        <v>65823</v>
      </c>
      <c r="U186" s="3">
        <v>0</v>
      </c>
      <c r="V186" s="3">
        <f t="shared" si="227"/>
        <v>65823</v>
      </c>
      <c r="W186" s="3">
        <f t="shared" si="255"/>
        <v>24849751</v>
      </c>
      <c r="X186" s="3">
        <f t="shared" si="255"/>
        <v>0</v>
      </c>
      <c r="Y186" s="379">
        <f t="shared" si="228"/>
        <v>24849751</v>
      </c>
      <c r="Z186" s="3">
        <v>0</v>
      </c>
      <c r="AA186" s="3">
        <v>11169549</v>
      </c>
      <c r="AB186" s="380">
        <f t="shared" si="258"/>
        <v>11169549</v>
      </c>
      <c r="AC186" s="3">
        <v>7277788</v>
      </c>
      <c r="AD186" s="3">
        <v>3679909</v>
      </c>
      <c r="AE186" s="380">
        <f t="shared" si="256"/>
        <v>10957697</v>
      </c>
      <c r="AF186" s="381">
        <f t="shared" si="259"/>
        <v>6735096</v>
      </c>
      <c r="AG186" s="177">
        <f t="shared" si="259"/>
        <v>0</v>
      </c>
      <c r="AH186" s="177">
        <f t="shared" si="229"/>
        <v>6735096</v>
      </c>
      <c r="AI186" s="177">
        <f t="shared" si="260"/>
        <v>28257400</v>
      </c>
      <c r="AJ186" s="177">
        <f t="shared" si="260"/>
        <v>0</v>
      </c>
      <c r="AK186" s="177">
        <f t="shared" si="230"/>
        <v>28257400</v>
      </c>
      <c r="AL186" s="177">
        <f t="shared" si="261"/>
        <v>789947</v>
      </c>
      <c r="AM186" s="177">
        <f t="shared" si="261"/>
        <v>0</v>
      </c>
      <c r="AN186" s="177">
        <f t="shared" si="231"/>
        <v>789947</v>
      </c>
      <c r="AO186" s="177">
        <f t="shared" si="262"/>
        <v>0</v>
      </c>
      <c r="AP186" s="177">
        <f t="shared" si="262"/>
        <v>0</v>
      </c>
      <c r="AQ186" s="177">
        <f t="shared" si="232"/>
        <v>0</v>
      </c>
      <c r="AR186" s="177">
        <f t="shared" si="263"/>
        <v>36421480</v>
      </c>
      <c r="AS186" s="177">
        <f t="shared" si="263"/>
        <v>0</v>
      </c>
      <c r="AT186" s="177">
        <f t="shared" si="233"/>
        <v>36421480</v>
      </c>
      <c r="AU186" s="177">
        <f t="shared" si="264"/>
        <v>14085</v>
      </c>
      <c r="AV186" s="177">
        <f t="shared" si="264"/>
        <v>0</v>
      </c>
      <c r="AW186" s="177">
        <f t="shared" si="234"/>
        <v>14085</v>
      </c>
      <c r="AX186" s="177">
        <f t="shared" si="265"/>
        <v>65823</v>
      </c>
      <c r="AY186" s="177">
        <f t="shared" si="265"/>
        <v>0</v>
      </c>
      <c r="AZ186" s="177">
        <f t="shared" si="224"/>
        <v>65823</v>
      </c>
      <c r="BA186" s="177">
        <f t="shared" si="253"/>
        <v>72283831</v>
      </c>
      <c r="BB186" s="177">
        <f t="shared" si="253"/>
        <v>0</v>
      </c>
      <c r="BC186" s="382">
        <f t="shared" si="202"/>
        <v>72283831</v>
      </c>
      <c r="BD186" s="83">
        <f t="shared" si="191"/>
        <v>0.42686880543912187</v>
      </c>
    </row>
  </sheetData>
  <mergeCells count="22">
    <mergeCell ref="B1:Y1"/>
    <mergeCell ref="Z1:AB1"/>
    <mergeCell ref="AC1:AE1"/>
    <mergeCell ref="AF1:BC1"/>
    <mergeCell ref="B2:D2"/>
    <mergeCell ref="E2:G2"/>
    <mergeCell ref="H2:J2"/>
    <mergeCell ref="K2:M2"/>
    <mergeCell ref="N2:P2"/>
    <mergeCell ref="Q2:S2"/>
    <mergeCell ref="BA2:BC2"/>
    <mergeCell ref="T2:V2"/>
    <mergeCell ref="W2:Y2"/>
    <mergeCell ref="Z2:AB2"/>
    <mergeCell ref="AC2:AE2"/>
    <mergeCell ref="AF2:AH2"/>
    <mergeCell ref="AX2:AZ2"/>
    <mergeCell ref="AI2:AK2"/>
    <mergeCell ref="AL2:AN2"/>
    <mergeCell ref="AO2:AQ2"/>
    <mergeCell ref="AR2:AT2"/>
    <mergeCell ref="AU2:AW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BD58-93A4-482F-A0F4-B94E9E82D0BD}">
  <sheetPr>
    <tabColor theme="1" tint="0.499984740745262"/>
  </sheetPr>
  <dimension ref="A1:BV409"/>
  <sheetViews>
    <sheetView zoomScale="120" zoomScaleNormal="120" workbookViewId="0">
      <pane xSplit="1" ySplit="2" topLeftCell="AH3"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9.85546875" style="301" customWidth="1"/>
    <col min="2" max="2" width="12.140625" style="301" customWidth="1"/>
    <col min="3" max="54" width="12.85546875" style="301" customWidth="1"/>
    <col min="55" max="56" width="12.140625" style="301" customWidth="1"/>
    <col min="57" max="66" width="12.140625" style="301" hidden="1" customWidth="1"/>
    <col min="67" max="68" width="12.140625" style="301" customWidth="1"/>
    <col min="69" max="69" width="14.140625" style="301" bestFit="1" customWidth="1"/>
    <col min="70" max="70" width="14.42578125" style="301" bestFit="1" customWidth="1"/>
    <col min="71" max="71" width="14.5703125" style="301" bestFit="1" customWidth="1"/>
    <col min="72" max="72" width="14.42578125" style="301" bestFit="1" customWidth="1"/>
    <col min="73" max="73" width="16.42578125" style="301" bestFit="1" customWidth="1"/>
    <col min="74" max="74" width="14.5703125" style="301" bestFit="1" customWidth="1"/>
    <col min="75" max="16384" width="9.140625" style="301"/>
  </cols>
  <sheetData>
    <row r="1" spans="1:73" ht="12" thickBot="1">
      <c r="A1" s="300" t="s">
        <v>475</v>
      </c>
      <c r="O1" s="391" t="s">
        <v>476</v>
      </c>
      <c r="P1" s="392" t="s">
        <v>477</v>
      </c>
    </row>
    <row r="2" spans="1:73" ht="12" thickBot="1">
      <c r="A2" s="303"/>
      <c r="B2" s="304">
        <v>2010</v>
      </c>
      <c r="C2" s="304">
        <v>2011</v>
      </c>
      <c r="D2" s="304">
        <v>2012</v>
      </c>
      <c r="E2" s="304">
        <v>2013</v>
      </c>
      <c r="F2" s="304">
        <v>2014</v>
      </c>
      <c r="G2" s="304">
        <v>2015</v>
      </c>
      <c r="H2" s="304">
        <v>2016</v>
      </c>
      <c r="I2" s="304">
        <v>2017</v>
      </c>
      <c r="J2" s="304">
        <v>2018</v>
      </c>
      <c r="K2" s="304">
        <v>2019</v>
      </c>
      <c r="L2" s="304">
        <v>2020</v>
      </c>
      <c r="M2" s="304">
        <v>2021</v>
      </c>
      <c r="N2" s="304">
        <v>2022</v>
      </c>
      <c r="O2" s="304">
        <v>2023</v>
      </c>
      <c r="P2" s="304">
        <v>2024</v>
      </c>
      <c r="Q2" s="304">
        <v>2025</v>
      </c>
      <c r="R2" s="304">
        <v>2026</v>
      </c>
      <c r="S2" s="304">
        <v>2027</v>
      </c>
      <c r="T2" s="304">
        <v>2028</v>
      </c>
      <c r="U2" s="304">
        <v>2029</v>
      </c>
      <c r="V2" s="304">
        <v>2030</v>
      </c>
      <c r="W2" s="304">
        <v>2031</v>
      </c>
      <c r="X2" s="304">
        <v>2032</v>
      </c>
      <c r="Y2" s="304">
        <v>2033</v>
      </c>
      <c r="Z2" s="304">
        <v>2034</v>
      </c>
      <c r="AA2" s="304">
        <v>2035</v>
      </c>
      <c r="AB2" s="304">
        <v>2036</v>
      </c>
      <c r="AC2" s="304">
        <v>2037</v>
      </c>
      <c r="AD2" s="304">
        <v>2038</v>
      </c>
      <c r="AE2" s="304">
        <v>2039</v>
      </c>
      <c r="AF2" s="304">
        <v>2040</v>
      </c>
      <c r="AG2" s="304">
        <v>2041</v>
      </c>
      <c r="AH2" s="304">
        <v>2042</v>
      </c>
      <c r="AI2" s="304">
        <v>2043</v>
      </c>
      <c r="AJ2" s="304">
        <v>2044</v>
      </c>
      <c r="AK2" s="304">
        <v>2045</v>
      </c>
      <c r="AL2" s="304">
        <v>2046</v>
      </c>
      <c r="AM2" s="304">
        <v>2047</v>
      </c>
      <c r="AN2" s="304">
        <v>2048</v>
      </c>
      <c r="AO2" s="304">
        <v>2049</v>
      </c>
      <c r="AP2" s="304">
        <v>2050</v>
      </c>
      <c r="AQ2" s="304">
        <v>2051</v>
      </c>
      <c r="AR2" s="300"/>
      <c r="AS2" s="300"/>
      <c r="AT2" s="300"/>
      <c r="AU2" s="300"/>
      <c r="AV2" s="300"/>
      <c r="AW2" s="300"/>
      <c r="AX2" s="300"/>
      <c r="AY2" s="300"/>
      <c r="AZ2" s="300"/>
      <c r="BA2" s="300"/>
      <c r="BB2" s="300"/>
      <c r="BC2" s="300"/>
      <c r="BE2" s="304">
        <v>2020</v>
      </c>
      <c r="BG2" s="304">
        <v>2021</v>
      </c>
      <c r="BI2" s="304">
        <v>2022</v>
      </c>
      <c r="BK2" s="304">
        <v>2023</v>
      </c>
      <c r="BM2" s="304">
        <v>2024</v>
      </c>
      <c r="BO2" s="304">
        <v>2025</v>
      </c>
    </row>
    <row r="3" spans="1:73">
      <c r="A3" s="305" t="s">
        <v>281</v>
      </c>
      <c r="B3" s="306">
        <f>B4+B5</f>
        <v>12519647</v>
      </c>
      <c r="C3" s="306">
        <f t="shared" ref="C3:P3" si="0">C4+C5</f>
        <v>4172383</v>
      </c>
      <c r="D3" s="306">
        <f t="shared" si="0"/>
        <v>745678</v>
      </c>
      <c r="E3" s="306">
        <f t="shared" si="0"/>
        <v>36778740</v>
      </c>
      <c r="F3" s="306">
        <f t="shared" si="0"/>
        <v>53184482</v>
      </c>
      <c r="G3" s="306">
        <f t="shared" si="0"/>
        <v>74453091</v>
      </c>
      <c r="H3" s="306">
        <f t="shared" si="0"/>
        <v>112882497</v>
      </c>
      <c r="I3" s="306">
        <f t="shared" si="0"/>
        <v>0</v>
      </c>
      <c r="J3" s="306">
        <f t="shared" si="0"/>
        <v>331927</v>
      </c>
      <c r="K3" s="306">
        <f t="shared" si="0"/>
        <v>11178</v>
      </c>
      <c r="L3" s="306">
        <f t="shared" si="0"/>
        <v>0</v>
      </c>
      <c r="M3" s="306">
        <f t="shared" si="0"/>
        <v>0</v>
      </c>
      <c r="N3" s="306">
        <f t="shared" si="0"/>
        <v>0</v>
      </c>
      <c r="O3" s="306">
        <f t="shared" si="0"/>
        <v>9310804</v>
      </c>
      <c r="P3" s="306">
        <f t="shared" si="0"/>
        <v>15172254</v>
      </c>
      <c r="Q3" s="309">
        <f t="shared" ref="Q3:AD3" si="1">SUM(Q4:Q5)</f>
        <v>5038395.7978156004</v>
      </c>
      <c r="R3" s="309">
        <f t="shared" si="1"/>
        <v>6094063.0835431591</v>
      </c>
      <c r="S3" s="309">
        <f t="shared" si="1"/>
        <v>7361968.7467771238</v>
      </c>
      <c r="T3" s="309">
        <f t="shared" si="1"/>
        <v>7695943.0746212015</v>
      </c>
      <c r="U3" s="309">
        <f t="shared" si="1"/>
        <v>8250979.8885309529</v>
      </c>
      <c r="V3" s="309">
        <f t="shared" si="1"/>
        <v>8825995.2596822083</v>
      </c>
      <c r="W3" s="309">
        <f t="shared" si="1"/>
        <v>9174783.5172574017</v>
      </c>
      <c r="X3" s="309">
        <f t="shared" si="1"/>
        <v>10403411.141576782</v>
      </c>
      <c r="Y3" s="309">
        <f t="shared" si="1"/>
        <v>10675260.268070001</v>
      </c>
      <c r="Z3" s="309">
        <f t="shared" si="1"/>
        <v>11187743.430339031</v>
      </c>
      <c r="AA3" s="309">
        <f t="shared" si="1"/>
        <v>11856448.12803028</v>
      </c>
      <c r="AB3" s="309">
        <f t="shared" si="1"/>
        <v>11594871.155182995</v>
      </c>
      <c r="AC3" s="309">
        <f t="shared" si="1"/>
        <v>12536785.368594509</v>
      </c>
      <c r="AD3" s="309">
        <f t="shared" si="1"/>
        <v>13823974.401497945</v>
      </c>
      <c r="AE3" s="309">
        <f>SUM(AE4:AE5)</f>
        <v>15100642.83795169</v>
      </c>
      <c r="AF3" s="309">
        <f>SUM(AF4:AF5)</f>
        <v>15090827.433728935</v>
      </c>
      <c r="AG3" s="309">
        <f>SUM(AG4:AG5)</f>
        <v>15146184.686204597</v>
      </c>
      <c r="AH3" s="309">
        <f t="shared" ref="AH3:AQ3" si="2">SUM(AH4:AH5)</f>
        <v>15913489.042024618</v>
      </c>
      <c r="AI3" s="309">
        <f t="shared" si="2"/>
        <v>17182093.366682284</v>
      </c>
      <c r="AJ3" s="309">
        <f t="shared" si="2"/>
        <v>17611196.569895525</v>
      </c>
      <c r="AK3" s="309">
        <f t="shared" si="2"/>
        <v>17577516.694194827</v>
      </c>
      <c r="AL3" s="309">
        <f t="shared" si="2"/>
        <v>17498124.052174311</v>
      </c>
      <c r="AM3" s="309">
        <f t="shared" si="2"/>
        <v>17198274.471823629</v>
      </c>
      <c r="AN3" s="309">
        <f t="shared" si="2"/>
        <v>17856403.672396075</v>
      </c>
      <c r="AO3" s="309">
        <f t="shared" si="2"/>
        <v>18500902.23968409</v>
      </c>
      <c r="AP3" s="309">
        <f t="shared" si="2"/>
        <v>18666698.300521724</v>
      </c>
      <c r="AQ3" s="309">
        <f t="shared" si="2"/>
        <v>18666698.300521728</v>
      </c>
      <c r="AR3" s="309"/>
      <c r="AS3" s="309"/>
      <c r="AT3" s="309"/>
      <c r="AU3" s="309"/>
      <c r="AV3" s="309"/>
      <c r="AW3" s="309"/>
      <c r="AX3" s="309"/>
      <c r="AY3" s="309"/>
      <c r="AZ3" s="309"/>
      <c r="BA3" s="309"/>
      <c r="BB3" s="309"/>
      <c r="BC3" s="309"/>
      <c r="BE3" s="309">
        <v>0</v>
      </c>
      <c r="BF3" s="308">
        <f t="shared" ref="BF3:BF15" si="3">L3-BE3</f>
        <v>0</v>
      </c>
      <c r="BG3" s="309">
        <v>0</v>
      </c>
      <c r="BH3" s="308">
        <f t="shared" ref="BH3:BH15" si="4">M3-BG3</f>
        <v>0</v>
      </c>
      <c r="BI3" s="309">
        <v>0</v>
      </c>
      <c r="BJ3" s="308">
        <f t="shared" ref="BJ3:BJ15" si="5">N3-BI3</f>
        <v>0</v>
      </c>
      <c r="BK3" s="309">
        <v>15723152</v>
      </c>
      <c r="BL3" s="308">
        <f t="shared" ref="BL3:BL23" si="6">O3-BK3</f>
        <v>-6412348</v>
      </c>
      <c r="BM3" s="309">
        <v>15472572.794287082</v>
      </c>
      <c r="BN3" s="308">
        <f t="shared" ref="BN3:BN23" si="7">P3-BM3</f>
        <v>-300318.79428708181</v>
      </c>
      <c r="BO3" s="309">
        <v>12246176.330122933</v>
      </c>
      <c r="BP3" s="308">
        <f t="shared" ref="BP3:BP14" si="8">Q3-BO3</f>
        <v>-7207780.5323073324</v>
      </c>
    </row>
    <row r="4" spans="1:73">
      <c r="A4" s="301" t="s">
        <v>224</v>
      </c>
      <c r="B4" s="308">
        <f>B77</f>
        <v>12519647</v>
      </c>
      <c r="C4" s="308">
        <f t="shared" ref="C4:P4" si="9">C77</f>
        <v>4172383</v>
      </c>
      <c r="D4" s="308">
        <f t="shared" si="9"/>
        <v>745678</v>
      </c>
      <c r="E4" s="308">
        <f t="shared" si="9"/>
        <v>6007320</v>
      </c>
      <c r="F4" s="308">
        <f t="shared" si="9"/>
        <v>1303427</v>
      </c>
      <c r="G4" s="308">
        <f t="shared" si="9"/>
        <v>44430</v>
      </c>
      <c r="H4" s="308">
        <f t="shared" si="9"/>
        <v>354498</v>
      </c>
      <c r="I4" s="308">
        <f t="shared" si="9"/>
        <v>0</v>
      </c>
      <c r="J4" s="308">
        <f t="shared" si="9"/>
        <v>331927</v>
      </c>
      <c r="K4" s="308">
        <f t="shared" si="9"/>
        <v>11178</v>
      </c>
      <c r="L4" s="308">
        <f t="shared" si="9"/>
        <v>0</v>
      </c>
      <c r="M4" s="308">
        <f t="shared" si="9"/>
        <v>0</v>
      </c>
      <c r="N4" s="308">
        <f t="shared" si="9"/>
        <v>0</v>
      </c>
      <c r="O4" s="308">
        <f t="shared" si="9"/>
        <v>2898456</v>
      </c>
      <c r="P4" s="308">
        <f t="shared" si="9"/>
        <v>8939840</v>
      </c>
      <c r="Q4" s="393" cm="1">
        <f t="array" ref="Q4">AVERAGE(('[3]Co-Processing'!$K$230:$K$241)*1000000)*(P4/SUM(P$4,P$13,P$17))</f>
        <v>5038395.7978156004</v>
      </c>
      <c r="R4" s="393" cm="1">
        <f t="array" ref="R4">AVERAGE(('[3]Co-Processing'!$K$242:$K$253)*1000000)*(Q4/SUM(Q$4,Q$13,Q$17))</f>
        <v>6094063.0835431591</v>
      </c>
      <c r="S4" s="393" cm="1">
        <f t="array" ref="S4">AVERAGE(('[3]Co-Processing'!$K$254:$K$265)*1000000)*(R4/SUM(R$4,R$13,R$17))</f>
        <v>7361968.7467771238</v>
      </c>
      <c r="T4" s="393" cm="1">
        <f t="array" ref="T4">AVERAGE(('[3]Co-Processing'!$K$266:$K$277)*1000000)*(S4/SUM(S$4,S$13,S$17))</f>
        <v>7695943.0746212015</v>
      </c>
      <c r="U4" s="393" cm="1">
        <f t="array" ref="U4">AVERAGE(('[3]Co-Processing'!$K$278:$K$289)*1000000)*(T4/SUM(T$4,T$13,T$17))</f>
        <v>8250979.8885309529</v>
      </c>
      <c r="V4" s="393" cm="1">
        <f t="array" ref="V4">AVERAGE(('[3]Co-Processing'!$K$290:$K$301)*1000000)*(U4/SUM(U$4,U$13,U$17))</f>
        <v>8825995.2596822083</v>
      </c>
      <c r="W4" s="393" cm="1">
        <f t="array" ref="W4">AVERAGE(('[3]Co-Processing'!$K$302:$K$313)*1000000)*(V4/SUM(V$4,V$13,V$17))</f>
        <v>9174783.5172574017</v>
      </c>
      <c r="X4" s="393" cm="1">
        <f t="array" ref="X4">AVERAGE(('[3]Co-Processing'!$K$314:$K$325)*1000000)*(W4/SUM(W$4,W$13,W$17))</f>
        <v>10403411.141576782</v>
      </c>
      <c r="Y4" s="393" cm="1">
        <f t="array" ref="Y4">AVERAGE(('[3]Co-Processing'!$K$326:$K$337)*1000000)*(X4/SUM(X$4,X$13,X$17))</f>
        <v>10675260.268070001</v>
      </c>
      <c r="Z4" s="393" cm="1">
        <f t="array" ref="Z4">AVERAGE(('[3]Co-Processing'!$K$338:$K$349)*1000000)*(Y4/SUM(Y$4,Y$13,Y$17))</f>
        <v>11187743.430339031</v>
      </c>
      <c r="AA4" s="393" cm="1">
        <f t="array" ref="AA4">AVERAGE(('[3]Co-Processing'!$K$350:$K$361)*1000000)*(Z4/SUM(Z$4,Z$13,Z$17))</f>
        <v>11856448.12803028</v>
      </c>
      <c r="AB4" s="393" cm="1">
        <f t="array" ref="AB4">AVERAGE(('[3]Co-Processing'!$K$362:$K$373)*1000000)*(AA4/SUM(AA$4,AA$13,AA$17))</f>
        <v>11594871.155182995</v>
      </c>
      <c r="AC4" s="393" cm="1">
        <f t="array" ref="AC4">AVERAGE(('[3]Co-Processing'!$K$374:$K$385)*1000000)*(AB4/SUM(AB$4,AB$13,AB$17))</f>
        <v>12536785.368594509</v>
      </c>
      <c r="AD4" s="393" cm="1">
        <f t="array" ref="AD4">AVERAGE(('[3]Co-Processing'!$K$386:$K$397)*1000000)*(AC4/SUM(AC$4,AC$13,AC$17))</f>
        <v>13823974.401497945</v>
      </c>
      <c r="AE4" s="393" cm="1">
        <f t="array" ref="AE4">AVERAGE(('[3]Co-Processing'!$K$398:$K$409)*1000000)*(AD4/SUM(AD$4,AD$13,AD$17))</f>
        <v>15100642.83795169</v>
      </c>
      <c r="AF4" s="393" cm="1">
        <f t="array" ref="AF4">AVERAGE(('[3]Co-Processing'!$K$410:$K$421)*1000000)*(AE4/SUM(AE$4,AE$13,AE$17))</f>
        <v>15090827.433728935</v>
      </c>
      <c r="AG4" s="393" cm="1">
        <f t="array" ref="AG4">AVERAGE(('[3]Co-Processing'!$K$422:$K$433)*1000000)*(AF4/SUM(AF$4,AF$13,AF$17))</f>
        <v>15146184.686204597</v>
      </c>
      <c r="AH4" s="393" cm="1">
        <f t="array" ref="AH4">AVERAGE(('[3]Co-Processing'!$K$434:$K$445)*1000000)*(AG4/SUM(AG$4,AG$13,AG$17))</f>
        <v>15913489.042024618</v>
      </c>
      <c r="AI4" s="393" cm="1">
        <f t="array" ref="AI4">AVERAGE(('[3]Co-Processing'!$K$446:$K$457)*1000000)*(AH4/SUM(AH$4,AH$13,AH$17))</f>
        <v>17182093.366682284</v>
      </c>
      <c r="AJ4" s="393" cm="1">
        <f t="array" ref="AJ4">AVERAGE(('[3]Co-Processing'!$K$458:$K$469)*1000000)*(AI4/SUM(AI$4,AI$13,AI$17))</f>
        <v>17611196.569895525</v>
      </c>
      <c r="AK4" s="393" cm="1">
        <f t="array" ref="AK4">AVERAGE(('[3]Co-Processing'!$K$470:$K$481)*1000000)*(AJ4/SUM(AJ$4,AJ$13,AJ$17))</f>
        <v>17577516.694194827</v>
      </c>
      <c r="AL4" s="393" cm="1">
        <f t="array" ref="AL4">AVERAGE(('[3]Co-Processing'!$K$482:$K$493)*1000000)*(AK4/SUM(AK$4,AK$13,AK$17))</f>
        <v>17498124.052174311</v>
      </c>
      <c r="AM4" s="393" cm="1">
        <f t="array" ref="AM4">AVERAGE(('[3]Co-Processing'!$K$494:$K$505)*1000000)*(AL4/SUM(AL$4,AL$13,AL$17))</f>
        <v>17198274.471823629</v>
      </c>
      <c r="AN4" s="393" cm="1">
        <f t="array" ref="AN4">AVERAGE(('[3]Co-Processing'!$K$506:$K$517)*1000000)*(AM4/SUM(AM$4,AM$13,AM$17))</f>
        <v>17856403.672396075</v>
      </c>
      <c r="AO4" s="393" cm="1">
        <f t="array" ref="AO4">AVERAGE(('[3]Co-Processing'!$K$518:$K$529)*1000000)*(AN4/SUM(AN$4,AN$13,AN$17))</f>
        <v>18500902.23968409</v>
      </c>
      <c r="AP4" s="393" cm="1">
        <f t="array" ref="AP4">AVERAGE(('[3]Co-Processing'!$K$530:$K$541)*1000000)*(AO4/SUM(AO$4,AO$13,AO$17))</f>
        <v>18666698.300521724</v>
      </c>
      <c r="AQ4" s="393" cm="1">
        <f t="array" ref="AQ4">AVERAGE(('[3]Co-Processing'!$K$542:$K$553)*1000000)*(AP4/SUM(AP$4,AP$13,AP$17))</f>
        <v>18666698.300521728</v>
      </c>
      <c r="AR4" s="392"/>
      <c r="AS4" s="392"/>
      <c r="AT4" s="392"/>
      <c r="AU4" s="392"/>
      <c r="AV4" s="392"/>
      <c r="AW4" s="392"/>
      <c r="AX4" s="392"/>
      <c r="AY4" s="392"/>
      <c r="AZ4" s="392"/>
      <c r="BA4" s="392"/>
      <c r="BB4" s="392"/>
      <c r="BC4" s="392" t="s">
        <v>478</v>
      </c>
      <c r="BE4" s="309">
        <v>0</v>
      </c>
      <c r="BF4" s="308">
        <f t="shared" si="3"/>
        <v>0</v>
      </c>
      <c r="BG4" s="309">
        <v>0</v>
      </c>
      <c r="BH4" s="308">
        <f t="shared" si="4"/>
        <v>0</v>
      </c>
      <c r="BI4" s="309">
        <v>0</v>
      </c>
      <c r="BJ4" s="308">
        <f t="shared" si="5"/>
        <v>0</v>
      </c>
      <c r="BK4" s="309">
        <v>9310804</v>
      </c>
      <c r="BL4" s="308">
        <f t="shared" si="6"/>
        <v>-6412348</v>
      </c>
      <c r="BM4" s="309">
        <v>9240158.7942870818</v>
      </c>
      <c r="BN4" s="308">
        <f t="shared" si="7"/>
        <v>-300318.79428708181</v>
      </c>
      <c r="BO4" s="309">
        <v>12246176.330122933</v>
      </c>
      <c r="BP4" s="308">
        <f t="shared" si="8"/>
        <v>-7207780.5323073324</v>
      </c>
    </row>
    <row r="5" spans="1:73" ht="12" thickBot="1">
      <c r="A5" s="301" t="s">
        <v>225</v>
      </c>
      <c r="B5" s="308">
        <f>B93</f>
        <v>0</v>
      </c>
      <c r="C5" s="308">
        <f t="shared" ref="C5:AG5" si="10">C93</f>
        <v>0</v>
      </c>
      <c r="D5" s="308">
        <f t="shared" si="10"/>
        <v>0</v>
      </c>
      <c r="E5" s="308">
        <f t="shared" si="10"/>
        <v>30771420</v>
      </c>
      <c r="F5" s="308">
        <f t="shared" si="10"/>
        <v>51881055</v>
      </c>
      <c r="G5" s="308">
        <f t="shared" si="10"/>
        <v>74408661</v>
      </c>
      <c r="H5" s="308">
        <f t="shared" si="10"/>
        <v>112527999</v>
      </c>
      <c r="I5" s="308">
        <f t="shared" si="10"/>
        <v>0</v>
      </c>
      <c r="J5" s="308">
        <f t="shared" si="10"/>
        <v>0</v>
      </c>
      <c r="K5" s="308">
        <f t="shared" si="10"/>
        <v>0</v>
      </c>
      <c r="L5" s="308">
        <f t="shared" si="10"/>
        <v>0</v>
      </c>
      <c r="M5" s="308">
        <f t="shared" si="10"/>
        <v>0</v>
      </c>
      <c r="N5" s="308">
        <f t="shared" si="10"/>
        <v>0</v>
      </c>
      <c r="O5" s="308">
        <f t="shared" si="10"/>
        <v>6412348</v>
      </c>
      <c r="P5" s="308">
        <f t="shared" si="10"/>
        <v>6232414</v>
      </c>
      <c r="Q5" s="309">
        <f t="shared" si="10"/>
        <v>0</v>
      </c>
      <c r="R5" s="309">
        <f t="shared" si="10"/>
        <v>0</v>
      </c>
      <c r="S5" s="309">
        <f t="shared" si="10"/>
        <v>0</v>
      </c>
      <c r="T5" s="309">
        <f t="shared" si="10"/>
        <v>0</v>
      </c>
      <c r="U5" s="309">
        <f t="shared" si="10"/>
        <v>0</v>
      </c>
      <c r="V5" s="309">
        <f t="shared" si="10"/>
        <v>0</v>
      </c>
      <c r="W5" s="309">
        <f t="shared" si="10"/>
        <v>0</v>
      </c>
      <c r="X5" s="309">
        <f t="shared" si="10"/>
        <v>0</v>
      </c>
      <c r="Y5" s="309">
        <f t="shared" si="10"/>
        <v>0</v>
      </c>
      <c r="Z5" s="309">
        <f t="shared" si="10"/>
        <v>0</v>
      </c>
      <c r="AA5" s="309">
        <f t="shared" si="10"/>
        <v>0</v>
      </c>
      <c r="AB5" s="309">
        <f t="shared" si="10"/>
        <v>0</v>
      </c>
      <c r="AC5" s="309">
        <f t="shared" si="10"/>
        <v>0</v>
      </c>
      <c r="AD5" s="309">
        <f t="shared" si="10"/>
        <v>0</v>
      </c>
      <c r="AE5" s="309">
        <f t="shared" si="10"/>
        <v>0</v>
      </c>
      <c r="AF5" s="309">
        <f t="shared" si="10"/>
        <v>0</v>
      </c>
      <c r="AG5" s="309">
        <f t="shared" si="10"/>
        <v>0</v>
      </c>
      <c r="AH5" s="394">
        <v>0</v>
      </c>
      <c r="AI5" s="394">
        <v>0</v>
      </c>
      <c r="AJ5" s="394">
        <v>0</v>
      </c>
      <c r="AK5" s="394">
        <v>0</v>
      </c>
      <c r="AL5" s="394">
        <v>0</v>
      </c>
      <c r="AM5" s="394">
        <v>0</v>
      </c>
      <c r="AN5" s="394">
        <v>0</v>
      </c>
      <c r="AO5" s="394">
        <v>0</v>
      </c>
      <c r="AP5" s="394">
        <v>0</v>
      </c>
      <c r="AQ5" s="394">
        <v>0</v>
      </c>
      <c r="AR5" s="309"/>
      <c r="AS5" s="309"/>
      <c r="AT5" s="309"/>
      <c r="AU5" s="309"/>
      <c r="AV5" s="309"/>
      <c r="AW5" s="309"/>
      <c r="AX5" s="309"/>
      <c r="AY5" s="309"/>
      <c r="AZ5" s="309"/>
      <c r="BA5" s="309"/>
      <c r="BB5" s="309"/>
      <c r="BC5" s="309"/>
      <c r="BE5" s="309">
        <v>0</v>
      </c>
      <c r="BF5" s="308">
        <f t="shared" si="3"/>
        <v>0</v>
      </c>
      <c r="BG5" s="309">
        <v>0</v>
      </c>
      <c r="BH5" s="308">
        <f t="shared" si="4"/>
        <v>0</v>
      </c>
      <c r="BI5" s="309">
        <v>0</v>
      </c>
      <c r="BJ5" s="308">
        <f t="shared" si="5"/>
        <v>0</v>
      </c>
      <c r="BK5" s="309">
        <v>6412348</v>
      </c>
      <c r="BL5" s="308">
        <f t="shared" si="6"/>
        <v>0</v>
      </c>
      <c r="BM5" s="309">
        <v>6232414</v>
      </c>
      <c r="BN5" s="308">
        <f t="shared" si="7"/>
        <v>0</v>
      </c>
      <c r="BO5" s="309">
        <v>0</v>
      </c>
      <c r="BP5" s="308">
        <f t="shared" si="8"/>
        <v>0</v>
      </c>
    </row>
    <row r="6" spans="1:73">
      <c r="A6" s="310" t="s">
        <v>479</v>
      </c>
      <c r="B6" s="311">
        <f t="shared" ref="B6:P6" si="11">B7+B8</f>
        <v>6777308371</v>
      </c>
      <c r="C6" s="311">
        <f t="shared" si="11"/>
        <v>13609057120</v>
      </c>
      <c r="D6" s="311">
        <f t="shared" si="11"/>
        <v>12986723082</v>
      </c>
      <c r="E6" s="311">
        <f t="shared" si="11"/>
        <v>13098970936</v>
      </c>
      <c r="F6" s="311">
        <f t="shared" si="11"/>
        <v>14021921395</v>
      </c>
      <c r="G6" s="311">
        <f t="shared" si="11"/>
        <v>14393318940</v>
      </c>
      <c r="H6" s="311">
        <f t="shared" si="11"/>
        <v>14724613295</v>
      </c>
      <c r="I6" s="311">
        <f t="shared" si="11"/>
        <v>14864220246</v>
      </c>
      <c r="J6" s="311">
        <f t="shared" si="11"/>
        <v>14967243350</v>
      </c>
      <c r="K6" s="311">
        <f t="shared" si="11"/>
        <v>14730393612</v>
      </c>
      <c r="L6" s="311">
        <f t="shared" si="11"/>
        <v>12857192617</v>
      </c>
      <c r="M6" s="311">
        <f t="shared" si="11"/>
        <v>14123603899</v>
      </c>
      <c r="N6" s="311">
        <f t="shared" si="11"/>
        <v>14423503830</v>
      </c>
      <c r="O6" s="311">
        <f t="shared" si="11"/>
        <v>14678741531</v>
      </c>
      <c r="P6" s="311">
        <f t="shared" si="11"/>
        <v>14867527798</v>
      </c>
      <c r="Q6" s="313">
        <f t="shared" ref="Q6:AQ6" si="12">Q8+Q7</f>
        <v>14595688774.088144</v>
      </c>
      <c r="R6" s="313">
        <f t="shared" si="12"/>
        <v>14667793890.620512</v>
      </c>
      <c r="S6" s="313">
        <f t="shared" si="12"/>
        <v>14699514784.203905</v>
      </c>
      <c r="T6" s="313">
        <f t="shared" si="12"/>
        <v>14846102876.012686</v>
      </c>
      <c r="U6" s="313">
        <f t="shared" si="12"/>
        <v>14957696786.482641</v>
      </c>
      <c r="V6" s="313">
        <f t="shared" si="12"/>
        <v>15056049140.126476</v>
      </c>
      <c r="W6" s="313">
        <f t="shared" si="12"/>
        <v>15216356925.802042</v>
      </c>
      <c r="X6" s="313">
        <f t="shared" si="12"/>
        <v>15328389301.091822</v>
      </c>
      <c r="Y6" s="313">
        <f t="shared" si="12"/>
        <v>15457248807.180265</v>
      </c>
      <c r="Z6" s="313">
        <f t="shared" si="12"/>
        <v>15582363954.768641</v>
      </c>
      <c r="AA6" s="313">
        <f t="shared" si="12"/>
        <v>15710291497.706242</v>
      </c>
      <c r="AB6" s="313">
        <f t="shared" si="12"/>
        <v>15844398914.029869</v>
      </c>
      <c r="AC6" s="313">
        <f t="shared" si="12"/>
        <v>15972983623.555962</v>
      </c>
      <c r="AD6" s="313">
        <f t="shared" si="12"/>
        <v>16105015961.298559</v>
      </c>
      <c r="AE6" s="313">
        <f t="shared" si="12"/>
        <v>16237688318.03793</v>
      </c>
      <c r="AF6" s="313">
        <f t="shared" si="12"/>
        <v>16371920385.928846</v>
      </c>
      <c r="AG6" s="313">
        <f t="shared" si="12"/>
        <v>16507449056.589117</v>
      </c>
      <c r="AH6" s="313">
        <f t="shared" si="12"/>
        <v>16643249598.229233</v>
      </c>
      <c r="AI6" s="313">
        <f t="shared" si="12"/>
        <v>16780537625.081625</v>
      </c>
      <c r="AJ6" s="313">
        <f t="shared" si="12"/>
        <v>16918901622.124743</v>
      </c>
      <c r="AK6" s="313">
        <f t="shared" si="12"/>
        <v>17058432840.526543</v>
      </c>
      <c r="AL6" s="313">
        <f t="shared" si="12"/>
        <v>17199048711.74839</v>
      </c>
      <c r="AM6" s="313">
        <f t="shared" si="12"/>
        <v>17340704559.461739</v>
      </c>
      <c r="AN6" s="313">
        <f t="shared" si="12"/>
        <v>17483561325.822472</v>
      </c>
      <c r="AO6" s="313">
        <f t="shared" si="12"/>
        <v>17627558657.816719</v>
      </c>
      <c r="AP6" s="313">
        <f t="shared" si="12"/>
        <v>17772709885.846157</v>
      </c>
      <c r="AQ6" s="313">
        <f t="shared" si="12"/>
        <v>17919011990.411629</v>
      </c>
      <c r="AR6" s="309"/>
      <c r="AS6" s="309"/>
      <c r="AT6" s="309"/>
      <c r="AU6" s="309"/>
      <c r="AV6" s="309"/>
      <c r="AW6" s="309"/>
      <c r="AX6" s="309"/>
      <c r="AY6" s="309"/>
      <c r="AZ6" s="309"/>
      <c r="BA6" s="309"/>
      <c r="BB6" s="309"/>
      <c r="BC6" s="309"/>
      <c r="BE6" s="313">
        <v>12874765880</v>
      </c>
      <c r="BF6" s="308">
        <f t="shared" si="3"/>
        <v>-17573263</v>
      </c>
      <c r="BG6" s="313">
        <v>14275500000</v>
      </c>
      <c r="BH6" s="308">
        <f t="shared" si="4"/>
        <v>-151896101</v>
      </c>
      <c r="BI6" s="313">
        <v>14485305083.507357</v>
      </c>
      <c r="BJ6" s="308">
        <f t="shared" si="5"/>
        <v>-61801253.507356644</v>
      </c>
      <c r="BK6" s="313">
        <v>14593055524.931494</v>
      </c>
      <c r="BL6" s="308">
        <f t="shared" si="6"/>
        <v>85686006.068506241</v>
      </c>
      <c r="BM6" s="313">
        <v>15187899796.72332</v>
      </c>
      <c r="BN6" s="308">
        <f t="shared" si="7"/>
        <v>-320371998.72332001</v>
      </c>
      <c r="BO6" s="313">
        <v>14595688774.088144</v>
      </c>
      <c r="BP6" s="308">
        <f t="shared" si="8"/>
        <v>0</v>
      </c>
    </row>
    <row r="7" spans="1:73">
      <c r="A7" s="301" t="s">
        <v>224</v>
      </c>
      <c r="B7" s="308">
        <f>B125</f>
        <v>6774690885</v>
      </c>
      <c r="C7" s="308">
        <f t="shared" ref="C7:P7" si="13">C125</f>
        <v>13605852829</v>
      </c>
      <c r="D7" s="308">
        <f t="shared" si="13"/>
        <v>12986723082</v>
      </c>
      <c r="E7" s="308">
        <f t="shared" si="13"/>
        <v>13098970936</v>
      </c>
      <c r="F7" s="308">
        <f t="shared" si="13"/>
        <v>14020733965</v>
      </c>
      <c r="G7" s="308">
        <f t="shared" si="13"/>
        <v>14386311095</v>
      </c>
      <c r="H7" s="308">
        <f t="shared" si="13"/>
        <v>14712874310</v>
      </c>
      <c r="I7" s="308">
        <f t="shared" si="13"/>
        <v>14851872278</v>
      </c>
      <c r="J7" s="308">
        <f t="shared" si="13"/>
        <v>14954504578</v>
      </c>
      <c r="K7" s="308">
        <f t="shared" si="13"/>
        <v>14716910382</v>
      </c>
      <c r="L7" s="308">
        <f t="shared" si="13"/>
        <v>12845194670</v>
      </c>
      <c r="M7" s="308">
        <f t="shared" si="13"/>
        <v>14110176420</v>
      </c>
      <c r="N7" s="308">
        <f t="shared" si="13"/>
        <v>14409400981</v>
      </c>
      <c r="O7" s="308">
        <f t="shared" si="13"/>
        <v>14666291777</v>
      </c>
      <c r="P7" s="308">
        <f t="shared" si="13"/>
        <v>14853081800</v>
      </c>
      <c r="Q7" s="309">
        <f>Q29*AVERAGE(L30:P30)*1000000000+200000000</f>
        <v>14581438774.088144</v>
      </c>
      <c r="R7" s="309">
        <f>R29*AVERAGE(M30:Q30)*1000000000+200000000</f>
        <v>14655293890.620512</v>
      </c>
      <c r="S7" s="309">
        <f>S29*AVERAGE(N30:R30)*1000000000</f>
        <v>14687014784.203905</v>
      </c>
      <c r="T7" s="309">
        <f>T29*AVERAGE(O30:S30)*1000000000</f>
        <v>14833602876.012686</v>
      </c>
      <c r="U7" s="309">
        <f>U29*AVERAGE(P30:T30)*1000000000</f>
        <v>14945196786.482641</v>
      </c>
      <c r="V7" s="309">
        <f>V29*AVERAGE(Q30:U30)*1000000000</f>
        <v>15043549140.126476</v>
      </c>
      <c r="W7" s="309">
        <f t="shared" ref="W7:AQ7" si="14">W29*AVERAGE(R30:V30)*1000000000</f>
        <v>15203856925.802042</v>
      </c>
      <c r="X7" s="309">
        <f t="shared" si="14"/>
        <v>15315889301.091822</v>
      </c>
      <c r="Y7" s="309">
        <f t="shared" si="14"/>
        <v>15444748807.180265</v>
      </c>
      <c r="Z7" s="309">
        <f t="shared" si="14"/>
        <v>15569863954.768641</v>
      </c>
      <c r="AA7" s="309">
        <f t="shared" si="14"/>
        <v>15697791497.706242</v>
      </c>
      <c r="AB7" s="309">
        <f t="shared" si="14"/>
        <v>15831898914.029869</v>
      </c>
      <c r="AC7" s="309">
        <f t="shared" si="14"/>
        <v>15960483623.555962</v>
      </c>
      <c r="AD7" s="309">
        <f t="shared" si="14"/>
        <v>16092515961.298559</v>
      </c>
      <c r="AE7" s="309">
        <f t="shared" si="14"/>
        <v>16225188318.03793</v>
      </c>
      <c r="AF7" s="309">
        <f t="shared" si="14"/>
        <v>16359420385.928846</v>
      </c>
      <c r="AG7" s="309">
        <f t="shared" si="14"/>
        <v>16494949056.589117</v>
      </c>
      <c r="AH7" s="309">
        <f t="shared" si="14"/>
        <v>16630749597.229233</v>
      </c>
      <c r="AI7" s="309">
        <f t="shared" si="14"/>
        <v>16768037623.081625</v>
      </c>
      <c r="AJ7" s="309">
        <f t="shared" si="14"/>
        <v>16906401619.124743</v>
      </c>
      <c r="AK7" s="309">
        <f t="shared" si="14"/>
        <v>17045932836.526543</v>
      </c>
      <c r="AL7" s="309">
        <f t="shared" si="14"/>
        <v>17186548706.74839</v>
      </c>
      <c r="AM7" s="309">
        <f t="shared" si="14"/>
        <v>17328204553.461739</v>
      </c>
      <c r="AN7" s="309">
        <f t="shared" si="14"/>
        <v>17471061318.822472</v>
      </c>
      <c r="AO7" s="309">
        <f t="shared" si="14"/>
        <v>17615058649.816719</v>
      </c>
      <c r="AP7" s="309">
        <f t="shared" si="14"/>
        <v>17760209876.846157</v>
      </c>
      <c r="AQ7" s="309">
        <f t="shared" si="14"/>
        <v>17906511980.411629</v>
      </c>
      <c r="AR7" s="309"/>
      <c r="AS7" s="309"/>
      <c r="AT7" s="309"/>
      <c r="AU7" s="309"/>
      <c r="AV7" s="309"/>
      <c r="AW7" s="309"/>
      <c r="AX7" s="309"/>
      <c r="AY7" s="309"/>
      <c r="AZ7" s="309"/>
      <c r="BA7" s="309"/>
      <c r="BB7" s="309"/>
      <c r="BC7" s="395">
        <f>AVERAGE(J7:N7)/AVERAGE(J23:N23)</f>
        <v>0.99274123292794281</v>
      </c>
      <c r="BD7" s="301">
        <f>5500/Q7</f>
        <v>3.771918591307835E-7</v>
      </c>
      <c r="BE7" s="309">
        <v>12863489136.793213</v>
      </c>
      <c r="BF7" s="308">
        <f t="shared" si="3"/>
        <v>-18294466.793212891</v>
      </c>
      <c r="BG7" s="309">
        <v>14262819942.44891</v>
      </c>
      <c r="BH7" s="308">
        <f t="shared" si="4"/>
        <v>-152643522.44890976</v>
      </c>
      <c r="BI7" s="309">
        <v>14471055083.507357</v>
      </c>
      <c r="BJ7" s="308">
        <f t="shared" si="5"/>
        <v>-61654102.507356644</v>
      </c>
      <c r="BK7" s="309">
        <v>14580305524.931494</v>
      </c>
      <c r="BL7" s="308">
        <f t="shared" si="6"/>
        <v>85986252.068506241</v>
      </c>
      <c r="BM7" s="309">
        <v>15173649796.72332</v>
      </c>
      <c r="BN7" s="308">
        <f t="shared" si="7"/>
        <v>-320567996.72332001</v>
      </c>
      <c r="BO7" s="309">
        <v>14581438774.088144</v>
      </c>
      <c r="BP7" s="308">
        <f t="shared" si="8"/>
        <v>0</v>
      </c>
    </row>
    <row r="8" spans="1:73" ht="12" thickBot="1">
      <c r="A8" s="396" t="s">
        <v>225</v>
      </c>
      <c r="B8" s="397">
        <f>B141</f>
        <v>2617486</v>
      </c>
      <c r="C8" s="397">
        <f t="shared" ref="C8:P8" si="15">C141</f>
        <v>3204291</v>
      </c>
      <c r="D8" s="397">
        <f t="shared" si="15"/>
        <v>0</v>
      </c>
      <c r="E8" s="397">
        <f t="shared" si="15"/>
        <v>0</v>
      </c>
      <c r="F8" s="397">
        <f t="shared" si="15"/>
        <v>1187430</v>
      </c>
      <c r="G8" s="397">
        <f t="shared" si="15"/>
        <v>7007845</v>
      </c>
      <c r="H8" s="397">
        <f t="shared" si="15"/>
        <v>11738985</v>
      </c>
      <c r="I8" s="397">
        <f t="shared" si="15"/>
        <v>12347968</v>
      </c>
      <c r="J8" s="397">
        <f t="shared" si="15"/>
        <v>12738772</v>
      </c>
      <c r="K8" s="397">
        <f t="shared" si="15"/>
        <v>13483230</v>
      </c>
      <c r="L8" s="397">
        <f t="shared" si="15"/>
        <v>11997947</v>
      </c>
      <c r="M8" s="397">
        <f t="shared" si="15"/>
        <v>13427479</v>
      </c>
      <c r="N8" s="397">
        <f t="shared" si="15"/>
        <v>14102849</v>
      </c>
      <c r="O8" s="397">
        <f t="shared" si="15"/>
        <v>12449754</v>
      </c>
      <c r="P8" s="397">
        <f t="shared" si="15"/>
        <v>14445998</v>
      </c>
      <c r="Q8" s="309">
        <v>14250000</v>
      </c>
      <c r="R8" s="309">
        <v>12500000</v>
      </c>
      <c r="S8" s="309">
        <v>12500000</v>
      </c>
      <c r="T8" s="309">
        <v>12500000</v>
      </c>
      <c r="U8" s="309">
        <v>12500000</v>
      </c>
      <c r="V8" s="309">
        <v>12500000</v>
      </c>
      <c r="W8" s="309">
        <v>12500000</v>
      </c>
      <c r="X8" s="309">
        <v>12500000</v>
      </c>
      <c r="Y8" s="309">
        <v>12500000</v>
      </c>
      <c r="Z8" s="309">
        <v>12500000</v>
      </c>
      <c r="AA8" s="309">
        <v>12500000</v>
      </c>
      <c r="AB8" s="309">
        <v>12500000</v>
      </c>
      <c r="AC8" s="309">
        <v>12500000</v>
      </c>
      <c r="AD8" s="309">
        <v>12500000</v>
      </c>
      <c r="AE8" s="309">
        <v>12500000</v>
      </c>
      <c r="AF8" s="309">
        <v>12500000</v>
      </c>
      <c r="AG8" s="309">
        <v>12500000</v>
      </c>
      <c r="AH8" s="309">
        <v>12500001</v>
      </c>
      <c r="AI8" s="309">
        <v>12500002</v>
      </c>
      <c r="AJ8" s="309">
        <v>12500003</v>
      </c>
      <c r="AK8" s="309">
        <v>12500004</v>
      </c>
      <c r="AL8" s="309">
        <v>12500005</v>
      </c>
      <c r="AM8" s="309">
        <v>12500006</v>
      </c>
      <c r="AN8" s="309">
        <v>12500007</v>
      </c>
      <c r="AO8" s="309">
        <v>12500008</v>
      </c>
      <c r="AP8" s="309">
        <v>12500009</v>
      </c>
      <c r="AQ8" s="309">
        <v>12500010</v>
      </c>
      <c r="AR8" s="309"/>
      <c r="AS8" s="309"/>
      <c r="AT8" s="309"/>
      <c r="AU8" s="309"/>
      <c r="AV8" s="309"/>
      <c r="AW8" s="309"/>
      <c r="AX8" s="309"/>
      <c r="AY8" s="309"/>
      <c r="AZ8" s="309"/>
      <c r="BA8" s="309"/>
      <c r="BB8" s="309"/>
      <c r="BC8" s="309"/>
      <c r="BE8" s="309">
        <v>11276743.206787109</v>
      </c>
      <c r="BF8" s="308">
        <f t="shared" si="3"/>
        <v>721203.79321289063</v>
      </c>
      <c r="BG8" s="309">
        <v>12680057.55109024</v>
      </c>
      <c r="BH8" s="308">
        <f t="shared" si="4"/>
        <v>747421.44890975952</v>
      </c>
      <c r="BI8" s="309">
        <v>14250000</v>
      </c>
      <c r="BJ8" s="308">
        <f t="shared" si="5"/>
        <v>-147151</v>
      </c>
      <c r="BK8" s="309">
        <v>12750000</v>
      </c>
      <c r="BL8" s="308">
        <f t="shared" si="6"/>
        <v>-300246</v>
      </c>
      <c r="BM8" s="309">
        <v>14250000</v>
      </c>
      <c r="BN8" s="308">
        <f t="shared" si="7"/>
        <v>195998</v>
      </c>
      <c r="BO8" s="309">
        <v>14250000</v>
      </c>
      <c r="BP8" s="308">
        <f t="shared" si="8"/>
        <v>0</v>
      </c>
    </row>
    <row r="9" spans="1:73">
      <c r="A9" s="318" t="s">
        <v>480</v>
      </c>
      <c r="B9" s="311">
        <f>B10+B11</f>
        <v>0</v>
      </c>
      <c r="C9" s="311">
        <f t="shared" ref="C9:P9" si="16">C10+C11</f>
        <v>0</v>
      </c>
      <c r="D9" s="311">
        <f t="shared" si="16"/>
        <v>0</v>
      </c>
      <c r="E9" s="311">
        <f t="shared" si="16"/>
        <v>11691</v>
      </c>
      <c r="F9" s="311">
        <f t="shared" si="16"/>
        <v>0</v>
      </c>
      <c r="G9" s="311">
        <f t="shared" si="16"/>
        <v>0</v>
      </c>
      <c r="H9" s="311">
        <f t="shared" si="16"/>
        <v>125340</v>
      </c>
      <c r="I9" s="311">
        <f t="shared" si="16"/>
        <v>0</v>
      </c>
      <c r="J9" s="311">
        <f t="shared" si="16"/>
        <v>0</v>
      </c>
      <c r="K9" s="311">
        <f t="shared" si="16"/>
        <v>0</v>
      </c>
      <c r="L9" s="311">
        <f t="shared" si="16"/>
        <v>440</v>
      </c>
      <c r="M9" s="311">
        <f t="shared" si="16"/>
        <v>0</v>
      </c>
      <c r="N9" s="311">
        <f t="shared" si="16"/>
        <v>0</v>
      </c>
      <c r="O9" s="311">
        <f t="shared" si="16"/>
        <v>0</v>
      </c>
      <c r="P9" s="311">
        <f t="shared" si="16"/>
        <v>0</v>
      </c>
      <c r="Q9" s="313">
        <f t="shared" ref="Q9:AD9" si="17">SUM(Q10:Q11)</f>
        <v>0</v>
      </c>
      <c r="R9" s="313">
        <f t="shared" si="17"/>
        <v>0</v>
      </c>
      <c r="S9" s="313">
        <f t="shared" si="17"/>
        <v>0</v>
      </c>
      <c r="T9" s="313">
        <f t="shared" si="17"/>
        <v>0</v>
      </c>
      <c r="U9" s="313">
        <f t="shared" si="17"/>
        <v>0</v>
      </c>
      <c r="V9" s="313">
        <f t="shared" si="17"/>
        <v>0</v>
      </c>
      <c r="W9" s="313">
        <f t="shared" si="17"/>
        <v>0</v>
      </c>
      <c r="X9" s="313">
        <f t="shared" si="17"/>
        <v>0</v>
      </c>
      <c r="Y9" s="313">
        <f t="shared" si="17"/>
        <v>0</v>
      </c>
      <c r="Z9" s="313">
        <f t="shared" si="17"/>
        <v>0</v>
      </c>
      <c r="AA9" s="313">
        <f t="shared" si="17"/>
        <v>0</v>
      </c>
      <c r="AB9" s="313">
        <f t="shared" si="17"/>
        <v>0</v>
      </c>
      <c r="AC9" s="313">
        <f t="shared" si="17"/>
        <v>0</v>
      </c>
      <c r="AD9" s="313">
        <f t="shared" si="17"/>
        <v>0</v>
      </c>
      <c r="AE9" s="313">
        <f>SUM(AE10:AE11)</f>
        <v>0</v>
      </c>
      <c r="AF9" s="313">
        <f>SUM(AF10:AF11)</f>
        <v>0</v>
      </c>
      <c r="AG9" s="313">
        <f>SUM(AG10:AG11)</f>
        <v>0</v>
      </c>
      <c r="AH9" s="313">
        <f t="shared" ref="AH9:AQ9" si="18">SUM(AH10:AH11)</f>
        <v>0</v>
      </c>
      <c r="AI9" s="313">
        <f t="shared" si="18"/>
        <v>0</v>
      </c>
      <c r="AJ9" s="313">
        <f t="shared" si="18"/>
        <v>0</v>
      </c>
      <c r="AK9" s="313">
        <f t="shared" si="18"/>
        <v>0</v>
      </c>
      <c r="AL9" s="313">
        <f t="shared" si="18"/>
        <v>0</v>
      </c>
      <c r="AM9" s="313">
        <f t="shared" si="18"/>
        <v>0</v>
      </c>
      <c r="AN9" s="313">
        <f t="shared" si="18"/>
        <v>0</v>
      </c>
      <c r="AO9" s="313">
        <f t="shared" si="18"/>
        <v>0</v>
      </c>
      <c r="AP9" s="313">
        <f t="shared" si="18"/>
        <v>0</v>
      </c>
      <c r="AQ9" s="313">
        <f t="shared" si="18"/>
        <v>24</v>
      </c>
      <c r="AR9" s="309"/>
      <c r="AS9" s="309"/>
      <c r="AT9" s="309"/>
      <c r="AU9" s="309"/>
      <c r="AV9" s="309"/>
      <c r="AW9" s="309"/>
      <c r="AX9" s="309"/>
      <c r="AY9" s="309"/>
      <c r="AZ9" s="309"/>
      <c r="BA9" s="309"/>
      <c r="BB9" s="309"/>
      <c r="BC9" s="309"/>
      <c r="BE9" s="313">
        <v>440</v>
      </c>
      <c r="BF9" s="308">
        <f t="shared" si="3"/>
        <v>0</v>
      </c>
      <c r="BG9" s="313">
        <v>0</v>
      </c>
      <c r="BH9" s="308">
        <f t="shared" si="4"/>
        <v>0</v>
      </c>
      <c r="BI9" s="313">
        <v>0</v>
      </c>
      <c r="BJ9" s="308">
        <f t="shared" si="5"/>
        <v>0</v>
      </c>
      <c r="BK9" s="313">
        <v>0</v>
      </c>
      <c r="BL9" s="308">
        <f t="shared" si="6"/>
        <v>0</v>
      </c>
      <c r="BM9" s="313">
        <v>0</v>
      </c>
      <c r="BN9" s="308">
        <f t="shared" si="7"/>
        <v>0</v>
      </c>
      <c r="BO9" s="313">
        <v>0</v>
      </c>
      <c r="BP9" s="308">
        <f t="shared" si="8"/>
        <v>0</v>
      </c>
    </row>
    <row r="10" spans="1:73">
      <c r="A10" s="301" t="s">
        <v>224</v>
      </c>
      <c r="B10" s="308">
        <f>B173</f>
        <v>0</v>
      </c>
      <c r="C10" s="308">
        <f t="shared" ref="C10:AD10" si="19">C173</f>
        <v>0</v>
      </c>
      <c r="D10" s="308">
        <f t="shared" si="19"/>
        <v>0</v>
      </c>
      <c r="E10" s="308">
        <f t="shared" si="19"/>
        <v>11691</v>
      </c>
      <c r="F10" s="308">
        <f t="shared" si="19"/>
        <v>0</v>
      </c>
      <c r="G10" s="308">
        <f t="shared" si="19"/>
        <v>0</v>
      </c>
      <c r="H10" s="308">
        <f t="shared" si="19"/>
        <v>125340</v>
      </c>
      <c r="I10" s="308">
        <f t="shared" si="19"/>
        <v>0</v>
      </c>
      <c r="J10" s="308">
        <f t="shared" si="19"/>
        <v>0</v>
      </c>
      <c r="K10" s="308">
        <f t="shared" si="19"/>
        <v>0</v>
      </c>
      <c r="L10" s="308">
        <f t="shared" si="19"/>
        <v>440</v>
      </c>
      <c r="M10" s="308">
        <f t="shared" si="19"/>
        <v>0</v>
      </c>
      <c r="N10" s="308">
        <f t="shared" si="19"/>
        <v>0</v>
      </c>
      <c r="O10" s="308">
        <f t="shared" si="19"/>
        <v>0</v>
      </c>
      <c r="P10" s="308">
        <f t="shared" si="19"/>
        <v>0</v>
      </c>
      <c r="Q10" s="309">
        <f t="shared" si="19"/>
        <v>0</v>
      </c>
      <c r="R10" s="309">
        <f t="shared" si="19"/>
        <v>0</v>
      </c>
      <c r="S10" s="309">
        <f t="shared" si="19"/>
        <v>0</v>
      </c>
      <c r="T10" s="309">
        <f t="shared" si="19"/>
        <v>0</v>
      </c>
      <c r="U10" s="309">
        <f t="shared" si="19"/>
        <v>0</v>
      </c>
      <c r="V10" s="309">
        <f t="shared" si="19"/>
        <v>0</v>
      </c>
      <c r="W10" s="309">
        <f t="shared" si="19"/>
        <v>0</v>
      </c>
      <c r="X10" s="309">
        <f t="shared" si="19"/>
        <v>0</v>
      </c>
      <c r="Y10" s="309">
        <f t="shared" si="19"/>
        <v>0</v>
      </c>
      <c r="Z10" s="309">
        <f t="shared" si="19"/>
        <v>0</v>
      </c>
      <c r="AA10" s="309">
        <f t="shared" si="19"/>
        <v>0</v>
      </c>
      <c r="AB10" s="309">
        <f t="shared" si="19"/>
        <v>0</v>
      </c>
      <c r="AC10" s="309">
        <f t="shared" si="19"/>
        <v>0</v>
      </c>
      <c r="AD10" s="309">
        <f t="shared" si="19"/>
        <v>0</v>
      </c>
      <c r="AE10" s="309">
        <f>AE173</f>
        <v>0</v>
      </c>
      <c r="AF10" s="309">
        <f>AF173</f>
        <v>0</v>
      </c>
      <c r="AG10" s="309">
        <f>AG173</f>
        <v>0</v>
      </c>
      <c r="AH10" s="309">
        <f t="shared" ref="AH10:AQ10" si="20">AH173</f>
        <v>0</v>
      </c>
      <c r="AI10" s="309">
        <f t="shared" si="20"/>
        <v>0</v>
      </c>
      <c r="AJ10" s="309">
        <f t="shared" si="20"/>
        <v>0</v>
      </c>
      <c r="AK10" s="309">
        <f t="shared" si="20"/>
        <v>0</v>
      </c>
      <c r="AL10" s="309">
        <f t="shared" si="20"/>
        <v>0</v>
      </c>
      <c r="AM10" s="309">
        <f t="shared" si="20"/>
        <v>0</v>
      </c>
      <c r="AN10" s="309">
        <f t="shared" si="20"/>
        <v>0</v>
      </c>
      <c r="AO10" s="309">
        <f t="shared" si="20"/>
        <v>0</v>
      </c>
      <c r="AP10" s="309">
        <f t="shared" si="20"/>
        <v>0</v>
      </c>
      <c r="AQ10" s="309">
        <f t="shared" si="20"/>
        <v>12</v>
      </c>
      <c r="AR10" s="309"/>
      <c r="AS10" s="309"/>
      <c r="AT10" s="309"/>
      <c r="AU10" s="309"/>
      <c r="AV10" s="309"/>
      <c r="AW10" s="309"/>
      <c r="AX10" s="309"/>
      <c r="AY10" s="309"/>
      <c r="AZ10" s="309"/>
      <c r="BA10" s="309"/>
      <c r="BB10" s="309"/>
      <c r="BC10" s="309"/>
      <c r="BE10" s="309">
        <v>440</v>
      </c>
      <c r="BF10" s="308">
        <f t="shared" si="3"/>
        <v>0</v>
      </c>
      <c r="BG10" s="309">
        <v>0</v>
      </c>
      <c r="BH10" s="308">
        <f t="shared" si="4"/>
        <v>0</v>
      </c>
      <c r="BI10" s="309">
        <v>0</v>
      </c>
      <c r="BJ10" s="308">
        <f t="shared" si="5"/>
        <v>0</v>
      </c>
      <c r="BK10" s="309">
        <v>0</v>
      </c>
      <c r="BL10" s="308">
        <f t="shared" si="6"/>
        <v>0</v>
      </c>
      <c r="BM10" s="309">
        <v>0</v>
      </c>
      <c r="BN10" s="308">
        <f t="shared" si="7"/>
        <v>0</v>
      </c>
      <c r="BO10" s="309">
        <v>0</v>
      </c>
      <c r="BP10" s="308">
        <f t="shared" si="8"/>
        <v>0</v>
      </c>
    </row>
    <row r="11" spans="1:73" ht="12" thickBot="1">
      <c r="A11" s="301" t="s">
        <v>225</v>
      </c>
      <c r="B11" s="308">
        <f t="shared" ref="B11:K11" si="21">B189</f>
        <v>0</v>
      </c>
      <c r="C11" s="308">
        <f t="shared" si="21"/>
        <v>0</v>
      </c>
      <c r="D11" s="308">
        <f t="shared" si="21"/>
        <v>0</v>
      </c>
      <c r="E11" s="308">
        <f t="shared" si="21"/>
        <v>0</v>
      </c>
      <c r="F11" s="308">
        <f t="shared" si="21"/>
        <v>0</v>
      </c>
      <c r="G11" s="308">
        <f t="shared" si="21"/>
        <v>0</v>
      </c>
      <c r="H11" s="308">
        <f t="shared" si="21"/>
        <v>0</v>
      </c>
      <c r="I11" s="308">
        <f t="shared" si="21"/>
        <v>0</v>
      </c>
      <c r="J11" s="308">
        <f t="shared" si="21"/>
        <v>0</v>
      </c>
      <c r="K11" s="308">
        <f t="shared" si="21"/>
        <v>0</v>
      </c>
      <c r="L11" s="308">
        <f>L189</f>
        <v>0</v>
      </c>
      <c r="M11" s="308">
        <f>M189</f>
        <v>0</v>
      </c>
      <c r="N11" s="308">
        <f>N189</f>
        <v>0</v>
      </c>
      <c r="O11" s="308">
        <f>O189</f>
        <v>0</v>
      </c>
      <c r="P11" s="308">
        <f>P189</f>
        <v>0</v>
      </c>
      <c r="Q11" s="309">
        <f t="shared" ref="Q11:AD11" si="22">Q189</f>
        <v>0</v>
      </c>
      <c r="R11" s="309">
        <f t="shared" si="22"/>
        <v>0</v>
      </c>
      <c r="S11" s="309">
        <f t="shared" si="22"/>
        <v>0</v>
      </c>
      <c r="T11" s="309">
        <f t="shared" si="22"/>
        <v>0</v>
      </c>
      <c r="U11" s="309">
        <f t="shared" si="22"/>
        <v>0</v>
      </c>
      <c r="V11" s="309">
        <f t="shared" si="22"/>
        <v>0</v>
      </c>
      <c r="W11" s="309">
        <f t="shared" si="22"/>
        <v>0</v>
      </c>
      <c r="X11" s="309">
        <f t="shared" si="22"/>
        <v>0</v>
      </c>
      <c r="Y11" s="309">
        <f t="shared" si="22"/>
        <v>0</v>
      </c>
      <c r="Z11" s="309">
        <f t="shared" si="22"/>
        <v>0</v>
      </c>
      <c r="AA11" s="309">
        <f t="shared" si="22"/>
        <v>0</v>
      </c>
      <c r="AB11" s="309">
        <f t="shared" si="22"/>
        <v>0</v>
      </c>
      <c r="AC11" s="309">
        <f t="shared" si="22"/>
        <v>0</v>
      </c>
      <c r="AD11" s="309">
        <f t="shared" si="22"/>
        <v>0</v>
      </c>
      <c r="AE11" s="309">
        <f>AE189</f>
        <v>0</v>
      </c>
      <c r="AF11" s="309">
        <f>AF189</f>
        <v>0</v>
      </c>
      <c r="AG11" s="309">
        <f>AG189</f>
        <v>0</v>
      </c>
      <c r="AH11" s="309">
        <f t="shared" ref="AH11:AQ11" si="23">AH189</f>
        <v>0</v>
      </c>
      <c r="AI11" s="309">
        <f t="shared" si="23"/>
        <v>0</v>
      </c>
      <c r="AJ11" s="309">
        <f t="shared" si="23"/>
        <v>0</v>
      </c>
      <c r="AK11" s="309">
        <f t="shared" si="23"/>
        <v>0</v>
      </c>
      <c r="AL11" s="309">
        <f t="shared" si="23"/>
        <v>0</v>
      </c>
      <c r="AM11" s="309">
        <f t="shared" si="23"/>
        <v>0</v>
      </c>
      <c r="AN11" s="309">
        <f t="shared" si="23"/>
        <v>0</v>
      </c>
      <c r="AO11" s="309">
        <f t="shared" si="23"/>
        <v>0</v>
      </c>
      <c r="AP11" s="309">
        <f t="shared" si="23"/>
        <v>0</v>
      </c>
      <c r="AQ11" s="309">
        <f t="shared" si="23"/>
        <v>12</v>
      </c>
      <c r="AR11" s="309"/>
      <c r="AS11" s="309"/>
      <c r="AT11" s="309"/>
      <c r="AU11" s="309"/>
      <c r="AV11" s="309"/>
      <c r="AW11" s="309"/>
      <c r="AX11" s="309"/>
      <c r="AY11" s="309"/>
      <c r="AZ11" s="309"/>
      <c r="BA11" s="309"/>
      <c r="BB11" s="309"/>
      <c r="BC11" s="309"/>
      <c r="BE11" s="309">
        <v>0</v>
      </c>
      <c r="BF11" s="308">
        <f t="shared" si="3"/>
        <v>0</v>
      </c>
      <c r="BG11" s="309">
        <v>0</v>
      </c>
      <c r="BH11" s="308">
        <f t="shared" si="4"/>
        <v>0</v>
      </c>
      <c r="BI11" s="309">
        <v>0</v>
      </c>
      <c r="BJ11" s="308">
        <f t="shared" si="5"/>
        <v>0</v>
      </c>
      <c r="BK11" s="309">
        <v>0</v>
      </c>
      <c r="BL11" s="308">
        <f t="shared" si="6"/>
        <v>0</v>
      </c>
      <c r="BM11" s="309">
        <v>0</v>
      </c>
      <c r="BN11" s="308">
        <f t="shared" si="7"/>
        <v>0</v>
      </c>
      <c r="BO11" s="309">
        <v>0</v>
      </c>
      <c r="BP11" s="308">
        <f t="shared" si="8"/>
        <v>0</v>
      </c>
    </row>
    <row r="12" spans="1:73">
      <c r="A12" s="318" t="s">
        <v>283</v>
      </c>
      <c r="B12" s="311">
        <f>B13+B14+B15</f>
        <v>0</v>
      </c>
      <c r="C12" s="311">
        <f t="shared" ref="C12:P12" si="24">C13+C14+C15</f>
        <v>0</v>
      </c>
      <c r="D12" s="311">
        <f t="shared" si="24"/>
        <v>0</v>
      </c>
      <c r="E12" s="311">
        <f t="shared" si="24"/>
        <v>115504168</v>
      </c>
      <c r="F12" s="311">
        <f t="shared" si="24"/>
        <v>151391926</v>
      </c>
      <c r="G12" s="311">
        <f t="shared" si="24"/>
        <v>200531415</v>
      </c>
      <c r="H12" s="311">
        <f t="shared" si="24"/>
        <v>165657065</v>
      </c>
      <c r="I12" s="311">
        <f t="shared" si="24"/>
        <v>144107197</v>
      </c>
      <c r="J12" s="311">
        <f t="shared" si="24"/>
        <v>106508829</v>
      </c>
      <c r="K12" s="311">
        <f t="shared" si="24"/>
        <v>116353451</v>
      </c>
      <c r="L12" s="311">
        <f t="shared" si="24"/>
        <v>76268925</v>
      </c>
      <c r="M12" s="311">
        <f t="shared" si="24"/>
        <v>79217986</v>
      </c>
      <c r="N12" s="311">
        <f t="shared" si="24"/>
        <v>74962365</v>
      </c>
      <c r="O12" s="311">
        <f t="shared" si="24"/>
        <v>60044033</v>
      </c>
      <c r="P12" s="311">
        <f t="shared" si="24"/>
        <v>147171</v>
      </c>
      <c r="Q12" s="398">
        <f>Q13</f>
        <v>82943.961856176349</v>
      </c>
      <c r="R12" s="398">
        <f t="shared" ref="R12:AQ12" si="25">R13</f>
        <v>100322.75276382241</v>
      </c>
      <c r="S12" s="398">
        <f t="shared" si="25"/>
        <v>121195.49146650678</v>
      </c>
      <c r="T12" s="398">
        <f t="shared" si="25"/>
        <v>126693.50214713873</v>
      </c>
      <c r="U12" s="398">
        <f t="shared" si="25"/>
        <v>135830.72640841323</v>
      </c>
      <c r="V12" s="398">
        <f t="shared" si="25"/>
        <v>145296.84517426378</v>
      </c>
      <c r="W12" s="398">
        <f t="shared" si="25"/>
        <v>151038.72832380547</v>
      </c>
      <c r="X12" s="398">
        <f t="shared" si="25"/>
        <v>171264.85721411082</v>
      </c>
      <c r="Y12" s="391">
        <f t="shared" si="25"/>
        <v>175740.13952286952</v>
      </c>
      <c r="Z12" s="391">
        <f t="shared" si="25"/>
        <v>184176.82960617027</v>
      </c>
      <c r="AA12" s="391">
        <f t="shared" si="25"/>
        <v>195185.29721452997</v>
      </c>
      <c r="AB12" s="391">
        <f t="shared" si="25"/>
        <v>190879.1189528488</v>
      </c>
      <c r="AC12" s="391">
        <f t="shared" si="25"/>
        <v>206385.26410779406</v>
      </c>
      <c r="AD12" s="391">
        <f t="shared" si="25"/>
        <v>227575.45287643326</v>
      </c>
      <c r="AE12" s="391">
        <f t="shared" si="25"/>
        <v>248592.44763935226</v>
      </c>
      <c r="AF12" s="391">
        <f t="shared" si="25"/>
        <v>248430.86277263574</v>
      </c>
      <c r="AG12" s="391">
        <f t="shared" si="25"/>
        <v>249342.17463102427</v>
      </c>
      <c r="AH12" s="391">
        <f t="shared" si="25"/>
        <v>261973.82680269497</v>
      </c>
      <c r="AI12" s="391">
        <f t="shared" si="25"/>
        <v>282858.06713185</v>
      </c>
      <c r="AJ12" s="391">
        <f t="shared" si="25"/>
        <v>289922.12504788599</v>
      </c>
      <c r="AK12" s="391">
        <f t="shared" si="25"/>
        <v>289367.674298572</v>
      </c>
      <c r="AL12" s="391">
        <f t="shared" si="25"/>
        <v>288060.68284024595</v>
      </c>
      <c r="AM12" s="391">
        <f t="shared" si="25"/>
        <v>283124.44655527995</v>
      </c>
      <c r="AN12" s="391">
        <f t="shared" si="25"/>
        <v>293958.81636250776</v>
      </c>
      <c r="AO12" s="391">
        <f t="shared" si="25"/>
        <v>304568.79357086326</v>
      </c>
      <c r="AP12" s="391">
        <f t="shared" si="25"/>
        <v>307298.19052534294</v>
      </c>
      <c r="AQ12" s="391">
        <f t="shared" si="25"/>
        <v>307298.190525343</v>
      </c>
      <c r="AR12" s="302"/>
      <c r="AS12" s="302"/>
      <c r="AT12" s="302"/>
      <c r="AU12" s="302"/>
      <c r="AV12" s="302"/>
      <c r="AW12" s="302"/>
      <c r="AX12" s="302"/>
      <c r="AY12" s="302"/>
      <c r="AZ12" s="302"/>
      <c r="BA12" s="302"/>
      <c r="BB12" s="302"/>
      <c r="BC12" s="309"/>
      <c r="BE12" s="313">
        <v>80321102.739999771</v>
      </c>
      <c r="BF12" s="308">
        <f t="shared" si="3"/>
        <v>-4052177.7399997711</v>
      </c>
      <c r="BG12" s="313">
        <v>81347119.399999619</v>
      </c>
      <c r="BH12" s="308">
        <f t="shared" si="4"/>
        <v>-2129133.3999996185</v>
      </c>
      <c r="BI12" s="313">
        <v>68465357.3804456</v>
      </c>
      <c r="BJ12" s="308">
        <f t="shared" si="5"/>
        <v>6497007.6195544004</v>
      </c>
      <c r="BK12" s="313">
        <v>75208383.00000006</v>
      </c>
      <c r="BL12" s="308">
        <f t="shared" si="6"/>
        <v>-15164350.00000006</v>
      </c>
      <c r="BM12" s="313">
        <v>147171</v>
      </c>
      <c r="BN12" s="308">
        <f t="shared" si="7"/>
        <v>0</v>
      </c>
      <c r="BO12" s="313">
        <v>806404.59635989997</v>
      </c>
      <c r="BP12" s="308">
        <f t="shared" si="8"/>
        <v>-723460.63450372359</v>
      </c>
      <c r="BS12" s="308"/>
      <c r="BT12" s="308"/>
      <c r="BU12" s="308"/>
    </row>
    <row r="13" spans="1:73">
      <c r="A13" s="301" t="s">
        <v>224</v>
      </c>
      <c r="B13" s="308">
        <f>B221</f>
        <v>0</v>
      </c>
      <c r="C13" s="308">
        <f t="shared" ref="C13:P13" si="26">C221</f>
        <v>0</v>
      </c>
      <c r="D13" s="308">
        <f t="shared" si="26"/>
        <v>0</v>
      </c>
      <c r="E13" s="308">
        <f t="shared" si="26"/>
        <v>0</v>
      </c>
      <c r="F13" s="308">
        <f t="shared" si="26"/>
        <v>0</v>
      </c>
      <c r="G13" s="308">
        <f t="shared" si="26"/>
        <v>0</v>
      </c>
      <c r="H13" s="308">
        <f t="shared" si="26"/>
        <v>0</v>
      </c>
      <c r="I13" s="308">
        <f t="shared" si="26"/>
        <v>0</v>
      </c>
      <c r="J13" s="308">
        <f t="shared" si="26"/>
        <v>0</v>
      </c>
      <c r="K13" s="308">
        <f t="shared" si="26"/>
        <v>0</v>
      </c>
      <c r="L13" s="308">
        <f t="shared" si="26"/>
        <v>0</v>
      </c>
      <c r="M13" s="308">
        <f t="shared" si="26"/>
        <v>0</v>
      </c>
      <c r="N13" s="308">
        <f t="shared" si="26"/>
        <v>0</v>
      </c>
      <c r="O13" s="308">
        <f t="shared" si="26"/>
        <v>554028</v>
      </c>
      <c r="P13" s="308">
        <f t="shared" si="26"/>
        <v>147171</v>
      </c>
      <c r="Q13" s="393" cm="1">
        <f t="array" ref="Q13">AVERAGE(('[3]Co-Processing'!$K$230:$K$241)*1000000)*(P13/SUM(P$4,P$13,P$17))</f>
        <v>82943.961856176349</v>
      </c>
      <c r="R13" s="393" cm="1">
        <f t="array" ref="R13">AVERAGE(('[3]Co-Processing'!$K$242:$K$253)*1000000)*(Q13/SUM(Q$4,Q$13,Q$17))</f>
        <v>100322.75276382241</v>
      </c>
      <c r="S13" s="393" cm="1">
        <f t="array" ref="S13">AVERAGE(('[3]Co-Processing'!$K$254:$K$265)*1000000)*(R13/SUM(R$4,R$13,R$17))</f>
        <v>121195.49146650678</v>
      </c>
      <c r="T13" s="393" cm="1">
        <f t="array" ref="T13">AVERAGE(('[3]Co-Processing'!$K$266:$K$277)*1000000)*(S13/SUM(S$4,S$13,S$17))</f>
        <v>126693.50214713873</v>
      </c>
      <c r="U13" s="393" cm="1">
        <f t="array" ref="U13">AVERAGE(('[3]Co-Processing'!$K$278:$K$289)*1000000)*(T13/SUM(T$4,T$13,T$17))</f>
        <v>135830.72640841323</v>
      </c>
      <c r="V13" s="393" cm="1">
        <f t="array" ref="V13">AVERAGE(('[3]Co-Processing'!$K$290:$K$301)*1000000)*(U13/SUM(U$4,U$13,U$17))</f>
        <v>145296.84517426378</v>
      </c>
      <c r="W13" s="393" cm="1">
        <f t="array" ref="W13">AVERAGE(('[3]Co-Processing'!$K$302:$K$313)*1000000)*(V13/SUM(V$4,V$13,V$17))</f>
        <v>151038.72832380547</v>
      </c>
      <c r="X13" s="393" cm="1">
        <f t="array" ref="X13">AVERAGE(('[3]Co-Processing'!$K$314:$K$325)*1000000)*(W13/SUM(W$4,W$13,W$17))</f>
        <v>171264.85721411082</v>
      </c>
      <c r="Y13" s="393" cm="1">
        <f t="array" ref="Y13">AVERAGE(('[3]Co-Processing'!$K$326:$K$337)*1000000)*(X13/SUM(X$4,X$13,X$17))</f>
        <v>175740.13952286952</v>
      </c>
      <c r="Z13" s="393" cm="1">
        <f t="array" ref="Z13">AVERAGE(('[3]Co-Processing'!$K$338:$K$349)*1000000)*(Y13/SUM(Y$4,Y$13,Y$17))</f>
        <v>184176.82960617027</v>
      </c>
      <c r="AA13" s="393" cm="1">
        <f t="array" ref="AA13">AVERAGE(('[3]Co-Processing'!$K$350:$K$361)*1000000)*(Z13/SUM(Z$4,Z$13,Z$17))</f>
        <v>195185.29721452997</v>
      </c>
      <c r="AB13" s="393" cm="1">
        <f t="array" ref="AB13">AVERAGE(('[3]Co-Processing'!$K$362:$K$373)*1000000)*(AA13/SUM(AA$4,AA$13,AA$17))</f>
        <v>190879.1189528488</v>
      </c>
      <c r="AC13" s="393" cm="1">
        <f t="array" ref="AC13">AVERAGE(('[3]Co-Processing'!$K$374:$K$385)*1000000)*(AB13/SUM(AB$4,AB$13,AB$17))</f>
        <v>206385.26410779406</v>
      </c>
      <c r="AD13" s="393" cm="1">
        <f t="array" ref="AD13">AVERAGE(('[3]Co-Processing'!$K$386:$K$397)*1000000)*(AC13/SUM(AC$4,AC$13,AC$17))</f>
        <v>227575.45287643326</v>
      </c>
      <c r="AE13" s="393" cm="1">
        <f t="array" ref="AE13">AVERAGE(('[3]Co-Processing'!$K$398:$K$409)*1000000)*(AD13/SUM(AD$4,AD$13,AD$17))</f>
        <v>248592.44763935226</v>
      </c>
      <c r="AF13" s="393" cm="1">
        <f t="array" ref="AF13">AVERAGE(('[3]Co-Processing'!$K$410:$K$421)*1000000)*(AE13/SUM(AE$4,AE$13,AE$17))</f>
        <v>248430.86277263574</v>
      </c>
      <c r="AG13" s="393" cm="1">
        <f t="array" ref="AG13">AVERAGE(('[3]Co-Processing'!$K$422:$K$433)*1000000)*(AF13/SUM(AF$4,AF$13,AF$17))</f>
        <v>249342.17463102427</v>
      </c>
      <c r="AH13" s="393" cm="1">
        <f t="array" ref="AH13">AVERAGE(('[3]Co-Processing'!$K$434:$K$445)*1000000)*(AG13/SUM(AG$4,AG$13,AG$17))</f>
        <v>261973.82680269497</v>
      </c>
      <c r="AI13" s="393" cm="1">
        <f t="array" ref="AI13">AVERAGE(('[3]Co-Processing'!$K$446:$K$457)*1000000)*(AH13/SUM(AH$4,AH$13,AH$17))</f>
        <v>282858.06713185</v>
      </c>
      <c r="AJ13" s="393" cm="1">
        <f t="array" ref="AJ13">AVERAGE(('[3]Co-Processing'!$K$458:$K$469)*1000000)*(AI13/SUM(AI$4,AI$13,AI$17))</f>
        <v>289922.12504788599</v>
      </c>
      <c r="AK13" s="393" cm="1">
        <f t="array" ref="AK13">AVERAGE(('[3]Co-Processing'!$K$470:$K$481)*1000000)*(AJ13/SUM(AJ$4,AJ$13,AJ$17))</f>
        <v>289367.674298572</v>
      </c>
      <c r="AL13" s="393" cm="1">
        <f t="array" ref="AL13">AVERAGE(('[3]Co-Processing'!$K$482:$K$493)*1000000)*(AK13/SUM(AK$4,AK$13,AK$17))</f>
        <v>288060.68284024595</v>
      </c>
      <c r="AM13" s="393" cm="1">
        <f t="array" ref="AM13">AVERAGE(('[3]Co-Processing'!$K$494:$K$505)*1000000)*(AL13/SUM(AL$4,AL$13,AL$17))</f>
        <v>283124.44655527995</v>
      </c>
      <c r="AN13" s="393" cm="1">
        <f t="array" ref="AN13">AVERAGE(('[3]Co-Processing'!$K$506:$K$517)*1000000)*(AM13/SUM(AM$4,AM$13,AM$17))</f>
        <v>293958.81636250776</v>
      </c>
      <c r="AO13" s="393" cm="1">
        <f t="array" ref="AO13">AVERAGE(('[3]Co-Processing'!$K$518:$K$529)*1000000)*(AN13/SUM(AN$4,AN$13,AN$17))</f>
        <v>304568.79357086326</v>
      </c>
      <c r="AP13" s="393" cm="1">
        <f t="array" ref="AP13">AVERAGE(('[3]Co-Processing'!$K$530:$K$541)*1000000)*(AO13/SUM(AO$4,AO$13,AO$17))</f>
        <v>307298.19052534294</v>
      </c>
      <c r="AQ13" s="393" cm="1">
        <f t="array" ref="AQ13">AVERAGE(('[3]Co-Processing'!$K$542:$K$553)*1000000)*(AP13/SUM(AP$4,AP$13,AP$17))</f>
        <v>307298.190525343</v>
      </c>
      <c r="AR13" s="392"/>
      <c r="AS13" s="392"/>
      <c r="AT13" s="392"/>
      <c r="AU13" s="392"/>
      <c r="AV13" s="392"/>
      <c r="AW13" s="392"/>
      <c r="AX13" s="392"/>
      <c r="AY13" s="392"/>
      <c r="AZ13" s="392"/>
      <c r="BA13" s="392"/>
      <c r="BB13" s="392"/>
      <c r="BC13" s="392" t="s">
        <v>478</v>
      </c>
      <c r="BE13" s="309">
        <v>0</v>
      </c>
      <c r="BF13" s="308">
        <f t="shared" si="3"/>
        <v>0</v>
      </c>
      <c r="BG13" s="309">
        <v>0</v>
      </c>
      <c r="BH13" s="308">
        <f t="shared" si="4"/>
        <v>0</v>
      </c>
      <c r="BI13" s="309">
        <v>0</v>
      </c>
      <c r="BJ13" s="308">
        <f t="shared" si="5"/>
        <v>0</v>
      </c>
      <c r="BK13" s="309">
        <v>554028</v>
      </c>
      <c r="BL13" s="308">
        <f t="shared" si="6"/>
        <v>0</v>
      </c>
      <c r="BM13" s="309">
        <v>147171</v>
      </c>
      <c r="BN13" s="308">
        <f t="shared" si="7"/>
        <v>0</v>
      </c>
      <c r="BO13" s="309">
        <v>806404.59635989997</v>
      </c>
      <c r="BP13" s="308">
        <f t="shared" si="8"/>
        <v>-723460.63450372359</v>
      </c>
      <c r="BS13" s="308"/>
      <c r="BT13" s="308"/>
      <c r="BU13" s="308"/>
    </row>
    <row r="14" spans="1:73">
      <c r="A14" s="301" t="s">
        <v>282</v>
      </c>
      <c r="B14" s="308">
        <f>B237</f>
        <v>0</v>
      </c>
      <c r="C14" s="308">
        <f t="shared" ref="C14:P14" si="27">C237</f>
        <v>0</v>
      </c>
      <c r="D14" s="308">
        <f t="shared" si="27"/>
        <v>0</v>
      </c>
      <c r="E14" s="308">
        <f t="shared" si="27"/>
        <v>115504168</v>
      </c>
      <c r="F14" s="308">
        <f t="shared" si="27"/>
        <v>151391926</v>
      </c>
      <c r="G14" s="308">
        <f t="shared" si="27"/>
        <v>200531415</v>
      </c>
      <c r="H14" s="308">
        <f t="shared" si="27"/>
        <v>165657065</v>
      </c>
      <c r="I14" s="308">
        <f t="shared" si="27"/>
        <v>144107197</v>
      </c>
      <c r="J14" s="308">
        <f t="shared" si="27"/>
        <v>106508829</v>
      </c>
      <c r="K14" s="308">
        <f t="shared" si="27"/>
        <v>116353451</v>
      </c>
      <c r="L14" s="308">
        <f t="shared" si="27"/>
        <v>76268925</v>
      </c>
      <c r="M14" s="308">
        <f t="shared" si="27"/>
        <v>79217986</v>
      </c>
      <c r="N14" s="308">
        <f t="shared" si="27"/>
        <v>74962365</v>
      </c>
      <c r="O14" s="308">
        <f t="shared" si="27"/>
        <v>59490005</v>
      </c>
      <c r="P14" s="308">
        <f t="shared" si="27"/>
        <v>0</v>
      </c>
      <c r="Q14" s="309">
        <f>Q237</f>
        <v>0</v>
      </c>
      <c r="R14" s="309">
        <f t="shared" ref="R14:AQ14" si="28">R237</f>
        <v>0</v>
      </c>
      <c r="S14" s="309">
        <f t="shared" si="28"/>
        <v>0</v>
      </c>
      <c r="T14" s="309">
        <f t="shared" si="28"/>
        <v>0</v>
      </c>
      <c r="U14" s="309">
        <f t="shared" si="28"/>
        <v>0</v>
      </c>
      <c r="V14" s="309">
        <f t="shared" si="28"/>
        <v>0</v>
      </c>
      <c r="W14" s="309">
        <f t="shared" si="28"/>
        <v>0</v>
      </c>
      <c r="X14" s="309">
        <f t="shared" si="28"/>
        <v>0</v>
      </c>
      <c r="Y14" s="309">
        <f t="shared" si="28"/>
        <v>0</v>
      </c>
      <c r="Z14" s="309">
        <f t="shared" si="28"/>
        <v>0</v>
      </c>
      <c r="AA14" s="309">
        <f t="shared" si="28"/>
        <v>0</v>
      </c>
      <c r="AB14" s="309">
        <f t="shared" si="28"/>
        <v>0</v>
      </c>
      <c r="AC14" s="309">
        <f t="shared" si="28"/>
        <v>0</v>
      </c>
      <c r="AD14" s="309">
        <f t="shared" si="28"/>
        <v>0</v>
      </c>
      <c r="AE14" s="309">
        <f t="shared" si="28"/>
        <v>0</v>
      </c>
      <c r="AF14" s="309">
        <f t="shared" si="28"/>
        <v>0</v>
      </c>
      <c r="AG14" s="309">
        <f t="shared" si="28"/>
        <v>0</v>
      </c>
      <c r="AH14" s="309">
        <f t="shared" si="28"/>
        <v>0</v>
      </c>
      <c r="AI14" s="309">
        <f t="shared" si="28"/>
        <v>0</v>
      </c>
      <c r="AJ14" s="309">
        <f t="shared" si="28"/>
        <v>0</v>
      </c>
      <c r="AK14" s="309">
        <f t="shared" si="28"/>
        <v>0</v>
      </c>
      <c r="AL14" s="309">
        <f t="shared" si="28"/>
        <v>0</v>
      </c>
      <c r="AM14" s="309">
        <f t="shared" si="28"/>
        <v>0</v>
      </c>
      <c r="AN14" s="309">
        <f t="shared" si="28"/>
        <v>0</v>
      </c>
      <c r="AO14" s="309">
        <f t="shared" si="28"/>
        <v>0</v>
      </c>
      <c r="AP14" s="309">
        <f t="shared" si="28"/>
        <v>0</v>
      </c>
      <c r="AQ14" s="309">
        <f t="shared" si="28"/>
        <v>12</v>
      </c>
      <c r="AR14" s="309"/>
      <c r="AS14" s="309"/>
      <c r="AT14" s="309"/>
      <c r="AU14" s="309"/>
      <c r="AV14" s="309"/>
      <c r="AW14" s="309"/>
      <c r="AX14" s="309"/>
      <c r="AY14" s="309"/>
      <c r="AZ14" s="309"/>
      <c r="BA14" s="309"/>
      <c r="BB14" s="309"/>
      <c r="BC14" s="309"/>
      <c r="BE14" s="309">
        <v>80321102.739999771</v>
      </c>
      <c r="BF14" s="308">
        <f t="shared" si="3"/>
        <v>-4052177.7399997711</v>
      </c>
      <c r="BG14" s="309">
        <v>81347119.399999619</v>
      </c>
      <c r="BH14" s="308">
        <f t="shared" si="4"/>
        <v>-2129133.3999996185</v>
      </c>
      <c r="BI14" s="309">
        <v>68465357.3804456</v>
      </c>
      <c r="BJ14" s="308">
        <f t="shared" si="5"/>
        <v>6497007.6195544004</v>
      </c>
      <c r="BK14" s="309">
        <v>74654355.00000006</v>
      </c>
      <c r="BL14" s="308">
        <f t="shared" si="6"/>
        <v>-15164350.00000006</v>
      </c>
      <c r="BM14" s="309">
        <v>0</v>
      </c>
      <c r="BN14" s="308">
        <f t="shared" si="7"/>
        <v>0</v>
      </c>
      <c r="BO14" s="309">
        <v>0</v>
      </c>
      <c r="BP14" s="308">
        <f t="shared" si="8"/>
        <v>0</v>
      </c>
      <c r="BS14" s="308"/>
      <c r="BT14" s="308"/>
      <c r="BU14" s="308"/>
    </row>
    <row r="15" spans="1:73" ht="12" thickBot="1">
      <c r="A15" s="301" t="s">
        <v>225</v>
      </c>
      <c r="B15" s="308">
        <f>B253</f>
        <v>0</v>
      </c>
      <c r="C15" s="308">
        <f t="shared" ref="C15:AQ15" si="29">C253</f>
        <v>0</v>
      </c>
      <c r="D15" s="308">
        <f t="shared" si="29"/>
        <v>0</v>
      </c>
      <c r="E15" s="308">
        <f t="shared" si="29"/>
        <v>0</v>
      </c>
      <c r="F15" s="308">
        <f t="shared" si="29"/>
        <v>0</v>
      </c>
      <c r="G15" s="308">
        <f t="shared" si="29"/>
        <v>0</v>
      </c>
      <c r="H15" s="308">
        <f t="shared" si="29"/>
        <v>0</v>
      </c>
      <c r="I15" s="308">
        <f t="shared" si="29"/>
        <v>0</v>
      </c>
      <c r="J15" s="308">
        <f t="shared" si="29"/>
        <v>0</v>
      </c>
      <c r="K15" s="308">
        <f t="shared" si="29"/>
        <v>0</v>
      </c>
      <c r="L15" s="308">
        <f t="shared" si="29"/>
        <v>0</v>
      </c>
      <c r="M15" s="308">
        <f t="shared" si="29"/>
        <v>0</v>
      </c>
      <c r="N15" s="308">
        <f t="shared" si="29"/>
        <v>0</v>
      </c>
      <c r="O15" s="308">
        <f t="shared" si="29"/>
        <v>0</v>
      </c>
      <c r="P15" s="308">
        <f t="shared" si="29"/>
        <v>0</v>
      </c>
      <c r="Q15" s="309">
        <f t="shared" si="29"/>
        <v>0</v>
      </c>
      <c r="R15" s="309">
        <f t="shared" si="29"/>
        <v>0</v>
      </c>
      <c r="S15" s="309">
        <f t="shared" si="29"/>
        <v>0</v>
      </c>
      <c r="T15" s="309">
        <f t="shared" si="29"/>
        <v>0</v>
      </c>
      <c r="U15" s="309">
        <f t="shared" si="29"/>
        <v>0</v>
      </c>
      <c r="V15" s="309">
        <f t="shared" si="29"/>
        <v>0</v>
      </c>
      <c r="W15" s="309">
        <f t="shared" si="29"/>
        <v>0</v>
      </c>
      <c r="X15" s="309">
        <f t="shared" si="29"/>
        <v>0</v>
      </c>
      <c r="Y15" s="309">
        <f t="shared" si="29"/>
        <v>0</v>
      </c>
      <c r="Z15" s="309">
        <f t="shared" si="29"/>
        <v>0</v>
      </c>
      <c r="AA15" s="309">
        <f t="shared" si="29"/>
        <v>0</v>
      </c>
      <c r="AB15" s="309">
        <f t="shared" si="29"/>
        <v>0</v>
      </c>
      <c r="AC15" s="309">
        <f t="shared" si="29"/>
        <v>0</v>
      </c>
      <c r="AD15" s="309">
        <f t="shared" si="29"/>
        <v>0</v>
      </c>
      <c r="AE15" s="309">
        <f t="shared" si="29"/>
        <v>0</v>
      </c>
      <c r="AF15" s="309">
        <f t="shared" si="29"/>
        <v>0</v>
      </c>
      <c r="AG15" s="309">
        <f t="shared" si="29"/>
        <v>0</v>
      </c>
      <c r="AH15" s="309">
        <f t="shared" si="29"/>
        <v>0</v>
      </c>
      <c r="AI15" s="309">
        <f t="shared" si="29"/>
        <v>0</v>
      </c>
      <c r="AJ15" s="309">
        <f t="shared" si="29"/>
        <v>0</v>
      </c>
      <c r="AK15" s="309">
        <f t="shared" si="29"/>
        <v>0</v>
      </c>
      <c r="AL15" s="309">
        <f t="shared" si="29"/>
        <v>0</v>
      </c>
      <c r="AM15" s="309">
        <f t="shared" si="29"/>
        <v>0</v>
      </c>
      <c r="AN15" s="309">
        <f t="shared" si="29"/>
        <v>0</v>
      </c>
      <c r="AO15" s="309">
        <f t="shared" si="29"/>
        <v>0</v>
      </c>
      <c r="AP15" s="309">
        <f t="shared" si="29"/>
        <v>0</v>
      </c>
      <c r="AQ15" s="309">
        <f t="shared" si="29"/>
        <v>12</v>
      </c>
      <c r="AR15" s="309"/>
      <c r="AS15" s="309"/>
      <c r="AT15" s="309"/>
      <c r="AU15" s="309"/>
      <c r="AV15" s="309"/>
      <c r="AW15" s="309"/>
      <c r="AX15" s="309"/>
      <c r="AY15" s="309"/>
      <c r="AZ15" s="309"/>
      <c r="BA15" s="309"/>
      <c r="BB15" s="309"/>
      <c r="BC15" s="309"/>
      <c r="BE15" s="309">
        <v>0</v>
      </c>
      <c r="BF15" s="308">
        <f t="shared" si="3"/>
        <v>0</v>
      </c>
      <c r="BG15" s="309">
        <v>0</v>
      </c>
      <c r="BH15" s="308">
        <f t="shared" si="4"/>
        <v>0</v>
      </c>
      <c r="BI15" s="309">
        <v>0</v>
      </c>
      <c r="BJ15" s="308">
        <f t="shared" si="5"/>
        <v>0</v>
      </c>
      <c r="BK15" s="309">
        <v>0</v>
      </c>
      <c r="BL15" s="308">
        <f t="shared" si="6"/>
        <v>0</v>
      </c>
      <c r="BM15" s="309">
        <v>0</v>
      </c>
      <c r="BN15" s="308">
        <f t="shared" si="7"/>
        <v>0</v>
      </c>
      <c r="BO15" s="309">
        <v>0</v>
      </c>
      <c r="BP15" s="308">
        <v>2</v>
      </c>
      <c r="BS15" s="308"/>
      <c r="BT15" s="308"/>
      <c r="BU15" s="308"/>
    </row>
    <row r="16" spans="1:73">
      <c r="A16" s="318" t="s">
        <v>287</v>
      </c>
      <c r="B16" s="311">
        <f>B17+B18+B19</f>
        <v>0</v>
      </c>
      <c r="C16" s="311">
        <f t="shared" ref="C16:Q16" si="30">C17+C18+C19</f>
        <v>0</v>
      </c>
      <c r="D16" s="311">
        <f t="shared" si="30"/>
        <v>0</v>
      </c>
      <c r="E16" s="311">
        <f t="shared" si="30"/>
        <v>0</v>
      </c>
      <c r="F16" s="311">
        <f t="shared" si="30"/>
        <v>0</v>
      </c>
      <c r="G16" s="311">
        <f t="shared" si="30"/>
        <v>0</v>
      </c>
      <c r="H16" s="311">
        <f t="shared" si="30"/>
        <v>0</v>
      </c>
      <c r="I16" s="311">
        <f t="shared" si="30"/>
        <v>0</v>
      </c>
      <c r="J16" s="311">
        <f t="shared" si="30"/>
        <v>0</v>
      </c>
      <c r="K16" s="311">
        <f t="shared" si="30"/>
        <v>0</v>
      </c>
      <c r="L16" s="311">
        <f t="shared" si="30"/>
        <v>0</v>
      </c>
      <c r="M16" s="311">
        <f t="shared" si="30"/>
        <v>0</v>
      </c>
      <c r="N16" s="311">
        <f t="shared" si="30"/>
        <v>0</v>
      </c>
      <c r="O16" s="311">
        <f>O17+O18+O19</f>
        <v>1825308</v>
      </c>
      <c r="P16" s="311">
        <f>P17+P18+P19</f>
        <v>38123</v>
      </c>
      <c r="Q16" s="399">
        <f t="shared" si="30"/>
        <v>21485.704777728024</v>
      </c>
      <c r="R16" s="399">
        <f>R17+R18+R19</f>
        <v>25987.48601025475</v>
      </c>
      <c r="S16" s="399">
        <f>S17+S18+S19</f>
        <v>31394.335305037253</v>
      </c>
      <c r="T16" s="399">
        <f t="shared" ref="T16:AQ16" si="31">T17+T18+T19</f>
        <v>32818.533422721659</v>
      </c>
      <c r="U16" s="399">
        <f t="shared" si="31"/>
        <v>35185.429078201116</v>
      </c>
      <c r="V16" s="399">
        <f t="shared" si="31"/>
        <v>37637.521173182606</v>
      </c>
      <c r="W16" s="399">
        <f t="shared" si="31"/>
        <v>39124.891723834415</v>
      </c>
      <c r="X16" s="399">
        <f t="shared" si="31"/>
        <v>44364.24398538805</v>
      </c>
      <c r="Y16" s="319">
        <f t="shared" si="31"/>
        <v>45523.515767578894</v>
      </c>
      <c r="Z16" s="319">
        <f t="shared" si="31"/>
        <v>47708.945886594694</v>
      </c>
      <c r="AA16" s="319">
        <f t="shared" si="31"/>
        <v>50560.566182940434</v>
      </c>
      <c r="AB16" s="319">
        <f t="shared" si="31"/>
        <v>49445.098911058936</v>
      </c>
      <c r="AC16" s="319">
        <f t="shared" si="31"/>
        <v>53461.792225244331</v>
      </c>
      <c r="AD16" s="319">
        <f t="shared" si="31"/>
        <v>58950.873405822247</v>
      </c>
      <c r="AE16" s="319">
        <f t="shared" si="31"/>
        <v>64395.090618090711</v>
      </c>
      <c r="AF16" s="319">
        <f t="shared" si="31"/>
        <v>64353.233867278155</v>
      </c>
      <c r="AG16" s="319">
        <f t="shared" si="31"/>
        <v>64589.299002239146</v>
      </c>
      <c r="AH16" s="319">
        <f t="shared" si="31"/>
        <v>67861.387088483039</v>
      </c>
      <c r="AI16" s="319">
        <f t="shared" si="31"/>
        <v>73271.215750844349</v>
      </c>
      <c r="AJ16" s="319">
        <f t="shared" si="31"/>
        <v>75101.080873273648</v>
      </c>
      <c r="AK16" s="319">
        <f t="shared" si="31"/>
        <v>74957.456613629431</v>
      </c>
      <c r="AL16" s="319">
        <f t="shared" si="31"/>
        <v>74618.895107858843</v>
      </c>
      <c r="AM16" s="319">
        <f t="shared" si="31"/>
        <v>73340.218358419355</v>
      </c>
      <c r="AN16" s="319">
        <f t="shared" si="31"/>
        <v>76146.740568372043</v>
      </c>
      <c r="AO16" s="319">
        <f t="shared" si="31"/>
        <v>78895.13638761724</v>
      </c>
      <c r="AP16" s="319">
        <f t="shared" si="31"/>
        <v>79602.156113620527</v>
      </c>
      <c r="AQ16" s="319" t="e">
        <f t="shared" si="31"/>
        <v>#VALUE!</v>
      </c>
      <c r="AR16" s="321"/>
      <c r="AS16" s="321"/>
      <c r="AT16" s="321"/>
      <c r="AU16" s="321"/>
      <c r="AV16" s="321"/>
      <c r="AW16" s="321"/>
      <c r="AX16" s="321"/>
      <c r="AY16" s="321"/>
      <c r="AZ16" s="321"/>
      <c r="BA16" s="321"/>
      <c r="BB16" s="321"/>
      <c r="BC16" s="309"/>
      <c r="BE16" s="309"/>
      <c r="BF16" s="308"/>
      <c r="BG16" s="309"/>
      <c r="BH16" s="308"/>
      <c r="BI16" s="309"/>
      <c r="BJ16" s="308"/>
      <c r="BK16" s="309">
        <v>1825308</v>
      </c>
      <c r="BL16" s="308">
        <f t="shared" si="6"/>
        <v>0</v>
      </c>
      <c r="BM16" s="309">
        <v>38123</v>
      </c>
      <c r="BN16" s="308">
        <f t="shared" si="7"/>
        <v>0</v>
      </c>
      <c r="BO16" s="309">
        <v>208890.08314836799</v>
      </c>
      <c r="BP16" s="308">
        <f t="shared" ref="BP16:BP23" si="32">Q16-BO16</f>
        <v>-187404.37837063998</v>
      </c>
      <c r="BS16" s="326"/>
      <c r="BT16" s="326"/>
      <c r="BU16" s="326"/>
    </row>
    <row r="17" spans="1:68">
      <c r="A17" s="301" t="s">
        <v>224</v>
      </c>
      <c r="B17" s="308">
        <f>B285</f>
        <v>0</v>
      </c>
      <c r="C17" s="308">
        <f t="shared" ref="C17:N17" si="33">C285</f>
        <v>0</v>
      </c>
      <c r="D17" s="308">
        <f t="shared" si="33"/>
        <v>0</v>
      </c>
      <c r="E17" s="308">
        <f t="shared" si="33"/>
        <v>0</v>
      </c>
      <c r="F17" s="308">
        <f t="shared" si="33"/>
        <v>0</v>
      </c>
      <c r="G17" s="308">
        <f t="shared" si="33"/>
        <v>0</v>
      </c>
      <c r="H17" s="308">
        <f t="shared" si="33"/>
        <v>0</v>
      </c>
      <c r="I17" s="308">
        <f t="shared" si="33"/>
        <v>0</v>
      </c>
      <c r="J17" s="308">
        <f t="shared" si="33"/>
        <v>0</v>
      </c>
      <c r="K17" s="308">
        <f t="shared" si="33"/>
        <v>0</v>
      </c>
      <c r="L17" s="308">
        <f t="shared" si="33"/>
        <v>0</v>
      </c>
      <c r="M17" s="308">
        <f t="shared" si="33"/>
        <v>0</v>
      </c>
      <c r="N17" s="308">
        <f t="shared" si="33"/>
        <v>0</v>
      </c>
      <c r="O17" s="308">
        <f>O285</f>
        <v>1825308</v>
      </c>
      <c r="P17" s="308">
        <f>P285</f>
        <v>38123</v>
      </c>
      <c r="Q17" s="393" cm="1">
        <f t="array" ref="Q17">AVERAGE(('[3]Co-Processing'!$K$230:$K$241)*1000000)*(P17/SUM(P$4,P$13,P$17))</f>
        <v>21485.704777728024</v>
      </c>
      <c r="R17" s="393" cm="1">
        <f t="array" ref="R17">AVERAGE(('[3]Co-Processing'!$K$242:$K$253)*1000000)*(Q17/SUM(Q$4,Q$13,Q$17))</f>
        <v>25987.48601025475</v>
      </c>
      <c r="S17" s="393" cm="1">
        <f t="array" ref="S17">AVERAGE(('[3]Co-Processing'!$K$254:$K$265)*1000000)*(R17/SUM(R$4,R$13,R$17))</f>
        <v>31394.335305037253</v>
      </c>
      <c r="T17" s="393" cm="1">
        <f t="array" ref="T17">AVERAGE(('[3]Co-Processing'!$K$266:$K$277)*1000000)*(S17/SUM(S$4,S$13,S$17))</f>
        <v>32818.533422721659</v>
      </c>
      <c r="U17" s="393" cm="1">
        <f t="array" ref="U17">AVERAGE(('[3]Co-Processing'!$K$278:$K$289)*1000000)*(T17/SUM(T$4,T$13,T$17))</f>
        <v>35185.429078201116</v>
      </c>
      <c r="V17" s="393" cm="1">
        <f t="array" ref="V17">AVERAGE(('[3]Co-Processing'!$K$290:$K$301)*1000000)*(U17/SUM(U$4,U$13,U$17))</f>
        <v>37637.521173182606</v>
      </c>
      <c r="W17" s="393" cm="1">
        <f t="array" ref="W17">AVERAGE(('[3]Co-Processing'!$K$302:$K$313)*1000000)*(V17/SUM(V$4,V$13,V$17))</f>
        <v>39124.891723834415</v>
      </c>
      <c r="X17" s="393" cm="1">
        <f t="array" ref="X17">AVERAGE(('[3]Co-Processing'!$K$314:$K$325)*1000000)*(W17/SUM(W$4,W$13,W$17))</f>
        <v>44364.24398538805</v>
      </c>
      <c r="Y17" s="393" cm="1">
        <f t="array" ref="Y17">AVERAGE(('[3]Co-Processing'!$K$326:$K$337)*1000000)*(X17/SUM(X$4,X$13,X$17))</f>
        <v>45523.515767578894</v>
      </c>
      <c r="Z17" s="393" cm="1">
        <f t="array" ref="Z17">AVERAGE(('[3]Co-Processing'!$K$338:$K$349)*1000000)*(Y17/SUM(Y$4,Y$13,Y$17))</f>
        <v>47708.945886594694</v>
      </c>
      <c r="AA17" s="393" cm="1">
        <f t="array" ref="AA17">AVERAGE(('[3]Co-Processing'!$K$350:$K$361)*1000000)*(Z17/SUM(Z$4,Z$13,Z$17))</f>
        <v>50560.566182940434</v>
      </c>
      <c r="AB17" s="393" cm="1">
        <f t="array" ref="AB17">AVERAGE(('[3]Co-Processing'!$K$362:$K$373)*1000000)*(AA17/SUM(AA$4,AA$13,AA$17))</f>
        <v>49445.098911058936</v>
      </c>
      <c r="AC17" s="393" cm="1">
        <f t="array" ref="AC17">AVERAGE(('[3]Co-Processing'!$K$374:$K$385)*1000000)*(AB17/SUM(AB$4,AB$13,AB$17))</f>
        <v>53461.792225244331</v>
      </c>
      <c r="AD17" s="393" cm="1">
        <f t="array" ref="AD17">AVERAGE(('[3]Co-Processing'!$K$386:$K$397)*1000000)*(AC17/SUM(AC$4,AC$13,AC$17))</f>
        <v>58950.873405822247</v>
      </c>
      <c r="AE17" s="393" cm="1">
        <f t="array" ref="AE17">AVERAGE(('[3]Co-Processing'!$K$398:$K$409)*1000000)*(AD17/SUM(AD$4,AD$13,AD$17))</f>
        <v>64395.090618090711</v>
      </c>
      <c r="AF17" s="393" cm="1">
        <f t="array" ref="AF17">AVERAGE(('[3]Co-Processing'!$K$410:$K$421)*1000000)*(AE17/SUM(AE$4,AE$13,AE$17))</f>
        <v>64353.233867278155</v>
      </c>
      <c r="AG17" s="393" cm="1">
        <f t="array" ref="AG17">AVERAGE(('[3]Co-Processing'!$K$422:$K$433)*1000000)*(AF17/SUM(AF$4,AF$13,AF$17))</f>
        <v>64589.299002239146</v>
      </c>
      <c r="AH17" s="393" cm="1">
        <f t="array" ref="AH17">AVERAGE(('[3]Co-Processing'!$K$434:$K$445)*1000000)*(AG17/SUM(AG$4,AG$13,AG$17))</f>
        <v>67861.387088483039</v>
      </c>
      <c r="AI17" s="393" cm="1">
        <f t="array" ref="AI17">AVERAGE(('[3]Co-Processing'!$K$446:$K$457)*1000000)*(AH17/SUM(AH$4,AH$13,AH$17))</f>
        <v>73271.215750844349</v>
      </c>
      <c r="AJ17" s="393" cm="1">
        <f t="array" ref="AJ17">AVERAGE(('[3]Co-Processing'!$K$458:$K$469)*1000000)*(AI17/SUM(AI$4,AI$13,AI$17))</f>
        <v>75101.080873273648</v>
      </c>
      <c r="AK17" s="393" cm="1">
        <f t="array" ref="AK17">AVERAGE(('[3]Co-Processing'!$K$470:$K$481)*1000000)*(AJ17/SUM(AJ$4,AJ$13,AJ$17))</f>
        <v>74957.456613629431</v>
      </c>
      <c r="AL17" s="393" cm="1">
        <f t="array" ref="AL17">AVERAGE(('[3]Co-Processing'!$K$482:$K$493)*1000000)*(AK17/SUM(AK$4,AK$13,AK$17))</f>
        <v>74618.895107858843</v>
      </c>
      <c r="AM17" s="393" cm="1">
        <f t="array" ref="AM17">AVERAGE(('[3]Co-Processing'!$K$494:$K$505)*1000000)*(AL17/SUM(AL$4,AL$13,AL$17))</f>
        <v>73340.218358419355</v>
      </c>
      <c r="AN17" s="393" cm="1">
        <f t="array" ref="AN17">AVERAGE(('[3]Co-Processing'!$K$506:$K$517)*1000000)*(AM17/SUM(AM$4,AM$13,AM$17))</f>
        <v>76146.740568372043</v>
      </c>
      <c r="AO17" s="393" cm="1">
        <f t="array" ref="AO17">AVERAGE(('[3]Co-Processing'!$K$518:$K$529)*1000000)*(AN17/SUM(AN$4,AN$13,AN$17))</f>
        <v>78895.13638761724</v>
      </c>
      <c r="AP17" s="393" cm="1">
        <f t="array" ref="AP17">AVERAGE(('[3]Co-Processing'!$K$530:$K$541)*1000000)*(AO17/SUM(AO$4,AO$13,AO$17))</f>
        <v>79602.156113620527</v>
      </c>
      <c r="AQ17" s="393" t="s">
        <v>481</v>
      </c>
      <c r="AR17" s="392"/>
      <c r="AS17" s="392"/>
      <c r="AT17" s="392"/>
      <c r="AU17" s="392"/>
      <c r="AV17" s="392"/>
      <c r="AW17" s="392"/>
      <c r="AX17" s="392"/>
      <c r="AY17" s="392"/>
      <c r="AZ17" s="392"/>
      <c r="BA17" s="392"/>
      <c r="BB17" s="392"/>
      <c r="BC17" s="392" t="s">
        <v>478</v>
      </c>
      <c r="BE17" s="309"/>
      <c r="BF17" s="308"/>
      <c r="BG17" s="309"/>
      <c r="BH17" s="308"/>
      <c r="BI17" s="309"/>
      <c r="BJ17" s="308"/>
      <c r="BK17" s="309">
        <v>1825308</v>
      </c>
      <c r="BL17" s="308">
        <f t="shared" si="6"/>
        <v>0</v>
      </c>
      <c r="BM17" s="309">
        <v>38123</v>
      </c>
      <c r="BN17" s="308">
        <f t="shared" si="7"/>
        <v>0</v>
      </c>
      <c r="BO17" s="309">
        <v>208890.08314836799</v>
      </c>
      <c r="BP17" s="308">
        <f t="shared" si="32"/>
        <v>-187404.37837063998</v>
      </c>
    </row>
    <row r="18" spans="1:68">
      <c r="A18" s="301" t="s">
        <v>282</v>
      </c>
      <c r="B18" s="308">
        <f>B301</f>
        <v>0</v>
      </c>
      <c r="C18" s="308">
        <f t="shared" ref="C18:Q18" si="34">C301</f>
        <v>0</v>
      </c>
      <c r="D18" s="308">
        <f t="shared" si="34"/>
        <v>0</v>
      </c>
      <c r="E18" s="308">
        <f t="shared" si="34"/>
        <v>0</v>
      </c>
      <c r="F18" s="308">
        <f t="shared" si="34"/>
        <v>0</v>
      </c>
      <c r="G18" s="308">
        <f t="shared" si="34"/>
        <v>0</v>
      </c>
      <c r="H18" s="308">
        <f t="shared" si="34"/>
        <v>0</v>
      </c>
      <c r="I18" s="308">
        <f t="shared" si="34"/>
        <v>0</v>
      </c>
      <c r="J18" s="308">
        <f t="shared" si="34"/>
        <v>0</v>
      </c>
      <c r="K18" s="308">
        <f t="shared" si="34"/>
        <v>0</v>
      </c>
      <c r="L18" s="308">
        <f t="shared" si="34"/>
        <v>0</v>
      </c>
      <c r="M18" s="308">
        <f t="shared" si="34"/>
        <v>0</v>
      </c>
      <c r="N18" s="308">
        <f t="shared" si="34"/>
        <v>0</v>
      </c>
      <c r="O18" s="308">
        <f>O301</f>
        <v>0</v>
      </c>
      <c r="P18" s="308">
        <f>P301</f>
        <v>0</v>
      </c>
      <c r="Q18" s="309">
        <f t="shared" si="34"/>
        <v>0</v>
      </c>
      <c r="R18" s="309">
        <f>R301</f>
        <v>0</v>
      </c>
      <c r="S18" s="309">
        <f>S301</f>
        <v>0</v>
      </c>
      <c r="T18" s="309">
        <f t="shared" ref="T18:AQ18" si="35">T301</f>
        <v>0</v>
      </c>
      <c r="U18" s="309">
        <f t="shared" si="35"/>
        <v>0</v>
      </c>
      <c r="V18" s="309">
        <f t="shared" si="35"/>
        <v>0</v>
      </c>
      <c r="W18" s="309">
        <f t="shared" si="35"/>
        <v>0</v>
      </c>
      <c r="X18" s="309">
        <f t="shared" si="35"/>
        <v>0</v>
      </c>
      <c r="Y18" s="309">
        <f t="shared" si="35"/>
        <v>0</v>
      </c>
      <c r="Z18" s="309">
        <f t="shared" si="35"/>
        <v>0</v>
      </c>
      <c r="AA18" s="309">
        <f t="shared" si="35"/>
        <v>0</v>
      </c>
      <c r="AB18" s="309">
        <f t="shared" si="35"/>
        <v>0</v>
      </c>
      <c r="AC18" s="309">
        <f t="shared" si="35"/>
        <v>0</v>
      </c>
      <c r="AD18" s="309">
        <f t="shared" si="35"/>
        <v>0</v>
      </c>
      <c r="AE18" s="309">
        <f t="shared" si="35"/>
        <v>0</v>
      </c>
      <c r="AF18" s="309">
        <f t="shared" si="35"/>
        <v>0</v>
      </c>
      <c r="AG18" s="309">
        <f t="shared" si="35"/>
        <v>0</v>
      </c>
      <c r="AH18" s="309">
        <f t="shared" si="35"/>
        <v>0</v>
      </c>
      <c r="AI18" s="309">
        <f t="shared" si="35"/>
        <v>0</v>
      </c>
      <c r="AJ18" s="309">
        <f t="shared" si="35"/>
        <v>0</v>
      </c>
      <c r="AK18" s="309">
        <f t="shared" si="35"/>
        <v>0</v>
      </c>
      <c r="AL18" s="309">
        <f t="shared" si="35"/>
        <v>0</v>
      </c>
      <c r="AM18" s="309">
        <f t="shared" si="35"/>
        <v>0</v>
      </c>
      <c r="AN18" s="309">
        <f t="shared" si="35"/>
        <v>0</v>
      </c>
      <c r="AO18" s="309">
        <f t="shared" si="35"/>
        <v>0</v>
      </c>
      <c r="AP18" s="309">
        <f t="shared" si="35"/>
        <v>0</v>
      </c>
      <c r="AQ18" s="309">
        <f t="shared" si="35"/>
        <v>0</v>
      </c>
      <c r="AR18" s="309"/>
      <c r="AS18" s="309"/>
      <c r="AT18" s="309"/>
      <c r="AU18" s="309"/>
      <c r="AV18" s="309"/>
      <c r="AW18" s="309"/>
      <c r="AX18" s="309"/>
      <c r="AY18" s="309"/>
      <c r="AZ18" s="309"/>
      <c r="BA18" s="309"/>
      <c r="BB18" s="309"/>
      <c r="BC18" s="309"/>
      <c r="BE18" s="309"/>
      <c r="BF18" s="308"/>
      <c r="BG18" s="309"/>
      <c r="BH18" s="308"/>
      <c r="BI18" s="309"/>
      <c r="BJ18" s="308"/>
      <c r="BK18" s="309">
        <v>0</v>
      </c>
      <c r="BL18" s="308">
        <f t="shared" si="6"/>
        <v>0</v>
      </c>
      <c r="BM18" s="309">
        <v>0</v>
      </c>
      <c r="BN18" s="308">
        <f t="shared" si="7"/>
        <v>0</v>
      </c>
      <c r="BO18" s="309">
        <v>0</v>
      </c>
      <c r="BP18" s="308">
        <f t="shared" si="32"/>
        <v>0</v>
      </c>
    </row>
    <row r="19" spans="1:68" ht="12" thickBot="1">
      <c r="A19" s="301" t="s">
        <v>225</v>
      </c>
      <c r="B19" s="308">
        <f>B317</f>
        <v>0</v>
      </c>
      <c r="C19" s="308">
        <f t="shared" ref="C19:Q19" si="36">C317</f>
        <v>0</v>
      </c>
      <c r="D19" s="308">
        <f t="shared" si="36"/>
        <v>0</v>
      </c>
      <c r="E19" s="308">
        <f t="shared" si="36"/>
        <v>0</v>
      </c>
      <c r="F19" s="308">
        <f t="shared" si="36"/>
        <v>0</v>
      </c>
      <c r="G19" s="308">
        <f t="shared" si="36"/>
        <v>0</v>
      </c>
      <c r="H19" s="308">
        <f t="shared" si="36"/>
        <v>0</v>
      </c>
      <c r="I19" s="308">
        <f t="shared" si="36"/>
        <v>0</v>
      </c>
      <c r="J19" s="308">
        <f t="shared" si="36"/>
        <v>0</v>
      </c>
      <c r="K19" s="308">
        <f t="shared" si="36"/>
        <v>0</v>
      </c>
      <c r="L19" s="308">
        <f t="shared" si="36"/>
        <v>0</v>
      </c>
      <c r="M19" s="308">
        <f t="shared" si="36"/>
        <v>0</v>
      </c>
      <c r="N19" s="308">
        <f t="shared" si="36"/>
        <v>0</v>
      </c>
      <c r="O19" s="308">
        <f>O317</f>
        <v>0</v>
      </c>
      <c r="P19" s="308">
        <f>P317</f>
        <v>0</v>
      </c>
      <c r="Q19" s="309">
        <f t="shared" si="36"/>
        <v>0</v>
      </c>
      <c r="R19" s="309">
        <f>R317</f>
        <v>0</v>
      </c>
      <c r="S19" s="309">
        <f>S317</f>
        <v>0</v>
      </c>
      <c r="T19" s="309">
        <f t="shared" ref="T19:AQ19" si="37">T317</f>
        <v>0</v>
      </c>
      <c r="U19" s="309">
        <f t="shared" si="37"/>
        <v>0</v>
      </c>
      <c r="V19" s="309">
        <f t="shared" si="37"/>
        <v>0</v>
      </c>
      <c r="W19" s="309">
        <f t="shared" si="37"/>
        <v>0</v>
      </c>
      <c r="X19" s="309">
        <f t="shared" si="37"/>
        <v>0</v>
      </c>
      <c r="Y19" s="309">
        <f t="shared" si="37"/>
        <v>0</v>
      </c>
      <c r="Z19" s="309">
        <f t="shared" si="37"/>
        <v>0</v>
      </c>
      <c r="AA19" s="309">
        <f t="shared" si="37"/>
        <v>0</v>
      </c>
      <c r="AB19" s="309">
        <f t="shared" si="37"/>
        <v>0</v>
      </c>
      <c r="AC19" s="309">
        <f t="shared" si="37"/>
        <v>0</v>
      </c>
      <c r="AD19" s="309">
        <f t="shared" si="37"/>
        <v>0</v>
      </c>
      <c r="AE19" s="309">
        <f t="shared" si="37"/>
        <v>0</v>
      </c>
      <c r="AF19" s="309">
        <f t="shared" si="37"/>
        <v>0</v>
      </c>
      <c r="AG19" s="309">
        <f t="shared" si="37"/>
        <v>0</v>
      </c>
      <c r="AH19" s="309">
        <f t="shared" si="37"/>
        <v>0</v>
      </c>
      <c r="AI19" s="309">
        <f t="shared" si="37"/>
        <v>0</v>
      </c>
      <c r="AJ19" s="309">
        <f t="shared" si="37"/>
        <v>0</v>
      </c>
      <c r="AK19" s="309">
        <f t="shared" si="37"/>
        <v>0</v>
      </c>
      <c r="AL19" s="309">
        <f t="shared" si="37"/>
        <v>0</v>
      </c>
      <c r="AM19" s="309">
        <f t="shared" si="37"/>
        <v>0</v>
      </c>
      <c r="AN19" s="309">
        <f t="shared" si="37"/>
        <v>0</v>
      </c>
      <c r="AO19" s="309">
        <f t="shared" si="37"/>
        <v>0</v>
      </c>
      <c r="AP19" s="309">
        <f t="shared" si="37"/>
        <v>0</v>
      </c>
      <c r="AQ19" s="309">
        <f t="shared" si="37"/>
        <v>0</v>
      </c>
      <c r="AR19" s="309"/>
      <c r="AS19" s="309"/>
      <c r="AT19" s="309"/>
      <c r="AU19" s="309"/>
      <c r="AV19" s="309"/>
      <c r="AW19" s="309"/>
      <c r="AX19" s="309"/>
      <c r="AY19" s="309"/>
      <c r="AZ19" s="309"/>
      <c r="BA19" s="309"/>
      <c r="BB19" s="309"/>
      <c r="BC19" s="309"/>
      <c r="BE19" s="309"/>
      <c r="BF19" s="308"/>
      <c r="BG19" s="309"/>
      <c r="BH19" s="308"/>
      <c r="BI19" s="309"/>
      <c r="BJ19" s="308"/>
      <c r="BK19" s="309">
        <v>0</v>
      </c>
      <c r="BL19" s="308">
        <f t="shared" si="6"/>
        <v>0</v>
      </c>
      <c r="BM19" s="309">
        <v>0</v>
      </c>
      <c r="BN19" s="308">
        <f t="shared" si="7"/>
        <v>0</v>
      </c>
      <c r="BO19" s="309">
        <v>0</v>
      </c>
      <c r="BP19" s="308">
        <f t="shared" si="32"/>
        <v>0</v>
      </c>
    </row>
    <row r="20" spans="1:68">
      <c r="A20" s="318" t="s">
        <v>482</v>
      </c>
      <c r="B20" s="311">
        <f>B21+B22</f>
        <v>0</v>
      </c>
      <c r="C20" s="311">
        <f t="shared" ref="C20:P20" si="38">C21+C22</f>
        <v>0</v>
      </c>
      <c r="D20" s="311">
        <f t="shared" si="38"/>
        <v>0</v>
      </c>
      <c r="E20" s="311">
        <f t="shared" si="38"/>
        <v>0</v>
      </c>
      <c r="F20" s="311">
        <f t="shared" si="38"/>
        <v>0</v>
      </c>
      <c r="G20" s="311">
        <f t="shared" si="38"/>
        <v>0</v>
      </c>
      <c r="H20" s="311">
        <f t="shared" si="38"/>
        <v>0</v>
      </c>
      <c r="I20" s="311">
        <f t="shared" si="38"/>
        <v>0</v>
      </c>
      <c r="J20" s="311">
        <f t="shared" si="38"/>
        <v>0</v>
      </c>
      <c r="K20" s="311">
        <f t="shared" si="38"/>
        <v>0</v>
      </c>
      <c r="L20" s="311">
        <f t="shared" si="38"/>
        <v>0</v>
      </c>
      <c r="M20" s="311">
        <f t="shared" si="38"/>
        <v>0</v>
      </c>
      <c r="N20" s="311">
        <f t="shared" si="38"/>
        <v>0</v>
      </c>
      <c r="O20" s="311">
        <f t="shared" si="38"/>
        <v>23943821</v>
      </c>
      <c r="P20" s="311">
        <f t="shared" si="38"/>
        <v>2620288</v>
      </c>
      <c r="Q20" s="399">
        <v>2000000</v>
      </c>
      <c r="R20" s="399">
        <v>25000000</v>
      </c>
      <c r="S20" s="399">
        <v>125000000</v>
      </c>
      <c r="T20" s="399">
        <v>125000000</v>
      </c>
      <c r="U20" s="399">
        <v>125000000</v>
      </c>
      <c r="V20" s="399">
        <v>125000000</v>
      </c>
      <c r="W20" s="399">
        <v>125000000</v>
      </c>
      <c r="X20" s="399">
        <v>125000000</v>
      </c>
      <c r="Y20" s="319">
        <v>125000000</v>
      </c>
      <c r="Z20" s="319">
        <v>125000000</v>
      </c>
      <c r="AA20" s="319">
        <v>125000000</v>
      </c>
      <c r="AB20" s="319">
        <v>125000000</v>
      </c>
      <c r="AC20" s="319">
        <v>125000000</v>
      </c>
      <c r="AD20" s="319">
        <v>125000000</v>
      </c>
      <c r="AE20" s="319">
        <v>125000000</v>
      </c>
      <c r="AF20" s="319">
        <v>125000000</v>
      </c>
      <c r="AG20" s="319">
        <v>125000000</v>
      </c>
      <c r="AH20" s="319">
        <v>125000001</v>
      </c>
      <c r="AI20" s="319">
        <v>125000002</v>
      </c>
      <c r="AJ20" s="319">
        <v>125000003</v>
      </c>
      <c r="AK20" s="319">
        <v>125000004</v>
      </c>
      <c r="AL20" s="319">
        <v>125000005</v>
      </c>
      <c r="AM20" s="319">
        <v>125000006</v>
      </c>
      <c r="AN20" s="319">
        <v>125000007</v>
      </c>
      <c r="AO20" s="319">
        <v>125000008</v>
      </c>
      <c r="AP20" s="319">
        <v>125000009</v>
      </c>
      <c r="AQ20" s="319">
        <v>125000010</v>
      </c>
      <c r="AR20" s="321"/>
      <c r="AS20" s="321"/>
      <c r="AT20" s="321"/>
      <c r="AU20" s="321"/>
      <c r="AV20" s="321"/>
      <c r="AW20" s="321"/>
      <c r="AX20" s="321"/>
      <c r="AY20" s="321"/>
      <c r="AZ20" s="321"/>
      <c r="BA20" s="321"/>
      <c r="BB20" s="321"/>
      <c r="BC20" s="309"/>
      <c r="BE20" s="309"/>
      <c r="BF20" s="308"/>
      <c r="BG20" s="309"/>
      <c r="BH20" s="308"/>
      <c r="BI20" s="309"/>
      <c r="BJ20" s="308"/>
      <c r="BK20" s="309">
        <v>24000000</v>
      </c>
      <c r="BL20" s="308">
        <f t="shared" si="6"/>
        <v>-56179</v>
      </c>
      <c r="BM20" s="309">
        <v>2620288</v>
      </c>
      <c r="BN20" s="308">
        <f t="shared" si="7"/>
        <v>0</v>
      </c>
      <c r="BO20" s="309">
        <v>10000000</v>
      </c>
      <c r="BP20" s="308">
        <f t="shared" si="32"/>
        <v>-8000000</v>
      </c>
    </row>
    <row r="21" spans="1:68">
      <c r="A21" s="301" t="s">
        <v>224</v>
      </c>
      <c r="B21" s="308">
        <f>B349</f>
        <v>0</v>
      </c>
      <c r="C21" s="308">
        <f t="shared" ref="C21:N21" si="39">C349</f>
        <v>0</v>
      </c>
      <c r="D21" s="308">
        <f t="shared" si="39"/>
        <v>0</v>
      </c>
      <c r="E21" s="308">
        <f t="shared" si="39"/>
        <v>0</v>
      </c>
      <c r="F21" s="308">
        <f t="shared" si="39"/>
        <v>0</v>
      </c>
      <c r="G21" s="308">
        <f t="shared" si="39"/>
        <v>0</v>
      </c>
      <c r="H21" s="308">
        <f t="shared" si="39"/>
        <v>0</v>
      </c>
      <c r="I21" s="308">
        <f t="shared" si="39"/>
        <v>0</v>
      </c>
      <c r="J21" s="308">
        <f t="shared" si="39"/>
        <v>0</v>
      </c>
      <c r="K21" s="308">
        <f t="shared" si="39"/>
        <v>0</v>
      </c>
      <c r="L21" s="308">
        <f t="shared" si="39"/>
        <v>0</v>
      </c>
      <c r="M21" s="308">
        <f t="shared" si="39"/>
        <v>0</v>
      </c>
      <c r="N21" s="308">
        <f t="shared" si="39"/>
        <v>0</v>
      </c>
      <c r="O21" s="308">
        <f>O349</f>
        <v>23943821</v>
      </c>
      <c r="P21" s="308">
        <f>P349</f>
        <v>2620288</v>
      </c>
      <c r="Q21" s="394">
        <f>Q20-0.4</f>
        <v>1999999.6</v>
      </c>
      <c r="R21" s="394">
        <f t="shared" ref="R21:AQ21" si="40">R20-0.4</f>
        <v>24999999.600000001</v>
      </c>
      <c r="S21" s="394">
        <f t="shared" si="40"/>
        <v>124999999.59999999</v>
      </c>
      <c r="T21" s="394">
        <f t="shared" si="40"/>
        <v>124999999.59999999</v>
      </c>
      <c r="U21" s="394">
        <f t="shared" si="40"/>
        <v>124999999.59999999</v>
      </c>
      <c r="V21" s="394">
        <f t="shared" si="40"/>
        <v>124999999.59999999</v>
      </c>
      <c r="W21" s="394">
        <f t="shared" si="40"/>
        <v>124999999.59999999</v>
      </c>
      <c r="X21" s="394">
        <f t="shared" si="40"/>
        <v>124999999.59999999</v>
      </c>
      <c r="Y21" s="309">
        <f t="shared" si="40"/>
        <v>124999999.59999999</v>
      </c>
      <c r="Z21" s="309">
        <f t="shared" si="40"/>
        <v>124999999.59999999</v>
      </c>
      <c r="AA21" s="309">
        <f t="shared" si="40"/>
        <v>124999999.59999999</v>
      </c>
      <c r="AB21" s="309">
        <f t="shared" si="40"/>
        <v>124999999.59999999</v>
      </c>
      <c r="AC21" s="309">
        <f t="shared" si="40"/>
        <v>124999999.59999999</v>
      </c>
      <c r="AD21" s="309">
        <f t="shared" si="40"/>
        <v>124999999.59999999</v>
      </c>
      <c r="AE21" s="309">
        <f t="shared" si="40"/>
        <v>124999999.59999999</v>
      </c>
      <c r="AF21" s="309">
        <f t="shared" si="40"/>
        <v>124999999.59999999</v>
      </c>
      <c r="AG21" s="309">
        <f t="shared" si="40"/>
        <v>124999999.59999999</v>
      </c>
      <c r="AH21" s="309">
        <f t="shared" si="40"/>
        <v>125000000.59999999</v>
      </c>
      <c r="AI21" s="309">
        <f t="shared" si="40"/>
        <v>125000001.59999999</v>
      </c>
      <c r="AJ21" s="309">
        <f t="shared" si="40"/>
        <v>125000002.59999999</v>
      </c>
      <c r="AK21" s="309">
        <f t="shared" si="40"/>
        <v>125000003.59999999</v>
      </c>
      <c r="AL21" s="309">
        <f t="shared" si="40"/>
        <v>125000004.59999999</v>
      </c>
      <c r="AM21" s="309">
        <f t="shared" si="40"/>
        <v>125000005.59999999</v>
      </c>
      <c r="AN21" s="309">
        <f t="shared" si="40"/>
        <v>125000006.59999999</v>
      </c>
      <c r="AO21" s="309">
        <f t="shared" si="40"/>
        <v>125000007.59999999</v>
      </c>
      <c r="AP21" s="309">
        <f t="shared" si="40"/>
        <v>125000008.59999999</v>
      </c>
      <c r="AQ21" s="309">
        <f t="shared" si="40"/>
        <v>125000009.59999999</v>
      </c>
      <c r="AR21" s="309"/>
      <c r="AS21" s="309"/>
      <c r="AT21" s="309"/>
      <c r="AU21" s="309"/>
      <c r="AV21" s="309"/>
      <c r="AW21" s="309"/>
      <c r="AX21" s="309"/>
      <c r="AY21" s="309"/>
      <c r="AZ21" s="309"/>
      <c r="BA21" s="309"/>
      <c r="BB21" s="309"/>
      <c r="BC21" s="309"/>
      <c r="BE21" s="309"/>
      <c r="BF21" s="308"/>
      <c r="BG21" s="309"/>
      <c r="BH21" s="308"/>
      <c r="BI21" s="309"/>
      <c r="BJ21" s="308"/>
      <c r="BK21" s="309">
        <v>23999999.600000001</v>
      </c>
      <c r="BL21" s="308">
        <f t="shared" si="6"/>
        <v>-56178.60000000149</v>
      </c>
      <c r="BM21" s="309">
        <v>2620288</v>
      </c>
      <c r="BN21" s="308">
        <f t="shared" si="7"/>
        <v>0</v>
      </c>
      <c r="BO21" s="309">
        <v>9999999.5999999996</v>
      </c>
      <c r="BP21" s="308">
        <f t="shared" si="32"/>
        <v>-8000000</v>
      </c>
    </row>
    <row r="22" spans="1:68" ht="12" thickBot="1">
      <c r="A22" s="301" t="s">
        <v>225</v>
      </c>
      <c r="B22" s="308">
        <f>B365</f>
        <v>0</v>
      </c>
      <c r="C22" s="308">
        <f t="shared" ref="C22:N22" si="41">C365</f>
        <v>0</v>
      </c>
      <c r="D22" s="308">
        <f t="shared" si="41"/>
        <v>0</v>
      </c>
      <c r="E22" s="308">
        <f t="shared" si="41"/>
        <v>0</v>
      </c>
      <c r="F22" s="308">
        <f t="shared" si="41"/>
        <v>0</v>
      </c>
      <c r="G22" s="308">
        <f t="shared" si="41"/>
        <v>0</v>
      </c>
      <c r="H22" s="308">
        <f t="shared" si="41"/>
        <v>0</v>
      </c>
      <c r="I22" s="308">
        <f t="shared" si="41"/>
        <v>0</v>
      </c>
      <c r="J22" s="308">
        <f t="shared" si="41"/>
        <v>0</v>
      </c>
      <c r="K22" s="308">
        <f t="shared" si="41"/>
        <v>0</v>
      </c>
      <c r="L22" s="308">
        <f t="shared" si="41"/>
        <v>0</v>
      </c>
      <c r="M22" s="308">
        <f t="shared" si="41"/>
        <v>0</v>
      </c>
      <c r="N22" s="308">
        <f t="shared" si="41"/>
        <v>0</v>
      </c>
      <c r="O22" s="308">
        <f>O365</f>
        <v>0</v>
      </c>
      <c r="P22" s="308">
        <f>P365</f>
        <v>0</v>
      </c>
      <c r="Q22" s="309">
        <f t="shared" ref="Q22:AQ22" si="42">Q365</f>
        <v>0</v>
      </c>
      <c r="R22" s="309">
        <f t="shared" si="42"/>
        <v>0</v>
      </c>
      <c r="S22" s="309">
        <f t="shared" si="42"/>
        <v>0</v>
      </c>
      <c r="T22" s="309">
        <f t="shared" si="42"/>
        <v>0</v>
      </c>
      <c r="U22" s="309">
        <f t="shared" si="42"/>
        <v>0</v>
      </c>
      <c r="V22" s="309">
        <f t="shared" si="42"/>
        <v>0</v>
      </c>
      <c r="W22" s="309">
        <f t="shared" si="42"/>
        <v>0</v>
      </c>
      <c r="X22" s="309">
        <f t="shared" si="42"/>
        <v>0</v>
      </c>
      <c r="Y22" s="309">
        <f t="shared" si="42"/>
        <v>0</v>
      </c>
      <c r="Z22" s="309">
        <f t="shared" si="42"/>
        <v>0</v>
      </c>
      <c r="AA22" s="309">
        <f t="shared" si="42"/>
        <v>0</v>
      </c>
      <c r="AB22" s="309">
        <f t="shared" si="42"/>
        <v>0</v>
      </c>
      <c r="AC22" s="309">
        <f t="shared" si="42"/>
        <v>0</v>
      </c>
      <c r="AD22" s="309">
        <f t="shared" si="42"/>
        <v>0</v>
      </c>
      <c r="AE22" s="309">
        <f t="shared" si="42"/>
        <v>0</v>
      </c>
      <c r="AF22" s="309">
        <f t="shared" si="42"/>
        <v>0</v>
      </c>
      <c r="AG22" s="309">
        <f t="shared" si="42"/>
        <v>0</v>
      </c>
      <c r="AH22" s="309">
        <f t="shared" si="42"/>
        <v>0</v>
      </c>
      <c r="AI22" s="309">
        <f t="shared" si="42"/>
        <v>0</v>
      </c>
      <c r="AJ22" s="309">
        <f t="shared" si="42"/>
        <v>0</v>
      </c>
      <c r="AK22" s="309">
        <f t="shared" si="42"/>
        <v>0</v>
      </c>
      <c r="AL22" s="309">
        <f t="shared" si="42"/>
        <v>0</v>
      </c>
      <c r="AM22" s="309">
        <f t="shared" si="42"/>
        <v>0</v>
      </c>
      <c r="AN22" s="309">
        <f t="shared" si="42"/>
        <v>0</v>
      </c>
      <c r="AO22" s="309">
        <f t="shared" si="42"/>
        <v>0</v>
      </c>
      <c r="AP22" s="309">
        <f t="shared" si="42"/>
        <v>0</v>
      </c>
      <c r="AQ22" s="309">
        <f t="shared" si="42"/>
        <v>12</v>
      </c>
      <c r="AR22" s="309"/>
      <c r="AS22" s="309"/>
      <c r="AT22" s="309"/>
      <c r="AU22" s="309"/>
      <c r="AV22" s="309"/>
      <c r="AW22" s="309"/>
      <c r="AX22" s="309"/>
      <c r="AY22" s="309"/>
      <c r="AZ22" s="309"/>
      <c r="BA22" s="309"/>
      <c r="BB22" s="309"/>
      <c r="BC22" s="309"/>
      <c r="BE22" s="309"/>
      <c r="BF22" s="308"/>
      <c r="BG22" s="309"/>
      <c r="BH22" s="308"/>
      <c r="BI22" s="309"/>
      <c r="BJ22" s="308"/>
      <c r="BK22" s="309">
        <v>0.39999999850988388</v>
      </c>
      <c r="BL22" s="308">
        <f t="shared" si="6"/>
        <v>-0.39999999850988388</v>
      </c>
      <c r="BM22" s="309">
        <v>0</v>
      </c>
      <c r="BN22" s="308">
        <f t="shared" si="7"/>
        <v>0</v>
      </c>
      <c r="BO22" s="309">
        <v>0</v>
      </c>
      <c r="BP22" s="308">
        <f t="shared" si="32"/>
        <v>0</v>
      </c>
    </row>
    <row r="23" spans="1:68" ht="12" thickBot="1">
      <c r="A23" s="318" t="s">
        <v>483</v>
      </c>
      <c r="B23" s="311">
        <f t="shared" ref="B23:M23" si="43">SUM(B3,B6,B9,B12,B16,B20)</f>
        <v>6789828018</v>
      </c>
      <c r="C23" s="311">
        <f t="shared" si="43"/>
        <v>13613229503</v>
      </c>
      <c r="D23" s="311">
        <f t="shared" si="43"/>
        <v>12987468760</v>
      </c>
      <c r="E23" s="311">
        <f t="shared" si="43"/>
        <v>13251265535</v>
      </c>
      <c r="F23" s="311">
        <f t="shared" si="43"/>
        <v>14226497803</v>
      </c>
      <c r="G23" s="311">
        <f t="shared" si="43"/>
        <v>14668303446</v>
      </c>
      <c r="H23" s="311">
        <f>SUM(H3,H6,H9,H12,H16,H20)</f>
        <v>15003278197</v>
      </c>
      <c r="I23" s="311">
        <f t="shared" si="43"/>
        <v>15008327443</v>
      </c>
      <c r="J23" s="311">
        <f t="shared" si="43"/>
        <v>15074084106</v>
      </c>
      <c r="K23" s="311">
        <f t="shared" si="43"/>
        <v>14846758241</v>
      </c>
      <c r="L23" s="311">
        <f t="shared" si="43"/>
        <v>12933461982</v>
      </c>
      <c r="M23" s="311">
        <f t="shared" si="43"/>
        <v>14202821885</v>
      </c>
      <c r="N23" s="311">
        <f>SUM(N3,N6,N9,N12,N16,N20)</f>
        <v>14498466195</v>
      </c>
      <c r="O23" s="311">
        <f>SUM(O3,O6,O9,O12,O16,O20)</f>
        <v>14773865497</v>
      </c>
      <c r="P23" s="311">
        <f>SUM(P3,P6,P9,P12,P16,P20)</f>
        <v>14885505634</v>
      </c>
      <c r="Q23" s="319">
        <f t="shared" ref="Q23:AQ23" si="44">SUM(Q3,Q6,Q9,Q12,Q16,Q20)</f>
        <v>14602831599.552595</v>
      </c>
      <c r="R23" s="319">
        <f t="shared" si="44"/>
        <v>14699014263.942829</v>
      </c>
      <c r="S23" s="319">
        <f t="shared" si="44"/>
        <v>14832029342.777452</v>
      </c>
      <c r="T23" s="319">
        <f t="shared" si="44"/>
        <v>14978958331.122877</v>
      </c>
      <c r="U23" s="319">
        <f t="shared" si="44"/>
        <v>15091118782.526659</v>
      </c>
      <c r="V23" s="319">
        <f t="shared" si="44"/>
        <v>15190058069.752506</v>
      </c>
      <c r="W23" s="319">
        <f t="shared" si="44"/>
        <v>15350721872.939346</v>
      </c>
      <c r="X23" s="319">
        <f t="shared" si="44"/>
        <v>15464008341.334599</v>
      </c>
      <c r="Y23" s="319">
        <f t="shared" si="44"/>
        <v>15593145331.103626</v>
      </c>
      <c r="Z23" s="319">
        <f t="shared" si="44"/>
        <v>15718783583.974474</v>
      </c>
      <c r="AA23" s="319">
        <f t="shared" si="44"/>
        <v>15847393691.69767</v>
      </c>
      <c r="AB23" s="319">
        <f t="shared" si="44"/>
        <v>15981234109.402918</v>
      </c>
      <c r="AC23" s="319">
        <f t="shared" si="44"/>
        <v>16110780255.98089</v>
      </c>
      <c r="AD23" s="319">
        <f t="shared" si="44"/>
        <v>16244126462.02634</v>
      </c>
      <c r="AE23" s="319">
        <f t="shared" si="44"/>
        <v>16378101948.414139</v>
      </c>
      <c r="AF23" s="319">
        <f t="shared" si="44"/>
        <v>16512323997.459215</v>
      </c>
      <c r="AG23" s="319">
        <f t="shared" si="44"/>
        <v>16647909172.748955</v>
      </c>
      <c r="AH23" s="319">
        <f t="shared" si="44"/>
        <v>16784492923.485149</v>
      </c>
      <c r="AI23" s="319">
        <f t="shared" si="44"/>
        <v>16923075849.73119</v>
      </c>
      <c r="AJ23" s="319">
        <f t="shared" si="44"/>
        <v>17061877844.900558</v>
      </c>
      <c r="AK23" s="319">
        <f t="shared" si="44"/>
        <v>17201374686.35165</v>
      </c>
      <c r="AL23" s="319">
        <f t="shared" si="44"/>
        <v>17341909520.37851</v>
      </c>
      <c r="AM23" s="319">
        <f t="shared" si="44"/>
        <v>17483259304.598476</v>
      </c>
      <c r="AN23" s="319">
        <f t="shared" si="44"/>
        <v>17626787842.051804</v>
      </c>
      <c r="AO23" s="319">
        <f t="shared" si="44"/>
        <v>17771443031.986362</v>
      </c>
      <c r="AP23" s="319">
        <f t="shared" si="44"/>
        <v>17916763493.493317</v>
      </c>
      <c r="AQ23" s="319" t="e">
        <f t="shared" si="44"/>
        <v>#VALUE!</v>
      </c>
      <c r="AR23" s="321"/>
      <c r="AS23" s="321"/>
      <c r="AT23" s="321"/>
      <c r="AU23" s="321"/>
      <c r="AV23" s="321"/>
      <c r="AW23" s="321"/>
      <c r="AX23" s="321"/>
      <c r="AY23" s="321"/>
      <c r="AZ23" s="321"/>
      <c r="BA23" s="321"/>
      <c r="BB23" s="321"/>
      <c r="BC23" s="309"/>
      <c r="BE23" s="313">
        <v>12955087422.74</v>
      </c>
      <c r="BF23" s="308">
        <f>L23-BE23</f>
        <v>-21625440.739999771</v>
      </c>
      <c r="BG23" s="313">
        <v>14356847119.4</v>
      </c>
      <c r="BH23" s="308">
        <f>M23-BG23</f>
        <v>-154025234.39999962</v>
      </c>
      <c r="BI23" s="313">
        <v>14553770440.887802</v>
      </c>
      <c r="BJ23" s="308">
        <f>N23-BI23</f>
        <v>-55304245.887802124</v>
      </c>
      <c r="BK23" s="313">
        <v>14709812367.931494</v>
      </c>
      <c r="BL23" s="308">
        <f t="shared" si="6"/>
        <v>64053129.068506241</v>
      </c>
      <c r="BM23" s="313">
        <v>15206177951.517607</v>
      </c>
      <c r="BN23" s="308">
        <f t="shared" si="7"/>
        <v>-320672317.51760674</v>
      </c>
      <c r="BO23" s="313">
        <v>14618950245.097775</v>
      </c>
      <c r="BP23" s="308">
        <f t="shared" si="32"/>
        <v>-16118645.545179367</v>
      </c>
    </row>
    <row r="24" spans="1:68" ht="12" thickBot="1">
      <c r="A24" s="318"/>
      <c r="B24" s="322"/>
      <c r="C24" s="322"/>
      <c r="D24" s="322"/>
      <c r="E24" s="322"/>
      <c r="F24" s="322"/>
      <c r="G24" s="322"/>
      <c r="H24" s="322"/>
      <c r="I24" s="322"/>
      <c r="J24" s="303"/>
      <c r="K24" s="303"/>
      <c r="L24" s="303"/>
      <c r="M24" s="303"/>
      <c r="N24" s="303"/>
      <c r="O24" s="303"/>
      <c r="P24" s="400">
        <f>P23/O23-1</f>
        <v>7.5565962762196293E-3</v>
      </c>
      <c r="Q24" s="303"/>
      <c r="R24" s="303"/>
      <c r="S24" s="303"/>
      <c r="T24" s="303"/>
      <c r="U24" s="303"/>
      <c r="V24" s="303"/>
      <c r="W24" s="303"/>
      <c r="X24" s="303"/>
      <c r="Y24" s="303"/>
      <c r="Z24" s="303"/>
      <c r="AA24" s="303"/>
      <c r="AB24" s="303"/>
      <c r="AC24" s="303"/>
      <c r="AD24" s="303"/>
      <c r="AE24" s="303"/>
      <c r="AF24" s="303"/>
      <c r="AG24" s="303"/>
      <c r="AH24" s="303"/>
      <c r="AI24" s="303"/>
      <c r="AJ24" s="303"/>
      <c r="AK24" s="303"/>
      <c r="AL24" s="303"/>
      <c r="AM24" s="303"/>
      <c r="AN24" s="303"/>
      <c r="AO24" s="303"/>
      <c r="AP24" s="303"/>
      <c r="AQ24" s="303"/>
    </row>
    <row r="25" spans="1:68" ht="12" thickBot="1">
      <c r="A25" s="304" t="s">
        <v>230</v>
      </c>
      <c r="B25" s="304">
        <v>2010</v>
      </c>
      <c r="C25" s="304">
        <v>2011</v>
      </c>
      <c r="D25" s="304">
        <v>2012</v>
      </c>
      <c r="E25" s="304">
        <v>2013</v>
      </c>
      <c r="F25" s="304">
        <v>2014</v>
      </c>
      <c r="G25" s="304">
        <v>2015</v>
      </c>
      <c r="H25" s="304">
        <v>2016</v>
      </c>
      <c r="I25" s="304">
        <v>2017</v>
      </c>
      <c r="J25" s="304">
        <v>2018</v>
      </c>
      <c r="K25" s="304">
        <v>2019</v>
      </c>
      <c r="L25" s="304">
        <v>2020</v>
      </c>
      <c r="M25" s="304">
        <v>2021</v>
      </c>
      <c r="N25" s="304">
        <v>2022</v>
      </c>
      <c r="O25" s="304">
        <v>2023</v>
      </c>
      <c r="P25" s="304">
        <v>2024</v>
      </c>
      <c r="Q25" s="304">
        <v>2025</v>
      </c>
      <c r="R25" s="304">
        <v>2026</v>
      </c>
      <c r="S25" s="304">
        <v>2027</v>
      </c>
      <c r="T25" s="304">
        <v>2028</v>
      </c>
      <c r="U25" s="304">
        <v>2029</v>
      </c>
      <c r="V25" s="304">
        <v>2030</v>
      </c>
      <c r="W25" s="304">
        <v>2031</v>
      </c>
      <c r="X25" s="304">
        <v>2032</v>
      </c>
      <c r="Y25" s="304">
        <v>2033</v>
      </c>
      <c r="Z25" s="304">
        <v>2034</v>
      </c>
      <c r="AA25" s="304">
        <v>2035</v>
      </c>
      <c r="AB25" s="304">
        <v>2036</v>
      </c>
      <c r="AC25" s="304">
        <v>2037</v>
      </c>
      <c r="AD25" s="304">
        <v>2038</v>
      </c>
      <c r="AE25" s="304">
        <v>2039</v>
      </c>
      <c r="AF25" s="304">
        <v>2040</v>
      </c>
      <c r="AG25" s="304">
        <v>2041</v>
      </c>
      <c r="AH25" s="304">
        <v>2042</v>
      </c>
      <c r="AI25" s="304">
        <v>2043</v>
      </c>
      <c r="AJ25" s="304">
        <v>2044</v>
      </c>
      <c r="AK25" s="304">
        <v>2045</v>
      </c>
      <c r="AL25" s="304">
        <v>2046</v>
      </c>
      <c r="AM25" s="304">
        <v>2047</v>
      </c>
      <c r="AN25" s="304">
        <v>2048</v>
      </c>
      <c r="AO25" s="304">
        <v>2049</v>
      </c>
      <c r="AP25" s="304">
        <v>2050</v>
      </c>
      <c r="AQ25" s="304">
        <v>2051</v>
      </c>
      <c r="AR25" s="300"/>
      <c r="AS25" s="300"/>
      <c r="AT25" s="300"/>
      <c r="AU25" s="300"/>
      <c r="AV25" s="300"/>
      <c r="AW25" s="300"/>
      <c r="AX25" s="300"/>
      <c r="AY25" s="300"/>
      <c r="AZ25" s="300"/>
      <c r="BA25" s="300"/>
      <c r="BB25" s="300"/>
      <c r="BC25" s="300"/>
    </row>
    <row r="26" spans="1:68">
      <c r="A26" s="301" t="s">
        <v>484</v>
      </c>
      <c r="C26" s="308">
        <f>'[1]RVO Forecast'!B$49</f>
        <v>12600000000</v>
      </c>
      <c r="D26" s="308">
        <f>'[1]RVO Forecast'!C$49</f>
        <v>13200000000</v>
      </c>
      <c r="E26" s="308">
        <f>'[1]RVO Forecast'!D$49</f>
        <v>13880000000</v>
      </c>
      <c r="F26" s="308">
        <f>'[1]RVO Forecast'!E$49</f>
        <v>13610000000</v>
      </c>
      <c r="G26" s="308">
        <f>'[1]RVO Forecast'!F$49</f>
        <v>14050000000</v>
      </c>
      <c r="H26" s="308">
        <f>'[1]RVO Forecast'!G$49</f>
        <v>14500000000</v>
      </c>
      <c r="I26" s="308">
        <f>'[1]RVO Forecast'!H$49</f>
        <v>15000000000</v>
      </c>
      <c r="J26" s="308">
        <f>'[1]RVO Forecast'!I$49</f>
        <v>15000000000</v>
      </c>
      <c r="K26" s="308">
        <f>'[1]RVO Forecast'!J$49</f>
        <v>15000000000</v>
      </c>
      <c r="L26" s="308">
        <f>'[1]RVO Forecast'!K$49</f>
        <v>12499999999.999998</v>
      </c>
      <c r="M26" s="308">
        <f>'[1]RVO Forecast'!L$49</f>
        <v>13790000000</v>
      </c>
      <c r="N26" s="308">
        <f>'[1]RVO Forecast'!M$49</f>
        <v>14999999999.999998</v>
      </c>
      <c r="O26" s="308">
        <f>'[1]RVO Forecast'!N$49</f>
        <v>15250000000</v>
      </c>
      <c r="P26" s="308">
        <f>'[1]RVO Forecast'!O$49</f>
        <v>15000000000</v>
      </c>
      <c r="Q26" s="308">
        <f>'[1]RVO Forecast'!P$49</f>
        <v>15000000000</v>
      </c>
      <c r="R26" s="308">
        <f>'[1]RVO Forecast'!Q$49</f>
        <v>15000000000</v>
      </c>
      <c r="S26" s="308">
        <f>'[1]RVO Forecast'!R$49</f>
        <v>15000000000</v>
      </c>
      <c r="T26" s="308">
        <f>'[1]RVO Forecast'!S$49</f>
        <v>15000000000</v>
      </c>
      <c r="U26" s="308">
        <f>'[1]RVO Forecast'!T$49</f>
        <v>15000000000</v>
      </c>
      <c r="V26" s="308">
        <f>'[1]RVO Forecast'!U$49</f>
        <v>15000000000.000004</v>
      </c>
      <c r="W26" s="308">
        <f>'[1]RVO Forecast'!V$49</f>
        <v>15000000000</v>
      </c>
      <c r="X26" s="308">
        <f>'[1]RVO Forecast'!W$49</f>
        <v>15000000000</v>
      </c>
      <c r="Y26" s="308">
        <f>'[1]RVO Forecast'!X$49</f>
        <v>14999999999.999996</v>
      </c>
      <c r="Z26" s="308">
        <f>'[1]RVO Forecast'!Y$49</f>
        <v>15000000000</v>
      </c>
      <c r="AA26" s="308">
        <f>'[1]RVO Forecast'!Z$49</f>
        <v>15000000000</v>
      </c>
      <c r="AB26" s="308">
        <f>'[1]RVO Forecast'!AA$49</f>
        <v>15000000000.000004</v>
      </c>
      <c r="AC26" s="308">
        <f>'[1]RVO Forecast'!AB$49</f>
        <v>14999999999.999992</v>
      </c>
      <c r="AD26" s="308">
        <f>'[1]RVO Forecast'!AC$49</f>
        <v>15000000000</v>
      </c>
      <c r="AE26" s="308">
        <f>'[1]RVO Forecast'!AD$49</f>
        <v>15000000000</v>
      </c>
      <c r="AF26" s="308">
        <f>'[1]RVO Forecast'!AE$49</f>
        <v>15000000000</v>
      </c>
      <c r="AG26" s="308">
        <f>'[1]RVO Forecast'!AF$49</f>
        <v>15000000000.000004</v>
      </c>
      <c r="AH26" s="308">
        <f>'[1]RVO Forecast'!AG$49</f>
        <v>15000000000.000008</v>
      </c>
      <c r="AI26" s="308">
        <f>'[1]RVO Forecast'!AH$49</f>
        <v>15000000000.000008</v>
      </c>
      <c r="AJ26" s="308">
        <f>'[1]RVO Forecast'!AI$49</f>
        <v>15000000000</v>
      </c>
      <c r="AK26" s="308">
        <f>'[1]RVO Forecast'!AJ$49</f>
        <v>15000000000</v>
      </c>
      <c r="AL26" s="308">
        <f>'[1]RVO Forecast'!AK$49</f>
        <v>15000000000.000004</v>
      </c>
      <c r="AM26" s="308">
        <f>'[1]RVO Forecast'!AL$49</f>
        <v>15000000000.000008</v>
      </c>
      <c r="AN26" s="308">
        <f>'[1]RVO Forecast'!AM$49</f>
        <v>15000000000.000008</v>
      </c>
      <c r="AO26" s="308">
        <f>'[1]RVO Forecast'!AN$49</f>
        <v>15000000000</v>
      </c>
      <c r="AP26" s="308">
        <f>'[1]RVO Forecast'!AO$49</f>
        <v>15000000000</v>
      </c>
      <c r="AQ26" s="308">
        <f>'[1]RVO Forecast'!AP$49</f>
        <v>15000000000</v>
      </c>
      <c r="AR26" s="308"/>
      <c r="AS26" s="308"/>
      <c r="AT26" s="308"/>
      <c r="AU26" s="308"/>
      <c r="AV26" s="308"/>
      <c r="AW26" s="308"/>
      <c r="AX26" s="308"/>
      <c r="AY26" s="308"/>
      <c r="AZ26" s="308"/>
      <c r="BA26" s="308"/>
      <c r="BB26" s="308"/>
      <c r="BC26" s="308"/>
      <c r="BF26" s="308"/>
      <c r="BL26" s="308">
        <f>'D4 Gallon Forecast'!BI12</f>
        <v>19923920.268543124</v>
      </c>
    </row>
    <row r="27" spans="1:68">
      <c r="A27" s="301" t="s">
        <v>485</v>
      </c>
      <c r="C27" s="308">
        <f>'[1]RVO Forecast'!B$50</f>
        <v>0</v>
      </c>
      <c r="D27" s="308">
        <f>'[1]RVO Forecast'!C$50</f>
        <v>0</v>
      </c>
      <c r="E27" s="308">
        <f>'[1]RVO Forecast'!D$50</f>
        <v>0</v>
      </c>
      <c r="F27" s="308">
        <f>'[1]RVO Forecast'!E$50</f>
        <v>160776000</v>
      </c>
      <c r="G27" s="308">
        <f>'[1]RVO Forecast'!F$50</f>
        <v>176639999.99999997</v>
      </c>
      <c r="H27" s="308">
        <f>'[1]RVO Forecast'!G$50</f>
        <v>242530000.00000006</v>
      </c>
      <c r="I27" s="308">
        <f>'[1]RVO Forecast'!H$50</f>
        <v>563873000</v>
      </c>
      <c r="J27" s="308">
        <f>'[1]RVO Forecast'!I$50</f>
        <v>1335360000</v>
      </c>
      <c r="K27" s="308">
        <f>'[1]RVO Forecast'!J$50</f>
        <v>285376000</v>
      </c>
      <c r="L27" s="308">
        <f>'[1]RVO Forecast'!K$50</f>
        <v>0</v>
      </c>
      <c r="M27" s="308">
        <f>'[1]RVO Forecast'!L$50</f>
        <v>0</v>
      </c>
      <c r="N27" s="308">
        <f>'[1]RVO Forecast'!M$50-250000000</f>
        <v>-250000000</v>
      </c>
      <c r="O27" s="308">
        <f>'[1]RVO Forecast'!N$50</f>
        <v>0</v>
      </c>
      <c r="P27" s="308">
        <f>'[1]RVO Forecast'!O$50</f>
        <v>0</v>
      </c>
      <c r="Q27" s="308">
        <f>'[1]RVO Forecast'!P$50</f>
        <v>344870380.4422828</v>
      </c>
      <c r="R27" s="308">
        <f>'[1]RVO Forecast'!Q$50</f>
        <v>603022883.27981007</v>
      </c>
      <c r="S27" s="308">
        <f>'[1]RVO Forecast'!R$50</f>
        <v>594079420.99088037</v>
      </c>
      <c r="T27" s="308">
        <f>'[1]RVO Forecast'!S$50</f>
        <v>593933742.99344873</v>
      </c>
      <c r="U27" s="308">
        <f>'[1]RVO Forecast'!T$50</f>
        <v>587034302.73194325</v>
      </c>
      <c r="V27" s="308">
        <f>'[1]RVO Forecast'!U$50</f>
        <v>605238849.92796361</v>
      </c>
      <c r="W27" s="308">
        <f>'[1]RVO Forecast'!V$50</f>
        <v>614050183.27398264</v>
      </c>
      <c r="X27" s="308">
        <f>'[1]RVO Forecast'!W$50</f>
        <v>624108403.41424954</v>
      </c>
      <c r="Y27" s="308">
        <f>'[1]RVO Forecast'!X$50</f>
        <v>863676919.48242581</v>
      </c>
      <c r="Z27" s="308">
        <f>'[1]RVO Forecast'!Y$50</f>
        <v>996428800.17669272</v>
      </c>
      <c r="AA27" s="308">
        <f>'[1]RVO Forecast'!Z$50</f>
        <v>920036202.58243394</v>
      </c>
      <c r="AB27" s="308">
        <f>'[1]RVO Forecast'!AA$50</f>
        <v>769162900.47842979</v>
      </c>
      <c r="AC27" s="308">
        <f>'[1]RVO Forecast'!AB$50</f>
        <v>587034302.73194349</v>
      </c>
      <c r="AD27" s="308">
        <f>'[1]RVO Forecast'!AC$50</f>
        <v>230092176.43189168</v>
      </c>
      <c r="AE27" s="308">
        <f>'[1]RVO Forecast'!AD$50</f>
        <v>698007227.42001247</v>
      </c>
      <c r="AF27" s="308">
        <f>'[1]RVO Forecast'!AE$50</f>
        <v>1422115951.732949</v>
      </c>
      <c r="AG27" s="308">
        <f>'[1]RVO Forecast'!AF$50</f>
        <v>1436995467.4776413</v>
      </c>
      <c r="AH27" s="308">
        <f>'[1]RVO Forecast'!AG$50</f>
        <v>1284376523.86169</v>
      </c>
      <c r="AI27" s="308">
        <f>'[1]RVO Forecast'!AH$50</f>
        <v>1421367819.6564</v>
      </c>
      <c r="AJ27" s="308">
        <f>'[1]RVO Forecast'!AI$50</f>
        <v>0</v>
      </c>
      <c r="AK27" s="308">
        <f>'[1]RVO Forecast'!AJ$50</f>
        <v>0</v>
      </c>
      <c r="AL27" s="308">
        <f>'[1]RVO Forecast'!AK$50</f>
        <v>0</v>
      </c>
      <c r="AM27" s="308">
        <f>'[1]RVO Forecast'!AL$50</f>
        <v>0</v>
      </c>
      <c r="AN27" s="308">
        <f>'[1]RVO Forecast'!AM$50</f>
        <v>0</v>
      </c>
      <c r="AO27" s="308">
        <f>'[1]RVO Forecast'!AN$50</f>
        <v>0</v>
      </c>
      <c r="AP27" s="308">
        <f>'[1]RVO Forecast'!AO$50</f>
        <v>0</v>
      </c>
      <c r="AQ27" s="308">
        <f>'[1]RVO Forecast'!AP$50</f>
        <v>0</v>
      </c>
      <c r="AR27" s="308"/>
      <c r="AS27" s="308"/>
      <c r="AT27" s="308"/>
      <c r="AU27" s="308"/>
      <c r="AV27" s="308"/>
      <c r="AW27" s="308"/>
      <c r="AX27" s="308"/>
      <c r="AY27" s="308"/>
      <c r="AZ27" s="308"/>
      <c r="BA27" s="308"/>
      <c r="BB27" s="308"/>
      <c r="BC27" s="308"/>
      <c r="BK27" s="401" t="s">
        <v>486</v>
      </c>
      <c r="BL27" s="330">
        <v>0.84231482499999999</v>
      </c>
    </row>
    <row r="28" spans="1:68" ht="12" thickBot="1">
      <c r="A28" s="301" t="s">
        <v>487</v>
      </c>
      <c r="C28" s="308">
        <f t="shared" ref="C28:K28" si="45">C26-C27</f>
        <v>12600000000</v>
      </c>
      <c r="D28" s="308">
        <f t="shared" si="45"/>
        <v>13200000000</v>
      </c>
      <c r="E28" s="308">
        <f t="shared" si="45"/>
        <v>13880000000</v>
      </c>
      <c r="F28" s="308">
        <f t="shared" si="45"/>
        <v>13449224000</v>
      </c>
      <c r="G28" s="308">
        <f t="shared" si="45"/>
        <v>13873360000</v>
      </c>
      <c r="H28" s="308">
        <f t="shared" si="45"/>
        <v>14257470000</v>
      </c>
      <c r="I28" s="308">
        <f t="shared" si="45"/>
        <v>14436127000</v>
      </c>
      <c r="J28" s="308">
        <f t="shared" si="45"/>
        <v>13664640000</v>
      </c>
      <c r="K28" s="308">
        <f t="shared" si="45"/>
        <v>14714624000</v>
      </c>
      <c r="L28" s="308">
        <f>L26-L27</f>
        <v>12499999999.999998</v>
      </c>
      <c r="M28" s="308">
        <f t="shared" ref="M28:AD28" si="46">M26-M27</f>
        <v>13790000000</v>
      </c>
      <c r="N28" s="308">
        <f t="shared" si="46"/>
        <v>15249999999.999998</v>
      </c>
      <c r="O28" s="308">
        <f t="shared" si="46"/>
        <v>15250000000</v>
      </c>
      <c r="P28" s="308">
        <f t="shared" si="46"/>
        <v>15000000000</v>
      </c>
      <c r="Q28" s="308">
        <f t="shared" si="46"/>
        <v>14655129619.557716</v>
      </c>
      <c r="R28" s="308">
        <f t="shared" si="46"/>
        <v>14396977116.72019</v>
      </c>
      <c r="S28" s="308">
        <f t="shared" si="46"/>
        <v>14405920579.009119</v>
      </c>
      <c r="T28" s="308">
        <f t="shared" si="46"/>
        <v>14406066257.006552</v>
      </c>
      <c r="U28" s="308">
        <f t="shared" si="46"/>
        <v>14412965697.268057</v>
      </c>
      <c r="V28" s="308">
        <f t="shared" si="46"/>
        <v>14394761150.072041</v>
      </c>
      <c r="W28" s="308">
        <f t="shared" si="46"/>
        <v>14385949816.726017</v>
      </c>
      <c r="X28" s="308">
        <f t="shared" si="46"/>
        <v>14375891596.585751</v>
      </c>
      <c r="Y28" s="308">
        <f t="shared" si="46"/>
        <v>14136323080.51757</v>
      </c>
      <c r="Z28" s="308">
        <f t="shared" si="46"/>
        <v>14003571199.823307</v>
      </c>
      <c r="AA28" s="308">
        <f t="shared" si="46"/>
        <v>14079963797.417566</v>
      </c>
      <c r="AB28" s="308">
        <f t="shared" si="46"/>
        <v>14230837099.521574</v>
      </c>
      <c r="AC28" s="308">
        <f t="shared" si="46"/>
        <v>14412965697.268049</v>
      </c>
      <c r="AD28" s="308">
        <f t="shared" si="46"/>
        <v>14769907823.568108</v>
      </c>
      <c r="AE28" s="308">
        <f>AE26-AE27</f>
        <v>14301992772.579987</v>
      </c>
      <c r="AF28" s="308">
        <f>AF26-AF27</f>
        <v>13577884048.267052</v>
      </c>
      <c r="AG28" s="308">
        <f>AG26-AG27</f>
        <v>13563004532.522362</v>
      </c>
      <c r="AH28" s="308">
        <f t="shared" ref="AH28:AQ28" si="47">AH26-AH27</f>
        <v>13715623476.138317</v>
      </c>
      <c r="AI28" s="308">
        <f t="shared" si="47"/>
        <v>13578632180.343607</v>
      </c>
      <c r="AJ28" s="308">
        <f t="shared" si="47"/>
        <v>15000000000</v>
      </c>
      <c r="AK28" s="308">
        <f t="shared" si="47"/>
        <v>15000000000</v>
      </c>
      <c r="AL28" s="308">
        <f t="shared" si="47"/>
        <v>15000000000.000004</v>
      </c>
      <c r="AM28" s="308">
        <f t="shared" si="47"/>
        <v>15000000000.000008</v>
      </c>
      <c r="AN28" s="308">
        <f t="shared" si="47"/>
        <v>15000000000.000008</v>
      </c>
      <c r="AO28" s="308">
        <f t="shared" si="47"/>
        <v>15000000000</v>
      </c>
      <c r="AP28" s="308">
        <f t="shared" si="47"/>
        <v>15000000000</v>
      </c>
      <c r="AQ28" s="308">
        <f t="shared" si="47"/>
        <v>15000000000</v>
      </c>
      <c r="AR28" s="308"/>
      <c r="AS28" s="308"/>
      <c r="AT28" s="308"/>
      <c r="AU28" s="308"/>
      <c r="AV28" s="308"/>
      <c r="AW28" s="308"/>
      <c r="AX28" s="308"/>
      <c r="AY28" s="308"/>
      <c r="AZ28" s="308"/>
      <c r="BA28" s="308"/>
      <c r="BB28" s="308"/>
      <c r="BC28" s="308"/>
    </row>
    <row r="29" spans="1:68">
      <c r="B29" s="402" t="s">
        <v>488</v>
      </c>
      <c r="C29" s="403">
        <v>134.13749999999999</v>
      </c>
      <c r="D29" s="403">
        <v>133.06440000000001</v>
      </c>
      <c r="E29" s="403">
        <v>135.51719999999997</v>
      </c>
      <c r="F29" s="403">
        <v>136.74360000000001</v>
      </c>
      <c r="G29" s="403">
        <f t="shared" ref="G29:M29" si="48">G370</f>
        <v>143.02889999999999</v>
      </c>
      <c r="H29" s="403">
        <f t="shared" si="48"/>
        <v>143.02889999999999</v>
      </c>
      <c r="I29" s="403">
        <f t="shared" si="48"/>
        <v>142.72230000000002</v>
      </c>
      <c r="J29" s="403">
        <f t="shared" si="48"/>
        <v>123.40650000000001</v>
      </c>
      <c r="K29" s="403">
        <f t="shared" si="48"/>
        <v>135.2106</v>
      </c>
      <c r="L29" s="403">
        <f t="shared" si="48"/>
        <v>135.05730000000003</v>
      </c>
      <c r="M29" s="403">
        <f t="shared" si="48"/>
        <v>137.05019999999999</v>
      </c>
      <c r="N29" s="403">
        <f>N370</f>
        <v>136.59030000000001</v>
      </c>
      <c r="O29" s="403">
        <f>O370</f>
        <v>137.05000000000001</v>
      </c>
      <c r="P29" s="403">
        <f>FORECAST(P25,F29:O29,F25:O25)*1.03</f>
        <v>138.23522879999993</v>
      </c>
      <c r="Q29" s="403">
        <f>FORECAST(Q25,G29:P29,G25:P25)*1.03</f>
        <v>138.6813679989333</v>
      </c>
      <c r="R29" s="403">
        <v>136.74360000000001</v>
      </c>
      <c r="S29" s="403">
        <f t="shared" ref="S29:AQ29" si="49">R29*1.008</f>
        <v>137.83754880000001</v>
      </c>
      <c r="T29" s="403">
        <f t="shared" si="49"/>
        <v>138.94024919040001</v>
      </c>
      <c r="U29" s="403">
        <f t="shared" si="49"/>
        <v>140.05177118392322</v>
      </c>
      <c r="V29" s="403">
        <f t="shared" si="49"/>
        <v>141.17218535339461</v>
      </c>
      <c r="W29" s="403">
        <f t="shared" si="49"/>
        <v>142.30156283622176</v>
      </c>
      <c r="X29" s="403">
        <f t="shared" si="49"/>
        <v>143.43997533891155</v>
      </c>
      <c r="Y29" s="403">
        <f t="shared" si="49"/>
        <v>144.58749514162284</v>
      </c>
      <c r="Z29" s="403">
        <f t="shared" si="49"/>
        <v>145.74419510275581</v>
      </c>
      <c r="AA29" s="403">
        <f t="shared" si="49"/>
        <v>146.91014866357787</v>
      </c>
      <c r="AB29" s="403">
        <f t="shared" si="49"/>
        <v>148.08542985288651</v>
      </c>
      <c r="AC29" s="403">
        <f t="shared" si="49"/>
        <v>149.27011329170961</v>
      </c>
      <c r="AD29" s="403">
        <f t="shared" si="49"/>
        <v>150.46427419804328</v>
      </c>
      <c r="AE29" s="403">
        <f t="shared" si="49"/>
        <v>151.66798839162763</v>
      </c>
      <c r="AF29" s="403">
        <f t="shared" si="49"/>
        <v>152.88133229876064</v>
      </c>
      <c r="AG29" s="403">
        <f t="shared" si="49"/>
        <v>154.10438295715073</v>
      </c>
      <c r="AH29" s="403">
        <f t="shared" si="49"/>
        <v>155.33721802080794</v>
      </c>
      <c r="AI29" s="403">
        <f t="shared" si="49"/>
        <v>156.5799157649744</v>
      </c>
      <c r="AJ29" s="403">
        <f t="shared" si="49"/>
        <v>157.83255509109421</v>
      </c>
      <c r="AK29" s="403">
        <f t="shared" si="49"/>
        <v>159.09521553182296</v>
      </c>
      <c r="AL29" s="403">
        <f t="shared" si="49"/>
        <v>160.36797725607755</v>
      </c>
      <c r="AM29" s="403">
        <f t="shared" si="49"/>
        <v>161.65092107412616</v>
      </c>
      <c r="AN29" s="403">
        <f t="shared" si="49"/>
        <v>162.94412844271918</v>
      </c>
      <c r="AO29" s="403">
        <f t="shared" si="49"/>
        <v>164.24768147026094</v>
      </c>
      <c r="AP29" s="403">
        <f t="shared" si="49"/>
        <v>165.56166292202303</v>
      </c>
      <c r="AQ29" s="403">
        <f t="shared" si="49"/>
        <v>166.88615622539922</v>
      </c>
      <c r="AR29" s="403"/>
      <c r="AS29" s="403"/>
      <c r="AT29" s="403"/>
      <c r="AU29" s="403"/>
      <c r="AV29" s="403"/>
      <c r="AW29" s="403"/>
      <c r="AX29" s="403"/>
      <c r="AY29" s="403"/>
      <c r="AZ29" s="403"/>
      <c r="BA29" s="403"/>
      <c r="BB29" s="403"/>
      <c r="BC29" s="403">
        <f>AG29*1.008</f>
        <v>155.33721802080794</v>
      </c>
      <c r="BD29" s="404" t="s">
        <v>489</v>
      </c>
    </row>
    <row r="30" spans="1:68">
      <c r="B30" s="401" t="s">
        <v>490</v>
      </c>
      <c r="C30" s="326">
        <f t="shared" ref="C30:AQ30" si="50">C6/1000000000/C29</f>
        <v>0.10145602176870748</v>
      </c>
      <c r="D30" s="326">
        <f t="shared" si="50"/>
        <v>9.759727682235067E-2</v>
      </c>
      <c r="E30" s="326">
        <f t="shared" si="50"/>
        <v>9.6659102578860859E-2</v>
      </c>
      <c r="F30" s="326">
        <f t="shared" si="50"/>
        <v>0.1025417013666453</v>
      </c>
      <c r="G30" s="326">
        <f t="shared" si="50"/>
        <v>0.1006322424349205</v>
      </c>
      <c r="H30" s="326">
        <f t="shared" si="50"/>
        <v>0.10294851806173437</v>
      </c>
      <c r="I30" s="326">
        <f t="shared" si="50"/>
        <v>0.10414784687466498</v>
      </c>
      <c r="J30" s="326">
        <f t="shared" si="50"/>
        <v>0.12128407620344146</v>
      </c>
      <c r="K30" s="326">
        <f t="shared" si="50"/>
        <v>0.10894407400011538</v>
      </c>
      <c r="L30" s="326">
        <f t="shared" si="50"/>
        <v>9.5198057542983591E-2</v>
      </c>
      <c r="M30" s="326">
        <f t="shared" si="50"/>
        <v>0.10305423778294379</v>
      </c>
      <c r="N30" s="326">
        <f t="shared" si="50"/>
        <v>0.10559683835528583</v>
      </c>
      <c r="O30" s="326">
        <f t="shared" si="50"/>
        <v>0.10710500934695366</v>
      </c>
      <c r="P30" s="326">
        <f t="shared" si="50"/>
        <v>0.10755237957113294</v>
      </c>
      <c r="Q30" s="326">
        <f t="shared" si="50"/>
        <v>0.10524621284526418</v>
      </c>
      <c r="R30" s="326">
        <f t="shared" si="50"/>
        <v>0.10726493883896951</v>
      </c>
      <c r="S30" s="326">
        <f t="shared" si="50"/>
        <v>0.10664376225619519</v>
      </c>
      <c r="T30" s="326">
        <f t="shared" si="50"/>
        <v>0.10685242730253049</v>
      </c>
      <c r="U30" s="326">
        <f t="shared" si="50"/>
        <v>0.10680119687197259</v>
      </c>
      <c r="V30" s="326">
        <f t="shared" si="50"/>
        <v>0.10665025197730595</v>
      </c>
      <c r="W30" s="326">
        <f t="shared" si="50"/>
        <v>0.10693035707074354</v>
      </c>
      <c r="X30" s="326">
        <f t="shared" si="50"/>
        <v>0.10686274356137335</v>
      </c>
      <c r="Y30" s="326">
        <f t="shared" si="50"/>
        <v>0.10690584819966592</v>
      </c>
      <c r="Z30" s="326">
        <f t="shared" si="50"/>
        <v>0.10691584624541935</v>
      </c>
      <c r="AA30" s="326">
        <f t="shared" si="50"/>
        <v>0.1069380954319404</v>
      </c>
      <c r="AB30" s="326">
        <f t="shared" si="50"/>
        <v>0.10699498883698602</v>
      </c>
      <c r="AC30" s="326">
        <f t="shared" si="50"/>
        <v>0.10700724526376502</v>
      </c>
      <c r="AD30" s="326">
        <f t="shared" si="50"/>
        <v>0.1070354809946506</v>
      </c>
      <c r="AE30" s="326">
        <f t="shared" si="50"/>
        <v>0.10706074821873408</v>
      </c>
      <c r="AF30" s="326">
        <f t="shared" si="50"/>
        <v>0.10708907451130034</v>
      </c>
      <c r="AG30" s="326">
        <f t="shared" si="50"/>
        <v>0.10711862141636212</v>
      </c>
      <c r="AH30" s="326">
        <f t="shared" si="50"/>
        <v>0.10714270417795053</v>
      </c>
      <c r="AI30" s="326">
        <f t="shared" si="50"/>
        <v>0.10716915731561077</v>
      </c>
      <c r="AJ30" s="326">
        <f t="shared" si="50"/>
        <v>0.10719525900318774</v>
      </c>
      <c r="AK30" s="326">
        <f t="shared" si="50"/>
        <v>0.10722153261179898</v>
      </c>
      <c r="AL30" s="326">
        <f t="shared" si="50"/>
        <v>0.10724740067204774</v>
      </c>
      <c r="AM30" s="326">
        <f t="shared" si="50"/>
        <v>0.1072725379121721</v>
      </c>
      <c r="AN30" s="326">
        <f t="shared" si="50"/>
        <v>0.10729789095756576</v>
      </c>
      <c r="AO30" s="326">
        <f t="shared" si="50"/>
        <v>0.10732302885510385</v>
      </c>
      <c r="AP30" s="326">
        <f t="shared" si="50"/>
        <v>0.10734797882657671</v>
      </c>
      <c r="AQ30" s="326">
        <f t="shared" si="50"/>
        <v>0.10737266886421612</v>
      </c>
      <c r="AR30" s="326"/>
      <c r="AS30" s="326"/>
      <c r="AT30" s="326"/>
      <c r="AU30" s="326"/>
      <c r="AV30" s="326"/>
      <c r="AW30" s="326"/>
      <c r="AX30" s="326"/>
      <c r="AY30" s="326"/>
      <c r="AZ30" s="326"/>
      <c r="BA30" s="326"/>
      <c r="BB30" s="326"/>
      <c r="BC30" s="326"/>
    </row>
    <row r="31" spans="1:68" ht="12" thickBot="1">
      <c r="A31" s="300" t="s">
        <v>491</v>
      </c>
      <c r="B31" s="401" t="s">
        <v>492</v>
      </c>
      <c r="C31" s="308">
        <f t="shared" ref="C31:AQ31" si="51">C7-C28</f>
        <v>1005852829</v>
      </c>
      <c r="D31" s="308">
        <f t="shared" si="51"/>
        <v>-213276918</v>
      </c>
      <c r="E31" s="308">
        <f t="shared" si="51"/>
        <v>-781029064</v>
      </c>
      <c r="F31" s="308">
        <f t="shared" si="51"/>
        <v>571509965</v>
      </c>
      <c r="G31" s="308">
        <f t="shared" si="51"/>
        <v>512951095</v>
      </c>
      <c r="H31" s="308">
        <f t="shared" si="51"/>
        <v>455404310</v>
      </c>
      <c r="I31" s="308">
        <f t="shared" si="51"/>
        <v>415745278</v>
      </c>
      <c r="J31" s="308">
        <f t="shared" si="51"/>
        <v>1289864578</v>
      </c>
      <c r="K31" s="308">
        <f t="shared" si="51"/>
        <v>2286382</v>
      </c>
      <c r="L31" s="308">
        <f t="shared" si="51"/>
        <v>345194670.00000191</v>
      </c>
      <c r="M31" s="308">
        <f t="shared" si="51"/>
        <v>320176420</v>
      </c>
      <c r="N31" s="308">
        <f>N7-N28</f>
        <v>-840599018.99999809</v>
      </c>
      <c r="O31" s="308">
        <f>O7-O28</f>
        <v>-583708223</v>
      </c>
      <c r="P31" s="308">
        <f t="shared" si="51"/>
        <v>-146918200</v>
      </c>
      <c r="Q31" s="308">
        <f t="shared" si="51"/>
        <v>-73690845.469572067</v>
      </c>
      <c r="R31" s="308">
        <f t="shared" si="51"/>
        <v>258316773.90032196</v>
      </c>
      <c r="S31" s="308">
        <f t="shared" si="51"/>
        <v>281094205.19478607</v>
      </c>
      <c r="T31" s="308">
        <f t="shared" si="51"/>
        <v>427536619.00613403</v>
      </c>
      <c r="U31" s="308">
        <f t="shared" si="51"/>
        <v>532231089.21458435</v>
      </c>
      <c r="V31" s="308">
        <f t="shared" si="51"/>
        <v>648787990.05443573</v>
      </c>
      <c r="W31" s="308">
        <f t="shared" si="51"/>
        <v>817907109.07602501</v>
      </c>
      <c r="X31" s="308">
        <f t="shared" si="51"/>
        <v>939997704.50607109</v>
      </c>
      <c r="Y31" s="308">
        <f t="shared" si="51"/>
        <v>1308425726.6626949</v>
      </c>
      <c r="Z31" s="308">
        <f t="shared" si="51"/>
        <v>1566292754.9453335</v>
      </c>
      <c r="AA31" s="308">
        <f t="shared" si="51"/>
        <v>1617827700.2886753</v>
      </c>
      <c r="AB31" s="308">
        <f t="shared" si="51"/>
        <v>1601061814.5082951</v>
      </c>
      <c r="AC31" s="308">
        <f t="shared" si="51"/>
        <v>1547517926.2879124</v>
      </c>
      <c r="AD31" s="308">
        <f t="shared" si="51"/>
        <v>1322608137.7304516</v>
      </c>
      <c r="AE31" s="308">
        <f t="shared" si="51"/>
        <v>1923195545.457943</v>
      </c>
      <c r="AF31" s="308">
        <f t="shared" si="51"/>
        <v>2781536337.6617947</v>
      </c>
      <c r="AG31" s="308">
        <f t="shared" si="51"/>
        <v>2931944524.0667553</v>
      </c>
      <c r="AH31" s="308">
        <f t="shared" si="51"/>
        <v>2915126121.0909157</v>
      </c>
      <c r="AI31" s="308">
        <f t="shared" si="51"/>
        <v>3189405442.738018</v>
      </c>
      <c r="AJ31" s="308">
        <f t="shared" si="51"/>
        <v>1906401619.1247425</v>
      </c>
      <c r="AK31" s="308">
        <f t="shared" si="51"/>
        <v>2045932836.5265427</v>
      </c>
      <c r="AL31" s="308">
        <f t="shared" si="51"/>
        <v>2186548706.7483864</v>
      </c>
      <c r="AM31" s="308">
        <f t="shared" si="51"/>
        <v>2328204553.461731</v>
      </c>
      <c r="AN31" s="308">
        <f t="shared" si="51"/>
        <v>2471061318.822464</v>
      </c>
      <c r="AO31" s="308">
        <f t="shared" si="51"/>
        <v>2615058649.8167191</v>
      </c>
      <c r="AP31" s="308">
        <f t="shared" si="51"/>
        <v>2760209876.8461571</v>
      </c>
      <c r="AQ31" s="308">
        <f t="shared" si="51"/>
        <v>2906511980.4116287</v>
      </c>
      <c r="AR31" s="308"/>
      <c r="AS31" s="308"/>
      <c r="AT31" s="308"/>
      <c r="AU31" s="308"/>
      <c r="AV31" s="308"/>
      <c r="AW31" s="308"/>
      <c r="AX31" s="308"/>
      <c r="AY31" s="308"/>
      <c r="AZ31" s="308"/>
      <c r="BA31" s="308"/>
      <c r="BB31" s="308"/>
      <c r="BC31" s="308"/>
    </row>
    <row r="32" spans="1:68" ht="12" thickBot="1">
      <c r="A32" s="328"/>
      <c r="B32" s="329">
        <f t="shared" ref="B32:AQ32" si="52">B2</f>
        <v>2010</v>
      </c>
      <c r="C32" s="329">
        <f t="shared" si="52"/>
        <v>2011</v>
      </c>
      <c r="D32" s="329">
        <f t="shared" si="52"/>
        <v>2012</v>
      </c>
      <c r="E32" s="329">
        <f t="shared" si="52"/>
        <v>2013</v>
      </c>
      <c r="F32" s="329">
        <f t="shared" si="52"/>
        <v>2014</v>
      </c>
      <c r="G32" s="329">
        <f t="shared" si="52"/>
        <v>2015</v>
      </c>
      <c r="H32" s="329">
        <f t="shared" si="52"/>
        <v>2016</v>
      </c>
      <c r="I32" s="329">
        <f t="shared" si="52"/>
        <v>2017</v>
      </c>
      <c r="J32" s="329">
        <f t="shared" si="52"/>
        <v>2018</v>
      </c>
      <c r="K32" s="329">
        <f t="shared" si="52"/>
        <v>2019</v>
      </c>
      <c r="L32" s="329">
        <f t="shared" si="52"/>
        <v>2020</v>
      </c>
      <c r="M32" s="329">
        <f t="shared" si="52"/>
        <v>2021</v>
      </c>
      <c r="N32" s="329">
        <f t="shared" si="52"/>
        <v>2022</v>
      </c>
      <c r="O32" s="329">
        <f t="shared" si="52"/>
        <v>2023</v>
      </c>
      <c r="P32" s="329">
        <f t="shared" si="52"/>
        <v>2024</v>
      </c>
      <c r="Q32" s="329">
        <f t="shared" si="52"/>
        <v>2025</v>
      </c>
      <c r="R32" s="329">
        <f t="shared" si="52"/>
        <v>2026</v>
      </c>
      <c r="S32" s="329">
        <f t="shared" si="52"/>
        <v>2027</v>
      </c>
      <c r="T32" s="329">
        <f t="shared" si="52"/>
        <v>2028</v>
      </c>
      <c r="U32" s="329">
        <f t="shared" si="52"/>
        <v>2029</v>
      </c>
      <c r="V32" s="329">
        <f t="shared" si="52"/>
        <v>2030</v>
      </c>
      <c r="W32" s="329">
        <f t="shared" si="52"/>
        <v>2031</v>
      </c>
      <c r="X32" s="329">
        <f t="shared" si="52"/>
        <v>2032</v>
      </c>
      <c r="Y32" s="329">
        <f t="shared" si="52"/>
        <v>2033</v>
      </c>
      <c r="Z32" s="329">
        <f t="shared" si="52"/>
        <v>2034</v>
      </c>
      <c r="AA32" s="329">
        <f t="shared" si="52"/>
        <v>2035</v>
      </c>
      <c r="AB32" s="329">
        <f t="shared" si="52"/>
        <v>2036</v>
      </c>
      <c r="AC32" s="329">
        <f t="shared" si="52"/>
        <v>2037</v>
      </c>
      <c r="AD32" s="329">
        <f t="shared" si="52"/>
        <v>2038</v>
      </c>
      <c r="AE32" s="329">
        <f t="shared" si="52"/>
        <v>2039</v>
      </c>
      <c r="AF32" s="329">
        <f t="shared" si="52"/>
        <v>2040</v>
      </c>
      <c r="AG32" s="329">
        <f t="shared" si="52"/>
        <v>2041</v>
      </c>
      <c r="AH32" s="329">
        <f t="shared" si="52"/>
        <v>2042</v>
      </c>
      <c r="AI32" s="329">
        <f t="shared" si="52"/>
        <v>2043</v>
      </c>
      <c r="AJ32" s="329">
        <f t="shared" si="52"/>
        <v>2044</v>
      </c>
      <c r="AK32" s="329">
        <f t="shared" si="52"/>
        <v>2045</v>
      </c>
      <c r="AL32" s="329">
        <f t="shared" si="52"/>
        <v>2046</v>
      </c>
      <c r="AM32" s="329">
        <f t="shared" si="52"/>
        <v>2047</v>
      </c>
      <c r="AN32" s="329">
        <f t="shared" si="52"/>
        <v>2048</v>
      </c>
      <c r="AO32" s="329">
        <f t="shared" si="52"/>
        <v>2049</v>
      </c>
      <c r="AP32" s="329">
        <f t="shared" si="52"/>
        <v>2050</v>
      </c>
      <c r="AQ32" s="329">
        <f t="shared" si="52"/>
        <v>2051</v>
      </c>
      <c r="AR32" s="300"/>
      <c r="AS32" s="300"/>
      <c r="AT32" s="300"/>
      <c r="AU32" s="300"/>
      <c r="AV32" s="300"/>
      <c r="AW32" s="300"/>
      <c r="AX32" s="300"/>
      <c r="AY32" s="300"/>
      <c r="AZ32" s="300"/>
      <c r="BA32" s="300"/>
      <c r="BB32" s="300"/>
      <c r="BC32" s="300" t="s">
        <v>36</v>
      </c>
      <c r="BD32" s="300" t="s">
        <v>432</v>
      </c>
    </row>
    <row r="33" spans="1:71">
      <c r="A33" s="301" t="s">
        <v>43</v>
      </c>
      <c r="B33" s="308">
        <f t="shared" ref="B33:Q44" si="53">B49+B97+B145+B193+B257+B321</f>
        <v>145876</v>
      </c>
      <c r="C33" s="308">
        <f t="shared" si="53"/>
        <v>1160507379</v>
      </c>
      <c r="D33" s="308">
        <f t="shared" si="53"/>
        <v>1178481937</v>
      </c>
      <c r="E33" s="308">
        <f t="shared" si="53"/>
        <v>1028167094</v>
      </c>
      <c r="F33" s="308">
        <f t="shared" si="53"/>
        <v>1164561836</v>
      </c>
      <c r="G33" s="308">
        <f t="shared" si="53"/>
        <v>1213225568</v>
      </c>
      <c r="H33" s="308">
        <f t="shared" si="53"/>
        <v>1234729170</v>
      </c>
      <c r="I33" s="308">
        <f t="shared" si="53"/>
        <v>1249420754</v>
      </c>
      <c r="J33" s="308">
        <f t="shared" si="53"/>
        <v>1272614221</v>
      </c>
      <c r="K33" s="308">
        <f t="shared" si="53"/>
        <v>1202037254</v>
      </c>
      <c r="L33" s="308">
        <f t="shared" si="53"/>
        <v>1246862311</v>
      </c>
      <c r="M33" s="308">
        <f t="shared" si="53"/>
        <v>1076940326</v>
      </c>
      <c r="N33" s="308">
        <f>N49+N97+N145+N193+N257+N321</f>
        <v>1210570470</v>
      </c>
      <c r="O33" s="308">
        <f>O49+O97+O145+O193+O257+O321</f>
        <v>1209680062</v>
      </c>
      <c r="P33" s="308">
        <f>P49+P97+P145+P193+P257+P321</f>
        <v>1205701584</v>
      </c>
      <c r="Q33" s="308">
        <f>Q49+Q97+Q145+Q193+Q257+Q321</f>
        <v>1245242512</v>
      </c>
      <c r="R33" s="309">
        <f>R49+R97+R145+R193+R257+R321</f>
        <v>1197362918.0706577</v>
      </c>
      <c r="S33" s="308">
        <f t="shared" ref="S33:AQ44" si="54">S49+S97+S145+S193+S257+S321</f>
        <v>1215883554.6764348</v>
      </c>
      <c r="T33" s="308">
        <f t="shared" si="54"/>
        <v>1225067345.963057</v>
      </c>
      <c r="U33" s="308">
        <f t="shared" si="54"/>
        <v>1236270654.7138567</v>
      </c>
      <c r="V33" s="308">
        <f t="shared" si="54"/>
        <v>1249264138.2443798</v>
      </c>
      <c r="W33" s="308">
        <f t="shared" si="54"/>
        <v>1255461565.1337068</v>
      </c>
      <c r="X33" s="308">
        <f t="shared" si="54"/>
        <v>1267374816.0534124</v>
      </c>
      <c r="Y33" s="308">
        <f t="shared" si="54"/>
        <v>1277902997.0705333</v>
      </c>
      <c r="Z33" s="308">
        <f t="shared" si="54"/>
        <v>1288713621.9653072</v>
      </c>
      <c r="AA33" s="308">
        <f t="shared" si="54"/>
        <v>1299458179.0178709</v>
      </c>
      <c r="AB33" s="308">
        <f t="shared" si="54"/>
        <v>1309690895.4283459</v>
      </c>
      <c r="AC33" s="308">
        <f t="shared" si="54"/>
        <v>1320822689.5109868</v>
      </c>
      <c r="AD33" s="308">
        <f t="shared" si="54"/>
        <v>1331824545.1530244</v>
      </c>
      <c r="AE33" s="308">
        <f t="shared" si="54"/>
        <v>1342908736.4496324</v>
      </c>
      <c r="AF33" s="308">
        <f t="shared" si="54"/>
        <v>1353958004.9805655</v>
      </c>
      <c r="AG33" s="308">
        <f t="shared" si="54"/>
        <v>1365083072.9772229</v>
      </c>
      <c r="AH33" s="308">
        <f t="shared" si="54"/>
        <v>1376430641.9947648</v>
      </c>
      <c r="AI33" s="308">
        <f t="shared" si="54"/>
        <v>1387857359.125138</v>
      </c>
      <c r="AJ33" s="308">
        <f t="shared" si="54"/>
        <v>1399317818.6849589</v>
      </c>
      <c r="AK33" s="308">
        <f t="shared" si="54"/>
        <v>1410837040.6219745</v>
      </c>
      <c r="AL33" s="308">
        <f t="shared" si="54"/>
        <v>1422449855.9145367</v>
      </c>
      <c r="AM33" s="308">
        <f t="shared" si="54"/>
        <v>1434150129.1287441</v>
      </c>
      <c r="AN33" s="308">
        <f t="shared" si="54"/>
        <v>1445997731.7554414</v>
      </c>
      <c r="AO33" s="308">
        <f t="shared" si="54"/>
        <v>1457938637.5657663</v>
      </c>
      <c r="AP33" s="308">
        <f t="shared" si="54"/>
        <v>1469944644.7730262</v>
      </c>
      <c r="AQ33" s="308">
        <f t="shared" si="54"/>
        <v>1482037177.5923407</v>
      </c>
      <c r="AR33" s="308"/>
      <c r="AS33" s="308"/>
      <c r="AT33" s="308"/>
      <c r="AU33" s="308"/>
      <c r="AV33" s="308"/>
      <c r="AW33" s="308"/>
      <c r="AX33" s="308"/>
      <c r="AY33" s="308"/>
      <c r="AZ33" s="308"/>
      <c r="BA33" s="308"/>
      <c r="BB33" s="308"/>
      <c r="BC33" s="326">
        <f>P33/O44-1</f>
        <v>-4.2504292782663877E-2</v>
      </c>
      <c r="BD33" s="330">
        <f t="shared" ref="BD33:BD40" si="55">O33/N33-1</f>
        <v>-7.3552760625328339E-4</v>
      </c>
      <c r="BE33" s="308">
        <v>1327506013.6997526</v>
      </c>
      <c r="BF33" s="308">
        <f t="shared" ref="BF33:BF45" si="56">L33-BE33</f>
        <v>-80643702.699752569</v>
      </c>
      <c r="BG33" s="308">
        <v>1162539282.9157407</v>
      </c>
      <c r="BH33" s="308">
        <f t="shared" ref="BH33:BH45" si="57">M33-BG33</f>
        <v>-85598956.915740728</v>
      </c>
      <c r="BI33" s="308">
        <v>1219878021.3936303</v>
      </c>
      <c r="BJ33" s="308">
        <f t="shared" ref="BJ33:BJ45" si="58">N33-BI33</f>
        <v>-9307551.3936302662</v>
      </c>
      <c r="BK33" s="308">
        <v>1188105385.3180258</v>
      </c>
      <c r="BL33" s="308">
        <f t="shared" ref="BL33:BL45" si="59">O33-BK33</f>
        <v>21574676.681974173</v>
      </c>
      <c r="BM33" s="308">
        <v>1205701584</v>
      </c>
      <c r="BN33" s="308">
        <f t="shared" ref="BN33:BN45" si="60">P33-BM33</f>
        <v>0</v>
      </c>
      <c r="BO33" s="308">
        <v>1245242512</v>
      </c>
      <c r="BP33" s="308">
        <f t="shared" ref="BP33:BP45" si="61">BO33-Q33</f>
        <v>0</v>
      </c>
      <c r="BQ33" s="308"/>
      <c r="BR33" s="330"/>
      <c r="BS33" s="330"/>
    </row>
    <row r="34" spans="1:71">
      <c r="A34" s="301" t="s">
        <v>44</v>
      </c>
      <c r="B34" s="308">
        <f t="shared" si="53"/>
        <v>1813991</v>
      </c>
      <c r="C34" s="308">
        <f t="shared" si="53"/>
        <v>1054310409</v>
      </c>
      <c r="D34" s="308">
        <f t="shared" si="53"/>
        <v>1079918366</v>
      </c>
      <c r="E34" s="308">
        <f t="shared" si="53"/>
        <v>939519958</v>
      </c>
      <c r="F34" s="308">
        <f t="shared" si="53"/>
        <v>1037693400</v>
      </c>
      <c r="G34" s="308">
        <f t="shared" si="53"/>
        <v>1095143012</v>
      </c>
      <c r="H34" s="308">
        <f t="shared" si="53"/>
        <v>1175301836</v>
      </c>
      <c r="I34" s="308">
        <f t="shared" si="53"/>
        <v>1145609295</v>
      </c>
      <c r="J34" s="308">
        <f t="shared" si="53"/>
        <v>1115614672</v>
      </c>
      <c r="K34" s="308">
        <f t="shared" si="53"/>
        <v>1145681883</v>
      </c>
      <c r="L34" s="308">
        <f t="shared" si="53"/>
        <v>1155041535</v>
      </c>
      <c r="M34" s="308">
        <f t="shared" si="53"/>
        <v>897684298</v>
      </c>
      <c r="N34" s="308">
        <f t="shared" si="53"/>
        <v>1070334623</v>
      </c>
      <c r="O34" s="308">
        <f t="shared" si="53"/>
        <v>1125647359</v>
      </c>
      <c r="P34" s="308">
        <f t="shared" si="53"/>
        <v>1209610736</v>
      </c>
      <c r="Q34" s="308">
        <f t="shared" si="53"/>
        <v>1120306678</v>
      </c>
      <c r="R34" s="309">
        <f t="shared" ref="R34:AG44" si="62">R50+R98+R146+R194+R258+R322</f>
        <v>1090728214.7844081</v>
      </c>
      <c r="S34" s="308">
        <f t="shared" si="62"/>
        <v>1125257943.4855149</v>
      </c>
      <c r="T34" s="308">
        <f t="shared" si="62"/>
        <v>1144009394.4594953</v>
      </c>
      <c r="U34" s="308">
        <f t="shared" si="62"/>
        <v>1154964391.0658848</v>
      </c>
      <c r="V34" s="308">
        <f t="shared" si="62"/>
        <v>1150348630.6194615</v>
      </c>
      <c r="W34" s="308">
        <f t="shared" si="62"/>
        <v>1161463412.4966183</v>
      </c>
      <c r="X34" s="308">
        <f t="shared" si="62"/>
        <v>1175972290.1556921</v>
      </c>
      <c r="Y34" s="308">
        <f t="shared" si="62"/>
        <v>1186340225.4991267</v>
      </c>
      <c r="Z34" s="308">
        <f t="shared" si="62"/>
        <v>1194998462.0227778</v>
      </c>
      <c r="AA34" s="308">
        <f t="shared" si="62"/>
        <v>1203200124.5330906</v>
      </c>
      <c r="AB34" s="308">
        <f t="shared" si="62"/>
        <v>1213973639.8859792</v>
      </c>
      <c r="AC34" s="308">
        <f t="shared" si="62"/>
        <v>1224755963.1538067</v>
      </c>
      <c r="AD34" s="308">
        <f t="shared" si="62"/>
        <v>1234806054.2610288</v>
      </c>
      <c r="AE34" s="308">
        <f t="shared" si="62"/>
        <v>1244775325.8288376</v>
      </c>
      <c r="AF34" s="308">
        <f t="shared" si="62"/>
        <v>1254915971.8626883</v>
      </c>
      <c r="AG34" s="308">
        <f t="shared" si="62"/>
        <v>1265468305.4001241</v>
      </c>
      <c r="AH34" s="308">
        <f t="shared" si="54"/>
        <v>1276017823.5185413</v>
      </c>
      <c r="AI34" s="308">
        <f t="shared" si="54"/>
        <v>1286556796.8673804</v>
      </c>
      <c r="AJ34" s="308">
        <f t="shared" si="54"/>
        <v>1297139030.6365025</v>
      </c>
      <c r="AK34" s="308">
        <f t="shared" si="54"/>
        <v>1307827287.4674094</v>
      </c>
      <c r="AL34" s="308">
        <f t="shared" si="54"/>
        <v>1318624897.2021616</v>
      </c>
      <c r="AM34" s="308">
        <f t="shared" si="54"/>
        <v>1329459452.4113188</v>
      </c>
      <c r="AN34" s="308">
        <f t="shared" si="54"/>
        <v>1340432533.6984205</v>
      </c>
      <c r="AO34" s="308">
        <f t="shared" si="54"/>
        <v>1351502112.8951547</v>
      </c>
      <c r="AP34" s="308">
        <f t="shared" si="54"/>
        <v>1362635957.9714723</v>
      </c>
      <c r="AQ34" s="308">
        <f t="shared" si="54"/>
        <v>1373847001.11552</v>
      </c>
      <c r="AR34" s="308"/>
      <c r="AS34" s="308"/>
      <c r="AT34" s="308"/>
      <c r="AU34" s="308"/>
      <c r="AV34" s="308"/>
      <c r="AW34" s="308"/>
      <c r="AX34" s="308"/>
      <c r="AY34" s="308"/>
      <c r="AZ34" s="308"/>
      <c r="BA34" s="308"/>
      <c r="BB34" s="308"/>
      <c r="BC34" s="326">
        <f t="shared" ref="BC34:BC44" si="63">P34/P33-1</f>
        <v>3.2422218332259778E-3</v>
      </c>
      <c r="BD34" s="330">
        <f t="shared" si="55"/>
        <v>5.1677984446551806E-2</v>
      </c>
      <c r="BE34" s="308">
        <v>1220245452.6946456</v>
      </c>
      <c r="BF34" s="308">
        <f t="shared" si="56"/>
        <v>-65203917.694645643</v>
      </c>
      <c r="BG34" s="308">
        <v>1067096223.570033</v>
      </c>
      <c r="BH34" s="308">
        <f t="shared" si="57"/>
        <v>-169411925.57003295</v>
      </c>
      <c r="BI34" s="308">
        <v>1115346156.1662841</v>
      </c>
      <c r="BJ34" s="308">
        <f t="shared" si="58"/>
        <v>-45011533.166284084</v>
      </c>
      <c r="BK34" s="308">
        <v>1066506408.1391935</v>
      </c>
      <c r="BL34" s="308">
        <f t="shared" si="59"/>
        <v>59140950.860806465</v>
      </c>
      <c r="BM34" s="308">
        <v>1209610736</v>
      </c>
      <c r="BN34" s="308">
        <f t="shared" si="60"/>
        <v>0</v>
      </c>
      <c r="BO34" s="308">
        <v>1120306678</v>
      </c>
      <c r="BP34" s="308">
        <f t="shared" si="61"/>
        <v>0</v>
      </c>
      <c r="BQ34" s="308"/>
      <c r="BR34" s="330"/>
      <c r="BS34" s="330"/>
    </row>
    <row r="35" spans="1:71">
      <c r="A35" s="301" t="s">
        <v>45</v>
      </c>
      <c r="B35" s="308">
        <f t="shared" si="53"/>
        <v>726074</v>
      </c>
      <c r="C35" s="308">
        <f t="shared" si="53"/>
        <v>1225840883</v>
      </c>
      <c r="D35" s="308">
        <f t="shared" si="53"/>
        <v>1136870708</v>
      </c>
      <c r="E35" s="308">
        <f t="shared" si="53"/>
        <v>1034593870</v>
      </c>
      <c r="F35" s="308">
        <f t="shared" si="53"/>
        <v>1160091876</v>
      </c>
      <c r="G35" s="308">
        <f t="shared" si="53"/>
        <v>1223904932</v>
      </c>
      <c r="H35" s="308">
        <f t="shared" si="53"/>
        <v>1237820868</v>
      </c>
      <c r="I35" s="308">
        <f t="shared" si="53"/>
        <v>1278131576</v>
      </c>
      <c r="J35" s="308">
        <f t="shared" si="53"/>
        <v>1233144307</v>
      </c>
      <c r="K35" s="308">
        <f t="shared" si="53"/>
        <v>1198743068</v>
      </c>
      <c r="L35" s="308">
        <f t="shared" si="53"/>
        <v>1128723447</v>
      </c>
      <c r="M35" s="308">
        <f t="shared" si="53"/>
        <v>1185146443</v>
      </c>
      <c r="N35" s="308">
        <f t="shared" si="53"/>
        <v>1266829142</v>
      </c>
      <c r="O35" s="308">
        <f t="shared" si="53"/>
        <v>1215002124</v>
      </c>
      <c r="P35" s="308">
        <f>P51+P99+P147+P195+P259+P323</f>
        <v>1187428875</v>
      </c>
      <c r="Q35" s="308">
        <f t="shared" si="53"/>
        <v>1214311837</v>
      </c>
      <c r="R35" s="309">
        <f t="shared" si="62"/>
        <v>1220506909.6955485</v>
      </c>
      <c r="S35" s="308">
        <f t="shared" si="62"/>
        <v>1222814669.9378154</v>
      </c>
      <c r="T35" s="308">
        <f t="shared" si="62"/>
        <v>1222541158.5735414</v>
      </c>
      <c r="U35" s="308">
        <f t="shared" si="62"/>
        <v>1232003532.8410654</v>
      </c>
      <c r="V35" s="308">
        <f t="shared" si="62"/>
        <v>1247765291.93185</v>
      </c>
      <c r="W35" s="308">
        <f t="shared" si="62"/>
        <v>1259956109.8449144</v>
      </c>
      <c r="X35" s="308">
        <f t="shared" si="62"/>
        <v>1268058307.9829922</v>
      </c>
      <c r="Y35" s="308">
        <f t="shared" si="62"/>
        <v>1277298792.1031523</v>
      </c>
      <c r="Z35" s="308">
        <f t="shared" si="62"/>
        <v>1288501462.4710042</v>
      </c>
      <c r="AA35" s="308">
        <f t="shared" si="62"/>
        <v>1300078612.4486721</v>
      </c>
      <c r="AB35" s="308">
        <f t="shared" si="62"/>
        <v>1310727957.2315791</v>
      </c>
      <c r="AC35" s="308">
        <f t="shared" si="62"/>
        <v>1321159977.8453641</v>
      </c>
      <c r="AD35" s="308">
        <f t="shared" si="62"/>
        <v>1332107931.5115702</v>
      </c>
      <c r="AE35" s="308">
        <f t="shared" si="62"/>
        <v>1343386730.4310932</v>
      </c>
      <c r="AF35" s="308">
        <f t="shared" si="62"/>
        <v>1354561174.0189075</v>
      </c>
      <c r="AG35" s="308">
        <f t="shared" si="62"/>
        <v>1365670499.7743671</v>
      </c>
      <c r="AH35" s="308">
        <f t="shared" si="54"/>
        <v>1376926695.7087011</v>
      </c>
      <c r="AI35" s="308">
        <f t="shared" si="54"/>
        <v>1388397522.4670906</v>
      </c>
      <c r="AJ35" s="308">
        <f t="shared" si="54"/>
        <v>1399905411.728581</v>
      </c>
      <c r="AK35" s="308">
        <f t="shared" si="54"/>
        <v>1411436094.9751978</v>
      </c>
      <c r="AL35" s="308">
        <f t="shared" si="54"/>
        <v>1423036244.2650895</v>
      </c>
      <c r="AM35" s="308">
        <f t="shared" si="54"/>
        <v>1434720614.7793462</v>
      </c>
      <c r="AN35" s="308">
        <f t="shared" si="54"/>
        <v>1446591393.1215441</v>
      </c>
      <c r="AO35" s="308">
        <f t="shared" si="54"/>
        <v>1458553420.511409</v>
      </c>
      <c r="AP35" s="308">
        <f t="shared" si="54"/>
        <v>1470564666.3051848</v>
      </c>
      <c r="AQ35" s="308">
        <f t="shared" si="54"/>
        <v>1482657015.4896376</v>
      </c>
      <c r="AR35" s="308"/>
      <c r="AS35" s="308"/>
      <c r="AT35" s="308"/>
      <c r="AU35" s="308"/>
      <c r="AV35" s="308"/>
      <c r="AW35" s="308"/>
      <c r="AX35" s="308"/>
      <c r="AY35" s="308"/>
      <c r="AZ35" s="308"/>
      <c r="BA35" s="308"/>
      <c r="BB35" s="308"/>
      <c r="BC35" s="326">
        <f t="shared" si="63"/>
        <v>-1.8338015974752375E-2</v>
      </c>
      <c r="BD35" s="330">
        <f t="shared" si="55"/>
        <v>-4.0910819211325E-2</v>
      </c>
      <c r="BE35" s="308">
        <v>1321072999.5021179</v>
      </c>
      <c r="BF35" s="308">
        <f t="shared" si="56"/>
        <v>-192349552.50211787</v>
      </c>
      <c r="BG35" s="308">
        <v>1131850613.9342306</v>
      </c>
      <c r="BH35" s="308">
        <f t="shared" si="57"/>
        <v>53295829.065769434</v>
      </c>
      <c r="BI35" s="308">
        <v>1209199381.418026</v>
      </c>
      <c r="BJ35" s="308">
        <f t="shared" si="58"/>
        <v>57629760.58197403</v>
      </c>
      <c r="BK35" s="308">
        <v>1204615544.0326896</v>
      </c>
      <c r="BL35" s="308">
        <f t="shared" si="59"/>
        <v>10386579.967310429</v>
      </c>
      <c r="BM35" s="308">
        <v>1187428875</v>
      </c>
      <c r="BN35" s="308">
        <f t="shared" si="60"/>
        <v>0</v>
      </c>
      <c r="BO35" s="308">
        <v>1223893538.2618196</v>
      </c>
      <c r="BP35" s="308">
        <f t="shared" si="61"/>
        <v>9581701.2618196011</v>
      </c>
      <c r="BQ35" s="308"/>
      <c r="BR35" s="330"/>
      <c r="BS35" s="330"/>
    </row>
    <row r="36" spans="1:71">
      <c r="A36" s="301" t="s">
        <v>46</v>
      </c>
      <c r="B36" s="308">
        <f t="shared" si="53"/>
        <v>0</v>
      </c>
      <c r="C36" s="308">
        <f t="shared" si="53"/>
        <v>1069645214</v>
      </c>
      <c r="D36" s="308">
        <f t="shared" si="53"/>
        <v>1096194768</v>
      </c>
      <c r="E36" s="308">
        <f t="shared" si="53"/>
        <v>1085649989</v>
      </c>
      <c r="F36" s="308">
        <f t="shared" si="53"/>
        <v>1191902000</v>
      </c>
      <c r="G36" s="308">
        <f t="shared" si="53"/>
        <v>1180750065</v>
      </c>
      <c r="H36" s="308">
        <f t="shared" si="53"/>
        <v>1177649019</v>
      </c>
      <c r="I36" s="308">
        <f t="shared" si="53"/>
        <v>1173750542</v>
      </c>
      <c r="J36" s="308">
        <f t="shared" si="53"/>
        <v>1235423187</v>
      </c>
      <c r="K36" s="308">
        <f t="shared" si="53"/>
        <v>1249326721</v>
      </c>
      <c r="L36" s="308">
        <f t="shared" si="53"/>
        <v>638195944</v>
      </c>
      <c r="M36" s="308">
        <f t="shared" si="53"/>
        <v>1130685524</v>
      </c>
      <c r="N36" s="308">
        <f t="shared" si="53"/>
        <v>1132884643</v>
      </c>
      <c r="O36" s="308">
        <f t="shared" si="53"/>
        <v>1149481362</v>
      </c>
      <c r="P36" s="308">
        <f t="shared" si="53"/>
        <v>1192043647</v>
      </c>
      <c r="Q36" s="309">
        <f t="shared" si="53"/>
        <v>1071240796.4791321</v>
      </c>
      <c r="R36" s="309">
        <f t="shared" si="62"/>
        <v>1142174547.8037384</v>
      </c>
      <c r="S36" s="308">
        <f t="shared" si="62"/>
        <v>1148781930.8330483</v>
      </c>
      <c r="T36" s="308">
        <f t="shared" si="62"/>
        <v>1157667661.3066032</v>
      </c>
      <c r="U36" s="308">
        <f t="shared" si="62"/>
        <v>1165887995.7621701</v>
      </c>
      <c r="V36" s="308">
        <f t="shared" si="62"/>
        <v>1164652281.3230786</v>
      </c>
      <c r="W36" s="308">
        <f t="shared" si="62"/>
        <v>1186452488.6966562</v>
      </c>
      <c r="X36" s="308">
        <f t="shared" si="62"/>
        <v>1193630550.614038</v>
      </c>
      <c r="Y36" s="308">
        <f t="shared" si="62"/>
        <v>1202788164.2927377</v>
      </c>
      <c r="Z36" s="308">
        <f t="shared" si="62"/>
        <v>1212014538.5010095</v>
      </c>
      <c r="AA36" s="308">
        <f t="shared" si="62"/>
        <v>1221468855.9487135</v>
      </c>
      <c r="AB36" s="308">
        <f t="shared" si="62"/>
        <v>1233039164.3663797</v>
      </c>
      <c r="AC36" s="308">
        <f t="shared" si="62"/>
        <v>1242614837.28425</v>
      </c>
      <c r="AD36" s="308">
        <f t="shared" si="62"/>
        <v>1252720902.3417459</v>
      </c>
      <c r="AE36" s="308">
        <f t="shared" si="62"/>
        <v>1263002072.3167324</v>
      </c>
      <c r="AF36" s="308">
        <f t="shared" si="62"/>
        <v>1273376707.1672814</v>
      </c>
      <c r="AG36" s="308">
        <f t="shared" si="62"/>
        <v>1283957416.3433568</v>
      </c>
      <c r="AH36" s="308">
        <f t="shared" si="54"/>
        <v>1294389371.8865612</v>
      </c>
      <c r="AI36" s="308">
        <f t="shared" si="54"/>
        <v>1305043661.2306433</v>
      </c>
      <c r="AJ36" s="308">
        <f t="shared" si="54"/>
        <v>1315738506.4112446</v>
      </c>
      <c r="AK36" s="308">
        <f t="shared" si="54"/>
        <v>1326493375.0532529</v>
      </c>
      <c r="AL36" s="308">
        <f t="shared" si="54"/>
        <v>1337322495.8645701</v>
      </c>
      <c r="AM36" s="308">
        <f t="shared" si="54"/>
        <v>1348185775.8360186</v>
      </c>
      <c r="AN36" s="308">
        <f t="shared" si="54"/>
        <v>1359238586.7006841</v>
      </c>
      <c r="AO36" s="308">
        <f t="shared" si="54"/>
        <v>1370382596.4767375</v>
      </c>
      <c r="AP36" s="308">
        <f t="shared" si="54"/>
        <v>1381573707.1382911</v>
      </c>
      <c r="AQ36" s="308">
        <f t="shared" si="54"/>
        <v>1392836402.72316</v>
      </c>
      <c r="AR36" s="308"/>
      <c r="AS36" s="308"/>
      <c r="AT36" s="308"/>
      <c r="AU36" s="308"/>
      <c r="AV36" s="308"/>
      <c r="AW36" s="308"/>
      <c r="AX36" s="308"/>
      <c r="AY36" s="308"/>
      <c r="AZ36" s="308"/>
      <c r="BA36" s="308"/>
      <c r="BB36" s="308"/>
      <c r="BC36" s="326">
        <f t="shared" si="63"/>
        <v>3.8863565617772711E-3</v>
      </c>
      <c r="BD36" s="330">
        <f t="shared" si="55"/>
        <v>1.4649963791591336E-2</v>
      </c>
      <c r="BE36" s="308">
        <v>614842944.90925634</v>
      </c>
      <c r="BF36" s="308">
        <f t="shared" si="56"/>
        <v>23352999.090743661</v>
      </c>
      <c r="BG36" s="308">
        <v>1100750246.759553</v>
      </c>
      <c r="BH36" s="308">
        <f t="shared" si="57"/>
        <v>29935277.240447044</v>
      </c>
      <c r="BI36" s="308">
        <v>1209396231.3951404</v>
      </c>
      <c r="BJ36" s="308">
        <f t="shared" si="58"/>
        <v>-76511588.395140409</v>
      </c>
      <c r="BK36" s="308">
        <v>1074942209.665565</v>
      </c>
      <c r="BL36" s="308">
        <f t="shared" si="59"/>
        <v>74539152.334434986</v>
      </c>
      <c r="BM36" s="308">
        <v>1192043647</v>
      </c>
      <c r="BN36" s="308">
        <f t="shared" si="60"/>
        <v>0</v>
      </c>
      <c r="BO36" s="308">
        <v>1072588513.2927182</v>
      </c>
      <c r="BP36" s="308">
        <f t="shared" si="61"/>
        <v>1347716.8135861158</v>
      </c>
      <c r="BQ36" s="308"/>
      <c r="BR36" s="330"/>
      <c r="BS36" s="330"/>
    </row>
    <row r="37" spans="1:71">
      <c r="A37" s="301" t="s">
        <v>47</v>
      </c>
      <c r="B37" s="308">
        <f t="shared" si="53"/>
        <v>0</v>
      </c>
      <c r="C37" s="308">
        <f t="shared" si="53"/>
        <v>1140292912</v>
      </c>
      <c r="D37" s="308">
        <f t="shared" si="53"/>
        <v>1131920310</v>
      </c>
      <c r="E37" s="308">
        <f t="shared" si="53"/>
        <v>1154104238</v>
      </c>
      <c r="F37" s="308">
        <f t="shared" si="53"/>
        <v>1213321627</v>
      </c>
      <c r="G37" s="308">
        <f t="shared" si="53"/>
        <v>1215880986</v>
      </c>
      <c r="H37" s="308">
        <f t="shared" si="53"/>
        <v>1265704936</v>
      </c>
      <c r="I37" s="308">
        <f t="shared" si="53"/>
        <v>1265159383</v>
      </c>
      <c r="J37" s="308">
        <f t="shared" si="53"/>
        <v>1292919386</v>
      </c>
      <c r="K37" s="308">
        <f t="shared" si="53"/>
        <v>1284978796</v>
      </c>
      <c r="L37" s="308">
        <f t="shared" si="53"/>
        <v>839783910</v>
      </c>
      <c r="M37" s="308">
        <f t="shared" si="53"/>
        <v>1257888244</v>
      </c>
      <c r="N37" s="308">
        <f t="shared" si="53"/>
        <v>1229187862</v>
      </c>
      <c r="O37" s="308">
        <f t="shared" si="53"/>
        <v>1269149591</v>
      </c>
      <c r="P37" s="308">
        <f t="shared" si="53"/>
        <v>1265620270</v>
      </c>
      <c r="Q37" s="309">
        <f t="shared" si="53"/>
        <v>1199624797.9221401</v>
      </c>
      <c r="R37" s="309">
        <f t="shared" si="62"/>
        <v>1250181996.2967157</v>
      </c>
      <c r="S37" s="308">
        <f t="shared" si="62"/>
        <v>1244282352.1914184</v>
      </c>
      <c r="T37" s="308">
        <f t="shared" si="62"/>
        <v>1255991767.9444938</v>
      </c>
      <c r="U37" s="308">
        <f t="shared" si="62"/>
        <v>1262431668.4363115</v>
      </c>
      <c r="V37" s="308">
        <f t="shared" si="62"/>
        <v>1268484302.4661655</v>
      </c>
      <c r="W37" s="308">
        <f t="shared" si="62"/>
        <v>1287915776.4416435</v>
      </c>
      <c r="X37" s="308">
        <f t="shared" si="62"/>
        <v>1295509807.8221834</v>
      </c>
      <c r="Y37" s="308">
        <f t="shared" si="62"/>
        <v>1305974920.9591863</v>
      </c>
      <c r="Z37" s="308">
        <f t="shared" si="62"/>
        <v>1316198316.4450638</v>
      </c>
      <c r="AA37" s="308">
        <f t="shared" si="62"/>
        <v>1327215709.4735782</v>
      </c>
      <c r="AB37" s="308">
        <f t="shared" si="62"/>
        <v>1339175782.4811568</v>
      </c>
      <c r="AC37" s="308">
        <f t="shared" si="62"/>
        <v>1349710019.4834218</v>
      </c>
      <c r="AD37" s="308">
        <f t="shared" si="62"/>
        <v>1360887629.1303775</v>
      </c>
      <c r="AE37" s="308">
        <f t="shared" si="62"/>
        <v>1372190931.3783607</v>
      </c>
      <c r="AF37" s="308">
        <f t="shared" si="62"/>
        <v>1383587769.687156</v>
      </c>
      <c r="AG37" s="308">
        <f t="shared" si="62"/>
        <v>1395080936.3388209</v>
      </c>
      <c r="AH37" s="308">
        <f t="shared" si="54"/>
        <v>1406534476.8750474</v>
      </c>
      <c r="AI37" s="308">
        <f t="shared" si="54"/>
        <v>1418225081.3491566</v>
      </c>
      <c r="AJ37" s="308">
        <f t="shared" si="54"/>
        <v>1429946178.5193408</v>
      </c>
      <c r="AK37" s="308">
        <f t="shared" si="54"/>
        <v>1441727175.0745914</v>
      </c>
      <c r="AL37" s="308">
        <f t="shared" si="54"/>
        <v>1453583138.3733068</v>
      </c>
      <c r="AM37" s="308">
        <f t="shared" si="54"/>
        <v>1465496030.9616468</v>
      </c>
      <c r="AN37" s="308">
        <f t="shared" si="54"/>
        <v>1477608114.2110608</v>
      </c>
      <c r="AO37" s="308">
        <f t="shared" si="54"/>
        <v>1489816462.1711528</v>
      </c>
      <c r="AP37" s="308">
        <f t="shared" si="54"/>
        <v>1502077973.9979303</v>
      </c>
      <c r="AQ37" s="308">
        <f t="shared" si="54"/>
        <v>1514419455.7271221</v>
      </c>
      <c r="AR37" s="308"/>
      <c r="AS37" s="308"/>
      <c r="AT37" s="308"/>
      <c r="AU37" s="308"/>
      <c r="AV37" s="308"/>
      <c r="AW37" s="308"/>
      <c r="AX37" s="308"/>
      <c r="AY37" s="308"/>
      <c r="AZ37" s="308"/>
      <c r="BA37" s="308"/>
      <c r="BB37" s="308"/>
      <c r="BC37" s="326">
        <f t="shared" si="63"/>
        <v>6.1723094775236964E-2</v>
      </c>
      <c r="BD37" s="330">
        <f t="shared" si="55"/>
        <v>3.2510676549456496E-2</v>
      </c>
      <c r="BE37" s="308">
        <v>643411674.78233302</v>
      </c>
      <c r="BF37" s="308">
        <f t="shared" si="56"/>
        <v>196372235.21766698</v>
      </c>
      <c r="BG37" s="308">
        <v>1159612639.6137335</v>
      </c>
      <c r="BH37" s="308">
        <f t="shared" si="57"/>
        <v>98275604.38626647</v>
      </c>
      <c r="BI37" s="308">
        <v>1225610492.9001863</v>
      </c>
      <c r="BJ37" s="308">
        <f t="shared" si="58"/>
        <v>3577369.0998136997</v>
      </c>
      <c r="BK37" s="308">
        <v>1198889772.4756212</v>
      </c>
      <c r="BL37" s="308">
        <f t="shared" si="59"/>
        <v>70259818.524378777</v>
      </c>
      <c r="BM37" s="308">
        <v>1265620270</v>
      </c>
      <c r="BN37" s="308">
        <f t="shared" si="60"/>
        <v>0</v>
      </c>
      <c r="BO37" s="308">
        <v>1200328175.7694454</v>
      </c>
      <c r="BP37" s="308">
        <f t="shared" si="61"/>
        <v>703377.84730529785</v>
      </c>
      <c r="BQ37" s="308"/>
      <c r="BR37" s="330"/>
      <c r="BS37" s="330"/>
    </row>
    <row r="38" spans="1:71">
      <c r="A38" s="301" t="s">
        <v>48</v>
      </c>
      <c r="B38" s="308">
        <f t="shared" si="53"/>
        <v>90996</v>
      </c>
      <c r="C38" s="308">
        <f t="shared" si="53"/>
        <v>1164807744</v>
      </c>
      <c r="D38" s="308">
        <f t="shared" si="53"/>
        <v>1085594445</v>
      </c>
      <c r="E38" s="308">
        <f t="shared" si="53"/>
        <v>1114930158</v>
      </c>
      <c r="F38" s="308">
        <f t="shared" si="53"/>
        <v>1207547567</v>
      </c>
      <c r="G38" s="308">
        <f t="shared" si="53"/>
        <v>1260025630</v>
      </c>
      <c r="H38" s="308">
        <f t="shared" si="53"/>
        <v>1295330408</v>
      </c>
      <c r="I38" s="308">
        <f t="shared" si="53"/>
        <v>1253129887</v>
      </c>
      <c r="J38" s="308">
        <f t="shared" si="53"/>
        <v>1254063712</v>
      </c>
      <c r="K38" s="308">
        <f t="shared" si="53"/>
        <v>1241635700</v>
      </c>
      <c r="L38" s="308">
        <f t="shared" si="53"/>
        <v>1071106093</v>
      </c>
      <c r="M38" s="308">
        <f t="shared" si="53"/>
        <v>1263970706</v>
      </c>
      <c r="N38" s="308">
        <f t="shared" si="53"/>
        <v>1289620439</v>
      </c>
      <c r="O38" s="308">
        <f t="shared" si="53"/>
        <v>1281223297</v>
      </c>
      <c r="P38" s="308">
        <f t="shared" si="53"/>
        <v>1210964535</v>
      </c>
      <c r="Q38" s="309">
        <f t="shared" si="53"/>
        <v>1252851980.6102257</v>
      </c>
      <c r="R38" s="309">
        <f t="shared" si="62"/>
        <v>1266585039.1387002</v>
      </c>
      <c r="S38" s="308">
        <f t="shared" si="62"/>
        <v>1262257113.0920465</v>
      </c>
      <c r="T38" s="308">
        <f t="shared" si="62"/>
        <v>1265073478.1152022</v>
      </c>
      <c r="U38" s="308">
        <f t="shared" si="62"/>
        <v>1269759849.3875971</v>
      </c>
      <c r="V38" s="308">
        <f t="shared" si="62"/>
        <v>1289383348.6836097</v>
      </c>
      <c r="W38" s="308">
        <f t="shared" si="62"/>
        <v>1302477724.093111</v>
      </c>
      <c r="X38" s="308">
        <f t="shared" si="62"/>
        <v>1309852782.6623764</v>
      </c>
      <c r="Y38" s="308">
        <f t="shared" si="62"/>
        <v>1319573508.3914151</v>
      </c>
      <c r="Z38" s="308">
        <f t="shared" si="62"/>
        <v>1330722808.3963163</v>
      </c>
      <c r="AA38" s="308">
        <f t="shared" si="62"/>
        <v>1343215013.1425607</v>
      </c>
      <c r="AB38" s="308">
        <f t="shared" si="62"/>
        <v>1354170856.8030429</v>
      </c>
      <c r="AC38" s="308">
        <f t="shared" si="62"/>
        <v>1364793684.6354852</v>
      </c>
      <c r="AD38" s="308">
        <f t="shared" si="62"/>
        <v>1376122916.1478453</v>
      </c>
      <c r="AE38" s="308">
        <f t="shared" si="62"/>
        <v>1387761511.2237189</v>
      </c>
      <c r="AF38" s="308">
        <f t="shared" si="62"/>
        <v>1399372770.3170896</v>
      </c>
      <c r="AG38" s="308">
        <f t="shared" si="62"/>
        <v>1410822012.8549139</v>
      </c>
      <c r="AH38" s="308">
        <f t="shared" si="54"/>
        <v>1422428355.1494033</v>
      </c>
      <c r="AI38" s="308">
        <f t="shared" si="54"/>
        <v>1434284848.5561996</v>
      </c>
      <c r="AJ38" s="308">
        <f t="shared" si="54"/>
        <v>1446174876.4174783</v>
      </c>
      <c r="AK38" s="308">
        <f t="shared" si="54"/>
        <v>1458090745.6504028</v>
      </c>
      <c r="AL38" s="308">
        <f t="shared" si="54"/>
        <v>1470065285.6946855</v>
      </c>
      <c r="AM38" s="308">
        <f t="shared" si="54"/>
        <v>1482130087.4306393</v>
      </c>
      <c r="AN38" s="308">
        <f t="shared" si="54"/>
        <v>1494393724.6411512</v>
      </c>
      <c r="AO38" s="308">
        <f t="shared" si="54"/>
        <v>1506750670.8583765</v>
      </c>
      <c r="AP38" s="308">
        <f t="shared" si="54"/>
        <v>1519156689.3937998</v>
      </c>
      <c r="AQ38" s="308">
        <f t="shared" si="54"/>
        <v>1531644682.1918073</v>
      </c>
      <c r="AR38" s="308"/>
      <c r="AS38" s="308"/>
      <c r="AT38" s="308"/>
      <c r="AU38" s="308"/>
      <c r="AV38" s="308"/>
      <c r="AW38" s="308"/>
      <c r="AX38" s="308"/>
      <c r="AY38" s="308"/>
      <c r="AZ38" s="308"/>
      <c r="BA38" s="308"/>
      <c r="BB38" s="308"/>
      <c r="BC38" s="326">
        <f t="shared" si="63"/>
        <v>-4.318493966598691E-2</v>
      </c>
      <c r="BD38" s="330">
        <f t="shared" si="55"/>
        <v>-6.5113282529170036E-3</v>
      </c>
      <c r="BE38" s="308">
        <v>964112325.96950042</v>
      </c>
      <c r="BF38" s="308">
        <f t="shared" si="56"/>
        <v>106993767.03049958</v>
      </c>
      <c r="BG38" s="308">
        <v>1226605537.0986028</v>
      </c>
      <c r="BH38" s="308">
        <f t="shared" si="57"/>
        <v>37365168.901397228</v>
      </c>
      <c r="BI38" s="308">
        <v>1184892923.6102805</v>
      </c>
      <c r="BJ38" s="308">
        <f t="shared" si="58"/>
        <v>104727515.38971949</v>
      </c>
      <c r="BK38" s="308">
        <v>1298626283.0135245</v>
      </c>
      <c r="BL38" s="308">
        <f t="shared" si="59"/>
        <v>-17402986.013524532</v>
      </c>
      <c r="BM38" s="308">
        <v>1210964535</v>
      </c>
      <c r="BN38" s="308">
        <f t="shared" si="60"/>
        <v>0</v>
      </c>
      <c r="BO38" s="308">
        <v>1253493919.2517786</v>
      </c>
      <c r="BP38" s="308">
        <f t="shared" si="61"/>
        <v>641938.64155292511</v>
      </c>
      <c r="BQ38" s="308"/>
      <c r="BR38" s="330"/>
      <c r="BS38" s="330"/>
    </row>
    <row r="39" spans="1:71">
      <c r="A39" s="301" t="s">
        <v>49</v>
      </c>
      <c r="B39" s="308">
        <f t="shared" si="53"/>
        <v>1115510579</v>
      </c>
      <c r="C39" s="308">
        <f t="shared" si="53"/>
        <v>1126407671</v>
      </c>
      <c r="D39" s="308">
        <f t="shared" si="53"/>
        <v>1057188151</v>
      </c>
      <c r="E39" s="308">
        <f t="shared" si="53"/>
        <v>1136472663</v>
      </c>
      <c r="F39" s="308">
        <f t="shared" si="53"/>
        <v>1259819720</v>
      </c>
      <c r="G39" s="308">
        <f t="shared" si="53"/>
        <v>1259372519</v>
      </c>
      <c r="H39" s="308">
        <f t="shared" si="53"/>
        <v>1255001875</v>
      </c>
      <c r="I39" s="308">
        <f t="shared" si="53"/>
        <v>1265301246</v>
      </c>
      <c r="J39" s="308">
        <f t="shared" si="53"/>
        <v>1358798706</v>
      </c>
      <c r="K39" s="308">
        <f t="shared" si="53"/>
        <v>1322257918</v>
      </c>
      <c r="L39" s="308">
        <f t="shared" si="53"/>
        <v>1170632814</v>
      </c>
      <c r="M39" s="308">
        <f t="shared" si="53"/>
        <v>1274480273</v>
      </c>
      <c r="N39" s="308">
        <f t="shared" si="53"/>
        <v>1209337395</v>
      </c>
      <c r="O39" s="308">
        <f t="shared" si="53"/>
        <v>1276548415</v>
      </c>
      <c r="P39" s="308">
        <f t="shared" si="53"/>
        <v>1325929257</v>
      </c>
      <c r="Q39" s="309">
        <f t="shared" si="53"/>
        <v>1285348265.5578659</v>
      </c>
      <c r="R39" s="309">
        <f t="shared" si="62"/>
        <v>1284145585.8898952</v>
      </c>
      <c r="S39" s="308">
        <f t="shared" si="62"/>
        <v>1279367541.1089792</v>
      </c>
      <c r="T39" s="308">
        <f t="shared" si="62"/>
        <v>1302053980.6603227</v>
      </c>
      <c r="U39" s="308">
        <f t="shared" si="62"/>
        <v>1315049408.9291015</v>
      </c>
      <c r="V39" s="308">
        <f t="shared" si="62"/>
        <v>1319880649.9195385</v>
      </c>
      <c r="W39" s="308">
        <f t="shared" si="62"/>
        <v>1332700084.7126627</v>
      </c>
      <c r="X39" s="308">
        <f t="shared" si="62"/>
        <v>1342669876.3621159</v>
      </c>
      <c r="Y39" s="308">
        <f t="shared" si="62"/>
        <v>1355610332.8080797</v>
      </c>
      <c r="Z39" s="308">
        <f t="shared" si="62"/>
        <v>1366565861.467556</v>
      </c>
      <c r="AA39" s="308">
        <f t="shared" si="62"/>
        <v>1377121329.2359838</v>
      </c>
      <c r="AB39" s="308">
        <f t="shared" si="62"/>
        <v>1388776003.9107642</v>
      </c>
      <c r="AC39" s="308">
        <f t="shared" si="62"/>
        <v>1400296883.3787818</v>
      </c>
      <c r="AD39" s="308">
        <f t="shared" si="62"/>
        <v>1412176446.5191376</v>
      </c>
      <c r="AE39" s="308">
        <f t="shared" si="62"/>
        <v>1423818169.9798207</v>
      </c>
      <c r="AF39" s="308">
        <f t="shared" si="62"/>
        <v>1435473058.6208642</v>
      </c>
      <c r="AG39" s="308">
        <f t="shared" si="62"/>
        <v>1447371867.6830699</v>
      </c>
      <c r="AH39" s="308">
        <f t="shared" si="54"/>
        <v>1459376590.4876339</v>
      </c>
      <c r="AI39" s="308">
        <f t="shared" si="54"/>
        <v>1471529012.081588</v>
      </c>
      <c r="AJ39" s="308">
        <f t="shared" si="54"/>
        <v>1483662886.506274</v>
      </c>
      <c r="AK39" s="308">
        <f t="shared" si="54"/>
        <v>1495871969.7323174</v>
      </c>
      <c r="AL39" s="308">
        <f t="shared" si="54"/>
        <v>1508190883.759542</v>
      </c>
      <c r="AM39" s="308">
        <f t="shared" si="54"/>
        <v>1520578508.2568426</v>
      </c>
      <c r="AN39" s="308">
        <f t="shared" si="54"/>
        <v>1533149382.5463872</v>
      </c>
      <c r="AO39" s="308">
        <f t="shared" si="54"/>
        <v>1545815872.3141968</v>
      </c>
      <c r="AP39" s="308">
        <f t="shared" si="54"/>
        <v>1558544942.9437208</v>
      </c>
      <c r="AQ39" s="308">
        <f t="shared" si="54"/>
        <v>1571362119.0290439</v>
      </c>
      <c r="AR39" s="308"/>
      <c r="AS39" s="308"/>
      <c r="AT39" s="308"/>
      <c r="AU39" s="308"/>
      <c r="AV39" s="308"/>
      <c r="AW39" s="308"/>
      <c r="AX39" s="308"/>
      <c r="AY39" s="308"/>
      <c r="AZ39" s="308"/>
      <c r="BA39" s="308"/>
      <c r="BB39" s="308"/>
      <c r="BC39" s="326">
        <f t="shared" si="63"/>
        <v>9.4936489614041442E-2</v>
      </c>
      <c r="BD39" s="330">
        <f t="shared" si="55"/>
        <v>5.5576731752349451E-2</v>
      </c>
      <c r="BE39" s="308">
        <v>1119877347.1394916</v>
      </c>
      <c r="BF39" s="308">
        <f t="shared" si="56"/>
        <v>50755466.860508442</v>
      </c>
      <c r="BG39" s="308">
        <v>1253563470.9153345</v>
      </c>
      <c r="BH39" s="308">
        <f t="shared" si="57"/>
        <v>20916802.084665537</v>
      </c>
      <c r="BI39" s="308">
        <v>1238897856.4296477</v>
      </c>
      <c r="BJ39" s="308">
        <f t="shared" si="58"/>
        <v>-29560461.429647684</v>
      </c>
      <c r="BK39" s="308">
        <v>1219708503.1824105</v>
      </c>
      <c r="BL39" s="308">
        <f t="shared" si="59"/>
        <v>56839911.817589521</v>
      </c>
      <c r="BM39" s="309">
        <v>1325929257</v>
      </c>
      <c r="BN39" s="308">
        <f t="shared" si="60"/>
        <v>0</v>
      </c>
      <c r="BO39" s="308">
        <v>1286089595.9537003</v>
      </c>
      <c r="BP39" s="308">
        <f t="shared" si="61"/>
        <v>741330.39583444595</v>
      </c>
      <c r="BQ39" s="308"/>
      <c r="BR39" s="330"/>
      <c r="BS39" s="330"/>
    </row>
    <row r="40" spans="1:71">
      <c r="A40" s="301" t="s">
        <v>50</v>
      </c>
      <c r="B40" s="308">
        <f t="shared" si="53"/>
        <v>1115107123</v>
      </c>
      <c r="C40" s="308">
        <f t="shared" si="53"/>
        <v>1165825582</v>
      </c>
      <c r="D40" s="308">
        <f t="shared" si="53"/>
        <v>1096087508</v>
      </c>
      <c r="E40" s="308">
        <f t="shared" si="53"/>
        <v>1118799501</v>
      </c>
      <c r="F40" s="308">
        <f t="shared" si="53"/>
        <v>1206229071</v>
      </c>
      <c r="G40" s="308">
        <f t="shared" si="53"/>
        <v>1240476856</v>
      </c>
      <c r="H40" s="308">
        <f t="shared" si="53"/>
        <v>1322077811</v>
      </c>
      <c r="I40" s="308">
        <f t="shared" si="53"/>
        <v>1314568087</v>
      </c>
      <c r="J40" s="308">
        <f t="shared" si="53"/>
        <v>1349527344</v>
      </c>
      <c r="K40" s="308">
        <f t="shared" si="53"/>
        <v>1251992948</v>
      </c>
      <c r="L40" s="308">
        <f t="shared" si="53"/>
        <v>1126569822</v>
      </c>
      <c r="M40" s="308">
        <f t="shared" si="53"/>
        <v>1214931088</v>
      </c>
      <c r="N40" s="308">
        <f t="shared" si="53"/>
        <v>1268928960</v>
      </c>
      <c r="O40" s="308">
        <f t="shared" si="53"/>
        <v>1273370657</v>
      </c>
      <c r="P40" s="308">
        <f t="shared" si="53"/>
        <v>1317843752</v>
      </c>
      <c r="Q40" s="309">
        <f t="shared" si="53"/>
        <v>1273328452.877435</v>
      </c>
      <c r="R40" s="309">
        <f t="shared" si="62"/>
        <v>1288243718.5832779</v>
      </c>
      <c r="S40" s="308">
        <f t="shared" si="62"/>
        <v>1336108418.4820881</v>
      </c>
      <c r="T40" s="308">
        <f t="shared" si="62"/>
        <v>1347438877.0666473</v>
      </c>
      <c r="U40" s="308">
        <f t="shared" si="62"/>
        <v>1360621818.0599415</v>
      </c>
      <c r="V40" s="308">
        <f t="shared" si="62"/>
        <v>1366163947.9984949</v>
      </c>
      <c r="W40" s="308">
        <f t="shared" si="62"/>
        <v>1380490479.8312528</v>
      </c>
      <c r="X40" s="308">
        <f t="shared" si="62"/>
        <v>1390947785.1033142</v>
      </c>
      <c r="Y40" s="308">
        <f t="shared" si="62"/>
        <v>1402153225.251914</v>
      </c>
      <c r="Z40" s="308">
        <f t="shared" si="62"/>
        <v>1413346903.6116624</v>
      </c>
      <c r="AA40" s="308">
        <f t="shared" si="62"/>
        <v>1424149062.7165127</v>
      </c>
      <c r="AB40" s="308">
        <f t="shared" si="62"/>
        <v>1435953892.5006456</v>
      </c>
      <c r="AC40" s="308">
        <f t="shared" si="62"/>
        <v>1447350676.5759704</v>
      </c>
      <c r="AD40" s="308">
        <f t="shared" si="62"/>
        <v>1458981949.6869726</v>
      </c>
      <c r="AE40" s="308">
        <f t="shared" si="62"/>
        <v>1470679377.3095446</v>
      </c>
      <c r="AF40" s="308">
        <f t="shared" si="62"/>
        <v>1482348205.1740086</v>
      </c>
      <c r="AG40" s="308">
        <f t="shared" si="62"/>
        <v>1494214054.4389288</v>
      </c>
      <c r="AH40" s="308">
        <f t="shared" si="54"/>
        <v>1506150144.9541557</v>
      </c>
      <c r="AI40" s="308">
        <f t="shared" si="54"/>
        <v>1518246832.2112145</v>
      </c>
      <c r="AJ40" s="308">
        <f t="shared" si="54"/>
        <v>1530362002.1108148</v>
      </c>
      <c r="AK40" s="308">
        <f t="shared" si="54"/>
        <v>1542536287.5310116</v>
      </c>
      <c r="AL40" s="308">
        <f t="shared" si="54"/>
        <v>1554810327.968473</v>
      </c>
      <c r="AM40" s="308">
        <f t="shared" si="54"/>
        <v>1567150074.3543444</v>
      </c>
      <c r="AN40" s="308">
        <f t="shared" si="54"/>
        <v>1579680715.7882183</v>
      </c>
      <c r="AO40" s="308">
        <f t="shared" si="54"/>
        <v>1592310469.2664154</v>
      </c>
      <c r="AP40" s="308">
        <f t="shared" si="54"/>
        <v>1604997600.4524832</v>
      </c>
      <c r="AQ40" s="308">
        <f t="shared" si="54"/>
        <v>1617770780.6250021</v>
      </c>
      <c r="AR40" s="308"/>
      <c r="AS40" s="308"/>
      <c r="AT40" s="308"/>
      <c r="AU40" s="308"/>
      <c r="AV40" s="308"/>
      <c r="AW40" s="308"/>
      <c r="AX40" s="308"/>
      <c r="AY40" s="308"/>
      <c r="AZ40" s="308"/>
      <c r="BA40" s="308"/>
      <c r="BB40" s="308"/>
      <c r="BC40" s="326">
        <f t="shared" si="63"/>
        <v>-6.0979912444906192E-3</v>
      </c>
      <c r="BD40" s="330">
        <f t="shared" si="55"/>
        <v>3.5003511938129783E-3</v>
      </c>
      <c r="BE40" s="308">
        <v>1183331172.614275</v>
      </c>
      <c r="BF40" s="308">
        <f t="shared" si="56"/>
        <v>-56761350.614274979</v>
      </c>
      <c r="BG40" s="308">
        <v>1284111508.8419201</v>
      </c>
      <c r="BH40" s="308">
        <f t="shared" si="57"/>
        <v>-69180420.841920137</v>
      </c>
      <c r="BI40" s="308">
        <v>1224729721.1033225</v>
      </c>
      <c r="BJ40" s="308">
        <f t="shared" si="58"/>
        <v>44199238.896677494</v>
      </c>
      <c r="BK40" s="308">
        <v>1280336687.6639814</v>
      </c>
      <c r="BL40" s="308">
        <f t="shared" si="59"/>
        <v>-6966030.6639814377</v>
      </c>
      <c r="BM40" s="309">
        <v>1317843752</v>
      </c>
      <c r="BN40" s="308">
        <f t="shared" si="60"/>
        <v>0</v>
      </c>
      <c r="BO40" s="308">
        <v>1277406132.0480795</v>
      </c>
      <c r="BP40" s="308">
        <f t="shared" si="61"/>
        <v>4077679.1706445217</v>
      </c>
      <c r="BQ40" s="308"/>
      <c r="BR40" s="330"/>
      <c r="BS40" s="330"/>
    </row>
    <row r="41" spans="1:71">
      <c r="A41" s="301" t="s">
        <v>51</v>
      </c>
      <c r="B41" s="308">
        <f t="shared" si="53"/>
        <v>1108025412</v>
      </c>
      <c r="C41" s="308">
        <f t="shared" si="53"/>
        <v>1079467799</v>
      </c>
      <c r="D41" s="308">
        <f t="shared" si="53"/>
        <v>985889758</v>
      </c>
      <c r="E41" s="308">
        <f t="shared" si="53"/>
        <v>1095829042</v>
      </c>
      <c r="F41" s="308">
        <f t="shared" si="53"/>
        <v>1167803409</v>
      </c>
      <c r="G41" s="308">
        <f t="shared" si="53"/>
        <v>1203081793</v>
      </c>
      <c r="H41" s="308">
        <f t="shared" si="53"/>
        <v>1239052192</v>
      </c>
      <c r="I41" s="308">
        <f t="shared" si="53"/>
        <v>1221924491</v>
      </c>
      <c r="J41" s="308">
        <f t="shared" si="53"/>
        <v>1212847610</v>
      </c>
      <c r="K41" s="308">
        <f t="shared" si="53"/>
        <v>1192047218</v>
      </c>
      <c r="L41" s="308">
        <f t="shared" si="53"/>
        <v>1119849242</v>
      </c>
      <c r="M41" s="308">
        <f t="shared" si="53"/>
        <v>1157746336</v>
      </c>
      <c r="N41" s="308">
        <f t="shared" si="53"/>
        <v>1125059424</v>
      </c>
      <c r="O41" s="308">
        <f t="shared" si="53"/>
        <v>1178003954</v>
      </c>
      <c r="P41" s="308">
        <f t="shared" si="53"/>
        <v>1213706725</v>
      </c>
      <c r="Q41" s="309">
        <f t="shared" si="53"/>
        <v>1188038052.4275801</v>
      </c>
      <c r="R41" s="309">
        <f t="shared" si="62"/>
        <v>1179640870.5238581</v>
      </c>
      <c r="S41" s="308">
        <f t="shared" si="62"/>
        <v>1179251184.8470881</v>
      </c>
      <c r="T41" s="308">
        <f t="shared" si="62"/>
        <v>1198942954.0626917</v>
      </c>
      <c r="U41" s="308">
        <f t="shared" si="62"/>
        <v>1210098689.8050258</v>
      </c>
      <c r="V41" s="308">
        <f t="shared" si="62"/>
        <v>1215783483.8257196</v>
      </c>
      <c r="W41" s="308">
        <f t="shared" si="62"/>
        <v>1226757940.7978721</v>
      </c>
      <c r="X41" s="308">
        <f t="shared" si="62"/>
        <v>1236434443.6210248</v>
      </c>
      <c r="Y41" s="308">
        <f t="shared" si="62"/>
        <v>1248121779.6961465</v>
      </c>
      <c r="Z41" s="308">
        <f t="shared" si="62"/>
        <v>1258181315.5945761</v>
      </c>
      <c r="AA41" s="308">
        <f t="shared" si="62"/>
        <v>1268033544.5193257</v>
      </c>
      <c r="AB41" s="308">
        <f t="shared" si="62"/>
        <v>1278667567.8402691</v>
      </c>
      <c r="AC41" s="308">
        <f t="shared" si="62"/>
        <v>1289334333.0386817</v>
      </c>
      <c r="AD41" s="308">
        <f t="shared" si="62"/>
        <v>1300243396.3963418</v>
      </c>
      <c r="AE41" s="308">
        <f t="shared" si="62"/>
        <v>1310973196.6772788</v>
      </c>
      <c r="AF41" s="308">
        <f t="shared" si="62"/>
        <v>1321716554.6623156</v>
      </c>
      <c r="AG41" s="308">
        <f t="shared" si="62"/>
        <v>1332660584.2791233</v>
      </c>
      <c r="AH41" s="308">
        <f t="shared" si="54"/>
        <v>1343722485.268769</v>
      </c>
      <c r="AI41" s="308">
        <f t="shared" si="54"/>
        <v>1354912458.2472177</v>
      </c>
      <c r="AJ41" s="308">
        <f t="shared" si="54"/>
        <v>1366087702.9430099</v>
      </c>
      <c r="AK41" s="308">
        <f t="shared" si="54"/>
        <v>1377329325.7412672</v>
      </c>
      <c r="AL41" s="308">
        <f t="shared" si="54"/>
        <v>1388669430.9253726</v>
      </c>
      <c r="AM41" s="308">
        <f t="shared" si="54"/>
        <v>1400073837.0261409</v>
      </c>
      <c r="AN41" s="308">
        <f t="shared" si="54"/>
        <v>1411650170.1568353</v>
      </c>
      <c r="AO41" s="308">
        <f t="shared" si="54"/>
        <v>1423315259.1960285</v>
      </c>
      <c r="AP41" s="308">
        <f t="shared" si="54"/>
        <v>1435035517.504431</v>
      </c>
      <c r="AQ41" s="308">
        <f t="shared" si="54"/>
        <v>1446835946.159035</v>
      </c>
      <c r="AR41" s="308"/>
      <c r="AS41" s="308"/>
      <c r="AT41" s="308"/>
      <c r="AU41" s="308"/>
      <c r="AV41" s="308"/>
      <c r="AW41" s="308"/>
      <c r="AX41" s="308"/>
      <c r="AY41" s="308"/>
      <c r="AZ41" s="308"/>
      <c r="BA41" s="308"/>
      <c r="BB41" s="308"/>
      <c r="BC41" s="326">
        <f t="shared" si="63"/>
        <v>-7.9020769223937526E-2</v>
      </c>
      <c r="BE41" s="308">
        <v>1151475141.5560212</v>
      </c>
      <c r="BF41" s="308">
        <f t="shared" si="56"/>
        <v>-31625899.556021214</v>
      </c>
      <c r="BG41" s="308">
        <v>1205493942.0843484</v>
      </c>
      <c r="BH41" s="308">
        <f t="shared" si="57"/>
        <v>-47747606.08434844</v>
      </c>
      <c r="BI41" s="308">
        <v>1135225177.3491676</v>
      </c>
      <c r="BJ41" s="308">
        <f t="shared" si="58"/>
        <v>-10165753.349167585</v>
      </c>
      <c r="BK41" s="308">
        <v>1131167338.9764552</v>
      </c>
      <c r="BL41" s="308">
        <f t="shared" si="59"/>
        <v>46836615.023544788</v>
      </c>
      <c r="BM41" s="309">
        <v>1213706725</v>
      </c>
      <c r="BN41" s="308">
        <f t="shared" si="60"/>
        <v>0</v>
      </c>
      <c r="BO41" s="308">
        <v>1188660774.6988173</v>
      </c>
      <c r="BP41" s="308">
        <f t="shared" si="61"/>
        <v>622722.27123713493</v>
      </c>
      <c r="BQ41" s="308"/>
      <c r="BR41" s="330"/>
      <c r="BS41" s="330"/>
    </row>
    <row r="42" spans="1:71">
      <c r="A42" s="301" t="s">
        <v>52</v>
      </c>
      <c r="B42" s="308">
        <f t="shared" si="53"/>
        <v>1111546981</v>
      </c>
      <c r="C42" s="308">
        <f t="shared" si="53"/>
        <v>1103955518</v>
      </c>
      <c r="D42" s="308">
        <f t="shared" si="53"/>
        <v>1057057652</v>
      </c>
      <c r="E42" s="308">
        <f t="shared" si="53"/>
        <v>1172138698</v>
      </c>
      <c r="F42" s="308">
        <f t="shared" si="53"/>
        <v>1168652244</v>
      </c>
      <c r="G42" s="308">
        <f t="shared" si="53"/>
        <v>1247580349</v>
      </c>
      <c r="H42" s="308">
        <f t="shared" si="53"/>
        <v>1269876774</v>
      </c>
      <c r="I42" s="308">
        <f t="shared" si="53"/>
        <v>1291815329</v>
      </c>
      <c r="J42" s="308">
        <f t="shared" si="53"/>
        <v>1270224301</v>
      </c>
      <c r="K42" s="308">
        <f t="shared" si="53"/>
        <v>1249835994</v>
      </c>
      <c r="L42" s="308">
        <f t="shared" si="53"/>
        <v>1148160963</v>
      </c>
      <c r="M42" s="308">
        <f t="shared" si="53"/>
        <v>1195714692</v>
      </c>
      <c r="N42" s="308">
        <f t="shared" si="53"/>
        <v>1228743213</v>
      </c>
      <c r="O42" s="308">
        <f t="shared" si="53"/>
        <v>1298967186</v>
      </c>
      <c r="P42" s="308">
        <f t="shared" si="53"/>
        <v>1268140252</v>
      </c>
      <c r="Q42" s="309">
        <f t="shared" si="53"/>
        <v>1255571321.1873078</v>
      </c>
      <c r="R42" s="309">
        <f t="shared" si="62"/>
        <v>1260260763.11181</v>
      </c>
      <c r="S42" s="308">
        <f t="shared" si="62"/>
        <v>1290080338.5971236</v>
      </c>
      <c r="T42" s="308">
        <f t="shared" si="62"/>
        <v>1307145239.0332201</v>
      </c>
      <c r="U42" s="308">
        <f t="shared" si="62"/>
        <v>1310895291.6466393</v>
      </c>
      <c r="V42" s="308">
        <f t="shared" si="62"/>
        <v>1320917907.5119812</v>
      </c>
      <c r="W42" s="308">
        <f t="shared" si="62"/>
        <v>1334290416.5126565</v>
      </c>
      <c r="X42" s="308">
        <f t="shared" si="62"/>
        <v>1344888858.318747</v>
      </c>
      <c r="Y42" s="308">
        <f t="shared" si="62"/>
        <v>1356090322.9056652</v>
      </c>
      <c r="Z42" s="308">
        <f t="shared" si="62"/>
        <v>1366101864.184536</v>
      </c>
      <c r="AA42" s="308">
        <f t="shared" si="62"/>
        <v>1377412990.3467412</v>
      </c>
      <c r="AB42" s="308">
        <f t="shared" si="62"/>
        <v>1388919162.0688097</v>
      </c>
      <c r="AC42" s="308">
        <f t="shared" si="62"/>
        <v>1400141581.1391129</v>
      </c>
      <c r="AD42" s="308">
        <f t="shared" si="62"/>
        <v>1411530594.2618387</v>
      </c>
      <c r="AE42" s="308">
        <f t="shared" si="62"/>
        <v>1422938692.9281664</v>
      </c>
      <c r="AF42" s="308">
        <f t="shared" si="62"/>
        <v>1434512418.3769226</v>
      </c>
      <c r="AG42" s="308">
        <f t="shared" si="62"/>
        <v>1446157652.0249469</v>
      </c>
      <c r="AH42" s="308">
        <f t="shared" si="54"/>
        <v>1457884164.137382</v>
      </c>
      <c r="AI42" s="308">
        <f t="shared" si="54"/>
        <v>1469759906.8725417</v>
      </c>
      <c r="AJ42" s="308">
        <f t="shared" si="54"/>
        <v>1481664966.4525042</v>
      </c>
      <c r="AK42" s="308">
        <f t="shared" si="54"/>
        <v>1493647612.1989472</v>
      </c>
      <c r="AL42" s="308">
        <f t="shared" si="54"/>
        <v>1505710526.9899175</v>
      </c>
      <c r="AM42" s="308">
        <f t="shared" si="54"/>
        <v>1517842587.8766885</v>
      </c>
      <c r="AN42" s="308">
        <f t="shared" si="54"/>
        <v>1530156853.9275515</v>
      </c>
      <c r="AO42" s="308">
        <f t="shared" si="54"/>
        <v>1542570311.1380694</v>
      </c>
      <c r="AP42" s="308">
        <f t="shared" si="54"/>
        <v>1555043912.5691433</v>
      </c>
      <c r="AQ42" s="308">
        <f t="shared" si="54"/>
        <v>1567600670.6606154</v>
      </c>
      <c r="AR42" s="308"/>
      <c r="AS42" s="308"/>
      <c r="AT42" s="308"/>
      <c r="AU42" s="308"/>
      <c r="AV42" s="308"/>
      <c r="AW42" s="308"/>
      <c r="AX42" s="308"/>
      <c r="AY42" s="308"/>
      <c r="AZ42" s="308"/>
      <c r="BA42" s="308"/>
      <c r="BB42" s="308"/>
      <c r="BC42" s="326">
        <f t="shared" si="63"/>
        <v>4.4848995131010705E-2</v>
      </c>
      <c r="BE42" s="308">
        <v>1116707312.8043714</v>
      </c>
      <c r="BF42" s="308">
        <f t="shared" si="56"/>
        <v>31453650.195628643</v>
      </c>
      <c r="BG42" s="308">
        <v>1205175444.0687399</v>
      </c>
      <c r="BH42" s="308">
        <f t="shared" si="57"/>
        <v>-9460752.0687398911</v>
      </c>
      <c r="BI42" s="308">
        <v>1127154763.8675134</v>
      </c>
      <c r="BJ42" s="308">
        <f t="shared" si="58"/>
        <v>101588449.13248658</v>
      </c>
      <c r="BK42" s="308">
        <v>1242244123.1813786</v>
      </c>
      <c r="BL42" s="308">
        <f t="shared" si="59"/>
        <v>56723062.818621397</v>
      </c>
      <c r="BM42" s="309">
        <v>1321616690.4504552</v>
      </c>
      <c r="BN42" s="308">
        <f t="shared" si="60"/>
        <v>-53476438.450455189</v>
      </c>
      <c r="BO42" s="308">
        <v>1258074962.8349335</v>
      </c>
      <c r="BP42" s="308">
        <f t="shared" si="61"/>
        <v>2503641.6476256847</v>
      </c>
      <c r="BQ42" s="308"/>
      <c r="BR42" s="330"/>
      <c r="BS42" s="330"/>
    </row>
    <row r="43" spans="1:71">
      <c r="A43" s="301" t="s">
        <v>53</v>
      </c>
      <c r="B43" s="308">
        <f t="shared" si="53"/>
        <v>1138879287</v>
      </c>
      <c r="C43" s="308">
        <f t="shared" si="53"/>
        <v>1140351042</v>
      </c>
      <c r="D43" s="308">
        <f t="shared" si="53"/>
        <v>1045378800</v>
      </c>
      <c r="E43" s="308">
        <f t="shared" si="53"/>
        <v>1140623001</v>
      </c>
      <c r="F43" s="308">
        <f t="shared" si="53"/>
        <v>1152443758</v>
      </c>
      <c r="G43" s="308">
        <f t="shared" si="53"/>
        <v>1215981053</v>
      </c>
      <c r="H43" s="308">
        <f t="shared" si="53"/>
        <v>1240612059</v>
      </c>
      <c r="I43" s="308">
        <f t="shared" si="53"/>
        <v>1278398148</v>
      </c>
      <c r="J43" s="308">
        <f t="shared" si="53"/>
        <v>1233451546</v>
      </c>
      <c r="K43" s="308">
        <f t="shared" si="53"/>
        <v>1208365365</v>
      </c>
      <c r="L43" s="308">
        <f t="shared" si="53"/>
        <v>1141061700</v>
      </c>
      <c r="M43" s="308">
        <f t="shared" si="53"/>
        <v>1250994928</v>
      </c>
      <c r="N43" s="308">
        <f t="shared" si="53"/>
        <v>1261797673</v>
      </c>
      <c r="O43" s="308">
        <f t="shared" si="53"/>
        <v>1237567480</v>
      </c>
      <c r="P43" s="308">
        <f t="shared" si="53"/>
        <v>1191700465</v>
      </c>
      <c r="Q43" s="309">
        <f t="shared" si="53"/>
        <v>1245844288.2333157</v>
      </c>
      <c r="R43" s="309">
        <f t="shared" si="62"/>
        <v>1249222569.8142838</v>
      </c>
      <c r="S43" s="308">
        <f t="shared" si="62"/>
        <v>1266270289.6429908</v>
      </c>
      <c r="T43" s="308">
        <f t="shared" si="62"/>
        <v>1270850303.493335</v>
      </c>
      <c r="U43" s="308">
        <f t="shared" si="62"/>
        <v>1279470982.0791018</v>
      </c>
      <c r="V43" s="308">
        <f t="shared" si="62"/>
        <v>1298319522.669457</v>
      </c>
      <c r="W43" s="308">
        <f t="shared" si="62"/>
        <v>1308759663.0572834</v>
      </c>
      <c r="X43" s="308">
        <f t="shared" si="62"/>
        <v>1316230128.6773758</v>
      </c>
      <c r="Y43" s="308">
        <f t="shared" si="62"/>
        <v>1326439372.5022311</v>
      </c>
      <c r="Z43" s="308">
        <f t="shared" si="62"/>
        <v>1337813585.0444493</v>
      </c>
      <c r="AA43" s="308">
        <f t="shared" si="62"/>
        <v>1349767454.8701794</v>
      </c>
      <c r="AB43" s="308">
        <f t="shared" si="62"/>
        <v>1360243091.9925513</v>
      </c>
      <c r="AC43" s="308">
        <f t="shared" si="62"/>
        <v>1370819023.163074</v>
      </c>
      <c r="AD43" s="308">
        <f t="shared" si="62"/>
        <v>1382068273.4542959</v>
      </c>
      <c r="AE43" s="308">
        <f t="shared" si="62"/>
        <v>1393512359.632304</v>
      </c>
      <c r="AF43" s="308">
        <f t="shared" si="62"/>
        <v>1404856684.9810185</v>
      </c>
      <c r="AG43" s="308">
        <f t="shared" si="62"/>
        <v>1416092812.7536454</v>
      </c>
      <c r="AH43" s="308">
        <f t="shared" si="54"/>
        <v>1427534682.9884679</v>
      </c>
      <c r="AI43" s="308">
        <f t="shared" si="54"/>
        <v>1439197491.9458706</v>
      </c>
      <c r="AJ43" s="308">
        <f t="shared" si="54"/>
        <v>1450878428.9585025</v>
      </c>
      <c r="AK43" s="308">
        <f t="shared" si="54"/>
        <v>1462584952.5724821</v>
      </c>
      <c r="AL43" s="308">
        <f t="shared" si="54"/>
        <v>1474362357.5119276</v>
      </c>
      <c r="AM43" s="308">
        <f t="shared" si="54"/>
        <v>1486235125.3053539</v>
      </c>
      <c r="AN43" s="308">
        <f t="shared" si="54"/>
        <v>1498289932.0553169</v>
      </c>
      <c r="AO43" s="308">
        <f t="shared" si="54"/>
        <v>1510433887.3543344</v>
      </c>
      <c r="AP43" s="308">
        <f t="shared" si="54"/>
        <v>1522631068.9687197</v>
      </c>
      <c r="AQ43" s="308">
        <f t="shared" si="54"/>
        <v>1534912289.7151635</v>
      </c>
      <c r="AR43" s="308"/>
      <c r="AS43" s="308"/>
      <c r="AT43" s="308"/>
      <c r="AU43" s="308"/>
      <c r="AV43" s="308"/>
      <c r="AW43" s="308"/>
      <c r="AX43" s="308"/>
      <c r="AY43" s="308"/>
      <c r="AZ43" s="308"/>
      <c r="BA43" s="308"/>
      <c r="BB43" s="308"/>
      <c r="BC43" s="326">
        <f t="shared" si="63"/>
        <v>-6.0277076513773453E-2</v>
      </c>
      <c r="BE43" s="308">
        <v>1127282137.200917</v>
      </c>
      <c r="BF43" s="308">
        <f t="shared" si="56"/>
        <v>13779562.799082994</v>
      </c>
      <c r="BG43" s="308">
        <v>1229740668.9508502</v>
      </c>
      <c r="BH43" s="308">
        <f t="shared" si="57"/>
        <v>21254259.049149752</v>
      </c>
      <c r="BI43" s="308">
        <v>1247800352.4494772</v>
      </c>
      <c r="BJ43" s="308">
        <f t="shared" si="58"/>
        <v>13997320.550522804</v>
      </c>
      <c r="BK43" s="309">
        <v>1266119540.9984128</v>
      </c>
      <c r="BL43" s="308">
        <f t="shared" si="59"/>
        <v>-28552060.998412848</v>
      </c>
      <c r="BM43" s="309">
        <v>1325000161.9163177</v>
      </c>
      <c r="BN43" s="308">
        <f t="shared" si="60"/>
        <v>-133299696.9163177</v>
      </c>
      <c r="BO43" s="308">
        <v>1248275815.128268</v>
      </c>
      <c r="BP43" s="308">
        <f t="shared" si="61"/>
        <v>2431526.8949522972</v>
      </c>
      <c r="BQ43" s="309"/>
      <c r="BR43" s="333"/>
      <c r="BS43" s="333"/>
    </row>
    <row r="44" spans="1:71">
      <c r="A44" s="301" t="s">
        <v>54</v>
      </c>
      <c r="B44" s="308">
        <f t="shared" si="53"/>
        <v>1197981699</v>
      </c>
      <c r="C44" s="308">
        <f t="shared" si="53"/>
        <v>1181817350</v>
      </c>
      <c r="D44" s="308">
        <f t="shared" si="53"/>
        <v>1036886357</v>
      </c>
      <c r="E44" s="308">
        <f t="shared" si="53"/>
        <v>1230437323</v>
      </c>
      <c r="F44" s="308">
        <f t="shared" si="53"/>
        <v>1296431295</v>
      </c>
      <c r="G44" s="308">
        <f t="shared" si="53"/>
        <v>1312880683</v>
      </c>
      <c r="H44" s="308">
        <f t="shared" si="53"/>
        <v>1290121249</v>
      </c>
      <c r="I44" s="308">
        <f t="shared" si="53"/>
        <v>1271118705</v>
      </c>
      <c r="J44" s="308">
        <f t="shared" si="53"/>
        <v>1245455114</v>
      </c>
      <c r="K44" s="308">
        <f t="shared" si="53"/>
        <v>1299855376</v>
      </c>
      <c r="L44" s="308">
        <f t="shared" si="53"/>
        <v>1147474201</v>
      </c>
      <c r="M44" s="308">
        <f t="shared" si="53"/>
        <v>1296639027</v>
      </c>
      <c r="N44" s="308">
        <f t="shared" si="53"/>
        <v>1205172351</v>
      </c>
      <c r="O44" s="308">
        <f t="shared" si="53"/>
        <v>1259224010</v>
      </c>
      <c r="P44" s="308">
        <f t="shared" si="53"/>
        <v>1296815536</v>
      </c>
      <c r="Q44" s="309">
        <f t="shared" si="53"/>
        <v>1251018187.1909592</v>
      </c>
      <c r="R44" s="309">
        <f t="shared" si="62"/>
        <v>1269834819.5911615</v>
      </c>
      <c r="S44" s="308">
        <f t="shared" si="62"/>
        <v>1261521415.6561358</v>
      </c>
      <c r="T44" s="308">
        <f t="shared" si="62"/>
        <v>1282016658.0086987</v>
      </c>
      <c r="U44" s="308">
        <f t="shared" si="62"/>
        <v>1293493483.244478</v>
      </c>
      <c r="V44" s="308">
        <f t="shared" si="62"/>
        <v>1298911629.7924216</v>
      </c>
      <c r="W44" s="308">
        <f t="shared" si="62"/>
        <v>1313806047.3009217</v>
      </c>
      <c r="X44" s="308">
        <f t="shared" si="62"/>
        <v>1322223064.4601252</v>
      </c>
      <c r="Y44" s="308">
        <f t="shared" si="62"/>
        <v>1334630425.5681469</v>
      </c>
      <c r="Z44" s="308">
        <f t="shared" si="62"/>
        <v>1345392958.0947201</v>
      </c>
      <c r="AA44" s="308">
        <f t="shared" si="62"/>
        <v>1356027069.1810431</v>
      </c>
      <c r="AB44" s="308">
        <f t="shared" si="62"/>
        <v>1367655770.275528</v>
      </c>
      <c r="AC44" s="308">
        <f t="shared" si="62"/>
        <v>1378720739.3156214</v>
      </c>
      <c r="AD44" s="308">
        <f t="shared" si="62"/>
        <v>1390369296.4358795</v>
      </c>
      <c r="AE44" s="308">
        <f t="shared" si="62"/>
        <v>1401841856.3203926</v>
      </c>
      <c r="AF44" s="308">
        <f t="shared" si="62"/>
        <v>1413331893.1137583</v>
      </c>
      <c r="AG44" s="308">
        <f t="shared" si="62"/>
        <v>1425016026.0068016</v>
      </c>
      <c r="AH44" s="308">
        <f t="shared" si="54"/>
        <v>1436767666.9018309</v>
      </c>
      <c r="AI44" s="308">
        <f t="shared" si="54"/>
        <v>1448708773.0942659</v>
      </c>
      <c r="AJ44" s="308">
        <f t="shared" si="54"/>
        <v>1460635047.9254248</v>
      </c>
      <c r="AK44" s="308">
        <f t="shared" si="54"/>
        <v>1472628542.2018847</v>
      </c>
      <c r="AL44" s="308">
        <f t="shared" si="54"/>
        <v>1484721455.9309819</v>
      </c>
      <c r="AM44" s="308">
        <f t="shared" si="54"/>
        <v>1496880688.1664796</v>
      </c>
      <c r="AN44" s="308">
        <f t="shared" si="54"/>
        <v>1509228681.4922557</v>
      </c>
      <c r="AO44" s="308">
        <f t="shared" si="54"/>
        <v>1521669963.9087615</v>
      </c>
      <c r="AP44" s="308">
        <f t="shared" si="54"/>
        <v>1534170018.728476</v>
      </c>
      <c r="AQ44" s="308">
        <f t="shared" si="54"/>
        <v>1546755349.2837045</v>
      </c>
      <c r="AR44" s="308"/>
      <c r="AS44" s="308"/>
      <c r="AT44" s="308"/>
      <c r="AU44" s="308"/>
      <c r="AV44" s="308"/>
      <c r="AW44" s="308"/>
      <c r="AX44" s="308"/>
      <c r="AY44" s="308"/>
      <c r="AZ44" s="308"/>
      <c r="BA44" s="308"/>
      <c r="BB44" s="308"/>
      <c r="BC44" s="326">
        <f t="shared" si="63"/>
        <v>8.8205949470700151E-2</v>
      </c>
      <c r="BE44" s="308">
        <v>1176844331.7399998</v>
      </c>
      <c r="BF44" s="308">
        <f t="shared" si="56"/>
        <v>-29370130.739999771</v>
      </c>
      <c r="BG44" s="308">
        <v>1254717464.8000011</v>
      </c>
      <c r="BH44" s="308">
        <f t="shared" si="57"/>
        <v>41921562.199998856</v>
      </c>
      <c r="BI44" s="308">
        <v>1304467670.656579</v>
      </c>
      <c r="BJ44" s="308">
        <f t="shared" si="58"/>
        <v>-99295319.656579018</v>
      </c>
      <c r="BK44" s="309">
        <v>1151672186.9330819</v>
      </c>
      <c r="BL44" s="308">
        <f t="shared" si="59"/>
        <v>107551823.06691813</v>
      </c>
      <c r="BM44" s="309">
        <v>1430711718.1508331</v>
      </c>
      <c r="BN44" s="308">
        <f t="shared" si="60"/>
        <v>-133896182.15083313</v>
      </c>
      <c r="BO44" s="308">
        <v>1243574332.7787051</v>
      </c>
      <c r="BP44" s="308">
        <f t="shared" si="61"/>
        <v>-7443854.4122540951</v>
      </c>
      <c r="BQ44" s="309"/>
      <c r="BR44" s="333"/>
      <c r="BS44" s="333"/>
    </row>
    <row r="45" spans="1:71" ht="12" thickBot="1">
      <c r="A45" s="301" t="s">
        <v>29</v>
      </c>
      <c r="B45" s="308">
        <f>SUM(B33:B44)</f>
        <v>6789828018</v>
      </c>
      <c r="C45" s="308">
        <f t="shared" ref="C45:P45" si="64">SUM(C33:C44)</f>
        <v>13613229503</v>
      </c>
      <c r="D45" s="308">
        <f t="shared" si="64"/>
        <v>12987468760</v>
      </c>
      <c r="E45" s="308">
        <f t="shared" si="64"/>
        <v>13251265535</v>
      </c>
      <c r="F45" s="308">
        <f t="shared" si="64"/>
        <v>14226497803</v>
      </c>
      <c r="G45" s="308">
        <f t="shared" si="64"/>
        <v>14668303446</v>
      </c>
      <c r="H45" s="308">
        <f t="shared" si="64"/>
        <v>15003278197</v>
      </c>
      <c r="I45" s="308">
        <f t="shared" si="64"/>
        <v>15008327443</v>
      </c>
      <c r="J45" s="308">
        <f t="shared" si="64"/>
        <v>15074084106</v>
      </c>
      <c r="K45" s="308">
        <f t="shared" si="64"/>
        <v>14846758241</v>
      </c>
      <c r="L45" s="308">
        <f t="shared" si="64"/>
        <v>12933461982</v>
      </c>
      <c r="M45" s="308">
        <f t="shared" si="64"/>
        <v>14202821885</v>
      </c>
      <c r="N45" s="308">
        <f t="shared" si="64"/>
        <v>14498466195</v>
      </c>
      <c r="O45" s="308">
        <f t="shared" si="64"/>
        <v>14773865497</v>
      </c>
      <c r="P45" s="308">
        <f t="shared" si="64"/>
        <v>14885505634</v>
      </c>
      <c r="Q45" s="309">
        <f>SUM(Q33:Q44)</f>
        <v>14602727169.485962</v>
      </c>
      <c r="R45" s="309">
        <f>SUM(R33:R44)</f>
        <v>14698887953.304056</v>
      </c>
      <c r="S45" s="309">
        <f t="shared" ref="S45:AQ45" si="65">SUM(S33:S44)</f>
        <v>14831876752.550684</v>
      </c>
      <c r="T45" s="309">
        <f t="shared" si="65"/>
        <v>14978798818.687309</v>
      </c>
      <c r="U45" s="309">
        <f t="shared" si="65"/>
        <v>15090947765.971172</v>
      </c>
      <c r="V45" s="309">
        <f t="shared" si="65"/>
        <v>15189875134.986158</v>
      </c>
      <c r="W45" s="309">
        <f t="shared" si="65"/>
        <v>15350531708.919302</v>
      </c>
      <c r="X45" s="309">
        <f t="shared" si="65"/>
        <v>15463792711.833397</v>
      </c>
      <c r="Y45" s="309">
        <f t="shared" si="65"/>
        <v>15592924067.048338</v>
      </c>
      <c r="Z45" s="309">
        <f t="shared" si="65"/>
        <v>15718551697.798979</v>
      </c>
      <c r="AA45" s="309">
        <f t="shared" si="65"/>
        <v>15847147945.434273</v>
      </c>
      <c r="AB45" s="309">
        <f t="shared" si="65"/>
        <v>15980993784.785053</v>
      </c>
      <c r="AC45" s="309">
        <f t="shared" si="65"/>
        <v>16110520408.524555</v>
      </c>
      <c r="AD45" s="309">
        <f t="shared" si="65"/>
        <v>16243839935.300056</v>
      </c>
      <c r="AE45" s="309">
        <f t="shared" si="65"/>
        <v>16377788960.475882</v>
      </c>
      <c r="AF45" s="309">
        <f t="shared" si="65"/>
        <v>16512011212.962576</v>
      </c>
      <c r="AG45" s="309">
        <f t="shared" si="65"/>
        <v>16647595240.87532</v>
      </c>
      <c r="AH45" s="309">
        <f t="shared" si="65"/>
        <v>16784163099.871258</v>
      </c>
      <c r="AI45" s="309">
        <f t="shared" si="65"/>
        <v>16922719744.048306</v>
      </c>
      <c r="AJ45" s="309">
        <f t="shared" si="65"/>
        <v>17061512857.294636</v>
      </c>
      <c r="AK45" s="309">
        <f t="shared" si="65"/>
        <v>17201010408.820744</v>
      </c>
      <c r="AL45" s="309">
        <f t="shared" si="65"/>
        <v>17341546900.400566</v>
      </c>
      <c r="AM45" s="309">
        <f t="shared" si="65"/>
        <v>17482902911.533562</v>
      </c>
      <c r="AN45" s="309">
        <f t="shared" si="65"/>
        <v>17626417820.094868</v>
      </c>
      <c r="AO45" s="309">
        <f t="shared" si="65"/>
        <v>17771059663.656403</v>
      </c>
      <c r="AP45" s="309">
        <f t="shared" si="65"/>
        <v>17916376700.746681</v>
      </c>
      <c r="AQ45" s="309">
        <f t="shared" si="65"/>
        <v>18062678890.312153</v>
      </c>
      <c r="AR45" s="309"/>
      <c r="AS45" s="309"/>
      <c r="AT45" s="309"/>
      <c r="AU45" s="309"/>
      <c r="AV45" s="309"/>
      <c r="AW45" s="309"/>
      <c r="AX45" s="309"/>
      <c r="AY45" s="309"/>
      <c r="AZ45" s="309"/>
      <c r="BA45" s="309"/>
      <c r="BB45" s="309"/>
      <c r="BC45" s="308"/>
      <c r="BE45" s="308">
        <v>12955087422.74</v>
      </c>
      <c r="BF45" s="308">
        <f t="shared" si="56"/>
        <v>-21625440.739999771</v>
      </c>
      <c r="BG45" s="308">
        <v>14156848950.800001</v>
      </c>
      <c r="BH45" s="308">
        <f t="shared" si="57"/>
        <v>45972934.199998856</v>
      </c>
      <c r="BI45" s="308">
        <v>14581690302.656578</v>
      </c>
      <c r="BJ45" s="308">
        <f t="shared" si="58"/>
        <v>-83224107.656578064</v>
      </c>
      <c r="BK45" s="309">
        <v>14673544128.931496</v>
      </c>
      <c r="BL45" s="308">
        <f t="shared" si="59"/>
        <v>100321368.06850433</v>
      </c>
      <c r="BM45" s="309">
        <v>15206177951.517605</v>
      </c>
      <c r="BN45" s="308">
        <f t="shared" si="60"/>
        <v>-320672317.51760483</v>
      </c>
      <c r="BO45" s="308">
        <v>14617934950.018267</v>
      </c>
      <c r="BP45" s="308">
        <f t="shared" si="61"/>
        <v>15207780.532304764</v>
      </c>
      <c r="BQ45" s="308"/>
      <c r="BR45" s="308"/>
    </row>
    <row r="46" spans="1:71">
      <c r="A46" s="334"/>
      <c r="B46" s="334"/>
      <c r="C46" s="334"/>
      <c r="D46" s="334"/>
      <c r="E46" s="334"/>
      <c r="F46" s="334"/>
      <c r="G46" s="334"/>
      <c r="H46" s="334"/>
      <c r="I46" s="334"/>
      <c r="J46" s="334"/>
      <c r="K46" s="334"/>
      <c r="L46" s="335"/>
      <c r="M46" s="335">
        <f>M45/L45-1</f>
        <v>9.8145407994133071E-2</v>
      </c>
      <c r="N46" s="335">
        <f>N45/M45-1</f>
        <v>2.081588520885691E-2</v>
      </c>
      <c r="O46" s="335">
        <f>O45/N45-1</f>
        <v>1.8995064601728284E-2</v>
      </c>
      <c r="P46" s="335">
        <f>P45/O45-1</f>
        <v>7.5565962762196293E-3</v>
      </c>
      <c r="Q46" s="335">
        <f>Q45/P45-1</f>
        <v>-1.899690017033373E-2</v>
      </c>
      <c r="R46" s="334"/>
      <c r="S46" s="334"/>
      <c r="T46" s="334"/>
      <c r="U46" s="334"/>
      <c r="V46" s="334"/>
      <c r="W46" s="334"/>
      <c r="X46" s="334"/>
      <c r="Y46" s="334"/>
      <c r="Z46" s="334"/>
      <c r="AA46" s="334"/>
      <c r="AB46" s="334"/>
      <c r="AC46" s="334"/>
      <c r="AD46" s="334"/>
      <c r="AE46" s="334"/>
      <c r="AF46" s="334"/>
      <c r="AG46" s="334"/>
      <c r="AH46" s="334"/>
      <c r="AI46" s="334"/>
      <c r="AJ46" s="334"/>
      <c r="AK46" s="334"/>
      <c r="AL46" s="334"/>
      <c r="AM46" s="334"/>
      <c r="AN46" s="334"/>
      <c r="AO46" s="334"/>
      <c r="AP46" s="334"/>
      <c r="AQ46" s="334"/>
      <c r="BC46" s="308"/>
      <c r="BG46" s="309"/>
      <c r="BP46" s="308"/>
      <c r="BQ46" s="308"/>
    </row>
    <row r="47" spans="1:71" ht="12" thickBot="1">
      <c r="A47" s="300" t="s">
        <v>493</v>
      </c>
      <c r="M47" s="308">
        <f>M45-L45</f>
        <v>1269359903</v>
      </c>
      <c r="N47" s="308">
        <f t="shared" ref="N47:AQ47" si="66">N45-M45</f>
        <v>295644310</v>
      </c>
      <c r="O47" s="308">
        <f t="shared" si="66"/>
        <v>275399302</v>
      </c>
      <c r="P47" s="308">
        <f t="shared" si="66"/>
        <v>111640137</v>
      </c>
      <c r="Q47" s="308">
        <f t="shared" si="66"/>
        <v>-282778464.51403809</v>
      </c>
      <c r="R47" s="308">
        <f>R45-Q45</f>
        <v>96160783.818094254</v>
      </c>
      <c r="S47" s="308">
        <f t="shared" si="66"/>
        <v>132988799.24662781</v>
      </c>
      <c r="T47" s="308">
        <f t="shared" si="66"/>
        <v>146922066.13662529</v>
      </c>
      <c r="U47" s="308">
        <f t="shared" si="66"/>
        <v>112148947.28386307</v>
      </c>
      <c r="V47" s="308">
        <f t="shared" si="66"/>
        <v>98927369.014986038</v>
      </c>
      <c r="W47" s="308">
        <f t="shared" si="66"/>
        <v>160656573.93314362</v>
      </c>
      <c r="X47" s="308">
        <f t="shared" si="66"/>
        <v>113261002.91409492</v>
      </c>
      <c r="Y47" s="308">
        <f t="shared" si="66"/>
        <v>129131355.21494102</v>
      </c>
      <c r="Z47" s="308">
        <f t="shared" si="66"/>
        <v>125627630.75064087</v>
      </c>
      <c r="AA47" s="308">
        <f t="shared" si="66"/>
        <v>128596247.63529396</v>
      </c>
      <c r="AB47" s="308">
        <f t="shared" si="66"/>
        <v>133845839.35078049</v>
      </c>
      <c r="AC47" s="308">
        <f t="shared" si="66"/>
        <v>129526623.73950195</v>
      </c>
      <c r="AD47" s="308">
        <f t="shared" si="66"/>
        <v>133319526.77550125</v>
      </c>
      <c r="AE47" s="308">
        <f t="shared" si="66"/>
        <v>133949025.17582512</v>
      </c>
      <c r="AF47" s="308">
        <f t="shared" si="66"/>
        <v>134222252.48669434</v>
      </c>
      <c r="AG47" s="308">
        <f t="shared" si="66"/>
        <v>135584027.91274452</v>
      </c>
      <c r="AH47" s="308">
        <f t="shared" si="66"/>
        <v>136567858.99593735</v>
      </c>
      <c r="AI47" s="308">
        <f t="shared" si="66"/>
        <v>138556644.17704773</v>
      </c>
      <c r="AJ47" s="308">
        <f t="shared" si="66"/>
        <v>138793113.24633026</v>
      </c>
      <c r="AK47" s="308">
        <f t="shared" si="66"/>
        <v>139497551.52610779</v>
      </c>
      <c r="AL47" s="308">
        <f t="shared" si="66"/>
        <v>140536491.57982254</v>
      </c>
      <c r="AM47" s="308">
        <f t="shared" si="66"/>
        <v>141356011.13299561</v>
      </c>
      <c r="AN47" s="308">
        <f t="shared" si="66"/>
        <v>143514908.561306</v>
      </c>
      <c r="AO47" s="308">
        <f t="shared" si="66"/>
        <v>144641843.56153488</v>
      </c>
      <c r="AP47" s="308">
        <f t="shared" si="66"/>
        <v>145317037.09027863</v>
      </c>
      <c r="AQ47" s="308">
        <f t="shared" si="66"/>
        <v>146302189.56547165</v>
      </c>
      <c r="AR47" s="308"/>
      <c r="AS47" s="308"/>
      <c r="AT47" s="308"/>
      <c r="AU47" s="308"/>
      <c r="AV47" s="308"/>
      <c r="AW47" s="308"/>
      <c r="AX47" s="308"/>
      <c r="AY47" s="308"/>
      <c r="AZ47" s="308"/>
      <c r="BA47" s="308"/>
      <c r="BB47" s="308"/>
      <c r="BC47" s="308"/>
      <c r="BG47" s="309"/>
      <c r="BP47" s="308"/>
    </row>
    <row r="48" spans="1:71" ht="12" thickBot="1">
      <c r="A48" s="328"/>
      <c r="B48" s="329">
        <f t="shared" ref="B48:AQ48" si="67">B2</f>
        <v>2010</v>
      </c>
      <c r="C48" s="329">
        <f t="shared" si="67"/>
        <v>2011</v>
      </c>
      <c r="D48" s="329">
        <f t="shared" si="67"/>
        <v>2012</v>
      </c>
      <c r="E48" s="329">
        <f t="shared" si="67"/>
        <v>2013</v>
      </c>
      <c r="F48" s="329">
        <f t="shared" si="67"/>
        <v>2014</v>
      </c>
      <c r="G48" s="329">
        <f t="shared" si="67"/>
        <v>2015</v>
      </c>
      <c r="H48" s="329">
        <f t="shared" si="67"/>
        <v>2016</v>
      </c>
      <c r="I48" s="329">
        <f t="shared" si="67"/>
        <v>2017</v>
      </c>
      <c r="J48" s="329">
        <f t="shared" si="67"/>
        <v>2018</v>
      </c>
      <c r="K48" s="329">
        <f t="shared" si="67"/>
        <v>2019</v>
      </c>
      <c r="L48" s="329">
        <f t="shared" si="67"/>
        <v>2020</v>
      </c>
      <c r="M48" s="329">
        <f t="shared" si="67"/>
        <v>2021</v>
      </c>
      <c r="N48" s="329">
        <f t="shared" si="67"/>
        <v>2022</v>
      </c>
      <c r="O48" s="329">
        <f t="shared" si="67"/>
        <v>2023</v>
      </c>
      <c r="P48" s="329">
        <f t="shared" si="67"/>
        <v>2024</v>
      </c>
      <c r="Q48" s="329">
        <f t="shared" si="67"/>
        <v>2025</v>
      </c>
      <c r="R48" s="329">
        <f t="shared" si="67"/>
        <v>2026</v>
      </c>
      <c r="S48" s="329">
        <f t="shared" si="67"/>
        <v>2027</v>
      </c>
      <c r="T48" s="329">
        <f t="shared" si="67"/>
        <v>2028</v>
      </c>
      <c r="U48" s="329">
        <f t="shared" si="67"/>
        <v>2029</v>
      </c>
      <c r="V48" s="329">
        <f t="shared" si="67"/>
        <v>2030</v>
      </c>
      <c r="W48" s="329">
        <f t="shared" si="67"/>
        <v>2031</v>
      </c>
      <c r="X48" s="329">
        <f t="shared" si="67"/>
        <v>2032</v>
      </c>
      <c r="Y48" s="329">
        <f t="shared" si="67"/>
        <v>2033</v>
      </c>
      <c r="Z48" s="329">
        <f t="shared" si="67"/>
        <v>2034</v>
      </c>
      <c r="AA48" s="329">
        <f t="shared" si="67"/>
        <v>2035</v>
      </c>
      <c r="AB48" s="329">
        <f t="shared" si="67"/>
        <v>2036</v>
      </c>
      <c r="AC48" s="329">
        <f t="shared" si="67"/>
        <v>2037</v>
      </c>
      <c r="AD48" s="329">
        <f t="shared" si="67"/>
        <v>2038</v>
      </c>
      <c r="AE48" s="329">
        <f t="shared" si="67"/>
        <v>2039</v>
      </c>
      <c r="AF48" s="329">
        <f t="shared" si="67"/>
        <v>2040</v>
      </c>
      <c r="AG48" s="329">
        <f t="shared" si="67"/>
        <v>2041</v>
      </c>
      <c r="AH48" s="329">
        <f t="shared" si="67"/>
        <v>2042</v>
      </c>
      <c r="AI48" s="329">
        <f t="shared" si="67"/>
        <v>2043</v>
      </c>
      <c r="AJ48" s="329">
        <f t="shared" si="67"/>
        <v>2044</v>
      </c>
      <c r="AK48" s="329">
        <f t="shared" si="67"/>
        <v>2045</v>
      </c>
      <c r="AL48" s="329">
        <f t="shared" si="67"/>
        <v>2046</v>
      </c>
      <c r="AM48" s="329">
        <f t="shared" si="67"/>
        <v>2047</v>
      </c>
      <c r="AN48" s="329">
        <f t="shared" si="67"/>
        <v>2048</v>
      </c>
      <c r="AO48" s="329">
        <f t="shared" si="67"/>
        <v>2049</v>
      </c>
      <c r="AP48" s="329">
        <f t="shared" si="67"/>
        <v>2050</v>
      </c>
      <c r="AQ48" s="329">
        <f t="shared" si="67"/>
        <v>2051</v>
      </c>
      <c r="AR48" s="300"/>
      <c r="AS48" s="300"/>
      <c r="AT48" s="300"/>
      <c r="AU48" s="300"/>
      <c r="AV48" s="300"/>
      <c r="AW48" s="300"/>
      <c r="AX48" s="300"/>
      <c r="AY48" s="300"/>
      <c r="AZ48" s="300"/>
      <c r="BA48" s="300"/>
      <c r="BB48" s="300"/>
      <c r="BC48" s="308"/>
      <c r="BG48" s="309"/>
      <c r="BP48" s="308"/>
    </row>
    <row r="49" spans="1:70">
      <c r="A49" s="301" t="s">
        <v>43</v>
      </c>
      <c r="B49" s="308">
        <f t="shared" ref="B49:AQ55" si="68">B65+B81</f>
        <v>0</v>
      </c>
      <c r="C49" s="308">
        <f t="shared" si="68"/>
        <v>125801</v>
      </c>
      <c r="D49" s="308">
        <f t="shared" si="68"/>
        <v>0</v>
      </c>
      <c r="E49" s="308">
        <f t="shared" si="68"/>
        <v>6128</v>
      </c>
      <c r="F49" s="308">
        <f t="shared" si="68"/>
        <v>0</v>
      </c>
      <c r="G49" s="308">
        <f t="shared" si="68"/>
        <v>0</v>
      </c>
      <c r="H49" s="308">
        <f t="shared" si="68"/>
        <v>11640</v>
      </c>
      <c r="I49" s="308">
        <f t="shared" si="68"/>
        <v>0</v>
      </c>
      <c r="J49" s="308">
        <f t="shared" si="68"/>
        <v>0</v>
      </c>
      <c r="K49" s="308">
        <f t="shared" si="68"/>
        <v>11178</v>
      </c>
      <c r="L49" s="308">
        <f t="shared" si="68"/>
        <v>0</v>
      </c>
      <c r="M49" s="308">
        <f t="shared" si="68"/>
        <v>0</v>
      </c>
      <c r="N49" s="308">
        <f t="shared" si="68"/>
        <v>0</v>
      </c>
      <c r="O49" s="308">
        <f t="shared" si="68"/>
        <v>0</v>
      </c>
      <c r="P49" s="308">
        <f t="shared" si="68"/>
        <v>1089558</v>
      </c>
      <c r="Q49" s="308">
        <f t="shared" si="68"/>
        <v>0</v>
      </c>
      <c r="R49" s="309">
        <f t="shared" si="68"/>
        <v>388266.34903294611</v>
      </c>
      <c r="S49" s="309">
        <f t="shared" si="68"/>
        <v>469047.44631292822</v>
      </c>
      <c r="T49" s="309">
        <f t="shared" si="68"/>
        <v>490325.69551466766</v>
      </c>
      <c r="U49" s="309">
        <f t="shared" si="68"/>
        <v>525688.32868096605</v>
      </c>
      <c r="V49" s="309">
        <f t="shared" si="68"/>
        <v>562323.84028202365</v>
      </c>
      <c r="W49" s="309">
        <f t="shared" si="68"/>
        <v>584545.91798252985</v>
      </c>
      <c r="X49" s="309">
        <f t="shared" si="68"/>
        <v>662824.52381182078</v>
      </c>
      <c r="Y49" s="309">
        <f t="shared" si="68"/>
        <v>680144.63789405813</v>
      </c>
      <c r="Z49" s="309">
        <f t="shared" si="68"/>
        <v>712796.08301814843</v>
      </c>
      <c r="AA49" s="309">
        <f t="shared" si="68"/>
        <v>755400.75054364535</v>
      </c>
      <c r="AB49" s="309">
        <f t="shared" si="68"/>
        <v>738735.09827746381</v>
      </c>
      <c r="AC49" s="309">
        <f t="shared" si="68"/>
        <v>798746.55331656989</v>
      </c>
      <c r="AD49" s="309">
        <f t="shared" si="68"/>
        <v>880756.23708080349</v>
      </c>
      <c r="AE49" s="309">
        <f t="shared" si="68"/>
        <v>962095.63018391829</v>
      </c>
      <c r="AF49" s="309">
        <f t="shared" si="68"/>
        <v>961470.26889218122</v>
      </c>
      <c r="AG49" s="309">
        <f t="shared" si="68"/>
        <v>964997.20289607486</v>
      </c>
      <c r="AH49" s="309">
        <f t="shared" si="68"/>
        <v>1013884.8745217485</v>
      </c>
      <c r="AI49" s="309">
        <f t="shared" si="68"/>
        <v>1094711.4850790747</v>
      </c>
      <c r="AJ49" s="309">
        <f t="shared" si="68"/>
        <v>1122051.6070714057</v>
      </c>
      <c r="AK49" s="309">
        <f t="shared" si="68"/>
        <v>1119906.7870831771</v>
      </c>
      <c r="AL49" s="309">
        <f t="shared" si="68"/>
        <v>1114849.5048115957</v>
      </c>
      <c r="AM49" s="309">
        <f t="shared" si="68"/>
        <v>1095746.4193720778</v>
      </c>
      <c r="AN49" s="309">
        <f t="shared" si="68"/>
        <v>1137678.2983923957</v>
      </c>
      <c r="AO49" s="309">
        <f t="shared" si="68"/>
        <v>1178741.7393693591</v>
      </c>
      <c r="AP49" s="309">
        <f t="shared" si="68"/>
        <v>1189305.9761365184</v>
      </c>
      <c r="AQ49" s="309">
        <f t="shared" si="68"/>
        <v>1189306.9761365186</v>
      </c>
      <c r="AR49" s="309"/>
      <c r="AS49" s="309"/>
      <c r="AT49" s="309"/>
      <c r="AU49" s="309"/>
      <c r="AV49" s="309"/>
      <c r="AW49" s="309"/>
      <c r="AX49" s="309"/>
      <c r="AY49" s="309"/>
      <c r="AZ49" s="309"/>
      <c r="BA49" s="309"/>
      <c r="BB49" s="309"/>
      <c r="BC49" s="308"/>
      <c r="BE49" s="308"/>
      <c r="BF49" s="308"/>
      <c r="BG49" s="308"/>
      <c r="BH49" s="308"/>
      <c r="BI49" s="308"/>
      <c r="BJ49" s="308"/>
      <c r="BK49" s="308"/>
      <c r="BL49" s="308"/>
      <c r="BM49" s="308"/>
      <c r="BN49" s="308"/>
      <c r="BO49" s="308">
        <v>0</v>
      </c>
      <c r="BP49" s="308">
        <f t="shared" ref="BP49:BP61" si="69">BO49-Q49</f>
        <v>0</v>
      </c>
      <c r="BQ49" s="308"/>
      <c r="BR49" s="308"/>
    </row>
    <row r="50" spans="1:70">
      <c r="A50" s="301" t="s">
        <v>44</v>
      </c>
      <c r="B50" s="308">
        <f t="shared" si="68"/>
        <v>0</v>
      </c>
      <c r="C50" s="308">
        <f t="shared" si="68"/>
        <v>226270</v>
      </c>
      <c r="D50" s="308">
        <f t="shared" si="68"/>
        <v>417419</v>
      </c>
      <c r="E50" s="308">
        <f t="shared" si="68"/>
        <v>6161</v>
      </c>
      <c r="F50" s="308">
        <f t="shared" si="68"/>
        <v>112631</v>
      </c>
      <c r="G50" s="308">
        <f t="shared" si="68"/>
        <v>11859</v>
      </c>
      <c r="H50" s="308">
        <f t="shared" si="68"/>
        <v>2305</v>
      </c>
      <c r="I50" s="308">
        <f t="shared" si="68"/>
        <v>0</v>
      </c>
      <c r="J50" s="308">
        <f t="shared" si="68"/>
        <v>0</v>
      </c>
      <c r="K50" s="308">
        <f t="shared" si="68"/>
        <v>0</v>
      </c>
      <c r="L50" s="308">
        <f t="shared" si="68"/>
        <v>0</v>
      </c>
      <c r="M50" s="308">
        <f t="shared" si="68"/>
        <v>0</v>
      </c>
      <c r="N50" s="308">
        <f t="shared" si="68"/>
        <v>0</v>
      </c>
      <c r="O50" s="308">
        <f t="shared" si="68"/>
        <v>0</v>
      </c>
      <c r="P50" s="308">
        <f t="shared" si="68"/>
        <v>2175996</v>
      </c>
      <c r="Q50" s="308">
        <f t="shared" si="68"/>
        <v>102606</v>
      </c>
      <c r="R50" s="309">
        <f t="shared" si="68"/>
        <v>414542.4954444457</v>
      </c>
      <c r="S50" s="309">
        <f t="shared" si="68"/>
        <v>500790.49951327825</v>
      </c>
      <c r="T50" s="309">
        <f t="shared" si="68"/>
        <v>523508.76635444968</v>
      </c>
      <c r="U50" s="309">
        <f t="shared" si="68"/>
        <v>561264.5858705003</v>
      </c>
      <c r="V50" s="309">
        <f t="shared" si="68"/>
        <v>600379.42659469019</v>
      </c>
      <c r="W50" s="309">
        <f t="shared" si="68"/>
        <v>624105.39606609161</v>
      </c>
      <c r="X50" s="309">
        <f t="shared" si="68"/>
        <v>707681.5511493457</v>
      </c>
      <c r="Y50" s="309">
        <f t="shared" si="68"/>
        <v>726173.81382139062</v>
      </c>
      <c r="Z50" s="309">
        <f t="shared" si="68"/>
        <v>761034.96409959649</v>
      </c>
      <c r="AA50" s="309">
        <f t="shared" si="68"/>
        <v>806522.92677673744</v>
      </c>
      <c r="AB50" s="309">
        <f t="shared" si="68"/>
        <v>788729.4169970731</v>
      </c>
      <c r="AC50" s="309">
        <f t="shared" si="68"/>
        <v>852802.18145148701</v>
      </c>
      <c r="AD50" s="309">
        <f t="shared" si="68"/>
        <v>940361.91729496222</v>
      </c>
      <c r="AE50" s="309">
        <f t="shared" si="68"/>
        <v>1027206.0001748842</v>
      </c>
      <c r="AF50" s="309">
        <f t="shared" si="68"/>
        <v>1026538.3172013875</v>
      </c>
      <c r="AG50" s="309">
        <f t="shared" si="68"/>
        <v>1030303.9384737008</v>
      </c>
      <c r="AH50" s="309">
        <f t="shared" si="68"/>
        <v>1082500.0434580897</v>
      </c>
      <c r="AI50" s="309">
        <f t="shared" si="68"/>
        <v>1168796.5732656752</v>
      </c>
      <c r="AJ50" s="309">
        <f t="shared" si="68"/>
        <v>1197986.8859171285</v>
      </c>
      <c r="AK50" s="309">
        <f t="shared" si="68"/>
        <v>1195696.8463384726</v>
      </c>
      <c r="AL50" s="309">
        <f t="shared" si="68"/>
        <v>1190297.2419318676</v>
      </c>
      <c r="AM50" s="309">
        <f t="shared" si="68"/>
        <v>1169901.2766244011</v>
      </c>
      <c r="AN50" s="309">
        <f t="shared" si="68"/>
        <v>1214670.8517753391</v>
      </c>
      <c r="AO50" s="309">
        <f t="shared" si="68"/>
        <v>1258513.2168434879</v>
      </c>
      <c r="AP50" s="309">
        <f t="shared" si="68"/>
        <v>1269792.3266779748</v>
      </c>
      <c r="AQ50" s="309">
        <f t="shared" si="68"/>
        <v>1269793.326677975</v>
      </c>
      <c r="AR50" s="309"/>
      <c r="AS50" s="309"/>
      <c r="AT50" s="309"/>
      <c r="AU50" s="309"/>
      <c r="AV50" s="309"/>
      <c r="AW50" s="309"/>
      <c r="AX50" s="309"/>
      <c r="AY50" s="309"/>
      <c r="AZ50" s="309"/>
      <c r="BA50" s="309"/>
      <c r="BB50" s="309"/>
      <c r="BC50" s="308"/>
      <c r="BE50" s="308"/>
      <c r="BF50" s="308"/>
      <c r="BG50" s="308"/>
      <c r="BH50" s="308"/>
      <c r="BI50" s="308"/>
      <c r="BJ50" s="308"/>
      <c r="BK50" s="308"/>
      <c r="BL50" s="308"/>
      <c r="BM50" s="308"/>
      <c r="BN50" s="308"/>
      <c r="BO50" s="308">
        <v>102606</v>
      </c>
      <c r="BP50" s="308">
        <f t="shared" si="69"/>
        <v>0</v>
      </c>
      <c r="BQ50" s="308"/>
      <c r="BR50" s="308"/>
    </row>
    <row r="51" spans="1:70">
      <c r="A51" s="301" t="s">
        <v>45</v>
      </c>
      <c r="B51" s="308">
        <f t="shared" si="68"/>
        <v>0</v>
      </c>
      <c r="C51" s="308">
        <f t="shared" si="68"/>
        <v>178482</v>
      </c>
      <c r="D51" s="308">
        <f t="shared" si="68"/>
        <v>0</v>
      </c>
      <c r="E51" s="308">
        <f t="shared" si="68"/>
        <v>0</v>
      </c>
      <c r="F51" s="308">
        <f t="shared" si="68"/>
        <v>0</v>
      </c>
      <c r="G51" s="308">
        <f t="shared" si="68"/>
        <v>4900022</v>
      </c>
      <c r="H51" s="308">
        <f t="shared" si="68"/>
        <v>1314454</v>
      </c>
      <c r="I51" s="308">
        <f t="shared" si="68"/>
        <v>0</v>
      </c>
      <c r="J51" s="308">
        <f t="shared" si="68"/>
        <v>0</v>
      </c>
      <c r="K51" s="308">
        <f t="shared" si="68"/>
        <v>0</v>
      </c>
      <c r="L51" s="308">
        <f t="shared" si="68"/>
        <v>0</v>
      </c>
      <c r="M51" s="308">
        <f t="shared" si="68"/>
        <v>0</v>
      </c>
      <c r="N51" s="308">
        <f t="shared" si="68"/>
        <v>0</v>
      </c>
      <c r="O51" s="308">
        <f t="shared" si="68"/>
        <v>0</v>
      </c>
      <c r="P51" s="308">
        <f t="shared" si="68"/>
        <v>877507</v>
      </c>
      <c r="Q51" s="308">
        <f t="shared" si="68"/>
        <v>0</v>
      </c>
      <c r="R51" s="309">
        <f t="shared" si="68"/>
        <v>510538.94673617312</v>
      </c>
      <c r="S51" s="309">
        <f t="shared" si="68"/>
        <v>616759.57704378408</v>
      </c>
      <c r="T51" s="309">
        <f t="shared" si="68"/>
        <v>644738.75928016193</v>
      </c>
      <c r="U51" s="309">
        <f t="shared" si="68"/>
        <v>691237.77093931462</v>
      </c>
      <c r="V51" s="309">
        <f t="shared" si="68"/>
        <v>739410.51512003096</v>
      </c>
      <c r="W51" s="309">
        <f t="shared" si="68"/>
        <v>768630.75574032532</v>
      </c>
      <c r="X51" s="309">
        <f t="shared" si="68"/>
        <v>871560.81154248572</v>
      </c>
      <c r="Y51" s="309">
        <f t="shared" si="68"/>
        <v>894335.36520370294</v>
      </c>
      <c r="Z51" s="309">
        <f t="shared" si="68"/>
        <v>937269.38316479232</v>
      </c>
      <c r="AA51" s="309">
        <f t="shared" si="68"/>
        <v>993291.08614958124</v>
      </c>
      <c r="AB51" s="309">
        <f t="shared" si="68"/>
        <v>971377.09701341297</v>
      </c>
      <c r="AC51" s="309">
        <f t="shared" si="68"/>
        <v>1050287.3222340145</v>
      </c>
      <c r="AD51" s="309">
        <f t="shared" si="68"/>
        <v>1158123.4447191122</v>
      </c>
      <c r="AE51" s="309">
        <f t="shared" si="68"/>
        <v>1265078.1890240328</v>
      </c>
      <c r="AF51" s="309">
        <f t="shared" si="68"/>
        <v>1264255.8893423625</v>
      </c>
      <c r="AG51" s="309">
        <f t="shared" si="68"/>
        <v>1268893.5232141637</v>
      </c>
      <c r="AH51" s="309">
        <f t="shared" si="68"/>
        <v>1333176.5551321316</v>
      </c>
      <c r="AI51" s="309">
        <f t="shared" si="68"/>
        <v>1439456.7168107659</v>
      </c>
      <c r="AJ51" s="309">
        <f t="shared" si="68"/>
        <v>1475406.4581359432</v>
      </c>
      <c r="AK51" s="309">
        <f t="shared" si="68"/>
        <v>1472585.8778485856</v>
      </c>
      <c r="AL51" s="309">
        <f t="shared" si="68"/>
        <v>1465935.6444628967</v>
      </c>
      <c r="AM51" s="309">
        <f t="shared" si="68"/>
        <v>1440816.312291587</v>
      </c>
      <c r="AN51" s="309">
        <f t="shared" si="68"/>
        <v>1495953.0377132574</v>
      </c>
      <c r="AO51" s="309">
        <f t="shared" si="68"/>
        <v>1549947.8371218597</v>
      </c>
      <c r="AP51" s="309">
        <f t="shared" si="68"/>
        <v>1563838.6418568373</v>
      </c>
      <c r="AQ51" s="309">
        <f t="shared" si="68"/>
        <v>1563839.6418568376</v>
      </c>
      <c r="AR51" s="309"/>
      <c r="AS51" s="309"/>
      <c r="AT51" s="309"/>
      <c r="AU51" s="309"/>
      <c r="AV51" s="309"/>
      <c r="AW51" s="309"/>
      <c r="AX51" s="309"/>
      <c r="AY51" s="309"/>
      <c r="AZ51" s="309"/>
      <c r="BA51" s="309"/>
      <c r="BB51" s="309"/>
      <c r="BC51" s="308"/>
      <c r="BE51" s="308"/>
      <c r="BF51" s="308"/>
      <c r="BG51" s="308"/>
      <c r="BH51" s="308"/>
      <c r="BI51" s="308"/>
      <c r="BJ51" s="308"/>
      <c r="BK51" s="308"/>
      <c r="BL51" s="308"/>
      <c r="BM51" s="308"/>
      <c r="BN51" s="308"/>
      <c r="BO51" s="308">
        <v>1025941.1298202944</v>
      </c>
      <c r="BP51" s="308">
        <f t="shared" si="69"/>
        <v>1025941.1298202944</v>
      </c>
      <c r="BQ51" s="308"/>
      <c r="BR51" s="308"/>
    </row>
    <row r="52" spans="1:70">
      <c r="A52" s="301" t="s">
        <v>46</v>
      </c>
      <c r="B52" s="308">
        <f t="shared" si="68"/>
        <v>0</v>
      </c>
      <c r="C52" s="308">
        <f t="shared" si="68"/>
        <v>0</v>
      </c>
      <c r="D52" s="308">
        <f t="shared" si="68"/>
        <v>0</v>
      </c>
      <c r="E52" s="308">
        <f t="shared" si="68"/>
        <v>89168</v>
      </c>
      <c r="F52" s="308">
        <f t="shared" si="68"/>
        <v>39300</v>
      </c>
      <c r="G52" s="308">
        <f t="shared" si="68"/>
        <v>7741682</v>
      </c>
      <c r="H52" s="308">
        <f t="shared" si="68"/>
        <v>4884312</v>
      </c>
      <c r="I52" s="308">
        <f t="shared" si="68"/>
        <v>0</v>
      </c>
      <c r="J52" s="308">
        <f t="shared" si="68"/>
        <v>0</v>
      </c>
      <c r="K52" s="308">
        <f t="shared" si="68"/>
        <v>0</v>
      </c>
      <c r="L52" s="308">
        <f t="shared" si="68"/>
        <v>0</v>
      </c>
      <c r="M52" s="308">
        <f t="shared" si="68"/>
        <v>0</v>
      </c>
      <c r="N52" s="308">
        <f t="shared" si="68"/>
        <v>0</v>
      </c>
      <c r="O52" s="308">
        <f t="shared" si="68"/>
        <v>0</v>
      </c>
      <c r="P52" s="308">
        <f t="shared" si="68"/>
        <v>3428654</v>
      </c>
      <c r="Q52" s="309">
        <f t="shared" si="68"/>
        <v>432681.47152891645</v>
      </c>
      <c r="R52" s="309">
        <f t="shared" si="68"/>
        <v>523338.83410284703</v>
      </c>
      <c r="S52" s="309">
        <f t="shared" si="68"/>
        <v>632222.55625221925</v>
      </c>
      <c r="T52" s="309">
        <f t="shared" si="68"/>
        <v>660903.21363271051</v>
      </c>
      <c r="U52" s="309">
        <f t="shared" si="68"/>
        <v>708568.01708052855</v>
      </c>
      <c r="V52" s="309">
        <f t="shared" si="68"/>
        <v>757948.51574030786</v>
      </c>
      <c r="W52" s="309">
        <f t="shared" si="68"/>
        <v>787901.3464816066</v>
      </c>
      <c r="X52" s="309">
        <f t="shared" si="68"/>
        <v>893411.99506583728</v>
      </c>
      <c r="Y52" s="309">
        <f t="shared" si="68"/>
        <v>916757.53694167256</v>
      </c>
      <c r="Z52" s="309">
        <f t="shared" si="68"/>
        <v>960767.96757923625</v>
      </c>
      <c r="AA52" s="309">
        <f t="shared" si="68"/>
        <v>1018194.2088326111</v>
      </c>
      <c r="AB52" s="309">
        <f t="shared" si="68"/>
        <v>995730.80697388644</v>
      </c>
      <c r="AC52" s="309">
        <f t="shared" si="68"/>
        <v>1076619.4160207559</v>
      </c>
      <c r="AD52" s="309">
        <f t="shared" si="68"/>
        <v>1187159.1328754744</v>
      </c>
      <c r="AE52" s="309">
        <f t="shared" si="68"/>
        <v>1296795.3742320621</v>
      </c>
      <c r="AF52" s="309">
        <f t="shared" si="68"/>
        <v>1295952.4584086179</v>
      </c>
      <c r="AG52" s="309">
        <f t="shared" si="68"/>
        <v>1300706.3639019798</v>
      </c>
      <c r="AH52" s="309">
        <f t="shared" si="68"/>
        <v>1366601.0314718625</v>
      </c>
      <c r="AI52" s="309">
        <f t="shared" si="68"/>
        <v>1475545.752451227</v>
      </c>
      <c r="AJ52" s="309">
        <f t="shared" si="68"/>
        <v>1512396.7763188579</v>
      </c>
      <c r="AK52" s="309">
        <f t="shared" si="68"/>
        <v>1509505.4552778224</v>
      </c>
      <c r="AL52" s="309">
        <f t="shared" si="68"/>
        <v>1502688.4666646812</v>
      </c>
      <c r="AM52" s="309">
        <f t="shared" si="68"/>
        <v>1476939.3345056097</v>
      </c>
      <c r="AN52" s="309">
        <f t="shared" si="68"/>
        <v>1533458.3855652928</v>
      </c>
      <c r="AO52" s="309">
        <f t="shared" si="68"/>
        <v>1588806.8810148085</v>
      </c>
      <c r="AP52" s="309">
        <f t="shared" si="68"/>
        <v>1603045.9215450953</v>
      </c>
      <c r="AQ52" s="309">
        <f t="shared" si="68"/>
        <v>1603046.9215450955</v>
      </c>
      <c r="AR52" s="309"/>
      <c r="AS52" s="309"/>
      <c r="AT52" s="309"/>
      <c r="AU52" s="309"/>
      <c r="AV52" s="309"/>
      <c r="AW52" s="309"/>
      <c r="AX52" s="309"/>
      <c r="AY52" s="309"/>
      <c r="AZ52" s="309"/>
      <c r="BA52" s="309"/>
      <c r="BB52" s="309"/>
      <c r="BC52" s="308"/>
      <c r="BE52" s="308"/>
      <c r="BF52" s="308"/>
      <c r="BG52" s="308"/>
      <c r="BH52" s="308"/>
      <c r="BI52" s="308"/>
      <c r="BJ52" s="308"/>
      <c r="BK52" s="308"/>
      <c r="BL52" s="308"/>
      <c r="BM52" s="308"/>
      <c r="BN52" s="308"/>
      <c r="BO52" s="308">
        <v>1051662.8323279859</v>
      </c>
      <c r="BP52" s="308">
        <f t="shared" si="69"/>
        <v>618981.36079906952</v>
      </c>
      <c r="BQ52" s="308"/>
      <c r="BR52" s="308"/>
    </row>
    <row r="53" spans="1:70">
      <c r="A53" s="301" t="s">
        <v>47</v>
      </c>
      <c r="B53" s="308">
        <f t="shared" si="68"/>
        <v>0</v>
      </c>
      <c r="C53" s="308">
        <f t="shared" si="68"/>
        <v>317472</v>
      </c>
      <c r="D53" s="308">
        <f t="shared" si="68"/>
        <v>0</v>
      </c>
      <c r="E53" s="308">
        <f t="shared" si="68"/>
        <v>51184</v>
      </c>
      <c r="F53" s="308">
        <f t="shared" si="68"/>
        <v>3455254</v>
      </c>
      <c r="G53" s="308">
        <f t="shared" si="68"/>
        <v>4443940</v>
      </c>
      <c r="H53" s="308">
        <f t="shared" si="68"/>
        <v>13868372</v>
      </c>
      <c r="I53" s="308">
        <f t="shared" si="68"/>
        <v>0</v>
      </c>
      <c r="J53" s="308">
        <f t="shared" si="68"/>
        <v>0</v>
      </c>
      <c r="K53" s="308">
        <f t="shared" si="68"/>
        <v>0</v>
      </c>
      <c r="L53" s="308">
        <f t="shared" si="68"/>
        <v>0</v>
      </c>
      <c r="M53" s="308">
        <f t="shared" si="68"/>
        <v>0</v>
      </c>
      <c r="N53" s="308">
        <f t="shared" si="68"/>
        <v>0</v>
      </c>
      <c r="O53" s="308">
        <f t="shared" si="68"/>
        <v>0</v>
      </c>
      <c r="P53" s="308">
        <f t="shared" si="68"/>
        <v>1403015</v>
      </c>
      <c r="Q53" s="309">
        <f t="shared" si="68"/>
        <v>449465.43806489097</v>
      </c>
      <c r="R53" s="309">
        <f t="shared" si="68"/>
        <v>543639.45258674037</v>
      </c>
      <c r="S53" s="309">
        <f t="shared" si="68"/>
        <v>656746.83779801778</v>
      </c>
      <c r="T53" s="309">
        <f t="shared" si="68"/>
        <v>686540.03459925868</v>
      </c>
      <c r="U53" s="309">
        <f t="shared" si="68"/>
        <v>736053.78356162598</v>
      </c>
      <c r="V53" s="309">
        <f t="shared" si="68"/>
        <v>787349.78055348515</v>
      </c>
      <c r="W53" s="309">
        <f t="shared" si="68"/>
        <v>818464.4990618825</v>
      </c>
      <c r="X53" s="309">
        <f t="shared" si="68"/>
        <v>928067.96721790824</v>
      </c>
      <c r="Y53" s="309">
        <f t="shared" si="68"/>
        <v>952319.09627366986</v>
      </c>
      <c r="Z53" s="309">
        <f t="shared" si="68"/>
        <v>998036.71717395622</v>
      </c>
      <c r="AA53" s="309">
        <f t="shared" si="68"/>
        <v>1057690.5558053229</v>
      </c>
      <c r="AB53" s="309">
        <f t="shared" si="68"/>
        <v>1034355.7854922275</v>
      </c>
      <c r="AC53" s="309">
        <f t="shared" si="68"/>
        <v>1118382.1108424708</v>
      </c>
      <c r="AD53" s="309">
        <f t="shared" si="68"/>
        <v>1233209.7277591678</v>
      </c>
      <c r="AE53" s="309">
        <f t="shared" si="68"/>
        <v>1347098.8228364307</v>
      </c>
      <c r="AF53" s="309">
        <f t="shared" si="68"/>
        <v>1346223.2098167711</v>
      </c>
      <c r="AG53" s="309">
        <f t="shared" si="68"/>
        <v>1351161.5220757704</v>
      </c>
      <c r="AH53" s="309">
        <f t="shared" si="68"/>
        <v>1419612.2434270121</v>
      </c>
      <c r="AI53" s="309">
        <f t="shared" si="68"/>
        <v>1532782.9548578768</v>
      </c>
      <c r="AJ53" s="309">
        <f t="shared" si="68"/>
        <v>1571063.4126350731</v>
      </c>
      <c r="AK53" s="309">
        <f t="shared" si="68"/>
        <v>1568059.8967746187</v>
      </c>
      <c r="AL53" s="309">
        <f t="shared" si="68"/>
        <v>1560978.4344082538</v>
      </c>
      <c r="AM53" s="309">
        <f t="shared" si="68"/>
        <v>1534230.439610282</v>
      </c>
      <c r="AN53" s="309">
        <f t="shared" si="68"/>
        <v>1592941.858820864</v>
      </c>
      <c r="AO53" s="309">
        <f t="shared" si="68"/>
        <v>1650437.315886721</v>
      </c>
      <c r="AP53" s="309">
        <f t="shared" si="68"/>
        <v>1665228.6583100234</v>
      </c>
      <c r="AQ53" s="309">
        <f t="shared" si="68"/>
        <v>1665229.6583100236</v>
      </c>
      <c r="AR53" s="309"/>
      <c r="AS53" s="309"/>
      <c r="AT53" s="309"/>
      <c r="AU53" s="309"/>
      <c r="AV53" s="309"/>
      <c r="AW53" s="309"/>
      <c r="AX53" s="309"/>
      <c r="AY53" s="309"/>
      <c r="AZ53" s="309"/>
      <c r="BA53" s="309"/>
      <c r="BB53" s="309"/>
      <c r="BC53" s="308"/>
      <c r="BE53" s="308"/>
      <c r="BF53" s="308"/>
      <c r="BG53" s="308"/>
      <c r="BH53" s="308"/>
      <c r="BI53" s="308"/>
      <c r="BJ53" s="308"/>
      <c r="BK53" s="308"/>
      <c r="BL53" s="308"/>
      <c r="BM53" s="308"/>
      <c r="BN53" s="308"/>
      <c r="BO53" s="308">
        <v>1092457.4467184509</v>
      </c>
      <c r="BP53" s="308">
        <f t="shared" si="69"/>
        <v>642992.00865355995</v>
      </c>
      <c r="BQ53" s="308"/>
      <c r="BR53" s="308"/>
    </row>
    <row r="54" spans="1:70">
      <c r="A54" s="301" t="s">
        <v>48</v>
      </c>
      <c r="B54" s="308">
        <f t="shared" si="68"/>
        <v>0</v>
      </c>
      <c r="C54" s="308">
        <f t="shared" si="68"/>
        <v>422024</v>
      </c>
      <c r="D54" s="308">
        <f t="shared" si="68"/>
        <v>0</v>
      </c>
      <c r="E54" s="308">
        <f t="shared" si="68"/>
        <v>67324</v>
      </c>
      <c r="F54" s="308">
        <f t="shared" si="68"/>
        <v>4957613</v>
      </c>
      <c r="G54" s="308">
        <f t="shared" si="68"/>
        <v>8878139</v>
      </c>
      <c r="H54" s="308">
        <f t="shared" si="68"/>
        <v>16840815</v>
      </c>
      <c r="I54" s="308">
        <f t="shared" si="68"/>
        <v>0</v>
      </c>
      <c r="J54" s="308">
        <f t="shared" si="68"/>
        <v>0</v>
      </c>
      <c r="K54" s="308">
        <f t="shared" si="68"/>
        <v>0</v>
      </c>
      <c r="L54" s="308">
        <f t="shared" si="68"/>
        <v>0</v>
      </c>
      <c r="M54" s="308">
        <f t="shared" si="68"/>
        <v>0</v>
      </c>
      <c r="N54" s="308">
        <f t="shared" si="68"/>
        <v>0</v>
      </c>
      <c r="O54" s="308">
        <f t="shared" si="68"/>
        <v>0</v>
      </c>
      <c r="P54" s="308">
        <f t="shared" si="68"/>
        <v>4599372</v>
      </c>
      <c r="Q54" s="309">
        <f t="shared" si="68"/>
        <v>448729.11148699315</v>
      </c>
      <c r="R54" s="309">
        <f t="shared" si="68"/>
        <v>542748.84756167582</v>
      </c>
      <c r="S54" s="309">
        <f t="shared" si="68"/>
        <v>655670.9371599108</v>
      </c>
      <c r="T54" s="309">
        <f t="shared" si="68"/>
        <v>685415.32593101775</v>
      </c>
      <c r="U54" s="309">
        <f t="shared" si="68"/>
        <v>734847.96011515125</v>
      </c>
      <c r="V54" s="309">
        <f t="shared" si="68"/>
        <v>786059.92260129296</v>
      </c>
      <c r="W54" s="309">
        <f t="shared" si="68"/>
        <v>817123.66812653909</v>
      </c>
      <c r="X54" s="309">
        <f t="shared" si="68"/>
        <v>926547.58088230866</v>
      </c>
      <c r="Y54" s="309">
        <f t="shared" si="68"/>
        <v>950758.98107494635</v>
      </c>
      <c r="Z54" s="309">
        <f t="shared" si="68"/>
        <v>996401.70611785154</v>
      </c>
      <c r="AA54" s="309">
        <f t="shared" si="68"/>
        <v>1055957.8181986585</v>
      </c>
      <c r="AB54" s="309">
        <f t="shared" si="68"/>
        <v>1032661.2755447235</v>
      </c>
      <c r="AC54" s="309">
        <f t="shared" si="68"/>
        <v>1116549.9466698391</v>
      </c>
      <c r="AD54" s="309">
        <f t="shared" si="68"/>
        <v>1231189.4498428488</v>
      </c>
      <c r="AE54" s="309">
        <f t="shared" si="68"/>
        <v>1344891.9686885797</v>
      </c>
      <c r="AF54" s="309">
        <f t="shared" si="68"/>
        <v>1344017.7901221258</v>
      </c>
      <c r="AG54" s="309">
        <f t="shared" si="68"/>
        <v>1348948.0123028711</v>
      </c>
      <c r="AH54" s="309">
        <f t="shared" si="68"/>
        <v>1417286.5974478279</v>
      </c>
      <c r="AI54" s="309">
        <f t="shared" si="68"/>
        <v>1530271.9111611324</v>
      </c>
      <c r="AJ54" s="309">
        <f t="shared" si="68"/>
        <v>1568489.658483282</v>
      </c>
      <c r="AK54" s="309">
        <f t="shared" si="68"/>
        <v>1565491.0647029129</v>
      </c>
      <c r="AL54" s="309">
        <f t="shared" si="68"/>
        <v>1558421.2050201711</v>
      </c>
      <c r="AM54" s="309">
        <f t="shared" si="68"/>
        <v>1531717.0311573229</v>
      </c>
      <c r="AN54" s="309">
        <f t="shared" si="68"/>
        <v>1590332.2693528521</v>
      </c>
      <c r="AO54" s="309">
        <f t="shared" si="68"/>
        <v>1647733.5374261099</v>
      </c>
      <c r="AP54" s="309">
        <f t="shared" si="68"/>
        <v>1662500.6499057948</v>
      </c>
      <c r="AQ54" s="309">
        <f t="shared" si="68"/>
        <v>1662501.649905795</v>
      </c>
      <c r="AR54" s="309"/>
      <c r="AS54" s="309"/>
      <c r="AT54" s="309"/>
      <c r="AU54" s="309"/>
      <c r="AV54" s="309"/>
      <c r="AW54" s="309"/>
      <c r="AX54" s="309"/>
      <c r="AY54" s="309"/>
      <c r="AZ54" s="309"/>
      <c r="BA54" s="309"/>
      <c r="BB54" s="309"/>
      <c r="BC54" s="308"/>
      <c r="BE54" s="308"/>
      <c r="BF54" s="308"/>
      <c r="BG54" s="308"/>
      <c r="BH54" s="308"/>
      <c r="BI54" s="308"/>
      <c r="BJ54" s="308"/>
      <c r="BK54" s="308"/>
      <c r="BL54" s="308"/>
      <c r="BM54" s="308"/>
      <c r="BN54" s="308"/>
      <c r="BO54" s="308">
        <v>1090667.753039879</v>
      </c>
      <c r="BP54" s="308">
        <f t="shared" si="69"/>
        <v>641938.64155288588</v>
      </c>
      <c r="BQ54" s="308"/>
      <c r="BR54" s="308"/>
    </row>
    <row r="55" spans="1:70">
      <c r="A55" s="301" t="s">
        <v>49</v>
      </c>
      <c r="B55" s="308">
        <f t="shared" si="68"/>
        <v>2496971</v>
      </c>
      <c r="C55" s="308">
        <f t="shared" si="68"/>
        <v>157468</v>
      </c>
      <c r="D55" s="308">
        <f t="shared" si="68"/>
        <v>0</v>
      </c>
      <c r="E55" s="308">
        <f t="shared" ref="B55:AQ60" si="70">E71+E87</f>
        <v>212273</v>
      </c>
      <c r="F55" s="308">
        <f t="shared" si="70"/>
        <v>8092683</v>
      </c>
      <c r="G55" s="308">
        <f t="shared" si="70"/>
        <v>13350043</v>
      </c>
      <c r="H55" s="308">
        <f t="shared" si="70"/>
        <v>14500899</v>
      </c>
      <c r="I55" s="308">
        <f t="shared" si="70"/>
        <v>0</v>
      </c>
      <c r="J55" s="308">
        <f t="shared" si="70"/>
        <v>0</v>
      </c>
      <c r="K55" s="308">
        <f t="shared" si="70"/>
        <v>0</v>
      </c>
      <c r="L55" s="308">
        <f t="shared" si="70"/>
        <v>0</v>
      </c>
      <c r="M55" s="308">
        <f t="shared" si="70"/>
        <v>0</v>
      </c>
      <c r="N55" s="308">
        <f t="shared" si="70"/>
        <v>0</v>
      </c>
      <c r="O55" s="308">
        <f t="shared" si="70"/>
        <v>0</v>
      </c>
      <c r="P55" s="308">
        <f t="shared" si="70"/>
        <v>606134</v>
      </c>
      <c r="Q55" s="309">
        <f t="shared" si="70"/>
        <v>448303.93446367659</v>
      </c>
      <c r="R55" s="309">
        <f t="shared" si="70"/>
        <v>542234.58554143365</v>
      </c>
      <c r="S55" s="309">
        <f t="shared" si="70"/>
        <v>655049.67990202294</v>
      </c>
      <c r="T55" s="309">
        <f t="shared" si="70"/>
        <v>684765.88545444782</v>
      </c>
      <c r="U55" s="309">
        <f t="shared" si="70"/>
        <v>734151.68153577263</v>
      </c>
      <c r="V55" s="309">
        <f t="shared" si="70"/>
        <v>785315.11998099368</v>
      </c>
      <c r="W55" s="309">
        <f t="shared" si="70"/>
        <v>816349.43217883259</v>
      </c>
      <c r="X55" s="309">
        <f t="shared" si="70"/>
        <v>925669.66426777188</v>
      </c>
      <c r="Y55" s="309">
        <f t="shared" si="70"/>
        <v>949858.12382473284</v>
      </c>
      <c r="Z55" s="309">
        <f t="shared" si="70"/>
        <v>995457.60175602185</v>
      </c>
      <c r="AA55" s="309">
        <f t="shared" si="70"/>
        <v>1054957.2835990603</v>
      </c>
      <c r="AB55" s="309">
        <f t="shared" si="70"/>
        <v>1031682.8147406639</v>
      </c>
      <c r="AC55" s="309">
        <f t="shared" si="70"/>
        <v>1115492.0001926506</v>
      </c>
      <c r="AD55" s="309">
        <f t="shared" si="70"/>
        <v>1230022.8808549612</v>
      </c>
      <c r="AE55" s="309">
        <f t="shared" si="70"/>
        <v>1343617.6649955683</v>
      </c>
      <c r="AF55" s="309">
        <f t="shared" si="70"/>
        <v>1342744.3147253653</v>
      </c>
      <c r="AG55" s="309">
        <f t="shared" si="70"/>
        <v>1347669.8654525822</v>
      </c>
      <c r="AH55" s="309">
        <f t="shared" si="70"/>
        <v>1415943.6997929027</v>
      </c>
      <c r="AI55" s="309">
        <f t="shared" si="70"/>
        <v>1528821.959310354</v>
      </c>
      <c r="AJ55" s="309">
        <f t="shared" si="70"/>
        <v>1567003.4957372188</v>
      </c>
      <c r="AK55" s="309">
        <f t="shared" si="70"/>
        <v>1564007.7441133356</v>
      </c>
      <c r="AL55" s="309">
        <f t="shared" si="70"/>
        <v>1556944.5841676851</v>
      </c>
      <c r="AM55" s="309">
        <f t="shared" si="70"/>
        <v>1530265.7138254677</v>
      </c>
      <c r="AN55" s="309">
        <f t="shared" si="70"/>
        <v>1588825.4142217282</v>
      </c>
      <c r="AO55" s="309">
        <f t="shared" si="70"/>
        <v>1646172.2947491542</v>
      </c>
      <c r="AP55" s="309">
        <f t="shared" si="70"/>
        <v>1660925.4161335668</v>
      </c>
      <c r="AQ55" s="309">
        <f t="shared" si="70"/>
        <v>1660926.4161335672</v>
      </c>
      <c r="AR55" s="309"/>
      <c r="AS55" s="309"/>
      <c r="AT55" s="309"/>
      <c r="AU55" s="309"/>
      <c r="AV55" s="309"/>
      <c r="AW55" s="309"/>
      <c r="AX55" s="309"/>
      <c r="AY55" s="309"/>
      <c r="AZ55" s="309"/>
      <c r="BA55" s="309"/>
      <c r="BB55" s="309"/>
      <c r="BC55" s="308"/>
      <c r="BE55" s="308"/>
      <c r="BF55" s="308"/>
      <c r="BG55" s="308"/>
      <c r="BH55" s="308"/>
      <c r="BI55" s="308"/>
      <c r="BJ55" s="308"/>
      <c r="BK55" s="308"/>
      <c r="BL55" s="308"/>
      <c r="BM55" s="309"/>
      <c r="BN55" s="308"/>
      <c r="BO55" s="308">
        <v>1089634.3302981984</v>
      </c>
      <c r="BP55" s="308">
        <f t="shared" si="69"/>
        <v>641330.39583452186</v>
      </c>
      <c r="BQ55" s="308"/>
      <c r="BR55" s="308"/>
    </row>
    <row r="56" spans="1:70">
      <c r="A56" s="301" t="s">
        <v>50</v>
      </c>
      <c r="B56" s="308">
        <f t="shared" si="70"/>
        <v>3529440</v>
      </c>
      <c r="C56" s="308">
        <f t="shared" si="70"/>
        <v>206406</v>
      </c>
      <c r="D56" s="308">
        <f t="shared" si="70"/>
        <v>99089</v>
      </c>
      <c r="E56" s="308">
        <f t="shared" si="70"/>
        <v>2764118</v>
      </c>
      <c r="F56" s="308">
        <f t="shared" si="70"/>
        <v>6088011</v>
      </c>
      <c r="G56" s="308">
        <f t="shared" si="70"/>
        <v>16990647</v>
      </c>
      <c r="H56" s="308">
        <f t="shared" si="70"/>
        <v>3073885</v>
      </c>
      <c r="I56" s="308">
        <f t="shared" si="70"/>
        <v>0</v>
      </c>
      <c r="J56" s="308">
        <f t="shared" si="70"/>
        <v>0</v>
      </c>
      <c r="K56" s="308">
        <f t="shared" si="70"/>
        <v>0</v>
      </c>
      <c r="L56" s="308">
        <f t="shared" si="70"/>
        <v>0</v>
      </c>
      <c r="M56" s="308">
        <f t="shared" si="70"/>
        <v>0</v>
      </c>
      <c r="N56" s="308">
        <f t="shared" si="70"/>
        <v>0</v>
      </c>
      <c r="O56" s="308">
        <f t="shared" si="70"/>
        <v>54198</v>
      </c>
      <c r="P56" s="308">
        <f t="shared" si="70"/>
        <v>279593</v>
      </c>
      <c r="Q56" s="309">
        <f t="shared" si="70"/>
        <v>462849.03651519306</v>
      </c>
      <c r="R56" s="309">
        <f t="shared" si="70"/>
        <v>559827.24261234968</v>
      </c>
      <c r="S56" s="309">
        <f t="shared" si="70"/>
        <v>676302.59273756738</v>
      </c>
      <c r="T56" s="309">
        <f t="shared" si="70"/>
        <v>706982.93268435332</v>
      </c>
      <c r="U56" s="309">
        <f t="shared" si="70"/>
        <v>757971.03779907443</v>
      </c>
      <c r="V56" s="309">
        <f t="shared" si="70"/>
        <v>810794.4604119173</v>
      </c>
      <c r="W56" s="309">
        <f t="shared" si="70"/>
        <v>842835.67262404284</v>
      </c>
      <c r="X56" s="309">
        <f t="shared" si="70"/>
        <v>955702.77059969655</v>
      </c>
      <c r="Y56" s="309">
        <f t="shared" si="70"/>
        <v>980676.01830076741</v>
      </c>
      <c r="Z56" s="309">
        <f t="shared" si="70"/>
        <v>1027754.9591789964</v>
      </c>
      <c r="AA56" s="309">
        <f t="shared" si="70"/>
        <v>1089185.0923919859</v>
      </c>
      <c r="AB56" s="309">
        <f t="shared" si="70"/>
        <v>1065155.4895748717</v>
      </c>
      <c r="AC56" s="309">
        <f t="shared" si="70"/>
        <v>1151683.8417830283</v>
      </c>
      <c r="AD56" s="309">
        <f t="shared" si="70"/>
        <v>1269930.6464406888</v>
      </c>
      <c r="AE56" s="309">
        <f t="shared" si="70"/>
        <v>1387210.9831736942</v>
      </c>
      <c r="AF56" s="309">
        <f t="shared" si="70"/>
        <v>1386309.2972859996</v>
      </c>
      <c r="AG56" s="309">
        <f t="shared" si="70"/>
        <v>1391394.656197977</v>
      </c>
      <c r="AH56" s="309">
        <f t="shared" si="70"/>
        <v>1461883.5845102347</v>
      </c>
      <c r="AI56" s="309">
        <f t="shared" si="70"/>
        <v>1578424.116724313</v>
      </c>
      <c r="AJ56" s="309">
        <f t="shared" si="70"/>
        <v>1617844.4105120183</v>
      </c>
      <c r="AK56" s="309">
        <f t="shared" si="70"/>
        <v>1614751.4300778534</v>
      </c>
      <c r="AL56" s="309">
        <f t="shared" si="70"/>
        <v>1607459.0753395213</v>
      </c>
      <c r="AM56" s="309">
        <f t="shared" si="70"/>
        <v>1579914.5836921663</v>
      </c>
      <c r="AN56" s="309">
        <f t="shared" si="70"/>
        <v>1640374.2055653299</v>
      </c>
      <c r="AO56" s="309">
        <f t="shared" si="70"/>
        <v>1699581.6579512281</v>
      </c>
      <c r="AP56" s="309">
        <f t="shared" si="70"/>
        <v>1714813.4079947209</v>
      </c>
      <c r="AQ56" s="309">
        <f t="shared" si="70"/>
        <v>1714814.4079947211</v>
      </c>
      <c r="AR56" s="309"/>
      <c r="AS56" s="309"/>
      <c r="AT56" s="309"/>
      <c r="AU56" s="309"/>
      <c r="AV56" s="309"/>
      <c r="AW56" s="309"/>
      <c r="AX56" s="309"/>
      <c r="AY56" s="309"/>
      <c r="AZ56" s="309"/>
      <c r="BA56" s="309"/>
      <c r="BB56" s="309"/>
      <c r="BC56" s="308"/>
      <c r="BE56" s="308"/>
      <c r="BF56" s="308"/>
      <c r="BG56" s="308"/>
      <c r="BH56" s="308"/>
      <c r="BI56" s="308"/>
      <c r="BJ56" s="308"/>
      <c r="BK56" s="308"/>
      <c r="BL56" s="308"/>
      <c r="BM56" s="309"/>
      <c r="BN56" s="308"/>
      <c r="BO56" s="308">
        <v>1124987.2266585296</v>
      </c>
      <c r="BP56" s="308">
        <f t="shared" si="69"/>
        <v>662138.19014333654</v>
      </c>
      <c r="BQ56" s="308"/>
      <c r="BR56" s="308"/>
    </row>
    <row r="57" spans="1:70">
      <c r="A57" s="301" t="s">
        <v>51</v>
      </c>
      <c r="B57" s="308">
        <f t="shared" si="70"/>
        <v>5807541</v>
      </c>
      <c r="C57" s="308">
        <f t="shared" si="70"/>
        <v>145377</v>
      </c>
      <c r="D57" s="308">
        <f t="shared" si="70"/>
        <v>0</v>
      </c>
      <c r="E57" s="308">
        <f t="shared" si="70"/>
        <v>9617072</v>
      </c>
      <c r="F57" s="308">
        <f t="shared" si="70"/>
        <v>9293633</v>
      </c>
      <c r="G57" s="308">
        <f t="shared" si="70"/>
        <v>3152145</v>
      </c>
      <c r="H57" s="308">
        <f t="shared" si="70"/>
        <v>16964645</v>
      </c>
      <c r="I57" s="308">
        <f t="shared" si="70"/>
        <v>0</v>
      </c>
      <c r="J57" s="308">
        <f t="shared" si="70"/>
        <v>0</v>
      </c>
      <c r="K57" s="308">
        <f t="shared" si="70"/>
        <v>0</v>
      </c>
      <c r="L57" s="308">
        <f t="shared" si="70"/>
        <v>0</v>
      </c>
      <c r="M57" s="308">
        <f t="shared" si="70"/>
        <v>0</v>
      </c>
      <c r="N57" s="308">
        <f t="shared" si="70"/>
        <v>0</v>
      </c>
      <c r="O57" s="308">
        <f t="shared" si="70"/>
        <v>3165731</v>
      </c>
      <c r="P57" s="308">
        <f t="shared" si="70"/>
        <v>252609</v>
      </c>
      <c r="Q57" s="309">
        <f t="shared" si="70"/>
        <v>435296.4495163933</v>
      </c>
      <c r="R57" s="309">
        <f t="shared" si="70"/>
        <v>526501.71400693676</v>
      </c>
      <c r="S57" s="309">
        <f t="shared" si="70"/>
        <v>636043.49192100135</v>
      </c>
      <c r="T57" s="309">
        <f t="shared" si="70"/>
        <v>664897.48532961356</v>
      </c>
      <c r="U57" s="309">
        <f t="shared" si="70"/>
        <v>712850.35845453839</v>
      </c>
      <c r="V57" s="309">
        <f t="shared" si="70"/>
        <v>762529.29586314992</v>
      </c>
      <c r="W57" s="309">
        <f t="shared" si="70"/>
        <v>792663.15121078177</v>
      </c>
      <c r="X57" s="309">
        <f t="shared" si="70"/>
        <v>898811.46986328962</v>
      </c>
      <c r="Y57" s="309">
        <f t="shared" si="70"/>
        <v>922298.10416421853</v>
      </c>
      <c r="Z57" s="309">
        <f t="shared" si="70"/>
        <v>966574.51870659296</v>
      </c>
      <c r="AA57" s="309">
        <f t="shared" si="70"/>
        <v>1024347.8244095976</v>
      </c>
      <c r="AB57" s="309">
        <f t="shared" si="70"/>
        <v>1001748.6614766191</v>
      </c>
      <c r="AC57" s="309">
        <f t="shared" si="70"/>
        <v>1083126.1334538742</v>
      </c>
      <c r="AD57" s="309">
        <f t="shared" si="70"/>
        <v>1194333.9143356832</v>
      </c>
      <c r="AE57" s="309">
        <f t="shared" si="70"/>
        <v>1304632.7594242126</v>
      </c>
      <c r="AF57" s="309">
        <f t="shared" si="70"/>
        <v>1303784.7493074636</v>
      </c>
      <c r="AG57" s="309">
        <f t="shared" si="70"/>
        <v>1308567.3857704599</v>
      </c>
      <c r="AH57" s="309">
        <f t="shared" si="70"/>
        <v>1374860.2920021468</v>
      </c>
      <c r="AI57" s="309">
        <f t="shared" si="70"/>
        <v>1484463.431358495</v>
      </c>
      <c r="AJ57" s="309">
        <f t="shared" si="70"/>
        <v>1521537.1640953347</v>
      </c>
      <c r="AK57" s="309">
        <f t="shared" si="70"/>
        <v>1518628.3628607786</v>
      </c>
      <c r="AL57" s="309">
        <f t="shared" si="70"/>
        <v>1511770.1686695958</v>
      </c>
      <c r="AM57" s="309">
        <f t="shared" si="70"/>
        <v>1485865.4115688491</v>
      </c>
      <c r="AN57" s="309">
        <f t="shared" si="70"/>
        <v>1542726.0382890149</v>
      </c>
      <c r="AO57" s="309">
        <f t="shared" si="70"/>
        <v>1598409.0349635335</v>
      </c>
      <c r="AP57" s="309">
        <f t="shared" si="70"/>
        <v>1612734.1253134254</v>
      </c>
      <c r="AQ57" s="309">
        <f t="shared" si="70"/>
        <v>1612735.1253134257</v>
      </c>
      <c r="AR57" s="309"/>
      <c r="AS57" s="309"/>
      <c r="AT57" s="309"/>
      <c r="AU57" s="309"/>
      <c r="AV57" s="309"/>
      <c r="AW57" s="309"/>
      <c r="AX57" s="309"/>
      <c r="AY57" s="309"/>
      <c r="AZ57" s="309"/>
      <c r="BA57" s="309"/>
      <c r="BB57" s="309"/>
      <c r="BC57" s="308"/>
      <c r="BE57" s="308"/>
      <c r="BF57" s="308"/>
      <c r="BG57" s="308"/>
      <c r="BH57" s="308"/>
      <c r="BI57" s="308"/>
      <c r="BJ57" s="308"/>
      <c r="BK57" s="308"/>
      <c r="BL57" s="308"/>
      <c r="BM57" s="309"/>
      <c r="BN57" s="308"/>
      <c r="BO57" s="308">
        <v>1058018.720753408</v>
      </c>
      <c r="BP57" s="308">
        <f t="shared" si="69"/>
        <v>622722.27123701479</v>
      </c>
      <c r="BQ57" s="308"/>
      <c r="BR57" s="308"/>
    </row>
    <row r="58" spans="1:70">
      <c r="A58" s="301" t="s">
        <v>52</v>
      </c>
      <c r="B58" s="308">
        <f t="shared" si="70"/>
        <v>150737</v>
      </c>
      <c r="C58" s="308">
        <f t="shared" si="70"/>
        <v>1886711</v>
      </c>
      <c r="D58" s="308">
        <f t="shared" si="70"/>
        <v>111810</v>
      </c>
      <c r="E58" s="308">
        <f t="shared" si="70"/>
        <v>5531233</v>
      </c>
      <c r="F58" s="308">
        <f t="shared" si="70"/>
        <v>6634189</v>
      </c>
      <c r="G58" s="308">
        <f t="shared" si="70"/>
        <v>7226049</v>
      </c>
      <c r="H58" s="308">
        <f t="shared" si="70"/>
        <v>16377536</v>
      </c>
      <c r="I58" s="308">
        <f t="shared" si="70"/>
        <v>0</v>
      </c>
      <c r="J58" s="308">
        <f t="shared" si="70"/>
        <v>331927</v>
      </c>
      <c r="K58" s="308">
        <f t="shared" si="70"/>
        <v>0</v>
      </c>
      <c r="L58" s="308">
        <f t="shared" si="70"/>
        <v>0</v>
      </c>
      <c r="M58" s="308">
        <f t="shared" si="70"/>
        <v>0</v>
      </c>
      <c r="N58" s="308">
        <f t="shared" si="70"/>
        <v>0</v>
      </c>
      <c r="O58" s="308">
        <f t="shared" si="70"/>
        <v>699159</v>
      </c>
      <c r="P58" s="308">
        <f t="shared" si="70"/>
        <v>142902</v>
      </c>
      <c r="Q58" s="309">
        <f t="shared" si="70"/>
        <v>423972.79617185832</v>
      </c>
      <c r="R58" s="309">
        <f t="shared" si="70"/>
        <v>512805.4780249027</v>
      </c>
      <c r="S58" s="309">
        <f t="shared" si="70"/>
        <v>619497.67349642504</v>
      </c>
      <c r="T58" s="309">
        <f t="shared" si="70"/>
        <v>647601.06896350195</v>
      </c>
      <c r="U58" s="309">
        <f t="shared" si="70"/>
        <v>694306.51240517444</v>
      </c>
      <c r="V58" s="309">
        <f t="shared" si="70"/>
        <v>742693.11888307205</v>
      </c>
      <c r="W58" s="309">
        <f t="shared" si="70"/>
        <v>772043.0823972876</v>
      </c>
      <c r="X58" s="309">
        <f t="shared" si="70"/>
        <v>875430.0948988687</v>
      </c>
      <c r="Y58" s="309">
        <f t="shared" si="70"/>
        <v>898305.75590711599</v>
      </c>
      <c r="Z58" s="309">
        <f t="shared" si="70"/>
        <v>941430.37890565011</v>
      </c>
      <c r="AA58" s="309">
        <f t="shared" si="70"/>
        <v>997700.78954237164</v>
      </c>
      <c r="AB58" s="309">
        <f t="shared" si="70"/>
        <v>975689.51352465304</v>
      </c>
      <c r="AC58" s="309">
        <f t="shared" si="70"/>
        <v>1054950.0597062835</v>
      </c>
      <c r="AD58" s="309">
        <f t="shared" si="70"/>
        <v>1163264.9193126729</v>
      </c>
      <c r="AE58" s="309">
        <f t="shared" si="70"/>
        <v>1270694.4878714427</v>
      </c>
      <c r="AF58" s="309">
        <f t="shared" si="70"/>
        <v>1269868.5376005883</v>
      </c>
      <c r="AG58" s="309">
        <f t="shared" si="70"/>
        <v>1274526.7601901423</v>
      </c>
      <c r="AH58" s="309">
        <f t="shared" si="70"/>
        <v>1339095.1713873532</v>
      </c>
      <c r="AI58" s="309">
        <f t="shared" si="70"/>
        <v>1445847.1580791906</v>
      </c>
      <c r="AJ58" s="309">
        <f t="shared" si="70"/>
        <v>1481956.4933932789</v>
      </c>
      <c r="AK58" s="309">
        <f t="shared" si="70"/>
        <v>1479123.3867354144</v>
      </c>
      <c r="AL58" s="309">
        <f t="shared" si="70"/>
        <v>1472443.6252820361</v>
      </c>
      <c r="AM58" s="309">
        <f t="shared" si="70"/>
        <v>1447212.7717092475</v>
      </c>
      <c r="AN58" s="309">
        <f t="shared" si="70"/>
        <v>1502594.2714965057</v>
      </c>
      <c r="AO58" s="309">
        <f t="shared" si="70"/>
        <v>1556828.7757043971</v>
      </c>
      <c r="AP58" s="309">
        <f t="shared" si="70"/>
        <v>1570781.2440543205</v>
      </c>
      <c r="AQ58" s="309">
        <f t="shared" si="70"/>
        <v>1570782.2440543207</v>
      </c>
      <c r="AR58" s="309"/>
      <c r="AS58" s="309"/>
      <c r="AT58" s="309"/>
      <c r="AU58" s="309"/>
      <c r="AV58" s="309"/>
      <c r="AW58" s="309"/>
      <c r="AX58" s="309"/>
      <c r="AY58" s="309"/>
      <c r="AZ58" s="309"/>
      <c r="BA58" s="309"/>
      <c r="BB58" s="309"/>
      <c r="BC58" s="308"/>
      <c r="BE58" s="308"/>
      <c r="BF58" s="308"/>
      <c r="BG58" s="308"/>
      <c r="BH58" s="308"/>
      <c r="BI58" s="308"/>
      <c r="BJ58" s="308"/>
      <c r="BK58" s="308"/>
      <c r="BL58" s="308"/>
      <c r="BM58" s="309"/>
      <c r="BN58" s="308"/>
      <c r="BO58" s="308">
        <v>1030495.7826748864</v>
      </c>
      <c r="BP58" s="308">
        <f t="shared" si="69"/>
        <v>606522.98650302808</v>
      </c>
      <c r="BQ58" s="308"/>
      <c r="BR58" s="308"/>
    </row>
    <row r="59" spans="1:70">
      <c r="A59" s="301" t="s">
        <v>53</v>
      </c>
      <c r="B59" s="308">
        <f t="shared" si="70"/>
        <v>437656</v>
      </c>
      <c r="C59" s="308">
        <f t="shared" si="70"/>
        <v>506372</v>
      </c>
      <c r="D59" s="308">
        <f t="shared" si="70"/>
        <v>45342</v>
      </c>
      <c r="E59" s="308">
        <f t="shared" si="70"/>
        <v>2991555</v>
      </c>
      <c r="F59" s="308">
        <f t="shared" si="70"/>
        <v>6063777</v>
      </c>
      <c r="G59" s="308">
        <f t="shared" si="70"/>
        <v>3531640</v>
      </c>
      <c r="H59" s="308">
        <f t="shared" si="70"/>
        <v>19951804</v>
      </c>
      <c r="I59" s="308">
        <f t="shared" si="70"/>
        <v>0</v>
      </c>
      <c r="J59" s="308">
        <f t="shared" si="70"/>
        <v>0</v>
      </c>
      <c r="K59" s="308">
        <f t="shared" si="70"/>
        <v>0</v>
      </c>
      <c r="L59" s="308">
        <f t="shared" si="70"/>
        <v>0</v>
      </c>
      <c r="M59" s="308">
        <f t="shared" si="70"/>
        <v>0</v>
      </c>
      <c r="N59" s="308">
        <f t="shared" si="70"/>
        <v>0</v>
      </c>
      <c r="O59" s="308">
        <f t="shared" si="70"/>
        <v>998989</v>
      </c>
      <c r="P59" s="308">
        <f t="shared" si="70"/>
        <v>115807</v>
      </c>
      <c r="Q59" s="309">
        <f t="shared" si="70"/>
        <v>401019.65896625945</v>
      </c>
      <c r="R59" s="309">
        <f t="shared" si="70"/>
        <v>485043.09656277444</v>
      </c>
      <c r="S59" s="309">
        <f t="shared" si="70"/>
        <v>585959.16530273226</v>
      </c>
      <c r="T59" s="309">
        <f t="shared" si="70"/>
        <v>612541.09265222377</v>
      </c>
      <c r="U59" s="309">
        <f t="shared" si="70"/>
        <v>656717.98600472847</v>
      </c>
      <c r="V59" s="309">
        <f t="shared" si="70"/>
        <v>702485.02720054064</v>
      </c>
      <c r="W59" s="309">
        <f t="shared" si="70"/>
        <v>730246.03560819302</v>
      </c>
      <c r="X59" s="309">
        <f t="shared" si="70"/>
        <v>828035.85813755752</v>
      </c>
      <c r="Y59" s="309">
        <f t="shared" si="70"/>
        <v>849673.07132431259</v>
      </c>
      <c r="Z59" s="309">
        <f t="shared" si="70"/>
        <v>890463.00351824169</v>
      </c>
      <c r="AA59" s="309">
        <f t="shared" si="70"/>
        <v>943687.03366163431</v>
      </c>
      <c r="AB59" s="309">
        <f t="shared" si="70"/>
        <v>922867.4091910593</v>
      </c>
      <c r="AC59" s="309">
        <f t="shared" si="70"/>
        <v>997836.92960895121</v>
      </c>
      <c r="AD59" s="309">
        <f t="shared" si="70"/>
        <v>1100287.8143178974</v>
      </c>
      <c r="AE59" s="309">
        <f t="shared" si="70"/>
        <v>1201901.3360705222</v>
      </c>
      <c r="AF59" s="309">
        <f t="shared" si="70"/>
        <v>1201120.1012862816</v>
      </c>
      <c r="AG59" s="309">
        <f t="shared" si="70"/>
        <v>1205526.1359449176</v>
      </c>
      <c r="AH59" s="309">
        <f t="shared" si="70"/>
        <v>1266598.9817152864</v>
      </c>
      <c r="AI59" s="309">
        <f t="shared" si="70"/>
        <v>1367571.6588228892</v>
      </c>
      <c r="AJ59" s="309">
        <f t="shared" si="70"/>
        <v>1401726.1527362708</v>
      </c>
      <c r="AK59" s="309">
        <f t="shared" si="70"/>
        <v>1399046.4795995208</v>
      </c>
      <c r="AL59" s="309">
        <f t="shared" si="70"/>
        <v>1392728.4027534141</v>
      </c>
      <c r="AM59" s="309">
        <f t="shared" si="70"/>
        <v>1368863.5570996169</v>
      </c>
      <c r="AN59" s="309">
        <f t="shared" si="70"/>
        <v>1421246.8545927443</v>
      </c>
      <c r="AO59" s="309">
        <f t="shared" si="70"/>
        <v>1472545.2528182145</v>
      </c>
      <c r="AP59" s="309">
        <f t="shared" si="70"/>
        <v>1485742.4133508753</v>
      </c>
      <c r="AQ59" s="309">
        <f t="shared" si="70"/>
        <v>1485743.4133508753</v>
      </c>
      <c r="AR59" s="309"/>
      <c r="AS59" s="309"/>
      <c r="AT59" s="309"/>
      <c r="AU59" s="309"/>
      <c r="AV59" s="309"/>
      <c r="AW59" s="309"/>
      <c r="AX59" s="309"/>
      <c r="AY59" s="309"/>
      <c r="AZ59" s="309"/>
      <c r="BA59" s="309"/>
      <c r="BB59" s="309"/>
      <c r="BC59" s="308"/>
      <c r="BE59" s="308"/>
      <c r="BF59" s="308"/>
      <c r="BG59" s="308"/>
      <c r="BH59" s="308"/>
      <c r="BI59" s="308"/>
      <c r="BJ59" s="308"/>
      <c r="BK59" s="309"/>
      <c r="BL59" s="308"/>
      <c r="BM59" s="309"/>
      <c r="BN59" s="308"/>
      <c r="BO59" s="308">
        <v>974706.56387807522</v>
      </c>
      <c r="BP59" s="308">
        <f t="shared" si="69"/>
        <v>573686.90491181577</v>
      </c>
      <c r="BQ59" s="308"/>
      <c r="BR59" s="308"/>
    </row>
    <row r="60" spans="1:70">
      <c r="A60" s="301" t="s">
        <v>54</v>
      </c>
      <c r="B60" s="308">
        <f t="shared" si="70"/>
        <v>97302</v>
      </c>
      <c r="C60" s="308">
        <f t="shared" si="70"/>
        <v>0</v>
      </c>
      <c r="D60" s="308">
        <f t="shared" si="70"/>
        <v>72018</v>
      </c>
      <c r="E60" s="308">
        <f t="shared" si="70"/>
        <v>15442524</v>
      </c>
      <c r="F60" s="308">
        <f t="shared" si="70"/>
        <v>8447391</v>
      </c>
      <c r="G60" s="308">
        <f t="shared" si="70"/>
        <v>4226925</v>
      </c>
      <c r="H60" s="308">
        <f t="shared" si="70"/>
        <v>5091830</v>
      </c>
      <c r="I60" s="308">
        <f t="shared" si="70"/>
        <v>0</v>
      </c>
      <c r="J60" s="308">
        <f t="shared" si="70"/>
        <v>0</v>
      </c>
      <c r="K60" s="308">
        <f t="shared" si="70"/>
        <v>0</v>
      </c>
      <c r="L60" s="308">
        <f t="shared" si="70"/>
        <v>0</v>
      </c>
      <c r="M60" s="308">
        <f t="shared" si="70"/>
        <v>0</v>
      </c>
      <c r="N60" s="308">
        <f t="shared" si="70"/>
        <v>0</v>
      </c>
      <c r="O60" s="308">
        <f t="shared" si="70"/>
        <v>4392727</v>
      </c>
      <c r="P60" s="308">
        <f t="shared" si="70"/>
        <v>201107</v>
      </c>
      <c r="Q60" s="309">
        <f t="shared" si="70"/>
        <v>1433471.9011014192</v>
      </c>
      <c r="R60" s="309">
        <f t="shared" si="70"/>
        <v>544576.0413299324</v>
      </c>
      <c r="S60" s="309">
        <f t="shared" si="70"/>
        <v>657878.28933723643</v>
      </c>
      <c r="T60" s="309">
        <f t="shared" si="70"/>
        <v>687722.81422479544</v>
      </c>
      <c r="U60" s="309">
        <f t="shared" si="70"/>
        <v>737321.86608357634</v>
      </c>
      <c r="V60" s="309">
        <f t="shared" si="70"/>
        <v>788706.23645070381</v>
      </c>
      <c r="W60" s="309">
        <f t="shared" si="70"/>
        <v>819874.55977928825</v>
      </c>
      <c r="X60" s="309">
        <f t="shared" si="70"/>
        <v>929666.85413989052</v>
      </c>
      <c r="Y60" s="309">
        <f t="shared" si="70"/>
        <v>953959.76333941333</v>
      </c>
      <c r="Z60" s="309">
        <f t="shared" si="70"/>
        <v>999756.14711994678</v>
      </c>
      <c r="AA60" s="309">
        <f t="shared" si="70"/>
        <v>1059512.7581190728</v>
      </c>
      <c r="AB60" s="309">
        <f t="shared" si="70"/>
        <v>1036137.7863763403</v>
      </c>
      <c r="AC60" s="309">
        <f t="shared" si="70"/>
        <v>1120308.8733145837</v>
      </c>
      <c r="AD60" s="309">
        <f t="shared" si="70"/>
        <v>1235334.3166636731</v>
      </c>
      <c r="AE60" s="309">
        <f t="shared" si="70"/>
        <v>1349419.6212763414</v>
      </c>
      <c r="AF60" s="309">
        <f t="shared" si="70"/>
        <v>1348542.4997397922</v>
      </c>
      <c r="AG60" s="309">
        <f t="shared" si="70"/>
        <v>1353489.3197839577</v>
      </c>
      <c r="AH60" s="309">
        <f t="shared" si="70"/>
        <v>1422057.9671580214</v>
      </c>
      <c r="AI60" s="309">
        <f t="shared" si="70"/>
        <v>1535423.6487612911</v>
      </c>
      <c r="AJ60" s="309">
        <f t="shared" si="70"/>
        <v>1573770.0548597109</v>
      </c>
      <c r="AK60" s="309">
        <f t="shared" si="70"/>
        <v>1570761.3627823368</v>
      </c>
      <c r="AL60" s="309">
        <f t="shared" si="70"/>
        <v>1563667.6986625902</v>
      </c>
      <c r="AM60" s="309">
        <f t="shared" si="70"/>
        <v>1536873.6203670036</v>
      </c>
      <c r="AN60" s="309">
        <f t="shared" si="70"/>
        <v>1595686.1866107509</v>
      </c>
      <c r="AO60" s="309">
        <f t="shared" si="70"/>
        <v>1653280.6958352178</v>
      </c>
      <c r="AP60" s="309">
        <f t="shared" si="70"/>
        <v>1668097.5192425735</v>
      </c>
      <c r="AQ60" s="309">
        <f t="shared" si="70"/>
        <v>1668098.5192425698</v>
      </c>
      <c r="AR60" s="309"/>
      <c r="AS60" s="309"/>
      <c r="AT60" s="309"/>
      <c r="AU60" s="309"/>
      <c r="AV60" s="309"/>
      <c r="AW60" s="309"/>
      <c r="AX60" s="309"/>
      <c r="AY60" s="309"/>
      <c r="AZ60" s="309"/>
      <c r="BA60" s="309"/>
      <c r="BB60" s="309"/>
      <c r="BC60" s="308"/>
      <c r="BE60" s="308"/>
      <c r="BF60" s="308"/>
      <c r="BG60" s="308"/>
      <c r="BH60" s="308"/>
      <c r="BI60" s="308"/>
      <c r="BJ60" s="308"/>
      <c r="BK60" s="309"/>
      <c r="BL60" s="308"/>
      <c r="BM60" s="309"/>
      <c r="BN60" s="308"/>
      <c r="BO60" s="308">
        <v>2604998.543953225</v>
      </c>
      <c r="BP60" s="308">
        <f t="shared" si="69"/>
        <v>1171526.6428518058</v>
      </c>
      <c r="BQ60" s="308"/>
      <c r="BR60" s="308"/>
    </row>
    <row r="61" spans="1:70" ht="12" thickBot="1">
      <c r="A61" s="301" t="s">
        <v>29</v>
      </c>
      <c r="B61" s="308">
        <f>SUM(B49:B60)</f>
        <v>12519647</v>
      </c>
      <c r="C61" s="308">
        <f t="shared" ref="C61:AD61" si="71">SUM(C49:C60)</f>
        <v>4172383</v>
      </c>
      <c r="D61" s="308">
        <f t="shared" si="71"/>
        <v>745678</v>
      </c>
      <c r="E61" s="308">
        <f t="shared" si="71"/>
        <v>36778740</v>
      </c>
      <c r="F61" s="308">
        <f t="shared" si="71"/>
        <v>53184482</v>
      </c>
      <c r="G61" s="308">
        <f t="shared" si="71"/>
        <v>74453091</v>
      </c>
      <c r="H61" s="308">
        <f t="shared" si="71"/>
        <v>112882497</v>
      </c>
      <c r="I61" s="308">
        <f t="shared" si="71"/>
        <v>0</v>
      </c>
      <c r="J61" s="308">
        <f t="shared" si="71"/>
        <v>331927</v>
      </c>
      <c r="K61" s="308">
        <f t="shared" si="71"/>
        <v>11178</v>
      </c>
      <c r="L61" s="308">
        <f t="shared" si="71"/>
        <v>0</v>
      </c>
      <c r="M61" s="308">
        <f t="shared" si="71"/>
        <v>0</v>
      </c>
      <c r="N61" s="308">
        <f t="shared" si="71"/>
        <v>0</v>
      </c>
      <c r="O61" s="308">
        <f t="shared" si="71"/>
        <v>9310804</v>
      </c>
      <c r="P61" s="308">
        <f t="shared" si="71"/>
        <v>15172254</v>
      </c>
      <c r="Q61" s="309">
        <f t="shared" si="71"/>
        <v>5038395.7978156004</v>
      </c>
      <c r="R61" s="309">
        <f t="shared" si="71"/>
        <v>6094063.0835431591</v>
      </c>
      <c r="S61" s="309">
        <f t="shared" si="71"/>
        <v>7361968.7467771238</v>
      </c>
      <c r="T61" s="309">
        <f t="shared" si="71"/>
        <v>7695943.0746212015</v>
      </c>
      <c r="U61" s="309">
        <f t="shared" si="71"/>
        <v>8250979.8885309529</v>
      </c>
      <c r="V61" s="309">
        <f t="shared" si="71"/>
        <v>8825995.2596822083</v>
      </c>
      <c r="W61" s="309">
        <f t="shared" si="71"/>
        <v>9174783.5172574017</v>
      </c>
      <c r="X61" s="309">
        <f t="shared" si="71"/>
        <v>10403411.141576782</v>
      </c>
      <c r="Y61" s="309">
        <f t="shared" si="71"/>
        <v>10675260.268070001</v>
      </c>
      <c r="Z61" s="309">
        <f t="shared" si="71"/>
        <v>11187743.430339031</v>
      </c>
      <c r="AA61" s="309">
        <f t="shared" si="71"/>
        <v>11856448.12803028</v>
      </c>
      <c r="AB61" s="309">
        <f t="shared" si="71"/>
        <v>11594871.155182995</v>
      </c>
      <c r="AC61" s="309">
        <f t="shared" si="71"/>
        <v>12536785.368594509</v>
      </c>
      <c r="AD61" s="309">
        <f t="shared" si="71"/>
        <v>13823974.401497945</v>
      </c>
      <c r="AE61" s="309">
        <f>SUM(AE49:AE60)</f>
        <v>15100642.83795169</v>
      </c>
      <c r="AF61" s="309">
        <f>SUM(AF49:AF60)</f>
        <v>15090827.433728935</v>
      </c>
      <c r="AG61" s="309">
        <f>SUM(AG49:AG60)</f>
        <v>15146184.686204597</v>
      </c>
      <c r="AH61" s="309">
        <f t="shared" ref="AH61:AQ61" si="72">SUM(AH49:AH60)</f>
        <v>15913501.042024618</v>
      </c>
      <c r="AI61" s="309">
        <f t="shared" si="72"/>
        <v>17182117.366682284</v>
      </c>
      <c r="AJ61" s="309">
        <f t="shared" si="72"/>
        <v>17611232.569895525</v>
      </c>
      <c r="AK61" s="309">
        <f t="shared" si="72"/>
        <v>17577564.694194827</v>
      </c>
      <c r="AL61" s="309">
        <f t="shared" si="72"/>
        <v>17498184.052174311</v>
      </c>
      <c r="AM61" s="309">
        <f t="shared" si="72"/>
        <v>17198346.471823629</v>
      </c>
      <c r="AN61" s="309">
        <f t="shared" si="72"/>
        <v>17856487.672396075</v>
      </c>
      <c r="AO61" s="309">
        <f t="shared" si="72"/>
        <v>18500998.23968409</v>
      </c>
      <c r="AP61" s="309">
        <f t="shared" si="72"/>
        <v>18666806.300521724</v>
      </c>
      <c r="AQ61" s="309">
        <f t="shared" si="72"/>
        <v>18666818.300521728</v>
      </c>
      <c r="AR61" s="309"/>
      <c r="AS61" s="309"/>
      <c r="AT61" s="309"/>
      <c r="AU61" s="309"/>
      <c r="AV61" s="309"/>
      <c r="AW61" s="309"/>
      <c r="AX61" s="309"/>
      <c r="AY61" s="309"/>
      <c r="AZ61" s="309"/>
      <c r="BA61" s="309"/>
      <c r="BB61" s="309"/>
      <c r="BC61" s="308"/>
      <c r="BE61" s="308"/>
      <c r="BF61" s="308"/>
      <c r="BG61" s="308"/>
      <c r="BH61" s="308"/>
      <c r="BI61" s="308"/>
      <c r="BJ61" s="308"/>
      <c r="BK61" s="309"/>
      <c r="BL61" s="308"/>
      <c r="BM61" s="309"/>
      <c r="BN61" s="308"/>
      <c r="BO61" s="308">
        <v>12246176.330122933</v>
      </c>
      <c r="BP61" s="308">
        <f t="shared" si="69"/>
        <v>7207780.5323073324</v>
      </c>
      <c r="BQ61" s="308"/>
      <c r="BR61" s="308"/>
    </row>
    <row r="62" spans="1:70">
      <c r="A62" s="334"/>
      <c r="B62" s="334"/>
      <c r="C62" s="334"/>
      <c r="D62" s="334"/>
      <c r="E62" s="334"/>
      <c r="F62" s="334"/>
      <c r="G62" s="334"/>
      <c r="H62" s="334"/>
      <c r="I62" s="334"/>
      <c r="J62" s="334"/>
      <c r="K62" s="334"/>
      <c r="L62" s="334"/>
      <c r="M62" s="334"/>
      <c r="N62" s="334"/>
      <c r="O62" s="334"/>
      <c r="P62" s="334"/>
      <c r="Q62" s="334"/>
      <c r="R62" s="334"/>
      <c r="S62" s="334"/>
      <c r="T62" s="334"/>
      <c r="U62" s="334"/>
      <c r="V62" s="334"/>
      <c r="W62" s="334"/>
      <c r="X62" s="334"/>
      <c r="Y62" s="334"/>
      <c r="Z62" s="334"/>
      <c r="AA62" s="334"/>
      <c r="AB62" s="334"/>
      <c r="AC62" s="334"/>
      <c r="AD62" s="334"/>
      <c r="AE62" s="334"/>
      <c r="AF62" s="334"/>
      <c r="AG62" s="334"/>
      <c r="AH62" s="334"/>
      <c r="AI62" s="334"/>
      <c r="AJ62" s="334"/>
      <c r="AK62" s="334"/>
      <c r="AL62" s="334"/>
      <c r="AM62" s="334"/>
      <c r="AN62" s="334"/>
      <c r="AO62" s="334"/>
      <c r="AP62" s="334"/>
      <c r="AQ62" s="334"/>
      <c r="BC62" s="308"/>
      <c r="BG62" s="309"/>
    </row>
    <row r="63" spans="1:70" ht="12" thickBot="1">
      <c r="A63" s="300" t="s">
        <v>494</v>
      </c>
      <c r="BC63" s="308" t="s">
        <v>478</v>
      </c>
      <c r="BG63" s="309"/>
    </row>
    <row r="64" spans="1:70" ht="12" thickBot="1">
      <c r="A64" s="328"/>
      <c r="B64" s="329">
        <f t="shared" ref="B64:AQ64" si="73">B2</f>
        <v>2010</v>
      </c>
      <c r="C64" s="329">
        <f t="shared" si="73"/>
        <v>2011</v>
      </c>
      <c r="D64" s="329">
        <f t="shared" si="73"/>
        <v>2012</v>
      </c>
      <c r="E64" s="329">
        <f t="shared" si="73"/>
        <v>2013</v>
      </c>
      <c r="F64" s="329">
        <f t="shared" si="73"/>
        <v>2014</v>
      </c>
      <c r="G64" s="329">
        <f t="shared" si="73"/>
        <v>2015</v>
      </c>
      <c r="H64" s="329">
        <f t="shared" si="73"/>
        <v>2016</v>
      </c>
      <c r="I64" s="329">
        <f t="shared" si="73"/>
        <v>2017</v>
      </c>
      <c r="J64" s="329">
        <f t="shared" si="73"/>
        <v>2018</v>
      </c>
      <c r="K64" s="329">
        <f t="shared" si="73"/>
        <v>2019</v>
      </c>
      <c r="L64" s="329">
        <f t="shared" si="73"/>
        <v>2020</v>
      </c>
      <c r="M64" s="329">
        <f t="shared" si="73"/>
        <v>2021</v>
      </c>
      <c r="N64" s="329">
        <f t="shared" si="73"/>
        <v>2022</v>
      </c>
      <c r="O64" s="329">
        <f t="shared" si="73"/>
        <v>2023</v>
      </c>
      <c r="P64" s="329">
        <f t="shared" si="73"/>
        <v>2024</v>
      </c>
      <c r="Q64" s="329">
        <f t="shared" si="73"/>
        <v>2025</v>
      </c>
      <c r="R64" s="329">
        <f t="shared" si="73"/>
        <v>2026</v>
      </c>
      <c r="S64" s="329">
        <f t="shared" si="73"/>
        <v>2027</v>
      </c>
      <c r="T64" s="329">
        <f t="shared" si="73"/>
        <v>2028</v>
      </c>
      <c r="U64" s="329">
        <f t="shared" si="73"/>
        <v>2029</v>
      </c>
      <c r="V64" s="329">
        <f t="shared" si="73"/>
        <v>2030</v>
      </c>
      <c r="W64" s="329">
        <f t="shared" si="73"/>
        <v>2031</v>
      </c>
      <c r="X64" s="329">
        <f t="shared" si="73"/>
        <v>2032</v>
      </c>
      <c r="Y64" s="329">
        <f t="shared" si="73"/>
        <v>2033</v>
      </c>
      <c r="Z64" s="329">
        <f t="shared" si="73"/>
        <v>2034</v>
      </c>
      <c r="AA64" s="329">
        <f t="shared" si="73"/>
        <v>2035</v>
      </c>
      <c r="AB64" s="329">
        <f t="shared" si="73"/>
        <v>2036</v>
      </c>
      <c r="AC64" s="329">
        <f t="shared" si="73"/>
        <v>2037</v>
      </c>
      <c r="AD64" s="329">
        <f t="shared" si="73"/>
        <v>2038</v>
      </c>
      <c r="AE64" s="329">
        <f t="shared" si="73"/>
        <v>2039</v>
      </c>
      <c r="AF64" s="329">
        <f t="shared" si="73"/>
        <v>2040</v>
      </c>
      <c r="AG64" s="329">
        <f t="shared" si="73"/>
        <v>2041</v>
      </c>
      <c r="AH64" s="329">
        <f t="shared" si="73"/>
        <v>2042</v>
      </c>
      <c r="AI64" s="329">
        <f t="shared" si="73"/>
        <v>2043</v>
      </c>
      <c r="AJ64" s="329">
        <f t="shared" si="73"/>
        <v>2044</v>
      </c>
      <c r="AK64" s="329">
        <f t="shared" si="73"/>
        <v>2045</v>
      </c>
      <c r="AL64" s="329">
        <f t="shared" si="73"/>
        <v>2046</v>
      </c>
      <c r="AM64" s="329">
        <f t="shared" si="73"/>
        <v>2047</v>
      </c>
      <c r="AN64" s="329">
        <f t="shared" si="73"/>
        <v>2048</v>
      </c>
      <c r="AO64" s="329">
        <f t="shared" si="73"/>
        <v>2049</v>
      </c>
      <c r="AP64" s="329">
        <f t="shared" si="73"/>
        <v>2050</v>
      </c>
      <c r="AQ64" s="329">
        <f t="shared" si="73"/>
        <v>2051</v>
      </c>
      <c r="AR64" s="300"/>
      <c r="AS64" s="300"/>
      <c r="AT64" s="300"/>
      <c r="AU64" s="300"/>
      <c r="AV64" s="300"/>
      <c r="AW64" s="300"/>
      <c r="AX64" s="300"/>
      <c r="AY64" s="300"/>
      <c r="AZ64" s="300"/>
      <c r="BA64" s="300"/>
      <c r="BB64" s="300"/>
      <c r="BC64" s="308"/>
      <c r="BG64" s="309"/>
    </row>
    <row r="65" spans="1:68">
      <c r="A65" s="301" t="s">
        <v>43</v>
      </c>
      <c r="B65" s="308">
        <f>'Monthly D6 Gallon Data'!$B4</f>
        <v>0</v>
      </c>
      <c r="C65" s="308">
        <f>'Monthly D6 Gallon Data'!$B16</f>
        <v>125801</v>
      </c>
      <c r="D65" s="308">
        <f>'Monthly D6 Gallon Data'!$B28</f>
        <v>0</v>
      </c>
      <c r="E65" s="308">
        <f>'Monthly D6 Gallon Data'!$B40</f>
        <v>6128</v>
      </c>
      <c r="F65" s="308">
        <f>'Monthly D6 Gallon Data'!$B52</f>
        <v>0</v>
      </c>
      <c r="G65" s="308">
        <f>'Monthly D6 Gallon Data'!$B64</f>
        <v>0</v>
      </c>
      <c r="H65" s="308">
        <f>'Monthly D6 Gallon Data'!$B76</f>
        <v>11640</v>
      </c>
      <c r="I65" s="308">
        <f>'Monthly D6 Gallon Data'!$B88</f>
        <v>0</v>
      </c>
      <c r="J65" s="308">
        <f>'Monthly D6 Gallon Data'!$B100</f>
        <v>0</v>
      </c>
      <c r="K65" s="308">
        <f>'Monthly D6 Gallon Data'!$B112</f>
        <v>11178</v>
      </c>
      <c r="L65" s="308">
        <f>'Monthly D6 Gallon Data'!$B124</f>
        <v>0</v>
      </c>
      <c r="M65" s="308">
        <f>'Monthly D6 Gallon Data'!$B136</f>
        <v>0</v>
      </c>
      <c r="N65" s="308">
        <f>'Monthly D6 Gallon Data'!$B148</f>
        <v>0</v>
      </c>
      <c r="O65" s="308">
        <f>'Monthly D6 Gallon Data'!$B160</f>
        <v>0</v>
      </c>
      <c r="P65" s="308">
        <f>'Monthly D6 Gallon Data'!$B172</f>
        <v>1089558</v>
      </c>
      <c r="Q65" s="308">
        <f>'Monthly D6 Gallon Data'!$B184</f>
        <v>0</v>
      </c>
      <c r="R65" s="309">
        <f t="shared" ref="R65:V75" si="74">R$77*$BD65</f>
        <v>388266.34903294611</v>
      </c>
      <c r="S65" s="309">
        <f t="shared" si="74"/>
        <v>469047.44631292822</v>
      </c>
      <c r="T65" s="309">
        <f t="shared" si="74"/>
        <v>490325.69551466766</v>
      </c>
      <c r="U65" s="309">
        <f t="shared" si="74"/>
        <v>525688.32868096605</v>
      </c>
      <c r="V65" s="309">
        <f t="shared" si="74"/>
        <v>562323.84028202365</v>
      </c>
      <c r="W65" s="309">
        <f>W$77*(SUM(R65:V65)/SUM(R$77:V$77))</f>
        <v>584545.91798252985</v>
      </c>
      <c r="X65" s="309">
        <f t="shared" ref="X65:AG75" si="75">X$77*(SUM(S65:W65)/SUM(S$77:W$77))</f>
        <v>662824.52381182078</v>
      </c>
      <c r="Y65" s="309">
        <f t="shared" si="75"/>
        <v>680144.63789405813</v>
      </c>
      <c r="Z65" s="309">
        <f t="shared" si="75"/>
        <v>712796.08301814843</v>
      </c>
      <c r="AA65" s="309">
        <f t="shared" si="75"/>
        <v>755400.75054364535</v>
      </c>
      <c r="AB65" s="309">
        <f t="shared" si="75"/>
        <v>738735.09827746381</v>
      </c>
      <c r="AC65" s="309">
        <f t="shared" si="75"/>
        <v>798746.55331656989</v>
      </c>
      <c r="AD65" s="309">
        <f t="shared" si="75"/>
        <v>880756.23708080349</v>
      </c>
      <c r="AE65" s="309">
        <f t="shared" si="75"/>
        <v>962095.63018391829</v>
      </c>
      <c r="AF65" s="309">
        <f t="shared" si="75"/>
        <v>961470.26889218122</v>
      </c>
      <c r="AG65" s="309">
        <f t="shared" si="75"/>
        <v>964997.20289607486</v>
      </c>
      <c r="AH65" s="309">
        <f t="shared" ref="AH65:AH75" si="76">AH$77*(SUM(AC65:AG65)/SUM(AC$77:AG$77))</f>
        <v>1013883.8745217485</v>
      </c>
      <c r="AI65" s="309">
        <f t="shared" ref="AI65:AQ75" si="77">AI$77*(SUM(AD65:AH65)/SUM(AD$77:AH$77))</f>
        <v>1094709.4850790747</v>
      </c>
      <c r="AJ65" s="309">
        <f t="shared" si="77"/>
        <v>1122048.6070714057</v>
      </c>
      <c r="AK65" s="309">
        <f t="shared" si="77"/>
        <v>1119902.7870831771</v>
      </c>
      <c r="AL65" s="309">
        <f t="shared" si="77"/>
        <v>1114844.5048115957</v>
      </c>
      <c r="AM65" s="309">
        <f t="shared" si="77"/>
        <v>1095740.4193720778</v>
      </c>
      <c r="AN65" s="309">
        <f t="shared" si="77"/>
        <v>1137671.2983923957</v>
      </c>
      <c r="AO65" s="309">
        <f t="shared" si="77"/>
        <v>1178733.7393693591</v>
      </c>
      <c r="AP65" s="309">
        <f t="shared" si="77"/>
        <v>1189296.9761365184</v>
      </c>
      <c r="AQ65" s="309">
        <f t="shared" si="77"/>
        <v>1189296.9761365186</v>
      </c>
      <c r="AR65" s="309"/>
      <c r="AS65" s="309"/>
      <c r="AT65" s="309"/>
      <c r="AU65" s="309"/>
      <c r="AV65" s="309"/>
      <c r="AW65" s="309"/>
      <c r="AX65" s="309"/>
      <c r="AY65" s="309"/>
      <c r="AZ65" s="309"/>
      <c r="BA65" s="309"/>
      <c r="BB65" s="309"/>
      <c r="BC65" s="308"/>
      <c r="BD65" s="405">
        <f>AVERAGE('D4 Gallon Forecast'!K69:O69)/AVERAGE('D4 Gallon Forecast'!K$81:O$81)</f>
        <v>6.3712230036057249E-2</v>
      </c>
      <c r="BE65" s="308">
        <v>0</v>
      </c>
      <c r="BF65" s="308">
        <f t="shared" ref="BF65:BF77" si="78">L65-BE65</f>
        <v>0</v>
      </c>
      <c r="BG65" s="308">
        <v>0</v>
      </c>
      <c r="BH65" s="308">
        <f t="shared" ref="BH65:BH77" si="79">M65-BG65</f>
        <v>0</v>
      </c>
      <c r="BI65" s="308">
        <v>0</v>
      </c>
      <c r="BJ65" s="308">
        <f t="shared" ref="BJ65:BJ77" si="80">N65-BI65</f>
        <v>0</v>
      </c>
      <c r="BK65" s="308">
        <v>0</v>
      </c>
      <c r="BL65" s="308">
        <f t="shared" ref="BL65:BL77" si="81">O65-BK65</f>
        <v>0</v>
      </c>
      <c r="BM65" s="308">
        <v>1089558</v>
      </c>
      <c r="BN65" s="308">
        <f t="shared" ref="BN65:BN77" si="82">P65-BM65</f>
        <v>0</v>
      </c>
      <c r="BO65" s="308">
        <v>0</v>
      </c>
      <c r="BP65" s="308">
        <f t="shared" ref="BP65:BP77" si="83">BO65-Q65</f>
        <v>0</v>
      </c>
    </row>
    <row r="66" spans="1:68">
      <c r="A66" s="301" t="s">
        <v>44</v>
      </c>
      <c r="B66" s="308">
        <f>'Monthly D6 Gallon Data'!$B5</f>
        <v>0</v>
      </c>
      <c r="C66" s="308">
        <f>'Monthly D6 Gallon Data'!$B17</f>
        <v>226270</v>
      </c>
      <c r="D66" s="308">
        <f>'Monthly D6 Gallon Data'!$B29</f>
        <v>417419</v>
      </c>
      <c r="E66" s="308">
        <f>'Monthly D6 Gallon Data'!$B41</f>
        <v>6161</v>
      </c>
      <c r="F66" s="308">
        <f>'Monthly D6 Gallon Data'!$B53</f>
        <v>0</v>
      </c>
      <c r="G66" s="308">
        <f>'Monthly D6 Gallon Data'!$B65</f>
        <v>11859</v>
      </c>
      <c r="H66" s="308">
        <f>'Monthly D6 Gallon Data'!$B77</f>
        <v>2305</v>
      </c>
      <c r="I66" s="308">
        <f>'Monthly D6 Gallon Data'!$B89</f>
        <v>0</v>
      </c>
      <c r="J66" s="308">
        <f>'Monthly D6 Gallon Data'!$B101</f>
        <v>0</v>
      </c>
      <c r="K66" s="308">
        <f>'Monthly D6 Gallon Data'!$B113</f>
        <v>0</v>
      </c>
      <c r="L66" s="308">
        <f>'Monthly D6 Gallon Data'!$B125</f>
        <v>0</v>
      </c>
      <c r="M66" s="308">
        <f>'Monthly D6 Gallon Data'!$B137</f>
        <v>0</v>
      </c>
      <c r="N66" s="308">
        <f>'Monthly D6 Gallon Data'!$B149</f>
        <v>0</v>
      </c>
      <c r="O66" s="308">
        <f>'Monthly D6 Gallon Data'!$B161</f>
        <v>0</v>
      </c>
      <c r="P66" s="308">
        <f>'Monthly D6 Gallon Data'!$B173</f>
        <v>646803</v>
      </c>
      <c r="Q66" s="308">
        <f>'Monthly D6 Gallon Data'!$B185</f>
        <v>102606</v>
      </c>
      <c r="R66" s="309">
        <f t="shared" si="74"/>
        <v>414542.4954444457</v>
      </c>
      <c r="S66" s="309">
        <f t="shared" si="74"/>
        <v>500790.49951327825</v>
      </c>
      <c r="T66" s="309">
        <f t="shared" si="74"/>
        <v>523508.76635444968</v>
      </c>
      <c r="U66" s="309">
        <f t="shared" si="74"/>
        <v>561264.5858705003</v>
      </c>
      <c r="V66" s="309">
        <f t="shared" si="74"/>
        <v>600379.42659469019</v>
      </c>
      <c r="W66" s="309">
        <f t="shared" ref="W66:W75" si="84">W$77*(SUM(R66:V66)/SUM(R$77:V$77))</f>
        <v>624105.39606609161</v>
      </c>
      <c r="X66" s="309">
        <f t="shared" si="75"/>
        <v>707681.5511493457</v>
      </c>
      <c r="Y66" s="309">
        <f t="shared" si="75"/>
        <v>726173.81382139062</v>
      </c>
      <c r="Z66" s="309">
        <f t="shared" si="75"/>
        <v>761034.96409959649</v>
      </c>
      <c r="AA66" s="309">
        <f t="shared" si="75"/>
        <v>806522.92677673744</v>
      </c>
      <c r="AB66" s="309">
        <f t="shared" si="75"/>
        <v>788729.4169970731</v>
      </c>
      <c r="AC66" s="309">
        <f t="shared" si="75"/>
        <v>852802.18145148701</v>
      </c>
      <c r="AD66" s="309">
        <f t="shared" si="75"/>
        <v>940361.91729496222</v>
      </c>
      <c r="AE66" s="309">
        <f t="shared" si="75"/>
        <v>1027206.0001748842</v>
      </c>
      <c r="AF66" s="309">
        <f t="shared" si="75"/>
        <v>1026538.3172013875</v>
      </c>
      <c r="AG66" s="309">
        <f t="shared" si="75"/>
        <v>1030303.9384737008</v>
      </c>
      <c r="AH66" s="309">
        <f t="shared" si="76"/>
        <v>1082499.0434580897</v>
      </c>
      <c r="AI66" s="309">
        <f t="shared" si="77"/>
        <v>1168794.5732656752</v>
      </c>
      <c r="AJ66" s="309">
        <f t="shared" si="77"/>
        <v>1197983.8859171285</v>
      </c>
      <c r="AK66" s="309">
        <f t="shared" si="77"/>
        <v>1195692.8463384726</v>
      </c>
      <c r="AL66" s="309">
        <f t="shared" si="77"/>
        <v>1190292.2419318676</v>
      </c>
      <c r="AM66" s="309">
        <f t="shared" si="77"/>
        <v>1169895.2766244011</v>
      </c>
      <c r="AN66" s="309">
        <f t="shared" si="77"/>
        <v>1214663.8517753391</v>
      </c>
      <c r="AO66" s="309">
        <f t="shared" si="77"/>
        <v>1258505.2168434879</v>
      </c>
      <c r="AP66" s="309">
        <f t="shared" si="77"/>
        <v>1269783.3266779748</v>
      </c>
      <c r="AQ66" s="309">
        <f t="shared" si="77"/>
        <v>1269783.326677975</v>
      </c>
      <c r="AR66" s="309"/>
      <c r="AS66" s="309"/>
      <c r="AT66" s="309"/>
      <c r="AU66" s="309"/>
      <c r="AV66" s="309"/>
      <c r="AW66" s="309"/>
      <c r="AX66" s="309"/>
      <c r="AY66" s="309"/>
      <c r="AZ66" s="309"/>
      <c r="BA66" s="309"/>
      <c r="BB66" s="309"/>
      <c r="BC66" s="308"/>
      <c r="BD66" s="405">
        <f>AVERAGE('D4 Gallon Forecast'!K70:O70)/AVERAGE('D4 Gallon Forecast'!K$81:O$81)</f>
        <v>6.8023991508047513E-2</v>
      </c>
      <c r="BE66" s="308">
        <v>0</v>
      </c>
      <c r="BF66" s="308">
        <f t="shared" si="78"/>
        <v>0</v>
      </c>
      <c r="BG66" s="308">
        <v>0</v>
      </c>
      <c r="BH66" s="308">
        <f t="shared" si="79"/>
        <v>0</v>
      </c>
      <c r="BI66" s="308">
        <v>0</v>
      </c>
      <c r="BJ66" s="308">
        <f t="shared" si="80"/>
        <v>0</v>
      </c>
      <c r="BK66" s="308">
        <v>0</v>
      </c>
      <c r="BL66" s="308">
        <f t="shared" si="81"/>
        <v>0</v>
      </c>
      <c r="BM66" s="308">
        <v>646803</v>
      </c>
      <c r="BN66" s="308">
        <f t="shared" si="82"/>
        <v>0</v>
      </c>
      <c r="BO66" s="308">
        <v>102606</v>
      </c>
      <c r="BP66" s="308">
        <f t="shared" si="83"/>
        <v>0</v>
      </c>
    </row>
    <row r="67" spans="1:68">
      <c r="A67" s="301" t="s">
        <v>45</v>
      </c>
      <c r="B67" s="308">
        <f>'Monthly D6 Gallon Data'!$B6</f>
        <v>0</v>
      </c>
      <c r="C67" s="308">
        <f>'Monthly D6 Gallon Data'!$B18</f>
        <v>178482</v>
      </c>
      <c r="D67" s="308">
        <f>'Monthly D6 Gallon Data'!$B30</f>
        <v>0</v>
      </c>
      <c r="E67" s="308">
        <f>'Monthly D6 Gallon Data'!$B42</f>
        <v>0</v>
      </c>
      <c r="F67" s="308">
        <f>'Monthly D6 Gallon Data'!$B54</f>
        <v>0</v>
      </c>
      <c r="G67" s="308">
        <f>'Monthly D6 Gallon Data'!$B66</f>
        <v>0</v>
      </c>
      <c r="H67" s="308">
        <f>'Monthly D6 Gallon Data'!$B78</f>
        <v>181227</v>
      </c>
      <c r="I67" s="308">
        <f>'Monthly D6 Gallon Data'!$B90</f>
        <v>0</v>
      </c>
      <c r="J67" s="308">
        <f>'Monthly D6 Gallon Data'!$B102</f>
        <v>0</v>
      </c>
      <c r="K67" s="308">
        <f>'Monthly D6 Gallon Data'!$B114</f>
        <v>0</v>
      </c>
      <c r="L67" s="308">
        <f>'Monthly D6 Gallon Data'!$B126</f>
        <v>0</v>
      </c>
      <c r="M67" s="308">
        <f>'Monthly D6 Gallon Data'!$B138</f>
        <v>0</v>
      </c>
      <c r="N67" s="308">
        <f>'Monthly D6 Gallon Data'!$B150</f>
        <v>0</v>
      </c>
      <c r="O67" s="308">
        <f>'Monthly D6 Gallon Data'!$B162</f>
        <v>0</v>
      </c>
      <c r="P67" s="308">
        <f>'Monthly D6 Gallon Data'!$B174</f>
        <v>877507</v>
      </c>
      <c r="Q67" s="308">
        <f>'Monthly D6 Gallon Data'!$B186</f>
        <v>0</v>
      </c>
      <c r="R67" s="309">
        <f t="shared" si="74"/>
        <v>510538.94673617312</v>
      </c>
      <c r="S67" s="309">
        <f t="shared" si="74"/>
        <v>616759.57704378408</v>
      </c>
      <c r="T67" s="309">
        <f t="shared" si="74"/>
        <v>644738.75928016193</v>
      </c>
      <c r="U67" s="309">
        <f t="shared" si="74"/>
        <v>691237.77093931462</v>
      </c>
      <c r="V67" s="309">
        <f t="shared" si="74"/>
        <v>739410.51512003096</v>
      </c>
      <c r="W67" s="309">
        <f t="shared" si="84"/>
        <v>768630.75574032532</v>
      </c>
      <c r="X67" s="309">
        <f t="shared" si="75"/>
        <v>871560.81154248572</v>
      </c>
      <c r="Y67" s="309">
        <f t="shared" si="75"/>
        <v>894335.36520370294</v>
      </c>
      <c r="Z67" s="309">
        <f t="shared" si="75"/>
        <v>937269.38316479232</v>
      </c>
      <c r="AA67" s="309">
        <f t="shared" si="75"/>
        <v>993291.08614958124</v>
      </c>
      <c r="AB67" s="309">
        <f t="shared" si="75"/>
        <v>971377.09701341297</v>
      </c>
      <c r="AC67" s="309">
        <f t="shared" si="75"/>
        <v>1050287.3222340145</v>
      </c>
      <c r="AD67" s="309">
        <f t="shared" si="75"/>
        <v>1158123.4447191122</v>
      </c>
      <c r="AE67" s="309">
        <f t="shared" si="75"/>
        <v>1265078.1890240328</v>
      </c>
      <c r="AF67" s="309">
        <f t="shared" si="75"/>
        <v>1264255.8893423625</v>
      </c>
      <c r="AG67" s="309">
        <f t="shared" si="75"/>
        <v>1268893.5232141637</v>
      </c>
      <c r="AH67" s="309">
        <f t="shared" si="76"/>
        <v>1333175.5551321316</v>
      </c>
      <c r="AI67" s="309">
        <f t="shared" si="77"/>
        <v>1439454.7168107659</v>
      </c>
      <c r="AJ67" s="309">
        <f t="shared" si="77"/>
        <v>1475403.4581359432</v>
      </c>
      <c r="AK67" s="309">
        <f t="shared" si="77"/>
        <v>1472581.8778485856</v>
      </c>
      <c r="AL67" s="309">
        <f t="shared" si="77"/>
        <v>1465930.6444628967</v>
      </c>
      <c r="AM67" s="309">
        <f t="shared" si="77"/>
        <v>1440810.312291587</v>
      </c>
      <c r="AN67" s="309">
        <f t="shared" si="77"/>
        <v>1495946.0377132574</v>
      </c>
      <c r="AO67" s="309">
        <f t="shared" si="77"/>
        <v>1549939.8371218597</v>
      </c>
      <c r="AP67" s="309">
        <f t="shared" si="77"/>
        <v>1563829.6418568373</v>
      </c>
      <c r="AQ67" s="309">
        <f t="shared" si="77"/>
        <v>1563829.6418568376</v>
      </c>
      <c r="AR67" s="309"/>
      <c r="AS67" s="309"/>
      <c r="AT67" s="309"/>
      <c r="AU67" s="309"/>
      <c r="AV67" s="309"/>
      <c r="AW67" s="309"/>
      <c r="AX67" s="309"/>
      <c r="AY67" s="309"/>
      <c r="AZ67" s="309"/>
      <c r="BA67" s="309"/>
      <c r="BB67" s="309"/>
      <c r="BC67" s="308"/>
      <c r="BD67" s="405">
        <f>AVERAGE('D4 Gallon Forecast'!K71:O71)/AVERAGE('D4 Gallon Forecast'!K$81:O$81)</f>
        <v>8.3776445983119008E-2</v>
      </c>
      <c r="BE67" s="308">
        <v>0</v>
      </c>
      <c r="BF67" s="308">
        <f t="shared" si="78"/>
        <v>0</v>
      </c>
      <c r="BG67" s="308">
        <v>0</v>
      </c>
      <c r="BH67" s="308">
        <f t="shared" si="79"/>
        <v>0</v>
      </c>
      <c r="BI67" s="308">
        <v>0</v>
      </c>
      <c r="BJ67" s="308">
        <f t="shared" si="80"/>
        <v>0</v>
      </c>
      <c r="BK67" s="308">
        <v>0</v>
      </c>
      <c r="BL67" s="308">
        <f t="shared" si="81"/>
        <v>0</v>
      </c>
      <c r="BM67" s="308">
        <v>877507</v>
      </c>
      <c r="BN67" s="308">
        <f t="shared" si="82"/>
        <v>0</v>
      </c>
      <c r="BO67" s="308">
        <v>1025941.1298202944</v>
      </c>
      <c r="BP67" s="308">
        <f t="shared" si="83"/>
        <v>1025941.1298202944</v>
      </c>
    </row>
    <row r="68" spans="1:68">
      <c r="A68" s="301" t="s">
        <v>46</v>
      </c>
      <c r="B68" s="308">
        <f>'Monthly D6 Gallon Data'!$B7</f>
        <v>0</v>
      </c>
      <c r="C68" s="308">
        <f>'Monthly D6 Gallon Data'!$B19</f>
        <v>0</v>
      </c>
      <c r="D68" s="308">
        <f>'Monthly D6 Gallon Data'!$B31</f>
        <v>0</v>
      </c>
      <c r="E68" s="308">
        <f>'Monthly D6 Gallon Data'!$B43</f>
        <v>89168</v>
      </c>
      <c r="F68" s="308">
        <f>'Monthly D6 Gallon Data'!$B55</f>
        <v>39300</v>
      </c>
      <c r="G68" s="308">
        <f>'Monthly D6 Gallon Data'!$B67</f>
        <v>11381</v>
      </c>
      <c r="H68" s="308">
        <f>'Monthly D6 Gallon Data'!$B79</f>
        <v>8970</v>
      </c>
      <c r="I68" s="308">
        <f>'Monthly D6 Gallon Data'!$B91</f>
        <v>0</v>
      </c>
      <c r="J68" s="308">
        <f>'Monthly D6 Gallon Data'!$B103</f>
        <v>0</v>
      </c>
      <c r="K68" s="308">
        <f>'Monthly D6 Gallon Data'!$B115</f>
        <v>0</v>
      </c>
      <c r="L68" s="308">
        <f>'Monthly D6 Gallon Data'!$B127</f>
        <v>0</v>
      </c>
      <c r="M68" s="308">
        <f>'Monthly D6 Gallon Data'!$B139</f>
        <v>0</v>
      </c>
      <c r="N68" s="308">
        <f>'Monthly D6 Gallon Data'!$B151</f>
        <v>0</v>
      </c>
      <c r="O68" s="308">
        <f>'Monthly D6 Gallon Data'!$B163</f>
        <v>0</v>
      </c>
      <c r="P68" s="308">
        <f>'Monthly D6 Gallon Data'!$B175</f>
        <v>1001787</v>
      </c>
      <c r="Q68" s="309">
        <f t="shared" ref="Q68:Q75" si="85">Q$77*BD68</f>
        <v>432681.47152891645</v>
      </c>
      <c r="R68" s="309">
        <f t="shared" si="74"/>
        <v>523338.83410284703</v>
      </c>
      <c r="S68" s="309">
        <f t="shared" si="74"/>
        <v>632222.55625221925</v>
      </c>
      <c r="T68" s="309">
        <f t="shared" si="74"/>
        <v>660903.21363271051</v>
      </c>
      <c r="U68" s="309">
        <f t="shared" si="74"/>
        <v>708568.01708052855</v>
      </c>
      <c r="V68" s="309">
        <f t="shared" si="74"/>
        <v>757948.51574030786</v>
      </c>
      <c r="W68" s="309">
        <f t="shared" si="84"/>
        <v>787901.3464816066</v>
      </c>
      <c r="X68" s="309">
        <f t="shared" si="75"/>
        <v>893411.99506583728</v>
      </c>
      <c r="Y68" s="309">
        <f t="shared" si="75"/>
        <v>916757.53694167256</v>
      </c>
      <c r="Z68" s="309">
        <f t="shared" si="75"/>
        <v>960767.96757923625</v>
      </c>
      <c r="AA68" s="309">
        <f t="shared" si="75"/>
        <v>1018194.2088326111</v>
      </c>
      <c r="AB68" s="309">
        <f t="shared" si="75"/>
        <v>995730.80697388644</v>
      </c>
      <c r="AC68" s="309">
        <f t="shared" si="75"/>
        <v>1076619.4160207559</v>
      </c>
      <c r="AD68" s="309">
        <f t="shared" si="75"/>
        <v>1187159.1328754744</v>
      </c>
      <c r="AE68" s="309">
        <f t="shared" si="75"/>
        <v>1296795.3742320621</v>
      </c>
      <c r="AF68" s="309">
        <f t="shared" si="75"/>
        <v>1295952.4584086179</v>
      </c>
      <c r="AG68" s="309">
        <f t="shared" si="75"/>
        <v>1300706.3639019798</v>
      </c>
      <c r="AH68" s="309">
        <f t="shared" si="76"/>
        <v>1366600.0314718625</v>
      </c>
      <c r="AI68" s="309">
        <f t="shared" si="77"/>
        <v>1475543.752451227</v>
      </c>
      <c r="AJ68" s="309">
        <f t="shared" si="77"/>
        <v>1512393.7763188579</v>
      </c>
      <c r="AK68" s="309">
        <f t="shared" si="77"/>
        <v>1509501.4552778224</v>
      </c>
      <c r="AL68" s="309">
        <f t="shared" si="77"/>
        <v>1502683.4666646812</v>
      </c>
      <c r="AM68" s="309">
        <f t="shared" si="77"/>
        <v>1476933.3345056097</v>
      </c>
      <c r="AN68" s="309">
        <f t="shared" si="77"/>
        <v>1533451.3855652928</v>
      </c>
      <c r="AO68" s="309">
        <f t="shared" si="77"/>
        <v>1588798.8810148085</v>
      </c>
      <c r="AP68" s="309">
        <f t="shared" si="77"/>
        <v>1603036.9215450953</v>
      </c>
      <c r="AQ68" s="309">
        <f t="shared" si="77"/>
        <v>1603036.9215450955</v>
      </c>
      <c r="AR68" s="309"/>
      <c r="AS68" s="309"/>
      <c r="AT68" s="309"/>
      <c r="AU68" s="309"/>
      <c r="AV68" s="309"/>
      <c r="AW68" s="309"/>
      <c r="AX68" s="309"/>
      <c r="AY68" s="309"/>
      <c r="AZ68" s="309"/>
      <c r="BA68" s="309"/>
      <c r="BB68" s="309"/>
      <c r="BC68" s="308"/>
      <c r="BD68" s="405">
        <f>AVERAGE('D4 Gallon Forecast'!K72:O72)/AVERAGE('D4 Gallon Forecast'!K$81:O$81)</f>
        <v>8.5876832406954956E-2</v>
      </c>
      <c r="BE68" s="308">
        <v>0</v>
      </c>
      <c r="BF68" s="308">
        <f t="shared" si="78"/>
        <v>0</v>
      </c>
      <c r="BG68" s="308">
        <v>0</v>
      </c>
      <c r="BH68" s="308">
        <f t="shared" si="79"/>
        <v>0</v>
      </c>
      <c r="BI68" s="308">
        <v>0</v>
      </c>
      <c r="BJ68" s="308">
        <f t="shared" si="80"/>
        <v>0</v>
      </c>
      <c r="BK68" s="308">
        <v>0</v>
      </c>
      <c r="BL68" s="308">
        <f t="shared" si="81"/>
        <v>0</v>
      </c>
      <c r="BM68" s="308">
        <v>1001787</v>
      </c>
      <c r="BN68" s="308">
        <f t="shared" si="82"/>
        <v>0</v>
      </c>
      <c r="BO68" s="308">
        <v>1051662.8323279859</v>
      </c>
      <c r="BP68" s="308">
        <f t="shared" si="83"/>
        <v>618981.36079906952</v>
      </c>
    </row>
    <row r="69" spans="1:68">
      <c r="A69" s="301" t="s">
        <v>47</v>
      </c>
      <c r="B69" s="308">
        <f>'Monthly D6 Gallon Data'!$B8</f>
        <v>0</v>
      </c>
      <c r="C69" s="308">
        <f>'Monthly D6 Gallon Data'!$B20</f>
        <v>317472</v>
      </c>
      <c r="D69" s="308">
        <f>'Monthly D6 Gallon Data'!$B32</f>
        <v>0</v>
      </c>
      <c r="E69" s="308">
        <f>'Monthly D6 Gallon Data'!$B44</f>
        <v>51184</v>
      </c>
      <c r="F69" s="308">
        <f>'Monthly D6 Gallon Data'!$B56</f>
        <v>519127</v>
      </c>
      <c r="G69" s="308">
        <f>'Monthly D6 Gallon Data'!$B68</f>
        <v>0</v>
      </c>
      <c r="H69" s="308">
        <f>'Monthly D6 Gallon Data'!$B80</f>
        <v>25350</v>
      </c>
      <c r="I69" s="308">
        <f>'Monthly D6 Gallon Data'!$B92</f>
        <v>0</v>
      </c>
      <c r="J69" s="308">
        <f>'Monthly D6 Gallon Data'!$B104</f>
        <v>0</v>
      </c>
      <c r="K69" s="308">
        <f>'Monthly D6 Gallon Data'!$B116</f>
        <v>0</v>
      </c>
      <c r="L69" s="308">
        <f>'Monthly D6 Gallon Data'!$B128</f>
        <v>0</v>
      </c>
      <c r="M69" s="308">
        <f>'Monthly D6 Gallon Data'!$B140</f>
        <v>0</v>
      </c>
      <c r="N69" s="308">
        <f>'Monthly D6 Gallon Data'!$B152</f>
        <v>0</v>
      </c>
      <c r="O69" s="308">
        <f>'Monthly D6 Gallon Data'!$B164</f>
        <v>0</v>
      </c>
      <c r="P69" s="308">
        <f>'Monthly D6 Gallon Data'!$B176</f>
        <v>1403015</v>
      </c>
      <c r="Q69" s="309">
        <f t="shared" si="85"/>
        <v>449465.43806489097</v>
      </c>
      <c r="R69" s="309">
        <f t="shared" si="74"/>
        <v>543639.45258674037</v>
      </c>
      <c r="S69" s="309">
        <f t="shared" si="74"/>
        <v>656746.83779801778</v>
      </c>
      <c r="T69" s="309">
        <f t="shared" si="74"/>
        <v>686540.03459925868</v>
      </c>
      <c r="U69" s="309">
        <f t="shared" si="74"/>
        <v>736053.78356162598</v>
      </c>
      <c r="V69" s="309">
        <f t="shared" si="74"/>
        <v>787349.78055348515</v>
      </c>
      <c r="W69" s="309">
        <f t="shared" si="84"/>
        <v>818464.4990618825</v>
      </c>
      <c r="X69" s="309">
        <f t="shared" si="75"/>
        <v>928067.96721790824</v>
      </c>
      <c r="Y69" s="309">
        <f t="shared" si="75"/>
        <v>952319.09627366986</v>
      </c>
      <c r="Z69" s="309">
        <f t="shared" si="75"/>
        <v>998036.71717395622</v>
      </c>
      <c r="AA69" s="309">
        <f t="shared" si="75"/>
        <v>1057690.5558053229</v>
      </c>
      <c r="AB69" s="309">
        <f t="shared" si="75"/>
        <v>1034355.7854922275</v>
      </c>
      <c r="AC69" s="309">
        <f t="shared" si="75"/>
        <v>1118382.1108424708</v>
      </c>
      <c r="AD69" s="309">
        <f t="shared" si="75"/>
        <v>1233209.7277591678</v>
      </c>
      <c r="AE69" s="309">
        <f t="shared" si="75"/>
        <v>1347098.8228364307</v>
      </c>
      <c r="AF69" s="309">
        <f t="shared" si="75"/>
        <v>1346223.2098167711</v>
      </c>
      <c r="AG69" s="309">
        <f t="shared" si="75"/>
        <v>1351161.5220757704</v>
      </c>
      <c r="AH69" s="309">
        <f t="shared" si="76"/>
        <v>1419611.2434270121</v>
      </c>
      <c r="AI69" s="309">
        <f t="shared" si="77"/>
        <v>1532780.9548578768</v>
      </c>
      <c r="AJ69" s="309">
        <f t="shared" si="77"/>
        <v>1571060.4126350731</v>
      </c>
      <c r="AK69" s="309">
        <f t="shared" si="77"/>
        <v>1568055.8967746187</v>
      </c>
      <c r="AL69" s="309">
        <f t="shared" si="77"/>
        <v>1560973.4344082538</v>
      </c>
      <c r="AM69" s="309">
        <f t="shared" si="77"/>
        <v>1534224.439610282</v>
      </c>
      <c r="AN69" s="309">
        <f t="shared" si="77"/>
        <v>1592934.858820864</v>
      </c>
      <c r="AO69" s="309">
        <f t="shared" si="77"/>
        <v>1650429.315886721</v>
      </c>
      <c r="AP69" s="309">
        <f t="shared" si="77"/>
        <v>1665219.6583100234</v>
      </c>
      <c r="AQ69" s="309">
        <f t="shared" si="77"/>
        <v>1665219.6583100236</v>
      </c>
      <c r="AR69" s="309"/>
      <c r="AS69" s="309"/>
      <c r="AT69" s="309"/>
      <c r="AU69" s="309"/>
      <c r="AV69" s="309"/>
      <c r="AW69" s="309"/>
      <c r="AX69" s="309"/>
      <c r="AY69" s="309"/>
      <c r="AZ69" s="309"/>
      <c r="BA69" s="309"/>
      <c r="BB69" s="309"/>
      <c r="BC69" s="308"/>
      <c r="BD69" s="405">
        <f>AVERAGE('D4 Gallon Forecast'!K73:O73)/AVERAGE('D4 Gallon Forecast'!K$81:O$81)</f>
        <v>8.920804480262487E-2</v>
      </c>
      <c r="BE69" s="308">
        <v>0</v>
      </c>
      <c r="BF69" s="308">
        <f t="shared" si="78"/>
        <v>0</v>
      </c>
      <c r="BG69" s="308">
        <v>0</v>
      </c>
      <c r="BH69" s="308">
        <f t="shared" si="79"/>
        <v>0</v>
      </c>
      <c r="BI69" s="308">
        <v>0</v>
      </c>
      <c r="BJ69" s="308">
        <f t="shared" si="80"/>
        <v>0</v>
      </c>
      <c r="BK69" s="308">
        <v>0</v>
      </c>
      <c r="BL69" s="308">
        <f t="shared" si="81"/>
        <v>0</v>
      </c>
      <c r="BM69" s="308">
        <v>1403015</v>
      </c>
      <c r="BN69" s="308">
        <f t="shared" si="82"/>
        <v>0</v>
      </c>
      <c r="BO69" s="308">
        <v>1092457.4467184509</v>
      </c>
      <c r="BP69" s="308">
        <f t="shared" si="83"/>
        <v>642992.00865355995</v>
      </c>
    </row>
    <row r="70" spans="1:68">
      <c r="A70" s="301" t="s">
        <v>48</v>
      </c>
      <c r="B70" s="308">
        <f>'Monthly D6 Gallon Data'!$B9</f>
        <v>0</v>
      </c>
      <c r="C70" s="308">
        <f>'Monthly D6 Gallon Data'!$B21</f>
        <v>422024</v>
      </c>
      <c r="D70" s="308">
        <f>'Monthly D6 Gallon Data'!$B33</f>
        <v>0</v>
      </c>
      <c r="E70" s="308">
        <f>'Monthly D6 Gallon Data'!$B45</f>
        <v>67324</v>
      </c>
      <c r="F70" s="308">
        <f>'Monthly D6 Gallon Data'!$B57</f>
        <v>423385</v>
      </c>
      <c r="G70" s="308">
        <f>'Monthly D6 Gallon Data'!$B69</f>
        <v>0</v>
      </c>
      <c r="H70" s="308">
        <f>'Monthly D6 Gallon Data'!$B81</f>
        <v>32484</v>
      </c>
      <c r="I70" s="308">
        <f>'Monthly D6 Gallon Data'!$B93</f>
        <v>0</v>
      </c>
      <c r="J70" s="308">
        <f>'Monthly D6 Gallon Data'!$B105</f>
        <v>0</v>
      </c>
      <c r="K70" s="308">
        <f>'Monthly D6 Gallon Data'!$B117</f>
        <v>0</v>
      </c>
      <c r="L70" s="308">
        <f>'Monthly D6 Gallon Data'!$B129</f>
        <v>0</v>
      </c>
      <c r="M70" s="308">
        <f>'Monthly D6 Gallon Data'!$B141</f>
        <v>0</v>
      </c>
      <c r="N70" s="308">
        <f>'Monthly D6 Gallon Data'!$B153</f>
        <v>0</v>
      </c>
      <c r="O70" s="308">
        <f>'Monthly D6 Gallon Data'!$B165</f>
        <v>0</v>
      </c>
      <c r="P70" s="308">
        <f>'Monthly D6 Gallon Data'!$B177</f>
        <v>2323018</v>
      </c>
      <c r="Q70" s="309">
        <f t="shared" si="85"/>
        <v>448729.11148699315</v>
      </c>
      <c r="R70" s="309">
        <f t="shared" si="74"/>
        <v>542748.84756167582</v>
      </c>
      <c r="S70" s="309">
        <f t="shared" si="74"/>
        <v>655670.9371599108</v>
      </c>
      <c r="T70" s="309">
        <f t="shared" si="74"/>
        <v>685415.32593101775</v>
      </c>
      <c r="U70" s="309">
        <f t="shared" si="74"/>
        <v>734847.96011515125</v>
      </c>
      <c r="V70" s="309">
        <f t="shared" si="74"/>
        <v>786059.92260129296</v>
      </c>
      <c r="W70" s="309">
        <f t="shared" si="84"/>
        <v>817123.66812653909</v>
      </c>
      <c r="X70" s="309">
        <f t="shared" si="75"/>
        <v>926547.58088230866</v>
      </c>
      <c r="Y70" s="309">
        <f t="shared" si="75"/>
        <v>950758.98107494635</v>
      </c>
      <c r="Z70" s="309">
        <f t="shared" si="75"/>
        <v>996401.70611785154</v>
      </c>
      <c r="AA70" s="309">
        <f t="shared" si="75"/>
        <v>1055957.8181986585</v>
      </c>
      <c r="AB70" s="309">
        <f t="shared" si="75"/>
        <v>1032661.2755447235</v>
      </c>
      <c r="AC70" s="309">
        <f t="shared" si="75"/>
        <v>1116549.9466698391</v>
      </c>
      <c r="AD70" s="309">
        <f t="shared" si="75"/>
        <v>1231189.4498428488</v>
      </c>
      <c r="AE70" s="309">
        <f t="shared" si="75"/>
        <v>1344891.9686885797</v>
      </c>
      <c r="AF70" s="309">
        <f t="shared" si="75"/>
        <v>1344017.7901221258</v>
      </c>
      <c r="AG70" s="309">
        <f t="shared" si="75"/>
        <v>1348948.0123028711</v>
      </c>
      <c r="AH70" s="309">
        <f t="shared" si="76"/>
        <v>1417285.5974478279</v>
      </c>
      <c r="AI70" s="309">
        <f t="shared" si="77"/>
        <v>1530269.9111611324</v>
      </c>
      <c r="AJ70" s="309">
        <f t="shared" si="77"/>
        <v>1568486.658483282</v>
      </c>
      <c r="AK70" s="309">
        <f t="shared" si="77"/>
        <v>1565487.0647029129</v>
      </c>
      <c r="AL70" s="309">
        <f t="shared" si="77"/>
        <v>1558416.2050201711</v>
      </c>
      <c r="AM70" s="309">
        <f t="shared" si="77"/>
        <v>1531711.0311573229</v>
      </c>
      <c r="AN70" s="309">
        <f t="shared" si="77"/>
        <v>1590325.2693528521</v>
      </c>
      <c r="AO70" s="309">
        <f t="shared" si="77"/>
        <v>1647725.5374261099</v>
      </c>
      <c r="AP70" s="309">
        <f t="shared" si="77"/>
        <v>1662491.6499057948</v>
      </c>
      <c r="AQ70" s="309">
        <f t="shared" si="77"/>
        <v>1662491.649905795</v>
      </c>
      <c r="AR70" s="309"/>
      <c r="AS70" s="309"/>
      <c r="AT70" s="309"/>
      <c r="AU70" s="309"/>
      <c r="AV70" s="309"/>
      <c r="AW70" s="309"/>
      <c r="AX70" s="309"/>
      <c r="AY70" s="309"/>
      <c r="AZ70" s="309"/>
      <c r="BA70" s="309"/>
      <c r="BB70" s="309"/>
      <c r="BC70" s="308"/>
      <c r="BD70" s="405">
        <f>AVERAGE('D4 Gallon Forecast'!K74:O74)/AVERAGE('D4 Gallon Forecast'!K$81:O$81)</f>
        <v>8.9061901742919822E-2</v>
      </c>
      <c r="BE70" s="308">
        <v>0</v>
      </c>
      <c r="BF70" s="308">
        <f t="shared" si="78"/>
        <v>0</v>
      </c>
      <c r="BG70" s="308">
        <v>0</v>
      </c>
      <c r="BH70" s="308">
        <f t="shared" si="79"/>
        <v>0</v>
      </c>
      <c r="BI70" s="308">
        <v>0</v>
      </c>
      <c r="BJ70" s="308">
        <f t="shared" si="80"/>
        <v>0</v>
      </c>
      <c r="BK70" s="308">
        <v>0</v>
      </c>
      <c r="BL70" s="308">
        <f t="shared" si="81"/>
        <v>0</v>
      </c>
      <c r="BM70" s="308">
        <v>2323018</v>
      </c>
      <c r="BN70" s="308">
        <f t="shared" si="82"/>
        <v>0</v>
      </c>
      <c r="BO70" s="308">
        <v>1090667.753039879</v>
      </c>
      <c r="BP70" s="308">
        <f t="shared" si="83"/>
        <v>641938.64155288588</v>
      </c>
    </row>
    <row r="71" spans="1:68">
      <c r="A71" s="301" t="s">
        <v>49</v>
      </c>
      <c r="B71" s="308">
        <f>'Monthly D6 Gallon Data'!$B10</f>
        <v>2496971</v>
      </c>
      <c r="C71" s="308">
        <f>'Monthly D6 Gallon Data'!$B22</f>
        <v>157468</v>
      </c>
      <c r="D71" s="308">
        <f>'Monthly D6 Gallon Data'!$B34</f>
        <v>0</v>
      </c>
      <c r="E71" s="308">
        <f>'Monthly D6 Gallon Data'!$B46</f>
        <v>212273</v>
      </c>
      <c r="F71" s="308">
        <f>'Monthly D6 Gallon Data'!$B58</f>
        <v>226113</v>
      </c>
      <c r="G71" s="308">
        <f>'Monthly D6 Gallon Data'!$B70</f>
        <v>0</v>
      </c>
      <c r="H71" s="308">
        <f>'Monthly D6 Gallon Data'!$B82</f>
        <v>0</v>
      </c>
      <c r="I71" s="308">
        <f>'Monthly D6 Gallon Data'!$B94</f>
        <v>0</v>
      </c>
      <c r="J71" s="308">
        <f>'Monthly D6 Gallon Data'!$B106</f>
        <v>0</v>
      </c>
      <c r="K71" s="308">
        <f>'Monthly D6 Gallon Data'!$B118</f>
        <v>0</v>
      </c>
      <c r="L71" s="308">
        <f>'Monthly D6 Gallon Data'!$B130</f>
        <v>0</v>
      </c>
      <c r="M71" s="308">
        <f>'Monthly D6 Gallon Data'!$B142</f>
        <v>0</v>
      </c>
      <c r="N71" s="308">
        <f>'Monthly D6 Gallon Data'!$B154</f>
        <v>0</v>
      </c>
      <c r="O71" s="308">
        <f>'Monthly D6 Gallon Data'!$B166</f>
        <v>0</v>
      </c>
      <c r="P71" s="308">
        <f>'Monthly D6 Gallon Data'!$B178</f>
        <v>606134</v>
      </c>
      <c r="Q71" s="309">
        <f t="shared" si="85"/>
        <v>448303.93446367659</v>
      </c>
      <c r="R71" s="309">
        <f t="shared" si="74"/>
        <v>542234.58554143365</v>
      </c>
      <c r="S71" s="309">
        <f t="shared" si="74"/>
        <v>655049.67990202294</v>
      </c>
      <c r="T71" s="309">
        <f t="shared" si="74"/>
        <v>684765.88545444782</v>
      </c>
      <c r="U71" s="309">
        <f t="shared" si="74"/>
        <v>734151.68153577263</v>
      </c>
      <c r="V71" s="309">
        <f t="shared" si="74"/>
        <v>785315.11998099368</v>
      </c>
      <c r="W71" s="309">
        <f t="shared" si="84"/>
        <v>816349.43217883259</v>
      </c>
      <c r="X71" s="309">
        <f t="shared" si="75"/>
        <v>925669.66426777188</v>
      </c>
      <c r="Y71" s="309">
        <f t="shared" si="75"/>
        <v>949858.12382473284</v>
      </c>
      <c r="Z71" s="309">
        <f t="shared" si="75"/>
        <v>995457.60175602185</v>
      </c>
      <c r="AA71" s="309">
        <f t="shared" si="75"/>
        <v>1054957.2835990603</v>
      </c>
      <c r="AB71" s="309">
        <f t="shared" si="75"/>
        <v>1031682.8147406639</v>
      </c>
      <c r="AC71" s="309">
        <f t="shared" si="75"/>
        <v>1115492.0001926506</v>
      </c>
      <c r="AD71" s="309">
        <f t="shared" si="75"/>
        <v>1230022.8808549612</v>
      </c>
      <c r="AE71" s="309">
        <f t="shared" si="75"/>
        <v>1343617.6649955683</v>
      </c>
      <c r="AF71" s="309">
        <f t="shared" si="75"/>
        <v>1342744.3147253653</v>
      </c>
      <c r="AG71" s="309">
        <f t="shared" si="75"/>
        <v>1347669.8654525822</v>
      </c>
      <c r="AH71" s="309">
        <f t="shared" si="76"/>
        <v>1415942.6997929027</v>
      </c>
      <c r="AI71" s="309">
        <f t="shared" si="77"/>
        <v>1528819.959310354</v>
      </c>
      <c r="AJ71" s="309">
        <f t="shared" si="77"/>
        <v>1567000.4957372188</v>
      </c>
      <c r="AK71" s="309">
        <f t="shared" si="77"/>
        <v>1564003.7441133356</v>
      </c>
      <c r="AL71" s="309">
        <f t="shared" si="77"/>
        <v>1556939.5841676851</v>
      </c>
      <c r="AM71" s="309">
        <f t="shared" si="77"/>
        <v>1530259.7138254677</v>
      </c>
      <c r="AN71" s="309">
        <f t="shared" si="77"/>
        <v>1588818.4142217282</v>
      </c>
      <c r="AO71" s="309">
        <f t="shared" si="77"/>
        <v>1646164.2947491542</v>
      </c>
      <c r="AP71" s="309">
        <f t="shared" si="77"/>
        <v>1660916.4161335668</v>
      </c>
      <c r="AQ71" s="309">
        <f t="shared" si="77"/>
        <v>1660916.4161335672</v>
      </c>
      <c r="AR71" s="309"/>
      <c r="AS71" s="309"/>
      <c r="AT71" s="309"/>
      <c r="AU71" s="309"/>
      <c r="AV71" s="309"/>
      <c r="AW71" s="309"/>
      <c r="AX71" s="309"/>
      <c r="AY71" s="309"/>
      <c r="AZ71" s="309"/>
      <c r="BA71" s="309"/>
      <c r="BB71" s="309"/>
      <c r="BC71" s="308"/>
      <c r="BD71" s="405">
        <f>AVERAGE('D4 Gallon Forecast'!K75:O75)/AVERAGE('D4 Gallon Forecast'!K$81:O$81)</f>
        <v>8.8977514362416507E-2</v>
      </c>
      <c r="BE71" s="308">
        <v>0</v>
      </c>
      <c r="BF71" s="308">
        <f t="shared" si="78"/>
        <v>0</v>
      </c>
      <c r="BG71" s="308">
        <v>0</v>
      </c>
      <c r="BH71" s="308">
        <f t="shared" si="79"/>
        <v>0</v>
      </c>
      <c r="BI71" s="308">
        <v>0</v>
      </c>
      <c r="BJ71" s="308">
        <f t="shared" si="80"/>
        <v>0</v>
      </c>
      <c r="BK71" s="308">
        <v>0</v>
      </c>
      <c r="BL71" s="308">
        <f t="shared" si="81"/>
        <v>0</v>
      </c>
      <c r="BM71" s="309">
        <v>606134</v>
      </c>
      <c r="BN71" s="308">
        <f t="shared" si="82"/>
        <v>0</v>
      </c>
      <c r="BO71" s="308">
        <v>1089634.3302981984</v>
      </c>
      <c r="BP71" s="308">
        <f t="shared" si="83"/>
        <v>641330.39583452186</v>
      </c>
    </row>
    <row r="72" spans="1:68">
      <c r="A72" s="301" t="s">
        <v>50</v>
      </c>
      <c r="B72" s="308">
        <f>'Monthly D6 Gallon Data'!$B11</f>
        <v>3529440</v>
      </c>
      <c r="C72" s="308">
        <f>'Monthly D6 Gallon Data'!$B23</f>
        <v>206406</v>
      </c>
      <c r="D72" s="308">
        <f>'Monthly D6 Gallon Data'!$B35</f>
        <v>99089</v>
      </c>
      <c r="E72" s="308">
        <f>'Monthly D6 Gallon Data'!$B47</f>
        <v>0</v>
      </c>
      <c r="F72" s="308">
        <f>'Monthly D6 Gallon Data'!$B59</f>
        <v>73435</v>
      </c>
      <c r="G72" s="308">
        <f>'Monthly D6 Gallon Data'!$B71</f>
        <v>9774</v>
      </c>
      <c r="H72" s="308">
        <f>'Monthly D6 Gallon Data'!$B83</f>
        <v>13418</v>
      </c>
      <c r="I72" s="308">
        <f>'Monthly D6 Gallon Data'!$B95</f>
        <v>0</v>
      </c>
      <c r="J72" s="308">
        <f>'Monthly D6 Gallon Data'!$B107</f>
        <v>0</v>
      </c>
      <c r="K72" s="308">
        <f>'Monthly D6 Gallon Data'!$B119</f>
        <v>0</v>
      </c>
      <c r="L72" s="308">
        <f>'Monthly D6 Gallon Data'!$B131</f>
        <v>0</v>
      </c>
      <c r="M72" s="308">
        <f>'Monthly D6 Gallon Data'!$B143</f>
        <v>0</v>
      </c>
      <c r="N72" s="308">
        <f>'Monthly D6 Gallon Data'!$B155</f>
        <v>0</v>
      </c>
      <c r="O72" s="308">
        <f>'Monthly D6 Gallon Data'!$B167</f>
        <v>54198</v>
      </c>
      <c r="P72" s="308">
        <f>'Monthly D6 Gallon Data'!$B179</f>
        <v>279593</v>
      </c>
      <c r="Q72" s="309">
        <f t="shared" si="85"/>
        <v>462849.03651519306</v>
      </c>
      <c r="R72" s="309">
        <f t="shared" si="74"/>
        <v>559827.24261234968</v>
      </c>
      <c r="S72" s="309">
        <f t="shared" si="74"/>
        <v>676302.59273756738</v>
      </c>
      <c r="T72" s="309">
        <f t="shared" si="74"/>
        <v>706982.93268435332</v>
      </c>
      <c r="U72" s="309">
        <f t="shared" si="74"/>
        <v>757971.03779907443</v>
      </c>
      <c r="V72" s="309">
        <f t="shared" si="74"/>
        <v>810794.4604119173</v>
      </c>
      <c r="W72" s="309">
        <f t="shared" si="84"/>
        <v>842835.67262404284</v>
      </c>
      <c r="X72" s="309">
        <f t="shared" si="75"/>
        <v>955702.77059969655</v>
      </c>
      <c r="Y72" s="309">
        <f t="shared" si="75"/>
        <v>980676.01830076741</v>
      </c>
      <c r="Z72" s="309">
        <f t="shared" si="75"/>
        <v>1027754.9591789964</v>
      </c>
      <c r="AA72" s="309">
        <f t="shared" si="75"/>
        <v>1089185.0923919859</v>
      </c>
      <c r="AB72" s="309">
        <f t="shared" si="75"/>
        <v>1065155.4895748717</v>
      </c>
      <c r="AC72" s="309">
        <f t="shared" si="75"/>
        <v>1151683.8417830283</v>
      </c>
      <c r="AD72" s="309">
        <f t="shared" si="75"/>
        <v>1269930.6464406888</v>
      </c>
      <c r="AE72" s="309">
        <f t="shared" si="75"/>
        <v>1387210.9831736942</v>
      </c>
      <c r="AF72" s="309">
        <f t="shared" si="75"/>
        <v>1386309.2972859996</v>
      </c>
      <c r="AG72" s="309">
        <f t="shared" si="75"/>
        <v>1391394.656197977</v>
      </c>
      <c r="AH72" s="309">
        <f t="shared" si="76"/>
        <v>1461882.5845102347</v>
      </c>
      <c r="AI72" s="309">
        <f t="shared" si="77"/>
        <v>1578422.116724313</v>
      </c>
      <c r="AJ72" s="309">
        <f t="shared" si="77"/>
        <v>1617841.4105120183</v>
      </c>
      <c r="AK72" s="309">
        <f t="shared" si="77"/>
        <v>1614747.4300778534</v>
      </c>
      <c r="AL72" s="309">
        <f t="shared" si="77"/>
        <v>1607454.0753395213</v>
      </c>
      <c r="AM72" s="309">
        <f t="shared" si="77"/>
        <v>1579908.5836921663</v>
      </c>
      <c r="AN72" s="309">
        <f t="shared" si="77"/>
        <v>1640367.2055653299</v>
      </c>
      <c r="AO72" s="309">
        <f t="shared" si="77"/>
        <v>1699573.6579512281</v>
      </c>
      <c r="AP72" s="309">
        <f t="shared" si="77"/>
        <v>1714804.4079947209</v>
      </c>
      <c r="AQ72" s="309">
        <f t="shared" si="77"/>
        <v>1714804.4079947211</v>
      </c>
      <c r="AR72" s="309"/>
      <c r="AS72" s="309"/>
      <c r="AT72" s="309"/>
      <c r="AU72" s="309"/>
      <c r="AV72" s="309"/>
      <c r="AW72" s="309"/>
      <c r="AX72" s="309"/>
      <c r="AY72" s="309"/>
      <c r="AZ72" s="309"/>
      <c r="BA72" s="309"/>
      <c r="BB72" s="309"/>
      <c r="BC72" s="308"/>
      <c r="BD72" s="405">
        <f>AVERAGE('D4 Gallon Forecast'!K76:O76)/AVERAGE('D4 Gallon Forecast'!K$81:O$81)</f>
        <v>9.1864366177000528E-2</v>
      </c>
      <c r="BE72" s="308">
        <v>0</v>
      </c>
      <c r="BF72" s="308">
        <f t="shared" si="78"/>
        <v>0</v>
      </c>
      <c r="BG72" s="308">
        <v>0</v>
      </c>
      <c r="BH72" s="308">
        <f t="shared" si="79"/>
        <v>0</v>
      </c>
      <c r="BI72" s="308">
        <v>0</v>
      </c>
      <c r="BJ72" s="308">
        <f t="shared" si="80"/>
        <v>0</v>
      </c>
      <c r="BK72" s="308">
        <v>0</v>
      </c>
      <c r="BL72" s="308">
        <f t="shared" si="81"/>
        <v>54198</v>
      </c>
      <c r="BM72" s="309">
        <v>279593</v>
      </c>
      <c r="BN72" s="308">
        <f t="shared" si="82"/>
        <v>0</v>
      </c>
      <c r="BO72" s="308">
        <v>1124987.2266585296</v>
      </c>
      <c r="BP72" s="308">
        <f t="shared" si="83"/>
        <v>662138.19014333654</v>
      </c>
    </row>
    <row r="73" spans="1:68">
      <c r="A73" s="301" t="s">
        <v>51</v>
      </c>
      <c r="B73" s="308">
        <f>'Monthly D6 Gallon Data'!$B12</f>
        <v>5807541</v>
      </c>
      <c r="C73" s="308">
        <f>'Monthly D6 Gallon Data'!$B24</f>
        <v>145377</v>
      </c>
      <c r="D73" s="308">
        <f>'Monthly D6 Gallon Data'!$B36</f>
        <v>0</v>
      </c>
      <c r="E73" s="308">
        <f>'Monthly D6 Gallon Data'!$B48</f>
        <v>68564</v>
      </c>
      <c r="F73" s="308">
        <f>'Monthly D6 Gallon Data'!$B60</f>
        <v>0</v>
      </c>
      <c r="G73" s="308">
        <f>'Monthly D6 Gallon Data'!$B72</f>
        <v>0</v>
      </c>
      <c r="H73" s="308">
        <f>'Monthly D6 Gallon Data'!$B84</f>
        <v>53953</v>
      </c>
      <c r="I73" s="308">
        <f>'Monthly D6 Gallon Data'!$B96</f>
        <v>0</v>
      </c>
      <c r="J73" s="308">
        <f>'Monthly D6 Gallon Data'!$B108</f>
        <v>0</v>
      </c>
      <c r="K73" s="308">
        <f>'Monthly D6 Gallon Data'!$B120</f>
        <v>0</v>
      </c>
      <c r="L73" s="308">
        <f>'Monthly D6 Gallon Data'!$B132</f>
        <v>0</v>
      </c>
      <c r="M73" s="308">
        <f>'Monthly D6 Gallon Data'!$B144</f>
        <v>0</v>
      </c>
      <c r="N73" s="308">
        <f>'Monthly D6 Gallon Data'!$B156</f>
        <v>0</v>
      </c>
      <c r="O73" s="308">
        <f>'Monthly D6 Gallon Data'!$B168</f>
        <v>1015738</v>
      </c>
      <c r="P73" s="308">
        <f>'Monthly D6 Gallon Data'!$B180</f>
        <v>252609</v>
      </c>
      <c r="Q73" s="309">
        <f t="shared" si="85"/>
        <v>435296.4495163933</v>
      </c>
      <c r="R73" s="309">
        <f t="shared" si="74"/>
        <v>526501.71400693676</v>
      </c>
      <c r="S73" s="309">
        <f t="shared" si="74"/>
        <v>636043.49192100135</v>
      </c>
      <c r="T73" s="309">
        <f t="shared" si="74"/>
        <v>664897.48532961356</v>
      </c>
      <c r="U73" s="309">
        <f t="shared" si="74"/>
        <v>712850.35845453839</v>
      </c>
      <c r="V73" s="309">
        <f t="shared" si="74"/>
        <v>762529.29586314992</v>
      </c>
      <c r="W73" s="309">
        <f t="shared" si="84"/>
        <v>792663.15121078177</v>
      </c>
      <c r="X73" s="309">
        <f t="shared" si="75"/>
        <v>898811.46986328962</v>
      </c>
      <c r="Y73" s="309">
        <f t="shared" si="75"/>
        <v>922298.10416421853</v>
      </c>
      <c r="Z73" s="309">
        <f t="shared" si="75"/>
        <v>966574.51870659296</v>
      </c>
      <c r="AA73" s="309">
        <f t="shared" si="75"/>
        <v>1024347.8244095976</v>
      </c>
      <c r="AB73" s="309">
        <f t="shared" si="75"/>
        <v>1001748.6614766191</v>
      </c>
      <c r="AC73" s="309">
        <f t="shared" si="75"/>
        <v>1083126.1334538742</v>
      </c>
      <c r="AD73" s="309">
        <f t="shared" si="75"/>
        <v>1194333.9143356832</v>
      </c>
      <c r="AE73" s="309">
        <f t="shared" si="75"/>
        <v>1304632.7594242126</v>
      </c>
      <c r="AF73" s="309">
        <f t="shared" si="75"/>
        <v>1303784.7493074636</v>
      </c>
      <c r="AG73" s="309">
        <f t="shared" si="75"/>
        <v>1308567.3857704599</v>
      </c>
      <c r="AH73" s="309">
        <f t="shared" si="76"/>
        <v>1374859.2920021468</v>
      </c>
      <c r="AI73" s="309">
        <f t="shared" si="77"/>
        <v>1484461.431358495</v>
      </c>
      <c r="AJ73" s="309">
        <f t="shared" si="77"/>
        <v>1521534.1640953347</v>
      </c>
      <c r="AK73" s="309">
        <f t="shared" si="77"/>
        <v>1518624.3628607786</v>
      </c>
      <c r="AL73" s="309">
        <f t="shared" si="77"/>
        <v>1511765.1686695958</v>
      </c>
      <c r="AM73" s="309">
        <f t="shared" si="77"/>
        <v>1485859.4115688491</v>
      </c>
      <c r="AN73" s="309">
        <f t="shared" si="77"/>
        <v>1542719.0382890149</v>
      </c>
      <c r="AO73" s="309">
        <f t="shared" si="77"/>
        <v>1598401.0349635335</v>
      </c>
      <c r="AP73" s="309">
        <f t="shared" si="77"/>
        <v>1612725.1253134254</v>
      </c>
      <c r="AQ73" s="309">
        <f t="shared" si="77"/>
        <v>1612725.1253134257</v>
      </c>
      <c r="AR73" s="309"/>
      <c r="AS73" s="309"/>
      <c r="AT73" s="309"/>
      <c r="AU73" s="309"/>
      <c r="AV73" s="309"/>
      <c r="AW73" s="309"/>
      <c r="AX73" s="309"/>
      <c r="AY73" s="309"/>
      <c r="AZ73" s="309"/>
      <c r="BA73" s="309"/>
      <c r="BB73" s="309"/>
      <c r="BC73" s="308"/>
      <c r="BD73" s="405">
        <f>AVERAGE('D4 Gallon Forecast'!K77:O77)/AVERAGE('D4 Gallon Forecast'!K$81:O$81)</f>
        <v>8.6395842443564352E-2</v>
      </c>
      <c r="BE73" s="308">
        <v>0</v>
      </c>
      <c r="BF73" s="308">
        <f t="shared" si="78"/>
        <v>0</v>
      </c>
      <c r="BG73" s="308">
        <v>0</v>
      </c>
      <c r="BH73" s="308">
        <f t="shared" si="79"/>
        <v>0</v>
      </c>
      <c r="BI73" s="308">
        <v>0</v>
      </c>
      <c r="BJ73" s="308">
        <f t="shared" si="80"/>
        <v>0</v>
      </c>
      <c r="BK73" s="308">
        <v>0</v>
      </c>
      <c r="BL73" s="308">
        <f t="shared" si="81"/>
        <v>1015738</v>
      </c>
      <c r="BM73" s="309">
        <v>252609</v>
      </c>
      <c r="BN73" s="308">
        <f t="shared" si="82"/>
        <v>0</v>
      </c>
      <c r="BO73" s="308">
        <v>1058018.720753408</v>
      </c>
      <c r="BP73" s="308">
        <f t="shared" si="83"/>
        <v>622722.27123701479</v>
      </c>
    </row>
    <row r="74" spans="1:68">
      <c r="A74" s="301" t="s">
        <v>52</v>
      </c>
      <c r="B74" s="308">
        <f>'Monthly D6 Gallon Data'!$B13</f>
        <v>150737</v>
      </c>
      <c r="C74" s="308">
        <f>'Monthly D6 Gallon Data'!$B25</f>
        <v>1886711</v>
      </c>
      <c r="D74" s="308">
        <f>'Monthly D6 Gallon Data'!$B37</f>
        <v>111810</v>
      </c>
      <c r="E74" s="308">
        <f>'Monthly D6 Gallon Data'!$B49</f>
        <v>1353829</v>
      </c>
      <c r="F74" s="308">
        <f>'Monthly D6 Gallon Data'!$B61</f>
        <v>8378</v>
      </c>
      <c r="G74" s="308">
        <f>'Monthly D6 Gallon Data'!$B73</f>
        <v>11416</v>
      </c>
      <c r="H74" s="308">
        <f>'Monthly D6 Gallon Data'!$B85</f>
        <v>20981</v>
      </c>
      <c r="I74" s="308">
        <f>'Monthly D6 Gallon Data'!$B97</f>
        <v>0</v>
      </c>
      <c r="J74" s="308">
        <f>'Monthly D6 Gallon Data'!$B109</f>
        <v>331927</v>
      </c>
      <c r="K74" s="308">
        <f>'Monthly D6 Gallon Data'!$B121</f>
        <v>0</v>
      </c>
      <c r="L74" s="308">
        <f>'Monthly D6 Gallon Data'!$B133</f>
        <v>0</v>
      </c>
      <c r="M74" s="308">
        <f>'Monthly D6 Gallon Data'!$B145</f>
        <v>0</v>
      </c>
      <c r="N74" s="308">
        <f>'Monthly D6 Gallon Data'!$B157</f>
        <v>0</v>
      </c>
      <c r="O74" s="308">
        <f>'Monthly D6 Gallon Data'!$B169</f>
        <v>699159</v>
      </c>
      <c r="P74" s="308">
        <f>'Monthly D6 Gallon Data'!$B181</f>
        <v>142902</v>
      </c>
      <c r="Q74" s="309">
        <f t="shared" si="85"/>
        <v>423972.79617185832</v>
      </c>
      <c r="R74" s="309">
        <f t="shared" si="74"/>
        <v>512805.4780249027</v>
      </c>
      <c r="S74" s="309">
        <f t="shared" si="74"/>
        <v>619497.67349642504</v>
      </c>
      <c r="T74" s="309">
        <f t="shared" si="74"/>
        <v>647601.06896350195</v>
      </c>
      <c r="U74" s="309">
        <f t="shared" si="74"/>
        <v>694306.51240517444</v>
      </c>
      <c r="V74" s="309">
        <f t="shared" si="74"/>
        <v>742693.11888307205</v>
      </c>
      <c r="W74" s="309">
        <f t="shared" si="84"/>
        <v>772043.0823972876</v>
      </c>
      <c r="X74" s="309">
        <f t="shared" si="75"/>
        <v>875430.0948988687</v>
      </c>
      <c r="Y74" s="309">
        <f t="shared" si="75"/>
        <v>898305.75590711599</v>
      </c>
      <c r="Z74" s="309">
        <f t="shared" si="75"/>
        <v>941430.37890565011</v>
      </c>
      <c r="AA74" s="309">
        <f t="shared" si="75"/>
        <v>997700.78954237164</v>
      </c>
      <c r="AB74" s="309">
        <f t="shared" si="75"/>
        <v>975689.51352465304</v>
      </c>
      <c r="AC74" s="309">
        <f t="shared" si="75"/>
        <v>1054950.0597062835</v>
      </c>
      <c r="AD74" s="309">
        <f t="shared" si="75"/>
        <v>1163264.9193126729</v>
      </c>
      <c r="AE74" s="309">
        <f t="shared" si="75"/>
        <v>1270694.4878714427</v>
      </c>
      <c r="AF74" s="309">
        <f t="shared" si="75"/>
        <v>1269868.5376005883</v>
      </c>
      <c r="AG74" s="309">
        <f t="shared" si="75"/>
        <v>1274526.7601901423</v>
      </c>
      <c r="AH74" s="309">
        <f t="shared" si="76"/>
        <v>1339094.1713873532</v>
      </c>
      <c r="AI74" s="309">
        <f t="shared" si="77"/>
        <v>1445845.1580791906</v>
      </c>
      <c r="AJ74" s="309">
        <f t="shared" si="77"/>
        <v>1481953.4933932789</v>
      </c>
      <c r="AK74" s="309">
        <f t="shared" si="77"/>
        <v>1479119.3867354144</v>
      </c>
      <c r="AL74" s="309">
        <f t="shared" si="77"/>
        <v>1472438.6252820361</v>
      </c>
      <c r="AM74" s="309">
        <f t="shared" si="77"/>
        <v>1447206.7717092475</v>
      </c>
      <c r="AN74" s="309">
        <f t="shared" si="77"/>
        <v>1502587.2714965057</v>
      </c>
      <c r="AO74" s="309">
        <f t="shared" si="77"/>
        <v>1556820.7757043971</v>
      </c>
      <c r="AP74" s="309">
        <f t="shared" si="77"/>
        <v>1570772.2440543205</v>
      </c>
      <c r="AQ74" s="309">
        <f t="shared" si="77"/>
        <v>1570772.2440543207</v>
      </c>
      <c r="AR74" s="309"/>
      <c r="AS74" s="309"/>
      <c r="AT74" s="309"/>
      <c r="AU74" s="309"/>
      <c r="AV74" s="309"/>
      <c r="AW74" s="309"/>
      <c r="AX74" s="309"/>
      <c r="AY74" s="309"/>
      <c r="AZ74" s="309"/>
      <c r="BA74" s="309"/>
      <c r="BB74" s="309"/>
      <c r="BC74" s="308"/>
      <c r="BD74" s="405">
        <f>AVERAGE('D4 Gallon Forecast'!K78:O78)/AVERAGE('D4 Gallon Forecast'!K$81:O$81)</f>
        <v>8.414837047055175E-2</v>
      </c>
      <c r="BE74" s="308">
        <v>0</v>
      </c>
      <c r="BF74" s="308">
        <f t="shared" si="78"/>
        <v>0</v>
      </c>
      <c r="BG74" s="308">
        <v>0</v>
      </c>
      <c r="BH74" s="308">
        <f t="shared" si="79"/>
        <v>0</v>
      </c>
      <c r="BI74" s="308">
        <v>0</v>
      </c>
      <c r="BJ74" s="308">
        <f t="shared" si="80"/>
        <v>0</v>
      </c>
      <c r="BK74" s="308">
        <v>0</v>
      </c>
      <c r="BL74" s="308">
        <f t="shared" si="81"/>
        <v>699159</v>
      </c>
      <c r="BM74" s="309">
        <v>272140.50689993863</v>
      </c>
      <c r="BN74" s="308">
        <f t="shared" si="82"/>
        <v>-129238.50689993863</v>
      </c>
      <c r="BO74" s="308">
        <v>1030495.7826748864</v>
      </c>
      <c r="BP74" s="308">
        <f t="shared" si="83"/>
        <v>606522.98650302808</v>
      </c>
    </row>
    <row r="75" spans="1:68">
      <c r="A75" s="301" t="s">
        <v>53</v>
      </c>
      <c r="B75" s="308">
        <f>'Monthly D6 Gallon Data'!$B14</f>
        <v>437656</v>
      </c>
      <c r="C75" s="308">
        <f>'Monthly D6 Gallon Data'!$B26</f>
        <v>506372</v>
      </c>
      <c r="D75" s="308">
        <f>'Monthly D6 Gallon Data'!$B38</f>
        <v>45342</v>
      </c>
      <c r="E75" s="308">
        <f>'Monthly D6 Gallon Data'!$B50</f>
        <v>1569005</v>
      </c>
      <c r="F75" s="308">
        <f>'Monthly D6 Gallon Data'!$B62</f>
        <v>11780</v>
      </c>
      <c r="G75" s="308">
        <f>'Monthly D6 Gallon Data'!$B74</f>
        <v>0</v>
      </c>
      <c r="H75" s="308">
        <f>'Monthly D6 Gallon Data'!$B86</f>
        <v>4170</v>
      </c>
      <c r="I75" s="308">
        <f>'Monthly D6 Gallon Data'!$B98</f>
        <v>0</v>
      </c>
      <c r="J75" s="308">
        <f>'Monthly D6 Gallon Data'!$B110</f>
        <v>0</v>
      </c>
      <c r="K75" s="308">
        <f>'Monthly D6 Gallon Data'!$B122</f>
        <v>0</v>
      </c>
      <c r="L75" s="308">
        <f>'Monthly D6 Gallon Data'!$B134</f>
        <v>0</v>
      </c>
      <c r="M75" s="308">
        <f>'Monthly D6 Gallon Data'!$B146</f>
        <v>0</v>
      </c>
      <c r="N75" s="308">
        <f>'Monthly D6 Gallon Data'!$B158</f>
        <v>0</v>
      </c>
      <c r="O75" s="308">
        <f>'Monthly D6 Gallon Data'!$B170</f>
        <v>998989</v>
      </c>
      <c r="P75" s="308">
        <f>'Monthly D6 Gallon Data'!$B182</f>
        <v>115807</v>
      </c>
      <c r="Q75" s="309">
        <f t="shared" si="85"/>
        <v>401019.65896625945</v>
      </c>
      <c r="R75" s="309">
        <f t="shared" si="74"/>
        <v>485043.09656277444</v>
      </c>
      <c r="S75" s="309">
        <f t="shared" si="74"/>
        <v>585959.16530273226</v>
      </c>
      <c r="T75" s="309">
        <f t="shared" si="74"/>
        <v>612541.09265222377</v>
      </c>
      <c r="U75" s="309">
        <f t="shared" si="74"/>
        <v>656717.98600472847</v>
      </c>
      <c r="V75" s="309">
        <f t="shared" si="74"/>
        <v>702485.02720054064</v>
      </c>
      <c r="W75" s="309">
        <f t="shared" si="84"/>
        <v>730246.03560819302</v>
      </c>
      <c r="X75" s="309">
        <f t="shared" si="75"/>
        <v>828035.85813755752</v>
      </c>
      <c r="Y75" s="309">
        <f t="shared" si="75"/>
        <v>849673.07132431259</v>
      </c>
      <c r="Z75" s="309">
        <f t="shared" si="75"/>
        <v>890463.00351824169</v>
      </c>
      <c r="AA75" s="309">
        <f t="shared" si="75"/>
        <v>943687.03366163431</v>
      </c>
      <c r="AB75" s="309">
        <f t="shared" si="75"/>
        <v>922867.4091910593</v>
      </c>
      <c r="AC75" s="309">
        <f t="shared" si="75"/>
        <v>997836.92960895121</v>
      </c>
      <c r="AD75" s="309">
        <f t="shared" si="75"/>
        <v>1100287.8143178974</v>
      </c>
      <c r="AE75" s="309">
        <f t="shared" si="75"/>
        <v>1201901.3360705222</v>
      </c>
      <c r="AF75" s="309">
        <f t="shared" si="75"/>
        <v>1201120.1012862816</v>
      </c>
      <c r="AG75" s="309">
        <f t="shared" si="75"/>
        <v>1205526.1359449176</v>
      </c>
      <c r="AH75" s="309">
        <f t="shared" si="76"/>
        <v>1266597.9817152864</v>
      </c>
      <c r="AI75" s="309">
        <f t="shared" si="77"/>
        <v>1367569.6588228892</v>
      </c>
      <c r="AJ75" s="309">
        <f t="shared" si="77"/>
        <v>1401723.1527362708</v>
      </c>
      <c r="AK75" s="309">
        <f t="shared" si="77"/>
        <v>1399042.4795995208</v>
      </c>
      <c r="AL75" s="309">
        <f t="shared" si="77"/>
        <v>1392723.4027534141</v>
      </c>
      <c r="AM75" s="309">
        <f t="shared" si="77"/>
        <v>1368857.5570996169</v>
      </c>
      <c r="AN75" s="309">
        <f t="shared" si="77"/>
        <v>1421239.8545927443</v>
      </c>
      <c r="AO75" s="309">
        <f t="shared" si="77"/>
        <v>1472537.2528182145</v>
      </c>
      <c r="AP75" s="309">
        <f t="shared" si="77"/>
        <v>1485733.4133508753</v>
      </c>
      <c r="AQ75" s="309">
        <f t="shared" si="77"/>
        <v>1485733.4133508753</v>
      </c>
      <c r="AR75" s="309"/>
      <c r="AS75" s="309"/>
      <c r="AT75" s="309"/>
      <c r="AU75" s="309"/>
      <c r="AV75" s="309"/>
      <c r="AW75" s="309"/>
      <c r="AX75" s="309"/>
      <c r="AY75" s="309"/>
      <c r="AZ75" s="309"/>
      <c r="BA75" s="309"/>
      <c r="BB75" s="309"/>
      <c r="BC75" s="308"/>
      <c r="BD75" s="405">
        <f>AVERAGE('D4 Gallon Forecast'!K79:O79)/AVERAGE('D4 Gallon Forecast'!K$81:O$81)</f>
        <v>7.9592726546041062E-2</v>
      </c>
      <c r="BE75" s="308">
        <v>0</v>
      </c>
      <c r="BF75" s="308">
        <f t="shared" si="78"/>
        <v>0</v>
      </c>
      <c r="BG75" s="308">
        <v>0</v>
      </c>
      <c r="BH75" s="308">
        <f t="shared" si="79"/>
        <v>0</v>
      </c>
      <c r="BI75" s="308">
        <v>0</v>
      </c>
      <c r="BJ75" s="308">
        <f t="shared" si="80"/>
        <v>0</v>
      </c>
      <c r="BK75" s="309">
        <v>0</v>
      </c>
      <c r="BL75" s="308">
        <f t="shared" si="81"/>
        <v>998989</v>
      </c>
      <c r="BM75" s="309">
        <v>257407.30125449086</v>
      </c>
      <c r="BN75" s="308">
        <f t="shared" si="82"/>
        <v>-141600.30125449086</v>
      </c>
      <c r="BO75" s="308">
        <v>974706.56387807522</v>
      </c>
      <c r="BP75" s="308">
        <f t="shared" si="83"/>
        <v>573686.90491181577</v>
      </c>
    </row>
    <row r="76" spans="1:68">
      <c r="A76" s="301" t="s">
        <v>54</v>
      </c>
      <c r="B76" s="308">
        <f>'Monthly D6 Gallon Data'!$B15</f>
        <v>97302</v>
      </c>
      <c r="C76" s="308">
        <f>'Monthly D6 Gallon Data'!$B27</f>
        <v>0</v>
      </c>
      <c r="D76" s="308">
        <f>'Monthly D6 Gallon Data'!$B39</f>
        <v>72018</v>
      </c>
      <c r="E76" s="308">
        <f>'Monthly D6 Gallon Data'!$B51</f>
        <v>2583684</v>
      </c>
      <c r="F76" s="308">
        <f>'Monthly D6 Gallon Data'!$B63</f>
        <v>1909</v>
      </c>
      <c r="G76" s="308">
        <f>'Monthly D6 Gallon Data'!$B75</f>
        <v>0</v>
      </c>
      <c r="H76" s="308">
        <f>'Monthly D6 Gallon Data'!$B87</f>
        <v>0</v>
      </c>
      <c r="I76" s="308">
        <f>'Monthly D6 Gallon Data'!$B99</f>
        <v>0</v>
      </c>
      <c r="J76" s="308">
        <f>'Monthly D6 Gallon Data'!$B111</f>
        <v>0</v>
      </c>
      <c r="K76" s="308">
        <f>'Monthly D6 Gallon Data'!$B123</f>
        <v>0</v>
      </c>
      <c r="L76" s="308">
        <f>'Monthly D6 Gallon Data'!$B135</f>
        <v>0</v>
      </c>
      <c r="M76" s="308">
        <f>'Monthly D6 Gallon Data'!$B147</f>
        <v>0</v>
      </c>
      <c r="N76" s="308">
        <f>'Monthly D6 Gallon Data'!$B159</f>
        <v>0</v>
      </c>
      <c r="O76" s="308">
        <f>'Monthly D6 Gallon Data'!$B171</f>
        <v>130372</v>
      </c>
      <c r="P76" s="308">
        <f>'Monthly D6 Gallon Data'!$B183</f>
        <v>201107</v>
      </c>
      <c r="Q76" s="394">
        <f t="shared" ref="Q76:AG76" si="86">Q77-SUM(Q65:Q75)</f>
        <v>1433471.9011014192</v>
      </c>
      <c r="R76" s="309">
        <f t="shared" si="86"/>
        <v>544576.0413299324</v>
      </c>
      <c r="S76" s="309">
        <f t="shared" si="86"/>
        <v>657878.28933723643</v>
      </c>
      <c r="T76" s="309">
        <f t="shared" si="86"/>
        <v>687722.81422479544</v>
      </c>
      <c r="U76" s="309">
        <f t="shared" si="86"/>
        <v>737321.86608357634</v>
      </c>
      <c r="V76" s="309">
        <f t="shared" si="86"/>
        <v>788706.23645070381</v>
      </c>
      <c r="W76" s="309">
        <f t="shared" si="86"/>
        <v>819874.55977928825</v>
      </c>
      <c r="X76" s="309">
        <f t="shared" si="86"/>
        <v>929666.85413989052</v>
      </c>
      <c r="Y76" s="309">
        <f t="shared" si="86"/>
        <v>953959.76333941333</v>
      </c>
      <c r="Z76" s="309">
        <f t="shared" si="86"/>
        <v>999756.14711994678</v>
      </c>
      <c r="AA76" s="309">
        <f t="shared" si="86"/>
        <v>1059512.7581190728</v>
      </c>
      <c r="AB76" s="309">
        <f t="shared" si="86"/>
        <v>1036137.7863763403</v>
      </c>
      <c r="AC76" s="309">
        <f t="shared" si="86"/>
        <v>1120308.8733145837</v>
      </c>
      <c r="AD76" s="309">
        <f t="shared" si="86"/>
        <v>1235334.3166636731</v>
      </c>
      <c r="AE76" s="309">
        <f t="shared" si="86"/>
        <v>1349419.6212763414</v>
      </c>
      <c r="AF76" s="309">
        <f t="shared" si="86"/>
        <v>1348542.4997397922</v>
      </c>
      <c r="AG76" s="309">
        <f t="shared" si="86"/>
        <v>1353489.3197839577</v>
      </c>
      <c r="AH76" s="309">
        <f t="shared" ref="AH76:AP76" si="87">AH77-SUM(AH65:AH75)</f>
        <v>1422056.9671580214</v>
      </c>
      <c r="AI76" s="309">
        <f t="shared" si="87"/>
        <v>1535421.6487612911</v>
      </c>
      <c r="AJ76" s="309">
        <f t="shared" si="87"/>
        <v>1573767.0548597109</v>
      </c>
      <c r="AK76" s="309">
        <f t="shared" si="87"/>
        <v>1570757.3627823368</v>
      </c>
      <c r="AL76" s="309">
        <f t="shared" si="87"/>
        <v>1563662.6986625902</v>
      </c>
      <c r="AM76" s="309">
        <f t="shared" si="87"/>
        <v>1536867.6203670036</v>
      </c>
      <c r="AN76" s="309">
        <f t="shared" si="87"/>
        <v>1595679.1866107509</v>
      </c>
      <c r="AO76" s="309">
        <f t="shared" si="87"/>
        <v>1653272.6958352178</v>
      </c>
      <c r="AP76" s="309">
        <f t="shared" si="87"/>
        <v>1668088.5192425735</v>
      </c>
      <c r="AQ76" s="309">
        <f t="shared" ref="AQ76" si="88">AQ77-SUM(AQ65:AQ75)</f>
        <v>1668088.5192425698</v>
      </c>
      <c r="AR76" s="309"/>
      <c r="AS76" s="309"/>
      <c r="AT76" s="309"/>
      <c r="AU76" s="309"/>
      <c r="AV76" s="309"/>
      <c r="AW76" s="309"/>
      <c r="AX76" s="309"/>
      <c r="AY76" s="309"/>
      <c r="AZ76" s="309"/>
      <c r="BA76" s="309"/>
      <c r="BB76" s="309"/>
      <c r="BC76" s="308"/>
      <c r="BD76" s="405">
        <f>AVERAGE('D4 Gallon Forecast'!K80:O80)/AVERAGE('D4 Gallon Forecast'!K$81:O$81)</f>
        <v>8.9361733520702341E-2</v>
      </c>
      <c r="BE76" s="308">
        <v>0</v>
      </c>
      <c r="BF76" s="308">
        <f t="shared" si="78"/>
        <v>0</v>
      </c>
      <c r="BG76" s="308">
        <v>0</v>
      </c>
      <c r="BH76" s="308">
        <f t="shared" si="79"/>
        <v>0</v>
      </c>
      <c r="BI76" s="308">
        <v>0</v>
      </c>
      <c r="BJ76" s="308">
        <f t="shared" si="80"/>
        <v>0</v>
      </c>
      <c r="BK76" s="309">
        <v>0</v>
      </c>
      <c r="BL76" s="308">
        <f t="shared" si="81"/>
        <v>130372</v>
      </c>
      <c r="BM76" s="309">
        <v>230586.98613265343</v>
      </c>
      <c r="BN76" s="308">
        <f t="shared" si="82"/>
        <v>-29479.98613265343</v>
      </c>
      <c r="BO76" s="308">
        <v>2604998.543953225</v>
      </c>
      <c r="BP76" s="308">
        <f t="shared" si="83"/>
        <v>1171526.6428518058</v>
      </c>
    </row>
    <row r="77" spans="1:68" ht="12" thickBot="1">
      <c r="A77" s="301" t="s">
        <v>29</v>
      </c>
      <c r="B77" s="308">
        <f>SUM(B65:B76)</f>
        <v>12519647</v>
      </c>
      <c r="C77" s="308">
        <f t="shared" ref="C77:P77" si="89">SUM(C65:C76)</f>
        <v>4172383</v>
      </c>
      <c r="D77" s="308">
        <f t="shared" si="89"/>
        <v>745678</v>
      </c>
      <c r="E77" s="308">
        <f t="shared" si="89"/>
        <v>6007320</v>
      </c>
      <c r="F77" s="308">
        <f t="shared" si="89"/>
        <v>1303427</v>
      </c>
      <c r="G77" s="308">
        <f t="shared" si="89"/>
        <v>44430</v>
      </c>
      <c r="H77" s="308">
        <f t="shared" si="89"/>
        <v>354498</v>
      </c>
      <c r="I77" s="308">
        <f t="shared" si="89"/>
        <v>0</v>
      </c>
      <c r="J77" s="308">
        <f t="shared" si="89"/>
        <v>331927</v>
      </c>
      <c r="K77" s="308">
        <f t="shared" si="89"/>
        <v>11178</v>
      </c>
      <c r="L77" s="308">
        <f t="shared" si="89"/>
        <v>0</v>
      </c>
      <c r="M77" s="308">
        <f t="shared" si="89"/>
        <v>0</v>
      </c>
      <c r="N77" s="308">
        <f t="shared" si="89"/>
        <v>0</v>
      </c>
      <c r="O77" s="308">
        <f t="shared" si="89"/>
        <v>2898456</v>
      </c>
      <c r="P77" s="308">
        <f t="shared" si="89"/>
        <v>8939840</v>
      </c>
      <c r="Q77" s="309">
        <f>Q4</f>
        <v>5038395.7978156004</v>
      </c>
      <c r="R77" s="309">
        <f t="shared" ref="R77:AQ77" si="90">R4</f>
        <v>6094063.0835431591</v>
      </c>
      <c r="S77" s="309">
        <f t="shared" si="90"/>
        <v>7361968.7467771238</v>
      </c>
      <c r="T77" s="309">
        <f t="shared" si="90"/>
        <v>7695943.0746212015</v>
      </c>
      <c r="U77" s="309">
        <f t="shared" si="90"/>
        <v>8250979.8885309529</v>
      </c>
      <c r="V77" s="309">
        <f t="shared" si="90"/>
        <v>8825995.2596822083</v>
      </c>
      <c r="W77" s="309">
        <f t="shared" si="90"/>
        <v>9174783.5172574017</v>
      </c>
      <c r="X77" s="309">
        <f t="shared" si="90"/>
        <v>10403411.141576782</v>
      </c>
      <c r="Y77" s="309">
        <f t="shared" si="90"/>
        <v>10675260.268070001</v>
      </c>
      <c r="Z77" s="309">
        <f t="shared" si="90"/>
        <v>11187743.430339031</v>
      </c>
      <c r="AA77" s="309">
        <f t="shared" si="90"/>
        <v>11856448.12803028</v>
      </c>
      <c r="AB77" s="309">
        <f t="shared" si="90"/>
        <v>11594871.155182995</v>
      </c>
      <c r="AC77" s="309">
        <f t="shared" si="90"/>
        <v>12536785.368594509</v>
      </c>
      <c r="AD77" s="309">
        <f t="shared" si="90"/>
        <v>13823974.401497945</v>
      </c>
      <c r="AE77" s="309">
        <f t="shared" si="90"/>
        <v>15100642.83795169</v>
      </c>
      <c r="AF77" s="309">
        <f t="shared" si="90"/>
        <v>15090827.433728935</v>
      </c>
      <c r="AG77" s="309">
        <f t="shared" si="90"/>
        <v>15146184.686204597</v>
      </c>
      <c r="AH77" s="309">
        <f t="shared" si="90"/>
        <v>15913489.042024618</v>
      </c>
      <c r="AI77" s="309">
        <f t="shared" si="90"/>
        <v>17182093.366682284</v>
      </c>
      <c r="AJ77" s="309">
        <f t="shared" si="90"/>
        <v>17611196.569895525</v>
      </c>
      <c r="AK77" s="309">
        <f t="shared" si="90"/>
        <v>17577516.694194827</v>
      </c>
      <c r="AL77" s="309">
        <f t="shared" si="90"/>
        <v>17498124.052174311</v>
      </c>
      <c r="AM77" s="309">
        <f t="shared" si="90"/>
        <v>17198274.471823629</v>
      </c>
      <c r="AN77" s="309">
        <f t="shared" si="90"/>
        <v>17856403.672396075</v>
      </c>
      <c r="AO77" s="309">
        <f t="shared" si="90"/>
        <v>18500902.23968409</v>
      </c>
      <c r="AP77" s="309">
        <f t="shared" si="90"/>
        <v>18666698.300521724</v>
      </c>
      <c r="AQ77" s="309">
        <f t="shared" si="90"/>
        <v>18666698.300521728</v>
      </c>
      <c r="AR77" s="309"/>
      <c r="AS77" s="309"/>
      <c r="AT77" s="309"/>
      <c r="AU77" s="309"/>
      <c r="AV77" s="309"/>
      <c r="AW77" s="309"/>
      <c r="AX77" s="309"/>
      <c r="AY77" s="309"/>
      <c r="AZ77" s="309"/>
      <c r="BA77" s="309"/>
      <c r="BB77" s="309"/>
      <c r="BC77" s="308"/>
      <c r="BE77" s="308">
        <v>0</v>
      </c>
      <c r="BF77" s="308">
        <f t="shared" si="78"/>
        <v>0</v>
      </c>
      <c r="BG77" s="308">
        <v>0</v>
      </c>
      <c r="BH77" s="308">
        <f t="shared" si="79"/>
        <v>0</v>
      </c>
      <c r="BI77" s="308">
        <v>0</v>
      </c>
      <c r="BJ77" s="308">
        <f t="shared" si="80"/>
        <v>0</v>
      </c>
      <c r="BK77" s="309">
        <v>1769095</v>
      </c>
      <c r="BL77" s="308">
        <f t="shared" si="81"/>
        <v>1129361</v>
      </c>
      <c r="BM77" s="309">
        <v>9240158.7942870818</v>
      </c>
      <c r="BN77" s="308">
        <f t="shared" si="82"/>
        <v>-300318.79428708181</v>
      </c>
      <c r="BO77" s="308">
        <v>12246176.330122933</v>
      </c>
      <c r="BP77" s="308">
        <f t="shared" si="83"/>
        <v>7207780.5323073324</v>
      </c>
    </row>
    <row r="78" spans="1:68">
      <c r="A78" s="334"/>
      <c r="B78" s="334"/>
      <c r="C78" s="334"/>
      <c r="D78" s="334"/>
      <c r="E78" s="334"/>
      <c r="F78" s="334"/>
      <c r="G78" s="334"/>
      <c r="H78" s="334"/>
      <c r="I78" s="334"/>
      <c r="J78" s="334"/>
      <c r="K78" s="334"/>
      <c r="L78" s="334"/>
      <c r="M78" s="334"/>
      <c r="N78" s="334"/>
      <c r="O78" s="334"/>
      <c r="P78" s="334"/>
      <c r="Q78" s="334"/>
      <c r="R78" s="334"/>
      <c r="S78" s="334"/>
      <c r="T78" s="334"/>
      <c r="U78" s="334"/>
      <c r="V78" s="334"/>
      <c r="W78" s="334"/>
      <c r="X78" s="334"/>
      <c r="Y78" s="334"/>
      <c r="Z78" s="334"/>
      <c r="AA78" s="334"/>
      <c r="AB78" s="334"/>
      <c r="AC78" s="334"/>
      <c r="AD78" s="334"/>
      <c r="AE78" s="334"/>
      <c r="AF78" s="334"/>
      <c r="AG78" s="334"/>
      <c r="AH78" s="334"/>
      <c r="AI78" s="334"/>
      <c r="AJ78" s="334"/>
      <c r="AK78" s="334"/>
      <c r="AL78" s="334"/>
      <c r="AM78" s="334"/>
      <c r="AN78" s="334"/>
      <c r="AO78" s="334"/>
      <c r="AP78" s="334"/>
      <c r="AQ78" s="334"/>
      <c r="BC78" s="308"/>
      <c r="BG78" s="309"/>
    </row>
    <row r="79" spans="1:68" ht="12" thickBot="1">
      <c r="A79" s="300" t="s">
        <v>495</v>
      </c>
      <c r="BC79" s="308"/>
      <c r="BG79" s="309"/>
    </row>
    <row r="80" spans="1:68" ht="12" thickBot="1">
      <c r="A80" s="328"/>
      <c r="B80" s="329">
        <f t="shared" ref="B80:AQ80" si="91">B2</f>
        <v>2010</v>
      </c>
      <c r="C80" s="329">
        <f t="shared" si="91"/>
        <v>2011</v>
      </c>
      <c r="D80" s="329">
        <f t="shared" si="91"/>
        <v>2012</v>
      </c>
      <c r="E80" s="329">
        <f t="shared" si="91"/>
        <v>2013</v>
      </c>
      <c r="F80" s="329">
        <f t="shared" si="91"/>
        <v>2014</v>
      </c>
      <c r="G80" s="329">
        <f t="shared" si="91"/>
        <v>2015</v>
      </c>
      <c r="H80" s="329">
        <f t="shared" si="91"/>
        <v>2016</v>
      </c>
      <c r="I80" s="329">
        <f t="shared" si="91"/>
        <v>2017</v>
      </c>
      <c r="J80" s="329">
        <f t="shared" si="91"/>
        <v>2018</v>
      </c>
      <c r="K80" s="329">
        <f t="shared" si="91"/>
        <v>2019</v>
      </c>
      <c r="L80" s="329">
        <f t="shared" si="91"/>
        <v>2020</v>
      </c>
      <c r="M80" s="329">
        <f t="shared" si="91"/>
        <v>2021</v>
      </c>
      <c r="N80" s="329">
        <f t="shared" si="91"/>
        <v>2022</v>
      </c>
      <c r="O80" s="329">
        <f t="shared" si="91"/>
        <v>2023</v>
      </c>
      <c r="P80" s="329">
        <f t="shared" si="91"/>
        <v>2024</v>
      </c>
      <c r="Q80" s="329">
        <f t="shared" si="91"/>
        <v>2025</v>
      </c>
      <c r="R80" s="329">
        <f t="shared" si="91"/>
        <v>2026</v>
      </c>
      <c r="S80" s="329">
        <f t="shared" si="91"/>
        <v>2027</v>
      </c>
      <c r="T80" s="329">
        <f t="shared" si="91"/>
        <v>2028</v>
      </c>
      <c r="U80" s="329">
        <f t="shared" si="91"/>
        <v>2029</v>
      </c>
      <c r="V80" s="329">
        <f t="shared" si="91"/>
        <v>2030</v>
      </c>
      <c r="W80" s="329">
        <f t="shared" si="91"/>
        <v>2031</v>
      </c>
      <c r="X80" s="329">
        <f t="shared" si="91"/>
        <v>2032</v>
      </c>
      <c r="Y80" s="329">
        <f t="shared" si="91"/>
        <v>2033</v>
      </c>
      <c r="Z80" s="329">
        <f t="shared" si="91"/>
        <v>2034</v>
      </c>
      <c r="AA80" s="329">
        <f t="shared" si="91"/>
        <v>2035</v>
      </c>
      <c r="AB80" s="329">
        <f t="shared" si="91"/>
        <v>2036</v>
      </c>
      <c r="AC80" s="329">
        <f t="shared" si="91"/>
        <v>2037</v>
      </c>
      <c r="AD80" s="329">
        <f t="shared" si="91"/>
        <v>2038</v>
      </c>
      <c r="AE80" s="329">
        <f t="shared" si="91"/>
        <v>2039</v>
      </c>
      <c r="AF80" s="329">
        <f t="shared" si="91"/>
        <v>2040</v>
      </c>
      <c r="AG80" s="329">
        <f t="shared" si="91"/>
        <v>2041</v>
      </c>
      <c r="AH80" s="329">
        <f t="shared" si="91"/>
        <v>2042</v>
      </c>
      <c r="AI80" s="329">
        <f t="shared" si="91"/>
        <v>2043</v>
      </c>
      <c r="AJ80" s="329">
        <f t="shared" si="91"/>
        <v>2044</v>
      </c>
      <c r="AK80" s="329">
        <f t="shared" si="91"/>
        <v>2045</v>
      </c>
      <c r="AL80" s="329">
        <f t="shared" si="91"/>
        <v>2046</v>
      </c>
      <c r="AM80" s="329">
        <f t="shared" si="91"/>
        <v>2047</v>
      </c>
      <c r="AN80" s="329">
        <f t="shared" si="91"/>
        <v>2048</v>
      </c>
      <c r="AO80" s="329">
        <f t="shared" si="91"/>
        <v>2049</v>
      </c>
      <c r="AP80" s="329">
        <f t="shared" si="91"/>
        <v>2050</v>
      </c>
      <c r="AQ80" s="329">
        <f t="shared" si="91"/>
        <v>2051</v>
      </c>
      <c r="AR80" s="300"/>
      <c r="AS80" s="300"/>
      <c r="AT80" s="300"/>
      <c r="AU80" s="300"/>
      <c r="AV80" s="300"/>
      <c r="AW80" s="300"/>
      <c r="AX80" s="300"/>
      <c r="AY80" s="300"/>
      <c r="AZ80" s="300"/>
      <c r="BA80" s="300"/>
      <c r="BB80" s="300"/>
      <c r="BC80" s="308"/>
      <c r="BG80" s="309"/>
    </row>
    <row r="81" spans="1:70">
      <c r="A81" s="301" t="s">
        <v>43</v>
      </c>
      <c r="B81" s="308">
        <f>'Monthly D6 Gallon Data'!$C4</f>
        <v>0</v>
      </c>
      <c r="C81" s="308">
        <f>'Monthly D6 Gallon Data'!$C16</f>
        <v>0</v>
      </c>
      <c r="D81" s="308">
        <f>'Monthly D6 Gallon Data'!$C28</f>
        <v>0</v>
      </c>
      <c r="E81" s="308">
        <f>'Monthly D6 Gallon Data'!$C40</f>
        <v>0</v>
      </c>
      <c r="F81" s="308">
        <f>'Monthly D6 Gallon Data'!$C52</f>
        <v>0</v>
      </c>
      <c r="G81" s="308">
        <f>'Monthly D6 Gallon Data'!$C64</f>
        <v>0</v>
      </c>
      <c r="H81" s="308">
        <f>'Monthly D6 Gallon Data'!$C76</f>
        <v>0</v>
      </c>
      <c r="I81" s="308">
        <f>'Monthly D6 Gallon Data'!$C88</f>
        <v>0</v>
      </c>
      <c r="J81" s="308">
        <f>'Monthly D6 Gallon Data'!$C100</f>
        <v>0</v>
      </c>
      <c r="K81" s="308">
        <f>'Monthly D6 Gallon Data'!$C112</f>
        <v>0</v>
      </c>
      <c r="L81" s="308">
        <f>'Monthly D6 Gallon Data'!$C124</f>
        <v>0</v>
      </c>
      <c r="M81" s="308">
        <f>'Monthly D6 Gallon Data'!$C136</f>
        <v>0</v>
      </c>
      <c r="N81" s="308">
        <f>'Monthly D6 Gallon Data'!$C148</f>
        <v>0</v>
      </c>
      <c r="O81" s="308">
        <f>'Monthly D6 Gallon Data'!$C160</f>
        <v>0</v>
      </c>
      <c r="P81" s="308">
        <f>'Monthly D6 Gallon Data'!$C172</f>
        <v>0</v>
      </c>
      <c r="Q81" s="308">
        <f>'Monthly D6 Gallon Data'!$C184</f>
        <v>0</v>
      </c>
      <c r="R81" s="309">
        <v>0</v>
      </c>
      <c r="S81" s="309">
        <v>0</v>
      </c>
      <c r="T81" s="309">
        <v>0</v>
      </c>
      <c r="U81" s="309">
        <v>0</v>
      </c>
      <c r="V81" s="309">
        <v>0</v>
      </c>
      <c r="W81" s="309">
        <v>0</v>
      </c>
      <c r="X81" s="309">
        <v>0</v>
      </c>
      <c r="Y81" s="309">
        <v>0</v>
      </c>
      <c r="Z81" s="309">
        <v>0</v>
      </c>
      <c r="AA81" s="309">
        <v>0</v>
      </c>
      <c r="AB81" s="309">
        <v>0</v>
      </c>
      <c r="AC81" s="309">
        <v>0</v>
      </c>
      <c r="AD81" s="309">
        <v>0</v>
      </c>
      <c r="AE81" s="309">
        <v>0</v>
      </c>
      <c r="AF81" s="309">
        <v>0</v>
      </c>
      <c r="AG81" s="309">
        <v>0</v>
      </c>
      <c r="AH81" s="309">
        <v>1</v>
      </c>
      <c r="AI81" s="309">
        <v>2</v>
      </c>
      <c r="AJ81" s="309">
        <v>3</v>
      </c>
      <c r="AK81" s="309">
        <v>4</v>
      </c>
      <c r="AL81" s="309">
        <v>5</v>
      </c>
      <c r="AM81" s="309">
        <v>6</v>
      </c>
      <c r="AN81" s="309">
        <v>7</v>
      </c>
      <c r="AO81" s="309">
        <v>8</v>
      </c>
      <c r="AP81" s="309">
        <v>9</v>
      </c>
      <c r="AQ81" s="309">
        <v>10</v>
      </c>
      <c r="AR81" s="309"/>
      <c r="AS81" s="309"/>
      <c r="AT81" s="309"/>
      <c r="AU81" s="309"/>
      <c r="AV81" s="309"/>
      <c r="AW81" s="309"/>
      <c r="AX81" s="309"/>
      <c r="AY81" s="309"/>
      <c r="AZ81" s="309"/>
      <c r="BA81" s="309"/>
      <c r="BB81" s="309"/>
      <c r="BC81" s="308"/>
      <c r="BE81" s="308">
        <v>0</v>
      </c>
      <c r="BF81" s="308">
        <f t="shared" ref="BF81:BF93" si="92">L81-BE81</f>
        <v>0</v>
      </c>
      <c r="BG81" s="308">
        <v>0</v>
      </c>
      <c r="BH81" s="308">
        <f t="shared" ref="BH81:BH93" si="93">M81-BG81</f>
        <v>0</v>
      </c>
      <c r="BI81" s="308">
        <v>0</v>
      </c>
      <c r="BJ81" s="308">
        <f t="shared" ref="BJ81:BJ93" si="94">N81-BI81</f>
        <v>0</v>
      </c>
      <c r="BK81" s="308">
        <v>0</v>
      </c>
      <c r="BL81" s="308">
        <f t="shared" ref="BL81:BL93" si="95">O81-BK81</f>
        <v>0</v>
      </c>
      <c r="BM81" s="308">
        <v>0</v>
      </c>
      <c r="BN81" s="308">
        <f t="shared" ref="BN81:BN93" si="96">P81-BM81</f>
        <v>0</v>
      </c>
      <c r="BO81" s="308">
        <v>0</v>
      </c>
      <c r="BP81" s="308">
        <f t="shared" ref="BP81:BP93" si="97">BO81-Q81</f>
        <v>0</v>
      </c>
      <c r="BQ81" s="308"/>
      <c r="BR81" s="308"/>
    </row>
    <row r="82" spans="1:70">
      <c r="A82" s="301" t="s">
        <v>44</v>
      </c>
      <c r="B82" s="308">
        <f>'Monthly D6 Gallon Data'!$C5</f>
        <v>0</v>
      </c>
      <c r="C82" s="308">
        <f>'Monthly D6 Gallon Data'!$C17</f>
        <v>0</v>
      </c>
      <c r="D82" s="308">
        <f>'Monthly D6 Gallon Data'!$C29</f>
        <v>0</v>
      </c>
      <c r="E82" s="308">
        <f>'Monthly D6 Gallon Data'!$C41</f>
        <v>0</v>
      </c>
      <c r="F82" s="308">
        <f>'Monthly D6 Gallon Data'!$C53</f>
        <v>112631</v>
      </c>
      <c r="G82" s="308">
        <f>'Monthly D6 Gallon Data'!$C65</f>
        <v>0</v>
      </c>
      <c r="H82" s="308">
        <f>'Monthly D6 Gallon Data'!$C77</f>
        <v>0</v>
      </c>
      <c r="I82" s="308">
        <f>'Monthly D6 Gallon Data'!$C89</f>
        <v>0</v>
      </c>
      <c r="J82" s="308">
        <f>'Monthly D6 Gallon Data'!$C101</f>
        <v>0</v>
      </c>
      <c r="K82" s="308">
        <f>'Monthly D6 Gallon Data'!$C113</f>
        <v>0</v>
      </c>
      <c r="L82" s="308">
        <f>'Monthly D6 Gallon Data'!$C125</f>
        <v>0</v>
      </c>
      <c r="M82" s="308">
        <f>'Monthly D6 Gallon Data'!$C137</f>
        <v>0</v>
      </c>
      <c r="N82" s="308">
        <f>'Monthly D6 Gallon Data'!$C149</f>
        <v>0</v>
      </c>
      <c r="O82" s="308">
        <f>'Monthly D6 Gallon Data'!$C161</f>
        <v>0</v>
      </c>
      <c r="P82" s="308">
        <f>'Monthly D6 Gallon Data'!$C173</f>
        <v>1529193</v>
      </c>
      <c r="Q82" s="308">
        <f>'Monthly D6 Gallon Data'!$C185</f>
        <v>0</v>
      </c>
      <c r="R82" s="309">
        <v>0</v>
      </c>
      <c r="S82" s="309">
        <v>0</v>
      </c>
      <c r="T82" s="309">
        <v>0</v>
      </c>
      <c r="U82" s="309">
        <v>0</v>
      </c>
      <c r="V82" s="309">
        <v>0</v>
      </c>
      <c r="W82" s="309">
        <v>0</v>
      </c>
      <c r="X82" s="309">
        <v>0</v>
      </c>
      <c r="Y82" s="309">
        <v>0</v>
      </c>
      <c r="Z82" s="309">
        <v>0</v>
      </c>
      <c r="AA82" s="309">
        <v>0</v>
      </c>
      <c r="AB82" s="309">
        <v>0</v>
      </c>
      <c r="AC82" s="309">
        <v>0</v>
      </c>
      <c r="AD82" s="309">
        <v>0</v>
      </c>
      <c r="AE82" s="309">
        <v>0</v>
      </c>
      <c r="AF82" s="309">
        <v>0</v>
      </c>
      <c r="AG82" s="309">
        <v>0</v>
      </c>
      <c r="AH82" s="309">
        <v>1</v>
      </c>
      <c r="AI82" s="309">
        <v>2</v>
      </c>
      <c r="AJ82" s="309">
        <v>3</v>
      </c>
      <c r="AK82" s="309">
        <v>4</v>
      </c>
      <c r="AL82" s="309">
        <v>5</v>
      </c>
      <c r="AM82" s="309">
        <v>6</v>
      </c>
      <c r="AN82" s="309">
        <v>7</v>
      </c>
      <c r="AO82" s="309">
        <v>8</v>
      </c>
      <c r="AP82" s="309">
        <v>9</v>
      </c>
      <c r="AQ82" s="309">
        <v>10</v>
      </c>
      <c r="AR82" s="309"/>
      <c r="AS82" s="309"/>
      <c r="AT82" s="309"/>
      <c r="AU82" s="309"/>
      <c r="AV82" s="309"/>
      <c r="AW82" s="309"/>
      <c r="AX82" s="309"/>
      <c r="AY82" s="309"/>
      <c r="AZ82" s="309"/>
      <c r="BA82" s="309"/>
      <c r="BB82" s="309"/>
      <c r="BC82" s="308"/>
      <c r="BE82" s="308">
        <v>0</v>
      </c>
      <c r="BF82" s="308">
        <f t="shared" si="92"/>
        <v>0</v>
      </c>
      <c r="BG82" s="308">
        <v>0</v>
      </c>
      <c r="BH82" s="308">
        <f t="shared" si="93"/>
        <v>0</v>
      </c>
      <c r="BI82" s="308">
        <v>0</v>
      </c>
      <c r="BJ82" s="308">
        <f t="shared" si="94"/>
        <v>0</v>
      </c>
      <c r="BK82" s="308">
        <v>0</v>
      </c>
      <c r="BL82" s="308">
        <f t="shared" si="95"/>
        <v>0</v>
      </c>
      <c r="BM82" s="308">
        <v>1529193</v>
      </c>
      <c r="BN82" s="308">
        <f t="shared" si="96"/>
        <v>0</v>
      </c>
      <c r="BO82" s="308">
        <v>0</v>
      </c>
      <c r="BP82" s="308">
        <f t="shared" si="97"/>
        <v>0</v>
      </c>
      <c r="BQ82" s="308"/>
      <c r="BR82" s="308"/>
    </row>
    <row r="83" spans="1:70">
      <c r="A83" s="301" t="s">
        <v>45</v>
      </c>
      <c r="B83" s="308">
        <f>'Monthly D6 Gallon Data'!$C6</f>
        <v>0</v>
      </c>
      <c r="C83" s="308">
        <f>'Monthly D6 Gallon Data'!$C18</f>
        <v>0</v>
      </c>
      <c r="D83" s="308">
        <f>'Monthly D6 Gallon Data'!$C30</f>
        <v>0</v>
      </c>
      <c r="E83" s="308">
        <f>'Monthly D6 Gallon Data'!$C42</f>
        <v>0</v>
      </c>
      <c r="F83" s="308">
        <f>'Monthly D6 Gallon Data'!$C54</f>
        <v>0</v>
      </c>
      <c r="G83" s="308">
        <f>'Monthly D6 Gallon Data'!$C66</f>
        <v>4900022</v>
      </c>
      <c r="H83" s="308">
        <f>'Monthly D6 Gallon Data'!$C78</f>
        <v>1133227</v>
      </c>
      <c r="I83" s="308">
        <f>'Monthly D6 Gallon Data'!$C90</f>
        <v>0</v>
      </c>
      <c r="J83" s="308">
        <f>'Monthly D6 Gallon Data'!$C102</f>
        <v>0</v>
      </c>
      <c r="K83" s="308">
        <f>'Monthly D6 Gallon Data'!$C114</f>
        <v>0</v>
      </c>
      <c r="L83" s="308">
        <f>'Monthly D6 Gallon Data'!$C126</f>
        <v>0</v>
      </c>
      <c r="M83" s="308">
        <f>'Monthly D6 Gallon Data'!$C138</f>
        <v>0</v>
      </c>
      <c r="N83" s="308">
        <f>'Monthly D6 Gallon Data'!$C150</f>
        <v>0</v>
      </c>
      <c r="O83" s="308">
        <f>'Monthly D6 Gallon Data'!$C162</f>
        <v>0</v>
      </c>
      <c r="P83" s="308">
        <f>'Monthly D6 Gallon Data'!$C174</f>
        <v>0</v>
      </c>
      <c r="Q83" s="308">
        <f>'Monthly D6 Gallon Data'!$C186</f>
        <v>0</v>
      </c>
      <c r="R83" s="309">
        <v>0</v>
      </c>
      <c r="S83" s="309">
        <v>0</v>
      </c>
      <c r="T83" s="309">
        <v>0</v>
      </c>
      <c r="U83" s="309">
        <v>0</v>
      </c>
      <c r="V83" s="309">
        <v>0</v>
      </c>
      <c r="W83" s="309">
        <v>0</v>
      </c>
      <c r="X83" s="309">
        <v>0</v>
      </c>
      <c r="Y83" s="309">
        <v>0</v>
      </c>
      <c r="Z83" s="309">
        <v>0</v>
      </c>
      <c r="AA83" s="309">
        <v>0</v>
      </c>
      <c r="AB83" s="309">
        <v>0</v>
      </c>
      <c r="AC83" s="309">
        <v>0</v>
      </c>
      <c r="AD83" s="309">
        <v>0</v>
      </c>
      <c r="AE83" s="309">
        <v>0</v>
      </c>
      <c r="AF83" s="309">
        <v>0</v>
      </c>
      <c r="AG83" s="309">
        <v>0</v>
      </c>
      <c r="AH83" s="309">
        <v>1</v>
      </c>
      <c r="AI83" s="309">
        <v>2</v>
      </c>
      <c r="AJ83" s="309">
        <v>3</v>
      </c>
      <c r="AK83" s="309">
        <v>4</v>
      </c>
      <c r="AL83" s="309">
        <v>5</v>
      </c>
      <c r="AM83" s="309">
        <v>6</v>
      </c>
      <c r="AN83" s="309">
        <v>7</v>
      </c>
      <c r="AO83" s="309">
        <v>8</v>
      </c>
      <c r="AP83" s="309">
        <v>9</v>
      </c>
      <c r="AQ83" s="309">
        <v>10</v>
      </c>
      <c r="AR83" s="309"/>
      <c r="AS83" s="309"/>
      <c r="AT83" s="309"/>
      <c r="AU83" s="309"/>
      <c r="AV83" s="309"/>
      <c r="AW83" s="309"/>
      <c r="AX83" s="309"/>
      <c r="AY83" s="309"/>
      <c r="AZ83" s="309"/>
      <c r="BA83" s="309"/>
      <c r="BB83" s="309"/>
      <c r="BC83" s="308"/>
      <c r="BE83" s="308">
        <v>0</v>
      </c>
      <c r="BF83" s="308">
        <f t="shared" si="92"/>
        <v>0</v>
      </c>
      <c r="BG83" s="308">
        <v>0</v>
      </c>
      <c r="BH83" s="308">
        <f t="shared" si="93"/>
        <v>0</v>
      </c>
      <c r="BI83" s="308">
        <v>0</v>
      </c>
      <c r="BJ83" s="308">
        <f t="shared" si="94"/>
        <v>0</v>
      </c>
      <c r="BK83" s="308">
        <v>0</v>
      </c>
      <c r="BL83" s="308">
        <f t="shared" si="95"/>
        <v>0</v>
      </c>
      <c r="BM83" s="308">
        <v>0</v>
      </c>
      <c r="BN83" s="308">
        <f t="shared" si="96"/>
        <v>0</v>
      </c>
      <c r="BO83" s="308">
        <v>0</v>
      </c>
      <c r="BP83" s="308">
        <f t="shared" si="97"/>
        <v>0</v>
      </c>
      <c r="BQ83" s="308"/>
      <c r="BR83" s="308"/>
    </row>
    <row r="84" spans="1:70">
      <c r="A84" s="301" t="s">
        <v>46</v>
      </c>
      <c r="B84" s="308">
        <f>'Monthly D6 Gallon Data'!$C7</f>
        <v>0</v>
      </c>
      <c r="C84" s="308">
        <f>'Monthly D6 Gallon Data'!$C19</f>
        <v>0</v>
      </c>
      <c r="D84" s="308">
        <f>'Monthly D6 Gallon Data'!$C31</f>
        <v>0</v>
      </c>
      <c r="E84" s="308">
        <f>'Monthly D6 Gallon Data'!$C43</f>
        <v>0</v>
      </c>
      <c r="F84" s="308">
        <f>'Monthly D6 Gallon Data'!$C55</f>
        <v>0</v>
      </c>
      <c r="G84" s="308">
        <f>'Monthly D6 Gallon Data'!$C67</f>
        <v>7730301</v>
      </c>
      <c r="H84" s="308">
        <f>'Monthly D6 Gallon Data'!$C79</f>
        <v>4875342</v>
      </c>
      <c r="I84" s="308">
        <f>'Monthly D6 Gallon Data'!$C91</f>
        <v>0</v>
      </c>
      <c r="J84" s="308">
        <f>'Monthly D6 Gallon Data'!$C103</f>
        <v>0</v>
      </c>
      <c r="K84" s="308">
        <f>'Monthly D6 Gallon Data'!$C115</f>
        <v>0</v>
      </c>
      <c r="L84" s="308">
        <f>'Monthly D6 Gallon Data'!$C127</f>
        <v>0</v>
      </c>
      <c r="M84" s="308">
        <f>'Monthly D6 Gallon Data'!$C139</f>
        <v>0</v>
      </c>
      <c r="N84" s="308">
        <f>'Monthly D6 Gallon Data'!$C151</f>
        <v>0</v>
      </c>
      <c r="O84" s="308">
        <f>'Monthly D6 Gallon Data'!$C163</f>
        <v>0</v>
      </c>
      <c r="P84" s="308">
        <f>'Monthly D6 Gallon Data'!$C175</f>
        <v>2426867</v>
      </c>
      <c r="Q84" s="309">
        <v>0</v>
      </c>
      <c r="R84" s="309">
        <v>0</v>
      </c>
      <c r="S84" s="309">
        <v>0</v>
      </c>
      <c r="T84" s="309">
        <v>0</v>
      </c>
      <c r="U84" s="309">
        <v>0</v>
      </c>
      <c r="V84" s="309">
        <v>0</v>
      </c>
      <c r="W84" s="309">
        <v>0</v>
      </c>
      <c r="X84" s="309">
        <v>0</v>
      </c>
      <c r="Y84" s="309">
        <v>0</v>
      </c>
      <c r="Z84" s="309">
        <v>0</v>
      </c>
      <c r="AA84" s="309">
        <v>0</v>
      </c>
      <c r="AB84" s="309">
        <v>0</v>
      </c>
      <c r="AC84" s="309">
        <v>0</v>
      </c>
      <c r="AD84" s="309">
        <v>0</v>
      </c>
      <c r="AE84" s="309">
        <v>0</v>
      </c>
      <c r="AF84" s="309">
        <v>0</v>
      </c>
      <c r="AG84" s="309">
        <v>0</v>
      </c>
      <c r="AH84" s="309">
        <v>1</v>
      </c>
      <c r="AI84" s="309">
        <v>2</v>
      </c>
      <c r="AJ84" s="309">
        <v>3</v>
      </c>
      <c r="AK84" s="309">
        <v>4</v>
      </c>
      <c r="AL84" s="309">
        <v>5</v>
      </c>
      <c r="AM84" s="309">
        <v>6</v>
      </c>
      <c r="AN84" s="309">
        <v>7</v>
      </c>
      <c r="AO84" s="309">
        <v>8</v>
      </c>
      <c r="AP84" s="309">
        <v>9</v>
      </c>
      <c r="AQ84" s="309">
        <v>10</v>
      </c>
      <c r="AR84" s="309"/>
      <c r="AS84" s="309"/>
      <c r="AT84" s="309"/>
      <c r="AU84" s="309"/>
      <c r="AV84" s="309"/>
      <c r="AW84" s="309"/>
      <c r="AX84" s="309"/>
      <c r="AY84" s="309"/>
      <c r="AZ84" s="309"/>
      <c r="BA84" s="309"/>
      <c r="BB84" s="309"/>
      <c r="BC84" s="308"/>
      <c r="BE84" s="308">
        <v>0</v>
      </c>
      <c r="BF84" s="308">
        <f t="shared" si="92"/>
        <v>0</v>
      </c>
      <c r="BG84" s="308">
        <v>0</v>
      </c>
      <c r="BH84" s="308">
        <f t="shared" si="93"/>
        <v>0</v>
      </c>
      <c r="BI84" s="308">
        <v>0</v>
      </c>
      <c r="BJ84" s="308">
        <f t="shared" si="94"/>
        <v>0</v>
      </c>
      <c r="BK84" s="308">
        <v>0</v>
      </c>
      <c r="BL84" s="308">
        <f t="shared" si="95"/>
        <v>0</v>
      </c>
      <c r="BM84" s="308">
        <v>2426867</v>
      </c>
      <c r="BN84" s="308">
        <f t="shared" si="96"/>
        <v>0</v>
      </c>
      <c r="BO84" s="308">
        <v>0</v>
      </c>
      <c r="BP84" s="308">
        <f t="shared" si="97"/>
        <v>0</v>
      </c>
      <c r="BQ84" s="308"/>
      <c r="BR84" s="308"/>
    </row>
    <row r="85" spans="1:70">
      <c r="A85" s="301" t="s">
        <v>47</v>
      </c>
      <c r="B85" s="308">
        <f>'Monthly D6 Gallon Data'!$C8</f>
        <v>0</v>
      </c>
      <c r="C85" s="308">
        <f>'Monthly D6 Gallon Data'!$C20</f>
        <v>0</v>
      </c>
      <c r="D85" s="308">
        <f>'Monthly D6 Gallon Data'!$C32</f>
        <v>0</v>
      </c>
      <c r="E85" s="308">
        <f>'Monthly D6 Gallon Data'!$C44</f>
        <v>0</v>
      </c>
      <c r="F85" s="308">
        <f>'Monthly D6 Gallon Data'!$C56</f>
        <v>2936127</v>
      </c>
      <c r="G85" s="308">
        <f>'Monthly D6 Gallon Data'!$C68</f>
        <v>4443940</v>
      </c>
      <c r="H85" s="308">
        <f>'Monthly D6 Gallon Data'!$C80</f>
        <v>13843022</v>
      </c>
      <c r="I85" s="308">
        <f>'Monthly D6 Gallon Data'!$C92</f>
        <v>0</v>
      </c>
      <c r="J85" s="308">
        <f>'Monthly D6 Gallon Data'!$C104</f>
        <v>0</v>
      </c>
      <c r="K85" s="308">
        <f>'Monthly D6 Gallon Data'!$C116</f>
        <v>0</v>
      </c>
      <c r="L85" s="308">
        <f>'Monthly D6 Gallon Data'!$C128</f>
        <v>0</v>
      </c>
      <c r="M85" s="308">
        <f>'Monthly D6 Gallon Data'!$C140</f>
        <v>0</v>
      </c>
      <c r="N85" s="308">
        <f>'Monthly D6 Gallon Data'!$C152</f>
        <v>0</v>
      </c>
      <c r="O85" s="308">
        <f>'Monthly D6 Gallon Data'!$C164</f>
        <v>0</v>
      </c>
      <c r="P85" s="308">
        <f>'Monthly D6 Gallon Data'!$C176</f>
        <v>0</v>
      </c>
      <c r="Q85" s="309">
        <v>0</v>
      </c>
      <c r="R85" s="309">
        <v>0</v>
      </c>
      <c r="S85" s="309">
        <v>0</v>
      </c>
      <c r="T85" s="309">
        <v>0</v>
      </c>
      <c r="U85" s="309">
        <v>0</v>
      </c>
      <c r="V85" s="309">
        <v>0</v>
      </c>
      <c r="W85" s="309">
        <v>0</v>
      </c>
      <c r="X85" s="309">
        <v>0</v>
      </c>
      <c r="Y85" s="309">
        <v>0</v>
      </c>
      <c r="Z85" s="309">
        <v>0</v>
      </c>
      <c r="AA85" s="309">
        <v>0</v>
      </c>
      <c r="AB85" s="309">
        <v>0</v>
      </c>
      <c r="AC85" s="309">
        <v>0</v>
      </c>
      <c r="AD85" s="309">
        <v>0</v>
      </c>
      <c r="AE85" s="309">
        <v>0</v>
      </c>
      <c r="AF85" s="309">
        <v>0</v>
      </c>
      <c r="AG85" s="309">
        <v>0</v>
      </c>
      <c r="AH85" s="309">
        <v>1</v>
      </c>
      <c r="AI85" s="309">
        <v>2</v>
      </c>
      <c r="AJ85" s="309">
        <v>3</v>
      </c>
      <c r="AK85" s="309">
        <v>4</v>
      </c>
      <c r="AL85" s="309">
        <v>5</v>
      </c>
      <c r="AM85" s="309">
        <v>6</v>
      </c>
      <c r="AN85" s="309">
        <v>7</v>
      </c>
      <c r="AO85" s="309">
        <v>8</v>
      </c>
      <c r="AP85" s="309">
        <v>9</v>
      </c>
      <c r="AQ85" s="309">
        <v>10</v>
      </c>
      <c r="AR85" s="309"/>
      <c r="AS85" s="309"/>
      <c r="AT85" s="309"/>
      <c r="AU85" s="309"/>
      <c r="AV85" s="309"/>
      <c r="AW85" s="309"/>
      <c r="AX85" s="309"/>
      <c r="AY85" s="309"/>
      <c r="AZ85" s="309"/>
      <c r="BA85" s="309"/>
      <c r="BB85" s="309"/>
      <c r="BC85" s="308"/>
      <c r="BE85" s="308">
        <v>0</v>
      </c>
      <c r="BF85" s="308">
        <f t="shared" si="92"/>
        <v>0</v>
      </c>
      <c r="BG85" s="308">
        <v>0</v>
      </c>
      <c r="BH85" s="308">
        <f t="shared" si="93"/>
        <v>0</v>
      </c>
      <c r="BI85" s="308">
        <v>0</v>
      </c>
      <c r="BJ85" s="308">
        <f t="shared" si="94"/>
        <v>0</v>
      </c>
      <c r="BK85" s="308">
        <v>0</v>
      </c>
      <c r="BL85" s="308">
        <f t="shared" si="95"/>
        <v>0</v>
      </c>
      <c r="BM85" s="308">
        <v>0</v>
      </c>
      <c r="BN85" s="308">
        <f t="shared" si="96"/>
        <v>0</v>
      </c>
      <c r="BO85" s="308">
        <v>0</v>
      </c>
      <c r="BP85" s="308">
        <f t="shared" si="97"/>
        <v>0</v>
      </c>
      <c r="BQ85" s="308"/>
      <c r="BR85" s="308"/>
    </row>
    <row r="86" spans="1:70">
      <c r="A86" s="301" t="s">
        <v>48</v>
      </c>
      <c r="B86" s="308">
        <f>'Monthly D6 Gallon Data'!$C9</f>
        <v>0</v>
      </c>
      <c r="C86" s="308">
        <f>'Monthly D6 Gallon Data'!$C21</f>
        <v>0</v>
      </c>
      <c r="D86" s="308">
        <f>'Monthly D6 Gallon Data'!$C33</f>
        <v>0</v>
      </c>
      <c r="E86" s="308">
        <f>'Monthly D6 Gallon Data'!$C45</f>
        <v>0</v>
      </c>
      <c r="F86" s="308">
        <f>'Monthly D6 Gallon Data'!$C57</f>
        <v>4534228</v>
      </c>
      <c r="G86" s="308">
        <f>'Monthly D6 Gallon Data'!$C69</f>
        <v>8878139</v>
      </c>
      <c r="H86" s="308">
        <f>'Monthly D6 Gallon Data'!$C81</f>
        <v>16808331</v>
      </c>
      <c r="I86" s="308">
        <f>'Monthly D6 Gallon Data'!$C93</f>
        <v>0</v>
      </c>
      <c r="J86" s="308">
        <f>'Monthly D6 Gallon Data'!$C105</f>
        <v>0</v>
      </c>
      <c r="K86" s="308">
        <f>'Monthly D6 Gallon Data'!$C117</f>
        <v>0</v>
      </c>
      <c r="L86" s="308">
        <f>'Monthly D6 Gallon Data'!$C129</f>
        <v>0</v>
      </c>
      <c r="M86" s="308">
        <f>'Monthly D6 Gallon Data'!$C141</f>
        <v>0</v>
      </c>
      <c r="N86" s="308">
        <f>'Monthly D6 Gallon Data'!$C153</f>
        <v>0</v>
      </c>
      <c r="O86" s="308">
        <f>'Monthly D6 Gallon Data'!$C165</f>
        <v>0</v>
      </c>
      <c r="P86" s="308">
        <f>'Monthly D6 Gallon Data'!$C177</f>
        <v>2276354</v>
      </c>
      <c r="Q86" s="309">
        <v>0</v>
      </c>
      <c r="R86" s="309">
        <v>0</v>
      </c>
      <c r="S86" s="309">
        <v>0</v>
      </c>
      <c r="T86" s="309">
        <v>0</v>
      </c>
      <c r="U86" s="309">
        <v>0</v>
      </c>
      <c r="V86" s="309">
        <v>0</v>
      </c>
      <c r="W86" s="309">
        <v>0</v>
      </c>
      <c r="X86" s="309">
        <v>0</v>
      </c>
      <c r="Y86" s="309">
        <v>0</v>
      </c>
      <c r="Z86" s="309">
        <v>0</v>
      </c>
      <c r="AA86" s="309">
        <v>0</v>
      </c>
      <c r="AB86" s="309">
        <v>0</v>
      </c>
      <c r="AC86" s="309">
        <v>0</v>
      </c>
      <c r="AD86" s="309">
        <v>0</v>
      </c>
      <c r="AE86" s="309">
        <v>0</v>
      </c>
      <c r="AF86" s="309">
        <v>0</v>
      </c>
      <c r="AG86" s="309">
        <v>0</v>
      </c>
      <c r="AH86" s="309">
        <v>1</v>
      </c>
      <c r="AI86" s="309">
        <v>2</v>
      </c>
      <c r="AJ86" s="309">
        <v>3</v>
      </c>
      <c r="AK86" s="309">
        <v>4</v>
      </c>
      <c r="AL86" s="309">
        <v>5</v>
      </c>
      <c r="AM86" s="309">
        <v>6</v>
      </c>
      <c r="AN86" s="309">
        <v>7</v>
      </c>
      <c r="AO86" s="309">
        <v>8</v>
      </c>
      <c r="AP86" s="309">
        <v>9</v>
      </c>
      <c r="AQ86" s="309">
        <v>10</v>
      </c>
      <c r="AR86" s="309"/>
      <c r="AS86" s="309"/>
      <c r="AT86" s="309"/>
      <c r="AU86" s="309"/>
      <c r="AV86" s="309"/>
      <c r="AW86" s="309"/>
      <c r="AX86" s="309"/>
      <c r="AY86" s="309"/>
      <c r="AZ86" s="309"/>
      <c r="BA86" s="309"/>
      <c r="BB86" s="309"/>
      <c r="BC86" s="308"/>
      <c r="BE86" s="308">
        <v>0</v>
      </c>
      <c r="BF86" s="308">
        <f t="shared" si="92"/>
        <v>0</v>
      </c>
      <c r="BG86" s="308">
        <v>0</v>
      </c>
      <c r="BH86" s="308">
        <f t="shared" si="93"/>
        <v>0</v>
      </c>
      <c r="BI86" s="308">
        <v>0</v>
      </c>
      <c r="BJ86" s="308">
        <f t="shared" si="94"/>
        <v>0</v>
      </c>
      <c r="BK86" s="308">
        <v>0</v>
      </c>
      <c r="BL86" s="308">
        <f t="shared" si="95"/>
        <v>0</v>
      </c>
      <c r="BM86" s="309">
        <v>2276354</v>
      </c>
      <c r="BN86" s="308">
        <f t="shared" si="96"/>
        <v>0</v>
      </c>
      <c r="BO86" s="308">
        <v>0</v>
      </c>
      <c r="BP86" s="308">
        <f t="shared" si="97"/>
        <v>0</v>
      </c>
      <c r="BQ86" s="308"/>
      <c r="BR86" s="308"/>
    </row>
    <row r="87" spans="1:70">
      <c r="A87" s="301" t="s">
        <v>49</v>
      </c>
      <c r="B87" s="308">
        <f>'Monthly D6 Gallon Data'!$C10</f>
        <v>0</v>
      </c>
      <c r="C87" s="308">
        <f>'Monthly D6 Gallon Data'!$C22</f>
        <v>0</v>
      </c>
      <c r="D87" s="308">
        <f>'Monthly D6 Gallon Data'!$C34</f>
        <v>0</v>
      </c>
      <c r="E87" s="308">
        <f>'Monthly D6 Gallon Data'!$C46</f>
        <v>0</v>
      </c>
      <c r="F87" s="308">
        <f>'Monthly D6 Gallon Data'!$C58</f>
        <v>7866570</v>
      </c>
      <c r="G87" s="308">
        <f>'Monthly D6 Gallon Data'!$C70</f>
        <v>13350043</v>
      </c>
      <c r="H87" s="308">
        <f>'Monthly D6 Gallon Data'!$C82</f>
        <v>14500899</v>
      </c>
      <c r="I87" s="308">
        <f>'Monthly D6 Gallon Data'!$C94</f>
        <v>0</v>
      </c>
      <c r="J87" s="308">
        <f>'Monthly D6 Gallon Data'!$C106</f>
        <v>0</v>
      </c>
      <c r="K87" s="308">
        <f>'Monthly D6 Gallon Data'!$C118</f>
        <v>0</v>
      </c>
      <c r="L87" s="308">
        <f>'Monthly D6 Gallon Data'!$C130</f>
        <v>0</v>
      </c>
      <c r="M87" s="308">
        <f>'Monthly D6 Gallon Data'!$C142</f>
        <v>0</v>
      </c>
      <c r="N87" s="308">
        <f>'Monthly D6 Gallon Data'!$C154</f>
        <v>0</v>
      </c>
      <c r="O87" s="308">
        <f>'Monthly D6 Gallon Data'!$C166</f>
        <v>0</v>
      </c>
      <c r="P87" s="308">
        <f>'Monthly D6 Gallon Data'!$C178</f>
        <v>0</v>
      </c>
      <c r="Q87" s="309">
        <v>0</v>
      </c>
      <c r="R87" s="309">
        <v>0</v>
      </c>
      <c r="S87" s="309">
        <v>0</v>
      </c>
      <c r="T87" s="309">
        <v>0</v>
      </c>
      <c r="U87" s="309">
        <v>0</v>
      </c>
      <c r="V87" s="309">
        <v>0</v>
      </c>
      <c r="W87" s="309">
        <v>0</v>
      </c>
      <c r="X87" s="309">
        <v>0</v>
      </c>
      <c r="Y87" s="309">
        <v>0</v>
      </c>
      <c r="Z87" s="309">
        <v>0</v>
      </c>
      <c r="AA87" s="309">
        <v>0</v>
      </c>
      <c r="AB87" s="309">
        <v>0</v>
      </c>
      <c r="AC87" s="309">
        <v>0</v>
      </c>
      <c r="AD87" s="309">
        <v>0</v>
      </c>
      <c r="AE87" s="309">
        <v>0</v>
      </c>
      <c r="AF87" s="309">
        <v>0</v>
      </c>
      <c r="AG87" s="309">
        <v>0</v>
      </c>
      <c r="AH87" s="309">
        <v>1</v>
      </c>
      <c r="AI87" s="309">
        <v>2</v>
      </c>
      <c r="AJ87" s="309">
        <v>3</v>
      </c>
      <c r="AK87" s="309">
        <v>4</v>
      </c>
      <c r="AL87" s="309">
        <v>5</v>
      </c>
      <c r="AM87" s="309">
        <v>6</v>
      </c>
      <c r="AN87" s="309">
        <v>7</v>
      </c>
      <c r="AO87" s="309">
        <v>8</v>
      </c>
      <c r="AP87" s="309">
        <v>9</v>
      </c>
      <c r="AQ87" s="309">
        <v>10</v>
      </c>
      <c r="AR87" s="309"/>
      <c r="AS87" s="309"/>
      <c r="AT87" s="309"/>
      <c r="AU87" s="309"/>
      <c r="AV87" s="309"/>
      <c r="AW87" s="309"/>
      <c r="AX87" s="309"/>
      <c r="AY87" s="309"/>
      <c r="AZ87" s="309"/>
      <c r="BA87" s="309"/>
      <c r="BB87" s="309"/>
      <c r="BC87" s="308"/>
      <c r="BE87" s="308">
        <v>0</v>
      </c>
      <c r="BF87" s="308">
        <f t="shared" si="92"/>
        <v>0</v>
      </c>
      <c r="BG87" s="308">
        <v>0</v>
      </c>
      <c r="BH87" s="308">
        <f t="shared" si="93"/>
        <v>0</v>
      </c>
      <c r="BI87" s="308">
        <v>0</v>
      </c>
      <c r="BJ87" s="308">
        <f t="shared" si="94"/>
        <v>0</v>
      </c>
      <c r="BK87" s="308">
        <v>0</v>
      </c>
      <c r="BL87" s="308">
        <f t="shared" si="95"/>
        <v>0</v>
      </c>
      <c r="BM87" s="309">
        <v>0</v>
      </c>
      <c r="BN87" s="308">
        <f t="shared" si="96"/>
        <v>0</v>
      </c>
      <c r="BO87" s="308">
        <v>0</v>
      </c>
      <c r="BP87" s="308">
        <f t="shared" si="97"/>
        <v>0</v>
      </c>
      <c r="BQ87" s="308"/>
      <c r="BR87" s="308"/>
    </row>
    <row r="88" spans="1:70">
      <c r="A88" s="301" t="s">
        <v>50</v>
      </c>
      <c r="B88" s="308">
        <f>'Monthly D6 Gallon Data'!$C11</f>
        <v>0</v>
      </c>
      <c r="C88" s="308">
        <f>'Monthly D6 Gallon Data'!$C23</f>
        <v>0</v>
      </c>
      <c r="D88" s="308">
        <f>'Monthly D6 Gallon Data'!$C35</f>
        <v>0</v>
      </c>
      <c r="E88" s="308">
        <f>'Monthly D6 Gallon Data'!$C47</f>
        <v>2764118</v>
      </c>
      <c r="F88" s="308">
        <f>'Monthly D6 Gallon Data'!$C59</f>
        <v>6014576</v>
      </c>
      <c r="G88" s="308">
        <f>'Monthly D6 Gallon Data'!$C71</f>
        <v>16980873</v>
      </c>
      <c r="H88" s="308">
        <f>'Monthly D6 Gallon Data'!$C83</f>
        <v>3060467</v>
      </c>
      <c r="I88" s="308">
        <f>'Monthly D6 Gallon Data'!$C95</f>
        <v>0</v>
      </c>
      <c r="J88" s="308">
        <f>'Monthly D6 Gallon Data'!$C107</f>
        <v>0</v>
      </c>
      <c r="K88" s="308">
        <f>'Monthly D6 Gallon Data'!$C119</f>
        <v>0</v>
      </c>
      <c r="L88" s="308">
        <f>'Monthly D6 Gallon Data'!$C131</f>
        <v>0</v>
      </c>
      <c r="M88" s="308">
        <f>'Monthly D6 Gallon Data'!$C143</f>
        <v>0</v>
      </c>
      <c r="N88" s="308">
        <f>'Monthly D6 Gallon Data'!$C155</f>
        <v>0</v>
      </c>
      <c r="O88" s="308">
        <f>'Monthly D6 Gallon Data'!$C167</f>
        <v>0</v>
      </c>
      <c r="P88" s="308">
        <f>'Monthly D6 Gallon Data'!$C179</f>
        <v>0</v>
      </c>
      <c r="Q88" s="309">
        <v>0</v>
      </c>
      <c r="R88" s="309">
        <v>0</v>
      </c>
      <c r="S88" s="309">
        <v>0</v>
      </c>
      <c r="T88" s="309">
        <v>0</v>
      </c>
      <c r="U88" s="309">
        <v>0</v>
      </c>
      <c r="V88" s="309">
        <v>0</v>
      </c>
      <c r="W88" s="309">
        <v>0</v>
      </c>
      <c r="X88" s="309">
        <v>0</v>
      </c>
      <c r="Y88" s="309">
        <v>0</v>
      </c>
      <c r="Z88" s="309">
        <v>0</v>
      </c>
      <c r="AA88" s="309">
        <v>0</v>
      </c>
      <c r="AB88" s="309">
        <v>0</v>
      </c>
      <c r="AC88" s="309">
        <v>0</v>
      </c>
      <c r="AD88" s="309">
        <v>0</v>
      </c>
      <c r="AE88" s="309">
        <v>0</v>
      </c>
      <c r="AF88" s="309">
        <v>0</v>
      </c>
      <c r="AG88" s="309">
        <v>0</v>
      </c>
      <c r="AH88" s="309">
        <v>1</v>
      </c>
      <c r="AI88" s="309">
        <v>2</v>
      </c>
      <c r="AJ88" s="309">
        <v>3</v>
      </c>
      <c r="AK88" s="309">
        <v>4</v>
      </c>
      <c r="AL88" s="309">
        <v>5</v>
      </c>
      <c r="AM88" s="309">
        <v>6</v>
      </c>
      <c r="AN88" s="309">
        <v>7</v>
      </c>
      <c r="AO88" s="309">
        <v>8</v>
      </c>
      <c r="AP88" s="309">
        <v>9</v>
      </c>
      <c r="AQ88" s="309">
        <v>10</v>
      </c>
      <c r="AR88" s="309"/>
      <c r="AS88" s="309"/>
      <c r="AT88" s="309"/>
      <c r="AU88" s="309"/>
      <c r="AV88" s="309"/>
      <c r="AW88" s="309"/>
      <c r="AX88" s="309"/>
      <c r="AY88" s="309"/>
      <c r="AZ88" s="309"/>
      <c r="BA88" s="309"/>
      <c r="BB88" s="309"/>
      <c r="BC88" s="308"/>
      <c r="BE88" s="308">
        <v>0</v>
      </c>
      <c r="BF88" s="308">
        <f t="shared" si="92"/>
        <v>0</v>
      </c>
      <c r="BG88" s="308">
        <v>0</v>
      </c>
      <c r="BH88" s="308">
        <f t="shared" si="93"/>
        <v>0</v>
      </c>
      <c r="BI88" s="308">
        <v>0</v>
      </c>
      <c r="BJ88" s="308">
        <f t="shared" si="94"/>
        <v>0</v>
      </c>
      <c r="BK88" s="308">
        <v>0</v>
      </c>
      <c r="BL88" s="308">
        <f t="shared" si="95"/>
        <v>0</v>
      </c>
      <c r="BM88" s="309">
        <v>0</v>
      </c>
      <c r="BN88" s="308">
        <f t="shared" si="96"/>
        <v>0</v>
      </c>
      <c r="BO88" s="308">
        <v>0</v>
      </c>
      <c r="BP88" s="308">
        <f t="shared" si="97"/>
        <v>0</v>
      </c>
      <c r="BQ88" s="308"/>
      <c r="BR88" s="308"/>
    </row>
    <row r="89" spans="1:70">
      <c r="A89" s="301" t="s">
        <v>51</v>
      </c>
      <c r="B89" s="308">
        <f>'Monthly D6 Gallon Data'!$C12</f>
        <v>0</v>
      </c>
      <c r="C89" s="308">
        <f>'Monthly D6 Gallon Data'!$C24</f>
        <v>0</v>
      </c>
      <c r="D89" s="308">
        <f>'Monthly D6 Gallon Data'!$C36</f>
        <v>0</v>
      </c>
      <c r="E89" s="308">
        <f>'Monthly D6 Gallon Data'!$C48</f>
        <v>9548508</v>
      </c>
      <c r="F89" s="308">
        <f>'Monthly D6 Gallon Data'!$C60</f>
        <v>9293633</v>
      </c>
      <c r="G89" s="308">
        <f>'Monthly D6 Gallon Data'!$C72</f>
        <v>3152145</v>
      </c>
      <c r="H89" s="308">
        <f>'Monthly D6 Gallon Data'!$C84</f>
        <v>16910692</v>
      </c>
      <c r="I89" s="308">
        <f>'Monthly D6 Gallon Data'!$C96</f>
        <v>0</v>
      </c>
      <c r="J89" s="308">
        <f>'Monthly D6 Gallon Data'!$C108</f>
        <v>0</v>
      </c>
      <c r="K89" s="308">
        <f>'Monthly D6 Gallon Data'!$C120</f>
        <v>0</v>
      </c>
      <c r="L89" s="308">
        <f>'Monthly D6 Gallon Data'!$C132</f>
        <v>0</v>
      </c>
      <c r="M89" s="308">
        <f>'Monthly D6 Gallon Data'!$C144</f>
        <v>0</v>
      </c>
      <c r="N89" s="308">
        <f>'Monthly D6 Gallon Data'!$C156</f>
        <v>0</v>
      </c>
      <c r="O89" s="308">
        <f>'Monthly D6 Gallon Data'!$C168</f>
        <v>2149993</v>
      </c>
      <c r="P89" s="308">
        <f>'Monthly D6 Gallon Data'!$C180</f>
        <v>0</v>
      </c>
      <c r="Q89" s="309">
        <v>0</v>
      </c>
      <c r="R89" s="309">
        <v>0</v>
      </c>
      <c r="S89" s="309">
        <v>0</v>
      </c>
      <c r="T89" s="309">
        <v>0</v>
      </c>
      <c r="U89" s="309">
        <v>0</v>
      </c>
      <c r="V89" s="309">
        <v>0</v>
      </c>
      <c r="W89" s="309">
        <v>0</v>
      </c>
      <c r="X89" s="309">
        <v>0</v>
      </c>
      <c r="Y89" s="309">
        <v>0</v>
      </c>
      <c r="Z89" s="309">
        <v>0</v>
      </c>
      <c r="AA89" s="309">
        <v>0</v>
      </c>
      <c r="AB89" s="309">
        <v>0</v>
      </c>
      <c r="AC89" s="309">
        <v>0</v>
      </c>
      <c r="AD89" s="309">
        <v>0</v>
      </c>
      <c r="AE89" s="309">
        <v>0</v>
      </c>
      <c r="AF89" s="309">
        <v>0</v>
      </c>
      <c r="AG89" s="309">
        <v>0</v>
      </c>
      <c r="AH89" s="309">
        <v>1</v>
      </c>
      <c r="AI89" s="309">
        <v>2</v>
      </c>
      <c r="AJ89" s="309">
        <v>3</v>
      </c>
      <c r="AK89" s="309">
        <v>4</v>
      </c>
      <c r="AL89" s="309">
        <v>5</v>
      </c>
      <c r="AM89" s="309">
        <v>6</v>
      </c>
      <c r="AN89" s="309">
        <v>7</v>
      </c>
      <c r="AO89" s="309">
        <v>8</v>
      </c>
      <c r="AP89" s="309">
        <v>9</v>
      </c>
      <c r="AQ89" s="309">
        <v>10</v>
      </c>
      <c r="AR89" s="309"/>
      <c r="AS89" s="309"/>
      <c r="AT89" s="309"/>
      <c r="AU89" s="309"/>
      <c r="AV89" s="309"/>
      <c r="AW89" s="309"/>
      <c r="AX89" s="309"/>
      <c r="AY89" s="309"/>
      <c r="AZ89" s="309"/>
      <c r="BA89" s="309"/>
      <c r="BB89" s="309"/>
      <c r="BC89" s="308"/>
      <c r="BE89" s="308">
        <v>0</v>
      </c>
      <c r="BF89" s="308">
        <f t="shared" si="92"/>
        <v>0</v>
      </c>
      <c r="BG89" s="308">
        <v>0</v>
      </c>
      <c r="BH89" s="308">
        <f t="shared" si="93"/>
        <v>0</v>
      </c>
      <c r="BI89" s="308">
        <v>0</v>
      </c>
      <c r="BJ89" s="308">
        <f t="shared" si="94"/>
        <v>0</v>
      </c>
      <c r="BK89" s="308">
        <v>0</v>
      </c>
      <c r="BL89" s="308">
        <f t="shared" si="95"/>
        <v>2149993</v>
      </c>
      <c r="BM89" s="309">
        <v>0</v>
      </c>
      <c r="BN89" s="308">
        <f t="shared" si="96"/>
        <v>0</v>
      </c>
      <c r="BO89" s="308">
        <v>0</v>
      </c>
      <c r="BP89" s="308">
        <f t="shared" si="97"/>
        <v>0</v>
      </c>
      <c r="BQ89" s="308"/>
      <c r="BR89" s="308"/>
    </row>
    <row r="90" spans="1:70">
      <c r="A90" s="301" t="s">
        <v>52</v>
      </c>
      <c r="B90" s="308">
        <f>'Monthly D6 Gallon Data'!$C13</f>
        <v>0</v>
      </c>
      <c r="C90" s="308">
        <f>'Monthly D6 Gallon Data'!$C25</f>
        <v>0</v>
      </c>
      <c r="D90" s="308">
        <f>'Monthly D6 Gallon Data'!$C37</f>
        <v>0</v>
      </c>
      <c r="E90" s="308">
        <f>'Monthly D6 Gallon Data'!$C49</f>
        <v>4177404</v>
      </c>
      <c r="F90" s="308">
        <f>'Monthly D6 Gallon Data'!$C61</f>
        <v>6625811</v>
      </c>
      <c r="G90" s="308">
        <f>'Monthly D6 Gallon Data'!$C73</f>
        <v>7214633</v>
      </c>
      <c r="H90" s="308">
        <f>'Monthly D6 Gallon Data'!$C85</f>
        <v>16356555</v>
      </c>
      <c r="I90" s="308">
        <f>'Monthly D6 Gallon Data'!$C97</f>
        <v>0</v>
      </c>
      <c r="J90" s="308">
        <f>'Monthly D6 Gallon Data'!$C109</f>
        <v>0</v>
      </c>
      <c r="K90" s="308">
        <f>'Monthly D6 Gallon Data'!$C121</f>
        <v>0</v>
      </c>
      <c r="L90" s="308">
        <f>'Monthly D6 Gallon Data'!$C133</f>
        <v>0</v>
      </c>
      <c r="M90" s="308">
        <f>'Monthly D6 Gallon Data'!$C145</f>
        <v>0</v>
      </c>
      <c r="N90" s="308">
        <f>'Monthly D6 Gallon Data'!$C157</f>
        <v>0</v>
      </c>
      <c r="O90" s="308">
        <f>'Monthly D6 Gallon Data'!$C169</f>
        <v>0</v>
      </c>
      <c r="P90" s="308">
        <f>'Monthly D6 Gallon Data'!$C181</f>
        <v>0</v>
      </c>
      <c r="Q90" s="309">
        <v>0</v>
      </c>
      <c r="R90" s="309">
        <v>0</v>
      </c>
      <c r="S90" s="309">
        <v>0</v>
      </c>
      <c r="T90" s="309">
        <v>0</v>
      </c>
      <c r="U90" s="309">
        <v>0</v>
      </c>
      <c r="V90" s="309">
        <v>0</v>
      </c>
      <c r="W90" s="309">
        <v>0</v>
      </c>
      <c r="X90" s="309">
        <v>0</v>
      </c>
      <c r="Y90" s="309">
        <v>0</v>
      </c>
      <c r="Z90" s="309">
        <v>0</v>
      </c>
      <c r="AA90" s="309">
        <v>0</v>
      </c>
      <c r="AB90" s="309">
        <v>0</v>
      </c>
      <c r="AC90" s="309">
        <v>0</v>
      </c>
      <c r="AD90" s="309">
        <v>0</v>
      </c>
      <c r="AE90" s="309">
        <v>0</v>
      </c>
      <c r="AF90" s="309">
        <v>0</v>
      </c>
      <c r="AG90" s="309">
        <v>0</v>
      </c>
      <c r="AH90" s="309">
        <v>1</v>
      </c>
      <c r="AI90" s="309">
        <v>2</v>
      </c>
      <c r="AJ90" s="309">
        <v>3</v>
      </c>
      <c r="AK90" s="309">
        <v>4</v>
      </c>
      <c r="AL90" s="309">
        <v>5</v>
      </c>
      <c r="AM90" s="309">
        <v>6</v>
      </c>
      <c r="AN90" s="309">
        <v>7</v>
      </c>
      <c r="AO90" s="309">
        <v>8</v>
      </c>
      <c r="AP90" s="309">
        <v>9</v>
      </c>
      <c r="AQ90" s="309">
        <v>10</v>
      </c>
      <c r="AR90" s="309"/>
      <c r="AS90" s="309"/>
      <c r="AT90" s="309"/>
      <c r="AU90" s="309"/>
      <c r="AV90" s="309"/>
      <c r="AW90" s="309"/>
      <c r="AX90" s="309"/>
      <c r="AY90" s="309"/>
      <c r="AZ90" s="309"/>
      <c r="BA90" s="309"/>
      <c r="BB90" s="309"/>
      <c r="BC90" s="308"/>
      <c r="BE90" s="308">
        <v>0</v>
      </c>
      <c r="BF90" s="308">
        <f t="shared" si="92"/>
        <v>0</v>
      </c>
      <c r="BG90" s="308">
        <v>0</v>
      </c>
      <c r="BH90" s="308">
        <f t="shared" si="93"/>
        <v>0</v>
      </c>
      <c r="BI90" s="308">
        <v>0</v>
      </c>
      <c r="BJ90" s="308">
        <f t="shared" si="94"/>
        <v>0</v>
      </c>
      <c r="BK90" s="308">
        <v>0</v>
      </c>
      <c r="BL90" s="308">
        <f t="shared" si="95"/>
        <v>0</v>
      </c>
      <c r="BM90" s="309">
        <v>0</v>
      </c>
      <c r="BN90" s="308">
        <f t="shared" si="96"/>
        <v>0</v>
      </c>
      <c r="BO90" s="308">
        <v>0</v>
      </c>
      <c r="BP90" s="308">
        <f t="shared" si="97"/>
        <v>0</v>
      </c>
      <c r="BQ90" s="308"/>
      <c r="BR90" s="308"/>
    </row>
    <row r="91" spans="1:70">
      <c r="A91" s="301" t="s">
        <v>53</v>
      </c>
      <c r="B91" s="308">
        <f>'Monthly D6 Gallon Data'!$C14</f>
        <v>0</v>
      </c>
      <c r="C91" s="308">
        <f>'Monthly D6 Gallon Data'!$C26</f>
        <v>0</v>
      </c>
      <c r="D91" s="308">
        <f>'Monthly D6 Gallon Data'!$C38</f>
        <v>0</v>
      </c>
      <c r="E91" s="308">
        <f>'Monthly D6 Gallon Data'!$C50</f>
        <v>1422550</v>
      </c>
      <c r="F91" s="308">
        <f>'Monthly D6 Gallon Data'!$C62</f>
        <v>6051997</v>
      </c>
      <c r="G91" s="308">
        <f>'Monthly D6 Gallon Data'!$C74</f>
        <v>3531640</v>
      </c>
      <c r="H91" s="308">
        <f>'Monthly D6 Gallon Data'!$C86</f>
        <v>19947634</v>
      </c>
      <c r="I91" s="308">
        <f>'Monthly D6 Gallon Data'!$C98</f>
        <v>0</v>
      </c>
      <c r="J91" s="308">
        <f>'Monthly D6 Gallon Data'!$C110</f>
        <v>0</v>
      </c>
      <c r="K91" s="308">
        <f>'Monthly D6 Gallon Data'!$C122</f>
        <v>0</v>
      </c>
      <c r="L91" s="308">
        <f>'Monthly D6 Gallon Data'!$C134</f>
        <v>0</v>
      </c>
      <c r="M91" s="308">
        <f>'Monthly D6 Gallon Data'!$C146</f>
        <v>0</v>
      </c>
      <c r="N91" s="308">
        <f>'Monthly D6 Gallon Data'!$C158</f>
        <v>0</v>
      </c>
      <c r="O91" s="308">
        <f>'Monthly D6 Gallon Data'!$C170</f>
        <v>0</v>
      </c>
      <c r="P91" s="308">
        <f>'Monthly D6 Gallon Data'!$C182</f>
        <v>0</v>
      </c>
      <c r="Q91" s="309">
        <v>0</v>
      </c>
      <c r="R91" s="309">
        <v>0</v>
      </c>
      <c r="S91" s="309">
        <v>0</v>
      </c>
      <c r="T91" s="309">
        <v>0</v>
      </c>
      <c r="U91" s="309">
        <v>0</v>
      </c>
      <c r="V91" s="309">
        <v>0</v>
      </c>
      <c r="W91" s="309">
        <v>0</v>
      </c>
      <c r="X91" s="309">
        <v>0</v>
      </c>
      <c r="Y91" s="309">
        <v>0</v>
      </c>
      <c r="Z91" s="309">
        <v>0</v>
      </c>
      <c r="AA91" s="309">
        <v>0</v>
      </c>
      <c r="AB91" s="309">
        <v>0</v>
      </c>
      <c r="AC91" s="309">
        <v>0</v>
      </c>
      <c r="AD91" s="309">
        <v>0</v>
      </c>
      <c r="AE91" s="309">
        <v>0</v>
      </c>
      <c r="AF91" s="309">
        <v>0</v>
      </c>
      <c r="AG91" s="309">
        <v>0</v>
      </c>
      <c r="AH91" s="309">
        <v>1</v>
      </c>
      <c r="AI91" s="309">
        <v>2</v>
      </c>
      <c r="AJ91" s="309">
        <v>3</v>
      </c>
      <c r="AK91" s="309">
        <v>4</v>
      </c>
      <c r="AL91" s="309">
        <v>5</v>
      </c>
      <c r="AM91" s="309">
        <v>6</v>
      </c>
      <c r="AN91" s="309">
        <v>7</v>
      </c>
      <c r="AO91" s="309">
        <v>8</v>
      </c>
      <c r="AP91" s="309">
        <v>9</v>
      </c>
      <c r="AQ91" s="309">
        <v>10</v>
      </c>
      <c r="AR91" s="309"/>
      <c r="AS91" s="309"/>
      <c r="AT91" s="309"/>
      <c r="AU91" s="309"/>
      <c r="AV91" s="309"/>
      <c r="AW91" s="309"/>
      <c r="AX91" s="309"/>
      <c r="AY91" s="309"/>
      <c r="AZ91" s="309"/>
      <c r="BA91" s="309"/>
      <c r="BB91" s="309"/>
      <c r="BC91" s="308"/>
      <c r="BE91" s="308">
        <v>0</v>
      </c>
      <c r="BF91" s="308">
        <f t="shared" si="92"/>
        <v>0</v>
      </c>
      <c r="BG91" s="308">
        <v>0</v>
      </c>
      <c r="BH91" s="308">
        <f t="shared" si="93"/>
        <v>0</v>
      </c>
      <c r="BI91" s="308">
        <v>0</v>
      </c>
      <c r="BJ91" s="308">
        <f t="shared" si="94"/>
        <v>0</v>
      </c>
      <c r="BK91" s="309">
        <v>0</v>
      </c>
      <c r="BL91" s="308">
        <f t="shared" si="95"/>
        <v>0</v>
      </c>
      <c r="BM91" s="309">
        <v>0</v>
      </c>
      <c r="BN91" s="308">
        <f t="shared" si="96"/>
        <v>0</v>
      </c>
      <c r="BO91" s="308">
        <v>0</v>
      </c>
      <c r="BP91" s="308">
        <f t="shared" si="97"/>
        <v>0</v>
      </c>
      <c r="BQ91" s="308"/>
      <c r="BR91" s="308"/>
    </row>
    <row r="92" spans="1:70">
      <c r="A92" s="301" t="s">
        <v>54</v>
      </c>
      <c r="B92" s="308">
        <f>'Monthly D6 Gallon Data'!$C15</f>
        <v>0</v>
      </c>
      <c r="C92" s="308">
        <f>'Monthly D6 Gallon Data'!$C27</f>
        <v>0</v>
      </c>
      <c r="D92" s="308">
        <f>'Monthly D6 Gallon Data'!$C39</f>
        <v>0</v>
      </c>
      <c r="E92" s="308">
        <f>'Monthly D6 Gallon Data'!$C51</f>
        <v>12858840</v>
      </c>
      <c r="F92" s="308">
        <f>'Monthly D6 Gallon Data'!$C63</f>
        <v>8445482</v>
      </c>
      <c r="G92" s="308">
        <f>'Monthly D6 Gallon Data'!$C75</f>
        <v>4226925</v>
      </c>
      <c r="H92" s="308">
        <f>'Monthly D6 Gallon Data'!$C87</f>
        <v>5091830</v>
      </c>
      <c r="I92" s="308">
        <f>'Monthly D6 Gallon Data'!$C99</f>
        <v>0</v>
      </c>
      <c r="J92" s="308">
        <f>'Monthly D6 Gallon Data'!$C111</f>
        <v>0</v>
      </c>
      <c r="K92" s="308">
        <f>'Monthly D6 Gallon Data'!$C123</f>
        <v>0</v>
      </c>
      <c r="L92" s="308">
        <f>'Monthly D6 Gallon Data'!$C135</f>
        <v>0</v>
      </c>
      <c r="M92" s="308">
        <f>'Monthly D6 Gallon Data'!$C147</f>
        <v>0</v>
      </c>
      <c r="N92" s="308">
        <f>'Monthly D6 Gallon Data'!$C159</f>
        <v>0</v>
      </c>
      <c r="O92" s="308">
        <f>'Monthly D6 Gallon Data'!$C171</f>
        <v>4262355</v>
      </c>
      <c r="P92" s="308">
        <f>'Monthly D6 Gallon Data'!$C183</f>
        <v>0</v>
      </c>
      <c r="Q92" s="309">
        <v>0</v>
      </c>
      <c r="R92" s="309">
        <v>0</v>
      </c>
      <c r="S92" s="309">
        <v>0</v>
      </c>
      <c r="T92" s="309">
        <v>0</v>
      </c>
      <c r="U92" s="309">
        <v>0</v>
      </c>
      <c r="V92" s="309">
        <v>0</v>
      </c>
      <c r="W92" s="309">
        <v>0</v>
      </c>
      <c r="X92" s="309">
        <v>0</v>
      </c>
      <c r="Y92" s="309">
        <v>0</v>
      </c>
      <c r="Z92" s="309">
        <v>0</v>
      </c>
      <c r="AA92" s="309">
        <v>0</v>
      </c>
      <c r="AB92" s="309">
        <v>0</v>
      </c>
      <c r="AC92" s="309">
        <v>0</v>
      </c>
      <c r="AD92" s="309">
        <v>0</v>
      </c>
      <c r="AE92" s="309">
        <v>0</v>
      </c>
      <c r="AF92" s="309">
        <v>0</v>
      </c>
      <c r="AG92" s="309">
        <v>0</v>
      </c>
      <c r="AH92" s="309">
        <v>1</v>
      </c>
      <c r="AI92" s="309">
        <v>2</v>
      </c>
      <c r="AJ92" s="309">
        <v>3</v>
      </c>
      <c r="AK92" s="309">
        <v>4</v>
      </c>
      <c r="AL92" s="309">
        <v>5</v>
      </c>
      <c r="AM92" s="309">
        <v>6</v>
      </c>
      <c r="AN92" s="309">
        <v>7</v>
      </c>
      <c r="AO92" s="309">
        <v>8</v>
      </c>
      <c r="AP92" s="309">
        <v>9</v>
      </c>
      <c r="AQ92" s="309">
        <v>10</v>
      </c>
      <c r="AR92" s="309"/>
      <c r="AS92" s="309"/>
      <c r="AT92" s="309"/>
      <c r="AU92" s="309"/>
      <c r="AV92" s="309"/>
      <c r="AW92" s="309"/>
      <c r="AX92" s="309"/>
      <c r="AY92" s="309"/>
      <c r="AZ92" s="309"/>
      <c r="BA92" s="309"/>
      <c r="BB92" s="309"/>
      <c r="BC92" s="308"/>
      <c r="BE92" s="308">
        <v>0</v>
      </c>
      <c r="BF92" s="308">
        <f t="shared" si="92"/>
        <v>0</v>
      </c>
      <c r="BG92" s="308">
        <v>0</v>
      </c>
      <c r="BH92" s="308">
        <f t="shared" si="93"/>
        <v>0</v>
      </c>
      <c r="BI92" s="308">
        <v>0</v>
      </c>
      <c r="BJ92" s="308">
        <f t="shared" si="94"/>
        <v>0</v>
      </c>
      <c r="BK92" s="309">
        <v>0</v>
      </c>
      <c r="BL92" s="308">
        <f t="shared" si="95"/>
        <v>4262355</v>
      </c>
      <c r="BM92" s="309">
        <v>0</v>
      </c>
      <c r="BN92" s="308">
        <f t="shared" si="96"/>
        <v>0</v>
      </c>
      <c r="BO92" s="308">
        <v>0</v>
      </c>
      <c r="BP92" s="308">
        <f t="shared" si="97"/>
        <v>0</v>
      </c>
      <c r="BQ92" s="308"/>
      <c r="BR92" s="308"/>
    </row>
    <row r="93" spans="1:70" ht="12" thickBot="1">
      <c r="A93" s="301" t="s">
        <v>29</v>
      </c>
      <c r="B93" s="308">
        <f>SUM(B81:B92)</f>
        <v>0</v>
      </c>
      <c r="C93" s="308">
        <f t="shared" ref="C93:AD93" si="98">SUM(C81:C92)</f>
        <v>0</v>
      </c>
      <c r="D93" s="308">
        <f t="shared" si="98"/>
        <v>0</v>
      </c>
      <c r="E93" s="308">
        <f t="shared" si="98"/>
        <v>30771420</v>
      </c>
      <c r="F93" s="308">
        <f t="shared" si="98"/>
        <v>51881055</v>
      </c>
      <c r="G93" s="308">
        <f t="shared" si="98"/>
        <v>74408661</v>
      </c>
      <c r="H93" s="308">
        <f t="shared" si="98"/>
        <v>112527999</v>
      </c>
      <c r="I93" s="308">
        <f t="shared" si="98"/>
        <v>0</v>
      </c>
      <c r="J93" s="308">
        <f t="shared" si="98"/>
        <v>0</v>
      </c>
      <c r="K93" s="308">
        <f t="shared" si="98"/>
        <v>0</v>
      </c>
      <c r="L93" s="308">
        <f t="shared" si="98"/>
        <v>0</v>
      </c>
      <c r="M93" s="308">
        <f t="shared" si="98"/>
        <v>0</v>
      </c>
      <c r="N93" s="308">
        <f t="shared" si="98"/>
        <v>0</v>
      </c>
      <c r="O93" s="308">
        <f t="shared" si="98"/>
        <v>6412348</v>
      </c>
      <c r="P93" s="308">
        <f t="shared" si="98"/>
        <v>6232414</v>
      </c>
      <c r="Q93" s="309">
        <f t="shared" si="98"/>
        <v>0</v>
      </c>
      <c r="R93" s="309">
        <f t="shared" si="98"/>
        <v>0</v>
      </c>
      <c r="S93" s="309">
        <f t="shared" si="98"/>
        <v>0</v>
      </c>
      <c r="T93" s="309">
        <f t="shared" si="98"/>
        <v>0</v>
      </c>
      <c r="U93" s="309">
        <f t="shared" si="98"/>
        <v>0</v>
      </c>
      <c r="V93" s="309">
        <f t="shared" si="98"/>
        <v>0</v>
      </c>
      <c r="W93" s="309">
        <f t="shared" si="98"/>
        <v>0</v>
      </c>
      <c r="X93" s="309">
        <f t="shared" si="98"/>
        <v>0</v>
      </c>
      <c r="Y93" s="309">
        <f t="shared" si="98"/>
        <v>0</v>
      </c>
      <c r="Z93" s="309">
        <f t="shared" si="98"/>
        <v>0</v>
      </c>
      <c r="AA93" s="309">
        <f t="shared" si="98"/>
        <v>0</v>
      </c>
      <c r="AB93" s="309">
        <f t="shared" si="98"/>
        <v>0</v>
      </c>
      <c r="AC93" s="309">
        <f t="shared" si="98"/>
        <v>0</v>
      </c>
      <c r="AD93" s="309">
        <f t="shared" si="98"/>
        <v>0</v>
      </c>
      <c r="AE93" s="309">
        <f>SUM(AE81:AE92)</f>
        <v>0</v>
      </c>
      <c r="AF93" s="309">
        <f>SUM(AF81:AF92)</f>
        <v>0</v>
      </c>
      <c r="AG93" s="309">
        <f>SUM(AG81:AG92)</f>
        <v>0</v>
      </c>
      <c r="AH93" s="309">
        <f t="shared" ref="AH93:AQ93" si="99">SUM(AH81:AH92)</f>
        <v>12</v>
      </c>
      <c r="AI93" s="309">
        <f t="shared" si="99"/>
        <v>24</v>
      </c>
      <c r="AJ93" s="309">
        <f t="shared" si="99"/>
        <v>36</v>
      </c>
      <c r="AK93" s="309">
        <f t="shared" si="99"/>
        <v>48</v>
      </c>
      <c r="AL93" s="309">
        <f t="shared" si="99"/>
        <v>60</v>
      </c>
      <c r="AM93" s="309">
        <f t="shared" si="99"/>
        <v>72</v>
      </c>
      <c r="AN93" s="309">
        <f t="shared" si="99"/>
        <v>84</v>
      </c>
      <c r="AO93" s="309">
        <f t="shared" si="99"/>
        <v>96</v>
      </c>
      <c r="AP93" s="309">
        <f t="shared" si="99"/>
        <v>108</v>
      </c>
      <c r="AQ93" s="309">
        <f t="shared" si="99"/>
        <v>120</v>
      </c>
      <c r="AR93" s="309"/>
      <c r="AS93" s="309"/>
      <c r="AT93" s="309"/>
      <c r="AU93" s="309"/>
      <c r="AV93" s="309"/>
      <c r="AW93" s="309"/>
      <c r="AX93" s="309"/>
      <c r="AY93" s="309"/>
      <c r="AZ93" s="309"/>
      <c r="BA93" s="309"/>
      <c r="BB93" s="309"/>
      <c r="BC93" s="308"/>
      <c r="BE93" s="308">
        <v>0</v>
      </c>
      <c r="BF93" s="308">
        <f t="shared" si="92"/>
        <v>0</v>
      </c>
      <c r="BG93" s="308">
        <v>0</v>
      </c>
      <c r="BH93" s="308">
        <f t="shared" si="93"/>
        <v>0</v>
      </c>
      <c r="BI93" s="308">
        <v>0</v>
      </c>
      <c r="BJ93" s="308">
        <f t="shared" si="94"/>
        <v>0</v>
      </c>
      <c r="BK93" s="309">
        <v>2149993</v>
      </c>
      <c r="BL93" s="308">
        <f t="shared" si="95"/>
        <v>4262355</v>
      </c>
      <c r="BM93" s="309">
        <v>6232414</v>
      </c>
      <c r="BN93" s="308">
        <f t="shared" si="96"/>
        <v>0</v>
      </c>
      <c r="BO93" s="308">
        <v>0</v>
      </c>
      <c r="BP93" s="308">
        <f t="shared" si="97"/>
        <v>0</v>
      </c>
      <c r="BQ93" s="308"/>
      <c r="BR93" s="308"/>
    </row>
    <row r="94" spans="1:70">
      <c r="A94" s="334"/>
      <c r="B94" s="334"/>
      <c r="C94" s="334"/>
      <c r="D94" s="334"/>
      <c r="E94" s="334"/>
      <c r="F94" s="334"/>
      <c r="G94" s="334"/>
      <c r="H94" s="334"/>
      <c r="I94" s="334"/>
      <c r="J94" s="334"/>
      <c r="K94" s="334"/>
      <c r="L94" s="334"/>
      <c r="M94" s="334"/>
      <c r="N94" s="334"/>
      <c r="O94" s="334"/>
      <c r="P94" s="334"/>
      <c r="Q94" s="334"/>
      <c r="R94" s="334"/>
      <c r="S94" s="334"/>
      <c r="T94" s="334"/>
      <c r="U94" s="334"/>
      <c r="V94" s="334"/>
      <c r="W94" s="334"/>
      <c r="X94" s="334"/>
      <c r="Y94" s="334"/>
      <c r="Z94" s="334"/>
      <c r="AA94" s="334"/>
      <c r="AB94" s="334"/>
      <c r="AC94" s="334"/>
      <c r="AD94" s="334"/>
      <c r="AE94" s="334"/>
      <c r="AF94" s="334"/>
      <c r="AG94" s="334"/>
      <c r="AH94" s="334"/>
      <c r="AI94" s="334"/>
      <c r="AJ94" s="334"/>
      <c r="AK94" s="334"/>
      <c r="AL94" s="334"/>
      <c r="AM94" s="334"/>
      <c r="AN94" s="334"/>
      <c r="AO94" s="334"/>
      <c r="AP94" s="334"/>
      <c r="AQ94" s="334"/>
      <c r="BC94" s="308"/>
      <c r="BG94" s="309"/>
    </row>
    <row r="95" spans="1:70" ht="12" thickBot="1">
      <c r="A95" s="300" t="s">
        <v>496</v>
      </c>
      <c r="BC95" s="308"/>
      <c r="BG95" s="309"/>
    </row>
    <row r="96" spans="1:70" ht="12" thickBot="1">
      <c r="A96" s="328"/>
      <c r="B96" s="329">
        <f t="shared" ref="B96:AQ96" si="100">B2</f>
        <v>2010</v>
      </c>
      <c r="C96" s="329">
        <f t="shared" si="100"/>
        <v>2011</v>
      </c>
      <c r="D96" s="329">
        <f t="shared" si="100"/>
        <v>2012</v>
      </c>
      <c r="E96" s="329">
        <f t="shared" si="100"/>
        <v>2013</v>
      </c>
      <c r="F96" s="329">
        <f t="shared" si="100"/>
        <v>2014</v>
      </c>
      <c r="G96" s="329">
        <f t="shared" si="100"/>
        <v>2015</v>
      </c>
      <c r="H96" s="329">
        <f t="shared" si="100"/>
        <v>2016</v>
      </c>
      <c r="I96" s="329">
        <f t="shared" si="100"/>
        <v>2017</v>
      </c>
      <c r="J96" s="329">
        <f t="shared" si="100"/>
        <v>2018</v>
      </c>
      <c r="K96" s="329">
        <f t="shared" si="100"/>
        <v>2019</v>
      </c>
      <c r="L96" s="329">
        <f t="shared" si="100"/>
        <v>2020</v>
      </c>
      <c r="M96" s="329">
        <f t="shared" si="100"/>
        <v>2021</v>
      </c>
      <c r="N96" s="329">
        <f t="shared" si="100"/>
        <v>2022</v>
      </c>
      <c r="O96" s="329">
        <f t="shared" si="100"/>
        <v>2023</v>
      </c>
      <c r="P96" s="329">
        <f t="shared" si="100"/>
        <v>2024</v>
      </c>
      <c r="Q96" s="329">
        <f t="shared" si="100"/>
        <v>2025</v>
      </c>
      <c r="R96" s="329">
        <f t="shared" si="100"/>
        <v>2026</v>
      </c>
      <c r="S96" s="329">
        <f t="shared" si="100"/>
        <v>2027</v>
      </c>
      <c r="T96" s="329">
        <f t="shared" si="100"/>
        <v>2028</v>
      </c>
      <c r="U96" s="329">
        <f t="shared" si="100"/>
        <v>2029</v>
      </c>
      <c r="V96" s="329">
        <f t="shared" si="100"/>
        <v>2030</v>
      </c>
      <c r="W96" s="329">
        <f t="shared" si="100"/>
        <v>2031</v>
      </c>
      <c r="X96" s="329">
        <f t="shared" si="100"/>
        <v>2032</v>
      </c>
      <c r="Y96" s="329">
        <f t="shared" si="100"/>
        <v>2033</v>
      </c>
      <c r="Z96" s="329">
        <f t="shared" si="100"/>
        <v>2034</v>
      </c>
      <c r="AA96" s="329">
        <f t="shared" si="100"/>
        <v>2035</v>
      </c>
      <c r="AB96" s="329">
        <f t="shared" si="100"/>
        <v>2036</v>
      </c>
      <c r="AC96" s="329">
        <f t="shared" si="100"/>
        <v>2037</v>
      </c>
      <c r="AD96" s="329">
        <f t="shared" si="100"/>
        <v>2038</v>
      </c>
      <c r="AE96" s="329">
        <f t="shared" si="100"/>
        <v>2039</v>
      </c>
      <c r="AF96" s="329">
        <f t="shared" si="100"/>
        <v>2040</v>
      </c>
      <c r="AG96" s="329">
        <f t="shared" si="100"/>
        <v>2041</v>
      </c>
      <c r="AH96" s="329">
        <f t="shared" si="100"/>
        <v>2042</v>
      </c>
      <c r="AI96" s="329">
        <f t="shared" si="100"/>
        <v>2043</v>
      </c>
      <c r="AJ96" s="329">
        <f t="shared" si="100"/>
        <v>2044</v>
      </c>
      <c r="AK96" s="329">
        <f t="shared" si="100"/>
        <v>2045</v>
      </c>
      <c r="AL96" s="329">
        <f t="shared" si="100"/>
        <v>2046</v>
      </c>
      <c r="AM96" s="329">
        <f t="shared" si="100"/>
        <v>2047</v>
      </c>
      <c r="AN96" s="329">
        <f t="shared" si="100"/>
        <v>2048</v>
      </c>
      <c r="AO96" s="329">
        <f t="shared" si="100"/>
        <v>2049</v>
      </c>
      <c r="AP96" s="329">
        <f t="shared" si="100"/>
        <v>2050</v>
      </c>
      <c r="AQ96" s="329">
        <f t="shared" si="100"/>
        <v>2051</v>
      </c>
      <c r="AR96" s="300"/>
      <c r="AS96" s="300"/>
      <c r="AT96" s="300"/>
      <c r="AU96" s="300"/>
      <c r="AV96" s="300"/>
      <c r="AW96" s="300"/>
      <c r="AX96" s="300"/>
      <c r="AY96" s="300"/>
      <c r="AZ96" s="300"/>
      <c r="BA96" s="300"/>
      <c r="BB96" s="300"/>
      <c r="BC96" s="308"/>
      <c r="BG96" s="309"/>
    </row>
    <row r="97" spans="1:70">
      <c r="A97" s="301" t="s">
        <v>43</v>
      </c>
      <c r="B97" s="308">
        <f t="shared" ref="B97:AQ103" si="101">B113+B129</f>
        <v>145876</v>
      </c>
      <c r="C97" s="308">
        <f t="shared" si="101"/>
        <v>1160381578</v>
      </c>
      <c r="D97" s="308">
        <f t="shared" si="101"/>
        <v>1178481937</v>
      </c>
      <c r="E97" s="308">
        <f t="shared" si="101"/>
        <v>1028160966</v>
      </c>
      <c r="F97" s="308">
        <f t="shared" si="101"/>
        <v>1150184079</v>
      </c>
      <c r="G97" s="308">
        <f t="shared" si="101"/>
        <v>1192941746</v>
      </c>
      <c r="H97" s="308">
        <f t="shared" si="101"/>
        <v>1216522562</v>
      </c>
      <c r="I97" s="308">
        <f t="shared" si="101"/>
        <v>1239384722</v>
      </c>
      <c r="J97" s="308">
        <f t="shared" si="101"/>
        <v>1256507716</v>
      </c>
      <c r="K97" s="308">
        <f t="shared" si="101"/>
        <v>1190821829</v>
      </c>
      <c r="L97" s="308">
        <f t="shared" si="101"/>
        <v>1239340245</v>
      </c>
      <c r="M97" s="308">
        <f t="shared" si="101"/>
        <v>1073590706</v>
      </c>
      <c r="N97" s="308">
        <f t="shared" si="101"/>
        <v>1207226495</v>
      </c>
      <c r="O97" s="308">
        <f t="shared" si="101"/>
        <v>1201063005</v>
      </c>
      <c r="P97" s="308">
        <f t="shared" si="101"/>
        <v>1204612026</v>
      </c>
      <c r="Q97" s="308">
        <f t="shared" si="101"/>
        <v>1245242512</v>
      </c>
      <c r="R97" s="307">
        <f t="shared" si="101"/>
        <v>1196974651.7216249</v>
      </c>
      <c r="S97" s="309">
        <f t="shared" si="101"/>
        <v>1215414507.2301219</v>
      </c>
      <c r="T97" s="309">
        <f t="shared" si="101"/>
        <v>1224577020.2675424</v>
      </c>
      <c r="U97" s="309">
        <f t="shared" si="101"/>
        <v>1235744966.3851757</v>
      </c>
      <c r="V97" s="309">
        <f t="shared" si="101"/>
        <v>1248701814.4040978</v>
      </c>
      <c r="W97" s="309">
        <f t="shared" si="101"/>
        <v>1254877019.2157242</v>
      </c>
      <c r="X97" s="309">
        <f t="shared" si="101"/>
        <v>1266711991.5296006</v>
      </c>
      <c r="Y97" s="309">
        <f t="shared" si="101"/>
        <v>1277222852.4326391</v>
      </c>
      <c r="Z97" s="309">
        <f t="shared" si="101"/>
        <v>1288000825.8822892</v>
      </c>
      <c r="AA97" s="309">
        <f t="shared" si="101"/>
        <v>1298702778.2673273</v>
      </c>
      <c r="AB97" s="309">
        <f t="shared" si="101"/>
        <v>1308952160.3300683</v>
      </c>
      <c r="AC97" s="309">
        <f t="shared" si="101"/>
        <v>1320023942.9576702</v>
      </c>
      <c r="AD97" s="309">
        <f t="shared" si="101"/>
        <v>1330943788.9159436</v>
      </c>
      <c r="AE97" s="309">
        <f t="shared" si="101"/>
        <v>1341946640.8194485</v>
      </c>
      <c r="AF97" s="309">
        <f t="shared" si="101"/>
        <v>1352996534.7116733</v>
      </c>
      <c r="AG97" s="309">
        <f t="shared" si="101"/>
        <v>1364118075.7743268</v>
      </c>
      <c r="AH97" s="309">
        <f t="shared" si="101"/>
        <v>1375416757.1202431</v>
      </c>
      <c r="AI97" s="309">
        <f t="shared" si="101"/>
        <v>1386762647.640059</v>
      </c>
      <c r="AJ97" s="309">
        <f t="shared" si="101"/>
        <v>1398195767.0778875</v>
      </c>
      <c r="AK97" s="309">
        <f t="shared" si="101"/>
        <v>1409717133.8348913</v>
      </c>
      <c r="AL97" s="309">
        <f t="shared" si="101"/>
        <v>1421335006.4097252</v>
      </c>
      <c r="AM97" s="309">
        <f t="shared" si="101"/>
        <v>1433054382.709372</v>
      </c>
      <c r="AN97" s="309">
        <f t="shared" si="101"/>
        <v>1444860053.4570491</v>
      </c>
      <c r="AO97" s="309">
        <f t="shared" si="101"/>
        <v>1456759895.8263969</v>
      </c>
      <c r="AP97" s="309">
        <f t="shared" si="101"/>
        <v>1468755338.7968898</v>
      </c>
      <c r="AQ97" s="309">
        <f t="shared" si="101"/>
        <v>1480847864.6162043</v>
      </c>
      <c r="AR97" s="309"/>
      <c r="AS97" s="309"/>
      <c r="AT97" s="309"/>
      <c r="AU97" s="309"/>
      <c r="AV97" s="309"/>
      <c r="AW97" s="309"/>
      <c r="AX97" s="309"/>
      <c r="AY97" s="309"/>
      <c r="AZ97" s="309"/>
      <c r="BA97" s="309"/>
      <c r="BB97" s="309"/>
      <c r="BC97" s="308"/>
      <c r="BE97" s="308">
        <v>1307076805.5775168</v>
      </c>
      <c r="BF97" s="308">
        <f t="shared" ref="BF97:BF109" si="102">L97-BE97</f>
        <v>-67736560.577516794</v>
      </c>
      <c r="BG97" s="308">
        <v>1153008173.983212</v>
      </c>
      <c r="BH97" s="308">
        <f t="shared" ref="BH97:BH109" si="103">M97-BG97</f>
        <v>-79417467.983211994</v>
      </c>
      <c r="BI97" s="308">
        <v>1212886433.8209476</v>
      </c>
      <c r="BJ97" s="308">
        <f t="shared" ref="BJ97:BJ109" si="104">N97-BI97</f>
        <v>-5659938.8209476471</v>
      </c>
      <c r="BK97" s="308">
        <v>1179447525.2703445</v>
      </c>
      <c r="BL97" s="308">
        <f t="shared" ref="BL97:BL109" si="105">O97-BK97</f>
        <v>21615479.729655504</v>
      </c>
      <c r="BM97" s="308">
        <v>1204612026</v>
      </c>
      <c r="BN97" s="308">
        <f t="shared" ref="BN97:BN109" si="106">P97-BM97</f>
        <v>0</v>
      </c>
      <c r="BO97" s="308">
        <v>1245242512</v>
      </c>
      <c r="BP97" s="308">
        <f t="shared" ref="BP97:BP109" si="107">BO97-Q97</f>
        <v>0</v>
      </c>
      <c r="BQ97" s="308"/>
      <c r="BR97" s="308"/>
    </row>
    <row r="98" spans="1:70">
      <c r="A98" s="301" t="s">
        <v>44</v>
      </c>
      <c r="B98" s="308">
        <f t="shared" si="101"/>
        <v>1813991</v>
      </c>
      <c r="C98" s="308">
        <f t="shared" si="101"/>
        <v>1054084139</v>
      </c>
      <c r="D98" s="308">
        <f t="shared" si="101"/>
        <v>1079500947</v>
      </c>
      <c r="E98" s="308">
        <f t="shared" si="101"/>
        <v>939513797</v>
      </c>
      <c r="F98" s="308">
        <f t="shared" si="101"/>
        <v>1020555812</v>
      </c>
      <c r="G98" s="308">
        <f t="shared" si="101"/>
        <v>1077787346</v>
      </c>
      <c r="H98" s="308">
        <f t="shared" si="101"/>
        <v>1163405570</v>
      </c>
      <c r="I98" s="308">
        <f t="shared" si="101"/>
        <v>1131268869</v>
      </c>
      <c r="J98" s="308">
        <f t="shared" si="101"/>
        <v>1099648686</v>
      </c>
      <c r="K98" s="308">
        <f t="shared" si="101"/>
        <v>1133468458</v>
      </c>
      <c r="L98" s="308">
        <f t="shared" si="101"/>
        <v>1142746764</v>
      </c>
      <c r="M98" s="308">
        <f t="shared" si="101"/>
        <v>890016909</v>
      </c>
      <c r="N98" s="308">
        <f t="shared" si="101"/>
        <v>1066437335</v>
      </c>
      <c r="O98" s="308">
        <f t="shared" si="101"/>
        <v>1119168301</v>
      </c>
      <c r="P98" s="308">
        <f t="shared" si="101"/>
        <v>1207434740</v>
      </c>
      <c r="Q98" s="332">
        <f t="shared" si="101"/>
        <v>1120204072</v>
      </c>
      <c r="R98" s="307">
        <f t="shared" si="101"/>
        <v>1090313672.2889636</v>
      </c>
      <c r="S98" s="309">
        <f t="shared" si="101"/>
        <v>1124757152.9860015</v>
      </c>
      <c r="T98" s="309">
        <f t="shared" si="101"/>
        <v>1143485885.6931407</v>
      </c>
      <c r="U98" s="309">
        <f t="shared" si="101"/>
        <v>1154403126.4800143</v>
      </c>
      <c r="V98" s="309">
        <f t="shared" si="101"/>
        <v>1149748251.1928668</v>
      </c>
      <c r="W98" s="309">
        <f t="shared" si="101"/>
        <v>1160839307.1005521</v>
      </c>
      <c r="X98" s="309">
        <f t="shared" si="101"/>
        <v>1175264608.6045427</v>
      </c>
      <c r="Y98" s="309">
        <f t="shared" si="101"/>
        <v>1185614051.6853054</v>
      </c>
      <c r="Z98" s="309">
        <f t="shared" si="101"/>
        <v>1194237427.0586782</v>
      </c>
      <c r="AA98" s="309">
        <f t="shared" si="101"/>
        <v>1202393601.6063139</v>
      </c>
      <c r="AB98" s="309">
        <f t="shared" si="101"/>
        <v>1213184910.4689822</v>
      </c>
      <c r="AC98" s="309">
        <f t="shared" si="101"/>
        <v>1223903160.9723551</v>
      </c>
      <c r="AD98" s="309">
        <f t="shared" si="101"/>
        <v>1233865692.3437338</v>
      </c>
      <c r="AE98" s="309">
        <f t="shared" si="101"/>
        <v>1243748119.8286626</v>
      </c>
      <c r="AF98" s="309">
        <f t="shared" si="101"/>
        <v>1253889433.5454869</v>
      </c>
      <c r="AG98" s="309">
        <f t="shared" si="101"/>
        <v>1264438001.4616504</v>
      </c>
      <c r="AH98" s="309">
        <f t="shared" si="101"/>
        <v>1274935323.4750834</v>
      </c>
      <c r="AI98" s="309">
        <f t="shared" si="101"/>
        <v>1285388000.2941146</v>
      </c>
      <c r="AJ98" s="309">
        <f t="shared" si="101"/>
        <v>1295941043.7505853</v>
      </c>
      <c r="AK98" s="309">
        <f t="shared" si="101"/>
        <v>1306631590.6210709</v>
      </c>
      <c r="AL98" s="309">
        <f t="shared" si="101"/>
        <v>1317434599.9602296</v>
      </c>
      <c r="AM98" s="309">
        <f t="shared" si="101"/>
        <v>1328289551.1346943</v>
      </c>
      <c r="AN98" s="309">
        <f t="shared" si="101"/>
        <v>1339217862.8466451</v>
      </c>
      <c r="AO98" s="309">
        <f t="shared" si="101"/>
        <v>1350243599.6783111</v>
      </c>
      <c r="AP98" s="309">
        <f t="shared" si="101"/>
        <v>1361366165.6447942</v>
      </c>
      <c r="AQ98" s="309">
        <f t="shared" si="101"/>
        <v>1372577201.788842</v>
      </c>
      <c r="AR98" s="309"/>
      <c r="AS98" s="309"/>
      <c r="AT98" s="309"/>
      <c r="AU98" s="309"/>
      <c r="AV98" s="309"/>
      <c r="AW98" s="309"/>
      <c r="AX98" s="309"/>
      <c r="AY98" s="309"/>
      <c r="AZ98" s="309"/>
      <c r="BA98" s="309"/>
      <c r="BB98" s="309"/>
      <c r="BC98" s="308"/>
      <c r="BE98" s="308">
        <v>1201904523.3269553</v>
      </c>
      <c r="BF98" s="308">
        <f t="shared" si="102"/>
        <v>-59157759.326955318</v>
      </c>
      <c r="BG98" s="308">
        <v>1060216546.1846313</v>
      </c>
      <c r="BH98" s="308">
        <f t="shared" si="103"/>
        <v>-170199637.18463135</v>
      </c>
      <c r="BI98" s="308">
        <v>1106286383.9723179</v>
      </c>
      <c r="BJ98" s="308">
        <f t="shared" si="104"/>
        <v>-39849048.972317934</v>
      </c>
      <c r="BK98" s="308">
        <v>1053263731.0761191</v>
      </c>
      <c r="BL98" s="308">
        <f t="shared" si="105"/>
        <v>65904569.923880935</v>
      </c>
      <c r="BM98" s="308">
        <v>1207434740</v>
      </c>
      <c r="BN98" s="308">
        <f t="shared" si="106"/>
        <v>0</v>
      </c>
      <c r="BO98" s="308">
        <v>1120204072</v>
      </c>
      <c r="BP98" s="308">
        <f t="shared" si="107"/>
        <v>0</v>
      </c>
      <c r="BQ98" s="308"/>
      <c r="BR98" s="308"/>
    </row>
    <row r="99" spans="1:70">
      <c r="A99" s="301" t="s">
        <v>45</v>
      </c>
      <c r="B99" s="308">
        <f t="shared" si="101"/>
        <v>726074</v>
      </c>
      <c r="C99" s="308">
        <f t="shared" si="101"/>
        <v>1225662401</v>
      </c>
      <c r="D99" s="308">
        <f t="shared" si="101"/>
        <v>1136870708</v>
      </c>
      <c r="E99" s="308">
        <f t="shared" si="101"/>
        <v>1034306785</v>
      </c>
      <c r="F99" s="308">
        <f t="shared" si="101"/>
        <v>1147001684</v>
      </c>
      <c r="G99" s="308">
        <f t="shared" si="101"/>
        <v>1201220459</v>
      </c>
      <c r="H99" s="308">
        <f t="shared" si="101"/>
        <v>1222713421</v>
      </c>
      <c r="I99" s="308">
        <f t="shared" si="101"/>
        <v>1263870044</v>
      </c>
      <c r="J99" s="308">
        <f t="shared" si="101"/>
        <v>1222040857</v>
      </c>
      <c r="K99" s="308">
        <f t="shared" si="101"/>
        <v>1185044611</v>
      </c>
      <c r="L99" s="308">
        <f t="shared" si="101"/>
        <v>1113029280</v>
      </c>
      <c r="M99" s="308">
        <f t="shared" si="101"/>
        <v>1176899333</v>
      </c>
      <c r="N99" s="308">
        <f t="shared" si="101"/>
        <v>1261073527</v>
      </c>
      <c r="O99" s="308">
        <f t="shared" si="101"/>
        <v>1206945599</v>
      </c>
      <c r="P99" s="308">
        <f t="shared" si="101"/>
        <v>1186551368</v>
      </c>
      <c r="Q99" s="332">
        <f t="shared" si="101"/>
        <v>1214311837</v>
      </c>
      <c r="R99" s="307">
        <f t="shared" si="101"/>
        <v>1219996370.7488124</v>
      </c>
      <c r="S99" s="309">
        <f t="shared" si="101"/>
        <v>1222197910.3607717</v>
      </c>
      <c r="T99" s="309">
        <f t="shared" si="101"/>
        <v>1221896419.8142612</v>
      </c>
      <c r="U99" s="309">
        <f t="shared" si="101"/>
        <v>1231312295.0701261</v>
      </c>
      <c r="V99" s="309">
        <f t="shared" si="101"/>
        <v>1247025881.4167299</v>
      </c>
      <c r="W99" s="309">
        <f t="shared" si="101"/>
        <v>1259187479.089174</v>
      </c>
      <c r="X99" s="309">
        <f t="shared" si="101"/>
        <v>1267186747.1714497</v>
      </c>
      <c r="Y99" s="309">
        <f t="shared" si="101"/>
        <v>1276404456.7379487</v>
      </c>
      <c r="Z99" s="309">
        <f t="shared" si="101"/>
        <v>1287564193.0878394</v>
      </c>
      <c r="AA99" s="309">
        <f t="shared" si="101"/>
        <v>1299085321.3625224</v>
      </c>
      <c r="AB99" s="309">
        <f t="shared" si="101"/>
        <v>1309756580.1345656</v>
      </c>
      <c r="AC99" s="309">
        <f t="shared" si="101"/>
        <v>1320109690.5231302</v>
      </c>
      <c r="AD99" s="309">
        <f t="shared" si="101"/>
        <v>1330949808.0668511</v>
      </c>
      <c r="AE99" s="309">
        <f t="shared" si="101"/>
        <v>1342121652.2420692</v>
      </c>
      <c r="AF99" s="309">
        <f t="shared" si="101"/>
        <v>1353296918.1295652</v>
      </c>
      <c r="AG99" s="309">
        <f t="shared" si="101"/>
        <v>1364401606.251153</v>
      </c>
      <c r="AH99" s="309">
        <f t="shared" si="101"/>
        <v>1375593519.153569</v>
      </c>
      <c r="AI99" s="309">
        <f t="shared" si="101"/>
        <v>1386958065.7502799</v>
      </c>
      <c r="AJ99" s="309">
        <f t="shared" si="101"/>
        <v>1398430005.2704451</v>
      </c>
      <c r="AK99" s="309">
        <f t="shared" si="101"/>
        <v>1409963509.0973492</v>
      </c>
      <c r="AL99" s="309">
        <f t="shared" si="101"/>
        <v>1421570308.6206267</v>
      </c>
      <c r="AM99" s="309">
        <f t="shared" si="101"/>
        <v>1433279798.4670546</v>
      </c>
      <c r="AN99" s="309">
        <f t="shared" si="101"/>
        <v>1445095440.0838308</v>
      </c>
      <c r="AO99" s="309">
        <f t="shared" si="101"/>
        <v>1457003472.6742871</v>
      </c>
      <c r="AP99" s="309">
        <f t="shared" si="101"/>
        <v>1469000827.6633279</v>
      </c>
      <c r="AQ99" s="309">
        <f t="shared" si="101"/>
        <v>1481093169.8477807</v>
      </c>
      <c r="AR99" s="309"/>
      <c r="AS99" s="309"/>
      <c r="AT99" s="309"/>
      <c r="AU99" s="309"/>
      <c r="AV99" s="309"/>
      <c r="AW99" s="309"/>
      <c r="AX99" s="309"/>
      <c r="AY99" s="309"/>
      <c r="AZ99" s="309"/>
      <c r="BA99" s="309"/>
      <c r="BB99" s="309"/>
      <c r="BC99" s="308"/>
      <c r="BE99" s="308">
        <v>1306818657.2889211</v>
      </c>
      <c r="BF99" s="308">
        <f t="shared" si="102"/>
        <v>-193789377.28892112</v>
      </c>
      <c r="BG99" s="308">
        <v>1123774471.1411119</v>
      </c>
      <c r="BH99" s="308">
        <f t="shared" si="103"/>
        <v>53124861.858888149</v>
      </c>
      <c r="BI99" s="308">
        <v>1200063815.9509757</v>
      </c>
      <c r="BJ99" s="308">
        <f t="shared" si="104"/>
        <v>61009711.049024343</v>
      </c>
      <c r="BK99" s="308">
        <v>1198567194.3344917</v>
      </c>
      <c r="BL99" s="308">
        <f t="shared" si="105"/>
        <v>8378404.6655082703</v>
      </c>
      <c r="BM99" s="308">
        <v>1186551368</v>
      </c>
      <c r="BN99" s="308">
        <f t="shared" si="106"/>
        <v>0</v>
      </c>
      <c r="BO99" s="308">
        <v>1222867597.1319993</v>
      </c>
      <c r="BP99" s="308">
        <f t="shared" si="107"/>
        <v>8555760.1319992542</v>
      </c>
      <c r="BQ99" s="308"/>
      <c r="BR99" s="308"/>
    </row>
    <row r="100" spans="1:70">
      <c r="A100" s="301" t="s">
        <v>46</v>
      </c>
      <c r="B100" s="308">
        <f t="shared" si="101"/>
        <v>0</v>
      </c>
      <c r="C100" s="308">
        <f t="shared" si="101"/>
        <v>1069645214</v>
      </c>
      <c r="D100" s="308">
        <f t="shared" si="101"/>
        <v>1096194768</v>
      </c>
      <c r="E100" s="308">
        <f t="shared" si="101"/>
        <v>1085559590</v>
      </c>
      <c r="F100" s="308">
        <f t="shared" si="101"/>
        <v>1175647065</v>
      </c>
      <c r="G100" s="308">
        <f t="shared" si="101"/>
        <v>1156299914</v>
      </c>
      <c r="H100" s="308">
        <f t="shared" si="101"/>
        <v>1156578952</v>
      </c>
      <c r="I100" s="308">
        <f t="shared" si="101"/>
        <v>1162535498</v>
      </c>
      <c r="J100" s="308">
        <f t="shared" si="101"/>
        <v>1222109942</v>
      </c>
      <c r="K100" s="308">
        <f t="shared" si="101"/>
        <v>1238179577</v>
      </c>
      <c r="L100" s="308">
        <f t="shared" si="101"/>
        <v>628626453</v>
      </c>
      <c r="M100" s="308">
        <f t="shared" si="101"/>
        <v>1122382208</v>
      </c>
      <c r="N100" s="308">
        <f t="shared" si="101"/>
        <v>1127688984</v>
      </c>
      <c r="O100" s="308">
        <f t="shared" si="101"/>
        <v>1139674777</v>
      </c>
      <c r="P100" s="308">
        <f t="shared" si="101"/>
        <v>1186009923</v>
      </c>
      <c r="Q100" s="307">
        <f t="shared" si="101"/>
        <v>1070625931.1808431</v>
      </c>
      <c r="R100" s="307">
        <f t="shared" si="101"/>
        <v>1139373910.7161126</v>
      </c>
      <c r="S100" s="309">
        <f t="shared" si="101"/>
        <v>1136763216.863435</v>
      </c>
      <c r="T100" s="309">
        <f t="shared" si="101"/>
        <v>1145620266.6796093</v>
      </c>
      <c r="U100" s="309">
        <f t="shared" si="101"/>
        <v>1152817913.6832302</v>
      </c>
      <c r="V100" s="309">
        <f t="shared" si="101"/>
        <v>1152204662.7092044</v>
      </c>
      <c r="W100" s="309">
        <f t="shared" si="101"/>
        <v>1173973762.2858493</v>
      </c>
      <c r="X100" s="309">
        <f t="shared" si="101"/>
        <v>1181034140.2087638</v>
      </c>
      <c r="Y100" s="309">
        <f t="shared" si="101"/>
        <v>1190105106.9462183</v>
      </c>
      <c r="Z100" s="309">
        <f t="shared" si="101"/>
        <v>1199211509.0446095</v>
      </c>
      <c r="AA100" s="309">
        <f t="shared" si="101"/>
        <v>1208712250.7656679</v>
      </c>
      <c r="AB100" s="309">
        <f t="shared" si="101"/>
        <v>1220295274.4099767</v>
      </c>
      <c r="AC100" s="309">
        <f t="shared" si="101"/>
        <v>1229778591.9017794</v>
      </c>
      <c r="AD100" s="309">
        <f t="shared" si="101"/>
        <v>1239762791.7311723</v>
      </c>
      <c r="AE100" s="309">
        <f t="shared" si="101"/>
        <v>1249933395.1311781</v>
      </c>
      <c r="AF100" s="309">
        <f t="shared" si="101"/>
        <v>1260322948.8330503</v>
      </c>
      <c r="AG100" s="309">
        <f t="shared" si="101"/>
        <v>1270895025.1233103</v>
      </c>
      <c r="AH100" s="309">
        <f t="shared" si="101"/>
        <v>1281258380.7634866</v>
      </c>
      <c r="AI100" s="309">
        <f t="shared" si="101"/>
        <v>1291802772.4862533</v>
      </c>
      <c r="AJ100" s="309">
        <f t="shared" si="101"/>
        <v>1302461888.2836866</v>
      </c>
      <c r="AK100" s="309">
        <f t="shared" si="101"/>
        <v>1313221180.3011413</v>
      </c>
      <c r="AL100" s="309">
        <f t="shared" si="101"/>
        <v>1324056141.3980258</v>
      </c>
      <c r="AM100" s="309">
        <f t="shared" si="101"/>
        <v>1334944774.2728767</v>
      </c>
      <c r="AN100" s="309">
        <f t="shared" si="101"/>
        <v>1345941131.6590774</v>
      </c>
      <c r="AO100" s="309">
        <f t="shared" si="101"/>
        <v>1357030062.2068672</v>
      </c>
      <c r="AP100" s="309">
        <f t="shared" si="101"/>
        <v>1368207032.6203697</v>
      </c>
      <c r="AQ100" s="309">
        <f t="shared" si="101"/>
        <v>1379469533.3453257</v>
      </c>
      <c r="AR100" s="309"/>
      <c r="AS100" s="309"/>
      <c r="AT100" s="309"/>
      <c r="AU100" s="309"/>
      <c r="AV100" s="309"/>
      <c r="AW100" s="309"/>
      <c r="AX100" s="309"/>
      <c r="AY100" s="309"/>
      <c r="AZ100" s="309"/>
      <c r="BA100" s="309"/>
      <c r="BB100" s="309"/>
      <c r="BC100" s="308"/>
      <c r="BE100" s="308">
        <v>600997499.53952408</v>
      </c>
      <c r="BF100" s="308">
        <f t="shared" si="102"/>
        <v>27628953.460475922</v>
      </c>
      <c r="BG100" s="308">
        <v>1094359722.5716076</v>
      </c>
      <c r="BH100" s="308">
        <f t="shared" si="103"/>
        <v>28022485.42839241</v>
      </c>
      <c r="BI100" s="308">
        <v>1168354598.3719273</v>
      </c>
      <c r="BJ100" s="308">
        <f t="shared" si="104"/>
        <v>-40665614.371927261</v>
      </c>
      <c r="BK100" s="308">
        <v>1069306852.1819086</v>
      </c>
      <c r="BL100" s="308">
        <f t="shared" si="105"/>
        <v>70367924.818091393</v>
      </c>
      <c r="BM100" s="308">
        <v>1186009923</v>
      </c>
      <c r="BN100" s="308">
        <f t="shared" si="106"/>
        <v>0</v>
      </c>
      <c r="BO100" s="308">
        <v>1070625931.1808431</v>
      </c>
      <c r="BP100" s="308">
        <f t="shared" si="107"/>
        <v>0</v>
      </c>
      <c r="BQ100" s="308"/>
      <c r="BR100" s="308"/>
    </row>
    <row r="101" spans="1:70">
      <c r="A101" s="301" t="s">
        <v>47</v>
      </c>
      <c r="B101" s="308">
        <f t="shared" si="101"/>
        <v>0</v>
      </c>
      <c r="C101" s="308">
        <f t="shared" si="101"/>
        <v>1139975440</v>
      </c>
      <c r="D101" s="308">
        <f t="shared" si="101"/>
        <v>1131920310</v>
      </c>
      <c r="E101" s="308">
        <f t="shared" si="101"/>
        <v>1140894814</v>
      </c>
      <c r="F101" s="308">
        <f t="shared" si="101"/>
        <v>1199854519</v>
      </c>
      <c r="G101" s="308">
        <f t="shared" si="101"/>
        <v>1200091402</v>
      </c>
      <c r="H101" s="308">
        <f t="shared" si="101"/>
        <v>1235902992</v>
      </c>
      <c r="I101" s="308">
        <f t="shared" si="101"/>
        <v>1255176298</v>
      </c>
      <c r="J101" s="308">
        <f t="shared" si="101"/>
        <v>1285335604</v>
      </c>
      <c r="K101" s="308">
        <f>K117+K133</f>
        <v>1277901260</v>
      </c>
      <c r="L101" s="308">
        <f t="shared" si="101"/>
        <v>836424531</v>
      </c>
      <c r="M101" s="308">
        <f t="shared" si="101"/>
        <v>1250267187</v>
      </c>
      <c r="N101" s="308">
        <f t="shared" si="101"/>
        <v>1222880699</v>
      </c>
      <c r="O101" s="308">
        <f t="shared" si="101"/>
        <v>1255590416</v>
      </c>
      <c r="P101" s="308">
        <f t="shared" si="101"/>
        <v>1264016743</v>
      </c>
      <c r="Q101" s="307">
        <f t="shared" si="101"/>
        <v>1199160236.0274317</v>
      </c>
      <c r="R101" s="307">
        <f t="shared" si="101"/>
        <v>1249449651.1013618</v>
      </c>
      <c r="S101" s="309">
        <f t="shared" si="101"/>
        <v>1242682076.6277068</v>
      </c>
      <c r="T101" s="309">
        <f t="shared" si="101"/>
        <v>1254361699.1839809</v>
      </c>
      <c r="U101" s="309">
        <f t="shared" si="101"/>
        <v>1260671291.7784128</v>
      </c>
      <c r="V101" s="309">
        <f t="shared" si="101"/>
        <v>1266728301.4010646</v>
      </c>
      <c r="W101" s="309">
        <f t="shared" si="101"/>
        <v>1286128564.9530678</v>
      </c>
      <c r="X101" s="309">
        <f t="shared" si="101"/>
        <v>1293611984.1349204</v>
      </c>
      <c r="Y101" s="309">
        <f t="shared" si="101"/>
        <v>1304047600.7440412</v>
      </c>
      <c r="Z101" s="309">
        <f t="shared" si="101"/>
        <v>1314218984.1304269</v>
      </c>
      <c r="AA101" s="309">
        <f t="shared" si="101"/>
        <v>1325185328.7756848</v>
      </c>
      <c r="AB101" s="309">
        <f t="shared" si="101"/>
        <v>1337167928.7820685</v>
      </c>
      <c r="AC101" s="309">
        <f t="shared" si="101"/>
        <v>1347617189.2741666</v>
      </c>
      <c r="AD101" s="309">
        <f t="shared" si="101"/>
        <v>1358679032.8285322</v>
      </c>
      <c r="AE101" s="309">
        <f t="shared" si="101"/>
        <v>1369868368.8903952</v>
      </c>
      <c r="AF101" s="309">
        <f t="shared" si="101"/>
        <v>1381267249.1986768</v>
      </c>
      <c r="AG101" s="309">
        <f t="shared" si="101"/>
        <v>1392755156.1107678</v>
      </c>
      <c r="AH101" s="309">
        <f t="shared" si="101"/>
        <v>1404140021.7593679</v>
      </c>
      <c r="AI101" s="309">
        <f t="shared" si="101"/>
        <v>1415717376.5610383</v>
      </c>
      <c r="AJ101" s="309">
        <f t="shared" si="101"/>
        <v>1427400286.2169325</v>
      </c>
      <c r="AK101" s="309">
        <f t="shared" si="101"/>
        <v>1439184413.2399983</v>
      </c>
      <c r="AL101" s="309">
        <f t="shared" si="101"/>
        <v>1451047377.0676875</v>
      </c>
      <c r="AM101" s="309">
        <f t="shared" si="101"/>
        <v>1462986984.8177779</v>
      </c>
      <c r="AN101" s="309">
        <f t="shared" si="101"/>
        <v>1475040362.0815799</v>
      </c>
      <c r="AO101" s="309">
        <f t="shared" si="101"/>
        <v>1487191236.8971269</v>
      </c>
      <c r="AP101" s="309">
        <f t="shared" si="101"/>
        <v>1499437965.5678082</v>
      </c>
      <c r="AQ101" s="309">
        <f t="shared" si="101"/>
        <v>1511779424.7302008</v>
      </c>
      <c r="AR101" s="309"/>
      <c r="AS101" s="309"/>
      <c r="AT101" s="309"/>
      <c r="AU101" s="309"/>
      <c r="AV101" s="309"/>
      <c r="AW101" s="309"/>
      <c r="AX101" s="309"/>
      <c r="AY101" s="309"/>
      <c r="AZ101" s="309"/>
      <c r="BA101" s="309"/>
      <c r="BB101" s="309"/>
      <c r="BC101" s="308"/>
      <c r="BE101" s="308">
        <v>632933350.84056771</v>
      </c>
      <c r="BF101" s="308">
        <f t="shared" si="102"/>
        <v>203491180.15943229</v>
      </c>
      <c r="BG101" s="308">
        <v>1151287802.1855798</v>
      </c>
      <c r="BH101" s="308">
        <f t="shared" si="103"/>
        <v>98979384.814420223</v>
      </c>
      <c r="BI101" s="308">
        <v>1218973172.9492893</v>
      </c>
      <c r="BJ101" s="308">
        <f t="shared" si="104"/>
        <v>3907526.0507106781</v>
      </c>
      <c r="BK101" s="308">
        <v>1189100429.8370256</v>
      </c>
      <c r="BL101" s="308">
        <f t="shared" si="105"/>
        <v>66489986.162974358</v>
      </c>
      <c r="BM101" s="308">
        <v>1264016743</v>
      </c>
      <c r="BN101" s="308">
        <f t="shared" si="106"/>
        <v>0</v>
      </c>
      <c r="BO101" s="308">
        <v>1199160236.0274317</v>
      </c>
      <c r="BP101" s="308">
        <f t="shared" si="107"/>
        <v>0</v>
      </c>
      <c r="BQ101" s="308"/>
      <c r="BR101" s="308"/>
    </row>
    <row r="102" spans="1:70">
      <c r="A102" s="301" t="s">
        <v>48</v>
      </c>
      <c r="B102" s="308">
        <f t="shared" si="101"/>
        <v>90996</v>
      </c>
      <c r="C102" s="308">
        <f t="shared" si="101"/>
        <v>1164385720</v>
      </c>
      <c r="D102" s="308">
        <f t="shared" si="101"/>
        <v>1085594445</v>
      </c>
      <c r="E102" s="308">
        <f t="shared" si="101"/>
        <v>1103586859</v>
      </c>
      <c r="F102" s="308">
        <f t="shared" si="101"/>
        <v>1190780942</v>
      </c>
      <c r="G102" s="308">
        <f t="shared" si="101"/>
        <v>1238641597</v>
      </c>
      <c r="H102" s="308">
        <f t="shared" si="101"/>
        <v>1270123929</v>
      </c>
      <c r="I102" s="308">
        <f t="shared" si="101"/>
        <v>1242000159</v>
      </c>
      <c r="J102" s="308">
        <f t="shared" si="101"/>
        <v>1248367221</v>
      </c>
      <c r="K102" s="308">
        <f>K118+K134</f>
        <v>1234593091</v>
      </c>
      <c r="L102" s="308">
        <f t="shared" si="101"/>
        <v>1066287971</v>
      </c>
      <c r="M102" s="308">
        <f t="shared" si="101"/>
        <v>1254836510</v>
      </c>
      <c r="N102" s="308">
        <f t="shared" si="101"/>
        <v>1286404994</v>
      </c>
      <c r="O102" s="308">
        <f t="shared" si="101"/>
        <v>1274113142</v>
      </c>
      <c r="P102" s="308">
        <f t="shared" si="101"/>
        <v>1206365163</v>
      </c>
      <c r="Q102" s="307">
        <f t="shared" si="101"/>
        <v>1252403251.4987388</v>
      </c>
      <c r="R102" s="307">
        <f t="shared" si="101"/>
        <v>1266042290.2911386</v>
      </c>
      <c r="S102" s="309">
        <f t="shared" si="101"/>
        <v>1261601442.1548865</v>
      </c>
      <c r="T102" s="309">
        <f t="shared" si="101"/>
        <v>1264388062.7892711</v>
      </c>
      <c r="U102" s="309">
        <f t="shared" si="101"/>
        <v>1269025001.4274819</v>
      </c>
      <c r="V102" s="309">
        <f t="shared" si="101"/>
        <v>1288597288.7610085</v>
      </c>
      <c r="W102" s="309">
        <f t="shared" si="101"/>
        <v>1301660600.4249845</v>
      </c>
      <c r="X102" s="309">
        <f t="shared" si="101"/>
        <v>1308926235.0814941</v>
      </c>
      <c r="Y102" s="309">
        <f t="shared" si="101"/>
        <v>1318622749.4103401</v>
      </c>
      <c r="Z102" s="309">
        <f t="shared" si="101"/>
        <v>1329726406.6901984</v>
      </c>
      <c r="AA102" s="309">
        <f t="shared" si="101"/>
        <v>1342159055.324362</v>
      </c>
      <c r="AB102" s="309">
        <f t="shared" si="101"/>
        <v>1353138195.5274982</v>
      </c>
      <c r="AC102" s="309">
        <f t="shared" si="101"/>
        <v>1363677134.6888154</v>
      </c>
      <c r="AD102" s="309">
        <f t="shared" si="101"/>
        <v>1374891726.6980023</v>
      </c>
      <c r="AE102" s="309">
        <f t="shared" si="101"/>
        <v>1386416619.2550304</v>
      </c>
      <c r="AF102" s="309">
        <f t="shared" si="101"/>
        <v>1398028752.5269675</v>
      </c>
      <c r="AG102" s="309">
        <f t="shared" si="101"/>
        <v>1409473064.8426111</v>
      </c>
      <c r="AH102" s="309">
        <f t="shared" si="101"/>
        <v>1421011068.5519555</v>
      </c>
      <c r="AI102" s="309">
        <f t="shared" si="101"/>
        <v>1432754576.6450384</v>
      </c>
      <c r="AJ102" s="309">
        <f t="shared" si="101"/>
        <v>1444606386.7589951</v>
      </c>
      <c r="AK102" s="309">
        <f t="shared" si="101"/>
        <v>1456525254.5856998</v>
      </c>
      <c r="AL102" s="309">
        <f t="shared" si="101"/>
        <v>1468506864.4896653</v>
      </c>
      <c r="AM102" s="309">
        <f t="shared" si="101"/>
        <v>1480598370.399482</v>
      </c>
      <c r="AN102" s="309">
        <f t="shared" si="101"/>
        <v>1492803392.3717983</v>
      </c>
      <c r="AO102" s="309">
        <f t="shared" si="101"/>
        <v>1505102937.3209505</v>
      </c>
      <c r="AP102" s="309">
        <f t="shared" si="101"/>
        <v>1517494188.7438941</v>
      </c>
      <c r="AQ102" s="309">
        <f t="shared" si="101"/>
        <v>1529982174.5419016</v>
      </c>
      <c r="AR102" s="309"/>
      <c r="AS102" s="309"/>
      <c r="AT102" s="309"/>
      <c r="AU102" s="309"/>
      <c r="AV102" s="309"/>
      <c r="AW102" s="309"/>
      <c r="AX102" s="309"/>
      <c r="AY102" s="309"/>
      <c r="AZ102" s="309"/>
      <c r="BA102" s="309"/>
      <c r="BB102" s="309"/>
      <c r="BC102" s="308"/>
      <c r="BE102" s="308">
        <v>949970639.987391</v>
      </c>
      <c r="BF102" s="308">
        <f t="shared" si="102"/>
        <v>116317331.012609</v>
      </c>
      <c r="BG102" s="308">
        <v>1218427095.6545866</v>
      </c>
      <c r="BH102" s="308">
        <f t="shared" si="103"/>
        <v>36409414.345413446</v>
      </c>
      <c r="BI102" s="308">
        <v>1177000533.7411897</v>
      </c>
      <c r="BJ102" s="308">
        <f t="shared" si="104"/>
        <v>109404460.25881028</v>
      </c>
      <c r="BK102" s="308">
        <v>1289600784.7657268</v>
      </c>
      <c r="BL102" s="308">
        <f t="shared" si="105"/>
        <v>-15487642.765726805</v>
      </c>
      <c r="BM102" s="309">
        <v>1206365163</v>
      </c>
      <c r="BN102" s="308">
        <f t="shared" si="106"/>
        <v>0</v>
      </c>
      <c r="BO102" s="308">
        <v>1252403251.4987388</v>
      </c>
      <c r="BP102" s="308">
        <f t="shared" si="107"/>
        <v>0</v>
      </c>
      <c r="BQ102" s="308"/>
      <c r="BR102" s="308"/>
    </row>
    <row r="103" spans="1:70">
      <c r="A103" s="301" t="s">
        <v>49</v>
      </c>
      <c r="B103" s="308">
        <f t="shared" si="101"/>
        <v>1113013608</v>
      </c>
      <c r="C103" s="308">
        <f t="shared" si="101"/>
        <v>1126250203</v>
      </c>
      <c r="D103" s="308">
        <f t="shared" si="101"/>
        <v>1057188151</v>
      </c>
      <c r="E103" s="308">
        <f t="shared" si="101"/>
        <v>1119553179</v>
      </c>
      <c r="F103" s="308">
        <f t="shared" si="101"/>
        <v>1238378540</v>
      </c>
      <c r="G103" s="308">
        <f t="shared" ref="G103:J103" si="108">G119+G135</f>
        <v>1227213141</v>
      </c>
      <c r="H103" s="308">
        <f t="shared" si="108"/>
        <v>1229894322</v>
      </c>
      <c r="I103" s="308">
        <f t="shared" si="108"/>
        <v>1253091659</v>
      </c>
      <c r="J103" s="308">
        <f t="shared" si="108"/>
        <v>1349135136</v>
      </c>
      <c r="K103" s="308">
        <f>K119+K135</f>
        <v>1313747726</v>
      </c>
      <c r="L103" s="308">
        <f t="shared" ref="L103:AQ108" si="109">L119+L135</f>
        <v>1170143254</v>
      </c>
      <c r="M103" s="308">
        <f t="shared" si="109"/>
        <v>1274182812</v>
      </c>
      <c r="N103" s="308">
        <f t="shared" si="109"/>
        <v>1205668764</v>
      </c>
      <c r="O103" s="308">
        <f t="shared" si="109"/>
        <v>1271123264</v>
      </c>
      <c r="P103" s="308">
        <f t="shared" si="109"/>
        <v>1325323123</v>
      </c>
      <c r="Q103" s="307">
        <f t="shared" si="109"/>
        <v>1284899961.6234021</v>
      </c>
      <c r="R103" s="307">
        <f t="shared" si="109"/>
        <v>1283603351.3043537</v>
      </c>
      <c r="S103" s="309">
        <f t="shared" si="109"/>
        <v>1278712491.4290771</v>
      </c>
      <c r="T103" s="309">
        <f t="shared" si="109"/>
        <v>1301369214.7748682</v>
      </c>
      <c r="U103" s="309">
        <f t="shared" si="109"/>
        <v>1314315257.2475657</v>
      </c>
      <c r="V103" s="309">
        <f t="shared" si="109"/>
        <v>1319095334.7995574</v>
      </c>
      <c r="W103" s="309">
        <f t="shared" si="109"/>
        <v>1331883735.280484</v>
      </c>
      <c r="X103" s="309">
        <f t="shared" si="109"/>
        <v>1341744206.6978481</v>
      </c>
      <c r="Y103" s="309">
        <f t="shared" si="109"/>
        <v>1354660474.6842549</v>
      </c>
      <c r="Z103" s="309">
        <f t="shared" si="109"/>
        <v>1365570403.8657999</v>
      </c>
      <c r="AA103" s="309">
        <f t="shared" si="109"/>
        <v>1376066371.9523847</v>
      </c>
      <c r="AB103" s="309">
        <f t="shared" si="109"/>
        <v>1387744321.0960236</v>
      </c>
      <c r="AC103" s="309">
        <f t="shared" si="109"/>
        <v>1399181391.3785892</v>
      </c>
      <c r="AD103" s="309">
        <f t="shared" si="109"/>
        <v>1410946423.6382828</v>
      </c>
      <c r="AE103" s="309">
        <f t="shared" si="109"/>
        <v>1422474552.3148251</v>
      </c>
      <c r="AF103" s="309">
        <f t="shared" si="109"/>
        <v>1434130314.3061388</v>
      </c>
      <c r="AG103" s="309">
        <f t="shared" si="109"/>
        <v>1446024197.8176174</v>
      </c>
      <c r="AH103" s="309">
        <f t="shared" si="109"/>
        <v>1457960646.7878411</v>
      </c>
      <c r="AI103" s="309">
        <f t="shared" si="109"/>
        <v>1470000190.1222777</v>
      </c>
      <c r="AJ103" s="309">
        <f t="shared" si="109"/>
        <v>1482095883.0105367</v>
      </c>
      <c r="AK103" s="309">
        <f t="shared" si="109"/>
        <v>1494307961.988204</v>
      </c>
      <c r="AL103" s="309">
        <f t="shared" si="109"/>
        <v>1506633939.1753743</v>
      </c>
      <c r="AM103" s="309">
        <f t="shared" si="109"/>
        <v>1519048242.5430171</v>
      </c>
      <c r="AN103" s="309">
        <f t="shared" si="109"/>
        <v>1531560557.1321654</v>
      </c>
      <c r="AO103" s="309">
        <f t="shared" si="109"/>
        <v>1544169700.0194476</v>
      </c>
      <c r="AP103" s="309">
        <f t="shared" si="109"/>
        <v>1556884017.5275872</v>
      </c>
      <c r="AQ103" s="309">
        <f t="shared" si="109"/>
        <v>1569701186.6129103</v>
      </c>
      <c r="AR103" s="309"/>
      <c r="AS103" s="309"/>
      <c r="AT103" s="309"/>
      <c r="AU103" s="309"/>
      <c r="AV103" s="309"/>
      <c r="AW103" s="309"/>
      <c r="AX103" s="309"/>
      <c r="AY103" s="309"/>
      <c r="AZ103" s="309"/>
      <c r="BA103" s="309"/>
      <c r="BB103" s="309"/>
      <c r="BC103" s="308"/>
      <c r="BE103" s="308">
        <v>1114274321.9244108</v>
      </c>
      <c r="BF103" s="308">
        <f t="shared" si="102"/>
        <v>55868932.07558918</v>
      </c>
      <c r="BG103" s="308">
        <v>1245129463.2392931</v>
      </c>
      <c r="BH103" s="308">
        <f t="shared" si="103"/>
        <v>29053348.760706902</v>
      </c>
      <c r="BI103" s="308">
        <v>1226863229.9690042</v>
      </c>
      <c r="BJ103" s="308">
        <f t="shared" si="104"/>
        <v>-21194465.969004154</v>
      </c>
      <c r="BK103" s="308">
        <v>1209740812.9647486</v>
      </c>
      <c r="BL103" s="308">
        <f t="shared" si="105"/>
        <v>61382451.035251379</v>
      </c>
      <c r="BM103" s="309">
        <v>1325323123</v>
      </c>
      <c r="BN103" s="308">
        <f t="shared" si="106"/>
        <v>0</v>
      </c>
      <c r="BO103" s="308">
        <v>1284999961.6234021</v>
      </c>
      <c r="BP103" s="308">
        <f t="shared" si="107"/>
        <v>100000</v>
      </c>
      <c r="BQ103" s="308"/>
      <c r="BR103" s="308"/>
    </row>
    <row r="104" spans="1:70">
      <c r="A104" s="301" t="s">
        <v>50</v>
      </c>
      <c r="B104" s="308">
        <f t="shared" ref="B104:K108" si="110">B120+B136</f>
        <v>1111577683</v>
      </c>
      <c r="C104" s="308">
        <f t="shared" si="110"/>
        <v>1165619176</v>
      </c>
      <c r="D104" s="308">
        <f t="shared" si="110"/>
        <v>1095988419</v>
      </c>
      <c r="E104" s="308">
        <f t="shared" si="110"/>
        <v>1102723346</v>
      </c>
      <c r="F104" s="308">
        <f t="shared" si="110"/>
        <v>1180098156</v>
      </c>
      <c r="G104" s="308">
        <f t="shared" si="110"/>
        <v>1208297450</v>
      </c>
      <c r="H104" s="308">
        <f t="shared" si="110"/>
        <v>1303301421</v>
      </c>
      <c r="I104" s="308">
        <f t="shared" si="110"/>
        <v>1297687633</v>
      </c>
      <c r="J104" s="308">
        <f t="shared" si="110"/>
        <v>1341102964</v>
      </c>
      <c r="K104" s="308">
        <f t="shared" si="110"/>
        <v>1244988643</v>
      </c>
      <c r="L104" s="308">
        <f t="shared" si="109"/>
        <v>1125900563</v>
      </c>
      <c r="M104" s="308">
        <f t="shared" si="109"/>
        <v>1212273702</v>
      </c>
      <c r="N104" s="308">
        <f t="shared" si="109"/>
        <v>1266964833</v>
      </c>
      <c r="O104" s="308">
        <f t="shared" si="109"/>
        <v>1261213218</v>
      </c>
      <c r="P104" s="308">
        <f t="shared" si="109"/>
        <v>1317564159</v>
      </c>
      <c r="Q104" s="307">
        <f t="shared" si="109"/>
        <v>1272036718.7615714</v>
      </c>
      <c r="R104" s="307">
        <f t="shared" si="109"/>
        <v>1277322825.9423764</v>
      </c>
      <c r="S104" s="309">
        <f t="shared" si="109"/>
        <v>1283626788.2347968</v>
      </c>
      <c r="T104" s="309">
        <f t="shared" si="109"/>
        <v>1294926566.4794092</v>
      </c>
      <c r="U104" s="309">
        <f t="shared" si="109"/>
        <v>1308543980.848717</v>
      </c>
      <c r="V104" s="309">
        <f t="shared" si="109"/>
        <v>1313698777.8368843</v>
      </c>
      <c r="W104" s="309">
        <f t="shared" si="109"/>
        <v>1327993843.5123777</v>
      </c>
      <c r="X104" s="309">
        <f t="shared" si="109"/>
        <v>1338344342.7667181</v>
      </c>
      <c r="Y104" s="309">
        <f t="shared" si="109"/>
        <v>1349556327.2853281</v>
      </c>
      <c r="Z104" s="309">
        <f t="shared" si="109"/>
        <v>1360740747.8454521</v>
      </c>
      <c r="AA104" s="309">
        <f t="shared" si="109"/>
        <v>1371429769.8903682</v>
      </c>
      <c r="AB104" s="309">
        <f t="shared" si="109"/>
        <v>1383263482.8708074</v>
      </c>
      <c r="AC104" s="309">
        <f t="shared" si="109"/>
        <v>1394579447.8951216</v>
      </c>
      <c r="AD104" s="309">
        <f t="shared" si="109"/>
        <v>1406098113.1468523</v>
      </c>
      <c r="AE104" s="309">
        <f t="shared" si="109"/>
        <v>1417678723.6436124</v>
      </c>
      <c r="AF104" s="309">
        <f t="shared" si="109"/>
        <v>1429341444.8188186</v>
      </c>
      <c r="AG104" s="309">
        <f t="shared" si="109"/>
        <v>1441204140.0599966</v>
      </c>
      <c r="AH104" s="309">
        <f t="shared" si="109"/>
        <v>1453071088.1174796</v>
      </c>
      <c r="AI104" s="309">
        <f t="shared" si="109"/>
        <v>1465051708.8293614</v>
      </c>
      <c r="AJ104" s="309">
        <f t="shared" si="109"/>
        <v>1477126899.5131133</v>
      </c>
      <c r="AK104" s="309">
        <f t="shared" si="109"/>
        <v>1489303514.6476657</v>
      </c>
      <c r="AL104" s="309">
        <f t="shared" si="109"/>
        <v>1501585333.2782154</v>
      </c>
      <c r="AM104" s="309">
        <f t="shared" si="109"/>
        <v>1513952820.9773021</v>
      </c>
      <c r="AN104" s="309">
        <f t="shared" si="109"/>
        <v>1526422969.6810653</v>
      </c>
      <c r="AO104" s="309">
        <f t="shared" si="109"/>
        <v>1538993381.1795814</v>
      </c>
      <c r="AP104" s="309">
        <f t="shared" si="109"/>
        <v>1551665230.9672658</v>
      </c>
      <c r="AQ104" s="309">
        <f t="shared" si="109"/>
        <v>1564438497.2149961</v>
      </c>
      <c r="AR104" s="309"/>
      <c r="AS104" s="309"/>
      <c r="AT104" s="309"/>
      <c r="AU104" s="309"/>
      <c r="AV104" s="309"/>
      <c r="AW104" s="309"/>
      <c r="AX104" s="309"/>
      <c r="AY104" s="309"/>
      <c r="AZ104" s="309"/>
      <c r="BA104" s="309"/>
      <c r="BB104" s="309"/>
      <c r="BC104" s="308"/>
      <c r="BE104" s="308">
        <v>1177542562.0584929</v>
      </c>
      <c r="BF104" s="308">
        <f t="shared" si="102"/>
        <v>-51641999.058492899</v>
      </c>
      <c r="BG104" s="308">
        <v>1275034989.6308594</v>
      </c>
      <c r="BH104" s="308">
        <f t="shared" si="103"/>
        <v>-62761287.630859375</v>
      </c>
      <c r="BI104" s="308">
        <v>1219837899.9577992</v>
      </c>
      <c r="BJ104" s="308">
        <f t="shared" si="104"/>
        <v>47126933.042200804</v>
      </c>
      <c r="BK104" s="308">
        <v>1274300987.764807</v>
      </c>
      <c r="BL104" s="308">
        <f t="shared" si="105"/>
        <v>-13087769.764806986</v>
      </c>
      <c r="BM104" s="309">
        <v>1317564159</v>
      </c>
      <c r="BN104" s="308">
        <f t="shared" si="106"/>
        <v>0</v>
      </c>
      <c r="BO104" s="308">
        <v>1272136718.7615714</v>
      </c>
      <c r="BP104" s="308">
        <f t="shared" si="107"/>
        <v>100000</v>
      </c>
      <c r="BQ104" s="308"/>
      <c r="BR104" s="308"/>
    </row>
    <row r="105" spans="1:70">
      <c r="A105" s="301" t="s">
        <v>51</v>
      </c>
      <c r="B105" s="308">
        <f t="shared" si="110"/>
        <v>1102217871</v>
      </c>
      <c r="C105" s="308">
        <f t="shared" si="110"/>
        <v>1079322422</v>
      </c>
      <c r="D105" s="308">
        <f t="shared" si="110"/>
        <v>985889758</v>
      </c>
      <c r="E105" s="308">
        <f t="shared" si="110"/>
        <v>1068584497</v>
      </c>
      <c r="F105" s="308">
        <f t="shared" si="110"/>
        <v>1158509776</v>
      </c>
      <c r="G105" s="308">
        <f t="shared" si="110"/>
        <v>1180646960</v>
      </c>
      <c r="H105" s="308">
        <f t="shared" si="110"/>
        <v>1211551349</v>
      </c>
      <c r="I105" s="308">
        <f t="shared" si="110"/>
        <v>1210058206</v>
      </c>
      <c r="J105" s="308">
        <f t="shared" si="110"/>
        <v>1206984824</v>
      </c>
      <c r="K105" s="308">
        <f t="shared" si="110"/>
        <v>1187242588</v>
      </c>
      <c r="L105" s="308">
        <f t="shared" si="109"/>
        <v>1117200706</v>
      </c>
      <c r="M105" s="308">
        <f t="shared" si="109"/>
        <v>1150570851</v>
      </c>
      <c r="N105" s="308">
        <f t="shared" si="109"/>
        <v>1117330560</v>
      </c>
      <c r="O105" s="308">
        <f t="shared" si="109"/>
        <v>1174430096</v>
      </c>
      <c r="P105" s="308">
        <f t="shared" si="109"/>
        <v>1213454116</v>
      </c>
      <c r="Q105" s="307">
        <f t="shared" si="109"/>
        <v>1187602755.9780638</v>
      </c>
      <c r="R105" s="307">
        <f t="shared" si="109"/>
        <v>1179114368.8098512</v>
      </c>
      <c r="S105" s="309">
        <f t="shared" si="109"/>
        <v>1178615141.3551672</v>
      </c>
      <c r="T105" s="309">
        <f t="shared" si="109"/>
        <v>1198278056.5773621</v>
      </c>
      <c r="U105" s="309">
        <f t="shared" si="109"/>
        <v>1209385839.4465714</v>
      </c>
      <c r="V105" s="309">
        <f t="shared" si="109"/>
        <v>1215020954.5298564</v>
      </c>
      <c r="W105" s="309">
        <f t="shared" si="109"/>
        <v>1225965277.6466613</v>
      </c>
      <c r="X105" s="309">
        <f t="shared" si="109"/>
        <v>1235535632.1511617</v>
      </c>
      <c r="Y105" s="309">
        <f t="shared" si="109"/>
        <v>1247199481.5919824</v>
      </c>
      <c r="Z105" s="309">
        <f t="shared" si="109"/>
        <v>1257214741.0758696</v>
      </c>
      <c r="AA105" s="309">
        <f t="shared" si="109"/>
        <v>1267009196.6949162</v>
      </c>
      <c r="AB105" s="309">
        <f t="shared" si="109"/>
        <v>1277665819.1787925</v>
      </c>
      <c r="AC105" s="309">
        <f t="shared" si="109"/>
        <v>1288251206.9052279</v>
      </c>
      <c r="AD105" s="309">
        <f t="shared" si="109"/>
        <v>1299049062.4820061</v>
      </c>
      <c r="AE105" s="309">
        <f t="shared" si="109"/>
        <v>1309668563.9178545</v>
      </c>
      <c r="AF105" s="309">
        <f t="shared" si="109"/>
        <v>1320412769.9130082</v>
      </c>
      <c r="AG105" s="309">
        <f t="shared" si="109"/>
        <v>1331352016.8933527</v>
      </c>
      <c r="AH105" s="309">
        <f t="shared" si="109"/>
        <v>1342347624.9767668</v>
      </c>
      <c r="AI105" s="309">
        <f t="shared" si="109"/>
        <v>1353427994.8158591</v>
      </c>
      <c r="AJ105" s="309">
        <f t="shared" si="109"/>
        <v>1364566165.7789145</v>
      </c>
      <c r="AK105" s="309">
        <f t="shared" si="109"/>
        <v>1375810697.3784065</v>
      </c>
      <c r="AL105" s="309">
        <f t="shared" si="109"/>
        <v>1387157660.7567029</v>
      </c>
      <c r="AM105" s="309">
        <f t="shared" si="109"/>
        <v>1398587971.614572</v>
      </c>
      <c r="AN105" s="309">
        <f t="shared" si="109"/>
        <v>1410107444.1185462</v>
      </c>
      <c r="AO105" s="309">
        <f t="shared" si="109"/>
        <v>1421716850.1610649</v>
      </c>
      <c r="AP105" s="309">
        <f t="shared" si="109"/>
        <v>1433422783.3791175</v>
      </c>
      <c r="AQ105" s="309">
        <f t="shared" si="109"/>
        <v>1445223205.0337214</v>
      </c>
      <c r="AR105" s="309"/>
      <c r="AS105" s="309"/>
      <c r="AT105" s="309"/>
      <c r="AU105" s="309"/>
      <c r="AV105" s="309"/>
      <c r="AW105" s="309"/>
      <c r="AX105" s="309"/>
      <c r="AY105" s="309"/>
      <c r="AZ105" s="309"/>
      <c r="BA105" s="309"/>
      <c r="BB105" s="309"/>
      <c r="BC105" s="308"/>
      <c r="BE105" s="308">
        <v>1146077190.3741744</v>
      </c>
      <c r="BF105" s="308">
        <f t="shared" si="102"/>
        <v>-28876484.374174356</v>
      </c>
      <c r="BG105" s="308">
        <v>1197182976.2524834</v>
      </c>
      <c r="BH105" s="308">
        <f t="shared" si="103"/>
        <v>-46612125.252483368</v>
      </c>
      <c r="BI105" s="308">
        <v>1133149141.3173032</v>
      </c>
      <c r="BJ105" s="308">
        <f t="shared" si="104"/>
        <v>-15818581.317303181</v>
      </c>
      <c r="BK105" s="308">
        <v>1124929882.9295025</v>
      </c>
      <c r="BL105" s="308">
        <f t="shared" si="105"/>
        <v>49500213.070497513</v>
      </c>
      <c r="BM105" s="309">
        <v>1213454116</v>
      </c>
      <c r="BN105" s="308">
        <f t="shared" si="106"/>
        <v>0</v>
      </c>
      <c r="BO105" s="308">
        <v>1187602755.9780638</v>
      </c>
      <c r="BP105" s="308">
        <f t="shared" si="107"/>
        <v>0</v>
      </c>
      <c r="BQ105" s="308"/>
      <c r="BR105" s="308"/>
    </row>
    <row r="106" spans="1:70">
      <c r="A106" s="301" t="s">
        <v>52</v>
      </c>
      <c r="B106" s="308">
        <f t="shared" si="110"/>
        <v>1111396244</v>
      </c>
      <c r="C106" s="308">
        <f t="shared" si="110"/>
        <v>1102068807</v>
      </c>
      <c r="D106" s="308">
        <f t="shared" si="110"/>
        <v>1056945842</v>
      </c>
      <c r="E106" s="308">
        <f t="shared" si="110"/>
        <v>1151767493</v>
      </c>
      <c r="F106" s="308">
        <f t="shared" si="110"/>
        <v>1161548853</v>
      </c>
      <c r="G106" s="308">
        <f t="shared" si="110"/>
        <v>1219661304</v>
      </c>
      <c r="H106" s="308">
        <f t="shared" si="110"/>
        <v>1235414517</v>
      </c>
      <c r="I106" s="308">
        <f t="shared" si="110"/>
        <v>1275792936</v>
      </c>
      <c r="J106" s="308">
        <f t="shared" si="110"/>
        <v>1269892374</v>
      </c>
      <c r="K106" s="308">
        <f t="shared" si="110"/>
        <v>1239085495</v>
      </c>
      <c r="L106" s="308">
        <f t="shared" si="109"/>
        <v>1139185708</v>
      </c>
      <c r="M106" s="308">
        <f t="shared" si="109"/>
        <v>1185009720</v>
      </c>
      <c r="N106" s="308">
        <f t="shared" si="109"/>
        <v>1215627402</v>
      </c>
      <c r="O106" s="308">
        <f t="shared" si="109"/>
        <v>1291808391</v>
      </c>
      <c r="P106" s="308">
        <f t="shared" si="109"/>
        <v>1267997350</v>
      </c>
      <c r="Q106" s="307">
        <f t="shared" si="109"/>
        <v>1254698068.8157113</v>
      </c>
      <c r="R106" s="307">
        <f t="shared" si="109"/>
        <v>1254131961.9076321</v>
      </c>
      <c r="S106" s="309">
        <f t="shared" si="109"/>
        <v>1261380861.9334395</v>
      </c>
      <c r="T106" s="309">
        <f t="shared" si="109"/>
        <v>1278417658.9740689</v>
      </c>
      <c r="U106" s="309">
        <f t="shared" si="109"/>
        <v>1282384140.2425611</v>
      </c>
      <c r="V106" s="309">
        <f t="shared" si="109"/>
        <v>1292177055.70732</v>
      </c>
      <c r="W106" s="309">
        <f t="shared" si="109"/>
        <v>1305520526.4408178</v>
      </c>
      <c r="X106" s="309">
        <f t="shared" si="109"/>
        <v>1316018866.5143945</v>
      </c>
      <c r="Y106" s="309">
        <f t="shared" si="109"/>
        <v>1327214538.8964512</v>
      </c>
      <c r="Z106" s="309">
        <f t="shared" si="109"/>
        <v>1337203455.6996999</v>
      </c>
      <c r="AA106" s="309">
        <f t="shared" si="109"/>
        <v>1348430284.8084166</v>
      </c>
      <c r="AB106" s="309">
        <f t="shared" si="109"/>
        <v>1359961098.5939021</v>
      </c>
      <c r="AC106" s="309">
        <f t="shared" si="109"/>
        <v>1371107351.7236354</v>
      </c>
      <c r="AD106" s="309">
        <f t="shared" si="109"/>
        <v>1382391106.4574912</v>
      </c>
      <c r="AE106" s="309">
        <f t="shared" si="109"/>
        <v>1393692026.6289146</v>
      </c>
      <c r="AF106" s="309">
        <f t="shared" si="109"/>
        <v>1405262779.2868519</v>
      </c>
      <c r="AG106" s="309">
        <f t="shared" si="109"/>
        <v>1416904401.5515487</v>
      </c>
      <c r="AH106" s="309">
        <f t="shared" si="109"/>
        <v>1428567075.0785978</v>
      </c>
      <c r="AI106" s="309">
        <f t="shared" si="109"/>
        <v>1440336322.7416852</v>
      </c>
      <c r="AJ106" s="309">
        <f t="shared" si="109"/>
        <v>1452204970.0344861</v>
      </c>
      <c r="AK106" s="309">
        <f t="shared" si="109"/>
        <v>1464190035.1753991</v>
      </c>
      <c r="AL106" s="309">
        <f t="shared" si="109"/>
        <v>1476259893.066195</v>
      </c>
      <c r="AM106" s="309">
        <f t="shared" si="109"/>
        <v>1488417291.4894948</v>
      </c>
      <c r="AN106" s="309">
        <f t="shared" si="109"/>
        <v>1500676158.0949526</v>
      </c>
      <c r="AO106" s="309">
        <f t="shared" si="109"/>
        <v>1513035307.8835959</v>
      </c>
      <c r="AP106" s="309">
        <f t="shared" si="109"/>
        <v>1525494929.9354904</v>
      </c>
      <c r="AQ106" s="309">
        <f t="shared" si="109"/>
        <v>1538051731.4764066</v>
      </c>
      <c r="AR106" s="309"/>
      <c r="AS106" s="309"/>
      <c r="AT106" s="309"/>
      <c r="AU106" s="309"/>
      <c r="AV106" s="309"/>
      <c r="AW106" s="309"/>
      <c r="AX106" s="309"/>
      <c r="AY106" s="309"/>
      <c r="AZ106" s="309"/>
      <c r="BA106" s="309"/>
      <c r="BB106" s="309"/>
      <c r="BC106" s="308"/>
      <c r="BE106" s="308">
        <v>1106624684.7502689</v>
      </c>
      <c r="BF106" s="308">
        <f t="shared" si="102"/>
        <v>32561023.249731064</v>
      </c>
      <c r="BG106" s="308">
        <v>1197321202.1817212</v>
      </c>
      <c r="BH106" s="308">
        <f t="shared" si="103"/>
        <v>-12311482.18172121</v>
      </c>
      <c r="BI106" s="308">
        <v>1120546787.2551987</v>
      </c>
      <c r="BJ106" s="308">
        <f t="shared" si="104"/>
        <v>95080614.744801283</v>
      </c>
      <c r="BK106" s="308">
        <v>1231596410.9888134</v>
      </c>
      <c r="BL106" s="308">
        <f t="shared" si="105"/>
        <v>60211980.0111866</v>
      </c>
      <c r="BM106" s="309">
        <v>1321344549.9435554</v>
      </c>
      <c r="BN106" s="308">
        <f t="shared" si="106"/>
        <v>-53347199.943555355</v>
      </c>
      <c r="BO106" s="308">
        <v>1254798068.8157113</v>
      </c>
      <c r="BP106" s="308">
        <f t="shared" si="107"/>
        <v>100000</v>
      </c>
      <c r="BQ106" s="308"/>
      <c r="BR106" s="308"/>
    </row>
    <row r="107" spans="1:70">
      <c r="A107" s="301" t="s">
        <v>53</v>
      </c>
      <c r="B107" s="308">
        <f t="shared" si="110"/>
        <v>1138441631</v>
      </c>
      <c r="C107" s="308">
        <f t="shared" si="110"/>
        <v>1139844670</v>
      </c>
      <c r="D107" s="308">
        <f t="shared" si="110"/>
        <v>1045333458</v>
      </c>
      <c r="E107" s="308">
        <f t="shared" si="110"/>
        <v>1124339471</v>
      </c>
      <c r="F107" s="308">
        <f t="shared" si="110"/>
        <v>1127104876</v>
      </c>
      <c r="G107" s="308">
        <f t="shared" si="110"/>
        <v>1198456877</v>
      </c>
      <c r="H107" s="308">
        <f t="shared" si="110"/>
        <v>1206721017</v>
      </c>
      <c r="I107" s="308">
        <f t="shared" si="110"/>
        <v>1273920259</v>
      </c>
      <c r="J107" s="308">
        <f t="shared" si="110"/>
        <v>1232770960</v>
      </c>
      <c r="K107" s="308">
        <f t="shared" si="110"/>
        <v>1195257322</v>
      </c>
      <c r="L107" s="308">
        <f t="shared" si="109"/>
        <v>1137323818</v>
      </c>
      <c r="M107" s="308">
        <f t="shared" si="109"/>
        <v>1241477854</v>
      </c>
      <c r="N107" s="308">
        <f t="shared" si="109"/>
        <v>1251949282</v>
      </c>
      <c r="O107" s="308">
        <f t="shared" si="109"/>
        <v>1229592618</v>
      </c>
      <c r="P107" s="308">
        <f t="shared" si="109"/>
        <v>1191584658</v>
      </c>
      <c r="Q107" s="307">
        <f t="shared" si="109"/>
        <v>1244978808.6697311</v>
      </c>
      <c r="R107" s="307">
        <f t="shared" si="109"/>
        <v>1242931776.8417358</v>
      </c>
      <c r="S107" s="309">
        <f t="shared" si="109"/>
        <v>1236655580.7261941</v>
      </c>
      <c r="T107" s="309">
        <f t="shared" si="109"/>
        <v>1241209012.6491888</v>
      </c>
      <c r="U107" s="309">
        <f t="shared" si="109"/>
        <v>1250057539.2565622</v>
      </c>
      <c r="V107" s="309">
        <f t="shared" si="109"/>
        <v>1268672872.7525294</v>
      </c>
      <c r="W107" s="309">
        <f t="shared" si="109"/>
        <v>1279085574.3599296</v>
      </c>
      <c r="X107" s="309">
        <f t="shared" si="109"/>
        <v>1286461646.4410391</v>
      </c>
      <c r="Y107" s="309">
        <f t="shared" si="109"/>
        <v>1296666913.7273667</v>
      </c>
      <c r="Z107" s="309">
        <f t="shared" si="109"/>
        <v>1308021529.1469817</v>
      </c>
      <c r="AA107" s="309">
        <f t="shared" si="109"/>
        <v>1319893201.3310857</v>
      </c>
      <c r="AB107" s="309">
        <f t="shared" si="109"/>
        <v>1330392377.754787</v>
      </c>
      <c r="AC107" s="309">
        <f t="shared" si="109"/>
        <v>1340896538.5715263</v>
      </c>
      <c r="AD107" s="309">
        <f t="shared" si="109"/>
        <v>1352046497.7212913</v>
      </c>
      <c r="AE107" s="309">
        <f t="shared" si="109"/>
        <v>1363389229.9345174</v>
      </c>
      <c r="AF107" s="309">
        <f t="shared" si="109"/>
        <v>1374730409.424463</v>
      </c>
      <c r="AG107" s="309">
        <f t="shared" si="109"/>
        <v>1385963213.3724637</v>
      </c>
      <c r="AH107" s="309">
        <f t="shared" si="109"/>
        <v>1397344765.2467966</v>
      </c>
      <c r="AI107" s="309">
        <f t="shared" si="109"/>
        <v>1408906867.1223829</v>
      </c>
      <c r="AJ107" s="309">
        <f t="shared" si="109"/>
        <v>1420553336.4530692</v>
      </c>
      <c r="AK107" s="309">
        <f t="shared" si="109"/>
        <v>1432262112.0494249</v>
      </c>
      <c r="AL107" s="309">
        <f t="shared" si="109"/>
        <v>1444046107.3018072</v>
      </c>
      <c r="AM107" s="309">
        <f t="shared" si="109"/>
        <v>1455942850.2284639</v>
      </c>
      <c r="AN107" s="309">
        <f t="shared" si="109"/>
        <v>1467945255.1289663</v>
      </c>
      <c r="AO107" s="309">
        <f t="shared" si="109"/>
        <v>1480037836.6483381</v>
      </c>
      <c r="AP107" s="309">
        <f t="shared" si="109"/>
        <v>1492221793.282094</v>
      </c>
      <c r="AQ107" s="309">
        <f t="shared" si="109"/>
        <v>1504503059.1825755</v>
      </c>
      <c r="AR107" s="309"/>
      <c r="AS107" s="309"/>
      <c r="AT107" s="309"/>
      <c r="AU107" s="309"/>
      <c r="AV107" s="309"/>
      <c r="AW107" s="309"/>
      <c r="AX107" s="309"/>
      <c r="AY107" s="309"/>
      <c r="AZ107" s="309"/>
      <c r="BA107" s="309"/>
      <c r="BB107" s="309"/>
      <c r="BC107" s="308"/>
      <c r="BE107" s="308">
        <v>1114783774.6390481</v>
      </c>
      <c r="BF107" s="308">
        <f t="shared" si="102"/>
        <v>22540043.3609519</v>
      </c>
      <c r="BG107" s="308">
        <v>1222154996.6093516</v>
      </c>
      <c r="BH107" s="308">
        <f t="shared" si="103"/>
        <v>19322857.390648365</v>
      </c>
      <c r="BI107" s="308">
        <v>1241169617.2682502</v>
      </c>
      <c r="BJ107" s="308">
        <f t="shared" si="104"/>
        <v>10779664.731749773</v>
      </c>
      <c r="BK107" s="309">
        <v>1258514862.6515658</v>
      </c>
      <c r="BL107" s="308">
        <f t="shared" si="105"/>
        <v>-28922244.65156579</v>
      </c>
      <c r="BM107" s="309">
        <v>1324742754.6150632</v>
      </c>
      <c r="BN107" s="308">
        <f t="shared" si="106"/>
        <v>-133158096.61506319</v>
      </c>
      <c r="BO107" s="308">
        <v>1244978808.6697311</v>
      </c>
      <c r="BP107" s="308">
        <f t="shared" si="107"/>
        <v>0</v>
      </c>
      <c r="BQ107" s="308"/>
      <c r="BR107" s="308"/>
    </row>
    <row r="108" spans="1:70">
      <c r="A108" s="301" t="s">
        <v>54</v>
      </c>
      <c r="B108" s="308">
        <f t="shared" si="110"/>
        <v>1197884397</v>
      </c>
      <c r="C108" s="308">
        <f t="shared" si="110"/>
        <v>1181817350</v>
      </c>
      <c r="D108" s="308">
        <f t="shared" si="110"/>
        <v>1036814339</v>
      </c>
      <c r="E108" s="308">
        <f t="shared" si="110"/>
        <v>1199980139</v>
      </c>
      <c r="F108" s="308">
        <f t="shared" si="110"/>
        <v>1272257093</v>
      </c>
      <c r="G108" s="308">
        <f t="shared" si="110"/>
        <v>1292060744</v>
      </c>
      <c r="H108" s="308">
        <f t="shared" si="110"/>
        <v>1272483243</v>
      </c>
      <c r="I108" s="308">
        <f t="shared" si="110"/>
        <v>1259433963</v>
      </c>
      <c r="J108" s="308">
        <f t="shared" si="110"/>
        <v>1233347066</v>
      </c>
      <c r="K108" s="308">
        <f t="shared" si="110"/>
        <v>1290063012</v>
      </c>
      <c r="L108" s="308">
        <f t="shared" si="109"/>
        <v>1140983324</v>
      </c>
      <c r="M108" s="308">
        <f t="shared" si="109"/>
        <v>1292096107</v>
      </c>
      <c r="N108" s="308">
        <f t="shared" si="109"/>
        <v>1194250955</v>
      </c>
      <c r="O108" s="308">
        <f t="shared" si="109"/>
        <v>1254018704</v>
      </c>
      <c r="P108" s="308">
        <f t="shared" si="109"/>
        <v>1296614429</v>
      </c>
      <c r="Q108" s="307">
        <f t="shared" si="109"/>
        <v>1249524620.5326526</v>
      </c>
      <c r="R108" s="307">
        <f t="shared" si="109"/>
        <v>1268539058.9465487</v>
      </c>
      <c r="S108" s="309">
        <f t="shared" si="109"/>
        <v>1257107614.3023086</v>
      </c>
      <c r="T108" s="309">
        <f t="shared" si="109"/>
        <v>1277573012.1299839</v>
      </c>
      <c r="U108" s="309">
        <f t="shared" si="109"/>
        <v>1289035434.6162238</v>
      </c>
      <c r="V108" s="309">
        <f t="shared" si="109"/>
        <v>1294377944.615356</v>
      </c>
      <c r="W108" s="309">
        <f t="shared" si="109"/>
        <v>1309241235.4924195</v>
      </c>
      <c r="X108" s="309">
        <f t="shared" si="109"/>
        <v>1317548899.7898877</v>
      </c>
      <c r="Y108" s="309">
        <f t="shared" si="109"/>
        <v>1329934253.0383883</v>
      </c>
      <c r="Z108" s="309">
        <f t="shared" si="109"/>
        <v>1340653731.2407951</v>
      </c>
      <c r="AA108" s="309">
        <f t="shared" si="109"/>
        <v>1351224336.9271922</v>
      </c>
      <c r="AB108" s="309">
        <f t="shared" si="109"/>
        <v>1362876764.8823965</v>
      </c>
      <c r="AC108" s="309">
        <f t="shared" si="109"/>
        <v>1373857976.7639449</v>
      </c>
      <c r="AD108" s="309">
        <f t="shared" si="109"/>
        <v>1385391917.2684011</v>
      </c>
      <c r="AE108" s="309">
        <f t="shared" si="109"/>
        <v>1396750425.4314225</v>
      </c>
      <c r="AF108" s="309">
        <f t="shared" si="109"/>
        <v>1408240831.2341468</v>
      </c>
      <c r="AG108" s="309">
        <f t="shared" si="109"/>
        <v>1419920157.3303182</v>
      </c>
      <c r="AH108" s="309">
        <f t="shared" si="109"/>
        <v>1431603327.1980464</v>
      </c>
      <c r="AI108" s="309">
        <f t="shared" si="109"/>
        <v>1443431102.0732751</v>
      </c>
      <c r="AJ108" s="309">
        <f t="shared" si="109"/>
        <v>1455318989.976089</v>
      </c>
      <c r="AK108" s="309">
        <f t="shared" si="109"/>
        <v>1467315437.6072934</v>
      </c>
      <c r="AL108" s="309">
        <f t="shared" si="109"/>
        <v>1479415480.2241359</v>
      </c>
      <c r="AM108" s="309">
        <f t="shared" si="109"/>
        <v>1491601520.8076324</v>
      </c>
      <c r="AN108" s="309">
        <f t="shared" si="109"/>
        <v>1503890699.1667943</v>
      </c>
      <c r="AO108" s="309">
        <f t="shared" si="109"/>
        <v>1516274377.3207512</v>
      </c>
      <c r="AP108" s="309">
        <f t="shared" si="109"/>
        <v>1528759611.7175183</v>
      </c>
      <c r="AQ108" s="309">
        <f t="shared" si="109"/>
        <v>1541344942.0207658</v>
      </c>
      <c r="AR108" s="309"/>
      <c r="AS108" s="309"/>
      <c r="AT108" s="309"/>
      <c r="AU108" s="309"/>
      <c r="AV108" s="309"/>
      <c r="AW108" s="309"/>
      <c r="AX108" s="309"/>
      <c r="AY108" s="309"/>
      <c r="AZ108" s="309"/>
      <c r="BA108" s="309"/>
      <c r="BB108" s="309"/>
      <c r="BC108" s="308"/>
      <c r="BE108" s="308">
        <v>1166301277</v>
      </c>
      <c r="BF108" s="308">
        <f t="shared" si="102"/>
        <v>-25317953</v>
      </c>
      <c r="BG108" s="308">
        <v>1250043580</v>
      </c>
      <c r="BH108" s="308">
        <f t="shared" si="103"/>
        <v>42052527</v>
      </c>
      <c r="BI108" s="308">
        <v>1272123615.1073589</v>
      </c>
      <c r="BJ108" s="308">
        <f t="shared" si="104"/>
        <v>-77872660.107358932</v>
      </c>
      <c r="BK108" s="309">
        <v>1143755403.2799289</v>
      </c>
      <c r="BL108" s="308">
        <f t="shared" si="105"/>
        <v>110263300.72007108</v>
      </c>
      <c r="BM108" s="309">
        <v>1430481131.1647005</v>
      </c>
      <c r="BN108" s="308">
        <f t="shared" si="106"/>
        <v>-133866702.16470051</v>
      </c>
      <c r="BO108" s="308">
        <v>1240668860.4006503</v>
      </c>
      <c r="BP108" s="308">
        <f t="shared" si="107"/>
        <v>-8855760.1320023537</v>
      </c>
      <c r="BQ108" s="308"/>
      <c r="BR108" s="308"/>
    </row>
    <row r="109" spans="1:70" ht="12" thickBot="1">
      <c r="A109" s="301" t="s">
        <v>29</v>
      </c>
      <c r="B109" s="308">
        <f t="shared" ref="B109:AD109" si="111">SUM(B97:B108)</f>
        <v>6777308371</v>
      </c>
      <c r="C109" s="308">
        <f t="shared" si="111"/>
        <v>13609057120</v>
      </c>
      <c r="D109" s="308">
        <f t="shared" si="111"/>
        <v>12986723082</v>
      </c>
      <c r="E109" s="308">
        <f t="shared" si="111"/>
        <v>13098970936</v>
      </c>
      <c r="F109" s="308">
        <f t="shared" si="111"/>
        <v>14021921395</v>
      </c>
      <c r="G109" s="308">
        <f t="shared" si="111"/>
        <v>14393318940</v>
      </c>
      <c r="H109" s="308">
        <f t="shared" si="111"/>
        <v>14724613295</v>
      </c>
      <c r="I109" s="308">
        <f t="shared" si="111"/>
        <v>14864220246</v>
      </c>
      <c r="J109" s="308">
        <f t="shared" si="111"/>
        <v>14967243350</v>
      </c>
      <c r="K109" s="308">
        <f t="shared" si="111"/>
        <v>14730393612</v>
      </c>
      <c r="L109" s="308">
        <f t="shared" si="111"/>
        <v>12857192617</v>
      </c>
      <c r="M109" s="308">
        <f t="shared" si="111"/>
        <v>14123603899</v>
      </c>
      <c r="N109" s="308">
        <f t="shared" si="111"/>
        <v>14423503830</v>
      </c>
      <c r="O109" s="308">
        <f t="shared" si="111"/>
        <v>14678741531</v>
      </c>
      <c r="P109" s="308">
        <f t="shared" si="111"/>
        <v>14867527798</v>
      </c>
      <c r="Q109" s="307">
        <f t="shared" si="111"/>
        <v>14595688774.088146</v>
      </c>
      <c r="R109" s="307">
        <f t="shared" si="111"/>
        <v>14667793890.620512</v>
      </c>
      <c r="S109" s="309">
        <f t="shared" si="111"/>
        <v>14699514784.203907</v>
      </c>
      <c r="T109" s="309">
        <f t="shared" si="111"/>
        <v>14846102876.012688</v>
      </c>
      <c r="U109" s="309">
        <f t="shared" si="111"/>
        <v>14957696786.482641</v>
      </c>
      <c r="V109" s="309">
        <f t="shared" si="111"/>
        <v>15056049140.126474</v>
      </c>
      <c r="W109" s="309">
        <f t="shared" si="111"/>
        <v>15216356925.802042</v>
      </c>
      <c r="X109" s="309">
        <f t="shared" si="111"/>
        <v>15328389301.091822</v>
      </c>
      <c r="Y109" s="309">
        <f t="shared" si="111"/>
        <v>15457248807.180267</v>
      </c>
      <c r="Z109" s="309">
        <f t="shared" si="111"/>
        <v>15582363954.768641</v>
      </c>
      <c r="AA109" s="309">
        <f t="shared" si="111"/>
        <v>15710291497.70624</v>
      </c>
      <c r="AB109" s="309">
        <f t="shared" si="111"/>
        <v>15844398914.029871</v>
      </c>
      <c r="AC109" s="309">
        <f t="shared" si="111"/>
        <v>15972983623.555958</v>
      </c>
      <c r="AD109" s="309">
        <f t="shared" si="111"/>
        <v>16105015961.298561</v>
      </c>
      <c r="AE109" s="309">
        <f>SUM(AE97:AE108)</f>
        <v>16237688318.03793</v>
      </c>
      <c r="AF109" s="309">
        <f>SUM(AF97:AF108)</f>
        <v>16371920385.928848</v>
      </c>
      <c r="AG109" s="309">
        <f>SUM(AG97:AG108)</f>
        <v>16507449056.589115</v>
      </c>
      <c r="AH109" s="309">
        <f t="shared" ref="AH109:AQ109" si="112">SUM(AH97:AH108)</f>
        <v>16643249598.229235</v>
      </c>
      <c r="AI109" s="309">
        <f t="shared" si="112"/>
        <v>16780537625.081625</v>
      </c>
      <c r="AJ109" s="309">
        <f t="shared" si="112"/>
        <v>16918901622.124741</v>
      </c>
      <c r="AK109" s="309">
        <f t="shared" si="112"/>
        <v>17058432840.526545</v>
      </c>
      <c r="AL109" s="309">
        <f t="shared" si="112"/>
        <v>17199048711.74839</v>
      </c>
      <c r="AM109" s="309">
        <f t="shared" si="112"/>
        <v>17340704559.461739</v>
      </c>
      <c r="AN109" s="309">
        <f t="shared" si="112"/>
        <v>17483561325.822472</v>
      </c>
      <c r="AO109" s="309">
        <f t="shared" si="112"/>
        <v>17627558657.816719</v>
      </c>
      <c r="AP109" s="309">
        <f t="shared" si="112"/>
        <v>17772709885.846157</v>
      </c>
      <c r="AQ109" s="309">
        <f t="shared" si="112"/>
        <v>17919011990.411633</v>
      </c>
      <c r="AR109" s="309"/>
      <c r="AS109" s="309"/>
      <c r="AT109" s="309"/>
      <c r="AU109" s="309"/>
      <c r="AV109" s="309"/>
      <c r="AW109" s="309"/>
      <c r="AX109" s="309"/>
      <c r="AY109" s="309"/>
      <c r="AZ109" s="309"/>
      <c r="BA109" s="309"/>
      <c r="BB109" s="309"/>
      <c r="BC109" s="308"/>
      <c r="BE109" s="308">
        <v>12874765880</v>
      </c>
      <c r="BF109" s="308">
        <f t="shared" si="102"/>
        <v>-17573263</v>
      </c>
      <c r="BG109" s="308">
        <v>14077500000</v>
      </c>
      <c r="BH109" s="308">
        <f t="shared" si="103"/>
        <v>46103899</v>
      </c>
      <c r="BI109" s="308">
        <v>14485305278.107359</v>
      </c>
      <c r="BJ109" s="308">
        <f t="shared" si="104"/>
        <v>-61801448.107358932</v>
      </c>
      <c r="BK109" s="309">
        <v>14593055524.931494</v>
      </c>
      <c r="BL109" s="308">
        <f t="shared" si="105"/>
        <v>85686006.068506241</v>
      </c>
      <c r="BM109" s="309">
        <v>15187899796.72332</v>
      </c>
      <c r="BN109" s="308">
        <f t="shared" si="106"/>
        <v>-320371998.72332001</v>
      </c>
      <c r="BO109" s="308">
        <v>14595688774.088142</v>
      </c>
      <c r="BP109" s="308">
        <f t="shared" si="107"/>
        <v>0</v>
      </c>
      <c r="BQ109" s="308"/>
      <c r="BR109" s="308"/>
    </row>
    <row r="110" spans="1:70">
      <c r="A110" s="334"/>
      <c r="B110" s="334"/>
      <c r="C110" s="334"/>
      <c r="D110" s="406">
        <f t="shared" ref="D110:K110" si="113">D108/AVERAGE(D97:D107)-1</f>
        <v>-4.5602943563834319E-2</v>
      </c>
      <c r="E110" s="406">
        <f t="shared" si="113"/>
        <v>0.10931941659522582</v>
      </c>
      <c r="F110" s="406">
        <f t="shared" si="113"/>
        <v>9.7662471066369605E-2</v>
      </c>
      <c r="G110" s="406">
        <f t="shared" si="113"/>
        <v>8.4832309337993905E-2</v>
      </c>
      <c r="H110" s="406">
        <f t="shared" si="113"/>
        <v>4.0527828596107263E-2</v>
      </c>
      <c r="I110" s="406">
        <f t="shared" si="113"/>
        <v>1.8301449564931849E-2</v>
      </c>
      <c r="J110" s="406">
        <f t="shared" si="113"/>
        <v>-1.2165415738186858E-2</v>
      </c>
      <c r="K110" s="406">
        <f t="shared" si="113"/>
        <v>5.5829172237772173E-2</v>
      </c>
      <c r="L110" s="406">
        <f>L108/AVERAGE(L97:L107)-1</f>
        <v>7.1235264762524064E-2</v>
      </c>
      <c r="M110" s="406">
        <f>M108/AVERAGE(M97:M107)-1</f>
        <v>0.10766851467458483</v>
      </c>
      <c r="N110" s="406">
        <f>N108/AVERAGE(N97:N107)-1</f>
        <v>-6.9915036679650822E-3</v>
      </c>
      <c r="O110" s="406">
        <f>O108/AVERAGE(O97:O107)-1</f>
        <v>2.7522573222658275E-2</v>
      </c>
      <c r="P110" s="406">
        <f>P108/AVERAGE(P97:P107)-1</f>
        <v>5.0980013738823216E-2</v>
      </c>
      <c r="Q110" s="334"/>
      <c r="R110" s="334"/>
      <c r="S110" s="334"/>
      <c r="T110" s="334"/>
      <c r="U110" s="334"/>
      <c r="V110" s="334"/>
      <c r="W110" s="334"/>
      <c r="X110" s="334"/>
      <c r="Y110" s="334"/>
      <c r="Z110" s="334"/>
      <c r="AA110" s="334"/>
      <c r="AB110" s="334"/>
      <c r="AC110" s="334"/>
      <c r="AD110" s="334"/>
      <c r="AE110" s="334"/>
      <c r="AF110" s="334"/>
      <c r="AG110" s="334"/>
      <c r="AH110" s="334"/>
      <c r="AI110" s="334"/>
      <c r="AJ110" s="334"/>
      <c r="AK110" s="334"/>
      <c r="AL110" s="334"/>
      <c r="AM110" s="334"/>
      <c r="AN110" s="334"/>
      <c r="AO110" s="334"/>
      <c r="AP110" s="334"/>
      <c r="AQ110" s="334"/>
      <c r="BC110" s="308"/>
      <c r="BG110" s="309"/>
    </row>
    <row r="111" spans="1:70" ht="12" thickBot="1">
      <c r="A111" s="300" t="s">
        <v>497</v>
      </c>
      <c r="P111" s="308">
        <f>(AVERAGE(P97:P107)+(AVERAGE(P97:P107)*AVERAGE(F110:O110)))-P108</f>
        <v>-3130868.1100463867</v>
      </c>
      <c r="BC111" s="308"/>
      <c r="BG111" s="309"/>
    </row>
    <row r="112" spans="1:70" ht="12" thickBot="1">
      <c r="A112" s="328"/>
      <c r="B112" s="329">
        <f t="shared" ref="B112:AQ112" si="114">B2</f>
        <v>2010</v>
      </c>
      <c r="C112" s="329">
        <f t="shared" si="114"/>
        <v>2011</v>
      </c>
      <c r="D112" s="329">
        <f t="shared" si="114"/>
        <v>2012</v>
      </c>
      <c r="E112" s="329">
        <f t="shared" si="114"/>
        <v>2013</v>
      </c>
      <c r="F112" s="329">
        <f t="shared" si="114"/>
        <v>2014</v>
      </c>
      <c r="G112" s="329">
        <f t="shared" si="114"/>
        <v>2015</v>
      </c>
      <c r="H112" s="329">
        <f t="shared" si="114"/>
        <v>2016</v>
      </c>
      <c r="I112" s="329">
        <f t="shared" si="114"/>
        <v>2017</v>
      </c>
      <c r="J112" s="329">
        <f t="shared" si="114"/>
        <v>2018</v>
      </c>
      <c r="K112" s="329">
        <f t="shared" si="114"/>
        <v>2019</v>
      </c>
      <c r="L112" s="329">
        <f t="shared" si="114"/>
        <v>2020</v>
      </c>
      <c r="M112" s="329">
        <f t="shared" si="114"/>
        <v>2021</v>
      </c>
      <c r="N112" s="329">
        <f t="shared" si="114"/>
        <v>2022</v>
      </c>
      <c r="O112" s="329">
        <f t="shared" si="114"/>
        <v>2023</v>
      </c>
      <c r="P112" s="329">
        <f t="shared" si="114"/>
        <v>2024</v>
      </c>
      <c r="Q112" s="329">
        <f t="shared" si="114"/>
        <v>2025</v>
      </c>
      <c r="R112" s="329">
        <f t="shared" si="114"/>
        <v>2026</v>
      </c>
      <c r="S112" s="329">
        <f t="shared" si="114"/>
        <v>2027</v>
      </c>
      <c r="T112" s="329">
        <f t="shared" si="114"/>
        <v>2028</v>
      </c>
      <c r="U112" s="329">
        <f t="shared" si="114"/>
        <v>2029</v>
      </c>
      <c r="V112" s="329">
        <f t="shared" si="114"/>
        <v>2030</v>
      </c>
      <c r="W112" s="329">
        <f t="shared" si="114"/>
        <v>2031</v>
      </c>
      <c r="X112" s="329">
        <f t="shared" si="114"/>
        <v>2032</v>
      </c>
      <c r="Y112" s="329">
        <f t="shared" si="114"/>
        <v>2033</v>
      </c>
      <c r="Z112" s="329">
        <f t="shared" si="114"/>
        <v>2034</v>
      </c>
      <c r="AA112" s="329">
        <f t="shared" si="114"/>
        <v>2035</v>
      </c>
      <c r="AB112" s="329">
        <f t="shared" si="114"/>
        <v>2036</v>
      </c>
      <c r="AC112" s="329">
        <f t="shared" si="114"/>
        <v>2037</v>
      </c>
      <c r="AD112" s="329">
        <f t="shared" si="114"/>
        <v>2038</v>
      </c>
      <c r="AE112" s="329">
        <f t="shared" si="114"/>
        <v>2039</v>
      </c>
      <c r="AF112" s="329">
        <f t="shared" si="114"/>
        <v>2040</v>
      </c>
      <c r="AG112" s="329">
        <f t="shared" si="114"/>
        <v>2041</v>
      </c>
      <c r="AH112" s="329">
        <f t="shared" si="114"/>
        <v>2042</v>
      </c>
      <c r="AI112" s="329">
        <f t="shared" si="114"/>
        <v>2043</v>
      </c>
      <c r="AJ112" s="329">
        <f t="shared" si="114"/>
        <v>2044</v>
      </c>
      <c r="AK112" s="329">
        <f t="shared" si="114"/>
        <v>2045</v>
      </c>
      <c r="AL112" s="329">
        <f t="shared" si="114"/>
        <v>2046</v>
      </c>
      <c r="AM112" s="329">
        <f t="shared" si="114"/>
        <v>2047</v>
      </c>
      <c r="AN112" s="329">
        <f t="shared" si="114"/>
        <v>2048</v>
      </c>
      <c r="AO112" s="329">
        <f t="shared" si="114"/>
        <v>2049</v>
      </c>
      <c r="AP112" s="329">
        <f t="shared" si="114"/>
        <v>2050</v>
      </c>
      <c r="AQ112" s="329">
        <f t="shared" si="114"/>
        <v>2051</v>
      </c>
      <c r="AR112" s="300"/>
      <c r="AS112" s="300"/>
      <c r="AT112" s="300"/>
      <c r="AU112" s="300"/>
      <c r="AV112" s="300"/>
      <c r="AW112" s="300"/>
      <c r="AX112" s="300"/>
      <c r="AY112" s="300"/>
      <c r="AZ112" s="300"/>
      <c r="BA112" s="300"/>
      <c r="BB112" s="300"/>
      <c r="BC112" s="300" t="s">
        <v>36</v>
      </c>
      <c r="BD112" s="300" t="s">
        <v>432</v>
      </c>
      <c r="BG112" s="309"/>
    </row>
    <row r="113" spans="1:74">
      <c r="A113" s="301" t="s">
        <v>43</v>
      </c>
      <c r="B113" s="308">
        <f>'Monthly D6 Gallon Data'!$E4</f>
        <v>145876</v>
      </c>
      <c r="C113" s="308">
        <f>'Monthly D6 Gallon Data'!$E16</f>
        <v>1160289818</v>
      </c>
      <c r="D113" s="308">
        <f>'Monthly D6 Gallon Data'!$E28</f>
        <v>1178481937</v>
      </c>
      <c r="E113" s="308">
        <f>'Monthly D6 Gallon Data'!$E40</f>
        <v>1028160966</v>
      </c>
      <c r="F113" s="308">
        <f>'Monthly D6 Gallon Data'!$E52</f>
        <v>1150184079</v>
      </c>
      <c r="G113" s="308">
        <f>'Monthly D6 Gallon Data'!$E64</f>
        <v>1192708203</v>
      </c>
      <c r="H113" s="308">
        <f>'Monthly D6 Gallon Data'!$E76</f>
        <v>1215577025</v>
      </c>
      <c r="I113" s="308">
        <f>'Monthly D6 Gallon Data'!$E88</f>
        <v>1238395770</v>
      </c>
      <c r="J113" s="308">
        <f>'Monthly D6 Gallon Data'!$E100</f>
        <v>1255494453</v>
      </c>
      <c r="K113" s="308">
        <f>'Monthly D6 Gallon Data'!$E112</f>
        <v>1189779457</v>
      </c>
      <c r="L113" s="308">
        <f>'Monthly D6 Gallon Data'!$E124</f>
        <v>1238303796</v>
      </c>
      <c r="M113" s="308">
        <f>'Monthly D6 Gallon Data'!$E136</f>
        <v>1072581886</v>
      </c>
      <c r="N113" s="308">
        <f>'Monthly D6 Gallon Data'!$E148</f>
        <v>1206153322</v>
      </c>
      <c r="O113" s="308">
        <f>'Monthly D6 Gallon Data'!$E160</f>
        <v>1200969763</v>
      </c>
      <c r="P113" s="308">
        <f>'Monthly D6 Gallon Data'!$E172</f>
        <v>1203497939</v>
      </c>
      <c r="Q113" s="308">
        <f>'Monthly D6 Gallon Data'!$E184</f>
        <v>1243974760</v>
      </c>
      <c r="R113" s="307">
        <f t="shared" ref="R113:R123" si="115">(SUM(M113:Q113)/SUM(M$125:Q$125))*R$125</f>
        <v>1196145200.9871042</v>
      </c>
      <c r="S113" s="307">
        <f t="shared" ref="S113:S123" si="116">(SUM(N113:R113)/SUM(N$125:R$125))*S$125</f>
        <v>1214606795.950866</v>
      </c>
      <c r="T113" s="307">
        <f t="shared" ref="T113:AI123" si="117">(SUM(O113:S113)/SUM(O$125:S$125))*T$125</f>
        <v>1223799902.5219884</v>
      </c>
      <c r="U113" s="307">
        <f t="shared" si="117"/>
        <v>1234839300.0865631</v>
      </c>
      <c r="V113" s="307">
        <f t="shared" si="117"/>
        <v>1247809266.1437976</v>
      </c>
      <c r="W113" s="307">
        <f t="shared" si="117"/>
        <v>1254034520.3520756</v>
      </c>
      <c r="X113" s="307">
        <f t="shared" si="117"/>
        <v>1265866883.0401263</v>
      </c>
      <c r="Y113" s="307">
        <f t="shared" si="117"/>
        <v>1276370264.5011213</v>
      </c>
      <c r="Z113" s="307">
        <f t="shared" si="117"/>
        <v>1287133143.9135785</v>
      </c>
      <c r="AA113" s="307">
        <f t="shared" si="117"/>
        <v>1297842693.164597</v>
      </c>
      <c r="AB113" s="307">
        <f t="shared" si="117"/>
        <v>1308098567.8588519</v>
      </c>
      <c r="AC113" s="307">
        <f t="shared" si="117"/>
        <v>1319168131.7649403</v>
      </c>
      <c r="AD113" s="307">
        <f t="shared" si="117"/>
        <v>1330085837.1825626</v>
      </c>
      <c r="AE113" s="307">
        <f t="shared" si="117"/>
        <v>1341087616.3256948</v>
      </c>
      <c r="AF113" s="307">
        <f t="shared" si="117"/>
        <v>1352139241.7129109</v>
      </c>
      <c r="AG113" s="307">
        <f t="shared" si="117"/>
        <v>1363261341.1963582</v>
      </c>
      <c r="AH113" s="307">
        <f t="shared" si="117"/>
        <v>1374559394.0523348</v>
      </c>
      <c r="AI113" s="307">
        <f t="shared" si="117"/>
        <v>1385904974.1421993</v>
      </c>
      <c r="AJ113" s="307">
        <f t="shared" ref="AJ113:AQ123" si="118">(SUM(AE113:AI113)/SUM(AE$125:AI$125))*AJ$125</f>
        <v>1397338149.1859744</v>
      </c>
      <c r="AK113" s="307">
        <f t="shared" si="118"/>
        <v>1408859797.2359655</v>
      </c>
      <c r="AL113" s="307">
        <f t="shared" si="118"/>
        <v>1420477661.0770473</v>
      </c>
      <c r="AM113" s="307">
        <f t="shared" si="118"/>
        <v>1432196915.225723</v>
      </c>
      <c r="AN113" s="307">
        <f t="shared" si="118"/>
        <v>1444002565.0902469</v>
      </c>
      <c r="AO113" s="307">
        <f t="shared" si="118"/>
        <v>1455902444.485815</v>
      </c>
      <c r="AP113" s="307">
        <f t="shared" si="118"/>
        <v>1467897920.7665823</v>
      </c>
      <c r="AQ113" s="307">
        <f t="shared" si="118"/>
        <v>1479990430.2996166</v>
      </c>
      <c r="AR113" s="307"/>
      <c r="AS113" s="307"/>
      <c r="AT113" s="307"/>
      <c r="AU113" s="307"/>
      <c r="AV113" s="307"/>
      <c r="AW113" s="307"/>
      <c r="AX113" s="307"/>
      <c r="AY113" s="307"/>
      <c r="AZ113" s="307"/>
      <c r="BA113" s="307"/>
      <c r="BB113" s="307"/>
      <c r="BC113" s="330">
        <f>O113/N124-1</f>
        <v>6.7115266214183844E-3</v>
      </c>
      <c r="BD113" s="330">
        <f t="shared" ref="BD113:BD122" si="119">O113/N113-1</f>
        <v>-4.2975954262637339E-3</v>
      </c>
      <c r="BE113" s="308">
        <v>1306171212.4912474</v>
      </c>
      <c r="BF113" s="308">
        <f>L113-BE113</f>
        <v>-67867416.491247416</v>
      </c>
      <c r="BG113" s="308">
        <v>1152037308.3427782</v>
      </c>
      <c r="BH113" s="308">
        <f>M113-BG113</f>
        <v>-79455422.342778206</v>
      </c>
      <c r="BI113" s="308">
        <v>1211877134.8567722</v>
      </c>
      <c r="BJ113" s="308">
        <f>N113-BI113</f>
        <v>-5723812.8567721844</v>
      </c>
      <c r="BK113" s="308">
        <v>1178326152.0896657</v>
      </c>
      <c r="BL113" s="308">
        <f t="shared" ref="BL113:BL125" si="120">O113-BK113</f>
        <v>22643610.910334349</v>
      </c>
      <c r="BM113" s="308">
        <v>1203497939</v>
      </c>
      <c r="BN113" s="308">
        <f t="shared" ref="BN113:BN125" si="121">P113-BM113</f>
        <v>0</v>
      </c>
      <c r="BO113" s="308">
        <v>1243974760</v>
      </c>
      <c r="BP113" s="308">
        <f t="shared" ref="BP113:BP125" si="122">BO113-Q113</f>
        <v>0</v>
      </c>
      <c r="BQ113" s="308"/>
      <c r="BR113" s="308"/>
      <c r="BS113" s="330"/>
      <c r="BT113" s="330"/>
    </row>
    <row r="114" spans="1:74">
      <c r="A114" s="301" t="s">
        <v>44</v>
      </c>
      <c r="B114" s="308">
        <f>'Monthly D6 Gallon Data'!$E5</f>
        <v>1813991</v>
      </c>
      <c r="C114" s="308">
        <f>'Monthly D6 Gallon Data'!$E17</f>
        <v>1054084139</v>
      </c>
      <c r="D114" s="308">
        <f>'Monthly D6 Gallon Data'!$E29</f>
        <v>1079500947</v>
      </c>
      <c r="E114" s="308">
        <f>'Monthly D6 Gallon Data'!$E41</f>
        <v>939513797</v>
      </c>
      <c r="F114" s="308">
        <f>'Monthly D6 Gallon Data'!$E53</f>
        <v>1020555812</v>
      </c>
      <c r="G114" s="308">
        <f>'Monthly D6 Gallon Data'!$E65</f>
        <v>1077497118</v>
      </c>
      <c r="H114" s="308">
        <f>'Monthly D6 Gallon Data'!$E77</f>
        <v>1162516905</v>
      </c>
      <c r="I114" s="308">
        <f>'Monthly D6 Gallon Data'!$E89</f>
        <v>1130343456</v>
      </c>
      <c r="J114" s="308">
        <f>'Monthly D6 Gallon Data'!$E101</f>
        <v>1098731054</v>
      </c>
      <c r="K114" s="308">
        <f>'Monthly D6 Gallon Data'!$E113</f>
        <v>1132553957</v>
      </c>
      <c r="L114" s="308">
        <f>'Monthly D6 Gallon Data'!$E125</f>
        <v>1141726932</v>
      </c>
      <c r="M114" s="308">
        <f>'Monthly D6 Gallon Data'!$E137</f>
        <v>889096390</v>
      </c>
      <c r="N114" s="308">
        <f>'Monthly D6 Gallon Data'!$E149</f>
        <v>1065448384</v>
      </c>
      <c r="O114" s="308">
        <f>'Monthly D6 Gallon Data'!$E161</f>
        <v>1118067955</v>
      </c>
      <c r="P114" s="308">
        <f>'Monthly D6 Gallon Data'!$E173</f>
        <v>1206352583</v>
      </c>
      <c r="Q114" s="332">
        <f>'Monthly D6 Gallon Data'!$E185</f>
        <v>1119162157</v>
      </c>
      <c r="R114" s="307">
        <f t="shared" si="115"/>
        <v>1089379233.3984504</v>
      </c>
      <c r="S114" s="307">
        <f t="shared" si="116"/>
        <v>1123807353.3195639</v>
      </c>
      <c r="T114" s="307">
        <f t="shared" si="117"/>
        <v>1142520469.0937212</v>
      </c>
      <c r="U114" s="307">
        <f t="shared" si="117"/>
        <v>1153463921.8251555</v>
      </c>
      <c r="V114" s="307">
        <f t="shared" si="117"/>
        <v>1148808411.7354293</v>
      </c>
      <c r="W114" s="307">
        <f t="shared" ref="W114:W123" si="123">(SUM(R114:V114)/SUM(R$125:V$125))*W$125</f>
        <v>1159893567.2468188</v>
      </c>
      <c r="X114" s="307">
        <f t="shared" ref="X114:X123" si="124">(SUM(S114:W114)/SUM(S$125:W$125))*X$125</f>
        <v>1174316608.5581653</v>
      </c>
      <c r="Y114" s="307">
        <f t="shared" si="117"/>
        <v>1184666411.5629399</v>
      </c>
      <c r="Z114" s="307">
        <f t="shared" si="117"/>
        <v>1193293342.2317235</v>
      </c>
      <c r="AA114" s="307">
        <f t="shared" si="117"/>
        <v>1201448540.7449403</v>
      </c>
      <c r="AB114" s="307">
        <f t="shared" si="117"/>
        <v>1212238805.3268213</v>
      </c>
      <c r="AC114" s="307">
        <f t="shared" si="117"/>
        <v>1222956982.7725089</v>
      </c>
      <c r="AD114" s="307">
        <f t="shared" si="117"/>
        <v>1232919878.5131936</v>
      </c>
      <c r="AE114" s="307">
        <f t="shared" si="117"/>
        <v>1242802671.2564876</v>
      </c>
      <c r="AF114" s="307">
        <f t="shared" si="117"/>
        <v>1252943712.2242677</v>
      </c>
      <c r="AG114" s="307">
        <f t="shared" si="117"/>
        <v>1263492148.0484619</v>
      </c>
      <c r="AH114" s="307">
        <f t="shared" si="117"/>
        <v>1273989520.3320253</v>
      </c>
      <c r="AI114" s="307">
        <f t="shared" si="117"/>
        <v>1284442272.1018937</v>
      </c>
      <c r="AJ114" s="307">
        <f t="shared" si="118"/>
        <v>1294995332.6406364</v>
      </c>
      <c r="AK114" s="307">
        <f t="shared" si="118"/>
        <v>1305685826.9732928</v>
      </c>
      <c r="AL114" s="307">
        <f t="shared" si="118"/>
        <v>1316488827.8320055</v>
      </c>
      <c r="AM114" s="307">
        <f t="shared" si="118"/>
        <v>1327343795.2634671</v>
      </c>
      <c r="AN114" s="307">
        <f t="shared" si="118"/>
        <v>1338272116.4297862</v>
      </c>
      <c r="AO114" s="307">
        <f t="shared" si="118"/>
        <v>1349297849.6165237</v>
      </c>
      <c r="AP114" s="307">
        <f t="shared" si="118"/>
        <v>1360420407.7926373</v>
      </c>
      <c r="AQ114" s="307">
        <f t="shared" si="118"/>
        <v>1371631445.0958097</v>
      </c>
      <c r="AR114" s="307"/>
      <c r="AS114" s="307"/>
      <c r="AT114" s="307"/>
      <c r="AU114" s="307"/>
      <c r="AV114" s="307"/>
      <c r="AW114" s="307"/>
      <c r="AX114" s="307"/>
      <c r="AY114" s="307"/>
      <c r="AZ114" s="307"/>
      <c r="BA114" s="307"/>
      <c r="BB114" s="307"/>
      <c r="BC114" s="330">
        <f t="shared" ref="BC114:BC122" si="125">O114/O113-1</f>
        <v>-6.9029055146994533E-2</v>
      </c>
      <c r="BD114" s="330">
        <f t="shared" si="119"/>
        <v>4.9387254971893668E-2</v>
      </c>
      <c r="BE114" s="308">
        <v>1201060502.7717502</v>
      </c>
      <c r="BF114" s="308">
        <f>L114-BE114</f>
        <v>-59333570.771750212</v>
      </c>
      <c r="BG114" s="308">
        <v>1059315316.869575</v>
      </c>
      <c r="BH114" s="308">
        <f>M114-BG114</f>
        <v>-170218926.86957502</v>
      </c>
      <c r="BI114" s="308">
        <v>1105368759.9529276</v>
      </c>
      <c r="BJ114" s="308">
        <f>N114-BI114</f>
        <v>-39920375.952927589</v>
      </c>
      <c r="BK114" s="308">
        <v>1052231789.4350215</v>
      </c>
      <c r="BL114" s="308">
        <f t="shared" si="120"/>
        <v>65836165.56497848</v>
      </c>
      <c r="BM114" s="308">
        <v>1206352583</v>
      </c>
      <c r="BN114" s="308">
        <f t="shared" si="121"/>
        <v>0</v>
      </c>
      <c r="BO114" s="308">
        <v>1119162157</v>
      </c>
      <c r="BP114" s="308">
        <f t="shared" si="122"/>
        <v>0</v>
      </c>
      <c r="BQ114" s="308"/>
      <c r="BR114" s="308"/>
      <c r="BS114" s="330"/>
      <c r="BT114" s="330"/>
    </row>
    <row r="115" spans="1:74">
      <c r="A115" s="301" t="s">
        <v>45</v>
      </c>
      <c r="B115" s="308">
        <f>'Monthly D6 Gallon Data'!$E6</f>
        <v>726074</v>
      </c>
      <c r="C115" s="308">
        <f>'Monthly D6 Gallon Data'!$E18</f>
        <v>1225662401</v>
      </c>
      <c r="D115" s="308">
        <f>'Monthly D6 Gallon Data'!$E30</f>
        <v>1136870708</v>
      </c>
      <c r="E115" s="308">
        <f>'Monthly D6 Gallon Data'!$E42</f>
        <v>1034306785</v>
      </c>
      <c r="F115" s="308">
        <f>'Monthly D6 Gallon Data'!$E54</f>
        <v>1147001684</v>
      </c>
      <c r="G115" s="308">
        <f>'Monthly D6 Gallon Data'!$E66</f>
        <v>1200977243</v>
      </c>
      <c r="H115" s="308">
        <f>'Monthly D6 Gallon Data'!$E78</f>
        <v>1221790061</v>
      </c>
      <c r="I115" s="308">
        <f>'Monthly D6 Gallon Data'!$E90</f>
        <v>1262859797</v>
      </c>
      <c r="J115" s="308">
        <f>'Monthly D6 Gallon Data'!$E102</f>
        <v>1221028438</v>
      </c>
      <c r="K115" s="308">
        <f>'Monthly D6 Gallon Data'!$E114</f>
        <v>1184062717</v>
      </c>
      <c r="L115" s="308">
        <f>'Monthly D6 Gallon Data'!$E126</f>
        <v>1112164188</v>
      </c>
      <c r="M115" s="308">
        <f>'Monthly D6 Gallon Data'!$E138</f>
        <v>1175862799</v>
      </c>
      <c r="N115" s="308">
        <f>'Monthly D6 Gallon Data'!$E150</f>
        <v>1259985238</v>
      </c>
      <c r="O115" s="308">
        <f>'Monthly D6 Gallon Data'!$E162</f>
        <v>1206945599</v>
      </c>
      <c r="P115" s="308">
        <f>'Monthly D6 Gallon Data'!$E174</f>
        <v>1185423732</v>
      </c>
      <c r="Q115" s="332">
        <f>'Monthly D6 Gallon Data'!$E186</f>
        <v>1213323826</v>
      </c>
      <c r="R115" s="307">
        <f t="shared" si="115"/>
        <v>1219224546.3377512</v>
      </c>
      <c r="S115" s="307">
        <f t="shared" si="116"/>
        <v>1221464360.0821724</v>
      </c>
      <c r="T115" s="307">
        <f t="shared" si="117"/>
        <v>1221212131.4094555</v>
      </c>
      <c r="U115" s="307">
        <f t="shared" si="117"/>
        <v>1230499309.7264981</v>
      </c>
      <c r="V115" s="307">
        <f t="shared" si="117"/>
        <v>1246249488.5299411</v>
      </c>
      <c r="W115" s="307">
        <f t="shared" si="123"/>
        <v>1258431670.8241973</v>
      </c>
      <c r="X115" s="307">
        <f t="shared" si="124"/>
        <v>1266434142.13569</v>
      </c>
      <c r="Y115" s="307">
        <f t="shared" si="117"/>
        <v>1275648040.7507567</v>
      </c>
      <c r="Z115" s="307">
        <f t="shared" si="117"/>
        <v>1286793351.5841703</v>
      </c>
      <c r="AA115" s="307">
        <f t="shared" si="117"/>
        <v>1298322908.6268451</v>
      </c>
      <c r="AB115" s="307">
        <f t="shared" si="117"/>
        <v>1308996963.4291108</v>
      </c>
      <c r="AC115" s="307">
        <f t="shared" si="117"/>
        <v>1319349312.1295795</v>
      </c>
      <c r="AD115" s="307">
        <f t="shared" si="117"/>
        <v>1330187875.0017424</v>
      </c>
      <c r="AE115" s="307">
        <f t="shared" si="117"/>
        <v>1341358615.7613771</v>
      </c>
      <c r="AF115" s="307">
        <f t="shared" si="117"/>
        <v>1352535442.6534686</v>
      </c>
      <c r="AG115" s="307">
        <f t="shared" si="117"/>
        <v>1363640318.2269723</v>
      </c>
      <c r="AH115" s="307">
        <f t="shared" si="117"/>
        <v>1374831896.8047135</v>
      </c>
      <c r="AI115" s="307">
        <f t="shared" si="117"/>
        <v>1386196194.5615838</v>
      </c>
      <c r="AJ115" s="307">
        <f t="shared" si="118"/>
        <v>1397668146.420464</v>
      </c>
      <c r="AK115" s="307">
        <f t="shared" si="118"/>
        <v>1409201885.7491837</v>
      </c>
      <c r="AL115" s="307">
        <f t="shared" si="118"/>
        <v>1420808655.6858542</v>
      </c>
      <c r="AM115" s="307">
        <f t="shared" si="118"/>
        <v>1432518072.5501463</v>
      </c>
      <c r="AN115" s="307">
        <f t="shared" si="118"/>
        <v>1444333693.4533072</v>
      </c>
      <c r="AO115" s="307">
        <f t="shared" si="118"/>
        <v>1456241750.9554038</v>
      </c>
      <c r="AP115" s="307">
        <f t="shared" si="118"/>
        <v>1468239133.3706708</v>
      </c>
      <c r="AQ115" s="307">
        <f t="shared" si="118"/>
        <v>1480331461.3662219</v>
      </c>
      <c r="AR115" s="307"/>
      <c r="AS115" s="307"/>
      <c r="AT115" s="307"/>
      <c r="AU115" s="307"/>
      <c r="AV115" s="307"/>
      <c r="AW115" s="307"/>
      <c r="AX115" s="307"/>
      <c r="AY115" s="307"/>
      <c r="AZ115" s="307"/>
      <c r="BA115" s="307"/>
      <c r="BB115" s="307"/>
      <c r="BC115" s="330">
        <f t="shared" si="125"/>
        <v>7.9492166466751168E-2</v>
      </c>
      <c r="BD115" s="330">
        <f t="shared" si="119"/>
        <v>-4.2095444772187074E-2</v>
      </c>
      <c r="BE115" s="308">
        <v>1305924314.8330853</v>
      </c>
      <c r="BF115" s="308">
        <f>L115-BE115</f>
        <v>-193760126.8330853</v>
      </c>
      <c r="BG115" s="308">
        <v>1122871975.2792366</v>
      </c>
      <c r="BH115" s="308">
        <f>M115-BG115</f>
        <v>52990823.720763445</v>
      </c>
      <c r="BI115" s="308">
        <v>1199105507.5595407</v>
      </c>
      <c r="BJ115" s="308">
        <f>N115-BI115</f>
        <v>60879730.440459251</v>
      </c>
      <c r="BK115" s="308">
        <v>1197486966.9614573</v>
      </c>
      <c r="BL115" s="308">
        <f t="shared" si="120"/>
        <v>9458632.0385427475</v>
      </c>
      <c r="BM115" s="308">
        <v>1185423732</v>
      </c>
      <c r="BN115" s="308">
        <f t="shared" si="121"/>
        <v>0</v>
      </c>
      <c r="BO115" s="308">
        <v>1221984255.6003273</v>
      </c>
      <c r="BP115" s="308">
        <f t="shared" si="122"/>
        <v>8660429.6003272533</v>
      </c>
      <c r="BQ115" s="308"/>
      <c r="BR115" s="308"/>
      <c r="BS115" s="330"/>
      <c r="BT115" s="330"/>
    </row>
    <row r="116" spans="1:74">
      <c r="A116" s="301" t="s">
        <v>46</v>
      </c>
      <c r="B116" s="308">
        <f>'Monthly D6 Gallon Data'!$E7</f>
        <v>0</v>
      </c>
      <c r="C116" s="308">
        <f>'Monthly D6 Gallon Data'!$E19</f>
        <v>1069645214</v>
      </c>
      <c r="D116" s="308">
        <f>'Monthly D6 Gallon Data'!$E31</f>
        <v>1096194768</v>
      </c>
      <c r="E116" s="308">
        <f>'Monthly D6 Gallon Data'!$E43</f>
        <v>1085559590</v>
      </c>
      <c r="F116" s="308">
        <f>'Monthly D6 Gallon Data'!$E55</f>
        <v>1175647065</v>
      </c>
      <c r="G116" s="308">
        <f>'Monthly D6 Gallon Data'!$E67</f>
        <v>1155991715</v>
      </c>
      <c r="H116" s="308">
        <f>'Monthly D6 Gallon Data'!$E79</f>
        <v>1155665531</v>
      </c>
      <c r="I116" s="308">
        <f>'Monthly D6 Gallon Data'!$E91</f>
        <v>1161625887</v>
      </c>
      <c r="J116" s="308">
        <f>'Monthly D6 Gallon Data'!$E103</f>
        <v>1221248344</v>
      </c>
      <c r="K116" s="308">
        <f>'Monthly D6 Gallon Data'!$E115</f>
        <v>1237246735</v>
      </c>
      <c r="L116" s="308">
        <f>'Monthly D6 Gallon Data'!$E127</f>
        <v>628050492</v>
      </c>
      <c r="M116" s="308">
        <f>'Monthly D6 Gallon Data'!$E139</f>
        <v>1121341351</v>
      </c>
      <c r="N116" s="308">
        <f>'Monthly D6 Gallon Data'!$E151</f>
        <v>1126654731</v>
      </c>
      <c r="O116" s="308">
        <f>'Monthly D6 Gallon Data'!$E163</f>
        <v>1138611575</v>
      </c>
      <c r="P116" s="308">
        <f>'Monthly D6 Gallon Data'!$E175</f>
        <v>1184892171</v>
      </c>
      <c r="Q116" s="307">
        <f t="shared" ref="Q116:Q123" si="126">(SUM(L116:P116)/SUM(L$125:P$125))*Q$125</f>
        <v>1069589312.9666238</v>
      </c>
      <c r="R116" s="307">
        <f t="shared" si="115"/>
        <v>1138410569.0740483</v>
      </c>
      <c r="S116" s="307">
        <f t="shared" si="116"/>
        <v>1135800989.0869007</v>
      </c>
      <c r="T116" s="307">
        <f t="shared" si="117"/>
        <v>1144648333.2074459</v>
      </c>
      <c r="U116" s="307">
        <f t="shared" si="117"/>
        <v>1151863952.4813418</v>
      </c>
      <c r="V116" s="307">
        <f t="shared" si="117"/>
        <v>1151253673.9335489</v>
      </c>
      <c r="W116" s="307">
        <f t="shared" si="123"/>
        <v>1173013271.712188</v>
      </c>
      <c r="X116" s="307">
        <f t="shared" si="124"/>
        <v>1180074219.8487833</v>
      </c>
      <c r="Y116" s="307">
        <f t="shared" si="117"/>
        <v>1189145648.0695484</v>
      </c>
      <c r="Z116" s="307">
        <f t="shared" si="117"/>
        <v>1198254545.0870385</v>
      </c>
      <c r="AA116" s="307">
        <f t="shared" si="117"/>
        <v>1207754686.2569602</v>
      </c>
      <c r="AB116" s="307">
        <f t="shared" si="117"/>
        <v>1219336394.7546587</v>
      </c>
      <c r="AC116" s="307">
        <f t="shared" si="117"/>
        <v>1228820034.43013</v>
      </c>
      <c r="AD116" s="307">
        <f t="shared" si="117"/>
        <v>1238804506.8371892</v>
      </c>
      <c r="AE116" s="307">
        <f t="shared" si="117"/>
        <v>1248975345.0337322</v>
      </c>
      <c r="AF116" s="307">
        <f t="shared" si="117"/>
        <v>1259364681.5076294</v>
      </c>
      <c r="AG116" s="307">
        <f t="shared" si="117"/>
        <v>1269936617.2345469</v>
      </c>
      <c r="AH116" s="307">
        <f t="shared" si="117"/>
        <v>1280300067.1513689</v>
      </c>
      <c r="AI116" s="307">
        <f t="shared" si="117"/>
        <v>1290844507.5847168</v>
      </c>
      <c r="AJ116" s="307">
        <f t="shared" si="118"/>
        <v>1301503627.3346436</v>
      </c>
      <c r="AK116" s="307">
        <f t="shared" si="118"/>
        <v>1312262877.1511052</v>
      </c>
      <c r="AL116" s="307">
        <f t="shared" si="118"/>
        <v>1323097831.0677321</v>
      </c>
      <c r="AM116" s="307">
        <f t="shared" si="118"/>
        <v>1333986483.4542818</v>
      </c>
      <c r="AN116" s="307">
        <f t="shared" si="118"/>
        <v>1344982845.399188</v>
      </c>
      <c r="AO116" s="307">
        <f t="shared" si="118"/>
        <v>1356071771.6753063</v>
      </c>
      <c r="AP116" s="307">
        <f t="shared" si="118"/>
        <v>1367248736.1723037</v>
      </c>
      <c r="AQ116" s="307">
        <f t="shared" si="118"/>
        <v>1378511238.237654</v>
      </c>
      <c r="AR116" s="307"/>
      <c r="AS116" s="307"/>
      <c r="AT116" s="307"/>
      <c r="AU116" s="307"/>
      <c r="AV116" s="307"/>
      <c r="AW116" s="307"/>
      <c r="AX116" s="307"/>
      <c r="AY116" s="307"/>
      <c r="AZ116" s="307"/>
      <c r="BA116" s="307"/>
      <c r="BB116" s="307"/>
      <c r="BC116" s="330">
        <f t="shared" si="125"/>
        <v>-5.6617319004781397E-2</v>
      </c>
      <c r="BD116" s="330">
        <f t="shared" si="119"/>
        <v>1.0612695860591881E-2</v>
      </c>
      <c r="BE116" s="330">
        <f>Q116/Q115-1</f>
        <v>-0.11846343898745482</v>
      </c>
      <c r="BF116" s="330">
        <f>Q116/P116-1</f>
        <v>-9.7310844695737475E-2</v>
      </c>
      <c r="BG116" s="330">
        <f>S116/S115-1</f>
        <v>-7.0131699126701363E-2</v>
      </c>
      <c r="BH116" s="330">
        <f>S116/R116-1</f>
        <v>-2.2923012646220986E-3</v>
      </c>
      <c r="BI116" s="330">
        <f>U116/U115-1</f>
        <v>-6.3905242874646162E-2</v>
      </c>
      <c r="BJ116" s="330">
        <f>U116/T116-1</f>
        <v>6.3037869925315348E-3</v>
      </c>
      <c r="BK116" s="308">
        <v>1068243380.4728845</v>
      </c>
      <c r="BL116" s="308">
        <f t="shared" si="120"/>
        <v>70368194.527115464</v>
      </c>
      <c r="BM116" s="308">
        <v>1184892171</v>
      </c>
      <c r="BN116" s="308">
        <f t="shared" si="121"/>
        <v>0</v>
      </c>
      <c r="BO116" s="308">
        <v>1069589312.9666238</v>
      </c>
      <c r="BP116" s="308">
        <f t="shared" si="122"/>
        <v>0</v>
      </c>
      <c r="BQ116" s="308"/>
      <c r="BR116" s="308"/>
      <c r="BS116" s="330"/>
      <c r="BT116" s="330"/>
    </row>
    <row r="117" spans="1:74">
      <c r="A117" s="301" t="s">
        <v>47</v>
      </c>
      <c r="B117" s="308">
        <f>'Monthly D6 Gallon Data'!$E8</f>
        <v>0</v>
      </c>
      <c r="C117" s="308">
        <f>'Monthly D6 Gallon Data'!$E20</f>
        <v>1139975440</v>
      </c>
      <c r="D117" s="308">
        <f>'Monthly D6 Gallon Data'!$E32</f>
        <v>1131920310</v>
      </c>
      <c r="E117" s="308">
        <f>'Monthly D6 Gallon Data'!$E44</f>
        <v>1140894814</v>
      </c>
      <c r="F117" s="308">
        <f>'Monthly D6 Gallon Data'!$E56</f>
        <v>1199854519</v>
      </c>
      <c r="G117" s="308">
        <f>'Monthly D6 Gallon Data'!$E68</f>
        <v>1199765889</v>
      </c>
      <c r="H117" s="308">
        <f>'Monthly D6 Gallon Data'!$E80</f>
        <v>1234936140</v>
      </c>
      <c r="I117" s="308">
        <f>'Monthly D6 Gallon Data'!$E92</f>
        <v>1254112020</v>
      </c>
      <c r="J117" s="308">
        <f>'Monthly D6 Gallon Data'!$E104</f>
        <v>1284250164</v>
      </c>
      <c r="K117" s="308">
        <f>'Monthly D6 Gallon Data'!$E116</f>
        <v>1276709047</v>
      </c>
      <c r="L117" s="308">
        <f>'Monthly D6 Gallon Data'!$E128</f>
        <v>835521630</v>
      </c>
      <c r="M117" s="308">
        <f>'Monthly D6 Gallon Data'!$E140</f>
        <v>1249146048</v>
      </c>
      <c r="N117" s="308">
        <f>'Monthly D6 Gallon Data'!$E152</f>
        <v>1221667543</v>
      </c>
      <c r="O117" s="308">
        <f>'Monthly D6 Gallon Data'!$E164</f>
        <v>1254320370</v>
      </c>
      <c r="P117" s="308">
        <f>'Monthly D6 Gallon Data'!$E176</f>
        <v>1262729662</v>
      </c>
      <c r="Q117" s="307">
        <f t="shared" si="126"/>
        <v>1197917175.2483857</v>
      </c>
      <c r="R117" s="307">
        <f t="shared" si="115"/>
        <v>1248333090.0696595</v>
      </c>
      <c r="S117" s="307">
        <f t="shared" si="116"/>
        <v>1241551074.5257688</v>
      </c>
      <c r="T117" s="307">
        <f t="shared" si="117"/>
        <v>1253218815.7164443</v>
      </c>
      <c r="U117" s="307">
        <f t="shared" si="117"/>
        <v>1259553288.3191586</v>
      </c>
      <c r="V117" s="307">
        <f t="shared" si="117"/>
        <v>1265609330.4206216</v>
      </c>
      <c r="W117" s="307">
        <f t="shared" si="123"/>
        <v>1285003080.7448928</v>
      </c>
      <c r="X117" s="307">
        <f t="shared" si="124"/>
        <v>1292484715.291451</v>
      </c>
      <c r="Y117" s="307">
        <f t="shared" si="117"/>
        <v>1302921078.5522656</v>
      </c>
      <c r="Z117" s="307">
        <f t="shared" si="117"/>
        <v>1313095734.1938035</v>
      </c>
      <c r="AA117" s="307">
        <f t="shared" si="117"/>
        <v>1324061029.5435874</v>
      </c>
      <c r="AB117" s="307">
        <f t="shared" si="117"/>
        <v>1336042563.8996403</v>
      </c>
      <c r="AC117" s="307">
        <f t="shared" si="117"/>
        <v>1346491848.2568879</v>
      </c>
      <c r="AD117" s="307">
        <f t="shared" si="117"/>
        <v>1357554077.3764915</v>
      </c>
      <c r="AE117" s="307">
        <f t="shared" si="117"/>
        <v>1368743726.7863016</v>
      </c>
      <c r="AF117" s="307">
        <f t="shared" si="117"/>
        <v>1380142328.6610892</v>
      </c>
      <c r="AG117" s="307">
        <f t="shared" si="117"/>
        <v>1391630111.3120821</v>
      </c>
      <c r="AH117" s="307">
        <f t="shared" si="117"/>
        <v>1403015040.8874321</v>
      </c>
      <c r="AI117" s="307">
        <f t="shared" si="117"/>
        <v>1414592467.6461828</v>
      </c>
      <c r="AJ117" s="307">
        <f t="shared" si="118"/>
        <v>1426275386.5555201</v>
      </c>
      <c r="AK117" s="307">
        <f t="shared" si="118"/>
        <v>1438059462.0311139</v>
      </c>
      <c r="AL117" s="307">
        <f t="shared" si="118"/>
        <v>1449922419.706543</v>
      </c>
      <c r="AM117" s="307">
        <f t="shared" si="118"/>
        <v>1461862044.9441459</v>
      </c>
      <c r="AN117" s="307">
        <f t="shared" si="118"/>
        <v>1473915430.4076107</v>
      </c>
      <c r="AO117" s="307">
        <f t="shared" si="118"/>
        <v>1486066300.6713338</v>
      </c>
      <c r="AP117" s="307">
        <f t="shared" si="118"/>
        <v>1498313022.0291374</v>
      </c>
      <c r="AQ117" s="307">
        <f t="shared" si="118"/>
        <v>1510654482.7255731</v>
      </c>
      <c r="AR117" s="307"/>
      <c r="AS117" s="307"/>
      <c r="AT117" s="307"/>
      <c r="AU117" s="307"/>
      <c r="AV117" s="307"/>
      <c r="AW117" s="307"/>
      <c r="AX117" s="307"/>
      <c r="AY117" s="307"/>
      <c r="AZ117" s="307"/>
      <c r="BA117" s="307"/>
      <c r="BB117" s="307"/>
      <c r="BC117" s="330">
        <f t="shared" si="125"/>
        <v>0.10162271097586539</v>
      </c>
      <c r="BD117" s="330">
        <f t="shared" si="119"/>
        <v>2.6728079326570064E-2</v>
      </c>
      <c r="BE117" s="308">
        <v>632408636.69214833</v>
      </c>
      <c r="BF117" s="308">
        <f t="shared" ref="BF117:BF125" si="127">L117-BE117</f>
        <v>203112993.30785167</v>
      </c>
      <c r="BG117" s="308">
        <v>1150307556.4812989</v>
      </c>
      <c r="BH117" s="308">
        <f t="shared" ref="BH117:BH125" si="128">M117-BG117</f>
        <v>98838491.518701077</v>
      </c>
      <c r="BI117" s="308">
        <v>1217925056.3394632</v>
      </c>
      <c r="BJ117" s="308">
        <f t="shared" ref="BJ117:BJ125" si="129">N117-BI117</f>
        <v>3742486.6605367661</v>
      </c>
      <c r="BK117" s="308">
        <v>1187905201.4389765</v>
      </c>
      <c r="BL117" s="308">
        <f t="shared" si="120"/>
        <v>66415168.561023474</v>
      </c>
      <c r="BM117" s="308">
        <v>1262729662</v>
      </c>
      <c r="BN117" s="308">
        <f t="shared" si="121"/>
        <v>0</v>
      </c>
      <c r="BO117" s="308">
        <v>1197917175.2483857</v>
      </c>
      <c r="BP117" s="308">
        <f t="shared" si="122"/>
        <v>0</v>
      </c>
      <c r="BQ117" s="308"/>
      <c r="BR117" s="309"/>
      <c r="BS117" s="333"/>
      <c r="BT117" s="333"/>
      <c r="BU117" s="308"/>
      <c r="BV117" s="308"/>
    </row>
    <row r="118" spans="1:74">
      <c r="A118" s="301" t="s">
        <v>48</v>
      </c>
      <c r="B118" s="308">
        <f>'Monthly D6 Gallon Data'!$E9</f>
        <v>90996</v>
      </c>
      <c r="C118" s="308">
        <f>'Monthly D6 Gallon Data'!$E21</f>
        <v>1164385720</v>
      </c>
      <c r="D118" s="308">
        <f>'Monthly D6 Gallon Data'!$E33</f>
        <v>1085594445</v>
      </c>
      <c r="E118" s="308">
        <f>'Monthly D6 Gallon Data'!$E45</f>
        <v>1103586859</v>
      </c>
      <c r="F118" s="308">
        <f>'Monthly D6 Gallon Data'!$E57</f>
        <v>1190780942</v>
      </c>
      <c r="G118" s="308">
        <f>'Monthly D6 Gallon Data'!$E69</f>
        <v>1238305509</v>
      </c>
      <c r="H118" s="308">
        <f>'Monthly D6 Gallon Data'!$E81</f>
        <v>1269147590</v>
      </c>
      <c r="I118" s="308">
        <f>'Monthly D6 Gallon Data'!$E93</f>
        <v>1240909168</v>
      </c>
      <c r="J118" s="308">
        <f>'Monthly D6 Gallon Data'!$E105</f>
        <v>1247223444</v>
      </c>
      <c r="K118" s="308">
        <f>'Monthly D6 Gallon Data'!$E117</f>
        <v>1233405028</v>
      </c>
      <c r="L118" s="308">
        <f>'Monthly D6 Gallon Data'!$E129</f>
        <v>1065260312</v>
      </c>
      <c r="M118" s="308">
        <f>'Monthly D6 Gallon Data'!$E141</f>
        <v>1253638702</v>
      </c>
      <c r="N118" s="308">
        <f>'Monthly D6 Gallon Data'!$E153</f>
        <v>1285218955</v>
      </c>
      <c r="O118" s="308">
        <f>'Monthly D6 Gallon Data'!$E165</f>
        <v>1272915445</v>
      </c>
      <c r="P118" s="308">
        <f>'Monthly D6 Gallon Data'!$E177</f>
        <v>1205183155</v>
      </c>
      <c r="Q118" s="307">
        <f t="shared" si="126"/>
        <v>1251160858.3395586</v>
      </c>
      <c r="R118" s="307">
        <f t="shared" si="115"/>
        <v>1264949124.8907583</v>
      </c>
      <c r="S118" s="307">
        <f t="shared" si="116"/>
        <v>1260512618.4610288</v>
      </c>
      <c r="T118" s="307">
        <f t="shared" si="117"/>
        <v>1263291226.054121</v>
      </c>
      <c r="U118" s="307">
        <f t="shared" si="117"/>
        <v>1267948043.0083778</v>
      </c>
      <c r="V118" s="307">
        <f t="shared" si="117"/>
        <v>1287508149.1875315</v>
      </c>
      <c r="W118" s="307">
        <f t="shared" si="123"/>
        <v>1300571615.6605906</v>
      </c>
      <c r="X118" s="307">
        <f t="shared" si="124"/>
        <v>1307838086.4442976</v>
      </c>
      <c r="Y118" s="307">
        <f t="shared" si="117"/>
        <v>1317534735.7844758</v>
      </c>
      <c r="Z118" s="307">
        <f t="shared" si="117"/>
        <v>1328640157.6861911</v>
      </c>
      <c r="AA118" s="307">
        <f t="shared" si="117"/>
        <v>1341070948.2033741</v>
      </c>
      <c r="AB118" s="307">
        <f t="shared" si="117"/>
        <v>1352050294.8970082</v>
      </c>
      <c r="AC118" s="307">
        <f t="shared" si="117"/>
        <v>1362589450.8851061</v>
      </c>
      <c r="AD118" s="307">
        <f t="shared" si="117"/>
        <v>1373804135.8609905</v>
      </c>
      <c r="AE118" s="307">
        <f t="shared" si="117"/>
        <v>1385329112.9757893</v>
      </c>
      <c r="AF118" s="307">
        <f t="shared" si="117"/>
        <v>1396940994.7926795</v>
      </c>
      <c r="AG118" s="307">
        <f t="shared" si="117"/>
        <v>1408385376.9856632</v>
      </c>
      <c r="AH118" s="307">
        <f t="shared" si="117"/>
        <v>1419923423.1627042</v>
      </c>
      <c r="AI118" s="307">
        <f t="shared" si="117"/>
        <v>1431666938.8690705</v>
      </c>
      <c r="AJ118" s="307">
        <f t="shared" si="118"/>
        <v>1443518739.5430276</v>
      </c>
      <c r="AK118" s="307">
        <f t="shared" si="118"/>
        <v>1455437579.1475761</v>
      </c>
      <c r="AL118" s="307">
        <f t="shared" si="118"/>
        <v>1467419205.4933755</v>
      </c>
      <c r="AM118" s="307">
        <f t="shared" si="118"/>
        <v>1479510717.1753254</v>
      </c>
      <c r="AN118" s="307">
        <f t="shared" si="118"/>
        <v>1491715737.5806601</v>
      </c>
      <c r="AO118" s="307">
        <f t="shared" si="118"/>
        <v>1504015279.1267776</v>
      </c>
      <c r="AP118" s="307">
        <f t="shared" si="118"/>
        <v>1516406528.3540795</v>
      </c>
      <c r="AQ118" s="307">
        <f t="shared" si="118"/>
        <v>1528894517.1617496</v>
      </c>
      <c r="AR118" s="307"/>
      <c r="AS118" s="307"/>
      <c r="AT118" s="307"/>
      <c r="AU118" s="307"/>
      <c r="AV118" s="307"/>
      <c r="AW118" s="307"/>
      <c r="AX118" s="307"/>
      <c r="AY118" s="307"/>
      <c r="AZ118" s="307"/>
      <c r="BA118" s="307"/>
      <c r="BB118" s="307"/>
      <c r="BC118" s="330">
        <f t="shared" si="125"/>
        <v>1.4824821030372082E-2</v>
      </c>
      <c r="BD118" s="330">
        <f t="shared" si="119"/>
        <v>-9.5730847667120367E-3</v>
      </c>
      <c r="BE118" s="308">
        <v>949077264.67403126</v>
      </c>
      <c r="BF118" s="308">
        <f t="shared" si="127"/>
        <v>116183047.32596874</v>
      </c>
      <c r="BG118" s="308">
        <v>1217348703.5725174</v>
      </c>
      <c r="BH118" s="308">
        <f t="shared" si="128"/>
        <v>36289998.427482605</v>
      </c>
      <c r="BI118" s="308">
        <v>1175897271.1721137</v>
      </c>
      <c r="BJ118" s="308">
        <f t="shared" si="129"/>
        <v>109321683.82788634</v>
      </c>
      <c r="BK118" s="308">
        <v>1288356034.412812</v>
      </c>
      <c r="BL118" s="308">
        <f t="shared" si="120"/>
        <v>-15440589.412811995</v>
      </c>
      <c r="BM118" s="308">
        <v>1205183155</v>
      </c>
      <c r="BN118" s="308">
        <f t="shared" si="121"/>
        <v>0</v>
      </c>
      <c r="BO118" s="308">
        <v>1251160858.3395586</v>
      </c>
      <c r="BP118" s="308">
        <f t="shared" si="122"/>
        <v>0</v>
      </c>
      <c r="BQ118" s="308"/>
      <c r="BR118" s="309"/>
      <c r="BS118" s="333"/>
      <c r="BT118" s="333"/>
      <c r="BU118" s="308"/>
      <c r="BV118" s="308"/>
    </row>
    <row r="119" spans="1:74">
      <c r="A119" s="301" t="s">
        <v>49</v>
      </c>
      <c r="B119" s="308">
        <f>'Monthly D6 Gallon Data'!$E10</f>
        <v>1111810443</v>
      </c>
      <c r="C119" s="308">
        <f>'Monthly D6 Gallon Data'!$E22</f>
        <v>1126250203</v>
      </c>
      <c r="D119" s="308">
        <f>'Monthly D6 Gallon Data'!$E34</f>
        <v>1057188151</v>
      </c>
      <c r="E119" s="308">
        <f>'Monthly D6 Gallon Data'!$E46</f>
        <v>1119553179</v>
      </c>
      <c r="F119" s="308">
        <f>'Monthly D6 Gallon Data'!$E58</f>
        <v>1238378540</v>
      </c>
      <c r="G119" s="308">
        <f>'Monthly D6 Gallon Data'!$E70</f>
        <v>1226889119</v>
      </c>
      <c r="H119" s="308">
        <f>'Monthly D6 Gallon Data'!$E82</f>
        <v>1228942159</v>
      </c>
      <c r="I119" s="308">
        <f>'Monthly D6 Gallon Data'!$E94</f>
        <v>1251971461</v>
      </c>
      <c r="J119" s="308">
        <f>'Monthly D6 Gallon Data'!$E106</f>
        <v>1347918383</v>
      </c>
      <c r="K119" s="308">
        <f>'Monthly D6 Gallon Data'!$E118</f>
        <v>1312351700</v>
      </c>
      <c r="L119" s="308">
        <f>'Monthly D6 Gallon Data'!$E130</f>
        <v>1169002095</v>
      </c>
      <c r="M119" s="308">
        <f>'Monthly D6 Gallon Data'!$E142</f>
        <v>1272912460</v>
      </c>
      <c r="N119" s="308">
        <f>'Monthly D6 Gallon Data'!$E154</f>
        <v>1204369135</v>
      </c>
      <c r="O119" s="308">
        <f>'Monthly D6 Gallon Data'!$E166</f>
        <v>1269749643</v>
      </c>
      <c r="P119" s="308">
        <f>'Monthly D6 Gallon Data'!$E178</f>
        <v>1323973100</v>
      </c>
      <c r="Q119" s="307">
        <f t="shared" si="126"/>
        <v>1283619502.2302973</v>
      </c>
      <c r="R119" s="307">
        <f t="shared" si="115"/>
        <v>1282406776.6758394</v>
      </c>
      <c r="S119" s="307">
        <f t="shared" si="116"/>
        <v>1277513148.0246246</v>
      </c>
      <c r="T119" s="307">
        <f t="shared" si="117"/>
        <v>1300159760.4197965</v>
      </c>
      <c r="U119" s="307">
        <f t="shared" si="117"/>
        <v>1313137721.0351155</v>
      </c>
      <c r="V119" s="307">
        <f t="shared" si="117"/>
        <v>1317915691.2210374</v>
      </c>
      <c r="W119" s="307">
        <f t="shared" si="123"/>
        <v>1330691224.8446822</v>
      </c>
      <c r="X119" s="307">
        <f t="shared" si="124"/>
        <v>1340552509.1005888</v>
      </c>
      <c r="Y119" s="307">
        <f t="shared" si="117"/>
        <v>1353470306.2484343</v>
      </c>
      <c r="Z119" s="307">
        <f t="shared" si="117"/>
        <v>1364384092.6138294</v>
      </c>
      <c r="AA119" s="307">
        <f t="shared" si="117"/>
        <v>1374878305.6925101</v>
      </c>
      <c r="AB119" s="307">
        <f t="shared" si="117"/>
        <v>1386554570.2998781</v>
      </c>
      <c r="AC119" s="307">
        <f t="shared" si="117"/>
        <v>1397992192.510375</v>
      </c>
      <c r="AD119" s="307">
        <f t="shared" si="117"/>
        <v>1409757724.5158777</v>
      </c>
      <c r="AE119" s="307">
        <f t="shared" si="117"/>
        <v>1421286147.0551031</v>
      </c>
      <c r="AF119" s="307">
        <f t="shared" si="117"/>
        <v>1432941490.2448666</v>
      </c>
      <c r="AG119" s="307">
        <f t="shared" si="117"/>
        <v>1444835222.1960657</v>
      </c>
      <c r="AH119" s="307">
        <f t="shared" si="117"/>
        <v>1456771826.1061025</v>
      </c>
      <c r="AI119" s="307">
        <f t="shared" si="117"/>
        <v>1468811445.0017605</v>
      </c>
      <c r="AJ119" s="307">
        <f t="shared" si="118"/>
        <v>1480907128.6333356</v>
      </c>
      <c r="AK119" s="307">
        <f t="shared" si="118"/>
        <v>1493119137.7494514</v>
      </c>
      <c r="AL119" s="307">
        <f t="shared" si="118"/>
        <v>1505445114.8821044</v>
      </c>
      <c r="AM119" s="307">
        <f t="shared" si="118"/>
        <v>1517859448.5154109</v>
      </c>
      <c r="AN119" s="307">
        <f t="shared" si="118"/>
        <v>1530371768.4353869</v>
      </c>
      <c r="AO119" s="307">
        <f t="shared" si="118"/>
        <v>1542980902.6074147</v>
      </c>
      <c r="AP119" s="307">
        <f t="shared" si="118"/>
        <v>1555695211.5085859</v>
      </c>
      <c r="AQ119" s="307">
        <f t="shared" si="118"/>
        <v>1568512384.2378602</v>
      </c>
      <c r="AR119" s="307"/>
      <c r="AS119" s="307"/>
      <c r="AT119" s="307"/>
      <c r="AU119" s="307"/>
      <c r="AV119" s="307"/>
      <c r="AW119" s="307"/>
      <c r="AX119" s="307"/>
      <c r="AY119" s="307"/>
      <c r="AZ119" s="307"/>
      <c r="BA119" s="307"/>
      <c r="BB119" s="307"/>
      <c r="BC119" s="330">
        <f t="shared" si="125"/>
        <v>-2.4870481479624118E-3</v>
      </c>
      <c r="BD119" s="330">
        <f t="shared" si="119"/>
        <v>5.4286103902853711E-2</v>
      </c>
      <c r="BE119" s="308">
        <v>1113229905.0507901</v>
      </c>
      <c r="BF119" s="308">
        <f t="shared" si="127"/>
        <v>55772189.949209929</v>
      </c>
      <c r="BG119" s="308">
        <v>1243971695.583864</v>
      </c>
      <c r="BH119" s="308">
        <f t="shared" si="128"/>
        <v>28940764.416136026</v>
      </c>
      <c r="BI119" s="308">
        <v>1225567033.7863913</v>
      </c>
      <c r="BJ119" s="308">
        <f t="shared" si="129"/>
        <v>-21197898.786391258</v>
      </c>
      <c r="BK119" s="308">
        <v>1208370235.5335691</v>
      </c>
      <c r="BL119" s="308">
        <f t="shared" si="120"/>
        <v>61379407.466430902</v>
      </c>
      <c r="BM119" s="309">
        <v>1323973100</v>
      </c>
      <c r="BN119" s="308">
        <f t="shared" si="121"/>
        <v>0</v>
      </c>
      <c r="BO119" s="308">
        <v>1283619502.2302973</v>
      </c>
      <c r="BP119" s="308">
        <f t="shared" si="122"/>
        <v>0</v>
      </c>
      <c r="BQ119" s="308"/>
      <c r="BR119" s="309"/>
      <c r="BS119" s="333"/>
      <c r="BT119" s="333"/>
      <c r="BU119" s="308"/>
      <c r="BV119" s="308"/>
    </row>
    <row r="120" spans="1:74">
      <c r="A120" s="301" t="s">
        <v>50</v>
      </c>
      <c r="B120" s="308">
        <f>'Monthly D6 Gallon Data'!$E11</f>
        <v>1111134084</v>
      </c>
      <c r="C120" s="308">
        <f>'Monthly D6 Gallon Data'!$E23</f>
        <v>1165619176</v>
      </c>
      <c r="D120" s="308">
        <f>'Monthly D6 Gallon Data'!$E35</f>
        <v>1095988419</v>
      </c>
      <c r="E120" s="308">
        <f>'Monthly D6 Gallon Data'!$E47</f>
        <v>1102723346</v>
      </c>
      <c r="F120" s="308">
        <f>'Monthly D6 Gallon Data'!$E59</f>
        <v>1180098156</v>
      </c>
      <c r="G120" s="308">
        <f>'Monthly D6 Gallon Data'!$E71</f>
        <v>1207198849</v>
      </c>
      <c r="H120" s="308">
        <f>'Monthly D6 Gallon Data'!$E83</f>
        <v>1302210348</v>
      </c>
      <c r="I120" s="308">
        <f>'Monthly D6 Gallon Data'!$E95</f>
        <v>1296498464</v>
      </c>
      <c r="J120" s="308">
        <f>'Monthly D6 Gallon Data'!$E107</f>
        <v>1339874231</v>
      </c>
      <c r="K120" s="308">
        <f>'Monthly D6 Gallon Data'!$E119</f>
        <v>1243671089</v>
      </c>
      <c r="L120" s="308">
        <f>'Monthly D6 Gallon Data'!$E131</f>
        <v>1124709247</v>
      </c>
      <c r="M120" s="308">
        <f>'Monthly D6 Gallon Data'!$E143</f>
        <v>1211315327</v>
      </c>
      <c r="N120" s="308">
        <f>'Monthly D6 Gallon Data'!$E155</f>
        <v>1265634580</v>
      </c>
      <c r="O120" s="308">
        <f>'Monthly D6 Gallon Data'!$E167</f>
        <v>1259762648</v>
      </c>
      <c r="P120" s="308">
        <f>'Monthly D6 Gallon Data'!$E179</f>
        <v>1316218642</v>
      </c>
      <c r="Q120" s="307">
        <f t="shared" si="126"/>
        <v>1270790316.7773919</v>
      </c>
      <c r="R120" s="307">
        <f t="shared" si="115"/>
        <v>1276170474.7554383</v>
      </c>
      <c r="S120" s="307">
        <f t="shared" si="116"/>
        <v>1282422871.645597</v>
      </c>
      <c r="T120" s="307">
        <f t="shared" si="117"/>
        <v>1293717351.116585</v>
      </c>
      <c r="U120" s="307">
        <f t="shared" si="117"/>
        <v>1307381259.1002018</v>
      </c>
      <c r="V120" s="307">
        <f t="shared" si="117"/>
        <v>1312536402.95913</v>
      </c>
      <c r="W120" s="307">
        <f t="shared" si="123"/>
        <v>1326815727.5593314</v>
      </c>
      <c r="X120" s="307">
        <f t="shared" si="124"/>
        <v>1337161073.8604503</v>
      </c>
      <c r="Y120" s="307">
        <f t="shared" si="117"/>
        <v>1348377187.9156466</v>
      </c>
      <c r="Z120" s="307">
        <f t="shared" si="117"/>
        <v>1359567623.6743991</v>
      </c>
      <c r="AA120" s="307">
        <f t="shared" si="117"/>
        <v>1370254565.2348077</v>
      </c>
      <c r="AB120" s="307">
        <f t="shared" si="117"/>
        <v>1382085712.2596855</v>
      </c>
      <c r="AC120" s="307">
        <f t="shared" si="117"/>
        <v>1393401746.3523846</v>
      </c>
      <c r="AD120" s="307">
        <f t="shared" si="117"/>
        <v>1404921525.0768213</v>
      </c>
      <c r="AE120" s="307">
        <f t="shared" si="117"/>
        <v>1416502645.8335118</v>
      </c>
      <c r="AF120" s="307">
        <f t="shared" si="117"/>
        <v>1428164776.2809083</v>
      </c>
      <c r="AG120" s="307">
        <f t="shared" si="117"/>
        <v>1440027178.7456164</v>
      </c>
      <c r="AH120" s="307">
        <f t="shared" si="117"/>
        <v>1451894288.5683038</v>
      </c>
      <c r="AI120" s="307">
        <f t="shared" si="117"/>
        <v>1463875089.6036088</v>
      </c>
      <c r="AJ120" s="307">
        <f t="shared" si="118"/>
        <v>1475950273.9997373</v>
      </c>
      <c r="AK120" s="307">
        <f t="shared" si="118"/>
        <v>1488126779.5559583</v>
      </c>
      <c r="AL120" s="307">
        <f t="shared" si="118"/>
        <v>1500408584.8569176</v>
      </c>
      <c r="AM120" s="307">
        <f t="shared" si="118"/>
        <v>1512776115.1346309</v>
      </c>
      <c r="AN120" s="307">
        <f t="shared" si="118"/>
        <v>1525246282.5796995</v>
      </c>
      <c r="AO120" s="307">
        <f t="shared" si="118"/>
        <v>1537816680.5030897</v>
      </c>
      <c r="AP120" s="307">
        <f t="shared" si="118"/>
        <v>1550488515.2581475</v>
      </c>
      <c r="AQ120" s="307">
        <f t="shared" si="118"/>
        <v>1563261785.3823965</v>
      </c>
      <c r="AR120" s="307"/>
      <c r="AS120" s="307"/>
      <c r="AT120" s="307"/>
      <c r="AU120" s="307"/>
      <c r="AV120" s="307"/>
      <c r="AW120" s="307"/>
      <c r="AX120" s="307"/>
      <c r="AY120" s="307"/>
      <c r="AZ120" s="307"/>
      <c r="BA120" s="307"/>
      <c r="BB120" s="307"/>
      <c r="BC120" s="330">
        <f t="shared" si="125"/>
        <v>-7.8653260940511061E-3</v>
      </c>
      <c r="BD120" s="330">
        <f t="shared" si="119"/>
        <v>-4.6395160916036238E-3</v>
      </c>
      <c r="BE120" s="308">
        <v>1176285890.4384549</v>
      </c>
      <c r="BF120" s="308">
        <f t="shared" si="127"/>
        <v>-51576643.438454866</v>
      </c>
      <c r="BG120" s="308">
        <v>1273903732.2229774</v>
      </c>
      <c r="BH120" s="308">
        <f t="shared" si="128"/>
        <v>-62588405.2229774</v>
      </c>
      <c r="BI120" s="308">
        <v>1218946412.4529793</v>
      </c>
      <c r="BJ120" s="308">
        <f t="shared" si="129"/>
        <v>46688167.547020674</v>
      </c>
      <c r="BK120" s="308">
        <v>1272994927.9933782</v>
      </c>
      <c r="BL120" s="308">
        <f t="shared" si="120"/>
        <v>-13232279.993378162</v>
      </c>
      <c r="BM120" s="309">
        <v>1316218642</v>
      </c>
      <c r="BN120" s="308">
        <f t="shared" si="121"/>
        <v>0</v>
      </c>
      <c r="BO120" s="308">
        <v>1270790316.7773919</v>
      </c>
      <c r="BP120" s="308">
        <f t="shared" si="122"/>
        <v>0</v>
      </c>
      <c r="BQ120" s="308"/>
      <c r="BR120" s="309"/>
      <c r="BS120" s="333"/>
      <c r="BT120" s="333"/>
      <c r="BU120" s="308"/>
      <c r="BV120" s="308"/>
    </row>
    <row r="121" spans="1:74">
      <c r="A121" s="301" t="s">
        <v>51</v>
      </c>
      <c r="B121" s="308">
        <f>'Monthly D6 Gallon Data'!$E12</f>
        <v>1101994951</v>
      </c>
      <c r="C121" s="308">
        <f>'Monthly D6 Gallon Data'!$E24</f>
        <v>1077770849</v>
      </c>
      <c r="D121" s="308">
        <f>'Monthly D6 Gallon Data'!$E36</f>
        <v>985889758</v>
      </c>
      <c r="E121" s="308">
        <f>'Monthly D6 Gallon Data'!$E48</f>
        <v>1068584497</v>
      </c>
      <c r="F121" s="308">
        <f>'Monthly D6 Gallon Data'!$E60</f>
        <v>1158207576</v>
      </c>
      <c r="G121" s="308">
        <f>'Monthly D6 Gallon Data'!$E72</f>
        <v>1179680490</v>
      </c>
      <c r="H121" s="308">
        <f>'Monthly D6 Gallon Data'!$E84</f>
        <v>1210481326</v>
      </c>
      <c r="I121" s="308">
        <f>'Monthly D6 Gallon Data'!$E96</f>
        <v>1209078725</v>
      </c>
      <c r="J121" s="308">
        <f>'Monthly D6 Gallon Data'!$E108</f>
        <v>1205946718</v>
      </c>
      <c r="K121" s="308">
        <f>'Monthly D6 Gallon Data'!$E120</f>
        <v>1186086691</v>
      </c>
      <c r="L121" s="308">
        <f>'Monthly D6 Gallon Data'!$E132</f>
        <v>1116041079</v>
      </c>
      <c r="M121" s="308">
        <f>'Monthly D6 Gallon Data'!$E144</f>
        <v>1149352972</v>
      </c>
      <c r="N121" s="308">
        <f>'Monthly D6 Gallon Data'!$E156</f>
        <v>1116140898</v>
      </c>
      <c r="O121" s="308">
        <f>'Monthly D6 Gallon Data'!$E168</f>
        <v>1173157919</v>
      </c>
      <c r="P121" s="308">
        <f>'Monthly D6 Gallon Data'!$E180</f>
        <v>1212281209</v>
      </c>
      <c r="Q121" s="307">
        <f t="shared" si="126"/>
        <v>1186312942.7151613</v>
      </c>
      <c r="R121" s="307">
        <f t="shared" si="115"/>
        <v>1177996359.7696397</v>
      </c>
      <c r="S121" s="307">
        <f t="shared" si="116"/>
        <v>1177500253.332772</v>
      </c>
      <c r="T121" s="307">
        <f t="shared" si="117"/>
        <v>1197150283.0346429</v>
      </c>
      <c r="U121" s="307">
        <f t="shared" si="117"/>
        <v>1208286190.1014123</v>
      </c>
      <c r="V121" s="307">
        <f t="shared" si="117"/>
        <v>1213902251.5700533</v>
      </c>
      <c r="W121" s="307">
        <f t="shared" si="123"/>
        <v>1224849473.0646038</v>
      </c>
      <c r="X121" s="307">
        <f t="shared" si="124"/>
        <v>1234420268.4607348</v>
      </c>
      <c r="Y121" s="307">
        <f t="shared" si="117"/>
        <v>1246084022.7679493</v>
      </c>
      <c r="Z121" s="307">
        <f t="shared" si="117"/>
        <v>1256101745.1955736</v>
      </c>
      <c r="AA121" s="307">
        <f t="shared" si="117"/>
        <v>1265893531.5075929</v>
      </c>
      <c r="AB121" s="307">
        <f t="shared" si="117"/>
        <v>1276550761.5459652</v>
      </c>
      <c r="AC121" s="307">
        <f t="shared" si="117"/>
        <v>1287136298.6622467</v>
      </c>
      <c r="AD121" s="307">
        <f t="shared" si="117"/>
        <v>1297934245.3285139</v>
      </c>
      <c r="AE121" s="307">
        <f t="shared" si="117"/>
        <v>1308553875.0984704</v>
      </c>
      <c r="AF121" s="307">
        <f t="shared" si="117"/>
        <v>1319297742.5058067</v>
      </c>
      <c r="AG121" s="307">
        <f t="shared" si="117"/>
        <v>1330237117.0421755</v>
      </c>
      <c r="AH121" s="307">
        <f t="shared" si="117"/>
        <v>1341232756.59273</v>
      </c>
      <c r="AI121" s="307">
        <f t="shared" si="117"/>
        <v>1352313134.3322608</v>
      </c>
      <c r="AJ121" s="307">
        <f t="shared" si="118"/>
        <v>1363451296.5757802</v>
      </c>
      <c r="AK121" s="307">
        <f t="shared" si="118"/>
        <v>1374695792.0628381</v>
      </c>
      <c r="AL121" s="307">
        <f t="shared" si="118"/>
        <v>1386042779.8416286</v>
      </c>
      <c r="AM121" s="307">
        <f t="shared" si="118"/>
        <v>1397473094.4867191</v>
      </c>
      <c r="AN121" s="307">
        <f t="shared" si="118"/>
        <v>1408992565.2419298</v>
      </c>
      <c r="AO121" s="307">
        <f t="shared" si="118"/>
        <v>1420601967.605844</v>
      </c>
      <c r="AP121" s="307">
        <f t="shared" si="118"/>
        <v>1432307898.1534786</v>
      </c>
      <c r="AQ121" s="307">
        <f t="shared" si="118"/>
        <v>1444108323.8260696</v>
      </c>
      <c r="AR121" s="307"/>
      <c r="AS121" s="307"/>
      <c r="AT121" s="307"/>
      <c r="AU121" s="307"/>
      <c r="AV121" s="307"/>
      <c r="AW121" s="307"/>
      <c r="AX121" s="307"/>
      <c r="AY121" s="307"/>
      <c r="AZ121" s="307"/>
      <c r="BA121" s="307"/>
      <c r="BB121" s="307"/>
      <c r="BC121" s="330">
        <f t="shared" si="125"/>
        <v>-6.8746862067623371E-2</v>
      </c>
      <c r="BD121" s="330">
        <f t="shared" si="119"/>
        <v>5.1084071108018936E-2</v>
      </c>
      <c r="BE121" s="308">
        <v>1144883463.3792584</v>
      </c>
      <c r="BF121" s="308">
        <f t="shared" si="127"/>
        <v>-28842384.379258394</v>
      </c>
      <c r="BG121" s="308">
        <v>1196181002.1065195</v>
      </c>
      <c r="BH121" s="308">
        <f t="shared" si="128"/>
        <v>-46828030.106519461</v>
      </c>
      <c r="BI121" s="308">
        <v>1131913089.7816584</v>
      </c>
      <c r="BJ121" s="308">
        <f t="shared" si="129"/>
        <v>-15772191.781658411</v>
      </c>
      <c r="BK121" s="308">
        <v>1123681269.3799353</v>
      </c>
      <c r="BL121" s="308">
        <f t="shared" si="120"/>
        <v>49476649.620064735</v>
      </c>
      <c r="BM121" s="309">
        <v>1212281209</v>
      </c>
      <c r="BN121" s="308">
        <f t="shared" si="121"/>
        <v>0</v>
      </c>
      <c r="BO121" s="308">
        <v>1186312942.7151613</v>
      </c>
      <c r="BP121" s="308">
        <f t="shared" si="122"/>
        <v>0</v>
      </c>
      <c r="BQ121" s="308"/>
      <c r="BR121" s="309"/>
      <c r="BS121" s="333"/>
      <c r="BT121" s="333"/>
      <c r="BU121" s="308"/>
      <c r="BV121" s="308"/>
    </row>
    <row r="122" spans="1:74">
      <c r="A122" s="301" t="s">
        <v>52</v>
      </c>
      <c r="B122" s="308">
        <f>'Monthly D6 Gallon Data'!$E13</f>
        <v>1111232019</v>
      </c>
      <c r="C122" s="308">
        <f>'Monthly D6 Gallon Data'!$E25</f>
        <v>1101246796</v>
      </c>
      <c r="D122" s="308">
        <f>'Monthly D6 Gallon Data'!$E37</f>
        <v>1056945842</v>
      </c>
      <c r="E122" s="308">
        <f>'Monthly D6 Gallon Data'!$E49</f>
        <v>1151767493</v>
      </c>
      <c r="F122" s="308">
        <f>'Monthly D6 Gallon Data'!$E61</f>
        <v>1161214044</v>
      </c>
      <c r="G122" s="308">
        <f>'Monthly D6 Gallon Data'!$E73</f>
        <v>1218627935</v>
      </c>
      <c r="H122" s="308">
        <f>'Monthly D6 Gallon Data'!$E85</f>
        <v>1234413922</v>
      </c>
      <c r="I122" s="308">
        <f>'Monthly D6 Gallon Data'!$E97</f>
        <v>1274775786</v>
      </c>
      <c r="J122" s="308">
        <f>'Monthly D6 Gallon Data'!$E109</f>
        <v>1268756030</v>
      </c>
      <c r="K122" s="308">
        <f>'Monthly D6 Gallon Data'!$E121</f>
        <v>1237882981</v>
      </c>
      <c r="L122" s="308">
        <f>'Monthly D6 Gallon Data'!$E133</f>
        <v>1138032677</v>
      </c>
      <c r="M122" s="308">
        <f>'Monthly D6 Gallon Data'!$E145</f>
        <v>1183784629</v>
      </c>
      <c r="N122" s="308">
        <f>'Monthly D6 Gallon Data'!$E157</f>
        <v>1214405352</v>
      </c>
      <c r="O122" s="308">
        <f>'Monthly D6 Gallon Data'!$E169</f>
        <v>1290463919</v>
      </c>
      <c r="P122" s="308">
        <f>'Monthly D6 Gallon Data'!$E181</f>
        <v>1266660329</v>
      </c>
      <c r="Q122" s="307">
        <f t="shared" si="126"/>
        <v>1253450458.1649749</v>
      </c>
      <c r="R122" s="307">
        <f t="shared" si="115"/>
        <v>1252971396.8588669</v>
      </c>
      <c r="S122" s="307">
        <f t="shared" si="116"/>
        <v>1260216314.1408768</v>
      </c>
      <c r="T122" s="307">
        <f t="shared" si="117"/>
        <v>1277235758.3411937</v>
      </c>
      <c r="U122" s="307">
        <f t="shared" si="117"/>
        <v>1281233835.5963233</v>
      </c>
      <c r="V122" s="307">
        <f t="shared" si="117"/>
        <v>1291028236.8802426</v>
      </c>
      <c r="W122" s="307">
        <f t="shared" si="123"/>
        <v>1304359299.0513141</v>
      </c>
      <c r="X122" s="307">
        <f t="shared" si="124"/>
        <v>1314857506.6567433</v>
      </c>
      <c r="Y122" s="307">
        <f t="shared" si="117"/>
        <v>1326053816.6257823</v>
      </c>
      <c r="Z122" s="307">
        <f t="shared" si="117"/>
        <v>1336046969.1014721</v>
      </c>
      <c r="AA122" s="307">
        <f t="shared" si="117"/>
        <v>1347272561.8197908</v>
      </c>
      <c r="AB122" s="307">
        <f t="shared" si="117"/>
        <v>1358801594.7729666</v>
      </c>
      <c r="AC122" s="307">
        <f t="shared" si="117"/>
        <v>1369948192.6164136</v>
      </c>
      <c r="AD122" s="307">
        <f t="shared" si="117"/>
        <v>1381232387.500355</v>
      </c>
      <c r="AE122" s="307">
        <f t="shared" si="117"/>
        <v>1392533708.3344851</v>
      </c>
      <c r="AF122" s="307">
        <f t="shared" si="117"/>
        <v>1404104094.653182</v>
      </c>
      <c r="AG122" s="307">
        <f t="shared" si="117"/>
        <v>1415745524.5888703</v>
      </c>
      <c r="AH122" s="307">
        <f t="shared" si="117"/>
        <v>1427408323.3948705</v>
      </c>
      <c r="AI122" s="307">
        <f t="shared" si="117"/>
        <v>1439177652.4685085</v>
      </c>
      <c r="AJ122" s="307">
        <f t="shared" si="118"/>
        <v>1451046309.442487</v>
      </c>
      <c r="AK122" s="307">
        <f t="shared" si="118"/>
        <v>1463031306.0867937</v>
      </c>
      <c r="AL122" s="307">
        <f t="shared" si="118"/>
        <v>1475101155.0680606</v>
      </c>
      <c r="AM122" s="307">
        <f t="shared" si="118"/>
        <v>1487258581.2842758</v>
      </c>
      <c r="AN122" s="307">
        <f t="shared" si="118"/>
        <v>1499517456.1854374</v>
      </c>
      <c r="AO122" s="307">
        <f t="shared" si="118"/>
        <v>1511876599.6468115</v>
      </c>
      <c r="AP122" s="307">
        <f t="shared" si="118"/>
        <v>1524336212.1697466</v>
      </c>
      <c r="AQ122" s="307">
        <f t="shared" si="118"/>
        <v>1536893015.9752357</v>
      </c>
      <c r="AR122" s="307"/>
      <c r="AS122" s="307"/>
      <c r="AT122" s="307"/>
      <c r="AU122" s="307"/>
      <c r="AV122" s="307"/>
      <c r="AW122" s="307"/>
      <c r="AX122" s="307"/>
      <c r="AY122" s="307"/>
      <c r="AZ122" s="307"/>
      <c r="BA122" s="307"/>
      <c r="BB122" s="307"/>
      <c r="BC122" s="330">
        <f t="shared" si="125"/>
        <v>9.9991653382855539E-2</v>
      </c>
      <c r="BD122" s="330">
        <f t="shared" si="119"/>
        <v>6.2630296280183018E-2</v>
      </c>
      <c r="BE122" s="308">
        <v>1105437182.4745896</v>
      </c>
      <c r="BF122" s="308">
        <f t="shared" si="127"/>
        <v>32595494.525410414</v>
      </c>
      <c r="BG122" s="308">
        <v>1196298000.0324271</v>
      </c>
      <c r="BH122" s="308">
        <f t="shared" si="128"/>
        <v>-12513371.032427073</v>
      </c>
      <c r="BI122" s="308">
        <v>1119269955.5203032</v>
      </c>
      <c r="BJ122" s="308">
        <f t="shared" si="129"/>
        <v>95135396.479696751</v>
      </c>
      <c r="BK122" s="308">
        <v>1230309250.2138102</v>
      </c>
      <c r="BL122" s="308">
        <f t="shared" si="120"/>
        <v>60154668.786189795</v>
      </c>
      <c r="BM122" s="309">
        <v>1320207122.212827</v>
      </c>
      <c r="BN122" s="308">
        <f t="shared" si="121"/>
        <v>-53546793.212826967</v>
      </c>
      <c r="BO122" s="308">
        <v>1253450458.1649749</v>
      </c>
      <c r="BP122" s="308">
        <f t="shared" si="122"/>
        <v>0</v>
      </c>
      <c r="BQ122" s="308"/>
      <c r="BR122" s="309"/>
      <c r="BS122" s="333"/>
      <c r="BT122" s="333"/>
      <c r="BU122" s="308"/>
      <c r="BV122" s="308"/>
    </row>
    <row r="123" spans="1:74">
      <c r="A123" s="301" t="s">
        <v>53</v>
      </c>
      <c r="B123" s="308">
        <f>'Monthly D6 Gallon Data'!$E14</f>
        <v>1138095958</v>
      </c>
      <c r="C123" s="308">
        <f>'Monthly D6 Gallon Data'!$E26</f>
        <v>1139105723</v>
      </c>
      <c r="D123" s="308">
        <f>'Monthly D6 Gallon Data'!$E38</f>
        <v>1045333458</v>
      </c>
      <c r="E123" s="308">
        <f>'Monthly D6 Gallon Data'!$E50</f>
        <v>1124339471</v>
      </c>
      <c r="F123" s="308">
        <f>'Monthly D6 Gallon Data'!$E62</f>
        <v>1126806003</v>
      </c>
      <c r="G123" s="308">
        <f>'Monthly D6 Gallon Data'!$E74</f>
        <v>1197558646</v>
      </c>
      <c r="H123" s="308">
        <f>'Monthly D6 Gallon Data'!$E86</f>
        <v>1205738078</v>
      </c>
      <c r="I123" s="308">
        <f>'Monthly D6 Gallon Data'!$E98</f>
        <v>1272892414</v>
      </c>
      <c r="J123" s="308">
        <f>'Monthly D6 Gallon Data'!$E110</f>
        <v>1231729294</v>
      </c>
      <c r="K123" s="308">
        <f>'Monthly D6 Gallon Data'!$E122</f>
        <v>1194230202</v>
      </c>
      <c r="L123" s="308">
        <f>'Monthly D6 Gallon Data'!$E134</f>
        <v>1136429603</v>
      </c>
      <c r="M123" s="308">
        <f>'Monthly D6 Gallon Data'!$E146</f>
        <v>1240293203</v>
      </c>
      <c r="N123" s="308">
        <f>'Monthly D6 Gallon Data'!$E158</f>
        <v>1250759684</v>
      </c>
      <c r="O123" s="308">
        <f>'Monthly D6 Gallon Data'!$E170</f>
        <v>1228482316</v>
      </c>
      <c r="P123" s="308">
        <f>'Monthly D6 Gallon Data'!$E182</f>
        <v>1190465688</v>
      </c>
      <c r="Q123" s="307">
        <f t="shared" si="126"/>
        <v>1243799374.9386206</v>
      </c>
      <c r="R123" s="307">
        <f t="shared" si="115"/>
        <v>1241879198.7950728</v>
      </c>
      <c r="S123" s="307">
        <f t="shared" si="116"/>
        <v>1235612961.0826952</v>
      </c>
      <c r="T123" s="307">
        <f t="shared" si="117"/>
        <v>1240168903.6371102</v>
      </c>
      <c r="U123" s="307">
        <f t="shared" si="117"/>
        <v>1249031474.5023623</v>
      </c>
      <c r="V123" s="307">
        <f t="shared" si="117"/>
        <v>1267633805.5954182</v>
      </c>
      <c r="W123" s="307">
        <f t="shared" si="123"/>
        <v>1278045486.6372192</v>
      </c>
      <c r="X123" s="307">
        <f t="shared" si="124"/>
        <v>1285424056.7831194</v>
      </c>
      <c r="Y123" s="307">
        <f t="shared" si="117"/>
        <v>1295630330.0665627</v>
      </c>
      <c r="Z123" s="307">
        <f t="shared" si="117"/>
        <v>1306985650.5564327</v>
      </c>
      <c r="AA123" s="307">
        <f t="shared" si="117"/>
        <v>1318855359.9732668</v>
      </c>
      <c r="AB123" s="307">
        <f t="shared" si="117"/>
        <v>1329354781.5568266</v>
      </c>
      <c r="AC123" s="307">
        <f t="shared" si="117"/>
        <v>1339859440.6785159</v>
      </c>
      <c r="AD123" s="307">
        <f t="shared" si="117"/>
        <v>1351009498.1812627</v>
      </c>
      <c r="AE123" s="307">
        <f t="shared" si="117"/>
        <v>1362352147.2186439</v>
      </c>
      <c r="AF123" s="307">
        <f t="shared" si="117"/>
        <v>1373693085.8835247</v>
      </c>
      <c r="AG123" s="307">
        <f t="shared" si="117"/>
        <v>1384925993.3949015</v>
      </c>
      <c r="AH123" s="307">
        <f t="shared" si="117"/>
        <v>1396307620.4303424</v>
      </c>
      <c r="AI123" s="307">
        <f t="shared" si="117"/>
        <v>1407869712.8548615</v>
      </c>
      <c r="AJ123" s="307">
        <f t="shared" si="118"/>
        <v>1419516151.1902597</v>
      </c>
      <c r="AK123" s="307">
        <f t="shared" si="118"/>
        <v>1431224906.2440338</v>
      </c>
      <c r="AL123" s="307">
        <f t="shared" si="118"/>
        <v>1443008925.0269358</v>
      </c>
      <c r="AM123" s="307">
        <f t="shared" si="118"/>
        <v>1454905675.4941325</v>
      </c>
      <c r="AN123" s="307">
        <f t="shared" si="118"/>
        <v>1466908074.4110582</v>
      </c>
      <c r="AO123" s="307">
        <f t="shared" si="118"/>
        <v>1479000650.6403513</v>
      </c>
      <c r="AP123" s="307">
        <f t="shared" si="118"/>
        <v>1491184607.1250718</v>
      </c>
      <c r="AQ123" s="307">
        <f t="shared" si="118"/>
        <v>1503465876.9552279</v>
      </c>
      <c r="AR123" s="307"/>
      <c r="AS123" s="307"/>
      <c r="AT123" s="307"/>
      <c r="AU123" s="307"/>
      <c r="AV123" s="307"/>
      <c r="AW123" s="307"/>
      <c r="AX123" s="307"/>
      <c r="AY123" s="307"/>
      <c r="AZ123" s="307"/>
      <c r="BA123" s="307"/>
      <c r="BB123" s="307"/>
      <c r="BC123" s="308"/>
      <c r="BE123" s="308">
        <v>1113791149.8285191</v>
      </c>
      <c r="BF123" s="308">
        <f t="shared" si="127"/>
        <v>22638453.171480894</v>
      </c>
      <c r="BG123" s="308">
        <v>1221217783.226527</v>
      </c>
      <c r="BH123" s="308">
        <f t="shared" si="128"/>
        <v>19075419.773473024</v>
      </c>
      <c r="BI123" s="308">
        <v>1240017177.6107161</v>
      </c>
      <c r="BJ123" s="308">
        <f t="shared" si="129"/>
        <v>10742506.389283895</v>
      </c>
      <c r="BK123" s="309">
        <v>1257479886.9738207</v>
      </c>
      <c r="BL123" s="308">
        <f t="shared" si="120"/>
        <v>-28997570.973820686</v>
      </c>
      <c r="BM123" s="309">
        <v>1323565968.8844373</v>
      </c>
      <c r="BN123" s="308">
        <f t="shared" si="121"/>
        <v>-133100280.88443732</v>
      </c>
      <c r="BO123" s="308">
        <v>1243799374.9386206</v>
      </c>
      <c r="BP123" s="308">
        <f t="shared" si="122"/>
        <v>0</v>
      </c>
      <c r="BQ123" s="308"/>
      <c r="BR123" s="309"/>
      <c r="BS123" s="333"/>
      <c r="BT123" s="333"/>
      <c r="BU123" s="308"/>
      <c r="BV123" s="308"/>
    </row>
    <row r="124" spans="1:74">
      <c r="A124" s="301" t="s">
        <v>54</v>
      </c>
      <c r="B124" s="308">
        <f>'Monthly D6 Gallon Data'!$E15</f>
        <v>1197646493</v>
      </c>
      <c r="C124" s="308">
        <f>'Monthly D6 Gallon Data'!$E27</f>
        <v>1181817350</v>
      </c>
      <c r="D124" s="308">
        <f>'Monthly D6 Gallon Data'!$E39</f>
        <v>1036814339</v>
      </c>
      <c r="E124" s="308">
        <f>'Monthly D6 Gallon Data'!$E51</f>
        <v>1199980139</v>
      </c>
      <c r="F124" s="308">
        <f>'Monthly D6 Gallon Data'!$E63</f>
        <v>1272005545</v>
      </c>
      <c r="G124" s="308">
        <f>'Monthly D6 Gallon Data'!$E75</f>
        <v>1291110379</v>
      </c>
      <c r="H124" s="308">
        <f>'Monthly D6 Gallon Data'!$E87</f>
        <v>1271455225</v>
      </c>
      <c r="I124" s="308">
        <f>'Monthly D6 Gallon Data'!$E99</f>
        <v>1258409330</v>
      </c>
      <c r="J124" s="308">
        <f>'Monthly D6 Gallon Data'!$E111</f>
        <v>1232304025</v>
      </c>
      <c r="K124" s="308">
        <f>'Monthly D6 Gallon Data'!$E123</f>
        <v>1288930778</v>
      </c>
      <c r="L124" s="308">
        <f>'Monthly D6 Gallon Data'!$E135</f>
        <v>1139952619</v>
      </c>
      <c r="M124" s="308">
        <f>'Monthly D6 Gallon Data'!$E147</f>
        <v>1290850653</v>
      </c>
      <c r="N124" s="308">
        <f>'Monthly D6 Gallon Data'!$E159</f>
        <v>1192963159</v>
      </c>
      <c r="O124" s="308">
        <f>'Monthly D6 Gallon Data'!$E171</f>
        <v>1252844625</v>
      </c>
      <c r="P124" s="308">
        <f>'Monthly D6 Gallon Data'!$E183</f>
        <v>1295403590</v>
      </c>
      <c r="Q124" s="336">
        <f t="shared" ref="Q124:AD124" si="130">Q125-SUM(Q113:Q123)</f>
        <v>1248338089.7071323</v>
      </c>
      <c r="R124" s="307">
        <f t="shared" si="130"/>
        <v>1267427919.0078831</v>
      </c>
      <c r="S124" s="307">
        <f t="shared" si="130"/>
        <v>1256006044.5510406</v>
      </c>
      <c r="T124" s="307">
        <f t="shared" si="130"/>
        <v>1276479941.4601822</v>
      </c>
      <c r="U124" s="307">
        <f t="shared" si="130"/>
        <v>1287958490.7001324</v>
      </c>
      <c r="V124" s="307">
        <f t="shared" si="130"/>
        <v>1293294431.9497242</v>
      </c>
      <c r="W124" s="307">
        <f t="shared" si="130"/>
        <v>1308147988.1041279</v>
      </c>
      <c r="X124" s="307">
        <f t="shared" si="130"/>
        <v>1316459230.9116707</v>
      </c>
      <c r="Y124" s="307">
        <f t="shared" si="130"/>
        <v>1328846964.3347816</v>
      </c>
      <c r="Z124" s="307">
        <f t="shared" si="130"/>
        <v>1339567598.9304276</v>
      </c>
      <c r="AA124" s="307">
        <f t="shared" si="130"/>
        <v>1350136366.9379692</v>
      </c>
      <c r="AB124" s="307">
        <f t="shared" si="130"/>
        <v>1361787903.4284554</v>
      </c>
      <c r="AC124" s="307">
        <f t="shared" si="130"/>
        <v>1372769992.4968739</v>
      </c>
      <c r="AD124" s="307">
        <f t="shared" si="130"/>
        <v>1384304269.9235592</v>
      </c>
      <c r="AE124" s="307">
        <f>AE125-SUM(AE113:AE123)</f>
        <v>1395662706.3583336</v>
      </c>
      <c r="AF124" s="307">
        <f>AF125-SUM(AF113:AF123)</f>
        <v>1407152794.8085136</v>
      </c>
      <c r="AG124" s="307">
        <f>AG125-SUM(AG113:AG123)</f>
        <v>1418832107.617403</v>
      </c>
      <c r="AH124" s="307">
        <f t="shared" ref="AH124:AQ124" si="131">AH125-SUM(AH113:AH123)</f>
        <v>1430515439.7463055</v>
      </c>
      <c r="AI124" s="307">
        <f t="shared" si="131"/>
        <v>1442343233.914978</v>
      </c>
      <c r="AJ124" s="307">
        <f t="shared" si="131"/>
        <v>1454231077.6028748</v>
      </c>
      <c r="AK124" s="307">
        <f t="shared" si="131"/>
        <v>1466227486.5392323</v>
      </c>
      <c r="AL124" s="307">
        <f t="shared" si="131"/>
        <v>1478327546.210186</v>
      </c>
      <c r="AM124" s="307">
        <f t="shared" si="131"/>
        <v>1490513609.9334812</v>
      </c>
      <c r="AN124" s="307">
        <f t="shared" si="131"/>
        <v>1502802783.60816</v>
      </c>
      <c r="AO124" s="307">
        <f t="shared" si="131"/>
        <v>1515186452.2820473</v>
      </c>
      <c r="AP124" s="307">
        <f t="shared" si="131"/>
        <v>1527671684.1457157</v>
      </c>
      <c r="AQ124" s="307">
        <f t="shared" si="131"/>
        <v>1540257019.1482162</v>
      </c>
      <c r="AR124" s="307"/>
      <c r="AS124" s="307"/>
      <c r="AT124" s="307"/>
      <c r="AU124" s="307"/>
      <c r="AV124" s="307"/>
      <c r="AW124" s="307"/>
      <c r="AX124" s="307"/>
      <c r="AY124" s="307"/>
      <c r="AZ124" s="307"/>
      <c r="BA124" s="307"/>
      <c r="BB124" s="307"/>
      <c r="BC124" s="308"/>
      <c r="BE124" s="308">
        <v>1165991775.7932129</v>
      </c>
      <c r="BF124" s="308">
        <f t="shared" si="127"/>
        <v>-26039156.793212891</v>
      </c>
      <c r="BG124" s="308">
        <v>1248758176.7888546</v>
      </c>
      <c r="BH124" s="308">
        <f t="shared" si="128"/>
        <v>42092476.211145401</v>
      </c>
      <c r="BI124" s="308">
        <v>1270688668.1073589</v>
      </c>
      <c r="BJ124" s="308">
        <f t="shared" si="129"/>
        <v>-77725509.107358932</v>
      </c>
      <c r="BK124" s="309">
        <v>1142205751.957674</v>
      </c>
      <c r="BL124" s="308">
        <f t="shared" si="120"/>
        <v>110638873.04232597</v>
      </c>
      <c r="BM124" s="309">
        <v>1429324512.6260548</v>
      </c>
      <c r="BN124" s="308">
        <f t="shared" si="121"/>
        <v>-133920922.62605476</v>
      </c>
      <c r="BO124" s="308">
        <v>1239677660.106802</v>
      </c>
      <c r="BP124" s="308">
        <f t="shared" si="122"/>
        <v>-8660429.6003303528</v>
      </c>
      <c r="BQ124" s="308"/>
      <c r="BR124" s="309"/>
      <c r="BS124" s="333"/>
      <c r="BT124" s="333"/>
      <c r="BV124" s="308"/>
    </row>
    <row r="125" spans="1:74" ht="12" thickBot="1">
      <c r="A125" s="301" t="s">
        <v>29</v>
      </c>
      <c r="B125" s="308">
        <f t="shared" ref="B125:P125" si="132">SUM(B113:B124)</f>
        <v>6774690885</v>
      </c>
      <c r="C125" s="308">
        <f t="shared" si="132"/>
        <v>13605852829</v>
      </c>
      <c r="D125" s="308">
        <f t="shared" si="132"/>
        <v>12986723082</v>
      </c>
      <c r="E125" s="308">
        <f t="shared" si="132"/>
        <v>13098970936</v>
      </c>
      <c r="F125" s="308">
        <f t="shared" si="132"/>
        <v>14020733965</v>
      </c>
      <c r="G125" s="308">
        <f t="shared" si="132"/>
        <v>14386311095</v>
      </c>
      <c r="H125" s="308">
        <f t="shared" si="132"/>
        <v>14712874310</v>
      </c>
      <c r="I125" s="308">
        <f t="shared" si="132"/>
        <v>14851872278</v>
      </c>
      <c r="J125" s="308">
        <f t="shared" si="132"/>
        <v>14954504578</v>
      </c>
      <c r="K125" s="308">
        <f t="shared" si="132"/>
        <v>14716910382</v>
      </c>
      <c r="L125" s="308">
        <f t="shared" si="132"/>
        <v>12845194670</v>
      </c>
      <c r="M125" s="308">
        <f t="shared" si="132"/>
        <v>14110176420</v>
      </c>
      <c r="N125" s="308">
        <f t="shared" si="132"/>
        <v>14409400981</v>
      </c>
      <c r="O125" s="308">
        <f t="shared" si="132"/>
        <v>14666291777</v>
      </c>
      <c r="P125" s="308">
        <f t="shared" si="132"/>
        <v>14853081800</v>
      </c>
      <c r="Q125" s="307">
        <f t="shared" ref="Q125:AQ125" si="133">Q7</f>
        <v>14581438774.088144</v>
      </c>
      <c r="R125" s="307">
        <f t="shared" si="133"/>
        <v>14655293890.620512</v>
      </c>
      <c r="S125" s="307">
        <f t="shared" si="133"/>
        <v>14687014784.203905</v>
      </c>
      <c r="T125" s="307">
        <f t="shared" si="133"/>
        <v>14833602876.012686</v>
      </c>
      <c r="U125" s="307">
        <f t="shared" si="133"/>
        <v>14945196786.482641</v>
      </c>
      <c r="V125" s="307">
        <f t="shared" si="133"/>
        <v>15043549140.126476</v>
      </c>
      <c r="W125" s="307">
        <f t="shared" si="133"/>
        <v>15203856925.802042</v>
      </c>
      <c r="X125" s="307">
        <f t="shared" si="133"/>
        <v>15315889301.091822</v>
      </c>
      <c r="Y125" s="307">
        <f t="shared" si="133"/>
        <v>15444748807.180265</v>
      </c>
      <c r="Z125" s="307">
        <f t="shared" si="133"/>
        <v>15569863954.768641</v>
      </c>
      <c r="AA125" s="307">
        <f t="shared" si="133"/>
        <v>15697791497.706242</v>
      </c>
      <c r="AB125" s="307">
        <f t="shared" si="133"/>
        <v>15831898914.029869</v>
      </c>
      <c r="AC125" s="307">
        <f t="shared" si="133"/>
        <v>15960483623.555962</v>
      </c>
      <c r="AD125" s="307">
        <f t="shared" si="133"/>
        <v>16092515961.298559</v>
      </c>
      <c r="AE125" s="307">
        <f t="shared" si="133"/>
        <v>16225188318.03793</v>
      </c>
      <c r="AF125" s="307">
        <f t="shared" si="133"/>
        <v>16359420385.928846</v>
      </c>
      <c r="AG125" s="307">
        <f t="shared" si="133"/>
        <v>16494949056.589117</v>
      </c>
      <c r="AH125" s="307">
        <f t="shared" si="133"/>
        <v>16630749597.229233</v>
      </c>
      <c r="AI125" s="307">
        <f t="shared" si="133"/>
        <v>16768037623.081625</v>
      </c>
      <c r="AJ125" s="307">
        <f t="shared" si="133"/>
        <v>16906401619.124743</v>
      </c>
      <c r="AK125" s="307">
        <f t="shared" si="133"/>
        <v>17045932836.526543</v>
      </c>
      <c r="AL125" s="307">
        <f t="shared" si="133"/>
        <v>17186548706.74839</v>
      </c>
      <c r="AM125" s="307">
        <f t="shared" si="133"/>
        <v>17328204553.461739</v>
      </c>
      <c r="AN125" s="307">
        <f t="shared" si="133"/>
        <v>17471061318.822472</v>
      </c>
      <c r="AO125" s="307">
        <f t="shared" si="133"/>
        <v>17615058649.816719</v>
      </c>
      <c r="AP125" s="307">
        <f t="shared" si="133"/>
        <v>17760209876.846157</v>
      </c>
      <c r="AQ125" s="307">
        <f t="shared" si="133"/>
        <v>17906511980.411629</v>
      </c>
      <c r="AR125" s="307"/>
      <c r="AS125" s="307"/>
      <c r="AT125" s="307"/>
      <c r="AU125" s="307"/>
      <c r="AV125" s="307"/>
      <c r="AW125" s="307"/>
      <c r="AX125" s="307"/>
      <c r="AY125" s="307"/>
      <c r="AZ125" s="307"/>
      <c r="BA125" s="307"/>
      <c r="BB125" s="307"/>
      <c r="BC125" s="308"/>
      <c r="BE125" s="308">
        <v>12863489136.793213</v>
      </c>
      <c r="BF125" s="308">
        <f t="shared" si="127"/>
        <v>-18294466.793212891</v>
      </c>
      <c r="BG125" s="308">
        <v>14064990946.788855</v>
      </c>
      <c r="BH125" s="308">
        <f t="shared" si="128"/>
        <v>45185473.211145401</v>
      </c>
      <c r="BI125" s="308">
        <v>14471055278.107359</v>
      </c>
      <c r="BJ125" s="308">
        <f t="shared" si="129"/>
        <v>-61654297.107358932</v>
      </c>
      <c r="BK125" s="309">
        <v>14580305524.931494</v>
      </c>
      <c r="BL125" s="308">
        <f t="shared" si="120"/>
        <v>85986252.068506241</v>
      </c>
      <c r="BM125" s="309">
        <v>15173649796.72332</v>
      </c>
      <c r="BN125" s="308">
        <f t="shared" si="121"/>
        <v>-320567996.72332001</v>
      </c>
      <c r="BO125" s="308">
        <v>14581438774.088144</v>
      </c>
      <c r="BP125" s="308">
        <f t="shared" si="122"/>
        <v>0</v>
      </c>
      <c r="BQ125" s="308"/>
      <c r="BR125" s="308"/>
      <c r="BV125" s="308"/>
    </row>
    <row r="126" spans="1:74">
      <c r="A126" s="334"/>
      <c r="B126" s="334"/>
      <c r="C126" s="334"/>
      <c r="D126" s="406">
        <f t="shared" ref="D126:N126" si="134">D124/AVERAGE(D113:D123)-1</f>
        <v>-4.5602943563834319E-2</v>
      </c>
      <c r="E126" s="406">
        <f t="shared" si="134"/>
        <v>0.10931941659522582</v>
      </c>
      <c r="F126" s="406">
        <f t="shared" si="134"/>
        <v>9.7526006832922896E-2</v>
      </c>
      <c r="G126" s="406">
        <f t="shared" si="134"/>
        <v>8.4535814074802929E-2</v>
      </c>
      <c r="H126" s="406">
        <f t="shared" si="134"/>
        <v>4.051569157662338E-2</v>
      </c>
      <c r="I126" s="406">
        <f t="shared" si="134"/>
        <v>1.8320547380212604E-2</v>
      </c>
      <c r="J126" s="406">
        <f t="shared" si="134"/>
        <v>-1.2159586019424573E-2</v>
      </c>
      <c r="K126" s="406">
        <f t="shared" si="134"/>
        <v>5.5872810067160827E-2</v>
      </c>
      <c r="L126" s="406">
        <f t="shared" si="134"/>
        <v>7.1270355142184272E-2</v>
      </c>
      <c r="M126" s="406">
        <f t="shared" si="134"/>
        <v>0.10765241800411451</v>
      </c>
      <c r="N126" s="406">
        <f t="shared" si="134"/>
        <v>-7.1004815566709789E-3</v>
      </c>
      <c r="O126" s="406">
        <f>O124/AVERAGE(O113:O123)-1</f>
        <v>2.7423504102385365E-2</v>
      </c>
      <c r="P126" s="406">
        <f>P124/AVERAGE(P113:P123)-1</f>
        <v>5.1023580091299259E-2</v>
      </c>
      <c r="Q126" s="406">
        <f>Q124/AVERAGE(Q113:Q123)-1</f>
        <v>2.9896894340894153E-2</v>
      </c>
      <c r="R126" s="406">
        <f>R124/AVERAGE(R113:R123)-1</f>
        <v>4.1368888712244312E-2</v>
      </c>
      <c r="S126" s="406">
        <f>S125/R125-1</f>
        <v>2.1644665620588199E-3</v>
      </c>
      <c r="T126" s="334"/>
      <c r="U126" s="334"/>
      <c r="V126" s="334"/>
      <c r="W126" s="334"/>
      <c r="X126" s="334"/>
      <c r="Y126" s="334"/>
      <c r="Z126" s="334"/>
      <c r="AA126" s="334"/>
      <c r="AB126" s="334"/>
      <c r="AC126" s="334"/>
      <c r="AD126" s="334"/>
      <c r="AE126" s="334"/>
      <c r="AF126" s="334"/>
      <c r="AG126" s="334"/>
      <c r="AH126" s="334"/>
      <c r="AI126" s="334"/>
      <c r="AJ126" s="334"/>
      <c r="AK126" s="334"/>
      <c r="AL126" s="334"/>
      <c r="AM126" s="334"/>
      <c r="AN126" s="334"/>
      <c r="AO126" s="334"/>
      <c r="AP126" s="334"/>
      <c r="AQ126" s="334"/>
      <c r="BC126" s="308"/>
      <c r="BG126" s="309"/>
      <c r="BV126" s="308"/>
    </row>
    <row r="127" spans="1:74" ht="12" thickBot="1">
      <c r="A127" s="300" t="s">
        <v>498</v>
      </c>
      <c r="P127" s="308">
        <f>(AVERAGE(P113:P123)+(AVERAGE(P113:P123)*AVERAGE(F126:O126)))-P124</f>
        <v>-3251220.1372215748</v>
      </c>
      <c r="Q127" s="308">
        <f>(AVERAGE(Q113:Q123)+(AVERAGE(Q113:Q123)*AVERAGE(G126:P126)))-Q124</f>
        <v>16773732.703875303</v>
      </c>
      <c r="R127" s="308">
        <f>(AVERAGE(R113:R123)+(AVERAGE(R113:R123)*AVERAGE(H126:Q126)))-R124</f>
        <v>-3769676.6762299538</v>
      </c>
      <c r="S127" s="308">
        <f>S28-S7</f>
        <v>-281094205.19478607</v>
      </c>
      <c r="T127" s="308">
        <f>T28-T7</f>
        <v>-427536619.00613403</v>
      </c>
      <c r="U127" s="308">
        <f>U28-U7</f>
        <v>-532231089.21458435</v>
      </c>
      <c r="V127" s="308">
        <f>V28-V7</f>
        <v>-648787990.05443573</v>
      </c>
      <c r="BC127" s="308"/>
      <c r="BG127" s="309"/>
      <c r="BV127" s="308"/>
    </row>
    <row r="128" spans="1:74" ht="12" thickBot="1">
      <c r="A128" s="328"/>
      <c r="B128" s="329">
        <f t="shared" ref="B128:AQ128" si="135">B2</f>
        <v>2010</v>
      </c>
      <c r="C128" s="329">
        <f t="shared" si="135"/>
        <v>2011</v>
      </c>
      <c r="D128" s="329">
        <f t="shared" si="135"/>
        <v>2012</v>
      </c>
      <c r="E128" s="329">
        <f t="shared" si="135"/>
        <v>2013</v>
      </c>
      <c r="F128" s="329">
        <f t="shared" si="135"/>
        <v>2014</v>
      </c>
      <c r="G128" s="329">
        <f t="shared" si="135"/>
        <v>2015</v>
      </c>
      <c r="H128" s="329">
        <f t="shared" si="135"/>
        <v>2016</v>
      </c>
      <c r="I128" s="329">
        <f t="shared" si="135"/>
        <v>2017</v>
      </c>
      <c r="J128" s="329">
        <f t="shared" si="135"/>
        <v>2018</v>
      </c>
      <c r="K128" s="329">
        <f t="shared" si="135"/>
        <v>2019</v>
      </c>
      <c r="L128" s="329">
        <f t="shared" si="135"/>
        <v>2020</v>
      </c>
      <c r="M128" s="329">
        <f t="shared" si="135"/>
        <v>2021</v>
      </c>
      <c r="N128" s="329">
        <f t="shared" si="135"/>
        <v>2022</v>
      </c>
      <c r="O128" s="329">
        <f t="shared" si="135"/>
        <v>2023</v>
      </c>
      <c r="P128" s="329">
        <f t="shared" si="135"/>
        <v>2024</v>
      </c>
      <c r="Q128" s="329">
        <f t="shared" si="135"/>
        <v>2025</v>
      </c>
      <c r="R128" s="329">
        <f t="shared" si="135"/>
        <v>2026</v>
      </c>
      <c r="S128" s="329">
        <f t="shared" si="135"/>
        <v>2027</v>
      </c>
      <c r="T128" s="329">
        <f t="shared" si="135"/>
        <v>2028</v>
      </c>
      <c r="U128" s="329">
        <f t="shared" si="135"/>
        <v>2029</v>
      </c>
      <c r="V128" s="329">
        <f t="shared" si="135"/>
        <v>2030</v>
      </c>
      <c r="W128" s="329">
        <f t="shared" si="135"/>
        <v>2031</v>
      </c>
      <c r="X128" s="329">
        <f t="shared" si="135"/>
        <v>2032</v>
      </c>
      <c r="Y128" s="329">
        <f t="shared" si="135"/>
        <v>2033</v>
      </c>
      <c r="Z128" s="329">
        <f t="shared" si="135"/>
        <v>2034</v>
      </c>
      <c r="AA128" s="329">
        <f t="shared" si="135"/>
        <v>2035</v>
      </c>
      <c r="AB128" s="329">
        <f t="shared" si="135"/>
        <v>2036</v>
      </c>
      <c r="AC128" s="329">
        <f t="shared" si="135"/>
        <v>2037</v>
      </c>
      <c r="AD128" s="329">
        <f t="shared" si="135"/>
        <v>2038</v>
      </c>
      <c r="AE128" s="329">
        <f t="shared" si="135"/>
        <v>2039</v>
      </c>
      <c r="AF128" s="329">
        <f t="shared" si="135"/>
        <v>2040</v>
      </c>
      <c r="AG128" s="329">
        <f t="shared" si="135"/>
        <v>2041</v>
      </c>
      <c r="AH128" s="329">
        <f t="shared" si="135"/>
        <v>2042</v>
      </c>
      <c r="AI128" s="329">
        <f t="shared" si="135"/>
        <v>2043</v>
      </c>
      <c r="AJ128" s="329">
        <f t="shared" si="135"/>
        <v>2044</v>
      </c>
      <c r="AK128" s="329">
        <f t="shared" si="135"/>
        <v>2045</v>
      </c>
      <c r="AL128" s="329">
        <f t="shared" si="135"/>
        <v>2046</v>
      </c>
      <c r="AM128" s="329">
        <f t="shared" si="135"/>
        <v>2047</v>
      </c>
      <c r="AN128" s="329">
        <f t="shared" si="135"/>
        <v>2048</v>
      </c>
      <c r="AO128" s="329">
        <f t="shared" si="135"/>
        <v>2049</v>
      </c>
      <c r="AP128" s="329">
        <f t="shared" si="135"/>
        <v>2050</v>
      </c>
      <c r="AQ128" s="329">
        <f t="shared" si="135"/>
        <v>2051</v>
      </c>
      <c r="AR128" s="300"/>
      <c r="AS128" s="300"/>
      <c r="AT128" s="300"/>
      <c r="AU128" s="300"/>
      <c r="AV128" s="300"/>
      <c r="AW128" s="300"/>
      <c r="AX128" s="300"/>
      <c r="AY128" s="300"/>
      <c r="AZ128" s="300"/>
      <c r="BA128" s="300"/>
      <c r="BB128" s="300"/>
      <c r="BC128" s="308"/>
      <c r="BG128" s="309"/>
      <c r="BV128" s="308"/>
    </row>
    <row r="129" spans="1:74">
      <c r="A129" s="301" t="s">
        <v>43</v>
      </c>
      <c r="B129" s="308">
        <f>'Monthly D6 Gallon Data'!$F4</f>
        <v>0</v>
      </c>
      <c r="C129" s="308">
        <f>'Monthly D6 Gallon Data'!$F16</f>
        <v>91760</v>
      </c>
      <c r="D129" s="308">
        <f>'Monthly D6 Gallon Data'!$F28</f>
        <v>0</v>
      </c>
      <c r="E129" s="308">
        <f>'Monthly D6 Gallon Data'!$F40</f>
        <v>0</v>
      </c>
      <c r="F129" s="308">
        <f>'Monthly D6 Gallon Data'!$F52</f>
        <v>0</v>
      </c>
      <c r="G129" s="308">
        <f>'Monthly D6 Gallon Data'!$F64</f>
        <v>233543</v>
      </c>
      <c r="H129" s="308">
        <f>'Monthly D6 Gallon Data'!$F76</f>
        <v>945537</v>
      </c>
      <c r="I129" s="308">
        <f>'Monthly D6 Gallon Data'!$F88</f>
        <v>988952</v>
      </c>
      <c r="J129" s="308">
        <f>'Monthly D6 Gallon Data'!$F100</f>
        <v>1013263</v>
      </c>
      <c r="K129" s="308">
        <f>'Monthly D6 Gallon Data'!$F112</f>
        <v>1042372</v>
      </c>
      <c r="L129" s="308">
        <f>'Monthly D6 Gallon Data'!$F124</f>
        <v>1036449</v>
      </c>
      <c r="M129" s="308">
        <f>'Monthly D6 Gallon Data'!$F136</f>
        <v>1008820</v>
      </c>
      <c r="N129" s="308">
        <f>'Monthly D6 Gallon Data'!$F148</f>
        <v>1073173</v>
      </c>
      <c r="O129" s="308">
        <f>'Monthly D6 Gallon Data'!$F160</f>
        <v>93242</v>
      </c>
      <c r="P129" s="308">
        <f>'Monthly D6 Gallon Data'!$F172</f>
        <v>1114087</v>
      </c>
      <c r="Q129" s="308">
        <f>'Monthly D6 Gallon Data'!$F184</f>
        <v>1267752</v>
      </c>
      <c r="R129" s="307">
        <f t="shared" ref="R129:R139" si="136">(SUM(M129:Q129)/SUM(M$141:Q$141))*R$141</f>
        <v>829450.73452066584</v>
      </c>
      <c r="S129" s="307">
        <f t="shared" ref="S129:S139" si="137">(SUM(N129:R129)/SUM(N$141:R$141))*S$141</f>
        <v>807711.27925591148</v>
      </c>
      <c r="T129" s="307">
        <f t="shared" ref="T129:AI139" si="138">(SUM(O129:S129)/SUM(O$141:S$141))*T$141</f>
        <v>777117.74555389758</v>
      </c>
      <c r="U129" s="307">
        <f t="shared" si="138"/>
        <v>905666.29861265828</v>
      </c>
      <c r="V129" s="307">
        <f t="shared" si="138"/>
        <v>892548.26030022034</v>
      </c>
      <c r="W129" s="307">
        <f t="shared" si="138"/>
        <v>842498.86364867061</v>
      </c>
      <c r="X129" s="307">
        <f t="shared" si="138"/>
        <v>845108.48947427166</v>
      </c>
      <c r="Y129" s="307">
        <f t="shared" si="138"/>
        <v>852587.93151794386</v>
      </c>
      <c r="Z129" s="307">
        <f t="shared" si="138"/>
        <v>867681.9687107529</v>
      </c>
      <c r="AA129" s="307">
        <f t="shared" si="138"/>
        <v>860085.10273037176</v>
      </c>
      <c r="AB129" s="307">
        <f t="shared" si="138"/>
        <v>853592.47121640225</v>
      </c>
      <c r="AC129" s="307">
        <f t="shared" si="138"/>
        <v>855811.19272994844</v>
      </c>
      <c r="AD129" s="307">
        <f t="shared" si="138"/>
        <v>857951.73338108382</v>
      </c>
      <c r="AE129" s="307">
        <f t="shared" si="138"/>
        <v>859024.49375371193</v>
      </c>
      <c r="AF129" s="307">
        <f t="shared" si="138"/>
        <v>857292.9987623035</v>
      </c>
      <c r="AG129" s="307">
        <f t="shared" si="138"/>
        <v>856734.57796868973</v>
      </c>
      <c r="AH129" s="307">
        <f t="shared" si="138"/>
        <v>857363.0679081874</v>
      </c>
      <c r="AI129" s="307">
        <f t="shared" si="138"/>
        <v>857673.49785975926</v>
      </c>
      <c r="AJ129" s="307">
        <f t="shared" ref="AJ129:AQ139" si="139">(SUM(AE129:AI129)/SUM(AE$141:AI$141))*AJ$141</f>
        <v>857617.89191312599</v>
      </c>
      <c r="AK129" s="307">
        <f t="shared" si="139"/>
        <v>857336.59892574977</v>
      </c>
      <c r="AL129" s="307">
        <f t="shared" si="139"/>
        <v>857345.33267789998</v>
      </c>
      <c r="AM129" s="307">
        <f t="shared" si="139"/>
        <v>857467.48364904185</v>
      </c>
      <c r="AN129" s="307">
        <f t="shared" si="139"/>
        <v>857488.36680220813</v>
      </c>
      <c r="AO129" s="307">
        <f t="shared" si="139"/>
        <v>857451.34058179532</v>
      </c>
      <c r="AP129" s="307">
        <f t="shared" si="139"/>
        <v>857418.0303075182</v>
      </c>
      <c r="AQ129" s="307">
        <f t="shared" si="139"/>
        <v>857434.31658776395</v>
      </c>
      <c r="AR129" s="307"/>
      <c r="AS129" s="307"/>
      <c r="AT129" s="307"/>
      <c r="AU129" s="307"/>
      <c r="AV129" s="307"/>
      <c r="AW129" s="307"/>
      <c r="AX129" s="307"/>
      <c r="AY129" s="307"/>
      <c r="AZ129" s="307"/>
      <c r="BA129" s="307"/>
      <c r="BB129" s="307"/>
      <c r="BC129" s="308"/>
      <c r="BE129" s="308">
        <v>905593.0862693229</v>
      </c>
      <c r="BF129" s="308">
        <f t="shared" ref="BF129:BF141" si="140">L129-BE129</f>
        <v>130855.9137306771</v>
      </c>
      <c r="BG129" s="308">
        <v>970865.64043384069</v>
      </c>
      <c r="BH129" s="308">
        <f t="shared" ref="BH129:BH141" si="141">M129-BG129</f>
        <v>37954.359566159314</v>
      </c>
      <c r="BI129" s="308">
        <v>1009298.9641753534</v>
      </c>
      <c r="BJ129" s="308">
        <f t="shared" ref="BJ129:BJ141" si="142">N129-BI129</f>
        <v>63874.035824646591</v>
      </c>
      <c r="BK129" s="308">
        <v>1121373.1806787672</v>
      </c>
      <c r="BL129" s="308">
        <f t="shared" ref="BL129:BL141" si="143">O129-BK129</f>
        <v>-1028131.1806787672</v>
      </c>
      <c r="BM129" s="308">
        <v>1114087</v>
      </c>
      <c r="BN129" s="308">
        <f t="shared" ref="BN129:BN141" si="144">P129-BM129</f>
        <v>0</v>
      </c>
      <c r="BO129" s="308">
        <v>1267752</v>
      </c>
      <c r="BP129" s="308">
        <f t="shared" ref="BP129:BP141" si="145">BO129-Q129</f>
        <v>0</v>
      </c>
      <c r="BQ129" s="308"/>
      <c r="BR129" s="308"/>
      <c r="BV129" s="308"/>
    </row>
    <row r="130" spans="1:74">
      <c r="A130" s="301" t="s">
        <v>44</v>
      </c>
      <c r="B130" s="308">
        <f>'Monthly D6 Gallon Data'!$F5</f>
        <v>0</v>
      </c>
      <c r="C130" s="308">
        <f>'Monthly D6 Gallon Data'!$F17</f>
        <v>0</v>
      </c>
      <c r="D130" s="308">
        <f>'Monthly D6 Gallon Data'!$F29</f>
        <v>0</v>
      </c>
      <c r="E130" s="308">
        <f>'Monthly D6 Gallon Data'!$F41</f>
        <v>0</v>
      </c>
      <c r="F130" s="308">
        <f>'Monthly D6 Gallon Data'!$F53</f>
        <v>0</v>
      </c>
      <c r="G130" s="308">
        <f>'Monthly D6 Gallon Data'!$F65</f>
        <v>290228</v>
      </c>
      <c r="H130" s="308">
        <f>'Monthly D6 Gallon Data'!$F77</f>
        <v>888665</v>
      </c>
      <c r="I130" s="308">
        <f>'Monthly D6 Gallon Data'!$F89</f>
        <v>925413</v>
      </c>
      <c r="J130" s="308">
        <f>'Monthly D6 Gallon Data'!$F101</f>
        <v>917632</v>
      </c>
      <c r="K130" s="308">
        <f>'Monthly D6 Gallon Data'!$F113</f>
        <v>914501</v>
      </c>
      <c r="L130" s="308">
        <f>'Monthly D6 Gallon Data'!$F125</f>
        <v>1019832</v>
      </c>
      <c r="M130" s="308">
        <f>'Monthly D6 Gallon Data'!$F137</f>
        <v>920519</v>
      </c>
      <c r="N130" s="308">
        <f>'Monthly D6 Gallon Data'!$F149</f>
        <v>988951</v>
      </c>
      <c r="O130" s="308">
        <f>'Monthly D6 Gallon Data'!$F161</f>
        <v>1100346</v>
      </c>
      <c r="P130" s="308">
        <f>'Monthly D6 Gallon Data'!$F173</f>
        <v>1082157</v>
      </c>
      <c r="Q130" s="332">
        <f>'Monthly D6 Gallon Data'!$F185</f>
        <v>1041915</v>
      </c>
      <c r="R130" s="307">
        <f t="shared" si="136"/>
        <v>934438.89051326166</v>
      </c>
      <c r="S130" s="307">
        <f t="shared" si="137"/>
        <v>949799.6664376253</v>
      </c>
      <c r="T130" s="307">
        <f t="shared" si="138"/>
        <v>965416.59941950743</v>
      </c>
      <c r="U130" s="307">
        <f t="shared" si="138"/>
        <v>939204.65485889255</v>
      </c>
      <c r="V130" s="307">
        <f t="shared" si="138"/>
        <v>939839.45743760455</v>
      </c>
      <c r="W130" s="307">
        <f t="shared" si="138"/>
        <v>945739.85373337823</v>
      </c>
      <c r="X130" s="307">
        <f t="shared" si="138"/>
        <v>948000.04637740168</v>
      </c>
      <c r="Y130" s="307">
        <f t="shared" si="138"/>
        <v>947640.12236535701</v>
      </c>
      <c r="Z130" s="307">
        <f t="shared" si="138"/>
        <v>944084.82695452683</v>
      </c>
      <c r="AA130" s="307">
        <f t="shared" si="138"/>
        <v>945060.86137365364</v>
      </c>
      <c r="AB130" s="307">
        <f t="shared" si="138"/>
        <v>946105.1421608635</v>
      </c>
      <c r="AC130" s="307">
        <f t="shared" si="138"/>
        <v>946178.19984636037</v>
      </c>
      <c r="AD130" s="307">
        <f t="shared" si="138"/>
        <v>945813.83054015227</v>
      </c>
      <c r="AE130" s="307">
        <f t="shared" si="138"/>
        <v>945448.57217511127</v>
      </c>
      <c r="AF130" s="307">
        <f t="shared" si="138"/>
        <v>945721.32121922821</v>
      </c>
      <c r="AG130" s="307">
        <f t="shared" si="138"/>
        <v>945853.41318834305</v>
      </c>
      <c r="AH130" s="307">
        <f t="shared" si="138"/>
        <v>945803.14305808442</v>
      </c>
      <c r="AI130" s="307">
        <f t="shared" si="138"/>
        <v>945728.19222102175</v>
      </c>
      <c r="AJ130" s="307">
        <f t="shared" si="139"/>
        <v>945711.10994884733</v>
      </c>
      <c r="AK130" s="307">
        <f t="shared" si="139"/>
        <v>945763.64777809416</v>
      </c>
      <c r="AL130" s="307">
        <f t="shared" si="139"/>
        <v>945772.12822409812</v>
      </c>
      <c r="AM130" s="307">
        <f t="shared" si="139"/>
        <v>945755.87122732913</v>
      </c>
      <c r="AN130" s="307">
        <f t="shared" si="139"/>
        <v>945746.41685889114</v>
      </c>
      <c r="AO130" s="307">
        <f t="shared" si="139"/>
        <v>945750.06178732158</v>
      </c>
      <c r="AP130" s="307">
        <f t="shared" si="139"/>
        <v>945757.85215686786</v>
      </c>
      <c r="AQ130" s="307">
        <f t="shared" si="139"/>
        <v>945756.69303232629</v>
      </c>
      <c r="AR130" s="307"/>
      <c r="AS130" s="307"/>
      <c r="AT130" s="307"/>
      <c r="AU130" s="307"/>
      <c r="AV130" s="307"/>
      <c r="AW130" s="307"/>
      <c r="AX130" s="307"/>
      <c r="AY130" s="307"/>
      <c r="AZ130" s="307"/>
      <c r="BA130" s="307"/>
      <c r="BB130" s="307"/>
      <c r="BC130" s="308"/>
      <c r="BE130" s="308">
        <v>844020.55520510848</v>
      </c>
      <c r="BF130" s="308">
        <f t="shared" si="140"/>
        <v>175811.44479489152</v>
      </c>
      <c r="BG130" s="308">
        <v>901229.31505636324</v>
      </c>
      <c r="BH130" s="308">
        <f t="shared" si="141"/>
        <v>19289.684943636763</v>
      </c>
      <c r="BI130" s="308">
        <v>917624.01939039491</v>
      </c>
      <c r="BJ130" s="308">
        <f t="shared" si="142"/>
        <v>71326.980609605089</v>
      </c>
      <c r="BK130" s="308">
        <v>1031941.641097573</v>
      </c>
      <c r="BL130" s="308">
        <f t="shared" si="143"/>
        <v>68404.358902427019</v>
      </c>
      <c r="BM130" s="308">
        <v>1082157</v>
      </c>
      <c r="BN130" s="308">
        <f t="shared" si="144"/>
        <v>0</v>
      </c>
      <c r="BO130" s="308">
        <v>1041915</v>
      </c>
      <c r="BP130" s="308">
        <f t="shared" si="145"/>
        <v>0</v>
      </c>
      <c r="BQ130" s="308"/>
      <c r="BR130" s="308"/>
      <c r="BV130" s="308"/>
    </row>
    <row r="131" spans="1:74">
      <c r="A131" s="301" t="s">
        <v>45</v>
      </c>
      <c r="B131" s="308">
        <f>'Monthly D6 Gallon Data'!$F6</f>
        <v>0</v>
      </c>
      <c r="C131" s="308">
        <f>'Monthly D6 Gallon Data'!$F18</f>
        <v>0</v>
      </c>
      <c r="D131" s="308">
        <f>'Monthly D6 Gallon Data'!$F30</f>
        <v>0</v>
      </c>
      <c r="E131" s="308">
        <f>'Monthly D6 Gallon Data'!$F42</f>
        <v>0</v>
      </c>
      <c r="F131" s="308">
        <f>'Monthly D6 Gallon Data'!$F54</f>
        <v>0</v>
      </c>
      <c r="G131" s="308">
        <f>'Monthly D6 Gallon Data'!$F66</f>
        <v>243216</v>
      </c>
      <c r="H131" s="308">
        <f>'Monthly D6 Gallon Data'!$F78</f>
        <v>923360</v>
      </c>
      <c r="I131" s="308">
        <f>'Monthly D6 Gallon Data'!$F90</f>
        <v>1010247</v>
      </c>
      <c r="J131" s="308">
        <f>'Monthly D6 Gallon Data'!$F102</f>
        <v>1012419</v>
      </c>
      <c r="K131" s="308">
        <f>'Monthly D6 Gallon Data'!$F114</f>
        <v>981894</v>
      </c>
      <c r="L131" s="308">
        <f>'Monthly D6 Gallon Data'!$F126</f>
        <v>865092</v>
      </c>
      <c r="M131" s="308">
        <f>'Monthly D6 Gallon Data'!$F138</f>
        <v>1036534</v>
      </c>
      <c r="N131" s="308">
        <f>'Monthly D6 Gallon Data'!$F150</f>
        <v>1088289</v>
      </c>
      <c r="O131" s="308">
        <f>'Monthly D6 Gallon Data'!$F162</f>
        <v>0</v>
      </c>
      <c r="P131" s="308">
        <f>'Monthly D6 Gallon Data'!$F174</f>
        <v>1127636</v>
      </c>
      <c r="Q131" s="332">
        <f>'Monthly D6 Gallon Data'!$F186</f>
        <v>988011</v>
      </c>
      <c r="R131" s="307">
        <f t="shared" si="136"/>
        <v>771824.41106131859</v>
      </c>
      <c r="S131" s="307">
        <f t="shared" si="137"/>
        <v>733550.27859935421</v>
      </c>
      <c r="T131" s="307">
        <f t="shared" si="138"/>
        <v>684288.40480577515</v>
      </c>
      <c r="U131" s="307">
        <f t="shared" si="138"/>
        <v>812985.3436280333</v>
      </c>
      <c r="V131" s="307">
        <f t="shared" si="138"/>
        <v>776392.88678880967</v>
      </c>
      <c r="W131" s="307">
        <f t="shared" si="138"/>
        <v>755808.26497665816</v>
      </c>
      <c r="X131" s="307">
        <f t="shared" si="138"/>
        <v>752605.03575972607</v>
      </c>
      <c r="Y131" s="307">
        <f t="shared" si="138"/>
        <v>756415.98719180049</v>
      </c>
      <c r="Z131" s="307">
        <f t="shared" si="138"/>
        <v>770841.50366900547</v>
      </c>
      <c r="AA131" s="307">
        <f t="shared" si="138"/>
        <v>762412.7356771999</v>
      </c>
      <c r="AB131" s="307">
        <f t="shared" si="138"/>
        <v>759616.70545487793</v>
      </c>
      <c r="AC131" s="307">
        <f t="shared" si="138"/>
        <v>760378.39355052193</v>
      </c>
      <c r="AD131" s="307">
        <f t="shared" si="138"/>
        <v>761933.0651086811</v>
      </c>
      <c r="AE131" s="307">
        <f t="shared" si="138"/>
        <v>763036.4806920574</v>
      </c>
      <c r="AF131" s="307">
        <f t="shared" si="138"/>
        <v>761475.4760966677</v>
      </c>
      <c r="AG131" s="307">
        <f t="shared" si="138"/>
        <v>761288.02418056119</v>
      </c>
      <c r="AH131" s="307">
        <f t="shared" si="138"/>
        <v>761622.34885548102</v>
      </c>
      <c r="AI131" s="307">
        <f t="shared" si="138"/>
        <v>761871.18869612331</v>
      </c>
      <c r="AJ131" s="307">
        <f t="shared" si="139"/>
        <v>761858.84998104221</v>
      </c>
      <c r="AK131" s="307">
        <f t="shared" si="139"/>
        <v>761623.3481655505</v>
      </c>
      <c r="AL131" s="307">
        <f t="shared" si="139"/>
        <v>761652.93477238284</v>
      </c>
      <c r="AM131" s="307">
        <f t="shared" si="139"/>
        <v>761725.91690824833</v>
      </c>
      <c r="AN131" s="307">
        <f t="shared" si="139"/>
        <v>761746.63052375836</v>
      </c>
      <c r="AO131" s="307">
        <f t="shared" si="139"/>
        <v>761721.71888329205</v>
      </c>
      <c r="AP131" s="307">
        <f t="shared" si="139"/>
        <v>761694.29265714495</v>
      </c>
      <c r="AQ131" s="307">
        <f t="shared" si="139"/>
        <v>761708.48155885458</v>
      </c>
      <c r="AR131" s="307"/>
      <c r="AS131" s="307"/>
      <c r="AT131" s="307"/>
      <c r="AU131" s="307"/>
      <c r="AV131" s="307"/>
      <c r="AW131" s="307"/>
      <c r="AX131" s="307"/>
      <c r="AY131" s="307"/>
      <c r="AZ131" s="307"/>
      <c r="BA131" s="307"/>
      <c r="BB131" s="307"/>
      <c r="BC131" s="308"/>
      <c r="BE131" s="308">
        <v>894342.45583590434</v>
      </c>
      <c r="BF131" s="308">
        <f t="shared" si="140"/>
        <v>-29250.455835904344</v>
      </c>
      <c r="BG131" s="308">
        <v>902495.86187540961</v>
      </c>
      <c r="BH131" s="308">
        <f t="shared" si="141"/>
        <v>134038.13812459039</v>
      </c>
      <c r="BI131" s="308">
        <v>958308.39143490884</v>
      </c>
      <c r="BJ131" s="308">
        <f t="shared" si="142"/>
        <v>129980.60856509116</v>
      </c>
      <c r="BK131" s="308">
        <v>1080227.3730344893</v>
      </c>
      <c r="BL131" s="308">
        <f t="shared" si="143"/>
        <v>-1080227.3730344893</v>
      </c>
      <c r="BM131" s="308">
        <v>1127636</v>
      </c>
      <c r="BN131" s="308">
        <f t="shared" si="144"/>
        <v>0</v>
      </c>
      <c r="BO131" s="308">
        <v>883341.53167196561</v>
      </c>
      <c r="BP131" s="308">
        <f t="shared" si="145"/>
        <v>-104669.46832803439</v>
      </c>
      <c r="BQ131" s="308"/>
      <c r="BR131" s="308"/>
      <c r="BV131" s="308"/>
    </row>
    <row r="132" spans="1:74">
      <c r="A132" s="301" t="s">
        <v>46</v>
      </c>
      <c r="B132" s="308">
        <f>'Monthly D6 Gallon Data'!$F7</f>
        <v>0</v>
      </c>
      <c r="C132" s="308">
        <f>'Monthly D6 Gallon Data'!$F19</f>
        <v>0</v>
      </c>
      <c r="D132" s="308">
        <f>'Monthly D6 Gallon Data'!$F31</f>
        <v>0</v>
      </c>
      <c r="E132" s="308">
        <f>'Monthly D6 Gallon Data'!$F43</f>
        <v>0</v>
      </c>
      <c r="F132" s="308">
        <f>'Monthly D6 Gallon Data'!$F55</f>
        <v>0</v>
      </c>
      <c r="G132" s="308">
        <f>'Monthly D6 Gallon Data'!$F67</f>
        <v>308199</v>
      </c>
      <c r="H132" s="308">
        <f>'Monthly D6 Gallon Data'!$F79</f>
        <v>913421</v>
      </c>
      <c r="I132" s="308">
        <f>'Monthly D6 Gallon Data'!$F91</f>
        <v>909611</v>
      </c>
      <c r="J132" s="308">
        <f>'Monthly D6 Gallon Data'!$F103</f>
        <v>861598</v>
      </c>
      <c r="K132" s="308">
        <f>'Monthly D6 Gallon Data'!$F115</f>
        <v>932842</v>
      </c>
      <c r="L132" s="308">
        <f>'Monthly D6 Gallon Data'!$F127</f>
        <v>575961</v>
      </c>
      <c r="M132" s="308">
        <f>'Monthly D6 Gallon Data'!$F139</f>
        <v>1040857</v>
      </c>
      <c r="N132" s="308">
        <f>'Monthly D6 Gallon Data'!$F151</f>
        <v>1034253</v>
      </c>
      <c r="O132" s="308">
        <f>'Monthly D6 Gallon Data'!$F163</f>
        <v>1063202</v>
      </c>
      <c r="P132" s="308">
        <f>'Monthly D6 Gallon Data'!$F175</f>
        <v>1117752</v>
      </c>
      <c r="Q132" s="307">
        <f t="shared" ref="Q132:Q139" si="146">(SUM(L132:P132)/SUM(L$141:P$141))*Q$141</f>
        <v>1036618.2142193818</v>
      </c>
      <c r="R132" s="307">
        <f t="shared" si="136"/>
        <v>963341.64206434425</v>
      </c>
      <c r="S132" s="307">
        <f t="shared" si="137"/>
        <v>962227.77653440519</v>
      </c>
      <c r="T132" s="307">
        <f t="shared" si="138"/>
        <v>971933.47216351319</v>
      </c>
      <c r="U132" s="307">
        <f t="shared" si="138"/>
        <v>953961.20188822516</v>
      </c>
      <c r="V132" s="307">
        <f t="shared" si="138"/>
        <v>950988.77565561677</v>
      </c>
      <c r="W132" s="307">
        <f t="shared" si="138"/>
        <v>960490.57366122073</v>
      </c>
      <c r="X132" s="307">
        <f t="shared" si="138"/>
        <v>959920.35998059623</v>
      </c>
      <c r="Y132" s="307">
        <f t="shared" si="138"/>
        <v>959458.87666983448</v>
      </c>
      <c r="Z132" s="307">
        <f t="shared" si="138"/>
        <v>956963.9575710987</v>
      </c>
      <c r="AA132" s="307">
        <f t="shared" si="138"/>
        <v>957564.50870767341</v>
      </c>
      <c r="AB132" s="307">
        <f t="shared" si="138"/>
        <v>958879.65531808464</v>
      </c>
      <c r="AC132" s="307">
        <f t="shared" si="138"/>
        <v>958557.47164945747</v>
      </c>
      <c r="AD132" s="307">
        <f t="shared" si="138"/>
        <v>958284.89398322988</v>
      </c>
      <c r="AE132" s="307">
        <f t="shared" si="138"/>
        <v>958050.09744590882</v>
      </c>
      <c r="AF132" s="307">
        <f t="shared" si="138"/>
        <v>958267.32542087079</v>
      </c>
      <c r="AG132" s="307">
        <f t="shared" si="138"/>
        <v>958407.88876351016</v>
      </c>
      <c r="AH132" s="307">
        <f t="shared" si="138"/>
        <v>958313.61211767816</v>
      </c>
      <c r="AI132" s="307">
        <f t="shared" si="138"/>
        <v>958264.90153636329</v>
      </c>
      <c r="AJ132" s="307">
        <f t="shared" si="139"/>
        <v>958260.94904292433</v>
      </c>
      <c r="AK132" s="307">
        <f t="shared" si="139"/>
        <v>958303.15003610635</v>
      </c>
      <c r="AL132" s="307">
        <f t="shared" si="139"/>
        <v>958310.33029370371</v>
      </c>
      <c r="AM132" s="307">
        <f t="shared" si="139"/>
        <v>958290.81859504129</v>
      </c>
      <c r="AN132" s="307">
        <f t="shared" si="139"/>
        <v>958286.25988940138</v>
      </c>
      <c r="AO132" s="307">
        <f t="shared" si="139"/>
        <v>958290.53156101587</v>
      </c>
      <c r="AP132" s="307">
        <f t="shared" si="139"/>
        <v>958296.44806603563</v>
      </c>
      <c r="AQ132" s="307">
        <f t="shared" si="139"/>
        <v>958295.10767168133</v>
      </c>
      <c r="AR132" s="307"/>
      <c r="AS132" s="307"/>
      <c r="AT132" s="307"/>
      <c r="AU132" s="307"/>
      <c r="AV132" s="307"/>
      <c r="AW132" s="307"/>
      <c r="AX132" s="307"/>
      <c r="AY132" s="307"/>
      <c r="AZ132" s="307"/>
      <c r="BA132" s="307"/>
      <c r="BB132" s="307"/>
      <c r="BC132" s="308"/>
      <c r="BE132" s="308">
        <v>444481.61988304404</v>
      </c>
      <c r="BF132" s="308">
        <f t="shared" si="140"/>
        <v>131479.38011695596</v>
      </c>
      <c r="BG132" s="308">
        <v>789598.67606252281</v>
      </c>
      <c r="BH132" s="308">
        <f t="shared" si="141"/>
        <v>251258.32393747719</v>
      </c>
      <c r="BI132" s="308">
        <v>843980.44040543167</v>
      </c>
      <c r="BJ132" s="308">
        <f t="shared" si="142"/>
        <v>190272.55959456833</v>
      </c>
      <c r="BK132" s="308">
        <v>1063471.7090241308</v>
      </c>
      <c r="BL132" s="308">
        <f t="shared" si="143"/>
        <v>-269.7090241308324</v>
      </c>
      <c r="BM132" s="308">
        <v>1117752</v>
      </c>
      <c r="BN132" s="308">
        <f t="shared" si="144"/>
        <v>0</v>
      </c>
      <c r="BO132" s="308">
        <v>1036618.2142193818</v>
      </c>
      <c r="BP132" s="308">
        <f t="shared" si="145"/>
        <v>0</v>
      </c>
      <c r="BQ132" s="308"/>
      <c r="BR132" s="308"/>
      <c r="BV132" s="308"/>
    </row>
    <row r="133" spans="1:74">
      <c r="A133" s="301" t="s">
        <v>47</v>
      </c>
      <c r="B133" s="308">
        <f>'Monthly D6 Gallon Data'!$F8</f>
        <v>0</v>
      </c>
      <c r="C133" s="308">
        <f>'Monthly D6 Gallon Data'!$F20</f>
        <v>0</v>
      </c>
      <c r="D133" s="308">
        <f>'Monthly D6 Gallon Data'!$F32</f>
        <v>0</v>
      </c>
      <c r="E133" s="308">
        <f>'Monthly D6 Gallon Data'!$F44</f>
        <v>0</v>
      </c>
      <c r="F133" s="308">
        <f>'Monthly D6 Gallon Data'!$F56</f>
        <v>0</v>
      </c>
      <c r="G133" s="308">
        <f>'Monthly D6 Gallon Data'!$F68</f>
        <v>325513</v>
      </c>
      <c r="H133" s="308">
        <f>'Monthly D6 Gallon Data'!$F80</f>
        <v>966852</v>
      </c>
      <c r="I133" s="308">
        <f>'Monthly D6 Gallon Data'!$F92</f>
        <v>1064278</v>
      </c>
      <c r="J133" s="308">
        <f>'Monthly D6 Gallon Data'!$F104</f>
        <v>1085440</v>
      </c>
      <c r="K133" s="308">
        <f>'Monthly D6 Gallon Data'!$F116</f>
        <v>1192213</v>
      </c>
      <c r="L133" s="308">
        <f>'Monthly D6 Gallon Data'!$F128</f>
        <v>902901</v>
      </c>
      <c r="M133" s="308">
        <f>'Monthly D6 Gallon Data'!$F140</f>
        <v>1121139</v>
      </c>
      <c r="N133" s="308">
        <f>'Monthly D6 Gallon Data'!$F152</f>
        <v>1213156</v>
      </c>
      <c r="O133" s="308">
        <f>'Monthly D6 Gallon Data'!$F164</f>
        <v>1270046</v>
      </c>
      <c r="P133" s="308">
        <f>'Monthly D6 Gallon Data'!$F176</f>
        <v>1287081</v>
      </c>
      <c r="Q133" s="307">
        <f t="shared" si="146"/>
        <v>1243060.7790461122</v>
      </c>
      <c r="R133" s="307">
        <f t="shared" si="136"/>
        <v>1116561.0317023979</v>
      </c>
      <c r="S133" s="307">
        <f t="shared" si="137"/>
        <v>1131002.1019379629</v>
      </c>
      <c r="T133" s="307">
        <f t="shared" si="138"/>
        <v>1142883.4675366741</v>
      </c>
      <c r="U133" s="307">
        <f t="shared" si="138"/>
        <v>1118003.459254279</v>
      </c>
      <c r="V133" s="307">
        <f t="shared" si="138"/>
        <v>1118970.9804430788</v>
      </c>
      <c r="W133" s="307">
        <f t="shared" si="138"/>
        <v>1125484.2081748785</v>
      </c>
      <c r="X133" s="307">
        <f t="shared" si="138"/>
        <v>1127268.8434693748</v>
      </c>
      <c r="Y133" s="307">
        <f t="shared" si="138"/>
        <v>1126522.191775657</v>
      </c>
      <c r="Z133" s="307">
        <f t="shared" si="138"/>
        <v>1123249.9366234536</v>
      </c>
      <c r="AA133" s="307">
        <f t="shared" si="138"/>
        <v>1124299.2320972886</v>
      </c>
      <c r="AB133" s="307">
        <f t="shared" si="138"/>
        <v>1125364.8824281304</v>
      </c>
      <c r="AC133" s="307">
        <f t="shared" si="138"/>
        <v>1125341.0172787809</v>
      </c>
      <c r="AD133" s="307">
        <f t="shared" si="138"/>
        <v>1124955.4520406621</v>
      </c>
      <c r="AE133" s="307">
        <f t="shared" si="138"/>
        <v>1124642.1040936632</v>
      </c>
      <c r="AF133" s="307">
        <f t="shared" si="138"/>
        <v>1124920.5375877051</v>
      </c>
      <c r="AG133" s="307">
        <f t="shared" si="138"/>
        <v>1125044.7986857884</v>
      </c>
      <c r="AH133" s="307">
        <f t="shared" si="138"/>
        <v>1124980.8719357825</v>
      </c>
      <c r="AI133" s="307">
        <f t="shared" si="138"/>
        <v>1124908.914855578</v>
      </c>
      <c r="AJ133" s="307">
        <f t="shared" si="139"/>
        <v>1124899.6614123867</v>
      </c>
      <c r="AK133" s="307">
        <f t="shared" si="139"/>
        <v>1124951.208884438</v>
      </c>
      <c r="AL133" s="307">
        <f t="shared" si="139"/>
        <v>1124957.3611444535</v>
      </c>
      <c r="AM133" s="307">
        <f t="shared" si="139"/>
        <v>1124939.8736319677</v>
      </c>
      <c r="AN133" s="307">
        <f t="shared" si="139"/>
        <v>1124931.6739692155</v>
      </c>
      <c r="AO133" s="307">
        <f t="shared" si="139"/>
        <v>1124936.2257930136</v>
      </c>
      <c r="AP133" s="307">
        <f t="shared" si="139"/>
        <v>1124943.5386708726</v>
      </c>
      <c r="AQ133" s="307">
        <f t="shared" si="139"/>
        <v>1124942.0046277696</v>
      </c>
      <c r="AR133" s="307"/>
      <c r="AS133" s="307"/>
      <c r="AT133" s="307"/>
      <c r="AU133" s="307"/>
      <c r="AV133" s="307"/>
      <c r="AW133" s="307"/>
      <c r="AX133" s="307"/>
      <c r="AY133" s="307"/>
      <c r="AZ133" s="307"/>
      <c r="BA133" s="307"/>
      <c r="BB133" s="307"/>
      <c r="BC133" s="308"/>
      <c r="BE133" s="308">
        <v>524714.14841940289</v>
      </c>
      <c r="BF133" s="308">
        <f t="shared" si="140"/>
        <v>378186.85158059711</v>
      </c>
      <c r="BG133" s="308">
        <v>980245.70428091905</v>
      </c>
      <c r="BH133" s="308">
        <f t="shared" si="141"/>
        <v>140893.29571908095</v>
      </c>
      <c r="BI133" s="308">
        <v>1048116.6098261194</v>
      </c>
      <c r="BJ133" s="308">
        <f t="shared" si="142"/>
        <v>165039.39017388062</v>
      </c>
      <c r="BK133" s="308">
        <v>1195228.3980491823</v>
      </c>
      <c r="BL133" s="308">
        <f t="shared" si="143"/>
        <v>74817.601950817741</v>
      </c>
      <c r="BM133" s="308">
        <v>1287081</v>
      </c>
      <c r="BN133" s="308">
        <f t="shared" si="144"/>
        <v>0</v>
      </c>
      <c r="BO133" s="308">
        <v>1243060.7790461122</v>
      </c>
      <c r="BP133" s="308">
        <f t="shared" si="145"/>
        <v>0</v>
      </c>
      <c r="BQ133" s="308"/>
      <c r="BR133" s="308"/>
      <c r="BV133" s="308"/>
    </row>
    <row r="134" spans="1:74">
      <c r="A134" s="301" t="s">
        <v>48</v>
      </c>
      <c r="B134" s="308">
        <f>'Monthly D6 Gallon Data'!$F9</f>
        <v>0</v>
      </c>
      <c r="C134" s="308">
        <f>'Monthly D6 Gallon Data'!$F21</f>
        <v>0</v>
      </c>
      <c r="D134" s="308">
        <f>'Monthly D6 Gallon Data'!$F33</f>
        <v>0</v>
      </c>
      <c r="E134" s="308">
        <f>'Monthly D6 Gallon Data'!$F45</f>
        <v>0</v>
      </c>
      <c r="F134" s="308">
        <f>'Monthly D6 Gallon Data'!$F57</f>
        <v>0</v>
      </c>
      <c r="G134" s="308">
        <f>'Monthly D6 Gallon Data'!$F69</f>
        <v>336088</v>
      </c>
      <c r="H134" s="308">
        <f>'Monthly D6 Gallon Data'!$F81</f>
        <v>976339</v>
      </c>
      <c r="I134" s="308">
        <f>'Monthly D6 Gallon Data'!$F93</f>
        <v>1090991</v>
      </c>
      <c r="J134" s="308">
        <f>'Monthly D6 Gallon Data'!$F105</f>
        <v>1143777</v>
      </c>
      <c r="K134" s="308">
        <f>'Monthly D6 Gallon Data'!$F117</f>
        <v>1188063</v>
      </c>
      <c r="L134" s="308">
        <f>'Monthly D6 Gallon Data'!$F129</f>
        <v>1027659</v>
      </c>
      <c r="M134" s="308">
        <f>'Monthly D6 Gallon Data'!$F141</f>
        <v>1197808</v>
      </c>
      <c r="N134" s="308">
        <f>'Monthly D6 Gallon Data'!$F153</f>
        <v>1186039</v>
      </c>
      <c r="O134" s="308">
        <f>'Monthly D6 Gallon Data'!$F165</f>
        <v>1197697</v>
      </c>
      <c r="P134" s="308">
        <f>'Monthly D6 Gallon Data'!$F177</f>
        <v>1182008</v>
      </c>
      <c r="Q134" s="307">
        <f t="shared" si="146"/>
        <v>1242393.1591801862</v>
      </c>
      <c r="R134" s="307">
        <f t="shared" si="136"/>
        <v>1093165.4003803411</v>
      </c>
      <c r="S134" s="307">
        <f t="shared" si="137"/>
        <v>1088823.6938576282</v>
      </c>
      <c r="T134" s="307">
        <f t="shared" si="138"/>
        <v>1096836.7351500809</v>
      </c>
      <c r="U134" s="307">
        <f t="shared" si="138"/>
        <v>1076958.4191041724</v>
      </c>
      <c r="V134" s="307">
        <f t="shared" si="138"/>
        <v>1089139.5734771222</v>
      </c>
      <c r="W134" s="307">
        <f t="shared" si="138"/>
        <v>1088984.7643938689</v>
      </c>
      <c r="X134" s="307">
        <f t="shared" si="138"/>
        <v>1088148.6371965746</v>
      </c>
      <c r="Y134" s="307">
        <f t="shared" si="138"/>
        <v>1088013.6258643637</v>
      </c>
      <c r="Z134" s="307">
        <f t="shared" si="138"/>
        <v>1086249.0040072203</v>
      </c>
      <c r="AA134" s="307">
        <f t="shared" si="138"/>
        <v>1088107.12098783</v>
      </c>
      <c r="AB134" s="307">
        <f t="shared" si="138"/>
        <v>1087900.6304899713</v>
      </c>
      <c r="AC134" s="307">
        <f t="shared" si="138"/>
        <v>1087683.803709192</v>
      </c>
      <c r="AD134" s="307">
        <f t="shared" si="138"/>
        <v>1087590.8370117156</v>
      </c>
      <c r="AE134" s="307">
        <f t="shared" si="138"/>
        <v>1087506.2792411859</v>
      </c>
      <c r="AF134" s="307">
        <f t="shared" si="138"/>
        <v>1087757.7342879788</v>
      </c>
      <c r="AG134" s="307">
        <f t="shared" si="138"/>
        <v>1087687.8569480088</v>
      </c>
      <c r="AH134" s="307">
        <f t="shared" si="138"/>
        <v>1087645.3892512405</v>
      </c>
      <c r="AI134" s="307">
        <f t="shared" si="138"/>
        <v>1087637.7759678406</v>
      </c>
      <c r="AJ134" s="307">
        <f t="shared" si="139"/>
        <v>1087647.2159674664</v>
      </c>
      <c r="AK134" s="307">
        <f t="shared" si="139"/>
        <v>1087675.4381237275</v>
      </c>
      <c r="AL134" s="307">
        <f t="shared" si="139"/>
        <v>1087658.9962897114</v>
      </c>
      <c r="AM134" s="307">
        <f t="shared" si="139"/>
        <v>1087653.2241566458</v>
      </c>
      <c r="AN134" s="307">
        <f t="shared" si="139"/>
        <v>1087654.791138082</v>
      </c>
      <c r="AO134" s="307">
        <f t="shared" si="139"/>
        <v>1087658.194172926</v>
      </c>
      <c r="AP134" s="307">
        <f t="shared" si="139"/>
        <v>1087660.3898145242</v>
      </c>
      <c r="AQ134" s="307">
        <f t="shared" si="139"/>
        <v>1087657.3801519403</v>
      </c>
      <c r="AR134" s="307"/>
      <c r="AS134" s="307"/>
      <c r="AT134" s="307"/>
      <c r="AU134" s="307"/>
      <c r="AV134" s="307"/>
      <c r="AW134" s="307"/>
      <c r="AX134" s="307"/>
      <c r="AY134" s="307"/>
      <c r="AZ134" s="307"/>
      <c r="BA134" s="307"/>
      <c r="BB134" s="307"/>
      <c r="BC134" s="308"/>
      <c r="BE134" s="308">
        <v>893375.31335975556</v>
      </c>
      <c r="BF134" s="308">
        <f t="shared" si="140"/>
        <v>134283.68664024444</v>
      </c>
      <c r="BG134" s="308">
        <v>1078392.08206919</v>
      </c>
      <c r="BH134" s="308">
        <f t="shared" si="141"/>
        <v>119415.91793081001</v>
      </c>
      <c r="BI134" s="308">
        <v>1103262.5690760629</v>
      </c>
      <c r="BJ134" s="308">
        <f t="shared" si="142"/>
        <v>82776.430923937121</v>
      </c>
      <c r="BK134" s="308">
        <v>1244750.352914863</v>
      </c>
      <c r="BL134" s="308">
        <f t="shared" si="143"/>
        <v>-47053.352914863033</v>
      </c>
      <c r="BM134" s="308">
        <v>1182008</v>
      </c>
      <c r="BN134" s="308">
        <f t="shared" si="144"/>
        <v>0</v>
      </c>
      <c r="BO134" s="308">
        <v>1242393.1591801862</v>
      </c>
      <c r="BP134" s="308">
        <f t="shared" si="145"/>
        <v>0</v>
      </c>
      <c r="BQ134" s="308"/>
      <c r="BR134" s="308"/>
      <c r="BV134" s="308"/>
    </row>
    <row r="135" spans="1:74">
      <c r="A135" s="301" t="s">
        <v>49</v>
      </c>
      <c r="B135" s="308">
        <f>'Monthly D6 Gallon Data'!$F10</f>
        <v>1203165</v>
      </c>
      <c r="C135" s="308">
        <f>'Monthly D6 Gallon Data'!$F22</f>
        <v>0</v>
      </c>
      <c r="D135" s="308">
        <f>'Monthly D6 Gallon Data'!$F34</f>
        <v>0</v>
      </c>
      <c r="E135" s="308">
        <f>'Monthly D6 Gallon Data'!$F46</f>
        <v>0</v>
      </c>
      <c r="F135" s="308">
        <f>'Monthly D6 Gallon Data'!$F58</f>
        <v>0</v>
      </c>
      <c r="G135" s="308">
        <f>'Monthly D6 Gallon Data'!$F70</f>
        <v>324022</v>
      </c>
      <c r="H135" s="308">
        <f>'Monthly D6 Gallon Data'!$F82</f>
        <v>952163</v>
      </c>
      <c r="I135" s="308">
        <f>'Monthly D6 Gallon Data'!$F94</f>
        <v>1120198</v>
      </c>
      <c r="J135" s="308">
        <f>'Monthly D6 Gallon Data'!$F106</f>
        <v>1216753</v>
      </c>
      <c r="K135" s="308">
        <f>'Monthly D6 Gallon Data'!$F118</f>
        <v>1396026</v>
      </c>
      <c r="L135" s="308">
        <f>'Monthly D6 Gallon Data'!$F130</f>
        <v>1141159</v>
      </c>
      <c r="M135" s="308">
        <f>'Monthly D6 Gallon Data'!$F142</f>
        <v>1270352</v>
      </c>
      <c r="N135" s="308">
        <f>'Monthly D6 Gallon Data'!$F154</f>
        <v>1299629</v>
      </c>
      <c r="O135" s="308">
        <f>'Monthly D6 Gallon Data'!$F166</f>
        <v>1373621</v>
      </c>
      <c r="P135" s="308">
        <f>'Monthly D6 Gallon Data'!$F178</f>
        <v>1350023</v>
      </c>
      <c r="Q135" s="307">
        <f>(SUM(L135:P135)/SUM(L$141:P$141))*Q$141-100000</f>
        <v>1280459.3931048475</v>
      </c>
      <c r="R135" s="307">
        <f t="shared" si="136"/>
        <v>1196574.6285141872</v>
      </c>
      <c r="S135" s="307">
        <f t="shared" si="137"/>
        <v>1199343.4044525574</v>
      </c>
      <c r="T135" s="307">
        <f t="shared" si="138"/>
        <v>1209454.3550717349</v>
      </c>
      <c r="U135" s="307">
        <f t="shared" si="138"/>
        <v>1177536.2124503597</v>
      </c>
      <c r="V135" s="307">
        <f t="shared" si="138"/>
        <v>1179643.5785201725</v>
      </c>
      <c r="W135" s="307">
        <f t="shared" si="138"/>
        <v>1192510.4358018024</v>
      </c>
      <c r="X135" s="307">
        <f t="shared" si="138"/>
        <v>1191697.5972593254</v>
      </c>
      <c r="Y135" s="307">
        <f t="shared" si="138"/>
        <v>1190168.4358206789</v>
      </c>
      <c r="Z135" s="307">
        <f t="shared" si="138"/>
        <v>1186311.2519704679</v>
      </c>
      <c r="AA135" s="307">
        <f t="shared" si="138"/>
        <v>1188066.2598744896</v>
      </c>
      <c r="AB135" s="307">
        <f t="shared" si="138"/>
        <v>1189750.7961453532</v>
      </c>
      <c r="AC135" s="307">
        <f t="shared" si="138"/>
        <v>1189198.8682140629</v>
      </c>
      <c r="AD135" s="307">
        <f t="shared" si="138"/>
        <v>1188699.1224050105</v>
      </c>
      <c r="AE135" s="307">
        <f t="shared" si="138"/>
        <v>1188405.2597218768</v>
      </c>
      <c r="AF135" s="307">
        <f t="shared" si="138"/>
        <v>1188824.0612721588</v>
      </c>
      <c r="AG135" s="307">
        <f t="shared" si="138"/>
        <v>1188975.6215516925</v>
      </c>
      <c r="AH135" s="307">
        <f t="shared" si="138"/>
        <v>1188820.6817386071</v>
      </c>
      <c r="AI135" s="307">
        <f t="shared" si="138"/>
        <v>1188745.1205171391</v>
      </c>
      <c r="AJ135" s="307">
        <f t="shared" si="139"/>
        <v>1188754.3772010803</v>
      </c>
      <c r="AK135" s="307">
        <f t="shared" si="139"/>
        <v>1188824.2387526799</v>
      </c>
      <c r="AL135" s="307">
        <f t="shared" si="139"/>
        <v>1188824.293269956</v>
      </c>
      <c r="AM135" s="307">
        <f t="shared" si="139"/>
        <v>1188794.0276063222</v>
      </c>
      <c r="AN135" s="307">
        <f t="shared" si="139"/>
        <v>1188788.6967785631</v>
      </c>
      <c r="AO135" s="307">
        <f t="shared" si="139"/>
        <v>1188797.4120329164</v>
      </c>
      <c r="AP135" s="307">
        <f t="shared" si="139"/>
        <v>1188806.0190013265</v>
      </c>
      <c r="AQ135" s="307">
        <f t="shared" si="139"/>
        <v>1188802.3750501585</v>
      </c>
      <c r="AR135" s="307"/>
      <c r="AS135" s="307"/>
      <c r="AT135" s="307"/>
      <c r="AU135" s="307"/>
      <c r="AV135" s="307"/>
      <c r="AW135" s="307"/>
      <c r="AX135" s="307"/>
      <c r="AY135" s="307"/>
      <c r="AZ135" s="307"/>
      <c r="BA135" s="307"/>
      <c r="BB135" s="307"/>
      <c r="BC135" s="308"/>
      <c r="BE135" s="308">
        <v>1044416.8736208428</v>
      </c>
      <c r="BF135" s="308">
        <f t="shared" si="140"/>
        <v>96742.126379157184</v>
      </c>
      <c r="BG135" s="308">
        <v>1157767.6554290703</v>
      </c>
      <c r="BH135" s="308">
        <f t="shared" si="141"/>
        <v>112584.34457092965</v>
      </c>
      <c r="BI135" s="308">
        <v>1296196.1826128867</v>
      </c>
      <c r="BJ135" s="308">
        <f t="shared" si="142"/>
        <v>3432.8173871133476</v>
      </c>
      <c r="BK135" s="308">
        <v>1370577.4311794916</v>
      </c>
      <c r="BL135" s="308">
        <f t="shared" si="143"/>
        <v>3043.5688205084298</v>
      </c>
      <c r="BM135" s="309">
        <v>1350023</v>
      </c>
      <c r="BN135" s="308">
        <f t="shared" si="144"/>
        <v>0</v>
      </c>
      <c r="BO135" s="308">
        <v>1380459.3931048475</v>
      </c>
      <c r="BP135" s="308">
        <f t="shared" si="145"/>
        <v>100000</v>
      </c>
      <c r="BQ135" s="308"/>
      <c r="BR135" s="308"/>
      <c r="BV135" s="308"/>
    </row>
    <row r="136" spans="1:74">
      <c r="A136" s="301" t="s">
        <v>50</v>
      </c>
      <c r="B136" s="308">
        <f>'Monthly D6 Gallon Data'!$F11</f>
        <v>443599</v>
      </c>
      <c r="C136" s="308">
        <f>'Monthly D6 Gallon Data'!$F23</f>
        <v>0</v>
      </c>
      <c r="D136" s="308">
        <f>'Monthly D6 Gallon Data'!$F35</f>
        <v>0</v>
      </c>
      <c r="E136" s="308">
        <f>'Monthly D6 Gallon Data'!$F47</f>
        <v>0</v>
      </c>
      <c r="F136" s="308">
        <f>'Monthly D6 Gallon Data'!$F59</f>
        <v>0</v>
      </c>
      <c r="G136" s="308">
        <f>'Monthly D6 Gallon Data'!$F71</f>
        <v>1098601</v>
      </c>
      <c r="H136" s="308">
        <f>'Monthly D6 Gallon Data'!$F83</f>
        <v>1091073</v>
      </c>
      <c r="I136" s="308">
        <f>'Monthly D6 Gallon Data'!$F95</f>
        <v>1189169</v>
      </c>
      <c r="J136" s="308">
        <f>'Monthly D6 Gallon Data'!$F107</f>
        <v>1228733</v>
      </c>
      <c r="K136" s="308">
        <f>'Monthly D6 Gallon Data'!$F119</f>
        <v>1317554</v>
      </c>
      <c r="L136" s="308">
        <f>'Monthly D6 Gallon Data'!$F131</f>
        <v>1191316</v>
      </c>
      <c r="M136" s="308">
        <f>'Monthly D6 Gallon Data'!$F143</f>
        <v>958375</v>
      </c>
      <c r="N136" s="308">
        <f>'Monthly D6 Gallon Data'!$F155</f>
        <v>1330253</v>
      </c>
      <c r="O136" s="308">
        <f>'Monthly D6 Gallon Data'!$F167</f>
        <v>1450570</v>
      </c>
      <c r="P136" s="308">
        <f>'Monthly D6 Gallon Data'!$F179</f>
        <v>1345517</v>
      </c>
      <c r="Q136" s="307">
        <f>(SUM(L136:P136)/SUM(L$141:P$141))*Q$141-100000</f>
        <v>1246401.9841796102</v>
      </c>
      <c r="R136" s="307">
        <f t="shared" si="136"/>
        <v>1152351.1869379429</v>
      </c>
      <c r="S136" s="307">
        <f t="shared" si="137"/>
        <v>1203916.5891996711</v>
      </c>
      <c r="T136" s="307">
        <f t="shared" si="138"/>
        <v>1209215.362824287</v>
      </c>
      <c r="U136" s="307">
        <f t="shared" si="138"/>
        <v>1162721.7485152034</v>
      </c>
      <c r="V136" s="307">
        <f t="shared" si="138"/>
        <v>1162374.8777542247</v>
      </c>
      <c r="W136" s="307">
        <f t="shared" si="138"/>
        <v>1178115.9530462658</v>
      </c>
      <c r="X136" s="307">
        <f t="shared" si="138"/>
        <v>1183268.9062679303</v>
      </c>
      <c r="Y136" s="307">
        <f t="shared" si="138"/>
        <v>1179139.3696815823</v>
      </c>
      <c r="Z136" s="307">
        <f t="shared" si="138"/>
        <v>1173124.1710530412</v>
      </c>
      <c r="AA136" s="307">
        <f t="shared" si="138"/>
        <v>1175204.655560609</v>
      </c>
      <c r="AB136" s="307">
        <f t="shared" si="138"/>
        <v>1177770.6111218855</v>
      </c>
      <c r="AC136" s="307">
        <f t="shared" si="138"/>
        <v>1177701.5427370097</v>
      </c>
      <c r="AD136" s="307">
        <f t="shared" si="138"/>
        <v>1176588.0700308254</v>
      </c>
      <c r="AE136" s="307">
        <f t="shared" si="138"/>
        <v>1176077.8101006742</v>
      </c>
      <c r="AF136" s="307">
        <f t="shared" si="138"/>
        <v>1176668.5379102007</v>
      </c>
      <c r="AG136" s="307">
        <f t="shared" si="138"/>
        <v>1176961.3143801189</v>
      </c>
      <c r="AH136" s="307">
        <f t="shared" si="138"/>
        <v>1176799.5491757221</v>
      </c>
      <c r="AI136" s="307">
        <f t="shared" si="138"/>
        <v>1176619.2257526498</v>
      </c>
      <c r="AJ136" s="307">
        <f t="shared" si="139"/>
        <v>1176625.5133759174</v>
      </c>
      <c r="AK136" s="307">
        <f t="shared" si="139"/>
        <v>1176735.0917074981</v>
      </c>
      <c r="AL136" s="307">
        <f t="shared" si="139"/>
        <v>1176748.4212978894</v>
      </c>
      <c r="AM136" s="307">
        <f t="shared" si="139"/>
        <v>1176705.842671202</v>
      </c>
      <c r="AN136" s="307">
        <f t="shared" si="139"/>
        <v>1176687.1013657774</v>
      </c>
      <c r="AO136" s="307">
        <f t="shared" si="139"/>
        <v>1176700.6764916384</v>
      </c>
      <c r="AP136" s="307">
        <f t="shared" si="139"/>
        <v>1176715.7091183681</v>
      </c>
      <c r="AQ136" s="307">
        <f t="shared" si="139"/>
        <v>1176711.8325995891</v>
      </c>
      <c r="AR136" s="307"/>
      <c r="AS136" s="307"/>
      <c r="AT136" s="307"/>
      <c r="AU136" s="307"/>
      <c r="AV136" s="307"/>
      <c r="AW136" s="307"/>
      <c r="AX136" s="307"/>
      <c r="AY136" s="307"/>
      <c r="AZ136" s="307"/>
      <c r="BA136" s="307"/>
      <c r="BB136" s="307"/>
      <c r="BC136" s="308"/>
      <c r="BE136" s="308">
        <v>1256671.6200380807</v>
      </c>
      <c r="BF136" s="308">
        <f t="shared" si="140"/>
        <v>-65355.620038080728</v>
      </c>
      <c r="BG136" s="308">
        <v>1131257.4078818588</v>
      </c>
      <c r="BH136" s="308">
        <f t="shared" si="141"/>
        <v>-172882.40788185876</v>
      </c>
      <c r="BI136" s="308">
        <v>891487.50481987814</v>
      </c>
      <c r="BJ136" s="308">
        <f t="shared" si="142"/>
        <v>438765.49518012186</v>
      </c>
      <c r="BK136" s="308">
        <v>1306059.7714287955</v>
      </c>
      <c r="BL136" s="308">
        <f t="shared" si="143"/>
        <v>144510.22857120447</v>
      </c>
      <c r="BM136" s="309">
        <v>1345517</v>
      </c>
      <c r="BN136" s="308">
        <f t="shared" si="144"/>
        <v>0</v>
      </c>
      <c r="BO136" s="308">
        <v>1346401.9841796102</v>
      </c>
      <c r="BP136" s="308">
        <f t="shared" si="145"/>
        <v>100000</v>
      </c>
      <c r="BQ136" s="308"/>
      <c r="BR136" s="308"/>
      <c r="BV136" s="308"/>
    </row>
    <row r="137" spans="1:74">
      <c r="A137" s="301" t="s">
        <v>51</v>
      </c>
      <c r="B137" s="308">
        <f>'Monthly D6 Gallon Data'!$F12</f>
        <v>222920</v>
      </c>
      <c r="C137" s="308">
        <f>'Monthly D6 Gallon Data'!$F24</f>
        <v>1551573</v>
      </c>
      <c r="D137" s="308">
        <f>'Monthly D6 Gallon Data'!$F36</f>
        <v>0</v>
      </c>
      <c r="E137" s="308">
        <f>'Monthly D6 Gallon Data'!$F48</f>
        <v>0</v>
      </c>
      <c r="F137" s="308">
        <f>'Monthly D6 Gallon Data'!$F60</f>
        <v>302200</v>
      </c>
      <c r="G137" s="308">
        <f>'Monthly D6 Gallon Data'!$F72</f>
        <v>966470</v>
      </c>
      <c r="H137" s="308">
        <f>'Monthly D6 Gallon Data'!$F84</f>
        <v>1070023</v>
      </c>
      <c r="I137" s="308">
        <f>'Monthly D6 Gallon Data'!$F96</f>
        <v>979481</v>
      </c>
      <c r="J137" s="308">
        <f>'Monthly D6 Gallon Data'!$F108</f>
        <v>1038106</v>
      </c>
      <c r="K137" s="308">
        <f>'Monthly D6 Gallon Data'!$F120</f>
        <v>1155897</v>
      </c>
      <c r="L137" s="308">
        <f>'Monthly D6 Gallon Data'!$F132</f>
        <v>1159627</v>
      </c>
      <c r="M137" s="308">
        <f>'Monthly D6 Gallon Data'!$F144</f>
        <v>1217879</v>
      </c>
      <c r="N137" s="308">
        <f>'Monthly D6 Gallon Data'!$F156</f>
        <v>1189662</v>
      </c>
      <c r="O137" s="308">
        <f>'Monthly D6 Gallon Data'!$F168</f>
        <v>1272177</v>
      </c>
      <c r="P137" s="308">
        <f>'Monthly D6 Gallon Data'!$F180</f>
        <v>1172907</v>
      </c>
      <c r="Q137" s="307">
        <f t="shared" si="146"/>
        <v>1289813.2629025939</v>
      </c>
      <c r="R137" s="307">
        <f t="shared" si="136"/>
        <v>1118009.0402114161</v>
      </c>
      <c r="S137" s="307">
        <f t="shared" si="137"/>
        <v>1114888.0223951065</v>
      </c>
      <c r="T137" s="307">
        <f t="shared" si="138"/>
        <v>1127773.5427191749</v>
      </c>
      <c r="U137" s="307">
        <f t="shared" si="138"/>
        <v>1099649.3451591083</v>
      </c>
      <c r="V137" s="307">
        <f t="shared" si="138"/>
        <v>1118702.9598029961</v>
      </c>
      <c r="W137" s="307">
        <f t="shared" si="138"/>
        <v>1115804.5820575606</v>
      </c>
      <c r="X137" s="307">
        <f t="shared" si="138"/>
        <v>1115363.6904267892</v>
      </c>
      <c r="Y137" s="307">
        <f t="shared" si="138"/>
        <v>1115458.8240331258</v>
      </c>
      <c r="Z137" s="307">
        <f t="shared" si="138"/>
        <v>1112995.880295916</v>
      </c>
      <c r="AA137" s="307">
        <f t="shared" si="138"/>
        <v>1115665.1873232774</v>
      </c>
      <c r="AB137" s="307">
        <f t="shared" si="138"/>
        <v>1115057.6328273339</v>
      </c>
      <c r="AC137" s="307">
        <f t="shared" si="138"/>
        <v>1114908.2429812886</v>
      </c>
      <c r="AD137" s="307">
        <f t="shared" si="138"/>
        <v>1114817.1534921883</v>
      </c>
      <c r="AE137" s="307">
        <f t="shared" si="138"/>
        <v>1114688.819384001</v>
      </c>
      <c r="AF137" s="307">
        <f t="shared" si="138"/>
        <v>1115027.4072016177</v>
      </c>
      <c r="AG137" s="307">
        <f t="shared" si="138"/>
        <v>1114899.8511772861</v>
      </c>
      <c r="AH137" s="307">
        <f t="shared" si="138"/>
        <v>1114868.3840367401</v>
      </c>
      <c r="AI137" s="307">
        <f t="shared" si="138"/>
        <v>1114860.4835982507</v>
      </c>
      <c r="AJ137" s="307">
        <f t="shared" si="139"/>
        <v>1114869.2031344147</v>
      </c>
      <c r="AK137" s="307">
        <f t="shared" si="139"/>
        <v>1114905.3155683726</v>
      </c>
      <c r="AL137" s="307">
        <f t="shared" si="139"/>
        <v>1114880.9150743254</v>
      </c>
      <c r="AM137" s="307">
        <f t="shared" si="139"/>
        <v>1114877.1278528029</v>
      </c>
      <c r="AN137" s="307">
        <f t="shared" si="139"/>
        <v>1114878.8766164139</v>
      </c>
      <c r="AO137" s="307">
        <f t="shared" si="139"/>
        <v>1114882.5552209078</v>
      </c>
      <c r="AP137" s="307">
        <f t="shared" si="139"/>
        <v>1114885.2256388259</v>
      </c>
      <c r="AQ137" s="307">
        <f t="shared" si="139"/>
        <v>1114881.2076519309</v>
      </c>
      <c r="AR137" s="307"/>
      <c r="AS137" s="307"/>
      <c r="AT137" s="307"/>
      <c r="AU137" s="307"/>
      <c r="AV137" s="307"/>
      <c r="AW137" s="307"/>
      <c r="AX137" s="307"/>
      <c r="AY137" s="307"/>
      <c r="AZ137" s="307"/>
      <c r="BA137" s="307"/>
      <c r="BB137" s="307"/>
      <c r="BC137" s="308"/>
      <c r="BE137" s="308">
        <v>1193726.9949159157</v>
      </c>
      <c r="BF137" s="308">
        <f t="shared" si="140"/>
        <v>-34099.994915915653</v>
      </c>
      <c r="BG137" s="308">
        <v>1001974.1459640095</v>
      </c>
      <c r="BH137" s="308">
        <f t="shared" si="141"/>
        <v>215904.85403599055</v>
      </c>
      <c r="BI137" s="308">
        <v>1236051.5356448453</v>
      </c>
      <c r="BJ137" s="308">
        <f t="shared" si="142"/>
        <v>-46389.535644845339</v>
      </c>
      <c r="BK137" s="308">
        <v>1248613.5495672512</v>
      </c>
      <c r="BL137" s="308">
        <f t="shared" si="143"/>
        <v>23563.450432748767</v>
      </c>
      <c r="BM137" s="309">
        <v>1172907</v>
      </c>
      <c r="BN137" s="308">
        <f t="shared" si="144"/>
        <v>0</v>
      </c>
      <c r="BO137" s="308">
        <v>1289813.2629025939</v>
      </c>
      <c r="BP137" s="308">
        <f t="shared" si="145"/>
        <v>0</v>
      </c>
      <c r="BQ137" s="308"/>
      <c r="BR137" s="308"/>
      <c r="BV137" s="308"/>
    </row>
    <row r="138" spans="1:74">
      <c r="A138" s="301" t="s">
        <v>52</v>
      </c>
      <c r="B138" s="308">
        <f>'Monthly D6 Gallon Data'!$F13</f>
        <v>164225</v>
      </c>
      <c r="C138" s="308">
        <f>'Monthly D6 Gallon Data'!$F25</f>
        <v>822011</v>
      </c>
      <c r="D138" s="308">
        <f>'Monthly D6 Gallon Data'!$F37</f>
        <v>0</v>
      </c>
      <c r="E138" s="308">
        <f>'Monthly D6 Gallon Data'!$F49</f>
        <v>0</v>
      </c>
      <c r="F138" s="308">
        <f>'Monthly D6 Gallon Data'!$F61</f>
        <v>334809</v>
      </c>
      <c r="G138" s="308">
        <f>'Monthly D6 Gallon Data'!$F73</f>
        <v>1033369</v>
      </c>
      <c r="H138" s="308">
        <f>'Monthly D6 Gallon Data'!$F85</f>
        <v>1000595</v>
      </c>
      <c r="I138" s="308">
        <f>'Monthly D6 Gallon Data'!$F97</f>
        <v>1017150</v>
      </c>
      <c r="J138" s="308">
        <f>'Monthly D6 Gallon Data'!$F109</f>
        <v>1136344</v>
      </c>
      <c r="K138" s="308">
        <f>'Monthly D6 Gallon Data'!$F121</f>
        <v>1202514</v>
      </c>
      <c r="L138" s="308">
        <f>'Monthly D6 Gallon Data'!$F133</f>
        <v>1153031</v>
      </c>
      <c r="M138" s="308">
        <f>'Monthly D6 Gallon Data'!$F145</f>
        <v>1225091</v>
      </c>
      <c r="N138" s="308">
        <f>'Monthly D6 Gallon Data'!$F157</f>
        <v>1222050</v>
      </c>
      <c r="O138" s="308">
        <f>'Monthly D6 Gallon Data'!$F169</f>
        <v>1344472</v>
      </c>
      <c r="P138" s="308">
        <f>'Monthly D6 Gallon Data'!$F181</f>
        <v>1337021</v>
      </c>
      <c r="Q138" s="307">
        <f>(SUM(L138:P138)/SUM(L$141:P$141))*Q$141-100000</f>
        <v>1247610.6507363669</v>
      </c>
      <c r="R138" s="307">
        <f t="shared" si="136"/>
        <v>1160565.0487652265</v>
      </c>
      <c r="S138" s="307">
        <f t="shared" si="137"/>
        <v>1164547.7925628298</v>
      </c>
      <c r="T138" s="307">
        <f t="shared" si="138"/>
        <v>1181900.632875189</v>
      </c>
      <c r="U138" s="307">
        <f t="shared" si="138"/>
        <v>1150304.6462377554</v>
      </c>
      <c r="V138" s="307">
        <f t="shared" si="138"/>
        <v>1148818.8270773087</v>
      </c>
      <c r="W138" s="307">
        <f t="shared" si="138"/>
        <v>1161227.3895036618</v>
      </c>
      <c r="X138" s="307">
        <f t="shared" si="138"/>
        <v>1161359.8576513487</v>
      </c>
      <c r="Y138" s="307">
        <f t="shared" si="138"/>
        <v>1160722.2706690528</v>
      </c>
      <c r="Z138" s="307">
        <f t="shared" si="138"/>
        <v>1156486.5982278255</v>
      </c>
      <c r="AA138" s="307">
        <f t="shared" si="138"/>
        <v>1157722.9886258394</v>
      </c>
      <c r="AB138" s="307">
        <f t="shared" si="138"/>
        <v>1159503.8209355457</v>
      </c>
      <c r="AC138" s="307">
        <f t="shared" si="138"/>
        <v>1159159.1072219221</v>
      </c>
      <c r="AD138" s="307">
        <f t="shared" si="138"/>
        <v>1158718.9571360371</v>
      </c>
      <c r="AE138" s="307">
        <f t="shared" si="138"/>
        <v>1158318.294429434</v>
      </c>
      <c r="AF138" s="307">
        <f t="shared" si="138"/>
        <v>1158684.6336697557</v>
      </c>
      <c r="AG138" s="307">
        <f t="shared" si="138"/>
        <v>1158876.9626785389</v>
      </c>
      <c r="AH138" s="307">
        <f t="shared" si="138"/>
        <v>1158751.6837272649</v>
      </c>
      <c r="AI138" s="307">
        <f t="shared" si="138"/>
        <v>1158670.2731766987</v>
      </c>
      <c r="AJ138" s="307">
        <f t="shared" si="139"/>
        <v>1158660.5919991189</v>
      </c>
      <c r="AK138" s="307">
        <f t="shared" si="139"/>
        <v>1158729.0886055084</v>
      </c>
      <c r="AL138" s="307">
        <f t="shared" si="139"/>
        <v>1158737.9981344345</v>
      </c>
      <c r="AM138" s="307">
        <f t="shared" si="139"/>
        <v>1158710.2052189207</v>
      </c>
      <c r="AN138" s="307">
        <f t="shared" si="139"/>
        <v>1158701.9095152386</v>
      </c>
      <c r="AO138" s="307">
        <f t="shared" si="139"/>
        <v>1158708.2367844428</v>
      </c>
      <c r="AP138" s="307">
        <f t="shared" si="139"/>
        <v>1158717.7657437727</v>
      </c>
      <c r="AQ138" s="307">
        <f t="shared" si="139"/>
        <v>1158715.5011708599</v>
      </c>
      <c r="AR138" s="307"/>
      <c r="AS138" s="307"/>
      <c r="AT138" s="307"/>
      <c r="AU138" s="307"/>
      <c r="AV138" s="307"/>
      <c r="AW138" s="307"/>
      <c r="AX138" s="307"/>
      <c r="AY138" s="307"/>
      <c r="AZ138" s="307"/>
      <c r="BA138" s="307"/>
      <c r="BB138" s="307"/>
      <c r="BC138" s="308"/>
      <c r="BE138" s="308">
        <v>1187502.275679236</v>
      </c>
      <c r="BF138" s="308">
        <f t="shared" si="140"/>
        <v>-34471.275679236045</v>
      </c>
      <c r="BG138" s="308">
        <v>1023202.1492941447</v>
      </c>
      <c r="BH138" s="308">
        <f t="shared" si="141"/>
        <v>201888.85070585529</v>
      </c>
      <c r="BI138" s="308">
        <v>1276831.7348954291</v>
      </c>
      <c r="BJ138" s="308">
        <f t="shared" si="142"/>
        <v>-54781.734895429108</v>
      </c>
      <c r="BK138" s="308">
        <v>1287160.7750032749</v>
      </c>
      <c r="BL138" s="308">
        <f t="shared" si="143"/>
        <v>57311.224996725097</v>
      </c>
      <c r="BM138" s="309">
        <v>1137427.730728491</v>
      </c>
      <c r="BN138" s="308">
        <f t="shared" si="144"/>
        <v>199593.26927150902</v>
      </c>
      <c r="BO138" s="308">
        <v>1347610.6507363669</v>
      </c>
      <c r="BP138" s="308">
        <f t="shared" si="145"/>
        <v>100000</v>
      </c>
      <c r="BQ138" s="308"/>
      <c r="BR138" s="308"/>
      <c r="BV138" s="308"/>
    </row>
    <row r="139" spans="1:74">
      <c r="A139" s="301" t="s">
        <v>53</v>
      </c>
      <c r="B139" s="308">
        <f>'Monthly D6 Gallon Data'!$F14</f>
        <v>345673</v>
      </c>
      <c r="C139" s="308">
        <f>'Monthly D6 Gallon Data'!$F26</f>
        <v>738947</v>
      </c>
      <c r="D139" s="308">
        <f>'Monthly D6 Gallon Data'!$F38</f>
        <v>0</v>
      </c>
      <c r="E139" s="308">
        <f>'Monthly D6 Gallon Data'!$F50</f>
        <v>0</v>
      </c>
      <c r="F139" s="308">
        <f>'Monthly D6 Gallon Data'!$F62</f>
        <v>298873</v>
      </c>
      <c r="G139" s="308">
        <f>'Monthly D6 Gallon Data'!$F74</f>
        <v>898231</v>
      </c>
      <c r="H139" s="308">
        <f>'Monthly D6 Gallon Data'!$F86</f>
        <v>982939</v>
      </c>
      <c r="I139" s="308">
        <f>'Monthly D6 Gallon Data'!$F98</f>
        <v>1027845</v>
      </c>
      <c r="J139" s="308">
        <f>'Monthly D6 Gallon Data'!$F110</f>
        <v>1041666</v>
      </c>
      <c r="K139" s="308">
        <f>'Monthly D6 Gallon Data'!$F122</f>
        <v>1027120</v>
      </c>
      <c r="L139" s="308">
        <f>'Monthly D6 Gallon Data'!$F134</f>
        <v>894215</v>
      </c>
      <c r="M139" s="308">
        <f>'Monthly D6 Gallon Data'!$F146</f>
        <v>1184651</v>
      </c>
      <c r="N139" s="308">
        <f>'Monthly D6 Gallon Data'!$F158</f>
        <v>1189598</v>
      </c>
      <c r="O139" s="308">
        <f>'Monthly D6 Gallon Data'!$F170</f>
        <v>1110302</v>
      </c>
      <c r="P139" s="308">
        <f>'Monthly D6 Gallon Data'!$F182</f>
        <v>1118970</v>
      </c>
      <c r="Q139" s="307">
        <f t="shared" si="146"/>
        <v>1179433.7311105814</v>
      </c>
      <c r="R139" s="307">
        <f t="shared" si="136"/>
        <v>1052578.0466631507</v>
      </c>
      <c r="S139" s="307">
        <f t="shared" si="137"/>
        <v>1042619.643498936</v>
      </c>
      <c r="T139" s="307">
        <f t="shared" si="138"/>
        <v>1040109.0120784831</v>
      </c>
      <c r="U139" s="307">
        <f t="shared" si="138"/>
        <v>1026064.7541999351</v>
      </c>
      <c r="V139" s="307">
        <f t="shared" si="138"/>
        <v>1039067.1571111063</v>
      </c>
      <c r="W139" s="307">
        <f t="shared" si="138"/>
        <v>1040087.7227103222</v>
      </c>
      <c r="X139" s="307">
        <f t="shared" si="138"/>
        <v>1037589.6579197567</v>
      </c>
      <c r="Y139" s="307">
        <f t="shared" si="138"/>
        <v>1036583.6608039207</v>
      </c>
      <c r="Z139" s="307">
        <f t="shared" si="138"/>
        <v>1035878.5905490081</v>
      </c>
      <c r="AA139" s="307">
        <f t="shared" si="138"/>
        <v>1037841.3578188227</v>
      </c>
      <c r="AB139" s="307">
        <f t="shared" si="138"/>
        <v>1037596.1979603661</v>
      </c>
      <c r="AC139" s="307">
        <f t="shared" si="138"/>
        <v>1037097.8930103749</v>
      </c>
      <c r="AD139" s="307">
        <f t="shared" si="138"/>
        <v>1036999.5400284985</v>
      </c>
      <c r="AE139" s="307">
        <f t="shared" si="138"/>
        <v>1037082.7158734142</v>
      </c>
      <c r="AF139" s="307">
        <f t="shared" si="138"/>
        <v>1037323.5409382954</v>
      </c>
      <c r="AG139" s="307">
        <f t="shared" si="138"/>
        <v>1037219.9775621899</v>
      </c>
      <c r="AH139" s="307">
        <f t="shared" si="138"/>
        <v>1037144.8164541334</v>
      </c>
      <c r="AI139" s="307">
        <f t="shared" si="138"/>
        <v>1037154.267521497</v>
      </c>
      <c r="AJ139" s="307">
        <f t="shared" si="139"/>
        <v>1037185.2628094286</v>
      </c>
      <c r="AK139" s="307">
        <f t="shared" si="139"/>
        <v>1037205.8053911349</v>
      </c>
      <c r="AL139" s="307">
        <f t="shared" si="139"/>
        <v>1037182.2748713231</v>
      </c>
      <c r="AM139" s="307">
        <f t="shared" si="139"/>
        <v>1037174.7343313202</v>
      </c>
      <c r="AN139" s="307">
        <f t="shared" si="139"/>
        <v>1037180.7179081737</v>
      </c>
      <c r="AO139" s="307">
        <f t="shared" si="139"/>
        <v>1037186.0079867587</v>
      </c>
      <c r="AP139" s="307">
        <f t="shared" si="139"/>
        <v>1037186.1570222406</v>
      </c>
      <c r="AQ139" s="307">
        <f t="shared" si="139"/>
        <v>1037182.2273474986</v>
      </c>
      <c r="AR139" s="307"/>
      <c r="AS139" s="307"/>
      <c r="AT139" s="307"/>
      <c r="AU139" s="307"/>
      <c r="AV139" s="307"/>
      <c r="AW139" s="307"/>
      <c r="AX139" s="307"/>
      <c r="AY139" s="307"/>
      <c r="AZ139" s="307"/>
      <c r="BA139" s="307"/>
      <c r="BB139" s="307"/>
      <c r="BC139" s="308"/>
      <c r="BE139" s="308">
        <v>992624.81052889349</v>
      </c>
      <c r="BF139" s="308">
        <f t="shared" si="140"/>
        <v>-98409.810528893489</v>
      </c>
      <c r="BG139" s="308">
        <v>937213.382824737</v>
      </c>
      <c r="BH139" s="308">
        <f t="shared" si="141"/>
        <v>247437.617175263</v>
      </c>
      <c r="BI139" s="308">
        <v>1152439.6575341139</v>
      </c>
      <c r="BJ139" s="308">
        <f t="shared" si="142"/>
        <v>37158.342465886148</v>
      </c>
      <c r="BK139" s="309">
        <v>1034975.6777450534</v>
      </c>
      <c r="BL139" s="308">
        <f t="shared" si="143"/>
        <v>75326.322254946572</v>
      </c>
      <c r="BM139" s="309">
        <v>1176785.7306258043</v>
      </c>
      <c r="BN139" s="308">
        <f t="shared" si="144"/>
        <v>-57815.730625804281</v>
      </c>
      <c r="BO139" s="308">
        <v>1179433.7311105814</v>
      </c>
      <c r="BP139" s="308">
        <f t="shared" si="145"/>
        <v>0</v>
      </c>
      <c r="BQ139" s="308"/>
      <c r="BR139" s="308"/>
      <c r="BV139" s="308"/>
    </row>
    <row r="140" spans="1:74">
      <c r="A140" s="301" t="s">
        <v>54</v>
      </c>
      <c r="B140" s="308">
        <f>'Monthly D6 Gallon Data'!$F15</f>
        <v>237904</v>
      </c>
      <c r="C140" s="308">
        <f>'Monthly D6 Gallon Data'!$F27</f>
        <v>0</v>
      </c>
      <c r="D140" s="308">
        <f>'Monthly D6 Gallon Data'!$F39</f>
        <v>0</v>
      </c>
      <c r="E140" s="308">
        <f>'Monthly D6 Gallon Data'!$F51</f>
        <v>0</v>
      </c>
      <c r="F140" s="308">
        <f>'Monthly D6 Gallon Data'!$F63</f>
        <v>251548</v>
      </c>
      <c r="G140" s="308">
        <f>'Monthly D6 Gallon Data'!$F75</f>
        <v>950365</v>
      </c>
      <c r="H140" s="308">
        <f>'Monthly D6 Gallon Data'!$F87</f>
        <v>1028018</v>
      </c>
      <c r="I140" s="308">
        <f>'Monthly D6 Gallon Data'!$F99</f>
        <v>1024633</v>
      </c>
      <c r="J140" s="308">
        <f>'Monthly D6 Gallon Data'!$F111</f>
        <v>1043041</v>
      </c>
      <c r="K140" s="308">
        <f>'Monthly D6 Gallon Data'!$F123</f>
        <v>1132234</v>
      </c>
      <c r="L140" s="308">
        <f>'Monthly D6 Gallon Data'!$F135</f>
        <v>1030705</v>
      </c>
      <c r="M140" s="308">
        <f>'Monthly D6 Gallon Data'!$F147</f>
        <v>1245454</v>
      </c>
      <c r="N140" s="308">
        <f>'Monthly D6 Gallon Data'!$F159</f>
        <v>1287796</v>
      </c>
      <c r="O140" s="308">
        <f>'Monthly D6 Gallon Data'!$F171</f>
        <v>1174079</v>
      </c>
      <c r="P140" s="308">
        <f>'Monthly D6 Gallon Data'!$F183</f>
        <v>1210839</v>
      </c>
      <c r="Q140" s="336">
        <f t="shared" ref="Q140:AD140" si="147">Q141-SUM(Q129:Q139)</f>
        <v>1186530.825520318</v>
      </c>
      <c r="R140" s="307">
        <f t="shared" si="147"/>
        <v>1111139.9386657458</v>
      </c>
      <c r="S140" s="307">
        <f t="shared" si="147"/>
        <v>1101569.7512680124</v>
      </c>
      <c r="T140" s="307">
        <f t="shared" si="147"/>
        <v>1093070.6698016822</v>
      </c>
      <c r="U140" s="307">
        <f t="shared" si="147"/>
        <v>1076943.9160913769</v>
      </c>
      <c r="V140" s="307">
        <f t="shared" si="147"/>
        <v>1083512.6656317394</v>
      </c>
      <c r="W140" s="307">
        <f t="shared" si="147"/>
        <v>1093247.3882917129</v>
      </c>
      <c r="X140" s="307">
        <f t="shared" si="147"/>
        <v>1089668.8782169037</v>
      </c>
      <c r="Y140" s="307">
        <f t="shared" si="147"/>
        <v>1087288.7036066819</v>
      </c>
      <c r="Z140" s="307">
        <f t="shared" si="147"/>
        <v>1086132.3103676829</v>
      </c>
      <c r="AA140" s="307">
        <f t="shared" si="147"/>
        <v>1087969.9892229438</v>
      </c>
      <c r="AB140" s="307">
        <f t="shared" si="147"/>
        <v>1088861.4539411869</v>
      </c>
      <c r="AC140" s="307">
        <f t="shared" si="147"/>
        <v>1087984.2670710813</v>
      </c>
      <c r="AD140" s="307">
        <f t="shared" si="147"/>
        <v>1087647.3448419161</v>
      </c>
      <c r="AE140" s="307">
        <f>AE141-SUM(AE129:AE139)</f>
        <v>1087719.0730889607</v>
      </c>
      <c r="AF140" s="307">
        <f>AF141-SUM(AF129:AF139)</f>
        <v>1088036.4256332163</v>
      </c>
      <c r="AG140" s="307">
        <f>AG141-SUM(AG129:AG139)</f>
        <v>1088049.7129152734</v>
      </c>
      <c r="AH140" s="307">
        <f t="shared" ref="AH140:AQ140" si="148">AH141-SUM(AH129:AH139)</f>
        <v>1087887.4517410789</v>
      </c>
      <c r="AI140" s="307">
        <f t="shared" si="148"/>
        <v>1087868.1582970805</v>
      </c>
      <c r="AJ140" s="307">
        <f t="shared" si="148"/>
        <v>1087912.3732142467</v>
      </c>
      <c r="AK140" s="307">
        <f t="shared" si="148"/>
        <v>1087951.0680611413</v>
      </c>
      <c r="AL140" s="307">
        <f t="shared" si="148"/>
        <v>1087934.0139498208</v>
      </c>
      <c r="AM140" s="307">
        <f t="shared" si="148"/>
        <v>1087910.8741511572</v>
      </c>
      <c r="AN140" s="307">
        <f t="shared" si="148"/>
        <v>1087915.5586342756</v>
      </c>
      <c r="AO140" s="307">
        <f t="shared" si="148"/>
        <v>1087925.0387039706</v>
      </c>
      <c r="AP140" s="307">
        <f t="shared" si="148"/>
        <v>1087927.5718025006</v>
      </c>
      <c r="AQ140" s="307">
        <f t="shared" si="148"/>
        <v>1087922.872549627</v>
      </c>
      <c r="AR140" s="307"/>
      <c r="AS140" s="307"/>
      <c r="AT140" s="307"/>
      <c r="AU140" s="307"/>
      <c r="AV140" s="307"/>
      <c r="AW140" s="307"/>
      <c r="AX140" s="307"/>
      <c r="AY140" s="307"/>
      <c r="AZ140" s="307"/>
      <c r="BA140" s="307"/>
      <c r="BB140" s="307"/>
      <c r="BC140" s="308"/>
      <c r="BE140" s="308">
        <v>309501.20678710938</v>
      </c>
      <c r="BF140" s="308">
        <f t="shared" si="140"/>
        <v>721203.79321289063</v>
      </c>
      <c r="BG140" s="308">
        <v>1285403.211145401</v>
      </c>
      <c r="BH140" s="308">
        <f t="shared" si="141"/>
        <v>-39949.211145401001</v>
      </c>
      <c r="BI140" s="308">
        <v>1434947</v>
      </c>
      <c r="BJ140" s="308">
        <f t="shared" si="142"/>
        <v>-147151</v>
      </c>
      <c r="BK140" s="309">
        <v>1549651.3222549465</v>
      </c>
      <c r="BL140" s="308">
        <f t="shared" si="143"/>
        <v>-375572.32225494646</v>
      </c>
      <c r="BM140" s="309">
        <v>1156618.5386457052</v>
      </c>
      <c r="BN140" s="308">
        <f t="shared" si="144"/>
        <v>54220.461354294792</v>
      </c>
      <c r="BO140" s="308">
        <v>991200.29384835251</v>
      </c>
      <c r="BP140" s="308">
        <f t="shared" si="145"/>
        <v>-195330.53167196549</v>
      </c>
      <c r="BQ140" s="308"/>
      <c r="BR140" s="308"/>
      <c r="BV140" s="308"/>
    </row>
    <row r="141" spans="1:74" ht="12" thickBot="1">
      <c r="A141" s="301" t="s">
        <v>29</v>
      </c>
      <c r="B141" s="308">
        <f t="shared" ref="B141:P141" si="149">SUM(B129:B140)</f>
        <v>2617486</v>
      </c>
      <c r="C141" s="308">
        <f t="shared" si="149"/>
        <v>3204291</v>
      </c>
      <c r="D141" s="308">
        <f t="shared" si="149"/>
        <v>0</v>
      </c>
      <c r="E141" s="308">
        <f t="shared" si="149"/>
        <v>0</v>
      </c>
      <c r="F141" s="308">
        <f t="shared" si="149"/>
        <v>1187430</v>
      </c>
      <c r="G141" s="308">
        <f t="shared" si="149"/>
        <v>7007845</v>
      </c>
      <c r="H141" s="308">
        <f t="shared" si="149"/>
        <v>11738985</v>
      </c>
      <c r="I141" s="308">
        <f t="shared" si="149"/>
        <v>12347968</v>
      </c>
      <c r="J141" s="308">
        <f t="shared" si="149"/>
        <v>12738772</v>
      </c>
      <c r="K141" s="308">
        <f t="shared" si="149"/>
        <v>13483230</v>
      </c>
      <c r="L141" s="308">
        <f t="shared" si="149"/>
        <v>11997947</v>
      </c>
      <c r="M141" s="308">
        <f t="shared" si="149"/>
        <v>13427479</v>
      </c>
      <c r="N141" s="308">
        <f t="shared" si="149"/>
        <v>14102849</v>
      </c>
      <c r="O141" s="308">
        <f t="shared" si="149"/>
        <v>12449754</v>
      </c>
      <c r="P141" s="308">
        <f t="shared" si="149"/>
        <v>14445998</v>
      </c>
      <c r="Q141" s="307">
        <f t="shared" ref="Q141:AQ141" si="150">Q8</f>
        <v>14250000</v>
      </c>
      <c r="R141" s="307">
        <f t="shared" si="150"/>
        <v>12500000</v>
      </c>
      <c r="S141" s="307">
        <f t="shared" si="150"/>
        <v>12500000</v>
      </c>
      <c r="T141" s="307">
        <f t="shared" si="150"/>
        <v>12500000</v>
      </c>
      <c r="U141" s="307">
        <f t="shared" si="150"/>
        <v>12500000</v>
      </c>
      <c r="V141" s="307">
        <f t="shared" si="150"/>
        <v>12500000</v>
      </c>
      <c r="W141" s="307">
        <f t="shared" si="150"/>
        <v>12500000</v>
      </c>
      <c r="X141" s="307">
        <f t="shared" si="150"/>
        <v>12500000</v>
      </c>
      <c r="Y141" s="307">
        <f t="shared" si="150"/>
        <v>12500000</v>
      </c>
      <c r="Z141" s="307">
        <f t="shared" si="150"/>
        <v>12500000</v>
      </c>
      <c r="AA141" s="307">
        <f t="shared" si="150"/>
        <v>12500000</v>
      </c>
      <c r="AB141" s="307">
        <f t="shared" si="150"/>
        <v>12500000</v>
      </c>
      <c r="AC141" s="307">
        <f t="shared" si="150"/>
        <v>12500000</v>
      </c>
      <c r="AD141" s="307">
        <f t="shared" si="150"/>
        <v>12500000</v>
      </c>
      <c r="AE141" s="307">
        <f t="shared" si="150"/>
        <v>12500000</v>
      </c>
      <c r="AF141" s="307">
        <f t="shared" si="150"/>
        <v>12500000</v>
      </c>
      <c r="AG141" s="307">
        <f t="shared" si="150"/>
        <v>12500000</v>
      </c>
      <c r="AH141" s="307">
        <f t="shared" si="150"/>
        <v>12500001</v>
      </c>
      <c r="AI141" s="307">
        <f t="shared" si="150"/>
        <v>12500002</v>
      </c>
      <c r="AJ141" s="307">
        <f t="shared" si="150"/>
        <v>12500003</v>
      </c>
      <c r="AK141" s="307">
        <f t="shared" si="150"/>
        <v>12500004</v>
      </c>
      <c r="AL141" s="307">
        <f t="shared" si="150"/>
        <v>12500005</v>
      </c>
      <c r="AM141" s="307">
        <f t="shared" si="150"/>
        <v>12500006</v>
      </c>
      <c r="AN141" s="307">
        <f t="shared" si="150"/>
        <v>12500007</v>
      </c>
      <c r="AO141" s="307">
        <f t="shared" si="150"/>
        <v>12500008</v>
      </c>
      <c r="AP141" s="307">
        <f t="shared" si="150"/>
        <v>12500009</v>
      </c>
      <c r="AQ141" s="307">
        <f t="shared" si="150"/>
        <v>12500010</v>
      </c>
      <c r="AR141" s="307"/>
      <c r="AS141" s="307"/>
      <c r="AT141" s="307"/>
      <c r="AU141" s="307"/>
      <c r="AV141" s="307"/>
      <c r="AW141" s="307"/>
      <c r="AX141" s="307"/>
      <c r="AY141" s="307"/>
      <c r="AZ141" s="307"/>
      <c r="BA141" s="307"/>
      <c r="BB141" s="307"/>
      <c r="BC141" s="308"/>
      <c r="BE141" s="308">
        <v>11276743.206787109</v>
      </c>
      <c r="BF141" s="308">
        <f t="shared" si="140"/>
        <v>721203.79321289063</v>
      </c>
      <c r="BG141" s="308">
        <v>12509053.211145401</v>
      </c>
      <c r="BH141" s="308">
        <f t="shared" si="141"/>
        <v>918425.788854599</v>
      </c>
      <c r="BI141" s="308">
        <v>14250000</v>
      </c>
      <c r="BJ141" s="308">
        <f t="shared" si="142"/>
        <v>-147151</v>
      </c>
      <c r="BK141" s="309">
        <v>12750000</v>
      </c>
      <c r="BL141" s="308">
        <f t="shared" si="143"/>
        <v>-300246</v>
      </c>
      <c r="BM141" s="309">
        <v>14250000</v>
      </c>
      <c r="BN141" s="308">
        <f t="shared" si="144"/>
        <v>195998</v>
      </c>
      <c r="BO141" s="308">
        <v>14250000</v>
      </c>
      <c r="BP141" s="308">
        <f t="shared" si="145"/>
        <v>0</v>
      </c>
      <c r="BQ141" s="308"/>
      <c r="BR141" s="308"/>
      <c r="BV141" s="308"/>
    </row>
    <row r="142" spans="1:74">
      <c r="A142" s="334"/>
      <c r="B142" s="334"/>
      <c r="C142" s="334"/>
      <c r="D142" s="334"/>
      <c r="E142" s="334"/>
      <c r="F142" s="334"/>
      <c r="G142" s="334"/>
      <c r="H142" s="334"/>
      <c r="I142" s="334"/>
      <c r="J142" s="334"/>
      <c r="K142" s="334"/>
      <c r="L142" s="334"/>
      <c r="M142" s="334"/>
      <c r="N142" s="334"/>
      <c r="O142" s="334"/>
      <c r="P142" s="334"/>
      <c r="Q142" s="334"/>
      <c r="R142" s="334"/>
      <c r="S142" s="334"/>
      <c r="T142" s="334"/>
      <c r="U142" s="334"/>
      <c r="V142" s="334"/>
      <c r="W142" s="334"/>
      <c r="X142" s="334"/>
      <c r="Y142" s="334"/>
      <c r="Z142" s="334"/>
      <c r="AA142" s="334"/>
      <c r="AB142" s="334"/>
      <c r="AC142" s="334"/>
      <c r="AD142" s="334"/>
      <c r="AE142" s="334"/>
      <c r="AF142" s="334"/>
      <c r="AG142" s="334"/>
      <c r="AH142" s="334"/>
      <c r="AI142" s="334"/>
      <c r="AJ142" s="334"/>
      <c r="AK142" s="334"/>
      <c r="AL142" s="334"/>
      <c r="AM142" s="334"/>
      <c r="AN142" s="334"/>
      <c r="AO142" s="334"/>
      <c r="AP142" s="334"/>
      <c r="AQ142" s="334"/>
      <c r="BC142" s="308"/>
      <c r="BG142" s="309"/>
    </row>
    <row r="143" spans="1:74" ht="12" thickBot="1">
      <c r="A143" s="300" t="s">
        <v>499</v>
      </c>
      <c r="BC143" s="308"/>
      <c r="BG143" s="309"/>
    </row>
    <row r="144" spans="1:74" ht="12" thickBot="1">
      <c r="A144" s="328"/>
      <c r="B144" s="329">
        <f t="shared" ref="B144:AQ144" si="151">B2</f>
        <v>2010</v>
      </c>
      <c r="C144" s="329">
        <f t="shared" si="151"/>
        <v>2011</v>
      </c>
      <c r="D144" s="329">
        <f t="shared" si="151"/>
        <v>2012</v>
      </c>
      <c r="E144" s="329">
        <f t="shared" si="151"/>
        <v>2013</v>
      </c>
      <c r="F144" s="329">
        <f t="shared" si="151"/>
        <v>2014</v>
      </c>
      <c r="G144" s="329">
        <f t="shared" si="151"/>
        <v>2015</v>
      </c>
      <c r="H144" s="329">
        <f t="shared" si="151"/>
        <v>2016</v>
      </c>
      <c r="I144" s="329">
        <f t="shared" si="151"/>
        <v>2017</v>
      </c>
      <c r="J144" s="329">
        <f t="shared" si="151"/>
        <v>2018</v>
      </c>
      <c r="K144" s="329">
        <f t="shared" si="151"/>
        <v>2019</v>
      </c>
      <c r="L144" s="329">
        <f t="shared" si="151"/>
        <v>2020</v>
      </c>
      <c r="M144" s="329">
        <f t="shared" si="151"/>
        <v>2021</v>
      </c>
      <c r="N144" s="329">
        <f t="shared" si="151"/>
        <v>2022</v>
      </c>
      <c r="O144" s="329">
        <f t="shared" si="151"/>
        <v>2023</v>
      </c>
      <c r="P144" s="329">
        <f t="shared" si="151"/>
        <v>2024</v>
      </c>
      <c r="Q144" s="329">
        <f t="shared" si="151"/>
        <v>2025</v>
      </c>
      <c r="R144" s="329">
        <f t="shared" si="151"/>
        <v>2026</v>
      </c>
      <c r="S144" s="329">
        <f t="shared" si="151"/>
        <v>2027</v>
      </c>
      <c r="T144" s="329">
        <f t="shared" si="151"/>
        <v>2028</v>
      </c>
      <c r="U144" s="329">
        <f t="shared" si="151"/>
        <v>2029</v>
      </c>
      <c r="V144" s="329">
        <f t="shared" si="151"/>
        <v>2030</v>
      </c>
      <c r="W144" s="329">
        <f t="shared" si="151"/>
        <v>2031</v>
      </c>
      <c r="X144" s="329">
        <f t="shared" si="151"/>
        <v>2032</v>
      </c>
      <c r="Y144" s="329">
        <f t="shared" si="151"/>
        <v>2033</v>
      </c>
      <c r="Z144" s="329">
        <f t="shared" si="151"/>
        <v>2034</v>
      </c>
      <c r="AA144" s="329">
        <f t="shared" si="151"/>
        <v>2035</v>
      </c>
      <c r="AB144" s="329">
        <f t="shared" si="151"/>
        <v>2036</v>
      </c>
      <c r="AC144" s="329">
        <f t="shared" si="151"/>
        <v>2037</v>
      </c>
      <c r="AD144" s="329">
        <f t="shared" si="151"/>
        <v>2038</v>
      </c>
      <c r="AE144" s="329">
        <f t="shared" si="151"/>
        <v>2039</v>
      </c>
      <c r="AF144" s="329">
        <f t="shared" si="151"/>
        <v>2040</v>
      </c>
      <c r="AG144" s="329">
        <f t="shared" si="151"/>
        <v>2041</v>
      </c>
      <c r="AH144" s="329">
        <f t="shared" si="151"/>
        <v>2042</v>
      </c>
      <c r="AI144" s="329">
        <f t="shared" si="151"/>
        <v>2043</v>
      </c>
      <c r="AJ144" s="329">
        <f t="shared" si="151"/>
        <v>2044</v>
      </c>
      <c r="AK144" s="329">
        <f t="shared" si="151"/>
        <v>2045</v>
      </c>
      <c r="AL144" s="329">
        <f t="shared" si="151"/>
        <v>2046</v>
      </c>
      <c r="AM144" s="329">
        <f t="shared" si="151"/>
        <v>2047</v>
      </c>
      <c r="AN144" s="329">
        <f t="shared" si="151"/>
        <v>2048</v>
      </c>
      <c r="AO144" s="329">
        <f t="shared" si="151"/>
        <v>2049</v>
      </c>
      <c r="AP144" s="329">
        <f t="shared" si="151"/>
        <v>2050</v>
      </c>
      <c r="AQ144" s="329">
        <f t="shared" si="151"/>
        <v>2051</v>
      </c>
      <c r="AR144" s="300"/>
      <c r="AS144" s="300"/>
      <c r="AT144" s="300"/>
      <c r="AU144" s="300"/>
      <c r="AV144" s="300"/>
      <c r="AW144" s="300"/>
      <c r="AX144" s="300"/>
      <c r="AY144" s="300"/>
      <c r="AZ144" s="300"/>
      <c r="BA144" s="300"/>
      <c r="BB144" s="300"/>
      <c r="BC144" s="308"/>
      <c r="BG144" s="309"/>
    </row>
    <row r="145" spans="1:68">
      <c r="A145" s="301" t="s">
        <v>43</v>
      </c>
      <c r="B145" s="308">
        <f t="shared" ref="B145:AQ151" si="152">B161+B177</f>
        <v>0</v>
      </c>
      <c r="C145" s="308">
        <f t="shared" si="152"/>
        <v>0</v>
      </c>
      <c r="D145" s="308">
        <f t="shared" si="152"/>
        <v>0</v>
      </c>
      <c r="E145" s="308">
        <f t="shared" si="152"/>
        <v>0</v>
      </c>
      <c r="F145" s="308">
        <f t="shared" si="152"/>
        <v>0</v>
      </c>
      <c r="G145" s="308">
        <f t="shared" si="152"/>
        <v>0</v>
      </c>
      <c r="H145" s="308">
        <f t="shared" si="152"/>
        <v>0</v>
      </c>
      <c r="I145" s="308">
        <f t="shared" si="152"/>
        <v>0</v>
      </c>
      <c r="J145" s="308">
        <f t="shared" si="152"/>
        <v>0</v>
      </c>
      <c r="K145" s="308">
        <f t="shared" si="152"/>
        <v>0</v>
      </c>
      <c r="L145" s="308">
        <f t="shared" si="152"/>
        <v>0</v>
      </c>
      <c r="M145" s="308">
        <f t="shared" si="152"/>
        <v>0</v>
      </c>
      <c r="N145" s="308">
        <f t="shared" si="152"/>
        <v>0</v>
      </c>
      <c r="O145" s="308">
        <f t="shared" si="152"/>
        <v>0</v>
      </c>
      <c r="P145" s="308">
        <f t="shared" si="152"/>
        <v>0</v>
      </c>
      <c r="Q145" s="308">
        <f t="shared" si="152"/>
        <v>0</v>
      </c>
      <c r="R145" s="307">
        <f t="shared" si="152"/>
        <v>0</v>
      </c>
      <c r="S145" s="307">
        <f t="shared" si="152"/>
        <v>0</v>
      </c>
      <c r="T145" s="307">
        <f t="shared" si="152"/>
        <v>0</v>
      </c>
      <c r="U145" s="307">
        <f t="shared" si="152"/>
        <v>0</v>
      </c>
      <c r="V145" s="307">
        <f t="shared" si="152"/>
        <v>0</v>
      </c>
      <c r="W145" s="307">
        <f t="shared" si="152"/>
        <v>0</v>
      </c>
      <c r="X145" s="307">
        <f t="shared" si="152"/>
        <v>0</v>
      </c>
      <c r="Y145" s="307">
        <f t="shared" si="152"/>
        <v>0</v>
      </c>
      <c r="Z145" s="307">
        <f t="shared" si="152"/>
        <v>0</v>
      </c>
      <c r="AA145" s="307">
        <f t="shared" si="152"/>
        <v>0</v>
      </c>
      <c r="AB145" s="307">
        <f t="shared" si="152"/>
        <v>0</v>
      </c>
      <c r="AC145" s="307">
        <f t="shared" si="152"/>
        <v>0</v>
      </c>
      <c r="AD145" s="307">
        <f t="shared" si="152"/>
        <v>0</v>
      </c>
      <c r="AE145" s="307">
        <f t="shared" si="152"/>
        <v>0</v>
      </c>
      <c r="AF145" s="307">
        <f t="shared" si="152"/>
        <v>0</v>
      </c>
      <c r="AG145" s="307">
        <f t="shared" si="152"/>
        <v>0</v>
      </c>
      <c r="AH145" s="307">
        <f t="shared" si="152"/>
        <v>0</v>
      </c>
      <c r="AI145" s="307">
        <f t="shared" si="152"/>
        <v>0</v>
      </c>
      <c r="AJ145" s="307">
        <f t="shared" si="152"/>
        <v>0</v>
      </c>
      <c r="AK145" s="307">
        <f t="shared" si="152"/>
        <v>0</v>
      </c>
      <c r="AL145" s="307">
        <f t="shared" si="152"/>
        <v>0</v>
      </c>
      <c r="AM145" s="307">
        <f t="shared" si="152"/>
        <v>0</v>
      </c>
      <c r="AN145" s="307">
        <f t="shared" si="152"/>
        <v>0</v>
      </c>
      <c r="AO145" s="307">
        <f t="shared" si="152"/>
        <v>0</v>
      </c>
      <c r="AP145" s="307">
        <f t="shared" si="152"/>
        <v>0</v>
      </c>
      <c r="AQ145" s="307">
        <f t="shared" si="152"/>
        <v>2</v>
      </c>
      <c r="AR145" s="307"/>
      <c r="AS145" s="307"/>
      <c r="AT145" s="307"/>
      <c r="AU145" s="307"/>
      <c r="AV145" s="307"/>
      <c r="AW145" s="307"/>
      <c r="AX145" s="307"/>
      <c r="AY145" s="307"/>
      <c r="AZ145" s="307"/>
      <c r="BA145" s="307"/>
      <c r="BB145" s="307"/>
      <c r="BC145" s="308"/>
      <c r="BE145" s="308">
        <v>0</v>
      </c>
      <c r="BF145" s="308">
        <f t="shared" ref="BF145:BF157" si="153">L145-BE145</f>
        <v>0</v>
      </c>
      <c r="BG145" s="308">
        <v>0</v>
      </c>
      <c r="BH145" s="308">
        <f t="shared" ref="BH145:BH157" si="154">M145-BG145</f>
        <v>0</v>
      </c>
      <c r="BI145" s="308">
        <v>0</v>
      </c>
      <c r="BJ145" s="308">
        <f t="shared" ref="BJ145:BJ157" si="155">N145-BI145</f>
        <v>0</v>
      </c>
      <c r="BK145" s="308">
        <v>0</v>
      </c>
      <c r="BL145" s="308">
        <f t="shared" ref="BL145:BL157" si="156">O145-BK145</f>
        <v>0</v>
      </c>
      <c r="BM145" s="308">
        <v>0</v>
      </c>
      <c r="BN145" s="308">
        <f t="shared" ref="BN145:BN157" si="157">P145-BM145</f>
        <v>0</v>
      </c>
      <c r="BO145" s="308">
        <v>0</v>
      </c>
      <c r="BP145" s="308">
        <f t="shared" ref="BP145:BP157" si="158">BO145-Q145</f>
        <v>0</v>
      </c>
    </row>
    <row r="146" spans="1:68">
      <c r="A146" s="301" t="s">
        <v>44</v>
      </c>
      <c r="B146" s="308">
        <f t="shared" si="152"/>
        <v>0</v>
      </c>
      <c r="C146" s="308">
        <f t="shared" si="152"/>
        <v>0</v>
      </c>
      <c r="D146" s="308">
        <f t="shared" si="152"/>
        <v>0</v>
      </c>
      <c r="E146" s="308">
        <f t="shared" si="152"/>
        <v>0</v>
      </c>
      <c r="F146" s="308">
        <f t="shared" si="152"/>
        <v>0</v>
      </c>
      <c r="G146" s="308">
        <f t="shared" si="152"/>
        <v>0</v>
      </c>
      <c r="H146" s="308">
        <f t="shared" si="152"/>
        <v>0</v>
      </c>
      <c r="I146" s="308">
        <f t="shared" si="152"/>
        <v>0</v>
      </c>
      <c r="J146" s="308">
        <f t="shared" si="152"/>
        <v>0</v>
      </c>
      <c r="K146" s="308">
        <f t="shared" si="152"/>
        <v>0</v>
      </c>
      <c r="L146" s="308">
        <f t="shared" si="152"/>
        <v>0</v>
      </c>
      <c r="M146" s="308">
        <f t="shared" si="152"/>
        <v>0</v>
      </c>
      <c r="N146" s="308">
        <f t="shared" si="152"/>
        <v>0</v>
      </c>
      <c r="O146" s="308">
        <f t="shared" si="152"/>
        <v>0</v>
      </c>
      <c r="P146" s="308">
        <f t="shared" si="152"/>
        <v>0</v>
      </c>
      <c r="Q146" s="332">
        <f t="shared" si="152"/>
        <v>0</v>
      </c>
      <c r="R146" s="307">
        <f t="shared" si="152"/>
        <v>0</v>
      </c>
      <c r="S146" s="307">
        <f t="shared" si="152"/>
        <v>0</v>
      </c>
      <c r="T146" s="307">
        <f t="shared" si="152"/>
        <v>0</v>
      </c>
      <c r="U146" s="307">
        <f t="shared" si="152"/>
        <v>0</v>
      </c>
      <c r="V146" s="307">
        <f t="shared" si="152"/>
        <v>0</v>
      </c>
      <c r="W146" s="307">
        <f t="shared" si="152"/>
        <v>0</v>
      </c>
      <c r="X146" s="307">
        <f t="shared" si="152"/>
        <v>0</v>
      </c>
      <c r="Y146" s="307">
        <f t="shared" si="152"/>
        <v>0</v>
      </c>
      <c r="Z146" s="307">
        <f t="shared" si="152"/>
        <v>0</v>
      </c>
      <c r="AA146" s="307">
        <f t="shared" si="152"/>
        <v>0</v>
      </c>
      <c r="AB146" s="307">
        <f t="shared" si="152"/>
        <v>0</v>
      </c>
      <c r="AC146" s="307">
        <f t="shared" si="152"/>
        <v>0</v>
      </c>
      <c r="AD146" s="307">
        <f t="shared" si="152"/>
        <v>0</v>
      </c>
      <c r="AE146" s="307">
        <f t="shared" si="152"/>
        <v>0</v>
      </c>
      <c r="AF146" s="307">
        <f t="shared" si="152"/>
        <v>0</v>
      </c>
      <c r="AG146" s="307">
        <f t="shared" si="152"/>
        <v>0</v>
      </c>
      <c r="AH146" s="307">
        <f t="shared" si="152"/>
        <v>0</v>
      </c>
      <c r="AI146" s="307">
        <f t="shared" si="152"/>
        <v>0</v>
      </c>
      <c r="AJ146" s="307">
        <f t="shared" si="152"/>
        <v>0</v>
      </c>
      <c r="AK146" s="307">
        <f t="shared" si="152"/>
        <v>0</v>
      </c>
      <c r="AL146" s="307">
        <f t="shared" si="152"/>
        <v>0</v>
      </c>
      <c r="AM146" s="307">
        <f t="shared" si="152"/>
        <v>0</v>
      </c>
      <c r="AN146" s="307">
        <f t="shared" si="152"/>
        <v>0</v>
      </c>
      <c r="AO146" s="307">
        <f t="shared" si="152"/>
        <v>0</v>
      </c>
      <c r="AP146" s="307">
        <f t="shared" si="152"/>
        <v>0</v>
      </c>
      <c r="AQ146" s="307">
        <f t="shared" si="152"/>
        <v>2</v>
      </c>
      <c r="AR146" s="307"/>
      <c r="AS146" s="307"/>
      <c r="AT146" s="307"/>
      <c r="AU146" s="307"/>
      <c r="AV146" s="307"/>
      <c r="AW146" s="307"/>
      <c r="AX146" s="307"/>
      <c r="AY146" s="307"/>
      <c r="AZ146" s="307"/>
      <c r="BA146" s="307"/>
      <c r="BB146" s="307"/>
      <c r="BC146" s="308"/>
      <c r="BE146" s="308">
        <v>0</v>
      </c>
      <c r="BF146" s="308">
        <f t="shared" si="153"/>
        <v>0</v>
      </c>
      <c r="BG146" s="308">
        <v>0</v>
      </c>
      <c r="BH146" s="308">
        <f t="shared" si="154"/>
        <v>0</v>
      </c>
      <c r="BI146" s="308">
        <v>0</v>
      </c>
      <c r="BJ146" s="308">
        <f t="shared" si="155"/>
        <v>0</v>
      </c>
      <c r="BK146" s="308">
        <v>0</v>
      </c>
      <c r="BL146" s="308">
        <f t="shared" si="156"/>
        <v>0</v>
      </c>
      <c r="BM146" s="308">
        <v>0</v>
      </c>
      <c r="BN146" s="308">
        <f t="shared" si="157"/>
        <v>0</v>
      </c>
      <c r="BO146" s="308">
        <v>0</v>
      </c>
      <c r="BP146" s="308">
        <f t="shared" si="158"/>
        <v>0</v>
      </c>
    </row>
    <row r="147" spans="1:68">
      <c r="A147" s="301" t="s">
        <v>45</v>
      </c>
      <c r="B147" s="308">
        <f t="shared" si="152"/>
        <v>0</v>
      </c>
      <c r="C147" s="308">
        <f t="shared" si="152"/>
        <v>0</v>
      </c>
      <c r="D147" s="308">
        <f t="shared" si="152"/>
        <v>0</v>
      </c>
      <c r="E147" s="308">
        <f t="shared" si="152"/>
        <v>0</v>
      </c>
      <c r="F147" s="308">
        <f t="shared" si="152"/>
        <v>0</v>
      </c>
      <c r="G147" s="308">
        <f t="shared" si="152"/>
        <v>0</v>
      </c>
      <c r="H147" s="308">
        <f t="shared" si="152"/>
        <v>0</v>
      </c>
      <c r="I147" s="308">
        <f t="shared" si="152"/>
        <v>0</v>
      </c>
      <c r="J147" s="308">
        <f t="shared" si="152"/>
        <v>0</v>
      </c>
      <c r="K147" s="308">
        <f t="shared" si="152"/>
        <v>0</v>
      </c>
      <c r="L147" s="308">
        <f t="shared" si="152"/>
        <v>0</v>
      </c>
      <c r="M147" s="308">
        <f t="shared" si="152"/>
        <v>0</v>
      </c>
      <c r="N147" s="308">
        <f t="shared" si="152"/>
        <v>0</v>
      </c>
      <c r="O147" s="308">
        <f t="shared" si="152"/>
        <v>0</v>
      </c>
      <c r="P147" s="308">
        <f t="shared" si="152"/>
        <v>0</v>
      </c>
      <c r="Q147" s="332">
        <f t="shared" si="152"/>
        <v>0</v>
      </c>
      <c r="R147" s="307">
        <f t="shared" si="152"/>
        <v>0</v>
      </c>
      <c r="S147" s="307">
        <f t="shared" si="152"/>
        <v>0</v>
      </c>
      <c r="T147" s="307">
        <f t="shared" si="152"/>
        <v>0</v>
      </c>
      <c r="U147" s="307">
        <f t="shared" si="152"/>
        <v>0</v>
      </c>
      <c r="V147" s="307">
        <f t="shared" si="152"/>
        <v>0</v>
      </c>
      <c r="W147" s="307">
        <f t="shared" si="152"/>
        <v>0</v>
      </c>
      <c r="X147" s="307">
        <f t="shared" si="152"/>
        <v>0</v>
      </c>
      <c r="Y147" s="307">
        <f t="shared" si="152"/>
        <v>0</v>
      </c>
      <c r="Z147" s="307">
        <f t="shared" si="152"/>
        <v>0</v>
      </c>
      <c r="AA147" s="307">
        <f t="shared" si="152"/>
        <v>0</v>
      </c>
      <c r="AB147" s="307">
        <f t="shared" si="152"/>
        <v>0</v>
      </c>
      <c r="AC147" s="307">
        <f t="shared" si="152"/>
        <v>0</v>
      </c>
      <c r="AD147" s="307">
        <f t="shared" si="152"/>
        <v>0</v>
      </c>
      <c r="AE147" s="307">
        <f t="shared" si="152"/>
        <v>0</v>
      </c>
      <c r="AF147" s="307">
        <f t="shared" si="152"/>
        <v>0</v>
      </c>
      <c r="AG147" s="307">
        <f t="shared" si="152"/>
        <v>0</v>
      </c>
      <c r="AH147" s="307">
        <f t="shared" si="152"/>
        <v>0</v>
      </c>
      <c r="AI147" s="307">
        <f t="shared" si="152"/>
        <v>0</v>
      </c>
      <c r="AJ147" s="307">
        <f t="shared" si="152"/>
        <v>0</v>
      </c>
      <c r="AK147" s="307">
        <f t="shared" si="152"/>
        <v>0</v>
      </c>
      <c r="AL147" s="307">
        <f t="shared" si="152"/>
        <v>0</v>
      </c>
      <c r="AM147" s="307">
        <f t="shared" si="152"/>
        <v>0</v>
      </c>
      <c r="AN147" s="307">
        <f t="shared" si="152"/>
        <v>0</v>
      </c>
      <c r="AO147" s="307">
        <f t="shared" si="152"/>
        <v>0</v>
      </c>
      <c r="AP147" s="307">
        <f t="shared" si="152"/>
        <v>0</v>
      </c>
      <c r="AQ147" s="307">
        <f t="shared" si="152"/>
        <v>2</v>
      </c>
      <c r="AR147" s="307"/>
      <c r="AS147" s="307"/>
      <c r="AT147" s="307"/>
      <c r="AU147" s="307"/>
      <c r="AV147" s="307"/>
      <c r="AW147" s="307"/>
      <c r="AX147" s="307"/>
      <c r="AY147" s="307"/>
      <c r="AZ147" s="307"/>
      <c r="BA147" s="307"/>
      <c r="BB147" s="307"/>
      <c r="BC147" s="308"/>
      <c r="BE147" s="308">
        <v>0</v>
      </c>
      <c r="BF147" s="308">
        <f t="shared" si="153"/>
        <v>0</v>
      </c>
      <c r="BG147" s="308">
        <v>0</v>
      </c>
      <c r="BH147" s="308">
        <f t="shared" si="154"/>
        <v>0</v>
      </c>
      <c r="BI147" s="308">
        <v>0</v>
      </c>
      <c r="BJ147" s="308">
        <f t="shared" si="155"/>
        <v>0</v>
      </c>
      <c r="BK147" s="308">
        <v>0</v>
      </c>
      <c r="BL147" s="308">
        <f t="shared" si="156"/>
        <v>0</v>
      </c>
      <c r="BM147" s="308">
        <v>0</v>
      </c>
      <c r="BN147" s="308">
        <f t="shared" si="157"/>
        <v>0</v>
      </c>
      <c r="BO147" s="308">
        <v>0</v>
      </c>
      <c r="BP147" s="308">
        <f t="shared" si="158"/>
        <v>0</v>
      </c>
    </row>
    <row r="148" spans="1:68">
      <c r="A148" s="301" t="s">
        <v>46</v>
      </c>
      <c r="B148" s="308">
        <f t="shared" si="152"/>
        <v>0</v>
      </c>
      <c r="C148" s="308">
        <f t="shared" si="152"/>
        <v>0</v>
      </c>
      <c r="D148" s="308">
        <f t="shared" si="152"/>
        <v>0</v>
      </c>
      <c r="E148" s="308">
        <f t="shared" si="152"/>
        <v>0</v>
      </c>
      <c r="F148" s="308">
        <f t="shared" si="152"/>
        <v>0</v>
      </c>
      <c r="G148" s="308">
        <f t="shared" si="152"/>
        <v>0</v>
      </c>
      <c r="H148" s="308">
        <f t="shared" si="152"/>
        <v>0</v>
      </c>
      <c r="I148" s="308">
        <f t="shared" si="152"/>
        <v>0</v>
      </c>
      <c r="J148" s="308">
        <f t="shared" si="152"/>
        <v>0</v>
      </c>
      <c r="K148" s="308">
        <f t="shared" si="152"/>
        <v>0</v>
      </c>
      <c r="L148" s="308">
        <f t="shared" si="152"/>
        <v>0</v>
      </c>
      <c r="M148" s="308">
        <f t="shared" si="152"/>
        <v>0</v>
      </c>
      <c r="N148" s="308">
        <f t="shared" si="152"/>
        <v>0</v>
      </c>
      <c r="O148" s="308">
        <f t="shared" si="152"/>
        <v>0</v>
      </c>
      <c r="P148" s="308">
        <f t="shared" si="152"/>
        <v>0</v>
      </c>
      <c r="Q148" s="307">
        <f t="shared" si="152"/>
        <v>0</v>
      </c>
      <c r="R148" s="307">
        <f t="shared" si="152"/>
        <v>0</v>
      </c>
      <c r="S148" s="307">
        <f t="shared" si="152"/>
        <v>0</v>
      </c>
      <c r="T148" s="307">
        <f t="shared" si="152"/>
        <v>0</v>
      </c>
      <c r="U148" s="307">
        <f t="shared" si="152"/>
        <v>0</v>
      </c>
      <c r="V148" s="307">
        <f t="shared" si="152"/>
        <v>0</v>
      </c>
      <c r="W148" s="307">
        <f t="shared" si="152"/>
        <v>0</v>
      </c>
      <c r="X148" s="307">
        <f t="shared" si="152"/>
        <v>0</v>
      </c>
      <c r="Y148" s="307">
        <f t="shared" si="152"/>
        <v>0</v>
      </c>
      <c r="Z148" s="307">
        <f t="shared" si="152"/>
        <v>0</v>
      </c>
      <c r="AA148" s="307">
        <f t="shared" si="152"/>
        <v>0</v>
      </c>
      <c r="AB148" s="307">
        <f t="shared" si="152"/>
        <v>0</v>
      </c>
      <c r="AC148" s="307">
        <f t="shared" si="152"/>
        <v>0</v>
      </c>
      <c r="AD148" s="307">
        <f t="shared" si="152"/>
        <v>0</v>
      </c>
      <c r="AE148" s="307">
        <f t="shared" si="152"/>
        <v>0</v>
      </c>
      <c r="AF148" s="307">
        <f t="shared" si="152"/>
        <v>0</v>
      </c>
      <c r="AG148" s="307">
        <f t="shared" si="152"/>
        <v>0</v>
      </c>
      <c r="AH148" s="307">
        <f t="shared" si="152"/>
        <v>0</v>
      </c>
      <c r="AI148" s="307">
        <f t="shared" si="152"/>
        <v>0</v>
      </c>
      <c r="AJ148" s="307">
        <f t="shared" si="152"/>
        <v>0</v>
      </c>
      <c r="AK148" s="307">
        <f t="shared" si="152"/>
        <v>0</v>
      </c>
      <c r="AL148" s="307">
        <f t="shared" si="152"/>
        <v>0</v>
      </c>
      <c r="AM148" s="307">
        <f t="shared" si="152"/>
        <v>0</v>
      </c>
      <c r="AN148" s="307">
        <f t="shared" si="152"/>
        <v>0</v>
      </c>
      <c r="AO148" s="307">
        <f t="shared" si="152"/>
        <v>0</v>
      </c>
      <c r="AP148" s="307">
        <f t="shared" si="152"/>
        <v>0</v>
      </c>
      <c r="AQ148" s="307">
        <f t="shared" si="152"/>
        <v>2</v>
      </c>
      <c r="AR148" s="307"/>
      <c r="AS148" s="307"/>
      <c r="AT148" s="307"/>
      <c r="AU148" s="307"/>
      <c r="AV148" s="307"/>
      <c r="AW148" s="307"/>
      <c r="AX148" s="307"/>
      <c r="AY148" s="307"/>
      <c r="AZ148" s="307"/>
      <c r="BA148" s="307"/>
      <c r="BB148" s="307"/>
      <c r="BC148" s="308"/>
      <c r="BE148" s="308">
        <v>0</v>
      </c>
      <c r="BF148" s="308">
        <f t="shared" si="153"/>
        <v>0</v>
      </c>
      <c r="BG148" s="308">
        <v>0</v>
      </c>
      <c r="BH148" s="308">
        <f t="shared" si="154"/>
        <v>0</v>
      </c>
      <c r="BI148" s="308">
        <v>0</v>
      </c>
      <c r="BJ148" s="308">
        <f t="shared" si="155"/>
        <v>0</v>
      </c>
      <c r="BK148" s="308">
        <v>0</v>
      </c>
      <c r="BL148" s="308">
        <f t="shared" si="156"/>
        <v>0</v>
      </c>
      <c r="BM148" s="308">
        <v>0</v>
      </c>
      <c r="BN148" s="308">
        <f t="shared" si="157"/>
        <v>0</v>
      </c>
      <c r="BO148" s="308">
        <v>0</v>
      </c>
      <c r="BP148" s="308">
        <f t="shared" si="158"/>
        <v>0</v>
      </c>
    </row>
    <row r="149" spans="1:68">
      <c r="A149" s="301" t="s">
        <v>47</v>
      </c>
      <c r="B149" s="308">
        <f t="shared" si="152"/>
        <v>0</v>
      </c>
      <c r="C149" s="308">
        <f t="shared" si="152"/>
        <v>0</v>
      </c>
      <c r="D149" s="308">
        <f t="shared" si="152"/>
        <v>0</v>
      </c>
      <c r="E149" s="308">
        <f t="shared" si="152"/>
        <v>0</v>
      </c>
      <c r="F149" s="308">
        <f t="shared" si="152"/>
        <v>0</v>
      </c>
      <c r="G149" s="308">
        <f t="shared" si="152"/>
        <v>0</v>
      </c>
      <c r="H149" s="308">
        <f t="shared" si="152"/>
        <v>34901</v>
      </c>
      <c r="I149" s="308">
        <f t="shared" si="152"/>
        <v>0</v>
      </c>
      <c r="J149" s="308">
        <f t="shared" si="152"/>
        <v>0</v>
      </c>
      <c r="K149" s="308">
        <f t="shared" si="152"/>
        <v>0</v>
      </c>
      <c r="L149" s="308">
        <f t="shared" si="152"/>
        <v>0</v>
      </c>
      <c r="M149" s="308">
        <f t="shared" si="152"/>
        <v>0</v>
      </c>
      <c r="N149" s="308">
        <f t="shared" si="152"/>
        <v>0</v>
      </c>
      <c r="O149" s="308">
        <f t="shared" si="152"/>
        <v>0</v>
      </c>
      <c r="P149" s="308">
        <f t="shared" si="152"/>
        <v>0</v>
      </c>
      <c r="Q149" s="307">
        <f t="shared" si="152"/>
        <v>0</v>
      </c>
      <c r="R149" s="307">
        <f t="shared" si="152"/>
        <v>0</v>
      </c>
      <c r="S149" s="307">
        <f t="shared" si="152"/>
        <v>0</v>
      </c>
      <c r="T149" s="307">
        <f t="shared" si="152"/>
        <v>0</v>
      </c>
      <c r="U149" s="307">
        <f t="shared" si="152"/>
        <v>0</v>
      </c>
      <c r="V149" s="307">
        <f t="shared" si="152"/>
        <v>0</v>
      </c>
      <c r="W149" s="307">
        <f t="shared" si="152"/>
        <v>0</v>
      </c>
      <c r="X149" s="307">
        <f t="shared" si="152"/>
        <v>0</v>
      </c>
      <c r="Y149" s="307">
        <f t="shared" si="152"/>
        <v>0</v>
      </c>
      <c r="Z149" s="307">
        <f t="shared" si="152"/>
        <v>0</v>
      </c>
      <c r="AA149" s="307">
        <f t="shared" si="152"/>
        <v>0</v>
      </c>
      <c r="AB149" s="307">
        <f t="shared" si="152"/>
        <v>0</v>
      </c>
      <c r="AC149" s="307">
        <f t="shared" si="152"/>
        <v>0</v>
      </c>
      <c r="AD149" s="307">
        <f t="shared" si="152"/>
        <v>0</v>
      </c>
      <c r="AE149" s="307">
        <f t="shared" si="152"/>
        <v>0</v>
      </c>
      <c r="AF149" s="307">
        <f t="shared" si="152"/>
        <v>0</v>
      </c>
      <c r="AG149" s="307">
        <f t="shared" si="152"/>
        <v>0</v>
      </c>
      <c r="AH149" s="307">
        <f t="shared" si="152"/>
        <v>0</v>
      </c>
      <c r="AI149" s="307">
        <f t="shared" si="152"/>
        <v>0</v>
      </c>
      <c r="AJ149" s="307">
        <f t="shared" si="152"/>
        <v>0</v>
      </c>
      <c r="AK149" s="307">
        <f t="shared" si="152"/>
        <v>0</v>
      </c>
      <c r="AL149" s="307">
        <f t="shared" si="152"/>
        <v>0</v>
      </c>
      <c r="AM149" s="307">
        <f t="shared" si="152"/>
        <v>0</v>
      </c>
      <c r="AN149" s="307">
        <f t="shared" si="152"/>
        <v>0</v>
      </c>
      <c r="AO149" s="307">
        <f t="shared" si="152"/>
        <v>0</v>
      </c>
      <c r="AP149" s="307">
        <f t="shared" si="152"/>
        <v>0</v>
      </c>
      <c r="AQ149" s="307">
        <f t="shared" si="152"/>
        <v>2</v>
      </c>
      <c r="AR149" s="307"/>
      <c r="AS149" s="307"/>
      <c r="AT149" s="307"/>
      <c r="AU149" s="307"/>
      <c r="AV149" s="307"/>
      <c r="AW149" s="307"/>
      <c r="AX149" s="307"/>
      <c r="AY149" s="307"/>
      <c r="AZ149" s="307"/>
      <c r="BA149" s="307"/>
      <c r="BB149" s="307"/>
      <c r="BC149" s="308"/>
      <c r="BE149" s="308">
        <v>0</v>
      </c>
      <c r="BF149" s="308">
        <f t="shared" si="153"/>
        <v>0</v>
      </c>
      <c r="BG149" s="308">
        <v>0</v>
      </c>
      <c r="BH149" s="308">
        <f t="shared" si="154"/>
        <v>0</v>
      </c>
      <c r="BI149" s="308">
        <v>0</v>
      </c>
      <c r="BJ149" s="308">
        <f t="shared" si="155"/>
        <v>0</v>
      </c>
      <c r="BK149" s="308">
        <v>0</v>
      </c>
      <c r="BL149" s="308">
        <f t="shared" si="156"/>
        <v>0</v>
      </c>
      <c r="BM149" s="308">
        <v>0</v>
      </c>
      <c r="BN149" s="308">
        <f t="shared" si="157"/>
        <v>0</v>
      </c>
      <c r="BO149" s="308">
        <v>0</v>
      </c>
      <c r="BP149" s="308">
        <f t="shared" si="158"/>
        <v>0</v>
      </c>
    </row>
    <row r="150" spans="1:68">
      <c r="A150" s="301" t="s">
        <v>48</v>
      </c>
      <c r="B150" s="308">
        <f t="shared" si="152"/>
        <v>0</v>
      </c>
      <c r="C150" s="308">
        <f t="shared" si="152"/>
        <v>0</v>
      </c>
      <c r="D150" s="308">
        <f t="shared" si="152"/>
        <v>0</v>
      </c>
      <c r="E150" s="308">
        <f t="shared" si="152"/>
        <v>0</v>
      </c>
      <c r="F150" s="308">
        <f t="shared" si="152"/>
        <v>0</v>
      </c>
      <c r="G150" s="308">
        <f t="shared" si="152"/>
        <v>0</v>
      </c>
      <c r="H150" s="308">
        <f t="shared" si="152"/>
        <v>27901</v>
      </c>
      <c r="I150" s="308">
        <f t="shared" si="152"/>
        <v>0</v>
      </c>
      <c r="J150" s="308">
        <f t="shared" si="152"/>
        <v>0</v>
      </c>
      <c r="K150" s="308">
        <f t="shared" si="152"/>
        <v>0</v>
      </c>
      <c r="L150" s="308">
        <f t="shared" si="152"/>
        <v>0</v>
      </c>
      <c r="M150" s="308">
        <f t="shared" si="152"/>
        <v>0</v>
      </c>
      <c r="N150" s="308">
        <f t="shared" si="152"/>
        <v>0</v>
      </c>
      <c r="O150" s="308">
        <f t="shared" si="152"/>
        <v>0</v>
      </c>
      <c r="P150" s="308">
        <f t="shared" si="152"/>
        <v>0</v>
      </c>
      <c r="Q150" s="307">
        <f t="shared" si="152"/>
        <v>0</v>
      </c>
      <c r="R150" s="307">
        <f t="shared" si="152"/>
        <v>0</v>
      </c>
      <c r="S150" s="307">
        <f t="shared" si="152"/>
        <v>0</v>
      </c>
      <c r="T150" s="307">
        <f t="shared" si="152"/>
        <v>0</v>
      </c>
      <c r="U150" s="307">
        <f t="shared" si="152"/>
        <v>0</v>
      </c>
      <c r="V150" s="307">
        <f t="shared" si="152"/>
        <v>0</v>
      </c>
      <c r="W150" s="307">
        <f t="shared" si="152"/>
        <v>0</v>
      </c>
      <c r="X150" s="307">
        <f t="shared" si="152"/>
        <v>0</v>
      </c>
      <c r="Y150" s="307">
        <f t="shared" si="152"/>
        <v>0</v>
      </c>
      <c r="Z150" s="307">
        <f t="shared" si="152"/>
        <v>0</v>
      </c>
      <c r="AA150" s="307">
        <f t="shared" si="152"/>
        <v>0</v>
      </c>
      <c r="AB150" s="307">
        <f t="shared" si="152"/>
        <v>0</v>
      </c>
      <c r="AC150" s="307">
        <f t="shared" si="152"/>
        <v>0</v>
      </c>
      <c r="AD150" s="307">
        <f t="shared" si="152"/>
        <v>0</v>
      </c>
      <c r="AE150" s="307">
        <f t="shared" si="152"/>
        <v>0</v>
      </c>
      <c r="AF150" s="307">
        <f t="shared" si="152"/>
        <v>0</v>
      </c>
      <c r="AG150" s="307">
        <f t="shared" si="152"/>
        <v>0</v>
      </c>
      <c r="AH150" s="307">
        <f t="shared" si="152"/>
        <v>0</v>
      </c>
      <c r="AI150" s="307">
        <f t="shared" si="152"/>
        <v>0</v>
      </c>
      <c r="AJ150" s="307">
        <f t="shared" si="152"/>
        <v>0</v>
      </c>
      <c r="AK150" s="307">
        <f t="shared" si="152"/>
        <v>0</v>
      </c>
      <c r="AL150" s="307">
        <f t="shared" si="152"/>
        <v>0</v>
      </c>
      <c r="AM150" s="307">
        <f t="shared" si="152"/>
        <v>0</v>
      </c>
      <c r="AN150" s="307">
        <f t="shared" si="152"/>
        <v>0</v>
      </c>
      <c r="AO150" s="307">
        <f t="shared" si="152"/>
        <v>0</v>
      </c>
      <c r="AP150" s="307">
        <f t="shared" si="152"/>
        <v>0</v>
      </c>
      <c r="AQ150" s="307">
        <f t="shared" si="152"/>
        <v>2</v>
      </c>
      <c r="AR150" s="307"/>
      <c r="AS150" s="307"/>
      <c r="AT150" s="307"/>
      <c r="AU150" s="307"/>
      <c r="AV150" s="307"/>
      <c r="AW150" s="307"/>
      <c r="AX150" s="307"/>
      <c r="AY150" s="307"/>
      <c r="AZ150" s="307"/>
      <c r="BA150" s="307"/>
      <c r="BB150" s="307"/>
      <c r="BC150" s="308"/>
      <c r="BE150" s="308">
        <v>0</v>
      </c>
      <c r="BF150" s="308">
        <f t="shared" si="153"/>
        <v>0</v>
      </c>
      <c r="BG150" s="308">
        <v>0</v>
      </c>
      <c r="BH150" s="308">
        <f t="shared" si="154"/>
        <v>0</v>
      </c>
      <c r="BI150" s="308">
        <v>0</v>
      </c>
      <c r="BJ150" s="308">
        <f t="shared" si="155"/>
        <v>0</v>
      </c>
      <c r="BK150" s="308">
        <v>0</v>
      </c>
      <c r="BL150" s="308">
        <f t="shared" si="156"/>
        <v>0</v>
      </c>
      <c r="BM150" s="308">
        <v>0</v>
      </c>
      <c r="BN150" s="308">
        <f t="shared" si="157"/>
        <v>0</v>
      </c>
      <c r="BO150" s="308">
        <v>0</v>
      </c>
      <c r="BP150" s="308">
        <f t="shared" si="158"/>
        <v>0</v>
      </c>
    </row>
    <row r="151" spans="1:68">
      <c r="A151" s="301" t="s">
        <v>49</v>
      </c>
      <c r="B151" s="308">
        <f t="shared" si="152"/>
        <v>0</v>
      </c>
      <c r="C151" s="308">
        <f t="shared" si="152"/>
        <v>0</v>
      </c>
      <c r="D151" s="308">
        <f t="shared" si="152"/>
        <v>0</v>
      </c>
      <c r="E151" s="308">
        <f t="shared" ref="B151:AQ156" si="159">E167+E183</f>
        <v>11691</v>
      </c>
      <c r="F151" s="308">
        <f t="shared" si="159"/>
        <v>0</v>
      </c>
      <c r="G151" s="308">
        <f t="shared" si="159"/>
        <v>0</v>
      </c>
      <c r="H151" s="308">
        <f t="shared" si="159"/>
        <v>6691</v>
      </c>
      <c r="I151" s="308">
        <f t="shared" si="159"/>
        <v>0</v>
      </c>
      <c r="J151" s="308">
        <f t="shared" si="159"/>
        <v>0</v>
      </c>
      <c r="K151" s="308">
        <f t="shared" si="159"/>
        <v>0</v>
      </c>
      <c r="L151" s="308">
        <f t="shared" si="159"/>
        <v>440</v>
      </c>
      <c r="M151" s="308">
        <f t="shared" si="159"/>
        <v>0</v>
      </c>
      <c r="N151" s="308">
        <f t="shared" si="159"/>
        <v>0</v>
      </c>
      <c r="O151" s="308">
        <f t="shared" si="159"/>
        <v>0</v>
      </c>
      <c r="P151" s="308">
        <f t="shared" si="159"/>
        <v>0</v>
      </c>
      <c r="Q151" s="307">
        <f t="shared" si="159"/>
        <v>0</v>
      </c>
      <c r="R151" s="307">
        <f t="shared" si="159"/>
        <v>0</v>
      </c>
      <c r="S151" s="307">
        <f t="shared" si="159"/>
        <v>0</v>
      </c>
      <c r="T151" s="307">
        <f t="shared" si="159"/>
        <v>0</v>
      </c>
      <c r="U151" s="307">
        <f t="shared" si="159"/>
        <v>0</v>
      </c>
      <c r="V151" s="307">
        <f t="shared" si="159"/>
        <v>0</v>
      </c>
      <c r="W151" s="307">
        <f t="shared" si="159"/>
        <v>0</v>
      </c>
      <c r="X151" s="307">
        <f t="shared" si="159"/>
        <v>0</v>
      </c>
      <c r="Y151" s="307">
        <f t="shared" si="159"/>
        <v>0</v>
      </c>
      <c r="Z151" s="307">
        <f t="shared" si="159"/>
        <v>0</v>
      </c>
      <c r="AA151" s="307">
        <f t="shared" si="159"/>
        <v>0</v>
      </c>
      <c r="AB151" s="307">
        <f t="shared" si="159"/>
        <v>0</v>
      </c>
      <c r="AC151" s="307">
        <f t="shared" si="159"/>
        <v>0</v>
      </c>
      <c r="AD151" s="307">
        <f t="shared" si="159"/>
        <v>0</v>
      </c>
      <c r="AE151" s="307">
        <f t="shared" si="159"/>
        <v>0</v>
      </c>
      <c r="AF151" s="307">
        <f t="shared" si="159"/>
        <v>0</v>
      </c>
      <c r="AG151" s="307">
        <f t="shared" si="159"/>
        <v>0</v>
      </c>
      <c r="AH151" s="307">
        <f t="shared" si="159"/>
        <v>0</v>
      </c>
      <c r="AI151" s="307">
        <f t="shared" si="159"/>
        <v>0</v>
      </c>
      <c r="AJ151" s="307">
        <f t="shared" si="159"/>
        <v>0</v>
      </c>
      <c r="AK151" s="307">
        <f t="shared" si="159"/>
        <v>0</v>
      </c>
      <c r="AL151" s="307">
        <f t="shared" si="159"/>
        <v>0</v>
      </c>
      <c r="AM151" s="307">
        <f t="shared" si="159"/>
        <v>0</v>
      </c>
      <c r="AN151" s="307">
        <f t="shared" si="159"/>
        <v>0</v>
      </c>
      <c r="AO151" s="307">
        <f t="shared" si="159"/>
        <v>0</v>
      </c>
      <c r="AP151" s="307">
        <f t="shared" si="159"/>
        <v>0</v>
      </c>
      <c r="AQ151" s="307">
        <f t="shared" si="159"/>
        <v>2</v>
      </c>
      <c r="AR151" s="307"/>
      <c r="AS151" s="307"/>
      <c r="AT151" s="307"/>
      <c r="AU151" s="307"/>
      <c r="AV151" s="307"/>
      <c r="AW151" s="307"/>
      <c r="AX151" s="307"/>
      <c r="AY151" s="307"/>
      <c r="AZ151" s="307"/>
      <c r="BA151" s="307"/>
      <c r="BB151" s="307"/>
      <c r="BC151" s="308"/>
      <c r="BE151" s="308">
        <v>0</v>
      </c>
      <c r="BF151" s="308">
        <f t="shared" si="153"/>
        <v>440</v>
      </c>
      <c r="BG151" s="308">
        <v>0</v>
      </c>
      <c r="BH151" s="308">
        <f t="shared" si="154"/>
        <v>0</v>
      </c>
      <c r="BI151" s="308">
        <v>0</v>
      </c>
      <c r="BJ151" s="308">
        <f t="shared" si="155"/>
        <v>0</v>
      </c>
      <c r="BK151" s="308">
        <v>0</v>
      </c>
      <c r="BL151" s="308">
        <f t="shared" si="156"/>
        <v>0</v>
      </c>
      <c r="BM151" s="309">
        <v>0</v>
      </c>
      <c r="BN151" s="308">
        <f t="shared" si="157"/>
        <v>0</v>
      </c>
      <c r="BO151" s="308">
        <v>0</v>
      </c>
      <c r="BP151" s="308">
        <f t="shared" si="158"/>
        <v>0</v>
      </c>
    </row>
    <row r="152" spans="1:68">
      <c r="A152" s="301" t="s">
        <v>50</v>
      </c>
      <c r="B152" s="308">
        <f t="shared" si="159"/>
        <v>0</v>
      </c>
      <c r="C152" s="308">
        <f t="shared" si="159"/>
        <v>0</v>
      </c>
      <c r="D152" s="308">
        <f t="shared" si="159"/>
        <v>0</v>
      </c>
      <c r="E152" s="308">
        <f t="shared" si="159"/>
        <v>0</v>
      </c>
      <c r="F152" s="308">
        <f t="shared" si="159"/>
        <v>0</v>
      </c>
      <c r="G152" s="308">
        <f t="shared" si="159"/>
        <v>0</v>
      </c>
      <c r="H152" s="308">
        <f t="shared" si="159"/>
        <v>27605</v>
      </c>
      <c r="I152" s="308">
        <f t="shared" si="159"/>
        <v>0</v>
      </c>
      <c r="J152" s="308">
        <f t="shared" si="159"/>
        <v>0</v>
      </c>
      <c r="K152" s="308">
        <f t="shared" si="159"/>
        <v>0</v>
      </c>
      <c r="L152" s="308">
        <f t="shared" si="159"/>
        <v>0</v>
      </c>
      <c r="M152" s="308">
        <f t="shared" si="159"/>
        <v>0</v>
      </c>
      <c r="N152" s="308">
        <f t="shared" si="159"/>
        <v>0</v>
      </c>
      <c r="O152" s="308">
        <f t="shared" si="159"/>
        <v>0</v>
      </c>
      <c r="P152" s="308">
        <f t="shared" si="159"/>
        <v>0</v>
      </c>
      <c r="Q152" s="307">
        <f t="shared" si="159"/>
        <v>0</v>
      </c>
      <c r="R152" s="307">
        <f t="shared" si="159"/>
        <v>0</v>
      </c>
      <c r="S152" s="307">
        <f t="shared" si="159"/>
        <v>0</v>
      </c>
      <c r="T152" s="307">
        <f t="shared" si="159"/>
        <v>0</v>
      </c>
      <c r="U152" s="307">
        <f t="shared" si="159"/>
        <v>0</v>
      </c>
      <c r="V152" s="307">
        <f t="shared" si="159"/>
        <v>0</v>
      </c>
      <c r="W152" s="307">
        <f t="shared" si="159"/>
        <v>0</v>
      </c>
      <c r="X152" s="307">
        <f t="shared" si="159"/>
        <v>0</v>
      </c>
      <c r="Y152" s="307">
        <f t="shared" si="159"/>
        <v>0</v>
      </c>
      <c r="Z152" s="307">
        <f t="shared" si="159"/>
        <v>0</v>
      </c>
      <c r="AA152" s="307">
        <f t="shared" si="159"/>
        <v>0</v>
      </c>
      <c r="AB152" s="307">
        <f t="shared" si="159"/>
        <v>0</v>
      </c>
      <c r="AC152" s="307">
        <f t="shared" si="159"/>
        <v>0</v>
      </c>
      <c r="AD152" s="307">
        <f t="shared" si="159"/>
        <v>0</v>
      </c>
      <c r="AE152" s="307">
        <f t="shared" si="159"/>
        <v>0</v>
      </c>
      <c r="AF152" s="307">
        <f t="shared" si="159"/>
        <v>0</v>
      </c>
      <c r="AG152" s="307">
        <f t="shared" si="159"/>
        <v>0</v>
      </c>
      <c r="AH152" s="307">
        <f t="shared" si="159"/>
        <v>0</v>
      </c>
      <c r="AI152" s="307">
        <f t="shared" si="159"/>
        <v>0</v>
      </c>
      <c r="AJ152" s="307">
        <f t="shared" si="159"/>
        <v>0</v>
      </c>
      <c r="AK152" s="307">
        <f t="shared" si="159"/>
        <v>0</v>
      </c>
      <c r="AL152" s="307">
        <f t="shared" si="159"/>
        <v>0</v>
      </c>
      <c r="AM152" s="307">
        <f t="shared" si="159"/>
        <v>0</v>
      </c>
      <c r="AN152" s="307">
        <f t="shared" si="159"/>
        <v>0</v>
      </c>
      <c r="AO152" s="307">
        <f t="shared" si="159"/>
        <v>0</v>
      </c>
      <c r="AP152" s="307">
        <f t="shared" si="159"/>
        <v>0</v>
      </c>
      <c r="AQ152" s="307">
        <f t="shared" si="159"/>
        <v>2</v>
      </c>
      <c r="AR152" s="307"/>
      <c r="AS152" s="307"/>
      <c r="AT152" s="307"/>
      <c r="AU152" s="307"/>
      <c r="AV152" s="307"/>
      <c r="AW152" s="307"/>
      <c r="AX152" s="307"/>
      <c r="AY152" s="307"/>
      <c r="AZ152" s="307"/>
      <c r="BA152" s="307"/>
      <c r="BB152" s="307"/>
      <c r="BC152" s="308"/>
      <c r="BE152" s="308">
        <v>0</v>
      </c>
      <c r="BF152" s="308">
        <f t="shared" si="153"/>
        <v>0</v>
      </c>
      <c r="BG152" s="308">
        <v>0</v>
      </c>
      <c r="BH152" s="308">
        <f t="shared" si="154"/>
        <v>0</v>
      </c>
      <c r="BI152" s="308">
        <v>0</v>
      </c>
      <c r="BJ152" s="308">
        <f t="shared" si="155"/>
        <v>0</v>
      </c>
      <c r="BK152" s="308">
        <v>0</v>
      </c>
      <c r="BL152" s="308">
        <f t="shared" si="156"/>
        <v>0</v>
      </c>
      <c r="BM152" s="309">
        <v>0</v>
      </c>
      <c r="BN152" s="308">
        <f t="shared" si="157"/>
        <v>0</v>
      </c>
      <c r="BO152" s="308">
        <v>0</v>
      </c>
      <c r="BP152" s="308">
        <f t="shared" si="158"/>
        <v>0</v>
      </c>
    </row>
    <row r="153" spans="1:68">
      <c r="A153" s="301" t="s">
        <v>51</v>
      </c>
      <c r="B153" s="308">
        <f t="shared" si="159"/>
        <v>0</v>
      </c>
      <c r="C153" s="308">
        <f t="shared" si="159"/>
        <v>0</v>
      </c>
      <c r="D153" s="308">
        <f t="shared" si="159"/>
        <v>0</v>
      </c>
      <c r="E153" s="308">
        <f t="shared" si="159"/>
        <v>0</v>
      </c>
      <c r="F153" s="308">
        <f t="shared" si="159"/>
        <v>0</v>
      </c>
      <c r="G153" s="308">
        <f t="shared" si="159"/>
        <v>0</v>
      </c>
      <c r="H153" s="308">
        <f t="shared" si="159"/>
        <v>0</v>
      </c>
      <c r="I153" s="308">
        <f t="shared" si="159"/>
        <v>0</v>
      </c>
      <c r="J153" s="308">
        <f t="shared" si="159"/>
        <v>0</v>
      </c>
      <c r="K153" s="308">
        <f t="shared" si="159"/>
        <v>0</v>
      </c>
      <c r="L153" s="308">
        <f t="shared" si="159"/>
        <v>0</v>
      </c>
      <c r="M153" s="308">
        <f t="shared" si="159"/>
        <v>0</v>
      </c>
      <c r="N153" s="308">
        <f t="shared" si="159"/>
        <v>0</v>
      </c>
      <c r="O153" s="308">
        <f t="shared" si="159"/>
        <v>0</v>
      </c>
      <c r="P153" s="308">
        <f t="shared" si="159"/>
        <v>0</v>
      </c>
      <c r="Q153" s="307">
        <f t="shared" si="159"/>
        <v>0</v>
      </c>
      <c r="R153" s="307">
        <f t="shared" si="159"/>
        <v>0</v>
      </c>
      <c r="S153" s="307">
        <f t="shared" si="159"/>
        <v>0</v>
      </c>
      <c r="T153" s="307">
        <f t="shared" si="159"/>
        <v>0</v>
      </c>
      <c r="U153" s="307">
        <f t="shared" si="159"/>
        <v>0</v>
      </c>
      <c r="V153" s="307">
        <f t="shared" si="159"/>
        <v>0</v>
      </c>
      <c r="W153" s="307">
        <f t="shared" si="159"/>
        <v>0</v>
      </c>
      <c r="X153" s="307">
        <f t="shared" si="159"/>
        <v>0</v>
      </c>
      <c r="Y153" s="307">
        <f t="shared" si="159"/>
        <v>0</v>
      </c>
      <c r="Z153" s="307">
        <f t="shared" si="159"/>
        <v>0</v>
      </c>
      <c r="AA153" s="307">
        <f t="shared" si="159"/>
        <v>0</v>
      </c>
      <c r="AB153" s="307">
        <f t="shared" si="159"/>
        <v>0</v>
      </c>
      <c r="AC153" s="307">
        <f t="shared" si="159"/>
        <v>0</v>
      </c>
      <c r="AD153" s="307">
        <f t="shared" si="159"/>
        <v>0</v>
      </c>
      <c r="AE153" s="307">
        <f t="shared" si="159"/>
        <v>0</v>
      </c>
      <c r="AF153" s="307">
        <f t="shared" si="159"/>
        <v>0</v>
      </c>
      <c r="AG153" s="307">
        <f t="shared" si="159"/>
        <v>0</v>
      </c>
      <c r="AH153" s="307">
        <f t="shared" si="159"/>
        <v>0</v>
      </c>
      <c r="AI153" s="307">
        <f t="shared" si="159"/>
        <v>0</v>
      </c>
      <c r="AJ153" s="307">
        <f t="shared" si="159"/>
        <v>0</v>
      </c>
      <c r="AK153" s="307">
        <f t="shared" si="159"/>
        <v>0</v>
      </c>
      <c r="AL153" s="307">
        <f t="shared" si="159"/>
        <v>0</v>
      </c>
      <c r="AM153" s="307">
        <f t="shared" si="159"/>
        <v>0</v>
      </c>
      <c r="AN153" s="307">
        <f t="shared" si="159"/>
        <v>0</v>
      </c>
      <c r="AO153" s="307">
        <f t="shared" si="159"/>
        <v>0</v>
      </c>
      <c r="AP153" s="307">
        <f t="shared" si="159"/>
        <v>0</v>
      </c>
      <c r="AQ153" s="307">
        <f t="shared" si="159"/>
        <v>2</v>
      </c>
      <c r="AR153" s="307"/>
      <c r="AS153" s="307"/>
      <c r="AT153" s="307"/>
      <c r="AU153" s="307"/>
      <c r="AV153" s="307"/>
      <c r="AW153" s="307"/>
      <c r="AX153" s="307"/>
      <c r="AY153" s="307"/>
      <c r="AZ153" s="307"/>
      <c r="BA153" s="307"/>
      <c r="BB153" s="307"/>
      <c r="BC153" s="308"/>
      <c r="BE153" s="308">
        <v>0</v>
      </c>
      <c r="BF153" s="308">
        <f t="shared" si="153"/>
        <v>0</v>
      </c>
      <c r="BG153" s="308">
        <v>0</v>
      </c>
      <c r="BH153" s="308">
        <f t="shared" si="154"/>
        <v>0</v>
      </c>
      <c r="BI153" s="308">
        <v>0</v>
      </c>
      <c r="BJ153" s="308">
        <f t="shared" si="155"/>
        <v>0</v>
      </c>
      <c r="BK153" s="308">
        <v>0</v>
      </c>
      <c r="BL153" s="308">
        <f t="shared" si="156"/>
        <v>0</v>
      </c>
      <c r="BM153" s="309">
        <v>0</v>
      </c>
      <c r="BN153" s="308">
        <f t="shared" si="157"/>
        <v>0</v>
      </c>
      <c r="BO153" s="308">
        <v>0</v>
      </c>
      <c r="BP153" s="308">
        <f t="shared" si="158"/>
        <v>0</v>
      </c>
    </row>
    <row r="154" spans="1:68">
      <c r="A154" s="301" t="s">
        <v>52</v>
      </c>
      <c r="B154" s="308">
        <f t="shared" si="159"/>
        <v>0</v>
      </c>
      <c r="C154" s="308">
        <f t="shared" si="159"/>
        <v>0</v>
      </c>
      <c r="D154" s="308">
        <f t="shared" si="159"/>
        <v>0</v>
      </c>
      <c r="E154" s="308">
        <f t="shared" si="159"/>
        <v>0</v>
      </c>
      <c r="F154" s="308">
        <f t="shared" si="159"/>
        <v>0</v>
      </c>
      <c r="G154" s="308">
        <f t="shared" si="159"/>
        <v>0</v>
      </c>
      <c r="H154" s="308">
        <f t="shared" si="159"/>
        <v>0</v>
      </c>
      <c r="I154" s="308">
        <f t="shared" si="159"/>
        <v>0</v>
      </c>
      <c r="J154" s="308">
        <f t="shared" si="159"/>
        <v>0</v>
      </c>
      <c r="K154" s="308">
        <f t="shared" si="159"/>
        <v>0</v>
      </c>
      <c r="L154" s="308">
        <f t="shared" si="159"/>
        <v>0</v>
      </c>
      <c r="M154" s="308">
        <f t="shared" si="159"/>
        <v>0</v>
      </c>
      <c r="N154" s="308">
        <f t="shared" si="159"/>
        <v>0</v>
      </c>
      <c r="O154" s="308">
        <f t="shared" si="159"/>
        <v>0</v>
      </c>
      <c r="P154" s="308">
        <f t="shared" si="159"/>
        <v>0</v>
      </c>
      <c r="Q154" s="307">
        <f t="shared" si="159"/>
        <v>0</v>
      </c>
      <c r="R154" s="307">
        <f t="shared" si="159"/>
        <v>0</v>
      </c>
      <c r="S154" s="307">
        <f t="shared" si="159"/>
        <v>0</v>
      </c>
      <c r="T154" s="307">
        <f t="shared" si="159"/>
        <v>0</v>
      </c>
      <c r="U154" s="307">
        <f t="shared" si="159"/>
        <v>0</v>
      </c>
      <c r="V154" s="307">
        <f t="shared" si="159"/>
        <v>0</v>
      </c>
      <c r="W154" s="307">
        <f t="shared" si="159"/>
        <v>0</v>
      </c>
      <c r="X154" s="307">
        <f t="shared" si="159"/>
        <v>0</v>
      </c>
      <c r="Y154" s="307">
        <f t="shared" si="159"/>
        <v>0</v>
      </c>
      <c r="Z154" s="307">
        <f t="shared" si="159"/>
        <v>0</v>
      </c>
      <c r="AA154" s="307">
        <f t="shared" si="159"/>
        <v>0</v>
      </c>
      <c r="AB154" s="307">
        <f t="shared" si="159"/>
        <v>0</v>
      </c>
      <c r="AC154" s="307">
        <f t="shared" si="159"/>
        <v>0</v>
      </c>
      <c r="AD154" s="307">
        <f t="shared" si="159"/>
        <v>0</v>
      </c>
      <c r="AE154" s="307">
        <f t="shared" si="159"/>
        <v>0</v>
      </c>
      <c r="AF154" s="307">
        <f t="shared" si="159"/>
        <v>0</v>
      </c>
      <c r="AG154" s="307">
        <f t="shared" si="159"/>
        <v>0</v>
      </c>
      <c r="AH154" s="307">
        <f t="shared" si="159"/>
        <v>0</v>
      </c>
      <c r="AI154" s="307">
        <f t="shared" si="159"/>
        <v>0</v>
      </c>
      <c r="AJ154" s="307">
        <f t="shared" si="159"/>
        <v>0</v>
      </c>
      <c r="AK154" s="307">
        <f t="shared" si="159"/>
        <v>0</v>
      </c>
      <c r="AL154" s="307">
        <f t="shared" si="159"/>
        <v>0</v>
      </c>
      <c r="AM154" s="307">
        <f t="shared" si="159"/>
        <v>0</v>
      </c>
      <c r="AN154" s="307">
        <f t="shared" si="159"/>
        <v>0</v>
      </c>
      <c r="AO154" s="307">
        <f t="shared" si="159"/>
        <v>0</v>
      </c>
      <c r="AP154" s="307">
        <f t="shared" si="159"/>
        <v>0</v>
      </c>
      <c r="AQ154" s="307">
        <f t="shared" si="159"/>
        <v>2</v>
      </c>
      <c r="AR154" s="307"/>
      <c r="AS154" s="307"/>
      <c r="AT154" s="307"/>
      <c r="AU154" s="307"/>
      <c r="AV154" s="307"/>
      <c r="AW154" s="307"/>
      <c r="AX154" s="307"/>
      <c r="AY154" s="307"/>
      <c r="AZ154" s="307"/>
      <c r="BA154" s="307"/>
      <c r="BB154" s="307"/>
      <c r="BC154" s="308"/>
      <c r="BE154" s="308">
        <v>0</v>
      </c>
      <c r="BF154" s="308">
        <f t="shared" si="153"/>
        <v>0</v>
      </c>
      <c r="BG154" s="308">
        <v>0</v>
      </c>
      <c r="BH154" s="308">
        <f t="shared" si="154"/>
        <v>0</v>
      </c>
      <c r="BI154" s="308">
        <v>0</v>
      </c>
      <c r="BJ154" s="308">
        <f t="shared" si="155"/>
        <v>0</v>
      </c>
      <c r="BK154" s="308">
        <v>0</v>
      </c>
      <c r="BL154" s="308">
        <f t="shared" si="156"/>
        <v>0</v>
      </c>
      <c r="BM154" s="309">
        <v>0</v>
      </c>
      <c r="BN154" s="308">
        <f t="shared" si="157"/>
        <v>0</v>
      </c>
      <c r="BO154" s="308">
        <v>0</v>
      </c>
      <c r="BP154" s="308">
        <f t="shared" si="158"/>
        <v>0</v>
      </c>
    </row>
    <row r="155" spans="1:68">
      <c r="A155" s="301" t="s">
        <v>53</v>
      </c>
      <c r="B155" s="308">
        <f t="shared" si="159"/>
        <v>0</v>
      </c>
      <c r="C155" s="308">
        <f t="shared" si="159"/>
        <v>0</v>
      </c>
      <c r="D155" s="308">
        <f t="shared" si="159"/>
        <v>0</v>
      </c>
      <c r="E155" s="308">
        <f t="shared" si="159"/>
        <v>0</v>
      </c>
      <c r="F155" s="308">
        <f t="shared" si="159"/>
        <v>0</v>
      </c>
      <c r="G155" s="308">
        <f t="shared" si="159"/>
        <v>0</v>
      </c>
      <c r="H155" s="308">
        <f t="shared" si="159"/>
        <v>28242</v>
      </c>
      <c r="I155" s="308">
        <f t="shared" si="159"/>
        <v>0</v>
      </c>
      <c r="J155" s="308">
        <f t="shared" si="159"/>
        <v>0</v>
      </c>
      <c r="K155" s="308">
        <f t="shared" si="159"/>
        <v>0</v>
      </c>
      <c r="L155" s="308">
        <f t="shared" si="159"/>
        <v>0</v>
      </c>
      <c r="M155" s="308">
        <f t="shared" si="159"/>
        <v>0</v>
      </c>
      <c r="N155" s="308">
        <f t="shared" si="159"/>
        <v>0</v>
      </c>
      <c r="O155" s="308">
        <f t="shared" si="159"/>
        <v>0</v>
      </c>
      <c r="P155" s="308">
        <f t="shared" si="159"/>
        <v>0</v>
      </c>
      <c r="Q155" s="307">
        <f t="shared" si="159"/>
        <v>0</v>
      </c>
      <c r="R155" s="307">
        <f t="shared" si="159"/>
        <v>0</v>
      </c>
      <c r="S155" s="307">
        <f t="shared" si="159"/>
        <v>0</v>
      </c>
      <c r="T155" s="307">
        <f t="shared" si="159"/>
        <v>0</v>
      </c>
      <c r="U155" s="307">
        <f t="shared" si="159"/>
        <v>0</v>
      </c>
      <c r="V155" s="307">
        <f t="shared" si="159"/>
        <v>0</v>
      </c>
      <c r="W155" s="307">
        <f t="shared" si="159"/>
        <v>0</v>
      </c>
      <c r="X155" s="307">
        <f t="shared" si="159"/>
        <v>0</v>
      </c>
      <c r="Y155" s="307">
        <f t="shared" si="159"/>
        <v>0</v>
      </c>
      <c r="Z155" s="307">
        <f t="shared" si="159"/>
        <v>0</v>
      </c>
      <c r="AA155" s="307">
        <f t="shared" si="159"/>
        <v>0</v>
      </c>
      <c r="AB155" s="307">
        <f t="shared" si="159"/>
        <v>0</v>
      </c>
      <c r="AC155" s="307">
        <f t="shared" si="159"/>
        <v>0</v>
      </c>
      <c r="AD155" s="307">
        <f t="shared" si="159"/>
        <v>0</v>
      </c>
      <c r="AE155" s="307">
        <f t="shared" si="159"/>
        <v>0</v>
      </c>
      <c r="AF155" s="307">
        <f t="shared" si="159"/>
        <v>0</v>
      </c>
      <c r="AG155" s="307">
        <f t="shared" si="159"/>
        <v>0</v>
      </c>
      <c r="AH155" s="307">
        <f t="shared" si="159"/>
        <v>0</v>
      </c>
      <c r="AI155" s="307">
        <f t="shared" si="159"/>
        <v>0</v>
      </c>
      <c r="AJ155" s="307">
        <f t="shared" si="159"/>
        <v>0</v>
      </c>
      <c r="AK155" s="307">
        <f t="shared" si="159"/>
        <v>0</v>
      </c>
      <c r="AL155" s="307">
        <f t="shared" si="159"/>
        <v>0</v>
      </c>
      <c r="AM155" s="307">
        <f t="shared" si="159"/>
        <v>0</v>
      </c>
      <c r="AN155" s="307">
        <f t="shared" si="159"/>
        <v>0</v>
      </c>
      <c r="AO155" s="307">
        <f t="shared" si="159"/>
        <v>0</v>
      </c>
      <c r="AP155" s="307">
        <f t="shared" si="159"/>
        <v>0</v>
      </c>
      <c r="AQ155" s="307">
        <f t="shared" si="159"/>
        <v>2</v>
      </c>
      <c r="AR155" s="307"/>
      <c r="AS155" s="307"/>
      <c r="AT155" s="307"/>
      <c r="AU155" s="307"/>
      <c r="AV155" s="307"/>
      <c r="AW155" s="307"/>
      <c r="AX155" s="307"/>
      <c r="AY155" s="307"/>
      <c r="AZ155" s="307"/>
      <c r="BA155" s="307"/>
      <c r="BB155" s="307"/>
      <c r="BC155" s="308"/>
      <c r="BE155" s="308">
        <v>0</v>
      </c>
      <c r="BF155" s="308">
        <f t="shared" si="153"/>
        <v>0</v>
      </c>
      <c r="BG155" s="308">
        <v>0</v>
      </c>
      <c r="BH155" s="308">
        <f t="shared" si="154"/>
        <v>0</v>
      </c>
      <c r="BI155" s="308">
        <v>0</v>
      </c>
      <c r="BJ155" s="308">
        <f t="shared" si="155"/>
        <v>0</v>
      </c>
      <c r="BK155" s="309">
        <v>0</v>
      </c>
      <c r="BL155" s="308">
        <f t="shared" si="156"/>
        <v>0</v>
      </c>
      <c r="BM155" s="309">
        <v>0</v>
      </c>
      <c r="BN155" s="308">
        <f t="shared" si="157"/>
        <v>0</v>
      </c>
      <c r="BO155" s="308">
        <v>0</v>
      </c>
      <c r="BP155" s="308">
        <f t="shared" si="158"/>
        <v>0</v>
      </c>
    </row>
    <row r="156" spans="1:68">
      <c r="A156" s="301" t="s">
        <v>54</v>
      </c>
      <c r="B156" s="308">
        <f t="shared" si="159"/>
        <v>0</v>
      </c>
      <c r="C156" s="308">
        <f t="shared" si="159"/>
        <v>0</v>
      </c>
      <c r="D156" s="308">
        <f t="shared" si="159"/>
        <v>0</v>
      </c>
      <c r="E156" s="308">
        <f t="shared" si="159"/>
        <v>0</v>
      </c>
      <c r="F156" s="308">
        <f t="shared" si="159"/>
        <v>0</v>
      </c>
      <c r="G156" s="308">
        <f t="shared" si="159"/>
        <v>0</v>
      </c>
      <c r="H156" s="308">
        <f t="shared" si="159"/>
        <v>0</v>
      </c>
      <c r="I156" s="308">
        <f t="shared" si="159"/>
        <v>0</v>
      </c>
      <c r="J156" s="308">
        <f t="shared" si="159"/>
        <v>0</v>
      </c>
      <c r="K156" s="308">
        <f t="shared" si="159"/>
        <v>0</v>
      </c>
      <c r="L156" s="308">
        <f t="shared" si="159"/>
        <v>0</v>
      </c>
      <c r="M156" s="308">
        <f t="shared" si="159"/>
        <v>0</v>
      </c>
      <c r="N156" s="308">
        <f t="shared" si="159"/>
        <v>0</v>
      </c>
      <c r="O156" s="308">
        <f t="shared" si="159"/>
        <v>0</v>
      </c>
      <c r="P156" s="308">
        <f t="shared" si="159"/>
        <v>0</v>
      </c>
      <c r="Q156" s="307">
        <f t="shared" si="159"/>
        <v>0</v>
      </c>
      <c r="R156" s="307">
        <f t="shared" si="159"/>
        <v>0</v>
      </c>
      <c r="S156" s="307">
        <f t="shared" si="159"/>
        <v>0</v>
      </c>
      <c r="T156" s="307">
        <f t="shared" si="159"/>
        <v>0</v>
      </c>
      <c r="U156" s="307">
        <f t="shared" si="159"/>
        <v>0</v>
      </c>
      <c r="V156" s="307">
        <f t="shared" si="159"/>
        <v>0</v>
      </c>
      <c r="W156" s="307">
        <f t="shared" si="159"/>
        <v>0</v>
      </c>
      <c r="X156" s="307">
        <f t="shared" si="159"/>
        <v>0</v>
      </c>
      <c r="Y156" s="307">
        <f t="shared" si="159"/>
        <v>0</v>
      </c>
      <c r="Z156" s="307">
        <f t="shared" si="159"/>
        <v>0</v>
      </c>
      <c r="AA156" s="307">
        <f t="shared" si="159"/>
        <v>0</v>
      </c>
      <c r="AB156" s="307">
        <f t="shared" si="159"/>
        <v>0</v>
      </c>
      <c r="AC156" s="307">
        <f t="shared" si="159"/>
        <v>0</v>
      </c>
      <c r="AD156" s="307">
        <f t="shared" si="159"/>
        <v>0</v>
      </c>
      <c r="AE156" s="307">
        <f t="shared" si="159"/>
        <v>0</v>
      </c>
      <c r="AF156" s="307">
        <f t="shared" si="159"/>
        <v>0</v>
      </c>
      <c r="AG156" s="307">
        <f t="shared" si="159"/>
        <v>0</v>
      </c>
      <c r="AH156" s="307">
        <f t="shared" si="159"/>
        <v>0</v>
      </c>
      <c r="AI156" s="307">
        <f t="shared" si="159"/>
        <v>0</v>
      </c>
      <c r="AJ156" s="307">
        <f t="shared" si="159"/>
        <v>0</v>
      </c>
      <c r="AK156" s="307">
        <f t="shared" si="159"/>
        <v>0</v>
      </c>
      <c r="AL156" s="307">
        <f t="shared" si="159"/>
        <v>0</v>
      </c>
      <c r="AM156" s="307">
        <f t="shared" si="159"/>
        <v>0</v>
      </c>
      <c r="AN156" s="307">
        <f t="shared" si="159"/>
        <v>0</v>
      </c>
      <c r="AO156" s="307">
        <f t="shared" si="159"/>
        <v>0</v>
      </c>
      <c r="AP156" s="307">
        <f t="shared" si="159"/>
        <v>0</v>
      </c>
      <c r="AQ156" s="307">
        <f t="shared" si="159"/>
        <v>2</v>
      </c>
      <c r="AR156" s="307"/>
      <c r="AS156" s="307"/>
      <c r="AT156" s="307"/>
      <c r="AU156" s="307"/>
      <c r="AV156" s="307"/>
      <c r="AW156" s="307"/>
      <c r="AX156" s="307"/>
      <c r="AY156" s="307"/>
      <c r="AZ156" s="307"/>
      <c r="BA156" s="307"/>
      <c r="BB156" s="307"/>
      <c r="BC156" s="308"/>
      <c r="BE156" s="308">
        <v>0</v>
      </c>
      <c r="BF156" s="308">
        <f t="shared" si="153"/>
        <v>0</v>
      </c>
      <c r="BG156" s="308">
        <v>0</v>
      </c>
      <c r="BH156" s="308">
        <f t="shared" si="154"/>
        <v>0</v>
      </c>
      <c r="BI156" s="308">
        <v>0</v>
      </c>
      <c r="BJ156" s="308">
        <f t="shared" si="155"/>
        <v>0</v>
      </c>
      <c r="BK156" s="309">
        <v>0</v>
      </c>
      <c r="BL156" s="308">
        <f t="shared" si="156"/>
        <v>0</v>
      </c>
      <c r="BM156" s="309">
        <v>0</v>
      </c>
      <c r="BN156" s="308">
        <f t="shared" si="157"/>
        <v>0</v>
      </c>
      <c r="BO156" s="308">
        <v>0</v>
      </c>
      <c r="BP156" s="308">
        <f t="shared" si="158"/>
        <v>0</v>
      </c>
    </row>
    <row r="157" spans="1:68" ht="12" thickBot="1">
      <c r="A157" s="301" t="s">
        <v>29</v>
      </c>
      <c r="B157" s="308">
        <f t="shared" ref="B157:AD157" si="160">SUM(B145:B156)</f>
        <v>0</v>
      </c>
      <c r="C157" s="308">
        <f t="shared" si="160"/>
        <v>0</v>
      </c>
      <c r="D157" s="308">
        <f t="shared" si="160"/>
        <v>0</v>
      </c>
      <c r="E157" s="308">
        <f t="shared" si="160"/>
        <v>11691</v>
      </c>
      <c r="F157" s="308">
        <f t="shared" si="160"/>
        <v>0</v>
      </c>
      <c r="G157" s="308">
        <f t="shared" si="160"/>
        <v>0</v>
      </c>
      <c r="H157" s="308">
        <f t="shared" si="160"/>
        <v>125340</v>
      </c>
      <c r="I157" s="308">
        <f t="shared" si="160"/>
        <v>0</v>
      </c>
      <c r="J157" s="308">
        <f t="shared" si="160"/>
        <v>0</v>
      </c>
      <c r="K157" s="308">
        <f t="shared" si="160"/>
        <v>0</v>
      </c>
      <c r="L157" s="308">
        <f t="shared" si="160"/>
        <v>440</v>
      </c>
      <c r="M157" s="308">
        <f t="shared" si="160"/>
        <v>0</v>
      </c>
      <c r="N157" s="308">
        <f t="shared" si="160"/>
        <v>0</v>
      </c>
      <c r="O157" s="308">
        <f t="shared" si="160"/>
        <v>0</v>
      </c>
      <c r="P157" s="308">
        <f t="shared" si="160"/>
        <v>0</v>
      </c>
      <c r="Q157" s="307">
        <f t="shared" si="160"/>
        <v>0</v>
      </c>
      <c r="R157" s="307">
        <f t="shared" si="160"/>
        <v>0</v>
      </c>
      <c r="S157" s="307">
        <f t="shared" si="160"/>
        <v>0</v>
      </c>
      <c r="T157" s="307">
        <f t="shared" si="160"/>
        <v>0</v>
      </c>
      <c r="U157" s="307">
        <f t="shared" si="160"/>
        <v>0</v>
      </c>
      <c r="V157" s="307">
        <f t="shared" si="160"/>
        <v>0</v>
      </c>
      <c r="W157" s="307">
        <f t="shared" si="160"/>
        <v>0</v>
      </c>
      <c r="X157" s="307">
        <f t="shared" si="160"/>
        <v>0</v>
      </c>
      <c r="Y157" s="307">
        <f t="shared" si="160"/>
        <v>0</v>
      </c>
      <c r="Z157" s="307">
        <f t="shared" si="160"/>
        <v>0</v>
      </c>
      <c r="AA157" s="307">
        <f t="shared" si="160"/>
        <v>0</v>
      </c>
      <c r="AB157" s="307">
        <f t="shared" si="160"/>
        <v>0</v>
      </c>
      <c r="AC157" s="307">
        <f t="shared" si="160"/>
        <v>0</v>
      </c>
      <c r="AD157" s="307">
        <f t="shared" si="160"/>
        <v>0</v>
      </c>
      <c r="AE157" s="307">
        <f>SUM(AE145:AE156)</f>
        <v>0</v>
      </c>
      <c r="AF157" s="307">
        <f>SUM(AF145:AF156)</f>
        <v>0</v>
      </c>
      <c r="AG157" s="307">
        <f>SUM(AG145:AG156)</f>
        <v>0</v>
      </c>
      <c r="AH157" s="307">
        <f t="shared" ref="AH157:AQ157" si="161">SUM(AH145:AH156)</f>
        <v>0</v>
      </c>
      <c r="AI157" s="307">
        <f t="shared" si="161"/>
        <v>0</v>
      </c>
      <c r="AJ157" s="307">
        <f t="shared" si="161"/>
        <v>0</v>
      </c>
      <c r="AK157" s="307">
        <f t="shared" si="161"/>
        <v>0</v>
      </c>
      <c r="AL157" s="307">
        <f t="shared" si="161"/>
        <v>0</v>
      </c>
      <c r="AM157" s="307">
        <f t="shared" si="161"/>
        <v>0</v>
      </c>
      <c r="AN157" s="307">
        <f t="shared" si="161"/>
        <v>0</v>
      </c>
      <c r="AO157" s="307">
        <f t="shared" si="161"/>
        <v>0</v>
      </c>
      <c r="AP157" s="307">
        <f t="shared" si="161"/>
        <v>0</v>
      </c>
      <c r="AQ157" s="307">
        <f t="shared" si="161"/>
        <v>24</v>
      </c>
      <c r="AR157" s="307"/>
      <c r="AS157" s="307"/>
      <c r="AT157" s="307"/>
      <c r="AU157" s="307"/>
      <c r="AV157" s="307"/>
      <c r="AW157" s="307"/>
      <c r="AX157" s="307"/>
      <c r="AY157" s="307"/>
      <c r="AZ157" s="307"/>
      <c r="BA157" s="307"/>
      <c r="BB157" s="307"/>
      <c r="BC157" s="308"/>
      <c r="BE157" s="308">
        <v>0</v>
      </c>
      <c r="BF157" s="308">
        <f t="shared" si="153"/>
        <v>440</v>
      </c>
      <c r="BG157" s="308">
        <v>0</v>
      </c>
      <c r="BH157" s="308">
        <f t="shared" si="154"/>
        <v>0</v>
      </c>
      <c r="BI157" s="308">
        <v>0</v>
      </c>
      <c r="BJ157" s="308">
        <f t="shared" si="155"/>
        <v>0</v>
      </c>
      <c r="BK157" s="309">
        <v>0</v>
      </c>
      <c r="BL157" s="308">
        <f t="shared" si="156"/>
        <v>0</v>
      </c>
      <c r="BM157" s="309">
        <v>0</v>
      </c>
      <c r="BN157" s="308">
        <f t="shared" si="157"/>
        <v>0</v>
      </c>
      <c r="BO157" s="308">
        <v>0</v>
      </c>
      <c r="BP157" s="308">
        <f t="shared" si="158"/>
        <v>0</v>
      </c>
    </row>
    <row r="158" spans="1:68">
      <c r="A158" s="334"/>
      <c r="B158" s="334"/>
      <c r="C158" s="334"/>
      <c r="D158" s="334"/>
      <c r="E158" s="334"/>
      <c r="F158" s="334"/>
      <c r="G158" s="334"/>
      <c r="H158" s="334"/>
      <c r="I158" s="334"/>
      <c r="J158" s="334"/>
      <c r="K158" s="334"/>
      <c r="L158" s="334"/>
      <c r="M158" s="334"/>
      <c r="N158" s="334"/>
      <c r="O158" s="334"/>
      <c r="P158" s="334"/>
      <c r="Q158" s="334"/>
      <c r="R158" s="334"/>
      <c r="S158" s="334"/>
      <c r="T158" s="334"/>
      <c r="U158" s="334"/>
      <c r="V158" s="334"/>
      <c r="W158" s="334"/>
      <c r="X158" s="334"/>
      <c r="Y158" s="334"/>
      <c r="Z158" s="334"/>
      <c r="AA158" s="334"/>
      <c r="AB158" s="334"/>
      <c r="AC158" s="334"/>
      <c r="AD158" s="334"/>
      <c r="AE158" s="334"/>
      <c r="AF158" s="334"/>
      <c r="AG158" s="334"/>
      <c r="AH158" s="334"/>
      <c r="AI158" s="334"/>
      <c r="AJ158" s="334"/>
      <c r="AK158" s="334"/>
      <c r="AL158" s="334"/>
      <c r="AM158" s="334"/>
      <c r="AN158" s="334"/>
      <c r="AO158" s="334"/>
      <c r="AP158" s="334"/>
      <c r="AQ158" s="334"/>
      <c r="BC158" s="308"/>
      <c r="BG158" s="309"/>
    </row>
    <row r="159" spans="1:68" ht="12" thickBot="1">
      <c r="A159" s="300" t="s">
        <v>500</v>
      </c>
      <c r="BC159" s="308"/>
      <c r="BG159" s="309"/>
    </row>
    <row r="160" spans="1:68" ht="12" thickBot="1">
      <c r="A160" s="328"/>
      <c r="B160" s="329">
        <f t="shared" ref="B160:AQ160" si="162">B2</f>
        <v>2010</v>
      </c>
      <c r="C160" s="329">
        <f t="shared" si="162"/>
        <v>2011</v>
      </c>
      <c r="D160" s="329">
        <f t="shared" si="162"/>
        <v>2012</v>
      </c>
      <c r="E160" s="329">
        <f t="shared" si="162"/>
        <v>2013</v>
      </c>
      <c r="F160" s="329">
        <f t="shared" si="162"/>
        <v>2014</v>
      </c>
      <c r="G160" s="329">
        <f t="shared" si="162"/>
        <v>2015</v>
      </c>
      <c r="H160" s="329">
        <f t="shared" si="162"/>
        <v>2016</v>
      </c>
      <c r="I160" s="329">
        <f t="shared" si="162"/>
        <v>2017</v>
      </c>
      <c r="J160" s="329">
        <f t="shared" si="162"/>
        <v>2018</v>
      </c>
      <c r="K160" s="329">
        <f t="shared" si="162"/>
        <v>2019</v>
      </c>
      <c r="L160" s="329">
        <f t="shared" si="162"/>
        <v>2020</v>
      </c>
      <c r="M160" s="329">
        <f t="shared" si="162"/>
        <v>2021</v>
      </c>
      <c r="N160" s="329">
        <f t="shared" si="162"/>
        <v>2022</v>
      </c>
      <c r="O160" s="329">
        <f t="shared" si="162"/>
        <v>2023</v>
      </c>
      <c r="P160" s="329">
        <f t="shared" si="162"/>
        <v>2024</v>
      </c>
      <c r="Q160" s="329">
        <f t="shared" si="162"/>
        <v>2025</v>
      </c>
      <c r="R160" s="329">
        <f t="shared" si="162"/>
        <v>2026</v>
      </c>
      <c r="S160" s="329">
        <f t="shared" si="162"/>
        <v>2027</v>
      </c>
      <c r="T160" s="329">
        <f t="shared" si="162"/>
        <v>2028</v>
      </c>
      <c r="U160" s="329">
        <f t="shared" si="162"/>
        <v>2029</v>
      </c>
      <c r="V160" s="329">
        <f t="shared" si="162"/>
        <v>2030</v>
      </c>
      <c r="W160" s="329">
        <f t="shared" si="162"/>
        <v>2031</v>
      </c>
      <c r="X160" s="329">
        <f t="shared" si="162"/>
        <v>2032</v>
      </c>
      <c r="Y160" s="329">
        <f t="shared" si="162"/>
        <v>2033</v>
      </c>
      <c r="Z160" s="329">
        <f t="shared" si="162"/>
        <v>2034</v>
      </c>
      <c r="AA160" s="329">
        <f t="shared" si="162"/>
        <v>2035</v>
      </c>
      <c r="AB160" s="329">
        <f t="shared" si="162"/>
        <v>2036</v>
      </c>
      <c r="AC160" s="329">
        <f t="shared" si="162"/>
        <v>2037</v>
      </c>
      <c r="AD160" s="329">
        <f t="shared" si="162"/>
        <v>2038</v>
      </c>
      <c r="AE160" s="329">
        <f t="shared" si="162"/>
        <v>2039</v>
      </c>
      <c r="AF160" s="329">
        <f t="shared" si="162"/>
        <v>2040</v>
      </c>
      <c r="AG160" s="329">
        <f t="shared" si="162"/>
        <v>2041</v>
      </c>
      <c r="AH160" s="329">
        <f t="shared" si="162"/>
        <v>2042</v>
      </c>
      <c r="AI160" s="329">
        <f t="shared" si="162"/>
        <v>2043</v>
      </c>
      <c r="AJ160" s="329">
        <f t="shared" si="162"/>
        <v>2044</v>
      </c>
      <c r="AK160" s="329">
        <f t="shared" si="162"/>
        <v>2045</v>
      </c>
      <c r="AL160" s="329">
        <f t="shared" si="162"/>
        <v>2046</v>
      </c>
      <c r="AM160" s="329">
        <f t="shared" si="162"/>
        <v>2047</v>
      </c>
      <c r="AN160" s="329">
        <f t="shared" si="162"/>
        <v>2048</v>
      </c>
      <c r="AO160" s="329">
        <f t="shared" si="162"/>
        <v>2049</v>
      </c>
      <c r="AP160" s="329">
        <f t="shared" si="162"/>
        <v>2050</v>
      </c>
      <c r="AQ160" s="329">
        <f t="shared" si="162"/>
        <v>2051</v>
      </c>
      <c r="AR160" s="300"/>
      <c r="AS160" s="300"/>
      <c r="AT160" s="300"/>
      <c r="AU160" s="300"/>
      <c r="AV160" s="300"/>
      <c r="AW160" s="300"/>
      <c r="AX160" s="300"/>
      <c r="AY160" s="300"/>
      <c r="AZ160" s="300"/>
      <c r="BA160" s="300"/>
      <c r="BB160" s="300"/>
      <c r="BC160" s="308"/>
      <c r="BG160" s="309"/>
    </row>
    <row r="161" spans="1:68">
      <c r="A161" s="301" t="s">
        <v>43</v>
      </c>
      <c r="B161" s="308">
        <f>'Monthly D6 Gallon Data'!$H4</f>
        <v>0</v>
      </c>
      <c r="C161" s="308">
        <f>'Monthly D6 Gallon Data'!$H16</f>
        <v>0</v>
      </c>
      <c r="D161" s="308">
        <f>'Monthly D6 Gallon Data'!$H28</f>
        <v>0</v>
      </c>
      <c r="E161" s="308">
        <f>'Monthly D6 Gallon Data'!$H40</f>
        <v>0</v>
      </c>
      <c r="F161" s="308">
        <f>'Monthly D6 Gallon Data'!$H52</f>
        <v>0</v>
      </c>
      <c r="G161" s="308">
        <f>'Monthly D6 Gallon Data'!$H64</f>
        <v>0</v>
      </c>
      <c r="H161" s="308">
        <f>'Monthly D6 Gallon Data'!$H76</f>
        <v>0</v>
      </c>
      <c r="I161" s="308">
        <f>'Monthly D6 Gallon Data'!$H88</f>
        <v>0</v>
      </c>
      <c r="J161" s="308">
        <f>'Monthly D6 Gallon Data'!$H100</f>
        <v>0</v>
      </c>
      <c r="K161" s="308">
        <f>'Monthly D6 Gallon Data'!$H112</f>
        <v>0</v>
      </c>
      <c r="L161" s="308">
        <f>'Monthly D6 Gallon Data'!$H124</f>
        <v>0</v>
      </c>
      <c r="M161" s="308">
        <f>'Monthly D6 Gallon Data'!$H136</f>
        <v>0</v>
      </c>
      <c r="N161" s="308">
        <f>'Monthly D6 Gallon Data'!$H148</f>
        <v>0</v>
      </c>
      <c r="O161" s="308">
        <f>'Monthly D6 Gallon Data'!$H160</f>
        <v>0</v>
      </c>
      <c r="P161" s="308">
        <f>'Monthly D6 Gallon Data'!$H172</f>
        <v>0</v>
      </c>
      <c r="Q161" s="308">
        <f>'Monthly D6 Gallon Data'!$H184</f>
        <v>0</v>
      </c>
      <c r="R161" s="307">
        <v>0</v>
      </c>
      <c r="S161" s="307">
        <v>0</v>
      </c>
      <c r="T161" s="307">
        <v>0</v>
      </c>
      <c r="U161" s="307">
        <v>0</v>
      </c>
      <c r="V161" s="307">
        <v>0</v>
      </c>
      <c r="W161" s="307">
        <v>0</v>
      </c>
      <c r="X161" s="307">
        <v>0</v>
      </c>
      <c r="Y161" s="307">
        <v>0</v>
      </c>
      <c r="Z161" s="307">
        <v>0</v>
      </c>
      <c r="AA161" s="307">
        <v>0</v>
      </c>
      <c r="AB161" s="307">
        <v>0</v>
      </c>
      <c r="AC161" s="307">
        <v>0</v>
      </c>
      <c r="AD161" s="307">
        <v>0</v>
      </c>
      <c r="AE161" s="307">
        <v>0</v>
      </c>
      <c r="AF161" s="307">
        <v>0</v>
      </c>
      <c r="AG161" s="307">
        <v>0</v>
      </c>
      <c r="AH161" s="307">
        <v>0</v>
      </c>
      <c r="AI161" s="307">
        <v>0</v>
      </c>
      <c r="AJ161" s="307">
        <v>0</v>
      </c>
      <c r="AK161" s="307">
        <v>0</v>
      </c>
      <c r="AL161" s="307">
        <v>0</v>
      </c>
      <c r="AM161" s="307">
        <v>0</v>
      </c>
      <c r="AN161" s="307">
        <v>0</v>
      </c>
      <c r="AO161" s="307">
        <v>0</v>
      </c>
      <c r="AP161" s="307">
        <v>0</v>
      </c>
      <c r="AQ161" s="307">
        <v>1</v>
      </c>
      <c r="AR161" s="307"/>
      <c r="AS161" s="307"/>
      <c r="AT161" s="307"/>
      <c r="AU161" s="307"/>
      <c r="AV161" s="307"/>
      <c r="AW161" s="307"/>
      <c r="AX161" s="307"/>
      <c r="AY161" s="307"/>
      <c r="AZ161" s="307"/>
      <c r="BA161" s="307"/>
      <c r="BB161" s="307"/>
      <c r="BC161" s="308"/>
      <c r="BE161" s="308">
        <v>0</v>
      </c>
      <c r="BF161" s="308">
        <f t="shared" ref="BF161:BF173" si="163">L161-BE161</f>
        <v>0</v>
      </c>
      <c r="BG161" s="308">
        <v>0</v>
      </c>
      <c r="BH161" s="308">
        <f t="shared" ref="BH161:BH173" si="164">M161-BG161</f>
        <v>0</v>
      </c>
      <c r="BI161" s="308">
        <v>0</v>
      </c>
      <c r="BJ161" s="308">
        <f t="shared" ref="BJ161:BJ173" si="165">N161-BI161</f>
        <v>0</v>
      </c>
      <c r="BK161" s="308">
        <v>0</v>
      </c>
      <c r="BL161" s="308">
        <f t="shared" ref="BL161:BL173" si="166">O161-BK161</f>
        <v>0</v>
      </c>
      <c r="BM161" s="308">
        <v>0</v>
      </c>
      <c r="BN161" s="308">
        <f t="shared" ref="BN161:BN173" si="167">P161-BM161</f>
        <v>0</v>
      </c>
      <c r="BO161" s="308">
        <v>0</v>
      </c>
      <c r="BP161" s="308">
        <f t="shared" ref="BP161:BP173" si="168">BO161-Q161</f>
        <v>0</v>
      </c>
    </row>
    <row r="162" spans="1:68">
      <c r="A162" s="301" t="s">
        <v>44</v>
      </c>
      <c r="B162" s="308">
        <f>'Monthly D6 Gallon Data'!$H5</f>
        <v>0</v>
      </c>
      <c r="C162" s="308">
        <f>'Monthly D6 Gallon Data'!$H17</f>
        <v>0</v>
      </c>
      <c r="D162" s="308">
        <f>'Monthly D6 Gallon Data'!$H29</f>
        <v>0</v>
      </c>
      <c r="E162" s="308">
        <f>'Monthly D6 Gallon Data'!$H41</f>
        <v>0</v>
      </c>
      <c r="F162" s="308">
        <f>'Monthly D6 Gallon Data'!$H53</f>
        <v>0</v>
      </c>
      <c r="G162" s="308">
        <f>'Monthly D6 Gallon Data'!$H65</f>
        <v>0</v>
      </c>
      <c r="H162" s="308">
        <f>'Monthly D6 Gallon Data'!$H77</f>
        <v>0</v>
      </c>
      <c r="I162" s="308">
        <f>'Monthly D6 Gallon Data'!$H89</f>
        <v>0</v>
      </c>
      <c r="J162" s="308">
        <f>'Monthly D6 Gallon Data'!$H101</f>
        <v>0</v>
      </c>
      <c r="K162" s="308">
        <f>'Monthly D6 Gallon Data'!$H113</f>
        <v>0</v>
      </c>
      <c r="L162" s="308">
        <f>'Monthly D6 Gallon Data'!$H125</f>
        <v>0</v>
      </c>
      <c r="M162" s="308">
        <f>'Monthly D6 Gallon Data'!$H137</f>
        <v>0</v>
      </c>
      <c r="N162" s="308">
        <f>'Monthly D6 Gallon Data'!$H149</f>
        <v>0</v>
      </c>
      <c r="O162" s="308">
        <f>'Monthly D6 Gallon Data'!$H161</f>
        <v>0</v>
      </c>
      <c r="P162" s="308">
        <f>'Monthly D6 Gallon Data'!$H173</f>
        <v>0</v>
      </c>
      <c r="Q162" s="332">
        <f>'Monthly D6 Gallon Data'!$H185</f>
        <v>0</v>
      </c>
      <c r="R162" s="307">
        <v>0</v>
      </c>
      <c r="S162" s="307">
        <v>0</v>
      </c>
      <c r="T162" s="307">
        <v>0</v>
      </c>
      <c r="U162" s="307">
        <v>0</v>
      </c>
      <c r="V162" s="307">
        <v>0</v>
      </c>
      <c r="W162" s="307">
        <v>0</v>
      </c>
      <c r="X162" s="307">
        <v>0</v>
      </c>
      <c r="Y162" s="307">
        <v>0</v>
      </c>
      <c r="Z162" s="307">
        <v>0</v>
      </c>
      <c r="AA162" s="307">
        <v>0</v>
      </c>
      <c r="AB162" s="307">
        <v>0</v>
      </c>
      <c r="AC162" s="307">
        <v>0</v>
      </c>
      <c r="AD162" s="307">
        <v>0</v>
      </c>
      <c r="AE162" s="307">
        <v>0</v>
      </c>
      <c r="AF162" s="307">
        <v>0</v>
      </c>
      <c r="AG162" s="307">
        <v>0</v>
      </c>
      <c r="AH162" s="307">
        <v>0</v>
      </c>
      <c r="AI162" s="307">
        <v>0</v>
      </c>
      <c r="AJ162" s="307">
        <v>0</v>
      </c>
      <c r="AK162" s="307">
        <v>0</v>
      </c>
      <c r="AL162" s="307">
        <v>0</v>
      </c>
      <c r="AM162" s="307">
        <v>0</v>
      </c>
      <c r="AN162" s="307">
        <v>0</v>
      </c>
      <c r="AO162" s="307">
        <v>0</v>
      </c>
      <c r="AP162" s="307">
        <v>0</v>
      </c>
      <c r="AQ162" s="307">
        <v>1</v>
      </c>
      <c r="AR162" s="307"/>
      <c r="AS162" s="307"/>
      <c r="AT162" s="307"/>
      <c r="AU162" s="307"/>
      <c r="AV162" s="307"/>
      <c r="AW162" s="307"/>
      <c r="AX162" s="307"/>
      <c r="AY162" s="307"/>
      <c r="AZ162" s="307"/>
      <c r="BA162" s="307"/>
      <c r="BB162" s="307"/>
      <c r="BC162" s="308"/>
      <c r="BE162" s="308">
        <v>0</v>
      </c>
      <c r="BF162" s="308">
        <f t="shared" si="163"/>
        <v>0</v>
      </c>
      <c r="BG162" s="308">
        <v>0</v>
      </c>
      <c r="BH162" s="308">
        <f t="shared" si="164"/>
        <v>0</v>
      </c>
      <c r="BI162" s="308">
        <v>0</v>
      </c>
      <c r="BJ162" s="308">
        <f t="shared" si="165"/>
        <v>0</v>
      </c>
      <c r="BK162" s="308">
        <v>0</v>
      </c>
      <c r="BL162" s="308">
        <f t="shared" si="166"/>
        <v>0</v>
      </c>
      <c r="BM162" s="308">
        <v>0</v>
      </c>
      <c r="BN162" s="308">
        <f t="shared" si="167"/>
        <v>0</v>
      </c>
      <c r="BO162" s="308">
        <v>0</v>
      </c>
      <c r="BP162" s="308">
        <f t="shared" si="168"/>
        <v>0</v>
      </c>
    </row>
    <row r="163" spans="1:68">
      <c r="A163" s="301" t="s">
        <v>45</v>
      </c>
      <c r="B163" s="308">
        <f>'Monthly D6 Gallon Data'!$H6</f>
        <v>0</v>
      </c>
      <c r="C163" s="308">
        <f>'Monthly D6 Gallon Data'!$H18</f>
        <v>0</v>
      </c>
      <c r="D163" s="308">
        <f>'Monthly D6 Gallon Data'!$H30</f>
        <v>0</v>
      </c>
      <c r="E163" s="308">
        <f>'Monthly D6 Gallon Data'!$H42</f>
        <v>0</v>
      </c>
      <c r="F163" s="308">
        <f>'Monthly D6 Gallon Data'!$H54</f>
        <v>0</v>
      </c>
      <c r="G163" s="308">
        <f>'Monthly D6 Gallon Data'!$H66</f>
        <v>0</v>
      </c>
      <c r="H163" s="308">
        <f>'Monthly D6 Gallon Data'!$H78</f>
        <v>0</v>
      </c>
      <c r="I163" s="308">
        <f>'Monthly D6 Gallon Data'!$H90</f>
        <v>0</v>
      </c>
      <c r="J163" s="308">
        <f>'Monthly D6 Gallon Data'!$H102</f>
        <v>0</v>
      </c>
      <c r="K163" s="308">
        <f>'Monthly D6 Gallon Data'!$H114</f>
        <v>0</v>
      </c>
      <c r="L163" s="308">
        <f>'Monthly D6 Gallon Data'!$H126</f>
        <v>0</v>
      </c>
      <c r="M163" s="308">
        <f>'Monthly D6 Gallon Data'!$H138</f>
        <v>0</v>
      </c>
      <c r="N163" s="308">
        <f>'Monthly D6 Gallon Data'!$H150</f>
        <v>0</v>
      </c>
      <c r="O163" s="308">
        <f>'Monthly D6 Gallon Data'!$H162</f>
        <v>0</v>
      </c>
      <c r="P163" s="308">
        <f>'Monthly D6 Gallon Data'!$H174</f>
        <v>0</v>
      </c>
      <c r="Q163" s="332">
        <f>'Monthly D6 Gallon Data'!$H186</f>
        <v>0</v>
      </c>
      <c r="R163" s="307">
        <v>0</v>
      </c>
      <c r="S163" s="307">
        <v>0</v>
      </c>
      <c r="T163" s="307">
        <v>0</v>
      </c>
      <c r="U163" s="307">
        <v>0</v>
      </c>
      <c r="V163" s="307">
        <v>0</v>
      </c>
      <c r="W163" s="307">
        <v>0</v>
      </c>
      <c r="X163" s="307">
        <v>0</v>
      </c>
      <c r="Y163" s="307">
        <v>0</v>
      </c>
      <c r="Z163" s="307">
        <v>0</v>
      </c>
      <c r="AA163" s="307">
        <v>0</v>
      </c>
      <c r="AB163" s="307">
        <v>0</v>
      </c>
      <c r="AC163" s="307">
        <v>0</v>
      </c>
      <c r="AD163" s="307">
        <v>0</v>
      </c>
      <c r="AE163" s="307">
        <v>0</v>
      </c>
      <c r="AF163" s="307">
        <v>0</v>
      </c>
      <c r="AG163" s="307">
        <v>0</v>
      </c>
      <c r="AH163" s="307">
        <v>0</v>
      </c>
      <c r="AI163" s="307">
        <v>0</v>
      </c>
      <c r="AJ163" s="307">
        <v>0</v>
      </c>
      <c r="AK163" s="307">
        <v>0</v>
      </c>
      <c r="AL163" s="307">
        <v>0</v>
      </c>
      <c r="AM163" s="307">
        <v>0</v>
      </c>
      <c r="AN163" s="307">
        <v>0</v>
      </c>
      <c r="AO163" s="307">
        <v>0</v>
      </c>
      <c r="AP163" s="307">
        <v>0</v>
      </c>
      <c r="AQ163" s="307">
        <v>1</v>
      </c>
      <c r="AR163" s="307"/>
      <c r="AS163" s="307"/>
      <c r="AT163" s="307"/>
      <c r="AU163" s="307"/>
      <c r="AV163" s="307"/>
      <c r="AW163" s="307"/>
      <c r="AX163" s="307"/>
      <c r="AY163" s="307"/>
      <c r="AZ163" s="307"/>
      <c r="BA163" s="307"/>
      <c r="BB163" s="307"/>
      <c r="BC163" s="308"/>
      <c r="BE163" s="308">
        <v>0</v>
      </c>
      <c r="BF163" s="308">
        <f t="shared" si="163"/>
        <v>0</v>
      </c>
      <c r="BG163" s="308">
        <v>0</v>
      </c>
      <c r="BH163" s="308">
        <f t="shared" si="164"/>
        <v>0</v>
      </c>
      <c r="BI163" s="308">
        <v>0</v>
      </c>
      <c r="BJ163" s="308">
        <f t="shared" si="165"/>
        <v>0</v>
      </c>
      <c r="BK163" s="308">
        <v>0</v>
      </c>
      <c r="BL163" s="308">
        <f t="shared" si="166"/>
        <v>0</v>
      </c>
      <c r="BM163" s="308">
        <v>0</v>
      </c>
      <c r="BN163" s="308">
        <f t="shared" si="167"/>
        <v>0</v>
      </c>
      <c r="BO163" s="308">
        <v>0</v>
      </c>
      <c r="BP163" s="308">
        <f t="shared" si="168"/>
        <v>0</v>
      </c>
    </row>
    <row r="164" spans="1:68">
      <c r="A164" s="301" t="s">
        <v>46</v>
      </c>
      <c r="B164" s="308">
        <f>'Monthly D6 Gallon Data'!$H7</f>
        <v>0</v>
      </c>
      <c r="C164" s="308">
        <f>'Monthly D6 Gallon Data'!$H19</f>
        <v>0</v>
      </c>
      <c r="D164" s="308">
        <f>'Monthly D6 Gallon Data'!$H31</f>
        <v>0</v>
      </c>
      <c r="E164" s="308">
        <f>'Monthly D6 Gallon Data'!$H43</f>
        <v>0</v>
      </c>
      <c r="F164" s="308">
        <f>'Monthly D6 Gallon Data'!$H55</f>
        <v>0</v>
      </c>
      <c r="G164" s="308">
        <f>'Monthly D6 Gallon Data'!$H67</f>
        <v>0</v>
      </c>
      <c r="H164" s="308">
        <f>'Monthly D6 Gallon Data'!$H79</f>
        <v>0</v>
      </c>
      <c r="I164" s="308">
        <f>'Monthly D6 Gallon Data'!$H91</f>
        <v>0</v>
      </c>
      <c r="J164" s="308">
        <f>'Monthly D6 Gallon Data'!$H103</f>
        <v>0</v>
      </c>
      <c r="K164" s="308">
        <f>'Monthly D6 Gallon Data'!$H115</f>
        <v>0</v>
      </c>
      <c r="L164" s="308">
        <f>'Monthly D6 Gallon Data'!$H127</f>
        <v>0</v>
      </c>
      <c r="M164" s="308">
        <f>'Monthly D6 Gallon Data'!$H139</f>
        <v>0</v>
      </c>
      <c r="N164" s="308">
        <f>'Monthly D6 Gallon Data'!$H151</f>
        <v>0</v>
      </c>
      <c r="O164" s="308">
        <f>'Monthly D6 Gallon Data'!$H163</f>
        <v>0</v>
      </c>
      <c r="P164" s="308">
        <f>'Monthly D6 Gallon Data'!$H175</f>
        <v>0</v>
      </c>
      <c r="Q164" s="307">
        <v>0</v>
      </c>
      <c r="R164" s="307">
        <v>0</v>
      </c>
      <c r="S164" s="307">
        <v>0</v>
      </c>
      <c r="T164" s="307">
        <v>0</v>
      </c>
      <c r="U164" s="307">
        <v>0</v>
      </c>
      <c r="V164" s="307">
        <v>0</v>
      </c>
      <c r="W164" s="307">
        <v>0</v>
      </c>
      <c r="X164" s="307">
        <v>0</v>
      </c>
      <c r="Y164" s="307">
        <v>0</v>
      </c>
      <c r="Z164" s="307">
        <v>0</v>
      </c>
      <c r="AA164" s="307">
        <v>0</v>
      </c>
      <c r="AB164" s="307">
        <v>0</v>
      </c>
      <c r="AC164" s="307">
        <v>0</v>
      </c>
      <c r="AD164" s="307">
        <v>0</v>
      </c>
      <c r="AE164" s="307">
        <v>0</v>
      </c>
      <c r="AF164" s="307">
        <v>0</v>
      </c>
      <c r="AG164" s="307">
        <v>0</v>
      </c>
      <c r="AH164" s="307">
        <v>0</v>
      </c>
      <c r="AI164" s="307">
        <v>0</v>
      </c>
      <c r="AJ164" s="307">
        <v>0</v>
      </c>
      <c r="AK164" s="307">
        <v>0</v>
      </c>
      <c r="AL164" s="307">
        <v>0</v>
      </c>
      <c r="AM164" s="307">
        <v>0</v>
      </c>
      <c r="AN164" s="307">
        <v>0</v>
      </c>
      <c r="AO164" s="307">
        <v>0</v>
      </c>
      <c r="AP164" s="307">
        <v>0</v>
      </c>
      <c r="AQ164" s="307">
        <v>1</v>
      </c>
      <c r="AR164" s="307"/>
      <c r="AS164" s="307"/>
      <c r="AT164" s="307"/>
      <c r="AU164" s="307"/>
      <c r="AV164" s="307"/>
      <c r="AW164" s="307"/>
      <c r="AX164" s="307"/>
      <c r="AY164" s="307"/>
      <c r="AZ164" s="307"/>
      <c r="BA164" s="307"/>
      <c r="BB164" s="307"/>
      <c r="BC164" s="308"/>
      <c r="BE164" s="308">
        <v>0</v>
      </c>
      <c r="BF164" s="308">
        <f t="shared" si="163"/>
        <v>0</v>
      </c>
      <c r="BG164" s="308">
        <v>0</v>
      </c>
      <c r="BH164" s="308">
        <f t="shared" si="164"/>
        <v>0</v>
      </c>
      <c r="BI164" s="308">
        <v>0</v>
      </c>
      <c r="BJ164" s="308">
        <f t="shared" si="165"/>
        <v>0</v>
      </c>
      <c r="BK164" s="308">
        <v>0</v>
      </c>
      <c r="BL164" s="308">
        <f t="shared" si="166"/>
        <v>0</v>
      </c>
      <c r="BM164" s="308">
        <v>0</v>
      </c>
      <c r="BN164" s="308">
        <f t="shared" si="167"/>
        <v>0</v>
      </c>
      <c r="BO164" s="308">
        <v>0</v>
      </c>
      <c r="BP164" s="308">
        <f t="shared" si="168"/>
        <v>0</v>
      </c>
    </row>
    <row r="165" spans="1:68">
      <c r="A165" s="301" t="s">
        <v>47</v>
      </c>
      <c r="B165" s="308">
        <f>'Monthly D6 Gallon Data'!$H8</f>
        <v>0</v>
      </c>
      <c r="C165" s="308">
        <f>'Monthly D6 Gallon Data'!$H20</f>
        <v>0</v>
      </c>
      <c r="D165" s="308">
        <f>'Monthly D6 Gallon Data'!$H32</f>
        <v>0</v>
      </c>
      <c r="E165" s="308">
        <f>'Monthly D6 Gallon Data'!$H44</f>
        <v>0</v>
      </c>
      <c r="F165" s="308">
        <f>'Monthly D6 Gallon Data'!$H56</f>
        <v>0</v>
      </c>
      <c r="G165" s="308">
        <f>'Monthly D6 Gallon Data'!$H68</f>
        <v>0</v>
      </c>
      <c r="H165" s="308">
        <f>'Monthly D6 Gallon Data'!$H80</f>
        <v>34901</v>
      </c>
      <c r="I165" s="308">
        <f>'Monthly D6 Gallon Data'!$H92</f>
        <v>0</v>
      </c>
      <c r="J165" s="308">
        <f>'Monthly D6 Gallon Data'!$H104</f>
        <v>0</v>
      </c>
      <c r="K165" s="308">
        <f>'Monthly D6 Gallon Data'!$H116</f>
        <v>0</v>
      </c>
      <c r="L165" s="308">
        <f>'Monthly D6 Gallon Data'!$H128</f>
        <v>0</v>
      </c>
      <c r="M165" s="308">
        <f>'Monthly D6 Gallon Data'!$H140</f>
        <v>0</v>
      </c>
      <c r="N165" s="308">
        <f>'Monthly D6 Gallon Data'!$H152</f>
        <v>0</v>
      </c>
      <c r="O165" s="308">
        <f>'Monthly D6 Gallon Data'!$H164</f>
        <v>0</v>
      </c>
      <c r="P165" s="308">
        <f>'Monthly D6 Gallon Data'!$H176</f>
        <v>0</v>
      </c>
      <c r="Q165" s="307">
        <v>0</v>
      </c>
      <c r="R165" s="307">
        <v>0</v>
      </c>
      <c r="S165" s="307">
        <v>0</v>
      </c>
      <c r="T165" s="307">
        <v>0</v>
      </c>
      <c r="U165" s="307">
        <v>0</v>
      </c>
      <c r="V165" s="307">
        <v>0</v>
      </c>
      <c r="W165" s="307">
        <v>0</v>
      </c>
      <c r="X165" s="307">
        <v>0</v>
      </c>
      <c r="Y165" s="307">
        <v>0</v>
      </c>
      <c r="Z165" s="307">
        <v>0</v>
      </c>
      <c r="AA165" s="307">
        <v>0</v>
      </c>
      <c r="AB165" s="307">
        <v>0</v>
      </c>
      <c r="AC165" s="307">
        <v>0</v>
      </c>
      <c r="AD165" s="307">
        <v>0</v>
      </c>
      <c r="AE165" s="307">
        <v>0</v>
      </c>
      <c r="AF165" s="307">
        <v>0</v>
      </c>
      <c r="AG165" s="307">
        <v>0</v>
      </c>
      <c r="AH165" s="307">
        <v>0</v>
      </c>
      <c r="AI165" s="307">
        <v>0</v>
      </c>
      <c r="AJ165" s="307">
        <v>0</v>
      </c>
      <c r="AK165" s="307">
        <v>0</v>
      </c>
      <c r="AL165" s="307">
        <v>0</v>
      </c>
      <c r="AM165" s="307">
        <v>0</v>
      </c>
      <c r="AN165" s="307">
        <v>0</v>
      </c>
      <c r="AO165" s="307">
        <v>0</v>
      </c>
      <c r="AP165" s="307">
        <v>0</v>
      </c>
      <c r="AQ165" s="307">
        <v>1</v>
      </c>
      <c r="AR165" s="307"/>
      <c r="AS165" s="307"/>
      <c r="AT165" s="307"/>
      <c r="AU165" s="307"/>
      <c r="AV165" s="307"/>
      <c r="AW165" s="307"/>
      <c r="AX165" s="307"/>
      <c r="AY165" s="307"/>
      <c r="AZ165" s="307"/>
      <c r="BA165" s="307"/>
      <c r="BB165" s="307"/>
      <c r="BC165" s="308"/>
      <c r="BE165" s="308">
        <v>0</v>
      </c>
      <c r="BF165" s="308">
        <f t="shared" si="163"/>
        <v>0</v>
      </c>
      <c r="BG165" s="308">
        <v>0</v>
      </c>
      <c r="BH165" s="308">
        <f t="shared" si="164"/>
        <v>0</v>
      </c>
      <c r="BI165" s="308">
        <v>0</v>
      </c>
      <c r="BJ165" s="308">
        <f t="shared" si="165"/>
        <v>0</v>
      </c>
      <c r="BK165" s="308">
        <v>0</v>
      </c>
      <c r="BL165" s="308">
        <f t="shared" si="166"/>
        <v>0</v>
      </c>
      <c r="BM165" s="308">
        <v>0</v>
      </c>
      <c r="BN165" s="308">
        <f t="shared" si="167"/>
        <v>0</v>
      </c>
      <c r="BO165" s="308">
        <v>0</v>
      </c>
      <c r="BP165" s="308">
        <f t="shared" si="168"/>
        <v>0</v>
      </c>
    </row>
    <row r="166" spans="1:68">
      <c r="A166" s="301" t="s">
        <v>48</v>
      </c>
      <c r="B166" s="308">
        <f>'Monthly D6 Gallon Data'!$H9</f>
        <v>0</v>
      </c>
      <c r="C166" s="308">
        <f>'Monthly D6 Gallon Data'!$H21</f>
        <v>0</v>
      </c>
      <c r="D166" s="308">
        <f>'Monthly D6 Gallon Data'!$H33</f>
        <v>0</v>
      </c>
      <c r="E166" s="308">
        <f>'Monthly D6 Gallon Data'!$H45</f>
        <v>0</v>
      </c>
      <c r="F166" s="308">
        <f>'Monthly D6 Gallon Data'!$H57</f>
        <v>0</v>
      </c>
      <c r="G166" s="308">
        <f>'Monthly D6 Gallon Data'!$H69</f>
        <v>0</v>
      </c>
      <c r="H166" s="308">
        <f>'Monthly D6 Gallon Data'!$H81</f>
        <v>27901</v>
      </c>
      <c r="I166" s="308">
        <f>'Monthly D6 Gallon Data'!$H93</f>
        <v>0</v>
      </c>
      <c r="J166" s="308">
        <f>'Monthly D6 Gallon Data'!$H105</f>
        <v>0</v>
      </c>
      <c r="K166" s="308">
        <f>'Monthly D6 Gallon Data'!$H117</f>
        <v>0</v>
      </c>
      <c r="L166" s="308">
        <f>'Monthly D6 Gallon Data'!$H129</f>
        <v>0</v>
      </c>
      <c r="M166" s="308">
        <f>'Monthly D6 Gallon Data'!$H141</f>
        <v>0</v>
      </c>
      <c r="N166" s="308">
        <f>'Monthly D6 Gallon Data'!$H153</f>
        <v>0</v>
      </c>
      <c r="O166" s="308">
        <f>'Monthly D6 Gallon Data'!$H165</f>
        <v>0</v>
      </c>
      <c r="P166" s="308">
        <f>'Monthly D6 Gallon Data'!$H177</f>
        <v>0</v>
      </c>
      <c r="Q166" s="307">
        <v>0</v>
      </c>
      <c r="R166" s="307">
        <v>0</v>
      </c>
      <c r="S166" s="307">
        <v>0</v>
      </c>
      <c r="T166" s="307">
        <v>0</v>
      </c>
      <c r="U166" s="307">
        <v>0</v>
      </c>
      <c r="V166" s="307">
        <v>0</v>
      </c>
      <c r="W166" s="307">
        <v>0</v>
      </c>
      <c r="X166" s="307">
        <v>0</v>
      </c>
      <c r="Y166" s="307">
        <v>0</v>
      </c>
      <c r="Z166" s="307">
        <v>0</v>
      </c>
      <c r="AA166" s="307">
        <v>0</v>
      </c>
      <c r="AB166" s="307">
        <v>0</v>
      </c>
      <c r="AC166" s="307">
        <v>0</v>
      </c>
      <c r="AD166" s="307">
        <v>0</v>
      </c>
      <c r="AE166" s="307">
        <v>0</v>
      </c>
      <c r="AF166" s="307">
        <v>0</v>
      </c>
      <c r="AG166" s="307">
        <v>0</v>
      </c>
      <c r="AH166" s="307">
        <v>0</v>
      </c>
      <c r="AI166" s="307">
        <v>0</v>
      </c>
      <c r="AJ166" s="307">
        <v>0</v>
      </c>
      <c r="AK166" s="307">
        <v>0</v>
      </c>
      <c r="AL166" s="307">
        <v>0</v>
      </c>
      <c r="AM166" s="307">
        <v>0</v>
      </c>
      <c r="AN166" s="307">
        <v>0</v>
      </c>
      <c r="AO166" s="307">
        <v>0</v>
      </c>
      <c r="AP166" s="307">
        <v>0</v>
      </c>
      <c r="AQ166" s="307">
        <v>1</v>
      </c>
      <c r="AR166" s="307"/>
      <c r="AS166" s="307"/>
      <c r="AT166" s="307"/>
      <c r="AU166" s="307"/>
      <c r="AV166" s="307"/>
      <c r="AW166" s="307"/>
      <c r="AX166" s="307"/>
      <c r="AY166" s="307"/>
      <c r="AZ166" s="307"/>
      <c r="BA166" s="307"/>
      <c r="BB166" s="307"/>
      <c r="BC166" s="308"/>
      <c r="BE166" s="308">
        <v>0</v>
      </c>
      <c r="BF166" s="308">
        <f t="shared" si="163"/>
        <v>0</v>
      </c>
      <c r="BG166" s="308">
        <v>0</v>
      </c>
      <c r="BH166" s="308">
        <f t="shared" si="164"/>
        <v>0</v>
      </c>
      <c r="BI166" s="308">
        <v>0</v>
      </c>
      <c r="BJ166" s="308">
        <f t="shared" si="165"/>
        <v>0</v>
      </c>
      <c r="BK166" s="308">
        <v>0</v>
      </c>
      <c r="BL166" s="308">
        <f t="shared" si="166"/>
        <v>0</v>
      </c>
      <c r="BM166" s="308">
        <v>0</v>
      </c>
      <c r="BN166" s="308">
        <f t="shared" si="167"/>
        <v>0</v>
      </c>
      <c r="BO166" s="308">
        <v>0</v>
      </c>
      <c r="BP166" s="308">
        <f t="shared" si="168"/>
        <v>0</v>
      </c>
    </row>
    <row r="167" spans="1:68">
      <c r="A167" s="301" t="s">
        <v>49</v>
      </c>
      <c r="B167" s="308">
        <f>'Monthly D6 Gallon Data'!$H10</f>
        <v>0</v>
      </c>
      <c r="C167" s="308">
        <f>'Monthly D6 Gallon Data'!$H22</f>
        <v>0</v>
      </c>
      <c r="D167" s="308">
        <f>'Monthly D6 Gallon Data'!$H34</f>
        <v>0</v>
      </c>
      <c r="E167" s="308">
        <f>'Monthly D6 Gallon Data'!$H46</f>
        <v>11691</v>
      </c>
      <c r="F167" s="308">
        <f>'Monthly D6 Gallon Data'!$H58</f>
        <v>0</v>
      </c>
      <c r="G167" s="308">
        <f>'Monthly D6 Gallon Data'!$H70</f>
        <v>0</v>
      </c>
      <c r="H167" s="308">
        <f>'Monthly D6 Gallon Data'!$H82</f>
        <v>6691</v>
      </c>
      <c r="I167" s="308">
        <f>'Monthly D6 Gallon Data'!$H94</f>
        <v>0</v>
      </c>
      <c r="J167" s="308">
        <f>'Monthly D6 Gallon Data'!$H106</f>
        <v>0</v>
      </c>
      <c r="K167" s="308">
        <f>'Monthly D6 Gallon Data'!$H118</f>
        <v>0</v>
      </c>
      <c r="L167" s="308">
        <f>'Monthly D6 Gallon Data'!$H130</f>
        <v>440</v>
      </c>
      <c r="M167" s="308">
        <f>'Monthly D6 Gallon Data'!$H142</f>
        <v>0</v>
      </c>
      <c r="N167" s="308">
        <f>'Monthly D6 Gallon Data'!$H154</f>
        <v>0</v>
      </c>
      <c r="O167" s="308">
        <f>'Monthly D6 Gallon Data'!$H166</f>
        <v>0</v>
      </c>
      <c r="P167" s="308">
        <f>'Monthly D6 Gallon Data'!$H178</f>
        <v>0</v>
      </c>
      <c r="Q167" s="307">
        <v>0</v>
      </c>
      <c r="R167" s="307">
        <v>0</v>
      </c>
      <c r="S167" s="307">
        <v>0</v>
      </c>
      <c r="T167" s="307">
        <v>0</v>
      </c>
      <c r="U167" s="307">
        <v>0</v>
      </c>
      <c r="V167" s="307">
        <v>0</v>
      </c>
      <c r="W167" s="307">
        <v>0</v>
      </c>
      <c r="X167" s="307">
        <v>0</v>
      </c>
      <c r="Y167" s="307">
        <v>0</v>
      </c>
      <c r="Z167" s="307">
        <v>0</v>
      </c>
      <c r="AA167" s="307">
        <v>0</v>
      </c>
      <c r="AB167" s="307">
        <v>0</v>
      </c>
      <c r="AC167" s="307">
        <v>0</v>
      </c>
      <c r="AD167" s="307">
        <v>0</v>
      </c>
      <c r="AE167" s="307">
        <v>0</v>
      </c>
      <c r="AF167" s="307">
        <v>0</v>
      </c>
      <c r="AG167" s="307">
        <v>0</v>
      </c>
      <c r="AH167" s="307">
        <v>0</v>
      </c>
      <c r="AI167" s="307">
        <v>0</v>
      </c>
      <c r="AJ167" s="307">
        <v>0</v>
      </c>
      <c r="AK167" s="307">
        <v>0</v>
      </c>
      <c r="AL167" s="307">
        <v>0</v>
      </c>
      <c r="AM167" s="307">
        <v>0</v>
      </c>
      <c r="AN167" s="307">
        <v>0</v>
      </c>
      <c r="AO167" s="307">
        <v>0</v>
      </c>
      <c r="AP167" s="307">
        <v>0</v>
      </c>
      <c r="AQ167" s="307">
        <v>1</v>
      </c>
      <c r="AR167" s="307"/>
      <c r="AS167" s="307"/>
      <c r="AT167" s="307"/>
      <c r="AU167" s="307"/>
      <c r="AV167" s="307"/>
      <c r="AW167" s="307"/>
      <c r="AX167" s="307"/>
      <c r="AY167" s="307"/>
      <c r="AZ167" s="307"/>
      <c r="BA167" s="307"/>
      <c r="BB167" s="307"/>
      <c r="BC167" s="308"/>
      <c r="BE167" s="308">
        <v>0</v>
      </c>
      <c r="BF167" s="308">
        <f t="shared" si="163"/>
        <v>440</v>
      </c>
      <c r="BG167" s="308">
        <v>0</v>
      </c>
      <c r="BH167" s="308">
        <f t="shared" si="164"/>
        <v>0</v>
      </c>
      <c r="BI167" s="308">
        <v>0</v>
      </c>
      <c r="BJ167" s="308">
        <f t="shared" si="165"/>
        <v>0</v>
      </c>
      <c r="BK167" s="308">
        <v>0</v>
      </c>
      <c r="BL167" s="308">
        <f t="shared" si="166"/>
        <v>0</v>
      </c>
      <c r="BM167" s="309">
        <v>0</v>
      </c>
      <c r="BN167" s="308">
        <f t="shared" si="167"/>
        <v>0</v>
      </c>
      <c r="BO167" s="308">
        <v>0</v>
      </c>
      <c r="BP167" s="308">
        <f t="shared" si="168"/>
        <v>0</v>
      </c>
    </row>
    <row r="168" spans="1:68">
      <c r="A168" s="301" t="s">
        <v>50</v>
      </c>
      <c r="B168" s="308">
        <f>'Monthly D6 Gallon Data'!$H11</f>
        <v>0</v>
      </c>
      <c r="C168" s="308">
        <f>'Monthly D6 Gallon Data'!$H23</f>
        <v>0</v>
      </c>
      <c r="D168" s="308">
        <f>'Monthly D6 Gallon Data'!$H35</f>
        <v>0</v>
      </c>
      <c r="E168" s="308">
        <f>'Monthly D6 Gallon Data'!$H47</f>
        <v>0</v>
      </c>
      <c r="F168" s="308">
        <f>'Monthly D6 Gallon Data'!$H59</f>
        <v>0</v>
      </c>
      <c r="G168" s="308">
        <f>'Monthly D6 Gallon Data'!$H71</f>
        <v>0</v>
      </c>
      <c r="H168" s="308">
        <f>'Monthly D6 Gallon Data'!$H83</f>
        <v>27605</v>
      </c>
      <c r="I168" s="308">
        <f>'Monthly D6 Gallon Data'!$H95</f>
        <v>0</v>
      </c>
      <c r="J168" s="308">
        <f>'Monthly D6 Gallon Data'!$H107</f>
        <v>0</v>
      </c>
      <c r="K168" s="308">
        <f>'Monthly D6 Gallon Data'!$H119</f>
        <v>0</v>
      </c>
      <c r="L168" s="308">
        <f>'Monthly D6 Gallon Data'!$H131</f>
        <v>0</v>
      </c>
      <c r="M168" s="308">
        <f>'Monthly D6 Gallon Data'!$H143</f>
        <v>0</v>
      </c>
      <c r="N168" s="308">
        <f>'Monthly D6 Gallon Data'!$H155</f>
        <v>0</v>
      </c>
      <c r="O168" s="308">
        <f>'Monthly D6 Gallon Data'!$H167</f>
        <v>0</v>
      </c>
      <c r="P168" s="308">
        <f>'Monthly D6 Gallon Data'!$H179</f>
        <v>0</v>
      </c>
      <c r="Q168" s="307">
        <v>0</v>
      </c>
      <c r="R168" s="307">
        <v>0</v>
      </c>
      <c r="S168" s="307">
        <v>0</v>
      </c>
      <c r="T168" s="307">
        <v>0</v>
      </c>
      <c r="U168" s="307">
        <v>0</v>
      </c>
      <c r="V168" s="307">
        <v>0</v>
      </c>
      <c r="W168" s="307">
        <v>0</v>
      </c>
      <c r="X168" s="307">
        <v>0</v>
      </c>
      <c r="Y168" s="307">
        <v>0</v>
      </c>
      <c r="Z168" s="307">
        <v>0</v>
      </c>
      <c r="AA168" s="307">
        <v>0</v>
      </c>
      <c r="AB168" s="307">
        <v>0</v>
      </c>
      <c r="AC168" s="307">
        <v>0</v>
      </c>
      <c r="AD168" s="307">
        <v>0</v>
      </c>
      <c r="AE168" s="307">
        <v>0</v>
      </c>
      <c r="AF168" s="307">
        <v>0</v>
      </c>
      <c r="AG168" s="307">
        <v>0</v>
      </c>
      <c r="AH168" s="307">
        <v>0</v>
      </c>
      <c r="AI168" s="307">
        <v>0</v>
      </c>
      <c r="AJ168" s="307">
        <v>0</v>
      </c>
      <c r="AK168" s="307">
        <v>0</v>
      </c>
      <c r="AL168" s="307">
        <v>0</v>
      </c>
      <c r="AM168" s="307">
        <v>0</v>
      </c>
      <c r="AN168" s="307">
        <v>0</v>
      </c>
      <c r="AO168" s="307">
        <v>0</v>
      </c>
      <c r="AP168" s="307">
        <v>0</v>
      </c>
      <c r="AQ168" s="307">
        <v>1</v>
      </c>
      <c r="AR168" s="307"/>
      <c r="AS168" s="307"/>
      <c r="AT168" s="307"/>
      <c r="AU168" s="307"/>
      <c r="AV168" s="307"/>
      <c r="AW168" s="307"/>
      <c r="AX168" s="307"/>
      <c r="AY168" s="307"/>
      <c r="AZ168" s="307"/>
      <c r="BA168" s="307"/>
      <c r="BB168" s="307"/>
      <c r="BC168" s="308"/>
      <c r="BE168" s="308">
        <v>0</v>
      </c>
      <c r="BF168" s="308">
        <f t="shared" si="163"/>
        <v>0</v>
      </c>
      <c r="BG168" s="308">
        <v>0</v>
      </c>
      <c r="BH168" s="308">
        <f t="shared" si="164"/>
        <v>0</v>
      </c>
      <c r="BI168" s="308">
        <v>0</v>
      </c>
      <c r="BJ168" s="308">
        <f t="shared" si="165"/>
        <v>0</v>
      </c>
      <c r="BK168" s="308">
        <v>0</v>
      </c>
      <c r="BL168" s="308">
        <f t="shared" si="166"/>
        <v>0</v>
      </c>
      <c r="BM168" s="309">
        <v>0</v>
      </c>
      <c r="BN168" s="308">
        <f t="shared" si="167"/>
        <v>0</v>
      </c>
      <c r="BO168" s="308">
        <v>0</v>
      </c>
      <c r="BP168" s="308">
        <f t="shared" si="168"/>
        <v>0</v>
      </c>
    </row>
    <row r="169" spans="1:68">
      <c r="A169" s="301" t="s">
        <v>51</v>
      </c>
      <c r="B169" s="308">
        <f>'Monthly D6 Gallon Data'!$H12</f>
        <v>0</v>
      </c>
      <c r="C169" s="308">
        <f>'Monthly D6 Gallon Data'!$H24</f>
        <v>0</v>
      </c>
      <c r="D169" s="308">
        <f>'Monthly D6 Gallon Data'!$H36</f>
        <v>0</v>
      </c>
      <c r="E169" s="308">
        <f>'Monthly D6 Gallon Data'!$H48</f>
        <v>0</v>
      </c>
      <c r="F169" s="308">
        <f>'Monthly D6 Gallon Data'!$H60</f>
        <v>0</v>
      </c>
      <c r="G169" s="308">
        <f>'Monthly D6 Gallon Data'!$H72</f>
        <v>0</v>
      </c>
      <c r="H169" s="308">
        <f>'Monthly D6 Gallon Data'!$H84</f>
        <v>0</v>
      </c>
      <c r="I169" s="308">
        <f>'Monthly D6 Gallon Data'!$H96</f>
        <v>0</v>
      </c>
      <c r="J169" s="308">
        <f>'Monthly D6 Gallon Data'!$H108</f>
        <v>0</v>
      </c>
      <c r="K169" s="308">
        <f>'Monthly D6 Gallon Data'!$H120</f>
        <v>0</v>
      </c>
      <c r="L169" s="308">
        <f>'Monthly D6 Gallon Data'!$H132</f>
        <v>0</v>
      </c>
      <c r="M169" s="308">
        <f>'Monthly D6 Gallon Data'!$H144</f>
        <v>0</v>
      </c>
      <c r="N169" s="308">
        <f>'Monthly D6 Gallon Data'!$H156</f>
        <v>0</v>
      </c>
      <c r="O169" s="308">
        <f>'Monthly D6 Gallon Data'!$H168</f>
        <v>0</v>
      </c>
      <c r="P169" s="308">
        <f>'Monthly D6 Gallon Data'!$H180</f>
        <v>0</v>
      </c>
      <c r="Q169" s="307">
        <v>0</v>
      </c>
      <c r="R169" s="307">
        <v>0</v>
      </c>
      <c r="S169" s="307">
        <v>0</v>
      </c>
      <c r="T169" s="307">
        <v>0</v>
      </c>
      <c r="U169" s="307">
        <v>0</v>
      </c>
      <c r="V169" s="307">
        <v>0</v>
      </c>
      <c r="W169" s="307">
        <v>0</v>
      </c>
      <c r="X169" s="307">
        <v>0</v>
      </c>
      <c r="Y169" s="307">
        <v>0</v>
      </c>
      <c r="Z169" s="307">
        <v>0</v>
      </c>
      <c r="AA169" s="307">
        <v>0</v>
      </c>
      <c r="AB169" s="307">
        <v>0</v>
      </c>
      <c r="AC169" s="307">
        <v>0</v>
      </c>
      <c r="AD169" s="307">
        <v>0</v>
      </c>
      <c r="AE169" s="307">
        <v>0</v>
      </c>
      <c r="AF169" s="307">
        <v>0</v>
      </c>
      <c r="AG169" s="307">
        <v>0</v>
      </c>
      <c r="AH169" s="307">
        <v>0</v>
      </c>
      <c r="AI169" s="307">
        <v>0</v>
      </c>
      <c r="AJ169" s="307">
        <v>0</v>
      </c>
      <c r="AK169" s="307">
        <v>0</v>
      </c>
      <c r="AL169" s="307">
        <v>0</v>
      </c>
      <c r="AM169" s="307">
        <v>0</v>
      </c>
      <c r="AN169" s="307">
        <v>0</v>
      </c>
      <c r="AO169" s="307">
        <v>0</v>
      </c>
      <c r="AP169" s="307">
        <v>0</v>
      </c>
      <c r="AQ169" s="307">
        <v>1</v>
      </c>
      <c r="AR169" s="307"/>
      <c r="AS169" s="307"/>
      <c r="AT169" s="307"/>
      <c r="AU169" s="307"/>
      <c r="AV169" s="307"/>
      <c r="AW169" s="307"/>
      <c r="AX169" s="307"/>
      <c r="AY169" s="307"/>
      <c r="AZ169" s="307"/>
      <c r="BA169" s="307"/>
      <c r="BB169" s="307"/>
      <c r="BC169" s="308"/>
      <c r="BE169" s="308">
        <v>0</v>
      </c>
      <c r="BF169" s="308">
        <f t="shared" si="163"/>
        <v>0</v>
      </c>
      <c r="BG169" s="308">
        <v>0</v>
      </c>
      <c r="BH169" s="308">
        <f t="shared" si="164"/>
        <v>0</v>
      </c>
      <c r="BI169" s="308">
        <v>0</v>
      </c>
      <c r="BJ169" s="308">
        <f t="shared" si="165"/>
        <v>0</v>
      </c>
      <c r="BK169" s="308">
        <v>0</v>
      </c>
      <c r="BL169" s="308">
        <f t="shared" si="166"/>
        <v>0</v>
      </c>
      <c r="BM169" s="309">
        <v>0</v>
      </c>
      <c r="BN169" s="308">
        <f t="shared" si="167"/>
        <v>0</v>
      </c>
      <c r="BO169" s="308">
        <v>0</v>
      </c>
      <c r="BP169" s="308">
        <f t="shared" si="168"/>
        <v>0</v>
      </c>
    </row>
    <row r="170" spans="1:68">
      <c r="A170" s="301" t="s">
        <v>52</v>
      </c>
      <c r="B170" s="308">
        <f>'Monthly D6 Gallon Data'!$H13</f>
        <v>0</v>
      </c>
      <c r="C170" s="308">
        <f>'Monthly D6 Gallon Data'!$H25</f>
        <v>0</v>
      </c>
      <c r="D170" s="308">
        <f>'Monthly D6 Gallon Data'!$H37</f>
        <v>0</v>
      </c>
      <c r="E170" s="308">
        <f>'Monthly D6 Gallon Data'!$H49</f>
        <v>0</v>
      </c>
      <c r="F170" s="308">
        <f>'Monthly D6 Gallon Data'!$H61</f>
        <v>0</v>
      </c>
      <c r="G170" s="308">
        <f>'Monthly D6 Gallon Data'!$H73</f>
        <v>0</v>
      </c>
      <c r="H170" s="308">
        <f>'Monthly D6 Gallon Data'!$H85</f>
        <v>0</v>
      </c>
      <c r="I170" s="308">
        <f>'Monthly D6 Gallon Data'!$H97</f>
        <v>0</v>
      </c>
      <c r="J170" s="308">
        <f>'Monthly D6 Gallon Data'!$H109</f>
        <v>0</v>
      </c>
      <c r="K170" s="308">
        <f>'Monthly D6 Gallon Data'!$H121</f>
        <v>0</v>
      </c>
      <c r="L170" s="308">
        <f>'Monthly D6 Gallon Data'!$H133</f>
        <v>0</v>
      </c>
      <c r="M170" s="308">
        <f>'Monthly D6 Gallon Data'!$H145</f>
        <v>0</v>
      </c>
      <c r="N170" s="308">
        <f>'Monthly D6 Gallon Data'!$H157</f>
        <v>0</v>
      </c>
      <c r="O170" s="308">
        <f>'Monthly D6 Gallon Data'!$H169</f>
        <v>0</v>
      </c>
      <c r="P170" s="308">
        <f>'Monthly D6 Gallon Data'!$H181</f>
        <v>0</v>
      </c>
      <c r="Q170" s="307">
        <v>0</v>
      </c>
      <c r="R170" s="307">
        <v>0</v>
      </c>
      <c r="S170" s="307">
        <v>0</v>
      </c>
      <c r="T170" s="307">
        <v>0</v>
      </c>
      <c r="U170" s="307">
        <v>0</v>
      </c>
      <c r="V170" s="307">
        <v>0</v>
      </c>
      <c r="W170" s="307">
        <v>0</v>
      </c>
      <c r="X170" s="307">
        <v>0</v>
      </c>
      <c r="Y170" s="307">
        <v>0</v>
      </c>
      <c r="Z170" s="307">
        <v>0</v>
      </c>
      <c r="AA170" s="307">
        <v>0</v>
      </c>
      <c r="AB170" s="307">
        <v>0</v>
      </c>
      <c r="AC170" s="307">
        <v>0</v>
      </c>
      <c r="AD170" s="307">
        <v>0</v>
      </c>
      <c r="AE170" s="307">
        <v>0</v>
      </c>
      <c r="AF170" s="307">
        <v>0</v>
      </c>
      <c r="AG170" s="307">
        <v>0</v>
      </c>
      <c r="AH170" s="307">
        <v>0</v>
      </c>
      <c r="AI170" s="307">
        <v>0</v>
      </c>
      <c r="AJ170" s="307">
        <v>0</v>
      </c>
      <c r="AK170" s="307">
        <v>0</v>
      </c>
      <c r="AL170" s="307">
        <v>0</v>
      </c>
      <c r="AM170" s="307">
        <v>0</v>
      </c>
      <c r="AN170" s="307">
        <v>0</v>
      </c>
      <c r="AO170" s="307">
        <v>0</v>
      </c>
      <c r="AP170" s="307">
        <v>0</v>
      </c>
      <c r="AQ170" s="307">
        <v>1</v>
      </c>
      <c r="AR170" s="307"/>
      <c r="AS170" s="307"/>
      <c r="AT170" s="307"/>
      <c r="AU170" s="307"/>
      <c r="AV170" s="307"/>
      <c r="AW170" s="307"/>
      <c r="AX170" s="307"/>
      <c r="AY170" s="307"/>
      <c r="AZ170" s="307"/>
      <c r="BA170" s="307"/>
      <c r="BB170" s="307"/>
      <c r="BC170" s="308"/>
      <c r="BE170" s="308">
        <v>0</v>
      </c>
      <c r="BF170" s="308">
        <f t="shared" si="163"/>
        <v>0</v>
      </c>
      <c r="BG170" s="308">
        <v>0</v>
      </c>
      <c r="BH170" s="308">
        <f t="shared" si="164"/>
        <v>0</v>
      </c>
      <c r="BI170" s="308">
        <v>0</v>
      </c>
      <c r="BJ170" s="308">
        <f t="shared" si="165"/>
        <v>0</v>
      </c>
      <c r="BK170" s="308">
        <v>0</v>
      </c>
      <c r="BL170" s="308">
        <f t="shared" si="166"/>
        <v>0</v>
      </c>
      <c r="BM170" s="309">
        <v>0</v>
      </c>
      <c r="BN170" s="308">
        <f t="shared" si="167"/>
        <v>0</v>
      </c>
      <c r="BO170" s="308">
        <v>0</v>
      </c>
      <c r="BP170" s="308">
        <f t="shared" si="168"/>
        <v>0</v>
      </c>
    </row>
    <row r="171" spans="1:68">
      <c r="A171" s="301" t="s">
        <v>53</v>
      </c>
      <c r="B171" s="308">
        <f>'Monthly D6 Gallon Data'!$H14</f>
        <v>0</v>
      </c>
      <c r="C171" s="308">
        <f>'Monthly D6 Gallon Data'!$H26</f>
        <v>0</v>
      </c>
      <c r="D171" s="308">
        <f>'Monthly D6 Gallon Data'!$H38</f>
        <v>0</v>
      </c>
      <c r="E171" s="308">
        <f>'Monthly D6 Gallon Data'!$H50</f>
        <v>0</v>
      </c>
      <c r="F171" s="308">
        <f>'Monthly D6 Gallon Data'!$H62</f>
        <v>0</v>
      </c>
      <c r="G171" s="308">
        <f>'Monthly D6 Gallon Data'!$H74</f>
        <v>0</v>
      </c>
      <c r="H171" s="308">
        <f>'Monthly D6 Gallon Data'!$H86</f>
        <v>28242</v>
      </c>
      <c r="I171" s="308">
        <f>'Monthly D6 Gallon Data'!$H98</f>
        <v>0</v>
      </c>
      <c r="J171" s="308">
        <f>'Monthly D6 Gallon Data'!$H110</f>
        <v>0</v>
      </c>
      <c r="K171" s="308">
        <f>'Monthly D6 Gallon Data'!$H122</f>
        <v>0</v>
      </c>
      <c r="L171" s="308">
        <f>'Monthly D6 Gallon Data'!$H134</f>
        <v>0</v>
      </c>
      <c r="M171" s="308">
        <f>'Monthly D6 Gallon Data'!$H146</f>
        <v>0</v>
      </c>
      <c r="N171" s="308">
        <f>'Monthly D6 Gallon Data'!$H158</f>
        <v>0</v>
      </c>
      <c r="O171" s="308">
        <f>'Monthly D6 Gallon Data'!$H170</f>
        <v>0</v>
      </c>
      <c r="P171" s="308">
        <f>'Monthly D6 Gallon Data'!$H182</f>
        <v>0</v>
      </c>
      <c r="Q171" s="307">
        <v>0</v>
      </c>
      <c r="R171" s="307">
        <v>0</v>
      </c>
      <c r="S171" s="307">
        <v>0</v>
      </c>
      <c r="T171" s="307">
        <v>0</v>
      </c>
      <c r="U171" s="307">
        <v>0</v>
      </c>
      <c r="V171" s="307">
        <v>0</v>
      </c>
      <c r="W171" s="307">
        <v>0</v>
      </c>
      <c r="X171" s="307">
        <v>0</v>
      </c>
      <c r="Y171" s="307">
        <v>0</v>
      </c>
      <c r="Z171" s="307">
        <v>0</v>
      </c>
      <c r="AA171" s="307">
        <v>0</v>
      </c>
      <c r="AB171" s="307">
        <v>0</v>
      </c>
      <c r="AC171" s="307">
        <v>0</v>
      </c>
      <c r="AD171" s="307">
        <v>0</v>
      </c>
      <c r="AE171" s="307">
        <v>0</v>
      </c>
      <c r="AF171" s="307">
        <v>0</v>
      </c>
      <c r="AG171" s="307">
        <v>0</v>
      </c>
      <c r="AH171" s="307">
        <v>0</v>
      </c>
      <c r="AI171" s="307">
        <v>0</v>
      </c>
      <c r="AJ171" s="307">
        <v>0</v>
      </c>
      <c r="AK171" s="307">
        <v>0</v>
      </c>
      <c r="AL171" s="307">
        <v>0</v>
      </c>
      <c r="AM171" s="307">
        <v>0</v>
      </c>
      <c r="AN171" s="307">
        <v>0</v>
      </c>
      <c r="AO171" s="307">
        <v>0</v>
      </c>
      <c r="AP171" s="307">
        <v>0</v>
      </c>
      <c r="AQ171" s="307">
        <v>1</v>
      </c>
      <c r="AR171" s="307"/>
      <c r="AS171" s="307"/>
      <c r="AT171" s="307"/>
      <c r="AU171" s="307"/>
      <c r="AV171" s="307"/>
      <c r="AW171" s="307"/>
      <c r="AX171" s="307"/>
      <c r="AY171" s="307"/>
      <c r="AZ171" s="307"/>
      <c r="BA171" s="307"/>
      <c r="BB171" s="307"/>
      <c r="BC171" s="308"/>
      <c r="BE171" s="308">
        <v>0</v>
      </c>
      <c r="BF171" s="308">
        <f t="shared" si="163"/>
        <v>0</v>
      </c>
      <c r="BG171" s="308">
        <v>0</v>
      </c>
      <c r="BH171" s="308">
        <f t="shared" si="164"/>
        <v>0</v>
      </c>
      <c r="BI171" s="308">
        <v>0</v>
      </c>
      <c r="BJ171" s="308">
        <f t="shared" si="165"/>
        <v>0</v>
      </c>
      <c r="BK171" s="309">
        <v>0</v>
      </c>
      <c r="BL171" s="308">
        <f t="shared" si="166"/>
        <v>0</v>
      </c>
      <c r="BM171" s="309">
        <v>0</v>
      </c>
      <c r="BN171" s="308">
        <f t="shared" si="167"/>
        <v>0</v>
      </c>
      <c r="BO171" s="308">
        <v>0</v>
      </c>
      <c r="BP171" s="308">
        <f t="shared" si="168"/>
        <v>0</v>
      </c>
    </row>
    <row r="172" spans="1:68">
      <c r="A172" s="301" t="s">
        <v>54</v>
      </c>
      <c r="B172" s="308">
        <f>'Monthly D6 Gallon Data'!$H15</f>
        <v>0</v>
      </c>
      <c r="C172" s="308">
        <f>'Monthly D6 Gallon Data'!$H27</f>
        <v>0</v>
      </c>
      <c r="D172" s="308">
        <f>'Monthly D6 Gallon Data'!$H39</f>
        <v>0</v>
      </c>
      <c r="E172" s="308">
        <f>'Monthly D6 Gallon Data'!$H51</f>
        <v>0</v>
      </c>
      <c r="F172" s="308">
        <f>'Monthly D6 Gallon Data'!$H63</f>
        <v>0</v>
      </c>
      <c r="G172" s="308">
        <f>'Monthly D6 Gallon Data'!$H75</f>
        <v>0</v>
      </c>
      <c r="H172" s="308">
        <f>'Monthly D6 Gallon Data'!$H87</f>
        <v>0</v>
      </c>
      <c r="I172" s="308">
        <f>'Monthly D6 Gallon Data'!$H99</f>
        <v>0</v>
      </c>
      <c r="J172" s="308">
        <f>'Monthly D6 Gallon Data'!$H111</f>
        <v>0</v>
      </c>
      <c r="K172" s="308">
        <f>'Monthly D6 Gallon Data'!$H123</f>
        <v>0</v>
      </c>
      <c r="L172" s="308">
        <f>'Monthly D6 Gallon Data'!$H135</f>
        <v>0</v>
      </c>
      <c r="M172" s="308">
        <f>'Monthly D6 Gallon Data'!$H147</f>
        <v>0</v>
      </c>
      <c r="N172" s="308">
        <f>'Monthly D6 Gallon Data'!$H159</f>
        <v>0</v>
      </c>
      <c r="O172" s="308">
        <f>'Monthly D6 Gallon Data'!$H171</f>
        <v>0</v>
      </c>
      <c r="P172" s="308">
        <f>'Monthly D6 Gallon Data'!$H183</f>
        <v>0</v>
      </c>
      <c r="Q172" s="307">
        <v>0</v>
      </c>
      <c r="R172" s="307">
        <v>0</v>
      </c>
      <c r="S172" s="307">
        <v>0</v>
      </c>
      <c r="T172" s="307">
        <v>0</v>
      </c>
      <c r="U172" s="307">
        <v>0</v>
      </c>
      <c r="V172" s="307">
        <v>0</v>
      </c>
      <c r="W172" s="307">
        <v>0</v>
      </c>
      <c r="X172" s="307">
        <v>0</v>
      </c>
      <c r="Y172" s="307">
        <v>0</v>
      </c>
      <c r="Z172" s="307">
        <v>0</v>
      </c>
      <c r="AA172" s="307">
        <v>0</v>
      </c>
      <c r="AB172" s="307">
        <v>0</v>
      </c>
      <c r="AC172" s="307">
        <v>0</v>
      </c>
      <c r="AD172" s="307">
        <v>0</v>
      </c>
      <c r="AE172" s="307">
        <v>0</v>
      </c>
      <c r="AF172" s="307">
        <v>0</v>
      </c>
      <c r="AG172" s="307">
        <v>0</v>
      </c>
      <c r="AH172" s="307">
        <v>0</v>
      </c>
      <c r="AI172" s="307">
        <v>0</v>
      </c>
      <c r="AJ172" s="307">
        <v>0</v>
      </c>
      <c r="AK172" s="307">
        <v>0</v>
      </c>
      <c r="AL172" s="307">
        <v>0</v>
      </c>
      <c r="AM172" s="307">
        <v>0</v>
      </c>
      <c r="AN172" s="307">
        <v>0</v>
      </c>
      <c r="AO172" s="307">
        <v>0</v>
      </c>
      <c r="AP172" s="307">
        <v>0</v>
      </c>
      <c r="AQ172" s="307">
        <v>1</v>
      </c>
      <c r="AR172" s="307"/>
      <c r="AS172" s="307"/>
      <c r="AT172" s="307"/>
      <c r="AU172" s="307"/>
      <c r="AV172" s="307"/>
      <c r="AW172" s="307"/>
      <c r="AX172" s="307"/>
      <c r="AY172" s="307"/>
      <c r="AZ172" s="307"/>
      <c r="BA172" s="307"/>
      <c r="BB172" s="307"/>
      <c r="BC172" s="308"/>
      <c r="BE172" s="308">
        <v>0</v>
      </c>
      <c r="BF172" s="308">
        <f t="shared" si="163"/>
        <v>0</v>
      </c>
      <c r="BG172" s="309">
        <v>0</v>
      </c>
      <c r="BH172" s="308">
        <f t="shared" si="164"/>
        <v>0</v>
      </c>
      <c r="BI172" s="308">
        <v>0</v>
      </c>
      <c r="BJ172" s="308">
        <f t="shared" si="165"/>
        <v>0</v>
      </c>
      <c r="BK172" s="309">
        <v>0</v>
      </c>
      <c r="BL172" s="308">
        <f t="shared" si="166"/>
        <v>0</v>
      </c>
      <c r="BM172" s="309">
        <v>0</v>
      </c>
      <c r="BN172" s="308">
        <f t="shared" si="167"/>
        <v>0</v>
      </c>
      <c r="BO172" s="308">
        <v>0</v>
      </c>
      <c r="BP172" s="308">
        <f t="shared" si="168"/>
        <v>0</v>
      </c>
    </row>
    <row r="173" spans="1:68" ht="12" thickBot="1">
      <c r="A173" s="301" t="s">
        <v>29</v>
      </c>
      <c r="B173" s="308">
        <f t="shared" ref="B173:AD173" si="169">SUM(B161:B172)</f>
        <v>0</v>
      </c>
      <c r="C173" s="308">
        <f t="shared" si="169"/>
        <v>0</v>
      </c>
      <c r="D173" s="308">
        <f t="shared" si="169"/>
        <v>0</v>
      </c>
      <c r="E173" s="308">
        <f t="shared" si="169"/>
        <v>11691</v>
      </c>
      <c r="F173" s="308">
        <f t="shared" si="169"/>
        <v>0</v>
      </c>
      <c r="G173" s="308">
        <f t="shared" si="169"/>
        <v>0</v>
      </c>
      <c r="H173" s="308">
        <f t="shared" si="169"/>
        <v>125340</v>
      </c>
      <c r="I173" s="308">
        <f t="shared" si="169"/>
        <v>0</v>
      </c>
      <c r="J173" s="308">
        <f t="shared" si="169"/>
        <v>0</v>
      </c>
      <c r="K173" s="308">
        <f t="shared" si="169"/>
        <v>0</v>
      </c>
      <c r="L173" s="308">
        <f t="shared" si="169"/>
        <v>440</v>
      </c>
      <c r="M173" s="308">
        <f t="shared" si="169"/>
        <v>0</v>
      </c>
      <c r="N173" s="308">
        <f t="shared" si="169"/>
        <v>0</v>
      </c>
      <c r="O173" s="308">
        <f t="shared" si="169"/>
        <v>0</v>
      </c>
      <c r="P173" s="308">
        <f t="shared" si="169"/>
        <v>0</v>
      </c>
      <c r="Q173" s="307">
        <f t="shared" si="169"/>
        <v>0</v>
      </c>
      <c r="R173" s="307">
        <f t="shared" si="169"/>
        <v>0</v>
      </c>
      <c r="S173" s="307">
        <f t="shared" si="169"/>
        <v>0</v>
      </c>
      <c r="T173" s="307">
        <f t="shared" si="169"/>
        <v>0</v>
      </c>
      <c r="U173" s="307">
        <f t="shared" si="169"/>
        <v>0</v>
      </c>
      <c r="V173" s="307">
        <f t="shared" si="169"/>
        <v>0</v>
      </c>
      <c r="W173" s="307">
        <f t="shared" si="169"/>
        <v>0</v>
      </c>
      <c r="X173" s="307">
        <f t="shared" si="169"/>
        <v>0</v>
      </c>
      <c r="Y173" s="307">
        <f t="shared" si="169"/>
        <v>0</v>
      </c>
      <c r="Z173" s="307">
        <f t="shared" si="169"/>
        <v>0</v>
      </c>
      <c r="AA173" s="307">
        <f t="shared" si="169"/>
        <v>0</v>
      </c>
      <c r="AB173" s="307">
        <f t="shared" si="169"/>
        <v>0</v>
      </c>
      <c r="AC173" s="307">
        <f t="shared" si="169"/>
        <v>0</v>
      </c>
      <c r="AD173" s="307">
        <f t="shared" si="169"/>
        <v>0</v>
      </c>
      <c r="AE173" s="307">
        <f>SUM(AE161:AE172)</f>
        <v>0</v>
      </c>
      <c r="AF173" s="307">
        <f>SUM(AF161:AF172)</f>
        <v>0</v>
      </c>
      <c r="AG173" s="307">
        <f>SUM(AG161:AG172)</f>
        <v>0</v>
      </c>
      <c r="AH173" s="307">
        <f t="shared" ref="AH173:AQ173" si="170">SUM(AH161:AH172)</f>
        <v>0</v>
      </c>
      <c r="AI173" s="307">
        <f t="shared" si="170"/>
        <v>0</v>
      </c>
      <c r="AJ173" s="307">
        <f t="shared" si="170"/>
        <v>0</v>
      </c>
      <c r="AK173" s="307">
        <f t="shared" si="170"/>
        <v>0</v>
      </c>
      <c r="AL173" s="307">
        <f t="shared" si="170"/>
        <v>0</v>
      </c>
      <c r="AM173" s="307">
        <f t="shared" si="170"/>
        <v>0</v>
      </c>
      <c r="AN173" s="307">
        <f t="shared" si="170"/>
        <v>0</v>
      </c>
      <c r="AO173" s="307">
        <f t="shared" si="170"/>
        <v>0</v>
      </c>
      <c r="AP173" s="307">
        <f t="shared" si="170"/>
        <v>0</v>
      </c>
      <c r="AQ173" s="307">
        <f t="shared" si="170"/>
        <v>12</v>
      </c>
      <c r="AR173" s="307"/>
      <c r="AS173" s="307"/>
      <c r="AT173" s="307"/>
      <c r="AU173" s="307"/>
      <c r="AV173" s="307"/>
      <c r="AW173" s="307"/>
      <c r="AX173" s="307"/>
      <c r="AY173" s="307"/>
      <c r="AZ173" s="307"/>
      <c r="BA173" s="307"/>
      <c r="BB173" s="307"/>
      <c r="BC173" s="308"/>
      <c r="BE173" s="308">
        <v>0</v>
      </c>
      <c r="BF173" s="308">
        <f t="shared" si="163"/>
        <v>440</v>
      </c>
      <c r="BG173" s="309">
        <v>0</v>
      </c>
      <c r="BH173" s="308">
        <f t="shared" si="164"/>
        <v>0</v>
      </c>
      <c r="BI173" s="308">
        <v>0</v>
      </c>
      <c r="BJ173" s="308">
        <f t="shared" si="165"/>
        <v>0</v>
      </c>
      <c r="BK173" s="309">
        <v>0</v>
      </c>
      <c r="BL173" s="308">
        <f t="shared" si="166"/>
        <v>0</v>
      </c>
      <c r="BM173" s="309">
        <v>0</v>
      </c>
      <c r="BN173" s="308">
        <f t="shared" si="167"/>
        <v>0</v>
      </c>
      <c r="BO173" s="308">
        <v>0</v>
      </c>
      <c r="BP173" s="308">
        <f t="shared" si="168"/>
        <v>0</v>
      </c>
    </row>
    <row r="174" spans="1:68">
      <c r="A174" s="334"/>
      <c r="B174" s="334"/>
      <c r="C174" s="334"/>
      <c r="D174" s="334"/>
      <c r="E174" s="334"/>
      <c r="F174" s="334"/>
      <c r="G174" s="334"/>
      <c r="H174" s="334"/>
      <c r="I174" s="334"/>
      <c r="J174" s="334"/>
      <c r="K174" s="334"/>
      <c r="L174" s="334"/>
      <c r="M174" s="334"/>
      <c r="N174" s="334"/>
      <c r="O174" s="334"/>
      <c r="P174" s="334"/>
      <c r="Q174" s="334"/>
      <c r="R174" s="334"/>
      <c r="S174" s="334"/>
      <c r="T174" s="334"/>
      <c r="U174" s="334"/>
      <c r="V174" s="334"/>
      <c r="W174" s="334"/>
      <c r="X174" s="334"/>
      <c r="Y174" s="334"/>
      <c r="Z174" s="334"/>
      <c r="AA174" s="334"/>
      <c r="AB174" s="334"/>
      <c r="AC174" s="334"/>
      <c r="AD174" s="334"/>
      <c r="AE174" s="334"/>
      <c r="AF174" s="334"/>
      <c r="AG174" s="334"/>
      <c r="AH174" s="334"/>
      <c r="AI174" s="334"/>
      <c r="AJ174" s="334"/>
      <c r="AK174" s="334"/>
      <c r="AL174" s="334"/>
      <c r="AM174" s="334"/>
      <c r="AN174" s="334"/>
      <c r="AO174" s="334"/>
      <c r="AP174" s="334"/>
      <c r="AQ174" s="334"/>
      <c r="BC174" s="308"/>
      <c r="BG174" s="309"/>
    </row>
    <row r="175" spans="1:68" ht="12" thickBot="1">
      <c r="A175" s="300" t="s">
        <v>501</v>
      </c>
      <c r="BC175" s="308"/>
      <c r="BG175" s="309"/>
    </row>
    <row r="176" spans="1:68" ht="12" thickBot="1">
      <c r="A176" s="328"/>
      <c r="B176" s="329">
        <f t="shared" ref="B176:AQ176" si="171">B2</f>
        <v>2010</v>
      </c>
      <c r="C176" s="329">
        <f t="shared" si="171"/>
        <v>2011</v>
      </c>
      <c r="D176" s="329">
        <f t="shared" si="171"/>
        <v>2012</v>
      </c>
      <c r="E176" s="329">
        <f t="shared" si="171"/>
        <v>2013</v>
      </c>
      <c r="F176" s="329">
        <f t="shared" si="171"/>
        <v>2014</v>
      </c>
      <c r="G176" s="329">
        <f t="shared" si="171"/>
        <v>2015</v>
      </c>
      <c r="H176" s="329">
        <f t="shared" si="171"/>
        <v>2016</v>
      </c>
      <c r="I176" s="329">
        <f t="shared" si="171"/>
        <v>2017</v>
      </c>
      <c r="J176" s="329">
        <f t="shared" si="171"/>
        <v>2018</v>
      </c>
      <c r="K176" s="329">
        <f t="shared" si="171"/>
        <v>2019</v>
      </c>
      <c r="L176" s="329">
        <f t="shared" si="171"/>
        <v>2020</v>
      </c>
      <c r="M176" s="329">
        <f t="shared" si="171"/>
        <v>2021</v>
      </c>
      <c r="N176" s="329">
        <f t="shared" si="171"/>
        <v>2022</v>
      </c>
      <c r="O176" s="329">
        <f t="shared" si="171"/>
        <v>2023</v>
      </c>
      <c r="P176" s="329">
        <f t="shared" si="171"/>
        <v>2024</v>
      </c>
      <c r="Q176" s="329">
        <f t="shared" si="171"/>
        <v>2025</v>
      </c>
      <c r="R176" s="329">
        <f t="shared" si="171"/>
        <v>2026</v>
      </c>
      <c r="S176" s="329">
        <f t="shared" si="171"/>
        <v>2027</v>
      </c>
      <c r="T176" s="329">
        <f t="shared" si="171"/>
        <v>2028</v>
      </c>
      <c r="U176" s="329">
        <f t="shared" si="171"/>
        <v>2029</v>
      </c>
      <c r="V176" s="329">
        <f t="shared" si="171"/>
        <v>2030</v>
      </c>
      <c r="W176" s="329">
        <f t="shared" si="171"/>
        <v>2031</v>
      </c>
      <c r="X176" s="329">
        <f t="shared" si="171"/>
        <v>2032</v>
      </c>
      <c r="Y176" s="329">
        <f t="shared" si="171"/>
        <v>2033</v>
      </c>
      <c r="Z176" s="329">
        <f t="shared" si="171"/>
        <v>2034</v>
      </c>
      <c r="AA176" s="329">
        <f t="shared" si="171"/>
        <v>2035</v>
      </c>
      <c r="AB176" s="329">
        <f t="shared" si="171"/>
        <v>2036</v>
      </c>
      <c r="AC176" s="329">
        <f t="shared" si="171"/>
        <v>2037</v>
      </c>
      <c r="AD176" s="329">
        <f t="shared" si="171"/>
        <v>2038</v>
      </c>
      <c r="AE176" s="329">
        <f t="shared" si="171"/>
        <v>2039</v>
      </c>
      <c r="AF176" s="329">
        <f t="shared" si="171"/>
        <v>2040</v>
      </c>
      <c r="AG176" s="329">
        <f t="shared" si="171"/>
        <v>2041</v>
      </c>
      <c r="AH176" s="329">
        <f t="shared" si="171"/>
        <v>2042</v>
      </c>
      <c r="AI176" s="329">
        <f t="shared" si="171"/>
        <v>2043</v>
      </c>
      <c r="AJ176" s="329">
        <f t="shared" si="171"/>
        <v>2044</v>
      </c>
      <c r="AK176" s="329">
        <f t="shared" si="171"/>
        <v>2045</v>
      </c>
      <c r="AL176" s="329">
        <f t="shared" si="171"/>
        <v>2046</v>
      </c>
      <c r="AM176" s="329">
        <f t="shared" si="171"/>
        <v>2047</v>
      </c>
      <c r="AN176" s="329">
        <f t="shared" si="171"/>
        <v>2048</v>
      </c>
      <c r="AO176" s="329">
        <f t="shared" si="171"/>
        <v>2049</v>
      </c>
      <c r="AP176" s="329">
        <f t="shared" si="171"/>
        <v>2050</v>
      </c>
      <c r="AQ176" s="329">
        <f t="shared" si="171"/>
        <v>2051</v>
      </c>
      <c r="AR176" s="300"/>
      <c r="AS176" s="300"/>
      <c r="AT176" s="300"/>
      <c r="AU176" s="300"/>
      <c r="AV176" s="300"/>
      <c r="AW176" s="300"/>
      <c r="AX176" s="300"/>
      <c r="AY176" s="300"/>
      <c r="AZ176" s="300"/>
      <c r="BA176" s="300"/>
      <c r="BB176" s="300"/>
      <c r="BC176" s="308"/>
      <c r="BG176" s="309"/>
    </row>
    <row r="177" spans="1:68">
      <c r="A177" s="301" t="s">
        <v>43</v>
      </c>
      <c r="B177" s="308">
        <f>'Monthly D6 Gallon Data'!$I4</f>
        <v>0</v>
      </c>
      <c r="C177" s="308">
        <f>'Monthly D6 Gallon Data'!$I16</f>
        <v>0</v>
      </c>
      <c r="D177" s="308">
        <f>'Monthly D6 Gallon Data'!$I28</f>
        <v>0</v>
      </c>
      <c r="E177" s="308">
        <f>'Monthly D6 Gallon Data'!$I40</f>
        <v>0</v>
      </c>
      <c r="F177" s="308">
        <f>'Monthly D6 Gallon Data'!$I52</f>
        <v>0</v>
      </c>
      <c r="G177" s="308">
        <f>'Monthly D6 Gallon Data'!$I64</f>
        <v>0</v>
      </c>
      <c r="H177" s="308">
        <f>'Monthly D6 Gallon Data'!$I76</f>
        <v>0</v>
      </c>
      <c r="I177" s="308">
        <f>'Monthly D6 Gallon Data'!$I88</f>
        <v>0</v>
      </c>
      <c r="J177" s="308">
        <f>'Monthly D6 Gallon Data'!$I100</f>
        <v>0</v>
      </c>
      <c r="K177" s="308">
        <f>'Monthly D6 Gallon Data'!$I112</f>
        <v>0</v>
      </c>
      <c r="L177" s="308">
        <f>'Monthly D6 Gallon Data'!$I124</f>
        <v>0</v>
      </c>
      <c r="M177" s="308">
        <f>'Monthly D6 Gallon Data'!$I136</f>
        <v>0</v>
      </c>
      <c r="N177" s="308">
        <f>'Monthly D6 Gallon Data'!$I148</f>
        <v>0</v>
      </c>
      <c r="O177" s="308">
        <f>'Monthly D6 Gallon Data'!$I160</f>
        <v>0</v>
      </c>
      <c r="P177" s="308">
        <f>'Monthly D6 Gallon Data'!$I172</f>
        <v>0</v>
      </c>
      <c r="Q177" s="308">
        <f>'Monthly D6 Gallon Data'!$I184</f>
        <v>0</v>
      </c>
      <c r="R177" s="307">
        <v>0</v>
      </c>
      <c r="S177" s="307">
        <v>0</v>
      </c>
      <c r="T177" s="307">
        <v>0</v>
      </c>
      <c r="U177" s="307">
        <v>0</v>
      </c>
      <c r="V177" s="307">
        <v>0</v>
      </c>
      <c r="W177" s="307">
        <v>0</v>
      </c>
      <c r="X177" s="307">
        <v>0</v>
      </c>
      <c r="Y177" s="307">
        <v>0</v>
      </c>
      <c r="Z177" s="307">
        <v>0</v>
      </c>
      <c r="AA177" s="307">
        <v>0</v>
      </c>
      <c r="AB177" s="307">
        <v>0</v>
      </c>
      <c r="AC177" s="307">
        <v>0</v>
      </c>
      <c r="AD177" s="307">
        <v>0</v>
      </c>
      <c r="AE177" s="307">
        <v>0</v>
      </c>
      <c r="AF177" s="307">
        <v>0</v>
      </c>
      <c r="AG177" s="307">
        <v>0</v>
      </c>
      <c r="AH177" s="307">
        <v>0</v>
      </c>
      <c r="AI177" s="307">
        <v>0</v>
      </c>
      <c r="AJ177" s="307">
        <v>0</v>
      </c>
      <c r="AK177" s="307">
        <v>0</v>
      </c>
      <c r="AL177" s="307">
        <v>0</v>
      </c>
      <c r="AM177" s="307">
        <v>0</v>
      </c>
      <c r="AN177" s="307">
        <v>0</v>
      </c>
      <c r="AO177" s="307">
        <v>0</v>
      </c>
      <c r="AP177" s="307">
        <v>0</v>
      </c>
      <c r="AQ177" s="307">
        <v>1</v>
      </c>
      <c r="AR177" s="307"/>
      <c r="AS177" s="307"/>
      <c r="AT177" s="307"/>
      <c r="AU177" s="307"/>
      <c r="AV177" s="307"/>
      <c r="AW177" s="307"/>
      <c r="AX177" s="307"/>
      <c r="AY177" s="307"/>
      <c r="AZ177" s="307"/>
      <c r="BA177" s="307"/>
      <c r="BB177" s="307"/>
      <c r="BC177" s="308"/>
      <c r="BE177" s="308">
        <v>0</v>
      </c>
      <c r="BF177" s="308">
        <f t="shared" ref="BF177:BF189" si="172">L177-BE177</f>
        <v>0</v>
      </c>
      <c r="BG177" s="308">
        <v>0</v>
      </c>
      <c r="BH177" s="308">
        <f t="shared" ref="BH177:BH189" si="173">M177-BG177</f>
        <v>0</v>
      </c>
      <c r="BI177" s="308">
        <v>0</v>
      </c>
      <c r="BJ177" s="308">
        <f t="shared" ref="BJ177:BJ189" si="174">N177-BI177</f>
        <v>0</v>
      </c>
      <c r="BK177" s="308">
        <v>0</v>
      </c>
      <c r="BL177" s="308">
        <f t="shared" ref="BL177:BL189" si="175">O177-BK177</f>
        <v>0</v>
      </c>
      <c r="BM177" s="308">
        <v>0</v>
      </c>
      <c r="BN177" s="308">
        <f t="shared" ref="BN177:BN189" si="176">P177-BM177</f>
        <v>0</v>
      </c>
      <c r="BO177" s="308">
        <v>0</v>
      </c>
      <c r="BP177" s="308">
        <f t="shared" ref="BP177:BP189" si="177">BO177-Q177</f>
        <v>0</v>
      </c>
    </row>
    <row r="178" spans="1:68">
      <c r="A178" s="301" t="s">
        <v>44</v>
      </c>
      <c r="B178" s="308">
        <f>'Monthly D6 Gallon Data'!$I5</f>
        <v>0</v>
      </c>
      <c r="C178" s="308">
        <f>'Monthly D6 Gallon Data'!$I17</f>
        <v>0</v>
      </c>
      <c r="D178" s="308">
        <f>'Monthly D6 Gallon Data'!$I29</f>
        <v>0</v>
      </c>
      <c r="E178" s="308">
        <f>'Monthly D6 Gallon Data'!$I41</f>
        <v>0</v>
      </c>
      <c r="F178" s="308">
        <f>'Monthly D6 Gallon Data'!$I53</f>
        <v>0</v>
      </c>
      <c r="G178" s="308">
        <f>'Monthly D6 Gallon Data'!$I65</f>
        <v>0</v>
      </c>
      <c r="H178" s="308">
        <f>'Monthly D6 Gallon Data'!$I77</f>
        <v>0</v>
      </c>
      <c r="I178" s="308">
        <f>'Monthly D6 Gallon Data'!$I89</f>
        <v>0</v>
      </c>
      <c r="J178" s="308">
        <f>'Monthly D6 Gallon Data'!$I101</f>
        <v>0</v>
      </c>
      <c r="K178" s="308">
        <f>'Monthly D6 Gallon Data'!$I113</f>
        <v>0</v>
      </c>
      <c r="L178" s="308">
        <f>'Monthly D6 Gallon Data'!$I125</f>
        <v>0</v>
      </c>
      <c r="M178" s="308">
        <f>'Monthly D6 Gallon Data'!$I137</f>
        <v>0</v>
      </c>
      <c r="N178" s="308">
        <f>'Monthly D6 Gallon Data'!$I149</f>
        <v>0</v>
      </c>
      <c r="O178" s="308">
        <f>'Monthly D6 Gallon Data'!$I161</f>
        <v>0</v>
      </c>
      <c r="P178" s="308">
        <f>'Monthly D6 Gallon Data'!$I173</f>
        <v>0</v>
      </c>
      <c r="Q178" s="332">
        <f>'Monthly D6 Gallon Data'!$I185</f>
        <v>0</v>
      </c>
      <c r="R178" s="307">
        <v>0</v>
      </c>
      <c r="S178" s="307">
        <v>0</v>
      </c>
      <c r="T178" s="307">
        <v>0</v>
      </c>
      <c r="U178" s="307">
        <v>0</v>
      </c>
      <c r="V178" s="307">
        <v>0</v>
      </c>
      <c r="W178" s="307">
        <v>0</v>
      </c>
      <c r="X178" s="307">
        <v>0</v>
      </c>
      <c r="Y178" s="307">
        <v>0</v>
      </c>
      <c r="Z178" s="307">
        <v>0</v>
      </c>
      <c r="AA178" s="307">
        <v>0</v>
      </c>
      <c r="AB178" s="307">
        <v>0</v>
      </c>
      <c r="AC178" s="307">
        <v>0</v>
      </c>
      <c r="AD178" s="307">
        <v>0</v>
      </c>
      <c r="AE178" s="307">
        <v>0</v>
      </c>
      <c r="AF178" s="307">
        <v>0</v>
      </c>
      <c r="AG178" s="307">
        <v>0</v>
      </c>
      <c r="AH178" s="307">
        <v>0</v>
      </c>
      <c r="AI178" s="307">
        <v>0</v>
      </c>
      <c r="AJ178" s="307">
        <v>0</v>
      </c>
      <c r="AK178" s="307">
        <v>0</v>
      </c>
      <c r="AL178" s="307">
        <v>0</v>
      </c>
      <c r="AM178" s="307">
        <v>0</v>
      </c>
      <c r="AN178" s="307">
        <v>0</v>
      </c>
      <c r="AO178" s="307">
        <v>0</v>
      </c>
      <c r="AP178" s="307">
        <v>0</v>
      </c>
      <c r="AQ178" s="307">
        <v>1</v>
      </c>
      <c r="AR178" s="307"/>
      <c r="AS178" s="307"/>
      <c r="AT178" s="307"/>
      <c r="AU178" s="307"/>
      <c r="AV178" s="307"/>
      <c r="AW178" s="307"/>
      <c r="AX178" s="307"/>
      <c r="AY178" s="307"/>
      <c r="AZ178" s="307"/>
      <c r="BA178" s="307"/>
      <c r="BB178" s="307"/>
      <c r="BC178" s="308"/>
      <c r="BE178" s="308">
        <v>0</v>
      </c>
      <c r="BF178" s="308">
        <f t="shared" si="172"/>
        <v>0</v>
      </c>
      <c r="BG178" s="308">
        <v>0</v>
      </c>
      <c r="BH178" s="308">
        <f t="shared" si="173"/>
        <v>0</v>
      </c>
      <c r="BI178" s="308">
        <v>0</v>
      </c>
      <c r="BJ178" s="308">
        <f t="shared" si="174"/>
        <v>0</v>
      </c>
      <c r="BK178" s="308">
        <v>0</v>
      </c>
      <c r="BL178" s="308">
        <f t="shared" si="175"/>
        <v>0</v>
      </c>
      <c r="BM178" s="308">
        <v>0</v>
      </c>
      <c r="BN178" s="308">
        <f t="shared" si="176"/>
        <v>0</v>
      </c>
      <c r="BO178" s="308">
        <v>0</v>
      </c>
      <c r="BP178" s="308">
        <f t="shared" si="177"/>
        <v>0</v>
      </c>
    </row>
    <row r="179" spans="1:68">
      <c r="A179" s="301" t="s">
        <v>45</v>
      </c>
      <c r="B179" s="308">
        <f>'Monthly D6 Gallon Data'!$I6</f>
        <v>0</v>
      </c>
      <c r="C179" s="308">
        <f>'Monthly D6 Gallon Data'!$I18</f>
        <v>0</v>
      </c>
      <c r="D179" s="308">
        <f>'Monthly D6 Gallon Data'!$I30</f>
        <v>0</v>
      </c>
      <c r="E179" s="308">
        <f>'Monthly D6 Gallon Data'!$I42</f>
        <v>0</v>
      </c>
      <c r="F179" s="308">
        <f>'Monthly D6 Gallon Data'!$I54</f>
        <v>0</v>
      </c>
      <c r="G179" s="308">
        <f>'Monthly D6 Gallon Data'!$I66</f>
        <v>0</v>
      </c>
      <c r="H179" s="308">
        <f>'Monthly D6 Gallon Data'!$I78</f>
        <v>0</v>
      </c>
      <c r="I179" s="308">
        <f>'Monthly D6 Gallon Data'!$I90</f>
        <v>0</v>
      </c>
      <c r="J179" s="308">
        <f>'Monthly D6 Gallon Data'!$I102</f>
        <v>0</v>
      </c>
      <c r="K179" s="308">
        <f>'Monthly D6 Gallon Data'!$I114</f>
        <v>0</v>
      </c>
      <c r="L179" s="308">
        <f>'Monthly D6 Gallon Data'!$I126</f>
        <v>0</v>
      </c>
      <c r="M179" s="308">
        <f>'Monthly D6 Gallon Data'!$I138</f>
        <v>0</v>
      </c>
      <c r="N179" s="308">
        <f>'Monthly D6 Gallon Data'!$I150</f>
        <v>0</v>
      </c>
      <c r="O179" s="308">
        <f>'Monthly D6 Gallon Data'!$I162</f>
        <v>0</v>
      </c>
      <c r="P179" s="308">
        <f>'Monthly D6 Gallon Data'!$I174</f>
        <v>0</v>
      </c>
      <c r="Q179" s="332">
        <f>'Monthly D6 Gallon Data'!$I186</f>
        <v>0</v>
      </c>
      <c r="R179" s="307">
        <v>0</v>
      </c>
      <c r="S179" s="307">
        <v>0</v>
      </c>
      <c r="T179" s="307">
        <v>0</v>
      </c>
      <c r="U179" s="307">
        <v>0</v>
      </c>
      <c r="V179" s="307">
        <v>0</v>
      </c>
      <c r="W179" s="307">
        <v>0</v>
      </c>
      <c r="X179" s="307">
        <v>0</v>
      </c>
      <c r="Y179" s="307">
        <v>0</v>
      </c>
      <c r="Z179" s="307">
        <v>0</v>
      </c>
      <c r="AA179" s="307">
        <v>0</v>
      </c>
      <c r="AB179" s="307">
        <v>0</v>
      </c>
      <c r="AC179" s="307">
        <v>0</v>
      </c>
      <c r="AD179" s="307">
        <v>0</v>
      </c>
      <c r="AE179" s="307">
        <v>0</v>
      </c>
      <c r="AF179" s="307">
        <v>0</v>
      </c>
      <c r="AG179" s="307">
        <v>0</v>
      </c>
      <c r="AH179" s="307">
        <v>0</v>
      </c>
      <c r="AI179" s="307">
        <v>0</v>
      </c>
      <c r="AJ179" s="307">
        <v>0</v>
      </c>
      <c r="AK179" s="307">
        <v>0</v>
      </c>
      <c r="AL179" s="307">
        <v>0</v>
      </c>
      <c r="AM179" s="307">
        <v>0</v>
      </c>
      <c r="AN179" s="307">
        <v>0</v>
      </c>
      <c r="AO179" s="307">
        <v>0</v>
      </c>
      <c r="AP179" s="307">
        <v>0</v>
      </c>
      <c r="AQ179" s="307">
        <v>1</v>
      </c>
      <c r="AR179" s="307"/>
      <c r="AS179" s="307"/>
      <c r="AT179" s="307"/>
      <c r="AU179" s="307"/>
      <c r="AV179" s="307"/>
      <c r="AW179" s="307"/>
      <c r="AX179" s="307"/>
      <c r="AY179" s="307"/>
      <c r="AZ179" s="307"/>
      <c r="BA179" s="307"/>
      <c r="BB179" s="307"/>
      <c r="BC179" s="308"/>
      <c r="BE179" s="308">
        <v>0</v>
      </c>
      <c r="BF179" s="308">
        <f t="shared" si="172"/>
        <v>0</v>
      </c>
      <c r="BG179" s="308">
        <v>0</v>
      </c>
      <c r="BH179" s="308">
        <f t="shared" si="173"/>
        <v>0</v>
      </c>
      <c r="BI179" s="308">
        <v>0</v>
      </c>
      <c r="BJ179" s="308">
        <f t="shared" si="174"/>
        <v>0</v>
      </c>
      <c r="BK179" s="308">
        <v>0</v>
      </c>
      <c r="BL179" s="308">
        <f t="shared" si="175"/>
        <v>0</v>
      </c>
      <c r="BM179" s="308">
        <v>0</v>
      </c>
      <c r="BN179" s="308">
        <f t="shared" si="176"/>
        <v>0</v>
      </c>
      <c r="BO179" s="308">
        <v>0</v>
      </c>
      <c r="BP179" s="308">
        <f t="shared" si="177"/>
        <v>0</v>
      </c>
    </row>
    <row r="180" spans="1:68">
      <c r="A180" s="301" t="s">
        <v>46</v>
      </c>
      <c r="B180" s="308">
        <f>'Monthly D6 Gallon Data'!$I7</f>
        <v>0</v>
      </c>
      <c r="C180" s="308">
        <f>'Monthly D6 Gallon Data'!$I19</f>
        <v>0</v>
      </c>
      <c r="D180" s="308">
        <f>'Monthly D6 Gallon Data'!$I31</f>
        <v>0</v>
      </c>
      <c r="E180" s="308">
        <f>'Monthly D6 Gallon Data'!$I43</f>
        <v>0</v>
      </c>
      <c r="F180" s="308">
        <f>'Monthly D6 Gallon Data'!$I55</f>
        <v>0</v>
      </c>
      <c r="G180" s="308">
        <f>'Monthly D6 Gallon Data'!$I67</f>
        <v>0</v>
      </c>
      <c r="H180" s="308">
        <f>'Monthly D6 Gallon Data'!$I79</f>
        <v>0</v>
      </c>
      <c r="I180" s="308">
        <f>'Monthly D6 Gallon Data'!$I91</f>
        <v>0</v>
      </c>
      <c r="J180" s="308">
        <f>'Monthly D6 Gallon Data'!$I103</f>
        <v>0</v>
      </c>
      <c r="K180" s="308">
        <f>'Monthly D6 Gallon Data'!$I115</f>
        <v>0</v>
      </c>
      <c r="L180" s="308">
        <f>'Monthly D6 Gallon Data'!$I127</f>
        <v>0</v>
      </c>
      <c r="M180" s="308">
        <f>'Monthly D6 Gallon Data'!$I139</f>
        <v>0</v>
      </c>
      <c r="N180" s="308">
        <f>'Monthly D6 Gallon Data'!$I151</f>
        <v>0</v>
      </c>
      <c r="O180" s="308">
        <f>'Monthly D6 Gallon Data'!$I163</f>
        <v>0</v>
      </c>
      <c r="P180" s="308">
        <f>'Monthly D6 Gallon Data'!$I175</f>
        <v>0</v>
      </c>
      <c r="Q180" s="307">
        <v>0</v>
      </c>
      <c r="R180" s="307">
        <v>0</v>
      </c>
      <c r="S180" s="307">
        <v>0</v>
      </c>
      <c r="T180" s="307">
        <v>0</v>
      </c>
      <c r="U180" s="307">
        <v>0</v>
      </c>
      <c r="V180" s="307">
        <v>0</v>
      </c>
      <c r="W180" s="307">
        <v>0</v>
      </c>
      <c r="X180" s="307">
        <v>0</v>
      </c>
      <c r="Y180" s="307">
        <v>0</v>
      </c>
      <c r="Z180" s="307">
        <v>0</v>
      </c>
      <c r="AA180" s="307">
        <v>0</v>
      </c>
      <c r="AB180" s="307">
        <v>0</v>
      </c>
      <c r="AC180" s="307">
        <v>0</v>
      </c>
      <c r="AD180" s="307">
        <v>0</v>
      </c>
      <c r="AE180" s="307">
        <v>0</v>
      </c>
      <c r="AF180" s="307">
        <v>0</v>
      </c>
      <c r="AG180" s="307">
        <v>0</v>
      </c>
      <c r="AH180" s="307">
        <v>0</v>
      </c>
      <c r="AI180" s="307">
        <v>0</v>
      </c>
      <c r="AJ180" s="307">
        <v>0</v>
      </c>
      <c r="AK180" s="307">
        <v>0</v>
      </c>
      <c r="AL180" s="307">
        <v>0</v>
      </c>
      <c r="AM180" s="307">
        <v>0</v>
      </c>
      <c r="AN180" s="307">
        <v>0</v>
      </c>
      <c r="AO180" s="307">
        <v>0</v>
      </c>
      <c r="AP180" s="307">
        <v>0</v>
      </c>
      <c r="AQ180" s="307">
        <v>1</v>
      </c>
      <c r="AR180" s="307"/>
      <c r="AS180" s="307"/>
      <c r="AT180" s="307"/>
      <c r="AU180" s="307"/>
      <c r="AV180" s="307"/>
      <c r="AW180" s="307"/>
      <c r="AX180" s="307"/>
      <c r="AY180" s="307"/>
      <c r="AZ180" s="307"/>
      <c r="BA180" s="307"/>
      <c r="BB180" s="307"/>
      <c r="BC180" s="308"/>
      <c r="BE180" s="308">
        <v>0</v>
      </c>
      <c r="BF180" s="308">
        <f t="shared" si="172"/>
        <v>0</v>
      </c>
      <c r="BG180" s="308">
        <v>0</v>
      </c>
      <c r="BH180" s="308">
        <f t="shared" si="173"/>
        <v>0</v>
      </c>
      <c r="BI180" s="308">
        <v>0</v>
      </c>
      <c r="BJ180" s="308">
        <f t="shared" si="174"/>
        <v>0</v>
      </c>
      <c r="BK180" s="308">
        <v>0</v>
      </c>
      <c r="BL180" s="308">
        <f t="shared" si="175"/>
        <v>0</v>
      </c>
      <c r="BM180" s="308">
        <v>0</v>
      </c>
      <c r="BN180" s="308">
        <f t="shared" si="176"/>
        <v>0</v>
      </c>
      <c r="BO180" s="308">
        <v>0</v>
      </c>
      <c r="BP180" s="308">
        <f t="shared" si="177"/>
        <v>0</v>
      </c>
    </row>
    <row r="181" spans="1:68">
      <c r="A181" s="301" t="s">
        <v>47</v>
      </c>
      <c r="B181" s="308">
        <f>'Monthly D6 Gallon Data'!$I8</f>
        <v>0</v>
      </c>
      <c r="C181" s="308">
        <f>'Monthly D6 Gallon Data'!$I20</f>
        <v>0</v>
      </c>
      <c r="D181" s="308">
        <f>'Monthly D6 Gallon Data'!$I32</f>
        <v>0</v>
      </c>
      <c r="E181" s="308">
        <f>'Monthly D6 Gallon Data'!$I44</f>
        <v>0</v>
      </c>
      <c r="F181" s="308">
        <f>'Monthly D6 Gallon Data'!$I56</f>
        <v>0</v>
      </c>
      <c r="G181" s="308">
        <f>'Monthly D6 Gallon Data'!$I68</f>
        <v>0</v>
      </c>
      <c r="H181" s="308">
        <f>'Monthly D6 Gallon Data'!$I80</f>
        <v>0</v>
      </c>
      <c r="I181" s="308">
        <f>'Monthly D6 Gallon Data'!$I92</f>
        <v>0</v>
      </c>
      <c r="J181" s="308">
        <f>'Monthly D6 Gallon Data'!$I104</f>
        <v>0</v>
      </c>
      <c r="K181" s="308">
        <f>'Monthly D6 Gallon Data'!$I116</f>
        <v>0</v>
      </c>
      <c r="L181" s="308">
        <f>'Monthly D6 Gallon Data'!$I128</f>
        <v>0</v>
      </c>
      <c r="M181" s="308">
        <f>'Monthly D6 Gallon Data'!$I140</f>
        <v>0</v>
      </c>
      <c r="N181" s="308">
        <f>'Monthly D6 Gallon Data'!$I152</f>
        <v>0</v>
      </c>
      <c r="O181" s="308">
        <f>'Monthly D6 Gallon Data'!$I164</f>
        <v>0</v>
      </c>
      <c r="P181" s="308">
        <f>'Monthly D6 Gallon Data'!$I176</f>
        <v>0</v>
      </c>
      <c r="Q181" s="307">
        <v>0</v>
      </c>
      <c r="R181" s="307">
        <v>0</v>
      </c>
      <c r="S181" s="307">
        <v>0</v>
      </c>
      <c r="T181" s="307">
        <v>0</v>
      </c>
      <c r="U181" s="307">
        <v>0</v>
      </c>
      <c r="V181" s="307">
        <v>0</v>
      </c>
      <c r="W181" s="307">
        <v>0</v>
      </c>
      <c r="X181" s="307">
        <v>0</v>
      </c>
      <c r="Y181" s="307">
        <v>0</v>
      </c>
      <c r="Z181" s="307">
        <v>0</v>
      </c>
      <c r="AA181" s="307">
        <v>0</v>
      </c>
      <c r="AB181" s="307">
        <v>0</v>
      </c>
      <c r="AC181" s="307">
        <v>0</v>
      </c>
      <c r="AD181" s="307">
        <v>0</v>
      </c>
      <c r="AE181" s="307">
        <v>0</v>
      </c>
      <c r="AF181" s="307">
        <v>0</v>
      </c>
      <c r="AG181" s="307">
        <v>0</v>
      </c>
      <c r="AH181" s="307">
        <v>0</v>
      </c>
      <c r="AI181" s="307">
        <v>0</v>
      </c>
      <c r="AJ181" s="307">
        <v>0</v>
      </c>
      <c r="AK181" s="307">
        <v>0</v>
      </c>
      <c r="AL181" s="307">
        <v>0</v>
      </c>
      <c r="AM181" s="307">
        <v>0</v>
      </c>
      <c r="AN181" s="307">
        <v>0</v>
      </c>
      <c r="AO181" s="307">
        <v>0</v>
      </c>
      <c r="AP181" s="307">
        <v>0</v>
      </c>
      <c r="AQ181" s="307">
        <v>1</v>
      </c>
      <c r="AR181" s="307"/>
      <c r="AS181" s="307"/>
      <c r="AT181" s="307"/>
      <c r="AU181" s="307"/>
      <c r="AV181" s="307"/>
      <c r="AW181" s="307"/>
      <c r="AX181" s="307"/>
      <c r="AY181" s="307"/>
      <c r="AZ181" s="307"/>
      <c r="BA181" s="307"/>
      <c r="BB181" s="307"/>
      <c r="BC181" s="308"/>
      <c r="BE181" s="308">
        <v>0</v>
      </c>
      <c r="BF181" s="308">
        <f t="shared" si="172"/>
        <v>0</v>
      </c>
      <c r="BG181" s="308">
        <v>0</v>
      </c>
      <c r="BH181" s="308">
        <f t="shared" si="173"/>
        <v>0</v>
      </c>
      <c r="BI181" s="308">
        <v>0</v>
      </c>
      <c r="BJ181" s="308">
        <f t="shared" si="174"/>
        <v>0</v>
      </c>
      <c r="BK181" s="308">
        <v>0</v>
      </c>
      <c r="BL181" s="308">
        <f t="shared" si="175"/>
        <v>0</v>
      </c>
      <c r="BM181" s="308">
        <v>0</v>
      </c>
      <c r="BN181" s="308">
        <f t="shared" si="176"/>
        <v>0</v>
      </c>
      <c r="BO181" s="308">
        <v>0</v>
      </c>
      <c r="BP181" s="308">
        <f t="shared" si="177"/>
        <v>0</v>
      </c>
    </row>
    <row r="182" spans="1:68">
      <c r="A182" s="301" t="s">
        <v>48</v>
      </c>
      <c r="B182" s="308">
        <f>'Monthly D6 Gallon Data'!$I9</f>
        <v>0</v>
      </c>
      <c r="C182" s="308">
        <f>'Monthly D6 Gallon Data'!$I21</f>
        <v>0</v>
      </c>
      <c r="D182" s="308">
        <f>'Monthly D6 Gallon Data'!$I33</f>
        <v>0</v>
      </c>
      <c r="E182" s="308">
        <f>'Monthly D6 Gallon Data'!$I45</f>
        <v>0</v>
      </c>
      <c r="F182" s="308">
        <f>'Monthly D6 Gallon Data'!$I57</f>
        <v>0</v>
      </c>
      <c r="G182" s="308">
        <f>'Monthly D6 Gallon Data'!$I69</f>
        <v>0</v>
      </c>
      <c r="H182" s="308">
        <f>'Monthly D6 Gallon Data'!$I81</f>
        <v>0</v>
      </c>
      <c r="I182" s="308">
        <f>'Monthly D6 Gallon Data'!$I93</f>
        <v>0</v>
      </c>
      <c r="J182" s="308">
        <f>'Monthly D6 Gallon Data'!$I105</f>
        <v>0</v>
      </c>
      <c r="K182" s="308">
        <f>'Monthly D6 Gallon Data'!$I117</f>
        <v>0</v>
      </c>
      <c r="L182" s="308">
        <f>'Monthly D6 Gallon Data'!$I129</f>
        <v>0</v>
      </c>
      <c r="M182" s="308">
        <f>'Monthly D6 Gallon Data'!$I141</f>
        <v>0</v>
      </c>
      <c r="N182" s="308">
        <f>'Monthly D6 Gallon Data'!$I153</f>
        <v>0</v>
      </c>
      <c r="O182" s="308">
        <f>'Monthly D6 Gallon Data'!$I165</f>
        <v>0</v>
      </c>
      <c r="P182" s="308">
        <f>'Monthly D6 Gallon Data'!$I177</f>
        <v>0</v>
      </c>
      <c r="Q182" s="307">
        <v>0</v>
      </c>
      <c r="R182" s="307">
        <v>0</v>
      </c>
      <c r="S182" s="307">
        <v>0</v>
      </c>
      <c r="T182" s="307">
        <v>0</v>
      </c>
      <c r="U182" s="307">
        <v>0</v>
      </c>
      <c r="V182" s="307">
        <v>0</v>
      </c>
      <c r="W182" s="307">
        <v>0</v>
      </c>
      <c r="X182" s="307">
        <v>0</v>
      </c>
      <c r="Y182" s="307">
        <v>0</v>
      </c>
      <c r="Z182" s="307">
        <v>0</v>
      </c>
      <c r="AA182" s="307">
        <v>0</v>
      </c>
      <c r="AB182" s="307">
        <v>0</v>
      </c>
      <c r="AC182" s="307">
        <v>0</v>
      </c>
      <c r="AD182" s="307">
        <v>0</v>
      </c>
      <c r="AE182" s="307">
        <v>0</v>
      </c>
      <c r="AF182" s="307">
        <v>0</v>
      </c>
      <c r="AG182" s="307">
        <v>0</v>
      </c>
      <c r="AH182" s="307">
        <v>0</v>
      </c>
      <c r="AI182" s="307">
        <v>0</v>
      </c>
      <c r="AJ182" s="307">
        <v>0</v>
      </c>
      <c r="AK182" s="307">
        <v>0</v>
      </c>
      <c r="AL182" s="307">
        <v>0</v>
      </c>
      <c r="AM182" s="307">
        <v>0</v>
      </c>
      <c r="AN182" s="307">
        <v>0</v>
      </c>
      <c r="AO182" s="307">
        <v>0</v>
      </c>
      <c r="AP182" s="307">
        <v>0</v>
      </c>
      <c r="AQ182" s="307">
        <v>1</v>
      </c>
      <c r="AR182" s="307"/>
      <c r="AS182" s="307"/>
      <c r="AT182" s="307"/>
      <c r="AU182" s="307"/>
      <c r="AV182" s="307"/>
      <c r="AW182" s="307"/>
      <c r="AX182" s="307"/>
      <c r="AY182" s="307"/>
      <c r="AZ182" s="307"/>
      <c r="BA182" s="307"/>
      <c r="BB182" s="307"/>
      <c r="BC182" s="308"/>
      <c r="BE182" s="308">
        <v>0</v>
      </c>
      <c r="BF182" s="308">
        <f t="shared" si="172"/>
        <v>0</v>
      </c>
      <c r="BG182" s="308">
        <v>0</v>
      </c>
      <c r="BH182" s="308">
        <f t="shared" si="173"/>
        <v>0</v>
      </c>
      <c r="BI182" s="308">
        <v>0</v>
      </c>
      <c r="BJ182" s="308">
        <f t="shared" si="174"/>
        <v>0</v>
      </c>
      <c r="BK182" s="308">
        <v>0</v>
      </c>
      <c r="BL182" s="308">
        <f t="shared" si="175"/>
        <v>0</v>
      </c>
      <c r="BM182" s="308">
        <v>0</v>
      </c>
      <c r="BN182" s="308">
        <f t="shared" si="176"/>
        <v>0</v>
      </c>
      <c r="BO182" s="308">
        <v>0</v>
      </c>
      <c r="BP182" s="308">
        <f t="shared" si="177"/>
        <v>0</v>
      </c>
    </row>
    <row r="183" spans="1:68">
      <c r="A183" s="301" t="s">
        <v>49</v>
      </c>
      <c r="B183" s="308">
        <f>'Monthly D6 Gallon Data'!$I10</f>
        <v>0</v>
      </c>
      <c r="C183" s="308">
        <f>'Monthly D6 Gallon Data'!$I22</f>
        <v>0</v>
      </c>
      <c r="D183" s="308">
        <f>'Monthly D6 Gallon Data'!$I34</f>
        <v>0</v>
      </c>
      <c r="E183" s="308">
        <f>'Monthly D6 Gallon Data'!$I46</f>
        <v>0</v>
      </c>
      <c r="F183" s="308">
        <f>'Monthly D6 Gallon Data'!$I58</f>
        <v>0</v>
      </c>
      <c r="G183" s="308">
        <f>'Monthly D6 Gallon Data'!$I70</f>
        <v>0</v>
      </c>
      <c r="H183" s="308">
        <f>'Monthly D6 Gallon Data'!$I82</f>
        <v>0</v>
      </c>
      <c r="I183" s="308">
        <f>'Monthly D6 Gallon Data'!$I94</f>
        <v>0</v>
      </c>
      <c r="J183" s="308">
        <f>'Monthly D6 Gallon Data'!$I106</f>
        <v>0</v>
      </c>
      <c r="K183" s="308">
        <f>'Monthly D6 Gallon Data'!$I118</f>
        <v>0</v>
      </c>
      <c r="L183" s="308">
        <f>'Monthly D6 Gallon Data'!$I130</f>
        <v>0</v>
      </c>
      <c r="M183" s="308">
        <f>'Monthly D6 Gallon Data'!$I142</f>
        <v>0</v>
      </c>
      <c r="N183" s="308">
        <f>'Monthly D6 Gallon Data'!$I154</f>
        <v>0</v>
      </c>
      <c r="O183" s="308">
        <f>'Monthly D6 Gallon Data'!$I166</f>
        <v>0</v>
      </c>
      <c r="P183" s="308">
        <f>'Monthly D6 Gallon Data'!$I178</f>
        <v>0</v>
      </c>
      <c r="Q183" s="307">
        <v>0</v>
      </c>
      <c r="R183" s="307">
        <v>0</v>
      </c>
      <c r="S183" s="307">
        <v>0</v>
      </c>
      <c r="T183" s="307">
        <v>0</v>
      </c>
      <c r="U183" s="307">
        <v>0</v>
      </c>
      <c r="V183" s="307">
        <v>0</v>
      </c>
      <c r="W183" s="307">
        <v>0</v>
      </c>
      <c r="X183" s="307">
        <v>0</v>
      </c>
      <c r="Y183" s="307">
        <v>0</v>
      </c>
      <c r="Z183" s="307">
        <v>0</v>
      </c>
      <c r="AA183" s="307">
        <v>0</v>
      </c>
      <c r="AB183" s="307">
        <v>0</v>
      </c>
      <c r="AC183" s="307">
        <v>0</v>
      </c>
      <c r="AD183" s="307">
        <v>0</v>
      </c>
      <c r="AE183" s="307">
        <v>0</v>
      </c>
      <c r="AF183" s="307">
        <v>0</v>
      </c>
      <c r="AG183" s="307">
        <v>0</v>
      </c>
      <c r="AH183" s="307">
        <v>0</v>
      </c>
      <c r="AI183" s="307">
        <v>0</v>
      </c>
      <c r="AJ183" s="307">
        <v>0</v>
      </c>
      <c r="AK183" s="307">
        <v>0</v>
      </c>
      <c r="AL183" s="307">
        <v>0</v>
      </c>
      <c r="AM183" s="307">
        <v>0</v>
      </c>
      <c r="AN183" s="307">
        <v>0</v>
      </c>
      <c r="AO183" s="307">
        <v>0</v>
      </c>
      <c r="AP183" s="307">
        <v>0</v>
      </c>
      <c r="AQ183" s="307">
        <v>1</v>
      </c>
      <c r="AR183" s="307"/>
      <c r="AS183" s="307"/>
      <c r="AT183" s="307"/>
      <c r="AU183" s="307"/>
      <c r="AV183" s="307"/>
      <c r="AW183" s="307"/>
      <c r="AX183" s="307"/>
      <c r="AY183" s="307"/>
      <c r="AZ183" s="307"/>
      <c r="BA183" s="307"/>
      <c r="BB183" s="307"/>
      <c r="BC183" s="308"/>
      <c r="BE183" s="308">
        <v>0</v>
      </c>
      <c r="BF183" s="308">
        <f t="shared" si="172"/>
        <v>0</v>
      </c>
      <c r="BG183" s="308">
        <v>0</v>
      </c>
      <c r="BH183" s="308">
        <f t="shared" si="173"/>
        <v>0</v>
      </c>
      <c r="BI183" s="308">
        <v>0</v>
      </c>
      <c r="BJ183" s="308">
        <f t="shared" si="174"/>
        <v>0</v>
      </c>
      <c r="BK183" s="308">
        <v>0</v>
      </c>
      <c r="BL183" s="308">
        <f t="shared" si="175"/>
        <v>0</v>
      </c>
      <c r="BM183" s="309">
        <v>0</v>
      </c>
      <c r="BN183" s="308">
        <f t="shared" si="176"/>
        <v>0</v>
      </c>
      <c r="BO183" s="308">
        <v>0</v>
      </c>
      <c r="BP183" s="308">
        <f t="shared" si="177"/>
        <v>0</v>
      </c>
    </row>
    <row r="184" spans="1:68">
      <c r="A184" s="301" t="s">
        <v>50</v>
      </c>
      <c r="B184" s="308">
        <f>'Monthly D6 Gallon Data'!$I11</f>
        <v>0</v>
      </c>
      <c r="C184" s="308">
        <f>'Monthly D6 Gallon Data'!$I23</f>
        <v>0</v>
      </c>
      <c r="D184" s="308">
        <f>'Monthly D6 Gallon Data'!$I35</f>
        <v>0</v>
      </c>
      <c r="E184" s="308">
        <f>'Monthly D6 Gallon Data'!$I47</f>
        <v>0</v>
      </c>
      <c r="F184" s="308">
        <f>'Monthly D6 Gallon Data'!$I59</f>
        <v>0</v>
      </c>
      <c r="G184" s="308">
        <f>'Monthly D6 Gallon Data'!$I71</f>
        <v>0</v>
      </c>
      <c r="H184" s="308">
        <f>'Monthly D6 Gallon Data'!$I83</f>
        <v>0</v>
      </c>
      <c r="I184" s="308">
        <f>'Monthly D6 Gallon Data'!$I95</f>
        <v>0</v>
      </c>
      <c r="J184" s="308">
        <f>'Monthly D6 Gallon Data'!$I107</f>
        <v>0</v>
      </c>
      <c r="K184" s="308">
        <f>'Monthly D6 Gallon Data'!$I119</f>
        <v>0</v>
      </c>
      <c r="L184" s="308">
        <f>'Monthly D6 Gallon Data'!$I131</f>
        <v>0</v>
      </c>
      <c r="M184" s="308">
        <f>'Monthly D6 Gallon Data'!$I143</f>
        <v>0</v>
      </c>
      <c r="N184" s="308">
        <f>'Monthly D6 Gallon Data'!$I155</f>
        <v>0</v>
      </c>
      <c r="O184" s="308">
        <f>'Monthly D6 Gallon Data'!$I167</f>
        <v>0</v>
      </c>
      <c r="P184" s="308">
        <f>'Monthly D6 Gallon Data'!$I179</f>
        <v>0</v>
      </c>
      <c r="Q184" s="307">
        <v>0</v>
      </c>
      <c r="R184" s="307">
        <v>0</v>
      </c>
      <c r="S184" s="307">
        <v>0</v>
      </c>
      <c r="T184" s="307">
        <v>0</v>
      </c>
      <c r="U184" s="307">
        <v>0</v>
      </c>
      <c r="V184" s="307">
        <v>0</v>
      </c>
      <c r="W184" s="307">
        <v>0</v>
      </c>
      <c r="X184" s="307">
        <v>0</v>
      </c>
      <c r="Y184" s="307">
        <v>0</v>
      </c>
      <c r="Z184" s="307">
        <v>0</v>
      </c>
      <c r="AA184" s="307">
        <v>0</v>
      </c>
      <c r="AB184" s="307">
        <v>0</v>
      </c>
      <c r="AC184" s="307">
        <v>0</v>
      </c>
      <c r="AD184" s="307">
        <v>0</v>
      </c>
      <c r="AE184" s="307">
        <v>0</v>
      </c>
      <c r="AF184" s="307">
        <v>0</v>
      </c>
      <c r="AG184" s="307">
        <v>0</v>
      </c>
      <c r="AH184" s="307">
        <v>0</v>
      </c>
      <c r="AI184" s="307">
        <v>0</v>
      </c>
      <c r="AJ184" s="307">
        <v>0</v>
      </c>
      <c r="AK184" s="307">
        <v>0</v>
      </c>
      <c r="AL184" s="307">
        <v>0</v>
      </c>
      <c r="AM184" s="307">
        <v>0</v>
      </c>
      <c r="AN184" s="307">
        <v>0</v>
      </c>
      <c r="AO184" s="307">
        <v>0</v>
      </c>
      <c r="AP184" s="307">
        <v>0</v>
      </c>
      <c r="AQ184" s="307">
        <v>1</v>
      </c>
      <c r="AR184" s="307"/>
      <c r="AS184" s="307"/>
      <c r="AT184" s="307"/>
      <c r="AU184" s="307"/>
      <c r="AV184" s="307"/>
      <c r="AW184" s="307"/>
      <c r="AX184" s="307"/>
      <c r="AY184" s="307"/>
      <c r="AZ184" s="307"/>
      <c r="BA184" s="307"/>
      <c r="BB184" s="307"/>
      <c r="BC184" s="308"/>
      <c r="BE184" s="308">
        <v>0</v>
      </c>
      <c r="BF184" s="308">
        <f t="shared" si="172"/>
        <v>0</v>
      </c>
      <c r="BG184" s="308">
        <v>0</v>
      </c>
      <c r="BH184" s="308">
        <f t="shared" si="173"/>
        <v>0</v>
      </c>
      <c r="BI184" s="308">
        <v>0</v>
      </c>
      <c r="BJ184" s="308">
        <f t="shared" si="174"/>
        <v>0</v>
      </c>
      <c r="BK184" s="308">
        <v>0</v>
      </c>
      <c r="BL184" s="308">
        <f t="shared" si="175"/>
        <v>0</v>
      </c>
      <c r="BM184" s="309">
        <v>0</v>
      </c>
      <c r="BN184" s="308">
        <f t="shared" si="176"/>
        <v>0</v>
      </c>
      <c r="BO184" s="308">
        <v>0</v>
      </c>
      <c r="BP184" s="308">
        <f t="shared" si="177"/>
        <v>0</v>
      </c>
    </row>
    <row r="185" spans="1:68">
      <c r="A185" s="301" t="s">
        <v>51</v>
      </c>
      <c r="B185" s="308">
        <f>'Monthly D6 Gallon Data'!$I12</f>
        <v>0</v>
      </c>
      <c r="C185" s="308">
        <f>'Monthly D6 Gallon Data'!$I24</f>
        <v>0</v>
      </c>
      <c r="D185" s="308">
        <f>'Monthly D6 Gallon Data'!$I36</f>
        <v>0</v>
      </c>
      <c r="E185" s="308">
        <f>'Monthly D6 Gallon Data'!$I48</f>
        <v>0</v>
      </c>
      <c r="F185" s="308">
        <f>'Monthly D6 Gallon Data'!$I60</f>
        <v>0</v>
      </c>
      <c r="G185" s="308">
        <f>'Monthly D6 Gallon Data'!$I72</f>
        <v>0</v>
      </c>
      <c r="H185" s="308">
        <f>'Monthly D6 Gallon Data'!$I84</f>
        <v>0</v>
      </c>
      <c r="I185" s="308">
        <f>'Monthly D6 Gallon Data'!$I96</f>
        <v>0</v>
      </c>
      <c r="J185" s="308">
        <f>'Monthly D6 Gallon Data'!$I108</f>
        <v>0</v>
      </c>
      <c r="K185" s="308">
        <f>'Monthly D6 Gallon Data'!$I120</f>
        <v>0</v>
      </c>
      <c r="L185" s="308">
        <f>'Monthly D6 Gallon Data'!$I132</f>
        <v>0</v>
      </c>
      <c r="M185" s="308">
        <f>'Monthly D6 Gallon Data'!$I144</f>
        <v>0</v>
      </c>
      <c r="N185" s="308">
        <f>'Monthly D6 Gallon Data'!$I156</f>
        <v>0</v>
      </c>
      <c r="O185" s="308">
        <f>'Monthly D6 Gallon Data'!$I168</f>
        <v>0</v>
      </c>
      <c r="P185" s="308">
        <f>'Monthly D6 Gallon Data'!$I180</f>
        <v>0</v>
      </c>
      <c r="Q185" s="307">
        <v>0</v>
      </c>
      <c r="R185" s="307">
        <v>0</v>
      </c>
      <c r="S185" s="307">
        <v>0</v>
      </c>
      <c r="T185" s="307">
        <v>0</v>
      </c>
      <c r="U185" s="307">
        <v>0</v>
      </c>
      <c r="V185" s="307">
        <v>0</v>
      </c>
      <c r="W185" s="307">
        <v>0</v>
      </c>
      <c r="X185" s="307">
        <v>0</v>
      </c>
      <c r="Y185" s="307">
        <v>0</v>
      </c>
      <c r="Z185" s="307">
        <v>0</v>
      </c>
      <c r="AA185" s="307">
        <v>0</v>
      </c>
      <c r="AB185" s="307">
        <v>0</v>
      </c>
      <c r="AC185" s="307">
        <v>0</v>
      </c>
      <c r="AD185" s="307">
        <v>0</v>
      </c>
      <c r="AE185" s="307">
        <v>0</v>
      </c>
      <c r="AF185" s="307">
        <v>0</v>
      </c>
      <c r="AG185" s="307">
        <v>0</v>
      </c>
      <c r="AH185" s="307">
        <v>0</v>
      </c>
      <c r="AI185" s="307">
        <v>0</v>
      </c>
      <c r="AJ185" s="307">
        <v>0</v>
      </c>
      <c r="AK185" s="307">
        <v>0</v>
      </c>
      <c r="AL185" s="307">
        <v>0</v>
      </c>
      <c r="AM185" s="307">
        <v>0</v>
      </c>
      <c r="AN185" s="307">
        <v>0</v>
      </c>
      <c r="AO185" s="307">
        <v>0</v>
      </c>
      <c r="AP185" s="307">
        <v>0</v>
      </c>
      <c r="AQ185" s="307">
        <v>1</v>
      </c>
      <c r="AR185" s="307"/>
      <c r="AS185" s="307"/>
      <c r="AT185" s="307"/>
      <c r="AU185" s="307"/>
      <c r="AV185" s="307"/>
      <c r="AW185" s="307"/>
      <c r="AX185" s="307"/>
      <c r="AY185" s="307"/>
      <c r="AZ185" s="307"/>
      <c r="BA185" s="307"/>
      <c r="BB185" s="307"/>
      <c r="BC185" s="308"/>
      <c r="BE185" s="308">
        <v>0</v>
      </c>
      <c r="BF185" s="308">
        <f t="shared" si="172"/>
        <v>0</v>
      </c>
      <c r="BG185" s="308">
        <v>0</v>
      </c>
      <c r="BH185" s="308">
        <f t="shared" si="173"/>
        <v>0</v>
      </c>
      <c r="BI185" s="308">
        <v>0</v>
      </c>
      <c r="BJ185" s="308">
        <f t="shared" si="174"/>
        <v>0</v>
      </c>
      <c r="BK185" s="308">
        <v>0</v>
      </c>
      <c r="BL185" s="308">
        <f t="shared" si="175"/>
        <v>0</v>
      </c>
      <c r="BM185" s="309">
        <v>0</v>
      </c>
      <c r="BN185" s="308">
        <f t="shared" si="176"/>
        <v>0</v>
      </c>
      <c r="BO185" s="308">
        <v>0</v>
      </c>
      <c r="BP185" s="308">
        <f t="shared" si="177"/>
        <v>0</v>
      </c>
    </row>
    <row r="186" spans="1:68">
      <c r="A186" s="301" t="s">
        <v>52</v>
      </c>
      <c r="B186" s="308">
        <f>'Monthly D6 Gallon Data'!$I13</f>
        <v>0</v>
      </c>
      <c r="C186" s="308">
        <f>'Monthly D6 Gallon Data'!$I25</f>
        <v>0</v>
      </c>
      <c r="D186" s="308">
        <f>'Monthly D6 Gallon Data'!$I37</f>
        <v>0</v>
      </c>
      <c r="E186" s="308">
        <f>'Monthly D6 Gallon Data'!$I49</f>
        <v>0</v>
      </c>
      <c r="F186" s="308">
        <f>'Monthly D6 Gallon Data'!$I61</f>
        <v>0</v>
      </c>
      <c r="G186" s="308">
        <f>'Monthly D6 Gallon Data'!$I73</f>
        <v>0</v>
      </c>
      <c r="H186" s="308">
        <f>'Monthly D6 Gallon Data'!$I85</f>
        <v>0</v>
      </c>
      <c r="I186" s="308">
        <f>'Monthly D6 Gallon Data'!$I97</f>
        <v>0</v>
      </c>
      <c r="J186" s="308">
        <f>'Monthly D6 Gallon Data'!$I109</f>
        <v>0</v>
      </c>
      <c r="K186" s="308">
        <f>'Monthly D6 Gallon Data'!$I121</f>
        <v>0</v>
      </c>
      <c r="L186" s="308">
        <f>'Monthly D6 Gallon Data'!$I133</f>
        <v>0</v>
      </c>
      <c r="M186" s="308">
        <f>'Monthly D6 Gallon Data'!$I145</f>
        <v>0</v>
      </c>
      <c r="N186" s="308">
        <f>'Monthly D6 Gallon Data'!$I157</f>
        <v>0</v>
      </c>
      <c r="O186" s="308">
        <f>'Monthly D6 Gallon Data'!$I169</f>
        <v>0</v>
      </c>
      <c r="P186" s="308">
        <f>'Monthly D6 Gallon Data'!$I181</f>
        <v>0</v>
      </c>
      <c r="Q186" s="307">
        <v>0</v>
      </c>
      <c r="R186" s="307">
        <v>0</v>
      </c>
      <c r="S186" s="307">
        <v>0</v>
      </c>
      <c r="T186" s="307">
        <v>0</v>
      </c>
      <c r="U186" s="307">
        <v>0</v>
      </c>
      <c r="V186" s="307">
        <v>0</v>
      </c>
      <c r="W186" s="307">
        <v>0</v>
      </c>
      <c r="X186" s="307">
        <v>0</v>
      </c>
      <c r="Y186" s="307">
        <v>0</v>
      </c>
      <c r="Z186" s="307">
        <v>0</v>
      </c>
      <c r="AA186" s="307">
        <v>0</v>
      </c>
      <c r="AB186" s="307">
        <v>0</v>
      </c>
      <c r="AC186" s="307">
        <v>0</v>
      </c>
      <c r="AD186" s="307">
        <v>0</v>
      </c>
      <c r="AE186" s="307">
        <v>0</v>
      </c>
      <c r="AF186" s="307">
        <v>0</v>
      </c>
      <c r="AG186" s="307">
        <v>0</v>
      </c>
      <c r="AH186" s="307">
        <v>0</v>
      </c>
      <c r="AI186" s="307">
        <v>0</v>
      </c>
      <c r="AJ186" s="307">
        <v>0</v>
      </c>
      <c r="AK186" s="307">
        <v>0</v>
      </c>
      <c r="AL186" s="307">
        <v>0</v>
      </c>
      <c r="AM186" s="307">
        <v>0</v>
      </c>
      <c r="AN186" s="307">
        <v>0</v>
      </c>
      <c r="AO186" s="307">
        <v>0</v>
      </c>
      <c r="AP186" s="307">
        <v>0</v>
      </c>
      <c r="AQ186" s="307">
        <v>1</v>
      </c>
      <c r="AR186" s="307"/>
      <c r="AS186" s="307"/>
      <c r="AT186" s="307"/>
      <c r="AU186" s="307"/>
      <c r="AV186" s="307"/>
      <c r="AW186" s="307"/>
      <c r="AX186" s="307"/>
      <c r="AY186" s="307"/>
      <c r="AZ186" s="307"/>
      <c r="BA186" s="307"/>
      <c r="BB186" s="307"/>
      <c r="BC186" s="308"/>
      <c r="BE186" s="308">
        <v>0</v>
      </c>
      <c r="BF186" s="308">
        <f t="shared" si="172"/>
        <v>0</v>
      </c>
      <c r="BG186" s="308">
        <v>0</v>
      </c>
      <c r="BH186" s="308">
        <f t="shared" si="173"/>
        <v>0</v>
      </c>
      <c r="BI186" s="308">
        <v>0</v>
      </c>
      <c r="BJ186" s="308">
        <f t="shared" si="174"/>
        <v>0</v>
      </c>
      <c r="BK186" s="308">
        <v>0</v>
      </c>
      <c r="BL186" s="308">
        <f t="shared" si="175"/>
        <v>0</v>
      </c>
      <c r="BM186" s="309">
        <v>0</v>
      </c>
      <c r="BN186" s="308">
        <f t="shared" si="176"/>
        <v>0</v>
      </c>
      <c r="BO186" s="308">
        <v>0</v>
      </c>
      <c r="BP186" s="308">
        <f t="shared" si="177"/>
        <v>0</v>
      </c>
    </row>
    <row r="187" spans="1:68">
      <c r="A187" s="301" t="s">
        <v>53</v>
      </c>
      <c r="B187" s="308">
        <f>'Monthly D6 Gallon Data'!$I14</f>
        <v>0</v>
      </c>
      <c r="C187" s="308">
        <f>'Monthly D6 Gallon Data'!$I26</f>
        <v>0</v>
      </c>
      <c r="D187" s="308">
        <f>'Monthly D6 Gallon Data'!$I38</f>
        <v>0</v>
      </c>
      <c r="E187" s="308">
        <f>'Monthly D6 Gallon Data'!$I50</f>
        <v>0</v>
      </c>
      <c r="F187" s="308">
        <f>'Monthly D6 Gallon Data'!$I62</f>
        <v>0</v>
      </c>
      <c r="G187" s="308">
        <f>'Monthly D6 Gallon Data'!$I74</f>
        <v>0</v>
      </c>
      <c r="H187" s="308">
        <f>'Monthly D6 Gallon Data'!$I86</f>
        <v>0</v>
      </c>
      <c r="I187" s="308">
        <f>'Monthly D6 Gallon Data'!$I98</f>
        <v>0</v>
      </c>
      <c r="J187" s="308">
        <f>'Monthly D6 Gallon Data'!$I110</f>
        <v>0</v>
      </c>
      <c r="K187" s="308">
        <f>'Monthly D6 Gallon Data'!$I122</f>
        <v>0</v>
      </c>
      <c r="L187" s="308">
        <f>'Monthly D6 Gallon Data'!$I134</f>
        <v>0</v>
      </c>
      <c r="M187" s="308">
        <f>'Monthly D6 Gallon Data'!$I146</f>
        <v>0</v>
      </c>
      <c r="N187" s="308">
        <f>'Monthly D6 Gallon Data'!$I158</f>
        <v>0</v>
      </c>
      <c r="O187" s="308">
        <f>'Monthly D6 Gallon Data'!$I170</f>
        <v>0</v>
      </c>
      <c r="P187" s="308">
        <f>'Monthly D6 Gallon Data'!$I182</f>
        <v>0</v>
      </c>
      <c r="Q187" s="307">
        <v>0</v>
      </c>
      <c r="R187" s="307">
        <v>0</v>
      </c>
      <c r="S187" s="307">
        <v>0</v>
      </c>
      <c r="T187" s="307">
        <v>0</v>
      </c>
      <c r="U187" s="307">
        <v>0</v>
      </c>
      <c r="V187" s="307">
        <v>0</v>
      </c>
      <c r="W187" s="307">
        <v>0</v>
      </c>
      <c r="X187" s="307">
        <v>0</v>
      </c>
      <c r="Y187" s="307">
        <v>0</v>
      </c>
      <c r="Z187" s="307">
        <v>0</v>
      </c>
      <c r="AA187" s="307">
        <v>0</v>
      </c>
      <c r="AB187" s="307">
        <v>0</v>
      </c>
      <c r="AC187" s="307">
        <v>0</v>
      </c>
      <c r="AD187" s="307">
        <v>0</v>
      </c>
      <c r="AE187" s="307">
        <v>0</v>
      </c>
      <c r="AF187" s="307">
        <v>0</v>
      </c>
      <c r="AG187" s="307">
        <v>0</v>
      </c>
      <c r="AH187" s="307">
        <v>0</v>
      </c>
      <c r="AI187" s="307">
        <v>0</v>
      </c>
      <c r="AJ187" s="307">
        <v>0</v>
      </c>
      <c r="AK187" s="307">
        <v>0</v>
      </c>
      <c r="AL187" s="307">
        <v>0</v>
      </c>
      <c r="AM187" s="307">
        <v>0</v>
      </c>
      <c r="AN187" s="307">
        <v>0</v>
      </c>
      <c r="AO187" s="307">
        <v>0</v>
      </c>
      <c r="AP187" s="307">
        <v>0</v>
      </c>
      <c r="AQ187" s="307">
        <v>1</v>
      </c>
      <c r="AR187" s="307"/>
      <c r="AS187" s="307"/>
      <c r="AT187" s="307"/>
      <c r="AU187" s="307"/>
      <c r="AV187" s="307"/>
      <c r="AW187" s="307"/>
      <c r="AX187" s="307"/>
      <c r="AY187" s="307"/>
      <c r="AZ187" s="307"/>
      <c r="BA187" s="307"/>
      <c r="BB187" s="307"/>
      <c r="BC187" s="308"/>
      <c r="BE187" s="308">
        <v>0</v>
      </c>
      <c r="BF187" s="308">
        <f t="shared" si="172"/>
        <v>0</v>
      </c>
      <c r="BG187" s="308">
        <v>0</v>
      </c>
      <c r="BH187" s="308">
        <f t="shared" si="173"/>
        <v>0</v>
      </c>
      <c r="BI187" s="308">
        <v>0</v>
      </c>
      <c r="BJ187" s="308">
        <f t="shared" si="174"/>
        <v>0</v>
      </c>
      <c r="BK187" s="309">
        <v>0</v>
      </c>
      <c r="BL187" s="308">
        <f t="shared" si="175"/>
        <v>0</v>
      </c>
      <c r="BM187" s="309">
        <v>0</v>
      </c>
      <c r="BN187" s="308">
        <f t="shared" si="176"/>
        <v>0</v>
      </c>
      <c r="BO187" s="308">
        <v>0</v>
      </c>
      <c r="BP187" s="308">
        <f t="shared" si="177"/>
        <v>0</v>
      </c>
    </row>
    <row r="188" spans="1:68">
      <c r="A188" s="301" t="s">
        <v>54</v>
      </c>
      <c r="B188" s="308">
        <f>'Monthly D6 Gallon Data'!$I15</f>
        <v>0</v>
      </c>
      <c r="C188" s="308">
        <f>'Monthly D6 Gallon Data'!$I27</f>
        <v>0</v>
      </c>
      <c r="D188" s="308">
        <f>'Monthly D6 Gallon Data'!$I39</f>
        <v>0</v>
      </c>
      <c r="E188" s="308">
        <f>'Monthly D6 Gallon Data'!$I51</f>
        <v>0</v>
      </c>
      <c r="F188" s="308">
        <f>'Monthly D6 Gallon Data'!$I63</f>
        <v>0</v>
      </c>
      <c r="G188" s="308">
        <f>'Monthly D6 Gallon Data'!$I75</f>
        <v>0</v>
      </c>
      <c r="H188" s="308">
        <f>'Monthly D6 Gallon Data'!$I87</f>
        <v>0</v>
      </c>
      <c r="I188" s="308">
        <f>'Monthly D6 Gallon Data'!$I99</f>
        <v>0</v>
      </c>
      <c r="J188" s="308">
        <f>'Monthly D6 Gallon Data'!$I111</f>
        <v>0</v>
      </c>
      <c r="K188" s="308">
        <f>'Monthly D6 Gallon Data'!$I123</f>
        <v>0</v>
      </c>
      <c r="L188" s="308">
        <f>'Monthly D6 Gallon Data'!$I135</f>
        <v>0</v>
      </c>
      <c r="M188" s="308">
        <f>'Monthly D6 Gallon Data'!$I147</f>
        <v>0</v>
      </c>
      <c r="N188" s="308">
        <f>'Monthly D6 Gallon Data'!$I159</f>
        <v>0</v>
      </c>
      <c r="O188" s="308">
        <f>'Monthly D6 Gallon Data'!$I171</f>
        <v>0</v>
      </c>
      <c r="P188" s="308">
        <f>'Monthly D6 Gallon Data'!$I183</f>
        <v>0</v>
      </c>
      <c r="Q188" s="307">
        <v>0</v>
      </c>
      <c r="R188" s="307">
        <v>0</v>
      </c>
      <c r="S188" s="307">
        <v>0</v>
      </c>
      <c r="T188" s="307">
        <v>0</v>
      </c>
      <c r="U188" s="307">
        <v>0</v>
      </c>
      <c r="V188" s="307">
        <v>0</v>
      </c>
      <c r="W188" s="307">
        <v>0</v>
      </c>
      <c r="X188" s="307">
        <v>0</v>
      </c>
      <c r="Y188" s="307">
        <v>0</v>
      </c>
      <c r="Z188" s="307">
        <v>0</v>
      </c>
      <c r="AA188" s="307">
        <v>0</v>
      </c>
      <c r="AB188" s="307">
        <v>0</v>
      </c>
      <c r="AC188" s="307">
        <v>0</v>
      </c>
      <c r="AD188" s="307">
        <v>0</v>
      </c>
      <c r="AE188" s="307">
        <v>0</v>
      </c>
      <c r="AF188" s="307">
        <v>0</v>
      </c>
      <c r="AG188" s="307">
        <v>0</v>
      </c>
      <c r="AH188" s="307">
        <v>0</v>
      </c>
      <c r="AI188" s="307">
        <v>0</v>
      </c>
      <c r="AJ188" s="307">
        <v>0</v>
      </c>
      <c r="AK188" s="307">
        <v>0</v>
      </c>
      <c r="AL188" s="307">
        <v>0</v>
      </c>
      <c r="AM188" s="307">
        <v>0</v>
      </c>
      <c r="AN188" s="307">
        <v>0</v>
      </c>
      <c r="AO188" s="307">
        <v>0</v>
      </c>
      <c r="AP188" s="307">
        <v>0</v>
      </c>
      <c r="AQ188" s="307">
        <v>1</v>
      </c>
      <c r="AR188" s="307"/>
      <c r="AS188" s="307"/>
      <c r="AT188" s="307"/>
      <c r="AU188" s="307"/>
      <c r="AV188" s="307"/>
      <c r="AW188" s="307"/>
      <c r="AX188" s="307"/>
      <c r="AY188" s="307"/>
      <c r="AZ188" s="307"/>
      <c r="BA188" s="307"/>
      <c r="BB188" s="307"/>
      <c r="BC188" s="308"/>
      <c r="BE188" s="308">
        <v>0</v>
      </c>
      <c r="BF188" s="308">
        <f t="shared" si="172"/>
        <v>0</v>
      </c>
      <c r="BG188" s="308">
        <v>0</v>
      </c>
      <c r="BH188" s="308">
        <f t="shared" si="173"/>
        <v>0</v>
      </c>
      <c r="BI188" s="308">
        <v>0</v>
      </c>
      <c r="BJ188" s="308">
        <f t="shared" si="174"/>
        <v>0</v>
      </c>
      <c r="BK188" s="309">
        <v>0</v>
      </c>
      <c r="BL188" s="308">
        <f t="shared" si="175"/>
        <v>0</v>
      </c>
      <c r="BM188" s="309">
        <v>0</v>
      </c>
      <c r="BN188" s="308">
        <f t="shared" si="176"/>
        <v>0</v>
      </c>
      <c r="BO188" s="308">
        <v>0</v>
      </c>
      <c r="BP188" s="308">
        <f t="shared" si="177"/>
        <v>0</v>
      </c>
    </row>
    <row r="189" spans="1:68" ht="12" thickBot="1">
      <c r="A189" s="301" t="s">
        <v>29</v>
      </c>
      <c r="B189" s="308">
        <f t="shared" ref="B189:AD189" si="178">SUM(B177:B188)</f>
        <v>0</v>
      </c>
      <c r="C189" s="308">
        <f t="shared" si="178"/>
        <v>0</v>
      </c>
      <c r="D189" s="308">
        <f t="shared" si="178"/>
        <v>0</v>
      </c>
      <c r="E189" s="308">
        <f t="shared" si="178"/>
        <v>0</v>
      </c>
      <c r="F189" s="308">
        <f t="shared" si="178"/>
        <v>0</v>
      </c>
      <c r="G189" s="308">
        <f t="shared" si="178"/>
        <v>0</v>
      </c>
      <c r="H189" s="308">
        <f t="shared" si="178"/>
        <v>0</v>
      </c>
      <c r="I189" s="308">
        <f t="shared" si="178"/>
        <v>0</v>
      </c>
      <c r="J189" s="308">
        <f t="shared" si="178"/>
        <v>0</v>
      </c>
      <c r="K189" s="308">
        <f t="shared" si="178"/>
        <v>0</v>
      </c>
      <c r="L189" s="308">
        <f t="shared" si="178"/>
        <v>0</v>
      </c>
      <c r="M189" s="308">
        <f t="shared" si="178"/>
        <v>0</v>
      </c>
      <c r="N189" s="308">
        <f t="shared" si="178"/>
        <v>0</v>
      </c>
      <c r="O189" s="308">
        <f t="shared" si="178"/>
        <v>0</v>
      </c>
      <c r="P189" s="308">
        <f t="shared" si="178"/>
        <v>0</v>
      </c>
      <c r="Q189" s="307">
        <f t="shared" si="178"/>
        <v>0</v>
      </c>
      <c r="R189" s="307">
        <f t="shared" si="178"/>
        <v>0</v>
      </c>
      <c r="S189" s="307">
        <f t="shared" si="178"/>
        <v>0</v>
      </c>
      <c r="T189" s="307">
        <f t="shared" si="178"/>
        <v>0</v>
      </c>
      <c r="U189" s="307">
        <f t="shared" si="178"/>
        <v>0</v>
      </c>
      <c r="V189" s="307">
        <f t="shared" si="178"/>
        <v>0</v>
      </c>
      <c r="W189" s="307">
        <f t="shared" si="178"/>
        <v>0</v>
      </c>
      <c r="X189" s="307">
        <f t="shared" si="178"/>
        <v>0</v>
      </c>
      <c r="Y189" s="307">
        <f t="shared" si="178"/>
        <v>0</v>
      </c>
      <c r="Z189" s="307">
        <f t="shared" si="178"/>
        <v>0</v>
      </c>
      <c r="AA189" s="307">
        <f t="shared" si="178"/>
        <v>0</v>
      </c>
      <c r="AB189" s="307">
        <f t="shared" si="178"/>
        <v>0</v>
      </c>
      <c r="AC189" s="307">
        <f t="shared" si="178"/>
        <v>0</v>
      </c>
      <c r="AD189" s="307">
        <f t="shared" si="178"/>
        <v>0</v>
      </c>
      <c r="AE189" s="307">
        <f>SUM(AE177:AE188)</f>
        <v>0</v>
      </c>
      <c r="AF189" s="307">
        <f>SUM(AF177:AF188)</f>
        <v>0</v>
      </c>
      <c r="AG189" s="307">
        <f>SUM(AG177:AG188)</f>
        <v>0</v>
      </c>
      <c r="AH189" s="307">
        <f t="shared" ref="AH189:AQ189" si="179">SUM(AH177:AH188)</f>
        <v>0</v>
      </c>
      <c r="AI189" s="307">
        <f t="shared" si="179"/>
        <v>0</v>
      </c>
      <c r="AJ189" s="307">
        <f t="shared" si="179"/>
        <v>0</v>
      </c>
      <c r="AK189" s="307">
        <f t="shared" si="179"/>
        <v>0</v>
      </c>
      <c r="AL189" s="307">
        <f t="shared" si="179"/>
        <v>0</v>
      </c>
      <c r="AM189" s="307">
        <f t="shared" si="179"/>
        <v>0</v>
      </c>
      <c r="AN189" s="307">
        <f t="shared" si="179"/>
        <v>0</v>
      </c>
      <c r="AO189" s="307">
        <f t="shared" si="179"/>
        <v>0</v>
      </c>
      <c r="AP189" s="307">
        <f t="shared" si="179"/>
        <v>0</v>
      </c>
      <c r="AQ189" s="307">
        <f t="shared" si="179"/>
        <v>12</v>
      </c>
      <c r="AR189" s="307"/>
      <c r="AS189" s="307"/>
      <c r="AT189" s="307"/>
      <c r="AU189" s="307"/>
      <c r="AV189" s="307"/>
      <c r="AW189" s="307"/>
      <c r="AX189" s="307"/>
      <c r="AY189" s="307"/>
      <c r="AZ189" s="307"/>
      <c r="BA189" s="307"/>
      <c r="BB189" s="307"/>
      <c r="BC189" s="308"/>
      <c r="BE189" s="308">
        <v>0</v>
      </c>
      <c r="BF189" s="308">
        <f t="shared" si="172"/>
        <v>0</v>
      </c>
      <c r="BG189" s="308">
        <v>0</v>
      </c>
      <c r="BH189" s="308">
        <f t="shared" si="173"/>
        <v>0</v>
      </c>
      <c r="BI189" s="308">
        <v>0</v>
      </c>
      <c r="BJ189" s="308">
        <f t="shared" si="174"/>
        <v>0</v>
      </c>
      <c r="BK189" s="309">
        <v>0</v>
      </c>
      <c r="BL189" s="308">
        <f t="shared" si="175"/>
        <v>0</v>
      </c>
      <c r="BM189" s="309">
        <v>0</v>
      </c>
      <c r="BN189" s="308">
        <f t="shared" si="176"/>
        <v>0</v>
      </c>
      <c r="BO189" s="308">
        <v>0</v>
      </c>
      <c r="BP189" s="308">
        <f t="shared" si="177"/>
        <v>0</v>
      </c>
    </row>
    <row r="190" spans="1:68">
      <c r="A190" s="334"/>
      <c r="B190" s="334"/>
      <c r="C190" s="334"/>
      <c r="D190" s="334"/>
      <c r="E190" s="334"/>
      <c r="F190" s="334"/>
      <c r="G190" s="334"/>
      <c r="H190" s="334"/>
      <c r="I190" s="334"/>
      <c r="J190" s="334"/>
      <c r="K190" s="334"/>
      <c r="L190" s="334"/>
      <c r="M190" s="334"/>
      <c r="N190" s="334"/>
      <c r="O190" s="334"/>
      <c r="P190" s="334"/>
      <c r="Q190" s="334"/>
      <c r="R190" s="334"/>
      <c r="S190" s="334"/>
      <c r="T190" s="334"/>
      <c r="U190" s="334"/>
      <c r="V190" s="334"/>
      <c r="W190" s="334"/>
      <c r="X190" s="334"/>
      <c r="Y190" s="334"/>
      <c r="Z190" s="334"/>
      <c r="AA190" s="334"/>
      <c r="AB190" s="334"/>
      <c r="AC190" s="334"/>
      <c r="AD190" s="334"/>
      <c r="AE190" s="334"/>
      <c r="AF190" s="334"/>
      <c r="AG190" s="334"/>
      <c r="AH190" s="334"/>
      <c r="AI190" s="334"/>
      <c r="AJ190" s="334"/>
      <c r="AK190" s="334"/>
      <c r="AL190" s="334"/>
      <c r="AM190" s="334"/>
      <c r="AN190" s="334"/>
      <c r="AO190" s="334"/>
      <c r="AP190" s="334"/>
      <c r="AQ190" s="334"/>
      <c r="BC190" s="308"/>
      <c r="BG190" s="309"/>
    </row>
    <row r="191" spans="1:68" ht="12" thickBot="1">
      <c r="A191" s="300" t="s">
        <v>436</v>
      </c>
      <c r="BC191" s="308"/>
      <c r="BG191" s="309"/>
    </row>
    <row r="192" spans="1:68" ht="12" thickBot="1">
      <c r="A192" s="328"/>
      <c r="B192" s="329">
        <f t="shared" ref="B192:AQ192" si="180">B2</f>
        <v>2010</v>
      </c>
      <c r="C192" s="329">
        <f t="shared" si="180"/>
        <v>2011</v>
      </c>
      <c r="D192" s="329">
        <f t="shared" si="180"/>
        <v>2012</v>
      </c>
      <c r="E192" s="329">
        <f t="shared" si="180"/>
        <v>2013</v>
      </c>
      <c r="F192" s="329">
        <f t="shared" si="180"/>
        <v>2014</v>
      </c>
      <c r="G192" s="329">
        <f t="shared" si="180"/>
        <v>2015</v>
      </c>
      <c r="H192" s="329">
        <f t="shared" si="180"/>
        <v>2016</v>
      </c>
      <c r="I192" s="329">
        <f t="shared" si="180"/>
        <v>2017</v>
      </c>
      <c r="J192" s="329">
        <f t="shared" si="180"/>
        <v>2018</v>
      </c>
      <c r="K192" s="329">
        <f t="shared" si="180"/>
        <v>2019</v>
      </c>
      <c r="L192" s="329">
        <f t="shared" si="180"/>
        <v>2020</v>
      </c>
      <c r="M192" s="329">
        <f t="shared" si="180"/>
        <v>2021</v>
      </c>
      <c r="N192" s="329">
        <f t="shared" si="180"/>
        <v>2022</v>
      </c>
      <c r="O192" s="329">
        <f t="shared" si="180"/>
        <v>2023</v>
      </c>
      <c r="P192" s="329">
        <f t="shared" si="180"/>
        <v>2024</v>
      </c>
      <c r="Q192" s="329">
        <f t="shared" si="180"/>
        <v>2025</v>
      </c>
      <c r="R192" s="329">
        <f t="shared" si="180"/>
        <v>2026</v>
      </c>
      <c r="S192" s="329">
        <f t="shared" si="180"/>
        <v>2027</v>
      </c>
      <c r="T192" s="329">
        <f t="shared" si="180"/>
        <v>2028</v>
      </c>
      <c r="U192" s="329">
        <f t="shared" si="180"/>
        <v>2029</v>
      </c>
      <c r="V192" s="329">
        <f t="shared" si="180"/>
        <v>2030</v>
      </c>
      <c r="W192" s="329">
        <f t="shared" si="180"/>
        <v>2031</v>
      </c>
      <c r="X192" s="329">
        <f t="shared" si="180"/>
        <v>2032</v>
      </c>
      <c r="Y192" s="329">
        <f t="shared" si="180"/>
        <v>2033</v>
      </c>
      <c r="Z192" s="329">
        <f t="shared" si="180"/>
        <v>2034</v>
      </c>
      <c r="AA192" s="329">
        <f t="shared" si="180"/>
        <v>2035</v>
      </c>
      <c r="AB192" s="329">
        <f t="shared" si="180"/>
        <v>2036</v>
      </c>
      <c r="AC192" s="329">
        <f t="shared" si="180"/>
        <v>2037</v>
      </c>
      <c r="AD192" s="329">
        <f t="shared" si="180"/>
        <v>2038</v>
      </c>
      <c r="AE192" s="329">
        <f t="shared" si="180"/>
        <v>2039</v>
      </c>
      <c r="AF192" s="329">
        <f t="shared" si="180"/>
        <v>2040</v>
      </c>
      <c r="AG192" s="329">
        <f t="shared" si="180"/>
        <v>2041</v>
      </c>
      <c r="AH192" s="329">
        <f t="shared" si="180"/>
        <v>2042</v>
      </c>
      <c r="AI192" s="329">
        <f t="shared" si="180"/>
        <v>2043</v>
      </c>
      <c r="AJ192" s="329">
        <f t="shared" si="180"/>
        <v>2044</v>
      </c>
      <c r="AK192" s="329">
        <f t="shared" si="180"/>
        <v>2045</v>
      </c>
      <c r="AL192" s="329">
        <f t="shared" si="180"/>
        <v>2046</v>
      </c>
      <c r="AM192" s="329">
        <f t="shared" si="180"/>
        <v>2047</v>
      </c>
      <c r="AN192" s="329">
        <f t="shared" si="180"/>
        <v>2048</v>
      </c>
      <c r="AO192" s="329">
        <f t="shared" si="180"/>
        <v>2049</v>
      </c>
      <c r="AP192" s="329">
        <f t="shared" si="180"/>
        <v>2050</v>
      </c>
      <c r="AQ192" s="329">
        <f t="shared" si="180"/>
        <v>2051</v>
      </c>
      <c r="AR192" s="300"/>
      <c r="AS192" s="300"/>
      <c r="AT192" s="300"/>
      <c r="AU192" s="300"/>
      <c r="AV192" s="300"/>
      <c r="AW192" s="300"/>
      <c r="AX192" s="300"/>
      <c r="AY192" s="300"/>
      <c r="AZ192" s="300"/>
      <c r="BA192" s="300"/>
      <c r="BB192" s="300"/>
      <c r="BC192" s="308"/>
      <c r="BG192" s="309"/>
    </row>
    <row r="193" spans="1:68">
      <c r="A193" s="301" t="s">
        <v>43</v>
      </c>
      <c r="B193" s="308">
        <f t="shared" ref="B193:AQ199" si="181">B209+B225+B241</f>
        <v>0</v>
      </c>
      <c r="C193" s="308">
        <f t="shared" si="181"/>
        <v>0</v>
      </c>
      <c r="D193" s="308">
        <f t="shared" si="181"/>
        <v>0</v>
      </c>
      <c r="E193" s="308">
        <f t="shared" si="181"/>
        <v>0</v>
      </c>
      <c r="F193" s="308">
        <f t="shared" si="181"/>
        <v>14377757</v>
      </c>
      <c r="G193" s="308">
        <f t="shared" si="181"/>
        <v>20283822</v>
      </c>
      <c r="H193" s="308">
        <f t="shared" si="181"/>
        <v>18194968</v>
      </c>
      <c r="I193" s="308">
        <f t="shared" si="181"/>
        <v>10036032</v>
      </c>
      <c r="J193" s="308">
        <f t="shared" si="181"/>
        <v>16106505</v>
      </c>
      <c r="K193" s="308">
        <f t="shared" si="181"/>
        <v>11204247</v>
      </c>
      <c r="L193" s="308">
        <f t="shared" si="181"/>
        <v>7522066</v>
      </c>
      <c r="M193" s="308">
        <f t="shared" si="181"/>
        <v>3349620</v>
      </c>
      <c r="N193" s="308">
        <f t="shared" si="181"/>
        <v>3343975</v>
      </c>
      <c r="O193" s="308">
        <f t="shared" si="181"/>
        <v>8617057</v>
      </c>
      <c r="P193" s="308">
        <f t="shared" si="181"/>
        <v>0</v>
      </c>
      <c r="Q193" s="308">
        <f t="shared" si="181"/>
        <v>0</v>
      </c>
      <c r="R193" s="307">
        <f t="shared" si="181"/>
        <v>0</v>
      </c>
      <c r="S193" s="307">
        <f t="shared" si="181"/>
        <v>0</v>
      </c>
      <c r="T193" s="307">
        <f t="shared" si="181"/>
        <v>0</v>
      </c>
      <c r="U193" s="307">
        <f t="shared" si="181"/>
        <v>0</v>
      </c>
      <c r="V193" s="307">
        <f t="shared" si="181"/>
        <v>0</v>
      </c>
      <c r="W193" s="307">
        <f t="shared" si="181"/>
        <v>0</v>
      </c>
      <c r="X193" s="307">
        <f t="shared" si="181"/>
        <v>0</v>
      </c>
      <c r="Y193" s="307">
        <f t="shared" si="181"/>
        <v>0</v>
      </c>
      <c r="Z193" s="307">
        <f t="shared" si="181"/>
        <v>0</v>
      </c>
      <c r="AA193" s="307">
        <f t="shared" si="181"/>
        <v>0</v>
      </c>
      <c r="AB193" s="307">
        <f t="shared" si="181"/>
        <v>0</v>
      </c>
      <c r="AC193" s="307">
        <f t="shared" si="181"/>
        <v>0</v>
      </c>
      <c r="AD193" s="307">
        <f t="shared" si="181"/>
        <v>0</v>
      </c>
      <c r="AE193" s="307">
        <f t="shared" si="181"/>
        <v>0</v>
      </c>
      <c r="AF193" s="307">
        <f t="shared" si="181"/>
        <v>0</v>
      </c>
      <c r="AG193" s="307">
        <f t="shared" si="181"/>
        <v>0</v>
      </c>
      <c r="AH193" s="307">
        <f t="shared" si="181"/>
        <v>0</v>
      </c>
      <c r="AI193" s="307">
        <f t="shared" si="181"/>
        <v>0</v>
      </c>
      <c r="AJ193" s="307">
        <f t="shared" si="181"/>
        <v>0</v>
      </c>
      <c r="AK193" s="307">
        <f t="shared" si="181"/>
        <v>0</v>
      </c>
      <c r="AL193" s="307">
        <f t="shared" si="181"/>
        <v>0</v>
      </c>
      <c r="AM193" s="307">
        <f t="shared" si="181"/>
        <v>0</v>
      </c>
      <c r="AN193" s="307">
        <f t="shared" si="181"/>
        <v>0</v>
      </c>
      <c r="AO193" s="307">
        <f t="shared" si="181"/>
        <v>0</v>
      </c>
      <c r="AP193" s="307">
        <f t="shared" si="181"/>
        <v>0</v>
      </c>
      <c r="AQ193" s="307">
        <f t="shared" si="181"/>
        <v>3</v>
      </c>
      <c r="AR193" s="307"/>
      <c r="AS193" s="307"/>
      <c r="AT193" s="307"/>
      <c r="AU193" s="307"/>
      <c r="AV193" s="307"/>
      <c r="AW193" s="307"/>
      <c r="AX193" s="307"/>
      <c r="AY193" s="307"/>
      <c r="AZ193" s="307"/>
      <c r="BA193" s="307"/>
      <c r="BB193" s="307"/>
      <c r="BC193" s="308"/>
      <c r="BE193" s="308">
        <v>20429208.122235797</v>
      </c>
      <c r="BF193" s="308">
        <f t="shared" ref="BF193:BF205" si="182">L193-BE193</f>
        <v>-12907142.122235797</v>
      </c>
      <c r="BG193" s="308">
        <v>9531108.9325288516</v>
      </c>
      <c r="BH193" s="308">
        <f t="shared" ref="BH193:BH205" si="183">M193-BG193</f>
        <v>-6181488.9325288516</v>
      </c>
      <c r="BI193" s="308">
        <v>6991587.5726826675</v>
      </c>
      <c r="BJ193" s="308">
        <f t="shared" ref="BJ193:BJ205" si="184">N193-BI193</f>
        <v>-3647612.5726826675</v>
      </c>
      <c r="BK193" s="308">
        <v>8657860.0476812627</v>
      </c>
      <c r="BL193" s="308">
        <f t="shared" ref="BL193:BL205" si="185">O193-BK193</f>
        <v>-40803.047681262717</v>
      </c>
      <c r="BM193" s="308">
        <v>0</v>
      </c>
      <c r="BN193" s="308">
        <f t="shared" ref="BN193:BN205" si="186">P193-BM193</f>
        <v>0</v>
      </c>
      <c r="BO193" s="308">
        <v>0</v>
      </c>
      <c r="BP193" s="308">
        <f t="shared" ref="BP193:BP205" si="187">BO193-Q193</f>
        <v>0</v>
      </c>
    </row>
    <row r="194" spans="1:68">
      <c r="A194" s="301" t="s">
        <v>44</v>
      </c>
      <c r="B194" s="308">
        <f t="shared" si="181"/>
        <v>0</v>
      </c>
      <c r="C194" s="308">
        <f t="shared" si="181"/>
        <v>0</v>
      </c>
      <c r="D194" s="308">
        <f t="shared" si="181"/>
        <v>0</v>
      </c>
      <c r="E194" s="308">
        <f t="shared" si="181"/>
        <v>0</v>
      </c>
      <c r="F194" s="308">
        <f t="shared" si="181"/>
        <v>17024957</v>
      </c>
      <c r="G194" s="308">
        <f t="shared" si="181"/>
        <v>17343807</v>
      </c>
      <c r="H194" s="308">
        <f t="shared" si="181"/>
        <v>11893961</v>
      </c>
      <c r="I194" s="308">
        <f t="shared" si="181"/>
        <v>14340426</v>
      </c>
      <c r="J194" s="308">
        <f t="shared" si="181"/>
        <v>15965986</v>
      </c>
      <c r="K194" s="308">
        <f t="shared" si="181"/>
        <v>12213425</v>
      </c>
      <c r="L194" s="308">
        <f t="shared" si="181"/>
        <v>12294771</v>
      </c>
      <c r="M194" s="308">
        <f t="shared" si="181"/>
        <v>7667389</v>
      </c>
      <c r="N194" s="308">
        <f t="shared" si="181"/>
        <v>3897288</v>
      </c>
      <c r="O194" s="308">
        <f t="shared" si="181"/>
        <v>6479058</v>
      </c>
      <c r="P194" s="308">
        <f t="shared" si="181"/>
        <v>0</v>
      </c>
      <c r="Q194" s="332">
        <f t="shared" si="181"/>
        <v>0</v>
      </c>
      <c r="R194" s="307">
        <f t="shared" si="181"/>
        <v>0</v>
      </c>
      <c r="S194" s="307">
        <f t="shared" si="181"/>
        <v>0</v>
      </c>
      <c r="T194" s="307">
        <f t="shared" si="181"/>
        <v>0</v>
      </c>
      <c r="U194" s="307">
        <f t="shared" si="181"/>
        <v>0</v>
      </c>
      <c r="V194" s="307">
        <f t="shared" si="181"/>
        <v>0</v>
      </c>
      <c r="W194" s="307">
        <f t="shared" si="181"/>
        <v>0</v>
      </c>
      <c r="X194" s="307">
        <f t="shared" si="181"/>
        <v>0</v>
      </c>
      <c r="Y194" s="307">
        <f t="shared" si="181"/>
        <v>0</v>
      </c>
      <c r="Z194" s="307">
        <f t="shared" si="181"/>
        <v>0</v>
      </c>
      <c r="AA194" s="307">
        <f t="shared" si="181"/>
        <v>0</v>
      </c>
      <c r="AB194" s="307">
        <f t="shared" si="181"/>
        <v>0</v>
      </c>
      <c r="AC194" s="307">
        <f t="shared" si="181"/>
        <v>0</v>
      </c>
      <c r="AD194" s="307">
        <f t="shared" si="181"/>
        <v>0</v>
      </c>
      <c r="AE194" s="307">
        <f t="shared" si="181"/>
        <v>0</v>
      </c>
      <c r="AF194" s="307">
        <f t="shared" si="181"/>
        <v>0</v>
      </c>
      <c r="AG194" s="307">
        <f t="shared" si="181"/>
        <v>0</v>
      </c>
      <c r="AH194" s="307">
        <f t="shared" si="181"/>
        <v>0</v>
      </c>
      <c r="AI194" s="307">
        <f t="shared" si="181"/>
        <v>0</v>
      </c>
      <c r="AJ194" s="307">
        <f t="shared" si="181"/>
        <v>0</v>
      </c>
      <c r="AK194" s="307">
        <f t="shared" si="181"/>
        <v>0</v>
      </c>
      <c r="AL194" s="307">
        <f t="shared" si="181"/>
        <v>0</v>
      </c>
      <c r="AM194" s="307">
        <f t="shared" si="181"/>
        <v>0</v>
      </c>
      <c r="AN194" s="307">
        <f t="shared" si="181"/>
        <v>0</v>
      </c>
      <c r="AO194" s="307">
        <f t="shared" si="181"/>
        <v>0</v>
      </c>
      <c r="AP194" s="307">
        <f t="shared" si="181"/>
        <v>0</v>
      </c>
      <c r="AQ194" s="307">
        <f t="shared" si="181"/>
        <v>3</v>
      </c>
      <c r="AR194" s="307"/>
      <c r="AS194" s="307"/>
      <c r="AT194" s="307"/>
      <c r="AU194" s="307"/>
      <c r="AV194" s="307"/>
      <c r="AW194" s="307"/>
      <c r="AX194" s="307"/>
      <c r="AY194" s="307"/>
      <c r="AZ194" s="307"/>
      <c r="BA194" s="307"/>
      <c r="BB194" s="307"/>
      <c r="BC194" s="308"/>
      <c r="BE194" s="308">
        <v>18340929.367690217</v>
      </c>
      <c r="BF194" s="308">
        <f t="shared" si="182"/>
        <v>-6046158.3676902167</v>
      </c>
      <c r="BG194" s="308">
        <v>6879677.3854016028</v>
      </c>
      <c r="BH194" s="308">
        <f t="shared" si="183"/>
        <v>787711.61459839717</v>
      </c>
      <c r="BI194" s="308">
        <v>9059772.193966249</v>
      </c>
      <c r="BJ194" s="308">
        <f t="shared" si="184"/>
        <v>-5162484.193966249</v>
      </c>
      <c r="BK194" s="308">
        <v>13242677.063074462</v>
      </c>
      <c r="BL194" s="308">
        <f t="shared" si="185"/>
        <v>-6763619.0630744621</v>
      </c>
      <c r="BM194" s="308">
        <v>0</v>
      </c>
      <c r="BN194" s="308">
        <f t="shared" si="186"/>
        <v>0</v>
      </c>
      <c r="BO194" s="308">
        <v>0</v>
      </c>
      <c r="BP194" s="308">
        <f t="shared" si="187"/>
        <v>0</v>
      </c>
    </row>
    <row r="195" spans="1:68">
      <c r="A195" s="301" t="s">
        <v>45</v>
      </c>
      <c r="B195" s="308">
        <f t="shared" si="181"/>
        <v>0</v>
      </c>
      <c r="C195" s="308">
        <f t="shared" si="181"/>
        <v>0</v>
      </c>
      <c r="D195" s="308">
        <f t="shared" si="181"/>
        <v>0</v>
      </c>
      <c r="E195" s="308">
        <f t="shared" si="181"/>
        <v>287085</v>
      </c>
      <c r="F195" s="308">
        <f t="shared" si="181"/>
        <v>13090192</v>
      </c>
      <c r="G195" s="308">
        <f t="shared" si="181"/>
        <v>17784451</v>
      </c>
      <c r="H195" s="308">
        <f t="shared" si="181"/>
        <v>13792993</v>
      </c>
      <c r="I195" s="308">
        <f t="shared" si="181"/>
        <v>14261532</v>
      </c>
      <c r="J195" s="308">
        <f t="shared" si="181"/>
        <v>11103450</v>
      </c>
      <c r="K195" s="308">
        <f t="shared" si="181"/>
        <v>13698457</v>
      </c>
      <c r="L195" s="308">
        <f t="shared" si="181"/>
        <v>15694167</v>
      </c>
      <c r="M195" s="308">
        <f t="shared" si="181"/>
        <v>8247110</v>
      </c>
      <c r="N195" s="308">
        <f t="shared" si="181"/>
        <v>5755615</v>
      </c>
      <c r="O195" s="308">
        <f t="shared" si="181"/>
        <v>8056525</v>
      </c>
      <c r="P195" s="308">
        <f t="shared" si="181"/>
        <v>0</v>
      </c>
      <c r="Q195" s="332">
        <f t="shared" si="181"/>
        <v>0</v>
      </c>
      <c r="R195" s="307">
        <f t="shared" si="181"/>
        <v>0</v>
      </c>
      <c r="S195" s="307">
        <f t="shared" si="181"/>
        <v>0</v>
      </c>
      <c r="T195" s="307">
        <f t="shared" si="181"/>
        <v>0</v>
      </c>
      <c r="U195" s="307">
        <f t="shared" si="181"/>
        <v>0</v>
      </c>
      <c r="V195" s="307">
        <f t="shared" si="181"/>
        <v>0</v>
      </c>
      <c r="W195" s="307">
        <f t="shared" si="181"/>
        <v>0</v>
      </c>
      <c r="X195" s="307">
        <f t="shared" si="181"/>
        <v>0</v>
      </c>
      <c r="Y195" s="307">
        <f t="shared" si="181"/>
        <v>0</v>
      </c>
      <c r="Z195" s="307">
        <f t="shared" si="181"/>
        <v>0</v>
      </c>
      <c r="AA195" s="307">
        <f t="shared" si="181"/>
        <v>0</v>
      </c>
      <c r="AB195" s="307">
        <f t="shared" si="181"/>
        <v>0</v>
      </c>
      <c r="AC195" s="307">
        <f t="shared" si="181"/>
        <v>0</v>
      </c>
      <c r="AD195" s="307">
        <f t="shared" si="181"/>
        <v>0</v>
      </c>
      <c r="AE195" s="307">
        <f t="shared" si="181"/>
        <v>0</v>
      </c>
      <c r="AF195" s="307">
        <f t="shared" si="181"/>
        <v>0</v>
      </c>
      <c r="AG195" s="307">
        <f t="shared" si="181"/>
        <v>0</v>
      </c>
      <c r="AH195" s="307">
        <f t="shared" si="181"/>
        <v>0</v>
      </c>
      <c r="AI195" s="307">
        <f t="shared" si="181"/>
        <v>0</v>
      </c>
      <c r="AJ195" s="307">
        <f t="shared" si="181"/>
        <v>0</v>
      </c>
      <c r="AK195" s="307">
        <f t="shared" si="181"/>
        <v>0</v>
      </c>
      <c r="AL195" s="307">
        <f t="shared" si="181"/>
        <v>0</v>
      </c>
      <c r="AM195" s="307">
        <f t="shared" si="181"/>
        <v>0</v>
      </c>
      <c r="AN195" s="307">
        <f t="shared" si="181"/>
        <v>0</v>
      </c>
      <c r="AO195" s="307">
        <f t="shared" si="181"/>
        <v>0</v>
      </c>
      <c r="AP195" s="307">
        <f t="shared" si="181"/>
        <v>0</v>
      </c>
      <c r="AQ195" s="307">
        <f t="shared" si="181"/>
        <v>3</v>
      </c>
      <c r="AR195" s="307"/>
      <c r="AS195" s="307"/>
      <c r="AT195" s="307"/>
      <c r="AU195" s="307"/>
      <c r="AV195" s="307"/>
      <c r="AW195" s="307"/>
      <c r="AX195" s="307"/>
      <c r="AY195" s="307"/>
      <c r="AZ195" s="307"/>
      <c r="BA195" s="307"/>
      <c r="BB195" s="307"/>
      <c r="BC195" s="308"/>
      <c r="BE195" s="308">
        <v>14254342.213196838</v>
      </c>
      <c r="BF195" s="308">
        <f t="shared" si="182"/>
        <v>1439824.7868031617</v>
      </c>
      <c r="BG195" s="308">
        <v>8076142.7931187497</v>
      </c>
      <c r="BH195" s="308">
        <f t="shared" si="183"/>
        <v>170967.20688125025</v>
      </c>
      <c r="BI195" s="308">
        <v>9135565.467050299</v>
      </c>
      <c r="BJ195" s="308">
        <f t="shared" si="184"/>
        <v>-3379950.467050299</v>
      </c>
      <c r="BK195" s="308">
        <v>6048349.6981978714</v>
      </c>
      <c r="BL195" s="308">
        <f t="shared" si="185"/>
        <v>2008175.3018021286</v>
      </c>
      <c r="BM195" s="308">
        <v>0</v>
      </c>
      <c r="BN195" s="308">
        <f t="shared" si="186"/>
        <v>0</v>
      </c>
      <c r="BO195" s="308">
        <v>0</v>
      </c>
      <c r="BP195" s="308">
        <f t="shared" si="187"/>
        <v>0</v>
      </c>
    </row>
    <row r="196" spans="1:68">
      <c r="A196" s="301" t="s">
        <v>46</v>
      </c>
      <c r="B196" s="308">
        <f t="shared" si="181"/>
        <v>0</v>
      </c>
      <c r="C196" s="308">
        <f t="shared" si="181"/>
        <v>0</v>
      </c>
      <c r="D196" s="308">
        <f t="shared" si="181"/>
        <v>0</v>
      </c>
      <c r="E196" s="308">
        <f t="shared" si="181"/>
        <v>1231</v>
      </c>
      <c r="F196" s="308">
        <f t="shared" si="181"/>
        <v>16215635</v>
      </c>
      <c r="G196" s="308">
        <f t="shared" si="181"/>
        <v>16708469</v>
      </c>
      <c r="H196" s="308">
        <f t="shared" si="181"/>
        <v>16185755</v>
      </c>
      <c r="I196" s="308">
        <f t="shared" si="181"/>
        <v>11215044</v>
      </c>
      <c r="J196" s="308">
        <f t="shared" si="181"/>
        <v>13313245</v>
      </c>
      <c r="K196" s="308">
        <f t="shared" si="181"/>
        <v>11147144</v>
      </c>
      <c r="L196" s="308">
        <f t="shared" si="181"/>
        <v>9569491</v>
      </c>
      <c r="M196" s="308">
        <f t="shared" si="181"/>
        <v>8303316</v>
      </c>
      <c r="N196" s="308">
        <f t="shared" si="181"/>
        <v>5195659</v>
      </c>
      <c r="O196" s="308">
        <f t="shared" si="181"/>
        <v>9806585</v>
      </c>
      <c r="P196" s="308">
        <f t="shared" si="181"/>
        <v>147171</v>
      </c>
      <c r="Q196" s="307">
        <f t="shared" si="181"/>
        <v>0</v>
      </c>
      <c r="R196" s="307">
        <f t="shared" si="181"/>
        <v>0</v>
      </c>
      <c r="S196" s="307">
        <f t="shared" si="181"/>
        <v>0</v>
      </c>
      <c r="T196" s="307">
        <f t="shared" si="181"/>
        <v>0</v>
      </c>
      <c r="U196" s="307">
        <f t="shared" si="181"/>
        <v>0</v>
      </c>
      <c r="V196" s="307">
        <f t="shared" si="181"/>
        <v>0</v>
      </c>
      <c r="W196" s="307">
        <f t="shared" si="181"/>
        <v>0</v>
      </c>
      <c r="X196" s="307">
        <f t="shared" si="181"/>
        <v>0</v>
      </c>
      <c r="Y196" s="307">
        <f t="shared" si="181"/>
        <v>0</v>
      </c>
      <c r="Z196" s="307">
        <f t="shared" si="181"/>
        <v>0</v>
      </c>
      <c r="AA196" s="307">
        <f t="shared" si="181"/>
        <v>0</v>
      </c>
      <c r="AB196" s="307">
        <f t="shared" si="181"/>
        <v>0</v>
      </c>
      <c r="AC196" s="307">
        <f t="shared" si="181"/>
        <v>0</v>
      </c>
      <c r="AD196" s="307">
        <f t="shared" si="181"/>
        <v>0</v>
      </c>
      <c r="AE196" s="307">
        <f t="shared" si="181"/>
        <v>0</v>
      </c>
      <c r="AF196" s="307">
        <f t="shared" si="181"/>
        <v>0</v>
      </c>
      <c r="AG196" s="307">
        <f t="shared" si="181"/>
        <v>0</v>
      </c>
      <c r="AH196" s="307">
        <f t="shared" si="181"/>
        <v>0</v>
      </c>
      <c r="AI196" s="307">
        <f t="shared" si="181"/>
        <v>0</v>
      </c>
      <c r="AJ196" s="307">
        <f t="shared" si="181"/>
        <v>0</v>
      </c>
      <c r="AK196" s="307">
        <f t="shared" si="181"/>
        <v>0</v>
      </c>
      <c r="AL196" s="307">
        <f t="shared" si="181"/>
        <v>0</v>
      </c>
      <c r="AM196" s="307">
        <f t="shared" si="181"/>
        <v>0</v>
      </c>
      <c r="AN196" s="307">
        <f t="shared" si="181"/>
        <v>0</v>
      </c>
      <c r="AO196" s="307">
        <f t="shared" si="181"/>
        <v>0</v>
      </c>
      <c r="AP196" s="307">
        <f t="shared" si="181"/>
        <v>0</v>
      </c>
      <c r="AQ196" s="307">
        <f t="shared" si="181"/>
        <v>3</v>
      </c>
      <c r="AR196" s="307"/>
      <c r="AS196" s="307"/>
      <c r="AT196" s="307"/>
      <c r="AU196" s="307"/>
      <c r="AV196" s="307"/>
      <c r="AW196" s="307"/>
      <c r="AX196" s="307"/>
      <c r="AY196" s="307"/>
      <c r="AZ196" s="307"/>
      <c r="BA196" s="307"/>
      <c r="BB196" s="307"/>
      <c r="BC196" s="308"/>
      <c r="BE196" s="308">
        <v>13845445.369732257</v>
      </c>
      <c r="BF196" s="308">
        <f t="shared" si="182"/>
        <v>-4275954.369732257</v>
      </c>
      <c r="BG196" s="308">
        <v>6390524.1879453352</v>
      </c>
      <c r="BH196" s="308">
        <f t="shared" si="183"/>
        <v>1912791.8120546648</v>
      </c>
      <c r="BI196" s="308">
        <v>8764394.2108289413</v>
      </c>
      <c r="BJ196" s="308">
        <f t="shared" si="184"/>
        <v>-3568735.2108289413</v>
      </c>
      <c r="BK196" s="308">
        <v>5635357.4836564809</v>
      </c>
      <c r="BL196" s="308">
        <f t="shared" si="185"/>
        <v>4171227.5163435191</v>
      </c>
      <c r="BM196" s="308">
        <v>147171</v>
      </c>
      <c r="BN196" s="308">
        <f t="shared" si="186"/>
        <v>0</v>
      </c>
      <c r="BO196" s="308">
        <v>0</v>
      </c>
      <c r="BP196" s="308">
        <f t="shared" si="187"/>
        <v>0</v>
      </c>
    </row>
    <row r="197" spans="1:68">
      <c r="A197" s="301" t="s">
        <v>47</v>
      </c>
      <c r="B197" s="308">
        <f t="shared" si="181"/>
        <v>0</v>
      </c>
      <c r="C197" s="308">
        <f t="shared" si="181"/>
        <v>0</v>
      </c>
      <c r="D197" s="308">
        <f t="shared" si="181"/>
        <v>0</v>
      </c>
      <c r="E197" s="308">
        <f t="shared" si="181"/>
        <v>13158240</v>
      </c>
      <c r="F197" s="308">
        <f t="shared" si="181"/>
        <v>10011854</v>
      </c>
      <c r="G197" s="308">
        <f t="shared" si="181"/>
        <v>11345644</v>
      </c>
      <c r="H197" s="308">
        <f t="shared" si="181"/>
        <v>15898671</v>
      </c>
      <c r="I197" s="308">
        <f t="shared" si="181"/>
        <v>9983085</v>
      </c>
      <c r="J197" s="308">
        <f t="shared" si="181"/>
        <v>7583782</v>
      </c>
      <c r="K197" s="308">
        <f t="shared" si="181"/>
        <v>7077536</v>
      </c>
      <c r="L197" s="308">
        <f t="shared" si="181"/>
        <v>3359379</v>
      </c>
      <c r="M197" s="308">
        <f t="shared" si="181"/>
        <v>7621057</v>
      </c>
      <c r="N197" s="308">
        <f t="shared" si="181"/>
        <v>6307163</v>
      </c>
      <c r="O197" s="308">
        <f t="shared" si="181"/>
        <v>13559175</v>
      </c>
      <c r="P197" s="308">
        <f t="shared" si="181"/>
        <v>0</v>
      </c>
      <c r="Q197" s="307">
        <f t="shared" si="181"/>
        <v>0</v>
      </c>
      <c r="R197" s="307">
        <f t="shared" si="181"/>
        <v>0</v>
      </c>
      <c r="S197" s="307">
        <f t="shared" si="181"/>
        <v>0</v>
      </c>
      <c r="T197" s="307">
        <f t="shared" si="181"/>
        <v>0</v>
      </c>
      <c r="U197" s="307">
        <f t="shared" si="181"/>
        <v>0</v>
      </c>
      <c r="V197" s="307">
        <f t="shared" si="181"/>
        <v>0</v>
      </c>
      <c r="W197" s="307">
        <f t="shared" si="181"/>
        <v>0</v>
      </c>
      <c r="X197" s="307">
        <f t="shared" si="181"/>
        <v>0</v>
      </c>
      <c r="Y197" s="307">
        <f t="shared" si="181"/>
        <v>0</v>
      </c>
      <c r="Z197" s="307">
        <f t="shared" si="181"/>
        <v>0</v>
      </c>
      <c r="AA197" s="307">
        <f t="shared" si="181"/>
        <v>0</v>
      </c>
      <c r="AB197" s="307">
        <f t="shared" si="181"/>
        <v>0</v>
      </c>
      <c r="AC197" s="307">
        <f t="shared" si="181"/>
        <v>0</v>
      </c>
      <c r="AD197" s="307">
        <f t="shared" si="181"/>
        <v>0</v>
      </c>
      <c r="AE197" s="307">
        <f t="shared" si="181"/>
        <v>0</v>
      </c>
      <c r="AF197" s="307">
        <f t="shared" si="181"/>
        <v>0</v>
      </c>
      <c r="AG197" s="307">
        <f t="shared" si="181"/>
        <v>0</v>
      </c>
      <c r="AH197" s="307">
        <f t="shared" si="181"/>
        <v>0</v>
      </c>
      <c r="AI197" s="307">
        <f t="shared" si="181"/>
        <v>0</v>
      </c>
      <c r="AJ197" s="307">
        <f t="shared" si="181"/>
        <v>0</v>
      </c>
      <c r="AK197" s="307">
        <f t="shared" si="181"/>
        <v>0</v>
      </c>
      <c r="AL197" s="307">
        <f t="shared" si="181"/>
        <v>0</v>
      </c>
      <c r="AM197" s="307">
        <f t="shared" si="181"/>
        <v>0</v>
      </c>
      <c r="AN197" s="307">
        <f t="shared" si="181"/>
        <v>0</v>
      </c>
      <c r="AO197" s="307">
        <f t="shared" si="181"/>
        <v>0</v>
      </c>
      <c r="AP197" s="307">
        <f t="shared" si="181"/>
        <v>0</v>
      </c>
      <c r="AQ197" s="307">
        <f t="shared" si="181"/>
        <v>3</v>
      </c>
      <c r="AR197" s="307"/>
      <c r="AS197" s="307"/>
      <c r="AT197" s="307"/>
      <c r="AU197" s="307"/>
      <c r="AV197" s="307"/>
      <c r="AW197" s="307"/>
      <c r="AX197" s="307"/>
      <c r="AY197" s="307"/>
      <c r="AZ197" s="307"/>
      <c r="BA197" s="307"/>
      <c r="BB197" s="307"/>
      <c r="BC197" s="308"/>
      <c r="BE197" s="308">
        <v>10478245.578399953</v>
      </c>
      <c r="BF197" s="308">
        <f t="shared" si="182"/>
        <v>-7118866.5783999525</v>
      </c>
      <c r="BG197" s="308">
        <v>8324837.4281537533</v>
      </c>
      <c r="BH197" s="308">
        <f t="shared" si="183"/>
        <v>-703780.42815375328</v>
      </c>
      <c r="BI197" s="308">
        <v>6637319.9508970715</v>
      </c>
      <c r="BJ197" s="308">
        <f t="shared" si="184"/>
        <v>-330156.95089707151</v>
      </c>
      <c r="BK197" s="308">
        <v>9789342.6385954842</v>
      </c>
      <c r="BL197" s="308">
        <f t="shared" si="185"/>
        <v>3769832.3614045158</v>
      </c>
      <c r="BM197" s="308">
        <v>0</v>
      </c>
      <c r="BN197" s="308">
        <f t="shared" si="186"/>
        <v>0</v>
      </c>
      <c r="BO197" s="308">
        <v>0</v>
      </c>
      <c r="BP197" s="308">
        <f t="shared" si="187"/>
        <v>0</v>
      </c>
    </row>
    <row r="198" spans="1:68">
      <c r="A198" s="301" t="s">
        <v>48</v>
      </c>
      <c r="B198" s="308">
        <f t="shared" si="181"/>
        <v>0</v>
      </c>
      <c r="C198" s="308">
        <f t="shared" si="181"/>
        <v>0</v>
      </c>
      <c r="D198" s="308">
        <f t="shared" si="181"/>
        <v>0</v>
      </c>
      <c r="E198" s="308">
        <f t="shared" si="181"/>
        <v>11275975</v>
      </c>
      <c r="F198" s="308">
        <f t="shared" si="181"/>
        <v>11809012</v>
      </c>
      <c r="G198" s="308">
        <f t="shared" si="181"/>
        <v>12505894</v>
      </c>
      <c r="H198" s="308">
        <f t="shared" si="181"/>
        <v>8337763</v>
      </c>
      <c r="I198" s="308">
        <f t="shared" si="181"/>
        <v>11129728</v>
      </c>
      <c r="J198" s="308">
        <f t="shared" si="181"/>
        <v>5696491</v>
      </c>
      <c r="K198" s="308">
        <f t="shared" si="181"/>
        <v>7042609</v>
      </c>
      <c r="L198" s="308">
        <f t="shared" si="181"/>
        <v>4818122</v>
      </c>
      <c r="M198" s="308">
        <f t="shared" si="181"/>
        <v>9134196</v>
      </c>
      <c r="N198" s="308">
        <f t="shared" si="181"/>
        <v>3215445</v>
      </c>
      <c r="O198" s="308">
        <f t="shared" si="181"/>
        <v>7110155</v>
      </c>
      <c r="P198" s="308">
        <f t="shared" si="181"/>
        <v>0</v>
      </c>
      <c r="Q198" s="307">
        <f t="shared" si="181"/>
        <v>0</v>
      </c>
      <c r="R198" s="307">
        <f t="shared" si="181"/>
        <v>0</v>
      </c>
      <c r="S198" s="307">
        <f t="shared" si="181"/>
        <v>0</v>
      </c>
      <c r="T198" s="307">
        <f t="shared" si="181"/>
        <v>0</v>
      </c>
      <c r="U198" s="307">
        <f t="shared" si="181"/>
        <v>0</v>
      </c>
      <c r="V198" s="307">
        <f t="shared" si="181"/>
        <v>0</v>
      </c>
      <c r="W198" s="307">
        <f t="shared" si="181"/>
        <v>0</v>
      </c>
      <c r="X198" s="307">
        <f t="shared" si="181"/>
        <v>0</v>
      </c>
      <c r="Y198" s="307">
        <f t="shared" si="181"/>
        <v>0</v>
      </c>
      <c r="Z198" s="307">
        <f t="shared" si="181"/>
        <v>0</v>
      </c>
      <c r="AA198" s="307">
        <f t="shared" si="181"/>
        <v>0</v>
      </c>
      <c r="AB198" s="307">
        <f t="shared" si="181"/>
        <v>0</v>
      </c>
      <c r="AC198" s="307">
        <f t="shared" si="181"/>
        <v>0</v>
      </c>
      <c r="AD198" s="307">
        <f t="shared" si="181"/>
        <v>0</v>
      </c>
      <c r="AE198" s="307">
        <f t="shared" si="181"/>
        <v>0</v>
      </c>
      <c r="AF198" s="307">
        <f t="shared" si="181"/>
        <v>0</v>
      </c>
      <c r="AG198" s="307">
        <f t="shared" si="181"/>
        <v>0</v>
      </c>
      <c r="AH198" s="307">
        <f t="shared" si="181"/>
        <v>0</v>
      </c>
      <c r="AI198" s="307">
        <f t="shared" si="181"/>
        <v>0</v>
      </c>
      <c r="AJ198" s="307">
        <f t="shared" si="181"/>
        <v>0</v>
      </c>
      <c r="AK198" s="307">
        <f t="shared" si="181"/>
        <v>0</v>
      </c>
      <c r="AL198" s="307">
        <f t="shared" si="181"/>
        <v>0</v>
      </c>
      <c r="AM198" s="307">
        <f t="shared" si="181"/>
        <v>0</v>
      </c>
      <c r="AN198" s="307">
        <f t="shared" si="181"/>
        <v>0</v>
      </c>
      <c r="AO198" s="307">
        <f t="shared" si="181"/>
        <v>0</v>
      </c>
      <c r="AP198" s="307">
        <f t="shared" si="181"/>
        <v>0</v>
      </c>
      <c r="AQ198" s="307">
        <f t="shared" si="181"/>
        <v>3</v>
      </c>
      <c r="AR198" s="307"/>
      <c r="AS198" s="307"/>
      <c r="AT198" s="307"/>
      <c r="AU198" s="307"/>
      <c r="AV198" s="307"/>
      <c r="AW198" s="307"/>
      <c r="AX198" s="307"/>
      <c r="AY198" s="307"/>
      <c r="AZ198" s="307"/>
      <c r="BA198" s="307"/>
      <c r="BB198" s="307"/>
      <c r="BC198" s="308"/>
      <c r="BE198" s="308">
        <v>14141685.982109463</v>
      </c>
      <c r="BF198" s="308">
        <f t="shared" si="182"/>
        <v>-9323563.9821094628</v>
      </c>
      <c r="BG198" s="308">
        <v>8178441.4440162061</v>
      </c>
      <c r="BH198" s="308">
        <f t="shared" si="183"/>
        <v>955754.55598379392</v>
      </c>
      <c r="BI198" s="308">
        <v>7892389.8690908048</v>
      </c>
      <c r="BJ198" s="308">
        <f t="shared" si="184"/>
        <v>-4676944.8690908048</v>
      </c>
      <c r="BK198" s="308">
        <v>9025498.2477976847</v>
      </c>
      <c r="BL198" s="308">
        <f t="shared" si="185"/>
        <v>-1915343.2477976847</v>
      </c>
      <c r="BM198" s="308">
        <v>0</v>
      </c>
      <c r="BN198" s="308">
        <f t="shared" si="186"/>
        <v>0</v>
      </c>
      <c r="BO198" s="308">
        <v>0</v>
      </c>
      <c r="BP198" s="308">
        <f t="shared" si="187"/>
        <v>0</v>
      </c>
    </row>
    <row r="199" spans="1:68">
      <c r="A199" s="301" t="s">
        <v>49</v>
      </c>
      <c r="B199" s="308">
        <f t="shared" si="181"/>
        <v>0</v>
      </c>
      <c r="C199" s="308">
        <f t="shared" si="181"/>
        <v>0</v>
      </c>
      <c r="D199" s="308">
        <f t="shared" si="181"/>
        <v>0</v>
      </c>
      <c r="E199" s="308">
        <f t="shared" ref="B199:AQ204" si="188">E215+E231+E247</f>
        <v>16695520</v>
      </c>
      <c r="F199" s="308">
        <f t="shared" si="188"/>
        <v>13348497</v>
      </c>
      <c r="G199" s="308">
        <f t="shared" si="188"/>
        <v>18809335</v>
      </c>
      <c r="H199" s="308">
        <f t="shared" si="188"/>
        <v>10599963</v>
      </c>
      <c r="I199" s="308">
        <f t="shared" si="188"/>
        <v>12209587</v>
      </c>
      <c r="J199" s="308">
        <f t="shared" si="188"/>
        <v>9663570</v>
      </c>
      <c r="K199" s="308">
        <f t="shared" si="188"/>
        <v>8510192</v>
      </c>
      <c r="L199" s="308">
        <f t="shared" si="188"/>
        <v>489120</v>
      </c>
      <c r="M199" s="308">
        <f t="shared" si="188"/>
        <v>297461</v>
      </c>
      <c r="N199" s="308">
        <f t="shared" si="188"/>
        <v>3668631</v>
      </c>
      <c r="O199" s="308">
        <f t="shared" si="188"/>
        <v>5425151</v>
      </c>
      <c r="P199" s="308">
        <f t="shared" si="188"/>
        <v>0</v>
      </c>
      <c r="Q199" s="307">
        <f t="shared" si="188"/>
        <v>0</v>
      </c>
      <c r="R199" s="307">
        <f t="shared" si="188"/>
        <v>0</v>
      </c>
      <c r="S199" s="307">
        <f t="shared" si="188"/>
        <v>0</v>
      </c>
      <c r="T199" s="307">
        <f t="shared" si="188"/>
        <v>0</v>
      </c>
      <c r="U199" s="307">
        <f t="shared" si="188"/>
        <v>0</v>
      </c>
      <c r="V199" s="307">
        <f t="shared" si="188"/>
        <v>0</v>
      </c>
      <c r="W199" s="307">
        <f t="shared" si="188"/>
        <v>0</v>
      </c>
      <c r="X199" s="307">
        <f t="shared" si="188"/>
        <v>0</v>
      </c>
      <c r="Y199" s="307">
        <f t="shared" si="188"/>
        <v>0</v>
      </c>
      <c r="Z199" s="307">
        <f t="shared" si="188"/>
        <v>0</v>
      </c>
      <c r="AA199" s="307">
        <f t="shared" si="188"/>
        <v>0</v>
      </c>
      <c r="AB199" s="307">
        <f t="shared" si="188"/>
        <v>0</v>
      </c>
      <c r="AC199" s="307">
        <f t="shared" si="188"/>
        <v>0</v>
      </c>
      <c r="AD199" s="307">
        <f t="shared" si="188"/>
        <v>0</v>
      </c>
      <c r="AE199" s="307">
        <f t="shared" si="188"/>
        <v>0</v>
      </c>
      <c r="AF199" s="307">
        <f t="shared" si="188"/>
        <v>0</v>
      </c>
      <c r="AG199" s="307">
        <f t="shared" si="188"/>
        <v>0</v>
      </c>
      <c r="AH199" s="307">
        <f t="shared" si="188"/>
        <v>0</v>
      </c>
      <c r="AI199" s="307">
        <f t="shared" si="188"/>
        <v>0</v>
      </c>
      <c r="AJ199" s="307">
        <f t="shared" si="188"/>
        <v>0</v>
      </c>
      <c r="AK199" s="307">
        <f t="shared" si="188"/>
        <v>0</v>
      </c>
      <c r="AL199" s="307">
        <f t="shared" si="188"/>
        <v>0</v>
      </c>
      <c r="AM199" s="307">
        <f t="shared" si="188"/>
        <v>0</v>
      </c>
      <c r="AN199" s="307">
        <f t="shared" si="188"/>
        <v>0</v>
      </c>
      <c r="AO199" s="307">
        <f t="shared" si="188"/>
        <v>0</v>
      </c>
      <c r="AP199" s="307">
        <f t="shared" si="188"/>
        <v>0</v>
      </c>
      <c r="AQ199" s="307">
        <f t="shared" si="188"/>
        <v>3</v>
      </c>
      <c r="AR199" s="307"/>
      <c r="AS199" s="307"/>
      <c r="AT199" s="307"/>
      <c r="AU199" s="307"/>
      <c r="AV199" s="307"/>
      <c r="AW199" s="307"/>
      <c r="AX199" s="307"/>
      <c r="AY199" s="307"/>
      <c r="AZ199" s="307"/>
      <c r="BA199" s="307"/>
      <c r="BB199" s="307"/>
      <c r="BC199" s="308"/>
      <c r="BE199" s="308">
        <v>5602989.3309107851</v>
      </c>
      <c r="BF199" s="308">
        <f t="shared" si="182"/>
        <v>-5113869.3309107851</v>
      </c>
      <c r="BG199" s="308">
        <v>8434007.6760412492</v>
      </c>
      <c r="BH199" s="308">
        <f t="shared" si="183"/>
        <v>-8136546.6760412492</v>
      </c>
      <c r="BI199" s="308">
        <v>3383875.9792463453</v>
      </c>
      <c r="BJ199" s="308">
        <f t="shared" si="184"/>
        <v>284755.02075365465</v>
      </c>
      <c r="BK199" s="308">
        <v>9967690.2176618353</v>
      </c>
      <c r="BL199" s="308">
        <f t="shared" si="185"/>
        <v>-4542539.2176618353</v>
      </c>
      <c r="BM199" s="309">
        <v>0</v>
      </c>
      <c r="BN199" s="308">
        <f t="shared" si="186"/>
        <v>0</v>
      </c>
      <c r="BO199" s="308">
        <v>0</v>
      </c>
      <c r="BP199" s="308">
        <f t="shared" si="187"/>
        <v>0</v>
      </c>
    </row>
    <row r="200" spans="1:68">
      <c r="A200" s="301" t="s">
        <v>50</v>
      </c>
      <c r="B200" s="308">
        <f t="shared" si="188"/>
        <v>0</v>
      </c>
      <c r="C200" s="308">
        <f t="shared" si="188"/>
        <v>0</v>
      </c>
      <c r="D200" s="308">
        <f t="shared" si="188"/>
        <v>0</v>
      </c>
      <c r="E200" s="308">
        <f t="shared" si="188"/>
        <v>13312037</v>
      </c>
      <c r="F200" s="308">
        <f t="shared" si="188"/>
        <v>20042904</v>
      </c>
      <c r="G200" s="308">
        <f t="shared" si="188"/>
        <v>15188759</v>
      </c>
      <c r="H200" s="308">
        <f t="shared" si="188"/>
        <v>15674900</v>
      </c>
      <c r="I200" s="308">
        <f t="shared" si="188"/>
        <v>16880454</v>
      </c>
      <c r="J200" s="308">
        <f t="shared" si="188"/>
        <v>8424380</v>
      </c>
      <c r="K200" s="308">
        <f t="shared" si="188"/>
        <v>7004305</v>
      </c>
      <c r="L200" s="308">
        <f t="shared" si="188"/>
        <v>669259</v>
      </c>
      <c r="M200" s="308">
        <f t="shared" si="188"/>
        <v>2657386</v>
      </c>
      <c r="N200" s="308">
        <f t="shared" si="188"/>
        <v>1964127</v>
      </c>
      <c r="O200" s="308">
        <f t="shared" si="188"/>
        <v>220964</v>
      </c>
      <c r="P200" s="308">
        <f t="shared" si="188"/>
        <v>0</v>
      </c>
      <c r="Q200" s="307">
        <f t="shared" si="188"/>
        <v>0</v>
      </c>
      <c r="R200" s="307">
        <f t="shared" si="188"/>
        <v>0</v>
      </c>
      <c r="S200" s="307">
        <f t="shared" si="188"/>
        <v>0</v>
      </c>
      <c r="T200" s="307">
        <f t="shared" si="188"/>
        <v>0</v>
      </c>
      <c r="U200" s="307">
        <f t="shared" si="188"/>
        <v>0</v>
      </c>
      <c r="V200" s="307">
        <f t="shared" si="188"/>
        <v>0</v>
      </c>
      <c r="W200" s="307">
        <f t="shared" si="188"/>
        <v>0</v>
      </c>
      <c r="X200" s="307">
        <f t="shared" si="188"/>
        <v>0</v>
      </c>
      <c r="Y200" s="307">
        <f t="shared" si="188"/>
        <v>0</v>
      </c>
      <c r="Z200" s="307">
        <f t="shared" si="188"/>
        <v>0</v>
      </c>
      <c r="AA200" s="307">
        <f t="shared" si="188"/>
        <v>0</v>
      </c>
      <c r="AB200" s="307">
        <f t="shared" si="188"/>
        <v>0</v>
      </c>
      <c r="AC200" s="307">
        <f t="shared" si="188"/>
        <v>0</v>
      </c>
      <c r="AD200" s="307">
        <f t="shared" si="188"/>
        <v>0</v>
      </c>
      <c r="AE200" s="307">
        <f t="shared" si="188"/>
        <v>0</v>
      </c>
      <c r="AF200" s="307">
        <f t="shared" si="188"/>
        <v>0</v>
      </c>
      <c r="AG200" s="307">
        <f t="shared" si="188"/>
        <v>0</v>
      </c>
      <c r="AH200" s="307">
        <f t="shared" si="188"/>
        <v>0</v>
      </c>
      <c r="AI200" s="307">
        <f t="shared" si="188"/>
        <v>0</v>
      </c>
      <c r="AJ200" s="307">
        <f t="shared" si="188"/>
        <v>0</v>
      </c>
      <c r="AK200" s="307">
        <f t="shared" si="188"/>
        <v>0</v>
      </c>
      <c r="AL200" s="307">
        <f t="shared" si="188"/>
        <v>0</v>
      </c>
      <c r="AM200" s="307">
        <f t="shared" si="188"/>
        <v>0</v>
      </c>
      <c r="AN200" s="307">
        <f t="shared" si="188"/>
        <v>0</v>
      </c>
      <c r="AO200" s="307">
        <f t="shared" si="188"/>
        <v>0</v>
      </c>
      <c r="AP200" s="307">
        <f t="shared" si="188"/>
        <v>0</v>
      </c>
      <c r="AQ200" s="307">
        <f t="shared" si="188"/>
        <v>3</v>
      </c>
      <c r="AR200" s="307"/>
      <c r="AS200" s="307"/>
      <c r="AT200" s="307"/>
      <c r="AU200" s="307"/>
      <c r="AV200" s="307"/>
      <c r="AW200" s="307"/>
      <c r="AX200" s="307"/>
      <c r="AY200" s="307"/>
      <c r="AZ200" s="307"/>
      <c r="BA200" s="307"/>
      <c r="BB200" s="307"/>
      <c r="BC200" s="308"/>
      <c r="BE200" s="308">
        <v>5788610.5557820592</v>
      </c>
      <c r="BF200" s="308">
        <f t="shared" si="182"/>
        <v>-5119351.5557820592</v>
      </c>
      <c r="BG200" s="308">
        <v>9076519.211060686</v>
      </c>
      <c r="BH200" s="308">
        <f t="shared" si="183"/>
        <v>-6419133.211060686</v>
      </c>
      <c r="BI200" s="308">
        <v>4891821.145523373</v>
      </c>
      <c r="BJ200" s="308">
        <f t="shared" si="184"/>
        <v>-2927694.145523373</v>
      </c>
      <c r="BK200" s="308">
        <v>4969929.8991743345</v>
      </c>
      <c r="BL200" s="308">
        <f t="shared" si="185"/>
        <v>-4748965.8991743345</v>
      </c>
      <c r="BM200" s="309">
        <v>0</v>
      </c>
      <c r="BN200" s="308">
        <f t="shared" si="186"/>
        <v>0</v>
      </c>
      <c r="BO200" s="308">
        <v>0</v>
      </c>
      <c r="BP200" s="308">
        <f t="shared" si="187"/>
        <v>0</v>
      </c>
    </row>
    <row r="201" spans="1:68">
      <c r="A201" s="301" t="s">
        <v>51</v>
      </c>
      <c r="B201" s="308">
        <f t="shared" si="188"/>
        <v>0</v>
      </c>
      <c r="C201" s="308">
        <f t="shared" si="188"/>
        <v>0</v>
      </c>
      <c r="D201" s="308">
        <f t="shared" si="188"/>
        <v>0</v>
      </c>
      <c r="E201" s="308">
        <f t="shared" si="188"/>
        <v>17627473</v>
      </c>
      <c r="F201" s="308">
        <f t="shared" si="188"/>
        <v>0</v>
      </c>
      <c r="G201" s="308">
        <f t="shared" si="188"/>
        <v>19282688</v>
      </c>
      <c r="H201" s="308">
        <f t="shared" si="188"/>
        <v>10536198</v>
      </c>
      <c r="I201" s="308">
        <f t="shared" si="188"/>
        <v>11866285</v>
      </c>
      <c r="J201" s="308">
        <f t="shared" si="188"/>
        <v>5862786</v>
      </c>
      <c r="K201" s="308">
        <f t="shared" si="188"/>
        <v>4804630</v>
      </c>
      <c r="L201" s="308">
        <f t="shared" si="188"/>
        <v>2648536</v>
      </c>
      <c r="M201" s="308">
        <f t="shared" si="188"/>
        <v>7175485</v>
      </c>
      <c r="N201" s="308">
        <f t="shared" si="188"/>
        <v>7728864</v>
      </c>
      <c r="O201" s="308">
        <f t="shared" si="188"/>
        <v>408127</v>
      </c>
      <c r="P201" s="308">
        <f t="shared" si="188"/>
        <v>0</v>
      </c>
      <c r="Q201" s="307">
        <f t="shared" si="188"/>
        <v>0</v>
      </c>
      <c r="R201" s="307">
        <f t="shared" si="188"/>
        <v>0</v>
      </c>
      <c r="S201" s="307">
        <f t="shared" si="188"/>
        <v>0</v>
      </c>
      <c r="T201" s="307">
        <f t="shared" si="188"/>
        <v>0</v>
      </c>
      <c r="U201" s="307">
        <f t="shared" si="188"/>
        <v>0</v>
      </c>
      <c r="V201" s="307">
        <f t="shared" si="188"/>
        <v>0</v>
      </c>
      <c r="W201" s="307">
        <f t="shared" si="188"/>
        <v>0</v>
      </c>
      <c r="X201" s="307">
        <f t="shared" si="188"/>
        <v>0</v>
      </c>
      <c r="Y201" s="307">
        <f t="shared" si="188"/>
        <v>0</v>
      </c>
      <c r="Z201" s="307">
        <f t="shared" si="188"/>
        <v>0</v>
      </c>
      <c r="AA201" s="307">
        <f t="shared" si="188"/>
        <v>0</v>
      </c>
      <c r="AB201" s="307">
        <f t="shared" si="188"/>
        <v>0</v>
      </c>
      <c r="AC201" s="307">
        <f t="shared" si="188"/>
        <v>0</v>
      </c>
      <c r="AD201" s="307">
        <f t="shared" si="188"/>
        <v>0</v>
      </c>
      <c r="AE201" s="307">
        <f t="shared" si="188"/>
        <v>0</v>
      </c>
      <c r="AF201" s="307">
        <f t="shared" si="188"/>
        <v>0</v>
      </c>
      <c r="AG201" s="307">
        <f t="shared" si="188"/>
        <v>0</v>
      </c>
      <c r="AH201" s="307">
        <f t="shared" si="188"/>
        <v>0</v>
      </c>
      <c r="AI201" s="307">
        <f t="shared" si="188"/>
        <v>0</v>
      </c>
      <c r="AJ201" s="307">
        <f t="shared" si="188"/>
        <v>0</v>
      </c>
      <c r="AK201" s="307">
        <f t="shared" si="188"/>
        <v>0</v>
      </c>
      <c r="AL201" s="307">
        <f t="shared" si="188"/>
        <v>0</v>
      </c>
      <c r="AM201" s="307">
        <f t="shared" si="188"/>
        <v>0</v>
      </c>
      <c r="AN201" s="307">
        <f t="shared" si="188"/>
        <v>0</v>
      </c>
      <c r="AO201" s="307">
        <f t="shared" si="188"/>
        <v>0</v>
      </c>
      <c r="AP201" s="307">
        <f t="shared" si="188"/>
        <v>0</v>
      </c>
      <c r="AQ201" s="307">
        <f t="shared" si="188"/>
        <v>3</v>
      </c>
      <c r="AR201" s="307"/>
      <c r="AS201" s="307"/>
      <c r="AT201" s="307"/>
      <c r="AU201" s="307"/>
      <c r="AV201" s="307"/>
      <c r="AW201" s="307"/>
      <c r="AX201" s="307"/>
      <c r="AY201" s="307"/>
      <c r="AZ201" s="307"/>
      <c r="BA201" s="307"/>
      <c r="BB201" s="307"/>
      <c r="BC201" s="308"/>
      <c r="BE201" s="308">
        <v>5397951.1818467844</v>
      </c>
      <c r="BF201" s="308">
        <f t="shared" si="182"/>
        <v>-2749415.1818467844</v>
      </c>
      <c r="BG201" s="308">
        <v>8310965.8318651151</v>
      </c>
      <c r="BH201" s="308">
        <f t="shared" si="183"/>
        <v>-1135480.8318651151</v>
      </c>
      <c r="BI201" s="308">
        <v>2076036.0318643972</v>
      </c>
      <c r="BJ201" s="308">
        <f t="shared" si="184"/>
        <v>5652827.9681356028</v>
      </c>
      <c r="BK201" s="308">
        <v>6769140.6055476917</v>
      </c>
      <c r="BL201" s="308">
        <f t="shared" si="185"/>
        <v>-6361013.6055476917</v>
      </c>
      <c r="BM201" s="309">
        <v>0</v>
      </c>
      <c r="BN201" s="308">
        <f t="shared" si="186"/>
        <v>0</v>
      </c>
      <c r="BO201" s="308">
        <v>0</v>
      </c>
      <c r="BP201" s="308">
        <f t="shared" si="187"/>
        <v>0</v>
      </c>
    </row>
    <row r="202" spans="1:68">
      <c r="A202" s="301" t="s">
        <v>52</v>
      </c>
      <c r="B202" s="308">
        <f t="shared" si="188"/>
        <v>0</v>
      </c>
      <c r="C202" s="308">
        <f t="shared" si="188"/>
        <v>0</v>
      </c>
      <c r="D202" s="308">
        <f t="shared" si="188"/>
        <v>0</v>
      </c>
      <c r="E202" s="308">
        <f t="shared" si="188"/>
        <v>14839972</v>
      </c>
      <c r="F202" s="308">
        <f t="shared" si="188"/>
        <v>469202</v>
      </c>
      <c r="G202" s="308">
        <f t="shared" si="188"/>
        <v>20692996</v>
      </c>
      <c r="H202" s="308">
        <f t="shared" si="188"/>
        <v>18084721</v>
      </c>
      <c r="I202" s="308">
        <f t="shared" si="188"/>
        <v>16022393</v>
      </c>
      <c r="J202" s="308">
        <f t="shared" si="188"/>
        <v>0</v>
      </c>
      <c r="K202" s="308">
        <f t="shared" si="188"/>
        <v>10750499</v>
      </c>
      <c r="L202" s="308">
        <f t="shared" si="188"/>
        <v>8975255</v>
      </c>
      <c r="M202" s="308">
        <f t="shared" si="188"/>
        <v>10704972</v>
      </c>
      <c r="N202" s="308">
        <f t="shared" si="188"/>
        <v>13115811</v>
      </c>
      <c r="O202" s="308">
        <f t="shared" si="188"/>
        <v>4124</v>
      </c>
      <c r="P202" s="308">
        <f t="shared" si="188"/>
        <v>0</v>
      </c>
      <c r="Q202" s="307">
        <f t="shared" si="188"/>
        <v>0</v>
      </c>
      <c r="R202" s="307">
        <f t="shared" si="188"/>
        <v>0</v>
      </c>
      <c r="S202" s="307">
        <f t="shared" si="188"/>
        <v>0</v>
      </c>
      <c r="T202" s="307">
        <f t="shared" si="188"/>
        <v>0</v>
      </c>
      <c r="U202" s="307">
        <f t="shared" si="188"/>
        <v>0</v>
      </c>
      <c r="V202" s="307">
        <f t="shared" si="188"/>
        <v>0</v>
      </c>
      <c r="W202" s="307">
        <f t="shared" si="188"/>
        <v>0</v>
      </c>
      <c r="X202" s="307">
        <f t="shared" si="188"/>
        <v>0</v>
      </c>
      <c r="Y202" s="307">
        <f t="shared" si="188"/>
        <v>0</v>
      </c>
      <c r="Z202" s="307">
        <f t="shared" si="188"/>
        <v>0</v>
      </c>
      <c r="AA202" s="307">
        <f t="shared" si="188"/>
        <v>0</v>
      </c>
      <c r="AB202" s="307">
        <f t="shared" si="188"/>
        <v>0</v>
      </c>
      <c r="AC202" s="307">
        <f t="shared" si="188"/>
        <v>0</v>
      </c>
      <c r="AD202" s="307">
        <f t="shared" si="188"/>
        <v>0</v>
      </c>
      <c r="AE202" s="307">
        <f t="shared" si="188"/>
        <v>0</v>
      </c>
      <c r="AF202" s="307">
        <f t="shared" si="188"/>
        <v>0</v>
      </c>
      <c r="AG202" s="307">
        <f t="shared" si="188"/>
        <v>0</v>
      </c>
      <c r="AH202" s="307">
        <f t="shared" si="188"/>
        <v>0</v>
      </c>
      <c r="AI202" s="307">
        <f t="shared" si="188"/>
        <v>0</v>
      </c>
      <c r="AJ202" s="307">
        <f t="shared" si="188"/>
        <v>0</v>
      </c>
      <c r="AK202" s="307">
        <f t="shared" si="188"/>
        <v>0</v>
      </c>
      <c r="AL202" s="307">
        <f t="shared" si="188"/>
        <v>0</v>
      </c>
      <c r="AM202" s="307">
        <f t="shared" si="188"/>
        <v>0</v>
      </c>
      <c r="AN202" s="307">
        <f t="shared" si="188"/>
        <v>0</v>
      </c>
      <c r="AO202" s="307">
        <f t="shared" si="188"/>
        <v>0</v>
      </c>
      <c r="AP202" s="307">
        <f t="shared" si="188"/>
        <v>0</v>
      </c>
      <c r="AQ202" s="307">
        <f t="shared" si="188"/>
        <v>3</v>
      </c>
      <c r="AR202" s="307"/>
      <c r="AS202" s="307"/>
      <c r="AT202" s="307"/>
      <c r="AU202" s="307"/>
      <c r="AV202" s="307"/>
      <c r="AW202" s="307"/>
      <c r="AX202" s="307"/>
      <c r="AY202" s="307"/>
      <c r="AZ202" s="307"/>
      <c r="BA202" s="307"/>
      <c r="BB202" s="307"/>
      <c r="BC202" s="308"/>
      <c r="BE202" s="308">
        <v>10082628.054102398</v>
      </c>
      <c r="BF202" s="308">
        <f t="shared" si="182"/>
        <v>-1107373.0541023985</v>
      </c>
      <c r="BG202" s="308">
        <v>7854241.8870187607</v>
      </c>
      <c r="BH202" s="308">
        <f t="shared" si="183"/>
        <v>2850730.1129812393</v>
      </c>
      <c r="BI202" s="308">
        <v>6607976.612314783</v>
      </c>
      <c r="BJ202" s="308">
        <f t="shared" si="184"/>
        <v>6507834.387685217</v>
      </c>
      <c r="BK202" s="308">
        <v>10159557.192565186</v>
      </c>
      <c r="BL202" s="308">
        <f t="shared" si="185"/>
        <v>-10155433.192565186</v>
      </c>
      <c r="BM202" s="309">
        <v>0</v>
      </c>
      <c r="BN202" s="308">
        <f t="shared" si="186"/>
        <v>0</v>
      </c>
      <c r="BO202" s="308">
        <v>0</v>
      </c>
      <c r="BP202" s="308">
        <f t="shared" si="187"/>
        <v>0</v>
      </c>
    </row>
    <row r="203" spans="1:68">
      <c r="A203" s="301" t="s">
        <v>53</v>
      </c>
      <c r="B203" s="308">
        <f t="shared" si="188"/>
        <v>0</v>
      </c>
      <c r="C203" s="308">
        <f t="shared" si="188"/>
        <v>0</v>
      </c>
      <c r="D203" s="308">
        <f t="shared" si="188"/>
        <v>0</v>
      </c>
      <c r="E203" s="308">
        <f t="shared" si="188"/>
        <v>13291975</v>
      </c>
      <c r="F203" s="308">
        <f t="shared" si="188"/>
        <v>19275105</v>
      </c>
      <c r="G203" s="308">
        <f t="shared" si="188"/>
        <v>13992536</v>
      </c>
      <c r="H203" s="308">
        <f t="shared" si="188"/>
        <v>13910996</v>
      </c>
      <c r="I203" s="308">
        <f t="shared" si="188"/>
        <v>4477889</v>
      </c>
      <c r="J203" s="308">
        <f t="shared" si="188"/>
        <v>680586</v>
      </c>
      <c r="K203" s="308">
        <f t="shared" si="188"/>
        <v>13108043</v>
      </c>
      <c r="L203" s="308">
        <f t="shared" si="188"/>
        <v>3737882</v>
      </c>
      <c r="M203" s="308">
        <f t="shared" si="188"/>
        <v>9517074</v>
      </c>
      <c r="N203" s="308">
        <f t="shared" si="188"/>
        <v>9848391</v>
      </c>
      <c r="O203" s="308">
        <f t="shared" si="188"/>
        <v>357112</v>
      </c>
      <c r="P203" s="308">
        <f t="shared" si="188"/>
        <v>0</v>
      </c>
      <c r="Q203" s="307">
        <f t="shared" si="188"/>
        <v>0</v>
      </c>
      <c r="R203" s="307">
        <f t="shared" si="188"/>
        <v>0</v>
      </c>
      <c r="S203" s="307">
        <f t="shared" si="188"/>
        <v>0</v>
      </c>
      <c r="T203" s="307">
        <f t="shared" si="188"/>
        <v>0</v>
      </c>
      <c r="U203" s="307">
        <f t="shared" si="188"/>
        <v>0</v>
      </c>
      <c r="V203" s="307">
        <f t="shared" si="188"/>
        <v>0</v>
      </c>
      <c r="W203" s="307">
        <f t="shared" si="188"/>
        <v>0</v>
      </c>
      <c r="X203" s="307">
        <f t="shared" si="188"/>
        <v>0</v>
      </c>
      <c r="Y203" s="307">
        <f t="shared" si="188"/>
        <v>0</v>
      </c>
      <c r="Z203" s="307">
        <f t="shared" si="188"/>
        <v>0</v>
      </c>
      <c r="AA203" s="307">
        <f t="shared" si="188"/>
        <v>0</v>
      </c>
      <c r="AB203" s="307">
        <f t="shared" si="188"/>
        <v>0</v>
      </c>
      <c r="AC203" s="307">
        <f t="shared" si="188"/>
        <v>0</v>
      </c>
      <c r="AD203" s="307">
        <f t="shared" si="188"/>
        <v>0</v>
      </c>
      <c r="AE203" s="307">
        <f t="shared" si="188"/>
        <v>0</v>
      </c>
      <c r="AF203" s="307">
        <f t="shared" si="188"/>
        <v>0</v>
      </c>
      <c r="AG203" s="307">
        <f t="shared" si="188"/>
        <v>0</v>
      </c>
      <c r="AH203" s="307">
        <f t="shared" si="188"/>
        <v>0</v>
      </c>
      <c r="AI203" s="307">
        <f t="shared" si="188"/>
        <v>0</v>
      </c>
      <c r="AJ203" s="307">
        <f t="shared" si="188"/>
        <v>0</v>
      </c>
      <c r="AK203" s="307">
        <f t="shared" si="188"/>
        <v>0</v>
      </c>
      <c r="AL203" s="307">
        <f t="shared" si="188"/>
        <v>0</v>
      </c>
      <c r="AM203" s="307">
        <f t="shared" si="188"/>
        <v>0</v>
      </c>
      <c r="AN203" s="307">
        <f t="shared" si="188"/>
        <v>0</v>
      </c>
      <c r="AO203" s="307">
        <f t="shared" si="188"/>
        <v>0</v>
      </c>
      <c r="AP203" s="307">
        <f t="shared" si="188"/>
        <v>0</v>
      </c>
      <c r="AQ203" s="307">
        <f t="shared" si="188"/>
        <v>3</v>
      </c>
      <c r="AR203" s="307"/>
      <c r="AS203" s="307"/>
      <c r="AT203" s="307"/>
      <c r="AU203" s="307"/>
      <c r="AV203" s="307"/>
      <c r="AW203" s="307"/>
      <c r="AX203" s="307"/>
      <c r="AY203" s="307"/>
      <c r="AZ203" s="307"/>
      <c r="BA203" s="307"/>
      <c r="BB203" s="307"/>
      <c r="BC203" s="308"/>
      <c r="BE203" s="308">
        <v>12498362.561868837</v>
      </c>
      <c r="BF203" s="308">
        <f t="shared" si="182"/>
        <v>-8760480.5618688371</v>
      </c>
      <c r="BG203" s="308">
        <v>7585672.3414986758</v>
      </c>
      <c r="BH203" s="308">
        <f t="shared" si="183"/>
        <v>1931401.6585013242</v>
      </c>
      <c r="BI203" s="308">
        <v>6630735.1812270768</v>
      </c>
      <c r="BJ203" s="308">
        <f t="shared" si="184"/>
        <v>3217655.8187729232</v>
      </c>
      <c r="BK203" s="309">
        <v>7604678.3468471617</v>
      </c>
      <c r="BL203" s="308">
        <f t="shared" si="185"/>
        <v>-7247566.3468471617</v>
      </c>
      <c r="BM203" s="309">
        <v>0</v>
      </c>
      <c r="BN203" s="308">
        <f t="shared" si="186"/>
        <v>0</v>
      </c>
      <c r="BO203" s="308">
        <v>0</v>
      </c>
      <c r="BP203" s="308">
        <f t="shared" si="187"/>
        <v>0</v>
      </c>
    </row>
    <row r="204" spans="1:68">
      <c r="A204" s="301" t="s">
        <v>54</v>
      </c>
      <c r="B204" s="308">
        <f t="shared" si="188"/>
        <v>0</v>
      </c>
      <c r="C204" s="308">
        <f t="shared" si="188"/>
        <v>0</v>
      </c>
      <c r="D204" s="308">
        <f t="shared" si="188"/>
        <v>0</v>
      </c>
      <c r="E204" s="308">
        <f t="shared" si="188"/>
        <v>15014660</v>
      </c>
      <c r="F204" s="308">
        <f t="shared" si="188"/>
        <v>15726811</v>
      </c>
      <c r="G204" s="308">
        <f t="shared" si="188"/>
        <v>16593014</v>
      </c>
      <c r="H204" s="308">
        <f t="shared" si="188"/>
        <v>12546176</v>
      </c>
      <c r="I204" s="308">
        <f t="shared" si="188"/>
        <v>11684742</v>
      </c>
      <c r="J204" s="308">
        <f t="shared" si="188"/>
        <v>12108048</v>
      </c>
      <c r="K204" s="308">
        <f t="shared" si="188"/>
        <v>9792364</v>
      </c>
      <c r="L204" s="308">
        <f t="shared" si="188"/>
        <v>6490877</v>
      </c>
      <c r="M204" s="308">
        <f t="shared" si="188"/>
        <v>4542920</v>
      </c>
      <c r="N204" s="308">
        <f t="shared" si="188"/>
        <v>10921396</v>
      </c>
      <c r="O204" s="308">
        <f t="shared" si="188"/>
        <v>0</v>
      </c>
      <c r="P204" s="308">
        <f t="shared" si="188"/>
        <v>0</v>
      </c>
      <c r="Q204" s="307">
        <f t="shared" si="188"/>
        <v>0</v>
      </c>
      <c r="R204" s="307">
        <f t="shared" si="188"/>
        <v>0</v>
      </c>
      <c r="S204" s="307">
        <f t="shared" si="188"/>
        <v>0</v>
      </c>
      <c r="T204" s="307">
        <f t="shared" si="188"/>
        <v>0</v>
      </c>
      <c r="U204" s="307">
        <f t="shared" si="188"/>
        <v>0</v>
      </c>
      <c r="V204" s="307">
        <f t="shared" si="188"/>
        <v>0</v>
      </c>
      <c r="W204" s="307">
        <f t="shared" si="188"/>
        <v>0</v>
      </c>
      <c r="X204" s="307">
        <f t="shared" si="188"/>
        <v>0</v>
      </c>
      <c r="Y204" s="307">
        <f t="shared" si="188"/>
        <v>0</v>
      </c>
      <c r="Z204" s="307">
        <f t="shared" si="188"/>
        <v>0</v>
      </c>
      <c r="AA204" s="307">
        <f t="shared" si="188"/>
        <v>0</v>
      </c>
      <c r="AB204" s="307">
        <f t="shared" si="188"/>
        <v>0</v>
      </c>
      <c r="AC204" s="307">
        <f t="shared" si="188"/>
        <v>0</v>
      </c>
      <c r="AD204" s="307">
        <f t="shared" si="188"/>
        <v>0</v>
      </c>
      <c r="AE204" s="307">
        <f t="shared" si="188"/>
        <v>0</v>
      </c>
      <c r="AF204" s="307">
        <f t="shared" si="188"/>
        <v>0</v>
      </c>
      <c r="AG204" s="307">
        <f t="shared" si="188"/>
        <v>0</v>
      </c>
      <c r="AH204" s="307">
        <f t="shared" si="188"/>
        <v>0</v>
      </c>
      <c r="AI204" s="307">
        <f t="shared" si="188"/>
        <v>0</v>
      </c>
      <c r="AJ204" s="307">
        <f t="shared" si="188"/>
        <v>0</v>
      </c>
      <c r="AK204" s="307">
        <f t="shared" si="188"/>
        <v>0</v>
      </c>
      <c r="AL204" s="307">
        <f t="shared" si="188"/>
        <v>0</v>
      </c>
      <c r="AM204" s="307">
        <f t="shared" si="188"/>
        <v>0</v>
      </c>
      <c r="AN204" s="307">
        <f t="shared" si="188"/>
        <v>0</v>
      </c>
      <c r="AO204" s="307">
        <f t="shared" si="188"/>
        <v>0</v>
      </c>
      <c r="AP204" s="307">
        <f t="shared" si="188"/>
        <v>0</v>
      </c>
      <c r="AQ204" s="307">
        <f t="shared" si="188"/>
        <v>3</v>
      </c>
      <c r="AR204" s="307"/>
      <c r="AS204" s="307"/>
      <c r="AT204" s="307"/>
      <c r="AU204" s="307"/>
      <c r="AV204" s="307"/>
      <c r="AW204" s="307"/>
      <c r="AX204" s="307"/>
      <c r="AY204" s="307"/>
      <c r="AZ204" s="307"/>
      <c r="BA204" s="307"/>
      <c r="BB204" s="307"/>
      <c r="BC204" s="308"/>
      <c r="BE204" s="308">
        <v>10543054.739999771</v>
      </c>
      <c r="BF204" s="308">
        <f t="shared" si="182"/>
        <v>-4052177.7399997711</v>
      </c>
      <c r="BG204" s="308">
        <v>4673884.8000011444</v>
      </c>
      <c r="BH204" s="308">
        <f t="shared" si="183"/>
        <v>-130964.80000114441</v>
      </c>
      <c r="BI204" s="308">
        <v>32344055.549220026</v>
      </c>
      <c r="BJ204" s="308">
        <f t="shared" si="184"/>
        <v>-21422659.549220026</v>
      </c>
      <c r="BK204" s="309">
        <v>7916783.653152898</v>
      </c>
      <c r="BL204" s="308">
        <f t="shared" si="185"/>
        <v>-7916783.653152898</v>
      </c>
      <c r="BM204" s="309">
        <v>0</v>
      </c>
      <c r="BN204" s="308">
        <f t="shared" si="186"/>
        <v>0</v>
      </c>
      <c r="BO204" s="308">
        <v>0</v>
      </c>
      <c r="BP204" s="308">
        <f t="shared" si="187"/>
        <v>0</v>
      </c>
    </row>
    <row r="205" spans="1:68" ht="12" thickBot="1">
      <c r="A205" s="301" t="s">
        <v>29</v>
      </c>
      <c r="B205" s="308">
        <f t="shared" ref="B205:P205" si="189">SUM(B193:B204)</f>
        <v>0</v>
      </c>
      <c r="C205" s="308">
        <f t="shared" si="189"/>
        <v>0</v>
      </c>
      <c r="D205" s="308">
        <f t="shared" si="189"/>
        <v>0</v>
      </c>
      <c r="E205" s="308">
        <f t="shared" si="189"/>
        <v>115504168</v>
      </c>
      <c r="F205" s="308">
        <f t="shared" si="189"/>
        <v>151391926</v>
      </c>
      <c r="G205" s="308">
        <f t="shared" si="189"/>
        <v>200531415</v>
      </c>
      <c r="H205" s="308">
        <f t="shared" si="189"/>
        <v>165657065</v>
      </c>
      <c r="I205" s="308">
        <f t="shared" si="189"/>
        <v>144107197</v>
      </c>
      <c r="J205" s="308">
        <f t="shared" si="189"/>
        <v>106508829</v>
      </c>
      <c r="K205" s="308">
        <f t="shared" si="189"/>
        <v>116353451</v>
      </c>
      <c r="L205" s="308">
        <f t="shared" si="189"/>
        <v>76268925</v>
      </c>
      <c r="M205" s="308">
        <f t="shared" si="189"/>
        <v>79217986</v>
      </c>
      <c r="N205" s="308">
        <f t="shared" si="189"/>
        <v>74962365</v>
      </c>
      <c r="O205" s="308">
        <f t="shared" si="189"/>
        <v>60044033</v>
      </c>
      <c r="P205" s="308">
        <f t="shared" si="189"/>
        <v>147171</v>
      </c>
      <c r="Q205" s="307">
        <f t="shared" ref="Q205:AD205" si="190">SUM(Q193:Q204)</f>
        <v>0</v>
      </c>
      <c r="R205" s="307">
        <f t="shared" si="190"/>
        <v>0</v>
      </c>
      <c r="S205" s="307">
        <f t="shared" si="190"/>
        <v>0</v>
      </c>
      <c r="T205" s="307">
        <f t="shared" si="190"/>
        <v>0</v>
      </c>
      <c r="U205" s="307">
        <f t="shared" si="190"/>
        <v>0</v>
      </c>
      <c r="V205" s="307">
        <f t="shared" si="190"/>
        <v>0</v>
      </c>
      <c r="W205" s="307">
        <f t="shared" si="190"/>
        <v>0</v>
      </c>
      <c r="X205" s="307">
        <f t="shared" si="190"/>
        <v>0</v>
      </c>
      <c r="Y205" s="307">
        <f t="shared" si="190"/>
        <v>0</v>
      </c>
      <c r="Z205" s="307">
        <f t="shared" si="190"/>
        <v>0</v>
      </c>
      <c r="AA205" s="307">
        <f t="shared" si="190"/>
        <v>0</v>
      </c>
      <c r="AB205" s="307">
        <f t="shared" si="190"/>
        <v>0</v>
      </c>
      <c r="AC205" s="307">
        <f t="shared" si="190"/>
        <v>0</v>
      </c>
      <c r="AD205" s="307">
        <f t="shared" si="190"/>
        <v>0</v>
      </c>
      <c r="AE205" s="307">
        <f>SUM(AE193:AE204)</f>
        <v>0</v>
      </c>
      <c r="AF205" s="307">
        <f>SUM(AF193:AF204)</f>
        <v>0</v>
      </c>
      <c r="AG205" s="307">
        <f>SUM(AG193:AG204)</f>
        <v>0</v>
      </c>
      <c r="AH205" s="307">
        <f t="shared" ref="AH205:AQ205" si="191">SUM(AH193:AH204)</f>
        <v>0</v>
      </c>
      <c r="AI205" s="307">
        <f t="shared" si="191"/>
        <v>0</v>
      </c>
      <c r="AJ205" s="307">
        <f t="shared" si="191"/>
        <v>0</v>
      </c>
      <c r="AK205" s="307">
        <f t="shared" si="191"/>
        <v>0</v>
      </c>
      <c r="AL205" s="307">
        <f t="shared" si="191"/>
        <v>0</v>
      </c>
      <c r="AM205" s="307">
        <f t="shared" si="191"/>
        <v>0</v>
      </c>
      <c r="AN205" s="307">
        <f t="shared" si="191"/>
        <v>0</v>
      </c>
      <c r="AO205" s="307">
        <f t="shared" si="191"/>
        <v>0</v>
      </c>
      <c r="AP205" s="307">
        <f t="shared" si="191"/>
        <v>0</v>
      </c>
      <c r="AQ205" s="307">
        <f t="shared" si="191"/>
        <v>36</v>
      </c>
      <c r="AR205" s="307"/>
      <c r="AS205" s="307"/>
      <c r="AT205" s="307"/>
      <c r="AU205" s="307"/>
      <c r="AV205" s="307"/>
      <c r="AW205" s="307"/>
      <c r="AX205" s="307"/>
      <c r="AY205" s="307"/>
      <c r="AZ205" s="307"/>
      <c r="BA205" s="307"/>
      <c r="BB205" s="307"/>
      <c r="BC205" s="308"/>
      <c r="BE205" s="308">
        <v>80321102.739999771</v>
      </c>
      <c r="BF205" s="308">
        <f t="shared" si="182"/>
        <v>-4052177.7399997711</v>
      </c>
      <c r="BG205" s="308">
        <v>79348950.800001144</v>
      </c>
      <c r="BH205" s="308">
        <f t="shared" si="183"/>
        <v>-130964.80000114441</v>
      </c>
      <c r="BI205" s="308">
        <v>96385024.549220026</v>
      </c>
      <c r="BJ205" s="308">
        <f t="shared" si="184"/>
        <v>-21422659.549220026</v>
      </c>
      <c r="BK205" s="309">
        <v>75208383.00000006</v>
      </c>
      <c r="BL205" s="308">
        <f t="shared" si="185"/>
        <v>-15164350.00000006</v>
      </c>
      <c r="BM205" s="309">
        <v>147171</v>
      </c>
      <c r="BN205" s="308">
        <f t="shared" si="186"/>
        <v>0</v>
      </c>
      <c r="BO205" s="308">
        <v>0</v>
      </c>
      <c r="BP205" s="308">
        <f t="shared" si="187"/>
        <v>0</v>
      </c>
    </row>
    <row r="206" spans="1:68">
      <c r="A206" s="334"/>
      <c r="B206" s="334"/>
      <c r="C206" s="334"/>
      <c r="D206" s="334"/>
      <c r="E206" s="334"/>
      <c r="F206" s="334"/>
      <c r="G206" s="334"/>
      <c r="H206" s="334"/>
      <c r="I206" s="334"/>
      <c r="J206" s="334"/>
      <c r="K206" s="334"/>
      <c r="L206" s="334"/>
      <c r="M206" s="334"/>
      <c r="N206" s="334"/>
      <c r="O206" s="334"/>
      <c r="P206" s="334"/>
      <c r="Q206" s="334"/>
      <c r="R206" s="334"/>
      <c r="S206" s="334"/>
      <c r="T206" s="334"/>
      <c r="U206" s="334"/>
      <c r="V206" s="334"/>
      <c r="W206" s="334"/>
      <c r="X206" s="334"/>
      <c r="Y206" s="334"/>
      <c r="Z206" s="334"/>
      <c r="AA206" s="334"/>
      <c r="AB206" s="334"/>
      <c r="AC206" s="334"/>
      <c r="AD206" s="334"/>
      <c r="AE206" s="334"/>
      <c r="AF206" s="334"/>
      <c r="AG206" s="334"/>
      <c r="AH206" s="334"/>
      <c r="AI206" s="334"/>
      <c r="AJ206" s="334"/>
      <c r="AK206" s="334"/>
      <c r="AL206" s="334"/>
      <c r="AM206" s="334"/>
      <c r="AN206" s="334"/>
      <c r="AO206" s="334"/>
      <c r="AP206" s="334"/>
      <c r="AQ206" s="334"/>
      <c r="BC206" s="308"/>
      <c r="BG206" s="309"/>
    </row>
    <row r="207" spans="1:68" ht="12" thickBot="1">
      <c r="A207" s="300" t="s">
        <v>437</v>
      </c>
      <c r="BC207" s="308" t="s">
        <v>478</v>
      </c>
      <c r="BG207" s="309"/>
    </row>
    <row r="208" spans="1:68" ht="12" thickBot="1">
      <c r="A208" s="328"/>
      <c r="B208" s="329">
        <f t="shared" ref="B208:AQ208" si="192">B2</f>
        <v>2010</v>
      </c>
      <c r="C208" s="329">
        <f t="shared" si="192"/>
        <v>2011</v>
      </c>
      <c r="D208" s="329">
        <f t="shared" si="192"/>
        <v>2012</v>
      </c>
      <c r="E208" s="329">
        <f t="shared" si="192"/>
        <v>2013</v>
      </c>
      <c r="F208" s="329">
        <f t="shared" si="192"/>
        <v>2014</v>
      </c>
      <c r="G208" s="329">
        <f t="shared" si="192"/>
        <v>2015</v>
      </c>
      <c r="H208" s="329">
        <f t="shared" si="192"/>
        <v>2016</v>
      </c>
      <c r="I208" s="329">
        <f t="shared" si="192"/>
        <v>2017</v>
      </c>
      <c r="J208" s="329">
        <f t="shared" si="192"/>
        <v>2018</v>
      </c>
      <c r="K208" s="329">
        <f t="shared" si="192"/>
        <v>2019</v>
      </c>
      <c r="L208" s="329">
        <f t="shared" si="192"/>
        <v>2020</v>
      </c>
      <c r="M208" s="329">
        <f t="shared" si="192"/>
        <v>2021</v>
      </c>
      <c r="N208" s="329">
        <f t="shared" si="192"/>
        <v>2022</v>
      </c>
      <c r="O208" s="329">
        <f t="shared" si="192"/>
        <v>2023</v>
      </c>
      <c r="P208" s="329">
        <f t="shared" si="192"/>
        <v>2024</v>
      </c>
      <c r="Q208" s="329">
        <f t="shared" si="192"/>
        <v>2025</v>
      </c>
      <c r="R208" s="329">
        <f t="shared" si="192"/>
        <v>2026</v>
      </c>
      <c r="S208" s="329">
        <f t="shared" si="192"/>
        <v>2027</v>
      </c>
      <c r="T208" s="329">
        <f t="shared" si="192"/>
        <v>2028</v>
      </c>
      <c r="U208" s="329">
        <f t="shared" si="192"/>
        <v>2029</v>
      </c>
      <c r="V208" s="329">
        <f t="shared" si="192"/>
        <v>2030</v>
      </c>
      <c r="W208" s="329">
        <f t="shared" si="192"/>
        <v>2031</v>
      </c>
      <c r="X208" s="329">
        <f t="shared" si="192"/>
        <v>2032</v>
      </c>
      <c r="Y208" s="329">
        <f t="shared" si="192"/>
        <v>2033</v>
      </c>
      <c r="Z208" s="329">
        <f t="shared" si="192"/>
        <v>2034</v>
      </c>
      <c r="AA208" s="329">
        <f t="shared" si="192"/>
        <v>2035</v>
      </c>
      <c r="AB208" s="329">
        <f t="shared" si="192"/>
        <v>2036</v>
      </c>
      <c r="AC208" s="329">
        <f t="shared" si="192"/>
        <v>2037</v>
      </c>
      <c r="AD208" s="329">
        <f t="shared" si="192"/>
        <v>2038</v>
      </c>
      <c r="AE208" s="329">
        <f t="shared" si="192"/>
        <v>2039</v>
      </c>
      <c r="AF208" s="329">
        <f t="shared" si="192"/>
        <v>2040</v>
      </c>
      <c r="AG208" s="329">
        <f t="shared" si="192"/>
        <v>2041</v>
      </c>
      <c r="AH208" s="329">
        <f t="shared" si="192"/>
        <v>2042</v>
      </c>
      <c r="AI208" s="329">
        <f t="shared" si="192"/>
        <v>2043</v>
      </c>
      <c r="AJ208" s="329">
        <f t="shared" si="192"/>
        <v>2044</v>
      </c>
      <c r="AK208" s="329">
        <f t="shared" si="192"/>
        <v>2045</v>
      </c>
      <c r="AL208" s="329">
        <f t="shared" si="192"/>
        <v>2046</v>
      </c>
      <c r="AM208" s="329">
        <f t="shared" si="192"/>
        <v>2047</v>
      </c>
      <c r="AN208" s="329">
        <f t="shared" si="192"/>
        <v>2048</v>
      </c>
      <c r="AO208" s="329">
        <f t="shared" si="192"/>
        <v>2049</v>
      </c>
      <c r="AP208" s="329">
        <f t="shared" si="192"/>
        <v>2050</v>
      </c>
      <c r="AQ208" s="329">
        <f t="shared" si="192"/>
        <v>2051</v>
      </c>
      <c r="AR208" s="300"/>
      <c r="AS208" s="300"/>
      <c r="AT208" s="300"/>
      <c r="AU208" s="300"/>
      <c r="AV208" s="300"/>
      <c r="AW208" s="300"/>
      <c r="AX208" s="300"/>
      <c r="AY208" s="300"/>
      <c r="AZ208" s="300"/>
      <c r="BA208" s="300"/>
      <c r="BB208" s="300"/>
      <c r="BC208" s="308"/>
      <c r="BG208" s="309"/>
    </row>
    <row r="209" spans="1:70">
      <c r="A209" s="301" t="s">
        <v>43</v>
      </c>
      <c r="B209" s="308">
        <f>'Monthly D6 Gallon Data'!$K4</f>
        <v>0</v>
      </c>
      <c r="C209" s="308">
        <f>'Monthly D6 Gallon Data'!$K16</f>
        <v>0</v>
      </c>
      <c r="D209" s="308">
        <f>'Monthly D6 Gallon Data'!$K28</f>
        <v>0</v>
      </c>
      <c r="E209" s="308">
        <f>'Monthly D6 Gallon Data'!$K40</f>
        <v>0</v>
      </c>
      <c r="F209" s="308">
        <f>'Monthly D6 Gallon Data'!$K52</f>
        <v>0</v>
      </c>
      <c r="G209" s="308">
        <f>'Monthly D6 Gallon Data'!$K64</f>
        <v>0</v>
      </c>
      <c r="H209" s="308">
        <f>'Monthly D6 Gallon Data'!$K76</f>
        <v>0</v>
      </c>
      <c r="I209" s="308">
        <f>'Monthly D6 Gallon Data'!$K88</f>
        <v>0</v>
      </c>
      <c r="J209" s="308">
        <f>'Monthly D6 Gallon Data'!$K100</f>
        <v>0</v>
      </c>
      <c r="K209" s="308">
        <f>'Monthly D6 Gallon Data'!$K112</f>
        <v>0</v>
      </c>
      <c r="L209" s="308">
        <f>'Monthly D6 Gallon Data'!$K124</f>
        <v>0</v>
      </c>
      <c r="M209" s="308">
        <f>'Monthly D6 Gallon Data'!$K136</f>
        <v>0</v>
      </c>
      <c r="N209" s="308">
        <f>'Monthly D6 Gallon Data'!$K148</f>
        <v>0</v>
      </c>
      <c r="O209" s="308">
        <f>'Monthly D6 Gallon Data'!$K160</f>
        <v>0</v>
      </c>
      <c r="P209" s="308">
        <f>'Monthly D6 Gallon Data'!$K172</f>
        <v>0</v>
      </c>
      <c r="Q209" s="308">
        <f>'Monthly D6 Gallon Data'!$K184</f>
        <v>0</v>
      </c>
      <c r="R209" s="307">
        <v>0</v>
      </c>
      <c r="S209" s="307">
        <v>0</v>
      </c>
      <c r="T209" s="307">
        <v>0</v>
      </c>
      <c r="U209" s="307">
        <v>0</v>
      </c>
      <c r="V209" s="307">
        <v>0</v>
      </c>
      <c r="W209" s="307">
        <v>0</v>
      </c>
      <c r="X209" s="307">
        <v>0</v>
      </c>
      <c r="Y209" s="307">
        <v>0</v>
      </c>
      <c r="Z209" s="307">
        <v>0</v>
      </c>
      <c r="AA209" s="307">
        <v>0</v>
      </c>
      <c r="AB209" s="307">
        <v>0</v>
      </c>
      <c r="AC209" s="307">
        <v>0</v>
      </c>
      <c r="AD209" s="307">
        <v>0</v>
      </c>
      <c r="AE209" s="307">
        <v>0</v>
      </c>
      <c r="AF209" s="307">
        <v>0</v>
      </c>
      <c r="AG209" s="307">
        <v>0</v>
      </c>
      <c r="AH209" s="307">
        <v>0</v>
      </c>
      <c r="AI209" s="307">
        <v>0</v>
      </c>
      <c r="AJ209" s="307">
        <v>0</v>
      </c>
      <c r="AK209" s="307">
        <v>0</v>
      </c>
      <c r="AL209" s="307">
        <v>0</v>
      </c>
      <c r="AM209" s="307">
        <v>0</v>
      </c>
      <c r="AN209" s="307">
        <v>0</v>
      </c>
      <c r="AO209" s="307">
        <v>0</v>
      </c>
      <c r="AP209" s="307">
        <v>0</v>
      </c>
      <c r="AQ209" s="307">
        <v>1</v>
      </c>
      <c r="AR209" s="307"/>
      <c r="AS209" s="307"/>
      <c r="AT209" s="307"/>
      <c r="AU209" s="307"/>
      <c r="AV209" s="307"/>
      <c r="AW209" s="307"/>
      <c r="AX209" s="307"/>
      <c r="AY209" s="307"/>
      <c r="AZ209" s="307"/>
      <c r="BA209" s="307"/>
      <c r="BB209" s="307"/>
      <c r="BC209" s="308"/>
      <c r="BD209" s="326">
        <f>AVERAGE(J193:N193)/AVERAGE(J$205:$N$205)</f>
        <v>9.1606782245807108E-2</v>
      </c>
      <c r="BE209" s="308">
        <v>0</v>
      </c>
      <c r="BF209" s="308">
        <f t="shared" ref="BF209:BF221" si="193">L209-BE209</f>
        <v>0</v>
      </c>
      <c r="BG209" s="308">
        <v>0</v>
      </c>
      <c r="BH209" s="308">
        <f t="shared" ref="BH209:BH221" si="194">M209-BG209</f>
        <v>0</v>
      </c>
      <c r="BI209" s="308">
        <v>0</v>
      </c>
      <c r="BJ209" s="308">
        <f t="shared" ref="BJ209:BJ221" si="195">N209-BI209</f>
        <v>0</v>
      </c>
      <c r="BK209" s="308">
        <v>0</v>
      </c>
      <c r="BL209" s="308">
        <f t="shared" ref="BL209:BL221" si="196">O209-BK209</f>
        <v>0</v>
      </c>
      <c r="BM209" s="308">
        <v>0</v>
      </c>
      <c r="BN209" s="308">
        <f t="shared" ref="BN209:BN221" si="197">P209-BM209</f>
        <v>0</v>
      </c>
      <c r="BO209" s="308">
        <v>0</v>
      </c>
      <c r="BP209" s="308">
        <f t="shared" ref="BP209:BP221" si="198">BO209-Q209</f>
        <v>0</v>
      </c>
      <c r="BQ209" s="308"/>
      <c r="BR209" s="308"/>
    </row>
    <row r="210" spans="1:70">
      <c r="A210" s="301" t="s">
        <v>44</v>
      </c>
      <c r="B210" s="308">
        <f>'Monthly D6 Gallon Data'!$K5</f>
        <v>0</v>
      </c>
      <c r="C210" s="308">
        <f>'Monthly D6 Gallon Data'!$K17</f>
        <v>0</v>
      </c>
      <c r="D210" s="308">
        <f>'Monthly D6 Gallon Data'!$K29</f>
        <v>0</v>
      </c>
      <c r="E210" s="308">
        <f>'Monthly D6 Gallon Data'!$K41</f>
        <v>0</v>
      </c>
      <c r="F210" s="308">
        <f>'Monthly D6 Gallon Data'!$K53</f>
        <v>0</v>
      </c>
      <c r="G210" s="308">
        <f>'Monthly D6 Gallon Data'!$K65</f>
        <v>0</v>
      </c>
      <c r="H210" s="308">
        <f>'Monthly D6 Gallon Data'!$K77</f>
        <v>0</v>
      </c>
      <c r="I210" s="308">
        <f>'Monthly D6 Gallon Data'!$K89</f>
        <v>0</v>
      </c>
      <c r="J210" s="308">
        <f>'Monthly D6 Gallon Data'!$K101</f>
        <v>0</v>
      </c>
      <c r="K210" s="308">
        <f>'Monthly D6 Gallon Data'!$K113</f>
        <v>0</v>
      </c>
      <c r="L210" s="308">
        <f>'Monthly D6 Gallon Data'!$K125</f>
        <v>0</v>
      </c>
      <c r="M210" s="308">
        <f>'Monthly D6 Gallon Data'!$K137</f>
        <v>0</v>
      </c>
      <c r="N210" s="308">
        <f>'Monthly D6 Gallon Data'!$K149</f>
        <v>0</v>
      </c>
      <c r="O210" s="308">
        <f>'Monthly D6 Gallon Data'!$K161</f>
        <v>0</v>
      </c>
      <c r="P210" s="308">
        <f>'Monthly D6 Gallon Data'!$K173</f>
        <v>0</v>
      </c>
      <c r="Q210" s="332">
        <f>'Monthly D6 Gallon Data'!$K185</f>
        <v>0</v>
      </c>
      <c r="R210" s="307">
        <v>0</v>
      </c>
      <c r="S210" s="307">
        <v>0</v>
      </c>
      <c r="T210" s="307">
        <v>0</v>
      </c>
      <c r="U210" s="307">
        <v>0</v>
      </c>
      <c r="V210" s="307">
        <v>0</v>
      </c>
      <c r="W210" s="307">
        <v>0</v>
      </c>
      <c r="X210" s="307">
        <v>0</v>
      </c>
      <c r="Y210" s="307">
        <v>0</v>
      </c>
      <c r="Z210" s="307">
        <v>0</v>
      </c>
      <c r="AA210" s="307">
        <v>0</v>
      </c>
      <c r="AB210" s="307">
        <v>0</v>
      </c>
      <c r="AC210" s="307">
        <v>0</v>
      </c>
      <c r="AD210" s="307">
        <v>0</v>
      </c>
      <c r="AE210" s="307">
        <v>0</v>
      </c>
      <c r="AF210" s="307">
        <v>0</v>
      </c>
      <c r="AG210" s="307">
        <v>0</v>
      </c>
      <c r="AH210" s="307">
        <v>0</v>
      </c>
      <c r="AI210" s="307">
        <v>0</v>
      </c>
      <c r="AJ210" s="307">
        <v>0</v>
      </c>
      <c r="AK210" s="307">
        <v>0</v>
      </c>
      <c r="AL210" s="307">
        <v>0</v>
      </c>
      <c r="AM210" s="307">
        <v>0</v>
      </c>
      <c r="AN210" s="307">
        <v>0</v>
      </c>
      <c r="AO210" s="307">
        <v>0</v>
      </c>
      <c r="AP210" s="307">
        <v>0</v>
      </c>
      <c r="AQ210" s="307">
        <v>1</v>
      </c>
      <c r="AR210" s="307"/>
      <c r="AS210" s="307"/>
      <c r="AT210" s="307"/>
      <c r="AU210" s="307"/>
      <c r="AV210" s="307"/>
      <c r="AW210" s="307"/>
      <c r="AX210" s="307"/>
      <c r="AY210" s="307"/>
      <c r="AZ210" s="307"/>
      <c r="BA210" s="307"/>
      <c r="BB210" s="307"/>
      <c r="BC210" s="308"/>
      <c r="BD210" s="326">
        <f>AVERAGE(J194:N194)/AVERAGE(J$205:$N$205)</f>
        <v>0.11479711538613413</v>
      </c>
      <c r="BE210" s="308">
        <v>0</v>
      </c>
      <c r="BF210" s="308">
        <f t="shared" si="193"/>
        <v>0</v>
      </c>
      <c r="BG210" s="308">
        <v>0</v>
      </c>
      <c r="BH210" s="308">
        <f t="shared" si="194"/>
        <v>0</v>
      </c>
      <c r="BI210" s="308">
        <v>0</v>
      </c>
      <c r="BJ210" s="308">
        <f t="shared" si="195"/>
        <v>0</v>
      </c>
      <c r="BK210" s="308">
        <v>0</v>
      </c>
      <c r="BL210" s="308">
        <f t="shared" si="196"/>
        <v>0</v>
      </c>
      <c r="BM210" s="308">
        <v>0</v>
      </c>
      <c r="BN210" s="308">
        <f t="shared" si="197"/>
        <v>0</v>
      </c>
      <c r="BO210" s="308">
        <v>0</v>
      </c>
      <c r="BP210" s="308">
        <f t="shared" si="198"/>
        <v>0</v>
      </c>
      <c r="BQ210" s="308"/>
      <c r="BR210" s="308"/>
    </row>
    <row r="211" spans="1:70">
      <c r="A211" s="301" t="s">
        <v>45</v>
      </c>
      <c r="B211" s="308">
        <f>'Monthly D6 Gallon Data'!$K6</f>
        <v>0</v>
      </c>
      <c r="C211" s="308">
        <f>'Monthly D6 Gallon Data'!$K18</f>
        <v>0</v>
      </c>
      <c r="D211" s="308">
        <f>'Monthly D6 Gallon Data'!$K30</f>
        <v>0</v>
      </c>
      <c r="E211" s="308">
        <f>'Monthly D6 Gallon Data'!$K42</f>
        <v>0</v>
      </c>
      <c r="F211" s="308">
        <f>'Monthly D6 Gallon Data'!$K54</f>
        <v>0</v>
      </c>
      <c r="G211" s="308">
        <f>'Monthly D6 Gallon Data'!$K66</f>
        <v>0</v>
      </c>
      <c r="H211" s="308">
        <f>'Monthly D6 Gallon Data'!$K78</f>
        <v>0</v>
      </c>
      <c r="I211" s="308">
        <f>'Monthly D6 Gallon Data'!$K90</f>
        <v>0</v>
      </c>
      <c r="J211" s="308">
        <f>'Monthly D6 Gallon Data'!$K102</f>
        <v>0</v>
      </c>
      <c r="K211" s="308">
        <f>'Monthly D6 Gallon Data'!$K114</f>
        <v>0</v>
      </c>
      <c r="L211" s="308">
        <f>'Monthly D6 Gallon Data'!$K126</f>
        <v>0</v>
      </c>
      <c r="M211" s="308">
        <f>'Monthly D6 Gallon Data'!$K138</f>
        <v>0</v>
      </c>
      <c r="N211" s="308">
        <f>'Monthly D6 Gallon Data'!$K150</f>
        <v>0</v>
      </c>
      <c r="O211" s="308">
        <f>'Monthly D6 Gallon Data'!$K162</f>
        <v>0</v>
      </c>
      <c r="P211" s="308">
        <f>'Monthly D6 Gallon Data'!$K174</f>
        <v>0</v>
      </c>
      <c r="Q211" s="332">
        <f>'Monthly D6 Gallon Data'!$K186</f>
        <v>0</v>
      </c>
      <c r="R211" s="307">
        <v>0</v>
      </c>
      <c r="S211" s="307">
        <v>0</v>
      </c>
      <c r="T211" s="307">
        <v>0</v>
      </c>
      <c r="U211" s="307">
        <v>0</v>
      </c>
      <c r="V211" s="307">
        <v>0</v>
      </c>
      <c r="W211" s="307">
        <v>0</v>
      </c>
      <c r="X211" s="307">
        <v>0</v>
      </c>
      <c r="Y211" s="307">
        <v>0</v>
      </c>
      <c r="Z211" s="307">
        <v>0</v>
      </c>
      <c r="AA211" s="307">
        <v>0</v>
      </c>
      <c r="AB211" s="307">
        <v>0</v>
      </c>
      <c r="AC211" s="307">
        <v>0</v>
      </c>
      <c r="AD211" s="307">
        <v>0</v>
      </c>
      <c r="AE211" s="307">
        <v>0</v>
      </c>
      <c r="AF211" s="307">
        <v>0</v>
      </c>
      <c r="AG211" s="307">
        <v>0</v>
      </c>
      <c r="AH211" s="307">
        <v>0</v>
      </c>
      <c r="AI211" s="307">
        <v>0</v>
      </c>
      <c r="AJ211" s="307">
        <v>0</v>
      </c>
      <c r="AK211" s="307">
        <v>0</v>
      </c>
      <c r="AL211" s="307">
        <v>0</v>
      </c>
      <c r="AM211" s="307">
        <v>0</v>
      </c>
      <c r="AN211" s="307">
        <v>0</v>
      </c>
      <c r="AO211" s="307">
        <v>0</v>
      </c>
      <c r="AP211" s="307">
        <v>0</v>
      </c>
      <c r="AQ211" s="307">
        <v>1</v>
      </c>
      <c r="AR211" s="307"/>
      <c r="AS211" s="307"/>
      <c r="AT211" s="307"/>
      <c r="AU211" s="307"/>
      <c r="AV211" s="307"/>
      <c r="AW211" s="307"/>
      <c r="AX211" s="307"/>
      <c r="AY211" s="307"/>
      <c r="AZ211" s="307"/>
      <c r="BA211" s="307"/>
      <c r="BB211" s="307"/>
      <c r="BC211" s="308"/>
      <c r="BD211" s="326">
        <f>AVERAGE(J195:N195)/AVERAGE(J$205:$N$205)</f>
        <v>0.12022371430566399</v>
      </c>
      <c r="BE211" s="308">
        <v>0</v>
      </c>
      <c r="BF211" s="308">
        <f t="shared" si="193"/>
        <v>0</v>
      </c>
      <c r="BG211" s="308">
        <v>0</v>
      </c>
      <c r="BH211" s="308">
        <f t="shared" si="194"/>
        <v>0</v>
      </c>
      <c r="BI211" s="308">
        <v>0</v>
      </c>
      <c r="BJ211" s="308">
        <f t="shared" si="195"/>
        <v>0</v>
      </c>
      <c r="BK211" s="308">
        <v>0</v>
      </c>
      <c r="BL211" s="308">
        <f t="shared" si="196"/>
        <v>0</v>
      </c>
      <c r="BM211" s="308">
        <v>0</v>
      </c>
      <c r="BN211" s="308">
        <f t="shared" si="197"/>
        <v>0</v>
      </c>
      <c r="BO211" s="308">
        <v>0</v>
      </c>
      <c r="BP211" s="308">
        <f t="shared" si="198"/>
        <v>0</v>
      </c>
      <c r="BQ211" s="308"/>
      <c r="BR211" s="308"/>
    </row>
    <row r="212" spans="1:70">
      <c r="A212" s="301" t="s">
        <v>46</v>
      </c>
      <c r="B212" s="308">
        <f>'Monthly D6 Gallon Data'!$K7</f>
        <v>0</v>
      </c>
      <c r="C212" s="308">
        <f>'Monthly D6 Gallon Data'!$K19</f>
        <v>0</v>
      </c>
      <c r="D212" s="308">
        <f>'Monthly D6 Gallon Data'!$K31</f>
        <v>0</v>
      </c>
      <c r="E212" s="308">
        <f>'Monthly D6 Gallon Data'!$K43</f>
        <v>0</v>
      </c>
      <c r="F212" s="308">
        <f>'Monthly D6 Gallon Data'!$K55</f>
        <v>0</v>
      </c>
      <c r="G212" s="308">
        <f>'Monthly D6 Gallon Data'!$K67</f>
        <v>0</v>
      </c>
      <c r="H212" s="308">
        <f>'Monthly D6 Gallon Data'!$K79</f>
        <v>0</v>
      </c>
      <c r="I212" s="308">
        <f>'Monthly D6 Gallon Data'!$K91</f>
        <v>0</v>
      </c>
      <c r="J212" s="308">
        <f>'Monthly D6 Gallon Data'!$K103</f>
        <v>0</v>
      </c>
      <c r="K212" s="308">
        <f>'Monthly D6 Gallon Data'!$K115</f>
        <v>0</v>
      </c>
      <c r="L212" s="308">
        <f>'Monthly D6 Gallon Data'!$K127</f>
        <v>0</v>
      </c>
      <c r="M212" s="308">
        <f>'Monthly D6 Gallon Data'!$K139</f>
        <v>0</v>
      </c>
      <c r="N212" s="308">
        <f>'Monthly D6 Gallon Data'!$K151</f>
        <v>0</v>
      </c>
      <c r="O212" s="308">
        <f>'Monthly D6 Gallon Data'!$K163</f>
        <v>0</v>
      </c>
      <c r="P212" s="308">
        <f>'Monthly D6 Gallon Data'!$K175</f>
        <v>147171</v>
      </c>
      <c r="Q212" s="307">
        <v>0</v>
      </c>
      <c r="R212" s="307">
        <v>0</v>
      </c>
      <c r="S212" s="307">
        <v>0</v>
      </c>
      <c r="T212" s="307">
        <v>0</v>
      </c>
      <c r="U212" s="307">
        <v>0</v>
      </c>
      <c r="V212" s="307">
        <v>0</v>
      </c>
      <c r="W212" s="307">
        <v>0</v>
      </c>
      <c r="X212" s="307">
        <v>0</v>
      </c>
      <c r="Y212" s="307">
        <v>0</v>
      </c>
      <c r="Z212" s="307">
        <v>0</v>
      </c>
      <c r="AA212" s="307">
        <v>0</v>
      </c>
      <c r="AB212" s="307">
        <v>0</v>
      </c>
      <c r="AC212" s="307">
        <v>0</v>
      </c>
      <c r="AD212" s="307">
        <v>0</v>
      </c>
      <c r="AE212" s="307">
        <v>0</v>
      </c>
      <c r="AF212" s="307">
        <v>0</v>
      </c>
      <c r="AG212" s="307">
        <v>0</v>
      </c>
      <c r="AH212" s="307">
        <v>0</v>
      </c>
      <c r="AI212" s="307">
        <v>0</v>
      </c>
      <c r="AJ212" s="307">
        <v>0</v>
      </c>
      <c r="AK212" s="307">
        <v>0</v>
      </c>
      <c r="AL212" s="307">
        <v>0</v>
      </c>
      <c r="AM212" s="307">
        <v>0</v>
      </c>
      <c r="AN212" s="307">
        <v>0</v>
      </c>
      <c r="AO212" s="307">
        <v>0</v>
      </c>
      <c r="AP212" s="307">
        <v>0</v>
      </c>
      <c r="AQ212" s="307">
        <v>1</v>
      </c>
      <c r="AR212" s="307"/>
      <c r="AS212" s="307"/>
      <c r="AT212" s="307"/>
      <c r="AU212" s="307"/>
      <c r="AV212" s="307"/>
      <c r="AW212" s="307"/>
      <c r="AX212" s="307"/>
      <c r="AY212" s="307"/>
      <c r="AZ212" s="307"/>
      <c r="BA212" s="307"/>
      <c r="BB212" s="307"/>
      <c r="BC212" s="308"/>
      <c r="BD212" s="326">
        <f>AVERAGE(J196:N196)/AVERAGE(J$205:$N$205)</f>
        <v>0.10484809921766036</v>
      </c>
      <c r="BE212" s="308">
        <v>0</v>
      </c>
      <c r="BF212" s="308">
        <f t="shared" si="193"/>
        <v>0</v>
      </c>
      <c r="BG212" s="308">
        <v>0</v>
      </c>
      <c r="BH212" s="308">
        <f t="shared" si="194"/>
        <v>0</v>
      </c>
      <c r="BI212" s="308">
        <v>0</v>
      </c>
      <c r="BJ212" s="308">
        <f t="shared" si="195"/>
        <v>0</v>
      </c>
      <c r="BK212" s="308">
        <v>0</v>
      </c>
      <c r="BL212" s="308">
        <f t="shared" si="196"/>
        <v>0</v>
      </c>
      <c r="BM212" s="308">
        <v>147171</v>
      </c>
      <c r="BN212" s="308">
        <f t="shared" si="197"/>
        <v>0</v>
      </c>
      <c r="BO212" s="308">
        <v>0</v>
      </c>
      <c r="BP212" s="308">
        <f t="shared" si="198"/>
        <v>0</v>
      </c>
      <c r="BQ212" s="308"/>
      <c r="BR212" s="308"/>
    </row>
    <row r="213" spans="1:70">
      <c r="A213" s="301" t="s">
        <v>47</v>
      </c>
      <c r="B213" s="308">
        <f>'Monthly D6 Gallon Data'!$K8</f>
        <v>0</v>
      </c>
      <c r="C213" s="308">
        <f>'Monthly D6 Gallon Data'!$K20</f>
        <v>0</v>
      </c>
      <c r="D213" s="308">
        <f>'Monthly D6 Gallon Data'!$K32</f>
        <v>0</v>
      </c>
      <c r="E213" s="308">
        <f>'Monthly D6 Gallon Data'!$K44</f>
        <v>0</v>
      </c>
      <c r="F213" s="308">
        <f>'Monthly D6 Gallon Data'!$K56</f>
        <v>0</v>
      </c>
      <c r="G213" s="308">
        <f>'Monthly D6 Gallon Data'!$K68</f>
        <v>0</v>
      </c>
      <c r="H213" s="308">
        <f>'Monthly D6 Gallon Data'!$K80</f>
        <v>0</v>
      </c>
      <c r="I213" s="308">
        <f>'Monthly D6 Gallon Data'!$K92</f>
        <v>0</v>
      </c>
      <c r="J213" s="308">
        <f>'Monthly D6 Gallon Data'!$K104</f>
        <v>0</v>
      </c>
      <c r="K213" s="308">
        <f>'Monthly D6 Gallon Data'!$K116</f>
        <v>0</v>
      </c>
      <c r="L213" s="308">
        <f>'Monthly D6 Gallon Data'!$K128</f>
        <v>0</v>
      </c>
      <c r="M213" s="308">
        <f>'Monthly D6 Gallon Data'!$K140</f>
        <v>0</v>
      </c>
      <c r="N213" s="308">
        <f>'Monthly D6 Gallon Data'!$K152</f>
        <v>0</v>
      </c>
      <c r="O213" s="308">
        <f>'Monthly D6 Gallon Data'!$K164</f>
        <v>0</v>
      </c>
      <c r="P213" s="308">
        <f>'Monthly D6 Gallon Data'!$K176</f>
        <v>0</v>
      </c>
      <c r="Q213" s="307">
        <v>0</v>
      </c>
      <c r="R213" s="307">
        <v>0</v>
      </c>
      <c r="S213" s="307">
        <v>0</v>
      </c>
      <c r="T213" s="307">
        <v>0</v>
      </c>
      <c r="U213" s="307">
        <v>0</v>
      </c>
      <c r="V213" s="307">
        <v>0</v>
      </c>
      <c r="W213" s="307">
        <v>0</v>
      </c>
      <c r="X213" s="307">
        <v>0</v>
      </c>
      <c r="Y213" s="307">
        <v>0</v>
      </c>
      <c r="Z213" s="307">
        <v>0</v>
      </c>
      <c r="AA213" s="307">
        <v>0</v>
      </c>
      <c r="AB213" s="307">
        <v>0</v>
      </c>
      <c r="AC213" s="307">
        <v>0</v>
      </c>
      <c r="AD213" s="307">
        <v>0</v>
      </c>
      <c r="AE213" s="307">
        <v>0</v>
      </c>
      <c r="AF213" s="307">
        <v>0</v>
      </c>
      <c r="AG213" s="307">
        <v>0</v>
      </c>
      <c r="AH213" s="307">
        <v>0</v>
      </c>
      <c r="AI213" s="307">
        <v>0</v>
      </c>
      <c r="AJ213" s="307">
        <v>0</v>
      </c>
      <c r="AK213" s="307">
        <v>0</v>
      </c>
      <c r="AL213" s="307">
        <v>0</v>
      </c>
      <c r="AM213" s="307">
        <v>0</v>
      </c>
      <c r="AN213" s="307">
        <v>0</v>
      </c>
      <c r="AO213" s="307">
        <v>0</v>
      </c>
      <c r="AP213" s="307">
        <v>0</v>
      </c>
      <c r="AQ213" s="307">
        <v>1</v>
      </c>
      <c r="AR213" s="307"/>
      <c r="AS213" s="307"/>
      <c r="AT213" s="307"/>
      <c r="AU213" s="307"/>
      <c r="AV213" s="307"/>
      <c r="AW213" s="307"/>
      <c r="AX213" s="307"/>
      <c r="AY213" s="307"/>
      <c r="AZ213" s="307"/>
      <c r="BA213" s="307"/>
      <c r="BB213" s="307"/>
      <c r="BC213" s="308"/>
      <c r="BD213" s="326">
        <f>AVERAGE(J197:N197)/AVERAGE(J$205:$N$205)</f>
        <v>7.0478937889683985E-2</v>
      </c>
      <c r="BE213" s="308">
        <v>0</v>
      </c>
      <c r="BF213" s="308">
        <f t="shared" si="193"/>
        <v>0</v>
      </c>
      <c r="BG213" s="308">
        <v>0</v>
      </c>
      <c r="BH213" s="308">
        <f t="shared" si="194"/>
        <v>0</v>
      </c>
      <c r="BI213" s="308">
        <v>0</v>
      </c>
      <c r="BJ213" s="308">
        <f t="shared" si="195"/>
        <v>0</v>
      </c>
      <c r="BK213" s="308">
        <v>0</v>
      </c>
      <c r="BL213" s="308">
        <f t="shared" si="196"/>
        <v>0</v>
      </c>
      <c r="BM213" s="308">
        <v>0</v>
      </c>
      <c r="BN213" s="308">
        <f t="shared" si="197"/>
        <v>0</v>
      </c>
      <c r="BO213" s="308">
        <v>0</v>
      </c>
      <c r="BP213" s="308">
        <f t="shared" si="198"/>
        <v>0</v>
      </c>
      <c r="BQ213" s="308"/>
      <c r="BR213" s="308"/>
    </row>
    <row r="214" spans="1:70">
      <c r="A214" s="301" t="s">
        <v>48</v>
      </c>
      <c r="B214" s="308">
        <f>'Monthly D6 Gallon Data'!$K9</f>
        <v>0</v>
      </c>
      <c r="C214" s="308">
        <f>'Monthly D6 Gallon Data'!$K21</f>
        <v>0</v>
      </c>
      <c r="D214" s="308">
        <f>'Monthly D6 Gallon Data'!$K33</f>
        <v>0</v>
      </c>
      <c r="E214" s="308">
        <f>'Monthly D6 Gallon Data'!$K45</f>
        <v>0</v>
      </c>
      <c r="F214" s="308">
        <f>'Monthly D6 Gallon Data'!$K57</f>
        <v>0</v>
      </c>
      <c r="G214" s="308">
        <f>'Monthly D6 Gallon Data'!$K69</f>
        <v>0</v>
      </c>
      <c r="H214" s="308">
        <f>'Monthly D6 Gallon Data'!$K81</f>
        <v>0</v>
      </c>
      <c r="I214" s="308">
        <f>'Monthly D6 Gallon Data'!$K93</f>
        <v>0</v>
      </c>
      <c r="J214" s="308">
        <f>'Monthly D6 Gallon Data'!$K105</f>
        <v>0</v>
      </c>
      <c r="K214" s="308">
        <f>'Monthly D6 Gallon Data'!$K117</f>
        <v>0</v>
      </c>
      <c r="L214" s="308">
        <f>'Monthly D6 Gallon Data'!$K129</f>
        <v>0</v>
      </c>
      <c r="M214" s="308">
        <f>'Monthly D6 Gallon Data'!$K141</f>
        <v>0</v>
      </c>
      <c r="N214" s="308">
        <f>'Monthly D6 Gallon Data'!$K153</f>
        <v>0</v>
      </c>
      <c r="O214" s="308">
        <f>'Monthly D6 Gallon Data'!$K165</f>
        <v>0</v>
      </c>
      <c r="P214" s="308">
        <f>'Monthly D6 Gallon Data'!$K177</f>
        <v>0</v>
      </c>
      <c r="Q214" s="307">
        <v>0</v>
      </c>
      <c r="R214" s="307">
        <v>0</v>
      </c>
      <c r="S214" s="307">
        <v>0</v>
      </c>
      <c r="T214" s="307">
        <v>0</v>
      </c>
      <c r="U214" s="307">
        <v>0</v>
      </c>
      <c r="V214" s="307">
        <v>0</v>
      </c>
      <c r="W214" s="307">
        <v>0</v>
      </c>
      <c r="X214" s="307">
        <v>0</v>
      </c>
      <c r="Y214" s="307">
        <v>0</v>
      </c>
      <c r="Z214" s="307">
        <v>0</v>
      </c>
      <c r="AA214" s="307">
        <v>0</v>
      </c>
      <c r="AB214" s="307">
        <v>0</v>
      </c>
      <c r="AC214" s="307">
        <v>0</v>
      </c>
      <c r="AD214" s="307">
        <v>0</v>
      </c>
      <c r="AE214" s="307">
        <v>0</v>
      </c>
      <c r="AF214" s="307">
        <v>0</v>
      </c>
      <c r="AG214" s="307">
        <v>0</v>
      </c>
      <c r="AH214" s="307">
        <v>0</v>
      </c>
      <c r="AI214" s="307">
        <v>0</v>
      </c>
      <c r="AJ214" s="307">
        <v>0</v>
      </c>
      <c r="AK214" s="307">
        <v>0</v>
      </c>
      <c r="AL214" s="307">
        <v>0</v>
      </c>
      <c r="AM214" s="307">
        <v>0</v>
      </c>
      <c r="AN214" s="307">
        <v>0</v>
      </c>
      <c r="AO214" s="307">
        <v>0</v>
      </c>
      <c r="AP214" s="307">
        <v>0</v>
      </c>
      <c r="AQ214" s="307">
        <v>1</v>
      </c>
      <c r="AR214" s="307"/>
      <c r="AS214" s="307"/>
      <c r="AT214" s="307"/>
      <c r="AU214" s="307"/>
      <c r="AV214" s="307"/>
      <c r="AW214" s="307"/>
      <c r="AX214" s="307"/>
      <c r="AY214" s="307"/>
      <c r="AZ214" s="307"/>
      <c r="BA214" s="307"/>
      <c r="BB214" s="307"/>
      <c r="BC214" s="308"/>
      <c r="BD214" s="326">
        <f>AVERAGE(J198:N198)/AVERAGE(J$205:$N$205)</f>
        <v>6.5974190607221136E-2</v>
      </c>
      <c r="BE214" s="308">
        <v>0</v>
      </c>
      <c r="BF214" s="308">
        <f t="shared" si="193"/>
        <v>0</v>
      </c>
      <c r="BG214" s="308">
        <v>0</v>
      </c>
      <c r="BH214" s="308">
        <f t="shared" si="194"/>
        <v>0</v>
      </c>
      <c r="BI214" s="308">
        <v>0</v>
      </c>
      <c r="BJ214" s="308">
        <f t="shared" si="195"/>
        <v>0</v>
      </c>
      <c r="BK214" s="308">
        <v>0</v>
      </c>
      <c r="BL214" s="308">
        <f t="shared" si="196"/>
        <v>0</v>
      </c>
      <c r="BM214" s="308">
        <v>0</v>
      </c>
      <c r="BN214" s="308">
        <f t="shared" si="197"/>
        <v>0</v>
      </c>
      <c r="BO214" s="308">
        <v>0</v>
      </c>
      <c r="BP214" s="308">
        <f t="shared" si="198"/>
        <v>0</v>
      </c>
      <c r="BQ214" s="308"/>
      <c r="BR214" s="308"/>
    </row>
    <row r="215" spans="1:70">
      <c r="A215" s="301" t="s">
        <v>49</v>
      </c>
      <c r="B215" s="308">
        <f>'Monthly D6 Gallon Data'!$K10</f>
        <v>0</v>
      </c>
      <c r="C215" s="308">
        <f>'Monthly D6 Gallon Data'!$K22</f>
        <v>0</v>
      </c>
      <c r="D215" s="308">
        <f>'Monthly D6 Gallon Data'!$K34</f>
        <v>0</v>
      </c>
      <c r="E215" s="308">
        <f>'Monthly D6 Gallon Data'!$K46</f>
        <v>0</v>
      </c>
      <c r="F215" s="308">
        <f>'Monthly D6 Gallon Data'!$K58</f>
        <v>0</v>
      </c>
      <c r="G215" s="308">
        <f>'Monthly D6 Gallon Data'!$K70</f>
        <v>0</v>
      </c>
      <c r="H215" s="308">
        <f>'Monthly D6 Gallon Data'!$K82</f>
        <v>0</v>
      </c>
      <c r="I215" s="308">
        <f>'Monthly D6 Gallon Data'!$K94</f>
        <v>0</v>
      </c>
      <c r="J215" s="308">
        <f>'Monthly D6 Gallon Data'!$K106</f>
        <v>0</v>
      </c>
      <c r="K215" s="308">
        <f>'Monthly D6 Gallon Data'!$K118</f>
        <v>0</v>
      </c>
      <c r="L215" s="308">
        <f>'Monthly D6 Gallon Data'!$K130</f>
        <v>0</v>
      </c>
      <c r="M215" s="308">
        <f>'Monthly D6 Gallon Data'!$K142</f>
        <v>0</v>
      </c>
      <c r="N215" s="308">
        <f>'Monthly D6 Gallon Data'!$K154</f>
        <v>0</v>
      </c>
      <c r="O215" s="308">
        <f>'Monthly D6 Gallon Data'!$K166</f>
        <v>0</v>
      </c>
      <c r="P215" s="308">
        <f>'Monthly D6 Gallon Data'!$K178</f>
        <v>0</v>
      </c>
      <c r="Q215" s="307">
        <v>0</v>
      </c>
      <c r="R215" s="307">
        <v>0</v>
      </c>
      <c r="S215" s="307">
        <v>0</v>
      </c>
      <c r="T215" s="307">
        <v>0</v>
      </c>
      <c r="U215" s="307">
        <v>0</v>
      </c>
      <c r="V215" s="307">
        <v>0</v>
      </c>
      <c r="W215" s="307">
        <v>0</v>
      </c>
      <c r="X215" s="307">
        <v>0</v>
      </c>
      <c r="Y215" s="307">
        <v>0</v>
      </c>
      <c r="Z215" s="307">
        <v>0</v>
      </c>
      <c r="AA215" s="307">
        <v>0</v>
      </c>
      <c r="AB215" s="307">
        <v>0</v>
      </c>
      <c r="AC215" s="307">
        <v>0</v>
      </c>
      <c r="AD215" s="307">
        <v>0</v>
      </c>
      <c r="AE215" s="307">
        <v>0</v>
      </c>
      <c r="AF215" s="307">
        <v>0</v>
      </c>
      <c r="AG215" s="307">
        <v>0</v>
      </c>
      <c r="AH215" s="307">
        <v>0</v>
      </c>
      <c r="AI215" s="307">
        <v>0</v>
      </c>
      <c r="AJ215" s="307">
        <v>0</v>
      </c>
      <c r="AK215" s="307">
        <v>0</v>
      </c>
      <c r="AL215" s="307">
        <v>0</v>
      </c>
      <c r="AM215" s="307">
        <v>0</v>
      </c>
      <c r="AN215" s="307">
        <v>0</v>
      </c>
      <c r="AO215" s="307">
        <v>0</v>
      </c>
      <c r="AP215" s="307">
        <v>0</v>
      </c>
      <c r="AQ215" s="307">
        <v>1</v>
      </c>
      <c r="AR215" s="307"/>
      <c r="AS215" s="307"/>
      <c r="AT215" s="307"/>
      <c r="AU215" s="307"/>
      <c r="AV215" s="307"/>
      <c r="AW215" s="307"/>
      <c r="AX215" s="307"/>
      <c r="AY215" s="307"/>
      <c r="AZ215" s="307"/>
      <c r="BA215" s="307"/>
      <c r="BB215" s="307"/>
      <c r="BC215" s="308"/>
      <c r="BD215" s="326">
        <f>AVERAGE(J199:N199)/AVERAGE(J$205:$N$205)</f>
        <v>4.9919252444559338E-2</v>
      </c>
      <c r="BE215" s="308">
        <v>0</v>
      </c>
      <c r="BF215" s="308">
        <f t="shared" si="193"/>
        <v>0</v>
      </c>
      <c r="BG215" s="308">
        <v>0</v>
      </c>
      <c r="BH215" s="308">
        <f t="shared" si="194"/>
        <v>0</v>
      </c>
      <c r="BI215" s="308">
        <v>0</v>
      </c>
      <c r="BJ215" s="308">
        <f t="shared" si="195"/>
        <v>0</v>
      </c>
      <c r="BK215" s="308">
        <v>0</v>
      </c>
      <c r="BL215" s="308">
        <f t="shared" si="196"/>
        <v>0</v>
      </c>
      <c r="BM215" s="309">
        <v>0</v>
      </c>
      <c r="BN215" s="308">
        <f t="shared" si="197"/>
        <v>0</v>
      </c>
      <c r="BO215" s="308">
        <v>0</v>
      </c>
      <c r="BP215" s="308">
        <f t="shared" si="198"/>
        <v>0</v>
      </c>
      <c r="BQ215" s="308"/>
      <c r="BR215" s="308"/>
    </row>
    <row r="216" spans="1:70">
      <c r="A216" s="301" t="s">
        <v>50</v>
      </c>
      <c r="B216" s="308">
        <f>'Monthly D6 Gallon Data'!$K11</f>
        <v>0</v>
      </c>
      <c r="C216" s="308">
        <f>'Monthly D6 Gallon Data'!$K23</f>
        <v>0</v>
      </c>
      <c r="D216" s="308">
        <f>'Monthly D6 Gallon Data'!$K35</f>
        <v>0</v>
      </c>
      <c r="E216" s="308">
        <f>'Monthly D6 Gallon Data'!$K47</f>
        <v>0</v>
      </c>
      <c r="F216" s="308">
        <f>'Monthly D6 Gallon Data'!$K59</f>
        <v>0</v>
      </c>
      <c r="G216" s="308">
        <f>'Monthly D6 Gallon Data'!$K71</f>
        <v>0</v>
      </c>
      <c r="H216" s="308">
        <f>'Monthly D6 Gallon Data'!$K83</f>
        <v>0</v>
      </c>
      <c r="I216" s="308">
        <f>'Monthly D6 Gallon Data'!$K95</f>
        <v>0</v>
      </c>
      <c r="J216" s="308">
        <f>'Monthly D6 Gallon Data'!$K107</f>
        <v>0</v>
      </c>
      <c r="K216" s="308">
        <f>'Monthly D6 Gallon Data'!$K119</f>
        <v>0</v>
      </c>
      <c r="L216" s="308">
        <f>'Monthly D6 Gallon Data'!$K131</f>
        <v>0</v>
      </c>
      <c r="M216" s="308">
        <f>'Monthly D6 Gallon Data'!$K143</f>
        <v>0</v>
      </c>
      <c r="N216" s="308">
        <f>'Monthly D6 Gallon Data'!$K155</f>
        <v>0</v>
      </c>
      <c r="O216" s="308">
        <f>'Monthly D6 Gallon Data'!$K167</f>
        <v>192792</v>
      </c>
      <c r="P216" s="308">
        <f>'Monthly D6 Gallon Data'!$K179</f>
        <v>0</v>
      </c>
      <c r="Q216" s="307">
        <v>0</v>
      </c>
      <c r="R216" s="307">
        <v>0</v>
      </c>
      <c r="S216" s="307">
        <v>0</v>
      </c>
      <c r="T216" s="307">
        <v>0</v>
      </c>
      <c r="U216" s="307">
        <v>0</v>
      </c>
      <c r="V216" s="307">
        <v>0</v>
      </c>
      <c r="W216" s="307">
        <v>0</v>
      </c>
      <c r="X216" s="307">
        <v>0</v>
      </c>
      <c r="Y216" s="307">
        <v>0</v>
      </c>
      <c r="Z216" s="307">
        <v>0</v>
      </c>
      <c r="AA216" s="307">
        <v>0</v>
      </c>
      <c r="AB216" s="307">
        <v>0</v>
      </c>
      <c r="AC216" s="307">
        <v>0</v>
      </c>
      <c r="AD216" s="307">
        <v>0</v>
      </c>
      <c r="AE216" s="307">
        <v>0</v>
      </c>
      <c r="AF216" s="307">
        <v>0</v>
      </c>
      <c r="AG216" s="307">
        <v>0</v>
      </c>
      <c r="AH216" s="307">
        <v>0</v>
      </c>
      <c r="AI216" s="307">
        <v>0</v>
      </c>
      <c r="AJ216" s="307">
        <v>0</v>
      </c>
      <c r="AK216" s="307">
        <v>0</v>
      </c>
      <c r="AL216" s="307">
        <v>0</v>
      </c>
      <c r="AM216" s="307">
        <v>0</v>
      </c>
      <c r="AN216" s="307">
        <v>0</v>
      </c>
      <c r="AO216" s="307">
        <v>0</v>
      </c>
      <c r="AP216" s="307">
        <v>0</v>
      </c>
      <c r="AQ216" s="307">
        <v>1</v>
      </c>
      <c r="AR216" s="307"/>
      <c r="AS216" s="307"/>
      <c r="AT216" s="307"/>
      <c r="AU216" s="307"/>
      <c r="AV216" s="307"/>
      <c r="AW216" s="307"/>
      <c r="AX216" s="307"/>
      <c r="AY216" s="307"/>
      <c r="AZ216" s="307"/>
      <c r="BA216" s="307"/>
      <c r="BB216" s="307"/>
      <c r="BC216" s="308"/>
      <c r="BD216" s="326">
        <f>AVERAGE(J200:N200)/AVERAGE(J$205:$N$205)</f>
        <v>4.5706880236690894E-2</v>
      </c>
      <c r="BE216" s="308">
        <v>0</v>
      </c>
      <c r="BF216" s="308">
        <f t="shared" si="193"/>
        <v>0</v>
      </c>
      <c r="BG216" s="308">
        <v>0</v>
      </c>
      <c r="BH216" s="308">
        <f t="shared" si="194"/>
        <v>0</v>
      </c>
      <c r="BI216" s="308">
        <v>0</v>
      </c>
      <c r="BJ216" s="308">
        <f t="shared" si="195"/>
        <v>0</v>
      </c>
      <c r="BK216" s="308">
        <v>0</v>
      </c>
      <c r="BL216" s="308">
        <f t="shared" si="196"/>
        <v>192792</v>
      </c>
      <c r="BM216" s="309">
        <v>0</v>
      </c>
      <c r="BN216" s="308">
        <f t="shared" si="197"/>
        <v>0</v>
      </c>
      <c r="BO216" s="308">
        <v>0</v>
      </c>
      <c r="BP216" s="308">
        <f t="shared" si="198"/>
        <v>0</v>
      </c>
      <c r="BQ216" s="308"/>
      <c r="BR216" s="308"/>
    </row>
    <row r="217" spans="1:70">
      <c r="A217" s="301" t="s">
        <v>51</v>
      </c>
      <c r="B217" s="308">
        <f>'Monthly D6 Gallon Data'!$K12</f>
        <v>0</v>
      </c>
      <c r="C217" s="308">
        <f>'Monthly D6 Gallon Data'!$K24</f>
        <v>0</v>
      </c>
      <c r="D217" s="308">
        <f>'Monthly D6 Gallon Data'!$K36</f>
        <v>0</v>
      </c>
      <c r="E217" s="308">
        <f>'Monthly D6 Gallon Data'!$K48</f>
        <v>0</v>
      </c>
      <c r="F217" s="308">
        <f>'Monthly D6 Gallon Data'!$K60</f>
        <v>0</v>
      </c>
      <c r="G217" s="308">
        <f>'Monthly D6 Gallon Data'!$K72</f>
        <v>0</v>
      </c>
      <c r="H217" s="308">
        <f>'Monthly D6 Gallon Data'!$K84</f>
        <v>0</v>
      </c>
      <c r="I217" s="308">
        <f>'Monthly D6 Gallon Data'!$K96</f>
        <v>0</v>
      </c>
      <c r="J217" s="308">
        <f>'Monthly D6 Gallon Data'!$K108</f>
        <v>0</v>
      </c>
      <c r="K217" s="308">
        <f>'Monthly D6 Gallon Data'!$K120</f>
        <v>0</v>
      </c>
      <c r="L217" s="308">
        <f>'Monthly D6 Gallon Data'!$K132</f>
        <v>0</v>
      </c>
      <c r="M217" s="308">
        <f>'Monthly D6 Gallon Data'!$K144</f>
        <v>0</v>
      </c>
      <c r="N217" s="308">
        <f>'Monthly D6 Gallon Data'!$K156</f>
        <v>0</v>
      </c>
      <c r="O217" s="308">
        <f>'Monthly D6 Gallon Data'!$K168</f>
        <v>0</v>
      </c>
      <c r="P217" s="308">
        <f>'Monthly D6 Gallon Data'!$K180</f>
        <v>0</v>
      </c>
      <c r="Q217" s="307">
        <v>0</v>
      </c>
      <c r="R217" s="307">
        <v>0</v>
      </c>
      <c r="S217" s="307">
        <v>0</v>
      </c>
      <c r="T217" s="307">
        <v>0</v>
      </c>
      <c r="U217" s="307">
        <v>0</v>
      </c>
      <c r="V217" s="307">
        <v>0</v>
      </c>
      <c r="W217" s="307">
        <v>0</v>
      </c>
      <c r="X217" s="307">
        <v>0</v>
      </c>
      <c r="Y217" s="307">
        <v>0</v>
      </c>
      <c r="Z217" s="307">
        <v>0</v>
      </c>
      <c r="AA217" s="307">
        <v>0</v>
      </c>
      <c r="AB217" s="307">
        <v>0</v>
      </c>
      <c r="AC217" s="307">
        <v>0</v>
      </c>
      <c r="AD217" s="307">
        <v>0</v>
      </c>
      <c r="AE217" s="307">
        <v>0</v>
      </c>
      <c r="AF217" s="307">
        <v>0</v>
      </c>
      <c r="AG217" s="307">
        <v>0</v>
      </c>
      <c r="AH217" s="307">
        <v>0</v>
      </c>
      <c r="AI217" s="307">
        <v>0</v>
      </c>
      <c r="AJ217" s="307">
        <v>0</v>
      </c>
      <c r="AK217" s="307">
        <v>0</v>
      </c>
      <c r="AL217" s="307">
        <v>0</v>
      </c>
      <c r="AM217" s="307">
        <v>0</v>
      </c>
      <c r="AN217" s="307">
        <v>0</v>
      </c>
      <c r="AO217" s="307">
        <v>0</v>
      </c>
      <c r="AP217" s="307">
        <v>0</v>
      </c>
      <c r="AQ217" s="307">
        <v>1</v>
      </c>
      <c r="AR217" s="307"/>
      <c r="AS217" s="307"/>
      <c r="AT217" s="307"/>
      <c r="AU217" s="307"/>
      <c r="AV217" s="307"/>
      <c r="AW217" s="307"/>
      <c r="AX217" s="307"/>
      <c r="AY217" s="307"/>
      <c r="AZ217" s="307"/>
      <c r="BA217" s="307"/>
      <c r="BB217" s="307"/>
      <c r="BC217" s="308"/>
      <c r="BD217" s="326">
        <f>AVERAGE(J201:N201)/AVERAGE(J$205:$N$205)</f>
        <v>6.2253654526292286E-2</v>
      </c>
      <c r="BE217" s="308">
        <v>0</v>
      </c>
      <c r="BF217" s="308">
        <f t="shared" si="193"/>
        <v>0</v>
      </c>
      <c r="BG217" s="308">
        <v>0</v>
      </c>
      <c r="BH217" s="308">
        <f t="shared" si="194"/>
        <v>0</v>
      </c>
      <c r="BI217" s="308">
        <v>0</v>
      </c>
      <c r="BJ217" s="308">
        <f t="shared" si="195"/>
        <v>0</v>
      </c>
      <c r="BK217" s="308">
        <v>0</v>
      </c>
      <c r="BL217" s="308">
        <f t="shared" si="196"/>
        <v>0</v>
      </c>
      <c r="BM217" s="309">
        <v>0</v>
      </c>
      <c r="BN217" s="308">
        <f t="shared" si="197"/>
        <v>0</v>
      </c>
      <c r="BO217" s="308">
        <v>0</v>
      </c>
      <c r="BP217" s="308">
        <f t="shared" si="198"/>
        <v>0</v>
      </c>
      <c r="BQ217" s="308"/>
      <c r="BR217" s="308"/>
    </row>
    <row r="218" spans="1:70">
      <c r="A218" s="301" t="s">
        <v>52</v>
      </c>
      <c r="B218" s="308">
        <f>'Monthly D6 Gallon Data'!$K13</f>
        <v>0</v>
      </c>
      <c r="C218" s="308">
        <f>'Monthly D6 Gallon Data'!$K25</f>
        <v>0</v>
      </c>
      <c r="D218" s="308">
        <f>'Monthly D6 Gallon Data'!$K37</f>
        <v>0</v>
      </c>
      <c r="E218" s="308">
        <f>'Monthly D6 Gallon Data'!$K49</f>
        <v>0</v>
      </c>
      <c r="F218" s="308">
        <f>'Monthly D6 Gallon Data'!$K61</f>
        <v>0</v>
      </c>
      <c r="G218" s="308">
        <f>'Monthly D6 Gallon Data'!$K73</f>
        <v>0</v>
      </c>
      <c r="H218" s="308">
        <f>'Monthly D6 Gallon Data'!$K85</f>
        <v>0</v>
      </c>
      <c r="I218" s="308">
        <f>'Monthly D6 Gallon Data'!$K97</f>
        <v>0</v>
      </c>
      <c r="J218" s="308">
        <f>'Monthly D6 Gallon Data'!$K109</f>
        <v>0</v>
      </c>
      <c r="K218" s="308">
        <f>'Monthly D6 Gallon Data'!$K121</f>
        <v>0</v>
      </c>
      <c r="L218" s="308">
        <f>'Monthly D6 Gallon Data'!$K133</f>
        <v>0</v>
      </c>
      <c r="M218" s="308">
        <f>'Monthly D6 Gallon Data'!$K145</f>
        <v>0</v>
      </c>
      <c r="N218" s="308">
        <f>'Monthly D6 Gallon Data'!$K157</f>
        <v>0</v>
      </c>
      <c r="O218" s="308">
        <f>'Monthly D6 Gallon Data'!$K169</f>
        <v>4124</v>
      </c>
      <c r="P218" s="308">
        <f>'Monthly D6 Gallon Data'!$K181</f>
        <v>0</v>
      </c>
      <c r="Q218" s="307">
        <v>0</v>
      </c>
      <c r="R218" s="307">
        <v>0</v>
      </c>
      <c r="S218" s="307">
        <v>0</v>
      </c>
      <c r="T218" s="307">
        <v>0</v>
      </c>
      <c r="U218" s="307">
        <v>0</v>
      </c>
      <c r="V218" s="307">
        <v>0</v>
      </c>
      <c r="W218" s="307">
        <v>0</v>
      </c>
      <c r="X218" s="307">
        <v>0</v>
      </c>
      <c r="Y218" s="307">
        <v>0</v>
      </c>
      <c r="Z218" s="307">
        <v>0</v>
      </c>
      <c r="AA218" s="307">
        <v>0</v>
      </c>
      <c r="AB218" s="307">
        <v>0</v>
      </c>
      <c r="AC218" s="307">
        <v>0</v>
      </c>
      <c r="AD218" s="307">
        <v>0</v>
      </c>
      <c r="AE218" s="307">
        <v>0</v>
      </c>
      <c r="AF218" s="307">
        <v>0</v>
      </c>
      <c r="AG218" s="307">
        <v>0</v>
      </c>
      <c r="AH218" s="307">
        <v>0</v>
      </c>
      <c r="AI218" s="307">
        <v>0</v>
      </c>
      <c r="AJ218" s="307">
        <v>0</v>
      </c>
      <c r="AK218" s="307">
        <v>0</v>
      </c>
      <c r="AL218" s="307">
        <v>0</v>
      </c>
      <c r="AM218" s="307">
        <v>0</v>
      </c>
      <c r="AN218" s="307">
        <v>0</v>
      </c>
      <c r="AO218" s="307">
        <v>0</v>
      </c>
      <c r="AP218" s="307">
        <v>0</v>
      </c>
      <c r="AQ218" s="307">
        <v>1</v>
      </c>
      <c r="AR218" s="307"/>
      <c r="AS218" s="307"/>
      <c r="AT218" s="307"/>
      <c r="AU218" s="307"/>
      <c r="AV218" s="307"/>
      <c r="AW218" s="307"/>
      <c r="AX218" s="307"/>
      <c r="AY218" s="307"/>
      <c r="AZ218" s="307"/>
      <c r="BA218" s="307"/>
      <c r="BB218" s="307"/>
      <c r="BC218" s="308"/>
      <c r="BD218" s="326">
        <f>AVERAGE(J202:N202)/AVERAGE(J$205:$N$205)</f>
        <v>9.606315220430868E-2</v>
      </c>
      <c r="BE218" s="308">
        <v>0</v>
      </c>
      <c r="BF218" s="308">
        <f t="shared" si="193"/>
        <v>0</v>
      </c>
      <c r="BG218" s="308">
        <v>0</v>
      </c>
      <c r="BH218" s="308">
        <f t="shared" si="194"/>
        <v>0</v>
      </c>
      <c r="BI218" s="308">
        <v>0</v>
      </c>
      <c r="BJ218" s="308">
        <f t="shared" si="195"/>
        <v>0</v>
      </c>
      <c r="BK218" s="308">
        <v>0</v>
      </c>
      <c r="BL218" s="308">
        <f t="shared" si="196"/>
        <v>4124</v>
      </c>
      <c r="BM218" s="309">
        <v>0</v>
      </c>
      <c r="BN218" s="308">
        <f t="shared" si="197"/>
        <v>0</v>
      </c>
      <c r="BO218" s="308">
        <v>0</v>
      </c>
      <c r="BP218" s="308">
        <f t="shared" si="198"/>
        <v>0</v>
      </c>
      <c r="BQ218" s="308"/>
      <c r="BR218" s="308"/>
    </row>
    <row r="219" spans="1:70">
      <c r="A219" s="301" t="s">
        <v>53</v>
      </c>
      <c r="B219" s="308">
        <f>'Monthly D6 Gallon Data'!$K14</f>
        <v>0</v>
      </c>
      <c r="C219" s="308">
        <f>'Monthly D6 Gallon Data'!$K26</f>
        <v>0</v>
      </c>
      <c r="D219" s="308">
        <f>'Monthly D6 Gallon Data'!$K38</f>
        <v>0</v>
      </c>
      <c r="E219" s="308">
        <f>'Monthly D6 Gallon Data'!$K50</f>
        <v>0</v>
      </c>
      <c r="F219" s="308">
        <f>'Monthly D6 Gallon Data'!$K62</f>
        <v>0</v>
      </c>
      <c r="G219" s="308">
        <f>'Monthly D6 Gallon Data'!$K74</f>
        <v>0</v>
      </c>
      <c r="H219" s="308">
        <f>'Monthly D6 Gallon Data'!$K86</f>
        <v>0</v>
      </c>
      <c r="I219" s="308">
        <f>'Monthly D6 Gallon Data'!$K98</f>
        <v>0</v>
      </c>
      <c r="J219" s="308">
        <f>'Monthly D6 Gallon Data'!$K110</f>
        <v>0</v>
      </c>
      <c r="K219" s="308">
        <f>'Monthly D6 Gallon Data'!$K122</f>
        <v>0</v>
      </c>
      <c r="L219" s="308">
        <f>'Monthly D6 Gallon Data'!$K134</f>
        <v>0</v>
      </c>
      <c r="M219" s="308">
        <f>'Monthly D6 Gallon Data'!$K146</f>
        <v>0</v>
      </c>
      <c r="N219" s="308">
        <f>'Monthly D6 Gallon Data'!$K158</f>
        <v>0</v>
      </c>
      <c r="O219" s="308">
        <f>'Monthly D6 Gallon Data'!$K170</f>
        <v>357112</v>
      </c>
      <c r="P219" s="308">
        <f>'Monthly D6 Gallon Data'!$K182</f>
        <v>0</v>
      </c>
      <c r="Q219" s="307">
        <v>0</v>
      </c>
      <c r="R219" s="307">
        <v>0</v>
      </c>
      <c r="S219" s="307">
        <v>0</v>
      </c>
      <c r="T219" s="307">
        <v>0</v>
      </c>
      <c r="U219" s="307">
        <v>0</v>
      </c>
      <c r="V219" s="307">
        <v>0</v>
      </c>
      <c r="W219" s="307">
        <v>0</v>
      </c>
      <c r="X219" s="307">
        <v>0</v>
      </c>
      <c r="Y219" s="307">
        <v>0</v>
      </c>
      <c r="Z219" s="307">
        <v>0</v>
      </c>
      <c r="AA219" s="307">
        <v>0</v>
      </c>
      <c r="AB219" s="307">
        <v>0</v>
      </c>
      <c r="AC219" s="307">
        <v>0</v>
      </c>
      <c r="AD219" s="307">
        <v>0</v>
      </c>
      <c r="AE219" s="307">
        <v>0</v>
      </c>
      <c r="AF219" s="307">
        <v>0</v>
      </c>
      <c r="AG219" s="307">
        <v>0</v>
      </c>
      <c r="AH219" s="307">
        <v>0</v>
      </c>
      <c r="AI219" s="307">
        <v>0</v>
      </c>
      <c r="AJ219" s="307">
        <v>0</v>
      </c>
      <c r="AK219" s="307">
        <v>0</v>
      </c>
      <c r="AL219" s="307">
        <v>0</v>
      </c>
      <c r="AM219" s="307">
        <v>0</v>
      </c>
      <c r="AN219" s="307">
        <v>0</v>
      </c>
      <c r="AO219" s="307">
        <v>0</v>
      </c>
      <c r="AP219" s="307">
        <v>0</v>
      </c>
      <c r="AQ219" s="307">
        <v>1</v>
      </c>
      <c r="AR219" s="307"/>
      <c r="AS219" s="307"/>
      <c r="AT219" s="307"/>
      <c r="AU219" s="307"/>
      <c r="AV219" s="307"/>
      <c r="AW219" s="307"/>
      <c r="AX219" s="307"/>
      <c r="AY219" s="307"/>
      <c r="AZ219" s="307"/>
      <c r="BA219" s="307"/>
      <c r="BB219" s="307"/>
      <c r="BC219" s="308"/>
      <c r="BD219" s="326">
        <f>AVERAGE(J203:N203)/AVERAGE(J$205:$N$205)</f>
        <v>8.138326833212256E-2</v>
      </c>
      <c r="BE219" s="308">
        <v>0</v>
      </c>
      <c r="BF219" s="308">
        <f t="shared" si="193"/>
        <v>0</v>
      </c>
      <c r="BG219" s="308">
        <v>0</v>
      </c>
      <c r="BH219" s="308">
        <f t="shared" si="194"/>
        <v>0</v>
      </c>
      <c r="BI219" s="308">
        <v>0</v>
      </c>
      <c r="BJ219" s="308">
        <f t="shared" si="195"/>
        <v>0</v>
      </c>
      <c r="BK219" s="309">
        <v>0</v>
      </c>
      <c r="BL219" s="308">
        <f t="shared" si="196"/>
        <v>357112</v>
      </c>
      <c r="BM219" s="309">
        <v>0</v>
      </c>
      <c r="BN219" s="308">
        <f t="shared" si="197"/>
        <v>0</v>
      </c>
      <c r="BO219" s="308">
        <v>0</v>
      </c>
      <c r="BP219" s="308">
        <f t="shared" si="198"/>
        <v>0</v>
      </c>
      <c r="BQ219" s="308"/>
      <c r="BR219" s="308"/>
    </row>
    <row r="220" spans="1:70">
      <c r="A220" s="301" t="s">
        <v>54</v>
      </c>
      <c r="B220" s="308">
        <f>'Monthly D6 Gallon Data'!$K15</f>
        <v>0</v>
      </c>
      <c r="C220" s="308">
        <f>'Monthly D6 Gallon Data'!$K27</f>
        <v>0</v>
      </c>
      <c r="D220" s="308">
        <f>'Monthly D6 Gallon Data'!$K39</f>
        <v>0</v>
      </c>
      <c r="E220" s="308">
        <f>'Monthly D6 Gallon Data'!$K51</f>
        <v>0</v>
      </c>
      <c r="F220" s="308">
        <f>'Monthly D6 Gallon Data'!$K63</f>
        <v>0</v>
      </c>
      <c r="G220" s="308">
        <f>'Monthly D6 Gallon Data'!$K75</f>
        <v>0</v>
      </c>
      <c r="H220" s="308">
        <f>'Monthly D6 Gallon Data'!$K87</f>
        <v>0</v>
      </c>
      <c r="I220" s="308">
        <f>'Monthly D6 Gallon Data'!$K99</f>
        <v>0</v>
      </c>
      <c r="J220" s="308">
        <f>'Monthly D6 Gallon Data'!$K111</f>
        <v>0</v>
      </c>
      <c r="K220" s="308">
        <f>'Monthly D6 Gallon Data'!$K123</f>
        <v>0</v>
      </c>
      <c r="L220" s="308">
        <f>'Monthly D6 Gallon Data'!$K135</f>
        <v>0</v>
      </c>
      <c r="M220" s="308">
        <f>'Monthly D6 Gallon Data'!$K147</f>
        <v>0</v>
      </c>
      <c r="N220" s="308">
        <f>'Monthly D6 Gallon Data'!$K159</f>
        <v>0</v>
      </c>
      <c r="O220" s="308">
        <f>'Monthly D6 Gallon Data'!$K171</f>
        <v>0</v>
      </c>
      <c r="P220" s="308">
        <f>'Monthly D6 Gallon Data'!$K183</f>
        <v>0</v>
      </c>
      <c r="Q220" s="307">
        <v>0</v>
      </c>
      <c r="R220" s="307">
        <v>0</v>
      </c>
      <c r="S220" s="307">
        <v>0</v>
      </c>
      <c r="T220" s="307">
        <v>0</v>
      </c>
      <c r="U220" s="307">
        <v>0</v>
      </c>
      <c r="V220" s="307">
        <v>0</v>
      </c>
      <c r="W220" s="307">
        <v>0</v>
      </c>
      <c r="X220" s="307">
        <v>0</v>
      </c>
      <c r="Y220" s="307">
        <v>0</v>
      </c>
      <c r="Z220" s="307">
        <v>0</v>
      </c>
      <c r="AA220" s="307">
        <v>0</v>
      </c>
      <c r="AB220" s="307">
        <v>0</v>
      </c>
      <c r="AC220" s="307">
        <v>0</v>
      </c>
      <c r="AD220" s="307">
        <v>0</v>
      </c>
      <c r="AE220" s="307">
        <v>0</v>
      </c>
      <c r="AF220" s="307">
        <v>0</v>
      </c>
      <c r="AG220" s="307">
        <v>0</v>
      </c>
      <c r="AH220" s="307">
        <v>0</v>
      </c>
      <c r="AI220" s="307">
        <v>0</v>
      </c>
      <c r="AJ220" s="307">
        <v>0</v>
      </c>
      <c r="AK220" s="307">
        <v>0</v>
      </c>
      <c r="AL220" s="307">
        <v>0</v>
      </c>
      <c r="AM220" s="307">
        <v>0</v>
      </c>
      <c r="AN220" s="307">
        <v>0</v>
      </c>
      <c r="AO220" s="307">
        <v>0</v>
      </c>
      <c r="AP220" s="307">
        <v>0</v>
      </c>
      <c r="AQ220" s="307">
        <v>1</v>
      </c>
      <c r="AR220" s="307"/>
      <c r="AS220" s="307"/>
      <c r="AT220" s="307"/>
      <c r="AU220" s="307"/>
      <c r="AV220" s="307"/>
      <c r="AW220" s="307"/>
      <c r="AX220" s="307"/>
      <c r="AY220" s="307"/>
      <c r="AZ220" s="307"/>
      <c r="BA220" s="307"/>
      <c r="BB220" s="307"/>
      <c r="BC220" s="308"/>
      <c r="BD220" s="326">
        <f>AVERAGE(J204:N204)/AVERAGE(J$205:$N$205)</f>
        <v>9.6744952603855516E-2</v>
      </c>
      <c r="BE220" s="308">
        <v>0</v>
      </c>
      <c r="BF220" s="308">
        <f t="shared" si="193"/>
        <v>0</v>
      </c>
      <c r="BG220" s="308">
        <v>0</v>
      </c>
      <c r="BH220" s="308">
        <f t="shared" si="194"/>
        <v>0</v>
      </c>
      <c r="BI220" s="308">
        <v>0</v>
      </c>
      <c r="BJ220" s="308">
        <f t="shared" si="195"/>
        <v>0</v>
      </c>
      <c r="BK220" s="309">
        <v>0</v>
      </c>
      <c r="BL220" s="308">
        <f t="shared" si="196"/>
        <v>0</v>
      </c>
      <c r="BM220" s="309">
        <v>0</v>
      </c>
      <c r="BN220" s="308">
        <f t="shared" si="197"/>
        <v>0</v>
      </c>
      <c r="BO220" s="308">
        <v>0</v>
      </c>
      <c r="BP220" s="308">
        <f t="shared" si="198"/>
        <v>0</v>
      </c>
      <c r="BQ220" s="308"/>
      <c r="BR220" s="308"/>
    </row>
    <row r="221" spans="1:70" ht="12" thickBot="1">
      <c r="A221" s="301" t="s">
        <v>29</v>
      </c>
      <c r="B221" s="308">
        <f t="shared" ref="B221:P221" si="199">SUM(B209:B220)</f>
        <v>0</v>
      </c>
      <c r="C221" s="308">
        <f t="shared" si="199"/>
        <v>0</v>
      </c>
      <c r="D221" s="308">
        <f t="shared" si="199"/>
        <v>0</v>
      </c>
      <c r="E221" s="308">
        <f t="shared" si="199"/>
        <v>0</v>
      </c>
      <c r="F221" s="308">
        <f t="shared" si="199"/>
        <v>0</v>
      </c>
      <c r="G221" s="308">
        <f t="shared" si="199"/>
        <v>0</v>
      </c>
      <c r="H221" s="308">
        <f t="shared" si="199"/>
        <v>0</v>
      </c>
      <c r="I221" s="308">
        <f t="shared" si="199"/>
        <v>0</v>
      </c>
      <c r="J221" s="308">
        <f t="shared" si="199"/>
        <v>0</v>
      </c>
      <c r="K221" s="308">
        <f t="shared" si="199"/>
        <v>0</v>
      </c>
      <c r="L221" s="308">
        <f t="shared" si="199"/>
        <v>0</v>
      </c>
      <c r="M221" s="308">
        <f t="shared" si="199"/>
        <v>0</v>
      </c>
      <c r="N221" s="308">
        <f t="shared" si="199"/>
        <v>0</v>
      </c>
      <c r="O221" s="308">
        <f t="shared" si="199"/>
        <v>554028</v>
      </c>
      <c r="P221" s="308">
        <f t="shared" si="199"/>
        <v>147171</v>
      </c>
      <c r="Q221" s="307">
        <f t="shared" ref="Q221:AD221" si="200">SUM(Q209:Q220)</f>
        <v>0</v>
      </c>
      <c r="R221" s="307">
        <f t="shared" si="200"/>
        <v>0</v>
      </c>
      <c r="S221" s="307">
        <f t="shared" si="200"/>
        <v>0</v>
      </c>
      <c r="T221" s="307">
        <f t="shared" si="200"/>
        <v>0</v>
      </c>
      <c r="U221" s="307">
        <f t="shared" si="200"/>
        <v>0</v>
      </c>
      <c r="V221" s="307">
        <f t="shared" si="200"/>
        <v>0</v>
      </c>
      <c r="W221" s="307">
        <f t="shared" si="200"/>
        <v>0</v>
      </c>
      <c r="X221" s="307">
        <f t="shared" si="200"/>
        <v>0</v>
      </c>
      <c r="Y221" s="307">
        <f t="shared" si="200"/>
        <v>0</v>
      </c>
      <c r="Z221" s="307">
        <f t="shared" si="200"/>
        <v>0</v>
      </c>
      <c r="AA221" s="307">
        <f t="shared" si="200"/>
        <v>0</v>
      </c>
      <c r="AB221" s="307">
        <f t="shared" si="200"/>
        <v>0</v>
      </c>
      <c r="AC221" s="307">
        <f t="shared" si="200"/>
        <v>0</v>
      </c>
      <c r="AD221" s="307">
        <f t="shared" si="200"/>
        <v>0</v>
      </c>
      <c r="AE221" s="307">
        <f>SUM(AE209:AE220)</f>
        <v>0</v>
      </c>
      <c r="AF221" s="307">
        <f>SUM(AF209:AF220)</f>
        <v>0</v>
      </c>
      <c r="AG221" s="307">
        <f>SUM(AG209:AG220)</f>
        <v>0</v>
      </c>
      <c r="AH221" s="307">
        <f t="shared" ref="AH221:AQ221" si="201">SUM(AH209:AH220)</f>
        <v>0</v>
      </c>
      <c r="AI221" s="307">
        <f t="shared" si="201"/>
        <v>0</v>
      </c>
      <c r="AJ221" s="307">
        <f t="shared" si="201"/>
        <v>0</v>
      </c>
      <c r="AK221" s="307">
        <f t="shared" si="201"/>
        <v>0</v>
      </c>
      <c r="AL221" s="307">
        <f t="shared" si="201"/>
        <v>0</v>
      </c>
      <c r="AM221" s="307">
        <f t="shared" si="201"/>
        <v>0</v>
      </c>
      <c r="AN221" s="307">
        <f t="shared" si="201"/>
        <v>0</v>
      </c>
      <c r="AO221" s="307">
        <f t="shared" si="201"/>
        <v>0</v>
      </c>
      <c r="AP221" s="307">
        <f t="shared" si="201"/>
        <v>0</v>
      </c>
      <c r="AQ221" s="307">
        <f t="shared" si="201"/>
        <v>12</v>
      </c>
      <c r="AR221" s="307"/>
      <c r="AS221" s="307"/>
      <c r="AT221" s="307"/>
      <c r="AU221" s="307"/>
      <c r="AV221" s="307"/>
      <c r="AW221" s="307"/>
      <c r="AX221" s="307"/>
      <c r="AY221" s="307"/>
      <c r="AZ221" s="307"/>
      <c r="BA221" s="307"/>
      <c r="BB221" s="307"/>
      <c r="BC221" s="308"/>
      <c r="BE221" s="308">
        <v>0</v>
      </c>
      <c r="BF221" s="308">
        <f t="shared" si="193"/>
        <v>0</v>
      </c>
      <c r="BG221" s="308">
        <v>0</v>
      </c>
      <c r="BH221" s="308">
        <f t="shared" si="194"/>
        <v>0</v>
      </c>
      <c r="BI221" s="308">
        <v>0</v>
      </c>
      <c r="BJ221" s="308">
        <f t="shared" si="195"/>
        <v>0</v>
      </c>
      <c r="BK221" s="309">
        <v>196916</v>
      </c>
      <c r="BL221" s="308">
        <f t="shared" si="196"/>
        <v>357112</v>
      </c>
      <c r="BM221" s="309">
        <v>147171</v>
      </c>
      <c r="BN221" s="308">
        <f t="shared" si="197"/>
        <v>0</v>
      </c>
      <c r="BO221" s="308">
        <v>0</v>
      </c>
      <c r="BP221" s="308">
        <f t="shared" si="198"/>
        <v>0</v>
      </c>
      <c r="BQ221" s="308"/>
      <c r="BR221" s="308"/>
    </row>
    <row r="222" spans="1:70">
      <c r="A222" s="334"/>
      <c r="B222" s="334"/>
      <c r="C222" s="334"/>
      <c r="D222" s="334"/>
      <c r="E222" s="334"/>
      <c r="F222" s="334"/>
      <c r="G222" s="334"/>
      <c r="H222" s="334"/>
      <c r="I222" s="334"/>
      <c r="J222" s="334"/>
      <c r="K222" s="334"/>
      <c r="L222" s="334"/>
      <c r="M222" s="334"/>
      <c r="N222" s="334"/>
      <c r="O222" s="334"/>
      <c r="P222" s="334"/>
      <c r="Q222" s="334"/>
      <c r="R222" s="334"/>
      <c r="S222" s="334"/>
      <c r="T222" s="334"/>
      <c r="U222" s="334"/>
      <c r="V222" s="334"/>
      <c r="W222" s="334"/>
      <c r="X222" s="334"/>
      <c r="Y222" s="334"/>
      <c r="Z222" s="334"/>
      <c r="AA222" s="334"/>
      <c r="AB222" s="334"/>
      <c r="AC222" s="334"/>
      <c r="AD222" s="334"/>
      <c r="AE222" s="334"/>
      <c r="AF222" s="334"/>
      <c r="AG222" s="334"/>
      <c r="AH222" s="334"/>
      <c r="AI222" s="334"/>
      <c r="AJ222" s="334"/>
      <c r="AK222" s="334"/>
      <c r="AL222" s="334"/>
      <c r="AM222" s="334"/>
      <c r="AN222" s="334"/>
      <c r="AO222" s="334"/>
      <c r="AP222" s="334"/>
      <c r="AQ222" s="334"/>
      <c r="BC222" s="308"/>
      <c r="BG222" s="309"/>
    </row>
    <row r="223" spans="1:70" ht="12" thickBot="1">
      <c r="A223" s="300" t="s">
        <v>502</v>
      </c>
      <c r="BC223" s="308"/>
      <c r="BG223" s="309"/>
    </row>
    <row r="224" spans="1:70" ht="12" thickBot="1">
      <c r="A224" s="328"/>
      <c r="B224" s="329">
        <f t="shared" ref="B224:AQ224" si="202">B2</f>
        <v>2010</v>
      </c>
      <c r="C224" s="329">
        <f t="shared" si="202"/>
        <v>2011</v>
      </c>
      <c r="D224" s="329">
        <f t="shared" si="202"/>
        <v>2012</v>
      </c>
      <c r="E224" s="329">
        <f t="shared" si="202"/>
        <v>2013</v>
      </c>
      <c r="F224" s="329">
        <f t="shared" si="202"/>
        <v>2014</v>
      </c>
      <c r="G224" s="329">
        <f t="shared" si="202"/>
        <v>2015</v>
      </c>
      <c r="H224" s="329">
        <f t="shared" si="202"/>
        <v>2016</v>
      </c>
      <c r="I224" s="329">
        <f t="shared" si="202"/>
        <v>2017</v>
      </c>
      <c r="J224" s="329">
        <f t="shared" si="202"/>
        <v>2018</v>
      </c>
      <c r="K224" s="329">
        <f t="shared" si="202"/>
        <v>2019</v>
      </c>
      <c r="L224" s="329">
        <f t="shared" si="202"/>
        <v>2020</v>
      </c>
      <c r="M224" s="329">
        <f t="shared" si="202"/>
        <v>2021</v>
      </c>
      <c r="N224" s="329">
        <f t="shared" si="202"/>
        <v>2022</v>
      </c>
      <c r="O224" s="329">
        <f t="shared" si="202"/>
        <v>2023</v>
      </c>
      <c r="P224" s="329">
        <f t="shared" si="202"/>
        <v>2024</v>
      </c>
      <c r="Q224" s="329">
        <f t="shared" si="202"/>
        <v>2025</v>
      </c>
      <c r="R224" s="329">
        <f t="shared" si="202"/>
        <v>2026</v>
      </c>
      <c r="S224" s="329">
        <f t="shared" si="202"/>
        <v>2027</v>
      </c>
      <c r="T224" s="329">
        <f t="shared" si="202"/>
        <v>2028</v>
      </c>
      <c r="U224" s="329">
        <f t="shared" si="202"/>
        <v>2029</v>
      </c>
      <c r="V224" s="329">
        <f t="shared" si="202"/>
        <v>2030</v>
      </c>
      <c r="W224" s="329">
        <f t="shared" si="202"/>
        <v>2031</v>
      </c>
      <c r="X224" s="329">
        <f t="shared" si="202"/>
        <v>2032</v>
      </c>
      <c r="Y224" s="329">
        <f t="shared" si="202"/>
        <v>2033</v>
      </c>
      <c r="Z224" s="329">
        <f t="shared" si="202"/>
        <v>2034</v>
      </c>
      <c r="AA224" s="329">
        <f t="shared" si="202"/>
        <v>2035</v>
      </c>
      <c r="AB224" s="329">
        <f t="shared" si="202"/>
        <v>2036</v>
      </c>
      <c r="AC224" s="329">
        <f t="shared" si="202"/>
        <v>2037</v>
      </c>
      <c r="AD224" s="329">
        <f t="shared" si="202"/>
        <v>2038</v>
      </c>
      <c r="AE224" s="329">
        <f t="shared" si="202"/>
        <v>2039</v>
      </c>
      <c r="AF224" s="329">
        <f t="shared" si="202"/>
        <v>2040</v>
      </c>
      <c r="AG224" s="329">
        <f t="shared" si="202"/>
        <v>2041</v>
      </c>
      <c r="AH224" s="329">
        <f t="shared" si="202"/>
        <v>2042</v>
      </c>
      <c r="AI224" s="329">
        <f t="shared" si="202"/>
        <v>2043</v>
      </c>
      <c r="AJ224" s="329">
        <f t="shared" si="202"/>
        <v>2044</v>
      </c>
      <c r="AK224" s="329">
        <f t="shared" si="202"/>
        <v>2045</v>
      </c>
      <c r="AL224" s="329">
        <f t="shared" si="202"/>
        <v>2046</v>
      </c>
      <c r="AM224" s="329">
        <f t="shared" si="202"/>
        <v>2047</v>
      </c>
      <c r="AN224" s="329">
        <f t="shared" si="202"/>
        <v>2048</v>
      </c>
      <c r="AO224" s="329">
        <f t="shared" si="202"/>
        <v>2049</v>
      </c>
      <c r="AP224" s="329">
        <f t="shared" si="202"/>
        <v>2050</v>
      </c>
      <c r="AQ224" s="329">
        <f t="shared" si="202"/>
        <v>2051</v>
      </c>
      <c r="AR224" s="300"/>
      <c r="AS224" s="300"/>
      <c r="AT224" s="300"/>
      <c r="AU224" s="300"/>
      <c r="AV224" s="300"/>
      <c r="AW224" s="300"/>
      <c r="AX224" s="300"/>
      <c r="AY224" s="300"/>
      <c r="AZ224" s="300"/>
      <c r="BA224" s="300"/>
      <c r="BB224" s="300"/>
      <c r="BC224" s="308"/>
      <c r="BG224" s="309"/>
    </row>
    <row r="225" spans="1:71">
      <c r="A225" s="301" t="s">
        <v>43</v>
      </c>
      <c r="B225" s="308">
        <f>'Monthly D6 Gallon Data'!$L4</f>
        <v>0</v>
      </c>
      <c r="C225" s="308">
        <f>'Monthly D6 Gallon Data'!$L16</f>
        <v>0</v>
      </c>
      <c r="D225" s="308">
        <f>'Monthly D6 Gallon Data'!$L28</f>
        <v>0</v>
      </c>
      <c r="E225" s="308">
        <f>'Monthly D6 Gallon Data'!$L40</f>
        <v>0</v>
      </c>
      <c r="F225" s="308">
        <f>'Monthly D6 Gallon Data'!$L52</f>
        <v>14377757</v>
      </c>
      <c r="G225" s="308">
        <f>'Monthly D6 Gallon Data'!$L64</f>
        <v>20283822</v>
      </c>
      <c r="H225" s="308">
        <f>'Monthly D6 Gallon Data'!$L76</f>
        <v>18194968</v>
      </c>
      <c r="I225" s="308">
        <f>'Monthly D6 Gallon Data'!$L88</f>
        <v>10036032</v>
      </c>
      <c r="J225" s="308">
        <f>'Monthly D6 Gallon Data'!$L100</f>
        <v>16106505</v>
      </c>
      <c r="K225" s="308">
        <f>'Monthly D6 Gallon Data'!$L112</f>
        <v>11204247</v>
      </c>
      <c r="L225" s="308">
        <f>'Monthly D6 Gallon Data'!$L124</f>
        <v>7522066</v>
      </c>
      <c r="M225" s="308">
        <f>'Monthly D6 Gallon Data'!$L136</f>
        <v>3349620</v>
      </c>
      <c r="N225" s="308">
        <f>'Monthly D6 Gallon Data'!$L148</f>
        <v>3343975</v>
      </c>
      <c r="O225" s="308">
        <f>'Monthly D6 Gallon Data'!$L160</f>
        <v>8617057</v>
      </c>
      <c r="P225" s="308">
        <f>'Monthly D6 Gallon Data'!$L172</f>
        <v>0</v>
      </c>
      <c r="Q225" s="308">
        <f>'Monthly D6 Gallon Data'!$L184</f>
        <v>0</v>
      </c>
      <c r="R225" s="307">
        <v>0</v>
      </c>
      <c r="S225" s="307">
        <v>0</v>
      </c>
      <c r="T225" s="307">
        <v>0</v>
      </c>
      <c r="U225" s="307">
        <v>0</v>
      </c>
      <c r="V225" s="307">
        <v>0</v>
      </c>
      <c r="W225" s="307">
        <v>0</v>
      </c>
      <c r="X225" s="307">
        <v>0</v>
      </c>
      <c r="Y225" s="307">
        <v>0</v>
      </c>
      <c r="Z225" s="307">
        <v>0</v>
      </c>
      <c r="AA225" s="307">
        <v>0</v>
      </c>
      <c r="AB225" s="307">
        <v>0</v>
      </c>
      <c r="AC225" s="307">
        <v>0</v>
      </c>
      <c r="AD225" s="307">
        <v>0</v>
      </c>
      <c r="AE225" s="307">
        <v>0</v>
      </c>
      <c r="AF225" s="307">
        <v>0</v>
      </c>
      <c r="AG225" s="307">
        <v>0</v>
      </c>
      <c r="AH225" s="307">
        <v>0</v>
      </c>
      <c r="AI225" s="307">
        <v>0</v>
      </c>
      <c r="AJ225" s="307">
        <v>0</v>
      </c>
      <c r="AK225" s="307">
        <v>0</v>
      </c>
      <c r="AL225" s="307">
        <v>0</v>
      </c>
      <c r="AM225" s="307">
        <v>0</v>
      </c>
      <c r="AN225" s="307">
        <v>0</v>
      </c>
      <c r="AO225" s="307">
        <v>0</v>
      </c>
      <c r="AP225" s="307">
        <v>0</v>
      </c>
      <c r="AQ225" s="307">
        <v>1</v>
      </c>
      <c r="AR225" s="307"/>
      <c r="AS225" s="307"/>
      <c r="AT225" s="307"/>
      <c r="AU225" s="307"/>
      <c r="AV225" s="307"/>
      <c r="AW225" s="307"/>
      <c r="AX225" s="307"/>
      <c r="AY225" s="307"/>
      <c r="AZ225" s="307"/>
      <c r="BA225" s="307"/>
      <c r="BB225" s="307"/>
      <c r="BC225" s="308"/>
      <c r="BE225" s="308">
        <v>20429208.122235797</v>
      </c>
      <c r="BF225" s="308">
        <f t="shared" ref="BF225:BF237" si="203">L225-BE225</f>
        <v>-12907142.122235797</v>
      </c>
      <c r="BG225" s="308">
        <v>9531108.9325288516</v>
      </c>
      <c r="BH225" s="308">
        <f t="shared" ref="BH225:BH237" si="204">M225-BG225</f>
        <v>-6181488.9325288516</v>
      </c>
      <c r="BI225" s="308">
        <v>6991587.5726826675</v>
      </c>
      <c r="BJ225" s="308">
        <f t="shared" ref="BJ225:BJ237" si="205">N225-BI225</f>
        <v>-3647612.5726826675</v>
      </c>
      <c r="BK225" s="308">
        <v>8657860.0476812627</v>
      </c>
      <c r="BL225" s="308">
        <f t="shared" ref="BL225:BL237" si="206">O225-BK225</f>
        <v>-40803.047681262717</v>
      </c>
      <c r="BM225" s="308">
        <v>0</v>
      </c>
      <c r="BN225" s="308">
        <f t="shared" ref="BN225:BN237" si="207">P225-BM225</f>
        <v>0</v>
      </c>
      <c r="BO225" s="308">
        <v>0</v>
      </c>
      <c r="BP225" s="308">
        <f t="shared" ref="BP225:BP237" si="208">BO225-Q225</f>
        <v>0</v>
      </c>
      <c r="BQ225" s="308"/>
      <c r="BR225" s="407"/>
      <c r="BS225" s="407"/>
    </row>
    <row r="226" spans="1:71">
      <c r="A226" s="301" t="s">
        <v>44</v>
      </c>
      <c r="B226" s="308">
        <f>'Monthly D6 Gallon Data'!$L5</f>
        <v>0</v>
      </c>
      <c r="C226" s="308">
        <f>'Monthly D6 Gallon Data'!$L17</f>
        <v>0</v>
      </c>
      <c r="D226" s="308">
        <f>'Monthly D6 Gallon Data'!$L29</f>
        <v>0</v>
      </c>
      <c r="E226" s="308">
        <f>'Monthly D6 Gallon Data'!$L41</f>
        <v>0</v>
      </c>
      <c r="F226" s="308">
        <f>'Monthly D6 Gallon Data'!$L53</f>
        <v>17024957</v>
      </c>
      <c r="G226" s="308">
        <f>'Monthly D6 Gallon Data'!$L65</f>
        <v>17343807</v>
      </c>
      <c r="H226" s="308">
        <f>'Monthly D6 Gallon Data'!$L77</f>
        <v>11893961</v>
      </c>
      <c r="I226" s="308">
        <f>'Monthly D6 Gallon Data'!$L89</f>
        <v>14340426</v>
      </c>
      <c r="J226" s="308">
        <f>'Monthly D6 Gallon Data'!$L101</f>
        <v>15965986</v>
      </c>
      <c r="K226" s="308">
        <f>'Monthly D6 Gallon Data'!$L113</f>
        <v>12213425</v>
      </c>
      <c r="L226" s="308">
        <f>'Monthly D6 Gallon Data'!$L125</f>
        <v>12294771</v>
      </c>
      <c r="M226" s="308">
        <f>'Monthly D6 Gallon Data'!$L137</f>
        <v>7667389</v>
      </c>
      <c r="N226" s="308">
        <f>'Monthly D6 Gallon Data'!$L149</f>
        <v>3897288</v>
      </c>
      <c r="O226" s="308">
        <f>'Monthly D6 Gallon Data'!$L161</f>
        <v>6479058</v>
      </c>
      <c r="P226" s="308">
        <f>'Monthly D6 Gallon Data'!$L173</f>
        <v>0</v>
      </c>
      <c r="Q226" s="332">
        <f>'Monthly D6 Gallon Data'!$L185</f>
        <v>0</v>
      </c>
      <c r="R226" s="307">
        <v>0</v>
      </c>
      <c r="S226" s="307">
        <v>0</v>
      </c>
      <c r="T226" s="307">
        <v>0</v>
      </c>
      <c r="U226" s="307">
        <v>0</v>
      </c>
      <c r="V226" s="307">
        <v>0</v>
      </c>
      <c r="W226" s="307">
        <v>0</v>
      </c>
      <c r="X226" s="307">
        <v>0</v>
      </c>
      <c r="Y226" s="307">
        <v>0</v>
      </c>
      <c r="Z226" s="307">
        <v>0</v>
      </c>
      <c r="AA226" s="307">
        <v>0</v>
      </c>
      <c r="AB226" s="307">
        <v>0</v>
      </c>
      <c r="AC226" s="307">
        <v>0</v>
      </c>
      <c r="AD226" s="307">
        <v>0</v>
      </c>
      <c r="AE226" s="307">
        <v>0</v>
      </c>
      <c r="AF226" s="307">
        <v>0</v>
      </c>
      <c r="AG226" s="307">
        <v>0</v>
      </c>
      <c r="AH226" s="307">
        <v>0</v>
      </c>
      <c r="AI226" s="307">
        <v>0</v>
      </c>
      <c r="AJ226" s="307">
        <v>0</v>
      </c>
      <c r="AK226" s="307">
        <v>0</v>
      </c>
      <c r="AL226" s="307">
        <v>0</v>
      </c>
      <c r="AM226" s="307">
        <v>0</v>
      </c>
      <c r="AN226" s="307">
        <v>0</v>
      </c>
      <c r="AO226" s="307">
        <v>0</v>
      </c>
      <c r="AP226" s="307">
        <v>0</v>
      </c>
      <c r="AQ226" s="307">
        <v>1</v>
      </c>
      <c r="AR226" s="307"/>
      <c r="AS226" s="307"/>
      <c r="AT226" s="307"/>
      <c r="AU226" s="307"/>
      <c r="AV226" s="307"/>
      <c r="AW226" s="307"/>
      <c r="AX226" s="307"/>
      <c r="AY226" s="307"/>
      <c r="AZ226" s="307"/>
      <c r="BA226" s="307"/>
      <c r="BB226" s="307"/>
      <c r="BC226" s="308"/>
      <c r="BE226" s="308">
        <v>18340929.367690217</v>
      </c>
      <c r="BF226" s="308">
        <f t="shared" si="203"/>
        <v>-6046158.3676902167</v>
      </c>
      <c r="BG226" s="308">
        <v>6879677.3854016028</v>
      </c>
      <c r="BH226" s="308">
        <f t="shared" si="204"/>
        <v>787711.61459839717</v>
      </c>
      <c r="BI226" s="308">
        <v>9059772.193966249</v>
      </c>
      <c r="BJ226" s="308">
        <f t="shared" si="205"/>
        <v>-5162484.193966249</v>
      </c>
      <c r="BK226" s="308">
        <v>13242677.063074462</v>
      </c>
      <c r="BL226" s="308">
        <f t="shared" si="206"/>
        <v>-6763619.0630744621</v>
      </c>
      <c r="BM226" s="308">
        <v>0</v>
      </c>
      <c r="BN226" s="308">
        <f t="shared" si="207"/>
        <v>0</v>
      </c>
      <c r="BO226" s="308">
        <v>0</v>
      </c>
      <c r="BP226" s="308">
        <f t="shared" si="208"/>
        <v>0</v>
      </c>
      <c r="BQ226" s="308"/>
      <c r="BR226" s="407"/>
      <c r="BS226" s="407"/>
    </row>
    <row r="227" spans="1:71">
      <c r="A227" s="301" t="s">
        <v>45</v>
      </c>
      <c r="B227" s="308">
        <f>'Monthly D6 Gallon Data'!$L6</f>
        <v>0</v>
      </c>
      <c r="C227" s="308">
        <f>'Monthly D6 Gallon Data'!$L18</f>
        <v>0</v>
      </c>
      <c r="D227" s="308">
        <f>'Monthly D6 Gallon Data'!$L30</f>
        <v>0</v>
      </c>
      <c r="E227" s="308">
        <f>'Monthly D6 Gallon Data'!$L42</f>
        <v>287085</v>
      </c>
      <c r="F227" s="308">
        <f>'Monthly D6 Gallon Data'!$L54</f>
        <v>13090192</v>
      </c>
      <c r="G227" s="308">
        <f>'Monthly D6 Gallon Data'!$L66</f>
        <v>17784451</v>
      </c>
      <c r="H227" s="308">
        <f>'Monthly D6 Gallon Data'!$L78</f>
        <v>13792993</v>
      </c>
      <c r="I227" s="308">
        <f>'Monthly D6 Gallon Data'!$L90</f>
        <v>14261532</v>
      </c>
      <c r="J227" s="308">
        <f>'Monthly D6 Gallon Data'!$L102</f>
        <v>11103450</v>
      </c>
      <c r="K227" s="308">
        <f>'Monthly D6 Gallon Data'!$L114</f>
        <v>13698457</v>
      </c>
      <c r="L227" s="308">
        <f>'Monthly D6 Gallon Data'!$L126</f>
        <v>15694167</v>
      </c>
      <c r="M227" s="308">
        <f>'Monthly D6 Gallon Data'!$L138</f>
        <v>8247110</v>
      </c>
      <c r="N227" s="308">
        <f>'Monthly D6 Gallon Data'!$L150</f>
        <v>5755615</v>
      </c>
      <c r="O227" s="308">
        <f>'Monthly D6 Gallon Data'!$L162</f>
        <v>8056525</v>
      </c>
      <c r="P227" s="308">
        <f>'Monthly D6 Gallon Data'!$L174</f>
        <v>0</v>
      </c>
      <c r="Q227" s="332">
        <f>'Monthly D6 Gallon Data'!$L186</f>
        <v>0</v>
      </c>
      <c r="R227" s="307">
        <v>0</v>
      </c>
      <c r="S227" s="307">
        <v>0</v>
      </c>
      <c r="T227" s="307">
        <v>0</v>
      </c>
      <c r="U227" s="307">
        <v>0</v>
      </c>
      <c r="V227" s="307">
        <v>0</v>
      </c>
      <c r="W227" s="307">
        <v>0</v>
      </c>
      <c r="X227" s="307">
        <v>0</v>
      </c>
      <c r="Y227" s="307">
        <v>0</v>
      </c>
      <c r="Z227" s="307">
        <v>0</v>
      </c>
      <c r="AA227" s="307">
        <v>0</v>
      </c>
      <c r="AB227" s="307">
        <v>0</v>
      </c>
      <c r="AC227" s="307">
        <v>0</v>
      </c>
      <c r="AD227" s="307">
        <v>0</v>
      </c>
      <c r="AE227" s="307">
        <v>0</v>
      </c>
      <c r="AF227" s="307">
        <v>0</v>
      </c>
      <c r="AG227" s="307">
        <v>0</v>
      </c>
      <c r="AH227" s="307">
        <v>0</v>
      </c>
      <c r="AI227" s="307">
        <v>0</v>
      </c>
      <c r="AJ227" s="307">
        <v>0</v>
      </c>
      <c r="AK227" s="307">
        <v>0</v>
      </c>
      <c r="AL227" s="307">
        <v>0</v>
      </c>
      <c r="AM227" s="307">
        <v>0</v>
      </c>
      <c r="AN227" s="307">
        <v>0</v>
      </c>
      <c r="AO227" s="307">
        <v>0</v>
      </c>
      <c r="AP227" s="307">
        <v>0</v>
      </c>
      <c r="AQ227" s="307">
        <v>1</v>
      </c>
      <c r="AR227" s="307"/>
      <c r="AS227" s="307"/>
      <c r="AT227" s="307"/>
      <c r="AU227" s="307"/>
      <c r="AV227" s="307"/>
      <c r="AW227" s="307"/>
      <c r="AX227" s="307"/>
      <c r="AY227" s="307"/>
      <c r="AZ227" s="307"/>
      <c r="BA227" s="307"/>
      <c r="BB227" s="307"/>
      <c r="BC227" s="308"/>
      <c r="BE227" s="308">
        <v>14254342.213196838</v>
      </c>
      <c r="BF227" s="308">
        <f t="shared" si="203"/>
        <v>1439824.7868031617</v>
      </c>
      <c r="BG227" s="308">
        <v>8076142.7931187497</v>
      </c>
      <c r="BH227" s="308">
        <f t="shared" si="204"/>
        <v>170967.20688125025</v>
      </c>
      <c r="BI227" s="308">
        <v>9135565.467050299</v>
      </c>
      <c r="BJ227" s="308">
        <f t="shared" si="205"/>
        <v>-3379950.467050299</v>
      </c>
      <c r="BK227" s="308">
        <v>6048349.6981978714</v>
      </c>
      <c r="BL227" s="308">
        <f t="shared" si="206"/>
        <v>2008175.3018021286</v>
      </c>
      <c r="BM227" s="308">
        <v>0</v>
      </c>
      <c r="BN227" s="308">
        <f t="shared" si="207"/>
        <v>0</v>
      </c>
      <c r="BO227" s="308">
        <v>0</v>
      </c>
      <c r="BP227" s="308">
        <f t="shared" si="208"/>
        <v>0</v>
      </c>
      <c r="BQ227" s="308"/>
      <c r="BR227" s="407"/>
      <c r="BS227" s="407"/>
    </row>
    <row r="228" spans="1:71">
      <c r="A228" s="301" t="s">
        <v>46</v>
      </c>
      <c r="B228" s="308">
        <f>'Monthly D6 Gallon Data'!$L7</f>
        <v>0</v>
      </c>
      <c r="C228" s="308">
        <f>'Monthly D6 Gallon Data'!$L19</f>
        <v>0</v>
      </c>
      <c r="D228" s="308">
        <f>'Monthly D6 Gallon Data'!$L31</f>
        <v>0</v>
      </c>
      <c r="E228" s="308">
        <f>'Monthly D6 Gallon Data'!$L43</f>
        <v>1231</v>
      </c>
      <c r="F228" s="308">
        <f>'Monthly D6 Gallon Data'!$L55</f>
        <v>16215635</v>
      </c>
      <c r="G228" s="308">
        <f>'Monthly D6 Gallon Data'!$L67</f>
        <v>16708469</v>
      </c>
      <c r="H228" s="308">
        <f>'Monthly D6 Gallon Data'!$L79</f>
        <v>16185755</v>
      </c>
      <c r="I228" s="308">
        <f>'Monthly D6 Gallon Data'!$L91</f>
        <v>11215044</v>
      </c>
      <c r="J228" s="308">
        <f>'Monthly D6 Gallon Data'!$L103</f>
        <v>13313245</v>
      </c>
      <c r="K228" s="308">
        <f>'Monthly D6 Gallon Data'!$L115</f>
        <v>11147144</v>
      </c>
      <c r="L228" s="308">
        <f>'Monthly D6 Gallon Data'!$L127</f>
        <v>9569491</v>
      </c>
      <c r="M228" s="308">
        <f>'Monthly D6 Gallon Data'!$L139</f>
        <v>8303316</v>
      </c>
      <c r="N228" s="308">
        <f>'Monthly D6 Gallon Data'!$L151</f>
        <v>5195659</v>
      </c>
      <c r="O228" s="308">
        <f>'Monthly D6 Gallon Data'!$L163</f>
        <v>9806585</v>
      </c>
      <c r="P228" s="308">
        <f>'Monthly D6 Gallon Data'!$L175</f>
        <v>0</v>
      </c>
      <c r="Q228" s="307">
        <v>0</v>
      </c>
      <c r="R228" s="307">
        <v>0</v>
      </c>
      <c r="S228" s="307">
        <v>0</v>
      </c>
      <c r="T228" s="307">
        <v>0</v>
      </c>
      <c r="U228" s="307">
        <v>0</v>
      </c>
      <c r="V228" s="307">
        <v>0</v>
      </c>
      <c r="W228" s="307">
        <v>0</v>
      </c>
      <c r="X228" s="307">
        <v>0</v>
      </c>
      <c r="Y228" s="307">
        <v>0</v>
      </c>
      <c r="Z228" s="307">
        <v>0</v>
      </c>
      <c r="AA228" s="307">
        <v>0</v>
      </c>
      <c r="AB228" s="307">
        <v>0</v>
      </c>
      <c r="AC228" s="307">
        <v>0</v>
      </c>
      <c r="AD228" s="307">
        <v>0</v>
      </c>
      <c r="AE228" s="307">
        <v>0</v>
      </c>
      <c r="AF228" s="307">
        <v>0</v>
      </c>
      <c r="AG228" s="307">
        <v>0</v>
      </c>
      <c r="AH228" s="307">
        <v>0</v>
      </c>
      <c r="AI228" s="307">
        <v>0</v>
      </c>
      <c r="AJ228" s="307">
        <v>0</v>
      </c>
      <c r="AK228" s="307">
        <v>0</v>
      </c>
      <c r="AL228" s="307">
        <v>0</v>
      </c>
      <c r="AM228" s="307">
        <v>0</v>
      </c>
      <c r="AN228" s="307">
        <v>0</v>
      </c>
      <c r="AO228" s="307">
        <v>0</v>
      </c>
      <c r="AP228" s="307">
        <v>0</v>
      </c>
      <c r="AQ228" s="307">
        <v>1</v>
      </c>
      <c r="AR228" s="307"/>
      <c r="AS228" s="307"/>
      <c r="AT228" s="307"/>
      <c r="AU228" s="307"/>
      <c r="AV228" s="307"/>
      <c r="AW228" s="307"/>
      <c r="AX228" s="307"/>
      <c r="AY228" s="307"/>
      <c r="AZ228" s="307"/>
      <c r="BA228" s="307"/>
      <c r="BB228" s="307"/>
      <c r="BC228" s="308"/>
      <c r="BE228" s="308">
        <v>13845445.369732257</v>
      </c>
      <c r="BF228" s="308">
        <f t="shared" si="203"/>
        <v>-4275954.369732257</v>
      </c>
      <c r="BG228" s="308">
        <v>6390524.1879453352</v>
      </c>
      <c r="BH228" s="308">
        <f t="shared" si="204"/>
        <v>1912791.8120546648</v>
      </c>
      <c r="BI228" s="308">
        <v>7218868.8540437929</v>
      </c>
      <c r="BJ228" s="308">
        <f t="shared" si="205"/>
        <v>-2023209.8540437929</v>
      </c>
      <c r="BK228" s="308">
        <v>5635357.4836564809</v>
      </c>
      <c r="BL228" s="308">
        <f t="shared" si="206"/>
        <v>4171227.5163435191</v>
      </c>
      <c r="BM228" s="308">
        <v>0</v>
      </c>
      <c r="BN228" s="308">
        <f t="shared" si="207"/>
        <v>0</v>
      </c>
      <c r="BO228" s="308">
        <v>0</v>
      </c>
      <c r="BP228" s="308">
        <f t="shared" si="208"/>
        <v>0</v>
      </c>
      <c r="BQ228" s="308"/>
      <c r="BR228" s="407"/>
      <c r="BS228" s="407"/>
    </row>
    <row r="229" spans="1:71">
      <c r="A229" s="301" t="s">
        <v>47</v>
      </c>
      <c r="B229" s="308">
        <f>'Monthly D6 Gallon Data'!$L8</f>
        <v>0</v>
      </c>
      <c r="C229" s="308">
        <f>'Monthly D6 Gallon Data'!$L20</f>
        <v>0</v>
      </c>
      <c r="D229" s="308">
        <f>'Monthly D6 Gallon Data'!$L32</f>
        <v>0</v>
      </c>
      <c r="E229" s="308">
        <f>'Monthly D6 Gallon Data'!$L44</f>
        <v>13158240</v>
      </c>
      <c r="F229" s="308">
        <f>'Monthly D6 Gallon Data'!$L56</f>
        <v>10011854</v>
      </c>
      <c r="G229" s="308">
        <f>'Monthly D6 Gallon Data'!$L68</f>
        <v>11345644</v>
      </c>
      <c r="H229" s="308">
        <f>'Monthly D6 Gallon Data'!$L80</f>
        <v>15898671</v>
      </c>
      <c r="I229" s="308">
        <f>'Monthly D6 Gallon Data'!$L92</f>
        <v>9983085</v>
      </c>
      <c r="J229" s="308">
        <f>'Monthly D6 Gallon Data'!$L104</f>
        <v>7583782</v>
      </c>
      <c r="K229" s="308">
        <f>'Monthly D6 Gallon Data'!$L116</f>
        <v>7077536</v>
      </c>
      <c r="L229" s="308">
        <f>'Monthly D6 Gallon Data'!$L128</f>
        <v>3359379</v>
      </c>
      <c r="M229" s="308">
        <f>'Monthly D6 Gallon Data'!$L140</f>
        <v>7621057</v>
      </c>
      <c r="N229" s="308">
        <f>'Monthly D6 Gallon Data'!$L152</f>
        <v>6307163</v>
      </c>
      <c r="O229" s="308">
        <f>'Monthly D6 Gallon Data'!$L164</f>
        <v>13559175</v>
      </c>
      <c r="P229" s="308">
        <f>'Monthly D6 Gallon Data'!$L176</f>
        <v>0</v>
      </c>
      <c r="Q229" s="307">
        <v>0</v>
      </c>
      <c r="R229" s="307">
        <v>0</v>
      </c>
      <c r="S229" s="307">
        <v>0</v>
      </c>
      <c r="T229" s="307">
        <v>0</v>
      </c>
      <c r="U229" s="307">
        <v>0</v>
      </c>
      <c r="V229" s="307">
        <v>0</v>
      </c>
      <c r="W229" s="307">
        <v>0</v>
      </c>
      <c r="X229" s="307">
        <v>0</v>
      </c>
      <c r="Y229" s="307">
        <v>0</v>
      </c>
      <c r="Z229" s="307">
        <v>0</v>
      </c>
      <c r="AA229" s="307">
        <v>0</v>
      </c>
      <c r="AB229" s="307">
        <v>0</v>
      </c>
      <c r="AC229" s="307">
        <v>0</v>
      </c>
      <c r="AD229" s="307">
        <v>0</v>
      </c>
      <c r="AE229" s="307">
        <v>0</v>
      </c>
      <c r="AF229" s="307">
        <v>0</v>
      </c>
      <c r="AG229" s="307">
        <v>0</v>
      </c>
      <c r="AH229" s="307">
        <v>0</v>
      </c>
      <c r="AI229" s="307">
        <v>0</v>
      </c>
      <c r="AJ229" s="307">
        <v>0</v>
      </c>
      <c r="AK229" s="307">
        <v>0</v>
      </c>
      <c r="AL229" s="307">
        <v>0</v>
      </c>
      <c r="AM229" s="307">
        <v>0</v>
      </c>
      <c r="AN229" s="307">
        <v>0</v>
      </c>
      <c r="AO229" s="307">
        <v>0</v>
      </c>
      <c r="AP229" s="307">
        <v>0</v>
      </c>
      <c r="AQ229" s="307">
        <v>1</v>
      </c>
      <c r="AR229" s="307"/>
      <c r="AS229" s="307"/>
      <c r="AT229" s="307"/>
      <c r="AU229" s="307"/>
      <c r="AV229" s="307"/>
      <c r="AW229" s="307"/>
      <c r="AX229" s="307"/>
      <c r="AY229" s="307"/>
      <c r="AZ229" s="307"/>
      <c r="BA229" s="307"/>
      <c r="BB229" s="307"/>
      <c r="BC229" s="308"/>
      <c r="BE229" s="308">
        <v>10478245.578399953</v>
      </c>
      <c r="BF229" s="308">
        <f t="shared" si="203"/>
        <v>-7118866.5783999525</v>
      </c>
      <c r="BG229" s="308">
        <v>8324837.4281537533</v>
      </c>
      <c r="BH229" s="308">
        <f t="shared" si="204"/>
        <v>-703780.42815375328</v>
      </c>
      <c r="BI229" s="308">
        <v>6637319.9508970715</v>
      </c>
      <c r="BJ229" s="308">
        <f t="shared" si="205"/>
        <v>-330156.95089707151</v>
      </c>
      <c r="BK229" s="308">
        <v>9789342.6385954842</v>
      </c>
      <c r="BL229" s="308">
        <f t="shared" si="206"/>
        <v>3769832.3614045158</v>
      </c>
      <c r="BM229" s="308">
        <v>0</v>
      </c>
      <c r="BN229" s="308">
        <f t="shared" si="207"/>
        <v>0</v>
      </c>
      <c r="BO229" s="308">
        <v>0</v>
      </c>
      <c r="BP229" s="308">
        <f t="shared" si="208"/>
        <v>0</v>
      </c>
      <c r="BQ229" s="308"/>
      <c r="BR229" s="407"/>
      <c r="BS229" s="407"/>
    </row>
    <row r="230" spans="1:71">
      <c r="A230" s="301" t="s">
        <v>48</v>
      </c>
      <c r="B230" s="308">
        <f>'Monthly D6 Gallon Data'!$L9</f>
        <v>0</v>
      </c>
      <c r="C230" s="308">
        <f>'Monthly D6 Gallon Data'!$L21</f>
        <v>0</v>
      </c>
      <c r="D230" s="308">
        <f>'Monthly D6 Gallon Data'!$L33</f>
        <v>0</v>
      </c>
      <c r="E230" s="308">
        <f>'Monthly D6 Gallon Data'!$L45</f>
        <v>11275975</v>
      </c>
      <c r="F230" s="308">
        <f>'Monthly D6 Gallon Data'!$L57</f>
        <v>11809012</v>
      </c>
      <c r="G230" s="308">
        <f>'Monthly D6 Gallon Data'!$L69</f>
        <v>12505894</v>
      </c>
      <c r="H230" s="308">
        <f>'Monthly D6 Gallon Data'!$L81</f>
        <v>8337763</v>
      </c>
      <c r="I230" s="308">
        <f>'Monthly D6 Gallon Data'!$L93</f>
        <v>11129728</v>
      </c>
      <c r="J230" s="308">
        <f>'Monthly D6 Gallon Data'!$L105</f>
        <v>5696491</v>
      </c>
      <c r="K230" s="308">
        <f>'Monthly D6 Gallon Data'!$L117</f>
        <v>7042609</v>
      </c>
      <c r="L230" s="308">
        <f>'Monthly D6 Gallon Data'!$L129</f>
        <v>4818122</v>
      </c>
      <c r="M230" s="308">
        <f>'Monthly D6 Gallon Data'!$L141</f>
        <v>9134196</v>
      </c>
      <c r="N230" s="308">
        <f>'Monthly D6 Gallon Data'!$L153</f>
        <v>3215445</v>
      </c>
      <c r="O230" s="308">
        <f>'Monthly D6 Gallon Data'!$L165</f>
        <v>7110155</v>
      </c>
      <c r="P230" s="308">
        <f>'Monthly D6 Gallon Data'!$L177</f>
        <v>0</v>
      </c>
      <c r="Q230" s="307">
        <v>0</v>
      </c>
      <c r="R230" s="307">
        <v>0</v>
      </c>
      <c r="S230" s="307">
        <v>0</v>
      </c>
      <c r="T230" s="307">
        <v>0</v>
      </c>
      <c r="U230" s="307">
        <v>0</v>
      </c>
      <c r="V230" s="307">
        <v>0</v>
      </c>
      <c r="W230" s="307">
        <v>0</v>
      </c>
      <c r="X230" s="307">
        <v>0</v>
      </c>
      <c r="Y230" s="307">
        <v>0</v>
      </c>
      <c r="Z230" s="307">
        <v>0</v>
      </c>
      <c r="AA230" s="307">
        <v>0</v>
      </c>
      <c r="AB230" s="307">
        <v>0</v>
      </c>
      <c r="AC230" s="307">
        <v>0</v>
      </c>
      <c r="AD230" s="307">
        <v>0</v>
      </c>
      <c r="AE230" s="307">
        <v>0</v>
      </c>
      <c r="AF230" s="307">
        <v>0</v>
      </c>
      <c r="AG230" s="307">
        <v>0</v>
      </c>
      <c r="AH230" s="307">
        <v>0</v>
      </c>
      <c r="AI230" s="307">
        <v>0</v>
      </c>
      <c r="AJ230" s="307">
        <v>0</v>
      </c>
      <c r="AK230" s="307">
        <v>0</v>
      </c>
      <c r="AL230" s="307">
        <v>0</v>
      </c>
      <c r="AM230" s="307">
        <v>0</v>
      </c>
      <c r="AN230" s="307">
        <v>0</v>
      </c>
      <c r="AO230" s="307">
        <v>0</v>
      </c>
      <c r="AP230" s="307">
        <v>0</v>
      </c>
      <c r="AQ230" s="307">
        <v>1</v>
      </c>
      <c r="AR230" s="307"/>
      <c r="AS230" s="307"/>
      <c r="AT230" s="307"/>
      <c r="AU230" s="307"/>
      <c r="AV230" s="307"/>
      <c r="AW230" s="307"/>
      <c r="AX230" s="307"/>
      <c r="AY230" s="307"/>
      <c r="AZ230" s="307"/>
      <c r="BA230" s="307"/>
      <c r="BB230" s="307"/>
      <c r="BC230" s="308"/>
      <c r="BE230" s="308">
        <v>14141685.982109463</v>
      </c>
      <c r="BF230" s="308">
        <f t="shared" si="203"/>
        <v>-9323563.9821094628</v>
      </c>
      <c r="BG230" s="308">
        <v>8178441.4440162061</v>
      </c>
      <c r="BH230" s="308">
        <f t="shared" si="204"/>
        <v>955754.55598379392</v>
      </c>
      <c r="BI230" s="308">
        <v>7892389.8690908048</v>
      </c>
      <c r="BJ230" s="308">
        <f t="shared" si="205"/>
        <v>-4676944.8690908048</v>
      </c>
      <c r="BK230" s="308">
        <v>9025498.2477976847</v>
      </c>
      <c r="BL230" s="308">
        <f t="shared" si="206"/>
        <v>-1915343.2477976847</v>
      </c>
      <c r="BM230" s="308">
        <v>0</v>
      </c>
      <c r="BN230" s="308">
        <f t="shared" si="207"/>
        <v>0</v>
      </c>
      <c r="BO230" s="308">
        <v>0</v>
      </c>
      <c r="BP230" s="308">
        <f t="shared" si="208"/>
        <v>0</v>
      </c>
      <c r="BQ230" s="308"/>
      <c r="BR230" s="407"/>
      <c r="BS230" s="407"/>
    </row>
    <row r="231" spans="1:71">
      <c r="A231" s="301" t="s">
        <v>49</v>
      </c>
      <c r="B231" s="308">
        <f>'Monthly D6 Gallon Data'!$L10</f>
        <v>0</v>
      </c>
      <c r="C231" s="308">
        <f>'Monthly D6 Gallon Data'!$L22</f>
        <v>0</v>
      </c>
      <c r="D231" s="308">
        <f>'Monthly D6 Gallon Data'!$L34</f>
        <v>0</v>
      </c>
      <c r="E231" s="308">
        <f>'Monthly D6 Gallon Data'!$L46</f>
        <v>16695520</v>
      </c>
      <c r="F231" s="308">
        <f>'Monthly D6 Gallon Data'!$L58</f>
        <v>13348497</v>
      </c>
      <c r="G231" s="308">
        <f>'Monthly D6 Gallon Data'!$L70</f>
        <v>18809335</v>
      </c>
      <c r="H231" s="308">
        <f>'Monthly D6 Gallon Data'!$L82</f>
        <v>10599963</v>
      </c>
      <c r="I231" s="308">
        <f>'Monthly D6 Gallon Data'!$L94</f>
        <v>12209587</v>
      </c>
      <c r="J231" s="308">
        <f>'Monthly D6 Gallon Data'!$L106</f>
        <v>9663570</v>
      </c>
      <c r="K231" s="308">
        <f>'Monthly D6 Gallon Data'!$L118</f>
        <v>8510192</v>
      </c>
      <c r="L231" s="308">
        <f>'Monthly D6 Gallon Data'!$L130</f>
        <v>489120</v>
      </c>
      <c r="M231" s="308">
        <f>'Monthly D6 Gallon Data'!$L142</f>
        <v>297461</v>
      </c>
      <c r="N231" s="308">
        <f>'Monthly D6 Gallon Data'!$L154</f>
        <v>3668631</v>
      </c>
      <c r="O231" s="308">
        <f>'Monthly D6 Gallon Data'!$L166</f>
        <v>5425151</v>
      </c>
      <c r="P231" s="308">
        <f>'Monthly D6 Gallon Data'!$L178</f>
        <v>0</v>
      </c>
      <c r="Q231" s="307">
        <v>0</v>
      </c>
      <c r="R231" s="307">
        <v>0</v>
      </c>
      <c r="S231" s="307">
        <v>0</v>
      </c>
      <c r="T231" s="307">
        <v>0</v>
      </c>
      <c r="U231" s="307">
        <v>0</v>
      </c>
      <c r="V231" s="307">
        <v>0</v>
      </c>
      <c r="W231" s="307">
        <v>0</v>
      </c>
      <c r="X231" s="307">
        <v>0</v>
      </c>
      <c r="Y231" s="307">
        <v>0</v>
      </c>
      <c r="Z231" s="307">
        <v>0</v>
      </c>
      <c r="AA231" s="307">
        <v>0</v>
      </c>
      <c r="AB231" s="307">
        <v>0</v>
      </c>
      <c r="AC231" s="307">
        <v>0</v>
      </c>
      <c r="AD231" s="307">
        <v>0</v>
      </c>
      <c r="AE231" s="307">
        <v>0</v>
      </c>
      <c r="AF231" s="307">
        <v>0</v>
      </c>
      <c r="AG231" s="307">
        <v>0</v>
      </c>
      <c r="AH231" s="307">
        <v>0</v>
      </c>
      <c r="AI231" s="307">
        <v>0</v>
      </c>
      <c r="AJ231" s="307">
        <v>0</v>
      </c>
      <c r="AK231" s="307">
        <v>0</v>
      </c>
      <c r="AL231" s="307">
        <v>0</v>
      </c>
      <c r="AM231" s="307">
        <v>0</v>
      </c>
      <c r="AN231" s="307">
        <v>0</v>
      </c>
      <c r="AO231" s="307">
        <v>0</v>
      </c>
      <c r="AP231" s="307">
        <v>0</v>
      </c>
      <c r="AQ231" s="307">
        <v>1</v>
      </c>
      <c r="AR231" s="307"/>
      <c r="AS231" s="307"/>
      <c r="AT231" s="307"/>
      <c r="AU231" s="307"/>
      <c r="AV231" s="307"/>
      <c r="AW231" s="307"/>
      <c r="AX231" s="307"/>
      <c r="AY231" s="307"/>
      <c r="AZ231" s="307"/>
      <c r="BA231" s="307"/>
      <c r="BB231" s="307"/>
      <c r="BC231" s="308"/>
      <c r="BE231" s="308">
        <v>5602989.3309107851</v>
      </c>
      <c r="BF231" s="308">
        <f t="shared" si="203"/>
        <v>-5113869.3309107851</v>
      </c>
      <c r="BG231" s="308">
        <v>8434007.6760412492</v>
      </c>
      <c r="BH231" s="308">
        <f t="shared" si="204"/>
        <v>-8136546.6760412492</v>
      </c>
      <c r="BI231" s="308">
        <v>3383875.9792463453</v>
      </c>
      <c r="BJ231" s="308">
        <f t="shared" si="205"/>
        <v>284755.02075365465</v>
      </c>
      <c r="BK231" s="308">
        <v>9967690.2176618353</v>
      </c>
      <c r="BL231" s="308">
        <f t="shared" si="206"/>
        <v>-4542539.2176618353</v>
      </c>
      <c r="BM231" s="309">
        <v>0</v>
      </c>
      <c r="BN231" s="308">
        <f t="shared" si="207"/>
        <v>0</v>
      </c>
      <c r="BO231" s="308">
        <v>0</v>
      </c>
      <c r="BP231" s="308">
        <f t="shared" si="208"/>
        <v>0</v>
      </c>
      <c r="BQ231" s="308"/>
      <c r="BR231" s="407"/>
      <c r="BS231" s="407"/>
    </row>
    <row r="232" spans="1:71">
      <c r="A232" s="301" t="s">
        <v>50</v>
      </c>
      <c r="B232" s="308">
        <f>'Monthly D6 Gallon Data'!$L11</f>
        <v>0</v>
      </c>
      <c r="C232" s="308">
        <f>'Monthly D6 Gallon Data'!$L23</f>
        <v>0</v>
      </c>
      <c r="D232" s="308">
        <f>'Monthly D6 Gallon Data'!$L35</f>
        <v>0</v>
      </c>
      <c r="E232" s="308">
        <f>'Monthly D6 Gallon Data'!$L47</f>
        <v>13312037</v>
      </c>
      <c r="F232" s="308">
        <f>'Monthly D6 Gallon Data'!$L59</f>
        <v>20042904</v>
      </c>
      <c r="G232" s="308">
        <f>'Monthly D6 Gallon Data'!$L71</f>
        <v>15188759</v>
      </c>
      <c r="H232" s="308">
        <f>'Monthly D6 Gallon Data'!$L83</f>
        <v>15674900</v>
      </c>
      <c r="I232" s="308">
        <f>'Monthly D6 Gallon Data'!$L95</f>
        <v>16880454</v>
      </c>
      <c r="J232" s="308">
        <f>'Monthly D6 Gallon Data'!$L107</f>
        <v>8424380</v>
      </c>
      <c r="K232" s="308">
        <f>'Monthly D6 Gallon Data'!$L119</f>
        <v>7004305</v>
      </c>
      <c r="L232" s="308">
        <f>'Monthly D6 Gallon Data'!$L131</f>
        <v>669259</v>
      </c>
      <c r="M232" s="308">
        <f>'Monthly D6 Gallon Data'!$L143</f>
        <v>2657386</v>
      </c>
      <c r="N232" s="308">
        <f>'Monthly D6 Gallon Data'!$L155</f>
        <v>1964127</v>
      </c>
      <c r="O232" s="308">
        <f>'Monthly D6 Gallon Data'!$L167</f>
        <v>28172</v>
      </c>
      <c r="P232" s="308">
        <f>'Monthly D6 Gallon Data'!$L179</f>
        <v>0</v>
      </c>
      <c r="Q232" s="307">
        <v>0</v>
      </c>
      <c r="R232" s="307">
        <v>0</v>
      </c>
      <c r="S232" s="307">
        <v>0</v>
      </c>
      <c r="T232" s="307">
        <v>0</v>
      </c>
      <c r="U232" s="307">
        <v>0</v>
      </c>
      <c r="V232" s="307">
        <v>0</v>
      </c>
      <c r="W232" s="307">
        <v>0</v>
      </c>
      <c r="X232" s="307">
        <v>0</v>
      </c>
      <c r="Y232" s="307">
        <v>0</v>
      </c>
      <c r="Z232" s="307">
        <v>0</v>
      </c>
      <c r="AA232" s="307">
        <v>0</v>
      </c>
      <c r="AB232" s="307">
        <v>0</v>
      </c>
      <c r="AC232" s="307">
        <v>0</v>
      </c>
      <c r="AD232" s="307">
        <v>0</v>
      </c>
      <c r="AE232" s="307">
        <v>0</v>
      </c>
      <c r="AF232" s="307">
        <v>0</v>
      </c>
      <c r="AG232" s="307">
        <v>0</v>
      </c>
      <c r="AH232" s="307">
        <v>0</v>
      </c>
      <c r="AI232" s="307">
        <v>0</v>
      </c>
      <c r="AJ232" s="307">
        <v>0</v>
      </c>
      <c r="AK232" s="307">
        <v>0</v>
      </c>
      <c r="AL232" s="307">
        <v>0</v>
      </c>
      <c r="AM232" s="307">
        <v>0</v>
      </c>
      <c r="AN232" s="307">
        <v>0</v>
      </c>
      <c r="AO232" s="307">
        <v>0</v>
      </c>
      <c r="AP232" s="307">
        <v>0</v>
      </c>
      <c r="AQ232" s="307">
        <v>1</v>
      </c>
      <c r="AR232" s="307"/>
      <c r="AS232" s="307"/>
      <c r="AT232" s="307"/>
      <c r="AU232" s="307"/>
      <c r="AV232" s="307"/>
      <c r="AW232" s="307"/>
      <c r="AX232" s="307"/>
      <c r="AY232" s="307"/>
      <c r="AZ232" s="307"/>
      <c r="BA232" s="307"/>
      <c r="BB232" s="307"/>
      <c r="BC232" s="308"/>
      <c r="BE232" s="308">
        <v>5788610.5557820592</v>
      </c>
      <c r="BF232" s="308">
        <f t="shared" si="203"/>
        <v>-5119351.5557820592</v>
      </c>
      <c r="BG232" s="308">
        <v>9076519.211060686</v>
      </c>
      <c r="BH232" s="308">
        <f t="shared" si="204"/>
        <v>-6419133.211060686</v>
      </c>
      <c r="BI232" s="308">
        <v>4891821.145523373</v>
      </c>
      <c r="BJ232" s="308">
        <f t="shared" si="205"/>
        <v>-2927694.145523373</v>
      </c>
      <c r="BK232" s="308">
        <v>4969929.8991743345</v>
      </c>
      <c r="BL232" s="308">
        <f t="shared" si="206"/>
        <v>-4941757.8991743345</v>
      </c>
      <c r="BM232" s="309">
        <v>0</v>
      </c>
      <c r="BN232" s="308">
        <f t="shared" si="207"/>
        <v>0</v>
      </c>
      <c r="BO232" s="308">
        <v>0</v>
      </c>
      <c r="BP232" s="308">
        <f t="shared" si="208"/>
        <v>0</v>
      </c>
      <c r="BQ232" s="308"/>
      <c r="BR232" s="407"/>
      <c r="BS232" s="407"/>
    </row>
    <row r="233" spans="1:71">
      <c r="A233" s="301" t="s">
        <v>51</v>
      </c>
      <c r="B233" s="308">
        <f>'Monthly D6 Gallon Data'!$L12</f>
        <v>0</v>
      </c>
      <c r="C233" s="308">
        <f>'Monthly D6 Gallon Data'!$L24</f>
        <v>0</v>
      </c>
      <c r="D233" s="308">
        <f>'Monthly D6 Gallon Data'!$L36</f>
        <v>0</v>
      </c>
      <c r="E233" s="308">
        <f>'Monthly D6 Gallon Data'!$L48</f>
        <v>17627473</v>
      </c>
      <c r="F233" s="308">
        <f>'Monthly D6 Gallon Data'!$L60</f>
        <v>0</v>
      </c>
      <c r="G233" s="308">
        <f>'Monthly D6 Gallon Data'!$L72</f>
        <v>19282688</v>
      </c>
      <c r="H233" s="308">
        <f>'Monthly D6 Gallon Data'!$L84</f>
        <v>10536198</v>
      </c>
      <c r="I233" s="308">
        <f>'Monthly D6 Gallon Data'!$L96</f>
        <v>11866285</v>
      </c>
      <c r="J233" s="308">
        <f>'Monthly D6 Gallon Data'!$L108</f>
        <v>5862786</v>
      </c>
      <c r="K233" s="308">
        <f>'Monthly D6 Gallon Data'!$L120</f>
        <v>4804630</v>
      </c>
      <c r="L233" s="308">
        <f>'Monthly D6 Gallon Data'!$L132</f>
        <v>2648536</v>
      </c>
      <c r="M233" s="308">
        <f>'Monthly D6 Gallon Data'!$L144</f>
        <v>7175485</v>
      </c>
      <c r="N233" s="308">
        <f>'Monthly D6 Gallon Data'!$L156</f>
        <v>7728864</v>
      </c>
      <c r="O233" s="308">
        <f>'Monthly D6 Gallon Data'!$L168</f>
        <v>408127</v>
      </c>
      <c r="P233" s="308">
        <f>'Monthly D6 Gallon Data'!$L180</f>
        <v>0</v>
      </c>
      <c r="Q233" s="307">
        <v>0</v>
      </c>
      <c r="R233" s="307">
        <v>0</v>
      </c>
      <c r="S233" s="307">
        <v>0</v>
      </c>
      <c r="T233" s="307">
        <v>0</v>
      </c>
      <c r="U233" s="307">
        <v>0</v>
      </c>
      <c r="V233" s="307">
        <v>0</v>
      </c>
      <c r="W233" s="307">
        <v>0</v>
      </c>
      <c r="X233" s="307">
        <v>0</v>
      </c>
      <c r="Y233" s="307">
        <v>0</v>
      </c>
      <c r="Z233" s="307">
        <v>0</v>
      </c>
      <c r="AA233" s="307">
        <v>0</v>
      </c>
      <c r="AB233" s="307">
        <v>0</v>
      </c>
      <c r="AC233" s="307">
        <v>0</v>
      </c>
      <c r="AD233" s="307">
        <v>0</v>
      </c>
      <c r="AE233" s="307">
        <v>0</v>
      </c>
      <c r="AF233" s="307">
        <v>0</v>
      </c>
      <c r="AG233" s="307">
        <v>0</v>
      </c>
      <c r="AH233" s="307">
        <v>0</v>
      </c>
      <c r="AI233" s="307">
        <v>0</v>
      </c>
      <c r="AJ233" s="307">
        <v>0</v>
      </c>
      <c r="AK233" s="307">
        <v>0</v>
      </c>
      <c r="AL233" s="307">
        <v>0</v>
      </c>
      <c r="AM233" s="307">
        <v>0</v>
      </c>
      <c r="AN233" s="307">
        <v>0</v>
      </c>
      <c r="AO233" s="307">
        <v>0</v>
      </c>
      <c r="AP233" s="307">
        <v>0</v>
      </c>
      <c r="AQ233" s="307">
        <v>1</v>
      </c>
      <c r="AR233" s="307"/>
      <c r="AS233" s="307"/>
      <c r="AT233" s="307"/>
      <c r="AU233" s="307"/>
      <c r="AV233" s="307"/>
      <c r="AW233" s="307"/>
      <c r="AX233" s="307"/>
      <c r="AY233" s="307"/>
      <c r="AZ233" s="307"/>
      <c r="BA233" s="307"/>
      <c r="BB233" s="307"/>
      <c r="BC233" s="308"/>
      <c r="BE233" s="308">
        <v>5397951.1818467844</v>
      </c>
      <c r="BF233" s="308">
        <f t="shared" si="203"/>
        <v>-2749415.1818467844</v>
      </c>
      <c r="BG233" s="308">
        <v>9273097.422885811</v>
      </c>
      <c r="BH233" s="308">
        <f t="shared" si="204"/>
        <v>-2097612.422885811</v>
      </c>
      <c r="BI233" s="308">
        <v>2076036.0318643972</v>
      </c>
      <c r="BJ233" s="308">
        <f t="shared" si="205"/>
        <v>5652827.9681356028</v>
      </c>
      <c r="BK233" s="308">
        <v>6769140.6055476917</v>
      </c>
      <c r="BL233" s="308">
        <f t="shared" si="206"/>
        <v>-6361013.6055476917</v>
      </c>
      <c r="BM233" s="309">
        <v>0</v>
      </c>
      <c r="BN233" s="308">
        <f t="shared" si="207"/>
        <v>0</v>
      </c>
      <c r="BO233" s="308">
        <v>0</v>
      </c>
      <c r="BP233" s="308">
        <f t="shared" si="208"/>
        <v>0</v>
      </c>
      <c r="BQ233" s="308"/>
      <c r="BR233" s="407"/>
      <c r="BS233" s="407"/>
    </row>
    <row r="234" spans="1:71">
      <c r="A234" s="301" t="s">
        <v>52</v>
      </c>
      <c r="B234" s="308">
        <f>'Monthly D6 Gallon Data'!$L13</f>
        <v>0</v>
      </c>
      <c r="C234" s="308">
        <f>'Monthly D6 Gallon Data'!$L25</f>
        <v>0</v>
      </c>
      <c r="D234" s="308">
        <f>'Monthly D6 Gallon Data'!$L37</f>
        <v>0</v>
      </c>
      <c r="E234" s="308">
        <f>'Monthly D6 Gallon Data'!$L49</f>
        <v>14839972</v>
      </c>
      <c r="F234" s="308">
        <f>'Monthly D6 Gallon Data'!$L61</f>
        <v>469202</v>
      </c>
      <c r="G234" s="308">
        <f>'Monthly D6 Gallon Data'!$L73</f>
        <v>20692996</v>
      </c>
      <c r="H234" s="308">
        <f>'Monthly D6 Gallon Data'!$L85</f>
        <v>18084721</v>
      </c>
      <c r="I234" s="308">
        <f>'Monthly D6 Gallon Data'!$L97</f>
        <v>16022393</v>
      </c>
      <c r="J234" s="308">
        <f>'Monthly D6 Gallon Data'!$L109</f>
        <v>0</v>
      </c>
      <c r="K234" s="308">
        <f>'Monthly D6 Gallon Data'!$L121</f>
        <v>10750499</v>
      </c>
      <c r="L234" s="308">
        <f>'Monthly D6 Gallon Data'!$L133</f>
        <v>8975255</v>
      </c>
      <c r="M234" s="308">
        <f>'Monthly D6 Gallon Data'!$L145</f>
        <v>10704972</v>
      </c>
      <c r="N234" s="308">
        <f>'Monthly D6 Gallon Data'!$L157</f>
        <v>13115811</v>
      </c>
      <c r="O234" s="308">
        <f>'Monthly D6 Gallon Data'!$L169</f>
        <v>0</v>
      </c>
      <c r="P234" s="308">
        <f>'Monthly D6 Gallon Data'!$L181</f>
        <v>0</v>
      </c>
      <c r="Q234" s="307">
        <v>0</v>
      </c>
      <c r="R234" s="307">
        <v>0</v>
      </c>
      <c r="S234" s="307">
        <v>0</v>
      </c>
      <c r="T234" s="307">
        <v>0</v>
      </c>
      <c r="U234" s="307">
        <v>0</v>
      </c>
      <c r="V234" s="307">
        <v>0</v>
      </c>
      <c r="W234" s="307">
        <v>0</v>
      </c>
      <c r="X234" s="307">
        <v>0</v>
      </c>
      <c r="Y234" s="307">
        <v>0</v>
      </c>
      <c r="Z234" s="307">
        <v>0</v>
      </c>
      <c r="AA234" s="307">
        <v>0</v>
      </c>
      <c r="AB234" s="307">
        <v>0</v>
      </c>
      <c r="AC234" s="307">
        <v>0</v>
      </c>
      <c r="AD234" s="307">
        <v>0</v>
      </c>
      <c r="AE234" s="307">
        <v>0</v>
      </c>
      <c r="AF234" s="307">
        <v>0</v>
      </c>
      <c r="AG234" s="307">
        <v>0</v>
      </c>
      <c r="AH234" s="307">
        <v>0</v>
      </c>
      <c r="AI234" s="307">
        <v>0</v>
      </c>
      <c r="AJ234" s="307">
        <v>0</v>
      </c>
      <c r="AK234" s="307">
        <v>0</v>
      </c>
      <c r="AL234" s="307">
        <v>0</v>
      </c>
      <c r="AM234" s="307">
        <v>0</v>
      </c>
      <c r="AN234" s="307">
        <v>0</v>
      </c>
      <c r="AO234" s="307">
        <v>0</v>
      </c>
      <c r="AP234" s="307">
        <v>0</v>
      </c>
      <c r="AQ234" s="307">
        <v>1</v>
      </c>
      <c r="AR234" s="307"/>
      <c r="AS234" s="307"/>
      <c r="AT234" s="307"/>
      <c r="AU234" s="307"/>
      <c r="AV234" s="307"/>
      <c r="AW234" s="307"/>
      <c r="AX234" s="307"/>
      <c r="AY234" s="307"/>
      <c r="AZ234" s="307"/>
      <c r="BA234" s="307"/>
      <c r="BB234" s="307"/>
      <c r="BC234" s="308"/>
      <c r="BE234" s="308">
        <v>10082628.054102398</v>
      </c>
      <c r="BF234" s="308">
        <f t="shared" si="203"/>
        <v>-1107373.0541023985</v>
      </c>
      <c r="BG234" s="308">
        <v>7854241.8870187607</v>
      </c>
      <c r="BH234" s="308">
        <f t="shared" si="204"/>
        <v>2850730.1129812393</v>
      </c>
      <c r="BI234" s="308">
        <v>6607976.612314783</v>
      </c>
      <c r="BJ234" s="308">
        <f t="shared" si="205"/>
        <v>6507834.387685217</v>
      </c>
      <c r="BK234" s="308">
        <v>10159557.192565186</v>
      </c>
      <c r="BL234" s="308">
        <f t="shared" si="206"/>
        <v>-10159557.192565186</v>
      </c>
      <c r="BM234" s="309">
        <v>0</v>
      </c>
      <c r="BN234" s="308">
        <f t="shared" si="207"/>
        <v>0</v>
      </c>
      <c r="BO234" s="308">
        <v>0</v>
      </c>
      <c r="BP234" s="308">
        <f t="shared" si="208"/>
        <v>0</v>
      </c>
      <c r="BQ234" s="308"/>
      <c r="BR234" s="407"/>
      <c r="BS234" s="407"/>
    </row>
    <row r="235" spans="1:71">
      <c r="A235" s="301" t="s">
        <v>53</v>
      </c>
      <c r="B235" s="308">
        <f>'Monthly D6 Gallon Data'!$L14</f>
        <v>0</v>
      </c>
      <c r="C235" s="308">
        <f>'Monthly D6 Gallon Data'!$L26</f>
        <v>0</v>
      </c>
      <c r="D235" s="308">
        <f>'Monthly D6 Gallon Data'!$L38</f>
        <v>0</v>
      </c>
      <c r="E235" s="308">
        <f>'Monthly D6 Gallon Data'!$L50</f>
        <v>13291975</v>
      </c>
      <c r="F235" s="308">
        <f>'Monthly D6 Gallon Data'!$L62</f>
        <v>19275105</v>
      </c>
      <c r="G235" s="308">
        <f>'Monthly D6 Gallon Data'!$L74</f>
        <v>13992536</v>
      </c>
      <c r="H235" s="308">
        <f>'Monthly D6 Gallon Data'!$L86</f>
        <v>13910996</v>
      </c>
      <c r="I235" s="308">
        <f>'Monthly D6 Gallon Data'!$L98</f>
        <v>4477889</v>
      </c>
      <c r="J235" s="308">
        <f>'Monthly D6 Gallon Data'!$L110</f>
        <v>680586</v>
      </c>
      <c r="K235" s="308">
        <f>'Monthly D6 Gallon Data'!$L122</f>
        <v>13108043</v>
      </c>
      <c r="L235" s="308">
        <f>'Monthly D6 Gallon Data'!$L134</f>
        <v>3737882</v>
      </c>
      <c r="M235" s="308">
        <f>'Monthly D6 Gallon Data'!$L146</f>
        <v>9517074</v>
      </c>
      <c r="N235" s="308">
        <f>'Monthly D6 Gallon Data'!$L158</f>
        <v>9848391</v>
      </c>
      <c r="O235" s="308">
        <f>'Monthly D6 Gallon Data'!$L170</f>
        <v>0</v>
      </c>
      <c r="P235" s="308">
        <f>'Monthly D6 Gallon Data'!$L182</f>
        <v>0</v>
      </c>
      <c r="Q235" s="307">
        <v>0</v>
      </c>
      <c r="R235" s="307">
        <v>0</v>
      </c>
      <c r="S235" s="307">
        <v>0</v>
      </c>
      <c r="T235" s="307">
        <v>0</v>
      </c>
      <c r="U235" s="307">
        <v>0</v>
      </c>
      <c r="V235" s="307">
        <v>0</v>
      </c>
      <c r="W235" s="307">
        <v>0</v>
      </c>
      <c r="X235" s="307">
        <v>0</v>
      </c>
      <c r="Y235" s="307">
        <v>0</v>
      </c>
      <c r="Z235" s="307">
        <v>0</v>
      </c>
      <c r="AA235" s="307">
        <v>0</v>
      </c>
      <c r="AB235" s="307">
        <v>0</v>
      </c>
      <c r="AC235" s="307">
        <v>0</v>
      </c>
      <c r="AD235" s="307">
        <v>0</v>
      </c>
      <c r="AE235" s="307">
        <v>0</v>
      </c>
      <c r="AF235" s="307">
        <v>0</v>
      </c>
      <c r="AG235" s="307">
        <v>0</v>
      </c>
      <c r="AH235" s="307">
        <v>0</v>
      </c>
      <c r="AI235" s="307">
        <v>0</v>
      </c>
      <c r="AJ235" s="307">
        <v>0</v>
      </c>
      <c r="AK235" s="307">
        <v>0</v>
      </c>
      <c r="AL235" s="307">
        <v>0</v>
      </c>
      <c r="AM235" s="307">
        <v>0</v>
      </c>
      <c r="AN235" s="307">
        <v>0</v>
      </c>
      <c r="AO235" s="307">
        <v>0</v>
      </c>
      <c r="AP235" s="307">
        <v>0</v>
      </c>
      <c r="AQ235" s="307">
        <v>1</v>
      </c>
      <c r="AR235" s="307"/>
      <c r="AS235" s="307"/>
      <c r="AT235" s="307"/>
      <c r="AU235" s="307"/>
      <c r="AV235" s="307"/>
      <c r="AW235" s="307"/>
      <c r="AX235" s="307"/>
      <c r="AY235" s="307"/>
      <c r="AZ235" s="307"/>
      <c r="BA235" s="307"/>
      <c r="BB235" s="307"/>
      <c r="BC235" s="308"/>
      <c r="BE235" s="308">
        <v>12498362.561868837</v>
      </c>
      <c r="BF235" s="308">
        <f t="shared" si="203"/>
        <v>-8760480.5618688371</v>
      </c>
      <c r="BG235" s="308">
        <v>7585672.3414986758</v>
      </c>
      <c r="BH235" s="308">
        <f t="shared" si="204"/>
        <v>1931401.6585013242</v>
      </c>
      <c r="BI235" s="308">
        <v>6630735.1812270768</v>
      </c>
      <c r="BJ235" s="308">
        <f t="shared" si="205"/>
        <v>3217655.8187729232</v>
      </c>
      <c r="BK235" s="309">
        <v>7604678.3468471617</v>
      </c>
      <c r="BL235" s="308">
        <f t="shared" si="206"/>
        <v>-7604678.3468471617</v>
      </c>
      <c r="BM235" s="309">
        <v>0</v>
      </c>
      <c r="BN235" s="308">
        <f t="shared" si="207"/>
        <v>0</v>
      </c>
      <c r="BO235" s="308">
        <v>0</v>
      </c>
      <c r="BP235" s="308">
        <f t="shared" si="208"/>
        <v>0</v>
      </c>
      <c r="BQ235" s="309"/>
      <c r="BR235" s="408"/>
      <c r="BS235" s="408"/>
    </row>
    <row r="236" spans="1:71">
      <c r="A236" s="301" t="s">
        <v>54</v>
      </c>
      <c r="B236" s="308">
        <f>'Monthly D6 Gallon Data'!$L15</f>
        <v>0</v>
      </c>
      <c r="C236" s="308">
        <f>'Monthly D6 Gallon Data'!$L27</f>
        <v>0</v>
      </c>
      <c r="D236" s="308">
        <f>'Monthly D6 Gallon Data'!$L39</f>
        <v>0</v>
      </c>
      <c r="E236" s="308">
        <f>'Monthly D6 Gallon Data'!$L51</f>
        <v>15014660</v>
      </c>
      <c r="F236" s="308">
        <f>'Monthly D6 Gallon Data'!$L63</f>
        <v>15726811</v>
      </c>
      <c r="G236" s="308">
        <f>'Monthly D6 Gallon Data'!$L75</f>
        <v>16593014</v>
      </c>
      <c r="H236" s="308">
        <f>'Monthly D6 Gallon Data'!$L87</f>
        <v>12546176</v>
      </c>
      <c r="I236" s="308">
        <f>'Monthly D6 Gallon Data'!$L99</f>
        <v>11684742</v>
      </c>
      <c r="J236" s="308">
        <f>'Monthly D6 Gallon Data'!$L111</f>
        <v>12108048</v>
      </c>
      <c r="K236" s="308">
        <f>'Monthly D6 Gallon Data'!$L123</f>
        <v>9792364</v>
      </c>
      <c r="L236" s="308">
        <f>'Monthly D6 Gallon Data'!$L135</f>
        <v>6490877</v>
      </c>
      <c r="M236" s="308">
        <f>'Monthly D6 Gallon Data'!$L147</f>
        <v>4542920</v>
      </c>
      <c r="N236" s="308">
        <f>'Monthly D6 Gallon Data'!$L159</f>
        <v>10921396</v>
      </c>
      <c r="O236" s="308">
        <f>'Monthly D6 Gallon Data'!$L171</f>
        <v>0</v>
      </c>
      <c r="P236" s="308">
        <f>'Monthly D6 Gallon Data'!$L183</f>
        <v>0</v>
      </c>
      <c r="Q236" s="307">
        <v>0</v>
      </c>
      <c r="R236" s="307">
        <v>0</v>
      </c>
      <c r="S236" s="307">
        <v>0</v>
      </c>
      <c r="T236" s="307">
        <v>0</v>
      </c>
      <c r="U236" s="307">
        <v>0</v>
      </c>
      <c r="V236" s="307">
        <v>0</v>
      </c>
      <c r="W236" s="307">
        <v>0</v>
      </c>
      <c r="X236" s="307">
        <v>0</v>
      </c>
      <c r="Y236" s="307">
        <v>0</v>
      </c>
      <c r="Z236" s="307">
        <v>0</v>
      </c>
      <c r="AA236" s="307">
        <v>0</v>
      </c>
      <c r="AB236" s="307">
        <v>0</v>
      </c>
      <c r="AC236" s="307">
        <v>0</v>
      </c>
      <c r="AD236" s="307">
        <v>0</v>
      </c>
      <c r="AE236" s="307">
        <v>0</v>
      </c>
      <c r="AF236" s="307">
        <v>0</v>
      </c>
      <c r="AG236" s="307">
        <v>0</v>
      </c>
      <c r="AH236" s="307">
        <v>0</v>
      </c>
      <c r="AI236" s="307">
        <v>0</v>
      </c>
      <c r="AJ236" s="307">
        <v>0</v>
      </c>
      <c r="AK236" s="307">
        <v>0</v>
      </c>
      <c r="AL236" s="307">
        <v>0</v>
      </c>
      <c r="AM236" s="307">
        <v>0</v>
      </c>
      <c r="AN236" s="307">
        <v>0</v>
      </c>
      <c r="AO236" s="307">
        <v>0</v>
      </c>
      <c r="AP236" s="307">
        <v>0</v>
      </c>
      <c r="AQ236" s="307">
        <v>1</v>
      </c>
      <c r="AR236" s="307"/>
      <c r="AS236" s="307"/>
      <c r="AT236" s="307"/>
      <c r="AU236" s="307"/>
      <c r="AV236" s="307"/>
      <c r="AW236" s="307"/>
      <c r="AX236" s="307"/>
      <c r="AY236" s="307"/>
      <c r="AZ236" s="307"/>
      <c r="BA236" s="307"/>
      <c r="BB236" s="307"/>
      <c r="BC236" s="308"/>
      <c r="BE236" s="308">
        <v>10543054.739999771</v>
      </c>
      <c r="BF236" s="308">
        <f t="shared" si="203"/>
        <v>-4052177.7399997711</v>
      </c>
      <c r="BG236" s="308">
        <v>4673884.8000011444</v>
      </c>
      <c r="BH236" s="308">
        <f t="shared" si="204"/>
        <v>-130964.80000114441</v>
      </c>
      <c r="BI236" s="308">
        <v>32344055.549220026</v>
      </c>
      <c r="BJ236" s="308">
        <f t="shared" si="205"/>
        <v>-21422659.549220026</v>
      </c>
      <c r="BK236" s="309">
        <v>7916783.653152898</v>
      </c>
      <c r="BL236" s="308">
        <f t="shared" si="206"/>
        <v>-7916783.653152898</v>
      </c>
      <c r="BM236" s="309">
        <v>0</v>
      </c>
      <c r="BN236" s="308">
        <f t="shared" si="207"/>
        <v>0</v>
      </c>
      <c r="BO236" s="308">
        <v>0</v>
      </c>
      <c r="BP236" s="308">
        <f t="shared" si="208"/>
        <v>0</v>
      </c>
      <c r="BQ236" s="309"/>
      <c r="BR236" s="408"/>
      <c r="BS236" s="408"/>
    </row>
    <row r="237" spans="1:71" ht="12" thickBot="1">
      <c r="A237" s="301" t="s">
        <v>29</v>
      </c>
      <c r="B237" s="308">
        <f t="shared" ref="B237:P237" si="209">SUM(B225:B236)</f>
        <v>0</v>
      </c>
      <c r="C237" s="308">
        <f t="shared" si="209"/>
        <v>0</v>
      </c>
      <c r="D237" s="308">
        <f t="shared" si="209"/>
        <v>0</v>
      </c>
      <c r="E237" s="308">
        <f t="shared" si="209"/>
        <v>115504168</v>
      </c>
      <c r="F237" s="308">
        <f t="shared" si="209"/>
        <v>151391926</v>
      </c>
      <c r="G237" s="308">
        <f t="shared" si="209"/>
        <v>200531415</v>
      </c>
      <c r="H237" s="308">
        <f t="shared" si="209"/>
        <v>165657065</v>
      </c>
      <c r="I237" s="308">
        <f t="shared" si="209"/>
        <v>144107197</v>
      </c>
      <c r="J237" s="308">
        <f t="shared" si="209"/>
        <v>106508829</v>
      </c>
      <c r="K237" s="308">
        <f t="shared" si="209"/>
        <v>116353451</v>
      </c>
      <c r="L237" s="308">
        <f t="shared" si="209"/>
        <v>76268925</v>
      </c>
      <c r="M237" s="308">
        <f t="shared" si="209"/>
        <v>79217986</v>
      </c>
      <c r="N237" s="308">
        <f t="shared" si="209"/>
        <v>74962365</v>
      </c>
      <c r="O237" s="308">
        <f t="shared" si="209"/>
        <v>59490005</v>
      </c>
      <c r="P237" s="308">
        <f t="shared" si="209"/>
        <v>0</v>
      </c>
      <c r="Q237" s="307">
        <f>SUM(Q225:Q236)</f>
        <v>0</v>
      </c>
      <c r="R237" s="307">
        <f>SUM(R225:R236)</f>
        <v>0</v>
      </c>
      <c r="S237" s="307">
        <f t="shared" ref="S237:AQ237" si="210">SUM(S225:S236)</f>
        <v>0</v>
      </c>
      <c r="T237" s="307">
        <f t="shared" si="210"/>
        <v>0</v>
      </c>
      <c r="U237" s="307">
        <f t="shared" si="210"/>
        <v>0</v>
      </c>
      <c r="V237" s="307">
        <f t="shared" si="210"/>
        <v>0</v>
      </c>
      <c r="W237" s="307">
        <f t="shared" si="210"/>
        <v>0</v>
      </c>
      <c r="X237" s="307">
        <f t="shared" si="210"/>
        <v>0</v>
      </c>
      <c r="Y237" s="307">
        <f t="shared" si="210"/>
        <v>0</v>
      </c>
      <c r="Z237" s="307">
        <f t="shared" si="210"/>
        <v>0</v>
      </c>
      <c r="AA237" s="307">
        <f t="shared" si="210"/>
        <v>0</v>
      </c>
      <c r="AB237" s="307">
        <f t="shared" si="210"/>
        <v>0</v>
      </c>
      <c r="AC237" s="307">
        <f t="shared" si="210"/>
        <v>0</v>
      </c>
      <c r="AD237" s="307">
        <f t="shared" si="210"/>
        <v>0</v>
      </c>
      <c r="AE237" s="307">
        <f t="shared" si="210"/>
        <v>0</v>
      </c>
      <c r="AF237" s="307">
        <f t="shared" si="210"/>
        <v>0</v>
      </c>
      <c r="AG237" s="307">
        <f t="shared" si="210"/>
        <v>0</v>
      </c>
      <c r="AH237" s="307">
        <f t="shared" si="210"/>
        <v>0</v>
      </c>
      <c r="AI237" s="307">
        <f t="shared" si="210"/>
        <v>0</v>
      </c>
      <c r="AJ237" s="307">
        <f t="shared" si="210"/>
        <v>0</v>
      </c>
      <c r="AK237" s="307">
        <f t="shared" si="210"/>
        <v>0</v>
      </c>
      <c r="AL237" s="307">
        <f t="shared" si="210"/>
        <v>0</v>
      </c>
      <c r="AM237" s="307">
        <f t="shared" si="210"/>
        <v>0</v>
      </c>
      <c r="AN237" s="307">
        <f t="shared" si="210"/>
        <v>0</v>
      </c>
      <c r="AO237" s="307">
        <f t="shared" si="210"/>
        <v>0</v>
      </c>
      <c r="AP237" s="307">
        <f t="shared" si="210"/>
        <v>0</v>
      </c>
      <c r="AQ237" s="307">
        <f t="shared" si="210"/>
        <v>12</v>
      </c>
      <c r="AR237" s="307"/>
      <c r="AS237" s="307"/>
      <c r="AT237" s="307"/>
      <c r="AU237" s="307"/>
      <c r="AV237" s="307"/>
      <c r="AW237" s="307"/>
      <c r="AX237" s="307"/>
      <c r="AY237" s="307"/>
      <c r="AZ237" s="307"/>
      <c r="BA237" s="307"/>
      <c r="BB237" s="307"/>
      <c r="BC237" s="308"/>
      <c r="BE237" s="308">
        <v>80321102.739999771</v>
      </c>
      <c r="BF237" s="308">
        <f t="shared" si="203"/>
        <v>-4052177.7399997711</v>
      </c>
      <c r="BG237" s="308">
        <v>79348950.800001144</v>
      </c>
      <c r="BH237" s="308">
        <f t="shared" si="204"/>
        <v>-130964.80000114441</v>
      </c>
      <c r="BI237" s="308">
        <v>96385024.549220026</v>
      </c>
      <c r="BJ237" s="308">
        <f t="shared" si="205"/>
        <v>-21422659.549220026</v>
      </c>
      <c r="BK237" s="309">
        <v>75011467.00000006</v>
      </c>
      <c r="BL237" s="308">
        <f t="shared" si="206"/>
        <v>-15521462.00000006</v>
      </c>
      <c r="BM237" s="309">
        <v>0</v>
      </c>
      <c r="BN237" s="308">
        <f t="shared" si="207"/>
        <v>0</v>
      </c>
      <c r="BO237" s="308">
        <v>0</v>
      </c>
      <c r="BP237" s="308">
        <f t="shared" si="208"/>
        <v>0</v>
      </c>
      <c r="BQ237" s="308"/>
      <c r="BR237" s="308"/>
    </row>
    <row r="238" spans="1:71">
      <c r="A238" s="334"/>
      <c r="B238" s="334"/>
      <c r="C238" s="334"/>
      <c r="D238" s="334"/>
      <c r="E238" s="334"/>
      <c r="F238" s="334"/>
      <c r="G238" s="334"/>
      <c r="H238" s="334"/>
      <c r="I238" s="334"/>
      <c r="J238" s="334"/>
      <c r="K238" s="334"/>
      <c r="L238" s="334"/>
      <c r="M238" s="334"/>
      <c r="N238" s="334"/>
      <c r="O238" s="334"/>
      <c r="P238" s="334"/>
      <c r="Q238" s="334"/>
      <c r="R238" s="334"/>
      <c r="S238" s="334"/>
      <c r="T238" s="334"/>
      <c r="U238" s="334"/>
      <c r="V238" s="334"/>
      <c r="W238" s="334"/>
      <c r="X238" s="334"/>
      <c r="Y238" s="334"/>
      <c r="Z238" s="334"/>
      <c r="AA238" s="334"/>
      <c r="AB238" s="334"/>
      <c r="AC238" s="334"/>
      <c r="AD238" s="334"/>
      <c r="AE238" s="334"/>
      <c r="AF238" s="334"/>
      <c r="AG238" s="334"/>
      <c r="AH238" s="334"/>
      <c r="AI238" s="334"/>
      <c r="AJ238" s="334"/>
      <c r="AK238" s="334"/>
      <c r="AL238" s="334"/>
      <c r="AM238" s="334"/>
      <c r="AN238" s="334"/>
      <c r="AO238" s="334"/>
      <c r="AP238" s="334"/>
      <c r="AQ238" s="334"/>
      <c r="BC238" s="308"/>
      <c r="BG238" s="309"/>
    </row>
    <row r="239" spans="1:71" ht="12" thickBot="1">
      <c r="A239" s="300" t="s">
        <v>442</v>
      </c>
      <c r="BC239" s="308"/>
      <c r="BG239" s="309"/>
    </row>
    <row r="240" spans="1:71" ht="12" thickBot="1">
      <c r="A240" s="328"/>
      <c r="B240" s="329">
        <f t="shared" ref="B240:AQ240" si="211">B2</f>
        <v>2010</v>
      </c>
      <c r="C240" s="329">
        <f t="shared" si="211"/>
        <v>2011</v>
      </c>
      <c r="D240" s="329">
        <f t="shared" si="211"/>
        <v>2012</v>
      </c>
      <c r="E240" s="329">
        <f t="shared" si="211"/>
        <v>2013</v>
      </c>
      <c r="F240" s="329">
        <f t="shared" si="211"/>
        <v>2014</v>
      </c>
      <c r="G240" s="329">
        <f t="shared" si="211"/>
        <v>2015</v>
      </c>
      <c r="H240" s="329">
        <f t="shared" si="211"/>
        <v>2016</v>
      </c>
      <c r="I240" s="329">
        <f t="shared" si="211"/>
        <v>2017</v>
      </c>
      <c r="J240" s="329">
        <f t="shared" si="211"/>
        <v>2018</v>
      </c>
      <c r="K240" s="329">
        <f t="shared" si="211"/>
        <v>2019</v>
      </c>
      <c r="L240" s="329">
        <f t="shared" si="211"/>
        <v>2020</v>
      </c>
      <c r="M240" s="329">
        <f t="shared" si="211"/>
        <v>2021</v>
      </c>
      <c r="N240" s="329">
        <f t="shared" si="211"/>
        <v>2022</v>
      </c>
      <c r="O240" s="329">
        <f t="shared" si="211"/>
        <v>2023</v>
      </c>
      <c r="P240" s="329">
        <f t="shared" si="211"/>
        <v>2024</v>
      </c>
      <c r="Q240" s="329">
        <f t="shared" si="211"/>
        <v>2025</v>
      </c>
      <c r="R240" s="329">
        <f t="shared" si="211"/>
        <v>2026</v>
      </c>
      <c r="S240" s="329">
        <f t="shared" si="211"/>
        <v>2027</v>
      </c>
      <c r="T240" s="329">
        <f t="shared" si="211"/>
        <v>2028</v>
      </c>
      <c r="U240" s="329">
        <f t="shared" si="211"/>
        <v>2029</v>
      </c>
      <c r="V240" s="329">
        <f t="shared" si="211"/>
        <v>2030</v>
      </c>
      <c r="W240" s="329">
        <f t="shared" si="211"/>
        <v>2031</v>
      </c>
      <c r="X240" s="329">
        <f t="shared" si="211"/>
        <v>2032</v>
      </c>
      <c r="Y240" s="329">
        <f t="shared" si="211"/>
        <v>2033</v>
      </c>
      <c r="Z240" s="329">
        <f t="shared" si="211"/>
        <v>2034</v>
      </c>
      <c r="AA240" s="329">
        <f t="shared" si="211"/>
        <v>2035</v>
      </c>
      <c r="AB240" s="329">
        <f t="shared" si="211"/>
        <v>2036</v>
      </c>
      <c r="AC240" s="329">
        <f t="shared" si="211"/>
        <v>2037</v>
      </c>
      <c r="AD240" s="329">
        <f t="shared" si="211"/>
        <v>2038</v>
      </c>
      <c r="AE240" s="329">
        <f t="shared" si="211"/>
        <v>2039</v>
      </c>
      <c r="AF240" s="329">
        <f t="shared" si="211"/>
        <v>2040</v>
      </c>
      <c r="AG240" s="329">
        <f t="shared" si="211"/>
        <v>2041</v>
      </c>
      <c r="AH240" s="329">
        <f t="shared" si="211"/>
        <v>2042</v>
      </c>
      <c r="AI240" s="329">
        <f t="shared" si="211"/>
        <v>2043</v>
      </c>
      <c r="AJ240" s="329">
        <f t="shared" si="211"/>
        <v>2044</v>
      </c>
      <c r="AK240" s="329">
        <f t="shared" si="211"/>
        <v>2045</v>
      </c>
      <c r="AL240" s="329">
        <f t="shared" si="211"/>
        <v>2046</v>
      </c>
      <c r="AM240" s="329">
        <f t="shared" si="211"/>
        <v>2047</v>
      </c>
      <c r="AN240" s="329">
        <f t="shared" si="211"/>
        <v>2048</v>
      </c>
      <c r="AO240" s="329">
        <f t="shared" si="211"/>
        <v>2049</v>
      </c>
      <c r="AP240" s="329">
        <f t="shared" si="211"/>
        <v>2050</v>
      </c>
      <c r="AQ240" s="329">
        <f t="shared" si="211"/>
        <v>2051</v>
      </c>
      <c r="AR240" s="300"/>
      <c r="AS240" s="300"/>
      <c r="AT240" s="300"/>
      <c r="AU240" s="300"/>
      <c r="AV240" s="300"/>
      <c r="AW240" s="300"/>
      <c r="AX240" s="300"/>
      <c r="AY240" s="300"/>
      <c r="AZ240" s="300"/>
      <c r="BA240" s="300"/>
      <c r="BB240" s="300"/>
      <c r="BC240" s="308"/>
      <c r="BG240" s="309"/>
    </row>
    <row r="241" spans="1:68">
      <c r="A241" s="301" t="s">
        <v>43</v>
      </c>
      <c r="B241" s="308">
        <f>'Monthly D6 Gallon Data'!$M4</f>
        <v>0</v>
      </c>
      <c r="C241" s="308">
        <f>'Monthly D6 Gallon Data'!$M16</f>
        <v>0</v>
      </c>
      <c r="D241" s="308">
        <f>'Monthly D6 Gallon Data'!$M28</f>
        <v>0</v>
      </c>
      <c r="E241" s="308">
        <f>'Monthly D6 Gallon Data'!$M40</f>
        <v>0</v>
      </c>
      <c r="F241" s="308">
        <f>'Monthly D6 Gallon Data'!$M52</f>
        <v>0</v>
      </c>
      <c r="G241" s="308">
        <f>'Monthly D6 Gallon Data'!$M64</f>
        <v>0</v>
      </c>
      <c r="H241" s="308">
        <f>'Monthly D6 Gallon Data'!$M76</f>
        <v>0</v>
      </c>
      <c r="I241" s="308">
        <f>'Monthly D6 Gallon Data'!$M88</f>
        <v>0</v>
      </c>
      <c r="J241" s="308">
        <f>'Monthly D6 Gallon Data'!$M100</f>
        <v>0</v>
      </c>
      <c r="K241" s="308">
        <f>'Monthly D6 Gallon Data'!$M112</f>
        <v>0</v>
      </c>
      <c r="L241" s="308">
        <f>'Monthly D6 Gallon Data'!$M124</f>
        <v>0</v>
      </c>
      <c r="M241" s="308">
        <f>'Monthly D6 Gallon Data'!$M136</f>
        <v>0</v>
      </c>
      <c r="N241" s="308">
        <f>'Monthly D6 Gallon Data'!$M148</f>
        <v>0</v>
      </c>
      <c r="O241" s="308">
        <f>'Monthly D6 Gallon Data'!$M160</f>
        <v>0</v>
      </c>
      <c r="P241" s="308">
        <f>'Monthly D6 Gallon Data'!$M172</f>
        <v>0</v>
      </c>
      <c r="Q241" s="308">
        <f>'Monthly D6 Gallon Data'!$M184</f>
        <v>0</v>
      </c>
      <c r="R241" s="307">
        <v>0</v>
      </c>
      <c r="S241" s="307">
        <v>0</v>
      </c>
      <c r="T241" s="307">
        <v>0</v>
      </c>
      <c r="U241" s="307">
        <v>0</v>
      </c>
      <c r="V241" s="307">
        <v>0</v>
      </c>
      <c r="W241" s="307">
        <v>0</v>
      </c>
      <c r="X241" s="307">
        <v>0</v>
      </c>
      <c r="Y241" s="307">
        <v>0</v>
      </c>
      <c r="Z241" s="307">
        <v>0</v>
      </c>
      <c r="AA241" s="307">
        <v>0</v>
      </c>
      <c r="AB241" s="307">
        <v>0</v>
      </c>
      <c r="AC241" s="307">
        <v>0</v>
      </c>
      <c r="AD241" s="307">
        <v>0</v>
      </c>
      <c r="AE241" s="307">
        <v>0</v>
      </c>
      <c r="AF241" s="307">
        <v>0</v>
      </c>
      <c r="AG241" s="307">
        <v>0</v>
      </c>
      <c r="AH241" s="307">
        <v>0</v>
      </c>
      <c r="AI241" s="307">
        <v>0</v>
      </c>
      <c r="AJ241" s="307">
        <v>0</v>
      </c>
      <c r="AK241" s="307">
        <v>0</v>
      </c>
      <c r="AL241" s="307">
        <v>0</v>
      </c>
      <c r="AM241" s="307">
        <v>0</v>
      </c>
      <c r="AN241" s="307">
        <v>0</v>
      </c>
      <c r="AO241" s="307">
        <v>0</v>
      </c>
      <c r="AP241" s="307">
        <v>0</v>
      </c>
      <c r="AQ241" s="307">
        <v>1</v>
      </c>
      <c r="AR241" s="307"/>
      <c r="AS241" s="307"/>
      <c r="AT241" s="307"/>
      <c r="AU241" s="307"/>
      <c r="AV241" s="307"/>
      <c r="AW241" s="307"/>
      <c r="AX241" s="307"/>
      <c r="AY241" s="307"/>
      <c r="AZ241" s="307"/>
      <c r="BA241" s="307"/>
      <c r="BB241" s="307"/>
      <c r="BC241" s="308"/>
      <c r="BE241" s="308">
        <v>0</v>
      </c>
      <c r="BF241" s="308">
        <f t="shared" ref="BF241:BF253" si="212">L241-BE241</f>
        <v>0</v>
      </c>
      <c r="BG241" s="308">
        <v>0</v>
      </c>
      <c r="BH241" s="308">
        <f t="shared" ref="BH241:BH253" si="213">M241-BG241</f>
        <v>0</v>
      </c>
      <c r="BI241" s="308">
        <v>0</v>
      </c>
      <c r="BJ241" s="308">
        <f t="shared" ref="BJ241:BJ253" si="214">N241-BI241</f>
        <v>0</v>
      </c>
      <c r="BK241" s="308">
        <v>0</v>
      </c>
      <c r="BL241" s="308">
        <f t="shared" ref="BL241:BL253" si="215">O241-BK241</f>
        <v>0</v>
      </c>
      <c r="BM241" s="308">
        <v>0</v>
      </c>
      <c r="BN241" s="308">
        <f t="shared" ref="BN241:BN253" si="216">P241-BM241</f>
        <v>0</v>
      </c>
      <c r="BO241" s="308">
        <v>0</v>
      </c>
      <c r="BP241" s="308">
        <f t="shared" ref="BP241:BP253" si="217">BO241-Q241</f>
        <v>0</v>
      </c>
    </row>
    <row r="242" spans="1:68">
      <c r="A242" s="301" t="s">
        <v>44</v>
      </c>
      <c r="B242" s="308">
        <f>'Monthly D6 Gallon Data'!$M5</f>
        <v>0</v>
      </c>
      <c r="C242" s="308">
        <f>'Monthly D6 Gallon Data'!$M17</f>
        <v>0</v>
      </c>
      <c r="D242" s="308">
        <f>'Monthly D6 Gallon Data'!$M29</f>
        <v>0</v>
      </c>
      <c r="E242" s="308">
        <f>'Monthly D6 Gallon Data'!$M41</f>
        <v>0</v>
      </c>
      <c r="F242" s="308">
        <f>'Monthly D6 Gallon Data'!$M53</f>
        <v>0</v>
      </c>
      <c r="G242" s="308">
        <f>'Monthly D6 Gallon Data'!$M65</f>
        <v>0</v>
      </c>
      <c r="H242" s="308">
        <f>'Monthly D6 Gallon Data'!$M77</f>
        <v>0</v>
      </c>
      <c r="I242" s="308">
        <f>'Monthly D6 Gallon Data'!$M89</f>
        <v>0</v>
      </c>
      <c r="J242" s="308">
        <f>'Monthly D6 Gallon Data'!$M101</f>
        <v>0</v>
      </c>
      <c r="K242" s="308">
        <f>'Monthly D6 Gallon Data'!$M113</f>
        <v>0</v>
      </c>
      <c r="L242" s="308">
        <f>'Monthly D6 Gallon Data'!$M125</f>
        <v>0</v>
      </c>
      <c r="M242" s="308">
        <f>'Monthly D6 Gallon Data'!$M137</f>
        <v>0</v>
      </c>
      <c r="N242" s="308">
        <f>'Monthly D6 Gallon Data'!$M149</f>
        <v>0</v>
      </c>
      <c r="O242" s="308">
        <f>'Monthly D6 Gallon Data'!$M161</f>
        <v>0</v>
      </c>
      <c r="P242" s="308">
        <f>'Monthly D6 Gallon Data'!$M173</f>
        <v>0</v>
      </c>
      <c r="Q242" s="332">
        <f>'Monthly D6 Gallon Data'!$M185</f>
        <v>0</v>
      </c>
      <c r="R242" s="307">
        <v>0</v>
      </c>
      <c r="S242" s="307">
        <v>0</v>
      </c>
      <c r="T242" s="307">
        <v>0</v>
      </c>
      <c r="U242" s="307">
        <v>0</v>
      </c>
      <c r="V242" s="307">
        <v>0</v>
      </c>
      <c r="W242" s="307">
        <v>0</v>
      </c>
      <c r="X242" s="307">
        <v>0</v>
      </c>
      <c r="Y242" s="307">
        <v>0</v>
      </c>
      <c r="Z242" s="307">
        <v>0</v>
      </c>
      <c r="AA242" s="307">
        <v>0</v>
      </c>
      <c r="AB242" s="307">
        <v>0</v>
      </c>
      <c r="AC242" s="307">
        <v>0</v>
      </c>
      <c r="AD242" s="307">
        <v>0</v>
      </c>
      <c r="AE242" s="307">
        <v>0</v>
      </c>
      <c r="AF242" s="307">
        <v>0</v>
      </c>
      <c r="AG242" s="307">
        <v>0</v>
      </c>
      <c r="AH242" s="307">
        <v>0</v>
      </c>
      <c r="AI242" s="307">
        <v>0</v>
      </c>
      <c r="AJ242" s="307">
        <v>0</v>
      </c>
      <c r="AK242" s="307">
        <v>0</v>
      </c>
      <c r="AL242" s="307">
        <v>0</v>
      </c>
      <c r="AM242" s="307">
        <v>0</v>
      </c>
      <c r="AN242" s="307">
        <v>0</v>
      </c>
      <c r="AO242" s="307">
        <v>0</v>
      </c>
      <c r="AP242" s="307">
        <v>0</v>
      </c>
      <c r="AQ242" s="307">
        <v>1</v>
      </c>
      <c r="AR242" s="307"/>
      <c r="AS242" s="307"/>
      <c r="AT242" s="307"/>
      <c r="AU242" s="307"/>
      <c r="AV242" s="307"/>
      <c r="AW242" s="307"/>
      <c r="AX242" s="307"/>
      <c r="AY242" s="307"/>
      <c r="AZ242" s="307"/>
      <c r="BA242" s="307"/>
      <c r="BB242" s="307"/>
      <c r="BC242" s="308"/>
      <c r="BE242" s="308">
        <v>0</v>
      </c>
      <c r="BF242" s="308">
        <f t="shared" si="212"/>
        <v>0</v>
      </c>
      <c r="BG242" s="308">
        <v>0</v>
      </c>
      <c r="BH242" s="308">
        <f t="shared" si="213"/>
        <v>0</v>
      </c>
      <c r="BI242" s="308">
        <v>0</v>
      </c>
      <c r="BJ242" s="308">
        <f t="shared" si="214"/>
        <v>0</v>
      </c>
      <c r="BK242" s="308">
        <v>0</v>
      </c>
      <c r="BL242" s="308">
        <f t="shared" si="215"/>
        <v>0</v>
      </c>
      <c r="BM242" s="308">
        <v>0</v>
      </c>
      <c r="BN242" s="308">
        <f t="shared" si="216"/>
        <v>0</v>
      </c>
      <c r="BO242" s="308">
        <v>0</v>
      </c>
      <c r="BP242" s="308">
        <f t="shared" si="217"/>
        <v>0</v>
      </c>
    </row>
    <row r="243" spans="1:68">
      <c r="A243" s="301" t="s">
        <v>45</v>
      </c>
      <c r="B243" s="308">
        <f>'Monthly D6 Gallon Data'!$M6</f>
        <v>0</v>
      </c>
      <c r="C243" s="308">
        <f>'Monthly D6 Gallon Data'!$M18</f>
        <v>0</v>
      </c>
      <c r="D243" s="308">
        <f>'Monthly D6 Gallon Data'!$M30</f>
        <v>0</v>
      </c>
      <c r="E243" s="308">
        <f>'Monthly D6 Gallon Data'!$M42</f>
        <v>0</v>
      </c>
      <c r="F243" s="308">
        <f>'Monthly D6 Gallon Data'!$M54</f>
        <v>0</v>
      </c>
      <c r="G243" s="308">
        <f>'Monthly D6 Gallon Data'!$M66</f>
        <v>0</v>
      </c>
      <c r="H243" s="308">
        <f>'Monthly D6 Gallon Data'!$M78</f>
        <v>0</v>
      </c>
      <c r="I243" s="308">
        <f>'Monthly D6 Gallon Data'!$M90</f>
        <v>0</v>
      </c>
      <c r="J243" s="308">
        <f>'Monthly D6 Gallon Data'!$M102</f>
        <v>0</v>
      </c>
      <c r="K243" s="308">
        <f>'Monthly D6 Gallon Data'!$M114</f>
        <v>0</v>
      </c>
      <c r="L243" s="308">
        <f>'Monthly D6 Gallon Data'!$M126</f>
        <v>0</v>
      </c>
      <c r="M243" s="308">
        <f>'Monthly D6 Gallon Data'!$M138</f>
        <v>0</v>
      </c>
      <c r="N243" s="308">
        <f>'Monthly D6 Gallon Data'!$M150</f>
        <v>0</v>
      </c>
      <c r="O243" s="308">
        <f>'Monthly D6 Gallon Data'!$M162</f>
        <v>0</v>
      </c>
      <c r="P243" s="308">
        <f>'Monthly D6 Gallon Data'!$M174</f>
        <v>0</v>
      </c>
      <c r="Q243" s="332">
        <f>'Monthly D6 Gallon Data'!$M186</f>
        <v>0</v>
      </c>
      <c r="R243" s="307">
        <v>0</v>
      </c>
      <c r="S243" s="307">
        <v>0</v>
      </c>
      <c r="T243" s="307">
        <v>0</v>
      </c>
      <c r="U243" s="307">
        <v>0</v>
      </c>
      <c r="V243" s="307">
        <v>0</v>
      </c>
      <c r="W243" s="307">
        <v>0</v>
      </c>
      <c r="X243" s="307">
        <v>0</v>
      </c>
      <c r="Y243" s="307">
        <v>0</v>
      </c>
      <c r="Z243" s="307">
        <v>0</v>
      </c>
      <c r="AA243" s="307">
        <v>0</v>
      </c>
      <c r="AB243" s="307">
        <v>0</v>
      </c>
      <c r="AC243" s="307">
        <v>0</v>
      </c>
      <c r="AD243" s="307">
        <v>0</v>
      </c>
      <c r="AE243" s="307">
        <v>0</v>
      </c>
      <c r="AF243" s="307">
        <v>0</v>
      </c>
      <c r="AG243" s="307">
        <v>0</v>
      </c>
      <c r="AH243" s="307">
        <v>0</v>
      </c>
      <c r="AI243" s="307">
        <v>0</v>
      </c>
      <c r="AJ243" s="307">
        <v>0</v>
      </c>
      <c r="AK243" s="307">
        <v>0</v>
      </c>
      <c r="AL243" s="307">
        <v>0</v>
      </c>
      <c r="AM243" s="307">
        <v>0</v>
      </c>
      <c r="AN243" s="307">
        <v>0</v>
      </c>
      <c r="AO243" s="307">
        <v>0</v>
      </c>
      <c r="AP243" s="307">
        <v>0</v>
      </c>
      <c r="AQ243" s="307">
        <v>1</v>
      </c>
      <c r="AR243" s="307"/>
      <c r="AS243" s="307"/>
      <c r="AT243" s="307"/>
      <c r="AU243" s="307"/>
      <c r="AV243" s="307"/>
      <c r="AW243" s="307"/>
      <c r="AX243" s="307"/>
      <c r="AY243" s="307"/>
      <c r="AZ243" s="307"/>
      <c r="BA243" s="307"/>
      <c r="BB243" s="307"/>
      <c r="BC243" s="308"/>
      <c r="BE243" s="308">
        <v>0</v>
      </c>
      <c r="BF243" s="308">
        <f t="shared" si="212"/>
        <v>0</v>
      </c>
      <c r="BG243" s="308">
        <v>0</v>
      </c>
      <c r="BH243" s="308">
        <f t="shared" si="213"/>
        <v>0</v>
      </c>
      <c r="BI243" s="308">
        <v>0</v>
      </c>
      <c r="BJ243" s="308">
        <f t="shared" si="214"/>
        <v>0</v>
      </c>
      <c r="BK243" s="308">
        <v>0</v>
      </c>
      <c r="BL243" s="308">
        <f t="shared" si="215"/>
        <v>0</v>
      </c>
      <c r="BM243" s="308">
        <v>0</v>
      </c>
      <c r="BN243" s="308">
        <f t="shared" si="216"/>
        <v>0</v>
      </c>
      <c r="BO243" s="308">
        <v>0</v>
      </c>
      <c r="BP243" s="308">
        <f t="shared" si="217"/>
        <v>0</v>
      </c>
    </row>
    <row r="244" spans="1:68">
      <c r="A244" s="301" t="s">
        <v>46</v>
      </c>
      <c r="B244" s="308">
        <f>'Monthly D6 Gallon Data'!$M7</f>
        <v>0</v>
      </c>
      <c r="C244" s="308">
        <f>'Monthly D6 Gallon Data'!$M19</f>
        <v>0</v>
      </c>
      <c r="D244" s="308">
        <f>'Monthly D6 Gallon Data'!$M31</f>
        <v>0</v>
      </c>
      <c r="E244" s="308">
        <f>'Monthly D6 Gallon Data'!$M43</f>
        <v>0</v>
      </c>
      <c r="F244" s="308">
        <f>'Monthly D6 Gallon Data'!$M55</f>
        <v>0</v>
      </c>
      <c r="G244" s="308">
        <f>'Monthly D6 Gallon Data'!$M67</f>
        <v>0</v>
      </c>
      <c r="H244" s="308">
        <f>'Monthly D6 Gallon Data'!$M79</f>
        <v>0</v>
      </c>
      <c r="I244" s="308">
        <f>'Monthly D6 Gallon Data'!$M91</f>
        <v>0</v>
      </c>
      <c r="J244" s="308">
        <f>'Monthly D6 Gallon Data'!$M103</f>
        <v>0</v>
      </c>
      <c r="K244" s="308">
        <f>'Monthly D6 Gallon Data'!$M115</f>
        <v>0</v>
      </c>
      <c r="L244" s="308">
        <f>'Monthly D6 Gallon Data'!$M127</f>
        <v>0</v>
      </c>
      <c r="M244" s="308">
        <f>'Monthly D6 Gallon Data'!$M139</f>
        <v>0</v>
      </c>
      <c r="N244" s="308">
        <f>'Monthly D6 Gallon Data'!$M151</f>
        <v>0</v>
      </c>
      <c r="O244" s="308">
        <f>'Monthly D6 Gallon Data'!$M163</f>
        <v>0</v>
      </c>
      <c r="P244" s="308">
        <f>'Monthly D6 Gallon Data'!$M175</f>
        <v>0</v>
      </c>
      <c r="Q244" s="307">
        <v>0</v>
      </c>
      <c r="R244" s="307">
        <v>0</v>
      </c>
      <c r="S244" s="307">
        <v>0</v>
      </c>
      <c r="T244" s="307">
        <v>0</v>
      </c>
      <c r="U244" s="307">
        <v>0</v>
      </c>
      <c r="V244" s="307">
        <v>0</v>
      </c>
      <c r="W244" s="307">
        <v>0</v>
      </c>
      <c r="X244" s="307">
        <v>0</v>
      </c>
      <c r="Y244" s="307">
        <v>0</v>
      </c>
      <c r="Z244" s="307">
        <v>0</v>
      </c>
      <c r="AA244" s="307">
        <v>0</v>
      </c>
      <c r="AB244" s="307">
        <v>0</v>
      </c>
      <c r="AC244" s="307">
        <v>0</v>
      </c>
      <c r="AD244" s="307">
        <v>0</v>
      </c>
      <c r="AE244" s="307">
        <v>0</v>
      </c>
      <c r="AF244" s="307">
        <v>0</v>
      </c>
      <c r="AG244" s="307">
        <v>0</v>
      </c>
      <c r="AH244" s="307">
        <v>0</v>
      </c>
      <c r="AI244" s="307">
        <v>0</v>
      </c>
      <c r="AJ244" s="307">
        <v>0</v>
      </c>
      <c r="AK244" s="307">
        <v>0</v>
      </c>
      <c r="AL244" s="307">
        <v>0</v>
      </c>
      <c r="AM244" s="307">
        <v>0</v>
      </c>
      <c r="AN244" s="307">
        <v>0</v>
      </c>
      <c r="AO244" s="307">
        <v>0</v>
      </c>
      <c r="AP244" s="307">
        <v>0</v>
      </c>
      <c r="AQ244" s="307">
        <v>1</v>
      </c>
      <c r="AR244" s="307"/>
      <c r="AS244" s="307"/>
      <c r="AT244" s="307"/>
      <c r="AU244" s="307"/>
      <c r="AV244" s="307"/>
      <c r="AW244" s="307"/>
      <c r="AX244" s="307"/>
      <c r="AY244" s="307"/>
      <c r="AZ244" s="307"/>
      <c r="BA244" s="307"/>
      <c r="BB244" s="307"/>
      <c r="BC244" s="308"/>
      <c r="BE244" s="308">
        <v>0</v>
      </c>
      <c r="BF244" s="308">
        <f t="shared" si="212"/>
        <v>0</v>
      </c>
      <c r="BG244" s="308">
        <v>0</v>
      </c>
      <c r="BH244" s="308">
        <f t="shared" si="213"/>
        <v>0</v>
      </c>
      <c r="BI244" s="308">
        <v>0</v>
      </c>
      <c r="BJ244" s="308">
        <f t="shared" si="214"/>
        <v>0</v>
      </c>
      <c r="BK244" s="308">
        <v>0</v>
      </c>
      <c r="BL244" s="308">
        <f t="shared" si="215"/>
        <v>0</v>
      </c>
      <c r="BM244" s="308">
        <v>0</v>
      </c>
      <c r="BN244" s="308">
        <f t="shared" si="216"/>
        <v>0</v>
      </c>
      <c r="BO244" s="308">
        <v>0</v>
      </c>
      <c r="BP244" s="308">
        <f t="shared" si="217"/>
        <v>0</v>
      </c>
    </row>
    <row r="245" spans="1:68">
      <c r="A245" s="301" t="s">
        <v>47</v>
      </c>
      <c r="B245" s="308">
        <f>'Monthly D6 Gallon Data'!$M8</f>
        <v>0</v>
      </c>
      <c r="C245" s="308">
        <f>'Monthly D6 Gallon Data'!$M20</f>
        <v>0</v>
      </c>
      <c r="D245" s="308">
        <f>'Monthly D6 Gallon Data'!$M32</f>
        <v>0</v>
      </c>
      <c r="E245" s="308">
        <f>'Monthly D6 Gallon Data'!$M44</f>
        <v>0</v>
      </c>
      <c r="F245" s="308">
        <f>'Monthly D6 Gallon Data'!$M56</f>
        <v>0</v>
      </c>
      <c r="G245" s="308">
        <f>'Monthly D6 Gallon Data'!$M68</f>
        <v>0</v>
      </c>
      <c r="H245" s="308">
        <f>'Monthly D6 Gallon Data'!$M80</f>
        <v>0</v>
      </c>
      <c r="I245" s="308">
        <f>'Monthly D6 Gallon Data'!$M92</f>
        <v>0</v>
      </c>
      <c r="J245" s="308">
        <f>'Monthly D6 Gallon Data'!$M104</f>
        <v>0</v>
      </c>
      <c r="K245" s="308">
        <f>'Monthly D6 Gallon Data'!$M116</f>
        <v>0</v>
      </c>
      <c r="L245" s="308">
        <f>'Monthly D6 Gallon Data'!$M128</f>
        <v>0</v>
      </c>
      <c r="M245" s="308">
        <f>'Monthly D6 Gallon Data'!$M140</f>
        <v>0</v>
      </c>
      <c r="N245" s="308">
        <f>'Monthly D6 Gallon Data'!$M152</f>
        <v>0</v>
      </c>
      <c r="O245" s="308">
        <f>'Monthly D6 Gallon Data'!$M164</f>
        <v>0</v>
      </c>
      <c r="P245" s="308">
        <f>'Monthly D6 Gallon Data'!$M176</f>
        <v>0</v>
      </c>
      <c r="Q245" s="307">
        <v>0</v>
      </c>
      <c r="R245" s="307">
        <v>0</v>
      </c>
      <c r="S245" s="307">
        <v>0</v>
      </c>
      <c r="T245" s="307">
        <v>0</v>
      </c>
      <c r="U245" s="307">
        <v>0</v>
      </c>
      <c r="V245" s="307">
        <v>0</v>
      </c>
      <c r="W245" s="307">
        <v>0</v>
      </c>
      <c r="X245" s="307">
        <v>0</v>
      </c>
      <c r="Y245" s="307">
        <v>0</v>
      </c>
      <c r="Z245" s="307">
        <v>0</v>
      </c>
      <c r="AA245" s="307">
        <v>0</v>
      </c>
      <c r="AB245" s="307">
        <v>0</v>
      </c>
      <c r="AC245" s="307">
        <v>0</v>
      </c>
      <c r="AD245" s="307">
        <v>0</v>
      </c>
      <c r="AE245" s="307">
        <v>0</v>
      </c>
      <c r="AF245" s="307">
        <v>0</v>
      </c>
      <c r="AG245" s="307">
        <v>0</v>
      </c>
      <c r="AH245" s="307">
        <v>0</v>
      </c>
      <c r="AI245" s="307">
        <v>0</v>
      </c>
      <c r="AJ245" s="307">
        <v>0</v>
      </c>
      <c r="AK245" s="307">
        <v>0</v>
      </c>
      <c r="AL245" s="307">
        <v>0</v>
      </c>
      <c r="AM245" s="307">
        <v>0</v>
      </c>
      <c r="AN245" s="307">
        <v>0</v>
      </c>
      <c r="AO245" s="307">
        <v>0</v>
      </c>
      <c r="AP245" s="307">
        <v>0</v>
      </c>
      <c r="AQ245" s="307">
        <v>1</v>
      </c>
      <c r="AR245" s="307"/>
      <c r="AS245" s="307"/>
      <c r="AT245" s="307"/>
      <c r="AU245" s="307"/>
      <c r="AV245" s="307"/>
      <c r="AW245" s="307"/>
      <c r="AX245" s="307"/>
      <c r="AY245" s="307"/>
      <c r="AZ245" s="307"/>
      <c r="BA245" s="307"/>
      <c r="BB245" s="307"/>
      <c r="BC245" s="308"/>
      <c r="BE245" s="308">
        <v>0</v>
      </c>
      <c r="BF245" s="308">
        <f t="shared" si="212"/>
        <v>0</v>
      </c>
      <c r="BG245" s="308">
        <v>0</v>
      </c>
      <c r="BH245" s="308">
        <f t="shared" si="213"/>
        <v>0</v>
      </c>
      <c r="BI245" s="308">
        <v>0</v>
      </c>
      <c r="BJ245" s="308">
        <f t="shared" si="214"/>
        <v>0</v>
      </c>
      <c r="BK245" s="308">
        <v>0</v>
      </c>
      <c r="BL245" s="308">
        <f t="shared" si="215"/>
        <v>0</v>
      </c>
      <c r="BM245" s="308">
        <v>0</v>
      </c>
      <c r="BN245" s="308">
        <f t="shared" si="216"/>
        <v>0</v>
      </c>
      <c r="BO245" s="308">
        <v>0</v>
      </c>
      <c r="BP245" s="308">
        <f t="shared" si="217"/>
        <v>0</v>
      </c>
    </row>
    <row r="246" spans="1:68">
      <c r="A246" s="301" t="s">
        <v>48</v>
      </c>
      <c r="B246" s="308">
        <f>'Monthly D6 Gallon Data'!$M9</f>
        <v>0</v>
      </c>
      <c r="C246" s="308">
        <f>'Monthly D6 Gallon Data'!$M21</f>
        <v>0</v>
      </c>
      <c r="D246" s="308">
        <f>'Monthly D6 Gallon Data'!$M33</f>
        <v>0</v>
      </c>
      <c r="E246" s="308">
        <f>'Monthly D6 Gallon Data'!$M45</f>
        <v>0</v>
      </c>
      <c r="F246" s="308">
        <f>'Monthly D6 Gallon Data'!$M57</f>
        <v>0</v>
      </c>
      <c r="G246" s="308">
        <f>'Monthly D6 Gallon Data'!$M69</f>
        <v>0</v>
      </c>
      <c r="H246" s="308">
        <f>'Monthly D6 Gallon Data'!$M81</f>
        <v>0</v>
      </c>
      <c r="I246" s="308">
        <f>'Monthly D6 Gallon Data'!$M93</f>
        <v>0</v>
      </c>
      <c r="J246" s="308">
        <f>'Monthly D6 Gallon Data'!$M105</f>
        <v>0</v>
      </c>
      <c r="K246" s="308">
        <f>'Monthly D6 Gallon Data'!$M117</f>
        <v>0</v>
      </c>
      <c r="L246" s="308">
        <f>'Monthly D6 Gallon Data'!$M129</f>
        <v>0</v>
      </c>
      <c r="M246" s="308">
        <f>'Monthly D6 Gallon Data'!$M141</f>
        <v>0</v>
      </c>
      <c r="N246" s="308">
        <f>'Monthly D6 Gallon Data'!$M153</f>
        <v>0</v>
      </c>
      <c r="O246" s="308">
        <f>'Monthly D6 Gallon Data'!$M165</f>
        <v>0</v>
      </c>
      <c r="P246" s="308">
        <f>'Monthly D6 Gallon Data'!$M177</f>
        <v>0</v>
      </c>
      <c r="Q246" s="307">
        <v>0</v>
      </c>
      <c r="R246" s="307">
        <v>0</v>
      </c>
      <c r="S246" s="307">
        <v>0</v>
      </c>
      <c r="T246" s="307">
        <v>0</v>
      </c>
      <c r="U246" s="307">
        <v>0</v>
      </c>
      <c r="V246" s="307">
        <v>0</v>
      </c>
      <c r="W246" s="307">
        <v>0</v>
      </c>
      <c r="X246" s="307">
        <v>0</v>
      </c>
      <c r="Y246" s="307">
        <v>0</v>
      </c>
      <c r="Z246" s="307">
        <v>0</v>
      </c>
      <c r="AA246" s="307">
        <v>0</v>
      </c>
      <c r="AB246" s="307">
        <v>0</v>
      </c>
      <c r="AC246" s="307">
        <v>0</v>
      </c>
      <c r="AD246" s="307">
        <v>0</v>
      </c>
      <c r="AE246" s="307">
        <v>0</v>
      </c>
      <c r="AF246" s="307">
        <v>0</v>
      </c>
      <c r="AG246" s="307">
        <v>0</v>
      </c>
      <c r="AH246" s="307">
        <v>0</v>
      </c>
      <c r="AI246" s="307">
        <v>0</v>
      </c>
      <c r="AJ246" s="307">
        <v>0</v>
      </c>
      <c r="AK246" s="307">
        <v>0</v>
      </c>
      <c r="AL246" s="307">
        <v>0</v>
      </c>
      <c r="AM246" s="307">
        <v>0</v>
      </c>
      <c r="AN246" s="307">
        <v>0</v>
      </c>
      <c r="AO246" s="307">
        <v>0</v>
      </c>
      <c r="AP246" s="307">
        <v>0</v>
      </c>
      <c r="AQ246" s="307">
        <v>1</v>
      </c>
      <c r="AR246" s="307"/>
      <c r="AS246" s="307"/>
      <c r="AT246" s="307"/>
      <c r="AU246" s="307"/>
      <c r="AV246" s="307"/>
      <c r="AW246" s="307"/>
      <c r="AX246" s="307"/>
      <c r="AY246" s="307"/>
      <c r="AZ246" s="307"/>
      <c r="BA246" s="307"/>
      <c r="BB246" s="307"/>
      <c r="BC246" s="308"/>
      <c r="BE246" s="308">
        <v>0</v>
      </c>
      <c r="BF246" s="308">
        <f t="shared" si="212"/>
        <v>0</v>
      </c>
      <c r="BG246" s="308">
        <v>0</v>
      </c>
      <c r="BH246" s="308">
        <f t="shared" si="213"/>
        <v>0</v>
      </c>
      <c r="BI246" s="308">
        <v>0</v>
      </c>
      <c r="BJ246" s="308">
        <f t="shared" si="214"/>
        <v>0</v>
      </c>
      <c r="BK246" s="308">
        <v>0</v>
      </c>
      <c r="BL246" s="308">
        <f t="shared" si="215"/>
        <v>0</v>
      </c>
      <c r="BM246" s="308">
        <v>0</v>
      </c>
      <c r="BN246" s="308">
        <f t="shared" si="216"/>
        <v>0</v>
      </c>
      <c r="BO246" s="308">
        <v>0</v>
      </c>
      <c r="BP246" s="308">
        <f t="shared" si="217"/>
        <v>0</v>
      </c>
    </row>
    <row r="247" spans="1:68">
      <c r="A247" s="301" t="s">
        <v>49</v>
      </c>
      <c r="B247" s="308">
        <f>'Monthly D6 Gallon Data'!$M10</f>
        <v>0</v>
      </c>
      <c r="C247" s="308">
        <f>'Monthly D6 Gallon Data'!$M22</f>
        <v>0</v>
      </c>
      <c r="D247" s="308">
        <f>'Monthly D6 Gallon Data'!$M34</f>
        <v>0</v>
      </c>
      <c r="E247" s="308">
        <f>'Monthly D6 Gallon Data'!$M46</f>
        <v>0</v>
      </c>
      <c r="F247" s="308">
        <f>'Monthly D6 Gallon Data'!$M58</f>
        <v>0</v>
      </c>
      <c r="G247" s="308">
        <f>'Monthly D6 Gallon Data'!$M70</f>
        <v>0</v>
      </c>
      <c r="H247" s="308">
        <f>'Monthly D6 Gallon Data'!$M82</f>
        <v>0</v>
      </c>
      <c r="I247" s="308">
        <f>'Monthly D6 Gallon Data'!$M94</f>
        <v>0</v>
      </c>
      <c r="J247" s="308">
        <f>'Monthly D6 Gallon Data'!$M106</f>
        <v>0</v>
      </c>
      <c r="K247" s="308">
        <f>'Monthly D6 Gallon Data'!$M118</f>
        <v>0</v>
      </c>
      <c r="L247" s="308">
        <f>'Monthly D6 Gallon Data'!$M130</f>
        <v>0</v>
      </c>
      <c r="M247" s="308">
        <f>'Monthly D6 Gallon Data'!$M142</f>
        <v>0</v>
      </c>
      <c r="N247" s="308">
        <f>'Monthly D6 Gallon Data'!$M154</f>
        <v>0</v>
      </c>
      <c r="O247" s="308">
        <f>'Monthly D6 Gallon Data'!$M166</f>
        <v>0</v>
      </c>
      <c r="P247" s="308">
        <f>'Monthly D6 Gallon Data'!$M178</f>
        <v>0</v>
      </c>
      <c r="Q247" s="307">
        <v>0</v>
      </c>
      <c r="R247" s="307">
        <v>0</v>
      </c>
      <c r="S247" s="307">
        <v>0</v>
      </c>
      <c r="T247" s="307">
        <v>0</v>
      </c>
      <c r="U247" s="307">
        <v>0</v>
      </c>
      <c r="V247" s="307">
        <v>0</v>
      </c>
      <c r="W247" s="307">
        <v>0</v>
      </c>
      <c r="X247" s="307">
        <v>0</v>
      </c>
      <c r="Y247" s="307">
        <v>0</v>
      </c>
      <c r="Z247" s="307">
        <v>0</v>
      </c>
      <c r="AA247" s="307">
        <v>0</v>
      </c>
      <c r="AB247" s="307">
        <v>0</v>
      </c>
      <c r="AC247" s="307">
        <v>0</v>
      </c>
      <c r="AD247" s="307">
        <v>0</v>
      </c>
      <c r="AE247" s="307">
        <v>0</v>
      </c>
      <c r="AF247" s="307">
        <v>0</v>
      </c>
      <c r="AG247" s="307">
        <v>0</v>
      </c>
      <c r="AH247" s="307">
        <v>0</v>
      </c>
      <c r="AI247" s="307">
        <v>0</v>
      </c>
      <c r="AJ247" s="307">
        <v>0</v>
      </c>
      <c r="AK247" s="307">
        <v>0</v>
      </c>
      <c r="AL247" s="307">
        <v>0</v>
      </c>
      <c r="AM247" s="307">
        <v>0</v>
      </c>
      <c r="AN247" s="307">
        <v>0</v>
      </c>
      <c r="AO247" s="307">
        <v>0</v>
      </c>
      <c r="AP247" s="307">
        <v>0</v>
      </c>
      <c r="AQ247" s="307">
        <v>1</v>
      </c>
      <c r="AR247" s="307"/>
      <c r="AS247" s="307"/>
      <c r="AT247" s="307"/>
      <c r="AU247" s="307"/>
      <c r="AV247" s="307"/>
      <c r="AW247" s="307"/>
      <c r="AX247" s="307"/>
      <c r="AY247" s="307"/>
      <c r="AZ247" s="307"/>
      <c r="BA247" s="307"/>
      <c r="BB247" s="307"/>
      <c r="BC247" s="308"/>
      <c r="BE247" s="308">
        <v>0</v>
      </c>
      <c r="BF247" s="308">
        <f t="shared" si="212"/>
        <v>0</v>
      </c>
      <c r="BG247" s="308">
        <v>0</v>
      </c>
      <c r="BH247" s="308">
        <f t="shared" si="213"/>
        <v>0</v>
      </c>
      <c r="BI247" s="308">
        <v>0</v>
      </c>
      <c r="BJ247" s="308">
        <f t="shared" si="214"/>
        <v>0</v>
      </c>
      <c r="BK247" s="308">
        <v>0</v>
      </c>
      <c r="BL247" s="308">
        <f t="shared" si="215"/>
        <v>0</v>
      </c>
      <c r="BM247" s="309">
        <v>0</v>
      </c>
      <c r="BN247" s="308">
        <f t="shared" si="216"/>
        <v>0</v>
      </c>
      <c r="BO247" s="308">
        <v>0</v>
      </c>
      <c r="BP247" s="308">
        <f t="shared" si="217"/>
        <v>0</v>
      </c>
    </row>
    <row r="248" spans="1:68">
      <c r="A248" s="301" t="s">
        <v>50</v>
      </c>
      <c r="B248" s="308">
        <f>'Monthly D6 Gallon Data'!$M11</f>
        <v>0</v>
      </c>
      <c r="C248" s="308">
        <f>'Monthly D6 Gallon Data'!$M23</f>
        <v>0</v>
      </c>
      <c r="D248" s="308">
        <f>'Monthly D6 Gallon Data'!$M35</f>
        <v>0</v>
      </c>
      <c r="E248" s="308">
        <f>'Monthly D6 Gallon Data'!$M47</f>
        <v>0</v>
      </c>
      <c r="F248" s="308">
        <f>'Monthly D6 Gallon Data'!$M59</f>
        <v>0</v>
      </c>
      <c r="G248" s="308">
        <f>'Monthly D6 Gallon Data'!$M71</f>
        <v>0</v>
      </c>
      <c r="H248" s="308">
        <f>'Monthly D6 Gallon Data'!$M83</f>
        <v>0</v>
      </c>
      <c r="I248" s="308">
        <f>'Monthly D6 Gallon Data'!$M95</f>
        <v>0</v>
      </c>
      <c r="J248" s="308">
        <f>'Monthly D6 Gallon Data'!$M107</f>
        <v>0</v>
      </c>
      <c r="K248" s="308">
        <f>'Monthly D6 Gallon Data'!$M119</f>
        <v>0</v>
      </c>
      <c r="L248" s="308">
        <f>'Monthly D6 Gallon Data'!$M131</f>
        <v>0</v>
      </c>
      <c r="M248" s="308">
        <f>'Monthly D6 Gallon Data'!$M143</f>
        <v>0</v>
      </c>
      <c r="N248" s="308">
        <f>'Monthly D6 Gallon Data'!$M155</f>
        <v>0</v>
      </c>
      <c r="O248" s="308">
        <f>'Monthly D6 Gallon Data'!$M167</f>
        <v>0</v>
      </c>
      <c r="P248" s="308">
        <f>'Monthly D6 Gallon Data'!$M179</f>
        <v>0</v>
      </c>
      <c r="Q248" s="307">
        <v>0</v>
      </c>
      <c r="R248" s="307">
        <v>0</v>
      </c>
      <c r="S248" s="307">
        <v>0</v>
      </c>
      <c r="T248" s="307">
        <v>0</v>
      </c>
      <c r="U248" s="307">
        <v>0</v>
      </c>
      <c r="V248" s="307">
        <v>0</v>
      </c>
      <c r="W248" s="307">
        <v>0</v>
      </c>
      <c r="X248" s="307">
        <v>0</v>
      </c>
      <c r="Y248" s="307">
        <v>0</v>
      </c>
      <c r="Z248" s="307">
        <v>0</v>
      </c>
      <c r="AA248" s="307">
        <v>0</v>
      </c>
      <c r="AB248" s="307">
        <v>0</v>
      </c>
      <c r="AC248" s="307">
        <v>0</v>
      </c>
      <c r="AD248" s="307">
        <v>0</v>
      </c>
      <c r="AE248" s="307">
        <v>0</v>
      </c>
      <c r="AF248" s="307">
        <v>0</v>
      </c>
      <c r="AG248" s="307">
        <v>0</v>
      </c>
      <c r="AH248" s="307">
        <v>0</v>
      </c>
      <c r="AI248" s="307">
        <v>0</v>
      </c>
      <c r="AJ248" s="307">
        <v>0</v>
      </c>
      <c r="AK248" s="307">
        <v>0</v>
      </c>
      <c r="AL248" s="307">
        <v>0</v>
      </c>
      <c r="AM248" s="307">
        <v>0</v>
      </c>
      <c r="AN248" s="307">
        <v>0</v>
      </c>
      <c r="AO248" s="307">
        <v>0</v>
      </c>
      <c r="AP248" s="307">
        <v>0</v>
      </c>
      <c r="AQ248" s="307">
        <v>1</v>
      </c>
      <c r="AR248" s="307"/>
      <c r="AS248" s="307"/>
      <c r="AT248" s="307"/>
      <c r="AU248" s="307"/>
      <c r="AV248" s="307"/>
      <c r="AW248" s="307"/>
      <c r="AX248" s="307"/>
      <c r="AY248" s="307"/>
      <c r="AZ248" s="307"/>
      <c r="BA248" s="307"/>
      <c r="BB248" s="307"/>
      <c r="BC248" s="308"/>
      <c r="BE248" s="308">
        <v>0</v>
      </c>
      <c r="BF248" s="308">
        <f t="shared" si="212"/>
        <v>0</v>
      </c>
      <c r="BG248" s="308">
        <v>0</v>
      </c>
      <c r="BH248" s="308">
        <f t="shared" si="213"/>
        <v>0</v>
      </c>
      <c r="BI248" s="308">
        <v>0</v>
      </c>
      <c r="BJ248" s="308">
        <f t="shared" si="214"/>
        <v>0</v>
      </c>
      <c r="BK248" s="308">
        <v>0</v>
      </c>
      <c r="BL248" s="308">
        <f t="shared" si="215"/>
        <v>0</v>
      </c>
      <c r="BM248" s="309">
        <v>0</v>
      </c>
      <c r="BN248" s="308">
        <f t="shared" si="216"/>
        <v>0</v>
      </c>
      <c r="BO248" s="308">
        <v>0</v>
      </c>
      <c r="BP248" s="308">
        <f t="shared" si="217"/>
        <v>0</v>
      </c>
    </row>
    <row r="249" spans="1:68">
      <c r="A249" s="301" t="s">
        <v>51</v>
      </c>
      <c r="B249" s="308">
        <f>'Monthly D6 Gallon Data'!$M12</f>
        <v>0</v>
      </c>
      <c r="C249" s="308">
        <f>'Monthly D6 Gallon Data'!$M24</f>
        <v>0</v>
      </c>
      <c r="D249" s="308">
        <f>'Monthly D6 Gallon Data'!$M36</f>
        <v>0</v>
      </c>
      <c r="E249" s="308">
        <f>'Monthly D6 Gallon Data'!$M48</f>
        <v>0</v>
      </c>
      <c r="F249" s="308">
        <f>'Monthly D6 Gallon Data'!$M60</f>
        <v>0</v>
      </c>
      <c r="G249" s="308">
        <f>'Monthly D6 Gallon Data'!$M72</f>
        <v>0</v>
      </c>
      <c r="H249" s="308">
        <f>'Monthly D6 Gallon Data'!$M84</f>
        <v>0</v>
      </c>
      <c r="I249" s="308">
        <f>'Monthly D6 Gallon Data'!$M96</f>
        <v>0</v>
      </c>
      <c r="J249" s="308">
        <f>'Monthly D6 Gallon Data'!$M108</f>
        <v>0</v>
      </c>
      <c r="K249" s="308">
        <f>'Monthly D6 Gallon Data'!$M120</f>
        <v>0</v>
      </c>
      <c r="L249" s="308">
        <f>'Monthly D6 Gallon Data'!$M132</f>
        <v>0</v>
      </c>
      <c r="M249" s="308">
        <f>'Monthly D6 Gallon Data'!$M144</f>
        <v>0</v>
      </c>
      <c r="N249" s="308">
        <f>'Monthly D6 Gallon Data'!$M156</f>
        <v>0</v>
      </c>
      <c r="O249" s="308">
        <f>'Monthly D6 Gallon Data'!$M168</f>
        <v>0</v>
      </c>
      <c r="P249" s="308">
        <f>'Monthly D6 Gallon Data'!$M180</f>
        <v>0</v>
      </c>
      <c r="Q249" s="307">
        <v>0</v>
      </c>
      <c r="R249" s="307">
        <v>0</v>
      </c>
      <c r="S249" s="307">
        <v>0</v>
      </c>
      <c r="T249" s="307">
        <v>0</v>
      </c>
      <c r="U249" s="307">
        <v>0</v>
      </c>
      <c r="V249" s="307">
        <v>0</v>
      </c>
      <c r="W249" s="307">
        <v>0</v>
      </c>
      <c r="X249" s="307">
        <v>0</v>
      </c>
      <c r="Y249" s="307">
        <v>0</v>
      </c>
      <c r="Z249" s="307">
        <v>0</v>
      </c>
      <c r="AA249" s="307">
        <v>0</v>
      </c>
      <c r="AB249" s="307">
        <v>0</v>
      </c>
      <c r="AC249" s="307">
        <v>0</v>
      </c>
      <c r="AD249" s="307">
        <v>0</v>
      </c>
      <c r="AE249" s="307">
        <v>0</v>
      </c>
      <c r="AF249" s="307">
        <v>0</v>
      </c>
      <c r="AG249" s="307">
        <v>0</v>
      </c>
      <c r="AH249" s="307">
        <v>0</v>
      </c>
      <c r="AI249" s="307">
        <v>0</v>
      </c>
      <c r="AJ249" s="307">
        <v>0</v>
      </c>
      <c r="AK249" s="307">
        <v>0</v>
      </c>
      <c r="AL249" s="307">
        <v>0</v>
      </c>
      <c r="AM249" s="307">
        <v>0</v>
      </c>
      <c r="AN249" s="307">
        <v>0</v>
      </c>
      <c r="AO249" s="307">
        <v>0</v>
      </c>
      <c r="AP249" s="307">
        <v>0</v>
      </c>
      <c r="AQ249" s="307">
        <v>1</v>
      </c>
      <c r="AR249" s="307"/>
      <c r="AS249" s="307"/>
      <c r="AT249" s="307"/>
      <c r="AU249" s="307"/>
      <c r="AV249" s="307"/>
      <c r="AW249" s="307"/>
      <c r="AX249" s="307"/>
      <c r="AY249" s="307"/>
      <c r="AZ249" s="307"/>
      <c r="BA249" s="307"/>
      <c r="BB249" s="307"/>
      <c r="BC249" s="308"/>
      <c r="BE249" s="308">
        <v>0</v>
      </c>
      <c r="BF249" s="308">
        <f t="shared" si="212"/>
        <v>0</v>
      </c>
      <c r="BG249" s="308">
        <v>0</v>
      </c>
      <c r="BH249" s="308">
        <f t="shared" si="213"/>
        <v>0</v>
      </c>
      <c r="BI249" s="308">
        <v>0</v>
      </c>
      <c r="BJ249" s="308">
        <f t="shared" si="214"/>
        <v>0</v>
      </c>
      <c r="BK249" s="308">
        <v>0</v>
      </c>
      <c r="BL249" s="308">
        <f t="shared" si="215"/>
        <v>0</v>
      </c>
      <c r="BM249" s="309">
        <v>0</v>
      </c>
      <c r="BN249" s="308">
        <f t="shared" si="216"/>
        <v>0</v>
      </c>
      <c r="BO249" s="308">
        <v>0</v>
      </c>
      <c r="BP249" s="308">
        <f t="shared" si="217"/>
        <v>0</v>
      </c>
    </row>
    <row r="250" spans="1:68">
      <c r="A250" s="301" t="s">
        <v>52</v>
      </c>
      <c r="B250" s="308">
        <f>'Monthly D6 Gallon Data'!$M13</f>
        <v>0</v>
      </c>
      <c r="C250" s="308">
        <f>'Monthly D6 Gallon Data'!$M25</f>
        <v>0</v>
      </c>
      <c r="D250" s="308">
        <f>'Monthly D6 Gallon Data'!$M37</f>
        <v>0</v>
      </c>
      <c r="E250" s="308">
        <f>'Monthly D6 Gallon Data'!$M49</f>
        <v>0</v>
      </c>
      <c r="F250" s="308">
        <f>'Monthly D6 Gallon Data'!$M61</f>
        <v>0</v>
      </c>
      <c r="G250" s="308">
        <f>'Monthly D6 Gallon Data'!$M73</f>
        <v>0</v>
      </c>
      <c r="H250" s="308">
        <f>'Monthly D6 Gallon Data'!$M85</f>
        <v>0</v>
      </c>
      <c r="I250" s="308">
        <f>'Monthly D6 Gallon Data'!$M97</f>
        <v>0</v>
      </c>
      <c r="J250" s="308">
        <f>'Monthly D6 Gallon Data'!$M109</f>
        <v>0</v>
      </c>
      <c r="K250" s="308">
        <f>'Monthly D6 Gallon Data'!$M121</f>
        <v>0</v>
      </c>
      <c r="L250" s="308">
        <f>'Monthly D6 Gallon Data'!$M133</f>
        <v>0</v>
      </c>
      <c r="M250" s="308">
        <f>'Monthly D6 Gallon Data'!$M145</f>
        <v>0</v>
      </c>
      <c r="N250" s="308">
        <f>'Monthly D6 Gallon Data'!$M157</f>
        <v>0</v>
      </c>
      <c r="O250" s="308">
        <f>'Monthly D6 Gallon Data'!$M169</f>
        <v>0</v>
      </c>
      <c r="P250" s="308">
        <f>'Monthly D6 Gallon Data'!$M181</f>
        <v>0</v>
      </c>
      <c r="Q250" s="307">
        <v>0</v>
      </c>
      <c r="R250" s="307">
        <v>0</v>
      </c>
      <c r="S250" s="307">
        <v>0</v>
      </c>
      <c r="T250" s="307">
        <v>0</v>
      </c>
      <c r="U250" s="307">
        <v>0</v>
      </c>
      <c r="V250" s="307">
        <v>0</v>
      </c>
      <c r="W250" s="307">
        <v>0</v>
      </c>
      <c r="X250" s="307">
        <v>0</v>
      </c>
      <c r="Y250" s="307">
        <v>0</v>
      </c>
      <c r="Z250" s="307">
        <v>0</v>
      </c>
      <c r="AA250" s="307">
        <v>0</v>
      </c>
      <c r="AB250" s="307">
        <v>0</v>
      </c>
      <c r="AC250" s="307">
        <v>0</v>
      </c>
      <c r="AD250" s="307">
        <v>0</v>
      </c>
      <c r="AE250" s="307">
        <v>0</v>
      </c>
      <c r="AF250" s="307">
        <v>0</v>
      </c>
      <c r="AG250" s="307">
        <v>0</v>
      </c>
      <c r="AH250" s="307">
        <v>0</v>
      </c>
      <c r="AI250" s="307">
        <v>0</v>
      </c>
      <c r="AJ250" s="307">
        <v>0</v>
      </c>
      <c r="AK250" s="307">
        <v>0</v>
      </c>
      <c r="AL250" s="307">
        <v>0</v>
      </c>
      <c r="AM250" s="307">
        <v>0</v>
      </c>
      <c r="AN250" s="307">
        <v>0</v>
      </c>
      <c r="AO250" s="307">
        <v>0</v>
      </c>
      <c r="AP250" s="307">
        <v>0</v>
      </c>
      <c r="AQ250" s="307">
        <v>1</v>
      </c>
      <c r="AR250" s="307"/>
      <c r="AS250" s="307"/>
      <c r="AT250" s="307"/>
      <c r="AU250" s="307"/>
      <c r="AV250" s="307"/>
      <c r="AW250" s="307"/>
      <c r="AX250" s="307"/>
      <c r="AY250" s="307"/>
      <c r="AZ250" s="307"/>
      <c r="BA250" s="307"/>
      <c r="BB250" s="307"/>
      <c r="BC250" s="308"/>
      <c r="BE250" s="308">
        <v>0</v>
      </c>
      <c r="BF250" s="308">
        <f t="shared" si="212"/>
        <v>0</v>
      </c>
      <c r="BG250" s="308">
        <v>0</v>
      </c>
      <c r="BH250" s="308">
        <f t="shared" si="213"/>
        <v>0</v>
      </c>
      <c r="BI250" s="308">
        <v>0</v>
      </c>
      <c r="BJ250" s="308">
        <f t="shared" si="214"/>
        <v>0</v>
      </c>
      <c r="BK250" s="308">
        <v>0</v>
      </c>
      <c r="BL250" s="308">
        <f t="shared" si="215"/>
        <v>0</v>
      </c>
      <c r="BM250" s="309">
        <v>0</v>
      </c>
      <c r="BN250" s="308">
        <f t="shared" si="216"/>
        <v>0</v>
      </c>
      <c r="BO250" s="308">
        <v>0</v>
      </c>
      <c r="BP250" s="308">
        <f t="shared" si="217"/>
        <v>0</v>
      </c>
    </row>
    <row r="251" spans="1:68">
      <c r="A251" s="301" t="s">
        <v>53</v>
      </c>
      <c r="B251" s="308">
        <f>'Monthly D6 Gallon Data'!$M14</f>
        <v>0</v>
      </c>
      <c r="C251" s="308">
        <f>'Monthly D6 Gallon Data'!$M26</f>
        <v>0</v>
      </c>
      <c r="D251" s="308">
        <f>'Monthly D6 Gallon Data'!$M38</f>
        <v>0</v>
      </c>
      <c r="E251" s="308">
        <f>'Monthly D6 Gallon Data'!$M50</f>
        <v>0</v>
      </c>
      <c r="F251" s="308">
        <f>'Monthly D6 Gallon Data'!$M62</f>
        <v>0</v>
      </c>
      <c r="G251" s="308">
        <f>'Monthly D6 Gallon Data'!$M74</f>
        <v>0</v>
      </c>
      <c r="H251" s="308">
        <f>'Monthly D6 Gallon Data'!$M86</f>
        <v>0</v>
      </c>
      <c r="I251" s="308">
        <f>'Monthly D6 Gallon Data'!$M98</f>
        <v>0</v>
      </c>
      <c r="J251" s="308">
        <f>'Monthly D6 Gallon Data'!$M110</f>
        <v>0</v>
      </c>
      <c r="K251" s="308">
        <f>'Monthly D6 Gallon Data'!$M122</f>
        <v>0</v>
      </c>
      <c r="L251" s="308">
        <f>'Monthly D6 Gallon Data'!$M134</f>
        <v>0</v>
      </c>
      <c r="M251" s="308">
        <f>'Monthly D6 Gallon Data'!$M146</f>
        <v>0</v>
      </c>
      <c r="N251" s="308">
        <f>'Monthly D6 Gallon Data'!$M158</f>
        <v>0</v>
      </c>
      <c r="O251" s="308">
        <f>'Monthly D6 Gallon Data'!$M170</f>
        <v>0</v>
      </c>
      <c r="P251" s="308">
        <f>'Monthly D6 Gallon Data'!$M182</f>
        <v>0</v>
      </c>
      <c r="Q251" s="307">
        <v>0</v>
      </c>
      <c r="R251" s="307">
        <v>0</v>
      </c>
      <c r="S251" s="307">
        <v>0</v>
      </c>
      <c r="T251" s="307">
        <v>0</v>
      </c>
      <c r="U251" s="307">
        <v>0</v>
      </c>
      <c r="V251" s="307">
        <v>0</v>
      </c>
      <c r="W251" s="307">
        <v>0</v>
      </c>
      <c r="X251" s="307">
        <v>0</v>
      </c>
      <c r="Y251" s="307">
        <v>0</v>
      </c>
      <c r="Z251" s="307">
        <v>0</v>
      </c>
      <c r="AA251" s="307">
        <v>0</v>
      </c>
      <c r="AB251" s="307">
        <v>0</v>
      </c>
      <c r="AC251" s="307">
        <v>0</v>
      </c>
      <c r="AD251" s="307">
        <v>0</v>
      </c>
      <c r="AE251" s="307">
        <v>0</v>
      </c>
      <c r="AF251" s="307">
        <v>0</v>
      </c>
      <c r="AG251" s="307">
        <v>0</v>
      </c>
      <c r="AH251" s="307">
        <v>0</v>
      </c>
      <c r="AI251" s="307">
        <v>0</v>
      </c>
      <c r="AJ251" s="307">
        <v>0</v>
      </c>
      <c r="AK251" s="307">
        <v>0</v>
      </c>
      <c r="AL251" s="307">
        <v>0</v>
      </c>
      <c r="AM251" s="307">
        <v>0</v>
      </c>
      <c r="AN251" s="307">
        <v>0</v>
      </c>
      <c r="AO251" s="307">
        <v>0</v>
      </c>
      <c r="AP251" s="307">
        <v>0</v>
      </c>
      <c r="AQ251" s="307">
        <v>1</v>
      </c>
      <c r="AR251" s="307"/>
      <c r="AS251" s="307"/>
      <c r="AT251" s="307"/>
      <c r="AU251" s="307"/>
      <c r="AV251" s="307"/>
      <c r="AW251" s="307"/>
      <c r="AX251" s="307"/>
      <c r="AY251" s="307"/>
      <c r="AZ251" s="307"/>
      <c r="BA251" s="307"/>
      <c r="BB251" s="307"/>
      <c r="BC251" s="308"/>
      <c r="BE251" s="308">
        <v>0</v>
      </c>
      <c r="BF251" s="308">
        <f t="shared" si="212"/>
        <v>0</v>
      </c>
      <c r="BG251" s="308">
        <v>0</v>
      </c>
      <c r="BH251" s="308">
        <f t="shared" si="213"/>
        <v>0</v>
      </c>
      <c r="BI251" s="308">
        <v>0</v>
      </c>
      <c r="BJ251" s="308">
        <f t="shared" si="214"/>
        <v>0</v>
      </c>
      <c r="BK251" s="309">
        <v>0</v>
      </c>
      <c r="BL251" s="308">
        <f t="shared" si="215"/>
        <v>0</v>
      </c>
      <c r="BM251" s="309">
        <v>0</v>
      </c>
      <c r="BN251" s="308">
        <f t="shared" si="216"/>
        <v>0</v>
      </c>
      <c r="BO251" s="308">
        <v>0</v>
      </c>
      <c r="BP251" s="308">
        <f t="shared" si="217"/>
        <v>0</v>
      </c>
    </row>
    <row r="252" spans="1:68">
      <c r="A252" s="301" t="s">
        <v>54</v>
      </c>
      <c r="B252" s="308">
        <f>'Monthly D6 Gallon Data'!$M15</f>
        <v>0</v>
      </c>
      <c r="C252" s="308">
        <f>'Monthly D6 Gallon Data'!$M27</f>
        <v>0</v>
      </c>
      <c r="D252" s="308">
        <f>'Monthly D6 Gallon Data'!$M39</f>
        <v>0</v>
      </c>
      <c r="E252" s="308">
        <f>'Monthly D6 Gallon Data'!$M51</f>
        <v>0</v>
      </c>
      <c r="F252" s="308">
        <f>'Monthly D6 Gallon Data'!$M63</f>
        <v>0</v>
      </c>
      <c r="G252" s="308">
        <f>'Monthly D6 Gallon Data'!$M75</f>
        <v>0</v>
      </c>
      <c r="H252" s="308">
        <f>'Monthly D6 Gallon Data'!$M87</f>
        <v>0</v>
      </c>
      <c r="I252" s="308">
        <f>'Monthly D6 Gallon Data'!$M99</f>
        <v>0</v>
      </c>
      <c r="J252" s="308">
        <f>'Monthly D6 Gallon Data'!$M111</f>
        <v>0</v>
      </c>
      <c r="K252" s="308">
        <f>'Monthly D6 Gallon Data'!$M123</f>
        <v>0</v>
      </c>
      <c r="L252" s="308">
        <f>'Monthly D6 Gallon Data'!$M135</f>
        <v>0</v>
      </c>
      <c r="M252" s="308">
        <f>'Monthly D6 Gallon Data'!$M147</f>
        <v>0</v>
      </c>
      <c r="N252" s="308">
        <f>'Monthly D6 Gallon Data'!$M159</f>
        <v>0</v>
      </c>
      <c r="O252" s="308">
        <f>'Monthly D6 Gallon Data'!$M171</f>
        <v>0</v>
      </c>
      <c r="P252" s="308">
        <f>'Monthly D6 Gallon Data'!$M183</f>
        <v>0</v>
      </c>
      <c r="Q252" s="307">
        <v>0</v>
      </c>
      <c r="R252" s="307">
        <v>0</v>
      </c>
      <c r="S252" s="307">
        <v>0</v>
      </c>
      <c r="T252" s="307">
        <v>0</v>
      </c>
      <c r="U252" s="307">
        <v>0</v>
      </c>
      <c r="V252" s="307">
        <v>0</v>
      </c>
      <c r="W252" s="307">
        <v>0</v>
      </c>
      <c r="X252" s="307">
        <v>0</v>
      </c>
      <c r="Y252" s="307">
        <v>0</v>
      </c>
      <c r="Z252" s="307">
        <v>0</v>
      </c>
      <c r="AA252" s="307">
        <v>0</v>
      </c>
      <c r="AB252" s="307">
        <v>0</v>
      </c>
      <c r="AC252" s="307">
        <v>0</v>
      </c>
      <c r="AD252" s="307">
        <v>0</v>
      </c>
      <c r="AE252" s="307">
        <v>0</v>
      </c>
      <c r="AF252" s="307">
        <v>0</v>
      </c>
      <c r="AG252" s="307">
        <v>0</v>
      </c>
      <c r="AH252" s="307">
        <v>0</v>
      </c>
      <c r="AI252" s="307">
        <v>0</v>
      </c>
      <c r="AJ252" s="307">
        <v>0</v>
      </c>
      <c r="AK252" s="307">
        <v>0</v>
      </c>
      <c r="AL252" s="307">
        <v>0</v>
      </c>
      <c r="AM252" s="307">
        <v>0</v>
      </c>
      <c r="AN252" s="307">
        <v>0</v>
      </c>
      <c r="AO252" s="307">
        <v>0</v>
      </c>
      <c r="AP252" s="307">
        <v>0</v>
      </c>
      <c r="AQ252" s="307">
        <v>1</v>
      </c>
      <c r="AR252" s="307"/>
      <c r="AS252" s="307"/>
      <c r="AT252" s="307"/>
      <c r="AU252" s="307"/>
      <c r="AV252" s="307"/>
      <c r="AW252" s="307"/>
      <c r="AX252" s="307"/>
      <c r="AY252" s="307"/>
      <c r="AZ252" s="307"/>
      <c r="BA252" s="307"/>
      <c r="BB252" s="307"/>
      <c r="BC252" s="308"/>
      <c r="BE252" s="308">
        <v>0</v>
      </c>
      <c r="BF252" s="308">
        <f t="shared" si="212"/>
        <v>0</v>
      </c>
      <c r="BG252" s="308">
        <v>0</v>
      </c>
      <c r="BH252" s="308">
        <f t="shared" si="213"/>
        <v>0</v>
      </c>
      <c r="BI252" s="308">
        <v>0</v>
      </c>
      <c r="BJ252" s="308">
        <f t="shared" si="214"/>
        <v>0</v>
      </c>
      <c r="BK252" s="309">
        <v>0</v>
      </c>
      <c r="BL252" s="308">
        <f t="shared" si="215"/>
        <v>0</v>
      </c>
      <c r="BM252" s="309">
        <v>0</v>
      </c>
      <c r="BN252" s="308">
        <f t="shared" si="216"/>
        <v>0</v>
      </c>
      <c r="BO252" s="308">
        <v>0</v>
      </c>
      <c r="BP252" s="308">
        <f t="shared" si="217"/>
        <v>0</v>
      </c>
    </row>
    <row r="253" spans="1:68" ht="12" thickBot="1">
      <c r="A253" s="301" t="s">
        <v>29</v>
      </c>
      <c r="B253" s="308">
        <f t="shared" ref="B253:AD253" si="218">SUM(B241:B252)</f>
        <v>0</v>
      </c>
      <c r="C253" s="308">
        <f t="shared" si="218"/>
        <v>0</v>
      </c>
      <c r="D253" s="308">
        <f t="shared" si="218"/>
        <v>0</v>
      </c>
      <c r="E253" s="308">
        <f t="shared" si="218"/>
        <v>0</v>
      </c>
      <c r="F253" s="308">
        <f t="shared" si="218"/>
        <v>0</v>
      </c>
      <c r="G253" s="308">
        <f t="shared" si="218"/>
        <v>0</v>
      </c>
      <c r="H253" s="308">
        <f t="shared" si="218"/>
        <v>0</v>
      </c>
      <c r="I253" s="308">
        <f t="shared" si="218"/>
        <v>0</v>
      </c>
      <c r="J253" s="308">
        <f t="shared" si="218"/>
        <v>0</v>
      </c>
      <c r="K253" s="308">
        <f t="shared" si="218"/>
        <v>0</v>
      </c>
      <c r="L253" s="308">
        <f t="shared" si="218"/>
        <v>0</v>
      </c>
      <c r="M253" s="308">
        <f t="shared" si="218"/>
        <v>0</v>
      </c>
      <c r="N253" s="308">
        <f t="shared" si="218"/>
        <v>0</v>
      </c>
      <c r="O253" s="308">
        <f t="shared" si="218"/>
        <v>0</v>
      </c>
      <c r="P253" s="308">
        <f t="shared" si="218"/>
        <v>0</v>
      </c>
      <c r="Q253" s="307">
        <f t="shared" si="218"/>
        <v>0</v>
      </c>
      <c r="R253" s="307">
        <f t="shared" si="218"/>
        <v>0</v>
      </c>
      <c r="S253" s="307">
        <f t="shared" si="218"/>
        <v>0</v>
      </c>
      <c r="T253" s="307">
        <f t="shared" si="218"/>
        <v>0</v>
      </c>
      <c r="U253" s="307">
        <f t="shared" si="218"/>
        <v>0</v>
      </c>
      <c r="V253" s="307">
        <f t="shared" si="218"/>
        <v>0</v>
      </c>
      <c r="W253" s="307">
        <f t="shared" si="218"/>
        <v>0</v>
      </c>
      <c r="X253" s="307">
        <f t="shared" si="218"/>
        <v>0</v>
      </c>
      <c r="Y253" s="307">
        <f t="shared" si="218"/>
        <v>0</v>
      </c>
      <c r="Z253" s="307">
        <f t="shared" si="218"/>
        <v>0</v>
      </c>
      <c r="AA253" s="307">
        <f t="shared" si="218"/>
        <v>0</v>
      </c>
      <c r="AB253" s="307">
        <f t="shared" si="218"/>
        <v>0</v>
      </c>
      <c r="AC253" s="307">
        <f t="shared" si="218"/>
        <v>0</v>
      </c>
      <c r="AD253" s="307">
        <f t="shared" si="218"/>
        <v>0</v>
      </c>
      <c r="AE253" s="307">
        <f>SUM(AE241:AE252)</f>
        <v>0</v>
      </c>
      <c r="AF253" s="307">
        <f>SUM(AF241:AF252)</f>
        <v>0</v>
      </c>
      <c r="AG253" s="307">
        <f>SUM(AG241:AG252)</f>
        <v>0</v>
      </c>
      <c r="AH253" s="307">
        <f t="shared" ref="AH253:AQ253" si="219">SUM(AH241:AH252)</f>
        <v>0</v>
      </c>
      <c r="AI253" s="307">
        <f t="shared" si="219"/>
        <v>0</v>
      </c>
      <c r="AJ253" s="307">
        <f t="shared" si="219"/>
        <v>0</v>
      </c>
      <c r="AK253" s="307">
        <f t="shared" si="219"/>
        <v>0</v>
      </c>
      <c r="AL253" s="307">
        <f t="shared" si="219"/>
        <v>0</v>
      </c>
      <c r="AM253" s="307">
        <f t="shared" si="219"/>
        <v>0</v>
      </c>
      <c r="AN253" s="307">
        <f t="shared" si="219"/>
        <v>0</v>
      </c>
      <c r="AO253" s="307">
        <f t="shared" si="219"/>
        <v>0</v>
      </c>
      <c r="AP253" s="307">
        <f t="shared" si="219"/>
        <v>0</v>
      </c>
      <c r="AQ253" s="307">
        <f t="shared" si="219"/>
        <v>12</v>
      </c>
      <c r="AR253" s="307"/>
      <c r="AS253" s="307"/>
      <c r="AT253" s="307"/>
      <c r="AU253" s="307"/>
      <c r="AV253" s="307"/>
      <c r="AW253" s="307"/>
      <c r="AX253" s="307"/>
      <c r="AY253" s="307"/>
      <c r="AZ253" s="307"/>
      <c r="BA253" s="307"/>
      <c r="BB253" s="307"/>
      <c r="BC253" s="308"/>
      <c r="BE253" s="308">
        <v>0</v>
      </c>
      <c r="BF253" s="308">
        <f t="shared" si="212"/>
        <v>0</v>
      </c>
      <c r="BG253" s="308">
        <v>0</v>
      </c>
      <c r="BH253" s="308">
        <f t="shared" si="213"/>
        <v>0</v>
      </c>
      <c r="BI253" s="308">
        <v>0</v>
      </c>
      <c r="BJ253" s="308">
        <f t="shared" si="214"/>
        <v>0</v>
      </c>
      <c r="BK253" s="309">
        <v>0</v>
      </c>
      <c r="BL253" s="308">
        <f t="shared" si="215"/>
        <v>0</v>
      </c>
      <c r="BM253" s="309">
        <v>0</v>
      </c>
      <c r="BN253" s="308">
        <f t="shared" si="216"/>
        <v>0</v>
      </c>
      <c r="BO253" s="308">
        <v>0</v>
      </c>
      <c r="BP253" s="308">
        <f t="shared" si="217"/>
        <v>0</v>
      </c>
    </row>
    <row r="254" spans="1:68">
      <c r="A254" s="334"/>
      <c r="B254" s="334"/>
      <c r="C254" s="334"/>
      <c r="D254" s="334"/>
      <c r="E254" s="334"/>
      <c r="F254" s="334"/>
      <c r="G254" s="334"/>
      <c r="H254" s="334"/>
      <c r="I254" s="334"/>
      <c r="J254" s="334"/>
      <c r="K254" s="334"/>
      <c r="L254" s="334"/>
      <c r="M254" s="334"/>
      <c r="N254" s="334"/>
      <c r="O254" s="334"/>
      <c r="P254" s="334"/>
      <c r="Q254" s="334"/>
      <c r="R254" s="334"/>
      <c r="S254" s="334"/>
      <c r="T254" s="334"/>
      <c r="U254" s="334"/>
      <c r="V254" s="334"/>
      <c r="W254" s="334"/>
      <c r="X254" s="334"/>
      <c r="Y254" s="334"/>
      <c r="Z254" s="334"/>
      <c r="AA254" s="334"/>
      <c r="AB254" s="334"/>
      <c r="AC254" s="334"/>
      <c r="AD254" s="334"/>
      <c r="AE254" s="334"/>
      <c r="AF254" s="334"/>
      <c r="AG254" s="334"/>
      <c r="AH254" s="334"/>
      <c r="AI254" s="334"/>
      <c r="AJ254" s="334"/>
      <c r="AK254" s="334"/>
      <c r="AL254" s="334"/>
      <c r="AM254" s="334"/>
      <c r="AN254" s="334"/>
      <c r="AO254" s="334"/>
      <c r="AP254" s="334"/>
      <c r="AQ254" s="334"/>
      <c r="BC254" s="308"/>
      <c r="BO254" s="308"/>
      <c r="BP254" s="308"/>
    </row>
    <row r="255" spans="1:68" ht="12" thickBot="1">
      <c r="A255" s="300" t="s">
        <v>503</v>
      </c>
      <c r="BC255" s="308"/>
    </row>
    <row r="256" spans="1:68" ht="12" thickBot="1">
      <c r="A256" s="328"/>
      <c r="B256" s="329">
        <f>B2</f>
        <v>2010</v>
      </c>
      <c r="C256" s="329">
        <f t="shared" ref="C256:AQ256" si="220">C2</f>
        <v>2011</v>
      </c>
      <c r="D256" s="329">
        <f t="shared" si="220"/>
        <v>2012</v>
      </c>
      <c r="E256" s="329">
        <f t="shared" si="220"/>
        <v>2013</v>
      </c>
      <c r="F256" s="329">
        <f t="shared" si="220"/>
        <v>2014</v>
      </c>
      <c r="G256" s="329">
        <f t="shared" si="220"/>
        <v>2015</v>
      </c>
      <c r="H256" s="329">
        <f t="shared" si="220"/>
        <v>2016</v>
      </c>
      <c r="I256" s="329">
        <f t="shared" si="220"/>
        <v>2017</v>
      </c>
      <c r="J256" s="329">
        <f t="shared" si="220"/>
        <v>2018</v>
      </c>
      <c r="K256" s="329">
        <f t="shared" si="220"/>
        <v>2019</v>
      </c>
      <c r="L256" s="329">
        <f t="shared" si="220"/>
        <v>2020</v>
      </c>
      <c r="M256" s="329">
        <f t="shared" si="220"/>
        <v>2021</v>
      </c>
      <c r="N256" s="329">
        <f t="shared" si="220"/>
        <v>2022</v>
      </c>
      <c r="O256" s="329">
        <f t="shared" si="220"/>
        <v>2023</v>
      </c>
      <c r="P256" s="329">
        <f t="shared" si="220"/>
        <v>2024</v>
      </c>
      <c r="Q256" s="329">
        <f t="shared" si="220"/>
        <v>2025</v>
      </c>
      <c r="R256" s="329">
        <f t="shared" si="220"/>
        <v>2026</v>
      </c>
      <c r="S256" s="329">
        <f t="shared" si="220"/>
        <v>2027</v>
      </c>
      <c r="T256" s="329">
        <f t="shared" si="220"/>
        <v>2028</v>
      </c>
      <c r="U256" s="329">
        <f t="shared" si="220"/>
        <v>2029</v>
      </c>
      <c r="V256" s="329">
        <f t="shared" si="220"/>
        <v>2030</v>
      </c>
      <c r="W256" s="329">
        <f t="shared" si="220"/>
        <v>2031</v>
      </c>
      <c r="X256" s="329">
        <f t="shared" si="220"/>
        <v>2032</v>
      </c>
      <c r="Y256" s="329">
        <f t="shared" si="220"/>
        <v>2033</v>
      </c>
      <c r="Z256" s="329">
        <f t="shared" si="220"/>
        <v>2034</v>
      </c>
      <c r="AA256" s="329">
        <f t="shared" si="220"/>
        <v>2035</v>
      </c>
      <c r="AB256" s="329">
        <f t="shared" si="220"/>
        <v>2036</v>
      </c>
      <c r="AC256" s="329">
        <f t="shared" si="220"/>
        <v>2037</v>
      </c>
      <c r="AD256" s="329">
        <f t="shared" si="220"/>
        <v>2038</v>
      </c>
      <c r="AE256" s="329">
        <f t="shared" si="220"/>
        <v>2039</v>
      </c>
      <c r="AF256" s="329">
        <f t="shared" si="220"/>
        <v>2040</v>
      </c>
      <c r="AG256" s="329">
        <f t="shared" si="220"/>
        <v>2041</v>
      </c>
      <c r="AH256" s="329">
        <f t="shared" si="220"/>
        <v>2042</v>
      </c>
      <c r="AI256" s="329">
        <f t="shared" si="220"/>
        <v>2043</v>
      </c>
      <c r="AJ256" s="329">
        <f t="shared" si="220"/>
        <v>2044</v>
      </c>
      <c r="AK256" s="329">
        <f t="shared" si="220"/>
        <v>2045</v>
      </c>
      <c r="AL256" s="329">
        <f t="shared" si="220"/>
        <v>2046</v>
      </c>
      <c r="AM256" s="329">
        <f t="shared" si="220"/>
        <v>2047</v>
      </c>
      <c r="AN256" s="329">
        <f t="shared" si="220"/>
        <v>2048</v>
      </c>
      <c r="AO256" s="329">
        <f t="shared" si="220"/>
        <v>2049</v>
      </c>
      <c r="AP256" s="329">
        <f t="shared" si="220"/>
        <v>2050</v>
      </c>
      <c r="AQ256" s="329">
        <f t="shared" si="220"/>
        <v>2051</v>
      </c>
      <c r="AR256" s="300"/>
      <c r="AS256" s="300"/>
      <c r="AT256" s="300"/>
      <c r="AU256" s="300"/>
      <c r="AV256" s="300"/>
      <c r="AW256" s="300"/>
      <c r="AX256" s="300"/>
      <c r="AY256" s="300"/>
      <c r="AZ256" s="300"/>
      <c r="BA256" s="300"/>
      <c r="BB256" s="300"/>
      <c r="BC256" s="308"/>
    </row>
    <row r="257" spans="1:68">
      <c r="A257" s="301" t="s">
        <v>43</v>
      </c>
      <c r="B257" s="308">
        <f>B273+B289+B305</f>
        <v>0</v>
      </c>
      <c r="C257" s="308">
        <f t="shared" ref="C257:AQ266" si="221">C273+C289+C305</f>
        <v>0</v>
      </c>
      <c r="D257" s="308">
        <f t="shared" si="221"/>
        <v>0</v>
      </c>
      <c r="E257" s="308">
        <f t="shared" si="221"/>
        <v>0</v>
      </c>
      <c r="F257" s="308">
        <f t="shared" si="221"/>
        <v>0</v>
      </c>
      <c r="G257" s="308">
        <f t="shared" si="221"/>
        <v>0</v>
      </c>
      <c r="H257" s="308">
        <f t="shared" si="221"/>
        <v>0</v>
      </c>
      <c r="I257" s="308">
        <f t="shared" si="221"/>
        <v>0</v>
      </c>
      <c r="J257" s="308">
        <f t="shared" si="221"/>
        <v>0</v>
      </c>
      <c r="K257" s="308">
        <f t="shared" si="221"/>
        <v>0</v>
      </c>
      <c r="L257" s="308">
        <f t="shared" si="221"/>
        <v>0</v>
      </c>
      <c r="M257" s="308">
        <f t="shared" si="221"/>
        <v>0</v>
      </c>
      <c r="N257" s="308">
        <f t="shared" si="221"/>
        <v>0</v>
      </c>
      <c r="O257" s="308">
        <f t="shared" si="221"/>
        <v>0</v>
      </c>
      <c r="P257" s="308">
        <f t="shared" si="221"/>
        <v>0</v>
      </c>
      <c r="Q257" s="308">
        <f t="shared" si="221"/>
        <v>0</v>
      </c>
      <c r="R257" s="307">
        <f t="shared" si="221"/>
        <v>0</v>
      </c>
      <c r="S257" s="307">
        <f t="shared" si="221"/>
        <v>0</v>
      </c>
      <c r="T257" s="307">
        <f t="shared" si="221"/>
        <v>0</v>
      </c>
      <c r="U257" s="307">
        <f t="shared" si="221"/>
        <v>0</v>
      </c>
      <c r="V257" s="307">
        <f t="shared" si="221"/>
        <v>0</v>
      </c>
      <c r="W257" s="307">
        <f t="shared" si="221"/>
        <v>0</v>
      </c>
      <c r="X257" s="307">
        <f t="shared" si="221"/>
        <v>0</v>
      </c>
      <c r="Y257" s="307">
        <f t="shared" si="221"/>
        <v>0</v>
      </c>
      <c r="Z257" s="307">
        <f t="shared" si="221"/>
        <v>0</v>
      </c>
      <c r="AA257" s="307">
        <f t="shared" si="221"/>
        <v>0</v>
      </c>
      <c r="AB257" s="307">
        <f t="shared" si="221"/>
        <v>0</v>
      </c>
      <c r="AC257" s="307">
        <f t="shared" si="221"/>
        <v>0</v>
      </c>
      <c r="AD257" s="307">
        <f t="shared" si="221"/>
        <v>0</v>
      </c>
      <c r="AE257" s="307">
        <f t="shared" si="221"/>
        <v>0</v>
      </c>
      <c r="AF257" s="307">
        <f t="shared" si="221"/>
        <v>0</v>
      </c>
      <c r="AG257" s="307">
        <f t="shared" si="221"/>
        <v>0</v>
      </c>
      <c r="AH257" s="307">
        <f t="shared" si="221"/>
        <v>0</v>
      </c>
      <c r="AI257" s="307">
        <f t="shared" si="221"/>
        <v>0</v>
      </c>
      <c r="AJ257" s="307">
        <f t="shared" si="221"/>
        <v>0</v>
      </c>
      <c r="AK257" s="307">
        <f t="shared" si="221"/>
        <v>0</v>
      </c>
      <c r="AL257" s="307">
        <f t="shared" si="221"/>
        <v>0</v>
      </c>
      <c r="AM257" s="307">
        <f t="shared" si="221"/>
        <v>0</v>
      </c>
      <c r="AN257" s="307">
        <f t="shared" si="221"/>
        <v>0</v>
      </c>
      <c r="AO257" s="307">
        <f t="shared" si="221"/>
        <v>0</v>
      </c>
      <c r="AP257" s="307">
        <f t="shared" si="221"/>
        <v>0</v>
      </c>
      <c r="AQ257" s="307">
        <f t="shared" si="221"/>
        <v>0</v>
      </c>
      <c r="AR257" s="307"/>
      <c r="AS257" s="307"/>
      <c r="AT257" s="307"/>
      <c r="AU257" s="307"/>
      <c r="AV257" s="307"/>
      <c r="AW257" s="307"/>
      <c r="AX257" s="307"/>
      <c r="AY257" s="307"/>
      <c r="AZ257" s="307"/>
      <c r="BA257" s="307"/>
      <c r="BB257" s="307"/>
      <c r="BC257" s="308"/>
      <c r="BK257" s="308">
        <v>0</v>
      </c>
      <c r="BL257" s="308">
        <f t="shared" ref="BL257:BL269" si="222">O257-BK257</f>
        <v>0</v>
      </c>
      <c r="BM257" s="308">
        <v>0</v>
      </c>
      <c r="BN257" s="308">
        <f t="shared" ref="BN257:BN269" si="223">P257-BM257</f>
        <v>0</v>
      </c>
      <c r="BO257" s="308">
        <v>0</v>
      </c>
      <c r="BP257" s="308">
        <f t="shared" ref="BP257:BP269" si="224">BO257-Q257</f>
        <v>0</v>
      </c>
    </row>
    <row r="258" spans="1:68">
      <c r="A258" s="301" t="s">
        <v>44</v>
      </c>
      <c r="B258" s="308">
        <f t="shared" ref="B258:Q268" si="225">B274+B290+B306</f>
        <v>0</v>
      </c>
      <c r="C258" s="308">
        <f t="shared" si="225"/>
        <v>0</v>
      </c>
      <c r="D258" s="308">
        <f t="shared" si="225"/>
        <v>0</v>
      </c>
      <c r="E258" s="308">
        <f t="shared" si="225"/>
        <v>0</v>
      </c>
      <c r="F258" s="308">
        <f t="shared" si="225"/>
        <v>0</v>
      </c>
      <c r="G258" s="308">
        <f t="shared" si="225"/>
        <v>0</v>
      </c>
      <c r="H258" s="308">
        <f t="shared" si="225"/>
        <v>0</v>
      </c>
      <c r="I258" s="308">
        <f t="shared" si="225"/>
        <v>0</v>
      </c>
      <c r="J258" s="308">
        <f t="shared" si="225"/>
        <v>0</v>
      </c>
      <c r="K258" s="308">
        <f t="shared" si="225"/>
        <v>0</v>
      </c>
      <c r="L258" s="308">
        <f t="shared" si="225"/>
        <v>0</v>
      </c>
      <c r="M258" s="308">
        <f t="shared" si="225"/>
        <v>0</v>
      </c>
      <c r="N258" s="308">
        <f t="shared" si="225"/>
        <v>0</v>
      </c>
      <c r="O258" s="308">
        <f t="shared" si="225"/>
        <v>0</v>
      </c>
      <c r="P258" s="308">
        <f t="shared" si="225"/>
        <v>0</v>
      </c>
      <c r="Q258" s="332">
        <f t="shared" si="225"/>
        <v>0</v>
      </c>
      <c r="R258" s="307">
        <f t="shared" si="221"/>
        <v>0</v>
      </c>
      <c r="S258" s="307">
        <f t="shared" si="221"/>
        <v>0</v>
      </c>
      <c r="T258" s="307">
        <f t="shared" si="221"/>
        <v>0</v>
      </c>
      <c r="U258" s="307">
        <f t="shared" si="221"/>
        <v>0</v>
      </c>
      <c r="V258" s="307">
        <f t="shared" si="221"/>
        <v>0</v>
      </c>
      <c r="W258" s="307">
        <f t="shared" si="221"/>
        <v>0</v>
      </c>
      <c r="X258" s="307">
        <f t="shared" si="221"/>
        <v>0</v>
      </c>
      <c r="Y258" s="307">
        <f t="shared" si="221"/>
        <v>0</v>
      </c>
      <c r="Z258" s="307">
        <f t="shared" si="221"/>
        <v>0</v>
      </c>
      <c r="AA258" s="307">
        <f t="shared" si="221"/>
        <v>0</v>
      </c>
      <c r="AB258" s="307">
        <f t="shared" si="221"/>
        <v>0</v>
      </c>
      <c r="AC258" s="307">
        <f t="shared" si="221"/>
        <v>0</v>
      </c>
      <c r="AD258" s="307">
        <f t="shared" si="221"/>
        <v>0</v>
      </c>
      <c r="AE258" s="307">
        <f t="shared" si="221"/>
        <v>0</v>
      </c>
      <c r="AF258" s="307">
        <f t="shared" si="221"/>
        <v>0</v>
      </c>
      <c r="AG258" s="307">
        <f t="shared" si="221"/>
        <v>0</v>
      </c>
      <c r="AH258" s="307">
        <f t="shared" si="221"/>
        <v>0</v>
      </c>
      <c r="AI258" s="307">
        <f t="shared" si="221"/>
        <v>0</v>
      </c>
      <c r="AJ258" s="307">
        <f t="shared" si="221"/>
        <v>0</v>
      </c>
      <c r="AK258" s="307">
        <f t="shared" si="221"/>
        <v>0</v>
      </c>
      <c r="AL258" s="307">
        <f t="shared" si="221"/>
        <v>0</v>
      </c>
      <c r="AM258" s="307">
        <f t="shared" si="221"/>
        <v>0</v>
      </c>
      <c r="AN258" s="307">
        <f t="shared" si="221"/>
        <v>0</v>
      </c>
      <c r="AO258" s="307">
        <f t="shared" si="221"/>
        <v>0</v>
      </c>
      <c r="AP258" s="307">
        <f t="shared" si="221"/>
        <v>0</v>
      </c>
      <c r="AQ258" s="307">
        <f t="shared" si="221"/>
        <v>0</v>
      </c>
      <c r="AR258" s="307"/>
      <c r="AS258" s="307"/>
      <c r="AT258" s="307"/>
      <c r="AU258" s="307"/>
      <c r="AV258" s="307"/>
      <c r="AW258" s="307"/>
      <c r="AX258" s="307"/>
      <c r="AY258" s="307"/>
      <c r="AZ258" s="307"/>
      <c r="BA258" s="307"/>
      <c r="BB258" s="307"/>
      <c r="BC258" s="308"/>
      <c r="BK258" s="308">
        <v>0</v>
      </c>
      <c r="BL258" s="308">
        <f t="shared" si="222"/>
        <v>0</v>
      </c>
      <c r="BM258" s="308">
        <v>0</v>
      </c>
      <c r="BN258" s="308">
        <f t="shared" si="223"/>
        <v>0</v>
      </c>
      <c r="BO258" s="308">
        <v>0</v>
      </c>
      <c r="BP258" s="308">
        <f t="shared" si="224"/>
        <v>0</v>
      </c>
    </row>
    <row r="259" spans="1:68">
      <c r="A259" s="301" t="s">
        <v>45</v>
      </c>
      <c r="B259" s="308">
        <f t="shared" si="225"/>
        <v>0</v>
      </c>
      <c r="C259" s="308">
        <f t="shared" si="225"/>
        <v>0</v>
      </c>
      <c r="D259" s="308">
        <f t="shared" si="225"/>
        <v>0</v>
      </c>
      <c r="E259" s="308">
        <f t="shared" si="225"/>
        <v>0</v>
      </c>
      <c r="F259" s="308">
        <f t="shared" si="225"/>
        <v>0</v>
      </c>
      <c r="G259" s="308">
        <f t="shared" si="225"/>
        <v>0</v>
      </c>
      <c r="H259" s="308">
        <f t="shared" si="225"/>
        <v>0</v>
      </c>
      <c r="I259" s="308">
        <f t="shared" si="225"/>
        <v>0</v>
      </c>
      <c r="J259" s="308">
        <f t="shared" si="225"/>
        <v>0</v>
      </c>
      <c r="K259" s="308">
        <f t="shared" si="225"/>
        <v>0</v>
      </c>
      <c r="L259" s="308">
        <f t="shared" si="225"/>
        <v>0</v>
      </c>
      <c r="M259" s="308">
        <f t="shared" si="225"/>
        <v>0</v>
      </c>
      <c r="N259" s="308">
        <f t="shared" si="225"/>
        <v>0</v>
      </c>
      <c r="O259" s="308">
        <f t="shared" si="225"/>
        <v>0</v>
      </c>
      <c r="P259" s="308">
        <f t="shared" si="225"/>
        <v>0</v>
      </c>
      <c r="Q259" s="332">
        <f t="shared" si="225"/>
        <v>0</v>
      </c>
      <c r="R259" s="307">
        <f t="shared" si="221"/>
        <v>0</v>
      </c>
      <c r="S259" s="307">
        <f t="shared" si="221"/>
        <v>0</v>
      </c>
      <c r="T259" s="307">
        <f t="shared" si="221"/>
        <v>0</v>
      </c>
      <c r="U259" s="307">
        <f t="shared" si="221"/>
        <v>0</v>
      </c>
      <c r="V259" s="307">
        <f t="shared" si="221"/>
        <v>0</v>
      </c>
      <c r="W259" s="307">
        <f t="shared" si="221"/>
        <v>0</v>
      </c>
      <c r="X259" s="307">
        <f t="shared" si="221"/>
        <v>0</v>
      </c>
      <c r="Y259" s="307">
        <f t="shared" si="221"/>
        <v>0</v>
      </c>
      <c r="Z259" s="307">
        <f t="shared" si="221"/>
        <v>0</v>
      </c>
      <c r="AA259" s="307">
        <f t="shared" si="221"/>
        <v>0</v>
      </c>
      <c r="AB259" s="307">
        <f t="shared" si="221"/>
        <v>0</v>
      </c>
      <c r="AC259" s="307">
        <f t="shared" si="221"/>
        <v>0</v>
      </c>
      <c r="AD259" s="307">
        <f t="shared" si="221"/>
        <v>0</v>
      </c>
      <c r="AE259" s="307">
        <f t="shared" si="221"/>
        <v>0</v>
      </c>
      <c r="AF259" s="307">
        <f t="shared" si="221"/>
        <v>0</v>
      </c>
      <c r="AG259" s="307">
        <f t="shared" si="221"/>
        <v>0</v>
      </c>
      <c r="AH259" s="307">
        <f t="shared" si="221"/>
        <v>0</v>
      </c>
      <c r="AI259" s="307">
        <f t="shared" si="221"/>
        <v>0</v>
      </c>
      <c r="AJ259" s="307">
        <f t="shared" si="221"/>
        <v>0</v>
      </c>
      <c r="AK259" s="307">
        <f t="shared" si="221"/>
        <v>0</v>
      </c>
      <c r="AL259" s="307">
        <f t="shared" si="221"/>
        <v>0</v>
      </c>
      <c r="AM259" s="307">
        <f t="shared" si="221"/>
        <v>0</v>
      </c>
      <c r="AN259" s="307">
        <f t="shared" si="221"/>
        <v>0</v>
      </c>
      <c r="AO259" s="307">
        <f t="shared" si="221"/>
        <v>0</v>
      </c>
      <c r="AP259" s="307">
        <f t="shared" si="221"/>
        <v>0</v>
      </c>
      <c r="AQ259" s="307">
        <f t="shared" si="221"/>
        <v>0</v>
      </c>
      <c r="AR259" s="307"/>
      <c r="AS259" s="307"/>
      <c r="AT259" s="307"/>
      <c r="AU259" s="307"/>
      <c r="AV259" s="307"/>
      <c r="AW259" s="307"/>
      <c r="AX259" s="307"/>
      <c r="AY259" s="307"/>
      <c r="AZ259" s="307"/>
      <c r="BA259" s="307"/>
      <c r="BB259" s="307"/>
      <c r="BC259" s="308"/>
      <c r="BK259" s="308">
        <v>0</v>
      </c>
      <c r="BL259" s="308">
        <f t="shared" si="222"/>
        <v>0</v>
      </c>
      <c r="BM259" s="308">
        <v>0</v>
      </c>
      <c r="BN259" s="308">
        <f t="shared" si="223"/>
        <v>0</v>
      </c>
      <c r="BO259" s="308">
        <v>0</v>
      </c>
      <c r="BP259" s="308">
        <f t="shared" si="224"/>
        <v>0</v>
      </c>
    </row>
    <row r="260" spans="1:68">
      <c r="A260" s="301" t="s">
        <v>46</v>
      </c>
      <c r="B260" s="308">
        <f t="shared" si="225"/>
        <v>0</v>
      </c>
      <c r="C260" s="308">
        <f t="shared" si="225"/>
        <v>0</v>
      </c>
      <c r="D260" s="308">
        <f t="shared" si="225"/>
        <v>0</v>
      </c>
      <c r="E260" s="308">
        <f t="shared" si="225"/>
        <v>0</v>
      </c>
      <c r="F260" s="308">
        <f t="shared" si="225"/>
        <v>0</v>
      </c>
      <c r="G260" s="308">
        <f t="shared" si="225"/>
        <v>0</v>
      </c>
      <c r="H260" s="308">
        <f t="shared" si="225"/>
        <v>0</v>
      </c>
      <c r="I260" s="308">
        <f t="shared" si="225"/>
        <v>0</v>
      </c>
      <c r="J260" s="308">
        <f t="shared" si="225"/>
        <v>0</v>
      </c>
      <c r="K260" s="308">
        <f t="shared" si="225"/>
        <v>0</v>
      </c>
      <c r="L260" s="308">
        <f t="shared" si="225"/>
        <v>0</v>
      </c>
      <c r="M260" s="308">
        <f t="shared" si="225"/>
        <v>0</v>
      </c>
      <c r="N260" s="308">
        <f t="shared" si="225"/>
        <v>0</v>
      </c>
      <c r="O260" s="308">
        <f t="shared" si="225"/>
        <v>0</v>
      </c>
      <c r="P260" s="308">
        <f t="shared" si="225"/>
        <v>38123</v>
      </c>
      <c r="Q260" s="307">
        <f t="shared" si="225"/>
        <v>0</v>
      </c>
      <c r="R260" s="307">
        <f t="shared" si="221"/>
        <v>0</v>
      </c>
      <c r="S260" s="307">
        <f t="shared" si="221"/>
        <v>0</v>
      </c>
      <c r="T260" s="307">
        <f t="shared" si="221"/>
        <v>0</v>
      </c>
      <c r="U260" s="307">
        <f t="shared" si="221"/>
        <v>0</v>
      </c>
      <c r="V260" s="307">
        <f t="shared" si="221"/>
        <v>0</v>
      </c>
      <c r="W260" s="307">
        <f t="shared" si="221"/>
        <v>0</v>
      </c>
      <c r="X260" s="307">
        <f t="shared" si="221"/>
        <v>0</v>
      </c>
      <c r="Y260" s="307">
        <f t="shared" si="221"/>
        <v>0</v>
      </c>
      <c r="Z260" s="307">
        <f t="shared" si="221"/>
        <v>0</v>
      </c>
      <c r="AA260" s="307">
        <f t="shared" si="221"/>
        <v>0</v>
      </c>
      <c r="AB260" s="307">
        <f t="shared" si="221"/>
        <v>0</v>
      </c>
      <c r="AC260" s="307">
        <f t="shared" si="221"/>
        <v>0</v>
      </c>
      <c r="AD260" s="307">
        <f t="shared" si="221"/>
        <v>0</v>
      </c>
      <c r="AE260" s="307">
        <f t="shared" si="221"/>
        <v>0</v>
      </c>
      <c r="AF260" s="307">
        <f t="shared" si="221"/>
        <v>0</v>
      </c>
      <c r="AG260" s="307">
        <f t="shared" si="221"/>
        <v>0</v>
      </c>
      <c r="AH260" s="307">
        <f t="shared" si="221"/>
        <v>0</v>
      </c>
      <c r="AI260" s="307">
        <f t="shared" si="221"/>
        <v>0</v>
      </c>
      <c r="AJ260" s="307">
        <f t="shared" si="221"/>
        <v>0</v>
      </c>
      <c r="AK260" s="307">
        <f t="shared" si="221"/>
        <v>0</v>
      </c>
      <c r="AL260" s="307">
        <f t="shared" si="221"/>
        <v>0</v>
      </c>
      <c r="AM260" s="307">
        <f t="shared" si="221"/>
        <v>0</v>
      </c>
      <c r="AN260" s="307">
        <f t="shared" si="221"/>
        <v>0</v>
      </c>
      <c r="AO260" s="307">
        <f t="shared" si="221"/>
        <v>0</v>
      </c>
      <c r="AP260" s="307">
        <f t="shared" si="221"/>
        <v>0</v>
      </c>
      <c r="AQ260" s="307">
        <f t="shared" si="221"/>
        <v>0</v>
      </c>
      <c r="AR260" s="307"/>
      <c r="AS260" s="307"/>
      <c r="AT260" s="307"/>
      <c r="AU260" s="307"/>
      <c r="AV260" s="307"/>
      <c r="AW260" s="307"/>
      <c r="AX260" s="307"/>
      <c r="AY260" s="307"/>
      <c r="AZ260" s="307"/>
      <c r="BA260" s="307"/>
      <c r="BB260" s="307"/>
      <c r="BC260" s="308"/>
      <c r="BK260" s="308">
        <v>0</v>
      </c>
      <c r="BL260" s="308">
        <f t="shared" si="222"/>
        <v>0</v>
      </c>
      <c r="BM260" s="308">
        <v>38123</v>
      </c>
      <c r="BN260" s="308">
        <f t="shared" si="223"/>
        <v>0</v>
      </c>
      <c r="BO260" s="308">
        <v>0</v>
      </c>
      <c r="BP260" s="308">
        <f t="shared" si="224"/>
        <v>0</v>
      </c>
    </row>
    <row r="261" spans="1:68">
      <c r="A261" s="301" t="s">
        <v>47</v>
      </c>
      <c r="B261" s="308">
        <f t="shared" si="225"/>
        <v>0</v>
      </c>
      <c r="C261" s="308">
        <f t="shared" si="225"/>
        <v>0</v>
      </c>
      <c r="D261" s="308">
        <f t="shared" si="225"/>
        <v>0</v>
      </c>
      <c r="E261" s="308">
        <f t="shared" si="225"/>
        <v>0</v>
      </c>
      <c r="F261" s="308">
        <f t="shared" si="225"/>
        <v>0</v>
      </c>
      <c r="G261" s="308">
        <f t="shared" si="225"/>
        <v>0</v>
      </c>
      <c r="H261" s="308">
        <f t="shared" si="225"/>
        <v>0</v>
      </c>
      <c r="I261" s="308">
        <f t="shared" si="225"/>
        <v>0</v>
      </c>
      <c r="J261" s="308">
        <f t="shared" si="225"/>
        <v>0</v>
      </c>
      <c r="K261" s="308">
        <f t="shared" si="225"/>
        <v>0</v>
      </c>
      <c r="L261" s="308">
        <f t="shared" si="225"/>
        <v>0</v>
      </c>
      <c r="M261" s="308">
        <f t="shared" si="225"/>
        <v>0</v>
      </c>
      <c r="N261" s="308">
        <f t="shared" si="225"/>
        <v>0</v>
      </c>
      <c r="O261" s="308">
        <f t="shared" si="225"/>
        <v>0</v>
      </c>
      <c r="P261" s="308">
        <f t="shared" si="225"/>
        <v>0</v>
      </c>
      <c r="Q261" s="307">
        <f t="shared" si="225"/>
        <v>0</v>
      </c>
      <c r="R261" s="307">
        <f t="shared" si="221"/>
        <v>0</v>
      </c>
      <c r="S261" s="307">
        <f t="shared" si="221"/>
        <v>0</v>
      </c>
      <c r="T261" s="307">
        <f t="shared" si="221"/>
        <v>0</v>
      </c>
      <c r="U261" s="307">
        <f t="shared" si="221"/>
        <v>0</v>
      </c>
      <c r="V261" s="307">
        <f t="shared" si="221"/>
        <v>0</v>
      </c>
      <c r="W261" s="307">
        <f t="shared" si="221"/>
        <v>0</v>
      </c>
      <c r="X261" s="307">
        <f t="shared" si="221"/>
        <v>0</v>
      </c>
      <c r="Y261" s="307">
        <f t="shared" si="221"/>
        <v>0</v>
      </c>
      <c r="Z261" s="307">
        <f t="shared" si="221"/>
        <v>0</v>
      </c>
      <c r="AA261" s="307">
        <f t="shared" si="221"/>
        <v>0</v>
      </c>
      <c r="AB261" s="307">
        <f t="shared" si="221"/>
        <v>0</v>
      </c>
      <c r="AC261" s="307">
        <f t="shared" si="221"/>
        <v>0</v>
      </c>
      <c r="AD261" s="307">
        <f t="shared" si="221"/>
        <v>0</v>
      </c>
      <c r="AE261" s="307">
        <f t="shared" si="221"/>
        <v>0</v>
      </c>
      <c r="AF261" s="307">
        <f t="shared" si="221"/>
        <v>0</v>
      </c>
      <c r="AG261" s="307">
        <f t="shared" si="221"/>
        <v>0</v>
      </c>
      <c r="AH261" s="307">
        <f t="shared" si="221"/>
        <v>0</v>
      </c>
      <c r="AI261" s="307">
        <f t="shared" si="221"/>
        <v>0</v>
      </c>
      <c r="AJ261" s="307">
        <f t="shared" si="221"/>
        <v>0</v>
      </c>
      <c r="AK261" s="307">
        <f t="shared" si="221"/>
        <v>0</v>
      </c>
      <c r="AL261" s="307">
        <f t="shared" si="221"/>
        <v>0</v>
      </c>
      <c r="AM261" s="307">
        <f t="shared" si="221"/>
        <v>0</v>
      </c>
      <c r="AN261" s="307">
        <f t="shared" si="221"/>
        <v>0</v>
      </c>
      <c r="AO261" s="307">
        <f t="shared" si="221"/>
        <v>0</v>
      </c>
      <c r="AP261" s="307">
        <f t="shared" si="221"/>
        <v>0</v>
      </c>
      <c r="AQ261" s="307">
        <f t="shared" si="221"/>
        <v>0</v>
      </c>
      <c r="AR261" s="307"/>
      <c r="AS261" s="307"/>
      <c r="AT261" s="307"/>
      <c r="AU261" s="307"/>
      <c r="AV261" s="307"/>
      <c r="AW261" s="307"/>
      <c r="AX261" s="307"/>
      <c r="AY261" s="307"/>
      <c r="AZ261" s="307"/>
      <c r="BA261" s="307"/>
      <c r="BB261" s="307"/>
      <c r="BC261" s="308"/>
      <c r="BK261" s="308">
        <v>0</v>
      </c>
      <c r="BL261" s="308">
        <f t="shared" si="222"/>
        <v>0</v>
      </c>
      <c r="BM261" s="308">
        <v>0</v>
      </c>
      <c r="BN261" s="308">
        <f t="shared" si="223"/>
        <v>0</v>
      </c>
      <c r="BO261" s="308">
        <v>0</v>
      </c>
      <c r="BP261" s="308">
        <f t="shared" si="224"/>
        <v>0</v>
      </c>
    </row>
    <row r="262" spans="1:68">
      <c r="A262" s="301" t="s">
        <v>48</v>
      </c>
      <c r="B262" s="308">
        <f t="shared" si="225"/>
        <v>0</v>
      </c>
      <c r="C262" s="308">
        <f t="shared" si="225"/>
        <v>0</v>
      </c>
      <c r="D262" s="308">
        <f t="shared" si="225"/>
        <v>0</v>
      </c>
      <c r="E262" s="308">
        <f t="shared" si="225"/>
        <v>0</v>
      </c>
      <c r="F262" s="308">
        <f t="shared" si="225"/>
        <v>0</v>
      </c>
      <c r="G262" s="308">
        <f t="shared" si="225"/>
        <v>0</v>
      </c>
      <c r="H262" s="308">
        <f t="shared" si="225"/>
        <v>0</v>
      </c>
      <c r="I262" s="308">
        <f t="shared" si="225"/>
        <v>0</v>
      </c>
      <c r="J262" s="308">
        <f t="shared" si="225"/>
        <v>0</v>
      </c>
      <c r="K262" s="308">
        <f t="shared" si="225"/>
        <v>0</v>
      </c>
      <c r="L262" s="308">
        <f t="shared" si="225"/>
        <v>0</v>
      </c>
      <c r="M262" s="308">
        <f t="shared" si="225"/>
        <v>0</v>
      </c>
      <c r="N262" s="308">
        <f t="shared" si="225"/>
        <v>0</v>
      </c>
      <c r="O262" s="308">
        <f t="shared" si="225"/>
        <v>0</v>
      </c>
      <c r="P262" s="308">
        <f t="shared" si="225"/>
        <v>0</v>
      </c>
      <c r="Q262" s="307">
        <f t="shared" si="225"/>
        <v>0</v>
      </c>
      <c r="R262" s="307">
        <f t="shared" si="221"/>
        <v>0</v>
      </c>
      <c r="S262" s="307">
        <f t="shared" si="221"/>
        <v>0</v>
      </c>
      <c r="T262" s="307">
        <f t="shared" si="221"/>
        <v>0</v>
      </c>
      <c r="U262" s="307">
        <f t="shared" si="221"/>
        <v>0</v>
      </c>
      <c r="V262" s="307">
        <f t="shared" si="221"/>
        <v>0</v>
      </c>
      <c r="W262" s="307">
        <f t="shared" si="221"/>
        <v>0</v>
      </c>
      <c r="X262" s="307">
        <f t="shared" si="221"/>
        <v>0</v>
      </c>
      <c r="Y262" s="307">
        <f t="shared" si="221"/>
        <v>0</v>
      </c>
      <c r="Z262" s="307">
        <f t="shared" si="221"/>
        <v>0</v>
      </c>
      <c r="AA262" s="307">
        <f t="shared" si="221"/>
        <v>0</v>
      </c>
      <c r="AB262" s="307">
        <f t="shared" si="221"/>
        <v>0</v>
      </c>
      <c r="AC262" s="307">
        <f t="shared" si="221"/>
        <v>0</v>
      </c>
      <c r="AD262" s="307">
        <f t="shared" si="221"/>
        <v>0</v>
      </c>
      <c r="AE262" s="307">
        <f t="shared" si="221"/>
        <v>0</v>
      </c>
      <c r="AF262" s="307">
        <f t="shared" si="221"/>
        <v>0</v>
      </c>
      <c r="AG262" s="307">
        <f t="shared" si="221"/>
        <v>0</v>
      </c>
      <c r="AH262" s="307">
        <f t="shared" si="221"/>
        <v>0</v>
      </c>
      <c r="AI262" s="307">
        <f t="shared" si="221"/>
        <v>0</v>
      </c>
      <c r="AJ262" s="307">
        <f t="shared" si="221"/>
        <v>0</v>
      </c>
      <c r="AK262" s="307">
        <f t="shared" si="221"/>
        <v>0</v>
      </c>
      <c r="AL262" s="307">
        <f t="shared" si="221"/>
        <v>0</v>
      </c>
      <c r="AM262" s="307">
        <f t="shared" si="221"/>
        <v>0</v>
      </c>
      <c r="AN262" s="307">
        <f t="shared" si="221"/>
        <v>0</v>
      </c>
      <c r="AO262" s="307">
        <f t="shared" si="221"/>
        <v>0</v>
      </c>
      <c r="AP262" s="307">
        <f t="shared" si="221"/>
        <v>0</v>
      </c>
      <c r="AQ262" s="307">
        <f t="shared" si="221"/>
        <v>0</v>
      </c>
      <c r="AR262" s="307"/>
      <c r="AS262" s="307"/>
      <c r="AT262" s="307"/>
      <c r="AU262" s="307"/>
      <c r="AV262" s="307"/>
      <c r="AW262" s="307"/>
      <c r="AX262" s="307"/>
      <c r="AY262" s="307"/>
      <c r="AZ262" s="307"/>
      <c r="BA262" s="307"/>
      <c r="BB262" s="307"/>
      <c r="BC262" s="308"/>
      <c r="BK262" s="308">
        <v>0</v>
      </c>
      <c r="BL262" s="308">
        <f t="shared" si="222"/>
        <v>0</v>
      </c>
      <c r="BM262" s="308">
        <v>0</v>
      </c>
      <c r="BN262" s="308">
        <f t="shared" si="223"/>
        <v>0</v>
      </c>
      <c r="BO262" s="308">
        <v>0</v>
      </c>
      <c r="BP262" s="308">
        <f t="shared" si="224"/>
        <v>0</v>
      </c>
    </row>
    <row r="263" spans="1:68">
      <c r="A263" s="301" t="s">
        <v>49</v>
      </c>
      <c r="B263" s="308">
        <f t="shared" si="225"/>
        <v>0</v>
      </c>
      <c r="C263" s="308">
        <f t="shared" si="225"/>
        <v>0</v>
      </c>
      <c r="D263" s="308">
        <f t="shared" si="225"/>
        <v>0</v>
      </c>
      <c r="E263" s="308">
        <f t="shared" si="225"/>
        <v>0</v>
      </c>
      <c r="F263" s="308">
        <f t="shared" si="225"/>
        <v>0</v>
      </c>
      <c r="G263" s="308">
        <f t="shared" si="225"/>
        <v>0</v>
      </c>
      <c r="H263" s="308">
        <f t="shared" si="225"/>
        <v>0</v>
      </c>
      <c r="I263" s="308">
        <f t="shared" si="225"/>
        <v>0</v>
      </c>
      <c r="J263" s="308">
        <f t="shared" si="225"/>
        <v>0</v>
      </c>
      <c r="K263" s="308">
        <f t="shared" si="225"/>
        <v>0</v>
      </c>
      <c r="L263" s="308">
        <f t="shared" si="225"/>
        <v>0</v>
      </c>
      <c r="M263" s="308">
        <f t="shared" si="225"/>
        <v>0</v>
      </c>
      <c r="N263" s="308">
        <f t="shared" si="225"/>
        <v>0</v>
      </c>
      <c r="O263" s="308">
        <f t="shared" si="225"/>
        <v>0</v>
      </c>
      <c r="P263" s="308">
        <f t="shared" si="225"/>
        <v>0</v>
      </c>
      <c r="Q263" s="307">
        <f t="shared" si="225"/>
        <v>0</v>
      </c>
      <c r="R263" s="307">
        <f t="shared" si="221"/>
        <v>0</v>
      </c>
      <c r="S263" s="307">
        <f t="shared" si="221"/>
        <v>0</v>
      </c>
      <c r="T263" s="307">
        <f t="shared" si="221"/>
        <v>0</v>
      </c>
      <c r="U263" s="307">
        <f t="shared" si="221"/>
        <v>0</v>
      </c>
      <c r="V263" s="307">
        <f t="shared" si="221"/>
        <v>0</v>
      </c>
      <c r="W263" s="307">
        <f t="shared" si="221"/>
        <v>0</v>
      </c>
      <c r="X263" s="307">
        <f t="shared" si="221"/>
        <v>0</v>
      </c>
      <c r="Y263" s="307">
        <f t="shared" si="221"/>
        <v>0</v>
      </c>
      <c r="Z263" s="307">
        <f t="shared" si="221"/>
        <v>0</v>
      </c>
      <c r="AA263" s="307">
        <f t="shared" si="221"/>
        <v>0</v>
      </c>
      <c r="AB263" s="307">
        <f t="shared" si="221"/>
        <v>0</v>
      </c>
      <c r="AC263" s="307">
        <f t="shared" si="221"/>
        <v>0</v>
      </c>
      <c r="AD263" s="307">
        <f t="shared" si="221"/>
        <v>0</v>
      </c>
      <c r="AE263" s="307">
        <f t="shared" si="221"/>
        <v>0</v>
      </c>
      <c r="AF263" s="307">
        <f t="shared" si="221"/>
        <v>0</v>
      </c>
      <c r="AG263" s="307">
        <f t="shared" si="221"/>
        <v>0</v>
      </c>
      <c r="AH263" s="307">
        <f t="shared" si="221"/>
        <v>0</v>
      </c>
      <c r="AI263" s="307">
        <f t="shared" si="221"/>
        <v>0</v>
      </c>
      <c r="AJ263" s="307">
        <f t="shared" si="221"/>
        <v>0</v>
      </c>
      <c r="AK263" s="307">
        <f t="shared" si="221"/>
        <v>0</v>
      </c>
      <c r="AL263" s="307">
        <f t="shared" si="221"/>
        <v>0</v>
      </c>
      <c r="AM263" s="307">
        <f t="shared" si="221"/>
        <v>0</v>
      </c>
      <c r="AN263" s="307">
        <f t="shared" si="221"/>
        <v>0</v>
      </c>
      <c r="AO263" s="307">
        <f t="shared" si="221"/>
        <v>0</v>
      </c>
      <c r="AP263" s="307">
        <f t="shared" si="221"/>
        <v>0</v>
      </c>
      <c r="AQ263" s="307">
        <f t="shared" si="221"/>
        <v>0</v>
      </c>
      <c r="AR263" s="307"/>
      <c r="AS263" s="307"/>
      <c r="AT263" s="307"/>
      <c r="AU263" s="307"/>
      <c r="AV263" s="307"/>
      <c r="AW263" s="307"/>
      <c r="AX263" s="307"/>
      <c r="AY263" s="307"/>
      <c r="AZ263" s="307"/>
      <c r="BA263" s="307"/>
      <c r="BB263" s="307"/>
      <c r="BC263" s="308"/>
      <c r="BK263" s="308">
        <v>0</v>
      </c>
      <c r="BL263" s="308">
        <f t="shared" si="222"/>
        <v>0</v>
      </c>
      <c r="BM263" s="309">
        <v>0</v>
      </c>
      <c r="BN263" s="308">
        <f t="shared" si="223"/>
        <v>0</v>
      </c>
      <c r="BO263" s="308">
        <v>0</v>
      </c>
      <c r="BP263" s="308">
        <f t="shared" si="224"/>
        <v>0</v>
      </c>
    </row>
    <row r="264" spans="1:68">
      <c r="A264" s="301" t="s">
        <v>50</v>
      </c>
      <c r="B264" s="308">
        <f t="shared" si="225"/>
        <v>0</v>
      </c>
      <c r="C264" s="308">
        <f t="shared" si="225"/>
        <v>0</v>
      </c>
      <c r="D264" s="308">
        <f t="shared" si="225"/>
        <v>0</v>
      </c>
      <c r="E264" s="308">
        <f t="shared" si="225"/>
        <v>0</v>
      </c>
      <c r="F264" s="308">
        <f t="shared" si="225"/>
        <v>0</v>
      </c>
      <c r="G264" s="308">
        <f t="shared" si="225"/>
        <v>0</v>
      </c>
      <c r="H264" s="308">
        <f t="shared" si="225"/>
        <v>0</v>
      </c>
      <c r="I264" s="308">
        <f t="shared" si="225"/>
        <v>0</v>
      </c>
      <c r="J264" s="308">
        <f t="shared" si="225"/>
        <v>0</v>
      </c>
      <c r="K264" s="308">
        <f t="shared" si="225"/>
        <v>0</v>
      </c>
      <c r="L264" s="308">
        <f t="shared" si="225"/>
        <v>0</v>
      </c>
      <c r="M264" s="308">
        <f t="shared" si="225"/>
        <v>0</v>
      </c>
      <c r="N264" s="308">
        <f t="shared" si="225"/>
        <v>0</v>
      </c>
      <c r="O264" s="308">
        <f t="shared" si="225"/>
        <v>872978</v>
      </c>
      <c r="P264" s="308">
        <f t="shared" si="225"/>
        <v>0</v>
      </c>
      <c r="Q264" s="307">
        <f t="shared" si="225"/>
        <v>0</v>
      </c>
      <c r="R264" s="307">
        <f t="shared" si="221"/>
        <v>0</v>
      </c>
      <c r="S264" s="307">
        <f t="shared" si="221"/>
        <v>0</v>
      </c>
      <c r="T264" s="307">
        <f t="shared" si="221"/>
        <v>0</v>
      </c>
      <c r="U264" s="307">
        <f t="shared" si="221"/>
        <v>0</v>
      </c>
      <c r="V264" s="307">
        <f t="shared" si="221"/>
        <v>0</v>
      </c>
      <c r="W264" s="307">
        <f t="shared" si="221"/>
        <v>0</v>
      </c>
      <c r="X264" s="307">
        <f t="shared" si="221"/>
        <v>0</v>
      </c>
      <c r="Y264" s="307">
        <f t="shared" si="221"/>
        <v>0</v>
      </c>
      <c r="Z264" s="307">
        <f t="shared" si="221"/>
        <v>0</v>
      </c>
      <c r="AA264" s="307">
        <f t="shared" si="221"/>
        <v>0</v>
      </c>
      <c r="AB264" s="307">
        <f t="shared" si="221"/>
        <v>0</v>
      </c>
      <c r="AC264" s="307">
        <f t="shared" si="221"/>
        <v>0</v>
      </c>
      <c r="AD264" s="307">
        <f t="shared" si="221"/>
        <v>0</v>
      </c>
      <c r="AE264" s="307">
        <f t="shared" si="221"/>
        <v>0</v>
      </c>
      <c r="AF264" s="307">
        <f t="shared" si="221"/>
        <v>0</v>
      </c>
      <c r="AG264" s="307">
        <f t="shared" si="221"/>
        <v>0</v>
      </c>
      <c r="AH264" s="307">
        <f t="shared" si="221"/>
        <v>0</v>
      </c>
      <c r="AI264" s="307">
        <f t="shared" si="221"/>
        <v>0</v>
      </c>
      <c r="AJ264" s="307">
        <f t="shared" si="221"/>
        <v>0</v>
      </c>
      <c r="AK264" s="307">
        <f t="shared" si="221"/>
        <v>0</v>
      </c>
      <c r="AL264" s="307">
        <f t="shared" si="221"/>
        <v>0</v>
      </c>
      <c r="AM264" s="307">
        <f t="shared" si="221"/>
        <v>0</v>
      </c>
      <c r="AN264" s="307">
        <f t="shared" si="221"/>
        <v>0</v>
      </c>
      <c r="AO264" s="307">
        <f t="shared" si="221"/>
        <v>0</v>
      </c>
      <c r="AP264" s="307">
        <f t="shared" si="221"/>
        <v>0</v>
      </c>
      <c r="AQ264" s="307">
        <f t="shared" si="221"/>
        <v>0</v>
      </c>
      <c r="AR264" s="307"/>
      <c r="AS264" s="307"/>
      <c r="AT264" s="307"/>
      <c r="AU264" s="307"/>
      <c r="AV264" s="307"/>
      <c r="AW264" s="307"/>
      <c r="AX264" s="307"/>
      <c r="AY264" s="307"/>
      <c r="AZ264" s="307"/>
      <c r="BA264" s="307"/>
      <c r="BB264" s="307"/>
      <c r="BC264" s="308"/>
      <c r="BK264" s="308">
        <v>0</v>
      </c>
      <c r="BL264" s="308">
        <f t="shared" si="222"/>
        <v>872978</v>
      </c>
      <c r="BM264" s="309">
        <v>0</v>
      </c>
      <c r="BN264" s="308">
        <f t="shared" si="223"/>
        <v>0</v>
      </c>
      <c r="BO264" s="308">
        <v>0</v>
      </c>
      <c r="BP264" s="308">
        <f t="shared" si="224"/>
        <v>0</v>
      </c>
    </row>
    <row r="265" spans="1:68">
      <c r="A265" s="301" t="s">
        <v>51</v>
      </c>
      <c r="B265" s="308">
        <f t="shared" si="225"/>
        <v>0</v>
      </c>
      <c r="C265" s="308">
        <f t="shared" si="225"/>
        <v>0</v>
      </c>
      <c r="D265" s="308">
        <f t="shared" si="225"/>
        <v>0</v>
      </c>
      <c r="E265" s="308">
        <f t="shared" si="225"/>
        <v>0</v>
      </c>
      <c r="F265" s="308">
        <f t="shared" si="225"/>
        <v>0</v>
      </c>
      <c r="G265" s="308">
        <f t="shared" si="225"/>
        <v>0</v>
      </c>
      <c r="H265" s="308">
        <f t="shared" si="225"/>
        <v>0</v>
      </c>
      <c r="I265" s="308">
        <f t="shared" si="225"/>
        <v>0</v>
      </c>
      <c r="J265" s="308">
        <f t="shared" si="225"/>
        <v>0</v>
      </c>
      <c r="K265" s="308">
        <f t="shared" si="225"/>
        <v>0</v>
      </c>
      <c r="L265" s="308">
        <f t="shared" si="225"/>
        <v>0</v>
      </c>
      <c r="M265" s="308">
        <f t="shared" si="225"/>
        <v>0</v>
      </c>
      <c r="N265" s="308">
        <f t="shared" si="225"/>
        <v>0</v>
      </c>
      <c r="O265" s="308">
        <f t="shared" si="225"/>
        <v>0</v>
      </c>
      <c r="P265" s="308">
        <f t="shared" si="225"/>
        <v>0</v>
      </c>
      <c r="Q265" s="307">
        <f t="shared" si="225"/>
        <v>0</v>
      </c>
      <c r="R265" s="307">
        <f t="shared" si="221"/>
        <v>0</v>
      </c>
      <c r="S265" s="307">
        <f t="shared" si="221"/>
        <v>0</v>
      </c>
      <c r="T265" s="307">
        <f t="shared" si="221"/>
        <v>0</v>
      </c>
      <c r="U265" s="307">
        <f t="shared" si="221"/>
        <v>0</v>
      </c>
      <c r="V265" s="307">
        <f t="shared" si="221"/>
        <v>0</v>
      </c>
      <c r="W265" s="307">
        <f t="shared" si="221"/>
        <v>0</v>
      </c>
      <c r="X265" s="307">
        <f t="shared" si="221"/>
        <v>0</v>
      </c>
      <c r="Y265" s="307">
        <f t="shared" si="221"/>
        <v>0</v>
      </c>
      <c r="Z265" s="307">
        <f t="shared" si="221"/>
        <v>0</v>
      </c>
      <c r="AA265" s="307">
        <f t="shared" si="221"/>
        <v>0</v>
      </c>
      <c r="AB265" s="307">
        <f t="shared" si="221"/>
        <v>0</v>
      </c>
      <c r="AC265" s="307">
        <f t="shared" si="221"/>
        <v>0</v>
      </c>
      <c r="AD265" s="307">
        <f t="shared" si="221"/>
        <v>0</v>
      </c>
      <c r="AE265" s="307">
        <f t="shared" si="221"/>
        <v>0</v>
      </c>
      <c r="AF265" s="307">
        <f t="shared" si="221"/>
        <v>0</v>
      </c>
      <c r="AG265" s="307">
        <f t="shared" si="221"/>
        <v>0</v>
      </c>
      <c r="AH265" s="307">
        <f t="shared" si="221"/>
        <v>0</v>
      </c>
      <c r="AI265" s="307">
        <f t="shared" si="221"/>
        <v>0</v>
      </c>
      <c r="AJ265" s="307">
        <f t="shared" si="221"/>
        <v>0</v>
      </c>
      <c r="AK265" s="307">
        <f t="shared" si="221"/>
        <v>0</v>
      </c>
      <c r="AL265" s="307">
        <f t="shared" si="221"/>
        <v>0</v>
      </c>
      <c r="AM265" s="307">
        <f t="shared" si="221"/>
        <v>0</v>
      </c>
      <c r="AN265" s="307">
        <f t="shared" si="221"/>
        <v>0</v>
      </c>
      <c r="AO265" s="307">
        <f t="shared" si="221"/>
        <v>0</v>
      </c>
      <c r="AP265" s="307">
        <f t="shared" si="221"/>
        <v>0</v>
      </c>
      <c r="AQ265" s="307">
        <f t="shared" si="221"/>
        <v>0</v>
      </c>
      <c r="AR265" s="307"/>
      <c r="AS265" s="307"/>
      <c r="AT265" s="307"/>
      <c r="AU265" s="307"/>
      <c r="AV265" s="307"/>
      <c r="AW265" s="307"/>
      <c r="AX265" s="307"/>
      <c r="AY265" s="307"/>
      <c r="AZ265" s="307"/>
      <c r="BA265" s="307"/>
      <c r="BB265" s="307"/>
      <c r="BC265" s="308"/>
      <c r="BK265" s="308">
        <v>0</v>
      </c>
      <c r="BL265" s="308">
        <f t="shared" si="222"/>
        <v>0</v>
      </c>
      <c r="BM265" s="309">
        <v>0</v>
      </c>
      <c r="BN265" s="308">
        <f t="shared" si="223"/>
        <v>0</v>
      </c>
      <c r="BO265" s="308">
        <v>0</v>
      </c>
      <c r="BP265" s="308">
        <f t="shared" si="224"/>
        <v>0</v>
      </c>
    </row>
    <row r="266" spans="1:68">
      <c r="A266" s="301" t="s">
        <v>52</v>
      </c>
      <c r="B266" s="308">
        <f t="shared" si="225"/>
        <v>0</v>
      </c>
      <c r="C266" s="308">
        <f t="shared" si="225"/>
        <v>0</v>
      </c>
      <c r="D266" s="308">
        <f t="shared" si="225"/>
        <v>0</v>
      </c>
      <c r="E266" s="308">
        <f t="shared" si="225"/>
        <v>0</v>
      </c>
      <c r="F266" s="308">
        <f t="shared" si="225"/>
        <v>0</v>
      </c>
      <c r="G266" s="308">
        <f t="shared" si="225"/>
        <v>0</v>
      </c>
      <c r="H266" s="308">
        <f t="shared" si="225"/>
        <v>0</v>
      </c>
      <c r="I266" s="308">
        <f t="shared" si="225"/>
        <v>0</v>
      </c>
      <c r="J266" s="308">
        <f t="shared" si="225"/>
        <v>0</v>
      </c>
      <c r="K266" s="308">
        <f t="shared" si="225"/>
        <v>0</v>
      </c>
      <c r="L266" s="308">
        <f t="shared" si="225"/>
        <v>0</v>
      </c>
      <c r="M266" s="308">
        <f t="shared" si="225"/>
        <v>0</v>
      </c>
      <c r="N266" s="308">
        <f t="shared" si="225"/>
        <v>0</v>
      </c>
      <c r="O266" s="308">
        <f t="shared" si="225"/>
        <v>488155</v>
      </c>
      <c r="P266" s="308">
        <f t="shared" si="225"/>
        <v>0</v>
      </c>
      <c r="Q266" s="307">
        <f t="shared" si="225"/>
        <v>0</v>
      </c>
      <c r="R266" s="307">
        <f t="shared" si="221"/>
        <v>0</v>
      </c>
      <c r="S266" s="307">
        <f t="shared" si="221"/>
        <v>0</v>
      </c>
      <c r="T266" s="307">
        <f t="shared" si="221"/>
        <v>0</v>
      </c>
      <c r="U266" s="307">
        <f t="shared" si="221"/>
        <v>0</v>
      </c>
      <c r="V266" s="307">
        <f t="shared" si="221"/>
        <v>0</v>
      </c>
      <c r="W266" s="307">
        <f t="shared" si="221"/>
        <v>0</v>
      </c>
      <c r="X266" s="307">
        <f t="shared" ref="X266:AQ268" si="226">X282+X298+X314</f>
        <v>0</v>
      </c>
      <c r="Y266" s="307">
        <f t="shared" si="226"/>
        <v>0</v>
      </c>
      <c r="Z266" s="307">
        <f t="shared" si="226"/>
        <v>0</v>
      </c>
      <c r="AA266" s="307">
        <f t="shared" si="226"/>
        <v>0</v>
      </c>
      <c r="AB266" s="307">
        <f t="shared" si="226"/>
        <v>0</v>
      </c>
      <c r="AC266" s="307">
        <f t="shared" si="226"/>
        <v>0</v>
      </c>
      <c r="AD266" s="307">
        <f t="shared" si="226"/>
        <v>0</v>
      </c>
      <c r="AE266" s="307">
        <f t="shared" si="226"/>
        <v>0</v>
      </c>
      <c r="AF266" s="307">
        <f t="shared" si="226"/>
        <v>0</v>
      </c>
      <c r="AG266" s="307">
        <f t="shared" si="226"/>
        <v>0</v>
      </c>
      <c r="AH266" s="307">
        <f t="shared" si="226"/>
        <v>0</v>
      </c>
      <c r="AI266" s="307">
        <f t="shared" si="226"/>
        <v>0</v>
      </c>
      <c r="AJ266" s="307">
        <f t="shared" si="226"/>
        <v>0</v>
      </c>
      <c r="AK266" s="307">
        <f t="shared" si="226"/>
        <v>0</v>
      </c>
      <c r="AL266" s="307">
        <f t="shared" si="226"/>
        <v>0</v>
      </c>
      <c r="AM266" s="307">
        <f t="shared" si="226"/>
        <v>0</v>
      </c>
      <c r="AN266" s="307">
        <f t="shared" si="226"/>
        <v>0</v>
      </c>
      <c r="AO266" s="307">
        <f t="shared" si="226"/>
        <v>0</v>
      </c>
      <c r="AP266" s="307">
        <f t="shared" si="226"/>
        <v>0</v>
      </c>
      <c r="AQ266" s="307">
        <f t="shared" si="226"/>
        <v>0</v>
      </c>
      <c r="AR266" s="307"/>
      <c r="AS266" s="307"/>
      <c r="AT266" s="307"/>
      <c r="AU266" s="307"/>
      <c r="AV266" s="307"/>
      <c r="AW266" s="307"/>
      <c r="AX266" s="307"/>
      <c r="AY266" s="307"/>
      <c r="AZ266" s="307"/>
      <c r="BA266" s="307"/>
      <c r="BB266" s="307"/>
      <c r="BC266" s="308"/>
      <c r="BK266" s="308">
        <v>488155</v>
      </c>
      <c r="BL266" s="308">
        <f t="shared" si="222"/>
        <v>0</v>
      </c>
      <c r="BM266" s="309">
        <v>0</v>
      </c>
      <c r="BN266" s="308">
        <f t="shared" si="223"/>
        <v>0</v>
      </c>
      <c r="BO266" s="308">
        <v>0</v>
      </c>
      <c r="BP266" s="308">
        <f t="shared" si="224"/>
        <v>0</v>
      </c>
    </row>
    <row r="267" spans="1:68">
      <c r="A267" s="301" t="s">
        <v>53</v>
      </c>
      <c r="B267" s="308">
        <f t="shared" si="225"/>
        <v>0</v>
      </c>
      <c r="C267" s="308">
        <f t="shared" si="225"/>
        <v>0</v>
      </c>
      <c r="D267" s="308">
        <f t="shared" si="225"/>
        <v>0</v>
      </c>
      <c r="E267" s="308">
        <f t="shared" si="225"/>
        <v>0</v>
      </c>
      <c r="F267" s="308">
        <f t="shared" si="225"/>
        <v>0</v>
      </c>
      <c r="G267" s="308">
        <f t="shared" si="225"/>
        <v>0</v>
      </c>
      <c r="H267" s="308">
        <f t="shared" si="225"/>
        <v>0</v>
      </c>
      <c r="I267" s="308">
        <f t="shared" si="225"/>
        <v>0</v>
      </c>
      <c r="J267" s="308">
        <f t="shared" si="225"/>
        <v>0</v>
      </c>
      <c r="K267" s="308">
        <f t="shared" si="225"/>
        <v>0</v>
      </c>
      <c r="L267" s="308">
        <f t="shared" si="225"/>
        <v>0</v>
      </c>
      <c r="M267" s="308">
        <f t="shared" si="225"/>
        <v>0</v>
      </c>
      <c r="N267" s="308">
        <f t="shared" si="225"/>
        <v>0</v>
      </c>
      <c r="O267" s="308">
        <f>O283+O299+O315</f>
        <v>449778</v>
      </c>
      <c r="P267" s="308">
        <f t="shared" si="225"/>
        <v>0</v>
      </c>
      <c r="Q267" s="307">
        <f t="shared" si="225"/>
        <v>0</v>
      </c>
      <c r="R267" s="307">
        <f t="shared" ref="R267:AG268" si="227">R283+R299+R315</f>
        <v>0</v>
      </c>
      <c r="S267" s="307">
        <f t="shared" si="227"/>
        <v>0</v>
      </c>
      <c r="T267" s="307">
        <f t="shared" si="227"/>
        <v>0</v>
      </c>
      <c r="U267" s="307">
        <f t="shared" si="227"/>
        <v>0</v>
      </c>
      <c r="V267" s="307">
        <f t="shared" si="227"/>
        <v>0</v>
      </c>
      <c r="W267" s="307">
        <f t="shared" si="227"/>
        <v>0</v>
      </c>
      <c r="X267" s="307">
        <f t="shared" si="227"/>
        <v>0</v>
      </c>
      <c r="Y267" s="307">
        <f t="shared" si="227"/>
        <v>0</v>
      </c>
      <c r="Z267" s="307">
        <f t="shared" si="227"/>
        <v>0</v>
      </c>
      <c r="AA267" s="307">
        <f t="shared" si="227"/>
        <v>0</v>
      </c>
      <c r="AB267" s="307">
        <f t="shared" si="227"/>
        <v>0</v>
      </c>
      <c r="AC267" s="307">
        <f t="shared" si="227"/>
        <v>0</v>
      </c>
      <c r="AD267" s="307">
        <f t="shared" si="227"/>
        <v>0</v>
      </c>
      <c r="AE267" s="307">
        <f t="shared" si="227"/>
        <v>0</v>
      </c>
      <c r="AF267" s="307">
        <f t="shared" si="227"/>
        <v>0</v>
      </c>
      <c r="AG267" s="307">
        <f t="shared" si="227"/>
        <v>0</v>
      </c>
      <c r="AH267" s="307">
        <f t="shared" si="226"/>
        <v>0</v>
      </c>
      <c r="AI267" s="307">
        <f t="shared" si="226"/>
        <v>0</v>
      </c>
      <c r="AJ267" s="307">
        <f t="shared" si="226"/>
        <v>0</v>
      </c>
      <c r="AK267" s="307">
        <f t="shared" si="226"/>
        <v>0</v>
      </c>
      <c r="AL267" s="307">
        <f t="shared" si="226"/>
        <v>0</v>
      </c>
      <c r="AM267" s="307">
        <f t="shared" si="226"/>
        <v>0</v>
      </c>
      <c r="AN267" s="307">
        <f t="shared" si="226"/>
        <v>0</v>
      </c>
      <c r="AO267" s="307">
        <f t="shared" si="226"/>
        <v>0</v>
      </c>
      <c r="AP267" s="307">
        <f t="shared" si="226"/>
        <v>0</v>
      </c>
      <c r="AQ267" s="307">
        <f t="shared" si="226"/>
        <v>0</v>
      </c>
      <c r="AR267" s="307"/>
      <c r="AS267" s="307"/>
      <c r="AT267" s="307"/>
      <c r="AU267" s="307"/>
      <c r="AV267" s="307"/>
      <c r="AW267" s="307"/>
      <c r="AX267" s="307"/>
      <c r="AY267" s="307"/>
      <c r="AZ267" s="307"/>
      <c r="BA267" s="307"/>
      <c r="BB267" s="307"/>
      <c r="BC267" s="308"/>
      <c r="BK267" s="309">
        <v>0</v>
      </c>
      <c r="BL267" s="308">
        <f t="shared" si="222"/>
        <v>449778</v>
      </c>
      <c r="BM267" s="309">
        <v>0</v>
      </c>
      <c r="BN267" s="308">
        <f t="shared" si="223"/>
        <v>0</v>
      </c>
      <c r="BO267" s="308">
        <v>0</v>
      </c>
      <c r="BP267" s="308">
        <f t="shared" si="224"/>
        <v>0</v>
      </c>
    </row>
    <row r="268" spans="1:68">
      <c r="A268" s="301" t="s">
        <v>54</v>
      </c>
      <c r="B268" s="308">
        <f t="shared" si="225"/>
        <v>0</v>
      </c>
      <c r="C268" s="308">
        <f t="shared" si="225"/>
        <v>0</v>
      </c>
      <c r="D268" s="308">
        <f t="shared" si="225"/>
        <v>0</v>
      </c>
      <c r="E268" s="308">
        <f t="shared" si="225"/>
        <v>0</v>
      </c>
      <c r="F268" s="308">
        <f t="shared" si="225"/>
        <v>0</v>
      </c>
      <c r="G268" s="308">
        <f t="shared" si="225"/>
        <v>0</v>
      </c>
      <c r="H268" s="308">
        <f t="shared" si="225"/>
        <v>0</v>
      </c>
      <c r="I268" s="308">
        <f t="shared" si="225"/>
        <v>0</v>
      </c>
      <c r="J268" s="308">
        <f t="shared" si="225"/>
        <v>0</v>
      </c>
      <c r="K268" s="308">
        <f t="shared" si="225"/>
        <v>0</v>
      </c>
      <c r="L268" s="308">
        <f t="shared" si="225"/>
        <v>0</v>
      </c>
      <c r="M268" s="308">
        <f t="shared" si="225"/>
        <v>0</v>
      </c>
      <c r="N268" s="308">
        <f t="shared" si="225"/>
        <v>0</v>
      </c>
      <c r="O268" s="308">
        <f>O284+O300+O316</f>
        <v>14397</v>
      </c>
      <c r="P268" s="308">
        <f t="shared" si="225"/>
        <v>0</v>
      </c>
      <c r="Q268" s="307">
        <f t="shared" si="225"/>
        <v>0</v>
      </c>
      <c r="R268" s="307">
        <f t="shared" si="227"/>
        <v>0</v>
      </c>
      <c r="S268" s="307">
        <f t="shared" si="227"/>
        <v>0</v>
      </c>
      <c r="T268" s="307">
        <f t="shared" si="227"/>
        <v>0</v>
      </c>
      <c r="U268" s="307">
        <f t="shared" si="227"/>
        <v>0</v>
      </c>
      <c r="V268" s="307">
        <f t="shared" si="227"/>
        <v>0</v>
      </c>
      <c r="W268" s="307">
        <f t="shared" si="227"/>
        <v>0</v>
      </c>
      <c r="X268" s="307">
        <f t="shared" si="227"/>
        <v>0</v>
      </c>
      <c r="Y268" s="307">
        <f t="shared" si="227"/>
        <v>0</v>
      </c>
      <c r="Z268" s="307">
        <f t="shared" si="227"/>
        <v>0</v>
      </c>
      <c r="AA268" s="307">
        <f t="shared" si="227"/>
        <v>0</v>
      </c>
      <c r="AB268" s="307">
        <f t="shared" si="227"/>
        <v>0</v>
      </c>
      <c r="AC268" s="307">
        <f t="shared" si="227"/>
        <v>0</v>
      </c>
      <c r="AD268" s="307">
        <f t="shared" si="227"/>
        <v>0</v>
      </c>
      <c r="AE268" s="307">
        <f t="shared" si="227"/>
        <v>0</v>
      </c>
      <c r="AF268" s="307">
        <f t="shared" si="227"/>
        <v>0</v>
      </c>
      <c r="AG268" s="307">
        <f t="shared" si="227"/>
        <v>0</v>
      </c>
      <c r="AH268" s="307">
        <f t="shared" si="226"/>
        <v>0</v>
      </c>
      <c r="AI268" s="307">
        <f t="shared" si="226"/>
        <v>0</v>
      </c>
      <c r="AJ268" s="307">
        <f t="shared" si="226"/>
        <v>0</v>
      </c>
      <c r="AK268" s="307">
        <f t="shared" si="226"/>
        <v>0</v>
      </c>
      <c r="AL268" s="307">
        <f t="shared" si="226"/>
        <v>0</v>
      </c>
      <c r="AM268" s="307">
        <f t="shared" si="226"/>
        <v>0</v>
      </c>
      <c r="AN268" s="307">
        <f t="shared" si="226"/>
        <v>0</v>
      </c>
      <c r="AO268" s="307">
        <f t="shared" si="226"/>
        <v>0</v>
      </c>
      <c r="AP268" s="307">
        <f t="shared" si="226"/>
        <v>0</v>
      </c>
      <c r="AQ268" s="307">
        <f t="shared" si="226"/>
        <v>0</v>
      </c>
      <c r="AR268" s="307"/>
      <c r="AS268" s="307"/>
      <c r="AT268" s="307"/>
      <c r="AU268" s="307"/>
      <c r="AV268" s="307"/>
      <c r="AW268" s="307"/>
      <c r="AX268" s="307"/>
      <c r="AY268" s="307"/>
      <c r="AZ268" s="307"/>
      <c r="BA268" s="307"/>
      <c r="BB268" s="307"/>
      <c r="BC268" s="308"/>
      <c r="BK268" s="309">
        <v>0</v>
      </c>
      <c r="BL268" s="308">
        <f t="shared" si="222"/>
        <v>14397</v>
      </c>
      <c r="BM268" s="309">
        <v>0</v>
      </c>
      <c r="BN268" s="308">
        <f t="shared" si="223"/>
        <v>0</v>
      </c>
      <c r="BO268" s="308">
        <v>0</v>
      </c>
      <c r="BP268" s="308">
        <f t="shared" si="224"/>
        <v>0</v>
      </c>
    </row>
    <row r="269" spans="1:68" ht="12" thickBot="1">
      <c r="A269" s="301" t="s">
        <v>29</v>
      </c>
      <c r="B269" s="308">
        <f>SUM(B257:B268)</f>
        <v>0</v>
      </c>
      <c r="C269" s="308">
        <f t="shared" ref="C269:AQ269" si="228">SUM(C257:C268)</f>
        <v>0</v>
      </c>
      <c r="D269" s="308">
        <f t="shared" si="228"/>
        <v>0</v>
      </c>
      <c r="E269" s="308">
        <f t="shared" si="228"/>
        <v>0</v>
      </c>
      <c r="F269" s="308">
        <f t="shared" si="228"/>
        <v>0</v>
      </c>
      <c r="G269" s="308">
        <f t="shared" si="228"/>
        <v>0</v>
      </c>
      <c r="H269" s="308">
        <f t="shared" si="228"/>
        <v>0</v>
      </c>
      <c r="I269" s="308">
        <f t="shared" si="228"/>
        <v>0</v>
      </c>
      <c r="J269" s="308">
        <f t="shared" si="228"/>
        <v>0</v>
      </c>
      <c r="K269" s="308">
        <f t="shared" si="228"/>
        <v>0</v>
      </c>
      <c r="L269" s="308">
        <f t="shared" si="228"/>
        <v>0</v>
      </c>
      <c r="M269" s="308">
        <f t="shared" si="228"/>
        <v>0</v>
      </c>
      <c r="N269" s="308">
        <f t="shared" si="228"/>
        <v>0</v>
      </c>
      <c r="O269" s="308">
        <f t="shared" si="228"/>
        <v>1825308</v>
      </c>
      <c r="P269" s="308">
        <f t="shared" si="228"/>
        <v>38123</v>
      </c>
      <c r="Q269" s="307">
        <f t="shared" si="228"/>
        <v>0</v>
      </c>
      <c r="R269" s="307">
        <f t="shared" si="228"/>
        <v>0</v>
      </c>
      <c r="S269" s="307">
        <f t="shared" si="228"/>
        <v>0</v>
      </c>
      <c r="T269" s="307">
        <f t="shared" si="228"/>
        <v>0</v>
      </c>
      <c r="U269" s="307">
        <f t="shared" si="228"/>
        <v>0</v>
      </c>
      <c r="V269" s="307">
        <f t="shared" si="228"/>
        <v>0</v>
      </c>
      <c r="W269" s="307">
        <f t="shared" si="228"/>
        <v>0</v>
      </c>
      <c r="X269" s="307">
        <f t="shared" si="228"/>
        <v>0</v>
      </c>
      <c r="Y269" s="307">
        <f t="shared" si="228"/>
        <v>0</v>
      </c>
      <c r="Z269" s="307">
        <f t="shared" si="228"/>
        <v>0</v>
      </c>
      <c r="AA269" s="307">
        <f t="shared" si="228"/>
        <v>0</v>
      </c>
      <c r="AB269" s="307">
        <f t="shared" si="228"/>
        <v>0</v>
      </c>
      <c r="AC269" s="307">
        <f t="shared" si="228"/>
        <v>0</v>
      </c>
      <c r="AD269" s="307">
        <f t="shared" si="228"/>
        <v>0</v>
      </c>
      <c r="AE269" s="307">
        <f t="shared" si="228"/>
        <v>0</v>
      </c>
      <c r="AF269" s="307">
        <f t="shared" si="228"/>
        <v>0</v>
      </c>
      <c r="AG269" s="307">
        <f t="shared" si="228"/>
        <v>0</v>
      </c>
      <c r="AH269" s="307">
        <f t="shared" si="228"/>
        <v>0</v>
      </c>
      <c r="AI269" s="307">
        <f t="shared" si="228"/>
        <v>0</v>
      </c>
      <c r="AJ269" s="307">
        <f t="shared" si="228"/>
        <v>0</v>
      </c>
      <c r="AK269" s="307">
        <f t="shared" si="228"/>
        <v>0</v>
      </c>
      <c r="AL269" s="307">
        <f t="shared" si="228"/>
        <v>0</v>
      </c>
      <c r="AM269" s="307">
        <f t="shared" si="228"/>
        <v>0</v>
      </c>
      <c r="AN269" s="307">
        <f t="shared" si="228"/>
        <v>0</v>
      </c>
      <c r="AO269" s="307">
        <f t="shared" si="228"/>
        <v>0</v>
      </c>
      <c r="AP269" s="307">
        <f t="shared" si="228"/>
        <v>0</v>
      </c>
      <c r="AQ269" s="307">
        <f t="shared" si="228"/>
        <v>0</v>
      </c>
      <c r="AR269" s="307"/>
      <c r="AS269" s="307"/>
      <c r="AT269" s="307"/>
      <c r="AU269" s="307"/>
      <c r="AV269" s="307"/>
      <c r="AW269" s="307"/>
      <c r="AX269" s="307"/>
      <c r="AY269" s="307"/>
      <c r="AZ269" s="307"/>
      <c r="BA269" s="307"/>
      <c r="BB269" s="307"/>
      <c r="BC269" s="308"/>
      <c r="BK269" s="309">
        <v>1361133</v>
      </c>
      <c r="BL269" s="308">
        <f t="shared" si="222"/>
        <v>464175</v>
      </c>
      <c r="BM269" s="309">
        <v>38123</v>
      </c>
      <c r="BN269" s="308">
        <f t="shared" si="223"/>
        <v>0</v>
      </c>
      <c r="BO269" s="308">
        <v>0</v>
      </c>
      <c r="BP269" s="308">
        <f t="shared" si="224"/>
        <v>0</v>
      </c>
    </row>
    <row r="270" spans="1:68">
      <c r="A270" s="334"/>
      <c r="B270" s="334"/>
      <c r="C270" s="334"/>
      <c r="D270" s="334"/>
      <c r="E270" s="334"/>
      <c r="F270" s="334"/>
      <c r="G270" s="334"/>
      <c r="H270" s="334"/>
      <c r="I270" s="334"/>
      <c r="J270" s="334"/>
      <c r="K270" s="334"/>
      <c r="L270" s="334"/>
      <c r="M270" s="334"/>
      <c r="N270" s="334"/>
      <c r="O270" s="334"/>
      <c r="P270" s="334"/>
      <c r="Q270" s="334"/>
      <c r="R270" s="334"/>
      <c r="S270" s="334"/>
      <c r="T270" s="334"/>
      <c r="U270" s="334"/>
      <c r="V270" s="334"/>
      <c r="W270" s="334"/>
      <c r="X270" s="334"/>
      <c r="Y270" s="334"/>
      <c r="Z270" s="334"/>
      <c r="AA270" s="334"/>
      <c r="AB270" s="334"/>
      <c r="AC270" s="334"/>
      <c r="AD270" s="334"/>
      <c r="AE270" s="334"/>
      <c r="AF270" s="334"/>
      <c r="AG270" s="334"/>
      <c r="AH270" s="334"/>
      <c r="AI270" s="334"/>
      <c r="AJ270" s="334"/>
      <c r="AK270" s="334"/>
      <c r="AL270" s="334"/>
      <c r="AM270" s="334"/>
      <c r="AN270" s="334"/>
      <c r="AO270" s="334"/>
      <c r="AP270" s="334"/>
      <c r="AQ270" s="334"/>
      <c r="BC270" s="308"/>
    </row>
    <row r="271" spans="1:68" ht="12" thickBot="1">
      <c r="A271" s="300" t="s">
        <v>504</v>
      </c>
      <c r="BC271" s="308" t="s">
        <v>478</v>
      </c>
    </row>
    <row r="272" spans="1:68" ht="12" thickBot="1">
      <c r="A272" s="328"/>
      <c r="B272" s="329">
        <f>B2</f>
        <v>2010</v>
      </c>
      <c r="C272" s="329">
        <f t="shared" ref="C272:AQ272" si="229">C2</f>
        <v>2011</v>
      </c>
      <c r="D272" s="329">
        <f t="shared" si="229"/>
        <v>2012</v>
      </c>
      <c r="E272" s="329">
        <f t="shared" si="229"/>
        <v>2013</v>
      </c>
      <c r="F272" s="329">
        <f t="shared" si="229"/>
        <v>2014</v>
      </c>
      <c r="G272" s="329">
        <f t="shared" si="229"/>
        <v>2015</v>
      </c>
      <c r="H272" s="329">
        <f t="shared" si="229"/>
        <v>2016</v>
      </c>
      <c r="I272" s="329">
        <f t="shared" si="229"/>
        <v>2017</v>
      </c>
      <c r="J272" s="329">
        <f t="shared" si="229"/>
        <v>2018</v>
      </c>
      <c r="K272" s="329">
        <f t="shared" si="229"/>
        <v>2019</v>
      </c>
      <c r="L272" s="329">
        <f t="shared" si="229"/>
        <v>2020</v>
      </c>
      <c r="M272" s="329">
        <f t="shared" si="229"/>
        <v>2021</v>
      </c>
      <c r="N272" s="329">
        <f t="shared" si="229"/>
        <v>2022</v>
      </c>
      <c r="O272" s="329">
        <f t="shared" si="229"/>
        <v>2023</v>
      </c>
      <c r="P272" s="329">
        <f t="shared" si="229"/>
        <v>2024</v>
      </c>
      <c r="Q272" s="329">
        <f t="shared" si="229"/>
        <v>2025</v>
      </c>
      <c r="R272" s="329">
        <f t="shared" si="229"/>
        <v>2026</v>
      </c>
      <c r="S272" s="329">
        <f t="shared" si="229"/>
        <v>2027</v>
      </c>
      <c r="T272" s="329">
        <f t="shared" si="229"/>
        <v>2028</v>
      </c>
      <c r="U272" s="329">
        <f t="shared" si="229"/>
        <v>2029</v>
      </c>
      <c r="V272" s="329">
        <f t="shared" si="229"/>
        <v>2030</v>
      </c>
      <c r="W272" s="329">
        <f t="shared" si="229"/>
        <v>2031</v>
      </c>
      <c r="X272" s="329">
        <f t="shared" si="229"/>
        <v>2032</v>
      </c>
      <c r="Y272" s="329">
        <f t="shared" si="229"/>
        <v>2033</v>
      </c>
      <c r="Z272" s="329">
        <f t="shared" si="229"/>
        <v>2034</v>
      </c>
      <c r="AA272" s="329">
        <f t="shared" si="229"/>
        <v>2035</v>
      </c>
      <c r="AB272" s="329">
        <f t="shared" si="229"/>
        <v>2036</v>
      </c>
      <c r="AC272" s="329">
        <f t="shared" si="229"/>
        <v>2037</v>
      </c>
      <c r="AD272" s="329">
        <f t="shared" si="229"/>
        <v>2038</v>
      </c>
      <c r="AE272" s="329">
        <f t="shared" si="229"/>
        <v>2039</v>
      </c>
      <c r="AF272" s="329">
        <f t="shared" si="229"/>
        <v>2040</v>
      </c>
      <c r="AG272" s="329">
        <f t="shared" si="229"/>
        <v>2041</v>
      </c>
      <c r="AH272" s="329">
        <f t="shared" si="229"/>
        <v>2042</v>
      </c>
      <c r="AI272" s="329">
        <f t="shared" si="229"/>
        <v>2043</v>
      </c>
      <c r="AJ272" s="329">
        <f t="shared" si="229"/>
        <v>2044</v>
      </c>
      <c r="AK272" s="329">
        <f t="shared" si="229"/>
        <v>2045</v>
      </c>
      <c r="AL272" s="329">
        <f t="shared" si="229"/>
        <v>2046</v>
      </c>
      <c r="AM272" s="329">
        <f t="shared" si="229"/>
        <v>2047</v>
      </c>
      <c r="AN272" s="329">
        <f t="shared" si="229"/>
        <v>2048</v>
      </c>
      <c r="AO272" s="329">
        <f t="shared" si="229"/>
        <v>2049</v>
      </c>
      <c r="AP272" s="329">
        <f t="shared" si="229"/>
        <v>2050</v>
      </c>
      <c r="AQ272" s="329">
        <f t="shared" si="229"/>
        <v>2051</v>
      </c>
      <c r="AR272" s="300"/>
      <c r="AS272" s="300"/>
      <c r="AT272" s="300"/>
      <c r="AU272" s="300"/>
      <c r="AV272" s="300"/>
      <c r="AW272" s="300"/>
      <c r="AX272" s="300"/>
      <c r="AY272" s="300"/>
      <c r="AZ272" s="300"/>
      <c r="BA272" s="300"/>
      <c r="BB272" s="300"/>
      <c r="BC272" s="308"/>
    </row>
    <row r="273" spans="1:68">
      <c r="A273" s="301" t="s">
        <v>43</v>
      </c>
      <c r="B273" s="308">
        <f>'Monthly D6 Gallon Data'!$O4</f>
        <v>0</v>
      </c>
      <c r="C273" s="308">
        <f>'Monthly D6 Gallon Data'!$O16</f>
        <v>0</v>
      </c>
      <c r="D273" s="308">
        <f>'Monthly D6 Gallon Data'!$O28</f>
        <v>0</v>
      </c>
      <c r="E273" s="308">
        <f>'Monthly D6 Gallon Data'!$O40</f>
        <v>0</v>
      </c>
      <c r="F273" s="308">
        <f>'Monthly D6 Gallon Data'!$O52</f>
        <v>0</v>
      </c>
      <c r="G273" s="308">
        <f>'Monthly D6 Gallon Data'!$O64</f>
        <v>0</v>
      </c>
      <c r="H273" s="308">
        <f>'Monthly D6 Gallon Data'!$O76</f>
        <v>0</v>
      </c>
      <c r="I273" s="308">
        <f>'Monthly D6 Gallon Data'!$O88</f>
        <v>0</v>
      </c>
      <c r="J273" s="308">
        <f>'Monthly D6 Gallon Data'!$O100</f>
        <v>0</v>
      </c>
      <c r="K273" s="308">
        <f>'Monthly D6 Gallon Data'!$O112</f>
        <v>0</v>
      </c>
      <c r="L273" s="308">
        <f>'Monthly D6 Gallon Data'!$O124</f>
        <v>0</v>
      </c>
      <c r="M273" s="308">
        <f>'Monthly D6 Gallon Data'!$O136</f>
        <v>0</v>
      </c>
      <c r="N273" s="308">
        <f>'Monthly D6 Gallon Data'!$O148</f>
        <v>0</v>
      </c>
      <c r="O273" s="308">
        <f>'Monthly D6 Gallon Data'!$O160</f>
        <v>0</v>
      </c>
      <c r="P273" s="308">
        <f>'Monthly D6 Gallon Data'!$O172</f>
        <v>0</v>
      </c>
      <c r="Q273" s="308">
        <f>'Monthly D6 Gallon Data'!$O184</f>
        <v>0</v>
      </c>
      <c r="R273" s="307">
        <f>'Monthly D6 Gallon Data'!$O184</f>
        <v>0</v>
      </c>
      <c r="S273" s="307">
        <f>'Monthly D6 Gallon Data'!$O184</f>
        <v>0</v>
      </c>
      <c r="T273" s="307">
        <f>'Monthly D6 Gallon Data'!$O184</f>
        <v>0</v>
      </c>
      <c r="U273" s="307">
        <f>'Monthly D6 Gallon Data'!$O184</f>
        <v>0</v>
      </c>
      <c r="V273" s="307">
        <f>'Monthly D6 Gallon Data'!$O184</f>
        <v>0</v>
      </c>
      <c r="W273" s="307">
        <f>'Monthly D6 Gallon Data'!$O184</f>
        <v>0</v>
      </c>
      <c r="X273" s="307">
        <f>'Monthly D6 Gallon Data'!$O184</f>
        <v>0</v>
      </c>
      <c r="Y273" s="307">
        <f>'Monthly D6 Gallon Data'!$O184</f>
        <v>0</v>
      </c>
      <c r="Z273" s="307">
        <f>'Monthly D6 Gallon Data'!$O184</f>
        <v>0</v>
      </c>
      <c r="AA273" s="307">
        <f>'Monthly D6 Gallon Data'!$O184</f>
        <v>0</v>
      </c>
      <c r="AB273" s="307">
        <f>'Monthly D6 Gallon Data'!$O184</f>
        <v>0</v>
      </c>
      <c r="AC273" s="307">
        <f>'Monthly D6 Gallon Data'!$O184</f>
        <v>0</v>
      </c>
      <c r="AD273" s="307">
        <f>'Monthly D6 Gallon Data'!$O184</f>
        <v>0</v>
      </c>
      <c r="AE273" s="307">
        <f>'Monthly D6 Gallon Data'!$O184</f>
        <v>0</v>
      </c>
      <c r="AF273" s="307">
        <f>'Monthly D6 Gallon Data'!$O184</f>
        <v>0</v>
      </c>
      <c r="AG273" s="307">
        <f>'Monthly D6 Gallon Data'!$O184</f>
        <v>0</v>
      </c>
      <c r="AH273" s="307">
        <f>'Monthly D6 Gallon Data'!$O184</f>
        <v>0</v>
      </c>
      <c r="AI273" s="307">
        <f>'Monthly D6 Gallon Data'!$O184</f>
        <v>0</v>
      </c>
      <c r="AJ273" s="307">
        <f>'Monthly D6 Gallon Data'!$O184</f>
        <v>0</v>
      </c>
      <c r="AK273" s="307">
        <f>'Monthly D6 Gallon Data'!$O184</f>
        <v>0</v>
      </c>
      <c r="AL273" s="307">
        <f>'Monthly D6 Gallon Data'!$O184</f>
        <v>0</v>
      </c>
      <c r="AM273" s="307">
        <f>'Monthly D6 Gallon Data'!$O184</f>
        <v>0</v>
      </c>
      <c r="AN273" s="307">
        <f>'Monthly D6 Gallon Data'!$O184</f>
        <v>0</v>
      </c>
      <c r="AO273" s="307">
        <f>'Monthly D6 Gallon Data'!$O184</f>
        <v>0</v>
      </c>
      <c r="AP273" s="307">
        <f>'Monthly D6 Gallon Data'!$O184</f>
        <v>0</v>
      </c>
      <c r="AQ273" s="307">
        <f>'Monthly D6 Gallon Data'!$O184</f>
        <v>0</v>
      </c>
      <c r="AR273" s="307"/>
      <c r="AS273" s="307"/>
      <c r="AT273" s="307"/>
      <c r="AU273" s="307"/>
      <c r="AV273" s="307"/>
      <c r="AW273" s="307"/>
      <c r="AX273" s="307"/>
      <c r="AY273" s="307"/>
      <c r="AZ273" s="307"/>
      <c r="BA273" s="307"/>
      <c r="BB273" s="307"/>
      <c r="BC273" s="308"/>
      <c r="BD273" s="405">
        <f>AVERAGE('D4 Gallon Forecast'!K341:O341)/AVERAGE('D4 Gallon Forecast'!$K$353:$O$353)</f>
        <v>3.1962014131586836E-2</v>
      </c>
      <c r="BK273" s="308">
        <v>0</v>
      </c>
      <c r="BL273" s="308">
        <f t="shared" ref="BL273:BL285" si="230">O273-BK273</f>
        <v>0</v>
      </c>
      <c r="BM273" s="308">
        <v>0</v>
      </c>
      <c r="BN273" s="308">
        <f t="shared" ref="BN273:BN285" si="231">P273-BM273</f>
        <v>0</v>
      </c>
      <c r="BO273" s="308">
        <v>0</v>
      </c>
      <c r="BP273" s="308">
        <f t="shared" ref="BP273:BP285" si="232">BO273-Q273</f>
        <v>0</v>
      </c>
    </row>
    <row r="274" spans="1:68">
      <c r="A274" s="301" t="s">
        <v>44</v>
      </c>
      <c r="B274" s="308">
        <f>'Monthly D6 Gallon Data'!$O5</f>
        <v>0</v>
      </c>
      <c r="C274" s="308">
        <f>'Monthly D6 Gallon Data'!$O17</f>
        <v>0</v>
      </c>
      <c r="D274" s="308">
        <f>'Monthly D6 Gallon Data'!$O29</f>
        <v>0</v>
      </c>
      <c r="E274" s="308">
        <f>'Monthly D6 Gallon Data'!$O41</f>
        <v>0</v>
      </c>
      <c r="F274" s="308">
        <f>'Monthly D6 Gallon Data'!$O53</f>
        <v>0</v>
      </c>
      <c r="G274" s="308">
        <f>'Monthly D6 Gallon Data'!$O65</f>
        <v>0</v>
      </c>
      <c r="H274" s="308">
        <f>'Monthly D6 Gallon Data'!$O77</f>
        <v>0</v>
      </c>
      <c r="I274" s="308">
        <f>'Monthly D6 Gallon Data'!$O89</f>
        <v>0</v>
      </c>
      <c r="J274" s="308">
        <f>'Monthly D6 Gallon Data'!$O101</f>
        <v>0</v>
      </c>
      <c r="K274" s="308">
        <f>'Monthly D6 Gallon Data'!$O113</f>
        <v>0</v>
      </c>
      <c r="L274" s="308">
        <f>'Monthly D6 Gallon Data'!$O125</f>
        <v>0</v>
      </c>
      <c r="M274" s="308">
        <f>'Monthly D6 Gallon Data'!$O137</f>
        <v>0</v>
      </c>
      <c r="N274" s="308">
        <f>'Monthly D6 Gallon Data'!$O149</f>
        <v>0</v>
      </c>
      <c r="O274" s="308">
        <f>'Monthly D6 Gallon Data'!$O161</f>
        <v>0</v>
      </c>
      <c r="P274" s="308">
        <f>'Monthly D6 Gallon Data'!$O173</f>
        <v>0</v>
      </c>
      <c r="Q274" s="332">
        <f>'Monthly D6 Gallon Data'!$O185</f>
        <v>0</v>
      </c>
      <c r="R274" s="307">
        <f>'Monthly D6 Gallon Data'!$O185</f>
        <v>0</v>
      </c>
      <c r="S274" s="307">
        <f>'Monthly D6 Gallon Data'!$O185</f>
        <v>0</v>
      </c>
      <c r="T274" s="307">
        <f>'Monthly D6 Gallon Data'!$O185</f>
        <v>0</v>
      </c>
      <c r="U274" s="307">
        <f>'Monthly D6 Gallon Data'!$O185</f>
        <v>0</v>
      </c>
      <c r="V274" s="307">
        <f>'Monthly D6 Gallon Data'!$O185</f>
        <v>0</v>
      </c>
      <c r="W274" s="307">
        <f>'Monthly D6 Gallon Data'!$O185</f>
        <v>0</v>
      </c>
      <c r="X274" s="307">
        <f>'Monthly D6 Gallon Data'!$O185</f>
        <v>0</v>
      </c>
      <c r="Y274" s="307">
        <f>'Monthly D6 Gallon Data'!$O185</f>
        <v>0</v>
      </c>
      <c r="Z274" s="307">
        <f>'Monthly D6 Gallon Data'!$O185</f>
        <v>0</v>
      </c>
      <c r="AA274" s="307">
        <f>'Monthly D6 Gallon Data'!$O185</f>
        <v>0</v>
      </c>
      <c r="AB274" s="307">
        <f>'Monthly D6 Gallon Data'!$O185</f>
        <v>0</v>
      </c>
      <c r="AC274" s="307">
        <f>'Monthly D6 Gallon Data'!$O185</f>
        <v>0</v>
      </c>
      <c r="AD274" s="307">
        <f>'Monthly D6 Gallon Data'!$O185</f>
        <v>0</v>
      </c>
      <c r="AE274" s="307">
        <f>'Monthly D6 Gallon Data'!$O185</f>
        <v>0</v>
      </c>
      <c r="AF274" s="307">
        <f>'Monthly D6 Gallon Data'!$O185</f>
        <v>0</v>
      </c>
      <c r="AG274" s="307">
        <f>'Monthly D6 Gallon Data'!$O185</f>
        <v>0</v>
      </c>
      <c r="AH274" s="307">
        <f>'Monthly D6 Gallon Data'!$O185</f>
        <v>0</v>
      </c>
      <c r="AI274" s="307">
        <f>'Monthly D6 Gallon Data'!$O185</f>
        <v>0</v>
      </c>
      <c r="AJ274" s="307">
        <f>'Monthly D6 Gallon Data'!$O185</f>
        <v>0</v>
      </c>
      <c r="AK274" s="307">
        <f>'Monthly D6 Gallon Data'!$O185</f>
        <v>0</v>
      </c>
      <c r="AL274" s="307">
        <f>'Monthly D6 Gallon Data'!$O185</f>
        <v>0</v>
      </c>
      <c r="AM274" s="307">
        <f>'Monthly D6 Gallon Data'!$O185</f>
        <v>0</v>
      </c>
      <c r="AN274" s="307">
        <f>'Monthly D6 Gallon Data'!$O185</f>
        <v>0</v>
      </c>
      <c r="AO274" s="307">
        <f>'Monthly D6 Gallon Data'!$O185</f>
        <v>0</v>
      </c>
      <c r="AP274" s="307">
        <f>'Monthly D6 Gallon Data'!$O185</f>
        <v>0</v>
      </c>
      <c r="AQ274" s="307">
        <f>'Monthly D6 Gallon Data'!$O185</f>
        <v>0</v>
      </c>
      <c r="AR274" s="307"/>
      <c r="AS274" s="307"/>
      <c r="AT274" s="307"/>
      <c r="AU274" s="307"/>
      <c r="AV274" s="307"/>
      <c r="AW274" s="307"/>
      <c r="AX274" s="307"/>
      <c r="AY274" s="307"/>
      <c r="AZ274" s="307"/>
      <c r="BA274" s="307"/>
      <c r="BB274" s="307"/>
      <c r="BC274" s="308"/>
      <c r="BD274" s="405">
        <f>AVERAGE('D4 Gallon Forecast'!K342:O342)/AVERAGE('D4 Gallon Forecast'!$K$353:$O$353)</f>
        <v>9.8448154210470845E-2</v>
      </c>
      <c r="BK274" s="308">
        <v>0</v>
      </c>
      <c r="BL274" s="308">
        <f t="shared" si="230"/>
        <v>0</v>
      </c>
      <c r="BM274" s="308">
        <v>0</v>
      </c>
      <c r="BN274" s="308">
        <f t="shared" si="231"/>
        <v>0</v>
      </c>
      <c r="BO274" s="308">
        <v>0</v>
      </c>
      <c r="BP274" s="308">
        <f t="shared" si="232"/>
        <v>0</v>
      </c>
    </row>
    <row r="275" spans="1:68">
      <c r="A275" s="301" t="s">
        <v>45</v>
      </c>
      <c r="B275" s="308">
        <f>'Monthly D6 Gallon Data'!$O6</f>
        <v>0</v>
      </c>
      <c r="C275" s="308">
        <f>'Monthly D6 Gallon Data'!$O18</f>
        <v>0</v>
      </c>
      <c r="D275" s="308">
        <f>'Monthly D6 Gallon Data'!$O30</f>
        <v>0</v>
      </c>
      <c r="E275" s="308">
        <f>'Monthly D6 Gallon Data'!$O42</f>
        <v>0</v>
      </c>
      <c r="F275" s="308">
        <f>'Monthly D6 Gallon Data'!$O54</f>
        <v>0</v>
      </c>
      <c r="G275" s="308">
        <f>'Monthly D6 Gallon Data'!$O66</f>
        <v>0</v>
      </c>
      <c r="H275" s="308">
        <f>'Monthly D6 Gallon Data'!$O78</f>
        <v>0</v>
      </c>
      <c r="I275" s="308">
        <f>'Monthly D6 Gallon Data'!$O90</f>
        <v>0</v>
      </c>
      <c r="J275" s="308">
        <f>'Monthly D6 Gallon Data'!$O102</f>
        <v>0</v>
      </c>
      <c r="K275" s="308">
        <f>'Monthly D6 Gallon Data'!$O114</f>
        <v>0</v>
      </c>
      <c r="L275" s="308">
        <f>'Monthly D6 Gallon Data'!$O126</f>
        <v>0</v>
      </c>
      <c r="M275" s="308">
        <f>'Monthly D6 Gallon Data'!$O138</f>
        <v>0</v>
      </c>
      <c r="N275" s="308">
        <f>'Monthly D6 Gallon Data'!$O150</f>
        <v>0</v>
      </c>
      <c r="O275" s="308">
        <f>'Monthly D6 Gallon Data'!$O162</f>
        <v>0</v>
      </c>
      <c r="P275" s="308">
        <f>'Monthly D6 Gallon Data'!$O174</f>
        <v>0</v>
      </c>
      <c r="Q275" s="332">
        <f>'Monthly D6 Gallon Data'!$O186</f>
        <v>0</v>
      </c>
      <c r="R275" s="307">
        <f>'Monthly D6 Gallon Data'!$O186</f>
        <v>0</v>
      </c>
      <c r="S275" s="307">
        <f>'Monthly D6 Gallon Data'!$O186</f>
        <v>0</v>
      </c>
      <c r="T275" s="307">
        <f>'Monthly D6 Gallon Data'!$O186</f>
        <v>0</v>
      </c>
      <c r="U275" s="307">
        <f>'Monthly D6 Gallon Data'!$O186</f>
        <v>0</v>
      </c>
      <c r="V275" s="307">
        <f>'Monthly D6 Gallon Data'!$O186</f>
        <v>0</v>
      </c>
      <c r="W275" s="307">
        <f>'Monthly D6 Gallon Data'!$O186</f>
        <v>0</v>
      </c>
      <c r="X275" s="307">
        <f>'Monthly D6 Gallon Data'!$O186</f>
        <v>0</v>
      </c>
      <c r="Y275" s="307">
        <f>'Monthly D6 Gallon Data'!$O186</f>
        <v>0</v>
      </c>
      <c r="Z275" s="307">
        <f>'Monthly D6 Gallon Data'!$O186</f>
        <v>0</v>
      </c>
      <c r="AA275" s="307">
        <f>'Monthly D6 Gallon Data'!$O186</f>
        <v>0</v>
      </c>
      <c r="AB275" s="307">
        <f>'Monthly D6 Gallon Data'!$O186</f>
        <v>0</v>
      </c>
      <c r="AC275" s="307">
        <f>'Monthly D6 Gallon Data'!$O186</f>
        <v>0</v>
      </c>
      <c r="AD275" s="307">
        <f>'Monthly D6 Gallon Data'!$O186</f>
        <v>0</v>
      </c>
      <c r="AE275" s="307">
        <f>'Monthly D6 Gallon Data'!$O186</f>
        <v>0</v>
      </c>
      <c r="AF275" s="307">
        <f>'Monthly D6 Gallon Data'!$O186</f>
        <v>0</v>
      </c>
      <c r="AG275" s="307">
        <f>'Monthly D6 Gallon Data'!$O186</f>
        <v>0</v>
      </c>
      <c r="AH275" s="307">
        <f>'Monthly D6 Gallon Data'!$O186</f>
        <v>0</v>
      </c>
      <c r="AI275" s="307">
        <f>'Monthly D6 Gallon Data'!$O186</f>
        <v>0</v>
      </c>
      <c r="AJ275" s="307">
        <f>'Monthly D6 Gallon Data'!$O186</f>
        <v>0</v>
      </c>
      <c r="AK275" s="307">
        <f>'Monthly D6 Gallon Data'!$O186</f>
        <v>0</v>
      </c>
      <c r="AL275" s="307">
        <f>'Monthly D6 Gallon Data'!$O186</f>
        <v>0</v>
      </c>
      <c r="AM275" s="307">
        <f>'Monthly D6 Gallon Data'!$O186</f>
        <v>0</v>
      </c>
      <c r="AN275" s="307">
        <f>'Monthly D6 Gallon Data'!$O186</f>
        <v>0</v>
      </c>
      <c r="AO275" s="307">
        <f>'Monthly D6 Gallon Data'!$O186</f>
        <v>0</v>
      </c>
      <c r="AP275" s="307">
        <f>'Monthly D6 Gallon Data'!$O186</f>
        <v>0</v>
      </c>
      <c r="AQ275" s="307">
        <f>'Monthly D6 Gallon Data'!$O186</f>
        <v>0</v>
      </c>
      <c r="AR275" s="307"/>
      <c r="AS275" s="307"/>
      <c r="AT275" s="307"/>
      <c r="AU275" s="307"/>
      <c r="AV275" s="307"/>
      <c r="AW275" s="307"/>
      <c r="AX275" s="307"/>
      <c r="AY275" s="307"/>
      <c r="AZ275" s="307"/>
      <c r="BA275" s="307"/>
      <c r="BB275" s="307"/>
      <c r="BC275" s="308"/>
      <c r="BD275" s="405">
        <f>AVERAGE('D4 Gallon Forecast'!K343:O343)/AVERAGE('D4 Gallon Forecast'!$K$353:$O$353)</f>
        <v>8.0048648258826779E-2</v>
      </c>
      <c r="BK275" s="308">
        <v>0</v>
      </c>
      <c r="BL275" s="308">
        <f t="shared" si="230"/>
        <v>0</v>
      </c>
      <c r="BM275" s="308">
        <v>0</v>
      </c>
      <c r="BN275" s="308">
        <f t="shared" si="231"/>
        <v>0</v>
      </c>
      <c r="BO275" s="308">
        <v>0</v>
      </c>
      <c r="BP275" s="308">
        <f t="shared" si="232"/>
        <v>0</v>
      </c>
    </row>
    <row r="276" spans="1:68">
      <c r="A276" s="301" t="s">
        <v>46</v>
      </c>
      <c r="B276" s="308">
        <f>'Monthly D6 Gallon Data'!$O7</f>
        <v>0</v>
      </c>
      <c r="C276" s="308">
        <f>'Monthly D6 Gallon Data'!$O19</f>
        <v>0</v>
      </c>
      <c r="D276" s="308">
        <f>'Monthly D6 Gallon Data'!$O31</f>
        <v>0</v>
      </c>
      <c r="E276" s="308">
        <f>'Monthly D6 Gallon Data'!$O43</f>
        <v>0</v>
      </c>
      <c r="F276" s="308">
        <f>'Monthly D6 Gallon Data'!$O55</f>
        <v>0</v>
      </c>
      <c r="G276" s="308">
        <f>'Monthly D6 Gallon Data'!$O67</f>
        <v>0</v>
      </c>
      <c r="H276" s="308">
        <f>'Monthly D6 Gallon Data'!$O79</f>
        <v>0</v>
      </c>
      <c r="I276" s="308">
        <f>'Monthly D6 Gallon Data'!$O91</f>
        <v>0</v>
      </c>
      <c r="J276" s="308">
        <f>'Monthly D6 Gallon Data'!$O103</f>
        <v>0</v>
      </c>
      <c r="K276" s="308">
        <f>'Monthly D6 Gallon Data'!$O115</f>
        <v>0</v>
      </c>
      <c r="L276" s="308">
        <f>'Monthly D6 Gallon Data'!$O127</f>
        <v>0</v>
      </c>
      <c r="M276" s="308">
        <f>'Monthly D6 Gallon Data'!$O139</f>
        <v>0</v>
      </c>
      <c r="N276" s="308">
        <f>'Monthly D6 Gallon Data'!$O151</f>
        <v>0</v>
      </c>
      <c r="O276" s="308">
        <f>'Monthly D6 Gallon Data'!$O163</f>
        <v>0</v>
      </c>
      <c r="P276" s="308">
        <f>'Monthly D6 Gallon Data'!$O175</f>
        <v>38123</v>
      </c>
      <c r="Q276" s="307">
        <f>'Monthly D6 Gallon Data'!$O187</f>
        <v>0</v>
      </c>
      <c r="R276" s="307">
        <f>'Monthly D6 Gallon Data'!$O187</f>
        <v>0</v>
      </c>
      <c r="S276" s="307">
        <f>'Monthly D6 Gallon Data'!$O187</f>
        <v>0</v>
      </c>
      <c r="T276" s="307">
        <f>'Monthly D6 Gallon Data'!$O187</f>
        <v>0</v>
      </c>
      <c r="U276" s="307">
        <f>'Monthly D6 Gallon Data'!$O187</f>
        <v>0</v>
      </c>
      <c r="V276" s="307">
        <f>'Monthly D6 Gallon Data'!$O187</f>
        <v>0</v>
      </c>
      <c r="W276" s="307">
        <f>'Monthly D6 Gallon Data'!$O187</f>
        <v>0</v>
      </c>
      <c r="X276" s="307">
        <f>'Monthly D6 Gallon Data'!$O187</f>
        <v>0</v>
      </c>
      <c r="Y276" s="307">
        <f>'Monthly D6 Gallon Data'!$O187</f>
        <v>0</v>
      </c>
      <c r="Z276" s="307">
        <f>'Monthly D6 Gallon Data'!$O187</f>
        <v>0</v>
      </c>
      <c r="AA276" s="307">
        <f>'Monthly D6 Gallon Data'!$O187</f>
        <v>0</v>
      </c>
      <c r="AB276" s="307">
        <f>'Monthly D6 Gallon Data'!$O187</f>
        <v>0</v>
      </c>
      <c r="AC276" s="307">
        <f>'Monthly D6 Gallon Data'!$O187</f>
        <v>0</v>
      </c>
      <c r="AD276" s="307">
        <f>'Monthly D6 Gallon Data'!$O187</f>
        <v>0</v>
      </c>
      <c r="AE276" s="307">
        <f>'Monthly D6 Gallon Data'!$O187</f>
        <v>0</v>
      </c>
      <c r="AF276" s="307">
        <f>'Monthly D6 Gallon Data'!$O187</f>
        <v>0</v>
      </c>
      <c r="AG276" s="307">
        <f>'Monthly D6 Gallon Data'!$O187</f>
        <v>0</v>
      </c>
      <c r="AH276" s="307">
        <f>'Monthly D6 Gallon Data'!$O187</f>
        <v>0</v>
      </c>
      <c r="AI276" s="307">
        <f>'Monthly D6 Gallon Data'!$O187</f>
        <v>0</v>
      </c>
      <c r="AJ276" s="307">
        <f>'Monthly D6 Gallon Data'!$O187</f>
        <v>0</v>
      </c>
      <c r="AK276" s="307">
        <f>'Monthly D6 Gallon Data'!$O187</f>
        <v>0</v>
      </c>
      <c r="AL276" s="307">
        <f>'Monthly D6 Gallon Data'!$O187</f>
        <v>0</v>
      </c>
      <c r="AM276" s="307">
        <f>'Monthly D6 Gallon Data'!$O187</f>
        <v>0</v>
      </c>
      <c r="AN276" s="307">
        <f>'Monthly D6 Gallon Data'!$O187</f>
        <v>0</v>
      </c>
      <c r="AO276" s="307">
        <f>'Monthly D6 Gallon Data'!$O187</f>
        <v>0</v>
      </c>
      <c r="AP276" s="307">
        <f>'Monthly D6 Gallon Data'!$O187</f>
        <v>0</v>
      </c>
      <c r="AQ276" s="307">
        <f>'Monthly D6 Gallon Data'!$O187</f>
        <v>0</v>
      </c>
      <c r="AR276" s="307"/>
      <c r="AS276" s="307"/>
      <c r="AT276" s="307"/>
      <c r="AU276" s="307"/>
      <c r="AV276" s="307"/>
      <c r="AW276" s="307"/>
      <c r="AX276" s="307"/>
      <c r="AY276" s="307"/>
      <c r="AZ276" s="307"/>
      <c r="BA276" s="307"/>
      <c r="BB276" s="307"/>
      <c r="BC276" s="308"/>
      <c r="BD276" s="405">
        <f>AVERAGE('D4 Gallon Forecast'!K344:O344)/AVERAGE('D4 Gallon Forecast'!$K$353:$O$353)</f>
        <v>9.6162832712863772E-2</v>
      </c>
      <c r="BK276" s="308">
        <v>0</v>
      </c>
      <c r="BL276" s="308">
        <f t="shared" si="230"/>
        <v>0</v>
      </c>
      <c r="BM276" s="308">
        <v>38123</v>
      </c>
      <c r="BN276" s="308">
        <f t="shared" si="231"/>
        <v>0</v>
      </c>
      <c r="BO276" s="308">
        <v>0</v>
      </c>
      <c r="BP276" s="308">
        <f t="shared" si="232"/>
        <v>0</v>
      </c>
    </row>
    <row r="277" spans="1:68">
      <c r="A277" s="301" t="s">
        <v>47</v>
      </c>
      <c r="B277" s="308">
        <f>'Monthly D6 Gallon Data'!$O8</f>
        <v>0</v>
      </c>
      <c r="C277" s="308">
        <f>'Monthly D6 Gallon Data'!$O20</f>
        <v>0</v>
      </c>
      <c r="D277" s="308">
        <f>'Monthly D6 Gallon Data'!$O32</f>
        <v>0</v>
      </c>
      <c r="E277" s="308">
        <f>'Monthly D6 Gallon Data'!$O44</f>
        <v>0</v>
      </c>
      <c r="F277" s="308">
        <f>'Monthly D6 Gallon Data'!$O56</f>
        <v>0</v>
      </c>
      <c r="G277" s="308">
        <f>'Monthly D6 Gallon Data'!$O68</f>
        <v>0</v>
      </c>
      <c r="H277" s="308">
        <f>'Monthly D6 Gallon Data'!$O80</f>
        <v>0</v>
      </c>
      <c r="I277" s="308">
        <f>'Monthly D6 Gallon Data'!$O92</f>
        <v>0</v>
      </c>
      <c r="J277" s="308">
        <f>'Monthly D6 Gallon Data'!$O104</f>
        <v>0</v>
      </c>
      <c r="K277" s="308">
        <f>'Monthly D6 Gallon Data'!$O116</f>
        <v>0</v>
      </c>
      <c r="L277" s="308">
        <f>'Monthly D6 Gallon Data'!$O128</f>
        <v>0</v>
      </c>
      <c r="M277" s="308">
        <f>'Monthly D6 Gallon Data'!$O140</f>
        <v>0</v>
      </c>
      <c r="N277" s="308">
        <f>'Monthly D6 Gallon Data'!$O152</f>
        <v>0</v>
      </c>
      <c r="O277" s="308">
        <f>'Monthly D6 Gallon Data'!$O164</f>
        <v>0</v>
      </c>
      <c r="P277" s="308">
        <f>'Monthly D6 Gallon Data'!$O176</f>
        <v>0</v>
      </c>
      <c r="Q277" s="307">
        <f>'Monthly D6 Gallon Data'!$O188</f>
        <v>0</v>
      </c>
      <c r="R277" s="307">
        <f>'Monthly D6 Gallon Data'!$O188</f>
        <v>0</v>
      </c>
      <c r="S277" s="307">
        <f>'Monthly D6 Gallon Data'!$O188</f>
        <v>0</v>
      </c>
      <c r="T277" s="307">
        <f>'Monthly D6 Gallon Data'!$O188</f>
        <v>0</v>
      </c>
      <c r="U277" s="307">
        <f>'Monthly D6 Gallon Data'!$O188</f>
        <v>0</v>
      </c>
      <c r="V277" s="307">
        <f>'Monthly D6 Gallon Data'!$O188</f>
        <v>0</v>
      </c>
      <c r="W277" s="307">
        <f>'Monthly D6 Gallon Data'!$O188</f>
        <v>0</v>
      </c>
      <c r="X277" s="307">
        <f>'Monthly D6 Gallon Data'!$O188</f>
        <v>0</v>
      </c>
      <c r="Y277" s="307">
        <f>'Monthly D6 Gallon Data'!$O188</f>
        <v>0</v>
      </c>
      <c r="Z277" s="307">
        <f>'Monthly D6 Gallon Data'!$O188</f>
        <v>0</v>
      </c>
      <c r="AA277" s="307">
        <f>'Monthly D6 Gallon Data'!$O188</f>
        <v>0</v>
      </c>
      <c r="AB277" s="307">
        <f>'Monthly D6 Gallon Data'!$O188</f>
        <v>0</v>
      </c>
      <c r="AC277" s="307">
        <f>'Monthly D6 Gallon Data'!$O188</f>
        <v>0</v>
      </c>
      <c r="AD277" s="307">
        <f>'Monthly D6 Gallon Data'!$O188</f>
        <v>0</v>
      </c>
      <c r="AE277" s="307">
        <f>'Monthly D6 Gallon Data'!$O188</f>
        <v>0</v>
      </c>
      <c r="AF277" s="307">
        <f>'Monthly D6 Gallon Data'!$O188</f>
        <v>0</v>
      </c>
      <c r="AG277" s="307">
        <f>'Monthly D6 Gallon Data'!$O188</f>
        <v>0</v>
      </c>
      <c r="AH277" s="307">
        <f>'Monthly D6 Gallon Data'!$O188</f>
        <v>0</v>
      </c>
      <c r="AI277" s="307">
        <f>'Monthly D6 Gallon Data'!$O188</f>
        <v>0</v>
      </c>
      <c r="AJ277" s="307">
        <f>'Monthly D6 Gallon Data'!$O188</f>
        <v>0</v>
      </c>
      <c r="AK277" s="307">
        <f>'Monthly D6 Gallon Data'!$O188</f>
        <v>0</v>
      </c>
      <c r="AL277" s="307">
        <f>'Monthly D6 Gallon Data'!$O188</f>
        <v>0</v>
      </c>
      <c r="AM277" s="307">
        <f>'Monthly D6 Gallon Data'!$O188</f>
        <v>0</v>
      </c>
      <c r="AN277" s="307">
        <f>'Monthly D6 Gallon Data'!$O188</f>
        <v>0</v>
      </c>
      <c r="AO277" s="307">
        <f>'Monthly D6 Gallon Data'!$O188</f>
        <v>0</v>
      </c>
      <c r="AP277" s="307">
        <f>'Monthly D6 Gallon Data'!$O188</f>
        <v>0</v>
      </c>
      <c r="AQ277" s="307">
        <f>'Monthly D6 Gallon Data'!$O188</f>
        <v>0</v>
      </c>
      <c r="AR277" s="307"/>
      <c r="AS277" s="307"/>
      <c r="AT277" s="307"/>
      <c r="AU277" s="307"/>
      <c r="AV277" s="307"/>
      <c r="AW277" s="307"/>
      <c r="AX277" s="307"/>
      <c r="AY277" s="307"/>
      <c r="AZ277" s="307"/>
      <c r="BA277" s="307"/>
      <c r="BB277" s="307"/>
      <c r="BC277" s="308"/>
      <c r="BD277" s="405">
        <f>AVERAGE('D4 Gallon Forecast'!K345:O345)/AVERAGE('D4 Gallon Forecast'!$K$353:$O$353)</f>
        <v>7.3649145537231314E-2</v>
      </c>
      <c r="BK277" s="308">
        <v>0</v>
      </c>
      <c r="BL277" s="308">
        <f t="shared" si="230"/>
        <v>0</v>
      </c>
      <c r="BM277" s="308">
        <v>0</v>
      </c>
      <c r="BN277" s="308">
        <f t="shared" si="231"/>
        <v>0</v>
      </c>
      <c r="BO277" s="308">
        <v>0</v>
      </c>
      <c r="BP277" s="308">
        <f t="shared" si="232"/>
        <v>0</v>
      </c>
    </row>
    <row r="278" spans="1:68">
      <c r="A278" s="301" t="s">
        <v>48</v>
      </c>
      <c r="B278" s="308">
        <f>'Monthly D6 Gallon Data'!$O9</f>
        <v>0</v>
      </c>
      <c r="C278" s="308">
        <f>'Monthly D6 Gallon Data'!$O21</f>
        <v>0</v>
      </c>
      <c r="D278" s="308">
        <f>'Monthly D6 Gallon Data'!$O33</f>
        <v>0</v>
      </c>
      <c r="E278" s="308">
        <f>'Monthly D6 Gallon Data'!$O45</f>
        <v>0</v>
      </c>
      <c r="F278" s="308">
        <f>'Monthly D6 Gallon Data'!$O57</f>
        <v>0</v>
      </c>
      <c r="G278" s="308">
        <f>'Monthly D6 Gallon Data'!$O69</f>
        <v>0</v>
      </c>
      <c r="H278" s="308">
        <f>'Monthly D6 Gallon Data'!$O81</f>
        <v>0</v>
      </c>
      <c r="I278" s="308">
        <f>'Monthly D6 Gallon Data'!$O93</f>
        <v>0</v>
      </c>
      <c r="J278" s="308">
        <f>'Monthly D6 Gallon Data'!$O105</f>
        <v>0</v>
      </c>
      <c r="K278" s="308">
        <f>'Monthly D6 Gallon Data'!$O117</f>
        <v>0</v>
      </c>
      <c r="L278" s="308">
        <f>'Monthly D6 Gallon Data'!$O129</f>
        <v>0</v>
      </c>
      <c r="M278" s="308">
        <f>'Monthly D6 Gallon Data'!$O141</f>
        <v>0</v>
      </c>
      <c r="N278" s="308">
        <f>'Monthly D6 Gallon Data'!$O153</f>
        <v>0</v>
      </c>
      <c r="O278" s="308">
        <f>'Monthly D6 Gallon Data'!$O165</f>
        <v>0</v>
      </c>
      <c r="P278" s="308">
        <f>'Monthly D6 Gallon Data'!$O177</f>
        <v>0</v>
      </c>
      <c r="Q278" s="307">
        <f>'Monthly D6 Gallon Data'!$O189</f>
        <v>0</v>
      </c>
      <c r="R278" s="307">
        <f>'Monthly D6 Gallon Data'!$O189</f>
        <v>0</v>
      </c>
      <c r="S278" s="307">
        <f>'Monthly D6 Gallon Data'!$O189</f>
        <v>0</v>
      </c>
      <c r="T278" s="307">
        <f>'Monthly D6 Gallon Data'!$O189</f>
        <v>0</v>
      </c>
      <c r="U278" s="307">
        <f>'Monthly D6 Gallon Data'!$O189</f>
        <v>0</v>
      </c>
      <c r="V278" s="307">
        <f>'Monthly D6 Gallon Data'!$O189</f>
        <v>0</v>
      </c>
      <c r="W278" s="307">
        <f>'Monthly D6 Gallon Data'!$O189</f>
        <v>0</v>
      </c>
      <c r="X278" s="307">
        <f>'Monthly D6 Gallon Data'!$O189</f>
        <v>0</v>
      </c>
      <c r="Y278" s="307">
        <f>'Monthly D6 Gallon Data'!$O189</f>
        <v>0</v>
      </c>
      <c r="Z278" s="307">
        <f>'Monthly D6 Gallon Data'!$O189</f>
        <v>0</v>
      </c>
      <c r="AA278" s="307">
        <f>'Monthly D6 Gallon Data'!$O189</f>
        <v>0</v>
      </c>
      <c r="AB278" s="307">
        <f>'Monthly D6 Gallon Data'!$O189</f>
        <v>0</v>
      </c>
      <c r="AC278" s="307">
        <f>'Monthly D6 Gallon Data'!$O189</f>
        <v>0</v>
      </c>
      <c r="AD278" s="307">
        <f>'Monthly D6 Gallon Data'!$O189</f>
        <v>0</v>
      </c>
      <c r="AE278" s="307">
        <f>'Monthly D6 Gallon Data'!$O189</f>
        <v>0</v>
      </c>
      <c r="AF278" s="307">
        <f>'Monthly D6 Gallon Data'!$O189</f>
        <v>0</v>
      </c>
      <c r="AG278" s="307">
        <f>'Monthly D6 Gallon Data'!$O189</f>
        <v>0</v>
      </c>
      <c r="AH278" s="307">
        <f>'Monthly D6 Gallon Data'!$O189</f>
        <v>0</v>
      </c>
      <c r="AI278" s="307">
        <f>'Monthly D6 Gallon Data'!$O189</f>
        <v>0</v>
      </c>
      <c r="AJ278" s="307">
        <f>'Monthly D6 Gallon Data'!$O189</f>
        <v>0</v>
      </c>
      <c r="AK278" s="307">
        <f>'Monthly D6 Gallon Data'!$O189</f>
        <v>0</v>
      </c>
      <c r="AL278" s="307">
        <f>'Monthly D6 Gallon Data'!$O189</f>
        <v>0</v>
      </c>
      <c r="AM278" s="307">
        <f>'Monthly D6 Gallon Data'!$O189</f>
        <v>0</v>
      </c>
      <c r="AN278" s="307">
        <f>'Monthly D6 Gallon Data'!$O189</f>
        <v>0</v>
      </c>
      <c r="AO278" s="307">
        <f>'Monthly D6 Gallon Data'!$O189</f>
        <v>0</v>
      </c>
      <c r="AP278" s="307">
        <f>'Monthly D6 Gallon Data'!$O189</f>
        <v>0</v>
      </c>
      <c r="AQ278" s="307">
        <f>'Monthly D6 Gallon Data'!$O189</f>
        <v>0</v>
      </c>
      <c r="AR278" s="307"/>
      <c r="AS278" s="307"/>
      <c r="AT278" s="307"/>
      <c r="AU278" s="307"/>
      <c r="AV278" s="307"/>
      <c r="AW278" s="307"/>
      <c r="AX278" s="307"/>
      <c r="AY278" s="307"/>
      <c r="AZ278" s="307"/>
      <c r="BA278" s="307"/>
      <c r="BB278" s="307"/>
      <c r="BC278" s="308"/>
      <c r="BD278" s="405">
        <f>AVERAGE('D4 Gallon Forecast'!K346:O346)/AVERAGE('D4 Gallon Forecast'!$K$353:$O$353)</f>
        <v>9.3585502398963322E-2</v>
      </c>
      <c r="BK278" s="308">
        <v>0</v>
      </c>
      <c r="BL278" s="308">
        <f t="shared" si="230"/>
        <v>0</v>
      </c>
      <c r="BM278" s="308">
        <v>0</v>
      </c>
      <c r="BN278" s="308">
        <f t="shared" si="231"/>
        <v>0</v>
      </c>
      <c r="BO278" s="308">
        <v>0</v>
      </c>
      <c r="BP278" s="308">
        <f t="shared" si="232"/>
        <v>0</v>
      </c>
    </row>
    <row r="279" spans="1:68">
      <c r="A279" s="301" t="s">
        <v>49</v>
      </c>
      <c r="B279" s="308">
        <f>'Monthly D6 Gallon Data'!$O10</f>
        <v>0</v>
      </c>
      <c r="C279" s="308">
        <f>'Monthly D6 Gallon Data'!$O22</f>
        <v>0</v>
      </c>
      <c r="D279" s="308">
        <f>'Monthly D6 Gallon Data'!$O34</f>
        <v>0</v>
      </c>
      <c r="E279" s="308">
        <f>'Monthly D6 Gallon Data'!$O46</f>
        <v>0</v>
      </c>
      <c r="F279" s="308">
        <f>'Monthly D6 Gallon Data'!$O58</f>
        <v>0</v>
      </c>
      <c r="G279" s="308">
        <f>'Monthly D6 Gallon Data'!$O70</f>
        <v>0</v>
      </c>
      <c r="H279" s="308">
        <f>'Monthly D6 Gallon Data'!$O82</f>
        <v>0</v>
      </c>
      <c r="I279" s="308">
        <f>'Monthly D6 Gallon Data'!$O94</f>
        <v>0</v>
      </c>
      <c r="J279" s="308">
        <f>'Monthly D6 Gallon Data'!$O106</f>
        <v>0</v>
      </c>
      <c r="K279" s="308">
        <f>'Monthly D6 Gallon Data'!$O118</f>
        <v>0</v>
      </c>
      <c r="L279" s="308">
        <f>'Monthly D6 Gallon Data'!$O130</f>
        <v>0</v>
      </c>
      <c r="M279" s="308">
        <f>'Monthly D6 Gallon Data'!$O142</f>
        <v>0</v>
      </c>
      <c r="N279" s="308">
        <f>'Monthly D6 Gallon Data'!$O154</f>
        <v>0</v>
      </c>
      <c r="O279" s="308">
        <f>'Monthly D6 Gallon Data'!$O166</f>
        <v>0</v>
      </c>
      <c r="P279" s="308">
        <f>'Monthly D6 Gallon Data'!$O178</f>
        <v>0</v>
      </c>
      <c r="Q279" s="307">
        <f>'Monthly D6 Gallon Data'!$O190</f>
        <v>0</v>
      </c>
      <c r="R279" s="307">
        <f>'Monthly D6 Gallon Data'!$O190</f>
        <v>0</v>
      </c>
      <c r="S279" s="307">
        <f>'Monthly D6 Gallon Data'!$O190</f>
        <v>0</v>
      </c>
      <c r="T279" s="307">
        <f>'Monthly D6 Gallon Data'!$O190</f>
        <v>0</v>
      </c>
      <c r="U279" s="307">
        <f>'Monthly D6 Gallon Data'!$O190</f>
        <v>0</v>
      </c>
      <c r="V279" s="307">
        <f>'Monthly D6 Gallon Data'!$O190</f>
        <v>0</v>
      </c>
      <c r="W279" s="307">
        <f>'Monthly D6 Gallon Data'!$O190</f>
        <v>0</v>
      </c>
      <c r="X279" s="307">
        <f>'Monthly D6 Gallon Data'!$O190</f>
        <v>0</v>
      </c>
      <c r="Y279" s="307">
        <f>'Monthly D6 Gallon Data'!$O190</f>
        <v>0</v>
      </c>
      <c r="Z279" s="307">
        <f>'Monthly D6 Gallon Data'!$O190</f>
        <v>0</v>
      </c>
      <c r="AA279" s="307">
        <f>'Monthly D6 Gallon Data'!$O190</f>
        <v>0</v>
      </c>
      <c r="AB279" s="307">
        <f>'Monthly D6 Gallon Data'!$O190</f>
        <v>0</v>
      </c>
      <c r="AC279" s="307">
        <f>'Monthly D6 Gallon Data'!$O190</f>
        <v>0</v>
      </c>
      <c r="AD279" s="307">
        <f>'Monthly D6 Gallon Data'!$O190</f>
        <v>0</v>
      </c>
      <c r="AE279" s="307">
        <f>'Monthly D6 Gallon Data'!$O190</f>
        <v>0</v>
      </c>
      <c r="AF279" s="307">
        <f>'Monthly D6 Gallon Data'!$O190</f>
        <v>0</v>
      </c>
      <c r="AG279" s="307">
        <f>'Monthly D6 Gallon Data'!$O190</f>
        <v>0</v>
      </c>
      <c r="AH279" s="307">
        <f>'Monthly D6 Gallon Data'!$O190</f>
        <v>0</v>
      </c>
      <c r="AI279" s="307">
        <f>'Monthly D6 Gallon Data'!$O190</f>
        <v>0</v>
      </c>
      <c r="AJ279" s="307">
        <f>'Monthly D6 Gallon Data'!$O190</f>
        <v>0</v>
      </c>
      <c r="AK279" s="307">
        <f>'Monthly D6 Gallon Data'!$O190</f>
        <v>0</v>
      </c>
      <c r="AL279" s="307">
        <f>'Monthly D6 Gallon Data'!$O190</f>
        <v>0</v>
      </c>
      <c r="AM279" s="307">
        <f>'Monthly D6 Gallon Data'!$O190</f>
        <v>0</v>
      </c>
      <c r="AN279" s="307">
        <f>'Monthly D6 Gallon Data'!$O190</f>
        <v>0</v>
      </c>
      <c r="AO279" s="307">
        <f>'Monthly D6 Gallon Data'!$O190</f>
        <v>0</v>
      </c>
      <c r="AP279" s="307">
        <f>'Monthly D6 Gallon Data'!$O190</f>
        <v>0</v>
      </c>
      <c r="AQ279" s="307">
        <f>'Monthly D6 Gallon Data'!$O190</f>
        <v>0</v>
      </c>
      <c r="AR279" s="307"/>
      <c r="AS279" s="307"/>
      <c r="AT279" s="307"/>
      <c r="AU279" s="307"/>
      <c r="AV279" s="307"/>
      <c r="AW279" s="307"/>
      <c r="AX279" s="307"/>
      <c r="AY279" s="307"/>
      <c r="AZ279" s="307"/>
      <c r="BA279" s="307"/>
      <c r="BB279" s="307"/>
      <c r="BC279" s="308"/>
      <c r="BD279" s="405">
        <f>AVERAGE('D4 Gallon Forecast'!K347:O347)/AVERAGE('D4 Gallon Forecast'!$K$353:$O$353)</f>
        <v>0.17657284265830764</v>
      </c>
      <c r="BK279" s="308">
        <v>0</v>
      </c>
      <c r="BL279" s="308">
        <f t="shared" si="230"/>
        <v>0</v>
      </c>
      <c r="BM279" s="309">
        <v>0</v>
      </c>
      <c r="BN279" s="308">
        <f t="shared" si="231"/>
        <v>0</v>
      </c>
      <c r="BO279" s="308">
        <v>0</v>
      </c>
      <c r="BP279" s="308">
        <f t="shared" si="232"/>
        <v>0</v>
      </c>
    </row>
    <row r="280" spans="1:68">
      <c r="A280" s="301" t="s">
        <v>50</v>
      </c>
      <c r="B280" s="308">
        <f>'Monthly D6 Gallon Data'!$O11</f>
        <v>0</v>
      </c>
      <c r="C280" s="308">
        <f>'Monthly D6 Gallon Data'!$O23</f>
        <v>0</v>
      </c>
      <c r="D280" s="308">
        <f>'Monthly D6 Gallon Data'!$O35</f>
        <v>0</v>
      </c>
      <c r="E280" s="308">
        <f>'Monthly D6 Gallon Data'!$O47</f>
        <v>0</v>
      </c>
      <c r="F280" s="308">
        <f>'Monthly D6 Gallon Data'!$O59</f>
        <v>0</v>
      </c>
      <c r="G280" s="308">
        <f>'Monthly D6 Gallon Data'!$O71</f>
        <v>0</v>
      </c>
      <c r="H280" s="308">
        <f>'Monthly D6 Gallon Data'!$O83</f>
        <v>0</v>
      </c>
      <c r="I280" s="308">
        <f>'Monthly D6 Gallon Data'!$O95</f>
        <v>0</v>
      </c>
      <c r="J280" s="308">
        <f>'Monthly D6 Gallon Data'!$O107</f>
        <v>0</v>
      </c>
      <c r="K280" s="308">
        <f>'Monthly D6 Gallon Data'!$O119</f>
        <v>0</v>
      </c>
      <c r="L280" s="308">
        <f>'Monthly D6 Gallon Data'!$O131</f>
        <v>0</v>
      </c>
      <c r="M280" s="308">
        <f>'Monthly D6 Gallon Data'!$O143</f>
        <v>0</v>
      </c>
      <c r="N280" s="308">
        <f>'Monthly D6 Gallon Data'!$O155</f>
        <v>0</v>
      </c>
      <c r="O280" s="308">
        <f>'Monthly D6 Gallon Data'!$O167</f>
        <v>872978</v>
      </c>
      <c r="P280" s="308">
        <f>'Monthly D6 Gallon Data'!$O179</f>
        <v>0</v>
      </c>
      <c r="Q280" s="307">
        <f>'Monthly D6 Gallon Data'!$O191</f>
        <v>0</v>
      </c>
      <c r="R280" s="307">
        <f>'Monthly D6 Gallon Data'!$O191</f>
        <v>0</v>
      </c>
      <c r="S280" s="307">
        <f>'Monthly D6 Gallon Data'!$O191</f>
        <v>0</v>
      </c>
      <c r="T280" s="307">
        <f>'Monthly D6 Gallon Data'!$O191</f>
        <v>0</v>
      </c>
      <c r="U280" s="307">
        <f>'Monthly D6 Gallon Data'!$O191</f>
        <v>0</v>
      </c>
      <c r="V280" s="307">
        <f>'Monthly D6 Gallon Data'!$O191</f>
        <v>0</v>
      </c>
      <c r="W280" s="307">
        <f>'Monthly D6 Gallon Data'!$O191</f>
        <v>0</v>
      </c>
      <c r="X280" s="307">
        <f>'Monthly D6 Gallon Data'!$O191</f>
        <v>0</v>
      </c>
      <c r="Y280" s="307">
        <f>'Monthly D6 Gallon Data'!$O191</f>
        <v>0</v>
      </c>
      <c r="Z280" s="307">
        <f>'Monthly D6 Gallon Data'!$O191</f>
        <v>0</v>
      </c>
      <c r="AA280" s="307">
        <f>'Monthly D6 Gallon Data'!$O191</f>
        <v>0</v>
      </c>
      <c r="AB280" s="307">
        <f>'Monthly D6 Gallon Data'!$O191</f>
        <v>0</v>
      </c>
      <c r="AC280" s="307">
        <f>'Monthly D6 Gallon Data'!$O191</f>
        <v>0</v>
      </c>
      <c r="AD280" s="307">
        <f>'Monthly D6 Gallon Data'!$O191</f>
        <v>0</v>
      </c>
      <c r="AE280" s="307">
        <f>'Monthly D6 Gallon Data'!$O191</f>
        <v>0</v>
      </c>
      <c r="AF280" s="307">
        <f>'Monthly D6 Gallon Data'!$O191</f>
        <v>0</v>
      </c>
      <c r="AG280" s="307">
        <f>'Monthly D6 Gallon Data'!$O191</f>
        <v>0</v>
      </c>
      <c r="AH280" s="307">
        <f>'Monthly D6 Gallon Data'!$O191</f>
        <v>0</v>
      </c>
      <c r="AI280" s="307">
        <f>'Monthly D6 Gallon Data'!$O191</f>
        <v>0</v>
      </c>
      <c r="AJ280" s="307">
        <f>'Monthly D6 Gallon Data'!$O191</f>
        <v>0</v>
      </c>
      <c r="AK280" s="307">
        <f>'Monthly D6 Gallon Data'!$O191</f>
        <v>0</v>
      </c>
      <c r="AL280" s="307">
        <f>'Monthly D6 Gallon Data'!$O191</f>
        <v>0</v>
      </c>
      <c r="AM280" s="307">
        <f>'Monthly D6 Gallon Data'!$O191</f>
        <v>0</v>
      </c>
      <c r="AN280" s="307">
        <f>'Monthly D6 Gallon Data'!$O191</f>
        <v>0</v>
      </c>
      <c r="AO280" s="307">
        <f>'Monthly D6 Gallon Data'!$O191</f>
        <v>0</v>
      </c>
      <c r="AP280" s="307">
        <f>'Monthly D6 Gallon Data'!$O191</f>
        <v>0</v>
      </c>
      <c r="AQ280" s="307">
        <f>'Monthly D6 Gallon Data'!$O191</f>
        <v>0</v>
      </c>
      <c r="AR280" s="307"/>
      <c r="AS280" s="307"/>
      <c r="AT280" s="307"/>
      <c r="AU280" s="307"/>
      <c r="AV280" s="307"/>
      <c r="AW280" s="307"/>
      <c r="AX280" s="307"/>
      <c r="AY280" s="307"/>
      <c r="AZ280" s="307"/>
      <c r="BA280" s="307"/>
      <c r="BB280" s="307"/>
      <c r="BC280" s="308"/>
      <c r="BD280" s="405">
        <f>AVERAGE('D4 Gallon Forecast'!K348:O348)/AVERAGE('D4 Gallon Forecast'!$K$353:$O$353)</f>
        <v>0.10836508667804348</v>
      </c>
      <c r="BK280" s="308">
        <v>0</v>
      </c>
      <c r="BL280" s="308">
        <f t="shared" si="230"/>
        <v>872978</v>
      </c>
      <c r="BM280" s="309">
        <v>0</v>
      </c>
      <c r="BN280" s="308">
        <f t="shared" si="231"/>
        <v>0</v>
      </c>
      <c r="BO280" s="308">
        <v>0</v>
      </c>
      <c r="BP280" s="308">
        <f t="shared" si="232"/>
        <v>0</v>
      </c>
    </row>
    <row r="281" spans="1:68">
      <c r="A281" s="301" t="s">
        <v>51</v>
      </c>
      <c r="B281" s="308">
        <f>'Monthly D6 Gallon Data'!$O12</f>
        <v>0</v>
      </c>
      <c r="C281" s="308">
        <f>'Monthly D6 Gallon Data'!$O24</f>
        <v>0</v>
      </c>
      <c r="D281" s="308">
        <f>'Monthly D6 Gallon Data'!$O36</f>
        <v>0</v>
      </c>
      <c r="E281" s="308">
        <f>'Monthly D6 Gallon Data'!$O48</f>
        <v>0</v>
      </c>
      <c r="F281" s="308">
        <f>'Monthly D6 Gallon Data'!$O60</f>
        <v>0</v>
      </c>
      <c r="G281" s="308">
        <f>'Monthly D6 Gallon Data'!$O72</f>
        <v>0</v>
      </c>
      <c r="H281" s="308">
        <f>'Monthly D6 Gallon Data'!$O84</f>
        <v>0</v>
      </c>
      <c r="I281" s="308">
        <f>'Monthly D6 Gallon Data'!$O96</f>
        <v>0</v>
      </c>
      <c r="J281" s="308">
        <f>'Monthly D6 Gallon Data'!$O108</f>
        <v>0</v>
      </c>
      <c r="K281" s="308">
        <f>'Monthly D6 Gallon Data'!$O120</f>
        <v>0</v>
      </c>
      <c r="L281" s="308">
        <f>'Monthly D6 Gallon Data'!$O132</f>
        <v>0</v>
      </c>
      <c r="M281" s="308">
        <f>'Monthly D6 Gallon Data'!$O144</f>
        <v>0</v>
      </c>
      <c r="N281" s="308">
        <f>'Monthly D6 Gallon Data'!$O156</f>
        <v>0</v>
      </c>
      <c r="O281" s="308">
        <f>'Monthly D6 Gallon Data'!$O168</f>
        <v>0</v>
      </c>
      <c r="P281" s="308">
        <f>'Monthly D6 Gallon Data'!$O180</f>
        <v>0</v>
      </c>
      <c r="Q281" s="307">
        <f>'Monthly D6 Gallon Data'!$O192</f>
        <v>0</v>
      </c>
      <c r="R281" s="307">
        <f>'Monthly D6 Gallon Data'!$O192</f>
        <v>0</v>
      </c>
      <c r="S281" s="307">
        <f>'Monthly D6 Gallon Data'!$O192</f>
        <v>0</v>
      </c>
      <c r="T281" s="307">
        <f>'Monthly D6 Gallon Data'!$O192</f>
        <v>0</v>
      </c>
      <c r="U281" s="307">
        <f>'Monthly D6 Gallon Data'!$O192</f>
        <v>0</v>
      </c>
      <c r="V281" s="307">
        <f>'Monthly D6 Gallon Data'!$O192</f>
        <v>0</v>
      </c>
      <c r="W281" s="307">
        <f>'Monthly D6 Gallon Data'!$O192</f>
        <v>0</v>
      </c>
      <c r="X281" s="307">
        <f>'Monthly D6 Gallon Data'!$O192</f>
        <v>0</v>
      </c>
      <c r="Y281" s="307">
        <f>'Monthly D6 Gallon Data'!$O192</f>
        <v>0</v>
      </c>
      <c r="Z281" s="307">
        <f>'Monthly D6 Gallon Data'!$O192</f>
        <v>0</v>
      </c>
      <c r="AA281" s="307">
        <f>'Monthly D6 Gallon Data'!$O192</f>
        <v>0</v>
      </c>
      <c r="AB281" s="307">
        <f>'Monthly D6 Gallon Data'!$O192</f>
        <v>0</v>
      </c>
      <c r="AC281" s="307">
        <f>'Monthly D6 Gallon Data'!$O192</f>
        <v>0</v>
      </c>
      <c r="AD281" s="307">
        <f>'Monthly D6 Gallon Data'!$O192</f>
        <v>0</v>
      </c>
      <c r="AE281" s="307">
        <f>'Monthly D6 Gallon Data'!$O192</f>
        <v>0</v>
      </c>
      <c r="AF281" s="307">
        <f>'Monthly D6 Gallon Data'!$O192</f>
        <v>0</v>
      </c>
      <c r="AG281" s="307">
        <f>'Monthly D6 Gallon Data'!$O192</f>
        <v>0</v>
      </c>
      <c r="AH281" s="307">
        <f>'Monthly D6 Gallon Data'!$O192</f>
        <v>0</v>
      </c>
      <c r="AI281" s="307">
        <f>'Monthly D6 Gallon Data'!$O192</f>
        <v>0</v>
      </c>
      <c r="AJ281" s="307">
        <f>'Monthly D6 Gallon Data'!$O192</f>
        <v>0</v>
      </c>
      <c r="AK281" s="307">
        <f>'Monthly D6 Gallon Data'!$O192</f>
        <v>0</v>
      </c>
      <c r="AL281" s="307">
        <f>'Monthly D6 Gallon Data'!$O192</f>
        <v>0</v>
      </c>
      <c r="AM281" s="307">
        <f>'Monthly D6 Gallon Data'!$O192</f>
        <v>0</v>
      </c>
      <c r="AN281" s="307">
        <f>'Monthly D6 Gallon Data'!$O192</f>
        <v>0</v>
      </c>
      <c r="AO281" s="307">
        <f>'Monthly D6 Gallon Data'!$O192</f>
        <v>0</v>
      </c>
      <c r="AP281" s="307">
        <f>'Monthly D6 Gallon Data'!$O192</f>
        <v>0</v>
      </c>
      <c r="AQ281" s="307">
        <f>'Monthly D6 Gallon Data'!$O192</f>
        <v>0</v>
      </c>
      <c r="AR281" s="307"/>
      <c r="AS281" s="307"/>
      <c r="AT281" s="307"/>
      <c r="AU281" s="307"/>
      <c r="AV281" s="307"/>
      <c r="AW281" s="307"/>
      <c r="AX281" s="307"/>
      <c r="AY281" s="307"/>
      <c r="AZ281" s="307"/>
      <c r="BA281" s="307"/>
      <c r="BB281" s="307"/>
      <c r="BC281" s="308"/>
      <c r="BD281" s="405">
        <f>AVERAGE('D4 Gallon Forecast'!K349:O349)/AVERAGE('D4 Gallon Forecast'!$K$353:$O$353)</f>
        <v>6.2106784288472161E-2</v>
      </c>
      <c r="BK281" s="308">
        <v>0</v>
      </c>
      <c r="BL281" s="308">
        <f t="shared" si="230"/>
        <v>0</v>
      </c>
      <c r="BM281" s="309">
        <v>0</v>
      </c>
      <c r="BN281" s="308">
        <f t="shared" si="231"/>
        <v>0</v>
      </c>
      <c r="BO281" s="308">
        <v>0</v>
      </c>
      <c r="BP281" s="308">
        <f t="shared" si="232"/>
        <v>0</v>
      </c>
    </row>
    <row r="282" spans="1:68">
      <c r="A282" s="301" t="s">
        <v>52</v>
      </c>
      <c r="B282" s="308">
        <f>'Monthly D6 Gallon Data'!$O13</f>
        <v>0</v>
      </c>
      <c r="C282" s="308">
        <f>'Monthly D6 Gallon Data'!$O25</f>
        <v>0</v>
      </c>
      <c r="D282" s="308">
        <f>'Monthly D6 Gallon Data'!$O37</f>
        <v>0</v>
      </c>
      <c r="E282" s="308">
        <f>'Monthly D6 Gallon Data'!$O49</f>
        <v>0</v>
      </c>
      <c r="F282" s="308">
        <f>'Monthly D6 Gallon Data'!$O61</f>
        <v>0</v>
      </c>
      <c r="G282" s="308">
        <f>'Monthly D6 Gallon Data'!$O73</f>
        <v>0</v>
      </c>
      <c r="H282" s="308">
        <f>'Monthly D6 Gallon Data'!$O85</f>
        <v>0</v>
      </c>
      <c r="I282" s="308">
        <f>'Monthly D6 Gallon Data'!$O97</f>
        <v>0</v>
      </c>
      <c r="J282" s="308">
        <f>'Monthly D6 Gallon Data'!$O109</f>
        <v>0</v>
      </c>
      <c r="K282" s="308">
        <f>'Monthly D6 Gallon Data'!$O121</f>
        <v>0</v>
      </c>
      <c r="L282" s="308">
        <f>'Monthly D6 Gallon Data'!$O133</f>
        <v>0</v>
      </c>
      <c r="M282" s="308">
        <f>'Monthly D6 Gallon Data'!$O145</f>
        <v>0</v>
      </c>
      <c r="N282" s="308">
        <f>'Monthly D6 Gallon Data'!$O157</f>
        <v>0</v>
      </c>
      <c r="O282" s="308">
        <f>'Monthly D6 Gallon Data'!$O169</f>
        <v>488155</v>
      </c>
      <c r="P282" s="308">
        <f>'Monthly D6 Gallon Data'!$O181</f>
        <v>0</v>
      </c>
      <c r="Q282" s="307">
        <f>'Monthly D6 Gallon Data'!$O193</f>
        <v>0</v>
      </c>
      <c r="R282" s="307">
        <f>'Monthly D6 Gallon Data'!$O193</f>
        <v>0</v>
      </c>
      <c r="S282" s="307">
        <f>'Monthly D6 Gallon Data'!$O193</f>
        <v>0</v>
      </c>
      <c r="T282" s="307">
        <f>'Monthly D6 Gallon Data'!$O193</f>
        <v>0</v>
      </c>
      <c r="U282" s="307">
        <f>'Monthly D6 Gallon Data'!$O193</f>
        <v>0</v>
      </c>
      <c r="V282" s="307">
        <f>'Monthly D6 Gallon Data'!$O193</f>
        <v>0</v>
      </c>
      <c r="W282" s="307">
        <f>'Monthly D6 Gallon Data'!$O193</f>
        <v>0</v>
      </c>
      <c r="X282" s="307">
        <f>'Monthly D6 Gallon Data'!$O193</f>
        <v>0</v>
      </c>
      <c r="Y282" s="307">
        <f>'Monthly D6 Gallon Data'!$O193</f>
        <v>0</v>
      </c>
      <c r="Z282" s="307">
        <f>'Monthly D6 Gallon Data'!$O193</f>
        <v>0</v>
      </c>
      <c r="AA282" s="307">
        <f>'Monthly D6 Gallon Data'!$O193</f>
        <v>0</v>
      </c>
      <c r="AB282" s="307">
        <f>'Monthly D6 Gallon Data'!$O193</f>
        <v>0</v>
      </c>
      <c r="AC282" s="307">
        <f>'Monthly D6 Gallon Data'!$O193</f>
        <v>0</v>
      </c>
      <c r="AD282" s="307">
        <f>'Monthly D6 Gallon Data'!$O193</f>
        <v>0</v>
      </c>
      <c r="AE282" s="307">
        <f>'Monthly D6 Gallon Data'!$O193</f>
        <v>0</v>
      </c>
      <c r="AF282" s="307">
        <f>'Monthly D6 Gallon Data'!$O193</f>
        <v>0</v>
      </c>
      <c r="AG282" s="307">
        <f>'Monthly D6 Gallon Data'!$O193</f>
        <v>0</v>
      </c>
      <c r="AH282" s="307">
        <f>'Monthly D6 Gallon Data'!$O193</f>
        <v>0</v>
      </c>
      <c r="AI282" s="307">
        <f>'Monthly D6 Gallon Data'!$O193</f>
        <v>0</v>
      </c>
      <c r="AJ282" s="307">
        <f>'Monthly D6 Gallon Data'!$O193</f>
        <v>0</v>
      </c>
      <c r="AK282" s="307">
        <f>'Monthly D6 Gallon Data'!$O193</f>
        <v>0</v>
      </c>
      <c r="AL282" s="307">
        <f>'Monthly D6 Gallon Data'!$O193</f>
        <v>0</v>
      </c>
      <c r="AM282" s="307">
        <f>'Monthly D6 Gallon Data'!$O193</f>
        <v>0</v>
      </c>
      <c r="AN282" s="307">
        <f>'Monthly D6 Gallon Data'!$O193</f>
        <v>0</v>
      </c>
      <c r="AO282" s="307">
        <f>'Monthly D6 Gallon Data'!$O193</f>
        <v>0</v>
      </c>
      <c r="AP282" s="307">
        <f>'Monthly D6 Gallon Data'!$O193</f>
        <v>0</v>
      </c>
      <c r="AQ282" s="307">
        <f>'Monthly D6 Gallon Data'!$O193</f>
        <v>0</v>
      </c>
      <c r="AR282" s="307"/>
      <c r="AS282" s="307"/>
      <c r="AT282" s="307"/>
      <c r="AU282" s="307"/>
      <c r="AV282" s="307"/>
      <c r="AW282" s="307"/>
      <c r="AX282" s="307"/>
      <c r="AY282" s="307"/>
      <c r="AZ282" s="307"/>
      <c r="BA282" s="307"/>
      <c r="BB282" s="307"/>
      <c r="BC282" s="308"/>
      <c r="BD282" s="405">
        <f>AVERAGE('D4 Gallon Forecast'!K350:O350)/AVERAGE('D4 Gallon Forecast'!$K$353:$O$353)</f>
        <v>0.12648432379771227</v>
      </c>
      <c r="BK282" s="308">
        <v>488155</v>
      </c>
      <c r="BL282" s="308">
        <f t="shared" si="230"/>
        <v>0</v>
      </c>
      <c r="BM282" s="309">
        <v>0</v>
      </c>
      <c r="BN282" s="308">
        <f t="shared" si="231"/>
        <v>0</v>
      </c>
      <c r="BO282" s="308">
        <v>0</v>
      </c>
      <c r="BP282" s="308">
        <f t="shared" si="232"/>
        <v>0</v>
      </c>
    </row>
    <row r="283" spans="1:68">
      <c r="A283" s="301" t="s">
        <v>53</v>
      </c>
      <c r="B283" s="308">
        <f>'Monthly D6 Gallon Data'!$O14</f>
        <v>0</v>
      </c>
      <c r="C283" s="308">
        <f>'Monthly D6 Gallon Data'!$O26</f>
        <v>0</v>
      </c>
      <c r="D283" s="308">
        <f>'Monthly D6 Gallon Data'!$O38</f>
        <v>0</v>
      </c>
      <c r="E283" s="308">
        <f>'Monthly D6 Gallon Data'!$O50</f>
        <v>0</v>
      </c>
      <c r="F283" s="308">
        <f>'Monthly D6 Gallon Data'!$O62</f>
        <v>0</v>
      </c>
      <c r="G283" s="308">
        <f>'Monthly D6 Gallon Data'!$O74</f>
        <v>0</v>
      </c>
      <c r="H283" s="308">
        <f>'Monthly D6 Gallon Data'!$O86</f>
        <v>0</v>
      </c>
      <c r="I283" s="308">
        <f>'Monthly D6 Gallon Data'!$O98</f>
        <v>0</v>
      </c>
      <c r="J283" s="308">
        <f>'Monthly D6 Gallon Data'!$O110</f>
        <v>0</v>
      </c>
      <c r="K283" s="308">
        <f>'Monthly D6 Gallon Data'!$O122</f>
        <v>0</v>
      </c>
      <c r="L283" s="308">
        <f>'Monthly D6 Gallon Data'!$O134</f>
        <v>0</v>
      </c>
      <c r="M283" s="308">
        <f>'Monthly D6 Gallon Data'!$O146</f>
        <v>0</v>
      </c>
      <c r="N283" s="308">
        <f>'Monthly D6 Gallon Data'!$O158</f>
        <v>0</v>
      </c>
      <c r="O283" s="308">
        <f>'Monthly D6 Gallon Data'!$O170</f>
        <v>449778</v>
      </c>
      <c r="P283" s="308">
        <f>'Monthly D6 Gallon Data'!$O182</f>
        <v>0</v>
      </c>
      <c r="Q283" s="307">
        <f>'Monthly D6 Gallon Data'!$O194</f>
        <v>0</v>
      </c>
      <c r="R283" s="307">
        <f>'Monthly D6 Gallon Data'!$O194</f>
        <v>0</v>
      </c>
      <c r="S283" s="307">
        <f>'Monthly D6 Gallon Data'!$O194</f>
        <v>0</v>
      </c>
      <c r="T283" s="307">
        <f>'Monthly D6 Gallon Data'!$O194</f>
        <v>0</v>
      </c>
      <c r="U283" s="307">
        <f>'Monthly D6 Gallon Data'!$O194</f>
        <v>0</v>
      </c>
      <c r="V283" s="307">
        <f>'Monthly D6 Gallon Data'!$O194</f>
        <v>0</v>
      </c>
      <c r="W283" s="307">
        <f>'Monthly D6 Gallon Data'!$O194</f>
        <v>0</v>
      </c>
      <c r="X283" s="307">
        <f>'Monthly D6 Gallon Data'!$O194</f>
        <v>0</v>
      </c>
      <c r="Y283" s="307">
        <f>'Monthly D6 Gallon Data'!$O194</f>
        <v>0</v>
      </c>
      <c r="Z283" s="307">
        <f>'Monthly D6 Gallon Data'!$O194</f>
        <v>0</v>
      </c>
      <c r="AA283" s="307">
        <f>'Monthly D6 Gallon Data'!$O194</f>
        <v>0</v>
      </c>
      <c r="AB283" s="307">
        <f>'Monthly D6 Gallon Data'!$O194</f>
        <v>0</v>
      </c>
      <c r="AC283" s="307">
        <f>'Monthly D6 Gallon Data'!$O194</f>
        <v>0</v>
      </c>
      <c r="AD283" s="307">
        <f>'Monthly D6 Gallon Data'!$O194</f>
        <v>0</v>
      </c>
      <c r="AE283" s="307">
        <f>'Monthly D6 Gallon Data'!$O194</f>
        <v>0</v>
      </c>
      <c r="AF283" s="307">
        <f>'Monthly D6 Gallon Data'!$O194</f>
        <v>0</v>
      </c>
      <c r="AG283" s="307">
        <f>'Monthly D6 Gallon Data'!$O194</f>
        <v>0</v>
      </c>
      <c r="AH283" s="307">
        <f>'Monthly D6 Gallon Data'!$O194</f>
        <v>0</v>
      </c>
      <c r="AI283" s="307">
        <f>'Monthly D6 Gallon Data'!$O194</f>
        <v>0</v>
      </c>
      <c r="AJ283" s="307">
        <f>'Monthly D6 Gallon Data'!$O194</f>
        <v>0</v>
      </c>
      <c r="AK283" s="307">
        <f>'Monthly D6 Gallon Data'!$O194</f>
        <v>0</v>
      </c>
      <c r="AL283" s="307">
        <f>'Monthly D6 Gallon Data'!$O194</f>
        <v>0</v>
      </c>
      <c r="AM283" s="307">
        <f>'Monthly D6 Gallon Data'!$O194</f>
        <v>0</v>
      </c>
      <c r="AN283" s="307">
        <f>'Monthly D6 Gallon Data'!$O194</f>
        <v>0</v>
      </c>
      <c r="AO283" s="307">
        <f>'Monthly D6 Gallon Data'!$O194</f>
        <v>0</v>
      </c>
      <c r="AP283" s="307">
        <f>'Monthly D6 Gallon Data'!$O194</f>
        <v>0</v>
      </c>
      <c r="AQ283" s="307">
        <f>'Monthly D6 Gallon Data'!$O194</f>
        <v>0</v>
      </c>
      <c r="AR283" s="307"/>
      <c r="AS283" s="307"/>
      <c r="AT283" s="307"/>
      <c r="AU283" s="307"/>
      <c r="AV283" s="307"/>
      <c r="AW283" s="307"/>
      <c r="AX283" s="307"/>
      <c r="AY283" s="307"/>
      <c r="AZ283" s="307"/>
      <c r="BA283" s="307"/>
      <c r="BB283" s="307"/>
      <c r="BC283" s="308"/>
      <c r="BD283" s="405">
        <f>AVERAGE('D4 Gallon Forecast'!K351:O351)/AVERAGE('D4 Gallon Forecast'!$K$353:$O$353)</f>
        <v>2.5936172127798859E-2</v>
      </c>
      <c r="BK283" s="309">
        <v>0</v>
      </c>
      <c r="BL283" s="308">
        <f t="shared" si="230"/>
        <v>449778</v>
      </c>
      <c r="BM283" s="309">
        <v>0</v>
      </c>
      <c r="BN283" s="308">
        <f t="shared" si="231"/>
        <v>0</v>
      </c>
      <c r="BO283" s="308">
        <v>0</v>
      </c>
      <c r="BP283" s="308">
        <f t="shared" si="232"/>
        <v>0</v>
      </c>
    </row>
    <row r="284" spans="1:68">
      <c r="A284" s="301" t="s">
        <v>54</v>
      </c>
      <c r="B284" s="308">
        <f>'Monthly D6 Gallon Data'!$O15</f>
        <v>0</v>
      </c>
      <c r="C284" s="308">
        <f>'Monthly D6 Gallon Data'!$O27</f>
        <v>0</v>
      </c>
      <c r="D284" s="308">
        <f>'Monthly D6 Gallon Data'!$O39</f>
        <v>0</v>
      </c>
      <c r="E284" s="308">
        <f>'Monthly D6 Gallon Data'!$O51</f>
        <v>0</v>
      </c>
      <c r="F284" s="308">
        <f>'Monthly D6 Gallon Data'!$O63</f>
        <v>0</v>
      </c>
      <c r="G284" s="308">
        <f>'Monthly D6 Gallon Data'!$O75</f>
        <v>0</v>
      </c>
      <c r="H284" s="308">
        <f>'Monthly D6 Gallon Data'!$O87</f>
        <v>0</v>
      </c>
      <c r="I284" s="308">
        <f>'Monthly D6 Gallon Data'!$O99</f>
        <v>0</v>
      </c>
      <c r="J284" s="308">
        <f>'Monthly D6 Gallon Data'!$O111</f>
        <v>0</v>
      </c>
      <c r="K284" s="308">
        <f>'Monthly D6 Gallon Data'!$O123</f>
        <v>0</v>
      </c>
      <c r="L284" s="308">
        <f>'Monthly D6 Gallon Data'!$O135</f>
        <v>0</v>
      </c>
      <c r="M284" s="308">
        <f>'Monthly D6 Gallon Data'!$O147</f>
        <v>0</v>
      </c>
      <c r="N284" s="308">
        <f>'Monthly D6 Gallon Data'!$O159</f>
        <v>0</v>
      </c>
      <c r="O284" s="308">
        <f>'Monthly D6 Gallon Data'!$O171</f>
        <v>14397</v>
      </c>
      <c r="P284" s="308">
        <f>'Monthly D6 Gallon Data'!$O183</f>
        <v>0</v>
      </c>
      <c r="Q284" s="307">
        <f>'Monthly D6 Gallon Data'!$O195</f>
        <v>0</v>
      </c>
      <c r="R284" s="307">
        <f>'Monthly D6 Gallon Data'!$O195</f>
        <v>0</v>
      </c>
      <c r="S284" s="307">
        <f>'Monthly D6 Gallon Data'!$O195</f>
        <v>0</v>
      </c>
      <c r="T284" s="307">
        <f>'Monthly D6 Gallon Data'!$O195</f>
        <v>0</v>
      </c>
      <c r="U284" s="307">
        <f>'Monthly D6 Gallon Data'!$O195</f>
        <v>0</v>
      </c>
      <c r="V284" s="307">
        <f>'Monthly D6 Gallon Data'!$O195</f>
        <v>0</v>
      </c>
      <c r="W284" s="307">
        <f>'Monthly D6 Gallon Data'!$O195</f>
        <v>0</v>
      </c>
      <c r="X284" s="307">
        <f>'Monthly D6 Gallon Data'!$O195</f>
        <v>0</v>
      </c>
      <c r="Y284" s="307">
        <f>'Monthly D6 Gallon Data'!$O195</f>
        <v>0</v>
      </c>
      <c r="Z284" s="307">
        <f>'Monthly D6 Gallon Data'!$O195</f>
        <v>0</v>
      </c>
      <c r="AA284" s="307">
        <f>'Monthly D6 Gallon Data'!$O195</f>
        <v>0</v>
      </c>
      <c r="AB284" s="307">
        <f>'Monthly D6 Gallon Data'!$O195</f>
        <v>0</v>
      </c>
      <c r="AC284" s="307">
        <f>'Monthly D6 Gallon Data'!$O195</f>
        <v>0</v>
      </c>
      <c r="AD284" s="307">
        <f>'Monthly D6 Gallon Data'!$O195</f>
        <v>0</v>
      </c>
      <c r="AE284" s="307">
        <f>'Monthly D6 Gallon Data'!$O195</f>
        <v>0</v>
      </c>
      <c r="AF284" s="307">
        <f>'Monthly D6 Gallon Data'!$O195</f>
        <v>0</v>
      </c>
      <c r="AG284" s="307">
        <f>'Monthly D6 Gallon Data'!$O195</f>
        <v>0</v>
      </c>
      <c r="AH284" s="307">
        <f>'Monthly D6 Gallon Data'!$O195</f>
        <v>0</v>
      </c>
      <c r="AI284" s="307">
        <f>'Monthly D6 Gallon Data'!$O195</f>
        <v>0</v>
      </c>
      <c r="AJ284" s="307">
        <f>'Monthly D6 Gallon Data'!$O195</f>
        <v>0</v>
      </c>
      <c r="AK284" s="307">
        <f>'Monthly D6 Gallon Data'!$O195</f>
        <v>0</v>
      </c>
      <c r="AL284" s="307">
        <f>'Monthly D6 Gallon Data'!$O195</f>
        <v>0</v>
      </c>
      <c r="AM284" s="307">
        <f>'Monthly D6 Gallon Data'!$O195</f>
        <v>0</v>
      </c>
      <c r="AN284" s="307">
        <f>'Monthly D6 Gallon Data'!$O195</f>
        <v>0</v>
      </c>
      <c r="AO284" s="307">
        <f>'Monthly D6 Gallon Data'!$O195</f>
        <v>0</v>
      </c>
      <c r="AP284" s="307">
        <f>'Monthly D6 Gallon Data'!$O195</f>
        <v>0</v>
      </c>
      <c r="AQ284" s="307">
        <f>'Monthly D6 Gallon Data'!$O195</f>
        <v>0</v>
      </c>
      <c r="AR284" s="307"/>
      <c r="AS284" s="307"/>
      <c r="AT284" s="307"/>
      <c r="AU284" s="307"/>
      <c r="AV284" s="307"/>
      <c r="AW284" s="307"/>
      <c r="AX284" s="307"/>
      <c r="AY284" s="307"/>
      <c r="AZ284" s="307"/>
      <c r="BA284" s="307"/>
      <c r="BB284" s="307"/>
      <c r="BC284" s="308"/>
      <c r="BD284" s="405">
        <f>AVERAGE('D4 Gallon Forecast'!K352:O352)/AVERAGE('D4 Gallon Forecast'!$K$353:$O$353)</f>
        <v>2.6678493199722788E-2</v>
      </c>
      <c r="BK284" s="309">
        <v>0</v>
      </c>
      <c r="BL284" s="308">
        <f t="shared" si="230"/>
        <v>14397</v>
      </c>
      <c r="BM284" s="309">
        <v>0</v>
      </c>
      <c r="BN284" s="308">
        <f t="shared" si="231"/>
        <v>0</v>
      </c>
      <c r="BO284" s="308">
        <v>0</v>
      </c>
      <c r="BP284" s="308">
        <f t="shared" si="232"/>
        <v>0</v>
      </c>
    </row>
    <row r="285" spans="1:68" ht="12" thickBot="1">
      <c r="A285" s="301" t="s">
        <v>29</v>
      </c>
      <c r="B285" s="308">
        <f>SUM(B273:B284)</f>
        <v>0</v>
      </c>
      <c r="C285" s="308">
        <f t="shared" ref="C285:AQ285" si="233">SUM(C273:C284)</f>
        <v>0</v>
      </c>
      <c r="D285" s="308">
        <f t="shared" si="233"/>
        <v>0</v>
      </c>
      <c r="E285" s="308">
        <f t="shared" si="233"/>
        <v>0</v>
      </c>
      <c r="F285" s="308">
        <f t="shared" si="233"/>
        <v>0</v>
      </c>
      <c r="G285" s="308">
        <f t="shared" si="233"/>
        <v>0</v>
      </c>
      <c r="H285" s="308">
        <f t="shared" si="233"/>
        <v>0</v>
      </c>
      <c r="I285" s="308">
        <f t="shared" si="233"/>
        <v>0</v>
      </c>
      <c r="J285" s="308">
        <f t="shared" si="233"/>
        <v>0</v>
      </c>
      <c r="K285" s="308">
        <f t="shared" si="233"/>
        <v>0</v>
      </c>
      <c r="L285" s="308">
        <f t="shared" si="233"/>
        <v>0</v>
      </c>
      <c r="M285" s="308">
        <f t="shared" si="233"/>
        <v>0</v>
      </c>
      <c r="N285" s="308">
        <f t="shared" si="233"/>
        <v>0</v>
      </c>
      <c r="O285" s="308">
        <f t="shared" si="233"/>
        <v>1825308</v>
      </c>
      <c r="P285" s="308">
        <f t="shared" si="233"/>
        <v>38123</v>
      </c>
      <c r="Q285" s="307">
        <f t="shared" si="233"/>
        <v>0</v>
      </c>
      <c r="R285" s="307">
        <f t="shared" si="233"/>
        <v>0</v>
      </c>
      <c r="S285" s="307">
        <f t="shared" si="233"/>
        <v>0</v>
      </c>
      <c r="T285" s="307">
        <f t="shared" si="233"/>
        <v>0</v>
      </c>
      <c r="U285" s="307">
        <f t="shared" si="233"/>
        <v>0</v>
      </c>
      <c r="V285" s="307">
        <f t="shared" si="233"/>
        <v>0</v>
      </c>
      <c r="W285" s="307">
        <f t="shared" si="233"/>
        <v>0</v>
      </c>
      <c r="X285" s="307">
        <f t="shared" si="233"/>
        <v>0</v>
      </c>
      <c r="Y285" s="307">
        <f t="shared" si="233"/>
        <v>0</v>
      </c>
      <c r="Z285" s="307">
        <f t="shared" si="233"/>
        <v>0</v>
      </c>
      <c r="AA285" s="307">
        <f t="shared" si="233"/>
        <v>0</v>
      </c>
      <c r="AB285" s="307">
        <f t="shared" si="233"/>
        <v>0</v>
      </c>
      <c r="AC285" s="307">
        <f t="shared" si="233"/>
        <v>0</v>
      </c>
      <c r="AD285" s="307">
        <f t="shared" si="233"/>
        <v>0</v>
      </c>
      <c r="AE285" s="307">
        <f t="shared" si="233"/>
        <v>0</v>
      </c>
      <c r="AF285" s="307">
        <f t="shared" si="233"/>
        <v>0</v>
      </c>
      <c r="AG285" s="307">
        <f t="shared" si="233"/>
        <v>0</v>
      </c>
      <c r="AH285" s="307">
        <f t="shared" si="233"/>
        <v>0</v>
      </c>
      <c r="AI285" s="307">
        <f t="shared" si="233"/>
        <v>0</v>
      </c>
      <c r="AJ285" s="307">
        <f t="shared" si="233"/>
        <v>0</v>
      </c>
      <c r="AK285" s="307">
        <f t="shared" si="233"/>
        <v>0</v>
      </c>
      <c r="AL285" s="307">
        <f t="shared" si="233"/>
        <v>0</v>
      </c>
      <c r="AM285" s="307">
        <f t="shared" si="233"/>
        <v>0</v>
      </c>
      <c r="AN285" s="307">
        <f t="shared" si="233"/>
        <v>0</v>
      </c>
      <c r="AO285" s="307">
        <f t="shared" si="233"/>
        <v>0</v>
      </c>
      <c r="AP285" s="307">
        <f t="shared" si="233"/>
        <v>0</v>
      </c>
      <c r="AQ285" s="307">
        <f t="shared" si="233"/>
        <v>0</v>
      </c>
      <c r="AR285" s="307"/>
      <c r="AS285" s="307"/>
      <c r="AT285" s="307"/>
      <c r="AU285" s="307"/>
      <c r="AV285" s="307"/>
      <c r="AW285" s="307"/>
      <c r="AX285" s="307"/>
      <c r="AY285" s="307"/>
      <c r="AZ285" s="307"/>
      <c r="BA285" s="307"/>
      <c r="BB285" s="307"/>
      <c r="BC285" s="308"/>
      <c r="BK285" s="309">
        <v>1361133</v>
      </c>
      <c r="BL285" s="308">
        <f t="shared" si="230"/>
        <v>464175</v>
      </c>
      <c r="BM285" s="309">
        <v>38123</v>
      </c>
      <c r="BN285" s="308">
        <f t="shared" si="231"/>
        <v>0</v>
      </c>
      <c r="BO285" s="308">
        <v>0</v>
      </c>
      <c r="BP285" s="308">
        <f t="shared" si="232"/>
        <v>0</v>
      </c>
    </row>
    <row r="286" spans="1:68">
      <c r="A286" s="334"/>
      <c r="B286" s="334"/>
      <c r="C286" s="334"/>
      <c r="D286" s="334"/>
      <c r="E286" s="334"/>
      <c r="F286" s="334"/>
      <c r="G286" s="334"/>
      <c r="H286" s="334"/>
      <c r="I286" s="334"/>
      <c r="J286" s="334"/>
      <c r="K286" s="334"/>
      <c r="L286" s="334"/>
      <c r="M286" s="334"/>
      <c r="N286" s="334"/>
      <c r="O286" s="334"/>
      <c r="P286" s="334"/>
      <c r="Q286" s="334"/>
      <c r="R286" s="334"/>
      <c r="S286" s="334"/>
      <c r="T286" s="334"/>
      <c r="U286" s="334"/>
      <c r="V286" s="334"/>
      <c r="W286" s="334"/>
      <c r="X286" s="334"/>
      <c r="Y286" s="334"/>
      <c r="Z286" s="334"/>
      <c r="AA286" s="334"/>
      <c r="AB286" s="334"/>
      <c r="AC286" s="334"/>
      <c r="AD286" s="334"/>
      <c r="AE286" s="334"/>
      <c r="AF286" s="334"/>
      <c r="AG286" s="334"/>
      <c r="AH286" s="334"/>
      <c r="AI286" s="334"/>
      <c r="AJ286" s="334"/>
      <c r="AK286" s="334"/>
      <c r="AL286" s="334"/>
      <c r="AM286" s="334"/>
      <c r="AN286" s="334"/>
      <c r="AO286" s="334"/>
      <c r="AP286" s="334"/>
      <c r="AQ286" s="334"/>
      <c r="BC286" s="308"/>
    </row>
    <row r="287" spans="1:68" ht="12" thickBot="1">
      <c r="A287" s="300" t="s">
        <v>330</v>
      </c>
      <c r="BC287" s="308"/>
    </row>
    <row r="288" spans="1:68" ht="12" thickBot="1">
      <c r="A288" s="328"/>
      <c r="B288" s="329">
        <f>B2</f>
        <v>2010</v>
      </c>
      <c r="C288" s="329">
        <f t="shared" ref="C288:AQ288" si="234">C2</f>
        <v>2011</v>
      </c>
      <c r="D288" s="329">
        <f t="shared" si="234"/>
        <v>2012</v>
      </c>
      <c r="E288" s="329">
        <f t="shared" si="234"/>
        <v>2013</v>
      </c>
      <c r="F288" s="329">
        <f t="shared" si="234"/>
        <v>2014</v>
      </c>
      <c r="G288" s="329">
        <f t="shared" si="234"/>
        <v>2015</v>
      </c>
      <c r="H288" s="329">
        <f t="shared" si="234"/>
        <v>2016</v>
      </c>
      <c r="I288" s="329">
        <f t="shared" si="234"/>
        <v>2017</v>
      </c>
      <c r="J288" s="329">
        <f t="shared" si="234"/>
        <v>2018</v>
      </c>
      <c r="K288" s="329">
        <f t="shared" si="234"/>
        <v>2019</v>
      </c>
      <c r="L288" s="329">
        <f t="shared" si="234"/>
        <v>2020</v>
      </c>
      <c r="M288" s="329">
        <f t="shared" si="234"/>
        <v>2021</v>
      </c>
      <c r="N288" s="329">
        <f t="shared" si="234"/>
        <v>2022</v>
      </c>
      <c r="O288" s="329">
        <f t="shared" si="234"/>
        <v>2023</v>
      </c>
      <c r="P288" s="329">
        <f t="shared" si="234"/>
        <v>2024</v>
      </c>
      <c r="Q288" s="329">
        <f t="shared" si="234"/>
        <v>2025</v>
      </c>
      <c r="R288" s="329">
        <f t="shared" si="234"/>
        <v>2026</v>
      </c>
      <c r="S288" s="329">
        <f t="shared" si="234"/>
        <v>2027</v>
      </c>
      <c r="T288" s="329">
        <f t="shared" si="234"/>
        <v>2028</v>
      </c>
      <c r="U288" s="329">
        <f t="shared" si="234"/>
        <v>2029</v>
      </c>
      <c r="V288" s="329">
        <f t="shared" si="234"/>
        <v>2030</v>
      </c>
      <c r="W288" s="329">
        <f t="shared" si="234"/>
        <v>2031</v>
      </c>
      <c r="X288" s="329">
        <f t="shared" si="234"/>
        <v>2032</v>
      </c>
      <c r="Y288" s="329">
        <f t="shared" si="234"/>
        <v>2033</v>
      </c>
      <c r="Z288" s="329">
        <f t="shared" si="234"/>
        <v>2034</v>
      </c>
      <c r="AA288" s="329">
        <f t="shared" si="234"/>
        <v>2035</v>
      </c>
      <c r="AB288" s="329">
        <f t="shared" si="234"/>
        <v>2036</v>
      </c>
      <c r="AC288" s="329">
        <f t="shared" si="234"/>
        <v>2037</v>
      </c>
      <c r="AD288" s="329">
        <f t="shared" si="234"/>
        <v>2038</v>
      </c>
      <c r="AE288" s="329">
        <f t="shared" si="234"/>
        <v>2039</v>
      </c>
      <c r="AF288" s="329">
        <f t="shared" si="234"/>
        <v>2040</v>
      </c>
      <c r="AG288" s="329">
        <f t="shared" si="234"/>
        <v>2041</v>
      </c>
      <c r="AH288" s="329">
        <f t="shared" si="234"/>
        <v>2042</v>
      </c>
      <c r="AI288" s="329">
        <f t="shared" si="234"/>
        <v>2043</v>
      </c>
      <c r="AJ288" s="329">
        <f t="shared" si="234"/>
        <v>2044</v>
      </c>
      <c r="AK288" s="329">
        <f t="shared" si="234"/>
        <v>2045</v>
      </c>
      <c r="AL288" s="329">
        <f t="shared" si="234"/>
        <v>2046</v>
      </c>
      <c r="AM288" s="329">
        <f t="shared" si="234"/>
        <v>2047</v>
      </c>
      <c r="AN288" s="329">
        <f t="shared" si="234"/>
        <v>2048</v>
      </c>
      <c r="AO288" s="329">
        <f t="shared" si="234"/>
        <v>2049</v>
      </c>
      <c r="AP288" s="329">
        <f t="shared" si="234"/>
        <v>2050</v>
      </c>
      <c r="AQ288" s="329">
        <f t="shared" si="234"/>
        <v>2051</v>
      </c>
      <c r="AR288" s="300"/>
      <c r="AS288" s="300"/>
      <c r="AT288" s="300"/>
      <c r="AU288" s="300"/>
      <c r="AV288" s="300"/>
      <c r="AW288" s="300"/>
      <c r="AX288" s="300"/>
      <c r="AY288" s="300"/>
      <c r="AZ288" s="300"/>
      <c r="BA288" s="300"/>
      <c r="BB288" s="300"/>
      <c r="BC288" s="308"/>
    </row>
    <row r="289" spans="1:68">
      <c r="A289" s="301" t="s">
        <v>43</v>
      </c>
      <c r="B289" s="308">
        <f>'Monthly D6 Gallon Data'!$P4</f>
        <v>0</v>
      </c>
      <c r="C289" s="308">
        <f>'Monthly D6 Gallon Data'!$P16</f>
        <v>0</v>
      </c>
      <c r="D289" s="308">
        <f>'Monthly D6 Gallon Data'!$P28</f>
        <v>0</v>
      </c>
      <c r="E289" s="308">
        <f>'Monthly D6 Gallon Data'!$P40</f>
        <v>0</v>
      </c>
      <c r="F289" s="308">
        <f>'Monthly D6 Gallon Data'!$P52</f>
        <v>0</v>
      </c>
      <c r="G289" s="308">
        <f>'Monthly D6 Gallon Data'!$P64</f>
        <v>0</v>
      </c>
      <c r="H289" s="308">
        <f>'Monthly D6 Gallon Data'!$P76</f>
        <v>0</v>
      </c>
      <c r="I289" s="308">
        <f>'Monthly D6 Gallon Data'!$P88</f>
        <v>0</v>
      </c>
      <c r="J289" s="308">
        <f>'Monthly D6 Gallon Data'!$P100</f>
        <v>0</v>
      </c>
      <c r="K289" s="308">
        <f>'Monthly D6 Gallon Data'!$P112</f>
        <v>0</v>
      </c>
      <c r="L289" s="308">
        <f>'Monthly D6 Gallon Data'!$P124</f>
        <v>0</v>
      </c>
      <c r="M289" s="308">
        <f>'Monthly D6 Gallon Data'!$P136</f>
        <v>0</v>
      </c>
      <c r="N289" s="308">
        <f>'Monthly D6 Gallon Data'!$P148</f>
        <v>0</v>
      </c>
      <c r="O289" s="308">
        <f>'Monthly D6 Gallon Data'!$P160</f>
        <v>0</v>
      </c>
      <c r="P289" s="308">
        <f>'Monthly D6 Gallon Data'!$P172</f>
        <v>0</v>
      </c>
      <c r="Q289" s="308">
        <f>'Monthly D6 Gallon Data'!$P184</f>
        <v>0</v>
      </c>
      <c r="R289" s="307">
        <f>'Monthly D6 Gallon Data'!$P196</f>
        <v>0</v>
      </c>
      <c r="S289" s="307">
        <f>'Monthly D6 Gallon Data'!$P184</f>
        <v>0</v>
      </c>
      <c r="T289" s="307">
        <f>'Monthly D6 Gallon Data'!$P184</f>
        <v>0</v>
      </c>
      <c r="U289" s="307">
        <f>'Monthly D6 Gallon Data'!$P184</f>
        <v>0</v>
      </c>
      <c r="V289" s="307">
        <f>'Monthly D6 Gallon Data'!$P184</f>
        <v>0</v>
      </c>
      <c r="W289" s="307">
        <f>'Monthly D6 Gallon Data'!$P184</f>
        <v>0</v>
      </c>
      <c r="X289" s="307">
        <f>'Monthly D6 Gallon Data'!$P184</f>
        <v>0</v>
      </c>
      <c r="Y289" s="307">
        <f>'Monthly D6 Gallon Data'!$P184</f>
        <v>0</v>
      </c>
      <c r="Z289" s="307">
        <f>'Monthly D6 Gallon Data'!$P184</f>
        <v>0</v>
      </c>
      <c r="AA289" s="307">
        <f>'Monthly D6 Gallon Data'!$P184</f>
        <v>0</v>
      </c>
      <c r="AB289" s="307">
        <f>'Monthly D6 Gallon Data'!$P184</f>
        <v>0</v>
      </c>
      <c r="AC289" s="307">
        <f>'Monthly D6 Gallon Data'!$P184</f>
        <v>0</v>
      </c>
      <c r="AD289" s="307">
        <f>'Monthly D6 Gallon Data'!$P184</f>
        <v>0</v>
      </c>
      <c r="AE289" s="307">
        <f>'Monthly D6 Gallon Data'!$P184</f>
        <v>0</v>
      </c>
      <c r="AF289" s="307">
        <f>'Monthly D6 Gallon Data'!$P184</f>
        <v>0</v>
      </c>
      <c r="AG289" s="307">
        <f>'Monthly D6 Gallon Data'!$P184</f>
        <v>0</v>
      </c>
      <c r="AH289" s="307">
        <f>'Monthly D6 Gallon Data'!$P184</f>
        <v>0</v>
      </c>
      <c r="AI289" s="307">
        <f>'Monthly D6 Gallon Data'!$P184</f>
        <v>0</v>
      </c>
      <c r="AJ289" s="307">
        <f>'Monthly D6 Gallon Data'!$P184</f>
        <v>0</v>
      </c>
      <c r="AK289" s="307">
        <f>'Monthly D6 Gallon Data'!$P184</f>
        <v>0</v>
      </c>
      <c r="AL289" s="307">
        <f>'Monthly D6 Gallon Data'!$P184</f>
        <v>0</v>
      </c>
      <c r="AM289" s="307">
        <f>'Monthly D6 Gallon Data'!$P184</f>
        <v>0</v>
      </c>
      <c r="AN289" s="307">
        <f>'Monthly D6 Gallon Data'!$P184</f>
        <v>0</v>
      </c>
      <c r="AO289" s="307">
        <f>'Monthly D6 Gallon Data'!$P184</f>
        <v>0</v>
      </c>
      <c r="AP289" s="307">
        <f>'Monthly D6 Gallon Data'!$P184</f>
        <v>0</v>
      </c>
      <c r="AQ289" s="307">
        <f>'Monthly D6 Gallon Data'!$P184</f>
        <v>0</v>
      </c>
      <c r="AR289" s="307"/>
      <c r="AS289" s="307"/>
      <c r="AT289" s="307"/>
      <c r="AU289" s="307"/>
      <c r="AV289" s="307"/>
      <c r="AW289" s="307"/>
      <c r="AX289" s="307"/>
      <c r="AY289" s="307"/>
      <c r="AZ289" s="307"/>
      <c r="BA289" s="307"/>
      <c r="BB289" s="307"/>
      <c r="BC289" s="308"/>
      <c r="BK289" s="308">
        <f>'Monthly D6 Gallon Data'!$P160</f>
        <v>0</v>
      </c>
      <c r="BL289" s="308">
        <f t="shared" ref="BL289:BL301" si="235">O289-BK289</f>
        <v>0</v>
      </c>
      <c r="BM289" s="308">
        <v>0</v>
      </c>
      <c r="BN289" s="308">
        <f t="shared" ref="BN289:BN301" si="236">P289-BM289</f>
        <v>0</v>
      </c>
      <c r="BO289" s="308">
        <v>0</v>
      </c>
      <c r="BP289" s="308">
        <f t="shared" ref="BP289:BP301" si="237">BO289-Q289</f>
        <v>0</v>
      </c>
    </row>
    <row r="290" spans="1:68">
      <c r="A290" s="301" t="s">
        <v>44</v>
      </c>
      <c r="B290" s="308">
        <f>'Monthly D6 Gallon Data'!$P5</f>
        <v>0</v>
      </c>
      <c r="C290" s="308">
        <f>'Monthly D6 Gallon Data'!$P17</f>
        <v>0</v>
      </c>
      <c r="D290" s="308">
        <f>'Monthly D6 Gallon Data'!$P29</f>
        <v>0</v>
      </c>
      <c r="E290" s="308">
        <f>'Monthly D6 Gallon Data'!$P41</f>
        <v>0</v>
      </c>
      <c r="F290" s="308">
        <f>'Monthly D6 Gallon Data'!$P53</f>
        <v>0</v>
      </c>
      <c r="G290" s="308">
        <f>'Monthly D6 Gallon Data'!$P65</f>
        <v>0</v>
      </c>
      <c r="H290" s="308">
        <f>'Monthly D6 Gallon Data'!$P77</f>
        <v>0</v>
      </c>
      <c r="I290" s="308">
        <f>'Monthly D6 Gallon Data'!$P89</f>
        <v>0</v>
      </c>
      <c r="J290" s="308">
        <f>'Monthly D6 Gallon Data'!$P101</f>
        <v>0</v>
      </c>
      <c r="K290" s="308">
        <f>'Monthly D6 Gallon Data'!$P113</f>
        <v>0</v>
      </c>
      <c r="L290" s="308">
        <f>'Monthly D6 Gallon Data'!$P125</f>
        <v>0</v>
      </c>
      <c r="M290" s="308">
        <f>'Monthly D6 Gallon Data'!$P137</f>
        <v>0</v>
      </c>
      <c r="N290" s="308">
        <f>'Monthly D6 Gallon Data'!$P149</f>
        <v>0</v>
      </c>
      <c r="O290" s="308">
        <f>'Monthly D6 Gallon Data'!$P161</f>
        <v>0</v>
      </c>
      <c r="P290" s="308">
        <f>'Monthly D6 Gallon Data'!$P173</f>
        <v>0</v>
      </c>
      <c r="Q290" s="332">
        <f>'Monthly D6 Gallon Data'!$P185</f>
        <v>0</v>
      </c>
      <c r="R290" s="307">
        <f>'Monthly D6 Gallon Data'!$P197</f>
        <v>0</v>
      </c>
      <c r="S290" s="307">
        <f>'Monthly D6 Gallon Data'!$P185</f>
        <v>0</v>
      </c>
      <c r="T290" s="307">
        <f>'Monthly D6 Gallon Data'!$P185</f>
        <v>0</v>
      </c>
      <c r="U290" s="307">
        <f>'Monthly D6 Gallon Data'!$P185</f>
        <v>0</v>
      </c>
      <c r="V290" s="307">
        <f>'Monthly D6 Gallon Data'!$P185</f>
        <v>0</v>
      </c>
      <c r="W290" s="307">
        <f>'Monthly D6 Gallon Data'!$P185</f>
        <v>0</v>
      </c>
      <c r="X290" s="307">
        <f>'Monthly D6 Gallon Data'!$P185</f>
        <v>0</v>
      </c>
      <c r="Y290" s="307">
        <f>'Monthly D6 Gallon Data'!$P185</f>
        <v>0</v>
      </c>
      <c r="Z290" s="307">
        <f>'Monthly D6 Gallon Data'!$P185</f>
        <v>0</v>
      </c>
      <c r="AA290" s="307">
        <f>'Monthly D6 Gallon Data'!$P185</f>
        <v>0</v>
      </c>
      <c r="AB290" s="307">
        <f>'Monthly D6 Gallon Data'!$P185</f>
        <v>0</v>
      </c>
      <c r="AC290" s="307">
        <f>'Monthly D6 Gallon Data'!$P185</f>
        <v>0</v>
      </c>
      <c r="AD290" s="307">
        <f>'Monthly D6 Gallon Data'!$P185</f>
        <v>0</v>
      </c>
      <c r="AE290" s="307">
        <f>'Monthly D6 Gallon Data'!$P185</f>
        <v>0</v>
      </c>
      <c r="AF290" s="307">
        <f>'Monthly D6 Gallon Data'!$P185</f>
        <v>0</v>
      </c>
      <c r="AG290" s="307">
        <f>'Monthly D6 Gallon Data'!$P185</f>
        <v>0</v>
      </c>
      <c r="AH290" s="307">
        <f>'Monthly D6 Gallon Data'!$P185</f>
        <v>0</v>
      </c>
      <c r="AI290" s="307">
        <f>'Monthly D6 Gallon Data'!$P185</f>
        <v>0</v>
      </c>
      <c r="AJ290" s="307">
        <f>'Monthly D6 Gallon Data'!$P185</f>
        <v>0</v>
      </c>
      <c r="AK290" s="307">
        <f>'Monthly D6 Gallon Data'!$P185</f>
        <v>0</v>
      </c>
      <c r="AL290" s="307">
        <f>'Monthly D6 Gallon Data'!$P185</f>
        <v>0</v>
      </c>
      <c r="AM290" s="307">
        <f>'Monthly D6 Gallon Data'!$P185</f>
        <v>0</v>
      </c>
      <c r="AN290" s="307">
        <f>'Monthly D6 Gallon Data'!$P185</f>
        <v>0</v>
      </c>
      <c r="AO290" s="307">
        <f>'Monthly D6 Gallon Data'!$P185</f>
        <v>0</v>
      </c>
      <c r="AP290" s="307">
        <f>'Monthly D6 Gallon Data'!$P185</f>
        <v>0</v>
      </c>
      <c r="AQ290" s="307">
        <f>'Monthly D6 Gallon Data'!$P185</f>
        <v>0</v>
      </c>
      <c r="AR290" s="307"/>
      <c r="AS290" s="307"/>
      <c r="AT290" s="307"/>
      <c r="AU290" s="307"/>
      <c r="AV290" s="307"/>
      <c r="AW290" s="307"/>
      <c r="AX290" s="307"/>
      <c r="AY290" s="307"/>
      <c r="AZ290" s="307"/>
      <c r="BA290" s="307"/>
      <c r="BB290" s="307"/>
      <c r="BC290" s="308"/>
      <c r="BK290" s="308">
        <f>'Monthly D6 Gallon Data'!$P161</f>
        <v>0</v>
      </c>
      <c r="BL290" s="308">
        <f t="shared" si="235"/>
        <v>0</v>
      </c>
      <c r="BM290" s="308">
        <v>0</v>
      </c>
      <c r="BN290" s="308">
        <f t="shared" si="236"/>
        <v>0</v>
      </c>
      <c r="BO290" s="308">
        <v>0</v>
      </c>
      <c r="BP290" s="308">
        <f t="shared" si="237"/>
        <v>0</v>
      </c>
    </row>
    <row r="291" spans="1:68">
      <c r="A291" s="301" t="s">
        <v>45</v>
      </c>
      <c r="B291" s="308">
        <f>'Monthly D6 Gallon Data'!$P6</f>
        <v>0</v>
      </c>
      <c r="C291" s="308">
        <f>'Monthly D6 Gallon Data'!$P18</f>
        <v>0</v>
      </c>
      <c r="D291" s="308">
        <f>'Monthly D6 Gallon Data'!$P30</f>
        <v>0</v>
      </c>
      <c r="E291" s="308">
        <f>'Monthly D6 Gallon Data'!$P42</f>
        <v>0</v>
      </c>
      <c r="F291" s="308">
        <f>'Monthly D6 Gallon Data'!$P54</f>
        <v>0</v>
      </c>
      <c r="G291" s="308">
        <f>'Monthly D6 Gallon Data'!$P66</f>
        <v>0</v>
      </c>
      <c r="H291" s="308">
        <f>'Monthly D6 Gallon Data'!$P78</f>
        <v>0</v>
      </c>
      <c r="I291" s="308">
        <f>'Monthly D6 Gallon Data'!$P90</f>
        <v>0</v>
      </c>
      <c r="J291" s="308">
        <f>'Monthly D6 Gallon Data'!$P102</f>
        <v>0</v>
      </c>
      <c r="K291" s="308">
        <f>'Monthly D6 Gallon Data'!$P114</f>
        <v>0</v>
      </c>
      <c r="L291" s="308">
        <f>'Monthly D6 Gallon Data'!$P126</f>
        <v>0</v>
      </c>
      <c r="M291" s="308">
        <f>'Monthly D6 Gallon Data'!$P138</f>
        <v>0</v>
      </c>
      <c r="N291" s="308">
        <f>'Monthly D6 Gallon Data'!$P150</f>
        <v>0</v>
      </c>
      <c r="O291" s="308">
        <f>'Monthly D6 Gallon Data'!$P162</f>
        <v>0</v>
      </c>
      <c r="P291" s="308">
        <f>'Monthly D6 Gallon Data'!$P174</f>
        <v>0</v>
      </c>
      <c r="Q291" s="332">
        <f>'Monthly D6 Gallon Data'!$P186</f>
        <v>0</v>
      </c>
      <c r="R291" s="307">
        <f>'Monthly D6 Gallon Data'!$P198</f>
        <v>0</v>
      </c>
      <c r="S291" s="307">
        <f>'Monthly D6 Gallon Data'!$P186</f>
        <v>0</v>
      </c>
      <c r="T291" s="307">
        <f>'Monthly D6 Gallon Data'!$P186</f>
        <v>0</v>
      </c>
      <c r="U291" s="307">
        <f>'Monthly D6 Gallon Data'!$P186</f>
        <v>0</v>
      </c>
      <c r="V291" s="307">
        <f>'Monthly D6 Gallon Data'!$P186</f>
        <v>0</v>
      </c>
      <c r="W291" s="307">
        <f>'Monthly D6 Gallon Data'!$P186</f>
        <v>0</v>
      </c>
      <c r="X291" s="307">
        <f>'Monthly D6 Gallon Data'!$P186</f>
        <v>0</v>
      </c>
      <c r="Y291" s="307">
        <f>'Monthly D6 Gallon Data'!$P186</f>
        <v>0</v>
      </c>
      <c r="Z291" s="307">
        <f>'Monthly D6 Gallon Data'!$P186</f>
        <v>0</v>
      </c>
      <c r="AA291" s="307">
        <f>'Monthly D6 Gallon Data'!$P186</f>
        <v>0</v>
      </c>
      <c r="AB291" s="307">
        <f>'Monthly D6 Gallon Data'!$P186</f>
        <v>0</v>
      </c>
      <c r="AC291" s="307">
        <f>'Monthly D6 Gallon Data'!$P186</f>
        <v>0</v>
      </c>
      <c r="AD291" s="307">
        <f>'Monthly D6 Gallon Data'!$P186</f>
        <v>0</v>
      </c>
      <c r="AE291" s="307">
        <f>'Monthly D6 Gallon Data'!$P186</f>
        <v>0</v>
      </c>
      <c r="AF291" s="307">
        <f>'Monthly D6 Gallon Data'!$P186</f>
        <v>0</v>
      </c>
      <c r="AG291" s="307">
        <f>'Monthly D6 Gallon Data'!$P186</f>
        <v>0</v>
      </c>
      <c r="AH291" s="307">
        <f>'Monthly D6 Gallon Data'!$P186</f>
        <v>0</v>
      </c>
      <c r="AI291" s="307">
        <f>'Monthly D6 Gallon Data'!$P186</f>
        <v>0</v>
      </c>
      <c r="AJ291" s="307">
        <f>'Monthly D6 Gallon Data'!$P186</f>
        <v>0</v>
      </c>
      <c r="AK291" s="307">
        <f>'Monthly D6 Gallon Data'!$P186</f>
        <v>0</v>
      </c>
      <c r="AL291" s="307">
        <f>'Monthly D6 Gallon Data'!$P186</f>
        <v>0</v>
      </c>
      <c r="AM291" s="307">
        <f>'Monthly D6 Gallon Data'!$P186</f>
        <v>0</v>
      </c>
      <c r="AN291" s="307">
        <f>'Monthly D6 Gallon Data'!$P186</f>
        <v>0</v>
      </c>
      <c r="AO291" s="307">
        <f>'Monthly D6 Gallon Data'!$P186</f>
        <v>0</v>
      </c>
      <c r="AP291" s="307">
        <f>'Monthly D6 Gallon Data'!$P186</f>
        <v>0</v>
      </c>
      <c r="AQ291" s="307">
        <f>'Monthly D6 Gallon Data'!$P186</f>
        <v>0</v>
      </c>
      <c r="AR291" s="307"/>
      <c r="AS291" s="307"/>
      <c r="AT291" s="307"/>
      <c r="AU291" s="307"/>
      <c r="AV291" s="307"/>
      <c r="AW291" s="307"/>
      <c r="AX291" s="307"/>
      <c r="AY291" s="307"/>
      <c r="AZ291" s="307"/>
      <c r="BA291" s="307"/>
      <c r="BB291" s="307"/>
      <c r="BC291" s="308"/>
      <c r="BK291" s="308">
        <f>'Monthly D6 Gallon Data'!$P162</f>
        <v>0</v>
      </c>
      <c r="BL291" s="308">
        <f t="shared" si="235"/>
        <v>0</v>
      </c>
      <c r="BM291" s="308">
        <v>0</v>
      </c>
      <c r="BN291" s="308">
        <f t="shared" si="236"/>
        <v>0</v>
      </c>
      <c r="BO291" s="308">
        <v>0</v>
      </c>
      <c r="BP291" s="308">
        <f t="shared" si="237"/>
        <v>0</v>
      </c>
    </row>
    <row r="292" spans="1:68">
      <c r="A292" s="301" t="s">
        <v>46</v>
      </c>
      <c r="B292" s="308">
        <f>'Monthly D6 Gallon Data'!$P7</f>
        <v>0</v>
      </c>
      <c r="C292" s="308">
        <f>'Monthly D6 Gallon Data'!$P19</f>
        <v>0</v>
      </c>
      <c r="D292" s="308">
        <f>'Monthly D6 Gallon Data'!$P31</f>
        <v>0</v>
      </c>
      <c r="E292" s="308">
        <f>'Monthly D6 Gallon Data'!$P43</f>
        <v>0</v>
      </c>
      <c r="F292" s="308">
        <f>'Monthly D6 Gallon Data'!$P55</f>
        <v>0</v>
      </c>
      <c r="G292" s="308">
        <f>'Monthly D6 Gallon Data'!$P67</f>
        <v>0</v>
      </c>
      <c r="H292" s="308">
        <f>'Monthly D6 Gallon Data'!$P79</f>
        <v>0</v>
      </c>
      <c r="I292" s="308">
        <f>'Monthly D6 Gallon Data'!$P91</f>
        <v>0</v>
      </c>
      <c r="J292" s="308">
        <f>'Monthly D6 Gallon Data'!$P103</f>
        <v>0</v>
      </c>
      <c r="K292" s="308">
        <f>'Monthly D6 Gallon Data'!$P115</f>
        <v>0</v>
      </c>
      <c r="L292" s="308">
        <f>'Monthly D6 Gallon Data'!$P127</f>
        <v>0</v>
      </c>
      <c r="M292" s="308">
        <f>'Monthly D6 Gallon Data'!$P139</f>
        <v>0</v>
      </c>
      <c r="N292" s="308">
        <f>'Monthly D6 Gallon Data'!$P151</f>
        <v>0</v>
      </c>
      <c r="O292" s="308">
        <f>'Monthly D6 Gallon Data'!$P163</f>
        <v>0</v>
      </c>
      <c r="P292" s="308">
        <f>'Monthly D6 Gallon Data'!$P175</f>
        <v>0</v>
      </c>
      <c r="Q292" s="307">
        <f>'Monthly D6 Gallon Data'!$P187</f>
        <v>0</v>
      </c>
      <c r="R292" s="307">
        <f>'Monthly D6 Gallon Data'!$P199</f>
        <v>0</v>
      </c>
      <c r="S292" s="307">
        <f>'Monthly D6 Gallon Data'!$P187</f>
        <v>0</v>
      </c>
      <c r="T292" s="307">
        <f>'Monthly D6 Gallon Data'!$P187</f>
        <v>0</v>
      </c>
      <c r="U292" s="307">
        <f>'Monthly D6 Gallon Data'!$P187</f>
        <v>0</v>
      </c>
      <c r="V292" s="307">
        <f>'Monthly D6 Gallon Data'!$P187</f>
        <v>0</v>
      </c>
      <c r="W292" s="307">
        <f>'Monthly D6 Gallon Data'!$P187</f>
        <v>0</v>
      </c>
      <c r="X292" s="307">
        <f>'Monthly D6 Gallon Data'!$P187</f>
        <v>0</v>
      </c>
      <c r="Y292" s="307">
        <f>'Monthly D6 Gallon Data'!$P187</f>
        <v>0</v>
      </c>
      <c r="Z292" s="307">
        <f>'Monthly D6 Gallon Data'!$P187</f>
        <v>0</v>
      </c>
      <c r="AA292" s="307">
        <f>'Monthly D6 Gallon Data'!$P187</f>
        <v>0</v>
      </c>
      <c r="AB292" s="307">
        <f>'Monthly D6 Gallon Data'!$P187</f>
        <v>0</v>
      </c>
      <c r="AC292" s="307">
        <f>'Monthly D6 Gallon Data'!$P187</f>
        <v>0</v>
      </c>
      <c r="AD292" s="307">
        <f>'Monthly D6 Gallon Data'!$P187</f>
        <v>0</v>
      </c>
      <c r="AE292" s="307">
        <f>'Monthly D6 Gallon Data'!$P187</f>
        <v>0</v>
      </c>
      <c r="AF292" s="307">
        <f>'Monthly D6 Gallon Data'!$P187</f>
        <v>0</v>
      </c>
      <c r="AG292" s="307">
        <f>'Monthly D6 Gallon Data'!$P187</f>
        <v>0</v>
      </c>
      <c r="AH292" s="307">
        <f>'Monthly D6 Gallon Data'!$P187</f>
        <v>0</v>
      </c>
      <c r="AI292" s="307">
        <f>'Monthly D6 Gallon Data'!$P187</f>
        <v>0</v>
      </c>
      <c r="AJ292" s="307">
        <f>'Monthly D6 Gallon Data'!$P187</f>
        <v>0</v>
      </c>
      <c r="AK292" s="307">
        <f>'Monthly D6 Gallon Data'!$P187</f>
        <v>0</v>
      </c>
      <c r="AL292" s="307">
        <f>'Monthly D6 Gallon Data'!$P187</f>
        <v>0</v>
      </c>
      <c r="AM292" s="307">
        <f>'Monthly D6 Gallon Data'!$P187</f>
        <v>0</v>
      </c>
      <c r="AN292" s="307">
        <f>'Monthly D6 Gallon Data'!$P187</f>
        <v>0</v>
      </c>
      <c r="AO292" s="307">
        <f>'Monthly D6 Gallon Data'!$P187</f>
        <v>0</v>
      </c>
      <c r="AP292" s="307">
        <f>'Monthly D6 Gallon Data'!$P187</f>
        <v>0</v>
      </c>
      <c r="AQ292" s="307">
        <f>'Monthly D6 Gallon Data'!$P187</f>
        <v>0</v>
      </c>
      <c r="AR292" s="307"/>
      <c r="AS292" s="307"/>
      <c r="AT292" s="307"/>
      <c r="AU292" s="307"/>
      <c r="AV292" s="307"/>
      <c r="AW292" s="307"/>
      <c r="AX292" s="307"/>
      <c r="AY292" s="307"/>
      <c r="AZ292" s="307"/>
      <c r="BA292" s="307"/>
      <c r="BB292" s="307"/>
      <c r="BC292" s="308"/>
      <c r="BK292" s="308">
        <f>'Monthly D6 Gallon Data'!$P163</f>
        <v>0</v>
      </c>
      <c r="BL292" s="308">
        <f t="shared" si="235"/>
        <v>0</v>
      </c>
      <c r="BM292" s="308">
        <v>0</v>
      </c>
      <c r="BN292" s="308">
        <f t="shared" si="236"/>
        <v>0</v>
      </c>
      <c r="BO292" s="308">
        <v>0</v>
      </c>
      <c r="BP292" s="308">
        <f t="shared" si="237"/>
        <v>0</v>
      </c>
    </row>
    <row r="293" spans="1:68">
      <c r="A293" s="301" t="s">
        <v>47</v>
      </c>
      <c r="B293" s="308">
        <f>'Monthly D6 Gallon Data'!$P8</f>
        <v>0</v>
      </c>
      <c r="C293" s="308">
        <f>'Monthly D6 Gallon Data'!$P20</f>
        <v>0</v>
      </c>
      <c r="D293" s="308">
        <f>'Monthly D6 Gallon Data'!$P32</f>
        <v>0</v>
      </c>
      <c r="E293" s="308">
        <f>'Monthly D6 Gallon Data'!$P44</f>
        <v>0</v>
      </c>
      <c r="F293" s="308">
        <f>'Monthly D6 Gallon Data'!$P56</f>
        <v>0</v>
      </c>
      <c r="G293" s="308">
        <f>'Monthly D6 Gallon Data'!$P68</f>
        <v>0</v>
      </c>
      <c r="H293" s="308">
        <f>'Monthly D6 Gallon Data'!$P80</f>
        <v>0</v>
      </c>
      <c r="I293" s="308">
        <f>'Monthly D6 Gallon Data'!$P92</f>
        <v>0</v>
      </c>
      <c r="J293" s="308">
        <f>'Monthly D6 Gallon Data'!$P104</f>
        <v>0</v>
      </c>
      <c r="K293" s="308">
        <f>'Monthly D6 Gallon Data'!$P116</f>
        <v>0</v>
      </c>
      <c r="L293" s="308">
        <f>'Monthly D6 Gallon Data'!$P128</f>
        <v>0</v>
      </c>
      <c r="M293" s="308">
        <f>'Monthly D6 Gallon Data'!$P140</f>
        <v>0</v>
      </c>
      <c r="N293" s="308">
        <f>'Monthly D6 Gallon Data'!$P152</f>
        <v>0</v>
      </c>
      <c r="O293" s="308">
        <f>'Monthly D6 Gallon Data'!$P164</f>
        <v>0</v>
      </c>
      <c r="P293" s="308">
        <f>'Monthly D6 Gallon Data'!$P176</f>
        <v>0</v>
      </c>
      <c r="Q293" s="307">
        <f>'Monthly D6 Gallon Data'!$P188</f>
        <v>0</v>
      </c>
      <c r="R293" s="307">
        <f>'Monthly D6 Gallon Data'!$P200</f>
        <v>0</v>
      </c>
      <c r="S293" s="307">
        <f>'Monthly D6 Gallon Data'!$P188</f>
        <v>0</v>
      </c>
      <c r="T293" s="307">
        <f>'Monthly D6 Gallon Data'!$P188</f>
        <v>0</v>
      </c>
      <c r="U293" s="307">
        <f>'Monthly D6 Gallon Data'!$P188</f>
        <v>0</v>
      </c>
      <c r="V293" s="307">
        <f>'Monthly D6 Gallon Data'!$P188</f>
        <v>0</v>
      </c>
      <c r="W293" s="307">
        <f>'Monthly D6 Gallon Data'!$P188</f>
        <v>0</v>
      </c>
      <c r="X293" s="307">
        <f>'Monthly D6 Gallon Data'!$P188</f>
        <v>0</v>
      </c>
      <c r="Y293" s="307">
        <f>'Monthly D6 Gallon Data'!$P188</f>
        <v>0</v>
      </c>
      <c r="Z293" s="307">
        <f>'Monthly D6 Gallon Data'!$P188</f>
        <v>0</v>
      </c>
      <c r="AA293" s="307">
        <f>'Monthly D6 Gallon Data'!$P188</f>
        <v>0</v>
      </c>
      <c r="AB293" s="307">
        <f>'Monthly D6 Gallon Data'!$P188</f>
        <v>0</v>
      </c>
      <c r="AC293" s="307">
        <f>'Monthly D6 Gallon Data'!$P188</f>
        <v>0</v>
      </c>
      <c r="AD293" s="307">
        <f>'Monthly D6 Gallon Data'!$P188</f>
        <v>0</v>
      </c>
      <c r="AE293" s="307">
        <f>'Monthly D6 Gallon Data'!$P188</f>
        <v>0</v>
      </c>
      <c r="AF293" s="307">
        <f>'Monthly D6 Gallon Data'!$P188</f>
        <v>0</v>
      </c>
      <c r="AG293" s="307">
        <f>'Monthly D6 Gallon Data'!$P188</f>
        <v>0</v>
      </c>
      <c r="AH293" s="307">
        <f>'Monthly D6 Gallon Data'!$P188</f>
        <v>0</v>
      </c>
      <c r="AI293" s="307">
        <f>'Monthly D6 Gallon Data'!$P188</f>
        <v>0</v>
      </c>
      <c r="AJ293" s="307">
        <f>'Monthly D6 Gallon Data'!$P188</f>
        <v>0</v>
      </c>
      <c r="AK293" s="307">
        <f>'Monthly D6 Gallon Data'!$P188</f>
        <v>0</v>
      </c>
      <c r="AL293" s="307">
        <f>'Monthly D6 Gallon Data'!$P188</f>
        <v>0</v>
      </c>
      <c r="AM293" s="307">
        <f>'Monthly D6 Gallon Data'!$P188</f>
        <v>0</v>
      </c>
      <c r="AN293" s="307">
        <f>'Monthly D6 Gallon Data'!$P188</f>
        <v>0</v>
      </c>
      <c r="AO293" s="307">
        <f>'Monthly D6 Gallon Data'!$P188</f>
        <v>0</v>
      </c>
      <c r="AP293" s="307">
        <f>'Monthly D6 Gallon Data'!$P188</f>
        <v>0</v>
      </c>
      <c r="AQ293" s="307">
        <f>'Monthly D6 Gallon Data'!$P188</f>
        <v>0</v>
      </c>
      <c r="AR293" s="307"/>
      <c r="AS293" s="307"/>
      <c r="AT293" s="307"/>
      <c r="AU293" s="307"/>
      <c r="AV293" s="307"/>
      <c r="AW293" s="307"/>
      <c r="AX293" s="307"/>
      <c r="AY293" s="307"/>
      <c r="AZ293" s="307"/>
      <c r="BA293" s="307"/>
      <c r="BB293" s="307"/>
      <c r="BC293" s="308"/>
      <c r="BK293" s="308">
        <f>'Monthly D6 Gallon Data'!$P164</f>
        <v>0</v>
      </c>
      <c r="BL293" s="308">
        <f t="shared" si="235"/>
        <v>0</v>
      </c>
      <c r="BM293" s="308">
        <v>0</v>
      </c>
      <c r="BN293" s="308">
        <f t="shared" si="236"/>
        <v>0</v>
      </c>
      <c r="BO293" s="308">
        <v>0</v>
      </c>
      <c r="BP293" s="308">
        <f t="shared" si="237"/>
        <v>0</v>
      </c>
    </row>
    <row r="294" spans="1:68">
      <c r="A294" s="301" t="s">
        <v>48</v>
      </c>
      <c r="B294" s="308">
        <f>'Monthly D6 Gallon Data'!$P9</f>
        <v>0</v>
      </c>
      <c r="C294" s="308">
        <f>'Monthly D6 Gallon Data'!$P21</f>
        <v>0</v>
      </c>
      <c r="D294" s="308">
        <f>'Monthly D6 Gallon Data'!$P33</f>
        <v>0</v>
      </c>
      <c r="E294" s="308">
        <f>'Monthly D6 Gallon Data'!$P45</f>
        <v>0</v>
      </c>
      <c r="F294" s="308">
        <f>'Monthly D6 Gallon Data'!$P57</f>
        <v>0</v>
      </c>
      <c r="G294" s="308">
        <f>'Monthly D6 Gallon Data'!$P69</f>
        <v>0</v>
      </c>
      <c r="H294" s="308">
        <f>'Monthly D6 Gallon Data'!$P81</f>
        <v>0</v>
      </c>
      <c r="I294" s="308">
        <f>'Monthly D6 Gallon Data'!$P93</f>
        <v>0</v>
      </c>
      <c r="J294" s="308">
        <f>'Monthly D6 Gallon Data'!$P105</f>
        <v>0</v>
      </c>
      <c r="K294" s="308">
        <f>'Monthly D6 Gallon Data'!$P117</f>
        <v>0</v>
      </c>
      <c r="L294" s="308">
        <f>'Monthly D6 Gallon Data'!$P129</f>
        <v>0</v>
      </c>
      <c r="M294" s="308">
        <f>'Monthly D6 Gallon Data'!$P141</f>
        <v>0</v>
      </c>
      <c r="N294" s="308">
        <f>'Monthly D6 Gallon Data'!$P153</f>
        <v>0</v>
      </c>
      <c r="O294" s="308">
        <f>'Monthly D6 Gallon Data'!$P165</f>
        <v>0</v>
      </c>
      <c r="P294" s="308">
        <f>'Monthly D6 Gallon Data'!$P177</f>
        <v>0</v>
      </c>
      <c r="Q294" s="307">
        <f>'Monthly D6 Gallon Data'!$P189</f>
        <v>0</v>
      </c>
      <c r="R294" s="307">
        <f>'Monthly D6 Gallon Data'!$P201</f>
        <v>0</v>
      </c>
      <c r="S294" s="307">
        <f>'Monthly D6 Gallon Data'!$P189</f>
        <v>0</v>
      </c>
      <c r="T294" s="307">
        <f>'Monthly D6 Gallon Data'!$P189</f>
        <v>0</v>
      </c>
      <c r="U294" s="307">
        <f>'Monthly D6 Gallon Data'!$P189</f>
        <v>0</v>
      </c>
      <c r="V294" s="307">
        <f>'Monthly D6 Gallon Data'!$P189</f>
        <v>0</v>
      </c>
      <c r="W294" s="307">
        <f>'Monthly D6 Gallon Data'!$P189</f>
        <v>0</v>
      </c>
      <c r="X294" s="307">
        <f>'Monthly D6 Gallon Data'!$P189</f>
        <v>0</v>
      </c>
      <c r="Y294" s="307">
        <f>'Monthly D6 Gallon Data'!$P189</f>
        <v>0</v>
      </c>
      <c r="Z294" s="307">
        <f>'Monthly D6 Gallon Data'!$P189</f>
        <v>0</v>
      </c>
      <c r="AA294" s="307">
        <f>'Monthly D6 Gallon Data'!$P189</f>
        <v>0</v>
      </c>
      <c r="AB294" s="307">
        <f>'Monthly D6 Gallon Data'!$P189</f>
        <v>0</v>
      </c>
      <c r="AC294" s="307">
        <f>'Monthly D6 Gallon Data'!$P189</f>
        <v>0</v>
      </c>
      <c r="AD294" s="307">
        <f>'Monthly D6 Gallon Data'!$P189</f>
        <v>0</v>
      </c>
      <c r="AE294" s="307">
        <f>'Monthly D6 Gallon Data'!$P189</f>
        <v>0</v>
      </c>
      <c r="AF294" s="307">
        <f>'Monthly D6 Gallon Data'!$P189</f>
        <v>0</v>
      </c>
      <c r="AG294" s="307">
        <f>'Monthly D6 Gallon Data'!$P189</f>
        <v>0</v>
      </c>
      <c r="AH294" s="307">
        <f>'Monthly D6 Gallon Data'!$P189</f>
        <v>0</v>
      </c>
      <c r="AI294" s="307">
        <f>'Monthly D6 Gallon Data'!$P189</f>
        <v>0</v>
      </c>
      <c r="AJ294" s="307">
        <f>'Monthly D6 Gallon Data'!$P189</f>
        <v>0</v>
      </c>
      <c r="AK294" s="307">
        <f>'Monthly D6 Gallon Data'!$P189</f>
        <v>0</v>
      </c>
      <c r="AL294" s="307">
        <f>'Monthly D6 Gallon Data'!$P189</f>
        <v>0</v>
      </c>
      <c r="AM294" s="307">
        <f>'Monthly D6 Gallon Data'!$P189</f>
        <v>0</v>
      </c>
      <c r="AN294" s="307">
        <f>'Monthly D6 Gallon Data'!$P189</f>
        <v>0</v>
      </c>
      <c r="AO294" s="307">
        <f>'Monthly D6 Gallon Data'!$P189</f>
        <v>0</v>
      </c>
      <c r="AP294" s="307">
        <f>'Monthly D6 Gallon Data'!$P189</f>
        <v>0</v>
      </c>
      <c r="AQ294" s="307">
        <f>'Monthly D6 Gallon Data'!$P189</f>
        <v>0</v>
      </c>
      <c r="AR294" s="307"/>
      <c r="AS294" s="307"/>
      <c r="AT294" s="307"/>
      <c r="AU294" s="307"/>
      <c r="AV294" s="307"/>
      <c r="AW294" s="307"/>
      <c r="AX294" s="307"/>
      <c r="AY294" s="307"/>
      <c r="AZ294" s="307"/>
      <c r="BA294" s="307"/>
      <c r="BB294" s="307"/>
      <c r="BC294" s="308"/>
      <c r="BK294" s="308">
        <f>'Monthly D6 Gallon Data'!$P165</f>
        <v>0</v>
      </c>
      <c r="BL294" s="308">
        <f t="shared" si="235"/>
        <v>0</v>
      </c>
      <c r="BM294" s="309">
        <v>0</v>
      </c>
      <c r="BN294" s="308">
        <f t="shared" si="236"/>
        <v>0</v>
      </c>
      <c r="BO294" s="308">
        <v>0</v>
      </c>
      <c r="BP294" s="308">
        <f t="shared" si="237"/>
        <v>0</v>
      </c>
    </row>
    <row r="295" spans="1:68">
      <c r="A295" s="301" t="s">
        <v>49</v>
      </c>
      <c r="B295" s="308">
        <f>'Monthly D6 Gallon Data'!$P10</f>
        <v>0</v>
      </c>
      <c r="C295" s="308">
        <f>'Monthly D6 Gallon Data'!$P22</f>
        <v>0</v>
      </c>
      <c r="D295" s="308">
        <f>'Monthly D6 Gallon Data'!$P34</f>
        <v>0</v>
      </c>
      <c r="E295" s="308">
        <f>'Monthly D6 Gallon Data'!$P46</f>
        <v>0</v>
      </c>
      <c r="F295" s="308">
        <f>'Monthly D6 Gallon Data'!$P58</f>
        <v>0</v>
      </c>
      <c r="G295" s="308">
        <f>'Monthly D6 Gallon Data'!$P70</f>
        <v>0</v>
      </c>
      <c r="H295" s="308">
        <f>'Monthly D6 Gallon Data'!$P82</f>
        <v>0</v>
      </c>
      <c r="I295" s="308">
        <f>'Monthly D6 Gallon Data'!$P94</f>
        <v>0</v>
      </c>
      <c r="J295" s="308">
        <f>'Monthly D6 Gallon Data'!$P106</f>
        <v>0</v>
      </c>
      <c r="K295" s="308">
        <f>'Monthly D6 Gallon Data'!$P118</f>
        <v>0</v>
      </c>
      <c r="L295" s="308">
        <f>'Monthly D6 Gallon Data'!$P130</f>
        <v>0</v>
      </c>
      <c r="M295" s="308">
        <f>'Monthly D6 Gallon Data'!$P142</f>
        <v>0</v>
      </c>
      <c r="N295" s="308">
        <f>'Monthly D6 Gallon Data'!$P154</f>
        <v>0</v>
      </c>
      <c r="O295" s="308">
        <f>'Monthly D6 Gallon Data'!$P166</f>
        <v>0</v>
      </c>
      <c r="P295" s="308">
        <f>'Monthly D6 Gallon Data'!$P178</f>
        <v>0</v>
      </c>
      <c r="Q295" s="307">
        <f>'Monthly D6 Gallon Data'!$P190</f>
        <v>0</v>
      </c>
      <c r="R295" s="307">
        <f>'Monthly D6 Gallon Data'!$P202</f>
        <v>0</v>
      </c>
      <c r="S295" s="307">
        <f>'Monthly D6 Gallon Data'!$P190</f>
        <v>0</v>
      </c>
      <c r="T295" s="307">
        <f>'Monthly D6 Gallon Data'!$P190</f>
        <v>0</v>
      </c>
      <c r="U295" s="307">
        <f>'Monthly D6 Gallon Data'!$P190</f>
        <v>0</v>
      </c>
      <c r="V295" s="307">
        <f>'Monthly D6 Gallon Data'!$P190</f>
        <v>0</v>
      </c>
      <c r="W295" s="307">
        <f>'Monthly D6 Gallon Data'!$P190</f>
        <v>0</v>
      </c>
      <c r="X295" s="307">
        <f>'Monthly D6 Gallon Data'!$P190</f>
        <v>0</v>
      </c>
      <c r="Y295" s="307">
        <f>'Monthly D6 Gallon Data'!$P190</f>
        <v>0</v>
      </c>
      <c r="Z295" s="307">
        <f>'Monthly D6 Gallon Data'!$P190</f>
        <v>0</v>
      </c>
      <c r="AA295" s="307">
        <f>'Monthly D6 Gallon Data'!$P190</f>
        <v>0</v>
      </c>
      <c r="AB295" s="307">
        <f>'Monthly D6 Gallon Data'!$P190</f>
        <v>0</v>
      </c>
      <c r="AC295" s="307">
        <f>'Monthly D6 Gallon Data'!$P190</f>
        <v>0</v>
      </c>
      <c r="AD295" s="307">
        <f>'Monthly D6 Gallon Data'!$P190</f>
        <v>0</v>
      </c>
      <c r="AE295" s="307">
        <f>'Monthly D6 Gallon Data'!$P190</f>
        <v>0</v>
      </c>
      <c r="AF295" s="307">
        <f>'Monthly D6 Gallon Data'!$P190</f>
        <v>0</v>
      </c>
      <c r="AG295" s="307">
        <f>'Monthly D6 Gallon Data'!$P190</f>
        <v>0</v>
      </c>
      <c r="AH295" s="307">
        <f>'Monthly D6 Gallon Data'!$P190</f>
        <v>0</v>
      </c>
      <c r="AI295" s="307">
        <f>'Monthly D6 Gallon Data'!$P190</f>
        <v>0</v>
      </c>
      <c r="AJ295" s="307">
        <f>'Monthly D6 Gallon Data'!$P190</f>
        <v>0</v>
      </c>
      <c r="AK295" s="307">
        <f>'Monthly D6 Gallon Data'!$P190</f>
        <v>0</v>
      </c>
      <c r="AL295" s="307">
        <f>'Monthly D6 Gallon Data'!$P190</f>
        <v>0</v>
      </c>
      <c r="AM295" s="307">
        <f>'Monthly D6 Gallon Data'!$P190</f>
        <v>0</v>
      </c>
      <c r="AN295" s="307">
        <f>'Monthly D6 Gallon Data'!$P190</f>
        <v>0</v>
      </c>
      <c r="AO295" s="307">
        <f>'Monthly D6 Gallon Data'!$P190</f>
        <v>0</v>
      </c>
      <c r="AP295" s="307">
        <f>'Monthly D6 Gallon Data'!$P190</f>
        <v>0</v>
      </c>
      <c r="AQ295" s="307">
        <f>'Monthly D6 Gallon Data'!$P190</f>
        <v>0</v>
      </c>
      <c r="AR295" s="307"/>
      <c r="AS295" s="307"/>
      <c r="AT295" s="307"/>
      <c r="AU295" s="307"/>
      <c r="AV295" s="307"/>
      <c r="AW295" s="307"/>
      <c r="AX295" s="307"/>
      <c r="AY295" s="307"/>
      <c r="AZ295" s="307"/>
      <c r="BA295" s="307"/>
      <c r="BB295" s="307"/>
      <c r="BC295" s="308"/>
      <c r="BK295" s="308">
        <f>'Monthly D6 Gallon Data'!$P166</f>
        <v>0</v>
      </c>
      <c r="BL295" s="308">
        <f t="shared" si="235"/>
        <v>0</v>
      </c>
      <c r="BM295" s="309">
        <v>0</v>
      </c>
      <c r="BN295" s="308">
        <f t="shared" si="236"/>
        <v>0</v>
      </c>
      <c r="BO295" s="308">
        <v>0</v>
      </c>
      <c r="BP295" s="308">
        <f t="shared" si="237"/>
        <v>0</v>
      </c>
    </row>
    <row r="296" spans="1:68">
      <c r="A296" s="301" t="s">
        <v>50</v>
      </c>
      <c r="B296" s="308">
        <f>'Monthly D6 Gallon Data'!$P11</f>
        <v>0</v>
      </c>
      <c r="C296" s="308">
        <f>'Monthly D6 Gallon Data'!$P23</f>
        <v>0</v>
      </c>
      <c r="D296" s="308">
        <f>'Monthly D6 Gallon Data'!$P35</f>
        <v>0</v>
      </c>
      <c r="E296" s="308">
        <f>'Monthly D6 Gallon Data'!$P47</f>
        <v>0</v>
      </c>
      <c r="F296" s="308">
        <f>'Monthly D6 Gallon Data'!$P59</f>
        <v>0</v>
      </c>
      <c r="G296" s="308">
        <f>'Monthly D6 Gallon Data'!$P71</f>
        <v>0</v>
      </c>
      <c r="H296" s="308">
        <f>'Monthly D6 Gallon Data'!$P83</f>
        <v>0</v>
      </c>
      <c r="I296" s="308">
        <f>'Monthly D6 Gallon Data'!$P95</f>
        <v>0</v>
      </c>
      <c r="J296" s="308">
        <f>'Monthly D6 Gallon Data'!$P107</f>
        <v>0</v>
      </c>
      <c r="K296" s="308">
        <f>'Monthly D6 Gallon Data'!$P119</f>
        <v>0</v>
      </c>
      <c r="L296" s="308">
        <f>'Monthly D6 Gallon Data'!$P131</f>
        <v>0</v>
      </c>
      <c r="M296" s="308">
        <f>'Monthly D6 Gallon Data'!$P143</f>
        <v>0</v>
      </c>
      <c r="N296" s="308">
        <f>'Monthly D6 Gallon Data'!$P155</f>
        <v>0</v>
      </c>
      <c r="O296" s="308">
        <f>'Monthly D6 Gallon Data'!$P167</f>
        <v>0</v>
      </c>
      <c r="P296" s="308">
        <f>'Monthly D6 Gallon Data'!$P179</f>
        <v>0</v>
      </c>
      <c r="Q296" s="307">
        <f>'Monthly D6 Gallon Data'!$P191</f>
        <v>0</v>
      </c>
      <c r="R296" s="307">
        <f>'Monthly D6 Gallon Data'!$P203</f>
        <v>0</v>
      </c>
      <c r="S296" s="307">
        <f>'Monthly D6 Gallon Data'!$P191</f>
        <v>0</v>
      </c>
      <c r="T296" s="307">
        <f>'Monthly D6 Gallon Data'!$P191</f>
        <v>0</v>
      </c>
      <c r="U296" s="307">
        <f>'Monthly D6 Gallon Data'!$P191</f>
        <v>0</v>
      </c>
      <c r="V296" s="307">
        <f>'Monthly D6 Gallon Data'!$P191</f>
        <v>0</v>
      </c>
      <c r="W296" s="307">
        <f>'Monthly D6 Gallon Data'!$P191</f>
        <v>0</v>
      </c>
      <c r="X296" s="307">
        <f>'Monthly D6 Gallon Data'!$P191</f>
        <v>0</v>
      </c>
      <c r="Y296" s="307">
        <f>'Monthly D6 Gallon Data'!$P191</f>
        <v>0</v>
      </c>
      <c r="Z296" s="307">
        <f>'Monthly D6 Gallon Data'!$P191</f>
        <v>0</v>
      </c>
      <c r="AA296" s="307">
        <f>'Monthly D6 Gallon Data'!$P191</f>
        <v>0</v>
      </c>
      <c r="AB296" s="307">
        <f>'Monthly D6 Gallon Data'!$P191</f>
        <v>0</v>
      </c>
      <c r="AC296" s="307">
        <f>'Monthly D6 Gallon Data'!$P191</f>
        <v>0</v>
      </c>
      <c r="AD296" s="307">
        <f>'Monthly D6 Gallon Data'!$P191</f>
        <v>0</v>
      </c>
      <c r="AE296" s="307">
        <f>'Monthly D6 Gallon Data'!$P191</f>
        <v>0</v>
      </c>
      <c r="AF296" s="307">
        <f>'Monthly D6 Gallon Data'!$P191</f>
        <v>0</v>
      </c>
      <c r="AG296" s="307">
        <f>'Monthly D6 Gallon Data'!$P191</f>
        <v>0</v>
      </c>
      <c r="AH296" s="307">
        <f>'Monthly D6 Gallon Data'!$P191</f>
        <v>0</v>
      </c>
      <c r="AI296" s="307">
        <f>'Monthly D6 Gallon Data'!$P191</f>
        <v>0</v>
      </c>
      <c r="AJ296" s="307">
        <f>'Monthly D6 Gallon Data'!$P191</f>
        <v>0</v>
      </c>
      <c r="AK296" s="307">
        <f>'Monthly D6 Gallon Data'!$P191</f>
        <v>0</v>
      </c>
      <c r="AL296" s="307">
        <f>'Monthly D6 Gallon Data'!$P191</f>
        <v>0</v>
      </c>
      <c r="AM296" s="307">
        <f>'Monthly D6 Gallon Data'!$P191</f>
        <v>0</v>
      </c>
      <c r="AN296" s="307">
        <f>'Monthly D6 Gallon Data'!$P191</f>
        <v>0</v>
      </c>
      <c r="AO296" s="307">
        <f>'Monthly D6 Gallon Data'!$P191</f>
        <v>0</v>
      </c>
      <c r="AP296" s="307">
        <f>'Monthly D6 Gallon Data'!$P191</f>
        <v>0</v>
      </c>
      <c r="AQ296" s="307">
        <f>'Monthly D6 Gallon Data'!$P191</f>
        <v>0</v>
      </c>
      <c r="AR296" s="307"/>
      <c r="AS296" s="307"/>
      <c r="AT296" s="307"/>
      <c r="AU296" s="307"/>
      <c r="AV296" s="307"/>
      <c r="AW296" s="307"/>
      <c r="AX296" s="307"/>
      <c r="AY296" s="307"/>
      <c r="AZ296" s="307"/>
      <c r="BA296" s="307"/>
      <c r="BB296" s="307"/>
      <c r="BC296" s="308"/>
      <c r="BK296" s="308">
        <f>'Monthly D6 Gallon Data'!$P167</f>
        <v>0</v>
      </c>
      <c r="BL296" s="308">
        <f t="shared" si="235"/>
        <v>0</v>
      </c>
      <c r="BM296" s="309">
        <v>0</v>
      </c>
      <c r="BN296" s="308">
        <f t="shared" si="236"/>
        <v>0</v>
      </c>
      <c r="BO296" s="308">
        <v>0</v>
      </c>
      <c r="BP296" s="308">
        <f t="shared" si="237"/>
        <v>0</v>
      </c>
    </row>
    <row r="297" spans="1:68">
      <c r="A297" s="301" t="s">
        <v>51</v>
      </c>
      <c r="B297" s="308">
        <f>'Monthly D6 Gallon Data'!$P12</f>
        <v>0</v>
      </c>
      <c r="C297" s="308">
        <f>'Monthly D6 Gallon Data'!$P24</f>
        <v>0</v>
      </c>
      <c r="D297" s="308">
        <f>'Monthly D6 Gallon Data'!$P36</f>
        <v>0</v>
      </c>
      <c r="E297" s="308">
        <f>'Monthly D6 Gallon Data'!$P48</f>
        <v>0</v>
      </c>
      <c r="F297" s="308">
        <f>'Monthly D6 Gallon Data'!$P60</f>
        <v>0</v>
      </c>
      <c r="G297" s="308">
        <f>'Monthly D6 Gallon Data'!$P72</f>
        <v>0</v>
      </c>
      <c r="H297" s="308">
        <f>'Monthly D6 Gallon Data'!$P84</f>
        <v>0</v>
      </c>
      <c r="I297" s="308">
        <f>'Monthly D6 Gallon Data'!$P96</f>
        <v>0</v>
      </c>
      <c r="J297" s="308">
        <f>'Monthly D6 Gallon Data'!$P108</f>
        <v>0</v>
      </c>
      <c r="K297" s="308">
        <f>'Monthly D6 Gallon Data'!$P120</f>
        <v>0</v>
      </c>
      <c r="L297" s="308">
        <f>'Monthly D6 Gallon Data'!$P132</f>
        <v>0</v>
      </c>
      <c r="M297" s="308">
        <f>'Monthly D6 Gallon Data'!$P144</f>
        <v>0</v>
      </c>
      <c r="N297" s="308">
        <f>'Monthly D6 Gallon Data'!$P156</f>
        <v>0</v>
      </c>
      <c r="O297" s="308">
        <f>'Monthly D6 Gallon Data'!$P168</f>
        <v>0</v>
      </c>
      <c r="P297" s="308">
        <f>'Monthly D6 Gallon Data'!$P180</f>
        <v>0</v>
      </c>
      <c r="Q297" s="307">
        <f>'Monthly D6 Gallon Data'!$P192</f>
        <v>0</v>
      </c>
      <c r="R297" s="307">
        <f>'Monthly D6 Gallon Data'!$P204</f>
        <v>0</v>
      </c>
      <c r="S297" s="307">
        <f>'Monthly D6 Gallon Data'!$P192</f>
        <v>0</v>
      </c>
      <c r="T297" s="307">
        <f>'Monthly D6 Gallon Data'!$P192</f>
        <v>0</v>
      </c>
      <c r="U297" s="307">
        <f>'Monthly D6 Gallon Data'!$P192</f>
        <v>0</v>
      </c>
      <c r="V297" s="307">
        <f>'Monthly D6 Gallon Data'!$P192</f>
        <v>0</v>
      </c>
      <c r="W297" s="307">
        <f>'Monthly D6 Gallon Data'!$P192</f>
        <v>0</v>
      </c>
      <c r="X297" s="307">
        <f>'Monthly D6 Gallon Data'!$P192</f>
        <v>0</v>
      </c>
      <c r="Y297" s="307">
        <f>'Monthly D6 Gallon Data'!$P192</f>
        <v>0</v>
      </c>
      <c r="Z297" s="307">
        <f>'Monthly D6 Gallon Data'!$P192</f>
        <v>0</v>
      </c>
      <c r="AA297" s="307">
        <f>'Monthly D6 Gallon Data'!$P192</f>
        <v>0</v>
      </c>
      <c r="AB297" s="307">
        <f>'Monthly D6 Gallon Data'!$P192</f>
        <v>0</v>
      </c>
      <c r="AC297" s="307">
        <f>'Monthly D6 Gallon Data'!$P192</f>
        <v>0</v>
      </c>
      <c r="AD297" s="307">
        <f>'Monthly D6 Gallon Data'!$P192</f>
        <v>0</v>
      </c>
      <c r="AE297" s="307">
        <f>'Monthly D6 Gallon Data'!$P192</f>
        <v>0</v>
      </c>
      <c r="AF297" s="307">
        <f>'Monthly D6 Gallon Data'!$P192</f>
        <v>0</v>
      </c>
      <c r="AG297" s="307">
        <f>'Monthly D6 Gallon Data'!$P192</f>
        <v>0</v>
      </c>
      <c r="AH297" s="307">
        <f>'Monthly D6 Gallon Data'!$P192</f>
        <v>0</v>
      </c>
      <c r="AI297" s="307">
        <f>'Monthly D6 Gallon Data'!$P192</f>
        <v>0</v>
      </c>
      <c r="AJ297" s="307">
        <f>'Monthly D6 Gallon Data'!$P192</f>
        <v>0</v>
      </c>
      <c r="AK297" s="307">
        <f>'Monthly D6 Gallon Data'!$P192</f>
        <v>0</v>
      </c>
      <c r="AL297" s="307">
        <f>'Monthly D6 Gallon Data'!$P192</f>
        <v>0</v>
      </c>
      <c r="AM297" s="307">
        <f>'Monthly D6 Gallon Data'!$P192</f>
        <v>0</v>
      </c>
      <c r="AN297" s="307">
        <f>'Monthly D6 Gallon Data'!$P192</f>
        <v>0</v>
      </c>
      <c r="AO297" s="307">
        <f>'Monthly D6 Gallon Data'!$P192</f>
        <v>0</v>
      </c>
      <c r="AP297" s="307">
        <f>'Monthly D6 Gallon Data'!$P192</f>
        <v>0</v>
      </c>
      <c r="AQ297" s="307">
        <f>'Monthly D6 Gallon Data'!$P192</f>
        <v>0</v>
      </c>
      <c r="AR297" s="307"/>
      <c r="AS297" s="307"/>
      <c r="AT297" s="307"/>
      <c r="AU297" s="307"/>
      <c r="AV297" s="307"/>
      <c r="AW297" s="307"/>
      <c r="AX297" s="307"/>
      <c r="AY297" s="307"/>
      <c r="AZ297" s="307"/>
      <c r="BA297" s="307"/>
      <c r="BB297" s="307"/>
      <c r="BC297" s="308"/>
      <c r="BK297" s="308">
        <f>'Monthly D6 Gallon Data'!$P168</f>
        <v>0</v>
      </c>
      <c r="BL297" s="308">
        <f t="shared" si="235"/>
        <v>0</v>
      </c>
      <c r="BM297" s="309">
        <v>0</v>
      </c>
      <c r="BN297" s="308">
        <f t="shared" si="236"/>
        <v>0</v>
      </c>
      <c r="BO297" s="308">
        <v>0</v>
      </c>
      <c r="BP297" s="308">
        <f t="shared" si="237"/>
        <v>0</v>
      </c>
    </row>
    <row r="298" spans="1:68">
      <c r="A298" s="301" t="s">
        <v>52</v>
      </c>
      <c r="B298" s="308">
        <f>'Monthly D6 Gallon Data'!$P13</f>
        <v>0</v>
      </c>
      <c r="C298" s="308">
        <f>'Monthly D6 Gallon Data'!$P25</f>
        <v>0</v>
      </c>
      <c r="D298" s="308">
        <f>'Monthly D6 Gallon Data'!$P37</f>
        <v>0</v>
      </c>
      <c r="E298" s="308">
        <f>'Monthly D6 Gallon Data'!$P49</f>
        <v>0</v>
      </c>
      <c r="F298" s="308">
        <f>'Monthly D6 Gallon Data'!$P61</f>
        <v>0</v>
      </c>
      <c r="G298" s="308">
        <f>'Monthly D6 Gallon Data'!$P73</f>
        <v>0</v>
      </c>
      <c r="H298" s="308">
        <f>'Monthly D6 Gallon Data'!$P85</f>
        <v>0</v>
      </c>
      <c r="I298" s="308">
        <f>'Monthly D6 Gallon Data'!$P97</f>
        <v>0</v>
      </c>
      <c r="J298" s="308">
        <f>'Monthly D6 Gallon Data'!$P109</f>
        <v>0</v>
      </c>
      <c r="K298" s="308">
        <f>'Monthly D6 Gallon Data'!$P121</f>
        <v>0</v>
      </c>
      <c r="L298" s="308">
        <f>'Monthly D6 Gallon Data'!$P133</f>
        <v>0</v>
      </c>
      <c r="M298" s="308">
        <f>'Monthly D6 Gallon Data'!$P145</f>
        <v>0</v>
      </c>
      <c r="N298" s="308">
        <f>'Monthly D6 Gallon Data'!$P157</f>
        <v>0</v>
      </c>
      <c r="O298" s="308">
        <f>'Monthly D6 Gallon Data'!$P169</f>
        <v>0</v>
      </c>
      <c r="P298" s="308">
        <f>'Monthly D6 Gallon Data'!$P181</f>
        <v>0</v>
      </c>
      <c r="Q298" s="307">
        <f>'Monthly D6 Gallon Data'!$P193</f>
        <v>0</v>
      </c>
      <c r="R298" s="307">
        <f>'Monthly D6 Gallon Data'!$P205</f>
        <v>0</v>
      </c>
      <c r="S298" s="307">
        <f>'Monthly D6 Gallon Data'!$P193</f>
        <v>0</v>
      </c>
      <c r="T298" s="307">
        <f>'Monthly D6 Gallon Data'!$P193</f>
        <v>0</v>
      </c>
      <c r="U298" s="307">
        <f>'Monthly D6 Gallon Data'!$P193</f>
        <v>0</v>
      </c>
      <c r="V298" s="307">
        <f>'Monthly D6 Gallon Data'!$P193</f>
        <v>0</v>
      </c>
      <c r="W298" s="307">
        <f>'Monthly D6 Gallon Data'!$P193</f>
        <v>0</v>
      </c>
      <c r="X298" s="307">
        <f>'Monthly D6 Gallon Data'!$P193</f>
        <v>0</v>
      </c>
      <c r="Y298" s="307">
        <f>'Monthly D6 Gallon Data'!$P193</f>
        <v>0</v>
      </c>
      <c r="Z298" s="307">
        <f>'Monthly D6 Gallon Data'!$P193</f>
        <v>0</v>
      </c>
      <c r="AA298" s="307">
        <f>'Monthly D6 Gallon Data'!$P193</f>
        <v>0</v>
      </c>
      <c r="AB298" s="307">
        <f>'Monthly D6 Gallon Data'!$P193</f>
        <v>0</v>
      </c>
      <c r="AC298" s="307">
        <f>'Monthly D6 Gallon Data'!$P193</f>
        <v>0</v>
      </c>
      <c r="AD298" s="307">
        <f>'Monthly D6 Gallon Data'!$P193</f>
        <v>0</v>
      </c>
      <c r="AE298" s="307">
        <f>'Monthly D6 Gallon Data'!$P193</f>
        <v>0</v>
      </c>
      <c r="AF298" s="307">
        <f>'Monthly D6 Gallon Data'!$P193</f>
        <v>0</v>
      </c>
      <c r="AG298" s="307">
        <f>'Monthly D6 Gallon Data'!$P193</f>
        <v>0</v>
      </c>
      <c r="AH298" s="307">
        <f>'Monthly D6 Gallon Data'!$P193</f>
        <v>0</v>
      </c>
      <c r="AI298" s="307">
        <f>'Monthly D6 Gallon Data'!$P193</f>
        <v>0</v>
      </c>
      <c r="AJ298" s="307">
        <f>'Monthly D6 Gallon Data'!$P193</f>
        <v>0</v>
      </c>
      <c r="AK298" s="307">
        <f>'Monthly D6 Gallon Data'!$P193</f>
        <v>0</v>
      </c>
      <c r="AL298" s="307">
        <f>'Monthly D6 Gallon Data'!$P193</f>
        <v>0</v>
      </c>
      <c r="AM298" s="307">
        <f>'Monthly D6 Gallon Data'!$P193</f>
        <v>0</v>
      </c>
      <c r="AN298" s="307">
        <f>'Monthly D6 Gallon Data'!$P193</f>
        <v>0</v>
      </c>
      <c r="AO298" s="307">
        <f>'Monthly D6 Gallon Data'!$P193</f>
        <v>0</v>
      </c>
      <c r="AP298" s="307">
        <f>'Monthly D6 Gallon Data'!$P193</f>
        <v>0</v>
      </c>
      <c r="AQ298" s="307">
        <f>'Monthly D6 Gallon Data'!$P193</f>
        <v>0</v>
      </c>
      <c r="AR298" s="307"/>
      <c r="AS298" s="307"/>
      <c r="AT298" s="307"/>
      <c r="AU298" s="307"/>
      <c r="AV298" s="307"/>
      <c r="AW298" s="307"/>
      <c r="AX298" s="307"/>
      <c r="AY298" s="307"/>
      <c r="AZ298" s="307"/>
      <c r="BA298" s="307"/>
      <c r="BB298" s="307"/>
      <c r="BC298" s="308"/>
      <c r="BK298" s="308">
        <f>'Monthly D6 Gallon Data'!$P169</f>
        <v>0</v>
      </c>
      <c r="BL298" s="308">
        <f t="shared" si="235"/>
        <v>0</v>
      </c>
      <c r="BM298" s="309">
        <v>0</v>
      </c>
      <c r="BN298" s="308">
        <f t="shared" si="236"/>
        <v>0</v>
      </c>
      <c r="BO298" s="308">
        <v>0</v>
      </c>
      <c r="BP298" s="308">
        <f t="shared" si="237"/>
        <v>0</v>
      </c>
    </row>
    <row r="299" spans="1:68">
      <c r="A299" s="301" t="s">
        <v>53</v>
      </c>
      <c r="B299" s="308">
        <f>'Monthly D6 Gallon Data'!$P14</f>
        <v>0</v>
      </c>
      <c r="C299" s="308">
        <f>'Monthly D6 Gallon Data'!$P26</f>
        <v>0</v>
      </c>
      <c r="D299" s="308">
        <f>'Monthly D6 Gallon Data'!$P38</f>
        <v>0</v>
      </c>
      <c r="E299" s="308">
        <f>'Monthly D6 Gallon Data'!$P50</f>
        <v>0</v>
      </c>
      <c r="F299" s="308">
        <f>'Monthly D6 Gallon Data'!$P62</f>
        <v>0</v>
      </c>
      <c r="G299" s="308">
        <f>'Monthly D6 Gallon Data'!$P74</f>
        <v>0</v>
      </c>
      <c r="H299" s="308">
        <f>'Monthly D6 Gallon Data'!$P86</f>
        <v>0</v>
      </c>
      <c r="I299" s="308">
        <f>'Monthly D6 Gallon Data'!$P98</f>
        <v>0</v>
      </c>
      <c r="J299" s="308">
        <f>'Monthly D6 Gallon Data'!$P110</f>
        <v>0</v>
      </c>
      <c r="K299" s="308">
        <f>'Monthly D6 Gallon Data'!$P122</f>
        <v>0</v>
      </c>
      <c r="L299" s="308">
        <f>'Monthly D6 Gallon Data'!$P134</f>
        <v>0</v>
      </c>
      <c r="M299" s="308">
        <f>'Monthly D6 Gallon Data'!$P146</f>
        <v>0</v>
      </c>
      <c r="N299" s="308">
        <f>'Monthly D6 Gallon Data'!$P158</f>
        <v>0</v>
      </c>
      <c r="O299" s="308">
        <f>'Monthly D6 Gallon Data'!$P170</f>
        <v>0</v>
      </c>
      <c r="P299" s="308">
        <f>'Monthly D6 Gallon Data'!$P182</f>
        <v>0</v>
      </c>
      <c r="Q299" s="307">
        <f>'Monthly D6 Gallon Data'!$P194</f>
        <v>0</v>
      </c>
      <c r="R299" s="307">
        <f>'Monthly D6 Gallon Data'!$P206</f>
        <v>0</v>
      </c>
      <c r="S299" s="307">
        <f>'Monthly D6 Gallon Data'!$P194</f>
        <v>0</v>
      </c>
      <c r="T299" s="307">
        <f>'Monthly D6 Gallon Data'!$P194</f>
        <v>0</v>
      </c>
      <c r="U299" s="307">
        <f>'Monthly D6 Gallon Data'!$P194</f>
        <v>0</v>
      </c>
      <c r="V299" s="307">
        <f>'Monthly D6 Gallon Data'!$P194</f>
        <v>0</v>
      </c>
      <c r="W299" s="307">
        <f>'Monthly D6 Gallon Data'!$P194</f>
        <v>0</v>
      </c>
      <c r="X299" s="307">
        <f>'Monthly D6 Gallon Data'!$P194</f>
        <v>0</v>
      </c>
      <c r="Y299" s="307">
        <f>'Monthly D6 Gallon Data'!$P194</f>
        <v>0</v>
      </c>
      <c r="Z299" s="307">
        <f>'Monthly D6 Gallon Data'!$P194</f>
        <v>0</v>
      </c>
      <c r="AA299" s="307">
        <f>'Monthly D6 Gallon Data'!$P194</f>
        <v>0</v>
      </c>
      <c r="AB299" s="307">
        <f>'Monthly D6 Gallon Data'!$P194</f>
        <v>0</v>
      </c>
      <c r="AC299" s="307">
        <f>'Monthly D6 Gallon Data'!$P194</f>
        <v>0</v>
      </c>
      <c r="AD299" s="307">
        <f>'Monthly D6 Gallon Data'!$P194</f>
        <v>0</v>
      </c>
      <c r="AE299" s="307">
        <f>'Monthly D6 Gallon Data'!$P194</f>
        <v>0</v>
      </c>
      <c r="AF299" s="307">
        <f>'Monthly D6 Gallon Data'!$P194</f>
        <v>0</v>
      </c>
      <c r="AG299" s="307">
        <f>'Monthly D6 Gallon Data'!$P194</f>
        <v>0</v>
      </c>
      <c r="AH299" s="307">
        <f>'Monthly D6 Gallon Data'!$P194</f>
        <v>0</v>
      </c>
      <c r="AI299" s="307">
        <f>'Monthly D6 Gallon Data'!$P194</f>
        <v>0</v>
      </c>
      <c r="AJ299" s="307">
        <f>'Monthly D6 Gallon Data'!$P194</f>
        <v>0</v>
      </c>
      <c r="AK299" s="307">
        <f>'Monthly D6 Gallon Data'!$P194</f>
        <v>0</v>
      </c>
      <c r="AL299" s="307">
        <f>'Monthly D6 Gallon Data'!$P194</f>
        <v>0</v>
      </c>
      <c r="AM299" s="307">
        <f>'Monthly D6 Gallon Data'!$P194</f>
        <v>0</v>
      </c>
      <c r="AN299" s="307">
        <f>'Monthly D6 Gallon Data'!$P194</f>
        <v>0</v>
      </c>
      <c r="AO299" s="307">
        <f>'Monthly D6 Gallon Data'!$P194</f>
        <v>0</v>
      </c>
      <c r="AP299" s="307">
        <f>'Monthly D6 Gallon Data'!$P194</f>
        <v>0</v>
      </c>
      <c r="AQ299" s="307">
        <f>'Monthly D6 Gallon Data'!$P194</f>
        <v>0</v>
      </c>
      <c r="AR299" s="307"/>
      <c r="AS299" s="307"/>
      <c r="AT299" s="307"/>
      <c r="AU299" s="307"/>
      <c r="AV299" s="307"/>
      <c r="AW299" s="307"/>
      <c r="AX299" s="307"/>
      <c r="AY299" s="307"/>
      <c r="AZ299" s="307"/>
      <c r="BA299" s="307"/>
      <c r="BB299" s="307"/>
      <c r="BC299" s="308"/>
      <c r="BK299" s="309">
        <f>'Monthly D6 Gallon Data'!$P170</f>
        <v>0</v>
      </c>
      <c r="BL299" s="308">
        <f t="shared" si="235"/>
        <v>0</v>
      </c>
      <c r="BM299" s="309">
        <v>0</v>
      </c>
      <c r="BN299" s="308">
        <f t="shared" si="236"/>
        <v>0</v>
      </c>
      <c r="BO299" s="308">
        <v>0</v>
      </c>
      <c r="BP299" s="308">
        <f t="shared" si="237"/>
        <v>0</v>
      </c>
    </row>
    <row r="300" spans="1:68">
      <c r="A300" s="301" t="s">
        <v>54</v>
      </c>
      <c r="B300" s="308">
        <f>'Monthly D6 Gallon Data'!$P15</f>
        <v>0</v>
      </c>
      <c r="C300" s="308">
        <f>'Monthly D6 Gallon Data'!$P27</f>
        <v>0</v>
      </c>
      <c r="D300" s="308">
        <f>'Monthly D6 Gallon Data'!$P39</f>
        <v>0</v>
      </c>
      <c r="E300" s="308">
        <f>'Monthly D6 Gallon Data'!$P51</f>
        <v>0</v>
      </c>
      <c r="F300" s="308">
        <f>'Monthly D6 Gallon Data'!$P63</f>
        <v>0</v>
      </c>
      <c r="G300" s="308">
        <f>'Monthly D6 Gallon Data'!$P75</f>
        <v>0</v>
      </c>
      <c r="H300" s="308">
        <f>'Monthly D6 Gallon Data'!$P87</f>
        <v>0</v>
      </c>
      <c r="I300" s="308">
        <f>'Monthly D6 Gallon Data'!$P99</f>
        <v>0</v>
      </c>
      <c r="J300" s="308">
        <f>'Monthly D6 Gallon Data'!$P111</f>
        <v>0</v>
      </c>
      <c r="K300" s="308">
        <f>'Monthly D6 Gallon Data'!$P123</f>
        <v>0</v>
      </c>
      <c r="L300" s="308">
        <f>'Monthly D6 Gallon Data'!$P135</f>
        <v>0</v>
      </c>
      <c r="M300" s="308">
        <f>'Monthly D6 Gallon Data'!$P147</f>
        <v>0</v>
      </c>
      <c r="N300" s="308">
        <f>'Monthly D6 Gallon Data'!$P159</f>
        <v>0</v>
      </c>
      <c r="O300" s="308">
        <f>'Monthly D6 Gallon Data'!$P171</f>
        <v>0</v>
      </c>
      <c r="P300" s="308">
        <f>'Monthly D6 Gallon Data'!$P183</f>
        <v>0</v>
      </c>
      <c r="Q300" s="307">
        <f>'Monthly D6 Gallon Data'!$P195</f>
        <v>0</v>
      </c>
      <c r="R300" s="307">
        <f>'Monthly D6 Gallon Data'!$P207</f>
        <v>0</v>
      </c>
      <c r="S300" s="307">
        <f>'Monthly D6 Gallon Data'!$P195</f>
        <v>0</v>
      </c>
      <c r="T300" s="307">
        <f>'Monthly D6 Gallon Data'!$P195</f>
        <v>0</v>
      </c>
      <c r="U300" s="307">
        <f>'Monthly D6 Gallon Data'!$P195</f>
        <v>0</v>
      </c>
      <c r="V300" s="307">
        <f>'Monthly D6 Gallon Data'!$P195</f>
        <v>0</v>
      </c>
      <c r="W300" s="307">
        <f>'Monthly D6 Gallon Data'!$P195</f>
        <v>0</v>
      </c>
      <c r="X300" s="307">
        <f>'Monthly D6 Gallon Data'!$P195</f>
        <v>0</v>
      </c>
      <c r="Y300" s="307">
        <f>'Monthly D6 Gallon Data'!$P195</f>
        <v>0</v>
      </c>
      <c r="Z300" s="307">
        <f>'Monthly D6 Gallon Data'!$P195</f>
        <v>0</v>
      </c>
      <c r="AA300" s="307">
        <f>'Monthly D6 Gallon Data'!$P195</f>
        <v>0</v>
      </c>
      <c r="AB300" s="307">
        <f>'Monthly D6 Gallon Data'!$P195</f>
        <v>0</v>
      </c>
      <c r="AC300" s="307">
        <f>'Monthly D6 Gallon Data'!$P195</f>
        <v>0</v>
      </c>
      <c r="AD300" s="307">
        <f>'Monthly D6 Gallon Data'!$P195</f>
        <v>0</v>
      </c>
      <c r="AE300" s="307">
        <f>'Monthly D6 Gallon Data'!$P195</f>
        <v>0</v>
      </c>
      <c r="AF300" s="307">
        <f>'Monthly D6 Gallon Data'!$P195</f>
        <v>0</v>
      </c>
      <c r="AG300" s="307">
        <f>'Monthly D6 Gallon Data'!$P195</f>
        <v>0</v>
      </c>
      <c r="AH300" s="307">
        <f>'Monthly D6 Gallon Data'!$P195</f>
        <v>0</v>
      </c>
      <c r="AI300" s="307">
        <f>'Monthly D6 Gallon Data'!$P195</f>
        <v>0</v>
      </c>
      <c r="AJ300" s="307">
        <f>'Monthly D6 Gallon Data'!$P195</f>
        <v>0</v>
      </c>
      <c r="AK300" s="307">
        <f>'Monthly D6 Gallon Data'!$P195</f>
        <v>0</v>
      </c>
      <c r="AL300" s="307">
        <f>'Monthly D6 Gallon Data'!$P195</f>
        <v>0</v>
      </c>
      <c r="AM300" s="307">
        <f>'Monthly D6 Gallon Data'!$P195</f>
        <v>0</v>
      </c>
      <c r="AN300" s="307">
        <f>'Monthly D6 Gallon Data'!$P195</f>
        <v>0</v>
      </c>
      <c r="AO300" s="307">
        <f>'Monthly D6 Gallon Data'!$P195</f>
        <v>0</v>
      </c>
      <c r="AP300" s="307">
        <f>'Monthly D6 Gallon Data'!$P195</f>
        <v>0</v>
      </c>
      <c r="AQ300" s="307">
        <f>'Monthly D6 Gallon Data'!$P195</f>
        <v>0</v>
      </c>
      <c r="AR300" s="307"/>
      <c r="AS300" s="307"/>
      <c r="AT300" s="307"/>
      <c r="AU300" s="307"/>
      <c r="AV300" s="307"/>
      <c r="AW300" s="307"/>
      <c r="AX300" s="307"/>
      <c r="AY300" s="307"/>
      <c r="AZ300" s="307"/>
      <c r="BA300" s="307"/>
      <c r="BB300" s="307"/>
      <c r="BC300" s="308"/>
      <c r="BK300" s="309">
        <f>'Monthly D6 Gallon Data'!$P171</f>
        <v>0</v>
      </c>
      <c r="BL300" s="308">
        <f t="shared" si="235"/>
        <v>0</v>
      </c>
      <c r="BM300" s="309">
        <v>0</v>
      </c>
      <c r="BN300" s="308">
        <f t="shared" si="236"/>
        <v>0</v>
      </c>
      <c r="BO300" s="308">
        <v>0</v>
      </c>
      <c r="BP300" s="308">
        <f t="shared" si="237"/>
        <v>0</v>
      </c>
    </row>
    <row r="301" spans="1:68" ht="12" thickBot="1">
      <c r="A301" s="301" t="s">
        <v>29</v>
      </c>
      <c r="B301" s="308">
        <f t="shared" ref="B301:AQ301" si="238">SUM(B289:B300)</f>
        <v>0</v>
      </c>
      <c r="C301" s="308">
        <f t="shared" si="238"/>
        <v>0</v>
      </c>
      <c r="D301" s="308">
        <f t="shared" si="238"/>
        <v>0</v>
      </c>
      <c r="E301" s="308">
        <f t="shared" si="238"/>
        <v>0</v>
      </c>
      <c r="F301" s="308">
        <f t="shared" si="238"/>
        <v>0</v>
      </c>
      <c r="G301" s="308">
        <f t="shared" si="238"/>
        <v>0</v>
      </c>
      <c r="H301" s="308">
        <f t="shared" si="238"/>
        <v>0</v>
      </c>
      <c r="I301" s="308">
        <f t="shared" si="238"/>
        <v>0</v>
      </c>
      <c r="J301" s="308">
        <f t="shared" si="238"/>
        <v>0</v>
      </c>
      <c r="K301" s="308">
        <f t="shared" si="238"/>
        <v>0</v>
      </c>
      <c r="L301" s="308">
        <f t="shared" si="238"/>
        <v>0</v>
      </c>
      <c r="M301" s="308">
        <f t="shared" si="238"/>
        <v>0</v>
      </c>
      <c r="N301" s="308">
        <f t="shared" si="238"/>
        <v>0</v>
      </c>
      <c r="O301" s="308">
        <f t="shared" si="238"/>
        <v>0</v>
      </c>
      <c r="P301" s="308">
        <f t="shared" si="238"/>
        <v>0</v>
      </c>
      <c r="Q301" s="307">
        <f t="shared" si="238"/>
        <v>0</v>
      </c>
      <c r="R301" s="307">
        <f t="shared" si="238"/>
        <v>0</v>
      </c>
      <c r="S301" s="307">
        <f t="shared" si="238"/>
        <v>0</v>
      </c>
      <c r="T301" s="307">
        <f t="shared" si="238"/>
        <v>0</v>
      </c>
      <c r="U301" s="307">
        <f t="shared" si="238"/>
        <v>0</v>
      </c>
      <c r="V301" s="307">
        <f t="shared" si="238"/>
        <v>0</v>
      </c>
      <c r="W301" s="307">
        <f t="shared" si="238"/>
        <v>0</v>
      </c>
      <c r="X301" s="307">
        <f t="shared" si="238"/>
        <v>0</v>
      </c>
      <c r="Y301" s="307">
        <f t="shared" si="238"/>
        <v>0</v>
      </c>
      <c r="Z301" s="307">
        <f t="shared" si="238"/>
        <v>0</v>
      </c>
      <c r="AA301" s="307">
        <f t="shared" si="238"/>
        <v>0</v>
      </c>
      <c r="AB301" s="307">
        <f t="shared" si="238"/>
        <v>0</v>
      </c>
      <c r="AC301" s="307">
        <f t="shared" si="238"/>
        <v>0</v>
      </c>
      <c r="AD301" s="307">
        <f t="shared" si="238"/>
        <v>0</v>
      </c>
      <c r="AE301" s="307">
        <f t="shared" si="238"/>
        <v>0</v>
      </c>
      <c r="AF301" s="307">
        <f t="shared" si="238"/>
        <v>0</v>
      </c>
      <c r="AG301" s="307">
        <f t="shared" si="238"/>
        <v>0</v>
      </c>
      <c r="AH301" s="307">
        <f t="shared" si="238"/>
        <v>0</v>
      </c>
      <c r="AI301" s="307">
        <f t="shared" si="238"/>
        <v>0</v>
      </c>
      <c r="AJ301" s="307">
        <f t="shared" si="238"/>
        <v>0</v>
      </c>
      <c r="AK301" s="307">
        <f t="shared" si="238"/>
        <v>0</v>
      </c>
      <c r="AL301" s="307">
        <f t="shared" si="238"/>
        <v>0</v>
      </c>
      <c r="AM301" s="307">
        <f t="shared" si="238"/>
        <v>0</v>
      </c>
      <c r="AN301" s="307">
        <f t="shared" si="238"/>
        <v>0</v>
      </c>
      <c r="AO301" s="307">
        <f t="shared" si="238"/>
        <v>0</v>
      </c>
      <c r="AP301" s="307">
        <f t="shared" si="238"/>
        <v>0</v>
      </c>
      <c r="AQ301" s="307">
        <f t="shared" si="238"/>
        <v>0</v>
      </c>
      <c r="AR301" s="307"/>
      <c r="AS301" s="307"/>
      <c r="AT301" s="307"/>
      <c r="AU301" s="307"/>
      <c r="AV301" s="307"/>
      <c r="AW301" s="307"/>
      <c r="AX301" s="307"/>
      <c r="AY301" s="307"/>
      <c r="AZ301" s="307"/>
      <c r="BA301" s="307"/>
      <c r="BB301" s="307"/>
      <c r="BC301" s="308"/>
      <c r="BK301" s="309">
        <f>SUM(BK289:BK300)</f>
        <v>0</v>
      </c>
      <c r="BL301" s="308">
        <f t="shared" si="235"/>
        <v>0</v>
      </c>
      <c r="BM301" s="309">
        <v>0</v>
      </c>
      <c r="BN301" s="308">
        <f t="shared" si="236"/>
        <v>0</v>
      </c>
      <c r="BO301" s="308">
        <v>0</v>
      </c>
      <c r="BP301" s="308">
        <f t="shared" si="237"/>
        <v>0</v>
      </c>
    </row>
    <row r="302" spans="1:68">
      <c r="A302" s="334"/>
      <c r="B302" s="334"/>
      <c r="C302" s="334"/>
      <c r="D302" s="334"/>
      <c r="E302" s="334"/>
      <c r="F302" s="334"/>
      <c r="G302" s="334"/>
      <c r="H302" s="334"/>
      <c r="I302" s="334"/>
      <c r="J302" s="334"/>
      <c r="K302" s="334"/>
      <c r="L302" s="334"/>
      <c r="M302" s="334"/>
      <c r="N302" s="334"/>
      <c r="O302" s="334"/>
      <c r="P302" s="334"/>
      <c r="Q302" s="334"/>
      <c r="R302" s="334"/>
      <c r="S302" s="334"/>
      <c r="T302" s="334"/>
      <c r="U302" s="334"/>
      <c r="V302" s="334"/>
      <c r="W302" s="334"/>
      <c r="X302" s="334"/>
      <c r="Y302" s="334"/>
      <c r="Z302" s="334"/>
      <c r="AA302" s="334"/>
      <c r="AB302" s="334"/>
      <c r="AC302" s="334"/>
      <c r="AD302" s="334"/>
      <c r="AE302" s="334"/>
      <c r="AF302" s="334"/>
      <c r="AG302" s="334"/>
      <c r="AH302" s="334"/>
      <c r="AI302" s="334"/>
      <c r="AJ302" s="334"/>
      <c r="AK302" s="334"/>
      <c r="AL302" s="334"/>
      <c r="AM302" s="334"/>
      <c r="AN302" s="334"/>
      <c r="AO302" s="334"/>
      <c r="AP302" s="334"/>
      <c r="AQ302" s="334"/>
      <c r="BC302" s="308"/>
    </row>
    <row r="303" spans="1:68" ht="12" thickBot="1">
      <c r="A303" s="300" t="s">
        <v>398</v>
      </c>
      <c r="BC303" s="308"/>
    </row>
    <row r="304" spans="1:68" ht="12" thickBot="1">
      <c r="A304" s="328"/>
      <c r="B304" s="329">
        <f>B2</f>
        <v>2010</v>
      </c>
      <c r="C304" s="329">
        <f t="shared" ref="C304:AQ304" si="239">C2</f>
        <v>2011</v>
      </c>
      <c r="D304" s="329">
        <f t="shared" si="239"/>
        <v>2012</v>
      </c>
      <c r="E304" s="329">
        <f t="shared" si="239"/>
        <v>2013</v>
      </c>
      <c r="F304" s="329">
        <f t="shared" si="239"/>
        <v>2014</v>
      </c>
      <c r="G304" s="329">
        <f t="shared" si="239"/>
        <v>2015</v>
      </c>
      <c r="H304" s="329">
        <f t="shared" si="239"/>
        <v>2016</v>
      </c>
      <c r="I304" s="329">
        <f t="shared" si="239"/>
        <v>2017</v>
      </c>
      <c r="J304" s="329">
        <f t="shared" si="239"/>
        <v>2018</v>
      </c>
      <c r="K304" s="329">
        <f t="shared" si="239"/>
        <v>2019</v>
      </c>
      <c r="L304" s="329">
        <f t="shared" si="239"/>
        <v>2020</v>
      </c>
      <c r="M304" s="329">
        <f t="shared" si="239"/>
        <v>2021</v>
      </c>
      <c r="N304" s="329">
        <f t="shared" si="239"/>
        <v>2022</v>
      </c>
      <c r="O304" s="329">
        <f t="shared" si="239"/>
        <v>2023</v>
      </c>
      <c r="P304" s="329">
        <f t="shared" si="239"/>
        <v>2024</v>
      </c>
      <c r="Q304" s="329">
        <f t="shared" si="239"/>
        <v>2025</v>
      </c>
      <c r="R304" s="329">
        <f t="shared" si="239"/>
        <v>2026</v>
      </c>
      <c r="S304" s="329">
        <f t="shared" si="239"/>
        <v>2027</v>
      </c>
      <c r="T304" s="329">
        <f t="shared" si="239"/>
        <v>2028</v>
      </c>
      <c r="U304" s="329">
        <f t="shared" si="239"/>
        <v>2029</v>
      </c>
      <c r="V304" s="329">
        <f t="shared" si="239"/>
        <v>2030</v>
      </c>
      <c r="W304" s="329">
        <f t="shared" si="239"/>
        <v>2031</v>
      </c>
      <c r="X304" s="329">
        <f t="shared" si="239"/>
        <v>2032</v>
      </c>
      <c r="Y304" s="329">
        <f t="shared" si="239"/>
        <v>2033</v>
      </c>
      <c r="Z304" s="329">
        <f t="shared" si="239"/>
        <v>2034</v>
      </c>
      <c r="AA304" s="329">
        <f t="shared" si="239"/>
        <v>2035</v>
      </c>
      <c r="AB304" s="329">
        <f t="shared" si="239"/>
        <v>2036</v>
      </c>
      <c r="AC304" s="329">
        <f t="shared" si="239"/>
        <v>2037</v>
      </c>
      <c r="AD304" s="329">
        <f t="shared" si="239"/>
        <v>2038</v>
      </c>
      <c r="AE304" s="329">
        <f t="shared" si="239"/>
        <v>2039</v>
      </c>
      <c r="AF304" s="329">
        <f t="shared" si="239"/>
        <v>2040</v>
      </c>
      <c r="AG304" s="329">
        <f t="shared" si="239"/>
        <v>2041</v>
      </c>
      <c r="AH304" s="329">
        <f t="shared" si="239"/>
        <v>2042</v>
      </c>
      <c r="AI304" s="329">
        <f t="shared" si="239"/>
        <v>2043</v>
      </c>
      <c r="AJ304" s="329">
        <f t="shared" si="239"/>
        <v>2044</v>
      </c>
      <c r="AK304" s="329">
        <f t="shared" si="239"/>
        <v>2045</v>
      </c>
      <c r="AL304" s="329">
        <f t="shared" si="239"/>
        <v>2046</v>
      </c>
      <c r="AM304" s="329">
        <f t="shared" si="239"/>
        <v>2047</v>
      </c>
      <c r="AN304" s="329">
        <f t="shared" si="239"/>
        <v>2048</v>
      </c>
      <c r="AO304" s="329">
        <f t="shared" si="239"/>
        <v>2049</v>
      </c>
      <c r="AP304" s="329">
        <f t="shared" si="239"/>
        <v>2050</v>
      </c>
      <c r="AQ304" s="329">
        <f t="shared" si="239"/>
        <v>2051</v>
      </c>
      <c r="AR304" s="300"/>
      <c r="AS304" s="300"/>
      <c r="AT304" s="300"/>
      <c r="AU304" s="300"/>
      <c r="AV304" s="300"/>
      <c r="AW304" s="300"/>
      <c r="AX304" s="300"/>
      <c r="AY304" s="300"/>
      <c r="AZ304" s="300"/>
      <c r="BA304" s="300"/>
      <c r="BB304" s="300"/>
      <c r="BC304" s="308"/>
    </row>
    <row r="305" spans="1:68">
      <c r="A305" s="301" t="s">
        <v>43</v>
      </c>
      <c r="B305" s="308">
        <f>'Monthly D6 Gallon Data'!$Q4</f>
        <v>0</v>
      </c>
      <c r="C305" s="308">
        <f>'Monthly D6 Gallon Data'!$Q16</f>
        <v>0</v>
      </c>
      <c r="D305" s="308">
        <f>'Monthly D6 Gallon Data'!$Q28</f>
        <v>0</v>
      </c>
      <c r="E305" s="308">
        <f>'Monthly D6 Gallon Data'!$Q40</f>
        <v>0</v>
      </c>
      <c r="F305" s="308">
        <f>'Monthly D6 Gallon Data'!$Q52</f>
        <v>0</v>
      </c>
      <c r="G305" s="308">
        <f>'Monthly D6 Gallon Data'!$Q64</f>
        <v>0</v>
      </c>
      <c r="H305" s="308">
        <f>'Monthly D6 Gallon Data'!$Q76</f>
        <v>0</v>
      </c>
      <c r="I305" s="308">
        <f>'Monthly D6 Gallon Data'!$Q88</f>
        <v>0</v>
      </c>
      <c r="J305" s="308">
        <f>'Monthly D6 Gallon Data'!$Q100</f>
        <v>0</v>
      </c>
      <c r="K305" s="308">
        <f>'Monthly D6 Gallon Data'!$Q112</f>
        <v>0</v>
      </c>
      <c r="L305" s="308">
        <f>'Monthly D6 Gallon Data'!$Q124</f>
        <v>0</v>
      </c>
      <c r="M305" s="308">
        <f>'Monthly D6 Gallon Data'!$Q136</f>
        <v>0</v>
      </c>
      <c r="N305" s="308">
        <f>'Monthly D6 Gallon Data'!$Q148</f>
        <v>0</v>
      </c>
      <c r="O305" s="308">
        <f>'Monthly D6 Gallon Data'!$Q160</f>
        <v>0</v>
      </c>
      <c r="P305" s="308">
        <f>'Monthly D6 Gallon Data'!$Q172</f>
        <v>0</v>
      </c>
      <c r="Q305" s="308">
        <f>'Monthly D6 Gallon Data'!$Q184</f>
        <v>0</v>
      </c>
      <c r="R305" s="307">
        <f>'Monthly D6 Gallon Data'!$Q196</f>
        <v>0</v>
      </c>
      <c r="S305" s="307">
        <f>'Monthly D6 Gallon Data'!$Q184</f>
        <v>0</v>
      </c>
      <c r="T305" s="307">
        <f>'Monthly D6 Gallon Data'!$Q184</f>
        <v>0</v>
      </c>
      <c r="U305" s="307">
        <f>'Monthly D6 Gallon Data'!$Q184</f>
        <v>0</v>
      </c>
      <c r="V305" s="307">
        <f>'Monthly D6 Gallon Data'!$Q184</f>
        <v>0</v>
      </c>
      <c r="W305" s="307">
        <f>'Monthly D6 Gallon Data'!$Q184</f>
        <v>0</v>
      </c>
      <c r="X305" s="307">
        <f>'Monthly D6 Gallon Data'!$Q184</f>
        <v>0</v>
      </c>
      <c r="Y305" s="307">
        <f>'Monthly D6 Gallon Data'!$Q184</f>
        <v>0</v>
      </c>
      <c r="Z305" s="307">
        <f>'Monthly D6 Gallon Data'!$Q184</f>
        <v>0</v>
      </c>
      <c r="AA305" s="307">
        <f>'Monthly D6 Gallon Data'!$Q184</f>
        <v>0</v>
      </c>
      <c r="AB305" s="307">
        <f>'Monthly D6 Gallon Data'!$Q184</f>
        <v>0</v>
      </c>
      <c r="AC305" s="307">
        <f>'Monthly D6 Gallon Data'!$Q184</f>
        <v>0</v>
      </c>
      <c r="AD305" s="307">
        <f>'Monthly D6 Gallon Data'!$Q184</f>
        <v>0</v>
      </c>
      <c r="AE305" s="307">
        <f>'Monthly D6 Gallon Data'!$Q184</f>
        <v>0</v>
      </c>
      <c r="AF305" s="307">
        <f>'Monthly D6 Gallon Data'!$Q184</f>
        <v>0</v>
      </c>
      <c r="AG305" s="307">
        <f>'Monthly D6 Gallon Data'!$Q184</f>
        <v>0</v>
      </c>
      <c r="AH305" s="307">
        <f>'Monthly D6 Gallon Data'!$Q184</f>
        <v>0</v>
      </c>
      <c r="AI305" s="307">
        <f>'Monthly D6 Gallon Data'!$Q184</f>
        <v>0</v>
      </c>
      <c r="AJ305" s="307">
        <f>'Monthly D6 Gallon Data'!$Q184</f>
        <v>0</v>
      </c>
      <c r="AK305" s="307">
        <f>'Monthly D6 Gallon Data'!$Q184</f>
        <v>0</v>
      </c>
      <c r="AL305" s="307">
        <f>'Monthly D6 Gallon Data'!$Q184</f>
        <v>0</v>
      </c>
      <c r="AM305" s="307">
        <f>'Monthly D6 Gallon Data'!$Q184</f>
        <v>0</v>
      </c>
      <c r="AN305" s="307">
        <f>'Monthly D6 Gallon Data'!$Q184</f>
        <v>0</v>
      </c>
      <c r="AO305" s="307">
        <f>'Monthly D6 Gallon Data'!$Q184</f>
        <v>0</v>
      </c>
      <c r="AP305" s="307">
        <f>'Monthly D6 Gallon Data'!$Q184</f>
        <v>0</v>
      </c>
      <c r="AQ305" s="307">
        <f>'Monthly D6 Gallon Data'!$Q184</f>
        <v>0</v>
      </c>
      <c r="AR305" s="307"/>
      <c r="AS305" s="307"/>
      <c r="AT305" s="307"/>
      <c r="AU305" s="307"/>
      <c r="AV305" s="307"/>
      <c r="AW305" s="307"/>
      <c r="AX305" s="307"/>
      <c r="AY305" s="307"/>
      <c r="AZ305" s="307"/>
      <c r="BA305" s="307"/>
      <c r="BB305" s="307"/>
      <c r="BC305" s="308"/>
      <c r="BK305" s="308">
        <f>'Monthly D6 Gallon Data'!$P176</f>
        <v>0</v>
      </c>
      <c r="BL305" s="308">
        <f t="shared" ref="BL305:BL317" si="240">O305-BK305</f>
        <v>0</v>
      </c>
      <c r="BM305" s="308">
        <v>0</v>
      </c>
      <c r="BN305" s="308">
        <f t="shared" ref="BN305:BN317" si="241">P305-BM305</f>
        <v>0</v>
      </c>
      <c r="BO305" s="308">
        <v>0</v>
      </c>
      <c r="BP305" s="308">
        <f t="shared" ref="BP305:BP317" si="242">BO305-Q305</f>
        <v>0</v>
      </c>
    </row>
    <row r="306" spans="1:68">
      <c r="A306" s="301" t="s">
        <v>44</v>
      </c>
      <c r="B306" s="308">
        <f>'Monthly D6 Gallon Data'!$Q5</f>
        <v>0</v>
      </c>
      <c r="C306" s="308">
        <f>'Monthly D6 Gallon Data'!$Q17</f>
        <v>0</v>
      </c>
      <c r="D306" s="308">
        <f>'Monthly D6 Gallon Data'!$Q29</f>
        <v>0</v>
      </c>
      <c r="E306" s="308">
        <f>'Monthly D6 Gallon Data'!$Q41</f>
        <v>0</v>
      </c>
      <c r="F306" s="308">
        <f>'Monthly D6 Gallon Data'!$Q53</f>
        <v>0</v>
      </c>
      <c r="G306" s="308">
        <f>'Monthly D6 Gallon Data'!$Q65</f>
        <v>0</v>
      </c>
      <c r="H306" s="308">
        <f>'Monthly D6 Gallon Data'!$Q77</f>
        <v>0</v>
      </c>
      <c r="I306" s="308">
        <f>'Monthly D6 Gallon Data'!$Q89</f>
        <v>0</v>
      </c>
      <c r="J306" s="308">
        <f>'Monthly D6 Gallon Data'!$Q101</f>
        <v>0</v>
      </c>
      <c r="K306" s="308">
        <f>'Monthly D6 Gallon Data'!$Q113</f>
        <v>0</v>
      </c>
      <c r="L306" s="308">
        <f>'Monthly D6 Gallon Data'!$Q125</f>
        <v>0</v>
      </c>
      <c r="M306" s="308">
        <f>'Monthly D6 Gallon Data'!$Q137</f>
        <v>0</v>
      </c>
      <c r="N306" s="308">
        <f>'Monthly D6 Gallon Data'!$Q149</f>
        <v>0</v>
      </c>
      <c r="O306" s="308">
        <f>'Monthly D6 Gallon Data'!$Q161</f>
        <v>0</v>
      </c>
      <c r="P306" s="308">
        <f>'Monthly D6 Gallon Data'!$Q173</f>
        <v>0</v>
      </c>
      <c r="Q306" s="332">
        <f>'Monthly D6 Gallon Data'!$Q185</f>
        <v>0</v>
      </c>
      <c r="R306" s="307">
        <f>'Monthly D6 Gallon Data'!$Q197</f>
        <v>0</v>
      </c>
      <c r="S306" s="307">
        <f>'Monthly D6 Gallon Data'!$Q185</f>
        <v>0</v>
      </c>
      <c r="T306" s="307">
        <f>'Monthly D6 Gallon Data'!$Q185</f>
        <v>0</v>
      </c>
      <c r="U306" s="307">
        <f>'Monthly D6 Gallon Data'!$Q185</f>
        <v>0</v>
      </c>
      <c r="V306" s="307">
        <f>'Monthly D6 Gallon Data'!$Q185</f>
        <v>0</v>
      </c>
      <c r="W306" s="307">
        <f>'Monthly D6 Gallon Data'!$Q185</f>
        <v>0</v>
      </c>
      <c r="X306" s="307">
        <f>'Monthly D6 Gallon Data'!$Q185</f>
        <v>0</v>
      </c>
      <c r="Y306" s="307">
        <f>'Monthly D6 Gallon Data'!$Q185</f>
        <v>0</v>
      </c>
      <c r="Z306" s="307">
        <f>'Monthly D6 Gallon Data'!$Q185</f>
        <v>0</v>
      </c>
      <c r="AA306" s="307">
        <f>'Monthly D6 Gallon Data'!$Q185</f>
        <v>0</v>
      </c>
      <c r="AB306" s="307">
        <f>'Monthly D6 Gallon Data'!$Q185</f>
        <v>0</v>
      </c>
      <c r="AC306" s="307">
        <f>'Monthly D6 Gallon Data'!$Q185</f>
        <v>0</v>
      </c>
      <c r="AD306" s="307">
        <f>'Monthly D6 Gallon Data'!$Q185</f>
        <v>0</v>
      </c>
      <c r="AE306" s="307">
        <f>'Monthly D6 Gallon Data'!$Q185</f>
        <v>0</v>
      </c>
      <c r="AF306" s="307">
        <f>'Monthly D6 Gallon Data'!$Q185</f>
        <v>0</v>
      </c>
      <c r="AG306" s="307">
        <f>'Monthly D6 Gallon Data'!$Q185</f>
        <v>0</v>
      </c>
      <c r="AH306" s="307">
        <f>'Monthly D6 Gallon Data'!$Q185</f>
        <v>0</v>
      </c>
      <c r="AI306" s="307">
        <f>'Monthly D6 Gallon Data'!$Q185</f>
        <v>0</v>
      </c>
      <c r="AJ306" s="307">
        <f>'Monthly D6 Gallon Data'!$Q185</f>
        <v>0</v>
      </c>
      <c r="AK306" s="307">
        <f>'Monthly D6 Gallon Data'!$Q185</f>
        <v>0</v>
      </c>
      <c r="AL306" s="307">
        <f>'Monthly D6 Gallon Data'!$Q185</f>
        <v>0</v>
      </c>
      <c r="AM306" s="307">
        <f>'Monthly D6 Gallon Data'!$Q185</f>
        <v>0</v>
      </c>
      <c r="AN306" s="307">
        <f>'Monthly D6 Gallon Data'!$Q185</f>
        <v>0</v>
      </c>
      <c r="AO306" s="307">
        <f>'Monthly D6 Gallon Data'!$Q185</f>
        <v>0</v>
      </c>
      <c r="AP306" s="307">
        <f>'Monthly D6 Gallon Data'!$Q185</f>
        <v>0</v>
      </c>
      <c r="AQ306" s="307">
        <f>'Monthly D6 Gallon Data'!$Q185</f>
        <v>0</v>
      </c>
      <c r="AR306" s="307"/>
      <c r="AS306" s="307"/>
      <c r="AT306" s="307"/>
      <c r="AU306" s="307"/>
      <c r="AV306" s="307"/>
      <c r="AW306" s="307"/>
      <c r="AX306" s="307"/>
      <c r="AY306" s="307"/>
      <c r="AZ306" s="307"/>
      <c r="BA306" s="307"/>
      <c r="BB306" s="307"/>
      <c r="BC306" s="308"/>
      <c r="BK306" s="308">
        <f>'Monthly D6 Gallon Data'!$P177</f>
        <v>0</v>
      </c>
      <c r="BL306" s="308">
        <f t="shared" si="240"/>
        <v>0</v>
      </c>
      <c r="BM306" s="308">
        <v>0</v>
      </c>
      <c r="BN306" s="308">
        <f t="shared" si="241"/>
        <v>0</v>
      </c>
      <c r="BO306" s="308">
        <v>0</v>
      </c>
      <c r="BP306" s="308">
        <f t="shared" si="242"/>
        <v>0</v>
      </c>
    </row>
    <row r="307" spans="1:68">
      <c r="A307" s="301" t="s">
        <v>45</v>
      </c>
      <c r="B307" s="308">
        <f>'Monthly D6 Gallon Data'!$Q6</f>
        <v>0</v>
      </c>
      <c r="C307" s="308">
        <f>'Monthly D6 Gallon Data'!$Q18</f>
        <v>0</v>
      </c>
      <c r="D307" s="308">
        <f>'Monthly D6 Gallon Data'!$Q30</f>
        <v>0</v>
      </c>
      <c r="E307" s="308">
        <f>'Monthly D6 Gallon Data'!$Q42</f>
        <v>0</v>
      </c>
      <c r="F307" s="308">
        <f>'Monthly D6 Gallon Data'!$Q54</f>
        <v>0</v>
      </c>
      <c r="G307" s="308">
        <f>'Monthly D6 Gallon Data'!$Q66</f>
        <v>0</v>
      </c>
      <c r="H307" s="308">
        <f>'Monthly D6 Gallon Data'!$Q78</f>
        <v>0</v>
      </c>
      <c r="I307" s="308">
        <f>'Monthly D6 Gallon Data'!$Q90</f>
        <v>0</v>
      </c>
      <c r="J307" s="308">
        <f>'Monthly D6 Gallon Data'!$Q102</f>
        <v>0</v>
      </c>
      <c r="K307" s="308">
        <f>'Monthly D6 Gallon Data'!$Q114</f>
        <v>0</v>
      </c>
      <c r="L307" s="308">
        <f>'Monthly D6 Gallon Data'!$Q126</f>
        <v>0</v>
      </c>
      <c r="M307" s="308">
        <f>'Monthly D6 Gallon Data'!$Q138</f>
        <v>0</v>
      </c>
      <c r="N307" s="308">
        <f>'Monthly D6 Gallon Data'!$Q150</f>
        <v>0</v>
      </c>
      <c r="O307" s="308">
        <f>'Monthly D6 Gallon Data'!$Q162</f>
        <v>0</v>
      </c>
      <c r="P307" s="308">
        <f>'Monthly D6 Gallon Data'!$Q174</f>
        <v>0</v>
      </c>
      <c r="Q307" s="332">
        <f>'Monthly D6 Gallon Data'!$Q186</f>
        <v>0</v>
      </c>
      <c r="R307" s="307">
        <f>'Monthly D6 Gallon Data'!$Q198</f>
        <v>0</v>
      </c>
      <c r="S307" s="307">
        <f>'Monthly D6 Gallon Data'!$Q186</f>
        <v>0</v>
      </c>
      <c r="T307" s="307">
        <f>'Monthly D6 Gallon Data'!$Q186</f>
        <v>0</v>
      </c>
      <c r="U307" s="307">
        <f>'Monthly D6 Gallon Data'!$Q186</f>
        <v>0</v>
      </c>
      <c r="V307" s="307">
        <f>'Monthly D6 Gallon Data'!$Q186</f>
        <v>0</v>
      </c>
      <c r="W307" s="307">
        <f>'Monthly D6 Gallon Data'!$Q186</f>
        <v>0</v>
      </c>
      <c r="X307" s="307">
        <f>'Monthly D6 Gallon Data'!$Q186</f>
        <v>0</v>
      </c>
      <c r="Y307" s="307">
        <f>'Monthly D6 Gallon Data'!$Q186</f>
        <v>0</v>
      </c>
      <c r="Z307" s="307">
        <f>'Monthly D6 Gallon Data'!$Q186</f>
        <v>0</v>
      </c>
      <c r="AA307" s="307">
        <f>'Monthly D6 Gallon Data'!$Q186</f>
        <v>0</v>
      </c>
      <c r="AB307" s="307">
        <f>'Monthly D6 Gallon Data'!$Q186</f>
        <v>0</v>
      </c>
      <c r="AC307" s="307">
        <f>'Monthly D6 Gallon Data'!$Q186</f>
        <v>0</v>
      </c>
      <c r="AD307" s="307">
        <f>'Monthly D6 Gallon Data'!$Q186</f>
        <v>0</v>
      </c>
      <c r="AE307" s="307">
        <f>'Monthly D6 Gallon Data'!$Q186</f>
        <v>0</v>
      </c>
      <c r="AF307" s="307">
        <f>'Monthly D6 Gallon Data'!$Q186</f>
        <v>0</v>
      </c>
      <c r="AG307" s="307">
        <f>'Monthly D6 Gallon Data'!$Q186</f>
        <v>0</v>
      </c>
      <c r="AH307" s="307">
        <f>'Monthly D6 Gallon Data'!$Q186</f>
        <v>0</v>
      </c>
      <c r="AI307" s="307">
        <f>'Monthly D6 Gallon Data'!$Q186</f>
        <v>0</v>
      </c>
      <c r="AJ307" s="307">
        <f>'Monthly D6 Gallon Data'!$Q186</f>
        <v>0</v>
      </c>
      <c r="AK307" s="307">
        <f>'Monthly D6 Gallon Data'!$Q186</f>
        <v>0</v>
      </c>
      <c r="AL307" s="307">
        <f>'Monthly D6 Gallon Data'!$Q186</f>
        <v>0</v>
      </c>
      <c r="AM307" s="307">
        <f>'Monthly D6 Gallon Data'!$Q186</f>
        <v>0</v>
      </c>
      <c r="AN307" s="307">
        <f>'Monthly D6 Gallon Data'!$Q186</f>
        <v>0</v>
      </c>
      <c r="AO307" s="307">
        <f>'Monthly D6 Gallon Data'!$Q186</f>
        <v>0</v>
      </c>
      <c r="AP307" s="307">
        <f>'Monthly D6 Gallon Data'!$Q186</f>
        <v>0</v>
      </c>
      <c r="AQ307" s="307">
        <f>'Monthly D6 Gallon Data'!$Q186</f>
        <v>0</v>
      </c>
      <c r="AR307" s="307"/>
      <c r="AS307" s="307"/>
      <c r="AT307" s="307"/>
      <c r="AU307" s="307"/>
      <c r="AV307" s="307"/>
      <c r="AW307" s="307"/>
      <c r="AX307" s="307"/>
      <c r="AY307" s="307"/>
      <c r="AZ307" s="307"/>
      <c r="BA307" s="307"/>
      <c r="BB307" s="307"/>
      <c r="BC307" s="308"/>
      <c r="BK307" s="308">
        <f>'Monthly D6 Gallon Data'!$P178</f>
        <v>0</v>
      </c>
      <c r="BL307" s="308">
        <f t="shared" si="240"/>
        <v>0</v>
      </c>
      <c r="BM307" s="308">
        <v>0</v>
      </c>
      <c r="BN307" s="308">
        <f t="shared" si="241"/>
        <v>0</v>
      </c>
      <c r="BO307" s="308">
        <v>0</v>
      </c>
      <c r="BP307" s="308">
        <f t="shared" si="242"/>
        <v>0</v>
      </c>
    </row>
    <row r="308" spans="1:68">
      <c r="A308" s="301" t="s">
        <v>46</v>
      </c>
      <c r="B308" s="308">
        <f>'Monthly D6 Gallon Data'!$Q7</f>
        <v>0</v>
      </c>
      <c r="C308" s="308">
        <f>'Monthly D6 Gallon Data'!$Q19</f>
        <v>0</v>
      </c>
      <c r="D308" s="308">
        <f>'Monthly D6 Gallon Data'!$Q31</f>
        <v>0</v>
      </c>
      <c r="E308" s="308">
        <f>'Monthly D6 Gallon Data'!$Q43</f>
        <v>0</v>
      </c>
      <c r="F308" s="308">
        <f>'Monthly D6 Gallon Data'!$Q55</f>
        <v>0</v>
      </c>
      <c r="G308" s="308">
        <f>'Monthly D6 Gallon Data'!$Q67</f>
        <v>0</v>
      </c>
      <c r="H308" s="308">
        <f>'Monthly D6 Gallon Data'!$Q79</f>
        <v>0</v>
      </c>
      <c r="I308" s="308">
        <f>'Monthly D6 Gallon Data'!$Q91</f>
        <v>0</v>
      </c>
      <c r="J308" s="308">
        <f>'Monthly D6 Gallon Data'!$Q103</f>
        <v>0</v>
      </c>
      <c r="K308" s="308">
        <f>'Monthly D6 Gallon Data'!$Q115</f>
        <v>0</v>
      </c>
      <c r="L308" s="308">
        <f>'Monthly D6 Gallon Data'!$Q127</f>
        <v>0</v>
      </c>
      <c r="M308" s="308">
        <f>'Monthly D6 Gallon Data'!$Q139</f>
        <v>0</v>
      </c>
      <c r="N308" s="308">
        <f>'Monthly D6 Gallon Data'!$Q151</f>
        <v>0</v>
      </c>
      <c r="O308" s="308">
        <f>'Monthly D6 Gallon Data'!$Q163</f>
        <v>0</v>
      </c>
      <c r="P308" s="308">
        <f>'Monthly D6 Gallon Data'!$Q175</f>
        <v>0</v>
      </c>
      <c r="Q308" s="307">
        <f>'Monthly D6 Gallon Data'!$Q187</f>
        <v>0</v>
      </c>
      <c r="R308" s="307">
        <f>'Monthly D6 Gallon Data'!$Q199</f>
        <v>0</v>
      </c>
      <c r="S308" s="307">
        <f>'Monthly D6 Gallon Data'!$Q187</f>
        <v>0</v>
      </c>
      <c r="T308" s="307">
        <f>'Monthly D6 Gallon Data'!$Q187</f>
        <v>0</v>
      </c>
      <c r="U308" s="307">
        <f>'Monthly D6 Gallon Data'!$Q187</f>
        <v>0</v>
      </c>
      <c r="V308" s="307">
        <f>'Monthly D6 Gallon Data'!$Q187</f>
        <v>0</v>
      </c>
      <c r="W308" s="307">
        <f>'Monthly D6 Gallon Data'!$Q187</f>
        <v>0</v>
      </c>
      <c r="X308" s="307">
        <f>'Monthly D6 Gallon Data'!$Q187</f>
        <v>0</v>
      </c>
      <c r="Y308" s="307">
        <f>'Monthly D6 Gallon Data'!$Q187</f>
        <v>0</v>
      </c>
      <c r="Z308" s="307">
        <f>'Monthly D6 Gallon Data'!$Q187</f>
        <v>0</v>
      </c>
      <c r="AA308" s="307">
        <f>'Monthly D6 Gallon Data'!$Q187</f>
        <v>0</v>
      </c>
      <c r="AB308" s="307">
        <f>'Monthly D6 Gallon Data'!$Q187</f>
        <v>0</v>
      </c>
      <c r="AC308" s="307">
        <f>'Monthly D6 Gallon Data'!$Q187</f>
        <v>0</v>
      </c>
      <c r="AD308" s="307">
        <f>'Monthly D6 Gallon Data'!$Q187</f>
        <v>0</v>
      </c>
      <c r="AE308" s="307">
        <f>'Monthly D6 Gallon Data'!$Q187</f>
        <v>0</v>
      </c>
      <c r="AF308" s="307">
        <f>'Monthly D6 Gallon Data'!$Q187</f>
        <v>0</v>
      </c>
      <c r="AG308" s="307">
        <f>'Monthly D6 Gallon Data'!$Q187</f>
        <v>0</v>
      </c>
      <c r="AH308" s="307">
        <f>'Monthly D6 Gallon Data'!$Q187</f>
        <v>0</v>
      </c>
      <c r="AI308" s="307">
        <f>'Monthly D6 Gallon Data'!$Q187</f>
        <v>0</v>
      </c>
      <c r="AJ308" s="307">
        <f>'Monthly D6 Gallon Data'!$Q187</f>
        <v>0</v>
      </c>
      <c r="AK308" s="307">
        <f>'Monthly D6 Gallon Data'!$Q187</f>
        <v>0</v>
      </c>
      <c r="AL308" s="307">
        <f>'Monthly D6 Gallon Data'!$Q187</f>
        <v>0</v>
      </c>
      <c r="AM308" s="307">
        <f>'Monthly D6 Gallon Data'!$Q187</f>
        <v>0</v>
      </c>
      <c r="AN308" s="307">
        <f>'Monthly D6 Gallon Data'!$Q187</f>
        <v>0</v>
      </c>
      <c r="AO308" s="307">
        <f>'Monthly D6 Gallon Data'!$Q187</f>
        <v>0</v>
      </c>
      <c r="AP308" s="307">
        <f>'Monthly D6 Gallon Data'!$Q187</f>
        <v>0</v>
      </c>
      <c r="AQ308" s="307">
        <f>'Monthly D6 Gallon Data'!$Q187</f>
        <v>0</v>
      </c>
      <c r="AR308" s="307"/>
      <c r="AS308" s="307"/>
      <c r="AT308" s="307"/>
      <c r="AU308" s="307"/>
      <c r="AV308" s="307"/>
      <c r="AW308" s="307"/>
      <c r="AX308" s="307"/>
      <c r="AY308" s="307"/>
      <c r="AZ308" s="307"/>
      <c r="BA308" s="307"/>
      <c r="BB308" s="307"/>
      <c r="BC308" s="308"/>
      <c r="BK308" s="308">
        <f>'Monthly D6 Gallon Data'!$P179</f>
        <v>0</v>
      </c>
      <c r="BL308" s="308">
        <f t="shared" si="240"/>
        <v>0</v>
      </c>
      <c r="BM308" s="308">
        <v>0</v>
      </c>
      <c r="BN308" s="308">
        <f t="shared" si="241"/>
        <v>0</v>
      </c>
      <c r="BO308" s="308">
        <v>0</v>
      </c>
      <c r="BP308" s="308">
        <f t="shared" si="242"/>
        <v>0</v>
      </c>
    </row>
    <row r="309" spans="1:68">
      <c r="A309" s="301" t="s">
        <v>47</v>
      </c>
      <c r="B309" s="308">
        <f>'Monthly D6 Gallon Data'!$Q8</f>
        <v>0</v>
      </c>
      <c r="C309" s="308">
        <f>'Monthly D6 Gallon Data'!$Q20</f>
        <v>0</v>
      </c>
      <c r="D309" s="308">
        <f>'Monthly D6 Gallon Data'!$Q32</f>
        <v>0</v>
      </c>
      <c r="E309" s="308">
        <f>'Monthly D6 Gallon Data'!$Q44</f>
        <v>0</v>
      </c>
      <c r="F309" s="308">
        <f>'Monthly D6 Gallon Data'!$Q56</f>
        <v>0</v>
      </c>
      <c r="G309" s="308">
        <f>'Monthly D6 Gallon Data'!$Q68</f>
        <v>0</v>
      </c>
      <c r="H309" s="308">
        <f>'Monthly D6 Gallon Data'!$Q80</f>
        <v>0</v>
      </c>
      <c r="I309" s="308">
        <f>'Monthly D6 Gallon Data'!$Q92</f>
        <v>0</v>
      </c>
      <c r="J309" s="308">
        <f>'Monthly D6 Gallon Data'!$Q104</f>
        <v>0</v>
      </c>
      <c r="K309" s="308">
        <f>'Monthly D6 Gallon Data'!$Q116</f>
        <v>0</v>
      </c>
      <c r="L309" s="308">
        <f>'Monthly D6 Gallon Data'!$Q128</f>
        <v>0</v>
      </c>
      <c r="M309" s="308">
        <f>'Monthly D6 Gallon Data'!$Q140</f>
        <v>0</v>
      </c>
      <c r="N309" s="308">
        <f>'Monthly D6 Gallon Data'!$Q152</f>
        <v>0</v>
      </c>
      <c r="O309" s="308">
        <f>'Monthly D6 Gallon Data'!$Q164</f>
        <v>0</v>
      </c>
      <c r="P309" s="308">
        <f>'Monthly D6 Gallon Data'!$Q176</f>
        <v>0</v>
      </c>
      <c r="Q309" s="307">
        <f>'Monthly D6 Gallon Data'!$Q188</f>
        <v>0</v>
      </c>
      <c r="R309" s="307">
        <f>'Monthly D6 Gallon Data'!$Q200</f>
        <v>0</v>
      </c>
      <c r="S309" s="307">
        <f>'Monthly D6 Gallon Data'!$Q188</f>
        <v>0</v>
      </c>
      <c r="T309" s="307">
        <f>'Monthly D6 Gallon Data'!$Q188</f>
        <v>0</v>
      </c>
      <c r="U309" s="307">
        <f>'Monthly D6 Gallon Data'!$Q188</f>
        <v>0</v>
      </c>
      <c r="V309" s="307">
        <f>'Monthly D6 Gallon Data'!$Q188</f>
        <v>0</v>
      </c>
      <c r="W309" s="307">
        <f>'Monthly D6 Gallon Data'!$Q188</f>
        <v>0</v>
      </c>
      <c r="X309" s="307">
        <f>'Monthly D6 Gallon Data'!$Q188</f>
        <v>0</v>
      </c>
      <c r="Y309" s="307">
        <f>'Monthly D6 Gallon Data'!$Q188</f>
        <v>0</v>
      </c>
      <c r="Z309" s="307">
        <f>'Monthly D6 Gallon Data'!$Q188</f>
        <v>0</v>
      </c>
      <c r="AA309" s="307">
        <f>'Monthly D6 Gallon Data'!$Q188</f>
        <v>0</v>
      </c>
      <c r="AB309" s="307">
        <f>'Monthly D6 Gallon Data'!$Q188</f>
        <v>0</v>
      </c>
      <c r="AC309" s="307">
        <f>'Monthly D6 Gallon Data'!$Q188</f>
        <v>0</v>
      </c>
      <c r="AD309" s="307">
        <f>'Monthly D6 Gallon Data'!$Q188</f>
        <v>0</v>
      </c>
      <c r="AE309" s="307">
        <f>'Monthly D6 Gallon Data'!$Q188</f>
        <v>0</v>
      </c>
      <c r="AF309" s="307">
        <f>'Monthly D6 Gallon Data'!$Q188</f>
        <v>0</v>
      </c>
      <c r="AG309" s="307">
        <f>'Monthly D6 Gallon Data'!$Q188</f>
        <v>0</v>
      </c>
      <c r="AH309" s="307">
        <f>'Monthly D6 Gallon Data'!$Q188</f>
        <v>0</v>
      </c>
      <c r="AI309" s="307">
        <f>'Monthly D6 Gallon Data'!$Q188</f>
        <v>0</v>
      </c>
      <c r="AJ309" s="307">
        <f>'Monthly D6 Gallon Data'!$Q188</f>
        <v>0</v>
      </c>
      <c r="AK309" s="307">
        <f>'Monthly D6 Gallon Data'!$Q188</f>
        <v>0</v>
      </c>
      <c r="AL309" s="307">
        <f>'Monthly D6 Gallon Data'!$Q188</f>
        <v>0</v>
      </c>
      <c r="AM309" s="307">
        <f>'Monthly D6 Gallon Data'!$Q188</f>
        <v>0</v>
      </c>
      <c r="AN309" s="307">
        <f>'Monthly D6 Gallon Data'!$Q188</f>
        <v>0</v>
      </c>
      <c r="AO309" s="307">
        <f>'Monthly D6 Gallon Data'!$Q188</f>
        <v>0</v>
      </c>
      <c r="AP309" s="307">
        <f>'Monthly D6 Gallon Data'!$Q188</f>
        <v>0</v>
      </c>
      <c r="AQ309" s="307">
        <f>'Monthly D6 Gallon Data'!$Q188</f>
        <v>0</v>
      </c>
      <c r="AR309" s="307"/>
      <c r="AS309" s="307"/>
      <c r="AT309" s="307"/>
      <c r="AU309" s="307"/>
      <c r="AV309" s="307"/>
      <c r="AW309" s="307"/>
      <c r="AX309" s="307"/>
      <c r="AY309" s="307"/>
      <c r="AZ309" s="307"/>
      <c r="BA309" s="307"/>
      <c r="BB309" s="307"/>
      <c r="BC309" s="308"/>
      <c r="BK309" s="308">
        <f>'Monthly D6 Gallon Data'!$P180</f>
        <v>0</v>
      </c>
      <c r="BL309" s="308">
        <f t="shared" si="240"/>
        <v>0</v>
      </c>
      <c r="BM309" s="308">
        <v>0</v>
      </c>
      <c r="BN309" s="308">
        <f t="shared" si="241"/>
        <v>0</v>
      </c>
      <c r="BO309" s="308">
        <v>0</v>
      </c>
      <c r="BP309" s="308">
        <f t="shared" si="242"/>
        <v>0</v>
      </c>
    </row>
    <row r="310" spans="1:68">
      <c r="A310" s="301" t="s">
        <v>48</v>
      </c>
      <c r="B310" s="308">
        <f>'Monthly D6 Gallon Data'!$Q9</f>
        <v>0</v>
      </c>
      <c r="C310" s="308">
        <f>'Monthly D6 Gallon Data'!$Q21</f>
        <v>0</v>
      </c>
      <c r="D310" s="308">
        <f>'Monthly D6 Gallon Data'!$Q33</f>
        <v>0</v>
      </c>
      <c r="E310" s="308">
        <f>'Monthly D6 Gallon Data'!$Q45</f>
        <v>0</v>
      </c>
      <c r="F310" s="308">
        <f>'Monthly D6 Gallon Data'!$Q57</f>
        <v>0</v>
      </c>
      <c r="G310" s="308">
        <f>'Monthly D6 Gallon Data'!$Q69</f>
        <v>0</v>
      </c>
      <c r="H310" s="308">
        <f>'Monthly D6 Gallon Data'!$Q81</f>
        <v>0</v>
      </c>
      <c r="I310" s="308">
        <f>'Monthly D6 Gallon Data'!$Q93</f>
        <v>0</v>
      </c>
      <c r="J310" s="308">
        <f>'Monthly D6 Gallon Data'!$Q105</f>
        <v>0</v>
      </c>
      <c r="K310" s="308">
        <f>'Monthly D6 Gallon Data'!$Q117</f>
        <v>0</v>
      </c>
      <c r="L310" s="308">
        <f>'Monthly D6 Gallon Data'!$Q129</f>
        <v>0</v>
      </c>
      <c r="M310" s="308">
        <f>'Monthly D6 Gallon Data'!$Q141</f>
        <v>0</v>
      </c>
      <c r="N310" s="308">
        <f>'Monthly D6 Gallon Data'!$Q153</f>
        <v>0</v>
      </c>
      <c r="O310" s="308">
        <f>'Monthly D6 Gallon Data'!$Q165</f>
        <v>0</v>
      </c>
      <c r="P310" s="308">
        <f>'Monthly D6 Gallon Data'!$Q177</f>
        <v>0</v>
      </c>
      <c r="Q310" s="307">
        <f>'Monthly D6 Gallon Data'!$Q189</f>
        <v>0</v>
      </c>
      <c r="R310" s="307">
        <f>'Monthly D6 Gallon Data'!$Q201</f>
        <v>0</v>
      </c>
      <c r="S310" s="307">
        <f>'Monthly D6 Gallon Data'!$Q189</f>
        <v>0</v>
      </c>
      <c r="T310" s="307">
        <f>'Monthly D6 Gallon Data'!$Q189</f>
        <v>0</v>
      </c>
      <c r="U310" s="307">
        <f>'Monthly D6 Gallon Data'!$Q189</f>
        <v>0</v>
      </c>
      <c r="V310" s="307">
        <f>'Monthly D6 Gallon Data'!$Q189</f>
        <v>0</v>
      </c>
      <c r="W310" s="307">
        <f>'Monthly D6 Gallon Data'!$Q189</f>
        <v>0</v>
      </c>
      <c r="X310" s="307">
        <f>'Monthly D6 Gallon Data'!$Q189</f>
        <v>0</v>
      </c>
      <c r="Y310" s="307">
        <f>'Monthly D6 Gallon Data'!$Q189</f>
        <v>0</v>
      </c>
      <c r="Z310" s="307">
        <f>'Monthly D6 Gallon Data'!$Q189</f>
        <v>0</v>
      </c>
      <c r="AA310" s="307">
        <f>'Monthly D6 Gallon Data'!$Q189</f>
        <v>0</v>
      </c>
      <c r="AB310" s="307">
        <f>'Monthly D6 Gallon Data'!$Q189</f>
        <v>0</v>
      </c>
      <c r="AC310" s="307">
        <f>'Monthly D6 Gallon Data'!$Q189</f>
        <v>0</v>
      </c>
      <c r="AD310" s="307">
        <f>'Monthly D6 Gallon Data'!$Q189</f>
        <v>0</v>
      </c>
      <c r="AE310" s="307">
        <f>'Monthly D6 Gallon Data'!$Q189</f>
        <v>0</v>
      </c>
      <c r="AF310" s="307">
        <f>'Monthly D6 Gallon Data'!$Q189</f>
        <v>0</v>
      </c>
      <c r="AG310" s="307">
        <f>'Monthly D6 Gallon Data'!$Q189</f>
        <v>0</v>
      </c>
      <c r="AH310" s="307">
        <f>'Monthly D6 Gallon Data'!$Q189</f>
        <v>0</v>
      </c>
      <c r="AI310" s="307">
        <f>'Monthly D6 Gallon Data'!$Q189</f>
        <v>0</v>
      </c>
      <c r="AJ310" s="307">
        <f>'Monthly D6 Gallon Data'!$Q189</f>
        <v>0</v>
      </c>
      <c r="AK310" s="307">
        <f>'Monthly D6 Gallon Data'!$Q189</f>
        <v>0</v>
      </c>
      <c r="AL310" s="307">
        <f>'Monthly D6 Gallon Data'!$Q189</f>
        <v>0</v>
      </c>
      <c r="AM310" s="307">
        <f>'Monthly D6 Gallon Data'!$Q189</f>
        <v>0</v>
      </c>
      <c r="AN310" s="307">
        <f>'Monthly D6 Gallon Data'!$Q189</f>
        <v>0</v>
      </c>
      <c r="AO310" s="307">
        <f>'Monthly D6 Gallon Data'!$Q189</f>
        <v>0</v>
      </c>
      <c r="AP310" s="307">
        <f>'Monthly D6 Gallon Data'!$Q189</f>
        <v>0</v>
      </c>
      <c r="AQ310" s="307">
        <f>'Monthly D6 Gallon Data'!$Q189</f>
        <v>0</v>
      </c>
      <c r="AR310" s="307"/>
      <c r="AS310" s="307"/>
      <c r="AT310" s="307"/>
      <c r="AU310" s="307"/>
      <c r="AV310" s="307"/>
      <c r="AW310" s="307"/>
      <c r="AX310" s="307"/>
      <c r="AY310" s="307"/>
      <c r="AZ310" s="307"/>
      <c r="BA310" s="307"/>
      <c r="BB310" s="307"/>
      <c r="BC310" s="308"/>
      <c r="BK310" s="308">
        <f>'Monthly D6 Gallon Data'!$P181</f>
        <v>0</v>
      </c>
      <c r="BL310" s="308">
        <f t="shared" si="240"/>
        <v>0</v>
      </c>
      <c r="BM310" s="309">
        <v>0</v>
      </c>
      <c r="BN310" s="308">
        <f t="shared" si="241"/>
        <v>0</v>
      </c>
      <c r="BO310" s="308">
        <v>0</v>
      </c>
      <c r="BP310" s="308">
        <f t="shared" si="242"/>
        <v>0</v>
      </c>
    </row>
    <row r="311" spans="1:68">
      <c r="A311" s="301" t="s">
        <v>49</v>
      </c>
      <c r="B311" s="308">
        <f>'Monthly D6 Gallon Data'!$Q10</f>
        <v>0</v>
      </c>
      <c r="C311" s="308">
        <f>'Monthly D6 Gallon Data'!$Q22</f>
        <v>0</v>
      </c>
      <c r="D311" s="308">
        <f>'Monthly D6 Gallon Data'!$Q34</f>
        <v>0</v>
      </c>
      <c r="E311" s="308">
        <f>'Monthly D6 Gallon Data'!$Q46</f>
        <v>0</v>
      </c>
      <c r="F311" s="308">
        <f>'Monthly D6 Gallon Data'!$Q58</f>
        <v>0</v>
      </c>
      <c r="G311" s="308">
        <f>'Monthly D6 Gallon Data'!$Q70</f>
        <v>0</v>
      </c>
      <c r="H311" s="308">
        <f>'Monthly D6 Gallon Data'!$Q82</f>
        <v>0</v>
      </c>
      <c r="I311" s="308">
        <f>'Monthly D6 Gallon Data'!$Q94</f>
        <v>0</v>
      </c>
      <c r="J311" s="308">
        <f>'Monthly D6 Gallon Data'!$Q106</f>
        <v>0</v>
      </c>
      <c r="K311" s="308">
        <f>'Monthly D6 Gallon Data'!$Q118</f>
        <v>0</v>
      </c>
      <c r="L311" s="308">
        <f>'Monthly D6 Gallon Data'!$Q130</f>
        <v>0</v>
      </c>
      <c r="M311" s="308">
        <f>'Monthly D6 Gallon Data'!$Q142</f>
        <v>0</v>
      </c>
      <c r="N311" s="308">
        <f>'Monthly D6 Gallon Data'!$Q154</f>
        <v>0</v>
      </c>
      <c r="O311" s="308">
        <f>'Monthly D6 Gallon Data'!$Q166</f>
        <v>0</v>
      </c>
      <c r="P311" s="308">
        <f>'Monthly D6 Gallon Data'!$Q178</f>
        <v>0</v>
      </c>
      <c r="Q311" s="307">
        <f>'Monthly D6 Gallon Data'!$Q190</f>
        <v>0</v>
      </c>
      <c r="R311" s="307">
        <f>'Monthly D6 Gallon Data'!$Q202</f>
        <v>0</v>
      </c>
      <c r="S311" s="307">
        <f>'Monthly D6 Gallon Data'!$Q190</f>
        <v>0</v>
      </c>
      <c r="T311" s="307">
        <f>'Monthly D6 Gallon Data'!$Q190</f>
        <v>0</v>
      </c>
      <c r="U311" s="307">
        <f>'Monthly D6 Gallon Data'!$Q190</f>
        <v>0</v>
      </c>
      <c r="V311" s="307">
        <f>'Monthly D6 Gallon Data'!$Q190</f>
        <v>0</v>
      </c>
      <c r="W311" s="307">
        <f>'Monthly D6 Gallon Data'!$Q190</f>
        <v>0</v>
      </c>
      <c r="X311" s="307">
        <f>'Monthly D6 Gallon Data'!$Q190</f>
        <v>0</v>
      </c>
      <c r="Y311" s="307">
        <f>'Monthly D6 Gallon Data'!$Q190</f>
        <v>0</v>
      </c>
      <c r="Z311" s="307">
        <f>'Monthly D6 Gallon Data'!$Q190</f>
        <v>0</v>
      </c>
      <c r="AA311" s="307">
        <f>'Monthly D6 Gallon Data'!$Q190</f>
        <v>0</v>
      </c>
      <c r="AB311" s="307">
        <f>'Monthly D6 Gallon Data'!$Q190</f>
        <v>0</v>
      </c>
      <c r="AC311" s="307">
        <f>'Monthly D6 Gallon Data'!$Q190</f>
        <v>0</v>
      </c>
      <c r="AD311" s="307">
        <f>'Monthly D6 Gallon Data'!$Q190</f>
        <v>0</v>
      </c>
      <c r="AE311" s="307">
        <f>'Monthly D6 Gallon Data'!$Q190</f>
        <v>0</v>
      </c>
      <c r="AF311" s="307">
        <f>'Monthly D6 Gallon Data'!$Q190</f>
        <v>0</v>
      </c>
      <c r="AG311" s="307">
        <f>'Monthly D6 Gallon Data'!$Q190</f>
        <v>0</v>
      </c>
      <c r="AH311" s="307">
        <f>'Monthly D6 Gallon Data'!$Q190</f>
        <v>0</v>
      </c>
      <c r="AI311" s="307">
        <f>'Monthly D6 Gallon Data'!$Q190</f>
        <v>0</v>
      </c>
      <c r="AJ311" s="307">
        <f>'Monthly D6 Gallon Data'!$Q190</f>
        <v>0</v>
      </c>
      <c r="AK311" s="307">
        <f>'Monthly D6 Gallon Data'!$Q190</f>
        <v>0</v>
      </c>
      <c r="AL311" s="307">
        <f>'Monthly D6 Gallon Data'!$Q190</f>
        <v>0</v>
      </c>
      <c r="AM311" s="307">
        <f>'Monthly D6 Gallon Data'!$Q190</f>
        <v>0</v>
      </c>
      <c r="AN311" s="307">
        <f>'Monthly D6 Gallon Data'!$Q190</f>
        <v>0</v>
      </c>
      <c r="AO311" s="307">
        <f>'Monthly D6 Gallon Data'!$Q190</f>
        <v>0</v>
      </c>
      <c r="AP311" s="307">
        <f>'Monthly D6 Gallon Data'!$Q190</f>
        <v>0</v>
      </c>
      <c r="AQ311" s="307">
        <f>'Monthly D6 Gallon Data'!$Q190</f>
        <v>0</v>
      </c>
      <c r="AR311" s="307"/>
      <c r="AS311" s="307"/>
      <c r="AT311" s="307"/>
      <c r="AU311" s="307"/>
      <c r="AV311" s="307"/>
      <c r="AW311" s="307"/>
      <c r="AX311" s="307"/>
      <c r="AY311" s="307"/>
      <c r="AZ311" s="307"/>
      <c r="BA311" s="307"/>
      <c r="BB311" s="307"/>
      <c r="BC311" s="308"/>
      <c r="BK311" s="308">
        <f>'Monthly D6 Gallon Data'!$P182</f>
        <v>0</v>
      </c>
      <c r="BL311" s="308">
        <f t="shared" si="240"/>
        <v>0</v>
      </c>
      <c r="BM311" s="309">
        <v>0</v>
      </c>
      <c r="BN311" s="308">
        <f t="shared" si="241"/>
        <v>0</v>
      </c>
      <c r="BO311" s="308">
        <v>0</v>
      </c>
      <c r="BP311" s="308">
        <f t="shared" si="242"/>
        <v>0</v>
      </c>
    </row>
    <row r="312" spans="1:68">
      <c r="A312" s="301" t="s">
        <v>50</v>
      </c>
      <c r="B312" s="308">
        <f>'Monthly D6 Gallon Data'!$Q11</f>
        <v>0</v>
      </c>
      <c r="C312" s="308">
        <f>'Monthly D6 Gallon Data'!$Q23</f>
        <v>0</v>
      </c>
      <c r="D312" s="308">
        <f>'Monthly D6 Gallon Data'!$Q35</f>
        <v>0</v>
      </c>
      <c r="E312" s="308">
        <f>'Monthly D6 Gallon Data'!$Q47</f>
        <v>0</v>
      </c>
      <c r="F312" s="308">
        <f>'Monthly D6 Gallon Data'!$Q59</f>
        <v>0</v>
      </c>
      <c r="G312" s="308">
        <f>'Monthly D6 Gallon Data'!$Q71</f>
        <v>0</v>
      </c>
      <c r="H312" s="308">
        <f>'Monthly D6 Gallon Data'!$Q83</f>
        <v>0</v>
      </c>
      <c r="I312" s="308">
        <f>'Monthly D6 Gallon Data'!$Q95</f>
        <v>0</v>
      </c>
      <c r="J312" s="308">
        <f>'Monthly D6 Gallon Data'!$Q107</f>
        <v>0</v>
      </c>
      <c r="K312" s="308">
        <f>'Monthly D6 Gallon Data'!$Q119</f>
        <v>0</v>
      </c>
      <c r="L312" s="308">
        <f>'Monthly D6 Gallon Data'!$Q131</f>
        <v>0</v>
      </c>
      <c r="M312" s="308">
        <f>'Monthly D6 Gallon Data'!$Q143</f>
        <v>0</v>
      </c>
      <c r="N312" s="308">
        <f>'Monthly D6 Gallon Data'!$Q155</f>
        <v>0</v>
      </c>
      <c r="O312" s="308">
        <f>'Monthly D6 Gallon Data'!$Q167</f>
        <v>0</v>
      </c>
      <c r="P312" s="308">
        <f>'Monthly D6 Gallon Data'!$Q179</f>
        <v>0</v>
      </c>
      <c r="Q312" s="307">
        <f>'Monthly D6 Gallon Data'!$Q191</f>
        <v>0</v>
      </c>
      <c r="R312" s="307">
        <f>'Monthly D6 Gallon Data'!$Q203</f>
        <v>0</v>
      </c>
      <c r="S312" s="307">
        <f>'Monthly D6 Gallon Data'!$Q191</f>
        <v>0</v>
      </c>
      <c r="T312" s="307">
        <f>'Monthly D6 Gallon Data'!$Q191</f>
        <v>0</v>
      </c>
      <c r="U312" s="307">
        <f>'Monthly D6 Gallon Data'!$Q191</f>
        <v>0</v>
      </c>
      <c r="V312" s="307">
        <f>'Monthly D6 Gallon Data'!$Q191</f>
        <v>0</v>
      </c>
      <c r="W312" s="307">
        <f>'Monthly D6 Gallon Data'!$Q191</f>
        <v>0</v>
      </c>
      <c r="X312" s="307">
        <f>'Monthly D6 Gallon Data'!$Q191</f>
        <v>0</v>
      </c>
      <c r="Y312" s="307">
        <f>'Monthly D6 Gallon Data'!$Q191</f>
        <v>0</v>
      </c>
      <c r="Z312" s="307">
        <f>'Monthly D6 Gallon Data'!$Q191</f>
        <v>0</v>
      </c>
      <c r="AA312" s="307">
        <f>'Monthly D6 Gallon Data'!$Q191</f>
        <v>0</v>
      </c>
      <c r="AB312" s="307">
        <f>'Monthly D6 Gallon Data'!$Q191</f>
        <v>0</v>
      </c>
      <c r="AC312" s="307">
        <f>'Monthly D6 Gallon Data'!$Q191</f>
        <v>0</v>
      </c>
      <c r="AD312" s="307">
        <f>'Monthly D6 Gallon Data'!$Q191</f>
        <v>0</v>
      </c>
      <c r="AE312" s="307">
        <f>'Monthly D6 Gallon Data'!$Q191</f>
        <v>0</v>
      </c>
      <c r="AF312" s="307">
        <f>'Monthly D6 Gallon Data'!$Q191</f>
        <v>0</v>
      </c>
      <c r="AG312" s="307">
        <f>'Monthly D6 Gallon Data'!$Q191</f>
        <v>0</v>
      </c>
      <c r="AH312" s="307">
        <f>'Monthly D6 Gallon Data'!$Q191</f>
        <v>0</v>
      </c>
      <c r="AI312" s="307">
        <f>'Monthly D6 Gallon Data'!$Q191</f>
        <v>0</v>
      </c>
      <c r="AJ312" s="307">
        <f>'Monthly D6 Gallon Data'!$Q191</f>
        <v>0</v>
      </c>
      <c r="AK312" s="307">
        <f>'Monthly D6 Gallon Data'!$Q191</f>
        <v>0</v>
      </c>
      <c r="AL312" s="307">
        <f>'Monthly D6 Gallon Data'!$Q191</f>
        <v>0</v>
      </c>
      <c r="AM312" s="307">
        <f>'Monthly D6 Gallon Data'!$Q191</f>
        <v>0</v>
      </c>
      <c r="AN312" s="307">
        <f>'Monthly D6 Gallon Data'!$Q191</f>
        <v>0</v>
      </c>
      <c r="AO312" s="307">
        <f>'Monthly D6 Gallon Data'!$Q191</f>
        <v>0</v>
      </c>
      <c r="AP312" s="307">
        <f>'Monthly D6 Gallon Data'!$Q191</f>
        <v>0</v>
      </c>
      <c r="AQ312" s="307">
        <f>'Monthly D6 Gallon Data'!$Q191</f>
        <v>0</v>
      </c>
      <c r="AR312" s="307"/>
      <c r="AS312" s="307"/>
      <c r="AT312" s="307"/>
      <c r="AU312" s="307"/>
      <c r="AV312" s="307"/>
      <c r="AW312" s="307"/>
      <c r="AX312" s="307"/>
      <c r="AY312" s="307"/>
      <c r="AZ312" s="307"/>
      <c r="BA312" s="307"/>
      <c r="BB312" s="307"/>
      <c r="BC312" s="308"/>
      <c r="BK312" s="308">
        <f>'Monthly D6 Gallon Data'!$P183</f>
        <v>0</v>
      </c>
      <c r="BL312" s="308">
        <f t="shared" si="240"/>
        <v>0</v>
      </c>
      <c r="BM312" s="309">
        <v>0</v>
      </c>
      <c r="BN312" s="308">
        <f t="shared" si="241"/>
        <v>0</v>
      </c>
      <c r="BO312" s="308">
        <v>0</v>
      </c>
      <c r="BP312" s="308">
        <f t="shared" si="242"/>
        <v>0</v>
      </c>
    </row>
    <row r="313" spans="1:68">
      <c r="A313" s="301" t="s">
        <v>51</v>
      </c>
      <c r="B313" s="308">
        <f>'Monthly D6 Gallon Data'!$Q12</f>
        <v>0</v>
      </c>
      <c r="C313" s="308">
        <f>'Monthly D6 Gallon Data'!$Q24</f>
        <v>0</v>
      </c>
      <c r="D313" s="308">
        <f>'Monthly D6 Gallon Data'!$Q36</f>
        <v>0</v>
      </c>
      <c r="E313" s="308">
        <f>'Monthly D6 Gallon Data'!$Q48</f>
        <v>0</v>
      </c>
      <c r="F313" s="308">
        <f>'Monthly D6 Gallon Data'!$Q60</f>
        <v>0</v>
      </c>
      <c r="G313" s="308">
        <f>'Monthly D6 Gallon Data'!$Q72</f>
        <v>0</v>
      </c>
      <c r="H313" s="308">
        <f>'Monthly D6 Gallon Data'!$Q84</f>
        <v>0</v>
      </c>
      <c r="I313" s="308">
        <f>'Monthly D6 Gallon Data'!$Q96</f>
        <v>0</v>
      </c>
      <c r="J313" s="308">
        <f>'Monthly D6 Gallon Data'!$Q108</f>
        <v>0</v>
      </c>
      <c r="K313" s="308">
        <f>'Monthly D6 Gallon Data'!$Q120</f>
        <v>0</v>
      </c>
      <c r="L313" s="308">
        <f>'Monthly D6 Gallon Data'!$Q132</f>
        <v>0</v>
      </c>
      <c r="M313" s="308">
        <f>'Monthly D6 Gallon Data'!$Q144</f>
        <v>0</v>
      </c>
      <c r="N313" s="308">
        <f>'Monthly D6 Gallon Data'!$Q156</f>
        <v>0</v>
      </c>
      <c r="O313" s="308">
        <f>'Monthly D6 Gallon Data'!$Q168</f>
        <v>0</v>
      </c>
      <c r="P313" s="308">
        <f>'Monthly D6 Gallon Data'!$Q180</f>
        <v>0</v>
      </c>
      <c r="Q313" s="307">
        <f>'Monthly D6 Gallon Data'!$Q192</f>
        <v>0</v>
      </c>
      <c r="R313" s="307">
        <f>'Monthly D6 Gallon Data'!$Q204</f>
        <v>0</v>
      </c>
      <c r="S313" s="307">
        <f>'Monthly D6 Gallon Data'!$Q192</f>
        <v>0</v>
      </c>
      <c r="T313" s="307">
        <f>'Monthly D6 Gallon Data'!$Q192</f>
        <v>0</v>
      </c>
      <c r="U313" s="307">
        <f>'Monthly D6 Gallon Data'!$Q192</f>
        <v>0</v>
      </c>
      <c r="V313" s="307">
        <f>'Monthly D6 Gallon Data'!$Q192</f>
        <v>0</v>
      </c>
      <c r="W313" s="307">
        <f>'Monthly D6 Gallon Data'!$Q192</f>
        <v>0</v>
      </c>
      <c r="X313" s="307">
        <f>'Monthly D6 Gallon Data'!$Q192</f>
        <v>0</v>
      </c>
      <c r="Y313" s="307">
        <f>'Monthly D6 Gallon Data'!$Q192</f>
        <v>0</v>
      </c>
      <c r="Z313" s="307">
        <f>'Monthly D6 Gallon Data'!$Q192</f>
        <v>0</v>
      </c>
      <c r="AA313" s="307">
        <f>'Monthly D6 Gallon Data'!$Q192</f>
        <v>0</v>
      </c>
      <c r="AB313" s="307">
        <f>'Monthly D6 Gallon Data'!$Q192</f>
        <v>0</v>
      </c>
      <c r="AC313" s="307">
        <f>'Monthly D6 Gallon Data'!$Q192</f>
        <v>0</v>
      </c>
      <c r="AD313" s="307">
        <f>'Monthly D6 Gallon Data'!$Q192</f>
        <v>0</v>
      </c>
      <c r="AE313" s="307">
        <f>'Monthly D6 Gallon Data'!$Q192</f>
        <v>0</v>
      </c>
      <c r="AF313" s="307">
        <f>'Monthly D6 Gallon Data'!$Q192</f>
        <v>0</v>
      </c>
      <c r="AG313" s="307">
        <f>'Monthly D6 Gallon Data'!$Q192</f>
        <v>0</v>
      </c>
      <c r="AH313" s="307">
        <f>'Monthly D6 Gallon Data'!$Q192</f>
        <v>0</v>
      </c>
      <c r="AI313" s="307">
        <f>'Monthly D6 Gallon Data'!$Q192</f>
        <v>0</v>
      </c>
      <c r="AJ313" s="307">
        <f>'Monthly D6 Gallon Data'!$Q192</f>
        <v>0</v>
      </c>
      <c r="AK313" s="307">
        <f>'Monthly D6 Gallon Data'!$Q192</f>
        <v>0</v>
      </c>
      <c r="AL313" s="307">
        <f>'Monthly D6 Gallon Data'!$Q192</f>
        <v>0</v>
      </c>
      <c r="AM313" s="307">
        <f>'Monthly D6 Gallon Data'!$Q192</f>
        <v>0</v>
      </c>
      <c r="AN313" s="307">
        <f>'Monthly D6 Gallon Data'!$Q192</f>
        <v>0</v>
      </c>
      <c r="AO313" s="307">
        <f>'Monthly D6 Gallon Data'!$Q192</f>
        <v>0</v>
      </c>
      <c r="AP313" s="307">
        <f>'Monthly D6 Gallon Data'!$Q192</f>
        <v>0</v>
      </c>
      <c r="AQ313" s="307">
        <f>'Monthly D6 Gallon Data'!$Q192</f>
        <v>0</v>
      </c>
      <c r="AR313" s="307"/>
      <c r="AS313" s="307"/>
      <c r="AT313" s="307"/>
      <c r="AU313" s="307"/>
      <c r="AV313" s="307"/>
      <c r="AW313" s="307"/>
      <c r="AX313" s="307"/>
      <c r="AY313" s="307"/>
      <c r="AZ313" s="307"/>
      <c r="BA313" s="307"/>
      <c r="BB313" s="307"/>
      <c r="BC313" s="308"/>
      <c r="BK313" s="308">
        <f>'Monthly D6 Gallon Data'!$P184</f>
        <v>0</v>
      </c>
      <c r="BL313" s="308">
        <f t="shared" si="240"/>
        <v>0</v>
      </c>
      <c r="BM313" s="309">
        <v>0</v>
      </c>
      <c r="BN313" s="308">
        <f t="shared" si="241"/>
        <v>0</v>
      </c>
      <c r="BO313" s="308">
        <v>0</v>
      </c>
      <c r="BP313" s="308">
        <f t="shared" si="242"/>
        <v>0</v>
      </c>
    </row>
    <row r="314" spans="1:68">
      <c r="A314" s="301" t="s">
        <v>52</v>
      </c>
      <c r="B314" s="308">
        <f>'Monthly D6 Gallon Data'!$Q13</f>
        <v>0</v>
      </c>
      <c r="C314" s="308">
        <f>'Monthly D6 Gallon Data'!$Q25</f>
        <v>0</v>
      </c>
      <c r="D314" s="308">
        <f>'Monthly D6 Gallon Data'!$Q37</f>
        <v>0</v>
      </c>
      <c r="E314" s="308">
        <f>'Monthly D6 Gallon Data'!$Q49</f>
        <v>0</v>
      </c>
      <c r="F314" s="308">
        <f>'Monthly D6 Gallon Data'!$Q61</f>
        <v>0</v>
      </c>
      <c r="G314" s="308">
        <f>'Monthly D6 Gallon Data'!$Q73</f>
        <v>0</v>
      </c>
      <c r="H314" s="308">
        <f>'Monthly D6 Gallon Data'!$Q85</f>
        <v>0</v>
      </c>
      <c r="I314" s="308">
        <f>'Monthly D6 Gallon Data'!$Q97</f>
        <v>0</v>
      </c>
      <c r="J314" s="308">
        <f>'Monthly D6 Gallon Data'!$Q109</f>
        <v>0</v>
      </c>
      <c r="K314" s="308">
        <f>'Monthly D6 Gallon Data'!$Q121</f>
        <v>0</v>
      </c>
      <c r="L314" s="308">
        <f>'Monthly D6 Gallon Data'!$Q133</f>
        <v>0</v>
      </c>
      <c r="M314" s="308">
        <f>'Monthly D6 Gallon Data'!$Q145</f>
        <v>0</v>
      </c>
      <c r="N314" s="308">
        <f>'Monthly D6 Gallon Data'!$Q157</f>
        <v>0</v>
      </c>
      <c r="O314" s="308">
        <f>'Monthly D6 Gallon Data'!$Q169</f>
        <v>0</v>
      </c>
      <c r="P314" s="308">
        <f>'Monthly D6 Gallon Data'!$Q181</f>
        <v>0</v>
      </c>
      <c r="Q314" s="307">
        <f>'Monthly D6 Gallon Data'!$Q193</f>
        <v>0</v>
      </c>
      <c r="R314" s="307">
        <f>'Monthly D6 Gallon Data'!$Q205</f>
        <v>0</v>
      </c>
      <c r="S314" s="307">
        <f>'Monthly D6 Gallon Data'!$Q193</f>
        <v>0</v>
      </c>
      <c r="T314" s="307">
        <f>'Monthly D6 Gallon Data'!$Q193</f>
        <v>0</v>
      </c>
      <c r="U314" s="307">
        <f>'Monthly D6 Gallon Data'!$Q193</f>
        <v>0</v>
      </c>
      <c r="V314" s="307">
        <f>'Monthly D6 Gallon Data'!$Q193</f>
        <v>0</v>
      </c>
      <c r="W314" s="307">
        <f>'Monthly D6 Gallon Data'!$Q193</f>
        <v>0</v>
      </c>
      <c r="X314" s="307">
        <f>'Monthly D6 Gallon Data'!$Q193</f>
        <v>0</v>
      </c>
      <c r="Y314" s="307">
        <f>'Monthly D6 Gallon Data'!$Q193</f>
        <v>0</v>
      </c>
      <c r="Z314" s="307">
        <f>'Monthly D6 Gallon Data'!$Q193</f>
        <v>0</v>
      </c>
      <c r="AA314" s="307">
        <f>'Monthly D6 Gallon Data'!$Q193</f>
        <v>0</v>
      </c>
      <c r="AB314" s="307">
        <f>'Monthly D6 Gallon Data'!$Q193</f>
        <v>0</v>
      </c>
      <c r="AC314" s="307">
        <f>'Monthly D6 Gallon Data'!$Q193</f>
        <v>0</v>
      </c>
      <c r="AD314" s="307">
        <f>'Monthly D6 Gallon Data'!$Q193</f>
        <v>0</v>
      </c>
      <c r="AE314" s="307">
        <f>'Monthly D6 Gallon Data'!$Q193</f>
        <v>0</v>
      </c>
      <c r="AF314" s="307">
        <f>'Monthly D6 Gallon Data'!$Q193</f>
        <v>0</v>
      </c>
      <c r="AG314" s="307">
        <f>'Monthly D6 Gallon Data'!$Q193</f>
        <v>0</v>
      </c>
      <c r="AH314" s="307">
        <f>'Monthly D6 Gallon Data'!$Q193</f>
        <v>0</v>
      </c>
      <c r="AI314" s="307">
        <f>'Monthly D6 Gallon Data'!$Q193</f>
        <v>0</v>
      </c>
      <c r="AJ314" s="307">
        <f>'Monthly D6 Gallon Data'!$Q193</f>
        <v>0</v>
      </c>
      <c r="AK314" s="307">
        <f>'Monthly D6 Gallon Data'!$Q193</f>
        <v>0</v>
      </c>
      <c r="AL314" s="307">
        <f>'Monthly D6 Gallon Data'!$Q193</f>
        <v>0</v>
      </c>
      <c r="AM314" s="307">
        <f>'Monthly D6 Gallon Data'!$Q193</f>
        <v>0</v>
      </c>
      <c r="AN314" s="307">
        <f>'Monthly D6 Gallon Data'!$Q193</f>
        <v>0</v>
      </c>
      <c r="AO314" s="307">
        <f>'Monthly D6 Gallon Data'!$Q193</f>
        <v>0</v>
      </c>
      <c r="AP314" s="307">
        <f>'Monthly D6 Gallon Data'!$Q193</f>
        <v>0</v>
      </c>
      <c r="AQ314" s="307">
        <f>'Monthly D6 Gallon Data'!$Q193</f>
        <v>0</v>
      </c>
      <c r="AR314" s="307"/>
      <c r="AS314" s="307"/>
      <c r="AT314" s="307"/>
      <c r="AU314" s="307"/>
      <c r="AV314" s="307"/>
      <c r="AW314" s="307"/>
      <c r="AX314" s="307"/>
      <c r="AY314" s="307"/>
      <c r="AZ314" s="307"/>
      <c r="BA314" s="307"/>
      <c r="BB314" s="307"/>
      <c r="BC314" s="308"/>
      <c r="BK314" s="308">
        <f>'Monthly D6 Gallon Data'!$P185</f>
        <v>0</v>
      </c>
      <c r="BL314" s="308">
        <f t="shared" si="240"/>
        <v>0</v>
      </c>
      <c r="BM314" s="309">
        <v>0</v>
      </c>
      <c r="BN314" s="308">
        <f t="shared" si="241"/>
        <v>0</v>
      </c>
      <c r="BO314" s="308">
        <v>0</v>
      </c>
      <c r="BP314" s="308">
        <f t="shared" si="242"/>
        <v>0</v>
      </c>
    </row>
    <row r="315" spans="1:68">
      <c r="A315" s="301" t="s">
        <v>53</v>
      </c>
      <c r="B315" s="308">
        <f>'Monthly D6 Gallon Data'!$Q14</f>
        <v>0</v>
      </c>
      <c r="C315" s="308">
        <f>'Monthly D6 Gallon Data'!$Q26</f>
        <v>0</v>
      </c>
      <c r="D315" s="308">
        <f>'Monthly D6 Gallon Data'!$Q38</f>
        <v>0</v>
      </c>
      <c r="E315" s="308">
        <f>'Monthly D6 Gallon Data'!$Q50</f>
        <v>0</v>
      </c>
      <c r="F315" s="308">
        <f>'Monthly D6 Gallon Data'!$Q62</f>
        <v>0</v>
      </c>
      <c r="G315" s="308">
        <f>'Monthly D6 Gallon Data'!$Q74</f>
        <v>0</v>
      </c>
      <c r="H315" s="308">
        <f>'Monthly D6 Gallon Data'!$Q86</f>
        <v>0</v>
      </c>
      <c r="I315" s="308">
        <f>'Monthly D6 Gallon Data'!$Q98</f>
        <v>0</v>
      </c>
      <c r="J315" s="308">
        <f>'Monthly D6 Gallon Data'!$Q110</f>
        <v>0</v>
      </c>
      <c r="K315" s="308">
        <f>'Monthly D6 Gallon Data'!$Q122</f>
        <v>0</v>
      </c>
      <c r="L315" s="308">
        <f>'Monthly D6 Gallon Data'!$Q134</f>
        <v>0</v>
      </c>
      <c r="M315" s="308">
        <f>'Monthly D6 Gallon Data'!$Q146</f>
        <v>0</v>
      </c>
      <c r="N315" s="308">
        <f>'Monthly D6 Gallon Data'!$Q158</f>
        <v>0</v>
      </c>
      <c r="O315" s="308">
        <f>'Monthly D6 Gallon Data'!$Q170</f>
        <v>0</v>
      </c>
      <c r="P315" s="308">
        <f>'Monthly D6 Gallon Data'!$Q182</f>
        <v>0</v>
      </c>
      <c r="Q315" s="307">
        <f>'Monthly D6 Gallon Data'!$Q194</f>
        <v>0</v>
      </c>
      <c r="R315" s="307">
        <f>'Monthly D6 Gallon Data'!$Q206</f>
        <v>0</v>
      </c>
      <c r="S315" s="307">
        <f>'Monthly D6 Gallon Data'!$Q194</f>
        <v>0</v>
      </c>
      <c r="T315" s="307">
        <f>'Monthly D6 Gallon Data'!$Q194</f>
        <v>0</v>
      </c>
      <c r="U315" s="307">
        <f>'Monthly D6 Gallon Data'!$Q194</f>
        <v>0</v>
      </c>
      <c r="V315" s="307">
        <f>'Monthly D6 Gallon Data'!$Q194</f>
        <v>0</v>
      </c>
      <c r="W315" s="307">
        <f>'Monthly D6 Gallon Data'!$Q194</f>
        <v>0</v>
      </c>
      <c r="X315" s="307">
        <f>'Monthly D6 Gallon Data'!$Q194</f>
        <v>0</v>
      </c>
      <c r="Y315" s="307">
        <f>'Monthly D6 Gallon Data'!$Q194</f>
        <v>0</v>
      </c>
      <c r="Z315" s="307">
        <f>'Monthly D6 Gallon Data'!$Q194</f>
        <v>0</v>
      </c>
      <c r="AA315" s="307">
        <f>'Monthly D6 Gallon Data'!$Q194</f>
        <v>0</v>
      </c>
      <c r="AB315" s="307">
        <f>'Monthly D6 Gallon Data'!$Q194</f>
        <v>0</v>
      </c>
      <c r="AC315" s="307">
        <f>'Monthly D6 Gallon Data'!$Q194</f>
        <v>0</v>
      </c>
      <c r="AD315" s="307">
        <f>'Monthly D6 Gallon Data'!$Q194</f>
        <v>0</v>
      </c>
      <c r="AE315" s="307">
        <f>'Monthly D6 Gallon Data'!$Q194</f>
        <v>0</v>
      </c>
      <c r="AF315" s="307">
        <f>'Monthly D6 Gallon Data'!$Q194</f>
        <v>0</v>
      </c>
      <c r="AG315" s="307">
        <f>'Monthly D6 Gallon Data'!$Q194</f>
        <v>0</v>
      </c>
      <c r="AH315" s="307">
        <f>'Monthly D6 Gallon Data'!$Q194</f>
        <v>0</v>
      </c>
      <c r="AI315" s="307">
        <f>'Monthly D6 Gallon Data'!$Q194</f>
        <v>0</v>
      </c>
      <c r="AJ315" s="307">
        <f>'Monthly D6 Gallon Data'!$Q194</f>
        <v>0</v>
      </c>
      <c r="AK315" s="307">
        <f>'Monthly D6 Gallon Data'!$Q194</f>
        <v>0</v>
      </c>
      <c r="AL315" s="307">
        <f>'Monthly D6 Gallon Data'!$Q194</f>
        <v>0</v>
      </c>
      <c r="AM315" s="307">
        <f>'Monthly D6 Gallon Data'!$Q194</f>
        <v>0</v>
      </c>
      <c r="AN315" s="307">
        <f>'Monthly D6 Gallon Data'!$Q194</f>
        <v>0</v>
      </c>
      <c r="AO315" s="307">
        <f>'Monthly D6 Gallon Data'!$Q194</f>
        <v>0</v>
      </c>
      <c r="AP315" s="307">
        <f>'Monthly D6 Gallon Data'!$Q194</f>
        <v>0</v>
      </c>
      <c r="AQ315" s="307">
        <f>'Monthly D6 Gallon Data'!$Q194</f>
        <v>0</v>
      </c>
      <c r="AR315" s="307"/>
      <c r="AS315" s="307"/>
      <c r="AT315" s="307"/>
      <c r="AU315" s="307"/>
      <c r="AV315" s="307"/>
      <c r="AW315" s="307"/>
      <c r="AX315" s="307"/>
      <c r="AY315" s="307"/>
      <c r="AZ315" s="307"/>
      <c r="BA315" s="307"/>
      <c r="BB315" s="307"/>
      <c r="BC315" s="308"/>
      <c r="BK315" s="309">
        <f>'Monthly D6 Gallon Data'!$P186</f>
        <v>0</v>
      </c>
      <c r="BL315" s="308">
        <f t="shared" si="240"/>
        <v>0</v>
      </c>
      <c r="BM315" s="309">
        <v>0</v>
      </c>
      <c r="BN315" s="308">
        <f t="shared" si="241"/>
        <v>0</v>
      </c>
      <c r="BO315" s="308">
        <v>0</v>
      </c>
      <c r="BP315" s="308">
        <f t="shared" si="242"/>
        <v>0</v>
      </c>
    </row>
    <row r="316" spans="1:68">
      <c r="A316" s="301" t="s">
        <v>54</v>
      </c>
      <c r="B316" s="308">
        <f>'Monthly D6 Gallon Data'!$Q15</f>
        <v>0</v>
      </c>
      <c r="C316" s="308">
        <f>'Monthly D6 Gallon Data'!$Q27</f>
        <v>0</v>
      </c>
      <c r="D316" s="308">
        <f>'Monthly D6 Gallon Data'!$Q39</f>
        <v>0</v>
      </c>
      <c r="E316" s="308">
        <f>'Monthly D6 Gallon Data'!$Q51</f>
        <v>0</v>
      </c>
      <c r="F316" s="308">
        <f>'Monthly D6 Gallon Data'!$Q63</f>
        <v>0</v>
      </c>
      <c r="G316" s="308">
        <f>'Monthly D6 Gallon Data'!$Q75</f>
        <v>0</v>
      </c>
      <c r="H316" s="308">
        <f>'Monthly D6 Gallon Data'!$Q87</f>
        <v>0</v>
      </c>
      <c r="I316" s="308">
        <f>'Monthly D6 Gallon Data'!$Q99</f>
        <v>0</v>
      </c>
      <c r="J316" s="308">
        <f>'Monthly D6 Gallon Data'!$Q111</f>
        <v>0</v>
      </c>
      <c r="K316" s="308">
        <f>'Monthly D6 Gallon Data'!$Q123</f>
        <v>0</v>
      </c>
      <c r="L316" s="308">
        <f>'Monthly D6 Gallon Data'!$Q135</f>
        <v>0</v>
      </c>
      <c r="M316" s="308">
        <f>'Monthly D6 Gallon Data'!$Q147</f>
        <v>0</v>
      </c>
      <c r="N316" s="308">
        <f>'Monthly D6 Gallon Data'!$Q159</f>
        <v>0</v>
      </c>
      <c r="O316" s="308">
        <f>'Monthly D6 Gallon Data'!$Q171</f>
        <v>0</v>
      </c>
      <c r="P316" s="308">
        <f>'Monthly D6 Gallon Data'!$Q183</f>
        <v>0</v>
      </c>
      <c r="Q316" s="307">
        <f>'Monthly D6 Gallon Data'!$Q195</f>
        <v>0</v>
      </c>
      <c r="R316" s="307">
        <f>'Monthly D6 Gallon Data'!$Q207</f>
        <v>0</v>
      </c>
      <c r="S316" s="307">
        <f>'Monthly D6 Gallon Data'!$Q195</f>
        <v>0</v>
      </c>
      <c r="T316" s="307">
        <f>'Monthly D6 Gallon Data'!$Q195</f>
        <v>0</v>
      </c>
      <c r="U316" s="307">
        <f>'Monthly D6 Gallon Data'!$Q195</f>
        <v>0</v>
      </c>
      <c r="V316" s="307">
        <f>'Monthly D6 Gallon Data'!$Q195</f>
        <v>0</v>
      </c>
      <c r="W316" s="307">
        <f>'Monthly D6 Gallon Data'!$Q195</f>
        <v>0</v>
      </c>
      <c r="X316" s="307">
        <f>'Monthly D6 Gallon Data'!$Q195</f>
        <v>0</v>
      </c>
      <c r="Y316" s="307">
        <f>'Monthly D6 Gallon Data'!$Q195</f>
        <v>0</v>
      </c>
      <c r="Z316" s="307">
        <f>'Monthly D6 Gallon Data'!$Q195</f>
        <v>0</v>
      </c>
      <c r="AA316" s="307">
        <f>'Monthly D6 Gallon Data'!$Q195</f>
        <v>0</v>
      </c>
      <c r="AB316" s="307">
        <f>'Monthly D6 Gallon Data'!$Q195</f>
        <v>0</v>
      </c>
      <c r="AC316" s="307">
        <f>'Monthly D6 Gallon Data'!$Q195</f>
        <v>0</v>
      </c>
      <c r="AD316" s="307">
        <f>'Monthly D6 Gallon Data'!$Q195</f>
        <v>0</v>
      </c>
      <c r="AE316" s="307">
        <f>'Monthly D6 Gallon Data'!$Q195</f>
        <v>0</v>
      </c>
      <c r="AF316" s="307">
        <f>'Monthly D6 Gallon Data'!$Q195</f>
        <v>0</v>
      </c>
      <c r="AG316" s="307">
        <f>'Monthly D6 Gallon Data'!$Q195</f>
        <v>0</v>
      </c>
      <c r="AH316" s="307">
        <f>'Monthly D6 Gallon Data'!$Q195</f>
        <v>0</v>
      </c>
      <c r="AI316" s="307">
        <f>'Monthly D6 Gallon Data'!$Q195</f>
        <v>0</v>
      </c>
      <c r="AJ316" s="307">
        <f>'Monthly D6 Gallon Data'!$Q195</f>
        <v>0</v>
      </c>
      <c r="AK316" s="307">
        <f>'Monthly D6 Gallon Data'!$Q195</f>
        <v>0</v>
      </c>
      <c r="AL316" s="307">
        <f>'Monthly D6 Gallon Data'!$Q195</f>
        <v>0</v>
      </c>
      <c r="AM316" s="307">
        <f>'Monthly D6 Gallon Data'!$Q195</f>
        <v>0</v>
      </c>
      <c r="AN316" s="307">
        <f>'Monthly D6 Gallon Data'!$Q195</f>
        <v>0</v>
      </c>
      <c r="AO316" s="307">
        <f>'Monthly D6 Gallon Data'!$Q195</f>
        <v>0</v>
      </c>
      <c r="AP316" s="307">
        <f>'Monthly D6 Gallon Data'!$Q195</f>
        <v>0</v>
      </c>
      <c r="AQ316" s="307">
        <f>'Monthly D6 Gallon Data'!$Q195</f>
        <v>0</v>
      </c>
      <c r="AR316" s="307"/>
      <c r="AS316" s="307"/>
      <c r="AT316" s="307"/>
      <c r="AU316" s="307"/>
      <c r="AV316" s="307"/>
      <c r="AW316" s="307"/>
      <c r="AX316" s="307"/>
      <c r="AY316" s="307"/>
      <c r="AZ316" s="307"/>
      <c r="BA316" s="307"/>
      <c r="BB316" s="307"/>
      <c r="BC316" s="308"/>
      <c r="BK316" s="309">
        <f>'Monthly D6 Gallon Data'!$P187</f>
        <v>0</v>
      </c>
      <c r="BL316" s="308">
        <f t="shared" si="240"/>
        <v>0</v>
      </c>
      <c r="BM316" s="309">
        <v>0</v>
      </c>
      <c r="BN316" s="308">
        <f t="shared" si="241"/>
        <v>0</v>
      </c>
      <c r="BO316" s="308">
        <v>0</v>
      </c>
      <c r="BP316" s="308">
        <f t="shared" si="242"/>
        <v>0</v>
      </c>
    </row>
    <row r="317" spans="1:68" ht="12" thickBot="1">
      <c r="A317" s="301" t="s">
        <v>29</v>
      </c>
      <c r="B317" s="308">
        <f t="shared" ref="B317:AQ317" si="243">SUM(B305:B316)</f>
        <v>0</v>
      </c>
      <c r="C317" s="308">
        <f t="shared" si="243"/>
        <v>0</v>
      </c>
      <c r="D317" s="308">
        <f t="shared" si="243"/>
        <v>0</v>
      </c>
      <c r="E317" s="308">
        <f t="shared" si="243"/>
        <v>0</v>
      </c>
      <c r="F317" s="308">
        <f t="shared" si="243"/>
        <v>0</v>
      </c>
      <c r="G317" s="308">
        <f t="shared" si="243"/>
        <v>0</v>
      </c>
      <c r="H317" s="308">
        <f t="shared" si="243"/>
        <v>0</v>
      </c>
      <c r="I317" s="308">
        <f t="shared" si="243"/>
        <v>0</v>
      </c>
      <c r="J317" s="308">
        <f t="shared" si="243"/>
        <v>0</v>
      </c>
      <c r="K317" s="308">
        <f t="shared" si="243"/>
        <v>0</v>
      </c>
      <c r="L317" s="308">
        <f t="shared" si="243"/>
        <v>0</v>
      </c>
      <c r="M317" s="308">
        <f t="shared" si="243"/>
        <v>0</v>
      </c>
      <c r="N317" s="308">
        <f t="shared" si="243"/>
        <v>0</v>
      </c>
      <c r="O317" s="308">
        <f t="shared" si="243"/>
        <v>0</v>
      </c>
      <c r="P317" s="308">
        <f t="shared" si="243"/>
        <v>0</v>
      </c>
      <c r="Q317" s="307">
        <f t="shared" si="243"/>
        <v>0</v>
      </c>
      <c r="R317" s="307">
        <f t="shared" si="243"/>
        <v>0</v>
      </c>
      <c r="S317" s="307">
        <f t="shared" si="243"/>
        <v>0</v>
      </c>
      <c r="T317" s="307">
        <f t="shared" si="243"/>
        <v>0</v>
      </c>
      <c r="U317" s="307">
        <f t="shared" si="243"/>
        <v>0</v>
      </c>
      <c r="V317" s="307">
        <f t="shared" si="243"/>
        <v>0</v>
      </c>
      <c r="W317" s="307">
        <f t="shared" si="243"/>
        <v>0</v>
      </c>
      <c r="X317" s="307">
        <f t="shared" si="243"/>
        <v>0</v>
      </c>
      <c r="Y317" s="307">
        <f t="shared" si="243"/>
        <v>0</v>
      </c>
      <c r="Z317" s="307">
        <f t="shared" si="243"/>
        <v>0</v>
      </c>
      <c r="AA317" s="307">
        <f t="shared" si="243"/>
        <v>0</v>
      </c>
      <c r="AB317" s="307">
        <f t="shared" si="243"/>
        <v>0</v>
      </c>
      <c r="AC317" s="307">
        <f t="shared" si="243"/>
        <v>0</v>
      </c>
      <c r="AD317" s="307">
        <f t="shared" si="243"/>
        <v>0</v>
      </c>
      <c r="AE317" s="307">
        <f t="shared" si="243"/>
        <v>0</v>
      </c>
      <c r="AF317" s="307">
        <f t="shared" si="243"/>
        <v>0</v>
      </c>
      <c r="AG317" s="307">
        <f t="shared" si="243"/>
        <v>0</v>
      </c>
      <c r="AH317" s="307">
        <f t="shared" si="243"/>
        <v>0</v>
      </c>
      <c r="AI317" s="307">
        <f t="shared" si="243"/>
        <v>0</v>
      </c>
      <c r="AJ317" s="307">
        <f t="shared" si="243"/>
        <v>0</v>
      </c>
      <c r="AK317" s="307">
        <f t="shared" si="243"/>
        <v>0</v>
      </c>
      <c r="AL317" s="307">
        <f t="shared" si="243"/>
        <v>0</v>
      </c>
      <c r="AM317" s="307">
        <f t="shared" si="243"/>
        <v>0</v>
      </c>
      <c r="AN317" s="307">
        <f t="shared" si="243"/>
        <v>0</v>
      </c>
      <c r="AO317" s="307">
        <f t="shared" si="243"/>
        <v>0</v>
      </c>
      <c r="AP317" s="307">
        <f t="shared" si="243"/>
        <v>0</v>
      </c>
      <c r="AQ317" s="307">
        <f t="shared" si="243"/>
        <v>0</v>
      </c>
      <c r="AR317" s="307"/>
      <c r="AS317" s="307"/>
      <c r="AT317" s="307"/>
      <c r="AU317" s="307"/>
      <c r="AV317" s="307"/>
      <c r="AW317" s="307"/>
      <c r="AX317" s="307"/>
      <c r="AY317" s="307"/>
      <c r="AZ317" s="307"/>
      <c r="BA317" s="307"/>
      <c r="BB317" s="307"/>
      <c r="BC317" s="308"/>
      <c r="BK317" s="309">
        <f>SUM(BK305:BK316)</f>
        <v>0</v>
      </c>
      <c r="BL317" s="308">
        <f t="shared" si="240"/>
        <v>0</v>
      </c>
      <c r="BM317" s="309">
        <v>0</v>
      </c>
      <c r="BN317" s="308">
        <f t="shared" si="241"/>
        <v>0</v>
      </c>
      <c r="BO317" s="308">
        <v>0</v>
      </c>
      <c r="BP317" s="308">
        <f t="shared" si="242"/>
        <v>0</v>
      </c>
    </row>
    <row r="318" spans="1:68">
      <c r="A318" s="334"/>
      <c r="B318" s="334"/>
      <c r="C318" s="334"/>
      <c r="D318" s="334"/>
      <c r="E318" s="334"/>
      <c r="F318" s="334"/>
      <c r="G318" s="334"/>
      <c r="H318" s="334"/>
      <c r="I318" s="334"/>
      <c r="J318" s="334"/>
      <c r="K318" s="334"/>
      <c r="L318" s="334"/>
      <c r="M318" s="334"/>
      <c r="N318" s="334"/>
      <c r="O318" s="334"/>
      <c r="P318" s="334"/>
      <c r="Q318" s="334"/>
      <c r="R318" s="334"/>
      <c r="S318" s="334"/>
      <c r="T318" s="334"/>
      <c r="U318" s="334"/>
      <c r="V318" s="334"/>
      <c r="W318" s="334"/>
      <c r="X318" s="334"/>
      <c r="Y318" s="334"/>
      <c r="Z318" s="334"/>
      <c r="AA318" s="334"/>
      <c r="AB318" s="334"/>
      <c r="AC318" s="334"/>
      <c r="AD318" s="334"/>
      <c r="AE318" s="334"/>
      <c r="AF318" s="334"/>
      <c r="AG318" s="334"/>
      <c r="AH318" s="334"/>
      <c r="AI318" s="334"/>
      <c r="AJ318" s="334"/>
      <c r="AK318" s="334"/>
      <c r="AL318" s="334"/>
      <c r="AM318" s="334"/>
      <c r="AN318" s="334"/>
      <c r="AO318" s="334"/>
      <c r="AP318" s="334"/>
      <c r="AQ318" s="334"/>
      <c r="BC318" s="308"/>
    </row>
    <row r="319" spans="1:68" ht="12" thickBot="1">
      <c r="A319" s="300" t="s">
        <v>505</v>
      </c>
      <c r="BC319" s="308"/>
    </row>
    <row r="320" spans="1:68" ht="12" thickBot="1">
      <c r="A320" s="328"/>
      <c r="B320" s="329">
        <f t="shared" ref="B320:AQ320" si="244">B2</f>
        <v>2010</v>
      </c>
      <c r="C320" s="329">
        <f t="shared" si="244"/>
        <v>2011</v>
      </c>
      <c r="D320" s="329">
        <f t="shared" si="244"/>
        <v>2012</v>
      </c>
      <c r="E320" s="329">
        <f t="shared" si="244"/>
        <v>2013</v>
      </c>
      <c r="F320" s="329">
        <f t="shared" si="244"/>
        <v>2014</v>
      </c>
      <c r="G320" s="329">
        <f t="shared" si="244"/>
        <v>2015</v>
      </c>
      <c r="H320" s="329">
        <f t="shared" si="244"/>
        <v>2016</v>
      </c>
      <c r="I320" s="329">
        <f t="shared" si="244"/>
        <v>2017</v>
      </c>
      <c r="J320" s="329">
        <f t="shared" si="244"/>
        <v>2018</v>
      </c>
      <c r="K320" s="329">
        <f t="shared" si="244"/>
        <v>2019</v>
      </c>
      <c r="L320" s="329">
        <f t="shared" si="244"/>
        <v>2020</v>
      </c>
      <c r="M320" s="329">
        <f t="shared" si="244"/>
        <v>2021</v>
      </c>
      <c r="N320" s="329">
        <f t="shared" si="244"/>
        <v>2022</v>
      </c>
      <c r="O320" s="329">
        <f t="shared" si="244"/>
        <v>2023</v>
      </c>
      <c r="P320" s="329">
        <f t="shared" si="244"/>
        <v>2024</v>
      </c>
      <c r="Q320" s="329">
        <f t="shared" si="244"/>
        <v>2025</v>
      </c>
      <c r="R320" s="329">
        <f t="shared" si="244"/>
        <v>2026</v>
      </c>
      <c r="S320" s="329">
        <f t="shared" si="244"/>
        <v>2027</v>
      </c>
      <c r="T320" s="329">
        <f t="shared" si="244"/>
        <v>2028</v>
      </c>
      <c r="U320" s="329">
        <f t="shared" si="244"/>
        <v>2029</v>
      </c>
      <c r="V320" s="329">
        <f t="shared" si="244"/>
        <v>2030</v>
      </c>
      <c r="W320" s="329">
        <f t="shared" si="244"/>
        <v>2031</v>
      </c>
      <c r="X320" s="329">
        <f t="shared" si="244"/>
        <v>2032</v>
      </c>
      <c r="Y320" s="329">
        <f t="shared" si="244"/>
        <v>2033</v>
      </c>
      <c r="Z320" s="329">
        <f t="shared" si="244"/>
        <v>2034</v>
      </c>
      <c r="AA320" s="329">
        <f t="shared" si="244"/>
        <v>2035</v>
      </c>
      <c r="AB320" s="329">
        <f t="shared" si="244"/>
        <v>2036</v>
      </c>
      <c r="AC320" s="329">
        <f t="shared" si="244"/>
        <v>2037</v>
      </c>
      <c r="AD320" s="329">
        <f t="shared" si="244"/>
        <v>2038</v>
      </c>
      <c r="AE320" s="329">
        <f t="shared" si="244"/>
        <v>2039</v>
      </c>
      <c r="AF320" s="329">
        <f t="shared" si="244"/>
        <v>2040</v>
      </c>
      <c r="AG320" s="329">
        <f t="shared" si="244"/>
        <v>2041</v>
      </c>
      <c r="AH320" s="329">
        <f t="shared" si="244"/>
        <v>2042</v>
      </c>
      <c r="AI320" s="329">
        <f t="shared" si="244"/>
        <v>2043</v>
      </c>
      <c r="AJ320" s="329">
        <f t="shared" si="244"/>
        <v>2044</v>
      </c>
      <c r="AK320" s="329">
        <f t="shared" si="244"/>
        <v>2045</v>
      </c>
      <c r="AL320" s="329">
        <f t="shared" si="244"/>
        <v>2046</v>
      </c>
      <c r="AM320" s="329">
        <f t="shared" si="244"/>
        <v>2047</v>
      </c>
      <c r="AN320" s="329">
        <f t="shared" si="244"/>
        <v>2048</v>
      </c>
      <c r="AO320" s="329">
        <f t="shared" si="244"/>
        <v>2049</v>
      </c>
      <c r="AP320" s="329">
        <f t="shared" si="244"/>
        <v>2050</v>
      </c>
      <c r="AQ320" s="329">
        <f t="shared" si="244"/>
        <v>2051</v>
      </c>
      <c r="AR320" s="300"/>
      <c r="AS320" s="300"/>
      <c r="AT320" s="300"/>
      <c r="AU320" s="300"/>
      <c r="AV320" s="300"/>
      <c r="AW320" s="300"/>
      <c r="AX320" s="300"/>
      <c r="AY320" s="300"/>
      <c r="AZ320" s="300"/>
      <c r="BA320" s="300"/>
      <c r="BB320" s="300"/>
      <c r="BC320" s="308"/>
    </row>
    <row r="321" spans="1:68">
      <c r="A321" s="301" t="s">
        <v>43</v>
      </c>
      <c r="B321" s="308">
        <f t="shared" ref="B321:AQ327" si="245">B337+B353</f>
        <v>0</v>
      </c>
      <c r="C321" s="308">
        <f t="shared" si="245"/>
        <v>0</v>
      </c>
      <c r="D321" s="308">
        <f t="shared" si="245"/>
        <v>0</v>
      </c>
      <c r="E321" s="308">
        <f t="shared" si="245"/>
        <v>0</v>
      </c>
      <c r="F321" s="308">
        <f t="shared" si="245"/>
        <v>0</v>
      </c>
      <c r="G321" s="308">
        <f t="shared" si="245"/>
        <v>0</v>
      </c>
      <c r="H321" s="308">
        <f t="shared" si="245"/>
        <v>0</v>
      </c>
      <c r="I321" s="308">
        <f t="shared" si="245"/>
        <v>0</v>
      </c>
      <c r="J321" s="308">
        <f t="shared" si="245"/>
        <v>0</v>
      </c>
      <c r="K321" s="308">
        <f t="shared" si="245"/>
        <v>0</v>
      </c>
      <c r="L321" s="308">
        <f t="shared" si="245"/>
        <v>0</v>
      </c>
      <c r="M321" s="308">
        <f t="shared" si="245"/>
        <v>0</v>
      </c>
      <c r="N321" s="308">
        <f t="shared" si="245"/>
        <v>0</v>
      </c>
      <c r="O321" s="308">
        <f t="shared" si="245"/>
        <v>0</v>
      </c>
      <c r="P321" s="308">
        <f t="shared" si="245"/>
        <v>0</v>
      </c>
      <c r="Q321" s="308">
        <f t="shared" si="245"/>
        <v>0</v>
      </c>
      <c r="R321" s="307">
        <f t="shared" si="245"/>
        <v>0</v>
      </c>
      <c r="S321" s="307">
        <f t="shared" si="245"/>
        <v>0</v>
      </c>
      <c r="T321" s="307">
        <f t="shared" si="245"/>
        <v>0</v>
      </c>
      <c r="U321" s="307">
        <f t="shared" si="245"/>
        <v>0</v>
      </c>
      <c r="V321" s="307">
        <f t="shared" si="245"/>
        <v>0</v>
      </c>
      <c r="W321" s="307">
        <f t="shared" si="245"/>
        <v>0</v>
      </c>
      <c r="X321" s="307">
        <f t="shared" si="245"/>
        <v>0</v>
      </c>
      <c r="Y321" s="307">
        <f t="shared" si="245"/>
        <v>0</v>
      </c>
      <c r="Z321" s="307">
        <f t="shared" si="245"/>
        <v>0</v>
      </c>
      <c r="AA321" s="307">
        <f t="shared" si="245"/>
        <v>0</v>
      </c>
      <c r="AB321" s="307">
        <f t="shared" si="245"/>
        <v>0</v>
      </c>
      <c r="AC321" s="307">
        <f t="shared" si="245"/>
        <v>0</v>
      </c>
      <c r="AD321" s="307">
        <f t="shared" si="245"/>
        <v>0</v>
      </c>
      <c r="AE321" s="307">
        <f t="shared" si="245"/>
        <v>0</v>
      </c>
      <c r="AF321" s="307">
        <f t="shared" si="245"/>
        <v>0</v>
      </c>
      <c r="AG321" s="307">
        <f t="shared" si="245"/>
        <v>0</v>
      </c>
      <c r="AH321" s="307">
        <f t="shared" si="245"/>
        <v>0</v>
      </c>
      <c r="AI321" s="307">
        <f t="shared" si="245"/>
        <v>0</v>
      </c>
      <c r="AJ321" s="307">
        <f t="shared" si="245"/>
        <v>0</v>
      </c>
      <c r="AK321" s="307">
        <f t="shared" si="245"/>
        <v>0</v>
      </c>
      <c r="AL321" s="307">
        <f t="shared" si="245"/>
        <v>0</v>
      </c>
      <c r="AM321" s="307">
        <f t="shared" si="245"/>
        <v>0</v>
      </c>
      <c r="AN321" s="307">
        <f t="shared" si="245"/>
        <v>0</v>
      </c>
      <c r="AO321" s="307">
        <f t="shared" si="245"/>
        <v>0</v>
      </c>
      <c r="AP321" s="307">
        <f t="shared" si="245"/>
        <v>0</v>
      </c>
      <c r="AQ321" s="307">
        <f t="shared" si="245"/>
        <v>1</v>
      </c>
      <c r="AR321" s="307"/>
      <c r="AS321" s="307"/>
      <c r="AT321" s="307"/>
      <c r="AU321" s="307"/>
      <c r="AV321" s="307"/>
      <c r="AW321" s="307"/>
      <c r="AX321" s="307"/>
      <c r="AY321" s="307"/>
      <c r="AZ321" s="307"/>
      <c r="BA321" s="307"/>
      <c r="BB321" s="307"/>
      <c r="BC321" s="309"/>
      <c r="BM321" s="308">
        <v>0</v>
      </c>
      <c r="BN321" s="308">
        <f t="shared" ref="BN321:BN333" si="246">P321-BM321</f>
        <v>0</v>
      </c>
      <c r="BO321" s="308">
        <v>0</v>
      </c>
      <c r="BP321" s="308">
        <f t="shared" ref="BP321:BP333" si="247">BO321-Q321</f>
        <v>0</v>
      </c>
    </row>
    <row r="322" spans="1:68">
      <c r="A322" s="301" t="s">
        <v>44</v>
      </c>
      <c r="B322" s="308">
        <f t="shared" si="245"/>
        <v>0</v>
      </c>
      <c r="C322" s="308">
        <f t="shared" si="245"/>
        <v>0</v>
      </c>
      <c r="D322" s="308">
        <f t="shared" si="245"/>
        <v>0</v>
      </c>
      <c r="E322" s="308">
        <f t="shared" si="245"/>
        <v>0</v>
      </c>
      <c r="F322" s="308">
        <f t="shared" si="245"/>
        <v>0</v>
      </c>
      <c r="G322" s="308">
        <f t="shared" si="245"/>
        <v>0</v>
      </c>
      <c r="H322" s="308">
        <f t="shared" si="245"/>
        <v>0</v>
      </c>
      <c r="I322" s="308">
        <f t="shared" si="245"/>
        <v>0</v>
      </c>
      <c r="J322" s="308">
        <f t="shared" si="245"/>
        <v>0</v>
      </c>
      <c r="K322" s="308">
        <f t="shared" si="245"/>
        <v>0</v>
      </c>
      <c r="L322" s="308">
        <f t="shared" si="245"/>
        <v>0</v>
      </c>
      <c r="M322" s="308">
        <f t="shared" si="245"/>
        <v>0</v>
      </c>
      <c r="N322" s="308">
        <f t="shared" si="245"/>
        <v>0</v>
      </c>
      <c r="O322" s="308">
        <f t="shared" si="245"/>
        <v>0</v>
      </c>
      <c r="P322" s="308">
        <f t="shared" si="245"/>
        <v>0</v>
      </c>
      <c r="Q322" s="332">
        <f t="shared" si="245"/>
        <v>0</v>
      </c>
      <c r="R322" s="307">
        <f t="shared" si="245"/>
        <v>0</v>
      </c>
      <c r="S322" s="307">
        <f t="shared" si="245"/>
        <v>0</v>
      </c>
      <c r="T322" s="307">
        <f t="shared" si="245"/>
        <v>0</v>
      </c>
      <c r="U322" s="307">
        <f t="shared" si="245"/>
        <v>0</v>
      </c>
      <c r="V322" s="307">
        <f t="shared" si="245"/>
        <v>0</v>
      </c>
      <c r="W322" s="307">
        <f t="shared" si="245"/>
        <v>0</v>
      </c>
      <c r="X322" s="307">
        <f t="shared" si="245"/>
        <v>0</v>
      </c>
      <c r="Y322" s="307">
        <f t="shared" si="245"/>
        <v>0</v>
      </c>
      <c r="Z322" s="307">
        <f t="shared" si="245"/>
        <v>0</v>
      </c>
      <c r="AA322" s="307">
        <f t="shared" si="245"/>
        <v>0</v>
      </c>
      <c r="AB322" s="307">
        <f t="shared" si="245"/>
        <v>0</v>
      </c>
      <c r="AC322" s="307">
        <f t="shared" si="245"/>
        <v>0</v>
      </c>
      <c r="AD322" s="307">
        <f t="shared" si="245"/>
        <v>0</v>
      </c>
      <c r="AE322" s="307">
        <f t="shared" si="245"/>
        <v>0</v>
      </c>
      <c r="AF322" s="307">
        <f t="shared" si="245"/>
        <v>0</v>
      </c>
      <c r="AG322" s="307">
        <f t="shared" si="245"/>
        <v>0</v>
      </c>
      <c r="AH322" s="307">
        <f t="shared" si="245"/>
        <v>0</v>
      </c>
      <c r="AI322" s="307">
        <f t="shared" si="245"/>
        <v>0</v>
      </c>
      <c r="AJ322" s="307">
        <f t="shared" si="245"/>
        <v>0</v>
      </c>
      <c r="AK322" s="307">
        <f t="shared" si="245"/>
        <v>0</v>
      </c>
      <c r="AL322" s="307">
        <f t="shared" si="245"/>
        <v>0</v>
      </c>
      <c r="AM322" s="307">
        <f t="shared" si="245"/>
        <v>0</v>
      </c>
      <c r="AN322" s="307">
        <f t="shared" si="245"/>
        <v>0</v>
      </c>
      <c r="AO322" s="307">
        <f t="shared" si="245"/>
        <v>0</v>
      </c>
      <c r="AP322" s="307">
        <f t="shared" si="245"/>
        <v>0</v>
      </c>
      <c r="AQ322" s="307">
        <f t="shared" si="245"/>
        <v>1</v>
      </c>
      <c r="AR322" s="307"/>
      <c r="AS322" s="307"/>
      <c r="AT322" s="307"/>
      <c r="AU322" s="307"/>
      <c r="AV322" s="307"/>
      <c r="AW322" s="307"/>
      <c r="AX322" s="307"/>
      <c r="AY322" s="307"/>
      <c r="AZ322" s="307"/>
      <c r="BA322" s="307"/>
      <c r="BB322" s="307"/>
      <c r="BC322" s="309"/>
      <c r="BM322" s="308">
        <v>0</v>
      </c>
      <c r="BN322" s="308">
        <f t="shared" si="246"/>
        <v>0</v>
      </c>
      <c r="BO322" s="308">
        <v>0</v>
      </c>
      <c r="BP322" s="308">
        <f t="shared" si="247"/>
        <v>0</v>
      </c>
    </row>
    <row r="323" spans="1:68">
      <c r="A323" s="301" t="s">
        <v>45</v>
      </c>
      <c r="B323" s="308">
        <f t="shared" si="245"/>
        <v>0</v>
      </c>
      <c r="C323" s="308">
        <f t="shared" si="245"/>
        <v>0</v>
      </c>
      <c r="D323" s="308">
        <f t="shared" si="245"/>
        <v>0</v>
      </c>
      <c r="E323" s="308">
        <f t="shared" si="245"/>
        <v>0</v>
      </c>
      <c r="F323" s="308">
        <f t="shared" si="245"/>
        <v>0</v>
      </c>
      <c r="G323" s="308">
        <f t="shared" si="245"/>
        <v>0</v>
      </c>
      <c r="H323" s="308">
        <f t="shared" si="245"/>
        <v>0</v>
      </c>
      <c r="I323" s="308">
        <f t="shared" si="245"/>
        <v>0</v>
      </c>
      <c r="J323" s="308">
        <f t="shared" si="245"/>
        <v>0</v>
      </c>
      <c r="K323" s="308">
        <f t="shared" si="245"/>
        <v>0</v>
      </c>
      <c r="L323" s="308">
        <f t="shared" si="245"/>
        <v>0</v>
      </c>
      <c r="M323" s="308">
        <f t="shared" si="245"/>
        <v>0</v>
      </c>
      <c r="N323" s="308">
        <f t="shared" si="245"/>
        <v>0</v>
      </c>
      <c r="O323" s="308">
        <f t="shared" si="245"/>
        <v>0</v>
      </c>
      <c r="P323" s="308">
        <f t="shared" si="245"/>
        <v>0</v>
      </c>
      <c r="Q323" s="332">
        <f t="shared" si="245"/>
        <v>0</v>
      </c>
      <c r="R323" s="307">
        <f t="shared" si="245"/>
        <v>0</v>
      </c>
      <c r="S323" s="307">
        <f t="shared" si="245"/>
        <v>0</v>
      </c>
      <c r="T323" s="307">
        <f t="shared" si="245"/>
        <v>0</v>
      </c>
      <c r="U323" s="307">
        <f t="shared" si="245"/>
        <v>0</v>
      </c>
      <c r="V323" s="307">
        <f t="shared" si="245"/>
        <v>0</v>
      </c>
      <c r="W323" s="307">
        <f t="shared" si="245"/>
        <v>0</v>
      </c>
      <c r="X323" s="307">
        <f t="shared" si="245"/>
        <v>0</v>
      </c>
      <c r="Y323" s="307">
        <f t="shared" si="245"/>
        <v>0</v>
      </c>
      <c r="Z323" s="307">
        <f t="shared" si="245"/>
        <v>0</v>
      </c>
      <c r="AA323" s="307">
        <f t="shared" si="245"/>
        <v>0</v>
      </c>
      <c r="AB323" s="307">
        <f t="shared" si="245"/>
        <v>0</v>
      </c>
      <c r="AC323" s="307">
        <f t="shared" si="245"/>
        <v>0</v>
      </c>
      <c r="AD323" s="307">
        <f t="shared" si="245"/>
        <v>0</v>
      </c>
      <c r="AE323" s="307">
        <f t="shared" si="245"/>
        <v>0</v>
      </c>
      <c r="AF323" s="307">
        <f t="shared" si="245"/>
        <v>0</v>
      </c>
      <c r="AG323" s="307">
        <f t="shared" si="245"/>
        <v>0</v>
      </c>
      <c r="AH323" s="307">
        <f t="shared" si="245"/>
        <v>0</v>
      </c>
      <c r="AI323" s="307">
        <f t="shared" si="245"/>
        <v>0</v>
      </c>
      <c r="AJ323" s="307">
        <f t="shared" si="245"/>
        <v>0</v>
      </c>
      <c r="AK323" s="307">
        <f t="shared" si="245"/>
        <v>0</v>
      </c>
      <c r="AL323" s="307">
        <f t="shared" si="245"/>
        <v>0</v>
      </c>
      <c r="AM323" s="307">
        <f t="shared" si="245"/>
        <v>0</v>
      </c>
      <c r="AN323" s="307">
        <f t="shared" si="245"/>
        <v>0</v>
      </c>
      <c r="AO323" s="307">
        <f t="shared" si="245"/>
        <v>0</v>
      </c>
      <c r="AP323" s="307">
        <f t="shared" si="245"/>
        <v>0</v>
      </c>
      <c r="AQ323" s="307">
        <f t="shared" si="245"/>
        <v>1</v>
      </c>
      <c r="AR323" s="307"/>
      <c r="AS323" s="307"/>
      <c r="AT323" s="307"/>
      <c r="AU323" s="307"/>
      <c r="AV323" s="307"/>
      <c r="AW323" s="307"/>
      <c r="AX323" s="307"/>
      <c r="AY323" s="307"/>
      <c r="AZ323" s="307"/>
      <c r="BA323" s="307"/>
      <c r="BB323" s="307"/>
      <c r="BC323" s="309"/>
      <c r="BM323" s="308">
        <v>0</v>
      </c>
      <c r="BN323" s="308">
        <f t="shared" si="246"/>
        <v>0</v>
      </c>
      <c r="BO323" s="308">
        <v>0</v>
      </c>
      <c r="BP323" s="308">
        <f t="shared" si="247"/>
        <v>0</v>
      </c>
    </row>
    <row r="324" spans="1:68">
      <c r="A324" s="301" t="s">
        <v>46</v>
      </c>
      <c r="B324" s="308">
        <f t="shared" si="245"/>
        <v>0</v>
      </c>
      <c r="C324" s="308">
        <f t="shared" si="245"/>
        <v>0</v>
      </c>
      <c r="D324" s="308">
        <f t="shared" si="245"/>
        <v>0</v>
      </c>
      <c r="E324" s="308">
        <f t="shared" si="245"/>
        <v>0</v>
      </c>
      <c r="F324" s="308">
        <f t="shared" si="245"/>
        <v>0</v>
      </c>
      <c r="G324" s="308">
        <f t="shared" si="245"/>
        <v>0</v>
      </c>
      <c r="H324" s="308">
        <f t="shared" si="245"/>
        <v>0</v>
      </c>
      <c r="I324" s="308">
        <f t="shared" si="245"/>
        <v>0</v>
      </c>
      <c r="J324" s="308">
        <f t="shared" si="245"/>
        <v>0</v>
      </c>
      <c r="K324" s="308">
        <f t="shared" si="245"/>
        <v>0</v>
      </c>
      <c r="L324" s="308">
        <f t="shared" si="245"/>
        <v>0</v>
      </c>
      <c r="M324" s="308">
        <f t="shared" si="245"/>
        <v>0</v>
      </c>
      <c r="N324" s="308">
        <f t="shared" si="245"/>
        <v>0</v>
      </c>
      <c r="O324" s="308">
        <f t="shared" si="245"/>
        <v>0</v>
      </c>
      <c r="P324" s="308">
        <f t="shared" si="245"/>
        <v>2419776</v>
      </c>
      <c r="Q324" s="307">
        <f t="shared" si="245"/>
        <v>182183.82675999412</v>
      </c>
      <c r="R324" s="307">
        <f t="shared" si="245"/>
        <v>2277298.2535228115</v>
      </c>
      <c r="S324" s="307">
        <f t="shared" si="245"/>
        <v>11386491.413361147</v>
      </c>
      <c r="T324" s="307">
        <f t="shared" si="245"/>
        <v>11386491.413361147</v>
      </c>
      <c r="U324" s="307">
        <f t="shared" si="245"/>
        <v>12361514.06185936</v>
      </c>
      <c r="V324" s="307">
        <f t="shared" si="245"/>
        <v>11689670.098133847</v>
      </c>
      <c r="W324" s="307">
        <f t="shared" si="245"/>
        <v>11690825.064325435</v>
      </c>
      <c r="X324" s="307">
        <f t="shared" si="245"/>
        <v>11702998.410208188</v>
      </c>
      <c r="Y324" s="307">
        <f t="shared" si="245"/>
        <v>11766299.809577595</v>
      </c>
      <c r="Z324" s="307">
        <f t="shared" si="245"/>
        <v>11842261.488820886</v>
      </c>
      <c r="AA324" s="307">
        <f t="shared" si="245"/>
        <v>11738410.974213189</v>
      </c>
      <c r="AB324" s="307">
        <f t="shared" si="245"/>
        <v>11748159.149429059</v>
      </c>
      <c r="AC324" s="307">
        <f t="shared" si="245"/>
        <v>11759625.966449784</v>
      </c>
      <c r="AD324" s="307">
        <f t="shared" si="245"/>
        <v>11770951.477698103</v>
      </c>
      <c r="AE324" s="307">
        <f t="shared" si="245"/>
        <v>11771881.811322203</v>
      </c>
      <c r="AF324" s="307">
        <f t="shared" si="245"/>
        <v>11757805.875822468</v>
      </c>
      <c r="AG324" s="307">
        <f t="shared" si="245"/>
        <v>11761684.856144322</v>
      </c>
      <c r="AH324" s="307">
        <f t="shared" si="245"/>
        <v>11764390.091602497</v>
      </c>
      <c r="AI324" s="307">
        <f t="shared" si="245"/>
        <v>11765342.991938855</v>
      </c>
      <c r="AJ324" s="307">
        <f t="shared" si="245"/>
        <v>11764221.351239113</v>
      </c>
      <c r="AK324" s="307">
        <f t="shared" si="245"/>
        <v>11762689.296833683</v>
      </c>
      <c r="AL324" s="307">
        <f t="shared" si="245"/>
        <v>11763665.999879666</v>
      </c>
      <c r="AM324" s="307">
        <f t="shared" si="245"/>
        <v>11764062.228636241</v>
      </c>
      <c r="AN324" s="307">
        <f t="shared" si="245"/>
        <v>11763996.656041417</v>
      </c>
      <c r="AO324" s="307">
        <f t="shared" si="245"/>
        <v>11763727.388855463</v>
      </c>
      <c r="AP324" s="307">
        <f t="shared" si="245"/>
        <v>11763628.596376359</v>
      </c>
      <c r="AQ324" s="307">
        <f t="shared" si="245"/>
        <v>11763817.456289403</v>
      </c>
      <c r="AR324" s="307"/>
      <c r="AS324" s="307"/>
      <c r="AT324" s="307"/>
      <c r="AU324" s="307"/>
      <c r="AV324" s="307"/>
      <c r="AW324" s="307"/>
      <c r="AX324" s="307"/>
      <c r="AY324" s="307"/>
      <c r="AZ324" s="307"/>
      <c r="BA324" s="307"/>
      <c r="BB324" s="307"/>
      <c r="BC324" s="309"/>
      <c r="BM324" s="308">
        <v>2419776</v>
      </c>
      <c r="BN324" s="308">
        <f t="shared" si="246"/>
        <v>0</v>
      </c>
      <c r="BO324" s="308">
        <v>910919.27954706107</v>
      </c>
      <c r="BP324" s="308">
        <f t="shared" si="247"/>
        <v>728735.45278706693</v>
      </c>
    </row>
    <row r="325" spans="1:68">
      <c r="A325" s="301" t="s">
        <v>47</v>
      </c>
      <c r="B325" s="308">
        <f t="shared" si="245"/>
        <v>0</v>
      </c>
      <c r="C325" s="308">
        <f t="shared" si="245"/>
        <v>0</v>
      </c>
      <c r="D325" s="308">
        <f t="shared" si="245"/>
        <v>0</v>
      </c>
      <c r="E325" s="308">
        <f t="shared" si="245"/>
        <v>0</v>
      </c>
      <c r="F325" s="308">
        <f t="shared" si="245"/>
        <v>0</v>
      </c>
      <c r="G325" s="308">
        <f t="shared" si="245"/>
        <v>0</v>
      </c>
      <c r="H325" s="308">
        <f t="shared" si="245"/>
        <v>0</v>
      </c>
      <c r="I325" s="308">
        <f t="shared" si="245"/>
        <v>0</v>
      </c>
      <c r="J325" s="308">
        <f t="shared" si="245"/>
        <v>0</v>
      </c>
      <c r="K325" s="308">
        <f t="shared" si="245"/>
        <v>0</v>
      </c>
      <c r="L325" s="308">
        <f t="shared" si="245"/>
        <v>0</v>
      </c>
      <c r="M325" s="308">
        <f t="shared" si="245"/>
        <v>0</v>
      </c>
      <c r="N325" s="308">
        <f t="shared" si="245"/>
        <v>0</v>
      </c>
      <c r="O325" s="308">
        <f t="shared" si="245"/>
        <v>0</v>
      </c>
      <c r="P325" s="308">
        <f t="shared" si="245"/>
        <v>200512</v>
      </c>
      <c r="Q325" s="307">
        <f t="shared" si="245"/>
        <v>15096.456643631451</v>
      </c>
      <c r="R325" s="307">
        <f t="shared" si="245"/>
        <v>188705.74276725037</v>
      </c>
      <c r="S325" s="307">
        <f t="shared" si="245"/>
        <v>943528.7259134195</v>
      </c>
      <c r="T325" s="307">
        <f t="shared" si="245"/>
        <v>943528.72591341927</v>
      </c>
      <c r="U325" s="307">
        <f t="shared" si="245"/>
        <v>1024322.8743369401</v>
      </c>
      <c r="V325" s="307">
        <f t="shared" si="245"/>
        <v>968651.28454741836</v>
      </c>
      <c r="W325" s="307">
        <f t="shared" si="245"/>
        <v>968746.98951391422</v>
      </c>
      <c r="X325" s="307">
        <f t="shared" si="245"/>
        <v>969755.7200450222</v>
      </c>
      <c r="Y325" s="307">
        <f t="shared" si="245"/>
        <v>975001.11887134274</v>
      </c>
      <c r="Z325" s="307">
        <f t="shared" si="245"/>
        <v>981295.59746292746</v>
      </c>
      <c r="AA325" s="307">
        <f t="shared" si="245"/>
        <v>972690.14208812488</v>
      </c>
      <c r="AB325" s="307">
        <f t="shared" si="245"/>
        <v>973497.9135962663</v>
      </c>
      <c r="AC325" s="307">
        <f t="shared" si="245"/>
        <v>974448.09841273667</v>
      </c>
      <c r="AD325" s="307">
        <f t="shared" si="245"/>
        <v>975386.57408627961</v>
      </c>
      <c r="AE325" s="307">
        <f t="shared" si="245"/>
        <v>975463.66512926703</v>
      </c>
      <c r="AF325" s="307">
        <f t="shared" si="245"/>
        <v>974297.27866253478</v>
      </c>
      <c r="AG325" s="307">
        <f t="shared" si="245"/>
        <v>974618.70597741695</v>
      </c>
      <c r="AH325" s="307">
        <f t="shared" si="245"/>
        <v>974842.87225239002</v>
      </c>
      <c r="AI325" s="307">
        <f t="shared" si="245"/>
        <v>974921.83326045191</v>
      </c>
      <c r="AJ325" s="307">
        <f t="shared" si="245"/>
        <v>974828.88977312646</v>
      </c>
      <c r="AK325" s="307">
        <f t="shared" si="245"/>
        <v>974701.93781850673</v>
      </c>
      <c r="AL325" s="307">
        <f t="shared" si="245"/>
        <v>974782.87121116649</v>
      </c>
      <c r="AM325" s="307">
        <f t="shared" si="245"/>
        <v>974815.70425870409</v>
      </c>
      <c r="AN325" s="307">
        <f t="shared" si="245"/>
        <v>974810.27065983647</v>
      </c>
      <c r="AO325" s="307">
        <f t="shared" si="245"/>
        <v>974787.95813917764</v>
      </c>
      <c r="AP325" s="307">
        <f t="shared" si="245"/>
        <v>974779.77181219112</v>
      </c>
      <c r="AQ325" s="307">
        <f t="shared" si="245"/>
        <v>974796.33861130138</v>
      </c>
      <c r="AR325" s="307"/>
      <c r="AS325" s="307"/>
      <c r="AT325" s="307"/>
      <c r="AU325" s="307"/>
      <c r="AV325" s="307"/>
      <c r="AW325" s="307"/>
      <c r="AX325" s="307"/>
      <c r="AY325" s="307"/>
      <c r="AZ325" s="307"/>
      <c r="BA325" s="307"/>
      <c r="BB325" s="307"/>
      <c r="BC325" s="309"/>
      <c r="BM325" s="308">
        <v>200512</v>
      </c>
      <c r="BN325" s="308">
        <f t="shared" si="246"/>
        <v>0</v>
      </c>
      <c r="BO325" s="308">
        <v>75482.295295324977</v>
      </c>
      <c r="BP325" s="308">
        <f t="shared" si="247"/>
        <v>60385.838651693528</v>
      </c>
    </row>
    <row r="326" spans="1:68">
      <c r="A326" s="301" t="s">
        <v>48</v>
      </c>
      <c r="B326" s="308">
        <f t="shared" si="245"/>
        <v>0</v>
      </c>
      <c r="C326" s="308">
        <f t="shared" si="245"/>
        <v>0</v>
      </c>
      <c r="D326" s="308">
        <f t="shared" si="245"/>
        <v>0</v>
      </c>
      <c r="E326" s="308">
        <f t="shared" si="245"/>
        <v>0</v>
      </c>
      <c r="F326" s="308">
        <f t="shared" si="245"/>
        <v>0</v>
      </c>
      <c r="G326" s="308">
        <f t="shared" si="245"/>
        <v>0</v>
      </c>
      <c r="H326" s="308">
        <f t="shared" si="245"/>
        <v>0</v>
      </c>
      <c r="I326" s="308">
        <f t="shared" si="245"/>
        <v>0</v>
      </c>
      <c r="J326" s="308">
        <f t="shared" si="245"/>
        <v>0</v>
      </c>
      <c r="K326" s="308">
        <f t="shared" si="245"/>
        <v>0</v>
      </c>
      <c r="L326" s="308">
        <f t="shared" si="245"/>
        <v>0</v>
      </c>
      <c r="M326" s="308">
        <f t="shared" si="245"/>
        <v>0</v>
      </c>
      <c r="N326" s="308">
        <f t="shared" si="245"/>
        <v>0</v>
      </c>
      <c r="O326" s="308">
        <f t="shared" si="245"/>
        <v>0</v>
      </c>
      <c r="P326" s="308">
        <f t="shared" si="245"/>
        <v>0</v>
      </c>
      <c r="Q326" s="307">
        <f t="shared" si="245"/>
        <v>0</v>
      </c>
      <c r="R326" s="307">
        <f t="shared" si="245"/>
        <v>0</v>
      </c>
      <c r="S326" s="307">
        <f t="shared" si="245"/>
        <v>0</v>
      </c>
      <c r="T326" s="307">
        <f t="shared" si="245"/>
        <v>0</v>
      </c>
      <c r="U326" s="307">
        <f t="shared" si="245"/>
        <v>0</v>
      </c>
      <c r="V326" s="307">
        <f t="shared" si="245"/>
        <v>0</v>
      </c>
      <c r="W326" s="307">
        <f t="shared" si="245"/>
        <v>0</v>
      </c>
      <c r="X326" s="307">
        <f t="shared" si="245"/>
        <v>0</v>
      </c>
      <c r="Y326" s="307">
        <f t="shared" si="245"/>
        <v>0</v>
      </c>
      <c r="Z326" s="307">
        <f t="shared" si="245"/>
        <v>0</v>
      </c>
      <c r="AA326" s="307">
        <f t="shared" si="245"/>
        <v>0</v>
      </c>
      <c r="AB326" s="307">
        <f t="shared" si="245"/>
        <v>0</v>
      </c>
      <c r="AC326" s="307">
        <f t="shared" si="245"/>
        <v>0</v>
      </c>
      <c r="AD326" s="307">
        <f t="shared" si="245"/>
        <v>0</v>
      </c>
      <c r="AE326" s="307">
        <f t="shared" si="245"/>
        <v>0</v>
      </c>
      <c r="AF326" s="307">
        <f t="shared" si="245"/>
        <v>0</v>
      </c>
      <c r="AG326" s="307">
        <f t="shared" si="245"/>
        <v>0</v>
      </c>
      <c r="AH326" s="307">
        <f t="shared" si="245"/>
        <v>0</v>
      </c>
      <c r="AI326" s="307">
        <f t="shared" si="245"/>
        <v>0</v>
      </c>
      <c r="AJ326" s="307">
        <f t="shared" si="245"/>
        <v>0</v>
      </c>
      <c r="AK326" s="307">
        <f t="shared" si="245"/>
        <v>0</v>
      </c>
      <c r="AL326" s="307">
        <f t="shared" si="245"/>
        <v>0</v>
      </c>
      <c r="AM326" s="307">
        <f t="shared" si="245"/>
        <v>0</v>
      </c>
      <c r="AN326" s="307">
        <f t="shared" si="245"/>
        <v>0</v>
      </c>
      <c r="AO326" s="307">
        <f t="shared" si="245"/>
        <v>0</v>
      </c>
      <c r="AP326" s="307">
        <f t="shared" si="245"/>
        <v>0</v>
      </c>
      <c r="AQ326" s="307">
        <f t="shared" si="245"/>
        <v>1</v>
      </c>
      <c r="AR326" s="307"/>
      <c r="AS326" s="307"/>
      <c r="AT326" s="307"/>
      <c r="AU326" s="307"/>
      <c r="AV326" s="307"/>
      <c r="AW326" s="307"/>
      <c r="AX326" s="307"/>
      <c r="AY326" s="307"/>
      <c r="AZ326" s="307"/>
      <c r="BA326" s="307"/>
      <c r="BB326" s="307"/>
      <c r="BC326" s="309"/>
      <c r="BM326" s="308">
        <v>0</v>
      </c>
      <c r="BN326" s="308">
        <f t="shared" si="246"/>
        <v>0</v>
      </c>
      <c r="BO326" s="308">
        <v>0</v>
      </c>
      <c r="BP326" s="308">
        <f t="shared" si="247"/>
        <v>0</v>
      </c>
    </row>
    <row r="327" spans="1:68">
      <c r="A327" s="301" t="s">
        <v>49</v>
      </c>
      <c r="B327" s="308">
        <f t="shared" si="245"/>
        <v>0</v>
      </c>
      <c r="C327" s="308">
        <f t="shared" si="245"/>
        <v>0</v>
      </c>
      <c r="D327" s="308">
        <f t="shared" si="245"/>
        <v>0</v>
      </c>
      <c r="E327" s="308">
        <f t="shared" ref="C327:AQ332" si="248">E343+E359</f>
        <v>0</v>
      </c>
      <c r="F327" s="308">
        <f t="shared" si="248"/>
        <v>0</v>
      </c>
      <c r="G327" s="308">
        <f t="shared" si="248"/>
        <v>0</v>
      </c>
      <c r="H327" s="308">
        <f t="shared" si="248"/>
        <v>0</v>
      </c>
      <c r="I327" s="308">
        <f t="shared" si="248"/>
        <v>0</v>
      </c>
      <c r="J327" s="308">
        <f t="shared" si="248"/>
        <v>0</v>
      </c>
      <c r="K327" s="308">
        <f t="shared" si="248"/>
        <v>0</v>
      </c>
      <c r="L327" s="308">
        <f t="shared" si="248"/>
        <v>0</v>
      </c>
      <c r="M327" s="308">
        <f t="shared" si="248"/>
        <v>0</v>
      </c>
      <c r="N327" s="308">
        <f t="shared" si="248"/>
        <v>0</v>
      </c>
      <c r="O327" s="308">
        <f t="shared" si="248"/>
        <v>0</v>
      </c>
      <c r="P327" s="308">
        <f t="shared" si="248"/>
        <v>0</v>
      </c>
      <c r="Q327" s="307">
        <f t="shared" si="248"/>
        <v>0</v>
      </c>
      <c r="R327" s="307">
        <f t="shared" si="248"/>
        <v>0</v>
      </c>
      <c r="S327" s="307">
        <f t="shared" si="248"/>
        <v>0</v>
      </c>
      <c r="T327" s="307">
        <f t="shared" si="248"/>
        <v>0</v>
      </c>
      <c r="U327" s="307">
        <f t="shared" si="248"/>
        <v>0</v>
      </c>
      <c r="V327" s="307">
        <f t="shared" si="248"/>
        <v>0</v>
      </c>
      <c r="W327" s="307">
        <f t="shared" si="248"/>
        <v>0</v>
      </c>
      <c r="X327" s="307">
        <f t="shared" si="248"/>
        <v>0</v>
      </c>
      <c r="Y327" s="307">
        <f t="shared" si="248"/>
        <v>0</v>
      </c>
      <c r="Z327" s="307">
        <f t="shared" si="248"/>
        <v>0</v>
      </c>
      <c r="AA327" s="307">
        <f t="shared" si="248"/>
        <v>0</v>
      </c>
      <c r="AB327" s="307">
        <f t="shared" si="248"/>
        <v>0</v>
      </c>
      <c r="AC327" s="307">
        <f t="shared" si="248"/>
        <v>0</v>
      </c>
      <c r="AD327" s="307">
        <f t="shared" si="248"/>
        <v>0</v>
      </c>
      <c r="AE327" s="307">
        <f t="shared" si="248"/>
        <v>0</v>
      </c>
      <c r="AF327" s="307">
        <f t="shared" si="248"/>
        <v>0</v>
      </c>
      <c r="AG327" s="307">
        <f t="shared" si="248"/>
        <v>0</v>
      </c>
      <c r="AH327" s="307">
        <f t="shared" si="248"/>
        <v>0</v>
      </c>
      <c r="AI327" s="307">
        <f t="shared" si="248"/>
        <v>0</v>
      </c>
      <c r="AJ327" s="307">
        <f t="shared" si="248"/>
        <v>0</v>
      </c>
      <c r="AK327" s="307">
        <f t="shared" si="248"/>
        <v>0</v>
      </c>
      <c r="AL327" s="307">
        <f t="shared" si="248"/>
        <v>0</v>
      </c>
      <c r="AM327" s="307">
        <f t="shared" si="248"/>
        <v>0</v>
      </c>
      <c r="AN327" s="307">
        <f t="shared" si="248"/>
        <v>0</v>
      </c>
      <c r="AO327" s="307">
        <f t="shared" si="248"/>
        <v>0</v>
      </c>
      <c r="AP327" s="307">
        <f t="shared" si="248"/>
        <v>0</v>
      </c>
      <c r="AQ327" s="307">
        <f t="shared" si="248"/>
        <v>1</v>
      </c>
      <c r="AR327" s="307"/>
      <c r="AS327" s="307"/>
      <c r="AT327" s="307"/>
      <c r="AU327" s="307"/>
      <c r="AV327" s="307"/>
      <c r="AW327" s="307"/>
      <c r="AX327" s="307"/>
      <c r="AY327" s="307"/>
      <c r="AZ327" s="307"/>
      <c r="BA327" s="307"/>
      <c r="BB327" s="307"/>
      <c r="BC327" s="309"/>
      <c r="BM327" s="309">
        <v>0</v>
      </c>
      <c r="BN327" s="308">
        <f t="shared" si="246"/>
        <v>0</v>
      </c>
      <c r="BO327" s="308">
        <v>0</v>
      </c>
      <c r="BP327" s="308">
        <f t="shared" si="247"/>
        <v>0</v>
      </c>
    </row>
    <row r="328" spans="1:68">
      <c r="A328" s="301" t="s">
        <v>50</v>
      </c>
      <c r="B328" s="308">
        <f t="shared" ref="B328:B332" si="249">B344+B360</f>
        <v>0</v>
      </c>
      <c r="C328" s="308">
        <f t="shared" si="248"/>
        <v>0</v>
      </c>
      <c r="D328" s="308">
        <f t="shared" si="248"/>
        <v>0</v>
      </c>
      <c r="E328" s="308">
        <f t="shared" si="248"/>
        <v>0</v>
      </c>
      <c r="F328" s="308">
        <f t="shared" si="248"/>
        <v>0</v>
      </c>
      <c r="G328" s="308">
        <f t="shared" si="248"/>
        <v>0</v>
      </c>
      <c r="H328" s="308">
        <f t="shared" si="248"/>
        <v>0</v>
      </c>
      <c r="I328" s="308">
        <f t="shared" si="248"/>
        <v>0</v>
      </c>
      <c r="J328" s="308">
        <f t="shared" si="248"/>
        <v>0</v>
      </c>
      <c r="K328" s="308">
        <f t="shared" si="248"/>
        <v>0</v>
      </c>
      <c r="L328" s="308">
        <f t="shared" si="248"/>
        <v>0</v>
      </c>
      <c r="M328" s="308">
        <f t="shared" si="248"/>
        <v>0</v>
      </c>
      <c r="N328" s="308">
        <f t="shared" si="248"/>
        <v>0</v>
      </c>
      <c r="O328" s="308">
        <f t="shared" si="248"/>
        <v>11009299</v>
      </c>
      <c r="P328" s="308">
        <f t="shared" si="248"/>
        <v>0</v>
      </c>
      <c r="Q328" s="307">
        <f t="shared" si="248"/>
        <v>828885.07934824401</v>
      </c>
      <c r="R328" s="307">
        <f t="shared" si="248"/>
        <v>10361065.398289112</v>
      </c>
      <c r="S328" s="307">
        <f t="shared" si="248"/>
        <v>51805327.654553756</v>
      </c>
      <c r="T328" s="307">
        <f t="shared" si="248"/>
        <v>51805327.654553756</v>
      </c>
      <c r="U328" s="307">
        <f t="shared" si="248"/>
        <v>51319866.173425339</v>
      </c>
      <c r="V328" s="307">
        <f t="shared" si="248"/>
        <v>51654375.701198608</v>
      </c>
      <c r="W328" s="307">
        <f t="shared" si="248"/>
        <v>51653800.646251023</v>
      </c>
      <c r="X328" s="307">
        <f t="shared" si="248"/>
        <v>51647739.565996498</v>
      </c>
      <c r="Y328" s="307">
        <f t="shared" si="248"/>
        <v>51616221.948285043</v>
      </c>
      <c r="Z328" s="307">
        <f t="shared" si="248"/>
        <v>51578400.807031304</v>
      </c>
      <c r="AA328" s="307">
        <f t="shared" si="248"/>
        <v>51630107.733752489</v>
      </c>
      <c r="AB328" s="307">
        <f t="shared" si="248"/>
        <v>51625254.140263274</v>
      </c>
      <c r="AC328" s="307">
        <f t="shared" si="248"/>
        <v>51619544.839065716</v>
      </c>
      <c r="AD328" s="307">
        <f t="shared" si="248"/>
        <v>51613905.893679567</v>
      </c>
      <c r="AE328" s="307">
        <f t="shared" si="248"/>
        <v>51613442.682758473</v>
      </c>
      <c r="AF328" s="307">
        <f t="shared" si="248"/>
        <v>51620451.057903901</v>
      </c>
      <c r="AG328" s="307">
        <f t="shared" si="248"/>
        <v>51618519.722734183</v>
      </c>
      <c r="AH328" s="307">
        <f t="shared" si="248"/>
        <v>51617173.252165757</v>
      </c>
      <c r="AI328" s="307">
        <f t="shared" si="248"/>
        <v>51616699.265128843</v>
      </c>
      <c r="AJ328" s="307">
        <f t="shared" si="248"/>
        <v>51617258.187189564</v>
      </c>
      <c r="AK328" s="307">
        <f t="shared" si="248"/>
        <v>51618021.453268103</v>
      </c>
      <c r="AL328" s="307">
        <f t="shared" si="248"/>
        <v>51617535.614918098</v>
      </c>
      <c r="AM328" s="307">
        <f t="shared" si="248"/>
        <v>51617338.793350153</v>
      </c>
      <c r="AN328" s="307">
        <f t="shared" si="248"/>
        <v>51617371.901587807</v>
      </c>
      <c r="AO328" s="307">
        <f t="shared" si="248"/>
        <v>51617506.428882822</v>
      </c>
      <c r="AP328" s="307">
        <f t="shared" si="248"/>
        <v>51617556.07722266</v>
      </c>
      <c r="AQ328" s="307">
        <f t="shared" si="248"/>
        <v>51617464.002011321</v>
      </c>
      <c r="AR328" s="307"/>
      <c r="AS328" s="307"/>
      <c r="AT328" s="307"/>
      <c r="AU328" s="307"/>
      <c r="AV328" s="307"/>
      <c r="AW328" s="307"/>
      <c r="AX328" s="307"/>
      <c r="AY328" s="307"/>
      <c r="AZ328" s="307"/>
      <c r="BA328" s="307"/>
      <c r="BB328" s="307"/>
      <c r="BC328" s="309"/>
      <c r="BM328" s="309">
        <v>0</v>
      </c>
      <c r="BN328" s="308">
        <f t="shared" si="246"/>
        <v>0</v>
      </c>
      <c r="BO328" s="308">
        <v>4144426.0598494154</v>
      </c>
      <c r="BP328" s="308">
        <f t="shared" si="247"/>
        <v>3315540.9805011712</v>
      </c>
    </row>
    <row r="329" spans="1:68">
      <c r="A329" s="301" t="s">
        <v>51</v>
      </c>
      <c r="B329" s="308">
        <f t="shared" si="249"/>
        <v>0</v>
      </c>
      <c r="C329" s="308">
        <f t="shared" si="248"/>
        <v>0</v>
      </c>
      <c r="D329" s="308">
        <f t="shared" si="248"/>
        <v>0</v>
      </c>
      <c r="E329" s="308">
        <f t="shared" si="248"/>
        <v>0</v>
      </c>
      <c r="F329" s="308">
        <f t="shared" si="248"/>
        <v>0</v>
      </c>
      <c r="G329" s="308">
        <f t="shared" si="248"/>
        <v>0</v>
      </c>
      <c r="H329" s="308">
        <f t="shared" si="248"/>
        <v>0</v>
      </c>
      <c r="I329" s="308">
        <f t="shared" si="248"/>
        <v>0</v>
      </c>
      <c r="J329" s="308">
        <f t="shared" si="248"/>
        <v>0</v>
      </c>
      <c r="K329" s="308">
        <f t="shared" si="248"/>
        <v>0</v>
      </c>
      <c r="L329" s="308">
        <f t="shared" si="248"/>
        <v>0</v>
      </c>
      <c r="M329" s="308">
        <f t="shared" si="248"/>
        <v>0</v>
      </c>
      <c r="N329" s="308">
        <f t="shared" si="248"/>
        <v>0</v>
      </c>
      <c r="O329" s="308">
        <f t="shared" si="248"/>
        <v>0</v>
      </c>
      <c r="P329" s="308">
        <f t="shared" si="248"/>
        <v>0</v>
      </c>
      <c r="Q329" s="307">
        <f t="shared" si="248"/>
        <v>0</v>
      </c>
      <c r="R329" s="307">
        <f t="shared" si="248"/>
        <v>0</v>
      </c>
      <c r="S329" s="307">
        <f t="shared" si="248"/>
        <v>0</v>
      </c>
      <c r="T329" s="307">
        <f t="shared" si="248"/>
        <v>0</v>
      </c>
      <c r="U329" s="307">
        <f t="shared" si="248"/>
        <v>0</v>
      </c>
      <c r="V329" s="307">
        <f t="shared" si="248"/>
        <v>0</v>
      </c>
      <c r="W329" s="307">
        <f t="shared" si="248"/>
        <v>0</v>
      </c>
      <c r="X329" s="307">
        <f t="shared" si="248"/>
        <v>0</v>
      </c>
      <c r="Y329" s="307">
        <f t="shared" si="248"/>
        <v>0</v>
      </c>
      <c r="Z329" s="307">
        <f t="shared" si="248"/>
        <v>0</v>
      </c>
      <c r="AA329" s="307">
        <f t="shared" si="248"/>
        <v>0</v>
      </c>
      <c r="AB329" s="307">
        <f t="shared" si="248"/>
        <v>0</v>
      </c>
      <c r="AC329" s="307">
        <f t="shared" si="248"/>
        <v>0</v>
      </c>
      <c r="AD329" s="307">
        <f t="shared" si="248"/>
        <v>0</v>
      </c>
      <c r="AE329" s="307">
        <f t="shared" si="248"/>
        <v>0</v>
      </c>
      <c r="AF329" s="307">
        <f t="shared" si="248"/>
        <v>0</v>
      </c>
      <c r="AG329" s="307">
        <f t="shared" si="248"/>
        <v>0</v>
      </c>
      <c r="AH329" s="307">
        <f t="shared" si="248"/>
        <v>0</v>
      </c>
      <c r="AI329" s="307">
        <f t="shared" si="248"/>
        <v>0</v>
      </c>
      <c r="AJ329" s="307">
        <f t="shared" si="248"/>
        <v>0</v>
      </c>
      <c r="AK329" s="307">
        <f t="shared" si="248"/>
        <v>0</v>
      </c>
      <c r="AL329" s="307">
        <f t="shared" si="248"/>
        <v>0</v>
      </c>
      <c r="AM329" s="307">
        <f t="shared" si="248"/>
        <v>0</v>
      </c>
      <c r="AN329" s="307">
        <f t="shared" si="248"/>
        <v>0</v>
      </c>
      <c r="AO329" s="307">
        <f t="shared" si="248"/>
        <v>0</v>
      </c>
      <c r="AP329" s="307">
        <f t="shared" si="248"/>
        <v>0</v>
      </c>
      <c r="AQ329" s="307">
        <f t="shared" si="248"/>
        <v>1</v>
      </c>
      <c r="AR329" s="307"/>
      <c r="AS329" s="307"/>
      <c r="AT329" s="307"/>
      <c r="AU329" s="307"/>
      <c r="AV329" s="307"/>
      <c r="AW329" s="307"/>
      <c r="AX329" s="307"/>
      <c r="AY329" s="307"/>
      <c r="AZ329" s="307"/>
      <c r="BA329" s="307"/>
      <c r="BB329" s="307"/>
      <c r="BC329" s="309"/>
      <c r="BM329" s="309">
        <v>0</v>
      </c>
      <c r="BN329" s="308">
        <f t="shared" si="246"/>
        <v>0</v>
      </c>
      <c r="BO329" s="308">
        <v>0</v>
      </c>
      <c r="BP329" s="308">
        <f t="shared" si="247"/>
        <v>0</v>
      </c>
    </row>
    <row r="330" spans="1:68">
      <c r="A330" s="301" t="s">
        <v>52</v>
      </c>
      <c r="B330" s="308">
        <f t="shared" si="249"/>
        <v>0</v>
      </c>
      <c r="C330" s="308">
        <f t="shared" si="248"/>
        <v>0</v>
      </c>
      <c r="D330" s="308">
        <f t="shared" si="248"/>
        <v>0</v>
      </c>
      <c r="E330" s="308">
        <f t="shared" si="248"/>
        <v>0</v>
      </c>
      <c r="F330" s="308">
        <f t="shared" si="248"/>
        <v>0</v>
      </c>
      <c r="G330" s="308">
        <f t="shared" si="248"/>
        <v>0</v>
      </c>
      <c r="H330" s="308">
        <f t="shared" si="248"/>
        <v>0</v>
      </c>
      <c r="I330" s="308">
        <f t="shared" si="248"/>
        <v>0</v>
      </c>
      <c r="J330" s="308">
        <f t="shared" si="248"/>
        <v>0</v>
      </c>
      <c r="K330" s="308">
        <f t="shared" si="248"/>
        <v>0</v>
      </c>
      <c r="L330" s="308">
        <f t="shared" si="248"/>
        <v>0</v>
      </c>
      <c r="M330" s="308">
        <f t="shared" si="248"/>
        <v>0</v>
      </c>
      <c r="N330" s="308">
        <f t="shared" si="248"/>
        <v>0</v>
      </c>
      <c r="O330" s="308">
        <f t="shared" si="248"/>
        <v>5967357</v>
      </c>
      <c r="P330" s="308">
        <f t="shared" si="248"/>
        <v>0</v>
      </c>
      <c r="Q330" s="307">
        <f t="shared" si="248"/>
        <v>449279.57542476582</v>
      </c>
      <c r="R330" s="307">
        <f t="shared" si="248"/>
        <v>5615995.7261528028</v>
      </c>
      <c r="S330" s="307">
        <f t="shared" si="248"/>
        <v>28079978.990187742</v>
      </c>
      <c r="T330" s="307">
        <f t="shared" si="248"/>
        <v>28079978.990187742</v>
      </c>
      <c r="U330" s="307">
        <f t="shared" si="248"/>
        <v>27816844.891673204</v>
      </c>
      <c r="V330" s="307">
        <f t="shared" si="248"/>
        <v>27998158.685778029</v>
      </c>
      <c r="W330" s="307">
        <f t="shared" si="248"/>
        <v>27997846.989441428</v>
      </c>
      <c r="X330" s="307">
        <f t="shared" si="248"/>
        <v>27994561.709453627</v>
      </c>
      <c r="Y330" s="307">
        <f t="shared" si="248"/>
        <v>27977478.253306806</v>
      </c>
      <c r="Z330" s="307">
        <f t="shared" si="248"/>
        <v>27956978.105930615</v>
      </c>
      <c r="AA330" s="307">
        <f t="shared" si="248"/>
        <v>27985004.748782102</v>
      </c>
      <c r="AB330" s="307">
        <f t="shared" si="248"/>
        <v>27982373.961382911</v>
      </c>
      <c r="AC330" s="307">
        <f t="shared" si="248"/>
        <v>27979279.355771206</v>
      </c>
      <c r="AD330" s="307">
        <f t="shared" si="248"/>
        <v>27976222.885034725</v>
      </c>
      <c r="AE330" s="307">
        <f t="shared" si="248"/>
        <v>27975971.811380312</v>
      </c>
      <c r="AF330" s="307">
        <f t="shared" si="248"/>
        <v>27979770.552470248</v>
      </c>
      <c r="AG330" s="307">
        <f t="shared" si="248"/>
        <v>27978723.713207882</v>
      </c>
      <c r="AH330" s="307">
        <f t="shared" si="248"/>
        <v>27977993.887396827</v>
      </c>
      <c r="AI330" s="307">
        <f t="shared" si="248"/>
        <v>27977736.972777404</v>
      </c>
      <c r="AJ330" s="307">
        <f t="shared" si="248"/>
        <v>27978039.924624886</v>
      </c>
      <c r="AK330" s="307">
        <f t="shared" si="248"/>
        <v>27978453.636812791</v>
      </c>
      <c r="AL330" s="307">
        <f t="shared" si="248"/>
        <v>27978190.298440505</v>
      </c>
      <c r="AM330" s="307">
        <f t="shared" si="248"/>
        <v>27978083.615484461</v>
      </c>
      <c r="AN330" s="307">
        <f t="shared" si="248"/>
        <v>27978101.561102409</v>
      </c>
      <c r="AO330" s="307">
        <f t="shared" si="248"/>
        <v>27978174.478769153</v>
      </c>
      <c r="AP330" s="307">
        <f t="shared" si="248"/>
        <v>27978201.389598645</v>
      </c>
      <c r="AQ330" s="307">
        <f t="shared" si="248"/>
        <v>27978151.940154605</v>
      </c>
      <c r="AR330" s="307"/>
      <c r="AS330" s="307"/>
      <c r="AT330" s="307"/>
      <c r="AU330" s="307"/>
      <c r="AV330" s="307"/>
      <c r="AW330" s="307"/>
      <c r="AX330" s="307"/>
      <c r="AY330" s="307"/>
      <c r="AZ330" s="307"/>
      <c r="BA330" s="307"/>
      <c r="BB330" s="307"/>
      <c r="BC330" s="309"/>
      <c r="BM330" s="309">
        <v>0</v>
      </c>
      <c r="BN330" s="308">
        <f t="shared" si="246"/>
        <v>0</v>
      </c>
      <c r="BO330" s="308">
        <v>2246398.2365475609</v>
      </c>
      <c r="BP330" s="308">
        <f t="shared" si="247"/>
        <v>1797118.6611227952</v>
      </c>
    </row>
    <row r="331" spans="1:68">
      <c r="A331" s="301" t="s">
        <v>53</v>
      </c>
      <c r="B331" s="308">
        <f t="shared" si="249"/>
        <v>0</v>
      </c>
      <c r="C331" s="308">
        <f t="shared" si="248"/>
        <v>0</v>
      </c>
      <c r="D331" s="308">
        <f t="shared" si="248"/>
        <v>0</v>
      </c>
      <c r="E331" s="308">
        <f t="shared" si="248"/>
        <v>0</v>
      </c>
      <c r="F331" s="308">
        <f t="shared" si="248"/>
        <v>0</v>
      </c>
      <c r="G331" s="308">
        <f t="shared" si="248"/>
        <v>0</v>
      </c>
      <c r="H331" s="308">
        <f t="shared" si="248"/>
        <v>0</v>
      </c>
      <c r="I331" s="308">
        <f t="shared" si="248"/>
        <v>0</v>
      </c>
      <c r="J331" s="308">
        <f t="shared" si="248"/>
        <v>0</v>
      </c>
      <c r="K331" s="308">
        <f t="shared" si="248"/>
        <v>0</v>
      </c>
      <c r="L331" s="308">
        <f t="shared" si="248"/>
        <v>0</v>
      </c>
      <c r="M331" s="308">
        <f t="shared" si="248"/>
        <v>0</v>
      </c>
      <c r="N331" s="308">
        <f t="shared" si="248"/>
        <v>0</v>
      </c>
      <c r="O331" s="308">
        <f t="shared" si="248"/>
        <v>6168983</v>
      </c>
      <c r="P331" s="308">
        <f t="shared" si="248"/>
        <v>0</v>
      </c>
      <c r="Q331" s="307">
        <f t="shared" si="248"/>
        <v>464459.90461817489</v>
      </c>
      <c r="R331" s="307">
        <f t="shared" si="248"/>
        <v>5805749.87598518</v>
      </c>
      <c r="S331" s="307">
        <f t="shared" si="248"/>
        <v>29028749.751493894</v>
      </c>
      <c r="T331" s="307">
        <f t="shared" si="248"/>
        <v>29028749.751493894</v>
      </c>
      <c r="U331" s="307">
        <f t="shared" si="248"/>
        <v>28756724.836534642</v>
      </c>
      <c r="V331" s="307">
        <f t="shared" si="248"/>
        <v>28944164.889727063</v>
      </c>
      <c r="W331" s="307">
        <f t="shared" si="248"/>
        <v>28943842.661745455</v>
      </c>
      <c r="X331" s="307">
        <f t="shared" si="248"/>
        <v>28940446.378198985</v>
      </c>
      <c r="Y331" s="307">
        <f t="shared" si="248"/>
        <v>28922785.703540009</v>
      </c>
      <c r="Z331" s="307">
        <f t="shared" si="248"/>
        <v>28901592.893949229</v>
      </c>
      <c r="AA331" s="307">
        <f t="shared" si="248"/>
        <v>28930566.505432144</v>
      </c>
      <c r="AB331" s="307">
        <f t="shared" si="248"/>
        <v>28927846.828573167</v>
      </c>
      <c r="AC331" s="307">
        <f t="shared" si="248"/>
        <v>28924647.661938701</v>
      </c>
      <c r="AD331" s="307">
        <f t="shared" si="248"/>
        <v>28921487.918686651</v>
      </c>
      <c r="AE331" s="307">
        <f t="shared" si="248"/>
        <v>28921228.361715976</v>
      </c>
      <c r="AF331" s="307">
        <f t="shared" si="248"/>
        <v>28925155.455269326</v>
      </c>
      <c r="AG331" s="307">
        <f t="shared" si="248"/>
        <v>28924073.245236766</v>
      </c>
      <c r="AH331" s="307">
        <f t="shared" si="248"/>
        <v>28923318.759956032</v>
      </c>
      <c r="AI331" s="307">
        <f t="shared" si="248"/>
        <v>28923053.164664909</v>
      </c>
      <c r="AJ331" s="307">
        <f t="shared" si="248"/>
        <v>28923366.35269722</v>
      </c>
      <c r="AK331" s="307">
        <f t="shared" si="248"/>
        <v>28923794.043457814</v>
      </c>
      <c r="AL331" s="307">
        <f t="shared" si="248"/>
        <v>28923521.807367045</v>
      </c>
      <c r="AM331" s="307">
        <f t="shared" si="248"/>
        <v>28923411.519790452</v>
      </c>
      <c r="AN331" s="307">
        <f t="shared" si="248"/>
        <v>28923430.071757775</v>
      </c>
      <c r="AO331" s="307">
        <f t="shared" si="248"/>
        <v>28923505.453178145</v>
      </c>
      <c r="AP331" s="307">
        <f t="shared" si="248"/>
        <v>28923533.273274995</v>
      </c>
      <c r="AQ331" s="307">
        <f t="shared" si="248"/>
        <v>28923482.119237177</v>
      </c>
      <c r="AR331" s="307"/>
      <c r="AS331" s="307"/>
      <c r="AT331" s="307"/>
      <c r="AU331" s="307"/>
      <c r="AV331" s="307"/>
      <c r="AW331" s="307"/>
      <c r="AX331" s="307"/>
      <c r="AY331" s="307"/>
      <c r="AZ331" s="307"/>
      <c r="BA331" s="307"/>
      <c r="BB331" s="307"/>
      <c r="BC331" s="309"/>
      <c r="BM331" s="309">
        <v>0</v>
      </c>
      <c r="BN331" s="308">
        <f t="shared" si="246"/>
        <v>0</v>
      </c>
      <c r="BO331" s="308">
        <v>2322299.8946588724</v>
      </c>
      <c r="BP331" s="308">
        <f t="shared" si="247"/>
        <v>1857839.9900406976</v>
      </c>
    </row>
    <row r="332" spans="1:68">
      <c r="A332" s="301" t="s">
        <v>54</v>
      </c>
      <c r="B332" s="308">
        <f t="shared" si="249"/>
        <v>0</v>
      </c>
      <c r="C332" s="308">
        <f t="shared" si="248"/>
        <v>0</v>
      </c>
      <c r="D332" s="308">
        <f t="shared" si="248"/>
        <v>0</v>
      </c>
      <c r="E332" s="308">
        <f t="shared" si="248"/>
        <v>0</v>
      </c>
      <c r="F332" s="308">
        <f t="shared" si="248"/>
        <v>0</v>
      </c>
      <c r="G332" s="308">
        <f t="shared" si="248"/>
        <v>0</v>
      </c>
      <c r="H332" s="308">
        <f t="shared" si="248"/>
        <v>0</v>
      </c>
      <c r="I332" s="308">
        <f t="shared" si="248"/>
        <v>0</v>
      </c>
      <c r="J332" s="308">
        <f t="shared" si="248"/>
        <v>0</v>
      </c>
      <c r="K332" s="308">
        <f t="shared" si="248"/>
        <v>0</v>
      </c>
      <c r="L332" s="308">
        <f t="shared" si="248"/>
        <v>0</v>
      </c>
      <c r="M332" s="308">
        <f t="shared" si="248"/>
        <v>0</v>
      </c>
      <c r="N332" s="308">
        <f t="shared" si="248"/>
        <v>0</v>
      </c>
      <c r="O332" s="308">
        <f t="shared" si="248"/>
        <v>798182</v>
      </c>
      <c r="P332" s="308">
        <f t="shared" si="248"/>
        <v>0</v>
      </c>
      <c r="Q332" s="307">
        <f t="shared" si="248"/>
        <v>60094.757205189671</v>
      </c>
      <c r="R332" s="307">
        <f t="shared" si="248"/>
        <v>751184.60328284651</v>
      </c>
      <c r="S332" s="307">
        <f t="shared" si="248"/>
        <v>3755923.0644900203</v>
      </c>
      <c r="T332" s="307">
        <f t="shared" si="248"/>
        <v>3755923.0644900203</v>
      </c>
      <c r="U332" s="307">
        <f t="shared" si="248"/>
        <v>3720726.7621705234</v>
      </c>
      <c r="V332" s="307">
        <f t="shared" si="248"/>
        <v>3744978.9406150281</v>
      </c>
      <c r="W332" s="307">
        <f t="shared" si="248"/>
        <v>3744937.2487227321</v>
      </c>
      <c r="X332" s="307">
        <f t="shared" si="248"/>
        <v>3744497.8160976768</v>
      </c>
      <c r="Y332" s="307">
        <f t="shared" si="248"/>
        <v>3742212.7664191872</v>
      </c>
      <c r="Z332" s="307">
        <f t="shared" si="248"/>
        <v>3739470.7068050355</v>
      </c>
      <c r="AA332" s="307">
        <f t="shared" si="248"/>
        <v>3743219.4957319498</v>
      </c>
      <c r="AB332" s="307">
        <f t="shared" si="248"/>
        <v>3742867.6067553163</v>
      </c>
      <c r="AC332" s="307">
        <f t="shared" si="248"/>
        <v>3742453.6783618629</v>
      </c>
      <c r="AD332" s="307">
        <f t="shared" si="248"/>
        <v>3742044.8508146703</v>
      </c>
      <c r="AE332" s="307">
        <f t="shared" si="248"/>
        <v>3742011.267693758</v>
      </c>
      <c r="AF332" s="307">
        <f t="shared" si="248"/>
        <v>3742519.3798715174</v>
      </c>
      <c r="AG332" s="307">
        <f t="shared" si="248"/>
        <v>3742379.356699422</v>
      </c>
      <c r="AH332" s="307">
        <f t="shared" si="248"/>
        <v>3742281.736626491</v>
      </c>
      <c r="AI332" s="307">
        <f t="shared" si="248"/>
        <v>3742247.3722295314</v>
      </c>
      <c r="AJ332" s="307">
        <f t="shared" si="248"/>
        <v>3742287.8944760859</v>
      </c>
      <c r="AK332" s="307">
        <f t="shared" si="248"/>
        <v>3742343.2318091094</v>
      </c>
      <c r="AL332" s="307">
        <f t="shared" si="248"/>
        <v>3742308.008183524</v>
      </c>
      <c r="AM332" s="307">
        <f t="shared" si="248"/>
        <v>3742293.7384799868</v>
      </c>
      <c r="AN332" s="307">
        <f t="shared" si="248"/>
        <v>3742296.1388507485</v>
      </c>
      <c r="AO332" s="307">
        <f t="shared" si="248"/>
        <v>3742305.8921752274</v>
      </c>
      <c r="AP332" s="307">
        <f t="shared" si="248"/>
        <v>3742309.4917151332</v>
      </c>
      <c r="AQ332" s="307">
        <f t="shared" si="248"/>
        <v>3742303.743696183</v>
      </c>
      <c r="AR332" s="307"/>
      <c r="AS332" s="307"/>
      <c r="AT332" s="307"/>
      <c r="AU332" s="307"/>
      <c r="AV332" s="307"/>
      <c r="AW332" s="307"/>
      <c r="AX332" s="307"/>
      <c r="AY332" s="307"/>
      <c r="AZ332" s="307"/>
      <c r="BA332" s="307"/>
      <c r="BB332" s="307"/>
      <c r="BC332" s="309"/>
      <c r="BM332" s="309">
        <v>0</v>
      </c>
      <c r="BN332" s="308">
        <f t="shared" si="246"/>
        <v>0</v>
      </c>
      <c r="BO332" s="308">
        <v>300473.83410176449</v>
      </c>
      <c r="BP332" s="308">
        <f t="shared" si="247"/>
        <v>240379.07689657481</v>
      </c>
    </row>
    <row r="333" spans="1:68" ht="12" thickBot="1">
      <c r="A333" s="301" t="s">
        <v>29</v>
      </c>
      <c r="B333" s="308">
        <f>SUM(B321:B332)</f>
        <v>0</v>
      </c>
      <c r="C333" s="308">
        <f t="shared" ref="C333:AQ333" si="250">SUM(C321:C332)</f>
        <v>0</v>
      </c>
      <c r="D333" s="308">
        <f t="shared" si="250"/>
        <v>0</v>
      </c>
      <c r="E333" s="308">
        <f t="shared" si="250"/>
        <v>0</v>
      </c>
      <c r="F333" s="308">
        <f t="shared" si="250"/>
        <v>0</v>
      </c>
      <c r="G333" s="308">
        <f t="shared" si="250"/>
        <v>0</v>
      </c>
      <c r="H333" s="308">
        <f t="shared" si="250"/>
        <v>0</v>
      </c>
      <c r="I333" s="308">
        <f t="shared" si="250"/>
        <v>0</v>
      </c>
      <c r="J333" s="308">
        <f t="shared" si="250"/>
        <v>0</v>
      </c>
      <c r="K333" s="308">
        <f t="shared" si="250"/>
        <v>0</v>
      </c>
      <c r="L333" s="308">
        <f t="shared" si="250"/>
        <v>0</v>
      </c>
      <c r="M333" s="308">
        <f t="shared" si="250"/>
        <v>0</v>
      </c>
      <c r="N333" s="308">
        <f t="shared" si="250"/>
        <v>0</v>
      </c>
      <c r="O333" s="308">
        <f t="shared" si="250"/>
        <v>23943821</v>
      </c>
      <c r="P333" s="308">
        <f t="shared" si="250"/>
        <v>2620288</v>
      </c>
      <c r="Q333" s="307">
        <f t="shared" si="250"/>
        <v>1999999.6</v>
      </c>
      <c r="R333" s="307">
        <f t="shared" si="250"/>
        <v>24999999.600000001</v>
      </c>
      <c r="S333" s="307">
        <f t="shared" si="250"/>
        <v>124999999.59999999</v>
      </c>
      <c r="T333" s="307">
        <f t="shared" si="250"/>
        <v>124999999.59999999</v>
      </c>
      <c r="U333" s="307">
        <f t="shared" si="250"/>
        <v>124999999.59999999</v>
      </c>
      <c r="V333" s="307">
        <f t="shared" si="250"/>
        <v>124999999.59999999</v>
      </c>
      <c r="W333" s="307">
        <f t="shared" si="250"/>
        <v>124999999.59999999</v>
      </c>
      <c r="X333" s="307">
        <f t="shared" si="250"/>
        <v>124999999.59999999</v>
      </c>
      <c r="Y333" s="307">
        <f t="shared" si="250"/>
        <v>124999999.59999999</v>
      </c>
      <c r="Z333" s="307">
        <f t="shared" si="250"/>
        <v>124999999.59999999</v>
      </c>
      <c r="AA333" s="307">
        <f t="shared" si="250"/>
        <v>124999999.59999999</v>
      </c>
      <c r="AB333" s="307">
        <f t="shared" si="250"/>
        <v>124999999.59999999</v>
      </c>
      <c r="AC333" s="307">
        <f t="shared" si="250"/>
        <v>124999999.59999999</v>
      </c>
      <c r="AD333" s="307">
        <f t="shared" si="250"/>
        <v>124999999.59999999</v>
      </c>
      <c r="AE333" s="307">
        <f t="shared" si="250"/>
        <v>124999999.59999999</v>
      </c>
      <c r="AF333" s="307">
        <f t="shared" si="250"/>
        <v>124999999.59999999</v>
      </c>
      <c r="AG333" s="307">
        <f t="shared" si="250"/>
        <v>124999999.59999999</v>
      </c>
      <c r="AH333" s="307">
        <f t="shared" si="250"/>
        <v>125000000.59999999</v>
      </c>
      <c r="AI333" s="307">
        <f t="shared" si="250"/>
        <v>125000001.59999999</v>
      </c>
      <c r="AJ333" s="307">
        <f t="shared" si="250"/>
        <v>125000002.59999999</v>
      </c>
      <c r="AK333" s="307">
        <f t="shared" si="250"/>
        <v>125000003.59999999</v>
      </c>
      <c r="AL333" s="307">
        <f t="shared" si="250"/>
        <v>125000004.59999999</v>
      </c>
      <c r="AM333" s="307">
        <f t="shared" si="250"/>
        <v>125000005.59999999</v>
      </c>
      <c r="AN333" s="307">
        <f t="shared" si="250"/>
        <v>125000006.59999999</v>
      </c>
      <c r="AO333" s="307">
        <f t="shared" si="250"/>
        <v>125000007.59999999</v>
      </c>
      <c r="AP333" s="307">
        <f t="shared" si="250"/>
        <v>125000008.59999999</v>
      </c>
      <c r="AQ333" s="307">
        <f t="shared" si="250"/>
        <v>125000021.59999999</v>
      </c>
      <c r="AR333" s="307"/>
      <c r="AS333" s="307"/>
      <c r="AT333" s="307"/>
      <c r="AU333" s="307"/>
      <c r="AV333" s="307"/>
      <c r="AW333" s="307"/>
      <c r="AX333" s="307"/>
      <c r="AY333" s="307"/>
      <c r="AZ333" s="307"/>
      <c r="BA333" s="307"/>
      <c r="BB333" s="307"/>
      <c r="BC333" s="309"/>
      <c r="BM333" s="309">
        <v>2620288</v>
      </c>
      <c r="BN333" s="308">
        <f t="shared" si="246"/>
        <v>0</v>
      </c>
      <c r="BO333" s="308">
        <v>9999999.5999999996</v>
      </c>
      <c r="BP333" s="308">
        <f t="shared" si="247"/>
        <v>8000000</v>
      </c>
    </row>
    <row r="334" spans="1:68">
      <c r="A334" s="334"/>
      <c r="B334" s="334"/>
      <c r="C334" s="334"/>
      <c r="D334" s="334"/>
      <c r="E334" s="334"/>
      <c r="F334" s="334"/>
      <c r="G334" s="334"/>
      <c r="H334" s="334"/>
      <c r="I334" s="334"/>
      <c r="J334" s="334"/>
      <c r="K334" s="334"/>
      <c r="L334" s="334"/>
      <c r="M334" s="334"/>
      <c r="N334" s="334"/>
      <c r="O334" s="334"/>
      <c r="P334" s="334"/>
      <c r="Q334" s="334"/>
      <c r="R334" s="334"/>
      <c r="S334" s="334"/>
      <c r="T334" s="334"/>
      <c r="U334" s="334"/>
      <c r="V334" s="334"/>
      <c r="W334" s="334"/>
      <c r="X334" s="334"/>
      <c r="Y334" s="334"/>
      <c r="Z334" s="334"/>
      <c r="AA334" s="334"/>
      <c r="AB334" s="334"/>
      <c r="AC334" s="334"/>
      <c r="AD334" s="334"/>
      <c r="AE334" s="334"/>
      <c r="AF334" s="334"/>
      <c r="AG334" s="334"/>
      <c r="AH334" s="334"/>
      <c r="AI334" s="334"/>
      <c r="AJ334" s="334"/>
      <c r="AK334" s="334"/>
      <c r="AL334" s="334"/>
      <c r="AM334" s="334"/>
      <c r="AN334" s="334"/>
      <c r="AO334" s="334"/>
      <c r="AP334" s="334"/>
      <c r="AQ334" s="334"/>
      <c r="BC334" s="308"/>
    </row>
    <row r="335" spans="1:68" ht="12" thickBot="1">
      <c r="A335" s="300" t="s">
        <v>506</v>
      </c>
      <c r="BC335" s="308"/>
    </row>
    <row r="336" spans="1:68" ht="12" thickBot="1">
      <c r="A336" s="328"/>
      <c r="B336" s="329">
        <f t="shared" ref="B336:AQ336" si="251">B2</f>
        <v>2010</v>
      </c>
      <c r="C336" s="329">
        <f t="shared" si="251"/>
        <v>2011</v>
      </c>
      <c r="D336" s="329">
        <f t="shared" si="251"/>
        <v>2012</v>
      </c>
      <c r="E336" s="329">
        <f t="shared" si="251"/>
        <v>2013</v>
      </c>
      <c r="F336" s="329">
        <f t="shared" si="251"/>
        <v>2014</v>
      </c>
      <c r="G336" s="329">
        <f t="shared" si="251"/>
        <v>2015</v>
      </c>
      <c r="H336" s="329">
        <f t="shared" si="251"/>
        <v>2016</v>
      </c>
      <c r="I336" s="329">
        <f t="shared" si="251"/>
        <v>2017</v>
      </c>
      <c r="J336" s="329">
        <f t="shared" si="251"/>
        <v>2018</v>
      </c>
      <c r="K336" s="329">
        <f t="shared" si="251"/>
        <v>2019</v>
      </c>
      <c r="L336" s="329">
        <f t="shared" si="251"/>
        <v>2020</v>
      </c>
      <c r="M336" s="329">
        <f t="shared" si="251"/>
        <v>2021</v>
      </c>
      <c r="N336" s="329">
        <f t="shared" si="251"/>
        <v>2022</v>
      </c>
      <c r="O336" s="329">
        <f t="shared" si="251"/>
        <v>2023</v>
      </c>
      <c r="P336" s="329">
        <f t="shared" si="251"/>
        <v>2024</v>
      </c>
      <c r="Q336" s="329">
        <f t="shared" si="251"/>
        <v>2025</v>
      </c>
      <c r="R336" s="329">
        <f t="shared" si="251"/>
        <v>2026</v>
      </c>
      <c r="S336" s="329">
        <f t="shared" si="251"/>
        <v>2027</v>
      </c>
      <c r="T336" s="329">
        <f t="shared" si="251"/>
        <v>2028</v>
      </c>
      <c r="U336" s="329">
        <f t="shared" si="251"/>
        <v>2029</v>
      </c>
      <c r="V336" s="329">
        <f t="shared" si="251"/>
        <v>2030</v>
      </c>
      <c r="W336" s="329">
        <f t="shared" si="251"/>
        <v>2031</v>
      </c>
      <c r="X336" s="329">
        <f t="shared" si="251"/>
        <v>2032</v>
      </c>
      <c r="Y336" s="329">
        <f t="shared" si="251"/>
        <v>2033</v>
      </c>
      <c r="Z336" s="329">
        <f t="shared" si="251"/>
        <v>2034</v>
      </c>
      <c r="AA336" s="329">
        <f t="shared" si="251"/>
        <v>2035</v>
      </c>
      <c r="AB336" s="329">
        <f t="shared" si="251"/>
        <v>2036</v>
      </c>
      <c r="AC336" s="329">
        <f t="shared" si="251"/>
        <v>2037</v>
      </c>
      <c r="AD336" s="329">
        <f t="shared" si="251"/>
        <v>2038</v>
      </c>
      <c r="AE336" s="329">
        <f t="shared" si="251"/>
        <v>2039</v>
      </c>
      <c r="AF336" s="329">
        <f t="shared" si="251"/>
        <v>2040</v>
      </c>
      <c r="AG336" s="329">
        <f t="shared" si="251"/>
        <v>2041</v>
      </c>
      <c r="AH336" s="329">
        <f t="shared" si="251"/>
        <v>2042</v>
      </c>
      <c r="AI336" s="329">
        <f t="shared" si="251"/>
        <v>2043</v>
      </c>
      <c r="AJ336" s="329">
        <f t="shared" si="251"/>
        <v>2044</v>
      </c>
      <c r="AK336" s="329">
        <f t="shared" si="251"/>
        <v>2045</v>
      </c>
      <c r="AL336" s="329">
        <f t="shared" si="251"/>
        <v>2046</v>
      </c>
      <c r="AM336" s="329">
        <f t="shared" si="251"/>
        <v>2047</v>
      </c>
      <c r="AN336" s="329">
        <f t="shared" si="251"/>
        <v>2048</v>
      </c>
      <c r="AO336" s="329">
        <f t="shared" si="251"/>
        <v>2049</v>
      </c>
      <c r="AP336" s="329">
        <f t="shared" si="251"/>
        <v>2050</v>
      </c>
      <c r="AQ336" s="329">
        <f t="shared" si="251"/>
        <v>2051</v>
      </c>
      <c r="AR336" s="300"/>
      <c r="AS336" s="300"/>
      <c r="AT336" s="300"/>
      <c r="AU336" s="300"/>
      <c r="AV336" s="300"/>
      <c r="AW336" s="300"/>
      <c r="AX336" s="300"/>
      <c r="AY336" s="300"/>
      <c r="AZ336" s="300"/>
      <c r="BA336" s="300"/>
      <c r="BB336" s="300"/>
      <c r="BC336" s="308"/>
    </row>
    <row r="337" spans="1:68">
      <c r="A337" s="301" t="s">
        <v>43</v>
      </c>
      <c r="B337" s="308">
        <f>'Monthly D6 Gallon Data'!$S4</f>
        <v>0</v>
      </c>
      <c r="C337" s="308">
        <f>'Monthly D6 Gallon Data'!$S16</f>
        <v>0</v>
      </c>
      <c r="D337" s="308">
        <f>'Monthly D6 Gallon Data'!$S28</f>
        <v>0</v>
      </c>
      <c r="E337" s="308">
        <f>'Monthly D6 Gallon Data'!$S40</f>
        <v>0</v>
      </c>
      <c r="F337" s="308">
        <f>'Monthly D6 Gallon Data'!$S52</f>
        <v>0</v>
      </c>
      <c r="G337" s="308">
        <f>'Monthly D6 Gallon Data'!$S64</f>
        <v>0</v>
      </c>
      <c r="H337" s="308">
        <f>'Monthly D6 Gallon Data'!$S76</f>
        <v>0</v>
      </c>
      <c r="I337" s="308">
        <f>'Monthly D6 Gallon Data'!$S88</f>
        <v>0</v>
      </c>
      <c r="J337" s="308">
        <f>'Monthly D6 Gallon Data'!$S100</f>
        <v>0</v>
      </c>
      <c r="K337" s="308">
        <f>'Monthly D6 Gallon Data'!$S112</f>
        <v>0</v>
      </c>
      <c r="L337" s="308">
        <f>'Monthly D6 Gallon Data'!$S124</f>
        <v>0</v>
      </c>
      <c r="M337" s="308">
        <f>'Monthly D6 Gallon Data'!$S136</f>
        <v>0</v>
      </c>
      <c r="N337" s="308">
        <f>'Monthly D6 Gallon Data'!$S148</f>
        <v>0</v>
      </c>
      <c r="O337" s="308">
        <f>'Monthly D6 Gallon Data'!$S160</f>
        <v>0</v>
      </c>
      <c r="P337" s="308">
        <f>'Monthly D6 Gallon Data'!$S172</f>
        <v>0</v>
      </c>
      <c r="Q337" s="308">
        <f>'Monthly D6 Gallon Data'!$S184</f>
        <v>0</v>
      </c>
      <c r="R337" s="307">
        <f>(SUM(M337:Q337)/SUM(M$349:Q$349))*R$349</f>
        <v>0</v>
      </c>
      <c r="S337" s="307">
        <f t="shared" ref="S337:Z347" si="252">(SUM(N337:R337)/SUM(N$349:R$349))*S$349</f>
        <v>0</v>
      </c>
      <c r="T337" s="307">
        <f t="shared" si="252"/>
        <v>0</v>
      </c>
      <c r="U337" s="307">
        <f t="shared" si="252"/>
        <v>0</v>
      </c>
      <c r="V337" s="307">
        <f t="shared" si="252"/>
        <v>0</v>
      </c>
      <c r="W337" s="307">
        <f t="shared" si="252"/>
        <v>0</v>
      </c>
      <c r="X337" s="307">
        <f t="shared" si="252"/>
        <v>0</v>
      </c>
      <c r="Y337" s="307">
        <f t="shared" si="252"/>
        <v>0</v>
      </c>
      <c r="Z337" s="307">
        <f t="shared" si="252"/>
        <v>0</v>
      </c>
      <c r="AA337" s="307">
        <f t="shared" ref="AA337:AA347" si="253">(SUM(V337:Z337)/SUM(V$349:Z$349))*AA$349</f>
        <v>0</v>
      </c>
      <c r="AB337" s="307">
        <f t="shared" ref="AB337:AQ347" si="254">(SUM(W337:AA337)/SUM(W$349:AA$349))*AB$349</f>
        <v>0</v>
      </c>
      <c r="AC337" s="307">
        <f t="shared" si="254"/>
        <v>0</v>
      </c>
      <c r="AD337" s="307">
        <f t="shared" si="254"/>
        <v>0</v>
      </c>
      <c r="AE337" s="307">
        <f t="shared" si="254"/>
        <v>0</v>
      </c>
      <c r="AF337" s="307">
        <f t="shared" si="254"/>
        <v>0</v>
      </c>
      <c r="AG337" s="307">
        <f t="shared" si="254"/>
        <v>0</v>
      </c>
      <c r="AH337" s="307">
        <f t="shared" si="254"/>
        <v>0</v>
      </c>
      <c r="AI337" s="307">
        <f t="shared" si="254"/>
        <v>0</v>
      </c>
      <c r="AJ337" s="307">
        <f t="shared" si="254"/>
        <v>0</v>
      </c>
      <c r="AK337" s="307">
        <f t="shared" si="254"/>
        <v>0</v>
      </c>
      <c r="AL337" s="307">
        <f t="shared" si="254"/>
        <v>0</v>
      </c>
      <c r="AM337" s="307">
        <f t="shared" si="254"/>
        <v>0</v>
      </c>
      <c r="AN337" s="307">
        <f t="shared" si="254"/>
        <v>0</v>
      </c>
      <c r="AO337" s="307">
        <f t="shared" si="254"/>
        <v>0</v>
      </c>
      <c r="AP337" s="307">
        <f t="shared" si="254"/>
        <v>0</v>
      </c>
      <c r="AQ337" s="307">
        <f t="shared" si="254"/>
        <v>0</v>
      </c>
      <c r="AR337" s="307"/>
      <c r="AS337" s="307"/>
      <c r="AT337" s="307"/>
      <c r="AU337" s="307"/>
      <c r="AV337" s="307"/>
      <c r="AW337" s="307"/>
      <c r="AX337" s="307"/>
      <c r="AY337" s="307"/>
      <c r="AZ337" s="307"/>
      <c r="BA337" s="307"/>
      <c r="BB337" s="307"/>
      <c r="BC337" s="308"/>
      <c r="BM337" s="308">
        <v>0</v>
      </c>
      <c r="BN337" s="308">
        <f t="shared" ref="BN337:BN349" si="255">P337-BM337</f>
        <v>0</v>
      </c>
      <c r="BO337" s="308">
        <v>0</v>
      </c>
      <c r="BP337" s="308">
        <f t="shared" ref="BP337:BP349" si="256">BO337-Q337</f>
        <v>0</v>
      </c>
    </row>
    <row r="338" spans="1:68">
      <c r="A338" s="301" t="s">
        <v>44</v>
      </c>
      <c r="B338" s="308">
        <f>'Monthly D6 Gallon Data'!$S5</f>
        <v>0</v>
      </c>
      <c r="C338" s="308">
        <f>'Monthly D6 Gallon Data'!$S17</f>
        <v>0</v>
      </c>
      <c r="D338" s="308">
        <f>'Monthly D6 Gallon Data'!$S29</f>
        <v>0</v>
      </c>
      <c r="E338" s="308">
        <f>'Monthly D6 Gallon Data'!$S41</f>
        <v>0</v>
      </c>
      <c r="F338" s="308">
        <f>'Monthly D6 Gallon Data'!$S53</f>
        <v>0</v>
      </c>
      <c r="G338" s="308">
        <f>'Monthly D6 Gallon Data'!$S65</f>
        <v>0</v>
      </c>
      <c r="H338" s="308">
        <f>'Monthly D6 Gallon Data'!$S77</f>
        <v>0</v>
      </c>
      <c r="I338" s="308">
        <f>'Monthly D6 Gallon Data'!$S89</f>
        <v>0</v>
      </c>
      <c r="J338" s="308">
        <f>'Monthly D6 Gallon Data'!$S101</f>
        <v>0</v>
      </c>
      <c r="K338" s="308">
        <f>'Monthly D6 Gallon Data'!$S113</f>
        <v>0</v>
      </c>
      <c r="L338" s="308">
        <f>'Monthly D6 Gallon Data'!$S125</f>
        <v>0</v>
      </c>
      <c r="M338" s="308">
        <f>'Monthly D6 Gallon Data'!$S137</f>
        <v>0</v>
      </c>
      <c r="N338" s="308">
        <f>'Monthly D6 Gallon Data'!$S149</f>
        <v>0</v>
      </c>
      <c r="O338" s="308">
        <f>'Monthly D6 Gallon Data'!$S161</f>
        <v>0</v>
      </c>
      <c r="P338" s="308">
        <f>'Monthly D6 Gallon Data'!$S173</f>
        <v>0</v>
      </c>
      <c r="Q338" s="332">
        <f>'Monthly D6 Gallon Data'!$S185</f>
        <v>0</v>
      </c>
      <c r="R338" s="307">
        <f t="shared" ref="R338:R347" si="257">(SUM(M338:Q338)/SUM(M$349:Q$349))*R$349</f>
        <v>0</v>
      </c>
      <c r="S338" s="307">
        <f t="shared" si="252"/>
        <v>0</v>
      </c>
      <c r="T338" s="307">
        <f t="shared" si="252"/>
        <v>0</v>
      </c>
      <c r="U338" s="307">
        <f t="shared" si="252"/>
        <v>0</v>
      </c>
      <c r="V338" s="307">
        <f t="shared" si="252"/>
        <v>0</v>
      </c>
      <c r="W338" s="307">
        <f t="shared" si="252"/>
        <v>0</v>
      </c>
      <c r="X338" s="307">
        <f t="shared" si="252"/>
        <v>0</v>
      </c>
      <c r="Y338" s="307">
        <f t="shared" si="252"/>
        <v>0</v>
      </c>
      <c r="Z338" s="307">
        <f t="shared" si="252"/>
        <v>0</v>
      </c>
      <c r="AA338" s="307">
        <f t="shared" si="253"/>
        <v>0</v>
      </c>
      <c r="AB338" s="307">
        <f t="shared" si="254"/>
        <v>0</v>
      </c>
      <c r="AC338" s="307">
        <f t="shared" si="254"/>
        <v>0</v>
      </c>
      <c r="AD338" s="307">
        <f t="shared" si="254"/>
        <v>0</v>
      </c>
      <c r="AE338" s="307">
        <f t="shared" si="254"/>
        <v>0</v>
      </c>
      <c r="AF338" s="307">
        <f t="shared" si="254"/>
        <v>0</v>
      </c>
      <c r="AG338" s="307">
        <f t="shared" si="254"/>
        <v>0</v>
      </c>
      <c r="AH338" s="307">
        <f t="shared" si="254"/>
        <v>0</v>
      </c>
      <c r="AI338" s="307">
        <f t="shared" si="254"/>
        <v>0</v>
      </c>
      <c r="AJ338" s="307">
        <f t="shared" si="254"/>
        <v>0</v>
      </c>
      <c r="AK338" s="307">
        <f t="shared" si="254"/>
        <v>0</v>
      </c>
      <c r="AL338" s="307">
        <f t="shared" si="254"/>
        <v>0</v>
      </c>
      <c r="AM338" s="307">
        <f t="shared" si="254"/>
        <v>0</v>
      </c>
      <c r="AN338" s="307">
        <f t="shared" si="254"/>
        <v>0</v>
      </c>
      <c r="AO338" s="307">
        <f t="shared" si="254"/>
        <v>0</v>
      </c>
      <c r="AP338" s="307">
        <f t="shared" si="254"/>
        <v>0</v>
      </c>
      <c r="AQ338" s="307">
        <f t="shared" si="254"/>
        <v>0</v>
      </c>
      <c r="AR338" s="307"/>
      <c r="AS338" s="307"/>
      <c r="AT338" s="307"/>
      <c r="AU338" s="307"/>
      <c r="AV338" s="307"/>
      <c r="AW338" s="307"/>
      <c r="AX338" s="307"/>
      <c r="AY338" s="307"/>
      <c r="AZ338" s="307"/>
      <c r="BA338" s="307"/>
      <c r="BB338" s="307"/>
      <c r="BC338" s="308"/>
      <c r="BM338" s="308">
        <v>0</v>
      </c>
      <c r="BN338" s="308">
        <f t="shared" si="255"/>
        <v>0</v>
      </c>
      <c r="BO338" s="308">
        <v>0</v>
      </c>
      <c r="BP338" s="308">
        <f t="shared" si="256"/>
        <v>0</v>
      </c>
    </row>
    <row r="339" spans="1:68">
      <c r="A339" s="301" t="s">
        <v>45</v>
      </c>
      <c r="B339" s="308">
        <f>'Monthly D6 Gallon Data'!$S6</f>
        <v>0</v>
      </c>
      <c r="C339" s="308">
        <f>'Monthly D6 Gallon Data'!$S18</f>
        <v>0</v>
      </c>
      <c r="D339" s="308">
        <f>'Monthly D6 Gallon Data'!$S30</f>
        <v>0</v>
      </c>
      <c r="E339" s="308">
        <f>'Monthly D6 Gallon Data'!$S42</f>
        <v>0</v>
      </c>
      <c r="F339" s="308">
        <f>'Monthly D6 Gallon Data'!$S54</f>
        <v>0</v>
      </c>
      <c r="G339" s="308">
        <f>'Monthly D6 Gallon Data'!$S66</f>
        <v>0</v>
      </c>
      <c r="H339" s="308">
        <f>'Monthly D6 Gallon Data'!$S78</f>
        <v>0</v>
      </c>
      <c r="I339" s="308">
        <f>'Monthly D6 Gallon Data'!$S90</f>
        <v>0</v>
      </c>
      <c r="J339" s="308">
        <f>'Monthly D6 Gallon Data'!$S102</f>
        <v>0</v>
      </c>
      <c r="K339" s="308">
        <f>'Monthly D6 Gallon Data'!$S114</f>
        <v>0</v>
      </c>
      <c r="L339" s="308">
        <f>'Monthly D6 Gallon Data'!$S126</f>
        <v>0</v>
      </c>
      <c r="M339" s="308">
        <f>'Monthly D6 Gallon Data'!$S138</f>
        <v>0</v>
      </c>
      <c r="N339" s="308">
        <f>'Monthly D6 Gallon Data'!$S150</f>
        <v>0</v>
      </c>
      <c r="O339" s="308">
        <f>'Monthly D6 Gallon Data'!$S162</f>
        <v>0</v>
      </c>
      <c r="P339" s="308">
        <f>'Monthly D6 Gallon Data'!$S174</f>
        <v>0</v>
      </c>
      <c r="Q339" s="332">
        <f>'Monthly D6 Gallon Data'!$S186</f>
        <v>0</v>
      </c>
      <c r="R339" s="307">
        <f t="shared" si="257"/>
        <v>0</v>
      </c>
      <c r="S339" s="307">
        <f t="shared" si="252"/>
        <v>0</v>
      </c>
      <c r="T339" s="307">
        <f t="shared" si="252"/>
        <v>0</v>
      </c>
      <c r="U339" s="307">
        <f t="shared" si="252"/>
        <v>0</v>
      </c>
      <c r="V339" s="307">
        <f t="shared" si="252"/>
        <v>0</v>
      </c>
      <c r="W339" s="307">
        <f t="shared" si="252"/>
        <v>0</v>
      </c>
      <c r="X339" s="307">
        <f t="shared" si="252"/>
        <v>0</v>
      </c>
      <c r="Y339" s="307">
        <f t="shared" si="252"/>
        <v>0</v>
      </c>
      <c r="Z339" s="307">
        <f t="shared" si="252"/>
        <v>0</v>
      </c>
      <c r="AA339" s="307">
        <f t="shared" si="253"/>
        <v>0</v>
      </c>
      <c r="AB339" s="307">
        <f t="shared" si="254"/>
        <v>0</v>
      </c>
      <c r="AC339" s="307">
        <f t="shared" si="254"/>
        <v>0</v>
      </c>
      <c r="AD339" s="307">
        <f t="shared" si="254"/>
        <v>0</v>
      </c>
      <c r="AE339" s="307">
        <f t="shared" si="254"/>
        <v>0</v>
      </c>
      <c r="AF339" s="307">
        <f t="shared" si="254"/>
        <v>0</v>
      </c>
      <c r="AG339" s="307">
        <f t="shared" si="254"/>
        <v>0</v>
      </c>
      <c r="AH339" s="307">
        <f t="shared" si="254"/>
        <v>0</v>
      </c>
      <c r="AI339" s="307">
        <f t="shared" si="254"/>
        <v>0</v>
      </c>
      <c r="AJ339" s="307">
        <f t="shared" si="254"/>
        <v>0</v>
      </c>
      <c r="AK339" s="307">
        <f t="shared" si="254"/>
        <v>0</v>
      </c>
      <c r="AL339" s="307">
        <f t="shared" si="254"/>
        <v>0</v>
      </c>
      <c r="AM339" s="307">
        <f t="shared" si="254"/>
        <v>0</v>
      </c>
      <c r="AN339" s="307">
        <f t="shared" si="254"/>
        <v>0</v>
      </c>
      <c r="AO339" s="307">
        <f t="shared" si="254"/>
        <v>0</v>
      </c>
      <c r="AP339" s="307">
        <f t="shared" si="254"/>
        <v>0</v>
      </c>
      <c r="AQ339" s="307">
        <f t="shared" si="254"/>
        <v>0</v>
      </c>
      <c r="AR339" s="307"/>
      <c r="AS339" s="307"/>
      <c r="AT339" s="307"/>
      <c r="AU339" s="307"/>
      <c r="AV339" s="307"/>
      <c r="AW339" s="307"/>
      <c r="AX339" s="307"/>
      <c r="AY339" s="307"/>
      <c r="AZ339" s="307"/>
      <c r="BA339" s="307"/>
      <c r="BB339" s="307"/>
      <c r="BC339" s="308"/>
      <c r="BM339" s="308">
        <v>0</v>
      </c>
      <c r="BN339" s="308">
        <f t="shared" si="255"/>
        <v>0</v>
      </c>
      <c r="BO339" s="308">
        <v>0</v>
      </c>
      <c r="BP339" s="308">
        <f t="shared" si="256"/>
        <v>0</v>
      </c>
    </row>
    <row r="340" spans="1:68">
      <c r="A340" s="301" t="s">
        <v>46</v>
      </c>
      <c r="B340" s="308">
        <f>'Monthly D6 Gallon Data'!$S7</f>
        <v>0</v>
      </c>
      <c r="C340" s="308">
        <f>'Monthly D6 Gallon Data'!$S19</f>
        <v>0</v>
      </c>
      <c r="D340" s="308">
        <f>'Monthly D6 Gallon Data'!$S31</f>
        <v>0</v>
      </c>
      <c r="E340" s="308">
        <f>'Monthly D6 Gallon Data'!$S43</f>
        <v>0</v>
      </c>
      <c r="F340" s="308">
        <f>'Monthly D6 Gallon Data'!$S55</f>
        <v>0</v>
      </c>
      <c r="G340" s="308">
        <f>'Monthly D6 Gallon Data'!$S67</f>
        <v>0</v>
      </c>
      <c r="H340" s="308">
        <f>'Monthly D6 Gallon Data'!$S79</f>
        <v>0</v>
      </c>
      <c r="I340" s="308">
        <f>'Monthly D6 Gallon Data'!$S91</f>
        <v>0</v>
      </c>
      <c r="J340" s="308">
        <f>'Monthly D6 Gallon Data'!$S103</f>
        <v>0</v>
      </c>
      <c r="K340" s="308">
        <f>'Monthly D6 Gallon Data'!$S115</f>
        <v>0</v>
      </c>
      <c r="L340" s="308">
        <f>'Monthly D6 Gallon Data'!$S127</f>
        <v>0</v>
      </c>
      <c r="M340" s="308">
        <f>'Monthly D6 Gallon Data'!$S139</f>
        <v>0</v>
      </c>
      <c r="N340" s="308">
        <f>'Monthly D6 Gallon Data'!$S151</f>
        <v>0</v>
      </c>
      <c r="O340" s="308">
        <f>'Monthly D6 Gallon Data'!$S163</f>
        <v>0</v>
      </c>
      <c r="P340" s="308">
        <f>'Monthly D6 Gallon Data'!$S175</f>
        <v>2419776</v>
      </c>
      <c r="Q340" s="307">
        <f t="shared" ref="Q340:Q347" si="258">(SUM(L340:P340)/SUM(L$349:P$349))*Q$349</f>
        <v>182183.82675999412</v>
      </c>
      <c r="R340" s="307">
        <f t="shared" si="257"/>
        <v>2277298.2535228115</v>
      </c>
      <c r="S340" s="307">
        <f t="shared" si="252"/>
        <v>11386491.413361147</v>
      </c>
      <c r="T340" s="307">
        <f t="shared" si="252"/>
        <v>11386491.413361147</v>
      </c>
      <c r="U340" s="307">
        <f t="shared" si="252"/>
        <v>12361514.06185936</v>
      </c>
      <c r="V340" s="307">
        <f t="shared" si="252"/>
        <v>11689670.098133847</v>
      </c>
      <c r="W340" s="307">
        <f t="shared" si="252"/>
        <v>11690825.064325435</v>
      </c>
      <c r="X340" s="307">
        <f t="shared" si="252"/>
        <v>11702998.410208188</v>
      </c>
      <c r="Y340" s="307">
        <f t="shared" si="252"/>
        <v>11766299.809577595</v>
      </c>
      <c r="Z340" s="307">
        <f t="shared" si="252"/>
        <v>11842261.488820886</v>
      </c>
      <c r="AA340" s="307">
        <f t="shared" si="253"/>
        <v>11738410.974213189</v>
      </c>
      <c r="AB340" s="307">
        <f t="shared" si="254"/>
        <v>11748159.149429059</v>
      </c>
      <c r="AC340" s="307">
        <f t="shared" si="254"/>
        <v>11759625.966449784</v>
      </c>
      <c r="AD340" s="307">
        <f t="shared" si="254"/>
        <v>11770951.477698103</v>
      </c>
      <c r="AE340" s="307">
        <f t="shared" si="254"/>
        <v>11771881.811322203</v>
      </c>
      <c r="AF340" s="307">
        <f t="shared" si="254"/>
        <v>11757805.875822468</v>
      </c>
      <c r="AG340" s="307">
        <f t="shared" si="254"/>
        <v>11761684.856144322</v>
      </c>
      <c r="AH340" s="307">
        <f t="shared" si="254"/>
        <v>11764390.091602497</v>
      </c>
      <c r="AI340" s="307">
        <f t="shared" si="254"/>
        <v>11765342.991938855</v>
      </c>
      <c r="AJ340" s="307">
        <f t="shared" si="254"/>
        <v>11764221.351239113</v>
      </c>
      <c r="AK340" s="307">
        <f t="shared" si="254"/>
        <v>11762689.296833683</v>
      </c>
      <c r="AL340" s="307">
        <f t="shared" si="254"/>
        <v>11763665.999879666</v>
      </c>
      <c r="AM340" s="307">
        <f t="shared" si="254"/>
        <v>11764062.228636241</v>
      </c>
      <c r="AN340" s="307">
        <f t="shared" si="254"/>
        <v>11763996.656041417</v>
      </c>
      <c r="AO340" s="307">
        <f t="shared" si="254"/>
        <v>11763727.388855463</v>
      </c>
      <c r="AP340" s="307">
        <f t="shared" si="254"/>
        <v>11763628.596376359</v>
      </c>
      <c r="AQ340" s="307">
        <f t="shared" si="254"/>
        <v>11763816.456289403</v>
      </c>
      <c r="AR340" s="307"/>
      <c r="AS340" s="307"/>
      <c r="AT340" s="307"/>
      <c r="AU340" s="307"/>
      <c r="AV340" s="307"/>
      <c r="AW340" s="307"/>
      <c r="AX340" s="307"/>
      <c r="AY340" s="307"/>
      <c r="AZ340" s="307"/>
      <c r="BA340" s="307"/>
      <c r="BB340" s="307"/>
      <c r="BC340" s="308"/>
      <c r="BM340" s="308">
        <v>2419776</v>
      </c>
      <c r="BN340" s="308">
        <f t="shared" si="255"/>
        <v>0</v>
      </c>
      <c r="BO340" s="308">
        <v>910919.27954706107</v>
      </c>
      <c r="BP340" s="308">
        <f t="shared" si="256"/>
        <v>728735.45278706693</v>
      </c>
    </row>
    <row r="341" spans="1:68">
      <c r="A341" s="301" t="s">
        <v>47</v>
      </c>
      <c r="B341" s="308">
        <f>'Monthly D6 Gallon Data'!$S8</f>
        <v>0</v>
      </c>
      <c r="C341" s="308">
        <f>'Monthly D6 Gallon Data'!$S20</f>
        <v>0</v>
      </c>
      <c r="D341" s="308">
        <f>'Monthly D6 Gallon Data'!$S32</f>
        <v>0</v>
      </c>
      <c r="E341" s="308">
        <f>'Monthly D6 Gallon Data'!$S44</f>
        <v>0</v>
      </c>
      <c r="F341" s="308">
        <f>'Monthly D6 Gallon Data'!$S56</f>
        <v>0</v>
      </c>
      <c r="G341" s="308">
        <f>'Monthly D6 Gallon Data'!$S68</f>
        <v>0</v>
      </c>
      <c r="H341" s="308">
        <f>'Monthly D6 Gallon Data'!$S80</f>
        <v>0</v>
      </c>
      <c r="I341" s="308">
        <f>'Monthly D6 Gallon Data'!$S92</f>
        <v>0</v>
      </c>
      <c r="J341" s="308">
        <f>'Monthly D6 Gallon Data'!$S104</f>
        <v>0</v>
      </c>
      <c r="K341" s="308">
        <f>'Monthly D6 Gallon Data'!$S116</f>
        <v>0</v>
      </c>
      <c r="L341" s="308">
        <f>'Monthly D6 Gallon Data'!$S128</f>
        <v>0</v>
      </c>
      <c r="M341" s="308">
        <f>'Monthly D6 Gallon Data'!$S140</f>
        <v>0</v>
      </c>
      <c r="N341" s="308">
        <f>'Monthly D6 Gallon Data'!$S152</f>
        <v>0</v>
      </c>
      <c r="O341" s="308">
        <f>'Monthly D6 Gallon Data'!$S164</f>
        <v>0</v>
      </c>
      <c r="P341" s="308">
        <f>'Monthly D6 Gallon Data'!$S176</f>
        <v>200512</v>
      </c>
      <c r="Q341" s="307">
        <f t="shared" si="258"/>
        <v>15096.456643631451</v>
      </c>
      <c r="R341" s="307">
        <f t="shared" si="257"/>
        <v>188705.74276725037</v>
      </c>
      <c r="S341" s="307">
        <f t="shared" si="252"/>
        <v>943528.7259134195</v>
      </c>
      <c r="T341" s="307">
        <f t="shared" si="252"/>
        <v>943528.72591341927</v>
      </c>
      <c r="U341" s="307">
        <f t="shared" si="252"/>
        <v>1024322.8743369401</v>
      </c>
      <c r="V341" s="307">
        <f t="shared" si="252"/>
        <v>968651.28454741836</v>
      </c>
      <c r="W341" s="307">
        <f t="shared" si="252"/>
        <v>968746.98951391422</v>
      </c>
      <c r="X341" s="307">
        <f t="shared" si="252"/>
        <v>969755.7200450222</v>
      </c>
      <c r="Y341" s="307">
        <f t="shared" si="252"/>
        <v>975001.11887134274</v>
      </c>
      <c r="Z341" s="307">
        <f t="shared" si="252"/>
        <v>981295.59746292746</v>
      </c>
      <c r="AA341" s="307">
        <f t="shared" si="253"/>
        <v>972690.14208812488</v>
      </c>
      <c r="AB341" s="307">
        <f t="shared" si="254"/>
        <v>973497.9135962663</v>
      </c>
      <c r="AC341" s="307">
        <f t="shared" si="254"/>
        <v>974448.09841273667</v>
      </c>
      <c r="AD341" s="307">
        <f t="shared" si="254"/>
        <v>975386.57408627961</v>
      </c>
      <c r="AE341" s="307">
        <f t="shared" si="254"/>
        <v>975463.66512926703</v>
      </c>
      <c r="AF341" s="307">
        <f t="shared" si="254"/>
        <v>974297.27866253478</v>
      </c>
      <c r="AG341" s="307">
        <f t="shared" si="254"/>
        <v>974618.70597741695</v>
      </c>
      <c r="AH341" s="307">
        <f t="shared" si="254"/>
        <v>974842.87225239002</v>
      </c>
      <c r="AI341" s="307">
        <f t="shared" si="254"/>
        <v>974921.83326045191</v>
      </c>
      <c r="AJ341" s="307">
        <f t="shared" si="254"/>
        <v>974828.88977312646</v>
      </c>
      <c r="AK341" s="307">
        <f t="shared" si="254"/>
        <v>974701.93781850673</v>
      </c>
      <c r="AL341" s="307">
        <f t="shared" si="254"/>
        <v>974782.87121116649</v>
      </c>
      <c r="AM341" s="307">
        <f t="shared" si="254"/>
        <v>974815.70425870409</v>
      </c>
      <c r="AN341" s="307">
        <f t="shared" si="254"/>
        <v>974810.27065983647</v>
      </c>
      <c r="AO341" s="307">
        <f t="shared" si="254"/>
        <v>974787.95813917764</v>
      </c>
      <c r="AP341" s="307">
        <f t="shared" si="254"/>
        <v>974779.77181219112</v>
      </c>
      <c r="AQ341" s="307">
        <f t="shared" si="254"/>
        <v>974795.33861130138</v>
      </c>
      <c r="AR341" s="307"/>
      <c r="AS341" s="307"/>
      <c r="AT341" s="307"/>
      <c r="AU341" s="307"/>
      <c r="AV341" s="307"/>
      <c r="AW341" s="307"/>
      <c r="AX341" s="307"/>
      <c r="AY341" s="307"/>
      <c r="AZ341" s="307"/>
      <c r="BA341" s="307"/>
      <c r="BB341" s="307"/>
      <c r="BC341" s="308"/>
      <c r="BM341" s="308">
        <v>200512</v>
      </c>
      <c r="BN341" s="308">
        <f t="shared" si="255"/>
        <v>0</v>
      </c>
      <c r="BO341" s="308">
        <v>75482.295295324977</v>
      </c>
      <c r="BP341" s="308">
        <f t="shared" si="256"/>
        <v>60385.838651693528</v>
      </c>
    </row>
    <row r="342" spans="1:68">
      <c r="A342" s="301" t="s">
        <v>48</v>
      </c>
      <c r="B342" s="308">
        <f>'Monthly D6 Gallon Data'!$S9</f>
        <v>0</v>
      </c>
      <c r="C342" s="308">
        <f>'Monthly D6 Gallon Data'!$S21</f>
        <v>0</v>
      </c>
      <c r="D342" s="308">
        <f>'Monthly D6 Gallon Data'!$S33</f>
        <v>0</v>
      </c>
      <c r="E342" s="308">
        <f>'Monthly D6 Gallon Data'!$S45</f>
        <v>0</v>
      </c>
      <c r="F342" s="308">
        <f>'Monthly D6 Gallon Data'!$S57</f>
        <v>0</v>
      </c>
      <c r="G342" s="308">
        <f>'Monthly D6 Gallon Data'!$S69</f>
        <v>0</v>
      </c>
      <c r="H342" s="308">
        <f>'Monthly D6 Gallon Data'!$S81</f>
        <v>0</v>
      </c>
      <c r="I342" s="308">
        <f>'Monthly D6 Gallon Data'!$S93</f>
        <v>0</v>
      </c>
      <c r="J342" s="308">
        <f>'Monthly D6 Gallon Data'!$S105</f>
        <v>0</v>
      </c>
      <c r="K342" s="308">
        <f>'Monthly D6 Gallon Data'!$S117</f>
        <v>0</v>
      </c>
      <c r="L342" s="308">
        <f>'Monthly D6 Gallon Data'!$S129</f>
        <v>0</v>
      </c>
      <c r="M342" s="308">
        <f>'Monthly D6 Gallon Data'!$S141</f>
        <v>0</v>
      </c>
      <c r="N342" s="308">
        <f>'Monthly D6 Gallon Data'!$S153</f>
        <v>0</v>
      </c>
      <c r="O342" s="308">
        <f>'Monthly D6 Gallon Data'!$S165</f>
        <v>0</v>
      </c>
      <c r="P342" s="308">
        <f>'Monthly D6 Gallon Data'!$S177</f>
        <v>0</v>
      </c>
      <c r="Q342" s="307">
        <f t="shared" si="258"/>
        <v>0</v>
      </c>
      <c r="R342" s="307">
        <f t="shared" si="257"/>
        <v>0</v>
      </c>
      <c r="S342" s="307">
        <f t="shared" si="252"/>
        <v>0</v>
      </c>
      <c r="T342" s="307">
        <f t="shared" si="252"/>
        <v>0</v>
      </c>
      <c r="U342" s="307">
        <f t="shared" si="252"/>
        <v>0</v>
      </c>
      <c r="V342" s="307">
        <f t="shared" si="252"/>
        <v>0</v>
      </c>
      <c r="W342" s="307">
        <f t="shared" si="252"/>
        <v>0</v>
      </c>
      <c r="X342" s="307">
        <f t="shared" si="252"/>
        <v>0</v>
      </c>
      <c r="Y342" s="307">
        <f t="shared" si="252"/>
        <v>0</v>
      </c>
      <c r="Z342" s="307">
        <f t="shared" si="252"/>
        <v>0</v>
      </c>
      <c r="AA342" s="307">
        <f t="shared" si="253"/>
        <v>0</v>
      </c>
      <c r="AB342" s="307">
        <f t="shared" si="254"/>
        <v>0</v>
      </c>
      <c r="AC342" s="307">
        <f t="shared" si="254"/>
        <v>0</v>
      </c>
      <c r="AD342" s="307">
        <f t="shared" si="254"/>
        <v>0</v>
      </c>
      <c r="AE342" s="307">
        <f t="shared" si="254"/>
        <v>0</v>
      </c>
      <c r="AF342" s="307">
        <f t="shared" si="254"/>
        <v>0</v>
      </c>
      <c r="AG342" s="307">
        <f t="shared" si="254"/>
        <v>0</v>
      </c>
      <c r="AH342" s="307">
        <f t="shared" si="254"/>
        <v>0</v>
      </c>
      <c r="AI342" s="307">
        <f t="shared" si="254"/>
        <v>0</v>
      </c>
      <c r="AJ342" s="307">
        <f t="shared" si="254"/>
        <v>0</v>
      </c>
      <c r="AK342" s="307">
        <f t="shared" si="254"/>
        <v>0</v>
      </c>
      <c r="AL342" s="307">
        <f t="shared" si="254"/>
        <v>0</v>
      </c>
      <c r="AM342" s="307">
        <f t="shared" si="254"/>
        <v>0</v>
      </c>
      <c r="AN342" s="307">
        <f t="shared" si="254"/>
        <v>0</v>
      </c>
      <c r="AO342" s="307">
        <f t="shared" si="254"/>
        <v>0</v>
      </c>
      <c r="AP342" s="307">
        <f t="shared" si="254"/>
        <v>0</v>
      </c>
      <c r="AQ342" s="307">
        <f t="shared" si="254"/>
        <v>0</v>
      </c>
      <c r="AR342" s="307"/>
      <c r="AS342" s="307"/>
      <c r="AT342" s="307"/>
      <c r="AU342" s="307"/>
      <c r="AV342" s="307"/>
      <c r="AW342" s="307"/>
      <c r="AX342" s="307"/>
      <c r="AY342" s="307"/>
      <c r="AZ342" s="307"/>
      <c r="BA342" s="307"/>
      <c r="BB342" s="307"/>
      <c r="BC342" s="308"/>
      <c r="BM342" s="308">
        <v>0</v>
      </c>
      <c r="BN342" s="308">
        <f t="shared" si="255"/>
        <v>0</v>
      </c>
      <c r="BO342" s="308">
        <v>0</v>
      </c>
      <c r="BP342" s="308">
        <f t="shared" si="256"/>
        <v>0</v>
      </c>
    </row>
    <row r="343" spans="1:68">
      <c r="A343" s="301" t="s">
        <v>49</v>
      </c>
      <c r="B343" s="308">
        <f>'Monthly D6 Gallon Data'!$S10</f>
        <v>0</v>
      </c>
      <c r="C343" s="308">
        <f>'Monthly D6 Gallon Data'!$S22</f>
        <v>0</v>
      </c>
      <c r="D343" s="308">
        <f>'Monthly D6 Gallon Data'!$S34</f>
        <v>0</v>
      </c>
      <c r="E343" s="308">
        <f>'Monthly D6 Gallon Data'!$S46</f>
        <v>0</v>
      </c>
      <c r="F343" s="308">
        <f>'Monthly D6 Gallon Data'!$S58</f>
        <v>0</v>
      </c>
      <c r="G343" s="308">
        <f>'Monthly D6 Gallon Data'!$S70</f>
        <v>0</v>
      </c>
      <c r="H343" s="308">
        <f>'Monthly D6 Gallon Data'!$S82</f>
        <v>0</v>
      </c>
      <c r="I343" s="308">
        <f>'Monthly D6 Gallon Data'!$S94</f>
        <v>0</v>
      </c>
      <c r="J343" s="308">
        <f>'Monthly D6 Gallon Data'!$S106</f>
        <v>0</v>
      </c>
      <c r="K343" s="308">
        <f>'Monthly D6 Gallon Data'!$S118</f>
        <v>0</v>
      </c>
      <c r="L343" s="308">
        <f>'Monthly D6 Gallon Data'!$S130</f>
        <v>0</v>
      </c>
      <c r="M343" s="308">
        <f>'Monthly D6 Gallon Data'!$S142</f>
        <v>0</v>
      </c>
      <c r="N343" s="308">
        <f>'Monthly D6 Gallon Data'!$S154</f>
        <v>0</v>
      </c>
      <c r="O343" s="308">
        <f>'Monthly D6 Gallon Data'!$S166</f>
        <v>0</v>
      </c>
      <c r="P343" s="308">
        <f>'Monthly D6 Gallon Data'!$S178</f>
        <v>0</v>
      </c>
      <c r="Q343" s="307">
        <f t="shared" si="258"/>
        <v>0</v>
      </c>
      <c r="R343" s="307">
        <f t="shared" si="257"/>
        <v>0</v>
      </c>
      <c r="S343" s="307">
        <f t="shared" si="252"/>
        <v>0</v>
      </c>
      <c r="T343" s="307">
        <f t="shared" si="252"/>
        <v>0</v>
      </c>
      <c r="U343" s="307">
        <f t="shared" si="252"/>
        <v>0</v>
      </c>
      <c r="V343" s="307">
        <f t="shared" si="252"/>
        <v>0</v>
      </c>
      <c r="W343" s="307">
        <f t="shared" si="252"/>
        <v>0</v>
      </c>
      <c r="X343" s="307">
        <f t="shared" si="252"/>
        <v>0</v>
      </c>
      <c r="Y343" s="307">
        <f t="shared" si="252"/>
        <v>0</v>
      </c>
      <c r="Z343" s="307">
        <f t="shared" si="252"/>
        <v>0</v>
      </c>
      <c r="AA343" s="307">
        <f t="shared" si="253"/>
        <v>0</v>
      </c>
      <c r="AB343" s="307">
        <f t="shared" si="254"/>
        <v>0</v>
      </c>
      <c r="AC343" s="307">
        <f t="shared" si="254"/>
        <v>0</v>
      </c>
      <c r="AD343" s="307">
        <f t="shared" si="254"/>
        <v>0</v>
      </c>
      <c r="AE343" s="307">
        <f t="shared" si="254"/>
        <v>0</v>
      </c>
      <c r="AF343" s="307">
        <f t="shared" si="254"/>
        <v>0</v>
      </c>
      <c r="AG343" s="307">
        <f t="shared" si="254"/>
        <v>0</v>
      </c>
      <c r="AH343" s="307">
        <f t="shared" si="254"/>
        <v>0</v>
      </c>
      <c r="AI343" s="307">
        <f t="shared" si="254"/>
        <v>0</v>
      </c>
      <c r="AJ343" s="307">
        <f t="shared" si="254"/>
        <v>0</v>
      </c>
      <c r="AK343" s="307">
        <f t="shared" si="254"/>
        <v>0</v>
      </c>
      <c r="AL343" s="307">
        <f t="shared" si="254"/>
        <v>0</v>
      </c>
      <c r="AM343" s="307">
        <f t="shared" si="254"/>
        <v>0</v>
      </c>
      <c r="AN343" s="307">
        <f t="shared" si="254"/>
        <v>0</v>
      </c>
      <c r="AO343" s="307">
        <f t="shared" si="254"/>
        <v>0</v>
      </c>
      <c r="AP343" s="307">
        <f t="shared" si="254"/>
        <v>0</v>
      </c>
      <c r="AQ343" s="307">
        <f t="shared" si="254"/>
        <v>0</v>
      </c>
      <c r="AR343" s="307"/>
      <c r="AS343" s="307"/>
      <c r="AT343" s="307"/>
      <c r="AU343" s="307"/>
      <c r="AV343" s="307"/>
      <c r="AW343" s="307"/>
      <c r="AX343" s="307"/>
      <c r="AY343" s="307"/>
      <c r="AZ343" s="307"/>
      <c r="BA343" s="307"/>
      <c r="BB343" s="307"/>
      <c r="BC343" s="308"/>
      <c r="BM343" s="309">
        <v>0</v>
      </c>
      <c r="BN343" s="308">
        <f t="shared" si="255"/>
        <v>0</v>
      </c>
      <c r="BO343" s="308">
        <v>0</v>
      </c>
      <c r="BP343" s="308">
        <f t="shared" si="256"/>
        <v>0</v>
      </c>
    </row>
    <row r="344" spans="1:68">
      <c r="A344" s="301" t="s">
        <v>50</v>
      </c>
      <c r="B344" s="308">
        <f>'Monthly D6 Gallon Data'!$S11</f>
        <v>0</v>
      </c>
      <c r="C344" s="308">
        <f>'Monthly D6 Gallon Data'!$S23</f>
        <v>0</v>
      </c>
      <c r="D344" s="308">
        <f>'Monthly D6 Gallon Data'!$S35</f>
        <v>0</v>
      </c>
      <c r="E344" s="308">
        <f>'Monthly D6 Gallon Data'!$S47</f>
        <v>0</v>
      </c>
      <c r="F344" s="308">
        <f>'Monthly D6 Gallon Data'!$S59</f>
        <v>0</v>
      </c>
      <c r="G344" s="308">
        <f>'Monthly D6 Gallon Data'!$S71</f>
        <v>0</v>
      </c>
      <c r="H344" s="308">
        <f>'Monthly D6 Gallon Data'!$S83</f>
        <v>0</v>
      </c>
      <c r="I344" s="308">
        <f>'Monthly D6 Gallon Data'!$S95</f>
        <v>0</v>
      </c>
      <c r="J344" s="308">
        <f>'Monthly D6 Gallon Data'!$S107</f>
        <v>0</v>
      </c>
      <c r="K344" s="308">
        <f>'Monthly D6 Gallon Data'!$S119</f>
        <v>0</v>
      </c>
      <c r="L344" s="308">
        <f>'Monthly D6 Gallon Data'!$S131</f>
        <v>0</v>
      </c>
      <c r="M344" s="308">
        <f>'Monthly D6 Gallon Data'!$S143</f>
        <v>0</v>
      </c>
      <c r="N344" s="308">
        <f>'Monthly D6 Gallon Data'!$S155</f>
        <v>0</v>
      </c>
      <c r="O344" s="308">
        <f>'Monthly D6 Gallon Data'!$S167</f>
        <v>11009299</v>
      </c>
      <c r="P344" s="308">
        <f>'Monthly D6 Gallon Data'!$S179</f>
        <v>0</v>
      </c>
      <c r="Q344" s="307">
        <f t="shared" si="258"/>
        <v>828885.07934824401</v>
      </c>
      <c r="R344" s="307">
        <f t="shared" si="257"/>
        <v>10361065.398289112</v>
      </c>
      <c r="S344" s="307">
        <f t="shared" si="252"/>
        <v>51805327.654553756</v>
      </c>
      <c r="T344" s="307">
        <f t="shared" si="252"/>
        <v>51805327.654553756</v>
      </c>
      <c r="U344" s="307">
        <f t="shared" si="252"/>
        <v>51319866.173425339</v>
      </c>
      <c r="V344" s="307">
        <f t="shared" si="252"/>
        <v>51654375.701198608</v>
      </c>
      <c r="W344" s="307">
        <f t="shared" si="252"/>
        <v>51653800.646251023</v>
      </c>
      <c r="X344" s="307">
        <f t="shared" si="252"/>
        <v>51647739.565996498</v>
      </c>
      <c r="Y344" s="307">
        <f t="shared" si="252"/>
        <v>51616221.948285043</v>
      </c>
      <c r="Z344" s="307">
        <f t="shared" si="252"/>
        <v>51578400.807031304</v>
      </c>
      <c r="AA344" s="307">
        <f t="shared" si="253"/>
        <v>51630107.733752489</v>
      </c>
      <c r="AB344" s="307">
        <f t="shared" si="254"/>
        <v>51625254.140263274</v>
      </c>
      <c r="AC344" s="307">
        <f t="shared" si="254"/>
        <v>51619544.839065716</v>
      </c>
      <c r="AD344" s="307">
        <f t="shared" si="254"/>
        <v>51613905.893679567</v>
      </c>
      <c r="AE344" s="307">
        <f t="shared" si="254"/>
        <v>51613442.682758473</v>
      </c>
      <c r="AF344" s="307">
        <f t="shared" si="254"/>
        <v>51620451.057903901</v>
      </c>
      <c r="AG344" s="307">
        <f t="shared" si="254"/>
        <v>51618519.722734183</v>
      </c>
      <c r="AH344" s="307">
        <f t="shared" si="254"/>
        <v>51617173.252165757</v>
      </c>
      <c r="AI344" s="307">
        <f t="shared" si="254"/>
        <v>51616699.265128843</v>
      </c>
      <c r="AJ344" s="307">
        <f t="shared" si="254"/>
        <v>51617258.187189564</v>
      </c>
      <c r="AK344" s="307">
        <f t="shared" si="254"/>
        <v>51618021.453268103</v>
      </c>
      <c r="AL344" s="307">
        <f t="shared" si="254"/>
        <v>51617535.614918098</v>
      </c>
      <c r="AM344" s="307">
        <f t="shared" si="254"/>
        <v>51617338.793350153</v>
      </c>
      <c r="AN344" s="307">
        <f t="shared" si="254"/>
        <v>51617371.901587807</v>
      </c>
      <c r="AO344" s="307">
        <f t="shared" si="254"/>
        <v>51617506.428882822</v>
      </c>
      <c r="AP344" s="307">
        <f t="shared" si="254"/>
        <v>51617556.07722266</v>
      </c>
      <c r="AQ344" s="307">
        <f t="shared" si="254"/>
        <v>51617463.002011321</v>
      </c>
      <c r="AR344" s="307"/>
      <c r="AS344" s="307"/>
      <c r="AT344" s="307"/>
      <c r="AU344" s="307"/>
      <c r="AV344" s="307"/>
      <c r="AW344" s="307"/>
      <c r="AX344" s="307"/>
      <c r="AY344" s="307"/>
      <c r="AZ344" s="307"/>
      <c r="BA344" s="307"/>
      <c r="BB344" s="307"/>
      <c r="BC344" s="308"/>
      <c r="BM344" s="309">
        <v>0</v>
      </c>
      <c r="BN344" s="308">
        <f t="shared" si="255"/>
        <v>0</v>
      </c>
      <c r="BO344" s="308">
        <v>4144426.0598494154</v>
      </c>
      <c r="BP344" s="308">
        <f t="shared" si="256"/>
        <v>3315540.9805011712</v>
      </c>
    </row>
    <row r="345" spans="1:68">
      <c r="A345" s="301" t="s">
        <v>51</v>
      </c>
      <c r="B345" s="308">
        <f>'Monthly D6 Gallon Data'!$S12</f>
        <v>0</v>
      </c>
      <c r="C345" s="308">
        <f>'Monthly D6 Gallon Data'!$S24</f>
        <v>0</v>
      </c>
      <c r="D345" s="308">
        <f>'Monthly D6 Gallon Data'!$S36</f>
        <v>0</v>
      </c>
      <c r="E345" s="308">
        <f>'Monthly D6 Gallon Data'!$S48</f>
        <v>0</v>
      </c>
      <c r="F345" s="308">
        <f>'Monthly D6 Gallon Data'!$S60</f>
        <v>0</v>
      </c>
      <c r="G345" s="308">
        <f>'Monthly D6 Gallon Data'!$S72</f>
        <v>0</v>
      </c>
      <c r="H345" s="308">
        <f>'Monthly D6 Gallon Data'!$S84</f>
        <v>0</v>
      </c>
      <c r="I345" s="308">
        <f>'Monthly D6 Gallon Data'!$S96</f>
        <v>0</v>
      </c>
      <c r="J345" s="308">
        <f>'Monthly D6 Gallon Data'!$S108</f>
        <v>0</v>
      </c>
      <c r="K345" s="308">
        <f>'Monthly D6 Gallon Data'!$S120</f>
        <v>0</v>
      </c>
      <c r="L345" s="308">
        <f>'Monthly D6 Gallon Data'!$S132</f>
        <v>0</v>
      </c>
      <c r="M345" s="308">
        <f>'Monthly D6 Gallon Data'!$S144</f>
        <v>0</v>
      </c>
      <c r="N345" s="308">
        <f>'Monthly D6 Gallon Data'!$S156</f>
        <v>0</v>
      </c>
      <c r="O345" s="308">
        <f>'Monthly D6 Gallon Data'!$S168</f>
        <v>0</v>
      </c>
      <c r="P345" s="308">
        <f>'Monthly D6 Gallon Data'!$S180</f>
        <v>0</v>
      </c>
      <c r="Q345" s="307">
        <f t="shared" si="258"/>
        <v>0</v>
      </c>
      <c r="R345" s="307">
        <f t="shared" si="257"/>
        <v>0</v>
      </c>
      <c r="S345" s="307">
        <f t="shared" si="252"/>
        <v>0</v>
      </c>
      <c r="T345" s="307">
        <f t="shared" si="252"/>
        <v>0</v>
      </c>
      <c r="U345" s="307">
        <f t="shared" si="252"/>
        <v>0</v>
      </c>
      <c r="V345" s="307">
        <f t="shared" si="252"/>
        <v>0</v>
      </c>
      <c r="W345" s="307">
        <f t="shared" si="252"/>
        <v>0</v>
      </c>
      <c r="X345" s="307">
        <f t="shared" si="252"/>
        <v>0</v>
      </c>
      <c r="Y345" s="307">
        <f t="shared" si="252"/>
        <v>0</v>
      </c>
      <c r="Z345" s="307">
        <f t="shared" si="252"/>
        <v>0</v>
      </c>
      <c r="AA345" s="307">
        <f t="shared" si="253"/>
        <v>0</v>
      </c>
      <c r="AB345" s="307">
        <f t="shared" si="254"/>
        <v>0</v>
      </c>
      <c r="AC345" s="307">
        <f t="shared" si="254"/>
        <v>0</v>
      </c>
      <c r="AD345" s="307">
        <f t="shared" si="254"/>
        <v>0</v>
      </c>
      <c r="AE345" s="307">
        <f t="shared" si="254"/>
        <v>0</v>
      </c>
      <c r="AF345" s="307">
        <f t="shared" si="254"/>
        <v>0</v>
      </c>
      <c r="AG345" s="307">
        <f t="shared" si="254"/>
        <v>0</v>
      </c>
      <c r="AH345" s="307">
        <f t="shared" si="254"/>
        <v>0</v>
      </c>
      <c r="AI345" s="307">
        <f t="shared" si="254"/>
        <v>0</v>
      </c>
      <c r="AJ345" s="307">
        <f t="shared" si="254"/>
        <v>0</v>
      </c>
      <c r="AK345" s="307">
        <f t="shared" si="254"/>
        <v>0</v>
      </c>
      <c r="AL345" s="307">
        <f t="shared" si="254"/>
        <v>0</v>
      </c>
      <c r="AM345" s="307">
        <f t="shared" si="254"/>
        <v>0</v>
      </c>
      <c r="AN345" s="307">
        <f t="shared" si="254"/>
        <v>0</v>
      </c>
      <c r="AO345" s="307">
        <f t="shared" si="254"/>
        <v>0</v>
      </c>
      <c r="AP345" s="307">
        <f t="shared" si="254"/>
        <v>0</v>
      </c>
      <c r="AQ345" s="307">
        <f t="shared" si="254"/>
        <v>0</v>
      </c>
      <c r="AR345" s="307"/>
      <c r="AS345" s="307"/>
      <c r="AT345" s="307"/>
      <c r="AU345" s="307"/>
      <c r="AV345" s="307"/>
      <c r="AW345" s="307"/>
      <c r="AX345" s="307"/>
      <c r="AY345" s="307"/>
      <c r="AZ345" s="307"/>
      <c r="BA345" s="307"/>
      <c r="BB345" s="307"/>
      <c r="BC345" s="308"/>
      <c r="BM345" s="309">
        <v>0</v>
      </c>
      <c r="BN345" s="308">
        <f t="shared" si="255"/>
        <v>0</v>
      </c>
      <c r="BO345" s="308">
        <v>0</v>
      </c>
      <c r="BP345" s="308">
        <f t="shared" si="256"/>
        <v>0</v>
      </c>
    </row>
    <row r="346" spans="1:68">
      <c r="A346" s="301" t="s">
        <v>52</v>
      </c>
      <c r="B346" s="308">
        <f>'Monthly D6 Gallon Data'!$S13</f>
        <v>0</v>
      </c>
      <c r="C346" s="308">
        <f>'Monthly D6 Gallon Data'!$S25</f>
        <v>0</v>
      </c>
      <c r="D346" s="308">
        <f>'Monthly D6 Gallon Data'!$S37</f>
        <v>0</v>
      </c>
      <c r="E346" s="308">
        <f>'Monthly D6 Gallon Data'!$S49</f>
        <v>0</v>
      </c>
      <c r="F346" s="308">
        <f>'Monthly D6 Gallon Data'!$S61</f>
        <v>0</v>
      </c>
      <c r="G346" s="308">
        <f>'Monthly D6 Gallon Data'!$S73</f>
        <v>0</v>
      </c>
      <c r="H346" s="308">
        <f>'Monthly D6 Gallon Data'!$S85</f>
        <v>0</v>
      </c>
      <c r="I346" s="308">
        <f>'Monthly D6 Gallon Data'!$S97</f>
        <v>0</v>
      </c>
      <c r="J346" s="308">
        <f>'Monthly D6 Gallon Data'!$S109</f>
        <v>0</v>
      </c>
      <c r="K346" s="308">
        <f>'Monthly D6 Gallon Data'!$S121</f>
        <v>0</v>
      </c>
      <c r="L346" s="308">
        <f>'Monthly D6 Gallon Data'!$S133</f>
        <v>0</v>
      </c>
      <c r="M346" s="308">
        <f>'Monthly D6 Gallon Data'!$S145</f>
        <v>0</v>
      </c>
      <c r="N346" s="308">
        <f>'Monthly D6 Gallon Data'!$S157</f>
        <v>0</v>
      </c>
      <c r="O346" s="308">
        <f>'Monthly D6 Gallon Data'!$S169</f>
        <v>5967357</v>
      </c>
      <c r="P346" s="308">
        <f>'Monthly D6 Gallon Data'!$S181</f>
        <v>0</v>
      </c>
      <c r="Q346" s="307">
        <f t="shared" si="258"/>
        <v>449279.57542476582</v>
      </c>
      <c r="R346" s="307">
        <f t="shared" si="257"/>
        <v>5615995.7261528028</v>
      </c>
      <c r="S346" s="307">
        <f t="shared" si="252"/>
        <v>28079978.990187742</v>
      </c>
      <c r="T346" s="307">
        <f t="shared" si="252"/>
        <v>28079978.990187742</v>
      </c>
      <c r="U346" s="307">
        <f t="shared" si="252"/>
        <v>27816844.891673204</v>
      </c>
      <c r="V346" s="307">
        <f t="shared" si="252"/>
        <v>27998158.685778029</v>
      </c>
      <c r="W346" s="307">
        <f t="shared" si="252"/>
        <v>27997846.989441428</v>
      </c>
      <c r="X346" s="307">
        <f t="shared" si="252"/>
        <v>27994561.709453627</v>
      </c>
      <c r="Y346" s="307">
        <f t="shared" si="252"/>
        <v>27977478.253306806</v>
      </c>
      <c r="Z346" s="307">
        <f t="shared" si="252"/>
        <v>27956978.105930615</v>
      </c>
      <c r="AA346" s="307">
        <f t="shared" si="253"/>
        <v>27985004.748782102</v>
      </c>
      <c r="AB346" s="307">
        <f t="shared" si="254"/>
        <v>27982373.961382911</v>
      </c>
      <c r="AC346" s="307">
        <f t="shared" si="254"/>
        <v>27979279.355771206</v>
      </c>
      <c r="AD346" s="307">
        <f t="shared" si="254"/>
        <v>27976222.885034725</v>
      </c>
      <c r="AE346" s="307">
        <f t="shared" si="254"/>
        <v>27975971.811380312</v>
      </c>
      <c r="AF346" s="307">
        <f t="shared" si="254"/>
        <v>27979770.552470248</v>
      </c>
      <c r="AG346" s="307">
        <f t="shared" si="254"/>
        <v>27978723.713207882</v>
      </c>
      <c r="AH346" s="307">
        <f t="shared" si="254"/>
        <v>27977993.887396827</v>
      </c>
      <c r="AI346" s="307">
        <f t="shared" si="254"/>
        <v>27977736.972777404</v>
      </c>
      <c r="AJ346" s="307">
        <f t="shared" si="254"/>
        <v>27978039.924624886</v>
      </c>
      <c r="AK346" s="307">
        <f t="shared" si="254"/>
        <v>27978453.636812791</v>
      </c>
      <c r="AL346" s="307">
        <f t="shared" si="254"/>
        <v>27978190.298440505</v>
      </c>
      <c r="AM346" s="307">
        <f t="shared" si="254"/>
        <v>27978083.615484461</v>
      </c>
      <c r="AN346" s="307">
        <f t="shared" si="254"/>
        <v>27978101.561102409</v>
      </c>
      <c r="AO346" s="307">
        <f t="shared" si="254"/>
        <v>27978174.478769153</v>
      </c>
      <c r="AP346" s="307">
        <f t="shared" si="254"/>
        <v>27978201.389598645</v>
      </c>
      <c r="AQ346" s="307">
        <f t="shared" si="254"/>
        <v>27978150.940154605</v>
      </c>
      <c r="AR346" s="307"/>
      <c r="AS346" s="307"/>
      <c r="AT346" s="307"/>
      <c r="AU346" s="307"/>
      <c r="AV346" s="307"/>
      <c r="AW346" s="307"/>
      <c r="AX346" s="307"/>
      <c r="AY346" s="307"/>
      <c r="AZ346" s="307"/>
      <c r="BA346" s="307"/>
      <c r="BB346" s="307"/>
      <c r="BC346" s="308"/>
      <c r="BM346" s="309">
        <v>0</v>
      </c>
      <c r="BN346" s="308">
        <f t="shared" si="255"/>
        <v>0</v>
      </c>
      <c r="BO346" s="308">
        <v>2246398.2365475609</v>
      </c>
      <c r="BP346" s="308">
        <f t="shared" si="256"/>
        <v>1797118.6611227952</v>
      </c>
    </row>
    <row r="347" spans="1:68">
      <c r="A347" s="301" t="s">
        <v>53</v>
      </c>
      <c r="B347" s="308">
        <f>'Monthly D6 Gallon Data'!$S14</f>
        <v>0</v>
      </c>
      <c r="C347" s="308">
        <f>'Monthly D6 Gallon Data'!$S26</f>
        <v>0</v>
      </c>
      <c r="D347" s="308">
        <f>'Monthly D6 Gallon Data'!$S38</f>
        <v>0</v>
      </c>
      <c r="E347" s="308">
        <f>'Monthly D6 Gallon Data'!$S50</f>
        <v>0</v>
      </c>
      <c r="F347" s="308">
        <f>'Monthly D6 Gallon Data'!$S62</f>
        <v>0</v>
      </c>
      <c r="G347" s="308">
        <f>'Monthly D6 Gallon Data'!$S74</f>
        <v>0</v>
      </c>
      <c r="H347" s="308">
        <f>'Monthly D6 Gallon Data'!$S86</f>
        <v>0</v>
      </c>
      <c r="I347" s="308">
        <f>'Monthly D6 Gallon Data'!$S98</f>
        <v>0</v>
      </c>
      <c r="J347" s="308">
        <f>'Monthly D6 Gallon Data'!$S110</f>
        <v>0</v>
      </c>
      <c r="K347" s="308">
        <f>'Monthly D6 Gallon Data'!$S122</f>
        <v>0</v>
      </c>
      <c r="L347" s="308">
        <f>'Monthly D6 Gallon Data'!$S134</f>
        <v>0</v>
      </c>
      <c r="M347" s="308">
        <f>'Monthly D6 Gallon Data'!$S146</f>
        <v>0</v>
      </c>
      <c r="N347" s="308">
        <f>'Monthly D6 Gallon Data'!$S158</f>
        <v>0</v>
      </c>
      <c r="O347" s="308">
        <f>'Monthly D6 Gallon Data'!$S170</f>
        <v>6168983</v>
      </c>
      <c r="P347" s="308">
        <f>'Monthly D6 Gallon Data'!$S182</f>
        <v>0</v>
      </c>
      <c r="Q347" s="307">
        <f t="shared" si="258"/>
        <v>464459.90461817489</v>
      </c>
      <c r="R347" s="307">
        <f t="shared" si="257"/>
        <v>5805749.87598518</v>
      </c>
      <c r="S347" s="307">
        <f t="shared" si="252"/>
        <v>29028749.751493894</v>
      </c>
      <c r="T347" s="307">
        <f t="shared" si="252"/>
        <v>29028749.751493894</v>
      </c>
      <c r="U347" s="307">
        <f t="shared" si="252"/>
        <v>28756724.836534642</v>
      </c>
      <c r="V347" s="307">
        <f t="shared" si="252"/>
        <v>28944164.889727063</v>
      </c>
      <c r="W347" s="307">
        <f t="shared" si="252"/>
        <v>28943842.661745455</v>
      </c>
      <c r="X347" s="307">
        <f t="shared" si="252"/>
        <v>28940446.378198985</v>
      </c>
      <c r="Y347" s="307">
        <f t="shared" si="252"/>
        <v>28922785.703540009</v>
      </c>
      <c r="Z347" s="307">
        <f t="shared" si="252"/>
        <v>28901592.893949229</v>
      </c>
      <c r="AA347" s="307">
        <f t="shared" si="253"/>
        <v>28930566.505432144</v>
      </c>
      <c r="AB347" s="307">
        <f t="shared" si="254"/>
        <v>28927846.828573167</v>
      </c>
      <c r="AC347" s="307">
        <f t="shared" si="254"/>
        <v>28924647.661938701</v>
      </c>
      <c r="AD347" s="307">
        <f t="shared" si="254"/>
        <v>28921487.918686651</v>
      </c>
      <c r="AE347" s="307">
        <f t="shared" si="254"/>
        <v>28921228.361715976</v>
      </c>
      <c r="AF347" s="307">
        <f t="shared" si="254"/>
        <v>28925155.455269326</v>
      </c>
      <c r="AG347" s="307">
        <f t="shared" si="254"/>
        <v>28924073.245236766</v>
      </c>
      <c r="AH347" s="307">
        <f t="shared" si="254"/>
        <v>28923318.759956032</v>
      </c>
      <c r="AI347" s="307">
        <f t="shared" si="254"/>
        <v>28923053.164664909</v>
      </c>
      <c r="AJ347" s="307">
        <f t="shared" si="254"/>
        <v>28923366.35269722</v>
      </c>
      <c r="AK347" s="307">
        <f t="shared" si="254"/>
        <v>28923794.043457814</v>
      </c>
      <c r="AL347" s="307">
        <f t="shared" si="254"/>
        <v>28923521.807367045</v>
      </c>
      <c r="AM347" s="307">
        <f t="shared" si="254"/>
        <v>28923411.519790452</v>
      </c>
      <c r="AN347" s="307">
        <f t="shared" si="254"/>
        <v>28923430.071757775</v>
      </c>
      <c r="AO347" s="307">
        <f t="shared" si="254"/>
        <v>28923505.453178145</v>
      </c>
      <c r="AP347" s="307">
        <f t="shared" si="254"/>
        <v>28923533.273274995</v>
      </c>
      <c r="AQ347" s="307">
        <f t="shared" si="254"/>
        <v>28923481.119237177</v>
      </c>
      <c r="AR347" s="307"/>
      <c r="AS347" s="307"/>
      <c r="AT347" s="307"/>
      <c r="AU347" s="307"/>
      <c r="AV347" s="307"/>
      <c r="AW347" s="307"/>
      <c r="AX347" s="307"/>
      <c r="AY347" s="307"/>
      <c r="AZ347" s="307"/>
      <c r="BA347" s="307"/>
      <c r="BB347" s="307"/>
      <c r="BC347" s="308"/>
      <c r="BM347" s="309">
        <v>0</v>
      </c>
      <c r="BN347" s="308">
        <f t="shared" si="255"/>
        <v>0</v>
      </c>
      <c r="BO347" s="308">
        <v>2322299.8946588724</v>
      </c>
      <c r="BP347" s="308">
        <f t="shared" si="256"/>
        <v>1857839.9900406976</v>
      </c>
    </row>
    <row r="348" spans="1:68">
      <c r="A348" s="301" t="s">
        <v>54</v>
      </c>
      <c r="B348" s="308">
        <f>'Monthly D6 Gallon Data'!$S15</f>
        <v>0</v>
      </c>
      <c r="C348" s="308">
        <f>'Monthly D6 Gallon Data'!$S27</f>
        <v>0</v>
      </c>
      <c r="D348" s="308">
        <f>'Monthly D6 Gallon Data'!$S39</f>
        <v>0</v>
      </c>
      <c r="E348" s="308">
        <f>'Monthly D6 Gallon Data'!$S51</f>
        <v>0</v>
      </c>
      <c r="F348" s="308">
        <f>'Monthly D6 Gallon Data'!$S63</f>
        <v>0</v>
      </c>
      <c r="G348" s="308">
        <f>'Monthly D6 Gallon Data'!$S75</f>
        <v>0</v>
      </c>
      <c r="H348" s="308">
        <f>'Monthly D6 Gallon Data'!$S87</f>
        <v>0</v>
      </c>
      <c r="I348" s="308">
        <f>'Monthly D6 Gallon Data'!$S99</f>
        <v>0</v>
      </c>
      <c r="J348" s="308">
        <f>'Monthly D6 Gallon Data'!$S111</f>
        <v>0</v>
      </c>
      <c r="K348" s="308">
        <f>'Monthly D6 Gallon Data'!$S123</f>
        <v>0</v>
      </c>
      <c r="L348" s="308">
        <f>'Monthly D6 Gallon Data'!$S135</f>
        <v>0</v>
      </c>
      <c r="M348" s="308">
        <f>'Monthly D6 Gallon Data'!$S147</f>
        <v>0</v>
      </c>
      <c r="N348" s="308">
        <f>'Monthly D6 Gallon Data'!$S159</f>
        <v>0</v>
      </c>
      <c r="O348" s="308">
        <f>'Monthly D6 Gallon Data'!$S171</f>
        <v>798182</v>
      </c>
      <c r="P348" s="308">
        <f>'Monthly D6 Gallon Data'!$S183</f>
        <v>0</v>
      </c>
      <c r="Q348" s="336">
        <f>Q349-SUM(Q337:Q347)</f>
        <v>60094.757205189671</v>
      </c>
      <c r="R348" s="307">
        <f>R349-SUM(R337:R347)</f>
        <v>751184.60328284651</v>
      </c>
      <c r="S348" s="307">
        <f t="shared" ref="S348:AQ348" si="259">S349-SUM(S337:S347)</f>
        <v>3755923.0644900203</v>
      </c>
      <c r="T348" s="307">
        <f t="shared" si="259"/>
        <v>3755923.0644900203</v>
      </c>
      <c r="U348" s="307">
        <f t="shared" si="259"/>
        <v>3720726.7621705234</v>
      </c>
      <c r="V348" s="307">
        <f t="shared" si="259"/>
        <v>3744978.9406150281</v>
      </c>
      <c r="W348" s="307">
        <f t="shared" si="259"/>
        <v>3744937.2487227321</v>
      </c>
      <c r="X348" s="307">
        <f t="shared" si="259"/>
        <v>3744497.8160976768</v>
      </c>
      <c r="Y348" s="307">
        <f t="shared" si="259"/>
        <v>3742212.7664191872</v>
      </c>
      <c r="Z348" s="307">
        <f t="shared" si="259"/>
        <v>3739470.7068050355</v>
      </c>
      <c r="AA348" s="307">
        <f t="shared" si="259"/>
        <v>3743219.4957319498</v>
      </c>
      <c r="AB348" s="307">
        <f t="shared" si="259"/>
        <v>3742867.6067553163</v>
      </c>
      <c r="AC348" s="307">
        <f t="shared" si="259"/>
        <v>3742453.6783618629</v>
      </c>
      <c r="AD348" s="307">
        <f t="shared" si="259"/>
        <v>3742044.8508146703</v>
      </c>
      <c r="AE348" s="307">
        <f t="shared" si="259"/>
        <v>3742011.267693758</v>
      </c>
      <c r="AF348" s="307">
        <f t="shared" si="259"/>
        <v>3742519.3798715174</v>
      </c>
      <c r="AG348" s="307">
        <f t="shared" si="259"/>
        <v>3742379.356699422</v>
      </c>
      <c r="AH348" s="307">
        <f t="shared" si="259"/>
        <v>3742281.736626491</v>
      </c>
      <c r="AI348" s="307">
        <f t="shared" si="259"/>
        <v>3742247.3722295314</v>
      </c>
      <c r="AJ348" s="307">
        <f t="shared" si="259"/>
        <v>3742287.8944760859</v>
      </c>
      <c r="AK348" s="307">
        <f t="shared" si="259"/>
        <v>3742343.2318091094</v>
      </c>
      <c r="AL348" s="307">
        <f t="shared" si="259"/>
        <v>3742308.008183524</v>
      </c>
      <c r="AM348" s="307">
        <f t="shared" si="259"/>
        <v>3742293.7384799868</v>
      </c>
      <c r="AN348" s="307">
        <f t="shared" si="259"/>
        <v>3742296.1388507485</v>
      </c>
      <c r="AO348" s="307">
        <f t="shared" si="259"/>
        <v>3742305.8921752274</v>
      </c>
      <c r="AP348" s="307">
        <f t="shared" si="259"/>
        <v>3742309.4917151332</v>
      </c>
      <c r="AQ348" s="307">
        <f t="shared" si="259"/>
        <v>3742302.743696183</v>
      </c>
      <c r="AR348" s="307"/>
      <c r="AS348" s="307"/>
      <c r="AT348" s="307"/>
      <c r="AU348" s="307"/>
      <c r="AV348" s="307"/>
      <c r="AW348" s="307"/>
      <c r="AX348" s="307"/>
      <c r="AY348" s="307"/>
      <c r="AZ348" s="307"/>
      <c r="BA348" s="307"/>
      <c r="BB348" s="307"/>
      <c r="BC348" s="308"/>
      <c r="BM348" s="309">
        <v>0</v>
      </c>
      <c r="BN348" s="308">
        <f t="shared" si="255"/>
        <v>0</v>
      </c>
      <c r="BO348" s="308">
        <v>300473.83410176449</v>
      </c>
      <c r="BP348" s="308">
        <f t="shared" si="256"/>
        <v>240379.07689657481</v>
      </c>
    </row>
    <row r="349" spans="1:68" ht="12" thickBot="1">
      <c r="A349" s="301" t="s">
        <v>29</v>
      </c>
      <c r="B349" s="308">
        <f t="shared" ref="B349:P349" si="260">SUM(B337:B348)</f>
        <v>0</v>
      </c>
      <c r="C349" s="308">
        <f t="shared" si="260"/>
        <v>0</v>
      </c>
      <c r="D349" s="308">
        <f t="shared" si="260"/>
        <v>0</v>
      </c>
      <c r="E349" s="308">
        <f t="shared" si="260"/>
        <v>0</v>
      </c>
      <c r="F349" s="308">
        <f t="shared" si="260"/>
        <v>0</v>
      </c>
      <c r="G349" s="308">
        <f t="shared" si="260"/>
        <v>0</v>
      </c>
      <c r="H349" s="308">
        <f t="shared" si="260"/>
        <v>0</v>
      </c>
      <c r="I349" s="308">
        <f t="shared" si="260"/>
        <v>0</v>
      </c>
      <c r="J349" s="308">
        <f t="shared" si="260"/>
        <v>0</v>
      </c>
      <c r="K349" s="308">
        <f t="shared" si="260"/>
        <v>0</v>
      </c>
      <c r="L349" s="308">
        <f t="shared" si="260"/>
        <v>0</v>
      </c>
      <c r="M349" s="308">
        <f t="shared" si="260"/>
        <v>0</v>
      </c>
      <c r="N349" s="308">
        <f t="shared" si="260"/>
        <v>0</v>
      </c>
      <c r="O349" s="308">
        <f t="shared" si="260"/>
        <v>23943821</v>
      </c>
      <c r="P349" s="308">
        <f t="shared" si="260"/>
        <v>2620288</v>
      </c>
      <c r="Q349" s="307">
        <f>Q21</f>
        <v>1999999.6</v>
      </c>
      <c r="R349" s="307">
        <f t="shared" ref="R349:AQ349" si="261">R21</f>
        <v>24999999.600000001</v>
      </c>
      <c r="S349" s="307">
        <f t="shared" si="261"/>
        <v>124999999.59999999</v>
      </c>
      <c r="T349" s="307">
        <f t="shared" si="261"/>
        <v>124999999.59999999</v>
      </c>
      <c r="U349" s="307">
        <f t="shared" si="261"/>
        <v>124999999.59999999</v>
      </c>
      <c r="V349" s="307">
        <f t="shared" si="261"/>
        <v>124999999.59999999</v>
      </c>
      <c r="W349" s="307">
        <f t="shared" si="261"/>
        <v>124999999.59999999</v>
      </c>
      <c r="X349" s="307">
        <f t="shared" si="261"/>
        <v>124999999.59999999</v>
      </c>
      <c r="Y349" s="307">
        <f t="shared" si="261"/>
        <v>124999999.59999999</v>
      </c>
      <c r="Z349" s="307">
        <f t="shared" si="261"/>
        <v>124999999.59999999</v>
      </c>
      <c r="AA349" s="307">
        <f t="shared" si="261"/>
        <v>124999999.59999999</v>
      </c>
      <c r="AB349" s="307">
        <f t="shared" si="261"/>
        <v>124999999.59999999</v>
      </c>
      <c r="AC349" s="307">
        <f t="shared" si="261"/>
        <v>124999999.59999999</v>
      </c>
      <c r="AD349" s="307">
        <f t="shared" si="261"/>
        <v>124999999.59999999</v>
      </c>
      <c r="AE349" s="307">
        <f t="shared" si="261"/>
        <v>124999999.59999999</v>
      </c>
      <c r="AF349" s="307">
        <f t="shared" si="261"/>
        <v>124999999.59999999</v>
      </c>
      <c r="AG349" s="307">
        <f t="shared" si="261"/>
        <v>124999999.59999999</v>
      </c>
      <c r="AH349" s="307">
        <f t="shared" si="261"/>
        <v>125000000.59999999</v>
      </c>
      <c r="AI349" s="307">
        <f t="shared" si="261"/>
        <v>125000001.59999999</v>
      </c>
      <c r="AJ349" s="307">
        <f t="shared" si="261"/>
        <v>125000002.59999999</v>
      </c>
      <c r="AK349" s="307">
        <f t="shared" si="261"/>
        <v>125000003.59999999</v>
      </c>
      <c r="AL349" s="307">
        <f t="shared" si="261"/>
        <v>125000004.59999999</v>
      </c>
      <c r="AM349" s="307">
        <f t="shared" si="261"/>
        <v>125000005.59999999</v>
      </c>
      <c r="AN349" s="307">
        <f t="shared" si="261"/>
        <v>125000006.59999999</v>
      </c>
      <c r="AO349" s="307">
        <f t="shared" si="261"/>
        <v>125000007.59999999</v>
      </c>
      <c r="AP349" s="307">
        <f t="shared" si="261"/>
        <v>125000008.59999999</v>
      </c>
      <c r="AQ349" s="307">
        <f t="shared" si="261"/>
        <v>125000009.59999999</v>
      </c>
      <c r="AR349" s="307"/>
      <c r="AS349" s="307"/>
      <c r="AT349" s="307"/>
      <c r="AU349" s="307"/>
      <c r="AV349" s="307"/>
      <c r="AW349" s="307"/>
      <c r="AX349" s="307"/>
      <c r="AY349" s="307"/>
      <c r="AZ349" s="307"/>
      <c r="BA349" s="307"/>
      <c r="BB349" s="307"/>
      <c r="BC349" s="308"/>
      <c r="BM349" s="309">
        <v>2620288</v>
      </c>
      <c r="BN349" s="308">
        <f t="shared" si="255"/>
        <v>0</v>
      </c>
      <c r="BO349" s="308">
        <v>9999999.5999999996</v>
      </c>
      <c r="BP349" s="308">
        <f t="shared" si="256"/>
        <v>8000000</v>
      </c>
    </row>
    <row r="350" spans="1:68">
      <c r="A350" s="334"/>
      <c r="B350" s="334"/>
      <c r="C350" s="334"/>
      <c r="D350" s="334"/>
      <c r="E350" s="334"/>
      <c r="F350" s="334"/>
      <c r="G350" s="334"/>
      <c r="H350" s="334"/>
      <c r="I350" s="334"/>
      <c r="J350" s="334"/>
      <c r="K350" s="334"/>
      <c r="L350" s="334"/>
      <c r="M350" s="334"/>
      <c r="N350" s="334"/>
      <c r="O350" s="334"/>
      <c r="P350" s="334"/>
      <c r="Q350" s="334"/>
      <c r="R350" s="334"/>
      <c r="S350" s="334"/>
      <c r="T350" s="334"/>
      <c r="U350" s="334"/>
      <c r="V350" s="334"/>
      <c r="W350" s="334"/>
      <c r="X350" s="334"/>
      <c r="Y350" s="334"/>
      <c r="Z350" s="334"/>
      <c r="AA350" s="334"/>
      <c r="AB350" s="334"/>
      <c r="AC350" s="334"/>
      <c r="AD350" s="334"/>
      <c r="AE350" s="334"/>
      <c r="AF350" s="334"/>
      <c r="AG350" s="334"/>
      <c r="AH350" s="334"/>
      <c r="AI350" s="334"/>
      <c r="AJ350" s="334"/>
      <c r="AK350" s="334"/>
      <c r="AL350" s="334"/>
      <c r="AM350" s="334"/>
      <c r="AN350" s="334"/>
      <c r="AO350" s="334"/>
      <c r="AP350" s="334"/>
      <c r="AQ350" s="334"/>
      <c r="BC350" s="308"/>
    </row>
    <row r="351" spans="1:68" ht="12" thickBot="1">
      <c r="A351" s="300" t="s">
        <v>507</v>
      </c>
      <c r="BC351" s="308"/>
    </row>
    <row r="352" spans="1:68" ht="12" thickBot="1">
      <c r="A352" s="328"/>
      <c r="B352" s="329">
        <f t="shared" ref="B352:AQ352" si="262">B2</f>
        <v>2010</v>
      </c>
      <c r="C352" s="329">
        <f t="shared" si="262"/>
        <v>2011</v>
      </c>
      <c r="D352" s="329">
        <f t="shared" si="262"/>
        <v>2012</v>
      </c>
      <c r="E352" s="329">
        <f t="shared" si="262"/>
        <v>2013</v>
      </c>
      <c r="F352" s="329">
        <f t="shared" si="262"/>
        <v>2014</v>
      </c>
      <c r="G352" s="329">
        <f t="shared" si="262"/>
        <v>2015</v>
      </c>
      <c r="H352" s="329">
        <f t="shared" si="262"/>
        <v>2016</v>
      </c>
      <c r="I352" s="329">
        <f t="shared" si="262"/>
        <v>2017</v>
      </c>
      <c r="J352" s="329">
        <f t="shared" si="262"/>
        <v>2018</v>
      </c>
      <c r="K352" s="329">
        <f t="shared" si="262"/>
        <v>2019</v>
      </c>
      <c r="L352" s="329">
        <f t="shared" si="262"/>
        <v>2020</v>
      </c>
      <c r="M352" s="329">
        <f t="shared" si="262"/>
        <v>2021</v>
      </c>
      <c r="N352" s="329">
        <f t="shared" si="262"/>
        <v>2022</v>
      </c>
      <c r="O352" s="329">
        <f t="shared" si="262"/>
        <v>2023</v>
      </c>
      <c r="P352" s="329">
        <f t="shared" si="262"/>
        <v>2024</v>
      </c>
      <c r="Q352" s="329">
        <f t="shared" si="262"/>
        <v>2025</v>
      </c>
      <c r="R352" s="329">
        <f t="shared" si="262"/>
        <v>2026</v>
      </c>
      <c r="S352" s="329">
        <f t="shared" si="262"/>
        <v>2027</v>
      </c>
      <c r="T352" s="329">
        <f t="shared" si="262"/>
        <v>2028</v>
      </c>
      <c r="U352" s="329">
        <f t="shared" si="262"/>
        <v>2029</v>
      </c>
      <c r="V352" s="329">
        <f t="shared" si="262"/>
        <v>2030</v>
      </c>
      <c r="W352" s="329">
        <f t="shared" si="262"/>
        <v>2031</v>
      </c>
      <c r="X352" s="329">
        <f t="shared" si="262"/>
        <v>2032</v>
      </c>
      <c r="Y352" s="329">
        <f t="shared" si="262"/>
        <v>2033</v>
      </c>
      <c r="Z352" s="329">
        <f t="shared" si="262"/>
        <v>2034</v>
      </c>
      <c r="AA352" s="329">
        <f t="shared" si="262"/>
        <v>2035</v>
      </c>
      <c r="AB352" s="329">
        <f t="shared" si="262"/>
        <v>2036</v>
      </c>
      <c r="AC352" s="329">
        <f t="shared" si="262"/>
        <v>2037</v>
      </c>
      <c r="AD352" s="329">
        <f t="shared" si="262"/>
        <v>2038</v>
      </c>
      <c r="AE352" s="329">
        <f t="shared" si="262"/>
        <v>2039</v>
      </c>
      <c r="AF352" s="329">
        <f t="shared" si="262"/>
        <v>2040</v>
      </c>
      <c r="AG352" s="329">
        <f t="shared" si="262"/>
        <v>2041</v>
      </c>
      <c r="AH352" s="329">
        <f t="shared" si="262"/>
        <v>2042</v>
      </c>
      <c r="AI352" s="329">
        <f t="shared" si="262"/>
        <v>2043</v>
      </c>
      <c r="AJ352" s="329">
        <f t="shared" si="262"/>
        <v>2044</v>
      </c>
      <c r="AK352" s="329">
        <f t="shared" si="262"/>
        <v>2045</v>
      </c>
      <c r="AL352" s="329">
        <f t="shared" si="262"/>
        <v>2046</v>
      </c>
      <c r="AM352" s="329">
        <f t="shared" si="262"/>
        <v>2047</v>
      </c>
      <c r="AN352" s="329">
        <f t="shared" si="262"/>
        <v>2048</v>
      </c>
      <c r="AO352" s="329">
        <f t="shared" si="262"/>
        <v>2049</v>
      </c>
      <c r="AP352" s="329">
        <f t="shared" si="262"/>
        <v>2050</v>
      </c>
      <c r="AQ352" s="329">
        <f t="shared" si="262"/>
        <v>2051</v>
      </c>
      <c r="AR352" s="300"/>
      <c r="AS352" s="300"/>
      <c r="AT352" s="300"/>
      <c r="AU352" s="300"/>
      <c r="AV352" s="300"/>
      <c r="AW352" s="300"/>
      <c r="AX352" s="300"/>
      <c r="AY352" s="300"/>
      <c r="AZ352" s="300"/>
      <c r="BA352" s="300"/>
      <c r="BB352" s="300"/>
      <c r="BC352" s="308"/>
    </row>
    <row r="353" spans="1:68">
      <c r="A353" s="301" t="s">
        <v>43</v>
      </c>
      <c r="B353" s="308">
        <f>'Monthly D6 Gallon Data'!$T4</f>
        <v>0</v>
      </c>
      <c r="C353" s="308">
        <f>'Monthly D6 Gallon Data'!$T16</f>
        <v>0</v>
      </c>
      <c r="D353" s="308">
        <f>'Monthly D6 Gallon Data'!$T28</f>
        <v>0</v>
      </c>
      <c r="E353" s="308">
        <f>'Monthly D6 Gallon Data'!$T40</f>
        <v>0</v>
      </c>
      <c r="F353" s="308">
        <f>'Monthly D6 Gallon Data'!$T52</f>
        <v>0</v>
      </c>
      <c r="G353" s="308">
        <f>'Monthly D6 Gallon Data'!$T64</f>
        <v>0</v>
      </c>
      <c r="H353" s="308">
        <f>'Monthly D6 Gallon Data'!$T76</f>
        <v>0</v>
      </c>
      <c r="I353" s="308">
        <f>'Monthly D6 Gallon Data'!$T88</f>
        <v>0</v>
      </c>
      <c r="J353" s="308">
        <f>'Monthly D6 Gallon Data'!$T100</f>
        <v>0</v>
      </c>
      <c r="K353" s="308">
        <f>'Monthly D6 Gallon Data'!$T112</f>
        <v>0</v>
      </c>
      <c r="L353" s="308">
        <f>'Monthly D6 Gallon Data'!$T124</f>
        <v>0</v>
      </c>
      <c r="M353" s="308">
        <f>'Monthly D6 Gallon Data'!$T136</f>
        <v>0</v>
      </c>
      <c r="N353" s="308">
        <f>'Monthly D6 Gallon Data'!$T148</f>
        <v>0</v>
      </c>
      <c r="O353" s="308">
        <f>'Monthly D6 Gallon Data'!$T160</f>
        <v>0</v>
      </c>
      <c r="P353" s="308">
        <f>'Monthly D6 Gallon Data'!$T172</f>
        <v>0</v>
      </c>
      <c r="Q353" s="308">
        <f>'Monthly D6 Gallon Data'!$T184</f>
        <v>0</v>
      </c>
      <c r="R353" s="307">
        <v>0</v>
      </c>
      <c r="S353" s="307">
        <v>0</v>
      </c>
      <c r="T353" s="307">
        <v>0</v>
      </c>
      <c r="U353" s="307">
        <v>0</v>
      </c>
      <c r="V353" s="307">
        <v>0</v>
      </c>
      <c r="W353" s="307">
        <v>0</v>
      </c>
      <c r="X353" s="307">
        <v>0</v>
      </c>
      <c r="Y353" s="307">
        <v>0</v>
      </c>
      <c r="Z353" s="307">
        <v>0</v>
      </c>
      <c r="AA353" s="307">
        <v>0</v>
      </c>
      <c r="AB353" s="307">
        <v>0</v>
      </c>
      <c r="AC353" s="307">
        <v>0</v>
      </c>
      <c r="AD353" s="307">
        <v>0</v>
      </c>
      <c r="AE353" s="307">
        <v>0</v>
      </c>
      <c r="AF353" s="307">
        <v>0</v>
      </c>
      <c r="AG353" s="307">
        <v>0</v>
      </c>
      <c r="AH353" s="307">
        <v>0</v>
      </c>
      <c r="AI353" s="307">
        <v>0</v>
      </c>
      <c r="AJ353" s="307">
        <v>0</v>
      </c>
      <c r="AK353" s="307">
        <v>0</v>
      </c>
      <c r="AL353" s="307">
        <v>0</v>
      </c>
      <c r="AM353" s="307">
        <v>0</v>
      </c>
      <c r="AN353" s="307">
        <v>0</v>
      </c>
      <c r="AO353" s="307">
        <v>0</v>
      </c>
      <c r="AP353" s="307">
        <v>0</v>
      </c>
      <c r="AQ353" s="307">
        <v>1</v>
      </c>
      <c r="AR353" s="307"/>
      <c r="AS353" s="307"/>
      <c r="AT353" s="307"/>
      <c r="AU353" s="307"/>
      <c r="AV353" s="307"/>
      <c r="AW353" s="307"/>
      <c r="AX353" s="307"/>
      <c r="AY353" s="307"/>
      <c r="AZ353" s="307"/>
      <c r="BA353" s="307"/>
      <c r="BB353" s="307"/>
      <c r="BC353" s="309"/>
      <c r="BM353" s="308">
        <v>0</v>
      </c>
      <c r="BN353" s="308">
        <f t="shared" ref="BN353:BN365" si="263">P353-BM353</f>
        <v>0</v>
      </c>
      <c r="BO353" s="308">
        <v>0</v>
      </c>
      <c r="BP353" s="308">
        <f t="shared" ref="BP353:BP365" si="264">BO353-Q353</f>
        <v>0</v>
      </c>
    </row>
    <row r="354" spans="1:68">
      <c r="A354" s="301" t="s">
        <v>44</v>
      </c>
      <c r="B354" s="308">
        <f>'Monthly D6 Gallon Data'!$T5</f>
        <v>0</v>
      </c>
      <c r="C354" s="308">
        <f>'Monthly D6 Gallon Data'!$T17</f>
        <v>0</v>
      </c>
      <c r="D354" s="308">
        <f>'Monthly D6 Gallon Data'!$T29</f>
        <v>0</v>
      </c>
      <c r="E354" s="308">
        <f>'Monthly D6 Gallon Data'!$T41</f>
        <v>0</v>
      </c>
      <c r="F354" s="308">
        <f>'Monthly D6 Gallon Data'!$T53</f>
        <v>0</v>
      </c>
      <c r="G354" s="308">
        <f>'Monthly D6 Gallon Data'!$T65</f>
        <v>0</v>
      </c>
      <c r="H354" s="308">
        <f>'Monthly D6 Gallon Data'!$T77</f>
        <v>0</v>
      </c>
      <c r="I354" s="308">
        <f>'Monthly D6 Gallon Data'!$T89</f>
        <v>0</v>
      </c>
      <c r="J354" s="308">
        <f>'Monthly D6 Gallon Data'!$T101</f>
        <v>0</v>
      </c>
      <c r="K354" s="308">
        <f>'Monthly D6 Gallon Data'!$T113</f>
        <v>0</v>
      </c>
      <c r="L354" s="308">
        <f>'Monthly D6 Gallon Data'!$T125</f>
        <v>0</v>
      </c>
      <c r="M354" s="308">
        <f>'Monthly D6 Gallon Data'!$T137</f>
        <v>0</v>
      </c>
      <c r="N354" s="308">
        <f>'Monthly D6 Gallon Data'!$T149</f>
        <v>0</v>
      </c>
      <c r="O354" s="308">
        <f>'Monthly D6 Gallon Data'!$T161</f>
        <v>0</v>
      </c>
      <c r="P354" s="308">
        <f>'Monthly D6 Gallon Data'!$T173</f>
        <v>0</v>
      </c>
      <c r="Q354" s="332">
        <f>'Monthly D6 Gallon Data'!$T185</f>
        <v>0</v>
      </c>
      <c r="R354" s="307">
        <v>0</v>
      </c>
      <c r="S354" s="307">
        <v>0</v>
      </c>
      <c r="T354" s="307">
        <v>0</v>
      </c>
      <c r="U354" s="307">
        <v>0</v>
      </c>
      <c r="V354" s="307">
        <v>0</v>
      </c>
      <c r="W354" s="307">
        <v>0</v>
      </c>
      <c r="X354" s="307">
        <v>0</v>
      </c>
      <c r="Y354" s="307">
        <v>0</v>
      </c>
      <c r="Z354" s="307">
        <v>0</v>
      </c>
      <c r="AA354" s="307">
        <v>0</v>
      </c>
      <c r="AB354" s="307">
        <v>0</v>
      </c>
      <c r="AC354" s="307">
        <v>0</v>
      </c>
      <c r="AD354" s="307">
        <v>0</v>
      </c>
      <c r="AE354" s="307">
        <v>0</v>
      </c>
      <c r="AF354" s="307">
        <v>0</v>
      </c>
      <c r="AG354" s="307">
        <v>0</v>
      </c>
      <c r="AH354" s="307">
        <v>0</v>
      </c>
      <c r="AI354" s="307">
        <v>0</v>
      </c>
      <c r="AJ354" s="307">
        <v>0</v>
      </c>
      <c r="AK354" s="307">
        <v>0</v>
      </c>
      <c r="AL354" s="307">
        <v>0</v>
      </c>
      <c r="AM354" s="307">
        <v>0</v>
      </c>
      <c r="AN354" s="307">
        <v>0</v>
      </c>
      <c r="AO354" s="307">
        <v>0</v>
      </c>
      <c r="AP354" s="307">
        <v>0</v>
      </c>
      <c r="AQ354" s="307">
        <v>1</v>
      </c>
      <c r="AR354" s="307"/>
      <c r="AS354" s="307"/>
      <c r="AT354" s="307"/>
      <c r="AU354" s="307"/>
      <c r="AV354" s="307"/>
      <c r="AW354" s="307"/>
      <c r="AX354" s="307"/>
      <c r="AY354" s="307"/>
      <c r="AZ354" s="307"/>
      <c r="BA354" s="307"/>
      <c r="BB354" s="307"/>
      <c r="BC354" s="309"/>
      <c r="BM354" s="308">
        <v>0</v>
      </c>
      <c r="BN354" s="308">
        <f t="shared" si="263"/>
        <v>0</v>
      </c>
      <c r="BO354" s="308">
        <v>0</v>
      </c>
      <c r="BP354" s="308">
        <f t="shared" si="264"/>
        <v>0</v>
      </c>
    </row>
    <row r="355" spans="1:68">
      <c r="A355" s="301" t="s">
        <v>45</v>
      </c>
      <c r="B355" s="308">
        <f>'Monthly D6 Gallon Data'!$T6</f>
        <v>0</v>
      </c>
      <c r="C355" s="308">
        <f>'Monthly D6 Gallon Data'!$T18</f>
        <v>0</v>
      </c>
      <c r="D355" s="308">
        <f>'Monthly D6 Gallon Data'!$T30</f>
        <v>0</v>
      </c>
      <c r="E355" s="308">
        <f>'Monthly D6 Gallon Data'!$T42</f>
        <v>0</v>
      </c>
      <c r="F355" s="308">
        <f>'Monthly D6 Gallon Data'!$T54</f>
        <v>0</v>
      </c>
      <c r="G355" s="308">
        <f>'Monthly D6 Gallon Data'!$T66</f>
        <v>0</v>
      </c>
      <c r="H355" s="308">
        <f>'Monthly D6 Gallon Data'!$T78</f>
        <v>0</v>
      </c>
      <c r="I355" s="308">
        <f>'Monthly D6 Gallon Data'!$T90</f>
        <v>0</v>
      </c>
      <c r="J355" s="308">
        <f>'Monthly D6 Gallon Data'!$T102</f>
        <v>0</v>
      </c>
      <c r="K355" s="308">
        <f>'Monthly D6 Gallon Data'!$T114</f>
        <v>0</v>
      </c>
      <c r="L355" s="308">
        <f>'Monthly D6 Gallon Data'!$T126</f>
        <v>0</v>
      </c>
      <c r="M355" s="308">
        <f>'Monthly D6 Gallon Data'!$T138</f>
        <v>0</v>
      </c>
      <c r="N355" s="308">
        <f>'Monthly D6 Gallon Data'!$T150</f>
        <v>0</v>
      </c>
      <c r="O355" s="308">
        <f>'Monthly D6 Gallon Data'!$T162</f>
        <v>0</v>
      </c>
      <c r="P355" s="308">
        <f>'Monthly D6 Gallon Data'!$T174</f>
        <v>0</v>
      </c>
      <c r="Q355" s="332">
        <f>'Monthly D6 Gallon Data'!$T186</f>
        <v>0</v>
      </c>
      <c r="R355" s="307">
        <v>0</v>
      </c>
      <c r="S355" s="307">
        <v>0</v>
      </c>
      <c r="T355" s="307">
        <v>0</v>
      </c>
      <c r="U355" s="307">
        <v>0</v>
      </c>
      <c r="V355" s="307">
        <v>0</v>
      </c>
      <c r="W355" s="307">
        <v>0</v>
      </c>
      <c r="X355" s="307">
        <v>0</v>
      </c>
      <c r="Y355" s="307">
        <v>0</v>
      </c>
      <c r="Z355" s="307">
        <v>0</v>
      </c>
      <c r="AA355" s="307">
        <v>0</v>
      </c>
      <c r="AB355" s="307">
        <v>0</v>
      </c>
      <c r="AC355" s="307">
        <v>0</v>
      </c>
      <c r="AD355" s="307">
        <v>0</v>
      </c>
      <c r="AE355" s="307">
        <v>0</v>
      </c>
      <c r="AF355" s="307">
        <v>0</v>
      </c>
      <c r="AG355" s="307">
        <v>0</v>
      </c>
      <c r="AH355" s="307">
        <v>0</v>
      </c>
      <c r="AI355" s="307">
        <v>0</v>
      </c>
      <c r="AJ355" s="307">
        <v>0</v>
      </c>
      <c r="AK355" s="307">
        <v>0</v>
      </c>
      <c r="AL355" s="307">
        <v>0</v>
      </c>
      <c r="AM355" s="307">
        <v>0</v>
      </c>
      <c r="AN355" s="307">
        <v>0</v>
      </c>
      <c r="AO355" s="307">
        <v>0</v>
      </c>
      <c r="AP355" s="307">
        <v>0</v>
      </c>
      <c r="AQ355" s="307">
        <v>1</v>
      </c>
      <c r="AR355" s="307"/>
      <c r="AS355" s="307"/>
      <c r="AT355" s="307"/>
      <c r="AU355" s="307"/>
      <c r="AV355" s="307"/>
      <c r="AW355" s="307"/>
      <c r="AX355" s="307"/>
      <c r="AY355" s="307"/>
      <c r="AZ355" s="307"/>
      <c r="BA355" s="307"/>
      <c r="BB355" s="307"/>
      <c r="BC355" s="309"/>
      <c r="BM355" s="308">
        <v>0</v>
      </c>
      <c r="BN355" s="308">
        <f t="shared" si="263"/>
        <v>0</v>
      </c>
      <c r="BO355" s="308">
        <v>0</v>
      </c>
      <c r="BP355" s="308">
        <f t="shared" si="264"/>
        <v>0</v>
      </c>
    </row>
    <row r="356" spans="1:68">
      <c r="A356" s="301" t="s">
        <v>46</v>
      </c>
      <c r="B356" s="308">
        <f>'Monthly D6 Gallon Data'!$T7</f>
        <v>0</v>
      </c>
      <c r="C356" s="308">
        <f>'Monthly D6 Gallon Data'!$T19</f>
        <v>0</v>
      </c>
      <c r="D356" s="308">
        <f>'Monthly D6 Gallon Data'!$T31</f>
        <v>0</v>
      </c>
      <c r="E356" s="308">
        <f>'Monthly D6 Gallon Data'!$T43</f>
        <v>0</v>
      </c>
      <c r="F356" s="308">
        <f>'Monthly D6 Gallon Data'!$T55</f>
        <v>0</v>
      </c>
      <c r="G356" s="308">
        <f>'Monthly D6 Gallon Data'!$T67</f>
        <v>0</v>
      </c>
      <c r="H356" s="308">
        <f>'Monthly D6 Gallon Data'!$T79</f>
        <v>0</v>
      </c>
      <c r="I356" s="308">
        <f>'Monthly D6 Gallon Data'!$T91</f>
        <v>0</v>
      </c>
      <c r="J356" s="308">
        <f>'Monthly D6 Gallon Data'!$T103</f>
        <v>0</v>
      </c>
      <c r="K356" s="308">
        <f>'Monthly D6 Gallon Data'!$T115</f>
        <v>0</v>
      </c>
      <c r="L356" s="308">
        <f>'Monthly D6 Gallon Data'!$T127</f>
        <v>0</v>
      </c>
      <c r="M356" s="308">
        <f>'Monthly D6 Gallon Data'!$T139</f>
        <v>0</v>
      </c>
      <c r="N356" s="308">
        <f>'Monthly D6 Gallon Data'!$T151</f>
        <v>0</v>
      </c>
      <c r="O356" s="308">
        <f>'Monthly D6 Gallon Data'!$T163</f>
        <v>0</v>
      </c>
      <c r="P356" s="308">
        <f>'Monthly D6 Gallon Data'!$T175</f>
        <v>0</v>
      </c>
      <c r="Q356" s="307">
        <v>0</v>
      </c>
      <c r="R356" s="307">
        <v>0</v>
      </c>
      <c r="S356" s="307">
        <v>0</v>
      </c>
      <c r="T356" s="307">
        <v>0</v>
      </c>
      <c r="U356" s="307">
        <v>0</v>
      </c>
      <c r="V356" s="307">
        <v>0</v>
      </c>
      <c r="W356" s="307">
        <v>0</v>
      </c>
      <c r="X356" s="307">
        <v>0</v>
      </c>
      <c r="Y356" s="307">
        <v>0</v>
      </c>
      <c r="Z356" s="307">
        <v>0</v>
      </c>
      <c r="AA356" s="307">
        <v>0</v>
      </c>
      <c r="AB356" s="307">
        <v>0</v>
      </c>
      <c r="AC356" s="307">
        <v>0</v>
      </c>
      <c r="AD356" s="307">
        <v>0</v>
      </c>
      <c r="AE356" s="307">
        <v>0</v>
      </c>
      <c r="AF356" s="307">
        <v>0</v>
      </c>
      <c r="AG356" s="307">
        <v>0</v>
      </c>
      <c r="AH356" s="307">
        <v>0</v>
      </c>
      <c r="AI356" s="307">
        <v>0</v>
      </c>
      <c r="AJ356" s="307">
        <v>0</v>
      </c>
      <c r="AK356" s="307">
        <v>0</v>
      </c>
      <c r="AL356" s="307">
        <v>0</v>
      </c>
      <c r="AM356" s="307">
        <v>0</v>
      </c>
      <c r="AN356" s="307">
        <v>0</v>
      </c>
      <c r="AO356" s="307">
        <v>0</v>
      </c>
      <c r="AP356" s="307">
        <v>0</v>
      </c>
      <c r="AQ356" s="307">
        <v>1</v>
      </c>
      <c r="AR356" s="307"/>
      <c r="AS356" s="307"/>
      <c r="AT356" s="307"/>
      <c r="AU356" s="307"/>
      <c r="AV356" s="307"/>
      <c r="AW356" s="307"/>
      <c r="AX356" s="307"/>
      <c r="AY356" s="307"/>
      <c r="AZ356" s="307"/>
      <c r="BA356" s="307"/>
      <c r="BB356" s="307"/>
      <c r="BC356" s="309"/>
      <c r="BM356" s="308">
        <v>0</v>
      </c>
      <c r="BN356" s="308">
        <f t="shared" si="263"/>
        <v>0</v>
      </c>
      <c r="BO356" s="308">
        <v>0</v>
      </c>
      <c r="BP356" s="308">
        <f t="shared" si="264"/>
        <v>0</v>
      </c>
    </row>
    <row r="357" spans="1:68">
      <c r="A357" s="301" t="s">
        <v>47</v>
      </c>
      <c r="B357" s="308">
        <f>'Monthly D6 Gallon Data'!$T8</f>
        <v>0</v>
      </c>
      <c r="C357" s="308">
        <f>'Monthly D6 Gallon Data'!$T20</f>
        <v>0</v>
      </c>
      <c r="D357" s="308">
        <f>'Monthly D6 Gallon Data'!$T32</f>
        <v>0</v>
      </c>
      <c r="E357" s="308">
        <f>'Monthly D6 Gallon Data'!$T44</f>
        <v>0</v>
      </c>
      <c r="F357" s="308">
        <f>'Monthly D6 Gallon Data'!$T56</f>
        <v>0</v>
      </c>
      <c r="G357" s="308">
        <f>'Monthly D6 Gallon Data'!$T68</f>
        <v>0</v>
      </c>
      <c r="H357" s="308">
        <f>'Monthly D6 Gallon Data'!$T80</f>
        <v>0</v>
      </c>
      <c r="I357" s="308">
        <f>'Monthly D6 Gallon Data'!$T92</f>
        <v>0</v>
      </c>
      <c r="J357" s="308">
        <f>'Monthly D6 Gallon Data'!$T104</f>
        <v>0</v>
      </c>
      <c r="K357" s="308">
        <f>'Monthly D6 Gallon Data'!$T116</f>
        <v>0</v>
      </c>
      <c r="L357" s="308">
        <f>'Monthly D6 Gallon Data'!$T128</f>
        <v>0</v>
      </c>
      <c r="M357" s="308">
        <f>'Monthly D6 Gallon Data'!$T140</f>
        <v>0</v>
      </c>
      <c r="N357" s="308">
        <f>'Monthly D6 Gallon Data'!$T152</f>
        <v>0</v>
      </c>
      <c r="O357" s="308">
        <f>'Monthly D6 Gallon Data'!$T164</f>
        <v>0</v>
      </c>
      <c r="P357" s="308">
        <f>'Monthly D6 Gallon Data'!$T176</f>
        <v>0</v>
      </c>
      <c r="Q357" s="307">
        <v>0</v>
      </c>
      <c r="R357" s="307">
        <v>0</v>
      </c>
      <c r="S357" s="307">
        <v>0</v>
      </c>
      <c r="T357" s="307">
        <v>0</v>
      </c>
      <c r="U357" s="307">
        <v>0</v>
      </c>
      <c r="V357" s="307">
        <v>0</v>
      </c>
      <c r="W357" s="307">
        <v>0</v>
      </c>
      <c r="X357" s="307">
        <v>0</v>
      </c>
      <c r="Y357" s="307">
        <v>0</v>
      </c>
      <c r="Z357" s="307">
        <v>0</v>
      </c>
      <c r="AA357" s="307">
        <v>0</v>
      </c>
      <c r="AB357" s="307">
        <v>0</v>
      </c>
      <c r="AC357" s="307">
        <v>0</v>
      </c>
      <c r="AD357" s="307">
        <v>0</v>
      </c>
      <c r="AE357" s="307">
        <v>0</v>
      </c>
      <c r="AF357" s="307">
        <v>0</v>
      </c>
      <c r="AG357" s="307">
        <v>0</v>
      </c>
      <c r="AH357" s="307">
        <v>0</v>
      </c>
      <c r="AI357" s="307">
        <v>0</v>
      </c>
      <c r="AJ357" s="307">
        <v>0</v>
      </c>
      <c r="AK357" s="307">
        <v>0</v>
      </c>
      <c r="AL357" s="307">
        <v>0</v>
      </c>
      <c r="AM357" s="307">
        <v>0</v>
      </c>
      <c r="AN357" s="307">
        <v>0</v>
      </c>
      <c r="AO357" s="307">
        <v>0</v>
      </c>
      <c r="AP357" s="307">
        <v>0</v>
      </c>
      <c r="AQ357" s="307">
        <v>1</v>
      </c>
      <c r="AR357" s="307"/>
      <c r="AS357" s="307"/>
      <c r="AT357" s="307"/>
      <c r="AU357" s="307"/>
      <c r="AV357" s="307"/>
      <c r="AW357" s="307"/>
      <c r="AX357" s="307"/>
      <c r="AY357" s="307"/>
      <c r="AZ357" s="307"/>
      <c r="BA357" s="307"/>
      <c r="BB357" s="307"/>
      <c r="BC357" s="309"/>
      <c r="BM357" s="308">
        <v>0</v>
      </c>
      <c r="BN357" s="308">
        <f t="shared" si="263"/>
        <v>0</v>
      </c>
      <c r="BO357" s="308">
        <v>0</v>
      </c>
      <c r="BP357" s="308">
        <f t="shared" si="264"/>
        <v>0</v>
      </c>
    </row>
    <row r="358" spans="1:68">
      <c r="A358" s="301" t="s">
        <v>48</v>
      </c>
      <c r="B358" s="308">
        <f>'Monthly D6 Gallon Data'!$T9</f>
        <v>0</v>
      </c>
      <c r="C358" s="308">
        <f>'Monthly D6 Gallon Data'!$T21</f>
        <v>0</v>
      </c>
      <c r="D358" s="308">
        <f>'Monthly D6 Gallon Data'!$T33</f>
        <v>0</v>
      </c>
      <c r="E358" s="308">
        <f>'Monthly D6 Gallon Data'!$T45</f>
        <v>0</v>
      </c>
      <c r="F358" s="308">
        <f>'Monthly D6 Gallon Data'!$T57</f>
        <v>0</v>
      </c>
      <c r="G358" s="308">
        <f>'Monthly D6 Gallon Data'!$T69</f>
        <v>0</v>
      </c>
      <c r="H358" s="308">
        <f>'Monthly D6 Gallon Data'!$T81</f>
        <v>0</v>
      </c>
      <c r="I358" s="308">
        <f>'Monthly D6 Gallon Data'!$T93</f>
        <v>0</v>
      </c>
      <c r="J358" s="308">
        <f>'Monthly D6 Gallon Data'!$T105</f>
        <v>0</v>
      </c>
      <c r="K358" s="308">
        <f>'Monthly D6 Gallon Data'!$T117</f>
        <v>0</v>
      </c>
      <c r="L358" s="308">
        <f>'Monthly D6 Gallon Data'!$T129</f>
        <v>0</v>
      </c>
      <c r="M358" s="308">
        <f>'Monthly D6 Gallon Data'!$T141</f>
        <v>0</v>
      </c>
      <c r="N358" s="308">
        <f>'Monthly D6 Gallon Data'!$T153</f>
        <v>0</v>
      </c>
      <c r="O358" s="308">
        <f>'Monthly D6 Gallon Data'!$T165</f>
        <v>0</v>
      </c>
      <c r="P358" s="308">
        <f>'Monthly D6 Gallon Data'!$T177</f>
        <v>0</v>
      </c>
      <c r="Q358" s="307">
        <v>0</v>
      </c>
      <c r="R358" s="307">
        <v>0</v>
      </c>
      <c r="S358" s="307">
        <v>0</v>
      </c>
      <c r="T358" s="307">
        <v>0</v>
      </c>
      <c r="U358" s="307">
        <v>0</v>
      </c>
      <c r="V358" s="307">
        <v>0</v>
      </c>
      <c r="W358" s="307">
        <v>0</v>
      </c>
      <c r="X358" s="307">
        <v>0</v>
      </c>
      <c r="Y358" s="307">
        <v>0</v>
      </c>
      <c r="Z358" s="307">
        <v>0</v>
      </c>
      <c r="AA358" s="307">
        <v>0</v>
      </c>
      <c r="AB358" s="307">
        <v>0</v>
      </c>
      <c r="AC358" s="307">
        <v>0</v>
      </c>
      <c r="AD358" s="307">
        <v>0</v>
      </c>
      <c r="AE358" s="307">
        <v>0</v>
      </c>
      <c r="AF358" s="307">
        <v>0</v>
      </c>
      <c r="AG358" s="307">
        <v>0</v>
      </c>
      <c r="AH358" s="307">
        <v>0</v>
      </c>
      <c r="AI358" s="307">
        <v>0</v>
      </c>
      <c r="AJ358" s="307">
        <v>0</v>
      </c>
      <c r="AK358" s="307">
        <v>0</v>
      </c>
      <c r="AL358" s="307">
        <v>0</v>
      </c>
      <c r="AM358" s="307">
        <v>0</v>
      </c>
      <c r="AN358" s="307">
        <v>0</v>
      </c>
      <c r="AO358" s="307">
        <v>0</v>
      </c>
      <c r="AP358" s="307">
        <v>0</v>
      </c>
      <c r="AQ358" s="307">
        <v>1</v>
      </c>
      <c r="AR358" s="307"/>
      <c r="AS358" s="307"/>
      <c r="AT358" s="307"/>
      <c r="AU358" s="307"/>
      <c r="AV358" s="307"/>
      <c r="AW358" s="307"/>
      <c r="AX358" s="307"/>
      <c r="AY358" s="307"/>
      <c r="AZ358" s="307"/>
      <c r="BA358" s="307"/>
      <c r="BB358" s="307"/>
      <c r="BC358" s="309"/>
      <c r="BM358" s="309">
        <v>0</v>
      </c>
      <c r="BN358" s="308">
        <f t="shared" si="263"/>
        <v>0</v>
      </c>
      <c r="BO358" s="308">
        <v>0</v>
      </c>
      <c r="BP358" s="308">
        <f t="shared" si="264"/>
        <v>0</v>
      </c>
    </row>
    <row r="359" spans="1:68">
      <c r="A359" s="301" t="s">
        <v>49</v>
      </c>
      <c r="B359" s="308">
        <f>'Monthly D6 Gallon Data'!$T10</f>
        <v>0</v>
      </c>
      <c r="C359" s="308">
        <f>'Monthly D6 Gallon Data'!$T22</f>
        <v>0</v>
      </c>
      <c r="D359" s="308">
        <f>'Monthly D6 Gallon Data'!$T34</f>
        <v>0</v>
      </c>
      <c r="E359" s="308">
        <f>'Monthly D6 Gallon Data'!$T46</f>
        <v>0</v>
      </c>
      <c r="F359" s="308">
        <f>'Monthly D6 Gallon Data'!$T58</f>
        <v>0</v>
      </c>
      <c r="G359" s="308">
        <f>'Monthly D6 Gallon Data'!$T70</f>
        <v>0</v>
      </c>
      <c r="H359" s="308">
        <f>'Monthly D6 Gallon Data'!$T82</f>
        <v>0</v>
      </c>
      <c r="I359" s="308">
        <f>'Monthly D6 Gallon Data'!$T94</f>
        <v>0</v>
      </c>
      <c r="J359" s="308">
        <f>'Monthly D6 Gallon Data'!$T106</f>
        <v>0</v>
      </c>
      <c r="K359" s="308">
        <f>'Monthly D6 Gallon Data'!$T118</f>
        <v>0</v>
      </c>
      <c r="L359" s="308">
        <f>'Monthly D6 Gallon Data'!$T130</f>
        <v>0</v>
      </c>
      <c r="M359" s="308">
        <f>'Monthly D6 Gallon Data'!$T142</f>
        <v>0</v>
      </c>
      <c r="N359" s="308">
        <f>'Monthly D6 Gallon Data'!$T154</f>
        <v>0</v>
      </c>
      <c r="O359" s="308">
        <f>'Monthly D6 Gallon Data'!$T166</f>
        <v>0</v>
      </c>
      <c r="P359" s="308">
        <f>'Monthly D6 Gallon Data'!$T178</f>
        <v>0</v>
      </c>
      <c r="Q359" s="307">
        <v>0</v>
      </c>
      <c r="R359" s="307">
        <v>0</v>
      </c>
      <c r="S359" s="307">
        <v>0</v>
      </c>
      <c r="T359" s="307">
        <v>0</v>
      </c>
      <c r="U359" s="307">
        <v>0</v>
      </c>
      <c r="V359" s="307">
        <v>0</v>
      </c>
      <c r="W359" s="307">
        <v>0</v>
      </c>
      <c r="X359" s="307">
        <v>0</v>
      </c>
      <c r="Y359" s="307">
        <v>0</v>
      </c>
      <c r="Z359" s="307">
        <v>0</v>
      </c>
      <c r="AA359" s="307">
        <v>0</v>
      </c>
      <c r="AB359" s="307">
        <v>0</v>
      </c>
      <c r="AC359" s="307">
        <v>0</v>
      </c>
      <c r="AD359" s="307">
        <v>0</v>
      </c>
      <c r="AE359" s="307">
        <v>0</v>
      </c>
      <c r="AF359" s="307">
        <v>0</v>
      </c>
      <c r="AG359" s="307">
        <v>0</v>
      </c>
      <c r="AH359" s="307">
        <v>0</v>
      </c>
      <c r="AI359" s="307">
        <v>0</v>
      </c>
      <c r="AJ359" s="307">
        <v>0</v>
      </c>
      <c r="AK359" s="307">
        <v>0</v>
      </c>
      <c r="AL359" s="307">
        <v>0</v>
      </c>
      <c r="AM359" s="307">
        <v>0</v>
      </c>
      <c r="AN359" s="307">
        <v>0</v>
      </c>
      <c r="AO359" s="307">
        <v>0</v>
      </c>
      <c r="AP359" s="307">
        <v>0</v>
      </c>
      <c r="AQ359" s="307">
        <v>1</v>
      </c>
      <c r="AR359" s="307"/>
      <c r="AS359" s="307"/>
      <c r="AT359" s="307"/>
      <c r="AU359" s="307"/>
      <c r="AV359" s="307"/>
      <c r="AW359" s="307"/>
      <c r="AX359" s="307"/>
      <c r="AY359" s="307"/>
      <c r="AZ359" s="307"/>
      <c r="BA359" s="307"/>
      <c r="BB359" s="307"/>
      <c r="BC359" s="309"/>
      <c r="BM359" s="309">
        <v>0</v>
      </c>
      <c r="BN359" s="308">
        <f t="shared" si="263"/>
        <v>0</v>
      </c>
      <c r="BO359" s="308">
        <v>0</v>
      </c>
      <c r="BP359" s="308">
        <f t="shared" si="264"/>
        <v>0</v>
      </c>
    </row>
    <row r="360" spans="1:68">
      <c r="A360" s="301" t="s">
        <v>50</v>
      </c>
      <c r="B360" s="308">
        <f>'Monthly D6 Gallon Data'!$T11</f>
        <v>0</v>
      </c>
      <c r="C360" s="308">
        <f>'Monthly D6 Gallon Data'!$T23</f>
        <v>0</v>
      </c>
      <c r="D360" s="308">
        <f>'Monthly D6 Gallon Data'!$T35</f>
        <v>0</v>
      </c>
      <c r="E360" s="308">
        <f>'Monthly D6 Gallon Data'!$T47</f>
        <v>0</v>
      </c>
      <c r="F360" s="308">
        <f>'Monthly D6 Gallon Data'!$T59</f>
        <v>0</v>
      </c>
      <c r="G360" s="308">
        <f>'Monthly D6 Gallon Data'!$T71</f>
        <v>0</v>
      </c>
      <c r="H360" s="308">
        <f>'Monthly D6 Gallon Data'!$T83</f>
        <v>0</v>
      </c>
      <c r="I360" s="308">
        <f>'Monthly D6 Gallon Data'!$T95</f>
        <v>0</v>
      </c>
      <c r="J360" s="308">
        <f>'Monthly D6 Gallon Data'!$T107</f>
        <v>0</v>
      </c>
      <c r="K360" s="308">
        <f>'Monthly D6 Gallon Data'!$T119</f>
        <v>0</v>
      </c>
      <c r="L360" s="308">
        <f>'Monthly D6 Gallon Data'!$T131</f>
        <v>0</v>
      </c>
      <c r="M360" s="308">
        <f>'Monthly D6 Gallon Data'!$T143</f>
        <v>0</v>
      </c>
      <c r="N360" s="308">
        <f>'Monthly D6 Gallon Data'!$T155</f>
        <v>0</v>
      </c>
      <c r="O360" s="308">
        <f>'Monthly D6 Gallon Data'!$T167</f>
        <v>0</v>
      </c>
      <c r="P360" s="308">
        <f>'Monthly D6 Gallon Data'!$T179</f>
        <v>0</v>
      </c>
      <c r="Q360" s="307">
        <v>0</v>
      </c>
      <c r="R360" s="307">
        <v>0</v>
      </c>
      <c r="S360" s="307">
        <v>0</v>
      </c>
      <c r="T360" s="307">
        <v>0</v>
      </c>
      <c r="U360" s="307">
        <v>0</v>
      </c>
      <c r="V360" s="307">
        <v>0</v>
      </c>
      <c r="W360" s="307">
        <v>0</v>
      </c>
      <c r="X360" s="307">
        <v>0</v>
      </c>
      <c r="Y360" s="307">
        <v>0</v>
      </c>
      <c r="Z360" s="307">
        <v>0</v>
      </c>
      <c r="AA360" s="307">
        <v>0</v>
      </c>
      <c r="AB360" s="307">
        <v>0</v>
      </c>
      <c r="AC360" s="307">
        <v>0</v>
      </c>
      <c r="AD360" s="307">
        <v>0</v>
      </c>
      <c r="AE360" s="307">
        <v>0</v>
      </c>
      <c r="AF360" s="307">
        <v>0</v>
      </c>
      <c r="AG360" s="307">
        <v>0</v>
      </c>
      <c r="AH360" s="307">
        <v>0</v>
      </c>
      <c r="AI360" s="307">
        <v>0</v>
      </c>
      <c r="AJ360" s="307">
        <v>0</v>
      </c>
      <c r="AK360" s="307">
        <v>0</v>
      </c>
      <c r="AL360" s="307">
        <v>0</v>
      </c>
      <c r="AM360" s="307">
        <v>0</v>
      </c>
      <c r="AN360" s="307">
        <v>0</v>
      </c>
      <c r="AO360" s="307">
        <v>0</v>
      </c>
      <c r="AP360" s="307">
        <v>0</v>
      </c>
      <c r="AQ360" s="307">
        <v>1</v>
      </c>
      <c r="AR360" s="307"/>
      <c r="AS360" s="307"/>
      <c r="AT360" s="307"/>
      <c r="AU360" s="307"/>
      <c r="AV360" s="307"/>
      <c r="AW360" s="307"/>
      <c r="AX360" s="307"/>
      <c r="AY360" s="307"/>
      <c r="AZ360" s="307"/>
      <c r="BA360" s="307"/>
      <c r="BB360" s="307"/>
      <c r="BC360" s="309"/>
      <c r="BM360" s="309">
        <v>0</v>
      </c>
      <c r="BN360" s="308">
        <f t="shared" si="263"/>
        <v>0</v>
      </c>
      <c r="BO360" s="308">
        <v>0</v>
      </c>
      <c r="BP360" s="308">
        <f t="shared" si="264"/>
        <v>0</v>
      </c>
    </row>
    <row r="361" spans="1:68">
      <c r="A361" s="301" t="s">
        <v>51</v>
      </c>
      <c r="B361" s="308">
        <f>'Monthly D6 Gallon Data'!$T12</f>
        <v>0</v>
      </c>
      <c r="C361" s="308">
        <f>'Monthly D6 Gallon Data'!$T24</f>
        <v>0</v>
      </c>
      <c r="D361" s="308">
        <f>'Monthly D6 Gallon Data'!$T36</f>
        <v>0</v>
      </c>
      <c r="E361" s="308">
        <f>'Monthly D6 Gallon Data'!$T48</f>
        <v>0</v>
      </c>
      <c r="F361" s="308">
        <f>'Monthly D6 Gallon Data'!$T60</f>
        <v>0</v>
      </c>
      <c r="G361" s="308">
        <f>'Monthly D6 Gallon Data'!$T72</f>
        <v>0</v>
      </c>
      <c r="H361" s="308">
        <f>'Monthly D6 Gallon Data'!$T84</f>
        <v>0</v>
      </c>
      <c r="I361" s="308">
        <f>'Monthly D6 Gallon Data'!$T96</f>
        <v>0</v>
      </c>
      <c r="J361" s="308">
        <f>'Monthly D6 Gallon Data'!$T108</f>
        <v>0</v>
      </c>
      <c r="K361" s="308">
        <f>'Monthly D6 Gallon Data'!$T120</f>
        <v>0</v>
      </c>
      <c r="L361" s="308">
        <f>'Monthly D6 Gallon Data'!$T132</f>
        <v>0</v>
      </c>
      <c r="M361" s="308">
        <f>'Monthly D6 Gallon Data'!$T144</f>
        <v>0</v>
      </c>
      <c r="N361" s="308">
        <f>'Monthly D6 Gallon Data'!$T156</f>
        <v>0</v>
      </c>
      <c r="O361" s="308">
        <f>'Monthly D6 Gallon Data'!$T168</f>
        <v>0</v>
      </c>
      <c r="P361" s="308">
        <f>'Monthly D6 Gallon Data'!$T180</f>
        <v>0</v>
      </c>
      <c r="Q361" s="307">
        <v>0</v>
      </c>
      <c r="R361" s="307">
        <v>0</v>
      </c>
      <c r="S361" s="307">
        <v>0</v>
      </c>
      <c r="T361" s="307">
        <v>0</v>
      </c>
      <c r="U361" s="307">
        <v>0</v>
      </c>
      <c r="V361" s="307">
        <v>0</v>
      </c>
      <c r="W361" s="307">
        <v>0</v>
      </c>
      <c r="X361" s="307">
        <v>0</v>
      </c>
      <c r="Y361" s="307">
        <v>0</v>
      </c>
      <c r="Z361" s="307">
        <v>0</v>
      </c>
      <c r="AA361" s="307">
        <v>0</v>
      </c>
      <c r="AB361" s="307">
        <v>0</v>
      </c>
      <c r="AC361" s="307">
        <v>0</v>
      </c>
      <c r="AD361" s="307">
        <v>0</v>
      </c>
      <c r="AE361" s="307">
        <v>0</v>
      </c>
      <c r="AF361" s="307">
        <v>0</v>
      </c>
      <c r="AG361" s="307">
        <v>0</v>
      </c>
      <c r="AH361" s="307">
        <v>0</v>
      </c>
      <c r="AI361" s="307">
        <v>0</v>
      </c>
      <c r="AJ361" s="307">
        <v>0</v>
      </c>
      <c r="AK361" s="307">
        <v>0</v>
      </c>
      <c r="AL361" s="307">
        <v>0</v>
      </c>
      <c r="AM361" s="307">
        <v>0</v>
      </c>
      <c r="AN361" s="307">
        <v>0</v>
      </c>
      <c r="AO361" s="307">
        <v>0</v>
      </c>
      <c r="AP361" s="307">
        <v>0</v>
      </c>
      <c r="AQ361" s="307">
        <v>1</v>
      </c>
      <c r="AR361" s="307"/>
      <c r="AS361" s="307"/>
      <c r="AT361" s="307"/>
      <c r="AU361" s="307"/>
      <c r="AV361" s="307"/>
      <c r="AW361" s="307"/>
      <c r="AX361" s="307"/>
      <c r="AY361" s="307"/>
      <c r="AZ361" s="307"/>
      <c r="BA361" s="307"/>
      <c r="BB361" s="307"/>
      <c r="BC361" s="309"/>
      <c r="BM361" s="309">
        <v>0</v>
      </c>
      <c r="BN361" s="308">
        <f t="shared" si="263"/>
        <v>0</v>
      </c>
      <c r="BO361" s="308">
        <v>0</v>
      </c>
      <c r="BP361" s="308">
        <f t="shared" si="264"/>
        <v>0</v>
      </c>
    </row>
    <row r="362" spans="1:68">
      <c r="A362" s="301" t="s">
        <v>52</v>
      </c>
      <c r="B362" s="308">
        <f>'Monthly D6 Gallon Data'!$T13</f>
        <v>0</v>
      </c>
      <c r="C362" s="308">
        <f>'Monthly D6 Gallon Data'!$T25</f>
        <v>0</v>
      </c>
      <c r="D362" s="308">
        <f>'Monthly D6 Gallon Data'!$T37</f>
        <v>0</v>
      </c>
      <c r="E362" s="308">
        <f>'Monthly D6 Gallon Data'!$T49</f>
        <v>0</v>
      </c>
      <c r="F362" s="308">
        <f>'Monthly D6 Gallon Data'!$T61</f>
        <v>0</v>
      </c>
      <c r="G362" s="308">
        <f>'Monthly D6 Gallon Data'!$T73</f>
        <v>0</v>
      </c>
      <c r="H362" s="308">
        <f>'Monthly D6 Gallon Data'!$T85</f>
        <v>0</v>
      </c>
      <c r="I362" s="308">
        <f>'Monthly D6 Gallon Data'!$T97</f>
        <v>0</v>
      </c>
      <c r="J362" s="308">
        <f>'Monthly D6 Gallon Data'!$T109</f>
        <v>0</v>
      </c>
      <c r="K362" s="308">
        <f>'Monthly D6 Gallon Data'!$T121</f>
        <v>0</v>
      </c>
      <c r="L362" s="308">
        <f>'Monthly D6 Gallon Data'!$T133</f>
        <v>0</v>
      </c>
      <c r="M362" s="308">
        <f>'Monthly D6 Gallon Data'!$T145</f>
        <v>0</v>
      </c>
      <c r="N362" s="308">
        <f>'Monthly D6 Gallon Data'!$T157</f>
        <v>0</v>
      </c>
      <c r="O362" s="308">
        <f>'Monthly D6 Gallon Data'!$T169</f>
        <v>0</v>
      </c>
      <c r="P362" s="308">
        <f>'Monthly D6 Gallon Data'!$T181</f>
        <v>0</v>
      </c>
      <c r="Q362" s="307">
        <v>0</v>
      </c>
      <c r="R362" s="307">
        <v>0</v>
      </c>
      <c r="S362" s="307">
        <v>0</v>
      </c>
      <c r="T362" s="307">
        <v>0</v>
      </c>
      <c r="U362" s="307">
        <v>0</v>
      </c>
      <c r="V362" s="307">
        <v>0</v>
      </c>
      <c r="W362" s="307">
        <v>0</v>
      </c>
      <c r="X362" s="307">
        <v>0</v>
      </c>
      <c r="Y362" s="307">
        <v>0</v>
      </c>
      <c r="Z362" s="307">
        <v>0</v>
      </c>
      <c r="AA362" s="307">
        <v>0</v>
      </c>
      <c r="AB362" s="307">
        <v>0</v>
      </c>
      <c r="AC362" s="307">
        <v>0</v>
      </c>
      <c r="AD362" s="307">
        <v>0</v>
      </c>
      <c r="AE362" s="307">
        <v>0</v>
      </c>
      <c r="AF362" s="307">
        <v>0</v>
      </c>
      <c r="AG362" s="307">
        <v>0</v>
      </c>
      <c r="AH362" s="307">
        <v>0</v>
      </c>
      <c r="AI362" s="307">
        <v>0</v>
      </c>
      <c r="AJ362" s="307">
        <v>0</v>
      </c>
      <c r="AK362" s="307">
        <v>0</v>
      </c>
      <c r="AL362" s="307">
        <v>0</v>
      </c>
      <c r="AM362" s="307">
        <v>0</v>
      </c>
      <c r="AN362" s="307">
        <v>0</v>
      </c>
      <c r="AO362" s="307">
        <v>0</v>
      </c>
      <c r="AP362" s="307">
        <v>0</v>
      </c>
      <c r="AQ362" s="307">
        <v>1</v>
      </c>
      <c r="AR362" s="307"/>
      <c r="AS362" s="307"/>
      <c r="AT362" s="307"/>
      <c r="AU362" s="307"/>
      <c r="AV362" s="307"/>
      <c r="AW362" s="307"/>
      <c r="AX362" s="307"/>
      <c r="AY362" s="307"/>
      <c r="AZ362" s="307"/>
      <c r="BA362" s="307"/>
      <c r="BB362" s="307"/>
      <c r="BC362" s="309"/>
      <c r="BM362" s="309">
        <v>0</v>
      </c>
      <c r="BN362" s="308">
        <f t="shared" si="263"/>
        <v>0</v>
      </c>
      <c r="BO362" s="308">
        <v>0</v>
      </c>
      <c r="BP362" s="308">
        <f t="shared" si="264"/>
        <v>0</v>
      </c>
    </row>
    <row r="363" spans="1:68">
      <c r="A363" s="301" t="s">
        <v>53</v>
      </c>
      <c r="B363" s="308">
        <f>'Monthly D6 Gallon Data'!$T14</f>
        <v>0</v>
      </c>
      <c r="C363" s="308">
        <f>'Monthly D6 Gallon Data'!$T26</f>
        <v>0</v>
      </c>
      <c r="D363" s="308">
        <f>'Monthly D6 Gallon Data'!$T38</f>
        <v>0</v>
      </c>
      <c r="E363" s="308">
        <f>'Monthly D6 Gallon Data'!$T50</f>
        <v>0</v>
      </c>
      <c r="F363" s="308">
        <f>'Monthly D6 Gallon Data'!$T62</f>
        <v>0</v>
      </c>
      <c r="G363" s="308">
        <f>'Monthly D6 Gallon Data'!$T74</f>
        <v>0</v>
      </c>
      <c r="H363" s="308">
        <f>'Monthly D6 Gallon Data'!$T86</f>
        <v>0</v>
      </c>
      <c r="I363" s="308">
        <f>'Monthly D6 Gallon Data'!$T98</f>
        <v>0</v>
      </c>
      <c r="J363" s="308">
        <f>'Monthly D6 Gallon Data'!$T110</f>
        <v>0</v>
      </c>
      <c r="K363" s="308">
        <f>'Monthly D6 Gallon Data'!$T122</f>
        <v>0</v>
      </c>
      <c r="L363" s="308">
        <f>'Monthly D6 Gallon Data'!$T134</f>
        <v>0</v>
      </c>
      <c r="M363" s="308">
        <f>'Monthly D6 Gallon Data'!$T146</f>
        <v>0</v>
      </c>
      <c r="N363" s="308">
        <f>'Monthly D6 Gallon Data'!$T158</f>
        <v>0</v>
      </c>
      <c r="O363" s="308">
        <f>'Monthly D6 Gallon Data'!$T170</f>
        <v>0</v>
      </c>
      <c r="P363" s="308">
        <f>'Monthly D6 Gallon Data'!$T182</f>
        <v>0</v>
      </c>
      <c r="Q363" s="307">
        <v>0</v>
      </c>
      <c r="R363" s="307">
        <v>0</v>
      </c>
      <c r="S363" s="307">
        <v>0</v>
      </c>
      <c r="T363" s="307">
        <v>0</v>
      </c>
      <c r="U363" s="307">
        <v>0</v>
      </c>
      <c r="V363" s="307">
        <v>0</v>
      </c>
      <c r="W363" s="307">
        <v>0</v>
      </c>
      <c r="X363" s="307">
        <v>0</v>
      </c>
      <c r="Y363" s="307">
        <v>0</v>
      </c>
      <c r="Z363" s="307">
        <v>0</v>
      </c>
      <c r="AA363" s="307">
        <v>0</v>
      </c>
      <c r="AB363" s="307">
        <v>0</v>
      </c>
      <c r="AC363" s="307">
        <v>0</v>
      </c>
      <c r="AD363" s="307">
        <v>0</v>
      </c>
      <c r="AE363" s="307">
        <v>0</v>
      </c>
      <c r="AF363" s="307">
        <v>0</v>
      </c>
      <c r="AG363" s="307">
        <v>0</v>
      </c>
      <c r="AH363" s="307">
        <v>0</v>
      </c>
      <c r="AI363" s="307">
        <v>0</v>
      </c>
      <c r="AJ363" s="307">
        <v>0</v>
      </c>
      <c r="AK363" s="307">
        <v>0</v>
      </c>
      <c r="AL363" s="307">
        <v>0</v>
      </c>
      <c r="AM363" s="307">
        <v>0</v>
      </c>
      <c r="AN363" s="307">
        <v>0</v>
      </c>
      <c r="AO363" s="307">
        <v>0</v>
      </c>
      <c r="AP363" s="307">
        <v>0</v>
      </c>
      <c r="AQ363" s="307">
        <v>1</v>
      </c>
      <c r="AR363" s="307"/>
      <c r="AS363" s="307"/>
      <c r="AT363" s="307"/>
      <c r="AU363" s="307"/>
      <c r="AV363" s="307"/>
      <c r="AW363" s="307"/>
      <c r="AX363" s="307"/>
      <c r="AY363" s="307"/>
      <c r="AZ363" s="307"/>
      <c r="BA363" s="307"/>
      <c r="BB363" s="307"/>
      <c r="BC363" s="309"/>
      <c r="BM363" s="309">
        <v>0</v>
      </c>
      <c r="BN363" s="308">
        <f t="shared" si="263"/>
        <v>0</v>
      </c>
      <c r="BO363" s="308">
        <v>0</v>
      </c>
      <c r="BP363" s="308">
        <f t="shared" si="264"/>
        <v>0</v>
      </c>
    </row>
    <row r="364" spans="1:68">
      <c r="A364" s="301" t="s">
        <v>54</v>
      </c>
      <c r="B364" s="308">
        <f>'Monthly D6 Gallon Data'!$T15</f>
        <v>0</v>
      </c>
      <c r="C364" s="308">
        <f>'Monthly D6 Gallon Data'!$T27</f>
        <v>0</v>
      </c>
      <c r="D364" s="308">
        <f>'Monthly D6 Gallon Data'!$T39</f>
        <v>0</v>
      </c>
      <c r="E364" s="308">
        <f>'Monthly D6 Gallon Data'!$T51</f>
        <v>0</v>
      </c>
      <c r="F364" s="308">
        <f>'Monthly D6 Gallon Data'!$T63</f>
        <v>0</v>
      </c>
      <c r="G364" s="308">
        <f>'Monthly D6 Gallon Data'!$T75</f>
        <v>0</v>
      </c>
      <c r="H364" s="308">
        <f>'Monthly D6 Gallon Data'!$T87</f>
        <v>0</v>
      </c>
      <c r="I364" s="308">
        <f>'Monthly D6 Gallon Data'!$T99</f>
        <v>0</v>
      </c>
      <c r="J364" s="308">
        <f>'Monthly D6 Gallon Data'!$T111</f>
        <v>0</v>
      </c>
      <c r="K364" s="308">
        <f>'Monthly D6 Gallon Data'!$T123</f>
        <v>0</v>
      </c>
      <c r="L364" s="308">
        <f>'Monthly D6 Gallon Data'!$T135</f>
        <v>0</v>
      </c>
      <c r="M364" s="308">
        <f>'Monthly D6 Gallon Data'!$T147</f>
        <v>0</v>
      </c>
      <c r="N364" s="308">
        <f>'Monthly D6 Gallon Data'!$T159</f>
        <v>0</v>
      </c>
      <c r="O364" s="308">
        <f>'Monthly D6 Gallon Data'!$T171</f>
        <v>0</v>
      </c>
      <c r="P364" s="308">
        <f>'Monthly D6 Gallon Data'!$T183</f>
        <v>0</v>
      </c>
      <c r="Q364" s="307">
        <v>0</v>
      </c>
      <c r="R364" s="307">
        <v>0</v>
      </c>
      <c r="S364" s="307">
        <v>0</v>
      </c>
      <c r="T364" s="307">
        <v>0</v>
      </c>
      <c r="U364" s="307">
        <v>0</v>
      </c>
      <c r="V364" s="307">
        <v>0</v>
      </c>
      <c r="W364" s="307">
        <v>0</v>
      </c>
      <c r="X364" s="307">
        <v>0</v>
      </c>
      <c r="Y364" s="307">
        <v>0</v>
      </c>
      <c r="Z364" s="307">
        <v>0</v>
      </c>
      <c r="AA364" s="307">
        <v>0</v>
      </c>
      <c r="AB364" s="307">
        <v>0</v>
      </c>
      <c r="AC364" s="307">
        <v>0</v>
      </c>
      <c r="AD364" s="307">
        <v>0</v>
      </c>
      <c r="AE364" s="307">
        <v>0</v>
      </c>
      <c r="AF364" s="307">
        <v>0</v>
      </c>
      <c r="AG364" s="307">
        <v>0</v>
      </c>
      <c r="AH364" s="307">
        <v>0</v>
      </c>
      <c r="AI364" s="307">
        <v>0</v>
      </c>
      <c r="AJ364" s="307">
        <v>0</v>
      </c>
      <c r="AK364" s="307">
        <v>0</v>
      </c>
      <c r="AL364" s="307">
        <v>0</v>
      </c>
      <c r="AM364" s="307">
        <v>0</v>
      </c>
      <c r="AN364" s="307">
        <v>0</v>
      </c>
      <c r="AO364" s="307">
        <v>0</v>
      </c>
      <c r="AP364" s="307">
        <v>0</v>
      </c>
      <c r="AQ364" s="307">
        <v>1</v>
      </c>
      <c r="AR364" s="307"/>
      <c r="AS364" s="307"/>
      <c r="AT364" s="307"/>
      <c r="AU364" s="307"/>
      <c r="AV364" s="307"/>
      <c r="AW364" s="307"/>
      <c r="AX364" s="307"/>
      <c r="AY364" s="307"/>
      <c r="AZ364" s="307"/>
      <c r="BA364" s="307"/>
      <c r="BB364" s="307"/>
      <c r="BC364" s="309"/>
      <c r="BM364" s="309">
        <v>0</v>
      </c>
      <c r="BN364" s="308">
        <f t="shared" si="263"/>
        <v>0</v>
      </c>
      <c r="BO364" s="308">
        <v>0</v>
      </c>
      <c r="BP364" s="308">
        <f t="shared" si="264"/>
        <v>0</v>
      </c>
    </row>
    <row r="365" spans="1:68" ht="12" thickBot="1">
      <c r="A365" s="301" t="s">
        <v>29</v>
      </c>
      <c r="B365" s="308">
        <f t="shared" ref="B365:AQ365" si="265">SUM(B353:B364)</f>
        <v>0</v>
      </c>
      <c r="C365" s="308">
        <f t="shared" si="265"/>
        <v>0</v>
      </c>
      <c r="D365" s="308">
        <f t="shared" si="265"/>
        <v>0</v>
      </c>
      <c r="E365" s="308">
        <f t="shared" si="265"/>
        <v>0</v>
      </c>
      <c r="F365" s="308">
        <f t="shared" si="265"/>
        <v>0</v>
      </c>
      <c r="G365" s="308">
        <f t="shared" si="265"/>
        <v>0</v>
      </c>
      <c r="H365" s="308">
        <f t="shared" si="265"/>
        <v>0</v>
      </c>
      <c r="I365" s="308">
        <f t="shared" si="265"/>
        <v>0</v>
      </c>
      <c r="J365" s="308">
        <f t="shared" si="265"/>
        <v>0</v>
      </c>
      <c r="K365" s="308">
        <f t="shared" si="265"/>
        <v>0</v>
      </c>
      <c r="L365" s="308">
        <f t="shared" si="265"/>
        <v>0</v>
      </c>
      <c r="M365" s="308">
        <f t="shared" si="265"/>
        <v>0</v>
      </c>
      <c r="N365" s="308">
        <f t="shared" si="265"/>
        <v>0</v>
      </c>
      <c r="O365" s="308">
        <f t="shared" si="265"/>
        <v>0</v>
      </c>
      <c r="P365" s="308">
        <f t="shared" si="265"/>
        <v>0</v>
      </c>
      <c r="Q365" s="307">
        <f t="shared" si="265"/>
        <v>0</v>
      </c>
      <c r="R365" s="307">
        <f t="shared" si="265"/>
        <v>0</v>
      </c>
      <c r="S365" s="307">
        <f t="shared" si="265"/>
        <v>0</v>
      </c>
      <c r="T365" s="307">
        <f t="shared" si="265"/>
        <v>0</v>
      </c>
      <c r="U365" s="307">
        <f t="shared" si="265"/>
        <v>0</v>
      </c>
      <c r="V365" s="307">
        <f t="shared" si="265"/>
        <v>0</v>
      </c>
      <c r="W365" s="307">
        <f t="shared" si="265"/>
        <v>0</v>
      </c>
      <c r="X365" s="307">
        <f t="shared" si="265"/>
        <v>0</v>
      </c>
      <c r="Y365" s="307">
        <f t="shared" si="265"/>
        <v>0</v>
      </c>
      <c r="Z365" s="307">
        <f t="shared" si="265"/>
        <v>0</v>
      </c>
      <c r="AA365" s="307">
        <f t="shared" si="265"/>
        <v>0</v>
      </c>
      <c r="AB365" s="307">
        <f t="shared" si="265"/>
        <v>0</v>
      </c>
      <c r="AC365" s="307">
        <f t="shared" si="265"/>
        <v>0</v>
      </c>
      <c r="AD365" s="307">
        <f t="shared" si="265"/>
        <v>0</v>
      </c>
      <c r="AE365" s="307">
        <f t="shared" si="265"/>
        <v>0</v>
      </c>
      <c r="AF365" s="307">
        <f t="shared" si="265"/>
        <v>0</v>
      </c>
      <c r="AG365" s="307">
        <f t="shared" si="265"/>
        <v>0</v>
      </c>
      <c r="AH365" s="307">
        <f t="shared" si="265"/>
        <v>0</v>
      </c>
      <c r="AI365" s="307">
        <f t="shared" si="265"/>
        <v>0</v>
      </c>
      <c r="AJ365" s="307">
        <f t="shared" si="265"/>
        <v>0</v>
      </c>
      <c r="AK365" s="307">
        <f t="shared" si="265"/>
        <v>0</v>
      </c>
      <c r="AL365" s="307">
        <f t="shared" si="265"/>
        <v>0</v>
      </c>
      <c r="AM365" s="307">
        <f t="shared" si="265"/>
        <v>0</v>
      </c>
      <c r="AN365" s="307">
        <f t="shared" si="265"/>
        <v>0</v>
      </c>
      <c r="AO365" s="307">
        <f t="shared" si="265"/>
        <v>0</v>
      </c>
      <c r="AP365" s="307">
        <f t="shared" si="265"/>
        <v>0</v>
      </c>
      <c r="AQ365" s="307">
        <f t="shared" si="265"/>
        <v>12</v>
      </c>
      <c r="AR365" s="307"/>
      <c r="AS365" s="307"/>
      <c r="AT365" s="307"/>
      <c r="AU365" s="307"/>
      <c r="AV365" s="307"/>
      <c r="AW365" s="307"/>
      <c r="AX365" s="307"/>
      <c r="AY365" s="307"/>
      <c r="AZ365" s="307"/>
      <c r="BA365" s="307"/>
      <c r="BB365" s="307"/>
      <c r="BC365" s="309"/>
      <c r="BM365" s="309">
        <v>0</v>
      </c>
      <c r="BN365" s="308">
        <f t="shared" si="263"/>
        <v>0</v>
      </c>
      <c r="BO365" s="308">
        <v>0</v>
      </c>
      <c r="BP365" s="308">
        <f t="shared" si="264"/>
        <v>0</v>
      </c>
    </row>
    <row r="366" spans="1:68">
      <c r="A366" s="334"/>
      <c r="B366" s="334"/>
      <c r="C366" s="334"/>
      <c r="D366" s="334"/>
      <c r="E366" s="334"/>
      <c r="F366" s="334"/>
      <c r="G366" s="334"/>
      <c r="H366" s="334"/>
      <c r="I366" s="334"/>
      <c r="J366" s="334"/>
      <c r="K366" s="334"/>
      <c r="L366" s="334"/>
      <c r="M366" s="334"/>
      <c r="N366" s="334"/>
      <c r="O366" s="334"/>
      <c r="P366" s="334"/>
      <c r="Q366" s="334"/>
      <c r="R366" s="334"/>
      <c r="S366" s="334"/>
      <c r="T366" s="334"/>
      <c r="U366" s="334"/>
      <c r="V366" s="334"/>
      <c r="W366" s="334"/>
      <c r="X366" s="334"/>
      <c r="Y366" s="334"/>
      <c r="Z366" s="334"/>
      <c r="AA366" s="334"/>
      <c r="AB366" s="334"/>
      <c r="AC366" s="334"/>
      <c r="AD366" s="334"/>
      <c r="AE366" s="334"/>
      <c r="AF366" s="334"/>
      <c r="AG366" s="334"/>
      <c r="AH366" s="334"/>
      <c r="AI366" s="334"/>
      <c r="AJ366" s="334"/>
      <c r="AK366" s="334"/>
      <c r="AL366" s="334"/>
      <c r="AM366" s="334"/>
      <c r="AN366" s="334"/>
      <c r="AO366" s="334"/>
      <c r="AP366" s="334"/>
      <c r="AQ366" s="334"/>
      <c r="BC366" s="308"/>
    </row>
    <row r="367" spans="1:68">
      <c r="BC367" s="308"/>
    </row>
    <row r="368" spans="1:68" ht="12" thickBot="1">
      <c r="A368" s="300" t="s">
        <v>508</v>
      </c>
      <c r="BC368" s="308"/>
    </row>
    <row r="369" spans="1:70" ht="12" thickBot="1">
      <c r="A369" s="328"/>
      <c r="B369" s="329">
        <f t="shared" ref="B369:AQ369" si="266">B2</f>
        <v>2010</v>
      </c>
      <c r="C369" s="329">
        <f t="shared" si="266"/>
        <v>2011</v>
      </c>
      <c r="D369" s="329">
        <f t="shared" si="266"/>
        <v>2012</v>
      </c>
      <c r="E369" s="329">
        <f t="shared" si="266"/>
        <v>2013</v>
      </c>
      <c r="F369" s="329">
        <f t="shared" si="266"/>
        <v>2014</v>
      </c>
      <c r="G369" s="329">
        <f t="shared" si="266"/>
        <v>2015</v>
      </c>
      <c r="H369" s="329">
        <f t="shared" si="266"/>
        <v>2016</v>
      </c>
      <c r="I369" s="329">
        <f t="shared" si="266"/>
        <v>2017</v>
      </c>
      <c r="J369" s="329">
        <f t="shared" si="266"/>
        <v>2018</v>
      </c>
      <c r="K369" s="329">
        <f t="shared" si="266"/>
        <v>2019</v>
      </c>
      <c r="L369" s="329">
        <f t="shared" si="266"/>
        <v>2020</v>
      </c>
      <c r="M369" s="329">
        <f t="shared" si="266"/>
        <v>2021</v>
      </c>
      <c r="N369" s="329">
        <f t="shared" si="266"/>
        <v>2022</v>
      </c>
      <c r="O369" s="329">
        <f t="shared" si="266"/>
        <v>2023</v>
      </c>
      <c r="P369" s="329">
        <f t="shared" si="266"/>
        <v>2024</v>
      </c>
      <c r="Q369" s="329">
        <f t="shared" si="266"/>
        <v>2025</v>
      </c>
      <c r="R369" s="329">
        <f t="shared" si="266"/>
        <v>2026</v>
      </c>
      <c r="S369" s="329">
        <f t="shared" si="266"/>
        <v>2027</v>
      </c>
      <c r="T369" s="329">
        <f t="shared" si="266"/>
        <v>2028</v>
      </c>
      <c r="U369" s="329">
        <f t="shared" si="266"/>
        <v>2029</v>
      </c>
      <c r="V369" s="329">
        <f t="shared" si="266"/>
        <v>2030</v>
      </c>
      <c r="W369" s="329">
        <f t="shared" si="266"/>
        <v>2031</v>
      </c>
      <c r="X369" s="329">
        <f t="shared" si="266"/>
        <v>2032</v>
      </c>
      <c r="Y369" s="329">
        <f t="shared" si="266"/>
        <v>2033</v>
      </c>
      <c r="Z369" s="329">
        <f t="shared" si="266"/>
        <v>2034</v>
      </c>
      <c r="AA369" s="329">
        <f t="shared" si="266"/>
        <v>2035</v>
      </c>
      <c r="AB369" s="329">
        <f t="shared" si="266"/>
        <v>2036</v>
      </c>
      <c r="AC369" s="329">
        <f t="shared" si="266"/>
        <v>2037</v>
      </c>
      <c r="AD369" s="329">
        <f t="shared" si="266"/>
        <v>2038</v>
      </c>
      <c r="AE369" s="329">
        <f t="shared" si="266"/>
        <v>2039</v>
      </c>
      <c r="AF369" s="329">
        <f t="shared" si="266"/>
        <v>2040</v>
      </c>
      <c r="AG369" s="329">
        <f t="shared" si="266"/>
        <v>2041</v>
      </c>
      <c r="AH369" s="329">
        <f t="shared" si="266"/>
        <v>2042</v>
      </c>
      <c r="AI369" s="329">
        <f t="shared" si="266"/>
        <v>2043</v>
      </c>
      <c r="AJ369" s="329">
        <f t="shared" si="266"/>
        <v>2044</v>
      </c>
      <c r="AK369" s="329">
        <f t="shared" si="266"/>
        <v>2045</v>
      </c>
      <c r="AL369" s="329">
        <f t="shared" si="266"/>
        <v>2046</v>
      </c>
      <c r="AM369" s="329">
        <f t="shared" si="266"/>
        <v>2047</v>
      </c>
      <c r="AN369" s="329">
        <f t="shared" si="266"/>
        <v>2048</v>
      </c>
      <c r="AO369" s="329">
        <f t="shared" si="266"/>
        <v>2049</v>
      </c>
      <c r="AP369" s="329">
        <f t="shared" si="266"/>
        <v>2050</v>
      </c>
      <c r="AQ369" s="329">
        <f t="shared" si="266"/>
        <v>2051</v>
      </c>
      <c r="AR369" s="329"/>
      <c r="AS369" s="329"/>
      <c r="AT369" s="329"/>
      <c r="AU369" s="329"/>
      <c r="AV369" s="329"/>
      <c r="AW369" s="329"/>
      <c r="AX369" s="329"/>
      <c r="AY369" s="329"/>
      <c r="AZ369" s="329"/>
      <c r="BA369" s="329"/>
      <c r="BB369" s="329"/>
      <c r="BC369" s="329">
        <f t="shared" ref="BC369:BP369" si="267">BC2</f>
        <v>0</v>
      </c>
      <c r="BD369" s="329">
        <f t="shared" si="267"/>
        <v>0</v>
      </c>
      <c r="BE369" s="329">
        <f t="shared" si="267"/>
        <v>2020</v>
      </c>
      <c r="BF369" s="329">
        <f t="shared" si="267"/>
        <v>0</v>
      </c>
      <c r="BG369" s="329">
        <f t="shared" si="267"/>
        <v>2021</v>
      </c>
      <c r="BH369" s="329">
        <f t="shared" si="267"/>
        <v>0</v>
      </c>
      <c r="BI369" s="329">
        <f t="shared" si="267"/>
        <v>2022</v>
      </c>
      <c r="BJ369" s="329">
        <f t="shared" si="267"/>
        <v>0</v>
      </c>
      <c r="BK369" s="329">
        <f t="shared" si="267"/>
        <v>2023</v>
      </c>
      <c r="BL369" s="329">
        <f t="shared" si="267"/>
        <v>0</v>
      </c>
      <c r="BM369" s="329">
        <f t="shared" si="267"/>
        <v>2024</v>
      </c>
      <c r="BN369" s="329">
        <f t="shared" si="267"/>
        <v>0</v>
      </c>
      <c r="BO369" s="329">
        <f t="shared" si="267"/>
        <v>2025</v>
      </c>
      <c r="BP369" s="329">
        <f t="shared" si="267"/>
        <v>0</v>
      </c>
      <c r="BQ369" s="308"/>
    </row>
    <row r="370" spans="1:70">
      <c r="A370" s="301" t="s">
        <v>509</v>
      </c>
      <c r="B370" s="409">
        <v>133.06440000000001</v>
      </c>
      <c r="C370" s="409">
        <v>135.51719999999997</v>
      </c>
      <c r="D370" s="409">
        <v>136.74360000000001</v>
      </c>
      <c r="E370" s="409">
        <v>140.7294</v>
      </c>
      <c r="F370" s="409">
        <v>142.87560000000002</v>
      </c>
      <c r="G370" s="409">
        <v>143.02889999999999</v>
      </c>
      <c r="H370" s="409">
        <v>143.02889999999999</v>
      </c>
      <c r="I370" s="409">
        <v>142.72230000000002</v>
      </c>
      <c r="J370" s="409">
        <v>123.40650000000001</v>
      </c>
      <c r="K370" s="409">
        <v>135.2106</v>
      </c>
      <c r="L370" s="409">
        <v>135.05730000000003</v>
      </c>
      <c r="M370" s="409">
        <v>137.05019999999999</v>
      </c>
      <c r="N370" s="410">
        <v>136.59030000000001</v>
      </c>
      <c r="O370" s="410">
        <v>137.05000000000001</v>
      </c>
      <c r="P370" s="411">
        <v>137.05019999999999</v>
      </c>
      <c r="Q370" s="411">
        <v>136.28370000000001</v>
      </c>
      <c r="R370" s="411">
        <f>Q370</f>
        <v>136.28370000000001</v>
      </c>
      <c r="S370" s="412">
        <f t="shared" ref="S370:AQ370" si="268">S29</f>
        <v>137.83754880000001</v>
      </c>
      <c r="T370" s="412">
        <f t="shared" si="268"/>
        <v>138.94024919040001</v>
      </c>
      <c r="U370" s="412">
        <f t="shared" si="268"/>
        <v>140.05177118392322</v>
      </c>
      <c r="V370" s="412">
        <f t="shared" si="268"/>
        <v>141.17218535339461</v>
      </c>
      <c r="W370" s="412">
        <f t="shared" si="268"/>
        <v>142.30156283622176</v>
      </c>
      <c r="X370" s="412">
        <f t="shared" si="268"/>
        <v>143.43997533891155</v>
      </c>
      <c r="Y370" s="412">
        <f t="shared" si="268"/>
        <v>144.58749514162284</v>
      </c>
      <c r="Z370" s="412">
        <f t="shared" si="268"/>
        <v>145.74419510275581</v>
      </c>
      <c r="AA370" s="412">
        <f t="shared" si="268"/>
        <v>146.91014866357787</v>
      </c>
      <c r="AB370" s="412">
        <f t="shared" si="268"/>
        <v>148.08542985288651</v>
      </c>
      <c r="AC370" s="412">
        <f t="shared" si="268"/>
        <v>149.27011329170961</v>
      </c>
      <c r="AD370" s="412">
        <f t="shared" si="268"/>
        <v>150.46427419804328</v>
      </c>
      <c r="AE370" s="412">
        <f t="shared" si="268"/>
        <v>151.66798839162763</v>
      </c>
      <c r="AF370" s="412">
        <f t="shared" si="268"/>
        <v>152.88133229876064</v>
      </c>
      <c r="AG370" s="412">
        <f t="shared" si="268"/>
        <v>154.10438295715073</v>
      </c>
      <c r="AH370" s="412">
        <f t="shared" si="268"/>
        <v>155.33721802080794</v>
      </c>
      <c r="AI370" s="412">
        <f t="shared" si="268"/>
        <v>156.5799157649744</v>
      </c>
      <c r="AJ370" s="412">
        <f t="shared" si="268"/>
        <v>157.83255509109421</v>
      </c>
      <c r="AK370" s="412">
        <f t="shared" si="268"/>
        <v>159.09521553182296</v>
      </c>
      <c r="AL370" s="412">
        <f t="shared" si="268"/>
        <v>160.36797725607755</v>
      </c>
      <c r="AM370" s="412">
        <f t="shared" si="268"/>
        <v>161.65092107412616</v>
      </c>
      <c r="AN370" s="412">
        <f t="shared" si="268"/>
        <v>162.94412844271918</v>
      </c>
      <c r="AO370" s="412">
        <f t="shared" si="268"/>
        <v>164.24768147026094</v>
      </c>
      <c r="AP370" s="412">
        <f t="shared" si="268"/>
        <v>165.56166292202303</v>
      </c>
      <c r="AQ370" s="412">
        <f t="shared" si="268"/>
        <v>166.88615622539922</v>
      </c>
      <c r="AR370" s="412"/>
      <c r="AS370" s="412"/>
      <c r="AT370" s="412"/>
      <c r="AU370" s="412"/>
      <c r="AV370" s="412"/>
      <c r="AW370" s="412"/>
      <c r="AX370" s="412"/>
      <c r="AY370" s="412"/>
      <c r="AZ370" s="412"/>
      <c r="BA370" s="412"/>
      <c r="BB370" s="412"/>
      <c r="BC370" s="412">
        <f t="shared" ref="BC370:BP370" si="269">BC29</f>
        <v>155.33721802080794</v>
      </c>
      <c r="BD370" s="412" t="str">
        <f t="shared" si="269"/>
        <v>EIA STEO</v>
      </c>
      <c r="BE370" s="412">
        <f t="shared" si="269"/>
        <v>0</v>
      </c>
      <c r="BF370" s="412">
        <f t="shared" si="269"/>
        <v>0</v>
      </c>
      <c r="BG370" s="412">
        <f t="shared" si="269"/>
        <v>0</v>
      </c>
      <c r="BH370" s="412">
        <f t="shared" si="269"/>
        <v>0</v>
      </c>
      <c r="BI370" s="412">
        <f t="shared" si="269"/>
        <v>0</v>
      </c>
      <c r="BJ370" s="412">
        <f t="shared" si="269"/>
        <v>0</v>
      </c>
      <c r="BK370" s="412">
        <f t="shared" si="269"/>
        <v>0</v>
      </c>
      <c r="BL370" s="412">
        <f t="shared" si="269"/>
        <v>0</v>
      </c>
      <c r="BM370" s="412">
        <f t="shared" si="269"/>
        <v>0</v>
      </c>
      <c r="BN370" s="412">
        <f t="shared" si="269"/>
        <v>0</v>
      </c>
      <c r="BO370" s="412">
        <f t="shared" si="269"/>
        <v>0</v>
      </c>
      <c r="BP370" s="412">
        <f t="shared" si="269"/>
        <v>0</v>
      </c>
      <c r="BQ370" s="308">
        <v>0.93</v>
      </c>
      <c r="BR370" s="301">
        <f>BQ370*42*365</f>
        <v>14256.900000000001</v>
      </c>
    </row>
    <row r="371" spans="1:70">
      <c r="A371" s="301" t="s">
        <v>510</v>
      </c>
      <c r="B371" s="409">
        <v>13.1838</v>
      </c>
      <c r="C371" s="409">
        <v>13.3371</v>
      </c>
      <c r="D371" s="409">
        <v>14.256900000000002</v>
      </c>
      <c r="E371" s="409">
        <v>14.870100000000001</v>
      </c>
      <c r="F371" s="409">
        <v>15.33</v>
      </c>
      <c r="G371" s="409">
        <v>15.943200000000001</v>
      </c>
      <c r="H371" s="409">
        <v>16.096499999999999</v>
      </c>
      <c r="I371" s="409">
        <v>15.789899999999999</v>
      </c>
      <c r="J371" s="409">
        <v>13.950299999999999</v>
      </c>
      <c r="K371" s="409">
        <v>15.023399999999999</v>
      </c>
      <c r="L371" s="409">
        <v>15.33</v>
      </c>
      <c r="M371" s="409">
        <v>15.6366</v>
      </c>
      <c r="N371" s="409">
        <v>15.789899999999999</v>
      </c>
      <c r="O371" s="409">
        <v>14.257</v>
      </c>
      <c r="P371" s="412">
        <f>P6/1000000000</f>
        <v>14.867527797999999</v>
      </c>
      <c r="Q371" s="412">
        <f t="shared" ref="Q371:AQ371" si="270">Q6/1000000000</f>
        <v>14.595688774088144</v>
      </c>
      <c r="R371" s="412">
        <f t="shared" si="270"/>
        <v>14.667793890620512</v>
      </c>
      <c r="S371" s="412">
        <f t="shared" si="270"/>
        <v>14.699514784203904</v>
      </c>
      <c r="T371" s="412">
        <f t="shared" si="270"/>
        <v>14.846102876012687</v>
      </c>
      <c r="U371" s="412">
        <f t="shared" si="270"/>
        <v>14.957696786482641</v>
      </c>
      <c r="V371" s="412">
        <f t="shared" si="270"/>
        <v>15.056049140126476</v>
      </c>
      <c r="W371" s="412">
        <f t="shared" si="270"/>
        <v>15.216356925802042</v>
      </c>
      <c r="X371" s="412">
        <f t="shared" si="270"/>
        <v>15.328389301091821</v>
      </c>
      <c r="Y371" s="412">
        <f t="shared" si="270"/>
        <v>15.457248807180266</v>
      </c>
      <c r="Z371" s="412">
        <f t="shared" si="270"/>
        <v>15.58236395476864</v>
      </c>
      <c r="AA371" s="412">
        <f t="shared" si="270"/>
        <v>15.710291497706242</v>
      </c>
      <c r="AB371" s="412">
        <f t="shared" si="270"/>
        <v>15.844398914029869</v>
      </c>
      <c r="AC371" s="412">
        <f t="shared" si="270"/>
        <v>15.972983623555962</v>
      </c>
      <c r="AD371" s="412">
        <f t="shared" si="270"/>
        <v>16.105015961298559</v>
      </c>
      <c r="AE371" s="412">
        <f t="shared" si="270"/>
        <v>16.237688318037929</v>
      </c>
      <c r="AF371" s="412">
        <f t="shared" si="270"/>
        <v>16.371920385928846</v>
      </c>
      <c r="AG371" s="412">
        <f t="shared" si="270"/>
        <v>16.507449056589117</v>
      </c>
      <c r="AH371" s="412">
        <f t="shared" si="270"/>
        <v>16.643249598229232</v>
      </c>
      <c r="AI371" s="412">
        <f t="shared" si="270"/>
        <v>16.780537625081624</v>
      </c>
      <c r="AJ371" s="412">
        <f t="shared" si="270"/>
        <v>16.918901622124743</v>
      </c>
      <c r="AK371" s="412">
        <f t="shared" si="270"/>
        <v>17.058432840526542</v>
      </c>
      <c r="AL371" s="412">
        <f t="shared" si="270"/>
        <v>17.199048711748389</v>
      </c>
      <c r="AM371" s="412">
        <f t="shared" si="270"/>
        <v>17.340704559461738</v>
      </c>
      <c r="AN371" s="412">
        <f t="shared" si="270"/>
        <v>17.483561325822471</v>
      </c>
      <c r="AO371" s="412">
        <f t="shared" si="270"/>
        <v>17.627558657816721</v>
      </c>
      <c r="AP371" s="412">
        <f t="shared" si="270"/>
        <v>17.772709885846158</v>
      </c>
      <c r="AQ371" s="412">
        <f t="shared" si="270"/>
        <v>17.919011990411629</v>
      </c>
      <c r="AR371" s="412"/>
      <c r="AS371" s="412"/>
      <c r="AT371" s="412"/>
      <c r="AU371" s="412"/>
      <c r="AV371" s="412"/>
      <c r="AW371" s="412"/>
      <c r="AX371" s="412"/>
      <c r="AY371" s="412"/>
      <c r="AZ371" s="412"/>
      <c r="BA371" s="412"/>
      <c r="BB371" s="412"/>
      <c r="BC371" s="412">
        <f t="shared" ref="BC371:BP371" si="271">BC6/1000000000</f>
        <v>0</v>
      </c>
      <c r="BD371" s="412">
        <f t="shared" si="271"/>
        <v>0</v>
      </c>
      <c r="BE371" s="412">
        <f t="shared" si="271"/>
        <v>12.87476588</v>
      </c>
      <c r="BF371" s="412">
        <f t="shared" si="271"/>
        <v>-1.7573262999999999E-2</v>
      </c>
      <c r="BG371" s="412">
        <f t="shared" si="271"/>
        <v>14.275499999999999</v>
      </c>
      <c r="BH371" s="412">
        <f t="shared" si="271"/>
        <v>-0.15189610100000001</v>
      </c>
      <c r="BI371" s="412">
        <f t="shared" si="271"/>
        <v>14.485305083507356</v>
      </c>
      <c r="BJ371" s="412">
        <f t="shared" si="271"/>
        <v>-6.1801253507356643E-2</v>
      </c>
      <c r="BK371" s="412">
        <f t="shared" si="271"/>
        <v>14.593055524931493</v>
      </c>
      <c r="BL371" s="412">
        <f t="shared" si="271"/>
        <v>8.5686006068506237E-2</v>
      </c>
      <c r="BM371" s="412">
        <f t="shared" si="271"/>
        <v>15.18789979672332</v>
      </c>
      <c r="BN371" s="412">
        <f t="shared" si="271"/>
        <v>-0.32037199872332001</v>
      </c>
      <c r="BO371" s="412">
        <f t="shared" si="271"/>
        <v>14.595688774088144</v>
      </c>
      <c r="BP371" s="412">
        <f t="shared" si="271"/>
        <v>0</v>
      </c>
      <c r="BQ371" s="308">
        <v>0.93</v>
      </c>
      <c r="BR371" s="301">
        <f>BQ371*42*365</f>
        <v>14256.900000000001</v>
      </c>
    </row>
    <row r="372" spans="1:70">
      <c r="A372" s="301" t="s">
        <v>511</v>
      </c>
      <c r="B372" s="326">
        <f>B371/B370</f>
        <v>9.9078341013824872E-2</v>
      </c>
      <c r="C372" s="326">
        <f t="shared" ref="C372:AQ372" si="272">C371/C370</f>
        <v>9.8416289592760192E-2</v>
      </c>
      <c r="D372" s="326">
        <f t="shared" si="272"/>
        <v>0.10426008968609865</v>
      </c>
      <c r="E372" s="326">
        <f t="shared" si="272"/>
        <v>0.1056644880174292</v>
      </c>
      <c r="F372" s="326">
        <f t="shared" si="272"/>
        <v>0.10729613733905578</v>
      </c>
      <c r="G372" s="326">
        <f t="shared" si="272"/>
        <v>0.11146838156484459</v>
      </c>
      <c r="H372" s="326">
        <f t="shared" si="272"/>
        <v>0.11254019292604502</v>
      </c>
      <c r="I372" s="326">
        <f t="shared" si="272"/>
        <v>0.11063372717508053</v>
      </c>
      <c r="J372" s="326">
        <f t="shared" si="272"/>
        <v>0.11304347826086955</v>
      </c>
      <c r="K372" s="326">
        <f t="shared" si="272"/>
        <v>0.1111111111111111</v>
      </c>
      <c r="L372" s="326">
        <f t="shared" si="272"/>
        <v>0.11350737797956865</v>
      </c>
      <c r="M372" s="326">
        <f t="shared" si="272"/>
        <v>0.11409395973154363</v>
      </c>
      <c r="N372" s="326">
        <f t="shared" si="272"/>
        <v>0.11560044893378225</v>
      </c>
      <c r="O372" s="326">
        <f t="shared" si="272"/>
        <v>0.10402772710689528</v>
      </c>
      <c r="P372" s="395">
        <f t="shared" si="272"/>
        <v>0.10848235024830317</v>
      </c>
      <c r="Q372" s="395">
        <f t="shared" si="272"/>
        <v>0.10709783175895682</v>
      </c>
      <c r="R372" s="395">
        <f t="shared" si="272"/>
        <v>0.10762691276081079</v>
      </c>
      <c r="S372" s="395">
        <f t="shared" si="272"/>
        <v>0.10664376225619519</v>
      </c>
      <c r="T372" s="395">
        <f t="shared" si="272"/>
        <v>0.10685242730253049</v>
      </c>
      <c r="U372" s="395">
        <f t="shared" si="272"/>
        <v>0.10680119687197259</v>
      </c>
      <c r="V372" s="395">
        <f t="shared" si="272"/>
        <v>0.10665025197730595</v>
      </c>
      <c r="W372" s="395">
        <f t="shared" si="272"/>
        <v>0.10693035707074354</v>
      </c>
      <c r="X372" s="395">
        <f t="shared" si="272"/>
        <v>0.10686274356137335</v>
      </c>
      <c r="Y372" s="395">
        <f t="shared" si="272"/>
        <v>0.10690584819966592</v>
      </c>
      <c r="Z372" s="395">
        <f t="shared" si="272"/>
        <v>0.10691584624541935</v>
      </c>
      <c r="AA372" s="395">
        <f t="shared" si="272"/>
        <v>0.1069380954319404</v>
      </c>
      <c r="AB372" s="395">
        <f t="shared" si="272"/>
        <v>0.10699498883698602</v>
      </c>
      <c r="AC372" s="395">
        <f t="shared" si="272"/>
        <v>0.10700724526376502</v>
      </c>
      <c r="AD372" s="395">
        <f t="shared" si="272"/>
        <v>0.1070354809946506</v>
      </c>
      <c r="AE372" s="395">
        <f t="shared" si="272"/>
        <v>0.10706074821873408</v>
      </c>
      <c r="AF372" s="395">
        <f t="shared" si="272"/>
        <v>0.10708907451130034</v>
      </c>
      <c r="AG372" s="395">
        <f t="shared" si="272"/>
        <v>0.10711862141636212</v>
      </c>
      <c r="AH372" s="395">
        <f t="shared" si="272"/>
        <v>0.10714270417795053</v>
      </c>
      <c r="AI372" s="395">
        <f t="shared" si="272"/>
        <v>0.10716915731561077</v>
      </c>
      <c r="AJ372" s="395">
        <f t="shared" si="272"/>
        <v>0.10719525900318774</v>
      </c>
      <c r="AK372" s="395">
        <f t="shared" si="272"/>
        <v>0.10722153261179898</v>
      </c>
      <c r="AL372" s="395">
        <f t="shared" si="272"/>
        <v>0.10724740067204774</v>
      </c>
      <c r="AM372" s="395">
        <f t="shared" si="272"/>
        <v>0.1072725379121721</v>
      </c>
      <c r="AN372" s="395">
        <f t="shared" si="272"/>
        <v>0.10729789095756576</v>
      </c>
      <c r="AO372" s="395">
        <f t="shared" si="272"/>
        <v>0.10732302885510385</v>
      </c>
      <c r="AP372" s="395">
        <f t="shared" si="272"/>
        <v>0.10734797882657671</v>
      </c>
      <c r="AQ372" s="395">
        <f t="shared" si="272"/>
        <v>0.10737266886421612</v>
      </c>
      <c r="AR372" s="395"/>
      <c r="AS372" s="395"/>
      <c r="AT372" s="395"/>
      <c r="AU372" s="395"/>
      <c r="AV372" s="395"/>
      <c r="AW372" s="395"/>
      <c r="AX372" s="395"/>
      <c r="AY372" s="395"/>
      <c r="AZ372" s="395"/>
      <c r="BA372" s="395"/>
      <c r="BB372" s="395"/>
      <c r="BC372" s="395">
        <f t="shared" ref="BC372:BP372" si="273">BC371/BC370</f>
        <v>0</v>
      </c>
      <c r="BD372" s="395" t="e">
        <f t="shared" si="273"/>
        <v>#VALUE!</v>
      </c>
      <c r="BE372" s="395" t="e">
        <f t="shared" si="273"/>
        <v>#DIV/0!</v>
      </c>
      <c r="BF372" s="395" t="e">
        <f t="shared" si="273"/>
        <v>#DIV/0!</v>
      </c>
      <c r="BG372" s="395" t="e">
        <f t="shared" si="273"/>
        <v>#DIV/0!</v>
      </c>
      <c r="BH372" s="395" t="e">
        <f t="shared" si="273"/>
        <v>#DIV/0!</v>
      </c>
      <c r="BI372" s="395" t="e">
        <f t="shared" si="273"/>
        <v>#DIV/0!</v>
      </c>
      <c r="BJ372" s="395" t="e">
        <f t="shared" si="273"/>
        <v>#DIV/0!</v>
      </c>
      <c r="BK372" s="395" t="e">
        <f t="shared" si="273"/>
        <v>#DIV/0!</v>
      </c>
      <c r="BL372" s="395" t="e">
        <f t="shared" si="273"/>
        <v>#DIV/0!</v>
      </c>
      <c r="BM372" s="395" t="e">
        <f t="shared" si="273"/>
        <v>#DIV/0!</v>
      </c>
      <c r="BN372" s="395" t="e">
        <f t="shared" si="273"/>
        <v>#DIV/0!</v>
      </c>
      <c r="BO372" s="395" t="e">
        <f t="shared" si="273"/>
        <v>#DIV/0!</v>
      </c>
      <c r="BP372" s="395" t="e">
        <f t="shared" si="273"/>
        <v>#DIV/0!</v>
      </c>
      <c r="BQ372" s="308">
        <v>0.93</v>
      </c>
      <c r="BR372" s="301">
        <f>BQ372*42*365</f>
        <v>14256.900000000001</v>
      </c>
    </row>
    <row r="373" spans="1:70">
      <c r="A373" s="301" t="s">
        <v>512</v>
      </c>
      <c r="B373" s="409">
        <f t="shared" ref="B373:P373" si="274">B6/1000000000</f>
        <v>6.7773083710000002</v>
      </c>
      <c r="C373" s="409">
        <f t="shared" si="274"/>
        <v>13.609057119999999</v>
      </c>
      <c r="D373" s="409">
        <f t="shared" si="274"/>
        <v>12.986723081999999</v>
      </c>
      <c r="E373" s="409">
        <f t="shared" si="274"/>
        <v>13.098970936000001</v>
      </c>
      <c r="F373" s="409">
        <f t="shared" si="274"/>
        <v>14.021921395</v>
      </c>
      <c r="G373" s="409">
        <f t="shared" si="274"/>
        <v>14.39331894</v>
      </c>
      <c r="H373" s="409">
        <f t="shared" si="274"/>
        <v>14.724613294999999</v>
      </c>
      <c r="I373" s="409">
        <f t="shared" si="274"/>
        <v>14.864220246</v>
      </c>
      <c r="J373" s="409">
        <f t="shared" si="274"/>
        <v>14.96724335</v>
      </c>
      <c r="K373" s="409">
        <f t="shared" si="274"/>
        <v>14.730393612</v>
      </c>
      <c r="L373" s="409">
        <f t="shared" si="274"/>
        <v>12.857192617000001</v>
      </c>
      <c r="M373" s="409">
        <f t="shared" si="274"/>
        <v>14.123603899000001</v>
      </c>
      <c r="N373" s="409">
        <f t="shared" si="274"/>
        <v>14.42350383</v>
      </c>
      <c r="O373" s="409">
        <f>O6/1000000000</f>
        <v>14.678741531</v>
      </c>
      <c r="P373" s="412">
        <f t="shared" si="274"/>
        <v>14.867527797999999</v>
      </c>
      <c r="Q373" s="412">
        <f>Q371</f>
        <v>14.595688774088144</v>
      </c>
      <c r="R373" s="412">
        <f t="shared" ref="R373:AQ373" si="275">R371</f>
        <v>14.667793890620512</v>
      </c>
      <c r="S373" s="413">
        <f t="shared" si="275"/>
        <v>14.699514784203904</v>
      </c>
      <c r="T373" s="413">
        <f t="shared" si="275"/>
        <v>14.846102876012687</v>
      </c>
      <c r="U373" s="413">
        <f t="shared" si="275"/>
        <v>14.957696786482641</v>
      </c>
      <c r="V373" s="413">
        <f t="shared" si="275"/>
        <v>15.056049140126476</v>
      </c>
      <c r="W373" s="413">
        <f t="shared" si="275"/>
        <v>15.216356925802042</v>
      </c>
      <c r="X373" s="413">
        <f t="shared" si="275"/>
        <v>15.328389301091821</v>
      </c>
      <c r="Y373" s="413">
        <f t="shared" si="275"/>
        <v>15.457248807180266</v>
      </c>
      <c r="Z373" s="413">
        <f t="shared" si="275"/>
        <v>15.58236395476864</v>
      </c>
      <c r="AA373" s="413">
        <f t="shared" si="275"/>
        <v>15.710291497706242</v>
      </c>
      <c r="AB373" s="413">
        <f t="shared" si="275"/>
        <v>15.844398914029869</v>
      </c>
      <c r="AC373" s="413">
        <f t="shared" si="275"/>
        <v>15.972983623555962</v>
      </c>
      <c r="AD373" s="413">
        <f t="shared" si="275"/>
        <v>16.105015961298559</v>
      </c>
      <c r="AE373" s="413">
        <f t="shared" si="275"/>
        <v>16.237688318037929</v>
      </c>
      <c r="AF373" s="413">
        <f t="shared" si="275"/>
        <v>16.371920385928846</v>
      </c>
      <c r="AG373" s="413">
        <f t="shared" si="275"/>
        <v>16.507449056589117</v>
      </c>
      <c r="AH373" s="413">
        <f t="shared" si="275"/>
        <v>16.643249598229232</v>
      </c>
      <c r="AI373" s="413">
        <f t="shared" si="275"/>
        <v>16.780537625081624</v>
      </c>
      <c r="AJ373" s="413">
        <f t="shared" si="275"/>
        <v>16.918901622124743</v>
      </c>
      <c r="AK373" s="413">
        <f t="shared" si="275"/>
        <v>17.058432840526542</v>
      </c>
      <c r="AL373" s="413">
        <f t="shared" si="275"/>
        <v>17.199048711748389</v>
      </c>
      <c r="AM373" s="413">
        <f t="shared" si="275"/>
        <v>17.340704559461738</v>
      </c>
      <c r="AN373" s="413">
        <f t="shared" si="275"/>
        <v>17.483561325822471</v>
      </c>
      <c r="AO373" s="413">
        <f t="shared" si="275"/>
        <v>17.627558657816721</v>
      </c>
      <c r="AP373" s="413">
        <f t="shared" si="275"/>
        <v>17.772709885846158</v>
      </c>
      <c r="AQ373" s="413">
        <f t="shared" si="275"/>
        <v>17.919011990411629</v>
      </c>
      <c r="AR373" s="413"/>
      <c r="AS373" s="413"/>
      <c r="AT373" s="413"/>
      <c r="AU373" s="413"/>
      <c r="AV373" s="413"/>
      <c r="AW373" s="413"/>
      <c r="AX373" s="413"/>
      <c r="AY373" s="413"/>
      <c r="AZ373" s="413"/>
      <c r="BA373" s="413"/>
      <c r="BB373" s="413"/>
      <c r="BC373" s="413">
        <f t="shared" ref="BC373:BP373" si="276">BC371</f>
        <v>0</v>
      </c>
      <c r="BD373" s="413">
        <f t="shared" si="276"/>
        <v>0</v>
      </c>
      <c r="BE373" s="413">
        <f t="shared" si="276"/>
        <v>12.87476588</v>
      </c>
      <c r="BF373" s="413">
        <f t="shared" si="276"/>
        <v>-1.7573262999999999E-2</v>
      </c>
      <c r="BG373" s="413">
        <f t="shared" si="276"/>
        <v>14.275499999999999</v>
      </c>
      <c r="BH373" s="413">
        <f t="shared" si="276"/>
        <v>-0.15189610100000001</v>
      </c>
      <c r="BI373" s="413">
        <f t="shared" si="276"/>
        <v>14.485305083507356</v>
      </c>
      <c r="BJ373" s="413">
        <f t="shared" si="276"/>
        <v>-6.1801253507356643E-2</v>
      </c>
      <c r="BK373" s="413">
        <f t="shared" si="276"/>
        <v>14.593055524931493</v>
      </c>
      <c r="BL373" s="413">
        <f t="shared" si="276"/>
        <v>8.5686006068506237E-2</v>
      </c>
      <c r="BM373" s="413">
        <f t="shared" si="276"/>
        <v>15.18789979672332</v>
      </c>
      <c r="BN373" s="413">
        <f t="shared" si="276"/>
        <v>-0.32037199872332001</v>
      </c>
      <c r="BO373" s="413">
        <f t="shared" si="276"/>
        <v>14.595688774088144</v>
      </c>
      <c r="BP373" s="413">
        <f t="shared" si="276"/>
        <v>0</v>
      </c>
    </row>
    <row r="374" spans="1:70">
      <c r="A374" s="301" t="s">
        <v>513</v>
      </c>
      <c r="B374" s="414"/>
      <c r="C374" s="409">
        <f>C373-C371</f>
        <v>0.27195711999999972</v>
      </c>
      <c r="D374" s="409">
        <f t="shared" ref="D374:N374" si="277">D373-D371</f>
        <v>-1.2701769180000024</v>
      </c>
      <c r="E374" s="409">
        <f t="shared" si="277"/>
        <v>-1.7711290640000001</v>
      </c>
      <c r="F374" s="409">
        <f t="shared" si="277"/>
        <v>-1.3080786050000004</v>
      </c>
      <c r="G374" s="409">
        <f t="shared" si="277"/>
        <v>-1.5498810600000006</v>
      </c>
      <c r="H374" s="409">
        <f t="shared" si="277"/>
        <v>-1.3718867049999997</v>
      </c>
      <c r="I374" s="409">
        <f t="shared" si="277"/>
        <v>-0.92567975399999902</v>
      </c>
      <c r="J374" s="409">
        <f t="shared" si="277"/>
        <v>1.0169433500000018</v>
      </c>
      <c r="K374" s="409">
        <f t="shared" si="277"/>
        <v>-0.29300638799999845</v>
      </c>
      <c r="L374" s="409">
        <f t="shared" si="277"/>
        <v>-2.4728073829999992</v>
      </c>
      <c r="M374" s="409">
        <f t="shared" si="277"/>
        <v>-1.5129961009999988</v>
      </c>
      <c r="N374" s="409">
        <f t="shared" si="277"/>
        <v>-1.3663961699999998</v>
      </c>
      <c r="O374" s="409">
        <f>O373-O371</f>
        <v>0.42174153100000034</v>
      </c>
      <c r="P374" s="412">
        <f t="shared" ref="P374:AQ374" si="278">FORECAST(P373,E374:O374,E373:O373)</f>
        <v>-0.37163325928349877</v>
      </c>
      <c r="Q374" s="412">
        <f t="shared" si="278"/>
        <v>-0.67249506961367089</v>
      </c>
      <c r="R374" s="412">
        <f t="shared" si="278"/>
        <v>-0.58844395747790301</v>
      </c>
      <c r="S374" s="413">
        <f t="shared" si="278"/>
        <v>-0.49643240914161524</v>
      </c>
      <c r="T374" s="413">
        <f t="shared" si="278"/>
        <v>-0.21480033383220487</v>
      </c>
      <c r="U374" s="413">
        <f t="shared" si="278"/>
        <v>3.0414046149083163E-2</v>
      </c>
      <c r="V374" s="413">
        <f t="shared" si="278"/>
        <v>1.0620263108407357E-3</v>
      </c>
      <c r="W374" s="413">
        <f t="shared" si="278"/>
        <v>0.18374478126097316</v>
      </c>
      <c r="X374" s="413">
        <f t="shared" si="278"/>
        <v>0.56353841849077568</v>
      </c>
      <c r="Y374" s="413">
        <f t="shared" si="278"/>
        <v>0.74254475113471585</v>
      </c>
      <c r="Z374" s="413">
        <f t="shared" si="278"/>
        <v>0.80250059610017033</v>
      </c>
      <c r="AA374" s="413">
        <f t="shared" si="278"/>
        <v>1.0697399853699103</v>
      </c>
      <c r="AB374" s="413">
        <f t="shared" si="278"/>
        <v>1.276210079227905</v>
      </c>
      <c r="AC374" s="413">
        <f t="shared" si="278"/>
        <v>1.4707537732935414</v>
      </c>
      <c r="AD374" s="413">
        <f t="shared" si="278"/>
        <v>1.6627755423197179</v>
      </c>
      <c r="AE374" s="413">
        <f t="shared" si="278"/>
        <v>1.8569929506333196</v>
      </c>
      <c r="AF374" s="413">
        <f t="shared" si="278"/>
        <v>2.0635919522924873</v>
      </c>
      <c r="AG374" s="413">
        <f t="shared" si="278"/>
        <v>2.2930373130253834</v>
      </c>
      <c r="AH374" s="413">
        <f t="shared" si="278"/>
        <v>2.4956393608937013</v>
      </c>
      <c r="AI374" s="413">
        <f t="shared" si="278"/>
        <v>2.6808960039854597</v>
      </c>
      <c r="AJ374" s="413">
        <f t="shared" si="278"/>
        <v>2.9003943074451257</v>
      </c>
      <c r="AK374" s="413">
        <f t="shared" si="278"/>
        <v>3.1258620031701838</v>
      </c>
      <c r="AL374" s="413">
        <f t="shared" si="278"/>
        <v>3.330591701970306</v>
      </c>
      <c r="AM374" s="413">
        <f t="shared" si="278"/>
        <v>3.5464989220692189</v>
      </c>
      <c r="AN374" s="413">
        <f t="shared" si="278"/>
        <v>3.7651704749247514</v>
      </c>
      <c r="AO374" s="413">
        <f t="shared" si="278"/>
        <v>3.9861475694844977</v>
      </c>
      <c r="AP374" s="413">
        <f t="shared" si="278"/>
        <v>4.2076848492511409</v>
      </c>
      <c r="AQ374" s="413">
        <f t="shared" si="278"/>
        <v>4.4290443368109784</v>
      </c>
      <c r="AR374" s="413"/>
      <c r="AS374" s="413"/>
      <c r="AT374" s="413"/>
      <c r="AU374" s="413"/>
      <c r="AV374" s="413"/>
      <c r="AW374" s="413"/>
      <c r="AX374" s="413"/>
      <c r="AY374" s="413"/>
      <c r="AZ374" s="413"/>
      <c r="BA374" s="413"/>
      <c r="BB374" s="413"/>
      <c r="BC374" s="413">
        <f t="shared" ref="BC374" si="279">FORECAST(BC373,W374:AG374,W373:AG373)</f>
        <v>-23.14349265166522</v>
      </c>
      <c r="BD374" s="413">
        <f t="shared" ref="BD374:BM374" si="280">FORECAST(BD373,X374:BC374,X373:BC373)</f>
        <v>-23.124876022170294</v>
      </c>
      <c r="BE374" s="413">
        <f t="shared" si="280"/>
        <v>-3.3146099934105884</v>
      </c>
      <c r="BF374" s="413">
        <f t="shared" si="280"/>
        <v>-23.158553158679624</v>
      </c>
      <c r="BG374" s="413">
        <f t="shared" si="280"/>
        <v>-1.1605847696171203</v>
      </c>
      <c r="BH374" s="413">
        <f t="shared" si="280"/>
        <v>-23.364692833744108</v>
      </c>
      <c r="BI374" s="413">
        <f t="shared" si="280"/>
        <v>-0.83995221765396266</v>
      </c>
      <c r="BJ374" s="413">
        <f t="shared" si="280"/>
        <v>-23.226489274676325</v>
      </c>
      <c r="BK374" s="413">
        <f t="shared" si="280"/>
        <v>-0.67585216787686164</v>
      </c>
      <c r="BL374" s="413">
        <f t="shared" si="280"/>
        <v>-22.999608323572122</v>
      </c>
      <c r="BM374" s="413">
        <f t="shared" si="280"/>
        <v>0.239225344717795</v>
      </c>
      <c r="BN374" s="413">
        <f t="shared" ref="BN374:BP374" si="281">FORECAST(BN373,BC374:BM374,BC373:BM373)</f>
        <v>-23.625227224492217</v>
      </c>
      <c r="BO374" s="413">
        <f t="shared" si="281"/>
        <v>-0.66974009546200008</v>
      </c>
      <c r="BP374" s="413">
        <f t="shared" si="281"/>
        <v>-23.131392697739248</v>
      </c>
    </row>
    <row r="375" spans="1:70" ht="12" thickBot="1">
      <c r="A375" s="301" t="s">
        <v>514</v>
      </c>
      <c r="B375" s="414"/>
      <c r="C375" s="326">
        <f>C373/C370</f>
        <v>0.1004230984701573</v>
      </c>
      <c r="D375" s="326">
        <f t="shared" ref="D375:N375" si="282">D373/D370</f>
        <v>9.4971341123094591E-2</v>
      </c>
      <c r="E375" s="326">
        <f t="shared" si="282"/>
        <v>9.3079135816680814E-2</v>
      </c>
      <c r="F375" s="326">
        <f t="shared" si="282"/>
        <v>9.8140769977518888E-2</v>
      </c>
      <c r="G375" s="326">
        <f t="shared" si="282"/>
        <v>0.1006322424349205</v>
      </c>
      <c r="H375" s="326">
        <f t="shared" si="282"/>
        <v>0.10294851806173437</v>
      </c>
      <c r="I375" s="326">
        <f t="shared" si="282"/>
        <v>0.10414784687466498</v>
      </c>
      <c r="J375" s="326">
        <f t="shared" si="282"/>
        <v>0.12128407620344146</v>
      </c>
      <c r="K375" s="326">
        <f t="shared" si="282"/>
        <v>0.10894407400011538</v>
      </c>
      <c r="L375" s="326">
        <f t="shared" si="282"/>
        <v>9.5198057542983591E-2</v>
      </c>
      <c r="M375" s="326">
        <f t="shared" si="282"/>
        <v>0.10305423778294379</v>
      </c>
      <c r="N375" s="326">
        <f t="shared" si="282"/>
        <v>0.10559683835528583</v>
      </c>
      <c r="O375" s="326">
        <f>O373/O370</f>
        <v>0.10710500934695366</v>
      </c>
      <c r="P375" s="395">
        <f>(P373-P374)/P370</f>
        <v>0.11119400816112271</v>
      </c>
      <c r="Q375" s="395">
        <f>(Q373-Q374)/Q370</f>
        <v>0.11203235488691468</v>
      </c>
      <c r="R375" s="395">
        <f t="shared" ref="R375:AQ375" si="283">(R373-R374)/R370</f>
        <v>0.11194469953558947</v>
      </c>
      <c r="S375" s="395">
        <f t="shared" si="283"/>
        <v>0.11024533826696661</v>
      </c>
      <c r="T375" s="395">
        <f t="shared" si="283"/>
        <v>0.10839841800777132</v>
      </c>
      <c r="U375" s="395">
        <f t="shared" si="283"/>
        <v>0.10658403399076102</v>
      </c>
      <c r="V375" s="395">
        <f t="shared" si="283"/>
        <v>0.10664272906258884</v>
      </c>
      <c r="W375" s="395">
        <f t="shared" si="283"/>
        <v>0.10563912191071617</v>
      </c>
      <c r="X375" s="395">
        <f t="shared" si="283"/>
        <v>0.10293400321434469</v>
      </c>
      <c r="Y375" s="395">
        <f t="shared" si="283"/>
        <v>0.10177023982352387</v>
      </c>
      <c r="Z375" s="395">
        <f t="shared" si="283"/>
        <v>0.10140961942427994</v>
      </c>
      <c r="AA375" s="395">
        <f t="shared" si="283"/>
        <v>9.9656501919843432E-2</v>
      </c>
      <c r="AB375" s="395">
        <f t="shared" si="283"/>
        <v>9.8376922356740545E-2</v>
      </c>
      <c r="AC375" s="395">
        <f t="shared" si="283"/>
        <v>9.715427643524048E-2</v>
      </c>
      <c r="AD375" s="395">
        <f t="shared" si="283"/>
        <v>9.5984515234292439E-2</v>
      </c>
      <c r="AE375" s="395">
        <f t="shared" si="283"/>
        <v>9.4816945354821172E-2</v>
      </c>
      <c r="AF375" s="395">
        <f t="shared" si="283"/>
        <v>9.3591076284415348E-2</v>
      </c>
      <c r="AG375" s="395">
        <f t="shared" si="283"/>
        <v>9.2238854410235049E-2</v>
      </c>
      <c r="AH375" s="395">
        <f t="shared" si="283"/>
        <v>9.1076758149746265E-2</v>
      </c>
      <c r="AI375" s="395">
        <f t="shared" si="283"/>
        <v>9.0047574442814554E-2</v>
      </c>
      <c r="AJ375" s="395">
        <f t="shared" si="283"/>
        <v>8.8818858103062032E-2</v>
      </c>
      <c r="AK375" s="395">
        <f t="shared" si="283"/>
        <v>8.7573789009195574E-2</v>
      </c>
      <c r="AL375" s="395">
        <f t="shared" si="283"/>
        <v>8.647896698000225E-2</v>
      </c>
      <c r="AM375" s="395">
        <f t="shared" si="283"/>
        <v>8.5333294395935358E-2</v>
      </c>
      <c r="AN375" s="395">
        <f t="shared" si="283"/>
        <v>8.4190765153714861E-2</v>
      </c>
      <c r="AO375" s="395">
        <f t="shared" si="283"/>
        <v>8.3053903508538529E-2</v>
      </c>
      <c r="AP375" s="395">
        <f t="shared" si="283"/>
        <v>8.1933370305563635E-2</v>
      </c>
      <c r="AQ375" s="395">
        <f t="shared" si="283"/>
        <v>8.0833353459114229E-2</v>
      </c>
      <c r="AR375" s="395"/>
      <c r="AS375" s="395"/>
      <c r="AT375" s="395"/>
      <c r="AU375" s="395"/>
      <c r="AV375" s="395"/>
      <c r="AW375" s="395"/>
      <c r="AX375" s="395"/>
      <c r="AY375" s="395"/>
      <c r="AZ375" s="395"/>
      <c r="BA375" s="395"/>
      <c r="BB375" s="395"/>
      <c r="BC375" s="395">
        <f t="shared" ref="BC375:BP375" si="284">(BC373-BC374)/BC370</f>
        <v>0.1489887159467802</v>
      </c>
      <c r="BD375" s="395" t="e">
        <f t="shared" si="284"/>
        <v>#VALUE!</v>
      </c>
      <c r="BE375" s="395" t="e">
        <f t="shared" si="284"/>
        <v>#DIV/0!</v>
      </c>
      <c r="BF375" s="395" t="e">
        <f t="shared" si="284"/>
        <v>#DIV/0!</v>
      </c>
      <c r="BG375" s="395" t="e">
        <f t="shared" si="284"/>
        <v>#DIV/0!</v>
      </c>
      <c r="BH375" s="395" t="e">
        <f t="shared" si="284"/>
        <v>#DIV/0!</v>
      </c>
      <c r="BI375" s="395" t="e">
        <f t="shared" si="284"/>
        <v>#DIV/0!</v>
      </c>
      <c r="BJ375" s="395" t="e">
        <f t="shared" si="284"/>
        <v>#DIV/0!</v>
      </c>
      <c r="BK375" s="395" t="e">
        <f t="shared" si="284"/>
        <v>#DIV/0!</v>
      </c>
      <c r="BL375" s="395" t="e">
        <f t="shared" si="284"/>
        <v>#DIV/0!</v>
      </c>
      <c r="BM375" s="395" t="e">
        <f t="shared" si="284"/>
        <v>#DIV/0!</v>
      </c>
      <c r="BN375" s="395" t="e">
        <f t="shared" si="284"/>
        <v>#DIV/0!</v>
      </c>
      <c r="BO375" s="395" t="e">
        <f t="shared" si="284"/>
        <v>#DIV/0!</v>
      </c>
      <c r="BP375" s="395" t="e">
        <f t="shared" si="284"/>
        <v>#DIV/0!</v>
      </c>
    </row>
    <row r="376" spans="1:70">
      <c r="A376" s="334"/>
      <c r="B376" s="334"/>
      <c r="C376" s="334"/>
      <c r="D376" s="334"/>
      <c r="E376" s="334"/>
      <c r="F376" s="334"/>
      <c r="G376" s="334"/>
      <c r="H376" s="334"/>
      <c r="I376" s="334"/>
      <c r="J376" s="334"/>
      <c r="K376" s="334"/>
      <c r="L376" s="334"/>
      <c r="M376" s="334"/>
      <c r="N376" s="334"/>
      <c r="O376" s="334"/>
      <c r="P376" s="334"/>
      <c r="Q376" s="415">
        <f>Q370*0.15</f>
        <v>20.442555000000002</v>
      </c>
      <c r="R376" s="415">
        <f t="shared" ref="R376:AQ376" si="285">R370*0.15</f>
        <v>20.442555000000002</v>
      </c>
      <c r="S376" s="415">
        <f t="shared" si="285"/>
        <v>20.675632320000002</v>
      </c>
      <c r="T376" s="415">
        <f t="shared" si="285"/>
        <v>20.841037378559999</v>
      </c>
      <c r="U376" s="415">
        <f t="shared" si="285"/>
        <v>21.007765677588484</v>
      </c>
      <c r="V376" s="415">
        <f t="shared" si="285"/>
        <v>21.175827803009192</v>
      </c>
      <c r="W376" s="415">
        <f t="shared" si="285"/>
        <v>21.345234425433265</v>
      </c>
      <c r="X376" s="415">
        <f t="shared" si="285"/>
        <v>21.515996300836733</v>
      </c>
      <c r="Y376" s="415">
        <f t="shared" si="285"/>
        <v>21.688124271243424</v>
      </c>
      <c r="Z376" s="415">
        <f t="shared" si="285"/>
        <v>21.86162926541337</v>
      </c>
      <c r="AA376" s="415">
        <f t="shared" si="285"/>
        <v>22.036522299536681</v>
      </c>
      <c r="AB376" s="415">
        <f t="shared" si="285"/>
        <v>22.212814477932977</v>
      </c>
      <c r="AC376" s="415">
        <f t="shared" si="285"/>
        <v>22.390516993756439</v>
      </c>
      <c r="AD376" s="415">
        <f t="shared" si="285"/>
        <v>22.569641129706493</v>
      </c>
      <c r="AE376" s="415">
        <f t="shared" si="285"/>
        <v>22.750198258744145</v>
      </c>
      <c r="AF376" s="415">
        <f t="shared" si="285"/>
        <v>22.932199844814097</v>
      </c>
      <c r="AG376" s="415">
        <f t="shared" si="285"/>
        <v>23.115657443572609</v>
      </c>
      <c r="AH376" s="415">
        <f t="shared" si="285"/>
        <v>23.30058270312119</v>
      </c>
      <c r="AI376" s="415">
        <f t="shared" si="285"/>
        <v>23.48698736474616</v>
      </c>
      <c r="AJ376" s="415">
        <f t="shared" si="285"/>
        <v>23.674883263664132</v>
      </c>
      <c r="AK376" s="415">
        <f t="shared" si="285"/>
        <v>23.864282329773442</v>
      </c>
      <c r="AL376" s="415">
        <f t="shared" si="285"/>
        <v>24.055196588411633</v>
      </c>
      <c r="AM376" s="415">
        <f t="shared" si="285"/>
        <v>24.247638161118925</v>
      </c>
      <c r="AN376" s="415">
        <f t="shared" si="285"/>
        <v>24.441619266407876</v>
      </c>
      <c r="AO376" s="415">
        <f t="shared" si="285"/>
        <v>24.637152220539139</v>
      </c>
      <c r="AP376" s="415">
        <f t="shared" si="285"/>
        <v>24.834249438303456</v>
      </c>
      <c r="AQ376" s="415">
        <f t="shared" si="285"/>
        <v>25.032923433809881</v>
      </c>
      <c r="AR376" s="415"/>
      <c r="AS376" s="415"/>
      <c r="AT376" s="415"/>
      <c r="AU376" s="415"/>
      <c r="AV376" s="415"/>
      <c r="AW376" s="415"/>
      <c r="AX376" s="415"/>
      <c r="AY376" s="415"/>
      <c r="AZ376" s="415"/>
      <c r="BA376" s="415"/>
      <c r="BB376" s="415"/>
      <c r="BC376" s="415">
        <f t="shared" ref="BC376:BP376" si="286">BC370*0.15</f>
        <v>23.30058270312119</v>
      </c>
      <c r="BD376" s="415" t="e">
        <f t="shared" si="286"/>
        <v>#VALUE!</v>
      </c>
      <c r="BE376" s="415">
        <f t="shared" si="286"/>
        <v>0</v>
      </c>
      <c r="BF376" s="415">
        <f t="shared" si="286"/>
        <v>0</v>
      </c>
      <c r="BG376" s="415">
        <f t="shared" si="286"/>
        <v>0</v>
      </c>
      <c r="BH376" s="415">
        <f t="shared" si="286"/>
        <v>0</v>
      </c>
      <c r="BI376" s="415">
        <f t="shared" si="286"/>
        <v>0</v>
      </c>
      <c r="BJ376" s="415">
        <f t="shared" si="286"/>
        <v>0</v>
      </c>
      <c r="BK376" s="415">
        <f t="shared" si="286"/>
        <v>0</v>
      </c>
      <c r="BL376" s="415">
        <f t="shared" si="286"/>
        <v>0</v>
      </c>
      <c r="BM376" s="415">
        <f t="shared" si="286"/>
        <v>0</v>
      </c>
      <c r="BN376" s="415">
        <f t="shared" si="286"/>
        <v>0</v>
      </c>
      <c r="BO376" s="415">
        <f t="shared" si="286"/>
        <v>0</v>
      </c>
      <c r="BP376" s="415">
        <f t="shared" si="286"/>
        <v>0</v>
      </c>
    </row>
    <row r="377" spans="1:70" ht="12" thickBot="1">
      <c r="A377" s="301" t="s">
        <v>515</v>
      </c>
      <c r="Q377" s="409">
        <f>Q376-Q371</f>
        <v>5.8468662259118585</v>
      </c>
      <c r="R377" s="409">
        <f t="shared" ref="R377:AQ377" si="287">R376-R371</f>
        <v>5.7747611093794902</v>
      </c>
      <c r="S377" s="409">
        <f t="shared" si="287"/>
        <v>5.9761175357960976</v>
      </c>
      <c r="T377" s="409">
        <f t="shared" si="287"/>
        <v>5.9949345025473129</v>
      </c>
      <c r="U377" s="409">
        <f t="shared" si="287"/>
        <v>6.0500688911058429</v>
      </c>
      <c r="V377" s="409">
        <f t="shared" si="287"/>
        <v>6.119778662882716</v>
      </c>
      <c r="W377" s="409">
        <f t="shared" si="287"/>
        <v>6.1288774996312227</v>
      </c>
      <c r="X377" s="409">
        <f t="shared" si="287"/>
        <v>6.1876069997449115</v>
      </c>
      <c r="Y377" s="409">
        <f t="shared" si="287"/>
        <v>6.2308754640631587</v>
      </c>
      <c r="Z377" s="409">
        <f t="shared" si="287"/>
        <v>6.27926531064473</v>
      </c>
      <c r="AA377" s="409">
        <f t="shared" si="287"/>
        <v>6.3262308018304392</v>
      </c>
      <c r="AB377" s="409">
        <f t="shared" si="287"/>
        <v>6.3684155639031079</v>
      </c>
      <c r="AC377" s="409">
        <f t="shared" si="287"/>
        <v>6.4175333702004771</v>
      </c>
      <c r="AD377" s="409">
        <f t="shared" si="287"/>
        <v>6.4646251684079346</v>
      </c>
      <c r="AE377" s="409">
        <f t="shared" si="287"/>
        <v>6.5125099407062166</v>
      </c>
      <c r="AF377" s="409">
        <f t="shared" si="287"/>
        <v>6.5602794588852511</v>
      </c>
      <c r="AG377" s="409">
        <f t="shared" si="287"/>
        <v>6.6082083869834918</v>
      </c>
      <c r="AH377" s="409">
        <f t="shared" si="287"/>
        <v>6.6573331048919577</v>
      </c>
      <c r="AI377" s="409">
        <f t="shared" si="287"/>
        <v>6.7064497396645351</v>
      </c>
      <c r="AJ377" s="409">
        <f t="shared" si="287"/>
        <v>6.755981641539389</v>
      </c>
      <c r="AK377" s="409">
        <f t="shared" si="287"/>
        <v>6.8058494892468993</v>
      </c>
      <c r="AL377" s="409">
        <f t="shared" si="287"/>
        <v>6.8561478766632433</v>
      </c>
      <c r="AM377" s="409">
        <f t="shared" si="287"/>
        <v>6.9069336016571867</v>
      </c>
      <c r="AN377" s="409">
        <f t="shared" si="287"/>
        <v>6.9580579405854053</v>
      </c>
      <c r="AO377" s="409">
        <f t="shared" si="287"/>
        <v>7.0095935627224186</v>
      </c>
      <c r="AP377" s="409">
        <f t="shared" si="287"/>
        <v>7.0615395524572975</v>
      </c>
      <c r="AQ377" s="409">
        <f t="shared" si="287"/>
        <v>7.1139114433982513</v>
      </c>
      <c r="AR377" s="409"/>
      <c r="AS377" s="409"/>
      <c r="AT377" s="409"/>
      <c r="AU377" s="409"/>
      <c r="AV377" s="409"/>
      <c r="AW377" s="409"/>
      <c r="AX377" s="409"/>
      <c r="AY377" s="409"/>
      <c r="AZ377" s="409"/>
      <c r="BA377" s="409"/>
      <c r="BB377" s="409"/>
      <c r="BC377" s="409">
        <f t="shared" ref="BC377:BP377" si="288">BC376-BC371</f>
        <v>23.30058270312119</v>
      </c>
      <c r="BD377" s="409" t="e">
        <f t="shared" si="288"/>
        <v>#VALUE!</v>
      </c>
      <c r="BE377" s="409">
        <f t="shared" si="288"/>
        <v>-12.87476588</v>
      </c>
      <c r="BF377" s="409">
        <f t="shared" si="288"/>
        <v>1.7573262999999999E-2</v>
      </c>
      <c r="BG377" s="409">
        <f t="shared" si="288"/>
        <v>-14.275499999999999</v>
      </c>
      <c r="BH377" s="409">
        <f t="shared" si="288"/>
        <v>0.15189610100000001</v>
      </c>
      <c r="BI377" s="409">
        <f t="shared" si="288"/>
        <v>-14.485305083507356</v>
      </c>
      <c r="BJ377" s="409">
        <f t="shared" si="288"/>
        <v>6.1801253507356643E-2</v>
      </c>
      <c r="BK377" s="409">
        <f t="shared" si="288"/>
        <v>-14.593055524931493</v>
      </c>
      <c r="BL377" s="409">
        <f t="shared" si="288"/>
        <v>-8.5686006068506237E-2</v>
      </c>
      <c r="BM377" s="409">
        <f t="shared" si="288"/>
        <v>-15.18789979672332</v>
      </c>
      <c r="BN377" s="409">
        <f t="shared" si="288"/>
        <v>0.32037199872332001</v>
      </c>
      <c r="BO377" s="409">
        <f t="shared" si="288"/>
        <v>-14.595688774088144</v>
      </c>
      <c r="BP377" s="409">
        <f t="shared" si="288"/>
        <v>0</v>
      </c>
    </row>
    <row r="378" spans="1:70" ht="12" thickTop="1">
      <c r="A378" s="301" t="s">
        <v>516</v>
      </c>
      <c r="P378" s="416"/>
      <c r="Q378" s="416"/>
      <c r="R378" s="417" t="s">
        <v>517</v>
      </c>
      <c r="BC378" s="308"/>
    </row>
    <row r="379" spans="1:70">
      <c r="A379" s="301" t="s">
        <v>518</v>
      </c>
      <c r="B379" s="418">
        <v>13.3371</v>
      </c>
      <c r="C379" s="418">
        <v>13.950299999999999</v>
      </c>
      <c r="D379" s="418">
        <v>13.1838</v>
      </c>
      <c r="E379" s="418">
        <v>13.3371</v>
      </c>
      <c r="F379" s="418">
        <v>14.256900000000002</v>
      </c>
      <c r="G379" s="418">
        <v>14.870100000000001</v>
      </c>
      <c r="H379" s="418">
        <v>15.33</v>
      </c>
      <c r="I379" s="418">
        <v>15.943200000000001</v>
      </c>
      <c r="J379" s="418">
        <v>16.096499999999999</v>
      </c>
      <c r="K379" s="418">
        <v>15.789899999999999</v>
      </c>
      <c r="L379" s="418">
        <v>13.950299999999999</v>
      </c>
      <c r="M379" s="418">
        <v>15.023399999999999</v>
      </c>
      <c r="N379" s="418">
        <v>15.33</v>
      </c>
      <c r="O379" s="418">
        <v>15.6366</v>
      </c>
      <c r="P379" s="419">
        <f>1.05*42*365</f>
        <v>16096.5</v>
      </c>
      <c r="Q379" s="419">
        <f>1.05*42*365</f>
        <v>16096.5</v>
      </c>
    </row>
    <row r="380" spans="1:70">
      <c r="A380" s="301" t="s">
        <v>519</v>
      </c>
      <c r="P380" s="419">
        <f>-0.12*42*365</f>
        <v>-1839.6</v>
      </c>
      <c r="Q380" s="419">
        <f>-0.12*42*365</f>
        <v>-1839.6</v>
      </c>
      <c r="R380" s="417" t="s">
        <v>520</v>
      </c>
    </row>
    <row r="381" spans="1:70">
      <c r="A381" s="301" t="s">
        <v>521</v>
      </c>
      <c r="P381" s="419"/>
      <c r="Q381" s="419"/>
    </row>
    <row r="382" spans="1:70">
      <c r="P382" s="419"/>
      <c r="Q382" s="419"/>
    </row>
    <row r="383" spans="1:70">
      <c r="A383" s="301" t="s">
        <v>522</v>
      </c>
      <c r="P383" s="419">
        <f>0.92*42*365</f>
        <v>14103.6</v>
      </c>
      <c r="Q383" s="419">
        <f>0.93*42*365</f>
        <v>14256.900000000001</v>
      </c>
    </row>
    <row r="385" spans="1:17">
      <c r="A385" s="300" t="s">
        <v>523</v>
      </c>
      <c r="B385" s="301">
        <f>B2</f>
        <v>2010</v>
      </c>
      <c r="C385" s="301">
        <f t="shared" ref="C385:Q385" si="289">C2</f>
        <v>2011</v>
      </c>
      <c r="D385" s="301">
        <f t="shared" si="289"/>
        <v>2012</v>
      </c>
      <c r="E385" s="301">
        <f t="shared" si="289"/>
        <v>2013</v>
      </c>
      <c r="F385" s="301">
        <f t="shared" si="289"/>
        <v>2014</v>
      </c>
      <c r="G385" s="301">
        <f t="shared" si="289"/>
        <v>2015</v>
      </c>
      <c r="H385" s="301">
        <f t="shared" si="289"/>
        <v>2016</v>
      </c>
      <c r="I385" s="301">
        <f t="shared" si="289"/>
        <v>2017</v>
      </c>
      <c r="J385" s="301">
        <f t="shared" si="289"/>
        <v>2018</v>
      </c>
      <c r="K385" s="301">
        <f t="shared" si="289"/>
        <v>2019</v>
      </c>
      <c r="L385" s="301">
        <f t="shared" si="289"/>
        <v>2020</v>
      </c>
      <c r="M385" s="301">
        <f t="shared" si="289"/>
        <v>2021</v>
      </c>
      <c r="N385" s="301">
        <f t="shared" si="289"/>
        <v>2022</v>
      </c>
      <c r="O385" s="301">
        <f t="shared" si="289"/>
        <v>2023</v>
      </c>
      <c r="P385" s="301">
        <f t="shared" si="289"/>
        <v>2024</v>
      </c>
      <c r="Q385" s="420">
        <f t="shared" si="289"/>
        <v>2025</v>
      </c>
    </row>
    <row r="386" spans="1:17">
      <c r="A386" s="301" t="s">
        <v>524</v>
      </c>
      <c r="B386" s="409">
        <f t="shared" ref="B386:Q391" si="290">B370-B394</f>
        <v>-4.7522999999999627</v>
      </c>
      <c r="C386" s="409">
        <f t="shared" si="290"/>
        <v>1.3796999999999855</v>
      </c>
      <c r="D386" s="409">
        <f t="shared" si="290"/>
        <v>3.6792000000000087</v>
      </c>
      <c r="E386" s="409">
        <f t="shared" si="290"/>
        <v>5.2122000000000241</v>
      </c>
      <c r="F386" s="409">
        <f t="shared" si="290"/>
        <v>6.132000000000005</v>
      </c>
      <c r="G386" s="409">
        <f t="shared" si="290"/>
        <v>2.2994999999999948</v>
      </c>
      <c r="H386" s="409">
        <f t="shared" si="290"/>
        <v>0.15329999999997312</v>
      </c>
      <c r="I386" s="409">
        <f t="shared" si="290"/>
        <v>-0.30659999999997467</v>
      </c>
      <c r="J386" s="409">
        <f t="shared" si="290"/>
        <v>-19.622399999999985</v>
      </c>
      <c r="K386" s="409">
        <f t="shared" si="290"/>
        <v>-7.5117000000000189</v>
      </c>
      <c r="L386" s="409">
        <f t="shared" si="290"/>
        <v>11.650800000000018</v>
      </c>
      <c r="M386" s="409">
        <f t="shared" si="290"/>
        <v>1.8395999999999901</v>
      </c>
      <c r="N386" s="409">
        <f t="shared" si="290"/>
        <v>1.9929000000000201</v>
      </c>
      <c r="O386" s="409">
        <f>O370-O394</f>
        <v>-1.999999999782176E-4</v>
      </c>
      <c r="P386" s="409">
        <f>P370-P394</f>
        <v>-0.15330000000000155</v>
      </c>
      <c r="Q386" s="421">
        <f>Q370-Q394</f>
        <v>-0.30660000000000309</v>
      </c>
    </row>
    <row r="387" spans="1:17">
      <c r="A387" s="301" t="s">
        <v>525</v>
      </c>
      <c r="B387" s="409">
        <f t="shared" si="290"/>
        <v>0.30660000000000132</v>
      </c>
      <c r="C387" s="409">
        <f t="shared" si="290"/>
        <v>0.45990000000000109</v>
      </c>
      <c r="D387" s="409">
        <f t="shared" si="290"/>
        <v>1.3797000000000033</v>
      </c>
      <c r="E387" s="409">
        <f t="shared" si="290"/>
        <v>1.686300000000001</v>
      </c>
      <c r="F387" s="409">
        <f t="shared" si="290"/>
        <v>1.8396000000000008</v>
      </c>
      <c r="G387" s="409">
        <f t="shared" si="290"/>
        <v>1.9929000000000006</v>
      </c>
      <c r="H387" s="409">
        <f t="shared" si="290"/>
        <v>1.8395999999999972</v>
      </c>
      <c r="I387" s="409">
        <f t="shared" si="290"/>
        <v>1.3796999999999997</v>
      </c>
      <c r="J387" s="409">
        <f t="shared" si="290"/>
        <v>-0.45990000000000109</v>
      </c>
      <c r="K387" s="409">
        <f t="shared" si="290"/>
        <v>0.45989999999999931</v>
      </c>
      <c r="L387" s="409">
        <f t="shared" si="290"/>
        <v>2.7594000000000012</v>
      </c>
      <c r="M387" s="409">
        <f t="shared" si="290"/>
        <v>1.6862999999999992</v>
      </c>
      <c r="N387" s="409">
        <f t="shared" si="290"/>
        <v>1.839599999999999</v>
      </c>
      <c r="O387" s="409">
        <f t="shared" si="290"/>
        <v>9.9999999997990585E-5</v>
      </c>
      <c r="P387" s="409">
        <f t="shared" si="290"/>
        <v>0.45732779799999967</v>
      </c>
      <c r="Q387" s="421">
        <f t="shared" si="290"/>
        <v>0.18548877408814413</v>
      </c>
    </row>
    <row r="388" spans="1:17">
      <c r="A388" s="301" t="s">
        <v>511</v>
      </c>
      <c r="B388" s="326">
        <f t="shared" si="290"/>
        <v>5.6411886222787061E-3</v>
      </c>
      <c r="C388" s="326">
        <f t="shared" si="290"/>
        <v>2.4162895927601902E-3</v>
      </c>
      <c r="D388" s="326">
        <f t="shared" si="290"/>
        <v>7.4858961377115701E-3</v>
      </c>
      <c r="E388" s="326">
        <f t="shared" si="290"/>
        <v>8.3794201441260152E-3</v>
      </c>
      <c r="F388" s="326">
        <f t="shared" si="290"/>
        <v>8.6414288188764316E-3</v>
      </c>
      <c r="G388" s="326">
        <f t="shared" si="290"/>
        <v>1.23398412598337E-2</v>
      </c>
      <c r="H388" s="326">
        <f t="shared" si="290"/>
        <v>1.2754785200723123E-2</v>
      </c>
      <c r="I388" s="326">
        <f t="shared" si="290"/>
        <v>9.8834592222402373E-3</v>
      </c>
      <c r="J388" s="326">
        <f t="shared" si="290"/>
        <v>1.2293210308029254E-2</v>
      </c>
      <c r="K388" s="326">
        <f t="shared" si="290"/>
        <v>9.0702947845805043E-3</v>
      </c>
      <c r="L388" s="326">
        <f t="shared" si="290"/>
        <v>1.1644023942301587E-2</v>
      </c>
      <c r="M388" s="326">
        <f t="shared" si="290"/>
        <v>1.0919356556940443E-2</v>
      </c>
      <c r="N388" s="326">
        <f t="shared" si="290"/>
        <v>1.195580200895309E-2</v>
      </c>
      <c r="O388" s="326">
        <f t="shared" si="290"/>
        <v>8.8146931137567108E-7</v>
      </c>
      <c r="P388" s="326">
        <f t="shared" si="290"/>
        <v>3.4544172874093199E-3</v>
      </c>
      <c r="Q388" s="422">
        <f t="shared" si="290"/>
        <v>1.5983929261846608E-3</v>
      </c>
    </row>
    <row r="389" spans="1:17">
      <c r="A389" s="301" t="s">
        <v>512</v>
      </c>
      <c r="B389" s="409">
        <f t="shared" si="290"/>
        <v>0</v>
      </c>
      <c r="C389" s="409">
        <f t="shared" si="290"/>
        <v>0</v>
      </c>
      <c r="D389" s="409">
        <f t="shared" si="290"/>
        <v>0</v>
      </c>
      <c r="E389" s="409">
        <f t="shared" si="290"/>
        <v>0</v>
      </c>
      <c r="F389" s="409">
        <f t="shared" si="290"/>
        <v>0</v>
      </c>
      <c r="G389" s="409">
        <f t="shared" si="290"/>
        <v>0</v>
      </c>
      <c r="H389" s="409">
        <f t="shared" si="290"/>
        <v>0</v>
      </c>
      <c r="I389" s="409">
        <f t="shared" si="290"/>
        <v>0</v>
      </c>
      <c r="J389" s="409">
        <f t="shared" si="290"/>
        <v>0</v>
      </c>
      <c r="K389" s="409">
        <f t="shared" si="290"/>
        <v>0</v>
      </c>
      <c r="L389" s="409">
        <f t="shared" si="290"/>
        <v>0</v>
      </c>
      <c r="M389" s="409">
        <f t="shared" si="290"/>
        <v>0</v>
      </c>
      <c r="N389" s="409">
        <f t="shared" si="290"/>
        <v>8.2868699999991691E-3</v>
      </c>
      <c r="O389" s="409">
        <f t="shared" si="290"/>
        <v>0</v>
      </c>
      <c r="P389" s="409">
        <f t="shared" si="290"/>
        <v>4.2140092555756681E-2</v>
      </c>
      <c r="Q389" s="421">
        <f t="shared" si="290"/>
        <v>0.18548877408814413</v>
      </c>
    </row>
    <row r="390" spans="1:17">
      <c r="A390" s="301" t="s">
        <v>513</v>
      </c>
      <c r="B390" s="409">
        <f t="shared" si="290"/>
        <v>0</v>
      </c>
      <c r="C390" s="409">
        <f t="shared" si="290"/>
        <v>-0.45990000000000109</v>
      </c>
      <c r="D390" s="409">
        <f t="shared" si="290"/>
        <v>-1.3797000000000033</v>
      </c>
      <c r="E390" s="409">
        <f t="shared" si="290"/>
        <v>-1.686300000000001</v>
      </c>
      <c r="F390" s="409">
        <f t="shared" si="290"/>
        <v>-1.8396000000000008</v>
      </c>
      <c r="G390" s="409">
        <f t="shared" si="290"/>
        <v>-1.9929000000000006</v>
      </c>
      <c r="H390" s="409">
        <f t="shared" si="290"/>
        <v>-1.8395999999999972</v>
      </c>
      <c r="I390" s="409">
        <f t="shared" si="290"/>
        <v>-1.3796999999999997</v>
      </c>
      <c r="J390" s="409">
        <f t="shared" si="290"/>
        <v>0.45990000000000109</v>
      </c>
      <c r="K390" s="409">
        <f t="shared" si="290"/>
        <v>-0.45989999999999931</v>
      </c>
      <c r="L390" s="409">
        <f t="shared" si="290"/>
        <v>-2.7594000000000012</v>
      </c>
      <c r="M390" s="409">
        <f t="shared" si="290"/>
        <v>-1.6862999999999992</v>
      </c>
      <c r="N390" s="409">
        <f t="shared" si="290"/>
        <v>-1.8313131299999998</v>
      </c>
      <c r="O390" s="409">
        <f t="shared" si="290"/>
        <v>-9.9999999997990585E-5</v>
      </c>
      <c r="P390" s="409">
        <f t="shared" si="290"/>
        <v>-0.81873198597461228</v>
      </c>
      <c r="Q390" s="421">
        <f t="shared" si="290"/>
        <v>-1.0738411278454527</v>
      </c>
    </row>
    <row r="391" spans="1:17">
      <c r="A391" s="301" t="s">
        <v>514</v>
      </c>
      <c r="B391" s="326">
        <f t="shared" si="290"/>
        <v>0</v>
      </c>
      <c r="C391" s="326">
        <f t="shared" si="290"/>
        <v>-1.0329232985501757E-3</v>
      </c>
      <c r="D391" s="326">
        <f t="shared" si="290"/>
        <v>-2.6259356992560795E-3</v>
      </c>
      <c r="E391" s="326">
        <f t="shared" si="290"/>
        <v>-3.5799667621800452E-3</v>
      </c>
      <c r="F391" s="326">
        <f t="shared" si="290"/>
        <v>-4.4009313891264085E-3</v>
      </c>
      <c r="G391" s="326">
        <f t="shared" si="290"/>
        <v>-1.6443176868451009E-3</v>
      </c>
      <c r="H391" s="326">
        <f t="shared" si="290"/>
        <v>-1.1045978332803463E-4</v>
      </c>
      <c r="I391" s="326">
        <f t="shared" si="290"/>
        <v>2.2325369104964077E-4</v>
      </c>
      <c r="J391" s="326">
        <f t="shared" si="290"/>
        <v>1.6639187303366013E-2</v>
      </c>
      <c r="K391" s="326">
        <f t="shared" si="290"/>
        <v>5.7338986315850354E-3</v>
      </c>
      <c r="L391" s="326">
        <f t="shared" si="290"/>
        <v>-8.987642699710266E-3</v>
      </c>
      <c r="M391" s="326">
        <f t="shared" si="290"/>
        <v>-1.4020984732373148E-3</v>
      </c>
      <c r="N391" s="326">
        <f t="shared" si="290"/>
        <v>-1.5019388870680522E-3</v>
      </c>
      <c r="O391" s="326">
        <f t="shared" si="290"/>
        <v>1.5630040574310389E-7</v>
      </c>
      <c r="P391" s="326">
        <f t="shared" si="290"/>
        <v>6.3986568854400155E-3</v>
      </c>
      <c r="Q391" s="422">
        <f t="shared" si="290"/>
        <v>9.4712364050882486E-3</v>
      </c>
    </row>
    <row r="392" spans="1:17">
      <c r="Q392" s="420"/>
    </row>
    <row r="393" spans="1:17">
      <c r="A393" s="300" t="s">
        <v>526</v>
      </c>
      <c r="B393" s="301">
        <f>B2</f>
        <v>2010</v>
      </c>
      <c r="C393" s="301">
        <f t="shared" ref="C393:Q393" si="291">C2</f>
        <v>2011</v>
      </c>
      <c r="D393" s="301">
        <f t="shared" si="291"/>
        <v>2012</v>
      </c>
      <c r="E393" s="301">
        <f t="shared" si="291"/>
        <v>2013</v>
      </c>
      <c r="F393" s="301">
        <f t="shared" si="291"/>
        <v>2014</v>
      </c>
      <c r="G393" s="301">
        <f t="shared" si="291"/>
        <v>2015</v>
      </c>
      <c r="H393" s="301">
        <f t="shared" si="291"/>
        <v>2016</v>
      </c>
      <c r="I393" s="301">
        <f t="shared" si="291"/>
        <v>2017</v>
      </c>
      <c r="J393" s="301">
        <f t="shared" si="291"/>
        <v>2018</v>
      </c>
      <c r="K393" s="301">
        <f t="shared" si="291"/>
        <v>2019</v>
      </c>
      <c r="L393" s="301">
        <f t="shared" si="291"/>
        <v>2020</v>
      </c>
      <c r="M393" s="301">
        <f t="shared" si="291"/>
        <v>2021</v>
      </c>
      <c r="N393" s="301">
        <f t="shared" si="291"/>
        <v>2022</v>
      </c>
      <c r="O393" s="301">
        <f t="shared" si="291"/>
        <v>2023</v>
      </c>
      <c r="P393" s="301">
        <f t="shared" si="291"/>
        <v>2024</v>
      </c>
      <c r="Q393" s="420">
        <f t="shared" si="291"/>
        <v>2025</v>
      </c>
    </row>
    <row r="394" spans="1:17">
      <c r="A394" s="301" t="s">
        <v>524</v>
      </c>
      <c r="B394" s="409">
        <v>137.81669999999997</v>
      </c>
      <c r="C394" s="409">
        <v>134.13749999999999</v>
      </c>
      <c r="D394" s="409">
        <v>133.06440000000001</v>
      </c>
      <c r="E394" s="409">
        <v>135.51719999999997</v>
      </c>
      <c r="F394" s="409">
        <v>136.74360000000001</v>
      </c>
      <c r="G394" s="409">
        <v>140.7294</v>
      </c>
      <c r="H394" s="409">
        <v>142.87560000000002</v>
      </c>
      <c r="I394" s="409">
        <v>143.02889999999999</v>
      </c>
      <c r="J394" s="409">
        <v>143.02889999999999</v>
      </c>
      <c r="K394" s="409">
        <v>142.72230000000002</v>
      </c>
      <c r="L394" s="409">
        <v>123.40650000000001</v>
      </c>
      <c r="M394" s="409">
        <v>135.2106</v>
      </c>
      <c r="N394" s="409">
        <v>134.59739999999999</v>
      </c>
      <c r="O394" s="409">
        <v>137.05019999999999</v>
      </c>
      <c r="P394" s="409">
        <v>137.20349999999999</v>
      </c>
      <c r="Q394" s="421">
        <v>136.59030000000001</v>
      </c>
    </row>
    <row r="395" spans="1:17">
      <c r="A395" s="301" t="s">
        <v>525</v>
      </c>
      <c r="B395" s="409">
        <v>12.877199999999998</v>
      </c>
      <c r="C395" s="409">
        <v>12.877199999999998</v>
      </c>
      <c r="D395" s="409">
        <v>12.877199999999998</v>
      </c>
      <c r="E395" s="409">
        <v>13.1838</v>
      </c>
      <c r="F395" s="409">
        <v>13.490399999999999</v>
      </c>
      <c r="G395" s="409">
        <v>13.9503</v>
      </c>
      <c r="H395" s="409">
        <v>14.256900000000002</v>
      </c>
      <c r="I395" s="409">
        <v>14.4102</v>
      </c>
      <c r="J395" s="409">
        <v>14.4102</v>
      </c>
      <c r="K395" s="409">
        <v>14.563499999999999</v>
      </c>
      <c r="L395" s="409">
        <v>12.570599999999999</v>
      </c>
      <c r="M395" s="409">
        <v>13.9503</v>
      </c>
      <c r="N395" s="409">
        <v>13.9503</v>
      </c>
      <c r="O395" s="409">
        <v>14.256900000000002</v>
      </c>
      <c r="P395" s="409">
        <v>14.4102</v>
      </c>
      <c r="Q395" s="421">
        <v>14.4102</v>
      </c>
    </row>
    <row r="396" spans="1:17">
      <c r="A396" s="301" t="s">
        <v>511</v>
      </c>
      <c r="B396" s="326">
        <v>9.3437152391546166E-2</v>
      </c>
      <c r="C396" s="326">
        <v>9.6000000000000002E-2</v>
      </c>
      <c r="D396" s="326">
        <v>9.677419354838708E-2</v>
      </c>
      <c r="E396" s="326">
        <v>9.7285067873303183E-2</v>
      </c>
      <c r="F396" s="326">
        <v>9.8654708520179352E-2</v>
      </c>
      <c r="G396" s="326">
        <v>9.9128540305010893E-2</v>
      </c>
      <c r="H396" s="326">
        <v>9.9785407725321892E-2</v>
      </c>
      <c r="I396" s="326">
        <v>0.1007502679528403</v>
      </c>
      <c r="J396" s="326">
        <v>0.1007502679528403</v>
      </c>
      <c r="K396" s="326">
        <v>0.1020408163265306</v>
      </c>
      <c r="L396" s="326">
        <v>0.10186335403726707</v>
      </c>
      <c r="M396" s="326">
        <v>0.10317460317460318</v>
      </c>
      <c r="N396" s="326">
        <v>0.10364464692482916</v>
      </c>
      <c r="O396" s="326">
        <v>0.10402684563758391</v>
      </c>
      <c r="P396" s="326">
        <v>0.10502793296089385</v>
      </c>
      <c r="Q396" s="422">
        <v>0.10549943883277216</v>
      </c>
    </row>
    <row r="397" spans="1:17">
      <c r="A397" s="301" t="s">
        <v>512</v>
      </c>
      <c r="B397" s="409">
        <v>6.7773083710000002</v>
      </c>
      <c r="C397" s="409">
        <v>13.609057119999999</v>
      </c>
      <c r="D397" s="409">
        <v>12.986723081999999</v>
      </c>
      <c r="E397" s="409">
        <v>13.098970936000001</v>
      </c>
      <c r="F397" s="409">
        <v>14.021921395</v>
      </c>
      <c r="G397" s="409">
        <v>14.39331894</v>
      </c>
      <c r="H397" s="409">
        <v>14.724613294999999</v>
      </c>
      <c r="I397" s="409">
        <v>14.864220246</v>
      </c>
      <c r="J397" s="409">
        <v>14.96724335</v>
      </c>
      <c r="K397" s="409">
        <v>14.730393612</v>
      </c>
      <c r="L397" s="409">
        <v>12.857192617000001</v>
      </c>
      <c r="M397" s="409">
        <v>14.123603899000001</v>
      </c>
      <c r="N397" s="409">
        <v>14.41521696</v>
      </c>
      <c r="O397" s="409">
        <v>14.678741531</v>
      </c>
      <c r="P397" s="409">
        <v>14.825387705444243</v>
      </c>
      <c r="Q397" s="421">
        <v>14.4102</v>
      </c>
    </row>
    <row r="398" spans="1:17">
      <c r="A398" s="301" t="s">
        <v>513</v>
      </c>
      <c r="B398" s="409"/>
      <c r="C398" s="409">
        <v>0.7318571200000008</v>
      </c>
      <c r="D398" s="409">
        <v>0.10952308200000083</v>
      </c>
      <c r="E398" s="409">
        <v>-8.4829063999999121E-2</v>
      </c>
      <c r="F398" s="409">
        <v>0.5315213950000004</v>
      </c>
      <c r="G398" s="409">
        <v>0.44301893999999997</v>
      </c>
      <c r="H398" s="409">
        <v>0.46771329499999759</v>
      </c>
      <c r="I398" s="409">
        <v>0.45402024600000068</v>
      </c>
      <c r="J398" s="409">
        <v>0.55704335000000071</v>
      </c>
      <c r="K398" s="409">
        <v>0.16689361200000086</v>
      </c>
      <c r="L398" s="409">
        <v>0.28659261700000194</v>
      </c>
      <c r="M398" s="409">
        <v>0.17330389900000043</v>
      </c>
      <c r="N398" s="409">
        <v>0.46491696000000005</v>
      </c>
      <c r="O398" s="409">
        <v>0.42184153099999833</v>
      </c>
      <c r="P398" s="409">
        <v>0.4470987266911135</v>
      </c>
      <c r="Q398" s="421">
        <v>0.40134605823178182</v>
      </c>
    </row>
    <row r="399" spans="1:17">
      <c r="A399" s="301" t="s">
        <v>514</v>
      </c>
      <c r="B399" s="326"/>
      <c r="C399" s="326">
        <v>0.10145602176870748</v>
      </c>
      <c r="D399" s="326">
        <v>9.759727682235067E-2</v>
      </c>
      <c r="E399" s="326">
        <v>9.6659102578860859E-2</v>
      </c>
      <c r="F399" s="326">
        <v>0.1025417013666453</v>
      </c>
      <c r="G399" s="326">
        <v>0.1022765601217656</v>
      </c>
      <c r="H399" s="326">
        <v>0.1030589778450624</v>
      </c>
      <c r="I399" s="326">
        <v>0.10392459318361534</v>
      </c>
      <c r="J399" s="326">
        <v>0.10464488890007545</v>
      </c>
      <c r="K399" s="326">
        <v>0.10321017536853035</v>
      </c>
      <c r="L399" s="326">
        <v>0.10418570024269386</v>
      </c>
      <c r="M399" s="326">
        <v>0.1044563362561811</v>
      </c>
      <c r="N399" s="326">
        <v>0.10709877724235388</v>
      </c>
      <c r="O399" s="326">
        <v>0.10710485304654792</v>
      </c>
      <c r="P399" s="326">
        <v>0.10479535127568269</v>
      </c>
      <c r="Q399" s="422">
        <v>0.10256111848182643</v>
      </c>
    </row>
    <row r="401" spans="1:17">
      <c r="A401" s="301" t="s">
        <v>527</v>
      </c>
      <c r="B401" s="409">
        <v>13.3371</v>
      </c>
      <c r="C401" s="409">
        <v>13.950299999999999</v>
      </c>
      <c r="D401" s="409">
        <v>13.1838</v>
      </c>
      <c r="E401" s="409">
        <v>13.3371</v>
      </c>
      <c r="F401" s="409">
        <v>14.256900000000002</v>
      </c>
      <c r="G401" s="409">
        <v>14.870100000000001</v>
      </c>
      <c r="H401" s="409">
        <v>15.33</v>
      </c>
      <c r="I401" s="409">
        <v>15.943200000000001</v>
      </c>
      <c r="J401" s="409">
        <v>16.096499999999999</v>
      </c>
      <c r="K401" s="409">
        <v>15.789899999999999</v>
      </c>
      <c r="L401" s="409">
        <v>13.950299999999999</v>
      </c>
      <c r="M401" s="409">
        <v>15.023399999999999</v>
      </c>
      <c r="N401" s="409">
        <v>15.33</v>
      </c>
      <c r="O401" s="409">
        <v>15.647310000000001</v>
      </c>
      <c r="P401" s="409">
        <v>15.647310000000001</v>
      </c>
      <c r="Q401" s="421">
        <v>15.800715</v>
      </c>
    </row>
    <row r="402" spans="1:17">
      <c r="Q402" s="420"/>
    </row>
    <row r="403" spans="1:17">
      <c r="A403" s="300" t="s">
        <v>528</v>
      </c>
      <c r="C403" s="301">
        <f t="shared" ref="C403:Q403" si="292">C2</f>
        <v>2011</v>
      </c>
      <c r="D403" s="301">
        <f t="shared" si="292"/>
        <v>2012</v>
      </c>
      <c r="E403" s="301">
        <f t="shared" si="292"/>
        <v>2013</v>
      </c>
      <c r="F403" s="301">
        <f t="shared" si="292"/>
        <v>2014</v>
      </c>
      <c r="G403" s="301">
        <f t="shared" si="292"/>
        <v>2015</v>
      </c>
      <c r="H403" s="301">
        <f t="shared" si="292"/>
        <v>2016</v>
      </c>
      <c r="I403" s="301">
        <f t="shared" si="292"/>
        <v>2017</v>
      </c>
      <c r="J403" s="301">
        <f t="shared" si="292"/>
        <v>2018</v>
      </c>
      <c r="K403" s="301">
        <f t="shared" si="292"/>
        <v>2019</v>
      </c>
      <c r="L403" s="301">
        <f t="shared" si="292"/>
        <v>2020</v>
      </c>
      <c r="M403" s="301">
        <f t="shared" si="292"/>
        <v>2021</v>
      </c>
      <c r="N403" s="301">
        <f t="shared" si="292"/>
        <v>2022</v>
      </c>
      <c r="O403" s="301">
        <f t="shared" si="292"/>
        <v>2023</v>
      </c>
      <c r="P403" s="301">
        <f t="shared" si="292"/>
        <v>2024</v>
      </c>
      <c r="Q403" s="420">
        <f t="shared" si="292"/>
        <v>2025</v>
      </c>
    </row>
    <row r="404" spans="1:17">
      <c r="A404" s="301" t="s">
        <v>509</v>
      </c>
      <c r="C404" s="326">
        <f>C370/B370-1</f>
        <v>1.8433179723502002E-2</v>
      </c>
      <c r="D404" s="326">
        <f t="shared" ref="D404:Q409" si="293">D370/C370-1</f>
        <v>9.0497737556565205E-3</v>
      </c>
      <c r="E404" s="326">
        <f t="shared" si="293"/>
        <v>2.9147982062780242E-2</v>
      </c>
      <c r="F404" s="326">
        <f t="shared" si="293"/>
        <v>1.5250544662309462E-2</v>
      </c>
      <c r="G404" s="326">
        <f t="shared" si="293"/>
        <v>1.0729613733904131E-3</v>
      </c>
      <c r="H404" s="326">
        <f t="shared" si="293"/>
        <v>0</v>
      </c>
      <c r="I404" s="326">
        <f t="shared" si="293"/>
        <v>-2.143622722400651E-3</v>
      </c>
      <c r="J404" s="326">
        <f t="shared" si="293"/>
        <v>-0.13533834586466176</v>
      </c>
      <c r="K404" s="326">
        <f t="shared" si="293"/>
        <v>9.565217391304337E-2</v>
      </c>
      <c r="L404" s="326">
        <f t="shared" si="293"/>
        <v>-1.1337868480724156E-3</v>
      </c>
      <c r="M404" s="326">
        <f t="shared" si="293"/>
        <v>1.4755959137343622E-2</v>
      </c>
      <c r="N404" s="326">
        <f t="shared" si="293"/>
        <v>-3.3557046979864058E-3</v>
      </c>
      <c r="O404" s="326">
        <f t="shared" si="293"/>
        <v>3.3655391341844698E-3</v>
      </c>
      <c r="P404" s="395">
        <f t="shared" si="293"/>
        <v>1.4593214154867695E-6</v>
      </c>
      <c r="Q404" s="423">
        <f t="shared" si="293"/>
        <v>-5.5928411633108244E-3</v>
      </c>
    </row>
    <row r="405" spans="1:17">
      <c r="A405" s="301" t="s">
        <v>529</v>
      </c>
      <c r="C405" s="326">
        <f>C371/B371-1</f>
        <v>1.1627906976744207E-2</v>
      </c>
      <c r="D405" s="326">
        <f t="shared" si="293"/>
        <v>6.8965517241379448E-2</v>
      </c>
      <c r="E405" s="326">
        <f t="shared" si="293"/>
        <v>4.3010752688172005E-2</v>
      </c>
      <c r="F405" s="326">
        <f t="shared" si="293"/>
        <v>3.0927835051546282E-2</v>
      </c>
      <c r="G405" s="326">
        <f t="shared" si="293"/>
        <v>4.0000000000000036E-2</v>
      </c>
      <c r="H405" s="326">
        <f t="shared" si="293"/>
        <v>9.6153846153845812E-3</v>
      </c>
      <c r="I405" s="326">
        <f t="shared" si="293"/>
        <v>-1.904761904761898E-2</v>
      </c>
      <c r="J405" s="326">
        <f t="shared" si="293"/>
        <v>-0.1165048543689321</v>
      </c>
      <c r="K405" s="326">
        <f t="shared" si="293"/>
        <v>7.6923076923076872E-2</v>
      </c>
      <c r="L405" s="326">
        <f t="shared" si="293"/>
        <v>2.0408163265306145E-2</v>
      </c>
      <c r="M405" s="326">
        <f t="shared" si="293"/>
        <v>2.0000000000000018E-2</v>
      </c>
      <c r="N405" s="326">
        <f t="shared" si="293"/>
        <v>9.8039215686274161E-3</v>
      </c>
      <c r="O405" s="326">
        <f t="shared" si="293"/>
        <v>-9.7081045478438766E-2</v>
      </c>
      <c r="P405" s="395">
        <f t="shared" si="293"/>
        <v>4.2823020130462242E-2</v>
      </c>
      <c r="Q405" s="423">
        <f t="shared" si="293"/>
        <v>-1.8284077057412529E-2</v>
      </c>
    </row>
    <row r="406" spans="1:17">
      <c r="A406" s="301" t="s">
        <v>511</v>
      </c>
      <c r="C406" s="326">
        <f>C372/B372-1</f>
        <v>-6.6821003893504649E-3</v>
      </c>
      <c r="D406" s="326">
        <f t="shared" si="293"/>
        <v>5.9378382557599974E-2</v>
      </c>
      <c r="E406" s="326">
        <f t="shared" si="293"/>
        <v>1.3470143134912238E-2</v>
      </c>
      <c r="F406" s="326">
        <f t="shared" si="293"/>
        <v>1.5441794610857817E-2</v>
      </c>
      <c r="G406" s="326">
        <f t="shared" si="293"/>
        <v>3.8885316184351648E-2</v>
      </c>
      <c r="H406" s="326">
        <f t="shared" si="293"/>
        <v>9.6153846153845812E-3</v>
      </c>
      <c r="I406" s="326">
        <f t="shared" si="293"/>
        <v>-1.6940309958570099E-2</v>
      </c>
      <c r="J406" s="326">
        <f t="shared" si="293"/>
        <v>2.1781342338539567E-2</v>
      </c>
      <c r="K406" s="326">
        <f t="shared" si="293"/>
        <v>-1.7094017094017033E-2</v>
      </c>
      <c r="L406" s="326">
        <f t="shared" si="293"/>
        <v>2.1566401816117908E-2</v>
      </c>
      <c r="M406" s="326">
        <f t="shared" si="293"/>
        <v>5.1677852348994691E-3</v>
      </c>
      <c r="N406" s="326">
        <f t="shared" si="293"/>
        <v>1.3203934772562098E-2</v>
      </c>
      <c r="O406" s="326">
        <f t="shared" si="293"/>
        <v>-0.10010966162870183</v>
      </c>
      <c r="P406" s="395">
        <f t="shared" si="293"/>
        <v>4.2821498318717177E-2</v>
      </c>
      <c r="Q406" s="423">
        <f t="shared" si="293"/>
        <v>-1.2762615173596115E-2</v>
      </c>
    </row>
    <row r="407" spans="1:17">
      <c r="A407" s="301" t="s">
        <v>512</v>
      </c>
      <c r="C407" s="326">
        <f>C373/B373-1</f>
        <v>1.0080327432396241</v>
      </c>
      <c r="D407" s="326">
        <f t="shared" si="293"/>
        <v>-4.5729401567828787E-2</v>
      </c>
      <c r="E407" s="326">
        <f t="shared" si="293"/>
        <v>8.6432776991742788E-3</v>
      </c>
      <c r="F407" s="326">
        <f t="shared" si="293"/>
        <v>7.0459768443599469E-2</v>
      </c>
      <c r="G407" s="326">
        <f t="shared" si="293"/>
        <v>2.6486922479285635E-2</v>
      </c>
      <c r="H407" s="326">
        <f t="shared" si="293"/>
        <v>2.3017231562854512E-2</v>
      </c>
      <c r="I407" s="326">
        <f t="shared" si="293"/>
        <v>9.4811964296139806E-3</v>
      </c>
      <c r="J407" s="326">
        <f t="shared" si="293"/>
        <v>6.9309457405088981E-3</v>
      </c>
      <c r="K407" s="326">
        <f t="shared" si="293"/>
        <v>-1.5824539794096371E-2</v>
      </c>
      <c r="L407" s="326">
        <f t="shared" si="293"/>
        <v>-0.12716571222333195</v>
      </c>
      <c r="M407" s="326">
        <f t="shared" si="293"/>
        <v>9.849827405755196E-2</v>
      </c>
      <c r="N407" s="326">
        <f t="shared" si="293"/>
        <v>2.1233952264919642E-2</v>
      </c>
      <c r="O407" s="326">
        <f t="shared" si="293"/>
        <v>1.7695956822164183E-2</v>
      </c>
      <c r="P407" s="395">
        <f t="shared" si="293"/>
        <v>1.2861202481241563E-2</v>
      </c>
      <c r="Q407" s="423">
        <f t="shared" si="293"/>
        <v>-1.8284077057412529E-2</v>
      </c>
    </row>
    <row r="408" spans="1:17">
      <c r="A408" s="301" t="s">
        <v>513</v>
      </c>
      <c r="C408" s="326"/>
      <c r="D408" s="326">
        <f t="shared" si="293"/>
        <v>-5.6705043721598605</v>
      </c>
      <c r="E408" s="326">
        <f t="shared" si="293"/>
        <v>0.39439556718507207</v>
      </c>
      <c r="F408" s="326">
        <f t="shared" si="293"/>
        <v>-0.26144365671140024</v>
      </c>
      <c r="G408" s="326">
        <f t="shared" si="293"/>
        <v>0.18485315337758323</v>
      </c>
      <c r="H408" s="326">
        <f t="shared" si="293"/>
        <v>-0.1148438803426638</v>
      </c>
      <c r="I408" s="326">
        <f t="shared" si="293"/>
        <v>-0.32525058328340661</v>
      </c>
      <c r="J408" s="326">
        <f t="shared" si="293"/>
        <v>-2.0985908956155077</v>
      </c>
      <c r="K408" s="326">
        <f t="shared" si="293"/>
        <v>-1.2881245921909001</v>
      </c>
      <c r="L408" s="326">
        <f t="shared" si="293"/>
        <v>7.4394316447462998</v>
      </c>
      <c r="M408" s="326">
        <f t="shared" si="293"/>
        <v>-0.38814639935099249</v>
      </c>
      <c r="N408" s="326">
        <f t="shared" si="293"/>
        <v>-9.6893792986713856E-2</v>
      </c>
      <c r="O408" s="326">
        <f t="shared" si="293"/>
        <v>-1.3086524539950961</v>
      </c>
      <c r="P408" s="395">
        <f t="shared" si="293"/>
        <v>-1.8811872485081353</v>
      </c>
      <c r="Q408" s="423">
        <f t="shared" si="293"/>
        <v>0.8095664282314976</v>
      </c>
    </row>
    <row r="409" spans="1:17" ht="12" thickBot="1">
      <c r="A409" s="301" t="s">
        <v>514</v>
      </c>
      <c r="C409" s="326"/>
      <c r="D409" s="326">
        <f t="shared" si="293"/>
        <v>-5.4287882271256693E-2</v>
      </c>
      <c r="E409" s="326">
        <f t="shared" si="293"/>
        <v>-1.9923961102763066E-2</v>
      </c>
      <c r="F409" s="326">
        <f t="shared" si="293"/>
        <v>5.4379900677279158E-2</v>
      </c>
      <c r="G409" s="326">
        <f t="shared" si="293"/>
        <v>2.5386722133648787E-2</v>
      </c>
      <c r="H409" s="326">
        <f t="shared" si="293"/>
        <v>2.3017231562854512E-2</v>
      </c>
      <c r="I409" s="326">
        <f t="shared" si="293"/>
        <v>1.164979191066573E-2</v>
      </c>
      <c r="J409" s="326">
        <f t="shared" si="293"/>
        <v>0.16453752855206694</v>
      </c>
      <c r="K409" s="326">
        <f t="shared" si="293"/>
        <v>-0.10174461965334181</v>
      </c>
      <c r="L409" s="326">
        <f t="shared" si="293"/>
        <v>-0.12617498090917023</v>
      </c>
      <c r="M409" s="326">
        <f t="shared" si="293"/>
        <v>8.2524585508616966E-2</v>
      </c>
      <c r="N409" s="326">
        <f t="shared" si="293"/>
        <v>2.4672450420693437E-2</v>
      </c>
      <c r="O409" s="326">
        <f t="shared" si="293"/>
        <v>1.4282349880528677E-2</v>
      </c>
      <c r="P409" s="395">
        <f t="shared" si="293"/>
        <v>3.8177474976200498E-2</v>
      </c>
      <c r="Q409" s="424">
        <f t="shared" si="293"/>
        <v>7.5394955146970144E-3</v>
      </c>
    </row>
  </sheetData>
  <hyperlinks>
    <hyperlink ref="BD29" r:id="rId1" location="/?v=9&amp;f=A&amp;s=0&amp;start=2017&amp;end=2023&amp;ctype=linechart&amp;maptype=0&amp;linechart=COPRPUS~MGTCPUSX&amp;map=" xr:uid="{D586E8CB-8597-49EE-B8B2-7BA716B9252C}"/>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152E-69BD-4194-B353-55ACEC944309}">
  <sheetPr>
    <tabColor theme="2" tint="-0.499984740745262"/>
  </sheetPr>
  <dimension ref="A1:BC186"/>
  <sheetViews>
    <sheetView zoomScaleNormal="100" workbookViewId="0">
      <pane xSplit="1" ySplit="3" topLeftCell="B164"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10.140625" bestFit="1" customWidth="1"/>
    <col min="2" max="48" width="15" customWidth="1"/>
    <col min="49" max="52" width="12.140625" customWidth="1"/>
    <col min="54" max="54" width="11.42578125" customWidth="1"/>
    <col min="55" max="55" width="16.140625" bestFit="1" customWidth="1"/>
    <col min="56" max="56" width="9" bestFit="1" customWidth="1"/>
  </cols>
  <sheetData>
    <row r="1" spans="1:52" ht="24">
      <c r="A1" s="123"/>
      <c r="B1" s="530" t="s">
        <v>530</v>
      </c>
      <c r="C1" s="531"/>
      <c r="D1" s="531"/>
      <c r="E1" s="531"/>
      <c r="F1" s="531"/>
      <c r="G1" s="531"/>
      <c r="H1" s="531"/>
      <c r="I1" s="531"/>
      <c r="J1" s="531"/>
      <c r="K1" s="531"/>
      <c r="L1" s="531"/>
      <c r="M1" s="531"/>
      <c r="N1" s="531"/>
      <c r="O1" s="531"/>
      <c r="P1" s="531"/>
      <c r="Q1" s="531"/>
      <c r="R1" s="531"/>
      <c r="S1" s="531"/>
      <c r="T1" s="531"/>
      <c r="U1" s="531"/>
      <c r="V1" s="531"/>
      <c r="W1" s="531"/>
      <c r="X1" s="532"/>
      <c r="Y1" s="582" t="s">
        <v>256</v>
      </c>
      <c r="Z1" s="582"/>
      <c r="AA1" s="582"/>
      <c r="AB1" s="582"/>
      <c r="AC1" s="582"/>
      <c r="AD1" s="582"/>
      <c r="AE1" s="582"/>
      <c r="AF1" s="582"/>
      <c r="AG1" s="582"/>
      <c r="AH1" s="582"/>
      <c r="AI1" s="582"/>
      <c r="AJ1" s="582"/>
      <c r="AK1" s="582"/>
      <c r="AL1" s="582"/>
      <c r="AM1" s="582"/>
      <c r="AN1" s="582"/>
      <c r="AO1" s="582"/>
      <c r="AP1" s="582"/>
      <c r="AQ1" s="582"/>
      <c r="AR1" s="582"/>
      <c r="AS1" s="582"/>
      <c r="AT1" s="582"/>
      <c r="AU1" s="582"/>
      <c r="AV1" s="583"/>
      <c r="AW1" s="425"/>
      <c r="AX1" s="425"/>
      <c r="AY1" s="425"/>
      <c r="AZ1" s="425"/>
    </row>
    <row r="2" spans="1:52" ht="15.75">
      <c r="A2" s="123"/>
      <c r="B2" s="486" t="s">
        <v>281</v>
      </c>
      <c r="C2" s="487"/>
      <c r="D2" s="487"/>
      <c r="E2" s="489" t="s">
        <v>479</v>
      </c>
      <c r="F2" s="489"/>
      <c r="G2" s="489"/>
      <c r="H2" s="490" t="s">
        <v>480</v>
      </c>
      <c r="I2" s="490"/>
      <c r="J2" s="490"/>
      <c r="K2" s="534" t="s">
        <v>283</v>
      </c>
      <c r="L2" s="534"/>
      <c r="M2" s="534"/>
      <c r="N2" s="534"/>
      <c r="O2" s="534" t="s">
        <v>287</v>
      </c>
      <c r="P2" s="534"/>
      <c r="Q2" s="534"/>
      <c r="R2" s="534"/>
      <c r="S2" s="534" t="s">
        <v>482</v>
      </c>
      <c r="T2" s="534"/>
      <c r="U2" s="534"/>
      <c r="V2" s="538" t="s">
        <v>531</v>
      </c>
      <c r="W2" s="538"/>
      <c r="X2" s="539"/>
      <c r="Y2" s="541" t="s">
        <v>281</v>
      </c>
      <c r="Z2" s="541"/>
      <c r="AA2" s="541"/>
      <c r="AB2" s="540" t="s">
        <v>479</v>
      </c>
      <c r="AC2" s="540"/>
      <c r="AD2" s="540"/>
      <c r="AE2" s="578" t="s">
        <v>480</v>
      </c>
      <c r="AF2" s="578"/>
      <c r="AG2" s="578"/>
      <c r="AH2" s="494" t="s">
        <v>283</v>
      </c>
      <c r="AI2" s="494"/>
      <c r="AJ2" s="494"/>
      <c r="AK2" s="494"/>
      <c r="AL2" s="495" t="s">
        <v>287</v>
      </c>
      <c r="AM2" s="495"/>
      <c r="AN2" s="495"/>
      <c r="AO2" s="495"/>
      <c r="AP2" s="579" t="s">
        <v>482</v>
      </c>
      <c r="AQ2" s="579"/>
      <c r="AR2" s="579"/>
      <c r="AS2" s="580" t="s">
        <v>530</v>
      </c>
      <c r="AT2" s="580"/>
      <c r="AU2" s="580"/>
      <c r="AV2" s="581"/>
      <c r="AW2" s="575" t="s">
        <v>532</v>
      </c>
      <c r="AX2" s="576"/>
      <c r="AY2" s="576"/>
      <c r="AZ2" s="576"/>
    </row>
    <row r="3" spans="1:52" ht="31.5">
      <c r="A3" s="123"/>
      <c r="B3" s="216" t="s">
        <v>260</v>
      </c>
      <c r="C3" s="217" t="s">
        <v>261</v>
      </c>
      <c r="D3" s="217" t="s">
        <v>262</v>
      </c>
      <c r="E3" s="218" t="s">
        <v>260</v>
      </c>
      <c r="F3" s="218" t="s">
        <v>261</v>
      </c>
      <c r="G3" s="218" t="s">
        <v>262</v>
      </c>
      <c r="H3" s="219" t="s">
        <v>260</v>
      </c>
      <c r="I3" s="219" t="s">
        <v>261</v>
      </c>
      <c r="J3" s="219" t="s">
        <v>262</v>
      </c>
      <c r="K3" s="341" t="s">
        <v>260</v>
      </c>
      <c r="L3" s="341" t="s">
        <v>408</v>
      </c>
      <c r="M3" s="341" t="s">
        <v>261</v>
      </c>
      <c r="N3" s="341" t="s">
        <v>262</v>
      </c>
      <c r="O3" s="341" t="s">
        <v>260</v>
      </c>
      <c r="P3" s="341" t="s">
        <v>408</v>
      </c>
      <c r="Q3" s="341" t="s">
        <v>261</v>
      </c>
      <c r="R3" s="341" t="s">
        <v>262</v>
      </c>
      <c r="S3" s="341" t="s">
        <v>260</v>
      </c>
      <c r="T3" s="341" t="s">
        <v>261</v>
      </c>
      <c r="U3" s="341" t="s">
        <v>262</v>
      </c>
      <c r="V3" s="221" t="s">
        <v>260</v>
      </c>
      <c r="W3" s="221" t="s">
        <v>261</v>
      </c>
      <c r="X3" s="222" t="s">
        <v>262</v>
      </c>
      <c r="Y3" s="232" t="s">
        <v>260</v>
      </c>
      <c r="Z3" s="232" t="s">
        <v>261</v>
      </c>
      <c r="AA3" s="232" t="s">
        <v>262</v>
      </c>
      <c r="AB3" s="231" t="s">
        <v>260</v>
      </c>
      <c r="AC3" s="231" t="s">
        <v>261</v>
      </c>
      <c r="AD3" s="231" t="s">
        <v>262</v>
      </c>
      <c r="AE3" s="426" t="s">
        <v>260</v>
      </c>
      <c r="AF3" s="426" t="s">
        <v>261</v>
      </c>
      <c r="AG3" s="426" t="s">
        <v>262</v>
      </c>
      <c r="AH3" s="230" t="s">
        <v>260</v>
      </c>
      <c r="AI3" s="230" t="s">
        <v>408</v>
      </c>
      <c r="AJ3" s="230" t="s">
        <v>261</v>
      </c>
      <c r="AK3" s="230" t="s">
        <v>262</v>
      </c>
      <c r="AL3" s="136" t="s">
        <v>260</v>
      </c>
      <c r="AM3" s="136" t="s">
        <v>408</v>
      </c>
      <c r="AN3" s="136" t="s">
        <v>261</v>
      </c>
      <c r="AO3" s="136" t="s">
        <v>262</v>
      </c>
      <c r="AP3" s="428" t="s">
        <v>260</v>
      </c>
      <c r="AQ3" s="428" t="s">
        <v>261</v>
      </c>
      <c r="AR3" s="428" t="s">
        <v>262</v>
      </c>
      <c r="AS3" s="347" t="s">
        <v>260</v>
      </c>
      <c r="AT3" s="347" t="s">
        <v>408</v>
      </c>
      <c r="AU3" s="347" t="s">
        <v>261</v>
      </c>
      <c r="AV3" s="427" t="s">
        <v>262</v>
      </c>
      <c r="AW3" s="429" t="s">
        <v>260</v>
      </c>
      <c r="AX3" s="429" t="s">
        <v>408</v>
      </c>
      <c r="AY3" s="429" t="s">
        <v>261</v>
      </c>
      <c r="AZ3" s="429" t="s">
        <v>262</v>
      </c>
    </row>
    <row r="4" spans="1:52">
      <c r="A4" s="138">
        <v>40179</v>
      </c>
      <c r="B4" s="139">
        <v>0</v>
      </c>
      <c r="C4" s="18">
        <v>0</v>
      </c>
      <c r="D4" s="18">
        <f>C4+B4</f>
        <v>0</v>
      </c>
      <c r="E4" s="18">
        <v>145876</v>
      </c>
      <c r="F4" s="18">
        <v>0</v>
      </c>
      <c r="G4" s="18">
        <f>F4+E4</f>
        <v>145876</v>
      </c>
      <c r="H4" s="18">
        <v>0</v>
      </c>
      <c r="I4" s="18">
        <v>0</v>
      </c>
      <c r="J4" s="18">
        <f>I4+H4</f>
        <v>0</v>
      </c>
      <c r="K4" s="18">
        <v>0</v>
      </c>
      <c r="L4" s="18">
        <v>0</v>
      </c>
      <c r="M4" s="18">
        <v>0</v>
      </c>
      <c r="N4" s="18">
        <f>M4+L4+K4</f>
        <v>0</v>
      </c>
      <c r="O4" s="18">
        <v>0</v>
      </c>
      <c r="P4" s="18">
        <v>0</v>
      </c>
      <c r="Q4" s="18">
        <v>0</v>
      </c>
      <c r="R4" s="18">
        <f>SUM(O4:Q4)</f>
        <v>0</v>
      </c>
      <c r="S4" s="18">
        <v>0</v>
      </c>
      <c r="T4" s="18">
        <v>0</v>
      </c>
      <c r="U4" s="18">
        <f>T4+S4</f>
        <v>0</v>
      </c>
      <c r="V4" s="18">
        <f>B4+E4+H4+K4+O4+S4</f>
        <v>145876</v>
      </c>
      <c r="W4" s="18">
        <f>C4+F4+I4+M4+Q4+T4</f>
        <v>0</v>
      </c>
      <c r="X4" s="235">
        <f>W4+V4</f>
        <v>145876</v>
      </c>
      <c r="Y4" s="353">
        <f>B4</f>
        <v>0</v>
      </c>
      <c r="Z4" s="353">
        <f>C4</f>
        <v>0</v>
      </c>
      <c r="AA4" s="353">
        <f>Z4+Y4</f>
        <v>0</v>
      </c>
      <c r="AB4" s="353">
        <f>E4</f>
        <v>145876</v>
      </c>
      <c r="AC4" s="353">
        <f>F4</f>
        <v>0</v>
      </c>
      <c r="AD4" s="353">
        <f>AC4+AB4</f>
        <v>145876</v>
      </c>
      <c r="AE4" s="353">
        <f>H4</f>
        <v>0</v>
      </c>
      <c r="AF4" s="353">
        <f>I4</f>
        <v>0</v>
      </c>
      <c r="AG4" s="353">
        <f>AF4+AE4</f>
        <v>0</v>
      </c>
      <c r="AH4" s="353">
        <f>K4</f>
        <v>0</v>
      </c>
      <c r="AI4" s="353">
        <f>L4</f>
        <v>0</v>
      </c>
      <c r="AJ4" s="353">
        <f>M4</f>
        <v>0</v>
      </c>
      <c r="AK4" s="353">
        <f>AJ4+AI4+AH4</f>
        <v>0</v>
      </c>
      <c r="AL4" s="353">
        <f>O4</f>
        <v>0</v>
      </c>
      <c r="AM4" s="353">
        <f>P4</f>
        <v>0</v>
      </c>
      <c r="AN4" s="353">
        <f>Q4</f>
        <v>0</v>
      </c>
      <c r="AO4" s="353">
        <f>SUM(AL4:AN4)</f>
        <v>0</v>
      </c>
      <c r="AP4" s="353">
        <f>S4</f>
        <v>0</v>
      </c>
      <c r="AQ4" s="353">
        <f>T4</f>
        <v>0</v>
      </c>
      <c r="AR4" s="353">
        <f>SUM(AP4:AQ4)</f>
        <v>0</v>
      </c>
      <c r="AS4" s="353">
        <f>Y4+AB4+AE4+AH4+AL4+AP4</f>
        <v>145876</v>
      </c>
      <c r="AT4" s="353">
        <f>AI4</f>
        <v>0</v>
      </c>
      <c r="AU4" s="353">
        <f>Z4+AC4+AF4+AJ4+AN4+AQ4</f>
        <v>0</v>
      </c>
      <c r="AV4" s="354">
        <f>SUM(AS4:AU4)</f>
        <v>145876</v>
      </c>
      <c r="AW4" s="430"/>
      <c r="AX4" s="430"/>
      <c r="AY4" s="430"/>
      <c r="AZ4" s="430"/>
    </row>
    <row r="5" spans="1:52">
      <c r="A5" s="138">
        <v>40210</v>
      </c>
      <c r="B5" s="139">
        <v>0</v>
      </c>
      <c r="C5" s="18">
        <v>0</v>
      </c>
      <c r="D5" s="18">
        <f t="shared" ref="D5:D68" si="0">C5+B5</f>
        <v>0</v>
      </c>
      <c r="E5" s="18">
        <v>1813991</v>
      </c>
      <c r="F5" s="18">
        <v>0</v>
      </c>
      <c r="G5" s="18">
        <f t="shared" ref="G5:G68" si="1">F5+E5</f>
        <v>1813991</v>
      </c>
      <c r="H5" s="18">
        <v>0</v>
      </c>
      <c r="I5" s="18">
        <v>0</v>
      </c>
      <c r="J5" s="18">
        <f t="shared" ref="J5:J68" si="2">I5+H5</f>
        <v>0</v>
      </c>
      <c r="K5" s="18">
        <v>0</v>
      </c>
      <c r="L5" s="18">
        <v>0</v>
      </c>
      <c r="M5" s="18">
        <v>0</v>
      </c>
      <c r="N5" s="18">
        <f t="shared" ref="N5:N68" si="3">M5+L5+K5</f>
        <v>0</v>
      </c>
      <c r="O5" s="18">
        <v>0</v>
      </c>
      <c r="P5" s="18">
        <v>0</v>
      </c>
      <c r="Q5" s="18">
        <v>0</v>
      </c>
      <c r="R5" s="18">
        <f t="shared" ref="R5:R15" si="4">SUM(O5:Q5)</f>
        <v>0</v>
      </c>
      <c r="S5" s="18">
        <v>0</v>
      </c>
      <c r="T5" s="18">
        <v>0</v>
      </c>
      <c r="U5" s="18">
        <f t="shared" ref="U5:U68" si="5">T5+S5</f>
        <v>0</v>
      </c>
      <c r="V5" s="18">
        <f t="shared" ref="V5:V68" si="6">B5+E5+H5+K5+O5+S5</f>
        <v>1813991</v>
      </c>
      <c r="W5" s="18">
        <f t="shared" ref="W5:W68" si="7">C5+F5+I5+M5+Q5+T5</f>
        <v>0</v>
      </c>
      <c r="X5" s="235">
        <f t="shared" ref="X5:X68" si="8">W5+V5</f>
        <v>1813991</v>
      </c>
      <c r="Y5" s="353">
        <f>Y4+B5</f>
        <v>0</v>
      </c>
      <c r="Z5" s="353">
        <f>Z4+C5</f>
        <v>0</v>
      </c>
      <c r="AA5" s="353">
        <f>Z5+Y5</f>
        <v>0</v>
      </c>
      <c r="AB5" s="353">
        <f>AB4+E5</f>
        <v>1959867</v>
      </c>
      <c r="AC5" s="353">
        <f>AC4+F5</f>
        <v>0</v>
      </c>
      <c r="AD5" s="353">
        <f>AC5+AB5</f>
        <v>1959867</v>
      </c>
      <c r="AE5" s="353">
        <f>AE4+H5</f>
        <v>0</v>
      </c>
      <c r="AF5" s="353">
        <f>AF4+I5</f>
        <v>0</v>
      </c>
      <c r="AG5" s="353">
        <f>AF5+AE5</f>
        <v>0</v>
      </c>
      <c r="AH5" s="353">
        <f>AH4+K5</f>
        <v>0</v>
      </c>
      <c r="AI5" s="353">
        <f>AI4+L5</f>
        <v>0</v>
      </c>
      <c r="AJ5" s="353">
        <f>AJ4+M5</f>
        <v>0</v>
      </c>
      <c r="AK5" s="353">
        <f>AJ5+AI5+AH5</f>
        <v>0</v>
      </c>
      <c r="AL5" s="353">
        <f>AL4+O5</f>
        <v>0</v>
      </c>
      <c r="AM5" s="353">
        <f>AM4+P5</f>
        <v>0</v>
      </c>
      <c r="AN5" s="353">
        <f>AN4+Q5</f>
        <v>0</v>
      </c>
      <c r="AO5" s="353">
        <f t="shared" ref="AO5:AO15" si="9">SUM(AL5:AN5)</f>
        <v>0</v>
      </c>
      <c r="AP5" s="353">
        <f>AP4+S5</f>
        <v>0</v>
      </c>
      <c r="AQ5" s="353">
        <f>AQ4+T5</f>
        <v>0</v>
      </c>
      <c r="AR5" s="353">
        <f>SUM(AP5:AQ5)</f>
        <v>0</v>
      </c>
      <c r="AS5" s="353">
        <f>Y5+AB5+AE5+AH5+AL5+AP5</f>
        <v>1959867</v>
      </c>
      <c r="AT5" s="353">
        <f>AI5</f>
        <v>0</v>
      </c>
      <c r="AU5" s="353">
        <f>Z5+AC5+AF5+AJ5+AN5+AQ5</f>
        <v>0</v>
      </c>
      <c r="AV5" s="354">
        <f t="shared" ref="AV5:AV68" si="10">SUM(AS5:AU5)</f>
        <v>1959867</v>
      </c>
      <c r="AW5" s="430"/>
      <c r="AX5" s="430"/>
      <c r="AY5" s="430"/>
      <c r="AZ5" s="430"/>
    </row>
    <row r="6" spans="1:52">
      <c r="A6" s="138">
        <v>40238</v>
      </c>
      <c r="B6" s="139">
        <v>0</v>
      </c>
      <c r="C6" s="18">
        <v>0</v>
      </c>
      <c r="D6" s="18">
        <f t="shared" si="0"/>
        <v>0</v>
      </c>
      <c r="E6" s="18">
        <v>726074</v>
      </c>
      <c r="F6" s="18">
        <v>0</v>
      </c>
      <c r="G6" s="18">
        <f t="shared" si="1"/>
        <v>726074</v>
      </c>
      <c r="H6" s="18">
        <v>0</v>
      </c>
      <c r="I6" s="18">
        <v>0</v>
      </c>
      <c r="J6" s="18">
        <f t="shared" si="2"/>
        <v>0</v>
      </c>
      <c r="K6" s="18">
        <v>0</v>
      </c>
      <c r="L6" s="18">
        <v>0</v>
      </c>
      <c r="M6" s="18">
        <v>0</v>
      </c>
      <c r="N6" s="18">
        <f t="shared" si="3"/>
        <v>0</v>
      </c>
      <c r="O6" s="18">
        <v>0</v>
      </c>
      <c r="P6" s="18">
        <v>0</v>
      </c>
      <c r="Q6" s="18">
        <v>0</v>
      </c>
      <c r="R6" s="18">
        <f t="shared" si="4"/>
        <v>0</v>
      </c>
      <c r="S6" s="18">
        <v>0</v>
      </c>
      <c r="T6" s="18">
        <v>0</v>
      </c>
      <c r="U6" s="18">
        <f t="shared" si="5"/>
        <v>0</v>
      </c>
      <c r="V6" s="18">
        <f t="shared" si="6"/>
        <v>726074</v>
      </c>
      <c r="W6" s="18">
        <f t="shared" si="7"/>
        <v>0</v>
      </c>
      <c r="X6" s="235">
        <f t="shared" si="8"/>
        <v>726074</v>
      </c>
      <c r="Y6" s="353">
        <f t="shared" ref="Y6:Z15" si="11">Y5+B6</f>
        <v>0</v>
      </c>
      <c r="Z6" s="353">
        <f t="shared" si="11"/>
        <v>0</v>
      </c>
      <c r="AA6" s="353">
        <f t="shared" ref="AA6:AA15" si="12">Z6+Y6</f>
        <v>0</v>
      </c>
      <c r="AB6" s="353">
        <f t="shared" ref="AB6:AC15" si="13">AB5+E6</f>
        <v>2685941</v>
      </c>
      <c r="AC6" s="353">
        <f t="shared" si="13"/>
        <v>0</v>
      </c>
      <c r="AD6" s="353">
        <f t="shared" ref="AD6:AD15" si="14">AC6+AB6</f>
        <v>2685941</v>
      </c>
      <c r="AE6" s="353">
        <f t="shared" ref="AE6:AF15" si="15">AE5+H6</f>
        <v>0</v>
      </c>
      <c r="AF6" s="353">
        <f t="shared" si="15"/>
        <v>0</v>
      </c>
      <c r="AG6" s="353">
        <f t="shared" ref="AG6:AG15" si="16">AF6+AE6</f>
        <v>0</v>
      </c>
      <c r="AH6" s="353">
        <f t="shared" ref="AH6:AJ15" si="17">AH5+K6</f>
        <v>0</v>
      </c>
      <c r="AI6" s="353">
        <f t="shared" si="17"/>
        <v>0</v>
      </c>
      <c r="AJ6" s="353">
        <f t="shared" si="17"/>
        <v>0</v>
      </c>
      <c r="AK6" s="353">
        <f t="shared" ref="AK6:AK15" si="18">AJ6+AI6+AH6</f>
        <v>0</v>
      </c>
      <c r="AL6" s="353">
        <f t="shared" ref="AL6:AN15" si="19">AL5+O6</f>
        <v>0</v>
      </c>
      <c r="AM6" s="353">
        <f t="shared" si="19"/>
        <v>0</v>
      </c>
      <c r="AN6" s="353">
        <f t="shared" si="19"/>
        <v>0</v>
      </c>
      <c r="AO6" s="353">
        <f t="shared" si="9"/>
        <v>0</v>
      </c>
      <c r="AP6" s="353">
        <f t="shared" ref="AP6:AQ15" si="20">AP5+S6</f>
        <v>0</v>
      </c>
      <c r="AQ6" s="353">
        <f t="shared" si="20"/>
        <v>0</v>
      </c>
      <c r="AR6" s="353">
        <f t="shared" ref="AR6:AR15" si="21">SUM(AP6:AQ6)</f>
        <v>0</v>
      </c>
      <c r="AS6" s="353">
        <f t="shared" ref="AS6:AS15" si="22">Y6+AB6+AE6+AH6+AL6+AP6</f>
        <v>2685941</v>
      </c>
      <c r="AT6" s="353">
        <f t="shared" ref="AT6:AT15" si="23">AI6</f>
        <v>0</v>
      </c>
      <c r="AU6" s="353">
        <f t="shared" ref="AU6:AU15" si="24">Z6+AC6+AF6+AJ6+AN6+AQ6</f>
        <v>0</v>
      </c>
      <c r="AV6" s="354">
        <f t="shared" si="10"/>
        <v>2685941</v>
      </c>
      <c r="AW6" s="430"/>
      <c r="AX6" s="430"/>
      <c r="AY6" s="430"/>
      <c r="AZ6" s="430"/>
    </row>
    <row r="7" spans="1:52">
      <c r="A7" s="138">
        <v>40269</v>
      </c>
      <c r="B7" s="139">
        <v>0</v>
      </c>
      <c r="C7" s="18">
        <v>0</v>
      </c>
      <c r="D7" s="18">
        <f t="shared" si="0"/>
        <v>0</v>
      </c>
      <c r="E7" s="18">
        <v>0</v>
      </c>
      <c r="F7" s="18">
        <v>0</v>
      </c>
      <c r="G7" s="18">
        <f t="shared" si="1"/>
        <v>0</v>
      </c>
      <c r="H7" s="18">
        <v>0</v>
      </c>
      <c r="I7" s="18">
        <v>0</v>
      </c>
      <c r="J7" s="18">
        <f t="shared" si="2"/>
        <v>0</v>
      </c>
      <c r="K7" s="18">
        <v>0</v>
      </c>
      <c r="L7" s="18">
        <v>0</v>
      </c>
      <c r="M7" s="18">
        <v>0</v>
      </c>
      <c r="N7" s="18">
        <f t="shared" si="3"/>
        <v>0</v>
      </c>
      <c r="O7" s="18">
        <v>0</v>
      </c>
      <c r="P7" s="18">
        <v>0</v>
      </c>
      <c r="Q7" s="18">
        <v>0</v>
      </c>
      <c r="R7" s="18">
        <f t="shared" si="4"/>
        <v>0</v>
      </c>
      <c r="S7" s="18">
        <v>0</v>
      </c>
      <c r="T7" s="18">
        <v>0</v>
      </c>
      <c r="U7" s="18">
        <f t="shared" si="5"/>
        <v>0</v>
      </c>
      <c r="V7" s="18">
        <f t="shared" si="6"/>
        <v>0</v>
      </c>
      <c r="W7" s="18">
        <f t="shared" si="7"/>
        <v>0</v>
      </c>
      <c r="X7" s="235">
        <f t="shared" si="8"/>
        <v>0</v>
      </c>
      <c r="Y7" s="353">
        <f t="shared" si="11"/>
        <v>0</v>
      </c>
      <c r="Z7" s="353">
        <f t="shared" si="11"/>
        <v>0</v>
      </c>
      <c r="AA7" s="353">
        <f t="shared" si="12"/>
        <v>0</v>
      </c>
      <c r="AB7" s="353">
        <f t="shared" si="13"/>
        <v>2685941</v>
      </c>
      <c r="AC7" s="353">
        <f t="shared" si="13"/>
        <v>0</v>
      </c>
      <c r="AD7" s="353">
        <f t="shared" si="14"/>
        <v>2685941</v>
      </c>
      <c r="AE7" s="353">
        <f t="shared" si="15"/>
        <v>0</v>
      </c>
      <c r="AF7" s="353">
        <f t="shared" si="15"/>
        <v>0</v>
      </c>
      <c r="AG7" s="353">
        <f t="shared" si="16"/>
        <v>0</v>
      </c>
      <c r="AH7" s="353">
        <f t="shared" si="17"/>
        <v>0</v>
      </c>
      <c r="AI7" s="353">
        <f t="shared" si="17"/>
        <v>0</v>
      </c>
      <c r="AJ7" s="353">
        <f t="shared" si="17"/>
        <v>0</v>
      </c>
      <c r="AK7" s="353">
        <f t="shared" si="18"/>
        <v>0</v>
      </c>
      <c r="AL7" s="353">
        <f t="shared" si="19"/>
        <v>0</v>
      </c>
      <c r="AM7" s="353">
        <f t="shared" si="19"/>
        <v>0</v>
      </c>
      <c r="AN7" s="353">
        <f t="shared" si="19"/>
        <v>0</v>
      </c>
      <c r="AO7" s="353">
        <f t="shared" si="9"/>
        <v>0</v>
      </c>
      <c r="AP7" s="353">
        <f t="shared" si="20"/>
        <v>0</v>
      </c>
      <c r="AQ7" s="353">
        <f t="shared" si="20"/>
        <v>0</v>
      </c>
      <c r="AR7" s="353">
        <f t="shared" si="21"/>
        <v>0</v>
      </c>
      <c r="AS7" s="353">
        <f t="shared" si="22"/>
        <v>2685941</v>
      </c>
      <c r="AT7" s="353">
        <f t="shared" si="23"/>
        <v>0</v>
      </c>
      <c r="AU7" s="353">
        <f t="shared" si="24"/>
        <v>0</v>
      </c>
      <c r="AV7" s="354">
        <f t="shared" si="10"/>
        <v>2685941</v>
      </c>
      <c r="AW7" s="430"/>
      <c r="AX7" s="430"/>
      <c r="AY7" s="430"/>
      <c r="AZ7" s="430"/>
    </row>
    <row r="8" spans="1:52">
      <c r="A8" s="138">
        <v>40299</v>
      </c>
      <c r="B8" s="139">
        <v>0</v>
      </c>
      <c r="C8" s="18">
        <v>0</v>
      </c>
      <c r="D8" s="18">
        <f t="shared" si="0"/>
        <v>0</v>
      </c>
      <c r="E8" s="18">
        <v>0</v>
      </c>
      <c r="F8" s="18">
        <v>0</v>
      </c>
      <c r="G8" s="18">
        <f t="shared" si="1"/>
        <v>0</v>
      </c>
      <c r="H8" s="18">
        <v>0</v>
      </c>
      <c r="I8" s="18">
        <v>0</v>
      </c>
      <c r="J8" s="18">
        <f t="shared" si="2"/>
        <v>0</v>
      </c>
      <c r="K8" s="18">
        <v>0</v>
      </c>
      <c r="L8" s="18">
        <v>0</v>
      </c>
      <c r="M8" s="18">
        <v>0</v>
      </c>
      <c r="N8" s="18">
        <f t="shared" si="3"/>
        <v>0</v>
      </c>
      <c r="O8" s="18">
        <v>0</v>
      </c>
      <c r="P8" s="18">
        <v>0</v>
      </c>
      <c r="Q8" s="18">
        <v>0</v>
      </c>
      <c r="R8" s="18">
        <f t="shared" si="4"/>
        <v>0</v>
      </c>
      <c r="S8" s="18">
        <v>0</v>
      </c>
      <c r="T8" s="18">
        <v>0</v>
      </c>
      <c r="U8" s="18">
        <f t="shared" si="5"/>
        <v>0</v>
      </c>
      <c r="V8" s="18">
        <f t="shared" si="6"/>
        <v>0</v>
      </c>
      <c r="W8" s="18">
        <f t="shared" si="7"/>
        <v>0</v>
      </c>
      <c r="X8" s="235">
        <f t="shared" si="8"/>
        <v>0</v>
      </c>
      <c r="Y8" s="353">
        <f t="shared" si="11"/>
        <v>0</v>
      </c>
      <c r="Z8" s="353">
        <f t="shared" si="11"/>
        <v>0</v>
      </c>
      <c r="AA8" s="353">
        <f t="shared" si="12"/>
        <v>0</v>
      </c>
      <c r="AB8" s="353">
        <f t="shared" si="13"/>
        <v>2685941</v>
      </c>
      <c r="AC8" s="353">
        <f t="shared" si="13"/>
        <v>0</v>
      </c>
      <c r="AD8" s="353">
        <f t="shared" si="14"/>
        <v>2685941</v>
      </c>
      <c r="AE8" s="353">
        <f t="shared" si="15"/>
        <v>0</v>
      </c>
      <c r="AF8" s="353">
        <f t="shared" si="15"/>
        <v>0</v>
      </c>
      <c r="AG8" s="353">
        <f t="shared" si="16"/>
        <v>0</v>
      </c>
      <c r="AH8" s="353">
        <f t="shared" si="17"/>
        <v>0</v>
      </c>
      <c r="AI8" s="353">
        <f t="shared" si="17"/>
        <v>0</v>
      </c>
      <c r="AJ8" s="353">
        <f t="shared" si="17"/>
        <v>0</v>
      </c>
      <c r="AK8" s="353">
        <f t="shared" si="18"/>
        <v>0</v>
      </c>
      <c r="AL8" s="353">
        <f t="shared" si="19"/>
        <v>0</v>
      </c>
      <c r="AM8" s="353">
        <f t="shared" si="19"/>
        <v>0</v>
      </c>
      <c r="AN8" s="353">
        <f t="shared" si="19"/>
        <v>0</v>
      </c>
      <c r="AO8" s="353">
        <f t="shared" si="9"/>
        <v>0</v>
      </c>
      <c r="AP8" s="353">
        <f t="shared" si="20"/>
        <v>0</v>
      </c>
      <c r="AQ8" s="353">
        <f t="shared" si="20"/>
        <v>0</v>
      </c>
      <c r="AR8" s="353">
        <f t="shared" si="21"/>
        <v>0</v>
      </c>
      <c r="AS8" s="353">
        <f t="shared" si="22"/>
        <v>2685941</v>
      </c>
      <c r="AT8" s="353">
        <f t="shared" si="23"/>
        <v>0</v>
      </c>
      <c r="AU8" s="353">
        <f t="shared" si="24"/>
        <v>0</v>
      </c>
      <c r="AV8" s="354">
        <f t="shared" si="10"/>
        <v>2685941</v>
      </c>
      <c r="AW8" s="430"/>
      <c r="AX8" s="430"/>
      <c r="AY8" s="430"/>
      <c r="AZ8" s="430"/>
    </row>
    <row r="9" spans="1:52">
      <c r="A9" s="138">
        <v>40330</v>
      </c>
      <c r="B9" s="139">
        <v>0</v>
      </c>
      <c r="C9" s="18">
        <v>0</v>
      </c>
      <c r="D9" s="18">
        <f t="shared" si="0"/>
        <v>0</v>
      </c>
      <c r="E9" s="18">
        <v>90996</v>
      </c>
      <c r="F9" s="18">
        <v>0</v>
      </c>
      <c r="G9" s="18">
        <f t="shared" si="1"/>
        <v>90996</v>
      </c>
      <c r="H9" s="18">
        <v>0</v>
      </c>
      <c r="I9" s="18">
        <v>0</v>
      </c>
      <c r="J9" s="18">
        <f t="shared" si="2"/>
        <v>0</v>
      </c>
      <c r="K9" s="18">
        <v>0</v>
      </c>
      <c r="L9" s="18">
        <v>0</v>
      </c>
      <c r="M9" s="18">
        <v>0</v>
      </c>
      <c r="N9" s="18">
        <f t="shared" si="3"/>
        <v>0</v>
      </c>
      <c r="O9" s="18">
        <v>0</v>
      </c>
      <c r="P9" s="18">
        <v>0</v>
      </c>
      <c r="Q9" s="18">
        <v>0</v>
      </c>
      <c r="R9" s="18">
        <f t="shared" si="4"/>
        <v>0</v>
      </c>
      <c r="S9" s="18">
        <v>0</v>
      </c>
      <c r="T9" s="18">
        <v>0</v>
      </c>
      <c r="U9" s="18">
        <f t="shared" si="5"/>
        <v>0</v>
      </c>
      <c r="V9" s="18">
        <f t="shared" si="6"/>
        <v>90996</v>
      </c>
      <c r="W9" s="18">
        <f t="shared" si="7"/>
        <v>0</v>
      </c>
      <c r="X9" s="235">
        <f t="shared" si="8"/>
        <v>90996</v>
      </c>
      <c r="Y9" s="353">
        <f t="shared" si="11"/>
        <v>0</v>
      </c>
      <c r="Z9" s="353">
        <f t="shared" si="11"/>
        <v>0</v>
      </c>
      <c r="AA9" s="353">
        <f t="shared" si="12"/>
        <v>0</v>
      </c>
      <c r="AB9" s="353">
        <f t="shared" si="13"/>
        <v>2776937</v>
      </c>
      <c r="AC9" s="353">
        <f t="shared" si="13"/>
        <v>0</v>
      </c>
      <c r="AD9" s="353">
        <f t="shared" si="14"/>
        <v>2776937</v>
      </c>
      <c r="AE9" s="353">
        <f t="shared" si="15"/>
        <v>0</v>
      </c>
      <c r="AF9" s="353">
        <f t="shared" si="15"/>
        <v>0</v>
      </c>
      <c r="AG9" s="353">
        <f t="shared" si="16"/>
        <v>0</v>
      </c>
      <c r="AH9" s="353">
        <f t="shared" si="17"/>
        <v>0</v>
      </c>
      <c r="AI9" s="353">
        <f t="shared" si="17"/>
        <v>0</v>
      </c>
      <c r="AJ9" s="353">
        <f t="shared" si="17"/>
        <v>0</v>
      </c>
      <c r="AK9" s="353">
        <f t="shared" si="18"/>
        <v>0</v>
      </c>
      <c r="AL9" s="353">
        <f t="shared" si="19"/>
        <v>0</v>
      </c>
      <c r="AM9" s="353">
        <f t="shared" si="19"/>
        <v>0</v>
      </c>
      <c r="AN9" s="353">
        <f t="shared" si="19"/>
        <v>0</v>
      </c>
      <c r="AO9" s="353">
        <f t="shared" si="9"/>
        <v>0</v>
      </c>
      <c r="AP9" s="353">
        <f t="shared" si="20"/>
        <v>0</v>
      </c>
      <c r="AQ9" s="353">
        <f t="shared" si="20"/>
        <v>0</v>
      </c>
      <c r="AR9" s="353">
        <f t="shared" si="21"/>
        <v>0</v>
      </c>
      <c r="AS9" s="353">
        <f t="shared" si="22"/>
        <v>2776937</v>
      </c>
      <c r="AT9" s="353">
        <f t="shared" si="23"/>
        <v>0</v>
      </c>
      <c r="AU9" s="353">
        <f t="shared" si="24"/>
        <v>0</v>
      </c>
      <c r="AV9" s="354">
        <f t="shared" si="10"/>
        <v>2776937</v>
      </c>
      <c r="AW9" s="430"/>
      <c r="AX9" s="430"/>
      <c r="AY9" s="430"/>
      <c r="AZ9" s="430"/>
    </row>
    <row r="10" spans="1:52">
      <c r="A10" s="138">
        <v>40360</v>
      </c>
      <c r="B10" s="139">
        <v>2496971</v>
      </c>
      <c r="C10" s="18">
        <v>0</v>
      </c>
      <c r="D10" s="18">
        <f t="shared" si="0"/>
        <v>2496971</v>
      </c>
      <c r="E10" s="18">
        <v>1111810443</v>
      </c>
      <c r="F10" s="18">
        <v>1203165</v>
      </c>
      <c r="G10" s="18">
        <f t="shared" si="1"/>
        <v>1113013608</v>
      </c>
      <c r="H10" s="18">
        <v>0</v>
      </c>
      <c r="I10" s="18">
        <v>0</v>
      </c>
      <c r="J10" s="18">
        <f t="shared" si="2"/>
        <v>0</v>
      </c>
      <c r="K10" s="18">
        <v>0</v>
      </c>
      <c r="L10" s="18">
        <v>0</v>
      </c>
      <c r="M10" s="18">
        <v>0</v>
      </c>
      <c r="N10" s="18">
        <f t="shared" si="3"/>
        <v>0</v>
      </c>
      <c r="O10" s="18">
        <v>0</v>
      </c>
      <c r="P10" s="18">
        <v>0</v>
      </c>
      <c r="Q10" s="18">
        <v>0</v>
      </c>
      <c r="R10" s="18">
        <f t="shared" si="4"/>
        <v>0</v>
      </c>
      <c r="S10" s="18">
        <v>0</v>
      </c>
      <c r="T10" s="18">
        <v>0</v>
      </c>
      <c r="U10" s="18">
        <f t="shared" si="5"/>
        <v>0</v>
      </c>
      <c r="V10" s="18">
        <f t="shared" si="6"/>
        <v>1114307414</v>
      </c>
      <c r="W10" s="18">
        <f t="shared" si="7"/>
        <v>1203165</v>
      </c>
      <c r="X10" s="235">
        <f t="shared" si="8"/>
        <v>1115510579</v>
      </c>
      <c r="Y10" s="353">
        <f t="shared" si="11"/>
        <v>2496971</v>
      </c>
      <c r="Z10" s="353">
        <f t="shared" si="11"/>
        <v>0</v>
      </c>
      <c r="AA10" s="353">
        <f t="shared" si="12"/>
        <v>2496971</v>
      </c>
      <c r="AB10" s="353">
        <f t="shared" si="13"/>
        <v>1114587380</v>
      </c>
      <c r="AC10" s="353">
        <f t="shared" si="13"/>
        <v>1203165</v>
      </c>
      <c r="AD10" s="353">
        <f t="shared" si="14"/>
        <v>1115790545</v>
      </c>
      <c r="AE10" s="353">
        <f t="shared" si="15"/>
        <v>0</v>
      </c>
      <c r="AF10" s="353">
        <f t="shared" si="15"/>
        <v>0</v>
      </c>
      <c r="AG10" s="353">
        <f t="shared" si="16"/>
        <v>0</v>
      </c>
      <c r="AH10" s="353">
        <f t="shared" si="17"/>
        <v>0</v>
      </c>
      <c r="AI10" s="353">
        <f t="shared" si="17"/>
        <v>0</v>
      </c>
      <c r="AJ10" s="353">
        <f t="shared" si="17"/>
        <v>0</v>
      </c>
      <c r="AK10" s="353">
        <f t="shared" si="18"/>
        <v>0</v>
      </c>
      <c r="AL10" s="353">
        <f t="shared" si="19"/>
        <v>0</v>
      </c>
      <c r="AM10" s="353">
        <f t="shared" si="19"/>
        <v>0</v>
      </c>
      <c r="AN10" s="353">
        <f t="shared" si="19"/>
        <v>0</v>
      </c>
      <c r="AO10" s="353">
        <f t="shared" si="9"/>
        <v>0</v>
      </c>
      <c r="AP10" s="353">
        <f t="shared" si="20"/>
        <v>0</v>
      </c>
      <c r="AQ10" s="353">
        <f t="shared" si="20"/>
        <v>0</v>
      </c>
      <c r="AR10" s="353">
        <f t="shared" si="21"/>
        <v>0</v>
      </c>
      <c r="AS10" s="353">
        <f t="shared" si="22"/>
        <v>1117084351</v>
      </c>
      <c r="AT10" s="353">
        <f t="shared" si="23"/>
        <v>0</v>
      </c>
      <c r="AU10" s="353">
        <f t="shared" si="24"/>
        <v>1203165</v>
      </c>
      <c r="AV10" s="354">
        <f t="shared" si="10"/>
        <v>1118287516</v>
      </c>
      <c r="AW10" s="430"/>
      <c r="AX10" s="430"/>
      <c r="AY10" s="430"/>
      <c r="AZ10" s="430"/>
    </row>
    <row r="11" spans="1:52">
      <c r="A11" s="138">
        <v>40391</v>
      </c>
      <c r="B11" s="139">
        <v>3529440</v>
      </c>
      <c r="C11" s="18">
        <v>0</v>
      </c>
      <c r="D11" s="18">
        <f t="shared" si="0"/>
        <v>3529440</v>
      </c>
      <c r="E11" s="18">
        <v>1111134084</v>
      </c>
      <c r="F11" s="18">
        <v>443599</v>
      </c>
      <c r="G11" s="18">
        <f t="shared" si="1"/>
        <v>1111577683</v>
      </c>
      <c r="H11" s="18">
        <v>0</v>
      </c>
      <c r="I11" s="18">
        <v>0</v>
      </c>
      <c r="J11" s="18">
        <f t="shared" si="2"/>
        <v>0</v>
      </c>
      <c r="K11" s="18">
        <v>0</v>
      </c>
      <c r="L11" s="18">
        <v>0</v>
      </c>
      <c r="M11" s="18">
        <v>0</v>
      </c>
      <c r="N11" s="18">
        <f t="shared" si="3"/>
        <v>0</v>
      </c>
      <c r="O11" s="18">
        <v>0</v>
      </c>
      <c r="P11" s="18">
        <v>0</v>
      </c>
      <c r="Q11" s="18">
        <v>0</v>
      </c>
      <c r="R11" s="18">
        <f t="shared" si="4"/>
        <v>0</v>
      </c>
      <c r="S11" s="18">
        <v>0</v>
      </c>
      <c r="T11" s="18">
        <v>0</v>
      </c>
      <c r="U11" s="18">
        <f t="shared" si="5"/>
        <v>0</v>
      </c>
      <c r="V11" s="18">
        <f t="shared" si="6"/>
        <v>1114663524</v>
      </c>
      <c r="W11" s="18">
        <f t="shared" si="7"/>
        <v>443599</v>
      </c>
      <c r="X11" s="235">
        <f t="shared" si="8"/>
        <v>1115107123</v>
      </c>
      <c r="Y11" s="353">
        <f t="shared" si="11"/>
        <v>6026411</v>
      </c>
      <c r="Z11" s="353">
        <f t="shared" si="11"/>
        <v>0</v>
      </c>
      <c r="AA11" s="353">
        <f t="shared" si="12"/>
        <v>6026411</v>
      </c>
      <c r="AB11" s="353">
        <f t="shared" si="13"/>
        <v>2225721464</v>
      </c>
      <c r="AC11" s="353">
        <f t="shared" si="13"/>
        <v>1646764</v>
      </c>
      <c r="AD11" s="353">
        <f t="shared" si="14"/>
        <v>2227368228</v>
      </c>
      <c r="AE11" s="353">
        <f t="shared" si="15"/>
        <v>0</v>
      </c>
      <c r="AF11" s="353">
        <f t="shared" si="15"/>
        <v>0</v>
      </c>
      <c r="AG11" s="353">
        <f t="shared" si="16"/>
        <v>0</v>
      </c>
      <c r="AH11" s="353">
        <f t="shared" si="17"/>
        <v>0</v>
      </c>
      <c r="AI11" s="353">
        <f t="shared" si="17"/>
        <v>0</v>
      </c>
      <c r="AJ11" s="353">
        <f t="shared" si="17"/>
        <v>0</v>
      </c>
      <c r="AK11" s="353">
        <f t="shared" si="18"/>
        <v>0</v>
      </c>
      <c r="AL11" s="353">
        <f t="shared" si="19"/>
        <v>0</v>
      </c>
      <c r="AM11" s="353">
        <f t="shared" si="19"/>
        <v>0</v>
      </c>
      <c r="AN11" s="353">
        <f t="shared" si="19"/>
        <v>0</v>
      </c>
      <c r="AO11" s="353">
        <f t="shared" si="9"/>
        <v>0</v>
      </c>
      <c r="AP11" s="353">
        <f t="shared" si="20"/>
        <v>0</v>
      </c>
      <c r="AQ11" s="353">
        <f t="shared" si="20"/>
        <v>0</v>
      </c>
      <c r="AR11" s="353">
        <f t="shared" si="21"/>
        <v>0</v>
      </c>
      <c r="AS11" s="353">
        <f t="shared" si="22"/>
        <v>2231747875</v>
      </c>
      <c r="AT11" s="353">
        <f t="shared" si="23"/>
        <v>0</v>
      </c>
      <c r="AU11" s="353">
        <f t="shared" si="24"/>
        <v>1646764</v>
      </c>
      <c r="AV11" s="354">
        <f t="shared" si="10"/>
        <v>2233394639</v>
      </c>
      <c r="AW11" s="430"/>
      <c r="AX11" s="430"/>
      <c r="AY11" s="430"/>
      <c r="AZ11" s="430"/>
    </row>
    <row r="12" spans="1:52">
      <c r="A12" s="138">
        <v>40422</v>
      </c>
      <c r="B12" s="139">
        <v>5807541</v>
      </c>
      <c r="C12" s="18">
        <v>0</v>
      </c>
      <c r="D12" s="18">
        <f t="shared" si="0"/>
        <v>5807541</v>
      </c>
      <c r="E12" s="18">
        <v>1101994951</v>
      </c>
      <c r="F12" s="18">
        <v>222920</v>
      </c>
      <c r="G12" s="18">
        <f t="shared" si="1"/>
        <v>1102217871</v>
      </c>
      <c r="H12" s="18">
        <v>0</v>
      </c>
      <c r="I12" s="18">
        <v>0</v>
      </c>
      <c r="J12" s="18">
        <f t="shared" si="2"/>
        <v>0</v>
      </c>
      <c r="K12" s="18">
        <v>0</v>
      </c>
      <c r="L12" s="18">
        <v>0</v>
      </c>
      <c r="M12" s="18">
        <v>0</v>
      </c>
      <c r="N12" s="18">
        <f t="shared" si="3"/>
        <v>0</v>
      </c>
      <c r="O12" s="18">
        <v>0</v>
      </c>
      <c r="P12" s="18">
        <v>0</v>
      </c>
      <c r="Q12" s="18">
        <v>0</v>
      </c>
      <c r="R12" s="18">
        <f t="shared" si="4"/>
        <v>0</v>
      </c>
      <c r="S12" s="18">
        <v>0</v>
      </c>
      <c r="T12" s="18">
        <v>0</v>
      </c>
      <c r="U12" s="18">
        <f t="shared" si="5"/>
        <v>0</v>
      </c>
      <c r="V12" s="18">
        <f t="shared" si="6"/>
        <v>1107802492</v>
      </c>
      <c r="W12" s="18">
        <f t="shared" si="7"/>
        <v>222920</v>
      </c>
      <c r="X12" s="235">
        <f t="shared" si="8"/>
        <v>1108025412</v>
      </c>
      <c r="Y12" s="353">
        <f t="shared" si="11"/>
        <v>11833952</v>
      </c>
      <c r="Z12" s="353">
        <f t="shared" si="11"/>
        <v>0</v>
      </c>
      <c r="AA12" s="353">
        <f t="shared" si="12"/>
        <v>11833952</v>
      </c>
      <c r="AB12" s="353">
        <f t="shared" si="13"/>
        <v>3327716415</v>
      </c>
      <c r="AC12" s="353">
        <f t="shared" si="13"/>
        <v>1869684</v>
      </c>
      <c r="AD12" s="353">
        <f t="shared" si="14"/>
        <v>3329586099</v>
      </c>
      <c r="AE12" s="353">
        <f t="shared" si="15"/>
        <v>0</v>
      </c>
      <c r="AF12" s="353">
        <f t="shared" si="15"/>
        <v>0</v>
      </c>
      <c r="AG12" s="353">
        <f t="shared" si="16"/>
        <v>0</v>
      </c>
      <c r="AH12" s="353">
        <f t="shared" si="17"/>
        <v>0</v>
      </c>
      <c r="AI12" s="353">
        <f t="shared" si="17"/>
        <v>0</v>
      </c>
      <c r="AJ12" s="353">
        <f t="shared" si="17"/>
        <v>0</v>
      </c>
      <c r="AK12" s="353">
        <f t="shared" si="18"/>
        <v>0</v>
      </c>
      <c r="AL12" s="353">
        <f t="shared" si="19"/>
        <v>0</v>
      </c>
      <c r="AM12" s="353">
        <f t="shared" si="19"/>
        <v>0</v>
      </c>
      <c r="AN12" s="353">
        <f t="shared" si="19"/>
        <v>0</v>
      </c>
      <c r="AO12" s="353">
        <f t="shared" si="9"/>
        <v>0</v>
      </c>
      <c r="AP12" s="353">
        <f t="shared" si="20"/>
        <v>0</v>
      </c>
      <c r="AQ12" s="353">
        <f t="shared" si="20"/>
        <v>0</v>
      </c>
      <c r="AR12" s="353">
        <f t="shared" si="21"/>
        <v>0</v>
      </c>
      <c r="AS12" s="353">
        <f t="shared" si="22"/>
        <v>3339550367</v>
      </c>
      <c r="AT12" s="353">
        <f t="shared" si="23"/>
        <v>0</v>
      </c>
      <c r="AU12" s="353">
        <f t="shared" si="24"/>
        <v>1869684</v>
      </c>
      <c r="AV12" s="354">
        <f t="shared" si="10"/>
        <v>3341420051</v>
      </c>
      <c r="AW12" s="430"/>
      <c r="AX12" s="430"/>
      <c r="AY12" s="430"/>
      <c r="AZ12" s="430"/>
    </row>
    <row r="13" spans="1:52">
      <c r="A13" s="138">
        <v>40452</v>
      </c>
      <c r="B13" s="139">
        <v>150737</v>
      </c>
      <c r="C13" s="18">
        <v>0</v>
      </c>
      <c r="D13" s="18">
        <f t="shared" si="0"/>
        <v>150737</v>
      </c>
      <c r="E13" s="18">
        <v>1111232019</v>
      </c>
      <c r="F13" s="18">
        <v>164225</v>
      </c>
      <c r="G13" s="18">
        <f t="shared" si="1"/>
        <v>1111396244</v>
      </c>
      <c r="H13" s="18">
        <v>0</v>
      </c>
      <c r="I13" s="18">
        <v>0</v>
      </c>
      <c r="J13" s="18">
        <f t="shared" si="2"/>
        <v>0</v>
      </c>
      <c r="K13" s="18">
        <v>0</v>
      </c>
      <c r="L13" s="18">
        <v>0</v>
      </c>
      <c r="M13" s="18">
        <v>0</v>
      </c>
      <c r="N13" s="18">
        <f t="shared" si="3"/>
        <v>0</v>
      </c>
      <c r="O13" s="18">
        <v>0</v>
      </c>
      <c r="P13" s="18">
        <v>0</v>
      </c>
      <c r="Q13" s="18">
        <v>0</v>
      </c>
      <c r="R13" s="18">
        <f t="shared" si="4"/>
        <v>0</v>
      </c>
      <c r="S13" s="18">
        <v>0</v>
      </c>
      <c r="T13" s="18">
        <v>0</v>
      </c>
      <c r="U13" s="18">
        <f t="shared" si="5"/>
        <v>0</v>
      </c>
      <c r="V13" s="18">
        <f t="shared" si="6"/>
        <v>1111382756</v>
      </c>
      <c r="W13" s="18">
        <f t="shared" si="7"/>
        <v>164225</v>
      </c>
      <c r="X13" s="235">
        <f t="shared" si="8"/>
        <v>1111546981</v>
      </c>
      <c r="Y13" s="353">
        <f t="shared" si="11"/>
        <v>11984689</v>
      </c>
      <c r="Z13" s="353">
        <f t="shared" si="11"/>
        <v>0</v>
      </c>
      <c r="AA13" s="353">
        <f t="shared" si="12"/>
        <v>11984689</v>
      </c>
      <c r="AB13" s="353">
        <f t="shared" si="13"/>
        <v>4438948434</v>
      </c>
      <c r="AC13" s="353">
        <f t="shared" si="13"/>
        <v>2033909</v>
      </c>
      <c r="AD13" s="353">
        <f t="shared" si="14"/>
        <v>4440982343</v>
      </c>
      <c r="AE13" s="353">
        <f t="shared" si="15"/>
        <v>0</v>
      </c>
      <c r="AF13" s="353">
        <f t="shared" si="15"/>
        <v>0</v>
      </c>
      <c r="AG13" s="353">
        <f t="shared" si="16"/>
        <v>0</v>
      </c>
      <c r="AH13" s="353">
        <f t="shared" si="17"/>
        <v>0</v>
      </c>
      <c r="AI13" s="353">
        <f t="shared" si="17"/>
        <v>0</v>
      </c>
      <c r="AJ13" s="353">
        <f t="shared" si="17"/>
        <v>0</v>
      </c>
      <c r="AK13" s="353">
        <f t="shared" si="18"/>
        <v>0</v>
      </c>
      <c r="AL13" s="353">
        <f t="shared" si="19"/>
        <v>0</v>
      </c>
      <c r="AM13" s="353">
        <f t="shared" si="19"/>
        <v>0</v>
      </c>
      <c r="AN13" s="353">
        <f t="shared" si="19"/>
        <v>0</v>
      </c>
      <c r="AO13" s="353">
        <f t="shared" si="9"/>
        <v>0</v>
      </c>
      <c r="AP13" s="353">
        <f t="shared" si="20"/>
        <v>0</v>
      </c>
      <c r="AQ13" s="353">
        <f t="shared" si="20"/>
        <v>0</v>
      </c>
      <c r="AR13" s="353">
        <f t="shared" si="21"/>
        <v>0</v>
      </c>
      <c r="AS13" s="353">
        <f t="shared" si="22"/>
        <v>4450933123</v>
      </c>
      <c r="AT13" s="353">
        <f t="shared" si="23"/>
        <v>0</v>
      </c>
      <c r="AU13" s="353">
        <f t="shared" si="24"/>
        <v>2033909</v>
      </c>
      <c r="AV13" s="354">
        <f t="shared" si="10"/>
        <v>4452967032</v>
      </c>
      <c r="AW13" s="430"/>
      <c r="AX13" s="430"/>
      <c r="AY13" s="430"/>
      <c r="AZ13" s="430"/>
    </row>
    <row r="14" spans="1:52">
      <c r="A14" s="138">
        <v>40483</v>
      </c>
      <c r="B14" s="139">
        <v>437656</v>
      </c>
      <c r="C14" s="18">
        <v>0</v>
      </c>
      <c r="D14" s="18">
        <f t="shared" si="0"/>
        <v>437656</v>
      </c>
      <c r="E14" s="18">
        <v>1138095958</v>
      </c>
      <c r="F14" s="18">
        <v>345673</v>
      </c>
      <c r="G14" s="18">
        <f t="shared" si="1"/>
        <v>1138441631</v>
      </c>
      <c r="H14" s="18">
        <v>0</v>
      </c>
      <c r="I14" s="18">
        <v>0</v>
      </c>
      <c r="J14" s="18">
        <f t="shared" si="2"/>
        <v>0</v>
      </c>
      <c r="K14" s="18">
        <v>0</v>
      </c>
      <c r="L14" s="18">
        <v>0</v>
      </c>
      <c r="M14" s="18">
        <v>0</v>
      </c>
      <c r="N14" s="18">
        <f t="shared" si="3"/>
        <v>0</v>
      </c>
      <c r="O14" s="18">
        <v>0</v>
      </c>
      <c r="P14" s="18">
        <v>0</v>
      </c>
      <c r="Q14" s="18">
        <v>0</v>
      </c>
      <c r="R14" s="18">
        <f t="shared" si="4"/>
        <v>0</v>
      </c>
      <c r="S14" s="18">
        <v>0</v>
      </c>
      <c r="T14" s="18">
        <v>0</v>
      </c>
      <c r="U14" s="18">
        <f t="shared" si="5"/>
        <v>0</v>
      </c>
      <c r="V14" s="18">
        <f t="shared" si="6"/>
        <v>1138533614</v>
      </c>
      <c r="W14" s="18">
        <f t="shared" si="7"/>
        <v>345673</v>
      </c>
      <c r="X14" s="235">
        <f t="shared" si="8"/>
        <v>1138879287</v>
      </c>
      <c r="Y14" s="353">
        <f t="shared" si="11"/>
        <v>12422345</v>
      </c>
      <c r="Z14" s="353">
        <f t="shared" si="11"/>
        <v>0</v>
      </c>
      <c r="AA14" s="353">
        <f t="shared" si="12"/>
        <v>12422345</v>
      </c>
      <c r="AB14" s="353">
        <f t="shared" si="13"/>
        <v>5577044392</v>
      </c>
      <c r="AC14" s="353">
        <f t="shared" si="13"/>
        <v>2379582</v>
      </c>
      <c r="AD14" s="353">
        <f t="shared" si="14"/>
        <v>5579423974</v>
      </c>
      <c r="AE14" s="353">
        <f t="shared" si="15"/>
        <v>0</v>
      </c>
      <c r="AF14" s="353">
        <f t="shared" si="15"/>
        <v>0</v>
      </c>
      <c r="AG14" s="353">
        <f t="shared" si="16"/>
        <v>0</v>
      </c>
      <c r="AH14" s="353">
        <f t="shared" si="17"/>
        <v>0</v>
      </c>
      <c r="AI14" s="353">
        <f t="shared" si="17"/>
        <v>0</v>
      </c>
      <c r="AJ14" s="353">
        <f t="shared" si="17"/>
        <v>0</v>
      </c>
      <c r="AK14" s="353">
        <f t="shared" si="18"/>
        <v>0</v>
      </c>
      <c r="AL14" s="353">
        <f t="shared" si="19"/>
        <v>0</v>
      </c>
      <c r="AM14" s="353">
        <f t="shared" si="19"/>
        <v>0</v>
      </c>
      <c r="AN14" s="353">
        <f t="shared" si="19"/>
        <v>0</v>
      </c>
      <c r="AO14" s="353">
        <f t="shared" si="9"/>
        <v>0</v>
      </c>
      <c r="AP14" s="353">
        <f t="shared" si="20"/>
        <v>0</v>
      </c>
      <c r="AQ14" s="353">
        <f t="shared" si="20"/>
        <v>0</v>
      </c>
      <c r="AR14" s="353">
        <f t="shared" si="21"/>
        <v>0</v>
      </c>
      <c r="AS14" s="353">
        <f t="shared" si="22"/>
        <v>5589466737</v>
      </c>
      <c r="AT14" s="353">
        <f t="shared" si="23"/>
        <v>0</v>
      </c>
      <c r="AU14" s="353">
        <f t="shared" si="24"/>
        <v>2379582</v>
      </c>
      <c r="AV14" s="354">
        <f t="shared" si="10"/>
        <v>5591846319</v>
      </c>
      <c r="AW14" s="430"/>
      <c r="AX14" s="430"/>
      <c r="AY14" s="430"/>
      <c r="AZ14" s="430"/>
    </row>
    <row r="15" spans="1:52" ht="15.75" thickBot="1">
      <c r="A15" s="138">
        <v>40513</v>
      </c>
      <c r="B15" s="139">
        <v>97302</v>
      </c>
      <c r="C15" s="18">
        <v>0</v>
      </c>
      <c r="D15" s="18">
        <f t="shared" si="0"/>
        <v>97302</v>
      </c>
      <c r="E15" s="18">
        <v>1197646493</v>
      </c>
      <c r="F15" s="18">
        <v>237904</v>
      </c>
      <c r="G15" s="18">
        <f t="shared" si="1"/>
        <v>1197884397</v>
      </c>
      <c r="H15" s="18">
        <v>0</v>
      </c>
      <c r="I15" s="18">
        <v>0</v>
      </c>
      <c r="J15" s="18">
        <f t="shared" si="2"/>
        <v>0</v>
      </c>
      <c r="K15" s="18">
        <v>0</v>
      </c>
      <c r="L15" s="18">
        <v>0</v>
      </c>
      <c r="M15" s="18">
        <v>0</v>
      </c>
      <c r="N15" s="18">
        <f t="shared" si="3"/>
        <v>0</v>
      </c>
      <c r="O15" s="18">
        <v>0</v>
      </c>
      <c r="P15" s="18">
        <v>0</v>
      </c>
      <c r="Q15" s="18">
        <v>0</v>
      </c>
      <c r="R15" s="18">
        <f t="shared" si="4"/>
        <v>0</v>
      </c>
      <c r="S15" s="18">
        <v>0</v>
      </c>
      <c r="T15" s="18">
        <v>0</v>
      </c>
      <c r="U15" s="18">
        <f t="shared" si="5"/>
        <v>0</v>
      </c>
      <c r="V15" s="18">
        <f t="shared" si="6"/>
        <v>1197743795</v>
      </c>
      <c r="W15" s="18">
        <f t="shared" si="7"/>
        <v>237904</v>
      </c>
      <c r="X15" s="235">
        <f t="shared" si="8"/>
        <v>1197981699</v>
      </c>
      <c r="Y15" s="353">
        <f t="shared" si="11"/>
        <v>12519647</v>
      </c>
      <c r="Z15" s="353">
        <f t="shared" si="11"/>
        <v>0</v>
      </c>
      <c r="AA15" s="353">
        <f t="shared" si="12"/>
        <v>12519647</v>
      </c>
      <c r="AB15" s="353">
        <f t="shared" si="13"/>
        <v>6774690885</v>
      </c>
      <c r="AC15" s="353">
        <f t="shared" si="13"/>
        <v>2617486</v>
      </c>
      <c r="AD15" s="353">
        <f t="shared" si="14"/>
        <v>6777308371</v>
      </c>
      <c r="AE15" s="353">
        <f t="shared" si="15"/>
        <v>0</v>
      </c>
      <c r="AF15" s="353">
        <f t="shared" si="15"/>
        <v>0</v>
      </c>
      <c r="AG15" s="353">
        <f t="shared" si="16"/>
        <v>0</v>
      </c>
      <c r="AH15" s="353">
        <f t="shared" si="17"/>
        <v>0</v>
      </c>
      <c r="AI15" s="353">
        <f t="shared" si="17"/>
        <v>0</v>
      </c>
      <c r="AJ15" s="353">
        <f t="shared" si="17"/>
        <v>0</v>
      </c>
      <c r="AK15" s="353">
        <f t="shared" si="18"/>
        <v>0</v>
      </c>
      <c r="AL15" s="353">
        <f t="shared" si="19"/>
        <v>0</v>
      </c>
      <c r="AM15" s="353">
        <f t="shared" si="19"/>
        <v>0</v>
      </c>
      <c r="AN15" s="353">
        <f t="shared" si="19"/>
        <v>0</v>
      </c>
      <c r="AO15" s="353">
        <f t="shared" si="9"/>
        <v>0</v>
      </c>
      <c r="AP15" s="353">
        <f t="shared" si="20"/>
        <v>0</v>
      </c>
      <c r="AQ15" s="353">
        <f t="shared" si="20"/>
        <v>0</v>
      </c>
      <c r="AR15" s="353">
        <f t="shared" si="21"/>
        <v>0</v>
      </c>
      <c r="AS15" s="353">
        <f t="shared" si="22"/>
        <v>6787210532</v>
      </c>
      <c r="AT15" s="353">
        <f t="shared" si="23"/>
        <v>0</v>
      </c>
      <c r="AU15" s="353">
        <f t="shared" si="24"/>
        <v>2617486</v>
      </c>
      <c r="AV15" s="354">
        <f t="shared" si="10"/>
        <v>6789828018</v>
      </c>
      <c r="AW15" s="430"/>
      <c r="AX15" s="430"/>
      <c r="AY15" s="430"/>
      <c r="AZ15" s="430"/>
    </row>
    <row r="16" spans="1:52">
      <c r="A16" s="141">
        <v>40544</v>
      </c>
      <c r="B16" s="142">
        <v>125801</v>
      </c>
      <c r="C16" s="143">
        <v>0</v>
      </c>
      <c r="D16" s="143">
        <f t="shared" si="0"/>
        <v>125801</v>
      </c>
      <c r="E16" s="143">
        <v>1160289818</v>
      </c>
      <c r="F16" s="143">
        <v>91760</v>
      </c>
      <c r="G16" s="143">
        <f t="shared" si="1"/>
        <v>1160381578</v>
      </c>
      <c r="H16" s="143">
        <v>0</v>
      </c>
      <c r="I16" s="143">
        <v>0</v>
      </c>
      <c r="J16" s="143">
        <f t="shared" si="2"/>
        <v>0</v>
      </c>
      <c r="K16" s="143">
        <v>0</v>
      </c>
      <c r="L16" s="143">
        <v>0</v>
      </c>
      <c r="M16" s="143">
        <v>0</v>
      </c>
      <c r="N16" s="143">
        <f t="shared" si="3"/>
        <v>0</v>
      </c>
      <c r="O16" s="143">
        <v>0</v>
      </c>
      <c r="P16" s="143">
        <v>0</v>
      </c>
      <c r="Q16" s="143">
        <v>0</v>
      </c>
      <c r="R16" s="143">
        <f>SUM(O16:Q16)</f>
        <v>0</v>
      </c>
      <c r="S16" s="143">
        <v>0</v>
      </c>
      <c r="T16" s="143">
        <v>0</v>
      </c>
      <c r="U16" s="143">
        <f t="shared" si="5"/>
        <v>0</v>
      </c>
      <c r="V16" s="143">
        <f t="shared" si="6"/>
        <v>1160415619</v>
      </c>
      <c r="W16" s="143">
        <f t="shared" si="7"/>
        <v>91760</v>
      </c>
      <c r="X16" s="237">
        <f t="shared" si="8"/>
        <v>1160507379</v>
      </c>
      <c r="Y16" s="350">
        <f>B16</f>
        <v>125801</v>
      </c>
      <c r="Z16" s="350">
        <f>C16</f>
        <v>0</v>
      </c>
      <c r="AA16" s="350">
        <f>Z16+Y16</f>
        <v>125801</v>
      </c>
      <c r="AB16" s="350">
        <f>E16</f>
        <v>1160289818</v>
      </c>
      <c r="AC16" s="350">
        <f>F16</f>
        <v>91760</v>
      </c>
      <c r="AD16" s="350">
        <f>AC16+AB16</f>
        <v>1160381578</v>
      </c>
      <c r="AE16" s="350">
        <f>H16</f>
        <v>0</v>
      </c>
      <c r="AF16" s="350">
        <f>I16</f>
        <v>0</v>
      </c>
      <c r="AG16" s="350">
        <f>AF16+AE16</f>
        <v>0</v>
      </c>
      <c r="AH16" s="350">
        <f>K16</f>
        <v>0</v>
      </c>
      <c r="AI16" s="350">
        <f>L16</f>
        <v>0</v>
      </c>
      <c r="AJ16" s="350">
        <f>M16</f>
        <v>0</v>
      </c>
      <c r="AK16" s="350">
        <f>AJ16+AI16+AH16</f>
        <v>0</v>
      </c>
      <c r="AL16" s="350">
        <f>O16</f>
        <v>0</v>
      </c>
      <c r="AM16" s="350">
        <f>P16</f>
        <v>0</v>
      </c>
      <c r="AN16" s="350">
        <f>Q16</f>
        <v>0</v>
      </c>
      <c r="AO16" s="350">
        <f>SUM(AL16:AN16)</f>
        <v>0</v>
      </c>
      <c r="AP16" s="350">
        <f>S16</f>
        <v>0</v>
      </c>
      <c r="AQ16" s="350">
        <f>T16</f>
        <v>0</v>
      </c>
      <c r="AR16" s="350">
        <f>SUM(AP16:AQ16)</f>
        <v>0</v>
      </c>
      <c r="AS16" s="350">
        <f>Y16+AB16+AE16+AH16+AL16+AP16</f>
        <v>1160415619</v>
      </c>
      <c r="AT16" s="350">
        <f>AI16</f>
        <v>0</v>
      </c>
      <c r="AU16" s="350">
        <f>Z16+AC16+AF16+AJ16+AN16+AQ16</f>
        <v>91760</v>
      </c>
      <c r="AV16" s="351">
        <f t="shared" si="10"/>
        <v>1160507379</v>
      </c>
      <c r="AW16" s="431">
        <f t="shared" ref="AW16:AZ79" si="25">AS16/AS4-1</f>
        <v>7953.8083235076365</v>
      </c>
      <c r="AX16" s="431" t="e">
        <f t="shared" si="25"/>
        <v>#DIV/0!</v>
      </c>
      <c r="AY16" s="431" t="e">
        <f t="shared" si="25"/>
        <v>#DIV/0!</v>
      </c>
      <c r="AZ16" s="431">
        <f t="shared" si="25"/>
        <v>7954.4373509007646</v>
      </c>
    </row>
    <row r="17" spans="1:52">
      <c r="A17" s="138">
        <v>40575</v>
      </c>
      <c r="B17" s="139">
        <v>226270</v>
      </c>
      <c r="C17" s="18">
        <v>0</v>
      </c>
      <c r="D17" s="18">
        <f t="shared" si="0"/>
        <v>226270</v>
      </c>
      <c r="E17" s="18">
        <v>1054084139</v>
      </c>
      <c r="F17" s="18">
        <v>0</v>
      </c>
      <c r="G17" s="18">
        <f t="shared" si="1"/>
        <v>1054084139</v>
      </c>
      <c r="H17" s="18">
        <v>0</v>
      </c>
      <c r="I17" s="18">
        <v>0</v>
      </c>
      <c r="J17" s="18">
        <f t="shared" si="2"/>
        <v>0</v>
      </c>
      <c r="K17" s="18">
        <v>0</v>
      </c>
      <c r="L17" s="18">
        <v>0</v>
      </c>
      <c r="M17" s="18">
        <v>0</v>
      </c>
      <c r="N17" s="18">
        <f t="shared" si="3"/>
        <v>0</v>
      </c>
      <c r="O17" s="18">
        <v>0</v>
      </c>
      <c r="P17" s="18">
        <v>0</v>
      </c>
      <c r="Q17" s="18">
        <v>0</v>
      </c>
      <c r="R17" s="18">
        <f t="shared" ref="R17:R27" si="26">SUM(O17:Q17)</f>
        <v>0</v>
      </c>
      <c r="S17" s="18">
        <v>0</v>
      </c>
      <c r="T17" s="18">
        <v>0</v>
      </c>
      <c r="U17" s="18">
        <f t="shared" si="5"/>
        <v>0</v>
      </c>
      <c r="V17" s="18">
        <f t="shared" si="6"/>
        <v>1054310409</v>
      </c>
      <c r="W17" s="18">
        <f t="shared" si="7"/>
        <v>0</v>
      </c>
      <c r="X17" s="235">
        <f t="shared" si="8"/>
        <v>1054310409</v>
      </c>
      <c r="Y17" s="353">
        <f>Y16+B17</f>
        <v>352071</v>
      </c>
      <c r="Z17" s="353">
        <f>Z16+C17</f>
        <v>0</v>
      </c>
      <c r="AA17" s="353">
        <f>Z17+Y17</f>
        <v>352071</v>
      </c>
      <c r="AB17" s="353">
        <f>AB16+E17</f>
        <v>2214373957</v>
      </c>
      <c r="AC17" s="353">
        <f>AC16+F17</f>
        <v>91760</v>
      </c>
      <c r="AD17" s="353">
        <f>AC17+AB17</f>
        <v>2214465717</v>
      </c>
      <c r="AE17" s="353">
        <f>AE16+H17</f>
        <v>0</v>
      </c>
      <c r="AF17" s="353">
        <f>AF16+I17</f>
        <v>0</v>
      </c>
      <c r="AG17" s="353">
        <f>AF17+AE17</f>
        <v>0</v>
      </c>
      <c r="AH17" s="353">
        <f>AH16+K17</f>
        <v>0</v>
      </c>
      <c r="AI17" s="353">
        <f t="shared" ref="AI17:AJ27" si="27">AI16+L17</f>
        <v>0</v>
      </c>
      <c r="AJ17" s="353">
        <f t="shared" si="27"/>
        <v>0</v>
      </c>
      <c r="AK17" s="353">
        <f>AJ17+AI17+AH17</f>
        <v>0</v>
      </c>
      <c r="AL17" s="353">
        <f>AL16+O17</f>
        <v>0</v>
      </c>
      <c r="AM17" s="353">
        <f t="shared" ref="AM17:AN27" si="28">AM16+P17</f>
        <v>0</v>
      </c>
      <c r="AN17" s="353">
        <f t="shared" si="28"/>
        <v>0</v>
      </c>
      <c r="AO17" s="353">
        <f t="shared" ref="AO17:AO27" si="29">SUM(AL17:AN17)</f>
        <v>0</v>
      </c>
      <c r="AP17" s="353">
        <f>AP16+S17</f>
        <v>0</v>
      </c>
      <c r="AQ17" s="353">
        <f>AQ16+T17</f>
        <v>0</v>
      </c>
      <c r="AR17" s="353">
        <f>SUM(AP17:AQ17)</f>
        <v>0</v>
      </c>
      <c r="AS17" s="353">
        <f>Y17+AB17+AE17+AH17+AL17+AP17</f>
        <v>2214726028</v>
      </c>
      <c r="AT17" s="353">
        <f>AI17</f>
        <v>0</v>
      </c>
      <c r="AU17" s="353">
        <f>Z17+AC17+AF17+AJ17+AN17+AQ17</f>
        <v>91760</v>
      </c>
      <c r="AV17" s="354">
        <f t="shared" si="10"/>
        <v>2214817788</v>
      </c>
      <c r="AW17" s="431">
        <f t="shared" si="25"/>
        <v>1129.0389403974862</v>
      </c>
      <c r="AX17" s="431" t="e">
        <f t="shared" si="25"/>
        <v>#DIV/0!</v>
      </c>
      <c r="AY17" s="431" t="e">
        <f t="shared" si="25"/>
        <v>#DIV/0!</v>
      </c>
      <c r="AZ17" s="431">
        <f t="shared" si="25"/>
        <v>1129.0857599010544</v>
      </c>
    </row>
    <row r="18" spans="1:52">
      <c r="A18" s="138">
        <v>40603</v>
      </c>
      <c r="B18" s="139">
        <v>178482</v>
      </c>
      <c r="C18" s="18">
        <v>0</v>
      </c>
      <c r="D18" s="18">
        <f t="shared" si="0"/>
        <v>178482</v>
      </c>
      <c r="E18" s="18">
        <v>1225662401</v>
      </c>
      <c r="F18" s="18">
        <v>0</v>
      </c>
      <c r="G18" s="18">
        <f t="shared" si="1"/>
        <v>1225662401</v>
      </c>
      <c r="H18" s="18">
        <v>0</v>
      </c>
      <c r="I18" s="18">
        <v>0</v>
      </c>
      <c r="J18" s="18">
        <f t="shared" si="2"/>
        <v>0</v>
      </c>
      <c r="K18" s="18">
        <v>0</v>
      </c>
      <c r="L18" s="18">
        <v>0</v>
      </c>
      <c r="M18" s="18">
        <v>0</v>
      </c>
      <c r="N18" s="18">
        <f t="shared" si="3"/>
        <v>0</v>
      </c>
      <c r="O18" s="18">
        <v>0</v>
      </c>
      <c r="P18" s="18">
        <v>0</v>
      </c>
      <c r="Q18" s="18">
        <v>0</v>
      </c>
      <c r="R18" s="18">
        <f t="shared" si="26"/>
        <v>0</v>
      </c>
      <c r="S18" s="18">
        <v>0</v>
      </c>
      <c r="T18" s="18">
        <v>0</v>
      </c>
      <c r="U18" s="18">
        <f t="shared" si="5"/>
        <v>0</v>
      </c>
      <c r="V18" s="18">
        <f t="shared" si="6"/>
        <v>1225840883</v>
      </c>
      <c r="W18" s="18">
        <f t="shared" si="7"/>
        <v>0</v>
      </c>
      <c r="X18" s="235">
        <f t="shared" si="8"/>
        <v>1225840883</v>
      </c>
      <c r="Y18" s="353">
        <f t="shared" ref="Y18:Z27" si="30">Y17+B18</f>
        <v>530553</v>
      </c>
      <c r="Z18" s="353">
        <f t="shared" si="30"/>
        <v>0</v>
      </c>
      <c r="AA18" s="353">
        <f t="shared" ref="AA18:AA27" si="31">Z18+Y18</f>
        <v>530553</v>
      </c>
      <c r="AB18" s="353">
        <f t="shared" ref="AB18:AC27" si="32">AB17+E18</f>
        <v>3440036358</v>
      </c>
      <c r="AC18" s="353">
        <f t="shared" si="32"/>
        <v>91760</v>
      </c>
      <c r="AD18" s="353">
        <f t="shared" ref="AD18:AD27" si="33">AC18+AB18</f>
        <v>3440128118</v>
      </c>
      <c r="AE18" s="353">
        <f t="shared" ref="AE18:AF27" si="34">AE17+H18</f>
        <v>0</v>
      </c>
      <c r="AF18" s="353">
        <f t="shared" si="34"/>
        <v>0</v>
      </c>
      <c r="AG18" s="353">
        <f t="shared" ref="AG18:AG27" si="35">AF18+AE18</f>
        <v>0</v>
      </c>
      <c r="AH18" s="353">
        <f t="shared" ref="AH18:AH27" si="36">AH17+K18</f>
        <v>0</v>
      </c>
      <c r="AI18" s="353">
        <f t="shared" si="27"/>
        <v>0</v>
      </c>
      <c r="AJ18" s="353">
        <f t="shared" si="27"/>
        <v>0</v>
      </c>
      <c r="AK18" s="353">
        <f t="shared" ref="AK18:AK27" si="37">AJ18+AI18+AH18</f>
        <v>0</v>
      </c>
      <c r="AL18" s="353">
        <f t="shared" ref="AL18:AL27" si="38">AL17+O18</f>
        <v>0</v>
      </c>
      <c r="AM18" s="353">
        <f t="shared" si="28"/>
        <v>0</v>
      </c>
      <c r="AN18" s="353">
        <f t="shared" si="28"/>
        <v>0</v>
      </c>
      <c r="AO18" s="353">
        <f t="shared" si="29"/>
        <v>0</v>
      </c>
      <c r="AP18" s="353">
        <f t="shared" ref="AP18:AQ27" si="39">AP17+S18</f>
        <v>0</v>
      </c>
      <c r="AQ18" s="353">
        <f t="shared" si="39"/>
        <v>0</v>
      </c>
      <c r="AR18" s="353">
        <f t="shared" ref="AR18:AR27" si="40">SUM(AP18:AQ18)</f>
        <v>0</v>
      </c>
      <c r="AS18" s="353">
        <f t="shared" ref="AS18:AS27" si="41">Y18+AB18+AE18+AH18+AL18+AP18</f>
        <v>3440566911</v>
      </c>
      <c r="AT18" s="353">
        <f t="shared" ref="AT18:AT27" si="42">AI18</f>
        <v>0</v>
      </c>
      <c r="AU18" s="353">
        <f t="shared" ref="AU18:AU27" si="43">Z18+AC18+AF18+AJ18+AN18+AQ18</f>
        <v>91760</v>
      </c>
      <c r="AV18" s="354">
        <f t="shared" si="10"/>
        <v>3440658671</v>
      </c>
      <c r="AW18" s="431">
        <f t="shared" si="25"/>
        <v>1279.9540161157672</v>
      </c>
      <c r="AX18" s="431" t="e">
        <f t="shared" si="25"/>
        <v>#DIV/0!</v>
      </c>
      <c r="AY18" s="431" t="e">
        <f t="shared" si="25"/>
        <v>#DIV/0!</v>
      </c>
      <c r="AZ18" s="431">
        <f t="shared" si="25"/>
        <v>1279.9881791893417</v>
      </c>
    </row>
    <row r="19" spans="1:52">
      <c r="A19" s="138">
        <v>40634</v>
      </c>
      <c r="B19" s="139">
        <v>0</v>
      </c>
      <c r="C19" s="18">
        <v>0</v>
      </c>
      <c r="D19" s="18">
        <f t="shared" si="0"/>
        <v>0</v>
      </c>
      <c r="E19" s="18">
        <v>1069645214</v>
      </c>
      <c r="F19" s="18">
        <v>0</v>
      </c>
      <c r="G19" s="18">
        <f t="shared" si="1"/>
        <v>1069645214</v>
      </c>
      <c r="H19" s="18">
        <v>0</v>
      </c>
      <c r="I19" s="18">
        <v>0</v>
      </c>
      <c r="J19" s="18">
        <f t="shared" si="2"/>
        <v>0</v>
      </c>
      <c r="K19" s="18">
        <v>0</v>
      </c>
      <c r="L19" s="18">
        <v>0</v>
      </c>
      <c r="M19" s="18">
        <v>0</v>
      </c>
      <c r="N19" s="18">
        <f t="shared" si="3"/>
        <v>0</v>
      </c>
      <c r="O19" s="18">
        <v>0</v>
      </c>
      <c r="P19" s="18">
        <v>0</v>
      </c>
      <c r="Q19" s="18">
        <v>0</v>
      </c>
      <c r="R19" s="18">
        <f t="shared" si="26"/>
        <v>0</v>
      </c>
      <c r="S19" s="18">
        <v>0</v>
      </c>
      <c r="T19" s="18">
        <v>0</v>
      </c>
      <c r="U19" s="18">
        <f t="shared" si="5"/>
        <v>0</v>
      </c>
      <c r="V19" s="18">
        <f t="shared" si="6"/>
        <v>1069645214</v>
      </c>
      <c r="W19" s="18">
        <f t="shared" si="7"/>
        <v>0</v>
      </c>
      <c r="X19" s="235">
        <f t="shared" si="8"/>
        <v>1069645214</v>
      </c>
      <c r="Y19" s="353">
        <f t="shared" si="30"/>
        <v>530553</v>
      </c>
      <c r="Z19" s="353">
        <f t="shared" si="30"/>
        <v>0</v>
      </c>
      <c r="AA19" s="353">
        <f t="shared" si="31"/>
        <v>530553</v>
      </c>
      <c r="AB19" s="353">
        <f t="shared" si="32"/>
        <v>4509681572</v>
      </c>
      <c r="AC19" s="353">
        <f t="shared" si="32"/>
        <v>91760</v>
      </c>
      <c r="AD19" s="353">
        <f t="shared" si="33"/>
        <v>4509773332</v>
      </c>
      <c r="AE19" s="353">
        <f t="shared" si="34"/>
        <v>0</v>
      </c>
      <c r="AF19" s="353">
        <f t="shared" si="34"/>
        <v>0</v>
      </c>
      <c r="AG19" s="353">
        <f t="shared" si="35"/>
        <v>0</v>
      </c>
      <c r="AH19" s="353">
        <f t="shared" si="36"/>
        <v>0</v>
      </c>
      <c r="AI19" s="353">
        <f t="shared" si="27"/>
        <v>0</v>
      </c>
      <c r="AJ19" s="353">
        <f t="shared" si="27"/>
        <v>0</v>
      </c>
      <c r="AK19" s="353">
        <f t="shared" si="37"/>
        <v>0</v>
      </c>
      <c r="AL19" s="353">
        <f t="shared" si="38"/>
        <v>0</v>
      </c>
      <c r="AM19" s="353">
        <f t="shared" si="28"/>
        <v>0</v>
      </c>
      <c r="AN19" s="353">
        <f t="shared" si="28"/>
        <v>0</v>
      </c>
      <c r="AO19" s="353">
        <f t="shared" si="29"/>
        <v>0</v>
      </c>
      <c r="AP19" s="353">
        <f t="shared" si="39"/>
        <v>0</v>
      </c>
      <c r="AQ19" s="353">
        <f t="shared" si="39"/>
        <v>0</v>
      </c>
      <c r="AR19" s="353">
        <f t="shared" si="40"/>
        <v>0</v>
      </c>
      <c r="AS19" s="353">
        <f t="shared" si="41"/>
        <v>4510212125</v>
      </c>
      <c r="AT19" s="353">
        <f t="shared" si="42"/>
        <v>0</v>
      </c>
      <c r="AU19" s="353">
        <f t="shared" si="43"/>
        <v>91760</v>
      </c>
      <c r="AV19" s="354">
        <f t="shared" si="10"/>
        <v>4510303885</v>
      </c>
      <c r="AW19" s="431">
        <f t="shared" si="25"/>
        <v>1678.192553000978</v>
      </c>
      <c r="AX19" s="431" t="e">
        <f t="shared" si="25"/>
        <v>#DIV/0!</v>
      </c>
      <c r="AY19" s="431" t="e">
        <f t="shared" si="25"/>
        <v>#DIV/0!</v>
      </c>
      <c r="AZ19" s="431">
        <f t="shared" si="25"/>
        <v>1678.2267160745525</v>
      </c>
    </row>
    <row r="20" spans="1:52">
      <c r="A20" s="138">
        <v>40664</v>
      </c>
      <c r="B20" s="139">
        <v>317472</v>
      </c>
      <c r="C20" s="18">
        <v>0</v>
      </c>
      <c r="D20" s="18">
        <f t="shared" si="0"/>
        <v>317472</v>
      </c>
      <c r="E20" s="18">
        <v>1139975440</v>
      </c>
      <c r="F20" s="18">
        <v>0</v>
      </c>
      <c r="G20" s="18">
        <f t="shared" si="1"/>
        <v>1139975440</v>
      </c>
      <c r="H20" s="18">
        <v>0</v>
      </c>
      <c r="I20" s="18">
        <v>0</v>
      </c>
      <c r="J20" s="18">
        <f t="shared" si="2"/>
        <v>0</v>
      </c>
      <c r="K20" s="18">
        <v>0</v>
      </c>
      <c r="L20" s="18">
        <v>0</v>
      </c>
      <c r="M20" s="18">
        <v>0</v>
      </c>
      <c r="N20" s="18">
        <f t="shared" si="3"/>
        <v>0</v>
      </c>
      <c r="O20" s="18">
        <v>0</v>
      </c>
      <c r="P20" s="18">
        <v>0</v>
      </c>
      <c r="Q20" s="18">
        <v>0</v>
      </c>
      <c r="R20" s="18">
        <f t="shared" si="26"/>
        <v>0</v>
      </c>
      <c r="S20" s="18">
        <v>0</v>
      </c>
      <c r="T20" s="18">
        <v>0</v>
      </c>
      <c r="U20" s="18">
        <f t="shared" si="5"/>
        <v>0</v>
      </c>
      <c r="V20" s="18">
        <f t="shared" si="6"/>
        <v>1140292912</v>
      </c>
      <c r="W20" s="18">
        <f t="shared" si="7"/>
        <v>0</v>
      </c>
      <c r="X20" s="235">
        <f t="shared" si="8"/>
        <v>1140292912</v>
      </c>
      <c r="Y20" s="353">
        <f t="shared" si="30"/>
        <v>848025</v>
      </c>
      <c r="Z20" s="353">
        <f t="shared" si="30"/>
        <v>0</v>
      </c>
      <c r="AA20" s="353">
        <f t="shared" si="31"/>
        <v>848025</v>
      </c>
      <c r="AB20" s="353">
        <f t="shared" si="32"/>
        <v>5649657012</v>
      </c>
      <c r="AC20" s="353">
        <f t="shared" si="32"/>
        <v>91760</v>
      </c>
      <c r="AD20" s="353">
        <f t="shared" si="33"/>
        <v>5649748772</v>
      </c>
      <c r="AE20" s="353">
        <f t="shared" si="34"/>
        <v>0</v>
      </c>
      <c r="AF20" s="353">
        <f t="shared" si="34"/>
        <v>0</v>
      </c>
      <c r="AG20" s="353">
        <f t="shared" si="35"/>
        <v>0</v>
      </c>
      <c r="AH20" s="353">
        <f t="shared" si="36"/>
        <v>0</v>
      </c>
      <c r="AI20" s="353">
        <f t="shared" si="27"/>
        <v>0</v>
      </c>
      <c r="AJ20" s="353">
        <f t="shared" si="27"/>
        <v>0</v>
      </c>
      <c r="AK20" s="353">
        <f t="shared" si="37"/>
        <v>0</v>
      </c>
      <c r="AL20" s="353">
        <f t="shared" si="38"/>
        <v>0</v>
      </c>
      <c r="AM20" s="353">
        <f t="shared" si="28"/>
        <v>0</v>
      </c>
      <c r="AN20" s="353">
        <f t="shared" si="28"/>
        <v>0</v>
      </c>
      <c r="AO20" s="353">
        <f t="shared" si="29"/>
        <v>0</v>
      </c>
      <c r="AP20" s="353">
        <f t="shared" si="39"/>
        <v>0</v>
      </c>
      <c r="AQ20" s="353">
        <f t="shared" si="39"/>
        <v>0</v>
      </c>
      <c r="AR20" s="353">
        <f t="shared" si="40"/>
        <v>0</v>
      </c>
      <c r="AS20" s="353">
        <f t="shared" si="41"/>
        <v>5650505037</v>
      </c>
      <c r="AT20" s="353">
        <f t="shared" si="42"/>
        <v>0</v>
      </c>
      <c r="AU20" s="353">
        <f t="shared" si="43"/>
        <v>91760</v>
      </c>
      <c r="AV20" s="354">
        <f t="shared" si="10"/>
        <v>5650596797</v>
      </c>
      <c r="AW20" s="431">
        <f t="shared" si="25"/>
        <v>2102.7338634765247</v>
      </c>
      <c r="AX20" s="431" t="e">
        <f t="shared" si="25"/>
        <v>#DIV/0!</v>
      </c>
      <c r="AY20" s="431" t="e">
        <f t="shared" si="25"/>
        <v>#DIV/0!</v>
      </c>
      <c r="AZ20" s="431">
        <f t="shared" si="25"/>
        <v>2102.7680265500994</v>
      </c>
    </row>
    <row r="21" spans="1:52">
      <c r="A21" s="138">
        <v>40695</v>
      </c>
      <c r="B21" s="139">
        <v>422024</v>
      </c>
      <c r="C21" s="18">
        <v>0</v>
      </c>
      <c r="D21" s="18">
        <f t="shared" si="0"/>
        <v>422024</v>
      </c>
      <c r="E21" s="18">
        <v>1164385720</v>
      </c>
      <c r="F21" s="18">
        <v>0</v>
      </c>
      <c r="G21" s="18">
        <f t="shared" si="1"/>
        <v>1164385720</v>
      </c>
      <c r="H21" s="18">
        <v>0</v>
      </c>
      <c r="I21" s="18">
        <v>0</v>
      </c>
      <c r="J21" s="18">
        <f t="shared" si="2"/>
        <v>0</v>
      </c>
      <c r="K21" s="18">
        <v>0</v>
      </c>
      <c r="L21" s="18">
        <v>0</v>
      </c>
      <c r="M21" s="18">
        <v>0</v>
      </c>
      <c r="N21" s="18">
        <f t="shared" si="3"/>
        <v>0</v>
      </c>
      <c r="O21" s="18">
        <v>0</v>
      </c>
      <c r="P21" s="18">
        <v>0</v>
      </c>
      <c r="Q21" s="18">
        <v>0</v>
      </c>
      <c r="R21" s="18">
        <f t="shared" si="26"/>
        <v>0</v>
      </c>
      <c r="S21" s="18">
        <v>0</v>
      </c>
      <c r="T21" s="18">
        <v>0</v>
      </c>
      <c r="U21" s="18">
        <f t="shared" si="5"/>
        <v>0</v>
      </c>
      <c r="V21" s="18">
        <f t="shared" si="6"/>
        <v>1164807744</v>
      </c>
      <c r="W21" s="18">
        <f t="shared" si="7"/>
        <v>0</v>
      </c>
      <c r="X21" s="235">
        <f t="shared" si="8"/>
        <v>1164807744</v>
      </c>
      <c r="Y21" s="353">
        <f t="shared" si="30"/>
        <v>1270049</v>
      </c>
      <c r="Z21" s="353">
        <f t="shared" si="30"/>
        <v>0</v>
      </c>
      <c r="AA21" s="353">
        <f t="shared" si="31"/>
        <v>1270049</v>
      </c>
      <c r="AB21" s="353">
        <f t="shared" si="32"/>
        <v>6814042732</v>
      </c>
      <c r="AC21" s="353">
        <f t="shared" si="32"/>
        <v>91760</v>
      </c>
      <c r="AD21" s="353">
        <f t="shared" si="33"/>
        <v>6814134492</v>
      </c>
      <c r="AE21" s="353">
        <f t="shared" si="34"/>
        <v>0</v>
      </c>
      <c r="AF21" s="353">
        <f t="shared" si="34"/>
        <v>0</v>
      </c>
      <c r="AG21" s="353">
        <f t="shared" si="35"/>
        <v>0</v>
      </c>
      <c r="AH21" s="353">
        <f t="shared" si="36"/>
        <v>0</v>
      </c>
      <c r="AI21" s="353">
        <f t="shared" si="27"/>
        <v>0</v>
      </c>
      <c r="AJ21" s="353">
        <f t="shared" si="27"/>
        <v>0</v>
      </c>
      <c r="AK21" s="353">
        <f t="shared" si="37"/>
        <v>0</v>
      </c>
      <c r="AL21" s="353">
        <f t="shared" si="38"/>
        <v>0</v>
      </c>
      <c r="AM21" s="353">
        <f t="shared" si="28"/>
        <v>0</v>
      </c>
      <c r="AN21" s="353">
        <f t="shared" si="28"/>
        <v>0</v>
      </c>
      <c r="AO21" s="353">
        <f t="shared" si="29"/>
        <v>0</v>
      </c>
      <c r="AP21" s="353">
        <f t="shared" si="39"/>
        <v>0</v>
      </c>
      <c r="AQ21" s="353">
        <f t="shared" si="39"/>
        <v>0</v>
      </c>
      <c r="AR21" s="353">
        <f t="shared" si="40"/>
        <v>0</v>
      </c>
      <c r="AS21" s="353">
        <f t="shared" si="41"/>
        <v>6815312781</v>
      </c>
      <c r="AT21" s="353">
        <f t="shared" si="42"/>
        <v>0</v>
      </c>
      <c r="AU21" s="353">
        <f t="shared" si="43"/>
        <v>91760</v>
      </c>
      <c r="AV21" s="354">
        <f t="shared" si="10"/>
        <v>6815404541</v>
      </c>
      <c r="AW21" s="431">
        <f t="shared" si="25"/>
        <v>2453.2554552011802</v>
      </c>
      <c r="AX21" s="431" t="e">
        <f t="shared" si="25"/>
        <v>#DIV/0!</v>
      </c>
      <c r="AY21" s="431" t="e">
        <f t="shared" si="25"/>
        <v>#DIV/0!</v>
      </c>
      <c r="AZ21" s="431">
        <f t="shared" si="25"/>
        <v>2453.2884988028177</v>
      </c>
    </row>
    <row r="22" spans="1:52">
      <c r="A22" s="138">
        <v>40725</v>
      </c>
      <c r="B22" s="139">
        <v>157468</v>
      </c>
      <c r="C22" s="18">
        <v>0</v>
      </c>
      <c r="D22" s="18">
        <f t="shared" si="0"/>
        <v>157468</v>
      </c>
      <c r="E22" s="18">
        <v>1126250203</v>
      </c>
      <c r="F22" s="18">
        <v>0</v>
      </c>
      <c r="G22" s="18">
        <f t="shared" si="1"/>
        <v>1126250203</v>
      </c>
      <c r="H22" s="18">
        <v>0</v>
      </c>
      <c r="I22" s="18">
        <v>0</v>
      </c>
      <c r="J22" s="18">
        <f t="shared" si="2"/>
        <v>0</v>
      </c>
      <c r="K22" s="18">
        <v>0</v>
      </c>
      <c r="L22" s="18">
        <v>0</v>
      </c>
      <c r="M22" s="18">
        <v>0</v>
      </c>
      <c r="N22" s="18">
        <f t="shared" si="3"/>
        <v>0</v>
      </c>
      <c r="O22" s="18">
        <v>0</v>
      </c>
      <c r="P22" s="18">
        <v>0</v>
      </c>
      <c r="Q22" s="18">
        <v>0</v>
      </c>
      <c r="R22" s="18">
        <f t="shared" si="26"/>
        <v>0</v>
      </c>
      <c r="S22" s="18">
        <v>0</v>
      </c>
      <c r="T22" s="18">
        <v>0</v>
      </c>
      <c r="U22" s="18">
        <f t="shared" si="5"/>
        <v>0</v>
      </c>
      <c r="V22" s="18">
        <f t="shared" si="6"/>
        <v>1126407671</v>
      </c>
      <c r="W22" s="18">
        <f t="shared" si="7"/>
        <v>0</v>
      </c>
      <c r="X22" s="235">
        <f t="shared" si="8"/>
        <v>1126407671</v>
      </c>
      <c r="Y22" s="353">
        <f t="shared" si="30"/>
        <v>1427517</v>
      </c>
      <c r="Z22" s="353">
        <f t="shared" si="30"/>
        <v>0</v>
      </c>
      <c r="AA22" s="353">
        <f t="shared" si="31"/>
        <v>1427517</v>
      </c>
      <c r="AB22" s="353">
        <f t="shared" si="32"/>
        <v>7940292935</v>
      </c>
      <c r="AC22" s="353">
        <f t="shared" si="32"/>
        <v>91760</v>
      </c>
      <c r="AD22" s="353">
        <f t="shared" si="33"/>
        <v>7940384695</v>
      </c>
      <c r="AE22" s="353">
        <f t="shared" si="34"/>
        <v>0</v>
      </c>
      <c r="AF22" s="353">
        <f t="shared" si="34"/>
        <v>0</v>
      </c>
      <c r="AG22" s="353">
        <f t="shared" si="35"/>
        <v>0</v>
      </c>
      <c r="AH22" s="353">
        <f t="shared" si="36"/>
        <v>0</v>
      </c>
      <c r="AI22" s="353">
        <f t="shared" si="27"/>
        <v>0</v>
      </c>
      <c r="AJ22" s="353">
        <f t="shared" si="27"/>
        <v>0</v>
      </c>
      <c r="AK22" s="353">
        <f t="shared" si="37"/>
        <v>0</v>
      </c>
      <c r="AL22" s="353">
        <f t="shared" si="38"/>
        <v>0</v>
      </c>
      <c r="AM22" s="353">
        <f t="shared" si="28"/>
        <v>0</v>
      </c>
      <c r="AN22" s="353">
        <f t="shared" si="28"/>
        <v>0</v>
      </c>
      <c r="AO22" s="353">
        <f t="shared" si="29"/>
        <v>0</v>
      </c>
      <c r="AP22" s="353">
        <f t="shared" si="39"/>
        <v>0</v>
      </c>
      <c r="AQ22" s="353">
        <f t="shared" si="39"/>
        <v>0</v>
      </c>
      <c r="AR22" s="353">
        <f t="shared" si="40"/>
        <v>0</v>
      </c>
      <c r="AS22" s="353">
        <f t="shared" si="41"/>
        <v>7941720452</v>
      </c>
      <c r="AT22" s="353">
        <f t="shared" si="42"/>
        <v>0</v>
      </c>
      <c r="AU22" s="353">
        <f t="shared" si="43"/>
        <v>91760</v>
      </c>
      <c r="AV22" s="354">
        <f t="shared" si="10"/>
        <v>7941812212</v>
      </c>
      <c r="AW22" s="431">
        <f t="shared" si="25"/>
        <v>6.1093292506431327</v>
      </c>
      <c r="AX22" s="431" t="e">
        <f t="shared" si="25"/>
        <v>#DIV/0!</v>
      </c>
      <c r="AY22" s="431">
        <f t="shared" si="25"/>
        <v>-0.9237344836327519</v>
      </c>
      <c r="AZ22" s="431">
        <f t="shared" si="25"/>
        <v>6.1017623807579016</v>
      </c>
    </row>
    <row r="23" spans="1:52">
      <c r="A23" s="138">
        <v>40756</v>
      </c>
      <c r="B23" s="139">
        <v>206406</v>
      </c>
      <c r="C23" s="18">
        <v>0</v>
      </c>
      <c r="D23" s="18">
        <f t="shared" si="0"/>
        <v>206406</v>
      </c>
      <c r="E23" s="18">
        <v>1165619176</v>
      </c>
      <c r="F23" s="18">
        <v>0</v>
      </c>
      <c r="G23" s="18">
        <f t="shared" si="1"/>
        <v>1165619176</v>
      </c>
      <c r="H23" s="18">
        <v>0</v>
      </c>
      <c r="I23" s="18">
        <v>0</v>
      </c>
      <c r="J23" s="18">
        <f t="shared" si="2"/>
        <v>0</v>
      </c>
      <c r="K23" s="18">
        <v>0</v>
      </c>
      <c r="L23" s="18">
        <v>0</v>
      </c>
      <c r="M23" s="18">
        <v>0</v>
      </c>
      <c r="N23" s="18">
        <f t="shared" si="3"/>
        <v>0</v>
      </c>
      <c r="O23" s="18">
        <v>0</v>
      </c>
      <c r="P23" s="18">
        <v>0</v>
      </c>
      <c r="Q23" s="18">
        <v>0</v>
      </c>
      <c r="R23" s="18">
        <f t="shared" si="26"/>
        <v>0</v>
      </c>
      <c r="S23" s="18">
        <v>0</v>
      </c>
      <c r="T23" s="18">
        <v>0</v>
      </c>
      <c r="U23" s="18">
        <f t="shared" si="5"/>
        <v>0</v>
      </c>
      <c r="V23" s="18">
        <f t="shared" si="6"/>
        <v>1165825582</v>
      </c>
      <c r="W23" s="18">
        <f t="shared" si="7"/>
        <v>0</v>
      </c>
      <c r="X23" s="235">
        <f t="shared" si="8"/>
        <v>1165825582</v>
      </c>
      <c r="Y23" s="353">
        <f t="shared" si="30"/>
        <v>1633923</v>
      </c>
      <c r="Z23" s="353">
        <f t="shared" si="30"/>
        <v>0</v>
      </c>
      <c r="AA23" s="353">
        <f t="shared" si="31"/>
        <v>1633923</v>
      </c>
      <c r="AB23" s="353">
        <f t="shared" si="32"/>
        <v>9105912111</v>
      </c>
      <c r="AC23" s="353">
        <f t="shared" si="32"/>
        <v>91760</v>
      </c>
      <c r="AD23" s="353">
        <f t="shared" si="33"/>
        <v>9106003871</v>
      </c>
      <c r="AE23" s="353">
        <f t="shared" si="34"/>
        <v>0</v>
      </c>
      <c r="AF23" s="353">
        <f t="shared" si="34"/>
        <v>0</v>
      </c>
      <c r="AG23" s="353">
        <f t="shared" si="35"/>
        <v>0</v>
      </c>
      <c r="AH23" s="353">
        <f t="shared" si="36"/>
        <v>0</v>
      </c>
      <c r="AI23" s="353">
        <f t="shared" si="27"/>
        <v>0</v>
      </c>
      <c r="AJ23" s="353">
        <f t="shared" si="27"/>
        <v>0</v>
      </c>
      <c r="AK23" s="353">
        <f t="shared" si="37"/>
        <v>0</v>
      </c>
      <c r="AL23" s="353">
        <f t="shared" si="38"/>
        <v>0</v>
      </c>
      <c r="AM23" s="353">
        <f t="shared" si="28"/>
        <v>0</v>
      </c>
      <c r="AN23" s="353">
        <f t="shared" si="28"/>
        <v>0</v>
      </c>
      <c r="AO23" s="353">
        <f t="shared" si="29"/>
        <v>0</v>
      </c>
      <c r="AP23" s="353">
        <f t="shared" si="39"/>
        <v>0</v>
      </c>
      <c r="AQ23" s="353">
        <f t="shared" si="39"/>
        <v>0</v>
      </c>
      <c r="AR23" s="353">
        <f t="shared" si="40"/>
        <v>0</v>
      </c>
      <c r="AS23" s="353">
        <f t="shared" si="41"/>
        <v>9107546034</v>
      </c>
      <c r="AT23" s="353">
        <f t="shared" si="42"/>
        <v>0</v>
      </c>
      <c r="AU23" s="353">
        <f t="shared" si="43"/>
        <v>91760</v>
      </c>
      <c r="AV23" s="354">
        <f t="shared" si="10"/>
        <v>9107637794</v>
      </c>
      <c r="AW23" s="431">
        <f t="shared" si="25"/>
        <v>3.0809027471349113</v>
      </c>
      <c r="AX23" s="431" t="e">
        <f t="shared" si="25"/>
        <v>#DIV/0!</v>
      </c>
      <c r="AY23" s="431">
        <f t="shared" si="25"/>
        <v>-0.94427859729748764</v>
      </c>
      <c r="AZ23" s="431">
        <f t="shared" si="25"/>
        <v>3.0779348329043783</v>
      </c>
    </row>
    <row r="24" spans="1:52">
      <c r="A24" s="138">
        <v>40787</v>
      </c>
      <c r="B24" s="139">
        <v>145377</v>
      </c>
      <c r="C24" s="18">
        <v>0</v>
      </c>
      <c r="D24" s="18">
        <f t="shared" si="0"/>
        <v>145377</v>
      </c>
      <c r="E24" s="18">
        <v>1077770849</v>
      </c>
      <c r="F24" s="18">
        <v>1551573</v>
      </c>
      <c r="G24" s="18">
        <f t="shared" si="1"/>
        <v>1079322422</v>
      </c>
      <c r="H24" s="18">
        <v>0</v>
      </c>
      <c r="I24" s="18">
        <v>0</v>
      </c>
      <c r="J24" s="18">
        <f t="shared" si="2"/>
        <v>0</v>
      </c>
      <c r="K24" s="18">
        <v>0</v>
      </c>
      <c r="L24" s="18">
        <v>0</v>
      </c>
      <c r="M24" s="18">
        <v>0</v>
      </c>
      <c r="N24" s="18">
        <f t="shared" si="3"/>
        <v>0</v>
      </c>
      <c r="O24" s="18">
        <v>0</v>
      </c>
      <c r="P24" s="18">
        <v>0</v>
      </c>
      <c r="Q24" s="18">
        <v>0</v>
      </c>
      <c r="R24" s="18">
        <f t="shared" si="26"/>
        <v>0</v>
      </c>
      <c r="S24" s="18">
        <v>0</v>
      </c>
      <c r="T24" s="18">
        <v>0</v>
      </c>
      <c r="U24" s="18">
        <f t="shared" si="5"/>
        <v>0</v>
      </c>
      <c r="V24" s="18">
        <f t="shared" si="6"/>
        <v>1077916226</v>
      </c>
      <c r="W24" s="18">
        <f t="shared" si="7"/>
        <v>1551573</v>
      </c>
      <c r="X24" s="235">
        <f t="shared" si="8"/>
        <v>1079467799</v>
      </c>
      <c r="Y24" s="353">
        <f t="shared" si="30"/>
        <v>1779300</v>
      </c>
      <c r="Z24" s="353">
        <f t="shared" si="30"/>
        <v>0</v>
      </c>
      <c r="AA24" s="353">
        <f t="shared" si="31"/>
        <v>1779300</v>
      </c>
      <c r="AB24" s="353">
        <f t="shared" si="32"/>
        <v>10183682960</v>
      </c>
      <c r="AC24" s="353">
        <f t="shared" si="32"/>
        <v>1643333</v>
      </c>
      <c r="AD24" s="353">
        <f t="shared" si="33"/>
        <v>10185326293</v>
      </c>
      <c r="AE24" s="353">
        <f t="shared" si="34"/>
        <v>0</v>
      </c>
      <c r="AF24" s="353">
        <f t="shared" si="34"/>
        <v>0</v>
      </c>
      <c r="AG24" s="353">
        <f t="shared" si="35"/>
        <v>0</v>
      </c>
      <c r="AH24" s="353">
        <f t="shared" si="36"/>
        <v>0</v>
      </c>
      <c r="AI24" s="353">
        <f t="shared" si="27"/>
        <v>0</v>
      </c>
      <c r="AJ24" s="353">
        <f t="shared" si="27"/>
        <v>0</v>
      </c>
      <c r="AK24" s="353">
        <f t="shared" si="37"/>
        <v>0</v>
      </c>
      <c r="AL24" s="353">
        <f t="shared" si="38"/>
        <v>0</v>
      </c>
      <c r="AM24" s="353">
        <f t="shared" si="28"/>
        <v>0</v>
      </c>
      <c r="AN24" s="353">
        <f t="shared" si="28"/>
        <v>0</v>
      </c>
      <c r="AO24" s="353">
        <f t="shared" si="29"/>
        <v>0</v>
      </c>
      <c r="AP24" s="353">
        <f t="shared" si="39"/>
        <v>0</v>
      </c>
      <c r="AQ24" s="353">
        <f t="shared" si="39"/>
        <v>0</v>
      </c>
      <c r="AR24" s="353">
        <f t="shared" si="40"/>
        <v>0</v>
      </c>
      <c r="AS24" s="353">
        <f>Y24+AB24+AE24+AH24+AL24+AP24</f>
        <v>10185462260</v>
      </c>
      <c r="AT24" s="353">
        <f t="shared" si="42"/>
        <v>0</v>
      </c>
      <c r="AU24" s="353">
        <f t="shared" si="43"/>
        <v>1643333</v>
      </c>
      <c r="AV24" s="354">
        <f t="shared" si="10"/>
        <v>10187105593</v>
      </c>
      <c r="AW24" s="431">
        <f t="shared" si="25"/>
        <v>2.0499501851052635</v>
      </c>
      <c r="AX24" s="431" t="e">
        <f t="shared" si="25"/>
        <v>#DIV/0!</v>
      </c>
      <c r="AY24" s="431">
        <f t="shared" si="25"/>
        <v>-0.12106377334351692</v>
      </c>
      <c r="AZ24" s="431">
        <f t="shared" si="25"/>
        <v>2.0487353991759476</v>
      </c>
    </row>
    <row r="25" spans="1:52">
      <c r="A25" s="138">
        <v>40817</v>
      </c>
      <c r="B25" s="139">
        <v>1886711</v>
      </c>
      <c r="C25" s="18">
        <v>0</v>
      </c>
      <c r="D25" s="18">
        <f t="shared" si="0"/>
        <v>1886711</v>
      </c>
      <c r="E25" s="18">
        <v>1101246796</v>
      </c>
      <c r="F25" s="18">
        <v>822011</v>
      </c>
      <c r="G25" s="18">
        <f t="shared" si="1"/>
        <v>1102068807</v>
      </c>
      <c r="H25" s="18">
        <v>0</v>
      </c>
      <c r="I25" s="18">
        <v>0</v>
      </c>
      <c r="J25" s="18">
        <f t="shared" si="2"/>
        <v>0</v>
      </c>
      <c r="K25" s="18">
        <v>0</v>
      </c>
      <c r="L25" s="18">
        <v>0</v>
      </c>
      <c r="M25" s="18">
        <v>0</v>
      </c>
      <c r="N25" s="18">
        <f t="shared" si="3"/>
        <v>0</v>
      </c>
      <c r="O25" s="18">
        <v>0</v>
      </c>
      <c r="P25" s="18">
        <v>0</v>
      </c>
      <c r="Q25" s="18">
        <v>0</v>
      </c>
      <c r="R25" s="18">
        <f t="shared" si="26"/>
        <v>0</v>
      </c>
      <c r="S25" s="18">
        <v>0</v>
      </c>
      <c r="T25" s="18">
        <v>0</v>
      </c>
      <c r="U25" s="18">
        <f t="shared" si="5"/>
        <v>0</v>
      </c>
      <c r="V25" s="18">
        <f t="shared" si="6"/>
        <v>1103133507</v>
      </c>
      <c r="W25" s="18">
        <f t="shared" si="7"/>
        <v>822011</v>
      </c>
      <c r="X25" s="235">
        <f t="shared" si="8"/>
        <v>1103955518</v>
      </c>
      <c r="Y25" s="353">
        <f t="shared" si="30"/>
        <v>3666011</v>
      </c>
      <c r="Z25" s="353">
        <f t="shared" si="30"/>
        <v>0</v>
      </c>
      <c r="AA25" s="353">
        <f t="shared" si="31"/>
        <v>3666011</v>
      </c>
      <c r="AB25" s="353">
        <f t="shared" si="32"/>
        <v>11284929756</v>
      </c>
      <c r="AC25" s="353">
        <f t="shared" si="32"/>
        <v>2465344</v>
      </c>
      <c r="AD25" s="353">
        <f t="shared" si="33"/>
        <v>11287395100</v>
      </c>
      <c r="AE25" s="353">
        <f t="shared" si="34"/>
        <v>0</v>
      </c>
      <c r="AF25" s="353">
        <f t="shared" si="34"/>
        <v>0</v>
      </c>
      <c r="AG25" s="353">
        <f t="shared" si="35"/>
        <v>0</v>
      </c>
      <c r="AH25" s="353">
        <f t="shared" si="36"/>
        <v>0</v>
      </c>
      <c r="AI25" s="353">
        <f t="shared" si="27"/>
        <v>0</v>
      </c>
      <c r="AJ25" s="353">
        <f t="shared" si="27"/>
        <v>0</v>
      </c>
      <c r="AK25" s="353">
        <f t="shared" si="37"/>
        <v>0</v>
      </c>
      <c r="AL25" s="353">
        <f t="shared" si="38"/>
        <v>0</v>
      </c>
      <c r="AM25" s="353">
        <f t="shared" si="28"/>
        <v>0</v>
      </c>
      <c r="AN25" s="353">
        <f t="shared" si="28"/>
        <v>0</v>
      </c>
      <c r="AO25" s="353">
        <f t="shared" si="29"/>
        <v>0</v>
      </c>
      <c r="AP25" s="353">
        <f t="shared" si="39"/>
        <v>0</v>
      </c>
      <c r="AQ25" s="353">
        <f t="shared" si="39"/>
        <v>0</v>
      </c>
      <c r="AR25" s="353">
        <f t="shared" si="40"/>
        <v>0</v>
      </c>
      <c r="AS25" s="353">
        <f t="shared" si="41"/>
        <v>11288595767</v>
      </c>
      <c r="AT25" s="353">
        <f t="shared" si="42"/>
        <v>0</v>
      </c>
      <c r="AU25" s="353">
        <f t="shared" si="43"/>
        <v>2465344</v>
      </c>
      <c r="AV25" s="354">
        <f t="shared" si="10"/>
        <v>11291061111</v>
      </c>
      <c r="AW25" s="431">
        <f t="shared" si="25"/>
        <v>1.5362312699480207</v>
      </c>
      <c r="AX25" s="431" t="e">
        <f t="shared" si="25"/>
        <v>#DIV/0!</v>
      </c>
      <c r="AY25" s="431">
        <f t="shared" si="25"/>
        <v>0.21212109292991976</v>
      </c>
      <c r="AZ25" s="431">
        <f t="shared" si="25"/>
        <v>1.5356264777753692</v>
      </c>
    </row>
    <row r="26" spans="1:52">
      <c r="A26" s="138">
        <v>40848</v>
      </c>
      <c r="B26" s="139">
        <v>506372</v>
      </c>
      <c r="C26" s="18">
        <v>0</v>
      </c>
      <c r="D26" s="18">
        <f t="shared" si="0"/>
        <v>506372</v>
      </c>
      <c r="E26" s="18">
        <v>1139105723</v>
      </c>
      <c r="F26" s="18">
        <v>738947</v>
      </c>
      <c r="G26" s="18">
        <f t="shared" si="1"/>
        <v>1139844670</v>
      </c>
      <c r="H26" s="18">
        <v>0</v>
      </c>
      <c r="I26" s="18">
        <v>0</v>
      </c>
      <c r="J26" s="18">
        <f t="shared" si="2"/>
        <v>0</v>
      </c>
      <c r="K26" s="18">
        <v>0</v>
      </c>
      <c r="L26" s="18">
        <v>0</v>
      </c>
      <c r="M26" s="18">
        <v>0</v>
      </c>
      <c r="N26" s="18">
        <f t="shared" si="3"/>
        <v>0</v>
      </c>
      <c r="O26" s="18">
        <v>0</v>
      </c>
      <c r="P26" s="18">
        <v>0</v>
      </c>
      <c r="Q26" s="18">
        <v>0</v>
      </c>
      <c r="R26" s="18">
        <f t="shared" si="26"/>
        <v>0</v>
      </c>
      <c r="S26" s="18">
        <v>0</v>
      </c>
      <c r="T26" s="18">
        <v>0</v>
      </c>
      <c r="U26" s="18">
        <f t="shared" si="5"/>
        <v>0</v>
      </c>
      <c r="V26" s="18">
        <f t="shared" si="6"/>
        <v>1139612095</v>
      </c>
      <c r="W26" s="18">
        <f t="shared" si="7"/>
        <v>738947</v>
      </c>
      <c r="X26" s="235">
        <f t="shared" si="8"/>
        <v>1140351042</v>
      </c>
      <c r="Y26" s="353">
        <f t="shared" si="30"/>
        <v>4172383</v>
      </c>
      <c r="Z26" s="353">
        <f t="shared" si="30"/>
        <v>0</v>
      </c>
      <c r="AA26" s="353">
        <f t="shared" si="31"/>
        <v>4172383</v>
      </c>
      <c r="AB26" s="353">
        <f t="shared" si="32"/>
        <v>12424035479</v>
      </c>
      <c r="AC26" s="353">
        <f t="shared" si="32"/>
        <v>3204291</v>
      </c>
      <c r="AD26" s="353">
        <f t="shared" si="33"/>
        <v>12427239770</v>
      </c>
      <c r="AE26" s="353">
        <f t="shared" si="34"/>
        <v>0</v>
      </c>
      <c r="AF26" s="353">
        <f t="shared" si="34"/>
        <v>0</v>
      </c>
      <c r="AG26" s="353">
        <f t="shared" si="35"/>
        <v>0</v>
      </c>
      <c r="AH26" s="353">
        <f t="shared" si="36"/>
        <v>0</v>
      </c>
      <c r="AI26" s="353">
        <f t="shared" si="27"/>
        <v>0</v>
      </c>
      <c r="AJ26" s="353">
        <f t="shared" si="27"/>
        <v>0</v>
      </c>
      <c r="AK26" s="353">
        <f t="shared" si="37"/>
        <v>0</v>
      </c>
      <c r="AL26" s="353">
        <f t="shared" si="38"/>
        <v>0</v>
      </c>
      <c r="AM26" s="353">
        <f t="shared" si="28"/>
        <v>0</v>
      </c>
      <c r="AN26" s="353">
        <f t="shared" si="28"/>
        <v>0</v>
      </c>
      <c r="AO26" s="353">
        <f t="shared" si="29"/>
        <v>0</v>
      </c>
      <c r="AP26" s="353">
        <f t="shared" si="39"/>
        <v>0</v>
      </c>
      <c r="AQ26" s="353">
        <f t="shared" si="39"/>
        <v>0</v>
      </c>
      <c r="AR26" s="353">
        <f t="shared" si="40"/>
        <v>0</v>
      </c>
      <c r="AS26" s="353">
        <f t="shared" si="41"/>
        <v>12428207862</v>
      </c>
      <c r="AT26" s="353">
        <f t="shared" si="42"/>
        <v>0</v>
      </c>
      <c r="AU26" s="353">
        <f t="shared" si="43"/>
        <v>3204291</v>
      </c>
      <c r="AV26" s="354">
        <f t="shared" si="10"/>
        <v>12431412153</v>
      </c>
      <c r="AW26" s="431">
        <f t="shared" si="25"/>
        <v>1.2235051118079494</v>
      </c>
      <c r="AX26" s="431" t="e">
        <f t="shared" si="25"/>
        <v>#DIV/0!</v>
      </c>
      <c r="AY26" s="431">
        <f t="shared" si="25"/>
        <v>0.34657725600546652</v>
      </c>
      <c r="AZ26" s="431">
        <f t="shared" si="25"/>
        <v>1.2231319395814748</v>
      </c>
    </row>
    <row r="27" spans="1:52" ht="15.75" thickBot="1">
      <c r="A27" s="138">
        <v>40878</v>
      </c>
      <c r="B27" s="139">
        <v>0</v>
      </c>
      <c r="C27" s="18">
        <v>0</v>
      </c>
      <c r="D27" s="18">
        <f t="shared" si="0"/>
        <v>0</v>
      </c>
      <c r="E27" s="18">
        <v>1181817350</v>
      </c>
      <c r="F27" s="18">
        <v>0</v>
      </c>
      <c r="G27" s="18">
        <f t="shared" si="1"/>
        <v>1181817350</v>
      </c>
      <c r="H27" s="18">
        <v>0</v>
      </c>
      <c r="I27" s="18">
        <v>0</v>
      </c>
      <c r="J27" s="18">
        <f t="shared" si="2"/>
        <v>0</v>
      </c>
      <c r="K27" s="18">
        <v>0</v>
      </c>
      <c r="L27" s="18">
        <v>0</v>
      </c>
      <c r="M27" s="18">
        <v>0</v>
      </c>
      <c r="N27" s="18">
        <f t="shared" si="3"/>
        <v>0</v>
      </c>
      <c r="O27" s="18">
        <v>0</v>
      </c>
      <c r="P27" s="18">
        <v>0</v>
      </c>
      <c r="Q27" s="18">
        <v>0</v>
      </c>
      <c r="R27" s="18">
        <f t="shared" si="26"/>
        <v>0</v>
      </c>
      <c r="S27" s="18">
        <v>0</v>
      </c>
      <c r="T27" s="18">
        <v>0</v>
      </c>
      <c r="U27" s="18">
        <f t="shared" si="5"/>
        <v>0</v>
      </c>
      <c r="V27" s="18">
        <f t="shared" si="6"/>
        <v>1181817350</v>
      </c>
      <c r="W27" s="18">
        <f t="shared" si="7"/>
        <v>0</v>
      </c>
      <c r="X27" s="235">
        <f t="shared" si="8"/>
        <v>1181817350</v>
      </c>
      <c r="Y27" s="353">
        <f t="shared" si="30"/>
        <v>4172383</v>
      </c>
      <c r="Z27" s="353">
        <f t="shared" si="30"/>
        <v>0</v>
      </c>
      <c r="AA27" s="353">
        <f t="shared" si="31"/>
        <v>4172383</v>
      </c>
      <c r="AB27" s="353">
        <f t="shared" si="32"/>
        <v>13605852829</v>
      </c>
      <c r="AC27" s="353">
        <f t="shared" si="32"/>
        <v>3204291</v>
      </c>
      <c r="AD27" s="353">
        <f t="shared" si="33"/>
        <v>13609057120</v>
      </c>
      <c r="AE27" s="353">
        <f t="shared" si="34"/>
        <v>0</v>
      </c>
      <c r="AF27" s="353">
        <f t="shared" si="34"/>
        <v>0</v>
      </c>
      <c r="AG27" s="353">
        <f t="shared" si="35"/>
        <v>0</v>
      </c>
      <c r="AH27" s="353">
        <f t="shared" si="36"/>
        <v>0</v>
      </c>
      <c r="AI27" s="353">
        <f t="shared" si="27"/>
        <v>0</v>
      </c>
      <c r="AJ27" s="353">
        <f t="shared" si="27"/>
        <v>0</v>
      </c>
      <c r="AK27" s="353">
        <f t="shared" si="37"/>
        <v>0</v>
      </c>
      <c r="AL27" s="353">
        <f t="shared" si="38"/>
        <v>0</v>
      </c>
      <c r="AM27" s="353">
        <f t="shared" si="28"/>
        <v>0</v>
      </c>
      <c r="AN27" s="353">
        <f t="shared" si="28"/>
        <v>0</v>
      </c>
      <c r="AO27" s="353">
        <f t="shared" si="29"/>
        <v>0</v>
      </c>
      <c r="AP27" s="353">
        <f t="shared" si="39"/>
        <v>0</v>
      </c>
      <c r="AQ27" s="353">
        <f t="shared" si="39"/>
        <v>0</v>
      </c>
      <c r="AR27" s="353">
        <f t="shared" si="40"/>
        <v>0</v>
      </c>
      <c r="AS27" s="353">
        <f t="shared" si="41"/>
        <v>13610025212</v>
      </c>
      <c r="AT27" s="353">
        <f t="shared" si="42"/>
        <v>0</v>
      </c>
      <c r="AU27" s="353">
        <f t="shared" si="43"/>
        <v>3204291</v>
      </c>
      <c r="AV27" s="354">
        <f t="shared" si="10"/>
        <v>13613229503</v>
      </c>
      <c r="AW27" s="431">
        <f t="shared" si="25"/>
        <v>1.0052457703841857</v>
      </c>
      <c r="AX27" s="431" t="e">
        <f t="shared" si="25"/>
        <v>#DIV/0!</v>
      </c>
      <c r="AY27" s="431">
        <f t="shared" si="25"/>
        <v>0.22418649039574623</v>
      </c>
      <c r="AZ27" s="431">
        <f t="shared" si="25"/>
        <v>1.0049446711921122</v>
      </c>
    </row>
    <row r="28" spans="1:52">
      <c r="A28" s="141">
        <v>40909</v>
      </c>
      <c r="B28" s="142">
        <v>0</v>
      </c>
      <c r="C28" s="143">
        <v>0</v>
      </c>
      <c r="D28" s="143">
        <f t="shared" si="0"/>
        <v>0</v>
      </c>
      <c r="E28" s="143">
        <v>1178481937</v>
      </c>
      <c r="F28" s="143">
        <v>0</v>
      </c>
      <c r="G28" s="143">
        <f t="shared" si="1"/>
        <v>1178481937</v>
      </c>
      <c r="H28" s="143">
        <v>0</v>
      </c>
      <c r="I28" s="143">
        <v>0</v>
      </c>
      <c r="J28" s="143">
        <f t="shared" si="2"/>
        <v>0</v>
      </c>
      <c r="K28" s="143">
        <v>0</v>
      </c>
      <c r="L28" s="143">
        <v>0</v>
      </c>
      <c r="M28" s="143">
        <v>0</v>
      </c>
      <c r="N28" s="143">
        <f t="shared" si="3"/>
        <v>0</v>
      </c>
      <c r="O28" s="143">
        <v>0</v>
      </c>
      <c r="P28" s="143">
        <v>0</v>
      </c>
      <c r="Q28" s="143">
        <v>0</v>
      </c>
      <c r="R28" s="143">
        <f>SUM(O28:Q28)</f>
        <v>0</v>
      </c>
      <c r="S28" s="143">
        <v>0</v>
      </c>
      <c r="T28" s="143">
        <v>0</v>
      </c>
      <c r="U28" s="143">
        <f t="shared" si="5"/>
        <v>0</v>
      </c>
      <c r="V28" s="143">
        <f t="shared" si="6"/>
        <v>1178481937</v>
      </c>
      <c r="W28" s="143">
        <f t="shared" si="7"/>
        <v>0</v>
      </c>
      <c r="X28" s="237">
        <f t="shared" si="8"/>
        <v>1178481937</v>
      </c>
      <c r="Y28" s="350">
        <f>B28</f>
        <v>0</v>
      </c>
      <c r="Z28" s="350">
        <f>C28</f>
        <v>0</v>
      </c>
      <c r="AA28" s="350">
        <f>Z28+Y28</f>
        <v>0</v>
      </c>
      <c r="AB28" s="350">
        <f>E28</f>
        <v>1178481937</v>
      </c>
      <c r="AC28" s="350">
        <f>F28</f>
        <v>0</v>
      </c>
      <c r="AD28" s="350">
        <f>AC28+AB28</f>
        <v>1178481937</v>
      </c>
      <c r="AE28" s="350">
        <f>H28</f>
        <v>0</v>
      </c>
      <c r="AF28" s="350">
        <f>I28</f>
        <v>0</v>
      </c>
      <c r="AG28" s="350">
        <f>AF28+AE28</f>
        <v>0</v>
      </c>
      <c r="AH28" s="350">
        <f>K28</f>
        <v>0</v>
      </c>
      <c r="AI28" s="350">
        <f>L28</f>
        <v>0</v>
      </c>
      <c r="AJ28" s="350">
        <f>M28</f>
        <v>0</v>
      </c>
      <c r="AK28" s="350">
        <f>AJ28+AI28+AH28</f>
        <v>0</v>
      </c>
      <c r="AL28" s="350">
        <f>O28</f>
        <v>0</v>
      </c>
      <c r="AM28" s="350">
        <f>P28</f>
        <v>0</v>
      </c>
      <c r="AN28" s="350">
        <f>Q28</f>
        <v>0</v>
      </c>
      <c r="AO28" s="350">
        <f>SUM(AL28:AN28)</f>
        <v>0</v>
      </c>
      <c r="AP28" s="350">
        <f>S28</f>
        <v>0</v>
      </c>
      <c r="AQ28" s="350">
        <f>T28</f>
        <v>0</v>
      </c>
      <c r="AR28" s="350">
        <f>SUM(AP28:AQ28)</f>
        <v>0</v>
      </c>
      <c r="AS28" s="350">
        <f>Y28+AB28+AE28+AH28+AL28+AP28</f>
        <v>1178481937</v>
      </c>
      <c r="AT28" s="350">
        <f>AI28</f>
        <v>0</v>
      </c>
      <c r="AU28" s="350">
        <f>Z28+AC28+AF28+AJ28+AN28+AQ28</f>
        <v>0</v>
      </c>
      <c r="AV28" s="351">
        <f t="shared" si="10"/>
        <v>1178481937</v>
      </c>
      <c r="AW28" s="431">
        <f t="shared" si="25"/>
        <v>1.5568833876580257E-2</v>
      </c>
      <c r="AX28" s="431" t="e">
        <f t="shared" si="25"/>
        <v>#DIV/0!</v>
      </c>
      <c r="AY28" s="431">
        <f t="shared" si="25"/>
        <v>-1</v>
      </c>
      <c r="AZ28" s="431">
        <f t="shared" si="25"/>
        <v>1.5488534002677801E-2</v>
      </c>
    </row>
    <row r="29" spans="1:52">
      <c r="A29" s="138">
        <v>40940</v>
      </c>
      <c r="B29" s="139">
        <v>417419</v>
      </c>
      <c r="C29" s="18">
        <v>0</v>
      </c>
      <c r="D29" s="18">
        <f t="shared" si="0"/>
        <v>417419</v>
      </c>
      <c r="E29" s="18">
        <v>1079500947</v>
      </c>
      <c r="F29" s="18">
        <v>0</v>
      </c>
      <c r="G29" s="18">
        <f t="shared" si="1"/>
        <v>1079500947</v>
      </c>
      <c r="H29" s="18">
        <v>0</v>
      </c>
      <c r="I29" s="18">
        <v>0</v>
      </c>
      <c r="J29" s="18">
        <f t="shared" si="2"/>
        <v>0</v>
      </c>
      <c r="K29" s="18">
        <v>0</v>
      </c>
      <c r="L29" s="18">
        <v>0</v>
      </c>
      <c r="M29" s="18">
        <v>0</v>
      </c>
      <c r="N29" s="18">
        <f t="shared" si="3"/>
        <v>0</v>
      </c>
      <c r="O29" s="18">
        <v>0</v>
      </c>
      <c r="P29" s="18">
        <v>0</v>
      </c>
      <c r="Q29" s="18">
        <v>0</v>
      </c>
      <c r="R29" s="18">
        <f t="shared" ref="R29:R39" si="44">SUM(O29:Q29)</f>
        <v>0</v>
      </c>
      <c r="S29" s="18">
        <v>0</v>
      </c>
      <c r="T29" s="18">
        <v>0</v>
      </c>
      <c r="U29" s="18">
        <f t="shared" si="5"/>
        <v>0</v>
      </c>
      <c r="V29" s="18">
        <f t="shared" si="6"/>
        <v>1079918366</v>
      </c>
      <c r="W29" s="18">
        <f t="shared" si="7"/>
        <v>0</v>
      </c>
      <c r="X29" s="235">
        <f t="shared" si="8"/>
        <v>1079918366</v>
      </c>
      <c r="Y29" s="353">
        <f>Y28+B29</f>
        <v>417419</v>
      </c>
      <c r="Z29" s="353">
        <f>Z28+C29</f>
        <v>0</v>
      </c>
      <c r="AA29" s="353">
        <f>Z29+Y29</f>
        <v>417419</v>
      </c>
      <c r="AB29" s="353">
        <f>AB28+E29</f>
        <v>2257982884</v>
      </c>
      <c r="AC29" s="353">
        <f>AC28+F29</f>
        <v>0</v>
      </c>
      <c r="AD29" s="353">
        <f>AC29+AB29</f>
        <v>2257982884</v>
      </c>
      <c r="AE29" s="353">
        <f>AE28+H29</f>
        <v>0</v>
      </c>
      <c r="AF29" s="353">
        <f>AF28+I29</f>
        <v>0</v>
      </c>
      <c r="AG29" s="353">
        <f>AF29+AE29</f>
        <v>0</v>
      </c>
      <c r="AH29" s="353">
        <f>AH28+K29</f>
        <v>0</v>
      </c>
      <c r="AI29" s="353">
        <f t="shared" ref="AI29:AJ39" si="45">AI28+L29</f>
        <v>0</v>
      </c>
      <c r="AJ29" s="353">
        <f t="shared" si="45"/>
        <v>0</v>
      </c>
      <c r="AK29" s="353">
        <f>AJ29+AI29+AH29</f>
        <v>0</v>
      </c>
      <c r="AL29" s="353">
        <f>AL28+O29</f>
        <v>0</v>
      </c>
      <c r="AM29" s="353">
        <f t="shared" ref="AM29:AN39" si="46">AM28+P29</f>
        <v>0</v>
      </c>
      <c r="AN29" s="353">
        <f t="shared" si="46"/>
        <v>0</v>
      </c>
      <c r="AO29" s="353">
        <f t="shared" ref="AO29:AO39" si="47">SUM(AL29:AN29)</f>
        <v>0</v>
      </c>
      <c r="AP29" s="353">
        <f>AP28+S29</f>
        <v>0</v>
      </c>
      <c r="AQ29" s="353">
        <f>AQ28+T29</f>
        <v>0</v>
      </c>
      <c r="AR29" s="353">
        <f>SUM(AP29:AQ29)</f>
        <v>0</v>
      </c>
      <c r="AS29" s="353">
        <f>Y29+AB29+AE29+AH29+AL29+AP29</f>
        <v>2258400303</v>
      </c>
      <c r="AT29" s="353">
        <f>AI29</f>
        <v>0</v>
      </c>
      <c r="AU29" s="353">
        <f>Z29+AC29+AF29+AJ29+AN29+AQ29</f>
        <v>0</v>
      </c>
      <c r="AV29" s="354">
        <f t="shared" si="10"/>
        <v>2258400303</v>
      </c>
      <c r="AW29" s="431">
        <f t="shared" si="25"/>
        <v>1.9719944791293242E-2</v>
      </c>
      <c r="AX29" s="431" t="e">
        <f t="shared" si="25"/>
        <v>#DIV/0!</v>
      </c>
      <c r="AY29" s="431">
        <f t="shared" si="25"/>
        <v>-1</v>
      </c>
      <c r="AZ29" s="431">
        <f t="shared" si="25"/>
        <v>1.967769774838013E-2</v>
      </c>
    </row>
    <row r="30" spans="1:52">
      <c r="A30" s="138">
        <v>40969</v>
      </c>
      <c r="B30" s="139">
        <v>0</v>
      </c>
      <c r="C30" s="18">
        <v>0</v>
      </c>
      <c r="D30" s="18">
        <f t="shared" si="0"/>
        <v>0</v>
      </c>
      <c r="E30" s="18">
        <v>1136870708</v>
      </c>
      <c r="F30" s="18">
        <v>0</v>
      </c>
      <c r="G30" s="18">
        <f t="shared" si="1"/>
        <v>1136870708</v>
      </c>
      <c r="H30" s="18">
        <v>0</v>
      </c>
      <c r="I30" s="18">
        <v>0</v>
      </c>
      <c r="J30" s="18">
        <f t="shared" si="2"/>
        <v>0</v>
      </c>
      <c r="K30" s="18">
        <v>0</v>
      </c>
      <c r="L30" s="18">
        <v>0</v>
      </c>
      <c r="M30" s="18">
        <v>0</v>
      </c>
      <c r="N30" s="18">
        <f t="shared" si="3"/>
        <v>0</v>
      </c>
      <c r="O30" s="18">
        <v>0</v>
      </c>
      <c r="P30" s="18">
        <v>0</v>
      </c>
      <c r="Q30" s="18">
        <v>0</v>
      </c>
      <c r="R30" s="18">
        <f t="shared" si="44"/>
        <v>0</v>
      </c>
      <c r="S30" s="18">
        <v>0</v>
      </c>
      <c r="T30" s="18">
        <v>0</v>
      </c>
      <c r="U30" s="18">
        <f t="shared" si="5"/>
        <v>0</v>
      </c>
      <c r="V30" s="18">
        <f t="shared" si="6"/>
        <v>1136870708</v>
      </c>
      <c r="W30" s="18">
        <f t="shared" si="7"/>
        <v>0</v>
      </c>
      <c r="X30" s="235">
        <f t="shared" si="8"/>
        <v>1136870708</v>
      </c>
      <c r="Y30" s="353">
        <f t="shared" ref="Y30:Z39" si="48">Y29+B30</f>
        <v>417419</v>
      </c>
      <c r="Z30" s="353">
        <f t="shared" si="48"/>
        <v>0</v>
      </c>
      <c r="AA30" s="353">
        <f t="shared" ref="AA30:AA39" si="49">Z30+Y30</f>
        <v>417419</v>
      </c>
      <c r="AB30" s="353">
        <f t="shared" ref="AB30:AC39" si="50">AB29+E30</f>
        <v>3394853592</v>
      </c>
      <c r="AC30" s="353">
        <f t="shared" si="50"/>
        <v>0</v>
      </c>
      <c r="AD30" s="353">
        <f t="shared" ref="AD30:AD39" si="51">AC30+AB30</f>
        <v>3394853592</v>
      </c>
      <c r="AE30" s="353">
        <f t="shared" ref="AE30:AF39" si="52">AE29+H30</f>
        <v>0</v>
      </c>
      <c r="AF30" s="353">
        <f t="shared" si="52"/>
        <v>0</v>
      </c>
      <c r="AG30" s="353">
        <f t="shared" ref="AG30:AG39" si="53">AF30+AE30</f>
        <v>0</v>
      </c>
      <c r="AH30" s="353">
        <f t="shared" ref="AH30:AH39" si="54">AH29+K30</f>
        <v>0</v>
      </c>
      <c r="AI30" s="353">
        <f t="shared" si="45"/>
        <v>0</v>
      </c>
      <c r="AJ30" s="353">
        <f t="shared" si="45"/>
        <v>0</v>
      </c>
      <c r="AK30" s="353">
        <f t="shared" ref="AK30:AK39" si="55">AJ30+AI30+AH30</f>
        <v>0</v>
      </c>
      <c r="AL30" s="353">
        <f t="shared" ref="AL30:AL39" si="56">AL29+O30</f>
        <v>0</v>
      </c>
      <c r="AM30" s="353">
        <f t="shared" si="46"/>
        <v>0</v>
      </c>
      <c r="AN30" s="353">
        <f t="shared" si="46"/>
        <v>0</v>
      </c>
      <c r="AO30" s="353">
        <f t="shared" si="47"/>
        <v>0</v>
      </c>
      <c r="AP30" s="353">
        <f t="shared" ref="AP30:AQ39" si="57">AP29+S30</f>
        <v>0</v>
      </c>
      <c r="AQ30" s="353">
        <f t="shared" si="57"/>
        <v>0</v>
      </c>
      <c r="AR30" s="353">
        <f t="shared" ref="AR30:AR39" si="58">SUM(AP30:AQ30)</f>
        <v>0</v>
      </c>
      <c r="AS30" s="353">
        <f t="shared" ref="AS30:AS93" si="59">Y30+AB30+AE30+AH30+AL30+AP30</f>
        <v>3395271011</v>
      </c>
      <c r="AT30" s="353">
        <f t="shared" ref="AT30:AT39" si="60">AI30</f>
        <v>0</v>
      </c>
      <c r="AU30" s="353">
        <f t="shared" ref="AU30:AU39" si="61">Z30+AC30+AF30+AJ30+AN30+AQ30</f>
        <v>0</v>
      </c>
      <c r="AV30" s="354">
        <f t="shared" si="10"/>
        <v>3395271011</v>
      </c>
      <c r="AW30" s="431">
        <f t="shared" si="25"/>
        <v>-1.3165243162451601E-2</v>
      </c>
      <c r="AX30" s="431" t="e">
        <f t="shared" si="25"/>
        <v>#DIV/0!</v>
      </c>
      <c r="AY30" s="431">
        <f t="shared" si="25"/>
        <v>-1</v>
      </c>
      <c r="AZ30" s="431">
        <f t="shared" si="25"/>
        <v>-1.319156136659394E-2</v>
      </c>
    </row>
    <row r="31" spans="1:52">
      <c r="A31" s="138">
        <v>41000</v>
      </c>
      <c r="B31" s="139">
        <v>0</v>
      </c>
      <c r="C31" s="18">
        <v>0</v>
      </c>
      <c r="D31" s="18">
        <f t="shared" si="0"/>
        <v>0</v>
      </c>
      <c r="E31" s="18">
        <v>1096194768</v>
      </c>
      <c r="F31" s="18">
        <v>0</v>
      </c>
      <c r="G31" s="18">
        <f t="shared" si="1"/>
        <v>1096194768</v>
      </c>
      <c r="H31" s="18">
        <v>0</v>
      </c>
      <c r="I31" s="18">
        <v>0</v>
      </c>
      <c r="J31" s="18">
        <f t="shared" si="2"/>
        <v>0</v>
      </c>
      <c r="K31" s="18">
        <v>0</v>
      </c>
      <c r="L31" s="18">
        <v>0</v>
      </c>
      <c r="M31" s="18">
        <v>0</v>
      </c>
      <c r="N31" s="18">
        <f t="shared" si="3"/>
        <v>0</v>
      </c>
      <c r="O31" s="18">
        <v>0</v>
      </c>
      <c r="P31" s="18">
        <v>0</v>
      </c>
      <c r="Q31" s="18">
        <v>0</v>
      </c>
      <c r="R31" s="18">
        <f t="shared" si="44"/>
        <v>0</v>
      </c>
      <c r="S31" s="18">
        <v>0</v>
      </c>
      <c r="T31" s="18">
        <v>0</v>
      </c>
      <c r="U31" s="18">
        <f t="shared" si="5"/>
        <v>0</v>
      </c>
      <c r="V31" s="18">
        <f t="shared" si="6"/>
        <v>1096194768</v>
      </c>
      <c r="W31" s="18">
        <f t="shared" si="7"/>
        <v>0</v>
      </c>
      <c r="X31" s="235">
        <f t="shared" si="8"/>
        <v>1096194768</v>
      </c>
      <c r="Y31" s="353">
        <f t="shared" si="48"/>
        <v>417419</v>
      </c>
      <c r="Z31" s="353">
        <f t="shared" si="48"/>
        <v>0</v>
      </c>
      <c r="AA31" s="353">
        <f t="shared" si="49"/>
        <v>417419</v>
      </c>
      <c r="AB31" s="353">
        <f t="shared" si="50"/>
        <v>4491048360</v>
      </c>
      <c r="AC31" s="353">
        <f t="shared" si="50"/>
        <v>0</v>
      </c>
      <c r="AD31" s="353">
        <f t="shared" si="51"/>
        <v>4491048360</v>
      </c>
      <c r="AE31" s="353">
        <f t="shared" si="52"/>
        <v>0</v>
      </c>
      <c r="AF31" s="353">
        <f t="shared" si="52"/>
        <v>0</v>
      </c>
      <c r="AG31" s="353">
        <f t="shared" si="53"/>
        <v>0</v>
      </c>
      <c r="AH31" s="353">
        <f t="shared" si="54"/>
        <v>0</v>
      </c>
      <c r="AI31" s="353">
        <f t="shared" si="45"/>
        <v>0</v>
      </c>
      <c r="AJ31" s="353">
        <f t="shared" si="45"/>
        <v>0</v>
      </c>
      <c r="AK31" s="353">
        <f t="shared" si="55"/>
        <v>0</v>
      </c>
      <c r="AL31" s="353">
        <f t="shared" si="56"/>
        <v>0</v>
      </c>
      <c r="AM31" s="353">
        <f t="shared" si="46"/>
        <v>0</v>
      </c>
      <c r="AN31" s="353">
        <f t="shared" si="46"/>
        <v>0</v>
      </c>
      <c r="AO31" s="353">
        <f t="shared" si="47"/>
        <v>0</v>
      </c>
      <c r="AP31" s="353">
        <f t="shared" si="57"/>
        <v>0</v>
      </c>
      <c r="AQ31" s="353">
        <f t="shared" si="57"/>
        <v>0</v>
      </c>
      <c r="AR31" s="353">
        <f t="shared" si="58"/>
        <v>0</v>
      </c>
      <c r="AS31" s="353">
        <f t="shared" si="59"/>
        <v>4491465779</v>
      </c>
      <c r="AT31" s="353">
        <f t="shared" si="60"/>
        <v>0</v>
      </c>
      <c r="AU31" s="353">
        <f t="shared" si="61"/>
        <v>0</v>
      </c>
      <c r="AV31" s="354">
        <f t="shared" si="10"/>
        <v>4491465779</v>
      </c>
      <c r="AW31" s="431">
        <f t="shared" si="25"/>
        <v>-4.1564222436655252E-3</v>
      </c>
      <c r="AX31" s="431" t="e">
        <f t="shared" si="25"/>
        <v>#DIV/0!</v>
      </c>
      <c r="AY31" s="431">
        <f t="shared" si="25"/>
        <v>-1</v>
      </c>
      <c r="AZ31" s="431">
        <f t="shared" si="25"/>
        <v>-4.1766822104050139E-3</v>
      </c>
    </row>
    <row r="32" spans="1:52">
      <c r="A32" s="138">
        <v>41030</v>
      </c>
      <c r="B32" s="139">
        <v>0</v>
      </c>
      <c r="C32" s="18">
        <v>0</v>
      </c>
      <c r="D32" s="18">
        <f t="shared" si="0"/>
        <v>0</v>
      </c>
      <c r="E32" s="18">
        <v>1131920310</v>
      </c>
      <c r="F32" s="18">
        <v>0</v>
      </c>
      <c r="G32" s="18">
        <f t="shared" si="1"/>
        <v>1131920310</v>
      </c>
      <c r="H32" s="18">
        <v>0</v>
      </c>
      <c r="I32" s="18">
        <v>0</v>
      </c>
      <c r="J32" s="18">
        <f t="shared" si="2"/>
        <v>0</v>
      </c>
      <c r="K32" s="18">
        <v>0</v>
      </c>
      <c r="L32" s="18">
        <v>0</v>
      </c>
      <c r="M32" s="18">
        <v>0</v>
      </c>
      <c r="N32" s="18">
        <f t="shared" si="3"/>
        <v>0</v>
      </c>
      <c r="O32" s="18">
        <v>0</v>
      </c>
      <c r="P32" s="18">
        <v>0</v>
      </c>
      <c r="Q32" s="18">
        <v>0</v>
      </c>
      <c r="R32" s="18">
        <f t="shared" si="44"/>
        <v>0</v>
      </c>
      <c r="S32" s="18">
        <v>0</v>
      </c>
      <c r="T32" s="18">
        <v>0</v>
      </c>
      <c r="U32" s="18">
        <f t="shared" si="5"/>
        <v>0</v>
      </c>
      <c r="V32" s="18">
        <f t="shared" si="6"/>
        <v>1131920310</v>
      </c>
      <c r="W32" s="18">
        <f t="shared" si="7"/>
        <v>0</v>
      </c>
      <c r="X32" s="235">
        <f t="shared" si="8"/>
        <v>1131920310</v>
      </c>
      <c r="Y32" s="353">
        <f t="shared" si="48"/>
        <v>417419</v>
      </c>
      <c r="Z32" s="353">
        <f t="shared" si="48"/>
        <v>0</v>
      </c>
      <c r="AA32" s="353">
        <f t="shared" si="49"/>
        <v>417419</v>
      </c>
      <c r="AB32" s="353">
        <f t="shared" si="50"/>
        <v>5622968670</v>
      </c>
      <c r="AC32" s="353">
        <f t="shared" si="50"/>
        <v>0</v>
      </c>
      <c r="AD32" s="353">
        <f t="shared" si="51"/>
        <v>5622968670</v>
      </c>
      <c r="AE32" s="353">
        <f t="shared" si="52"/>
        <v>0</v>
      </c>
      <c r="AF32" s="353">
        <f t="shared" si="52"/>
        <v>0</v>
      </c>
      <c r="AG32" s="353">
        <f t="shared" si="53"/>
        <v>0</v>
      </c>
      <c r="AH32" s="353">
        <f t="shared" si="54"/>
        <v>0</v>
      </c>
      <c r="AI32" s="353">
        <f t="shared" si="45"/>
        <v>0</v>
      </c>
      <c r="AJ32" s="353">
        <f t="shared" si="45"/>
        <v>0</v>
      </c>
      <c r="AK32" s="353">
        <f t="shared" si="55"/>
        <v>0</v>
      </c>
      <c r="AL32" s="353">
        <f t="shared" si="56"/>
        <v>0</v>
      </c>
      <c r="AM32" s="353">
        <f t="shared" si="46"/>
        <v>0</v>
      </c>
      <c r="AN32" s="353">
        <f t="shared" si="46"/>
        <v>0</v>
      </c>
      <c r="AO32" s="353">
        <f t="shared" si="47"/>
        <v>0</v>
      </c>
      <c r="AP32" s="353">
        <f t="shared" si="57"/>
        <v>0</v>
      </c>
      <c r="AQ32" s="353">
        <f t="shared" si="57"/>
        <v>0</v>
      </c>
      <c r="AR32" s="353">
        <f t="shared" si="58"/>
        <v>0</v>
      </c>
      <c r="AS32" s="353">
        <f t="shared" si="59"/>
        <v>5623386089</v>
      </c>
      <c r="AT32" s="353">
        <f t="shared" si="60"/>
        <v>0</v>
      </c>
      <c r="AU32" s="353">
        <f t="shared" si="61"/>
        <v>0</v>
      </c>
      <c r="AV32" s="354">
        <f t="shared" si="10"/>
        <v>5623386089</v>
      </c>
      <c r="AW32" s="431">
        <f t="shared" si="25"/>
        <v>-4.7993848023181185E-3</v>
      </c>
      <c r="AX32" s="431" t="e">
        <f t="shared" si="25"/>
        <v>#DIV/0!</v>
      </c>
      <c r="AY32" s="431">
        <f t="shared" si="25"/>
        <v>-1</v>
      </c>
      <c r="AZ32" s="431">
        <f t="shared" si="25"/>
        <v>-4.8155458578192922E-3</v>
      </c>
    </row>
    <row r="33" spans="1:52">
      <c r="A33" s="138">
        <v>41061</v>
      </c>
      <c r="B33" s="139">
        <v>0</v>
      </c>
      <c r="C33" s="18">
        <v>0</v>
      </c>
      <c r="D33" s="18">
        <f t="shared" si="0"/>
        <v>0</v>
      </c>
      <c r="E33" s="18">
        <v>1085594445</v>
      </c>
      <c r="F33" s="18">
        <v>0</v>
      </c>
      <c r="G33" s="18">
        <f t="shared" si="1"/>
        <v>1085594445</v>
      </c>
      <c r="H33" s="18">
        <v>0</v>
      </c>
      <c r="I33" s="18">
        <v>0</v>
      </c>
      <c r="J33" s="18">
        <f t="shared" si="2"/>
        <v>0</v>
      </c>
      <c r="K33" s="18">
        <v>0</v>
      </c>
      <c r="L33" s="18">
        <v>0</v>
      </c>
      <c r="M33" s="18">
        <v>0</v>
      </c>
      <c r="N33" s="18">
        <f t="shared" si="3"/>
        <v>0</v>
      </c>
      <c r="O33" s="18">
        <v>0</v>
      </c>
      <c r="P33" s="18">
        <v>0</v>
      </c>
      <c r="Q33" s="18">
        <v>0</v>
      </c>
      <c r="R33" s="18">
        <f t="shared" si="44"/>
        <v>0</v>
      </c>
      <c r="S33" s="18">
        <v>0</v>
      </c>
      <c r="T33" s="18">
        <v>0</v>
      </c>
      <c r="U33" s="18">
        <f t="shared" si="5"/>
        <v>0</v>
      </c>
      <c r="V33" s="18">
        <f t="shared" si="6"/>
        <v>1085594445</v>
      </c>
      <c r="W33" s="18">
        <f t="shared" si="7"/>
        <v>0</v>
      </c>
      <c r="X33" s="235">
        <f t="shared" si="8"/>
        <v>1085594445</v>
      </c>
      <c r="Y33" s="353">
        <f t="shared" si="48"/>
        <v>417419</v>
      </c>
      <c r="Z33" s="353">
        <f t="shared" si="48"/>
        <v>0</v>
      </c>
      <c r="AA33" s="353">
        <f t="shared" si="49"/>
        <v>417419</v>
      </c>
      <c r="AB33" s="353">
        <f t="shared" si="50"/>
        <v>6708563115</v>
      </c>
      <c r="AC33" s="353">
        <f t="shared" si="50"/>
        <v>0</v>
      </c>
      <c r="AD33" s="353">
        <f t="shared" si="51"/>
        <v>6708563115</v>
      </c>
      <c r="AE33" s="353">
        <f t="shared" si="52"/>
        <v>0</v>
      </c>
      <c r="AF33" s="353">
        <f t="shared" si="52"/>
        <v>0</v>
      </c>
      <c r="AG33" s="353">
        <f t="shared" si="53"/>
        <v>0</v>
      </c>
      <c r="AH33" s="353">
        <f t="shared" si="54"/>
        <v>0</v>
      </c>
      <c r="AI33" s="353">
        <f t="shared" si="45"/>
        <v>0</v>
      </c>
      <c r="AJ33" s="353">
        <f t="shared" si="45"/>
        <v>0</v>
      </c>
      <c r="AK33" s="353">
        <f t="shared" si="55"/>
        <v>0</v>
      </c>
      <c r="AL33" s="353">
        <f t="shared" si="56"/>
        <v>0</v>
      </c>
      <c r="AM33" s="353">
        <f t="shared" si="46"/>
        <v>0</v>
      </c>
      <c r="AN33" s="353">
        <f t="shared" si="46"/>
        <v>0</v>
      </c>
      <c r="AO33" s="353">
        <f t="shared" si="47"/>
        <v>0</v>
      </c>
      <c r="AP33" s="353">
        <f t="shared" si="57"/>
        <v>0</v>
      </c>
      <c r="AQ33" s="353">
        <f t="shared" si="57"/>
        <v>0</v>
      </c>
      <c r="AR33" s="353">
        <f t="shared" si="58"/>
        <v>0</v>
      </c>
      <c r="AS33" s="353">
        <f t="shared" si="59"/>
        <v>6708980534</v>
      </c>
      <c r="AT33" s="353">
        <f t="shared" si="60"/>
        <v>0</v>
      </c>
      <c r="AU33" s="353">
        <f t="shared" si="61"/>
        <v>0</v>
      </c>
      <c r="AV33" s="354">
        <f t="shared" si="10"/>
        <v>6708980534</v>
      </c>
      <c r="AW33" s="431">
        <f t="shared" si="25"/>
        <v>-1.5601961409084208E-2</v>
      </c>
      <c r="AX33" s="431" t="e">
        <f t="shared" si="25"/>
        <v>#DIV/0!</v>
      </c>
      <c r="AY33" s="431">
        <f t="shared" si="25"/>
        <v>-1</v>
      </c>
      <c r="AZ33" s="431">
        <f t="shared" si="25"/>
        <v>-1.5615214967765523E-2</v>
      </c>
    </row>
    <row r="34" spans="1:52">
      <c r="A34" s="138">
        <v>41091</v>
      </c>
      <c r="B34" s="139">
        <v>0</v>
      </c>
      <c r="C34" s="18">
        <v>0</v>
      </c>
      <c r="D34" s="18">
        <f t="shared" si="0"/>
        <v>0</v>
      </c>
      <c r="E34" s="18">
        <v>1057188151</v>
      </c>
      <c r="F34" s="18">
        <v>0</v>
      </c>
      <c r="G34" s="18">
        <f t="shared" si="1"/>
        <v>1057188151</v>
      </c>
      <c r="H34" s="18">
        <v>0</v>
      </c>
      <c r="I34" s="18">
        <v>0</v>
      </c>
      <c r="J34" s="18">
        <f t="shared" si="2"/>
        <v>0</v>
      </c>
      <c r="K34" s="18">
        <v>0</v>
      </c>
      <c r="L34" s="18">
        <v>0</v>
      </c>
      <c r="M34" s="18">
        <v>0</v>
      </c>
      <c r="N34" s="18">
        <f t="shared" si="3"/>
        <v>0</v>
      </c>
      <c r="O34" s="18">
        <v>0</v>
      </c>
      <c r="P34" s="18">
        <v>0</v>
      </c>
      <c r="Q34" s="18">
        <v>0</v>
      </c>
      <c r="R34" s="18">
        <f t="shared" si="44"/>
        <v>0</v>
      </c>
      <c r="S34" s="18">
        <v>0</v>
      </c>
      <c r="T34" s="18">
        <v>0</v>
      </c>
      <c r="U34" s="18">
        <f t="shared" si="5"/>
        <v>0</v>
      </c>
      <c r="V34" s="18">
        <f t="shared" si="6"/>
        <v>1057188151</v>
      </c>
      <c r="W34" s="18">
        <f t="shared" si="7"/>
        <v>0</v>
      </c>
      <c r="X34" s="235">
        <f t="shared" si="8"/>
        <v>1057188151</v>
      </c>
      <c r="Y34" s="353">
        <f t="shared" si="48"/>
        <v>417419</v>
      </c>
      <c r="Z34" s="353">
        <f t="shared" si="48"/>
        <v>0</v>
      </c>
      <c r="AA34" s="353">
        <f t="shared" si="49"/>
        <v>417419</v>
      </c>
      <c r="AB34" s="353">
        <f t="shared" si="50"/>
        <v>7765751266</v>
      </c>
      <c r="AC34" s="353">
        <f t="shared" si="50"/>
        <v>0</v>
      </c>
      <c r="AD34" s="353">
        <f t="shared" si="51"/>
        <v>7765751266</v>
      </c>
      <c r="AE34" s="353">
        <f t="shared" si="52"/>
        <v>0</v>
      </c>
      <c r="AF34" s="353">
        <f t="shared" si="52"/>
        <v>0</v>
      </c>
      <c r="AG34" s="353">
        <f t="shared" si="53"/>
        <v>0</v>
      </c>
      <c r="AH34" s="353">
        <f t="shared" si="54"/>
        <v>0</v>
      </c>
      <c r="AI34" s="353">
        <f t="shared" si="45"/>
        <v>0</v>
      </c>
      <c r="AJ34" s="353">
        <f t="shared" si="45"/>
        <v>0</v>
      </c>
      <c r="AK34" s="353">
        <f t="shared" si="55"/>
        <v>0</v>
      </c>
      <c r="AL34" s="353">
        <f t="shared" si="56"/>
        <v>0</v>
      </c>
      <c r="AM34" s="353">
        <f t="shared" si="46"/>
        <v>0</v>
      </c>
      <c r="AN34" s="353">
        <f t="shared" si="46"/>
        <v>0</v>
      </c>
      <c r="AO34" s="353">
        <f t="shared" si="47"/>
        <v>0</v>
      </c>
      <c r="AP34" s="353">
        <f t="shared" si="57"/>
        <v>0</v>
      </c>
      <c r="AQ34" s="353">
        <f t="shared" si="57"/>
        <v>0</v>
      </c>
      <c r="AR34" s="353">
        <f t="shared" si="58"/>
        <v>0</v>
      </c>
      <c r="AS34" s="353">
        <f t="shared" si="59"/>
        <v>7766168685</v>
      </c>
      <c r="AT34" s="353">
        <f t="shared" si="60"/>
        <v>0</v>
      </c>
      <c r="AU34" s="353">
        <f t="shared" si="61"/>
        <v>0</v>
      </c>
      <c r="AV34" s="354">
        <f t="shared" si="10"/>
        <v>7766168685</v>
      </c>
      <c r="AW34" s="431">
        <f t="shared" si="25"/>
        <v>-2.2105004584465071E-2</v>
      </c>
      <c r="AX34" s="431" t="e">
        <f t="shared" si="25"/>
        <v>#DIV/0!</v>
      </c>
      <c r="AY34" s="431">
        <f t="shared" si="25"/>
        <v>-1</v>
      </c>
      <c r="AZ34" s="431">
        <f t="shared" si="25"/>
        <v>-2.2116303220391487E-2</v>
      </c>
    </row>
    <row r="35" spans="1:52">
      <c r="A35" s="138">
        <v>41122</v>
      </c>
      <c r="B35" s="139">
        <v>99089</v>
      </c>
      <c r="C35" s="18">
        <v>0</v>
      </c>
      <c r="D35" s="18">
        <f t="shared" si="0"/>
        <v>99089</v>
      </c>
      <c r="E35" s="18">
        <v>1095988419</v>
      </c>
      <c r="F35" s="18">
        <v>0</v>
      </c>
      <c r="G35" s="18">
        <f t="shared" si="1"/>
        <v>1095988419</v>
      </c>
      <c r="H35" s="18">
        <v>0</v>
      </c>
      <c r="I35" s="18">
        <v>0</v>
      </c>
      <c r="J35" s="18">
        <f t="shared" si="2"/>
        <v>0</v>
      </c>
      <c r="K35" s="18">
        <v>0</v>
      </c>
      <c r="L35" s="18">
        <v>0</v>
      </c>
      <c r="M35" s="18">
        <v>0</v>
      </c>
      <c r="N35" s="18">
        <f t="shared" si="3"/>
        <v>0</v>
      </c>
      <c r="O35" s="18">
        <v>0</v>
      </c>
      <c r="P35" s="18">
        <v>0</v>
      </c>
      <c r="Q35" s="18">
        <v>0</v>
      </c>
      <c r="R35" s="18">
        <f t="shared" si="44"/>
        <v>0</v>
      </c>
      <c r="S35" s="18">
        <v>0</v>
      </c>
      <c r="T35" s="18">
        <v>0</v>
      </c>
      <c r="U35" s="18">
        <f t="shared" si="5"/>
        <v>0</v>
      </c>
      <c r="V35" s="18">
        <f t="shared" si="6"/>
        <v>1096087508</v>
      </c>
      <c r="W35" s="18">
        <f t="shared" si="7"/>
        <v>0</v>
      </c>
      <c r="X35" s="235">
        <f t="shared" si="8"/>
        <v>1096087508</v>
      </c>
      <c r="Y35" s="353">
        <f t="shared" si="48"/>
        <v>516508</v>
      </c>
      <c r="Z35" s="353">
        <f t="shared" si="48"/>
        <v>0</v>
      </c>
      <c r="AA35" s="353">
        <f t="shared" si="49"/>
        <v>516508</v>
      </c>
      <c r="AB35" s="353">
        <f t="shared" si="50"/>
        <v>8861739685</v>
      </c>
      <c r="AC35" s="353">
        <f t="shared" si="50"/>
        <v>0</v>
      </c>
      <c r="AD35" s="353">
        <f t="shared" si="51"/>
        <v>8861739685</v>
      </c>
      <c r="AE35" s="353">
        <f t="shared" si="52"/>
        <v>0</v>
      </c>
      <c r="AF35" s="353">
        <f t="shared" si="52"/>
        <v>0</v>
      </c>
      <c r="AG35" s="353">
        <f t="shared" si="53"/>
        <v>0</v>
      </c>
      <c r="AH35" s="353">
        <f t="shared" si="54"/>
        <v>0</v>
      </c>
      <c r="AI35" s="353">
        <f t="shared" si="45"/>
        <v>0</v>
      </c>
      <c r="AJ35" s="353">
        <f t="shared" si="45"/>
        <v>0</v>
      </c>
      <c r="AK35" s="353">
        <f t="shared" si="55"/>
        <v>0</v>
      </c>
      <c r="AL35" s="353">
        <f t="shared" si="56"/>
        <v>0</v>
      </c>
      <c r="AM35" s="353">
        <f t="shared" si="46"/>
        <v>0</v>
      </c>
      <c r="AN35" s="353">
        <f t="shared" si="46"/>
        <v>0</v>
      </c>
      <c r="AO35" s="353">
        <f t="shared" si="47"/>
        <v>0</v>
      </c>
      <c r="AP35" s="353">
        <f t="shared" si="57"/>
        <v>0</v>
      </c>
      <c r="AQ35" s="353">
        <f t="shared" si="57"/>
        <v>0</v>
      </c>
      <c r="AR35" s="353">
        <f t="shared" si="58"/>
        <v>0</v>
      </c>
      <c r="AS35" s="353">
        <f t="shared" si="59"/>
        <v>8862256193</v>
      </c>
      <c r="AT35" s="353">
        <f t="shared" si="60"/>
        <v>0</v>
      </c>
      <c r="AU35" s="353">
        <f t="shared" si="61"/>
        <v>0</v>
      </c>
      <c r="AV35" s="354">
        <f t="shared" si="10"/>
        <v>8862256193</v>
      </c>
      <c r="AW35" s="431">
        <f t="shared" si="25"/>
        <v>-2.6932594146029221E-2</v>
      </c>
      <c r="AX35" s="431" t="e">
        <f t="shared" si="25"/>
        <v>#DIV/0!</v>
      </c>
      <c r="AY35" s="431">
        <f t="shared" si="25"/>
        <v>-1</v>
      </c>
      <c r="AZ35" s="431">
        <f t="shared" si="25"/>
        <v>-2.6942397858822908E-2</v>
      </c>
    </row>
    <row r="36" spans="1:52">
      <c r="A36" s="138">
        <v>41153</v>
      </c>
      <c r="B36" s="139">
        <v>0</v>
      </c>
      <c r="C36" s="18">
        <v>0</v>
      </c>
      <c r="D36" s="18">
        <f t="shared" si="0"/>
        <v>0</v>
      </c>
      <c r="E36" s="18">
        <v>985889758</v>
      </c>
      <c r="F36" s="18">
        <v>0</v>
      </c>
      <c r="G36" s="18">
        <f t="shared" si="1"/>
        <v>985889758</v>
      </c>
      <c r="H36" s="18">
        <v>0</v>
      </c>
      <c r="I36" s="18">
        <v>0</v>
      </c>
      <c r="J36" s="18">
        <f t="shared" si="2"/>
        <v>0</v>
      </c>
      <c r="K36" s="18">
        <v>0</v>
      </c>
      <c r="L36" s="18">
        <v>0</v>
      </c>
      <c r="M36" s="18">
        <v>0</v>
      </c>
      <c r="N36" s="18">
        <f t="shared" si="3"/>
        <v>0</v>
      </c>
      <c r="O36" s="18">
        <v>0</v>
      </c>
      <c r="P36" s="18">
        <v>0</v>
      </c>
      <c r="Q36" s="18">
        <v>0</v>
      </c>
      <c r="R36" s="18">
        <f t="shared" si="44"/>
        <v>0</v>
      </c>
      <c r="S36" s="18">
        <v>0</v>
      </c>
      <c r="T36" s="18">
        <v>0</v>
      </c>
      <c r="U36" s="18">
        <f t="shared" si="5"/>
        <v>0</v>
      </c>
      <c r="V36" s="18">
        <f t="shared" si="6"/>
        <v>985889758</v>
      </c>
      <c r="W36" s="18">
        <f t="shared" si="7"/>
        <v>0</v>
      </c>
      <c r="X36" s="235">
        <f t="shared" si="8"/>
        <v>985889758</v>
      </c>
      <c r="Y36" s="353">
        <f t="shared" si="48"/>
        <v>516508</v>
      </c>
      <c r="Z36" s="353">
        <f t="shared" si="48"/>
        <v>0</v>
      </c>
      <c r="AA36" s="353">
        <f t="shared" si="49"/>
        <v>516508</v>
      </c>
      <c r="AB36" s="353">
        <f t="shared" si="50"/>
        <v>9847629443</v>
      </c>
      <c r="AC36" s="353">
        <f t="shared" si="50"/>
        <v>0</v>
      </c>
      <c r="AD36" s="353">
        <f t="shared" si="51"/>
        <v>9847629443</v>
      </c>
      <c r="AE36" s="353">
        <f t="shared" si="52"/>
        <v>0</v>
      </c>
      <c r="AF36" s="353">
        <f t="shared" si="52"/>
        <v>0</v>
      </c>
      <c r="AG36" s="353">
        <f t="shared" si="53"/>
        <v>0</v>
      </c>
      <c r="AH36" s="353">
        <f t="shared" si="54"/>
        <v>0</v>
      </c>
      <c r="AI36" s="353">
        <f t="shared" si="45"/>
        <v>0</v>
      </c>
      <c r="AJ36" s="353">
        <f t="shared" si="45"/>
        <v>0</v>
      </c>
      <c r="AK36" s="353">
        <f t="shared" si="55"/>
        <v>0</v>
      </c>
      <c r="AL36" s="353">
        <f t="shared" si="56"/>
        <v>0</v>
      </c>
      <c r="AM36" s="353">
        <f t="shared" si="46"/>
        <v>0</v>
      </c>
      <c r="AN36" s="353">
        <f t="shared" si="46"/>
        <v>0</v>
      </c>
      <c r="AO36" s="353">
        <f t="shared" si="47"/>
        <v>0</v>
      </c>
      <c r="AP36" s="353">
        <f t="shared" si="57"/>
        <v>0</v>
      </c>
      <c r="AQ36" s="353">
        <f t="shared" si="57"/>
        <v>0</v>
      </c>
      <c r="AR36" s="353">
        <f t="shared" si="58"/>
        <v>0</v>
      </c>
      <c r="AS36" s="353">
        <f t="shared" si="59"/>
        <v>9848145951</v>
      </c>
      <c r="AT36" s="353">
        <f t="shared" si="60"/>
        <v>0</v>
      </c>
      <c r="AU36" s="353">
        <f t="shared" si="61"/>
        <v>0</v>
      </c>
      <c r="AV36" s="354">
        <f t="shared" si="10"/>
        <v>9848145951</v>
      </c>
      <c r="AW36" s="431">
        <f t="shared" si="25"/>
        <v>-3.3117427603133631E-2</v>
      </c>
      <c r="AX36" s="431" t="e">
        <f t="shared" si="25"/>
        <v>#DIV/0!</v>
      </c>
      <c r="AY36" s="431">
        <f t="shared" si="25"/>
        <v>-1</v>
      </c>
      <c r="AZ36" s="431">
        <f t="shared" si="25"/>
        <v>-3.3273400271114695E-2</v>
      </c>
    </row>
    <row r="37" spans="1:52">
      <c r="A37" s="138">
        <v>41183</v>
      </c>
      <c r="B37" s="139">
        <v>111810</v>
      </c>
      <c r="C37" s="18">
        <v>0</v>
      </c>
      <c r="D37" s="18">
        <f t="shared" si="0"/>
        <v>111810</v>
      </c>
      <c r="E37" s="18">
        <v>1056945842</v>
      </c>
      <c r="F37" s="18">
        <v>0</v>
      </c>
      <c r="G37" s="18">
        <f t="shared" si="1"/>
        <v>1056945842</v>
      </c>
      <c r="H37" s="18">
        <v>0</v>
      </c>
      <c r="I37" s="18">
        <v>0</v>
      </c>
      <c r="J37" s="18">
        <f t="shared" si="2"/>
        <v>0</v>
      </c>
      <c r="K37" s="18">
        <v>0</v>
      </c>
      <c r="L37" s="18">
        <v>0</v>
      </c>
      <c r="M37" s="18">
        <v>0</v>
      </c>
      <c r="N37" s="18">
        <f t="shared" si="3"/>
        <v>0</v>
      </c>
      <c r="O37" s="18">
        <v>0</v>
      </c>
      <c r="P37" s="18">
        <v>0</v>
      </c>
      <c r="Q37" s="18">
        <v>0</v>
      </c>
      <c r="R37" s="18">
        <f t="shared" si="44"/>
        <v>0</v>
      </c>
      <c r="S37" s="18">
        <v>0</v>
      </c>
      <c r="T37" s="18">
        <v>0</v>
      </c>
      <c r="U37" s="18">
        <f t="shared" si="5"/>
        <v>0</v>
      </c>
      <c r="V37" s="18">
        <f t="shared" si="6"/>
        <v>1057057652</v>
      </c>
      <c r="W37" s="18">
        <f t="shared" si="7"/>
        <v>0</v>
      </c>
      <c r="X37" s="235">
        <f t="shared" si="8"/>
        <v>1057057652</v>
      </c>
      <c r="Y37" s="353">
        <f t="shared" si="48"/>
        <v>628318</v>
      </c>
      <c r="Z37" s="353">
        <f t="shared" si="48"/>
        <v>0</v>
      </c>
      <c r="AA37" s="353">
        <f t="shared" si="49"/>
        <v>628318</v>
      </c>
      <c r="AB37" s="353">
        <f t="shared" si="50"/>
        <v>10904575285</v>
      </c>
      <c r="AC37" s="353">
        <f t="shared" si="50"/>
        <v>0</v>
      </c>
      <c r="AD37" s="353">
        <f t="shared" si="51"/>
        <v>10904575285</v>
      </c>
      <c r="AE37" s="353">
        <f t="shared" si="52"/>
        <v>0</v>
      </c>
      <c r="AF37" s="353">
        <f t="shared" si="52"/>
        <v>0</v>
      </c>
      <c r="AG37" s="353">
        <f t="shared" si="53"/>
        <v>0</v>
      </c>
      <c r="AH37" s="353">
        <f t="shared" si="54"/>
        <v>0</v>
      </c>
      <c r="AI37" s="353">
        <f t="shared" si="45"/>
        <v>0</v>
      </c>
      <c r="AJ37" s="353">
        <f t="shared" si="45"/>
        <v>0</v>
      </c>
      <c r="AK37" s="353">
        <f t="shared" si="55"/>
        <v>0</v>
      </c>
      <c r="AL37" s="353">
        <f t="shared" si="56"/>
        <v>0</v>
      </c>
      <c r="AM37" s="353">
        <f t="shared" si="46"/>
        <v>0</v>
      </c>
      <c r="AN37" s="353">
        <f t="shared" si="46"/>
        <v>0</v>
      </c>
      <c r="AO37" s="353">
        <f t="shared" si="47"/>
        <v>0</v>
      </c>
      <c r="AP37" s="353">
        <f t="shared" si="57"/>
        <v>0</v>
      </c>
      <c r="AQ37" s="353">
        <f t="shared" si="57"/>
        <v>0</v>
      </c>
      <c r="AR37" s="353">
        <f t="shared" si="58"/>
        <v>0</v>
      </c>
      <c r="AS37" s="353">
        <f t="shared" si="59"/>
        <v>10905203603</v>
      </c>
      <c r="AT37" s="353">
        <f t="shared" si="60"/>
        <v>0</v>
      </c>
      <c r="AU37" s="353">
        <f t="shared" si="61"/>
        <v>0</v>
      </c>
      <c r="AV37" s="354">
        <f t="shared" si="10"/>
        <v>10905203603</v>
      </c>
      <c r="AW37" s="431">
        <f t="shared" si="25"/>
        <v>-3.3962786152797797E-2</v>
      </c>
      <c r="AX37" s="431" t="e">
        <f t="shared" si="25"/>
        <v>#DIV/0!</v>
      </c>
      <c r="AY37" s="431">
        <f t="shared" si="25"/>
        <v>-1</v>
      </c>
      <c r="AZ37" s="431">
        <f t="shared" si="25"/>
        <v>-3.4173715313974284E-2</v>
      </c>
    </row>
    <row r="38" spans="1:52">
      <c r="A38" s="138">
        <v>41214</v>
      </c>
      <c r="B38" s="139">
        <v>45342</v>
      </c>
      <c r="C38" s="18">
        <v>0</v>
      </c>
      <c r="D38" s="18">
        <f t="shared" si="0"/>
        <v>45342</v>
      </c>
      <c r="E38" s="18">
        <v>1045333458</v>
      </c>
      <c r="F38" s="18">
        <v>0</v>
      </c>
      <c r="G38" s="18">
        <f t="shared" si="1"/>
        <v>1045333458</v>
      </c>
      <c r="H38" s="18">
        <v>0</v>
      </c>
      <c r="I38" s="18">
        <v>0</v>
      </c>
      <c r="J38" s="18">
        <f t="shared" si="2"/>
        <v>0</v>
      </c>
      <c r="K38" s="18">
        <v>0</v>
      </c>
      <c r="L38" s="18">
        <v>0</v>
      </c>
      <c r="M38" s="18">
        <v>0</v>
      </c>
      <c r="N38" s="18">
        <f t="shared" si="3"/>
        <v>0</v>
      </c>
      <c r="O38" s="18">
        <v>0</v>
      </c>
      <c r="P38" s="18">
        <v>0</v>
      </c>
      <c r="Q38" s="18">
        <v>0</v>
      </c>
      <c r="R38" s="18">
        <f t="shared" si="44"/>
        <v>0</v>
      </c>
      <c r="S38" s="18">
        <v>0</v>
      </c>
      <c r="T38" s="18">
        <v>0</v>
      </c>
      <c r="U38" s="18">
        <f t="shared" si="5"/>
        <v>0</v>
      </c>
      <c r="V38" s="18">
        <f t="shared" si="6"/>
        <v>1045378800</v>
      </c>
      <c r="W38" s="18">
        <f t="shared" si="7"/>
        <v>0</v>
      </c>
      <c r="X38" s="235">
        <f t="shared" si="8"/>
        <v>1045378800</v>
      </c>
      <c r="Y38" s="353">
        <f t="shared" si="48"/>
        <v>673660</v>
      </c>
      <c r="Z38" s="353">
        <f t="shared" si="48"/>
        <v>0</v>
      </c>
      <c r="AA38" s="353">
        <f t="shared" si="49"/>
        <v>673660</v>
      </c>
      <c r="AB38" s="353">
        <f t="shared" si="50"/>
        <v>11949908743</v>
      </c>
      <c r="AC38" s="353">
        <f t="shared" si="50"/>
        <v>0</v>
      </c>
      <c r="AD38" s="353">
        <f t="shared" si="51"/>
        <v>11949908743</v>
      </c>
      <c r="AE38" s="353">
        <f t="shared" si="52"/>
        <v>0</v>
      </c>
      <c r="AF38" s="353">
        <f t="shared" si="52"/>
        <v>0</v>
      </c>
      <c r="AG38" s="353">
        <f t="shared" si="53"/>
        <v>0</v>
      </c>
      <c r="AH38" s="353">
        <f t="shared" si="54"/>
        <v>0</v>
      </c>
      <c r="AI38" s="353">
        <f t="shared" si="45"/>
        <v>0</v>
      </c>
      <c r="AJ38" s="353">
        <f t="shared" si="45"/>
        <v>0</v>
      </c>
      <c r="AK38" s="353">
        <f t="shared" si="55"/>
        <v>0</v>
      </c>
      <c r="AL38" s="353">
        <f t="shared" si="56"/>
        <v>0</v>
      </c>
      <c r="AM38" s="353">
        <f t="shared" si="46"/>
        <v>0</v>
      </c>
      <c r="AN38" s="353">
        <f t="shared" si="46"/>
        <v>0</v>
      </c>
      <c r="AO38" s="353">
        <f t="shared" si="47"/>
        <v>0</v>
      </c>
      <c r="AP38" s="353">
        <f t="shared" si="57"/>
        <v>0</v>
      </c>
      <c r="AQ38" s="353">
        <f t="shared" si="57"/>
        <v>0</v>
      </c>
      <c r="AR38" s="353">
        <f t="shared" si="58"/>
        <v>0</v>
      </c>
      <c r="AS38" s="353">
        <f t="shared" si="59"/>
        <v>11950582403</v>
      </c>
      <c r="AT38" s="353">
        <f t="shared" si="60"/>
        <v>0</v>
      </c>
      <c r="AU38" s="353">
        <f t="shared" si="61"/>
        <v>0</v>
      </c>
      <c r="AV38" s="354">
        <f t="shared" si="10"/>
        <v>11950582403</v>
      </c>
      <c r="AW38" s="431">
        <f t="shared" si="25"/>
        <v>-3.8430758827293854E-2</v>
      </c>
      <c r="AX38" s="431" t="e">
        <f t="shared" si="25"/>
        <v>#DIV/0!</v>
      </c>
      <c r="AY38" s="431">
        <f t="shared" si="25"/>
        <v>-1</v>
      </c>
      <c r="AZ38" s="431">
        <f t="shared" si="25"/>
        <v>-3.8678610610135999E-2</v>
      </c>
    </row>
    <row r="39" spans="1:52" ht="15.75" thickBot="1">
      <c r="A39" s="138">
        <v>41244</v>
      </c>
      <c r="B39" s="139">
        <v>72018</v>
      </c>
      <c r="C39" s="18">
        <v>0</v>
      </c>
      <c r="D39" s="18">
        <f t="shared" si="0"/>
        <v>72018</v>
      </c>
      <c r="E39" s="18">
        <v>1036814339</v>
      </c>
      <c r="F39" s="18">
        <v>0</v>
      </c>
      <c r="G39" s="18">
        <f t="shared" si="1"/>
        <v>1036814339</v>
      </c>
      <c r="H39" s="18">
        <v>0</v>
      </c>
      <c r="I39" s="18">
        <v>0</v>
      </c>
      <c r="J39" s="18">
        <f t="shared" si="2"/>
        <v>0</v>
      </c>
      <c r="K39" s="18">
        <v>0</v>
      </c>
      <c r="L39" s="18">
        <v>0</v>
      </c>
      <c r="M39" s="18">
        <v>0</v>
      </c>
      <c r="N39" s="18">
        <f t="shared" si="3"/>
        <v>0</v>
      </c>
      <c r="O39" s="18">
        <v>0</v>
      </c>
      <c r="P39" s="18">
        <v>0</v>
      </c>
      <c r="Q39" s="18">
        <v>0</v>
      </c>
      <c r="R39" s="18">
        <f t="shared" si="44"/>
        <v>0</v>
      </c>
      <c r="S39" s="18">
        <v>0</v>
      </c>
      <c r="T39" s="18">
        <v>0</v>
      </c>
      <c r="U39" s="18">
        <f t="shared" si="5"/>
        <v>0</v>
      </c>
      <c r="V39" s="18">
        <f t="shared" si="6"/>
        <v>1036886357</v>
      </c>
      <c r="W39" s="18">
        <f t="shared" si="7"/>
        <v>0</v>
      </c>
      <c r="X39" s="235">
        <f t="shared" si="8"/>
        <v>1036886357</v>
      </c>
      <c r="Y39" s="353">
        <f t="shared" si="48"/>
        <v>745678</v>
      </c>
      <c r="Z39" s="353">
        <f t="shared" si="48"/>
        <v>0</v>
      </c>
      <c r="AA39" s="353">
        <f t="shared" si="49"/>
        <v>745678</v>
      </c>
      <c r="AB39" s="353">
        <f t="shared" si="50"/>
        <v>12986723082</v>
      </c>
      <c r="AC39" s="353">
        <f t="shared" si="50"/>
        <v>0</v>
      </c>
      <c r="AD39" s="353">
        <f t="shared" si="51"/>
        <v>12986723082</v>
      </c>
      <c r="AE39" s="353">
        <f t="shared" si="52"/>
        <v>0</v>
      </c>
      <c r="AF39" s="353">
        <f t="shared" si="52"/>
        <v>0</v>
      </c>
      <c r="AG39" s="353">
        <f t="shared" si="53"/>
        <v>0</v>
      </c>
      <c r="AH39" s="353">
        <f t="shared" si="54"/>
        <v>0</v>
      </c>
      <c r="AI39" s="353">
        <f t="shared" si="45"/>
        <v>0</v>
      </c>
      <c r="AJ39" s="353">
        <f t="shared" si="45"/>
        <v>0</v>
      </c>
      <c r="AK39" s="353">
        <f t="shared" si="55"/>
        <v>0</v>
      </c>
      <c r="AL39" s="353">
        <f t="shared" si="56"/>
        <v>0</v>
      </c>
      <c r="AM39" s="353">
        <f t="shared" si="46"/>
        <v>0</v>
      </c>
      <c r="AN39" s="353">
        <f t="shared" si="46"/>
        <v>0</v>
      </c>
      <c r="AO39" s="353">
        <f t="shared" si="47"/>
        <v>0</v>
      </c>
      <c r="AP39" s="353">
        <f t="shared" si="57"/>
        <v>0</v>
      </c>
      <c r="AQ39" s="353">
        <f t="shared" si="57"/>
        <v>0</v>
      </c>
      <c r="AR39" s="353">
        <f t="shared" si="58"/>
        <v>0</v>
      </c>
      <c r="AS39" s="353">
        <f t="shared" si="59"/>
        <v>12987468760</v>
      </c>
      <c r="AT39" s="353">
        <f t="shared" si="60"/>
        <v>0</v>
      </c>
      <c r="AU39" s="353">
        <f t="shared" si="61"/>
        <v>0</v>
      </c>
      <c r="AV39" s="354">
        <f t="shared" si="10"/>
        <v>12987468760</v>
      </c>
      <c r="AW39" s="431">
        <f t="shared" si="25"/>
        <v>-4.5742490723021612E-2</v>
      </c>
      <c r="AX39" s="431" t="e">
        <f t="shared" si="25"/>
        <v>#DIV/0!</v>
      </c>
      <c r="AY39" s="431">
        <f t="shared" si="25"/>
        <v>-1</v>
      </c>
      <c r="AZ39" s="431">
        <f t="shared" si="25"/>
        <v>-4.5967104489210153E-2</v>
      </c>
    </row>
    <row r="40" spans="1:52">
      <c r="A40" s="141">
        <v>41275</v>
      </c>
      <c r="B40" s="142">
        <v>6128</v>
      </c>
      <c r="C40" s="143">
        <v>0</v>
      </c>
      <c r="D40" s="143">
        <f t="shared" si="0"/>
        <v>6128</v>
      </c>
      <c r="E40" s="143">
        <v>1028160966</v>
      </c>
      <c r="F40" s="143">
        <v>0</v>
      </c>
      <c r="G40" s="143">
        <f t="shared" si="1"/>
        <v>1028160966</v>
      </c>
      <c r="H40" s="143">
        <v>0</v>
      </c>
      <c r="I40" s="143">
        <v>0</v>
      </c>
      <c r="J40" s="143">
        <f t="shared" si="2"/>
        <v>0</v>
      </c>
      <c r="K40" s="143">
        <v>0</v>
      </c>
      <c r="L40" s="143">
        <v>0</v>
      </c>
      <c r="M40" s="143">
        <v>0</v>
      </c>
      <c r="N40" s="143">
        <f t="shared" si="3"/>
        <v>0</v>
      </c>
      <c r="O40" s="143">
        <v>0</v>
      </c>
      <c r="P40" s="143">
        <v>0</v>
      </c>
      <c r="Q40" s="143">
        <v>0</v>
      </c>
      <c r="R40" s="143">
        <f>SUM(O40:Q40)</f>
        <v>0</v>
      </c>
      <c r="S40" s="143">
        <v>0</v>
      </c>
      <c r="T40" s="143">
        <v>0</v>
      </c>
      <c r="U40" s="143">
        <f t="shared" si="5"/>
        <v>0</v>
      </c>
      <c r="V40" s="143">
        <f t="shared" si="6"/>
        <v>1028167094</v>
      </c>
      <c r="W40" s="143">
        <f t="shared" si="7"/>
        <v>0</v>
      </c>
      <c r="X40" s="237">
        <f t="shared" si="8"/>
        <v>1028167094</v>
      </c>
      <c r="Y40" s="350">
        <f>B40</f>
        <v>6128</v>
      </c>
      <c r="Z40" s="350">
        <f>C40</f>
        <v>0</v>
      </c>
      <c r="AA40" s="350">
        <f>Z40+Y40</f>
        <v>6128</v>
      </c>
      <c r="AB40" s="350">
        <f>E40</f>
        <v>1028160966</v>
      </c>
      <c r="AC40" s="350">
        <f>F40</f>
        <v>0</v>
      </c>
      <c r="AD40" s="350">
        <f>AC40+AB40</f>
        <v>1028160966</v>
      </c>
      <c r="AE40" s="350">
        <f>H40</f>
        <v>0</v>
      </c>
      <c r="AF40" s="350">
        <f>I40</f>
        <v>0</v>
      </c>
      <c r="AG40" s="350">
        <f>AF40+AE40</f>
        <v>0</v>
      </c>
      <c r="AH40" s="350">
        <f>K40</f>
        <v>0</v>
      </c>
      <c r="AI40" s="350">
        <f>L40</f>
        <v>0</v>
      </c>
      <c r="AJ40" s="350">
        <f>M40</f>
        <v>0</v>
      </c>
      <c r="AK40" s="350">
        <f>AJ40+AI40+AH40</f>
        <v>0</v>
      </c>
      <c r="AL40" s="350">
        <f>O40</f>
        <v>0</v>
      </c>
      <c r="AM40" s="350">
        <f>P40</f>
        <v>0</v>
      </c>
      <c r="AN40" s="350">
        <f>Q40</f>
        <v>0</v>
      </c>
      <c r="AO40" s="350">
        <f>SUM(AL40:AN40)</f>
        <v>0</v>
      </c>
      <c r="AP40" s="350">
        <f>S40</f>
        <v>0</v>
      </c>
      <c r="AQ40" s="350">
        <f>T40</f>
        <v>0</v>
      </c>
      <c r="AR40" s="350">
        <f>SUM(AP40:AQ40)</f>
        <v>0</v>
      </c>
      <c r="AS40" s="350">
        <f t="shared" si="59"/>
        <v>1028167094</v>
      </c>
      <c r="AT40" s="350">
        <f>AI40</f>
        <v>0</v>
      </c>
      <c r="AU40" s="350">
        <f>Z40+AC40+AF40+AJ40+AN40+AQ40</f>
        <v>0</v>
      </c>
      <c r="AV40" s="351">
        <f t="shared" si="10"/>
        <v>1028167094</v>
      </c>
      <c r="AW40" s="431">
        <f t="shared" si="25"/>
        <v>-0.12754955191137562</v>
      </c>
      <c r="AX40" s="431" t="e">
        <f t="shared" si="25"/>
        <v>#DIV/0!</v>
      </c>
      <c r="AY40" s="431" t="e">
        <f t="shared" si="25"/>
        <v>#DIV/0!</v>
      </c>
      <c r="AZ40" s="431">
        <f t="shared" si="25"/>
        <v>-0.12754955191137562</v>
      </c>
    </row>
    <row r="41" spans="1:52">
      <c r="A41" s="138">
        <v>41306</v>
      </c>
      <c r="B41" s="139">
        <v>6161</v>
      </c>
      <c r="C41" s="18">
        <v>0</v>
      </c>
      <c r="D41" s="18">
        <f t="shared" si="0"/>
        <v>6161</v>
      </c>
      <c r="E41" s="18">
        <v>939513797</v>
      </c>
      <c r="F41" s="18">
        <v>0</v>
      </c>
      <c r="G41" s="18">
        <f t="shared" si="1"/>
        <v>939513797</v>
      </c>
      <c r="H41" s="18">
        <v>0</v>
      </c>
      <c r="I41" s="18">
        <v>0</v>
      </c>
      <c r="J41" s="18">
        <f t="shared" si="2"/>
        <v>0</v>
      </c>
      <c r="K41" s="18">
        <v>0</v>
      </c>
      <c r="L41" s="18">
        <v>0</v>
      </c>
      <c r="M41" s="18">
        <v>0</v>
      </c>
      <c r="N41" s="18">
        <f t="shared" si="3"/>
        <v>0</v>
      </c>
      <c r="O41" s="18">
        <v>0</v>
      </c>
      <c r="P41" s="18">
        <v>0</v>
      </c>
      <c r="Q41" s="18">
        <v>0</v>
      </c>
      <c r="R41" s="18">
        <f t="shared" ref="R41:R51" si="62">SUM(O41:Q41)</f>
        <v>0</v>
      </c>
      <c r="S41" s="18">
        <v>0</v>
      </c>
      <c r="T41" s="18">
        <v>0</v>
      </c>
      <c r="U41" s="18">
        <f t="shared" si="5"/>
        <v>0</v>
      </c>
      <c r="V41" s="18">
        <f t="shared" si="6"/>
        <v>939519958</v>
      </c>
      <c r="W41" s="18">
        <f t="shared" si="7"/>
        <v>0</v>
      </c>
      <c r="X41" s="235">
        <f t="shared" si="8"/>
        <v>939519958</v>
      </c>
      <c r="Y41" s="353">
        <f>Y40+B41</f>
        <v>12289</v>
      </c>
      <c r="Z41" s="353">
        <f>Z40+C41</f>
        <v>0</v>
      </c>
      <c r="AA41" s="353">
        <f>Z41+Y41</f>
        <v>12289</v>
      </c>
      <c r="AB41" s="353">
        <f>AB40+E41</f>
        <v>1967674763</v>
      </c>
      <c r="AC41" s="353">
        <f>AC40+F41</f>
        <v>0</v>
      </c>
      <c r="AD41" s="353">
        <f>AC41+AB41</f>
        <v>1967674763</v>
      </c>
      <c r="AE41" s="353">
        <f>AE40+H41</f>
        <v>0</v>
      </c>
      <c r="AF41" s="353">
        <f>AF40+I41</f>
        <v>0</v>
      </c>
      <c r="AG41" s="353">
        <f>AF41+AE41</f>
        <v>0</v>
      </c>
      <c r="AH41" s="353">
        <f>AH40+K41</f>
        <v>0</v>
      </c>
      <c r="AI41" s="353">
        <f t="shared" ref="AI41:AJ51" si="63">AI40+L41</f>
        <v>0</v>
      </c>
      <c r="AJ41" s="353">
        <f t="shared" si="63"/>
        <v>0</v>
      </c>
      <c r="AK41" s="353">
        <f>AJ41+AI41+AH41</f>
        <v>0</v>
      </c>
      <c r="AL41" s="353">
        <f>AL40+O41</f>
        <v>0</v>
      </c>
      <c r="AM41" s="353">
        <f t="shared" ref="AM41:AN51" si="64">AM40+P41</f>
        <v>0</v>
      </c>
      <c r="AN41" s="353">
        <f t="shared" si="64"/>
        <v>0</v>
      </c>
      <c r="AO41" s="353">
        <f t="shared" ref="AO41:AO51" si="65">SUM(AL41:AN41)</f>
        <v>0</v>
      </c>
      <c r="AP41" s="353">
        <f>AP40+S41</f>
        <v>0</v>
      </c>
      <c r="AQ41" s="353">
        <f>AQ40+T41</f>
        <v>0</v>
      </c>
      <c r="AR41" s="353">
        <f>SUM(AP41:AQ41)</f>
        <v>0</v>
      </c>
      <c r="AS41" s="353">
        <f t="shared" si="59"/>
        <v>1967687052</v>
      </c>
      <c r="AT41" s="353">
        <f>AI41</f>
        <v>0</v>
      </c>
      <c r="AU41" s="353">
        <f>Z41+AC41+AF41+AJ41+AN41+AQ41</f>
        <v>0</v>
      </c>
      <c r="AV41" s="354">
        <f t="shared" si="10"/>
        <v>1967687052</v>
      </c>
      <c r="AW41" s="431">
        <f t="shared" si="25"/>
        <v>-0.12872529755412454</v>
      </c>
      <c r="AX41" s="431" t="e">
        <f t="shared" si="25"/>
        <v>#DIV/0!</v>
      </c>
      <c r="AY41" s="431" t="e">
        <f t="shared" si="25"/>
        <v>#DIV/0!</v>
      </c>
      <c r="AZ41" s="431">
        <f t="shared" si="25"/>
        <v>-0.12872529755412454</v>
      </c>
    </row>
    <row r="42" spans="1:52">
      <c r="A42" s="138">
        <v>41334</v>
      </c>
      <c r="B42" s="139">
        <v>0</v>
      </c>
      <c r="C42" s="18">
        <v>0</v>
      </c>
      <c r="D42" s="18">
        <f t="shared" si="0"/>
        <v>0</v>
      </c>
      <c r="E42" s="18">
        <v>1034306785</v>
      </c>
      <c r="F42" s="18">
        <v>0</v>
      </c>
      <c r="G42" s="18">
        <f t="shared" si="1"/>
        <v>1034306785</v>
      </c>
      <c r="H42" s="18">
        <v>0</v>
      </c>
      <c r="I42" s="18">
        <v>0</v>
      </c>
      <c r="J42" s="18">
        <f t="shared" si="2"/>
        <v>0</v>
      </c>
      <c r="K42" s="18">
        <v>0</v>
      </c>
      <c r="L42" s="18">
        <v>287085</v>
      </c>
      <c r="M42" s="18">
        <v>0</v>
      </c>
      <c r="N42" s="18">
        <f t="shared" si="3"/>
        <v>287085</v>
      </c>
      <c r="O42" s="18">
        <v>0</v>
      </c>
      <c r="P42" s="18">
        <v>0</v>
      </c>
      <c r="Q42" s="18">
        <v>0</v>
      </c>
      <c r="R42" s="18">
        <f t="shared" si="62"/>
        <v>0</v>
      </c>
      <c r="S42" s="18">
        <v>0</v>
      </c>
      <c r="T42" s="18">
        <v>0</v>
      </c>
      <c r="U42" s="18">
        <f t="shared" si="5"/>
        <v>0</v>
      </c>
      <c r="V42" s="18">
        <f t="shared" si="6"/>
        <v>1034306785</v>
      </c>
      <c r="W42" s="18">
        <f t="shared" si="7"/>
        <v>0</v>
      </c>
      <c r="X42" s="235">
        <f t="shared" si="8"/>
        <v>1034306785</v>
      </c>
      <c r="Y42" s="353">
        <f t="shared" ref="Y42:Z51" si="66">Y41+B42</f>
        <v>12289</v>
      </c>
      <c r="Z42" s="353">
        <f t="shared" si="66"/>
        <v>0</v>
      </c>
      <c r="AA42" s="353">
        <f t="shared" ref="AA42:AA51" si="67">Z42+Y42</f>
        <v>12289</v>
      </c>
      <c r="AB42" s="353">
        <f t="shared" ref="AB42:AC51" si="68">AB41+E42</f>
        <v>3001981548</v>
      </c>
      <c r="AC42" s="353">
        <f t="shared" si="68"/>
        <v>0</v>
      </c>
      <c r="AD42" s="353">
        <f t="shared" ref="AD42:AD51" si="69">AC42+AB42</f>
        <v>3001981548</v>
      </c>
      <c r="AE42" s="353">
        <f t="shared" ref="AE42:AF51" si="70">AE41+H42</f>
        <v>0</v>
      </c>
      <c r="AF42" s="353">
        <f t="shared" si="70"/>
        <v>0</v>
      </c>
      <c r="AG42" s="353">
        <f t="shared" ref="AG42:AG51" si="71">AF42+AE42</f>
        <v>0</v>
      </c>
      <c r="AH42" s="353">
        <f t="shared" ref="AH42:AH51" si="72">AH41+K42</f>
        <v>0</v>
      </c>
      <c r="AI42" s="353">
        <f t="shared" si="63"/>
        <v>287085</v>
      </c>
      <c r="AJ42" s="353">
        <f t="shared" si="63"/>
        <v>0</v>
      </c>
      <c r="AK42" s="353">
        <f t="shared" ref="AK42:AK51" si="73">AJ42+AI42+AH42</f>
        <v>287085</v>
      </c>
      <c r="AL42" s="353">
        <f t="shared" ref="AL42:AL51" si="74">AL41+O42</f>
        <v>0</v>
      </c>
      <c r="AM42" s="353">
        <f t="shared" si="64"/>
        <v>0</v>
      </c>
      <c r="AN42" s="353">
        <f t="shared" si="64"/>
        <v>0</v>
      </c>
      <c r="AO42" s="353">
        <f t="shared" si="65"/>
        <v>0</v>
      </c>
      <c r="AP42" s="353">
        <f t="shared" ref="AP42:AQ51" si="75">AP41+S42</f>
        <v>0</v>
      </c>
      <c r="AQ42" s="353">
        <f t="shared" si="75"/>
        <v>0</v>
      </c>
      <c r="AR42" s="353">
        <f t="shared" ref="AR42:AR51" si="76">SUM(AP42:AQ42)</f>
        <v>0</v>
      </c>
      <c r="AS42" s="353">
        <f t="shared" si="59"/>
        <v>3001993837</v>
      </c>
      <c r="AT42" s="353">
        <f t="shared" ref="AT42:AT51" si="77">AI42</f>
        <v>287085</v>
      </c>
      <c r="AU42" s="353">
        <f t="shared" ref="AU42:AU51" si="78">Z42+AC42+AF42+AJ42+AN42+AQ42</f>
        <v>0</v>
      </c>
      <c r="AV42" s="354">
        <f t="shared" si="10"/>
        <v>3002280922</v>
      </c>
      <c r="AW42" s="431">
        <f t="shared" si="25"/>
        <v>-0.11583086378844587</v>
      </c>
      <c r="AX42" s="431" t="e">
        <f t="shared" si="25"/>
        <v>#DIV/0!</v>
      </c>
      <c r="AY42" s="431" t="e">
        <f t="shared" si="25"/>
        <v>#DIV/0!</v>
      </c>
      <c r="AZ42" s="431">
        <f t="shared" si="25"/>
        <v>-0.11574630941883302</v>
      </c>
    </row>
    <row r="43" spans="1:52">
      <c r="A43" s="138">
        <v>41365</v>
      </c>
      <c r="B43" s="139">
        <v>89168</v>
      </c>
      <c r="C43" s="18">
        <v>0</v>
      </c>
      <c r="D43" s="18">
        <f t="shared" si="0"/>
        <v>89168</v>
      </c>
      <c r="E43" s="18">
        <v>1085559590</v>
      </c>
      <c r="F43" s="18">
        <v>0</v>
      </c>
      <c r="G43" s="18">
        <f t="shared" si="1"/>
        <v>1085559590</v>
      </c>
      <c r="H43" s="18">
        <v>0</v>
      </c>
      <c r="I43" s="18">
        <v>0</v>
      </c>
      <c r="J43" s="18">
        <f t="shared" si="2"/>
        <v>0</v>
      </c>
      <c r="K43" s="18">
        <v>0</v>
      </c>
      <c r="L43" s="18">
        <v>1231</v>
      </c>
      <c r="M43" s="18">
        <v>0</v>
      </c>
      <c r="N43" s="18">
        <f t="shared" si="3"/>
        <v>1231</v>
      </c>
      <c r="O43" s="18">
        <v>0</v>
      </c>
      <c r="P43" s="18">
        <v>0</v>
      </c>
      <c r="Q43" s="18">
        <v>0</v>
      </c>
      <c r="R43" s="18">
        <f t="shared" si="62"/>
        <v>0</v>
      </c>
      <c r="S43" s="18">
        <v>0</v>
      </c>
      <c r="T43" s="18">
        <v>0</v>
      </c>
      <c r="U43" s="18">
        <f t="shared" si="5"/>
        <v>0</v>
      </c>
      <c r="V43" s="18">
        <f t="shared" si="6"/>
        <v>1085648758</v>
      </c>
      <c r="W43" s="18">
        <f t="shared" si="7"/>
        <v>0</v>
      </c>
      <c r="X43" s="235">
        <f t="shared" si="8"/>
        <v>1085648758</v>
      </c>
      <c r="Y43" s="353">
        <f t="shared" si="66"/>
        <v>101457</v>
      </c>
      <c r="Z43" s="353">
        <f t="shared" si="66"/>
        <v>0</v>
      </c>
      <c r="AA43" s="353">
        <f t="shared" si="67"/>
        <v>101457</v>
      </c>
      <c r="AB43" s="353">
        <f t="shared" si="68"/>
        <v>4087541138</v>
      </c>
      <c r="AC43" s="353">
        <f t="shared" si="68"/>
        <v>0</v>
      </c>
      <c r="AD43" s="353">
        <f t="shared" si="69"/>
        <v>4087541138</v>
      </c>
      <c r="AE43" s="353">
        <f t="shared" si="70"/>
        <v>0</v>
      </c>
      <c r="AF43" s="353">
        <f t="shared" si="70"/>
        <v>0</v>
      </c>
      <c r="AG43" s="353">
        <f t="shared" si="71"/>
        <v>0</v>
      </c>
      <c r="AH43" s="353">
        <f t="shared" si="72"/>
        <v>0</v>
      </c>
      <c r="AI43" s="353">
        <f t="shared" si="63"/>
        <v>288316</v>
      </c>
      <c r="AJ43" s="353">
        <f t="shared" si="63"/>
        <v>0</v>
      </c>
      <c r="AK43" s="353">
        <f t="shared" si="73"/>
        <v>288316</v>
      </c>
      <c r="AL43" s="353">
        <f t="shared" si="74"/>
        <v>0</v>
      </c>
      <c r="AM43" s="353">
        <f t="shared" si="64"/>
        <v>0</v>
      </c>
      <c r="AN43" s="353">
        <f t="shared" si="64"/>
        <v>0</v>
      </c>
      <c r="AO43" s="353">
        <f t="shared" si="65"/>
        <v>0</v>
      </c>
      <c r="AP43" s="353">
        <f t="shared" si="75"/>
        <v>0</v>
      </c>
      <c r="AQ43" s="353">
        <f t="shared" si="75"/>
        <v>0</v>
      </c>
      <c r="AR43" s="353">
        <f t="shared" si="76"/>
        <v>0</v>
      </c>
      <c r="AS43" s="353">
        <f t="shared" si="59"/>
        <v>4087642595</v>
      </c>
      <c r="AT43" s="353">
        <f t="shared" si="77"/>
        <v>288316</v>
      </c>
      <c r="AU43" s="353">
        <f t="shared" si="78"/>
        <v>0</v>
      </c>
      <c r="AV43" s="354">
        <f t="shared" si="10"/>
        <v>4087930911</v>
      </c>
      <c r="AW43" s="431">
        <f t="shared" si="25"/>
        <v>-8.9908997167047144E-2</v>
      </c>
      <c r="AX43" s="431" t="e">
        <f t="shared" si="25"/>
        <v>#DIV/0!</v>
      </c>
      <c r="AY43" s="431" t="e">
        <f t="shared" si="25"/>
        <v>#DIV/0!</v>
      </c>
      <c r="AZ43" s="431">
        <f t="shared" si="25"/>
        <v>-8.9844805205182898E-2</v>
      </c>
    </row>
    <row r="44" spans="1:52">
      <c r="A44" s="138">
        <v>41395</v>
      </c>
      <c r="B44" s="139">
        <v>51184</v>
      </c>
      <c r="C44" s="18">
        <v>0</v>
      </c>
      <c r="D44" s="18">
        <f t="shared" si="0"/>
        <v>51184</v>
      </c>
      <c r="E44" s="18">
        <v>1140894814</v>
      </c>
      <c r="F44" s="18">
        <v>0</v>
      </c>
      <c r="G44" s="18">
        <f t="shared" si="1"/>
        <v>1140894814</v>
      </c>
      <c r="H44" s="18">
        <v>0</v>
      </c>
      <c r="I44" s="18">
        <v>0</v>
      </c>
      <c r="J44" s="18">
        <f t="shared" si="2"/>
        <v>0</v>
      </c>
      <c r="K44" s="18">
        <v>0</v>
      </c>
      <c r="L44" s="18">
        <v>13158240</v>
      </c>
      <c r="M44" s="18">
        <v>0</v>
      </c>
      <c r="N44" s="18">
        <f t="shared" si="3"/>
        <v>13158240</v>
      </c>
      <c r="O44" s="18">
        <v>0</v>
      </c>
      <c r="P44" s="18">
        <v>0</v>
      </c>
      <c r="Q44" s="18">
        <v>0</v>
      </c>
      <c r="R44" s="18">
        <f t="shared" si="62"/>
        <v>0</v>
      </c>
      <c r="S44" s="18">
        <v>0</v>
      </c>
      <c r="T44" s="18">
        <v>0</v>
      </c>
      <c r="U44" s="18">
        <f t="shared" si="5"/>
        <v>0</v>
      </c>
      <c r="V44" s="18">
        <f t="shared" si="6"/>
        <v>1140945998</v>
      </c>
      <c r="W44" s="18">
        <f t="shared" si="7"/>
        <v>0</v>
      </c>
      <c r="X44" s="235">
        <f t="shared" si="8"/>
        <v>1140945998</v>
      </c>
      <c r="Y44" s="353">
        <f t="shared" si="66"/>
        <v>152641</v>
      </c>
      <c r="Z44" s="353">
        <f t="shared" si="66"/>
        <v>0</v>
      </c>
      <c r="AA44" s="353">
        <f t="shared" si="67"/>
        <v>152641</v>
      </c>
      <c r="AB44" s="353">
        <f t="shared" si="68"/>
        <v>5228435952</v>
      </c>
      <c r="AC44" s="353">
        <f t="shared" si="68"/>
        <v>0</v>
      </c>
      <c r="AD44" s="353">
        <f t="shared" si="69"/>
        <v>5228435952</v>
      </c>
      <c r="AE44" s="353">
        <f t="shared" si="70"/>
        <v>0</v>
      </c>
      <c r="AF44" s="353">
        <f t="shared" si="70"/>
        <v>0</v>
      </c>
      <c r="AG44" s="353">
        <f t="shared" si="71"/>
        <v>0</v>
      </c>
      <c r="AH44" s="353">
        <f t="shared" si="72"/>
        <v>0</v>
      </c>
      <c r="AI44" s="353">
        <f t="shared" si="63"/>
        <v>13446556</v>
      </c>
      <c r="AJ44" s="353">
        <f t="shared" si="63"/>
        <v>0</v>
      </c>
      <c r="AK44" s="353">
        <f t="shared" si="73"/>
        <v>13446556</v>
      </c>
      <c r="AL44" s="353">
        <f t="shared" si="74"/>
        <v>0</v>
      </c>
      <c r="AM44" s="353">
        <f t="shared" si="64"/>
        <v>0</v>
      </c>
      <c r="AN44" s="353">
        <f t="shared" si="64"/>
        <v>0</v>
      </c>
      <c r="AO44" s="353">
        <f t="shared" si="65"/>
        <v>0</v>
      </c>
      <c r="AP44" s="353">
        <f t="shared" si="75"/>
        <v>0</v>
      </c>
      <c r="AQ44" s="353">
        <f t="shared" si="75"/>
        <v>0</v>
      </c>
      <c r="AR44" s="353">
        <f t="shared" si="76"/>
        <v>0</v>
      </c>
      <c r="AS44" s="353">
        <f t="shared" si="59"/>
        <v>5228588593</v>
      </c>
      <c r="AT44" s="353">
        <f t="shared" si="77"/>
        <v>13446556</v>
      </c>
      <c r="AU44" s="353">
        <f t="shared" si="78"/>
        <v>0</v>
      </c>
      <c r="AV44" s="354">
        <f t="shared" si="10"/>
        <v>5242035149</v>
      </c>
      <c r="AW44" s="431">
        <f t="shared" si="25"/>
        <v>-7.0206364946605704E-2</v>
      </c>
      <c r="AX44" s="431" t="e">
        <f t="shared" si="25"/>
        <v>#DIV/0!</v>
      </c>
      <c r="AY44" s="431" t="e">
        <f t="shared" si="25"/>
        <v>#DIV/0!</v>
      </c>
      <c r="AZ44" s="431">
        <f t="shared" si="25"/>
        <v>-6.7815180029336286E-2</v>
      </c>
    </row>
    <row r="45" spans="1:52">
      <c r="A45" s="138">
        <v>41426</v>
      </c>
      <c r="B45" s="139">
        <v>67324</v>
      </c>
      <c r="C45" s="18">
        <v>0</v>
      </c>
      <c r="D45" s="18">
        <f t="shared" si="0"/>
        <v>67324</v>
      </c>
      <c r="E45" s="18">
        <v>1103586859</v>
      </c>
      <c r="F45" s="18">
        <v>0</v>
      </c>
      <c r="G45" s="18">
        <f t="shared" si="1"/>
        <v>1103586859</v>
      </c>
      <c r="H45" s="18">
        <v>0</v>
      </c>
      <c r="I45" s="18">
        <v>0</v>
      </c>
      <c r="J45" s="18">
        <f t="shared" si="2"/>
        <v>0</v>
      </c>
      <c r="K45" s="18">
        <v>0</v>
      </c>
      <c r="L45" s="18">
        <v>11275975</v>
      </c>
      <c r="M45" s="18">
        <v>0</v>
      </c>
      <c r="N45" s="18">
        <f t="shared" si="3"/>
        <v>11275975</v>
      </c>
      <c r="O45" s="18">
        <v>0</v>
      </c>
      <c r="P45" s="18">
        <v>0</v>
      </c>
      <c r="Q45" s="18">
        <v>0</v>
      </c>
      <c r="R45" s="18">
        <f t="shared" si="62"/>
        <v>0</v>
      </c>
      <c r="S45" s="18">
        <v>0</v>
      </c>
      <c r="T45" s="18">
        <v>0</v>
      </c>
      <c r="U45" s="18">
        <f t="shared" si="5"/>
        <v>0</v>
      </c>
      <c r="V45" s="18">
        <f t="shared" si="6"/>
        <v>1103654183</v>
      </c>
      <c r="W45" s="18">
        <f t="shared" si="7"/>
        <v>0</v>
      </c>
      <c r="X45" s="235">
        <f t="shared" si="8"/>
        <v>1103654183</v>
      </c>
      <c r="Y45" s="353">
        <f t="shared" si="66"/>
        <v>219965</v>
      </c>
      <c r="Z45" s="353">
        <f t="shared" si="66"/>
        <v>0</v>
      </c>
      <c r="AA45" s="353">
        <f t="shared" si="67"/>
        <v>219965</v>
      </c>
      <c r="AB45" s="353">
        <f t="shared" si="68"/>
        <v>6332022811</v>
      </c>
      <c r="AC45" s="353">
        <f t="shared" si="68"/>
        <v>0</v>
      </c>
      <c r="AD45" s="353">
        <f t="shared" si="69"/>
        <v>6332022811</v>
      </c>
      <c r="AE45" s="353">
        <f t="shared" si="70"/>
        <v>0</v>
      </c>
      <c r="AF45" s="353">
        <f t="shared" si="70"/>
        <v>0</v>
      </c>
      <c r="AG45" s="353">
        <f t="shared" si="71"/>
        <v>0</v>
      </c>
      <c r="AH45" s="353">
        <f t="shared" si="72"/>
        <v>0</v>
      </c>
      <c r="AI45" s="353">
        <f t="shared" si="63"/>
        <v>24722531</v>
      </c>
      <c r="AJ45" s="353">
        <f t="shared" si="63"/>
        <v>0</v>
      </c>
      <c r="AK45" s="353">
        <f t="shared" si="73"/>
        <v>24722531</v>
      </c>
      <c r="AL45" s="353">
        <f t="shared" si="74"/>
        <v>0</v>
      </c>
      <c r="AM45" s="353">
        <f t="shared" si="64"/>
        <v>0</v>
      </c>
      <c r="AN45" s="353">
        <f t="shared" si="64"/>
        <v>0</v>
      </c>
      <c r="AO45" s="353">
        <f t="shared" si="65"/>
        <v>0</v>
      </c>
      <c r="AP45" s="353">
        <f t="shared" si="75"/>
        <v>0</v>
      </c>
      <c r="AQ45" s="353">
        <f t="shared" si="75"/>
        <v>0</v>
      </c>
      <c r="AR45" s="353">
        <f t="shared" si="76"/>
        <v>0</v>
      </c>
      <c r="AS45" s="353">
        <f t="shared" si="59"/>
        <v>6332242776</v>
      </c>
      <c r="AT45" s="353">
        <f t="shared" si="77"/>
        <v>24722531</v>
      </c>
      <c r="AU45" s="353">
        <f t="shared" si="78"/>
        <v>0</v>
      </c>
      <c r="AV45" s="354">
        <f t="shared" si="10"/>
        <v>6356965307</v>
      </c>
      <c r="AW45" s="431">
        <f t="shared" si="25"/>
        <v>-5.6154248188790445E-2</v>
      </c>
      <c r="AX45" s="431" t="e">
        <f t="shared" si="25"/>
        <v>#DIV/0!</v>
      </c>
      <c r="AY45" s="431" t="e">
        <f t="shared" si="25"/>
        <v>#DIV/0!</v>
      </c>
      <c r="AZ45" s="431">
        <f t="shared" si="25"/>
        <v>-5.2469257470050046E-2</v>
      </c>
    </row>
    <row r="46" spans="1:52">
      <c r="A46" s="138">
        <v>41456</v>
      </c>
      <c r="B46" s="139">
        <v>212273</v>
      </c>
      <c r="C46" s="18">
        <v>0</v>
      </c>
      <c r="D46" s="18">
        <f t="shared" si="0"/>
        <v>212273</v>
      </c>
      <c r="E46" s="18">
        <v>1119553179</v>
      </c>
      <c r="F46" s="18">
        <v>0</v>
      </c>
      <c r="G46" s="18">
        <f t="shared" si="1"/>
        <v>1119553179</v>
      </c>
      <c r="H46" s="18">
        <v>11691</v>
      </c>
      <c r="I46" s="18">
        <v>0</v>
      </c>
      <c r="J46" s="18">
        <f t="shared" si="2"/>
        <v>11691</v>
      </c>
      <c r="K46" s="18">
        <v>0</v>
      </c>
      <c r="L46" s="18">
        <v>16695520</v>
      </c>
      <c r="M46" s="18">
        <v>0</v>
      </c>
      <c r="N46" s="18">
        <f t="shared" si="3"/>
        <v>16695520</v>
      </c>
      <c r="O46" s="18">
        <v>0</v>
      </c>
      <c r="P46" s="18">
        <v>0</v>
      </c>
      <c r="Q46" s="18">
        <v>0</v>
      </c>
      <c r="R46" s="18">
        <f t="shared" si="62"/>
        <v>0</v>
      </c>
      <c r="S46" s="18">
        <v>0</v>
      </c>
      <c r="T46" s="18">
        <v>0</v>
      </c>
      <c r="U46" s="18">
        <f t="shared" si="5"/>
        <v>0</v>
      </c>
      <c r="V46" s="18">
        <f t="shared" si="6"/>
        <v>1119777143</v>
      </c>
      <c r="W46" s="18">
        <f t="shared" si="7"/>
        <v>0</v>
      </c>
      <c r="X46" s="235">
        <f t="shared" si="8"/>
        <v>1119777143</v>
      </c>
      <c r="Y46" s="353">
        <f t="shared" si="66"/>
        <v>432238</v>
      </c>
      <c r="Z46" s="353">
        <f t="shared" si="66"/>
        <v>0</v>
      </c>
      <c r="AA46" s="353">
        <f t="shared" si="67"/>
        <v>432238</v>
      </c>
      <c r="AB46" s="353">
        <f t="shared" si="68"/>
        <v>7451575990</v>
      </c>
      <c r="AC46" s="353">
        <f t="shared" si="68"/>
        <v>0</v>
      </c>
      <c r="AD46" s="353">
        <f t="shared" si="69"/>
        <v>7451575990</v>
      </c>
      <c r="AE46" s="353">
        <f t="shared" si="70"/>
        <v>11691</v>
      </c>
      <c r="AF46" s="353">
        <f t="shared" si="70"/>
        <v>0</v>
      </c>
      <c r="AG46" s="353">
        <f t="shared" si="71"/>
        <v>11691</v>
      </c>
      <c r="AH46" s="353">
        <f t="shared" si="72"/>
        <v>0</v>
      </c>
      <c r="AI46" s="353">
        <f t="shared" si="63"/>
        <v>41418051</v>
      </c>
      <c r="AJ46" s="353">
        <f t="shared" si="63"/>
        <v>0</v>
      </c>
      <c r="AK46" s="353">
        <f t="shared" si="73"/>
        <v>41418051</v>
      </c>
      <c r="AL46" s="353">
        <f t="shared" si="74"/>
        <v>0</v>
      </c>
      <c r="AM46" s="353">
        <f t="shared" si="64"/>
        <v>0</v>
      </c>
      <c r="AN46" s="353">
        <f t="shared" si="64"/>
        <v>0</v>
      </c>
      <c r="AO46" s="353">
        <f t="shared" si="65"/>
        <v>0</v>
      </c>
      <c r="AP46" s="353">
        <f t="shared" si="75"/>
        <v>0</v>
      </c>
      <c r="AQ46" s="353">
        <f t="shared" si="75"/>
        <v>0</v>
      </c>
      <c r="AR46" s="353">
        <f t="shared" si="76"/>
        <v>0</v>
      </c>
      <c r="AS46" s="353">
        <f t="shared" si="59"/>
        <v>7452019919</v>
      </c>
      <c r="AT46" s="353">
        <f t="shared" si="77"/>
        <v>41418051</v>
      </c>
      <c r="AU46" s="353">
        <f t="shared" si="78"/>
        <v>0</v>
      </c>
      <c r="AV46" s="354">
        <f t="shared" si="10"/>
        <v>7493437970</v>
      </c>
      <c r="AW46" s="431">
        <f t="shared" si="25"/>
        <v>-4.0450932595214373E-2</v>
      </c>
      <c r="AX46" s="431" t="e">
        <f t="shared" si="25"/>
        <v>#DIV/0!</v>
      </c>
      <c r="AY46" s="431" t="e">
        <f t="shared" si="25"/>
        <v>#DIV/0!</v>
      </c>
      <c r="AZ46" s="431">
        <f t="shared" si="25"/>
        <v>-3.5117794379970979E-2</v>
      </c>
    </row>
    <row r="47" spans="1:52">
      <c r="A47" s="138">
        <v>41487</v>
      </c>
      <c r="B47" s="139">
        <v>0</v>
      </c>
      <c r="C47" s="18">
        <v>2764118</v>
      </c>
      <c r="D47" s="18">
        <f t="shared" si="0"/>
        <v>2764118</v>
      </c>
      <c r="E47" s="18">
        <v>1102723346</v>
      </c>
      <c r="F47" s="18">
        <v>0</v>
      </c>
      <c r="G47" s="18">
        <f t="shared" si="1"/>
        <v>1102723346</v>
      </c>
      <c r="H47" s="18">
        <v>0</v>
      </c>
      <c r="I47" s="18">
        <v>0</v>
      </c>
      <c r="J47" s="18">
        <f t="shared" si="2"/>
        <v>0</v>
      </c>
      <c r="K47" s="18">
        <v>0</v>
      </c>
      <c r="L47" s="18">
        <v>13312037</v>
      </c>
      <c r="M47" s="18">
        <v>0</v>
      </c>
      <c r="N47" s="18">
        <f t="shared" si="3"/>
        <v>13312037</v>
      </c>
      <c r="O47" s="18">
        <v>0</v>
      </c>
      <c r="P47" s="18">
        <v>0</v>
      </c>
      <c r="Q47" s="18">
        <v>0</v>
      </c>
      <c r="R47" s="18">
        <f t="shared" si="62"/>
        <v>0</v>
      </c>
      <c r="S47" s="18">
        <v>0</v>
      </c>
      <c r="T47" s="18">
        <v>0</v>
      </c>
      <c r="U47" s="18">
        <f t="shared" si="5"/>
        <v>0</v>
      </c>
      <c r="V47" s="18">
        <f t="shared" si="6"/>
        <v>1102723346</v>
      </c>
      <c r="W47" s="18">
        <f t="shared" si="7"/>
        <v>2764118</v>
      </c>
      <c r="X47" s="235">
        <f t="shared" si="8"/>
        <v>1105487464</v>
      </c>
      <c r="Y47" s="353">
        <f t="shared" si="66"/>
        <v>432238</v>
      </c>
      <c r="Z47" s="353">
        <f t="shared" si="66"/>
        <v>2764118</v>
      </c>
      <c r="AA47" s="353">
        <f t="shared" si="67"/>
        <v>3196356</v>
      </c>
      <c r="AB47" s="353">
        <f t="shared" si="68"/>
        <v>8554299336</v>
      </c>
      <c r="AC47" s="353">
        <f t="shared" si="68"/>
        <v>0</v>
      </c>
      <c r="AD47" s="353">
        <f t="shared" si="69"/>
        <v>8554299336</v>
      </c>
      <c r="AE47" s="353">
        <f t="shared" si="70"/>
        <v>11691</v>
      </c>
      <c r="AF47" s="353">
        <f t="shared" si="70"/>
        <v>0</v>
      </c>
      <c r="AG47" s="353">
        <f t="shared" si="71"/>
        <v>11691</v>
      </c>
      <c r="AH47" s="353">
        <f t="shared" si="72"/>
        <v>0</v>
      </c>
      <c r="AI47" s="353">
        <f t="shared" si="63"/>
        <v>54730088</v>
      </c>
      <c r="AJ47" s="353">
        <f t="shared" si="63"/>
        <v>0</v>
      </c>
      <c r="AK47" s="353">
        <f t="shared" si="73"/>
        <v>54730088</v>
      </c>
      <c r="AL47" s="353">
        <f t="shared" si="74"/>
        <v>0</v>
      </c>
      <c r="AM47" s="353">
        <f t="shared" si="64"/>
        <v>0</v>
      </c>
      <c r="AN47" s="353">
        <f t="shared" si="64"/>
        <v>0</v>
      </c>
      <c r="AO47" s="353">
        <f t="shared" si="65"/>
        <v>0</v>
      </c>
      <c r="AP47" s="353">
        <f t="shared" si="75"/>
        <v>0</v>
      </c>
      <c r="AQ47" s="353">
        <f t="shared" si="75"/>
        <v>0</v>
      </c>
      <c r="AR47" s="353">
        <f t="shared" si="76"/>
        <v>0</v>
      </c>
      <c r="AS47" s="353">
        <f t="shared" si="59"/>
        <v>8554743265</v>
      </c>
      <c r="AT47" s="353">
        <f t="shared" si="77"/>
        <v>54730088</v>
      </c>
      <c r="AU47" s="353">
        <f t="shared" si="78"/>
        <v>2764118</v>
      </c>
      <c r="AV47" s="354">
        <f t="shared" si="10"/>
        <v>8612237471</v>
      </c>
      <c r="AW47" s="431">
        <f t="shared" si="25"/>
        <v>-3.4699169297643939E-2</v>
      </c>
      <c r="AX47" s="431" t="e">
        <f t="shared" si="25"/>
        <v>#DIV/0!</v>
      </c>
      <c r="AY47" s="431" t="e">
        <f t="shared" si="25"/>
        <v>#DIV/0!</v>
      </c>
      <c r="AZ47" s="431">
        <f t="shared" si="25"/>
        <v>-2.821163330817289E-2</v>
      </c>
    </row>
    <row r="48" spans="1:52">
      <c r="A48" s="138">
        <v>41518</v>
      </c>
      <c r="B48" s="139">
        <v>68564</v>
      </c>
      <c r="C48" s="18">
        <v>9548508</v>
      </c>
      <c r="D48" s="18">
        <f t="shared" si="0"/>
        <v>9617072</v>
      </c>
      <c r="E48" s="18">
        <v>1068584497</v>
      </c>
      <c r="F48" s="18">
        <v>0</v>
      </c>
      <c r="G48" s="18">
        <f t="shared" si="1"/>
        <v>1068584497</v>
      </c>
      <c r="H48" s="18">
        <v>0</v>
      </c>
      <c r="I48" s="18">
        <v>0</v>
      </c>
      <c r="J48" s="18">
        <f t="shared" si="2"/>
        <v>0</v>
      </c>
      <c r="K48" s="18">
        <v>0</v>
      </c>
      <c r="L48" s="18">
        <v>17627473</v>
      </c>
      <c r="M48" s="18">
        <v>0</v>
      </c>
      <c r="N48" s="18">
        <f t="shared" si="3"/>
        <v>17627473</v>
      </c>
      <c r="O48" s="18">
        <v>0</v>
      </c>
      <c r="P48" s="18">
        <v>0</v>
      </c>
      <c r="Q48" s="18">
        <v>0</v>
      </c>
      <c r="R48" s="18">
        <f t="shared" si="62"/>
        <v>0</v>
      </c>
      <c r="S48" s="18">
        <v>0</v>
      </c>
      <c r="T48" s="18">
        <v>0</v>
      </c>
      <c r="U48" s="18">
        <f t="shared" si="5"/>
        <v>0</v>
      </c>
      <c r="V48" s="18">
        <f t="shared" si="6"/>
        <v>1068653061</v>
      </c>
      <c r="W48" s="18">
        <f t="shared" si="7"/>
        <v>9548508</v>
      </c>
      <c r="X48" s="235">
        <f t="shared" si="8"/>
        <v>1078201569</v>
      </c>
      <c r="Y48" s="353">
        <f t="shared" si="66"/>
        <v>500802</v>
      </c>
      <c r="Z48" s="353">
        <f t="shared" si="66"/>
        <v>12312626</v>
      </c>
      <c r="AA48" s="353">
        <f t="shared" si="67"/>
        <v>12813428</v>
      </c>
      <c r="AB48" s="353">
        <f t="shared" si="68"/>
        <v>9622883833</v>
      </c>
      <c r="AC48" s="353">
        <f t="shared" si="68"/>
        <v>0</v>
      </c>
      <c r="AD48" s="353">
        <f t="shared" si="69"/>
        <v>9622883833</v>
      </c>
      <c r="AE48" s="353">
        <f t="shared" si="70"/>
        <v>11691</v>
      </c>
      <c r="AF48" s="353">
        <f t="shared" si="70"/>
        <v>0</v>
      </c>
      <c r="AG48" s="353">
        <f t="shared" si="71"/>
        <v>11691</v>
      </c>
      <c r="AH48" s="353">
        <f t="shared" si="72"/>
        <v>0</v>
      </c>
      <c r="AI48" s="353">
        <f t="shared" si="63"/>
        <v>72357561</v>
      </c>
      <c r="AJ48" s="353">
        <f t="shared" si="63"/>
        <v>0</v>
      </c>
      <c r="AK48" s="353">
        <f t="shared" si="73"/>
        <v>72357561</v>
      </c>
      <c r="AL48" s="353">
        <f t="shared" si="74"/>
        <v>0</v>
      </c>
      <c r="AM48" s="353">
        <f t="shared" si="64"/>
        <v>0</v>
      </c>
      <c r="AN48" s="353">
        <f t="shared" si="64"/>
        <v>0</v>
      </c>
      <c r="AO48" s="353">
        <f t="shared" si="65"/>
        <v>0</v>
      </c>
      <c r="AP48" s="353">
        <f t="shared" si="75"/>
        <v>0</v>
      </c>
      <c r="AQ48" s="353">
        <f t="shared" si="75"/>
        <v>0</v>
      </c>
      <c r="AR48" s="353">
        <f t="shared" si="76"/>
        <v>0</v>
      </c>
      <c r="AS48" s="353">
        <f t="shared" si="59"/>
        <v>9623396326</v>
      </c>
      <c r="AT48" s="353">
        <f t="shared" si="77"/>
        <v>72357561</v>
      </c>
      <c r="AU48" s="353">
        <f t="shared" si="78"/>
        <v>12312626</v>
      </c>
      <c r="AV48" s="354">
        <f t="shared" si="10"/>
        <v>9708066513</v>
      </c>
      <c r="AW48" s="431">
        <f t="shared" si="25"/>
        <v>-2.282151646799857E-2</v>
      </c>
      <c r="AX48" s="431" t="e">
        <f t="shared" si="25"/>
        <v>#DIV/0!</v>
      </c>
      <c r="AY48" s="431" t="e">
        <f t="shared" si="25"/>
        <v>#DIV/0!</v>
      </c>
      <c r="AZ48" s="431">
        <f t="shared" si="25"/>
        <v>-1.4223940089532872E-2</v>
      </c>
    </row>
    <row r="49" spans="1:52">
      <c r="A49" s="138">
        <v>41548</v>
      </c>
      <c r="B49" s="139">
        <v>1353829</v>
      </c>
      <c r="C49" s="18">
        <v>4177404</v>
      </c>
      <c r="D49" s="18">
        <f t="shared" si="0"/>
        <v>5531233</v>
      </c>
      <c r="E49" s="18">
        <v>1151767493</v>
      </c>
      <c r="F49" s="18">
        <v>0</v>
      </c>
      <c r="G49" s="18">
        <f t="shared" si="1"/>
        <v>1151767493</v>
      </c>
      <c r="H49" s="18">
        <v>0</v>
      </c>
      <c r="I49" s="18">
        <v>0</v>
      </c>
      <c r="J49" s="18">
        <f t="shared" si="2"/>
        <v>0</v>
      </c>
      <c r="K49" s="18">
        <v>0</v>
      </c>
      <c r="L49" s="18">
        <v>14839972</v>
      </c>
      <c r="M49" s="18">
        <v>0</v>
      </c>
      <c r="N49" s="18">
        <f t="shared" si="3"/>
        <v>14839972</v>
      </c>
      <c r="O49" s="18">
        <v>0</v>
      </c>
      <c r="P49" s="18">
        <v>0</v>
      </c>
      <c r="Q49" s="18">
        <v>0</v>
      </c>
      <c r="R49" s="18">
        <f t="shared" si="62"/>
        <v>0</v>
      </c>
      <c r="S49" s="18">
        <v>0</v>
      </c>
      <c r="T49" s="18">
        <v>0</v>
      </c>
      <c r="U49" s="18">
        <f t="shared" si="5"/>
        <v>0</v>
      </c>
      <c r="V49" s="18">
        <f t="shared" si="6"/>
        <v>1153121322</v>
      </c>
      <c r="W49" s="18">
        <f t="shared" si="7"/>
        <v>4177404</v>
      </c>
      <c r="X49" s="235">
        <f t="shared" si="8"/>
        <v>1157298726</v>
      </c>
      <c r="Y49" s="353">
        <f t="shared" si="66"/>
        <v>1854631</v>
      </c>
      <c r="Z49" s="353">
        <f t="shared" si="66"/>
        <v>16490030</v>
      </c>
      <c r="AA49" s="353">
        <f t="shared" si="67"/>
        <v>18344661</v>
      </c>
      <c r="AB49" s="353">
        <f t="shared" si="68"/>
        <v>10774651326</v>
      </c>
      <c r="AC49" s="353">
        <f t="shared" si="68"/>
        <v>0</v>
      </c>
      <c r="AD49" s="353">
        <f t="shared" si="69"/>
        <v>10774651326</v>
      </c>
      <c r="AE49" s="353">
        <f t="shared" si="70"/>
        <v>11691</v>
      </c>
      <c r="AF49" s="353">
        <f t="shared" si="70"/>
        <v>0</v>
      </c>
      <c r="AG49" s="353">
        <f t="shared" si="71"/>
        <v>11691</v>
      </c>
      <c r="AH49" s="353">
        <f t="shared" si="72"/>
        <v>0</v>
      </c>
      <c r="AI49" s="353">
        <f t="shared" si="63"/>
        <v>87197533</v>
      </c>
      <c r="AJ49" s="353">
        <f t="shared" si="63"/>
        <v>0</v>
      </c>
      <c r="AK49" s="353">
        <f t="shared" si="73"/>
        <v>87197533</v>
      </c>
      <c r="AL49" s="353">
        <f t="shared" si="74"/>
        <v>0</v>
      </c>
      <c r="AM49" s="353">
        <f t="shared" si="64"/>
        <v>0</v>
      </c>
      <c r="AN49" s="353">
        <f t="shared" si="64"/>
        <v>0</v>
      </c>
      <c r="AO49" s="353">
        <f t="shared" si="65"/>
        <v>0</v>
      </c>
      <c r="AP49" s="353">
        <f t="shared" si="75"/>
        <v>0</v>
      </c>
      <c r="AQ49" s="353">
        <f t="shared" si="75"/>
        <v>0</v>
      </c>
      <c r="AR49" s="353">
        <f t="shared" si="76"/>
        <v>0</v>
      </c>
      <c r="AS49" s="353">
        <f t="shared" si="59"/>
        <v>10776517648</v>
      </c>
      <c r="AT49" s="353">
        <f t="shared" si="77"/>
        <v>87197533</v>
      </c>
      <c r="AU49" s="353">
        <f t="shared" si="78"/>
        <v>16490030</v>
      </c>
      <c r="AV49" s="354">
        <f t="shared" si="10"/>
        <v>10880205211</v>
      </c>
      <c r="AW49" s="431">
        <f t="shared" si="25"/>
        <v>-1.1800417459844503E-2</v>
      </c>
      <c r="AX49" s="431" t="e">
        <f t="shared" si="25"/>
        <v>#DIV/0!</v>
      </c>
      <c r="AY49" s="431" t="e">
        <f t="shared" si="25"/>
        <v>#DIV/0!</v>
      </c>
      <c r="AZ49" s="431">
        <f t="shared" si="25"/>
        <v>-2.2923361094443484E-3</v>
      </c>
    </row>
    <row r="50" spans="1:52">
      <c r="A50" s="138">
        <v>41579</v>
      </c>
      <c r="B50" s="139">
        <v>1569005</v>
      </c>
      <c r="C50" s="18">
        <v>1422550</v>
      </c>
      <c r="D50" s="18">
        <f t="shared" si="0"/>
        <v>2991555</v>
      </c>
      <c r="E50" s="18">
        <v>1124339471</v>
      </c>
      <c r="F50" s="18">
        <v>0</v>
      </c>
      <c r="G50" s="18">
        <f t="shared" si="1"/>
        <v>1124339471</v>
      </c>
      <c r="H50" s="18">
        <v>0</v>
      </c>
      <c r="I50" s="18">
        <v>0</v>
      </c>
      <c r="J50" s="18">
        <f t="shared" si="2"/>
        <v>0</v>
      </c>
      <c r="K50" s="18">
        <v>0</v>
      </c>
      <c r="L50" s="18">
        <v>13291975</v>
      </c>
      <c r="M50" s="18">
        <v>0</v>
      </c>
      <c r="N50" s="18">
        <f t="shared" si="3"/>
        <v>13291975</v>
      </c>
      <c r="O50" s="18">
        <v>0</v>
      </c>
      <c r="P50" s="18">
        <v>0</v>
      </c>
      <c r="Q50" s="18">
        <v>0</v>
      </c>
      <c r="R50" s="18">
        <f t="shared" si="62"/>
        <v>0</v>
      </c>
      <c r="S50" s="18">
        <v>0</v>
      </c>
      <c r="T50" s="18">
        <v>0</v>
      </c>
      <c r="U50" s="18">
        <f t="shared" si="5"/>
        <v>0</v>
      </c>
      <c r="V50" s="18">
        <f t="shared" si="6"/>
        <v>1125908476</v>
      </c>
      <c r="W50" s="18">
        <f t="shared" si="7"/>
        <v>1422550</v>
      </c>
      <c r="X50" s="235">
        <f t="shared" si="8"/>
        <v>1127331026</v>
      </c>
      <c r="Y50" s="353">
        <f t="shared" si="66"/>
        <v>3423636</v>
      </c>
      <c r="Z50" s="353">
        <f t="shared" si="66"/>
        <v>17912580</v>
      </c>
      <c r="AA50" s="353">
        <f t="shared" si="67"/>
        <v>21336216</v>
      </c>
      <c r="AB50" s="353">
        <f t="shared" si="68"/>
        <v>11898990797</v>
      </c>
      <c r="AC50" s="353">
        <f t="shared" si="68"/>
        <v>0</v>
      </c>
      <c r="AD50" s="353">
        <f t="shared" si="69"/>
        <v>11898990797</v>
      </c>
      <c r="AE50" s="353">
        <f t="shared" si="70"/>
        <v>11691</v>
      </c>
      <c r="AF50" s="353">
        <f t="shared" si="70"/>
        <v>0</v>
      </c>
      <c r="AG50" s="353">
        <f t="shared" si="71"/>
        <v>11691</v>
      </c>
      <c r="AH50" s="353">
        <f t="shared" si="72"/>
        <v>0</v>
      </c>
      <c r="AI50" s="353">
        <f t="shared" si="63"/>
        <v>100489508</v>
      </c>
      <c r="AJ50" s="353">
        <f t="shared" si="63"/>
        <v>0</v>
      </c>
      <c r="AK50" s="353">
        <f t="shared" si="73"/>
        <v>100489508</v>
      </c>
      <c r="AL50" s="353">
        <f t="shared" si="74"/>
        <v>0</v>
      </c>
      <c r="AM50" s="353">
        <f t="shared" si="64"/>
        <v>0</v>
      </c>
      <c r="AN50" s="353">
        <f t="shared" si="64"/>
        <v>0</v>
      </c>
      <c r="AO50" s="353">
        <f t="shared" si="65"/>
        <v>0</v>
      </c>
      <c r="AP50" s="353">
        <f t="shared" si="75"/>
        <v>0</v>
      </c>
      <c r="AQ50" s="353">
        <f t="shared" si="75"/>
        <v>0</v>
      </c>
      <c r="AR50" s="353">
        <f t="shared" si="76"/>
        <v>0</v>
      </c>
      <c r="AS50" s="353">
        <f t="shared" si="59"/>
        <v>11902426124</v>
      </c>
      <c r="AT50" s="353">
        <f t="shared" si="77"/>
        <v>100489508</v>
      </c>
      <c r="AU50" s="353">
        <f t="shared" si="78"/>
        <v>17912580</v>
      </c>
      <c r="AV50" s="354">
        <f t="shared" si="10"/>
        <v>12020828212</v>
      </c>
      <c r="AW50" s="431">
        <f t="shared" si="25"/>
        <v>-4.0296177521784715E-3</v>
      </c>
      <c r="AX50" s="431" t="e">
        <f t="shared" si="25"/>
        <v>#DIV/0!</v>
      </c>
      <c r="AY50" s="431" t="e">
        <f t="shared" si="25"/>
        <v>#DIV/0!</v>
      </c>
      <c r="AZ50" s="431">
        <f t="shared" si="25"/>
        <v>5.878023901359386E-3</v>
      </c>
    </row>
    <row r="51" spans="1:52" ht="15.75" thickBot="1">
      <c r="A51" s="138">
        <v>41609</v>
      </c>
      <c r="B51" s="139">
        <v>2583684</v>
      </c>
      <c r="C51" s="18">
        <v>12858840</v>
      </c>
      <c r="D51" s="18">
        <f t="shared" si="0"/>
        <v>15442524</v>
      </c>
      <c r="E51" s="18">
        <v>1199980139</v>
      </c>
      <c r="F51" s="18">
        <v>0</v>
      </c>
      <c r="G51" s="18">
        <f t="shared" si="1"/>
        <v>1199980139</v>
      </c>
      <c r="H51" s="18">
        <v>0</v>
      </c>
      <c r="I51" s="18">
        <v>0</v>
      </c>
      <c r="J51" s="18">
        <f t="shared" si="2"/>
        <v>0</v>
      </c>
      <c r="K51" s="18">
        <v>0</v>
      </c>
      <c r="L51" s="18">
        <v>15014660</v>
      </c>
      <c r="M51" s="18">
        <v>0</v>
      </c>
      <c r="N51" s="18">
        <f t="shared" si="3"/>
        <v>15014660</v>
      </c>
      <c r="O51" s="18">
        <v>0</v>
      </c>
      <c r="P51" s="18">
        <v>0</v>
      </c>
      <c r="Q51" s="18">
        <v>0</v>
      </c>
      <c r="R51" s="18">
        <f t="shared" si="62"/>
        <v>0</v>
      </c>
      <c r="S51" s="18">
        <v>0</v>
      </c>
      <c r="T51" s="18">
        <v>0</v>
      </c>
      <c r="U51" s="18">
        <f t="shared" si="5"/>
        <v>0</v>
      </c>
      <c r="V51" s="18">
        <f t="shared" si="6"/>
        <v>1202563823</v>
      </c>
      <c r="W51" s="18">
        <f t="shared" si="7"/>
        <v>12858840</v>
      </c>
      <c r="X51" s="235">
        <f t="shared" si="8"/>
        <v>1215422663</v>
      </c>
      <c r="Y51" s="353">
        <f t="shared" si="66"/>
        <v>6007320</v>
      </c>
      <c r="Z51" s="353">
        <f t="shared" si="66"/>
        <v>30771420</v>
      </c>
      <c r="AA51" s="353">
        <f t="shared" si="67"/>
        <v>36778740</v>
      </c>
      <c r="AB51" s="353">
        <f t="shared" si="68"/>
        <v>13098970936</v>
      </c>
      <c r="AC51" s="353">
        <f t="shared" si="68"/>
        <v>0</v>
      </c>
      <c r="AD51" s="353">
        <f t="shared" si="69"/>
        <v>13098970936</v>
      </c>
      <c r="AE51" s="353">
        <f t="shared" si="70"/>
        <v>11691</v>
      </c>
      <c r="AF51" s="353">
        <f t="shared" si="70"/>
        <v>0</v>
      </c>
      <c r="AG51" s="353">
        <f t="shared" si="71"/>
        <v>11691</v>
      </c>
      <c r="AH51" s="353">
        <f t="shared" si="72"/>
        <v>0</v>
      </c>
      <c r="AI51" s="353">
        <f t="shared" si="63"/>
        <v>115504168</v>
      </c>
      <c r="AJ51" s="353">
        <f t="shared" si="63"/>
        <v>0</v>
      </c>
      <c r="AK51" s="353">
        <f t="shared" si="73"/>
        <v>115504168</v>
      </c>
      <c r="AL51" s="353">
        <f t="shared" si="74"/>
        <v>0</v>
      </c>
      <c r="AM51" s="353">
        <f t="shared" si="64"/>
        <v>0</v>
      </c>
      <c r="AN51" s="353">
        <f t="shared" si="64"/>
        <v>0</v>
      </c>
      <c r="AO51" s="353">
        <f t="shared" si="65"/>
        <v>0</v>
      </c>
      <c r="AP51" s="353">
        <f t="shared" si="75"/>
        <v>0</v>
      </c>
      <c r="AQ51" s="353">
        <f t="shared" si="75"/>
        <v>0</v>
      </c>
      <c r="AR51" s="353">
        <f t="shared" si="76"/>
        <v>0</v>
      </c>
      <c r="AS51" s="353">
        <f t="shared" si="59"/>
        <v>13104989947</v>
      </c>
      <c r="AT51" s="353">
        <f t="shared" si="77"/>
        <v>115504168</v>
      </c>
      <c r="AU51" s="353">
        <f t="shared" si="78"/>
        <v>30771420</v>
      </c>
      <c r="AV51" s="354">
        <f t="shared" si="10"/>
        <v>13251265535</v>
      </c>
      <c r="AW51" s="431">
        <f t="shared" si="25"/>
        <v>9.048813835221825E-3</v>
      </c>
      <c r="AX51" s="431" t="e">
        <f t="shared" si="25"/>
        <v>#DIV/0!</v>
      </c>
      <c r="AY51" s="431" t="e">
        <f t="shared" si="25"/>
        <v>#DIV/0!</v>
      </c>
      <c r="AZ51" s="431">
        <f t="shared" si="25"/>
        <v>2.0311638847784197E-2</v>
      </c>
    </row>
    <row r="52" spans="1:52">
      <c r="A52" s="141">
        <v>41640</v>
      </c>
      <c r="B52" s="142">
        <v>0</v>
      </c>
      <c r="C52" s="143">
        <v>0</v>
      </c>
      <c r="D52" s="143">
        <f t="shared" si="0"/>
        <v>0</v>
      </c>
      <c r="E52" s="143">
        <v>1150184079</v>
      </c>
      <c r="F52" s="143">
        <v>0</v>
      </c>
      <c r="G52" s="143">
        <f t="shared" si="1"/>
        <v>1150184079</v>
      </c>
      <c r="H52" s="143">
        <v>0</v>
      </c>
      <c r="I52" s="143">
        <v>0</v>
      </c>
      <c r="J52" s="143">
        <f t="shared" si="2"/>
        <v>0</v>
      </c>
      <c r="K52" s="143">
        <v>0</v>
      </c>
      <c r="L52" s="143">
        <v>14377757</v>
      </c>
      <c r="M52" s="143">
        <v>0</v>
      </c>
      <c r="N52" s="143">
        <f t="shared" si="3"/>
        <v>14377757</v>
      </c>
      <c r="O52" s="143">
        <v>0</v>
      </c>
      <c r="P52" s="143">
        <v>0</v>
      </c>
      <c r="Q52" s="143">
        <v>0</v>
      </c>
      <c r="R52" s="143">
        <f>SUM(O52:Q52)</f>
        <v>0</v>
      </c>
      <c r="S52" s="143">
        <v>0</v>
      </c>
      <c r="T52" s="143">
        <v>0</v>
      </c>
      <c r="U52" s="143">
        <f t="shared" si="5"/>
        <v>0</v>
      </c>
      <c r="V52" s="143">
        <f t="shared" si="6"/>
        <v>1150184079</v>
      </c>
      <c r="W52" s="143">
        <f t="shared" si="7"/>
        <v>0</v>
      </c>
      <c r="X52" s="237">
        <f t="shared" si="8"/>
        <v>1150184079</v>
      </c>
      <c r="Y52" s="350">
        <f>B52</f>
        <v>0</v>
      </c>
      <c r="Z52" s="350">
        <f>C52</f>
        <v>0</v>
      </c>
      <c r="AA52" s="350">
        <f>Z52+Y52</f>
        <v>0</v>
      </c>
      <c r="AB52" s="350">
        <f>E52</f>
        <v>1150184079</v>
      </c>
      <c r="AC52" s="350">
        <f>F52</f>
        <v>0</v>
      </c>
      <c r="AD52" s="350">
        <f>AC52+AB52</f>
        <v>1150184079</v>
      </c>
      <c r="AE52" s="350">
        <f>H52</f>
        <v>0</v>
      </c>
      <c r="AF52" s="350">
        <f>I52</f>
        <v>0</v>
      </c>
      <c r="AG52" s="350">
        <f>AF52+AE52</f>
        <v>0</v>
      </c>
      <c r="AH52" s="350">
        <f>K52</f>
        <v>0</v>
      </c>
      <c r="AI52" s="350">
        <f>L52</f>
        <v>14377757</v>
      </c>
      <c r="AJ52" s="350">
        <f>M52</f>
        <v>0</v>
      </c>
      <c r="AK52" s="350">
        <f>AJ52+AI52+AH52</f>
        <v>14377757</v>
      </c>
      <c r="AL52" s="350">
        <f>O52</f>
        <v>0</v>
      </c>
      <c r="AM52" s="350">
        <f>P52</f>
        <v>0</v>
      </c>
      <c r="AN52" s="350">
        <f>Q52</f>
        <v>0</v>
      </c>
      <c r="AO52" s="350">
        <f>SUM(AL52:AN52)</f>
        <v>0</v>
      </c>
      <c r="AP52" s="350">
        <f>S52</f>
        <v>0</v>
      </c>
      <c r="AQ52" s="350">
        <f>T52</f>
        <v>0</v>
      </c>
      <c r="AR52" s="350">
        <f>SUM(AP52:AQ52)</f>
        <v>0</v>
      </c>
      <c r="AS52" s="350">
        <f t="shared" si="59"/>
        <v>1150184079</v>
      </c>
      <c r="AT52" s="350">
        <f>AI52</f>
        <v>14377757</v>
      </c>
      <c r="AU52" s="350">
        <f>Z52+AC52+AF52+AJ52+AN52+AQ52</f>
        <v>0</v>
      </c>
      <c r="AV52" s="351">
        <f t="shared" si="10"/>
        <v>1164561836</v>
      </c>
      <c r="AW52" s="431">
        <f t="shared" si="25"/>
        <v>0.11867427552588072</v>
      </c>
      <c r="AX52" s="431" t="e">
        <f t="shared" si="25"/>
        <v>#DIV/0!</v>
      </c>
      <c r="AY52" s="431" t="e">
        <f t="shared" si="25"/>
        <v>#DIV/0!</v>
      </c>
      <c r="AZ52" s="431">
        <f t="shared" si="25"/>
        <v>0.13265814748978921</v>
      </c>
    </row>
    <row r="53" spans="1:52">
      <c r="A53" s="138">
        <v>41671</v>
      </c>
      <c r="B53" s="139">
        <v>0</v>
      </c>
      <c r="C53" s="18">
        <v>112631</v>
      </c>
      <c r="D53" s="18">
        <f t="shared" si="0"/>
        <v>112631</v>
      </c>
      <c r="E53" s="18">
        <v>1020555812</v>
      </c>
      <c r="F53" s="18">
        <v>0</v>
      </c>
      <c r="G53" s="18">
        <f t="shared" si="1"/>
        <v>1020555812</v>
      </c>
      <c r="H53" s="18">
        <v>0</v>
      </c>
      <c r="I53" s="18">
        <v>0</v>
      </c>
      <c r="J53" s="18">
        <f t="shared" si="2"/>
        <v>0</v>
      </c>
      <c r="K53" s="18">
        <v>0</v>
      </c>
      <c r="L53" s="18">
        <v>17024957</v>
      </c>
      <c r="M53" s="18">
        <v>0</v>
      </c>
      <c r="N53" s="18">
        <f t="shared" si="3"/>
        <v>17024957</v>
      </c>
      <c r="O53" s="18">
        <v>0</v>
      </c>
      <c r="P53" s="18">
        <v>0</v>
      </c>
      <c r="Q53" s="18">
        <v>0</v>
      </c>
      <c r="R53" s="18">
        <f t="shared" ref="R53:R63" si="79">SUM(O53:Q53)</f>
        <v>0</v>
      </c>
      <c r="S53" s="18">
        <v>0</v>
      </c>
      <c r="T53" s="18">
        <v>0</v>
      </c>
      <c r="U53" s="18">
        <f t="shared" si="5"/>
        <v>0</v>
      </c>
      <c r="V53" s="18">
        <f t="shared" si="6"/>
        <v>1020555812</v>
      </c>
      <c r="W53" s="18">
        <f t="shared" si="7"/>
        <v>112631</v>
      </c>
      <c r="X53" s="235">
        <f t="shared" si="8"/>
        <v>1020668443</v>
      </c>
      <c r="Y53" s="353">
        <f>Y52+B53</f>
        <v>0</v>
      </c>
      <c r="Z53" s="353">
        <f>Z52+C53</f>
        <v>112631</v>
      </c>
      <c r="AA53" s="353">
        <f>Z53+Y53</f>
        <v>112631</v>
      </c>
      <c r="AB53" s="353">
        <f>AB52+E53</f>
        <v>2170739891</v>
      </c>
      <c r="AC53" s="353">
        <f>AC52+F53</f>
        <v>0</v>
      </c>
      <c r="AD53" s="353">
        <f>AC53+AB53</f>
        <v>2170739891</v>
      </c>
      <c r="AE53" s="353">
        <f>AE52+H53</f>
        <v>0</v>
      </c>
      <c r="AF53" s="353">
        <f>AF52+I53</f>
        <v>0</v>
      </c>
      <c r="AG53" s="353">
        <f>AF53+AE53</f>
        <v>0</v>
      </c>
      <c r="AH53" s="353">
        <f>AH52+K53</f>
        <v>0</v>
      </c>
      <c r="AI53" s="353">
        <f t="shared" ref="AI53:AJ63" si="80">AI52+L53</f>
        <v>31402714</v>
      </c>
      <c r="AJ53" s="353">
        <f t="shared" si="80"/>
        <v>0</v>
      </c>
      <c r="AK53" s="353">
        <f>AJ53+AI53+AH53</f>
        <v>31402714</v>
      </c>
      <c r="AL53" s="353">
        <f>AL52+O53</f>
        <v>0</v>
      </c>
      <c r="AM53" s="353">
        <f t="shared" ref="AM53:AN63" si="81">AM52+P53</f>
        <v>0</v>
      </c>
      <c r="AN53" s="353">
        <f t="shared" si="81"/>
        <v>0</v>
      </c>
      <c r="AO53" s="353">
        <f t="shared" ref="AO53:AO63" si="82">SUM(AL53:AN53)</f>
        <v>0</v>
      </c>
      <c r="AP53" s="353">
        <f>AP52+S53</f>
        <v>0</v>
      </c>
      <c r="AQ53" s="353">
        <f>AQ52+T53</f>
        <v>0</v>
      </c>
      <c r="AR53" s="353">
        <f>SUM(AP53:AQ53)</f>
        <v>0</v>
      </c>
      <c r="AS53" s="353">
        <f t="shared" si="59"/>
        <v>2170739891</v>
      </c>
      <c r="AT53" s="353">
        <f>AI53</f>
        <v>31402714</v>
      </c>
      <c r="AU53" s="353">
        <f>Z53+AC53+AF53+AJ53+AN53+AQ53</f>
        <v>112631</v>
      </c>
      <c r="AV53" s="354">
        <f t="shared" si="10"/>
        <v>2202255236</v>
      </c>
      <c r="AW53" s="431">
        <f t="shared" si="25"/>
        <v>0.10319366526989771</v>
      </c>
      <c r="AX53" s="431" t="e">
        <f t="shared" si="25"/>
        <v>#DIV/0!</v>
      </c>
      <c r="AY53" s="431" t="e">
        <f t="shared" si="25"/>
        <v>#DIV/0!</v>
      </c>
      <c r="AZ53" s="431">
        <f t="shared" si="25"/>
        <v>0.11921010699418888</v>
      </c>
    </row>
    <row r="54" spans="1:52">
      <c r="A54" s="138">
        <v>41699</v>
      </c>
      <c r="B54" s="139">
        <v>0</v>
      </c>
      <c r="C54" s="18">
        <v>0</v>
      </c>
      <c r="D54" s="18">
        <f t="shared" si="0"/>
        <v>0</v>
      </c>
      <c r="E54" s="18">
        <v>1147001684</v>
      </c>
      <c r="F54" s="18">
        <v>0</v>
      </c>
      <c r="G54" s="18">
        <f t="shared" si="1"/>
        <v>1147001684</v>
      </c>
      <c r="H54" s="18">
        <v>0</v>
      </c>
      <c r="I54" s="18">
        <v>0</v>
      </c>
      <c r="J54" s="18">
        <f t="shared" si="2"/>
        <v>0</v>
      </c>
      <c r="K54" s="18">
        <v>0</v>
      </c>
      <c r="L54" s="18">
        <v>13090192</v>
      </c>
      <c r="M54" s="18">
        <v>0</v>
      </c>
      <c r="N54" s="18">
        <f t="shared" si="3"/>
        <v>13090192</v>
      </c>
      <c r="O54" s="18">
        <v>0</v>
      </c>
      <c r="P54" s="18">
        <v>0</v>
      </c>
      <c r="Q54" s="18">
        <v>0</v>
      </c>
      <c r="R54" s="18">
        <f t="shared" si="79"/>
        <v>0</v>
      </c>
      <c r="S54" s="18">
        <v>0</v>
      </c>
      <c r="T54" s="18">
        <v>0</v>
      </c>
      <c r="U54" s="18">
        <f t="shared" si="5"/>
        <v>0</v>
      </c>
      <c r="V54" s="18">
        <f t="shared" si="6"/>
        <v>1147001684</v>
      </c>
      <c r="W54" s="18">
        <f t="shared" si="7"/>
        <v>0</v>
      </c>
      <c r="X54" s="235">
        <f t="shared" si="8"/>
        <v>1147001684</v>
      </c>
      <c r="Y54" s="353">
        <f t="shared" ref="Y54:Z63" si="83">Y53+B54</f>
        <v>0</v>
      </c>
      <c r="Z54" s="353">
        <f t="shared" si="83"/>
        <v>112631</v>
      </c>
      <c r="AA54" s="353">
        <f t="shared" ref="AA54:AA63" si="84">Z54+Y54</f>
        <v>112631</v>
      </c>
      <c r="AB54" s="353">
        <f t="shared" ref="AB54:AC63" si="85">AB53+E54</f>
        <v>3317741575</v>
      </c>
      <c r="AC54" s="353">
        <f t="shared" si="85"/>
        <v>0</v>
      </c>
      <c r="AD54" s="353">
        <f t="shared" ref="AD54:AD63" si="86">AC54+AB54</f>
        <v>3317741575</v>
      </c>
      <c r="AE54" s="353">
        <f t="shared" ref="AE54:AF63" si="87">AE53+H54</f>
        <v>0</v>
      </c>
      <c r="AF54" s="353">
        <f t="shared" si="87"/>
        <v>0</v>
      </c>
      <c r="AG54" s="353">
        <f t="shared" ref="AG54:AG63" si="88">AF54+AE54</f>
        <v>0</v>
      </c>
      <c r="AH54" s="353">
        <f t="shared" ref="AH54:AH63" si="89">AH53+K54</f>
        <v>0</v>
      </c>
      <c r="AI54" s="353">
        <f t="shared" si="80"/>
        <v>44492906</v>
      </c>
      <c r="AJ54" s="353">
        <f t="shared" si="80"/>
        <v>0</v>
      </c>
      <c r="AK54" s="353">
        <f t="shared" ref="AK54:AK63" si="90">AJ54+AI54+AH54</f>
        <v>44492906</v>
      </c>
      <c r="AL54" s="353">
        <f t="shared" ref="AL54:AL63" si="91">AL53+O54</f>
        <v>0</v>
      </c>
      <c r="AM54" s="353">
        <f t="shared" si="81"/>
        <v>0</v>
      </c>
      <c r="AN54" s="353">
        <f t="shared" si="81"/>
        <v>0</v>
      </c>
      <c r="AO54" s="353">
        <f t="shared" si="82"/>
        <v>0</v>
      </c>
      <c r="AP54" s="353">
        <f t="shared" ref="AP54:AQ63" si="92">AP53+S54</f>
        <v>0</v>
      </c>
      <c r="AQ54" s="353">
        <f t="shared" si="92"/>
        <v>0</v>
      </c>
      <c r="AR54" s="353">
        <f t="shared" ref="AR54:AR63" si="93">SUM(AP54:AQ54)</f>
        <v>0</v>
      </c>
      <c r="AS54" s="353">
        <f t="shared" si="59"/>
        <v>3317741575</v>
      </c>
      <c r="AT54" s="353">
        <f t="shared" ref="AT54:AT63" si="94">AI54</f>
        <v>44492906</v>
      </c>
      <c r="AU54" s="353">
        <f t="shared" ref="AU54:AU63" si="95">Z54+AC54+AF54+AJ54+AN54+AQ54</f>
        <v>112631</v>
      </c>
      <c r="AV54" s="354">
        <f t="shared" si="10"/>
        <v>3362347112</v>
      </c>
      <c r="AW54" s="431">
        <f t="shared" si="25"/>
        <v>0.10517934251175487</v>
      </c>
      <c r="AX54" s="431">
        <f t="shared" si="25"/>
        <v>153.98164655067313</v>
      </c>
      <c r="AY54" s="431" t="e">
        <f t="shared" si="25"/>
        <v>#DIV/0!</v>
      </c>
      <c r="AZ54" s="431">
        <f t="shared" si="25"/>
        <v>0.11993087900653165</v>
      </c>
    </row>
    <row r="55" spans="1:52">
      <c r="A55" s="138">
        <v>41730</v>
      </c>
      <c r="B55" s="139">
        <v>39300</v>
      </c>
      <c r="C55" s="18">
        <v>0</v>
      </c>
      <c r="D55" s="18">
        <f t="shared" si="0"/>
        <v>39300</v>
      </c>
      <c r="E55" s="18">
        <v>1175647065</v>
      </c>
      <c r="F55" s="18">
        <v>0</v>
      </c>
      <c r="G55" s="18">
        <f t="shared" si="1"/>
        <v>1175647065</v>
      </c>
      <c r="H55" s="18">
        <v>0</v>
      </c>
      <c r="I55" s="18">
        <v>0</v>
      </c>
      <c r="J55" s="18">
        <f t="shared" si="2"/>
        <v>0</v>
      </c>
      <c r="K55" s="18">
        <v>0</v>
      </c>
      <c r="L55" s="18">
        <v>16215635</v>
      </c>
      <c r="M55" s="18">
        <v>0</v>
      </c>
      <c r="N55" s="18">
        <f t="shared" si="3"/>
        <v>16215635</v>
      </c>
      <c r="O55" s="18">
        <v>0</v>
      </c>
      <c r="P55" s="18">
        <v>0</v>
      </c>
      <c r="Q55" s="18">
        <v>0</v>
      </c>
      <c r="R55" s="18">
        <f t="shared" si="79"/>
        <v>0</v>
      </c>
      <c r="S55" s="18">
        <v>0</v>
      </c>
      <c r="T55" s="18">
        <v>0</v>
      </c>
      <c r="U55" s="18">
        <f t="shared" si="5"/>
        <v>0</v>
      </c>
      <c r="V55" s="18">
        <f t="shared" si="6"/>
        <v>1175686365</v>
      </c>
      <c r="W55" s="18">
        <f t="shared" si="7"/>
        <v>0</v>
      </c>
      <c r="X55" s="235">
        <f t="shared" si="8"/>
        <v>1175686365</v>
      </c>
      <c r="Y55" s="353">
        <f t="shared" si="83"/>
        <v>39300</v>
      </c>
      <c r="Z55" s="353">
        <f t="shared" si="83"/>
        <v>112631</v>
      </c>
      <c r="AA55" s="353">
        <f t="shared" si="84"/>
        <v>151931</v>
      </c>
      <c r="AB55" s="353">
        <f t="shared" si="85"/>
        <v>4493388640</v>
      </c>
      <c r="AC55" s="353">
        <f t="shared" si="85"/>
        <v>0</v>
      </c>
      <c r="AD55" s="353">
        <f t="shared" si="86"/>
        <v>4493388640</v>
      </c>
      <c r="AE55" s="353">
        <f t="shared" si="87"/>
        <v>0</v>
      </c>
      <c r="AF55" s="353">
        <f t="shared" si="87"/>
        <v>0</v>
      </c>
      <c r="AG55" s="353">
        <f t="shared" si="88"/>
        <v>0</v>
      </c>
      <c r="AH55" s="353">
        <f t="shared" si="89"/>
        <v>0</v>
      </c>
      <c r="AI55" s="353">
        <f t="shared" si="80"/>
        <v>60708541</v>
      </c>
      <c r="AJ55" s="353">
        <f t="shared" si="80"/>
        <v>0</v>
      </c>
      <c r="AK55" s="353">
        <f t="shared" si="90"/>
        <v>60708541</v>
      </c>
      <c r="AL55" s="353">
        <f t="shared" si="91"/>
        <v>0</v>
      </c>
      <c r="AM55" s="353">
        <f t="shared" si="81"/>
        <v>0</v>
      </c>
      <c r="AN55" s="353">
        <f t="shared" si="81"/>
        <v>0</v>
      </c>
      <c r="AO55" s="353">
        <f t="shared" si="82"/>
        <v>0</v>
      </c>
      <c r="AP55" s="353">
        <f t="shared" si="92"/>
        <v>0</v>
      </c>
      <c r="AQ55" s="353">
        <f t="shared" si="92"/>
        <v>0</v>
      </c>
      <c r="AR55" s="353">
        <f t="shared" si="93"/>
        <v>0</v>
      </c>
      <c r="AS55" s="353">
        <f t="shared" si="59"/>
        <v>4493427940</v>
      </c>
      <c r="AT55" s="353">
        <f t="shared" si="94"/>
        <v>60708541</v>
      </c>
      <c r="AU55" s="353">
        <f t="shared" si="95"/>
        <v>112631</v>
      </c>
      <c r="AV55" s="354">
        <f t="shared" si="10"/>
        <v>4554249112</v>
      </c>
      <c r="AW55" s="431">
        <f t="shared" si="25"/>
        <v>9.9271239001265998E-2</v>
      </c>
      <c r="AX55" s="431">
        <f t="shared" si="25"/>
        <v>209.56251127235396</v>
      </c>
      <c r="AY55" s="431" t="e">
        <f t="shared" si="25"/>
        <v>#DIV/0!</v>
      </c>
      <c r="AZ55" s="431">
        <f t="shared" si="25"/>
        <v>0.1140719378953321</v>
      </c>
    </row>
    <row r="56" spans="1:52">
      <c r="A56" s="138">
        <v>41760</v>
      </c>
      <c r="B56" s="139">
        <v>519127</v>
      </c>
      <c r="C56" s="18">
        <v>2936127</v>
      </c>
      <c r="D56" s="18">
        <f t="shared" si="0"/>
        <v>3455254</v>
      </c>
      <c r="E56" s="18">
        <v>1199854519</v>
      </c>
      <c r="F56" s="18">
        <v>0</v>
      </c>
      <c r="G56" s="18">
        <f t="shared" si="1"/>
        <v>1199854519</v>
      </c>
      <c r="H56" s="18">
        <v>0</v>
      </c>
      <c r="I56" s="18">
        <v>0</v>
      </c>
      <c r="J56" s="18">
        <f t="shared" si="2"/>
        <v>0</v>
      </c>
      <c r="K56" s="18">
        <v>0</v>
      </c>
      <c r="L56" s="18">
        <v>10011854</v>
      </c>
      <c r="M56" s="18">
        <v>0</v>
      </c>
      <c r="N56" s="18">
        <f t="shared" si="3"/>
        <v>10011854</v>
      </c>
      <c r="O56" s="18">
        <v>0</v>
      </c>
      <c r="P56" s="18">
        <v>0</v>
      </c>
      <c r="Q56" s="18">
        <v>0</v>
      </c>
      <c r="R56" s="18">
        <f t="shared" si="79"/>
        <v>0</v>
      </c>
      <c r="S56" s="18">
        <v>0</v>
      </c>
      <c r="T56" s="18">
        <v>0</v>
      </c>
      <c r="U56" s="18">
        <f t="shared" si="5"/>
        <v>0</v>
      </c>
      <c r="V56" s="18">
        <f t="shared" si="6"/>
        <v>1200373646</v>
      </c>
      <c r="W56" s="18">
        <f t="shared" si="7"/>
        <v>2936127</v>
      </c>
      <c r="X56" s="235">
        <f t="shared" si="8"/>
        <v>1203309773</v>
      </c>
      <c r="Y56" s="353">
        <f t="shared" si="83"/>
        <v>558427</v>
      </c>
      <c r="Z56" s="353">
        <f t="shared" si="83"/>
        <v>3048758</v>
      </c>
      <c r="AA56" s="353">
        <f t="shared" si="84"/>
        <v>3607185</v>
      </c>
      <c r="AB56" s="353">
        <f t="shared" si="85"/>
        <v>5693243159</v>
      </c>
      <c r="AC56" s="353">
        <f t="shared" si="85"/>
        <v>0</v>
      </c>
      <c r="AD56" s="353">
        <f t="shared" si="86"/>
        <v>5693243159</v>
      </c>
      <c r="AE56" s="353">
        <f t="shared" si="87"/>
        <v>0</v>
      </c>
      <c r="AF56" s="353">
        <f t="shared" si="87"/>
        <v>0</v>
      </c>
      <c r="AG56" s="353">
        <f t="shared" si="88"/>
        <v>0</v>
      </c>
      <c r="AH56" s="353">
        <f t="shared" si="89"/>
        <v>0</v>
      </c>
      <c r="AI56" s="353">
        <f t="shared" si="80"/>
        <v>70720395</v>
      </c>
      <c r="AJ56" s="353">
        <f t="shared" si="80"/>
        <v>0</v>
      </c>
      <c r="AK56" s="353">
        <f t="shared" si="90"/>
        <v>70720395</v>
      </c>
      <c r="AL56" s="353">
        <f t="shared" si="91"/>
        <v>0</v>
      </c>
      <c r="AM56" s="353">
        <f t="shared" si="81"/>
        <v>0</v>
      </c>
      <c r="AN56" s="353">
        <f t="shared" si="81"/>
        <v>0</v>
      </c>
      <c r="AO56" s="353">
        <f t="shared" si="82"/>
        <v>0</v>
      </c>
      <c r="AP56" s="353">
        <f t="shared" si="92"/>
        <v>0</v>
      </c>
      <c r="AQ56" s="353">
        <f t="shared" si="92"/>
        <v>0</v>
      </c>
      <c r="AR56" s="353">
        <f t="shared" si="93"/>
        <v>0</v>
      </c>
      <c r="AS56" s="353">
        <f t="shared" si="59"/>
        <v>5693801586</v>
      </c>
      <c r="AT56" s="353">
        <f t="shared" si="94"/>
        <v>70720395</v>
      </c>
      <c r="AU56" s="353">
        <f t="shared" si="95"/>
        <v>3048758</v>
      </c>
      <c r="AV56" s="354">
        <f t="shared" si="10"/>
        <v>5767570739</v>
      </c>
      <c r="AW56" s="431">
        <f t="shared" si="25"/>
        <v>8.8974870507659398E-2</v>
      </c>
      <c r="AX56" s="431">
        <f t="shared" si="25"/>
        <v>4.2593686442833389</v>
      </c>
      <c r="AY56" s="431" t="e">
        <f t="shared" si="25"/>
        <v>#DIV/0!</v>
      </c>
      <c r="AZ56" s="431">
        <f t="shared" si="25"/>
        <v>0.10025411411067209</v>
      </c>
    </row>
    <row r="57" spans="1:52">
      <c r="A57" s="138">
        <v>41791</v>
      </c>
      <c r="B57" s="139">
        <v>423385</v>
      </c>
      <c r="C57" s="18">
        <v>4534228</v>
      </c>
      <c r="D57" s="18">
        <f t="shared" si="0"/>
        <v>4957613</v>
      </c>
      <c r="E57" s="18">
        <v>1190780942</v>
      </c>
      <c r="F57" s="18">
        <v>0</v>
      </c>
      <c r="G57" s="18">
        <f t="shared" si="1"/>
        <v>1190780942</v>
      </c>
      <c r="H57" s="18">
        <v>0</v>
      </c>
      <c r="I57" s="18">
        <v>0</v>
      </c>
      <c r="J57" s="18">
        <f t="shared" si="2"/>
        <v>0</v>
      </c>
      <c r="K57" s="18">
        <v>0</v>
      </c>
      <c r="L57" s="18">
        <v>11809012</v>
      </c>
      <c r="M57" s="18">
        <v>0</v>
      </c>
      <c r="N57" s="18">
        <f t="shared" si="3"/>
        <v>11809012</v>
      </c>
      <c r="O57" s="18">
        <v>0</v>
      </c>
      <c r="P57" s="18">
        <v>0</v>
      </c>
      <c r="Q57" s="18">
        <v>0</v>
      </c>
      <c r="R57" s="18">
        <f t="shared" si="79"/>
        <v>0</v>
      </c>
      <c r="S57" s="18">
        <v>0</v>
      </c>
      <c r="T57" s="18">
        <v>0</v>
      </c>
      <c r="U57" s="18">
        <f t="shared" si="5"/>
        <v>0</v>
      </c>
      <c r="V57" s="18">
        <f t="shared" si="6"/>
        <v>1191204327</v>
      </c>
      <c r="W57" s="18">
        <f t="shared" si="7"/>
        <v>4534228</v>
      </c>
      <c r="X57" s="235">
        <f t="shared" si="8"/>
        <v>1195738555</v>
      </c>
      <c r="Y57" s="353">
        <f t="shared" si="83"/>
        <v>981812</v>
      </c>
      <c r="Z57" s="353">
        <f t="shared" si="83"/>
        <v>7582986</v>
      </c>
      <c r="AA57" s="353">
        <f t="shared" si="84"/>
        <v>8564798</v>
      </c>
      <c r="AB57" s="353">
        <f t="shared" si="85"/>
        <v>6884024101</v>
      </c>
      <c r="AC57" s="353">
        <f t="shared" si="85"/>
        <v>0</v>
      </c>
      <c r="AD57" s="353">
        <f t="shared" si="86"/>
        <v>6884024101</v>
      </c>
      <c r="AE57" s="353">
        <f t="shared" si="87"/>
        <v>0</v>
      </c>
      <c r="AF57" s="353">
        <f t="shared" si="87"/>
        <v>0</v>
      </c>
      <c r="AG57" s="353">
        <f t="shared" si="88"/>
        <v>0</v>
      </c>
      <c r="AH57" s="353">
        <f t="shared" si="89"/>
        <v>0</v>
      </c>
      <c r="AI57" s="353">
        <f t="shared" si="80"/>
        <v>82529407</v>
      </c>
      <c r="AJ57" s="353">
        <f t="shared" si="80"/>
        <v>0</v>
      </c>
      <c r="AK57" s="353">
        <f t="shared" si="90"/>
        <v>82529407</v>
      </c>
      <c r="AL57" s="353">
        <f t="shared" si="91"/>
        <v>0</v>
      </c>
      <c r="AM57" s="353">
        <f t="shared" si="81"/>
        <v>0</v>
      </c>
      <c r="AN57" s="353">
        <f t="shared" si="81"/>
        <v>0</v>
      </c>
      <c r="AO57" s="353">
        <f t="shared" si="82"/>
        <v>0</v>
      </c>
      <c r="AP57" s="353">
        <f t="shared" si="92"/>
        <v>0</v>
      </c>
      <c r="AQ57" s="353">
        <f t="shared" si="92"/>
        <v>0</v>
      </c>
      <c r="AR57" s="353">
        <f t="shared" si="93"/>
        <v>0</v>
      </c>
      <c r="AS57" s="353">
        <f t="shared" si="59"/>
        <v>6885005913</v>
      </c>
      <c r="AT57" s="353">
        <f t="shared" si="94"/>
        <v>82529407</v>
      </c>
      <c r="AU57" s="353">
        <f t="shared" si="95"/>
        <v>7582986</v>
      </c>
      <c r="AV57" s="354">
        <f t="shared" si="10"/>
        <v>6975118306</v>
      </c>
      <c r="AW57" s="431">
        <f t="shared" si="25"/>
        <v>8.7293421391713144E-2</v>
      </c>
      <c r="AX57" s="431">
        <f t="shared" si="25"/>
        <v>2.338226454241275</v>
      </c>
      <c r="AY57" s="431" t="e">
        <f t="shared" si="25"/>
        <v>#DIV/0!</v>
      </c>
      <c r="AZ57" s="431">
        <f t="shared" si="25"/>
        <v>9.7240266250834928E-2</v>
      </c>
    </row>
    <row r="58" spans="1:52">
      <c r="A58" s="138">
        <v>41821</v>
      </c>
      <c r="B58" s="139">
        <v>226113</v>
      </c>
      <c r="C58" s="18">
        <v>7866570</v>
      </c>
      <c r="D58" s="18">
        <f t="shared" si="0"/>
        <v>8092683</v>
      </c>
      <c r="E58" s="18">
        <v>1238378540</v>
      </c>
      <c r="F58" s="18">
        <v>0</v>
      </c>
      <c r="G58" s="18">
        <f t="shared" si="1"/>
        <v>1238378540</v>
      </c>
      <c r="H58" s="18">
        <v>0</v>
      </c>
      <c r="I58" s="18">
        <v>0</v>
      </c>
      <c r="J58" s="18">
        <f t="shared" si="2"/>
        <v>0</v>
      </c>
      <c r="K58" s="18">
        <v>0</v>
      </c>
      <c r="L58" s="18">
        <v>13348497</v>
      </c>
      <c r="M58" s="18">
        <v>0</v>
      </c>
      <c r="N58" s="18">
        <f t="shared" si="3"/>
        <v>13348497</v>
      </c>
      <c r="O58" s="18">
        <v>0</v>
      </c>
      <c r="P58" s="18">
        <v>0</v>
      </c>
      <c r="Q58" s="18">
        <v>0</v>
      </c>
      <c r="R58" s="18">
        <f t="shared" si="79"/>
        <v>0</v>
      </c>
      <c r="S58" s="18">
        <v>0</v>
      </c>
      <c r="T58" s="18">
        <v>0</v>
      </c>
      <c r="U58" s="18">
        <f t="shared" si="5"/>
        <v>0</v>
      </c>
      <c r="V58" s="18">
        <f t="shared" si="6"/>
        <v>1238604653</v>
      </c>
      <c r="W58" s="18">
        <f t="shared" si="7"/>
        <v>7866570</v>
      </c>
      <c r="X58" s="235">
        <f t="shared" si="8"/>
        <v>1246471223</v>
      </c>
      <c r="Y58" s="353">
        <f t="shared" si="83"/>
        <v>1207925</v>
      </c>
      <c r="Z58" s="353">
        <f t="shared" si="83"/>
        <v>15449556</v>
      </c>
      <c r="AA58" s="353">
        <f t="shared" si="84"/>
        <v>16657481</v>
      </c>
      <c r="AB58" s="353">
        <f t="shared" si="85"/>
        <v>8122402641</v>
      </c>
      <c r="AC58" s="353">
        <f t="shared" si="85"/>
        <v>0</v>
      </c>
      <c r="AD58" s="353">
        <f t="shared" si="86"/>
        <v>8122402641</v>
      </c>
      <c r="AE58" s="353">
        <f t="shared" si="87"/>
        <v>0</v>
      </c>
      <c r="AF58" s="353">
        <f t="shared" si="87"/>
        <v>0</v>
      </c>
      <c r="AG58" s="353">
        <f t="shared" si="88"/>
        <v>0</v>
      </c>
      <c r="AH58" s="353">
        <f t="shared" si="89"/>
        <v>0</v>
      </c>
      <c r="AI58" s="353">
        <f t="shared" si="80"/>
        <v>95877904</v>
      </c>
      <c r="AJ58" s="353">
        <f t="shared" si="80"/>
        <v>0</v>
      </c>
      <c r="AK58" s="353">
        <f t="shared" si="90"/>
        <v>95877904</v>
      </c>
      <c r="AL58" s="353">
        <f t="shared" si="91"/>
        <v>0</v>
      </c>
      <c r="AM58" s="353">
        <f t="shared" si="81"/>
        <v>0</v>
      </c>
      <c r="AN58" s="353">
        <f t="shared" si="81"/>
        <v>0</v>
      </c>
      <c r="AO58" s="353">
        <f t="shared" si="82"/>
        <v>0</v>
      </c>
      <c r="AP58" s="353">
        <f t="shared" si="92"/>
        <v>0</v>
      </c>
      <c r="AQ58" s="353">
        <f t="shared" si="92"/>
        <v>0</v>
      </c>
      <c r="AR58" s="353">
        <f t="shared" si="93"/>
        <v>0</v>
      </c>
      <c r="AS58" s="353">
        <f t="shared" si="59"/>
        <v>8123610566</v>
      </c>
      <c r="AT58" s="353">
        <f t="shared" si="94"/>
        <v>95877904</v>
      </c>
      <c r="AU58" s="353">
        <f t="shared" si="95"/>
        <v>15449556</v>
      </c>
      <c r="AV58" s="354">
        <f t="shared" si="10"/>
        <v>8234938026</v>
      </c>
      <c r="AW58" s="431">
        <f t="shared" si="25"/>
        <v>9.012196079719037E-2</v>
      </c>
      <c r="AX58" s="431">
        <f t="shared" si="25"/>
        <v>1.3148820788307978</v>
      </c>
      <c r="AY58" s="431" t="e">
        <f t="shared" si="25"/>
        <v>#DIV/0!</v>
      </c>
      <c r="AZ58" s="431">
        <f t="shared" si="25"/>
        <v>9.8953252027787153E-2</v>
      </c>
    </row>
    <row r="59" spans="1:52">
      <c r="A59" s="138">
        <v>41852</v>
      </c>
      <c r="B59" s="139">
        <v>73435</v>
      </c>
      <c r="C59" s="18">
        <v>6014576</v>
      </c>
      <c r="D59" s="18">
        <f t="shared" si="0"/>
        <v>6088011</v>
      </c>
      <c r="E59" s="18">
        <v>1180098156</v>
      </c>
      <c r="F59" s="18">
        <v>0</v>
      </c>
      <c r="G59" s="18">
        <f t="shared" si="1"/>
        <v>1180098156</v>
      </c>
      <c r="H59" s="18">
        <v>0</v>
      </c>
      <c r="I59" s="18">
        <v>0</v>
      </c>
      <c r="J59" s="18">
        <f t="shared" si="2"/>
        <v>0</v>
      </c>
      <c r="K59" s="18">
        <v>0</v>
      </c>
      <c r="L59" s="18">
        <v>20042904</v>
      </c>
      <c r="M59" s="18">
        <v>0</v>
      </c>
      <c r="N59" s="18">
        <f t="shared" si="3"/>
        <v>20042904</v>
      </c>
      <c r="O59" s="18">
        <v>0</v>
      </c>
      <c r="P59" s="18">
        <v>0</v>
      </c>
      <c r="Q59" s="18">
        <v>0</v>
      </c>
      <c r="R59" s="18">
        <f t="shared" si="79"/>
        <v>0</v>
      </c>
      <c r="S59" s="18">
        <v>0</v>
      </c>
      <c r="T59" s="18">
        <v>0</v>
      </c>
      <c r="U59" s="18">
        <f t="shared" si="5"/>
        <v>0</v>
      </c>
      <c r="V59" s="18">
        <f t="shared" si="6"/>
        <v>1180171591</v>
      </c>
      <c r="W59" s="18">
        <f t="shared" si="7"/>
        <v>6014576</v>
      </c>
      <c r="X59" s="235">
        <f t="shared" si="8"/>
        <v>1186186167</v>
      </c>
      <c r="Y59" s="353">
        <f t="shared" si="83"/>
        <v>1281360</v>
      </c>
      <c r="Z59" s="353">
        <f t="shared" si="83"/>
        <v>21464132</v>
      </c>
      <c r="AA59" s="353">
        <f t="shared" si="84"/>
        <v>22745492</v>
      </c>
      <c r="AB59" s="353">
        <f t="shared" si="85"/>
        <v>9302500797</v>
      </c>
      <c r="AC59" s="353">
        <f t="shared" si="85"/>
        <v>0</v>
      </c>
      <c r="AD59" s="353">
        <f t="shared" si="86"/>
        <v>9302500797</v>
      </c>
      <c r="AE59" s="353">
        <f t="shared" si="87"/>
        <v>0</v>
      </c>
      <c r="AF59" s="353">
        <f t="shared" si="87"/>
        <v>0</v>
      </c>
      <c r="AG59" s="353">
        <f t="shared" si="88"/>
        <v>0</v>
      </c>
      <c r="AH59" s="353">
        <f t="shared" si="89"/>
        <v>0</v>
      </c>
      <c r="AI59" s="353">
        <f t="shared" si="80"/>
        <v>115920808</v>
      </c>
      <c r="AJ59" s="353">
        <f t="shared" si="80"/>
        <v>0</v>
      </c>
      <c r="AK59" s="353">
        <f t="shared" si="90"/>
        <v>115920808</v>
      </c>
      <c r="AL59" s="353">
        <f t="shared" si="91"/>
        <v>0</v>
      </c>
      <c r="AM59" s="353">
        <f t="shared" si="81"/>
        <v>0</v>
      </c>
      <c r="AN59" s="353">
        <f t="shared" si="81"/>
        <v>0</v>
      </c>
      <c r="AO59" s="353">
        <f t="shared" si="82"/>
        <v>0</v>
      </c>
      <c r="AP59" s="353">
        <f t="shared" si="92"/>
        <v>0</v>
      </c>
      <c r="AQ59" s="353">
        <f t="shared" si="92"/>
        <v>0</v>
      </c>
      <c r="AR59" s="353">
        <f t="shared" si="93"/>
        <v>0</v>
      </c>
      <c r="AS59" s="353">
        <f t="shared" si="59"/>
        <v>9303782157</v>
      </c>
      <c r="AT59" s="353">
        <f t="shared" si="94"/>
        <v>115920808</v>
      </c>
      <c r="AU59" s="353">
        <f t="shared" si="95"/>
        <v>21464132</v>
      </c>
      <c r="AV59" s="354">
        <f t="shared" si="10"/>
        <v>9441167097</v>
      </c>
      <c r="AW59" s="431">
        <f t="shared" si="25"/>
        <v>8.7558313417135603E-2</v>
      </c>
      <c r="AX59" s="431">
        <f t="shared" si="25"/>
        <v>1.1180453428103387</v>
      </c>
      <c r="AY59" s="431">
        <f t="shared" si="25"/>
        <v>6.7652734072857958</v>
      </c>
      <c r="AZ59" s="431">
        <f t="shared" si="25"/>
        <v>9.625020545372287E-2</v>
      </c>
    </row>
    <row r="60" spans="1:52">
      <c r="A60" s="138">
        <v>41883</v>
      </c>
      <c r="B60" s="139">
        <v>0</v>
      </c>
      <c r="C60" s="18">
        <v>9293633</v>
      </c>
      <c r="D60" s="18">
        <f t="shared" si="0"/>
        <v>9293633</v>
      </c>
      <c r="E60" s="18">
        <v>1158207576</v>
      </c>
      <c r="F60" s="18">
        <v>302200</v>
      </c>
      <c r="G60" s="18">
        <f t="shared" si="1"/>
        <v>1158509776</v>
      </c>
      <c r="H60" s="18">
        <v>0</v>
      </c>
      <c r="I60" s="18">
        <v>0</v>
      </c>
      <c r="J60" s="18">
        <f t="shared" si="2"/>
        <v>0</v>
      </c>
      <c r="K60" s="18">
        <v>0</v>
      </c>
      <c r="L60" s="18">
        <v>0</v>
      </c>
      <c r="M60" s="18">
        <v>0</v>
      </c>
      <c r="N60" s="18">
        <f t="shared" si="3"/>
        <v>0</v>
      </c>
      <c r="O60" s="18">
        <v>0</v>
      </c>
      <c r="P60" s="18">
        <v>0</v>
      </c>
      <c r="Q60" s="18">
        <v>0</v>
      </c>
      <c r="R60" s="18">
        <f t="shared" si="79"/>
        <v>0</v>
      </c>
      <c r="S60" s="18">
        <v>0</v>
      </c>
      <c r="T60" s="18">
        <v>0</v>
      </c>
      <c r="U60" s="18">
        <f t="shared" si="5"/>
        <v>0</v>
      </c>
      <c r="V60" s="18">
        <f t="shared" si="6"/>
        <v>1158207576</v>
      </c>
      <c r="W60" s="18">
        <f t="shared" si="7"/>
        <v>9595833</v>
      </c>
      <c r="X60" s="235">
        <f t="shared" si="8"/>
        <v>1167803409</v>
      </c>
      <c r="Y60" s="353">
        <f t="shared" si="83"/>
        <v>1281360</v>
      </c>
      <c r="Z60" s="353">
        <f t="shared" si="83"/>
        <v>30757765</v>
      </c>
      <c r="AA60" s="353">
        <f t="shared" si="84"/>
        <v>32039125</v>
      </c>
      <c r="AB60" s="353">
        <f t="shared" si="85"/>
        <v>10460708373</v>
      </c>
      <c r="AC60" s="353">
        <f t="shared" si="85"/>
        <v>302200</v>
      </c>
      <c r="AD60" s="353">
        <f t="shared" si="86"/>
        <v>10461010573</v>
      </c>
      <c r="AE60" s="353">
        <f t="shared" si="87"/>
        <v>0</v>
      </c>
      <c r="AF60" s="353">
        <f t="shared" si="87"/>
        <v>0</v>
      </c>
      <c r="AG60" s="353">
        <f t="shared" si="88"/>
        <v>0</v>
      </c>
      <c r="AH60" s="353">
        <f t="shared" si="89"/>
        <v>0</v>
      </c>
      <c r="AI60" s="353">
        <f t="shared" si="80"/>
        <v>115920808</v>
      </c>
      <c r="AJ60" s="353">
        <f t="shared" si="80"/>
        <v>0</v>
      </c>
      <c r="AK60" s="353">
        <f t="shared" si="90"/>
        <v>115920808</v>
      </c>
      <c r="AL60" s="353">
        <f t="shared" si="91"/>
        <v>0</v>
      </c>
      <c r="AM60" s="353">
        <f t="shared" si="81"/>
        <v>0</v>
      </c>
      <c r="AN60" s="353">
        <f t="shared" si="81"/>
        <v>0</v>
      </c>
      <c r="AO60" s="353">
        <f t="shared" si="82"/>
        <v>0</v>
      </c>
      <c r="AP60" s="353">
        <f t="shared" si="92"/>
        <v>0</v>
      </c>
      <c r="AQ60" s="353">
        <f t="shared" si="92"/>
        <v>0</v>
      </c>
      <c r="AR60" s="353">
        <f t="shared" si="93"/>
        <v>0</v>
      </c>
      <c r="AS60" s="353">
        <f t="shared" si="59"/>
        <v>10461989733</v>
      </c>
      <c r="AT60" s="353">
        <f t="shared" si="94"/>
        <v>115920808</v>
      </c>
      <c r="AU60" s="353">
        <f t="shared" si="95"/>
        <v>31059965</v>
      </c>
      <c r="AV60" s="354">
        <f t="shared" si="10"/>
        <v>10608970506</v>
      </c>
      <c r="AW60" s="431">
        <f t="shared" si="25"/>
        <v>8.7141106797641754E-2</v>
      </c>
      <c r="AX60" s="431">
        <f t="shared" si="25"/>
        <v>0.60205521576383703</v>
      </c>
      <c r="AY60" s="431">
        <f t="shared" si="25"/>
        <v>1.522610936123618</v>
      </c>
      <c r="AZ60" s="431">
        <f t="shared" si="25"/>
        <v>9.2799528288522337E-2</v>
      </c>
    </row>
    <row r="61" spans="1:52">
      <c r="A61" s="138">
        <v>41913</v>
      </c>
      <c r="B61" s="139">
        <v>8378</v>
      </c>
      <c r="C61" s="18">
        <v>6625811</v>
      </c>
      <c r="D61" s="18">
        <f t="shared" si="0"/>
        <v>6634189</v>
      </c>
      <c r="E61" s="18">
        <v>1161214044</v>
      </c>
      <c r="F61" s="18">
        <v>334809</v>
      </c>
      <c r="G61" s="18">
        <f t="shared" si="1"/>
        <v>1161548853</v>
      </c>
      <c r="H61" s="18">
        <v>0</v>
      </c>
      <c r="I61" s="18">
        <v>0</v>
      </c>
      <c r="J61" s="18">
        <f t="shared" si="2"/>
        <v>0</v>
      </c>
      <c r="K61" s="18">
        <v>0</v>
      </c>
      <c r="L61" s="18">
        <v>469202</v>
      </c>
      <c r="M61" s="18">
        <v>0</v>
      </c>
      <c r="N61" s="18">
        <f t="shared" si="3"/>
        <v>469202</v>
      </c>
      <c r="O61" s="18">
        <v>0</v>
      </c>
      <c r="P61" s="18">
        <v>0</v>
      </c>
      <c r="Q61" s="18">
        <v>0</v>
      </c>
      <c r="R61" s="18">
        <f t="shared" si="79"/>
        <v>0</v>
      </c>
      <c r="S61" s="18">
        <v>0</v>
      </c>
      <c r="T61" s="18">
        <v>0</v>
      </c>
      <c r="U61" s="18">
        <f t="shared" si="5"/>
        <v>0</v>
      </c>
      <c r="V61" s="18">
        <f t="shared" si="6"/>
        <v>1161222422</v>
      </c>
      <c r="W61" s="18">
        <f t="shared" si="7"/>
        <v>6960620</v>
      </c>
      <c r="X61" s="235">
        <f t="shared" si="8"/>
        <v>1168183042</v>
      </c>
      <c r="Y61" s="353">
        <f t="shared" si="83"/>
        <v>1289738</v>
      </c>
      <c r="Z61" s="353">
        <f t="shared" si="83"/>
        <v>37383576</v>
      </c>
      <c r="AA61" s="353">
        <f t="shared" si="84"/>
        <v>38673314</v>
      </c>
      <c r="AB61" s="353">
        <f t="shared" si="85"/>
        <v>11621922417</v>
      </c>
      <c r="AC61" s="353">
        <f t="shared" si="85"/>
        <v>637009</v>
      </c>
      <c r="AD61" s="353">
        <f t="shared" si="86"/>
        <v>11622559426</v>
      </c>
      <c r="AE61" s="353">
        <f t="shared" si="87"/>
        <v>0</v>
      </c>
      <c r="AF61" s="353">
        <f t="shared" si="87"/>
        <v>0</v>
      </c>
      <c r="AG61" s="353">
        <f t="shared" si="88"/>
        <v>0</v>
      </c>
      <c r="AH61" s="353">
        <f t="shared" si="89"/>
        <v>0</v>
      </c>
      <c r="AI61" s="353">
        <f t="shared" si="80"/>
        <v>116390010</v>
      </c>
      <c r="AJ61" s="353">
        <f t="shared" si="80"/>
        <v>0</v>
      </c>
      <c r="AK61" s="353">
        <f t="shared" si="90"/>
        <v>116390010</v>
      </c>
      <c r="AL61" s="353">
        <f t="shared" si="91"/>
        <v>0</v>
      </c>
      <c r="AM61" s="353">
        <f t="shared" si="81"/>
        <v>0</v>
      </c>
      <c r="AN61" s="353">
        <f t="shared" si="81"/>
        <v>0</v>
      </c>
      <c r="AO61" s="353">
        <f t="shared" si="82"/>
        <v>0</v>
      </c>
      <c r="AP61" s="353">
        <f t="shared" si="92"/>
        <v>0</v>
      </c>
      <c r="AQ61" s="353">
        <f t="shared" si="92"/>
        <v>0</v>
      </c>
      <c r="AR61" s="353">
        <f t="shared" si="93"/>
        <v>0</v>
      </c>
      <c r="AS61" s="353">
        <f t="shared" si="59"/>
        <v>11623212155</v>
      </c>
      <c r="AT61" s="353">
        <f t="shared" si="94"/>
        <v>116390010</v>
      </c>
      <c r="AU61" s="353">
        <f t="shared" si="95"/>
        <v>38020585</v>
      </c>
      <c r="AV61" s="354">
        <f t="shared" si="10"/>
        <v>11777622750</v>
      </c>
      <c r="AW61" s="431">
        <f t="shared" si="25"/>
        <v>7.856847032187031E-2</v>
      </c>
      <c r="AX61" s="431">
        <f t="shared" si="25"/>
        <v>0.33478558389948954</v>
      </c>
      <c r="AY61" s="431">
        <f t="shared" si="25"/>
        <v>1.3056710630605282</v>
      </c>
      <c r="AZ61" s="431">
        <f t="shared" si="25"/>
        <v>8.248167397547812E-2</v>
      </c>
    </row>
    <row r="62" spans="1:52">
      <c r="A62" s="138">
        <v>41944</v>
      </c>
      <c r="B62" s="139">
        <v>11780</v>
      </c>
      <c r="C62" s="18">
        <v>6051997</v>
      </c>
      <c r="D62" s="18">
        <f t="shared" si="0"/>
        <v>6063777</v>
      </c>
      <c r="E62" s="18">
        <v>1126806003</v>
      </c>
      <c r="F62" s="18">
        <v>298873</v>
      </c>
      <c r="G62" s="18">
        <f t="shared" si="1"/>
        <v>1127104876</v>
      </c>
      <c r="H62" s="18">
        <v>0</v>
      </c>
      <c r="I62" s="18">
        <v>0</v>
      </c>
      <c r="J62" s="18">
        <f t="shared" si="2"/>
        <v>0</v>
      </c>
      <c r="K62" s="18">
        <v>0</v>
      </c>
      <c r="L62" s="18">
        <v>19275105</v>
      </c>
      <c r="M62" s="18">
        <v>0</v>
      </c>
      <c r="N62" s="18">
        <f t="shared" si="3"/>
        <v>19275105</v>
      </c>
      <c r="O62" s="18">
        <v>0</v>
      </c>
      <c r="P62" s="18">
        <v>0</v>
      </c>
      <c r="Q62" s="18">
        <v>0</v>
      </c>
      <c r="R62" s="18">
        <f t="shared" si="79"/>
        <v>0</v>
      </c>
      <c r="S62" s="18">
        <v>0</v>
      </c>
      <c r="T62" s="18">
        <v>0</v>
      </c>
      <c r="U62" s="18">
        <f t="shared" si="5"/>
        <v>0</v>
      </c>
      <c r="V62" s="18">
        <f t="shared" si="6"/>
        <v>1126817783</v>
      </c>
      <c r="W62" s="18">
        <f t="shared" si="7"/>
        <v>6350870</v>
      </c>
      <c r="X62" s="235">
        <f t="shared" si="8"/>
        <v>1133168653</v>
      </c>
      <c r="Y62" s="353">
        <f t="shared" si="83"/>
        <v>1301518</v>
      </c>
      <c r="Z62" s="353">
        <f t="shared" si="83"/>
        <v>43435573</v>
      </c>
      <c r="AA62" s="353">
        <f t="shared" si="84"/>
        <v>44737091</v>
      </c>
      <c r="AB62" s="353">
        <f t="shared" si="85"/>
        <v>12748728420</v>
      </c>
      <c r="AC62" s="353">
        <f t="shared" si="85"/>
        <v>935882</v>
      </c>
      <c r="AD62" s="353">
        <f t="shared" si="86"/>
        <v>12749664302</v>
      </c>
      <c r="AE62" s="353">
        <f t="shared" si="87"/>
        <v>0</v>
      </c>
      <c r="AF62" s="353">
        <f t="shared" si="87"/>
        <v>0</v>
      </c>
      <c r="AG62" s="353">
        <f t="shared" si="88"/>
        <v>0</v>
      </c>
      <c r="AH62" s="353">
        <f t="shared" si="89"/>
        <v>0</v>
      </c>
      <c r="AI62" s="353">
        <f t="shared" si="80"/>
        <v>135665115</v>
      </c>
      <c r="AJ62" s="353">
        <f t="shared" si="80"/>
        <v>0</v>
      </c>
      <c r="AK62" s="353">
        <f t="shared" si="90"/>
        <v>135665115</v>
      </c>
      <c r="AL62" s="353">
        <f t="shared" si="91"/>
        <v>0</v>
      </c>
      <c r="AM62" s="353">
        <f t="shared" si="81"/>
        <v>0</v>
      </c>
      <c r="AN62" s="353">
        <f t="shared" si="81"/>
        <v>0</v>
      </c>
      <c r="AO62" s="353">
        <f t="shared" si="82"/>
        <v>0</v>
      </c>
      <c r="AP62" s="353">
        <f t="shared" si="92"/>
        <v>0</v>
      </c>
      <c r="AQ62" s="353">
        <f t="shared" si="92"/>
        <v>0</v>
      </c>
      <c r="AR62" s="353">
        <f t="shared" si="93"/>
        <v>0</v>
      </c>
      <c r="AS62" s="353">
        <f t="shared" si="59"/>
        <v>12750029938</v>
      </c>
      <c r="AT62" s="353">
        <f t="shared" si="94"/>
        <v>135665115</v>
      </c>
      <c r="AU62" s="353">
        <f t="shared" si="95"/>
        <v>44371455</v>
      </c>
      <c r="AV62" s="354">
        <f t="shared" si="10"/>
        <v>12930066508</v>
      </c>
      <c r="AW62" s="431">
        <f t="shared" si="25"/>
        <v>7.1212692703960245E-2</v>
      </c>
      <c r="AX62" s="431">
        <f t="shared" si="25"/>
        <v>0.35004258355011553</v>
      </c>
      <c r="AY62" s="431">
        <f t="shared" si="25"/>
        <v>1.4771113373952831</v>
      </c>
      <c r="AZ62" s="431">
        <f t="shared" si="25"/>
        <v>7.563857331330448E-2</v>
      </c>
    </row>
    <row r="63" spans="1:52" ht="15.75" thickBot="1">
      <c r="A63" s="138">
        <v>41974</v>
      </c>
      <c r="B63" s="139">
        <v>1909</v>
      </c>
      <c r="C63" s="18">
        <v>8445482</v>
      </c>
      <c r="D63" s="18">
        <f t="shared" si="0"/>
        <v>8447391</v>
      </c>
      <c r="E63" s="18">
        <v>1272005545</v>
      </c>
      <c r="F63" s="18">
        <v>251548</v>
      </c>
      <c r="G63" s="18">
        <f t="shared" si="1"/>
        <v>1272257093</v>
      </c>
      <c r="H63" s="18">
        <v>0</v>
      </c>
      <c r="I63" s="18">
        <v>0</v>
      </c>
      <c r="J63" s="18">
        <f t="shared" si="2"/>
        <v>0</v>
      </c>
      <c r="K63" s="18">
        <v>0</v>
      </c>
      <c r="L63" s="18">
        <v>15726811</v>
      </c>
      <c r="M63" s="18">
        <v>0</v>
      </c>
      <c r="N63" s="18">
        <f t="shared" si="3"/>
        <v>15726811</v>
      </c>
      <c r="O63" s="18">
        <v>0</v>
      </c>
      <c r="P63" s="18">
        <v>0</v>
      </c>
      <c r="Q63" s="18">
        <v>0</v>
      </c>
      <c r="R63" s="18">
        <f t="shared" si="79"/>
        <v>0</v>
      </c>
      <c r="S63" s="18">
        <v>0</v>
      </c>
      <c r="T63" s="18">
        <v>0</v>
      </c>
      <c r="U63" s="18">
        <f t="shared" si="5"/>
        <v>0</v>
      </c>
      <c r="V63" s="18">
        <f t="shared" si="6"/>
        <v>1272007454</v>
      </c>
      <c r="W63" s="18">
        <f t="shared" si="7"/>
        <v>8697030</v>
      </c>
      <c r="X63" s="235">
        <f t="shared" si="8"/>
        <v>1280704484</v>
      </c>
      <c r="Y63" s="353">
        <f t="shared" si="83"/>
        <v>1303427</v>
      </c>
      <c r="Z63" s="353">
        <f t="shared" si="83"/>
        <v>51881055</v>
      </c>
      <c r="AA63" s="353">
        <f t="shared" si="84"/>
        <v>53184482</v>
      </c>
      <c r="AB63" s="353">
        <f t="shared" si="85"/>
        <v>14020733965</v>
      </c>
      <c r="AC63" s="353">
        <f t="shared" si="85"/>
        <v>1187430</v>
      </c>
      <c r="AD63" s="353">
        <f t="shared" si="86"/>
        <v>14021921395</v>
      </c>
      <c r="AE63" s="353">
        <f t="shared" si="87"/>
        <v>0</v>
      </c>
      <c r="AF63" s="353">
        <f t="shared" si="87"/>
        <v>0</v>
      </c>
      <c r="AG63" s="353">
        <f t="shared" si="88"/>
        <v>0</v>
      </c>
      <c r="AH63" s="353">
        <f t="shared" si="89"/>
        <v>0</v>
      </c>
      <c r="AI63" s="353">
        <f t="shared" si="80"/>
        <v>151391926</v>
      </c>
      <c r="AJ63" s="353">
        <f t="shared" si="80"/>
        <v>0</v>
      </c>
      <c r="AK63" s="353">
        <f t="shared" si="90"/>
        <v>151391926</v>
      </c>
      <c r="AL63" s="353">
        <f t="shared" si="91"/>
        <v>0</v>
      </c>
      <c r="AM63" s="353">
        <f t="shared" si="81"/>
        <v>0</v>
      </c>
      <c r="AN63" s="353">
        <f t="shared" si="81"/>
        <v>0</v>
      </c>
      <c r="AO63" s="353">
        <f t="shared" si="82"/>
        <v>0</v>
      </c>
      <c r="AP63" s="353">
        <f t="shared" si="92"/>
        <v>0</v>
      </c>
      <c r="AQ63" s="353">
        <f t="shared" si="92"/>
        <v>0</v>
      </c>
      <c r="AR63" s="353">
        <f t="shared" si="93"/>
        <v>0</v>
      </c>
      <c r="AS63" s="353">
        <f t="shared" si="59"/>
        <v>14022037392</v>
      </c>
      <c r="AT63" s="353">
        <f t="shared" si="94"/>
        <v>151391926</v>
      </c>
      <c r="AU63" s="353">
        <f t="shared" si="95"/>
        <v>53068485</v>
      </c>
      <c r="AV63" s="354">
        <f t="shared" si="10"/>
        <v>14226497803</v>
      </c>
      <c r="AW63" s="431">
        <f t="shared" si="25"/>
        <v>6.9976966690457498E-2</v>
      </c>
      <c r="AX63" s="431">
        <f t="shared" si="25"/>
        <v>0.31070530718856837</v>
      </c>
      <c r="AY63" s="431">
        <f t="shared" si="25"/>
        <v>0.72460305699249505</v>
      </c>
      <c r="AZ63" s="431">
        <f t="shared" si="25"/>
        <v>7.3595406070775748E-2</v>
      </c>
    </row>
    <row r="64" spans="1:52">
      <c r="A64" s="141">
        <v>42005</v>
      </c>
      <c r="B64" s="142">
        <v>0</v>
      </c>
      <c r="C64" s="143">
        <v>0</v>
      </c>
      <c r="D64" s="143">
        <f t="shared" si="0"/>
        <v>0</v>
      </c>
      <c r="E64" s="143">
        <v>1192708203</v>
      </c>
      <c r="F64" s="143">
        <v>233543</v>
      </c>
      <c r="G64" s="143">
        <f t="shared" si="1"/>
        <v>1192941746</v>
      </c>
      <c r="H64" s="143">
        <v>0</v>
      </c>
      <c r="I64" s="143">
        <v>0</v>
      </c>
      <c r="J64" s="143">
        <f t="shared" si="2"/>
        <v>0</v>
      </c>
      <c r="K64" s="143">
        <v>0</v>
      </c>
      <c r="L64" s="143">
        <v>20283822</v>
      </c>
      <c r="M64" s="143">
        <v>0</v>
      </c>
      <c r="N64" s="143">
        <f t="shared" si="3"/>
        <v>20283822</v>
      </c>
      <c r="O64" s="143">
        <v>0</v>
      </c>
      <c r="P64" s="143">
        <v>0</v>
      </c>
      <c r="Q64" s="143">
        <v>0</v>
      </c>
      <c r="R64" s="143">
        <f>SUM(O64:Q64)</f>
        <v>0</v>
      </c>
      <c r="S64" s="143">
        <v>0</v>
      </c>
      <c r="T64" s="143">
        <v>0</v>
      </c>
      <c r="U64" s="143">
        <f t="shared" si="5"/>
        <v>0</v>
      </c>
      <c r="V64" s="143">
        <f t="shared" si="6"/>
        <v>1192708203</v>
      </c>
      <c r="W64" s="143">
        <f t="shared" si="7"/>
        <v>233543</v>
      </c>
      <c r="X64" s="237">
        <f t="shared" si="8"/>
        <v>1192941746</v>
      </c>
      <c r="Y64" s="350">
        <f>B64</f>
        <v>0</v>
      </c>
      <c r="Z64" s="350">
        <f>C64</f>
        <v>0</v>
      </c>
      <c r="AA64" s="350">
        <f>Z64+Y64</f>
        <v>0</v>
      </c>
      <c r="AB64" s="350">
        <f>E64</f>
        <v>1192708203</v>
      </c>
      <c r="AC64" s="350">
        <f>F64</f>
        <v>233543</v>
      </c>
      <c r="AD64" s="350">
        <f>AC64+AB64</f>
        <v>1192941746</v>
      </c>
      <c r="AE64" s="350">
        <f>H64</f>
        <v>0</v>
      </c>
      <c r="AF64" s="350">
        <f>I64</f>
        <v>0</v>
      </c>
      <c r="AG64" s="350">
        <f>AF64+AE64</f>
        <v>0</v>
      </c>
      <c r="AH64" s="350">
        <f>K64</f>
        <v>0</v>
      </c>
      <c r="AI64" s="350">
        <f>L64</f>
        <v>20283822</v>
      </c>
      <c r="AJ64" s="350">
        <f>M64</f>
        <v>0</v>
      </c>
      <c r="AK64" s="350">
        <f>AJ64+AI64+AH64</f>
        <v>20283822</v>
      </c>
      <c r="AL64" s="350">
        <f>O64</f>
        <v>0</v>
      </c>
      <c r="AM64" s="350">
        <f>P64</f>
        <v>0</v>
      </c>
      <c r="AN64" s="350">
        <f>Q64</f>
        <v>0</v>
      </c>
      <c r="AO64" s="350">
        <f>SUM(AL64:AN64)</f>
        <v>0</v>
      </c>
      <c r="AP64" s="350">
        <f>S64</f>
        <v>0</v>
      </c>
      <c r="AQ64" s="350">
        <f>T64</f>
        <v>0</v>
      </c>
      <c r="AR64" s="350">
        <f>SUM(AP64:AQ64)</f>
        <v>0</v>
      </c>
      <c r="AS64" s="350">
        <f t="shared" si="59"/>
        <v>1192708203</v>
      </c>
      <c r="AT64" s="350">
        <f>AI64</f>
        <v>20283822</v>
      </c>
      <c r="AU64" s="350">
        <f>Z64+AC64+AF64+AJ64+AN64+AQ64</f>
        <v>233543</v>
      </c>
      <c r="AV64" s="351">
        <f t="shared" si="10"/>
        <v>1213225568</v>
      </c>
      <c r="AW64" s="431">
        <f t="shared" si="25"/>
        <v>3.6971581137665854E-2</v>
      </c>
      <c r="AX64" s="431">
        <f t="shared" si="25"/>
        <v>0.4107779120206303</v>
      </c>
      <c r="AY64" s="431" t="e">
        <f t="shared" si="25"/>
        <v>#DIV/0!</v>
      </c>
      <c r="AZ64" s="431">
        <f t="shared" si="25"/>
        <v>4.1787160196790074E-2</v>
      </c>
    </row>
    <row r="65" spans="1:52">
      <c r="A65" s="138">
        <v>42036</v>
      </c>
      <c r="B65" s="139">
        <v>11859</v>
      </c>
      <c r="C65" s="18">
        <v>0</v>
      </c>
      <c r="D65" s="18">
        <f t="shared" si="0"/>
        <v>11859</v>
      </c>
      <c r="E65" s="18">
        <v>1077497118</v>
      </c>
      <c r="F65" s="18">
        <v>290228</v>
      </c>
      <c r="G65" s="18">
        <f t="shared" si="1"/>
        <v>1077787346</v>
      </c>
      <c r="H65" s="18">
        <v>0</v>
      </c>
      <c r="I65" s="18">
        <v>0</v>
      </c>
      <c r="J65" s="18">
        <f t="shared" si="2"/>
        <v>0</v>
      </c>
      <c r="K65" s="18">
        <v>0</v>
      </c>
      <c r="L65" s="18">
        <v>17343807</v>
      </c>
      <c r="M65" s="18">
        <v>0</v>
      </c>
      <c r="N65" s="18">
        <f t="shared" si="3"/>
        <v>17343807</v>
      </c>
      <c r="O65" s="18">
        <v>0</v>
      </c>
      <c r="P65" s="18">
        <v>0</v>
      </c>
      <c r="Q65" s="18">
        <v>0</v>
      </c>
      <c r="R65" s="18">
        <f t="shared" ref="R65:R75" si="96">SUM(O65:Q65)</f>
        <v>0</v>
      </c>
      <c r="S65" s="18">
        <v>0</v>
      </c>
      <c r="T65" s="18">
        <v>0</v>
      </c>
      <c r="U65" s="18">
        <f t="shared" si="5"/>
        <v>0</v>
      </c>
      <c r="V65" s="18">
        <f t="shared" si="6"/>
        <v>1077508977</v>
      </c>
      <c r="W65" s="18">
        <f t="shared" si="7"/>
        <v>290228</v>
      </c>
      <c r="X65" s="235">
        <f t="shared" si="8"/>
        <v>1077799205</v>
      </c>
      <c r="Y65" s="353">
        <f>Y64+B65</f>
        <v>11859</v>
      </c>
      <c r="Z65" s="353">
        <f>Z64+C65</f>
        <v>0</v>
      </c>
      <c r="AA65" s="353">
        <f>Z65+Y65</f>
        <v>11859</v>
      </c>
      <c r="AB65" s="353">
        <f>AB64+E65</f>
        <v>2270205321</v>
      </c>
      <c r="AC65" s="353">
        <f>AC64+F65</f>
        <v>523771</v>
      </c>
      <c r="AD65" s="353">
        <f>AC65+AB65</f>
        <v>2270729092</v>
      </c>
      <c r="AE65" s="353">
        <f>AE64+H65</f>
        <v>0</v>
      </c>
      <c r="AF65" s="353">
        <f>AF64+I65</f>
        <v>0</v>
      </c>
      <c r="AG65" s="353">
        <f>AF65+AE65</f>
        <v>0</v>
      </c>
      <c r="AH65" s="353">
        <f>AH64+K65</f>
        <v>0</v>
      </c>
      <c r="AI65" s="353">
        <f t="shared" ref="AI65:AJ75" si="97">AI64+L65</f>
        <v>37627629</v>
      </c>
      <c r="AJ65" s="353">
        <f t="shared" si="97"/>
        <v>0</v>
      </c>
      <c r="AK65" s="353">
        <f>AJ65+AI65+AH65</f>
        <v>37627629</v>
      </c>
      <c r="AL65" s="353">
        <f>AL64+O65</f>
        <v>0</v>
      </c>
      <c r="AM65" s="353">
        <f t="shared" ref="AM65:AN75" si="98">AM64+P65</f>
        <v>0</v>
      </c>
      <c r="AN65" s="353">
        <f t="shared" si="98"/>
        <v>0</v>
      </c>
      <c r="AO65" s="353">
        <f t="shared" ref="AO65:AO75" si="99">SUM(AL65:AN65)</f>
        <v>0</v>
      </c>
      <c r="AP65" s="353">
        <f>AP64+S65</f>
        <v>0</v>
      </c>
      <c r="AQ65" s="353">
        <f>AQ64+T65</f>
        <v>0</v>
      </c>
      <c r="AR65" s="353">
        <f>SUM(AP65:AQ65)</f>
        <v>0</v>
      </c>
      <c r="AS65" s="353">
        <f t="shared" si="59"/>
        <v>2270217180</v>
      </c>
      <c r="AT65" s="353">
        <f>AI65</f>
        <v>37627629</v>
      </c>
      <c r="AU65" s="353">
        <f>Z65+AC65+AF65+AJ65+AN65+AQ65</f>
        <v>523771</v>
      </c>
      <c r="AV65" s="354">
        <f t="shared" si="10"/>
        <v>2308368580</v>
      </c>
      <c r="AW65" s="431">
        <f t="shared" si="25"/>
        <v>4.5826443514692006E-2</v>
      </c>
      <c r="AX65" s="431">
        <f t="shared" si="25"/>
        <v>0.19822856712321113</v>
      </c>
      <c r="AY65" s="431">
        <f t="shared" si="25"/>
        <v>3.6503271745789352</v>
      </c>
      <c r="AZ65" s="431">
        <f t="shared" si="25"/>
        <v>4.8183944469913476E-2</v>
      </c>
    </row>
    <row r="66" spans="1:52">
      <c r="A66" s="138">
        <v>42064</v>
      </c>
      <c r="B66" s="139">
        <v>0</v>
      </c>
      <c r="C66" s="18">
        <v>4900022</v>
      </c>
      <c r="D66" s="18">
        <f t="shared" si="0"/>
        <v>4900022</v>
      </c>
      <c r="E66" s="18">
        <v>1200977243</v>
      </c>
      <c r="F66" s="18">
        <v>243216</v>
      </c>
      <c r="G66" s="18">
        <f t="shared" si="1"/>
        <v>1201220459</v>
      </c>
      <c r="H66" s="18">
        <v>0</v>
      </c>
      <c r="I66" s="18">
        <v>0</v>
      </c>
      <c r="J66" s="18">
        <f t="shared" si="2"/>
        <v>0</v>
      </c>
      <c r="K66" s="18">
        <v>0</v>
      </c>
      <c r="L66" s="18">
        <v>17784451</v>
      </c>
      <c r="M66" s="18">
        <v>0</v>
      </c>
      <c r="N66" s="18">
        <f t="shared" si="3"/>
        <v>17784451</v>
      </c>
      <c r="O66" s="18">
        <v>0</v>
      </c>
      <c r="P66" s="18">
        <v>0</v>
      </c>
      <c r="Q66" s="18">
        <v>0</v>
      </c>
      <c r="R66" s="18">
        <f t="shared" si="96"/>
        <v>0</v>
      </c>
      <c r="S66" s="18">
        <v>0</v>
      </c>
      <c r="T66" s="18">
        <v>0</v>
      </c>
      <c r="U66" s="18">
        <f t="shared" si="5"/>
        <v>0</v>
      </c>
      <c r="V66" s="18">
        <f t="shared" si="6"/>
        <v>1200977243</v>
      </c>
      <c r="W66" s="18">
        <f t="shared" si="7"/>
        <v>5143238</v>
      </c>
      <c r="X66" s="235">
        <f t="shared" si="8"/>
        <v>1206120481</v>
      </c>
      <c r="Y66" s="353">
        <f t="shared" ref="Y66:Z75" si="100">Y65+B66</f>
        <v>11859</v>
      </c>
      <c r="Z66" s="353">
        <f t="shared" si="100"/>
        <v>4900022</v>
      </c>
      <c r="AA66" s="353">
        <f t="shared" ref="AA66:AA75" si="101">Z66+Y66</f>
        <v>4911881</v>
      </c>
      <c r="AB66" s="353">
        <f t="shared" ref="AB66:AC75" si="102">AB65+E66</f>
        <v>3471182564</v>
      </c>
      <c r="AC66" s="353">
        <f t="shared" si="102"/>
        <v>766987</v>
      </c>
      <c r="AD66" s="353">
        <f t="shared" ref="AD66:AD75" si="103">AC66+AB66</f>
        <v>3471949551</v>
      </c>
      <c r="AE66" s="353">
        <f t="shared" ref="AE66:AF75" si="104">AE65+H66</f>
        <v>0</v>
      </c>
      <c r="AF66" s="353">
        <f t="shared" si="104"/>
        <v>0</v>
      </c>
      <c r="AG66" s="353">
        <f t="shared" ref="AG66:AG75" si="105">AF66+AE66</f>
        <v>0</v>
      </c>
      <c r="AH66" s="353">
        <f t="shared" ref="AH66:AH75" si="106">AH65+K66</f>
        <v>0</v>
      </c>
      <c r="AI66" s="353">
        <f t="shared" si="97"/>
        <v>55412080</v>
      </c>
      <c r="AJ66" s="353">
        <f t="shared" si="97"/>
        <v>0</v>
      </c>
      <c r="AK66" s="353">
        <f t="shared" ref="AK66:AK75" si="107">AJ66+AI66+AH66</f>
        <v>55412080</v>
      </c>
      <c r="AL66" s="353">
        <f t="shared" ref="AL66:AL75" si="108">AL65+O66</f>
        <v>0</v>
      </c>
      <c r="AM66" s="353">
        <f t="shared" si="98"/>
        <v>0</v>
      </c>
      <c r="AN66" s="353">
        <f t="shared" si="98"/>
        <v>0</v>
      </c>
      <c r="AO66" s="353">
        <f t="shared" si="99"/>
        <v>0</v>
      </c>
      <c r="AP66" s="353">
        <f t="shared" ref="AP66:AQ75" si="109">AP65+S66</f>
        <v>0</v>
      </c>
      <c r="AQ66" s="353">
        <f t="shared" si="109"/>
        <v>0</v>
      </c>
      <c r="AR66" s="353">
        <f t="shared" ref="AR66:AR75" si="110">SUM(AP66:AQ66)</f>
        <v>0</v>
      </c>
      <c r="AS66" s="353">
        <f t="shared" si="59"/>
        <v>3471194423</v>
      </c>
      <c r="AT66" s="353">
        <f t="shared" ref="AT66:AT75" si="111">AI66</f>
        <v>55412080</v>
      </c>
      <c r="AU66" s="353">
        <f t="shared" ref="AU66:AU75" si="112">Z66+AC66+AF66+AJ66+AN66+AQ66</f>
        <v>5667009</v>
      </c>
      <c r="AV66" s="354">
        <f t="shared" si="10"/>
        <v>3532273512</v>
      </c>
      <c r="AW66" s="431">
        <f t="shared" si="25"/>
        <v>4.6252200339021332E-2</v>
      </c>
      <c r="AX66" s="431">
        <f t="shared" si="25"/>
        <v>0.2454138194524762</v>
      </c>
      <c r="AY66" s="431">
        <f t="shared" si="25"/>
        <v>49.314824515453118</v>
      </c>
      <c r="AZ66" s="431">
        <f t="shared" si="25"/>
        <v>5.0538030232971431E-2</v>
      </c>
    </row>
    <row r="67" spans="1:52">
      <c r="A67" s="138">
        <v>42095</v>
      </c>
      <c r="B67" s="139">
        <v>11381</v>
      </c>
      <c r="C67" s="18">
        <v>7730301</v>
      </c>
      <c r="D67" s="18">
        <f t="shared" si="0"/>
        <v>7741682</v>
      </c>
      <c r="E67" s="18">
        <v>1155991715</v>
      </c>
      <c r="F67" s="18">
        <v>308199</v>
      </c>
      <c r="G67" s="18">
        <f t="shared" si="1"/>
        <v>1156299914</v>
      </c>
      <c r="H67" s="18">
        <v>0</v>
      </c>
      <c r="I67" s="18">
        <v>0</v>
      </c>
      <c r="J67" s="18">
        <f t="shared" si="2"/>
        <v>0</v>
      </c>
      <c r="K67" s="18">
        <v>0</v>
      </c>
      <c r="L67" s="18">
        <v>16708469</v>
      </c>
      <c r="M67" s="18">
        <v>0</v>
      </c>
      <c r="N67" s="18">
        <f t="shared" si="3"/>
        <v>16708469</v>
      </c>
      <c r="O67" s="18">
        <v>0</v>
      </c>
      <c r="P67" s="18">
        <v>0</v>
      </c>
      <c r="Q67" s="18">
        <v>0</v>
      </c>
      <c r="R67" s="18">
        <f t="shared" si="96"/>
        <v>0</v>
      </c>
      <c r="S67" s="18">
        <v>0</v>
      </c>
      <c r="T67" s="18">
        <v>0</v>
      </c>
      <c r="U67" s="18">
        <f t="shared" si="5"/>
        <v>0</v>
      </c>
      <c r="V67" s="18">
        <f t="shared" si="6"/>
        <v>1156003096</v>
      </c>
      <c r="W67" s="18">
        <f t="shared" si="7"/>
        <v>8038500</v>
      </c>
      <c r="X67" s="235">
        <f t="shared" si="8"/>
        <v>1164041596</v>
      </c>
      <c r="Y67" s="353">
        <f t="shared" si="100"/>
        <v>23240</v>
      </c>
      <c r="Z67" s="353">
        <f t="shared" si="100"/>
        <v>12630323</v>
      </c>
      <c r="AA67" s="353">
        <f t="shared" si="101"/>
        <v>12653563</v>
      </c>
      <c r="AB67" s="353">
        <f t="shared" si="102"/>
        <v>4627174279</v>
      </c>
      <c r="AC67" s="353">
        <f t="shared" si="102"/>
        <v>1075186</v>
      </c>
      <c r="AD67" s="353">
        <f t="shared" si="103"/>
        <v>4628249465</v>
      </c>
      <c r="AE67" s="353">
        <f t="shared" si="104"/>
        <v>0</v>
      </c>
      <c r="AF67" s="353">
        <f t="shared" si="104"/>
        <v>0</v>
      </c>
      <c r="AG67" s="353">
        <f t="shared" si="105"/>
        <v>0</v>
      </c>
      <c r="AH67" s="353">
        <f t="shared" si="106"/>
        <v>0</v>
      </c>
      <c r="AI67" s="353">
        <f t="shared" si="97"/>
        <v>72120549</v>
      </c>
      <c r="AJ67" s="353">
        <f t="shared" si="97"/>
        <v>0</v>
      </c>
      <c r="AK67" s="353">
        <f t="shared" si="107"/>
        <v>72120549</v>
      </c>
      <c r="AL67" s="353">
        <f t="shared" si="108"/>
        <v>0</v>
      </c>
      <c r="AM67" s="353">
        <f t="shared" si="98"/>
        <v>0</v>
      </c>
      <c r="AN67" s="353">
        <f t="shared" si="98"/>
        <v>0</v>
      </c>
      <c r="AO67" s="353">
        <f t="shared" si="99"/>
        <v>0</v>
      </c>
      <c r="AP67" s="353">
        <f t="shared" si="109"/>
        <v>0</v>
      </c>
      <c r="AQ67" s="353">
        <f t="shared" si="109"/>
        <v>0</v>
      </c>
      <c r="AR67" s="353">
        <f t="shared" si="110"/>
        <v>0</v>
      </c>
      <c r="AS67" s="353">
        <f t="shared" si="59"/>
        <v>4627197519</v>
      </c>
      <c r="AT67" s="353">
        <f t="shared" si="111"/>
        <v>72120549</v>
      </c>
      <c r="AU67" s="353">
        <f t="shared" si="112"/>
        <v>13705509</v>
      </c>
      <c r="AV67" s="354">
        <f t="shared" si="10"/>
        <v>4713023577</v>
      </c>
      <c r="AW67" s="431">
        <f t="shared" si="25"/>
        <v>2.9770051013658927E-2</v>
      </c>
      <c r="AX67" s="431">
        <f t="shared" si="25"/>
        <v>0.18798027117798788</v>
      </c>
      <c r="AY67" s="431">
        <f t="shared" si="25"/>
        <v>120.68505118484254</v>
      </c>
      <c r="AZ67" s="431">
        <f t="shared" si="25"/>
        <v>3.486292934254398E-2</v>
      </c>
    </row>
    <row r="68" spans="1:52">
      <c r="A68" s="138">
        <v>42125</v>
      </c>
      <c r="B68" s="139">
        <v>0</v>
      </c>
      <c r="C68" s="18">
        <v>4443940</v>
      </c>
      <c r="D68" s="18">
        <f t="shared" si="0"/>
        <v>4443940</v>
      </c>
      <c r="E68" s="18">
        <v>1199765889</v>
      </c>
      <c r="F68" s="18">
        <v>325513</v>
      </c>
      <c r="G68" s="18">
        <f t="shared" si="1"/>
        <v>1200091402</v>
      </c>
      <c r="H68" s="18">
        <v>0</v>
      </c>
      <c r="I68" s="18">
        <v>0</v>
      </c>
      <c r="J68" s="18">
        <f t="shared" si="2"/>
        <v>0</v>
      </c>
      <c r="K68" s="18">
        <v>0</v>
      </c>
      <c r="L68" s="18">
        <v>11345644</v>
      </c>
      <c r="M68" s="18">
        <v>0</v>
      </c>
      <c r="N68" s="18">
        <f t="shared" si="3"/>
        <v>11345644</v>
      </c>
      <c r="O68" s="18">
        <v>0</v>
      </c>
      <c r="P68" s="18">
        <v>0</v>
      </c>
      <c r="Q68" s="18">
        <v>0</v>
      </c>
      <c r="R68" s="18">
        <f t="shared" si="96"/>
        <v>0</v>
      </c>
      <c r="S68" s="18">
        <v>0</v>
      </c>
      <c r="T68" s="18">
        <v>0</v>
      </c>
      <c r="U68" s="18">
        <f t="shared" si="5"/>
        <v>0</v>
      </c>
      <c r="V68" s="18">
        <f t="shared" si="6"/>
        <v>1199765889</v>
      </c>
      <c r="W68" s="18">
        <f t="shared" si="7"/>
        <v>4769453</v>
      </c>
      <c r="X68" s="235">
        <f t="shared" si="8"/>
        <v>1204535342</v>
      </c>
      <c r="Y68" s="353">
        <f t="shared" si="100"/>
        <v>23240</v>
      </c>
      <c r="Z68" s="353">
        <f t="shared" si="100"/>
        <v>17074263</v>
      </c>
      <c r="AA68" s="353">
        <f t="shared" si="101"/>
        <v>17097503</v>
      </c>
      <c r="AB68" s="353">
        <f t="shared" si="102"/>
        <v>5826940168</v>
      </c>
      <c r="AC68" s="353">
        <f t="shared" si="102"/>
        <v>1400699</v>
      </c>
      <c r="AD68" s="353">
        <f t="shared" si="103"/>
        <v>5828340867</v>
      </c>
      <c r="AE68" s="353">
        <f t="shared" si="104"/>
        <v>0</v>
      </c>
      <c r="AF68" s="353">
        <f t="shared" si="104"/>
        <v>0</v>
      </c>
      <c r="AG68" s="353">
        <f t="shared" si="105"/>
        <v>0</v>
      </c>
      <c r="AH68" s="353">
        <f t="shared" si="106"/>
        <v>0</v>
      </c>
      <c r="AI68" s="353">
        <f t="shared" si="97"/>
        <v>83466193</v>
      </c>
      <c r="AJ68" s="353">
        <f t="shared" si="97"/>
        <v>0</v>
      </c>
      <c r="AK68" s="353">
        <f t="shared" si="107"/>
        <v>83466193</v>
      </c>
      <c r="AL68" s="353">
        <f t="shared" si="108"/>
        <v>0</v>
      </c>
      <c r="AM68" s="353">
        <f t="shared" si="98"/>
        <v>0</v>
      </c>
      <c r="AN68" s="353">
        <f t="shared" si="98"/>
        <v>0</v>
      </c>
      <c r="AO68" s="353">
        <f t="shared" si="99"/>
        <v>0</v>
      </c>
      <c r="AP68" s="353">
        <f t="shared" si="109"/>
        <v>0</v>
      </c>
      <c r="AQ68" s="353">
        <f t="shared" si="109"/>
        <v>0</v>
      </c>
      <c r="AR68" s="353">
        <f t="shared" si="110"/>
        <v>0</v>
      </c>
      <c r="AS68" s="353">
        <f t="shared" si="59"/>
        <v>5826963408</v>
      </c>
      <c r="AT68" s="353">
        <f t="shared" si="111"/>
        <v>83466193</v>
      </c>
      <c r="AU68" s="353">
        <f t="shared" si="112"/>
        <v>18474962</v>
      </c>
      <c r="AV68" s="354">
        <f t="shared" si="10"/>
        <v>5928904563</v>
      </c>
      <c r="AW68" s="431">
        <f t="shared" si="25"/>
        <v>2.3387155310683916E-2</v>
      </c>
      <c r="AX68" s="431">
        <f t="shared" si="25"/>
        <v>0.18022803747066174</v>
      </c>
      <c r="AY68" s="431">
        <f t="shared" si="25"/>
        <v>5.0598322333225534</v>
      </c>
      <c r="AZ68" s="431">
        <f t="shared" si="25"/>
        <v>2.7972578283101068E-2</v>
      </c>
    </row>
    <row r="69" spans="1:52">
      <c r="A69" s="138">
        <v>42156</v>
      </c>
      <c r="B69" s="139">
        <v>0</v>
      </c>
      <c r="C69" s="18">
        <v>8878139</v>
      </c>
      <c r="D69" s="18">
        <f t="shared" ref="D69:D132" si="113">C69+B69</f>
        <v>8878139</v>
      </c>
      <c r="E69" s="18">
        <v>1238305509</v>
      </c>
      <c r="F69" s="18">
        <v>336088</v>
      </c>
      <c r="G69" s="18">
        <f t="shared" ref="G69:G132" si="114">F69+E69</f>
        <v>1238641597</v>
      </c>
      <c r="H69" s="18">
        <v>0</v>
      </c>
      <c r="I69" s="18">
        <v>0</v>
      </c>
      <c r="J69" s="18">
        <f t="shared" ref="J69:J132" si="115">I69+H69</f>
        <v>0</v>
      </c>
      <c r="K69" s="18">
        <v>0</v>
      </c>
      <c r="L69" s="18">
        <v>12505894</v>
      </c>
      <c r="M69" s="18">
        <v>0</v>
      </c>
      <c r="N69" s="18">
        <f t="shared" ref="N69:N132" si="116">M69+L69+K69</f>
        <v>12505894</v>
      </c>
      <c r="O69" s="18">
        <v>0</v>
      </c>
      <c r="P69" s="18">
        <v>0</v>
      </c>
      <c r="Q69" s="18">
        <v>0</v>
      </c>
      <c r="R69" s="18">
        <f t="shared" si="96"/>
        <v>0</v>
      </c>
      <c r="S69" s="18">
        <v>0</v>
      </c>
      <c r="T69" s="18">
        <v>0</v>
      </c>
      <c r="U69" s="18">
        <f t="shared" ref="U69:U132" si="117">T69+S69</f>
        <v>0</v>
      </c>
      <c r="V69" s="18">
        <f t="shared" ref="V69:V132" si="118">B69+E69+H69+K69+O69+S69</f>
        <v>1238305509</v>
      </c>
      <c r="W69" s="18">
        <f t="shared" ref="W69:W132" si="119">C69+F69+I69+M69+Q69+T69</f>
        <v>9214227</v>
      </c>
      <c r="X69" s="235">
        <f t="shared" ref="X69:X108" si="120">W69+V69</f>
        <v>1247519736</v>
      </c>
      <c r="Y69" s="353">
        <f t="shared" si="100"/>
        <v>23240</v>
      </c>
      <c r="Z69" s="353">
        <f t="shared" si="100"/>
        <v>25952402</v>
      </c>
      <c r="AA69" s="353">
        <f t="shared" si="101"/>
        <v>25975642</v>
      </c>
      <c r="AB69" s="353">
        <f t="shared" si="102"/>
        <v>7065245677</v>
      </c>
      <c r="AC69" s="353">
        <f t="shared" si="102"/>
        <v>1736787</v>
      </c>
      <c r="AD69" s="353">
        <f t="shared" si="103"/>
        <v>7066982464</v>
      </c>
      <c r="AE69" s="353">
        <f t="shared" si="104"/>
        <v>0</v>
      </c>
      <c r="AF69" s="353">
        <f t="shared" si="104"/>
        <v>0</v>
      </c>
      <c r="AG69" s="353">
        <f t="shared" si="105"/>
        <v>0</v>
      </c>
      <c r="AH69" s="353">
        <f t="shared" si="106"/>
        <v>0</v>
      </c>
      <c r="AI69" s="353">
        <f t="shared" si="97"/>
        <v>95972087</v>
      </c>
      <c r="AJ69" s="353">
        <f t="shared" si="97"/>
        <v>0</v>
      </c>
      <c r="AK69" s="353">
        <f t="shared" si="107"/>
        <v>95972087</v>
      </c>
      <c r="AL69" s="353">
        <f t="shared" si="108"/>
        <v>0</v>
      </c>
      <c r="AM69" s="353">
        <f t="shared" si="98"/>
        <v>0</v>
      </c>
      <c r="AN69" s="353">
        <f t="shared" si="98"/>
        <v>0</v>
      </c>
      <c r="AO69" s="353">
        <f t="shared" si="99"/>
        <v>0</v>
      </c>
      <c r="AP69" s="353">
        <f t="shared" si="109"/>
        <v>0</v>
      </c>
      <c r="AQ69" s="353">
        <f t="shared" si="109"/>
        <v>0</v>
      </c>
      <c r="AR69" s="353">
        <f t="shared" si="110"/>
        <v>0</v>
      </c>
      <c r="AS69" s="353">
        <f t="shared" si="59"/>
        <v>7065268917</v>
      </c>
      <c r="AT69" s="353">
        <f t="shared" si="111"/>
        <v>95972087</v>
      </c>
      <c r="AU69" s="353">
        <f t="shared" si="112"/>
        <v>27689189</v>
      </c>
      <c r="AV69" s="354">
        <f t="shared" ref="AV69:AV132" si="121">SUM(AS69:AU69)</f>
        <v>7188930193</v>
      </c>
      <c r="AW69" s="431">
        <f t="shared" si="25"/>
        <v>2.6181967928253336E-2</v>
      </c>
      <c r="AX69" s="431">
        <f t="shared" si="25"/>
        <v>0.16288351617502839</v>
      </c>
      <c r="AY69" s="431">
        <f t="shared" si="25"/>
        <v>2.6514888725892414</v>
      </c>
      <c r="AZ69" s="431">
        <f t="shared" si="25"/>
        <v>3.0653514050948738E-2</v>
      </c>
    </row>
    <row r="70" spans="1:52">
      <c r="A70" s="138">
        <v>42186</v>
      </c>
      <c r="B70" s="139">
        <v>0</v>
      </c>
      <c r="C70" s="18">
        <v>13350043</v>
      </c>
      <c r="D70" s="18">
        <f t="shared" si="113"/>
        <v>13350043</v>
      </c>
      <c r="E70" s="18">
        <v>1226889119</v>
      </c>
      <c r="F70" s="18">
        <v>324022</v>
      </c>
      <c r="G70" s="18">
        <f t="shared" si="114"/>
        <v>1227213141</v>
      </c>
      <c r="H70" s="18">
        <v>0</v>
      </c>
      <c r="I70" s="18">
        <v>0</v>
      </c>
      <c r="J70" s="18">
        <f t="shared" si="115"/>
        <v>0</v>
      </c>
      <c r="K70" s="18">
        <v>0</v>
      </c>
      <c r="L70" s="18">
        <v>18809335</v>
      </c>
      <c r="M70" s="18">
        <v>0</v>
      </c>
      <c r="N70" s="18">
        <f t="shared" si="116"/>
        <v>18809335</v>
      </c>
      <c r="O70" s="18">
        <v>0</v>
      </c>
      <c r="P70" s="18">
        <v>0</v>
      </c>
      <c r="Q70" s="18">
        <v>0</v>
      </c>
      <c r="R70" s="18">
        <f t="shared" si="96"/>
        <v>0</v>
      </c>
      <c r="S70" s="18">
        <v>0</v>
      </c>
      <c r="T70" s="18">
        <v>0</v>
      </c>
      <c r="U70" s="18">
        <f t="shared" si="117"/>
        <v>0</v>
      </c>
      <c r="V70" s="18">
        <f t="shared" si="118"/>
        <v>1226889119</v>
      </c>
      <c r="W70" s="18">
        <f t="shared" si="119"/>
        <v>13674065</v>
      </c>
      <c r="X70" s="235">
        <f t="shared" si="120"/>
        <v>1240563184</v>
      </c>
      <c r="Y70" s="353">
        <f t="shared" si="100"/>
        <v>23240</v>
      </c>
      <c r="Z70" s="353">
        <f t="shared" si="100"/>
        <v>39302445</v>
      </c>
      <c r="AA70" s="353">
        <f t="shared" si="101"/>
        <v>39325685</v>
      </c>
      <c r="AB70" s="353">
        <f t="shared" si="102"/>
        <v>8292134796</v>
      </c>
      <c r="AC70" s="353">
        <f t="shared" si="102"/>
        <v>2060809</v>
      </c>
      <c r="AD70" s="353">
        <f t="shared" si="103"/>
        <v>8294195605</v>
      </c>
      <c r="AE70" s="353">
        <f t="shared" si="104"/>
        <v>0</v>
      </c>
      <c r="AF70" s="353">
        <f t="shared" si="104"/>
        <v>0</v>
      </c>
      <c r="AG70" s="353">
        <f t="shared" si="105"/>
        <v>0</v>
      </c>
      <c r="AH70" s="353">
        <f t="shared" si="106"/>
        <v>0</v>
      </c>
      <c r="AI70" s="353">
        <f t="shared" si="97"/>
        <v>114781422</v>
      </c>
      <c r="AJ70" s="353">
        <f t="shared" si="97"/>
        <v>0</v>
      </c>
      <c r="AK70" s="353">
        <f t="shared" si="107"/>
        <v>114781422</v>
      </c>
      <c r="AL70" s="353">
        <f t="shared" si="108"/>
        <v>0</v>
      </c>
      <c r="AM70" s="353">
        <f t="shared" si="98"/>
        <v>0</v>
      </c>
      <c r="AN70" s="353">
        <f t="shared" si="98"/>
        <v>0</v>
      </c>
      <c r="AO70" s="353">
        <f t="shared" si="99"/>
        <v>0</v>
      </c>
      <c r="AP70" s="353">
        <f t="shared" si="109"/>
        <v>0</v>
      </c>
      <c r="AQ70" s="353">
        <f t="shared" si="109"/>
        <v>0</v>
      </c>
      <c r="AR70" s="353">
        <f t="shared" si="110"/>
        <v>0</v>
      </c>
      <c r="AS70" s="353">
        <f t="shared" si="59"/>
        <v>8292158036</v>
      </c>
      <c r="AT70" s="353">
        <f t="shared" si="111"/>
        <v>114781422</v>
      </c>
      <c r="AU70" s="353">
        <f t="shared" si="112"/>
        <v>41363254</v>
      </c>
      <c r="AV70" s="354">
        <f t="shared" si="121"/>
        <v>8448302712</v>
      </c>
      <c r="AW70" s="431">
        <f t="shared" si="25"/>
        <v>2.0747852033359049E-2</v>
      </c>
      <c r="AX70" s="431">
        <f t="shared" si="25"/>
        <v>0.19716240355024861</v>
      </c>
      <c r="AY70" s="431">
        <f t="shared" si="25"/>
        <v>1.677310208785288</v>
      </c>
      <c r="AZ70" s="431">
        <f t="shared" si="25"/>
        <v>2.5909689341479858E-2</v>
      </c>
    </row>
    <row r="71" spans="1:52">
      <c r="A71" s="138">
        <v>42217</v>
      </c>
      <c r="B71" s="139">
        <v>9774</v>
      </c>
      <c r="C71" s="18">
        <v>16980873</v>
      </c>
      <c r="D71" s="18">
        <f t="shared" si="113"/>
        <v>16990647</v>
      </c>
      <c r="E71" s="18">
        <v>1207198849</v>
      </c>
      <c r="F71" s="18">
        <v>1098601</v>
      </c>
      <c r="G71" s="18">
        <f t="shared" si="114"/>
        <v>1208297450</v>
      </c>
      <c r="H71" s="18">
        <v>0</v>
      </c>
      <c r="I71" s="18">
        <v>0</v>
      </c>
      <c r="J71" s="18">
        <f t="shared" si="115"/>
        <v>0</v>
      </c>
      <c r="K71" s="18">
        <v>0</v>
      </c>
      <c r="L71" s="18">
        <v>15188759</v>
      </c>
      <c r="M71" s="18">
        <v>0</v>
      </c>
      <c r="N71" s="18">
        <f t="shared" si="116"/>
        <v>15188759</v>
      </c>
      <c r="O71" s="18">
        <v>0</v>
      </c>
      <c r="P71" s="18">
        <v>0</v>
      </c>
      <c r="Q71" s="18">
        <v>0</v>
      </c>
      <c r="R71" s="18">
        <f t="shared" si="96"/>
        <v>0</v>
      </c>
      <c r="S71" s="18">
        <v>0</v>
      </c>
      <c r="T71" s="18">
        <v>0</v>
      </c>
      <c r="U71" s="18">
        <f t="shared" si="117"/>
        <v>0</v>
      </c>
      <c r="V71" s="18">
        <f t="shared" si="118"/>
        <v>1207208623</v>
      </c>
      <c r="W71" s="18">
        <f t="shared" si="119"/>
        <v>18079474</v>
      </c>
      <c r="X71" s="235">
        <f t="shared" si="120"/>
        <v>1225288097</v>
      </c>
      <c r="Y71" s="353">
        <f t="shared" si="100"/>
        <v>33014</v>
      </c>
      <c r="Z71" s="353">
        <f t="shared" si="100"/>
        <v>56283318</v>
      </c>
      <c r="AA71" s="353">
        <f t="shared" si="101"/>
        <v>56316332</v>
      </c>
      <c r="AB71" s="353">
        <f t="shared" si="102"/>
        <v>9499333645</v>
      </c>
      <c r="AC71" s="353">
        <f t="shared" si="102"/>
        <v>3159410</v>
      </c>
      <c r="AD71" s="353">
        <f t="shared" si="103"/>
        <v>9502493055</v>
      </c>
      <c r="AE71" s="353">
        <f t="shared" si="104"/>
        <v>0</v>
      </c>
      <c r="AF71" s="353">
        <f t="shared" si="104"/>
        <v>0</v>
      </c>
      <c r="AG71" s="353">
        <f t="shared" si="105"/>
        <v>0</v>
      </c>
      <c r="AH71" s="353">
        <f t="shared" si="106"/>
        <v>0</v>
      </c>
      <c r="AI71" s="353">
        <f t="shared" si="97"/>
        <v>129970181</v>
      </c>
      <c r="AJ71" s="353">
        <f t="shared" si="97"/>
        <v>0</v>
      </c>
      <c r="AK71" s="353">
        <f t="shared" si="107"/>
        <v>129970181</v>
      </c>
      <c r="AL71" s="353">
        <f t="shared" si="108"/>
        <v>0</v>
      </c>
      <c r="AM71" s="353">
        <f t="shared" si="98"/>
        <v>0</v>
      </c>
      <c r="AN71" s="353">
        <f t="shared" si="98"/>
        <v>0</v>
      </c>
      <c r="AO71" s="353">
        <f t="shared" si="99"/>
        <v>0</v>
      </c>
      <c r="AP71" s="353">
        <f t="shared" si="109"/>
        <v>0</v>
      </c>
      <c r="AQ71" s="353">
        <f t="shared" si="109"/>
        <v>0</v>
      </c>
      <c r="AR71" s="353">
        <f t="shared" si="110"/>
        <v>0</v>
      </c>
      <c r="AS71" s="353">
        <f t="shared" si="59"/>
        <v>9499366659</v>
      </c>
      <c r="AT71" s="353">
        <f t="shared" si="111"/>
        <v>129970181</v>
      </c>
      <c r="AU71" s="353">
        <f t="shared" si="112"/>
        <v>59442728</v>
      </c>
      <c r="AV71" s="354">
        <f t="shared" si="121"/>
        <v>9688779568</v>
      </c>
      <c r="AW71" s="431">
        <f t="shared" si="25"/>
        <v>2.1022042294148724E-2</v>
      </c>
      <c r="AX71" s="431">
        <f t="shared" si="25"/>
        <v>0.12119802512073585</v>
      </c>
      <c r="AY71" s="431">
        <f t="shared" si="25"/>
        <v>1.769398175523706</v>
      </c>
      <c r="AZ71" s="431">
        <f t="shared" si="25"/>
        <v>2.6226892126364421E-2</v>
      </c>
    </row>
    <row r="72" spans="1:52">
      <c r="A72" s="138">
        <v>42248</v>
      </c>
      <c r="B72" s="139">
        <v>0</v>
      </c>
      <c r="C72" s="18">
        <v>3152145</v>
      </c>
      <c r="D72" s="18">
        <f t="shared" si="113"/>
        <v>3152145</v>
      </c>
      <c r="E72" s="18">
        <v>1179680490</v>
      </c>
      <c r="F72" s="18">
        <v>966470</v>
      </c>
      <c r="G72" s="18">
        <f t="shared" si="114"/>
        <v>1180646960</v>
      </c>
      <c r="H72" s="18">
        <v>0</v>
      </c>
      <c r="I72" s="18">
        <v>0</v>
      </c>
      <c r="J72" s="18">
        <f t="shared" si="115"/>
        <v>0</v>
      </c>
      <c r="K72" s="18">
        <v>0</v>
      </c>
      <c r="L72" s="18">
        <v>19282688</v>
      </c>
      <c r="M72" s="18">
        <v>0</v>
      </c>
      <c r="N72" s="18">
        <f t="shared" si="116"/>
        <v>19282688</v>
      </c>
      <c r="O72" s="18">
        <v>0</v>
      </c>
      <c r="P72" s="18">
        <v>0</v>
      </c>
      <c r="Q72" s="18">
        <v>0</v>
      </c>
      <c r="R72" s="18">
        <f t="shared" si="96"/>
        <v>0</v>
      </c>
      <c r="S72" s="18">
        <v>0</v>
      </c>
      <c r="T72" s="18">
        <v>0</v>
      </c>
      <c r="U72" s="18">
        <f t="shared" si="117"/>
        <v>0</v>
      </c>
      <c r="V72" s="18">
        <f t="shared" si="118"/>
        <v>1179680490</v>
      </c>
      <c r="W72" s="18">
        <f t="shared" si="119"/>
        <v>4118615</v>
      </c>
      <c r="X72" s="235">
        <f t="shared" si="120"/>
        <v>1183799105</v>
      </c>
      <c r="Y72" s="353">
        <f t="shared" si="100"/>
        <v>33014</v>
      </c>
      <c r="Z72" s="353">
        <f t="shared" si="100"/>
        <v>59435463</v>
      </c>
      <c r="AA72" s="353">
        <f t="shared" si="101"/>
        <v>59468477</v>
      </c>
      <c r="AB72" s="353">
        <f t="shared" si="102"/>
        <v>10679014135</v>
      </c>
      <c r="AC72" s="353">
        <f t="shared" si="102"/>
        <v>4125880</v>
      </c>
      <c r="AD72" s="353">
        <f t="shared" si="103"/>
        <v>10683140015</v>
      </c>
      <c r="AE72" s="353">
        <f t="shared" si="104"/>
        <v>0</v>
      </c>
      <c r="AF72" s="353">
        <f t="shared" si="104"/>
        <v>0</v>
      </c>
      <c r="AG72" s="353">
        <f t="shared" si="105"/>
        <v>0</v>
      </c>
      <c r="AH72" s="353">
        <f t="shared" si="106"/>
        <v>0</v>
      </c>
      <c r="AI72" s="353">
        <f t="shared" si="97"/>
        <v>149252869</v>
      </c>
      <c r="AJ72" s="353">
        <f t="shared" si="97"/>
        <v>0</v>
      </c>
      <c r="AK72" s="353">
        <f t="shared" si="107"/>
        <v>149252869</v>
      </c>
      <c r="AL72" s="353">
        <f t="shared" si="108"/>
        <v>0</v>
      </c>
      <c r="AM72" s="353">
        <f t="shared" si="98"/>
        <v>0</v>
      </c>
      <c r="AN72" s="353">
        <f t="shared" si="98"/>
        <v>0</v>
      </c>
      <c r="AO72" s="353">
        <f t="shared" si="99"/>
        <v>0</v>
      </c>
      <c r="AP72" s="353">
        <f t="shared" si="109"/>
        <v>0</v>
      </c>
      <c r="AQ72" s="353">
        <f t="shared" si="109"/>
        <v>0</v>
      </c>
      <c r="AR72" s="353">
        <f t="shared" si="110"/>
        <v>0</v>
      </c>
      <c r="AS72" s="353">
        <f t="shared" si="59"/>
        <v>10679047149</v>
      </c>
      <c r="AT72" s="353">
        <f t="shared" si="111"/>
        <v>149252869</v>
      </c>
      <c r="AU72" s="353">
        <f t="shared" si="112"/>
        <v>63561343</v>
      </c>
      <c r="AV72" s="354">
        <f t="shared" si="121"/>
        <v>10891861361</v>
      </c>
      <c r="AW72" s="431">
        <f t="shared" si="25"/>
        <v>2.0747240394945354E-2</v>
      </c>
      <c r="AX72" s="431">
        <f t="shared" si="25"/>
        <v>0.28754165516168584</v>
      </c>
      <c r="AY72" s="431">
        <f t="shared" si="25"/>
        <v>1.046407425121052</v>
      </c>
      <c r="AZ72" s="431">
        <f t="shared" si="25"/>
        <v>2.6665250397294393E-2</v>
      </c>
    </row>
    <row r="73" spans="1:52">
      <c r="A73" s="138">
        <v>42278</v>
      </c>
      <c r="B73" s="139">
        <v>11416</v>
      </c>
      <c r="C73" s="18">
        <v>7214633</v>
      </c>
      <c r="D73" s="18">
        <f t="shared" si="113"/>
        <v>7226049</v>
      </c>
      <c r="E73" s="18">
        <v>1218627935</v>
      </c>
      <c r="F73" s="18">
        <v>1033369</v>
      </c>
      <c r="G73" s="18">
        <f t="shared" si="114"/>
        <v>1219661304</v>
      </c>
      <c r="H73" s="18">
        <v>0</v>
      </c>
      <c r="I73" s="18">
        <v>0</v>
      </c>
      <c r="J73" s="18">
        <f t="shared" si="115"/>
        <v>0</v>
      </c>
      <c r="K73" s="18">
        <v>0</v>
      </c>
      <c r="L73" s="18">
        <v>20692996</v>
      </c>
      <c r="M73" s="18">
        <v>0</v>
      </c>
      <c r="N73" s="18">
        <f t="shared" si="116"/>
        <v>20692996</v>
      </c>
      <c r="O73" s="18">
        <v>0</v>
      </c>
      <c r="P73" s="18">
        <v>0</v>
      </c>
      <c r="Q73" s="18">
        <v>0</v>
      </c>
      <c r="R73" s="18">
        <f t="shared" si="96"/>
        <v>0</v>
      </c>
      <c r="S73" s="18">
        <v>0</v>
      </c>
      <c r="T73" s="18">
        <v>0</v>
      </c>
      <c r="U73" s="18">
        <f t="shared" si="117"/>
        <v>0</v>
      </c>
      <c r="V73" s="18">
        <f t="shared" si="118"/>
        <v>1218639351</v>
      </c>
      <c r="W73" s="18">
        <f t="shared" si="119"/>
        <v>8248002</v>
      </c>
      <c r="X73" s="235">
        <f t="shared" si="120"/>
        <v>1226887353</v>
      </c>
      <c r="Y73" s="353">
        <f t="shared" si="100"/>
        <v>44430</v>
      </c>
      <c r="Z73" s="353">
        <f t="shared" si="100"/>
        <v>66650096</v>
      </c>
      <c r="AA73" s="353">
        <f t="shared" si="101"/>
        <v>66694526</v>
      </c>
      <c r="AB73" s="353">
        <f t="shared" si="102"/>
        <v>11897642070</v>
      </c>
      <c r="AC73" s="353">
        <f t="shared" si="102"/>
        <v>5159249</v>
      </c>
      <c r="AD73" s="353">
        <f t="shared" si="103"/>
        <v>11902801319</v>
      </c>
      <c r="AE73" s="353">
        <f t="shared" si="104"/>
        <v>0</v>
      </c>
      <c r="AF73" s="353">
        <f t="shared" si="104"/>
        <v>0</v>
      </c>
      <c r="AG73" s="353">
        <f t="shared" si="105"/>
        <v>0</v>
      </c>
      <c r="AH73" s="353">
        <f t="shared" si="106"/>
        <v>0</v>
      </c>
      <c r="AI73" s="353">
        <f t="shared" si="97"/>
        <v>169945865</v>
      </c>
      <c r="AJ73" s="353">
        <f t="shared" si="97"/>
        <v>0</v>
      </c>
      <c r="AK73" s="353">
        <f t="shared" si="107"/>
        <v>169945865</v>
      </c>
      <c r="AL73" s="353">
        <f t="shared" si="108"/>
        <v>0</v>
      </c>
      <c r="AM73" s="353">
        <f t="shared" si="98"/>
        <v>0</v>
      </c>
      <c r="AN73" s="353">
        <f t="shared" si="98"/>
        <v>0</v>
      </c>
      <c r="AO73" s="353">
        <f t="shared" si="99"/>
        <v>0</v>
      </c>
      <c r="AP73" s="353">
        <f t="shared" si="109"/>
        <v>0</v>
      </c>
      <c r="AQ73" s="353">
        <f t="shared" si="109"/>
        <v>0</v>
      </c>
      <c r="AR73" s="353">
        <f t="shared" si="110"/>
        <v>0</v>
      </c>
      <c r="AS73" s="353">
        <f t="shared" si="59"/>
        <v>11897686500</v>
      </c>
      <c r="AT73" s="353">
        <f t="shared" si="111"/>
        <v>169945865</v>
      </c>
      <c r="AU73" s="353">
        <f t="shared" si="112"/>
        <v>71809345</v>
      </c>
      <c r="AV73" s="354">
        <f t="shared" si="121"/>
        <v>12139441710</v>
      </c>
      <c r="AW73" s="431">
        <f t="shared" si="25"/>
        <v>2.3614328065235224E-2</v>
      </c>
      <c r="AX73" s="431">
        <f t="shared" si="25"/>
        <v>0.46014133859082929</v>
      </c>
      <c r="AY73" s="431">
        <f t="shared" si="25"/>
        <v>0.8886964784997391</v>
      </c>
      <c r="AZ73" s="431">
        <f t="shared" si="25"/>
        <v>3.0720882106705316E-2</v>
      </c>
    </row>
    <row r="74" spans="1:52">
      <c r="A74" s="138">
        <v>42309</v>
      </c>
      <c r="B74" s="139">
        <v>0</v>
      </c>
      <c r="C74" s="18">
        <v>3531640</v>
      </c>
      <c r="D74" s="18">
        <f t="shared" si="113"/>
        <v>3531640</v>
      </c>
      <c r="E74" s="18">
        <v>1197558646</v>
      </c>
      <c r="F74" s="18">
        <v>898231</v>
      </c>
      <c r="G74" s="18">
        <f t="shared" si="114"/>
        <v>1198456877</v>
      </c>
      <c r="H74" s="18">
        <v>0</v>
      </c>
      <c r="I74" s="18">
        <v>0</v>
      </c>
      <c r="J74" s="18">
        <f t="shared" si="115"/>
        <v>0</v>
      </c>
      <c r="K74" s="18">
        <v>0</v>
      </c>
      <c r="L74" s="18">
        <v>13992536</v>
      </c>
      <c r="M74" s="18">
        <v>0</v>
      </c>
      <c r="N74" s="18">
        <f t="shared" si="116"/>
        <v>13992536</v>
      </c>
      <c r="O74" s="18">
        <v>0</v>
      </c>
      <c r="P74" s="18">
        <v>0</v>
      </c>
      <c r="Q74" s="18">
        <v>0</v>
      </c>
      <c r="R74" s="18">
        <f t="shared" si="96"/>
        <v>0</v>
      </c>
      <c r="S74" s="18">
        <v>0</v>
      </c>
      <c r="T74" s="18">
        <v>0</v>
      </c>
      <c r="U74" s="18">
        <f t="shared" si="117"/>
        <v>0</v>
      </c>
      <c r="V74" s="18">
        <f t="shared" si="118"/>
        <v>1197558646</v>
      </c>
      <c r="W74" s="18">
        <f t="shared" si="119"/>
        <v>4429871</v>
      </c>
      <c r="X74" s="235">
        <f t="shared" si="120"/>
        <v>1201988517</v>
      </c>
      <c r="Y74" s="353">
        <f t="shared" si="100"/>
        <v>44430</v>
      </c>
      <c r="Z74" s="353">
        <f t="shared" si="100"/>
        <v>70181736</v>
      </c>
      <c r="AA74" s="353">
        <f t="shared" si="101"/>
        <v>70226166</v>
      </c>
      <c r="AB74" s="353">
        <f t="shared" si="102"/>
        <v>13095200716</v>
      </c>
      <c r="AC74" s="353">
        <f t="shared" si="102"/>
        <v>6057480</v>
      </c>
      <c r="AD74" s="353">
        <f t="shared" si="103"/>
        <v>13101258196</v>
      </c>
      <c r="AE74" s="353">
        <f t="shared" si="104"/>
        <v>0</v>
      </c>
      <c r="AF74" s="353">
        <f t="shared" si="104"/>
        <v>0</v>
      </c>
      <c r="AG74" s="353">
        <f t="shared" si="105"/>
        <v>0</v>
      </c>
      <c r="AH74" s="353">
        <f t="shared" si="106"/>
        <v>0</v>
      </c>
      <c r="AI74" s="353">
        <f t="shared" si="97"/>
        <v>183938401</v>
      </c>
      <c r="AJ74" s="353">
        <f t="shared" si="97"/>
        <v>0</v>
      </c>
      <c r="AK74" s="353">
        <f t="shared" si="107"/>
        <v>183938401</v>
      </c>
      <c r="AL74" s="353">
        <f t="shared" si="108"/>
        <v>0</v>
      </c>
      <c r="AM74" s="353">
        <f t="shared" si="98"/>
        <v>0</v>
      </c>
      <c r="AN74" s="353">
        <f t="shared" si="98"/>
        <v>0</v>
      </c>
      <c r="AO74" s="353">
        <f t="shared" si="99"/>
        <v>0</v>
      </c>
      <c r="AP74" s="353">
        <f t="shared" si="109"/>
        <v>0</v>
      </c>
      <c r="AQ74" s="353">
        <f t="shared" si="109"/>
        <v>0</v>
      </c>
      <c r="AR74" s="353">
        <f t="shared" si="110"/>
        <v>0</v>
      </c>
      <c r="AS74" s="353">
        <f t="shared" si="59"/>
        <v>13095245146</v>
      </c>
      <c r="AT74" s="353">
        <f t="shared" si="111"/>
        <v>183938401</v>
      </c>
      <c r="AU74" s="353">
        <f t="shared" si="112"/>
        <v>76239216</v>
      </c>
      <c r="AV74" s="354">
        <f t="shared" si="121"/>
        <v>13355422763</v>
      </c>
      <c r="AW74" s="431">
        <f t="shared" si="25"/>
        <v>2.707563901251131E-2</v>
      </c>
      <c r="AX74" s="431">
        <f t="shared" si="25"/>
        <v>0.3558268166433205</v>
      </c>
      <c r="AY74" s="431">
        <f t="shared" si="25"/>
        <v>0.71820410216433062</v>
      </c>
      <c r="AZ74" s="431">
        <f t="shared" si="25"/>
        <v>3.2896679590690869E-2</v>
      </c>
    </row>
    <row r="75" spans="1:52" ht="15.75" thickBot="1">
      <c r="A75" s="138">
        <v>42339</v>
      </c>
      <c r="B75" s="139">
        <v>0</v>
      </c>
      <c r="C75" s="18">
        <v>4226925</v>
      </c>
      <c r="D75" s="18">
        <f t="shared" si="113"/>
        <v>4226925</v>
      </c>
      <c r="E75" s="18">
        <v>1291110379</v>
      </c>
      <c r="F75" s="18">
        <v>950365</v>
      </c>
      <c r="G75" s="18">
        <f t="shared" si="114"/>
        <v>1292060744</v>
      </c>
      <c r="H75" s="18">
        <v>0</v>
      </c>
      <c r="I75" s="18">
        <v>0</v>
      </c>
      <c r="J75" s="18">
        <f t="shared" si="115"/>
        <v>0</v>
      </c>
      <c r="K75" s="18">
        <v>0</v>
      </c>
      <c r="L75" s="18">
        <v>16593014</v>
      </c>
      <c r="M75" s="18">
        <v>0</v>
      </c>
      <c r="N75" s="18">
        <f t="shared" si="116"/>
        <v>16593014</v>
      </c>
      <c r="O75" s="18">
        <v>0</v>
      </c>
      <c r="P75" s="18">
        <v>0</v>
      </c>
      <c r="Q75" s="18">
        <v>0</v>
      </c>
      <c r="R75" s="18">
        <f t="shared" si="96"/>
        <v>0</v>
      </c>
      <c r="S75" s="18">
        <v>0</v>
      </c>
      <c r="T75" s="18">
        <v>0</v>
      </c>
      <c r="U75" s="18">
        <f t="shared" si="117"/>
        <v>0</v>
      </c>
      <c r="V75" s="18">
        <f t="shared" si="118"/>
        <v>1291110379</v>
      </c>
      <c r="W75" s="18">
        <f t="shared" si="119"/>
        <v>5177290</v>
      </c>
      <c r="X75" s="235">
        <f t="shared" si="120"/>
        <v>1296287669</v>
      </c>
      <c r="Y75" s="353">
        <f t="shared" si="100"/>
        <v>44430</v>
      </c>
      <c r="Z75" s="353">
        <f t="shared" si="100"/>
        <v>74408661</v>
      </c>
      <c r="AA75" s="353">
        <f t="shared" si="101"/>
        <v>74453091</v>
      </c>
      <c r="AB75" s="353">
        <f t="shared" si="102"/>
        <v>14386311095</v>
      </c>
      <c r="AC75" s="353">
        <f t="shared" si="102"/>
        <v>7007845</v>
      </c>
      <c r="AD75" s="353">
        <f t="shared" si="103"/>
        <v>14393318940</v>
      </c>
      <c r="AE75" s="353">
        <f t="shared" si="104"/>
        <v>0</v>
      </c>
      <c r="AF75" s="353">
        <f t="shared" si="104"/>
        <v>0</v>
      </c>
      <c r="AG75" s="353">
        <f t="shared" si="105"/>
        <v>0</v>
      </c>
      <c r="AH75" s="353">
        <f t="shared" si="106"/>
        <v>0</v>
      </c>
      <c r="AI75" s="353">
        <f t="shared" si="97"/>
        <v>200531415</v>
      </c>
      <c r="AJ75" s="353">
        <f t="shared" si="97"/>
        <v>0</v>
      </c>
      <c r="AK75" s="353">
        <f t="shared" si="107"/>
        <v>200531415</v>
      </c>
      <c r="AL75" s="353">
        <f t="shared" si="108"/>
        <v>0</v>
      </c>
      <c r="AM75" s="353">
        <f t="shared" si="98"/>
        <v>0</v>
      </c>
      <c r="AN75" s="353">
        <f t="shared" si="98"/>
        <v>0</v>
      </c>
      <c r="AO75" s="353">
        <f t="shared" si="99"/>
        <v>0</v>
      </c>
      <c r="AP75" s="353">
        <f t="shared" si="109"/>
        <v>0</v>
      </c>
      <c r="AQ75" s="353">
        <f t="shared" si="109"/>
        <v>0</v>
      </c>
      <c r="AR75" s="353">
        <f t="shared" si="110"/>
        <v>0</v>
      </c>
      <c r="AS75" s="353">
        <f t="shared" si="59"/>
        <v>14386355525</v>
      </c>
      <c r="AT75" s="353">
        <f t="shared" si="111"/>
        <v>200531415</v>
      </c>
      <c r="AU75" s="353">
        <f t="shared" si="112"/>
        <v>81416506</v>
      </c>
      <c r="AV75" s="354">
        <f t="shared" si="121"/>
        <v>14668303446</v>
      </c>
      <c r="AW75" s="431">
        <f t="shared" si="25"/>
        <v>2.5981825808555792E-2</v>
      </c>
      <c r="AX75" s="431">
        <f t="shared" si="25"/>
        <v>0.32458460829674629</v>
      </c>
      <c r="AY75" s="431">
        <f t="shared" si="25"/>
        <v>0.53417807197623968</v>
      </c>
      <c r="AZ75" s="431">
        <f t="shared" si="25"/>
        <v>3.1055123271929608E-2</v>
      </c>
    </row>
    <row r="76" spans="1:52">
      <c r="A76" s="141">
        <v>42370</v>
      </c>
      <c r="B76" s="142">
        <v>11640</v>
      </c>
      <c r="C76" s="143">
        <v>0</v>
      </c>
      <c r="D76" s="143">
        <f t="shared" si="113"/>
        <v>11640</v>
      </c>
      <c r="E76" s="143">
        <v>1215577025</v>
      </c>
      <c r="F76" s="143">
        <v>945537</v>
      </c>
      <c r="G76" s="143">
        <f t="shared" si="114"/>
        <v>1216522562</v>
      </c>
      <c r="H76" s="143">
        <v>0</v>
      </c>
      <c r="I76" s="143">
        <v>0</v>
      </c>
      <c r="J76" s="143">
        <f t="shared" si="115"/>
        <v>0</v>
      </c>
      <c r="K76" s="143">
        <v>0</v>
      </c>
      <c r="L76" s="143">
        <v>18194968</v>
      </c>
      <c r="M76" s="143">
        <v>0</v>
      </c>
      <c r="N76" s="143">
        <f t="shared" si="116"/>
        <v>18194968</v>
      </c>
      <c r="O76" s="143">
        <v>0</v>
      </c>
      <c r="P76" s="143">
        <v>0</v>
      </c>
      <c r="Q76" s="143">
        <v>0</v>
      </c>
      <c r="R76" s="143">
        <f>SUM(O76:Q76)</f>
        <v>0</v>
      </c>
      <c r="S76" s="143">
        <v>0</v>
      </c>
      <c r="T76" s="143">
        <v>0</v>
      </c>
      <c r="U76" s="143">
        <f t="shared" si="117"/>
        <v>0</v>
      </c>
      <c r="V76" s="143">
        <f t="shared" si="118"/>
        <v>1215588665</v>
      </c>
      <c r="W76" s="143">
        <f t="shared" si="119"/>
        <v>945537</v>
      </c>
      <c r="X76" s="237">
        <f t="shared" si="120"/>
        <v>1216534202</v>
      </c>
      <c r="Y76" s="350">
        <f>B76</f>
        <v>11640</v>
      </c>
      <c r="Z76" s="350">
        <f>C76</f>
        <v>0</v>
      </c>
      <c r="AA76" s="350">
        <f>Z76+Y76</f>
        <v>11640</v>
      </c>
      <c r="AB76" s="350">
        <f>E76</f>
        <v>1215577025</v>
      </c>
      <c r="AC76" s="350">
        <f>F76</f>
        <v>945537</v>
      </c>
      <c r="AD76" s="350">
        <f>AC76+AB76</f>
        <v>1216522562</v>
      </c>
      <c r="AE76" s="350">
        <f>H76</f>
        <v>0</v>
      </c>
      <c r="AF76" s="350">
        <f>I76</f>
        <v>0</v>
      </c>
      <c r="AG76" s="350">
        <f>AF76+AE76</f>
        <v>0</v>
      </c>
      <c r="AH76" s="350">
        <f>K76</f>
        <v>0</v>
      </c>
      <c r="AI76" s="350">
        <f>L76</f>
        <v>18194968</v>
      </c>
      <c r="AJ76" s="350">
        <f>M76</f>
        <v>0</v>
      </c>
      <c r="AK76" s="350">
        <f>AJ76+AI76+AH76</f>
        <v>18194968</v>
      </c>
      <c r="AL76" s="350">
        <f>O76</f>
        <v>0</v>
      </c>
      <c r="AM76" s="350">
        <f>P76</f>
        <v>0</v>
      </c>
      <c r="AN76" s="350">
        <f>Q76</f>
        <v>0</v>
      </c>
      <c r="AO76" s="350">
        <f>SUM(AL76:AN76)</f>
        <v>0</v>
      </c>
      <c r="AP76" s="350">
        <f>S76</f>
        <v>0</v>
      </c>
      <c r="AQ76" s="350">
        <f>T76</f>
        <v>0</v>
      </c>
      <c r="AR76" s="350">
        <f>SUM(AP76:AQ76)</f>
        <v>0</v>
      </c>
      <c r="AS76" s="350">
        <f t="shared" si="59"/>
        <v>1215588665</v>
      </c>
      <c r="AT76" s="350">
        <f>AI76</f>
        <v>18194968</v>
      </c>
      <c r="AU76" s="350">
        <f>Z76+AC76+AF76+AJ76+AN76+AQ76</f>
        <v>945537</v>
      </c>
      <c r="AV76" s="351">
        <f t="shared" si="121"/>
        <v>1234729170</v>
      </c>
      <c r="AW76" s="431">
        <f t="shared" si="25"/>
        <v>1.9183620891052078E-2</v>
      </c>
      <c r="AX76" s="431">
        <f t="shared" si="25"/>
        <v>-0.10298128232440606</v>
      </c>
      <c r="AY76" s="431">
        <f t="shared" si="25"/>
        <v>3.0486634153025349</v>
      </c>
      <c r="AZ76" s="431">
        <f t="shared" si="25"/>
        <v>1.7724323132629616E-2</v>
      </c>
    </row>
    <row r="77" spans="1:52">
      <c r="A77" s="138">
        <v>42401</v>
      </c>
      <c r="B77" s="139">
        <v>2305</v>
      </c>
      <c r="C77" s="18">
        <v>0</v>
      </c>
      <c r="D77" s="18">
        <f t="shared" si="113"/>
        <v>2305</v>
      </c>
      <c r="E77" s="18">
        <v>1162516905</v>
      </c>
      <c r="F77" s="18">
        <v>888665</v>
      </c>
      <c r="G77" s="18">
        <f t="shared" si="114"/>
        <v>1163405570</v>
      </c>
      <c r="H77" s="18">
        <v>0</v>
      </c>
      <c r="I77" s="18">
        <v>0</v>
      </c>
      <c r="J77" s="18">
        <f t="shared" si="115"/>
        <v>0</v>
      </c>
      <c r="K77" s="18">
        <v>0</v>
      </c>
      <c r="L77" s="18">
        <v>11893961</v>
      </c>
      <c r="M77" s="18">
        <v>0</v>
      </c>
      <c r="N77" s="18">
        <f t="shared" si="116"/>
        <v>11893961</v>
      </c>
      <c r="O77" s="18">
        <v>0</v>
      </c>
      <c r="P77" s="18">
        <v>0</v>
      </c>
      <c r="Q77" s="18">
        <v>0</v>
      </c>
      <c r="R77" s="18">
        <f t="shared" ref="R77:R87" si="122">SUM(O77:Q77)</f>
        <v>0</v>
      </c>
      <c r="S77" s="18">
        <v>0</v>
      </c>
      <c r="T77" s="18">
        <v>0</v>
      </c>
      <c r="U77" s="18">
        <f t="shared" si="117"/>
        <v>0</v>
      </c>
      <c r="V77" s="18">
        <f t="shared" si="118"/>
        <v>1162519210</v>
      </c>
      <c r="W77" s="18">
        <f t="shared" si="119"/>
        <v>888665</v>
      </c>
      <c r="X77" s="235">
        <f t="shared" si="120"/>
        <v>1163407875</v>
      </c>
      <c r="Y77" s="353">
        <f>Y76+B77</f>
        <v>13945</v>
      </c>
      <c r="Z77" s="353">
        <f>Z76+C77</f>
        <v>0</v>
      </c>
      <c r="AA77" s="353">
        <f>Z77+Y77</f>
        <v>13945</v>
      </c>
      <c r="AB77" s="353">
        <f>AB76+E77</f>
        <v>2378093930</v>
      </c>
      <c r="AC77" s="353">
        <f>AC76+F77</f>
        <v>1834202</v>
      </c>
      <c r="AD77" s="353">
        <f>AC77+AB77</f>
        <v>2379928132</v>
      </c>
      <c r="AE77" s="353">
        <f>AE76+H77</f>
        <v>0</v>
      </c>
      <c r="AF77" s="353">
        <f>AF76+I77</f>
        <v>0</v>
      </c>
      <c r="AG77" s="353">
        <f>AF77+AE77</f>
        <v>0</v>
      </c>
      <c r="AH77" s="353">
        <f>AH76+K77</f>
        <v>0</v>
      </c>
      <c r="AI77" s="353">
        <f t="shared" ref="AI77:AJ87" si="123">AI76+L77</f>
        <v>30088929</v>
      </c>
      <c r="AJ77" s="353">
        <f t="shared" si="123"/>
        <v>0</v>
      </c>
      <c r="AK77" s="353">
        <f>AJ77+AI77+AH77</f>
        <v>30088929</v>
      </c>
      <c r="AL77" s="353">
        <f>AL76+O77</f>
        <v>0</v>
      </c>
      <c r="AM77" s="353">
        <f t="shared" ref="AM77:AN87" si="124">AM76+P77</f>
        <v>0</v>
      </c>
      <c r="AN77" s="353">
        <f t="shared" si="124"/>
        <v>0</v>
      </c>
      <c r="AO77" s="353">
        <f t="shared" ref="AO77:AO87" si="125">SUM(AL77:AN77)</f>
        <v>0</v>
      </c>
      <c r="AP77" s="353">
        <f>AP76+S77</f>
        <v>0</v>
      </c>
      <c r="AQ77" s="353">
        <f>AQ76+T77</f>
        <v>0</v>
      </c>
      <c r="AR77" s="353">
        <f>SUM(AP77:AQ77)</f>
        <v>0</v>
      </c>
      <c r="AS77" s="353">
        <f t="shared" si="59"/>
        <v>2378107875</v>
      </c>
      <c r="AT77" s="353">
        <f>AI77</f>
        <v>30088929</v>
      </c>
      <c r="AU77" s="353">
        <f>Z77+AC77+AF77+AJ77+AN77+AQ77</f>
        <v>1834202</v>
      </c>
      <c r="AV77" s="354">
        <f t="shared" si="121"/>
        <v>2410031006</v>
      </c>
      <c r="AW77" s="431">
        <f t="shared" si="25"/>
        <v>4.7524393679374777E-2</v>
      </c>
      <c r="AX77" s="431">
        <f t="shared" si="25"/>
        <v>-0.20035012038627253</v>
      </c>
      <c r="AY77" s="431">
        <f t="shared" si="25"/>
        <v>2.5019159136340119</v>
      </c>
      <c r="AZ77" s="431">
        <f t="shared" si="25"/>
        <v>4.4040811714739281E-2</v>
      </c>
    </row>
    <row r="78" spans="1:52">
      <c r="A78" s="138">
        <v>42430</v>
      </c>
      <c r="B78" s="139">
        <v>181227</v>
      </c>
      <c r="C78" s="18">
        <v>1133227</v>
      </c>
      <c r="D78" s="18">
        <f t="shared" si="113"/>
        <v>1314454</v>
      </c>
      <c r="E78" s="18">
        <v>1221790061</v>
      </c>
      <c r="F78" s="18">
        <v>923360</v>
      </c>
      <c r="G78" s="18">
        <f t="shared" si="114"/>
        <v>1222713421</v>
      </c>
      <c r="H78" s="18">
        <v>0</v>
      </c>
      <c r="I78" s="18">
        <v>0</v>
      </c>
      <c r="J78" s="18">
        <f t="shared" si="115"/>
        <v>0</v>
      </c>
      <c r="K78" s="18">
        <v>0</v>
      </c>
      <c r="L78" s="18">
        <v>13792993</v>
      </c>
      <c r="M78" s="18">
        <v>0</v>
      </c>
      <c r="N78" s="18">
        <f t="shared" si="116"/>
        <v>13792993</v>
      </c>
      <c r="O78" s="18">
        <v>0</v>
      </c>
      <c r="P78" s="18">
        <v>0</v>
      </c>
      <c r="Q78" s="18">
        <v>0</v>
      </c>
      <c r="R78" s="18">
        <f t="shared" si="122"/>
        <v>0</v>
      </c>
      <c r="S78" s="18">
        <v>0</v>
      </c>
      <c r="T78" s="18">
        <v>0</v>
      </c>
      <c r="U78" s="18">
        <f t="shared" si="117"/>
        <v>0</v>
      </c>
      <c r="V78" s="18">
        <f t="shared" si="118"/>
        <v>1221971288</v>
      </c>
      <c r="W78" s="18">
        <f t="shared" si="119"/>
        <v>2056587</v>
      </c>
      <c r="X78" s="235">
        <f t="shared" si="120"/>
        <v>1224027875</v>
      </c>
      <c r="Y78" s="353">
        <f t="shared" ref="Y78:Z87" si="126">Y77+B78</f>
        <v>195172</v>
      </c>
      <c r="Z78" s="353">
        <f t="shared" si="126"/>
        <v>1133227</v>
      </c>
      <c r="AA78" s="353">
        <f t="shared" ref="AA78:AA87" si="127">Z78+Y78</f>
        <v>1328399</v>
      </c>
      <c r="AB78" s="353">
        <f t="shared" ref="AB78:AC87" si="128">AB77+E78</f>
        <v>3599883991</v>
      </c>
      <c r="AC78" s="353">
        <f t="shared" si="128"/>
        <v>2757562</v>
      </c>
      <c r="AD78" s="353">
        <f t="shared" ref="AD78:AD87" si="129">AC78+AB78</f>
        <v>3602641553</v>
      </c>
      <c r="AE78" s="353">
        <f t="shared" ref="AE78:AF87" si="130">AE77+H78</f>
        <v>0</v>
      </c>
      <c r="AF78" s="353">
        <f t="shared" si="130"/>
        <v>0</v>
      </c>
      <c r="AG78" s="353">
        <f t="shared" ref="AG78:AG87" si="131">AF78+AE78</f>
        <v>0</v>
      </c>
      <c r="AH78" s="353">
        <f t="shared" ref="AH78:AH87" si="132">AH77+K78</f>
        <v>0</v>
      </c>
      <c r="AI78" s="353">
        <f t="shared" si="123"/>
        <v>43881922</v>
      </c>
      <c r="AJ78" s="353">
        <f t="shared" si="123"/>
        <v>0</v>
      </c>
      <c r="AK78" s="353">
        <f t="shared" ref="AK78:AK87" si="133">AJ78+AI78+AH78</f>
        <v>43881922</v>
      </c>
      <c r="AL78" s="353">
        <f t="shared" ref="AL78:AL87" si="134">AL77+O78</f>
        <v>0</v>
      </c>
      <c r="AM78" s="353">
        <f t="shared" si="124"/>
        <v>0</v>
      </c>
      <c r="AN78" s="353">
        <f t="shared" si="124"/>
        <v>0</v>
      </c>
      <c r="AO78" s="353">
        <f t="shared" si="125"/>
        <v>0</v>
      </c>
      <c r="AP78" s="353">
        <f t="shared" ref="AP78:AQ87" si="135">AP77+S78</f>
        <v>0</v>
      </c>
      <c r="AQ78" s="353">
        <f t="shared" si="135"/>
        <v>0</v>
      </c>
      <c r="AR78" s="353">
        <f t="shared" ref="AR78:AR87" si="136">SUM(AP78:AQ78)</f>
        <v>0</v>
      </c>
      <c r="AS78" s="353">
        <f t="shared" si="59"/>
        <v>3600079163</v>
      </c>
      <c r="AT78" s="353">
        <f t="shared" ref="AT78:AT87" si="137">AI78</f>
        <v>43881922</v>
      </c>
      <c r="AU78" s="353">
        <f t="shared" ref="AU78:AU87" si="138">Z78+AC78+AF78+AJ78+AN78+AQ78</f>
        <v>3890789</v>
      </c>
      <c r="AV78" s="354">
        <f t="shared" si="121"/>
        <v>3647851874</v>
      </c>
      <c r="AW78" s="431">
        <f t="shared" si="25"/>
        <v>3.7129795768861218E-2</v>
      </c>
      <c r="AX78" s="431">
        <f t="shared" si="25"/>
        <v>-0.20808022366242163</v>
      </c>
      <c r="AY78" s="431">
        <f t="shared" si="25"/>
        <v>-0.31343165327600508</v>
      </c>
      <c r="AZ78" s="431">
        <f t="shared" si="25"/>
        <v>3.2720671716771621E-2</v>
      </c>
    </row>
    <row r="79" spans="1:52">
      <c r="A79" s="138">
        <v>42461</v>
      </c>
      <c r="B79" s="139">
        <v>8970</v>
      </c>
      <c r="C79" s="18">
        <v>4875342</v>
      </c>
      <c r="D79" s="18">
        <f t="shared" si="113"/>
        <v>4884312</v>
      </c>
      <c r="E79" s="18">
        <v>1155665531</v>
      </c>
      <c r="F79" s="18">
        <v>913421</v>
      </c>
      <c r="G79" s="18">
        <f t="shared" si="114"/>
        <v>1156578952</v>
      </c>
      <c r="H79" s="18">
        <v>0</v>
      </c>
      <c r="I79" s="18">
        <v>0</v>
      </c>
      <c r="J79" s="18">
        <f t="shared" si="115"/>
        <v>0</v>
      </c>
      <c r="K79" s="18">
        <v>0</v>
      </c>
      <c r="L79" s="18">
        <v>16185755</v>
      </c>
      <c r="M79" s="18">
        <v>0</v>
      </c>
      <c r="N79" s="18">
        <f t="shared" si="116"/>
        <v>16185755</v>
      </c>
      <c r="O79" s="18">
        <v>0</v>
      </c>
      <c r="P79" s="18">
        <v>0</v>
      </c>
      <c r="Q79" s="18">
        <v>0</v>
      </c>
      <c r="R79" s="18">
        <f t="shared" si="122"/>
        <v>0</v>
      </c>
      <c r="S79" s="18">
        <v>0</v>
      </c>
      <c r="T79" s="18">
        <v>0</v>
      </c>
      <c r="U79" s="18">
        <f t="shared" si="117"/>
        <v>0</v>
      </c>
      <c r="V79" s="18">
        <f t="shared" si="118"/>
        <v>1155674501</v>
      </c>
      <c r="W79" s="18">
        <f t="shared" si="119"/>
        <v>5788763</v>
      </c>
      <c r="X79" s="235">
        <f t="shared" si="120"/>
        <v>1161463264</v>
      </c>
      <c r="Y79" s="353">
        <f t="shared" si="126"/>
        <v>204142</v>
      </c>
      <c r="Z79" s="353">
        <f t="shared" si="126"/>
        <v>6008569</v>
      </c>
      <c r="AA79" s="353">
        <f t="shared" si="127"/>
        <v>6212711</v>
      </c>
      <c r="AB79" s="353">
        <f t="shared" si="128"/>
        <v>4755549522</v>
      </c>
      <c r="AC79" s="353">
        <f t="shared" si="128"/>
        <v>3670983</v>
      </c>
      <c r="AD79" s="353">
        <f t="shared" si="129"/>
        <v>4759220505</v>
      </c>
      <c r="AE79" s="353">
        <f t="shared" si="130"/>
        <v>0</v>
      </c>
      <c r="AF79" s="353">
        <f t="shared" si="130"/>
        <v>0</v>
      </c>
      <c r="AG79" s="353">
        <f t="shared" si="131"/>
        <v>0</v>
      </c>
      <c r="AH79" s="353">
        <f t="shared" si="132"/>
        <v>0</v>
      </c>
      <c r="AI79" s="353">
        <f t="shared" si="123"/>
        <v>60067677</v>
      </c>
      <c r="AJ79" s="353">
        <f t="shared" si="123"/>
        <v>0</v>
      </c>
      <c r="AK79" s="353">
        <f t="shared" si="133"/>
        <v>60067677</v>
      </c>
      <c r="AL79" s="353">
        <f t="shared" si="134"/>
        <v>0</v>
      </c>
      <c r="AM79" s="353">
        <f t="shared" si="124"/>
        <v>0</v>
      </c>
      <c r="AN79" s="353">
        <f t="shared" si="124"/>
        <v>0</v>
      </c>
      <c r="AO79" s="353">
        <f t="shared" si="125"/>
        <v>0</v>
      </c>
      <c r="AP79" s="353">
        <f t="shared" si="135"/>
        <v>0</v>
      </c>
      <c r="AQ79" s="353">
        <f t="shared" si="135"/>
        <v>0</v>
      </c>
      <c r="AR79" s="353">
        <f t="shared" si="136"/>
        <v>0</v>
      </c>
      <c r="AS79" s="353">
        <f t="shared" si="59"/>
        <v>4755753664</v>
      </c>
      <c r="AT79" s="353">
        <f t="shared" si="137"/>
        <v>60067677</v>
      </c>
      <c r="AU79" s="353">
        <f t="shared" si="138"/>
        <v>9679552</v>
      </c>
      <c r="AV79" s="354">
        <f t="shared" si="121"/>
        <v>4825500893</v>
      </c>
      <c r="AW79" s="431">
        <f t="shared" si="25"/>
        <v>2.7782722581460639E-2</v>
      </c>
      <c r="AX79" s="431">
        <f t="shared" si="25"/>
        <v>-0.16712119038361728</v>
      </c>
      <c r="AY79" s="431">
        <f t="shared" si="25"/>
        <v>-0.29374735371010297</v>
      </c>
      <c r="AZ79" s="431">
        <f t="shared" ref="AZ79:AZ142" si="139">AV79/AV67-1</f>
        <v>2.3865213946499209E-2</v>
      </c>
    </row>
    <row r="80" spans="1:52">
      <c r="A80" s="138">
        <v>42491</v>
      </c>
      <c r="B80" s="139">
        <v>25350</v>
      </c>
      <c r="C80" s="18">
        <v>13843022</v>
      </c>
      <c r="D80" s="18">
        <f t="shared" si="113"/>
        <v>13868372</v>
      </c>
      <c r="E80" s="18">
        <v>1234936140</v>
      </c>
      <c r="F80" s="18">
        <v>966852</v>
      </c>
      <c r="G80" s="18">
        <f t="shared" si="114"/>
        <v>1235902992</v>
      </c>
      <c r="H80" s="18">
        <v>34901</v>
      </c>
      <c r="I80" s="18">
        <v>0</v>
      </c>
      <c r="J80" s="18">
        <f t="shared" si="115"/>
        <v>34901</v>
      </c>
      <c r="K80" s="18">
        <v>0</v>
      </c>
      <c r="L80" s="18">
        <v>15898671</v>
      </c>
      <c r="M80" s="18">
        <v>0</v>
      </c>
      <c r="N80" s="18">
        <f t="shared" si="116"/>
        <v>15898671</v>
      </c>
      <c r="O80" s="18">
        <v>0</v>
      </c>
      <c r="P80" s="18">
        <v>0</v>
      </c>
      <c r="Q80" s="18">
        <v>0</v>
      </c>
      <c r="R80" s="18">
        <f t="shared" si="122"/>
        <v>0</v>
      </c>
      <c r="S80" s="18">
        <v>0</v>
      </c>
      <c r="T80" s="18">
        <v>0</v>
      </c>
      <c r="U80" s="18">
        <f t="shared" si="117"/>
        <v>0</v>
      </c>
      <c r="V80" s="18">
        <f t="shared" si="118"/>
        <v>1234996391</v>
      </c>
      <c r="W80" s="18">
        <f t="shared" si="119"/>
        <v>14809874</v>
      </c>
      <c r="X80" s="235">
        <f t="shared" si="120"/>
        <v>1249806265</v>
      </c>
      <c r="Y80" s="353">
        <f t="shared" si="126"/>
        <v>229492</v>
      </c>
      <c r="Z80" s="353">
        <f t="shared" si="126"/>
        <v>19851591</v>
      </c>
      <c r="AA80" s="353">
        <f t="shared" si="127"/>
        <v>20081083</v>
      </c>
      <c r="AB80" s="353">
        <f t="shared" si="128"/>
        <v>5990485662</v>
      </c>
      <c r="AC80" s="353">
        <f t="shared" si="128"/>
        <v>4637835</v>
      </c>
      <c r="AD80" s="353">
        <f t="shared" si="129"/>
        <v>5995123497</v>
      </c>
      <c r="AE80" s="353">
        <f t="shared" si="130"/>
        <v>34901</v>
      </c>
      <c r="AF80" s="353">
        <f t="shared" si="130"/>
        <v>0</v>
      </c>
      <c r="AG80" s="353">
        <f t="shared" si="131"/>
        <v>34901</v>
      </c>
      <c r="AH80" s="353">
        <f t="shared" si="132"/>
        <v>0</v>
      </c>
      <c r="AI80" s="353">
        <f t="shared" si="123"/>
        <v>75966348</v>
      </c>
      <c r="AJ80" s="353">
        <f t="shared" si="123"/>
        <v>0</v>
      </c>
      <c r="AK80" s="353">
        <f t="shared" si="133"/>
        <v>75966348</v>
      </c>
      <c r="AL80" s="353">
        <f t="shared" si="134"/>
        <v>0</v>
      </c>
      <c r="AM80" s="353">
        <f t="shared" si="124"/>
        <v>0</v>
      </c>
      <c r="AN80" s="353">
        <f t="shared" si="124"/>
        <v>0</v>
      </c>
      <c r="AO80" s="353">
        <f t="shared" si="125"/>
        <v>0</v>
      </c>
      <c r="AP80" s="353">
        <f t="shared" si="135"/>
        <v>0</v>
      </c>
      <c r="AQ80" s="353">
        <f t="shared" si="135"/>
        <v>0</v>
      </c>
      <c r="AR80" s="353">
        <f t="shared" si="136"/>
        <v>0</v>
      </c>
      <c r="AS80" s="353">
        <f t="shared" si="59"/>
        <v>5990750055</v>
      </c>
      <c r="AT80" s="353">
        <f t="shared" si="137"/>
        <v>75966348</v>
      </c>
      <c r="AU80" s="353">
        <f t="shared" si="138"/>
        <v>24489426</v>
      </c>
      <c r="AV80" s="354">
        <f t="shared" si="121"/>
        <v>6091205829</v>
      </c>
      <c r="AW80" s="431">
        <f t="shared" ref="AW80:AZ143" si="140">AS80/AS68-1</f>
        <v>2.8108404932684516E-2</v>
      </c>
      <c r="AX80" s="431">
        <f t="shared" si="140"/>
        <v>-8.9854882922478563E-2</v>
      </c>
      <c r="AY80" s="431">
        <f t="shared" si="140"/>
        <v>0.32554675890537688</v>
      </c>
      <c r="AZ80" s="431">
        <f t="shared" si="139"/>
        <v>2.7374578942096495E-2</v>
      </c>
    </row>
    <row r="81" spans="1:52">
      <c r="A81" s="138">
        <v>42522</v>
      </c>
      <c r="B81" s="139">
        <v>32484</v>
      </c>
      <c r="C81" s="18">
        <v>16808331</v>
      </c>
      <c r="D81" s="18">
        <f t="shared" si="113"/>
        <v>16840815</v>
      </c>
      <c r="E81" s="18">
        <v>1269147590</v>
      </c>
      <c r="F81" s="18">
        <v>976339</v>
      </c>
      <c r="G81" s="18">
        <f t="shared" si="114"/>
        <v>1270123929</v>
      </c>
      <c r="H81" s="18">
        <v>27901</v>
      </c>
      <c r="I81" s="18">
        <v>0</v>
      </c>
      <c r="J81" s="18">
        <f t="shared" si="115"/>
        <v>27901</v>
      </c>
      <c r="K81" s="18">
        <v>0</v>
      </c>
      <c r="L81" s="18">
        <v>8337763</v>
      </c>
      <c r="M81" s="18">
        <v>0</v>
      </c>
      <c r="N81" s="18">
        <f t="shared" si="116"/>
        <v>8337763</v>
      </c>
      <c r="O81" s="18">
        <v>0</v>
      </c>
      <c r="P81" s="18">
        <v>0</v>
      </c>
      <c r="Q81" s="18">
        <v>0</v>
      </c>
      <c r="R81" s="18">
        <f t="shared" si="122"/>
        <v>0</v>
      </c>
      <c r="S81" s="18">
        <v>0</v>
      </c>
      <c r="T81" s="18">
        <v>0</v>
      </c>
      <c r="U81" s="18">
        <f t="shared" si="117"/>
        <v>0</v>
      </c>
      <c r="V81" s="18">
        <f t="shared" si="118"/>
        <v>1269207975</v>
      </c>
      <c r="W81" s="18">
        <f t="shared" si="119"/>
        <v>17784670</v>
      </c>
      <c r="X81" s="235">
        <f t="shared" si="120"/>
        <v>1286992645</v>
      </c>
      <c r="Y81" s="353">
        <f t="shared" si="126"/>
        <v>261976</v>
      </c>
      <c r="Z81" s="353">
        <f t="shared" si="126"/>
        <v>36659922</v>
      </c>
      <c r="AA81" s="353">
        <f t="shared" si="127"/>
        <v>36921898</v>
      </c>
      <c r="AB81" s="353">
        <f t="shared" si="128"/>
        <v>7259633252</v>
      </c>
      <c r="AC81" s="353">
        <f t="shared" si="128"/>
        <v>5614174</v>
      </c>
      <c r="AD81" s="353">
        <f t="shared" si="129"/>
        <v>7265247426</v>
      </c>
      <c r="AE81" s="353">
        <f t="shared" si="130"/>
        <v>62802</v>
      </c>
      <c r="AF81" s="353">
        <f t="shared" si="130"/>
        <v>0</v>
      </c>
      <c r="AG81" s="353">
        <f t="shared" si="131"/>
        <v>62802</v>
      </c>
      <c r="AH81" s="353">
        <f t="shared" si="132"/>
        <v>0</v>
      </c>
      <c r="AI81" s="353">
        <f t="shared" si="123"/>
        <v>84304111</v>
      </c>
      <c r="AJ81" s="353">
        <f t="shared" si="123"/>
        <v>0</v>
      </c>
      <c r="AK81" s="353">
        <f t="shared" si="133"/>
        <v>84304111</v>
      </c>
      <c r="AL81" s="353">
        <f t="shared" si="134"/>
        <v>0</v>
      </c>
      <c r="AM81" s="353">
        <f t="shared" si="124"/>
        <v>0</v>
      </c>
      <c r="AN81" s="353">
        <f t="shared" si="124"/>
        <v>0</v>
      </c>
      <c r="AO81" s="353">
        <f t="shared" si="125"/>
        <v>0</v>
      </c>
      <c r="AP81" s="353">
        <f t="shared" si="135"/>
        <v>0</v>
      </c>
      <c r="AQ81" s="353">
        <f t="shared" si="135"/>
        <v>0</v>
      </c>
      <c r="AR81" s="353">
        <f t="shared" si="136"/>
        <v>0</v>
      </c>
      <c r="AS81" s="353">
        <f t="shared" si="59"/>
        <v>7259958030</v>
      </c>
      <c r="AT81" s="353">
        <f t="shared" si="137"/>
        <v>84304111</v>
      </c>
      <c r="AU81" s="353">
        <f t="shared" si="138"/>
        <v>42274096</v>
      </c>
      <c r="AV81" s="354">
        <f t="shared" si="121"/>
        <v>7386536237</v>
      </c>
      <c r="AW81" s="431">
        <f t="shared" si="140"/>
        <v>2.7555796571529179E-2</v>
      </c>
      <c r="AX81" s="431">
        <f t="shared" si="140"/>
        <v>-0.1215767663779157</v>
      </c>
      <c r="AY81" s="431">
        <f t="shared" si="140"/>
        <v>0.52673651799624754</v>
      </c>
      <c r="AZ81" s="431">
        <f t="shared" si="139"/>
        <v>2.7487545252896206E-2</v>
      </c>
    </row>
    <row r="82" spans="1:52">
      <c r="A82" s="138">
        <v>42552</v>
      </c>
      <c r="B82" s="139">
        <v>0</v>
      </c>
      <c r="C82" s="18">
        <v>14500899</v>
      </c>
      <c r="D82" s="18">
        <f t="shared" si="113"/>
        <v>14500899</v>
      </c>
      <c r="E82" s="18">
        <v>1228942159</v>
      </c>
      <c r="F82" s="18">
        <v>952163</v>
      </c>
      <c r="G82" s="18">
        <f t="shared" si="114"/>
        <v>1229894322</v>
      </c>
      <c r="H82" s="18">
        <v>6691</v>
      </c>
      <c r="I82" s="18">
        <v>0</v>
      </c>
      <c r="J82" s="18">
        <f t="shared" si="115"/>
        <v>6691</v>
      </c>
      <c r="K82" s="18">
        <v>0</v>
      </c>
      <c r="L82" s="18">
        <v>10599963</v>
      </c>
      <c r="M82" s="18">
        <v>0</v>
      </c>
      <c r="N82" s="18">
        <f t="shared" si="116"/>
        <v>10599963</v>
      </c>
      <c r="O82" s="18">
        <v>0</v>
      </c>
      <c r="P82" s="18">
        <v>0</v>
      </c>
      <c r="Q82" s="18">
        <v>0</v>
      </c>
      <c r="R82" s="18">
        <f t="shared" si="122"/>
        <v>0</v>
      </c>
      <c r="S82" s="18">
        <v>0</v>
      </c>
      <c r="T82" s="18">
        <v>0</v>
      </c>
      <c r="U82" s="18">
        <f t="shared" si="117"/>
        <v>0</v>
      </c>
      <c r="V82" s="18">
        <f t="shared" si="118"/>
        <v>1228948850</v>
      </c>
      <c r="W82" s="18">
        <f t="shared" si="119"/>
        <v>15453062</v>
      </c>
      <c r="X82" s="235">
        <f t="shared" si="120"/>
        <v>1244401912</v>
      </c>
      <c r="Y82" s="353">
        <f t="shared" si="126"/>
        <v>261976</v>
      </c>
      <c r="Z82" s="353">
        <f t="shared" si="126"/>
        <v>51160821</v>
      </c>
      <c r="AA82" s="353">
        <f t="shared" si="127"/>
        <v>51422797</v>
      </c>
      <c r="AB82" s="353">
        <f t="shared" si="128"/>
        <v>8488575411</v>
      </c>
      <c r="AC82" s="353">
        <f t="shared" si="128"/>
        <v>6566337</v>
      </c>
      <c r="AD82" s="353">
        <f t="shared" si="129"/>
        <v>8495141748</v>
      </c>
      <c r="AE82" s="353">
        <f t="shared" si="130"/>
        <v>69493</v>
      </c>
      <c r="AF82" s="353">
        <f t="shared" si="130"/>
        <v>0</v>
      </c>
      <c r="AG82" s="353">
        <f t="shared" si="131"/>
        <v>69493</v>
      </c>
      <c r="AH82" s="353">
        <f t="shared" si="132"/>
        <v>0</v>
      </c>
      <c r="AI82" s="353">
        <f t="shared" si="123"/>
        <v>94904074</v>
      </c>
      <c r="AJ82" s="353">
        <f t="shared" si="123"/>
        <v>0</v>
      </c>
      <c r="AK82" s="353">
        <f t="shared" si="133"/>
        <v>94904074</v>
      </c>
      <c r="AL82" s="353">
        <f t="shared" si="134"/>
        <v>0</v>
      </c>
      <c r="AM82" s="353">
        <f t="shared" si="124"/>
        <v>0</v>
      </c>
      <c r="AN82" s="353">
        <f t="shared" si="124"/>
        <v>0</v>
      </c>
      <c r="AO82" s="353">
        <f t="shared" si="125"/>
        <v>0</v>
      </c>
      <c r="AP82" s="353">
        <f t="shared" si="135"/>
        <v>0</v>
      </c>
      <c r="AQ82" s="353">
        <f t="shared" si="135"/>
        <v>0</v>
      </c>
      <c r="AR82" s="353">
        <f t="shared" si="136"/>
        <v>0</v>
      </c>
      <c r="AS82" s="353">
        <f t="shared" si="59"/>
        <v>8488906880</v>
      </c>
      <c r="AT82" s="353">
        <f t="shared" si="137"/>
        <v>94904074</v>
      </c>
      <c r="AU82" s="353">
        <f t="shared" si="138"/>
        <v>57727158</v>
      </c>
      <c r="AV82" s="354">
        <f t="shared" si="121"/>
        <v>8641538112</v>
      </c>
      <c r="AW82" s="431">
        <f t="shared" si="140"/>
        <v>2.372709771639947E-2</v>
      </c>
      <c r="AX82" s="431">
        <f t="shared" si="140"/>
        <v>-0.17317565555164494</v>
      </c>
      <c r="AY82" s="431">
        <f t="shared" si="140"/>
        <v>0.39561452297732669</v>
      </c>
      <c r="AZ82" s="431">
        <f t="shared" si="139"/>
        <v>2.2872688939699959E-2</v>
      </c>
    </row>
    <row r="83" spans="1:52">
      <c r="A83" s="138">
        <v>42583</v>
      </c>
      <c r="B83" s="139">
        <v>13418</v>
      </c>
      <c r="C83" s="18">
        <v>3060467</v>
      </c>
      <c r="D83" s="18">
        <f t="shared" si="113"/>
        <v>3073885</v>
      </c>
      <c r="E83" s="18">
        <v>1302210348</v>
      </c>
      <c r="F83" s="18">
        <v>1091073</v>
      </c>
      <c r="G83" s="18">
        <f t="shared" si="114"/>
        <v>1303301421</v>
      </c>
      <c r="H83" s="18">
        <v>27605</v>
      </c>
      <c r="I83" s="18">
        <v>0</v>
      </c>
      <c r="J83" s="18">
        <f t="shared" si="115"/>
        <v>27605</v>
      </c>
      <c r="K83" s="18">
        <v>0</v>
      </c>
      <c r="L83" s="18">
        <v>15674900</v>
      </c>
      <c r="M83" s="18">
        <v>0</v>
      </c>
      <c r="N83" s="18">
        <f t="shared" si="116"/>
        <v>15674900</v>
      </c>
      <c r="O83" s="18">
        <v>0</v>
      </c>
      <c r="P83" s="18">
        <v>0</v>
      </c>
      <c r="Q83" s="18">
        <v>0</v>
      </c>
      <c r="R83" s="18">
        <f t="shared" si="122"/>
        <v>0</v>
      </c>
      <c r="S83" s="18">
        <v>0</v>
      </c>
      <c r="T83" s="18">
        <v>0</v>
      </c>
      <c r="U83" s="18">
        <f t="shared" si="117"/>
        <v>0</v>
      </c>
      <c r="V83" s="18">
        <f t="shared" si="118"/>
        <v>1302251371</v>
      </c>
      <c r="W83" s="18">
        <f t="shared" si="119"/>
        <v>4151540</v>
      </c>
      <c r="X83" s="235">
        <f t="shared" si="120"/>
        <v>1306402911</v>
      </c>
      <c r="Y83" s="353">
        <f t="shared" si="126"/>
        <v>275394</v>
      </c>
      <c r="Z83" s="353">
        <f t="shared" si="126"/>
        <v>54221288</v>
      </c>
      <c r="AA83" s="353">
        <f t="shared" si="127"/>
        <v>54496682</v>
      </c>
      <c r="AB83" s="353">
        <f t="shared" si="128"/>
        <v>9790785759</v>
      </c>
      <c r="AC83" s="353">
        <f t="shared" si="128"/>
        <v>7657410</v>
      </c>
      <c r="AD83" s="353">
        <f t="shared" si="129"/>
        <v>9798443169</v>
      </c>
      <c r="AE83" s="353">
        <f t="shared" si="130"/>
        <v>97098</v>
      </c>
      <c r="AF83" s="353">
        <f t="shared" si="130"/>
        <v>0</v>
      </c>
      <c r="AG83" s="353">
        <f t="shared" si="131"/>
        <v>97098</v>
      </c>
      <c r="AH83" s="353">
        <f t="shared" si="132"/>
        <v>0</v>
      </c>
      <c r="AI83" s="353">
        <f t="shared" si="123"/>
        <v>110578974</v>
      </c>
      <c r="AJ83" s="353">
        <f t="shared" si="123"/>
        <v>0</v>
      </c>
      <c r="AK83" s="353">
        <f t="shared" si="133"/>
        <v>110578974</v>
      </c>
      <c r="AL83" s="353">
        <f t="shared" si="134"/>
        <v>0</v>
      </c>
      <c r="AM83" s="353">
        <f t="shared" si="124"/>
        <v>0</v>
      </c>
      <c r="AN83" s="353">
        <f t="shared" si="124"/>
        <v>0</v>
      </c>
      <c r="AO83" s="353">
        <f t="shared" si="125"/>
        <v>0</v>
      </c>
      <c r="AP83" s="353">
        <f t="shared" si="135"/>
        <v>0</v>
      </c>
      <c r="AQ83" s="353">
        <f t="shared" si="135"/>
        <v>0</v>
      </c>
      <c r="AR83" s="353">
        <f t="shared" si="136"/>
        <v>0</v>
      </c>
      <c r="AS83" s="353">
        <f t="shared" si="59"/>
        <v>9791158251</v>
      </c>
      <c r="AT83" s="353">
        <f t="shared" si="137"/>
        <v>110578974</v>
      </c>
      <c r="AU83" s="353">
        <f t="shared" si="138"/>
        <v>61878698</v>
      </c>
      <c r="AV83" s="354">
        <f t="shared" si="121"/>
        <v>9963615923</v>
      </c>
      <c r="AW83" s="431">
        <f t="shared" si="140"/>
        <v>3.0716952242658024E-2</v>
      </c>
      <c r="AX83" s="431">
        <f t="shared" si="140"/>
        <v>-0.14919735319903882</v>
      </c>
      <c r="AY83" s="431">
        <f t="shared" si="140"/>
        <v>4.0980117870768051E-2</v>
      </c>
      <c r="AZ83" s="431">
        <f t="shared" si="139"/>
        <v>2.8366457619463992E-2</v>
      </c>
    </row>
    <row r="84" spans="1:52">
      <c r="A84" s="138">
        <v>42614</v>
      </c>
      <c r="B84" s="139">
        <v>53953</v>
      </c>
      <c r="C84" s="18">
        <v>16910692</v>
      </c>
      <c r="D84" s="18">
        <f t="shared" si="113"/>
        <v>16964645</v>
      </c>
      <c r="E84" s="18">
        <v>1210481326</v>
      </c>
      <c r="F84" s="18">
        <v>1070023</v>
      </c>
      <c r="G84" s="18">
        <f t="shared" si="114"/>
        <v>1211551349</v>
      </c>
      <c r="H84" s="18">
        <v>0</v>
      </c>
      <c r="I84" s="18">
        <v>0</v>
      </c>
      <c r="J84" s="18">
        <f t="shared" si="115"/>
        <v>0</v>
      </c>
      <c r="K84" s="18">
        <v>0</v>
      </c>
      <c r="L84" s="18">
        <v>10536198</v>
      </c>
      <c r="M84" s="18">
        <v>0</v>
      </c>
      <c r="N84" s="18">
        <f t="shared" si="116"/>
        <v>10536198</v>
      </c>
      <c r="O84" s="18">
        <v>0</v>
      </c>
      <c r="P84" s="18">
        <v>0</v>
      </c>
      <c r="Q84" s="18">
        <v>0</v>
      </c>
      <c r="R84" s="18">
        <f t="shared" si="122"/>
        <v>0</v>
      </c>
      <c r="S84" s="18">
        <v>0</v>
      </c>
      <c r="T84" s="18">
        <v>0</v>
      </c>
      <c r="U84" s="18">
        <f t="shared" si="117"/>
        <v>0</v>
      </c>
      <c r="V84" s="18">
        <f t="shared" si="118"/>
        <v>1210535279</v>
      </c>
      <c r="W84" s="18">
        <f t="shared" si="119"/>
        <v>17980715</v>
      </c>
      <c r="X84" s="235">
        <f t="shared" si="120"/>
        <v>1228515994</v>
      </c>
      <c r="Y84" s="353">
        <f t="shared" si="126"/>
        <v>329347</v>
      </c>
      <c r="Z84" s="353">
        <f t="shared" si="126"/>
        <v>71131980</v>
      </c>
      <c r="AA84" s="353">
        <f t="shared" si="127"/>
        <v>71461327</v>
      </c>
      <c r="AB84" s="353">
        <f t="shared" si="128"/>
        <v>11001267085</v>
      </c>
      <c r="AC84" s="353">
        <f t="shared" si="128"/>
        <v>8727433</v>
      </c>
      <c r="AD84" s="353">
        <f t="shared" si="129"/>
        <v>11009994518</v>
      </c>
      <c r="AE84" s="353">
        <f t="shared" si="130"/>
        <v>97098</v>
      </c>
      <c r="AF84" s="353">
        <f t="shared" si="130"/>
        <v>0</v>
      </c>
      <c r="AG84" s="353">
        <f t="shared" si="131"/>
        <v>97098</v>
      </c>
      <c r="AH84" s="353">
        <f t="shared" si="132"/>
        <v>0</v>
      </c>
      <c r="AI84" s="353">
        <f t="shared" si="123"/>
        <v>121115172</v>
      </c>
      <c r="AJ84" s="353">
        <f t="shared" si="123"/>
        <v>0</v>
      </c>
      <c r="AK84" s="353">
        <f t="shared" si="133"/>
        <v>121115172</v>
      </c>
      <c r="AL84" s="353">
        <f t="shared" si="134"/>
        <v>0</v>
      </c>
      <c r="AM84" s="353">
        <f t="shared" si="124"/>
        <v>0</v>
      </c>
      <c r="AN84" s="353">
        <f t="shared" si="124"/>
        <v>0</v>
      </c>
      <c r="AO84" s="353">
        <f t="shared" si="125"/>
        <v>0</v>
      </c>
      <c r="AP84" s="353">
        <f t="shared" si="135"/>
        <v>0</v>
      </c>
      <c r="AQ84" s="353">
        <f t="shared" si="135"/>
        <v>0</v>
      </c>
      <c r="AR84" s="353">
        <f t="shared" si="136"/>
        <v>0</v>
      </c>
      <c r="AS84" s="353">
        <f t="shared" si="59"/>
        <v>11001693530</v>
      </c>
      <c r="AT84" s="353">
        <f t="shared" si="137"/>
        <v>121115172</v>
      </c>
      <c r="AU84" s="353">
        <f t="shared" si="138"/>
        <v>79859413</v>
      </c>
      <c r="AV84" s="354">
        <f t="shared" si="121"/>
        <v>11202668115</v>
      </c>
      <c r="AW84" s="431">
        <f t="shared" si="140"/>
        <v>3.0213030853619927E-2</v>
      </c>
      <c r="AX84" s="431">
        <f t="shared" si="140"/>
        <v>-0.18852365913314539</v>
      </c>
      <c r="AY84" s="431">
        <f t="shared" si="140"/>
        <v>0.25641481489779094</v>
      </c>
      <c r="AZ84" s="431">
        <f t="shared" si="139"/>
        <v>2.8535687675284915E-2</v>
      </c>
    </row>
    <row r="85" spans="1:52">
      <c r="A85" s="138">
        <v>42644</v>
      </c>
      <c r="B85" s="139">
        <v>20981</v>
      </c>
      <c r="C85" s="18">
        <v>16356555</v>
      </c>
      <c r="D85" s="18">
        <f t="shared" si="113"/>
        <v>16377536</v>
      </c>
      <c r="E85" s="18">
        <v>1234413922</v>
      </c>
      <c r="F85" s="18">
        <v>1000595</v>
      </c>
      <c r="G85" s="18">
        <f t="shared" si="114"/>
        <v>1235414517</v>
      </c>
      <c r="H85" s="18">
        <v>0</v>
      </c>
      <c r="I85" s="18">
        <v>0</v>
      </c>
      <c r="J85" s="18">
        <f t="shared" si="115"/>
        <v>0</v>
      </c>
      <c r="K85" s="18">
        <v>0</v>
      </c>
      <c r="L85" s="18">
        <v>18084721</v>
      </c>
      <c r="M85" s="18">
        <v>0</v>
      </c>
      <c r="N85" s="18">
        <f t="shared" si="116"/>
        <v>18084721</v>
      </c>
      <c r="O85" s="18">
        <v>0</v>
      </c>
      <c r="P85" s="18">
        <v>0</v>
      </c>
      <c r="Q85" s="18">
        <v>0</v>
      </c>
      <c r="R85" s="18">
        <f t="shared" si="122"/>
        <v>0</v>
      </c>
      <c r="S85" s="18">
        <v>0</v>
      </c>
      <c r="T85" s="18">
        <v>0</v>
      </c>
      <c r="U85" s="18">
        <f t="shared" si="117"/>
        <v>0</v>
      </c>
      <c r="V85" s="18">
        <f t="shared" si="118"/>
        <v>1234434903</v>
      </c>
      <c r="W85" s="18">
        <f t="shared" si="119"/>
        <v>17357150</v>
      </c>
      <c r="X85" s="235">
        <f t="shared" si="120"/>
        <v>1251792053</v>
      </c>
      <c r="Y85" s="353">
        <f t="shared" si="126"/>
        <v>350328</v>
      </c>
      <c r="Z85" s="353">
        <f t="shared" si="126"/>
        <v>87488535</v>
      </c>
      <c r="AA85" s="353">
        <f t="shared" si="127"/>
        <v>87838863</v>
      </c>
      <c r="AB85" s="353">
        <f t="shared" si="128"/>
        <v>12235681007</v>
      </c>
      <c r="AC85" s="353">
        <f t="shared" si="128"/>
        <v>9728028</v>
      </c>
      <c r="AD85" s="353">
        <f t="shared" si="129"/>
        <v>12245409035</v>
      </c>
      <c r="AE85" s="353">
        <f t="shared" si="130"/>
        <v>97098</v>
      </c>
      <c r="AF85" s="353">
        <f t="shared" si="130"/>
        <v>0</v>
      </c>
      <c r="AG85" s="353">
        <f t="shared" si="131"/>
        <v>97098</v>
      </c>
      <c r="AH85" s="353">
        <f t="shared" si="132"/>
        <v>0</v>
      </c>
      <c r="AI85" s="353">
        <f t="shared" si="123"/>
        <v>139199893</v>
      </c>
      <c r="AJ85" s="353">
        <f t="shared" si="123"/>
        <v>0</v>
      </c>
      <c r="AK85" s="353">
        <f t="shared" si="133"/>
        <v>139199893</v>
      </c>
      <c r="AL85" s="353">
        <f t="shared" si="134"/>
        <v>0</v>
      </c>
      <c r="AM85" s="353">
        <f t="shared" si="124"/>
        <v>0</v>
      </c>
      <c r="AN85" s="353">
        <f t="shared" si="124"/>
        <v>0</v>
      </c>
      <c r="AO85" s="353">
        <f t="shared" si="125"/>
        <v>0</v>
      </c>
      <c r="AP85" s="353">
        <f t="shared" si="135"/>
        <v>0</v>
      </c>
      <c r="AQ85" s="353">
        <f t="shared" si="135"/>
        <v>0</v>
      </c>
      <c r="AR85" s="353">
        <f t="shared" si="136"/>
        <v>0</v>
      </c>
      <c r="AS85" s="353">
        <f t="shared" si="59"/>
        <v>12236128433</v>
      </c>
      <c r="AT85" s="353">
        <f t="shared" si="137"/>
        <v>139199893</v>
      </c>
      <c r="AU85" s="353">
        <f t="shared" si="138"/>
        <v>97216563</v>
      </c>
      <c r="AV85" s="354">
        <f t="shared" si="121"/>
        <v>12472544889</v>
      </c>
      <c r="AW85" s="431">
        <f t="shared" si="140"/>
        <v>2.8446028814089086E-2</v>
      </c>
      <c r="AX85" s="431">
        <f t="shared" si="140"/>
        <v>-0.18091627001339516</v>
      </c>
      <c r="AY85" s="431">
        <f t="shared" si="140"/>
        <v>0.35381492478451104</v>
      </c>
      <c r="AZ85" s="431">
        <f t="shared" si="139"/>
        <v>2.7439744508645836E-2</v>
      </c>
    </row>
    <row r="86" spans="1:52">
      <c r="A86" s="138">
        <v>42675</v>
      </c>
      <c r="B86" s="139">
        <v>4170</v>
      </c>
      <c r="C86" s="18">
        <v>19947634</v>
      </c>
      <c r="D86" s="18">
        <f t="shared" si="113"/>
        <v>19951804</v>
      </c>
      <c r="E86" s="18">
        <v>1205738078</v>
      </c>
      <c r="F86" s="18">
        <v>982939</v>
      </c>
      <c r="G86" s="18">
        <f t="shared" si="114"/>
        <v>1206721017</v>
      </c>
      <c r="H86" s="18">
        <v>28242</v>
      </c>
      <c r="I86" s="18">
        <v>0</v>
      </c>
      <c r="J86" s="18">
        <f t="shared" si="115"/>
        <v>28242</v>
      </c>
      <c r="K86" s="18">
        <v>0</v>
      </c>
      <c r="L86" s="18">
        <v>13910996</v>
      </c>
      <c r="M86" s="18">
        <v>0</v>
      </c>
      <c r="N86" s="18">
        <f t="shared" si="116"/>
        <v>13910996</v>
      </c>
      <c r="O86" s="18">
        <v>0</v>
      </c>
      <c r="P86" s="18">
        <v>0</v>
      </c>
      <c r="Q86" s="18">
        <v>0</v>
      </c>
      <c r="R86" s="18">
        <f t="shared" si="122"/>
        <v>0</v>
      </c>
      <c r="S86" s="18">
        <v>0</v>
      </c>
      <c r="T86" s="18">
        <v>0</v>
      </c>
      <c r="U86" s="18">
        <f t="shared" si="117"/>
        <v>0</v>
      </c>
      <c r="V86" s="18">
        <f t="shared" si="118"/>
        <v>1205770490</v>
      </c>
      <c r="W86" s="18">
        <f t="shared" si="119"/>
        <v>20930573</v>
      </c>
      <c r="X86" s="235">
        <f t="shared" si="120"/>
        <v>1226701063</v>
      </c>
      <c r="Y86" s="353">
        <f t="shared" si="126"/>
        <v>354498</v>
      </c>
      <c r="Z86" s="353">
        <f t="shared" si="126"/>
        <v>107436169</v>
      </c>
      <c r="AA86" s="353">
        <f t="shared" si="127"/>
        <v>107790667</v>
      </c>
      <c r="AB86" s="353">
        <f t="shared" si="128"/>
        <v>13441419085</v>
      </c>
      <c r="AC86" s="353">
        <f t="shared" si="128"/>
        <v>10710967</v>
      </c>
      <c r="AD86" s="353">
        <f t="shared" si="129"/>
        <v>13452130052</v>
      </c>
      <c r="AE86" s="353">
        <f t="shared" si="130"/>
        <v>125340</v>
      </c>
      <c r="AF86" s="353">
        <f t="shared" si="130"/>
        <v>0</v>
      </c>
      <c r="AG86" s="353">
        <f t="shared" si="131"/>
        <v>125340</v>
      </c>
      <c r="AH86" s="353">
        <f t="shared" si="132"/>
        <v>0</v>
      </c>
      <c r="AI86" s="353">
        <f t="shared" si="123"/>
        <v>153110889</v>
      </c>
      <c r="AJ86" s="353">
        <f t="shared" si="123"/>
        <v>0</v>
      </c>
      <c r="AK86" s="353">
        <f t="shared" si="133"/>
        <v>153110889</v>
      </c>
      <c r="AL86" s="353">
        <f t="shared" si="134"/>
        <v>0</v>
      </c>
      <c r="AM86" s="353">
        <f t="shared" si="124"/>
        <v>0</v>
      </c>
      <c r="AN86" s="353">
        <f t="shared" si="124"/>
        <v>0</v>
      </c>
      <c r="AO86" s="353">
        <f t="shared" si="125"/>
        <v>0</v>
      </c>
      <c r="AP86" s="353">
        <f t="shared" si="135"/>
        <v>0</v>
      </c>
      <c r="AQ86" s="353">
        <f t="shared" si="135"/>
        <v>0</v>
      </c>
      <c r="AR86" s="353">
        <f t="shared" si="136"/>
        <v>0</v>
      </c>
      <c r="AS86" s="353">
        <f t="shared" si="59"/>
        <v>13441898923</v>
      </c>
      <c r="AT86" s="353">
        <f t="shared" si="137"/>
        <v>153110889</v>
      </c>
      <c r="AU86" s="353">
        <f t="shared" si="138"/>
        <v>118147136</v>
      </c>
      <c r="AV86" s="354">
        <f t="shared" si="121"/>
        <v>13713156948</v>
      </c>
      <c r="AW86" s="431">
        <f t="shared" si="140"/>
        <v>2.647172871795278E-2</v>
      </c>
      <c r="AX86" s="431">
        <f t="shared" si="140"/>
        <v>-0.16759693371478201</v>
      </c>
      <c r="AY86" s="431">
        <f t="shared" si="140"/>
        <v>0.54968980793296729</v>
      </c>
      <c r="AZ86" s="431">
        <f t="shared" si="139"/>
        <v>2.6785687832441507E-2</v>
      </c>
    </row>
    <row r="87" spans="1:52" ht="15.75" thickBot="1">
      <c r="A87" s="138">
        <v>42705</v>
      </c>
      <c r="B87" s="139">
        <v>0</v>
      </c>
      <c r="C87" s="18">
        <v>5091830</v>
      </c>
      <c r="D87" s="18">
        <f t="shared" si="113"/>
        <v>5091830</v>
      </c>
      <c r="E87" s="18">
        <v>1271455225</v>
      </c>
      <c r="F87" s="18">
        <v>1028018</v>
      </c>
      <c r="G87" s="18">
        <f t="shared" si="114"/>
        <v>1272483243</v>
      </c>
      <c r="H87" s="18">
        <v>0</v>
      </c>
      <c r="I87" s="18">
        <v>0</v>
      </c>
      <c r="J87" s="18">
        <f t="shared" si="115"/>
        <v>0</v>
      </c>
      <c r="K87" s="18">
        <v>0</v>
      </c>
      <c r="L87" s="18">
        <v>12546176</v>
      </c>
      <c r="M87" s="18">
        <v>0</v>
      </c>
      <c r="N87" s="18">
        <f t="shared" si="116"/>
        <v>12546176</v>
      </c>
      <c r="O87" s="18">
        <v>0</v>
      </c>
      <c r="P87" s="18">
        <v>0</v>
      </c>
      <c r="Q87" s="18">
        <v>0</v>
      </c>
      <c r="R87" s="18">
        <f t="shared" si="122"/>
        <v>0</v>
      </c>
      <c r="S87" s="18">
        <v>0</v>
      </c>
      <c r="T87" s="18">
        <v>0</v>
      </c>
      <c r="U87" s="18">
        <f t="shared" si="117"/>
        <v>0</v>
      </c>
      <c r="V87" s="18">
        <f t="shared" si="118"/>
        <v>1271455225</v>
      </c>
      <c r="W87" s="18">
        <f t="shared" si="119"/>
        <v>6119848</v>
      </c>
      <c r="X87" s="235">
        <f t="shared" si="120"/>
        <v>1277575073</v>
      </c>
      <c r="Y87" s="353">
        <f t="shared" si="126"/>
        <v>354498</v>
      </c>
      <c r="Z87" s="353">
        <f t="shared" si="126"/>
        <v>112527999</v>
      </c>
      <c r="AA87" s="353">
        <f t="shared" si="127"/>
        <v>112882497</v>
      </c>
      <c r="AB87" s="353">
        <f t="shared" si="128"/>
        <v>14712874310</v>
      </c>
      <c r="AC87" s="353">
        <f t="shared" si="128"/>
        <v>11738985</v>
      </c>
      <c r="AD87" s="353">
        <f t="shared" si="129"/>
        <v>14724613295</v>
      </c>
      <c r="AE87" s="353">
        <f t="shared" si="130"/>
        <v>125340</v>
      </c>
      <c r="AF87" s="353">
        <f t="shared" si="130"/>
        <v>0</v>
      </c>
      <c r="AG87" s="353">
        <f t="shared" si="131"/>
        <v>125340</v>
      </c>
      <c r="AH87" s="353">
        <f t="shared" si="132"/>
        <v>0</v>
      </c>
      <c r="AI87" s="353">
        <f t="shared" si="123"/>
        <v>165657065</v>
      </c>
      <c r="AJ87" s="353">
        <f t="shared" si="123"/>
        <v>0</v>
      </c>
      <c r="AK87" s="353">
        <f t="shared" si="133"/>
        <v>165657065</v>
      </c>
      <c r="AL87" s="353">
        <f t="shared" si="134"/>
        <v>0</v>
      </c>
      <c r="AM87" s="353">
        <f t="shared" si="124"/>
        <v>0</v>
      </c>
      <c r="AN87" s="353">
        <f t="shared" si="124"/>
        <v>0</v>
      </c>
      <c r="AO87" s="353">
        <f t="shared" si="125"/>
        <v>0</v>
      </c>
      <c r="AP87" s="353">
        <f t="shared" si="135"/>
        <v>0</v>
      </c>
      <c r="AQ87" s="353">
        <f t="shared" si="135"/>
        <v>0</v>
      </c>
      <c r="AR87" s="353">
        <f t="shared" si="136"/>
        <v>0</v>
      </c>
      <c r="AS87" s="353">
        <f t="shared" si="59"/>
        <v>14713354148</v>
      </c>
      <c r="AT87" s="353">
        <f t="shared" si="137"/>
        <v>165657065</v>
      </c>
      <c r="AU87" s="353">
        <f t="shared" si="138"/>
        <v>124266984</v>
      </c>
      <c r="AV87" s="354">
        <f t="shared" si="121"/>
        <v>15003278197</v>
      </c>
      <c r="AW87" s="431">
        <f t="shared" si="140"/>
        <v>2.2729774919836743E-2</v>
      </c>
      <c r="AX87" s="431">
        <f t="shared" si="140"/>
        <v>-0.17390965899283162</v>
      </c>
      <c r="AY87" s="431">
        <f t="shared" si="140"/>
        <v>0.52631192500449475</v>
      </c>
      <c r="AZ87" s="431">
        <f t="shared" si="139"/>
        <v>2.2836639031444728E-2</v>
      </c>
    </row>
    <row r="88" spans="1:52">
      <c r="A88" s="141">
        <v>42736</v>
      </c>
      <c r="B88" s="142">
        <v>0</v>
      </c>
      <c r="C88" s="143">
        <v>0</v>
      </c>
      <c r="D88" s="143">
        <f t="shared" si="113"/>
        <v>0</v>
      </c>
      <c r="E88" s="143">
        <v>1238395770</v>
      </c>
      <c r="F88" s="143">
        <v>988952</v>
      </c>
      <c r="G88" s="143">
        <f t="shared" si="114"/>
        <v>1239384722</v>
      </c>
      <c r="H88" s="143">
        <v>0</v>
      </c>
      <c r="I88" s="143">
        <v>0</v>
      </c>
      <c r="J88" s="143">
        <f t="shared" si="115"/>
        <v>0</v>
      </c>
      <c r="K88" s="143">
        <v>0</v>
      </c>
      <c r="L88" s="143">
        <v>10036032</v>
      </c>
      <c r="M88" s="143">
        <v>0</v>
      </c>
      <c r="N88" s="143">
        <f t="shared" si="116"/>
        <v>10036032</v>
      </c>
      <c r="O88" s="143">
        <v>0</v>
      </c>
      <c r="P88" s="143">
        <v>0</v>
      </c>
      <c r="Q88" s="143">
        <v>0</v>
      </c>
      <c r="R88" s="143">
        <f>SUM(O88:Q88)</f>
        <v>0</v>
      </c>
      <c r="S88" s="143">
        <v>0</v>
      </c>
      <c r="T88" s="143">
        <v>0</v>
      </c>
      <c r="U88" s="143">
        <f t="shared" si="117"/>
        <v>0</v>
      </c>
      <c r="V88" s="143">
        <f t="shared" si="118"/>
        <v>1238395770</v>
      </c>
      <c r="W88" s="143">
        <f t="shared" si="119"/>
        <v>988952</v>
      </c>
      <c r="X88" s="237">
        <f t="shared" si="120"/>
        <v>1239384722</v>
      </c>
      <c r="Y88" s="350">
        <f>B88</f>
        <v>0</v>
      </c>
      <c r="Z88" s="350">
        <f>C88</f>
        <v>0</v>
      </c>
      <c r="AA88" s="350">
        <f>Z88+Y88</f>
        <v>0</v>
      </c>
      <c r="AB88" s="350">
        <f>E88</f>
        <v>1238395770</v>
      </c>
      <c r="AC88" s="350">
        <f>F88</f>
        <v>988952</v>
      </c>
      <c r="AD88" s="350">
        <f>AC88+AB88</f>
        <v>1239384722</v>
      </c>
      <c r="AE88" s="350">
        <f>H88</f>
        <v>0</v>
      </c>
      <c r="AF88" s="350">
        <f>I88</f>
        <v>0</v>
      </c>
      <c r="AG88" s="350">
        <f>AF88+AE88</f>
        <v>0</v>
      </c>
      <c r="AH88" s="350">
        <f>K88</f>
        <v>0</v>
      </c>
      <c r="AI88" s="350">
        <f>L88</f>
        <v>10036032</v>
      </c>
      <c r="AJ88" s="350">
        <f>M88</f>
        <v>0</v>
      </c>
      <c r="AK88" s="350">
        <f>AJ88+AI88+AH88</f>
        <v>10036032</v>
      </c>
      <c r="AL88" s="350">
        <f>O88</f>
        <v>0</v>
      </c>
      <c r="AM88" s="350">
        <f>P88</f>
        <v>0</v>
      </c>
      <c r="AN88" s="350">
        <f>Q88</f>
        <v>0</v>
      </c>
      <c r="AO88" s="350">
        <f>SUM(AL88:AN88)</f>
        <v>0</v>
      </c>
      <c r="AP88" s="350">
        <f>S88</f>
        <v>0</v>
      </c>
      <c r="AQ88" s="350">
        <f>T88</f>
        <v>0</v>
      </c>
      <c r="AR88" s="350">
        <f>SUM(AP88:AQ88)</f>
        <v>0</v>
      </c>
      <c r="AS88" s="350">
        <f t="shared" si="59"/>
        <v>1238395770</v>
      </c>
      <c r="AT88" s="350">
        <f>AI88</f>
        <v>10036032</v>
      </c>
      <c r="AU88" s="350">
        <f>Z88+AC88+AF88+AJ88+AN88+AQ88</f>
        <v>988952</v>
      </c>
      <c r="AV88" s="351">
        <f t="shared" si="121"/>
        <v>1249420754</v>
      </c>
      <c r="AW88" s="431">
        <f t="shared" si="140"/>
        <v>1.8762189593138467E-2</v>
      </c>
      <c r="AX88" s="431">
        <f t="shared" si="140"/>
        <v>-0.44841716676830645</v>
      </c>
      <c r="AY88" s="431">
        <f t="shared" si="140"/>
        <v>4.5915707159000618E-2</v>
      </c>
      <c r="AZ88" s="431">
        <f t="shared" si="139"/>
        <v>1.1898628749493323E-2</v>
      </c>
    </row>
    <row r="89" spans="1:52">
      <c r="A89" s="138">
        <v>42767</v>
      </c>
      <c r="B89" s="139">
        <v>0</v>
      </c>
      <c r="C89" s="18">
        <v>0</v>
      </c>
      <c r="D89" s="18">
        <f t="shared" si="113"/>
        <v>0</v>
      </c>
      <c r="E89" s="18">
        <v>1130343456</v>
      </c>
      <c r="F89" s="18">
        <v>925413</v>
      </c>
      <c r="G89" s="18">
        <f t="shared" si="114"/>
        <v>1131268869</v>
      </c>
      <c r="H89" s="18">
        <v>0</v>
      </c>
      <c r="I89" s="18">
        <v>0</v>
      </c>
      <c r="J89" s="18">
        <f t="shared" si="115"/>
        <v>0</v>
      </c>
      <c r="K89" s="18">
        <v>0</v>
      </c>
      <c r="L89" s="18">
        <v>14340426</v>
      </c>
      <c r="M89" s="18">
        <v>0</v>
      </c>
      <c r="N89" s="18">
        <f t="shared" si="116"/>
        <v>14340426</v>
      </c>
      <c r="O89" s="18">
        <v>0</v>
      </c>
      <c r="P89" s="18">
        <v>0</v>
      </c>
      <c r="Q89" s="18">
        <v>0</v>
      </c>
      <c r="R89" s="18">
        <f t="shared" ref="R89:R99" si="141">SUM(O89:Q89)</f>
        <v>0</v>
      </c>
      <c r="S89" s="18">
        <v>0</v>
      </c>
      <c r="T89" s="18">
        <v>0</v>
      </c>
      <c r="U89" s="18">
        <f t="shared" si="117"/>
        <v>0</v>
      </c>
      <c r="V89" s="18">
        <f t="shared" si="118"/>
        <v>1130343456</v>
      </c>
      <c r="W89" s="18">
        <f t="shared" si="119"/>
        <v>925413</v>
      </c>
      <c r="X89" s="235">
        <f t="shared" si="120"/>
        <v>1131268869</v>
      </c>
      <c r="Y89" s="353">
        <f>Y88+B89</f>
        <v>0</v>
      </c>
      <c r="Z89" s="353">
        <f>Z88+C89</f>
        <v>0</v>
      </c>
      <c r="AA89" s="353">
        <f>Z89+Y89</f>
        <v>0</v>
      </c>
      <c r="AB89" s="353">
        <f>AB88+E89</f>
        <v>2368739226</v>
      </c>
      <c r="AC89" s="353">
        <f>AC88+F89</f>
        <v>1914365</v>
      </c>
      <c r="AD89" s="353">
        <f>AC89+AB89</f>
        <v>2370653591</v>
      </c>
      <c r="AE89" s="353">
        <f>AE88+H89</f>
        <v>0</v>
      </c>
      <c r="AF89" s="353">
        <f>AF88+I89</f>
        <v>0</v>
      </c>
      <c r="AG89" s="353">
        <f>AF89+AE89</f>
        <v>0</v>
      </c>
      <c r="AH89" s="353">
        <f>AH88+K89</f>
        <v>0</v>
      </c>
      <c r="AI89" s="353">
        <f t="shared" ref="AI89:AJ99" si="142">AI88+L89</f>
        <v>24376458</v>
      </c>
      <c r="AJ89" s="353">
        <f t="shared" si="142"/>
        <v>0</v>
      </c>
      <c r="AK89" s="353">
        <f>AJ89+AI89+AH89</f>
        <v>24376458</v>
      </c>
      <c r="AL89" s="353">
        <f>AL88+O89</f>
        <v>0</v>
      </c>
      <c r="AM89" s="353">
        <f t="shared" ref="AM89:AN99" si="143">AM88+P89</f>
        <v>0</v>
      </c>
      <c r="AN89" s="353">
        <f t="shared" si="143"/>
        <v>0</v>
      </c>
      <c r="AO89" s="353">
        <f t="shared" ref="AO89:AO99" si="144">SUM(AL89:AN89)</f>
        <v>0</v>
      </c>
      <c r="AP89" s="353">
        <f>AP88+S89</f>
        <v>0</v>
      </c>
      <c r="AQ89" s="353">
        <f>AQ88+T89</f>
        <v>0</v>
      </c>
      <c r="AR89" s="353">
        <f>SUM(AP89:AQ89)</f>
        <v>0</v>
      </c>
      <c r="AS89" s="353">
        <f t="shared" si="59"/>
        <v>2368739226</v>
      </c>
      <c r="AT89" s="353">
        <f>AI89</f>
        <v>24376458</v>
      </c>
      <c r="AU89" s="353">
        <f>Z89+AC89+AF89+AJ89+AN89+AQ89</f>
        <v>1914365</v>
      </c>
      <c r="AV89" s="354">
        <f t="shared" si="121"/>
        <v>2395030049</v>
      </c>
      <c r="AW89" s="431">
        <f t="shared" si="140"/>
        <v>-3.9395391178375094E-3</v>
      </c>
      <c r="AX89" s="431">
        <f t="shared" si="140"/>
        <v>-0.18985291899223133</v>
      </c>
      <c r="AY89" s="431">
        <f t="shared" si="140"/>
        <v>4.3704564709884819E-2</v>
      </c>
      <c r="AZ89" s="431">
        <f t="shared" si="139"/>
        <v>-6.2243834052979619E-3</v>
      </c>
    </row>
    <row r="90" spans="1:52">
      <c r="A90" s="138">
        <v>42795</v>
      </c>
      <c r="B90" s="139">
        <v>0</v>
      </c>
      <c r="C90" s="18">
        <v>0</v>
      </c>
      <c r="D90" s="18">
        <f t="shared" si="113"/>
        <v>0</v>
      </c>
      <c r="E90" s="18">
        <v>1262859797</v>
      </c>
      <c r="F90" s="18">
        <v>1010247</v>
      </c>
      <c r="G90" s="18">
        <f t="shared" si="114"/>
        <v>1263870044</v>
      </c>
      <c r="H90" s="18">
        <v>0</v>
      </c>
      <c r="I90" s="18">
        <v>0</v>
      </c>
      <c r="J90" s="18">
        <f t="shared" si="115"/>
        <v>0</v>
      </c>
      <c r="K90" s="18">
        <v>0</v>
      </c>
      <c r="L90" s="18">
        <v>14261532</v>
      </c>
      <c r="M90" s="18">
        <v>0</v>
      </c>
      <c r="N90" s="18">
        <f t="shared" si="116"/>
        <v>14261532</v>
      </c>
      <c r="O90" s="18">
        <v>0</v>
      </c>
      <c r="P90" s="18">
        <v>0</v>
      </c>
      <c r="Q90" s="18">
        <v>0</v>
      </c>
      <c r="R90" s="18">
        <f t="shared" si="141"/>
        <v>0</v>
      </c>
      <c r="S90" s="18">
        <v>0</v>
      </c>
      <c r="T90" s="18">
        <v>0</v>
      </c>
      <c r="U90" s="18">
        <f t="shared" si="117"/>
        <v>0</v>
      </c>
      <c r="V90" s="18">
        <f t="shared" si="118"/>
        <v>1262859797</v>
      </c>
      <c r="W90" s="18">
        <f t="shared" si="119"/>
        <v>1010247</v>
      </c>
      <c r="X90" s="235">
        <f t="shared" si="120"/>
        <v>1263870044</v>
      </c>
      <c r="Y90" s="353">
        <f t="shared" ref="Y90:Z99" si="145">Y89+B90</f>
        <v>0</v>
      </c>
      <c r="Z90" s="353">
        <f t="shared" si="145"/>
        <v>0</v>
      </c>
      <c r="AA90" s="353">
        <f t="shared" ref="AA90:AA99" si="146">Z90+Y90</f>
        <v>0</v>
      </c>
      <c r="AB90" s="353">
        <f t="shared" ref="AB90:AC99" si="147">AB89+E90</f>
        <v>3631599023</v>
      </c>
      <c r="AC90" s="353">
        <f t="shared" si="147"/>
        <v>2924612</v>
      </c>
      <c r="AD90" s="353">
        <f t="shared" ref="AD90:AD99" si="148">AC90+AB90</f>
        <v>3634523635</v>
      </c>
      <c r="AE90" s="353">
        <f t="shared" ref="AE90:AF99" si="149">AE89+H90</f>
        <v>0</v>
      </c>
      <c r="AF90" s="353">
        <f t="shared" si="149"/>
        <v>0</v>
      </c>
      <c r="AG90" s="353">
        <f t="shared" ref="AG90:AG99" si="150">AF90+AE90</f>
        <v>0</v>
      </c>
      <c r="AH90" s="353">
        <f t="shared" ref="AH90:AH99" si="151">AH89+K90</f>
        <v>0</v>
      </c>
      <c r="AI90" s="353">
        <f t="shared" si="142"/>
        <v>38637990</v>
      </c>
      <c r="AJ90" s="353">
        <f t="shared" si="142"/>
        <v>0</v>
      </c>
      <c r="AK90" s="353">
        <f t="shared" ref="AK90:AK99" si="152">AJ90+AI90+AH90</f>
        <v>38637990</v>
      </c>
      <c r="AL90" s="353">
        <f t="shared" ref="AL90:AL99" si="153">AL89+O90</f>
        <v>0</v>
      </c>
      <c r="AM90" s="353">
        <f t="shared" si="143"/>
        <v>0</v>
      </c>
      <c r="AN90" s="353">
        <f t="shared" si="143"/>
        <v>0</v>
      </c>
      <c r="AO90" s="353">
        <f t="shared" si="144"/>
        <v>0</v>
      </c>
      <c r="AP90" s="353">
        <f t="shared" ref="AP90:AQ99" si="154">AP89+S90</f>
        <v>0</v>
      </c>
      <c r="AQ90" s="353">
        <f t="shared" si="154"/>
        <v>0</v>
      </c>
      <c r="AR90" s="353">
        <f t="shared" ref="AR90:AR99" si="155">SUM(AP90:AQ90)</f>
        <v>0</v>
      </c>
      <c r="AS90" s="353">
        <f t="shared" si="59"/>
        <v>3631599023</v>
      </c>
      <c r="AT90" s="353">
        <f t="shared" ref="AT90:AT99" si="156">AI90</f>
        <v>38637990</v>
      </c>
      <c r="AU90" s="353">
        <f t="shared" ref="AU90:AU99" si="157">Z90+AC90+AF90+AJ90+AN90+AQ90</f>
        <v>2924612</v>
      </c>
      <c r="AV90" s="354">
        <f t="shared" si="121"/>
        <v>3673161625</v>
      </c>
      <c r="AW90" s="431">
        <f t="shared" si="140"/>
        <v>8.7553241395208481E-3</v>
      </c>
      <c r="AX90" s="431">
        <f t="shared" si="140"/>
        <v>-0.11950096442904212</v>
      </c>
      <c r="AY90" s="431">
        <f t="shared" si="140"/>
        <v>-0.2483241830898566</v>
      </c>
      <c r="AZ90" s="431">
        <f t="shared" si="139"/>
        <v>6.9382617151740877E-3</v>
      </c>
    </row>
    <row r="91" spans="1:52">
      <c r="A91" s="138">
        <v>42826</v>
      </c>
      <c r="B91" s="139">
        <v>0</v>
      </c>
      <c r="C91" s="18">
        <v>0</v>
      </c>
      <c r="D91" s="18">
        <f t="shared" si="113"/>
        <v>0</v>
      </c>
      <c r="E91" s="18">
        <v>1161625887</v>
      </c>
      <c r="F91" s="18">
        <v>909611</v>
      </c>
      <c r="G91" s="18">
        <f t="shared" si="114"/>
        <v>1162535498</v>
      </c>
      <c r="H91" s="18">
        <v>0</v>
      </c>
      <c r="I91" s="18">
        <v>0</v>
      </c>
      <c r="J91" s="18">
        <f t="shared" si="115"/>
        <v>0</v>
      </c>
      <c r="K91" s="18">
        <v>0</v>
      </c>
      <c r="L91" s="18">
        <v>11215044</v>
      </c>
      <c r="M91" s="18">
        <v>0</v>
      </c>
      <c r="N91" s="18">
        <f t="shared" si="116"/>
        <v>11215044</v>
      </c>
      <c r="O91" s="18">
        <v>0</v>
      </c>
      <c r="P91" s="18">
        <v>0</v>
      </c>
      <c r="Q91" s="18">
        <v>0</v>
      </c>
      <c r="R91" s="18">
        <f t="shared" si="141"/>
        <v>0</v>
      </c>
      <c r="S91" s="18">
        <v>0</v>
      </c>
      <c r="T91" s="18">
        <v>0</v>
      </c>
      <c r="U91" s="18">
        <f t="shared" si="117"/>
        <v>0</v>
      </c>
      <c r="V91" s="18">
        <f t="shared" si="118"/>
        <v>1161625887</v>
      </c>
      <c r="W91" s="18">
        <f t="shared" si="119"/>
        <v>909611</v>
      </c>
      <c r="X91" s="235">
        <f t="shared" si="120"/>
        <v>1162535498</v>
      </c>
      <c r="Y91" s="353">
        <f t="shared" si="145"/>
        <v>0</v>
      </c>
      <c r="Z91" s="353">
        <f t="shared" si="145"/>
        <v>0</v>
      </c>
      <c r="AA91" s="353">
        <f t="shared" si="146"/>
        <v>0</v>
      </c>
      <c r="AB91" s="353">
        <f t="shared" si="147"/>
        <v>4793224910</v>
      </c>
      <c r="AC91" s="353">
        <f t="shared" si="147"/>
        <v>3834223</v>
      </c>
      <c r="AD91" s="353">
        <f t="shared" si="148"/>
        <v>4797059133</v>
      </c>
      <c r="AE91" s="353">
        <f t="shared" si="149"/>
        <v>0</v>
      </c>
      <c r="AF91" s="353">
        <f t="shared" si="149"/>
        <v>0</v>
      </c>
      <c r="AG91" s="353">
        <f t="shared" si="150"/>
        <v>0</v>
      </c>
      <c r="AH91" s="353">
        <f t="shared" si="151"/>
        <v>0</v>
      </c>
      <c r="AI91" s="353">
        <f t="shared" si="142"/>
        <v>49853034</v>
      </c>
      <c r="AJ91" s="353">
        <f t="shared" si="142"/>
        <v>0</v>
      </c>
      <c r="AK91" s="353">
        <f t="shared" si="152"/>
        <v>49853034</v>
      </c>
      <c r="AL91" s="353">
        <f t="shared" si="153"/>
        <v>0</v>
      </c>
      <c r="AM91" s="353">
        <f t="shared" si="143"/>
        <v>0</v>
      </c>
      <c r="AN91" s="353">
        <f t="shared" si="143"/>
        <v>0</v>
      </c>
      <c r="AO91" s="353">
        <f t="shared" si="144"/>
        <v>0</v>
      </c>
      <c r="AP91" s="353">
        <f t="shared" si="154"/>
        <v>0</v>
      </c>
      <c r="AQ91" s="353">
        <f t="shared" si="154"/>
        <v>0</v>
      </c>
      <c r="AR91" s="353">
        <f t="shared" si="155"/>
        <v>0</v>
      </c>
      <c r="AS91" s="353">
        <f t="shared" si="59"/>
        <v>4793224910</v>
      </c>
      <c r="AT91" s="353">
        <f t="shared" si="156"/>
        <v>49853034</v>
      </c>
      <c r="AU91" s="353">
        <f t="shared" si="157"/>
        <v>3834223</v>
      </c>
      <c r="AV91" s="354">
        <f t="shared" si="121"/>
        <v>4846912167</v>
      </c>
      <c r="AW91" s="431">
        <f t="shared" si="140"/>
        <v>7.879139385130296E-3</v>
      </c>
      <c r="AX91" s="431">
        <f t="shared" si="140"/>
        <v>-0.17005223957636983</v>
      </c>
      <c r="AY91" s="431">
        <f t="shared" si="140"/>
        <v>-0.60388425001487667</v>
      </c>
      <c r="AZ91" s="431">
        <f t="shared" si="139"/>
        <v>4.4371091156691911E-3</v>
      </c>
    </row>
    <row r="92" spans="1:52">
      <c r="A92" s="138">
        <v>42856</v>
      </c>
      <c r="B92" s="139">
        <v>0</v>
      </c>
      <c r="C92" s="18">
        <v>0</v>
      </c>
      <c r="D92" s="18">
        <f t="shared" si="113"/>
        <v>0</v>
      </c>
      <c r="E92" s="18">
        <v>1254112020</v>
      </c>
      <c r="F92" s="18">
        <v>1064278</v>
      </c>
      <c r="G92" s="18">
        <f t="shared" si="114"/>
        <v>1255176298</v>
      </c>
      <c r="H92" s="18">
        <v>0</v>
      </c>
      <c r="I92" s="18">
        <v>0</v>
      </c>
      <c r="J92" s="18">
        <f t="shared" si="115"/>
        <v>0</v>
      </c>
      <c r="K92" s="18">
        <v>0</v>
      </c>
      <c r="L92" s="18">
        <v>9983085</v>
      </c>
      <c r="M92" s="18">
        <v>0</v>
      </c>
      <c r="N92" s="18">
        <f t="shared" si="116"/>
        <v>9983085</v>
      </c>
      <c r="O92" s="18">
        <v>0</v>
      </c>
      <c r="P92" s="18">
        <v>0</v>
      </c>
      <c r="Q92" s="18">
        <v>0</v>
      </c>
      <c r="R92" s="18">
        <f t="shared" si="141"/>
        <v>0</v>
      </c>
      <c r="S92" s="18">
        <v>0</v>
      </c>
      <c r="T92" s="18">
        <v>0</v>
      </c>
      <c r="U92" s="18">
        <f t="shared" si="117"/>
        <v>0</v>
      </c>
      <c r="V92" s="18">
        <f t="shared" si="118"/>
        <v>1254112020</v>
      </c>
      <c r="W92" s="18">
        <f t="shared" si="119"/>
        <v>1064278</v>
      </c>
      <c r="X92" s="235">
        <f t="shared" si="120"/>
        <v>1255176298</v>
      </c>
      <c r="Y92" s="353">
        <f t="shared" si="145"/>
        <v>0</v>
      </c>
      <c r="Z92" s="353">
        <f t="shared" si="145"/>
        <v>0</v>
      </c>
      <c r="AA92" s="353">
        <f t="shared" si="146"/>
        <v>0</v>
      </c>
      <c r="AB92" s="353">
        <f t="shared" si="147"/>
        <v>6047336930</v>
      </c>
      <c r="AC92" s="353">
        <f t="shared" si="147"/>
        <v>4898501</v>
      </c>
      <c r="AD92" s="353">
        <f t="shared" si="148"/>
        <v>6052235431</v>
      </c>
      <c r="AE92" s="353">
        <f t="shared" si="149"/>
        <v>0</v>
      </c>
      <c r="AF92" s="353">
        <f t="shared" si="149"/>
        <v>0</v>
      </c>
      <c r="AG92" s="353">
        <f t="shared" si="150"/>
        <v>0</v>
      </c>
      <c r="AH92" s="353">
        <f t="shared" si="151"/>
        <v>0</v>
      </c>
      <c r="AI92" s="353">
        <f t="shared" si="142"/>
        <v>59836119</v>
      </c>
      <c r="AJ92" s="353">
        <f t="shared" si="142"/>
        <v>0</v>
      </c>
      <c r="AK92" s="353">
        <f t="shared" si="152"/>
        <v>59836119</v>
      </c>
      <c r="AL92" s="353">
        <f t="shared" si="153"/>
        <v>0</v>
      </c>
      <c r="AM92" s="353">
        <f t="shared" si="143"/>
        <v>0</v>
      </c>
      <c r="AN92" s="353">
        <f t="shared" si="143"/>
        <v>0</v>
      </c>
      <c r="AO92" s="353">
        <f t="shared" si="144"/>
        <v>0</v>
      </c>
      <c r="AP92" s="353">
        <f t="shared" si="154"/>
        <v>0</v>
      </c>
      <c r="AQ92" s="353">
        <f t="shared" si="154"/>
        <v>0</v>
      </c>
      <c r="AR92" s="353">
        <f t="shared" si="155"/>
        <v>0</v>
      </c>
      <c r="AS92" s="353">
        <f t="shared" si="59"/>
        <v>6047336930</v>
      </c>
      <c r="AT92" s="353">
        <f t="shared" si="156"/>
        <v>59836119</v>
      </c>
      <c r="AU92" s="353">
        <f t="shared" si="157"/>
        <v>4898501</v>
      </c>
      <c r="AV92" s="354">
        <f t="shared" si="121"/>
        <v>6112071550</v>
      </c>
      <c r="AW92" s="431">
        <f t="shared" si="140"/>
        <v>9.4457078797289817E-3</v>
      </c>
      <c r="AX92" s="431">
        <f t="shared" si="140"/>
        <v>-0.21233387446767882</v>
      </c>
      <c r="AY92" s="431">
        <f t="shared" si="140"/>
        <v>-0.79997485445350991</v>
      </c>
      <c r="AZ92" s="431">
        <f t="shared" si="139"/>
        <v>3.4255485015231013E-3</v>
      </c>
    </row>
    <row r="93" spans="1:52">
      <c r="A93" s="138">
        <v>42887</v>
      </c>
      <c r="B93" s="139">
        <v>0</v>
      </c>
      <c r="C93" s="18">
        <v>0</v>
      </c>
      <c r="D93" s="18">
        <f t="shared" si="113"/>
        <v>0</v>
      </c>
      <c r="E93" s="18">
        <v>1240909168</v>
      </c>
      <c r="F93" s="18">
        <v>1090991</v>
      </c>
      <c r="G93" s="18">
        <f t="shared" si="114"/>
        <v>1242000159</v>
      </c>
      <c r="H93" s="18">
        <v>0</v>
      </c>
      <c r="I93" s="18">
        <v>0</v>
      </c>
      <c r="J93" s="18">
        <f t="shared" si="115"/>
        <v>0</v>
      </c>
      <c r="K93" s="18">
        <v>0</v>
      </c>
      <c r="L93" s="18">
        <v>11129728</v>
      </c>
      <c r="M93" s="18">
        <v>0</v>
      </c>
      <c r="N93" s="18">
        <f t="shared" si="116"/>
        <v>11129728</v>
      </c>
      <c r="O93" s="18">
        <v>0</v>
      </c>
      <c r="P93" s="18">
        <v>0</v>
      </c>
      <c r="Q93" s="18">
        <v>0</v>
      </c>
      <c r="R93" s="18">
        <f t="shared" si="141"/>
        <v>0</v>
      </c>
      <c r="S93" s="18">
        <v>0</v>
      </c>
      <c r="T93" s="18">
        <v>0</v>
      </c>
      <c r="U93" s="18">
        <f t="shared" si="117"/>
        <v>0</v>
      </c>
      <c r="V93" s="18">
        <f t="shared" si="118"/>
        <v>1240909168</v>
      </c>
      <c r="W93" s="18">
        <f t="shared" si="119"/>
        <v>1090991</v>
      </c>
      <c r="X93" s="235">
        <f t="shared" si="120"/>
        <v>1242000159</v>
      </c>
      <c r="Y93" s="353">
        <f t="shared" si="145"/>
        <v>0</v>
      </c>
      <c r="Z93" s="353">
        <f t="shared" si="145"/>
        <v>0</v>
      </c>
      <c r="AA93" s="353">
        <f t="shared" si="146"/>
        <v>0</v>
      </c>
      <c r="AB93" s="353">
        <f t="shared" si="147"/>
        <v>7288246098</v>
      </c>
      <c r="AC93" s="353">
        <f t="shared" si="147"/>
        <v>5989492</v>
      </c>
      <c r="AD93" s="353">
        <f t="shared" si="148"/>
        <v>7294235590</v>
      </c>
      <c r="AE93" s="353">
        <f t="shared" si="149"/>
        <v>0</v>
      </c>
      <c r="AF93" s="353">
        <f t="shared" si="149"/>
        <v>0</v>
      </c>
      <c r="AG93" s="353">
        <f t="shared" si="150"/>
        <v>0</v>
      </c>
      <c r="AH93" s="353">
        <f t="shared" si="151"/>
        <v>0</v>
      </c>
      <c r="AI93" s="353">
        <f t="shared" si="142"/>
        <v>70965847</v>
      </c>
      <c r="AJ93" s="353">
        <f t="shared" si="142"/>
        <v>0</v>
      </c>
      <c r="AK93" s="353">
        <f t="shared" si="152"/>
        <v>70965847</v>
      </c>
      <c r="AL93" s="353">
        <f t="shared" si="153"/>
        <v>0</v>
      </c>
      <c r="AM93" s="353">
        <f t="shared" si="143"/>
        <v>0</v>
      </c>
      <c r="AN93" s="353">
        <f t="shared" si="143"/>
        <v>0</v>
      </c>
      <c r="AO93" s="353">
        <f t="shared" si="144"/>
        <v>0</v>
      </c>
      <c r="AP93" s="353">
        <f t="shared" si="154"/>
        <v>0</v>
      </c>
      <c r="AQ93" s="353">
        <f t="shared" si="154"/>
        <v>0</v>
      </c>
      <c r="AR93" s="353">
        <f t="shared" si="155"/>
        <v>0</v>
      </c>
      <c r="AS93" s="353">
        <f t="shared" si="59"/>
        <v>7288246098</v>
      </c>
      <c r="AT93" s="353">
        <f t="shared" si="156"/>
        <v>70965847</v>
      </c>
      <c r="AU93" s="353">
        <f t="shared" si="157"/>
        <v>5989492</v>
      </c>
      <c r="AV93" s="354">
        <f t="shared" si="121"/>
        <v>7365201437</v>
      </c>
      <c r="AW93" s="431">
        <f t="shared" si="140"/>
        <v>3.896450624522485E-3</v>
      </c>
      <c r="AX93" s="431">
        <f t="shared" si="140"/>
        <v>-0.15821605662860261</v>
      </c>
      <c r="AY93" s="431">
        <f t="shared" si="140"/>
        <v>-0.85831767993335684</v>
      </c>
      <c r="AZ93" s="431">
        <f t="shared" si="139"/>
        <v>-2.8883361991960399E-3</v>
      </c>
    </row>
    <row r="94" spans="1:52">
      <c r="A94" s="138">
        <v>42917</v>
      </c>
      <c r="B94" s="139">
        <v>0</v>
      </c>
      <c r="C94" s="18">
        <v>0</v>
      </c>
      <c r="D94" s="18">
        <f t="shared" si="113"/>
        <v>0</v>
      </c>
      <c r="E94" s="18">
        <v>1251971461</v>
      </c>
      <c r="F94" s="18">
        <v>1120198</v>
      </c>
      <c r="G94" s="18">
        <f t="shared" si="114"/>
        <v>1253091659</v>
      </c>
      <c r="H94" s="18">
        <v>0</v>
      </c>
      <c r="I94" s="18">
        <v>0</v>
      </c>
      <c r="J94" s="18">
        <f t="shared" si="115"/>
        <v>0</v>
      </c>
      <c r="K94" s="18">
        <v>0</v>
      </c>
      <c r="L94" s="18">
        <v>12209587</v>
      </c>
      <c r="M94" s="18">
        <v>0</v>
      </c>
      <c r="N94" s="18">
        <f t="shared" si="116"/>
        <v>12209587</v>
      </c>
      <c r="O94" s="18">
        <v>0</v>
      </c>
      <c r="P94" s="18">
        <v>0</v>
      </c>
      <c r="Q94" s="18">
        <v>0</v>
      </c>
      <c r="R94" s="18">
        <f t="shared" si="141"/>
        <v>0</v>
      </c>
      <c r="S94" s="18">
        <v>0</v>
      </c>
      <c r="T94" s="18">
        <v>0</v>
      </c>
      <c r="U94" s="18">
        <f t="shared" si="117"/>
        <v>0</v>
      </c>
      <c r="V94" s="18">
        <f t="shared" si="118"/>
        <v>1251971461</v>
      </c>
      <c r="W94" s="18">
        <f t="shared" si="119"/>
        <v>1120198</v>
      </c>
      <c r="X94" s="235">
        <f t="shared" si="120"/>
        <v>1253091659</v>
      </c>
      <c r="Y94" s="353">
        <f t="shared" si="145"/>
        <v>0</v>
      </c>
      <c r="Z94" s="353">
        <f t="shared" si="145"/>
        <v>0</v>
      </c>
      <c r="AA94" s="353">
        <f t="shared" si="146"/>
        <v>0</v>
      </c>
      <c r="AB94" s="353">
        <f t="shared" si="147"/>
        <v>8540217559</v>
      </c>
      <c r="AC94" s="353">
        <f t="shared" si="147"/>
        <v>7109690</v>
      </c>
      <c r="AD94" s="353">
        <f t="shared" si="148"/>
        <v>8547327249</v>
      </c>
      <c r="AE94" s="353">
        <f t="shared" si="149"/>
        <v>0</v>
      </c>
      <c r="AF94" s="353">
        <f t="shared" si="149"/>
        <v>0</v>
      </c>
      <c r="AG94" s="353">
        <f t="shared" si="150"/>
        <v>0</v>
      </c>
      <c r="AH94" s="353">
        <f t="shared" si="151"/>
        <v>0</v>
      </c>
      <c r="AI94" s="353">
        <f t="shared" si="142"/>
        <v>83175434</v>
      </c>
      <c r="AJ94" s="353">
        <f t="shared" si="142"/>
        <v>0</v>
      </c>
      <c r="AK94" s="353">
        <f t="shared" si="152"/>
        <v>83175434</v>
      </c>
      <c r="AL94" s="353">
        <f t="shared" si="153"/>
        <v>0</v>
      </c>
      <c r="AM94" s="353">
        <f t="shared" si="143"/>
        <v>0</v>
      </c>
      <c r="AN94" s="353">
        <f t="shared" si="143"/>
        <v>0</v>
      </c>
      <c r="AO94" s="353">
        <f t="shared" si="144"/>
        <v>0</v>
      </c>
      <c r="AP94" s="353">
        <f t="shared" si="154"/>
        <v>0</v>
      </c>
      <c r="AQ94" s="353">
        <f t="shared" si="154"/>
        <v>0</v>
      </c>
      <c r="AR94" s="353">
        <f t="shared" si="155"/>
        <v>0</v>
      </c>
      <c r="AS94" s="353">
        <f t="shared" ref="AS94:AS157" si="158">Y94+AB94+AE94+AH94+AL94+AP94</f>
        <v>8540217559</v>
      </c>
      <c r="AT94" s="353">
        <f t="shared" si="156"/>
        <v>83175434</v>
      </c>
      <c r="AU94" s="353">
        <f t="shared" si="157"/>
        <v>7109690</v>
      </c>
      <c r="AV94" s="354">
        <f t="shared" si="121"/>
        <v>8630502683</v>
      </c>
      <c r="AW94" s="431">
        <f t="shared" si="140"/>
        <v>6.0444389042466629E-3</v>
      </c>
      <c r="AX94" s="431">
        <f t="shared" si="140"/>
        <v>-0.12358415719856242</v>
      </c>
      <c r="AY94" s="431">
        <f t="shared" si="140"/>
        <v>-0.87683977097919841</v>
      </c>
      <c r="AZ94" s="431">
        <f t="shared" si="139"/>
        <v>-1.2770213886663662E-3</v>
      </c>
    </row>
    <row r="95" spans="1:52">
      <c r="A95" s="138">
        <v>42948</v>
      </c>
      <c r="B95" s="139">
        <v>0</v>
      </c>
      <c r="C95" s="18">
        <v>0</v>
      </c>
      <c r="D95" s="18">
        <f t="shared" si="113"/>
        <v>0</v>
      </c>
      <c r="E95" s="18">
        <v>1296498464</v>
      </c>
      <c r="F95" s="18">
        <v>1189169</v>
      </c>
      <c r="G95" s="18">
        <f t="shared" si="114"/>
        <v>1297687633</v>
      </c>
      <c r="H95" s="18">
        <v>0</v>
      </c>
      <c r="I95" s="18">
        <v>0</v>
      </c>
      <c r="J95" s="18">
        <f t="shared" si="115"/>
        <v>0</v>
      </c>
      <c r="K95" s="18">
        <v>0</v>
      </c>
      <c r="L95" s="18">
        <v>16880454</v>
      </c>
      <c r="M95" s="18">
        <v>0</v>
      </c>
      <c r="N95" s="18">
        <f t="shared" si="116"/>
        <v>16880454</v>
      </c>
      <c r="O95" s="18">
        <v>0</v>
      </c>
      <c r="P95" s="18">
        <v>0</v>
      </c>
      <c r="Q95" s="18">
        <v>0</v>
      </c>
      <c r="R95" s="18">
        <f t="shared" si="141"/>
        <v>0</v>
      </c>
      <c r="S95" s="18">
        <v>0</v>
      </c>
      <c r="T95" s="18">
        <v>0</v>
      </c>
      <c r="U95" s="18">
        <f t="shared" si="117"/>
        <v>0</v>
      </c>
      <c r="V95" s="18">
        <f t="shared" si="118"/>
        <v>1296498464</v>
      </c>
      <c r="W95" s="18">
        <f t="shared" si="119"/>
        <v>1189169</v>
      </c>
      <c r="X95" s="235">
        <f t="shared" si="120"/>
        <v>1297687633</v>
      </c>
      <c r="Y95" s="353">
        <f t="shared" si="145"/>
        <v>0</v>
      </c>
      <c r="Z95" s="353">
        <f t="shared" si="145"/>
        <v>0</v>
      </c>
      <c r="AA95" s="353">
        <f t="shared" si="146"/>
        <v>0</v>
      </c>
      <c r="AB95" s="353">
        <f t="shared" si="147"/>
        <v>9836716023</v>
      </c>
      <c r="AC95" s="353">
        <f t="shared" si="147"/>
        <v>8298859</v>
      </c>
      <c r="AD95" s="353">
        <f t="shared" si="148"/>
        <v>9845014882</v>
      </c>
      <c r="AE95" s="353">
        <f t="shared" si="149"/>
        <v>0</v>
      </c>
      <c r="AF95" s="353">
        <f t="shared" si="149"/>
        <v>0</v>
      </c>
      <c r="AG95" s="353">
        <f t="shared" si="150"/>
        <v>0</v>
      </c>
      <c r="AH95" s="353">
        <f t="shared" si="151"/>
        <v>0</v>
      </c>
      <c r="AI95" s="353">
        <f t="shared" si="142"/>
        <v>100055888</v>
      </c>
      <c r="AJ95" s="353">
        <f t="shared" si="142"/>
        <v>0</v>
      </c>
      <c r="AK95" s="353">
        <f t="shared" si="152"/>
        <v>100055888</v>
      </c>
      <c r="AL95" s="353">
        <f t="shared" si="153"/>
        <v>0</v>
      </c>
      <c r="AM95" s="353">
        <f t="shared" si="143"/>
        <v>0</v>
      </c>
      <c r="AN95" s="353">
        <f t="shared" si="143"/>
        <v>0</v>
      </c>
      <c r="AO95" s="353">
        <f t="shared" si="144"/>
        <v>0</v>
      </c>
      <c r="AP95" s="353">
        <f t="shared" si="154"/>
        <v>0</v>
      </c>
      <c r="AQ95" s="353">
        <f t="shared" si="154"/>
        <v>0</v>
      </c>
      <c r="AR95" s="353">
        <f t="shared" si="155"/>
        <v>0</v>
      </c>
      <c r="AS95" s="353">
        <f t="shared" si="158"/>
        <v>9836716023</v>
      </c>
      <c r="AT95" s="353">
        <f t="shared" si="156"/>
        <v>100055888</v>
      </c>
      <c r="AU95" s="353">
        <f t="shared" si="157"/>
        <v>8298859</v>
      </c>
      <c r="AV95" s="354">
        <f t="shared" si="121"/>
        <v>9945070770</v>
      </c>
      <c r="AW95" s="431">
        <f t="shared" si="140"/>
        <v>4.6529502263277234E-3</v>
      </c>
      <c r="AX95" s="431">
        <f t="shared" si="140"/>
        <v>-9.5163534434674735E-2</v>
      </c>
      <c r="AY95" s="431">
        <f t="shared" si="140"/>
        <v>-0.86588504173116254</v>
      </c>
      <c r="AZ95" s="431">
        <f t="shared" si="139"/>
        <v>-1.8612874224899212E-3</v>
      </c>
    </row>
    <row r="96" spans="1:52">
      <c r="A96" s="138">
        <v>42979</v>
      </c>
      <c r="B96" s="139">
        <v>0</v>
      </c>
      <c r="C96" s="18">
        <v>0</v>
      </c>
      <c r="D96" s="18">
        <f t="shared" si="113"/>
        <v>0</v>
      </c>
      <c r="E96" s="18">
        <v>1209078725</v>
      </c>
      <c r="F96" s="18">
        <v>979481</v>
      </c>
      <c r="G96" s="18">
        <f t="shared" si="114"/>
        <v>1210058206</v>
      </c>
      <c r="H96" s="18">
        <v>0</v>
      </c>
      <c r="I96" s="18">
        <v>0</v>
      </c>
      <c r="J96" s="18">
        <f t="shared" si="115"/>
        <v>0</v>
      </c>
      <c r="K96" s="18">
        <v>0</v>
      </c>
      <c r="L96" s="18">
        <v>11866285</v>
      </c>
      <c r="M96" s="18">
        <v>0</v>
      </c>
      <c r="N96" s="18">
        <f t="shared" si="116"/>
        <v>11866285</v>
      </c>
      <c r="O96" s="18">
        <v>0</v>
      </c>
      <c r="P96" s="18">
        <v>0</v>
      </c>
      <c r="Q96" s="18">
        <v>0</v>
      </c>
      <c r="R96" s="18">
        <f t="shared" si="141"/>
        <v>0</v>
      </c>
      <c r="S96" s="18">
        <v>0</v>
      </c>
      <c r="T96" s="18">
        <v>0</v>
      </c>
      <c r="U96" s="18">
        <f t="shared" si="117"/>
        <v>0</v>
      </c>
      <c r="V96" s="18">
        <f t="shared" si="118"/>
        <v>1209078725</v>
      </c>
      <c r="W96" s="18">
        <f t="shared" si="119"/>
        <v>979481</v>
      </c>
      <c r="X96" s="235">
        <f t="shared" si="120"/>
        <v>1210058206</v>
      </c>
      <c r="Y96" s="353">
        <f t="shared" si="145"/>
        <v>0</v>
      </c>
      <c r="Z96" s="353">
        <f t="shared" si="145"/>
        <v>0</v>
      </c>
      <c r="AA96" s="353">
        <f t="shared" si="146"/>
        <v>0</v>
      </c>
      <c r="AB96" s="353">
        <f t="shared" si="147"/>
        <v>11045794748</v>
      </c>
      <c r="AC96" s="353">
        <f t="shared" si="147"/>
        <v>9278340</v>
      </c>
      <c r="AD96" s="353">
        <f t="shared" si="148"/>
        <v>11055073088</v>
      </c>
      <c r="AE96" s="353">
        <f t="shared" si="149"/>
        <v>0</v>
      </c>
      <c r="AF96" s="353">
        <f t="shared" si="149"/>
        <v>0</v>
      </c>
      <c r="AG96" s="353">
        <f t="shared" si="150"/>
        <v>0</v>
      </c>
      <c r="AH96" s="353">
        <f t="shared" si="151"/>
        <v>0</v>
      </c>
      <c r="AI96" s="353">
        <f t="shared" si="142"/>
        <v>111922173</v>
      </c>
      <c r="AJ96" s="353">
        <f t="shared" si="142"/>
        <v>0</v>
      </c>
      <c r="AK96" s="353">
        <f t="shared" si="152"/>
        <v>111922173</v>
      </c>
      <c r="AL96" s="353">
        <f t="shared" si="153"/>
        <v>0</v>
      </c>
      <c r="AM96" s="353">
        <f t="shared" si="143"/>
        <v>0</v>
      </c>
      <c r="AN96" s="353">
        <f t="shared" si="143"/>
        <v>0</v>
      </c>
      <c r="AO96" s="353">
        <f t="shared" si="144"/>
        <v>0</v>
      </c>
      <c r="AP96" s="353">
        <f t="shared" si="154"/>
        <v>0</v>
      </c>
      <c r="AQ96" s="353">
        <f t="shared" si="154"/>
        <v>0</v>
      </c>
      <c r="AR96" s="353">
        <f t="shared" si="155"/>
        <v>0</v>
      </c>
      <c r="AS96" s="353">
        <f t="shared" si="158"/>
        <v>11045794748</v>
      </c>
      <c r="AT96" s="353">
        <f t="shared" si="156"/>
        <v>111922173</v>
      </c>
      <c r="AU96" s="353">
        <f t="shared" si="157"/>
        <v>9278340</v>
      </c>
      <c r="AV96" s="354">
        <f t="shared" si="121"/>
        <v>11166995261</v>
      </c>
      <c r="AW96" s="431">
        <f t="shared" si="140"/>
        <v>4.0085844856287967E-3</v>
      </c>
      <c r="AX96" s="431">
        <f t="shared" si="140"/>
        <v>-7.5902951283427944E-2</v>
      </c>
      <c r="AY96" s="431">
        <f t="shared" si="140"/>
        <v>-0.88381657651302792</v>
      </c>
      <c r="AZ96" s="431">
        <f t="shared" si="139"/>
        <v>-3.1843176673452822E-3</v>
      </c>
    </row>
    <row r="97" spans="1:52">
      <c r="A97" s="138">
        <v>43009</v>
      </c>
      <c r="B97" s="139">
        <v>0</v>
      </c>
      <c r="C97" s="18">
        <v>0</v>
      </c>
      <c r="D97" s="18">
        <f t="shared" si="113"/>
        <v>0</v>
      </c>
      <c r="E97" s="18">
        <v>1274775786</v>
      </c>
      <c r="F97" s="18">
        <v>1017150</v>
      </c>
      <c r="G97" s="18">
        <f t="shared" si="114"/>
        <v>1275792936</v>
      </c>
      <c r="H97" s="18">
        <v>0</v>
      </c>
      <c r="I97" s="18">
        <v>0</v>
      </c>
      <c r="J97" s="18">
        <f t="shared" si="115"/>
        <v>0</v>
      </c>
      <c r="K97" s="18">
        <v>0</v>
      </c>
      <c r="L97" s="18">
        <v>16022393</v>
      </c>
      <c r="M97" s="18">
        <v>0</v>
      </c>
      <c r="N97" s="18">
        <f t="shared" si="116"/>
        <v>16022393</v>
      </c>
      <c r="O97" s="18">
        <v>0</v>
      </c>
      <c r="P97" s="18">
        <v>0</v>
      </c>
      <c r="Q97" s="18">
        <v>0</v>
      </c>
      <c r="R97" s="18">
        <f t="shared" si="141"/>
        <v>0</v>
      </c>
      <c r="S97" s="18">
        <v>0</v>
      </c>
      <c r="T97" s="18">
        <v>0</v>
      </c>
      <c r="U97" s="18">
        <f t="shared" si="117"/>
        <v>0</v>
      </c>
      <c r="V97" s="18">
        <f t="shared" si="118"/>
        <v>1274775786</v>
      </c>
      <c r="W97" s="18">
        <f t="shared" si="119"/>
        <v>1017150</v>
      </c>
      <c r="X97" s="235">
        <f t="shared" si="120"/>
        <v>1275792936</v>
      </c>
      <c r="Y97" s="353">
        <f t="shared" si="145"/>
        <v>0</v>
      </c>
      <c r="Z97" s="353">
        <f t="shared" si="145"/>
        <v>0</v>
      </c>
      <c r="AA97" s="353">
        <f t="shared" si="146"/>
        <v>0</v>
      </c>
      <c r="AB97" s="353">
        <f t="shared" si="147"/>
        <v>12320570534</v>
      </c>
      <c r="AC97" s="353">
        <f t="shared" si="147"/>
        <v>10295490</v>
      </c>
      <c r="AD97" s="353">
        <f t="shared" si="148"/>
        <v>12330866024</v>
      </c>
      <c r="AE97" s="353">
        <f t="shared" si="149"/>
        <v>0</v>
      </c>
      <c r="AF97" s="353">
        <f t="shared" si="149"/>
        <v>0</v>
      </c>
      <c r="AG97" s="353">
        <f t="shared" si="150"/>
        <v>0</v>
      </c>
      <c r="AH97" s="353">
        <f t="shared" si="151"/>
        <v>0</v>
      </c>
      <c r="AI97" s="353">
        <f t="shared" si="142"/>
        <v>127944566</v>
      </c>
      <c r="AJ97" s="353">
        <f t="shared" si="142"/>
        <v>0</v>
      </c>
      <c r="AK97" s="353">
        <f t="shared" si="152"/>
        <v>127944566</v>
      </c>
      <c r="AL97" s="353">
        <f t="shared" si="153"/>
        <v>0</v>
      </c>
      <c r="AM97" s="353">
        <f t="shared" si="143"/>
        <v>0</v>
      </c>
      <c r="AN97" s="353">
        <f t="shared" si="143"/>
        <v>0</v>
      </c>
      <c r="AO97" s="353">
        <f t="shared" si="144"/>
        <v>0</v>
      </c>
      <c r="AP97" s="353">
        <f t="shared" si="154"/>
        <v>0</v>
      </c>
      <c r="AQ97" s="353">
        <f t="shared" si="154"/>
        <v>0</v>
      </c>
      <c r="AR97" s="353">
        <f t="shared" si="155"/>
        <v>0</v>
      </c>
      <c r="AS97" s="353">
        <f t="shared" si="158"/>
        <v>12320570534</v>
      </c>
      <c r="AT97" s="353">
        <f t="shared" si="156"/>
        <v>127944566</v>
      </c>
      <c r="AU97" s="353">
        <f t="shared" si="157"/>
        <v>10295490</v>
      </c>
      <c r="AV97" s="354">
        <f t="shared" si="121"/>
        <v>12458810590</v>
      </c>
      <c r="AW97" s="431">
        <f t="shared" si="140"/>
        <v>6.9010472930526312E-3</v>
      </c>
      <c r="AX97" s="431">
        <f t="shared" si="140"/>
        <v>-8.085729634864014E-2</v>
      </c>
      <c r="AY97" s="431">
        <f t="shared" si="140"/>
        <v>-0.89409736692707398</v>
      </c>
      <c r="AZ97" s="431">
        <f t="shared" si="139"/>
        <v>-1.1011625231441835E-3</v>
      </c>
    </row>
    <row r="98" spans="1:52">
      <c r="A98" s="138">
        <v>43040</v>
      </c>
      <c r="B98" s="139">
        <v>0</v>
      </c>
      <c r="C98" s="18">
        <v>0</v>
      </c>
      <c r="D98" s="18">
        <f t="shared" si="113"/>
        <v>0</v>
      </c>
      <c r="E98" s="18">
        <v>1272892414</v>
      </c>
      <c r="F98" s="18">
        <v>1027845</v>
      </c>
      <c r="G98" s="18">
        <f t="shared" si="114"/>
        <v>1273920259</v>
      </c>
      <c r="H98" s="18">
        <v>0</v>
      </c>
      <c r="I98" s="18">
        <v>0</v>
      </c>
      <c r="J98" s="18">
        <f t="shared" si="115"/>
        <v>0</v>
      </c>
      <c r="K98" s="18">
        <v>0</v>
      </c>
      <c r="L98" s="18">
        <v>4477889</v>
      </c>
      <c r="M98" s="18">
        <v>0</v>
      </c>
      <c r="N98" s="18">
        <f t="shared" si="116"/>
        <v>4477889</v>
      </c>
      <c r="O98" s="18">
        <v>0</v>
      </c>
      <c r="P98" s="18">
        <v>0</v>
      </c>
      <c r="Q98" s="18">
        <v>0</v>
      </c>
      <c r="R98" s="18">
        <f t="shared" si="141"/>
        <v>0</v>
      </c>
      <c r="S98" s="18">
        <v>0</v>
      </c>
      <c r="T98" s="18">
        <v>0</v>
      </c>
      <c r="U98" s="18">
        <f t="shared" si="117"/>
        <v>0</v>
      </c>
      <c r="V98" s="18">
        <f t="shared" si="118"/>
        <v>1272892414</v>
      </c>
      <c r="W98" s="18">
        <f t="shared" si="119"/>
        <v>1027845</v>
      </c>
      <c r="X98" s="235">
        <f t="shared" si="120"/>
        <v>1273920259</v>
      </c>
      <c r="Y98" s="353">
        <f t="shared" si="145"/>
        <v>0</v>
      </c>
      <c r="Z98" s="353">
        <f t="shared" si="145"/>
        <v>0</v>
      </c>
      <c r="AA98" s="353">
        <f t="shared" si="146"/>
        <v>0</v>
      </c>
      <c r="AB98" s="353">
        <f t="shared" si="147"/>
        <v>13593462948</v>
      </c>
      <c r="AC98" s="353">
        <f t="shared" si="147"/>
        <v>11323335</v>
      </c>
      <c r="AD98" s="353">
        <f t="shared" si="148"/>
        <v>13604786283</v>
      </c>
      <c r="AE98" s="353">
        <f t="shared" si="149"/>
        <v>0</v>
      </c>
      <c r="AF98" s="353">
        <f t="shared" si="149"/>
        <v>0</v>
      </c>
      <c r="AG98" s="353">
        <f t="shared" si="150"/>
        <v>0</v>
      </c>
      <c r="AH98" s="353">
        <f t="shared" si="151"/>
        <v>0</v>
      </c>
      <c r="AI98" s="353">
        <f t="shared" si="142"/>
        <v>132422455</v>
      </c>
      <c r="AJ98" s="353">
        <f t="shared" si="142"/>
        <v>0</v>
      </c>
      <c r="AK98" s="353">
        <f t="shared" si="152"/>
        <v>132422455</v>
      </c>
      <c r="AL98" s="353">
        <f t="shared" si="153"/>
        <v>0</v>
      </c>
      <c r="AM98" s="353">
        <f t="shared" si="143"/>
        <v>0</v>
      </c>
      <c r="AN98" s="353">
        <f t="shared" si="143"/>
        <v>0</v>
      </c>
      <c r="AO98" s="353">
        <f t="shared" si="144"/>
        <v>0</v>
      </c>
      <c r="AP98" s="353">
        <f t="shared" si="154"/>
        <v>0</v>
      </c>
      <c r="AQ98" s="353">
        <f t="shared" si="154"/>
        <v>0</v>
      </c>
      <c r="AR98" s="353">
        <f t="shared" si="155"/>
        <v>0</v>
      </c>
      <c r="AS98" s="353">
        <f t="shared" si="158"/>
        <v>13593462948</v>
      </c>
      <c r="AT98" s="353">
        <f t="shared" si="156"/>
        <v>132422455</v>
      </c>
      <c r="AU98" s="353">
        <f t="shared" si="157"/>
        <v>11323335</v>
      </c>
      <c r="AV98" s="354">
        <f t="shared" si="121"/>
        <v>13737208738</v>
      </c>
      <c r="AW98" s="431">
        <f t="shared" si="140"/>
        <v>1.1275492091423533E-2</v>
      </c>
      <c r="AX98" s="431">
        <f t="shared" si="140"/>
        <v>-0.13512059223952388</v>
      </c>
      <c r="AY98" s="431">
        <f t="shared" si="140"/>
        <v>-0.90415903945399068</v>
      </c>
      <c r="AZ98" s="431">
        <f t="shared" si="139"/>
        <v>1.7539207121455291E-3</v>
      </c>
    </row>
    <row r="99" spans="1:52" ht="15.75" thickBot="1">
      <c r="A99" s="138">
        <v>43070</v>
      </c>
      <c r="B99" s="139">
        <v>0</v>
      </c>
      <c r="C99" s="18">
        <v>0</v>
      </c>
      <c r="D99" s="18">
        <f t="shared" si="113"/>
        <v>0</v>
      </c>
      <c r="E99" s="18">
        <v>1258409330</v>
      </c>
      <c r="F99" s="18">
        <v>1024633</v>
      </c>
      <c r="G99" s="18">
        <f t="shared" si="114"/>
        <v>1259433963</v>
      </c>
      <c r="H99" s="18">
        <v>0</v>
      </c>
      <c r="I99" s="18">
        <v>0</v>
      </c>
      <c r="J99" s="18">
        <f t="shared" si="115"/>
        <v>0</v>
      </c>
      <c r="K99" s="18">
        <v>0</v>
      </c>
      <c r="L99" s="18">
        <v>11684742</v>
      </c>
      <c r="M99" s="18">
        <v>0</v>
      </c>
      <c r="N99" s="18">
        <f t="shared" si="116"/>
        <v>11684742</v>
      </c>
      <c r="O99" s="18">
        <v>0</v>
      </c>
      <c r="P99" s="18">
        <v>0</v>
      </c>
      <c r="Q99" s="18">
        <v>0</v>
      </c>
      <c r="R99" s="18">
        <f t="shared" si="141"/>
        <v>0</v>
      </c>
      <c r="S99" s="18">
        <v>0</v>
      </c>
      <c r="T99" s="18">
        <v>0</v>
      </c>
      <c r="U99" s="18">
        <f t="shared" si="117"/>
        <v>0</v>
      </c>
      <c r="V99" s="18">
        <f t="shared" si="118"/>
        <v>1258409330</v>
      </c>
      <c r="W99" s="18">
        <f t="shared" si="119"/>
        <v>1024633</v>
      </c>
      <c r="X99" s="235">
        <f t="shared" si="120"/>
        <v>1259433963</v>
      </c>
      <c r="Y99" s="353">
        <f t="shared" si="145"/>
        <v>0</v>
      </c>
      <c r="Z99" s="353">
        <f t="shared" si="145"/>
        <v>0</v>
      </c>
      <c r="AA99" s="353">
        <f t="shared" si="146"/>
        <v>0</v>
      </c>
      <c r="AB99" s="353">
        <f t="shared" si="147"/>
        <v>14851872278</v>
      </c>
      <c r="AC99" s="353">
        <f t="shared" si="147"/>
        <v>12347968</v>
      </c>
      <c r="AD99" s="353">
        <f t="shared" si="148"/>
        <v>14864220246</v>
      </c>
      <c r="AE99" s="353">
        <f t="shared" si="149"/>
        <v>0</v>
      </c>
      <c r="AF99" s="353">
        <f t="shared" si="149"/>
        <v>0</v>
      </c>
      <c r="AG99" s="353">
        <f t="shared" si="150"/>
        <v>0</v>
      </c>
      <c r="AH99" s="353">
        <f t="shared" si="151"/>
        <v>0</v>
      </c>
      <c r="AI99" s="353">
        <f t="shared" si="142"/>
        <v>144107197</v>
      </c>
      <c r="AJ99" s="353">
        <f t="shared" si="142"/>
        <v>0</v>
      </c>
      <c r="AK99" s="353">
        <f t="shared" si="152"/>
        <v>144107197</v>
      </c>
      <c r="AL99" s="353">
        <f t="shared" si="153"/>
        <v>0</v>
      </c>
      <c r="AM99" s="353">
        <f t="shared" si="143"/>
        <v>0</v>
      </c>
      <c r="AN99" s="353">
        <f t="shared" si="143"/>
        <v>0</v>
      </c>
      <c r="AO99" s="353">
        <f t="shared" si="144"/>
        <v>0</v>
      </c>
      <c r="AP99" s="353">
        <f t="shared" si="154"/>
        <v>0</v>
      </c>
      <c r="AQ99" s="353">
        <f t="shared" si="154"/>
        <v>0</v>
      </c>
      <c r="AR99" s="353">
        <f t="shared" si="155"/>
        <v>0</v>
      </c>
      <c r="AS99" s="353">
        <f t="shared" si="158"/>
        <v>14851872278</v>
      </c>
      <c r="AT99" s="353">
        <f t="shared" si="156"/>
        <v>144107197</v>
      </c>
      <c r="AU99" s="353">
        <f t="shared" si="157"/>
        <v>12347968</v>
      </c>
      <c r="AV99" s="354">
        <f t="shared" si="121"/>
        <v>15008327443</v>
      </c>
      <c r="AW99" s="431">
        <f t="shared" si="140"/>
        <v>9.4144495270529482E-3</v>
      </c>
      <c r="AX99" s="431">
        <f t="shared" si="140"/>
        <v>-0.13008722567914621</v>
      </c>
      <c r="AY99" s="431">
        <f t="shared" si="140"/>
        <v>-0.90063355846795157</v>
      </c>
      <c r="AZ99" s="431">
        <f t="shared" si="139"/>
        <v>3.3654284974926618E-4</v>
      </c>
    </row>
    <row r="100" spans="1:52">
      <c r="A100" s="141">
        <v>43101</v>
      </c>
      <c r="B100" s="142">
        <v>0</v>
      </c>
      <c r="C100" s="143">
        <v>0</v>
      </c>
      <c r="D100" s="143">
        <f t="shared" si="113"/>
        <v>0</v>
      </c>
      <c r="E100" s="143">
        <v>1255494453</v>
      </c>
      <c r="F100" s="143">
        <v>1013263</v>
      </c>
      <c r="G100" s="143">
        <f t="shared" si="114"/>
        <v>1256507716</v>
      </c>
      <c r="H100" s="143">
        <v>0</v>
      </c>
      <c r="I100" s="143">
        <v>0</v>
      </c>
      <c r="J100" s="143">
        <f t="shared" si="115"/>
        <v>0</v>
      </c>
      <c r="K100" s="143">
        <v>0</v>
      </c>
      <c r="L100" s="143">
        <v>16106505</v>
      </c>
      <c r="M100" s="143">
        <v>0</v>
      </c>
      <c r="N100" s="143">
        <f t="shared" si="116"/>
        <v>16106505</v>
      </c>
      <c r="O100" s="143">
        <v>0</v>
      </c>
      <c r="P100" s="143">
        <v>0</v>
      </c>
      <c r="Q100" s="143">
        <v>0</v>
      </c>
      <c r="R100" s="143">
        <f t="shared" ref="R100:R131" si="159">SUM(O100:Q100)</f>
        <v>0</v>
      </c>
      <c r="S100" s="143">
        <v>0</v>
      </c>
      <c r="T100" s="143">
        <v>0</v>
      </c>
      <c r="U100" s="143">
        <f t="shared" si="117"/>
        <v>0</v>
      </c>
      <c r="V100" s="143">
        <f t="shared" si="118"/>
        <v>1255494453</v>
      </c>
      <c r="W100" s="143">
        <f t="shared" si="119"/>
        <v>1013263</v>
      </c>
      <c r="X100" s="237">
        <f t="shared" si="120"/>
        <v>1256507716</v>
      </c>
      <c r="Y100" s="350">
        <f>B100</f>
        <v>0</v>
      </c>
      <c r="Z100" s="350">
        <f>C100</f>
        <v>0</v>
      </c>
      <c r="AA100" s="350">
        <f>Z100+Y100</f>
        <v>0</v>
      </c>
      <c r="AB100" s="350">
        <f>E100</f>
        <v>1255494453</v>
      </c>
      <c r="AC100" s="350">
        <f>F100</f>
        <v>1013263</v>
      </c>
      <c r="AD100" s="350">
        <f>AC100+AB100</f>
        <v>1256507716</v>
      </c>
      <c r="AE100" s="350">
        <f>H100</f>
        <v>0</v>
      </c>
      <c r="AF100" s="350">
        <f>I100</f>
        <v>0</v>
      </c>
      <c r="AG100" s="350">
        <f>AF100+AE100</f>
        <v>0</v>
      </c>
      <c r="AH100" s="350">
        <f>K100</f>
        <v>0</v>
      </c>
      <c r="AI100" s="350">
        <f>L100</f>
        <v>16106505</v>
      </c>
      <c r="AJ100" s="350">
        <f>M100</f>
        <v>0</v>
      </c>
      <c r="AK100" s="350">
        <f>AJ100+AI100+AH100</f>
        <v>16106505</v>
      </c>
      <c r="AL100" s="350">
        <f>O100</f>
        <v>0</v>
      </c>
      <c r="AM100" s="350">
        <f>P100</f>
        <v>0</v>
      </c>
      <c r="AN100" s="350">
        <f>Q100</f>
        <v>0</v>
      </c>
      <c r="AO100" s="350">
        <f>SUM(AL100:AN100)</f>
        <v>0</v>
      </c>
      <c r="AP100" s="350">
        <f>S100</f>
        <v>0</v>
      </c>
      <c r="AQ100" s="350">
        <f>T100</f>
        <v>0</v>
      </c>
      <c r="AR100" s="350">
        <f>SUM(AP100:AQ100)</f>
        <v>0</v>
      </c>
      <c r="AS100" s="350">
        <f t="shared" si="158"/>
        <v>1255494453</v>
      </c>
      <c r="AT100" s="350">
        <f>AI100</f>
        <v>16106505</v>
      </c>
      <c r="AU100" s="350">
        <f>Z100+AC100+AF100+AJ100+AN100+AQ100</f>
        <v>1013263</v>
      </c>
      <c r="AV100" s="351">
        <f t="shared" si="121"/>
        <v>1272614221</v>
      </c>
      <c r="AW100" s="431">
        <f t="shared" si="140"/>
        <v>1.3807123226850182E-2</v>
      </c>
      <c r="AX100" s="431">
        <f t="shared" si="140"/>
        <v>0.60486784019819795</v>
      </c>
      <c r="AY100" s="431">
        <f t="shared" si="140"/>
        <v>2.4582588437052522E-2</v>
      </c>
      <c r="AZ100" s="431">
        <f t="shared" si="139"/>
        <v>1.8563375808946958E-2</v>
      </c>
    </row>
    <row r="101" spans="1:52">
      <c r="A101" s="138">
        <v>43132</v>
      </c>
      <c r="B101" s="139">
        <v>0</v>
      </c>
      <c r="C101" s="18">
        <v>0</v>
      </c>
      <c r="D101" s="18">
        <f t="shared" si="113"/>
        <v>0</v>
      </c>
      <c r="E101" s="18">
        <v>1098731054</v>
      </c>
      <c r="F101" s="18">
        <v>917632</v>
      </c>
      <c r="G101" s="18">
        <f t="shared" si="114"/>
        <v>1099648686</v>
      </c>
      <c r="H101" s="18">
        <v>0</v>
      </c>
      <c r="I101" s="18">
        <v>0</v>
      </c>
      <c r="J101" s="18">
        <f t="shared" si="115"/>
        <v>0</v>
      </c>
      <c r="K101" s="18">
        <v>0</v>
      </c>
      <c r="L101" s="18">
        <v>15965986</v>
      </c>
      <c r="M101" s="18">
        <v>0</v>
      </c>
      <c r="N101" s="18">
        <f t="shared" si="116"/>
        <v>15965986</v>
      </c>
      <c r="O101" s="18">
        <v>0</v>
      </c>
      <c r="P101" s="18">
        <v>0</v>
      </c>
      <c r="Q101" s="18">
        <v>0</v>
      </c>
      <c r="R101" s="18">
        <f t="shared" si="159"/>
        <v>0</v>
      </c>
      <c r="S101" s="18">
        <v>0</v>
      </c>
      <c r="T101" s="18">
        <v>0</v>
      </c>
      <c r="U101" s="18">
        <f t="shared" si="117"/>
        <v>0</v>
      </c>
      <c r="V101" s="18">
        <f t="shared" si="118"/>
        <v>1098731054</v>
      </c>
      <c r="W101" s="18">
        <f t="shared" si="119"/>
        <v>917632</v>
      </c>
      <c r="X101" s="235">
        <f t="shared" si="120"/>
        <v>1099648686</v>
      </c>
      <c r="Y101" s="353">
        <f>Y100+B101</f>
        <v>0</v>
      </c>
      <c r="Z101" s="353">
        <f>Z100+C101</f>
        <v>0</v>
      </c>
      <c r="AA101" s="353">
        <f>Z101+Y101</f>
        <v>0</v>
      </c>
      <c r="AB101" s="353">
        <f>AB100+E101</f>
        <v>2354225507</v>
      </c>
      <c r="AC101" s="353">
        <f>AC100+F101</f>
        <v>1930895</v>
      </c>
      <c r="AD101" s="353">
        <f>AC101+AB101</f>
        <v>2356156402</v>
      </c>
      <c r="AE101" s="353">
        <f>AE100+H101</f>
        <v>0</v>
      </c>
      <c r="AF101" s="353">
        <f>AF100+I101</f>
        <v>0</v>
      </c>
      <c r="AG101" s="353">
        <f>AF101+AE101</f>
        <v>0</v>
      </c>
      <c r="AH101" s="353">
        <f>AH100+K101</f>
        <v>0</v>
      </c>
      <c r="AI101" s="353">
        <f t="shared" ref="AI101:AJ108" si="160">AI100+L101</f>
        <v>32072491</v>
      </c>
      <c r="AJ101" s="353">
        <f t="shared" si="160"/>
        <v>0</v>
      </c>
      <c r="AK101" s="353">
        <f>AJ101+AI101+AH101</f>
        <v>32072491</v>
      </c>
      <c r="AL101" s="353">
        <f>AL100+O101</f>
        <v>0</v>
      </c>
      <c r="AM101" s="353">
        <f t="shared" ref="AM101:AN111" si="161">AM100+P101</f>
        <v>0</v>
      </c>
      <c r="AN101" s="353">
        <f t="shared" si="161"/>
        <v>0</v>
      </c>
      <c r="AO101" s="353">
        <f t="shared" ref="AO101:AO111" si="162">SUM(AL101:AN101)</f>
        <v>0</v>
      </c>
      <c r="AP101" s="353">
        <f>AP100+S101</f>
        <v>0</v>
      </c>
      <c r="AQ101" s="353">
        <f>AQ100+T101</f>
        <v>0</v>
      </c>
      <c r="AR101" s="353">
        <f>SUM(AP101:AQ101)</f>
        <v>0</v>
      </c>
      <c r="AS101" s="353">
        <f t="shared" si="158"/>
        <v>2354225507</v>
      </c>
      <c r="AT101" s="353">
        <f>AI101</f>
        <v>32072491</v>
      </c>
      <c r="AU101" s="353">
        <f>Z101+AC101+AF101+AJ101+AN101+AQ101</f>
        <v>1930895</v>
      </c>
      <c r="AV101" s="354">
        <f t="shared" si="121"/>
        <v>2388228893</v>
      </c>
      <c r="AW101" s="431">
        <f t="shared" si="140"/>
        <v>-6.1271915627912898E-3</v>
      </c>
      <c r="AX101" s="431">
        <f t="shared" si="140"/>
        <v>0.31571580251733056</v>
      </c>
      <c r="AY101" s="431">
        <f t="shared" si="140"/>
        <v>8.6347169949303471E-3</v>
      </c>
      <c r="AZ101" s="431">
        <f t="shared" si="139"/>
        <v>-2.839695478075388E-3</v>
      </c>
    </row>
    <row r="102" spans="1:52">
      <c r="A102" s="138">
        <v>43160</v>
      </c>
      <c r="B102" s="139">
        <v>0</v>
      </c>
      <c r="C102" s="18">
        <v>0</v>
      </c>
      <c r="D102" s="18">
        <f t="shared" si="113"/>
        <v>0</v>
      </c>
      <c r="E102" s="18">
        <v>1221028438</v>
      </c>
      <c r="F102" s="18">
        <v>1012419</v>
      </c>
      <c r="G102" s="18">
        <f t="shared" si="114"/>
        <v>1222040857</v>
      </c>
      <c r="H102" s="18">
        <v>0</v>
      </c>
      <c r="I102" s="18">
        <v>0</v>
      </c>
      <c r="J102" s="18">
        <f t="shared" si="115"/>
        <v>0</v>
      </c>
      <c r="K102" s="18">
        <v>0</v>
      </c>
      <c r="L102" s="18">
        <v>11103450</v>
      </c>
      <c r="M102" s="18">
        <v>0</v>
      </c>
      <c r="N102" s="18">
        <f t="shared" si="116"/>
        <v>11103450</v>
      </c>
      <c r="O102" s="18">
        <v>0</v>
      </c>
      <c r="P102" s="18">
        <v>0</v>
      </c>
      <c r="Q102" s="18">
        <v>0</v>
      </c>
      <c r="R102" s="18">
        <f t="shared" si="159"/>
        <v>0</v>
      </c>
      <c r="S102" s="18">
        <v>0</v>
      </c>
      <c r="T102" s="18">
        <v>0</v>
      </c>
      <c r="U102" s="18">
        <f t="shared" si="117"/>
        <v>0</v>
      </c>
      <c r="V102" s="18">
        <f t="shared" si="118"/>
        <v>1221028438</v>
      </c>
      <c r="W102" s="18">
        <f t="shared" si="119"/>
        <v>1012419</v>
      </c>
      <c r="X102" s="235">
        <f t="shared" si="120"/>
        <v>1222040857</v>
      </c>
      <c r="Y102" s="353">
        <f t="shared" ref="Y102:Z111" si="163">Y101+B102</f>
        <v>0</v>
      </c>
      <c r="Z102" s="353">
        <f t="shared" si="163"/>
        <v>0</v>
      </c>
      <c r="AA102" s="353">
        <f t="shared" ref="AA102:AA165" si="164">Z102+Y102</f>
        <v>0</v>
      </c>
      <c r="AB102" s="353">
        <f t="shared" ref="AB102:AC111" si="165">AB101+E102</f>
        <v>3575253945</v>
      </c>
      <c r="AC102" s="353">
        <f t="shared" si="165"/>
        <v>2943314</v>
      </c>
      <c r="AD102" s="353">
        <f t="shared" ref="AD102:AD165" si="166">AC102+AB102</f>
        <v>3578197259</v>
      </c>
      <c r="AE102" s="353">
        <f t="shared" ref="AE102:AF111" si="167">AE101+H102</f>
        <v>0</v>
      </c>
      <c r="AF102" s="353">
        <f t="shared" si="167"/>
        <v>0</v>
      </c>
      <c r="AG102" s="353">
        <f t="shared" ref="AG102:AG165" si="168">AF102+AE102</f>
        <v>0</v>
      </c>
      <c r="AH102" s="353">
        <f t="shared" ref="AH102:AJ111" si="169">AH101+K102</f>
        <v>0</v>
      </c>
      <c r="AI102" s="353">
        <f t="shared" si="160"/>
        <v>43175941</v>
      </c>
      <c r="AJ102" s="353">
        <f t="shared" si="160"/>
        <v>0</v>
      </c>
      <c r="AK102" s="353">
        <f t="shared" ref="AK102:AK165" si="170">AJ102+AI102+AH102</f>
        <v>43175941</v>
      </c>
      <c r="AL102" s="353">
        <f t="shared" ref="AL102:AL111" si="171">AL101+O102</f>
        <v>0</v>
      </c>
      <c r="AM102" s="353">
        <f t="shared" si="161"/>
        <v>0</v>
      </c>
      <c r="AN102" s="353">
        <f t="shared" si="161"/>
        <v>0</v>
      </c>
      <c r="AO102" s="353">
        <f t="shared" si="162"/>
        <v>0</v>
      </c>
      <c r="AP102" s="353">
        <f t="shared" ref="AP102:AQ111" si="172">AP101+S102</f>
        <v>0</v>
      </c>
      <c r="AQ102" s="353">
        <f t="shared" si="172"/>
        <v>0</v>
      </c>
      <c r="AR102" s="353">
        <f t="shared" ref="AR102:AR111" si="173">SUM(AP102:AQ102)</f>
        <v>0</v>
      </c>
      <c r="AS102" s="353">
        <f t="shared" si="158"/>
        <v>3575253945</v>
      </c>
      <c r="AT102" s="353">
        <f t="shared" ref="AT102:AT111" si="174">AI102</f>
        <v>43175941</v>
      </c>
      <c r="AU102" s="353">
        <f t="shared" ref="AU102:AU111" si="175">Z102+AC102+AF102+AJ102+AN102+AQ102</f>
        <v>2943314</v>
      </c>
      <c r="AV102" s="354">
        <f t="shared" si="121"/>
        <v>3621373200</v>
      </c>
      <c r="AW102" s="431">
        <f t="shared" si="140"/>
        <v>-1.5515225564042168E-2</v>
      </c>
      <c r="AX102" s="431">
        <f t="shared" si="140"/>
        <v>0.1174479055458113</v>
      </c>
      <c r="AY102" s="431">
        <f t="shared" si="140"/>
        <v>6.3946944073265399E-3</v>
      </c>
      <c r="AZ102" s="431">
        <f t="shared" si="139"/>
        <v>-1.4099141362994061E-2</v>
      </c>
    </row>
    <row r="103" spans="1:52">
      <c r="A103" s="138">
        <v>43191</v>
      </c>
      <c r="B103" s="139">
        <v>0</v>
      </c>
      <c r="C103" s="18">
        <v>0</v>
      </c>
      <c r="D103" s="18">
        <f t="shared" si="113"/>
        <v>0</v>
      </c>
      <c r="E103" s="18">
        <v>1221248344</v>
      </c>
      <c r="F103" s="18">
        <v>861598</v>
      </c>
      <c r="G103" s="18">
        <f t="shared" si="114"/>
        <v>1222109942</v>
      </c>
      <c r="H103" s="18">
        <v>0</v>
      </c>
      <c r="I103" s="18">
        <v>0</v>
      </c>
      <c r="J103" s="18">
        <f t="shared" si="115"/>
        <v>0</v>
      </c>
      <c r="K103" s="18">
        <v>0</v>
      </c>
      <c r="L103" s="18">
        <v>13313245</v>
      </c>
      <c r="M103" s="18">
        <v>0</v>
      </c>
      <c r="N103" s="18">
        <f t="shared" si="116"/>
        <v>13313245</v>
      </c>
      <c r="O103" s="18">
        <v>0</v>
      </c>
      <c r="P103" s="18">
        <v>0</v>
      </c>
      <c r="Q103" s="18">
        <v>0</v>
      </c>
      <c r="R103" s="18">
        <f t="shared" si="159"/>
        <v>0</v>
      </c>
      <c r="S103" s="18">
        <v>0</v>
      </c>
      <c r="T103" s="18">
        <v>0</v>
      </c>
      <c r="U103" s="18">
        <f t="shared" si="117"/>
        <v>0</v>
      </c>
      <c r="V103" s="18">
        <f t="shared" si="118"/>
        <v>1221248344</v>
      </c>
      <c r="W103" s="18">
        <f t="shared" si="119"/>
        <v>861598</v>
      </c>
      <c r="X103" s="235">
        <f t="shared" si="120"/>
        <v>1222109942</v>
      </c>
      <c r="Y103" s="353">
        <f t="shared" si="163"/>
        <v>0</v>
      </c>
      <c r="Z103" s="353">
        <f t="shared" si="163"/>
        <v>0</v>
      </c>
      <c r="AA103" s="353">
        <f t="shared" si="164"/>
        <v>0</v>
      </c>
      <c r="AB103" s="353">
        <f t="shared" si="165"/>
        <v>4796502289</v>
      </c>
      <c r="AC103" s="353">
        <f t="shared" si="165"/>
        <v>3804912</v>
      </c>
      <c r="AD103" s="353">
        <f t="shared" si="166"/>
        <v>4800307201</v>
      </c>
      <c r="AE103" s="353">
        <f t="shared" si="167"/>
        <v>0</v>
      </c>
      <c r="AF103" s="353">
        <f t="shared" si="167"/>
        <v>0</v>
      </c>
      <c r="AG103" s="353">
        <f t="shared" si="168"/>
        <v>0</v>
      </c>
      <c r="AH103" s="353">
        <f t="shared" si="169"/>
        <v>0</v>
      </c>
      <c r="AI103" s="353">
        <f t="shared" si="160"/>
        <v>56489186</v>
      </c>
      <c r="AJ103" s="353">
        <f t="shared" si="160"/>
        <v>0</v>
      </c>
      <c r="AK103" s="353">
        <f t="shared" si="170"/>
        <v>56489186</v>
      </c>
      <c r="AL103" s="353">
        <f t="shared" si="171"/>
        <v>0</v>
      </c>
      <c r="AM103" s="353">
        <f t="shared" si="161"/>
        <v>0</v>
      </c>
      <c r="AN103" s="353">
        <f t="shared" si="161"/>
        <v>0</v>
      </c>
      <c r="AO103" s="353">
        <f t="shared" si="162"/>
        <v>0</v>
      </c>
      <c r="AP103" s="353">
        <f t="shared" si="172"/>
        <v>0</v>
      </c>
      <c r="AQ103" s="353">
        <f t="shared" si="172"/>
        <v>0</v>
      </c>
      <c r="AR103" s="353">
        <f t="shared" si="173"/>
        <v>0</v>
      </c>
      <c r="AS103" s="353">
        <f t="shared" si="158"/>
        <v>4796502289</v>
      </c>
      <c r="AT103" s="353">
        <f t="shared" si="174"/>
        <v>56489186</v>
      </c>
      <c r="AU103" s="353">
        <f t="shared" si="175"/>
        <v>3804912</v>
      </c>
      <c r="AV103" s="354">
        <f t="shared" si="121"/>
        <v>4856796387</v>
      </c>
      <c r="AW103" s="431">
        <f t="shared" si="140"/>
        <v>6.8375239249940378E-4</v>
      </c>
      <c r="AX103" s="431">
        <f t="shared" si="140"/>
        <v>0.13311430554056147</v>
      </c>
      <c r="AY103" s="431">
        <f t="shared" si="140"/>
        <v>-7.6445736202614967E-3</v>
      </c>
      <c r="AZ103" s="431">
        <f t="shared" si="139"/>
        <v>2.039281847791008E-3</v>
      </c>
    </row>
    <row r="104" spans="1:52">
      <c r="A104" s="138">
        <v>43221</v>
      </c>
      <c r="B104" s="139">
        <v>0</v>
      </c>
      <c r="C104" s="18">
        <v>0</v>
      </c>
      <c r="D104" s="18">
        <f t="shared" si="113"/>
        <v>0</v>
      </c>
      <c r="E104" s="18">
        <v>1284250164</v>
      </c>
      <c r="F104" s="18">
        <v>1085440</v>
      </c>
      <c r="G104" s="18">
        <f t="shared" si="114"/>
        <v>1285335604</v>
      </c>
      <c r="H104" s="18">
        <v>0</v>
      </c>
      <c r="I104" s="18">
        <v>0</v>
      </c>
      <c r="J104" s="18">
        <f t="shared" si="115"/>
        <v>0</v>
      </c>
      <c r="K104" s="18">
        <v>0</v>
      </c>
      <c r="L104" s="18">
        <v>7583782</v>
      </c>
      <c r="M104" s="18">
        <v>0</v>
      </c>
      <c r="N104" s="18">
        <f t="shared" si="116"/>
        <v>7583782</v>
      </c>
      <c r="O104" s="18">
        <v>0</v>
      </c>
      <c r="P104" s="18">
        <v>0</v>
      </c>
      <c r="Q104" s="18">
        <v>0</v>
      </c>
      <c r="R104" s="18">
        <f t="shared" si="159"/>
        <v>0</v>
      </c>
      <c r="S104" s="18">
        <v>0</v>
      </c>
      <c r="T104" s="18">
        <v>0</v>
      </c>
      <c r="U104" s="18">
        <f t="shared" si="117"/>
        <v>0</v>
      </c>
      <c r="V104" s="18">
        <f t="shared" si="118"/>
        <v>1284250164</v>
      </c>
      <c r="W104" s="18">
        <f t="shared" si="119"/>
        <v>1085440</v>
      </c>
      <c r="X104" s="235">
        <f t="shared" si="120"/>
        <v>1285335604</v>
      </c>
      <c r="Y104" s="353">
        <f t="shared" si="163"/>
        <v>0</v>
      </c>
      <c r="Z104" s="353">
        <f t="shared" si="163"/>
        <v>0</v>
      </c>
      <c r="AA104" s="353">
        <f t="shared" si="164"/>
        <v>0</v>
      </c>
      <c r="AB104" s="353">
        <f t="shared" si="165"/>
        <v>6080752453</v>
      </c>
      <c r="AC104" s="353">
        <f t="shared" si="165"/>
        <v>4890352</v>
      </c>
      <c r="AD104" s="353">
        <f t="shared" si="166"/>
        <v>6085642805</v>
      </c>
      <c r="AE104" s="353">
        <f t="shared" si="167"/>
        <v>0</v>
      </c>
      <c r="AF104" s="353">
        <f t="shared" si="167"/>
        <v>0</v>
      </c>
      <c r="AG104" s="353">
        <f t="shared" si="168"/>
        <v>0</v>
      </c>
      <c r="AH104" s="353">
        <f t="shared" si="169"/>
        <v>0</v>
      </c>
      <c r="AI104" s="353">
        <f t="shared" si="160"/>
        <v>64072968</v>
      </c>
      <c r="AJ104" s="353">
        <f t="shared" si="160"/>
        <v>0</v>
      </c>
      <c r="AK104" s="353">
        <f t="shared" si="170"/>
        <v>64072968</v>
      </c>
      <c r="AL104" s="353">
        <f t="shared" si="171"/>
        <v>0</v>
      </c>
      <c r="AM104" s="353">
        <f t="shared" si="161"/>
        <v>0</v>
      </c>
      <c r="AN104" s="353">
        <f t="shared" si="161"/>
        <v>0</v>
      </c>
      <c r="AO104" s="353">
        <f t="shared" si="162"/>
        <v>0</v>
      </c>
      <c r="AP104" s="353">
        <f t="shared" si="172"/>
        <v>0</v>
      </c>
      <c r="AQ104" s="353">
        <f t="shared" si="172"/>
        <v>0</v>
      </c>
      <c r="AR104" s="353">
        <f t="shared" si="173"/>
        <v>0</v>
      </c>
      <c r="AS104" s="353">
        <f t="shared" si="158"/>
        <v>6080752453</v>
      </c>
      <c r="AT104" s="353">
        <f t="shared" si="174"/>
        <v>64072968</v>
      </c>
      <c r="AU104" s="353">
        <f t="shared" si="175"/>
        <v>4890352</v>
      </c>
      <c r="AV104" s="354">
        <f t="shared" si="121"/>
        <v>6149715773</v>
      </c>
      <c r="AW104" s="431">
        <f t="shared" si="140"/>
        <v>5.5256592094663493E-3</v>
      </c>
      <c r="AX104" s="431">
        <f t="shared" si="140"/>
        <v>7.080755020224494E-2</v>
      </c>
      <c r="AY104" s="431">
        <f t="shared" si="140"/>
        <v>-1.6635701411513715E-3</v>
      </c>
      <c r="AZ104" s="431">
        <f t="shared" si="139"/>
        <v>6.1589957990593192E-3</v>
      </c>
    </row>
    <row r="105" spans="1:52">
      <c r="A105" s="138">
        <v>43252</v>
      </c>
      <c r="B105" s="139">
        <v>0</v>
      </c>
      <c r="C105" s="18">
        <v>0</v>
      </c>
      <c r="D105" s="18">
        <f t="shared" si="113"/>
        <v>0</v>
      </c>
      <c r="E105" s="18">
        <v>1247223444</v>
      </c>
      <c r="F105" s="18">
        <v>1143777</v>
      </c>
      <c r="G105" s="18">
        <f t="shared" si="114"/>
        <v>1248367221</v>
      </c>
      <c r="H105" s="18">
        <v>0</v>
      </c>
      <c r="I105" s="18">
        <v>0</v>
      </c>
      <c r="J105" s="18">
        <f t="shared" si="115"/>
        <v>0</v>
      </c>
      <c r="K105" s="18">
        <v>0</v>
      </c>
      <c r="L105" s="18">
        <v>5696491</v>
      </c>
      <c r="M105" s="18">
        <v>0</v>
      </c>
      <c r="N105" s="18">
        <f t="shared" si="116"/>
        <v>5696491</v>
      </c>
      <c r="O105" s="18">
        <v>0</v>
      </c>
      <c r="P105" s="18">
        <v>0</v>
      </c>
      <c r="Q105" s="18">
        <v>0</v>
      </c>
      <c r="R105" s="18">
        <f t="shared" si="159"/>
        <v>0</v>
      </c>
      <c r="S105" s="18">
        <v>0</v>
      </c>
      <c r="T105" s="18">
        <v>0</v>
      </c>
      <c r="U105" s="18">
        <f t="shared" si="117"/>
        <v>0</v>
      </c>
      <c r="V105" s="18">
        <f t="shared" si="118"/>
        <v>1247223444</v>
      </c>
      <c r="W105" s="18">
        <f t="shared" si="119"/>
        <v>1143777</v>
      </c>
      <c r="X105" s="235">
        <f t="shared" si="120"/>
        <v>1248367221</v>
      </c>
      <c r="Y105" s="353">
        <f t="shared" si="163"/>
        <v>0</v>
      </c>
      <c r="Z105" s="353">
        <f t="shared" si="163"/>
        <v>0</v>
      </c>
      <c r="AA105" s="353">
        <f t="shared" si="164"/>
        <v>0</v>
      </c>
      <c r="AB105" s="353">
        <f t="shared" si="165"/>
        <v>7327975897</v>
      </c>
      <c r="AC105" s="353">
        <f t="shared" si="165"/>
        <v>6034129</v>
      </c>
      <c r="AD105" s="353">
        <f t="shared" si="166"/>
        <v>7334010026</v>
      </c>
      <c r="AE105" s="353">
        <f t="shared" si="167"/>
        <v>0</v>
      </c>
      <c r="AF105" s="353">
        <f t="shared" si="167"/>
        <v>0</v>
      </c>
      <c r="AG105" s="353">
        <f t="shared" si="168"/>
        <v>0</v>
      </c>
      <c r="AH105" s="353">
        <f t="shared" si="169"/>
        <v>0</v>
      </c>
      <c r="AI105" s="353">
        <f t="shared" si="160"/>
        <v>69769459</v>
      </c>
      <c r="AJ105" s="353">
        <f t="shared" si="160"/>
        <v>0</v>
      </c>
      <c r="AK105" s="353">
        <f t="shared" si="170"/>
        <v>69769459</v>
      </c>
      <c r="AL105" s="353">
        <f t="shared" si="171"/>
        <v>0</v>
      </c>
      <c r="AM105" s="353">
        <f t="shared" si="161"/>
        <v>0</v>
      </c>
      <c r="AN105" s="353">
        <f t="shared" si="161"/>
        <v>0</v>
      </c>
      <c r="AO105" s="353">
        <f t="shared" si="162"/>
        <v>0</v>
      </c>
      <c r="AP105" s="353">
        <f t="shared" si="172"/>
        <v>0</v>
      </c>
      <c r="AQ105" s="353">
        <f t="shared" si="172"/>
        <v>0</v>
      </c>
      <c r="AR105" s="353">
        <f t="shared" si="173"/>
        <v>0</v>
      </c>
      <c r="AS105" s="353">
        <f t="shared" si="158"/>
        <v>7327975897</v>
      </c>
      <c r="AT105" s="353">
        <f t="shared" si="174"/>
        <v>69769459</v>
      </c>
      <c r="AU105" s="353">
        <f t="shared" si="175"/>
        <v>6034129</v>
      </c>
      <c r="AV105" s="354">
        <f t="shared" si="121"/>
        <v>7403779485</v>
      </c>
      <c r="AW105" s="431">
        <f t="shared" si="140"/>
        <v>5.4512153494519211E-3</v>
      </c>
      <c r="AX105" s="431">
        <f t="shared" si="140"/>
        <v>-1.6858644694256908E-2</v>
      </c>
      <c r="AY105" s="431">
        <f t="shared" si="140"/>
        <v>7.4525519025654408E-3</v>
      </c>
      <c r="AZ105" s="431">
        <f t="shared" si="139"/>
        <v>5.2378809092985534E-3</v>
      </c>
    </row>
    <row r="106" spans="1:52">
      <c r="A106" s="138">
        <v>43282</v>
      </c>
      <c r="B106" s="139">
        <v>0</v>
      </c>
      <c r="C106" s="18">
        <v>0</v>
      </c>
      <c r="D106" s="18">
        <f t="shared" si="113"/>
        <v>0</v>
      </c>
      <c r="E106" s="18">
        <v>1347918383</v>
      </c>
      <c r="F106" s="18">
        <v>1216753</v>
      </c>
      <c r="G106" s="18">
        <f t="shared" si="114"/>
        <v>1349135136</v>
      </c>
      <c r="H106" s="18">
        <v>0</v>
      </c>
      <c r="I106" s="18">
        <v>0</v>
      </c>
      <c r="J106" s="18">
        <f t="shared" si="115"/>
        <v>0</v>
      </c>
      <c r="K106" s="18">
        <v>0</v>
      </c>
      <c r="L106" s="18">
        <v>9663570</v>
      </c>
      <c r="M106" s="18">
        <v>0</v>
      </c>
      <c r="N106" s="18">
        <f t="shared" si="116"/>
        <v>9663570</v>
      </c>
      <c r="O106" s="18">
        <v>0</v>
      </c>
      <c r="P106" s="18">
        <v>0</v>
      </c>
      <c r="Q106" s="18">
        <v>0</v>
      </c>
      <c r="R106" s="18">
        <f t="shared" si="159"/>
        <v>0</v>
      </c>
      <c r="S106" s="18">
        <v>0</v>
      </c>
      <c r="T106" s="18">
        <v>0</v>
      </c>
      <c r="U106" s="18">
        <f t="shared" si="117"/>
        <v>0</v>
      </c>
      <c r="V106" s="18">
        <f t="shared" si="118"/>
        <v>1347918383</v>
      </c>
      <c r="W106" s="18">
        <f t="shared" si="119"/>
        <v>1216753</v>
      </c>
      <c r="X106" s="235">
        <f t="shared" si="120"/>
        <v>1349135136</v>
      </c>
      <c r="Y106" s="353">
        <f t="shared" si="163"/>
        <v>0</v>
      </c>
      <c r="Z106" s="353">
        <f t="shared" si="163"/>
        <v>0</v>
      </c>
      <c r="AA106" s="353">
        <f t="shared" si="164"/>
        <v>0</v>
      </c>
      <c r="AB106" s="353">
        <f t="shared" si="165"/>
        <v>8675894280</v>
      </c>
      <c r="AC106" s="353">
        <f t="shared" si="165"/>
        <v>7250882</v>
      </c>
      <c r="AD106" s="353">
        <f t="shared" si="166"/>
        <v>8683145162</v>
      </c>
      <c r="AE106" s="353">
        <f t="shared" si="167"/>
        <v>0</v>
      </c>
      <c r="AF106" s="353">
        <f t="shared" si="167"/>
        <v>0</v>
      </c>
      <c r="AG106" s="353">
        <f t="shared" si="168"/>
        <v>0</v>
      </c>
      <c r="AH106" s="353">
        <f t="shared" si="169"/>
        <v>0</v>
      </c>
      <c r="AI106" s="353">
        <f t="shared" si="160"/>
        <v>79433029</v>
      </c>
      <c r="AJ106" s="353">
        <f t="shared" si="160"/>
        <v>0</v>
      </c>
      <c r="AK106" s="353">
        <f t="shared" si="170"/>
        <v>79433029</v>
      </c>
      <c r="AL106" s="353">
        <f t="shared" si="171"/>
        <v>0</v>
      </c>
      <c r="AM106" s="353">
        <f t="shared" si="161"/>
        <v>0</v>
      </c>
      <c r="AN106" s="353">
        <f t="shared" si="161"/>
        <v>0</v>
      </c>
      <c r="AO106" s="353">
        <f t="shared" si="162"/>
        <v>0</v>
      </c>
      <c r="AP106" s="353">
        <f t="shared" si="172"/>
        <v>0</v>
      </c>
      <c r="AQ106" s="353">
        <f t="shared" si="172"/>
        <v>0</v>
      </c>
      <c r="AR106" s="353">
        <f t="shared" si="173"/>
        <v>0</v>
      </c>
      <c r="AS106" s="353">
        <f t="shared" si="158"/>
        <v>8675894280</v>
      </c>
      <c r="AT106" s="353">
        <f t="shared" si="174"/>
        <v>79433029</v>
      </c>
      <c r="AU106" s="353">
        <f t="shared" si="175"/>
        <v>7250882</v>
      </c>
      <c r="AV106" s="354">
        <f t="shared" si="121"/>
        <v>8762578191</v>
      </c>
      <c r="AW106" s="431">
        <f t="shared" si="140"/>
        <v>1.5886799143309815E-2</v>
      </c>
      <c r="AX106" s="431">
        <f t="shared" si="140"/>
        <v>-4.4994114488179249E-2</v>
      </c>
      <c r="AY106" s="431">
        <f t="shared" si="140"/>
        <v>1.9859093715759668E-2</v>
      </c>
      <c r="AZ106" s="431">
        <f t="shared" si="139"/>
        <v>1.5303338965429791E-2</v>
      </c>
    </row>
    <row r="107" spans="1:52">
      <c r="A107" s="138">
        <v>43313</v>
      </c>
      <c r="B107" s="139">
        <v>0</v>
      </c>
      <c r="C107" s="18">
        <v>0</v>
      </c>
      <c r="D107" s="18">
        <f t="shared" si="113"/>
        <v>0</v>
      </c>
      <c r="E107" s="18">
        <v>1339874231</v>
      </c>
      <c r="F107" s="18">
        <v>1228733</v>
      </c>
      <c r="G107" s="18">
        <f t="shared" si="114"/>
        <v>1341102964</v>
      </c>
      <c r="H107" s="18">
        <v>0</v>
      </c>
      <c r="I107" s="18">
        <v>0</v>
      </c>
      <c r="J107" s="18">
        <f t="shared" si="115"/>
        <v>0</v>
      </c>
      <c r="K107" s="18">
        <v>0</v>
      </c>
      <c r="L107" s="18">
        <v>8424380</v>
      </c>
      <c r="M107" s="18">
        <v>0</v>
      </c>
      <c r="N107" s="18">
        <f t="shared" si="116"/>
        <v>8424380</v>
      </c>
      <c r="O107" s="18">
        <v>0</v>
      </c>
      <c r="P107" s="18">
        <v>0</v>
      </c>
      <c r="Q107" s="18">
        <v>0</v>
      </c>
      <c r="R107" s="18">
        <f t="shared" si="159"/>
        <v>0</v>
      </c>
      <c r="S107" s="18">
        <v>0</v>
      </c>
      <c r="T107" s="18">
        <v>0</v>
      </c>
      <c r="U107" s="18">
        <f t="shared" si="117"/>
        <v>0</v>
      </c>
      <c r="V107" s="18">
        <f t="shared" si="118"/>
        <v>1339874231</v>
      </c>
      <c r="W107" s="18">
        <f t="shared" si="119"/>
        <v>1228733</v>
      </c>
      <c r="X107" s="235">
        <f t="shared" si="120"/>
        <v>1341102964</v>
      </c>
      <c r="Y107" s="353">
        <f t="shared" si="163"/>
        <v>0</v>
      </c>
      <c r="Z107" s="353">
        <f t="shared" si="163"/>
        <v>0</v>
      </c>
      <c r="AA107" s="353">
        <f t="shared" si="164"/>
        <v>0</v>
      </c>
      <c r="AB107" s="353">
        <f t="shared" si="165"/>
        <v>10015768511</v>
      </c>
      <c r="AC107" s="353">
        <f t="shared" si="165"/>
        <v>8479615</v>
      </c>
      <c r="AD107" s="353">
        <f t="shared" si="166"/>
        <v>10024248126</v>
      </c>
      <c r="AE107" s="353">
        <f t="shared" si="167"/>
        <v>0</v>
      </c>
      <c r="AF107" s="353">
        <f t="shared" si="167"/>
        <v>0</v>
      </c>
      <c r="AG107" s="353">
        <f t="shared" si="168"/>
        <v>0</v>
      </c>
      <c r="AH107" s="353">
        <f t="shared" si="169"/>
        <v>0</v>
      </c>
      <c r="AI107" s="353">
        <f t="shared" si="160"/>
        <v>87857409</v>
      </c>
      <c r="AJ107" s="353">
        <f t="shared" si="160"/>
        <v>0</v>
      </c>
      <c r="AK107" s="353">
        <f t="shared" si="170"/>
        <v>87857409</v>
      </c>
      <c r="AL107" s="353">
        <f t="shared" si="171"/>
        <v>0</v>
      </c>
      <c r="AM107" s="353">
        <f t="shared" si="161"/>
        <v>0</v>
      </c>
      <c r="AN107" s="353">
        <f t="shared" si="161"/>
        <v>0</v>
      </c>
      <c r="AO107" s="353">
        <f t="shared" si="162"/>
        <v>0</v>
      </c>
      <c r="AP107" s="353">
        <f t="shared" si="172"/>
        <v>0</v>
      </c>
      <c r="AQ107" s="353">
        <f t="shared" si="172"/>
        <v>0</v>
      </c>
      <c r="AR107" s="353">
        <f t="shared" si="173"/>
        <v>0</v>
      </c>
      <c r="AS107" s="353">
        <f t="shared" si="158"/>
        <v>10015768511</v>
      </c>
      <c r="AT107" s="353">
        <f t="shared" si="174"/>
        <v>87857409</v>
      </c>
      <c r="AU107" s="353">
        <f t="shared" si="175"/>
        <v>8479615</v>
      </c>
      <c r="AV107" s="354">
        <f t="shared" si="121"/>
        <v>10112105535</v>
      </c>
      <c r="AW107" s="431">
        <f t="shared" si="140"/>
        <v>1.8202465902374731E-2</v>
      </c>
      <c r="AX107" s="431">
        <f t="shared" si="140"/>
        <v>-0.12191665322084788</v>
      </c>
      <c r="AY107" s="431">
        <f t="shared" si="140"/>
        <v>2.1780825532762949E-2</v>
      </c>
      <c r="AZ107" s="431">
        <f t="shared" si="139"/>
        <v>1.6795734174549271E-2</v>
      </c>
    </row>
    <row r="108" spans="1:52">
      <c r="A108" s="138">
        <v>43344</v>
      </c>
      <c r="B108" s="139">
        <v>0</v>
      </c>
      <c r="C108" s="18">
        <v>0</v>
      </c>
      <c r="D108" s="18">
        <f t="shared" si="113"/>
        <v>0</v>
      </c>
      <c r="E108" s="18">
        <v>1205946718</v>
      </c>
      <c r="F108" s="18">
        <v>1038106</v>
      </c>
      <c r="G108" s="18">
        <f t="shared" si="114"/>
        <v>1206984824</v>
      </c>
      <c r="H108" s="18">
        <v>0</v>
      </c>
      <c r="I108" s="18">
        <v>0</v>
      </c>
      <c r="J108" s="18">
        <f t="shared" si="115"/>
        <v>0</v>
      </c>
      <c r="K108" s="18">
        <v>0</v>
      </c>
      <c r="L108" s="18">
        <v>5862786</v>
      </c>
      <c r="M108" s="18">
        <v>0</v>
      </c>
      <c r="N108" s="18">
        <f t="shared" si="116"/>
        <v>5862786</v>
      </c>
      <c r="O108" s="18">
        <v>0</v>
      </c>
      <c r="P108" s="18">
        <v>0</v>
      </c>
      <c r="Q108" s="18">
        <v>0</v>
      </c>
      <c r="R108" s="18">
        <f t="shared" si="159"/>
        <v>0</v>
      </c>
      <c r="S108" s="18">
        <v>0</v>
      </c>
      <c r="T108" s="18">
        <v>0</v>
      </c>
      <c r="U108" s="18">
        <f t="shared" si="117"/>
        <v>0</v>
      </c>
      <c r="V108" s="18">
        <f t="shared" si="118"/>
        <v>1205946718</v>
      </c>
      <c r="W108" s="18">
        <f t="shared" si="119"/>
        <v>1038106</v>
      </c>
      <c r="X108" s="235">
        <f t="shared" si="120"/>
        <v>1206984824</v>
      </c>
      <c r="Y108" s="353">
        <f t="shared" si="163"/>
        <v>0</v>
      </c>
      <c r="Z108" s="353">
        <f t="shared" si="163"/>
        <v>0</v>
      </c>
      <c r="AA108" s="353">
        <f t="shared" si="164"/>
        <v>0</v>
      </c>
      <c r="AB108" s="353">
        <f t="shared" si="165"/>
        <v>11221715229</v>
      </c>
      <c r="AC108" s="353">
        <f t="shared" si="165"/>
        <v>9517721</v>
      </c>
      <c r="AD108" s="353">
        <f t="shared" si="166"/>
        <v>11231232950</v>
      </c>
      <c r="AE108" s="353">
        <f t="shared" si="167"/>
        <v>0</v>
      </c>
      <c r="AF108" s="353">
        <f t="shared" si="167"/>
        <v>0</v>
      </c>
      <c r="AG108" s="353">
        <f t="shared" si="168"/>
        <v>0</v>
      </c>
      <c r="AH108" s="353">
        <f t="shared" si="169"/>
        <v>0</v>
      </c>
      <c r="AI108" s="353">
        <f t="shared" si="160"/>
        <v>93720195</v>
      </c>
      <c r="AJ108" s="353">
        <f t="shared" si="160"/>
        <v>0</v>
      </c>
      <c r="AK108" s="353">
        <f t="shared" si="170"/>
        <v>93720195</v>
      </c>
      <c r="AL108" s="353">
        <f t="shared" si="171"/>
        <v>0</v>
      </c>
      <c r="AM108" s="353">
        <f t="shared" si="161"/>
        <v>0</v>
      </c>
      <c r="AN108" s="353">
        <f t="shared" si="161"/>
        <v>0</v>
      </c>
      <c r="AO108" s="353">
        <f t="shared" si="162"/>
        <v>0</v>
      </c>
      <c r="AP108" s="353">
        <f t="shared" si="172"/>
        <v>0</v>
      </c>
      <c r="AQ108" s="353">
        <f t="shared" si="172"/>
        <v>0</v>
      </c>
      <c r="AR108" s="353">
        <f t="shared" si="173"/>
        <v>0</v>
      </c>
      <c r="AS108" s="353">
        <f t="shared" si="158"/>
        <v>11221715229</v>
      </c>
      <c r="AT108" s="353">
        <f t="shared" si="174"/>
        <v>93720195</v>
      </c>
      <c r="AU108" s="353">
        <f t="shared" si="175"/>
        <v>9517721</v>
      </c>
      <c r="AV108" s="354">
        <f t="shared" si="121"/>
        <v>11324953145</v>
      </c>
      <c r="AW108" s="431">
        <f t="shared" si="140"/>
        <v>1.592646658873087E-2</v>
      </c>
      <c r="AX108" s="431">
        <f t="shared" si="140"/>
        <v>-0.16263067015326804</v>
      </c>
      <c r="AY108" s="431">
        <f t="shared" si="140"/>
        <v>2.5799981462201194E-2</v>
      </c>
      <c r="AZ108" s="431">
        <f t="shared" si="139"/>
        <v>1.4145065911477239E-2</v>
      </c>
    </row>
    <row r="109" spans="1:52">
      <c r="A109" s="138">
        <v>43374</v>
      </c>
      <c r="B109" s="139">
        <v>331927</v>
      </c>
      <c r="C109" s="18">
        <v>0</v>
      </c>
      <c r="D109" s="18">
        <f t="shared" si="113"/>
        <v>331927</v>
      </c>
      <c r="E109" s="18">
        <v>1268756030</v>
      </c>
      <c r="F109" s="18">
        <v>1136344</v>
      </c>
      <c r="G109" s="18">
        <f t="shared" si="114"/>
        <v>1269892374</v>
      </c>
      <c r="H109" s="18">
        <v>0</v>
      </c>
      <c r="I109" s="18">
        <v>0</v>
      </c>
      <c r="J109" s="18">
        <f t="shared" si="115"/>
        <v>0</v>
      </c>
      <c r="K109" s="18">
        <v>0</v>
      </c>
      <c r="L109" s="18">
        <v>0</v>
      </c>
      <c r="M109" s="18">
        <v>0</v>
      </c>
      <c r="N109" s="18">
        <f t="shared" si="116"/>
        <v>0</v>
      </c>
      <c r="O109" s="18">
        <v>0</v>
      </c>
      <c r="P109" s="18">
        <v>0</v>
      </c>
      <c r="Q109" s="18">
        <v>0</v>
      </c>
      <c r="R109" s="18">
        <f t="shared" si="159"/>
        <v>0</v>
      </c>
      <c r="S109" s="18">
        <v>0</v>
      </c>
      <c r="T109" s="18">
        <v>0</v>
      </c>
      <c r="U109" s="18">
        <f t="shared" si="117"/>
        <v>0</v>
      </c>
      <c r="V109" s="18">
        <f t="shared" si="118"/>
        <v>1269087957</v>
      </c>
      <c r="W109" s="18">
        <f t="shared" si="119"/>
        <v>1136344</v>
      </c>
      <c r="X109" s="235">
        <f>W109+V109</f>
        <v>1270224301</v>
      </c>
      <c r="Y109" s="353">
        <f t="shared" si="163"/>
        <v>331927</v>
      </c>
      <c r="Z109" s="353">
        <f t="shared" si="163"/>
        <v>0</v>
      </c>
      <c r="AA109" s="353">
        <f t="shared" si="164"/>
        <v>331927</v>
      </c>
      <c r="AB109" s="353">
        <f t="shared" si="165"/>
        <v>12490471259</v>
      </c>
      <c r="AC109" s="353">
        <f t="shared" si="165"/>
        <v>10654065</v>
      </c>
      <c r="AD109" s="353">
        <f t="shared" si="166"/>
        <v>12501125324</v>
      </c>
      <c r="AE109" s="353">
        <f t="shared" si="167"/>
        <v>0</v>
      </c>
      <c r="AF109" s="353">
        <f t="shared" si="167"/>
        <v>0</v>
      </c>
      <c r="AG109" s="353">
        <f t="shared" si="168"/>
        <v>0</v>
      </c>
      <c r="AH109" s="353">
        <f t="shared" si="169"/>
        <v>0</v>
      </c>
      <c r="AI109" s="353">
        <f t="shared" si="169"/>
        <v>93720195</v>
      </c>
      <c r="AJ109" s="353">
        <f t="shared" si="169"/>
        <v>0</v>
      </c>
      <c r="AK109" s="353">
        <f t="shared" si="170"/>
        <v>93720195</v>
      </c>
      <c r="AL109" s="353">
        <f t="shared" si="171"/>
        <v>0</v>
      </c>
      <c r="AM109" s="353">
        <f t="shared" si="161"/>
        <v>0</v>
      </c>
      <c r="AN109" s="353">
        <f t="shared" si="161"/>
        <v>0</v>
      </c>
      <c r="AO109" s="353">
        <f t="shared" si="162"/>
        <v>0</v>
      </c>
      <c r="AP109" s="353">
        <f t="shared" si="172"/>
        <v>0</v>
      </c>
      <c r="AQ109" s="353">
        <f t="shared" si="172"/>
        <v>0</v>
      </c>
      <c r="AR109" s="353">
        <f t="shared" si="173"/>
        <v>0</v>
      </c>
      <c r="AS109" s="353">
        <f t="shared" si="158"/>
        <v>12490803186</v>
      </c>
      <c r="AT109" s="353">
        <f t="shared" si="174"/>
        <v>93720195</v>
      </c>
      <c r="AU109" s="353">
        <f t="shared" si="175"/>
        <v>10654065</v>
      </c>
      <c r="AV109" s="354">
        <f t="shared" si="121"/>
        <v>12595177446</v>
      </c>
      <c r="AW109" s="431">
        <f t="shared" si="140"/>
        <v>1.3816945532694636E-2</v>
      </c>
      <c r="AX109" s="431">
        <f t="shared" si="140"/>
        <v>-0.26749374412665561</v>
      </c>
      <c r="AY109" s="431">
        <f t="shared" si="140"/>
        <v>3.482835688247965E-2</v>
      </c>
      <c r="AZ109" s="431">
        <f t="shared" si="139"/>
        <v>1.094541529585924E-2</v>
      </c>
    </row>
    <row r="110" spans="1:52">
      <c r="A110" s="138">
        <v>43405</v>
      </c>
      <c r="B110" s="139">
        <v>0</v>
      </c>
      <c r="C110" s="18">
        <v>0</v>
      </c>
      <c r="D110" s="18">
        <f t="shared" si="113"/>
        <v>0</v>
      </c>
      <c r="E110" s="18">
        <v>1231729294</v>
      </c>
      <c r="F110" s="18">
        <v>1041666</v>
      </c>
      <c r="G110" s="18">
        <f t="shared" si="114"/>
        <v>1232770960</v>
      </c>
      <c r="H110" s="18">
        <v>0</v>
      </c>
      <c r="I110" s="18">
        <v>0</v>
      </c>
      <c r="J110" s="18">
        <f t="shared" si="115"/>
        <v>0</v>
      </c>
      <c r="K110" s="18">
        <v>0</v>
      </c>
      <c r="L110" s="18">
        <v>680586</v>
      </c>
      <c r="M110" s="18">
        <v>0</v>
      </c>
      <c r="N110" s="18">
        <f t="shared" si="116"/>
        <v>680586</v>
      </c>
      <c r="O110" s="18">
        <v>0</v>
      </c>
      <c r="P110" s="18">
        <v>0</v>
      </c>
      <c r="Q110" s="18">
        <v>0</v>
      </c>
      <c r="R110" s="18">
        <f t="shared" si="159"/>
        <v>0</v>
      </c>
      <c r="S110" s="18">
        <v>0</v>
      </c>
      <c r="T110" s="18">
        <v>0</v>
      </c>
      <c r="U110" s="18">
        <f t="shared" si="117"/>
        <v>0</v>
      </c>
      <c r="V110" s="18">
        <f t="shared" si="118"/>
        <v>1231729294</v>
      </c>
      <c r="W110" s="18">
        <f t="shared" si="119"/>
        <v>1041666</v>
      </c>
      <c r="X110" s="235">
        <f t="shared" ref="X110:X173" si="176">W110+V110</f>
        <v>1232770960</v>
      </c>
      <c r="Y110" s="353">
        <f t="shared" si="163"/>
        <v>331927</v>
      </c>
      <c r="Z110" s="353">
        <f t="shared" si="163"/>
        <v>0</v>
      </c>
      <c r="AA110" s="353">
        <f t="shared" si="164"/>
        <v>331927</v>
      </c>
      <c r="AB110" s="353">
        <f t="shared" si="165"/>
        <v>13722200553</v>
      </c>
      <c r="AC110" s="353">
        <f t="shared" si="165"/>
        <v>11695731</v>
      </c>
      <c r="AD110" s="353">
        <f t="shared" si="166"/>
        <v>13733896284</v>
      </c>
      <c r="AE110" s="353">
        <f t="shared" si="167"/>
        <v>0</v>
      </c>
      <c r="AF110" s="353">
        <f t="shared" si="167"/>
        <v>0</v>
      </c>
      <c r="AG110" s="353">
        <f t="shared" si="168"/>
        <v>0</v>
      </c>
      <c r="AH110" s="353">
        <f t="shared" si="169"/>
        <v>0</v>
      </c>
      <c r="AI110" s="353">
        <f t="shared" si="169"/>
        <v>94400781</v>
      </c>
      <c r="AJ110" s="353">
        <f t="shared" si="169"/>
        <v>0</v>
      </c>
      <c r="AK110" s="353">
        <f t="shared" si="170"/>
        <v>94400781</v>
      </c>
      <c r="AL110" s="353">
        <f t="shared" si="171"/>
        <v>0</v>
      </c>
      <c r="AM110" s="353">
        <f t="shared" si="161"/>
        <v>0</v>
      </c>
      <c r="AN110" s="353">
        <f t="shared" si="161"/>
        <v>0</v>
      </c>
      <c r="AO110" s="353">
        <f t="shared" si="162"/>
        <v>0</v>
      </c>
      <c r="AP110" s="353">
        <f t="shared" si="172"/>
        <v>0</v>
      </c>
      <c r="AQ110" s="353">
        <f t="shared" si="172"/>
        <v>0</v>
      </c>
      <c r="AR110" s="353">
        <f t="shared" si="173"/>
        <v>0</v>
      </c>
      <c r="AS110" s="353">
        <f t="shared" si="158"/>
        <v>13722532480</v>
      </c>
      <c r="AT110" s="353">
        <f t="shared" si="174"/>
        <v>94400781</v>
      </c>
      <c r="AU110" s="353">
        <f t="shared" si="175"/>
        <v>11695731</v>
      </c>
      <c r="AV110" s="354">
        <f t="shared" si="121"/>
        <v>13828628992</v>
      </c>
      <c r="AW110" s="431">
        <f t="shared" si="140"/>
        <v>9.4949706703684189E-3</v>
      </c>
      <c r="AX110" s="431">
        <f t="shared" si="140"/>
        <v>-0.28712406819523173</v>
      </c>
      <c r="AY110" s="431">
        <f t="shared" si="140"/>
        <v>3.2887484120181831E-2</v>
      </c>
      <c r="AZ110" s="431">
        <f t="shared" si="139"/>
        <v>6.6549366573365187E-3</v>
      </c>
    </row>
    <row r="111" spans="1:52" ht="15.75" thickBot="1">
      <c r="A111" s="138">
        <v>43435</v>
      </c>
      <c r="B111" s="139">
        <v>0</v>
      </c>
      <c r="C111" s="18">
        <v>0</v>
      </c>
      <c r="D111" s="18">
        <f t="shared" si="113"/>
        <v>0</v>
      </c>
      <c r="E111" s="18">
        <v>1232304025</v>
      </c>
      <c r="F111" s="18">
        <v>1043041</v>
      </c>
      <c r="G111" s="18">
        <f t="shared" si="114"/>
        <v>1233347066</v>
      </c>
      <c r="H111" s="18">
        <v>0</v>
      </c>
      <c r="I111" s="18">
        <v>0</v>
      </c>
      <c r="J111" s="18">
        <f t="shared" si="115"/>
        <v>0</v>
      </c>
      <c r="K111" s="18">
        <v>0</v>
      </c>
      <c r="L111" s="18">
        <v>12108048</v>
      </c>
      <c r="M111" s="18">
        <v>0</v>
      </c>
      <c r="N111" s="18">
        <f t="shared" si="116"/>
        <v>12108048</v>
      </c>
      <c r="O111" s="18">
        <v>0</v>
      </c>
      <c r="P111" s="18">
        <v>0</v>
      </c>
      <c r="Q111" s="18">
        <v>0</v>
      </c>
      <c r="R111" s="18">
        <f t="shared" si="159"/>
        <v>0</v>
      </c>
      <c r="S111" s="18">
        <v>0</v>
      </c>
      <c r="T111" s="18">
        <v>0</v>
      </c>
      <c r="U111" s="18">
        <f t="shared" si="117"/>
        <v>0</v>
      </c>
      <c r="V111" s="18">
        <f t="shared" si="118"/>
        <v>1232304025</v>
      </c>
      <c r="W111" s="18">
        <f t="shared" si="119"/>
        <v>1043041</v>
      </c>
      <c r="X111" s="235">
        <f t="shared" si="176"/>
        <v>1233347066</v>
      </c>
      <c r="Y111" s="353">
        <f t="shared" si="163"/>
        <v>331927</v>
      </c>
      <c r="Z111" s="353">
        <f t="shared" si="163"/>
        <v>0</v>
      </c>
      <c r="AA111" s="353">
        <f t="shared" si="164"/>
        <v>331927</v>
      </c>
      <c r="AB111" s="353">
        <f t="shared" si="165"/>
        <v>14954504578</v>
      </c>
      <c r="AC111" s="353">
        <f t="shared" si="165"/>
        <v>12738772</v>
      </c>
      <c r="AD111" s="353">
        <f t="shared" si="166"/>
        <v>14967243350</v>
      </c>
      <c r="AE111" s="353">
        <f t="shared" si="167"/>
        <v>0</v>
      </c>
      <c r="AF111" s="353">
        <f t="shared" si="167"/>
        <v>0</v>
      </c>
      <c r="AG111" s="353">
        <f t="shared" si="168"/>
        <v>0</v>
      </c>
      <c r="AH111" s="353">
        <f t="shared" si="169"/>
        <v>0</v>
      </c>
      <c r="AI111" s="353">
        <f t="shared" si="169"/>
        <v>106508829</v>
      </c>
      <c r="AJ111" s="353">
        <f t="shared" si="169"/>
        <v>0</v>
      </c>
      <c r="AK111" s="353">
        <f t="shared" si="170"/>
        <v>106508829</v>
      </c>
      <c r="AL111" s="353">
        <f t="shared" si="171"/>
        <v>0</v>
      </c>
      <c r="AM111" s="353">
        <f t="shared" si="161"/>
        <v>0</v>
      </c>
      <c r="AN111" s="353">
        <f t="shared" si="161"/>
        <v>0</v>
      </c>
      <c r="AO111" s="353">
        <f t="shared" si="162"/>
        <v>0</v>
      </c>
      <c r="AP111" s="353">
        <f t="shared" si="172"/>
        <v>0</v>
      </c>
      <c r="AQ111" s="353">
        <f t="shared" si="172"/>
        <v>0</v>
      </c>
      <c r="AR111" s="353">
        <f t="shared" si="173"/>
        <v>0</v>
      </c>
      <c r="AS111" s="353">
        <f t="shared" si="158"/>
        <v>14954836505</v>
      </c>
      <c r="AT111" s="353">
        <f t="shared" si="174"/>
        <v>106508829</v>
      </c>
      <c r="AU111" s="353">
        <f t="shared" si="175"/>
        <v>12738772</v>
      </c>
      <c r="AV111" s="354">
        <f t="shared" si="121"/>
        <v>15074084106</v>
      </c>
      <c r="AW111" s="431">
        <f t="shared" si="140"/>
        <v>6.9327439041151351E-3</v>
      </c>
      <c r="AX111" s="431">
        <f t="shared" si="140"/>
        <v>-0.26090555352346489</v>
      </c>
      <c r="AY111" s="431">
        <f t="shared" si="140"/>
        <v>3.1649255974748325E-2</v>
      </c>
      <c r="AZ111" s="431">
        <f t="shared" si="139"/>
        <v>4.3813451731871123E-3</v>
      </c>
    </row>
    <row r="112" spans="1:52">
      <c r="A112" s="141">
        <v>43466</v>
      </c>
      <c r="B112" s="142">
        <v>11178</v>
      </c>
      <c r="C112" s="143">
        <v>0</v>
      </c>
      <c r="D112" s="143">
        <f t="shared" si="113"/>
        <v>11178</v>
      </c>
      <c r="E112" s="143">
        <v>1189779457</v>
      </c>
      <c r="F112" s="143">
        <v>1042372</v>
      </c>
      <c r="G112" s="143">
        <f t="shared" si="114"/>
        <v>1190821829</v>
      </c>
      <c r="H112" s="143">
        <v>0</v>
      </c>
      <c r="I112" s="143">
        <v>0</v>
      </c>
      <c r="J112" s="143">
        <f t="shared" si="115"/>
        <v>0</v>
      </c>
      <c r="K112" s="143">
        <v>0</v>
      </c>
      <c r="L112" s="143">
        <v>11204247</v>
      </c>
      <c r="M112" s="143">
        <v>0</v>
      </c>
      <c r="N112" s="143">
        <f t="shared" si="116"/>
        <v>11204247</v>
      </c>
      <c r="O112" s="143">
        <v>0</v>
      </c>
      <c r="P112" s="143">
        <v>0</v>
      </c>
      <c r="Q112" s="143">
        <v>0</v>
      </c>
      <c r="R112" s="143">
        <f t="shared" si="159"/>
        <v>0</v>
      </c>
      <c r="S112" s="143">
        <v>0</v>
      </c>
      <c r="T112" s="143">
        <v>0</v>
      </c>
      <c r="U112" s="143">
        <f t="shared" si="117"/>
        <v>0</v>
      </c>
      <c r="V112" s="143">
        <f t="shared" si="118"/>
        <v>1189790635</v>
      </c>
      <c r="W112" s="143">
        <f t="shared" si="119"/>
        <v>1042372</v>
      </c>
      <c r="X112" s="237">
        <f t="shared" si="176"/>
        <v>1190833007</v>
      </c>
      <c r="Y112" s="350">
        <f>B112</f>
        <v>11178</v>
      </c>
      <c r="Z112" s="350">
        <f>C112</f>
        <v>0</v>
      </c>
      <c r="AA112" s="350">
        <f t="shared" si="164"/>
        <v>11178</v>
      </c>
      <c r="AB112" s="350">
        <f>E112</f>
        <v>1189779457</v>
      </c>
      <c r="AC112" s="350">
        <f>F112</f>
        <v>1042372</v>
      </c>
      <c r="AD112" s="350">
        <f t="shared" si="166"/>
        <v>1190821829</v>
      </c>
      <c r="AE112" s="350">
        <f>H112</f>
        <v>0</v>
      </c>
      <c r="AF112" s="350">
        <f>I112</f>
        <v>0</v>
      </c>
      <c r="AG112" s="350">
        <f t="shared" si="168"/>
        <v>0</v>
      </c>
      <c r="AH112" s="350">
        <f>K112</f>
        <v>0</v>
      </c>
      <c r="AI112" s="350">
        <f>L112</f>
        <v>11204247</v>
      </c>
      <c r="AJ112" s="350">
        <f>M112</f>
        <v>0</v>
      </c>
      <c r="AK112" s="350">
        <f t="shared" si="170"/>
        <v>11204247</v>
      </c>
      <c r="AL112" s="350">
        <f>O112</f>
        <v>0</v>
      </c>
      <c r="AM112" s="350">
        <f>P112</f>
        <v>0</v>
      </c>
      <c r="AN112" s="350">
        <f>Q112</f>
        <v>0</v>
      </c>
      <c r="AO112" s="350">
        <f>SUM(AL112:AN112)</f>
        <v>0</v>
      </c>
      <c r="AP112" s="350">
        <f>S112</f>
        <v>0</v>
      </c>
      <c r="AQ112" s="350">
        <f>T112</f>
        <v>0</v>
      </c>
      <c r="AR112" s="350">
        <f>SUM(AP112:AQ112)</f>
        <v>0</v>
      </c>
      <c r="AS112" s="350">
        <f t="shared" si="158"/>
        <v>1189790635</v>
      </c>
      <c r="AT112" s="350">
        <f>AI112</f>
        <v>11204247</v>
      </c>
      <c r="AU112" s="350">
        <f>Z112+AC112+AF112+AJ112+AN112+AQ112</f>
        <v>1042372</v>
      </c>
      <c r="AV112" s="351">
        <f t="shared" si="121"/>
        <v>1202037254</v>
      </c>
      <c r="AW112" s="431">
        <f t="shared" si="140"/>
        <v>-5.233302133912332E-2</v>
      </c>
      <c r="AX112" s="431">
        <f t="shared" si="140"/>
        <v>-0.30436509969108749</v>
      </c>
      <c r="AY112" s="431">
        <f t="shared" si="140"/>
        <v>2.8727980790772101E-2</v>
      </c>
      <c r="AZ112" s="431">
        <f t="shared" si="139"/>
        <v>-5.5458257369261355E-2</v>
      </c>
    </row>
    <row r="113" spans="1:52">
      <c r="A113" s="138">
        <v>43497</v>
      </c>
      <c r="B113" s="139">
        <v>0</v>
      </c>
      <c r="C113" s="18">
        <v>0</v>
      </c>
      <c r="D113" s="18">
        <f t="shared" si="113"/>
        <v>0</v>
      </c>
      <c r="E113" s="18">
        <v>1132553957</v>
      </c>
      <c r="F113" s="18">
        <v>914501</v>
      </c>
      <c r="G113" s="18">
        <f t="shared" si="114"/>
        <v>1133468458</v>
      </c>
      <c r="H113" s="18">
        <v>0</v>
      </c>
      <c r="I113" s="18">
        <v>0</v>
      </c>
      <c r="J113" s="18">
        <f t="shared" si="115"/>
        <v>0</v>
      </c>
      <c r="K113" s="18">
        <v>0</v>
      </c>
      <c r="L113" s="18">
        <v>12213425</v>
      </c>
      <c r="M113" s="18">
        <v>0</v>
      </c>
      <c r="N113" s="18">
        <f t="shared" si="116"/>
        <v>12213425</v>
      </c>
      <c r="O113" s="18">
        <v>0</v>
      </c>
      <c r="P113" s="18">
        <v>0</v>
      </c>
      <c r="Q113" s="18">
        <v>0</v>
      </c>
      <c r="R113" s="18">
        <f t="shared" si="159"/>
        <v>0</v>
      </c>
      <c r="S113" s="18">
        <v>0</v>
      </c>
      <c r="T113" s="18">
        <v>0</v>
      </c>
      <c r="U113" s="18">
        <f t="shared" si="117"/>
        <v>0</v>
      </c>
      <c r="V113" s="18">
        <f t="shared" si="118"/>
        <v>1132553957</v>
      </c>
      <c r="W113" s="18">
        <f t="shared" si="119"/>
        <v>914501</v>
      </c>
      <c r="X113" s="235">
        <f t="shared" si="176"/>
        <v>1133468458</v>
      </c>
      <c r="Y113" s="353">
        <f t="shared" ref="Y113:Z123" si="177">Y112+B113</f>
        <v>11178</v>
      </c>
      <c r="Z113" s="353">
        <f t="shared" si="177"/>
        <v>0</v>
      </c>
      <c r="AA113" s="353">
        <f t="shared" si="164"/>
        <v>11178</v>
      </c>
      <c r="AB113" s="353">
        <f t="shared" ref="AB113:AC123" si="178">AB112+E113</f>
        <v>2322333414</v>
      </c>
      <c r="AC113" s="353">
        <f t="shared" si="178"/>
        <v>1956873</v>
      </c>
      <c r="AD113" s="353">
        <f t="shared" si="166"/>
        <v>2324290287</v>
      </c>
      <c r="AE113" s="353">
        <f t="shared" ref="AE113:AF123" si="179">AE112+H113</f>
        <v>0</v>
      </c>
      <c r="AF113" s="353">
        <f t="shared" si="179"/>
        <v>0</v>
      </c>
      <c r="AG113" s="353">
        <f t="shared" si="168"/>
        <v>0</v>
      </c>
      <c r="AH113" s="353">
        <f t="shared" ref="AH113:AJ123" si="180">AH112+K113</f>
        <v>0</v>
      </c>
      <c r="AI113" s="353">
        <f t="shared" si="180"/>
        <v>23417672</v>
      </c>
      <c r="AJ113" s="353">
        <f t="shared" si="180"/>
        <v>0</v>
      </c>
      <c r="AK113" s="353">
        <f t="shared" si="170"/>
        <v>23417672</v>
      </c>
      <c r="AL113" s="353">
        <f>AL112+O113</f>
        <v>0</v>
      </c>
      <c r="AM113" s="353">
        <f t="shared" ref="AM113:AN123" si="181">AM112+P113</f>
        <v>0</v>
      </c>
      <c r="AN113" s="353">
        <f t="shared" si="181"/>
        <v>0</v>
      </c>
      <c r="AO113" s="353">
        <f t="shared" ref="AO113:AO123" si="182">SUM(AL113:AN113)</f>
        <v>0</v>
      </c>
      <c r="AP113" s="353">
        <f>AP112+S113</f>
        <v>0</v>
      </c>
      <c r="AQ113" s="353">
        <f>AQ112+T113</f>
        <v>0</v>
      </c>
      <c r="AR113" s="353">
        <f>SUM(AP113:AQ113)</f>
        <v>0</v>
      </c>
      <c r="AS113" s="353">
        <f t="shared" si="158"/>
        <v>2322344592</v>
      </c>
      <c r="AT113" s="353">
        <f>AI113</f>
        <v>23417672</v>
      </c>
      <c r="AU113" s="353">
        <f>Z113+AC113+AF113+AJ113+AN113+AQ113</f>
        <v>1956873</v>
      </c>
      <c r="AV113" s="354">
        <f t="shared" si="121"/>
        <v>2347719137</v>
      </c>
      <c r="AW113" s="431">
        <f t="shared" si="140"/>
        <v>-1.3541997104867809E-2</v>
      </c>
      <c r="AX113" s="431">
        <f t="shared" si="140"/>
        <v>-0.26985178669159182</v>
      </c>
      <c r="AY113" s="431">
        <f t="shared" si="140"/>
        <v>1.3453864658616865E-2</v>
      </c>
      <c r="AZ113" s="431">
        <f t="shared" si="139"/>
        <v>-1.6962258566896926E-2</v>
      </c>
    </row>
    <row r="114" spans="1:52">
      <c r="A114" s="138">
        <v>43525</v>
      </c>
      <c r="B114" s="139">
        <v>0</v>
      </c>
      <c r="C114" s="18">
        <v>0</v>
      </c>
      <c r="D114" s="18">
        <f t="shared" si="113"/>
        <v>0</v>
      </c>
      <c r="E114" s="18">
        <v>1184062717</v>
      </c>
      <c r="F114" s="18">
        <v>981894</v>
      </c>
      <c r="G114" s="18">
        <f t="shared" si="114"/>
        <v>1185044611</v>
      </c>
      <c r="H114" s="18">
        <v>0</v>
      </c>
      <c r="I114" s="18">
        <v>0</v>
      </c>
      <c r="J114" s="18">
        <f t="shared" si="115"/>
        <v>0</v>
      </c>
      <c r="K114" s="18">
        <v>0</v>
      </c>
      <c r="L114" s="18">
        <v>13698457</v>
      </c>
      <c r="M114" s="18">
        <v>0</v>
      </c>
      <c r="N114" s="18">
        <f t="shared" si="116"/>
        <v>13698457</v>
      </c>
      <c r="O114" s="18">
        <v>0</v>
      </c>
      <c r="P114" s="18">
        <v>0</v>
      </c>
      <c r="Q114" s="18">
        <v>0</v>
      </c>
      <c r="R114" s="18">
        <f t="shared" si="159"/>
        <v>0</v>
      </c>
      <c r="S114" s="18">
        <v>0</v>
      </c>
      <c r="T114" s="18">
        <v>0</v>
      </c>
      <c r="U114" s="18">
        <f t="shared" si="117"/>
        <v>0</v>
      </c>
      <c r="V114" s="18">
        <f t="shared" si="118"/>
        <v>1184062717</v>
      </c>
      <c r="W114" s="18">
        <f t="shared" si="119"/>
        <v>981894</v>
      </c>
      <c r="X114" s="235">
        <f t="shared" si="176"/>
        <v>1185044611</v>
      </c>
      <c r="Y114" s="353">
        <f t="shared" si="177"/>
        <v>11178</v>
      </c>
      <c r="Z114" s="353">
        <f t="shared" si="177"/>
        <v>0</v>
      </c>
      <c r="AA114" s="353">
        <f t="shared" si="164"/>
        <v>11178</v>
      </c>
      <c r="AB114" s="353">
        <f t="shared" si="178"/>
        <v>3506396131</v>
      </c>
      <c r="AC114" s="353">
        <f t="shared" si="178"/>
        <v>2938767</v>
      </c>
      <c r="AD114" s="353">
        <f t="shared" si="166"/>
        <v>3509334898</v>
      </c>
      <c r="AE114" s="353">
        <f t="shared" si="179"/>
        <v>0</v>
      </c>
      <c r="AF114" s="353">
        <f t="shared" si="179"/>
        <v>0</v>
      </c>
      <c r="AG114" s="353">
        <f t="shared" si="168"/>
        <v>0</v>
      </c>
      <c r="AH114" s="353">
        <f t="shared" si="180"/>
        <v>0</v>
      </c>
      <c r="AI114" s="353">
        <f t="shared" si="180"/>
        <v>37116129</v>
      </c>
      <c r="AJ114" s="353">
        <f t="shared" si="180"/>
        <v>0</v>
      </c>
      <c r="AK114" s="353">
        <f t="shared" si="170"/>
        <v>37116129</v>
      </c>
      <c r="AL114" s="353">
        <f t="shared" ref="AL114:AL123" si="183">AL113+O114</f>
        <v>0</v>
      </c>
      <c r="AM114" s="353">
        <f t="shared" si="181"/>
        <v>0</v>
      </c>
      <c r="AN114" s="353">
        <f t="shared" si="181"/>
        <v>0</v>
      </c>
      <c r="AO114" s="353">
        <f t="shared" si="182"/>
        <v>0</v>
      </c>
      <c r="AP114" s="353">
        <f t="shared" ref="AP114:AQ123" si="184">AP113+S114</f>
        <v>0</v>
      </c>
      <c r="AQ114" s="353">
        <f t="shared" si="184"/>
        <v>0</v>
      </c>
      <c r="AR114" s="353">
        <f t="shared" ref="AR114:AR123" si="185">SUM(AP114:AQ114)</f>
        <v>0</v>
      </c>
      <c r="AS114" s="353">
        <f t="shared" si="158"/>
        <v>3506407309</v>
      </c>
      <c r="AT114" s="353">
        <f t="shared" ref="AT114:AT123" si="186">AI114</f>
        <v>37116129</v>
      </c>
      <c r="AU114" s="353">
        <f t="shared" ref="AU114:AU123" si="187">Z114+AC114+AF114+AJ114+AN114+AQ114</f>
        <v>2938767</v>
      </c>
      <c r="AV114" s="354">
        <f t="shared" si="121"/>
        <v>3546462205</v>
      </c>
      <c r="AW114" s="431">
        <f t="shared" si="140"/>
        <v>-1.9256432426648207E-2</v>
      </c>
      <c r="AX114" s="431">
        <f t="shared" si="140"/>
        <v>-0.14035159071576464</v>
      </c>
      <c r="AY114" s="431">
        <f t="shared" si="140"/>
        <v>-1.5448572595380128E-3</v>
      </c>
      <c r="AZ114" s="431">
        <f t="shared" si="139"/>
        <v>-2.0685798138672884E-2</v>
      </c>
    </row>
    <row r="115" spans="1:52">
      <c r="A115" s="138">
        <v>43556</v>
      </c>
      <c r="B115" s="139">
        <v>0</v>
      </c>
      <c r="C115" s="18">
        <v>0</v>
      </c>
      <c r="D115" s="18">
        <f t="shared" si="113"/>
        <v>0</v>
      </c>
      <c r="E115" s="18">
        <v>1237246735</v>
      </c>
      <c r="F115" s="18">
        <v>932842</v>
      </c>
      <c r="G115" s="18">
        <f t="shared" si="114"/>
        <v>1238179577</v>
      </c>
      <c r="H115" s="18">
        <v>0</v>
      </c>
      <c r="I115" s="18">
        <v>0</v>
      </c>
      <c r="J115" s="18">
        <f t="shared" si="115"/>
        <v>0</v>
      </c>
      <c r="K115" s="18">
        <v>0</v>
      </c>
      <c r="L115" s="18">
        <v>11147144</v>
      </c>
      <c r="M115" s="18">
        <v>0</v>
      </c>
      <c r="N115" s="18">
        <f t="shared" si="116"/>
        <v>11147144</v>
      </c>
      <c r="O115" s="18">
        <v>0</v>
      </c>
      <c r="P115" s="18">
        <v>0</v>
      </c>
      <c r="Q115" s="18">
        <v>0</v>
      </c>
      <c r="R115" s="18">
        <f t="shared" si="159"/>
        <v>0</v>
      </c>
      <c r="S115" s="18">
        <v>0</v>
      </c>
      <c r="T115" s="18">
        <v>0</v>
      </c>
      <c r="U115" s="18">
        <f t="shared" si="117"/>
        <v>0</v>
      </c>
      <c r="V115" s="18">
        <f t="shared" si="118"/>
        <v>1237246735</v>
      </c>
      <c r="W115" s="18">
        <f t="shared" si="119"/>
        <v>932842</v>
      </c>
      <c r="X115" s="235">
        <f t="shared" si="176"/>
        <v>1238179577</v>
      </c>
      <c r="Y115" s="353">
        <f t="shared" si="177"/>
        <v>11178</v>
      </c>
      <c r="Z115" s="353">
        <f t="shared" si="177"/>
        <v>0</v>
      </c>
      <c r="AA115" s="353">
        <f t="shared" si="164"/>
        <v>11178</v>
      </c>
      <c r="AB115" s="353">
        <f t="shared" si="178"/>
        <v>4743642866</v>
      </c>
      <c r="AC115" s="353">
        <f t="shared" si="178"/>
        <v>3871609</v>
      </c>
      <c r="AD115" s="353">
        <f t="shared" si="166"/>
        <v>4747514475</v>
      </c>
      <c r="AE115" s="353">
        <f t="shared" si="179"/>
        <v>0</v>
      </c>
      <c r="AF115" s="353">
        <f t="shared" si="179"/>
        <v>0</v>
      </c>
      <c r="AG115" s="353">
        <f t="shared" si="168"/>
        <v>0</v>
      </c>
      <c r="AH115" s="353">
        <f t="shared" si="180"/>
        <v>0</v>
      </c>
      <c r="AI115" s="353">
        <f t="shared" si="180"/>
        <v>48263273</v>
      </c>
      <c r="AJ115" s="353">
        <f t="shared" si="180"/>
        <v>0</v>
      </c>
      <c r="AK115" s="353">
        <f t="shared" si="170"/>
        <v>48263273</v>
      </c>
      <c r="AL115" s="353">
        <f t="shared" si="183"/>
        <v>0</v>
      </c>
      <c r="AM115" s="353">
        <f t="shared" si="181"/>
        <v>0</v>
      </c>
      <c r="AN115" s="353">
        <f t="shared" si="181"/>
        <v>0</v>
      </c>
      <c r="AO115" s="353">
        <f t="shared" si="182"/>
        <v>0</v>
      </c>
      <c r="AP115" s="353">
        <f t="shared" si="184"/>
        <v>0</v>
      </c>
      <c r="AQ115" s="353">
        <f t="shared" si="184"/>
        <v>0</v>
      </c>
      <c r="AR115" s="353">
        <f t="shared" si="185"/>
        <v>0</v>
      </c>
      <c r="AS115" s="353">
        <f t="shared" si="158"/>
        <v>4743654044</v>
      </c>
      <c r="AT115" s="353">
        <f t="shared" si="186"/>
        <v>48263273</v>
      </c>
      <c r="AU115" s="353">
        <f t="shared" si="187"/>
        <v>3871609</v>
      </c>
      <c r="AV115" s="354">
        <f t="shared" si="121"/>
        <v>4795788926</v>
      </c>
      <c r="AW115" s="431">
        <f t="shared" si="140"/>
        <v>-1.1018079803943537E-2</v>
      </c>
      <c r="AX115" s="431">
        <f t="shared" si="140"/>
        <v>-0.14561925179803437</v>
      </c>
      <c r="AY115" s="431">
        <f t="shared" si="140"/>
        <v>1.7529183329338505E-2</v>
      </c>
      <c r="AZ115" s="431">
        <f t="shared" si="139"/>
        <v>-1.2561255638242619E-2</v>
      </c>
    </row>
    <row r="116" spans="1:52">
      <c r="A116" s="138">
        <v>43586</v>
      </c>
      <c r="B116" s="139">
        <v>0</v>
      </c>
      <c r="C116" s="18">
        <v>0</v>
      </c>
      <c r="D116" s="18">
        <f t="shared" si="113"/>
        <v>0</v>
      </c>
      <c r="E116" s="18">
        <v>1276709047</v>
      </c>
      <c r="F116" s="18">
        <v>1192213</v>
      </c>
      <c r="G116" s="18">
        <f t="shared" si="114"/>
        <v>1277901260</v>
      </c>
      <c r="H116" s="18">
        <v>0</v>
      </c>
      <c r="I116" s="18">
        <v>0</v>
      </c>
      <c r="J116" s="18">
        <f t="shared" si="115"/>
        <v>0</v>
      </c>
      <c r="K116" s="18">
        <v>0</v>
      </c>
      <c r="L116" s="18">
        <v>7077536</v>
      </c>
      <c r="M116" s="18">
        <v>0</v>
      </c>
      <c r="N116" s="18">
        <f t="shared" si="116"/>
        <v>7077536</v>
      </c>
      <c r="O116" s="18">
        <v>0</v>
      </c>
      <c r="P116" s="18">
        <v>0</v>
      </c>
      <c r="Q116" s="18">
        <v>0</v>
      </c>
      <c r="R116" s="18">
        <f t="shared" si="159"/>
        <v>0</v>
      </c>
      <c r="S116" s="18">
        <v>0</v>
      </c>
      <c r="T116" s="18">
        <v>0</v>
      </c>
      <c r="U116" s="18">
        <f t="shared" si="117"/>
        <v>0</v>
      </c>
      <c r="V116" s="18">
        <f t="shared" si="118"/>
        <v>1276709047</v>
      </c>
      <c r="W116" s="18">
        <f t="shared" si="119"/>
        <v>1192213</v>
      </c>
      <c r="X116" s="235">
        <f t="shared" si="176"/>
        <v>1277901260</v>
      </c>
      <c r="Y116" s="353">
        <f t="shared" si="177"/>
        <v>11178</v>
      </c>
      <c r="Z116" s="353">
        <f t="shared" si="177"/>
        <v>0</v>
      </c>
      <c r="AA116" s="353">
        <f t="shared" si="164"/>
        <v>11178</v>
      </c>
      <c r="AB116" s="353">
        <f t="shared" si="178"/>
        <v>6020351913</v>
      </c>
      <c r="AC116" s="353">
        <f t="shared" si="178"/>
        <v>5063822</v>
      </c>
      <c r="AD116" s="353">
        <f t="shared" si="166"/>
        <v>6025415735</v>
      </c>
      <c r="AE116" s="353">
        <f t="shared" si="179"/>
        <v>0</v>
      </c>
      <c r="AF116" s="353">
        <f t="shared" si="179"/>
        <v>0</v>
      </c>
      <c r="AG116" s="353">
        <f t="shared" si="168"/>
        <v>0</v>
      </c>
      <c r="AH116" s="353">
        <f t="shared" si="180"/>
        <v>0</v>
      </c>
      <c r="AI116" s="353">
        <f t="shared" si="180"/>
        <v>55340809</v>
      </c>
      <c r="AJ116" s="353">
        <f t="shared" si="180"/>
        <v>0</v>
      </c>
      <c r="AK116" s="353">
        <f t="shared" si="170"/>
        <v>55340809</v>
      </c>
      <c r="AL116" s="353">
        <f t="shared" si="183"/>
        <v>0</v>
      </c>
      <c r="AM116" s="353">
        <f t="shared" si="181"/>
        <v>0</v>
      </c>
      <c r="AN116" s="353">
        <f t="shared" si="181"/>
        <v>0</v>
      </c>
      <c r="AO116" s="353">
        <f t="shared" si="182"/>
        <v>0</v>
      </c>
      <c r="AP116" s="353">
        <f t="shared" si="184"/>
        <v>0</v>
      </c>
      <c r="AQ116" s="353">
        <f t="shared" si="184"/>
        <v>0</v>
      </c>
      <c r="AR116" s="353">
        <f t="shared" si="185"/>
        <v>0</v>
      </c>
      <c r="AS116" s="353">
        <f t="shared" si="158"/>
        <v>6020363091</v>
      </c>
      <c r="AT116" s="353">
        <f t="shared" si="186"/>
        <v>55340809</v>
      </c>
      <c r="AU116" s="353">
        <f t="shared" si="187"/>
        <v>5063822</v>
      </c>
      <c r="AV116" s="354">
        <f t="shared" si="121"/>
        <v>6080767722</v>
      </c>
      <c r="AW116" s="431">
        <f t="shared" si="140"/>
        <v>-9.9312317787589866E-3</v>
      </c>
      <c r="AX116" s="431">
        <f t="shared" si="140"/>
        <v>-0.13628460289212763</v>
      </c>
      <c r="AY116" s="431">
        <f t="shared" si="140"/>
        <v>3.5471884232464168E-2</v>
      </c>
      <c r="AZ116" s="431">
        <f t="shared" si="139"/>
        <v>-1.1211583355236199E-2</v>
      </c>
    </row>
    <row r="117" spans="1:52">
      <c r="A117" s="138">
        <v>43617</v>
      </c>
      <c r="B117" s="139">
        <v>0</v>
      </c>
      <c r="C117" s="18">
        <v>0</v>
      </c>
      <c r="D117" s="18">
        <f t="shared" si="113"/>
        <v>0</v>
      </c>
      <c r="E117" s="18">
        <v>1233405028</v>
      </c>
      <c r="F117" s="18">
        <v>1188063</v>
      </c>
      <c r="G117" s="18">
        <f t="shared" si="114"/>
        <v>1234593091</v>
      </c>
      <c r="H117" s="18">
        <v>0</v>
      </c>
      <c r="I117" s="18">
        <v>0</v>
      </c>
      <c r="J117" s="18">
        <f>I117+H117</f>
        <v>0</v>
      </c>
      <c r="K117" s="18">
        <v>0</v>
      </c>
      <c r="L117" s="18">
        <v>7042609</v>
      </c>
      <c r="M117" s="18">
        <v>0</v>
      </c>
      <c r="N117" s="18">
        <f t="shared" si="116"/>
        <v>7042609</v>
      </c>
      <c r="O117" s="18">
        <v>0</v>
      </c>
      <c r="P117" s="18">
        <v>0</v>
      </c>
      <c r="Q117" s="18">
        <v>0</v>
      </c>
      <c r="R117" s="18">
        <f t="shared" si="159"/>
        <v>0</v>
      </c>
      <c r="S117" s="18">
        <v>0</v>
      </c>
      <c r="T117" s="18">
        <v>0</v>
      </c>
      <c r="U117" s="18">
        <f t="shared" si="117"/>
        <v>0</v>
      </c>
      <c r="V117" s="18">
        <f t="shared" si="118"/>
        <v>1233405028</v>
      </c>
      <c r="W117" s="18">
        <f t="shared" si="119"/>
        <v>1188063</v>
      </c>
      <c r="X117" s="235">
        <f t="shared" si="176"/>
        <v>1234593091</v>
      </c>
      <c r="Y117" s="353">
        <f t="shared" si="177"/>
        <v>11178</v>
      </c>
      <c r="Z117" s="353">
        <f t="shared" si="177"/>
        <v>0</v>
      </c>
      <c r="AA117" s="353">
        <f t="shared" si="164"/>
        <v>11178</v>
      </c>
      <c r="AB117" s="353">
        <f t="shared" si="178"/>
        <v>7253756941</v>
      </c>
      <c r="AC117" s="353">
        <f t="shared" si="178"/>
        <v>6251885</v>
      </c>
      <c r="AD117" s="353">
        <f t="shared" si="166"/>
        <v>7260008826</v>
      </c>
      <c r="AE117" s="353">
        <f t="shared" si="179"/>
        <v>0</v>
      </c>
      <c r="AF117" s="353">
        <f t="shared" si="179"/>
        <v>0</v>
      </c>
      <c r="AG117" s="353">
        <f t="shared" si="168"/>
        <v>0</v>
      </c>
      <c r="AH117" s="353">
        <f t="shared" si="180"/>
        <v>0</v>
      </c>
      <c r="AI117" s="353">
        <f t="shared" si="180"/>
        <v>62383418</v>
      </c>
      <c r="AJ117" s="353">
        <f t="shared" si="180"/>
        <v>0</v>
      </c>
      <c r="AK117" s="353">
        <f t="shared" si="170"/>
        <v>62383418</v>
      </c>
      <c r="AL117" s="353">
        <f t="shared" si="183"/>
        <v>0</v>
      </c>
      <c r="AM117" s="353">
        <f t="shared" si="181"/>
        <v>0</v>
      </c>
      <c r="AN117" s="353">
        <f t="shared" si="181"/>
        <v>0</v>
      </c>
      <c r="AO117" s="353">
        <f t="shared" si="182"/>
        <v>0</v>
      </c>
      <c r="AP117" s="353">
        <f t="shared" si="184"/>
        <v>0</v>
      </c>
      <c r="AQ117" s="353">
        <f t="shared" si="184"/>
        <v>0</v>
      </c>
      <c r="AR117" s="353">
        <f t="shared" si="185"/>
        <v>0</v>
      </c>
      <c r="AS117" s="353">
        <f t="shared" si="158"/>
        <v>7253768119</v>
      </c>
      <c r="AT117" s="353">
        <f t="shared" si="186"/>
        <v>62383418</v>
      </c>
      <c r="AU117" s="353">
        <f t="shared" si="187"/>
        <v>6251885</v>
      </c>
      <c r="AV117" s="354">
        <f t="shared" si="121"/>
        <v>7322403422</v>
      </c>
      <c r="AW117" s="431">
        <f t="shared" si="140"/>
        <v>-1.0126640568015488E-2</v>
      </c>
      <c r="AX117" s="431">
        <f t="shared" si="140"/>
        <v>-0.10586352690508893</v>
      </c>
      <c r="AY117" s="431">
        <f t="shared" si="140"/>
        <v>3.6087395546233747E-2</v>
      </c>
      <c r="AZ117" s="431">
        <f t="shared" si="139"/>
        <v>-1.099115163611597E-2</v>
      </c>
    </row>
    <row r="118" spans="1:52">
      <c r="A118" s="138">
        <v>43647</v>
      </c>
      <c r="B118" s="139">
        <v>0</v>
      </c>
      <c r="C118" s="18">
        <v>0</v>
      </c>
      <c r="D118" s="18">
        <f t="shared" si="113"/>
        <v>0</v>
      </c>
      <c r="E118" s="18">
        <v>1312351700</v>
      </c>
      <c r="F118" s="18">
        <v>1396026</v>
      </c>
      <c r="G118" s="18">
        <f t="shared" si="114"/>
        <v>1313747726</v>
      </c>
      <c r="H118" s="18">
        <v>0</v>
      </c>
      <c r="I118" s="18">
        <v>0</v>
      </c>
      <c r="J118" s="18">
        <f t="shared" si="115"/>
        <v>0</v>
      </c>
      <c r="K118" s="18">
        <v>0</v>
      </c>
      <c r="L118" s="18">
        <v>8510192</v>
      </c>
      <c r="M118" s="18">
        <v>0</v>
      </c>
      <c r="N118" s="18">
        <f t="shared" si="116"/>
        <v>8510192</v>
      </c>
      <c r="O118" s="18">
        <v>0</v>
      </c>
      <c r="P118" s="18">
        <v>0</v>
      </c>
      <c r="Q118" s="18">
        <v>0</v>
      </c>
      <c r="R118" s="18">
        <f t="shared" si="159"/>
        <v>0</v>
      </c>
      <c r="S118" s="18">
        <v>0</v>
      </c>
      <c r="T118" s="18">
        <v>0</v>
      </c>
      <c r="U118" s="18">
        <f t="shared" si="117"/>
        <v>0</v>
      </c>
      <c r="V118" s="18">
        <f t="shared" si="118"/>
        <v>1312351700</v>
      </c>
      <c r="W118" s="18">
        <f t="shared" si="119"/>
        <v>1396026</v>
      </c>
      <c r="X118" s="235">
        <f t="shared" si="176"/>
        <v>1313747726</v>
      </c>
      <c r="Y118" s="353">
        <f t="shared" si="177"/>
        <v>11178</v>
      </c>
      <c r="Z118" s="353">
        <f t="shared" si="177"/>
        <v>0</v>
      </c>
      <c r="AA118" s="353">
        <f t="shared" si="164"/>
        <v>11178</v>
      </c>
      <c r="AB118" s="353">
        <f t="shared" si="178"/>
        <v>8566108641</v>
      </c>
      <c r="AC118" s="353">
        <f t="shared" si="178"/>
        <v>7647911</v>
      </c>
      <c r="AD118" s="353">
        <f t="shared" si="166"/>
        <v>8573756552</v>
      </c>
      <c r="AE118" s="353">
        <f t="shared" si="179"/>
        <v>0</v>
      </c>
      <c r="AF118" s="353">
        <f t="shared" si="179"/>
        <v>0</v>
      </c>
      <c r="AG118" s="353">
        <f t="shared" si="168"/>
        <v>0</v>
      </c>
      <c r="AH118" s="353">
        <f t="shared" si="180"/>
        <v>0</v>
      </c>
      <c r="AI118" s="353">
        <f t="shared" si="180"/>
        <v>70893610</v>
      </c>
      <c r="AJ118" s="353">
        <f t="shared" si="180"/>
        <v>0</v>
      </c>
      <c r="AK118" s="353">
        <f t="shared" si="170"/>
        <v>70893610</v>
      </c>
      <c r="AL118" s="353">
        <f t="shared" si="183"/>
        <v>0</v>
      </c>
      <c r="AM118" s="353">
        <f t="shared" si="181"/>
        <v>0</v>
      </c>
      <c r="AN118" s="353">
        <f t="shared" si="181"/>
        <v>0</v>
      </c>
      <c r="AO118" s="353">
        <f t="shared" si="182"/>
        <v>0</v>
      </c>
      <c r="AP118" s="353">
        <f t="shared" si="184"/>
        <v>0</v>
      </c>
      <c r="AQ118" s="353">
        <f t="shared" si="184"/>
        <v>0</v>
      </c>
      <c r="AR118" s="353">
        <f t="shared" si="185"/>
        <v>0</v>
      </c>
      <c r="AS118" s="353">
        <f t="shared" si="158"/>
        <v>8566119819</v>
      </c>
      <c r="AT118" s="353">
        <f t="shared" si="186"/>
        <v>70893610</v>
      </c>
      <c r="AU118" s="353">
        <f t="shared" si="187"/>
        <v>7647911</v>
      </c>
      <c r="AV118" s="354">
        <f t="shared" si="121"/>
        <v>8644661340</v>
      </c>
      <c r="AW118" s="431">
        <f t="shared" si="140"/>
        <v>-1.2652812200934282E-2</v>
      </c>
      <c r="AX118" s="431">
        <f t="shared" si="140"/>
        <v>-0.1075046376489055</v>
      </c>
      <c r="AY118" s="431">
        <f t="shared" si="140"/>
        <v>5.4755959343980587E-2</v>
      </c>
      <c r="AZ118" s="431">
        <f t="shared" si="139"/>
        <v>-1.3456867194761468E-2</v>
      </c>
    </row>
    <row r="119" spans="1:52">
      <c r="A119" s="138">
        <v>43678</v>
      </c>
      <c r="B119" s="139">
        <v>0</v>
      </c>
      <c r="C119" s="18">
        <v>0</v>
      </c>
      <c r="D119" s="18">
        <f t="shared" si="113"/>
        <v>0</v>
      </c>
      <c r="E119" s="18">
        <v>1243671089</v>
      </c>
      <c r="F119" s="18">
        <v>1317554</v>
      </c>
      <c r="G119" s="18">
        <f t="shared" si="114"/>
        <v>1244988643</v>
      </c>
      <c r="H119" s="18">
        <v>0</v>
      </c>
      <c r="I119" s="18">
        <v>0</v>
      </c>
      <c r="J119" s="18">
        <f>I119+H119</f>
        <v>0</v>
      </c>
      <c r="K119" s="18">
        <v>0</v>
      </c>
      <c r="L119" s="18">
        <v>7004305</v>
      </c>
      <c r="M119" s="18">
        <v>0</v>
      </c>
      <c r="N119" s="18">
        <f t="shared" si="116"/>
        <v>7004305</v>
      </c>
      <c r="O119" s="18">
        <v>0</v>
      </c>
      <c r="P119" s="18">
        <v>0</v>
      </c>
      <c r="Q119" s="18">
        <v>0</v>
      </c>
      <c r="R119" s="18">
        <f t="shared" si="159"/>
        <v>0</v>
      </c>
      <c r="S119" s="18">
        <v>0</v>
      </c>
      <c r="T119" s="18">
        <v>0</v>
      </c>
      <c r="U119" s="18">
        <f t="shared" si="117"/>
        <v>0</v>
      </c>
      <c r="V119" s="18">
        <f t="shared" si="118"/>
        <v>1243671089</v>
      </c>
      <c r="W119" s="18">
        <f t="shared" si="119"/>
        <v>1317554</v>
      </c>
      <c r="X119" s="235">
        <f t="shared" si="176"/>
        <v>1244988643</v>
      </c>
      <c r="Y119" s="353">
        <f t="shared" si="177"/>
        <v>11178</v>
      </c>
      <c r="Z119" s="353">
        <f t="shared" si="177"/>
        <v>0</v>
      </c>
      <c r="AA119" s="353">
        <f t="shared" si="164"/>
        <v>11178</v>
      </c>
      <c r="AB119" s="353">
        <f t="shared" si="178"/>
        <v>9809779730</v>
      </c>
      <c r="AC119" s="353">
        <f t="shared" si="178"/>
        <v>8965465</v>
      </c>
      <c r="AD119" s="353">
        <f t="shared" si="166"/>
        <v>9818745195</v>
      </c>
      <c r="AE119" s="353">
        <f t="shared" si="179"/>
        <v>0</v>
      </c>
      <c r="AF119" s="353">
        <f t="shared" si="179"/>
        <v>0</v>
      </c>
      <c r="AG119" s="353">
        <f t="shared" si="168"/>
        <v>0</v>
      </c>
      <c r="AH119" s="353">
        <f t="shared" si="180"/>
        <v>0</v>
      </c>
      <c r="AI119" s="353">
        <f t="shared" si="180"/>
        <v>77897915</v>
      </c>
      <c r="AJ119" s="353">
        <f t="shared" si="180"/>
        <v>0</v>
      </c>
      <c r="AK119" s="353">
        <f t="shared" si="170"/>
        <v>77897915</v>
      </c>
      <c r="AL119" s="353">
        <f t="shared" si="183"/>
        <v>0</v>
      </c>
      <c r="AM119" s="353">
        <f t="shared" si="181"/>
        <v>0</v>
      </c>
      <c r="AN119" s="353">
        <f t="shared" si="181"/>
        <v>0</v>
      </c>
      <c r="AO119" s="353">
        <f t="shared" si="182"/>
        <v>0</v>
      </c>
      <c r="AP119" s="353">
        <f t="shared" si="184"/>
        <v>0</v>
      </c>
      <c r="AQ119" s="353">
        <f t="shared" si="184"/>
        <v>0</v>
      </c>
      <c r="AR119" s="353">
        <f t="shared" si="185"/>
        <v>0</v>
      </c>
      <c r="AS119" s="353">
        <f t="shared" si="158"/>
        <v>9809790908</v>
      </c>
      <c r="AT119" s="353">
        <f t="shared" si="186"/>
        <v>77897915</v>
      </c>
      <c r="AU119" s="353">
        <f t="shared" si="187"/>
        <v>8965465</v>
      </c>
      <c r="AV119" s="354">
        <f t="shared" si="121"/>
        <v>9896654288</v>
      </c>
      <c r="AW119" s="431">
        <f t="shared" si="140"/>
        <v>-2.0565331833875877E-2</v>
      </c>
      <c r="AX119" s="431">
        <f t="shared" si="140"/>
        <v>-0.11335975091184403</v>
      </c>
      <c r="AY119" s="431">
        <f t="shared" si="140"/>
        <v>5.7296233378520078E-2</v>
      </c>
      <c r="AZ119" s="431">
        <f t="shared" si="139"/>
        <v>-2.1306269624489227E-2</v>
      </c>
    </row>
    <row r="120" spans="1:52">
      <c r="A120" s="138">
        <v>43709</v>
      </c>
      <c r="B120" s="139">
        <v>0</v>
      </c>
      <c r="C120" s="18">
        <v>0</v>
      </c>
      <c r="D120" s="18">
        <f t="shared" si="113"/>
        <v>0</v>
      </c>
      <c r="E120" s="18">
        <v>1186086691</v>
      </c>
      <c r="F120" s="18">
        <v>1155897</v>
      </c>
      <c r="G120" s="18">
        <f t="shared" si="114"/>
        <v>1187242588</v>
      </c>
      <c r="H120" s="18">
        <v>0</v>
      </c>
      <c r="I120" s="18">
        <v>0</v>
      </c>
      <c r="J120" s="18">
        <f t="shared" si="115"/>
        <v>0</v>
      </c>
      <c r="K120" s="18">
        <v>0</v>
      </c>
      <c r="L120" s="18">
        <v>4804630</v>
      </c>
      <c r="M120" s="18">
        <v>0</v>
      </c>
      <c r="N120" s="18">
        <f t="shared" si="116"/>
        <v>4804630</v>
      </c>
      <c r="O120" s="18">
        <v>0</v>
      </c>
      <c r="P120" s="18">
        <v>0</v>
      </c>
      <c r="Q120" s="18">
        <v>0</v>
      </c>
      <c r="R120" s="18">
        <f t="shared" si="159"/>
        <v>0</v>
      </c>
      <c r="S120" s="18">
        <v>0</v>
      </c>
      <c r="T120" s="18">
        <v>0</v>
      </c>
      <c r="U120" s="18">
        <f t="shared" si="117"/>
        <v>0</v>
      </c>
      <c r="V120" s="18">
        <f t="shared" si="118"/>
        <v>1186086691</v>
      </c>
      <c r="W120" s="18">
        <f t="shared" si="119"/>
        <v>1155897</v>
      </c>
      <c r="X120" s="235">
        <f t="shared" si="176"/>
        <v>1187242588</v>
      </c>
      <c r="Y120" s="353">
        <f t="shared" si="177"/>
        <v>11178</v>
      </c>
      <c r="Z120" s="353">
        <f t="shared" si="177"/>
        <v>0</v>
      </c>
      <c r="AA120" s="353">
        <f t="shared" si="164"/>
        <v>11178</v>
      </c>
      <c r="AB120" s="353">
        <f t="shared" si="178"/>
        <v>10995866421</v>
      </c>
      <c r="AC120" s="353">
        <f t="shared" si="178"/>
        <v>10121362</v>
      </c>
      <c r="AD120" s="353">
        <f t="shared" si="166"/>
        <v>11005987783</v>
      </c>
      <c r="AE120" s="353">
        <f t="shared" si="179"/>
        <v>0</v>
      </c>
      <c r="AF120" s="353">
        <f t="shared" si="179"/>
        <v>0</v>
      </c>
      <c r="AG120" s="353">
        <f t="shared" si="168"/>
        <v>0</v>
      </c>
      <c r="AH120" s="353">
        <f t="shared" si="180"/>
        <v>0</v>
      </c>
      <c r="AI120" s="353">
        <f t="shared" si="180"/>
        <v>82702545</v>
      </c>
      <c r="AJ120" s="353">
        <f t="shared" si="180"/>
        <v>0</v>
      </c>
      <c r="AK120" s="353">
        <f t="shared" si="170"/>
        <v>82702545</v>
      </c>
      <c r="AL120" s="353">
        <f t="shared" si="183"/>
        <v>0</v>
      </c>
      <c r="AM120" s="353">
        <f t="shared" si="181"/>
        <v>0</v>
      </c>
      <c r="AN120" s="353">
        <f t="shared" si="181"/>
        <v>0</v>
      </c>
      <c r="AO120" s="353">
        <f t="shared" si="182"/>
        <v>0</v>
      </c>
      <c r="AP120" s="353">
        <f t="shared" si="184"/>
        <v>0</v>
      </c>
      <c r="AQ120" s="353">
        <f t="shared" si="184"/>
        <v>0</v>
      </c>
      <c r="AR120" s="353">
        <f t="shared" si="185"/>
        <v>0</v>
      </c>
      <c r="AS120" s="353">
        <f t="shared" si="158"/>
        <v>10995877599</v>
      </c>
      <c r="AT120" s="353">
        <f t="shared" si="186"/>
        <v>82702545</v>
      </c>
      <c r="AU120" s="353">
        <f t="shared" si="187"/>
        <v>10121362</v>
      </c>
      <c r="AV120" s="354">
        <f t="shared" si="121"/>
        <v>11088701506</v>
      </c>
      <c r="AW120" s="431">
        <f t="shared" si="140"/>
        <v>-2.0125054449463664E-2</v>
      </c>
      <c r="AX120" s="431">
        <f t="shared" si="140"/>
        <v>-0.1175589743491251</v>
      </c>
      <c r="AY120" s="431">
        <f t="shared" si="140"/>
        <v>6.3422850911473372E-2</v>
      </c>
      <c r="AZ120" s="431">
        <f t="shared" si="139"/>
        <v>-2.0861158185392248E-2</v>
      </c>
    </row>
    <row r="121" spans="1:52">
      <c r="A121" s="138">
        <v>43739</v>
      </c>
      <c r="B121" s="139">
        <v>0</v>
      </c>
      <c r="C121" s="18">
        <v>0</v>
      </c>
      <c r="D121" s="18">
        <f t="shared" si="113"/>
        <v>0</v>
      </c>
      <c r="E121" s="18">
        <v>1237882981</v>
      </c>
      <c r="F121" s="18">
        <v>1202514</v>
      </c>
      <c r="G121" s="18">
        <f t="shared" si="114"/>
        <v>1239085495</v>
      </c>
      <c r="H121" s="18">
        <v>0</v>
      </c>
      <c r="I121" s="18">
        <v>0</v>
      </c>
      <c r="J121" s="18">
        <f t="shared" si="115"/>
        <v>0</v>
      </c>
      <c r="K121" s="18">
        <v>0</v>
      </c>
      <c r="L121" s="18">
        <v>10750499</v>
      </c>
      <c r="M121" s="18">
        <v>0</v>
      </c>
      <c r="N121" s="18">
        <f t="shared" si="116"/>
        <v>10750499</v>
      </c>
      <c r="O121" s="18">
        <v>0</v>
      </c>
      <c r="P121" s="18">
        <v>0</v>
      </c>
      <c r="Q121" s="18">
        <v>0</v>
      </c>
      <c r="R121" s="18">
        <f t="shared" si="159"/>
        <v>0</v>
      </c>
      <c r="S121" s="18">
        <v>0</v>
      </c>
      <c r="T121" s="18">
        <v>0</v>
      </c>
      <c r="U121" s="18">
        <f t="shared" si="117"/>
        <v>0</v>
      </c>
      <c r="V121" s="18">
        <f t="shared" si="118"/>
        <v>1237882981</v>
      </c>
      <c r="W121" s="18">
        <f t="shared" si="119"/>
        <v>1202514</v>
      </c>
      <c r="X121" s="235">
        <f t="shared" si="176"/>
        <v>1239085495</v>
      </c>
      <c r="Y121" s="353">
        <f t="shared" si="177"/>
        <v>11178</v>
      </c>
      <c r="Z121" s="353">
        <f t="shared" si="177"/>
        <v>0</v>
      </c>
      <c r="AA121" s="353">
        <f t="shared" si="164"/>
        <v>11178</v>
      </c>
      <c r="AB121" s="353">
        <f t="shared" si="178"/>
        <v>12233749402</v>
      </c>
      <c r="AC121" s="353">
        <f t="shared" si="178"/>
        <v>11323876</v>
      </c>
      <c r="AD121" s="353">
        <f t="shared" si="166"/>
        <v>12245073278</v>
      </c>
      <c r="AE121" s="353">
        <f t="shared" si="179"/>
        <v>0</v>
      </c>
      <c r="AF121" s="353">
        <f t="shared" si="179"/>
        <v>0</v>
      </c>
      <c r="AG121" s="353">
        <f t="shared" si="168"/>
        <v>0</v>
      </c>
      <c r="AH121" s="353">
        <f t="shared" si="180"/>
        <v>0</v>
      </c>
      <c r="AI121" s="353">
        <f t="shared" si="180"/>
        <v>93453044</v>
      </c>
      <c r="AJ121" s="353">
        <f t="shared" si="180"/>
        <v>0</v>
      </c>
      <c r="AK121" s="353">
        <f t="shared" si="170"/>
        <v>93453044</v>
      </c>
      <c r="AL121" s="353">
        <f t="shared" si="183"/>
        <v>0</v>
      </c>
      <c r="AM121" s="353">
        <f t="shared" si="181"/>
        <v>0</v>
      </c>
      <c r="AN121" s="353">
        <f t="shared" si="181"/>
        <v>0</v>
      </c>
      <c r="AO121" s="353">
        <f t="shared" si="182"/>
        <v>0</v>
      </c>
      <c r="AP121" s="353">
        <f t="shared" si="184"/>
        <v>0</v>
      </c>
      <c r="AQ121" s="353">
        <f t="shared" si="184"/>
        <v>0</v>
      </c>
      <c r="AR121" s="353">
        <f t="shared" si="185"/>
        <v>0</v>
      </c>
      <c r="AS121" s="353">
        <f t="shared" si="158"/>
        <v>12233760580</v>
      </c>
      <c r="AT121" s="353">
        <f t="shared" si="186"/>
        <v>93453044</v>
      </c>
      <c r="AU121" s="353">
        <f t="shared" si="187"/>
        <v>11323876</v>
      </c>
      <c r="AV121" s="354">
        <f t="shared" si="121"/>
        <v>12338537500</v>
      </c>
      <c r="AW121" s="431">
        <f t="shared" si="140"/>
        <v>-2.0578549047038042E-2</v>
      </c>
      <c r="AX121" s="431">
        <f t="shared" si="140"/>
        <v>-2.8505169030004218E-3</v>
      </c>
      <c r="AY121" s="431">
        <f t="shared" si="140"/>
        <v>6.2869055144679553E-2</v>
      </c>
      <c r="AZ121" s="431">
        <f t="shared" si="139"/>
        <v>-2.0376048459841645E-2</v>
      </c>
    </row>
    <row r="122" spans="1:52">
      <c r="A122" s="138">
        <v>43770</v>
      </c>
      <c r="B122" s="139">
        <v>0</v>
      </c>
      <c r="C122" s="18">
        <v>0</v>
      </c>
      <c r="D122" s="18">
        <f t="shared" si="113"/>
        <v>0</v>
      </c>
      <c r="E122" s="18">
        <v>1194230202</v>
      </c>
      <c r="F122" s="18">
        <v>1027120</v>
      </c>
      <c r="G122" s="18">
        <f t="shared" si="114"/>
        <v>1195257322</v>
      </c>
      <c r="H122" s="18">
        <v>0</v>
      </c>
      <c r="I122" s="18">
        <v>0</v>
      </c>
      <c r="J122" s="18">
        <f t="shared" si="115"/>
        <v>0</v>
      </c>
      <c r="K122" s="18">
        <v>0</v>
      </c>
      <c r="L122" s="18">
        <v>13108043</v>
      </c>
      <c r="M122" s="18">
        <v>0</v>
      </c>
      <c r="N122" s="18">
        <f t="shared" si="116"/>
        <v>13108043</v>
      </c>
      <c r="O122" s="18">
        <v>0</v>
      </c>
      <c r="P122" s="18">
        <v>0</v>
      </c>
      <c r="Q122" s="18">
        <v>0</v>
      </c>
      <c r="R122" s="18">
        <f t="shared" si="159"/>
        <v>0</v>
      </c>
      <c r="S122" s="18">
        <v>0</v>
      </c>
      <c r="T122" s="18">
        <v>0</v>
      </c>
      <c r="U122" s="18">
        <f t="shared" si="117"/>
        <v>0</v>
      </c>
      <c r="V122" s="18">
        <f t="shared" si="118"/>
        <v>1194230202</v>
      </c>
      <c r="W122" s="18">
        <f t="shared" si="119"/>
        <v>1027120</v>
      </c>
      <c r="X122" s="235">
        <f t="shared" si="176"/>
        <v>1195257322</v>
      </c>
      <c r="Y122" s="353">
        <f t="shared" si="177"/>
        <v>11178</v>
      </c>
      <c r="Z122" s="353">
        <f t="shared" si="177"/>
        <v>0</v>
      </c>
      <c r="AA122" s="353">
        <f t="shared" si="164"/>
        <v>11178</v>
      </c>
      <c r="AB122" s="353">
        <f t="shared" si="178"/>
        <v>13427979604</v>
      </c>
      <c r="AC122" s="353">
        <f t="shared" si="178"/>
        <v>12350996</v>
      </c>
      <c r="AD122" s="353">
        <f t="shared" si="166"/>
        <v>13440330600</v>
      </c>
      <c r="AE122" s="353">
        <f t="shared" si="179"/>
        <v>0</v>
      </c>
      <c r="AF122" s="353">
        <f t="shared" si="179"/>
        <v>0</v>
      </c>
      <c r="AG122" s="353">
        <f t="shared" si="168"/>
        <v>0</v>
      </c>
      <c r="AH122" s="353">
        <f t="shared" si="180"/>
        <v>0</v>
      </c>
      <c r="AI122" s="353">
        <f t="shared" si="180"/>
        <v>106561087</v>
      </c>
      <c r="AJ122" s="353">
        <f t="shared" si="180"/>
        <v>0</v>
      </c>
      <c r="AK122" s="353">
        <f t="shared" si="170"/>
        <v>106561087</v>
      </c>
      <c r="AL122" s="353">
        <f t="shared" si="183"/>
        <v>0</v>
      </c>
      <c r="AM122" s="353">
        <f t="shared" si="181"/>
        <v>0</v>
      </c>
      <c r="AN122" s="353">
        <f t="shared" si="181"/>
        <v>0</v>
      </c>
      <c r="AO122" s="353">
        <f t="shared" si="182"/>
        <v>0</v>
      </c>
      <c r="AP122" s="353">
        <f t="shared" si="184"/>
        <v>0</v>
      </c>
      <c r="AQ122" s="353">
        <f t="shared" si="184"/>
        <v>0</v>
      </c>
      <c r="AR122" s="353">
        <f t="shared" si="185"/>
        <v>0</v>
      </c>
      <c r="AS122" s="353">
        <f t="shared" si="158"/>
        <v>13427990782</v>
      </c>
      <c r="AT122" s="353">
        <f t="shared" si="186"/>
        <v>106561087</v>
      </c>
      <c r="AU122" s="353">
        <f t="shared" si="187"/>
        <v>12350996</v>
      </c>
      <c r="AV122" s="354">
        <f t="shared" si="121"/>
        <v>13546902865</v>
      </c>
      <c r="AW122" s="431">
        <f t="shared" si="140"/>
        <v>-2.1464091881675751E-2</v>
      </c>
      <c r="AX122" s="431">
        <f t="shared" si="140"/>
        <v>0.1288157351155812</v>
      </c>
      <c r="AY122" s="431">
        <f t="shared" si="140"/>
        <v>5.6025997861954835E-2</v>
      </c>
      <c r="AZ122" s="431">
        <f t="shared" si="139"/>
        <v>-2.0372672313573648E-2</v>
      </c>
    </row>
    <row r="123" spans="1:52" ht="15.75" thickBot="1">
      <c r="A123" s="138">
        <v>43800</v>
      </c>
      <c r="B123" s="139">
        <v>0</v>
      </c>
      <c r="C123" s="18">
        <v>0</v>
      </c>
      <c r="D123" s="18">
        <f t="shared" si="113"/>
        <v>0</v>
      </c>
      <c r="E123" s="18">
        <v>1288930778</v>
      </c>
      <c r="F123" s="18">
        <v>1132234</v>
      </c>
      <c r="G123" s="18">
        <f t="shared" si="114"/>
        <v>1290063012</v>
      </c>
      <c r="H123" s="18">
        <v>0</v>
      </c>
      <c r="I123" s="18">
        <v>0</v>
      </c>
      <c r="J123" s="18">
        <f t="shared" si="115"/>
        <v>0</v>
      </c>
      <c r="K123" s="18">
        <v>0</v>
      </c>
      <c r="L123" s="18">
        <v>9792364</v>
      </c>
      <c r="M123" s="18">
        <v>0</v>
      </c>
      <c r="N123" s="18">
        <f t="shared" si="116"/>
        <v>9792364</v>
      </c>
      <c r="O123" s="18">
        <v>0</v>
      </c>
      <c r="P123" s="18">
        <v>0</v>
      </c>
      <c r="Q123" s="18">
        <v>0</v>
      </c>
      <c r="R123" s="18">
        <f t="shared" si="159"/>
        <v>0</v>
      </c>
      <c r="S123" s="18">
        <v>0</v>
      </c>
      <c r="T123" s="18">
        <v>0</v>
      </c>
      <c r="U123" s="18">
        <f t="shared" si="117"/>
        <v>0</v>
      </c>
      <c r="V123" s="18">
        <f t="shared" si="118"/>
        <v>1288930778</v>
      </c>
      <c r="W123" s="18">
        <f t="shared" si="119"/>
        <v>1132234</v>
      </c>
      <c r="X123" s="235">
        <f t="shared" si="176"/>
        <v>1290063012</v>
      </c>
      <c r="Y123" s="353">
        <f t="shared" si="177"/>
        <v>11178</v>
      </c>
      <c r="Z123" s="353">
        <f t="shared" si="177"/>
        <v>0</v>
      </c>
      <c r="AA123" s="353">
        <f t="shared" si="164"/>
        <v>11178</v>
      </c>
      <c r="AB123" s="353">
        <f t="shared" si="178"/>
        <v>14716910382</v>
      </c>
      <c r="AC123" s="353">
        <f t="shared" si="178"/>
        <v>13483230</v>
      </c>
      <c r="AD123" s="353">
        <f t="shared" si="166"/>
        <v>14730393612</v>
      </c>
      <c r="AE123" s="353">
        <f t="shared" si="179"/>
        <v>0</v>
      </c>
      <c r="AF123" s="353">
        <f t="shared" si="179"/>
        <v>0</v>
      </c>
      <c r="AG123" s="353">
        <f t="shared" si="168"/>
        <v>0</v>
      </c>
      <c r="AH123" s="353">
        <f t="shared" si="180"/>
        <v>0</v>
      </c>
      <c r="AI123" s="353">
        <f t="shared" si="180"/>
        <v>116353451</v>
      </c>
      <c r="AJ123" s="353">
        <f t="shared" si="180"/>
        <v>0</v>
      </c>
      <c r="AK123" s="353">
        <f t="shared" si="170"/>
        <v>116353451</v>
      </c>
      <c r="AL123" s="353">
        <f t="shared" si="183"/>
        <v>0</v>
      </c>
      <c r="AM123" s="353">
        <f t="shared" si="181"/>
        <v>0</v>
      </c>
      <c r="AN123" s="353">
        <f t="shared" si="181"/>
        <v>0</v>
      </c>
      <c r="AO123" s="353">
        <f t="shared" si="182"/>
        <v>0</v>
      </c>
      <c r="AP123" s="353">
        <f t="shared" si="184"/>
        <v>0</v>
      </c>
      <c r="AQ123" s="353">
        <f t="shared" si="184"/>
        <v>0</v>
      </c>
      <c r="AR123" s="353">
        <f t="shared" si="185"/>
        <v>0</v>
      </c>
      <c r="AS123" s="353">
        <f t="shared" si="158"/>
        <v>14716921560</v>
      </c>
      <c r="AT123" s="353">
        <f t="shared" si="186"/>
        <v>116353451</v>
      </c>
      <c r="AU123" s="353">
        <f t="shared" si="187"/>
        <v>13483230</v>
      </c>
      <c r="AV123" s="354">
        <f t="shared" si="121"/>
        <v>14846758241</v>
      </c>
      <c r="AW123" s="431">
        <f t="shared" si="140"/>
        <v>-1.5908896424274177E-2</v>
      </c>
      <c r="AX123" s="431">
        <f t="shared" si="140"/>
        <v>9.2430102672521164E-2</v>
      </c>
      <c r="AY123" s="431">
        <f t="shared" si="140"/>
        <v>5.8440326901211481E-2</v>
      </c>
      <c r="AZ123" s="431">
        <f t="shared" si="139"/>
        <v>-1.5080575602567925E-2</v>
      </c>
    </row>
    <row r="124" spans="1:52">
      <c r="A124" s="141">
        <v>43831</v>
      </c>
      <c r="B124" s="142">
        <v>0</v>
      </c>
      <c r="C124" s="143">
        <v>0</v>
      </c>
      <c r="D124" s="143">
        <f t="shared" si="113"/>
        <v>0</v>
      </c>
      <c r="E124" s="143">
        <v>1238303796</v>
      </c>
      <c r="F124" s="143">
        <v>1036449</v>
      </c>
      <c r="G124" s="143">
        <f t="shared" si="114"/>
        <v>1239340245</v>
      </c>
      <c r="H124" s="143">
        <v>0</v>
      </c>
      <c r="I124" s="143">
        <v>0</v>
      </c>
      <c r="J124" s="143">
        <f t="shared" si="115"/>
        <v>0</v>
      </c>
      <c r="K124" s="143">
        <v>0</v>
      </c>
      <c r="L124" s="143">
        <v>7522066</v>
      </c>
      <c r="M124" s="143">
        <v>0</v>
      </c>
      <c r="N124" s="143">
        <f t="shared" si="116"/>
        <v>7522066</v>
      </c>
      <c r="O124" s="143">
        <v>0</v>
      </c>
      <c r="P124" s="143">
        <v>0</v>
      </c>
      <c r="Q124" s="143">
        <v>0</v>
      </c>
      <c r="R124" s="143">
        <f t="shared" si="159"/>
        <v>0</v>
      </c>
      <c r="S124" s="143">
        <v>0</v>
      </c>
      <c r="T124" s="143">
        <v>0</v>
      </c>
      <c r="U124" s="143">
        <f t="shared" si="117"/>
        <v>0</v>
      </c>
      <c r="V124" s="143">
        <f t="shared" si="118"/>
        <v>1238303796</v>
      </c>
      <c r="W124" s="143">
        <f t="shared" si="119"/>
        <v>1036449</v>
      </c>
      <c r="X124" s="237">
        <f t="shared" si="176"/>
        <v>1239340245</v>
      </c>
      <c r="Y124" s="350">
        <f>B124</f>
        <v>0</v>
      </c>
      <c r="Z124" s="350">
        <f>C124</f>
        <v>0</v>
      </c>
      <c r="AA124" s="350">
        <f t="shared" si="164"/>
        <v>0</v>
      </c>
      <c r="AB124" s="350">
        <f>E124</f>
        <v>1238303796</v>
      </c>
      <c r="AC124" s="350">
        <f>F124</f>
        <v>1036449</v>
      </c>
      <c r="AD124" s="350">
        <f t="shared" si="166"/>
        <v>1239340245</v>
      </c>
      <c r="AE124" s="350">
        <f>H124</f>
        <v>0</v>
      </c>
      <c r="AF124" s="350">
        <f>I124</f>
        <v>0</v>
      </c>
      <c r="AG124" s="350">
        <f t="shared" si="168"/>
        <v>0</v>
      </c>
      <c r="AH124" s="350">
        <f>K124</f>
        <v>0</v>
      </c>
      <c r="AI124" s="350">
        <f>L124</f>
        <v>7522066</v>
      </c>
      <c r="AJ124" s="350">
        <f>M124</f>
        <v>0</v>
      </c>
      <c r="AK124" s="350">
        <f t="shared" si="170"/>
        <v>7522066</v>
      </c>
      <c r="AL124" s="350">
        <f>O124</f>
        <v>0</v>
      </c>
      <c r="AM124" s="350">
        <f>P124</f>
        <v>0</v>
      </c>
      <c r="AN124" s="350">
        <f>Q124</f>
        <v>0</v>
      </c>
      <c r="AO124" s="350">
        <f>SUM(AL124:AN124)</f>
        <v>0</v>
      </c>
      <c r="AP124" s="350">
        <f>S124</f>
        <v>0</v>
      </c>
      <c r="AQ124" s="350">
        <f>T124</f>
        <v>0</v>
      </c>
      <c r="AR124" s="350">
        <f>SUM(AP124:AQ124)</f>
        <v>0</v>
      </c>
      <c r="AS124" s="350">
        <f t="shared" si="158"/>
        <v>1238303796</v>
      </c>
      <c r="AT124" s="350">
        <f>AI124</f>
        <v>7522066</v>
      </c>
      <c r="AU124" s="350">
        <f>Z124+AC124+AF124+AJ124+AN124+AQ124</f>
        <v>1036449</v>
      </c>
      <c r="AV124" s="351">
        <f t="shared" si="121"/>
        <v>1246862311</v>
      </c>
      <c r="AW124" s="431">
        <f t="shared" si="140"/>
        <v>4.0774535933374434E-2</v>
      </c>
      <c r="AX124" s="431">
        <f t="shared" si="140"/>
        <v>-0.32864154101565235</v>
      </c>
      <c r="AY124" s="431">
        <f t="shared" si="140"/>
        <v>-5.6822324467656893E-3</v>
      </c>
      <c r="AZ124" s="431">
        <f t="shared" si="139"/>
        <v>3.7290904962251625E-2</v>
      </c>
    </row>
    <row r="125" spans="1:52">
      <c r="A125" s="138">
        <v>43862</v>
      </c>
      <c r="B125" s="139">
        <v>0</v>
      </c>
      <c r="C125" s="18">
        <v>0</v>
      </c>
      <c r="D125" s="18">
        <f t="shared" si="113"/>
        <v>0</v>
      </c>
      <c r="E125" s="18">
        <v>1141726932</v>
      </c>
      <c r="F125" s="18">
        <v>1019832</v>
      </c>
      <c r="G125" s="18">
        <f t="shared" si="114"/>
        <v>1142746764</v>
      </c>
      <c r="H125" s="18">
        <v>0</v>
      </c>
      <c r="I125" s="18">
        <v>0</v>
      </c>
      <c r="J125" s="18">
        <f t="shared" si="115"/>
        <v>0</v>
      </c>
      <c r="K125" s="18">
        <v>0</v>
      </c>
      <c r="L125" s="18">
        <v>12294771</v>
      </c>
      <c r="M125" s="18">
        <v>0</v>
      </c>
      <c r="N125" s="18">
        <f t="shared" si="116"/>
        <v>12294771</v>
      </c>
      <c r="O125" s="18">
        <v>0</v>
      </c>
      <c r="P125" s="18">
        <v>0</v>
      </c>
      <c r="Q125" s="18">
        <v>0</v>
      </c>
      <c r="R125" s="18">
        <f t="shared" si="159"/>
        <v>0</v>
      </c>
      <c r="S125" s="18">
        <v>0</v>
      </c>
      <c r="T125" s="18">
        <v>0</v>
      </c>
      <c r="U125" s="18">
        <f t="shared" si="117"/>
        <v>0</v>
      </c>
      <c r="V125" s="18">
        <f t="shared" si="118"/>
        <v>1141726932</v>
      </c>
      <c r="W125" s="18">
        <f t="shared" si="119"/>
        <v>1019832</v>
      </c>
      <c r="X125" s="235">
        <f t="shared" si="176"/>
        <v>1142746764</v>
      </c>
      <c r="Y125" s="353">
        <f t="shared" ref="Y125:Z135" si="188">Y124+B125</f>
        <v>0</v>
      </c>
      <c r="Z125" s="353">
        <f t="shared" si="188"/>
        <v>0</v>
      </c>
      <c r="AA125" s="353">
        <f t="shared" si="164"/>
        <v>0</v>
      </c>
      <c r="AB125" s="353">
        <f t="shared" ref="AB125:AC135" si="189">AB124+E125</f>
        <v>2380030728</v>
      </c>
      <c r="AC125" s="353">
        <f t="shared" si="189"/>
        <v>2056281</v>
      </c>
      <c r="AD125" s="353">
        <f t="shared" si="166"/>
        <v>2382087009</v>
      </c>
      <c r="AE125" s="353">
        <f t="shared" ref="AE125:AF135" si="190">AE124+H125</f>
        <v>0</v>
      </c>
      <c r="AF125" s="353">
        <f t="shared" si="190"/>
        <v>0</v>
      </c>
      <c r="AG125" s="353">
        <f t="shared" si="168"/>
        <v>0</v>
      </c>
      <c r="AH125" s="353">
        <f t="shared" ref="AH125:AJ135" si="191">AH124+K125</f>
        <v>0</v>
      </c>
      <c r="AI125" s="353">
        <f t="shared" si="191"/>
        <v>19816837</v>
      </c>
      <c r="AJ125" s="353">
        <f t="shared" si="191"/>
        <v>0</v>
      </c>
      <c r="AK125" s="353">
        <f t="shared" si="170"/>
        <v>19816837</v>
      </c>
      <c r="AL125" s="353">
        <f>AL124+O125</f>
        <v>0</v>
      </c>
      <c r="AM125" s="353">
        <f t="shared" ref="AM125:AN135" si="192">AM124+P125</f>
        <v>0</v>
      </c>
      <c r="AN125" s="353">
        <f t="shared" si="192"/>
        <v>0</v>
      </c>
      <c r="AO125" s="353">
        <f t="shared" ref="AO125:AO135" si="193">SUM(AL125:AN125)</f>
        <v>0</v>
      </c>
      <c r="AP125" s="353">
        <f>AP124+S125</f>
        <v>0</v>
      </c>
      <c r="AQ125" s="353">
        <f>AQ124+T125</f>
        <v>0</v>
      </c>
      <c r="AR125" s="353">
        <f>SUM(AP125:AQ125)</f>
        <v>0</v>
      </c>
      <c r="AS125" s="353">
        <f t="shared" si="158"/>
        <v>2380030728</v>
      </c>
      <c r="AT125" s="353">
        <f>AI125</f>
        <v>19816837</v>
      </c>
      <c r="AU125" s="353">
        <f>Z125+AC125+AF125+AJ125+AN125+AQ125</f>
        <v>2056281</v>
      </c>
      <c r="AV125" s="354">
        <f t="shared" si="121"/>
        <v>2401903846</v>
      </c>
      <c r="AW125" s="431">
        <f t="shared" si="140"/>
        <v>2.4839610882345653E-2</v>
      </c>
      <c r="AX125" s="431">
        <f t="shared" si="140"/>
        <v>-0.15376571163862918</v>
      </c>
      <c r="AY125" s="431">
        <f t="shared" si="140"/>
        <v>5.0799413145359962E-2</v>
      </c>
      <c r="AZ125" s="431">
        <f t="shared" si="139"/>
        <v>2.3079723696949106E-2</v>
      </c>
    </row>
    <row r="126" spans="1:52">
      <c r="A126" s="138">
        <v>43891</v>
      </c>
      <c r="B126" s="139">
        <v>0</v>
      </c>
      <c r="C126" s="18">
        <v>0</v>
      </c>
      <c r="D126" s="18">
        <f t="shared" si="113"/>
        <v>0</v>
      </c>
      <c r="E126" s="18">
        <v>1112164188</v>
      </c>
      <c r="F126" s="18">
        <v>865092</v>
      </c>
      <c r="G126" s="18">
        <f t="shared" si="114"/>
        <v>1113029280</v>
      </c>
      <c r="H126" s="18">
        <v>0</v>
      </c>
      <c r="I126" s="18">
        <v>0</v>
      </c>
      <c r="J126" s="18">
        <f t="shared" si="115"/>
        <v>0</v>
      </c>
      <c r="K126" s="18">
        <v>0</v>
      </c>
      <c r="L126" s="18">
        <v>15694167</v>
      </c>
      <c r="M126" s="18">
        <v>0</v>
      </c>
      <c r="N126" s="18">
        <f t="shared" si="116"/>
        <v>15694167</v>
      </c>
      <c r="O126" s="18">
        <v>0</v>
      </c>
      <c r="P126" s="18">
        <v>0</v>
      </c>
      <c r="Q126" s="18">
        <v>0</v>
      </c>
      <c r="R126" s="18">
        <f t="shared" si="159"/>
        <v>0</v>
      </c>
      <c r="S126" s="18">
        <v>0</v>
      </c>
      <c r="T126" s="18">
        <v>0</v>
      </c>
      <c r="U126" s="18">
        <f t="shared" si="117"/>
        <v>0</v>
      </c>
      <c r="V126" s="18">
        <f t="shared" si="118"/>
        <v>1112164188</v>
      </c>
      <c r="W126" s="18">
        <f t="shared" si="119"/>
        <v>865092</v>
      </c>
      <c r="X126" s="235">
        <f t="shared" si="176"/>
        <v>1113029280</v>
      </c>
      <c r="Y126" s="353">
        <f t="shared" si="188"/>
        <v>0</v>
      </c>
      <c r="Z126" s="353">
        <f t="shared" si="188"/>
        <v>0</v>
      </c>
      <c r="AA126" s="353">
        <f t="shared" si="164"/>
        <v>0</v>
      </c>
      <c r="AB126" s="353">
        <f t="shared" si="189"/>
        <v>3492194916</v>
      </c>
      <c r="AC126" s="353">
        <f t="shared" si="189"/>
        <v>2921373</v>
      </c>
      <c r="AD126" s="353">
        <f t="shared" si="166"/>
        <v>3495116289</v>
      </c>
      <c r="AE126" s="353">
        <f t="shared" si="190"/>
        <v>0</v>
      </c>
      <c r="AF126" s="353">
        <f t="shared" si="190"/>
        <v>0</v>
      </c>
      <c r="AG126" s="353">
        <f t="shared" si="168"/>
        <v>0</v>
      </c>
      <c r="AH126" s="353">
        <f t="shared" si="191"/>
        <v>0</v>
      </c>
      <c r="AI126" s="353">
        <f t="shared" si="191"/>
        <v>35511004</v>
      </c>
      <c r="AJ126" s="353">
        <f t="shared" si="191"/>
        <v>0</v>
      </c>
      <c r="AK126" s="353">
        <f t="shared" si="170"/>
        <v>35511004</v>
      </c>
      <c r="AL126" s="353">
        <f t="shared" ref="AL126:AL135" si="194">AL125+O126</f>
        <v>0</v>
      </c>
      <c r="AM126" s="353">
        <f t="shared" si="192"/>
        <v>0</v>
      </c>
      <c r="AN126" s="353">
        <f t="shared" si="192"/>
        <v>0</v>
      </c>
      <c r="AO126" s="353">
        <f t="shared" si="193"/>
        <v>0</v>
      </c>
      <c r="AP126" s="353">
        <f t="shared" ref="AP126:AQ135" si="195">AP125+S126</f>
        <v>0</v>
      </c>
      <c r="AQ126" s="353">
        <f t="shared" si="195"/>
        <v>0</v>
      </c>
      <c r="AR126" s="353">
        <f t="shared" ref="AR126:AR135" si="196">SUM(AP126:AQ126)</f>
        <v>0</v>
      </c>
      <c r="AS126" s="353">
        <f t="shared" si="158"/>
        <v>3492194916</v>
      </c>
      <c r="AT126" s="353">
        <f t="shared" ref="AT126:AT135" si="197">AI126</f>
        <v>35511004</v>
      </c>
      <c r="AU126" s="353">
        <f t="shared" ref="AU126:AU135" si="198">Z126+AC126+AF126+AJ126+AN126+AQ126</f>
        <v>2921373</v>
      </c>
      <c r="AV126" s="354">
        <f t="shared" si="121"/>
        <v>3530627293</v>
      </c>
      <c r="AW126" s="431">
        <f t="shared" si="140"/>
        <v>-4.0532635679604301E-3</v>
      </c>
      <c r="AX126" s="431">
        <f t="shared" si="140"/>
        <v>-4.3246023851248094E-2</v>
      </c>
      <c r="AY126" s="431">
        <f t="shared" si="140"/>
        <v>-5.9188088065504907E-3</v>
      </c>
      <c r="AZ126" s="431">
        <f t="shared" si="139"/>
        <v>-4.4649882290229703E-3</v>
      </c>
    </row>
    <row r="127" spans="1:52">
      <c r="A127" s="138">
        <v>43922</v>
      </c>
      <c r="B127" s="139">
        <v>0</v>
      </c>
      <c r="C127" s="18">
        <v>0</v>
      </c>
      <c r="D127" s="18">
        <f t="shared" si="113"/>
        <v>0</v>
      </c>
      <c r="E127" s="18">
        <v>628050492</v>
      </c>
      <c r="F127" s="18">
        <v>575961</v>
      </c>
      <c r="G127" s="18">
        <f t="shared" si="114"/>
        <v>628626453</v>
      </c>
      <c r="H127" s="18">
        <v>0</v>
      </c>
      <c r="I127" s="18">
        <v>0</v>
      </c>
      <c r="J127" s="18">
        <f t="shared" si="115"/>
        <v>0</v>
      </c>
      <c r="K127" s="18">
        <v>0</v>
      </c>
      <c r="L127" s="18">
        <v>9569491</v>
      </c>
      <c r="M127" s="18">
        <v>0</v>
      </c>
      <c r="N127" s="18">
        <f t="shared" si="116"/>
        <v>9569491</v>
      </c>
      <c r="O127" s="18">
        <v>0</v>
      </c>
      <c r="P127" s="18">
        <v>0</v>
      </c>
      <c r="Q127" s="18">
        <v>0</v>
      </c>
      <c r="R127" s="18">
        <f t="shared" si="159"/>
        <v>0</v>
      </c>
      <c r="S127" s="18">
        <v>0</v>
      </c>
      <c r="T127" s="18">
        <v>0</v>
      </c>
      <c r="U127" s="18">
        <f t="shared" si="117"/>
        <v>0</v>
      </c>
      <c r="V127" s="18">
        <f t="shared" si="118"/>
        <v>628050492</v>
      </c>
      <c r="W127" s="18">
        <f t="shared" si="119"/>
        <v>575961</v>
      </c>
      <c r="X127" s="235">
        <f t="shared" si="176"/>
        <v>628626453</v>
      </c>
      <c r="Y127" s="353">
        <f t="shared" si="188"/>
        <v>0</v>
      </c>
      <c r="Z127" s="353">
        <f t="shared" si="188"/>
        <v>0</v>
      </c>
      <c r="AA127" s="353">
        <f t="shared" si="164"/>
        <v>0</v>
      </c>
      <c r="AB127" s="353">
        <f t="shared" si="189"/>
        <v>4120245408</v>
      </c>
      <c r="AC127" s="353">
        <f t="shared" si="189"/>
        <v>3497334</v>
      </c>
      <c r="AD127" s="353">
        <f t="shared" si="166"/>
        <v>4123742742</v>
      </c>
      <c r="AE127" s="353">
        <f t="shared" si="190"/>
        <v>0</v>
      </c>
      <c r="AF127" s="353">
        <f t="shared" si="190"/>
        <v>0</v>
      </c>
      <c r="AG127" s="353">
        <f t="shared" si="168"/>
        <v>0</v>
      </c>
      <c r="AH127" s="353">
        <f t="shared" si="191"/>
        <v>0</v>
      </c>
      <c r="AI127" s="353">
        <f t="shared" si="191"/>
        <v>45080495</v>
      </c>
      <c r="AJ127" s="353">
        <f t="shared" si="191"/>
        <v>0</v>
      </c>
      <c r="AK127" s="353">
        <f t="shared" si="170"/>
        <v>45080495</v>
      </c>
      <c r="AL127" s="353">
        <f t="shared" si="194"/>
        <v>0</v>
      </c>
      <c r="AM127" s="353">
        <f t="shared" si="192"/>
        <v>0</v>
      </c>
      <c r="AN127" s="353">
        <f t="shared" si="192"/>
        <v>0</v>
      </c>
      <c r="AO127" s="353">
        <f t="shared" si="193"/>
        <v>0</v>
      </c>
      <c r="AP127" s="353">
        <f t="shared" si="195"/>
        <v>0</v>
      </c>
      <c r="AQ127" s="353">
        <f t="shared" si="195"/>
        <v>0</v>
      </c>
      <c r="AR127" s="353">
        <f t="shared" si="196"/>
        <v>0</v>
      </c>
      <c r="AS127" s="353">
        <f t="shared" si="158"/>
        <v>4120245408</v>
      </c>
      <c r="AT127" s="353">
        <f t="shared" si="197"/>
        <v>45080495</v>
      </c>
      <c r="AU127" s="353">
        <f t="shared" si="198"/>
        <v>3497334</v>
      </c>
      <c r="AV127" s="354">
        <f t="shared" si="121"/>
        <v>4168823237</v>
      </c>
      <c r="AW127" s="431">
        <f t="shared" si="140"/>
        <v>-0.13141949860119273</v>
      </c>
      <c r="AX127" s="431">
        <f t="shared" si="140"/>
        <v>-6.5946169875383265E-2</v>
      </c>
      <c r="AY127" s="431">
        <f t="shared" si="140"/>
        <v>-9.6671693861647756E-2</v>
      </c>
      <c r="AZ127" s="431">
        <f t="shared" si="139"/>
        <v>-0.130732544462279</v>
      </c>
    </row>
    <row r="128" spans="1:52">
      <c r="A128" s="138">
        <v>43952</v>
      </c>
      <c r="B128" s="139">
        <v>0</v>
      </c>
      <c r="C128" s="18">
        <v>0</v>
      </c>
      <c r="D128" s="18">
        <f t="shared" si="113"/>
        <v>0</v>
      </c>
      <c r="E128" s="18">
        <v>835521630</v>
      </c>
      <c r="F128" s="18">
        <v>902901</v>
      </c>
      <c r="G128" s="18">
        <f t="shared" si="114"/>
        <v>836424531</v>
      </c>
      <c r="H128" s="18">
        <v>0</v>
      </c>
      <c r="I128" s="18">
        <v>0</v>
      </c>
      <c r="J128" s="18">
        <f t="shared" si="115"/>
        <v>0</v>
      </c>
      <c r="K128" s="18">
        <v>0</v>
      </c>
      <c r="L128" s="18">
        <v>3359379</v>
      </c>
      <c r="M128" s="18">
        <v>0</v>
      </c>
      <c r="N128" s="18">
        <f t="shared" si="116"/>
        <v>3359379</v>
      </c>
      <c r="O128" s="18">
        <v>0</v>
      </c>
      <c r="P128" s="18">
        <v>0</v>
      </c>
      <c r="Q128" s="18">
        <v>0</v>
      </c>
      <c r="R128" s="18">
        <f t="shared" si="159"/>
        <v>0</v>
      </c>
      <c r="S128" s="18">
        <v>0</v>
      </c>
      <c r="T128" s="18">
        <v>0</v>
      </c>
      <c r="U128" s="18">
        <f t="shared" si="117"/>
        <v>0</v>
      </c>
      <c r="V128" s="18">
        <f t="shared" si="118"/>
        <v>835521630</v>
      </c>
      <c r="W128" s="18">
        <f t="shared" si="119"/>
        <v>902901</v>
      </c>
      <c r="X128" s="235">
        <f t="shared" si="176"/>
        <v>836424531</v>
      </c>
      <c r="Y128" s="353">
        <f t="shared" si="188"/>
        <v>0</v>
      </c>
      <c r="Z128" s="353">
        <f t="shared" si="188"/>
        <v>0</v>
      </c>
      <c r="AA128" s="353">
        <f t="shared" si="164"/>
        <v>0</v>
      </c>
      <c r="AB128" s="353">
        <f t="shared" si="189"/>
        <v>4955767038</v>
      </c>
      <c r="AC128" s="353">
        <f t="shared" si="189"/>
        <v>4400235</v>
      </c>
      <c r="AD128" s="353">
        <f t="shared" si="166"/>
        <v>4960167273</v>
      </c>
      <c r="AE128" s="353">
        <f t="shared" si="190"/>
        <v>0</v>
      </c>
      <c r="AF128" s="353">
        <f t="shared" si="190"/>
        <v>0</v>
      </c>
      <c r="AG128" s="353">
        <f t="shared" si="168"/>
        <v>0</v>
      </c>
      <c r="AH128" s="353">
        <f t="shared" si="191"/>
        <v>0</v>
      </c>
      <c r="AI128" s="353">
        <f t="shared" si="191"/>
        <v>48439874</v>
      </c>
      <c r="AJ128" s="353">
        <f t="shared" si="191"/>
        <v>0</v>
      </c>
      <c r="AK128" s="353">
        <f t="shared" si="170"/>
        <v>48439874</v>
      </c>
      <c r="AL128" s="353">
        <f t="shared" si="194"/>
        <v>0</v>
      </c>
      <c r="AM128" s="353">
        <f t="shared" si="192"/>
        <v>0</v>
      </c>
      <c r="AN128" s="353">
        <f t="shared" si="192"/>
        <v>0</v>
      </c>
      <c r="AO128" s="353">
        <f t="shared" si="193"/>
        <v>0</v>
      </c>
      <c r="AP128" s="353">
        <f t="shared" si="195"/>
        <v>0</v>
      </c>
      <c r="AQ128" s="353">
        <f t="shared" si="195"/>
        <v>0</v>
      </c>
      <c r="AR128" s="353">
        <f t="shared" si="196"/>
        <v>0</v>
      </c>
      <c r="AS128" s="353">
        <f t="shared" si="158"/>
        <v>4955767038</v>
      </c>
      <c r="AT128" s="353">
        <f t="shared" si="197"/>
        <v>48439874</v>
      </c>
      <c r="AU128" s="353">
        <f t="shared" si="198"/>
        <v>4400235</v>
      </c>
      <c r="AV128" s="354">
        <f t="shared" si="121"/>
        <v>5008607147</v>
      </c>
      <c r="AW128" s="431">
        <f t="shared" si="140"/>
        <v>-0.17683253267423238</v>
      </c>
      <c r="AX128" s="431">
        <f t="shared" si="140"/>
        <v>-0.12469884565655698</v>
      </c>
      <c r="AY128" s="431">
        <f t="shared" si="140"/>
        <v>-0.1310446931191499</v>
      </c>
      <c r="AZ128" s="431">
        <f t="shared" si="139"/>
        <v>-0.17631993590561956</v>
      </c>
    </row>
    <row r="129" spans="1:52">
      <c r="A129" s="138">
        <v>43983</v>
      </c>
      <c r="B129" s="139">
        <v>0</v>
      </c>
      <c r="C129" s="18">
        <v>0</v>
      </c>
      <c r="D129" s="18">
        <f t="shared" si="113"/>
        <v>0</v>
      </c>
      <c r="E129" s="18">
        <v>1065260312</v>
      </c>
      <c r="F129" s="18">
        <v>1027659</v>
      </c>
      <c r="G129" s="18">
        <f t="shared" si="114"/>
        <v>1066287971</v>
      </c>
      <c r="H129" s="18">
        <v>0</v>
      </c>
      <c r="I129" s="18">
        <v>0</v>
      </c>
      <c r="J129" s="18">
        <f t="shared" si="115"/>
        <v>0</v>
      </c>
      <c r="K129" s="18">
        <v>0</v>
      </c>
      <c r="L129" s="18">
        <v>4818122</v>
      </c>
      <c r="M129" s="18">
        <v>0</v>
      </c>
      <c r="N129" s="18">
        <f t="shared" si="116"/>
        <v>4818122</v>
      </c>
      <c r="O129" s="18">
        <v>0</v>
      </c>
      <c r="P129" s="18">
        <v>0</v>
      </c>
      <c r="Q129" s="18">
        <v>0</v>
      </c>
      <c r="R129" s="18">
        <f t="shared" si="159"/>
        <v>0</v>
      </c>
      <c r="S129" s="18">
        <v>0</v>
      </c>
      <c r="T129" s="18">
        <v>0</v>
      </c>
      <c r="U129" s="18">
        <f t="shared" si="117"/>
        <v>0</v>
      </c>
      <c r="V129" s="18">
        <f t="shared" si="118"/>
        <v>1065260312</v>
      </c>
      <c r="W129" s="18">
        <f t="shared" si="119"/>
        <v>1027659</v>
      </c>
      <c r="X129" s="235">
        <f t="shared" si="176"/>
        <v>1066287971</v>
      </c>
      <c r="Y129" s="353">
        <f t="shared" si="188"/>
        <v>0</v>
      </c>
      <c r="Z129" s="353">
        <f t="shared" si="188"/>
        <v>0</v>
      </c>
      <c r="AA129" s="353">
        <f t="shared" si="164"/>
        <v>0</v>
      </c>
      <c r="AB129" s="353">
        <f t="shared" si="189"/>
        <v>6021027350</v>
      </c>
      <c r="AC129" s="353">
        <f t="shared" si="189"/>
        <v>5427894</v>
      </c>
      <c r="AD129" s="353">
        <f t="shared" si="166"/>
        <v>6026455244</v>
      </c>
      <c r="AE129" s="353">
        <f t="shared" si="190"/>
        <v>0</v>
      </c>
      <c r="AF129" s="353">
        <f t="shared" si="190"/>
        <v>0</v>
      </c>
      <c r="AG129" s="353">
        <f t="shared" si="168"/>
        <v>0</v>
      </c>
      <c r="AH129" s="353">
        <f t="shared" si="191"/>
        <v>0</v>
      </c>
      <c r="AI129" s="353">
        <f t="shared" si="191"/>
        <v>53257996</v>
      </c>
      <c r="AJ129" s="353">
        <f t="shared" si="191"/>
        <v>0</v>
      </c>
      <c r="AK129" s="353">
        <f t="shared" si="170"/>
        <v>53257996</v>
      </c>
      <c r="AL129" s="353">
        <f t="shared" si="194"/>
        <v>0</v>
      </c>
      <c r="AM129" s="353">
        <f t="shared" si="192"/>
        <v>0</v>
      </c>
      <c r="AN129" s="353">
        <f t="shared" si="192"/>
        <v>0</v>
      </c>
      <c r="AO129" s="353">
        <f t="shared" si="193"/>
        <v>0</v>
      </c>
      <c r="AP129" s="353">
        <f t="shared" si="195"/>
        <v>0</v>
      </c>
      <c r="AQ129" s="353">
        <f t="shared" si="195"/>
        <v>0</v>
      </c>
      <c r="AR129" s="353">
        <f t="shared" si="196"/>
        <v>0</v>
      </c>
      <c r="AS129" s="353">
        <f t="shared" si="158"/>
        <v>6021027350</v>
      </c>
      <c r="AT129" s="353">
        <f t="shared" si="197"/>
        <v>53257996</v>
      </c>
      <c r="AU129" s="353">
        <f t="shared" si="198"/>
        <v>5427894</v>
      </c>
      <c r="AV129" s="354">
        <f t="shared" si="121"/>
        <v>6079713240</v>
      </c>
      <c r="AW129" s="431">
        <f t="shared" si="140"/>
        <v>-0.16994488227036753</v>
      </c>
      <c r="AX129" s="431">
        <f t="shared" si="140"/>
        <v>-0.14627960911022864</v>
      </c>
      <c r="AY129" s="431">
        <f t="shared" si="140"/>
        <v>-0.13179880947906109</v>
      </c>
      <c r="AZ129" s="431">
        <f t="shared" si="139"/>
        <v>-0.16971069611739287</v>
      </c>
    </row>
    <row r="130" spans="1:52">
      <c r="A130" s="138">
        <v>44013</v>
      </c>
      <c r="B130" s="139">
        <v>0</v>
      </c>
      <c r="C130" s="18">
        <v>0</v>
      </c>
      <c r="D130" s="18">
        <f t="shared" si="113"/>
        <v>0</v>
      </c>
      <c r="E130" s="18">
        <v>1169002095</v>
      </c>
      <c r="F130" s="18">
        <v>1141159</v>
      </c>
      <c r="G130" s="18">
        <f t="shared" si="114"/>
        <v>1170143254</v>
      </c>
      <c r="H130" s="18">
        <v>440</v>
      </c>
      <c r="I130" s="18">
        <v>0</v>
      </c>
      <c r="J130" s="18">
        <f t="shared" si="115"/>
        <v>440</v>
      </c>
      <c r="K130" s="18">
        <v>0</v>
      </c>
      <c r="L130" s="18">
        <v>489120</v>
      </c>
      <c r="M130" s="18">
        <v>0</v>
      </c>
      <c r="N130" s="18">
        <f t="shared" si="116"/>
        <v>489120</v>
      </c>
      <c r="O130" s="18">
        <v>0</v>
      </c>
      <c r="P130" s="18">
        <v>0</v>
      </c>
      <c r="Q130" s="18">
        <v>0</v>
      </c>
      <c r="R130" s="18">
        <f t="shared" si="159"/>
        <v>0</v>
      </c>
      <c r="S130" s="18">
        <v>0</v>
      </c>
      <c r="T130" s="18">
        <v>0</v>
      </c>
      <c r="U130" s="18">
        <f t="shared" si="117"/>
        <v>0</v>
      </c>
      <c r="V130" s="18">
        <f t="shared" si="118"/>
        <v>1169002535</v>
      </c>
      <c r="W130" s="18">
        <f t="shared" si="119"/>
        <v>1141159</v>
      </c>
      <c r="X130" s="235">
        <f t="shared" si="176"/>
        <v>1170143694</v>
      </c>
      <c r="Y130" s="353">
        <f t="shared" si="188"/>
        <v>0</v>
      </c>
      <c r="Z130" s="353">
        <f t="shared" si="188"/>
        <v>0</v>
      </c>
      <c r="AA130" s="353">
        <f t="shared" si="164"/>
        <v>0</v>
      </c>
      <c r="AB130" s="353">
        <f t="shared" si="189"/>
        <v>7190029445</v>
      </c>
      <c r="AC130" s="353">
        <f t="shared" si="189"/>
        <v>6569053</v>
      </c>
      <c r="AD130" s="353">
        <f t="shared" si="166"/>
        <v>7196598498</v>
      </c>
      <c r="AE130" s="353">
        <f t="shared" si="190"/>
        <v>440</v>
      </c>
      <c r="AF130" s="353">
        <f t="shared" si="190"/>
        <v>0</v>
      </c>
      <c r="AG130" s="353">
        <f t="shared" si="168"/>
        <v>440</v>
      </c>
      <c r="AH130" s="353">
        <f t="shared" si="191"/>
        <v>0</v>
      </c>
      <c r="AI130" s="353">
        <f t="shared" si="191"/>
        <v>53747116</v>
      </c>
      <c r="AJ130" s="353">
        <f t="shared" si="191"/>
        <v>0</v>
      </c>
      <c r="AK130" s="353">
        <f t="shared" si="170"/>
        <v>53747116</v>
      </c>
      <c r="AL130" s="353">
        <f t="shared" si="194"/>
        <v>0</v>
      </c>
      <c r="AM130" s="353">
        <f t="shared" si="192"/>
        <v>0</v>
      </c>
      <c r="AN130" s="353">
        <f t="shared" si="192"/>
        <v>0</v>
      </c>
      <c r="AO130" s="353">
        <f t="shared" si="193"/>
        <v>0</v>
      </c>
      <c r="AP130" s="353">
        <f t="shared" si="195"/>
        <v>0</v>
      </c>
      <c r="AQ130" s="353">
        <f t="shared" si="195"/>
        <v>0</v>
      </c>
      <c r="AR130" s="353">
        <f t="shared" si="196"/>
        <v>0</v>
      </c>
      <c r="AS130" s="353">
        <f t="shared" si="158"/>
        <v>7190029885</v>
      </c>
      <c r="AT130" s="353">
        <f t="shared" si="197"/>
        <v>53747116</v>
      </c>
      <c r="AU130" s="353">
        <f t="shared" si="198"/>
        <v>6569053</v>
      </c>
      <c r="AV130" s="354">
        <f t="shared" si="121"/>
        <v>7250346054</v>
      </c>
      <c r="AW130" s="431">
        <f t="shared" si="140"/>
        <v>-0.16064332078892674</v>
      </c>
      <c r="AX130" s="431">
        <f t="shared" si="140"/>
        <v>-0.24186233427808235</v>
      </c>
      <c r="AY130" s="431">
        <f t="shared" si="140"/>
        <v>-0.14106571062346307</v>
      </c>
      <c r="AZ130" s="431">
        <f t="shared" si="139"/>
        <v>-0.16129206583817424</v>
      </c>
    </row>
    <row r="131" spans="1:52">
      <c r="A131" s="138">
        <v>44044</v>
      </c>
      <c r="B131" s="139">
        <v>0</v>
      </c>
      <c r="C131" s="18">
        <v>0</v>
      </c>
      <c r="D131" s="18">
        <f t="shared" si="113"/>
        <v>0</v>
      </c>
      <c r="E131" s="18">
        <v>1124709247</v>
      </c>
      <c r="F131" s="18">
        <v>1191316</v>
      </c>
      <c r="G131" s="18">
        <f t="shared" si="114"/>
        <v>1125900563</v>
      </c>
      <c r="H131" s="18">
        <v>0</v>
      </c>
      <c r="I131" s="18">
        <v>0</v>
      </c>
      <c r="J131" s="18">
        <f t="shared" si="115"/>
        <v>0</v>
      </c>
      <c r="K131" s="18">
        <v>0</v>
      </c>
      <c r="L131" s="18">
        <v>669259</v>
      </c>
      <c r="M131" s="18">
        <v>0</v>
      </c>
      <c r="N131" s="18">
        <f t="shared" si="116"/>
        <v>669259</v>
      </c>
      <c r="O131" s="18">
        <v>0</v>
      </c>
      <c r="P131" s="18">
        <v>0</v>
      </c>
      <c r="Q131" s="18">
        <v>0</v>
      </c>
      <c r="R131" s="18">
        <f t="shared" si="159"/>
        <v>0</v>
      </c>
      <c r="S131" s="18">
        <v>0</v>
      </c>
      <c r="T131" s="18">
        <v>0</v>
      </c>
      <c r="U131" s="18">
        <f t="shared" si="117"/>
        <v>0</v>
      </c>
      <c r="V131" s="18">
        <f t="shared" si="118"/>
        <v>1124709247</v>
      </c>
      <c r="W131" s="18">
        <f t="shared" si="119"/>
        <v>1191316</v>
      </c>
      <c r="X131" s="235">
        <f t="shared" si="176"/>
        <v>1125900563</v>
      </c>
      <c r="Y131" s="353">
        <f t="shared" si="188"/>
        <v>0</v>
      </c>
      <c r="Z131" s="353">
        <f t="shared" si="188"/>
        <v>0</v>
      </c>
      <c r="AA131" s="353">
        <f t="shared" si="164"/>
        <v>0</v>
      </c>
      <c r="AB131" s="353">
        <f t="shared" si="189"/>
        <v>8314738692</v>
      </c>
      <c r="AC131" s="353">
        <f t="shared" si="189"/>
        <v>7760369</v>
      </c>
      <c r="AD131" s="353">
        <f t="shared" si="166"/>
        <v>8322499061</v>
      </c>
      <c r="AE131" s="353">
        <f t="shared" si="190"/>
        <v>440</v>
      </c>
      <c r="AF131" s="353">
        <f t="shared" si="190"/>
        <v>0</v>
      </c>
      <c r="AG131" s="353">
        <f t="shared" si="168"/>
        <v>440</v>
      </c>
      <c r="AH131" s="353">
        <f>AH130+K131</f>
        <v>0</v>
      </c>
      <c r="AI131" s="353">
        <f t="shared" si="191"/>
        <v>54416375</v>
      </c>
      <c r="AJ131" s="353">
        <f t="shared" si="191"/>
        <v>0</v>
      </c>
      <c r="AK131" s="353">
        <f t="shared" si="170"/>
        <v>54416375</v>
      </c>
      <c r="AL131" s="353">
        <f t="shared" si="194"/>
        <v>0</v>
      </c>
      <c r="AM131" s="353">
        <f t="shared" si="192"/>
        <v>0</v>
      </c>
      <c r="AN131" s="353">
        <f t="shared" si="192"/>
        <v>0</v>
      </c>
      <c r="AO131" s="353">
        <f t="shared" si="193"/>
        <v>0</v>
      </c>
      <c r="AP131" s="353">
        <f t="shared" si="195"/>
        <v>0</v>
      </c>
      <c r="AQ131" s="353">
        <f t="shared" si="195"/>
        <v>0</v>
      </c>
      <c r="AR131" s="353">
        <f t="shared" si="196"/>
        <v>0</v>
      </c>
      <c r="AS131" s="353">
        <f t="shared" si="158"/>
        <v>8314739132</v>
      </c>
      <c r="AT131" s="353">
        <f t="shared" si="197"/>
        <v>54416375</v>
      </c>
      <c r="AU131" s="353">
        <f t="shared" si="198"/>
        <v>7760369</v>
      </c>
      <c r="AV131" s="354">
        <f t="shared" si="121"/>
        <v>8376915876</v>
      </c>
      <c r="AW131" s="431">
        <f t="shared" si="140"/>
        <v>-0.15240404102606997</v>
      </c>
      <c r="AX131" s="431">
        <f t="shared" si="140"/>
        <v>-0.30143990375095409</v>
      </c>
      <c r="AY131" s="431">
        <f t="shared" si="140"/>
        <v>-0.13441533707398334</v>
      </c>
      <c r="AZ131" s="431">
        <f t="shared" si="139"/>
        <v>-0.15356082649494285</v>
      </c>
    </row>
    <row r="132" spans="1:52">
      <c r="A132" s="138">
        <v>44075</v>
      </c>
      <c r="B132" s="139">
        <v>0</v>
      </c>
      <c r="C132" s="18">
        <v>0</v>
      </c>
      <c r="D132" s="18">
        <f t="shared" si="113"/>
        <v>0</v>
      </c>
      <c r="E132" s="18">
        <v>1116041079</v>
      </c>
      <c r="F132" s="18">
        <v>1159627</v>
      </c>
      <c r="G132" s="18">
        <f t="shared" si="114"/>
        <v>1117200706</v>
      </c>
      <c r="H132" s="18">
        <v>0</v>
      </c>
      <c r="I132" s="18">
        <v>0</v>
      </c>
      <c r="J132" s="18">
        <f t="shared" si="115"/>
        <v>0</v>
      </c>
      <c r="K132" s="18">
        <v>0</v>
      </c>
      <c r="L132" s="18">
        <v>2648536</v>
      </c>
      <c r="M132" s="18">
        <v>0</v>
      </c>
      <c r="N132" s="18">
        <f t="shared" si="116"/>
        <v>2648536</v>
      </c>
      <c r="O132" s="18">
        <v>0</v>
      </c>
      <c r="P132" s="18">
        <v>0</v>
      </c>
      <c r="Q132" s="18">
        <v>0</v>
      </c>
      <c r="R132" s="18">
        <f t="shared" ref="R132:R163" si="199">SUM(O132:Q132)</f>
        <v>0</v>
      </c>
      <c r="S132" s="18">
        <v>0</v>
      </c>
      <c r="T132" s="18">
        <v>0</v>
      </c>
      <c r="U132" s="18">
        <f t="shared" si="117"/>
        <v>0</v>
      </c>
      <c r="V132" s="18">
        <f t="shared" si="118"/>
        <v>1116041079</v>
      </c>
      <c r="W132" s="18">
        <f t="shared" si="119"/>
        <v>1159627</v>
      </c>
      <c r="X132" s="235">
        <f t="shared" si="176"/>
        <v>1117200706</v>
      </c>
      <c r="Y132" s="353">
        <f t="shared" si="188"/>
        <v>0</v>
      </c>
      <c r="Z132" s="353">
        <f t="shared" si="188"/>
        <v>0</v>
      </c>
      <c r="AA132" s="353">
        <f t="shared" si="164"/>
        <v>0</v>
      </c>
      <c r="AB132" s="353">
        <f t="shared" si="189"/>
        <v>9430779771</v>
      </c>
      <c r="AC132" s="353">
        <f t="shared" si="189"/>
        <v>8919996</v>
      </c>
      <c r="AD132" s="353">
        <f t="shared" si="166"/>
        <v>9439699767</v>
      </c>
      <c r="AE132" s="353">
        <f t="shared" si="190"/>
        <v>440</v>
      </c>
      <c r="AF132" s="353">
        <f t="shared" si="190"/>
        <v>0</v>
      </c>
      <c r="AG132" s="353">
        <f t="shared" si="168"/>
        <v>440</v>
      </c>
      <c r="AH132" s="353">
        <f>AH131+K132</f>
        <v>0</v>
      </c>
      <c r="AI132" s="353">
        <f t="shared" si="191"/>
        <v>57064911</v>
      </c>
      <c r="AJ132" s="353">
        <f t="shared" si="191"/>
        <v>0</v>
      </c>
      <c r="AK132" s="353">
        <f t="shared" si="170"/>
        <v>57064911</v>
      </c>
      <c r="AL132" s="353">
        <f t="shared" si="194"/>
        <v>0</v>
      </c>
      <c r="AM132" s="353">
        <f t="shared" si="192"/>
        <v>0</v>
      </c>
      <c r="AN132" s="353">
        <f t="shared" si="192"/>
        <v>0</v>
      </c>
      <c r="AO132" s="353">
        <f t="shared" si="193"/>
        <v>0</v>
      </c>
      <c r="AP132" s="353">
        <f t="shared" si="195"/>
        <v>0</v>
      </c>
      <c r="AQ132" s="353">
        <f t="shared" si="195"/>
        <v>0</v>
      </c>
      <c r="AR132" s="353">
        <f t="shared" si="196"/>
        <v>0</v>
      </c>
      <c r="AS132" s="353">
        <f t="shared" si="158"/>
        <v>9430780211</v>
      </c>
      <c r="AT132" s="353">
        <f t="shared" si="197"/>
        <v>57064911</v>
      </c>
      <c r="AU132" s="353">
        <f t="shared" si="198"/>
        <v>8919996</v>
      </c>
      <c r="AV132" s="354">
        <f t="shared" si="121"/>
        <v>9496765118</v>
      </c>
      <c r="AW132" s="431">
        <f t="shared" si="140"/>
        <v>-0.14233492269342241</v>
      </c>
      <c r="AX132" s="431">
        <f t="shared" si="140"/>
        <v>-0.30999812641799596</v>
      </c>
      <c r="AY132" s="431">
        <f t="shared" si="140"/>
        <v>-0.1186960806263031</v>
      </c>
      <c r="AZ132" s="431">
        <f t="shared" si="139"/>
        <v>-0.14356382369374965</v>
      </c>
    </row>
    <row r="133" spans="1:52">
      <c r="A133" s="138">
        <v>44105</v>
      </c>
      <c r="B133" s="139">
        <v>0</v>
      </c>
      <c r="C133" s="18">
        <v>0</v>
      </c>
      <c r="D133" s="18">
        <f t="shared" ref="D133:D164" si="200">C133+B133</f>
        <v>0</v>
      </c>
      <c r="E133" s="18">
        <v>1138032677</v>
      </c>
      <c r="F133" s="18">
        <v>1153031</v>
      </c>
      <c r="G133" s="18">
        <f t="shared" ref="G133:G186" si="201">F133+E133</f>
        <v>1139185708</v>
      </c>
      <c r="H133" s="18">
        <v>0</v>
      </c>
      <c r="I133" s="18">
        <v>0</v>
      </c>
      <c r="J133" s="18">
        <f t="shared" ref="J133:J186" si="202">I133+H133</f>
        <v>0</v>
      </c>
      <c r="K133" s="18">
        <v>0</v>
      </c>
      <c r="L133" s="18">
        <v>8975255</v>
      </c>
      <c r="M133" s="18">
        <v>0</v>
      </c>
      <c r="N133" s="18">
        <f t="shared" ref="N133:N186" si="203">M133+L133+K133</f>
        <v>8975255</v>
      </c>
      <c r="O133" s="18">
        <v>0</v>
      </c>
      <c r="P133" s="18">
        <v>0</v>
      </c>
      <c r="Q133" s="18">
        <v>0</v>
      </c>
      <c r="R133" s="18">
        <f t="shared" si="199"/>
        <v>0</v>
      </c>
      <c r="S133" s="18">
        <v>0</v>
      </c>
      <c r="T133" s="18">
        <v>0</v>
      </c>
      <c r="U133" s="18">
        <f t="shared" ref="U133:U186" si="204">T133+S133</f>
        <v>0</v>
      </c>
      <c r="V133" s="18">
        <f t="shared" ref="V133:V186" si="205">B133+E133+H133+K133+O133+S133</f>
        <v>1138032677</v>
      </c>
      <c r="W133" s="18">
        <f t="shared" ref="W133:W186" si="206">C133+F133+I133+M133+Q133+T133</f>
        <v>1153031</v>
      </c>
      <c r="X133" s="235">
        <f t="shared" si="176"/>
        <v>1139185708</v>
      </c>
      <c r="Y133" s="353">
        <f t="shared" si="188"/>
        <v>0</v>
      </c>
      <c r="Z133" s="353">
        <f t="shared" si="188"/>
        <v>0</v>
      </c>
      <c r="AA133" s="353">
        <f t="shared" si="164"/>
        <v>0</v>
      </c>
      <c r="AB133" s="353">
        <f t="shared" si="189"/>
        <v>10568812448</v>
      </c>
      <c r="AC133" s="353">
        <f t="shared" si="189"/>
        <v>10073027</v>
      </c>
      <c r="AD133" s="353">
        <f t="shared" si="166"/>
        <v>10578885475</v>
      </c>
      <c r="AE133" s="353">
        <f t="shared" si="190"/>
        <v>440</v>
      </c>
      <c r="AF133" s="353">
        <f t="shared" si="190"/>
        <v>0</v>
      </c>
      <c r="AG133" s="353">
        <f t="shared" si="168"/>
        <v>440</v>
      </c>
      <c r="AH133" s="353">
        <f>AH132+K133</f>
        <v>0</v>
      </c>
      <c r="AI133" s="353">
        <f t="shared" si="191"/>
        <v>66040166</v>
      </c>
      <c r="AJ133" s="353">
        <f t="shared" si="191"/>
        <v>0</v>
      </c>
      <c r="AK133" s="353">
        <f t="shared" si="170"/>
        <v>66040166</v>
      </c>
      <c r="AL133" s="353">
        <f t="shared" si="194"/>
        <v>0</v>
      </c>
      <c r="AM133" s="353">
        <f t="shared" si="192"/>
        <v>0</v>
      </c>
      <c r="AN133" s="353">
        <f t="shared" si="192"/>
        <v>0</v>
      </c>
      <c r="AO133" s="353">
        <f t="shared" si="193"/>
        <v>0</v>
      </c>
      <c r="AP133" s="353">
        <f t="shared" si="195"/>
        <v>0</v>
      </c>
      <c r="AQ133" s="353">
        <f t="shared" si="195"/>
        <v>0</v>
      </c>
      <c r="AR133" s="353">
        <f t="shared" si="196"/>
        <v>0</v>
      </c>
      <c r="AS133" s="353">
        <f t="shared" si="158"/>
        <v>10568812888</v>
      </c>
      <c r="AT133" s="353">
        <f t="shared" si="197"/>
        <v>66040166</v>
      </c>
      <c r="AU133" s="353">
        <f t="shared" si="198"/>
        <v>10073027</v>
      </c>
      <c r="AV133" s="354">
        <f t="shared" ref="AV133:AV186" si="207">SUM(AS133:AU133)</f>
        <v>10644926081</v>
      </c>
      <c r="AW133" s="431">
        <f t="shared" si="140"/>
        <v>-0.13609451330295697</v>
      </c>
      <c r="AX133" s="431">
        <f t="shared" si="140"/>
        <v>-0.29333317382363699</v>
      </c>
      <c r="AY133" s="431">
        <f t="shared" si="140"/>
        <v>-0.11046120603934551</v>
      </c>
      <c r="AZ133" s="431">
        <f t="shared" si="139"/>
        <v>-0.13726192581576224</v>
      </c>
    </row>
    <row r="134" spans="1:52">
      <c r="A134" s="138">
        <v>44136</v>
      </c>
      <c r="B134" s="139">
        <v>0</v>
      </c>
      <c r="C134" s="18">
        <v>0</v>
      </c>
      <c r="D134" s="18">
        <f t="shared" si="200"/>
        <v>0</v>
      </c>
      <c r="E134" s="18">
        <v>1136429603</v>
      </c>
      <c r="F134" s="18">
        <v>894215</v>
      </c>
      <c r="G134" s="18">
        <f t="shared" si="201"/>
        <v>1137323818</v>
      </c>
      <c r="H134" s="18">
        <v>0</v>
      </c>
      <c r="I134" s="18">
        <v>0</v>
      </c>
      <c r="J134" s="18">
        <f t="shared" si="202"/>
        <v>0</v>
      </c>
      <c r="K134" s="18">
        <v>0</v>
      </c>
      <c r="L134" s="18">
        <v>3737882</v>
      </c>
      <c r="M134" s="18">
        <v>0</v>
      </c>
      <c r="N134" s="18">
        <f t="shared" si="203"/>
        <v>3737882</v>
      </c>
      <c r="O134" s="18">
        <v>0</v>
      </c>
      <c r="P134" s="18">
        <v>0</v>
      </c>
      <c r="Q134" s="18">
        <v>0</v>
      </c>
      <c r="R134" s="18">
        <f t="shared" si="199"/>
        <v>0</v>
      </c>
      <c r="S134" s="18">
        <v>0</v>
      </c>
      <c r="T134" s="18">
        <v>0</v>
      </c>
      <c r="U134" s="18">
        <f t="shared" si="204"/>
        <v>0</v>
      </c>
      <c r="V134" s="18">
        <f t="shared" si="205"/>
        <v>1136429603</v>
      </c>
      <c r="W134" s="18">
        <f t="shared" si="206"/>
        <v>894215</v>
      </c>
      <c r="X134" s="235">
        <f t="shared" si="176"/>
        <v>1137323818</v>
      </c>
      <c r="Y134" s="353">
        <f t="shared" si="188"/>
        <v>0</v>
      </c>
      <c r="Z134" s="353">
        <f t="shared" si="188"/>
        <v>0</v>
      </c>
      <c r="AA134" s="353">
        <f t="shared" si="164"/>
        <v>0</v>
      </c>
      <c r="AB134" s="353">
        <f t="shared" si="189"/>
        <v>11705242051</v>
      </c>
      <c r="AC134" s="353">
        <f t="shared" si="189"/>
        <v>10967242</v>
      </c>
      <c r="AD134" s="353">
        <f t="shared" si="166"/>
        <v>11716209293</v>
      </c>
      <c r="AE134" s="353">
        <f t="shared" si="190"/>
        <v>440</v>
      </c>
      <c r="AF134" s="353">
        <f t="shared" si="190"/>
        <v>0</v>
      </c>
      <c r="AG134" s="353">
        <f t="shared" si="168"/>
        <v>440</v>
      </c>
      <c r="AH134" s="353">
        <f>AH133+K134</f>
        <v>0</v>
      </c>
      <c r="AI134" s="353">
        <f t="shared" si="191"/>
        <v>69778048</v>
      </c>
      <c r="AJ134" s="353">
        <f t="shared" si="191"/>
        <v>0</v>
      </c>
      <c r="AK134" s="353">
        <f t="shared" si="170"/>
        <v>69778048</v>
      </c>
      <c r="AL134" s="353">
        <f t="shared" si="194"/>
        <v>0</v>
      </c>
      <c r="AM134" s="353">
        <f t="shared" si="192"/>
        <v>0</v>
      </c>
      <c r="AN134" s="353">
        <f t="shared" si="192"/>
        <v>0</v>
      </c>
      <c r="AO134" s="353">
        <f t="shared" si="193"/>
        <v>0</v>
      </c>
      <c r="AP134" s="353">
        <f t="shared" si="195"/>
        <v>0</v>
      </c>
      <c r="AQ134" s="353">
        <f t="shared" si="195"/>
        <v>0</v>
      </c>
      <c r="AR134" s="353">
        <f t="shared" si="196"/>
        <v>0</v>
      </c>
      <c r="AS134" s="353">
        <f t="shared" si="158"/>
        <v>11705242491</v>
      </c>
      <c r="AT134" s="353">
        <f t="shared" si="197"/>
        <v>69778048</v>
      </c>
      <c r="AU134" s="353">
        <f t="shared" si="198"/>
        <v>10967242</v>
      </c>
      <c r="AV134" s="354">
        <f t="shared" si="207"/>
        <v>11785987781</v>
      </c>
      <c r="AW134" s="431">
        <f t="shared" si="140"/>
        <v>-0.12829531379402759</v>
      </c>
      <c r="AX134" s="431">
        <f t="shared" si="140"/>
        <v>-0.34518265565365336</v>
      </c>
      <c r="AY134" s="431">
        <f t="shared" si="140"/>
        <v>-0.11203582285995395</v>
      </c>
      <c r="AZ134" s="431">
        <f t="shared" si="139"/>
        <v>-0.12998654390218811</v>
      </c>
    </row>
    <row r="135" spans="1:52" ht="15.75" thickBot="1">
      <c r="A135" s="138">
        <v>44166</v>
      </c>
      <c r="B135" s="139">
        <v>0</v>
      </c>
      <c r="C135" s="18">
        <v>0</v>
      </c>
      <c r="D135" s="18">
        <f t="shared" si="200"/>
        <v>0</v>
      </c>
      <c r="E135" s="18">
        <v>1139952619</v>
      </c>
      <c r="F135" s="18">
        <v>1030705</v>
      </c>
      <c r="G135" s="18">
        <f t="shared" si="201"/>
        <v>1140983324</v>
      </c>
      <c r="H135" s="18">
        <v>0</v>
      </c>
      <c r="I135" s="18">
        <v>0</v>
      </c>
      <c r="J135" s="18">
        <f t="shared" si="202"/>
        <v>0</v>
      </c>
      <c r="K135" s="18">
        <v>0</v>
      </c>
      <c r="L135" s="18">
        <v>6490877</v>
      </c>
      <c r="M135" s="18">
        <v>0</v>
      </c>
      <c r="N135" s="18">
        <f t="shared" si="203"/>
        <v>6490877</v>
      </c>
      <c r="O135" s="18">
        <v>0</v>
      </c>
      <c r="P135" s="18">
        <v>0</v>
      </c>
      <c r="Q135" s="18">
        <v>0</v>
      </c>
      <c r="R135" s="18">
        <f t="shared" si="199"/>
        <v>0</v>
      </c>
      <c r="S135" s="18">
        <v>0</v>
      </c>
      <c r="T135" s="18">
        <v>0</v>
      </c>
      <c r="U135" s="18">
        <f t="shared" si="204"/>
        <v>0</v>
      </c>
      <c r="V135" s="18">
        <f t="shared" si="205"/>
        <v>1139952619</v>
      </c>
      <c r="W135" s="18">
        <f t="shared" si="206"/>
        <v>1030705</v>
      </c>
      <c r="X135" s="235">
        <f t="shared" si="176"/>
        <v>1140983324</v>
      </c>
      <c r="Y135" s="353">
        <f t="shared" si="188"/>
        <v>0</v>
      </c>
      <c r="Z135" s="353">
        <f t="shared" si="188"/>
        <v>0</v>
      </c>
      <c r="AA135" s="353">
        <f t="shared" si="164"/>
        <v>0</v>
      </c>
      <c r="AB135" s="353">
        <f t="shared" si="189"/>
        <v>12845194670</v>
      </c>
      <c r="AC135" s="353">
        <f t="shared" si="189"/>
        <v>11997947</v>
      </c>
      <c r="AD135" s="353">
        <f t="shared" si="166"/>
        <v>12857192617</v>
      </c>
      <c r="AE135" s="353">
        <f t="shared" si="190"/>
        <v>440</v>
      </c>
      <c r="AF135" s="353">
        <f t="shared" si="190"/>
        <v>0</v>
      </c>
      <c r="AG135" s="353">
        <f t="shared" si="168"/>
        <v>440</v>
      </c>
      <c r="AH135" s="353">
        <f>AH134+K135</f>
        <v>0</v>
      </c>
      <c r="AI135" s="353">
        <f t="shared" si="191"/>
        <v>76268925</v>
      </c>
      <c r="AJ135" s="353">
        <f t="shared" si="191"/>
        <v>0</v>
      </c>
      <c r="AK135" s="353">
        <f t="shared" si="170"/>
        <v>76268925</v>
      </c>
      <c r="AL135" s="353">
        <f t="shared" si="194"/>
        <v>0</v>
      </c>
      <c r="AM135" s="353">
        <f t="shared" si="192"/>
        <v>0</v>
      </c>
      <c r="AN135" s="353">
        <f t="shared" si="192"/>
        <v>0</v>
      </c>
      <c r="AO135" s="353">
        <f t="shared" si="193"/>
        <v>0</v>
      </c>
      <c r="AP135" s="353">
        <f t="shared" si="195"/>
        <v>0</v>
      </c>
      <c r="AQ135" s="353">
        <f t="shared" si="195"/>
        <v>0</v>
      </c>
      <c r="AR135" s="353">
        <f t="shared" si="196"/>
        <v>0</v>
      </c>
      <c r="AS135" s="353">
        <f t="shared" si="158"/>
        <v>12845195110</v>
      </c>
      <c r="AT135" s="353">
        <f t="shared" si="197"/>
        <v>76268925</v>
      </c>
      <c r="AU135" s="353">
        <f t="shared" si="198"/>
        <v>11997947</v>
      </c>
      <c r="AV135" s="354">
        <f t="shared" si="207"/>
        <v>12933461982</v>
      </c>
      <c r="AW135" s="431">
        <f t="shared" si="140"/>
        <v>-0.12718192744108092</v>
      </c>
      <c r="AX135" s="431">
        <f t="shared" si="140"/>
        <v>-0.34450655013232057</v>
      </c>
      <c r="AY135" s="431">
        <f t="shared" si="140"/>
        <v>-0.11015780343434034</v>
      </c>
      <c r="AZ135" s="431">
        <f t="shared" si="139"/>
        <v>-0.12886963119776174</v>
      </c>
    </row>
    <row r="136" spans="1:52">
      <c r="A136" s="141">
        <v>44197</v>
      </c>
      <c r="B136" s="142">
        <v>0</v>
      </c>
      <c r="C136" s="143">
        <v>0</v>
      </c>
      <c r="D136" s="143">
        <f t="shared" si="200"/>
        <v>0</v>
      </c>
      <c r="E136" s="143">
        <v>1072581886</v>
      </c>
      <c r="F136" s="143">
        <v>1008820</v>
      </c>
      <c r="G136" s="143">
        <f t="shared" si="201"/>
        <v>1073590706</v>
      </c>
      <c r="H136" s="143">
        <v>0</v>
      </c>
      <c r="I136" s="143">
        <v>0</v>
      </c>
      <c r="J136" s="143">
        <f t="shared" si="202"/>
        <v>0</v>
      </c>
      <c r="K136" s="143">
        <v>0</v>
      </c>
      <c r="L136" s="143">
        <v>3349620</v>
      </c>
      <c r="M136" s="143">
        <v>0</v>
      </c>
      <c r="N136" s="143">
        <f t="shared" si="203"/>
        <v>3349620</v>
      </c>
      <c r="O136" s="143">
        <v>0</v>
      </c>
      <c r="P136" s="143">
        <v>0</v>
      </c>
      <c r="Q136" s="143">
        <v>0</v>
      </c>
      <c r="R136" s="143">
        <f t="shared" si="199"/>
        <v>0</v>
      </c>
      <c r="S136" s="143">
        <v>0</v>
      </c>
      <c r="T136" s="143">
        <v>0</v>
      </c>
      <c r="U136" s="143">
        <f t="shared" si="204"/>
        <v>0</v>
      </c>
      <c r="V136" s="143">
        <f t="shared" si="205"/>
        <v>1072581886</v>
      </c>
      <c r="W136" s="143">
        <f t="shared" si="206"/>
        <v>1008820</v>
      </c>
      <c r="X136" s="237">
        <f t="shared" si="176"/>
        <v>1073590706</v>
      </c>
      <c r="Y136" s="350">
        <f>B136</f>
        <v>0</v>
      </c>
      <c r="Z136" s="350">
        <f>C136</f>
        <v>0</v>
      </c>
      <c r="AA136" s="350">
        <f t="shared" si="164"/>
        <v>0</v>
      </c>
      <c r="AB136" s="350">
        <f>E136</f>
        <v>1072581886</v>
      </c>
      <c r="AC136" s="350">
        <f>F136</f>
        <v>1008820</v>
      </c>
      <c r="AD136" s="350">
        <f t="shared" si="166"/>
        <v>1073590706</v>
      </c>
      <c r="AE136" s="350">
        <f>H136</f>
        <v>0</v>
      </c>
      <c r="AF136" s="350">
        <f>I136</f>
        <v>0</v>
      </c>
      <c r="AG136" s="350">
        <f t="shared" si="168"/>
        <v>0</v>
      </c>
      <c r="AH136" s="350">
        <f>K136</f>
        <v>0</v>
      </c>
      <c r="AI136" s="350">
        <f>L136</f>
        <v>3349620</v>
      </c>
      <c r="AJ136" s="350">
        <f>M136</f>
        <v>0</v>
      </c>
      <c r="AK136" s="350">
        <f t="shared" si="170"/>
        <v>3349620</v>
      </c>
      <c r="AL136" s="350">
        <f>O136</f>
        <v>0</v>
      </c>
      <c r="AM136" s="350">
        <f>P136</f>
        <v>0</v>
      </c>
      <c r="AN136" s="350">
        <f>Q136</f>
        <v>0</v>
      </c>
      <c r="AO136" s="350">
        <f>SUM(AL136:AN136)</f>
        <v>0</v>
      </c>
      <c r="AP136" s="350">
        <f>S136</f>
        <v>0</v>
      </c>
      <c r="AQ136" s="350">
        <f>T136</f>
        <v>0</v>
      </c>
      <c r="AR136" s="350">
        <f>SUM(AP136:AQ136)</f>
        <v>0</v>
      </c>
      <c r="AS136" s="350">
        <f t="shared" si="158"/>
        <v>1072581886</v>
      </c>
      <c r="AT136" s="350">
        <f>AI136</f>
        <v>3349620</v>
      </c>
      <c r="AU136" s="350">
        <f>Z136+AC136+AF136+AJ136+AN136+AQ136</f>
        <v>1008820</v>
      </c>
      <c r="AV136" s="351">
        <f t="shared" si="207"/>
        <v>1076940326</v>
      </c>
      <c r="AW136" s="431">
        <f t="shared" si="140"/>
        <v>-0.13382976821626413</v>
      </c>
      <c r="AX136" s="431">
        <f t="shared" si="140"/>
        <v>-0.55469414918720461</v>
      </c>
      <c r="AY136" s="431">
        <f t="shared" si="140"/>
        <v>-2.6657365678388389E-2</v>
      </c>
      <c r="AZ136" s="431">
        <f t="shared" si="139"/>
        <v>-0.13627967057863855</v>
      </c>
    </row>
    <row r="137" spans="1:52">
      <c r="A137" s="138">
        <v>44228</v>
      </c>
      <c r="B137" s="139">
        <v>0</v>
      </c>
      <c r="C137" s="18">
        <v>0</v>
      </c>
      <c r="D137" s="18">
        <f t="shared" si="200"/>
        <v>0</v>
      </c>
      <c r="E137" s="18">
        <v>889096390</v>
      </c>
      <c r="F137" s="18">
        <v>920519</v>
      </c>
      <c r="G137" s="18">
        <f t="shared" si="201"/>
        <v>890016909</v>
      </c>
      <c r="H137" s="18">
        <v>0</v>
      </c>
      <c r="I137" s="18">
        <v>0</v>
      </c>
      <c r="J137" s="18">
        <f t="shared" si="202"/>
        <v>0</v>
      </c>
      <c r="K137" s="18">
        <v>0</v>
      </c>
      <c r="L137" s="18">
        <v>7667389</v>
      </c>
      <c r="M137" s="18">
        <v>0</v>
      </c>
      <c r="N137" s="18">
        <f t="shared" si="203"/>
        <v>7667389</v>
      </c>
      <c r="O137" s="18">
        <v>0</v>
      </c>
      <c r="P137" s="18">
        <v>0</v>
      </c>
      <c r="Q137" s="18">
        <v>0</v>
      </c>
      <c r="R137" s="18">
        <f t="shared" si="199"/>
        <v>0</v>
      </c>
      <c r="S137" s="18">
        <v>0</v>
      </c>
      <c r="T137" s="18">
        <v>0</v>
      </c>
      <c r="U137" s="18">
        <f t="shared" si="204"/>
        <v>0</v>
      </c>
      <c r="V137" s="18">
        <f t="shared" si="205"/>
        <v>889096390</v>
      </c>
      <c r="W137" s="18">
        <f t="shared" si="206"/>
        <v>920519</v>
      </c>
      <c r="X137" s="235">
        <f t="shared" si="176"/>
        <v>890016909</v>
      </c>
      <c r="Y137" s="353">
        <f t="shared" ref="Y137:Z147" si="208">Y136+B137</f>
        <v>0</v>
      </c>
      <c r="Z137" s="353">
        <f t="shared" si="208"/>
        <v>0</v>
      </c>
      <c r="AA137" s="353">
        <f t="shared" si="164"/>
        <v>0</v>
      </c>
      <c r="AB137" s="353">
        <f t="shared" ref="AB137:AC147" si="209">AB136+E137</f>
        <v>1961678276</v>
      </c>
      <c r="AC137" s="353">
        <f t="shared" si="209"/>
        <v>1929339</v>
      </c>
      <c r="AD137" s="353">
        <f t="shared" si="166"/>
        <v>1963607615</v>
      </c>
      <c r="AE137" s="353">
        <f t="shared" ref="AE137:AF147" si="210">AE136+H137</f>
        <v>0</v>
      </c>
      <c r="AF137" s="353">
        <f t="shared" si="210"/>
        <v>0</v>
      </c>
      <c r="AG137" s="353">
        <f t="shared" si="168"/>
        <v>0</v>
      </c>
      <c r="AH137" s="353">
        <f t="shared" ref="AH137:AJ147" si="211">AH136+K137</f>
        <v>0</v>
      </c>
      <c r="AI137" s="353">
        <f t="shared" si="211"/>
        <v>11017009</v>
      </c>
      <c r="AJ137" s="353">
        <f t="shared" si="211"/>
        <v>0</v>
      </c>
      <c r="AK137" s="353">
        <f t="shared" si="170"/>
        <v>11017009</v>
      </c>
      <c r="AL137" s="353">
        <f>AL136+O137</f>
        <v>0</v>
      </c>
      <c r="AM137" s="353">
        <f t="shared" ref="AM137:AN147" si="212">AM136+P137</f>
        <v>0</v>
      </c>
      <c r="AN137" s="353">
        <f t="shared" si="212"/>
        <v>0</v>
      </c>
      <c r="AO137" s="353">
        <f t="shared" ref="AO137:AO147" si="213">SUM(AL137:AN137)</f>
        <v>0</v>
      </c>
      <c r="AP137" s="353">
        <f>AP136+S137</f>
        <v>0</v>
      </c>
      <c r="AQ137" s="353">
        <f>AQ136+T137</f>
        <v>0</v>
      </c>
      <c r="AR137" s="353">
        <f>SUM(AP137:AQ137)</f>
        <v>0</v>
      </c>
      <c r="AS137" s="353">
        <f t="shared" si="158"/>
        <v>1961678276</v>
      </c>
      <c r="AT137" s="353">
        <f>AI137</f>
        <v>11017009</v>
      </c>
      <c r="AU137" s="353">
        <f>Z137+AC137+AF137+AJ137+AN137+AQ137</f>
        <v>1929339</v>
      </c>
      <c r="AV137" s="354">
        <f t="shared" si="207"/>
        <v>1974624624</v>
      </c>
      <c r="AW137" s="431">
        <f t="shared" si="140"/>
        <v>-0.17577607174490228</v>
      </c>
      <c r="AX137" s="431">
        <f t="shared" si="140"/>
        <v>-0.44405815115701863</v>
      </c>
      <c r="AY137" s="431">
        <f t="shared" si="140"/>
        <v>-6.173378054847567E-2</v>
      </c>
      <c r="AZ137" s="431">
        <f t="shared" si="139"/>
        <v>-0.17789189301293951</v>
      </c>
    </row>
    <row r="138" spans="1:52">
      <c r="A138" s="138">
        <v>44256</v>
      </c>
      <c r="B138" s="139">
        <v>0</v>
      </c>
      <c r="C138" s="18">
        <v>0</v>
      </c>
      <c r="D138" s="18">
        <f t="shared" si="200"/>
        <v>0</v>
      </c>
      <c r="E138" s="18">
        <v>1175862799</v>
      </c>
      <c r="F138" s="18">
        <v>1036534</v>
      </c>
      <c r="G138" s="18">
        <f t="shared" si="201"/>
        <v>1176899333</v>
      </c>
      <c r="H138" s="18">
        <v>0</v>
      </c>
      <c r="I138" s="18">
        <v>0</v>
      </c>
      <c r="J138" s="18">
        <f t="shared" si="202"/>
        <v>0</v>
      </c>
      <c r="K138" s="18">
        <v>0</v>
      </c>
      <c r="L138" s="18">
        <v>8247110</v>
      </c>
      <c r="M138" s="18">
        <v>0</v>
      </c>
      <c r="N138" s="18">
        <f t="shared" si="203"/>
        <v>8247110</v>
      </c>
      <c r="O138" s="18">
        <v>0</v>
      </c>
      <c r="P138" s="18">
        <v>0</v>
      </c>
      <c r="Q138" s="18">
        <v>0</v>
      </c>
      <c r="R138" s="18">
        <f t="shared" si="199"/>
        <v>0</v>
      </c>
      <c r="S138" s="18">
        <v>0</v>
      </c>
      <c r="T138" s="18">
        <v>0</v>
      </c>
      <c r="U138" s="18">
        <f t="shared" si="204"/>
        <v>0</v>
      </c>
      <c r="V138" s="18">
        <f t="shared" si="205"/>
        <v>1175862799</v>
      </c>
      <c r="W138" s="18">
        <f t="shared" si="206"/>
        <v>1036534</v>
      </c>
      <c r="X138" s="235">
        <f t="shared" si="176"/>
        <v>1176899333</v>
      </c>
      <c r="Y138" s="353">
        <f t="shared" si="208"/>
        <v>0</v>
      </c>
      <c r="Z138" s="353">
        <f t="shared" si="208"/>
        <v>0</v>
      </c>
      <c r="AA138" s="353">
        <f t="shared" si="164"/>
        <v>0</v>
      </c>
      <c r="AB138" s="353">
        <f t="shared" si="209"/>
        <v>3137541075</v>
      </c>
      <c r="AC138" s="353">
        <f t="shared" si="209"/>
        <v>2965873</v>
      </c>
      <c r="AD138" s="353">
        <f t="shared" si="166"/>
        <v>3140506948</v>
      </c>
      <c r="AE138" s="353">
        <f t="shared" si="210"/>
        <v>0</v>
      </c>
      <c r="AF138" s="353">
        <f t="shared" si="210"/>
        <v>0</v>
      </c>
      <c r="AG138" s="353">
        <f t="shared" si="168"/>
        <v>0</v>
      </c>
      <c r="AH138" s="353">
        <f t="shared" si="211"/>
        <v>0</v>
      </c>
      <c r="AI138" s="353">
        <f t="shared" si="211"/>
        <v>19264119</v>
      </c>
      <c r="AJ138" s="353">
        <f t="shared" si="211"/>
        <v>0</v>
      </c>
      <c r="AK138" s="353">
        <f t="shared" si="170"/>
        <v>19264119</v>
      </c>
      <c r="AL138" s="353">
        <f t="shared" ref="AL138:AL147" si="214">AL137+O138</f>
        <v>0</v>
      </c>
      <c r="AM138" s="353">
        <f t="shared" si="212"/>
        <v>0</v>
      </c>
      <c r="AN138" s="353">
        <f t="shared" si="212"/>
        <v>0</v>
      </c>
      <c r="AO138" s="353">
        <f t="shared" si="213"/>
        <v>0</v>
      </c>
      <c r="AP138" s="353">
        <f t="shared" ref="AP138:AQ147" si="215">AP137+S138</f>
        <v>0</v>
      </c>
      <c r="AQ138" s="353">
        <f t="shared" si="215"/>
        <v>0</v>
      </c>
      <c r="AR138" s="353">
        <f t="shared" ref="AR138:AR147" si="216">SUM(AP138:AQ138)</f>
        <v>0</v>
      </c>
      <c r="AS138" s="353">
        <f t="shared" si="158"/>
        <v>3137541075</v>
      </c>
      <c r="AT138" s="353">
        <f t="shared" ref="AT138:AT147" si="217">AI138</f>
        <v>19264119</v>
      </c>
      <c r="AU138" s="353">
        <f t="shared" ref="AU138:AU147" si="218">Z138+AC138+AF138+AJ138+AN138+AQ138</f>
        <v>2965873</v>
      </c>
      <c r="AV138" s="354">
        <f t="shared" si="207"/>
        <v>3159771067</v>
      </c>
      <c r="AW138" s="431">
        <f t="shared" si="140"/>
        <v>-0.10155614149001302</v>
      </c>
      <c r="AX138" s="431">
        <f t="shared" si="140"/>
        <v>-0.45751691503850467</v>
      </c>
      <c r="AY138" s="431">
        <f t="shared" si="140"/>
        <v>1.5232563592529891E-2</v>
      </c>
      <c r="AZ138" s="431">
        <f t="shared" si="139"/>
        <v>-0.10503975504162621</v>
      </c>
    </row>
    <row r="139" spans="1:52">
      <c r="A139" s="138">
        <v>44287</v>
      </c>
      <c r="B139" s="139">
        <v>0</v>
      </c>
      <c r="C139" s="18">
        <v>0</v>
      </c>
      <c r="D139" s="18">
        <f t="shared" si="200"/>
        <v>0</v>
      </c>
      <c r="E139" s="18">
        <v>1121341351</v>
      </c>
      <c r="F139" s="18">
        <v>1040857</v>
      </c>
      <c r="G139" s="18">
        <f t="shared" si="201"/>
        <v>1122382208</v>
      </c>
      <c r="H139" s="18">
        <v>0</v>
      </c>
      <c r="I139" s="18">
        <v>0</v>
      </c>
      <c r="J139" s="18">
        <f t="shared" si="202"/>
        <v>0</v>
      </c>
      <c r="K139" s="18">
        <v>0</v>
      </c>
      <c r="L139" s="18">
        <v>8303316</v>
      </c>
      <c r="M139" s="18">
        <v>0</v>
      </c>
      <c r="N139" s="18">
        <f t="shared" si="203"/>
        <v>8303316</v>
      </c>
      <c r="O139" s="18">
        <v>0</v>
      </c>
      <c r="P139" s="18">
        <v>0</v>
      </c>
      <c r="Q139" s="18">
        <v>0</v>
      </c>
      <c r="R139" s="18">
        <f t="shared" si="199"/>
        <v>0</v>
      </c>
      <c r="S139" s="18">
        <v>0</v>
      </c>
      <c r="T139" s="18">
        <v>0</v>
      </c>
      <c r="U139" s="18">
        <f t="shared" si="204"/>
        <v>0</v>
      </c>
      <c r="V139" s="18">
        <f t="shared" si="205"/>
        <v>1121341351</v>
      </c>
      <c r="W139" s="18">
        <f t="shared" si="206"/>
        <v>1040857</v>
      </c>
      <c r="X139" s="235">
        <f t="shared" si="176"/>
        <v>1122382208</v>
      </c>
      <c r="Y139" s="353">
        <f t="shared" si="208"/>
        <v>0</v>
      </c>
      <c r="Z139" s="353">
        <f t="shared" si="208"/>
        <v>0</v>
      </c>
      <c r="AA139" s="353">
        <f t="shared" si="164"/>
        <v>0</v>
      </c>
      <c r="AB139" s="353">
        <f t="shared" si="209"/>
        <v>4258882426</v>
      </c>
      <c r="AC139" s="353">
        <f t="shared" si="209"/>
        <v>4006730</v>
      </c>
      <c r="AD139" s="353">
        <f t="shared" si="166"/>
        <v>4262889156</v>
      </c>
      <c r="AE139" s="353">
        <f t="shared" si="210"/>
        <v>0</v>
      </c>
      <c r="AF139" s="353">
        <f t="shared" si="210"/>
        <v>0</v>
      </c>
      <c r="AG139" s="353">
        <f t="shared" si="168"/>
        <v>0</v>
      </c>
      <c r="AH139" s="353">
        <f t="shared" si="211"/>
        <v>0</v>
      </c>
      <c r="AI139" s="353">
        <f t="shared" si="211"/>
        <v>27567435</v>
      </c>
      <c r="AJ139" s="353">
        <f t="shared" si="211"/>
        <v>0</v>
      </c>
      <c r="AK139" s="353">
        <f t="shared" si="170"/>
        <v>27567435</v>
      </c>
      <c r="AL139" s="353">
        <f t="shared" si="214"/>
        <v>0</v>
      </c>
      <c r="AM139" s="353">
        <f t="shared" si="212"/>
        <v>0</v>
      </c>
      <c r="AN139" s="353">
        <f t="shared" si="212"/>
        <v>0</v>
      </c>
      <c r="AO139" s="353">
        <f t="shared" si="213"/>
        <v>0</v>
      </c>
      <c r="AP139" s="353">
        <f t="shared" si="215"/>
        <v>0</v>
      </c>
      <c r="AQ139" s="353">
        <f t="shared" si="215"/>
        <v>0</v>
      </c>
      <c r="AR139" s="353">
        <f t="shared" si="216"/>
        <v>0</v>
      </c>
      <c r="AS139" s="353">
        <f t="shared" si="158"/>
        <v>4258882426</v>
      </c>
      <c r="AT139" s="353">
        <f t="shared" si="217"/>
        <v>27567435</v>
      </c>
      <c r="AU139" s="353">
        <f t="shared" si="218"/>
        <v>4006730</v>
      </c>
      <c r="AV139" s="354">
        <f t="shared" si="207"/>
        <v>4290456591</v>
      </c>
      <c r="AW139" s="431">
        <f t="shared" si="140"/>
        <v>3.3647757420181224E-2</v>
      </c>
      <c r="AX139" s="431">
        <f t="shared" si="140"/>
        <v>-0.38848419920854904</v>
      </c>
      <c r="AY139" s="431">
        <f t="shared" si="140"/>
        <v>0.1456526599975867</v>
      </c>
      <c r="AZ139" s="431">
        <f t="shared" si="139"/>
        <v>2.9176903669230869E-2</v>
      </c>
    </row>
    <row r="140" spans="1:52">
      <c r="A140" s="138">
        <v>44317</v>
      </c>
      <c r="B140" s="139">
        <v>0</v>
      </c>
      <c r="C140" s="18">
        <v>0</v>
      </c>
      <c r="D140" s="18">
        <f t="shared" si="200"/>
        <v>0</v>
      </c>
      <c r="E140" s="18">
        <v>1249146048</v>
      </c>
      <c r="F140" s="18">
        <v>1121139</v>
      </c>
      <c r="G140" s="18">
        <f t="shared" si="201"/>
        <v>1250267187</v>
      </c>
      <c r="H140" s="18">
        <v>0</v>
      </c>
      <c r="I140" s="18">
        <v>0</v>
      </c>
      <c r="J140" s="18">
        <f t="shared" si="202"/>
        <v>0</v>
      </c>
      <c r="K140" s="18">
        <v>0</v>
      </c>
      <c r="L140" s="18">
        <v>7621057</v>
      </c>
      <c r="M140" s="18">
        <v>0</v>
      </c>
      <c r="N140" s="18">
        <f t="shared" si="203"/>
        <v>7621057</v>
      </c>
      <c r="O140" s="18">
        <v>0</v>
      </c>
      <c r="P140" s="18">
        <v>0</v>
      </c>
      <c r="Q140" s="18">
        <v>0</v>
      </c>
      <c r="R140" s="18">
        <f t="shared" si="199"/>
        <v>0</v>
      </c>
      <c r="S140" s="18">
        <v>0</v>
      </c>
      <c r="T140" s="18">
        <v>0</v>
      </c>
      <c r="U140" s="18">
        <f t="shared" si="204"/>
        <v>0</v>
      </c>
      <c r="V140" s="18">
        <f t="shared" si="205"/>
        <v>1249146048</v>
      </c>
      <c r="W140" s="18">
        <f t="shared" si="206"/>
        <v>1121139</v>
      </c>
      <c r="X140" s="235">
        <f t="shared" si="176"/>
        <v>1250267187</v>
      </c>
      <c r="Y140" s="353">
        <f t="shared" si="208"/>
        <v>0</v>
      </c>
      <c r="Z140" s="353">
        <f t="shared" si="208"/>
        <v>0</v>
      </c>
      <c r="AA140" s="353">
        <f t="shared" si="164"/>
        <v>0</v>
      </c>
      <c r="AB140" s="353">
        <f t="shared" si="209"/>
        <v>5508028474</v>
      </c>
      <c r="AC140" s="353">
        <f t="shared" si="209"/>
        <v>5127869</v>
      </c>
      <c r="AD140" s="353">
        <f t="shared" si="166"/>
        <v>5513156343</v>
      </c>
      <c r="AE140" s="353">
        <f t="shared" si="210"/>
        <v>0</v>
      </c>
      <c r="AF140" s="353">
        <f t="shared" si="210"/>
        <v>0</v>
      </c>
      <c r="AG140" s="353">
        <f t="shared" si="168"/>
        <v>0</v>
      </c>
      <c r="AH140" s="353">
        <f t="shared" si="211"/>
        <v>0</v>
      </c>
      <c r="AI140" s="353">
        <f t="shared" si="211"/>
        <v>35188492</v>
      </c>
      <c r="AJ140" s="353">
        <f t="shared" si="211"/>
        <v>0</v>
      </c>
      <c r="AK140" s="353">
        <f t="shared" si="170"/>
        <v>35188492</v>
      </c>
      <c r="AL140" s="353">
        <f t="shared" si="214"/>
        <v>0</v>
      </c>
      <c r="AM140" s="353">
        <f t="shared" si="212"/>
        <v>0</v>
      </c>
      <c r="AN140" s="353">
        <f t="shared" si="212"/>
        <v>0</v>
      </c>
      <c r="AO140" s="353">
        <f t="shared" si="213"/>
        <v>0</v>
      </c>
      <c r="AP140" s="353">
        <f t="shared" si="215"/>
        <v>0</v>
      </c>
      <c r="AQ140" s="353">
        <f t="shared" si="215"/>
        <v>0</v>
      </c>
      <c r="AR140" s="353">
        <f t="shared" si="216"/>
        <v>0</v>
      </c>
      <c r="AS140" s="353">
        <f t="shared" si="158"/>
        <v>5508028474</v>
      </c>
      <c r="AT140" s="353">
        <f t="shared" si="217"/>
        <v>35188492</v>
      </c>
      <c r="AU140" s="353">
        <f t="shared" si="218"/>
        <v>5127869</v>
      </c>
      <c r="AV140" s="354">
        <f t="shared" si="207"/>
        <v>5548344835</v>
      </c>
      <c r="AW140" s="431">
        <f t="shared" si="140"/>
        <v>0.11143813495778776</v>
      </c>
      <c r="AX140" s="431">
        <f t="shared" si="140"/>
        <v>-0.27356351092077569</v>
      </c>
      <c r="AY140" s="431">
        <f t="shared" si="140"/>
        <v>0.16536253177387117</v>
      </c>
      <c r="AZ140" s="431">
        <f t="shared" si="139"/>
        <v>0.10776203286841657</v>
      </c>
    </row>
    <row r="141" spans="1:52">
      <c r="A141" s="138">
        <v>44348</v>
      </c>
      <c r="B141" s="139">
        <v>0</v>
      </c>
      <c r="C141" s="18">
        <v>0</v>
      </c>
      <c r="D141" s="18">
        <f t="shared" si="200"/>
        <v>0</v>
      </c>
      <c r="E141" s="18">
        <v>1253638702</v>
      </c>
      <c r="F141" s="18">
        <v>1197808</v>
      </c>
      <c r="G141" s="18">
        <f t="shared" si="201"/>
        <v>1254836510</v>
      </c>
      <c r="H141" s="18">
        <v>0</v>
      </c>
      <c r="I141" s="18">
        <v>0</v>
      </c>
      <c r="J141" s="18">
        <f t="shared" si="202"/>
        <v>0</v>
      </c>
      <c r="K141" s="18">
        <v>0</v>
      </c>
      <c r="L141" s="18">
        <v>9134196</v>
      </c>
      <c r="M141" s="18">
        <v>0</v>
      </c>
      <c r="N141" s="18">
        <f t="shared" si="203"/>
        <v>9134196</v>
      </c>
      <c r="O141" s="18">
        <v>0</v>
      </c>
      <c r="P141" s="18">
        <v>0</v>
      </c>
      <c r="Q141" s="18">
        <v>0</v>
      </c>
      <c r="R141" s="18">
        <f t="shared" si="199"/>
        <v>0</v>
      </c>
      <c r="S141" s="18">
        <v>0</v>
      </c>
      <c r="T141" s="18">
        <v>0</v>
      </c>
      <c r="U141" s="18">
        <f t="shared" si="204"/>
        <v>0</v>
      </c>
      <c r="V141" s="18">
        <f t="shared" si="205"/>
        <v>1253638702</v>
      </c>
      <c r="W141" s="18">
        <f t="shared" si="206"/>
        <v>1197808</v>
      </c>
      <c r="X141" s="235">
        <f t="shared" si="176"/>
        <v>1254836510</v>
      </c>
      <c r="Y141" s="353">
        <f t="shared" si="208"/>
        <v>0</v>
      </c>
      <c r="Z141" s="353">
        <f t="shared" si="208"/>
        <v>0</v>
      </c>
      <c r="AA141" s="353">
        <f t="shared" si="164"/>
        <v>0</v>
      </c>
      <c r="AB141" s="353">
        <f t="shared" si="209"/>
        <v>6761667176</v>
      </c>
      <c r="AC141" s="353">
        <f t="shared" si="209"/>
        <v>6325677</v>
      </c>
      <c r="AD141" s="353">
        <f t="shared" si="166"/>
        <v>6767992853</v>
      </c>
      <c r="AE141" s="353">
        <f t="shared" si="210"/>
        <v>0</v>
      </c>
      <c r="AF141" s="353">
        <f t="shared" si="210"/>
        <v>0</v>
      </c>
      <c r="AG141" s="353">
        <f t="shared" si="168"/>
        <v>0</v>
      </c>
      <c r="AH141" s="353">
        <f t="shared" si="211"/>
        <v>0</v>
      </c>
      <c r="AI141" s="353">
        <f t="shared" si="211"/>
        <v>44322688</v>
      </c>
      <c r="AJ141" s="353">
        <f t="shared" si="211"/>
        <v>0</v>
      </c>
      <c r="AK141" s="353">
        <f t="shared" si="170"/>
        <v>44322688</v>
      </c>
      <c r="AL141" s="353">
        <f t="shared" si="214"/>
        <v>0</v>
      </c>
      <c r="AM141" s="353">
        <f t="shared" si="212"/>
        <v>0</v>
      </c>
      <c r="AN141" s="353">
        <f t="shared" si="212"/>
        <v>0</v>
      </c>
      <c r="AO141" s="353">
        <f t="shared" si="213"/>
        <v>0</v>
      </c>
      <c r="AP141" s="353">
        <f t="shared" si="215"/>
        <v>0</v>
      </c>
      <c r="AQ141" s="353">
        <f t="shared" si="215"/>
        <v>0</v>
      </c>
      <c r="AR141" s="353">
        <f t="shared" si="216"/>
        <v>0</v>
      </c>
      <c r="AS141" s="353">
        <f t="shared" si="158"/>
        <v>6761667176</v>
      </c>
      <c r="AT141" s="353">
        <f t="shared" si="217"/>
        <v>44322688</v>
      </c>
      <c r="AU141" s="353">
        <f t="shared" si="218"/>
        <v>6325677</v>
      </c>
      <c r="AV141" s="354">
        <f t="shared" si="207"/>
        <v>6812315541</v>
      </c>
      <c r="AW141" s="431">
        <f t="shared" si="140"/>
        <v>0.12300887920730008</v>
      </c>
      <c r="AX141" s="431">
        <f t="shared" si="140"/>
        <v>-0.16777401838401884</v>
      </c>
      <c r="AY141" s="431">
        <f t="shared" si="140"/>
        <v>0.16540171934087144</v>
      </c>
      <c r="AZ141" s="431">
        <f t="shared" si="139"/>
        <v>0.12049948280126443</v>
      </c>
    </row>
    <row r="142" spans="1:52">
      <c r="A142" s="138">
        <v>44378</v>
      </c>
      <c r="B142" s="139">
        <v>0</v>
      </c>
      <c r="C142" s="18">
        <v>0</v>
      </c>
      <c r="D142" s="18">
        <f t="shared" si="200"/>
        <v>0</v>
      </c>
      <c r="E142" s="18">
        <v>1272912460</v>
      </c>
      <c r="F142" s="18">
        <v>1270352</v>
      </c>
      <c r="G142" s="18">
        <f t="shared" si="201"/>
        <v>1274182812</v>
      </c>
      <c r="H142" s="18">
        <v>0</v>
      </c>
      <c r="I142" s="18">
        <v>0</v>
      </c>
      <c r="J142" s="18">
        <f t="shared" si="202"/>
        <v>0</v>
      </c>
      <c r="K142" s="18">
        <v>0</v>
      </c>
      <c r="L142" s="18">
        <v>297461</v>
      </c>
      <c r="M142" s="18">
        <v>0</v>
      </c>
      <c r="N142" s="18">
        <f t="shared" si="203"/>
        <v>297461</v>
      </c>
      <c r="O142" s="18">
        <v>0</v>
      </c>
      <c r="P142" s="18">
        <v>0</v>
      </c>
      <c r="Q142" s="18">
        <v>0</v>
      </c>
      <c r="R142" s="18">
        <f t="shared" si="199"/>
        <v>0</v>
      </c>
      <c r="S142" s="18">
        <v>0</v>
      </c>
      <c r="T142" s="18">
        <v>0</v>
      </c>
      <c r="U142" s="18">
        <f t="shared" si="204"/>
        <v>0</v>
      </c>
      <c r="V142" s="18">
        <f t="shared" si="205"/>
        <v>1272912460</v>
      </c>
      <c r="W142" s="18">
        <f t="shared" si="206"/>
        <v>1270352</v>
      </c>
      <c r="X142" s="235">
        <f t="shared" si="176"/>
        <v>1274182812</v>
      </c>
      <c r="Y142" s="353">
        <f t="shared" si="208"/>
        <v>0</v>
      </c>
      <c r="Z142" s="353">
        <f t="shared" si="208"/>
        <v>0</v>
      </c>
      <c r="AA142" s="353">
        <f t="shared" si="164"/>
        <v>0</v>
      </c>
      <c r="AB142" s="353">
        <f t="shared" si="209"/>
        <v>8034579636</v>
      </c>
      <c r="AC142" s="353">
        <f t="shared" si="209"/>
        <v>7596029</v>
      </c>
      <c r="AD142" s="353">
        <f t="shared" si="166"/>
        <v>8042175665</v>
      </c>
      <c r="AE142" s="353">
        <f t="shared" si="210"/>
        <v>0</v>
      </c>
      <c r="AF142" s="353">
        <f t="shared" si="210"/>
        <v>0</v>
      </c>
      <c r="AG142" s="353">
        <f t="shared" si="168"/>
        <v>0</v>
      </c>
      <c r="AH142" s="353">
        <f t="shared" si="211"/>
        <v>0</v>
      </c>
      <c r="AI142" s="353">
        <f t="shared" si="211"/>
        <v>44620149</v>
      </c>
      <c r="AJ142" s="353">
        <f t="shared" si="211"/>
        <v>0</v>
      </c>
      <c r="AK142" s="353">
        <f t="shared" si="170"/>
        <v>44620149</v>
      </c>
      <c r="AL142" s="353">
        <f t="shared" si="214"/>
        <v>0</v>
      </c>
      <c r="AM142" s="353">
        <f t="shared" si="212"/>
        <v>0</v>
      </c>
      <c r="AN142" s="353">
        <f t="shared" si="212"/>
        <v>0</v>
      </c>
      <c r="AO142" s="353">
        <f t="shared" si="213"/>
        <v>0</v>
      </c>
      <c r="AP142" s="353">
        <f t="shared" si="215"/>
        <v>0</v>
      </c>
      <c r="AQ142" s="353">
        <f t="shared" si="215"/>
        <v>0</v>
      </c>
      <c r="AR142" s="353">
        <f t="shared" si="216"/>
        <v>0</v>
      </c>
      <c r="AS142" s="353">
        <f t="shared" si="158"/>
        <v>8034579636</v>
      </c>
      <c r="AT142" s="353">
        <f t="shared" si="217"/>
        <v>44620149</v>
      </c>
      <c r="AU142" s="353">
        <f t="shared" si="218"/>
        <v>7596029</v>
      </c>
      <c r="AV142" s="354">
        <f t="shared" si="207"/>
        <v>8086795814</v>
      </c>
      <c r="AW142" s="431">
        <f t="shared" si="140"/>
        <v>0.11746122957874183</v>
      </c>
      <c r="AX142" s="431">
        <f t="shared" si="140"/>
        <v>-0.16981314867201436</v>
      </c>
      <c r="AY142" s="431">
        <f t="shared" si="140"/>
        <v>0.1563354717947929</v>
      </c>
      <c r="AZ142" s="431">
        <f t="shared" si="139"/>
        <v>0.11536687404576118</v>
      </c>
    </row>
    <row r="143" spans="1:52">
      <c r="A143" s="138">
        <v>44409</v>
      </c>
      <c r="B143" s="139">
        <v>0</v>
      </c>
      <c r="C143" s="18">
        <v>0</v>
      </c>
      <c r="D143" s="18">
        <f t="shared" si="200"/>
        <v>0</v>
      </c>
      <c r="E143" s="18">
        <v>1211315327</v>
      </c>
      <c r="F143" s="18">
        <v>958375</v>
      </c>
      <c r="G143" s="18">
        <f t="shared" si="201"/>
        <v>1212273702</v>
      </c>
      <c r="H143" s="18">
        <v>0</v>
      </c>
      <c r="I143" s="18">
        <v>0</v>
      </c>
      <c r="J143" s="18">
        <f t="shared" si="202"/>
        <v>0</v>
      </c>
      <c r="K143" s="18">
        <v>0</v>
      </c>
      <c r="L143" s="18">
        <v>2657386</v>
      </c>
      <c r="M143" s="18">
        <v>0</v>
      </c>
      <c r="N143" s="18">
        <f t="shared" si="203"/>
        <v>2657386</v>
      </c>
      <c r="O143" s="18">
        <v>0</v>
      </c>
      <c r="P143" s="18">
        <v>0</v>
      </c>
      <c r="Q143" s="18">
        <v>0</v>
      </c>
      <c r="R143" s="18">
        <f t="shared" si="199"/>
        <v>0</v>
      </c>
      <c r="S143" s="18">
        <v>0</v>
      </c>
      <c r="T143" s="18">
        <v>0</v>
      </c>
      <c r="U143" s="18">
        <f t="shared" si="204"/>
        <v>0</v>
      </c>
      <c r="V143" s="18">
        <f t="shared" si="205"/>
        <v>1211315327</v>
      </c>
      <c r="W143" s="18">
        <f t="shared" si="206"/>
        <v>958375</v>
      </c>
      <c r="X143" s="235">
        <f t="shared" si="176"/>
        <v>1212273702</v>
      </c>
      <c r="Y143" s="353">
        <f t="shared" si="208"/>
        <v>0</v>
      </c>
      <c r="Z143" s="353">
        <f t="shared" si="208"/>
        <v>0</v>
      </c>
      <c r="AA143" s="353">
        <f t="shared" si="164"/>
        <v>0</v>
      </c>
      <c r="AB143" s="353">
        <f t="shared" si="209"/>
        <v>9245894963</v>
      </c>
      <c r="AC143" s="353">
        <f t="shared" si="209"/>
        <v>8554404</v>
      </c>
      <c r="AD143" s="353">
        <f t="shared" si="166"/>
        <v>9254449367</v>
      </c>
      <c r="AE143" s="353">
        <f t="shared" si="210"/>
        <v>0</v>
      </c>
      <c r="AF143" s="353">
        <f t="shared" si="210"/>
        <v>0</v>
      </c>
      <c r="AG143" s="353">
        <f t="shared" si="168"/>
        <v>0</v>
      </c>
      <c r="AH143" s="353">
        <f t="shared" si="211"/>
        <v>0</v>
      </c>
      <c r="AI143" s="353">
        <f t="shared" si="211"/>
        <v>47277535</v>
      </c>
      <c r="AJ143" s="353">
        <f t="shared" si="211"/>
        <v>0</v>
      </c>
      <c r="AK143" s="353">
        <f t="shared" si="170"/>
        <v>47277535</v>
      </c>
      <c r="AL143" s="353">
        <f t="shared" si="214"/>
        <v>0</v>
      </c>
      <c r="AM143" s="353">
        <f t="shared" si="212"/>
        <v>0</v>
      </c>
      <c r="AN143" s="353">
        <f t="shared" si="212"/>
        <v>0</v>
      </c>
      <c r="AO143" s="353">
        <f t="shared" si="213"/>
        <v>0</v>
      </c>
      <c r="AP143" s="353">
        <f t="shared" si="215"/>
        <v>0</v>
      </c>
      <c r="AQ143" s="353">
        <f t="shared" si="215"/>
        <v>0</v>
      </c>
      <c r="AR143" s="353">
        <f t="shared" si="216"/>
        <v>0</v>
      </c>
      <c r="AS143" s="353">
        <f t="shared" si="158"/>
        <v>9245894963</v>
      </c>
      <c r="AT143" s="353">
        <f t="shared" si="217"/>
        <v>47277535</v>
      </c>
      <c r="AU143" s="353">
        <f t="shared" si="218"/>
        <v>8554404</v>
      </c>
      <c r="AV143" s="354">
        <f t="shared" si="207"/>
        <v>9301726902</v>
      </c>
      <c r="AW143" s="431">
        <f t="shared" si="140"/>
        <v>0.11198858030510728</v>
      </c>
      <c r="AX143" s="431">
        <f t="shared" si="140"/>
        <v>-0.13118918707833804</v>
      </c>
      <c r="AY143" s="431">
        <f t="shared" si="140"/>
        <v>0.10231923250041342</v>
      </c>
      <c r="AZ143" s="431">
        <f t="shared" si="140"/>
        <v>0.11039994189861679</v>
      </c>
    </row>
    <row r="144" spans="1:52">
      <c r="A144" s="138">
        <v>44440</v>
      </c>
      <c r="B144" s="139">
        <v>0</v>
      </c>
      <c r="C144" s="18">
        <v>0</v>
      </c>
      <c r="D144" s="18">
        <f t="shared" si="200"/>
        <v>0</v>
      </c>
      <c r="E144" s="18">
        <v>1149352972</v>
      </c>
      <c r="F144" s="18">
        <v>1217879</v>
      </c>
      <c r="G144" s="18">
        <f t="shared" si="201"/>
        <v>1150570851</v>
      </c>
      <c r="H144" s="18">
        <v>0</v>
      </c>
      <c r="I144" s="18">
        <v>0</v>
      </c>
      <c r="J144" s="18">
        <f t="shared" si="202"/>
        <v>0</v>
      </c>
      <c r="K144" s="18">
        <v>0</v>
      </c>
      <c r="L144" s="18">
        <v>7175485</v>
      </c>
      <c r="M144" s="18">
        <v>0</v>
      </c>
      <c r="N144" s="18">
        <f t="shared" si="203"/>
        <v>7175485</v>
      </c>
      <c r="O144" s="18">
        <v>0</v>
      </c>
      <c r="P144" s="18">
        <v>0</v>
      </c>
      <c r="Q144" s="18">
        <v>0</v>
      </c>
      <c r="R144" s="18">
        <f t="shared" si="199"/>
        <v>0</v>
      </c>
      <c r="S144" s="18">
        <v>0</v>
      </c>
      <c r="T144" s="18">
        <v>0</v>
      </c>
      <c r="U144" s="18">
        <f t="shared" si="204"/>
        <v>0</v>
      </c>
      <c r="V144" s="18">
        <f t="shared" si="205"/>
        <v>1149352972</v>
      </c>
      <c r="W144" s="18">
        <f t="shared" si="206"/>
        <v>1217879</v>
      </c>
      <c r="X144" s="235">
        <f t="shared" si="176"/>
        <v>1150570851</v>
      </c>
      <c r="Y144" s="353">
        <f t="shared" si="208"/>
        <v>0</v>
      </c>
      <c r="Z144" s="353">
        <f t="shared" si="208"/>
        <v>0</v>
      </c>
      <c r="AA144" s="353">
        <f t="shared" si="164"/>
        <v>0</v>
      </c>
      <c r="AB144" s="353">
        <f t="shared" si="209"/>
        <v>10395247935</v>
      </c>
      <c r="AC144" s="353">
        <f t="shared" si="209"/>
        <v>9772283</v>
      </c>
      <c r="AD144" s="353">
        <f t="shared" si="166"/>
        <v>10405020218</v>
      </c>
      <c r="AE144" s="353">
        <f t="shared" si="210"/>
        <v>0</v>
      </c>
      <c r="AF144" s="353">
        <f t="shared" si="210"/>
        <v>0</v>
      </c>
      <c r="AG144" s="353">
        <f t="shared" si="168"/>
        <v>0</v>
      </c>
      <c r="AH144" s="353">
        <f t="shared" si="211"/>
        <v>0</v>
      </c>
      <c r="AI144" s="353">
        <f t="shared" si="211"/>
        <v>54453020</v>
      </c>
      <c r="AJ144" s="353">
        <f t="shared" si="211"/>
        <v>0</v>
      </c>
      <c r="AK144" s="353">
        <f t="shared" si="170"/>
        <v>54453020</v>
      </c>
      <c r="AL144" s="353">
        <f t="shared" si="214"/>
        <v>0</v>
      </c>
      <c r="AM144" s="353">
        <f t="shared" si="212"/>
        <v>0</v>
      </c>
      <c r="AN144" s="353">
        <f t="shared" si="212"/>
        <v>0</v>
      </c>
      <c r="AO144" s="353">
        <f t="shared" si="213"/>
        <v>0</v>
      </c>
      <c r="AP144" s="353">
        <f t="shared" si="215"/>
        <v>0</v>
      </c>
      <c r="AQ144" s="353">
        <f t="shared" si="215"/>
        <v>0</v>
      </c>
      <c r="AR144" s="353">
        <f t="shared" si="216"/>
        <v>0</v>
      </c>
      <c r="AS144" s="353">
        <f t="shared" si="158"/>
        <v>10395247935</v>
      </c>
      <c r="AT144" s="353">
        <f t="shared" si="217"/>
        <v>54453020</v>
      </c>
      <c r="AU144" s="353">
        <f t="shared" si="218"/>
        <v>9772283</v>
      </c>
      <c r="AV144" s="354">
        <f t="shared" si="207"/>
        <v>10459473238</v>
      </c>
      <c r="AW144" s="431">
        <f t="shared" ref="AW144:AZ170" si="219">AS144/AS132-1</f>
        <v>0.10226807352323308</v>
      </c>
      <c r="AX144" s="431">
        <f t="shared" si="219"/>
        <v>-4.5770526129445765E-2</v>
      </c>
      <c r="AY144" s="431">
        <f t="shared" si="219"/>
        <v>9.5547912801754675E-2</v>
      </c>
      <c r="AZ144" s="431">
        <f t="shared" si="219"/>
        <v>0.10137221549001985</v>
      </c>
    </row>
    <row r="145" spans="1:55">
      <c r="A145" s="138">
        <v>44470</v>
      </c>
      <c r="B145" s="139">
        <v>0</v>
      </c>
      <c r="C145" s="18">
        <v>0</v>
      </c>
      <c r="D145" s="18">
        <f t="shared" si="200"/>
        <v>0</v>
      </c>
      <c r="E145" s="18">
        <v>1183784629</v>
      </c>
      <c r="F145" s="18">
        <v>1225091</v>
      </c>
      <c r="G145" s="18">
        <f t="shared" si="201"/>
        <v>1185009720</v>
      </c>
      <c r="H145" s="18">
        <v>0</v>
      </c>
      <c r="I145" s="18">
        <v>0</v>
      </c>
      <c r="J145" s="18">
        <f t="shared" si="202"/>
        <v>0</v>
      </c>
      <c r="K145" s="18">
        <v>0</v>
      </c>
      <c r="L145" s="18">
        <v>10704972</v>
      </c>
      <c r="M145" s="18">
        <v>0</v>
      </c>
      <c r="N145" s="18">
        <f t="shared" si="203"/>
        <v>10704972</v>
      </c>
      <c r="O145" s="18">
        <v>0</v>
      </c>
      <c r="P145" s="18">
        <v>0</v>
      </c>
      <c r="Q145" s="18">
        <v>0</v>
      </c>
      <c r="R145" s="18">
        <f t="shared" si="199"/>
        <v>0</v>
      </c>
      <c r="S145" s="18">
        <v>0</v>
      </c>
      <c r="T145" s="18">
        <v>0</v>
      </c>
      <c r="U145" s="18">
        <f t="shared" si="204"/>
        <v>0</v>
      </c>
      <c r="V145" s="18">
        <f t="shared" si="205"/>
        <v>1183784629</v>
      </c>
      <c r="W145" s="18">
        <f t="shared" si="206"/>
        <v>1225091</v>
      </c>
      <c r="X145" s="235">
        <f t="shared" si="176"/>
        <v>1185009720</v>
      </c>
      <c r="Y145" s="353">
        <f t="shared" si="208"/>
        <v>0</v>
      </c>
      <c r="Z145" s="353">
        <f t="shared" si="208"/>
        <v>0</v>
      </c>
      <c r="AA145" s="353">
        <f t="shared" si="164"/>
        <v>0</v>
      </c>
      <c r="AB145" s="353">
        <f t="shared" si="209"/>
        <v>11579032564</v>
      </c>
      <c r="AC145" s="353">
        <f t="shared" si="209"/>
        <v>10997374</v>
      </c>
      <c r="AD145" s="353">
        <f t="shared" si="166"/>
        <v>11590029938</v>
      </c>
      <c r="AE145" s="353">
        <f t="shared" si="210"/>
        <v>0</v>
      </c>
      <c r="AF145" s="353">
        <f t="shared" si="210"/>
        <v>0</v>
      </c>
      <c r="AG145" s="353">
        <f t="shared" si="168"/>
        <v>0</v>
      </c>
      <c r="AH145" s="353">
        <f t="shared" si="211"/>
        <v>0</v>
      </c>
      <c r="AI145" s="353">
        <f t="shared" si="211"/>
        <v>65157992</v>
      </c>
      <c r="AJ145" s="353">
        <f t="shared" si="211"/>
        <v>0</v>
      </c>
      <c r="AK145" s="353">
        <f t="shared" si="170"/>
        <v>65157992</v>
      </c>
      <c r="AL145" s="353">
        <f t="shared" si="214"/>
        <v>0</v>
      </c>
      <c r="AM145" s="353">
        <f t="shared" si="212"/>
        <v>0</v>
      </c>
      <c r="AN145" s="353">
        <f t="shared" si="212"/>
        <v>0</v>
      </c>
      <c r="AO145" s="353">
        <f t="shared" si="213"/>
        <v>0</v>
      </c>
      <c r="AP145" s="353">
        <f t="shared" si="215"/>
        <v>0</v>
      </c>
      <c r="AQ145" s="353">
        <f t="shared" si="215"/>
        <v>0</v>
      </c>
      <c r="AR145" s="353">
        <f t="shared" si="216"/>
        <v>0</v>
      </c>
      <c r="AS145" s="353">
        <f t="shared" si="158"/>
        <v>11579032564</v>
      </c>
      <c r="AT145" s="353">
        <f t="shared" si="217"/>
        <v>65157992</v>
      </c>
      <c r="AU145" s="353">
        <f t="shared" si="218"/>
        <v>10997374</v>
      </c>
      <c r="AV145" s="354">
        <f t="shared" si="207"/>
        <v>11655187930</v>
      </c>
      <c r="AW145" s="431">
        <f t="shared" si="219"/>
        <v>9.558497124563714E-2</v>
      </c>
      <c r="AX145" s="431">
        <f t="shared" si="219"/>
        <v>-1.3358143285103208E-2</v>
      </c>
      <c r="AY145" s="431">
        <f t="shared" si="219"/>
        <v>9.1764570868319906E-2</v>
      </c>
      <c r="AZ145" s="431">
        <f>AV145/AV133-1</f>
        <v>9.4905482791769247E-2</v>
      </c>
      <c r="BA145" s="234"/>
      <c r="BB145" s="234"/>
      <c r="BC145" s="234"/>
    </row>
    <row r="146" spans="1:55">
      <c r="A146" s="138">
        <v>44501</v>
      </c>
      <c r="B146" s="139">
        <v>0</v>
      </c>
      <c r="C146" s="18">
        <v>0</v>
      </c>
      <c r="D146" s="18">
        <f t="shared" si="200"/>
        <v>0</v>
      </c>
      <c r="E146" s="18">
        <v>1240293203</v>
      </c>
      <c r="F146" s="18">
        <v>1184651</v>
      </c>
      <c r="G146" s="18">
        <f t="shared" si="201"/>
        <v>1241477854</v>
      </c>
      <c r="H146" s="18">
        <v>0</v>
      </c>
      <c r="I146" s="18">
        <v>0</v>
      </c>
      <c r="J146" s="18">
        <f t="shared" si="202"/>
        <v>0</v>
      </c>
      <c r="K146" s="18">
        <v>0</v>
      </c>
      <c r="L146" s="18">
        <v>9517074</v>
      </c>
      <c r="M146" s="18">
        <v>0</v>
      </c>
      <c r="N146" s="18">
        <f t="shared" si="203"/>
        <v>9517074</v>
      </c>
      <c r="O146" s="18">
        <v>0</v>
      </c>
      <c r="P146" s="18">
        <v>0</v>
      </c>
      <c r="Q146" s="18">
        <v>0</v>
      </c>
      <c r="R146" s="18">
        <f t="shared" si="199"/>
        <v>0</v>
      </c>
      <c r="S146" s="18">
        <v>0</v>
      </c>
      <c r="T146" s="18">
        <v>0</v>
      </c>
      <c r="U146" s="18">
        <f t="shared" si="204"/>
        <v>0</v>
      </c>
      <c r="V146" s="18">
        <f t="shared" si="205"/>
        <v>1240293203</v>
      </c>
      <c r="W146" s="18">
        <f t="shared" si="206"/>
        <v>1184651</v>
      </c>
      <c r="X146" s="235">
        <f t="shared" si="176"/>
        <v>1241477854</v>
      </c>
      <c r="Y146" s="353">
        <f t="shared" si="208"/>
        <v>0</v>
      </c>
      <c r="Z146" s="353">
        <f t="shared" si="208"/>
        <v>0</v>
      </c>
      <c r="AA146" s="353">
        <f t="shared" si="164"/>
        <v>0</v>
      </c>
      <c r="AB146" s="353">
        <f t="shared" si="209"/>
        <v>12819325767</v>
      </c>
      <c r="AC146" s="353">
        <f t="shared" si="209"/>
        <v>12182025</v>
      </c>
      <c r="AD146" s="353">
        <f t="shared" si="166"/>
        <v>12831507792</v>
      </c>
      <c r="AE146" s="353">
        <f t="shared" si="210"/>
        <v>0</v>
      </c>
      <c r="AF146" s="353">
        <f t="shared" si="210"/>
        <v>0</v>
      </c>
      <c r="AG146" s="353">
        <f t="shared" si="168"/>
        <v>0</v>
      </c>
      <c r="AH146" s="353">
        <f t="shared" si="211"/>
        <v>0</v>
      </c>
      <c r="AI146" s="353">
        <f t="shared" si="211"/>
        <v>74675066</v>
      </c>
      <c r="AJ146" s="353">
        <f t="shared" si="211"/>
        <v>0</v>
      </c>
      <c r="AK146" s="353">
        <f t="shared" si="170"/>
        <v>74675066</v>
      </c>
      <c r="AL146" s="353">
        <f t="shared" si="214"/>
        <v>0</v>
      </c>
      <c r="AM146" s="353">
        <f t="shared" si="212"/>
        <v>0</v>
      </c>
      <c r="AN146" s="353">
        <f t="shared" si="212"/>
        <v>0</v>
      </c>
      <c r="AO146" s="353">
        <f t="shared" si="213"/>
        <v>0</v>
      </c>
      <c r="AP146" s="353">
        <f t="shared" si="215"/>
        <v>0</v>
      </c>
      <c r="AQ146" s="353">
        <f t="shared" si="215"/>
        <v>0</v>
      </c>
      <c r="AR146" s="353">
        <f t="shared" si="216"/>
        <v>0</v>
      </c>
      <c r="AS146" s="353">
        <f t="shared" si="158"/>
        <v>12819325767</v>
      </c>
      <c r="AT146" s="353">
        <f t="shared" si="217"/>
        <v>74675066</v>
      </c>
      <c r="AU146" s="353">
        <f t="shared" si="218"/>
        <v>12182025</v>
      </c>
      <c r="AV146" s="354">
        <f t="shared" si="207"/>
        <v>12906182858</v>
      </c>
      <c r="AW146" s="431">
        <f t="shared" si="219"/>
        <v>9.5178145763029187E-2</v>
      </c>
      <c r="AX146" s="431">
        <f t="shared" si="219"/>
        <v>7.017992248794358E-2</v>
      </c>
      <c r="AY146" s="431">
        <f t="shared" si="219"/>
        <v>0.11076467538511503</v>
      </c>
      <c r="AZ146" s="431">
        <f>AV146/AV134-1</f>
        <v>9.5044649444304463E-2</v>
      </c>
      <c r="BA146" s="234"/>
      <c r="BB146" s="234"/>
      <c r="BC146" s="234"/>
    </row>
    <row r="147" spans="1:55" ht="15.75" thickBot="1">
      <c r="A147" s="138">
        <v>44531</v>
      </c>
      <c r="B147" s="139">
        <v>0</v>
      </c>
      <c r="C147" s="18">
        <v>0</v>
      </c>
      <c r="D147" s="18">
        <f t="shared" si="200"/>
        <v>0</v>
      </c>
      <c r="E147" s="18">
        <v>1290850653</v>
      </c>
      <c r="F147" s="18">
        <v>1245454</v>
      </c>
      <c r="G147" s="18">
        <f t="shared" si="201"/>
        <v>1292096107</v>
      </c>
      <c r="H147" s="18">
        <v>0</v>
      </c>
      <c r="I147" s="18">
        <v>0</v>
      </c>
      <c r="J147" s="18">
        <f t="shared" si="202"/>
        <v>0</v>
      </c>
      <c r="K147" s="18">
        <v>0</v>
      </c>
      <c r="L147" s="18">
        <v>4542920</v>
      </c>
      <c r="M147" s="18">
        <v>0</v>
      </c>
      <c r="N147" s="18">
        <f t="shared" si="203"/>
        <v>4542920</v>
      </c>
      <c r="O147" s="18">
        <v>0</v>
      </c>
      <c r="P147" s="18">
        <v>0</v>
      </c>
      <c r="Q147" s="18">
        <v>0</v>
      </c>
      <c r="R147" s="18">
        <f t="shared" si="199"/>
        <v>0</v>
      </c>
      <c r="S147" s="18">
        <v>0</v>
      </c>
      <c r="T147" s="18">
        <v>0</v>
      </c>
      <c r="U147" s="18">
        <f t="shared" si="204"/>
        <v>0</v>
      </c>
      <c r="V147" s="18">
        <f t="shared" si="205"/>
        <v>1290850653</v>
      </c>
      <c r="W147" s="18">
        <f t="shared" si="206"/>
        <v>1245454</v>
      </c>
      <c r="X147" s="235">
        <f t="shared" si="176"/>
        <v>1292096107</v>
      </c>
      <c r="Y147" s="353">
        <f t="shared" si="208"/>
        <v>0</v>
      </c>
      <c r="Z147" s="353">
        <f t="shared" si="208"/>
        <v>0</v>
      </c>
      <c r="AA147" s="353">
        <f t="shared" si="164"/>
        <v>0</v>
      </c>
      <c r="AB147" s="353">
        <f t="shared" si="209"/>
        <v>14110176420</v>
      </c>
      <c r="AC147" s="353">
        <f t="shared" si="209"/>
        <v>13427479</v>
      </c>
      <c r="AD147" s="353">
        <f t="shared" si="166"/>
        <v>14123603899</v>
      </c>
      <c r="AE147" s="353">
        <f t="shared" si="210"/>
        <v>0</v>
      </c>
      <c r="AF147" s="353">
        <f t="shared" si="210"/>
        <v>0</v>
      </c>
      <c r="AG147" s="353">
        <f t="shared" si="168"/>
        <v>0</v>
      </c>
      <c r="AH147" s="353">
        <f t="shared" si="211"/>
        <v>0</v>
      </c>
      <c r="AI147" s="353">
        <f t="shared" si="211"/>
        <v>79217986</v>
      </c>
      <c r="AJ147" s="353">
        <f t="shared" si="211"/>
        <v>0</v>
      </c>
      <c r="AK147" s="353">
        <f t="shared" si="170"/>
        <v>79217986</v>
      </c>
      <c r="AL147" s="353">
        <f t="shared" si="214"/>
        <v>0</v>
      </c>
      <c r="AM147" s="353">
        <f t="shared" si="212"/>
        <v>0</v>
      </c>
      <c r="AN147" s="353">
        <f t="shared" si="212"/>
        <v>0</v>
      </c>
      <c r="AO147" s="353">
        <f t="shared" si="213"/>
        <v>0</v>
      </c>
      <c r="AP147" s="353">
        <f t="shared" si="215"/>
        <v>0</v>
      </c>
      <c r="AQ147" s="353">
        <f t="shared" si="215"/>
        <v>0</v>
      </c>
      <c r="AR147" s="353">
        <f t="shared" si="216"/>
        <v>0</v>
      </c>
      <c r="AS147" s="353">
        <f t="shared" si="158"/>
        <v>14110176420</v>
      </c>
      <c r="AT147" s="353">
        <f t="shared" si="217"/>
        <v>79217986</v>
      </c>
      <c r="AU147" s="353">
        <f t="shared" si="218"/>
        <v>13427479</v>
      </c>
      <c r="AV147" s="354">
        <f t="shared" si="207"/>
        <v>14202821885</v>
      </c>
      <c r="AW147" s="431">
        <f t="shared" si="219"/>
        <v>9.8478948678265787E-2</v>
      </c>
      <c r="AX147" s="431">
        <f t="shared" si="219"/>
        <v>3.8666612909517228E-2</v>
      </c>
      <c r="AY147" s="431">
        <f t="shared" si="219"/>
        <v>0.11914805091237701</v>
      </c>
      <c r="AZ147" s="431">
        <f t="shared" si="219"/>
        <v>9.8145407994133071E-2</v>
      </c>
      <c r="BA147" s="234"/>
      <c r="BB147" s="234"/>
      <c r="BC147" s="234"/>
    </row>
    <row r="148" spans="1:55">
      <c r="A148" s="141">
        <v>44562</v>
      </c>
      <c r="B148" s="142">
        <v>0</v>
      </c>
      <c r="C148" s="143">
        <v>0</v>
      </c>
      <c r="D148" s="143">
        <f t="shared" si="200"/>
        <v>0</v>
      </c>
      <c r="E148" s="143">
        <v>1206153322</v>
      </c>
      <c r="F148" s="143">
        <v>1073173</v>
      </c>
      <c r="G148" s="143">
        <f t="shared" si="201"/>
        <v>1207226495</v>
      </c>
      <c r="H148" s="143">
        <v>0</v>
      </c>
      <c r="I148" s="143">
        <v>0</v>
      </c>
      <c r="J148" s="143">
        <f t="shared" si="202"/>
        <v>0</v>
      </c>
      <c r="K148" s="143">
        <v>0</v>
      </c>
      <c r="L148" s="143">
        <v>3343975</v>
      </c>
      <c r="M148" s="143">
        <v>0</v>
      </c>
      <c r="N148" s="143">
        <f t="shared" si="203"/>
        <v>3343975</v>
      </c>
      <c r="O148" s="143">
        <v>0</v>
      </c>
      <c r="P148" s="143">
        <v>0</v>
      </c>
      <c r="Q148" s="143">
        <v>0</v>
      </c>
      <c r="R148" s="143">
        <f t="shared" si="199"/>
        <v>0</v>
      </c>
      <c r="S148" s="143">
        <v>0</v>
      </c>
      <c r="T148" s="143">
        <v>0</v>
      </c>
      <c r="U148" s="143">
        <f t="shared" si="204"/>
        <v>0</v>
      </c>
      <c r="V148" s="143">
        <f t="shared" si="205"/>
        <v>1206153322</v>
      </c>
      <c r="W148" s="143">
        <f t="shared" si="206"/>
        <v>1073173</v>
      </c>
      <c r="X148" s="237">
        <f t="shared" si="176"/>
        <v>1207226495</v>
      </c>
      <c r="Y148" s="350">
        <f>B148</f>
        <v>0</v>
      </c>
      <c r="Z148" s="350">
        <f>C148</f>
        <v>0</v>
      </c>
      <c r="AA148" s="350">
        <f t="shared" si="164"/>
        <v>0</v>
      </c>
      <c r="AB148" s="350">
        <f>E148</f>
        <v>1206153322</v>
      </c>
      <c r="AC148" s="350">
        <f>F148</f>
        <v>1073173</v>
      </c>
      <c r="AD148" s="350">
        <f t="shared" si="166"/>
        <v>1207226495</v>
      </c>
      <c r="AE148" s="350">
        <f>H148</f>
        <v>0</v>
      </c>
      <c r="AF148" s="350">
        <f>I148</f>
        <v>0</v>
      </c>
      <c r="AG148" s="350">
        <f t="shared" si="168"/>
        <v>0</v>
      </c>
      <c r="AH148" s="350">
        <f>K148</f>
        <v>0</v>
      </c>
      <c r="AI148" s="350">
        <f>L148</f>
        <v>3343975</v>
      </c>
      <c r="AJ148" s="350">
        <f>M148</f>
        <v>0</v>
      </c>
      <c r="AK148" s="350">
        <f t="shared" si="170"/>
        <v>3343975</v>
      </c>
      <c r="AL148" s="350">
        <f>O148</f>
        <v>0</v>
      </c>
      <c r="AM148" s="350">
        <f>P148</f>
        <v>0</v>
      </c>
      <c r="AN148" s="350">
        <f>Q148</f>
        <v>0</v>
      </c>
      <c r="AO148" s="350">
        <f>SUM(AL148:AN148)</f>
        <v>0</v>
      </c>
      <c r="AP148" s="350">
        <f>S148</f>
        <v>0</v>
      </c>
      <c r="AQ148" s="350">
        <f>T148</f>
        <v>0</v>
      </c>
      <c r="AR148" s="350">
        <f>SUM(AP148:AQ148)</f>
        <v>0</v>
      </c>
      <c r="AS148" s="350">
        <f t="shared" si="158"/>
        <v>1206153322</v>
      </c>
      <c r="AT148" s="350">
        <f>AI148</f>
        <v>3343975</v>
      </c>
      <c r="AU148" s="350">
        <f>Z148+AC148+AF148+AJ148+AN148+AQ148</f>
        <v>1073173</v>
      </c>
      <c r="AV148" s="351">
        <f t="shared" si="207"/>
        <v>1210570470</v>
      </c>
      <c r="AW148" s="431">
        <f t="shared" si="219"/>
        <v>0.12453262333016868</v>
      </c>
      <c r="AX148" s="431">
        <f t="shared" si="219"/>
        <v>-1.6852657913435376E-3</v>
      </c>
      <c r="AY148" s="431">
        <f t="shared" si="219"/>
        <v>6.379036894589718E-2</v>
      </c>
      <c r="AZ148" s="431">
        <f t="shared" si="219"/>
        <v>0.12408314627453176</v>
      </c>
      <c r="BA148" s="234"/>
      <c r="BB148" s="234"/>
      <c r="BC148" s="234"/>
    </row>
    <row r="149" spans="1:55">
      <c r="A149" s="138">
        <v>44593</v>
      </c>
      <c r="B149" s="139">
        <v>0</v>
      </c>
      <c r="C149" s="18">
        <v>0</v>
      </c>
      <c r="D149" s="18">
        <f t="shared" si="200"/>
        <v>0</v>
      </c>
      <c r="E149" s="18">
        <v>1065448384</v>
      </c>
      <c r="F149" s="18">
        <v>988951</v>
      </c>
      <c r="G149" s="18">
        <f t="shared" si="201"/>
        <v>1066437335</v>
      </c>
      <c r="H149" s="18">
        <v>0</v>
      </c>
      <c r="I149" s="18">
        <v>0</v>
      </c>
      <c r="J149" s="18">
        <f t="shared" si="202"/>
        <v>0</v>
      </c>
      <c r="K149" s="18">
        <v>0</v>
      </c>
      <c r="L149" s="18">
        <v>3897288</v>
      </c>
      <c r="M149" s="18">
        <v>0</v>
      </c>
      <c r="N149" s="18">
        <f t="shared" si="203"/>
        <v>3897288</v>
      </c>
      <c r="O149" s="18">
        <v>0</v>
      </c>
      <c r="P149" s="18">
        <v>0</v>
      </c>
      <c r="Q149" s="18">
        <v>0</v>
      </c>
      <c r="R149" s="18">
        <f t="shared" si="199"/>
        <v>0</v>
      </c>
      <c r="S149" s="18">
        <v>0</v>
      </c>
      <c r="T149" s="18">
        <v>0</v>
      </c>
      <c r="U149" s="18">
        <f t="shared" si="204"/>
        <v>0</v>
      </c>
      <c r="V149" s="18">
        <f t="shared" si="205"/>
        <v>1065448384</v>
      </c>
      <c r="W149" s="18">
        <f t="shared" si="206"/>
        <v>988951</v>
      </c>
      <c r="X149" s="235">
        <f t="shared" si="176"/>
        <v>1066437335</v>
      </c>
      <c r="Y149" s="353">
        <f t="shared" ref="Y149:Z159" si="220">Y148+B149</f>
        <v>0</v>
      </c>
      <c r="Z149" s="353">
        <f t="shared" si="220"/>
        <v>0</v>
      </c>
      <c r="AA149" s="353">
        <f t="shared" si="164"/>
        <v>0</v>
      </c>
      <c r="AB149" s="353">
        <f t="shared" ref="AB149:AC159" si="221">AB148+E149</f>
        <v>2271601706</v>
      </c>
      <c r="AC149" s="353">
        <f t="shared" si="221"/>
        <v>2062124</v>
      </c>
      <c r="AD149" s="353">
        <f t="shared" si="166"/>
        <v>2273663830</v>
      </c>
      <c r="AE149" s="353">
        <f t="shared" ref="AE149:AF159" si="222">AE148+H149</f>
        <v>0</v>
      </c>
      <c r="AF149" s="353">
        <f t="shared" si="222"/>
        <v>0</v>
      </c>
      <c r="AG149" s="353">
        <f t="shared" si="168"/>
        <v>0</v>
      </c>
      <c r="AH149" s="353">
        <f t="shared" ref="AH149:AJ159" si="223">AH148+K149</f>
        <v>0</v>
      </c>
      <c r="AI149" s="353">
        <f t="shared" si="223"/>
        <v>7241263</v>
      </c>
      <c r="AJ149" s="353">
        <f t="shared" si="223"/>
        <v>0</v>
      </c>
      <c r="AK149" s="353">
        <f t="shared" si="170"/>
        <v>7241263</v>
      </c>
      <c r="AL149" s="353">
        <f>AL148+O149</f>
        <v>0</v>
      </c>
      <c r="AM149" s="353">
        <f t="shared" ref="AM149:AN159" si="224">AM148+P149</f>
        <v>0</v>
      </c>
      <c r="AN149" s="353">
        <f t="shared" si="224"/>
        <v>0</v>
      </c>
      <c r="AO149" s="353">
        <f t="shared" ref="AO149:AO159" si="225">SUM(AL149:AN149)</f>
        <v>0</v>
      </c>
      <c r="AP149" s="353">
        <f>AP148+S149</f>
        <v>0</v>
      </c>
      <c r="AQ149" s="353">
        <f>AQ148+T149</f>
        <v>0</v>
      </c>
      <c r="AR149" s="353">
        <f>SUM(AP149:AQ149)</f>
        <v>0</v>
      </c>
      <c r="AS149" s="353">
        <f t="shared" si="158"/>
        <v>2271601706</v>
      </c>
      <c r="AT149" s="353">
        <f>AI149</f>
        <v>7241263</v>
      </c>
      <c r="AU149" s="353">
        <f>Z149+AC149+AF149+AJ149+AN149+AQ149</f>
        <v>2062124</v>
      </c>
      <c r="AV149" s="354">
        <f t="shared" si="207"/>
        <v>2280905093</v>
      </c>
      <c r="AW149" s="431">
        <f t="shared" si="219"/>
        <v>0.15798891887203625</v>
      </c>
      <c r="AX149" s="431">
        <f t="shared" si="219"/>
        <v>-0.3427196982411469</v>
      </c>
      <c r="AY149" s="431">
        <f t="shared" si="219"/>
        <v>6.8824089493862983E-2</v>
      </c>
      <c r="AZ149" s="431">
        <f t="shared" si="219"/>
        <v>0.1551081989343206</v>
      </c>
      <c r="BA149" s="234"/>
      <c r="BB149" s="234"/>
      <c r="BC149" s="234"/>
    </row>
    <row r="150" spans="1:55">
      <c r="A150" s="138">
        <v>44621</v>
      </c>
      <c r="B150" s="139">
        <v>0</v>
      </c>
      <c r="C150" s="18">
        <v>0</v>
      </c>
      <c r="D150" s="18">
        <f t="shared" si="200"/>
        <v>0</v>
      </c>
      <c r="E150" s="18">
        <v>1259985238</v>
      </c>
      <c r="F150" s="18">
        <v>1088289</v>
      </c>
      <c r="G150" s="18">
        <f t="shared" si="201"/>
        <v>1261073527</v>
      </c>
      <c r="H150" s="18">
        <v>0</v>
      </c>
      <c r="I150" s="18">
        <v>0</v>
      </c>
      <c r="J150" s="18">
        <f t="shared" si="202"/>
        <v>0</v>
      </c>
      <c r="K150" s="18">
        <v>0</v>
      </c>
      <c r="L150" s="18">
        <v>5755615</v>
      </c>
      <c r="M150" s="18">
        <v>0</v>
      </c>
      <c r="N150" s="18">
        <f t="shared" si="203"/>
        <v>5755615</v>
      </c>
      <c r="O150" s="18">
        <v>0</v>
      </c>
      <c r="P150" s="18">
        <v>0</v>
      </c>
      <c r="Q150" s="18">
        <v>0</v>
      </c>
      <c r="R150" s="18">
        <f t="shared" si="199"/>
        <v>0</v>
      </c>
      <c r="S150" s="18">
        <v>0</v>
      </c>
      <c r="T150" s="18">
        <v>0</v>
      </c>
      <c r="U150" s="18">
        <f t="shared" si="204"/>
        <v>0</v>
      </c>
      <c r="V150" s="18">
        <f t="shared" si="205"/>
        <v>1259985238</v>
      </c>
      <c r="W150" s="18">
        <f t="shared" si="206"/>
        <v>1088289</v>
      </c>
      <c r="X150" s="235">
        <f t="shared" si="176"/>
        <v>1261073527</v>
      </c>
      <c r="Y150" s="353">
        <f t="shared" si="220"/>
        <v>0</v>
      </c>
      <c r="Z150" s="353">
        <f t="shared" si="220"/>
        <v>0</v>
      </c>
      <c r="AA150" s="353">
        <f t="shared" si="164"/>
        <v>0</v>
      </c>
      <c r="AB150" s="353">
        <f t="shared" si="221"/>
        <v>3531586944</v>
      </c>
      <c r="AC150" s="353">
        <f t="shared" si="221"/>
        <v>3150413</v>
      </c>
      <c r="AD150" s="353">
        <f t="shared" si="166"/>
        <v>3534737357</v>
      </c>
      <c r="AE150" s="353">
        <f t="shared" si="222"/>
        <v>0</v>
      </c>
      <c r="AF150" s="353">
        <f t="shared" si="222"/>
        <v>0</v>
      </c>
      <c r="AG150" s="353">
        <f t="shared" si="168"/>
        <v>0</v>
      </c>
      <c r="AH150" s="353">
        <f t="shared" si="223"/>
        <v>0</v>
      </c>
      <c r="AI150" s="353">
        <f t="shared" si="223"/>
        <v>12996878</v>
      </c>
      <c r="AJ150" s="353">
        <f t="shared" si="223"/>
        <v>0</v>
      </c>
      <c r="AK150" s="353">
        <f t="shared" si="170"/>
        <v>12996878</v>
      </c>
      <c r="AL150" s="353">
        <f t="shared" ref="AL150:AL159" si="226">AL149+O150</f>
        <v>0</v>
      </c>
      <c r="AM150" s="353">
        <f t="shared" si="224"/>
        <v>0</v>
      </c>
      <c r="AN150" s="353">
        <f t="shared" si="224"/>
        <v>0</v>
      </c>
      <c r="AO150" s="353">
        <f t="shared" si="225"/>
        <v>0</v>
      </c>
      <c r="AP150" s="353">
        <f t="shared" ref="AP150:AQ159" si="227">AP149+S150</f>
        <v>0</v>
      </c>
      <c r="AQ150" s="353">
        <f t="shared" si="227"/>
        <v>0</v>
      </c>
      <c r="AR150" s="353">
        <f t="shared" ref="AR150:AR159" si="228">SUM(AP150:AQ150)</f>
        <v>0</v>
      </c>
      <c r="AS150" s="353">
        <f t="shared" si="158"/>
        <v>3531586944</v>
      </c>
      <c r="AT150" s="353">
        <f t="shared" ref="AT150:AT159" si="229">AI150</f>
        <v>12996878</v>
      </c>
      <c r="AU150" s="353">
        <f t="shared" ref="AU150:AU159" si="230">Z150+AC150+AF150+AJ150+AN150+AQ150</f>
        <v>3150413</v>
      </c>
      <c r="AV150" s="354">
        <f t="shared" si="207"/>
        <v>3547734235</v>
      </c>
      <c r="AW150" s="431">
        <f t="shared" si="219"/>
        <v>0.12559066465767299</v>
      </c>
      <c r="AX150" s="431">
        <f t="shared" si="219"/>
        <v>-0.32533234455206594</v>
      </c>
      <c r="AY150" s="431">
        <f t="shared" si="219"/>
        <v>6.2221140284833609E-2</v>
      </c>
      <c r="AZ150" s="431">
        <f t="shared" si="219"/>
        <v>0.12278204964018036</v>
      </c>
      <c r="BA150" s="234"/>
      <c r="BB150" s="234"/>
      <c r="BC150" s="234"/>
    </row>
    <row r="151" spans="1:55">
      <c r="A151" s="138">
        <v>44652</v>
      </c>
      <c r="B151" s="139">
        <v>0</v>
      </c>
      <c r="C151" s="18">
        <v>0</v>
      </c>
      <c r="D151" s="18">
        <f t="shared" si="200"/>
        <v>0</v>
      </c>
      <c r="E151" s="18">
        <v>1126654731</v>
      </c>
      <c r="F151" s="18">
        <v>1034253</v>
      </c>
      <c r="G151" s="18">
        <f t="shared" si="201"/>
        <v>1127688984</v>
      </c>
      <c r="H151" s="18">
        <v>0</v>
      </c>
      <c r="I151" s="18">
        <v>0</v>
      </c>
      <c r="J151" s="18">
        <f t="shared" si="202"/>
        <v>0</v>
      </c>
      <c r="K151" s="18">
        <v>0</v>
      </c>
      <c r="L151" s="18">
        <v>5195659</v>
      </c>
      <c r="M151" s="18">
        <v>0</v>
      </c>
      <c r="N151" s="18">
        <f t="shared" si="203"/>
        <v>5195659</v>
      </c>
      <c r="O151" s="18">
        <v>0</v>
      </c>
      <c r="P151" s="18">
        <v>0</v>
      </c>
      <c r="Q151" s="18">
        <v>0</v>
      </c>
      <c r="R151" s="18">
        <f t="shared" si="199"/>
        <v>0</v>
      </c>
      <c r="S151" s="18">
        <v>0</v>
      </c>
      <c r="T151" s="18">
        <v>0</v>
      </c>
      <c r="U151" s="18">
        <f t="shared" si="204"/>
        <v>0</v>
      </c>
      <c r="V151" s="18">
        <f t="shared" si="205"/>
        <v>1126654731</v>
      </c>
      <c r="W151" s="18">
        <f t="shared" si="206"/>
        <v>1034253</v>
      </c>
      <c r="X151" s="235">
        <f t="shared" si="176"/>
        <v>1127688984</v>
      </c>
      <c r="Y151" s="353">
        <f t="shared" si="220"/>
        <v>0</v>
      </c>
      <c r="Z151" s="353">
        <f t="shared" si="220"/>
        <v>0</v>
      </c>
      <c r="AA151" s="353">
        <f t="shared" si="164"/>
        <v>0</v>
      </c>
      <c r="AB151" s="353">
        <f t="shared" si="221"/>
        <v>4658241675</v>
      </c>
      <c r="AC151" s="353">
        <f t="shared" si="221"/>
        <v>4184666</v>
      </c>
      <c r="AD151" s="353">
        <f t="shared" si="166"/>
        <v>4662426341</v>
      </c>
      <c r="AE151" s="353">
        <f t="shared" si="222"/>
        <v>0</v>
      </c>
      <c r="AF151" s="353">
        <f t="shared" si="222"/>
        <v>0</v>
      </c>
      <c r="AG151" s="353">
        <f t="shared" si="168"/>
        <v>0</v>
      </c>
      <c r="AH151" s="353">
        <f t="shared" si="223"/>
        <v>0</v>
      </c>
      <c r="AI151" s="353">
        <f t="shared" si="223"/>
        <v>18192537</v>
      </c>
      <c r="AJ151" s="353">
        <f t="shared" si="223"/>
        <v>0</v>
      </c>
      <c r="AK151" s="353">
        <f t="shared" si="170"/>
        <v>18192537</v>
      </c>
      <c r="AL151" s="353">
        <f t="shared" si="226"/>
        <v>0</v>
      </c>
      <c r="AM151" s="353">
        <f t="shared" si="224"/>
        <v>0</v>
      </c>
      <c r="AN151" s="353">
        <f t="shared" si="224"/>
        <v>0</v>
      </c>
      <c r="AO151" s="353">
        <f t="shared" si="225"/>
        <v>0</v>
      </c>
      <c r="AP151" s="353">
        <f t="shared" si="227"/>
        <v>0</v>
      </c>
      <c r="AQ151" s="353">
        <f t="shared" si="227"/>
        <v>0</v>
      </c>
      <c r="AR151" s="353">
        <f t="shared" si="228"/>
        <v>0</v>
      </c>
      <c r="AS151" s="353">
        <f t="shared" si="158"/>
        <v>4658241675</v>
      </c>
      <c r="AT151" s="353">
        <f t="shared" si="229"/>
        <v>18192537</v>
      </c>
      <c r="AU151" s="353">
        <f t="shared" si="230"/>
        <v>4184666</v>
      </c>
      <c r="AV151" s="354">
        <f t="shared" si="207"/>
        <v>4680618878</v>
      </c>
      <c r="AW151" s="431">
        <f t="shared" si="219"/>
        <v>9.3770902564005221E-2</v>
      </c>
      <c r="AX151" s="431">
        <f t="shared" si="219"/>
        <v>-0.34007146475542616</v>
      </c>
      <c r="AY151" s="431">
        <f t="shared" si="219"/>
        <v>4.4409281384071297E-2</v>
      </c>
      <c r="AZ151" s="431">
        <f t="shared" si="219"/>
        <v>9.0937241462466956E-2</v>
      </c>
      <c r="BA151" s="234"/>
      <c r="BB151" s="234"/>
      <c r="BC151" s="234"/>
    </row>
    <row r="152" spans="1:55">
      <c r="A152" s="138">
        <v>44682</v>
      </c>
      <c r="B152" s="139">
        <v>0</v>
      </c>
      <c r="C152" s="18">
        <v>0</v>
      </c>
      <c r="D152" s="18">
        <f t="shared" si="200"/>
        <v>0</v>
      </c>
      <c r="E152" s="18">
        <v>1221667543</v>
      </c>
      <c r="F152" s="18">
        <v>1213156</v>
      </c>
      <c r="G152" s="18">
        <f t="shared" si="201"/>
        <v>1222880699</v>
      </c>
      <c r="H152" s="18">
        <v>0</v>
      </c>
      <c r="I152" s="18">
        <v>0</v>
      </c>
      <c r="J152" s="18">
        <f t="shared" si="202"/>
        <v>0</v>
      </c>
      <c r="K152" s="18">
        <v>0</v>
      </c>
      <c r="L152" s="18">
        <v>6307163</v>
      </c>
      <c r="M152" s="18">
        <v>0</v>
      </c>
      <c r="N152" s="18">
        <f t="shared" si="203"/>
        <v>6307163</v>
      </c>
      <c r="O152" s="18">
        <v>0</v>
      </c>
      <c r="P152" s="18">
        <v>0</v>
      </c>
      <c r="Q152" s="18">
        <v>0</v>
      </c>
      <c r="R152" s="18">
        <f t="shared" si="199"/>
        <v>0</v>
      </c>
      <c r="S152" s="18">
        <v>0</v>
      </c>
      <c r="T152" s="18">
        <v>0</v>
      </c>
      <c r="U152" s="18">
        <f t="shared" si="204"/>
        <v>0</v>
      </c>
      <c r="V152" s="18">
        <f t="shared" si="205"/>
        <v>1221667543</v>
      </c>
      <c r="W152" s="18">
        <f t="shared" si="206"/>
        <v>1213156</v>
      </c>
      <c r="X152" s="235">
        <f t="shared" si="176"/>
        <v>1222880699</v>
      </c>
      <c r="Y152" s="353">
        <f t="shared" si="220"/>
        <v>0</v>
      </c>
      <c r="Z152" s="353">
        <f t="shared" si="220"/>
        <v>0</v>
      </c>
      <c r="AA152" s="353">
        <f t="shared" si="164"/>
        <v>0</v>
      </c>
      <c r="AB152" s="353">
        <f t="shared" si="221"/>
        <v>5879909218</v>
      </c>
      <c r="AC152" s="353">
        <f t="shared" si="221"/>
        <v>5397822</v>
      </c>
      <c r="AD152" s="353">
        <f t="shared" si="166"/>
        <v>5885307040</v>
      </c>
      <c r="AE152" s="353">
        <f t="shared" si="222"/>
        <v>0</v>
      </c>
      <c r="AF152" s="353">
        <f t="shared" si="222"/>
        <v>0</v>
      </c>
      <c r="AG152" s="353">
        <f t="shared" si="168"/>
        <v>0</v>
      </c>
      <c r="AH152" s="353">
        <f t="shared" si="223"/>
        <v>0</v>
      </c>
      <c r="AI152" s="353">
        <f t="shared" si="223"/>
        <v>24499700</v>
      </c>
      <c r="AJ152" s="353">
        <f t="shared" si="223"/>
        <v>0</v>
      </c>
      <c r="AK152" s="353">
        <f t="shared" si="170"/>
        <v>24499700</v>
      </c>
      <c r="AL152" s="353">
        <f t="shared" si="226"/>
        <v>0</v>
      </c>
      <c r="AM152" s="353">
        <f t="shared" si="224"/>
        <v>0</v>
      </c>
      <c r="AN152" s="353">
        <f t="shared" si="224"/>
        <v>0</v>
      </c>
      <c r="AO152" s="353">
        <f t="shared" si="225"/>
        <v>0</v>
      </c>
      <c r="AP152" s="353">
        <f t="shared" si="227"/>
        <v>0</v>
      </c>
      <c r="AQ152" s="353">
        <f t="shared" si="227"/>
        <v>0</v>
      </c>
      <c r="AR152" s="353">
        <f t="shared" si="228"/>
        <v>0</v>
      </c>
      <c r="AS152" s="353">
        <f t="shared" si="158"/>
        <v>5879909218</v>
      </c>
      <c r="AT152" s="353">
        <f t="shared" si="229"/>
        <v>24499700</v>
      </c>
      <c r="AU152" s="353">
        <f t="shared" si="230"/>
        <v>5397822</v>
      </c>
      <c r="AV152" s="354">
        <f t="shared" si="207"/>
        <v>5909806740</v>
      </c>
      <c r="AW152" s="431">
        <f t="shared" si="219"/>
        <v>6.7516125916091241E-2</v>
      </c>
      <c r="AX152" s="431">
        <f t="shared" si="219"/>
        <v>-0.30375817184777343</v>
      </c>
      <c r="AY152" s="431">
        <f t="shared" si="219"/>
        <v>5.264428556969758E-2</v>
      </c>
      <c r="AZ152" s="431">
        <f t="shared" si="219"/>
        <v>6.514770003476178E-2</v>
      </c>
      <c r="BA152" s="234"/>
      <c r="BB152" s="234"/>
      <c r="BC152" s="234"/>
    </row>
    <row r="153" spans="1:55">
      <c r="A153" s="138">
        <v>44713</v>
      </c>
      <c r="B153" s="139">
        <v>0</v>
      </c>
      <c r="C153" s="18">
        <v>0</v>
      </c>
      <c r="D153" s="18">
        <f t="shared" si="200"/>
        <v>0</v>
      </c>
      <c r="E153" s="18">
        <v>1285218955</v>
      </c>
      <c r="F153" s="18">
        <v>1186039</v>
      </c>
      <c r="G153" s="18">
        <f t="shared" si="201"/>
        <v>1286404994</v>
      </c>
      <c r="H153" s="18">
        <v>0</v>
      </c>
      <c r="I153" s="18">
        <v>0</v>
      </c>
      <c r="J153" s="18">
        <f t="shared" si="202"/>
        <v>0</v>
      </c>
      <c r="K153" s="18">
        <v>0</v>
      </c>
      <c r="L153" s="18">
        <v>3215445</v>
      </c>
      <c r="M153" s="18">
        <v>0</v>
      </c>
      <c r="N153" s="18">
        <f t="shared" si="203"/>
        <v>3215445</v>
      </c>
      <c r="O153" s="18">
        <v>0</v>
      </c>
      <c r="P153" s="18">
        <v>0</v>
      </c>
      <c r="Q153" s="18">
        <v>0</v>
      </c>
      <c r="R153" s="18">
        <f t="shared" si="199"/>
        <v>0</v>
      </c>
      <c r="S153" s="18">
        <v>0</v>
      </c>
      <c r="T153" s="18">
        <v>0</v>
      </c>
      <c r="U153" s="18">
        <f t="shared" si="204"/>
        <v>0</v>
      </c>
      <c r="V153" s="18">
        <f t="shared" si="205"/>
        <v>1285218955</v>
      </c>
      <c r="W153" s="18">
        <f t="shared" si="206"/>
        <v>1186039</v>
      </c>
      <c r="X153" s="235">
        <f t="shared" si="176"/>
        <v>1286404994</v>
      </c>
      <c r="Y153" s="353">
        <f t="shared" si="220"/>
        <v>0</v>
      </c>
      <c r="Z153" s="353">
        <f t="shared" si="220"/>
        <v>0</v>
      </c>
      <c r="AA153" s="353">
        <f t="shared" si="164"/>
        <v>0</v>
      </c>
      <c r="AB153" s="353">
        <f t="shared" si="221"/>
        <v>7165128173</v>
      </c>
      <c r="AC153" s="353">
        <f t="shared" si="221"/>
        <v>6583861</v>
      </c>
      <c r="AD153" s="353">
        <f t="shared" si="166"/>
        <v>7171712034</v>
      </c>
      <c r="AE153" s="353">
        <f t="shared" si="222"/>
        <v>0</v>
      </c>
      <c r="AF153" s="353">
        <f t="shared" si="222"/>
        <v>0</v>
      </c>
      <c r="AG153" s="353">
        <f t="shared" si="168"/>
        <v>0</v>
      </c>
      <c r="AH153" s="353">
        <f t="shared" si="223"/>
        <v>0</v>
      </c>
      <c r="AI153" s="353">
        <f t="shared" si="223"/>
        <v>27715145</v>
      </c>
      <c r="AJ153" s="353">
        <f t="shared" si="223"/>
        <v>0</v>
      </c>
      <c r="AK153" s="353">
        <f t="shared" si="170"/>
        <v>27715145</v>
      </c>
      <c r="AL153" s="353">
        <f t="shared" si="226"/>
        <v>0</v>
      </c>
      <c r="AM153" s="353">
        <f t="shared" si="224"/>
        <v>0</v>
      </c>
      <c r="AN153" s="353">
        <f t="shared" si="224"/>
        <v>0</v>
      </c>
      <c r="AO153" s="353">
        <f t="shared" si="225"/>
        <v>0</v>
      </c>
      <c r="AP153" s="353">
        <f t="shared" si="227"/>
        <v>0</v>
      </c>
      <c r="AQ153" s="353">
        <f t="shared" si="227"/>
        <v>0</v>
      </c>
      <c r="AR153" s="353">
        <f t="shared" si="228"/>
        <v>0</v>
      </c>
      <c r="AS153" s="353">
        <f t="shared" si="158"/>
        <v>7165128173</v>
      </c>
      <c r="AT153" s="353">
        <f t="shared" si="229"/>
        <v>27715145</v>
      </c>
      <c r="AU153" s="353">
        <f t="shared" si="230"/>
        <v>6583861</v>
      </c>
      <c r="AV153" s="354">
        <f t="shared" si="207"/>
        <v>7199427179</v>
      </c>
      <c r="AW153" s="431">
        <f t="shared" si="219"/>
        <v>5.9668863683804529E-2</v>
      </c>
      <c r="AX153" s="431">
        <f t="shared" si="219"/>
        <v>-0.37469620524820157</v>
      </c>
      <c r="AY153" s="431">
        <f t="shared" si="219"/>
        <v>4.0815236060899096E-2</v>
      </c>
      <c r="AZ153" s="431">
        <f t="shared" si="219"/>
        <v>5.6825265311062578E-2</v>
      </c>
      <c r="BA153" s="234"/>
      <c r="BB153" s="234"/>
      <c r="BC153" s="234"/>
    </row>
    <row r="154" spans="1:55">
      <c r="A154" s="138">
        <v>44743</v>
      </c>
      <c r="B154" s="139">
        <v>0</v>
      </c>
      <c r="C154" s="18">
        <v>0</v>
      </c>
      <c r="D154" s="18">
        <f t="shared" si="200"/>
        <v>0</v>
      </c>
      <c r="E154" s="18">
        <v>1204369135</v>
      </c>
      <c r="F154" s="18">
        <v>1299629</v>
      </c>
      <c r="G154" s="18">
        <f t="shared" si="201"/>
        <v>1205668764</v>
      </c>
      <c r="H154" s="18">
        <v>0</v>
      </c>
      <c r="I154" s="18">
        <v>0</v>
      </c>
      <c r="J154" s="18">
        <f t="shared" si="202"/>
        <v>0</v>
      </c>
      <c r="K154" s="18">
        <v>0</v>
      </c>
      <c r="L154" s="18">
        <v>3668631</v>
      </c>
      <c r="M154" s="18">
        <v>0</v>
      </c>
      <c r="N154" s="18">
        <f t="shared" si="203"/>
        <v>3668631</v>
      </c>
      <c r="O154" s="18">
        <v>0</v>
      </c>
      <c r="P154" s="18">
        <v>0</v>
      </c>
      <c r="Q154" s="18">
        <v>0</v>
      </c>
      <c r="R154" s="18">
        <f t="shared" si="199"/>
        <v>0</v>
      </c>
      <c r="S154" s="18">
        <v>0</v>
      </c>
      <c r="T154" s="18">
        <v>0</v>
      </c>
      <c r="U154" s="18">
        <f t="shared" si="204"/>
        <v>0</v>
      </c>
      <c r="V154" s="18">
        <f t="shared" si="205"/>
        <v>1204369135</v>
      </c>
      <c r="W154" s="18">
        <f t="shared" si="206"/>
        <v>1299629</v>
      </c>
      <c r="X154" s="235">
        <f t="shared" si="176"/>
        <v>1205668764</v>
      </c>
      <c r="Y154" s="353">
        <f t="shared" si="220"/>
        <v>0</v>
      </c>
      <c r="Z154" s="353">
        <f t="shared" si="220"/>
        <v>0</v>
      </c>
      <c r="AA154" s="353">
        <f t="shared" si="164"/>
        <v>0</v>
      </c>
      <c r="AB154" s="353">
        <f t="shared" si="221"/>
        <v>8369497308</v>
      </c>
      <c r="AC154" s="353">
        <f t="shared" si="221"/>
        <v>7883490</v>
      </c>
      <c r="AD154" s="353">
        <f t="shared" si="166"/>
        <v>8377380798</v>
      </c>
      <c r="AE154" s="353">
        <f t="shared" si="222"/>
        <v>0</v>
      </c>
      <c r="AF154" s="353">
        <f t="shared" si="222"/>
        <v>0</v>
      </c>
      <c r="AG154" s="353">
        <f t="shared" si="168"/>
        <v>0</v>
      </c>
      <c r="AH154" s="353">
        <f t="shared" si="223"/>
        <v>0</v>
      </c>
      <c r="AI154" s="353">
        <f t="shared" si="223"/>
        <v>31383776</v>
      </c>
      <c r="AJ154" s="353">
        <f t="shared" si="223"/>
        <v>0</v>
      </c>
      <c r="AK154" s="353">
        <f t="shared" si="170"/>
        <v>31383776</v>
      </c>
      <c r="AL154" s="353">
        <f t="shared" si="226"/>
        <v>0</v>
      </c>
      <c r="AM154" s="353">
        <f t="shared" si="224"/>
        <v>0</v>
      </c>
      <c r="AN154" s="353">
        <f t="shared" si="224"/>
        <v>0</v>
      </c>
      <c r="AO154" s="353">
        <f t="shared" si="225"/>
        <v>0</v>
      </c>
      <c r="AP154" s="353">
        <f t="shared" si="227"/>
        <v>0</v>
      </c>
      <c r="AQ154" s="353">
        <f t="shared" si="227"/>
        <v>0</v>
      </c>
      <c r="AR154" s="353">
        <f t="shared" si="228"/>
        <v>0</v>
      </c>
      <c r="AS154" s="353">
        <f t="shared" si="158"/>
        <v>8369497308</v>
      </c>
      <c r="AT154" s="353">
        <f t="shared" si="229"/>
        <v>31383776</v>
      </c>
      <c r="AU154" s="353">
        <f t="shared" si="230"/>
        <v>7883490</v>
      </c>
      <c r="AV154" s="354">
        <f t="shared" si="207"/>
        <v>8408764574</v>
      </c>
      <c r="AW154" s="431">
        <f t="shared" si="219"/>
        <v>4.1684529517805435E-2</v>
      </c>
      <c r="AX154" s="431">
        <f t="shared" si="219"/>
        <v>-0.29664564768710211</v>
      </c>
      <c r="AY154" s="431">
        <f t="shared" si="219"/>
        <v>3.784358906475993E-2</v>
      </c>
      <c r="AZ154" s="431">
        <f t="shared" si="219"/>
        <v>3.9814132495172183E-2</v>
      </c>
      <c r="BA154" s="234"/>
      <c r="BB154" s="234"/>
      <c r="BC154" s="234"/>
    </row>
    <row r="155" spans="1:55">
      <c r="A155" s="138">
        <v>44774</v>
      </c>
      <c r="B155" s="139">
        <v>0</v>
      </c>
      <c r="C155" s="18">
        <v>0</v>
      </c>
      <c r="D155" s="18">
        <f t="shared" si="200"/>
        <v>0</v>
      </c>
      <c r="E155" s="18">
        <v>1265634580</v>
      </c>
      <c r="F155" s="18">
        <v>1330253</v>
      </c>
      <c r="G155" s="18">
        <f t="shared" si="201"/>
        <v>1266964833</v>
      </c>
      <c r="H155" s="18">
        <v>0</v>
      </c>
      <c r="I155" s="18">
        <v>0</v>
      </c>
      <c r="J155" s="18">
        <f t="shared" si="202"/>
        <v>0</v>
      </c>
      <c r="K155" s="18">
        <v>0</v>
      </c>
      <c r="L155" s="18">
        <v>1964127</v>
      </c>
      <c r="M155" s="18">
        <v>0</v>
      </c>
      <c r="N155" s="18">
        <f t="shared" si="203"/>
        <v>1964127</v>
      </c>
      <c r="O155" s="18">
        <v>0</v>
      </c>
      <c r="P155" s="18">
        <v>0</v>
      </c>
      <c r="Q155" s="18">
        <v>0</v>
      </c>
      <c r="R155" s="18">
        <f t="shared" si="199"/>
        <v>0</v>
      </c>
      <c r="S155" s="18">
        <v>0</v>
      </c>
      <c r="T155" s="18">
        <v>0</v>
      </c>
      <c r="U155" s="18">
        <f t="shared" si="204"/>
        <v>0</v>
      </c>
      <c r="V155" s="18">
        <f t="shared" si="205"/>
        <v>1265634580</v>
      </c>
      <c r="W155" s="18">
        <f t="shared" si="206"/>
        <v>1330253</v>
      </c>
      <c r="X155" s="235">
        <f t="shared" si="176"/>
        <v>1266964833</v>
      </c>
      <c r="Y155" s="353">
        <f t="shared" si="220"/>
        <v>0</v>
      </c>
      <c r="Z155" s="353">
        <f t="shared" si="220"/>
        <v>0</v>
      </c>
      <c r="AA155" s="353">
        <f t="shared" si="164"/>
        <v>0</v>
      </c>
      <c r="AB155" s="353">
        <f t="shared" si="221"/>
        <v>9635131888</v>
      </c>
      <c r="AC155" s="353">
        <f t="shared" si="221"/>
        <v>9213743</v>
      </c>
      <c r="AD155" s="353">
        <f t="shared" si="166"/>
        <v>9644345631</v>
      </c>
      <c r="AE155" s="353">
        <f t="shared" si="222"/>
        <v>0</v>
      </c>
      <c r="AF155" s="353">
        <f t="shared" si="222"/>
        <v>0</v>
      </c>
      <c r="AG155" s="353">
        <f t="shared" si="168"/>
        <v>0</v>
      </c>
      <c r="AH155" s="353">
        <f t="shared" si="223"/>
        <v>0</v>
      </c>
      <c r="AI155" s="353">
        <f t="shared" si="223"/>
        <v>33347903</v>
      </c>
      <c r="AJ155" s="353">
        <f t="shared" si="223"/>
        <v>0</v>
      </c>
      <c r="AK155" s="353">
        <f t="shared" si="170"/>
        <v>33347903</v>
      </c>
      <c r="AL155" s="353">
        <f t="shared" si="226"/>
        <v>0</v>
      </c>
      <c r="AM155" s="353">
        <f t="shared" si="224"/>
        <v>0</v>
      </c>
      <c r="AN155" s="353">
        <f t="shared" si="224"/>
        <v>0</v>
      </c>
      <c r="AO155" s="353">
        <f t="shared" si="225"/>
        <v>0</v>
      </c>
      <c r="AP155" s="353">
        <f t="shared" si="227"/>
        <v>0</v>
      </c>
      <c r="AQ155" s="353">
        <f t="shared" si="227"/>
        <v>0</v>
      </c>
      <c r="AR155" s="353">
        <f t="shared" si="228"/>
        <v>0</v>
      </c>
      <c r="AS155" s="353">
        <f t="shared" si="158"/>
        <v>9635131888</v>
      </c>
      <c r="AT155" s="353">
        <f t="shared" si="229"/>
        <v>33347903</v>
      </c>
      <c r="AU155" s="353">
        <f t="shared" si="230"/>
        <v>9213743</v>
      </c>
      <c r="AV155" s="354">
        <f t="shared" si="207"/>
        <v>9677693534</v>
      </c>
      <c r="AW155" s="431">
        <f t="shared" si="219"/>
        <v>4.2098350301148724E-2</v>
      </c>
      <c r="AX155" s="431">
        <f t="shared" si="219"/>
        <v>-0.29463532732829667</v>
      </c>
      <c r="AY155" s="431">
        <f t="shared" si="219"/>
        <v>7.707597162818125E-2</v>
      </c>
      <c r="AZ155" s="431">
        <f t="shared" si="219"/>
        <v>4.0419014228332273E-2</v>
      </c>
      <c r="BA155" s="234"/>
      <c r="BB155" s="234"/>
      <c r="BC155" s="234"/>
    </row>
    <row r="156" spans="1:55">
      <c r="A156" s="138">
        <v>44805</v>
      </c>
      <c r="B156" s="139">
        <v>0</v>
      </c>
      <c r="C156" s="18">
        <v>0</v>
      </c>
      <c r="D156" s="18">
        <f t="shared" si="200"/>
        <v>0</v>
      </c>
      <c r="E156" s="18">
        <v>1116140898</v>
      </c>
      <c r="F156" s="18">
        <v>1189662</v>
      </c>
      <c r="G156" s="18">
        <f t="shared" si="201"/>
        <v>1117330560</v>
      </c>
      <c r="H156" s="18">
        <v>0</v>
      </c>
      <c r="I156" s="18">
        <v>0</v>
      </c>
      <c r="J156" s="18">
        <f t="shared" si="202"/>
        <v>0</v>
      </c>
      <c r="K156" s="18">
        <v>0</v>
      </c>
      <c r="L156" s="18">
        <v>7728864</v>
      </c>
      <c r="M156" s="18">
        <v>0</v>
      </c>
      <c r="N156" s="18">
        <f t="shared" si="203"/>
        <v>7728864</v>
      </c>
      <c r="O156" s="18">
        <v>0</v>
      </c>
      <c r="P156" s="18">
        <v>0</v>
      </c>
      <c r="Q156" s="18">
        <v>0</v>
      </c>
      <c r="R156" s="18">
        <f t="shared" si="199"/>
        <v>0</v>
      </c>
      <c r="S156" s="18">
        <v>0</v>
      </c>
      <c r="T156" s="18">
        <v>0</v>
      </c>
      <c r="U156" s="18">
        <f t="shared" si="204"/>
        <v>0</v>
      </c>
      <c r="V156" s="18">
        <f t="shared" si="205"/>
        <v>1116140898</v>
      </c>
      <c r="W156" s="18">
        <f t="shared" si="206"/>
        <v>1189662</v>
      </c>
      <c r="X156" s="235">
        <f t="shared" si="176"/>
        <v>1117330560</v>
      </c>
      <c r="Y156" s="353">
        <f t="shared" si="220"/>
        <v>0</v>
      </c>
      <c r="Z156" s="353">
        <f t="shared" si="220"/>
        <v>0</v>
      </c>
      <c r="AA156" s="353">
        <f t="shared" si="164"/>
        <v>0</v>
      </c>
      <c r="AB156" s="353">
        <f t="shared" si="221"/>
        <v>10751272786</v>
      </c>
      <c r="AC156" s="353">
        <f t="shared" si="221"/>
        <v>10403405</v>
      </c>
      <c r="AD156" s="353">
        <f t="shared" si="166"/>
        <v>10761676191</v>
      </c>
      <c r="AE156" s="353">
        <f t="shared" si="222"/>
        <v>0</v>
      </c>
      <c r="AF156" s="353">
        <f t="shared" si="222"/>
        <v>0</v>
      </c>
      <c r="AG156" s="353">
        <f t="shared" si="168"/>
        <v>0</v>
      </c>
      <c r="AH156" s="353">
        <f t="shared" si="223"/>
        <v>0</v>
      </c>
      <c r="AI156" s="353">
        <f t="shared" si="223"/>
        <v>41076767</v>
      </c>
      <c r="AJ156" s="353">
        <f t="shared" si="223"/>
        <v>0</v>
      </c>
      <c r="AK156" s="353">
        <f t="shared" si="170"/>
        <v>41076767</v>
      </c>
      <c r="AL156" s="353">
        <f t="shared" si="226"/>
        <v>0</v>
      </c>
      <c r="AM156" s="353">
        <f t="shared" si="224"/>
        <v>0</v>
      </c>
      <c r="AN156" s="353">
        <f t="shared" si="224"/>
        <v>0</v>
      </c>
      <c r="AO156" s="353">
        <f t="shared" si="225"/>
        <v>0</v>
      </c>
      <c r="AP156" s="353">
        <f t="shared" si="227"/>
        <v>0</v>
      </c>
      <c r="AQ156" s="353">
        <f t="shared" si="227"/>
        <v>0</v>
      </c>
      <c r="AR156" s="353">
        <f t="shared" si="228"/>
        <v>0</v>
      </c>
      <c r="AS156" s="353">
        <f t="shared" si="158"/>
        <v>10751272786</v>
      </c>
      <c r="AT156" s="353">
        <f t="shared" si="229"/>
        <v>41076767</v>
      </c>
      <c r="AU156" s="353">
        <f t="shared" si="230"/>
        <v>10403405</v>
      </c>
      <c r="AV156" s="354">
        <f t="shared" si="207"/>
        <v>10802752958</v>
      </c>
      <c r="AW156" s="431">
        <f t="shared" si="219"/>
        <v>3.4248808034803346E-2</v>
      </c>
      <c r="AX156" s="431">
        <f t="shared" si="219"/>
        <v>-0.24564758759018324</v>
      </c>
      <c r="AY156" s="431">
        <f t="shared" si="219"/>
        <v>6.4582861548319936E-2</v>
      </c>
      <c r="AZ156" s="431">
        <f t="shared" si="219"/>
        <v>3.2819981674874432E-2</v>
      </c>
      <c r="BA156" s="234"/>
      <c r="BB156" s="234"/>
      <c r="BC156" s="234"/>
    </row>
    <row r="157" spans="1:55">
      <c r="A157" s="138">
        <v>44835</v>
      </c>
      <c r="B157" s="139">
        <v>0</v>
      </c>
      <c r="C157" s="18">
        <v>0</v>
      </c>
      <c r="D157" s="18">
        <f t="shared" si="200"/>
        <v>0</v>
      </c>
      <c r="E157" s="18">
        <v>1214405352</v>
      </c>
      <c r="F157" s="18">
        <v>1222050</v>
      </c>
      <c r="G157" s="18">
        <f t="shared" si="201"/>
        <v>1215627402</v>
      </c>
      <c r="H157" s="18">
        <v>0</v>
      </c>
      <c r="I157" s="18">
        <v>0</v>
      </c>
      <c r="J157" s="18">
        <f t="shared" si="202"/>
        <v>0</v>
      </c>
      <c r="K157" s="18">
        <v>0</v>
      </c>
      <c r="L157" s="18">
        <v>13115811</v>
      </c>
      <c r="M157" s="18">
        <v>0</v>
      </c>
      <c r="N157" s="18">
        <f t="shared" si="203"/>
        <v>13115811</v>
      </c>
      <c r="O157" s="18">
        <v>0</v>
      </c>
      <c r="P157" s="18">
        <v>0</v>
      </c>
      <c r="Q157" s="18">
        <v>0</v>
      </c>
      <c r="R157" s="18">
        <f t="shared" si="199"/>
        <v>0</v>
      </c>
      <c r="S157" s="18">
        <v>0</v>
      </c>
      <c r="T157" s="18">
        <v>0</v>
      </c>
      <c r="U157" s="18">
        <f t="shared" si="204"/>
        <v>0</v>
      </c>
      <c r="V157" s="18">
        <f t="shared" si="205"/>
        <v>1214405352</v>
      </c>
      <c r="W157" s="18">
        <f t="shared" si="206"/>
        <v>1222050</v>
      </c>
      <c r="X157" s="235">
        <f t="shared" si="176"/>
        <v>1215627402</v>
      </c>
      <c r="Y157" s="353">
        <f t="shared" si="220"/>
        <v>0</v>
      </c>
      <c r="Z157" s="353">
        <f t="shared" si="220"/>
        <v>0</v>
      </c>
      <c r="AA157" s="353">
        <f t="shared" si="164"/>
        <v>0</v>
      </c>
      <c r="AB157" s="353">
        <f t="shared" si="221"/>
        <v>11965678138</v>
      </c>
      <c r="AC157" s="353">
        <f t="shared" si="221"/>
        <v>11625455</v>
      </c>
      <c r="AD157" s="353">
        <f t="shared" si="166"/>
        <v>11977303593</v>
      </c>
      <c r="AE157" s="353">
        <f t="shared" si="222"/>
        <v>0</v>
      </c>
      <c r="AF157" s="353">
        <f t="shared" si="222"/>
        <v>0</v>
      </c>
      <c r="AG157" s="353">
        <f t="shared" si="168"/>
        <v>0</v>
      </c>
      <c r="AH157" s="353">
        <f t="shared" si="223"/>
        <v>0</v>
      </c>
      <c r="AI157" s="353">
        <f t="shared" si="223"/>
        <v>54192578</v>
      </c>
      <c r="AJ157" s="353">
        <f t="shared" si="223"/>
        <v>0</v>
      </c>
      <c r="AK157" s="353">
        <f t="shared" si="170"/>
        <v>54192578</v>
      </c>
      <c r="AL157" s="353">
        <f t="shared" si="226"/>
        <v>0</v>
      </c>
      <c r="AM157" s="353">
        <f t="shared" si="224"/>
        <v>0</v>
      </c>
      <c r="AN157" s="353">
        <f t="shared" si="224"/>
        <v>0</v>
      </c>
      <c r="AO157" s="353">
        <f t="shared" si="225"/>
        <v>0</v>
      </c>
      <c r="AP157" s="353">
        <f t="shared" si="227"/>
        <v>0</v>
      </c>
      <c r="AQ157" s="353">
        <f t="shared" si="227"/>
        <v>0</v>
      </c>
      <c r="AR157" s="353">
        <f t="shared" si="228"/>
        <v>0</v>
      </c>
      <c r="AS157" s="353">
        <f t="shared" si="158"/>
        <v>11965678138</v>
      </c>
      <c r="AT157" s="353">
        <f t="shared" si="229"/>
        <v>54192578</v>
      </c>
      <c r="AU157" s="353">
        <f t="shared" si="230"/>
        <v>11625455</v>
      </c>
      <c r="AV157" s="354">
        <f t="shared" si="207"/>
        <v>12031496171</v>
      </c>
      <c r="AW157" s="431">
        <f t="shared" si="219"/>
        <v>3.3391872063829098E-2</v>
      </c>
      <c r="AX157" s="431">
        <f t="shared" si="219"/>
        <v>-0.16828962439480943</v>
      </c>
      <c r="AY157" s="431">
        <f t="shared" si="219"/>
        <v>5.7111906897046483E-2</v>
      </c>
      <c r="AZ157" s="431">
        <f t="shared" si="219"/>
        <v>3.2286758760139422E-2</v>
      </c>
      <c r="BA157" s="234"/>
      <c r="BB157" s="234"/>
      <c r="BC157" s="234"/>
    </row>
    <row r="158" spans="1:55">
      <c r="A158" s="138">
        <v>44866</v>
      </c>
      <c r="B158" s="139">
        <v>0</v>
      </c>
      <c r="C158" s="18">
        <v>0</v>
      </c>
      <c r="D158" s="18">
        <f t="shared" si="200"/>
        <v>0</v>
      </c>
      <c r="E158" s="18">
        <v>1250759684</v>
      </c>
      <c r="F158" s="18">
        <v>1189598</v>
      </c>
      <c r="G158" s="18">
        <f t="shared" si="201"/>
        <v>1251949282</v>
      </c>
      <c r="H158" s="18">
        <v>0</v>
      </c>
      <c r="I158" s="18">
        <v>0</v>
      </c>
      <c r="J158" s="18">
        <f t="shared" si="202"/>
        <v>0</v>
      </c>
      <c r="K158" s="18">
        <v>0</v>
      </c>
      <c r="L158" s="18">
        <v>9848391</v>
      </c>
      <c r="M158" s="18">
        <v>0</v>
      </c>
      <c r="N158" s="18">
        <f t="shared" si="203"/>
        <v>9848391</v>
      </c>
      <c r="O158" s="18">
        <v>0</v>
      </c>
      <c r="P158" s="18">
        <v>0</v>
      </c>
      <c r="Q158" s="18">
        <v>0</v>
      </c>
      <c r="R158" s="18">
        <f t="shared" si="199"/>
        <v>0</v>
      </c>
      <c r="S158" s="18">
        <v>0</v>
      </c>
      <c r="T158" s="18">
        <v>0</v>
      </c>
      <c r="U158" s="18">
        <f t="shared" si="204"/>
        <v>0</v>
      </c>
      <c r="V158" s="18">
        <f t="shared" si="205"/>
        <v>1250759684</v>
      </c>
      <c r="W158" s="18">
        <f t="shared" si="206"/>
        <v>1189598</v>
      </c>
      <c r="X158" s="235">
        <f t="shared" si="176"/>
        <v>1251949282</v>
      </c>
      <c r="Y158" s="353">
        <f t="shared" si="220"/>
        <v>0</v>
      </c>
      <c r="Z158" s="353">
        <f t="shared" si="220"/>
        <v>0</v>
      </c>
      <c r="AA158" s="353">
        <f t="shared" si="164"/>
        <v>0</v>
      </c>
      <c r="AB158" s="353">
        <f t="shared" si="221"/>
        <v>13216437822</v>
      </c>
      <c r="AC158" s="353">
        <f t="shared" si="221"/>
        <v>12815053</v>
      </c>
      <c r="AD158" s="353">
        <f t="shared" si="166"/>
        <v>13229252875</v>
      </c>
      <c r="AE158" s="353">
        <f t="shared" si="222"/>
        <v>0</v>
      </c>
      <c r="AF158" s="353">
        <f t="shared" si="222"/>
        <v>0</v>
      </c>
      <c r="AG158" s="353">
        <f t="shared" si="168"/>
        <v>0</v>
      </c>
      <c r="AH158" s="353">
        <f t="shared" si="223"/>
        <v>0</v>
      </c>
      <c r="AI158" s="353">
        <f t="shared" si="223"/>
        <v>64040969</v>
      </c>
      <c r="AJ158" s="353">
        <f t="shared" si="223"/>
        <v>0</v>
      </c>
      <c r="AK158" s="353">
        <f t="shared" si="170"/>
        <v>64040969</v>
      </c>
      <c r="AL158" s="353">
        <f t="shared" si="226"/>
        <v>0</v>
      </c>
      <c r="AM158" s="353">
        <f t="shared" si="224"/>
        <v>0</v>
      </c>
      <c r="AN158" s="353">
        <f t="shared" si="224"/>
        <v>0</v>
      </c>
      <c r="AO158" s="353">
        <f t="shared" si="225"/>
        <v>0</v>
      </c>
      <c r="AP158" s="353">
        <f t="shared" si="227"/>
        <v>0</v>
      </c>
      <c r="AQ158" s="353">
        <f t="shared" si="227"/>
        <v>0</v>
      </c>
      <c r="AR158" s="353">
        <f t="shared" si="228"/>
        <v>0</v>
      </c>
      <c r="AS158" s="353">
        <f t="shared" ref="AS158:AS167" si="231">Y158+AB158+AE158+AH158+AL158+AP158</f>
        <v>13216437822</v>
      </c>
      <c r="AT158" s="353">
        <f t="shared" si="229"/>
        <v>64040969</v>
      </c>
      <c r="AU158" s="353">
        <f t="shared" si="230"/>
        <v>12815053</v>
      </c>
      <c r="AV158" s="354">
        <f t="shared" si="207"/>
        <v>13293293844</v>
      </c>
      <c r="AW158" s="431">
        <f t="shared" si="219"/>
        <v>3.0977608512162247E-2</v>
      </c>
      <c r="AX158" s="431">
        <f t="shared" si="219"/>
        <v>-0.14240492268195648</v>
      </c>
      <c r="AY158" s="431">
        <f t="shared" si="219"/>
        <v>5.1964102848253813E-2</v>
      </c>
      <c r="AZ158" s="431">
        <f t="shared" si="219"/>
        <v>2.9994227593021172E-2</v>
      </c>
      <c r="BA158" s="234"/>
      <c r="BB158" s="234"/>
      <c r="BC158" s="234"/>
    </row>
    <row r="159" spans="1:55" ht="15.75" thickBot="1">
      <c r="A159" s="138">
        <v>44896</v>
      </c>
      <c r="B159" s="139">
        <v>0</v>
      </c>
      <c r="C159" s="18">
        <v>0</v>
      </c>
      <c r="D159" s="18">
        <f t="shared" si="200"/>
        <v>0</v>
      </c>
      <c r="E159" s="18">
        <v>1192963159</v>
      </c>
      <c r="F159" s="18">
        <v>1287796</v>
      </c>
      <c r="G159" s="18">
        <f t="shared" si="201"/>
        <v>1194250955</v>
      </c>
      <c r="H159" s="18">
        <v>0</v>
      </c>
      <c r="I159" s="18">
        <v>0</v>
      </c>
      <c r="J159" s="18">
        <f t="shared" si="202"/>
        <v>0</v>
      </c>
      <c r="K159" s="18">
        <v>0</v>
      </c>
      <c r="L159" s="18">
        <v>10921396</v>
      </c>
      <c r="M159" s="18">
        <v>0</v>
      </c>
      <c r="N159" s="18">
        <f t="shared" si="203"/>
        <v>10921396</v>
      </c>
      <c r="O159" s="18">
        <v>0</v>
      </c>
      <c r="P159" s="18">
        <v>0</v>
      </c>
      <c r="Q159" s="18">
        <v>0</v>
      </c>
      <c r="R159" s="18">
        <f t="shared" si="199"/>
        <v>0</v>
      </c>
      <c r="S159" s="18">
        <v>0</v>
      </c>
      <c r="T159" s="18">
        <v>0</v>
      </c>
      <c r="U159" s="18">
        <f t="shared" si="204"/>
        <v>0</v>
      </c>
      <c r="V159" s="18">
        <f t="shared" si="205"/>
        <v>1192963159</v>
      </c>
      <c r="W159" s="18">
        <f t="shared" si="206"/>
        <v>1287796</v>
      </c>
      <c r="X159" s="235">
        <f t="shared" si="176"/>
        <v>1194250955</v>
      </c>
      <c r="Y159" s="353">
        <f t="shared" si="220"/>
        <v>0</v>
      </c>
      <c r="Z159" s="353">
        <f t="shared" si="220"/>
        <v>0</v>
      </c>
      <c r="AA159" s="353">
        <f t="shared" si="164"/>
        <v>0</v>
      </c>
      <c r="AB159" s="353">
        <f t="shared" si="221"/>
        <v>14409400981</v>
      </c>
      <c r="AC159" s="353">
        <f t="shared" si="221"/>
        <v>14102849</v>
      </c>
      <c r="AD159" s="353">
        <f t="shared" si="166"/>
        <v>14423503830</v>
      </c>
      <c r="AE159" s="353">
        <f t="shared" si="222"/>
        <v>0</v>
      </c>
      <c r="AF159" s="353">
        <f t="shared" si="222"/>
        <v>0</v>
      </c>
      <c r="AG159" s="353">
        <f t="shared" si="168"/>
        <v>0</v>
      </c>
      <c r="AH159" s="353">
        <f t="shared" si="223"/>
        <v>0</v>
      </c>
      <c r="AI159" s="353">
        <f t="shared" si="223"/>
        <v>74962365</v>
      </c>
      <c r="AJ159" s="353">
        <f t="shared" si="223"/>
        <v>0</v>
      </c>
      <c r="AK159" s="353">
        <f t="shared" si="170"/>
        <v>74962365</v>
      </c>
      <c r="AL159" s="353">
        <f t="shared" si="226"/>
        <v>0</v>
      </c>
      <c r="AM159" s="353">
        <f t="shared" si="224"/>
        <v>0</v>
      </c>
      <c r="AN159" s="353">
        <f t="shared" si="224"/>
        <v>0</v>
      </c>
      <c r="AO159" s="353">
        <f t="shared" si="225"/>
        <v>0</v>
      </c>
      <c r="AP159" s="353">
        <f t="shared" si="227"/>
        <v>0</v>
      </c>
      <c r="AQ159" s="353">
        <f t="shared" si="227"/>
        <v>0</v>
      </c>
      <c r="AR159" s="353">
        <f t="shared" si="228"/>
        <v>0</v>
      </c>
      <c r="AS159" s="353">
        <f t="shared" si="231"/>
        <v>14409400981</v>
      </c>
      <c r="AT159" s="353">
        <f t="shared" si="229"/>
        <v>74962365</v>
      </c>
      <c r="AU159" s="353">
        <f t="shared" si="230"/>
        <v>14102849</v>
      </c>
      <c r="AV159" s="354">
        <f t="shared" si="207"/>
        <v>14498466195</v>
      </c>
      <c r="AW159" s="431">
        <f t="shared" si="219"/>
        <v>2.1206294811160209E-2</v>
      </c>
      <c r="AX159" s="431">
        <f t="shared" si="219"/>
        <v>-5.3720388700616573E-2</v>
      </c>
      <c r="AY159" s="431">
        <f t="shared" si="219"/>
        <v>5.0297602401761399E-2</v>
      </c>
      <c r="AZ159" s="431">
        <f t="shared" si="219"/>
        <v>2.081588520885691E-2</v>
      </c>
      <c r="BA159" s="234"/>
      <c r="BB159" s="577" t="s">
        <v>533</v>
      </c>
      <c r="BC159" s="577"/>
    </row>
    <row r="160" spans="1:55">
      <c r="A160" s="141">
        <v>44927</v>
      </c>
      <c r="B160" s="142">
        <v>0</v>
      </c>
      <c r="C160" s="143">
        <v>0</v>
      </c>
      <c r="D160" s="143">
        <f t="shared" si="200"/>
        <v>0</v>
      </c>
      <c r="E160" s="143">
        <v>1200969763</v>
      </c>
      <c r="F160" s="143">
        <v>93242</v>
      </c>
      <c r="G160" s="143">
        <f t="shared" si="201"/>
        <v>1201063005</v>
      </c>
      <c r="H160" s="143">
        <v>0</v>
      </c>
      <c r="I160" s="143">
        <v>0</v>
      </c>
      <c r="J160" s="143">
        <f t="shared" si="202"/>
        <v>0</v>
      </c>
      <c r="K160" s="143">
        <v>0</v>
      </c>
      <c r="L160" s="143">
        <v>8617057</v>
      </c>
      <c r="M160" s="143">
        <v>0</v>
      </c>
      <c r="N160" s="143">
        <f t="shared" si="203"/>
        <v>8617057</v>
      </c>
      <c r="O160" s="143">
        <v>0</v>
      </c>
      <c r="P160" s="143">
        <v>0</v>
      </c>
      <c r="Q160" s="143">
        <v>0</v>
      </c>
      <c r="R160" s="143">
        <f t="shared" si="199"/>
        <v>0</v>
      </c>
      <c r="S160" s="143">
        <v>0</v>
      </c>
      <c r="T160" s="143">
        <v>0</v>
      </c>
      <c r="U160" s="143">
        <f t="shared" si="204"/>
        <v>0</v>
      </c>
      <c r="V160" s="143">
        <f t="shared" si="205"/>
        <v>1200969763</v>
      </c>
      <c r="W160" s="143">
        <f t="shared" si="206"/>
        <v>93242</v>
      </c>
      <c r="X160" s="237">
        <f t="shared" si="176"/>
        <v>1201063005</v>
      </c>
      <c r="Y160" s="350">
        <f>B160</f>
        <v>0</v>
      </c>
      <c r="Z160" s="350">
        <f>C160</f>
        <v>0</v>
      </c>
      <c r="AA160" s="350">
        <f t="shared" si="164"/>
        <v>0</v>
      </c>
      <c r="AB160" s="350">
        <f>E160</f>
        <v>1200969763</v>
      </c>
      <c r="AC160" s="350">
        <f>F160</f>
        <v>93242</v>
      </c>
      <c r="AD160" s="350">
        <f t="shared" si="166"/>
        <v>1201063005</v>
      </c>
      <c r="AE160" s="350">
        <f>H160</f>
        <v>0</v>
      </c>
      <c r="AF160" s="350">
        <f>I160</f>
        <v>0</v>
      </c>
      <c r="AG160" s="350">
        <f t="shared" si="168"/>
        <v>0</v>
      </c>
      <c r="AH160" s="350">
        <f>K160</f>
        <v>0</v>
      </c>
      <c r="AI160" s="350">
        <f>L160</f>
        <v>8617057</v>
      </c>
      <c r="AJ160" s="350">
        <f>M160</f>
        <v>0</v>
      </c>
      <c r="AK160" s="350">
        <f t="shared" si="170"/>
        <v>8617057</v>
      </c>
      <c r="AL160" s="350">
        <f>O160</f>
        <v>0</v>
      </c>
      <c r="AM160" s="350">
        <f>P160</f>
        <v>0</v>
      </c>
      <c r="AN160" s="350">
        <f>Q160</f>
        <v>0</v>
      </c>
      <c r="AO160" s="350">
        <f>SUM(AL160:AN160)</f>
        <v>0</v>
      </c>
      <c r="AP160" s="350">
        <f>S160</f>
        <v>0</v>
      </c>
      <c r="AQ160" s="350">
        <f>T160</f>
        <v>0</v>
      </c>
      <c r="AR160" s="350">
        <f>SUM(AP160:AQ160)</f>
        <v>0</v>
      </c>
      <c r="AS160" s="350">
        <f t="shared" si="231"/>
        <v>1200969763</v>
      </c>
      <c r="AT160" s="350">
        <f>AI160</f>
        <v>8617057</v>
      </c>
      <c r="AU160" s="350">
        <f>Z160+AC160+AF160+AJ160+AN160+AQ160</f>
        <v>93242</v>
      </c>
      <c r="AV160" s="351">
        <f t="shared" si="207"/>
        <v>1209680062</v>
      </c>
      <c r="AW160" s="431">
        <f t="shared" si="219"/>
        <v>-4.2975954262637339E-3</v>
      </c>
      <c r="AX160" s="431">
        <f t="shared" si="219"/>
        <v>1.5768903774699274</v>
      </c>
      <c r="AY160" s="431">
        <f t="shared" si="219"/>
        <v>-0.91311559273295173</v>
      </c>
      <c r="AZ160" s="431">
        <f t="shared" si="219"/>
        <v>-7.3552760625328339E-4</v>
      </c>
      <c r="BA160" s="234"/>
      <c r="BB160" s="18">
        <f>AV160-BC160</f>
        <v>0</v>
      </c>
      <c r="BC160" s="353">
        <v>1209680062</v>
      </c>
    </row>
    <row r="161" spans="1:55">
      <c r="A161" s="138">
        <v>44958</v>
      </c>
      <c r="B161" s="139">
        <v>0</v>
      </c>
      <c r="C161" s="18">
        <v>0</v>
      </c>
      <c r="D161" s="18">
        <f t="shared" si="200"/>
        <v>0</v>
      </c>
      <c r="E161" s="18">
        <v>1118067955</v>
      </c>
      <c r="F161" s="18">
        <v>1100346</v>
      </c>
      <c r="G161" s="18">
        <f t="shared" si="201"/>
        <v>1119168301</v>
      </c>
      <c r="H161" s="18">
        <v>0</v>
      </c>
      <c r="I161" s="18">
        <v>0</v>
      </c>
      <c r="J161" s="18">
        <f t="shared" si="202"/>
        <v>0</v>
      </c>
      <c r="K161" s="18">
        <v>0</v>
      </c>
      <c r="L161" s="18">
        <v>6479058</v>
      </c>
      <c r="M161" s="18">
        <v>0</v>
      </c>
      <c r="N161" s="18">
        <f t="shared" si="203"/>
        <v>6479058</v>
      </c>
      <c r="O161" s="18">
        <v>0</v>
      </c>
      <c r="P161" s="18">
        <v>0</v>
      </c>
      <c r="Q161" s="18">
        <v>0</v>
      </c>
      <c r="R161" s="18">
        <f t="shared" si="199"/>
        <v>0</v>
      </c>
      <c r="S161" s="18">
        <v>0</v>
      </c>
      <c r="T161" s="18">
        <v>0</v>
      </c>
      <c r="U161" s="18">
        <f t="shared" si="204"/>
        <v>0</v>
      </c>
      <c r="V161" s="18">
        <f t="shared" si="205"/>
        <v>1118067955</v>
      </c>
      <c r="W161" s="18">
        <f t="shared" si="206"/>
        <v>1100346</v>
      </c>
      <c r="X161" s="235">
        <f t="shared" si="176"/>
        <v>1119168301</v>
      </c>
      <c r="Y161" s="353">
        <f t="shared" ref="Y161:Z171" si="232">Y160+B161</f>
        <v>0</v>
      </c>
      <c r="Z161" s="353">
        <f t="shared" si="232"/>
        <v>0</v>
      </c>
      <c r="AA161" s="353">
        <f t="shared" si="164"/>
        <v>0</v>
      </c>
      <c r="AB161" s="353">
        <f t="shared" ref="AB161:AC171" si="233">AB160+E161</f>
        <v>2319037718</v>
      </c>
      <c r="AC161" s="353">
        <f t="shared" si="233"/>
        <v>1193588</v>
      </c>
      <c r="AD161" s="353">
        <f t="shared" si="166"/>
        <v>2320231306</v>
      </c>
      <c r="AE161" s="353">
        <f t="shared" ref="AE161:AF171" si="234">AE160+H161</f>
        <v>0</v>
      </c>
      <c r="AF161" s="353">
        <f t="shared" si="234"/>
        <v>0</v>
      </c>
      <c r="AG161" s="353">
        <f t="shared" si="168"/>
        <v>0</v>
      </c>
      <c r="AH161" s="353">
        <f t="shared" ref="AH161:AJ171" si="235">AH160+K161</f>
        <v>0</v>
      </c>
      <c r="AI161" s="353">
        <f t="shared" si="235"/>
        <v>15096115</v>
      </c>
      <c r="AJ161" s="353">
        <f t="shared" si="235"/>
        <v>0</v>
      </c>
      <c r="AK161" s="353">
        <f t="shared" si="170"/>
        <v>15096115</v>
      </c>
      <c r="AL161" s="353">
        <f>AL160+O161</f>
        <v>0</v>
      </c>
      <c r="AM161" s="353">
        <f t="shared" ref="AM161:AN171" si="236">AM160+P161</f>
        <v>0</v>
      </c>
      <c r="AN161" s="353">
        <f t="shared" si="236"/>
        <v>0</v>
      </c>
      <c r="AO161" s="353">
        <f t="shared" ref="AO161:AO171" si="237">SUM(AL161:AN161)</f>
        <v>0</v>
      </c>
      <c r="AP161" s="353">
        <f>AP160+S161</f>
        <v>0</v>
      </c>
      <c r="AQ161" s="353">
        <f>AQ160+T161</f>
        <v>0</v>
      </c>
      <c r="AR161" s="353">
        <f>SUM(AP161:AQ161)</f>
        <v>0</v>
      </c>
      <c r="AS161" s="353">
        <f t="shared" si="231"/>
        <v>2319037718</v>
      </c>
      <c r="AT161" s="353">
        <f>AI161</f>
        <v>15096115</v>
      </c>
      <c r="AU161" s="353">
        <f>Z161+AC161+AF161+AJ161+AN161+AQ161</f>
        <v>1193588</v>
      </c>
      <c r="AV161" s="354">
        <f t="shared" si="207"/>
        <v>2335327421</v>
      </c>
      <c r="AW161" s="431">
        <f t="shared" si="219"/>
        <v>2.0882187169831257E-2</v>
      </c>
      <c r="AX161" s="431">
        <f t="shared" si="219"/>
        <v>1.0847350800544047</v>
      </c>
      <c r="AY161" s="431">
        <f t="shared" si="219"/>
        <v>-0.421185146964974</v>
      </c>
      <c r="AZ161" s="431">
        <f t="shared" si="219"/>
        <v>2.3859970398163233E-2</v>
      </c>
      <c r="BA161" s="234"/>
      <c r="BB161" s="18">
        <f t="shared" ref="BB161:BB186" si="238">AV161-BC161</f>
        <v>0</v>
      </c>
      <c r="BC161" s="353">
        <v>2335327421</v>
      </c>
    </row>
    <row r="162" spans="1:55">
      <c r="A162" s="138">
        <v>44986</v>
      </c>
      <c r="B162" s="139">
        <v>0</v>
      </c>
      <c r="C162" s="18">
        <v>0</v>
      </c>
      <c r="D162" s="18">
        <f t="shared" si="200"/>
        <v>0</v>
      </c>
      <c r="E162" s="18">
        <v>1206945599</v>
      </c>
      <c r="F162" s="18">
        <v>0</v>
      </c>
      <c r="G162" s="18">
        <f t="shared" si="201"/>
        <v>1206945599</v>
      </c>
      <c r="H162" s="18">
        <v>0</v>
      </c>
      <c r="I162" s="18">
        <v>0</v>
      </c>
      <c r="J162" s="18">
        <f t="shared" si="202"/>
        <v>0</v>
      </c>
      <c r="K162" s="18">
        <v>0</v>
      </c>
      <c r="L162" s="18">
        <v>8056525</v>
      </c>
      <c r="M162" s="18">
        <v>0</v>
      </c>
      <c r="N162" s="18">
        <f t="shared" si="203"/>
        <v>8056525</v>
      </c>
      <c r="O162" s="18">
        <v>0</v>
      </c>
      <c r="P162" s="18">
        <v>0</v>
      </c>
      <c r="Q162" s="18">
        <v>0</v>
      </c>
      <c r="R162" s="18">
        <f t="shared" si="199"/>
        <v>0</v>
      </c>
      <c r="S162" s="18">
        <v>0</v>
      </c>
      <c r="T162" s="18">
        <v>0</v>
      </c>
      <c r="U162" s="18">
        <f t="shared" si="204"/>
        <v>0</v>
      </c>
      <c r="V162" s="18">
        <f t="shared" si="205"/>
        <v>1206945599</v>
      </c>
      <c r="W162" s="18">
        <f t="shared" si="206"/>
        <v>0</v>
      </c>
      <c r="X162" s="235">
        <f t="shared" si="176"/>
        <v>1206945599</v>
      </c>
      <c r="Y162" s="353">
        <f t="shared" si="232"/>
        <v>0</v>
      </c>
      <c r="Z162" s="353">
        <f t="shared" si="232"/>
        <v>0</v>
      </c>
      <c r="AA162" s="353">
        <f t="shared" si="164"/>
        <v>0</v>
      </c>
      <c r="AB162" s="353">
        <f t="shared" si="233"/>
        <v>3525983317</v>
      </c>
      <c r="AC162" s="353">
        <f t="shared" si="233"/>
        <v>1193588</v>
      </c>
      <c r="AD162" s="353">
        <f t="shared" si="166"/>
        <v>3527176905</v>
      </c>
      <c r="AE162" s="353">
        <f t="shared" si="234"/>
        <v>0</v>
      </c>
      <c r="AF162" s="353">
        <f t="shared" si="234"/>
        <v>0</v>
      </c>
      <c r="AG162" s="353">
        <f t="shared" si="168"/>
        <v>0</v>
      </c>
      <c r="AH162" s="353">
        <f t="shared" si="235"/>
        <v>0</v>
      </c>
      <c r="AI162" s="353">
        <f t="shared" si="235"/>
        <v>23152640</v>
      </c>
      <c r="AJ162" s="353">
        <f t="shared" si="235"/>
        <v>0</v>
      </c>
      <c r="AK162" s="353">
        <f t="shared" si="170"/>
        <v>23152640</v>
      </c>
      <c r="AL162" s="353">
        <f t="shared" ref="AL162:AL171" si="239">AL161+O162</f>
        <v>0</v>
      </c>
      <c r="AM162" s="353">
        <f t="shared" si="236"/>
        <v>0</v>
      </c>
      <c r="AN162" s="353">
        <f t="shared" si="236"/>
        <v>0</v>
      </c>
      <c r="AO162" s="353">
        <f t="shared" si="237"/>
        <v>0</v>
      </c>
      <c r="AP162" s="353">
        <f t="shared" ref="AP162:AQ171" si="240">AP161+S162</f>
        <v>0</v>
      </c>
      <c r="AQ162" s="353">
        <f t="shared" si="240"/>
        <v>0</v>
      </c>
      <c r="AR162" s="353">
        <f t="shared" ref="AR162:AR171" si="241">SUM(AP162:AQ162)</f>
        <v>0</v>
      </c>
      <c r="AS162" s="353">
        <f t="shared" si="231"/>
        <v>3525983317</v>
      </c>
      <c r="AT162" s="353">
        <f t="shared" ref="AT162:AT186" si="242">AI162</f>
        <v>23152640</v>
      </c>
      <c r="AU162" s="353">
        <f t="shared" ref="AU162:AU186" si="243">Z162+AC162+AF162+AJ162+AN162+AQ162</f>
        <v>1193588</v>
      </c>
      <c r="AV162" s="354">
        <f t="shared" si="207"/>
        <v>3550329545</v>
      </c>
      <c r="AW162" s="431">
        <f t="shared" si="219"/>
        <v>-1.5867164220664254E-3</v>
      </c>
      <c r="AX162" s="431">
        <f t="shared" si="219"/>
        <v>0.78140011778213192</v>
      </c>
      <c r="AY162" s="431">
        <f t="shared" si="219"/>
        <v>-0.62113284829639803</v>
      </c>
      <c r="AZ162" s="431">
        <f t="shared" si="219"/>
        <v>7.3154014029475078E-4</v>
      </c>
      <c r="BA162" s="234"/>
      <c r="BB162" s="18">
        <f t="shared" si="238"/>
        <v>0</v>
      </c>
      <c r="BC162" s="353">
        <v>3550329545</v>
      </c>
    </row>
    <row r="163" spans="1:55">
      <c r="A163" s="138">
        <v>45017</v>
      </c>
      <c r="B163" s="139">
        <v>0</v>
      </c>
      <c r="C163" s="18">
        <v>0</v>
      </c>
      <c r="D163" s="18">
        <f t="shared" si="200"/>
        <v>0</v>
      </c>
      <c r="E163" s="18">
        <v>1138611575</v>
      </c>
      <c r="F163" s="18">
        <v>1063202</v>
      </c>
      <c r="G163" s="18">
        <f t="shared" si="201"/>
        <v>1139674777</v>
      </c>
      <c r="H163" s="18">
        <v>0</v>
      </c>
      <c r="I163" s="18">
        <v>0</v>
      </c>
      <c r="J163" s="18">
        <f t="shared" si="202"/>
        <v>0</v>
      </c>
      <c r="K163" s="18">
        <v>0</v>
      </c>
      <c r="L163" s="18">
        <v>9806585</v>
      </c>
      <c r="M163" s="18">
        <v>0</v>
      </c>
      <c r="N163" s="18">
        <f t="shared" si="203"/>
        <v>9806585</v>
      </c>
      <c r="O163" s="18">
        <v>0</v>
      </c>
      <c r="P163" s="18">
        <v>0</v>
      </c>
      <c r="Q163" s="18">
        <v>0</v>
      </c>
      <c r="R163" s="18">
        <f t="shared" si="199"/>
        <v>0</v>
      </c>
      <c r="S163" s="18">
        <v>0</v>
      </c>
      <c r="T163" s="18">
        <v>0</v>
      </c>
      <c r="U163" s="18">
        <f t="shared" si="204"/>
        <v>0</v>
      </c>
      <c r="V163" s="18">
        <f t="shared" si="205"/>
        <v>1138611575</v>
      </c>
      <c r="W163" s="18">
        <f t="shared" si="206"/>
        <v>1063202</v>
      </c>
      <c r="X163" s="235">
        <f t="shared" si="176"/>
        <v>1139674777</v>
      </c>
      <c r="Y163" s="353">
        <f t="shared" si="232"/>
        <v>0</v>
      </c>
      <c r="Z163" s="353">
        <f t="shared" si="232"/>
        <v>0</v>
      </c>
      <c r="AA163" s="353">
        <f t="shared" si="164"/>
        <v>0</v>
      </c>
      <c r="AB163" s="353">
        <f t="shared" si="233"/>
        <v>4664594892</v>
      </c>
      <c r="AC163" s="353">
        <f t="shared" si="233"/>
        <v>2256790</v>
      </c>
      <c r="AD163" s="353">
        <f t="shared" si="166"/>
        <v>4666851682</v>
      </c>
      <c r="AE163" s="353">
        <f t="shared" si="234"/>
        <v>0</v>
      </c>
      <c r="AF163" s="353">
        <f t="shared" si="234"/>
        <v>0</v>
      </c>
      <c r="AG163" s="353">
        <f t="shared" si="168"/>
        <v>0</v>
      </c>
      <c r="AH163" s="353">
        <f t="shared" si="235"/>
        <v>0</v>
      </c>
      <c r="AI163" s="353">
        <f t="shared" si="235"/>
        <v>32959225</v>
      </c>
      <c r="AJ163" s="353">
        <f t="shared" si="235"/>
        <v>0</v>
      </c>
      <c r="AK163" s="353">
        <f t="shared" si="170"/>
        <v>32959225</v>
      </c>
      <c r="AL163" s="353">
        <f t="shared" si="239"/>
        <v>0</v>
      </c>
      <c r="AM163" s="353">
        <f t="shared" si="236"/>
        <v>0</v>
      </c>
      <c r="AN163" s="353">
        <f t="shared" si="236"/>
        <v>0</v>
      </c>
      <c r="AO163" s="353">
        <f t="shared" si="237"/>
        <v>0</v>
      </c>
      <c r="AP163" s="353">
        <f t="shared" si="240"/>
        <v>0</v>
      </c>
      <c r="AQ163" s="353">
        <f t="shared" si="240"/>
        <v>0</v>
      </c>
      <c r="AR163" s="353">
        <f t="shared" si="241"/>
        <v>0</v>
      </c>
      <c r="AS163" s="353">
        <f t="shared" si="231"/>
        <v>4664594892</v>
      </c>
      <c r="AT163" s="353">
        <f t="shared" si="242"/>
        <v>32959225</v>
      </c>
      <c r="AU163" s="353">
        <f t="shared" si="243"/>
        <v>2256790</v>
      </c>
      <c r="AV163" s="354">
        <f t="shared" si="207"/>
        <v>4699810907</v>
      </c>
      <c r="AW163" s="431">
        <f t="shared" si="219"/>
        <v>1.3638659054759916E-3</v>
      </c>
      <c r="AX163" s="431">
        <f t="shared" si="219"/>
        <v>0.81168932073629962</v>
      </c>
      <c r="AY163" s="431">
        <f t="shared" si="219"/>
        <v>-0.46070008932612538</v>
      </c>
      <c r="AZ163" s="431">
        <f t="shared" si="219"/>
        <v>4.1003186758501453E-3</v>
      </c>
      <c r="BA163" s="234"/>
      <c r="BB163" s="18">
        <f t="shared" si="238"/>
        <v>0</v>
      </c>
      <c r="BC163" s="353">
        <v>4699810907</v>
      </c>
    </row>
    <row r="164" spans="1:55">
      <c r="A164" s="138">
        <v>45047</v>
      </c>
      <c r="B164" s="139">
        <v>0</v>
      </c>
      <c r="C164" s="18">
        <v>0</v>
      </c>
      <c r="D164" s="18">
        <f t="shared" si="200"/>
        <v>0</v>
      </c>
      <c r="E164" s="18">
        <v>1254320370</v>
      </c>
      <c r="F164" s="18">
        <v>1270046</v>
      </c>
      <c r="G164" s="18">
        <f t="shared" si="201"/>
        <v>1255590416</v>
      </c>
      <c r="H164" s="18">
        <v>0</v>
      </c>
      <c r="I164" s="18">
        <v>0</v>
      </c>
      <c r="J164" s="18">
        <f t="shared" si="202"/>
        <v>0</v>
      </c>
      <c r="K164" s="18">
        <v>0</v>
      </c>
      <c r="L164" s="18">
        <v>13559175</v>
      </c>
      <c r="M164" s="18">
        <v>0</v>
      </c>
      <c r="N164" s="18">
        <f t="shared" si="203"/>
        <v>13559175</v>
      </c>
      <c r="O164" s="18">
        <v>0</v>
      </c>
      <c r="P164" s="18">
        <v>0</v>
      </c>
      <c r="Q164" s="18">
        <v>0</v>
      </c>
      <c r="R164" s="18">
        <f>SUM(O164:Q164)</f>
        <v>0</v>
      </c>
      <c r="S164" s="18">
        <v>0</v>
      </c>
      <c r="T164" s="18">
        <v>0</v>
      </c>
      <c r="U164" s="18">
        <f t="shared" si="204"/>
        <v>0</v>
      </c>
      <c r="V164" s="18">
        <f t="shared" si="205"/>
        <v>1254320370</v>
      </c>
      <c r="W164" s="18">
        <f t="shared" si="206"/>
        <v>1270046</v>
      </c>
      <c r="X164" s="235">
        <f t="shared" si="176"/>
        <v>1255590416</v>
      </c>
      <c r="Y164" s="353">
        <f t="shared" si="232"/>
        <v>0</v>
      </c>
      <c r="Z164" s="353">
        <f t="shared" si="232"/>
        <v>0</v>
      </c>
      <c r="AA164" s="353">
        <f t="shared" si="164"/>
        <v>0</v>
      </c>
      <c r="AB164" s="353">
        <f t="shared" si="233"/>
        <v>5918915262</v>
      </c>
      <c r="AC164" s="353">
        <f t="shared" si="233"/>
        <v>3526836</v>
      </c>
      <c r="AD164" s="353">
        <f t="shared" si="166"/>
        <v>5922442098</v>
      </c>
      <c r="AE164" s="353">
        <f t="shared" si="234"/>
        <v>0</v>
      </c>
      <c r="AF164" s="353">
        <f t="shared" si="234"/>
        <v>0</v>
      </c>
      <c r="AG164" s="353">
        <f t="shared" si="168"/>
        <v>0</v>
      </c>
      <c r="AH164" s="353">
        <f t="shared" si="235"/>
        <v>0</v>
      </c>
      <c r="AI164" s="353">
        <f t="shared" si="235"/>
        <v>46518400</v>
      </c>
      <c r="AJ164" s="353">
        <f t="shared" si="235"/>
        <v>0</v>
      </c>
      <c r="AK164" s="353">
        <f t="shared" si="170"/>
        <v>46518400</v>
      </c>
      <c r="AL164" s="353">
        <f t="shared" si="239"/>
        <v>0</v>
      </c>
      <c r="AM164" s="353">
        <f t="shared" si="236"/>
        <v>0</v>
      </c>
      <c r="AN164" s="353">
        <f t="shared" si="236"/>
        <v>0</v>
      </c>
      <c r="AO164" s="353">
        <f t="shared" si="237"/>
        <v>0</v>
      </c>
      <c r="AP164" s="353">
        <f t="shared" si="240"/>
        <v>0</v>
      </c>
      <c r="AQ164" s="353">
        <f t="shared" si="240"/>
        <v>0</v>
      </c>
      <c r="AR164" s="353">
        <f t="shared" si="241"/>
        <v>0</v>
      </c>
      <c r="AS164" s="353">
        <f t="shared" si="231"/>
        <v>5918915262</v>
      </c>
      <c r="AT164" s="353">
        <f t="shared" si="242"/>
        <v>46518400</v>
      </c>
      <c r="AU164" s="353">
        <f t="shared" si="243"/>
        <v>3526836</v>
      </c>
      <c r="AV164" s="354">
        <f t="shared" si="207"/>
        <v>5968960498</v>
      </c>
      <c r="AW164" s="431">
        <f t="shared" si="219"/>
        <v>6.6337833721294981E-3</v>
      </c>
      <c r="AX164" s="431">
        <f t="shared" si="219"/>
        <v>0.89873345387902703</v>
      </c>
      <c r="AY164" s="431">
        <f t="shared" si="219"/>
        <v>-0.34661869176123261</v>
      </c>
      <c r="AZ164" s="431">
        <f t="shared" si="219"/>
        <v>1.0009423421517782E-2</v>
      </c>
      <c r="BA164" s="234"/>
      <c r="BB164" s="18">
        <f t="shared" si="238"/>
        <v>0</v>
      </c>
      <c r="BC164" s="353">
        <v>5968960498</v>
      </c>
    </row>
    <row r="165" spans="1:55">
      <c r="A165" s="138">
        <v>45078</v>
      </c>
      <c r="B165" s="139">
        <v>0</v>
      </c>
      <c r="C165" s="18">
        <v>0</v>
      </c>
      <c r="D165" s="18">
        <f>C165+B165</f>
        <v>0</v>
      </c>
      <c r="E165" s="18">
        <v>1272915445</v>
      </c>
      <c r="F165" s="18">
        <v>1197697</v>
      </c>
      <c r="G165" s="18">
        <f t="shared" si="201"/>
        <v>1274113142</v>
      </c>
      <c r="H165" s="18">
        <v>0</v>
      </c>
      <c r="I165" s="18">
        <v>0</v>
      </c>
      <c r="J165" s="18">
        <f t="shared" si="202"/>
        <v>0</v>
      </c>
      <c r="K165" s="18">
        <v>0</v>
      </c>
      <c r="L165" s="18">
        <v>7110155</v>
      </c>
      <c r="M165" s="18">
        <v>0</v>
      </c>
      <c r="N165" s="18">
        <f t="shared" si="203"/>
        <v>7110155</v>
      </c>
      <c r="O165" s="18">
        <v>0</v>
      </c>
      <c r="P165" s="18">
        <v>0</v>
      </c>
      <c r="Q165" s="18">
        <v>0</v>
      </c>
      <c r="R165" s="18">
        <f>SUM(O165:Q165)</f>
        <v>0</v>
      </c>
      <c r="S165" s="18">
        <v>0</v>
      </c>
      <c r="T165" s="18">
        <v>0</v>
      </c>
      <c r="U165" s="18">
        <f t="shared" si="204"/>
        <v>0</v>
      </c>
      <c r="V165" s="18">
        <f t="shared" si="205"/>
        <v>1272915445</v>
      </c>
      <c r="W165" s="18">
        <f t="shared" si="206"/>
        <v>1197697</v>
      </c>
      <c r="X165" s="235">
        <f t="shared" si="176"/>
        <v>1274113142</v>
      </c>
      <c r="Y165" s="353">
        <f t="shared" si="232"/>
        <v>0</v>
      </c>
      <c r="Z165" s="353">
        <f t="shared" si="232"/>
        <v>0</v>
      </c>
      <c r="AA165" s="353">
        <f t="shared" si="164"/>
        <v>0</v>
      </c>
      <c r="AB165" s="353">
        <f t="shared" si="233"/>
        <v>7191830707</v>
      </c>
      <c r="AC165" s="353">
        <f t="shared" si="233"/>
        <v>4724533</v>
      </c>
      <c r="AD165" s="353">
        <f t="shared" si="166"/>
        <v>7196555240</v>
      </c>
      <c r="AE165" s="353">
        <f t="shared" si="234"/>
        <v>0</v>
      </c>
      <c r="AF165" s="353">
        <f t="shared" si="234"/>
        <v>0</v>
      </c>
      <c r="AG165" s="353">
        <f t="shared" si="168"/>
        <v>0</v>
      </c>
      <c r="AH165" s="353">
        <f t="shared" si="235"/>
        <v>0</v>
      </c>
      <c r="AI165" s="353">
        <f t="shared" si="235"/>
        <v>53628555</v>
      </c>
      <c r="AJ165" s="353">
        <f t="shared" si="235"/>
        <v>0</v>
      </c>
      <c r="AK165" s="353">
        <f t="shared" si="170"/>
        <v>53628555</v>
      </c>
      <c r="AL165" s="353">
        <f t="shared" si="239"/>
        <v>0</v>
      </c>
      <c r="AM165" s="353">
        <f t="shared" si="236"/>
        <v>0</v>
      </c>
      <c r="AN165" s="353">
        <f t="shared" si="236"/>
        <v>0</v>
      </c>
      <c r="AO165" s="353">
        <f t="shared" si="237"/>
        <v>0</v>
      </c>
      <c r="AP165" s="353">
        <f t="shared" si="240"/>
        <v>0</v>
      </c>
      <c r="AQ165" s="353">
        <f t="shared" si="240"/>
        <v>0</v>
      </c>
      <c r="AR165" s="353">
        <f t="shared" si="241"/>
        <v>0</v>
      </c>
      <c r="AS165" s="353">
        <f t="shared" si="231"/>
        <v>7191830707</v>
      </c>
      <c r="AT165" s="353">
        <f t="shared" si="242"/>
        <v>53628555</v>
      </c>
      <c r="AU165" s="353">
        <f t="shared" si="243"/>
        <v>4724533</v>
      </c>
      <c r="AV165" s="354">
        <f t="shared" si="207"/>
        <v>7250183795</v>
      </c>
      <c r="AW165" s="431">
        <f t="shared" si="219"/>
        <v>3.7267350081220396E-3</v>
      </c>
      <c r="AX165" s="431">
        <f t="shared" si="219"/>
        <v>0.93499095891434081</v>
      </c>
      <c r="AY165" s="431">
        <f t="shared" si="219"/>
        <v>-0.2824069341682639</v>
      </c>
      <c r="AZ165" s="431">
        <f t="shared" si="219"/>
        <v>7.0500908944606255E-3</v>
      </c>
      <c r="BA165" s="234"/>
      <c r="BB165" s="18">
        <f t="shared" si="238"/>
        <v>0</v>
      </c>
      <c r="BC165" s="353">
        <v>7250183795</v>
      </c>
    </row>
    <row r="166" spans="1:55">
      <c r="A166" s="138">
        <v>45108</v>
      </c>
      <c r="B166" s="139">
        <v>0</v>
      </c>
      <c r="C166" s="18">
        <v>0</v>
      </c>
      <c r="D166" s="18">
        <f>C166+B166</f>
        <v>0</v>
      </c>
      <c r="E166" s="18">
        <v>1269749643</v>
      </c>
      <c r="F166" s="18">
        <v>1373621</v>
      </c>
      <c r="G166" s="18">
        <f t="shared" si="201"/>
        <v>1271123264</v>
      </c>
      <c r="H166" s="18">
        <v>0</v>
      </c>
      <c r="I166" s="18">
        <v>0</v>
      </c>
      <c r="J166" s="18">
        <f t="shared" si="202"/>
        <v>0</v>
      </c>
      <c r="K166" s="18">
        <v>0</v>
      </c>
      <c r="L166" s="18">
        <v>5425151</v>
      </c>
      <c r="M166" s="18">
        <v>0</v>
      </c>
      <c r="N166" s="18">
        <f t="shared" si="203"/>
        <v>5425151</v>
      </c>
      <c r="O166" s="18">
        <v>0</v>
      </c>
      <c r="P166" s="18">
        <v>0</v>
      </c>
      <c r="Q166" s="18">
        <v>0</v>
      </c>
      <c r="R166" s="18">
        <f>SUM(O166:Q166)</f>
        <v>0</v>
      </c>
      <c r="S166" s="18">
        <v>0</v>
      </c>
      <c r="T166" s="18">
        <v>0</v>
      </c>
      <c r="U166" s="18">
        <f t="shared" si="204"/>
        <v>0</v>
      </c>
      <c r="V166" s="18">
        <f t="shared" si="205"/>
        <v>1269749643</v>
      </c>
      <c r="W166" s="18">
        <f t="shared" si="206"/>
        <v>1373621</v>
      </c>
      <c r="X166" s="235">
        <f t="shared" si="176"/>
        <v>1271123264</v>
      </c>
      <c r="Y166" s="353">
        <f t="shared" si="232"/>
        <v>0</v>
      </c>
      <c r="Z166" s="353">
        <f t="shared" si="232"/>
        <v>0</v>
      </c>
      <c r="AA166" s="353">
        <f t="shared" ref="AA166:AA186" si="244">Z166+Y166</f>
        <v>0</v>
      </c>
      <c r="AB166" s="353">
        <f t="shared" si="233"/>
        <v>8461580350</v>
      </c>
      <c r="AC166" s="353">
        <f t="shared" si="233"/>
        <v>6098154</v>
      </c>
      <c r="AD166" s="353">
        <f t="shared" ref="AD166:AD186" si="245">AC166+AB166</f>
        <v>8467678504</v>
      </c>
      <c r="AE166" s="353">
        <f t="shared" si="234"/>
        <v>0</v>
      </c>
      <c r="AF166" s="353">
        <f t="shared" si="234"/>
        <v>0</v>
      </c>
      <c r="AG166" s="353">
        <f t="shared" ref="AG166:AG186" si="246">AF166+AE166</f>
        <v>0</v>
      </c>
      <c r="AH166" s="353">
        <f t="shared" si="235"/>
        <v>0</v>
      </c>
      <c r="AI166" s="353">
        <f t="shared" si="235"/>
        <v>59053706</v>
      </c>
      <c r="AJ166" s="353">
        <f t="shared" si="235"/>
        <v>0</v>
      </c>
      <c r="AK166" s="353">
        <f t="shared" ref="AK166:AK186" si="247">AJ166+AI166+AH166</f>
        <v>59053706</v>
      </c>
      <c r="AL166" s="353">
        <f t="shared" si="239"/>
        <v>0</v>
      </c>
      <c r="AM166" s="353">
        <f t="shared" si="236"/>
        <v>0</v>
      </c>
      <c r="AN166" s="353">
        <f t="shared" si="236"/>
        <v>0</v>
      </c>
      <c r="AO166" s="353">
        <f t="shared" si="237"/>
        <v>0</v>
      </c>
      <c r="AP166" s="353">
        <f t="shared" si="240"/>
        <v>0</v>
      </c>
      <c r="AQ166" s="353">
        <f t="shared" si="240"/>
        <v>0</v>
      </c>
      <c r="AR166" s="353">
        <f t="shared" si="241"/>
        <v>0</v>
      </c>
      <c r="AS166" s="353">
        <f t="shared" si="231"/>
        <v>8461580350</v>
      </c>
      <c r="AT166" s="353">
        <f t="shared" si="242"/>
        <v>59053706</v>
      </c>
      <c r="AU166" s="353">
        <f t="shared" si="243"/>
        <v>6098154</v>
      </c>
      <c r="AV166" s="354">
        <f t="shared" si="207"/>
        <v>8526732210</v>
      </c>
      <c r="AW166" s="431">
        <f t="shared" si="219"/>
        <v>1.1002218963853672E-2</v>
      </c>
      <c r="AX166" s="431">
        <f t="shared" si="219"/>
        <v>0.88166350664751114</v>
      </c>
      <c r="AY166" s="431">
        <f t="shared" si="219"/>
        <v>-0.22646518229870272</v>
      </c>
      <c r="AZ166" s="431">
        <f t="shared" si="219"/>
        <v>1.4029128174756877E-2</v>
      </c>
      <c r="BA166" s="234"/>
      <c r="BB166" s="18">
        <f t="shared" si="238"/>
        <v>0</v>
      </c>
      <c r="BC166" s="353">
        <v>8526732210</v>
      </c>
    </row>
    <row r="167" spans="1:55">
      <c r="A167" s="138">
        <v>45139</v>
      </c>
      <c r="B167" s="139">
        <v>54198</v>
      </c>
      <c r="C167" s="18">
        <v>0</v>
      </c>
      <c r="D167" s="18">
        <f t="shared" ref="D167:D186" si="248">C167+B167</f>
        <v>54198</v>
      </c>
      <c r="E167" s="18">
        <v>1259762648</v>
      </c>
      <c r="F167" s="18">
        <v>1450570</v>
      </c>
      <c r="G167" s="18">
        <f t="shared" si="201"/>
        <v>1261213218</v>
      </c>
      <c r="H167" s="18">
        <v>0</v>
      </c>
      <c r="I167" s="18">
        <v>0</v>
      </c>
      <c r="J167" s="18">
        <f t="shared" si="202"/>
        <v>0</v>
      </c>
      <c r="K167" s="18">
        <v>192792</v>
      </c>
      <c r="L167" s="18">
        <v>28172</v>
      </c>
      <c r="M167" s="18">
        <v>0</v>
      </c>
      <c r="N167" s="18">
        <f t="shared" si="203"/>
        <v>220964</v>
      </c>
      <c r="O167" s="18">
        <v>872978</v>
      </c>
      <c r="P167" s="18">
        <v>0</v>
      </c>
      <c r="Q167" s="18">
        <v>0</v>
      </c>
      <c r="R167" s="18">
        <f>Q167+P167+O167</f>
        <v>872978</v>
      </c>
      <c r="S167" s="18">
        <v>11009299</v>
      </c>
      <c r="T167" s="18">
        <v>0</v>
      </c>
      <c r="U167" s="18">
        <f t="shared" si="204"/>
        <v>11009299</v>
      </c>
      <c r="V167" s="18">
        <f>B167+E167+H167+K167+O167+S167</f>
        <v>1271891915</v>
      </c>
      <c r="W167" s="18">
        <f t="shared" si="206"/>
        <v>1450570</v>
      </c>
      <c r="X167" s="235">
        <f t="shared" si="176"/>
        <v>1273342485</v>
      </c>
      <c r="Y167" s="353">
        <f t="shared" si="232"/>
        <v>54198</v>
      </c>
      <c r="Z167" s="353">
        <f t="shared" si="232"/>
        <v>0</v>
      </c>
      <c r="AA167" s="353">
        <f t="shared" si="244"/>
        <v>54198</v>
      </c>
      <c r="AB167" s="353">
        <f t="shared" si="233"/>
        <v>9721342998</v>
      </c>
      <c r="AC167" s="353">
        <f t="shared" si="233"/>
        <v>7548724</v>
      </c>
      <c r="AD167" s="353">
        <f t="shared" si="245"/>
        <v>9728891722</v>
      </c>
      <c r="AE167" s="353">
        <f t="shared" si="234"/>
        <v>0</v>
      </c>
      <c r="AF167" s="353">
        <f t="shared" si="234"/>
        <v>0</v>
      </c>
      <c r="AG167" s="353">
        <f t="shared" si="246"/>
        <v>0</v>
      </c>
      <c r="AH167" s="353">
        <f t="shared" si="235"/>
        <v>192792</v>
      </c>
      <c r="AI167" s="353">
        <f t="shared" si="235"/>
        <v>59081878</v>
      </c>
      <c r="AJ167" s="353">
        <f t="shared" si="235"/>
        <v>0</v>
      </c>
      <c r="AK167" s="353">
        <f t="shared" si="247"/>
        <v>59274670</v>
      </c>
      <c r="AL167" s="353">
        <f t="shared" si="239"/>
        <v>872978</v>
      </c>
      <c r="AM167" s="353">
        <f t="shared" si="236"/>
        <v>0</v>
      </c>
      <c r="AN167" s="353">
        <f t="shared" si="236"/>
        <v>0</v>
      </c>
      <c r="AO167" s="353">
        <f t="shared" si="237"/>
        <v>872978</v>
      </c>
      <c r="AP167" s="353">
        <f t="shared" si="240"/>
        <v>11009299</v>
      </c>
      <c r="AQ167" s="353">
        <f t="shared" si="240"/>
        <v>0</v>
      </c>
      <c r="AR167" s="353">
        <f t="shared" si="241"/>
        <v>11009299</v>
      </c>
      <c r="AS167" s="353">
        <f t="shared" si="231"/>
        <v>9733472265</v>
      </c>
      <c r="AT167" s="353">
        <f t="shared" si="242"/>
        <v>59081878</v>
      </c>
      <c r="AU167" s="353">
        <f t="shared" si="243"/>
        <v>7548724</v>
      </c>
      <c r="AV167" s="354">
        <f t="shared" si="207"/>
        <v>9800102867</v>
      </c>
      <c r="AW167" s="431">
        <f t="shared" si="219"/>
        <v>1.0206438079221059E-2</v>
      </c>
      <c r="AX167" s="431">
        <f t="shared" si="219"/>
        <v>0.77168195553405572</v>
      </c>
      <c r="AY167" s="431">
        <f t="shared" si="219"/>
        <v>-0.18071038013541296</v>
      </c>
      <c r="AZ167" s="431">
        <f t="shared" si="219"/>
        <v>1.2648606051632871E-2</v>
      </c>
      <c r="BA167" s="234"/>
      <c r="BB167" s="18">
        <f t="shared" si="238"/>
        <v>0</v>
      </c>
      <c r="BC167" s="353">
        <v>9800102867</v>
      </c>
    </row>
    <row r="168" spans="1:55">
      <c r="A168" s="138">
        <v>45170</v>
      </c>
      <c r="B168" s="139">
        <v>1015738</v>
      </c>
      <c r="C168" s="18">
        <v>2149993</v>
      </c>
      <c r="D168" s="18">
        <f t="shared" si="248"/>
        <v>3165731</v>
      </c>
      <c r="E168" s="18">
        <v>1173157919</v>
      </c>
      <c r="F168" s="18">
        <v>1272177</v>
      </c>
      <c r="G168" s="18">
        <f t="shared" si="201"/>
        <v>1174430096</v>
      </c>
      <c r="H168" s="18">
        <v>0</v>
      </c>
      <c r="I168" s="18">
        <v>0</v>
      </c>
      <c r="J168" s="18">
        <f t="shared" si="202"/>
        <v>0</v>
      </c>
      <c r="K168" s="18">
        <v>0</v>
      </c>
      <c r="L168" s="18">
        <v>408127</v>
      </c>
      <c r="M168" s="18">
        <v>0</v>
      </c>
      <c r="N168" s="18">
        <f t="shared" si="203"/>
        <v>408127</v>
      </c>
      <c r="O168" s="18">
        <v>0</v>
      </c>
      <c r="P168" s="18">
        <v>0</v>
      </c>
      <c r="Q168" s="18">
        <v>0</v>
      </c>
      <c r="R168" s="18">
        <f>SUM(O168:Q168)</f>
        <v>0</v>
      </c>
      <c r="S168" s="18">
        <v>0</v>
      </c>
      <c r="T168" s="18">
        <v>0</v>
      </c>
      <c r="U168" s="18">
        <f t="shared" si="204"/>
        <v>0</v>
      </c>
      <c r="V168" s="18">
        <f t="shared" si="205"/>
        <v>1174173657</v>
      </c>
      <c r="W168" s="18">
        <f t="shared" si="206"/>
        <v>3422170</v>
      </c>
      <c r="X168" s="235">
        <f t="shared" si="176"/>
        <v>1177595827</v>
      </c>
      <c r="Y168" s="353">
        <f t="shared" si="232"/>
        <v>1069936</v>
      </c>
      <c r="Z168" s="353">
        <f t="shared" si="232"/>
        <v>2149993</v>
      </c>
      <c r="AA168" s="353">
        <f t="shared" si="244"/>
        <v>3219929</v>
      </c>
      <c r="AB168" s="353">
        <f t="shared" si="233"/>
        <v>10894500917</v>
      </c>
      <c r="AC168" s="353">
        <f t="shared" si="233"/>
        <v>8820901</v>
      </c>
      <c r="AD168" s="353">
        <f t="shared" si="245"/>
        <v>10903321818</v>
      </c>
      <c r="AE168" s="353">
        <f t="shared" si="234"/>
        <v>0</v>
      </c>
      <c r="AF168" s="353">
        <f t="shared" si="234"/>
        <v>0</v>
      </c>
      <c r="AG168" s="353">
        <f t="shared" si="246"/>
        <v>0</v>
      </c>
      <c r="AH168" s="353">
        <f t="shared" si="235"/>
        <v>192792</v>
      </c>
      <c r="AI168" s="353">
        <f t="shared" si="235"/>
        <v>59490005</v>
      </c>
      <c r="AJ168" s="353">
        <f t="shared" si="235"/>
        <v>0</v>
      </c>
      <c r="AK168" s="353">
        <f t="shared" si="247"/>
        <v>59682797</v>
      </c>
      <c r="AL168" s="353">
        <f t="shared" si="239"/>
        <v>872978</v>
      </c>
      <c r="AM168" s="353">
        <f t="shared" si="236"/>
        <v>0</v>
      </c>
      <c r="AN168" s="353">
        <f t="shared" si="236"/>
        <v>0</v>
      </c>
      <c r="AO168" s="353">
        <f t="shared" si="237"/>
        <v>872978</v>
      </c>
      <c r="AP168" s="353">
        <f t="shared" si="240"/>
        <v>11009299</v>
      </c>
      <c r="AQ168" s="353">
        <f t="shared" si="240"/>
        <v>0</v>
      </c>
      <c r="AR168" s="353">
        <f t="shared" si="241"/>
        <v>11009299</v>
      </c>
      <c r="AS168" s="353">
        <f>Y168+AB168+AE168+AH168+AL168+AP168</f>
        <v>10907645922</v>
      </c>
      <c r="AT168" s="353">
        <f t="shared" si="242"/>
        <v>59490005</v>
      </c>
      <c r="AU168" s="353">
        <f t="shared" si="243"/>
        <v>10970894</v>
      </c>
      <c r="AV168" s="354">
        <f t="shared" si="207"/>
        <v>10978106821</v>
      </c>
      <c r="AW168" s="431">
        <f t="shared" si="219"/>
        <v>1.4544616168945534E-2</v>
      </c>
      <c r="AX168" s="431">
        <f t="shared" si="219"/>
        <v>0.44826405155011351</v>
      </c>
      <c r="AY168" s="431">
        <f t="shared" si="219"/>
        <v>5.4548390647100709E-2</v>
      </c>
      <c r="AZ168" s="431">
        <f t="shared" si="219"/>
        <v>1.6232331117980614E-2</v>
      </c>
      <c r="BA168" s="234"/>
      <c r="BB168" s="18">
        <f t="shared" si="238"/>
        <v>7803</v>
      </c>
      <c r="BC168" s="353">
        <v>10978099018</v>
      </c>
    </row>
    <row r="169" spans="1:55">
      <c r="A169" s="138">
        <v>45200</v>
      </c>
      <c r="B169" s="139">
        <v>699159</v>
      </c>
      <c r="C169" s="18">
        <v>0</v>
      </c>
      <c r="D169" s="18">
        <f t="shared" si="248"/>
        <v>699159</v>
      </c>
      <c r="E169" s="18">
        <v>1290463919</v>
      </c>
      <c r="F169" s="18">
        <v>1344472</v>
      </c>
      <c r="G169" s="18">
        <f t="shared" si="201"/>
        <v>1291808391</v>
      </c>
      <c r="H169" s="18">
        <v>0</v>
      </c>
      <c r="I169" s="18">
        <v>0</v>
      </c>
      <c r="J169" s="18">
        <f t="shared" si="202"/>
        <v>0</v>
      </c>
      <c r="K169" s="18">
        <v>4124</v>
      </c>
      <c r="L169" s="18">
        <v>0</v>
      </c>
      <c r="M169" s="18">
        <v>0</v>
      </c>
      <c r="N169" s="18">
        <f t="shared" si="203"/>
        <v>4124</v>
      </c>
      <c r="O169" s="18">
        <v>488155</v>
      </c>
      <c r="P169" s="18">
        <v>0</v>
      </c>
      <c r="Q169" s="18">
        <v>0</v>
      </c>
      <c r="R169" s="18">
        <f>SUM(O169:Q169)</f>
        <v>488155</v>
      </c>
      <c r="S169" s="18">
        <v>5967357</v>
      </c>
      <c r="T169" s="18">
        <v>0</v>
      </c>
      <c r="U169" s="18">
        <f t="shared" si="204"/>
        <v>5967357</v>
      </c>
      <c r="V169" s="18">
        <f t="shared" si="205"/>
        <v>1297622714</v>
      </c>
      <c r="W169" s="18">
        <f t="shared" si="206"/>
        <v>1344472</v>
      </c>
      <c r="X169" s="235">
        <f t="shared" si="176"/>
        <v>1298967186</v>
      </c>
      <c r="Y169" s="353">
        <f t="shared" si="232"/>
        <v>1769095</v>
      </c>
      <c r="Z169" s="353">
        <f t="shared" si="232"/>
        <v>2149993</v>
      </c>
      <c r="AA169" s="353">
        <f t="shared" si="244"/>
        <v>3919088</v>
      </c>
      <c r="AB169" s="353">
        <f t="shared" si="233"/>
        <v>12184964836</v>
      </c>
      <c r="AC169" s="353">
        <f t="shared" si="233"/>
        <v>10165373</v>
      </c>
      <c r="AD169" s="353">
        <f t="shared" si="245"/>
        <v>12195130209</v>
      </c>
      <c r="AE169" s="353">
        <f t="shared" si="234"/>
        <v>0</v>
      </c>
      <c r="AF169" s="353">
        <f t="shared" si="234"/>
        <v>0</v>
      </c>
      <c r="AG169" s="353">
        <f t="shared" si="246"/>
        <v>0</v>
      </c>
      <c r="AH169" s="353">
        <f t="shared" si="235"/>
        <v>196916</v>
      </c>
      <c r="AI169" s="353">
        <f t="shared" si="235"/>
        <v>59490005</v>
      </c>
      <c r="AJ169" s="353">
        <f t="shared" si="235"/>
        <v>0</v>
      </c>
      <c r="AK169" s="353">
        <f t="shared" si="247"/>
        <v>59686921</v>
      </c>
      <c r="AL169" s="353">
        <f t="shared" si="239"/>
        <v>1361133</v>
      </c>
      <c r="AM169" s="353">
        <f t="shared" si="236"/>
        <v>0</v>
      </c>
      <c r="AN169" s="353">
        <f t="shared" si="236"/>
        <v>0</v>
      </c>
      <c r="AO169" s="353">
        <f t="shared" si="237"/>
        <v>1361133</v>
      </c>
      <c r="AP169" s="353">
        <f t="shared" si="240"/>
        <v>16976656</v>
      </c>
      <c r="AQ169" s="353">
        <f t="shared" si="240"/>
        <v>0</v>
      </c>
      <c r="AR169" s="353">
        <f t="shared" si="241"/>
        <v>16976656</v>
      </c>
      <c r="AS169" s="353">
        <f>Y169+AB169+AE169+AH169+AL169+AP169</f>
        <v>12205268636</v>
      </c>
      <c r="AT169" s="353">
        <f t="shared" si="242"/>
        <v>59490005</v>
      </c>
      <c r="AU169" s="353">
        <f t="shared" si="243"/>
        <v>12315366</v>
      </c>
      <c r="AV169" s="354">
        <f t="shared" si="207"/>
        <v>12277074007</v>
      </c>
      <c r="AW169" s="431">
        <f t="shared" si="219"/>
        <v>2.0023144132476745E-2</v>
      </c>
      <c r="AX169" s="431">
        <f t="shared" si="219"/>
        <v>9.7751891412141356E-2</v>
      </c>
      <c r="AY169" s="431">
        <f t="shared" si="219"/>
        <v>5.934486005063877E-2</v>
      </c>
      <c r="AZ169" s="431">
        <f t="shared" si="219"/>
        <v>2.0411246657080495E-2</v>
      </c>
      <c r="BA169" s="234"/>
      <c r="BB169" s="18">
        <f t="shared" si="238"/>
        <v>7803</v>
      </c>
      <c r="BC169" s="353">
        <v>12277066204</v>
      </c>
    </row>
    <row r="170" spans="1:55">
      <c r="A170" s="138">
        <v>45231</v>
      </c>
      <c r="B170" s="139">
        <v>998989</v>
      </c>
      <c r="C170" s="18">
        <v>0</v>
      </c>
      <c r="D170" s="18">
        <f t="shared" si="248"/>
        <v>998989</v>
      </c>
      <c r="E170" s="18">
        <v>1228482316</v>
      </c>
      <c r="F170" s="18">
        <v>1110302</v>
      </c>
      <c r="G170" s="18">
        <f t="shared" si="201"/>
        <v>1229592618</v>
      </c>
      <c r="H170" s="18">
        <v>0</v>
      </c>
      <c r="I170" s="18">
        <v>0</v>
      </c>
      <c r="J170" s="18">
        <f t="shared" si="202"/>
        <v>0</v>
      </c>
      <c r="K170" s="18">
        <v>357112</v>
      </c>
      <c r="L170" s="18">
        <v>0</v>
      </c>
      <c r="M170" s="18">
        <v>0</v>
      </c>
      <c r="N170" s="18">
        <f t="shared" si="203"/>
        <v>357112</v>
      </c>
      <c r="O170" s="18">
        <v>449778</v>
      </c>
      <c r="P170" s="18">
        <v>0</v>
      </c>
      <c r="Q170" s="18">
        <v>0</v>
      </c>
      <c r="R170" s="18">
        <f t="shared" ref="R170:R175" si="249">SUM(O170:Q170)</f>
        <v>449778</v>
      </c>
      <c r="S170" s="18">
        <v>6168983</v>
      </c>
      <c r="T170" s="18">
        <v>0</v>
      </c>
      <c r="U170" s="18">
        <f t="shared" si="204"/>
        <v>6168983</v>
      </c>
      <c r="V170" s="18">
        <f t="shared" si="205"/>
        <v>1236457178</v>
      </c>
      <c r="W170" s="18">
        <f t="shared" si="206"/>
        <v>1110302</v>
      </c>
      <c r="X170" s="235">
        <f t="shared" si="176"/>
        <v>1237567480</v>
      </c>
      <c r="Y170" s="353">
        <f t="shared" si="232"/>
        <v>2768084</v>
      </c>
      <c r="Z170" s="353">
        <f t="shared" si="232"/>
        <v>2149993</v>
      </c>
      <c r="AA170" s="353">
        <f t="shared" si="244"/>
        <v>4918077</v>
      </c>
      <c r="AB170" s="353">
        <f t="shared" si="233"/>
        <v>13413447152</v>
      </c>
      <c r="AC170" s="353">
        <f t="shared" si="233"/>
        <v>11275675</v>
      </c>
      <c r="AD170" s="353">
        <f t="shared" si="245"/>
        <v>13424722827</v>
      </c>
      <c r="AE170" s="353">
        <f t="shared" si="234"/>
        <v>0</v>
      </c>
      <c r="AF170" s="353">
        <f t="shared" si="234"/>
        <v>0</v>
      </c>
      <c r="AG170" s="353">
        <f t="shared" si="246"/>
        <v>0</v>
      </c>
      <c r="AH170" s="353">
        <f t="shared" si="235"/>
        <v>554028</v>
      </c>
      <c r="AI170" s="353">
        <f t="shared" si="235"/>
        <v>59490005</v>
      </c>
      <c r="AJ170" s="353">
        <f t="shared" si="235"/>
        <v>0</v>
      </c>
      <c r="AK170" s="353">
        <f t="shared" si="247"/>
        <v>60044033</v>
      </c>
      <c r="AL170" s="353">
        <f t="shared" si="239"/>
        <v>1810911</v>
      </c>
      <c r="AM170" s="353">
        <f t="shared" si="236"/>
        <v>0</v>
      </c>
      <c r="AN170" s="353">
        <f t="shared" si="236"/>
        <v>0</v>
      </c>
      <c r="AO170" s="353">
        <f t="shared" si="237"/>
        <v>1810911</v>
      </c>
      <c r="AP170" s="353">
        <f t="shared" si="240"/>
        <v>23145639</v>
      </c>
      <c r="AQ170" s="353">
        <f t="shared" si="240"/>
        <v>0</v>
      </c>
      <c r="AR170" s="353">
        <f t="shared" si="241"/>
        <v>23145639</v>
      </c>
      <c r="AS170" s="353">
        <f>Y170+AB170+AE170+AH170+AL170+AP170</f>
        <v>13441725814</v>
      </c>
      <c r="AT170" s="353">
        <f t="shared" si="242"/>
        <v>59490005</v>
      </c>
      <c r="AU170" s="353">
        <f t="shared" si="243"/>
        <v>13425668</v>
      </c>
      <c r="AV170" s="354">
        <f t="shared" si="207"/>
        <v>13514641487</v>
      </c>
      <c r="AW170" s="431">
        <f t="shared" si="219"/>
        <v>1.7046044859756915E-2</v>
      </c>
      <c r="AX170" s="431">
        <f t="shared" si="219"/>
        <v>-7.1063321980652683E-2</v>
      </c>
      <c r="AY170" s="431">
        <f t="shared" si="219"/>
        <v>4.7648261774648981E-2</v>
      </c>
      <c r="AZ170" s="431">
        <f t="shared" si="219"/>
        <v>1.6651075767794454E-2</v>
      </c>
      <c r="BA170" s="234"/>
      <c r="BB170" s="18">
        <f t="shared" si="238"/>
        <v>16302</v>
      </c>
      <c r="BC170" s="353">
        <v>13514625185</v>
      </c>
    </row>
    <row r="171" spans="1:55" ht="15.75" thickBot="1">
      <c r="A171" s="138">
        <v>45261</v>
      </c>
      <c r="B171" s="139">
        <v>130372</v>
      </c>
      <c r="C171" s="18">
        <v>4262355</v>
      </c>
      <c r="D171" s="18">
        <f t="shared" si="248"/>
        <v>4392727</v>
      </c>
      <c r="E171" s="18">
        <v>1252844625</v>
      </c>
      <c r="F171" s="18">
        <v>1174079</v>
      </c>
      <c r="G171" s="18">
        <f t="shared" si="201"/>
        <v>1254018704</v>
      </c>
      <c r="H171" s="18">
        <v>0</v>
      </c>
      <c r="I171" s="18">
        <v>0</v>
      </c>
      <c r="J171" s="18">
        <f t="shared" si="202"/>
        <v>0</v>
      </c>
      <c r="K171" s="18">
        <v>0</v>
      </c>
      <c r="L171" s="18">
        <v>0</v>
      </c>
      <c r="M171" s="18">
        <v>0</v>
      </c>
      <c r="N171" s="18">
        <f t="shared" si="203"/>
        <v>0</v>
      </c>
      <c r="O171" s="18">
        <v>14397</v>
      </c>
      <c r="P171" s="18">
        <v>0</v>
      </c>
      <c r="Q171" s="18">
        <v>0</v>
      </c>
      <c r="R171" s="18">
        <f t="shared" si="249"/>
        <v>14397</v>
      </c>
      <c r="S171" s="18">
        <v>798182</v>
      </c>
      <c r="T171" s="18">
        <v>0</v>
      </c>
      <c r="U171" s="18">
        <f t="shared" si="204"/>
        <v>798182</v>
      </c>
      <c r="V171" s="18">
        <f t="shared" si="205"/>
        <v>1253787576</v>
      </c>
      <c r="W171" s="18">
        <f t="shared" si="206"/>
        <v>5436434</v>
      </c>
      <c r="X171" s="235">
        <f t="shared" si="176"/>
        <v>1259224010</v>
      </c>
      <c r="Y171" s="353">
        <f t="shared" si="232"/>
        <v>2898456</v>
      </c>
      <c r="Z171" s="353">
        <f t="shared" si="232"/>
        <v>6412348</v>
      </c>
      <c r="AA171" s="353">
        <f t="shared" si="244"/>
        <v>9310804</v>
      </c>
      <c r="AB171" s="353">
        <f t="shared" si="233"/>
        <v>14666291777</v>
      </c>
      <c r="AC171" s="353">
        <f t="shared" si="233"/>
        <v>12449754</v>
      </c>
      <c r="AD171" s="353">
        <f t="shared" si="245"/>
        <v>14678741531</v>
      </c>
      <c r="AE171" s="353">
        <f t="shared" si="234"/>
        <v>0</v>
      </c>
      <c r="AF171" s="353">
        <f t="shared" si="234"/>
        <v>0</v>
      </c>
      <c r="AG171" s="353">
        <f t="shared" si="246"/>
        <v>0</v>
      </c>
      <c r="AH171" s="353">
        <f t="shared" si="235"/>
        <v>554028</v>
      </c>
      <c r="AI171" s="353">
        <f t="shared" si="235"/>
        <v>59490005</v>
      </c>
      <c r="AJ171" s="353">
        <f t="shared" si="235"/>
        <v>0</v>
      </c>
      <c r="AK171" s="353">
        <f t="shared" si="247"/>
        <v>60044033</v>
      </c>
      <c r="AL171" s="353">
        <f t="shared" si="239"/>
        <v>1825308</v>
      </c>
      <c r="AM171" s="353">
        <f t="shared" si="236"/>
        <v>0</v>
      </c>
      <c r="AN171" s="353">
        <f t="shared" si="236"/>
        <v>0</v>
      </c>
      <c r="AO171" s="353">
        <f t="shared" si="237"/>
        <v>1825308</v>
      </c>
      <c r="AP171" s="353">
        <f t="shared" si="240"/>
        <v>23943821</v>
      </c>
      <c r="AQ171" s="353">
        <f t="shared" si="240"/>
        <v>0</v>
      </c>
      <c r="AR171" s="353">
        <f t="shared" si="241"/>
        <v>23943821</v>
      </c>
      <c r="AS171" s="353">
        <f>Y171+AB171+AE171+AH171+AL171+AP171</f>
        <v>14695513390</v>
      </c>
      <c r="AT171" s="353">
        <f t="shared" si="242"/>
        <v>59490005</v>
      </c>
      <c r="AU171" s="353">
        <f t="shared" si="243"/>
        <v>18862102</v>
      </c>
      <c r="AV171" s="354">
        <f t="shared" si="207"/>
        <v>14773865497</v>
      </c>
      <c r="AW171" s="431">
        <f t="shared" ref="AW171:AZ186" si="250">AS171/AS159-1</f>
        <v>1.985595441318222E-2</v>
      </c>
      <c r="AX171" s="431">
        <f t="shared" si="250"/>
        <v>-0.2064017057092582</v>
      </c>
      <c r="AY171" s="431">
        <f t="shared" si="250"/>
        <v>0.33746748617956546</v>
      </c>
      <c r="AZ171" s="431">
        <f t="shared" si="250"/>
        <v>1.8995064601728284E-2</v>
      </c>
      <c r="BA171" s="234"/>
      <c r="BB171" s="18">
        <f t="shared" si="238"/>
        <v>16302</v>
      </c>
      <c r="BC171" s="353">
        <v>14773849195</v>
      </c>
    </row>
    <row r="172" spans="1:55">
      <c r="A172" s="141">
        <v>45292</v>
      </c>
      <c r="B172" s="142">
        <v>1089558</v>
      </c>
      <c r="C172" s="143">
        <v>0</v>
      </c>
      <c r="D172" s="143">
        <f t="shared" si="248"/>
        <v>1089558</v>
      </c>
      <c r="E172" s="143">
        <v>1203497939</v>
      </c>
      <c r="F172" s="143">
        <v>1114087</v>
      </c>
      <c r="G172" s="143">
        <f t="shared" si="201"/>
        <v>1204612026</v>
      </c>
      <c r="H172" s="143">
        <v>0</v>
      </c>
      <c r="I172" s="143">
        <v>0</v>
      </c>
      <c r="J172" s="143">
        <f t="shared" si="202"/>
        <v>0</v>
      </c>
      <c r="K172" s="143">
        <v>0</v>
      </c>
      <c r="L172" s="143">
        <v>0</v>
      </c>
      <c r="M172" s="143">
        <v>0</v>
      </c>
      <c r="N172" s="143">
        <f t="shared" si="203"/>
        <v>0</v>
      </c>
      <c r="O172" s="143">
        <v>0</v>
      </c>
      <c r="P172" s="143">
        <v>0</v>
      </c>
      <c r="Q172" s="143">
        <v>0</v>
      </c>
      <c r="R172" s="143">
        <f t="shared" si="249"/>
        <v>0</v>
      </c>
      <c r="S172" s="143">
        <v>0</v>
      </c>
      <c r="T172" s="143">
        <v>0</v>
      </c>
      <c r="U172" s="143">
        <f t="shared" si="204"/>
        <v>0</v>
      </c>
      <c r="V172" s="143">
        <f t="shared" si="205"/>
        <v>1204587497</v>
      </c>
      <c r="W172" s="143">
        <f t="shared" si="206"/>
        <v>1114087</v>
      </c>
      <c r="X172" s="237">
        <f t="shared" si="176"/>
        <v>1205701584</v>
      </c>
      <c r="Y172" s="350">
        <f>B172</f>
        <v>1089558</v>
      </c>
      <c r="Z172" s="350">
        <f>C172</f>
        <v>0</v>
      </c>
      <c r="AA172" s="350">
        <f t="shared" si="244"/>
        <v>1089558</v>
      </c>
      <c r="AB172" s="350">
        <f>E172</f>
        <v>1203497939</v>
      </c>
      <c r="AC172" s="350">
        <f>F172</f>
        <v>1114087</v>
      </c>
      <c r="AD172" s="350">
        <f t="shared" si="245"/>
        <v>1204612026</v>
      </c>
      <c r="AE172" s="350">
        <f>H172</f>
        <v>0</v>
      </c>
      <c r="AF172" s="350">
        <f>I172</f>
        <v>0</v>
      </c>
      <c r="AG172" s="350">
        <f t="shared" si="246"/>
        <v>0</v>
      </c>
      <c r="AH172" s="350">
        <f>K172</f>
        <v>0</v>
      </c>
      <c r="AI172" s="350">
        <f>L172</f>
        <v>0</v>
      </c>
      <c r="AJ172" s="350">
        <f>M172</f>
        <v>0</v>
      </c>
      <c r="AK172" s="350">
        <f t="shared" si="247"/>
        <v>0</v>
      </c>
      <c r="AL172" s="350">
        <f>O172</f>
        <v>0</v>
      </c>
      <c r="AM172" s="350">
        <f>P172</f>
        <v>0</v>
      </c>
      <c r="AN172" s="350">
        <f>Q172</f>
        <v>0</v>
      </c>
      <c r="AO172" s="350">
        <f t="shared" ref="AO172:AO186" si="251">SUM(AL172:AN172)</f>
        <v>0</v>
      </c>
      <c r="AP172" s="350">
        <f>S172</f>
        <v>0</v>
      </c>
      <c r="AQ172" s="350">
        <f>T172</f>
        <v>0</v>
      </c>
      <c r="AR172" s="350">
        <f t="shared" ref="AR172:AR186" si="252">SUM(AP172:AQ172)</f>
        <v>0</v>
      </c>
      <c r="AS172" s="350">
        <f t="shared" ref="AS172:AS186" si="253">Y172+AB172+AE172+AH172+AL172+AP172</f>
        <v>1204587497</v>
      </c>
      <c r="AT172" s="350">
        <f t="shared" si="242"/>
        <v>0</v>
      </c>
      <c r="AU172" s="350">
        <f t="shared" si="243"/>
        <v>1114087</v>
      </c>
      <c r="AV172" s="351">
        <f t="shared" si="207"/>
        <v>1205701584</v>
      </c>
      <c r="AW172" s="431">
        <f t="shared" si="250"/>
        <v>3.0123439502447447E-3</v>
      </c>
      <c r="AX172" s="431">
        <f t="shared" si="250"/>
        <v>-1</v>
      </c>
      <c r="AY172" s="431">
        <f>AU172/AU160-1</f>
        <v>10.948338731472941</v>
      </c>
      <c r="AZ172" s="431">
        <f>AV172/AV160-1</f>
        <v>-3.2888679618495731E-3</v>
      </c>
      <c r="BA172" s="234"/>
      <c r="BB172" s="18">
        <f t="shared" si="238"/>
        <v>141814</v>
      </c>
      <c r="BC172" s="18">
        <v>1205559770</v>
      </c>
    </row>
    <row r="173" spans="1:55">
      <c r="A173" s="138">
        <v>45323</v>
      </c>
      <c r="B173" s="139">
        <v>646803</v>
      </c>
      <c r="C173" s="18">
        <v>1529193</v>
      </c>
      <c r="D173" s="18">
        <f t="shared" si="248"/>
        <v>2175996</v>
      </c>
      <c r="E173" s="18">
        <v>1206352583</v>
      </c>
      <c r="F173" s="18">
        <v>1082157</v>
      </c>
      <c r="G173" s="18">
        <f t="shared" si="201"/>
        <v>1207434740</v>
      </c>
      <c r="H173" s="18">
        <v>0</v>
      </c>
      <c r="I173" s="18">
        <v>0</v>
      </c>
      <c r="J173" s="18">
        <f t="shared" si="202"/>
        <v>0</v>
      </c>
      <c r="K173" s="18">
        <v>0</v>
      </c>
      <c r="L173" s="18">
        <v>0</v>
      </c>
      <c r="M173" s="18">
        <v>0</v>
      </c>
      <c r="N173" s="18">
        <f t="shared" si="203"/>
        <v>0</v>
      </c>
      <c r="O173" s="18">
        <v>0</v>
      </c>
      <c r="P173" s="18">
        <v>0</v>
      </c>
      <c r="Q173" s="18">
        <v>0</v>
      </c>
      <c r="R173" s="18">
        <f t="shared" si="249"/>
        <v>0</v>
      </c>
      <c r="S173" s="18">
        <v>0</v>
      </c>
      <c r="T173" s="18">
        <v>0</v>
      </c>
      <c r="U173" s="18">
        <f t="shared" si="204"/>
        <v>0</v>
      </c>
      <c r="V173" s="18">
        <f t="shared" si="205"/>
        <v>1206999386</v>
      </c>
      <c r="W173" s="18">
        <f t="shared" si="206"/>
        <v>2611350</v>
      </c>
      <c r="X173" s="235">
        <f t="shared" si="176"/>
        <v>1209610736</v>
      </c>
      <c r="Y173" s="353">
        <f t="shared" ref="Y173:Z183" si="254">Y172+B173</f>
        <v>1736361</v>
      </c>
      <c r="Z173" s="353">
        <f t="shared" si="254"/>
        <v>1529193</v>
      </c>
      <c r="AA173" s="353">
        <f t="shared" si="244"/>
        <v>3265554</v>
      </c>
      <c r="AB173" s="353">
        <f t="shared" ref="AB173:AC183" si="255">AB172+E173</f>
        <v>2409850522</v>
      </c>
      <c r="AC173" s="353">
        <f t="shared" si="255"/>
        <v>2196244</v>
      </c>
      <c r="AD173" s="353">
        <f t="shared" si="245"/>
        <v>2412046766</v>
      </c>
      <c r="AE173" s="353">
        <f t="shared" ref="AE173:AF183" si="256">AE172+H173</f>
        <v>0</v>
      </c>
      <c r="AF173" s="353">
        <f t="shared" si="256"/>
        <v>0</v>
      </c>
      <c r="AG173" s="353">
        <f t="shared" si="246"/>
        <v>0</v>
      </c>
      <c r="AH173" s="353">
        <f t="shared" ref="AH173:AJ183" si="257">AH172+K173</f>
        <v>0</v>
      </c>
      <c r="AI173" s="353">
        <f t="shared" si="257"/>
        <v>0</v>
      </c>
      <c r="AJ173" s="353">
        <f t="shared" si="257"/>
        <v>0</v>
      </c>
      <c r="AK173" s="353">
        <f t="shared" si="247"/>
        <v>0</v>
      </c>
      <c r="AL173" s="353">
        <f t="shared" ref="AL173:AN183" si="258">AL172+O173</f>
        <v>0</v>
      </c>
      <c r="AM173" s="353">
        <f t="shared" si="258"/>
        <v>0</v>
      </c>
      <c r="AN173" s="353">
        <f t="shared" si="258"/>
        <v>0</v>
      </c>
      <c r="AO173" s="353">
        <f t="shared" si="251"/>
        <v>0</v>
      </c>
      <c r="AP173" s="353">
        <f t="shared" ref="AP173:AQ183" si="259">AP172+S173</f>
        <v>0</v>
      </c>
      <c r="AQ173" s="353">
        <f t="shared" si="259"/>
        <v>0</v>
      </c>
      <c r="AR173" s="353">
        <f t="shared" si="252"/>
        <v>0</v>
      </c>
      <c r="AS173" s="353">
        <f t="shared" si="253"/>
        <v>2411586883</v>
      </c>
      <c r="AT173" s="353">
        <f t="shared" si="242"/>
        <v>0</v>
      </c>
      <c r="AU173" s="353">
        <f t="shared" si="243"/>
        <v>3725437</v>
      </c>
      <c r="AV173" s="354">
        <f t="shared" si="207"/>
        <v>2415312320</v>
      </c>
      <c r="AW173" s="431">
        <f t="shared" si="250"/>
        <v>3.9908434555267602E-2</v>
      </c>
      <c r="AX173" s="431">
        <f t="shared" si="250"/>
        <v>-1</v>
      </c>
      <c r="AY173" s="431">
        <f t="shared" si="250"/>
        <v>2.1212084907019841</v>
      </c>
      <c r="AZ173" s="431">
        <f t="shared" si="250"/>
        <v>3.4249972094170023E-2</v>
      </c>
      <c r="BA173" s="234"/>
      <c r="BB173" s="18">
        <f t="shared" si="238"/>
        <v>373887</v>
      </c>
      <c r="BC173" s="18">
        <v>2414938433</v>
      </c>
    </row>
    <row r="174" spans="1:55">
      <c r="A174" s="138">
        <v>45352</v>
      </c>
      <c r="B174" s="139">
        <v>877507</v>
      </c>
      <c r="C174" s="18">
        <v>0</v>
      </c>
      <c r="D174" s="18">
        <f t="shared" si="248"/>
        <v>877507</v>
      </c>
      <c r="E174" s="18">
        <v>1185423732</v>
      </c>
      <c r="F174" s="18">
        <v>1127636</v>
      </c>
      <c r="G174" s="18">
        <f t="shared" si="201"/>
        <v>1186551368</v>
      </c>
      <c r="H174" s="18">
        <v>0</v>
      </c>
      <c r="I174" s="18">
        <v>0</v>
      </c>
      <c r="J174" s="18">
        <f t="shared" si="202"/>
        <v>0</v>
      </c>
      <c r="K174" s="18">
        <v>0</v>
      </c>
      <c r="L174" s="18">
        <v>0</v>
      </c>
      <c r="M174" s="18">
        <v>0</v>
      </c>
      <c r="N174" s="18">
        <f t="shared" si="203"/>
        <v>0</v>
      </c>
      <c r="O174" s="18">
        <v>0</v>
      </c>
      <c r="P174" s="18">
        <v>0</v>
      </c>
      <c r="Q174" s="18">
        <v>0</v>
      </c>
      <c r="R174" s="18">
        <f t="shared" si="249"/>
        <v>0</v>
      </c>
      <c r="S174" s="18">
        <v>0</v>
      </c>
      <c r="T174" s="18">
        <v>0</v>
      </c>
      <c r="U174" s="18">
        <f t="shared" si="204"/>
        <v>0</v>
      </c>
      <c r="V174" s="18">
        <f t="shared" si="205"/>
        <v>1186301239</v>
      </c>
      <c r="W174" s="18">
        <f t="shared" si="206"/>
        <v>1127636</v>
      </c>
      <c r="X174" s="235">
        <f t="shared" ref="X174:X186" si="260">W174+V174</f>
        <v>1187428875</v>
      </c>
      <c r="Y174" s="353">
        <f t="shared" si="254"/>
        <v>2613868</v>
      </c>
      <c r="Z174" s="353">
        <f t="shared" si="254"/>
        <v>1529193</v>
      </c>
      <c r="AA174" s="353">
        <f t="shared" si="244"/>
        <v>4143061</v>
      </c>
      <c r="AB174" s="353">
        <f t="shared" si="255"/>
        <v>3595274254</v>
      </c>
      <c r="AC174" s="353">
        <f t="shared" si="255"/>
        <v>3323880</v>
      </c>
      <c r="AD174" s="353">
        <f t="shared" si="245"/>
        <v>3598598134</v>
      </c>
      <c r="AE174" s="353">
        <f t="shared" si="256"/>
        <v>0</v>
      </c>
      <c r="AF174" s="353">
        <f t="shared" si="256"/>
        <v>0</v>
      </c>
      <c r="AG174" s="353">
        <f t="shared" si="246"/>
        <v>0</v>
      </c>
      <c r="AH174" s="353">
        <f t="shared" si="257"/>
        <v>0</v>
      </c>
      <c r="AI174" s="353">
        <f t="shared" si="257"/>
        <v>0</v>
      </c>
      <c r="AJ174" s="353">
        <f t="shared" si="257"/>
        <v>0</v>
      </c>
      <c r="AK174" s="353">
        <f t="shared" si="247"/>
        <v>0</v>
      </c>
      <c r="AL174" s="353">
        <f t="shared" si="258"/>
        <v>0</v>
      </c>
      <c r="AM174" s="353">
        <f t="shared" si="258"/>
        <v>0</v>
      </c>
      <c r="AN174" s="353">
        <f t="shared" si="258"/>
        <v>0</v>
      </c>
      <c r="AO174" s="353">
        <f t="shared" si="251"/>
        <v>0</v>
      </c>
      <c r="AP174" s="353">
        <f t="shared" si="259"/>
        <v>0</v>
      </c>
      <c r="AQ174" s="353">
        <f t="shared" si="259"/>
        <v>0</v>
      </c>
      <c r="AR174" s="353">
        <f t="shared" si="252"/>
        <v>0</v>
      </c>
      <c r="AS174" s="353">
        <f t="shared" si="253"/>
        <v>3597888122</v>
      </c>
      <c r="AT174" s="353">
        <f t="shared" si="242"/>
        <v>0</v>
      </c>
      <c r="AU174" s="353">
        <f t="shared" si="243"/>
        <v>4853073</v>
      </c>
      <c r="AV174" s="354">
        <f t="shared" si="207"/>
        <v>3602741195</v>
      </c>
      <c r="AW174" s="431">
        <f t="shared" si="250"/>
        <v>2.0392837553519172E-2</v>
      </c>
      <c r="AX174" s="431">
        <f t="shared" si="250"/>
        <v>-1</v>
      </c>
      <c r="AY174" s="431">
        <f t="shared" si="250"/>
        <v>3.0659532434977566</v>
      </c>
      <c r="AZ174" s="431">
        <f t="shared" si="250"/>
        <v>1.4762474676136117E-2</v>
      </c>
      <c r="BA174" s="234"/>
      <c r="BB174" s="18">
        <f t="shared" si="238"/>
        <v>387347</v>
      </c>
      <c r="BC174" s="18">
        <v>3602353848</v>
      </c>
    </row>
    <row r="175" spans="1:55">
      <c r="A175" s="138">
        <v>45383</v>
      </c>
      <c r="B175" s="139">
        <v>1001787</v>
      </c>
      <c r="C175" s="18">
        <v>2426867</v>
      </c>
      <c r="D175" s="18">
        <f t="shared" si="248"/>
        <v>3428654</v>
      </c>
      <c r="E175" s="18">
        <v>1184892171</v>
      </c>
      <c r="F175" s="18">
        <v>1117752</v>
      </c>
      <c r="G175" s="18">
        <f t="shared" si="201"/>
        <v>1186009923</v>
      </c>
      <c r="H175" s="18">
        <v>0</v>
      </c>
      <c r="I175" s="18">
        <v>0</v>
      </c>
      <c r="J175" s="18">
        <f t="shared" si="202"/>
        <v>0</v>
      </c>
      <c r="K175" s="18">
        <v>147171</v>
      </c>
      <c r="L175" s="18">
        <v>0</v>
      </c>
      <c r="M175" s="18">
        <v>0</v>
      </c>
      <c r="N175" s="18">
        <f t="shared" si="203"/>
        <v>147171</v>
      </c>
      <c r="O175" s="18">
        <v>38123</v>
      </c>
      <c r="P175" s="18">
        <v>0</v>
      </c>
      <c r="Q175" s="18">
        <v>0</v>
      </c>
      <c r="R175" s="18">
        <f t="shared" si="249"/>
        <v>38123</v>
      </c>
      <c r="S175" s="18">
        <v>2419776</v>
      </c>
      <c r="T175" s="18">
        <v>0</v>
      </c>
      <c r="U175" s="18">
        <f t="shared" si="204"/>
        <v>2419776</v>
      </c>
      <c r="V175" s="18">
        <f t="shared" si="205"/>
        <v>1188499028</v>
      </c>
      <c r="W175" s="18">
        <f t="shared" si="206"/>
        <v>3544619</v>
      </c>
      <c r="X175" s="235">
        <f t="shared" si="260"/>
        <v>1192043647</v>
      </c>
      <c r="Y175" s="353">
        <f t="shared" si="254"/>
        <v>3615655</v>
      </c>
      <c r="Z175" s="353">
        <f t="shared" si="254"/>
        <v>3956060</v>
      </c>
      <c r="AA175" s="353">
        <f t="shared" si="244"/>
        <v>7571715</v>
      </c>
      <c r="AB175" s="353">
        <f t="shared" si="255"/>
        <v>4780166425</v>
      </c>
      <c r="AC175" s="353">
        <f t="shared" si="255"/>
        <v>4441632</v>
      </c>
      <c r="AD175" s="353">
        <f t="shared" si="245"/>
        <v>4784608057</v>
      </c>
      <c r="AE175" s="353">
        <f t="shared" si="256"/>
        <v>0</v>
      </c>
      <c r="AF175" s="353">
        <f t="shared" si="256"/>
        <v>0</v>
      </c>
      <c r="AG175" s="353">
        <f t="shared" si="246"/>
        <v>0</v>
      </c>
      <c r="AH175" s="353">
        <f t="shared" si="257"/>
        <v>147171</v>
      </c>
      <c r="AI175" s="353">
        <f t="shared" si="257"/>
        <v>0</v>
      </c>
      <c r="AJ175" s="353">
        <f t="shared" si="257"/>
        <v>0</v>
      </c>
      <c r="AK175" s="353">
        <f t="shared" si="247"/>
        <v>147171</v>
      </c>
      <c r="AL175" s="353">
        <f t="shared" si="258"/>
        <v>38123</v>
      </c>
      <c r="AM175" s="353">
        <f t="shared" si="258"/>
        <v>0</v>
      </c>
      <c r="AN175" s="353">
        <f t="shared" si="258"/>
        <v>0</v>
      </c>
      <c r="AO175" s="353">
        <f t="shared" si="251"/>
        <v>38123</v>
      </c>
      <c r="AP175" s="353">
        <f t="shared" si="259"/>
        <v>2419776</v>
      </c>
      <c r="AQ175" s="353">
        <f t="shared" si="259"/>
        <v>0</v>
      </c>
      <c r="AR175" s="353">
        <f t="shared" si="252"/>
        <v>2419776</v>
      </c>
      <c r="AS175" s="353">
        <f t="shared" si="253"/>
        <v>4786387150</v>
      </c>
      <c r="AT175" s="353">
        <f t="shared" si="242"/>
        <v>0</v>
      </c>
      <c r="AU175" s="353">
        <f t="shared" si="243"/>
        <v>8397692</v>
      </c>
      <c r="AV175" s="354">
        <f t="shared" si="207"/>
        <v>4794784842</v>
      </c>
      <c r="AW175" s="431">
        <f t="shared" si="250"/>
        <v>2.6109932549315262E-2</v>
      </c>
      <c r="AX175" s="431">
        <f t="shared" si="250"/>
        <v>-1</v>
      </c>
      <c r="AY175" s="431">
        <f t="shared" si="250"/>
        <v>2.7210781685491341</v>
      </c>
      <c r="AZ175" s="431">
        <f t="shared" si="250"/>
        <v>2.0208033233537925E-2</v>
      </c>
      <c r="BA175" s="234"/>
      <c r="BB175" s="18">
        <f t="shared" si="238"/>
        <v>2807123</v>
      </c>
      <c r="BC175" s="18">
        <v>4791977719</v>
      </c>
    </row>
    <row r="176" spans="1:55">
      <c r="A176" s="138">
        <v>45413</v>
      </c>
      <c r="B176" s="139">
        <v>1403015</v>
      </c>
      <c r="C176" s="18">
        <v>0</v>
      </c>
      <c r="D176" s="18">
        <f t="shared" si="248"/>
        <v>1403015</v>
      </c>
      <c r="E176" s="18">
        <v>1262729662</v>
      </c>
      <c r="F176" s="18">
        <v>1287081</v>
      </c>
      <c r="G176" s="18">
        <f t="shared" si="201"/>
        <v>1264016743</v>
      </c>
      <c r="H176" s="18">
        <v>0</v>
      </c>
      <c r="I176" s="18">
        <v>0</v>
      </c>
      <c r="J176" s="18">
        <f t="shared" si="202"/>
        <v>0</v>
      </c>
      <c r="K176" s="18">
        <v>0</v>
      </c>
      <c r="L176" s="18">
        <v>0</v>
      </c>
      <c r="M176" s="18">
        <v>0</v>
      </c>
      <c r="N176" s="18">
        <f t="shared" si="203"/>
        <v>0</v>
      </c>
      <c r="O176" s="18">
        <v>0</v>
      </c>
      <c r="P176" s="18">
        <v>0</v>
      </c>
      <c r="Q176" s="18">
        <v>0</v>
      </c>
      <c r="R176" s="18">
        <f t="shared" ref="R176:R181" si="261">SUM(O176:Q176)</f>
        <v>0</v>
      </c>
      <c r="S176" s="18">
        <v>200512</v>
      </c>
      <c r="T176" s="18">
        <v>0</v>
      </c>
      <c r="U176" s="18">
        <f t="shared" si="204"/>
        <v>200512</v>
      </c>
      <c r="V176" s="18">
        <f t="shared" si="205"/>
        <v>1264333189</v>
      </c>
      <c r="W176" s="18">
        <f t="shared" si="206"/>
        <v>1287081</v>
      </c>
      <c r="X176" s="235">
        <f t="shared" si="260"/>
        <v>1265620270</v>
      </c>
      <c r="Y176" s="353">
        <f t="shared" si="254"/>
        <v>5018670</v>
      </c>
      <c r="Z176" s="353">
        <f t="shared" si="254"/>
        <v>3956060</v>
      </c>
      <c r="AA176" s="353">
        <f t="shared" si="244"/>
        <v>8974730</v>
      </c>
      <c r="AB176" s="353">
        <f t="shared" si="255"/>
        <v>6042896087</v>
      </c>
      <c r="AC176" s="353">
        <f t="shared" si="255"/>
        <v>5728713</v>
      </c>
      <c r="AD176" s="353">
        <f t="shared" si="245"/>
        <v>6048624800</v>
      </c>
      <c r="AE176" s="353">
        <f t="shared" si="256"/>
        <v>0</v>
      </c>
      <c r="AF176" s="353">
        <f t="shared" si="256"/>
        <v>0</v>
      </c>
      <c r="AG176" s="353">
        <f t="shared" si="246"/>
        <v>0</v>
      </c>
      <c r="AH176" s="353">
        <f t="shared" si="257"/>
        <v>147171</v>
      </c>
      <c r="AI176" s="353">
        <f t="shared" si="257"/>
        <v>0</v>
      </c>
      <c r="AJ176" s="353">
        <f t="shared" si="257"/>
        <v>0</v>
      </c>
      <c r="AK176" s="353">
        <f t="shared" si="247"/>
        <v>147171</v>
      </c>
      <c r="AL176" s="353">
        <f t="shared" si="258"/>
        <v>38123</v>
      </c>
      <c r="AM176" s="353">
        <f t="shared" si="258"/>
        <v>0</v>
      </c>
      <c r="AN176" s="353">
        <f t="shared" si="258"/>
        <v>0</v>
      </c>
      <c r="AO176" s="353">
        <f t="shared" si="251"/>
        <v>38123</v>
      </c>
      <c r="AP176" s="353">
        <f t="shared" si="259"/>
        <v>2620288</v>
      </c>
      <c r="AQ176" s="353">
        <f t="shared" si="259"/>
        <v>0</v>
      </c>
      <c r="AR176" s="353">
        <f t="shared" si="252"/>
        <v>2620288</v>
      </c>
      <c r="AS176" s="353">
        <f t="shared" si="253"/>
        <v>6050720339</v>
      </c>
      <c r="AT176" s="353">
        <f t="shared" si="242"/>
        <v>0</v>
      </c>
      <c r="AU176" s="353">
        <f t="shared" si="243"/>
        <v>9684773</v>
      </c>
      <c r="AV176" s="354">
        <f t="shared" si="207"/>
        <v>6060405112</v>
      </c>
      <c r="AW176" s="431">
        <f t="shared" si="250"/>
        <v>2.2268451424909186E-2</v>
      </c>
      <c r="AX176" s="431">
        <f t="shared" si="250"/>
        <v>-1</v>
      </c>
      <c r="AY176" s="431">
        <f t="shared" si="250"/>
        <v>1.746023064298992</v>
      </c>
      <c r="AZ176" s="431">
        <f t="shared" si="250"/>
        <v>1.5320023315724685E-2</v>
      </c>
      <c r="BA176" s="234"/>
      <c r="BB176" s="18">
        <f t="shared" si="238"/>
        <v>1268427393</v>
      </c>
      <c r="BC176" s="18">
        <v>4791977719</v>
      </c>
    </row>
    <row r="177" spans="1:55">
      <c r="A177" s="138">
        <v>45444</v>
      </c>
      <c r="B177" s="139">
        <v>2323018</v>
      </c>
      <c r="C177" s="18">
        <v>2276354</v>
      </c>
      <c r="D177" s="18">
        <f t="shared" si="248"/>
        <v>4599372</v>
      </c>
      <c r="E177" s="18">
        <v>1205183155</v>
      </c>
      <c r="F177" s="18">
        <v>1182008</v>
      </c>
      <c r="G177" s="18">
        <f t="shared" si="201"/>
        <v>1206365163</v>
      </c>
      <c r="H177" s="18">
        <v>0</v>
      </c>
      <c r="I177" s="18">
        <v>0</v>
      </c>
      <c r="J177" s="18">
        <f t="shared" si="202"/>
        <v>0</v>
      </c>
      <c r="K177" s="18">
        <v>0</v>
      </c>
      <c r="L177" s="18">
        <v>0</v>
      </c>
      <c r="M177" s="18">
        <v>0</v>
      </c>
      <c r="N177" s="18">
        <f t="shared" si="203"/>
        <v>0</v>
      </c>
      <c r="O177" s="18">
        <v>0</v>
      </c>
      <c r="P177" s="18">
        <v>0</v>
      </c>
      <c r="Q177" s="18">
        <v>0</v>
      </c>
      <c r="R177" s="18">
        <f t="shared" si="261"/>
        <v>0</v>
      </c>
      <c r="S177" s="18">
        <v>0</v>
      </c>
      <c r="T177" s="18">
        <v>0</v>
      </c>
      <c r="U177" s="18">
        <f t="shared" si="204"/>
        <v>0</v>
      </c>
      <c r="V177" s="18">
        <f t="shared" si="205"/>
        <v>1207506173</v>
      </c>
      <c r="W177" s="18">
        <f t="shared" si="206"/>
        <v>3458362</v>
      </c>
      <c r="X177" s="235">
        <f t="shared" si="260"/>
        <v>1210964535</v>
      </c>
      <c r="Y177" s="353">
        <f t="shared" si="254"/>
        <v>7341688</v>
      </c>
      <c r="Z177" s="353">
        <f t="shared" si="254"/>
        <v>6232414</v>
      </c>
      <c r="AA177" s="353">
        <f t="shared" si="244"/>
        <v>13574102</v>
      </c>
      <c r="AB177" s="353">
        <f t="shared" si="255"/>
        <v>7248079242</v>
      </c>
      <c r="AC177" s="353">
        <f t="shared" si="255"/>
        <v>6910721</v>
      </c>
      <c r="AD177" s="353">
        <f t="shared" si="245"/>
        <v>7254989963</v>
      </c>
      <c r="AE177" s="353">
        <f t="shared" si="256"/>
        <v>0</v>
      </c>
      <c r="AF177" s="353">
        <f t="shared" si="256"/>
        <v>0</v>
      </c>
      <c r="AG177" s="353">
        <f t="shared" si="246"/>
        <v>0</v>
      </c>
      <c r="AH177" s="353">
        <f t="shared" si="257"/>
        <v>147171</v>
      </c>
      <c r="AI177" s="353">
        <f t="shared" si="257"/>
        <v>0</v>
      </c>
      <c r="AJ177" s="353">
        <f t="shared" si="257"/>
        <v>0</v>
      </c>
      <c r="AK177" s="353">
        <f t="shared" si="247"/>
        <v>147171</v>
      </c>
      <c r="AL177" s="353">
        <f t="shared" si="258"/>
        <v>38123</v>
      </c>
      <c r="AM177" s="353">
        <f t="shared" si="258"/>
        <v>0</v>
      </c>
      <c r="AN177" s="353">
        <f t="shared" si="258"/>
        <v>0</v>
      </c>
      <c r="AO177" s="353">
        <f t="shared" si="251"/>
        <v>38123</v>
      </c>
      <c r="AP177" s="353">
        <f t="shared" si="259"/>
        <v>2620288</v>
      </c>
      <c r="AQ177" s="353">
        <f t="shared" si="259"/>
        <v>0</v>
      </c>
      <c r="AR177" s="353">
        <f t="shared" si="252"/>
        <v>2620288</v>
      </c>
      <c r="AS177" s="353">
        <f t="shared" si="253"/>
        <v>7258226512</v>
      </c>
      <c r="AT177" s="353">
        <f t="shared" si="242"/>
        <v>0</v>
      </c>
      <c r="AU177" s="353">
        <f t="shared" si="243"/>
        <v>13143135</v>
      </c>
      <c r="AV177" s="354">
        <f t="shared" si="207"/>
        <v>7271369647</v>
      </c>
      <c r="AW177" s="431">
        <f t="shared" si="250"/>
        <v>9.2321145623430745E-3</v>
      </c>
      <c r="AX177" s="431">
        <f t="shared" si="250"/>
        <v>-1</v>
      </c>
      <c r="AY177" s="431">
        <f t="shared" si="250"/>
        <v>1.7818908239184696</v>
      </c>
      <c r="AZ177" s="431">
        <f t="shared" si="250"/>
        <v>2.9221124041862723E-3</v>
      </c>
      <c r="BA177" s="234"/>
      <c r="BB177" s="18">
        <f t="shared" si="238"/>
        <v>2479391928</v>
      </c>
      <c r="BC177" s="18">
        <v>4791977719</v>
      </c>
    </row>
    <row r="178" spans="1:55">
      <c r="A178" s="138">
        <v>45474</v>
      </c>
      <c r="B178" s="139">
        <v>606134</v>
      </c>
      <c r="C178" s="18">
        <v>0</v>
      </c>
      <c r="D178" s="18">
        <f t="shared" si="248"/>
        <v>606134</v>
      </c>
      <c r="E178" s="18">
        <v>1323973100</v>
      </c>
      <c r="F178" s="18">
        <v>1350023</v>
      </c>
      <c r="G178" s="18">
        <f t="shared" si="201"/>
        <v>1325323123</v>
      </c>
      <c r="H178" s="18">
        <v>0</v>
      </c>
      <c r="I178" s="18">
        <v>0</v>
      </c>
      <c r="J178" s="18">
        <f t="shared" si="202"/>
        <v>0</v>
      </c>
      <c r="K178" s="18">
        <v>0</v>
      </c>
      <c r="L178" s="18">
        <v>0</v>
      </c>
      <c r="M178" s="18">
        <v>0</v>
      </c>
      <c r="N178" s="18">
        <f t="shared" si="203"/>
        <v>0</v>
      </c>
      <c r="O178" s="18">
        <v>0</v>
      </c>
      <c r="P178" s="18">
        <v>0</v>
      </c>
      <c r="Q178" s="18">
        <v>0</v>
      </c>
      <c r="R178" s="18">
        <f t="shared" si="261"/>
        <v>0</v>
      </c>
      <c r="S178" s="18">
        <v>0</v>
      </c>
      <c r="T178" s="18">
        <v>0</v>
      </c>
      <c r="U178" s="18">
        <f t="shared" si="204"/>
        <v>0</v>
      </c>
      <c r="V178" s="18">
        <f t="shared" si="205"/>
        <v>1324579234</v>
      </c>
      <c r="W178" s="18">
        <f t="shared" si="206"/>
        <v>1350023</v>
      </c>
      <c r="X178" s="235">
        <f t="shared" si="260"/>
        <v>1325929257</v>
      </c>
      <c r="Y178" s="353">
        <f t="shared" si="254"/>
        <v>7947822</v>
      </c>
      <c r="Z178" s="353">
        <f t="shared" si="254"/>
        <v>6232414</v>
      </c>
      <c r="AA178" s="353">
        <f t="shared" si="244"/>
        <v>14180236</v>
      </c>
      <c r="AB178" s="353">
        <f t="shared" si="255"/>
        <v>8572052342</v>
      </c>
      <c r="AC178" s="353">
        <f t="shared" si="255"/>
        <v>8260744</v>
      </c>
      <c r="AD178" s="353">
        <f t="shared" si="245"/>
        <v>8580313086</v>
      </c>
      <c r="AE178" s="353">
        <f t="shared" si="256"/>
        <v>0</v>
      </c>
      <c r="AF178" s="353">
        <f t="shared" si="256"/>
        <v>0</v>
      </c>
      <c r="AG178" s="353">
        <f t="shared" si="246"/>
        <v>0</v>
      </c>
      <c r="AH178" s="353">
        <f t="shared" si="257"/>
        <v>147171</v>
      </c>
      <c r="AI178" s="353">
        <f t="shared" si="257"/>
        <v>0</v>
      </c>
      <c r="AJ178" s="353">
        <f t="shared" si="257"/>
        <v>0</v>
      </c>
      <c r="AK178" s="353">
        <f t="shared" si="247"/>
        <v>147171</v>
      </c>
      <c r="AL178" s="353">
        <f t="shared" si="258"/>
        <v>38123</v>
      </c>
      <c r="AM178" s="353">
        <f t="shared" si="258"/>
        <v>0</v>
      </c>
      <c r="AN178" s="353">
        <f t="shared" si="258"/>
        <v>0</v>
      </c>
      <c r="AO178" s="353">
        <f t="shared" si="251"/>
        <v>38123</v>
      </c>
      <c r="AP178" s="353">
        <f t="shared" si="259"/>
        <v>2620288</v>
      </c>
      <c r="AQ178" s="353">
        <f t="shared" si="259"/>
        <v>0</v>
      </c>
      <c r="AR178" s="353">
        <f t="shared" si="252"/>
        <v>2620288</v>
      </c>
      <c r="AS178" s="353">
        <f t="shared" si="253"/>
        <v>8582805746</v>
      </c>
      <c r="AT178" s="353">
        <f t="shared" si="242"/>
        <v>0</v>
      </c>
      <c r="AU178" s="353">
        <f t="shared" si="243"/>
        <v>14493158</v>
      </c>
      <c r="AV178" s="354">
        <f t="shared" si="207"/>
        <v>8597298904</v>
      </c>
      <c r="AW178" s="431">
        <f t="shared" si="250"/>
        <v>1.4326566786073247E-2</v>
      </c>
      <c r="AX178" s="431">
        <f t="shared" si="250"/>
        <v>-1</v>
      </c>
      <c r="AY178" s="431">
        <f t="shared" si="250"/>
        <v>1.3766467688418493</v>
      </c>
      <c r="AZ178" s="431">
        <f t="shared" si="250"/>
        <v>8.2759364621818321E-3</v>
      </c>
      <c r="BA178" s="234"/>
      <c r="BB178" s="18">
        <f t="shared" si="238"/>
        <v>3805321185</v>
      </c>
      <c r="BC178" s="18">
        <v>4791977719</v>
      </c>
    </row>
    <row r="179" spans="1:55">
      <c r="A179" s="138">
        <v>45505</v>
      </c>
      <c r="B179" s="139">
        <v>279593</v>
      </c>
      <c r="C179" s="18">
        <v>0</v>
      </c>
      <c r="D179" s="18">
        <f t="shared" si="248"/>
        <v>279593</v>
      </c>
      <c r="E179" s="18">
        <v>1316218642</v>
      </c>
      <c r="F179" s="18">
        <v>1345517</v>
      </c>
      <c r="G179" s="18">
        <f t="shared" si="201"/>
        <v>1317564159</v>
      </c>
      <c r="H179" s="18">
        <v>0</v>
      </c>
      <c r="I179" s="18">
        <v>0</v>
      </c>
      <c r="J179" s="18">
        <f t="shared" si="202"/>
        <v>0</v>
      </c>
      <c r="K179" s="18">
        <v>0</v>
      </c>
      <c r="L179" s="18">
        <v>0</v>
      </c>
      <c r="M179" s="18">
        <v>0</v>
      </c>
      <c r="N179" s="18">
        <f t="shared" si="203"/>
        <v>0</v>
      </c>
      <c r="O179" s="18">
        <v>0</v>
      </c>
      <c r="P179" s="18">
        <v>0</v>
      </c>
      <c r="Q179" s="18">
        <v>0</v>
      </c>
      <c r="R179" s="18">
        <f t="shared" si="261"/>
        <v>0</v>
      </c>
      <c r="S179" s="18">
        <v>0</v>
      </c>
      <c r="T179" s="18">
        <v>0</v>
      </c>
      <c r="U179" s="18">
        <f t="shared" si="204"/>
        <v>0</v>
      </c>
      <c r="V179" s="18">
        <f t="shared" si="205"/>
        <v>1316498235</v>
      </c>
      <c r="W179" s="18">
        <f t="shared" si="206"/>
        <v>1345517</v>
      </c>
      <c r="X179" s="235">
        <f t="shared" si="260"/>
        <v>1317843752</v>
      </c>
      <c r="Y179" s="353">
        <f t="shared" si="254"/>
        <v>8227415</v>
      </c>
      <c r="Z179" s="353">
        <f t="shared" si="254"/>
        <v>6232414</v>
      </c>
      <c r="AA179" s="353">
        <f t="shared" si="244"/>
        <v>14459829</v>
      </c>
      <c r="AB179" s="353">
        <f t="shared" si="255"/>
        <v>9888270984</v>
      </c>
      <c r="AC179" s="353">
        <f t="shared" si="255"/>
        <v>9606261</v>
      </c>
      <c r="AD179" s="353">
        <f t="shared" si="245"/>
        <v>9897877245</v>
      </c>
      <c r="AE179" s="353">
        <f t="shared" si="256"/>
        <v>0</v>
      </c>
      <c r="AF179" s="353">
        <f t="shared" si="256"/>
        <v>0</v>
      </c>
      <c r="AG179" s="353">
        <f t="shared" si="246"/>
        <v>0</v>
      </c>
      <c r="AH179" s="353">
        <f t="shared" si="257"/>
        <v>147171</v>
      </c>
      <c r="AI179" s="353">
        <f t="shared" si="257"/>
        <v>0</v>
      </c>
      <c r="AJ179" s="353">
        <f t="shared" si="257"/>
        <v>0</v>
      </c>
      <c r="AK179" s="353">
        <f t="shared" si="247"/>
        <v>147171</v>
      </c>
      <c r="AL179" s="353">
        <f t="shared" si="258"/>
        <v>38123</v>
      </c>
      <c r="AM179" s="353">
        <f t="shared" si="258"/>
        <v>0</v>
      </c>
      <c r="AN179" s="353">
        <f t="shared" si="258"/>
        <v>0</v>
      </c>
      <c r="AO179" s="353">
        <f t="shared" si="251"/>
        <v>38123</v>
      </c>
      <c r="AP179" s="353">
        <f t="shared" si="259"/>
        <v>2620288</v>
      </c>
      <c r="AQ179" s="353">
        <f t="shared" si="259"/>
        <v>0</v>
      </c>
      <c r="AR179" s="353">
        <f t="shared" si="252"/>
        <v>2620288</v>
      </c>
      <c r="AS179" s="353">
        <f t="shared" si="253"/>
        <v>9899303981</v>
      </c>
      <c r="AT179" s="353">
        <f t="shared" si="242"/>
        <v>0</v>
      </c>
      <c r="AU179" s="353">
        <f t="shared" si="243"/>
        <v>15838675</v>
      </c>
      <c r="AV179" s="354">
        <f t="shared" si="207"/>
        <v>9915142656</v>
      </c>
      <c r="AW179" s="431">
        <f t="shared" si="250"/>
        <v>1.7037261882001165E-2</v>
      </c>
      <c r="AX179" s="431">
        <f t="shared" si="250"/>
        <v>-1</v>
      </c>
      <c r="AY179" s="431">
        <f t="shared" si="250"/>
        <v>1.0981923567479748</v>
      </c>
      <c r="AZ179" s="431">
        <f t="shared" si="250"/>
        <v>1.1738630763496793E-2</v>
      </c>
      <c r="BA179" s="234"/>
      <c r="BB179" s="18">
        <f t="shared" si="238"/>
        <v>5123164937</v>
      </c>
      <c r="BC179" s="18">
        <v>4791977719</v>
      </c>
    </row>
    <row r="180" spans="1:55">
      <c r="A180" s="138">
        <v>45536</v>
      </c>
      <c r="B180" s="139">
        <v>252609</v>
      </c>
      <c r="C180" s="18">
        <v>0</v>
      </c>
      <c r="D180" s="18">
        <f t="shared" si="248"/>
        <v>252609</v>
      </c>
      <c r="E180" s="18">
        <v>1212281209</v>
      </c>
      <c r="F180" s="18">
        <v>1172907</v>
      </c>
      <c r="G180" s="18">
        <f t="shared" si="201"/>
        <v>1213454116</v>
      </c>
      <c r="H180" s="18">
        <v>0</v>
      </c>
      <c r="I180" s="18">
        <v>0</v>
      </c>
      <c r="J180" s="18">
        <f t="shared" si="202"/>
        <v>0</v>
      </c>
      <c r="K180" s="18">
        <v>0</v>
      </c>
      <c r="L180" s="18">
        <v>0</v>
      </c>
      <c r="M180" s="18">
        <v>0</v>
      </c>
      <c r="N180" s="18">
        <f t="shared" si="203"/>
        <v>0</v>
      </c>
      <c r="O180" s="18">
        <v>0</v>
      </c>
      <c r="P180" s="18">
        <v>0</v>
      </c>
      <c r="Q180" s="18">
        <v>0</v>
      </c>
      <c r="R180" s="18">
        <f t="shared" si="261"/>
        <v>0</v>
      </c>
      <c r="S180" s="18">
        <v>0</v>
      </c>
      <c r="T180" s="18">
        <v>0</v>
      </c>
      <c r="U180" s="18">
        <f t="shared" si="204"/>
        <v>0</v>
      </c>
      <c r="V180" s="18">
        <f t="shared" si="205"/>
        <v>1212533818</v>
      </c>
      <c r="W180" s="18">
        <f t="shared" si="206"/>
        <v>1172907</v>
      </c>
      <c r="X180" s="235">
        <f t="shared" si="260"/>
        <v>1213706725</v>
      </c>
      <c r="Y180" s="353">
        <f t="shared" si="254"/>
        <v>8480024</v>
      </c>
      <c r="Z180" s="353">
        <f t="shared" si="254"/>
        <v>6232414</v>
      </c>
      <c r="AA180" s="353">
        <f t="shared" si="244"/>
        <v>14712438</v>
      </c>
      <c r="AB180" s="353">
        <f t="shared" si="255"/>
        <v>11100552193</v>
      </c>
      <c r="AC180" s="353">
        <f t="shared" si="255"/>
        <v>10779168</v>
      </c>
      <c r="AD180" s="353">
        <f t="shared" si="245"/>
        <v>11111331361</v>
      </c>
      <c r="AE180" s="353">
        <f t="shared" si="256"/>
        <v>0</v>
      </c>
      <c r="AF180" s="353">
        <f t="shared" si="256"/>
        <v>0</v>
      </c>
      <c r="AG180" s="353">
        <f t="shared" si="246"/>
        <v>0</v>
      </c>
      <c r="AH180" s="353">
        <f t="shared" si="257"/>
        <v>147171</v>
      </c>
      <c r="AI180" s="353">
        <f t="shared" si="257"/>
        <v>0</v>
      </c>
      <c r="AJ180" s="353">
        <f t="shared" si="257"/>
        <v>0</v>
      </c>
      <c r="AK180" s="353">
        <f t="shared" si="247"/>
        <v>147171</v>
      </c>
      <c r="AL180" s="353">
        <f t="shared" si="258"/>
        <v>38123</v>
      </c>
      <c r="AM180" s="353">
        <f t="shared" si="258"/>
        <v>0</v>
      </c>
      <c r="AN180" s="353">
        <f t="shared" si="258"/>
        <v>0</v>
      </c>
      <c r="AO180" s="353">
        <f t="shared" si="251"/>
        <v>38123</v>
      </c>
      <c r="AP180" s="353">
        <f t="shared" si="259"/>
        <v>2620288</v>
      </c>
      <c r="AQ180" s="353">
        <f t="shared" si="259"/>
        <v>0</v>
      </c>
      <c r="AR180" s="353">
        <f t="shared" si="252"/>
        <v>2620288</v>
      </c>
      <c r="AS180" s="353">
        <f t="shared" si="253"/>
        <v>11111837799</v>
      </c>
      <c r="AT180" s="353">
        <f t="shared" si="242"/>
        <v>0</v>
      </c>
      <c r="AU180" s="353">
        <f t="shared" si="243"/>
        <v>17011582</v>
      </c>
      <c r="AV180" s="354">
        <f t="shared" si="207"/>
        <v>11128849381</v>
      </c>
      <c r="AW180" s="431">
        <f t="shared" si="250"/>
        <v>1.8720068331899098E-2</v>
      </c>
      <c r="AX180" s="431">
        <f t="shared" si="250"/>
        <v>-1</v>
      </c>
      <c r="AY180" s="431">
        <f t="shared" si="250"/>
        <v>0.55061036958337217</v>
      </c>
      <c r="AZ180" s="431">
        <f t="shared" si="250"/>
        <v>1.3731198143531076E-2</v>
      </c>
      <c r="BA180" s="234"/>
      <c r="BB180" s="18">
        <f t="shared" si="238"/>
        <v>6336871662</v>
      </c>
      <c r="BC180" s="18">
        <v>4791977719</v>
      </c>
    </row>
    <row r="181" spans="1:55">
      <c r="A181" s="138">
        <v>45566</v>
      </c>
      <c r="B181" s="139">
        <v>142902</v>
      </c>
      <c r="C181" s="18">
        <v>0</v>
      </c>
      <c r="D181" s="18">
        <f t="shared" si="248"/>
        <v>142902</v>
      </c>
      <c r="E181" s="18">
        <v>1266660329</v>
      </c>
      <c r="F181" s="18">
        <v>1337021</v>
      </c>
      <c r="G181" s="18">
        <f t="shared" si="201"/>
        <v>1267997350</v>
      </c>
      <c r="H181" s="18">
        <v>0</v>
      </c>
      <c r="I181" s="18">
        <v>0</v>
      </c>
      <c r="J181" s="18">
        <f t="shared" si="202"/>
        <v>0</v>
      </c>
      <c r="K181" s="18">
        <v>0</v>
      </c>
      <c r="L181" s="18">
        <v>0</v>
      </c>
      <c r="M181" s="18">
        <v>0</v>
      </c>
      <c r="N181" s="18">
        <f t="shared" si="203"/>
        <v>0</v>
      </c>
      <c r="O181" s="18">
        <v>0</v>
      </c>
      <c r="P181" s="18">
        <v>0</v>
      </c>
      <c r="Q181" s="18">
        <v>0</v>
      </c>
      <c r="R181" s="18">
        <f t="shared" si="261"/>
        <v>0</v>
      </c>
      <c r="S181" s="18">
        <v>0</v>
      </c>
      <c r="T181" s="18">
        <v>0</v>
      </c>
      <c r="U181" s="18">
        <f t="shared" si="204"/>
        <v>0</v>
      </c>
      <c r="V181" s="18">
        <f t="shared" si="205"/>
        <v>1266803231</v>
      </c>
      <c r="W181" s="18">
        <f t="shared" si="206"/>
        <v>1337021</v>
      </c>
      <c r="X181" s="235">
        <f t="shared" si="260"/>
        <v>1268140252</v>
      </c>
      <c r="Y181" s="353">
        <f t="shared" si="254"/>
        <v>8622926</v>
      </c>
      <c r="Z181" s="353">
        <f t="shared" si="254"/>
        <v>6232414</v>
      </c>
      <c r="AA181" s="353">
        <f t="shared" si="244"/>
        <v>14855340</v>
      </c>
      <c r="AB181" s="353">
        <f t="shared" si="255"/>
        <v>12367212522</v>
      </c>
      <c r="AC181" s="353">
        <f t="shared" si="255"/>
        <v>12116189</v>
      </c>
      <c r="AD181" s="353">
        <f t="shared" si="245"/>
        <v>12379328711</v>
      </c>
      <c r="AE181" s="353">
        <f t="shared" si="256"/>
        <v>0</v>
      </c>
      <c r="AF181" s="353">
        <f t="shared" si="256"/>
        <v>0</v>
      </c>
      <c r="AG181" s="353">
        <f t="shared" si="246"/>
        <v>0</v>
      </c>
      <c r="AH181" s="353">
        <f t="shared" si="257"/>
        <v>147171</v>
      </c>
      <c r="AI181" s="353">
        <f t="shared" si="257"/>
        <v>0</v>
      </c>
      <c r="AJ181" s="353">
        <f t="shared" si="257"/>
        <v>0</v>
      </c>
      <c r="AK181" s="353">
        <f t="shared" si="247"/>
        <v>147171</v>
      </c>
      <c r="AL181" s="353">
        <f t="shared" si="258"/>
        <v>38123</v>
      </c>
      <c r="AM181" s="353">
        <f t="shared" si="258"/>
        <v>0</v>
      </c>
      <c r="AN181" s="353">
        <f t="shared" si="258"/>
        <v>0</v>
      </c>
      <c r="AO181" s="353">
        <f t="shared" si="251"/>
        <v>38123</v>
      </c>
      <c r="AP181" s="353">
        <f t="shared" si="259"/>
        <v>2620288</v>
      </c>
      <c r="AQ181" s="353">
        <f t="shared" si="259"/>
        <v>0</v>
      </c>
      <c r="AR181" s="353">
        <f t="shared" si="252"/>
        <v>2620288</v>
      </c>
      <c r="AS181" s="353">
        <f t="shared" si="253"/>
        <v>12378641030</v>
      </c>
      <c r="AT181" s="353">
        <f t="shared" si="242"/>
        <v>0</v>
      </c>
      <c r="AU181" s="353">
        <f t="shared" si="243"/>
        <v>18348603</v>
      </c>
      <c r="AV181" s="354">
        <f t="shared" si="207"/>
        <v>12396989633</v>
      </c>
      <c r="AW181" s="431">
        <f t="shared" si="250"/>
        <v>1.4204717583079729E-2</v>
      </c>
      <c r="AX181" s="431">
        <f t="shared" si="250"/>
        <v>-1</v>
      </c>
      <c r="AY181" s="431">
        <f t="shared" si="250"/>
        <v>0.48989506280203132</v>
      </c>
      <c r="AZ181" s="431">
        <f t="shared" si="250"/>
        <v>9.7674434422752032E-3</v>
      </c>
      <c r="BA181" s="234"/>
      <c r="BB181" s="18">
        <f t="shared" si="238"/>
        <v>7605011914</v>
      </c>
      <c r="BC181" s="18">
        <v>4791977719</v>
      </c>
    </row>
    <row r="182" spans="1:55">
      <c r="A182" s="138">
        <v>45597</v>
      </c>
      <c r="B182" s="139">
        <v>115807</v>
      </c>
      <c r="C182" s="18">
        <v>0</v>
      </c>
      <c r="D182" s="18">
        <f t="shared" si="248"/>
        <v>115807</v>
      </c>
      <c r="E182" s="18">
        <v>1190465688</v>
      </c>
      <c r="F182" s="18">
        <v>1118970</v>
      </c>
      <c r="G182" s="18">
        <f t="shared" si="201"/>
        <v>1191584658</v>
      </c>
      <c r="H182" s="18">
        <v>0</v>
      </c>
      <c r="I182" s="18">
        <v>0</v>
      </c>
      <c r="J182" s="18">
        <f t="shared" si="202"/>
        <v>0</v>
      </c>
      <c r="K182" s="18">
        <v>0</v>
      </c>
      <c r="L182" s="18">
        <v>0</v>
      </c>
      <c r="M182" s="18">
        <v>0</v>
      </c>
      <c r="N182" s="18">
        <f t="shared" si="203"/>
        <v>0</v>
      </c>
      <c r="O182" s="18">
        <v>0</v>
      </c>
      <c r="P182" s="18">
        <v>0</v>
      </c>
      <c r="Q182" s="18">
        <v>0</v>
      </c>
      <c r="R182" s="18">
        <f t="shared" ref="R182:R183" si="262">SUM(O182:Q182)</f>
        <v>0</v>
      </c>
      <c r="S182" s="18">
        <v>0</v>
      </c>
      <c r="T182" s="18">
        <v>0</v>
      </c>
      <c r="U182" s="18">
        <f t="shared" si="204"/>
        <v>0</v>
      </c>
      <c r="V182" s="18">
        <f t="shared" si="205"/>
        <v>1190581495</v>
      </c>
      <c r="W182" s="18">
        <f t="shared" si="206"/>
        <v>1118970</v>
      </c>
      <c r="X182" s="235">
        <f t="shared" si="260"/>
        <v>1191700465</v>
      </c>
      <c r="Y182" s="353">
        <f t="shared" si="254"/>
        <v>8738733</v>
      </c>
      <c r="Z182" s="353">
        <f t="shared" si="254"/>
        <v>6232414</v>
      </c>
      <c r="AA182" s="353">
        <f t="shared" si="244"/>
        <v>14971147</v>
      </c>
      <c r="AB182" s="353">
        <f t="shared" si="255"/>
        <v>13557678210</v>
      </c>
      <c r="AC182" s="353">
        <f t="shared" si="255"/>
        <v>13235159</v>
      </c>
      <c r="AD182" s="353">
        <f t="shared" si="245"/>
        <v>13570913369</v>
      </c>
      <c r="AE182" s="353">
        <f t="shared" si="256"/>
        <v>0</v>
      </c>
      <c r="AF182" s="353">
        <f t="shared" si="256"/>
        <v>0</v>
      </c>
      <c r="AG182" s="353">
        <f t="shared" si="246"/>
        <v>0</v>
      </c>
      <c r="AH182" s="353">
        <f t="shared" si="257"/>
        <v>147171</v>
      </c>
      <c r="AI182" s="353">
        <f t="shared" si="257"/>
        <v>0</v>
      </c>
      <c r="AJ182" s="353">
        <f t="shared" si="257"/>
        <v>0</v>
      </c>
      <c r="AK182" s="353">
        <f t="shared" si="247"/>
        <v>147171</v>
      </c>
      <c r="AL182" s="353">
        <f t="shared" si="258"/>
        <v>38123</v>
      </c>
      <c r="AM182" s="353">
        <f t="shared" si="258"/>
        <v>0</v>
      </c>
      <c r="AN182" s="353">
        <f t="shared" si="258"/>
        <v>0</v>
      </c>
      <c r="AO182" s="353">
        <f t="shared" si="251"/>
        <v>38123</v>
      </c>
      <c r="AP182" s="353">
        <f t="shared" si="259"/>
        <v>2620288</v>
      </c>
      <c r="AQ182" s="353">
        <f t="shared" si="259"/>
        <v>0</v>
      </c>
      <c r="AR182" s="353">
        <f t="shared" si="252"/>
        <v>2620288</v>
      </c>
      <c r="AS182" s="353">
        <f t="shared" si="253"/>
        <v>13569222525</v>
      </c>
      <c r="AT182" s="353">
        <f t="shared" si="242"/>
        <v>0</v>
      </c>
      <c r="AU182" s="353">
        <f t="shared" si="243"/>
        <v>19467573</v>
      </c>
      <c r="AV182" s="354">
        <f t="shared" si="207"/>
        <v>13588690098</v>
      </c>
      <c r="AW182" s="431">
        <f t="shared" si="250"/>
        <v>9.485144449770555E-3</v>
      </c>
      <c r="AX182" s="431">
        <f t="shared" si="250"/>
        <v>-1</v>
      </c>
      <c r="AY182" s="431">
        <f t="shared" si="250"/>
        <v>0.45002639719677262</v>
      </c>
      <c r="AZ182" s="431">
        <f t="shared" si="250"/>
        <v>5.4791398699869376E-3</v>
      </c>
      <c r="BA182" s="234"/>
      <c r="BB182" s="18">
        <f t="shared" si="238"/>
        <v>8796712379</v>
      </c>
      <c r="BC182" s="18">
        <v>4791977719</v>
      </c>
    </row>
    <row r="183" spans="1:55" ht="15.75" thickBot="1">
      <c r="A183" s="138">
        <v>45627</v>
      </c>
      <c r="B183" s="139">
        <v>201107</v>
      </c>
      <c r="C183" s="18">
        <v>0</v>
      </c>
      <c r="D183" s="18">
        <f t="shared" si="248"/>
        <v>201107</v>
      </c>
      <c r="E183" s="18">
        <v>1295403590</v>
      </c>
      <c r="F183" s="18">
        <v>1210839</v>
      </c>
      <c r="G183" s="18">
        <f t="shared" si="201"/>
        <v>1296614429</v>
      </c>
      <c r="H183" s="18">
        <v>0</v>
      </c>
      <c r="I183" s="18">
        <v>0</v>
      </c>
      <c r="J183" s="18">
        <f t="shared" si="202"/>
        <v>0</v>
      </c>
      <c r="K183" s="18">
        <v>0</v>
      </c>
      <c r="L183" s="18">
        <v>0</v>
      </c>
      <c r="M183" s="18">
        <v>0</v>
      </c>
      <c r="N183" s="18">
        <f t="shared" si="203"/>
        <v>0</v>
      </c>
      <c r="O183" s="18">
        <v>0</v>
      </c>
      <c r="P183" s="18">
        <v>0</v>
      </c>
      <c r="Q183" s="18">
        <v>0</v>
      </c>
      <c r="R183" s="18">
        <f t="shared" si="262"/>
        <v>0</v>
      </c>
      <c r="S183" s="18">
        <v>0</v>
      </c>
      <c r="T183" s="18">
        <v>0</v>
      </c>
      <c r="U183" s="18">
        <f t="shared" si="204"/>
        <v>0</v>
      </c>
      <c r="V183" s="18">
        <f t="shared" si="205"/>
        <v>1295604697</v>
      </c>
      <c r="W183" s="18">
        <f t="shared" si="206"/>
        <v>1210839</v>
      </c>
      <c r="X183" s="235">
        <f t="shared" si="260"/>
        <v>1296815536</v>
      </c>
      <c r="Y183" s="353">
        <f t="shared" si="254"/>
        <v>8939840</v>
      </c>
      <c r="Z183" s="353">
        <f t="shared" si="254"/>
        <v>6232414</v>
      </c>
      <c r="AA183" s="353">
        <f t="shared" si="244"/>
        <v>15172254</v>
      </c>
      <c r="AB183" s="353">
        <f t="shared" si="255"/>
        <v>14853081800</v>
      </c>
      <c r="AC183" s="353">
        <f t="shared" si="255"/>
        <v>14445998</v>
      </c>
      <c r="AD183" s="353">
        <f t="shared" si="245"/>
        <v>14867527798</v>
      </c>
      <c r="AE183" s="353">
        <f t="shared" si="256"/>
        <v>0</v>
      </c>
      <c r="AF183" s="353">
        <f t="shared" si="256"/>
        <v>0</v>
      </c>
      <c r="AG183" s="353">
        <f t="shared" si="246"/>
        <v>0</v>
      </c>
      <c r="AH183" s="353">
        <f>AH182+K183</f>
        <v>147171</v>
      </c>
      <c r="AI183" s="353">
        <f t="shared" si="257"/>
        <v>0</v>
      </c>
      <c r="AJ183" s="353">
        <f t="shared" si="257"/>
        <v>0</v>
      </c>
      <c r="AK183" s="353">
        <f t="shared" si="247"/>
        <v>147171</v>
      </c>
      <c r="AL183" s="353">
        <f t="shared" si="258"/>
        <v>38123</v>
      </c>
      <c r="AM183" s="353">
        <f t="shared" si="258"/>
        <v>0</v>
      </c>
      <c r="AN183" s="353">
        <f t="shared" si="258"/>
        <v>0</v>
      </c>
      <c r="AO183" s="353">
        <f t="shared" si="251"/>
        <v>38123</v>
      </c>
      <c r="AP183" s="353">
        <f t="shared" si="259"/>
        <v>2620288</v>
      </c>
      <c r="AQ183" s="353">
        <f t="shared" si="259"/>
        <v>0</v>
      </c>
      <c r="AR183" s="353">
        <f t="shared" si="252"/>
        <v>2620288</v>
      </c>
      <c r="AS183" s="353">
        <f t="shared" si="253"/>
        <v>14864827222</v>
      </c>
      <c r="AT183" s="353">
        <f t="shared" si="242"/>
        <v>0</v>
      </c>
      <c r="AU183" s="353">
        <f t="shared" si="243"/>
        <v>20678412</v>
      </c>
      <c r="AV183" s="354">
        <f t="shared" si="207"/>
        <v>14885505634</v>
      </c>
      <c r="AW183" s="431">
        <f t="shared" si="250"/>
        <v>1.1521464239229173E-2</v>
      </c>
      <c r="AX183" s="431">
        <f t="shared" si="250"/>
        <v>-1</v>
      </c>
      <c r="AY183" s="431">
        <f t="shared" si="250"/>
        <v>9.6294145795627673E-2</v>
      </c>
      <c r="AZ183" s="431">
        <f t="shared" si="250"/>
        <v>7.5565962762196293E-3</v>
      </c>
      <c r="BA183" s="234"/>
      <c r="BB183" s="18">
        <f t="shared" si="238"/>
        <v>10093527915</v>
      </c>
      <c r="BC183" s="18">
        <v>4791977719</v>
      </c>
    </row>
    <row r="184" spans="1:55">
      <c r="A184" s="141">
        <v>45658</v>
      </c>
      <c r="B184" s="142">
        <v>0</v>
      </c>
      <c r="C184" s="143">
        <v>0</v>
      </c>
      <c r="D184" s="143">
        <f t="shared" si="248"/>
        <v>0</v>
      </c>
      <c r="E184" s="143">
        <v>1243974760</v>
      </c>
      <c r="F184" s="143">
        <v>1267752</v>
      </c>
      <c r="G184" s="143">
        <f t="shared" si="201"/>
        <v>1245242512</v>
      </c>
      <c r="H184" s="143">
        <v>0</v>
      </c>
      <c r="I184" s="143">
        <v>0</v>
      </c>
      <c r="J184" s="143">
        <f t="shared" si="202"/>
        <v>0</v>
      </c>
      <c r="K184" s="143">
        <v>0</v>
      </c>
      <c r="L184" s="143">
        <v>0</v>
      </c>
      <c r="M184" s="143">
        <v>0</v>
      </c>
      <c r="N184" s="143">
        <f t="shared" si="203"/>
        <v>0</v>
      </c>
      <c r="O184" s="143">
        <v>0</v>
      </c>
      <c r="P184" s="143">
        <v>0</v>
      </c>
      <c r="Q184" s="143">
        <v>0</v>
      </c>
      <c r="R184" s="143">
        <f t="shared" ref="R184:R185" si="263">SUM(O184:Q184)</f>
        <v>0</v>
      </c>
      <c r="S184" s="143">
        <v>0</v>
      </c>
      <c r="T184" s="143">
        <v>0</v>
      </c>
      <c r="U184" s="143">
        <f t="shared" si="204"/>
        <v>0</v>
      </c>
      <c r="V184" s="143">
        <f t="shared" si="205"/>
        <v>1243974760</v>
      </c>
      <c r="W184" s="143">
        <f t="shared" si="206"/>
        <v>1267752</v>
      </c>
      <c r="X184" s="237">
        <f t="shared" si="260"/>
        <v>1245242512</v>
      </c>
      <c r="Y184" s="350">
        <f>B184</f>
        <v>0</v>
      </c>
      <c r="Z184" s="350">
        <f>C184</f>
        <v>0</v>
      </c>
      <c r="AA184" s="350">
        <f t="shared" si="244"/>
        <v>0</v>
      </c>
      <c r="AB184" s="350">
        <f>E184</f>
        <v>1243974760</v>
      </c>
      <c r="AC184" s="350">
        <f>F184</f>
        <v>1267752</v>
      </c>
      <c r="AD184" s="350">
        <f t="shared" si="245"/>
        <v>1245242512</v>
      </c>
      <c r="AE184" s="350">
        <f>H184</f>
        <v>0</v>
      </c>
      <c r="AF184" s="350">
        <f>I184</f>
        <v>0</v>
      </c>
      <c r="AG184" s="350">
        <f t="shared" si="246"/>
        <v>0</v>
      </c>
      <c r="AH184" s="350">
        <f>K184</f>
        <v>0</v>
      </c>
      <c r="AI184" s="350">
        <f>L184</f>
        <v>0</v>
      </c>
      <c r="AJ184" s="350">
        <f>M184</f>
        <v>0</v>
      </c>
      <c r="AK184" s="350">
        <f t="shared" si="247"/>
        <v>0</v>
      </c>
      <c r="AL184" s="350">
        <f>O184</f>
        <v>0</v>
      </c>
      <c r="AM184" s="350">
        <f>P184</f>
        <v>0</v>
      </c>
      <c r="AN184" s="350">
        <f>Q184</f>
        <v>0</v>
      </c>
      <c r="AO184" s="350">
        <f t="shared" si="251"/>
        <v>0</v>
      </c>
      <c r="AP184" s="350">
        <f>S184</f>
        <v>0</v>
      </c>
      <c r="AQ184" s="350">
        <f>T184</f>
        <v>0</v>
      </c>
      <c r="AR184" s="350">
        <f t="shared" si="252"/>
        <v>0</v>
      </c>
      <c r="AS184" s="350">
        <f t="shared" si="253"/>
        <v>1243974760</v>
      </c>
      <c r="AT184" s="350">
        <f t="shared" si="242"/>
        <v>0</v>
      </c>
      <c r="AU184" s="350">
        <f t="shared" si="243"/>
        <v>1267752</v>
      </c>
      <c r="AV184" s="351">
        <f t="shared" si="207"/>
        <v>1245242512</v>
      </c>
      <c r="AW184" s="431">
        <f t="shared" si="250"/>
        <v>3.2697718595032121E-2</v>
      </c>
      <c r="AX184" s="431" t="e">
        <f t="shared" si="250"/>
        <v>#DIV/0!</v>
      </c>
      <c r="AY184" s="431">
        <f>AU184/AU172-1</f>
        <v>0.13792908453289554</v>
      </c>
      <c r="AZ184" s="431">
        <f>AV184/AV172-1</f>
        <v>3.279495401243504E-2</v>
      </c>
      <c r="BA184" s="234"/>
      <c r="BB184" s="18">
        <f t="shared" si="238"/>
        <v>39682742</v>
      </c>
      <c r="BC184" s="18">
        <v>1205559770</v>
      </c>
    </row>
    <row r="185" spans="1:55">
      <c r="A185" s="138">
        <v>45689</v>
      </c>
      <c r="B185" s="139">
        <v>102606</v>
      </c>
      <c r="C185" s="18">
        <v>0</v>
      </c>
      <c r="D185" s="18">
        <f t="shared" si="248"/>
        <v>102606</v>
      </c>
      <c r="E185" s="18">
        <v>1119162157</v>
      </c>
      <c r="F185" s="18">
        <v>1041915</v>
      </c>
      <c r="G185" s="18">
        <f t="shared" si="201"/>
        <v>1120204072</v>
      </c>
      <c r="H185" s="18">
        <v>0</v>
      </c>
      <c r="I185" s="18">
        <v>0</v>
      </c>
      <c r="J185" s="18">
        <f t="shared" si="202"/>
        <v>0</v>
      </c>
      <c r="K185" s="18">
        <v>0</v>
      </c>
      <c r="L185" s="18">
        <v>0</v>
      </c>
      <c r="M185" s="18">
        <v>0</v>
      </c>
      <c r="N185" s="18">
        <f t="shared" si="203"/>
        <v>0</v>
      </c>
      <c r="O185" s="18">
        <v>0</v>
      </c>
      <c r="P185" s="18">
        <v>0</v>
      </c>
      <c r="Q185" s="18">
        <v>0</v>
      </c>
      <c r="R185" s="18">
        <f t="shared" si="263"/>
        <v>0</v>
      </c>
      <c r="S185" s="18">
        <v>0</v>
      </c>
      <c r="T185" s="18">
        <v>0</v>
      </c>
      <c r="U185" s="18">
        <f t="shared" si="204"/>
        <v>0</v>
      </c>
      <c r="V185" s="18">
        <f t="shared" si="205"/>
        <v>1119264763</v>
      </c>
      <c r="W185" s="18">
        <f t="shared" si="206"/>
        <v>1041915</v>
      </c>
      <c r="X185" s="235">
        <f t="shared" si="260"/>
        <v>1120306678</v>
      </c>
      <c r="Y185" s="353">
        <f t="shared" ref="Y185:Z186" si="264">Y184+B185</f>
        <v>102606</v>
      </c>
      <c r="Z185" s="353">
        <f t="shared" si="264"/>
        <v>0</v>
      </c>
      <c r="AA185" s="353">
        <f t="shared" si="244"/>
        <v>102606</v>
      </c>
      <c r="AB185" s="353">
        <f t="shared" ref="AB185:AC186" si="265">AB184+E185</f>
        <v>2363136917</v>
      </c>
      <c r="AC185" s="353">
        <f t="shared" si="265"/>
        <v>2309667</v>
      </c>
      <c r="AD185" s="353">
        <f t="shared" si="245"/>
        <v>2365446584</v>
      </c>
      <c r="AE185" s="353">
        <f t="shared" ref="AE185:AF186" si="266">AE184+H185</f>
        <v>0</v>
      </c>
      <c r="AF185" s="353">
        <f t="shared" si="266"/>
        <v>0</v>
      </c>
      <c r="AG185" s="353">
        <f t="shared" si="246"/>
        <v>0</v>
      </c>
      <c r="AH185" s="353">
        <f t="shared" ref="AH185:AJ186" si="267">AH184+K185</f>
        <v>0</v>
      </c>
      <c r="AI185" s="353">
        <f t="shared" si="267"/>
        <v>0</v>
      </c>
      <c r="AJ185" s="353">
        <f t="shared" si="267"/>
        <v>0</v>
      </c>
      <c r="AK185" s="353">
        <f t="shared" si="247"/>
        <v>0</v>
      </c>
      <c r="AL185" s="353">
        <f t="shared" ref="AL185:AN186" si="268">AL184+O185</f>
        <v>0</v>
      </c>
      <c r="AM185" s="353">
        <f t="shared" si="268"/>
        <v>0</v>
      </c>
      <c r="AN185" s="353">
        <f t="shared" si="268"/>
        <v>0</v>
      </c>
      <c r="AO185" s="353">
        <f t="shared" si="251"/>
        <v>0</v>
      </c>
      <c r="AP185" s="353">
        <f t="shared" ref="AP185:AQ186" si="269">AP184+S185</f>
        <v>0</v>
      </c>
      <c r="AQ185" s="353">
        <f t="shared" si="269"/>
        <v>0</v>
      </c>
      <c r="AR185" s="353">
        <f t="shared" si="252"/>
        <v>0</v>
      </c>
      <c r="AS185" s="353">
        <f t="shared" si="253"/>
        <v>2363239523</v>
      </c>
      <c r="AT185" s="353">
        <f t="shared" si="242"/>
        <v>0</v>
      </c>
      <c r="AU185" s="353">
        <f t="shared" si="243"/>
        <v>2309667</v>
      </c>
      <c r="AV185" s="354">
        <f t="shared" si="207"/>
        <v>2365549190</v>
      </c>
      <c r="AW185" s="431">
        <f t="shared" si="250"/>
        <v>-2.0047944505261261E-2</v>
      </c>
      <c r="AX185" s="431" t="e">
        <f t="shared" si="250"/>
        <v>#DIV/0!</v>
      </c>
      <c r="AY185" s="431">
        <f t="shared" si="250"/>
        <v>-0.38002790008259435</v>
      </c>
      <c r="AZ185" s="431">
        <f t="shared" si="250"/>
        <v>-2.0603186423526432E-2</v>
      </c>
      <c r="BA185" s="234"/>
      <c r="BB185" s="18">
        <f t="shared" si="238"/>
        <v>-49389243</v>
      </c>
      <c r="BC185" s="18">
        <v>2414938433</v>
      </c>
    </row>
    <row r="186" spans="1:55">
      <c r="A186" s="138">
        <v>45717</v>
      </c>
      <c r="B186" s="139">
        <v>0</v>
      </c>
      <c r="C186" s="18">
        <v>0</v>
      </c>
      <c r="D186" s="18">
        <f t="shared" si="248"/>
        <v>0</v>
      </c>
      <c r="E186" s="18">
        <v>1213323826</v>
      </c>
      <c r="F186" s="18">
        <v>988011</v>
      </c>
      <c r="G186" s="18">
        <f t="shared" si="201"/>
        <v>1214311837</v>
      </c>
      <c r="H186" s="18">
        <v>0</v>
      </c>
      <c r="I186" s="18">
        <v>0</v>
      </c>
      <c r="J186" s="18">
        <f t="shared" si="202"/>
        <v>0</v>
      </c>
      <c r="K186" s="18">
        <v>0</v>
      </c>
      <c r="L186" s="18">
        <v>0</v>
      </c>
      <c r="M186" s="18">
        <v>0</v>
      </c>
      <c r="N186" s="18">
        <f t="shared" si="203"/>
        <v>0</v>
      </c>
      <c r="O186" s="18">
        <v>0</v>
      </c>
      <c r="P186" s="18">
        <v>0</v>
      </c>
      <c r="Q186" s="18">
        <v>0</v>
      </c>
      <c r="R186" s="18">
        <f t="shared" ref="R186" si="270">SUM(O186:Q186)</f>
        <v>0</v>
      </c>
      <c r="S186" s="18">
        <v>0</v>
      </c>
      <c r="T186" s="18">
        <v>0</v>
      </c>
      <c r="U186" s="18">
        <f t="shared" si="204"/>
        <v>0</v>
      </c>
      <c r="V186" s="18">
        <f t="shared" si="205"/>
        <v>1213323826</v>
      </c>
      <c r="W186" s="18">
        <f t="shared" si="206"/>
        <v>988011</v>
      </c>
      <c r="X186" s="235">
        <f t="shared" si="260"/>
        <v>1214311837</v>
      </c>
      <c r="Y186" s="353">
        <f>Y185+B186</f>
        <v>102606</v>
      </c>
      <c r="Z186" s="353">
        <f t="shared" si="264"/>
        <v>0</v>
      </c>
      <c r="AA186" s="353">
        <f t="shared" si="244"/>
        <v>102606</v>
      </c>
      <c r="AB186" s="353">
        <f t="shared" si="265"/>
        <v>3576460743</v>
      </c>
      <c r="AC186" s="353">
        <f t="shared" si="265"/>
        <v>3297678</v>
      </c>
      <c r="AD186" s="353">
        <f t="shared" si="245"/>
        <v>3579758421</v>
      </c>
      <c r="AE186" s="353">
        <f t="shared" si="266"/>
        <v>0</v>
      </c>
      <c r="AF186" s="353">
        <f t="shared" si="266"/>
        <v>0</v>
      </c>
      <c r="AG186" s="353">
        <f t="shared" si="246"/>
        <v>0</v>
      </c>
      <c r="AH186" s="353">
        <f t="shared" si="267"/>
        <v>0</v>
      </c>
      <c r="AI186" s="353">
        <f t="shared" si="267"/>
        <v>0</v>
      </c>
      <c r="AJ186" s="353">
        <f t="shared" si="267"/>
        <v>0</v>
      </c>
      <c r="AK186" s="353">
        <f t="shared" si="247"/>
        <v>0</v>
      </c>
      <c r="AL186" s="353">
        <f t="shared" si="268"/>
        <v>0</v>
      </c>
      <c r="AM186" s="353">
        <f t="shared" si="268"/>
        <v>0</v>
      </c>
      <c r="AN186" s="353">
        <f t="shared" si="268"/>
        <v>0</v>
      </c>
      <c r="AO186" s="353">
        <f t="shared" si="251"/>
        <v>0</v>
      </c>
      <c r="AP186" s="353">
        <f t="shared" si="269"/>
        <v>0</v>
      </c>
      <c r="AQ186" s="353">
        <f t="shared" si="269"/>
        <v>0</v>
      </c>
      <c r="AR186" s="353">
        <f t="shared" si="252"/>
        <v>0</v>
      </c>
      <c r="AS186" s="353">
        <f t="shared" si="253"/>
        <v>3576563349</v>
      </c>
      <c r="AT186" s="353">
        <f t="shared" si="242"/>
        <v>0</v>
      </c>
      <c r="AU186" s="353">
        <f t="shared" si="243"/>
        <v>3297678</v>
      </c>
      <c r="AV186" s="354">
        <f t="shared" si="207"/>
        <v>3579861027</v>
      </c>
      <c r="AW186" s="431">
        <f t="shared" si="250"/>
        <v>-5.9270250427203575E-3</v>
      </c>
      <c r="AX186" s="431" t="e">
        <f t="shared" si="250"/>
        <v>#DIV/0!</v>
      </c>
      <c r="AY186" s="431">
        <f t="shared" si="250"/>
        <v>-0.32049693050156058</v>
      </c>
      <c r="AZ186" s="431">
        <f t="shared" si="250"/>
        <v>-6.3507664751922821E-3</v>
      </c>
      <c r="BA186" s="234"/>
      <c r="BB186" s="18">
        <f t="shared" si="238"/>
        <v>1164922594</v>
      </c>
      <c r="BC186" s="18">
        <v>2414938433</v>
      </c>
    </row>
  </sheetData>
  <mergeCells count="18">
    <mergeCell ref="B1:X1"/>
    <mergeCell ref="Y1:AV1"/>
    <mergeCell ref="B2:D2"/>
    <mergeCell ref="E2:G2"/>
    <mergeCell ref="H2:J2"/>
    <mergeCell ref="K2:N2"/>
    <mergeCell ref="O2:R2"/>
    <mergeCell ref="S2:U2"/>
    <mergeCell ref="V2:X2"/>
    <mergeCell ref="Y2:AA2"/>
    <mergeCell ref="AW2:AZ2"/>
    <mergeCell ref="BB159:BC159"/>
    <mergeCell ref="AB2:AD2"/>
    <mergeCell ref="AE2:AG2"/>
    <mergeCell ref="AH2:AK2"/>
    <mergeCell ref="AL2:AO2"/>
    <mergeCell ref="AP2:AR2"/>
    <mergeCell ref="AS2:AV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7E08F-13AE-42B4-B514-7D89DD9510A4}">
  <dimension ref="A1:AU365"/>
  <sheetViews>
    <sheetView zoomScaleNormal="100" workbookViewId="0">
      <pane xSplit="1" ySplit="2" topLeftCell="L3"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11" width="12.140625" style="2" hidden="1" customWidth="1"/>
    <col min="12" max="17" width="12.140625" style="2" customWidth="1"/>
    <col min="18" max="26" width="12.140625" style="2" hidden="1" customWidth="1"/>
    <col min="27" max="29" width="12.140625" style="2" customWidth="1"/>
    <col min="30" max="31" width="12.140625" style="2" hidden="1" customWidth="1"/>
    <col min="32" max="32" width="0" style="2" hidden="1" customWidth="1"/>
    <col min="33" max="33" width="13.28515625" style="2" hidden="1" customWidth="1"/>
    <col min="34" max="34" width="10.140625" style="2" hidden="1" customWidth="1"/>
    <col min="35" max="36" width="9.140625" style="2" hidden="1" customWidth="1"/>
    <col min="37" max="16384" width="9.140625" style="2"/>
  </cols>
  <sheetData>
    <row r="1" spans="1:47" ht="18.75" thickBot="1">
      <c r="A1" s="78" t="s">
        <v>534</v>
      </c>
      <c r="AU1" s="2" t="s">
        <v>475</v>
      </c>
    </row>
    <row r="2" spans="1:47"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C2" s="94"/>
      <c r="AD2" s="80">
        <v>2010</v>
      </c>
      <c r="AE2" s="80">
        <v>2011</v>
      </c>
      <c r="AF2" s="80">
        <v>2012</v>
      </c>
      <c r="AG2" s="80">
        <v>2013</v>
      </c>
      <c r="AH2" s="80">
        <v>2014</v>
      </c>
      <c r="AI2" s="80">
        <v>2015</v>
      </c>
      <c r="AJ2" s="80">
        <v>2016</v>
      </c>
      <c r="AK2" s="80">
        <v>2017</v>
      </c>
      <c r="AL2" s="80">
        <f t="shared" ref="AL2:AS2" si="0">J2</f>
        <v>2018</v>
      </c>
      <c r="AM2" s="80">
        <f t="shared" si="0"/>
        <v>2019</v>
      </c>
      <c r="AN2" s="80">
        <f t="shared" si="0"/>
        <v>2020</v>
      </c>
      <c r="AO2" s="80">
        <f t="shared" si="0"/>
        <v>2021</v>
      </c>
      <c r="AP2" s="80">
        <f t="shared" si="0"/>
        <v>2022</v>
      </c>
      <c r="AQ2" s="80">
        <f t="shared" si="0"/>
        <v>2023</v>
      </c>
      <c r="AR2" s="80">
        <f t="shared" si="0"/>
        <v>2024</v>
      </c>
      <c r="AS2" s="80">
        <f t="shared" si="0"/>
        <v>2025</v>
      </c>
    </row>
    <row r="3" spans="1:47">
      <c r="A3" s="356" t="s">
        <v>281</v>
      </c>
      <c r="B3" s="96">
        <f>B4+B5</f>
        <v>18779478</v>
      </c>
      <c r="C3" s="96">
        <f t="shared" ref="C3:I3" si="1">C4+C5</f>
        <v>6258577</v>
      </c>
      <c r="D3" s="96">
        <f t="shared" si="1"/>
        <v>1118519</v>
      </c>
      <c r="E3" s="96">
        <f t="shared" si="1"/>
        <v>55168362</v>
      </c>
      <c r="F3" s="96">
        <f t="shared" si="1"/>
        <v>79776819</v>
      </c>
      <c r="G3" s="96">
        <f t="shared" si="1"/>
        <v>111679662</v>
      </c>
      <c r="H3" s="96">
        <f t="shared" si="1"/>
        <v>169323780</v>
      </c>
      <c r="I3" s="96">
        <f t="shared" si="1"/>
        <v>0</v>
      </c>
      <c r="J3" s="96">
        <f>J4+J5</f>
        <v>497892</v>
      </c>
      <c r="K3" s="96">
        <f>K4+K5</f>
        <v>16767</v>
      </c>
      <c r="L3" s="96">
        <f>L4+L5</f>
        <v>0</v>
      </c>
      <c r="M3" s="96">
        <f>M4+M5</f>
        <v>0</v>
      </c>
      <c r="N3" s="96">
        <f t="shared" ref="N3:Z3" si="2">N4+N5</f>
        <v>0</v>
      </c>
      <c r="O3" s="96">
        <f>O4+O5</f>
        <v>13966250</v>
      </c>
      <c r="P3" s="96">
        <f t="shared" si="2"/>
        <v>22758501</v>
      </c>
      <c r="Q3" s="102">
        <f t="shared" si="2"/>
        <v>5089700.7978156004</v>
      </c>
      <c r="R3" s="102">
        <f t="shared" si="2"/>
        <v>6094063.0835431591</v>
      </c>
      <c r="S3" s="102">
        <f t="shared" si="2"/>
        <v>7361968.7467771238</v>
      </c>
      <c r="T3" s="102">
        <f t="shared" si="2"/>
        <v>7695943.0746212015</v>
      </c>
      <c r="U3" s="102">
        <f t="shared" si="2"/>
        <v>8250979.8885309529</v>
      </c>
      <c r="V3" s="102">
        <f t="shared" si="2"/>
        <v>8825995.2596822083</v>
      </c>
      <c r="W3" s="102">
        <f t="shared" si="2"/>
        <v>9174783.5172574017</v>
      </c>
      <c r="X3" s="102">
        <f t="shared" si="2"/>
        <v>10403411.141576782</v>
      </c>
      <c r="Y3" s="102">
        <f t="shared" si="2"/>
        <v>10675260.268070001</v>
      </c>
      <c r="Z3" s="102">
        <f t="shared" si="2"/>
        <v>11187743.430339031</v>
      </c>
      <c r="AC3" s="432" t="str">
        <f>A3</f>
        <v>Biodiesel</v>
      </c>
      <c r="AD3" s="2">
        <f>B3/'D6 Gallon Forecast'!B3</f>
        <v>1.500000599058424</v>
      </c>
      <c r="AE3" s="2">
        <f>C3/'D6 Gallon Forecast'!C3</f>
        <v>1.5000005991779757</v>
      </c>
      <c r="AF3" s="2">
        <f>D3/'D6 Gallon Forecast'!D3</f>
        <v>1.5000026821228465</v>
      </c>
      <c r="AG3" s="2">
        <f>E3/'D6 Gallon Forecast'!E3</f>
        <v>1.500006851784482</v>
      </c>
      <c r="AH3" s="2">
        <f>F3/'D6 Gallon Forecast'!F3</f>
        <v>1.5000018050377928</v>
      </c>
      <c r="AI3" s="2">
        <f>G3/'D6 Gallon Forecast'!G3</f>
        <v>1.500000342497533</v>
      </c>
      <c r="AJ3" s="2">
        <f>H3/'D6 Gallon Forecast'!H3</f>
        <v>1.5000003056275413</v>
      </c>
      <c r="AK3" s="2" t="e">
        <f>I3/'D6 Gallon Forecast'!I3</f>
        <v>#DIV/0!</v>
      </c>
      <c r="AL3" s="2">
        <f>J3/'D6 Gallon Forecast'!J3</f>
        <v>1.5000045190659392</v>
      </c>
      <c r="AM3" s="2">
        <f>K3/'D6 Gallon Forecast'!K3</f>
        <v>1.5</v>
      </c>
      <c r="AN3" s="2" t="e">
        <f>L3/'D6 Gallon Forecast'!L3</f>
        <v>#DIV/0!</v>
      </c>
      <c r="AO3" s="2" t="e">
        <f>M3/'D6 Gallon Forecast'!M3</f>
        <v>#DIV/0!</v>
      </c>
      <c r="AP3" s="2" t="e">
        <f>N3/'D6 Gallon Forecast'!N3</f>
        <v>#DIV/0!</v>
      </c>
      <c r="AQ3" s="2">
        <f>O3/'D6 Gallon Forecast'!O3</f>
        <v>1.5000047256928617</v>
      </c>
      <c r="AR3" s="2">
        <f>P3/'D6 Gallon Forecast'!P3</f>
        <v>1.5000079091742071</v>
      </c>
      <c r="AS3" s="2">
        <f>Q3/'D6 Gallon Forecast'!Q3</f>
        <v>1.0101828046185342</v>
      </c>
      <c r="AU3" s="2" t="s">
        <v>281</v>
      </c>
    </row>
    <row r="4" spans="1:47">
      <c r="A4" s="2" t="s">
        <v>224</v>
      </c>
      <c r="B4" s="3">
        <f>B77</f>
        <v>18779478</v>
      </c>
      <c r="C4" s="3">
        <f t="shared" ref="C4:I4" si="3">C77</f>
        <v>6258577</v>
      </c>
      <c r="D4" s="3">
        <f t="shared" si="3"/>
        <v>1118519</v>
      </c>
      <c r="E4" s="3">
        <f t="shared" si="3"/>
        <v>9011227</v>
      </c>
      <c r="F4" s="3">
        <f t="shared" si="3"/>
        <v>1955228</v>
      </c>
      <c r="G4" s="3">
        <f t="shared" si="3"/>
        <v>66648</v>
      </c>
      <c r="H4" s="3">
        <f t="shared" si="3"/>
        <v>531767</v>
      </c>
      <c r="I4" s="3">
        <f t="shared" si="3"/>
        <v>0</v>
      </c>
      <c r="J4" s="3">
        <f>J77</f>
        <v>497892</v>
      </c>
      <c r="K4" s="3">
        <f>K77</f>
        <v>16767</v>
      </c>
      <c r="L4" s="3">
        <f>L77</f>
        <v>0</v>
      </c>
      <c r="M4" s="3">
        <f>M77</f>
        <v>0</v>
      </c>
      <c r="N4" s="3">
        <f t="shared" ref="N4:Z4" si="4">N77</f>
        <v>0</v>
      </c>
      <c r="O4" s="3">
        <f>O77</f>
        <v>4347727</v>
      </c>
      <c r="P4" s="3">
        <f t="shared" si="4"/>
        <v>13409878</v>
      </c>
      <c r="Q4" s="177">
        <f t="shared" si="4"/>
        <v>5089700.7978156004</v>
      </c>
      <c r="R4" s="177">
        <f t="shared" si="4"/>
        <v>6094063.0835431591</v>
      </c>
      <c r="S4" s="177">
        <f t="shared" si="4"/>
        <v>7361968.7467771238</v>
      </c>
      <c r="T4" s="177">
        <f t="shared" si="4"/>
        <v>7695943.0746212015</v>
      </c>
      <c r="U4" s="177">
        <f t="shared" si="4"/>
        <v>8250979.8885309529</v>
      </c>
      <c r="V4" s="177">
        <f t="shared" si="4"/>
        <v>8825995.2596822083</v>
      </c>
      <c r="W4" s="177">
        <f t="shared" si="4"/>
        <v>9174783.5172574017</v>
      </c>
      <c r="X4" s="177">
        <f t="shared" si="4"/>
        <v>10403411.141576782</v>
      </c>
      <c r="Y4" s="177">
        <f t="shared" si="4"/>
        <v>10675260.268070001</v>
      </c>
      <c r="Z4" s="177">
        <f t="shared" si="4"/>
        <v>11187743.430339031</v>
      </c>
      <c r="AC4" s="432" t="str">
        <f t="shared" ref="AC4:AC23" si="5">A4</f>
        <v xml:space="preserve">  Domestic</v>
      </c>
      <c r="AD4" s="2">
        <f>B4/'D6 Gallon Forecast'!B4</f>
        <v>1.500000599058424</v>
      </c>
      <c r="AE4" s="2">
        <f>C4/'D6 Gallon Forecast'!C4</f>
        <v>1.5000005991779757</v>
      </c>
      <c r="AF4" s="2">
        <f>D4/'D6 Gallon Forecast'!D4</f>
        <v>1.5000026821228465</v>
      </c>
      <c r="AG4" s="2">
        <f>E4/'D6 Gallon Forecast'!E4</f>
        <v>1.5000411165045311</v>
      </c>
      <c r="AH4" s="2">
        <f>F4/'D6 Gallon Forecast'!F4</f>
        <v>1.5000671307253877</v>
      </c>
      <c r="AI4" s="2">
        <f>G4/'D6 Gallon Forecast'!G4</f>
        <v>1.500067521944632</v>
      </c>
      <c r="AJ4" s="2">
        <f>H4/'D6 Gallon Forecast'!H4</f>
        <v>1.5000564178077169</v>
      </c>
      <c r="AK4" s="2" t="e">
        <f>I4/'D6 Gallon Forecast'!I4</f>
        <v>#DIV/0!</v>
      </c>
      <c r="AL4" s="2">
        <f>J4/'D6 Gallon Forecast'!J4</f>
        <v>1.5000045190659392</v>
      </c>
      <c r="AM4" s="2">
        <f>K4/'D6 Gallon Forecast'!K4</f>
        <v>1.5</v>
      </c>
      <c r="AN4" s="2" t="e">
        <f>L4/'D6 Gallon Forecast'!L4</f>
        <v>#DIV/0!</v>
      </c>
      <c r="AO4" s="2" t="e">
        <f>M4/'D6 Gallon Forecast'!M4</f>
        <v>#DIV/0!</v>
      </c>
      <c r="AP4" s="2" t="e">
        <f>N4/'D6 Gallon Forecast'!N4</f>
        <v>#DIV/0!</v>
      </c>
      <c r="AQ4" s="2">
        <f>O4/'D6 Gallon Forecast'!O4</f>
        <v>1.5000148354848237</v>
      </c>
      <c r="AR4" s="2">
        <f>P4/'D6 Gallon Forecast'!P4</f>
        <v>1.5000131993413752</v>
      </c>
      <c r="AS4" s="2">
        <f>Q4/'D6 Gallon Forecast'!Q4</f>
        <v>1.0101828046185342</v>
      </c>
      <c r="AU4" s="2" t="s">
        <v>224</v>
      </c>
    </row>
    <row r="5" spans="1:47" ht="13.5" thickBot="1">
      <c r="A5" s="2" t="s">
        <v>225</v>
      </c>
      <c r="B5" s="3">
        <f>B93</f>
        <v>0</v>
      </c>
      <c r="C5" s="3">
        <f t="shared" ref="C5:I5" si="6">C93</f>
        <v>0</v>
      </c>
      <c r="D5" s="3">
        <f t="shared" si="6"/>
        <v>0</v>
      </c>
      <c r="E5" s="3">
        <f t="shared" si="6"/>
        <v>46157135</v>
      </c>
      <c r="F5" s="3">
        <f t="shared" si="6"/>
        <v>77821591</v>
      </c>
      <c r="G5" s="3">
        <f t="shared" si="6"/>
        <v>111613014</v>
      </c>
      <c r="H5" s="3">
        <f t="shared" si="6"/>
        <v>168792013</v>
      </c>
      <c r="I5" s="3">
        <f t="shared" si="6"/>
        <v>0</v>
      </c>
      <c r="J5" s="3">
        <f>J93</f>
        <v>0</v>
      </c>
      <c r="K5" s="3">
        <f>K93</f>
        <v>0</v>
      </c>
      <c r="L5" s="3">
        <f>L93</f>
        <v>0</v>
      </c>
      <c r="M5" s="3">
        <f>M93</f>
        <v>0</v>
      </c>
      <c r="N5" s="3">
        <f t="shared" ref="N5:Z5" si="7">N93</f>
        <v>0</v>
      </c>
      <c r="O5" s="3">
        <f>O93</f>
        <v>9618523</v>
      </c>
      <c r="P5" s="3">
        <f t="shared" si="7"/>
        <v>9348623</v>
      </c>
      <c r="Q5" s="177">
        <f t="shared" si="7"/>
        <v>0</v>
      </c>
      <c r="R5" s="177">
        <f t="shared" si="7"/>
        <v>0</v>
      </c>
      <c r="S5" s="177">
        <f t="shared" si="7"/>
        <v>0</v>
      </c>
      <c r="T5" s="177">
        <f t="shared" si="7"/>
        <v>0</v>
      </c>
      <c r="U5" s="177">
        <f t="shared" si="7"/>
        <v>0</v>
      </c>
      <c r="V5" s="177">
        <f t="shared" si="7"/>
        <v>0</v>
      </c>
      <c r="W5" s="177">
        <f t="shared" si="7"/>
        <v>0</v>
      </c>
      <c r="X5" s="177">
        <f t="shared" si="7"/>
        <v>0</v>
      </c>
      <c r="Y5" s="177">
        <f t="shared" si="7"/>
        <v>0</v>
      </c>
      <c r="Z5" s="177">
        <f t="shared" si="7"/>
        <v>0</v>
      </c>
      <c r="AC5" s="432" t="str">
        <f t="shared" si="5"/>
        <v xml:space="preserve">  Importer</v>
      </c>
      <c r="AD5" s="2" t="e">
        <f>B5/'D6 Gallon Forecast'!B5</f>
        <v>#DIV/0!</v>
      </c>
      <c r="AE5" s="2" t="e">
        <f>C5/'D6 Gallon Forecast'!C5</f>
        <v>#DIV/0!</v>
      </c>
      <c r="AF5" s="2" t="e">
        <f>D5/'D6 Gallon Forecast'!D5</f>
        <v>#DIV/0!</v>
      </c>
      <c r="AG5" s="2">
        <f>E5/'D6 Gallon Forecast'!E5</f>
        <v>1.5000001624884389</v>
      </c>
      <c r="AH5" s="2">
        <f>F5/'D6 Gallon Forecast'!F5</f>
        <v>1.5000001638362983</v>
      </c>
      <c r="AI5" s="2">
        <f>G5/'D6 Gallon Forecast'!G5</f>
        <v>1.5000003023841539</v>
      </c>
      <c r="AJ5" s="2">
        <f>H5/'D6 Gallon Forecast'!H5</f>
        <v>1.500000128856819</v>
      </c>
      <c r="AK5" s="2" t="e">
        <f>I5/'D6 Gallon Forecast'!I5</f>
        <v>#DIV/0!</v>
      </c>
      <c r="AL5" s="2" t="e">
        <f>J5/'D6 Gallon Forecast'!J5</f>
        <v>#DIV/0!</v>
      </c>
      <c r="AM5" s="2" t="e">
        <f>K5/'D6 Gallon Forecast'!K5</f>
        <v>#DIV/0!</v>
      </c>
      <c r="AN5" s="2" t="e">
        <f>L5/'D6 Gallon Forecast'!L5</f>
        <v>#DIV/0!</v>
      </c>
      <c r="AO5" s="2" t="e">
        <f>M5/'D6 Gallon Forecast'!M5</f>
        <v>#DIV/0!</v>
      </c>
      <c r="AP5" s="2" t="e">
        <f>N5/'D6 Gallon Forecast'!N5</f>
        <v>#DIV/0!</v>
      </c>
      <c r="AQ5" s="2">
        <f>O5/'D6 Gallon Forecast'!O5</f>
        <v>1.5000001559491156</v>
      </c>
      <c r="AR5" s="2">
        <f>P5/'D6 Gallon Forecast'!P5</f>
        <v>1.5000003209029438</v>
      </c>
      <c r="AS5" s="2" t="e">
        <f>Q5/'D6 Gallon Forecast'!Q5</f>
        <v>#DIV/0!</v>
      </c>
      <c r="AU5" s="2" t="s">
        <v>225</v>
      </c>
    </row>
    <row r="6" spans="1:47">
      <c r="A6" s="359" t="s">
        <v>479</v>
      </c>
      <c r="B6" s="98">
        <f t="shared" ref="B6:I6" si="8">B7+B8</f>
        <v>6777308371</v>
      </c>
      <c r="C6" s="98">
        <f t="shared" si="8"/>
        <v>13609057120</v>
      </c>
      <c r="D6" s="98">
        <f t="shared" si="8"/>
        <v>12986723082</v>
      </c>
      <c r="E6" s="98">
        <f t="shared" si="8"/>
        <v>13098970936</v>
      </c>
      <c r="F6" s="98">
        <f t="shared" si="8"/>
        <v>14021921395</v>
      </c>
      <c r="G6" s="98">
        <f t="shared" si="8"/>
        <v>14393318940</v>
      </c>
      <c r="H6" s="98">
        <f t="shared" si="8"/>
        <v>14724613295</v>
      </c>
      <c r="I6" s="98">
        <f t="shared" si="8"/>
        <v>14864220246</v>
      </c>
      <c r="J6" s="98">
        <f>J7+J8</f>
        <v>14967243350</v>
      </c>
      <c r="K6" s="98">
        <f>K7+K8</f>
        <v>14730393612</v>
      </c>
      <c r="L6" s="98">
        <f>L7+L8</f>
        <v>12857192617</v>
      </c>
      <c r="M6" s="98">
        <f>M7+M8</f>
        <v>14123603899</v>
      </c>
      <c r="N6" s="98">
        <f t="shared" ref="N6:Z6" si="9">N7+N8</f>
        <v>14415198758</v>
      </c>
      <c r="O6" s="98">
        <f>O7+O8</f>
        <v>14678741531</v>
      </c>
      <c r="P6" s="98">
        <f t="shared" si="9"/>
        <v>14867527798</v>
      </c>
      <c r="Q6" s="179">
        <f t="shared" si="9"/>
        <v>14594420197.621616</v>
      </c>
      <c r="R6" s="179">
        <f t="shared" si="9"/>
        <v>14666104531.415321</v>
      </c>
      <c r="S6" s="179">
        <f t="shared" si="9"/>
        <v>14697821768.437202</v>
      </c>
      <c r="T6" s="179">
        <f t="shared" si="9"/>
        <v>14844392962.601755</v>
      </c>
      <c r="U6" s="179">
        <f t="shared" si="9"/>
        <v>14955974009.310579</v>
      </c>
      <c r="V6" s="179">
        <f t="shared" si="9"/>
        <v>15054315025.586823</v>
      </c>
      <c r="W6" s="179">
        <f t="shared" si="9"/>
        <v>15214604332.108341</v>
      </c>
      <c r="X6" s="179">
        <f t="shared" si="9"/>
        <v>15326623793.093853</v>
      </c>
      <c r="Y6" s="179">
        <f t="shared" si="9"/>
        <v>15455468445.164732</v>
      </c>
      <c r="Z6" s="179">
        <f t="shared" si="9"/>
        <v>15580569170.358864</v>
      </c>
      <c r="AC6" s="432" t="str">
        <f t="shared" si="5"/>
        <v>Non-cellulosic Ethanol</v>
      </c>
      <c r="AD6" s="2">
        <f>B6/'D6 Gallon Forecast'!B6</f>
        <v>1</v>
      </c>
      <c r="AE6" s="2">
        <f>C6/'D6 Gallon Forecast'!C6</f>
        <v>1</v>
      </c>
      <c r="AF6" s="2">
        <f>D6/'D6 Gallon Forecast'!D6</f>
        <v>1</v>
      </c>
      <c r="AG6" s="2">
        <f>E6/'D6 Gallon Forecast'!E6</f>
        <v>1</v>
      </c>
      <c r="AH6" s="2">
        <f>F6/'D6 Gallon Forecast'!F6</f>
        <v>1</v>
      </c>
      <c r="AI6" s="2">
        <f>G6/'D6 Gallon Forecast'!G6</f>
        <v>1</v>
      </c>
      <c r="AJ6" s="2">
        <f>H6/'D6 Gallon Forecast'!H6</f>
        <v>1</v>
      </c>
      <c r="AK6" s="433">
        <f>I6/'D6 Gallon Forecast'!I6</f>
        <v>1</v>
      </c>
      <c r="AL6" s="433">
        <f>J6/'D6 Gallon Forecast'!J6</f>
        <v>1</v>
      </c>
      <c r="AM6" s="433">
        <f>K6/'D6 Gallon Forecast'!K6</f>
        <v>1</v>
      </c>
      <c r="AN6" s="433">
        <f>L6/'D6 Gallon Forecast'!L6</f>
        <v>1</v>
      </c>
      <c r="AO6" s="433">
        <f>M6/'D6 Gallon Forecast'!M6</f>
        <v>1</v>
      </c>
      <c r="AP6" s="433">
        <f>N6/'D6 Gallon Forecast'!N6</f>
        <v>0.99942419871773969</v>
      </c>
      <c r="AQ6" s="433">
        <f>O6/'D6 Gallon Forecast'!O6</f>
        <v>1</v>
      </c>
      <c r="AR6" s="433">
        <f>P6/'D6 Gallon Forecast'!P6</f>
        <v>1</v>
      </c>
      <c r="AS6" s="433">
        <f>Q6/'D6 Gallon Forecast'!Q6</f>
        <v>0.99991308553599878</v>
      </c>
      <c r="AU6" s="2" t="s">
        <v>479</v>
      </c>
    </row>
    <row r="7" spans="1:47">
      <c r="A7" s="2" t="s">
        <v>224</v>
      </c>
      <c r="B7" s="3">
        <f>B125</f>
        <v>6774690885</v>
      </c>
      <c r="C7" s="3">
        <f t="shared" ref="C7:I7" si="10">C125</f>
        <v>13605852829</v>
      </c>
      <c r="D7" s="3">
        <f t="shared" si="10"/>
        <v>12986723082</v>
      </c>
      <c r="E7" s="3">
        <f t="shared" si="10"/>
        <v>13098970936</v>
      </c>
      <c r="F7" s="3">
        <f t="shared" si="10"/>
        <v>14020733965</v>
      </c>
      <c r="G7" s="3">
        <f t="shared" si="10"/>
        <v>14386311095</v>
      </c>
      <c r="H7" s="3">
        <f t="shared" si="10"/>
        <v>14712874310</v>
      </c>
      <c r="I7" s="3">
        <f t="shared" si="10"/>
        <v>14851872278</v>
      </c>
      <c r="J7" s="3">
        <f>J125</f>
        <v>14954504578</v>
      </c>
      <c r="K7" s="3">
        <f>K125</f>
        <v>14716910382</v>
      </c>
      <c r="L7" s="3">
        <f>L125</f>
        <v>12845194670</v>
      </c>
      <c r="M7" s="3">
        <f>M125</f>
        <v>14110176420</v>
      </c>
      <c r="N7" s="3">
        <f t="shared" ref="N7:Z7" si="11">N125</f>
        <v>14401095909</v>
      </c>
      <c r="O7" s="3">
        <f>O125</f>
        <v>14666291777</v>
      </c>
      <c r="P7" s="3">
        <f t="shared" si="11"/>
        <v>14853081800</v>
      </c>
      <c r="Q7" s="177">
        <f t="shared" si="11"/>
        <v>14580170197.621616</v>
      </c>
      <c r="R7" s="177">
        <f t="shared" si="11"/>
        <v>14653604531.415321</v>
      </c>
      <c r="S7" s="177">
        <f t="shared" si="11"/>
        <v>14685321768.437202</v>
      </c>
      <c r="T7" s="177">
        <f t="shared" si="11"/>
        <v>14831892962.601755</v>
      </c>
      <c r="U7" s="177">
        <f t="shared" si="11"/>
        <v>14943474009.310579</v>
      </c>
      <c r="V7" s="177">
        <f t="shared" si="11"/>
        <v>15041815025.586823</v>
      </c>
      <c r="W7" s="177">
        <f t="shared" si="11"/>
        <v>15202104332.108341</v>
      </c>
      <c r="X7" s="177">
        <f t="shared" si="11"/>
        <v>15314123793.093853</v>
      </c>
      <c r="Y7" s="177">
        <f t="shared" si="11"/>
        <v>15442968445.164732</v>
      </c>
      <c r="Z7" s="177">
        <f t="shared" si="11"/>
        <v>15568069170.358864</v>
      </c>
      <c r="AC7" s="432" t="str">
        <f t="shared" si="5"/>
        <v xml:space="preserve">  Domestic</v>
      </c>
      <c r="AD7" s="2">
        <f>B7/'D6 Gallon Forecast'!B7</f>
        <v>1</v>
      </c>
      <c r="AE7" s="2">
        <f>C7/'D6 Gallon Forecast'!C7</f>
        <v>1</v>
      </c>
      <c r="AF7" s="2">
        <f>D7/'D6 Gallon Forecast'!D7</f>
        <v>1</v>
      </c>
      <c r="AG7" s="2">
        <f>E7/'D6 Gallon Forecast'!E7</f>
        <v>1</v>
      </c>
      <c r="AH7" s="2">
        <f>F7/'D6 Gallon Forecast'!F7</f>
        <v>1</v>
      </c>
      <c r="AI7" s="2">
        <f>G7/'D6 Gallon Forecast'!G7</f>
        <v>1</v>
      </c>
      <c r="AJ7" s="2">
        <f>H7/'D6 Gallon Forecast'!H7</f>
        <v>1</v>
      </c>
      <c r="AK7" s="433">
        <f>I7/'D6 Gallon Forecast'!I7</f>
        <v>1</v>
      </c>
      <c r="AL7" s="433">
        <f>J7/'D6 Gallon Forecast'!J7</f>
        <v>1</v>
      </c>
      <c r="AM7" s="433">
        <f>K7/'D6 Gallon Forecast'!K7</f>
        <v>1</v>
      </c>
      <c r="AN7" s="433">
        <f>L7/'D6 Gallon Forecast'!L7</f>
        <v>1</v>
      </c>
      <c r="AO7" s="433">
        <f>M7/'D6 Gallon Forecast'!M7</f>
        <v>1</v>
      </c>
      <c r="AP7" s="433">
        <f>N7/'D6 Gallon Forecast'!N7</f>
        <v>0.99942363516630905</v>
      </c>
      <c r="AQ7" s="433">
        <f>O7/'D6 Gallon Forecast'!O7</f>
        <v>1</v>
      </c>
      <c r="AR7" s="433">
        <f>P7/'D6 Gallon Forecast'!P7</f>
        <v>1</v>
      </c>
      <c r="AS7" s="433">
        <f>Q7/'D6 Gallon Forecast'!Q7</f>
        <v>0.99991300059711652</v>
      </c>
      <c r="AU7" s="2" t="s">
        <v>224</v>
      </c>
    </row>
    <row r="8" spans="1:47" ht="13.5" thickBot="1">
      <c r="A8" s="434" t="s">
        <v>225</v>
      </c>
      <c r="B8" s="435">
        <f>B141</f>
        <v>2617486</v>
      </c>
      <c r="C8" s="435">
        <f t="shared" ref="C8:I8" si="12">C141</f>
        <v>3204291</v>
      </c>
      <c r="D8" s="435">
        <f t="shared" si="12"/>
        <v>0</v>
      </c>
      <c r="E8" s="435">
        <f t="shared" si="12"/>
        <v>0</v>
      </c>
      <c r="F8" s="435">
        <f t="shared" si="12"/>
        <v>1187430</v>
      </c>
      <c r="G8" s="435">
        <f t="shared" si="12"/>
        <v>7007845</v>
      </c>
      <c r="H8" s="435">
        <f t="shared" si="12"/>
        <v>11738985</v>
      </c>
      <c r="I8" s="435">
        <f t="shared" si="12"/>
        <v>12347968</v>
      </c>
      <c r="J8" s="435">
        <f>J141</f>
        <v>12738772</v>
      </c>
      <c r="K8" s="435">
        <f>K141</f>
        <v>13483230</v>
      </c>
      <c r="L8" s="435">
        <f>L141</f>
        <v>11997947</v>
      </c>
      <c r="M8" s="435">
        <f>M141</f>
        <v>13427479</v>
      </c>
      <c r="N8" s="435">
        <f t="shared" ref="N8:Z8" si="13">N141</f>
        <v>14102849</v>
      </c>
      <c r="O8" s="435">
        <f>O141</f>
        <v>12449754</v>
      </c>
      <c r="P8" s="435">
        <f t="shared" si="13"/>
        <v>14445998</v>
      </c>
      <c r="Q8" s="436">
        <f t="shared" si="13"/>
        <v>14250000</v>
      </c>
      <c r="R8" s="436">
        <f t="shared" si="13"/>
        <v>12500000</v>
      </c>
      <c r="S8" s="436">
        <f t="shared" si="13"/>
        <v>12500000</v>
      </c>
      <c r="T8" s="436">
        <f t="shared" si="13"/>
        <v>12500000</v>
      </c>
      <c r="U8" s="436">
        <f t="shared" si="13"/>
        <v>12500000</v>
      </c>
      <c r="V8" s="436">
        <f t="shared" si="13"/>
        <v>12500000</v>
      </c>
      <c r="W8" s="436">
        <f t="shared" si="13"/>
        <v>12500000</v>
      </c>
      <c r="X8" s="436">
        <f t="shared" si="13"/>
        <v>12500000</v>
      </c>
      <c r="Y8" s="436">
        <f t="shared" si="13"/>
        <v>12500000</v>
      </c>
      <c r="Z8" s="436">
        <f t="shared" si="13"/>
        <v>12500000</v>
      </c>
      <c r="AC8" s="432" t="str">
        <f t="shared" si="5"/>
        <v xml:space="preserve">  Importer</v>
      </c>
      <c r="AD8" s="2">
        <f>B8/'D6 Gallon Forecast'!B8</f>
        <v>1</v>
      </c>
      <c r="AE8" s="2">
        <f>C8/'D6 Gallon Forecast'!C8</f>
        <v>1</v>
      </c>
      <c r="AF8" s="2" t="e">
        <f>D8/'D6 Gallon Forecast'!D8</f>
        <v>#DIV/0!</v>
      </c>
      <c r="AG8" s="2" t="e">
        <f>E8/'D6 Gallon Forecast'!E8</f>
        <v>#DIV/0!</v>
      </c>
      <c r="AH8" s="2">
        <f>F8/'D6 Gallon Forecast'!F8</f>
        <v>1</v>
      </c>
      <c r="AI8" s="2">
        <f>G8/'D6 Gallon Forecast'!G8</f>
        <v>1</v>
      </c>
      <c r="AJ8" s="2">
        <f>H8/'D6 Gallon Forecast'!H8</f>
        <v>1</v>
      </c>
      <c r="AK8" s="433">
        <f>I8/'D6 Gallon Forecast'!I8</f>
        <v>1</v>
      </c>
      <c r="AL8" s="433">
        <f>J8/'D6 Gallon Forecast'!J8</f>
        <v>1</v>
      </c>
      <c r="AM8" s="433">
        <f>K8/'D6 Gallon Forecast'!K8</f>
        <v>1</v>
      </c>
      <c r="AN8" s="433">
        <f>L8/'D6 Gallon Forecast'!L8</f>
        <v>1</v>
      </c>
      <c r="AO8" s="433">
        <f>M8/'D6 Gallon Forecast'!M8</f>
        <v>1</v>
      </c>
      <c r="AP8" s="433">
        <f>N8/'D6 Gallon Forecast'!N8</f>
        <v>1</v>
      </c>
      <c r="AQ8" s="433">
        <f>O8/'D6 Gallon Forecast'!O8</f>
        <v>1</v>
      </c>
      <c r="AR8" s="433">
        <f>P8/'D6 Gallon Forecast'!P8</f>
        <v>1</v>
      </c>
      <c r="AS8" s="433">
        <f>Q8/'D6 Gallon Forecast'!Q8</f>
        <v>1</v>
      </c>
      <c r="AU8" s="2" t="s">
        <v>225</v>
      </c>
    </row>
    <row r="9" spans="1:47">
      <c r="A9" s="97" t="s">
        <v>480</v>
      </c>
      <c r="B9" s="98">
        <f>B10+B11</f>
        <v>0</v>
      </c>
      <c r="C9" s="98">
        <f t="shared" ref="C9:I9" si="14">C10+C11</f>
        <v>0</v>
      </c>
      <c r="D9" s="98">
        <f t="shared" si="14"/>
        <v>0</v>
      </c>
      <c r="E9" s="98">
        <f t="shared" si="14"/>
        <v>15198</v>
      </c>
      <c r="F9" s="98">
        <f t="shared" si="14"/>
        <v>0</v>
      </c>
      <c r="G9" s="98">
        <f t="shared" si="14"/>
        <v>0</v>
      </c>
      <c r="H9" s="98">
        <f t="shared" si="14"/>
        <v>162942</v>
      </c>
      <c r="I9" s="98">
        <f t="shared" si="14"/>
        <v>0</v>
      </c>
      <c r="J9" s="98">
        <f>J10+J11</f>
        <v>0</v>
      </c>
      <c r="K9" s="98">
        <f>K10+K11</f>
        <v>0</v>
      </c>
      <c r="L9" s="98">
        <f>L10+L11</f>
        <v>572</v>
      </c>
      <c r="M9" s="98">
        <f>M10+M11</f>
        <v>0</v>
      </c>
      <c r="N9" s="98">
        <f t="shared" ref="N9:Z9" si="15">N10+N11</f>
        <v>0</v>
      </c>
      <c r="O9" s="98">
        <f>O10+O11</f>
        <v>0</v>
      </c>
      <c r="P9" s="98">
        <f t="shared" si="15"/>
        <v>0</v>
      </c>
      <c r="Q9" s="179">
        <f t="shared" si="15"/>
        <v>0</v>
      </c>
      <c r="R9" s="179">
        <f t="shared" si="15"/>
        <v>0</v>
      </c>
      <c r="S9" s="179">
        <f t="shared" si="15"/>
        <v>0</v>
      </c>
      <c r="T9" s="179">
        <f t="shared" si="15"/>
        <v>0</v>
      </c>
      <c r="U9" s="179">
        <f t="shared" si="15"/>
        <v>0</v>
      </c>
      <c r="V9" s="179">
        <f t="shared" si="15"/>
        <v>0</v>
      </c>
      <c r="W9" s="179">
        <f t="shared" si="15"/>
        <v>0</v>
      </c>
      <c r="X9" s="179">
        <f t="shared" si="15"/>
        <v>0</v>
      </c>
      <c r="Y9" s="179">
        <f t="shared" si="15"/>
        <v>0</v>
      </c>
      <c r="Z9" s="179">
        <f t="shared" si="15"/>
        <v>0</v>
      </c>
      <c r="AC9" s="432" t="str">
        <f t="shared" si="5"/>
        <v>Butanol</v>
      </c>
      <c r="AD9" s="2" t="e">
        <f>B9/'D6 Gallon Forecast'!B9</f>
        <v>#DIV/0!</v>
      </c>
      <c r="AE9" s="2" t="e">
        <f>C9/'D6 Gallon Forecast'!C9</f>
        <v>#DIV/0!</v>
      </c>
      <c r="AF9" s="2" t="e">
        <f>D9/'D6 Gallon Forecast'!D9</f>
        <v>#DIV/0!</v>
      </c>
      <c r="AG9" s="2">
        <f>E9/'D6 Gallon Forecast'!E9</f>
        <v>1.2999743392353091</v>
      </c>
      <c r="AH9" s="2" t="e">
        <f>F9/'D6 Gallon Forecast'!F9</f>
        <v>#DIV/0!</v>
      </c>
      <c r="AI9" s="2" t="e">
        <f>G9/'D6 Gallon Forecast'!G9</f>
        <v>#DIV/0!</v>
      </c>
      <c r="AJ9" s="2">
        <f>H9/'D6 Gallon Forecast'!H9</f>
        <v>1.3</v>
      </c>
      <c r="AK9" s="2" t="e">
        <f>I9/'D6 Gallon Forecast'!I9</f>
        <v>#DIV/0!</v>
      </c>
      <c r="AL9" s="2" t="e">
        <f>J9/'D6 Gallon Forecast'!J9</f>
        <v>#DIV/0!</v>
      </c>
      <c r="AM9" s="2" t="e">
        <f>K9/'D6 Gallon Forecast'!K9</f>
        <v>#DIV/0!</v>
      </c>
      <c r="AN9" s="2">
        <f>L9/'D6 Gallon Forecast'!L9</f>
        <v>1.3</v>
      </c>
      <c r="AO9" s="2" t="e">
        <f>M9/'D6 Gallon Forecast'!M9</f>
        <v>#DIV/0!</v>
      </c>
      <c r="AP9" s="2" t="e">
        <f>N9/'D6 Gallon Forecast'!N9</f>
        <v>#DIV/0!</v>
      </c>
      <c r="AQ9" s="2" t="e">
        <f>O9/'D6 Gallon Forecast'!O9</f>
        <v>#DIV/0!</v>
      </c>
      <c r="AR9" s="2" t="e">
        <f>P9/'D6 Gallon Forecast'!P9</f>
        <v>#DIV/0!</v>
      </c>
      <c r="AS9" s="2" t="e">
        <f>Q9/'D6 Gallon Forecast'!Q9</f>
        <v>#DIV/0!</v>
      </c>
      <c r="AU9" s="2" t="s">
        <v>480</v>
      </c>
    </row>
    <row r="10" spans="1:47">
      <c r="A10" s="2" t="s">
        <v>224</v>
      </c>
      <c r="B10" s="3">
        <f>B173</f>
        <v>0</v>
      </c>
      <c r="C10" s="3">
        <f t="shared" ref="C10:J10" si="16">C173</f>
        <v>0</v>
      </c>
      <c r="D10" s="3">
        <f t="shared" si="16"/>
        <v>0</v>
      </c>
      <c r="E10" s="3">
        <f t="shared" si="16"/>
        <v>15198</v>
      </c>
      <c r="F10" s="3">
        <f t="shared" si="16"/>
        <v>0</v>
      </c>
      <c r="G10" s="3">
        <f t="shared" si="16"/>
        <v>0</v>
      </c>
      <c r="H10" s="3">
        <f t="shared" si="16"/>
        <v>162942</v>
      </c>
      <c r="I10" s="3">
        <f t="shared" si="16"/>
        <v>0</v>
      </c>
      <c r="J10" s="3">
        <f t="shared" si="16"/>
        <v>0</v>
      </c>
      <c r="K10" s="3">
        <f>K173</f>
        <v>0</v>
      </c>
      <c r="L10" s="3">
        <f>L173</f>
        <v>572</v>
      </c>
      <c r="M10" s="3">
        <f>M173</f>
        <v>0</v>
      </c>
      <c r="N10" s="3">
        <f t="shared" ref="N10:Z10" si="17">N173</f>
        <v>0</v>
      </c>
      <c r="O10" s="3">
        <f>O173</f>
        <v>0</v>
      </c>
      <c r="P10" s="3">
        <f t="shared" si="17"/>
        <v>0</v>
      </c>
      <c r="Q10" s="177">
        <f t="shared" si="17"/>
        <v>0</v>
      </c>
      <c r="R10" s="177">
        <f t="shared" si="17"/>
        <v>0</v>
      </c>
      <c r="S10" s="177">
        <f t="shared" si="17"/>
        <v>0</v>
      </c>
      <c r="T10" s="177">
        <f t="shared" si="17"/>
        <v>0</v>
      </c>
      <c r="U10" s="177">
        <f t="shared" si="17"/>
        <v>0</v>
      </c>
      <c r="V10" s="177">
        <f t="shared" si="17"/>
        <v>0</v>
      </c>
      <c r="W10" s="177">
        <f t="shared" si="17"/>
        <v>0</v>
      </c>
      <c r="X10" s="177">
        <f t="shared" si="17"/>
        <v>0</v>
      </c>
      <c r="Y10" s="177">
        <f t="shared" si="17"/>
        <v>0</v>
      </c>
      <c r="Z10" s="177">
        <f t="shared" si="17"/>
        <v>0</v>
      </c>
      <c r="AC10" s="432" t="str">
        <f t="shared" si="5"/>
        <v xml:space="preserve">  Domestic</v>
      </c>
      <c r="AD10" s="2" t="e">
        <f>B10/'D6 Gallon Forecast'!B10</f>
        <v>#DIV/0!</v>
      </c>
      <c r="AE10" s="2" t="e">
        <f>C10/'D6 Gallon Forecast'!C10</f>
        <v>#DIV/0!</v>
      </c>
      <c r="AF10" s="2" t="e">
        <f>D10/'D6 Gallon Forecast'!D10</f>
        <v>#DIV/0!</v>
      </c>
      <c r="AG10" s="2">
        <f>E10/'D6 Gallon Forecast'!E10</f>
        <v>1.2999743392353091</v>
      </c>
      <c r="AH10" s="2" t="e">
        <f>F10/'D6 Gallon Forecast'!F10</f>
        <v>#DIV/0!</v>
      </c>
      <c r="AI10" s="2" t="e">
        <f>G10/'D6 Gallon Forecast'!G10</f>
        <v>#DIV/0!</v>
      </c>
      <c r="AJ10" s="2">
        <f>H10/'D6 Gallon Forecast'!H10</f>
        <v>1.3</v>
      </c>
      <c r="AK10" s="2" t="e">
        <f>I10/'D6 Gallon Forecast'!I10</f>
        <v>#DIV/0!</v>
      </c>
      <c r="AL10" s="2" t="e">
        <f>J10/'D6 Gallon Forecast'!J10</f>
        <v>#DIV/0!</v>
      </c>
      <c r="AM10" s="2" t="e">
        <f>K10/'D6 Gallon Forecast'!K10</f>
        <v>#DIV/0!</v>
      </c>
      <c r="AN10" s="2">
        <f>L10/'D6 Gallon Forecast'!L10</f>
        <v>1.3</v>
      </c>
      <c r="AO10" s="2" t="e">
        <f>M10/'D6 Gallon Forecast'!M10</f>
        <v>#DIV/0!</v>
      </c>
      <c r="AP10" s="2" t="e">
        <f>N10/'D6 Gallon Forecast'!N10</f>
        <v>#DIV/0!</v>
      </c>
      <c r="AQ10" s="2" t="e">
        <f>O10/'D6 Gallon Forecast'!O10</f>
        <v>#DIV/0!</v>
      </c>
      <c r="AR10" s="2" t="e">
        <f>P10/'D6 Gallon Forecast'!P10</f>
        <v>#DIV/0!</v>
      </c>
      <c r="AS10" s="2" t="e">
        <f>Q10/'D6 Gallon Forecast'!Q10</f>
        <v>#DIV/0!</v>
      </c>
      <c r="AU10" s="2" t="s">
        <v>224</v>
      </c>
    </row>
    <row r="11" spans="1:47" ht="13.5" thickBot="1">
      <c r="A11" s="2" t="s">
        <v>225</v>
      </c>
      <c r="B11" s="3">
        <f>B189</f>
        <v>0</v>
      </c>
      <c r="C11" s="3">
        <f t="shared" ref="C11:J11" si="18">C189</f>
        <v>0</v>
      </c>
      <c r="D11" s="3">
        <f t="shared" si="18"/>
        <v>0</v>
      </c>
      <c r="E11" s="3">
        <f t="shared" si="18"/>
        <v>0</v>
      </c>
      <c r="F11" s="3">
        <f t="shared" si="18"/>
        <v>0</v>
      </c>
      <c r="G11" s="3">
        <f t="shared" si="18"/>
        <v>0</v>
      </c>
      <c r="H11" s="3">
        <f t="shared" si="18"/>
        <v>0</v>
      </c>
      <c r="I11" s="3">
        <f t="shared" si="18"/>
        <v>0</v>
      </c>
      <c r="J11" s="3">
        <f t="shared" si="18"/>
        <v>0</v>
      </c>
      <c r="K11" s="3">
        <f>K189</f>
        <v>0</v>
      </c>
      <c r="L11" s="3">
        <f>L189</f>
        <v>0</v>
      </c>
      <c r="M11" s="3">
        <f>M189</f>
        <v>0</v>
      </c>
      <c r="N11" s="3">
        <f t="shared" ref="N11:Z11" si="19">N189</f>
        <v>0</v>
      </c>
      <c r="O11" s="3">
        <f>O189</f>
        <v>0</v>
      </c>
      <c r="P11" s="3">
        <f t="shared" si="19"/>
        <v>0</v>
      </c>
      <c r="Q11" s="177">
        <f t="shared" si="19"/>
        <v>0</v>
      </c>
      <c r="R11" s="177">
        <f t="shared" si="19"/>
        <v>0</v>
      </c>
      <c r="S11" s="177">
        <f t="shared" si="19"/>
        <v>0</v>
      </c>
      <c r="T11" s="177">
        <f t="shared" si="19"/>
        <v>0</v>
      </c>
      <c r="U11" s="177">
        <f t="shared" si="19"/>
        <v>0</v>
      </c>
      <c r="V11" s="177">
        <f t="shared" si="19"/>
        <v>0</v>
      </c>
      <c r="W11" s="177">
        <f t="shared" si="19"/>
        <v>0</v>
      </c>
      <c r="X11" s="177">
        <f t="shared" si="19"/>
        <v>0</v>
      </c>
      <c r="Y11" s="177">
        <f t="shared" si="19"/>
        <v>0</v>
      </c>
      <c r="Z11" s="177">
        <f t="shared" si="19"/>
        <v>0</v>
      </c>
      <c r="AC11" s="432" t="str">
        <f t="shared" si="5"/>
        <v xml:space="preserve">  Importer</v>
      </c>
      <c r="AD11" s="2" t="e">
        <f>B11/'D6 Gallon Forecast'!B11</f>
        <v>#DIV/0!</v>
      </c>
      <c r="AE11" s="2" t="e">
        <f>C11/'D6 Gallon Forecast'!C11</f>
        <v>#DIV/0!</v>
      </c>
      <c r="AF11" s="2" t="e">
        <f>D11/'D6 Gallon Forecast'!D11</f>
        <v>#DIV/0!</v>
      </c>
      <c r="AG11" s="2" t="e">
        <f>E11/'D6 Gallon Forecast'!E11</f>
        <v>#DIV/0!</v>
      </c>
      <c r="AH11" s="2" t="e">
        <f>F11/'D6 Gallon Forecast'!F11</f>
        <v>#DIV/0!</v>
      </c>
      <c r="AI11" s="2" t="e">
        <f>G11/'D6 Gallon Forecast'!G11</f>
        <v>#DIV/0!</v>
      </c>
      <c r="AJ11" s="2" t="e">
        <f>H11/'D6 Gallon Forecast'!H11</f>
        <v>#DIV/0!</v>
      </c>
      <c r="AK11" s="2" t="e">
        <f>I11/'D6 Gallon Forecast'!I11</f>
        <v>#DIV/0!</v>
      </c>
      <c r="AL11" s="2" t="e">
        <f>J11/'D6 Gallon Forecast'!J11</f>
        <v>#DIV/0!</v>
      </c>
      <c r="AM11" s="2" t="e">
        <f>K11/'D6 Gallon Forecast'!K11</f>
        <v>#DIV/0!</v>
      </c>
      <c r="AN11" s="2" t="e">
        <f>L11/'D6 Gallon Forecast'!L11</f>
        <v>#DIV/0!</v>
      </c>
      <c r="AO11" s="2" t="e">
        <f>M11/'D6 Gallon Forecast'!M11</f>
        <v>#DIV/0!</v>
      </c>
      <c r="AP11" s="2" t="e">
        <f>N11/'D6 Gallon Forecast'!N11</f>
        <v>#DIV/0!</v>
      </c>
      <c r="AQ11" s="2" t="e">
        <f>O11/'D6 Gallon Forecast'!O11</f>
        <v>#DIV/0!</v>
      </c>
      <c r="AR11" s="2" t="e">
        <f>P11/'D6 Gallon Forecast'!P11</f>
        <v>#DIV/0!</v>
      </c>
      <c r="AS11" s="2" t="e">
        <f>Q11/'D6 Gallon Forecast'!Q11</f>
        <v>#DIV/0!</v>
      </c>
      <c r="AU11" s="2" t="s">
        <v>225</v>
      </c>
    </row>
    <row r="12" spans="1:47">
      <c r="A12" s="97" t="s">
        <v>283</v>
      </c>
      <c r="B12" s="98">
        <f>B13+B14+B15</f>
        <v>0</v>
      </c>
      <c r="C12" s="98">
        <f t="shared" ref="C12:I12" si="20">C13+C14+C15</f>
        <v>0</v>
      </c>
      <c r="D12" s="98">
        <f t="shared" si="20"/>
        <v>0</v>
      </c>
      <c r="E12" s="98">
        <f t="shared" si="20"/>
        <v>196357089</v>
      </c>
      <c r="F12" s="98">
        <f t="shared" si="20"/>
        <v>257366277</v>
      </c>
      <c r="G12" s="98">
        <f t="shared" si="20"/>
        <v>340903411</v>
      </c>
      <c r="H12" s="98">
        <f t="shared" si="20"/>
        <v>281617019</v>
      </c>
      <c r="I12" s="98">
        <f t="shared" si="20"/>
        <v>244982236</v>
      </c>
      <c r="J12" s="98">
        <f>J13+J14+J15</f>
        <v>181065012</v>
      </c>
      <c r="K12" s="98">
        <f>K13+K14+K15</f>
        <v>197800871</v>
      </c>
      <c r="L12" s="98">
        <f>L13+L14+L15</f>
        <v>129657171</v>
      </c>
      <c r="M12" s="98">
        <f>M13+M14+M15</f>
        <v>134670577</v>
      </c>
      <c r="N12" s="98">
        <f t="shared" ref="N12:Z12" si="21">N13+N14+N15</f>
        <v>127436021</v>
      </c>
      <c r="O12" s="98">
        <f>O13+O14+O15</f>
        <v>102074856</v>
      </c>
      <c r="P12" s="98">
        <f t="shared" si="21"/>
        <v>250191</v>
      </c>
      <c r="Q12" s="179">
        <f t="shared" si="21"/>
        <v>0</v>
      </c>
      <c r="R12" s="179">
        <f t="shared" si="21"/>
        <v>0</v>
      </c>
      <c r="S12" s="179">
        <f t="shared" si="21"/>
        <v>0</v>
      </c>
      <c r="T12" s="179">
        <f t="shared" si="21"/>
        <v>0</v>
      </c>
      <c r="U12" s="179">
        <f t="shared" si="21"/>
        <v>0</v>
      </c>
      <c r="V12" s="179">
        <f t="shared" si="21"/>
        <v>0</v>
      </c>
      <c r="W12" s="179">
        <f t="shared" si="21"/>
        <v>0</v>
      </c>
      <c r="X12" s="179">
        <f t="shared" si="21"/>
        <v>0</v>
      </c>
      <c r="Y12" s="179">
        <f t="shared" si="21"/>
        <v>0</v>
      </c>
      <c r="Z12" s="179">
        <f t="shared" si="21"/>
        <v>0</v>
      </c>
      <c r="AC12" s="432" t="str">
        <f t="shared" si="5"/>
        <v>Non-ester Renewable Diesel</v>
      </c>
      <c r="AD12" s="2" t="e">
        <f>B12/'D6 Gallon Forecast'!B12</f>
        <v>#DIV/0!</v>
      </c>
      <c r="AE12" s="2" t="e">
        <f>C12/'D6 Gallon Forecast'!C12</f>
        <v>#DIV/0!</v>
      </c>
      <c r="AF12" s="2" t="e">
        <f>D12/'D6 Gallon Forecast'!D12</f>
        <v>#DIV/0!</v>
      </c>
      <c r="AG12" s="2">
        <f>E12/'D6 Gallon Forecast'!E12</f>
        <v>1.7000000294361672</v>
      </c>
      <c r="AH12" s="2">
        <f>F12/'D6 Gallon Forecast'!F12</f>
        <v>1.7000000184950419</v>
      </c>
      <c r="AI12" s="2">
        <f>G12/'D6 Gallon Forecast'!G12</f>
        <v>1.7000000274271241</v>
      </c>
      <c r="AJ12" s="2">
        <f>H12/'D6 Gallon Forecast'!H12</f>
        <v>1.7000000513108209</v>
      </c>
      <c r="AK12" s="433">
        <f>I12/'D6 Gallon Forecast'!I12</f>
        <v>1.7000000076332065</v>
      </c>
      <c r="AL12" s="433">
        <f>J12/'D6 Gallon Forecast'!J12</f>
        <v>1.7000000253500112</v>
      </c>
      <c r="AM12" s="433">
        <f>K12/'D6 Gallon Forecast'!K12</f>
        <v>1.7000000369563597</v>
      </c>
      <c r="AN12" s="433">
        <f>L12/'D6 Gallon Forecast'!L12</f>
        <v>1.6999999803327501</v>
      </c>
      <c r="AO12" s="433">
        <f>M12/'D6 Gallon Forecast'!M12</f>
        <v>1.7000000100987167</v>
      </c>
      <c r="AP12" s="433">
        <f>N12/'D6 Gallon Forecast'!N12</f>
        <v>1.7000000066700136</v>
      </c>
      <c r="AQ12" s="433">
        <f>O12/'D6 Gallon Forecast'!O12</f>
        <v>1.6999999983345555</v>
      </c>
      <c r="AR12" s="433">
        <f>P12/'D6 Gallon Forecast'!P12</f>
        <v>1.700002038445074</v>
      </c>
      <c r="AS12" s="433">
        <f>Q12/'D6 Gallon Forecast'!Q12</f>
        <v>0</v>
      </c>
      <c r="AU12" s="2" t="s">
        <v>283</v>
      </c>
    </row>
    <row r="13" spans="1:47">
      <c r="A13" s="2" t="s">
        <v>224</v>
      </c>
      <c r="B13" s="3">
        <f>B221</f>
        <v>0</v>
      </c>
      <c r="C13" s="3">
        <f t="shared" ref="C13:I13" si="22">C221</f>
        <v>0</v>
      </c>
      <c r="D13" s="3">
        <f t="shared" si="22"/>
        <v>0</v>
      </c>
      <c r="E13" s="3">
        <f t="shared" si="22"/>
        <v>0</v>
      </c>
      <c r="F13" s="3">
        <f t="shared" si="22"/>
        <v>0</v>
      </c>
      <c r="G13" s="3">
        <f t="shared" si="22"/>
        <v>0</v>
      </c>
      <c r="H13" s="3">
        <f t="shared" si="22"/>
        <v>0</v>
      </c>
      <c r="I13" s="3">
        <f t="shared" si="22"/>
        <v>0</v>
      </c>
      <c r="J13" s="3">
        <f>J221</f>
        <v>0</v>
      </c>
      <c r="K13" s="3">
        <f>K221</f>
        <v>0</v>
      </c>
      <c r="L13" s="3">
        <f>L221</f>
        <v>0</v>
      </c>
      <c r="M13" s="3">
        <f>M221</f>
        <v>0</v>
      </c>
      <c r="N13" s="3">
        <f t="shared" ref="N13:Z13" si="23">N221</f>
        <v>0</v>
      </c>
      <c r="O13" s="3">
        <f>O221</f>
        <v>941847</v>
      </c>
      <c r="P13" s="3">
        <f t="shared" si="23"/>
        <v>250191</v>
      </c>
      <c r="Q13" s="177">
        <f t="shared" si="23"/>
        <v>0</v>
      </c>
      <c r="R13" s="177">
        <f t="shared" si="23"/>
        <v>0</v>
      </c>
      <c r="S13" s="177">
        <f t="shared" si="23"/>
        <v>0</v>
      </c>
      <c r="T13" s="177">
        <f t="shared" si="23"/>
        <v>0</v>
      </c>
      <c r="U13" s="177">
        <f t="shared" si="23"/>
        <v>0</v>
      </c>
      <c r="V13" s="177">
        <f t="shared" si="23"/>
        <v>0</v>
      </c>
      <c r="W13" s="177">
        <f t="shared" si="23"/>
        <v>0</v>
      </c>
      <c r="X13" s="177">
        <f t="shared" si="23"/>
        <v>0</v>
      </c>
      <c r="Y13" s="177">
        <f t="shared" si="23"/>
        <v>0</v>
      </c>
      <c r="Z13" s="177">
        <f t="shared" si="23"/>
        <v>0</v>
      </c>
      <c r="AC13" s="432" t="str">
        <f t="shared" si="5"/>
        <v xml:space="preserve">  Domestic</v>
      </c>
      <c r="AD13" s="2" t="e">
        <f>B13/'D6 Gallon Forecast'!B13</f>
        <v>#DIV/0!</v>
      </c>
      <c r="AE13" s="2" t="e">
        <f>C13/'D6 Gallon Forecast'!C13</f>
        <v>#DIV/0!</v>
      </c>
      <c r="AF13" s="2" t="e">
        <f>D13/'D6 Gallon Forecast'!D13</f>
        <v>#DIV/0!</v>
      </c>
      <c r="AG13" s="2" t="e">
        <f>E13/'D6 Gallon Forecast'!E13</f>
        <v>#DIV/0!</v>
      </c>
      <c r="AH13" s="2" t="e">
        <f>F13/'D6 Gallon Forecast'!F13</f>
        <v>#DIV/0!</v>
      </c>
      <c r="AI13" s="2" t="e">
        <f>G13/'D6 Gallon Forecast'!G13</f>
        <v>#DIV/0!</v>
      </c>
      <c r="AJ13" s="2" t="e">
        <f>H13/'D6 Gallon Forecast'!H13</f>
        <v>#DIV/0!</v>
      </c>
      <c r="AK13" s="2" t="e">
        <f>I13/'D6 Gallon Forecast'!I13</f>
        <v>#DIV/0!</v>
      </c>
      <c r="AL13" s="2" t="e">
        <f>J13/'D6 Gallon Forecast'!J13</f>
        <v>#DIV/0!</v>
      </c>
      <c r="AM13" s="2" t="e">
        <f>K13/'D6 Gallon Forecast'!K13</f>
        <v>#DIV/0!</v>
      </c>
      <c r="AN13" s="2" t="e">
        <f>L13/'D6 Gallon Forecast'!L13</f>
        <v>#DIV/0!</v>
      </c>
      <c r="AO13" s="2" t="e">
        <f>M13/'D6 Gallon Forecast'!M13</f>
        <v>#DIV/0!</v>
      </c>
      <c r="AP13" s="2" t="e">
        <f>N13/'D6 Gallon Forecast'!N13</f>
        <v>#DIV/0!</v>
      </c>
      <c r="AQ13" s="2">
        <f>O13/'D6 Gallon Forecast'!O13</f>
        <v>1.6999989170222443</v>
      </c>
      <c r="AR13" s="2">
        <f>P13/'D6 Gallon Forecast'!P13</f>
        <v>1.700002038445074</v>
      </c>
      <c r="AS13" s="2">
        <f>Q13/'D6 Gallon Forecast'!Q13</f>
        <v>0</v>
      </c>
      <c r="AU13" s="2" t="s">
        <v>224</v>
      </c>
    </row>
    <row r="14" spans="1:47">
      <c r="A14" s="2" t="s">
        <v>282</v>
      </c>
      <c r="B14" s="3">
        <f>B237</f>
        <v>0</v>
      </c>
      <c r="C14" s="3">
        <f t="shared" ref="C14:I14" si="24">C237</f>
        <v>0</v>
      </c>
      <c r="D14" s="3">
        <f t="shared" si="24"/>
        <v>0</v>
      </c>
      <c r="E14" s="3">
        <f t="shared" si="24"/>
        <v>196357089</v>
      </c>
      <c r="F14" s="3">
        <f t="shared" si="24"/>
        <v>257366277</v>
      </c>
      <c r="G14" s="3">
        <f t="shared" si="24"/>
        <v>340903411</v>
      </c>
      <c r="H14" s="3">
        <f t="shared" si="24"/>
        <v>281617019</v>
      </c>
      <c r="I14" s="3">
        <f t="shared" si="24"/>
        <v>244982236</v>
      </c>
      <c r="J14" s="3">
        <f>J237</f>
        <v>181065012</v>
      </c>
      <c r="K14" s="3">
        <f>K237</f>
        <v>197800871</v>
      </c>
      <c r="L14" s="3">
        <f>L237</f>
        <v>129657171</v>
      </c>
      <c r="M14" s="3">
        <f>M237</f>
        <v>134670577</v>
      </c>
      <c r="N14" s="3">
        <f t="shared" ref="N14:Z14" si="25">N237</f>
        <v>127436021</v>
      </c>
      <c r="O14" s="3">
        <f>O237</f>
        <v>101133009</v>
      </c>
      <c r="P14" s="3">
        <f t="shared" si="25"/>
        <v>0</v>
      </c>
      <c r="Q14" s="177">
        <f t="shared" si="25"/>
        <v>0</v>
      </c>
      <c r="R14" s="177">
        <f t="shared" si="25"/>
        <v>0</v>
      </c>
      <c r="S14" s="177">
        <f t="shared" si="25"/>
        <v>0</v>
      </c>
      <c r="T14" s="177">
        <f t="shared" si="25"/>
        <v>0</v>
      </c>
      <c r="U14" s="177">
        <f t="shared" si="25"/>
        <v>0</v>
      </c>
      <c r="V14" s="177">
        <f t="shared" si="25"/>
        <v>0</v>
      </c>
      <c r="W14" s="177">
        <f t="shared" si="25"/>
        <v>0</v>
      </c>
      <c r="X14" s="177">
        <f t="shared" si="25"/>
        <v>0</v>
      </c>
      <c r="Y14" s="177">
        <f t="shared" si="25"/>
        <v>0</v>
      </c>
      <c r="Z14" s="177">
        <f t="shared" si="25"/>
        <v>0</v>
      </c>
      <c r="AC14" s="432" t="str">
        <f t="shared" si="5"/>
        <v xml:space="preserve">  Foreign Generation</v>
      </c>
      <c r="AD14" s="2" t="e">
        <f>B14/'D6 Gallon Forecast'!B14</f>
        <v>#DIV/0!</v>
      </c>
      <c r="AE14" s="2" t="e">
        <f>C14/'D6 Gallon Forecast'!C14</f>
        <v>#DIV/0!</v>
      </c>
      <c r="AF14" s="2" t="e">
        <f>D14/'D6 Gallon Forecast'!D14</f>
        <v>#DIV/0!</v>
      </c>
      <c r="AG14" s="2">
        <f>E14/'D6 Gallon Forecast'!E14</f>
        <v>1.7000000294361672</v>
      </c>
      <c r="AH14" s="2">
        <f>F14/'D6 Gallon Forecast'!F14</f>
        <v>1.7000000184950419</v>
      </c>
      <c r="AI14" s="2">
        <f>G14/'D6 Gallon Forecast'!G14</f>
        <v>1.7000000274271241</v>
      </c>
      <c r="AJ14" s="2">
        <f>H14/'D6 Gallon Forecast'!H14</f>
        <v>1.7000000513108209</v>
      </c>
      <c r="AK14" s="433">
        <f>I14/'D6 Gallon Forecast'!I14</f>
        <v>1.7000000076332065</v>
      </c>
      <c r="AL14" s="433">
        <f>J14/'D6 Gallon Forecast'!J14</f>
        <v>1.7000000253500112</v>
      </c>
      <c r="AM14" s="433">
        <f>K14/'D6 Gallon Forecast'!K14</f>
        <v>1.7000000369563597</v>
      </c>
      <c r="AN14" s="433">
        <f>L14/'D6 Gallon Forecast'!L14</f>
        <v>1.6999999803327501</v>
      </c>
      <c r="AO14" s="433">
        <f>M14/'D6 Gallon Forecast'!M14</f>
        <v>1.7000000100987167</v>
      </c>
      <c r="AP14" s="433">
        <f>N14/'D6 Gallon Forecast'!N14</f>
        <v>1.7000000066700136</v>
      </c>
      <c r="AQ14" s="433">
        <f>O14/'D6 Gallon Forecast'!O14</f>
        <v>1.7000000084047733</v>
      </c>
      <c r="AR14" s="433" t="e">
        <f>P14/'D6 Gallon Forecast'!P14</f>
        <v>#DIV/0!</v>
      </c>
      <c r="AS14" s="433" t="e">
        <f>Q14/'D6 Gallon Forecast'!Q14</f>
        <v>#DIV/0!</v>
      </c>
      <c r="AU14" s="2" t="s">
        <v>282</v>
      </c>
    </row>
    <row r="15" spans="1:47" ht="13.5" thickBot="1">
      <c r="A15" s="2" t="s">
        <v>225</v>
      </c>
      <c r="B15" s="3">
        <f>B253</f>
        <v>0</v>
      </c>
      <c r="C15" s="3">
        <f t="shared" ref="C15:I15" si="26">C253</f>
        <v>0</v>
      </c>
      <c r="D15" s="3">
        <f t="shared" si="26"/>
        <v>0</v>
      </c>
      <c r="E15" s="3">
        <f t="shared" si="26"/>
        <v>0</v>
      </c>
      <c r="F15" s="3">
        <f t="shared" si="26"/>
        <v>0</v>
      </c>
      <c r="G15" s="3">
        <f t="shared" si="26"/>
        <v>0</v>
      </c>
      <c r="H15" s="3">
        <f t="shared" si="26"/>
        <v>0</v>
      </c>
      <c r="I15" s="3">
        <f t="shared" si="26"/>
        <v>0</v>
      </c>
      <c r="J15" s="3">
        <f>J253</f>
        <v>0</v>
      </c>
      <c r="K15" s="3">
        <f>K253</f>
        <v>0</v>
      </c>
      <c r="L15" s="3">
        <f>L253</f>
        <v>0</v>
      </c>
      <c r="M15" s="3">
        <f>M253</f>
        <v>0</v>
      </c>
      <c r="N15" s="3">
        <f t="shared" ref="N15:Z15" si="27">N253</f>
        <v>0</v>
      </c>
      <c r="O15" s="3">
        <f>O253</f>
        <v>0</v>
      </c>
      <c r="P15" s="3">
        <f t="shared" si="27"/>
        <v>0</v>
      </c>
      <c r="Q15" s="177">
        <f t="shared" si="27"/>
        <v>0</v>
      </c>
      <c r="R15" s="177">
        <f t="shared" si="27"/>
        <v>0</v>
      </c>
      <c r="S15" s="177">
        <f t="shared" si="27"/>
        <v>0</v>
      </c>
      <c r="T15" s="177">
        <f t="shared" si="27"/>
        <v>0</v>
      </c>
      <c r="U15" s="177">
        <f t="shared" si="27"/>
        <v>0</v>
      </c>
      <c r="V15" s="177">
        <f t="shared" si="27"/>
        <v>0</v>
      </c>
      <c r="W15" s="177">
        <f t="shared" si="27"/>
        <v>0</v>
      </c>
      <c r="X15" s="177">
        <f t="shared" si="27"/>
        <v>0</v>
      </c>
      <c r="Y15" s="177">
        <f t="shared" si="27"/>
        <v>0</v>
      </c>
      <c r="Z15" s="177">
        <f t="shared" si="27"/>
        <v>0</v>
      </c>
      <c r="AC15" s="432" t="str">
        <f t="shared" si="5"/>
        <v xml:space="preserve">  Importer</v>
      </c>
      <c r="AD15" s="2" t="e">
        <f>B15/'D6 Gallon Forecast'!B15</f>
        <v>#DIV/0!</v>
      </c>
      <c r="AE15" s="2" t="e">
        <f>C15/'D6 Gallon Forecast'!C15</f>
        <v>#DIV/0!</v>
      </c>
      <c r="AF15" s="2" t="e">
        <f>D15/'D6 Gallon Forecast'!D15</f>
        <v>#DIV/0!</v>
      </c>
      <c r="AG15" s="2" t="e">
        <f>E15/'D6 Gallon Forecast'!E15</f>
        <v>#DIV/0!</v>
      </c>
      <c r="AH15" s="2" t="e">
        <f>F15/'D6 Gallon Forecast'!F15</f>
        <v>#DIV/0!</v>
      </c>
      <c r="AI15" s="2" t="e">
        <f>G15/'D6 Gallon Forecast'!G15</f>
        <v>#DIV/0!</v>
      </c>
      <c r="AJ15" s="2" t="e">
        <f>H15/'D6 Gallon Forecast'!H15</f>
        <v>#DIV/0!</v>
      </c>
      <c r="AK15" s="2" t="e">
        <f>I15/'D6 Gallon Forecast'!I15</f>
        <v>#DIV/0!</v>
      </c>
      <c r="AL15" s="2" t="e">
        <f>J15/'D6 Gallon Forecast'!J15</f>
        <v>#DIV/0!</v>
      </c>
      <c r="AM15" s="2" t="e">
        <f>K15/'D6 Gallon Forecast'!K15</f>
        <v>#DIV/0!</v>
      </c>
      <c r="AN15" s="2" t="e">
        <f>L15/'D6 Gallon Forecast'!L15</f>
        <v>#DIV/0!</v>
      </c>
      <c r="AO15" s="2" t="e">
        <f>M15/'D6 Gallon Forecast'!M15</f>
        <v>#DIV/0!</v>
      </c>
      <c r="AP15" s="2" t="e">
        <f>N15/'D6 Gallon Forecast'!N15</f>
        <v>#DIV/0!</v>
      </c>
      <c r="AQ15" s="2" t="e">
        <f>O15/'D6 Gallon Forecast'!O15</f>
        <v>#DIV/0!</v>
      </c>
      <c r="AR15" s="2" t="e">
        <f>P15/'D6 Gallon Forecast'!P15</f>
        <v>#DIV/0!</v>
      </c>
      <c r="AS15" s="2" t="e">
        <f>Q15/'D6 Gallon Forecast'!Q15</f>
        <v>#DIV/0!</v>
      </c>
      <c r="AU15" s="2" t="s">
        <v>225</v>
      </c>
    </row>
    <row r="16" spans="1:47">
      <c r="A16" s="97" t="s">
        <v>287</v>
      </c>
      <c r="B16" s="98">
        <f>SUM(B17:B19)</f>
        <v>0</v>
      </c>
      <c r="C16" s="98">
        <f t="shared" ref="C16:O16" si="28">SUM(C17:C19)</f>
        <v>0</v>
      </c>
      <c r="D16" s="98">
        <f t="shared" si="28"/>
        <v>0</v>
      </c>
      <c r="E16" s="98">
        <f t="shared" si="28"/>
        <v>0</v>
      </c>
      <c r="F16" s="98">
        <f t="shared" si="28"/>
        <v>0</v>
      </c>
      <c r="G16" s="98">
        <f t="shared" si="28"/>
        <v>0</v>
      </c>
      <c r="H16" s="98">
        <f t="shared" si="28"/>
        <v>0</v>
      </c>
      <c r="I16" s="98">
        <f t="shared" si="28"/>
        <v>0</v>
      </c>
      <c r="J16" s="98">
        <f t="shared" si="28"/>
        <v>0</v>
      </c>
      <c r="K16" s="98">
        <f t="shared" si="28"/>
        <v>0</v>
      </c>
      <c r="L16" s="98">
        <f t="shared" si="28"/>
        <v>0</v>
      </c>
      <c r="M16" s="98">
        <f t="shared" si="28"/>
        <v>0</v>
      </c>
      <c r="N16" s="98">
        <f t="shared" si="28"/>
        <v>0</v>
      </c>
      <c r="O16" s="98">
        <f t="shared" si="28"/>
        <v>3103025</v>
      </c>
      <c r="P16" s="98">
        <f>'D6 Gallon Forecast'!Q16*1.7</f>
        <v>36525.698122137641</v>
      </c>
      <c r="Q16" s="179">
        <f>'D6 Gallon Forecast'!R16</f>
        <v>25987.48601025475</v>
      </c>
      <c r="R16" s="97">
        <f>'D6 Gallon Forecast'!S16*1.7</f>
        <v>53370.370018563328</v>
      </c>
      <c r="S16" s="97">
        <f>'D6 Gallon Forecast'!T16*1.7</f>
        <v>55791.506818626818</v>
      </c>
      <c r="T16" s="97">
        <f>'D6 Gallon Forecast'!U16*1.7</f>
        <v>59815.229432941895</v>
      </c>
      <c r="U16" s="97">
        <f>'D6 Gallon Forecast'!V16*1.7</f>
        <v>63983.785994410428</v>
      </c>
      <c r="V16" s="97">
        <f>'D6 Gallon Forecast'!W16*1.7</f>
        <v>66512.315930518496</v>
      </c>
      <c r="W16" s="97">
        <f>'D6 Gallon Forecast'!X16*1.7</f>
        <v>75419.214775159679</v>
      </c>
      <c r="X16" s="97">
        <f>'D6 Gallon Forecast'!Y16*1.7</f>
        <v>77389.976804884122</v>
      </c>
      <c r="Y16" s="97">
        <f>'D6 Gallon Forecast'!Z16*1.7</f>
        <v>81105.208007210982</v>
      </c>
      <c r="Z16" s="97">
        <f>'D6 Gallon Forecast'!AA16*1.7</f>
        <v>85952.962510998739</v>
      </c>
      <c r="AC16" s="432" t="str">
        <f t="shared" si="5"/>
        <v>Renewable Jet Fuel</v>
      </c>
      <c r="AU16" s="2" t="s">
        <v>287</v>
      </c>
    </row>
    <row r="17" spans="1:47">
      <c r="A17" s="2" t="s">
        <v>224</v>
      </c>
      <c r="B17" s="3">
        <f>B285</f>
        <v>0</v>
      </c>
      <c r="C17" s="3">
        <f t="shared" ref="C17:N17" si="29">C285</f>
        <v>0</v>
      </c>
      <c r="D17" s="3">
        <f t="shared" si="29"/>
        <v>0</v>
      </c>
      <c r="E17" s="3">
        <f t="shared" si="29"/>
        <v>0</v>
      </c>
      <c r="F17" s="3">
        <f t="shared" si="29"/>
        <v>0</v>
      </c>
      <c r="G17" s="3">
        <f t="shared" si="29"/>
        <v>0</v>
      </c>
      <c r="H17" s="3">
        <f t="shared" si="29"/>
        <v>0</v>
      </c>
      <c r="I17" s="3">
        <f t="shared" si="29"/>
        <v>0</v>
      </c>
      <c r="J17" s="3">
        <f t="shared" si="29"/>
        <v>0</v>
      </c>
      <c r="K17" s="3">
        <f t="shared" si="29"/>
        <v>0</v>
      </c>
      <c r="L17" s="3">
        <f t="shared" si="29"/>
        <v>0</v>
      </c>
      <c r="M17" s="3">
        <f t="shared" si="29"/>
        <v>0</v>
      </c>
      <c r="N17" s="3">
        <f t="shared" si="29"/>
        <v>0</v>
      </c>
      <c r="O17" s="3">
        <f>O285</f>
        <v>3103025</v>
      </c>
      <c r="P17" s="3">
        <f t="shared" ref="P17:Z17" si="30">P16</f>
        <v>36525.698122137641</v>
      </c>
      <c r="Q17" s="177">
        <f t="shared" si="30"/>
        <v>25987.48601025475</v>
      </c>
      <c r="R17" s="177">
        <f t="shared" si="30"/>
        <v>53370.370018563328</v>
      </c>
      <c r="S17" s="177">
        <f t="shared" si="30"/>
        <v>55791.506818626818</v>
      </c>
      <c r="T17" s="177">
        <f t="shared" si="30"/>
        <v>59815.229432941895</v>
      </c>
      <c r="U17" s="177">
        <f t="shared" si="30"/>
        <v>63983.785994410428</v>
      </c>
      <c r="V17" s="177">
        <f t="shared" si="30"/>
        <v>66512.315930518496</v>
      </c>
      <c r="W17" s="177">
        <f t="shared" si="30"/>
        <v>75419.214775159679</v>
      </c>
      <c r="X17" s="177">
        <f t="shared" si="30"/>
        <v>77389.976804884122</v>
      </c>
      <c r="Y17" s="177">
        <f t="shared" si="30"/>
        <v>81105.208007210982</v>
      </c>
      <c r="Z17" s="177">
        <f t="shared" si="30"/>
        <v>85952.962510998739</v>
      </c>
      <c r="AC17" s="432" t="str">
        <f t="shared" si="5"/>
        <v xml:space="preserve">  Domestic</v>
      </c>
      <c r="AU17" s="2" t="s">
        <v>224</v>
      </c>
    </row>
    <row r="18" spans="1:47">
      <c r="A18" s="2" t="s">
        <v>282</v>
      </c>
      <c r="B18" s="3">
        <f>B301</f>
        <v>0</v>
      </c>
      <c r="C18" s="3">
        <f t="shared" ref="C18:N18" si="31">C301</f>
        <v>0</v>
      </c>
      <c r="D18" s="3">
        <f t="shared" si="31"/>
        <v>0</v>
      </c>
      <c r="E18" s="3">
        <f t="shared" si="31"/>
        <v>0</v>
      </c>
      <c r="F18" s="3">
        <f t="shared" si="31"/>
        <v>0</v>
      </c>
      <c r="G18" s="3">
        <f t="shared" si="31"/>
        <v>0</v>
      </c>
      <c r="H18" s="3">
        <f t="shared" si="31"/>
        <v>0</v>
      </c>
      <c r="I18" s="3">
        <f t="shared" si="31"/>
        <v>0</v>
      </c>
      <c r="J18" s="3">
        <f t="shared" si="31"/>
        <v>0</v>
      </c>
      <c r="K18" s="3">
        <f t="shared" si="31"/>
        <v>0</v>
      </c>
      <c r="L18" s="3">
        <f t="shared" si="31"/>
        <v>0</v>
      </c>
      <c r="M18" s="3">
        <f t="shared" si="31"/>
        <v>0</v>
      </c>
      <c r="N18" s="3">
        <f t="shared" si="31"/>
        <v>0</v>
      </c>
      <c r="O18" s="3">
        <f>O301</f>
        <v>0</v>
      </c>
      <c r="P18" s="3">
        <f t="shared" ref="P18:Z18" si="32">P301</f>
        <v>0</v>
      </c>
      <c r="Q18" s="177">
        <f t="shared" si="32"/>
        <v>0</v>
      </c>
      <c r="R18" s="177">
        <f t="shared" si="32"/>
        <v>0</v>
      </c>
      <c r="S18" s="177">
        <f t="shared" si="32"/>
        <v>0</v>
      </c>
      <c r="T18" s="177">
        <f t="shared" si="32"/>
        <v>0</v>
      </c>
      <c r="U18" s="177">
        <f t="shared" si="32"/>
        <v>0</v>
      </c>
      <c r="V18" s="177">
        <f t="shared" si="32"/>
        <v>0</v>
      </c>
      <c r="W18" s="177">
        <f t="shared" si="32"/>
        <v>0</v>
      </c>
      <c r="X18" s="177">
        <f t="shared" si="32"/>
        <v>0</v>
      </c>
      <c r="Y18" s="177">
        <f t="shared" si="32"/>
        <v>0</v>
      </c>
      <c r="Z18" s="177">
        <f t="shared" si="32"/>
        <v>0</v>
      </c>
      <c r="AC18" s="432" t="str">
        <f t="shared" si="5"/>
        <v xml:space="preserve">  Foreign Generation</v>
      </c>
      <c r="AU18" s="2" t="s">
        <v>282</v>
      </c>
    </row>
    <row r="19" spans="1:47" ht="13.5" thickBot="1">
      <c r="A19" s="2" t="s">
        <v>225</v>
      </c>
      <c r="B19" s="3">
        <f>B317</f>
        <v>0</v>
      </c>
      <c r="C19" s="3">
        <f t="shared" ref="C19:N19" si="33">C317</f>
        <v>0</v>
      </c>
      <c r="D19" s="3">
        <f t="shared" si="33"/>
        <v>0</v>
      </c>
      <c r="E19" s="3">
        <f t="shared" si="33"/>
        <v>0</v>
      </c>
      <c r="F19" s="3">
        <f t="shared" si="33"/>
        <v>0</v>
      </c>
      <c r="G19" s="3">
        <f t="shared" si="33"/>
        <v>0</v>
      </c>
      <c r="H19" s="3">
        <f t="shared" si="33"/>
        <v>0</v>
      </c>
      <c r="I19" s="3">
        <f t="shared" si="33"/>
        <v>0</v>
      </c>
      <c r="J19" s="3">
        <f t="shared" si="33"/>
        <v>0</v>
      </c>
      <c r="K19" s="3">
        <f t="shared" si="33"/>
        <v>0</v>
      </c>
      <c r="L19" s="3">
        <f t="shared" si="33"/>
        <v>0</v>
      </c>
      <c r="M19" s="3">
        <f t="shared" si="33"/>
        <v>0</v>
      </c>
      <c r="N19" s="3">
        <f t="shared" si="33"/>
        <v>0</v>
      </c>
      <c r="O19" s="3">
        <f>O317</f>
        <v>0</v>
      </c>
      <c r="P19" s="3">
        <f t="shared" ref="P19:Z19" si="34">P317</f>
        <v>0</v>
      </c>
      <c r="Q19" s="177">
        <f t="shared" si="34"/>
        <v>0</v>
      </c>
      <c r="R19" s="177">
        <f t="shared" si="34"/>
        <v>0</v>
      </c>
      <c r="S19" s="177">
        <f t="shared" si="34"/>
        <v>0</v>
      </c>
      <c r="T19" s="177">
        <f t="shared" si="34"/>
        <v>0</v>
      </c>
      <c r="U19" s="177">
        <f t="shared" si="34"/>
        <v>0</v>
      </c>
      <c r="V19" s="177">
        <f t="shared" si="34"/>
        <v>0</v>
      </c>
      <c r="W19" s="177">
        <f t="shared" si="34"/>
        <v>0</v>
      </c>
      <c r="X19" s="177">
        <f t="shared" si="34"/>
        <v>0</v>
      </c>
      <c r="Y19" s="177">
        <f t="shared" si="34"/>
        <v>0</v>
      </c>
      <c r="Z19" s="177">
        <f t="shared" si="34"/>
        <v>0</v>
      </c>
      <c r="AC19" s="432" t="str">
        <f t="shared" si="5"/>
        <v xml:space="preserve">  Importer</v>
      </c>
      <c r="AU19" s="2" t="s">
        <v>225</v>
      </c>
    </row>
    <row r="20" spans="1:47">
      <c r="A20" s="97" t="s">
        <v>482</v>
      </c>
      <c r="B20" s="98">
        <f>B21+B22</f>
        <v>0</v>
      </c>
      <c r="C20" s="98">
        <f t="shared" ref="C20:Q20" si="35">C21+C22</f>
        <v>0</v>
      </c>
      <c r="D20" s="98">
        <f t="shared" si="35"/>
        <v>0</v>
      </c>
      <c r="E20" s="98">
        <f t="shared" si="35"/>
        <v>0</v>
      </c>
      <c r="F20" s="98">
        <f t="shared" si="35"/>
        <v>0</v>
      </c>
      <c r="G20" s="98">
        <f t="shared" si="35"/>
        <v>0</v>
      </c>
      <c r="H20" s="98">
        <f t="shared" si="35"/>
        <v>0</v>
      </c>
      <c r="I20" s="98">
        <f t="shared" si="35"/>
        <v>0</v>
      </c>
      <c r="J20" s="98">
        <f t="shared" si="35"/>
        <v>0</v>
      </c>
      <c r="K20" s="98">
        <f t="shared" si="35"/>
        <v>0</v>
      </c>
      <c r="L20" s="98">
        <f t="shared" si="35"/>
        <v>0</v>
      </c>
      <c r="M20" s="98">
        <f t="shared" si="35"/>
        <v>0</v>
      </c>
      <c r="N20" s="98">
        <f t="shared" si="35"/>
        <v>0</v>
      </c>
      <c r="O20" s="98">
        <f t="shared" si="35"/>
        <v>35915736</v>
      </c>
      <c r="P20" s="98">
        <f t="shared" si="35"/>
        <v>3930424</v>
      </c>
      <c r="Q20" s="179">
        <f t="shared" si="35"/>
        <v>0</v>
      </c>
      <c r="R20" s="97"/>
      <c r="S20" s="97"/>
      <c r="T20" s="97"/>
      <c r="U20" s="97"/>
      <c r="V20" s="97"/>
      <c r="W20" s="97"/>
      <c r="X20" s="97"/>
      <c r="Y20" s="97"/>
      <c r="Z20" s="97"/>
      <c r="AC20" s="432" t="str">
        <f t="shared" si="5"/>
        <v>Renewable Gasoline</v>
      </c>
      <c r="AU20" s="2" t="s">
        <v>482</v>
      </c>
    </row>
    <row r="21" spans="1:47">
      <c r="A21" s="2" t="s">
        <v>224</v>
      </c>
      <c r="B21" s="3">
        <f>B349</f>
        <v>0</v>
      </c>
      <c r="C21" s="3">
        <f t="shared" ref="C21:N21" si="36">C349</f>
        <v>0</v>
      </c>
      <c r="D21" s="3">
        <f t="shared" si="36"/>
        <v>0</v>
      </c>
      <c r="E21" s="3">
        <f t="shared" si="36"/>
        <v>0</v>
      </c>
      <c r="F21" s="3">
        <f t="shared" si="36"/>
        <v>0</v>
      </c>
      <c r="G21" s="3">
        <f t="shared" si="36"/>
        <v>0</v>
      </c>
      <c r="H21" s="3">
        <f t="shared" si="36"/>
        <v>0</v>
      </c>
      <c r="I21" s="3">
        <f t="shared" si="36"/>
        <v>0</v>
      </c>
      <c r="J21" s="3">
        <f t="shared" si="36"/>
        <v>0</v>
      </c>
      <c r="K21" s="3">
        <f t="shared" si="36"/>
        <v>0</v>
      </c>
      <c r="L21" s="3">
        <f t="shared" si="36"/>
        <v>0</v>
      </c>
      <c r="M21" s="3">
        <f t="shared" si="36"/>
        <v>0</v>
      </c>
      <c r="N21" s="3">
        <f t="shared" si="36"/>
        <v>0</v>
      </c>
      <c r="O21" s="3">
        <f>O349</f>
        <v>35915736</v>
      </c>
      <c r="P21" s="3">
        <f>P349</f>
        <v>3930424</v>
      </c>
      <c r="Q21" s="3">
        <f>Q349</f>
        <v>0</v>
      </c>
      <c r="R21" s="177"/>
      <c r="S21" s="177"/>
      <c r="T21" s="177"/>
      <c r="U21" s="177"/>
      <c r="V21" s="177"/>
      <c r="W21" s="177"/>
      <c r="X21" s="177"/>
      <c r="Y21" s="177"/>
      <c r="Z21" s="177"/>
      <c r="AC21" s="432" t="str">
        <f t="shared" si="5"/>
        <v xml:space="preserve">  Domestic</v>
      </c>
      <c r="AU21" s="2" t="s">
        <v>224</v>
      </c>
    </row>
    <row r="22" spans="1:47" ht="13.5" thickBot="1">
      <c r="A22" s="2" t="s">
        <v>225</v>
      </c>
      <c r="B22" s="3">
        <f>B365</f>
        <v>0</v>
      </c>
      <c r="C22" s="3">
        <f t="shared" ref="C22:N22" si="37">C365</f>
        <v>0</v>
      </c>
      <c r="D22" s="3">
        <f t="shared" si="37"/>
        <v>0</v>
      </c>
      <c r="E22" s="3">
        <f t="shared" si="37"/>
        <v>0</v>
      </c>
      <c r="F22" s="3">
        <f t="shared" si="37"/>
        <v>0</v>
      </c>
      <c r="G22" s="3">
        <f t="shared" si="37"/>
        <v>0</v>
      </c>
      <c r="H22" s="3">
        <f t="shared" si="37"/>
        <v>0</v>
      </c>
      <c r="I22" s="3">
        <f t="shared" si="37"/>
        <v>0</v>
      </c>
      <c r="J22" s="3">
        <f t="shared" si="37"/>
        <v>0</v>
      </c>
      <c r="K22" s="3">
        <f t="shared" si="37"/>
        <v>0</v>
      </c>
      <c r="L22" s="3">
        <f t="shared" si="37"/>
        <v>0</v>
      </c>
      <c r="M22" s="3">
        <f t="shared" si="37"/>
        <v>0</v>
      </c>
      <c r="N22" s="3">
        <f t="shared" si="37"/>
        <v>0</v>
      </c>
      <c r="O22" s="3">
        <f>O365</f>
        <v>0</v>
      </c>
      <c r="P22" s="3">
        <f>P365</f>
        <v>0</v>
      </c>
      <c r="Q22" s="3">
        <f>Q365</f>
        <v>0</v>
      </c>
      <c r="R22" s="177"/>
      <c r="S22" s="177"/>
      <c r="T22" s="177"/>
      <c r="U22" s="177"/>
      <c r="V22" s="177"/>
      <c r="W22" s="177"/>
      <c r="X22" s="177"/>
      <c r="Y22" s="177"/>
      <c r="Z22" s="177"/>
      <c r="AC22" s="432" t="str">
        <f t="shared" si="5"/>
        <v xml:space="preserve">  Importer</v>
      </c>
      <c r="AU22" s="2" t="s">
        <v>225</v>
      </c>
    </row>
    <row r="23" spans="1:47" ht="13.5" thickBot="1">
      <c r="A23" s="97" t="s">
        <v>483</v>
      </c>
      <c r="B23" s="98">
        <f t="shared" ref="B23:Z23" si="38">B12+B9+B6+B3</f>
        <v>6796087849</v>
      </c>
      <c r="C23" s="98">
        <f t="shared" si="38"/>
        <v>13615315697</v>
      </c>
      <c r="D23" s="98">
        <f t="shared" si="38"/>
        <v>12987841601</v>
      </c>
      <c r="E23" s="98">
        <f t="shared" si="38"/>
        <v>13350511585</v>
      </c>
      <c r="F23" s="98">
        <f t="shared" si="38"/>
        <v>14359064491</v>
      </c>
      <c r="G23" s="98">
        <f t="shared" si="38"/>
        <v>14845902013</v>
      </c>
      <c r="H23" s="98">
        <f t="shared" si="38"/>
        <v>15175717036</v>
      </c>
      <c r="I23" s="98">
        <f t="shared" si="38"/>
        <v>15109202482</v>
      </c>
      <c r="J23" s="98">
        <f t="shared" si="38"/>
        <v>15148806254</v>
      </c>
      <c r="K23" s="98">
        <f t="shared" si="38"/>
        <v>14928211250</v>
      </c>
      <c r="L23" s="98">
        <f t="shared" si="38"/>
        <v>12986850360</v>
      </c>
      <c r="M23" s="98">
        <f t="shared" si="38"/>
        <v>14258274476</v>
      </c>
      <c r="N23" s="98">
        <f t="shared" si="38"/>
        <v>14542634779</v>
      </c>
      <c r="O23" s="98">
        <f t="shared" si="38"/>
        <v>14794782637</v>
      </c>
      <c r="P23" s="98">
        <f t="shared" si="38"/>
        <v>14890536490</v>
      </c>
      <c r="Q23" s="179">
        <f t="shared" si="38"/>
        <v>14599509898.419432</v>
      </c>
      <c r="R23" s="179">
        <f t="shared" si="38"/>
        <v>14672198594.498865</v>
      </c>
      <c r="S23" s="179">
        <f t="shared" si="38"/>
        <v>14705183737.183979</v>
      </c>
      <c r="T23" s="179">
        <f t="shared" si="38"/>
        <v>14852088905.676376</v>
      </c>
      <c r="U23" s="179">
        <f t="shared" si="38"/>
        <v>14964224989.19911</v>
      </c>
      <c r="V23" s="179">
        <f t="shared" si="38"/>
        <v>15063141020.846504</v>
      </c>
      <c r="W23" s="179">
        <f t="shared" si="38"/>
        <v>15223779115.625599</v>
      </c>
      <c r="X23" s="179">
        <f t="shared" si="38"/>
        <v>15337027204.23543</v>
      </c>
      <c r="Y23" s="179">
        <f t="shared" si="38"/>
        <v>15466143705.432802</v>
      </c>
      <c r="Z23" s="179">
        <f t="shared" si="38"/>
        <v>15591756913.789204</v>
      </c>
      <c r="AA23" s="3">
        <f>P23-O23</f>
        <v>95753853</v>
      </c>
      <c r="AC23" s="432" t="str">
        <f t="shared" si="5"/>
        <v>Total D6 Production</v>
      </c>
      <c r="AD23" s="2">
        <f>B23/'D6 Gallon Forecast'!B23</f>
        <v>1.0009219424974247</v>
      </c>
      <c r="AE23" s="2">
        <f>C23/'D6 Gallon Forecast'!C23</f>
        <v>1.0001532475449371</v>
      </c>
      <c r="AF23" s="2">
        <f>D23/'D6 Gallon Forecast'!D23</f>
        <v>1.0000287077495154</v>
      </c>
      <c r="AG23" s="2">
        <f>E23/'D6 Gallon Forecast'!E23</f>
        <v>1.0074895525818168</v>
      </c>
      <c r="AH23" s="2">
        <f>F23/'D6 Gallon Forecast'!F23</f>
        <v>1.0093182939213645</v>
      </c>
      <c r="AI23" s="2">
        <f>G23/'D6 Gallon Forecast'!G23</f>
        <v>1.012107642008758</v>
      </c>
      <c r="AJ23" s="2">
        <f>H23/'D6 Gallon Forecast'!H23</f>
        <v>1.0114934107556894</v>
      </c>
      <c r="AK23" s="2">
        <f>I23/'D6 Gallon Forecast'!I23</f>
        <v>1.006721271199813</v>
      </c>
      <c r="AL23" s="2">
        <f>J23/'D6 Gallon Forecast'!J23</f>
        <v>1.0049569942342473</v>
      </c>
      <c r="AM23" s="2">
        <f>K23/'D6 Gallon Forecast'!K23</f>
        <v>1.0054862487606933</v>
      </c>
      <c r="AN23" s="2">
        <f>L23/'D6 Gallon Forecast'!L23</f>
        <v>1.0041279263103957</v>
      </c>
      <c r="AO23" s="2">
        <f>M23/'D6 Gallon Forecast'!M23</f>
        <v>1.0039043361558004</v>
      </c>
      <c r="AP23" s="2">
        <f>N23/'D6 Gallon Forecast'!N23</f>
        <v>1.0030464314918521</v>
      </c>
      <c r="AQ23" s="2">
        <f>O23/'D6 Gallon Forecast'!O23</f>
        <v>1.0014158203893386</v>
      </c>
      <c r="AR23" s="2">
        <f>P23/'D6 Gallon Forecast'!P23</f>
        <v>1.0003379701115769</v>
      </c>
      <c r="AS23" s="2">
        <f>Q23/'D6 Gallon Forecast'!Q23</f>
        <v>0.99977253034039881</v>
      </c>
      <c r="AU23" s="2" t="s">
        <v>483</v>
      </c>
    </row>
    <row r="24" spans="1:47" ht="13.5" thickBot="1">
      <c r="A24" s="97"/>
      <c r="B24" s="437"/>
      <c r="C24" s="437"/>
      <c r="D24" s="437"/>
      <c r="E24" s="437"/>
      <c r="F24" s="437"/>
      <c r="G24" s="437"/>
      <c r="H24" s="437"/>
      <c r="I24" s="437"/>
      <c r="J24" s="79"/>
      <c r="K24" s="79"/>
      <c r="L24" s="79"/>
      <c r="M24" s="79"/>
      <c r="N24" s="79"/>
      <c r="O24" s="79"/>
      <c r="P24" s="438">
        <f>'D6 Gallon Forecast'!P23</f>
        <v>14885505634</v>
      </c>
      <c r="Q24" s="438">
        <f>'D6 Gallon Forecast'!Q23</f>
        <v>14602831599.552595</v>
      </c>
      <c r="R24" s="79"/>
      <c r="S24" s="79"/>
      <c r="T24" s="79"/>
      <c r="U24" s="79"/>
      <c r="V24" s="79"/>
      <c r="W24" s="79"/>
      <c r="X24" s="79"/>
      <c r="Y24" s="79"/>
      <c r="Z24" s="79"/>
      <c r="AC24" s="5"/>
    </row>
    <row r="25" spans="1:47" ht="13.5" thickBot="1">
      <c r="A25" s="80" t="s">
        <v>230</v>
      </c>
      <c r="B25" s="80">
        <v>2010</v>
      </c>
      <c r="C25" s="80">
        <v>2011</v>
      </c>
      <c r="D25" s="80">
        <v>2012</v>
      </c>
      <c r="E25" s="80">
        <v>2013</v>
      </c>
      <c r="F25" s="80">
        <v>2014</v>
      </c>
      <c r="G25" s="80">
        <v>2015</v>
      </c>
      <c r="H25" s="80">
        <v>2016</v>
      </c>
      <c r="I25" s="80">
        <v>2017</v>
      </c>
      <c r="J25" s="80">
        <v>2018</v>
      </c>
      <c r="K25" s="80">
        <v>2019</v>
      </c>
      <c r="L25" s="80">
        <v>2020</v>
      </c>
      <c r="M25" s="80">
        <v>2021</v>
      </c>
      <c r="N25" s="80">
        <v>2022</v>
      </c>
      <c r="O25" s="80">
        <v>2023</v>
      </c>
      <c r="P25" s="80">
        <v>2024</v>
      </c>
      <c r="Q25" s="80">
        <v>2025</v>
      </c>
      <c r="R25" s="80">
        <v>2026</v>
      </c>
      <c r="S25" s="80">
        <v>2027</v>
      </c>
      <c r="T25" s="80">
        <v>2028</v>
      </c>
      <c r="U25" s="80">
        <v>2029</v>
      </c>
      <c r="V25" s="80">
        <v>2030</v>
      </c>
      <c r="W25" s="80">
        <v>2031</v>
      </c>
      <c r="X25" s="80">
        <v>2032</v>
      </c>
      <c r="Y25" s="80">
        <v>2033</v>
      </c>
      <c r="Z25" s="80">
        <v>2034</v>
      </c>
      <c r="AA25" s="94"/>
      <c r="AB25" s="94"/>
      <c r="AC25" s="5"/>
      <c r="AD25" s="94"/>
      <c r="AE25" s="94"/>
    </row>
    <row r="26" spans="1:47">
      <c r="A26" s="94" t="s">
        <v>484</v>
      </c>
      <c r="E26" s="3">
        <f>'[1]RVO Forecast'!D$49</f>
        <v>13880000000</v>
      </c>
      <c r="F26" s="3">
        <f>'[1]RVO Forecast'!E$49</f>
        <v>13610000000</v>
      </c>
      <c r="G26" s="3">
        <f>'[1]RVO Forecast'!F$49</f>
        <v>14050000000</v>
      </c>
      <c r="H26" s="3">
        <f>'[1]RVO Forecast'!G$49</f>
        <v>14500000000</v>
      </c>
      <c r="I26" s="3">
        <f>'[1]RVO Forecast'!H$49</f>
        <v>15000000000</v>
      </c>
      <c r="J26" s="3">
        <f>'[1]RVO Forecast'!I$49</f>
        <v>15000000000</v>
      </c>
      <c r="K26" s="3">
        <f>'[1]RVO Forecast'!J$49</f>
        <v>15000000000</v>
      </c>
      <c r="L26" s="3">
        <f>'[1]RVO Forecast'!K$49</f>
        <v>12499999999.999998</v>
      </c>
      <c r="M26" s="3">
        <f>'[1]RVO Forecast'!L$49</f>
        <v>13790000000</v>
      </c>
      <c r="N26" s="3">
        <f>'[1]RVO Forecast'!M$49</f>
        <v>14999999999.999998</v>
      </c>
      <c r="O26" s="3">
        <f>'[1]RVO Forecast'!N$49</f>
        <v>15250000000</v>
      </c>
      <c r="P26" s="3">
        <f>'[1]RVO Forecast'!O$49</f>
        <v>15000000000</v>
      </c>
      <c r="Q26" s="3">
        <f>'[1]RVO Forecast'!P$49</f>
        <v>15000000000</v>
      </c>
      <c r="R26" s="3">
        <f>'[1]RVO Forecast'!Q$49</f>
        <v>15000000000</v>
      </c>
      <c r="S26" s="3">
        <f>'[1]RVO Forecast'!R$49</f>
        <v>15000000000</v>
      </c>
      <c r="T26" s="3">
        <f>'[1]RVO Forecast'!S$49</f>
        <v>15000000000</v>
      </c>
      <c r="U26" s="3">
        <f>'[1]RVO Forecast'!T$49</f>
        <v>15000000000</v>
      </c>
      <c r="V26" s="3">
        <f>'[1]RVO Forecast'!U$49</f>
        <v>15000000000.000004</v>
      </c>
      <c r="W26" s="3">
        <f>'[1]RVO Forecast'!V$49</f>
        <v>15000000000</v>
      </c>
      <c r="X26" s="3">
        <f>'[1]RVO Forecast'!W$49</f>
        <v>15000000000</v>
      </c>
      <c r="Y26" s="3">
        <f>'[1]RVO Forecast'!X$49</f>
        <v>14999999999.999996</v>
      </c>
      <c r="Z26" s="3">
        <f>'[1]RVO Forecast'!Y$49</f>
        <v>15000000000</v>
      </c>
      <c r="AA26" s="3"/>
      <c r="AB26" s="3"/>
      <c r="AC26" s="5"/>
      <c r="AD26" s="3"/>
      <c r="AE26" s="3"/>
    </row>
    <row r="27" spans="1:47">
      <c r="A27" s="94" t="s">
        <v>233</v>
      </c>
      <c r="E27" s="3">
        <f>'[1]RVO Forecast'!D$50</f>
        <v>0</v>
      </c>
      <c r="F27" s="3">
        <f>'[1]RVO Forecast'!E$50</f>
        <v>160776000</v>
      </c>
      <c r="G27" s="3">
        <f>'[1]RVO Forecast'!F$50</f>
        <v>176639999.99999997</v>
      </c>
      <c r="H27" s="3">
        <f>'[1]RVO Forecast'!G$50</f>
        <v>242530000.00000006</v>
      </c>
      <c r="I27" s="3">
        <f>'[1]RVO Forecast'!H$50</f>
        <v>563873000</v>
      </c>
      <c r="J27" s="3">
        <f>'[1]RVO Forecast'!I$50</f>
        <v>1335360000</v>
      </c>
      <c r="K27" s="3">
        <f>'[1]RVO Forecast'!J$50</f>
        <v>285376000</v>
      </c>
      <c r="L27" s="3">
        <f>'[1]RVO Forecast'!K$50</f>
        <v>0</v>
      </c>
      <c r="M27" s="3">
        <f>'[1]RVO Forecast'!L$50</f>
        <v>0</v>
      </c>
      <c r="N27" s="3">
        <f>'[1]RVO Forecast'!M$50</f>
        <v>0</v>
      </c>
      <c r="O27" s="3">
        <f>'[1]RVO Forecast'!N$50</f>
        <v>0</v>
      </c>
      <c r="P27" s="3">
        <f>'[1]RVO Forecast'!O$50</f>
        <v>0</v>
      </c>
      <c r="Q27" s="3">
        <f>'[1]RVO Forecast'!P$50</f>
        <v>344870380.4422828</v>
      </c>
      <c r="R27" s="3">
        <f>'[1]RVO Forecast'!Q$50</f>
        <v>603022883.27981007</v>
      </c>
      <c r="S27" s="3">
        <f>'[1]RVO Forecast'!R$50</f>
        <v>594079420.99088037</v>
      </c>
      <c r="T27" s="3">
        <f>'[1]RVO Forecast'!S$50</f>
        <v>593933742.99344873</v>
      </c>
      <c r="U27" s="3">
        <f>'[1]RVO Forecast'!T$50</f>
        <v>587034302.73194325</v>
      </c>
      <c r="V27" s="3">
        <f>'[1]RVO Forecast'!U$50</f>
        <v>605238849.92796361</v>
      </c>
      <c r="W27" s="3">
        <f>'[1]RVO Forecast'!V$50</f>
        <v>614050183.27398264</v>
      </c>
      <c r="X27" s="3">
        <f>'[1]RVO Forecast'!W$50</f>
        <v>624108403.41424954</v>
      </c>
      <c r="Y27" s="3">
        <f>'[1]RVO Forecast'!X$50</f>
        <v>863676919.48242581</v>
      </c>
      <c r="Z27" s="3">
        <f>'[1]RVO Forecast'!Y$50</f>
        <v>996428800.17669272</v>
      </c>
      <c r="AA27" s="3"/>
      <c r="AB27" s="3"/>
      <c r="AC27" s="5"/>
      <c r="AD27" s="3"/>
      <c r="AE27" s="3"/>
    </row>
    <row r="28" spans="1:47" ht="13.5" thickBot="1">
      <c r="A28" s="94" t="s">
        <v>535</v>
      </c>
      <c r="E28" s="3">
        <f t="shared" ref="E28:Z28" si="39">E26-E27</f>
        <v>13880000000</v>
      </c>
      <c r="F28" s="3">
        <f t="shared" si="39"/>
        <v>13449224000</v>
      </c>
      <c r="G28" s="3">
        <f t="shared" si="39"/>
        <v>13873360000</v>
      </c>
      <c r="H28" s="3">
        <f t="shared" si="39"/>
        <v>14257470000</v>
      </c>
      <c r="I28" s="3">
        <f t="shared" si="39"/>
        <v>14436127000</v>
      </c>
      <c r="J28" s="3">
        <f t="shared" si="39"/>
        <v>13664640000</v>
      </c>
      <c r="K28" s="3">
        <f t="shared" si="39"/>
        <v>14714624000</v>
      </c>
      <c r="L28" s="3">
        <f t="shared" si="39"/>
        <v>12499999999.999998</v>
      </c>
      <c r="M28" s="3">
        <f t="shared" si="39"/>
        <v>13790000000</v>
      </c>
      <c r="N28" s="3">
        <f t="shared" si="39"/>
        <v>14999999999.999998</v>
      </c>
      <c r="O28" s="3">
        <f t="shared" si="39"/>
        <v>15250000000</v>
      </c>
      <c r="P28" s="3">
        <f t="shared" si="39"/>
        <v>15000000000</v>
      </c>
      <c r="Q28" s="3">
        <f t="shared" si="39"/>
        <v>14655129619.557716</v>
      </c>
      <c r="R28" s="3">
        <f t="shared" si="39"/>
        <v>14396977116.72019</v>
      </c>
      <c r="S28" s="3">
        <f t="shared" si="39"/>
        <v>14405920579.009119</v>
      </c>
      <c r="T28" s="3">
        <f t="shared" si="39"/>
        <v>14406066257.006552</v>
      </c>
      <c r="U28" s="3">
        <f t="shared" si="39"/>
        <v>14412965697.268057</v>
      </c>
      <c r="V28" s="3">
        <f t="shared" si="39"/>
        <v>14394761150.072041</v>
      </c>
      <c r="W28" s="3">
        <f t="shared" si="39"/>
        <v>14385949816.726017</v>
      </c>
      <c r="X28" s="3">
        <f t="shared" si="39"/>
        <v>14375891596.585751</v>
      </c>
      <c r="Y28" s="3">
        <f t="shared" si="39"/>
        <v>14136323080.51757</v>
      </c>
      <c r="Z28" s="3">
        <f t="shared" si="39"/>
        <v>14003571199.823307</v>
      </c>
      <c r="AA28" s="3"/>
      <c r="AB28" s="3"/>
      <c r="AC28" s="5"/>
      <c r="AD28" s="3"/>
      <c r="AE28" s="3"/>
    </row>
    <row r="29" spans="1:47" ht="13.5" thickBot="1">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c r="AC29" s="5"/>
    </row>
    <row r="30" spans="1:47">
      <c r="A30" s="191"/>
      <c r="B30" s="191">
        <f>B23/'D6 Gallon Forecast'!B23</f>
        <v>1.0009219424974247</v>
      </c>
      <c r="C30" s="191">
        <f>C23/'D6 Gallon Forecast'!C23</f>
        <v>1.0001532475449371</v>
      </c>
      <c r="D30" s="191">
        <f>D23/'D6 Gallon Forecast'!D23</f>
        <v>1.0000287077495154</v>
      </c>
      <c r="E30" s="191">
        <f>E23/'D6 Gallon Forecast'!E23</f>
        <v>1.0074895525818168</v>
      </c>
      <c r="F30" s="191">
        <f>F23/'D6 Gallon Forecast'!F23</f>
        <v>1.0093182939213645</v>
      </c>
      <c r="G30" s="191">
        <f>G23/'D6 Gallon Forecast'!G23</f>
        <v>1.012107642008758</v>
      </c>
      <c r="H30" s="191">
        <f>H23/'D6 Gallon Forecast'!H23</f>
        <v>1.0114934107556894</v>
      </c>
      <c r="I30" s="191">
        <f>I23/'D6 Gallon Forecast'!I23</f>
        <v>1.006721271199813</v>
      </c>
      <c r="J30" s="191">
        <f>J23/'D6 Gallon Forecast'!J23</f>
        <v>1.0049569942342473</v>
      </c>
      <c r="K30" s="191">
        <f>K23/'D6 Gallon Forecast'!K23</f>
        <v>1.0054862487606933</v>
      </c>
      <c r="L30" s="191">
        <f>L23/'D6 Gallon Forecast'!L23</f>
        <v>1.0041279263103957</v>
      </c>
      <c r="M30" s="191">
        <f>M23/'D6 Gallon Forecast'!M23</f>
        <v>1.0039043361558004</v>
      </c>
      <c r="N30" s="191">
        <f>N23/'D6 Gallon Forecast'!N23</f>
        <v>1.0030464314918521</v>
      </c>
      <c r="O30" s="191">
        <f>O23/'D6 Gallon Forecast'!O23</f>
        <v>1.0014158203893386</v>
      </c>
      <c r="P30" s="191">
        <f>P23/'D6 Gallon Forecast'!P23</f>
        <v>1.0003379701115769</v>
      </c>
      <c r="Q30" s="191">
        <f>Q23/'D6 Gallon Forecast'!Q23</f>
        <v>0.99977253034039881</v>
      </c>
      <c r="R30" s="191">
        <f>R23/'D6 Gallon Forecast'!R23</f>
        <v>0.99817568246669819</v>
      </c>
      <c r="S30" s="191">
        <f>S23/'D6 Gallon Forecast'!S23</f>
        <v>0.99144785904463961</v>
      </c>
      <c r="T30" s="191">
        <f>T23/'D6 Gallon Forecast'!T23</f>
        <v>0.99153015699476943</v>
      </c>
      <c r="U30" s="191">
        <f>U23/'D6 Gallon Forecast'!U23</f>
        <v>0.99159149197907892</v>
      </c>
      <c r="V30" s="191">
        <f>V23/'D6 Gallon Forecast'!V23</f>
        <v>0.99164472918252178</v>
      </c>
      <c r="W30" s="191">
        <f>W23/'D6 Gallon Forecast'!W23</f>
        <v>0.99173050242428495</v>
      </c>
      <c r="X30" s="191">
        <f>X23/'D6 Gallon Forecast'!X23</f>
        <v>0.99178860135766</v>
      </c>
      <c r="Y30" s="191">
        <f>Y23/'D6 Gallon Forecast'!Y23</f>
        <v>0.99185529134923833</v>
      </c>
      <c r="Z30" s="191">
        <f>Z23/'D6 Gallon Forecast'!Z23</f>
        <v>0.99191879769152269</v>
      </c>
      <c r="AC30" s="5"/>
    </row>
    <row r="31" spans="1:47" ht="16.5" thickBot="1">
      <c r="A31" s="109" t="s">
        <v>491</v>
      </c>
      <c r="AC31" s="5"/>
    </row>
    <row r="32" spans="1:47" ht="13.5" thickBot="1">
      <c r="A32" s="110"/>
      <c r="B32" s="111">
        <v>2010</v>
      </c>
      <c r="C32" s="111">
        <v>2011</v>
      </c>
      <c r="D32" s="111">
        <v>2012</v>
      </c>
      <c r="E32" s="111">
        <v>2013</v>
      </c>
      <c r="F32" s="111">
        <v>2014</v>
      </c>
      <c r="G32" s="111">
        <v>2015</v>
      </c>
      <c r="H32" s="111">
        <v>2016</v>
      </c>
      <c r="I32" s="111">
        <v>2017</v>
      </c>
      <c r="J32" s="111">
        <v>2018</v>
      </c>
      <c r="K32" s="111">
        <v>2019</v>
      </c>
      <c r="L32" s="111">
        <v>2020</v>
      </c>
      <c r="M32" s="111">
        <v>2021</v>
      </c>
      <c r="N32" s="111">
        <v>2022</v>
      </c>
      <c r="O32" s="111">
        <v>2023</v>
      </c>
      <c r="P32" s="111">
        <v>2024</v>
      </c>
      <c r="Q32" s="111">
        <v>2025</v>
      </c>
      <c r="R32" s="111">
        <v>2026</v>
      </c>
      <c r="S32" s="111">
        <v>2027</v>
      </c>
      <c r="T32" s="111">
        <v>2028</v>
      </c>
      <c r="U32" s="111">
        <v>2029</v>
      </c>
      <c r="V32" s="111">
        <v>2030</v>
      </c>
      <c r="W32" s="111">
        <v>2031</v>
      </c>
      <c r="X32" s="111">
        <v>2032</v>
      </c>
      <c r="Y32" s="111">
        <v>2033</v>
      </c>
      <c r="Z32" s="111">
        <v>2034</v>
      </c>
      <c r="AA32" s="94"/>
      <c r="AB32" s="94"/>
      <c r="AC32" s="5"/>
      <c r="AD32" s="94"/>
      <c r="AE32" s="94"/>
    </row>
    <row r="33" spans="1:26">
      <c r="A33" s="2" t="s">
        <v>43</v>
      </c>
      <c r="B33" s="3">
        <f>B49+B97+B145+B193</f>
        <v>0</v>
      </c>
      <c r="C33" s="3">
        <f t="shared" ref="C33:Z44" si="40">C49+C97+C145+C193</f>
        <v>1160570280</v>
      </c>
      <c r="D33" s="3">
        <f t="shared" si="40"/>
        <v>1178481937</v>
      </c>
      <c r="E33" s="3">
        <f t="shared" si="40"/>
        <v>1028170158</v>
      </c>
      <c r="F33" s="3">
        <f t="shared" si="40"/>
        <v>1174626266</v>
      </c>
      <c r="G33" s="3">
        <f t="shared" si="40"/>
        <v>1227424244</v>
      </c>
      <c r="H33" s="3">
        <f t="shared" si="40"/>
        <v>1247471470</v>
      </c>
      <c r="I33" s="3">
        <f t="shared" si="40"/>
        <v>1256445976</v>
      </c>
      <c r="J33" s="3">
        <f t="shared" si="40"/>
        <v>1283888775</v>
      </c>
      <c r="K33" s="3">
        <f t="shared" si="40"/>
        <v>1209885816</v>
      </c>
      <c r="L33" s="3">
        <f t="shared" si="40"/>
        <v>1252127757</v>
      </c>
      <c r="M33" s="3">
        <f t="shared" si="40"/>
        <v>1079285060</v>
      </c>
      <c r="N33" s="3">
        <f t="shared" si="40"/>
        <v>1212882454</v>
      </c>
      <c r="O33" s="3">
        <f t="shared" si="40"/>
        <v>1215712001</v>
      </c>
      <c r="P33" s="3">
        <f t="shared" si="40"/>
        <v>1206246374</v>
      </c>
      <c r="Q33" s="3">
        <f t="shared" si="40"/>
        <v>1245242512</v>
      </c>
      <c r="R33" s="4">
        <f t="shared" si="40"/>
        <v>1197225034.8646903</v>
      </c>
      <c r="S33" s="4">
        <f t="shared" si="40"/>
        <v>1215743543.347645</v>
      </c>
      <c r="T33" s="4">
        <f t="shared" si="40"/>
        <v>1224926274.9175994</v>
      </c>
      <c r="U33" s="4">
        <f t="shared" si="40"/>
        <v>1236128311.1242907</v>
      </c>
      <c r="V33" s="4">
        <f t="shared" si="40"/>
        <v>1249120299.5683479</v>
      </c>
      <c r="W33" s="4">
        <f t="shared" si="40"/>
        <v>1255317008.8541536</v>
      </c>
      <c r="X33" s="4">
        <f t="shared" si="40"/>
        <v>1267228895.8223088</v>
      </c>
      <c r="Y33" s="4">
        <f t="shared" si="40"/>
        <v>1277755866.0834877</v>
      </c>
      <c r="Z33" s="4">
        <f t="shared" si="40"/>
        <v>1288565250.3092213</v>
      </c>
    </row>
    <row r="34" spans="1:26">
      <c r="A34" s="2" t="s">
        <v>44</v>
      </c>
      <c r="B34" s="3">
        <f t="shared" ref="B34:J44" si="41">B50+B98+B146+B194</f>
        <v>0</v>
      </c>
      <c r="C34" s="3">
        <f t="shared" si="41"/>
        <v>1054423544</v>
      </c>
      <c r="D34" s="3">
        <f t="shared" si="41"/>
        <v>1080127076</v>
      </c>
      <c r="E34" s="3">
        <f t="shared" si="41"/>
        <v>939523039</v>
      </c>
      <c r="F34" s="3">
        <f t="shared" si="41"/>
        <v>1049667186</v>
      </c>
      <c r="G34" s="3">
        <f t="shared" si="41"/>
        <v>1107289608</v>
      </c>
      <c r="H34" s="3">
        <f t="shared" si="41"/>
        <v>1183628761</v>
      </c>
      <c r="I34" s="3">
        <f t="shared" si="41"/>
        <v>1155647593</v>
      </c>
      <c r="J34" s="3">
        <f t="shared" si="41"/>
        <v>1126790863</v>
      </c>
      <c r="K34" s="3">
        <f t="shared" si="40"/>
        <v>1154231282</v>
      </c>
      <c r="L34" s="3">
        <f t="shared" si="40"/>
        <v>1163647875</v>
      </c>
      <c r="M34" s="3">
        <f t="shared" si="40"/>
        <v>903051470</v>
      </c>
      <c r="N34" s="3">
        <f t="shared" si="40"/>
        <v>1069986727</v>
      </c>
      <c r="O34" s="3">
        <f>O50+O98+O146+O194</f>
        <v>1130182700</v>
      </c>
      <c r="P34" s="3">
        <f>P50+P98+P146+P194</f>
        <v>1210698743</v>
      </c>
      <c r="Q34" s="3">
        <f t="shared" si="40"/>
        <v>1120357983</v>
      </c>
      <c r="R34" s="4">
        <f t="shared" si="40"/>
        <v>1090602638.8082712</v>
      </c>
      <c r="S34" s="4">
        <f t="shared" si="40"/>
        <v>1125128398.8778555</v>
      </c>
      <c r="T34" s="4">
        <f t="shared" si="40"/>
        <v>1143877692.7354639</v>
      </c>
      <c r="U34" s="4">
        <f t="shared" si="40"/>
        <v>1154831427.8575907</v>
      </c>
      <c r="V34" s="4">
        <f t="shared" si="40"/>
        <v>1150216204.0656271</v>
      </c>
      <c r="W34" s="4">
        <f t="shared" si="40"/>
        <v>1161329708.1240213</v>
      </c>
      <c r="X34" s="4">
        <f t="shared" si="40"/>
        <v>1175836923.1963336</v>
      </c>
      <c r="Y34" s="4">
        <f t="shared" si="40"/>
        <v>1186203665.4872708</v>
      </c>
      <c r="Z34" s="4">
        <f t="shared" si="40"/>
        <v>1194860907.5590298</v>
      </c>
    </row>
    <row r="35" spans="1:26">
      <c r="A35" s="2" t="s">
        <v>45</v>
      </c>
      <c r="B35" s="3">
        <f t="shared" si="41"/>
        <v>0</v>
      </c>
      <c r="C35" s="3">
        <f t="shared" si="41"/>
        <v>1225930124</v>
      </c>
      <c r="D35" s="3">
        <f t="shared" si="41"/>
        <v>1136870708</v>
      </c>
      <c r="E35" s="3">
        <f t="shared" si="41"/>
        <v>1034794830</v>
      </c>
      <c r="F35" s="3">
        <f t="shared" si="41"/>
        <v>1169255011</v>
      </c>
      <c r="G35" s="3">
        <f t="shared" si="41"/>
        <v>1238804061</v>
      </c>
      <c r="H35" s="3">
        <f t="shared" si="41"/>
        <v>1248133200</v>
      </c>
      <c r="I35" s="3">
        <f t="shared" si="41"/>
        <v>1288114649</v>
      </c>
      <c r="J35" s="3">
        <f t="shared" si="41"/>
        <v>1240916723</v>
      </c>
      <c r="K35" s="3">
        <f t="shared" si="40"/>
        <v>1208331988</v>
      </c>
      <c r="L35" s="3">
        <f t="shared" si="40"/>
        <v>1139709363</v>
      </c>
      <c r="M35" s="3">
        <f t="shared" si="40"/>
        <v>1190919419</v>
      </c>
      <c r="N35" s="3">
        <f t="shared" si="40"/>
        <v>1270830481</v>
      </c>
      <c r="O35" s="3">
        <f t="shared" si="40"/>
        <v>1220641691</v>
      </c>
      <c r="P35" s="3">
        <f t="shared" si="40"/>
        <v>1187867640</v>
      </c>
      <c r="Q35" s="3">
        <f t="shared" si="40"/>
        <v>1214311837</v>
      </c>
      <c r="R35" s="4">
        <f t="shared" si="40"/>
        <v>1220366366.0649722</v>
      </c>
      <c r="S35" s="4">
        <f t="shared" si="40"/>
        <v>1222673868.1172638</v>
      </c>
      <c r="T35" s="4">
        <f t="shared" si="40"/>
        <v>1222400385.8281372</v>
      </c>
      <c r="U35" s="4">
        <f t="shared" si="40"/>
        <v>1231861689.535064</v>
      </c>
      <c r="V35" s="4">
        <f t="shared" si="40"/>
        <v>1247621633.0560112</v>
      </c>
      <c r="W35" s="4">
        <f t="shared" si="40"/>
        <v>1259811046.6927812</v>
      </c>
      <c r="X35" s="4">
        <f t="shared" si="40"/>
        <v>1267912322.3622496</v>
      </c>
      <c r="Y35" s="4">
        <f t="shared" si="40"/>
        <v>1277151744.3689811</v>
      </c>
      <c r="Z35" s="4">
        <f t="shared" si="40"/>
        <v>1288353129.9837883</v>
      </c>
    </row>
    <row r="36" spans="1:26">
      <c r="A36" s="2" t="s">
        <v>46</v>
      </c>
      <c r="B36" s="3">
        <f t="shared" si="41"/>
        <v>0</v>
      </c>
      <c r="C36" s="3">
        <f t="shared" si="41"/>
        <v>1069645214</v>
      </c>
      <c r="D36" s="3">
        <f t="shared" si="41"/>
        <v>1096194768</v>
      </c>
      <c r="E36" s="3">
        <f t="shared" si="41"/>
        <v>1085695435</v>
      </c>
      <c r="F36" s="3">
        <f t="shared" si="41"/>
        <v>1203272597</v>
      </c>
      <c r="G36" s="3">
        <f t="shared" si="41"/>
        <v>1196316836</v>
      </c>
      <c r="H36" s="3">
        <f t="shared" si="41"/>
        <v>1191421206</v>
      </c>
      <c r="I36" s="3">
        <f t="shared" si="41"/>
        <v>1181601073</v>
      </c>
      <c r="J36" s="3">
        <f t="shared" si="41"/>
        <v>1244742458</v>
      </c>
      <c r="K36" s="3">
        <f t="shared" si="40"/>
        <v>1257129722</v>
      </c>
      <c r="L36" s="3">
        <f t="shared" si="40"/>
        <v>644894587</v>
      </c>
      <c r="M36" s="3">
        <f t="shared" si="40"/>
        <v>1136497845</v>
      </c>
      <c r="N36" s="3">
        <f t="shared" si="40"/>
        <v>1136521605</v>
      </c>
      <c r="O36" s="3">
        <f t="shared" si="40"/>
        <v>1156345972</v>
      </c>
      <c r="P36" s="3">
        <f t="shared" si="40"/>
        <v>1191403105</v>
      </c>
      <c r="Q36" s="4">
        <f t="shared" si="40"/>
        <v>1070935317.9190749</v>
      </c>
      <c r="R36" s="4">
        <f t="shared" si="40"/>
        <v>1139766021.5865521</v>
      </c>
      <c r="S36" s="4">
        <f t="shared" si="40"/>
        <v>1137264512.270051</v>
      </c>
      <c r="T36" s="4">
        <f t="shared" si="40"/>
        <v>1146149222.8840015</v>
      </c>
      <c r="U36" s="4">
        <f t="shared" si="40"/>
        <v>1153393702.9252293</v>
      </c>
      <c r="V36" s="4">
        <f t="shared" si="40"/>
        <v>1152829902.7984822</v>
      </c>
      <c r="W36" s="4">
        <f t="shared" si="40"/>
        <v>1174626446.9124773</v>
      </c>
      <c r="X36" s="4">
        <f t="shared" si="40"/>
        <v>1181791521.5475366</v>
      </c>
      <c r="Y36" s="4">
        <f t="shared" si="40"/>
        <v>1190884788.1364233</v>
      </c>
      <c r="Z36" s="4">
        <f t="shared" si="40"/>
        <v>1200034150.655869</v>
      </c>
    </row>
    <row r="37" spans="1:26">
      <c r="A37" s="2" t="s">
        <v>47</v>
      </c>
      <c r="B37" s="3">
        <f t="shared" si="41"/>
        <v>0</v>
      </c>
      <c r="C37" s="3">
        <f t="shared" si="41"/>
        <v>1140451648</v>
      </c>
      <c r="D37" s="3">
        <f t="shared" si="41"/>
        <v>1131920310</v>
      </c>
      <c r="E37" s="3">
        <f t="shared" si="41"/>
        <v>1163340600</v>
      </c>
      <c r="F37" s="3">
        <f t="shared" si="41"/>
        <v>1222057576</v>
      </c>
      <c r="G37" s="3">
        <f t="shared" si="41"/>
        <v>1226044908</v>
      </c>
      <c r="H37" s="3">
        <f t="shared" si="41"/>
        <v>1283778665</v>
      </c>
      <c r="I37" s="3">
        <f t="shared" si="41"/>
        <v>1272147543</v>
      </c>
      <c r="J37" s="3">
        <f t="shared" si="41"/>
        <v>1298228033</v>
      </c>
      <c r="K37" s="3">
        <f t="shared" si="40"/>
        <v>1289933071</v>
      </c>
      <c r="L37" s="3">
        <f t="shared" si="40"/>
        <v>842135475</v>
      </c>
      <c r="M37" s="3">
        <f t="shared" si="40"/>
        <v>1263222985</v>
      </c>
      <c r="N37" s="3">
        <f t="shared" si="40"/>
        <v>1233602877</v>
      </c>
      <c r="O37" s="3">
        <f t="shared" si="40"/>
        <v>1278641014</v>
      </c>
      <c r="P37" s="3">
        <f t="shared" si="40"/>
        <v>1266121276</v>
      </c>
      <c r="Q37" s="4">
        <f t="shared" si="40"/>
        <v>1199471613.9987991</v>
      </c>
      <c r="R37" s="4">
        <f t="shared" si="40"/>
        <v>1249849391.4951787</v>
      </c>
      <c r="S37" s="4">
        <f t="shared" si="40"/>
        <v>1243195706.1897874</v>
      </c>
      <c r="T37" s="4">
        <f t="shared" si="40"/>
        <v>1254903776.9677205</v>
      </c>
      <c r="U37" s="4">
        <f t="shared" si="40"/>
        <v>1261262153.1176651</v>
      </c>
      <c r="V37" s="4">
        <f t="shared" si="40"/>
        <v>1267369760.639369</v>
      </c>
      <c r="W37" s="4">
        <f t="shared" si="40"/>
        <v>1286798903.3347445</v>
      </c>
      <c r="X37" s="4">
        <f t="shared" si="40"/>
        <v>1294391063.5545428</v>
      </c>
      <c r="Y37" s="4">
        <f t="shared" si="40"/>
        <v>1304849728.2621644</v>
      </c>
      <c r="Z37" s="4">
        <f t="shared" si="40"/>
        <v>1315065656.4067092</v>
      </c>
    </row>
    <row r="38" spans="1:26">
      <c r="A38" s="2" t="s">
        <v>48</v>
      </c>
      <c r="B38" s="3">
        <f t="shared" si="41"/>
        <v>0</v>
      </c>
      <c r="C38" s="3">
        <f t="shared" si="41"/>
        <v>1165018756</v>
      </c>
      <c r="D38" s="3">
        <f t="shared" si="41"/>
        <v>1085594445</v>
      </c>
      <c r="E38" s="3">
        <f t="shared" si="41"/>
        <v>1122857004</v>
      </c>
      <c r="F38" s="3">
        <f t="shared" si="41"/>
        <v>1218292698</v>
      </c>
      <c r="G38" s="3">
        <f t="shared" si="41"/>
        <v>1273218830</v>
      </c>
      <c r="H38" s="3">
        <f t="shared" si="41"/>
        <v>1309595625</v>
      </c>
      <c r="I38" s="3">
        <f t="shared" si="41"/>
        <v>1260920697</v>
      </c>
      <c r="J38" s="3">
        <f t="shared" si="41"/>
        <v>1258051256</v>
      </c>
      <c r="K38" s="3">
        <f t="shared" si="40"/>
        <v>1246565527</v>
      </c>
      <c r="L38" s="3">
        <f t="shared" si="40"/>
        <v>1074478778</v>
      </c>
      <c r="M38" s="3">
        <f t="shared" si="40"/>
        <v>1270364644</v>
      </c>
      <c r="N38" s="3">
        <f t="shared" si="40"/>
        <v>1291871250</v>
      </c>
      <c r="O38" s="3">
        <f t="shared" si="40"/>
        <v>1286200406</v>
      </c>
      <c r="P38" s="3">
        <f t="shared" si="40"/>
        <v>1213264233</v>
      </c>
      <c r="Q38" s="4">
        <f t="shared" si="40"/>
        <v>1252707755.5862181</v>
      </c>
      <c r="R38" s="4">
        <f t="shared" si="40"/>
        <v>1266439224.7003012</v>
      </c>
      <c r="S38" s="4">
        <f t="shared" si="40"/>
        <v>1262111810.0629056</v>
      </c>
      <c r="T38" s="4">
        <f t="shared" si="40"/>
        <v>1264927854.7877207</v>
      </c>
      <c r="U38" s="4">
        <f t="shared" si="40"/>
        <v>1269613689.2550097</v>
      </c>
      <c r="V38" s="4">
        <f t="shared" si="40"/>
        <v>1289234933.7995534</v>
      </c>
      <c r="W38" s="4">
        <f t="shared" si="40"/>
        <v>1302327803.3445184</v>
      </c>
      <c r="X38" s="4">
        <f t="shared" si="40"/>
        <v>1309702024.2861388</v>
      </c>
      <c r="Y38" s="4">
        <f t="shared" si="40"/>
        <v>1319421632.2536407</v>
      </c>
      <c r="Z38" s="4">
        <f t="shared" si="40"/>
        <v>1330569652.1036122</v>
      </c>
    </row>
    <row r="39" spans="1:26">
      <c r="A39" s="2" t="s">
        <v>49</v>
      </c>
      <c r="B39" s="3">
        <f t="shared" si="41"/>
        <v>1119536004</v>
      </c>
      <c r="C39" s="3">
        <f t="shared" si="41"/>
        <v>1126486405</v>
      </c>
      <c r="D39" s="3">
        <f t="shared" si="41"/>
        <v>1057188151</v>
      </c>
      <c r="E39" s="3">
        <f t="shared" si="41"/>
        <v>1148269180</v>
      </c>
      <c r="F39" s="3">
        <f t="shared" si="41"/>
        <v>1273210055</v>
      </c>
      <c r="G39" s="3">
        <f t="shared" si="41"/>
        <v>1279214078</v>
      </c>
      <c r="H39" s="3">
        <f t="shared" si="41"/>
        <v>1269674308</v>
      </c>
      <c r="I39" s="3">
        <f t="shared" si="41"/>
        <v>1273847956</v>
      </c>
      <c r="J39" s="3">
        <f t="shared" si="41"/>
        <v>1365563204</v>
      </c>
      <c r="K39" s="3">
        <f t="shared" si="40"/>
        <v>1328215053</v>
      </c>
      <c r="L39" s="3">
        <f t="shared" si="40"/>
        <v>1170975330</v>
      </c>
      <c r="M39" s="3">
        <f t="shared" si="40"/>
        <v>1274688496</v>
      </c>
      <c r="N39" s="3">
        <f t="shared" si="40"/>
        <v>1211278438</v>
      </c>
      <c r="O39" s="3">
        <f t="shared" si="40"/>
        <v>1280346021</v>
      </c>
      <c r="P39" s="3">
        <f t="shared" si="40"/>
        <v>1326232335</v>
      </c>
      <c r="Q39" s="4">
        <f t="shared" si="40"/>
        <v>1285200298.9296808</v>
      </c>
      <c r="R39" s="4">
        <f t="shared" si="40"/>
        <v>1283997759.0561826</v>
      </c>
      <c r="S39" s="4">
        <f t="shared" si="40"/>
        <v>1279220278.3783593</v>
      </c>
      <c r="T39" s="4">
        <f t="shared" si="40"/>
        <v>1301904107.3875055</v>
      </c>
      <c r="U39" s="4">
        <f t="shared" si="40"/>
        <v>1314898039.648262</v>
      </c>
      <c r="V39" s="4">
        <f t="shared" si="40"/>
        <v>1319728729.8679006</v>
      </c>
      <c r="W39" s="4">
        <f t="shared" si="40"/>
        <v>1332546691.9873624</v>
      </c>
      <c r="X39" s="4">
        <f t="shared" si="40"/>
        <v>1342515346.8973236</v>
      </c>
      <c r="Y39" s="4">
        <f t="shared" si="40"/>
        <v>1355454314.2704864</v>
      </c>
      <c r="Z39" s="4">
        <f t="shared" si="40"/>
        <v>1366408584.8654301</v>
      </c>
    </row>
    <row r="40" spans="1:26">
      <c r="A40" s="2" t="s">
        <v>50</v>
      </c>
      <c r="B40" s="3">
        <f t="shared" si="41"/>
        <v>1116871844</v>
      </c>
      <c r="C40" s="3">
        <f t="shared" si="41"/>
        <v>1165928785</v>
      </c>
      <c r="D40" s="3">
        <f t="shared" si="41"/>
        <v>1096137053</v>
      </c>
      <c r="E40" s="3">
        <f t="shared" si="41"/>
        <v>1129499986</v>
      </c>
      <c r="F40" s="3">
        <f t="shared" si="41"/>
        <v>1223303113</v>
      </c>
      <c r="G40" s="3">
        <f t="shared" si="41"/>
        <v>1259604316</v>
      </c>
      <c r="H40" s="3">
        <f t="shared" si="41"/>
        <v>1334595467</v>
      </c>
      <c r="I40" s="3">
        <f t="shared" si="41"/>
        <v>1326384405</v>
      </c>
      <c r="J40" s="3">
        <f t="shared" si="41"/>
        <v>1355424411</v>
      </c>
      <c r="K40" s="3">
        <f t="shared" si="40"/>
        <v>1256895961</v>
      </c>
      <c r="L40" s="3">
        <f t="shared" si="40"/>
        <v>1127038303</v>
      </c>
      <c r="M40" s="3">
        <f t="shared" si="40"/>
        <v>1216791258</v>
      </c>
      <c r="N40" s="3">
        <f t="shared" si="40"/>
        <v>1270303849</v>
      </c>
      <c r="O40" s="3">
        <f t="shared" si="40"/>
        <v>1261670160</v>
      </c>
      <c r="P40" s="3">
        <f t="shared" si="40"/>
        <v>1317983558</v>
      </c>
      <c r="Q40" s="4">
        <f t="shared" si="40"/>
        <v>1272353080.0281696</v>
      </c>
      <c r="R40" s="4">
        <f t="shared" si="40"/>
        <v>1277735545.2283001</v>
      </c>
      <c r="S40" s="4">
        <f t="shared" si="40"/>
        <v>1284155262.1385069</v>
      </c>
      <c r="T40" s="4">
        <f t="shared" si="40"/>
        <v>1295484418.7749097</v>
      </c>
      <c r="U40" s="4">
        <f t="shared" si="40"/>
        <v>1309151246.1701217</v>
      </c>
      <c r="V40" s="4">
        <f t="shared" si="40"/>
        <v>1314358272.3321753</v>
      </c>
      <c r="W40" s="4">
        <f t="shared" si="40"/>
        <v>1328683733.1997712</v>
      </c>
      <c r="X40" s="4">
        <f t="shared" si="40"/>
        <v>1339145907.0133271</v>
      </c>
      <c r="Y40" s="4">
        <f t="shared" si="40"/>
        <v>1350381571.8648958</v>
      </c>
      <c r="Z40" s="4">
        <f t="shared" si="40"/>
        <v>1361611781.4111688</v>
      </c>
    </row>
    <row r="41" spans="1:26">
      <c r="A41" s="2" t="s">
        <v>51</v>
      </c>
      <c r="B41" s="3">
        <f t="shared" si="41"/>
        <v>1110929184</v>
      </c>
      <c r="C41" s="3">
        <f t="shared" si="41"/>
        <v>1079540488</v>
      </c>
      <c r="D41" s="3">
        <f t="shared" si="41"/>
        <v>985889758</v>
      </c>
      <c r="E41" s="3">
        <f t="shared" si="41"/>
        <v>1112976814</v>
      </c>
      <c r="F41" s="3">
        <f t="shared" si="41"/>
        <v>1172450227</v>
      </c>
      <c r="G41" s="3">
        <f t="shared" si="41"/>
        <v>1218155751</v>
      </c>
      <c r="H41" s="3">
        <f t="shared" si="41"/>
        <v>1254909858</v>
      </c>
      <c r="I41" s="3">
        <f t="shared" si="41"/>
        <v>1230230891</v>
      </c>
      <c r="J41" s="3">
        <f t="shared" si="41"/>
        <v>1216951560</v>
      </c>
      <c r="K41" s="3">
        <f t="shared" si="40"/>
        <v>1195410459</v>
      </c>
      <c r="L41" s="3">
        <f t="shared" si="40"/>
        <v>1121703218</v>
      </c>
      <c r="M41" s="3">
        <f t="shared" si="40"/>
        <v>1162769175</v>
      </c>
      <c r="N41" s="3">
        <f t="shared" si="40"/>
        <v>1129202079</v>
      </c>
      <c r="O41" s="3">
        <f t="shared" si="40"/>
        <v>1179872521</v>
      </c>
      <c r="P41" s="3">
        <f t="shared" si="40"/>
        <v>1213833038</v>
      </c>
      <c r="Q41" s="4">
        <f t="shared" si="40"/>
        <v>1187901302.6151934</v>
      </c>
      <c r="R41" s="4">
        <f t="shared" si="40"/>
        <v>1179505079.3886607</v>
      </c>
      <c r="S41" s="4">
        <f t="shared" si="40"/>
        <v>1179115450.8995514</v>
      </c>
      <c r="T41" s="4">
        <f t="shared" si="40"/>
        <v>1198804954.9979348</v>
      </c>
      <c r="U41" s="4">
        <f t="shared" si="40"/>
        <v>1209959407.071224</v>
      </c>
      <c r="V41" s="4">
        <f t="shared" si="40"/>
        <v>1215643553.7118509</v>
      </c>
      <c r="W41" s="4">
        <f t="shared" si="40"/>
        <v>1226616748.7653041</v>
      </c>
      <c r="X41" s="4">
        <f t="shared" si="40"/>
        <v>1236292148.3344777</v>
      </c>
      <c r="Y41" s="4">
        <f t="shared" si="40"/>
        <v>1247978139.894037</v>
      </c>
      <c r="Z41" s="4">
        <f t="shared" si="40"/>
        <v>1258036521.0198824</v>
      </c>
    </row>
    <row r="42" spans="1:26">
      <c r="A42" s="2" t="s">
        <v>52</v>
      </c>
      <c r="B42" s="3">
        <f t="shared" si="41"/>
        <v>1111622351</v>
      </c>
      <c r="C42" s="3">
        <f t="shared" si="41"/>
        <v>1104898875</v>
      </c>
      <c r="D42" s="3">
        <f t="shared" si="41"/>
        <v>1057113558</v>
      </c>
      <c r="E42" s="3">
        <f t="shared" si="41"/>
        <v>1185292367</v>
      </c>
      <c r="F42" s="3">
        <f t="shared" si="41"/>
        <v>1172297781</v>
      </c>
      <c r="G42" s="3">
        <f t="shared" si="41"/>
        <v>1265678475</v>
      </c>
      <c r="H42" s="3">
        <f t="shared" si="41"/>
        <v>1290724852</v>
      </c>
      <c r="I42" s="3">
        <f t="shared" si="41"/>
        <v>1303031004</v>
      </c>
      <c r="J42" s="3">
        <f t="shared" si="41"/>
        <v>1270390266</v>
      </c>
      <c r="K42" s="3">
        <f t="shared" si="40"/>
        <v>1257361344</v>
      </c>
      <c r="L42" s="3">
        <f t="shared" si="40"/>
        <v>1154443641</v>
      </c>
      <c r="M42" s="3">
        <f t="shared" si="40"/>
        <v>1203208171</v>
      </c>
      <c r="N42" s="3">
        <f t="shared" si="40"/>
        <v>1237924280</v>
      </c>
      <c r="O42" s="3">
        <f t="shared" si="40"/>
        <v>1292864151</v>
      </c>
      <c r="P42" s="3">
        <f t="shared" si="40"/>
        <v>1268211713</v>
      </c>
      <c r="Q42" s="4">
        <f t="shared" si="40"/>
        <v>1254977552.6589112</v>
      </c>
      <c r="R42" s="4">
        <f t="shared" si="40"/>
        <v>1254500333.655503</v>
      </c>
      <c r="S42" s="4">
        <f t="shared" si="40"/>
        <v>1261855090.7336731</v>
      </c>
      <c r="T42" s="4">
        <f t="shared" si="40"/>
        <v>1278918029.2879443</v>
      </c>
      <c r="U42" s="4">
        <f t="shared" si="40"/>
        <v>1282930755.1296518</v>
      </c>
      <c r="V42" s="4">
        <f t="shared" si="40"/>
        <v>1292770928.171195</v>
      </c>
      <c r="W42" s="4">
        <f t="shared" si="40"/>
        <v>1306142212.1571209</v>
      </c>
      <c r="X42" s="4">
        <f t="shared" si="40"/>
        <v>1316742729.0836632</v>
      </c>
      <c r="Y42" s="4">
        <f t="shared" si="40"/>
        <v>1327959986.4948614</v>
      </c>
      <c r="Z42" s="4">
        <f t="shared" si="40"/>
        <v>1337990875.9807756</v>
      </c>
    </row>
    <row r="43" spans="1:26">
      <c r="A43" s="2" t="s">
        <v>53</v>
      </c>
      <c r="B43" s="3">
        <f t="shared" si="41"/>
        <v>1139098116</v>
      </c>
      <c r="C43" s="3">
        <f t="shared" si="41"/>
        <v>1140604228</v>
      </c>
      <c r="D43" s="3">
        <f t="shared" si="41"/>
        <v>1045401471</v>
      </c>
      <c r="E43" s="3">
        <f t="shared" si="41"/>
        <v>1151423229</v>
      </c>
      <c r="F43" s="3">
        <f t="shared" si="41"/>
        <v>1168968219</v>
      </c>
      <c r="G43" s="3">
        <f t="shared" si="41"/>
        <v>1227541649</v>
      </c>
      <c r="H43" s="3">
        <f t="shared" si="41"/>
        <v>1260334134</v>
      </c>
      <c r="I43" s="3">
        <f t="shared" si="41"/>
        <v>1281532670</v>
      </c>
      <c r="J43" s="3">
        <f t="shared" si="41"/>
        <v>1233927956</v>
      </c>
      <c r="K43" s="3">
        <f t="shared" si="40"/>
        <v>1217540995</v>
      </c>
      <c r="L43" s="3">
        <f t="shared" si="40"/>
        <v>1143678218</v>
      </c>
      <c r="M43" s="3">
        <f t="shared" si="40"/>
        <v>1257656881</v>
      </c>
      <c r="N43" s="3">
        <f t="shared" si="40"/>
        <v>1265414299</v>
      </c>
      <c r="O43" s="3">
        <f t="shared" si="40"/>
        <v>1231698198</v>
      </c>
      <c r="P43" s="3">
        <f t="shared" si="40"/>
        <v>1191758379</v>
      </c>
      <c r="Q43" s="4">
        <f t="shared" si="40"/>
        <v>1245236451.8847213</v>
      </c>
      <c r="R43" s="4">
        <f t="shared" si="40"/>
        <v>1243273664.8387232</v>
      </c>
      <c r="S43" s="4">
        <f t="shared" si="40"/>
        <v>1237099107.1197326</v>
      </c>
      <c r="T43" s="4">
        <f t="shared" si="40"/>
        <v>1241678595.7930624</v>
      </c>
      <c r="U43" s="4">
        <f t="shared" si="40"/>
        <v>1250570277.6789517</v>
      </c>
      <c r="V43" s="4">
        <f t="shared" si="40"/>
        <v>1269229233.8702211</v>
      </c>
      <c r="W43" s="4">
        <f t="shared" si="40"/>
        <v>1279668496.3006668</v>
      </c>
      <c r="X43" s="4">
        <f t="shared" si="40"/>
        <v>1287141507.6546347</v>
      </c>
      <c r="Y43" s="4">
        <f t="shared" si="40"/>
        <v>1297367235.6467483</v>
      </c>
      <c r="Z43" s="4">
        <f t="shared" si="40"/>
        <v>1308761332.0370762</v>
      </c>
    </row>
    <row r="44" spans="1:26">
      <c r="A44" s="2" t="s">
        <v>54</v>
      </c>
      <c r="B44" s="3">
        <f t="shared" si="41"/>
        <v>1198030350</v>
      </c>
      <c r="C44" s="3">
        <f t="shared" si="41"/>
        <v>1181817350</v>
      </c>
      <c r="D44" s="3">
        <f t="shared" si="41"/>
        <v>1036922366</v>
      </c>
      <c r="E44" s="3">
        <f t="shared" si="41"/>
        <v>1248668943</v>
      </c>
      <c r="F44" s="3">
        <f t="shared" si="41"/>
        <v>1311663762</v>
      </c>
      <c r="G44" s="3">
        <f t="shared" si="41"/>
        <v>1326609257</v>
      </c>
      <c r="H44" s="3">
        <f t="shared" si="41"/>
        <v>1301449490</v>
      </c>
      <c r="I44" s="3">
        <f t="shared" si="41"/>
        <v>1279298025</v>
      </c>
      <c r="J44" s="3">
        <f t="shared" si="41"/>
        <v>1253930749</v>
      </c>
      <c r="K44" s="3">
        <f t="shared" si="40"/>
        <v>1306710032</v>
      </c>
      <c r="L44" s="3">
        <f t="shared" si="40"/>
        <v>1152017815</v>
      </c>
      <c r="M44" s="3">
        <f t="shared" si="40"/>
        <v>1299819072</v>
      </c>
      <c r="N44" s="3">
        <f t="shared" si="40"/>
        <v>1212816440</v>
      </c>
      <c r="O44" s="3">
        <f t="shared" si="40"/>
        <v>1260607802</v>
      </c>
      <c r="P44" s="3">
        <f t="shared" si="40"/>
        <v>1296916096</v>
      </c>
      <c r="Q44" s="4">
        <f t="shared" si="40"/>
        <v>1250814192.7986612</v>
      </c>
      <c r="R44" s="4">
        <f t="shared" si="40"/>
        <v>1268937534.8115277</v>
      </c>
      <c r="S44" s="4">
        <f t="shared" si="40"/>
        <v>1257620709.0486493</v>
      </c>
      <c r="T44" s="4">
        <f t="shared" si="40"/>
        <v>1278113591.3143747</v>
      </c>
      <c r="U44" s="4">
        <f t="shared" si="40"/>
        <v>1289624289.6860487</v>
      </c>
      <c r="V44" s="4">
        <f t="shared" si="40"/>
        <v>1295017568.9657698</v>
      </c>
      <c r="W44" s="4">
        <f t="shared" si="40"/>
        <v>1309910315.9526775</v>
      </c>
      <c r="X44" s="4">
        <f t="shared" si="40"/>
        <v>1318326814.4828904</v>
      </c>
      <c r="Y44" s="4">
        <f t="shared" si="40"/>
        <v>1330735032.6698079</v>
      </c>
      <c r="Z44" s="4">
        <f t="shared" si="40"/>
        <v>1341499071.45664</v>
      </c>
    </row>
    <row r="45" spans="1:26" ht="13.5" thickBot="1">
      <c r="A45" s="2" t="s">
        <v>29</v>
      </c>
      <c r="B45" s="3">
        <f>SUM(B33:B44)</f>
        <v>6796087849</v>
      </c>
      <c r="C45" s="3">
        <f t="shared" ref="C45:Z45" si="42">SUM(C33:C44)</f>
        <v>13615315697</v>
      </c>
      <c r="D45" s="3">
        <f t="shared" si="42"/>
        <v>12987841601</v>
      </c>
      <c r="E45" s="3">
        <f t="shared" si="42"/>
        <v>13350511585</v>
      </c>
      <c r="F45" s="3">
        <f t="shared" si="42"/>
        <v>14359064491</v>
      </c>
      <c r="G45" s="3">
        <f t="shared" si="42"/>
        <v>14845902013</v>
      </c>
      <c r="H45" s="3">
        <f t="shared" si="42"/>
        <v>15175717036</v>
      </c>
      <c r="I45" s="3">
        <f t="shared" si="42"/>
        <v>15109202482</v>
      </c>
      <c r="J45" s="3">
        <f t="shared" si="42"/>
        <v>15148806254</v>
      </c>
      <c r="K45" s="3">
        <f t="shared" si="42"/>
        <v>14928211250</v>
      </c>
      <c r="L45" s="3">
        <f t="shared" si="42"/>
        <v>12986850360</v>
      </c>
      <c r="M45" s="3">
        <f t="shared" si="42"/>
        <v>14258274476</v>
      </c>
      <c r="N45" s="3">
        <f t="shared" si="42"/>
        <v>14542634779</v>
      </c>
      <c r="O45" s="3">
        <f t="shared" si="42"/>
        <v>14794782637</v>
      </c>
      <c r="P45" s="3">
        <f t="shared" si="42"/>
        <v>14890536490</v>
      </c>
      <c r="Q45" s="4">
        <f t="shared" si="42"/>
        <v>14599509898.41943</v>
      </c>
      <c r="R45" s="4">
        <f t="shared" si="42"/>
        <v>14672198594.498859</v>
      </c>
      <c r="S45" s="4">
        <f t="shared" si="42"/>
        <v>14705183737.183979</v>
      </c>
      <c r="T45" s="4">
        <f t="shared" si="42"/>
        <v>14852088905.676374</v>
      </c>
      <c r="U45" s="4">
        <f t="shared" si="42"/>
        <v>14964224989.19911</v>
      </c>
      <c r="V45" s="4">
        <f t="shared" si="42"/>
        <v>15063141020.846504</v>
      </c>
      <c r="W45" s="4">
        <f t="shared" si="42"/>
        <v>15223779115.625601</v>
      </c>
      <c r="X45" s="4">
        <f t="shared" si="42"/>
        <v>15337027204.235428</v>
      </c>
      <c r="Y45" s="4">
        <f t="shared" si="42"/>
        <v>15466143705.432806</v>
      </c>
      <c r="Z45" s="4">
        <f t="shared" si="42"/>
        <v>15591756913.789204</v>
      </c>
    </row>
    <row r="46" spans="1:26">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spans="1:26" ht="16.5" thickBot="1">
      <c r="A47" s="109" t="s">
        <v>493</v>
      </c>
    </row>
    <row r="48" spans="1:26" ht="13.5" thickBot="1">
      <c r="A48" s="110"/>
      <c r="B48" s="111">
        <v>2010</v>
      </c>
      <c r="C48" s="111">
        <v>2011</v>
      </c>
      <c r="D48" s="111">
        <v>2012</v>
      </c>
      <c r="E48" s="111">
        <v>2013</v>
      </c>
      <c r="F48" s="111">
        <v>2014</v>
      </c>
      <c r="G48" s="111">
        <v>2015</v>
      </c>
      <c r="H48" s="111">
        <v>2016</v>
      </c>
      <c r="I48" s="111">
        <v>2017</v>
      </c>
      <c r="J48" s="111">
        <v>2018</v>
      </c>
      <c r="K48" s="111">
        <v>2019</v>
      </c>
      <c r="L48" s="111">
        <v>2020</v>
      </c>
      <c r="M48" s="111">
        <v>2021</v>
      </c>
      <c r="N48" s="111">
        <v>2022</v>
      </c>
      <c r="O48" s="111">
        <v>2023</v>
      </c>
      <c r="P48" s="111">
        <v>2024</v>
      </c>
      <c r="Q48" s="111">
        <v>2025</v>
      </c>
      <c r="R48" s="111">
        <v>2026</v>
      </c>
      <c r="S48" s="111">
        <v>2027</v>
      </c>
      <c r="T48" s="111">
        <v>2028</v>
      </c>
      <c r="U48" s="111">
        <v>2029</v>
      </c>
      <c r="V48" s="111">
        <v>2030</v>
      </c>
      <c r="W48" s="111">
        <v>2031</v>
      </c>
      <c r="X48" s="111">
        <v>2032</v>
      </c>
      <c r="Y48" s="111">
        <v>2033</v>
      </c>
      <c r="Z48" s="111">
        <v>2034</v>
      </c>
    </row>
    <row r="49" spans="1:26">
      <c r="A49" s="2" t="s">
        <v>43</v>
      </c>
      <c r="B49" s="3">
        <f>B65+B81</f>
        <v>0</v>
      </c>
      <c r="C49" s="3">
        <f t="shared" ref="C49:Z60" si="43">C65+C81</f>
        <v>188702</v>
      </c>
      <c r="D49" s="3">
        <f t="shared" si="43"/>
        <v>0</v>
      </c>
      <c r="E49" s="3">
        <f t="shared" si="43"/>
        <v>9192</v>
      </c>
      <c r="F49" s="3">
        <f t="shared" si="43"/>
        <v>0</v>
      </c>
      <c r="G49" s="3">
        <f t="shared" si="43"/>
        <v>0</v>
      </c>
      <c r="H49" s="3">
        <f t="shared" si="43"/>
        <v>17461</v>
      </c>
      <c r="I49" s="3">
        <f t="shared" si="43"/>
        <v>0</v>
      </c>
      <c r="J49" s="3">
        <f t="shared" si="43"/>
        <v>0</v>
      </c>
      <c r="K49" s="3">
        <f t="shared" si="43"/>
        <v>16767</v>
      </c>
      <c r="L49" s="3">
        <f t="shared" si="43"/>
        <v>0</v>
      </c>
      <c r="M49" s="3">
        <f t="shared" si="43"/>
        <v>0</v>
      </c>
      <c r="N49" s="3">
        <f t="shared" si="43"/>
        <v>0</v>
      </c>
      <c r="O49" s="3">
        <f t="shared" si="43"/>
        <v>0</v>
      </c>
      <c r="P49" s="3">
        <f t="shared" si="43"/>
        <v>1634348</v>
      </c>
      <c r="Q49" s="3">
        <f t="shared" si="43"/>
        <v>0</v>
      </c>
      <c r="R49" s="4">
        <f t="shared" si="43"/>
        <v>388266.34903294611</v>
      </c>
      <c r="S49" s="4">
        <f t="shared" si="43"/>
        <v>469047.44631292822</v>
      </c>
      <c r="T49" s="4">
        <f t="shared" si="43"/>
        <v>490325.69551466766</v>
      </c>
      <c r="U49" s="4">
        <f t="shared" si="43"/>
        <v>525688.32868096605</v>
      </c>
      <c r="V49" s="4">
        <f t="shared" si="43"/>
        <v>562323.84028202365</v>
      </c>
      <c r="W49" s="4">
        <f t="shared" si="43"/>
        <v>584545.91798252985</v>
      </c>
      <c r="X49" s="4">
        <f t="shared" si="43"/>
        <v>662824.52381182078</v>
      </c>
      <c r="Y49" s="4">
        <f t="shared" si="43"/>
        <v>680144.63789405813</v>
      </c>
      <c r="Z49" s="4">
        <f t="shared" si="43"/>
        <v>712796.08301814843</v>
      </c>
    </row>
    <row r="50" spans="1:26">
      <c r="A50" s="2" t="s">
        <v>44</v>
      </c>
      <c r="B50" s="3">
        <f t="shared" ref="B50:J60" si="44">B66+B82</f>
        <v>0</v>
      </c>
      <c r="C50" s="3">
        <f t="shared" si="44"/>
        <v>339405</v>
      </c>
      <c r="D50" s="3">
        <f t="shared" si="44"/>
        <v>626129</v>
      </c>
      <c r="E50" s="3">
        <f t="shared" si="44"/>
        <v>9242</v>
      </c>
      <c r="F50" s="3">
        <f t="shared" si="44"/>
        <v>168947</v>
      </c>
      <c r="G50" s="3">
        <f t="shared" si="44"/>
        <v>17789</v>
      </c>
      <c r="H50" s="3">
        <f t="shared" si="44"/>
        <v>3458</v>
      </c>
      <c r="I50" s="3">
        <f t="shared" si="44"/>
        <v>0</v>
      </c>
      <c r="J50" s="3">
        <f t="shared" si="44"/>
        <v>0</v>
      </c>
      <c r="K50" s="3">
        <f t="shared" si="43"/>
        <v>0</v>
      </c>
      <c r="L50" s="3">
        <f t="shared" si="43"/>
        <v>0</v>
      </c>
      <c r="M50" s="3">
        <f t="shared" si="43"/>
        <v>0</v>
      </c>
      <c r="N50" s="3">
        <f t="shared" si="43"/>
        <v>0</v>
      </c>
      <c r="O50" s="3">
        <f>O66+O82</f>
        <v>0</v>
      </c>
      <c r="P50" s="3">
        <f>P66+P82</f>
        <v>3264003</v>
      </c>
      <c r="Q50" s="3">
        <f t="shared" si="43"/>
        <v>153911</v>
      </c>
      <c r="R50" s="4">
        <f t="shared" si="43"/>
        <v>414542.4954444457</v>
      </c>
      <c r="S50" s="4">
        <f t="shared" si="43"/>
        <v>500790.49951327825</v>
      </c>
      <c r="T50" s="4">
        <f t="shared" si="43"/>
        <v>523508.76635444968</v>
      </c>
      <c r="U50" s="4">
        <f t="shared" si="43"/>
        <v>561264.5858705003</v>
      </c>
      <c r="V50" s="4">
        <f t="shared" si="43"/>
        <v>600379.42659469019</v>
      </c>
      <c r="W50" s="4">
        <f t="shared" si="43"/>
        <v>624105.39606609161</v>
      </c>
      <c r="X50" s="4">
        <f t="shared" si="43"/>
        <v>707681.5511493457</v>
      </c>
      <c r="Y50" s="4">
        <f t="shared" si="43"/>
        <v>726173.81382139062</v>
      </c>
      <c r="Z50" s="4">
        <f t="shared" si="43"/>
        <v>761034.96409959649</v>
      </c>
    </row>
    <row r="51" spans="1:26">
      <c r="A51" s="2" t="s">
        <v>45</v>
      </c>
      <c r="B51" s="3">
        <f t="shared" si="44"/>
        <v>0</v>
      </c>
      <c r="C51" s="3">
        <f t="shared" si="44"/>
        <v>267723</v>
      </c>
      <c r="D51" s="3">
        <f t="shared" si="44"/>
        <v>0</v>
      </c>
      <c r="E51" s="3">
        <f t="shared" si="44"/>
        <v>0</v>
      </c>
      <c r="F51" s="3">
        <f t="shared" si="44"/>
        <v>0</v>
      </c>
      <c r="G51" s="3">
        <f t="shared" si="44"/>
        <v>7350035</v>
      </c>
      <c r="H51" s="3">
        <f t="shared" si="44"/>
        <v>1971691</v>
      </c>
      <c r="I51" s="3">
        <f t="shared" si="44"/>
        <v>0</v>
      </c>
      <c r="J51" s="3">
        <f t="shared" si="44"/>
        <v>0</v>
      </c>
      <c r="K51" s="3">
        <f t="shared" si="43"/>
        <v>0</v>
      </c>
      <c r="L51" s="3">
        <f t="shared" si="43"/>
        <v>0</v>
      </c>
      <c r="M51" s="3">
        <f t="shared" si="43"/>
        <v>0</v>
      </c>
      <c r="N51" s="3">
        <f t="shared" si="43"/>
        <v>0</v>
      </c>
      <c r="O51" s="3">
        <f t="shared" si="43"/>
        <v>0</v>
      </c>
      <c r="P51" s="3">
        <f t="shared" si="43"/>
        <v>1316272</v>
      </c>
      <c r="Q51" s="3">
        <f t="shared" si="43"/>
        <v>0</v>
      </c>
      <c r="R51" s="4">
        <f t="shared" si="43"/>
        <v>510538.94673617312</v>
      </c>
      <c r="S51" s="4">
        <f t="shared" si="43"/>
        <v>616759.57704378408</v>
      </c>
      <c r="T51" s="4">
        <f t="shared" si="43"/>
        <v>644738.75928016193</v>
      </c>
      <c r="U51" s="4">
        <f t="shared" si="43"/>
        <v>691237.77093931462</v>
      </c>
      <c r="V51" s="4">
        <f t="shared" si="43"/>
        <v>739410.51512003096</v>
      </c>
      <c r="W51" s="4">
        <f t="shared" si="43"/>
        <v>768630.75574032532</v>
      </c>
      <c r="X51" s="4">
        <f t="shared" si="43"/>
        <v>871560.81154248572</v>
      </c>
      <c r="Y51" s="4">
        <f t="shared" si="43"/>
        <v>894335.36520370294</v>
      </c>
      <c r="Z51" s="4">
        <f t="shared" si="43"/>
        <v>937269.38316479232</v>
      </c>
    </row>
    <row r="52" spans="1:26">
      <c r="A52" s="2" t="s">
        <v>46</v>
      </c>
      <c r="B52" s="3">
        <f t="shared" si="44"/>
        <v>0</v>
      </c>
      <c r="C52" s="3">
        <f t="shared" si="44"/>
        <v>0</v>
      </c>
      <c r="D52" s="3">
        <f t="shared" si="44"/>
        <v>0</v>
      </c>
      <c r="E52" s="3">
        <f t="shared" si="44"/>
        <v>133752</v>
      </c>
      <c r="F52" s="3">
        <f t="shared" si="44"/>
        <v>58951</v>
      </c>
      <c r="G52" s="3">
        <f t="shared" si="44"/>
        <v>11612524</v>
      </c>
      <c r="H52" s="3">
        <f t="shared" si="44"/>
        <v>7326470</v>
      </c>
      <c r="I52" s="3">
        <f t="shared" si="44"/>
        <v>0</v>
      </c>
      <c r="J52" s="3">
        <f t="shared" si="44"/>
        <v>0</v>
      </c>
      <c r="K52" s="3">
        <f t="shared" si="43"/>
        <v>0</v>
      </c>
      <c r="L52" s="3">
        <f t="shared" si="43"/>
        <v>0</v>
      </c>
      <c r="M52" s="3">
        <f t="shared" si="43"/>
        <v>0</v>
      </c>
      <c r="N52" s="3">
        <f t="shared" si="43"/>
        <v>0</v>
      </c>
      <c r="O52" s="3">
        <f t="shared" si="43"/>
        <v>0</v>
      </c>
      <c r="P52" s="3">
        <f t="shared" si="43"/>
        <v>5142991</v>
      </c>
      <c r="Q52" s="4">
        <f t="shared" si="43"/>
        <v>432681.47152891645</v>
      </c>
      <c r="R52" s="4">
        <f t="shared" si="43"/>
        <v>523338.83410284703</v>
      </c>
      <c r="S52" s="4">
        <f t="shared" si="43"/>
        <v>632222.55625221925</v>
      </c>
      <c r="T52" s="4">
        <f t="shared" si="43"/>
        <v>660903.21363271051</v>
      </c>
      <c r="U52" s="4">
        <f t="shared" si="43"/>
        <v>708568.01708052855</v>
      </c>
      <c r="V52" s="4">
        <f t="shared" si="43"/>
        <v>757948.51574030786</v>
      </c>
      <c r="W52" s="4">
        <f t="shared" si="43"/>
        <v>787901.3464816066</v>
      </c>
      <c r="X52" s="4">
        <f t="shared" si="43"/>
        <v>893411.99506583728</v>
      </c>
      <c r="Y52" s="4">
        <f t="shared" si="43"/>
        <v>916757.53694167256</v>
      </c>
      <c r="Z52" s="4">
        <f t="shared" si="43"/>
        <v>960767.96757923625</v>
      </c>
    </row>
    <row r="53" spans="1:26">
      <c r="A53" s="2" t="s">
        <v>47</v>
      </c>
      <c r="B53" s="3">
        <f t="shared" si="44"/>
        <v>0</v>
      </c>
      <c r="C53" s="3">
        <f t="shared" si="44"/>
        <v>476208</v>
      </c>
      <c r="D53" s="3">
        <f t="shared" si="44"/>
        <v>0</v>
      </c>
      <c r="E53" s="3">
        <f t="shared" si="44"/>
        <v>76777</v>
      </c>
      <c r="F53" s="3">
        <f t="shared" si="44"/>
        <v>5182905</v>
      </c>
      <c r="G53" s="3">
        <f t="shared" si="44"/>
        <v>6665912</v>
      </c>
      <c r="H53" s="3">
        <f t="shared" si="44"/>
        <v>20802560</v>
      </c>
      <c r="I53" s="3">
        <f t="shared" si="44"/>
        <v>0</v>
      </c>
      <c r="J53" s="3">
        <f t="shared" si="44"/>
        <v>0</v>
      </c>
      <c r="K53" s="3">
        <f t="shared" si="43"/>
        <v>0</v>
      </c>
      <c r="L53" s="3">
        <f t="shared" si="43"/>
        <v>0</v>
      </c>
      <c r="M53" s="3">
        <f t="shared" si="43"/>
        <v>0</v>
      </c>
      <c r="N53" s="3">
        <f t="shared" si="43"/>
        <v>0</v>
      </c>
      <c r="O53" s="3">
        <f t="shared" si="43"/>
        <v>0</v>
      </c>
      <c r="P53" s="3">
        <f t="shared" si="43"/>
        <v>2104533</v>
      </c>
      <c r="Q53" s="4">
        <f t="shared" si="43"/>
        <v>449465.43806489097</v>
      </c>
      <c r="R53" s="4">
        <f t="shared" si="43"/>
        <v>543639.45258674037</v>
      </c>
      <c r="S53" s="4">
        <f t="shared" si="43"/>
        <v>656746.83779801778</v>
      </c>
      <c r="T53" s="4">
        <f t="shared" si="43"/>
        <v>686540.03459925868</v>
      </c>
      <c r="U53" s="4">
        <f t="shared" si="43"/>
        <v>736053.78356162598</v>
      </c>
      <c r="V53" s="4">
        <f t="shared" si="43"/>
        <v>787349.78055348515</v>
      </c>
      <c r="W53" s="4">
        <f t="shared" si="43"/>
        <v>818464.4990618825</v>
      </c>
      <c r="X53" s="4">
        <f t="shared" si="43"/>
        <v>928067.96721790824</v>
      </c>
      <c r="Y53" s="4">
        <f t="shared" si="43"/>
        <v>952319.09627366986</v>
      </c>
      <c r="Z53" s="4">
        <f t="shared" si="43"/>
        <v>998036.71717395622</v>
      </c>
    </row>
    <row r="54" spans="1:26">
      <c r="A54" s="2" t="s">
        <v>48</v>
      </c>
      <c r="B54" s="3">
        <f t="shared" si="44"/>
        <v>0</v>
      </c>
      <c r="C54" s="3">
        <f t="shared" si="44"/>
        <v>633036</v>
      </c>
      <c r="D54" s="3">
        <f t="shared" si="44"/>
        <v>0</v>
      </c>
      <c r="E54" s="3">
        <f t="shared" si="44"/>
        <v>100987</v>
      </c>
      <c r="F54" s="3">
        <f t="shared" si="44"/>
        <v>7436435</v>
      </c>
      <c r="G54" s="3">
        <f t="shared" si="44"/>
        <v>13317213</v>
      </c>
      <c r="H54" s="3">
        <f t="shared" si="44"/>
        <v>25261227</v>
      </c>
      <c r="I54" s="3">
        <f t="shared" si="44"/>
        <v>0</v>
      </c>
      <c r="J54" s="3">
        <f t="shared" si="44"/>
        <v>0</v>
      </c>
      <c r="K54" s="3">
        <f t="shared" si="43"/>
        <v>0</v>
      </c>
      <c r="L54" s="3">
        <f t="shared" si="43"/>
        <v>0</v>
      </c>
      <c r="M54" s="3">
        <f t="shared" si="43"/>
        <v>0</v>
      </c>
      <c r="N54" s="3">
        <f t="shared" si="43"/>
        <v>0</v>
      </c>
      <c r="O54" s="3">
        <f t="shared" si="43"/>
        <v>0</v>
      </c>
      <c r="P54" s="3">
        <f t="shared" si="43"/>
        <v>6899070</v>
      </c>
      <c r="Q54" s="4">
        <f t="shared" si="43"/>
        <v>448729.11148699315</v>
      </c>
      <c r="R54" s="4">
        <f t="shared" si="43"/>
        <v>542748.84756167582</v>
      </c>
      <c r="S54" s="4">
        <f t="shared" si="43"/>
        <v>655670.9371599108</v>
      </c>
      <c r="T54" s="4">
        <f t="shared" si="43"/>
        <v>685415.32593101775</v>
      </c>
      <c r="U54" s="4">
        <f t="shared" si="43"/>
        <v>734847.96011515125</v>
      </c>
      <c r="V54" s="4">
        <f t="shared" si="43"/>
        <v>786059.92260129296</v>
      </c>
      <c r="W54" s="4">
        <f t="shared" si="43"/>
        <v>817123.66812653909</v>
      </c>
      <c r="X54" s="4">
        <f t="shared" si="43"/>
        <v>926547.58088230866</v>
      </c>
      <c r="Y54" s="4">
        <f t="shared" si="43"/>
        <v>950758.98107494635</v>
      </c>
      <c r="Z54" s="4">
        <f t="shared" si="43"/>
        <v>996401.70611785154</v>
      </c>
    </row>
    <row r="55" spans="1:26">
      <c r="A55" s="2" t="s">
        <v>49</v>
      </c>
      <c r="B55" s="3">
        <f t="shared" si="44"/>
        <v>3745459</v>
      </c>
      <c r="C55" s="3">
        <f t="shared" si="44"/>
        <v>236202</v>
      </c>
      <c r="D55" s="3">
        <f t="shared" si="44"/>
        <v>0</v>
      </c>
      <c r="E55" s="3">
        <f t="shared" si="44"/>
        <v>318418</v>
      </c>
      <c r="F55" s="3">
        <f t="shared" si="44"/>
        <v>12139069</v>
      </c>
      <c r="G55" s="3">
        <f t="shared" si="44"/>
        <v>20025067</v>
      </c>
      <c r="H55" s="3">
        <f t="shared" si="44"/>
        <v>21751351</v>
      </c>
      <c r="I55" s="3">
        <f t="shared" si="44"/>
        <v>0</v>
      </c>
      <c r="J55" s="3">
        <f t="shared" si="44"/>
        <v>0</v>
      </c>
      <c r="K55" s="3">
        <f t="shared" si="43"/>
        <v>0</v>
      </c>
      <c r="L55" s="3">
        <f t="shared" si="43"/>
        <v>0</v>
      </c>
      <c r="M55" s="3">
        <f t="shared" si="43"/>
        <v>0</v>
      </c>
      <c r="N55" s="3">
        <f t="shared" si="43"/>
        <v>0</v>
      </c>
      <c r="O55" s="3">
        <f t="shared" si="43"/>
        <v>0</v>
      </c>
      <c r="P55" s="3">
        <f t="shared" si="43"/>
        <v>909212</v>
      </c>
      <c r="Q55" s="4">
        <f t="shared" si="43"/>
        <v>448303.93446367659</v>
      </c>
      <c r="R55" s="4">
        <f t="shared" si="43"/>
        <v>542234.58554143365</v>
      </c>
      <c r="S55" s="4">
        <f t="shared" si="43"/>
        <v>655049.67990202294</v>
      </c>
      <c r="T55" s="4">
        <f t="shared" si="43"/>
        <v>684765.88545444782</v>
      </c>
      <c r="U55" s="4">
        <f t="shared" si="43"/>
        <v>734151.68153577263</v>
      </c>
      <c r="V55" s="4">
        <f t="shared" si="43"/>
        <v>785315.11998099368</v>
      </c>
      <c r="W55" s="4">
        <f t="shared" si="43"/>
        <v>816349.43217883259</v>
      </c>
      <c r="X55" s="4">
        <f t="shared" si="43"/>
        <v>925669.66426777188</v>
      </c>
      <c r="Y55" s="4">
        <f t="shared" si="43"/>
        <v>949858.12382473284</v>
      </c>
      <c r="Z55" s="4">
        <f t="shared" si="43"/>
        <v>995457.60175602185</v>
      </c>
    </row>
    <row r="56" spans="1:26">
      <c r="A56" s="2" t="s">
        <v>50</v>
      </c>
      <c r="B56" s="3">
        <f t="shared" si="44"/>
        <v>5294161</v>
      </c>
      <c r="C56" s="3">
        <f t="shared" si="44"/>
        <v>309609</v>
      </c>
      <c r="D56" s="3">
        <f t="shared" si="44"/>
        <v>148634</v>
      </c>
      <c r="E56" s="3">
        <f t="shared" si="44"/>
        <v>4146178</v>
      </c>
      <c r="F56" s="3">
        <f t="shared" si="44"/>
        <v>9132020</v>
      </c>
      <c r="G56" s="3">
        <f t="shared" si="44"/>
        <v>25485976</v>
      </c>
      <c r="H56" s="3">
        <f t="shared" si="44"/>
        <v>4610829</v>
      </c>
      <c r="I56" s="3">
        <f t="shared" si="44"/>
        <v>0</v>
      </c>
      <c r="J56" s="3">
        <f t="shared" si="44"/>
        <v>0</v>
      </c>
      <c r="K56" s="3">
        <f t="shared" si="43"/>
        <v>0</v>
      </c>
      <c r="L56" s="3">
        <f t="shared" si="43"/>
        <v>0</v>
      </c>
      <c r="M56" s="3">
        <f t="shared" si="43"/>
        <v>0</v>
      </c>
      <c r="N56" s="3">
        <f t="shared" si="43"/>
        <v>0</v>
      </c>
      <c r="O56" s="3">
        <f t="shared" si="43"/>
        <v>81304</v>
      </c>
      <c r="P56" s="3">
        <f t="shared" si="43"/>
        <v>419399</v>
      </c>
      <c r="Q56" s="4">
        <f t="shared" si="43"/>
        <v>462849.03651519306</v>
      </c>
      <c r="R56" s="4">
        <f t="shared" si="43"/>
        <v>559827.24261234968</v>
      </c>
      <c r="S56" s="4">
        <f t="shared" si="43"/>
        <v>676302.59273756738</v>
      </c>
      <c r="T56" s="4">
        <f t="shared" si="43"/>
        <v>706982.93268435332</v>
      </c>
      <c r="U56" s="4">
        <f t="shared" si="43"/>
        <v>757971.03779907443</v>
      </c>
      <c r="V56" s="4">
        <f t="shared" si="43"/>
        <v>810794.4604119173</v>
      </c>
      <c r="W56" s="4">
        <f t="shared" si="43"/>
        <v>842835.67262404284</v>
      </c>
      <c r="X56" s="4">
        <f t="shared" si="43"/>
        <v>955702.77059969655</v>
      </c>
      <c r="Y56" s="4">
        <f t="shared" si="43"/>
        <v>980676.01830076741</v>
      </c>
      <c r="Z56" s="4">
        <f t="shared" si="43"/>
        <v>1027754.9591789964</v>
      </c>
    </row>
    <row r="57" spans="1:26">
      <c r="A57" s="2" t="s">
        <v>51</v>
      </c>
      <c r="B57" s="3">
        <f t="shared" si="44"/>
        <v>8711313</v>
      </c>
      <c r="C57" s="3">
        <f t="shared" si="44"/>
        <v>218066</v>
      </c>
      <c r="D57" s="3">
        <f t="shared" si="44"/>
        <v>0</v>
      </c>
      <c r="E57" s="3">
        <f t="shared" si="44"/>
        <v>14425613</v>
      </c>
      <c r="F57" s="3">
        <f t="shared" si="44"/>
        <v>13940451</v>
      </c>
      <c r="G57" s="3">
        <f t="shared" si="44"/>
        <v>4728220</v>
      </c>
      <c r="H57" s="3">
        <f t="shared" si="44"/>
        <v>25446972</v>
      </c>
      <c r="I57" s="3">
        <f t="shared" si="44"/>
        <v>0</v>
      </c>
      <c r="J57" s="3">
        <f t="shared" si="44"/>
        <v>0</v>
      </c>
      <c r="K57" s="3">
        <f t="shared" si="43"/>
        <v>0</v>
      </c>
      <c r="L57" s="3">
        <f t="shared" si="43"/>
        <v>0</v>
      </c>
      <c r="M57" s="3">
        <f t="shared" si="43"/>
        <v>0</v>
      </c>
      <c r="N57" s="3">
        <f t="shared" si="43"/>
        <v>0</v>
      </c>
      <c r="O57" s="3">
        <f t="shared" si="43"/>
        <v>4748609</v>
      </c>
      <c r="P57" s="3">
        <f t="shared" si="43"/>
        <v>378922</v>
      </c>
      <c r="Q57" s="4">
        <f t="shared" si="43"/>
        <v>435296.4495163933</v>
      </c>
      <c r="R57" s="4">
        <f t="shared" si="43"/>
        <v>526501.71400693676</v>
      </c>
      <c r="S57" s="4">
        <f t="shared" si="43"/>
        <v>636043.49192100135</v>
      </c>
      <c r="T57" s="4">
        <f t="shared" si="43"/>
        <v>664897.48532961356</v>
      </c>
      <c r="U57" s="4">
        <f t="shared" si="43"/>
        <v>712850.35845453839</v>
      </c>
      <c r="V57" s="4">
        <f t="shared" si="43"/>
        <v>762529.29586314992</v>
      </c>
      <c r="W57" s="4">
        <f t="shared" si="43"/>
        <v>792663.15121078177</v>
      </c>
      <c r="X57" s="4">
        <f t="shared" si="43"/>
        <v>898811.46986328962</v>
      </c>
      <c r="Y57" s="4">
        <f t="shared" si="43"/>
        <v>922298.10416421853</v>
      </c>
      <c r="Z57" s="4">
        <f t="shared" si="43"/>
        <v>966574.51870659296</v>
      </c>
    </row>
    <row r="58" spans="1:26">
      <c r="A58" s="2" t="s">
        <v>52</v>
      </c>
      <c r="B58" s="3">
        <f t="shared" si="44"/>
        <v>226107</v>
      </c>
      <c r="C58" s="3">
        <f t="shared" si="44"/>
        <v>2830068</v>
      </c>
      <c r="D58" s="3">
        <f t="shared" si="44"/>
        <v>167716</v>
      </c>
      <c r="E58" s="3">
        <f t="shared" si="44"/>
        <v>8296921</v>
      </c>
      <c r="F58" s="3">
        <f t="shared" si="44"/>
        <v>9951285</v>
      </c>
      <c r="G58" s="3">
        <f t="shared" si="44"/>
        <v>10839077</v>
      </c>
      <c r="H58" s="3">
        <f t="shared" si="44"/>
        <v>24566308</v>
      </c>
      <c r="I58" s="3">
        <f t="shared" si="44"/>
        <v>0</v>
      </c>
      <c r="J58" s="3">
        <f t="shared" si="44"/>
        <v>497892</v>
      </c>
      <c r="K58" s="3">
        <f t="shared" si="43"/>
        <v>0</v>
      </c>
      <c r="L58" s="3">
        <f t="shared" si="43"/>
        <v>0</v>
      </c>
      <c r="M58" s="3">
        <f t="shared" si="43"/>
        <v>0</v>
      </c>
      <c r="N58" s="3">
        <f t="shared" si="43"/>
        <v>0</v>
      </c>
      <c r="O58" s="3">
        <f t="shared" si="43"/>
        <v>1048749</v>
      </c>
      <c r="P58" s="3">
        <f t="shared" si="43"/>
        <v>214363</v>
      </c>
      <c r="Q58" s="4">
        <f t="shared" si="43"/>
        <v>423972.79617185832</v>
      </c>
      <c r="R58" s="4">
        <f t="shared" si="43"/>
        <v>512805.4780249027</v>
      </c>
      <c r="S58" s="4">
        <f t="shared" si="43"/>
        <v>619497.67349642504</v>
      </c>
      <c r="T58" s="4">
        <f t="shared" si="43"/>
        <v>647601.06896350195</v>
      </c>
      <c r="U58" s="4">
        <f t="shared" si="43"/>
        <v>694306.51240517444</v>
      </c>
      <c r="V58" s="4">
        <f t="shared" si="43"/>
        <v>742693.11888307205</v>
      </c>
      <c r="W58" s="4">
        <f t="shared" si="43"/>
        <v>772043.0823972876</v>
      </c>
      <c r="X58" s="4">
        <f t="shared" si="43"/>
        <v>875430.0948988687</v>
      </c>
      <c r="Y58" s="4">
        <f t="shared" si="43"/>
        <v>898305.75590711599</v>
      </c>
      <c r="Z58" s="4">
        <f t="shared" si="43"/>
        <v>941430.37890565011</v>
      </c>
    </row>
    <row r="59" spans="1:26">
      <c r="A59" s="2" t="s">
        <v>53</v>
      </c>
      <c r="B59" s="3">
        <f t="shared" si="44"/>
        <v>656485</v>
      </c>
      <c r="C59" s="3">
        <f t="shared" si="44"/>
        <v>759558</v>
      </c>
      <c r="D59" s="3">
        <f t="shared" si="44"/>
        <v>68013</v>
      </c>
      <c r="E59" s="3">
        <f t="shared" si="44"/>
        <v>4487400</v>
      </c>
      <c r="F59" s="3">
        <f t="shared" si="44"/>
        <v>9095666</v>
      </c>
      <c r="G59" s="3">
        <f t="shared" si="44"/>
        <v>5297460</v>
      </c>
      <c r="H59" s="3">
        <f t="shared" si="44"/>
        <v>29927707</v>
      </c>
      <c r="I59" s="3">
        <f t="shared" si="44"/>
        <v>0</v>
      </c>
      <c r="J59" s="3">
        <f t="shared" si="44"/>
        <v>0</v>
      </c>
      <c r="K59" s="3">
        <f t="shared" si="43"/>
        <v>0</v>
      </c>
      <c r="L59" s="3">
        <f t="shared" si="43"/>
        <v>0</v>
      </c>
      <c r="M59" s="3">
        <f t="shared" si="43"/>
        <v>0</v>
      </c>
      <c r="N59" s="3">
        <f t="shared" si="43"/>
        <v>0</v>
      </c>
      <c r="O59" s="3">
        <f t="shared" si="43"/>
        <v>1498490</v>
      </c>
      <c r="P59" s="3">
        <f t="shared" si="43"/>
        <v>173721</v>
      </c>
      <c r="Q59" s="4">
        <f t="shared" si="43"/>
        <v>401019.65896625945</v>
      </c>
      <c r="R59" s="4">
        <f t="shared" si="43"/>
        <v>485043.09656277444</v>
      </c>
      <c r="S59" s="4">
        <f t="shared" si="43"/>
        <v>585959.16530273226</v>
      </c>
      <c r="T59" s="4">
        <f t="shared" si="43"/>
        <v>612541.09265222377</v>
      </c>
      <c r="U59" s="4">
        <f t="shared" si="43"/>
        <v>656717.98600472847</v>
      </c>
      <c r="V59" s="4">
        <f t="shared" si="43"/>
        <v>702485.02720054064</v>
      </c>
      <c r="W59" s="4">
        <f t="shared" si="43"/>
        <v>730246.03560819302</v>
      </c>
      <c r="X59" s="4">
        <f t="shared" si="43"/>
        <v>828035.85813755752</v>
      </c>
      <c r="Y59" s="4">
        <f t="shared" si="43"/>
        <v>849673.07132431259</v>
      </c>
      <c r="Z59" s="4">
        <f t="shared" si="43"/>
        <v>890463.00351824169</v>
      </c>
    </row>
    <row r="60" spans="1:26">
      <c r="A60" s="2" t="s">
        <v>54</v>
      </c>
      <c r="B60" s="3">
        <f t="shared" si="44"/>
        <v>145953</v>
      </c>
      <c r="C60" s="3">
        <f t="shared" si="44"/>
        <v>0</v>
      </c>
      <c r="D60" s="3">
        <f t="shared" si="44"/>
        <v>108027</v>
      </c>
      <c r="E60" s="3">
        <f t="shared" si="44"/>
        <v>23163882</v>
      </c>
      <c r="F60" s="3">
        <f t="shared" si="44"/>
        <v>12671090</v>
      </c>
      <c r="G60" s="3">
        <f t="shared" si="44"/>
        <v>6340389</v>
      </c>
      <c r="H60" s="3">
        <f t="shared" si="44"/>
        <v>7637746</v>
      </c>
      <c r="I60" s="3">
        <f t="shared" si="44"/>
        <v>0</v>
      </c>
      <c r="J60" s="3">
        <f t="shared" si="44"/>
        <v>0</v>
      </c>
      <c r="K60" s="3">
        <f t="shared" si="43"/>
        <v>0</v>
      </c>
      <c r="L60" s="3">
        <f t="shared" si="43"/>
        <v>0</v>
      </c>
      <c r="M60" s="3">
        <f t="shared" si="43"/>
        <v>0</v>
      </c>
      <c r="N60" s="3">
        <f t="shared" si="43"/>
        <v>0</v>
      </c>
      <c r="O60" s="3">
        <f t="shared" si="43"/>
        <v>6589098</v>
      </c>
      <c r="P60" s="3">
        <f t="shared" si="43"/>
        <v>301667</v>
      </c>
      <c r="Q60" s="4">
        <f t="shared" si="43"/>
        <v>1433471.9011014192</v>
      </c>
      <c r="R60" s="4">
        <f t="shared" si="43"/>
        <v>544576.0413299324</v>
      </c>
      <c r="S60" s="4">
        <f t="shared" si="43"/>
        <v>657878.28933723643</v>
      </c>
      <c r="T60" s="4">
        <f t="shared" si="43"/>
        <v>687722.81422479544</v>
      </c>
      <c r="U60" s="4">
        <f t="shared" si="43"/>
        <v>737321.86608357634</v>
      </c>
      <c r="V60" s="4">
        <f t="shared" si="43"/>
        <v>788706.23645070381</v>
      </c>
      <c r="W60" s="4">
        <f t="shared" si="43"/>
        <v>819874.55977928825</v>
      </c>
      <c r="X60" s="4">
        <f t="shared" si="43"/>
        <v>929666.85413989052</v>
      </c>
      <c r="Y60" s="4">
        <f t="shared" si="43"/>
        <v>953959.76333941333</v>
      </c>
      <c r="Z60" s="4">
        <f t="shared" si="43"/>
        <v>999756.14711994678</v>
      </c>
    </row>
    <row r="61" spans="1:26" ht="13.5" thickBot="1">
      <c r="A61" s="2" t="s">
        <v>29</v>
      </c>
      <c r="B61" s="3">
        <f>SUM(B49:B60)</f>
        <v>18779478</v>
      </c>
      <c r="C61" s="3">
        <f t="shared" ref="C61:Z61" si="45">SUM(C49:C60)</f>
        <v>6258577</v>
      </c>
      <c r="D61" s="3">
        <f t="shared" si="45"/>
        <v>1118519</v>
      </c>
      <c r="E61" s="3">
        <f t="shared" si="45"/>
        <v>55168362</v>
      </c>
      <c r="F61" s="3">
        <f t="shared" si="45"/>
        <v>79776819</v>
      </c>
      <c r="G61" s="3">
        <f t="shared" si="45"/>
        <v>111679662</v>
      </c>
      <c r="H61" s="3">
        <f t="shared" si="45"/>
        <v>169323780</v>
      </c>
      <c r="I61" s="3">
        <f t="shared" si="45"/>
        <v>0</v>
      </c>
      <c r="J61" s="3">
        <f t="shared" si="45"/>
        <v>497892</v>
      </c>
      <c r="K61" s="3">
        <f t="shared" si="45"/>
        <v>16767</v>
      </c>
      <c r="L61" s="3">
        <f t="shared" si="45"/>
        <v>0</v>
      </c>
      <c r="M61" s="3">
        <f t="shared" si="45"/>
        <v>0</v>
      </c>
      <c r="N61" s="3">
        <f t="shared" si="45"/>
        <v>0</v>
      </c>
      <c r="O61" s="3">
        <f t="shared" si="45"/>
        <v>13966250</v>
      </c>
      <c r="P61" s="3">
        <f t="shared" si="45"/>
        <v>22758501</v>
      </c>
      <c r="Q61" s="4">
        <f t="shared" si="45"/>
        <v>5089700.7978156004</v>
      </c>
      <c r="R61" s="4">
        <f t="shared" si="45"/>
        <v>6094063.0835431591</v>
      </c>
      <c r="S61" s="4">
        <f t="shared" si="45"/>
        <v>7361968.7467771238</v>
      </c>
      <c r="T61" s="4">
        <f t="shared" si="45"/>
        <v>7695943.0746212015</v>
      </c>
      <c r="U61" s="4">
        <f t="shared" si="45"/>
        <v>8250979.8885309529</v>
      </c>
      <c r="V61" s="4">
        <f t="shared" si="45"/>
        <v>8825995.2596822083</v>
      </c>
      <c r="W61" s="4">
        <f t="shared" si="45"/>
        <v>9174783.5172574017</v>
      </c>
      <c r="X61" s="4">
        <f t="shared" si="45"/>
        <v>10403411.141576782</v>
      </c>
      <c r="Y61" s="4">
        <f t="shared" si="45"/>
        <v>10675260.268070001</v>
      </c>
      <c r="Z61" s="4">
        <f t="shared" si="45"/>
        <v>11187743.430339031</v>
      </c>
    </row>
    <row r="62" spans="1:26">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row>
    <row r="63" spans="1:26" ht="16.5" thickBot="1">
      <c r="A63" s="109" t="s">
        <v>494</v>
      </c>
    </row>
    <row r="64" spans="1:26" ht="13.5" thickBot="1">
      <c r="A64" s="110"/>
      <c r="B64" s="111">
        <v>2010</v>
      </c>
      <c r="C64" s="111">
        <v>2011</v>
      </c>
      <c r="D64" s="111">
        <v>2012</v>
      </c>
      <c r="E64" s="111">
        <v>2013</v>
      </c>
      <c r="F64" s="111">
        <v>2014</v>
      </c>
      <c r="G64" s="111">
        <v>2015</v>
      </c>
      <c r="H64" s="111">
        <v>2016</v>
      </c>
      <c r="I64" s="111">
        <v>2017</v>
      </c>
      <c r="J64" s="111">
        <v>2018</v>
      </c>
      <c r="K64" s="111">
        <v>2019</v>
      </c>
      <c r="L64" s="111">
        <v>2020</v>
      </c>
      <c r="M64" s="111">
        <v>2021</v>
      </c>
      <c r="N64" s="111">
        <v>2022</v>
      </c>
      <c r="O64" s="111">
        <v>2023</v>
      </c>
      <c r="P64" s="111">
        <v>2024</v>
      </c>
      <c r="Q64" s="111">
        <v>2025</v>
      </c>
      <c r="R64" s="111">
        <v>2026</v>
      </c>
      <c r="S64" s="111">
        <v>2027</v>
      </c>
      <c r="T64" s="111">
        <v>2028</v>
      </c>
      <c r="U64" s="111">
        <v>2029</v>
      </c>
      <c r="V64" s="111">
        <v>2030</v>
      </c>
      <c r="W64" s="111">
        <v>2031</v>
      </c>
      <c r="X64" s="111">
        <v>2032</v>
      </c>
      <c r="Y64" s="111">
        <v>2033</v>
      </c>
      <c r="Z64" s="111">
        <v>2034</v>
      </c>
    </row>
    <row r="65" spans="1:26">
      <c r="A65" s="2" t="s">
        <v>43</v>
      </c>
      <c r="B65" s="3">
        <f>'Monthly D6 RIN Data'!$B4</f>
        <v>0</v>
      </c>
      <c r="C65" s="3">
        <f>'Monthly D6 RIN Data'!$B16</f>
        <v>188702</v>
      </c>
      <c r="D65" s="3">
        <f>'Monthly D6 RIN Data'!$B28</f>
        <v>0</v>
      </c>
      <c r="E65" s="3">
        <f>'Monthly D6 RIN Data'!$B40</f>
        <v>9192</v>
      </c>
      <c r="F65" s="3">
        <f>'Monthly D6 RIN Data'!$B52</f>
        <v>0</v>
      </c>
      <c r="G65" s="3">
        <f>'Monthly D6 RIN Data'!$B64</f>
        <v>0</v>
      </c>
      <c r="H65" s="3">
        <f>'Monthly D6 RIN Data'!$B76</f>
        <v>17461</v>
      </c>
      <c r="I65" s="3">
        <f>'Monthly D6 RIN Data'!$B88</f>
        <v>0</v>
      </c>
      <c r="J65" s="3">
        <f>'Monthly D6 RIN Data'!$B100</f>
        <v>0</v>
      </c>
      <c r="K65" s="3">
        <f>'Monthly D6 RIN Data'!$B112</f>
        <v>16767</v>
      </c>
      <c r="L65" s="3">
        <f>'Monthly D6 RIN Data'!$B124</f>
        <v>0</v>
      </c>
      <c r="M65" s="3">
        <f>'Monthly D6 RIN Data'!$B136</f>
        <v>0</v>
      </c>
      <c r="N65" s="3">
        <f>'Monthly D6 RIN Data'!$B148</f>
        <v>0</v>
      </c>
      <c r="O65" s="3">
        <f>'Monthly D6 RIN Data'!$B160</f>
        <v>0</v>
      </c>
      <c r="P65" s="3">
        <f>'Monthly D6 RIN Data'!$B172</f>
        <v>1634348</v>
      </c>
      <c r="Q65" s="3">
        <f>'Monthly D6 RIN Data'!$B184</f>
        <v>0</v>
      </c>
      <c r="R65" s="4">
        <f>'D6 Gallon Forecast'!R65</f>
        <v>388266.34903294611</v>
      </c>
      <c r="S65" s="4">
        <f>'D6 Gallon Forecast'!S65</f>
        <v>469047.44631292822</v>
      </c>
      <c r="T65" s="4">
        <f>'D6 Gallon Forecast'!T65</f>
        <v>490325.69551466766</v>
      </c>
      <c r="U65" s="4">
        <f>'D6 Gallon Forecast'!U65</f>
        <v>525688.32868096605</v>
      </c>
      <c r="V65" s="4">
        <f>'D6 Gallon Forecast'!V65</f>
        <v>562323.84028202365</v>
      </c>
      <c r="W65" s="4">
        <f>'D6 Gallon Forecast'!W65</f>
        <v>584545.91798252985</v>
      </c>
      <c r="X65" s="4">
        <f>'D6 Gallon Forecast'!X65</f>
        <v>662824.52381182078</v>
      </c>
      <c r="Y65" s="4">
        <f>'D6 Gallon Forecast'!Y65</f>
        <v>680144.63789405813</v>
      </c>
      <c r="Z65" s="4">
        <f>'D6 Gallon Forecast'!Z65</f>
        <v>712796.08301814843</v>
      </c>
    </row>
    <row r="66" spans="1:26">
      <c r="A66" s="2" t="s">
        <v>44</v>
      </c>
      <c r="B66" s="3">
        <f>'Monthly D6 RIN Data'!$B5</f>
        <v>0</v>
      </c>
      <c r="C66" s="3">
        <f>'Monthly D6 RIN Data'!$B17</f>
        <v>339405</v>
      </c>
      <c r="D66" s="3">
        <f>'Monthly D6 RIN Data'!$B29</f>
        <v>626129</v>
      </c>
      <c r="E66" s="3">
        <f>'Monthly D6 RIN Data'!$B41</f>
        <v>9242</v>
      </c>
      <c r="F66" s="3">
        <f>'Monthly D6 RIN Data'!$B53</f>
        <v>0</v>
      </c>
      <c r="G66" s="3">
        <f>'Monthly D6 RIN Data'!$B65</f>
        <v>17789</v>
      </c>
      <c r="H66" s="3">
        <f>'Monthly D6 RIN Data'!$B77</f>
        <v>3458</v>
      </c>
      <c r="I66" s="3">
        <f>'Monthly D6 RIN Data'!$B89</f>
        <v>0</v>
      </c>
      <c r="J66" s="3">
        <f>'Monthly D6 RIN Data'!$B101</f>
        <v>0</v>
      </c>
      <c r="K66" s="3">
        <f>'Monthly D6 RIN Data'!$B113</f>
        <v>0</v>
      </c>
      <c r="L66" s="3">
        <f>'Monthly D6 RIN Data'!$B125</f>
        <v>0</v>
      </c>
      <c r="M66" s="3">
        <f>'Monthly D6 RIN Data'!$B137</f>
        <v>0</v>
      </c>
      <c r="N66" s="3">
        <f>'Monthly D6 RIN Data'!$B149</f>
        <v>0</v>
      </c>
      <c r="O66" s="3">
        <f>'Monthly D6 RIN Data'!$B161</f>
        <v>0</v>
      </c>
      <c r="P66" s="3">
        <f>'Monthly D6 RIN Data'!$B173</f>
        <v>970213</v>
      </c>
      <c r="Q66" s="3">
        <f>'Monthly D6 RIN Data'!$B185</f>
        <v>153911</v>
      </c>
      <c r="R66" s="4">
        <f>'D6 Gallon Forecast'!R66</f>
        <v>414542.4954444457</v>
      </c>
      <c r="S66" s="4">
        <f>'D6 Gallon Forecast'!S66</f>
        <v>500790.49951327825</v>
      </c>
      <c r="T66" s="4">
        <f>'D6 Gallon Forecast'!T66</f>
        <v>523508.76635444968</v>
      </c>
      <c r="U66" s="4">
        <f>'D6 Gallon Forecast'!U66</f>
        <v>561264.5858705003</v>
      </c>
      <c r="V66" s="4">
        <f>'D6 Gallon Forecast'!V66</f>
        <v>600379.42659469019</v>
      </c>
      <c r="W66" s="4">
        <f>'D6 Gallon Forecast'!W66</f>
        <v>624105.39606609161</v>
      </c>
      <c r="X66" s="4">
        <f>'D6 Gallon Forecast'!X66</f>
        <v>707681.5511493457</v>
      </c>
      <c r="Y66" s="4">
        <f>'D6 Gallon Forecast'!Y66</f>
        <v>726173.81382139062</v>
      </c>
      <c r="Z66" s="4">
        <f>'D6 Gallon Forecast'!Z66</f>
        <v>761034.96409959649</v>
      </c>
    </row>
    <row r="67" spans="1:26">
      <c r="A67" s="2" t="s">
        <v>45</v>
      </c>
      <c r="B67" s="3">
        <f>'Monthly D6 RIN Data'!$B6</f>
        <v>0</v>
      </c>
      <c r="C67" s="3">
        <f>'Monthly D6 RIN Data'!$B18</f>
        <v>267723</v>
      </c>
      <c r="D67" s="3">
        <f>'Monthly D6 RIN Data'!$B30</f>
        <v>0</v>
      </c>
      <c r="E67" s="3">
        <f>'Monthly D6 RIN Data'!$B42</f>
        <v>0</v>
      </c>
      <c r="F67" s="3">
        <f>'Monthly D6 RIN Data'!$B54</f>
        <v>0</v>
      </c>
      <c r="G67" s="3">
        <f>'Monthly D6 RIN Data'!$B66</f>
        <v>0</v>
      </c>
      <c r="H67" s="3">
        <f>'Monthly D6 RIN Data'!$B78</f>
        <v>271850</v>
      </c>
      <c r="I67" s="3">
        <f>'Monthly D6 RIN Data'!$B90</f>
        <v>0</v>
      </c>
      <c r="J67" s="3">
        <f>'Monthly D6 RIN Data'!$B102</f>
        <v>0</v>
      </c>
      <c r="K67" s="3">
        <f>'Monthly D6 RIN Data'!$B114</f>
        <v>0</v>
      </c>
      <c r="L67" s="3">
        <f>'Monthly D6 RIN Data'!$B126</f>
        <v>0</v>
      </c>
      <c r="M67" s="3">
        <f>'Monthly D6 RIN Data'!$B138</f>
        <v>0</v>
      </c>
      <c r="N67" s="3">
        <f>'Monthly D6 RIN Data'!$B150</f>
        <v>0</v>
      </c>
      <c r="O67" s="3">
        <f>'Monthly D6 RIN Data'!$B162</f>
        <v>0</v>
      </c>
      <c r="P67" s="3">
        <f>'Monthly D6 RIN Data'!$B174</f>
        <v>1316272</v>
      </c>
      <c r="Q67" s="3">
        <f>'Monthly D6 RIN Data'!$B186</f>
        <v>0</v>
      </c>
      <c r="R67" s="4">
        <f>'D6 Gallon Forecast'!R67</f>
        <v>510538.94673617312</v>
      </c>
      <c r="S67" s="4">
        <f>'D6 Gallon Forecast'!S67</f>
        <v>616759.57704378408</v>
      </c>
      <c r="T67" s="4">
        <f>'D6 Gallon Forecast'!T67</f>
        <v>644738.75928016193</v>
      </c>
      <c r="U67" s="4">
        <f>'D6 Gallon Forecast'!U67</f>
        <v>691237.77093931462</v>
      </c>
      <c r="V67" s="4">
        <f>'D6 Gallon Forecast'!V67</f>
        <v>739410.51512003096</v>
      </c>
      <c r="W67" s="4">
        <f>'D6 Gallon Forecast'!W67</f>
        <v>768630.75574032532</v>
      </c>
      <c r="X67" s="4">
        <f>'D6 Gallon Forecast'!X67</f>
        <v>871560.81154248572</v>
      </c>
      <c r="Y67" s="4">
        <f>'D6 Gallon Forecast'!Y67</f>
        <v>894335.36520370294</v>
      </c>
      <c r="Z67" s="4">
        <f>'D6 Gallon Forecast'!Z67</f>
        <v>937269.38316479232</v>
      </c>
    </row>
    <row r="68" spans="1:26">
      <c r="A68" s="2" t="s">
        <v>46</v>
      </c>
      <c r="B68" s="3">
        <f>'Monthly D6 RIN Data'!$B7</f>
        <v>0</v>
      </c>
      <c r="C68" s="3">
        <f>'Monthly D6 RIN Data'!$B19</f>
        <v>0</v>
      </c>
      <c r="D68" s="3">
        <f>'Monthly D6 RIN Data'!$B31</f>
        <v>0</v>
      </c>
      <c r="E68" s="3">
        <f>'Monthly D6 RIN Data'!$B43</f>
        <v>133752</v>
      </c>
      <c r="F68" s="3">
        <f>'Monthly D6 RIN Data'!$B55</f>
        <v>58951</v>
      </c>
      <c r="G68" s="3">
        <f>'Monthly D6 RIN Data'!$B67</f>
        <v>17072</v>
      </c>
      <c r="H68" s="3">
        <f>'Monthly D6 RIN Data'!$B79</f>
        <v>13456</v>
      </c>
      <c r="I68" s="3">
        <f>'Monthly D6 RIN Data'!$B91</f>
        <v>0</v>
      </c>
      <c r="J68" s="3">
        <f>'Monthly D6 RIN Data'!$B103</f>
        <v>0</v>
      </c>
      <c r="K68" s="3">
        <f>'Monthly D6 RIN Data'!$B115</f>
        <v>0</v>
      </c>
      <c r="L68" s="3">
        <f>'Monthly D6 RIN Data'!$B127</f>
        <v>0</v>
      </c>
      <c r="M68" s="3">
        <f>'Monthly D6 RIN Data'!$B139</f>
        <v>0</v>
      </c>
      <c r="N68" s="3">
        <f>'Monthly D6 RIN Data'!$B151</f>
        <v>0</v>
      </c>
      <c r="O68" s="3">
        <f>'Monthly D6 RIN Data'!$B163</f>
        <v>0</v>
      </c>
      <c r="P68" s="3">
        <f>'Monthly D6 RIN Data'!$B175</f>
        <v>1502690</v>
      </c>
      <c r="Q68" s="4">
        <f>'D6 Gallon Forecast'!Q68</f>
        <v>432681.47152891645</v>
      </c>
      <c r="R68" s="4">
        <f>'D6 Gallon Forecast'!R68</f>
        <v>523338.83410284703</v>
      </c>
      <c r="S68" s="4">
        <f>'D6 Gallon Forecast'!S68</f>
        <v>632222.55625221925</v>
      </c>
      <c r="T68" s="4">
        <f>'D6 Gallon Forecast'!T68</f>
        <v>660903.21363271051</v>
      </c>
      <c r="U68" s="4">
        <f>'D6 Gallon Forecast'!U68</f>
        <v>708568.01708052855</v>
      </c>
      <c r="V68" s="4">
        <f>'D6 Gallon Forecast'!V68</f>
        <v>757948.51574030786</v>
      </c>
      <c r="W68" s="4">
        <f>'D6 Gallon Forecast'!W68</f>
        <v>787901.3464816066</v>
      </c>
      <c r="X68" s="4">
        <f>'D6 Gallon Forecast'!X68</f>
        <v>893411.99506583728</v>
      </c>
      <c r="Y68" s="4">
        <f>'D6 Gallon Forecast'!Y68</f>
        <v>916757.53694167256</v>
      </c>
      <c r="Z68" s="4">
        <f>'D6 Gallon Forecast'!Z68</f>
        <v>960767.96757923625</v>
      </c>
    </row>
    <row r="69" spans="1:26">
      <c r="A69" s="2" t="s">
        <v>47</v>
      </c>
      <c r="B69" s="3">
        <f>'Monthly D6 RIN Data'!$B8</f>
        <v>0</v>
      </c>
      <c r="C69" s="3">
        <f>'Monthly D6 RIN Data'!$B20</f>
        <v>476208</v>
      </c>
      <c r="D69" s="3">
        <f>'Monthly D6 RIN Data'!$B32</f>
        <v>0</v>
      </c>
      <c r="E69" s="3">
        <f>'Monthly D6 RIN Data'!$B44</f>
        <v>76777</v>
      </c>
      <c r="F69" s="3">
        <f>'Monthly D6 RIN Data'!$B56</f>
        <v>778714</v>
      </c>
      <c r="G69" s="3">
        <f>'Monthly D6 RIN Data'!$B68</f>
        <v>0</v>
      </c>
      <c r="H69" s="3">
        <f>'Monthly D6 RIN Data'!$B80</f>
        <v>38026</v>
      </c>
      <c r="I69" s="3">
        <f>'Monthly D6 RIN Data'!$B92</f>
        <v>0</v>
      </c>
      <c r="J69" s="3">
        <f>'Monthly D6 RIN Data'!$B104</f>
        <v>0</v>
      </c>
      <c r="K69" s="3">
        <f>'Monthly D6 RIN Data'!$B116</f>
        <v>0</v>
      </c>
      <c r="L69" s="3">
        <f>'Monthly D6 RIN Data'!$B128</f>
        <v>0</v>
      </c>
      <c r="M69" s="3">
        <f>'Monthly D6 RIN Data'!$B140</f>
        <v>0</v>
      </c>
      <c r="N69" s="3">
        <f>'Monthly D6 RIN Data'!$B152</f>
        <v>0</v>
      </c>
      <c r="O69" s="3">
        <f>'Monthly D6 RIN Data'!$B164</f>
        <v>0</v>
      </c>
      <c r="P69" s="3">
        <f>'Monthly D6 RIN Data'!$B176</f>
        <v>2104533</v>
      </c>
      <c r="Q69" s="4">
        <f>'D6 Gallon Forecast'!Q69</f>
        <v>449465.43806489097</v>
      </c>
      <c r="R69" s="4">
        <f>'D6 Gallon Forecast'!R69</f>
        <v>543639.45258674037</v>
      </c>
      <c r="S69" s="4">
        <f>'D6 Gallon Forecast'!S69</f>
        <v>656746.83779801778</v>
      </c>
      <c r="T69" s="4">
        <f>'D6 Gallon Forecast'!T69</f>
        <v>686540.03459925868</v>
      </c>
      <c r="U69" s="4">
        <f>'D6 Gallon Forecast'!U69</f>
        <v>736053.78356162598</v>
      </c>
      <c r="V69" s="4">
        <f>'D6 Gallon Forecast'!V69</f>
        <v>787349.78055348515</v>
      </c>
      <c r="W69" s="4">
        <f>'D6 Gallon Forecast'!W69</f>
        <v>818464.4990618825</v>
      </c>
      <c r="X69" s="4">
        <f>'D6 Gallon Forecast'!X69</f>
        <v>928067.96721790824</v>
      </c>
      <c r="Y69" s="4">
        <f>'D6 Gallon Forecast'!Y69</f>
        <v>952319.09627366986</v>
      </c>
      <c r="Z69" s="4">
        <f>'D6 Gallon Forecast'!Z69</f>
        <v>998036.71717395622</v>
      </c>
    </row>
    <row r="70" spans="1:26">
      <c r="A70" s="2" t="s">
        <v>48</v>
      </c>
      <c r="B70" s="3">
        <f>'Monthly D6 RIN Data'!$B9</f>
        <v>0</v>
      </c>
      <c r="C70" s="3">
        <f>'Monthly D6 RIN Data'!$B21</f>
        <v>633036</v>
      </c>
      <c r="D70" s="3">
        <f>'Monthly D6 RIN Data'!$B33</f>
        <v>0</v>
      </c>
      <c r="E70" s="3">
        <f>'Monthly D6 RIN Data'!$B45</f>
        <v>100987</v>
      </c>
      <c r="F70" s="3">
        <f>'Monthly D6 RIN Data'!$B57</f>
        <v>635093</v>
      </c>
      <c r="G70" s="3">
        <f>'Monthly D6 RIN Data'!$B69</f>
        <v>0</v>
      </c>
      <c r="H70" s="3">
        <f>'Monthly D6 RIN Data'!$B81</f>
        <v>48728</v>
      </c>
      <c r="I70" s="3">
        <f>'Monthly D6 RIN Data'!$B93</f>
        <v>0</v>
      </c>
      <c r="J70" s="3">
        <f>'Monthly D6 RIN Data'!$B105</f>
        <v>0</v>
      </c>
      <c r="K70" s="3">
        <f>'Monthly D6 RIN Data'!$B117</f>
        <v>0</v>
      </c>
      <c r="L70" s="3">
        <f>'Monthly D6 RIN Data'!$B129</f>
        <v>0</v>
      </c>
      <c r="M70" s="3">
        <f>'Monthly D6 RIN Data'!$B141</f>
        <v>0</v>
      </c>
      <c r="N70" s="3">
        <f>'Monthly D6 RIN Data'!$B153</f>
        <v>0</v>
      </c>
      <c r="O70" s="3">
        <f>'Monthly D6 RIN Data'!$B165</f>
        <v>0</v>
      </c>
      <c r="P70" s="3">
        <f>'Monthly D6 RIN Data'!$B177</f>
        <v>3484538</v>
      </c>
      <c r="Q70" s="4">
        <f>'D6 Gallon Forecast'!Q70</f>
        <v>448729.11148699315</v>
      </c>
      <c r="R70" s="4">
        <f>'D6 Gallon Forecast'!R70</f>
        <v>542748.84756167582</v>
      </c>
      <c r="S70" s="4">
        <f>'D6 Gallon Forecast'!S70</f>
        <v>655670.9371599108</v>
      </c>
      <c r="T70" s="4">
        <f>'D6 Gallon Forecast'!T70</f>
        <v>685415.32593101775</v>
      </c>
      <c r="U70" s="4">
        <f>'D6 Gallon Forecast'!U70</f>
        <v>734847.96011515125</v>
      </c>
      <c r="V70" s="4">
        <f>'D6 Gallon Forecast'!V70</f>
        <v>786059.92260129296</v>
      </c>
      <c r="W70" s="4">
        <f>'D6 Gallon Forecast'!W70</f>
        <v>817123.66812653909</v>
      </c>
      <c r="X70" s="4">
        <f>'D6 Gallon Forecast'!X70</f>
        <v>926547.58088230866</v>
      </c>
      <c r="Y70" s="4">
        <f>'D6 Gallon Forecast'!Y70</f>
        <v>950758.98107494635</v>
      </c>
      <c r="Z70" s="4">
        <f>'D6 Gallon Forecast'!Z70</f>
        <v>996401.70611785154</v>
      </c>
    </row>
    <row r="71" spans="1:26">
      <c r="A71" s="2" t="s">
        <v>49</v>
      </c>
      <c r="B71" s="3">
        <f>'Monthly D6 RIN Data'!$B10</f>
        <v>3745459</v>
      </c>
      <c r="C71" s="3">
        <f>'Monthly D6 RIN Data'!$B22</f>
        <v>236202</v>
      </c>
      <c r="D71" s="3">
        <f>'Monthly D6 RIN Data'!$B34</f>
        <v>0</v>
      </c>
      <c r="E71" s="3">
        <f>'Monthly D6 RIN Data'!$B46</f>
        <v>318418</v>
      </c>
      <c r="F71" s="3">
        <f>'Monthly D6 RIN Data'!$B58</f>
        <v>339213</v>
      </c>
      <c r="G71" s="3">
        <f>'Monthly D6 RIN Data'!$B70</f>
        <v>0</v>
      </c>
      <c r="H71" s="3">
        <f>'Monthly D6 RIN Data'!$B82</f>
        <v>0</v>
      </c>
      <c r="I71" s="3">
        <f>'Monthly D6 RIN Data'!$B94</f>
        <v>0</v>
      </c>
      <c r="J71" s="3">
        <f>'Monthly D6 RIN Data'!$B106</f>
        <v>0</v>
      </c>
      <c r="K71" s="3">
        <f>'Monthly D6 RIN Data'!$B118</f>
        <v>0</v>
      </c>
      <c r="L71" s="3">
        <f>'Monthly D6 RIN Data'!$B130</f>
        <v>0</v>
      </c>
      <c r="M71" s="3">
        <f>'Monthly D6 RIN Data'!$B142</f>
        <v>0</v>
      </c>
      <c r="N71" s="3">
        <f>'Monthly D6 RIN Data'!$B154</f>
        <v>0</v>
      </c>
      <c r="O71" s="3">
        <f>'Monthly D6 RIN Data'!$B166</f>
        <v>0</v>
      </c>
      <c r="P71" s="3">
        <f>'Monthly D6 RIN Data'!$B178</f>
        <v>909212</v>
      </c>
      <c r="Q71" s="4">
        <f>'D6 Gallon Forecast'!Q71</f>
        <v>448303.93446367659</v>
      </c>
      <c r="R71" s="4">
        <f>'D6 Gallon Forecast'!R71</f>
        <v>542234.58554143365</v>
      </c>
      <c r="S71" s="4">
        <f>'D6 Gallon Forecast'!S71</f>
        <v>655049.67990202294</v>
      </c>
      <c r="T71" s="4">
        <f>'D6 Gallon Forecast'!T71</f>
        <v>684765.88545444782</v>
      </c>
      <c r="U71" s="4">
        <f>'D6 Gallon Forecast'!U71</f>
        <v>734151.68153577263</v>
      </c>
      <c r="V71" s="4">
        <f>'D6 Gallon Forecast'!V71</f>
        <v>785315.11998099368</v>
      </c>
      <c r="W71" s="4">
        <f>'D6 Gallon Forecast'!W71</f>
        <v>816349.43217883259</v>
      </c>
      <c r="X71" s="4">
        <f>'D6 Gallon Forecast'!X71</f>
        <v>925669.66426777188</v>
      </c>
      <c r="Y71" s="4">
        <f>'D6 Gallon Forecast'!Y71</f>
        <v>949858.12382473284</v>
      </c>
      <c r="Z71" s="4">
        <f>'D6 Gallon Forecast'!Z71</f>
        <v>995457.60175602185</v>
      </c>
    </row>
    <row r="72" spans="1:26">
      <c r="A72" s="2" t="s">
        <v>50</v>
      </c>
      <c r="B72" s="3">
        <f>'Monthly D6 RIN Data'!$B11</f>
        <v>5294161</v>
      </c>
      <c r="C72" s="3">
        <f>'Monthly D6 RIN Data'!$B23</f>
        <v>309609</v>
      </c>
      <c r="D72" s="3">
        <f>'Monthly D6 RIN Data'!$B35</f>
        <v>148634</v>
      </c>
      <c r="E72" s="3">
        <f>'Monthly D6 RIN Data'!$B47</f>
        <v>0</v>
      </c>
      <c r="F72" s="3">
        <f>'Monthly D6 RIN Data'!$B59</f>
        <v>110155</v>
      </c>
      <c r="G72" s="3">
        <f>'Monthly D6 RIN Data'!$B71</f>
        <v>14662</v>
      </c>
      <c r="H72" s="3">
        <f>'Monthly D6 RIN Data'!$B83</f>
        <v>20128</v>
      </c>
      <c r="I72" s="3">
        <f>'Monthly D6 RIN Data'!$B95</f>
        <v>0</v>
      </c>
      <c r="J72" s="3">
        <f>'Monthly D6 RIN Data'!$B107</f>
        <v>0</v>
      </c>
      <c r="K72" s="3">
        <f>'Monthly D6 RIN Data'!$B119</f>
        <v>0</v>
      </c>
      <c r="L72" s="3">
        <f>'Monthly D6 RIN Data'!$B131</f>
        <v>0</v>
      </c>
      <c r="M72" s="3">
        <f>'Monthly D6 RIN Data'!$B143</f>
        <v>0</v>
      </c>
      <c r="N72" s="3">
        <f>'Monthly D6 RIN Data'!$B155</f>
        <v>0</v>
      </c>
      <c r="O72" s="3">
        <f>'Monthly D6 RIN Data'!$B167</f>
        <v>81304</v>
      </c>
      <c r="P72" s="3">
        <f>'Monthly D6 RIN Data'!$B179</f>
        <v>419399</v>
      </c>
      <c r="Q72" s="4">
        <f>'D6 Gallon Forecast'!Q72</f>
        <v>462849.03651519306</v>
      </c>
      <c r="R72" s="4">
        <f>'D6 Gallon Forecast'!R72</f>
        <v>559827.24261234968</v>
      </c>
      <c r="S72" s="4">
        <f>'D6 Gallon Forecast'!S72</f>
        <v>676302.59273756738</v>
      </c>
      <c r="T72" s="4">
        <f>'D6 Gallon Forecast'!T72</f>
        <v>706982.93268435332</v>
      </c>
      <c r="U72" s="4">
        <f>'D6 Gallon Forecast'!U72</f>
        <v>757971.03779907443</v>
      </c>
      <c r="V72" s="4">
        <f>'D6 Gallon Forecast'!V72</f>
        <v>810794.4604119173</v>
      </c>
      <c r="W72" s="4">
        <f>'D6 Gallon Forecast'!W72</f>
        <v>842835.67262404284</v>
      </c>
      <c r="X72" s="4">
        <f>'D6 Gallon Forecast'!X72</f>
        <v>955702.77059969655</v>
      </c>
      <c r="Y72" s="4">
        <f>'D6 Gallon Forecast'!Y72</f>
        <v>980676.01830076741</v>
      </c>
      <c r="Z72" s="4">
        <f>'D6 Gallon Forecast'!Z72</f>
        <v>1027754.9591789964</v>
      </c>
    </row>
    <row r="73" spans="1:26">
      <c r="A73" s="2" t="s">
        <v>51</v>
      </c>
      <c r="B73" s="3">
        <f>'Monthly D6 RIN Data'!$B12</f>
        <v>8711313</v>
      </c>
      <c r="C73" s="3">
        <f>'Monthly D6 RIN Data'!$B24</f>
        <v>218066</v>
      </c>
      <c r="D73" s="3">
        <f>'Monthly D6 RIN Data'!$B36</f>
        <v>0</v>
      </c>
      <c r="E73" s="3">
        <f>'Monthly D6 RIN Data'!$B48</f>
        <v>102850</v>
      </c>
      <c r="F73" s="3">
        <f>'Monthly D6 RIN Data'!$B60</f>
        <v>0</v>
      </c>
      <c r="G73" s="3">
        <f>'Monthly D6 RIN Data'!$B72</f>
        <v>0</v>
      </c>
      <c r="H73" s="3">
        <f>'Monthly D6 RIN Data'!$B84</f>
        <v>80932</v>
      </c>
      <c r="I73" s="3">
        <f>'Monthly D6 RIN Data'!$B96</f>
        <v>0</v>
      </c>
      <c r="J73" s="3">
        <f>'Monthly D6 RIN Data'!$B108</f>
        <v>0</v>
      </c>
      <c r="K73" s="3">
        <f>'Monthly D6 RIN Data'!$B120</f>
        <v>0</v>
      </c>
      <c r="L73" s="3">
        <f>'Monthly D6 RIN Data'!$B132</f>
        <v>0</v>
      </c>
      <c r="M73" s="3">
        <f>'Monthly D6 RIN Data'!$B144</f>
        <v>0</v>
      </c>
      <c r="N73" s="3">
        <f>'Monthly D6 RIN Data'!$B156</f>
        <v>0</v>
      </c>
      <c r="O73" s="3">
        <f>'Monthly D6 RIN Data'!$B168</f>
        <v>1523619</v>
      </c>
      <c r="P73" s="3">
        <f>'Monthly D6 RIN Data'!$B180</f>
        <v>378922</v>
      </c>
      <c r="Q73" s="4">
        <f>'D6 Gallon Forecast'!Q73</f>
        <v>435296.4495163933</v>
      </c>
      <c r="R73" s="4">
        <f>'D6 Gallon Forecast'!R73</f>
        <v>526501.71400693676</v>
      </c>
      <c r="S73" s="4">
        <f>'D6 Gallon Forecast'!S73</f>
        <v>636043.49192100135</v>
      </c>
      <c r="T73" s="4">
        <f>'D6 Gallon Forecast'!T73</f>
        <v>664897.48532961356</v>
      </c>
      <c r="U73" s="4">
        <f>'D6 Gallon Forecast'!U73</f>
        <v>712850.35845453839</v>
      </c>
      <c r="V73" s="4">
        <f>'D6 Gallon Forecast'!V73</f>
        <v>762529.29586314992</v>
      </c>
      <c r="W73" s="4">
        <f>'D6 Gallon Forecast'!W73</f>
        <v>792663.15121078177</v>
      </c>
      <c r="X73" s="4">
        <f>'D6 Gallon Forecast'!X73</f>
        <v>898811.46986328962</v>
      </c>
      <c r="Y73" s="4">
        <f>'D6 Gallon Forecast'!Y73</f>
        <v>922298.10416421853</v>
      </c>
      <c r="Z73" s="4">
        <f>'D6 Gallon Forecast'!Z73</f>
        <v>966574.51870659296</v>
      </c>
    </row>
    <row r="74" spans="1:26">
      <c r="A74" s="2" t="s">
        <v>52</v>
      </c>
      <c r="B74" s="3">
        <f>'Monthly D6 RIN Data'!$B13</f>
        <v>226107</v>
      </c>
      <c r="C74" s="3">
        <f>'Monthly D6 RIN Data'!$B25</f>
        <v>2830068</v>
      </c>
      <c r="D74" s="3">
        <f>'Monthly D6 RIN Data'!$B37</f>
        <v>167716</v>
      </c>
      <c r="E74" s="3">
        <f>'Monthly D6 RIN Data'!$B49</f>
        <v>2030814</v>
      </c>
      <c r="F74" s="3">
        <f>'Monthly D6 RIN Data'!$B61</f>
        <v>12568</v>
      </c>
      <c r="G74" s="3">
        <f>'Monthly D6 RIN Data'!$B73</f>
        <v>17125</v>
      </c>
      <c r="H74" s="3">
        <f>'Monthly D6 RIN Data'!$B85</f>
        <v>31473</v>
      </c>
      <c r="I74" s="3">
        <f>'Monthly D6 RIN Data'!$B97</f>
        <v>0</v>
      </c>
      <c r="J74" s="3">
        <f>'Monthly D6 RIN Data'!$B109</f>
        <v>497892</v>
      </c>
      <c r="K74" s="3">
        <f>'Monthly D6 RIN Data'!$B121</f>
        <v>0</v>
      </c>
      <c r="L74" s="3">
        <f>'Monthly D6 RIN Data'!$B133</f>
        <v>0</v>
      </c>
      <c r="M74" s="3">
        <f>'Monthly D6 RIN Data'!$B145</f>
        <v>0</v>
      </c>
      <c r="N74" s="3">
        <f>'Monthly D6 RIN Data'!$B157</f>
        <v>0</v>
      </c>
      <c r="O74" s="3">
        <f>'Monthly D6 RIN Data'!$B169</f>
        <v>1048749</v>
      </c>
      <c r="P74" s="3">
        <f>'Monthly D6 RIN Data'!$B181</f>
        <v>214363</v>
      </c>
      <c r="Q74" s="4">
        <f>'D6 Gallon Forecast'!Q74</f>
        <v>423972.79617185832</v>
      </c>
      <c r="R74" s="4">
        <f>'D6 Gallon Forecast'!R74</f>
        <v>512805.4780249027</v>
      </c>
      <c r="S74" s="4">
        <f>'D6 Gallon Forecast'!S74</f>
        <v>619497.67349642504</v>
      </c>
      <c r="T74" s="4">
        <f>'D6 Gallon Forecast'!T74</f>
        <v>647601.06896350195</v>
      </c>
      <c r="U74" s="4">
        <f>'D6 Gallon Forecast'!U74</f>
        <v>694306.51240517444</v>
      </c>
      <c r="V74" s="4">
        <f>'D6 Gallon Forecast'!V74</f>
        <v>742693.11888307205</v>
      </c>
      <c r="W74" s="4">
        <f>'D6 Gallon Forecast'!W74</f>
        <v>772043.0823972876</v>
      </c>
      <c r="X74" s="4">
        <f>'D6 Gallon Forecast'!X74</f>
        <v>875430.0948988687</v>
      </c>
      <c r="Y74" s="4">
        <f>'D6 Gallon Forecast'!Y74</f>
        <v>898305.75590711599</v>
      </c>
      <c r="Z74" s="4">
        <f>'D6 Gallon Forecast'!Z74</f>
        <v>941430.37890565011</v>
      </c>
    </row>
    <row r="75" spans="1:26">
      <c r="A75" s="2" t="s">
        <v>53</v>
      </c>
      <c r="B75" s="3">
        <f>'Monthly D6 RIN Data'!$B14</f>
        <v>656485</v>
      </c>
      <c r="C75" s="3">
        <f>'Monthly D6 RIN Data'!$B26</f>
        <v>759558</v>
      </c>
      <c r="D75" s="3">
        <f>'Monthly D6 RIN Data'!$B38</f>
        <v>68013</v>
      </c>
      <c r="E75" s="3">
        <f>'Monthly D6 RIN Data'!$B50</f>
        <v>2353574</v>
      </c>
      <c r="F75" s="3">
        <f>'Monthly D6 RIN Data'!$B62</f>
        <v>17670</v>
      </c>
      <c r="G75" s="3">
        <f>'Monthly D6 RIN Data'!$B74</f>
        <v>0</v>
      </c>
      <c r="H75" s="3">
        <f>'Monthly D6 RIN Data'!$B86</f>
        <v>6255</v>
      </c>
      <c r="I75" s="3">
        <f>'Monthly D6 RIN Data'!$B98</f>
        <v>0</v>
      </c>
      <c r="J75" s="3">
        <f>'Monthly D6 RIN Data'!$B110</f>
        <v>0</v>
      </c>
      <c r="K75" s="3">
        <f>'Monthly D6 RIN Data'!$B122</f>
        <v>0</v>
      </c>
      <c r="L75" s="3">
        <f>'Monthly D6 RIN Data'!$B134</f>
        <v>0</v>
      </c>
      <c r="M75" s="3">
        <f>'Monthly D6 RIN Data'!$B146</f>
        <v>0</v>
      </c>
      <c r="N75" s="3">
        <f>'Monthly D6 RIN Data'!$B158</f>
        <v>0</v>
      </c>
      <c r="O75" s="3">
        <f>'Monthly D6 RIN Data'!$B170</f>
        <v>1498490</v>
      </c>
      <c r="P75" s="3">
        <f>'Monthly D6 RIN Data'!$B182</f>
        <v>173721</v>
      </c>
      <c r="Q75" s="4">
        <f>'D6 Gallon Forecast'!Q75</f>
        <v>401019.65896625945</v>
      </c>
      <c r="R75" s="4">
        <f>'D6 Gallon Forecast'!R75</f>
        <v>485043.09656277444</v>
      </c>
      <c r="S75" s="4">
        <f>'D6 Gallon Forecast'!S75</f>
        <v>585959.16530273226</v>
      </c>
      <c r="T75" s="4">
        <f>'D6 Gallon Forecast'!T75</f>
        <v>612541.09265222377</v>
      </c>
      <c r="U75" s="4">
        <f>'D6 Gallon Forecast'!U75</f>
        <v>656717.98600472847</v>
      </c>
      <c r="V75" s="4">
        <f>'D6 Gallon Forecast'!V75</f>
        <v>702485.02720054064</v>
      </c>
      <c r="W75" s="4">
        <f>'D6 Gallon Forecast'!W75</f>
        <v>730246.03560819302</v>
      </c>
      <c r="X75" s="4">
        <f>'D6 Gallon Forecast'!X75</f>
        <v>828035.85813755752</v>
      </c>
      <c r="Y75" s="4">
        <f>'D6 Gallon Forecast'!Y75</f>
        <v>849673.07132431259</v>
      </c>
      <c r="Z75" s="4">
        <f>'D6 Gallon Forecast'!Z75</f>
        <v>890463.00351824169</v>
      </c>
    </row>
    <row r="76" spans="1:26">
      <c r="A76" s="2" t="s">
        <v>54</v>
      </c>
      <c r="B76" s="3">
        <f>'Monthly D6 RIN Data'!$B15</f>
        <v>145953</v>
      </c>
      <c r="C76" s="3">
        <f>'Monthly D6 RIN Data'!$B27</f>
        <v>0</v>
      </c>
      <c r="D76" s="3">
        <f>'Monthly D6 RIN Data'!$B39</f>
        <v>108027</v>
      </c>
      <c r="E76" s="3">
        <f>'Monthly D6 RIN Data'!$B51</f>
        <v>3875621</v>
      </c>
      <c r="F76" s="3">
        <f>'Monthly D6 RIN Data'!$B63</f>
        <v>2864</v>
      </c>
      <c r="G76" s="3">
        <f>'Monthly D6 RIN Data'!$B75</f>
        <v>0</v>
      </c>
      <c r="H76" s="3">
        <f>'Monthly D6 RIN Data'!$B87</f>
        <v>0</v>
      </c>
      <c r="I76" s="3">
        <f>'Monthly D6 RIN Data'!$B99</f>
        <v>0</v>
      </c>
      <c r="J76" s="3">
        <f>'Monthly D6 RIN Data'!$B111</f>
        <v>0</v>
      </c>
      <c r="K76" s="3">
        <f>'Monthly D6 RIN Data'!$B123</f>
        <v>0</v>
      </c>
      <c r="L76" s="3">
        <f>'Monthly D6 RIN Data'!$B135</f>
        <v>0</v>
      </c>
      <c r="M76" s="3">
        <f>'Monthly D6 RIN Data'!$B147</f>
        <v>0</v>
      </c>
      <c r="N76" s="3">
        <f>'Monthly D6 RIN Data'!$B159</f>
        <v>0</v>
      </c>
      <c r="O76" s="3">
        <f>'Monthly D6 RIN Data'!$B171</f>
        <v>195565</v>
      </c>
      <c r="P76" s="3">
        <f>'Monthly D6 RIN Data'!$B183</f>
        <v>301667</v>
      </c>
      <c r="Q76" s="4">
        <f>'D6 Gallon Forecast'!Q76</f>
        <v>1433471.9011014192</v>
      </c>
      <c r="R76" s="4">
        <f>'D6 Gallon Forecast'!R76</f>
        <v>544576.0413299324</v>
      </c>
      <c r="S76" s="4">
        <f>'D6 Gallon Forecast'!S76</f>
        <v>657878.28933723643</v>
      </c>
      <c r="T76" s="4">
        <f>'D6 Gallon Forecast'!T76</f>
        <v>687722.81422479544</v>
      </c>
      <c r="U76" s="4">
        <f>'D6 Gallon Forecast'!U76</f>
        <v>737321.86608357634</v>
      </c>
      <c r="V76" s="4">
        <f>'D6 Gallon Forecast'!V76</f>
        <v>788706.23645070381</v>
      </c>
      <c r="W76" s="4">
        <f>'D6 Gallon Forecast'!W76</f>
        <v>819874.55977928825</v>
      </c>
      <c r="X76" s="4">
        <f>'D6 Gallon Forecast'!X76</f>
        <v>929666.85413989052</v>
      </c>
      <c r="Y76" s="4">
        <f>'D6 Gallon Forecast'!Y76</f>
        <v>953959.76333941333</v>
      </c>
      <c r="Z76" s="4">
        <f>'D6 Gallon Forecast'!Z76</f>
        <v>999756.14711994678</v>
      </c>
    </row>
    <row r="77" spans="1:26" ht="13.5" thickBot="1">
      <c r="A77" s="2" t="s">
        <v>29</v>
      </c>
      <c r="B77" s="3">
        <f>SUM(B65:B76)</f>
        <v>18779478</v>
      </c>
      <c r="C77" s="3">
        <f t="shared" ref="C77:Z77" si="46">SUM(C65:C76)</f>
        <v>6258577</v>
      </c>
      <c r="D77" s="3">
        <f t="shared" si="46"/>
        <v>1118519</v>
      </c>
      <c r="E77" s="3">
        <f t="shared" si="46"/>
        <v>9011227</v>
      </c>
      <c r="F77" s="3">
        <f t="shared" si="46"/>
        <v>1955228</v>
      </c>
      <c r="G77" s="3">
        <f t="shared" si="46"/>
        <v>66648</v>
      </c>
      <c r="H77" s="3">
        <f t="shared" si="46"/>
        <v>531767</v>
      </c>
      <c r="I77" s="3">
        <f t="shared" si="46"/>
        <v>0</v>
      </c>
      <c r="J77" s="3">
        <f t="shared" si="46"/>
        <v>497892</v>
      </c>
      <c r="K77" s="3">
        <f t="shared" si="46"/>
        <v>16767</v>
      </c>
      <c r="L77" s="3">
        <f t="shared" si="46"/>
        <v>0</v>
      </c>
      <c r="M77" s="3">
        <f t="shared" si="46"/>
        <v>0</v>
      </c>
      <c r="N77" s="3">
        <f t="shared" si="46"/>
        <v>0</v>
      </c>
      <c r="O77" s="3">
        <f t="shared" si="46"/>
        <v>4347727</v>
      </c>
      <c r="P77" s="3">
        <f t="shared" si="46"/>
        <v>13409878</v>
      </c>
      <c r="Q77" s="4">
        <f t="shared" si="46"/>
        <v>5089700.7978156004</v>
      </c>
      <c r="R77" s="4">
        <f t="shared" si="46"/>
        <v>6094063.0835431591</v>
      </c>
      <c r="S77" s="4">
        <f t="shared" si="46"/>
        <v>7361968.7467771238</v>
      </c>
      <c r="T77" s="4">
        <f t="shared" si="46"/>
        <v>7695943.0746212015</v>
      </c>
      <c r="U77" s="4">
        <f t="shared" si="46"/>
        <v>8250979.8885309529</v>
      </c>
      <c r="V77" s="4">
        <f t="shared" si="46"/>
        <v>8825995.2596822083</v>
      </c>
      <c r="W77" s="4">
        <f t="shared" si="46"/>
        <v>9174783.5172574017</v>
      </c>
      <c r="X77" s="4">
        <f t="shared" si="46"/>
        <v>10403411.141576782</v>
      </c>
      <c r="Y77" s="4">
        <f t="shared" si="46"/>
        <v>10675260.268070001</v>
      </c>
      <c r="Z77" s="4">
        <f t="shared" si="46"/>
        <v>11187743.430339031</v>
      </c>
    </row>
    <row r="78" spans="1:26">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row>
    <row r="79" spans="1:26" ht="16.5" thickBot="1">
      <c r="A79" s="109" t="s">
        <v>495</v>
      </c>
    </row>
    <row r="80" spans="1:26" ht="13.5" thickBot="1">
      <c r="A80" s="110"/>
      <c r="B80" s="111">
        <v>2010</v>
      </c>
      <c r="C80" s="111">
        <v>2011</v>
      </c>
      <c r="D80" s="111">
        <v>2012</v>
      </c>
      <c r="E80" s="111">
        <v>2013</v>
      </c>
      <c r="F80" s="111">
        <v>2014</v>
      </c>
      <c r="G80" s="111">
        <v>2015</v>
      </c>
      <c r="H80" s="111">
        <v>2016</v>
      </c>
      <c r="I80" s="111">
        <v>2017</v>
      </c>
      <c r="J80" s="111">
        <v>2018</v>
      </c>
      <c r="K80" s="111">
        <v>2019</v>
      </c>
      <c r="L80" s="111">
        <v>2020</v>
      </c>
      <c r="M80" s="111">
        <v>2021</v>
      </c>
      <c r="N80" s="111">
        <v>2022</v>
      </c>
      <c r="O80" s="111">
        <v>2023</v>
      </c>
      <c r="P80" s="111">
        <v>2024</v>
      </c>
      <c r="Q80" s="111">
        <v>2025</v>
      </c>
      <c r="R80" s="111">
        <v>2026</v>
      </c>
      <c r="S80" s="111">
        <v>2027</v>
      </c>
      <c r="T80" s="111">
        <v>2028</v>
      </c>
      <c r="U80" s="111">
        <v>2029</v>
      </c>
      <c r="V80" s="111">
        <v>2030</v>
      </c>
      <c r="W80" s="111">
        <v>2031</v>
      </c>
      <c r="X80" s="111">
        <v>2032</v>
      </c>
      <c r="Y80" s="111">
        <v>2033</v>
      </c>
      <c r="Z80" s="111">
        <v>2034</v>
      </c>
    </row>
    <row r="81" spans="1:26">
      <c r="A81" s="2" t="s">
        <v>43</v>
      </c>
      <c r="B81" s="3">
        <f>'Monthly D6 RIN Data'!$C4</f>
        <v>0</v>
      </c>
      <c r="C81" s="3">
        <f>'Monthly D6 RIN Data'!$C16</f>
        <v>0</v>
      </c>
      <c r="D81" s="3">
        <f>'Monthly D6 RIN Data'!$C28</f>
        <v>0</v>
      </c>
      <c r="E81" s="3">
        <f>'Monthly D6 RIN Data'!$C40</f>
        <v>0</v>
      </c>
      <c r="F81" s="3">
        <f>'Monthly D6 RIN Data'!$C52</f>
        <v>0</v>
      </c>
      <c r="G81" s="3">
        <f>'Monthly D6 RIN Data'!$C64</f>
        <v>0</v>
      </c>
      <c r="H81" s="3">
        <f>'Monthly D6 RIN Data'!$C76</f>
        <v>0</v>
      </c>
      <c r="I81" s="3">
        <f>'Monthly D6 RIN Data'!$C88</f>
        <v>0</v>
      </c>
      <c r="J81" s="3">
        <f>'Monthly D6 RIN Data'!$C100</f>
        <v>0</v>
      </c>
      <c r="K81" s="3">
        <f>'Monthly D6 RIN Data'!$C112</f>
        <v>0</v>
      </c>
      <c r="L81" s="3">
        <f>'Monthly D6 RIN Data'!$C124</f>
        <v>0</v>
      </c>
      <c r="M81" s="3">
        <f>'Monthly D6 RIN Data'!$C136</f>
        <v>0</v>
      </c>
      <c r="N81" s="3">
        <f>'Monthly D6 RIN Data'!$C148</f>
        <v>0</v>
      </c>
      <c r="O81" s="3">
        <f>'Monthly D6 RIN Data'!$C160</f>
        <v>0</v>
      </c>
      <c r="P81" s="3">
        <f>'Monthly D6 RIN Data'!$C172</f>
        <v>0</v>
      </c>
      <c r="Q81" s="3">
        <f>'Monthly D6 RIN Data'!$C184</f>
        <v>0</v>
      </c>
      <c r="R81" s="4">
        <f>'D6 Gallon Forecast'!R81</f>
        <v>0</v>
      </c>
      <c r="S81" s="4">
        <f>'D6 Gallon Forecast'!S81</f>
        <v>0</v>
      </c>
      <c r="T81" s="4">
        <f>'D6 Gallon Forecast'!T81</f>
        <v>0</v>
      </c>
      <c r="U81" s="4">
        <f>'D6 Gallon Forecast'!U81</f>
        <v>0</v>
      </c>
      <c r="V81" s="4">
        <f>'D6 Gallon Forecast'!V81</f>
        <v>0</v>
      </c>
      <c r="W81" s="4">
        <f>'D6 Gallon Forecast'!W81</f>
        <v>0</v>
      </c>
      <c r="X81" s="4">
        <f>'D6 Gallon Forecast'!X81</f>
        <v>0</v>
      </c>
      <c r="Y81" s="4">
        <f>'D6 Gallon Forecast'!Y81</f>
        <v>0</v>
      </c>
      <c r="Z81" s="4">
        <f>'D6 Gallon Forecast'!Z81</f>
        <v>0</v>
      </c>
    </row>
    <row r="82" spans="1:26">
      <c r="A82" s="2" t="s">
        <v>44</v>
      </c>
      <c r="B82" s="3">
        <f>'Monthly D6 RIN Data'!$C5</f>
        <v>0</v>
      </c>
      <c r="C82" s="3">
        <f>'Monthly D6 RIN Data'!$C17</f>
        <v>0</v>
      </c>
      <c r="D82" s="3">
        <f>'Monthly D6 RIN Data'!$C29</f>
        <v>0</v>
      </c>
      <c r="E82" s="3">
        <f>'Monthly D6 RIN Data'!$C41</f>
        <v>0</v>
      </c>
      <c r="F82" s="3">
        <f>'Monthly D6 RIN Data'!$C53</f>
        <v>168947</v>
      </c>
      <c r="G82" s="3">
        <f>'Monthly D6 RIN Data'!$C65</f>
        <v>0</v>
      </c>
      <c r="H82" s="3">
        <f>'Monthly D6 RIN Data'!$C77</f>
        <v>0</v>
      </c>
      <c r="I82" s="3">
        <f>'Monthly D6 RIN Data'!$C89</f>
        <v>0</v>
      </c>
      <c r="J82" s="3">
        <f>'Monthly D6 RIN Data'!$C101</f>
        <v>0</v>
      </c>
      <c r="K82" s="3">
        <f>'Monthly D6 RIN Data'!$C113</f>
        <v>0</v>
      </c>
      <c r="L82" s="3">
        <f>'Monthly D6 RIN Data'!$C125</f>
        <v>0</v>
      </c>
      <c r="M82" s="3">
        <f>'Monthly D6 RIN Data'!$C137</f>
        <v>0</v>
      </c>
      <c r="N82" s="3">
        <f>'Monthly D6 RIN Data'!$C149</f>
        <v>0</v>
      </c>
      <c r="O82" s="3">
        <f>'Monthly D6 RIN Data'!$C161</f>
        <v>0</v>
      </c>
      <c r="P82" s="3">
        <f>'Monthly D6 RIN Data'!$C173</f>
        <v>2293790</v>
      </c>
      <c r="Q82" s="3">
        <f>'Monthly D6 RIN Data'!$C185</f>
        <v>0</v>
      </c>
      <c r="R82" s="4">
        <f>'D6 Gallon Forecast'!R82</f>
        <v>0</v>
      </c>
      <c r="S82" s="4">
        <f>'D6 Gallon Forecast'!S82</f>
        <v>0</v>
      </c>
      <c r="T82" s="4">
        <f>'D6 Gallon Forecast'!T82</f>
        <v>0</v>
      </c>
      <c r="U82" s="4">
        <f>'D6 Gallon Forecast'!U82</f>
        <v>0</v>
      </c>
      <c r="V82" s="4">
        <f>'D6 Gallon Forecast'!V82</f>
        <v>0</v>
      </c>
      <c r="W82" s="4">
        <f>'D6 Gallon Forecast'!W82</f>
        <v>0</v>
      </c>
      <c r="X82" s="4">
        <f>'D6 Gallon Forecast'!X82</f>
        <v>0</v>
      </c>
      <c r="Y82" s="4">
        <f>'D6 Gallon Forecast'!Y82</f>
        <v>0</v>
      </c>
      <c r="Z82" s="4">
        <f>'D6 Gallon Forecast'!Z82</f>
        <v>0</v>
      </c>
    </row>
    <row r="83" spans="1:26">
      <c r="A83" s="2" t="s">
        <v>45</v>
      </c>
      <c r="B83" s="3">
        <f>'Monthly D6 RIN Data'!$C6</f>
        <v>0</v>
      </c>
      <c r="C83" s="3">
        <f>'Monthly D6 RIN Data'!$C18</f>
        <v>0</v>
      </c>
      <c r="D83" s="3">
        <f>'Monthly D6 RIN Data'!$C30</f>
        <v>0</v>
      </c>
      <c r="E83" s="3">
        <f>'Monthly D6 RIN Data'!$C42</f>
        <v>0</v>
      </c>
      <c r="F83" s="3">
        <f>'Monthly D6 RIN Data'!$C54</f>
        <v>0</v>
      </c>
      <c r="G83" s="3">
        <f>'Monthly D6 RIN Data'!$C66</f>
        <v>7350035</v>
      </c>
      <c r="H83" s="3">
        <f>'Monthly D6 RIN Data'!$C78</f>
        <v>1699841</v>
      </c>
      <c r="I83" s="3">
        <f>'Monthly D6 RIN Data'!$C90</f>
        <v>0</v>
      </c>
      <c r="J83" s="3">
        <f>'Monthly D6 RIN Data'!$C102</f>
        <v>0</v>
      </c>
      <c r="K83" s="3">
        <f>'Monthly D6 RIN Data'!$C114</f>
        <v>0</v>
      </c>
      <c r="L83" s="3">
        <f>'Monthly D6 RIN Data'!$C126</f>
        <v>0</v>
      </c>
      <c r="M83" s="3">
        <f>'Monthly D6 RIN Data'!$C138</f>
        <v>0</v>
      </c>
      <c r="N83" s="3">
        <f>'Monthly D6 RIN Data'!$C150</f>
        <v>0</v>
      </c>
      <c r="O83" s="3">
        <f>'Monthly D6 RIN Data'!$C162</f>
        <v>0</v>
      </c>
      <c r="P83" s="3">
        <f>'Monthly D6 RIN Data'!$C174</f>
        <v>0</v>
      </c>
      <c r="Q83" s="3">
        <f>'Monthly D6 RIN Data'!$C186</f>
        <v>0</v>
      </c>
      <c r="R83" s="4">
        <f>'D6 Gallon Forecast'!R83</f>
        <v>0</v>
      </c>
      <c r="S83" s="4">
        <f>'D6 Gallon Forecast'!S83</f>
        <v>0</v>
      </c>
      <c r="T83" s="4">
        <f>'D6 Gallon Forecast'!T83</f>
        <v>0</v>
      </c>
      <c r="U83" s="4">
        <f>'D6 Gallon Forecast'!U83</f>
        <v>0</v>
      </c>
      <c r="V83" s="4">
        <f>'D6 Gallon Forecast'!V83</f>
        <v>0</v>
      </c>
      <c r="W83" s="4">
        <f>'D6 Gallon Forecast'!W83</f>
        <v>0</v>
      </c>
      <c r="X83" s="4">
        <f>'D6 Gallon Forecast'!X83</f>
        <v>0</v>
      </c>
      <c r="Y83" s="4">
        <f>'D6 Gallon Forecast'!Y83</f>
        <v>0</v>
      </c>
      <c r="Z83" s="4">
        <f>'D6 Gallon Forecast'!Z83</f>
        <v>0</v>
      </c>
    </row>
    <row r="84" spans="1:26">
      <c r="A84" s="2" t="s">
        <v>46</v>
      </c>
      <c r="B84" s="3">
        <f>'Monthly D6 RIN Data'!$C7</f>
        <v>0</v>
      </c>
      <c r="C84" s="3">
        <f>'Monthly D6 RIN Data'!$C19</f>
        <v>0</v>
      </c>
      <c r="D84" s="3">
        <f>'Monthly D6 RIN Data'!$C31</f>
        <v>0</v>
      </c>
      <c r="E84" s="3">
        <f>'Monthly D6 RIN Data'!$C43</f>
        <v>0</v>
      </c>
      <c r="F84" s="3">
        <f>'Monthly D6 RIN Data'!$C55</f>
        <v>0</v>
      </c>
      <c r="G84" s="3">
        <f>'Monthly D6 RIN Data'!$C67</f>
        <v>11595452</v>
      </c>
      <c r="H84" s="3">
        <f>'Monthly D6 RIN Data'!$C79</f>
        <v>7313014</v>
      </c>
      <c r="I84" s="3">
        <f>'Monthly D6 RIN Data'!$C91</f>
        <v>0</v>
      </c>
      <c r="J84" s="3">
        <f>'Monthly D6 RIN Data'!$C103</f>
        <v>0</v>
      </c>
      <c r="K84" s="3">
        <f>'Monthly D6 RIN Data'!$C115</f>
        <v>0</v>
      </c>
      <c r="L84" s="3">
        <f>'Monthly D6 RIN Data'!$C127</f>
        <v>0</v>
      </c>
      <c r="M84" s="3">
        <f>'Monthly D6 RIN Data'!$C139</f>
        <v>0</v>
      </c>
      <c r="N84" s="3">
        <f>'Monthly D6 RIN Data'!$C151</f>
        <v>0</v>
      </c>
      <c r="O84" s="3">
        <f>'Monthly D6 RIN Data'!$C163</f>
        <v>0</v>
      </c>
      <c r="P84" s="3">
        <f>'Monthly D6 RIN Data'!$C175</f>
        <v>3640301</v>
      </c>
      <c r="Q84" s="4">
        <f>'D6 Gallon Forecast'!Q84</f>
        <v>0</v>
      </c>
      <c r="R84" s="4">
        <f>'D6 Gallon Forecast'!R84</f>
        <v>0</v>
      </c>
      <c r="S84" s="4">
        <f>'D6 Gallon Forecast'!S84</f>
        <v>0</v>
      </c>
      <c r="T84" s="4">
        <f>'D6 Gallon Forecast'!T84</f>
        <v>0</v>
      </c>
      <c r="U84" s="4">
        <f>'D6 Gallon Forecast'!U84</f>
        <v>0</v>
      </c>
      <c r="V84" s="4">
        <f>'D6 Gallon Forecast'!V84</f>
        <v>0</v>
      </c>
      <c r="W84" s="4">
        <f>'D6 Gallon Forecast'!W84</f>
        <v>0</v>
      </c>
      <c r="X84" s="4">
        <f>'D6 Gallon Forecast'!X84</f>
        <v>0</v>
      </c>
      <c r="Y84" s="4">
        <f>'D6 Gallon Forecast'!Y84</f>
        <v>0</v>
      </c>
      <c r="Z84" s="4">
        <f>'D6 Gallon Forecast'!Z84</f>
        <v>0</v>
      </c>
    </row>
    <row r="85" spans="1:26">
      <c r="A85" s="2" t="s">
        <v>47</v>
      </c>
      <c r="B85" s="3">
        <f>'Monthly D6 RIN Data'!$C8</f>
        <v>0</v>
      </c>
      <c r="C85" s="3">
        <f>'Monthly D6 RIN Data'!$C20</f>
        <v>0</v>
      </c>
      <c r="D85" s="3">
        <f>'Monthly D6 RIN Data'!$C32</f>
        <v>0</v>
      </c>
      <c r="E85" s="3">
        <f>'Monthly D6 RIN Data'!$C44</f>
        <v>0</v>
      </c>
      <c r="F85" s="3">
        <f>'Monthly D6 RIN Data'!$C56</f>
        <v>4404191</v>
      </c>
      <c r="G85" s="3">
        <f>'Monthly D6 RIN Data'!$C68</f>
        <v>6665912</v>
      </c>
      <c r="H85" s="3">
        <f>'Monthly D6 RIN Data'!$C80</f>
        <v>20764534</v>
      </c>
      <c r="I85" s="3">
        <f>'Monthly D6 RIN Data'!$C92</f>
        <v>0</v>
      </c>
      <c r="J85" s="3">
        <f>'Monthly D6 RIN Data'!$C104</f>
        <v>0</v>
      </c>
      <c r="K85" s="3">
        <f>'Monthly D6 RIN Data'!$C116</f>
        <v>0</v>
      </c>
      <c r="L85" s="3">
        <f>'Monthly D6 RIN Data'!$C128</f>
        <v>0</v>
      </c>
      <c r="M85" s="3">
        <f>'Monthly D6 RIN Data'!$C140</f>
        <v>0</v>
      </c>
      <c r="N85" s="3">
        <f>'Monthly D6 RIN Data'!$C152</f>
        <v>0</v>
      </c>
      <c r="O85" s="3">
        <f>'Monthly D6 RIN Data'!$C164</f>
        <v>0</v>
      </c>
      <c r="P85" s="3">
        <f>'Monthly D6 RIN Data'!$C176</f>
        <v>0</v>
      </c>
      <c r="Q85" s="4">
        <f>'D6 Gallon Forecast'!Q85</f>
        <v>0</v>
      </c>
      <c r="R85" s="4">
        <f>'D6 Gallon Forecast'!R85</f>
        <v>0</v>
      </c>
      <c r="S85" s="4">
        <f>'D6 Gallon Forecast'!S85</f>
        <v>0</v>
      </c>
      <c r="T85" s="4">
        <f>'D6 Gallon Forecast'!T85</f>
        <v>0</v>
      </c>
      <c r="U85" s="4">
        <f>'D6 Gallon Forecast'!U85</f>
        <v>0</v>
      </c>
      <c r="V85" s="4">
        <f>'D6 Gallon Forecast'!V85</f>
        <v>0</v>
      </c>
      <c r="W85" s="4">
        <f>'D6 Gallon Forecast'!W85</f>
        <v>0</v>
      </c>
      <c r="X85" s="4">
        <f>'D6 Gallon Forecast'!X85</f>
        <v>0</v>
      </c>
      <c r="Y85" s="4">
        <f>'D6 Gallon Forecast'!Y85</f>
        <v>0</v>
      </c>
      <c r="Z85" s="4">
        <f>'D6 Gallon Forecast'!Z85</f>
        <v>0</v>
      </c>
    </row>
    <row r="86" spans="1:26">
      <c r="A86" s="2" t="s">
        <v>48</v>
      </c>
      <c r="B86" s="3">
        <f>'Monthly D6 RIN Data'!$C9</f>
        <v>0</v>
      </c>
      <c r="C86" s="3">
        <f>'Monthly D6 RIN Data'!$C21</f>
        <v>0</v>
      </c>
      <c r="D86" s="3">
        <f>'Monthly D6 RIN Data'!$C33</f>
        <v>0</v>
      </c>
      <c r="E86" s="3">
        <f>'Monthly D6 RIN Data'!$C45</f>
        <v>0</v>
      </c>
      <c r="F86" s="3">
        <f>'Monthly D6 RIN Data'!$C57</f>
        <v>6801342</v>
      </c>
      <c r="G86" s="3">
        <f>'Monthly D6 RIN Data'!$C69</f>
        <v>13317213</v>
      </c>
      <c r="H86" s="3">
        <f>'Monthly D6 RIN Data'!$C81</f>
        <v>25212499</v>
      </c>
      <c r="I86" s="3">
        <f>'Monthly D6 RIN Data'!$C93</f>
        <v>0</v>
      </c>
      <c r="J86" s="3">
        <f>'Monthly D6 RIN Data'!$C105</f>
        <v>0</v>
      </c>
      <c r="K86" s="3">
        <f>'Monthly D6 RIN Data'!$C117</f>
        <v>0</v>
      </c>
      <c r="L86" s="3">
        <f>'Monthly D6 RIN Data'!$C129</f>
        <v>0</v>
      </c>
      <c r="M86" s="3">
        <f>'Monthly D6 RIN Data'!$C141</f>
        <v>0</v>
      </c>
      <c r="N86" s="3">
        <f>'Monthly D6 RIN Data'!$C153</f>
        <v>0</v>
      </c>
      <c r="O86" s="3">
        <f>'Monthly D6 RIN Data'!$C165</f>
        <v>0</v>
      </c>
      <c r="P86" s="3">
        <f>'Monthly D6 RIN Data'!$C177</f>
        <v>3414532</v>
      </c>
      <c r="Q86" s="4">
        <f>'D6 Gallon Forecast'!Q86</f>
        <v>0</v>
      </c>
      <c r="R86" s="4">
        <f>'D6 Gallon Forecast'!R86</f>
        <v>0</v>
      </c>
      <c r="S86" s="4">
        <f>'D6 Gallon Forecast'!S86</f>
        <v>0</v>
      </c>
      <c r="T86" s="4">
        <f>'D6 Gallon Forecast'!T86</f>
        <v>0</v>
      </c>
      <c r="U86" s="4">
        <f>'D6 Gallon Forecast'!U86</f>
        <v>0</v>
      </c>
      <c r="V86" s="4">
        <f>'D6 Gallon Forecast'!V86</f>
        <v>0</v>
      </c>
      <c r="W86" s="4">
        <f>'D6 Gallon Forecast'!W86</f>
        <v>0</v>
      </c>
      <c r="X86" s="4">
        <f>'D6 Gallon Forecast'!X86</f>
        <v>0</v>
      </c>
      <c r="Y86" s="4">
        <f>'D6 Gallon Forecast'!Y86</f>
        <v>0</v>
      </c>
      <c r="Z86" s="4">
        <f>'D6 Gallon Forecast'!Z86</f>
        <v>0</v>
      </c>
    </row>
    <row r="87" spans="1:26">
      <c r="A87" s="2" t="s">
        <v>49</v>
      </c>
      <c r="B87" s="3">
        <f>'Monthly D6 RIN Data'!$C10</f>
        <v>0</v>
      </c>
      <c r="C87" s="3">
        <f>'Monthly D6 RIN Data'!$C22</f>
        <v>0</v>
      </c>
      <c r="D87" s="3">
        <f>'Monthly D6 RIN Data'!$C34</f>
        <v>0</v>
      </c>
      <c r="E87" s="3">
        <f>'Monthly D6 RIN Data'!$C46</f>
        <v>0</v>
      </c>
      <c r="F87" s="3">
        <f>'Monthly D6 RIN Data'!$C58</f>
        <v>11799856</v>
      </c>
      <c r="G87" s="3">
        <f>'Monthly D6 RIN Data'!$C70</f>
        <v>20025067</v>
      </c>
      <c r="H87" s="3">
        <f>'Monthly D6 RIN Data'!$C82</f>
        <v>21751351</v>
      </c>
      <c r="I87" s="3">
        <f>'Monthly D6 RIN Data'!$C94</f>
        <v>0</v>
      </c>
      <c r="J87" s="3">
        <f>'Monthly D6 RIN Data'!$C106</f>
        <v>0</v>
      </c>
      <c r="K87" s="3">
        <f>'Monthly D6 RIN Data'!$C118</f>
        <v>0</v>
      </c>
      <c r="L87" s="3">
        <f>'Monthly D6 RIN Data'!$C130</f>
        <v>0</v>
      </c>
      <c r="M87" s="3">
        <f>'Monthly D6 RIN Data'!$C142</f>
        <v>0</v>
      </c>
      <c r="N87" s="3">
        <f>'Monthly D6 RIN Data'!$C154</f>
        <v>0</v>
      </c>
      <c r="O87" s="3">
        <f>'Monthly D6 RIN Data'!$C166</f>
        <v>0</v>
      </c>
      <c r="P87" s="3">
        <f>'Monthly D6 RIN Data'!$C178</f>
        <v>0</v>
      </c>
      <c r="Q87" s="4">
        <f>'D6 Gallon Forecast'!Q87</f>
        <v>0</v>
      </c>
      <c r="R87" s="4">
        <f>'D6 Gallon Forecast'!R87</f>
        <v>0</v>
      </c>
      <c r="S87" s="4">
        <f>'D6 Gallon Forecast'!S87</f>
        <v>0</v>
      </c>
      <c r="T87" s="4">
        <f>'D6 Gallon Forecast'!T87</f>
        <v>0</v>
      </c>
      <c r="U87" s="4">
        <f>'D6 Gallon Forecast'!U87</f>
        <v>0</v>
      </c>
      <c r="V87" s="4">
        <f>'D6 Gallon Forecast'!V87</f>
        <v>0</v>
      </c>
      <c r="W87" s="4">
        <f>'D6 Gallon Forecast'!W87</f>
        <v>0</v>
      </c>
      <c r="X87" s="4">
        <f>'D6 Gallon Forecast'!X87</f>
        <v>0</v>
      </c>
      <c r="Y87" s="4">
        <f>'D6 Gallon Forecast'!Y87</f>
        <v>0</v>
      </c>
      <c r="Z87" s="4">
        <f>'D6 Gallon Forecast'!Z87</f>
        <v>0</v>
      </c>
    </row>
    <row r="88" spans="1:26">
      <c r="A88" s="2" t="s">
        <v>50</v>
      </c>
      <c r="B88" s="3">
        <f>'Monthly D6 RIN Data'!$C11</f>
        <v>0</v>
      </c>
      <c r="C88" s="3">
        <f>'Monthly D6 RIN Data'!$C23</f>
        <v>0</v>
      </c>
      <c r="D88" s="3">
        <f>'Monthly D6 RIN Data'!$C35</f>
        <v>0</v>
      </c>
      <c r="E88" s="3">
        <f>'Monthly D6 RIN Data'!$C47</f>
        <v>4146178</v>
      </c>
      <c r="F88" s="3">
        <f>'Monthly D6 RIN Data'!$C59</f>
        <v>9021865</v>
      </c>
      <c r="G88" s="3">
        <f>'Monthly D6 RIN Data'!$C71</f>
        <v>25471314</v>
      </c>
      <c r="H88" s="3">
        <f>'Monthly D6 RIN Data'!$C83</f>
        <v>4590701</v>
      </c>
      <c r="I88" s="3">
        <f>'Monthly D6 RIN Data'!$C95</f>
        <v>0</v>
      </c>
      <c r="J88" s="3">
        <f>'Monthly D6 RIN Data'!$C107</f>
        <v>0</v>
      </c>
      <c r="K88" s="3">
        <f>'Monthly D6 RIN Data'!$C119</f>
        <v>0</v>
      </c>
      <c r="L88" s="3">
        <f>'Monthly D6 RIN Data'!$C131</f>
        <v>0</v>
      </c>
      <c r="M88" s="3">
        <f>'Monthly D6 RIN Data'!$C143</f>
        <v>0</v>
      </c>
      <c r="N88" s="3">
        <f>'Monthly D6 RIN Data'!$C155</f>
        <v>0</v>
      </c>
      <c r="O88" s="3">
        <f>'Monthly D6 RIN Data'!$C167</f>
        <v>0</v>
      </c>
      <c r="P88" s="3">
        <f>'Monthly D6 RIN Data'!$C179</f>
        <v>0</v>
      </c>
      <c r="Q88" s="4">
        <f>'D6 Gallon Forecast'!Q88</f>
        <v>0</v>
      </c>
      <c r="R88" s="4">
        <f>'D6 Gallon Forecast'!R88</f>
        <v>0</v>
      </c>
      <c r="S88" s="4">
        <f>'D6 Gallon Forecast'!S88</f>
        <v>0</v>
      </c>
      <c r="T88" s="4">
        <f>'D6 Gallon Forecast'!T88</f>
        <v>0</v>
      </c>
      <c r="U88" s="4">
        <f>'D6 Gallon Forecast'!U88</f>
        <v>0</v>
      </c>
      <c r="V88" s="4">
        <f>'D6 Gallon Forecast'!V88</f>
        <v>0</v>
      </c>
      <c r="W88" s="4">
        <f>'D6 Gallon Forecast'!W88</f>
        <v>0</v>
      </c>
      <c r="X88" s="4">
        <f>'D6 Gallon Forecast'!X88</f>
        <v>0</v>
      </c>
      <c r="Y88" s="4">
        <f>'D6 Gallon Forecast'!Y88</f>
        <v>0</v>
      </c>
      <c r="Z88" s="4">
        <f>'D6 Gallon Forecast'!Z88</f>
        <v>0</v>
      </c>
    </row>
    <row r="89" spans="1:26">
      <c r="A89" s="2" t="s">
        <v>51</v>
      </c>
      <c r="B89" s="3">
        <f>'Monthly D6 RIN Data'!$C12</f>
        <v>0</v>
      </c>
      <c r="C89" s="3">
        <f>'Monthly D6 RIN Data'!$C24</f>
        <v>0</v>
      </c>
      <c r="D89" s="3">
        <f>'Monthly D6 RIN Data'!$C36</f>
        <v>0</v>
      </c>
      <c r="E89" s="3">
        <f>'Monthly D6 RIN Data'!$C48</f>
        <v>14322763</v>
      </c>
      <c r="F89" s="3">
        <f>'Monthly D6 RIN Data'!$C60</f>
        <v>13940451</v>
      </c>
      <c r="G89" s="3">
        <f>'Monthly D6 RIN Data'!$C72</f>
        <v>4728220</v>
      </c>
      <c r="H89" s="3">
        <f>'Monthly D6 RIN Data'!$C84</f>
        <v>25366040</v>
      </c>
      <c r="I89" s="3">
        <f>'Monthly D6 RIN Data'!$C96</f>
        <v>0</v>
      </c>
      <c r="J89" s="3">
        <f>'Monthly D6 RIN Data'!$C108</f>
        <v>0</v>
      </c>
      <c r="K89" s="3">
        <f>'Monthly D6 RIN Data'!$C120</f>
        <v>0</v>
      </c>
      <c r="L89" s="3">
        <f>'Monthly D6 RIN Data'!$C132</f>
        <v>0</v>
      </c>
      <c r="M89" s="3">
        <f>'Monthly D6 RIN Data'!$C144</f>
        <v>0</v>
      </c>
      <c r="N89" s="3">
        <f>'Monthly D6 RIN Data'!$C156</f>
        <v>0</v>
      </c>
      <c r="O89" s="3">
        <f>'Monthly D6 RIN Data'!$C168</f>
        <v>3224990</v>
      </c>
      <c r="P89" s="3">
        <f>'Monthly D6 RIN Data'!$C180</f>
        <v>0</v>
      </c>
      <c r="Q89" s="4">
        <f>'D6 Gallon Forecast'!Q89</f>
        <v>0</v>
      </c>
      <c r="R89" s="4">
        <f>'D6 Gallon Forecast'!R89</f>
        <v>0</v>
      </c>
      <c r="S89" s="4">
        <f>'D6 Gallon Forecast'!S89</f>
        <v>0</v>
      </c>
      <c r="T89" s="4">
        <f>'D6 Gallon Forecast'!T89</f>
        <v>0</v>
      </c>
      <c r="U89" s="4">
        <f>'D6 Gallon Forecast'!U89</f>
        <v>0</v>
      </c>
      <c r="V89" s="4">
        <f>'D6 Gallon Forecast'!V89</f>
        <v>0</v>
      </c>
      <c r="W89" s="4">
        <f>'D6 Gallon Forecast'!W89</f>
        <v>0</v>
      </c>
      <c r="X89" s="4">
        <f>'D6 Gallon Forecast'!X89</f>
        <v>0</v>
      </c>
      <c r="Y89" s="4">
        <f>'D6 Gallon Forecast'!Y89</f>
        <v>0</v>
      </c>
      <c r="Z89" s="4">
        <f>'D6 Gallon Forecast'!Z89</f>
        <v>0</v>
      </c>
    </row>
    <row r="90" spans="1:26">
      <c r="A90" s="2" t="s">
        <v>52</v>
      </c>
      <c r="B90" s="3">
        <f>'Monthly D6 RIN Data'!$C13</f>
        <v>0</v>
      </c>
      <c r="C90" s="3">
        <f>'Monthly D6 RIN Data'!$C25</f>
        <v>0</v>
      </c>
      <c r="D90" s="3">
        <f>'Monthly D6 RIN Data'!$C37</f>
        <v>0</v>
      </c>
      <c r="E90" s="3">
        <f>'Monthly D6 RIN Data'!$C49</f>
        <v>6266107</v>
      </c>
      <c r="F90" s="3">
        <f>'Monthly D6 RIN Data'!$C61</f>
        <v>9938717</v>
      </c>
      <c r="G90" s="3">
        <f>'Monthly D6 RIN Data'!$C73</f>
        <v>10821952</v>
      </c>
      <c r="H90" s="3">
        <f>'Monthly D6 RIN Data'!$C85</f>
        <v>24534835</v>
      </c>
      <c r="I90" s="3">
        <f>'Monthly D6 RIN Data'!$C97</f>
        <v>0</v>
      </c>
      <c r="J90" s="3">
        <f>'Monthly D6 RIN Data'!$C109</f>
        <v>0</v>
      </c>
      <c r="K90" s="3">
        <f>'Monthly D6 RIN Data'!$C121</f>
        <v>0</v>
      </c>
      <c r="L90" s="3">
        <f>'Monthly D6 RIN Data'!$C133</f>
        <v>0</v>
      </c>
      <c r="M90" s="3">
        <f>'Monthly D6 RIN Data'!$C145</f>
        <v>0</v>
      </c>
      <c r="N90" s="3">
        <f>'Monthly D6 RIN Data'!$C157</f>
        <v>0</v>
      </c>
      <c r="O90" s="3">
        <f>'Monthly D6 RIN Data'!$C169</f>
        <v>0</v>
      </c>
      <c r="P90" s="3">
        <f>'Monthly D6 RIN Data'!$C181</f>
        <v>0</v>
      </c>
      <c r="Q90" s="4">
        <f>'D6 Gallon Forecast'!Q90</f>
        <v>0</v>
      </c>
      <c r="R90" s="4">
        <f>'D6 Gallon Forecast'!R90</f>
        <v>0</v>
      </c>
      <c r="S90" s="4">
        <f>'D6 Gallon Forecast'!S90</f>
        <v>0</v>
      </c>
      <c r="T90" s="4">
        <f>'D6 Gallon Forecast'!T90</f>
        <v>0</v>
      </c>
      <c r="U90" s="4">
        <f>'D6 Gallon Forecast'!U90</f>
        <v>0</v>
      </c>
      <c r="V90" s="4">
        <f>'D6 Gallon Forecast'!V90</f>
        <v>0</v>
      </c>
      <c r="W90" s="4">
        <f>'D6 Gallon Forecast'!W90</f>
        <v>0</v>
      </c>
      <c r="X90" s="4">
        <f>'D6 Gallon Forecast'!X90</f>
        <v>0</v>
      </c>
      <c r="Y90" s="4">
        <f>'D6 Gallon Forecast'!Y90</f>
        <v>0</v>
      </c>
      <c r="Z90" s="4">
        <f>'D6 Gallon Forecast'!Z90</f>
        <v>0</v>
      </c>
    </row>
    <row r="91" spans="1:26">
      <c r="A91" s="2" t="s">
        <v>53</v>
      </c>
      <c r="B91" s="3">
        <f>'Monthly D6 RIN Data'!$C14</f>
        <v>0</v>
      </c>
      <c r="C91" s="3">
        <f>'Monthly D6 RIN Data'!$C26</f>
        <v>0</v>
      </c>
      <c r="D91" s="3">
        <f>'Monthly D6 RIN Data'!$C38</f>
        <v>0</v>
      </c>
      <c r="E91" s="3">
        <f>'Monthly D6 RIN Data'!$C50</f>
        <v>2133826</v>
      </c>
      <c r="F91" s="3">
        <f>'Monthly D6 RIN Data'!$C62</f>
        <v>9077996</v>
      </c>
      <c r="G91" s="3">
        <f>'Monthly D6 RIN Data'!$C74</f>
        <v>5297460</v>
      </c>
      <c r="H91" s="3">
        <f>'Monthly D6 RIN Data'!$C86</f>
        <v>29921452</v>
      </c>
      <c r="I91" s="3">
        <f>'Monthly D6 RIN Data'!$C98</f>
        <v>0</v>
      </c>
      <c r="J91" s="3">
        <f>'Monthly D6 RIN Data'!$C110</f>
        <v>0</v>
      </c>
      <c r="K91" s="3">
        <f>'Monthly D6 RIN Data'!$C122</f>
        <v>0</v>
      </c>
      <c r="L91" s="3">
        <f>'Monthly D6 RIN Data'!$C134</f>
        <v>0</v>
      </c>
      <c r="M91" s="3">
        <f>'Monthly D6 RIN Data'!$C146</f>
        <v>0</v>
      </c>
      <c r="N91" s="3">
        <f>'Monthly D6 RIN Data'!$C158</f>
        <v>0</v>
      </c>
      <c r="O91" s="3">
        <f>'Monthly D6 RIN Data'!$C170</f>
        <v>0</v>
      </c>
      <c r="P91" s="3">
        <f>'Monthly D6 RIN Data'!$C182</f>
        <v>0</v>
      </c>
      <c r="Q91" s="4">
        <f>'D6 Gallon Forecast'!Q91</f>
        <v>0</v>
      </c>
      <c r="R91" s="4">
        <f>'D6 Gallon Forecast'!R91</f>
        <v>0</v>
      </c>
      <c r="S91" s="4">
        <f>'D6 Gallon Forecast'!S91</f>
        <v>0</v>
      </c>
      <c r="T91" s="4">
        <f>'D6 Gallon Forecast'!T91</f>
        <v>0</v>
      </c>
      <c r="U91" s="4">
        <f>'D6 Gallon Forecast'!U91</f>
        <v>0</v>
      </c>
      <c r="V91" s="4">
        <f>'D6 Gallon Forecast'!V91</f>
        <v>0</v>
      </c>
      <c r="W91" s="4">
        <f>'D6 Gallon Forecast'!W91</f>
        <v>0</v>
      </c>
      <c r="X91" s="4">
        <f>'D6 Gallon Forecast'!X91</f>
        <v>0</v>
      </c>
      <c r="Y91" s="4">
        <f>'D6 Gallon Forecast'!Y91</f>
        <v>0</v>
      </c>
      <c r="Z91" s="4">
        <f>'D6 Gallon Forecast'!Z91</f>
        <v>0</v>
      </c>
    </row>
    <row r="92" spans="1:26">
      <c r="A92" s="2" t="s">
        <v>54</v>
      </c>
      <c r="B92" s="3">
        <f>'Monthly D6 RIN Data'!$C15</f>
        <v>0</v>
      </c>
      <c r="C92" s="3">
        <f>'Monthly D6 RIN Data'!$C27</f>
        <v>0</v>
      </c>
      <c r="D92" s="3">
        <f>'Monthly D6 RIN Data'!$C39</f>
        <v>0</v>
      </c>
      <c r="E92" s="3">
        <f>'Monthly D6 RIN Data'!$C51</f>
        <v>19288261</v>
      </c>
      <c r="F92" s="3">
        <f>'Monthly D6 RIN Data'!$C63</f>
        <v>12668226</v>
      </c>
      <c r="G92" s="3">
        <f>'Monthly D6 RIN Data'!$C75</f>
        <v>6340389</v>
      </c>
      <c r="H92" s="3">
        <f>'Monthly D6 RIN Data'!$C87</f>
        <v>7637746</v>
      </c>
      <c r="I92" s="3">
        <f>'Monthly D6 RIN Data'!$C99</f>
        <v>0</v>
      </c>
      <c r="J92" s="3">
        <f>'Monthly D6 RIN Data'!$C111</f>
        <v>0</v>
      </c>
      <c r="K92" s="3">
        <f>'Monthly D6 RIN Data'!$C123</f>
        <v>0</v>
      </c>
      <c r="L92" s="3">
        <f>'Monthly D6 RIN Data'!$C135</f>
        <v>0</v>
      </c>
      <c r="M92" s="3">
        <f>'Monthly D6 RIN Data'!$C147</f>
        <v>0</v>
      </c>
      <c r="N92" s="3">
        <f>'Monthly D6 RIN Data'!$C159</f>
        <v>0</v>
      </c>
      <c r="O92" s="3">
        <f>'Monthly D6 RIN Data'!$C171</f>
        <v>6393533</v>
      </c>
      <c r="P92" s="3">
        <f>'Monthly D6 RIN Data'!$C183</f>
        <v>0</v>
      </c>
      <c r="Q92" s="4">
        <f>'D6 Gallon Forecast'!Q92</f>
        <v>0</v>
      </c>
      <c r="R92" s="4">
        <f>'D6 Gallon Forecast'!R92</f>
        <v>0</v>
      </c>
      <c r="S92" s="4">
        <f>'D6 Gallon Forecast'!S92</f>
        <v>0</v>
      </c>
      <c r="T92" s="4">
        <f>'D6 Gallon Forecast'!T92</f>
        <v>0</v>
      </c>
      <c r="U92" s="4">
        <f>'D6 Gallon Forecast'!U92</f>
        <v>0</v>
      </c>
      <c r="V92" s="4">
        <f>'D6 Gallon Forecast'!V92</f>
        <v>0</v>
      </c>
      <c r="W92" s="4">
        <f>'D6 Gallon Forecast'!W92</f>
        <v>0</v>
      </c>
      <c r="X92" s="4">
        <f>'D6 Gallon Forecast'!X92</f>
        <v>0</v>
      </c>
      <c r="Y92" s="4">
        <f>'D6 Gallon Forecast'!Y92</f>
        <v>0</v>
      </c>
      <c r="Z92" s="4">
        <f>'D6 Gallon Forecast'!Z92</f>
        <v>0</v>
      </c>
    </row>
    <row r="93" spans="1:26" ht="13.5" thickBot="1">
      <c r="A93" s="2" t="s">
        <v>29</v>
      </c>
      <c r="B93" s="3">
        <f>SUM(B81:B92)</f>
        <v>0</v>
      </c>
      <c r="C93" s="3">
        <f t="shared" ref="C93:O93" si="47">SUM(C81:C92)</f>
        <v>0</v>
      </c>
      <c r="D93" s="3">
        <f t="shared" si="47"/>
        <v>0</v>
      </c>
      <c r="E93" s="3">
        <f t="shared" si="47"/>
        <v>46157135</v>
      </c>
      <c r="F93" s="3">
        <f t="shared" si="47"/>
        <v>77821591</v>
      </c>
      <c r="G93" s="3">
        <f t="shared" si="47"/>
        <v>111613014</v>
      </c>
      <c r="H93" s="3">
        <f t="shared" si="47"/>
        <v>168792013</v>
      </c>
      <c r="I93" s="3">
        <f t="shared" si="47"/>
        <v>0</v>
      </c>
      <c r="J93" s="3">
        <f t="shared" si="47"/>
        <v>0</v>
      </c>
      <c r="K93" s="3">
        <f t="shared" si="47"/>
        <v>0</v>
      </c>
      <c r="L93" s="3">
        <f t="shared" si="47"/>
        <v>0</v>
      </c>
      <c r="M93" s="3">
        <f t="shared" si="47"/>
        <v>0</v>
      </c>
      <c r="N93" s="3">
        <f t="shared" si="47"/>
        <v>0</v>
      </c>
      <c r="O93" s="3">
        <f t="shared" si="47"/>
        <v>9618523</v>
      </c>
      <c r="P93" s="3">
        <f>SUM(P81:P92)</f>
        <v>9348623</v>
      </c>
      <c r="Q93" s="4">
        <f t="shared" ref="Q93:Z93" si="48">SUM(Q81:Q92)</f>
        <v>0</v>
      </c>
      <c r="R93" s="4">
        <f t="shared" si="48"/>
        <v>0</v>
      </c>
      <c r="S93" s="4">
        <f t="shared" si="48"/>
        <v>0</v>
      </c>
      <c r="T93" s="4">
        <f t="shared" si="48"/>
        <v>0</v>
      </c>
      <c r="U93" s="4">
        <f t="shared" si="48"/>
        <v>0</v>
      </c>
      <c r="V93" s="4">
        <f t="shared" si="48"/>
        <v>0</v>
      </c>
      <c r="W93" s="4">
        <f t="shared" si="48"/>
        <v>0</v>
      </c>
      <c r="X93" s="4">
        <f t="shared" si="48"/>
        <v>0</v>
      </c>
      <c r="Y93" s="4">
        <f t="shared" si="48"/>
        <v>0</v>
      </c>
      <c r="Z93" s="4">
        <f t="shared" si="48"/>
        <v>0</v>
      </c>
    </row>
    <row r="94" spans="1:26">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row>
    <row r="95" spans="1:26" ht="16.5" thickBot="1">
      <c r="A95" s="109" t="s">
        <v>496</v>
      </c>
    </row>
    <row r="96" spans="1:26" ht="13.5" thickBot="1">
      <c r="A96" s="110"/>
      <c r="B96" s="111">
        <v>2010</v>
      </c>
      <c r="C96" s="111">
        <v>2011</v>
      </c>
      <c r="D96" s="111">
        <v>2012</v>
      </c>
      <c r="E96" s="111">
        <v>2013</v>
      </c>
      <c r="F96" s="111">
        <v>2014</v>
      </c>
      <c r="G96" s="111">
        <v>2015</v>
      </c>
      <c r="H96" s="111">
        <v>2016</v>
      </c>
      <c r="I96" s="111">
        <v>2017</v>
      </c>
      <c r="J96" s="111">
        <v>2018</v>
      </c>
      <c r="K96" s="111">
        <v>2019</v>
      </c>
      <c r="L96" s="111">
        <v>2020</v>
      </c>
      <c r="M96" s="111">
        <v>2021</v>
      </c>
      <c r="N96" s="111">
        <v>2022</v>
      </c>
      <c r="O96" s="111">
        <v>2023</v>
      </c>
      <c r="P96" s="111">
        <v>2024</v>
      </c>
      <c r="Q96" s="111">
        <v>2025</v>
      </c>
      <c r="R96" s="111">
        <v>2026</v>
      </c>
      <c r="S96" s="111">
        <v>2027</v>
      </c>
      <c r="T96" s="111">
        <v>2028</v>
      </c>
      <c r="U96" s="111">
        <v>2029</v>
      </c>
      <c r="V96" s="111">
        <v>2030</v>
      </c>
      <c r="W96" s="111">
        <v>2031</v>
      </c>
      <c r="X96" s="111">
        <v>2032</v>
      </c>
      <c r="Y96" s="111">
        <v>2033</v>
      </c>
      <c r="Z96" s="111">
        <v>2034</v>
      </c>
    </row>
    <row r="97" spans="1:26">
      <c r="A97" s="2" t="s">
        <v>43</v>
      </c>
      <c r="B97" s="3">
        <f t="shared" ref="B97:Z107" si="49">B113+B129</f>
        <v>0</v>
      </c>
      <c r="C97" s="3">
        <f t="shared" si="49"/>
        <v>1160381578</v>
      </c>
      <c r="D97" s="3">
        <f t="shared" si="49"/>
        <v>1178481937</v>
      </c>
      <c r="E97" s="3">
        <f t="shared" si="49"/>
        <v>1028160966</v>
      </c>
      <c r="F97" s="3">
        <f t="shared" si="49"/>
        <v>1150184079</v>
      </c>
      <c r="G97" s="3">
        <f t="shared" si="49"/>
        <v>1192941746</v>
      </c>
      <c r="H97" s="3">
        <f t="shared" si="49"/>
        <v>1216522562</v>
      </c>
      <c r="I97" s="3">
        <f t="shared" si="49"/>
        <v>1239384722</v>
      </c>
      <c r="J97" s="3">
        <f t="shared" si="49"/>
        <v>1256507716</v>
      </c>
      <c r="K97" s="3">
        <f t="shared" si="49"/>
        <v>1190821829</v>
      </c>
      <c r="L97" s="3">
        <f t="shared" si="49"/>
        <v>1239340245</v>
      </c>
      <c r="M97" s="3">
        <f t="shared" si="49"/>
        <v>1073590706</v>
      </c>
      <c r="N97" s="3">
        <f t="shared" si="49"/>
        <v>1207197696</v>
      </c>
      <c r="O97" s="3">
        <f t="shared" si="49"/>
        <v>1201063005</v>
      </c>
      <c r="P97" s="3">
        <f t="shared" si="49"/>
        <v>1204612026</v>
      </c>
      <c r="Q97" s="3">
        <f t="shared" si="49"/>
        <v>1245242512</v>
      </c>
      <c r="R97" s="4">
        <f t="shared" si="49"/>
        <v>1196836768.5156574</v>
      </c>
      <c r="S97" s="4">
        <f t="shared" si="49"/>
        <v>1215274495.9013321</v>
      </c>
      <c r="T97" s="4">
        <f t="shared" si="49"/>
        <v>1224435949.2220848</v>
      </c>
      <c r="U97" s="4">
        <f t="shared" si="49"/>
        <v>1235602622.7956097</v>
      </c>
      <c r="V97" s="4">
        <f t="shared" si="49"/>
        <v>1248557975.728066</v>
      </c>
      <c r="W97" s="4">
        <f t="shared" si="49"/>
        <v>1254732462.9361711</v>
      </c>
      <c r="X97" s="4">
        <f t="shared" si="49"/>
        <v>1266566071.298497</v>
      </c>
      <c r="Y97" s="4">
        <f t="shared" si="49"/>
        <v>1277075721.4455936</v>
      </c>
      <c r="Z97" s="4">
        <f t="shared" si="49"/>
        <v>1287852454.2262032</v>
      </c>
    </row>
    <row r="98" spans="1:26">
      <c r="A98" s="2" t="s">
        <v>44</v>
      </c>
      <c r="B98" s="3">
        <f t="shared" si="49"/>
        <v>0</v>
      </c>
      <c r="C98" s="3">
        <f t="shared" si="49"/>
        <v>1054084139</v>
      </c>
      <c r="D98" s="3">
        <f t="shared" si="49"/>
        <v>1079500947</v>
      </c>
      <c r="E98" s="3">
        <f t="shared" si="49"/>
        <v>939513797</v>
      </c>
      <c r="F98" s="3">
        <f t="shared" si="49"/>
        <v>1020555812</v>
      </c>
      <c r="G98" s="3">
        <f t="shared" si="49"/>
        <v>1077787346</v>
      </c>
      <c r="H98" s="3">
        <f t="shared" si="49"/>
        <v>1163405570</v>
      </c>
      <c r="I98" s="3">
        <f t="shared" si="49"/>
        <v>1131268869</v>
      </c>
      <c r="J98" s="3">
        <f t="shared" si="49"/>
        <v>1099648686</v>
      </c>
      <c r="K98" s="3">
        <f t="shared" si="49"/>
        <v>1133468458</v>
      </c>
      <c r="L98" s="3">
        <f t="shared" si="49"/>
        <v>1142746764</v>
      </c>
      <c r="M98" s="3">
        <f t="shared" si="49"/>
        <v>890016909</v>
      </c>
      <c r="N98" s="3">
        <f t="shared" si="49"/>
        <v>1063361337</v>
      </c>
      <c r="O98" s="3">
        <f t="shared" si="49"/>
        <v>1119168301</v>
      </c>
      <c r="P98" s="3">
        <f>P114+P130</f>
        <v>1207434740</v>
      </c>
      <c r="Q98" s="3">
        <f t="shared" si="49"/>
        <v>1120204072</v>
      </c>
      <c r="R98" s="4">
        <f t="shared" si="49"/>
        <v>1090188096.3128266</v>
      </c>
      <c r="S98" s="4">
        <f t="shared" si="49"/>
        <v>1124627608.3783422</v>
      </c>
      <c r="T98" s="4">
        <f t="shared" si="49"/>
        <v>1143354183.9691093</v>
      </c>
      <c r="U98" s="4">
        <f t="shared" si="49"/>
        <v>1154270163.2717202</v>
      </c>
      <c r="V98" s="4">
        <f t="shared" si="49"/>
        <v>1149615824.6390324</v>
      </c>
      <c r="W98" s="4">
        <f t="shared" si="49"/>
        <v>1160705602.7279551</v>
      </c>
      <c r="X98" s="4">
        <f t="shared" si="49"/>
        <v>1175129241.6451843</v>
      </c>
      <c r="Y98" s="4">
        <f t="shared" si="49"/>
        <v>1185477491.6734495</v>
      </c>
      <c r="Z98" s="4">
        <f t="shared" si="49"/>
        <v>1194099872.5949302</v>
      </c>
    </row>
    <row r="99" spans="1:26">
      <c r="A99" s="2" t="s">
        <v>45</v>
      </c>
      <c r="B99" s="3">
        <f t="shared" si="49"/>
        <v>0</v>
      </c>
      <c r="C99" s="3">
        <f t="shared" si="49"/>
        <v>1225662401</v>
      </c>
      <c r="D99" s="3">
        <f t="shared" si="49"/>
        <v>1136870708</v>
      </c>
      <c r="E99" s="3">
        <f t="shared" si="49"/>
        <v>1034306785</v>
      </c>
      <c r="F99" s="3">
        <f t="shared" si="49"/>
        <v>1147001684</v>
      </c>
      <c r="G99" s="3">
        <f t="shared" si="49"/>
        <v>1201220459</v>
      </c>
      <c r="H99" s="3">
        <f t="shared" si="49"/>
        <v>1222713421</v>
      </c>
      <c r="I99" s="3">
        <f t="shared" si="49"/>
        <v>1263870044</v>
      </c>
      <c r="J99" s="3">
        <f t="shared" si="49"/>
        <v>1222040857</v>
      </c>
      <c r="K99" s="3">
        <f t="shared" si="49"/>
        <v>1185044611</v>
      </c>
      <c r="L99" s="3">
        <f t="shared" si="49"/>
        <v>1113029280</v>
      </c>
      <c r="M99" s="3">
        <f t="shared" si="49"/>
        <v>1176899333</v>
      </c>
      <c r="N99" s="3">
        <f t="shared" si="49"/>
        <v>1261045936</v>
      </c>
      <c r="O99" s="3">
        <f t="shared" si="49"/>
        <v>1206945599</v>
      </c>
      <c r="P99" s="3">
        <f t="shared" si="49"/>
        <v>1186551368</v>
      </c>
      <c r="Q99" s="3">
        <f t="shared" si="49"/>
        <v>1214311837</v>
      </c>
      <c r="R99" s="4">
        <f t="shared" si="49"/>
        <v>1219855827.1182361</v>
      </c>
      <c r="S99" s="4">
        <f t="shared" si="49"/>
        <v>1222057108.54022</v>
      </c>
      <c r="T99" s="4">
        <f t="shared" si="49"/>
        <v>1221755647.068857</v>
      </c>
      <c r="U99" s="4">
        <f t="shared" si="49"/>
        <v>1231170451.7641246</v>
      </c>
      <c r="V99" s="4">
        <f t="shared" si="49"/>
        <v>1246882222.5408912</v>
      </c>
      <c r="W99" s="4">
        <f t="shared" si="49"/>
        <v>1259042415.9370408</v>
      </c>
      <c r="X99" s="4">
        <f t="shared" si="49"/>
        <v>1267040761.5507071</v>
      </c>
      <c r="Y99" s="4">
        <f t="shared" si="49"/>
        <v>1276257409.0037775</v>
      </c>
      <c r="Z99" s="4">
        <f t="shared" si="49"/>
        <v>1287415860.6006234</v>
      </c>
    </row>
    <row r="100" spans="1:26">
      <c r="A100" s="2" t="s">
        <v>46</v>
      </c>
      <c r="B100" s="3">
        <f t="shared" si="49"/>
        <v>0</v>
      </c>
      <c r="C100" s="3">
        <f t="shared" si="49"/>
        <v>1069645214</v>
      </c>
      <c r="D100" s="3">
        <f t="shared" si="49"/>
        <v>1096194768</v>
      </c>
      <c r="E100" s="3">
        <f t="shared" si="49"/>
        <v>1085559590</v>
      </c>
      <c r="F100" s="3">
        <f t="shared" si="49"/>
        <v>1175647065</v>
      </c>
      <c r="G100" s="3">
        <f t="shared" si="49"/>
        <v>1156299914</v>
      </c>
      <c r="H100" s="3">
        <f t="shared" si="49"/>
        <v>1156578952</v>
      </c>
      <c r="I100" s="3">
        <f t="shared" si="49"/>
        <v>1162535498</v>
      </c>
      <c r="J100" s="3">
        <f t="shared" si="49"/>
        <v>1222109942</v>
      </c>
      <c r="K100" s="3">
        <f t="shared" si="49"/>
        <v>1238179577</v>
      </c>
      <c r="L100" s="3">
        <f t="shared" si="49"/>
        <v>628626453</v>
      </c>
      <c r="M100" s="3">
        <f t="shared" si="49"/>
        <v>1122382208</v>
      </c>
      <c r="N100" s="3">
        <f t="shared" si="49"/>
        <v>1127688984</v>
      </c>
      <c r="O100" s="3">
        <f t="shared" si="49"/>
        <v>1139674777</v>
      </c>
      <c r="P100" s="3">
        <f t="shared" si="49"/>
        <v>1186009923</v>
      </c>
      <c r="Q100" s="4">
        <f t="shared" si="49"/>
        <v>1070502636.447546</v>
      </c>
      <c r="R100" s="4">
        <f t="shared" si="49"/>
        <v>1139242682.7524493</v>
      </c>
      <c r="S100" s="4">
        <f t="shared" si="49"/>
        <v>1136632289.7137988</v>
      </c>
      <c r="T100" s="4">
        <f t="shared" si="49"/>
        <v>1145488319.6703687</v>
      </c>
      <c r="U100" s="4">
        <f t="shared" si="49"/>
        <v>1152685134.9081488</v>
      </c>
      <c r="V100" s="4">
        <f t="shared" si="49"/>
        <v>1152071954.2827418</v>
      </c>
      <c r="W100" s="4">
        <f t="shared" si="49"/>
        <v>1173838545.5659957</v>
      </c>
      <c r="X100" s="4">
        <f t="shared" si="49"/>
        <v>1180898109.5524707</v>
      </c>
      <c r="Y100" s="4">
        <f t="shared" si="49"/>
        <v>1189968030.5994816</v>
      </c>
      <c r="Z100" s="4">
        <f t="shared" si="49"/>
        <v>1199073382.6882899</v>
      </c>
    </row>
    <row r="101" spans="1:26">
      <c r="A101" s="2" t="s">
        <v>47</v>
      </c>
      <c r="B101" s="3">
        <f t="shared" si="49"/>
        <v>0</v>
      </c>
      <c r="C101" s="3">
        <f t="shared" si="49"/>
        <v>1139975440</v>
      </c>
      <c r="D101" s="3">
        <f t="shared" si="49"/>
        <v>1131920310</v>
      </c>
      <c r="E101" s="3">
        <f t="shared" si="49"/>
        <v>1140894814</v>
      </c>
      <c r="F101" s="3">
        <f t="shared" si="49"/>
        <v>1199854519</v>
      </c>
      <c r="G101" s="3">
        <f t="shared" si="49"/>
        <v>1200091402</v>
      </c>
      <c r="H101" s="3">
        <f t="shared" si="49"/>
        <v>1235902992</v>
      </c>
      <c r="I101" s="3">
        <f t="shared" si="49"/>
        <v>1255176298</v>
      </c>
      <c r="J101" s="3">
        <f t="shared" si="49"/>
        <v>1285335604</v>
      </c>
      <c r="K101" s="3">
        <f t="shared" si="49"/>
        <v>1277901260</v>
      </c>
      <c r="L101" s="3">
        <f t="shared" si="49"/>
        <v>836424531</v>
      </c>
      <c r="M101" s="3">
        <f t="shared" si="49"/>
        <v>1250267187</v>
      </c>
      <c r="N101" s="3">
        <f t="shared" si="49"/>
        <v>1222880699</v>
      </c>
      <c r="O101" s="3">
        <f t="shared" si="49"/>
        <v>1255590416</v>
      </c>
      <c r="P101" s="3">
        <f t="shared" si="49"/>
        <v>1264016743</v>
      </c>
      <c r="Q101" s="4">
        <f t="shared" si="49"/>
        <v>1199022148.5607343</v>
      </c>
      <c r="R101" s="4">
        <f t="shared" si="49"/>
        <v>1249305752.042592</v>
      </c>
      <c r="S101" s="4">
        <f t="shared" si="49"/>
        <v>1242538959.3519893</v>
      </c>
      <c r="T101" s="4">
        <f t="shared" si="49"/>
        <v>1254217236.9331212</v>
      </c>
      <c r="U101" s="4">
        <f t="shared" si="49"/>
        <v>1260526099.3341033</v>
      </c>
      <c r="V101" s="4">
        <f t="shared" si="49"/>
        <v>1266582410.8588154</v>
      </c>
      <c r="W101" s="4">
        <f t="shared" si="49"/>
        <v>1285980438.8356826</v>
      </c>
      <c r="X101" s="4">
        <f t="shared" si="49"/>
        <v>1293462995.5873249</v>
      </c>
      <c r="Y101" s="4">
        <f t="shared" si="49"/>
        <v>1303897409.1658907</v>
      </c>
      <c r="Z101" s="4">
        <f t="shared" si="49"/>
        <v>1314067619.6895351</v>
      </c>
    </row>
    <row r="102" spans="1:26">
      <c r="A102" s="2" t="s">
        <v>48</v>
      </c>
      <c r="B102" s="3">
        <f t="shared" si="49"/>
        <v>0</v>
      </c>
      <c r="C102" s="3">
        <f t="shared" si="49"/>
        <v>1164385720</v>
      </c>
      <c r="D102" s="3">
        <f t="shared" si="49"/>
        <v>1085594445</v>
      </c>
      <c r="E102" s="3">
        <f t="shared" si="49"/>
        <v>1103586859</v>
      </c>
      <c r="F102" s="3">
        <f t="shared" si="49"/>
        <v>1190780942</v>
      </c>
      <c r="G102" s="3">
        <f t="shared" si="49"/>
        <v>1238641597</v>
      </c>
      <c r="H102" s="3">
        <f t="shared" si="49"/>
        <v>1270123929</v>
      </c>
      <c r="I102" s="3">
        <f t="shared" si="49"/>
        <v>1242000159</v>
      </c>
      <c r="J102" s="3">
        <f t="shared" si="49"/>
        <v>1248367221</v>
      </c>
      <c r="K102" s="3">
        <f t="shared" si="49"/>
        <v>1234593091</v>
      </c>
      <c r="L102" s="3">
        <f t="shared" si="49"/>
        <v>1066287971</v>
      </c>
      <c r="M102" s="3">
        <f t="shared" si="49"/>
        <v>1254836510</v>
      </c>
      <c r="N102" s="3">
        <f t="shared" si="49"/>
        <v>1286404994</v>
      </c>
      <c r="O102" s="3">
        <f t="shared" si="49"/>
        <v>1274113142</v>
      </c>
      <c r="P102" s="3">
        <f t="shared" si="49"/>
        <v>1206365163</v>
      </c>
      <c r="Q102" s="4">
        <f t="shared" si="49"/>
        <v>1252259026.4747312</v>
      </c>
      <c r="R102" s="4">
        <f t="shared" si="49"/>
        <v>1265896475.8527396</v>
      </c>
      <c r="S102" s="4">
        <f t="shared" si="49"/>
        <v>1261456139.1257455</v>
      </c>
      <c r="T102" s="4">
        <f t="shared" si="49"/>
        <v>1264242439.4617896</v>
      </c>
      <c r="U102" s="4">
        <f t="shared" si="49"/>
        <v>1268878841.2948945</v>
      </c>
      <c r="V102" s="4">
        <f t="shared" si="49"/>
        <v>1288448873.8769522</v>
      </c>
      <c r="W102" s="4">
        <f t="shared" si="49"/>
        <v>1301510679.6763918</v>
      </c>
      <c r="X102" s="4">
        <f t="shared" si="49"/>
        <v>1308775476.7052565</v>
      </c>
      <c r="Y102" s="4">
        <f t="shared" si="49"/>
        <v>1318470873.2725656</v>
      </c>
      <c r="Z102" s="4">
        <f t="shared" si="49"/>
        <v>1329573250.3974943</v>
      </c>
    </row>
    <row r="103" spans="1:26">
      <c r="A103" s="2" t="s">
        <v>49</v>
      </c>
      <c r="B103" s="3">
        <f t="shared" si="49"/>
        <v>1115790545</v>
      </c>
      <c r="C103" s="3">
        <f t="shared" si="49"/>
        <v>1126250203</v>
      </c>
      <c r="D103" s="3">
        <f t="shared" si="49"/>
        <v>1057188151</v>
      </c>
      <c r="E103" s="3">
        <f t="shared" si="49"/>
        <v>1119553179</v>
      </c>
      <c r="F103" s="3">
        <f t="shared" si="49"/>
        <v>1238378540</v>
      </c>
      <c r="G103" s="3">
        <f t="shared" si="49"/>
        <v>1227213141</v>
      </c>
      <c r="H103" s="3">
        <f t="shared" si="49"/>
        <v>1229894322</v>
      </c>
      <c r="I103" s="3">
        <f t="shared" si="49"/>
        <v>1253091659</v>
      </c>
      <c r="J103" s="3">
        <f t="shared" si="49"/>
        <v>1349135136</v>
      </c>
      <c r="K103" s="3">
        <f t="shared" si="49"/>
        <v>1313747726</v>
      </c>
      <c r="L103" s="3">
        <f t="shared" si="49"/>
        <v>1170143254</v>
      </c>
      <c r="M103" s="3">
        <f t="shared" si="49"/>
        <v>1274182812</v>
      </c>
      <c r="N103" s="3">
        <f t="shared" si="49"/>
        <v>1205041765</v>
      </c>
      <c r="O103" s="3">
        <f t="shared" si="49"/>
        <v>1271123264</v>
      </c>
      <c r="P103" s="3">
        <f t="shared" si="49"/>
        <v>1325323123</v>
      </c>
      <c r="Q103" s="4">
        <f t="shared" si="49"/>
        <v>1284751994.9952171</v>
      </c>
      <c r="R103" s="4">
        <f t="shared" si="49"/>
        <v>1283455524.4706411</v>
      </c>
      <c r="S103" s="4">
        <f t="shared" si="49"/>
        <v>1278565228.6984572</v>
      </c>
      <c r="T103" s="4">
        <f t="shared" si="49"/>
        <v>1301219341.5020511</v>
      </c>
      <c r="U103" s="4">
        <f t="shared" si="49"/>
        <v>1314163887.9667263</v>
      </c>
      <c r="V103" s="4">
        <f t="shared" si="49"/>
        <v>1318943414.7479196</v>
      </c>
      <c r="W103" s="4">
        <f t="shared" si="49"/>
        <v>1331730342.5551836</v>
      </c>
      <c r="X103" s="4">
        <f t="shared" si="49"/>
        <v>1341589677.2330558</v>
      </c>
      <c r="Y103" s="4">
        <f t="shared" si="49"/>
        <v>1354504456.1466615</v>
      </c>
      <c r="Z103" s="4">
        <f t="shared" si="49"/>
        <v>1365413127.263674</v>
      </c>
    </row>
    <row r="104" spans="1:26">
      <c r="A104" s="2" t="s">
        <v>50</v>
      </c>
      <c r="B104" s="3">
        <f t="shared" si="49"/>
        <v>1111577683</v>
      </c>
      <c r="C104" s="3">
        <f t="shared" si="49"/>
        <v>1165619176</v>
      </c>
      <c r="D104" s="3">
        <f t="shared" si="49"/>
        <v>1095988419</v>
      </c>
      <c r="E104" s="3">
        <f t="shared" si="49"/>
        <v>1102723346</v>
      </c>
      <c r="F104" s="3">
        <f t="shared" si="49"/>
        <v>1180098156</v>
      </c>
      <c r="G104" s="3">
        <f t="shared" si="49"/>
        <v>1208297450</v>
      </c>
      <c r="H104" s="3">
        <f t="shared" si="49"/>
        <v>1303301421</v>
      </c>
      <c r="I104" s="3">
        <f t="shared" si="49"/>
        <v>1297687633</v>
      </c>
      <c r="J104" s="3">
        <f t="shared" si="49"/>
        <v>1341102964</v>
      </c>
      <c r="K104" s="3">
        <f t="shared" si="49"/>
        <v>1244988643</v>
      </c>
      <c r="L104" s="3">
        <f t="shared" si="49"/>
        <v>1125900563</v>
      </c>
      <c r="M104" s="3">
        <f t="shared" si="49"/>
        <v>1212273702</v>
      </c>
      <c r="N104" s="3">
        <f t="shared" si="49"/>
        <v>1266964833</v>
      </c>
      <c r="O104" s="3">
        <f t="shared" si="49"/>
        <v>1261213218</v>
      </c>
      <c r="P104" s="3">
        <f t="shared" si="49"/>
        <v>1317564159</v>
      </c>
      <c r="Q104" s="4">
        <f t="shared" si="49"/>
        <v>1271890230.9916544</v>
      </c>
      <c r="R104" s="4">
        <f t="shared" si="49"/>
        <v>1277175717.9856877</v>
      </c>
      <c r="S104" s="4">
        <f t="shared" si="49"/>
        <v>1283478959.5457692</v>
      </c>
      <c r="T104" s="4">
        <f t="shared" si="49"/>
        <v>1294777435.8422253</v>
      </c>
      <c r="U104" s="4">
        <f t="shared" si="49"/>
        <v>1308393275.1323225</v>
      </c>
      <c r="V104" s="4">
        <f t="shared" si="49"/>
        <v>1313547477.8717632</v>
      </c>
      <c r="W104" s="4">
        <f t="shared" si="49"/>
        <v>1327840897.5271471</v>
      </c>
      <c r="X104" s="4">
        <f t="shared" si="49"/>
        <v>1338190204.2427275</v>
      </c>
      <c r="Y104" s="4">
        <f t="shared" si="49"/>
        <v>1349400895.846595</v>
      </c>
      <c r="Z104" s="4">
        <f t="shared" si="49"/>
        <v>1360584026.4519899</v>
      </c>
    </row>
    <row r="105" spans="1:26">
      <c r="A105" s="2" t="s">
        <v>51</v>
      </c>
      <c r="B105" s="3">
        <f t="shared" si="49"/>
        <v>1102217871</v>
      </c>
      <c r="C105" s="3">
        <f t="shared" si="49"/>
        <v>1079322422</v>
      </c>
      <c r="D105" s="3">
        <f t="shared" si="49"/>
        <v>985889758</v>
      </c>
      <c r="E105" s="3">
        <f t="shared" si="49"/>
        <v>1068584497</v>
      </c>
      <c r="F105" s="3">
        <f t="shared" si="49"/>
        <v>1158509776</v>
      </c>
      <c r="G105" s="3">
        <f t="shared" si="49"/>
        <v>1180646960</v>
      </c>
      <c r="H105" s="3">
        <f t="shared" si="49"/>
        <v>1211551349</v>
      </c>
      <c r="I105" s="3">
        <f t="shared" si="49"/>
        <v>1210058206</v>
      </c>
      <c r="J105" s="3">
        <f t="shared" si="49"/>
        <v>1206984824</v>
      </c>
      <c r="K105" s="3">
        <f t="shared" si="49"/>
        <v>1187242588</v>
      </c>
      <c r="L105" s="3">
        <f t="shared" si="49"/>
        <v>1117200706</v>
      </c>
      <c r="M105" s="3">
        <f t="shared" si="49"/>
        <v>1150570851</v>
      </c>
      <c r="N105" s="3">
        <f t="shared" si="49"/>
        <v>1116063010</v>
      </c>
      <c r="O105" s="3">
        <f t="shared" si="49"/>
        <v>1174430096</v>
      </c>
      <c r="P105" s="3">
        <f t="shared" si="49"/>
        <v>1213454116</v>
      </c>
      <c r="Q105" s="4">
        <f t="shared" si="49"/>
        <v>1187466006.1656771</v>
      </c>
      <c r="R105" s="4">
        <f t="shared" si="49"/>
        <v>1178978577.6746538</v>
      </c>
      <c r="S105" s="4">
        <f t="shared" si="49"/>
        <v>1178479407.4076304</v>
      </c>
      <c r="T105" s="4">
        <f t="shared" si="49"/>
        <v>1198140057.5126052</v>
      </c>
      <c r="U105" s="4">
        <f t="shared" si="49"/>
        <v>1209246556.7127695</v>
      </c>
      <c r="V105" s="4">
        <f t="shared" si="49"/>
        <v>1214881024.4159877</v>
      </c>
      <c r="W105" s="4">
        <f t="shared" si="49"/>
        <v>1225824085.6140933</v>
      </c>
      <c r="X105" s="4">
        <f t="shared" si="49"/>
        <v>1235393336.8646145</v>
      </c>
      <c r="Y105" s="4">
        <f t="shared" si="49"/>
        <v>1247055841.7898729</v>
      </c>
      <c r="Z105" s="4">
        <f t="shared" si="49"/>
        <v>1257069946.5011759</v>
      </c>
    </row>
    <row r="106" spans="1:26">
      <c r="A106" s="2" t="s">
        <v>52</v>
      </c>
      <c r="B106" s="3">
        <f t="shared" si="49"/>
        <v>1111396244</v>
      </c>
      <c r="C106" s="3">
        <f t="shared" si="49"/>
        <v>1102068807</v>
      </c>
      <c r="D106" s="3">
        <f t="shared" si="49"/>
        <v>1056945842</v>
      </c>
      <c r="E106" s="3">
        <f t="shared" si="49"/>
        <v>1151767493</v>
      </c>
      <c r="F106" s="3">
        <f t="shared" si="49"/>
        <v>1161548853</v>
      </c>
      <c r="G106" s="3">
        <f t="shared" si="49"/>
        <v>1219661304</v>
      </c>
      <c r="H106" s="3">
        <f t="shared" si="49"/>
        <v>1235414517</v>
      </c>
      <c r="I106" s="3">
        <f t="shared" si="49"/>
        <v>1275792936</v>
      </c>
      <c r="J106" s="3">
        <f t="shared" si="49"/>
        <v>1269892374</v>
      </c>
      <c r="K106" s="3">
        <f t="shared" si="49"/>
        <v>1239085495</v>
      </c>
      <c r="L106" s="3">
        <f t="shared" si="49"/>
        <v>1139185708</v>
      </c>
      <c r="M106" s="3">
        <f t="shared" si="49"/>
        <v>1185009720</v>
      </c>
      <c r="N106" s="3">
        <f t="shared" si="49"/>
        <v>1215627402</v>
      </c>
      <c r="O106" s="3">
        <f t="shared" si="49"/>
        <v>1291808391</v>
      </c>
      <c r="P106" s="3">
        <f t="shared" si="49"/>
        <v>1267997350</v>
      </c>
      <c r="Q106" s="4">
        <f t="shared" si="49"/>
        <v>1254553579.8627393</v>
      </c>
      <c r="R106" s="4">
        <f t="shared" si="49"/>
        <v>1253987528.1774781</v>
      </c>
      <c r="S106" s="4">
        <f t="shared" si="49"/>
        <v>1261235593.0601766</v>
      </c>
      <c r="T106" s="4">
        <f t="shared" si="49"/>
        <v>1278270428.2189808</v>
      </c>
      <c r="U106" s="4">
        <f t="shared" si="49"/>
        <v>1282236448.6172466</v>
      </c>
      <c r="V106" s="4">
        <f t="shared" si="49"/>
        <v>1292028235.0523119</v>
      </c>
      <c r="W106" s="4">
        <f t="shared" si="49"/>
        <v>1305370169.0747237</v>
      </c>
      <c r="X106" s="4">
        <f t="shared" si="49"/>
        <v>1315867298.9887643</v>
      </c>
      <c r="Y106" s="4">
        <f t="shared" si="49"/>
        <v>1327061680.7389543</v>
      </c>
      <c r="Z106" s="4">
        <f t="shared" si="49"/>
        <v>1337049445.6018701</v>
      </c>
    </row>
    <row r="107" spans="1:26">
      <c r="A107" s="2" t="s">
        <v>53</v>
      </c>
      <c r="B107" s="3">
        <f t="shared" si="49"/>
        <v>1138441631</v>
      </c>
      <c r="C107" s="3">
        <f t="shared" si="49"/>
        <v>1139844670</v>
      </c>
      <c r="D107" s="3">
        <f t="shared" si="49"/>
        <v>1045333458</v>
      </c>
      <c r="E107" s="3">
        <f t="shared" si="49"/>
        <v>1124339471</v>
      </c>
      <c r="F107" s="3">
        <f t="shared" si="49"/>
        <v>1127104876</v>
      </c>
      <c r="G107" s="3">
        <f t="shared" si="49"/>
        <v>1198456877</v>
      </c>
      <c r="H107" s="3">
        <f t="shared" ref="B107:Z108" si="50">H123+H139</f>
        <v>1206721017</v>
      </c>
      <c r="I107" s="3">
        <f t="shared" si="50"/>
        <v>1273920259</v>
      </c>
      <c r="J107" s="3">
        <f t="shared" si="50"/>
        <v>1232770960</v>
      </c>
      <c r="K107" s="3">
        <f t="shared" si="50"/>
        <v>1195257322</v>
      </c>
      <c r="L107" s="3">
        <f t="shared" si="50"/>
        <v>1137323818</v>
      </c>
      <c r="M107" s="3">
        <f t="shared" si="50"/>
        <v>1241477854</v>
      </c>
      <c r="N107" s="3">
        <f t="shared" si="50"/>
        <v>1248672035</v>
      </c>
      <c r="O107" s="3">
        <f t="shared" si="50"/>
        <v>1229592618</v>
      </c>
      <c r="P107" s="3">
        <f t="shared" si="50"/>
        <v>1191584658</v>
      </c>
      <c r="Q107" s="4">
        <f t="shared" si="50"/>
        <v>1244835432.225755</v>
      </c>
      <c r="R107" s="4">
        <f t="shared" si="50"/>
        <v>1242788621.7421603</v>
      </c>
      <c r="S107" s="4">
        <f t="shared" si="50"/>
        <v>1236513147.9544299</v>
      </c>
      <c r="T107" s="4">
        <f t="shared" si="50"/>
        <v>1241066054.7004101</v>
      </c>
      <c r="U107" s="4">
        <f t="shared" si="50"/>
        <v>1249913559.6929469</v>
      </c>
      <c r="V107" s="4">
        <f t="shared" si="50"/>
        <v>1268526748.8430207</v>
      </c>
      <c r="W107" s="4">
        <f t="shared" si="50"/>
        <v>1278938250.2650585</v>
      </c>
      <c r="X107" s="4">
        <f t="shared" si="50"/>
        <v>1286313471.7964971</v>
      </c>
      <c r="Y107" s="4">
        <f t="shared" si="50"/>
        <v>1296517562.575424</v>
      </c>
      <c r="Z107" s="4">
        <f t="shared" si="50"/>
        <v>1307870869.0335579</v>
      </c>
    </row>
    <row r="108" spans="1:26">
      <c r="A108" s="2" t="s">
        <v>54</v>
      </c>
      <c r="B108" s="3">
        <f t="shared" si="50"/>
        <v>1197884397</v>
      </c>
      <c r="C108" s="3">
        <f t="shared" si="50"/>
        <v>1181817350</v>
      </c>
      <c r="D108" s="3">
        <f t="shared" si="50"/>
        <v>1036814339</v>
      </c>
      <c r="E108" s="3">
        <f t="shared" si="50"/>
        <v>1199980139</v>
      </c>
      <c r="F108" s="3">
        <f t="shared" si="50"/>
        <v>1272257093</v>
      </c>
      <c r="G108" s="3">
        <f t="shared" si="50"/>
        <v>1292060744</v>
      </c>
      <c r="H108" s="3">
        <f t="shared" si="50"/>
        <v>1272483243</v>
      </c>
      <c r="I108" s="3">
        <f t="shared" si="50"/>
        <v>1259433963</v>
      </c>
      <c r="J108" s="3">
        <f t="shared" si="50"/>
        <v>1233347066</v>
      </c>
      <c r="K108" s="3">
        <f t="shared" si="50"/>
        <v>1290063012</v>
      </c>
      <c r="L108" s="3">
        <f t="shared" si="50"/>
        <v>1140983324</v>
      </c>
      <c r="M108" s="3">
        <f t="shared" si="50"/>
        <v>1292096107</v>
      </c>
      <c r="N108" s="3">
        <f t="shared" si="50"/>
        <v>1194250067</v>
      </c>
      <c r="O108" s="3">
        <f t="shared" si="50"/>
        <v>1254018704</v>
      </c>
      <c r="P108" s="3">
        <f t="shared" si="50"/>
        <v>1296614429</v>
      </c>
      <c r="Q108" s="4">
        <f t="shared" si="50"/>
        <v>1249380720.8975599</v>
      </c>
      <c r="R108" s="4">
        <f t="shared" si="50"/>
        <v>1268392958.7701979</v>
      </c>
      <c r="S108" s="4">
        <f t="shared" si="50"/>
        <v>1256962830.7593122</v>
      </c>
      <c r="T108" s="4">
        <f t="shared" si="50"/>
        <v>1277425868.50015</v>
      </c>
      <c r="U108" s="4">
        <f t="shared" si="50"/>
        <v>1288886967.8199651</v>
      </c>
      <c r="V108" s="4">
        <f t="shared" si="50"/>
        <v>1294228862.7293191</v>
      </c>
      <c r="W108" s="4">
        <f t="shared" si="50"/>
        <v>1309090441.3928981</v>
      </c>
      <c r="X108" s="4">
        <f t="shared" si="50"/>
        <v>1317397147.6287506</v>
      </c>
      <c r="Y108" s="4">
        <f t="shared" si="50"/>
        <v>1329781072.9064684</v>
      </c>
      <c r="Z108" s="4">
        <f t="shared" si="50"/>
        <v>1340499315.30952</v>
      </c>
    </row>
    <row r="109" spans="1:26" ht="13.5" thickBot="1">
      <c r="A109" s="2" t="s">
        <v>29</v>
      </c>
      <c r="B109" s="3">
        <f t="shared" ref="B109:Z109" si="51">SUM(B97:B108)</f>
        <v>6777308371</v>
      </c>
      <c r="C109" s="3">
        <f t="shared" si="51"/>
        <v>13609057120</v>
      </c>
      <c r="D109" s="3">
        <f t="shared" si="51"/>
        <v>12986723082</v>
      </c>
      <c r="E109" s="3">
        <f t="shared" si="51"/>
        <v>13098970936</v>
      </c>
      <c r="F109" s="3">
        <f t="shared" si="51"/>
        <v>14021921395</v>
      </c>
      <c r="G109" s="3">
        <f t="shared" si="51"/>
        <v>14393318940</v>
      </c>
      <c r="H109" s="3">
        <f t="shared" si="51"/>
        <v>14724613295</v>
      </c>
      <c r="I109" s="3">
        <f t="shared" si="51"/>
        <v>14864220246</v>
      </c>
      <c r="J109" s="3">
        <f t="shared" si="51"/>
        <v>14967243350</v>
      </c>
      <c r="K109" s="3">
        <f t="shared" si="51"/>
        <v>14730393612</v>
      </c>
      <c r="L109" s="3">
        <f t="shared" si="51"/>
        <v>12857192617</v>
      </c>
      <c r="M109" s="3">
        <f t="shared" si="51"/>
        <v>14123603899</v>
      </c>
      <c r="N109" s="3">
        <f t="shared" si="51"/>
        <v>14415198758</v>
      </c>
      <c r="O109" s="3">
        <f t="shared" si="51"/>
        <v>14678741531</v>
      </c>
      <c r="P109" s="4">
        <f t="shared" si="51"/>
        <v>14867527798</v>
      </c>
      <c r="Q109" s="4">
        <f t="shared" si="51"/>
        <v>14594420197.621614</v>
      </c>
      <c r="R109" s="4">
        <f t="shared" si="51"/>
        <v>14666104531.415321</v>
      </c>
      <c r="S109" s="4">
        <f t="shared" si="51"/>
        <v>14697821768.437204</v>
      </c>
      <c r="T109" s="4">
        <f t="shared" si="51"/>
        <v>14844392962.601755</v>
      </c>
      <c r="U109" s="4">
        <f t="shared" si="51"/>
        <v>14955974009.310579</v>
      </c>
      <c r="V109" s="4">
        <f t="shared" si="51"/>
        <v>15054315025.586821</v>
      </c>
      <c r="W109" s="4">
        <f t="shared" si="51"/>
        <v>15214604332.108343</v>
      </c>
      <c r="X109" s="4">
        <f t="shared" si="51"/>
        <v>15326623793.093849</v>
      </c>
      <c r="Y109" s="4">
        <f t="shared" si="51"/>
        <v>15455468445.164738</v>
      </c>
      <c r="Z109" s="4">
        <f t="shared" si="51"/>
        <v>15580569170.358866</v>
      </c>
    </row>
    <row r="110" spans="1:26">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row>
    <row r="111" spans="1:26" ht="16.5" thickBot="1">
      <c r="A111" s="109" t="s">
        <v>497</v>
      </c>
    </row>
    <row r="112" spans="1:26" ht="13.5" thickBot="1">
      <c r="A112" s="110"/>
      <c r="B112" s="111">
        <v>2010</v>
      </c>
      <c r="C112" s="111">
        <v>2011</v>
      </c>
      <c r="D112" s="111">
        <v>2012</v>
      </c>
      <c r="E112" s="111">
        <v>2013</v>
      </c>
      <c r="F112" s="111">
        <v>2014</v>
      </c>
      <c r="G112" s="111">
        <v>2015</v>
      </c>
      <c r="H112" s="111">
        <v>2016</v>
      </c>
      <c r="I112" s="111">
        <v>2017</v>
      </c>
      <c r="J112" s="111">
        <v>2018</v>
      </c>
      <c r="K112" s="111">
        <v>2019</v>
      </c>
      <c r="L112" s="111">
        <v>2020</v>
      </c>
      <c r="M112" s="111">
        <v>2021</v>
      </c>
      <c r="N112" s="111">
        <v>2022</v>
      </c>
      <c r="O112" s="111">
        <v>2023</v>
      </c>
      <c r="P112" s="111">
        <v>2024</v>
      </c>
      <c r="Q112" s="111">
        <v>2025</v>
      </c>
      <c r="R112" s="111">
        <v>2026</v>
      </c>
      <c r="S112" s="111">
        <v>2027</v>
      </c>
      <c r="T112" s="111">
        <v>2028</v>
      </c>
      <c r="U112" s="111">
        <v>2029</v>
      </c>
      <c r="V112" s="111">
        <v>2030</v>
      </c>
      <c r="W112" s="111">
        <v>2031</v>
      </c>
      <c r="X112" s="111">
        <v>2032</v>
      </c>
      <c r="Y112" s="111">
        <v>2033</v>
      </c>
      <c r="Z112" s="111">
        <v>2034</v>
      </c>
    </row>
    <row r="113" spans="1:26">
      <c r="A113" s="2" t="s">
        <v>43</v>
      </c>
      <c r="B113" s="3">
        <f>'Monthly D6 RIN Data'!$E4</f>
        <v>0</v>
      </c>
      <c r="C113" s="3">
        <f>'Monthly D6 RIN Data'!$E16</f>
        <v>1160289818</v>
      </c>
      <c r="D113" s="3">
        <f>'Monthly D6 RIN Data'!$E28</f>
        <v>1178481937</v>
      </c>
      <c r="E113" s="3">
        <f>'Monthly D6 RIN Data'!$E40</f>
        <v>1028160966</v>
      </c>
      <c r="F113" s="3">
        <f>'Monthly D6 RIN Data'!$E52</f>
        <v>1150184079</v>
      </c>
      <c r="G113" s="3">
        <f>'Monthly D6 RIN Data'!$E64</f>
        <v>1192708203</v>
      </c>
      <c r="H113" s="3">
        <f>'Monthly D6 RIN Data'!$E76</f>
        <v>1215577025</v>
      </c>
      <c r="I113" s="3">
        <f>'Monthly D6 RIN Data'!$E88</f>
        <v>1238395770</v>
      </c>
      <c r="J113" s="3">
        <f>'Monthly D6 RIN Data'!$E100</f>
        <v>1255494453</v>
      </c>
      <c r="K113" s="3">
        <f>'Monthly D6 RIN Data'!$E112</f>
        <v>1189779457</v>
      </c>
      <c r="L113" s="3">
        <f>'Monthly D6 RIN Data'!$E124</f>
        <v>1238303796</v>
      </c>
      <c r="M113" s="3">
        <f>'Monthly D6 RIN Data'!$E136</f>
        <v>1072581886</v>
      </c>
      <c r="N113" s="3">
        <f>'Monthly D6 RIN Data'!$E148</f>
        <v>1206124523</v>
      </c>
      <c r="O113" s="3">
        <f>'Monthly D6 RIN Data'!$E160</f>
        <v>1200969763</v>
      </c>
      <c r="P113" s="3">
        <f>'Monthly D6 RIN Data'!$E172</f>
        <v>1203497939</v>
      </c>
      <c r="Q113" s="3">
        <f>'Monthly D6 RIN Data'!$E184</f>
        <v>1243974760</v>
      </c>
      <c r="R113" s="4">
        <f>'D6 Gallon Forecast'!R113*AVERAGE('D6 RIN Forecast'!$AL$7:$AP$7)</f>
        <v>1196007317.7811368</v>
      </c>
      <c r="S113" s="4">
        <f>'D6 Gallon Forecast'!S113*AVERAGE('D6 RIN Forecast'!$AL$7:$AP$7)</f>
        <v>1214466784.6220763</v>
      </c>
      <c r="T113" s="4">
        <f>'D6 Gallon Forecast'!T113*AVERAGE('D6 RIN Forecast'!$AL$7:$AP$7)</f>
        <v>1223658831.4765308</v>
      </c>
      <c r="U113" s="4">
        <f>'D6 Gallon Forecast'!U113*AVERAGE('D6 RIN Forecast'!$AL$7:$AP$7)</f>
        <v>1234696956.4969971</v>
      </c>
      <c r="V113" s="4">
        <f>'D6 Gallon Forecast'!V113*AVERAGE('D6 RIN Forecast'!$AL$7:$AP$7)</f>
        <v>1247665427.4677658</v>
      </c>
      <c r="W113" s="4">
        <f>'D6 Gallon Forecast'!W113*AVERAGE('D6 RIN Forecast'!$AL$7:$AP$7)</f>
        <v>1253889964.0725224</v>
      </c>
      <c r="X113" s="4">
        <f>'D6 Gallon Forecast'!X113*AVERAGE('D6 RIN Forecast'!$AL$7:$AP$7)</f>
        <v>1265720962.8090227</v>
      </c>
      <c r="Y113" s="4">
        <f>'D6 Gallon Forecast'!Y113*AVERAGE('D6 RIN Forecast'!$AL$7:$AP$7)</f>
        <v>1276223133.5140758</v>
      </c>
      <c r="Z113" s="4">
        <f>'D6 Gallon Forecast'!Z113*AVERAGE('D6 RIN Forecast'!$AL$7:$AP$7)</f>
        <v>1286984772.2574925</v>
      </c>
    </row>
    <row r="114" spans="1:26">
      <c r="A114" s="2" t="s">
        <v>44</v>
      </c>
      <c r="B114" s="3">
        <f>'Monthly D6 RIN Data'!$E5</f>
        <v>0</v>
      </c>
      <c r="C114" s="3">
        <f>'Monthly D6 RIN Data'!$E17</f>
        <v>1054084139</v>
      </c>
      <c r="D114" s="3">
        <f>'Monthly D6 RIN Data'!$E29</f>
        <v>1079500947</v>
      </c>
      <c r="E114" s="3">
        <f>'Monthly D6 RIN Data'!$E41</f>
        <v>939513797</v>
      </c>
      <c r="F114" s="3">
        <f>'Monthly D6 RIN Data'!$E53</f>
        <v>1020555812</v>
      </c>
      <c r="G114" s="3">
        <f>'Monthly D6 RIN Data'!$E65</f>
        <v>1077497118</v>
      </c>
      <c r="H114" s="3">
        <f>'Monthly D6 RIN Data'!$E77</f>
        <v>1162516905</v>
      </c>
      <c r="I114" s="3">
        <f>'Monthly D6 RIN Data'!$E89</f>
        <v>1130343456</v>
      </c>
      <c r="J114" s="3">
        <f>'Monthly D6 RIN Data'!$E101</f>
        <v>1098731054</v>
      </c>
      <c r="K114" s="3">
        <f>'Monthly D6 RIN Data'!$E113</f>
        <v>1132553957</v>
      </c>
      <c r="L114" s="3">
        <f>'Monthly D6 RIN Data'!$E125</f>
        <v>1141726932</v>
      </c>
      <c r="M114" s="3">
        <f>'Monthly D6 RIN Data'!$E137</f>
        <v>889096390</v>
      </c>
      <c r="N114" s="3">
        <f>'Monthly D6 RIN Data'!$E149</f>
        <v>1062372386</v>
      </c>
      <c r="O114" s="3">
        <f>'Monthly D6 RIN Data'!$E161</f>
        <v>1118067955</v>
      </c>
      <c r="P114" s="3">
        <f>'Monthly D6 RIN Data'!$E173</f>
        <v>1206352583</v>
      </c>
      <c r="Q114" s="3">
        <f>'Monthly D6 RIN Data'!$E185</f>
        <v>1119162157</v>
      </c>
      <c r="R114" s="4">
        <f>'D6 Gallon Forecast'!R114*AVERAGE('D6 RIN Forecast'!$AL$7:$AP$7)</f>
        <v>1089253657.4223135</v>
      </c>
      <c r="S114" s="4">
        <f>'D6 Gallon Forecast'!S114*AVERAGE('D6 RIN Forecast'!$AL$7:$AP$7)</f>
        <v>1123677808.7119045</v>
      </c>
      <c r="T114" s="4">
        <f>'D6 Gallon Forecast'!T114*AVERAGE('D6 RIN Forecast'!$AL$7:$AP$7)</f>
        <v>1142388767.3696897</v>
      </c>
      <c r="U114" s="4">
        <f>'D6 Gallon Forecast'!U114*AVERAGE('D6 RIN Forecast'!$AL$7:$AP$7)</f>
        <v>1153330958.6168613</v>
      </c>
      <c r="V114" s="4">
        <f>'D6 Gallon Forecast'!V114*AVERAGE('D6 RIN Forecast'!$AL$7:$AP$7)</f>
        <v>1148675985.1815948</v>
      </c>
      <c r="W114" s="4">
        <f>'D6 Gallon Forecast'!W114*AVERAGE('D6 RIN Forecast'!$AL$7:$AP$7)</f>
        <v>1159759862.8742218</v>
      </c>
      <c r="X114" s="4">
        <f>'D6 Gallon Forecast'!X114*AVERAGE('D6 RIN Forecast'!$AL$7:$AP$7)</f>
        <v>1174181241.5988069</v>
      </c>
      <c r="Y114" s="4">
        <f>'D6 Gallon Forecast'!Y114*AVERAGE('D6 RIN Forecast'!$AL$7:$AP$7)</f>
        <v>1184529851.551084</v>
      </c>
      <c r="Z114" s="4">
        <f>'D6 Gallon Forecast'!Z114*AVERAGE('D6 RIN Forecast'!$AL$7:$AP$7)</f>
        <v>1193155787.7679756</v>
      </c>
    </row>
    <row r="115" spans="1:26">
      <c r="A115" s="2" t="s">
        <v>45</v>
      </c>
      <c r="B115" s="3">
        <f>'Monthly D6 RIN Data'!$E6</f>
        <v>0</v>
      </c>
      <c r="C115" s="3">
        <f>'Monthly D6 RIN Data'!$E18</f>
        <v>1225662401</v>
      </c>
      <c r="D115" s="3">
        <f>'Monthly D6 RIN Data'!$E30</f>
        <v>1136870708</v>
      </c>
      <c r="E115" s="3">
        <f>'Monthly D6 RIN Data'!$E42</f>
        <v>1034306785</v>
      </c>
      <c r="F115" s="3">
        <f>'Monthly D6 RIN Data'!$E54</f>
        <v>1147001684</v>
      </c>
      <c r="G115" s="3">
        <f>'Monthly D6 RIN Data'!$E66</f>
        <v>1200977243</v>
      </c>
      <c r="H115" s="3">
        <f>'Monthly D6 RIN Data'!$E78</f>
        <v>1221790061</v>
      </c>
      <c r="I115" s="3">
        <f>'Monthly D6 RIN Data'!$E90</f>
        <v>1262859797</v>
      </c>
      <c r="J115" s="3">
        <f>'Monthly D6 RIN Data'!$E102</f>
        <v>1221028438</v>
      </c>
      <c r="K115" s="3">
        <f>'Monthly D6 RIN Data'!$E114</f>
        <v>1184062717</v>
      </c>
      <c r="L115" s="3">
        <f>'Monthly D6 RIN Data'!$E126</f>
        <v>1112164188</v>
      </c>
      <c r="M115" s="3">
        <f>'Monthly D6 RIN Data'!$E138</f>
        <v>1175862799</v>
      </c>
      <c r="N115" s="3">
        <f>'Monthly D6 RIN Data'!$E150</f>
        <v>1259957647</v>
      </c>
      <c r="O115" s="3">
        <f>'Monthly D6 RIN Data'!$E162</f>
        <v>1206945599</v>
      </c>
      <c r="P115" s="3">
        <f>'Monthly D6 RIN Data'!$E174</f>
        <v>1185423732</v>
      </c>
      <c r="Q115" s="3">
        <f>'Monthly D6 RIN Data'!$E186</f>
        <v>1213323826</v>
      </c>
      <c r="R115" s="4">
        <f>'D6 Gallon Forecast'!R115*AVERAGE('D6 RIN Forecast'!$AL$7:$AP$7)</f>
        <v>1219084002.7071748</v>
      </c>
      <c r="S115" s="4">
        <f>'D6 Gallon Forecast'!S115*AVERAGE('D6 RIN Forecast'!$AL$7:$AP$7)</f>
        <v>1221323558.2616208</v>
      </c>
      <c r="T115" s="4">
        <f>'D6 Gallon Forecast'!T115*AVERAGE('D6 RIN Forecast'!$AL$7:$AP$7)</f>
        <v>1221071358.6640513</v>
      </c>
      <c r="U115" s="4">
        <f>'D6 Gallon Forecast'!U115*AVERAGE('D6 RIN Forecast'!$AL$7:$AP$7)</f>
        <v>1230357466.4204967</v>
      </c>
      <c r="V115" s="4">
        <f>'D6 Gallon Forecast'!V115*AVERAGE('D6 RIN Forecast'!$AL$7:$AP$7)</f>
        <v>1246105829.6541023</v>
      </c>
      <c r="W115" s="4">
        <f>'D6 Gallon Forecast'!W115*AVERAGE('D6 RIN Forecast'!$AL$7:$AP$7)</f>
        <v>1258286607.6720641</v>
      </c>
      <c r="X115" s="4">
        <f>'D6 Gallon Forecast'!X115*AVERAGE('D6 RIN Forecast'!$AL$7:$AP$7)</f>
        <v>1266288156.5149474</v>
      </c>
      <c r="Y115" s="4">
        <f>'D6 Gallon Forecast'!Y115*AVERAGE('D6 RIN Forecast'!$AL$7:$AP$7)</f>
        <v>1275500993.0165856</v>
      </c>
      <c r="Z115" s="4">
        <f>'D6 Gallon Forecast'!Z115*AVERAGE('D6 RIN Forecast'!$AL$7:$AP$7)</f>
        <v>1286645019.0969543</v>
      </c>
    </row>
    <row r="116" spans="1:26">
      <c r="A116" s="2" t="s">
        <v>46</v>
      </c>
      <c r="B116" s="3">
        <f>'Monthly D6 RIN Data'!$E7</f>
        <v>0</v>
      </c>
      <c r="C116" s="3">
        <f>'Monthly D6 RIN Data'!$E19</f>
        <v>1069645214</v>
      </c>
      <c r="D116" s="3">
        <f>'Monthly D6 RIN Data'!$E31</f>
        <v>1096194768</v>
      </c>
      <c r="E116" s="3">
        <f>'Monthly D6 RIN Data'!$E43</f>
        <v>1085559590</v>
      </c>
      <c r="F116" s="3">
        <f>'Monthly D6 RIN Data'!$E55</f>
        <v>1175647065</v>
      </c>
      <c r="G116" s="3">
        <f>'Monthly D6 RIN Data'!$E67</f>
        <v>1155991715</v>
      </c>
      <c r="H116" s="3">
        <f>'Monthly D6 RIN Data'!$E79</f>
        <v>1155665531</v>
      </c>
      <c r="I116" s="3">
        <f>'Monthly D6 RIN Data'!$E91</f>
        <v>1161625887</v>
      </c>
      <c r="J116" s="3">
        <f>'Monthly D6 RIN Data'!$E103</f>
        <v>1221248344</v>
      </c>
      <c r="K116" s="3">
        <f>'Monthly D6 RIN Data'!$E115</f>
        <v>1237246735</v>
      </c>
      <c r="L116" s="3">
        <f>'Monthly D6 RIN Data'!$E127</f>
        <v>628050492</v>
      </c>
      <c r="M116" s="3">
        <f>'Monthly D6 RIN Data'!$E139</f>
        <v>1121341351</v>
      </c>
      <c r="N116" s="3">
        <f>'Monthly D6 RIN Data'!$E151</f>
        <v>1126654731</v>
      </c>
      <c r="O116" s="3">
        <f>'Monthly D6 RIN Data'!$E163</f>
        <v>1138611575</v>
      </c>
      <c r="P116" s="3">
        <f>'Monthly D6 RIN Data'!$E175</f>
        <v>1184892171</v>
      </c>
      <c r="Q116" s="4">
        <f>'D6 Gallon Forecast'!Q116*AVERAGE('D6 RIN Forecast'!$AL$7:$AP$7)</f>
        <v>1069466018.2333267</v>
      </c>
      <c r="R116" s="4">
        <f>'D6 Gallon Forecast'!R116*AVERAGE('D6 RIN Forecast'!$AL$7:$AP$7)</f>
        <v>1138279341.1103849</v>
      </c>
      <c r="S116" s="4">
        <f>'D6 Gallon Forecast'!S116*AVERAGE('D6 RIN Forecast'!$AL$7:$AP$7)</f>
        <v>1135670061.9372644</v>
      </c>
      <c r="T116" s="4">
        <f>'D6 Gallon Forecast'!T116*AVERAGE('D6 RIN Forecast'!$AL$7:$AP$7)</f>
        <v>1144516386.1982052</v>
      </c>
      <c r="U116" s="4">
        <f>'D6 Gallon Forecast'!U116*AVERAGE('D6 RIN Forecast'!$AL$7:$AP$7)</f>
        <v>1151731173.7062604</v>
      </c>
      <c r="V116" s="4">
        <f>'D6 Gallon Forecast'!V116*AVERAGE('D6 RIN Forecast'!$AL$7:$AP$7)</f>
        <v>1151120965.5070863</v>
      </c>
      <c r="W116" s="4">
        <f>'D6 Gallon Forecast'!W116*AVERAGE('D6 RIN Forecast'!$AL$7:$AP$7)</f>
        <v>1172878054.9923344</v>
      </c>
      <c r="X116" s="4">
        <f>'D6 Gallon Forecast'!X116*AVERAGE('D6 RIN Forecast'!$AL$7:$AP$7)</f>
        <v>1179938189.1924901</v>
      </c>
      <c r="Y116" s="4">
        <f>'D6 Gallon Forecast'!Y116*AVERAGE('D6 RIN Forecast'!$AL$7:$AP$7)</f>
        <v>1189008571.7228117</v>
      </c>
      <c r="Z116" s="4">
        <f>'D6 Gallon Forecast'!Z116*AVERAGE('D6 RIN Forecast'!$AL$7:$AP$7)</f>
        <v>1198116418.7307189</v>
      </c>
    </row>
    <row r="117" spans="1:26">
      <c r="A117" s="2" t="s">
        <v>47</v>
      </c>
      <c r="B117" s="3">
        <f>'Monthly D6 RIN Data'!$E8</f>
        <v>0</v>
      </c>
      <c r="C117" s="3">
        <f>'Monthly D6 RIN Data'!$E20</f>
        <v>1139975440</v>
      </c>
      <c r="D117" s="3">
        <f>'Monthly D6 RIN Data'!$E32</f>
        <v>1131920310</v>
      </c>
      <c r="E117" s="3">
        <f>'Monthly D6 RIN Data'!$E44</f>
        <v>1140894814</v>
      </c>
      <c r="F117" s="3">
        <f>'Monthly D6 RIN Data'!$E56</f>
        <v>1199854519</v>
      </c>
      <c r="G117" s="3">
        <f>'Monthly D6 RIN Data'!$E68</f>
        <v>1199765889</v>
      </c>
      <c r="H117" s="3">
        <f>'Monthly D6 RIN Data'!$E80</f>
        <v>1234936140</v>
      </c>
      <c r="I117" s="3">
        <f>'Monthly D6 RIN Data'!$E92</f>
        <v>1254112020</v>
      </c>
      <c r="J117" s="3">
        <f>'Monthly D6 RIN Data'!$E104</f>
        <v>1284250164</v>
      </c>
      <c r="K117" s="3">
        <f>'Monthly D6 RIN Data'!$E116</f>
        <v>1276709047</v>
      </c>
      <c r="L117" s="3">
        <f>'Monthly D6 RIN Data'!$E128</f>
        <v>835521630</v>
      </c>
      <c r="M117" s="3">
        <f>'Monthly D6 RIN Data'!$E140</f>
        <v>1249146048</v>
      </c>
      <c r="N117" s="3">
        <f>'Monthly D6 RIN Data'!$E152</f>
        <v>1221667543</v>
      </c>
      <c r="O117" s="3">
        <f>'Monthly D6 RIN Data'!$E164</f>
        <v>1254320370</v>
      </c>
      <c r="P117" s="3">
        <f>'Monthly D6 RIN Data'!$E176</f>
        <v>1262729662</v>
      </c>
      <c r="Q117" s="4">
        <f>'D6 Gallon Forecast'!Q117*AVERAGE('D6 RIN Forecast'!$AL$7:$AP$7)</f>
        <v>1197779087.7816882</v>
      </c>
      <c r="R117" s="4">
        <f>'D6 Gallon Forecast'!R117*AVERAGE('D6 RIN Forecast'!$AL$7:$AP$7)</f>
        <v>1248189191.0108898</v>
      </c>
      <c r="S117" s="4">
        <f>'D6 Gallon Forecast'!S117*AVERAGE('D6 RIN Forecast'!$AL$7:$AP$7)</f>
        <v>1241407957.2500513</v>
      </c>
      <c r="T117" s="4">
        <f>'D6 Gallon Forecast'!T117*AVERAGE('D6 RIN Forecast'!$AL$7:$AP$7)</f>
        <v>1253074353.4655845</v>
      </c>
      <c r="U117" s="4">
        <f>'D6 Gallon Forecast'!U117*AVERAGE('D6 RIN Forecast'!$AL$7:$AP$7)</f>
        <v>1259408095.8748491</v>
      </c>
      <c r="V117" s="4">
        <f>'D6 Gallon Forecast'!V117*AVERAGE('D6 RIN Forecast'!$AL$7:$AP$7)</f>
        <v>1265463439.8783724</v>
      </c>
      <c r="W117" s="4">
        <f>'D6 Gallon Forecast'!W117*AVERAGE('D6 RIN Forecast'!$AL$7:$AP$7)</f>
        <v>1284854954.6275077</v>
      </c>
      <c r="X117" s="4">
        <f>'D6 Gallon Forecast'!X117*AVERAGE('D6 RIN Forecast'!$AL$7:$AP$7)</f>
        <v>1292335726.7438555</v>
      </c>
      <c r="Y117" s="4">
        <f>'D6 Gallon Forecast'!Y117*AVERAGE('D6 RIN Forecast'!$AL$7:$AP$7)</f>
        <v>1302770886.9741151</v>
      </c>
      <c r="Z117" s="4">
        <f>'D6 Gallon Forecast'!Z117*AVERAGE('D6 RIN Forecast'!$AL$7:$AP$7)</f>
        <v>1312944369.7529118</v>
      </c>
    </row>
    <row r="118" spans="1:26">
      <c r="A118" s="2" t="s">
        <v>48</v>
      </c>
      <c r="B118" s="3">
        <f>'Monthly D6 RIN Data'!$E9</f>
        <v>0</v>
      </c>
      <c r="C118" s="3">
        <f>'Monthly D6 RIN Data'!$E21</f>
        <v>1164385720</v>
      </c>
      <c r="D118" s="3">
        <f>'Monthly D6 RIN Data'!$E33</f>
        <v>1085594445</v>
      </c>
      <c r="E118" s="3">
        <f>'Monthly D6 RIN Data'!$E45</f>
        <v>1103586859</v>
      </c>
      <c r="F118" s="3">
        <f>'Monthly D6 RIN Data'!$E57</f>
        <v>1190780942</v>
      </c>
      <c r="G118" s="3">
        <f>'Monthly D6 RIN Data'!$E69</f>
        <v>1238305509</v>
      </c>
      <c r="H118" s="3">
        <f>'Monthly D6 RIN Data'!$E81</f>
        <v>1269147590</v>
      </c>
      <c r="I118" s="3">
        <f>'Monthly D6 RIN Data'!$E93</f>
        <v>1240909168</v>
      </c>
      <c r="J118" s="3">
        <f>'Monthly D6 RIN Data'!$E105</f>
        <v>1247223444</v>
      </c>
      <c r="K118" s="3">
        <f>'Monthly D6 RIN Data'!$E117</f>
        <v>1233405028</v>
      </c>
      <c r="L118" s="3">
        <f>'Monthly D6 RIN Data'!$E129</f>
        <v>1065260312</v>
      </c>
      <c r="M118" s="3">
        <f>'Monthly D6 RIN Data'!$E141</f>
        <v>1253638702</v>
      </c>
      <c r="N118" s="3">
        <f>'Monthly D6 RIN Data'!$E153</f>
        <v>1285218955</v>
      </c>
      <c r="O118" s="3">
        <f>'Monthly D6 RIN Data'!$E165</f>
        <v>1272915445</v>
      </c>
      <c r="P118" s="3">
        <f>'Monthly D6 RIN Data'!$E177</f>
        <v>1205183155</v>
      </c>
      <c r="Q118" s="4">
        <f>'D6 Gallon Forecast'!Q118*AVERAGE('D6 RIN Forecast'!$AL$7:$AP$7)</f>
        <v>1251016633.315551</v>
      </c>
      <c r="R118" s="4">
        <f>'D6 Gallon Forecast'!R118*AVERAGE('D6 RIN Forecast'!$AL$7:$AP$7)</f>
        <v>1264803310.4523592</v>
      </c>
      <c r="S118" s="4">
        <f>'D6 Gallon Forecast'!S118*AVERAGE('D6 RIN Forecast'!$AL$7:$AP$7)</f>
        <v>1260367315.4318879</v>
      </c>
      <c r="T118" s="4">
        <f>'D6 Gallon Forecast'!T118*AVERAGE('D6 RIN Forecast'!$AL$7:$AP$7)</f>
        <v>1263145602.7266395</v>
      </c>
      <c r="U118" s="4">
        <f>'D6 Gallon Forecast'!U118*AVERAGE('D6 RIN Forecast'!$AL$7:$AP$7)</f>
        <v>1267801882.8757904</v>
      </c>
      <c r="V118" s="4">
        <f>'D6 Gallon Forecast'!V118*AVERAGE('D6 RIN Forecast'!$AL$7:$AP$7)</f>
        <v>1287359734.3034751</v>
      </c>
      <c r="W118" s="4">
        <f>'D6 Gallon Forecast'!W118*AVERAGE('D6 RIN Forecast'!$AL$7:$AP$7)</f>
        <v>1300421694.911998</v>
      </c>
      <c r="X118" s="4">
        <f>'D6 Gallon Forecast'!X118*AVERAGE('D6 RIN Forecast'!$AL$7:$AP$7)</f>
        <v>1307687328.0680599</v>
      </c>
      <c r="Y118" s="4">
        <f>'D6 Gallon Forecast'!Y118*AVERAGE('D6 RIN Forecast'!$AL$7:$AP$7)</f>
        <v>1317382859.6467013</v>
      </c>
      <c r="Z118" s="4">
        <f>'D6 Gallon Forecast'!Z118*AVERAGE('D6 RIN Forecast'!$AL$7:$AP$7)</f>
        <v>1328487001.3934872</v>
      </c>
    </row>
    <row r="119" spans="1:26">
      <c r="A119" s="2" t="s">
        <v>49</v>
      </c>
      <c r="B119" s="3">
        <f>'Monthly D6 RIN Data'!$E10</f>
        <v>1114587380</v>
      </c>
      <c r="C119" s="3">
        <f>'Monthly D6 RIN Data'!$E22</f>
        <v>1126250203</v>
      </c>
      <c r="D119" s="3">
        <f>'Monthly D6 RIN Data'!$E34</f>
        <v>1057188151</v>
      </c>
      <c r="E119" s="3">
        <f>'Monthly D6 RIN Data'!$E46</f>
        <v>1119553179</v>
      </c>
      <c r="F119" s="3">
        <f>'Monthly D6 RIN Data'!$E58</f>
        <v>1238378540</v>
      </c>
      <c r="G119" s="3">
        <f>'Monthly D6 RIN Data'!$E70</f>
        <v>1226889119</v>
      </c>
      <c r="H119" s="3">
        <f>'Monthly D6 RIN Data'!$E82</f>
        <v>1228942159</v>
      </c>
      <c r="I119" s="3">
        <f>'Monthly D6 RIN Data'!$E94</f>
        <v>1251971461</v>
      </c>
      <c r="J119" s="3">
        <f>'Monthly D6 RIN Data'!$E106</f>
        <v>1347918383</v>
      </c>
      <c r="K119" s="3">
        <f>'Monthly D6 RIN Data'!$E118</f>
        <v>1312351700</v>
      </c>
      <c r="L119" s="3">
        <f>'Monthly D6 RIN Data'!$E130</f>
        <v>1169002095</v>
      </c>
      <c r="M119" s="3">
        <f>'Monthly D6 RIN Data'!$E142</f>
        <v>1272912460</v>
      </c>
      <c r="N119" s="3">
        <f>'Monthly D6 RIN Data'!$E154</f>
        <v>1203742136</v>
      </c>
      <c r="O119" s="3">
        <f>'Monthly D6 RIN Data'!$E166</f>
        <v>1269749643</v>
      </c>
      <c r="P119" s="3">
        <f>'Monthly D6 RIN Data'!$E178</f>
        <v>1323973100</v>
      </c>
      <c r="Q119" s="4">
        <f>'D6 Gallon Forecast'!Q119*AVERAGE('D6 RIN Forecast'!$AL$7:$AP$7)</f>
        <v>1283471535.6021123</v>
      </c>
      <c r="R119" s="4">
        <f>'D6 Gallon Forecast'!R119*AVERAGE('D6 RIN Forecast'!$AL$7:$AP$7)</f>
        <v>1282258949.8421268</v>
      </c>
      <c r="S119" s="4">
        <f>'D6 Gallon Forecast'!S119*AVERAGE('D6 RIN Forecast'!$AL$7:$AP$7)</f>
        <v>1277365885.2940047</v>
      </c>
      <c r="T119" s="4">
        <f>'D6 Gallon Forecast'!T119*AVERAGE('D6 RIN Forecast'!$AL$7:$AP$7)</f>
        <v>1300009887.1469793</v>
      </c>
      <c r="U119" s="4">
        <f>'D6 Gallon Forecast'!U119*AVERAGE('D6 RIN Forecast'!$AL$7:$AP$7)</f>
        <v>1312986351.754276</v>
      </c>
      <c r="V119" s="4">
        <f>'D6 Gallon Forecast'!V119*AVERAGE('D6 RIN Forecast'!$AL$7:$AP$7)</f>
        <v>1317763771.1693995</v>
      </c>
      <c r="W119" s="4">
        <f>'D6 Gallon Forecast'!W119*AVERAGE('D6 RIN Forecast'!$AL$7:$AP$7)</f>
        <v>1330537832.1193819</v>
      </c>
      <c r="X119" s="4">
        <f>'D6 Gallon Forecast'!X119*AVERAGE('D6 RIN Forecast'!$AL$7:$AP$7)</f>
        <v>1340397979.6357965</v>
      </c>
      <c r="Y119" s="4">
        <f>'D6 Gallon Forecast'!Y119*AVERAGE('D6 RIN Forecast'!$AL$7:$AP$7)</f>
        <v>1353314287.7108409</v>
      </c>
      <c r="Z119" s="4">
        <f>'D6 Gallon Forecast'!Z119*AVERAGE('D6 RIN Forecast'!$AL$7:$AP$7)</f>
        <v>1364226816.0117035</v>
      </c>
    </row>
    <row r="120" spans="1:26">
      <c r="A120" s="2" t="s">
        <v>50</v>
      </c>
      <c r="B120" s="3">
        <f>'Monthly D6 RIN Data'!$E11</f>
        <v>1111134084</v>
      </c>
      <c r="C120" s="3">
        <f>'Monthly D6 RIN Data'!$E23</f>
        <v>1165619176</v>
      </c>
      <c r="D120" s="3">
        <f>'Monthly D6 RIN Data'!$E35</f>
        <v>1095988419</v>
      </c>
      <c r="E120" s="3">
        <f>'Monthly D6 RIN Data'!$E47</f>
        <v>1102723346</v>
      </c>
      <c r="F120" s="3">
        <f>'Monthly D6 RIN Data'!$E59</f>
        <v>1180098156</v>
      </c>
      <c r="G120" s="3">
        <f>'Monthly D6 RIN Data'!$E71</f>
        <v>1207198849</v>
      </c>
      <c r="H120" s="3">
        <f>'Monthly D6 RIN Data'!$E83</f>
        <v>1302210348</v>
      </c>
      <c r="I120" s="3">
        <f>'Monthly D6 RIN Data'!$E95</f>
        <v>1296498464</v>
      </c>
      <c r="J120" s="3">
        <f>'Monthly D6 RIN Data'!$E107</f>
        <v>1339874231</v>
      </c>
      <c r="K120" s="3">
        <f>'Monthly D6 RIN Data'!$E119</f>
        <v>1243671089</v>
      </c>
      <c r="L120" s="3">
        <f>'Monthly D6 RIN Data'!$E131</f>
        <v>1124709247</v>
      </c>
      <c r="M120" s="3">
        <f>'Monthly D6 RIN Data'!$E143</f>
        <v>1211315327</v>
      </c>
      <c r="N120" s="3">
        <f>'Monthly D6 RIN Data'!$E155</f>
        <v>1265634580</v>
      </c>
      <c r="O120" s="3">
        <f>'Monthly D6 RIN Data'!$E167</f>
        <v>1259762648</v>
      </c>
      <c r="P120" s="3">
        <f>'Monthly D6 RIN Data'!$E179</f>
        <v>1316218642</v>
      </c>
      <c r="Q120" s="4">
        <f>'D6 Gallon Forecast'!Q120*AVERAGE('D6 RIN Forecast'!$AL$7:$AP$7)</f>
        <v>1270643829.0074749</v>
      </c>
      <c r="R120" s="4">
        <f>'D6 Gallon Forecast'!R120*AVERAGE('D6 RIN Forecast'!$AL$7:$AP$7)</f>
        <v>1276023366.7987497</v>
      </c>
      <c r="S120" s="4">
        <f>'D6 Gallon Forecast'!S120*AVERAGE('D6 RIN Forecast'!$AL$7:$AP$7)</f>
        <v>1282275042.9565694</v>
      </c>
      <c r="T120" s="4">
        <f>'D6 Gallon Forecast'!T120*AVERAGE('D6 RIN Forecast'!$AL$7:$AP$7)</f>
        <v>1293568220.4794011</v>
      </c>
      <c r="U120" s="4">
        <f>'D6 Gallon Forecast'!U120*AVERAGE('D6 RIN Forecast'!$AL$7:$AP$7)</f>
        <v>1307230553.3838074</v>
      </c>
      <c r="V120" s="4">
        <f>'D6 Gallon Forecast'!V120*AVERAGE('D6 RIN Forecast'!$AL$7:$AP$7)</f>
        <v>1312385102.994009</v>
      </c>
      <c r="W120" s="4">
        <f>'D6 Gallon Forecast'!W120*AVERAGE('D6 RIN Forecast'!$AL$7:$AP$7)</f>
        <v>1326662781.5741007</v>
      </c>
      <c r="X120" s="4">
        <f>'D6 Gallon Forecast'!X120*AVERAGE('D6 RIN Forecast'!$AL$7:$AP$7)</f>
        <v>1337006935.3364596</v>
      </c>
      <c r="Y120" s="4">
        <f>'D6 Gallon Forecast'!Y120*AVERAGE('D6 RIN Forecast'!$AL$7:$AP$7)</f>
        <v>1348221756.4769135</v>
      </c>
      <c r="Z120" s="4">
        <f>'D6 Gallon Forecast'!Z120*AVERAGE('D6 RIN Forecast'!$AL$7:$AP$7)</f>
        <v>1359410902.280937</v>
      </c>
    </row>
    <row r="121" spans="1:26">
      <c r="A121" s="2" t="s">
        <v>51</v>
      </c>
      <c r="B121" s="3">
        <f>'Monthly D6 RIN Data'!$E12</f>
        <v>1101994951</v>
      </c>
      <c r="C121" s="3">
        <f>'Monthly D6 RIN Data'!$E24</f>
        <v>1077770849</v>
      </c>
      <c r="D121" s="3">
        <f>'Monthly D6 RIN Data'!$E36</f>
        <v>985889758</v>
      </c>
      <c r="E121" s="3">
        <f>'Monthly D6 RIN Data'!$E48</f>
        <v>1068584497</v>
      </c>
      <c r="F121" s="3">
        <f>'Monthly D6 RIN Data'!$E60</f>
        <v>1158207576</v>
      </c>
      <c r="G121" s="3">
        <f>'Monthly D6 RIN Data'!$E72</f>
        <v>1179680490</v>
      </c>
      <c r="H121" s="3">
        <f>'Monthly D6 RIN Data'!$E84</f>
        <v>1210481326</v>
      </c>
      <c r="I121" s="3">
        <f>'Monthly D6 RIN Data'!$E96</f>
        <v>1209078725</v>
      </c>
      <c r="J121" s="3">
        <f>'Monthly D6 RIN Data'!$E108</f>
        <v>1205946718</v>
      </c>
      <c r="K121" s="3">
        <f>'Monthly D6 RIN Data'!$E120</f>
        <v>1186086691</v>
      </c>
      <c r="L121" s="3">
        <f>'Monthly D6 RIN Data'!$E132</f>
        <v>1116041079</v>
      </c>
      <c r="M121" s="3">
        <f>'Monthly D6 RIN Data'!$E144</f>
        <v>1149352972</v>
      </c>
      <c r="N121" s="3">
        <f>'Monthly D6 RIN Data'!$E156</f>
        <v>1114873348</v>
      </c>
      <c r="O121" s="3">
        <f>'Monthly D6 RIN Data'!$E168</f>
        <v>1173157919</v>
      </c>
      <c r="P121" s="3">
        <f>'Monthly D6 RIN Data'!$E180</f>
        <v>1212281209</v>
      </c>
      <c r="Q121" s="4">
        <f>'D6 Gallon Forecast'!Q121*AVERAGE('D6 RIN Forecast'!$AL$7:$AP$7)</f>
        <v>1186176192.9027746</v>
      </c>
      <c r="R121" s="4">
        <f>'D6 Gallon Forecast'!R121*AVERAGE('D6 RIN Forecast'!$AL$7:$AP$7)</f>
        <v>1177860568.6344423</v>
      </c>
      <c r="S121" s="4">
        <f>'D6 Gallon Forecast'!S121*AVERAGE('D6 RIN Forecast'!$AL$7:$AP$7)</f>
        <v>1177364519.3852353</v>
      </c>
      <c r="T121" s="4">
        <f>'D6 Gallon Forecast'!T121*AVERAGE('D6 RIN Forecast'!$AL$7:$AP$7)</f>
        <v>1197012283.9698861</v>
      </c>
      <c r="U121" s="4">
        <f>'D6 Gallon Forecast'!U121*AVERAGE('D6 RIN Forecast'!$AL$7:$AP$7)</f>
        <v>1208146907.3676105</v>
      </c>
      <c r="V121" s="4">
        <f>'D6 Gallon Forecast'!V121*AVERAGE('D6 RIN Forecast'!$AL$7:$AP$7)</f>
        <v>1213762321.4561846</v>
      </c>
      <c r="W121" s="4">
        <f>'D6 Gallon Forecast'!W121*AVERAGE('D6 RIN Forecast'!$AL$7:$AP$7)</f>
        <v>1224708281.0320358</v>
      </c>
      <c r="X121" s="4">
        <f>'D6 Gallon Forecast'!X121*AVERAGE('D6 RIN Forecast'!$AL$7:$AP$7)</f>
        <v>1234277973.1741877</v>
      </c>
      <c r="Y121" s="4">
        <f>'D6 Gallon Forecast'!Y121*AVERAGE('D6 RIN Forecast'!$AL$7:$AP$7)</f>
        <v>1245940382.9658399</v>
      </c>
      <c r="Z121" s="4">
        <f>'D6 Gallon Forecast'!Z121*AVERAGE('D6 RIN Forecast'!$AL$7:$AP$7)</f>
        <v>1255956950.6208799</v>
      </c>
    </row>
    <row r="122" spans="1:26">
      <c r="A122" s="2" t="s">
        <v>52</v>
      </c>
      <c r="B122" s="3">
        <f>'Monthly D6 RIN Data'!$E13</f>
        <v>1111232019</v>
      </c>
      <c r="C122" s="3">
        <f>'Monthly D6 RIN Data'!$E25</f>
        <v>1101246796</v>
      </c>
      <c r="D122" s="3">
        <f>'Monthly D6 RIN Data'!$E37</f>
        <v>1056945842</v>
      </c>
      <c r="E122" s="3">
        <f>'Monthly D6 RIN Data'!$E49</f>
        <v>1151767493</v>
      </c>
      <c r="F122" s="3">
        <f>'Monthly D6 RIN Data'!$E61</f>
        <v>1161214044</v>
      </c>
      <c r="G122" s="3">
        <f>'Monthly D6 RIN Data'!$E73</f>
        <v>1218627935</v>
      </c>
      <c r="H122" s="3">
        <f>'Monthly D6 RIN Data'!$E85</f>
        <v>1234413922</v>
      </c>
      <c r="I122" s="3">
        <f>'Monthly D6 RIN Data'!$E97</f>
        <v>1274775786</v>
      </c>
      <c r="J122" s="3">
        <f>'Monthly D6 RIN Data'!$E109</f>
        <v>1268756030</v>
      </c>
      <c r="K122" s="3">
        <f>'Monthly D6 RIN Data'!$E121</f>
        <v>1237882981</v>
      </c>
      <c r="L122" s="3">
        <f>'Monthly D6 RIN Data'!$E133</f>
        <v>1138032677</v>
      </c>
      <c r="M122" s="3">
        <f>'Monthly D6 RIN Data'!$E145</f>
        <v>1183784629</v>
      </c>
      <c r="N122" s="3">
        <f>'Monthly D6 RIN Data'!$E157</f>
        <v>1214405352</v>
      </c>
      <c r="O122" s="3">
        <f>'Monthly D6 RIN Data'!$E169</f>
        <v>1290463919</v>
      </c>
      <c r="P122" s="3">
        <f>'Monthly D6 RIN Data'!$E181</f>
        <v>1266660329</v>
      </c>
      <c r="Q122" s="4">
        <f>'D6 Gallon Forecast'!Q122*AVERAGE('D6 RIN Forecast'!$AL$7:$AP$7)</f>
        <v>1253305969.212003</v>
      </c>
      <c r="R122" s="4">
        <f>'D6 Gallon Forecast'!R122*AVERAGE('D6 RIN Forecast'!$AL$7:$AP$7)</f>
        <v>1252826963.1287129</v>
      </c>
      <c r="S122" s="4">
        <f>'D6 Gallon Forecast'!S122*AVERAGE('D6 RIN Forecast'!$AL$7:$AP$7)</f>
        <v>1260071045.2676139</v>
      </c>
      <c r="T122" s="4">
        <f>'D6 Gallon Forecast'!T122*AVERAGE('D6 RIN Forecast'!$AL$7:$AP$7)</f>
        <v>1277088527.5861056</v>
      </c>
      <c r="U122" s="4">
        <f>'D6 Gallon Forecast'!U122*AVERAGE('D6 RIN Forecast'!$AL$7:$AP$7)</f>
        <v>1281086143.9710088</v>
      </c>
      <c r="V122" s="4">
        <f>'D6 Gallon Forecast'!V122*AVERAGE('D6 RIN Forecast'!$AL$7:$AP$7)</f>
        <v>1290879416.2252345</v>
      </c>
      <c r="W122" s="4">
        <f>'D6 Gallon Forecast'!W122*AVERAGE('D6 RIN Forecast'!$AL$7:$AP$7)</f>
        <v>1304208941.68522</v>
      </c>
      <c r="X122" s="4">
        <f>'D6 Gallon Forecast'!X122*AVERAGE('D6 RIN Forecast'!$AL$7:$AP$7)</f>
        <v>1314705939.1311131</v>
      </c>
      <c r="Y122" s="4">
        <f>'D6 Gallon Forecast'!Y122*AVERAGE('D6 RIN Forecast'!$AL$7:$AP$7)</f>
        <v>1325900958.4682853</v>
      </c>
      <c r="Z122" s="4">
        <f>'D6 Gallon Forecast'!Z122*AVERAGE('D6 RIN Forecast'!$AL$7:$AP$7)</f>
        <v>1335892959.0036423</v>
      </c>
    </row>
    <row r="123" spans="1:26">
      <c r="A123" s="2" t="s">
        <v>53</v>
      </c>
      <c r="B123" s="3">
        <f>'Monthly D6 RIN Data'!$E14</f>
        <v>1138095958</v>
      </c>
      <c r="C123" s="3">
        <f>'Monthly D6 RIN Data'!$E26</f>
        <v>1139105723</v>
      </c>
      <c r="D123" s="3">
        <f>'Monthly D6 RIN Data'!$E38</f>
        <v>1045333458</v>
      </c>
      <c r="E123" s="3">
        <f>'Monthly D6 RIN Data'!$E50</f>
        <v>1124339471</v>
      </c>
      <c r="F123" s="3">
        <f>'Monthly D6 RIN Data'!$E62</f>
        <v>1126806003</v>
      </c>
      <c r="G123" s="3">
        <f>'Monthly D6 RIN Data'!$E74</f>
        <v>1197558646</v>
      </c>
      <c r="H123" s="3">
        <f>'Monthly D6 RIN Data'!$E86</f>
        <v>1205738078</v>
      </c>
      <c r="I123" s="3">
        <f>'Monthly D6 RIN Data'!$E98</f>
        <v>1272892414</v>
      </c>
      <c r="J123" s="3">
        <f>'Monthly D6 RIN Data'!$E110</f>
        <v>1231729294</v>
      </c>
      <c r="K123" s="3">
        <f>'Monthly D6 RIN Data'!$E122</f>
        <v>1194230202</v>
      </c>
      <c r="L123" s="3">
        <f>'Monthly D6 RIN Data'!$E134</f>
        <v>1136429603</v>
      </c>
      <c r="M123" s="3">
        <f>'Monthly D6 RIN Data'!$E146</f>
        <v>1240293203</v>
      </c>
      <c r="N123" s="3">
        <f>'Monthly D6 RIN Data'!$E158</f>
        <v>1247482437</v>
      </c>
      <c r="O123" s="3">
        <f>'Monthly D6 RIN Data'!$E170</f>
        <v>1228482316</v>
      </c>
      <c r="P123" s="3">
        <f>'Monthly D6 RIN Data'!$E182</f>
        <v>1190465688</v>
      </c>
      <c r="Q123" s="4">
        <f>'D6 Gallon Forecast'!Q123*AVERAGE('D6 RIN Forecast'!$AL$7:$AP$7)</f>
        <v>1243655998.4946444</v>
      </c>
      <c r="R123" s="4">
        <f>'D6 Gallon Forecast'!R123*AVERAGE('D6 RIN Forecast'!$AL$7:$AP$7)</f>
        <v>1241736043.6954973</v>
      </c>
      <c r="S123" s="4">
        <f>'D6 Gallon Forecast'!S123*AVERAGE('D6 RIN Forecast'!$AL$7:$AP$7)</f>
        <v>1235470528.310931</v>
      </c>
      <c r="T123" s="4">
        <f>'D6 Gallon Forecast'!T123*AVERAGE('D6 RIN Forecast'!$AL$7:$AP$7)</f>
        <v>1240025945.6883316</v>
      </c>
      <c r="U123" s="4">
        <f>'D6 Gallon Forecast'!U123*AVERAGE('D6 RIN Forecast'!$AL$7:$AP$7)</f>
        <v>1248887494.9387469</v>
      </c>
      <c r="V123" s="4">
        <f>'D6 Gallon Forecast'!V123*AVERAGE('D6 RIN Forecast'!$AL$7:$AP$7)</f>
        <v>1267487681.6859095</v>
      </c>
      <c r="W123" s="4">
        <f>'D6 Gallon Forecast'!W123*AVERAGE('D6 RIN Forecast'!$AL$7:$AP$7)</f>
        <v>1277898162.5423481</v>
      </c>
      <c r="X123" s="4">
        <f>'D6 Gallon Forecast'!X123*AVERAGE('D6 RIN Forecast'!$AL$7:$AP$7)</f>
        <v>1285275882.1385775</v>
      </c>
      <c r="Y123" s="4">
        <f>'D6 Gallon Forecast'!Y123*AVERAGE('D6 RIN Forecast'!$AL$7:$AP$7)</f>
        <v>1295480978.9146199</v>
      </c>
      <c r="Z123" s="4">
        <f>'D6 Gallon Forecast'!Z123*AVERAGE('D6 RIN Forecast'!$AL$7:$AP$7)</f>
        <v>1306834990.4430089</v>
      </c>
    </row>
    <row r="124" spans="1:26">
      <c r="A124" s="2" t="s">
        <v>54</v>
      </c>
      <c r="B124" s="3">
        <f>'Monthly D6 RIN Data'!$E15</f>
        <v>1197646493</v>
      </c>
      <c r="C124" s="3">
        <f>'Monthly D6 RIN Data'!$E27</f>
        <v>1181817350</v>
      </c>
      <c r="D124" s="3">
        <f>'Monthly D6 RIN Data'!$E39</f>
        <v>1036814339</v>
      </c>
      <c r="E124" s="3">
        <f>'Monthly D6 RIN Data'!$E51</f>
        <v>1199980139</v>
      </c>
      <c r="F124" s="3">
        <f>'Monthly D6 RIN Data'!$E63</f>
        <v>1272005545</v>
      </c>
      <c r="G124" s="3">
        <f>'Monthly D6 RIN Data'!$E75</f>
        <v>1291110379</v>
      </c>
      <c r="H124" s="3">
        <f>'Monthly D6 RIN Data'!$E87</f>
        <v>1271455225</v>
      </c>
      <c r="I124" s="3">
        <f>'Monthly D6 RIN Data'!$E99</f>
        <v>1258409330</v>
      </c>
      <c r="J124" s="3">
        <f>'Monthly D6 RIN Data'!$E111</f>
        <v>1232304025</v>
      </c>
      <c r="K124" s="3">
        <f>'Monthly D6 RIN Data'!$E123</f>
        <v>1288930778</v>
      </c>
      <c r="L124" s="3">
        <f>'Monthly D6 RIN Data'!$E135</f>
        <v>1139952619</v>
      </c>
      <c r="M124" s="3">
        <f>'Monthly D6 RIN Data'!$E147</f>
        <v>1290850653</v>
      </c>
      <c r="N124" s="3">
        <f>'Monthly D6 RIN Data'!$E159</f>
        <v>1192962271</v>
      </c>
      <c r="O124" s="3">
        <f>'Monthly D6 RIN Data'!$E171</f>
        <v>1252844625</v>
      </c>
      <c r="P124" s="3">
        <f>'Monthly D6 RIN Data'!$E183</f>
        <v>1295403590</v>
      </c>
      <c r="Q124" s="4">
        <f>'D6 Gallon Forecast'!Q124*AVERAGE('D6 RIN Forecast'!$AL$7:$AP$7)</f>
        <v>1248194190.0720396</v>
      </c>
      <c r="R124" s="4">
        <f>'D6 Gallon Forecast'!R124*AVERAGE('D6 RIN Forecast'!$AL$7:$AP$7)</f>
        <v>1267281818.8315322</v>
      </c>
      <c r="S124" s="4">
        <f>'D6 Gallon Forecast'!S124*AVERAGE('D6 RIN Forecast'!$AL$7:$AP$7)</f>
        <v>1255861261.0080442</v>
      </c>
      <c r="T124" s="4">
        <f>'D6 Gallon Forecast'!T124*AVERAGE('D6 RIN Forecast'!$AL$7:$AP$7)</f>
        <v>1276332797.8303483</v>
      </c>
      <c r="U124" s="4">
        <f>'D6 Gallon Forecast'!U124*AVERAGE('D6 RIN Forecast'!$AL$7:$AP$7)</f>
        <v>1287810023.9038737</v>
      </c>
      <c r="V124" s="4">
        <f>'D6 Gallon Forecast'!V124*AVERAGE('D6 RIN Forecast'!$AL$7:$AP$7)</f>
        <v>1293145350.0636873</v>
      </c>
      <c r="W124" s="4">
        <f>'D6 Gallon Forecast'!W124*AVERAGE('D6 RIN Forecast'!$AL$7:$AP$7)</f>
        <v>1307997194.0046065</v>
      </c>
      <c r="X124" s="4">
        <f>'D6 Gallon Forecast'!X124*AVERAGE('D6 RIN Forecast'!$AL$7:$AP$7)</f>
        <v>1316307478.7505336</v>
      </c>
      <c r="Y124" s="4">
        <f>'D6 Gallon Forecast'!Y124*AVERAGE('D6 RIN Forecast'!$AL$7:$AP$7)</f>
        <v>1328693784.2028618</v>
      </c>
      <c r="Z124" s="4">
        <f>'D6 Gallon Forecast'!Z124*AVERAGE('D6 RIN Forecast'!$AL$7:$AP$7)</f>
        <v>1339413182.9991524</v>
      </c>
    </row>
    <row r="125" spans="1:26" ht="13.5" thickBot="1">
      <c r="A125" s="2" t="s">
        <v>29</v>
      </c>
      <c r="B125" s="3">
        <f t="shared" ref="B125:O125" si="52">SUM(B113:B124)</f>
        <v>6774690885</v>
      </c>
      <c r="C125" s="3">
        <f t="shared" si="52"/>
        <v>13605852829</v>
      </c>
      <c r="D125" s="3">
        <f t="shared" si="52"/>
        <v>12986723082</v>
      </c>
      <c r="E125" s="3">
        <f t="shared" si="52"/>
        <v>13098970936</v>
      </c>
      <c r="F125" s="3">
        <f t="shared" si="52"/>
        <v>14020733965</v>
      </c>
      <c r="G125" s="3">
        <f t="shared" si="52"/>
        <v>14386311095</v>
      </c>
      <c r="H125" s="3">
        <f t="shared" si="52"/>
        <v>14712874310</v>
      </c>
      <c r="I125" s="3">
        <f t="shared" si="52"/>
        <v>14851872278</v>
      </c>
      <c r="J125" s="3">
        <f t="shared" si="52"/>
        <v>14954504578</v>
      </c>
      <c r="K125" s="3">
        <f t="shared" si="52"/>
        <v>14716910382</v>
      </c>
      <c r="L125" s="3">
        <f t="shared" si="52"/>
        <v>12845194670</v>
      </c>
      <c r="M125" s="3">
        <f t="shared" si="52"/>
        <v>14110176420</v>
      </c>
      <c r="N125" s="3">
        <f t="shared" si="52"/>
        <v>14401095909</v>
      </c>
      <c r="O125" s="3">
        <f t="shared" si="52"/>
        <v>14666291777</v>
      </c>
      <c r="P125" s="3">
        <f t="shared" ref="P125:Z125" si="53">SUM(P113:P124)</f>
        <v>14853081800</v>
      </c>
      <c r="Q125" s="4">
        <f t="shared" si="53"/>
        <v>14580170197.621616</v>
      </c>
      <c r="R125" s="4">
        <f t="shared" si="53"/>
        <v>14653604531.415321</v>
      </c>
      <c r="S125" s="4">
        <f t="shared" si="53"/>
        <v>14685321768.437202</v>
      </c>
      <c r="T125" s="4">
        <f t="shared" si="53"/>
        <v>14831892962.601755</v>
      </c>
      <c r="U125" s="4">
        <f t="shared" si="53"/>
        <v>14943474009.310579</v>
      </c>
      <c r="V125" s="4">
        <f t="shared" si="53"/>
        <v>15041815025.586823</v>
      </c>
      <c r="W125" s="4">
        <f t="shared" si="53"/>
        <v>15202104332.108341</v>
      </c>
      <c r="X125" s="4">
        <f t="shared" si="53"/>
        <v>15314123793.093853</v>
      </c>
      <c r="Y125" s="4">
        <f t="shared" si="53"/>
        <v>15442968445.164732</v>
      </c>
      <c r="Z125" s="4">
        <f t="shared" si="53"/>
        <v>15568069170.358864</v>
      </c>
    </row>
    <row r="126" spans="1:26">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row>
    <row r="127" spans="1:26" ht="16.5" thickBot="1">
      <c r="A127" s="109" t="s">
        <v>498</v>
      </c>
    </row>
    <row r="128" spans="1:26" ht="13.5" thickBot="1">
      <c r="A128" s="110"/>
      <c r="B128" s="111">
        <v>2010</v>
      </c>
      <c r="C128" s="111">
        <v>2011</v>
      </c>
      <c r="D128" s="111">
        <v>2012</v>
      </c>
      <c r="E128" s="111">
        <v>2013</v>
      </c>
      <c r="F128" s="111">
        <v>2014</v>
      </c>
      <c r="G128" s="111">
        <v>2015</v>
      </c>
      <c r="H128" s="111">
        <v>2016</v>
      </c>
      <c r="I128" s="111">
        <v>2017</v>
      </c>
      <c r="J128" s="111">
        <v>2018</v>
      </c>
      <c r="K128" s="111">
        <v>2019</v>
      </c>
      <c r="L128" s="111">
        <v>2020</v>
      </c>
      <c r="M128" s="111">
        <v>2021</v>
      </c>
      <c r="N128" s="111">
        <v>2022</v>
      </c>
      <c r="O128" s="111">
        <v>2023</v>
      </c>
      <c r="P128" s="111">
        <v>2024</v>
      </c>
      <c r="Q128" s="111">
        <v>2025</v>
      </c>
      <c r="R128" s="111">
        <v>2026</v>
      </c>
      <c r="S128" s="111">
        <v>2027</v>
      </c>
      <c r="T128" s="111">
        <v>2028</v>
      </c>
      <c r="U128" s="111">
        <v>2029</v>
      </c>
      <c r="V128" s="111">
        <v>2030</v>
      </c>
      <c r="W128" s="111">
        <v>2031</v>
      </c>
      <c r="X128" s="111">
        <v>2032</v>
      </c>
      <c r="Y128" s="111">
        <v>2033</v>
      </c>
      <c r="Z128" s="111">
        <v>2034</v>
      </c>
    </row>
    <row r="129" spans="1:26">
      <c r="A129" s="2" t="s">
        <v>43</v>
      </c>
      <c r="B129" s="3">
        <f>'Monthly D6 RIN Data'!$F4</f>
        <v>0</v>
      </c>
      <c r="C129" s="3">
        <f>'Monthly D6 RIN Data'!$F16</f>
        <v>91760</v>
      </c>
      <c r="D129" s="3">
        <f>'Monthly D6 RIN Data'!$F28</f>
        <v>0</v>
      </c>
      <c r="E129" s="3">
        <f>'Monthly D6 RIN Data'!$F40</f>
        <v>0</v>
      </c>
      <c r="F129" s="3">
        <f>'Monthly D6 RIN Data'!$F52</f>
        <v>0</v>
      </c>
      <c r="G129" s="3">
        <f>'Monthly D6 RIN Data'!$F64</f>
        <v>233543</v>
      </c>
      <c r="H129" s="3">
        <f>'Monthly D6 RIN Data'!$F76</f>
        <v>945537</v>
      </c>
      <c r="I129" s="3">
        <f>'Monthly D6 RIN Data'!$F88</f>
        <v>988952</v>
      </c>
      <c r="J129" s="3">
        <f>'Monthly D6 RIN Data'!$F100</f>
        <v>1013263</v>
      </c>
      <c r="K129" s="3">
        <f>'Monthly D6 RIN Data'!$F112</f>
        <v>1042372</v>
      </c>
      <c r="L129" s="3">
        <f>'Monthly D6 RIN Data'!$F124</f>
        <v>1036449</v>
      </c>
      <c r="M129" s="3">
        <f>'Monthly D6 RIN Data'!$F136</f>
        <v>1008820</v>
      </c>
      <c r="N129" s="3">
        <f>'Monthly D6 RIN Data'!$F148</f>
        <v>1073173</v>
      </c>
      <c r="O129" s="3">
        <f>'Monthly D6 RIN Data'!$F160</f>
        <v>93242</v>
      </c>
      <c r="P129" s="3">
        <f>'Monthly D6 RIN Data'!$F172</f>
        <v>1114087</v>
      </c>
      <c r="Q129" s="3">
        <f>'Monthly D6 RIN Data'!$F184</f>
        <v>1267752</v>
      </c>
      <c r="R129" s="4">
        <f>'D6 Gallon Forecast'!R129*AVERAGE('D6 RIN Forecast'!$AL$8:$AP$8)</f>
        <v>829450.73452066584</v>
      </c>
      <c r="S129" s="4">
        <f>'D6 Gallon Forecast'!S129*AVERAGE('D6 RIN Forecast'!$AL$8:$AP$8)</f>
        <v>807711.27925591148</v>
      </c>
      <c r="T129" s="4">
        <f>'D6 Gallon Forecast'!T129*AVERAGE('D6 RIN Forecast'!$AL$8:$AP$8)</f>
        <v>777117.74555389758</v>
      </c>
      <c r="U129" s="4">
        <f>'D6 Gallon Forecast'!U129*AVERAGE('D6 RIN Forecast'!$AL$8:$AP$8)</f>
        <v>905666.29861265828</v>
      </c>
      <c r="V129" s="4">
        <f>'D6 Gallon Forecast'!V129*AVERAGE('D6 RIN Forecast'!$AL$8:$AP$8)</f>
        <v>892548.26030022034</v>
      </c>
      <c r="W129" s="4">
        <f>'D6 Gallon Forecast'!W129*AVERAGE('D6 RIN Forecast'!$AL$8:$AP$8)</f>
        <v>842498.86364867061</v>
      </c>
      <c r="X129" s="4">
        <f>'D6 Gallon Forecast'!X129*AVERAGE('D6 RIN Forecast'!$AL$8:$AP$8)</f>
        <v>845108.48947427166</v>
      </c>
      <c r="Y129" s="4">
        <f>'D6 Gallon Forecast'!Y129*AVERAGE('D6 RIN Forecast'!$AL$8:$AP$8)</f>
        <v>852587.93151794386</v>
      </c>
      <c r="Z129" s="4">
        <f>'D6 Gallon Forecast'!Z129*AVERAGE('D6 RIN Forecast'!$AL$8:$AP$8)</f>
        <v>867681.9687107529</v>
      </c>
    </row>
    <row r="130" spans="1:26">
      <c r="A130" s="2" t="s">
        <v>44</v>
      </c>
      <c r="B130" s="3">
        <f>'Monthly D6 RIN Data'!$F5</f>
        <v>0</v>
      </c>
      <c r="C130" s="3">
        <f>'Monthly D6 RIN Data'!$F17</f>
        <v>0</v>
      </c>
      <c r="D130" s="3">
        <f>'Monthly D6 RIN Data'!$F29</f>
        <v>0</v>
      </c>
      <c r="E130" s="3">
        <f>'Monthly D6 RIN Data'!$F41</f>
        <v>0</v>
      </c>
      <c r="F130" s="3">
        <f>'Monthly D6 RIN Data'!$F53</f>
        <v>0</v>
      </c>
      <c r="G130" s="3">
        <f>'Monthly D6 RIN Data'!$F65</f>
        <v>290228</v>
      </c>
      <c r="H130" s="3">
        <f>'Monthly D6 RIN Data'!$F77</f>
        <v>888665</v>
      </c>
      <c r="I130" s="3">
        <f>'Monthly D6 RIN Data'!$F89</f>
        <v>925413</v>
      </c>
      <c r="J130" s="3">
        <f>'Monthly D6 RIN Data'!$F101</f>
        <v>917632</v>
      </c>
      <c r="K130" s="3">
        <f>'Monthly D6 RIN Data'!$F113</f>
        <v>914501</v>
      </c>
      <c r="L130" s="3">
        <f>'Monthly D6 RIN Data'!$F125</f>
        <v>1019832</v>
      </c>
      <c r="M130" s="3">
        <f>'Monthly D6 RIN Data'!$F137</f>
        <v>920519</v>
      </c>
      <c r="N130" s="3">
        <f>'Monthly D6 RIN Data'!$F149</f>
        <v>988951</v>
      </c>
      <c r="O130" s="3">
        <f>'Monthly D6 RIN Data'!$F161</f>
        <v>1100346</v>
      </c>
      <c r="P130" s="3">
        <f>'Monthly D6 RIN Data'!$F173</f>
        <v>1082157</v>
      </c>
      <c r="Q130" s="3">
        <f>'Monthly D6 RIN Data'!$F185</f>
        <v>1041915</v>
      </c>
      <c r="R130" s="4">
        <f>'D6 Gallon Forecast'!R130*AVERAGE('D6 RIN Forecast'!$AL$8:$AP$8)</f>
        <v>934438.89051326166</v>
      </c>
      <c r="S130" s="4">
        <f>'D6 Gallon Forecast'!S130*AVERAGE('D6 RIN Forecast'!$AL$8:$AP$8)</f>
        <v>949799.6664376253</v>
      </c>
      <c r="T130" s="4">
        <f>'D6 Gallon Forecast'!T130*AVERAGE('D6 RIN Forecast'!$AL$8:$AP$8)</f>
        <v>965416.59941950743</v>
      </c>
      <c r="U130" s="4">
        <f>'D6 Gallon Forecast'!U130*AVERAGE('D6 RIN Forecast'!$AL$8:$AP$8)</f>
        <v>939204.65485889255</v>
      </c>
      <c r="V130" s="4">
        <f>'D6 Gallon Forecast'!V130*AVERAGE('D6 RIN Forecast'!$AL$8:$AP$8)</f>
        <v>939839.45743760455</v>
      </c>
      <c r="W130" s="4">
        <f>'D6 Gallon Forecast'!W130*AVERAGE('D6 RIN Forecast'!$AL$8:$AP$8)</f>
        <v>945739.85373337823</v>
      </c>
      <c r="X130" s="4">
        <f>'D6 Gallon Forecast'!X130*AVERAGE('D6 RIN Forecast'!$AL$8:$AP$8)</f>
        <v>948000.04637740168</v>
      </c>
      <c r="Y130" s="4">
        <f>'D6 Gallon Forecast'!Y130*AVERAGE('D6 RIN Forecast'!$AL$8:$AP$8)</f>
        <v>947640.12236535701</v>
      </c>
      <c r="Z130" s="4">
        <f>'D6 Gallon Forecast'!Z130*AVERAGE('D6 RIN Forecast'!$AL$8:$AP$8)</f>
        <v>944084.82695452683</v>
      </c>
    </row>
    <row r="131" spans="1:26">
      <c r="A131" s="2" t="s">
        <v>45</v>
      </c>
      <c r="B131" s="3">
        <f>'Monthly D6 RIN Data'!$F6</f>
        <v>0</v>
      </c>
      <c r="C131" s="3">
        <f>'Monthly D6 RIN Data'!$F18</f>
        <v>0</v>
      </c>
      <c r="D131" s="3">
        <f>'Monthly D6 RIN Data'!$F30</f>
        <v>0</v>
      </c>
      <c r="E131" s="3">
        <f>'Monthly D6 RIN Data'!$F42</f>
        <v>0</v>
      </c>
      <c r="F131" s="3">
        <f>'Monthly D6 RIN Data'!$F54</f>
        <v>0</v>
      </c>
      <c r="G131" s="3">
        <f>'Monthly D6 RIN Data'!$F66</f>
        <v>243216</v>
      </c>
      <c r="H131" s="3">
        <f>'Monthly D6 RIN Data'!$F78</f>
        <v>923360</v>
      </c>
      <c r="I131" s="3">
        <f>'Monthly D6 RIN Data'!$F90</f>
        <v>1010247</v>
      </c>
      <c r="J131" s="3">
        <f>'Monthly D6 RIN Data'!$F102</f>
        <v>1012419</v>
      </c>
      <c r="K131" s="3">
        <f>'Monthly D6 RIN Data'!$F114</f>
        <v>981894</v>
      </c>
      <c r="L131" s="3">
        <f>'Monthly D6 RIN Data'!$F126</f>
        <v>865092</v>
      </c>
      <c r="M131" s="3">
        <f>'Monthly D6 RIN Data'!$F138</f>
        <v>1036534</v>
      </c>
      <c r="N131" s="3">
        <f>'Monthly D6 RIN Data'!$F150</f>
        <v>1088289</v>
      </c>
      <c r="O131" s="3">
        <f>'Monthly D6 RIN Data'!$F162</f>
        <v>0</v>
      </c>
      <c r="P131" s="3">
        <f>'Monthly D6 RIN Data'!$F174</f>
        <v>1127636</v>
      </c>
      <c r="Q131" s="3">
        <f>'Monthly D6 RIN Data'!$F186</f>
        <v>988011</v>
      </c>
      <c r="R131" s="4">
        <f>'D6 Gallon Forecast'!R131*AVERAGE('D6 RIN Forecast'!$AL$8:$AP$8)</f>
        <v>771824.41106131859</v>
      </c>
      <c r="S131" s="4">
        <f>'D6 Gallon Forecast'!S131*AVERAGE('D6 RIN Forecast'!$AL$8:$AP$8)</f>
        <v>733550.27859935421</v>
      </c>
      <c r="T131" s="4">
        <f>'D6 Gallon Forecast'!T131*AVERAGE('D6 RIN Forecast'!$AL$8:$AP$8)</f>
        <v>684288.40480577515</v>
      </c>
      <c r="U131" s="4">
        <f>'D6 Gallon Forecast'!U131*AVERAGE('D6 RIN Forecast'!$AL$8:$AP$8)</f>
        <v>812985.3436280333</v>
      </c>
      <c r="V131" s="4">
        <f>'D6 Gallon Forecast'!V131*AVERAGE('D6 RIN Forecast'!$AL$8:$AP$8)</f>
        <v>776392.88678880967</v>
      </c>
      <c r="W131" s="4">
        <f>'D6 Gallon Forecast'!W131*AVERAGE('D6 RIN Forecast'!$AL$8:$AP$8)</f>
        <v>755808.26497665816</v>
      </c>
      <c r="X131" s="4">
        <f>'D6 Gallon Forecast'!X131*AVERAGE('D6 RIN Forecast'!$AL$8:$AP$8)</f>
        <v>752605.03575972607</v>
      </c>
      <c r="Y131" s="4">
        <f>'D6 Gallon Forecast'!Y131*AVERAGE('D6 RIN Forecast'!$AL$8:$AP$8)</f>
        <v>756415.98719180049</v>
      </c>
      <c r="Z131" s="4">
        <f>'D6 Gallon Forecast'!Z131*AVERAGE('D6 RIN Forecast'!$AL$8:$AP$8)</f>
        <v>770841.50366900547</v>
      </c>
    </row>
    <row r="132" spans="1:26">
      <c r="A132" s="2" t="s">
        <v>46</v>
      </c>
      <c r="B132" s="3">
        <f>'Monthly D6 RIN Data'!$F7</f>
        <v>0</v>
      </c>
      <c r="C132" s="3">
        <f>'Monthly D6 RIN Data'!$F19</f>
        <v>0</v>
      </c>
      <c r="D132" s="3">
        <f>'Monthly D6 RIN Data'!$F31</f>
        <v>0</v>
      </c>
      <c r="E132" s="3">
        <f>'Monthly D6 RIN Data'!$F43</f>
        <v>0</v>
      </c>
      <c r="F132" s="3">
        <f>'Monthly D6 RIN Data'!$F55</f>
        <v>0</v>
      </c>
      <c r="G132" s="3">
        <f>'Monthly D6 RIN Data'!$F67</f>
        <v>308199</v>
      </c>
      <c r="H132" s="3">
        <f>'Monthly D6 RIN Data'!$F79</f>
        <v>913421</v>
      </c>
      <c r="I132" s="3">
        <f>'Monthly D6 RIN Data'!$F91</f>
        <v>909611</v>
      </c>
      <c r="J132" s="3">
        <f>'Monthly D6 RIN Data'!$F103</f>
        <v>861598</v>
      </c>
      <c r="K132" s="3">
        <f>'Monthly D6 RIN Data'!$F115</f>
        <v>932842</v>
      </c>
      <c r="L132" s="3">
        <f>'Monthly D6 RIN Data'!$F127</f>
        <v>575961</v>
      </c>
      <c r="M132" s="3">
        <f>'Monthly D6 RIN Data'!$F139</f>
        <v>1040857</v>
      </c>
      <c r="N132" s="3">
        <f>'Monthly D6 RIN Data'!$F151</f>
        <v>1034253</v>
      </c>
      <c r="O132" s="3">
        <f>'Monthly D6 RIN Data'!$F163</f>
        <v>1063202</v>
      </c>
      <c r="P132" s="3">
        <f>'Monthly D6 RIN Data'!$F175</f>
        <v>1117752</v>
      </c>
      <c r="Q132" s="4">
        <f>'D6 Gallon Forecast'!Q132*AVERAGE('D6 RIN Forecast'!$AL$8:$AP$8)</f>
        <v>1036618.2142193818</v>
      </c>
      <c r="R132" s="4">
        <f>'D6 Gallon Forecast'!R132*AVERAGE('D6 RIN Forecast'!$AL$8:$AP$8)</f>
        <v>963341.64206434425</v>
      </c>
      <c r="S132" s="4">
        <f>'D6 Gallon Forecast'!S132*AVERAGE('D6 RIN Forecast'!$AL$8:$AP$8)</f>
        <v>962227.77653440519</v>
      </c>
      <c r="T132" s="4">
        <f>'D6 Gallon Forecast'!T132*AVERAGE('D6 RIN Forecast'!$AL$8:$AP$8)</f>
        <v>971933.47216351319</v>
      </c>
      <c r="U132" s="4">
        <f>'D6 Gallon Forecast'!U132*AVERAGE('D6 RIN Forecast'!$AL$8:$AP$8)</f>
        <v>953961.20188822516</v>
      </c>
      <c r="V132" s="4">
        <f>'D6 Gallon Forecast'!V132*AVERAGE('D6 RIN Forecast'!$AL$8:$AP$8)</f>
        <v>950988.77565561677</v>
      </c>
      <c r="W132" s="4">
        <f>'D6 Gallon Forecast'!W132*AVERAGE('D6 RIN Forecast'!$AL$8:$AP$8)</f>
        <v>960490.57366122073</v>
      </c>
      <c r="X132" s="4">
        <f>'D6 Gallon Forecast'!X132*AVERAGE('D6 RIN Forecast'!$AL$8:$AP$8)</f>
        <v>959920.35998059623</v>
      </c>
      <c r="Y132" s="4">
        <f>'D6 Gallon Forecast'!Y132*AVERAGE('D6 RIN Forecast'!$AL$8:$AP$8)</f>
        <v>959458.87666983448</v>
      </c>
      <c r="Z132" s="4">
        <f>'D6 Gallon Forecast'!Z132*AVERAGE('D6 RIN Forecast'!$AL$8:$AP$8)</f>
        <v>956963.9575710987</v>
      </c>
    </row>
    <row r="133" spans="1:26">
      <c r="A133" s="2" t="s">
        <v>47</v>
      </c>
      <c r="B133" s="3">
        <f>'Monthly D6 RIN Data'!$F8</f>
        <v>0</v>
      </c>
      <c r="C133" s="3">
        <f>'Monthly D6 RIN Data'!$F20</f>
        <v>0</v>
      </c>
      <c r="D133" s="3">
        <f>'Monthly D6 RIN Data'!$F32</f>
        <v>0</v>
      </c>
      <c r="E133" s="3">
        <f>'Monthly D6 RIN Data'!$F44</f>
        <v>0</v>
      </c>
      <c r="F133" s="3">
        <f>'Monthly D6 RIN Data'!$F56</f>
        <v>0</v>
      </c>
      <c r="G133" s="3">
        <f>'Monthly D6 RIN Data'!$F68</f>
        <v>325513</v>
      </c>
      <c r="H133" s="3">
        <f>'Monthly D6 RIN Data'!$F80</f>
        <v>966852</v>
      </c>
      <c r="I133" s="3">
        <f>'Monthly D6 RIN Data'!$F92</f>
        <v>1064278</v>
      </c>
      <c r="J133" s="3">
        <f>'Monthly D6 RIN Data'!$F104</f>
        <v>1085440</v>
      </c>
      <c r="K133" s="3">
        <f>'Monthly D6 RIN Data'!$F116</f>
        <v>1192213</v>
      </c>
      <c r="L133" s="3">
        <f>'Monthly D6 RIN Data'!$F128</f>
        <v>902901</v>
      </c>
      <c r="M133" s="3">
        <f>'Monthly D6 RIN Data'!$F140</f>
        <v>1121139</v>
      </c>
      <c r="N133" s="3">
        <f>'Monthly D6 RIN Data'!$F152</f>
        <v>1213156</v>
      </c>
      <c r="O133" s="3">
        <f>'Monthly D6 RIN Data'!$F164</f>
        <v>1270046</v>
      </c>
      <c r="P133" s="3">
        <f>'Monthly D6 RIN Data'!$F176</f>
        <v>1287081</v>
      </c>
      <c r="Q133" s="4">
        <f>'D6 Gallon Forecast'!Q133*AVERAGE('D6 RIN Forecast'!$AL$8:$AP$8)</f>
        <v>1243060.7790461122</v>
      </c>
      <c r="R133" s="4">
        <f>'D6 Gallon Forecast'!R133*AVERAGE('D6 RIN Forecast'!$AL$8:$AP$8)</f>
        <v>1116561.0317023979</v>
      </c>
      <c r="S133" s="4">
        <f>'D6 Gallon Forecast'!S133*AVERAGE('D6 RIN Forecast'!$AL$8:$AP$8)</f>
        <v>1131002.1019379629</v>
      </c>
      <c r="T133" s="4">
        <f>'D6 Gallon Forecast'!T133*AVERAGE('D6 RIN Forecast'!$AL$8:$AP$8)</f>
        <v>1142883.4675366741</v>
      </c>
      <c r="U133" s="4">
        <f>'D6 Gallon Forecast'!U133*AVERAGE('D6 RIN Forecast'!$AL$8:$AP$8)</f>
        <v>1118003.459254279</v>
      </c>
      <c r="V133" s="4">
        <f>'D6 Gallon Forecast'!V133*AVERAGE('D6 RIN Forecast'!$AL$8:$AP$8)</f>
        <v>1118970.9804430788</v>
      </c>
      <c r="W133" s="4">
        <f>'D6 Gallon Forecast'!W133*AVERAGE('D6 RIN Forecast'!$AL$8:$AP$8)</f>
        <v>1125484.2081748785</v>
      </c>
      <c r="X133" s="4">
        <f>'D6 Gallon Forecast'!X133*AVERAGE('D6 RIN Forecast'!$AL$8:$AP$8)</f>
        <v>1127268.8434693748</v>
      </c>
      <c r="Y133" s="4">
        <f>'D6 Gallon Forecast'!Y133*AVERAGE('D6 RIN Forecast'!$AL$8:$AP$8)</f>
        <v>1126522.191775657</v>
      </c>
      <c r="Z133" s="4">
        <f>'D6 Gallon Forecast'!Z133*AVERAGE('D6 RIN Forecast'!$AL$8:$AP$8)</f>
        <v>1123249.9366234536</v>
      </c>
    </row>
    <row r="134" spans="1:26">
      <c r="A134" s="2" t="s">
        <v>48</v>
      </c>
      <c r="B134" s="3">
        <f>'Monthly D6 RIN Data'!$F9</f>
        <v>0</v>
      </c>
      <c r="C134" s="3">
        <f>'Monthly D6 RIN Data'!$F21</f>
        <v>0</v>
      </c>
      <c r="D134" s="3">
        <f>'Monthly D6 RIN Data'!$F33</f>
        <v>0</v>
      </c>
      <c r="E134" s="3">
        <f>'Monthly D6 RIN Data'!$F45</f>
        <v>0</v>
      </c>
      <c r="F134" s="3">
        <f>'Monthly D6 RIN Data'!$F57</f>
        <v>0</v>
      </c>
      <c r="G134" s="3">
        <f>'Monthly D6 RIN Data'!$F69</f>
        <v>336088</v>
      </c>
      <c r="H134" s="3">
        <f>'Monthly D6 RIN Data'!$F81</f>
        <v>976339</v>
      </c>
      <c r="I134" s="3">
        <f>'Monthly D6 RIN Data'!$F93</f>
        <v>1090991</v>
      </c>
      <c r="J134" s="3">
        <f>'Monthly D6 RIN Data'!$F105</f>
        <v>1143777</v>
      </c>
      <c r="K134" s="3">
        <f>'Monthly D6 RIN Data'!$F117</f>
        <v>1188063</v>
      </c>
      <c r="L134" s="3">
        <f>'Monthly D6 RIN Data'!$F129</f>
        <v>1027659</v>
      </c>
      <c r="M134" s="3">
        <f>'Monthly D6 RIN Data'!$F141</f>
        <v>1197808</v>
      </c>
      <c r="N134" s="3">
        <f>'Monthly D6 RIN Data'!$F153</f>
        <v>1186039</v>
      </c>
      <c r="O134" s="3">
        <f>'Monthly D6 RIN Data'!$F165</f>
        <v>1197697</v>
      </c>
      <c r="P134" s="3">
        <f>'Monthly D6 RIN Data'!$F177</f>
        <v>1182008</v>
      </c>
      <c r="Q134" s="4">
        <f>'D6 Gallon Forecast'!Q134*AVERAGE('D6 RIN Forecast'!$AL$8:$AP$8)</f>
        <v>1242393.1591801862</v>
      </c>
      <c r="R134" s="4">
        <f>'D6 Gallon Forecast'!R134*AVERAGE('D6 RIN Forecast'!$AL$8:$AP$8)</f>
        <v>1093165.4003803411</v>
      </c>
      <c r="S134" s="4">
        <f>'D6 Gallon Forecast'!S134*AVERAGE('D6 RIN Forecast'!$AL$8:$AP$8)</f>
        <v>1088823.6938576282</v>
      </c>
      <c r="T134" s="4">
        <f>'D6 Gallon Forecast'!T134*AVERAGE('D6 RIN Forecast'!$AL$8:$AP$8)</f>
        <v>1096836.7351500809</v>
      </c>
      <c r="U134" s="4">
        <f>'D6 Gallon Forecast'!U134*AVERAGE('D6 RIN Forecast'!$AL$8:$AP$8)</f>
        <v>1076958.4191041724</v>
      </c>
      <c r="V134" s="4">
        <f>'D6 Gallon Forecast'!V134*AVERAGE('D6 RIN Forecast'!$AL$8:$AP$8)</f>
        <v>1089139.5734771222</v>
      </c>
      <c r="W134" s="4">
        <f>'D6 Gallon Forecast'!W134*AVERAGE('D6 RIN Forecast'!$AL$8:$AP$8)</f>
        <v>1088984.7643938689</v>
      </c>
      <c r="X134" s="4">
        <f>'D6 Gallon Forecast'!X134*AVERAGE('D6 RIN Forecast'!$AL$8:$AP$8)</f>
        <v>1088148.6371965746</v>
      </c>
      <c r="Y134" s="4">
        <f>'D6 Gallon Forecast'!Y134*AVERAGE('D6 RIN Forecast'!$AL$8:$AP$8)</f>
        <v>1088013.6258643637</v>
      </c>
      <c r="Z134" s="4">
        <f>'D6 Gallon Forecast'!Z134*AVERAGE('D6 RIN Forecast'!$AL$8:$AP$8)</f>
        <v>1086249.0040072203</v>
      </c>
    </row>
    <row r="135" spans="1:26">
      <c r="A135" s="2" t="s">
        <v>49</v>
      </c>
      <c r="B135" s="3">
        <f>'Monthly D6 RIN Data'!$F10</f>
        <v>1203165</v>
      </c>
      <c r="C135" s="3">
        <f>'Monthly D6 RIN Data'!$F22</f>
        <v>0</v>
      </c>
      <c r="D135" s="3">
        <f>'Monthly D6 RIN Data'!$F34</f>
        <v>0</v>
      </c>
      <c r="E135" s="3">
        <f>'Monthly D6 RIN Data'!$F46</f>
        <v>0</v>
      </c>
      <c r="F135" s="3">
        <f>'Monthly D6 RIN Data'!$F58</f>
        <v>0</v>
      </c>
      <c r="G135" s="3">
        <f>'Monthly D6 RIN Data'!$F70</f>
        <v>324022</v>
      </c>
      <c r="H135" s="3">
        <f>'Monthly D6 RIN Data'!$F82</f>
        <v>952163</v>
      </c>
      <c r="I135" s="3">
        <f>'Monthly D6 RIN Data'!$F94</f>
        <v>1120198</v>
      </c>
      <c r="J135" s="3">
        <f>'Monthly D6 RIN Data'!$F106</f>
        <v>1216753</v>
      </c>
      <c r="K135" s="3">
        <f>'Monthly D6 RIN Data'!$F118</f>
        <v>1396026</v>
      </c>
      <c r="L135" s="3">
        <f>'Monthly D6 RIN Data'!$F130</f>
        <v>1141159</v>
      </c>
      <c r="M135" s="3">
        <f>'Monthly D6 RIN Data'!$F142</f>
        <v>1270352</v>
      </c>
      <c r="N135" s="3">
        <f>'Monthly D6 RIN Data'!$F154</f>
        <v>1299629</v>
      </c>
      <c r="O135" s="3">
        <f>'Monthly D6 RIN Data'!$F166</f>
        <v>1373621</v>
      </c>
      <c r="P135" s="3">
        <f>'Monthly D6 RIN Data'!$F178</f>
        <v>1350023</v>
      </c>
      <c r="Q135" s="4">
        <f>'D6 Gallon Forecast'!Q135*AVERAGE('D6 RIN Forecast'!$AL$8:$AP$8)</f>
        <v>1280459.3931048475</v>
      </c>
      <c r="R135" s="4">
        <f>'D6 Gallon Forecast'!R135*AVERAGE('D6 RIN Forecast'!$AL$8:$AP$8)</f>
        <v>1196574.6285141872</v>
      </c>
      <c r="S135" s="4">
        <f>'D6 Gallon Forecast'!S135*AVERAGE('D6 RIN Forecast'!$AL$8:$AP$8)</f>
        <v>1199343.4044525574</v>
      </c>
      <c r="T135" s="4">
        <f>'D6 Gallon Forecast'!T135*AVERAGE('D6 RIN Forecast'!$AL$8:$AP$8)</f>
        <v>1209454.3550717349</v>
      </c>
      <c r="U135" s="4">
        <f>'D6 Gallon Forecast'!U135*AVERAGE('D6 RIN Forecast'!$AL$8:$AP$8)</f>
        <v>1177536.2124503597</v>
      </c>
      <c r="V135" s="4">
        <f>'D6 Gallon Forecast'!V135*AVERAGE('D6 RIN Forecast'!$AL$8:$AP$8)</f>
        <v>1179643.5785201725</v>
      </c>
      <c r="W135" s="4">
        <f>'D6 Gallon Forecast'!W135*AVERAGE('D6 RIN Forecast'!$AL$8:$AP$8)</f>
        <v>1192510.4358018024</v>
      </c>
      <c r="X135" s="4">
        <f>'D6 Gallon Forecast'!X135*AVERAGE('D6 RIN Forecast'!$AL$8:$AP$8)</f>
        <v>1191697.5972593254</v>
      </c>
      <c r="Y135" s="4">
        <f>'D6 Gallon Forecast'!Y135*AVERAGE('D6 RIN Forecast'!$AL$8:$AP$8)</f>
        <v>1190168.4358206789</v>
      </c>
      <c r="Z135" s="4">
        <f>'D6 Gallon Forecast'!Z135*AVERAGE('D6 RIN Forecast'!$AL$8:$AP$8)</f>
        <v>1186311.2519704679</v>
      </c>
    </row>
    <row r="136" spans="1:26">
      <c r="A136" s="2" t="s">
        <v>50</v>
      </c>
      <c r="B136" s="3">
        <f>'Monthly D6 RIN Data'!$F11</f>
        <v>443599</v>
      </c>
      <c r="C136" s="3">
        <f>'Monthly D6 RIN Data'!$F23</f>
        <v>0</v>
      </c>
      <c r="D136" s="3">
        <f>'Monthly D6 RIN Data'!$F35</f>
        <v>0</v>
      </c>
      <c r="E136" s="3">
        <f>'Monthly D6 RIN Data'!$F47</f>
        <v>0</v>
      </c>
      <c r="F136" s="3">
        <f>'Monthly D6 RIN Data'!$F59</f>
        <v>0</v>
      </c>
      <c r="G136" s="3">
        <f>'Monthly D6 RIN Data'!$F71</f>
        <v>1098601</v>
      </c>
      <c r="H136" s="3">
        <f>'Monthly D6 RIN Data'!$F83</f>
        <v>1091073</v>
      </c>
      <c r="I136" s="3">
        <f>'Monthly D6 RIN Data'!$F95</f>
        <v>1189169</v>
      </c>
      <c r="J136" s="3">
        <f>'Monthly D6 RIN Data'!$F107</f>
        <v>1228733</v>
      </c>
      <c r="K136" s="3">
        <f>'Monthly D6 RIN Data'!$F119</f>
        <v>1317554</v>
      </c>
      <c r="L136" s="3">
        <f>'Monthly D6 RIN Data'!$F131</f>
        <v>1191316</v>
      </c>
      <c r="M136" s="3">
        <f>'Monthly D6 RIN Data'!$F143</f>
        <v>958375</v>
      </c>
      <c r="N136" s="3">
        <f>'Monthly D6 RIN Data'!$F155</f>
        <v>1330253</v>
      </c>
      <c r="O136" s="3">
        <f>'Monthly D6 RIN Data'!$F167</f>
        <v>1450570</v>
      </c>
      <c r="P136" s="3">
        <f>'Monthly D6 RIN Data'!$F179</f>
        <v>1345517</v>
      </c>
      <c r="Q136" s="4">
        <f>'D6 Gallon Forecast'!Q136*AVERAGE('D6 RIN Forecast'!$AL$8:$AP$8)</f>
        <v>1246401.9841796102</v>
      </c>
      <c r="R136" s="4">
        <f>'D6 Gallon Forecast'!R136*AVERAGE('D6 RIN Forecast'!$AL$8:$AP$8)</f>
        <v>1152351.1869379429</v>
      </c>
      <c r="S136" s="4">
        <f>'D6 Gallon Forecast'!S136*AVERAGE('D6 RIN Forecast'!$AL$8:$AP$8)</f>
        <v>1203916.5891996711</v>
      </c>
      <c r="T136" s="4">
        <f>'D6 Gallon Forecast'!T136*AVERAGE('D6 RIN Forecast'!$AL$8:$AP$8)</f>
        <v>1209215.362824287</v>
      </c>
      <c r="U136" s="4">
        <f>'D6 Gallon Forecast'!U136*AVERAGE('D6 RIN Forecast'!$AL$8:$AP$8)</f>
        <v>1162721.7485152034</v>
      </c>
      <c r="V136" s="4">
        <f>'D6 Gallon Forecast'!V136*AVERAGE('D6 RIN Forecast'!$AL$8:$AP$8)</f>
        <v>1162374.8777542247</v>
      </c>
      <c r="W136" s="4">
        <f>'D6 Gallon Forecast'!W136*AVERAGE('D6 RIN Forecast'!$AL$8:$AP$8)</f>
        <v>1178115.9530462658</v>
      </c>
      <c r="X136" s="4">
        <f>'D6 Gallon Forecast'!X136*AVERAGE('D6 RIN Forecast'!$AL$8:$AP$8)</f>
        <v>1183268.9062679303</v>
      </c>
      <c r="Y136" s="4">
        <f>'D6 Gallon Forecast'!Y136*AVERAGE('D6 RIN Forecast'!$AL$8:$AP$8)</f>
        <v>1179139.3696815823</v>
      </c>
      <c r="Z136" s="4">
        <f>'D6 Gallon Forecast'!Z136*AVERAGE('D6 RIN Forecast'!$AL$8:$AP$8)</f>
        <v>1173124.1710530412</v>
      </c>
    </row>
    <row r="137" spans="1:26">
      <c r="A137" s="2" t="s">
        <v>51</v>
      </c>
      <c r="B137" s="3">
        <f>'Monthly D6 RIN Data'!$F12</f>
        <v>222920</v>
      </c>
      <c r="C137" s="3">
        <f>'Monthly D6 RIN Data'!$F24</f>
        <v>1551573</v>
      </c>
      <c r="D137" s="3">
        <f>'Monthly D6 RIN Data'!$F36</f>
        <v>0</v>
      </c>
      <c r="E137" s="3">
        <f>'Monthly D6 RIN Data'!$F48</f>
        <v>0</v>
      </c>
      <c r="F137" s="3">
        <f>'Monthly D6 RIN Data'!$F60</f>
        <v>302200</v>
      </c>
      <c r="G137" s="3">
        <f>'Monthly D6 RIN Data'!$F72</f>
        <v>966470</v>
      </c>
      <c r="H137" s="3">
        <f>'Monthly D6 RIN Data'!$F84</f>
        <v>1070023</v>
      </c>
      <c r="I137" s="3">
        <f>'Monthly D6 RIN Data'!$F96</f>
        <v>979481</v>
      </c>
      <c r="J137" s="3">
        <f>'Monthly D6 RIN Data'!$F108</f>
        <v>1038106</v>
      </c>
      <c r="K137" s="3">
        <f>'Monthly D6 RIN Data'!$F120</f>
        <v>1155897</v>
      </c>
      <c r="L137" s="3">
        <f>'Monthly D6 RIN Data'!$F132</f>
        <v>1159627</v>
      </c>
      <c r="M137" s="3">
        <f>'Monthly D6 RIN Data'!$F144</f>
        <v>1217879</v>
      </c>
      <c r="N137" s="3">
        <f>'Monthly D6 RIN Data'!$F156</f>
        <v>1189662</v>
      </c>
      <c r="O137" s="3">
        <f>'Monthly D6 RIN Data'!$F168</f>
        <v>1272177</v>
      </c>
      <c r="P137" s="3">
        <f>'Monthly D6 RIN Data'!$F180</f>
        <v>1172907</v>
      </c>
      <c r="Q137" s="4">
        <f>'D6 Gallon Forecast'!Q137*AVERAGE('D6 RIN Forecast'!$AL$8:$AP$8)</f>
        <v>1289813.2629025939</v>
      </c>
      <c r="R137" s="4">
        <f>'D6 Gallon Forecast'!R137*AVERAGE('D6 RIN Forecast'!$AL$8:$AP$8)</f>
        <v>1118009.0402114161</v>
      </c>
      <c r="S137" s="4">
        <f>'D6 Gallon Forecast'!S137*AVERAGE('D6 RIN Forecast'!$AL$8:$AP$8)</f>
        <v>1114888.0223951065</v>
      </c>
      <c r="T137" s="4">
        <f>'D6 Gallon Forecast'!T137*AVERAGE('D6 RIN Forecast'!$AL$8:$AP$8)</f>
        <v>1127773.5427191749</v>
      </c>
      <c r="U137" s="4">
        <f>'D6 Gallon Forecast'!U137*AVERAGE('D6 RIN Forecast'!$AL$8:$AP$8)</f>
        <v>1099649.3451591083</v>
      </c>
      <c r="V137" s="4">
        <f>'D6 Gallon Forecast'!V137*AVERAGE('D6 RIN Forecast'!$AL$8:$AP$8)</f>
        <v>1118702.9598029961</v>
      </c>
      <c r="W137" s="4">
        <f>'D6 Gallon Forecast'!W137*AVERAGE('D6 RIN Forecast'!$AL$8:$AP$8)</f>
        <v>1115804.5820575606</v>
      </c>
      <c r="X137" s="4">
        <f>'D6 Gallon Forecast'!X137*AVERAGE('D6 RIN Forecast'!$AL$8:$AP$8)</f>
        <v>1115363.6904267892</v>
      </c>
      <c r="Y137" s="4">
        <f>'D6 Gallon Forecast'!Y137*AVERAGE('D6 RIN Forecast'!$AL$8:$AP$8)</f>
        <v>1115458.8240331258</v>
      </c>
      <c r="Z137" s="4">
        <f>'D6 Gallon Forecast'!Z137*AVERAGE('D6 RIN Forecast'!$AL$8:$AP$8)</f>
        <v>1112995.880295916</v>
      </c>
    </row>
    <row r="138" spans="1:26">
      <c r="A138" s="2" t="s">
        <v>52</v>
      </c>
      <c r="B138" s="3">
        <f>'Monthly D6 RIN Data'!$F13</f>
        <v>164225</v>
      </c>
      <c r="C138" s="3">
        <f>'Monthly D6 RIN Data'!$F25</f>
        <v>822011</v>
      </c>
      <c r="D138" s="3">
        <f>'Monthly D6 RIN Data'!$F37</f>
        <v>0</v>
      </c>
      <c r="E138" s="3">
        <f>'Monthly D6 RIN Data'!$F49</f>
        <v>0</v>
      </c>
      <c r="F138" s="3">
        <f>'Monthly D6 RIN Data'!$F61</f>
        <v>334809</v>
      </c>
      <c r="G138" s="3">
        <f>'Monthly D6 RIN Data'!$F73</f>
        <v>1033369</v>
      </c>
      <c r="H138" s="3">
        <f>'Monthly D6 RIN Data'!$F85</f>
        <v>1000595</v>
      </c>
      <c r="I138" s="3">
        <f>'Monthly D6 RIN Data'!$F97</f>
        <v>1017150</v>
      </c>
      <c r="J138" s="3">
        <f>'Monthly D6 RIN Data'!$F109</f>
        <v>1136344</v>
      </c>
      <c r="K138" s="3">
        <f>'Monthly D6 RIN Data'!$F121</f>
        <v>1202514</v>
      </c>
      <c r="L138" s="3">
        <f>'Monthly D6 RIN Data'!$F133</f>
        <v>1153031</v>
      </c>
      <c r="M138" s="3">
        <f>'Monthly D6 RIN Data'!$F145</f>
        <v>1225091</v>
      </c>
      <c r="N138" s="3">
        <f>'Monthly D6 RIN Data'!$F157</f>
        <v>1222050</v>
      </c>
      <c r="O138" s="3">
        <f>'Monthly D6 RIN Data'!$F169</f>
        <v>1344472</v>
      </c>
      <c r="P138" s="3">
        <f>'Monthly D6 RIN Data'!$F181</f>
        <v>1337021</v>
      </c>
      <c r="Q138" s="4">
        <f>'D6 Gallon Forecast'!Q138*AVERAGE('D6 RIN Forecast'!$AL$8:$AP$8)</f>
        <v>1247610.6507363669</v>
      </c>
      <c r="R138" s="4">
        <f>'D6 Gallon Forecast'!R138*AVERAGE('D6 RIN Forecast'!$AL$8:$AP$8)</f>
        <v>1160565.0487652265</v>
      </c>
      <c r="S138" s="4">
        <f>'D6 Gallon Forecast'!S138*AVERAGE('D6 RIN Forecast'!$AL$8:$AP$8)</f>
        <v>1164547.7925628298</v>
      </c>
      <c r="T138" s="4">
        <f>'D6 Gallon Forecast'!T138*AVERAGE('D6 RIN Forecast'!$AL$8:$AP$8)</f>
        <v>1181900.632875189</v>
      </c>
      <c r="U138" s="4">
        <f>'D6 Gallon Forecast'!U138*AVERAGE('D6 RIN Forecast'!$AL$8:$AP$8)</f>
        <v>1150304.6462377554</v>
      </c>
      <c r="V138" s="4">
        <f>'D6 Gallon Forecast'!V138*AVERAGE('D6 RIN Forecast'!$AL$8:$AP$8)</f>
        <v>1148818.8270773087</v>
      </c>
      <c r="W138" s="4">
        <f>'D6 Gallon Forecast'!W138*AVERAGE('D6 RIN Forecast'!$AL$8:$AP$8)</f>
        <v>1161227.3895036618</v>
      </c>
      <c r="X138" s="4">
        <f>'D6 Gallon Forecast'!X138*AVERAGE('D6 RIN Forecast'!$AL$8:$AP$8)</f>
        <v>1161359.8576513487</v>
      </c>
      <c r="Y138" s="4">
        <f>'D6 Gallon Forecast'!Y138*AVERAGE('D6 RIN Forecast'!$AL$8:$AP$8)</f>
        <v>1160722.2706690528</v>
      </c>
      <c r="Z138" s="4">
        <f>'D6 Gallon Forecast'!Z138*AVERAGE('D6 RIN Forecast'!$AL$8:$AP$8)</f>
        <v>1156486.5982278255</v>
      </c>
    </row>
    <row r="139" spans="1:26">
      <c r="A139" s="2" t="s">
        <v>53</v>
      </c>
      <c r="B139" s="3">
        <f>'Monthly D6 RIN Data'!$F14</f>
        <v>345673</v>
      </c>
      <c r="C139" s="3">
        <f>'Monthly D6 RIN Data'!$F26</f>
        <v>738947</v>
      </c>
      <c r="D139" s="3">
        <f>'Monthly D6 RIN Data'!$F38</f>
        <v>0</v>
      </c>
      <c r="E139" s="3">
        <f>'Monthly D6 RIN Data'!$F50</f>
        <v>0</v>
      </c>
      <c r="F139" s="3">
        <f>'Monthly D6 RIN Data'!$F62</f>
        <v>298873</v>
      </c>
      <c r="G139" s="3">
        <f>'Monthly D6 RIN Data'!$F74</f>
        <v>898231</v>
      </c>
      <c r="H139" s="3">
        <f>'Monthly D6 RIN Data'!$F86</f>
        <v>982939</v>
      </c>
      <c r="I139" s="3">
        <f>'Monthly D6 RIN Data'!$F98</f>
        <v>1027845</v>
      </c>
      <c r="J139" s="3">
        <f>'Monthly D6 RIN Data'!$F110</f>
        <v>1041666</v>
      </c>
      <c r="K139" s="3">
        <f>'Monthly D6 RIN Data'!$F122</f>
        <v>1027120</v>
      </c>
      <c r="L139" s="3">
        <f>'Monthly D6 RIN Data'!$F134</f>
        <v>894215</v>
      </c>
      <c r="M139" s="3">
        <f>'Monthly D6 RIN Data'!$F146</f>
        <v>1184651</v>
      </c>
      <c r="N139" s="3">
        <f>'Monthly D6 RIN Data'!$F158</f>
        <v>1189598</v>
      </c>
      <c r="O139" s="3">
        <f>'Monthly D6 RIN Data'!$F170</f>
        <v>1110302</v>
      </c>
      <c r="P139" s="3">
        <f>'Monthly D6 RIN Data'!$F182</f>
        <v>1118970</v>
      </c>
      <c r="Q139" s="4">
        <f>'D6 Gallon Forecast'!Q139*AVERAGE('D6 RIN Forecast'!$AL$8:$AP$8)</f>
        <v>1179433.7311105814</v>
      </c>
      <c r="R139" s="4">
        <f>'D6 Gallon Forecast'!R139*AVERAGE('D6 RIN Forecast'!$AL$8:$AP$8)</f>
        <v>1052578.0466631507</v>
      </c>
      <c r="S139" s="4">
        <f>'D6 Gallon Forecast'!S139*AVERAGE('D6 RIN Forecast'!$AL$8:$AP$8)</f>
        <v>1042619.643498936</v>
      </c>
      <c r="T139" s="4">
        <f>'D6 Gallon Forecast'!T139*AVERAGE('D6 RIN Forecast'!$AL$8:$AP$8)</f>
        <v>1040109.0120784831</v>
      </c>
      <c r="U139" s="4">
        <f>'D6 Gallon Forecast'!U139*AVERAGE('D6 RIN Forecast'!$AL$8:$AP$8)</f>
        <v>1026064.7541999351</v>
      </c>
      <c r="V139" s="4">
        <f>'D6 Gallon Forecast'!V139*AVERAGE('D6 RIN Forecast'!$AL$8:$AP$8)</f>
        <v>1039067.1571111063</v>
      </c>
      <c r="W139" s="4">
        <f>'D6 Gallon Forecast'!W139*AVERAGE('D6 RIN Forecast'!$AL$8:$AP$8)</f>
        <v>1040087.7227103222</v>
      </c>
      <c r="X139" s="4">
        <f>'D6 Gallon Forecast'!X139*AVERAGE('D6 RIN Forecast'!$AL$8:$AP$8)</f>
        <v>1037589.6579197567</v>
      </c>
      <c r="Y139" s="4">
        <f>'D6 Gallon Forecast'!Y139*AVERAGE('D6 RIN Forecast'!$AL$8:$AP$8)</f>
        <v>1036583.6608039207</v>
      </c>
      <c r="Z139" s="4">
        <f>'D6 Gallon Forecast'!Z139*AVERAGE('D6 RIN Forecast'!$AL$8:$AP$8)</f>
        <v>1035878.5905490081</v>
      </c>
    </row>
    <row r="140" spans="1:26">
      <c r="A140" s="2" t="s">
        <v>54</v>
      </c>
      <c r="B140" s="3">
        <f>'Monthly D6 RIN Data'!$F15</f>
        <v>237904</v>
      </c>
      <c r="C140" s="3">
        <f>'Monthly D6 RIN Data'!$F27</f>
        <v>0</v>
      </c>
      <c r="D140" s="3">
        <f>'Monthly D6 RIN Data'!$F39</f>
        <v>0</v>
      </c>
      <c r="E140" s="3">
        <f>'Monthly D6 RIN Data'!$F51</f>
        <v>0</v>
      </c>
      <c r="F140" s="3">
        <f>'Monthly D6 RIN Data'!$F63</f>
        <v>251548</v>
      </c>
      <c r="G140" s="3">
        <f>'Monthly D6 RIN Data'!$F75</f>
        <v>950365</v>
      </c>
      <c r="H140" s="3">
        <f>'Monthly D6 RIN Data'!$F87</f>
        <v>1028018</v>
      </c>
      <c r="I140" s="3">
        <f>'Monthly D6 RIN Data'!$F99</f>
        <v>1024633</v>
      </c>
      <c r="J140" s="3">
        <f>'Monthly D6 RIN Data'!$F111</f>
        <v>1043041</v>
      </c>
      <c r="K140" s="3">
        <f>'Monthly D6 RIN Data'!$F123</f>
        <v>1132234</v>
      </c>
      <c r="L140" s="3">
        <f>'Monthly D6 RIN Data'!$F135</f>
        <v>1030705</v>
      </c>
      <c r="M140" s="3">
        <f>'Monthly D6 RIN Data'!$F147</f>
        <v>1245454</v>
      </c>
      <c r="N140" s="3">
        <f>'Monthly D6 RIN Data'!$F159</f>
        <v>1287796</v>
      </c>
      <c r="O140" s="3">
        <f>'Monthly D6 RIN Data'!$F171</f>
        <v>1174079</v>
      </c>
      <c r="P140" s="3">
        <f>'Monthly D6 RIN Data'!$F183</f>
        <v>1210839</v>
      </c>
      <c r="Q140" s="4">
        <f>'D6 Gallon Forecast'!Q140*AVERAGE('D6 RIN Forecast'!$AL$8:$AP$8)</f>
        <v>1186530.825520318</v>
      </c>
      <c r="R140" s="4">
        <f>'D6 Gallon Forecast'!R140*AVERAGE('D6 RIN Forecast'!$AL$8:$AP$8)</f>
        <v>1111139.9386657458</v>
      </c>
      <c r="S140" s="4">
        <f>'D6 Gallon Forecast'!S140*AVERAGE('D6 RIN Forecast'!$AL$8:$AP$8)</f>
        <v>1101569.7512680124</v>
      </c>
      <c r="T140" s="4">
        <f>'D6 Gallon Forecast'!T140*AVERAGE('D6 RIN Forecast'!$AL$8:$AP$8)</f>
        <v>1093070.6698016822</v>
      </c>
      <c r="U140" s="4">
        <f>'D6 Gallon Forecast'!U140*AVERAGE('D6 RIN Forecast'!$AL$8:$AP$8)</f>
        <v>1076943.9160913769</v>
      </c>
      <c r="V140" s="4">
        <f>'D6 Gallon Forecast'!V140*AVERAGE('D6 RIN Forecast'!$AL$8:$AP$8)</f>
        <v>1083512.6656317394</v>
      </c>
      <c r="W140" s="4">
        <f>'D6 Gallon Forecast'!W140*AVERAGE('D6 RIN Forecast'!$AL$8:$AP$8)</f>
        <v>1093247.3882917129</v>
      </c>
      <c r="X140" s="4">
        <f>'D6 Gallon Forecast'!X140*AVERAGE('D6 RIN Forecast'!$AL$8:$AP$8)</f>
        <v>1089668.8782169037</v>
      </c>
      <c r="Y140" s="4">
        <f>'D6 Gallon Forecast'!Y140*AVERAGE('D6 RIN Forecast'!$AL$8:$AP$8)</f>
        <v>1087288.7036066819</v>
      </c>
      <c r="Z140" s="4">
        <f>'D6 Gallon Forecast'!Z140*AVERAGE('D6 RIN Forecast'!$AL$8:$AP$8)</f>
        <v>1086132.3103676829</v>
      </c>
    </row>
    <row r="141" spans="1:26" ht="13.5" thickBot="1">
      <c r="A141" s="2" t="s">
        <v>29</v>
      </c>
      <c r="B141" s="3">
        <f t="shared" ref="B141:O141" si="54">SUM(B129:B140)</f>
        <v>2617486</v>
      </c>
      <c r="C141" s="3">
        <f t="shared" si="54"/>
        <v>3204291</v>
      </c>
      <c r="D141" s="3">
        <f t="shared" si="54"/>
        <v>0</v>
      </c>
      <c r="E141" s="3">
        <f t="shared" si="54"/>
        <v>0</v>
      </c>
      <c r="F141" s="3">
        <f t="shared" si="54"/>
        <v>1187430</v>
      </c>
      <c r="G141" s="3">
        <f t="shared" si="54"/>
        <v>7007845</v>
      </c>
      <c r="H141" s="3">
        <f t="shared" si="54"/>
        <v>11738985</v>
      </c>
      <c r="I141" s="3">
        <f t="shared" si="54"/>
        <v>12347968</v>
      </c>
      <c r="J141" s="3">
        <f t="shared" si="54"/>
        <v>12738772</v>
      </c>
      <c r="K141" s="3">
        <f t="shared" si="54"/>
        <v>13483230</v>
      </c>
      <c r="L141" s="3">
        <f t="shared" si="54"/>
        <v>11997947</v>
      </c>
      <c r="M141" s="3">
        <f t="shared" si="54"/>
        <v>13427479</v>
      </c>
      <c r="N141" s="3">
        <f t="shared" si="54"/>
        <v>14102849</v>
      </c>
      <c r="O141" s="3">
        <f t="shared" si="54"/>
        <v>12449754</v>
      </c>
      <c r="P141" s="3">
        <f t="shared" ref="P141:Z141" si="55">SUM(P129:P140)</f>
        <v>14445998</v>
      </c>
      <c r="Q141" s="4">
        <f t="shared" si="55"/>
        <v>14250000</v>
      </c>
      <c r="R141" s="4">
        <f t="shared" si="55"/>
        <v>12500000</v>
      </c>
      <c r="S141" s="4">
        <f t="shared" si="55"/>
        <v>12500000</v>
      </c>
      <c r="T141" s="4">
        <f t="shared" si="55"/>
        <v>12500000</v>
      </c>
      <c r="U141" s="4">
        <f t="shared" si="55"/>
        <v>12500000</v>
      </c>
      <c r="V141" s="4">
        <f t="shared" si="55"/>
        <v>12500000</v>
      </c>
      <c r="W141" s="4">
        <f t="shared" si="55"/>
        <v>12500000</v>
      </c>
      <c r="X141" s="4">
        <f t="shared" si="55"/>
        <v>12500000</v>
      </c>
      <c r="Y141" s="4">
        <f t="shared" si="55"/>
        <v>12500000</v>
      </c>
      <c r="Z141" s="4">
        <f t="shared" si="55"/>
        <v>12500000</v>
      </c>
    </row>
    <row r="142" spans="1:26">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row>
    <row r="143" spans="1:26" ht="16.5" thickBot="1">
      <c r="A143" s="109" t="s">
        <v>499</v>
      </c>
    </row>
    <row r="144" spans="1:26" ht="13.5" thickBot="1">
      <c r="A144" s="110"/>
      <c r="B144" s="111">
        <v>2010</v>
      </c>
      <c r="C144" s="111">
        <v>2011</v>
      </c>
      <c r="D144" s="111">
        <v>2012</v>
      </c>
      <c r="E144" s="111">
        <v>2013</v>
      </c>
      <c r="F144" s="111">
        <v>2014</v>
      </c>
      <c r="G144" s="111">
        <v>2015</v>
      </c>
      <c r="H144" s="111">
        <v>2016</v>
      </c>
      <c r="I144" s="111">
        <v>2017</v>
      </c>
      <c r="J144" s="111">
        <v>2018</v>
      </c>
      <c r="K144" s="111">
        <v>2019</v>
      </c>
      <c r="L144" s="111">
        <v>2020</v>
      </c>
      <c r="M144" s="111">
        <v>2021</v>
      </c>
      <c r="N144" s="111">
        <v>2022</v>
      </c>
      <c r="O144" s="111">
        <v>2023</v>
      </c>
      <c r="P144" s="111">
        <v>2024</v>
      </c>
      <c r="Q144" s="111">
        <v>2025</v>
      </c>
      <c r="R144" s="111">
        <v>2026</v>
      </c>
      <c r="S144" s="111">
        <v>2027</v>
      </c>
      <c r="T144" s="111">
        <v>2028</v>
      </c>
      <c r="U144" s="111">
        <v>2029</v>
      </c>
      <c r="V144" s="111">
        <v>2030</v>
      </c>
      <c r="W144" s="111">
        <v>2031</v>
      </c>
      <c r="X144" s="111">
        <v>2032</v>
      </c>
      <c r="Y144" s="111">
        <v>2033</v>
      </c>
      <c r="Z144" s="111">
        <v>2034</v>
      </c>
    </row>
    <row r="145" spans="1:26">
      <c r="A145" s="2" t="s">
        <v>43</v>
      </c>
      <c r="B145" s="3">
        <f>B161+B177</f>
        <v>0</v>
      </c>
      <c r="C145" s="3">
        <f t="shared" ref="C145:Z156" si="56">C161+C177</f>
        <v>0</v>
      </c>
      <c r="D145" s="3">
        <f t="shared" si="56"/>
        <v>0</v>
      </c>
      <c r="E145" s="3">
        <f t="shared" si="56"/>
        <v>0</v>
      </c>
      <c r="F145" s="3">
        <f t="shared" si="56"/>
        <v>0</v>
      </c>
      <c r="G145" s="3">
        <f t="shared" si="56"/>
        <v>0</v>
      </c>
      <c r="H145" s="3">
        <f t="shared" si="56"/>
        <v>0</v>
      </c>
      <c r="I145" s="3">
        <f t="shared" si="56"/>
        <v>0</v>
      </c>
      <c r="J145" s="3">
        <f t="shared" si="56"/>
        <v>0</v>
      </c>
      <c r="K145" s="3">
        <f t="shared" si="56"/>
        <v>0</v>
      </c>
      <c r="L145" s="3">
        <f t="shared" si="56"/>
        <v>0</v>
      </c>
      <c r="M145" s="3">
        <f t="shared" si="56"/>
        <v>0</v>
      </c>
      <c r="N145" s="3">
        <f t="shared" si="56"/>
        <v>0</v>
      </c>
      <c r="O145" s="3">
        <f t="shared" si="56"/>
        <v>0</v>
      </c>
      <c r="P145" s="3">
        <f t="shared" si="56"/>
        <v>0</v>
      </c>
      <c r="Q145" s="3">
        <f t="shared" si="56"/>
        <v>0</v>
      </c>
      <c r="R145" s="4">
        <f t="shared" si="56"/>
        <v>0</v>
      </c>
      <c r="S145" s="4">
        <f t="shared" si="56"/>
        <v>0</v>
      </c>
      <c r="T145" s="4">
        <f t="shared" si="56"/>
        <v>0</v>
      </c>
      <c r="U145" s="4">
        <f t="shared" si="56"/>
        <v>0</v>
      </c>
      <c r="V145" s="4">
        <f t="shared" si="56"/>
        <v>0</v>
      </c>
      <c r="W145" s="4">
        <f t="shared" si="56"/>
        <v>0</v>
      </c>
      <c r="X145" s="4">
        <f t="shared" si="56"/>
        <v>0</v>
      </c>
      <c r="Y145" s="4">
        <f t="shared" si="56"/>
        <v>0</v>
      </c>
      <c r="Z145" s="4">
        <f t="shared" si="56"/>
        <v>0</v>
      </c>
    </row>
    <row r="146" spans="1:26">
      <c r="A146" s="2" t="s">
        <v>44</v>
      </c>
      <c r="B146" s="3">
        <f t="shared" ref="B146:J156" si="57">B162+B178</f>
        <v>0</v>
      </c>
      <c r="C146" s="3">
        <f t="shared" si="57"/>
        <v>0</v>
      </c>
      <c r="D146" s="3">
        <f t="shared" si="57"/>
        <v>0</v>
      </c>
      <c r="E146" s="3">
        <f t="shared" si="57"/>
        <v>0</v>
      </c>
      <c r="F146" s="3">
        <f t="shared" si="57"/>
        <v>0</v>
      </c>
      <c r="G146" s="3">
        <f t="shared" si="57"/>
        <v>0</v>
      </c>
      <c r="H146" s="3">
        <f t="shared" si="57"/>
        <v>0</v>
      </c>
      <c r="I146" s="3">
        <f t="shared" si="57"/>
        <v>0</v>
      </c>
      <c r="J146" s="3">
        <f t="shared" si="57"/>
        <v>0</v>
      </c>
      <c r="K146" s="3">
        <f t="shared" si="56"/>
        <v>0</v>
      </c>
      <c r="L146" s="3">
        <f t="shared" si="56"/>
        <v>0</v>
      </c>
      <c r="M146" s="3">
        <f t="shared" si="56"/>
        <v>0</v>
      </c>
      <c r="N146" s="3">
        <f t="shared" si="56"/>
        <v>0</v>
      </c>
      <c r="O146" s="3">
        <f t="shared" si="56"/>
        <v>0</v>
      </c>
      <c r="P146" s="3">
        <f t="shared" si="56"/>
        <v>0</v>
      </c>
      <c r="Q146" s="3">
        <f t="shared" si="56"/>
        <v>0</v>
      </c>
      <c r="R146" s="4">
        <f t="shared" si="56"/>
        <v>0</v>
      </c>
      <c r="S146" s="4">
        <f t="shared" si="56"/>
        <v>0</v>
      </c>
      <c r="T146" s="4">
        <f t="shared" si="56"/>
        <v>0</v>
      </c>
      <c r="U146" s="4">
        <f t="shared" si="56"/>
        <v>0</v>
      </c>
      <c r="V146" s="4">
        <f t="shared" si="56"/>
        <v>0</v>
      </c>
      <c r="W146" s="4">
        <f t="shared" si="56"/>
        <v>0</v>
      </c>
      <c r="X146" s="4">
        <f t="shared" si="56"/>
        <v>0</v>
      </c>
      <c r="Y146" s="4">
        <f t="shared" si="56"/>
        <v>0</v>
      </c>
      <c r="Z146" s="4">
        <f t="shared" si="56"/>
        <v>0</v>
      </c>
    </row>
    <row r="147" spans="1:26">
      <c r="A147" s="2" t="s">
        <v>45</v>
      </c>
      <c r="B147" s="3">
        <f t="shared" si="57"/>
        <v>0</v>
      </c>
      <c r="C147" s="3">
        <f t="shared" si="57"/>
        <v>0</v>
      </c>
      <c r="D147" s="3">
        <f t="shared" si="57"/>
        <v>0</v>
      </c>
      <c r="E147" s="3">
        <f t="shared" si="57"/>
        <v>0</v>
      </c>
      <c r="F147" s="3">
        <f t="shared" si="57"/>
        <v>0</v>
      </c>
      <c r="G147" s="3">
        <f t="shared" si="57"/>
        <v>0</v>
      </c>
      <c r="H147" s="3">
        <f t="shared" si="57"/>
        <v>0</v>
      </c>
      <c r="I147" s="3">
        <f t="shared" si="57"/>
        <v>0</v>
      </c>
      <c r="J147" s="3">
        <f t="shared" si="57"/>
        <v>0</v>
      </c>
      <c r="K147" s="3">
        <f t="shared" si="56"/>
        <v>0</v>
      </c>
      <c r="L147" s="3">
        <f t="shared" si="56"/>
        <v>0</v>
      </c>
      <c r="M147" s="3">
        <f t="shared" si="56"/>
        <v>0</v>
      </c>
      <c r="N147" s="3">
        <f t="shared" si="56"/>
        <v>0</v>
      </c>
      <c r="O147" s="3">
        <f t="shared" si="56"/>
        <v>0</v>
      </c>
      <c r="P147" s="3">
        <f t="shared" si="56"/>
        <v>0</v>
      </c>
      <c r="Q147" s="3">
        <f t="shared" si="56"/>
        <v>0</v>
      </c>
      <c r="R147" s="4">
        <f t="shared" si="56"/>
        <v>0</v>
      </c>
      <c r="S147" s="4">
        <f t="shared" si="56"/>
        <v>0</v>
      </c>
      <c r="T147" s="4">
        <f t="shared" si="56"/>
        <v>0</v>
      </c>
      <c r="U147" s="4">
        <f t="shared" si="56"/>
        <v>0</v>
      </c>
      <c r="V147" s="4">
        <f t="shared" si="56"/>
        <v>0</v>
      </c>
      <c r="W147" s="4">
        <f t="shared" si="56"/>
        <v>0</v>
      </c>
      <c r="X147" s="4">
        <f t="shared" si="56"/>
        <v>0</v>
      </c>
      <c r="Y147" s="4">
        <f t="shared" si="56"/>
        <v>0</v>
      </c>
      <c r="Z147" s="4">
        <f t="shared" si="56"/>
        <v>0</v>
      </c>
    </row>
    <row r="148" spans="1:26">
      <c r="A148" s="2" t="s">
        <v>46</v>
      </c>
      <c r="B148" s="3">
        <f t="shared" si="57"/>
        <v>0</v>
      </c>
      <c r="C148" s="3">
        <f t="shared" si="57"/>
        <v>0</v>
      </c>
      <c r="D148" s="3">
        <f t="shared" si="57"/>
        <v>0</v>
      </c>
      <c r="E148" s="3">
        <f t="shared" si="57"/>
        <v>0</v>
      </c>
      <c r="F148" s="3">
        <f t="shared" si="57"/>
        <v>0</v>
      </c>
      <c r="G148" s="3">
        <f t="shared" si="57"/>
        <v>0</v>
      </c>
      <c r="H148" s="3">
        <f t="shared" si="57"/>
        <v>0</v>
      </c>
      <c r="I148" s="3">
        <f t="shared" si="57"/>
        <v>0</v>
      </c>
      <c r="J148" s="3">
        <f t="shared" si="57"/>
        <v>0</v>
      </c>
      <c r="K148" s="3">
        <f t="shared" si="56"/>
        <v>0</v>
      </c>
      <c r="L148" s="3">
        <f t="shared" si="56"/>
        <v>0</v>
      </c>
      <c r="M148" s="3">
        <f t="shared" si="56"/>
        <v>0</v>
      </c>
      <c r="N148" s="3">
        <f t="shared" si="56"/>
        <v>0</v>
      </c>
      <c r="O148" s="3">
        <f t="shared" si="56"/>
        <v>0</v>
      </c>
      <c r="P148" s="3">
        <f t="shared" si="56"/>
        <v>0</v>
      </c>
      <c r="Q148" s="4">
        <f t="shared" si="56"/>
        <v>0</v>
      </c>
      <c r="R148" s="4">
        <f t="shared" si="56"/>
        <v>0</v>
      </c>
      <c r="S148" s="4">
        <f t="shared" si="56"/>
        <v>0</v>
      </c>
      <c r="T148" s="4">
        <f t="shared" si="56"/>
        <v>0</v>
      </c>
      <c r="U148" s="4">
        <f t="shared" si="56"/>
        <v>0</v>
      </c>
      <c r="V148" s="4">
        <f t="shared" si="56"/>
        <v>0</v>
      </c>
      <c r="W148" s="4">
        <f t="shared" si="56"/>
        <v>0</v>
      </c>
      <c r="X148" s="4">
        <f t="shared" si="56"/>
        <v>0</v>
      </c>
      <c r="Y148" s="4">
        <f t="shared" si="56"/>
        <v>0</v>
      </c>
      <c r="Z148" s="4">
        <f t="shared" si="56"/>
        <v>0</v>
      </c>
    </row>
    <row r="149" spans="1:26">
      <c r="A149" s="2" t="s">
        <v>47</v>
      </c>
      <c r="B149" s="3">
        <f t="shared" si="57"/>
        <v>0</v>
      </c>
      <c r="C149" s="3">
        <f t="shared" si="57"/>
        <v>0</v>
      </c>
      <c r="D149" s="3">
        <f t="shared" si="57"/>
        <v>0</v>
      </c>
      <c r="E149" s="3">
        <f t="shared" si="57"/>
        <v>0</v>
      </c>
      <c r="F149" s="3">
        <f t="shared" si="57"/>
        <v>0</v>
      </c>
      <c r="G149" s="3">
        <f t="shared" si="57"/>
        <v>0</v>
      </c>
      <c r="H149" s="3">
        <f t="shared" si="57"/>
        <v>45371</v>
      </c>
      <c r="I149" s="3">
        <f t="shared" si="57"/>
        <v>0</v>
      </c>
      <c r="J149" s="3">
        <f t="shared" si="57"/>
        <v>0</v>
      </c>
      <c r="K149" s="3">
        <f t="shared" si="56"/>
        <v>0</v>
      </c>
      <c r="L149" s="3">
        <f t="shared" si="56"/>
        <v>0</v>
      </c>
      <c r="M149" s="3">
        <f t="shared" si="56"/>
        <v>0</v>
      </c>
      <c r="N149" s="3">
        <f t="shared" si="56"/>
        <v>0</v>
      </c>
      <c r="O149" s="3">
        <f t="shared" si="56"/>
        <v>0</v>
      </c>
      <c r="P149" s="3">
        <f t="shared" si="56"/>
        <v>0</v>
      </c>
      <c r="Q149" s="4">
        <f t="shared" si="56"/>
        <v>0</v>
      </c>
      <c r="R149" s="4">
        <f t="shared" si="56"/>
        <v>0</v>
      </c>
      <c r="S149" s="4">
        <f t="shared" si="56"/>
        <v>0</v>
      </c>
      <c r="T149" s="4">
        <f t="shared" si="56"/>
        <v>0</v>
      </c>
      <c r="U149" s="4">
        <f t="shared" si="56"/>
        <v>0</v>
      </c>
      <c r="V149" s="4">
        <f t="shared" si="56"/>
        <v>0</v>
      </c>
      <c r="W149" s="4">
        <f t="shared" si="56"/>
        <v>0</v>
      </c>
      <c r="X149" s="4">
        <f t="shared" si="56"/>
        <v>0</v>
      </c>
      <c r="Y149" s="4">
        <f t="shared" si="56"/>
        <v>0</v>
      </c>
      <c r="Z149" s="4">
        <f t="shared" si="56"/>
        <v>0</v>
      </c>
    </row>
    <row r="150" spans="1:26">
      <c r="A150" s="2" t="s">
        <v>48</v>
      </c>
      <c r="B150" s="3">
        <f t="shared" si="57"/>
        <v>0</v>
      </c>
      <c r="C150" s="3">
        <f t="shared" si="57"/>
        <v>0</v>
      </c>
      <c r="D150" s="3">
        <f t="shared" si="57"/>
        <v>0</v>
      </c>
      <c r="E150" s="3">
        <f t="shared" si="57"/>
        <v>0</v>
      </c>
      <c r="F150" s="3">
        <f t="shared" si="57"/>
        <v>0</v>
      </c>
      <c r="G150" s="3">
        <f t="shared" si="57"/>
        <v>0</v>
      </c>
      <c r="H150" s="3">
        <f t="shared" si="57"/>
        <v>36271</v>
      </c>
      <c r="I150" s="3">
        <f t="shared" si="57"/>
        <v>0</v>
      </c>
      <c r="J150" s="3">
        <f t="shared" si="57"/>
        <v>0</v>
      </c>
      <c r="K150" s="3">
        <f t="shared" si="56"/>
        <v>0</v>
      </c>
      <c r="L150" s="3">
        <f t="shared" si="56"/>
        <v>0</v>
      </c>
      <c r="M150" s="3">
        <f t="shared" si="56"/>
        <v>0</v>
      </c>
      <c r="N150" s="3">
        <f t="shared" si="56"/>
        <v>0</v>
      </c>
      <c r="O150" s="3">
        <f t="shared" si="56"/>
        <v>0</v>
      </c>
      <c r="P150" s="3">
        <f t="shared" si="56"/>
        <v>0</v>
      </c>
      <c r="Q150" s="4">
        <f t="shared" si="56"/>
        <v>0</v>
      </c>
      <c r="R150" s="4">
        <f t="shared" si="56"/>
        <v>0</v>
      </c>
      <c r="S150" s="4">
        <f t="shared" si="56"/>
        <v>0</v>
      </c>
      <c r="T150" s="4">
        <f t="shared" si="56"/>
        <v>0</v>
      </c>
      <c r="U150" s="4">
        <f t="shared" si="56"/>
        <v>0</v>
      </c>
      <c r="V150" s="4">
        <f t="shared" si="56"/>
        <v>0</v>
      </c>
      <c r="W150" s="4">
        <f t="shared" si="56"/>
        <v>0</v>
      </c>
      <c r="X150" s="4">
        <f t="shared" si="56"/>
        <v>0</v>
      </c>
      <c r="Y150" s="4">
        <f t="shared" si="56"/>
        <v>0</v>
      </c>
      <c r="Z150" s="4">
        <f t="shared" si="56"/>
        <v>0</v>
      </c>
    </row>
    <row r="151" spans="1:26">
      <c r="A151" s="2" t="s">
        <v>49</v>
      </c>
      <c r="B151" s="3">
        <f t="shared" si="57"/>
        <v>0</v>
      </c>
      <c r="C151" s="3">
        <f t="shared" si="57"/>
        <v>0</v>
      </c>
      <c r="D151" s="3">
        <f t="shared" si="57"/>
        <v>0</v>
      </c>
      <c r="E151" s="3">
        <f t="shared" si="57"/>
        <v>15198</v>
      </c>
      <c r="F151" s="3">
        <f t="shared" si="57"/>
        <v>0</v>
      </c>
      <c r="G151" s="3">
        <f t="shared" si="57"/>
        <v>0</v>
      </c>
      <c r="H151" s="3">
        <f t="shared" si="57"/>
        <v>8698</v>
      </c>
      <c r="I151" s="3">
        <f t="shared" si="57"/>
        <v>0</v>
      </c>
      <c r="J151" s="3">
        <f t="shared" si="57"/>
        <v>0</v>
      </c>
      <c r="K151" s="3">
        <f t="shared" si="56"/>
        <v>0</v>
      </c>
      <c r="L151" s="3">
        <f t="shared" si="56"/>
        <v>572</v>
      </c>
      <c r="M151" s="3">
        <f t="shared" si="56"/>
        <v>0</v>
      </c>
      <c r="N151" s="3">
        <f t="shared" si="56"/>
        <v>0</v>
      </c>
      <c r="O151" s="3">
        <f t="shared" si="56"/>
        <v>0</v>
      </c>
      <c r="P151" s="3">
        <f t="shared" si="56"/>
        <v>0</v>
      </c>
      <c r="Q151" s="4">
        <f t="shared" si="56"/>
        <v>0</v>
      </c>
      <c r="R151" s="4">
        <f t="shared" si="56"/>
        <v>0</v>
      </c>
      <c r="S151" s="4">
        <f t="shared" si="56"/>
        <v>0</v>
      </c>
      <c r="T151" s="4">
        <f t="shared" si="56"/>
        <v>0</v>
      </c>
      <c r="U151" s="4">
        <f t="shared" si="56"/>
        <v>0</v>
      </c>
      <c r="V151" s="4">
        <f t="shared" si="56"/>
        <v>0</v>
      </c>
      <c r="W151" s="4">
        <f t="shared" si="56"/>
        <v>0</v>
      </c>
      <c r="X151" s="4">
        <f t="shared" si="56"/>
        <v>0</v>
      </c>
      <c r="Y151" s="4">
        <f t="shared" si="56"/>
        <v>0</v>
      </c>
      <c r="Z151" s="4">
        <f t="shared" si="56"/>
        <v>0</v>
      </c>
    </row>
    <row r="152" spans="1:26">
      <c r="A152" s="2" t="s">
        <v>50</v>
      </c>
      <c r="B152" s="3">
        <f t="shared" si="57"/>
        <v>0</v>
      </c>
      <c r="C152" s="3">
        <f t="shared" si="57"/>
        <v>0</v>
      </c>
      <c r="D152" s="3">
        <f t="shared" si="57"/>
        <v>0</v>
      </c>
      <c r="E152" s="3">
        <f t="shared" si="57"/>
        <v>0</v>
      </c>
      <c r="F152" s="3">
        <f t="shared" si="57"/>
        <v>0</v>
      </c>
      <c r="G152" s="3">
        <f t="shared" si="57"/>
        <v>0</v>
      </c>
      <c r="H152" s="3">
        <f t="shared" si="57"/>
        <v>35887</v>
      </c>
      <c r="I152" s="3">
        <f t="shared" si="57"/>
        <v>0</v>
      </c>
      <c r="J152" s="3">
        <f t="shared" si="57"/>
        <v>0</v>
      </c>
      <c r="K152" s="3">
        <f t="shared" si="56"/>
        <v>0</v>
      </c>
      <c r="L152" s="3">
        <f t="shared" si="56"/>
        <v>0</v>
      </c>
      <c r="M152" s="3">
        <f t="shared" si="56"/>
        <v>0</v>
      </c>
      <c r="N152" s="3">
        <f t="shared" si="56"/>
        <v>0</v>
      </c>
      <c r="O152" s="3">
        <f t="shared" si="56"/>
        <v>0</v>
      </c>
      <c r="P152" s="3">
        <f t="shared" si="56"/>
        <v>0</v>
      </c>
      <c r="Q152" s="4">
        <f t="shared" si="56"/>
        <v>0</v>
      </c>
      <c r="R152" s="4">
        <f t="shared" si="56"/>
        <v>0</v>
      </c>
      <c r="S152" s="4">
        <f t="shared" si="56"/>
        <v>0</v>
      </c>
      <c r="T152" s="4">
        <f t="shared" si="56"/>
        <v>0</v>
      </c>
      <c r="U152" s="4">
        <f t="shared" si="56"/>
        <v>0</v>
      </c>
      <c r="V152" s="4">
        <f t="shared" si="56"/>
        <v>0</v>
      </c>
      <c r="W152" s="4">
        <f t="shared" si="56"/>
        <v>0</v>
      </c>
      <c r="X152" s="4">
        <f t="shared" si="56"/>
        <v>0</v>
      </c>
      <c r="Y152" s="4">
        <f t="shared" si="56"/>
        <v>0</v>
      </c>
      <c r="Z152" s="4">
        <f t="shared" si="56"/>
        <v>0</v>
      </c>
    </row>
    <row r="153" spans="1:26">
      <c r="A153" s="2" t="s">
        <v>51</v>
      </c>
      <c r="B153" s="3">
        <f t="shared" si="57"/>
        <v>0</v>
      </c>
      <c r="C153" s="3">
        <f t="shared" si="57"/>
        <v>0</v>
      </c>
      <c r="D153" s="3">
        <f t="shared" si="57"/>
        <v>0</v>
      </c>
      <c r="E153" s="3">
        <f t="shared" si="57"/>
        <v>0</v>
      </c>
      <c r="F153" s="3">
        <f t="shared" si="57"/>
        <v>0</v>
      </c>
      <c r="G153" s="3">
        <f t="shared" si="57"/>
        <v>0</v>
      </c>
      <c r="H153" s="3">
        <f t="shared" si="57"/>
        <v>0</v>
      </c>
      <c r="I153" s="3">
        <f t="shared" si="57"/>
        <v>0</v>
      </c>
      <c r="J153" s="3">
        <f t="shared" si="57"/>
        <v>0</v>
      </c>
      <c r="K153" s="3">
        <f t="shared" si="56"/>
        <v>0</v>
      </c>
      <c r="L153" s="3">
        <f t="shared" si="56"/>
        <v>0</v>
      </c>
      <c r="M153" s="3">
        <f t="shared" si="56"/>
        <v>0</v>
      </c>
      <c r="N153" s="3">
        <f t="shared" si="56"/>
        <v>0</v>
      </c>
      <c r="O153" s="3">
        <f t="shared" si="56"/>
        <v>0</v>
      </c>
      <c r="P153" s="3">
        <f t="shared" si="56"/>
        <v>0</v>
      </c>
      <c r="Q153" s="4">
        <f t="shared" si="56"/>
        <v>0</v>
      </c>
      <c r="R153" s="4">
        <f t="shared" si="56"/>
        <v>0</v>
      </c>
      <c r="S153" s="4">
        <f t="shared" si="56"/>
        <v>0</v>
      </c>
      <c r="T153" s="4">
        <f t="shared" si="56"/>
        <v>0</v>
      </c>
      <c r="U153" s="4">
        <f t="shared" si="56"/>
        <v>0</v>
      </c>
      <c r="V153" s="4">
        <f t="shared" si="56"/>
        <v>0</v>
      </c>
      <c r="W153" s="4">
        <f t="shared" si="56"/>
        <v>0</v>
      </c>
      <c r="X153" s="4">
        <f t="shared" si="56"/>
        <v>0</v>
      </c>
      <c r="Y153" s="4">
        <f t="shared" si="56"/>
        <v>0</v>
      </c>
      <c r="Z153" s="4">
        <f t="shared" si="56"/>
        <v>0</v>
      </c>
    </row>
    <row r="154" spans="1:26">
      <c r="A154" s="2" t="s">
        <v>52</v>
      </c>
      <c r="B154" s="3">
        <f t="shared" si="57"/>
        <v>0</v>
      </c>
      <c r="C154" s="3">
        <f t="shared" si="57"/>
        <v>0</v>
      </c>
      <c r="D154" s="3">
        <f t="shared" si="57"/>
        <v>0</v>
      </c>
      <c r="E154" s="3">
        <f t="shared" si="57"/>
        <v>0</v>
      </c>
      <c r="F154" s="3">
        <f t="shared" si="57"/>
        <v>0</v>
      </c>
      <c r="G154" s="3">
        <f t="shared" si="57"/>
        <v>0</v>
      </c>
      <c r="H154" s="3">
        <f t="shared" si="57"/>
        <v>0</v>
      </c>
      <c r="I154" s="3">
        <f t="shared" si="57"/>
        <v>0</v>
      </c>
      <c r="J154" s="3">
        <f t="shared" si="57"/>
        <v>0</v>
      </c>
      <c r="K154" s="3">
        <f t="shared" si="56"/>
        <v>0</v>
      </c>
      <c r="L154" s="3">
        <f t="shared" si="56"/>
        <v>0</v>
      </c>
      <c r="M154" s="3">
        <f t="shared" si="56"/>
        <v>0</v>
      </c>
      <c r="N154" s="3">
        <f t="shared" si="56"/>
        <v>0</v>
      </c>
      <c r="O154" s="3">
        <f t="shared" si="56"/>
        <v>0</v>
      </c>
      <c r="P154" s="3">
        <f t="shared" si="56"/>
        <v>0</v>
      </c>
      <c r="Q154" s="4">
        <f t="shared" si="56"/>
        <v>0</v>
      </c>
      <c r="R154" s="4">
        <f t="shared" si="56"/>
        <v>0</v>
      </c>
      <c r="S154" s="4">
        <f t="shared" si="56"/>
        <v>0</v>
      </c>
      <c r="T154" s="4">
        <f t="shared" si="56"/>
        <v>0</v>
      </c>
      <c r="U154" s="4">
        <f t="shared" si="56"/>
        <v>0</v>
      </c>
      <c r="V154" s="4">
        <f t="shared" si="56"/>
        <v>0</v>
      </c>
      <c r="W154" s="4">
        <f t="shared" si="56"/>
        <v>0</v>
      </c>
      <c r="X154" s="4">
        <f t="shared" si="56"/>
        <v>0</v>
      </c>
      <c r="Y154" s="4">
        <f t="shared" si="56"/>
        <v>0</v>
      </c>
      <c r="Z154" s="4">
        <f t="shared" si="56"/>
        <v>0</v>
      </c>
    </row>
    <row r="155" spans="1:26">
      <c r="A155" s="2" t="s">
        <v>53</v>
      </c>
      <c r="B155" s="3">
        <f t="shared" si="57"/>
        <v>0</v>
      </c>
      <c r="C155" s="3">
        <f t="shared" si="57"/>
        <v>0</v>
      </c>
      <c r="D155" s="3">
        <f t="shared" si="57"/>
        <v>0</v>
      </c>
      <c r="E155" s="3">
        <f t="shared" si="57"/>
        <v>0</v>
      </c>
      <c r="F155" s="3">
        <f t="shared" si="57"/>
        <v>0</v>
      </c>
      <c r="G155" s="3">
        <f t="shared" si="57"/>
        <v>0</v>
      </c>
      <c r="H155" s="3">
        <f t="shared" si="57"/>
        <v>36715</v>
      </c>
      <c r="I155" s="3">
        <f t="shared" si="57"/>
        <v>0</v>
      </c>
      <c r="J155" s="3">
        <f t="shared" si="57"/>
        <v>0</v>
      </c>
      <c r="K155" s="3">
        <f t="shared" si="56"/>
        <v>0</v>
      </c>
      <c r="L155" s="3">
        <f t="shared" si="56"/>
        <v>0</v>
      </c>
      <c r="M155" s="3">
        <f t="shared" si="56"/>
        <v>0</v>
      </c>
      <c r="N155" s="3">
        <f t="shared" si="56"/>
        <v>0</v>
      </c>
      <c r="O155" s="3">
        <f t="shared" si="56"/>
        <v>0</v>
      </c>
      <c r="P155" s="3">
        <f t="shared" si="56"/>
        <v>0</v>
      </c>
      <c r="Q155" s="4">
        <f t="shared" si="56"/>
        <v>0</v>
      </c>
      <c r="R155" s="4">
        <f t="shared" si="56"/>
        <v>0</v>
      </c>
      <c r="S155" s="4">
        <f t="shared" si="56"/>
        <v>0</v>
      </c>
      <c r="T155" s="4">
        <f t="shared" si="56"/>
        <v>0</v>
      </c>
      <c r="U155" s="4">
        <f t="shared" si="56"/>
        <v>0</v>
      </c>
      <c r="V155" s="4">
        <f t="shared" si="56"/>
        <v>0</v>
      </c>
      <c r="W155" s="4">
        <f t="shared" si="56"/>
        <v>0</v>
      </c>
      <c r="X155" s="4">
        <f t="shared" si="56"/>
        <v>0</v>
      </c>
      <c r="Y155" s="4">
        <f t="shared" si="56"/>
        <v>0</v>
      </c>
      <c r="Z155" s="4">
        <f t="shared" si="56"/>
        <v>0</v>
      </c>
    </row>
    <row r="156" spans="1:26">
      <c r="A156" s="2" t="s">
        <v>54</v>
      </c>
      <c r="B156" s="3">
        <f t="shared" si="57"/>
        <v>0</v>
      </c>
      <c r="C156" s="3">
        <f t="shared" si="57"/>
        <v>0</v>
      </c>
      <c r="D156" s="3">
        <f t="shared" si="57"/>
        <v>0</v>
      </c>
      <c r="E156" s="3">
        <f t="shared" si="57"/>
        <v>0</v>
      </c>
      <c r="F156" s="3">
        <f t="shared" si="57"/>
        <v>0</v>
      </c>
      <c r="G156" s="3">
        <f t="shared" si="57"/>
        <v>0</v>
      </c>
      <c r="H156" s="3">
        <f t="shared" si="57"/>
        <v>0</v>
      </c>
      <c r="I156" s="3">
        <f t="shared" si="57"/>
        <v>0</v>
      </c>
      <c r="J156" s="3">
        <f t="shared" si="57"/>
        <v>0</v>
      </c>
      <c r="K156" s="3">
        <f t="shared" si="56"/>
        <v>0</v>
      </c>
      <c r="L156" s="3">
        <f t="shared" si="56"/>
        <v>0</v>
      </c>
      <c r="M156" s="3">
        <f t="shared" si="56"/>
        <v>0</v>
      </c>
      <c r="N156" s="3">
        <f t="shared" si="56"/>
        <v>0</v>
      </c>
      <c r="O156" s="3">
        <f t="shared" si="56"/>
        <v>0</v>
      </c>
      <c r="P156" s="3">
        <f t="shared" si="56"/>
        <v>0</v>
      </c>
      <c r="Q156" s="4">
        <f t="shared" si="56"/>
        <v>0</v>
      </c>
      <c r="R156" s="4">
        <f t="shared" si="56"/>
        <v>0</v>
      </c>
      <c r="S156" s="4">
        <f t="shared" si="56"/>
        <v>0</v>
      </c>
      <c r="T156" s="4">
        <f t="shared" si="56"/>
        <v>0</v>
      </c>
      <c r="U156" s="4">
        <f t="shared" si="56"/>
        <v>0</v>
      </c>
      <c r="V156" s="4">
        <f t="shared" si="56"/>
        <v>0</v>
      </c>
      <c r="W156" s="4">
        <f t="shared" si="56"/>
        <v>0</v>
      </c>
      <c r="X156" s="4">
        <f t="shared" si="56"/>
        <v>0</v>
      </c>
      <c r="Y156" s="4">
        <f t="shared" si="56"/>
        <v>0</v>
      </c>
      <c r="Z156" s="4">
        <f t="shared" si="56"/>
        <v>0</v>
      </c>
    </row>
    <row r="157" spans="1:26" ht="13.5" thickBot="1">
      <c r="A157" s="2" t="s">
        <v>29</v>
      </c>
      <c r="B157" s="3">
        <f t="shared" ref="B157:Z157" si="58">SUM(B145:B156)</f>
        <v>0</v>
      </c>
      <c r="C157" s="3">
        <f t="shared" si="58"/>
        <v>0</v>
      </c>
      <c r="D157" s="3">
        <f t="shared" si="58"/>
        <v>0</v>
      </c>
      <c r="E157" s="3">
        <f t="shared" si="58"/>
        <v>15198</v>
      </c>
      <c r="F157" s="3">
        <f t="shared" si="58"/>
        <v>0</v>
      </c>
      <c r="G157" s="3">
        <f t="shared" si="58"/>
        <v>0</v>
      </c>
      <c r="H157" s="3">
        <f t="shared" si="58"/>
        <v>162942</v>
      </c>
      <c r="I157" s="3">
        <f t="shared" si="58"/>
        <v>0</v>
      </c>
      <c r="J157" s="3">
        <f t="shared" si="58"/>
        <v>0</v>
      </c>
      <c r="K157" s="3">
        <f t="shared" si="58"/>
        <v>0</v>
      </c>
      <c r="L157" s="3">
        <f t="shared" si="58"/>
        <v>572</v>
      </c>
      <c r="M157" s="3">
        <f t="shared" si="58"/>
        <v>0</v>
      </c>
      <c r="N157" s="3">
        <f t="shared" si="58"/>
        <v>0</v>
      </c>
      <c r="O157" s="3">
        <f t="shared" si="58"/>
        <v>0</v>
      </c>
      <c r="P157" s="3">
        <f t="shared" si="58"/>
        <v>0</v>
      </c>
      <c r="Q157" s="4">
        <f t="shared" si="58"/>
        <v>0</v>
      </c>
      <c r="R157" s="4">
        <f t="shared" si="58"/>
        <v>0</v>
      </c>
      <c r="S157" s="4">
        <f t="shared" si="58"/>
        <v>0</v>
      </c>
      <c r="T157" s="4">
        <f t="shared" si="58"/>
        <v>0</v>
      </c>
      <c r="U157" s="4">
        <f t="shared" si="58"/>
        <v>0</v>
      </c>
      <c r="V157" s="4">
        <f t="shared" si="58"/>
        <v>0</v>
      </c>
      <c r="W157" s="4">
        <f t="shared" si="58"/>
        <v>0</v>
      </c>
      <c r="X157" s="4">
        <f t="shared" si="58"/>
        <v>0</v>
      </c>
      <c r="Y157" s="4">
        <f t="shared" si="58"/>
        <v>0</v>
      </c>
      <c r="Z157" s="4">
        <f t="shared" si="58"/>
        <v>0</v>
      </c>
    </row>
    <row r="158" spans="1:26">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row>
    <row r="159" spans="1:26" ht="16.5" thickBot="1">
      <c r="A159" s="109" t="s">
        <v>500</v>
      </c>
    </row>
    <row r="160" spans="1:26" ht="13.5" thickBot="1">
      <c r="A160" s="110"/>
      <c r="B160" s="111">
        <v>2010</v>
      </c>
      <c r="C160" s="111">
        <v>2011</v>
      </c>
      <c r="D160" s="111">
        <v>2012</v>
      </c>
      <c r="E160" s="111">
        <v>2013</v>
      </c>
      <c r="F160" s="111">
        <v>2014</v>
      </c>
      <c r="G160" s="111">
        <v>2015</v>
      </c>
      <c r="H160" s="111">
        <v>2016</v>
      </c>
      <c r="I160" s="111">
        <v>2017</v>
      </c>
      <c r="J160" s="111">
        <v>2018</v>
      </c>
      <c r="K160" s="111">
        <v>2019</v>
      </c>
      <c r="L160" s="111">
        <v>2020</v>
      </c>
      <c r="M160" s="111">
        <v>2021</v>
      </c>
      <c r="N160" s="111">
        <v>2022</v>
      </c>
      <c r="O160" s="111">
        <v>2023</v>
      </c>
      <c r="P160" s="111">
        <v>2024</v>
      </c>
      <c r="Q160" s="111">
        <v>2025</v>
      </c>
      <c r="R160" s="111">
        <v>2026</v>
      </c>
      <c r="S160" s="111">
        <v>2027</v>
      </c>
      <c r="T160" s="111">
        <v>2028</v>
      </c>
      <c r="U160" s="111">
        <v>2029</v>
      </c>
      <c r="V160" s="111">
        <v>2030</v>
      </c>
      <c r="W160" s="111">
        <v>2031</v>
      </c>
      <c r="X160" s="111">
        <v>2032</v>
      </c>
      <c r="Y160" s="111">
        <v>2033</v>
      </c>
      <c r="Z160" s="111">
        <v>2034</v>
      </c>
    </row>
    <row r="161" spans="1:26">
      <c r="A161" s="2" t="s">
        <v>43</v>
      </c>
      <c r="B161" s="3">
        <f>'Monthly D6 RIN Data'!$H4</f>
        <v>0</v>
      </c>
      <c r="C161" s="3">
        <f>'Monthly D6 RIN Data'!$H16</f>
        <v>0</v>
      </c>
      <c r="D161" s="3">
        <f>'Monthly D6 RIN Data'!$H28</f>
        <v>0</v>
      </c>
      <c r="E161" s="3">
        <f>'Monthly D6 RIN Data'!$H40</f>
        <v>0</v>
      </c>
      <c r="F161" s="3">
        <f>'Monthly D6 RIN Data'!$H52</f>
        <v>0</v>
      </c>
      <c r="G161" s="3">
        <f>'Monthly D6 RIN Data'!$H64</f>
        <v>0</v>
      </c>
      <c r="H161" s="3">
        <f>'Monthly D6 RIN Data'!$H76</f>
        <v>0</v>
      </c>
      <c r="I161" s="3">
        <f>'Monthly D6 RIN Data'!$H88</f>
        <v>0</v>
      </c>
      <c r="J161" s="3">
        <f>'Monthly D6 RIN Data'!$H100</f>
        <v>0</v>
      </c>
      <c r="K161" s="3">
        <f>'Monthly D6 RIN Data'!$H112</f>
        <v>0</v>
      </c>
      <c r="L161" s="3">
        <f>'Monthly D6 RIN Data'!$H124</f>
        <v>0</v>
      </c>
      <c r="M161" s="3">
        <f>'Monthly D6 RIN Data'!$H136</f>
        <v>0</v>
      </c>
      <c r="N161" s="3">
        <f>'Monthly D6 RIN Data'!$H148</f>
        <v>0</v>
      </c>
      <c r="O161" s="3">
        <f>'Monthly D6 RIN Data'!$H160</f>
        <v>0</v>
      </c>
      <c r="P161" s="3">
        <f>'Monthly D6 RIN Data'!$H172</f>
        <v>0</v>
      </c>
      <c r="Q161" s="3">
        <f>'Monthly D6 RIN Data'!$H184</f>
        <v>0</v>
      </c>
      <c r="R161" s="4">
        <f>'D6 Gallon Forecast'!R162</f>
        <v>0</v>
      </c>
      <c r="S161" s="4">
        <f>'D6 Gallon Forecast'!S162</f>
        <v>0</v>
      </c>
      <c r="T161" s="4">
        <f>'D6 Gallon Forecast'!T162</f>
        <v>0</v>
      </c>
      <c r="U161" s="4">
        <v>0</v>
      </c>
      <c r="V161" s="4">
        <v>0</v>
      </c>
      <c r="W161" s="4">
        <v>0</v>
      </c>
      <c r="X161" s="4">
        <v>0</v>
      </c>
      <c r="Y161" s="4">
        <v>0</v>
      </c>
      <c r="Z161" s="4">
        <v>0</v>
      </c>
    </row>
    <row r="162" spans="1:26">
      <c r="A162" s="2" t="s">
        <v>44</v>
      </c>
      <c r="B162" s="3">
        <f>'Monthly D6 RIN Data'!$H5</f>
        <v>0</v>
      </c>
      <c r="C162" s="3">
        <f>'Monthly D6 RIN Data'!$H17</f>
        <v>0</v>
      </c>
      <c r="D162" s="3">
        <f>'Monthly D6 RIN Data'!$H29</f>
        <v>0</v>
      </c>
      <c r="E162" s="3">
        <f>'Monthly D6 RIN Data'!$H41</f>
        <v>0</v>
      </c>
      <c r="F162" s="3">
        <f>'Monthly D6 RIN Data'!$H53</f>
        <v>0</v>
      </c>
      <c r="G162" s="3">
        <f>'Monthly D6 RIN Data'!$H65</f>
        <v>0</v>
      </c>
      <c r="H162" s="3">
        <f>'Monthly D6 RIN Data'!$H77</f>
        <v>0</v>
      </c>
      <c r="I162" s="3">
        <f>'Monthly D6 RIN Data'!$H89</f>
        <v>0</v>
      </c>
      <c r="J162" s="3">
        <f>'Monthly D6 RIN Data'!$H101</f>
        <v>0</v>
      </c>
      <c r="K162" s="3">
        <f>'Monthly D6 RIN Data'!$H113</f>
        <v>0</v>
      </c>
      <c r="L162" s="3">
        <f>'Monthly D6 RIN Data'!$H125</f>
        <v>0</v>
      </c>
      <c r="M162" s="3">
        <f>'Monthly D6 RIN Data'!$H137</f>
        <v>0</v>
      </c>
      <c r="N162" s="3">
        <f>'Monthly D6 RIN Data'!$H149</f>
        <v>0</v>
      </c>
      <c r="O162" s="3">
        <f>'Monthly D6 RIN Data'!$H161</f>
        <v>0</v>
      </c>
      <c r="P162" s="3">
        <f>'Monthly D6 RIN Data'!$H173</f>
        <v>0</v>
      </c>
      <c r="Q162" s="3">
        <f>'Monthly D6 RIN Data'!$H185</f>
        <v>0</v>
      </c>
      <c r="R162" s="4">
        <f>'D6 Gallon Forecast'!R163</f>
        <v>0</v>
      </c>
      <c r="S162" s="4">
        <f>'D6 Gallon Forecast'!S163</f>
        <v>0</v>
      </c>
      <c r="T162" s="4">
        <f>'D6 Gallon Forecast'!T163</f>
        <v>0</v>
      </c>
      <c r="U162" s="4">
        <v>0</v>
      </c>
      <c r="V162" s="4">
        <v>0</v>
      </c>
      <c r="W162" s="4">
        <v>0</v>
      </c>
      <c r="X162" s="4">
        <v>0</v>
      </c>
      <c r="Y162" s="4">
        <v>0</v>
      </c>
      <c r="Z162" s="4">
        <v>0</v>
      </c>
    </row>
    <row r="163" spans="1:26">
      <c r="A163" s="2" t="s">
        <v>45</v>
      </c>
      <c r="B163" s="3">
        <f>'Monthly D6 RIN Data'!$H6</f>
        <v>0</v>
      </c>
      <c r="C163" s="3">
        <f>'Monthly D6 RIN Data'!$H18</f>
        <v>0</v>
      </c>
      <c r="D163" s="3">
        <f>'Monthly D6 RIN Data'!$H30</f>
        <v>0</v>
      </c>
      <c r="E163" s="3">
        <f>'Monthly D6 RIN Data'!$H42</f>
        <v>0</v>
      </c>
      <c r="F163" s="3">
        <f>'Monthly D6 RIN Data'!$H54</f>
        <v>0</v>
      </c>
      <c r="G163" s="3">
        <f>'Monthly D6 RIN Data'!$H66</f>
        <v>0</v>
      </c>
      <c r="H163" s="3">
        <f>'Monthly D6 RIN Data'!$H78</f>
        <v>0</v>
      </c>
      <c r="I163" s="3">
        <f>'Monthly D6 RIN Data'!$H90</f>
        <v>0</v>
      </c>
      <c r="J163" s="3">
        <f>'Monthly D6 RIN Data'!$H102</f>
        <v>0</v>
      </c>
      <c r="K163" s="3">
        <f>'Monthly D6 RIN Data'!$H114</f>
        <v>0</v>
      </c>
      <c r="L163" s="3">
        <f>'Monthly D6 RIN Data'!$H126</f>
        <v>0</v>
      </c>
      <c r="M163" s="3">
        <f>'Monthly D6 RIN Data'!$H138</f>
        <v>0</v>
      </c>
      <c r="N163" s="3">
        <f>'Monthly D6 RIN Data'!$H150</f>
        <v>0</v>
      </c>
      <c r="O163" s="3">
        <f>'Monthly D6 RIN Data'!$H162</f>
        <v>0</v>
      </c>
      <c r="P163" s="3">
        <f>'Monthly D6 RIN Data'!$H174</f>
        <v>0</v>
      </c>
      <c r="Q163" s="3">
        <f>'Monthly D6 RIN Data'!$H186</f>
        <v>0</v>
      </c>
      <c r="R163" s="4">
        <f>'D6 Gallon Forecast'!R164</f>
        <v>0</v>
      </c>
      <c r="S163" s="4">
        <f>'D6 Gallon Forecast'!S164</f>
        <v>0</v>
      </c>
      <c r="T163" s="4">
        <f>'D6 Gallon Forecast'!T164</f>
        <v>0</v>
      </c>
      <c r="U163" s="4">
        <v>0</v>
      </c>
      <c r="V163" s="4">
        <v>0</v>
      </c>
      <c r="W163" s="4">
        <v>0</v>
      </c>
      <c r="X163" s="4">
        <v>0</v>
      </c>
      <c r="Y163" s="4">
        <v>0</v>
      </c>
      <c r="Z163" s="4">
        <v>0</v>
      </c>
    </row>
    <row r="164" spans="1:26">
      <c r="A164" s="2" t="s">
        <v>46</v>
      </c>
      <c r="B164" s="3">
        <f>'Monthly D6 RIN Data'!$H7</f>
        <v>0</v>
      </c>
      <c r="C164" s="3">
        <f>'Monthly D6 RIN Data'!$H19</f>
        <v>0</v>
      </c>
      <c r="D164" s="3">
        <f>'Monthly D6 RIN Data'!$H31</f>
        <v>0</v>
      </c>
      <c r="E164" s="3">
        <f>'Monthly D6 RIN Data'!$H43</f>
        <v>0</v>
      </c>
      <c r="F164" s="3">
        <f>'Monthly D6 RIN Data'!$H55</f>
        <v>0</v>
      </c>
      <c r="G164" s="3">
        <f>'Monthly D6 RIN Data'!$H67</f>
        <v>0</v>
      </c>
      <c r="H164" s="3">
        <f>'Monthly D6 RIN Data'!$H79</f>
        <v>0</v>
      </c>
      <c r="I164" s="3">
        <f>'Monthly D6 RIN Data'!$H91</f>
        <v>0</v>
      </c>
      <c r="J164" s="3">
        <f>'Monthly D6 RIN Data'!$H103</f>
        <v>0</v>
      </c>
      <c r="K164" s="3">
        <f>'Monthly D6 RIN Data'!$H115</f>
        <v>0</v>
      </c>
      <c r="L164" s="3">
        <f>'Monthly D6 RIN Data'!$H127</f>
        <v>0</v>
      </c>
      <c r="M164" s="3">
        <f>'Monthly D6 RIN Data'!$H139</f>
        <v>0</v>
      </c>
      <c r="N164" s="3">
        <f>'Monthly D6 RIN Data'!$H151</f>
        <v>0</v>
      </c>
      <c r="O164" s="3">
        <f>'Monthly D6 RIN Data'!$H163</f>
        <v>0</v>
      </c>
      <c r="P164" s="3">
        <f>'Monthly D6 RIN Data'!$H175</f>
        <v>0</v>
      </c>
      <c r="Q164" s="4">
        <f>'D6 Gallon Forecast'!Q165</f>
        <v>0</v>
      </c>
      <c r="R164" s="4">
        <f>'D6 Gallon Forecast'!R165</f>
        <v>0</v>
      </c>
      <c r="S164" s="4">
        <f>'D6 Gallon Forecast'!S165</f>
        <v>0</v>
      </c>
      <c r="T164" s="4">
        <f>'D6 Gallon Forecast'!T165</f>
        <v>0</v>
      </c>
      <c r="U164" s="4">
        <v>0</v>
      </c>
      <c r="V164" s="4">
        <v>0</v>
      </c>
      <c r="W164" s="4">
        <v>0</v>
      </c>
      <c r="X164" s="4">
        <v>0</v>
      </c>
      <c r="Y164" s="4">
        <v>0</v>
      </c>
      <c r="Z164" s="4">
        <v>0</v>
      </c>
    </row>
    <row r="165" spans="1:26">
      <c r="A165" s="2" t="s">
        <v>47</v>
      </c>
      <c r="B165" s="3">
        <f>'Monthly D6 RIN Data'!$H8</f>
        <v>0</v>
      </c>
      <c r="C165" s="3">
        <f>'Monthly D6 RIN Data'!$H20</f>
        <v>0</v>
      </c>
      <c r="D165" s="3">
        <f>'Monthly D6 RIN Data'!$H32</f>
        <v>0</v>
      </c>
      <c r="E165" s="3">
        <f>'Monthly D6 RIN Data'!$H44</f>
        <v>0</v>
      </c>
      <c r="F165" s="3">
        <f>'Monthly D6 RIN Data'!$H56</f>
        <v>0</v>
      </c>
      <c r="G165" s="3">
        <f>'Monthly D6 RIN Data'!$H68</f>
        <v>0</v>
      </c>
      <c r="H165" s="3">
        <f>'Monthly D6 RIN Data'!$H80</f>
        <v>45371</v>
      </c>
      <c r="I165" s="3">
        <f>'Monthly D6 RIN Data'!$H92</f>
        <v>0</v>
      </c>
      <c r="J165" s="3">
        <f>'Monthly D6 RIN Data'!$H104</f>
        <v>0</v>
      </c>
      <c r="K165" s="3">
        <f>'Monthly D6 RIN Data'!$H116</f>
        <v>0</v>
      </c>
      <c r="L165" s="3">
        <f>'Monthly D6 RIN Data'!$H128</f>
        <v>0</v>
      </c>
      <c r="M165" s="3">
        <f>'Monthly D6 RIN Data'!$H140</f>
        <v>0</v>
      </c>
      <c r="N165" s="3">
        <f>'Monthly D6 RIN Data'!$H152</f>
        <v>0</v>
      </c>
      <c r="O165" s="3">
        <f>'Monthly D6 RIN Data'!$H164</f>
        <v>0</v>
      </c>
      <c r="P165" s="3">
        <f>'Monthly D6 RIN Data'!$H176</f>
        <v>0</v>
      </c>
      <c r="Q165" s="4">
        <f>'D6 Gallon Forecast'!Q166</f>
        <v>0</v>
      </c>
      <c r="R165" s="4">
        <f>'D6 Gallon Forecast'!R166</f>
        <v>0</v>
      </c>
      <c r="S165" s="4">
        <f>'D6 Gallon Forecast'!S166</f>
        <v>0</v>
      </c>
      <c r="T165" s="4">
        <f>'D6 Gallon Forecast'!T166</f>
        <v>0</v>
      </c>
      <c r="U165" s="4">
        <v>0</v>
      </c>
      <c r="V165" s="4">
        <v>0</v>
      </c>
      <c r="W165" s="4">
        <v>0</v>
      </c>
      <c r="X165" s="4">
        <v>0</v>
      </c>
      <c r="Y165" s="4">
        <v>0</v>
      </c>
      <c r="Z165" s="4">
        <v>0</v>
      </c>
    </row>
    <row r="166" spans="1:26">
      <c r="A166" s="2" t="s">
        <v>48</v>
      </c>
      <c r="B166" s="3">
        <f>'Monthly D6 RIN Data'!$H9</f>
        <v>0</v>
      </c>
      <c r="C166" s="3">
        <f>'Monthly D6 RIN Data'!$H21</f>
        <v>0</v>
      </c>
      <c r="D166" s="3">
        <f>'Monthly D6 RIN Data'!$H33</f>
        <v>0</v>
      </c>
      <c r="E166" s="3">
        <f>'Monthly D6 RIN Data'!$H45</f>
        <v>0</v>
      </c>
      <c r="F166" s="3">
        <f>'Monthly D6 RIN Data'!$H57</f>
        <v>0</v>
      </c>
      <c r="G166" s="3">
        <f>'Monthly D6 RIN Data'!$H69</f>
        <v>0</v>
      </c>
      <c r="H166" s="3">
        <f>'Monthly D6 RIN Data'!$H81</f>
        <v>36271</v>
      </c>
      <c r="I166" s="3">
        <f>'Monthly D6 RIN Data'!$H93</f>
        <v>0</v>
      </c>
      <c r="J166" s="3">
        <f>'Monthly D6 RIN Data'!$H105</f>
        <v>0</v>
      </c>
      <c r="K166" s="3">
        <f>'Monthly D6 RIN Data'!$H117</f>
        <v>0</v>
      </c>
      <c r="L166" s="3">
        <f>'Monthly D6 RIN Data'!$H129</f>
        <v>0</v>
      </c>
      <c r="M166" s="3">
        <f>'Monthly D6 RIN Data'!$H141</f>
        <v>0</v>
      </c>
      <c r="N166" s="3">
        <f>'Monthly D6 RIN Data'!$H153</f>
        <v>0</v>
      </c>
      <c r="O166" s="3">
        <f>'Monthly D6 RIN Data'!$H165</f>
        <v>0</v>
      </c>
      <c r="P166" s="3">
        <f>'Monthly D6 RIN Data'!$H177</f>
        <v>0</v>
      </c>
      <c r="Q166" s="4">
        <f>'D6 Gallon Forecast'!Q167</f>
        <v>0</v>
      </c>
      <c r="R166" s="4">
        <f>'D6 Gallon Forecast'!R167</f>
        <v>0</v>
      </c>
      <c r="S166" s="4">
        <f>'D6 Gallon Forecast'!S167</f>
        <v>0</v>
      </c>
      <c r="T166" s="4">
        <f>'D6 Gallon Forecast'!T167</f>
        <v>0</v>
      </c>
      <c r="U166" s="4">
        <v>0</v>
      </c>
      <c r="V166" s="4">
        <v>0</v>
      </c>
      <c r="W166" s="4">
        <v>0</v>
      </c>
      <c r="X166" s="4">
        <v>0</v>
      </c>
      <c r="Y166" s="4">
        <v>0</v>
      </c>
      <c r="Z166" s="4">
        <v>0</v>
      </c>
    </row>
    <row r="167" spans="1:26">
      <c r="A167" s="2" t="s">
        <v>49</v>
      </c>
      <c r="B167" s="3">
        <f>'Monthly D6 RIN Data'!$H10</f>
        <v>0</v>
      </c>
      <c r="C167" s="3">
        <f>'Monthly D6 RIN Data'!$H22</f>
        <v>0</v>
      </c>
      <c r="D167" s="3">
        <f>'Monthly D6 RIN Data'!$H34</f>
        <v>0</v>
      </c>
      <c r="E167" s="3">
        <f>'Monthly D6 RIN Data'!$H46</f>
        <v>15198</v>
      </c>
      <c r="F167" s="3">
        <f>'Monthly D6 RIN Data'!$H58</f>
        <v>0</v>
      </c>
      <c r="G167" s="3">
        <f>'Monthly D6 RIN Data'!$H70</f>
        <v>0</v>
      </c>
      <c r="H167" s="3">
        <f>'Monthly D6 RIN Data'!$H82</f>
        <v>8698</v>
      </c>
      <c r="I167" s="3">
        <f>'Monthly D6 RIN Data'!$H94</f>
        <v>0</v>
      </c>
      <c r="J167" s="3">
        <f>'Monthly D6 RIN Data'!$H106</f>
        <v>0</v>
      </c>
      <c r="K167" s="3">
        <f>'Monthly D6 RIN Data'!$H118</f>
        <v>0</v>
      </c>
      <c r="L167" s="3">
        <f>'Monthly D6 RIN Data'!$H130</f>
        <v>572</v>
      </c>
      <c r="M167" s="3">
        <f>'Monthly D6 RIN Data'!$H142</f>
        <v>0</v>
      </c>
      <c r="N167" s="3">
        <f>'Monthly D6 RIN Data'!$H154</f>
        <v>0</v>
      </c>
      <c r="O167" s="3">
        <f>'Monthly D6 RIN Data'!$H166</f>
        <v>0</v>
      </c>
      <c r="P167" s="3">
        <f>'Monthly D6 RIN Data'!$H178</f>
        <v>0</v>
      </c>
      <c r="Q167" s="4">
        <f>'D6 Gallon Forecast'!Q168</f>
        <v>0</v>
      </c>
      <c r="R167" s="4">
        <f>'D6 Gallon Forecast'!R168</f>
        <v>0</v>
      </c>
      <c r="S167" s="4">
        <f>'D6 Gallon Forecast'!S168</f>
        <v>0</v>
      </c>
      <c r="T167" s="4">
        <f>'D6 Gallon Forecast'!T168</f>
        <v>0</v>
      </c>
      <c r="U167" s="4">
        <v>0</v>
      </c>
      <c r="V167" s="4">
        <v>0</v>
      </c>
      <c r="W167" s="4">
        <v>0</v>
      </c>
      <c r="X167" s="4">
        <v>0</v>
      </c>
      <c r="Y167" s="4">
        <v>0</v>
      </c>
      <c r="Z167" s="4">
        <v>0</v>
      </c>
    </row>
    <row r="168" spans="1:26">
      <c r="A168" s="2" t="s">
        <v>50</v>
      </c>
      <c r="B168" s="3">
        <f>'Monthly D6 RIN Data'!$H11</f>
        <v>0</v>
      </c>
      <c r="C168" s="3">
        <f>'Monthly D6 RIN Data'!$H23</f>
        <v>0</v>
      </c>
      <c r="D168" s="3">
        <f>'Monthly D6 RIN Data'!$H35</f>
        <v>0</v>
      </c>
      <c r="E168" s="3">
        <f>'Monthly D6 RIN Data'!$H47</f>
        <v>0</v>
      </c>
      <c r="F168" s="3">
        <f>'Monthly D6 RIN Data'!$H59</f>
        <v>0</v>
      </c>
      <c r="G168" s="3">
        <f>'Monthly D6 RIN Data'!$H71</f>
        <v>0</v>
      </c>
      <c r="H168" s="3">
        <f>'Monthly D6 RIN Data'!$H83</f>
        <v>35887</v>
      </c>
      <c r="I168" s="3">
        <f>'Monthly D6 RIN Data'!$H95</f>
        <v>0</v>
      </c>
      <c r="J168" s="3">
        <f>'Monthly D6 RIN Data'!$H107</f>
        <v>0</v>
      </c>
      <c r="K168" s="3">
        <f>'Monthly D6 RIN Data'!$H119</f>
        <v>0</v>
      </c>
      <c r="L168" s="3">
        <f>'Monthly D6 RIN Data'!$H131</f>
        <v>0</v>
      </c>
      <c r="M168" s="3">
        <f>'Monthly D6 RIN Data'!$H143</f>
        <v>0</v>
      </c>
      <c r="N168" s="3">
        <f>'Monthly D6 RIN Data'!$H155</f>
        <v>0</v>
      </c>
      <c r="O168" s="3">
        <f>'Monthly D6 RIN Data'!$H167</f>
        <v>0</v>
      </c>
      <c r="P168" s="3">
        <f>'Monthly D6 RIN Data'!$H179</f>
        <v>0</v>
      </c>
      <c r="Q168" s="4">
        <f>'D6 Gallon Forecast'!Q169</f>
        <v>0</v>
      </c>
      <c r="R168" s="4">
        <f>'D6 Gallon Forecast'!R169</f>
        <v>0</v>
      </c>
      <c r="S168" s="4">
        <f>'D6 Gallon Forecast'!S169</f>
        <v>0</v>
      </c>
      <c r="T168" s="4">
        <f>'D6 Gallon Forecast'!T169</f>
        <v>0</v>
      </c>
      <c r="U168" s="4">
        <v>0</v>
      </c>
      <c r="V168" s="4">
        <v>0</v>
      </c>
      <c r="W168" s="4">
        <v>0</v>
      </c>
      <c r="X168" s="4">
        <v>0</v>
      </c>
      <c r="Y168" s="4">
        <v>0</v>
      </c>
      <c r="Z168" s="4">
        <v>0</v>
      </c>
    </row>
    <row r="169" spans="1:26">
      <c r="A169" s="2" t="s">
        <v>51</v>
      </c>
      <c r="B169" s="3">
        <f>'Monthly D6 RIN Data'!$H12</f>
        <v>0</v>
      </c>
      <c r="C169" s="3">
        <f>'Monthly D6 RIN Data'!$H24</f>
        <v>0</v>
      </c>
      <c r="D169" s="3">
        <f>'Monthly D6 RIN Data'!$H36</f>
        <v>0</v>
      </c>
      <c r="E169" s="3">
        <f>'Monthly D6 RIN Data'!$H48</f>
        <v>0</v>
      </c>
      <c r="F169" s="3">
        <f>'Monthly D6 RIN Data'!$H60</f>
        <v>0</v>
      </c>
      <c r="G169" s="3">
        <f>'Monthly D6 RIN Data'!$H72</f>
        <v>0</v>
      </c>
      <c r="H169" s="3">
        <f>'Monthly D6 RIN Data'!$H84</f>
        <v>0</v>
      </c>
      <c r="I169" s="3">
        <f>'Monthly D6 RIN Data'!$H96</f>
        <v>0</v>
      </c>
      <c r="J169" s="3">
        <f>'Monthly D6 RIN Data'!$H108</f>
        <v>0</v>
      </c>
      <c r="K169" s="3">
        <f>'Monthly D6 RIN Data'!$H120</f>
        <v>0</v>
      </c>
      <c r="L169" s="3">
        <f>'Monthly D6 RIN Data'!$H132</f>
        <v>0</v>
      </c>
      <c r="M169" s="3">
        <f>'Monthly D6 RIN Data'!$H144</f>
        <v>0</v>
      </c>
      <c r="N169" s="3">
        <f>'Monthly D6 RIN Data'!$H156</f>
        <v>0</v>
      </c>
      <c r="O169" s="3">
        <f>'Monthly D6 RIN Data'!$H168</f>
        <v>0</v>
      </c>
      <c r="P169" s="3">
        <f>'Monthly D6 RIN Data'!$H180</f>
        <v>0</v>
      </c>
      <c r="Q169" s="4">
        <f>'D6 Gallon Forecast'!Q170</f>
        <v>0</v>
      </c>
      <c r="R169" s="4">
        <f>'D6 Gallon Forecast'!R170</f>
        <v>0</v>
      </c>
      <c r="S169" s="4">
        <f>'D6 Gallon Forecast'!S170</f>
        <v>0</v>
      </c>
      <c r="T169" s="4">
        <f>'D6 Gallon Forecast'!T170</f>
        <v>0</v>
      </c>
      <c r="U169" s="4">
        <v>0</v>
      </c>
      <c r="V169" s="4">
        <v>0</v>
      </c>
      <c r="W169" s="4">
        <v>0</v>
      </c>
      <c r="X169" s="4">
        <v>0</v>
      </c>
      <c r="Y169" s="4">
        <v>0</v>
      </c>
      <c r="Z169" s="4">
        <v>0</v>
      </c>
    </row>
    <row r="170" spans="1:26">
      <c r="A170" s="2" t="s">
        <v>52</v>
      </c>
      <c r="B170" s="3">
        <f>'Monthly D6 RIN Data'!$H13</f>
        <v>0</v>
      </c>
      <c r="C170" s="3">
        <f>'Monthly D6 RIN Data'!$H25</f>
        <v>0</v>
      </c>
      <c r="D170" s="3">
        <f>'Monthly D6 RIN Data'!$H37</f>
        <v>0</v>
      </c>
      <c r="E170" s="3">
        <f>'Monthly D6 RIN Data'!$H49</f>
        <v>0</v>
      </c>
      <c r="F170" s="3">
        <f>'Monthly D6 RIN Data'!$H61</f>
        <v>0</v>
      </c>
      <c r="G170" s="3">
        <f>'Monthly D6 RIN Data'!$H73</f>
        <v>0</v>
      </c>
      <c r="H170" s="3">
        <f>'Monthly D6 RIN Data'!$H85</f>
        <v>0</v>
      </c>
      <c r="I170" s="3">
        <f>'Monthly D6 RIN Data'!$H97</f>
        <v>0</v>
      </c>
      <c r="J170" s="3">
        <f>'Monthly D6 RIN Data'!$H109</f>
        <v>0</v>
      </c>
      <c r="K170" s="3">
        <f>'Monthly D6 RIN Data'!$H121</f>
        <v>0</v>
      </c>
      <c r="L170" s="3">
        <f>'Monthly D6 RIN Data'!$H133</f>
        <v>0</v>
      </c>
      <c r="M170" s="3">
        <f>'Monthly D6 RIN Data'!$H145</f>
        <v>0</v>
      </c>
      <c r="N170" s="3">
        <f>'Monthly D6 RIN Data'!$H157</f>
        <v>0</v>
      </c>
      <c r="O170" s="3">
        <f>'Monthly D6 RIN Data'!$H169</f>
        <v>0</v>
      </c>
      <c r="P170" s="3">
        <f>'Monthly D6 RIN Data'!$H181</f>
        <v>0</v>
      </c>
      <c r="Q170" s="4">
        <f>'D6 Gallon Forecast'!Q171</f>
        <v>0</v>
      </c>
      <c r="R170" s="4">
        <f>'D6 Gallon Forecast'!R171</f>
        <v>0</v>
      </c>
      <c r="S170" s="4">
        <f>'D6 Gallon Forecast'!S171</f>
        <v>0</v>
      </c>
      <c r="T170" s="4">
        <f>'D6 Gallon Forecast'!T171</f>
        <v>0</v>
      </c>
      <c r="U170" s="4">
        <v>0</v>
      </c>
      <c r="V170" s="4">
        <v>0</v>
      </c>
      <c r="W170" s="4">
        <v>0</v>
      </c>
      <c r="X170" s="4">
        <v>0</v>
      </c>
      <c r="Y170" s="4">
        <v>0</v>
      </c>
      <c r="Z170" s="4">
        <v>0</v>
      </c>
    </row>
    <row r="171" spans="1:26">
      <c r="A171" s="2" t="s">
        <v>53</v>
      </c>
      <c r="B171" s="3">
        <f>'Monthly D6 RIN Data'!$H14</f>
        <v>0</v>
      </c>
      <c r="C171" s="3">
        <f>'Monthly D6 RIN Data'!$H26</f>
        <v>0</v>
      </c>
      <c r="D171" s="3">
        <f>'Monthly D6 RIN Data'!$H38</f>
        <v>0</v>
      </c>
      <c r="E171" s="3">
        <f>'Monthly D6 RIN Data'!$H50</f>
        <v>0</v>
      </c>
      <c r="F171" s="3">
        <f>'Monthly D6 RIN Data'!$H62</f>
        <v>0</v>
      </c>
      <c r="G171" s="3">
        <f>'Monthly D6 RIN Data'!$H74</f>
        <v>0</v>
      </c>
      <c r="H171" s="3">
        <f>'Monthly D6 RIN Data'!$H86</f>
        <v>36715</v>
      </c>
      <c r="I171" s="3">
        <f>'Monthly D6 RIN Data'!$H98</f>
        <v>0</v>
      </c>
      <c r="J171" s="3">
        <f>'Monthly D6 RIN Data'!$H110</f>
        <v>0</v>
      </c>
      <c r="K171" s="3">
        <f>'Monthly D6 RIN Data'!$H122</f>
        <v>0</v>
      </c>
      <c r="L171" s="3">
        <f>'Monthly D6 RIN Data'!$H134</f>
        <v>0</v>
      </c>
      <c r="M171" s="3">
        <f>'Monthly D6 RIN Data'!$H146</f>
        <v>0</v>
      </c>
      <c r="N171" s="3">
        <f>'Monthly D6 RIN Data'!$H158</f>
        <v>0</v>
      </c>
      <c r="O171" s="3">
        <f>'Monthly D6 RIN Data'!$H170</f>
        <v>0</v>
      </c>
      <c r="P171" s="3">
        <f>'Monthly D6 RIN Data'!$H182</f>
        <v>0</v>
      </c>
      <c r="Q171" s="4">
        <f>'D6 Gallon Forecast'!Q172</f>
        <v>0</v>
      </c>
      <c r="R171" s="4">
        <f>'D6 Gallon Forecast'!R172</f>
        <v>0</v>
      </c>
      <c r="S171" s="4">
        <f>'D6 Gallon Forecast'!S172</f>
        <v>0</v>
      </c>
      <c r="T171" s="4">
        <f>'D6 Gallon Forecast'!T172</f>
        <v>0</v>
      </c>
      <c r="U171" s="4">
        <v>0</v>
      </c>
      <c r="V171" s="4">
        <v>0</v>
      </c>
      <c r="W171" s="4">
        <v>0</v>
      </c>
      <c r="X171" s="4">
        <v>0</v>
      </c>
      <c r="Y171" s="4">
        <v>0</v>
      </c>
      <c r="Z171" s="4">
        <v>0</v>
      </c>
    </row>
    <row r="172" spans="1:26">
      <c r="A172" s="2" t="s">
        <v>54</v>
      </c>
      <c r="B172" s="3">
        <f>'Monthly D6 RIN Data'!$H15</f>
        <v>0</v>
      </c>
      <c r="C172" s="3">
        <f>'Monthly D6 RIN Data'!$H27</f>
        <v>0</v>
      </c>
      <c r="D172" s="3">
        <f>'Monthly D6 RIN Data'!$H39</f>
        <v>0</v>
      </c>
      <c r="E172" s="3">
        <f>'Monthly D6 RIN Data'!$H51</f>
        <v>0</v>
      </c>
      <c r="F172" s="3">
        <f>'Monthly D6 RIN Data'!$H63</f>
        <v>0</v>
      </c>
      <c r="G172" s="3">
        <f>'Monthly D6 RIN Data'!$H75</f>
        <v>0</v>
      </c>
      <c r="H172" s="3">
        <f>'Monthly D6 RIN Data'!$H87</f>
        <v>0</v>
      </c>
      <c r="I172" s="3">
        <f>'Monthly D6 RIN Data'!$H99</f>
        <v>0</v>
      </c>
      <c r="J172" s="3">
        <f>'Monthly D6 RIN Data'!$H111</f>
        <v>0</v>
      </c>
      <c r="K172" s="3">
        <f>'Monthly D6 RIN Data'!$H123</f>
        <v>0</v>
      </c>
      <c r="L172" s="3">
        <f>'Monthly D6 RIN Data'!$H135</f>
        <v>0</v>
      </c>
      <c r="M172" s="3">
        <f>'Monthly D6 RIN Data'!$H147</f>
        <v>0</v>
      </c>
      <c r="N172" s="3">
        <f>'Monthly D6 RIN Data'!$H159</f>
        <v>0</v>
      </c>
      <c r="O172" s="3">
        <f>'Monthly D6 RIN Data'!$H171</f>
        <v>0</v>
      </c>
      <c r="P172" s="3">
        <f>'Monthly D6 RIN Data'!$H183</f>
        <v>0</v>
      </c>
      <c r="Q172" s="4">
        <f>'D6 Gallon Forecast'!Q173</f>
        <v>0</v>
      </c>
      <c r="R172" s="4">
        <f>'D6 Gallon Forecast'!R173</f>
        <v>0</v>
      </c>
      <c r="S172" s="4">
        <f>'D6 Gallon Forecast'!S173</f>
        <v>0</v>
      </c>
      <c r="T172" s="4">
        <f>'D6 Gallon Forecast'!T173</f>
        <v>0</v>
      </c>
      <c r="U172" s="4">
        <v>0</v>
      </c>
      <c r="V172" s="4">
        <v>0</v>
      </c>
      <c r="W172" s="4">
        <v>0</v>
      </c>
      <c r="X172" s="4">
        <v>0</v>
      </c>
      <c r="Y172" s="4">
        <v>0</v>
      </c>
      <c r="Z172" s="4">
        <v>0</v>
      </c>
    </row>
    <row r="173" spans="1:26" ht="13.5" thickBot="1">
      <c r="A173" s="2" t="s">
        <v>29</v>
      </c>
      <c r="B173" s="3">
        <f t="shared" ref="B173:Z173" si="59">SUM(B161:B172)</f>
        <v>0</v>
      </c>
      <c r="C173" s="3">
        <f t="shared" si="59"/>
        <v>0</v>
      </c>
      <c r="D173" s="3">
        <f t="shared" si="59"/>
        <v>0</v>
      </c>
      <c r="E173" s="3">
        <f t="shared" si="59"/>
        <v>15198</v>
      </c>
      <c r="F173" s="3">
        <f t="shared" si="59"/>
        <v>0</v>
      </c>
      <c r="G173" s="3">
        <f t="shared" si="59"/>
        <v>0</v>
      </c>
      <c r="H173" s="3">
        <f t="shared" si="59"/>
        <v>162942</v>
      </c>
      <c r="I173" s="3">
        <f t="shared" si="59"/>
        <v>0</v>
      </c>
      <c r="J173" s="3">
        <f t="shared" si="59"/>
        <v>0</v>
      </c>
      <c r="K173" s="3">
        <f t="shared" si="59"/>
        <v>0</v>
      </c>
      <c r="L173" s="3">
        <f t="shared" si="59"/>
        <v>572</v>
      </c>
      <c r="M173" s="3">
        <f t="shared" si="59"/>
        <v>0</v>
      </c>
      <c r="N173" s="3">
        <f t="shared" si="59"/>
        <v>0</v>
      </c>
      <c r="O173" s="3">
        <f t="shared" si="59"/>
        <v>0</v>
      </c>
      <c r="P173" s="3">
        <f t="shared" si="59"/>
        <v>0</v>
      </c>
      <c r="Q173" s="4">
        <f t="shared" si="59"/>
        <v>0</v>
      </c>
      <c r="R173" s="4">
        <f t="shared" si="59"/>
        <v>0</v>
      </c>
      <c r="S173" s="4">
        <f t="shared" si="59"/>
        <v>0</v>
      </c>
      <c r="T173" s="4">
        <f t="shared" si="59"/>
        <v>0</v>
      </c>
      <c r="U173" s="4">
        <f t="shared" si="59"/>
        <v>0</v>
      </c>
      <c r="V173" s="4">
        <f t="shared" si="59"/>
        <v>0</v>
      </c>
      <c r="W173" s="4">
        <f t="shared" si="59"/>
        <v>0</v>
      </c>
      <c r="X173" s="4">
        <f t="shared" si="59"/>
        <v>0</v>
      </c>
      <c r="Y173" s="4">
        <f t="shared" si="59"/>
        <v>0</v>
      </c>
      <c r="Z173" s="4">
        <f t="shared" si="59"/>
        <v>0</v>
      </c>
    </row>
    <row r="174" spans="1:26">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row>
    <row r="175" spans="1:26" ht="16.5" thickBot="1">
      <c r="A175" s="109" t="s">
        <v>501</v>
      </c>
    </row>
    <row r="176" spans="1:26" ht="13.5" thickBot="1">
      <c r="A176" s="110"/>
      <c r="B176" s="111">
        <v>2010</v>
      </c>
      <c r="C176" s="111">
        <v>2011</v>
      </c>
      <c r="D176" s="111">
        <v>2012</v>
      </c>
      <c r="E176" s="111">
        <v>2013</v>
      </c>
      <c r="F176" s="111">
        <v>2014</v>
      </c>
      <c r="G176" s="111">
        <v>2015</v>
      </c>
      <c r="H176" s="111">
        <v>2016</v>
      </c>
      <c r="I176" s="111">
        <v>2017</v>
      </c>
      <c r="J176" s="111">
        <v>2018</v>
      </c>
      <c r="K176" s="111">
        <v>2019</v>
      </c>
      <c r="L176" s="111">
        <v>2020</v>
      </c>
      <c r="M176" s="111">
        <v>2021</v>
      </c>
      <c r="N176" s="111">
        <v>2022</v>
      </c>
      <c r="O176" s="111">
        <v>2023</v>
      </c>
      <c r="P176" s="111">
        <v>2024</v>
      </c>
      <c r="Q176" s="111">
        <v>2025</v>
      </c>
      <c r="R176" s="111">
        <v>2026</v>
      </c>
      <c r="S176" s="111">
        <v>2027</v>
      </c>
      <c r="T176" s="111">
        <v>2028</v>
      </c>
      <c r="U176" s="111">
        <v>2029</v>
      </c>
      <c r="V176" s="111">
        <v>2030</v>
      </c>
      <c r="W176" s="111">
        <v>2031</v>
      </c>
      <c r="X176" s="111">
        <v>2032</v>
      </c>
      <c r="Y176" s="111">
        <v>2033</v>
      </c>
      <c r="Z176" s="111">
        <v>2034</v>
      </c>
    </row>
    <row r="177" spans="1:26">
      <c r="A177" s="2" t="s">
        <v>43</v>
      </c>
      <c r="B177" s="3">
        <f>'Monthly D6 RIN Data'!$I4</f>
        <v>0</v>
      </c>
      <c r="C177" s="3">
        <f>'Monthly D6 RIN Data'!$I16</f>
        <v>0</v>
      </c>
      <c r="D177" s="3">
        <f>'Monthly D6 RIN Data'!$I28</f>
        <v>0</v>
      </c>
      <c r="E177" s="3">
        <f>'Monthly D6 RIN Data'!$I40</f>
        <v>0</v>
      </c>
      <c r="F177" s="3">
        <f>'Monthly D6 RIN Data'!$I52</f>
        <v>0</v>
      </c>
      <c r="G177" s="3">
        <f>'Monthly D6 RIN Data'!$I64</f>
        <v>0</v>
      </c>
      <c r="H177" s="3">
        <f>'Monthly D6 RIN Data'!$I76</f>
        <v>0</v>
      </c>
      <c r="I177" s="3">
        <f>'Monthly D6 RIN Data'!$I88</f>
        <v>0</v>
      </c>
      <c r="J177" s="3">
        <f>'Monthly D6 RIN Data'!$I100</f>
        <v>0</v>
      </c>
      <c r="K177" s="3">
        <f>'Monthly D6 RIN Data'!$I112</f>
        <v>0</v>
      </c>
      <c r="L177" s="3">
        <f>'Monthly D6 RIN Data'!$I124</f>
        <v>0</v>
      </c>
      <c r="M177" s="3">
        <f>'Monthly D6 RIN Data'!$I136</f>
        <v>0</v>
      </c>
      <c r="N177" s="3">
        <f>'Monthly D6 RIN Data'!$I148</f>
        <v>0</v>
      </c>
      <c r="O177" s="3">
        <f>'Monthly D6 RIN Data'!$I160</f>
        <v>0</v>
      </c>
      <c r="P177" s="3">
        <f>'Monthly D6 RIN Data'!$I172</f>
        <v>0</v>
      </c>
      <c r="Q177" s="3">
        <f>'Monthly D6 RIN Data'!$I184</f>
        <v>0</v>
      </c>
      <c r="R177" s="4">
        <f>'D6 Gallon Forecast'!R177</f>
        <v>0</v>
      </c>
      <c r="S177" s="4">
        <f>'D6 Gallon Forecast'!S177</f>
        <v>0</v>
      </c>
      <c r="T177" s="4">
        <f>'D6 Gallon Forecast'!T177</f>
        <v>0</v>
      </c>
      <c r="U177" s="4">
        <f>'D6 Gallon Forecast'!U177</f>
        <v>0</v>
      </c>
      <c r="V177" s="4">
        <f>'D6 Gallon Forecast'!V177</f>
        <v>0</v>
      </c>
      <c r="W177" s="4">
        <f>'D6 Gallon Forecast'!W177</f>
        <v>0</v>
      </c>
      <c r="X177" s="4">
        <f>'D6 Gallon Forecast'!X177</f>
        <v>0</v>
      </c>
      <c r="Y177" s="4">
        <f>'D6 Gallon Forecast'!Y177</f>
        <v>0</v>
      </c>
      <c r="Z177" s="4">
        <f>'D6 Gallon Forecast'!Z177</f>
        <v>0</v>
      </c>
    </row>
    <row r="178" spans="1:26">
      <c r="A178" s="2" t="s">
        <v>44</v>
      </c>
      <c r="B178" s="3">
        <f>'Monthly D6 RIN Data'!$I5</f>
        <v>0</v>
      </c>
      <c r="C178" s="3">
        <f>'Monthly D6 RIN Data'!$I17</f>
        <v>0</v>
      </c>
      <c r="D178" s="3">
        <f>'Monthly D6 RIN Data'!$I29</f>
        <v>0</v>
      </c>
      <c r="E178" s="3">
        <f>'Monthly D6 RIN Data'!$I41</f>
        <v>0</v>
      </c>
      <c r="F178" s="3">
        <f>'Monthly D6 RIN Data'!$I53</f>
        <v>0</v>
      </c>
      <c r="G178" s="3">
        <f>'Monthly D6 RIN Data'!$I65</f>
        <v>0</v>
      </c>
      <c r="H178" s="3">
        <f>'Monthly D6 RIN Data'!$I77</f>
        <v>0</v>
      </c>
      <c r="I178" s="3">
        <f>'Monthly D6 RIN Data'!$I89</f>
        <v>0</v>
      </c>
      <c r="J178" s="3">
        <f>'Monthly D6 RIN Data'!$I101</f>
        <v>0</v>
      </c>
      <c r="K178" s="3">
        <f>'Monthly D6 RIN Data'!$I113</f>
        <v>0</v>
      </c>
      <c r="L178" s="3">
        <f>'Monthly D6 RIN Data'!$I125</f>
        <v>0</v>
      </c>
      <c r="M178" s="3">
        <f>'Monthly D6 RIN Data'!$I137</f>
        <v>0</v>
      </c>
      <c r="N178" s="3">
        <f>'Monthly D6 RIN Data'!$I149</f>
        <v>0</v>
      </c>
      <c r="O178" s="3">
        <f>'Monthly D6 RIN Data'!$I161</f>
        <v>0</v>
      </c>
      <c r="P178" s="3">
        <f>'Monthly D6 RIN Data'!$I173</f>
        <v>0</v>
      </c>
      <c r="Q178" s="3">
        <f>'Monthly D6 RIN Data'!$I185</f>
        <v>0</v>
      </c>
      <c r="R178" s="4">
        <f>'D6 Gallon Forecast'!R178</f>
        <v>0</v>
      </c>
      <c r="S178" s="4">
        <f>'D6 Gallon Forecast'!S178</f>
        <v>0</v>
      </c>
      <c r="T178" s="4">
        <f>'D6 Gallon Forecast'!T178</f>
        <v>0</v>
      </c>
      <c r="U178" s="4">
        <f>'D6 Gallon Forecast'!U178</f>
        <v>0</v>
      </c>
      <c r="V178" s="4">
        <f>'D6 Gallon Forecast'!V178</f>
        <v>0</v>
      </c>
      <c r="W178" s="4">
        <f>'D6 Gallon Forecast'!W178</f>
        <v>0</v>
      </c>
      <c r="X178" s="4">
        <f>'D6 Gallon Forecast'!X178</f>
        <v>0</v>
      </c>
      <c r="Y178" s="4">
        <f>'D6 Gallon Forecast'!Y178</f>
        <v>0</v>
      </c>
      <c r="Z178" s="4">
        <f>'D6 Gallon Forecast'!Z178</f>
        <v>0</v>
      </c>
    </row>
    <row r="179" spans="1:26">
      <c r="A179" s="2" t="s">
        <v>45</v>
      </c>
      <c r="B179" s="3">
        <f>'Monthly D6 RIN Data'!$I6</f>
        <v>0</v>
      </c>
      <c r="C179" s="3">
        <f>'Monthly D6 RIN Data'!$I18</f>
        <v>0</v>
      </c>
      <c r="D179" s="3">
        <f>'Monthly D6 RIN Data'!$I30</f>
        <v>0</v>
      </c>
      <c r="E179" s="3">
        <f>'Monthly D6 RIN Data'!$I42</f>
        <v>0</v>
      </c>
      <c r="F179" s="3">
        <f>'Monthly D6 RIN Data'!$I54</f>
        <v>0</v>
      </c>
      <c r="G179" s="3">
        <f>'Monthly D6 RIN Data'!$I66</f>
        <v>0</v>
      </c>
      <c r="H179" s="3">
        <f>'Monthly D6 RIN Data'!$I78</f>
        <v>0</v>
      </c>
      <c r="I179" s="3">
        <f>'Monthly D6 RIN Data'!$I90</f>
        <v>0</v>
      </c>
      <c r="J179" s="3">
        <f>'Monthly D6 RIN Data'!$I102</f>
        <v>0</v>
      </c>
      <c r="K179" s="3">
        <f>'Monthly D6 RIN Data'!$I114</f>
        <v>0</v>
      </c>
      <c r="L179" s="3">
        <f>'Monthly D6 RIN Data'!$I126</f>
        <v>0</v>
      </c>
      <c r="M179" s="3">
        <f>'Monthly D6 RIN Data'!$I138</f>
        <v>0</v>
      </c>
      <c r="N179" s="3">
        <f>'Monthly D6 RIN Data'!$I150</f>
        <v>0</v>
      </c>
      <c r="O179" s="3">
        <f>'Monthly D6 RIN Data'!$I162</f>
        <v>0</v>
      </c>
      <c r="P179" s="3">
        <f>'Monthly D6 RIN Data'!$I174</f>
        <v>0</v>
      </c>
      <c r="Q179" s="3">
        <f>'Monthly D6 RIN Data'!$I186</f>
        <v>0</v>
      </c>
      <c r="R179" s="4">
        <f>'D6 Gallon Forecast'!R179</f>
        <v>0</v>
      </c>
      <c r="S179" s="4">
        <f>'D6 Gallon Forecast'!S179</f>
        <v>0</v>
      </c>
      <c r="T179" s="4">
        <f>'D6 Gallon Forecast'!T179</f>
        <v>0</v>
      </c>
      <c r="U179" s="4">
        <f>'D6 Gallon Forecast'!U179</f>
        <v>0</v>
      </c>
      <c r="V179" s="4">
        <f>'D6 Gallon Forecast'!V179</f>
        <v>0</v>
      </c>
      <c r="W179" s="4">
        <f>'D6 Gallon Forecast'!W179</f>
        <v>0</v>
      </c>
      <c r="X179" s="4">
        <f>'D6 Gallon Forecast'!X179</f>
        <v>0</v>
      </c>
      <c r="Y179" s="4">
        <f>'D6 Gallon Forecast'!Y179</f>
        <v>0</v>
      </c>
      <c r="Z179" s="4">
        <f>'D6 Gallon Forecast'!Z179</f>
        <v>0</v>
      </c>
    </row>
    <row r="180" spans="1:26">
      <c r="A180" s="2" t="s">
        <v>46</v>
      </c>
      <c r="B180" s="3">
        <f>'Monthly D6 RIN Data'!$I7</f>
        <v>0</v>
      </c>
      <c r="C180" s="3">
        <f>'Monthly D6 RIN Data'!$I19</f>
        <v>0</v>
      </c>
      <c r="D180" s="3">
        <f>'Monthly D6 RIN Data'!$I31</f>
        <v>0</v>
      </c>
      <c r="E180" s="3">
        <f>'Monthly D6 RIN Data'!$I43</f>
        <v>0</v>
      </c>
      <c r="F180" s="3">
        <f>'Monthly D6 RIN Data'!$I55</f>
        <v>0</v>
      </c>
      <c r="G180" s="3">
        <f>'Monthly D6 RIN Data'!$I67</f>
        <v>0</v>
      </c>
      <c r="H180" s="3">
        <f>'Monthly D6 RIN Data'!$I79</f>
        <v>0</v>
      </c>
      <c r="I180" s="3">
        <f>'Monthly D6 RIN Data'!$I91</f>
        <v>0</v>
      </c>
      <c r="J180" s="3">
        <f>'Monthly D6 RIN Data'!$I103</f>
        <v>0</v>
      </c>
      <c r="K180" s="3">
        <f>'Monthly D6 RIN Data'!$I115</f>
        <v>0</v>
      </c>
      <c r="L180" s="3">
        <f>'Monthly D6 RIN Data'!$I127</f>
        <v>0</v>
      </c>
      <c r="M180" s="3">
        <f>'Monthly D6 RIN Data'!$I139</f>
        <v>0</v>
      </c>
      <c r="N180" s="3">
        <f>'Monthly D6 RIN Data'!$I151</f>
        <v>0</v>
      </c>
      <c r="O180" s="3">
        <f>'Monthly D6 RIN Data'!$I163</f>
        <v>0</v>
      </c>
      <c r="P180" s="3">
        <f>'Monthly D6 RIN Data'!$I175</f>
        <v>0</v>
      </c>
      <c r="Q180" s="4">
        <f>'D6 Gallon Forecast'!Q180</f>
        <v>0</v>
      </c>
      <c r="R180" s="4">
        <f>'D6 Gallon Forecast'!R180</f>
        <v>0</v>
      </c>
      <c r="S180" s="4">
        <f>'D6 Gallon Forecast'!S180</f>
        <v>0</v>
      </c>
      <c r="T180" s="4">
        <f>'D6 Gallon Forecast'!T180</f>
        <v>0</v>
      </c>
      <c r="U180" s="4">
        <f>'D6 Gallon Forecast'!U180</f>
        <v>0</v>
      </c>
      <c r="V180" s="4">
        <f>'D6 Gallon Forecast'!V180</f>
        <v>0</v>
      </c>
      <c r="W180" s="4">
        <f>'D6 Gallon Forecast'!W180</f>
        <v>0</v>
      </c>
      <c r="X180" s="4">
        <f>'D6 Gallon Forecast'!X180</f>
        <v>0</v>
      </c>
      <c r="Y180" s="4">
        <f>'D6 Gallon Forecast'!Y180</f>
        <v>0</v>
      </c>
      <c r="Z180" s="4">
        <f>'D6 Gallon Forecast'!Z180</f>
        <v>0</v>
      </c>
    </row>
    <row r="181" spans="1:26">
      <c r="A181" s="2" t="s">
        <v>47</v>
      </c>
      <c r="B181" s="3">
        <f>'Monthly D6 RIN Data'!$I8</f>
        <v>0</v>
      </c>
      <c r="C181" s="3">
        <f>'Monthly D6 RIN Data'!$I20</f>
        <v>0</v>
      </c>
      <c r="D181" s="3">
        <f>'Monthly D6 RIN Data'!$I32</f>
        <v>0</v>
      </c>
      <c r="E181" s="3">
        <f>'Monthly D6 RIN Data'!$I44</f>
        <v>0</v>
      </c>
      <c r="F181" s="3">
        <f>'Monthly D6 RIN Data'!$I56</f>
        <v>0</v>
      </c>
      <c r="G181" s="3">
        <f>'Monthly D6 RIN Data'!$I68</f>
        <v>0</v>
      </c>
      <c r="H181" s="3">
        <f>'Monthly D6 RIN Data'!$I80</f>
        <v>0</v>
      </c>
      <c r="I181" s="3">
        <f>'Monthly D6 RIN Data'!$I92</f>
        <v>0</v>
      </c>
      <c r="J181" s="3">
        <f>'Monthly D6 RIN Data'!$I104</f>
        <v>0</v>
      </c>
      <c r="K181" s="3">
        <f>'Monthly D6 RIN Data'!$I116</f>
        <v>0</v>
      </c>
      <c r="L181" s="3">
        <f>'Monthly D6 RIN Data'!$I128</f>
        <v>0</v>
      </c>
      <c r="M181" s="3">
        <f>'Monthly D6 RIN Data'!$I140</f>
        <v>0</v>
      </c>
      <c r="N181" s="3">
        <f>'Monthly D6 RIN Data'!$I152</f>
        <v>0</v>
      </c>
      <c r="O181" s="3">
        <f>'Monthly D6 RIN Data'!$I164</f>
        <v>0</v>
      </c>
      <c r="P181" s="3">
        <f>'Monthly D6 RIN Data'!$I176</f>
        <v>0</v>
      </c>
      <c r="Q181" s="4">
        <f>'D6 Gallon Forecast'!Q181</f>
        <v>0</v>
      </c>
      <c r="R181" s="4">
        <f>'D6 Gallon Forecast'!R181</f>
        <v>0</v>
      </c>
      <c r="S181" s="4">
        <f>'D6 Gallon Forecast'!S181</f>
        <v>0</v>
      </c>
      <c r="T181" s="4">
        <f>'D6 Gallon Forecast'!T181</f>
        <v>0</v>
      </c>
      <c r="U181" s="4">
        <f>'D6 Gallon Forecast'!U181</f>
        <v>0</v>
      </c>
      <c r="V181" s="4">
        <f>'D6 Gallon Forecast'!V181</f>
        <v>0</v>
      </c>
      <c r="W181" s="4">
        <f>'D6 Gallon Forecast'!W181</f>
        <v>0</v>
      </c>
      <c r="X181" s="4">
        <f>'D6 Gallon Forecast'!X181</f>
        <v>0</v>
      </c>
      <c r="Y181" s="4">
        <f>'D6 Gallon Forecast'!Y181</f>
        <v>0</v>
      </c>
      <c r="Z181" s="4">
        <f>'D6 Gallon Forecast'!Z181</f>
        <v>0</v>
      </c>
    </row>
    <row r="182" spans="1:26">
      <c r="A182" s="2" t="s">
        <v>48</v>
      </c>
      <c r="B182" s="3">
        <f>'Monthly D6 RIN Data'!$I9</f>
        <v>0</v>
      </c>
      <c r="C182" s="3">
        <f>'Monthly D6 RIN Data'!$I21</f>
        <v>0</v>
      </c>
      <c r="D182" s="3">
        <f>'Monthly D6 RIN Data'!$I33</f>
        <v>0</v>
      </c>
      <c r="E182" s="3">
        <f>'Monthly D6 RIN Data'!$I45</f>
        <v>0</v>
      </c>
      <c r="F182" s="3">
        <f>'Monthly D6 RIN Data'!$I57</f>
        <v>0</v>
      </c>
      <c r="G182" s="3">
        <f>'Monthly D6 RIN Data'!$I69</f>
        <v>0</v>
      </c>
      <c r="H182" s="3">
        <f>'Monthly D6 RIN Data'!$I81</f>
        <v>0</v>
      </c>
      <c r="I182" s="3">
        <f>'Monthly D6 RIN Data'!$I93</f>
        <v>0</v>
      </c>
      <c r="J182" s="3">
        <f>'Monthly D6 RIN Data'!$I105</f>
        <v>0</v>
      </c>
      <c r="K182" s="3">
        <f>'Monthly D6 RIN Data'!$I117</f>
        <v>0</v>
      </c>
      <c r="L182" s="3">
        <f>'Monthly D6 RIN Data'!$I129</f>
        <v>0</v>
      </c>
      <c r="M182" s="3">
        <f>'Monthly D6 RIN Data'!$I141</f>
        <v>0</v>
      </c>
      <c r="N182" s="3">
        <f>'Monthly D6 RIN Data'!$I153</f>
        <v>0</v>
      </c>
      <c r="O182" s="3">
        <f>'Monthly D6 RIN Data'!$I165</f>
        <v>0</v>
      </c>
      <c r="P182" s="3">
        <f>'Monthly D6 RIN Data'!$I177</f>
        <v>0</v>
      </c>
      <c r="Q182" s="4">
        <f>'D6 Gallon Forecast'!Q182</f>
        <v>0</v>
      </c>
      <c r="R182" s="4">
        <f>'D6 Gallon Forecast'!R182</f>
        <v>0</v>
      </c>
      <c r="S182" s="4">
        <f>'D6 Gallon Forecast'!S182</f>
        <v>0</v>
      </c>
      <c r="T182" s="4">
        <f>'D6 Gallon Forecast'!T182</f>
        <v>0</v>
      </c>
      <c r="U182" s="4">
        <f>'D6 Gallon Forecast'!U182</f>
        <v>0</v>
      </c>
      <c r="V182" s="4">
        <f>'D6 Gallon Forecast'!V182</f>
        <v>0</v>
      </c>
      <c r="W182" s="4">
        <f>'D6 Gallon Forecast'!W182</f>
        <v>0</v>
      </c>
      <c r="X182" s="4">
        <f>'D6 Gallon Forecast'!X182</f>
        <v>0</v>
      </c>
      <c r="Y182" s="4">
        <f>'D6 Gallon Forecast'!Y182</f>
        <v>0</v>
      </c>
      <c r="Z182" s="4">
        <f>'D6 Gallon Forecast'!Z182</f>
        <v>0</v>
      </c>
    </row>
    <row r="183" spans="1:26">
      <c r="A183" s="2" t="s">
        <v>49</v>
      </c>
      <c r="B183" s="3">
        <f>'Monthly D6 RIN Data'!$I10</f>
        <v>0</v>
      </c>
      <c r="C183" s="3">
        <f>'Monthly D6 RIN Data'!$I22</f>
        <v>0</v>
      </c>
      <c r="D183" s="3">
        <f>'Monthly D6 RIN Data'!$I34</f>
        <v>0</v>
      </c>
      <c r="E183" s="3">
        <f>'Monthly D6 RIN Data'!$I46</f>
        <v>0</v>
      </c>
      <c r="F183" s="3">
        <f>'Monthly D6 RIN Data'!$I58</f>
        <v>0</v>
      </c>
      <c r="G183" s="3">
        <f>'Monthly D6 RIN Data'!$I70</f>
        <v>0</v>
      </c>
      <c r="H183" s="3">
        <f>'Monthly D6 RIN Data'!$I82</f>
        <v>0</v>
      </c>
      <c r="I183" s="3">
        <f>'Monthly D6 RIN Data'!$I94</f>
        <v>0</v>
      </c>
      <c r="J183" s="3">
        <f>'Monthly D6 RIN Data'!$I106</f>
        <v>0</v>
      </c>
      <c r="K183" s="3">
        <f>'Monthly D6 RIN Data'!$I118</f>
        <v>0</v>
      </c>
      <c r="L183" s="3">
        <f>'Monthly D6 RIN Data'!$I130</f>
        <v>0</v>
      </c>
      <c r="M183" s="3">
        <f>'Monthly D6 RIN Data'!$I142</f>
        <v>0</v>
      </c>
      <c r="N183" s="3">
        <f>'Monthly D6 RIN Data'!$I154</f>
        <v>0</v>
      </c>
      <c r="O183" s="3">
        <f>'Monthly D6 RIN Data'!$I166</f>
        <v>0</v>
      </c>
      <c r="P183" s="3">
        <f>'Monthly D6 RIN Data'!$I178</f>
        <v>0</v>
      </c>
      <c r="Q183" s="4">
        <f>'D6 Gallon Forecast'!Q183</f>
        <v>0</v>
      </c>
      <c r="R183" s="4">
        <f>'D6 Gallon Forecast'!R183</f>
        <v>0</v>
      </c>
      <c r="S183" s="4">
        <f>'D6 Gallon Forecast'!S183</f>
        <v>0</v>
      </c>
      <c r="T183" s="4">
        <f>'D6 Gallon Forecast'!T183</f>
        <v>0</v>
      </c>
      <c r="U183" s="4">
        <f>'D6 Gallon Forecast'!U183</f>
        <v>0</v>
      </c>
      <c r="V183" s="4">
        <f>'D6 Gallon Forecast'!V183</f>
        <v>0</v>
      </c>
      <c r="W183" s="4">
        <f>'D6 Gallon Forecast'!W183</f>
        <v>0</v>
      </c>
      <c r="X183" s="4">
        <f>'D6 Gallon Forecast'!X183</f>
        <v>0</v>
      </c>
      <c r="Y183" s="4">
        <f>'D6 Gallon Forecast'!Y183</f>
        <v>0</v>
      </c>
      <c r="Z183" s="4">
        <f>'D6 Gallon Forecast'!Z183</f>
        <v>0</v>
      </c>
    </row>
    <row r="184" spans="1:26">
      <c r="A184" s="2" t="s">
        <v>50</v>
      </c>
      <c r="B184" s="3">
        <f>'Monthly D6 RIN Data'!$I11</f>
        <v>0</v>
      </c>
      <c r="C184" s="3">
        <f>'Monthly D6 RIN Data'!$I23</f>
        <v>0</v>
      </c>
      <c r="D184" s="3">
        <f>'Monthly D6 RIN Data'!$I35</f>
        <v>0</v>
      </c>
      <c r="E184" s="3">
        <f>'Monthly D6 RIN Data'!$I47</f>
        <v>0</v>
      </c>
      <c r="F184" s="3">
        <f>'Monthly D6 RIN Data'!$I59</f>
        <v>0</v>
      </c>
      <c r="G184" s="3">
        <f>'Monthly D6 RIN Data'!$I71</f>
        <v>0</v>
      </c>
      <c r="H184" s="3">
        <f>'Monthly D6 RIN Data'!$I83</f>
        <v>0</v>
      </c>
      <c r="I184" s="3">
        <f>'Monthly D6 RIN Data'!$I95</f>
        <v>0</v>
      </c>
      <c r="J184" s="3">
        <f>'Monthly D6 RIN Data'!$I107</f>
        <v>0</v>
      </c>
      <c r="K184" s="3">
        <f>'Monthly D6 RIN Data'!$I119</f>
        <v>0</v>
      </c>
      <c r="L184" s="3">
        <f>'Monthly D6 RIN Data'!$I131</f>
        <v>0</v>
      </c>
      <c r="M184" s="3">
        <f>'Monthly D6 RIN Data'!$I143</f>
        <v>0</v>
      </c>
      <c r="N184" s="3">
        <f>'Monthly D6 RIN Data'!$I155</f>
        <v>0</v>
      </c>
      <c r="O184" s="3">
        <f>'Monthly D6 RIN Data'!$I167</f>
        <v>0</v>
      </c>
      <c r="P184" s="3">
        <f>'Monthly D6 RIN Data'!$I179</f>
        <v>0</v>
      </c>
      <c r="Q184" s="4">
        <f>'D6 Gallon Forecast'!Q184</f>
        <v>0</v>
      </c>
      <c r="R184" s="4">
        <f>'D6 Gallon Forecast'!R184</f>
        <v>0</v>
      </c>
      <c r="S184" s="4">
        <f>'D6 Gallon Forecast'!S184</f>
        <v>0</v>
      </c>
      <c r="T184" s="4">
        <f>'D6 Gallon Forecast'!T184</f>
        <v>0</v>
      </c>
      <c r="U184" s="4">
        <f>'D6 Gallon Forecast'!U184</f>
        <v>0</v>
      </c>
      <c r="V184" s="4">
        <f>'D6 Gallon Forecast'!V184</f>
        <v>0</v>
      </c>
      <c r="W184" s="4">
        <f>'D6 Gallon Forecast'!W184</f>
        <v>0</v>
      </c>
      <c r="X184" s="4">
        <f>'D6 Gallon Forecast'!X184</f>
        <v>0</v>
      </c>
      <c r="Y184" s="4">
        <f>'D6 Gallon Forecast'!Y184</f>
        <v>0</v>
      </c>
      <c r="Z184" s="4">
        <f>'D6 Gallon Forecast'!Z184</f>
        <v>0</v>
      </c>
    </row>
    <row r="185" spans="1:26">
      <c r="A185" s="2" t="s">
        <v>51</v>
      </c>
      <c r="B185" s="3">
        <f>'Monthly D6 RIN Data'!$I12</f>
        <v>0</v>
      </c>
      <c r="C185" s="3">
        <f>'Monthly D6 RIN Data'!$I24</f>
        <v>0</v>
      </c>
      <c r="D185" s="3">
        <f>'Monthly D6 RIN Data'!$I36</f>
        <v>0</v>
      </c>
      <c r="E185" s="3">
        <f>'Monthly D6 RIN Data'!$I48</f>
        <v>0</v>
      </c>
      <c r="F185" s="3">
        <f>'Monthly D6 RIN Data'!$I60</f>
        <v>0</v>
      </c>
      <c r="G185" s="3">
        <f>'Monthly D6 RIN Data'!$I72</f>
        <v>0</v>
      </c>
      <c r="H185" s="3">
        <f>'Monthly D6 RIN Data'!$I84</f>
        <v>0</v>
      </c>
      <c r="I185" s="3">
        <f>'Monthly D6 RIN Data'!$I96</f>
        <v>0</v>
      </c>
      <c r="J185" s="3">
        <f>'Monthly D6 RIN Data'!$I108</f>
        <v>0</v>
      </c>
      <c r="K185" s="3">
        <f>'Monthly D6 RIN Data'!$I120</f>
        <v>0</v>
      </c>
      <c r="L185" s="3">
        <f>'Monthly D6 RIN Data'!$I132</f>
        <v>0</v>
      </c>
      <c r="M185" s="3">
        <f>'Monthly D6 RIN Data'!$I144</f>
        <v>0</v>
      </c>
      <c r="N185" s="3">
        <f>'Monthly D6 RIN Data'!$I156</f>
        <v>0</v>
      </c>
      <c r="O185" s="3">
        <f>'Monthly D6 RIN Data'!$I168</f>
        <v>0</v>
      </c>
      <c r="P185" s="3">
        <f>'Monthly D6 RIN Data'!$I180</f>
        <v>0</v>
      </c>
      <c r="Q185" s="4">
        <f>'D6 Gallon Forecast'!Q185</f>
        <v>0</v>
      </c>
      <c r="R185" s="4">
        <f>'D6 Gallon Forecast'!R185</f>
        <v>0</v>
      </c>
      <c r="S185" s="4">
        <f>'D6 Gallon Forecast'!S185</f>
        <v>0</v>
      </c>
      <c r="T185" s="4">
        <f>'D6 Gallon Forecast'!T185</f>
        <v>0</v>
      </c>
      <c r="U185" s="4">
        <f>'D6 Gallon Forecast'!U185</f>
        <v>0</v>
      </c>
      <c r="V185" s="4">
        <f>'D6 Gallon Forecast'!V185</f>
        <v>0</v>
      </c>
      <c r="W185" s="4">
        <f>'D6 Gallon Forecast'!W185</f>
        <v>0</v>
      </c>
      <c r="X185" s="4">
        <f>'D6 Gallon Forecast'!X185</f>
        <v>0</v>
      </c>
      <c r="Y185" s="4">
        <f>'D6 Gallon Forecast'!Y185</f>
        <v>0</v>
      </c>
      <c r="Z185" s="4">
        <f>'D6 Gallon Forecast'!Z185</f>
        <v>0</v>
      </c>
    </row>
    <row r="186" spans="1:26">
      <c r="A186" s="2" t="s">
        <v>52</v>
      </c>
      <c r="B186" s="3">
        <f>'Monthly D6 RIN Data'!$I13</f>
        <v>0</v>
      </c>
      <c r="C186" s="3">
        <f>'Monthly D6 RIN Data'!$I25</f>
        <v>0</v>
      </c>
      <c r="D186" s="3">
        <f>'Monthly D6 RIN Data'!$I37</f>
        <v>0</v>
      </c>
      <c r="E186" s="3">
        <f>'Monthly D6 RIN Data'!$I49</f>
        <v>0</v>
      </c>
      <c r="F186" s="3">
        <f>'Monthly D6 RIN Data'!$I61</f>
        <v>0</v>
      </c>
      <c r="G186" s="3">
        <f>'Monthly D6 RIN Data'!$I73</f>
        <v>0</v>
      </c>
      <c r="H186" s="3">
        <f>'Monthly D6 RIN Data'!$I85</f>
        <v>0</v>
      </c>
      <c r="I186" s="3">
        <f>'Monthly D6 RIN Data'!$I97</f>
        <v>0</v>
      </c>
      <c r="J186" s="3">
        <f>'Monthly D6 RIN Data'!$I109</f>
        <v>0</v>
      </c>
      <c r="K186" s="3">
        <f>'Monthly D6 RIN Data'!$I121</f>
        <v>0</v>
      </c>
      <c r="L186" s="3">
        <f>'Monthly D6 RIN Data'!$I133</f>
        <v>0</v>
      </c>
      <c r="M186" s="3">
        <f>'Monthly D6 RIN Data'!$I145</f>
        <v>0</v>
      </c>
      <c r="N186" s="3">
        <f>'Monthly D6 RIN Data'!$I157</f>
        <v>0</v>
      </c>
      <c r="O186" s="3">
        <f>'Monthly D6 RIN Data'!$I169</f>
        <v>0</v>
      </c>
      <c r="P186" s="3">
        <f>'Monthly D6 RIN Data'!$I181</f>
        <v>0</v>
      </c>
      <c r="Q186" s="4">
        <f>'D6 Gallon Forecast'!Q186</f>
        <v>0</v>
      </c>
      <c r="R186" s="4">
        <f>'D6 Gallon Forecast'!R186</f>
        <v>0</v>
      </c>
      <c r="S186" s="4">
        <f>'D6 Gallon Forecast'!S186</f>
        <v>0</v>
      </c>
      <c r="T186" s="4">
        <f>'D6 Gallon Forecast'!T186</f>
        <v>0</v>
      </c>
      <c r="U186" s="4">
        <f>'D6 Gallon Forecast'!U186</f>
        <v>0</v>
      </c>
      <c r="V186" s="4">
        <f>'D6 Gallon Forecast'!V186</f>
        <v>0</v>
      </c>
      <c r="W186" s="4">
        <f>'D6 Gallon Forecast'!W186</f>
        <v>0</v>
      </c>
      <c r="X186" s="4">
        <f>'D6 Gallon Forecast'!X186</f>
        <v>0</v>
      </c>
      <c r="Y186" s="4">
        <f>'D6 Gallon Forecast'!Y186</f>
        <v>0</v>
      </c>
      <c r="Z186" s="4">
        <f>'D6 Gallon Forecast'!Z186</f>
        <v>0</v>
      </c>
    </row>
    <row r="187" spans="1:26">
      <c r="A187" s="2" t="s">
        <v>53</v>
      </c>
      <c r="B187" s="3">
        <f>'Monthly D6 RIN Data'!$I14</f>
        <v>0</v>
      </c>
      <c r="C187" s="3">
        <f>'Monthly D6 RIN Data'!$I26</f>
        <v>0</v>
      </c>
      <c r="D187" s="3">
        <f>'Monthly D6 RIN Data'!$I38</f>
        <v>0</v>
      </c>
      <c r="E187" s="3">
        <f>'Monthly D6 RIN Data'!$I50</f>
        <v>0</v>
      </c>
      <c r="F187" s="3">
        <f>'Monthly D6 RIN Data'!$I62</f>
        <v>0</v>
      </c>
      <c r="G187" s="3">
        <f>'Monthly D6 RIN Data'!$I74</f>
        <v>0</v>
      </c>
      <c r="H187" s="3">
        <f>'Monthly D6 RIN Data'!$I86</f>
        <v>0</v>
      </c>
      <c r="I187" s="3">
        <f>'Monthly D6 RIN Data'!$I98</f>
        <v>0</v>
      </c>
      <c r="J187" s="3">
        <f>'Monthly D6 RIN Data'!$I110</f>
        <v>0</v>
      </c>
      <c r="K187" s="3">
        <f>'Monthly D6 RIN Data'!$I122</f>
        <v>0</v>
      </c>
      <c r="L187" s="3">
        <f>'Monthly D6 RIN Data'!$I134</f>
        <v>0</v>
      </c>
      <c r="M187" s="3">
        <f>'Monthly D6 RIN Data'!$I146</f>
        <v>0</v>
      </c>
      <c r="N187" s="3">
        <f>'Monthly D6 RIN Data'!$I158</f>
        <v>0</v>
      </c>
      <c r="O187" s="3">
        <f>'Monthly D6 RIN Data'!$I170</f>
        <v>0</v>
      </c>
      <c r="P187" s="3">
        <f>'Monthly D6 RIN Data'!$I182</f>
        <v>0</v>
      </c>
      <c r="Q187" s="4">
        <f>'D6 Gallon Forecast'!Q187</f>
        <v>0</v>
      </c>
      <c r="R187" s="4">
        <f>'D6 Gallon Forecast'!R187</f>
        <v>0</v>
      </c>
      <c r="S187" s="4">
        <f>'D6 Gallon Forecast'!S187</f>
        <v>0</v>
      </c>
      <c r="T187" s="4">
        <f>'D6 Gallon Forecast'!T187</f>
        <v>0</v>
      </c>
      <c r="U187" s="4">
        <f>'D6 Gallon Forecast'!U187</f>
        <v>0</v>
      </c>
      <c r="V187" s="4">
        <f>'D6 Gallon Forecast'!V187</f>
        <v>0</v>
      </c>
      <c r="W187" s="4">
        <f>'D6 Gallon Forecast'!W187</f>
        <v>0</v>
      </c>
      <c r="X187" s="4">
        <f>'D6 Gallon Forecast'!X187</f>
        <v>0</v>
      </c>
      <c r="Y187" s="4">
        <f>'D6 Gallon Forecast'!Y187</f>
        <v>0</v>
      </c>
      <c r="Z187" s="4">
        <f>'D6 Gallon Forecast'!Z187</f>
        <v>0</v>
      </c>
    </row>
    <row r="188" spans="1:26">
      <c r="A188" s="2" t="s">
        <v>54</v>
      </c>
      <c r="B188" s="3">
        <f>'Monthly D6 RIN Data'!$I15</f>
        <v>0</v>
      </c>
      <c r="C188" s="3">
        <f>'Monthly D6 RIN Data'!$I27</f>
        <v>0</v>
      </c>
      <c r="D188" s="3">
        <f>'Monthly D6 RIN Data'!$I39</f>
        <v>0</v>
      </c>
      <c r="E188" s="3">
        <f>'Monthly D6 RIN Data'!$I51</f>
        <v>0</v>
      </c>
      <c r="F188" s="3">
        <f>'Monthly D6 RIN Data'!$I63</f>
        <v>0</v>
      </c>
      <c r="G188" s="3">
        <f>'Monthly D6 RIN Data'!$I75</f>
        <v>0</v>
      </c>
      <c r="H188" s="3">
        <f>'Monthly D6 RIN Data'!$I87</f>
        <v>0</v>
      </c>
      <c r="I188" s="3">
        <f>'Monthly D6 RIN Data'!$I99</f>
        <v>0</v>
      </c>
      <c r="J188" s="3">
        <f>'Monthly D6 RIN Data'!$I111</f>
        <v>0</v>
      </c>
      <c r="K188" s="3">
        <f>'Monthly D6 RIN Data'!$I123</f>
        <v>0</v>
      </c>
      <c r="L188" s="3">
        <f>'Monthly D6 RIN Data'!$I135</f>
        <v>0</v>
      </c>
      <c r="M188" s="3">
        <f>'Monthly D6 RIN Data'!$I147</f>
        <v>0</v>
      </c>
      <c r="N188" s="3">
        <f>'Monthly D6 RIN Data'!$I159</f>
        <v>0</v>
      </c>
      <c r="O188" s="3">
        <f>'Monthly D6 RIN Data'!$I171</f>
        <v>0</v>
      </c>
      <c r="P188" s="3">
        <f>'Monthly D6 RIN Data'!$I183</f>
        <v>0</v>
      </c>
      <c r="Q188" s="4">
        <f>'D6 Gallon Forecast'!Q188</f>
        <v>0</v>
      </c>
      <c r="R188" s="4">
        <f>'D6 Gallon Forecast'!R188</f>
        <v>0</v>
      </c>
      <c r="S188" s="4">
        <f>'D6 Gallon Forecast'!S188</f>
        <v>0</v>
      </c>
      <c r="T188" s="4">
        <f>'D6 Gallon Forecast'!T188</f>
        <v>0</v>
      </c>
      <c r="U188" s="4">
        <f>'D6 Gallon Forecast'!U188</f>
        <v>0</v>
      </c>
      <c r="V188" s="4">
        <f>'D6 Gallon Forecast'!V188</f>
        <v>0</v>
      </c>
      <c r="W188" s="4">
        <f>'D6 Gallon Forecast'!W188</f>
        <v>0</v>
      </c>
      <c r="X188" s="4">
        <f>'D6 Gallon Forecast'!X188</f>
        <v>0</v>
      </c>
      <c r="Y188" s="4">
        <f>'D6 Gallon Forecast'!Y188</f>
        <v>0</v>
      </c>
      <c r="Z188" s="4">
        <f>'D6 Gallon Forecast'!Z188</f>
        <v>0</v>
      </c>
    </row>
    <row r="189" spans="1:26" ht="13.5" thickBot="1">
      <c r="A189" s="2" t="s">
        <v>29</v>
      </c>
      <c r="B189" s="3">
        <f t="shared" ref="B189:O189" si="60">SUM(B177:B188)</f>
        <v>0</v>
      </c>
      <c r="C189" s="3">
        <f t="shared" si="60"/>
        <v>0</v>
      </c>
      <c r="D189" s="3">
        <f t="shared" si="60"/>
        <v>0</v>
      </c>
      <c r="E189" s="3">
        <f t="shared" si="60"/>
        <v>0</v>
      </c>
      <c r="F189" s="3">
        <f t="shared" si="60"/>
        <v>0</v>
      </c>
      <c r="G189" s="3">
        <f t="shared" si="60"/>
        <v>0</v>
      </c>
      <c r="H189" s="3">
        <f t="shared" si="60"/>
        <v>0</v>
      </c>
      <c r="I189" s="3">
        <f t="shared" si="60"/>
        <v>0</v>
      </c>
      <c r="J189" s="3">
        <f t="shared" si="60"/>
        <v>0</v>
      </c>
      <c r="K189" s="3">
        <f t="shared" si="60"/>
        <v>0</v>
      </c>
      <c r="L189" s="3">
        <f t="shared" si="60"/>
        <v>0</v>
      </c>
      <c r="M189" s="3">
        <f t="shared" si="60"/>
        <v>0</v>
      </c>
      <c r="N189" s="3">
        <f t="shared" si="60"/>
        <v>0</v>
      </c>
      <c r="O189" s="3">
        <f t="shared" si="60"/>
        <v>0</v>
      </c>
      <c r="P189" s="3">
        <f>SUM(P177:P188)</f>
        <v>0</v>
      </c>
      <c r="Q189" s="4">
        <f t="shared" ref="Q189:Z189" si="61">SUM(Q177:Q188)</f>
        <v>0</v>
      </c>
      <c r="R189" s="4">
        <f t="shared" si="61"/>
        <v>0</v>
      </c>
      <c r="S189" s="4">
        <f t="shared" si="61"/>
        <v>0</v>
      </c>
      <c r="T189" s="4">
        <f t="shared" si="61"/>
        <v>0</v>
      </c>
      <c r="U189" s="4">
        <f t="shared" si="61"/>
        <v>0</v>
      </c>
      <c r="V189" s="4">
        <f t="shared" si="61"/>
        <v>0</v>
      </c>
      <c r="W189" s="4">
        <f t="shared" si="61"/>
        <v>0</v>
      </c>
      <c r="X189" s="4">
        <f t="shared" si="61"/>
        <v>0</v>
      </c>
      <c r="Y189" s="4">
        <f t="shared" si="61"/>
        <v>0</v>
      </c>
      <c r="Z189" s="4">
        <f t="shared" si="61"/>
        <v>0</v>
      </c>
    </row>
    <row r="190" spans="1:26">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row>
    <row r="191" spans="1:26" ht="16.5" thickBot="1">
      <c r="A191" s="109" t="s">
        <v>436</v>
      </c>
    </row>
    <row r="192" spans="1:26" ht="13.5" thickBot="1">
      <c r="A192" s="110"/>
      <c r="B192" s="111">
        <v>2010</v>
      </c>
      <c r="C192" s="111">
        <v>2011</v>
      </c>
      <c r="D192" s="111">
        <v>2012</v>
      </c>
      <c r="E192" s="111">
        <v>2013</v>
      </c>
      <c r="F192" s="111">
        <v>2014</v>
      </c>
      <c r="G192" s="111">
        <v>2015</v>
      </c>
      <c r="H192" s="111">
        <v>2016</v>
      </c>
      <c r="I192" s="111">
        <v>2017</v>
      </c>
      <c r="J192" s="111">
        <v>2018</v>
      </c>
      <c r="K192" s="111">
        <v>2019</v>
      </c>
      <c r="L192" s="111">
        <v>2020</v>
      </c>
      <c r="M192" s="111">
        <v>2021</v>
      </c>
      <c r="N192" s="111">
        <v>2022</v>
      </c>
      <c r="O192" s="111">
        <v>2023</v>
      </c>
      <c r="P192" s="111">
        <v>2024</v>
      </c>
      <c r="Q192" s="111">
        <v>2025</v>
      </c>
      <c r="R192" s="111">
        <v>2026</v>
      </c>
      <c r="S192" s="111">
        <v>2027</v>
      </c>
      <c r="T192" s="111">
        <v>2028</v>
      </c>
      <c r="U192" s="111">
        <v>2029</v>
      </c>
      <c r="V192" s="111">
        <v>2030</v>
      </c>
      <c r="W192" s="111">
        <v>2031</v>
      </c>
      <c r="X192" s="111">
        <v>2032</v>
      </c>
      <c r="Y192" s="111">
        <v>2033</v>
      </c>
      <c r="Z192" s="111">
        <v>2034</v>
      </c>
    </row>
    <row r="193" spans="1:26">
      <c r="A193" s="2" t="s">
        <v>43</v>
      </c>
      <c r="B193" s="3">
        <f>B209+B225+B241</f>
        <v>0</v>
      </c>
      <c r="C193" s="3">
        <f t="shared" ref="C193:Z204" si="62">C209+C225+C241</f>
        <v>0</v>
      </c>
      <c r="D193" s="3">
        <f t="shared" si="62"/>
        <v>0</v>
      </c>
      <c r="E193" s="3">
        <f t="shared" si="62"/>
        <v>0</v>
      </c>
      <c r="F193" s="3">
        <f t="shared" si="62"/>
        <v>24442187</v>
      </c>
      <c r="G193" s="3">
        <f t="shared" si="62"/>
        <v>34482498</v>
      </c>
      <c r="H193" s="3">
        <f t="shared" si="62"/>
        <v>30931447</v>
      </c>
      <c r="I193" s="3">
        <f t="shared" si="62"/>
        <v>17061254</v>
      </c>
      <c r="J193" s="3">
        <f t="shared" si="62"/>
        <v>27381059</v>
      </c>
      <c r="K193" s="3">
        <f t="shared" si="62"/>
        <v>19047220</v>
      </c>
      <c r="L193" s="3">
        <f t="shared" si="62"/>
        <v>12787512</v>
      </c>
      <c r="M193" s="3">
        <f t="shared" si="62"/>
        <v>5694354</v>
      </c>
      <c r="N193" s="3">
        <f t="shared" si="62"/>
        <v>5684758</v>
      </c>
      <c r="O193" s="3">
        <f t="shared" si="62"/>
        <v>14648996</v>
      </c>
      <c r="P193" s="3">
        <f t="shared" si="62"/>
        <v>0</v>
      </c>
      <c r="Q193" s="3">
        <f t="shared" si="62"/>
        <v>0</v>
      </c>
      <c r="R193" s="4">
        <f t="shared" si="62"/>
        <v>0</v>
      </c>
      <c r="S193" s="4">
        <f t="shared" si="62"/>
        <v>0</v>
      </c>
      <c r="T193" s="4">
        <f t="shared" si="62"/>
        <v>0</v>
      </c>
      <c r="U193" s="4">
        <f t="shared" si="62"/>
        <v>0</v>
      </c>
      <c r="V193" s="4">
        <f t="shared" si="62"/>
        <v>0</v>
      </c>
      <c r="W193" s="4">
        <f t="shared" si="62"/>
        <v>0</v>
      </c>
      <c r="X193" s="4">
        <f t="shared" si="62"/>
        <v>0</v>
      </c>
      <c r="Y193" s="4">
        <f t="shared" si="62"/>
        <v>0</v>
      </c>
      <c r="Z193" s="4">
        <f t="shared" si="62"/>
        <v>0</v>
      </c>
    </row>
    <row r="194" spans="1:26">
      <c r="A194" s="2" t="s">
        <v>44</v>
      </c>
      <c r="B194" s="3">
        <f t="shared" ref="B194:J204" si="63">B210+B226+B242</f>
        <v>0</v>
      </c>
      <c r="C194" s="3">
        <f t="shared" si="63"/>
        <v>0</v>
      </c>
      <c r="D194" s="3">
        <f t="shared" si="63"/>
        <v>0</v>
      </c>
      <c r="E194" s="3">
        <f t="shared" si="63"/>
        <v>0</v>
      </c>
      <c r="F194" s="3">
        <f t="shared" si="63"/>
        <v>28942427</v>
      </c>
      <c r="G194" s="3">
        <f t="shared" si="63"/>
        <v>29484473</v>
      </c>
      <c r="H194" s="3">
        <f t="shared" si="63"/>
        <v>20219733</v>
      </c>
      <c r="I194" s="3">
        <f t="shared" si="63"/>
        <v>24378724</v>
      </c>
      <c r="J194" s="3">
        <f t="shared" si="63"/>
        <v>27142177</v>
      </c>
      <c r="K194" s="3">
        <f t="shared" si="62"/>
        <v>20762824</v>
      </c>
      <c r="L194" s="3">
        <f t="shared" si="62"/>
        <v>20901111</v>
      </c>
      <c r="M194" s="3">
        <f t="shared" si="62"/>
        <v>13034561</v>
      </c>
      <c r="N194" s="3">
        <f t="shared" si="62"/>
        <v>6625390</v>
      </c>
      <c r="O194" s="3">
        <f t="shared" si="62"/>
        <v>11014399</v>
      </c>
      <c r="P194" s="3">
        <f t="shared" si="62"/>
        <v>0</v>
      </c>
      <c r="Q194" s="3">
        <f t="shared" si="62"/>
        <v>0</v>
      </c>
      <c r="R194" s="4">
        <f t="shared" si="62"/>
        <v>0</v>
      </c>
      <c r="S194" s="4">
        <f t="shared" si="62"/>
        <v>0</v>
      </c>
      <c r="T194" s="4">
        <f t="shared" si="62"/>
        <v>0</v>
      </c>
      <c r="U194" s="4">
        <f t="shared" si="62"/>
        <v>0</v>
      </c>
      <c r="V194" s="4">
        <f t="shared" si="62"/>
        <v>0</v>
      </c>
      <c r="W194" s="4">
        <f t="shared" si="62"/>
        <v>0</v>
      </c>
      <c r="X194" s="4">
        <f t="shared" si="62"/>
        <v>0</v>
      </c>
      <c r="Y194" s="4">
        <f t="shared" si="62"/>
        <v>0</v>
      </c>
      <c r="Z194" s="4">
        <f t="shared" si="62"/>
        <v>0</v>
      </c>
    </row>
    <row r="195" spans="1:26">
      <c r="A195" s="2" t="s">
        <v>45</v>
      </c>
      <c r="B195" s="3">
        <f t="shared" si="63"/>
        <v>0</v>
      </c>
      <c r="C195" s="3">
        <f t="shared" si="63"/>
        <v>0</v>
      </c>
      <c r="D195" s="3">
        <f t="shared" si="63"/>
        <v>0</v>
      </c>
      <c r="E195" s="3">
        <f t="shared" si="63"/>
        <v>488045</v>
      </c>
      <c r="F195" s="3">
        <f t="shared" si="63"/>
        <v>22253327</v>
      </c>
      <c r="G195" s="3">
        <f t="shared" si="63"/>
        <v>30233567</v>
      </c>
      <c r="H195" s="3">
        <f t="shared" si="63"/>
        <v>23448088</v>
      </c>
      <c r="I195" s="3">
        <f t="shared" si="63"/>
        <v>24244605</v>
      </c>
      <c r="J195" s="3">
        <f t="shared" si="63"/>
        <v>18875866</v>
      </c>
      <c r="K195" s="3">
        <f t="shared" si="62"/>
        <v>23287377</v>
      </c>
      <c r="L195" s="3">
        <f t="shared" si="62"/>
        <v>26680083</v>
      </c>
      <c r="M195" s="3">
        <f t="shared" si="62"/>
        <v>14020086</v>
      </c>
      <c r="N195" s="3">
        <f t="shared" si="62"/>
        <v>9784545</v>
      </c>
      <c r="O195" s="3">
        <f t="shared" si="62"/>
        <v>13696092</v>
      </c>
      <c r="P195" s="3">
        <f t="shared" si="62"/>
        <v>0</v>
      </c>
      <c r="Q195" s="3">
        <f t="shared" si="62"/>
        <v>0</v>
      </c>
      <c r="R195" s="4">
        <f t="shared" si="62"/>
        <v>0</v>
      </c>
      <c r="S195" s="4">
        <f t="shared" si="62"/>
        <v>0</v>
      </c>
      <c r="T195" s="4">
        <f t="shared" si="62"/>
        <v>0</v>
      </c>
      <c r="U195" s="4">
        <f t="shared" si="62"/>
        <v>0</v>
      </c>
      <c r="V195" s="4">
        <f t="shared" si="62"/>
        <v>0</v>
      </c>
      <c r="W195" s="4">
        <f t="shared" si="62"/>
        <v>0</v>
      </c>
      <c r="X195" s="4">
        <f t="shared" si="62"/>
        <v>0</v>
      </c>
      <c r="Y195" s="4">
        <f t="shared" si="62"/>
        <v>0</v>
      </c>
      <c r="Z195" s="4">
        <f t="shared" si="62"/>
        <v>0</v>
      </c>
    </row>
    <row r="196" spans="1:26">
      <c r="A196" s="2" t="s">
        <v>46</v>
      </c>
      <c r="B196" s="3">
        <f t="shared" si="63"/>
        <v>0</v>
      </c>
      <c r="C196" s="3">
        <f t="shared" si="63"/>
        <v>0</v>
      </c>
      <c r="D196" s="3">
        <f t="shared" si="63"/>
        <v>0</v>
      </c>
      <c r="E196" s="3">
        <f t="shared" si="63"/>
        <v>2093</v>
      </c>
      <c r="F196" s="3">
        <f t="shared" si="63"/>
        <v>27566581</v>
      </c>
      <c r="G196" s="3">
        <f t="shared" si="63"/>
        <v>28404398</v>
      </c>
      <c r="H196" s="3">
        <f t="shared" si="63"/>
        <v>27515784</v>
      </c>
      <c r="I196" s="3">
        <f t="shared" si="63"/>
        <v>19065575</v>
      </c>
      <c r="J196" s="3">
        <f t="shared" si="63"/>
        <v>22632516</v>
      </c>
      <c r="K196" s="3">
        <f t="shared" si="62"/>
        <v>18950145</v>
      </c>
      <c r="L196" s="3">
        <f t="shared" si="62"/>
        <v>16268134</v>
      </c>
      <c r="M196" s="3">
        <f t="shared" si="62"/>
        <v>14115637</v>
      </c>
      <c r="N196" s="3">
        <f t="shared" si="62"/>
        <v>8832621</v>
      </c>
      <c r="O196" s="3">
        <f t="shared" si="62"/>
        <v>16671195</v>
      </c>
      <c r="P196" s="3">
        <f t="shared" si="62"/>
        <v>250191</v>
      </c>
      <c r="Q196" s="4">
        <f t="shared" si="62"/>
        <v>0</v>
      </c>
      <c r="R196" s="4">
        <f t="shared" si="62"/>
        <v>0</v>
      </c>
      <c r="S196" s="4">
        <f t="shared" si="62"/>
        <v>0</v>
      </c>
      <c r="T196" s="4">
        <f t="shared" si="62"/>
        <v>0</v>
      </c>
      <c r="U196" s="4">
        <f t="shared" si="62"/>
        <v>0</v>
      </c>
      <c r="V196" s="4">
        <f t="shared" si="62"/>
        <v>0</v>
      </c>
      <c r="W196" s="4">
        <f t="shared" si="62"/>
        <v>0</v>
      </c>
      <c r="X196" s="4">
        <f t="shared" si="62"/>
        <v>0</v>
      </c>
      <c r="Y196" s="4">
        <f t="shared" si="62"/>
        <v>0</v>
      </c>
      <c r="Z196" s="4">
        <f t="shared" si="62"/>
        <v>0</v>
      </c>
    </row>
    <row r="197" spans="1:26">
      <c r="A197" s="2" t="s">
        <v>47</v>
      </c>
      <c r="B197" s="3">
        <f t="shared" si="63"/>
        <v>0</v>
      </c>
      <c r="C197" s="3">
        <f t="shared" si="63"/>
        <v>0</v>
      </c>
      <c r="D197" s="3">
        <f t="shared" si="63"/>
        <v>0</v>
      </c>
      <c r="E197" s="3">
        <f t="shared" si="63"/>
        <v>22369009</v>
      </c>
      <c r="F197" s="3">
        <f t="shared" si="63"/>
        <v>17020152</v>
      </c>
      <c r="G197" s="3">
        <f t="shared" si="63"/>
        <v>19287594</v>
      </c>
      <c r="H197" s="3">
        <f t="shared" si="63"/>
        <v>27027742</v>
      </c>
      <c r="I197" s="3">
        <f t="shared" si="63"/>
        <v>16971245</v>
      </c>
      <c r="J197" s="3">
        <f t="shared" si="63"/>
        <v>12892429</v>
      </c>
      <c r="K197" s="3">
        <f t="shared" si="62"/>
        <v>12031811</v>
      </c>
      <c r="L197" s="3">
        <f t="shared" si="62"/>
        <v>5710944</v>
      </c>
      <c r="M197" s="3">
        <f t="shared" si="62"/>
        <v>12955798</v>
      </c>
      <c r="N197" s="3">
        <f t="shared" si="62"/>
        <v>10722178</v>
      </c>
      <c r="O197" s="3">
        <f t="shared" si="62"/>
        <v>23050598</v>
      </c>
      <c r="P197" s="3">
        <f t="shared" si="62"/>
        <v>0</v>
      </c>
      <c r="Q197" s="4">
        <f t="shared" si="62"/>
        <v>0</v>
      </c>
      <c r="R197" s="4">
        <f t="shared" si="62"/>
        <v>0</v>
      </c>
      <c r="S197" s="4">
        <f t="shared" si="62"/>
        <v>0</v>
      </c>
      <c r="T197" s="4">
        <f t="shared" si="62"/>
        <v>0</v>
      </c>
      <c r="U197" s="4">
        <f t="shared" si="62"/>
        <v>0</v>
      </c>
      <c r="V197" s="4">
        <f t="shared" si="62"/>
        <v>0</v>
      </c>
      <c r="W197" s="4">
        <f t="shared" si="62"/>
        <v>0</v>
      </c>
      <c r="X197" s="4">
        <f t="shared" si="62"/>
        <v>0</v>
      </c>
      <c r="Y197" s="4">
        <f t="shared" si="62"/>
        <v>0</v>
      </c>
      <c r="Z197" s="4">
        <f t="shared" si="62"/>
        <v>0</v>
      </c>
    </row>
    <row r="198" spans="1:26">
      <c r="A198" s="2" t="s">
        <v>48</v>
      </c>
      <c r="B198" s="3">
        <f t="shared" si="63"/>
        <v>0</v>
      </c>
      <c r="C198" s="3">
        <f t="shared" si="63"/>
        <v>0</v>
      </c>
      <c r="D198" s="3">
        <f t="shared" si="63"/>
        <v>0</v>
      </c>
      <c r="E198" s="3">
        <f t="shared" si="63"/>
        <v>19169158</v>
      </c>
      <c r="F198" s="3">
        <f t="shared" si="63"/>
        <v>20075321</v>
      </c>
      <c r="G198" s="3">
        <f t="shared" si="63"/>
        <v>21260020</v>
      </c>
      <c r="H198" s="3">
        <f t="shared" si="63"/>
        <v>14174198</v>
      </c>
      <c r="I198" s="3">
        <f t="shared" si="63"/>
        <v>18920538</v>
      </c>
      <c r="J198" s="3">
        <f t="shared" si="63"/>
        <v>9684035</v>
      </c>
      <c r="K198" s="3">
        <f t="shared" si="62"/>
        <v>11972436</v>
      </c>
      <c r="L198" s="3">
        <f t="shared" si="62"/>
        <v>8190807</v>
      </c>
      <c r="M198" s="3">
        <f t="shared" si="62"/>
        <v>15528134</v>
      </c>
      <c r="N198" s="3">
        <f t="shared" si="62"/>
        <v>5466256</v>
      </c>
      <c r="O198" s="3">
        <f t="shared" si="62"/>
        <v>12087264</v>
      </c>
      <c r="P198" s="3">
        <f t="shared" si="62"/>
        <v>0</v>
      </c>
      <c r="Q198" s="4">
        <f t="shared" si="62"/>
        <v>0</v>
      </c>
      <c r="R198" s="4">
        <f t="shared" si="62"/>
        <v>0</v>
      </c>
      <c r="S198" s="4">
        <f t="shared" si="62"/>
        <v>0</v>
      </c>
      <c r="T198" s="4">
        <f t="shared" si="62"/>
        <v>0</v>
      </c>
      <c r="U198" s="4">
        <f t="shared" si="62"/>
        <v>0</v>
      </c>
      <c r="V198" s="4">
        <f t="shared" si="62"/>
        <v>0</v>
      </c>
      <c r="W198" s="4">
        <f t="shared" si="62"/>
        <v>0</v>
      </c>
      <c r="X198" s="4">
        <f t="shared" si="62"/>
        <v>0</v>
      </c>
      <c r="Y198" s="4">
        <f t="shared" si="62"/>
        <v>0</v>
      </c>
      <c r="Z198" s="4">
        <f t="shared" si="62"/>
        <v>0</v>
      </c>
    </row>
    <row r="199" spans="1:26">
      <c r="A199" s="2" t="s">
        <v>49</v>
      </c>
      <c r="B199" s="3">
        <f t="shared" si="63"/>
        <v>0</v>
      </c>
      <c r="C199" s="3">
        <f t="shared" si="63"/>
        <v>0</v>
      </c>
      <c r="D199" s="3">
        <f t="shared" si="63"/>
        <v>0</v>
      </c>
      <c r="E199" s="3">
        <f t="shared" si="63"/>
        <v>28382385</v>
      </c>
      <c r="F199" s="3">
        <f t="shared" si="63"/>
        <v>22692446</v>
      </c>
      <c r="G199" s="3">
        <f t="shared" si="63"/>
        <v>31975870</v>
      </c>
      <c r="H199" s="3">
        <f t="shared" si="63"/>
        <v>18019937</v>
      </c>
      <c r="I199" s="3">
        <f t="shared" si="63"/>
        <v>20756297</v>
      </c>
      <c r="J199" s="3">
        <f t="shared" si="63"/>
        <v>16428068</v>
      </c>
      <c r="K199" s="3">
        <f t="shared" si="62"/>
        <v>14467327</v>
      </c>
      <c r="L199" s="3">
        <f t="shared" si="62"/>
        <v>831504</v>
      </c>
      <c r="M199" s="3">
        <f t="shared" si="62"/>
        <v>505684</v>
      </c>
      <c r="N199" s="3">
        <f t="shared" si="62"/>
        <v>6236673</v>
      </c>
      <c r="O199" s="3">
        <f t="shared" si="62"/>
        <v>9222757</v>
      </c>
      <c r="P199" s="3">
        <f t="shared" si="62"/>
        <v>0</v>
      </c>
      <c r="Q199" s="4">
        <f t="shared" si="62"/>
        <v>0</v>
      </c>
      <c r="R199" s="4">
        <f t="shared" si="62"/>
        <v>0</v>
      </c>
      <c r="S199" s="4">
        <f t="shared" si="62"/>
        <v>0</v>
      </c>
      <c r="T199" s="4">
        <f t="shared" si="62"/>
        <v>0</v>
      </c>
      <c r="U199" s="4">
        <f t="shared" si="62"/>
        <v>0</v>
      </c>
      <c r="V199" s="4">
        <f t="shared" si="62"/>
        <v>0</v>
      </c>
      <c r="W199" s="4">
        <f t="shared" si="62"/>
        <v>0</v>
      </c>
      <c r="X199" s="4">
        <f t="shared" si="62"/>
        <v>0</v>
      </c>
      <c r="Y199" s="4">
        <f t="shared" si="62"/>
        <v>0</v>
      </c>
      <c r="Z199" s="4">
        <f t="shared" si="62"/>
        <v>0</v>
      </c>
    </row>
    <row r="200" spans="1:26">
      <c r="A200" s="2" t="s">
        <v>50</v>
      </c>
      <c r="B200" s="3">
        <f t="shared" si="63"/>
        <v>0</v>
      </c>
      <c r="C200" s="3">
        <f t="shared" si="63"/>
        <v>0</v>
      </c>
      <c r="D200" s="3">
        <f t="shared" si="63"/>
        <v>0</v>
      </c>
      <c r="E200" s="3">
        <f t="shared" si="63"/>
        <v>22630462</v>
      </c>
      <c r="F200" s="3">
        <f t="shared" si="63"/>
        <v>34072937</v>
      </c>
      <c r="G200" s="3">
        <f t="shared" si="63"/>
        <v>25820890</v>
      </c>
      <c r="H200" s="3">
        <f t="shared" si="63"/>
        <v>26647330</v>
      </c>
      <c r="I200" s="3">
        <f t="shared" si="63"/>
        <v>28696772</v>
      </c>
      <c r="J200" s="3">
        <f t="shared" si="63"/>
        <v>14321447</v>
      </c>
      <c r="K200" s="3">
        <f t="shared" si="62"/>
        <v>11907318</v>
      </c>
      <c r="L200" s="3">
        <f t="shared" si="62"/>
        <v>1137740</v>
      </c>
      <c r="M200" s="3">
        <f t="shared" si="62"/>
        <v>4517556</v>
      </c>
      <c r="N200" s="3">
        <f t="shared" si="62"/>
        <v>3339016</v>
      </c>
      <c r="O200" s="3">
        <f t="shared" si="62"/>
        <v>375638</v>
      </c>
      <c r="P200" s="3">
        <f t="shared" si="62"/>
        <v>0</v>
      </c>
      <c r="Q200" s="4">
        <f t="shared" si="62"/>
        <v>0</v>
      </c>
      <c r="R200" s="4">
        <f t="shared" si="62"/>
        <v>0</v>
      </c>
      <c r="S200" s="4">
        <f t="shared" si="62"/>
        <v>0</v>
      </c>
      <c r="T200" s="4">
        <f t="shared" si="62"/>
        <v>0</v>
      </c>
      <c r="U200" s="4">
        <f t="shared" si="62"/>
        <v>0</v>
      </c>
      <c r="V200" s="4">
        <f t="shared" si="62"/>
        <v>0</v>
      </c>
      <c r="W200" s="4">
        <f t="shared" si="62"/>
        <v>0</v>
      </c>
      <c r="X200" s="4">
        <f t="shared" si="62"/>
        <v>0</v>
      </c>
      <c r="Y200" s="4">
        <f t="shared" si="62"/>
        <v>0</v>
      </c>
      <c r="Z200" s="4">
        <f t="shared" si="62"/>
        <v>0</v>
      </c>
    </row>
    <row r="201" spans="1:26">
      <c r="A201" s="2" t="s">
        <v>51</v>
      </c>
      <c r="B201" s="3">
        <f t="shared" si="63"/>
        <v>0</v>
      </c>
      <c r="C201" s="3">
        <f t="shared" si="63"/>
        <v>0</v>
      </c>
      <c r="D201" s="3">
        <f t="shared" si="63"/>
        <v>0</v>
      </c>
      <c r="E201" s="3">
        <f t="shared" si="63"/>
        <v>29966704</v>
      </c>
      <c r="F201" s="3">
        <f t="shared" si="63"/>
        <v>0</v>
      </c>
      <c r="G201" s="3">
        <f t="shared" si="63"/>
        <v>32780571</v>
      </c>
      <c r="H201" s="3">
        <f t="shared" si="63"/>
        <v>17911537</v>
      </c>
      <c r="I201" s="3">
        <f t="shared" si="63"/>
        <v>20172685</v>
      </c>
      <c r="J201" s="3">
        <f t="shared" si="63"/>
        <v>9966736</v>
      </c>
      <c r="K201" s="3">
        <f t="shared" si="62"/>
        <v>8167871</v>
      </c>
      <c r="L201" s="3">
        <f t="shared" si="62"/>
        <v>4502512</v>
      </c>
      <c r="M201" s="3">
        <f t="shared" si="62"/>
        <v>12198324</v>
      </c>
      <c r="N201" s="3">
        <f t="shared" si="62"/>
        <v>13139069</v>
      </c>
      <c r="O201" s="3">
        <f t="shared" si="62"/>
        <v>693816</v>
      </c>
      <c r="P201" s="3">
        <f t="shared" si="62"/>
        <v>0</v>
      </c>
      <c r="Q201" s="4">
        <f t="shared" si="62"/>
        <v>0</v>
      </c>
      <c r="R201" s="4">
        <f t="shared" si="62"/>
        <v>0</v>
      </c>
      <c r="S201" s="4">
        <f t="shared" si="62"/>
        <v>0</v>
      </c>
      <c r="T201" s="4">
        <f t="shared" si="62"/>
        <v>0</v>
      </c>
      <c r="U201" s="4">
        <f t="shared" si="62"/>
        <v>0</v>
      </c>
      <c r="V201" s="4">
        <f t="shared" si="62"/>
        <v>0</v>
      </c>
      <c r="W201" s="4">
        <f t="shared" si="62"/>
        <v>0</v>
      </c>
      <c r="X201" s="4">
        <f t="shared" si="62"/>
        <v>0</v>
      </c>
      <c r="Y201" s="4">
        <f t="shared" si="62"/>
        <v>0</v>
      </c>
      <c r="Z201" s="4">
        <f t="shared" si="62"/>
        <v>0</v>
      </c>
    </row>
    <row r="202" spans="1:26">
      <c r="A202" s="2" t="s">
        <v>52</v>
      </c>
      <c r="B202" s="3">
        <f t="shared" si="63"/>
        <v>0</v>
      </c>
      <c r="C202" s="3">
        <f t="shared" si="63"/>
        <v>0</v>
      </c>
      <c r="D202" s="3">
        <f t="shared" si="63"/>
        <v>0</v>
      </c>
      <c r="E202" s="3">
        <f t="shared" si="63"/>
        <v>25227953</v>
      </c>
      <c r="F202" s="3">
        <f t="shared" si="63"/>
        <v>797643</v>
      </c>
      <c r="G202" s="3">
        <f t="shared" si="63"/>
        <v>35178094</v>
      </c>
      <c r="H202" s="3">
        <f t="shared" si="63"/>
        <v>30744027</v>
      </c>
      <c r="I202" s="3">
        <f t="shared" si="63"/>
        <v>27238068</v>
      </c>
      <c r="J202" s="3">
        <f t="shared" si="63"/>
        <v>0</v>
      </c>
      <c r="K202" s="3">
        <f t="shared" si="62"/>
        <v>18275849</v>
      </c>
      <c r="L202" s="3">
        <f t="shared" si="62"/>
        <v>15257933</v>
      </c>
      <c r="M202" s="3">
        <f t="shared" si="62"/>
        <v>18198451</v>
      </c>
      <c r="N202" s="3">
        <f t="shared" si="62"/>
        <v>22296878</v>
      </c>
      <c r="O202" s="3">
        <f t="shared" si="62"/>
        <v>7011</v>
      </c>
      <c r="P202" s="3">
        <f t="shared" si="62"/>
        <v>0</v>
      </c>
      <c r="Q202" s="4">
        <f t="shared" si="62"/>
        <v>0</v>
      </c>
      <c r="R202" s="4">
        <f t="shared" si="62"/>
        <v>0</v>
      </c>
      <c r="S202" s="4">
        <f t="shared" si="62"/>
        <v>0</v>
      </c>
      <c r="T202" s="4">
        <f t="shared" si="62"/>
        <v>0</v>
      </c>
      <c r="U202" s="4">
        <f t="shared" si="62"/>
        <v>0</v>
      </c>
      <c r="V202" s="4">
        <f t="shared" si="62"/>
        <v>0</v>
      </c>
      <c r="W202" s="4">
        <f t="shared" si="62"/>
        <v>0</v>
      </c>
      <c r="X202" s="4">
        <f t="shared" si="62"/>
        <v>0</v>
      </c>
      <c r="Y202" s="4">
        <f t="shared" si="62"/>
        <v>0</v>
      </c>
      <c r="Z202" s="4">
        <f t="shared" si="62"/>
        <v>0</v>
      </c>
    </row>
    <row r="203" spans="1:26">
      <c r="A203" s="2" t="s">
        <v>53</v>
      </c>
      <c r="B203" s="3">
        <f t="shared" si="63"/>
        <v>0</v>
      </c>
      <c r="C203" s="3">
        <f t="shared" si="63"/>
        <v>0</v>
      </c>
      <c r="D203" s="3">
        <f t="shared" si="63"/>
        <v>0</v>
      </c>
      <c r="E203" s="3">
        <f t="shared" si="63"/>
        <v>22596358</v>
      </c>
      <c r="F203" s="3">
        <f t="shared" si="63"/>
        <v>32767677</v>
      </c>
      <c r="G203" s="3">
        <f t="shared" si="63"/>
        <v>23787312</v>
      </c>
      <c r="H203" s="3">
        <f t="shared" si="63"/>
        <v>23648695</v>
      </c>
      <c r="I203" s="3">
        <f t="shared" si="63"/>
        <v>7612411</v>
      </c>
      <c r="J203" s="3">
        <f t="shared" si="63"/>
        <v>1156996</v>
      </c>
      <c r="K203" s="3">
        <f t="shared" si="62"/>
        <v>22283673</v>
      </c>
      <c r="L203" s="3">
        <f t="shared" si="62"/>
        <v>6354400</v>
      </c>
      <c r="M203" s="3">
        <f t="shared" si="62"/>
        <v>16179027</v>
      </c>
      <c r="N203" s="3">
        <f t="shared" si="62"/>
        <v>16742264</v>
      </c>
      <c r="O203" s="3">
        <f t="shared" si="62"/>
        <v>607090</v>
      </c>
      <c r="P203" s="3">
        <f t="shared" si="62"/>
        <v>0</v>
      </c>
      <c r="Q203" s="4">
        <f t="shared" si="62"/>
        <v>0</v>
      </c>
      <c r="R203" s="4">
        <f t="shared" si="62"/>
        <v>0</v>
      </c>
      <c r="S203" s="4">
        <f t="shared" si="62"/>
        <v>0</v>
      </c>
      <c r="T203" s="4">
        <f t="shared" si="62"/>
        <v>0</v>
      </c>
      <c r="U203" s="4">
        <f t="shared" si="62"/>
        <v>0</v>
      </c>
      <c r="V203" s="4">
        <f t="shared" si="62"/>
        <v>0</v>
      </c>
      <c r="W203" s="4">
        <f t="shared" si="62"/>
        <v>0</v>
      </c>
      <c r="X203" s="4">
        <f t="shared" si="62"/>
        <v>0</v>
      </c>
      <c r="Y203" s="4">
        <f t="shared" si="62"/>
        <v>0</v>
      </c>
      <c r="Z203" s="4">
        <f t="shared" si="62"/>
        <v>0</v>
      </c>
    </row>
    <row r="204" spans="1:26">
      <c r="A204" s="2" t="s">
        <v>54</v>
      </c>
      <c r="B204" s="3">
        <f t="shared" si="63"/>
        <v>0</v>
      </c>
      <c r="C204" s="3">
        <f t="shared" si="63"/>
        <v>0</v>
      </c>
      <c r="D204" s="3">
        <f t="shared" si="63"/>
        <v>0</v>
      </c>
      <c r="E204" s="3">
        <f t="shared" si="63"/>
        <v>25524922</v>
      </c>
      <c r="F204" s="3">
        <f t="shared" si="63"/>
        <v>26735579</v>
      </c>
      <c r="G204" s="3">
        <f t="shared" si="63"/>
        <v>28208124</v>
      </c>
      <c r="H204" s="3">
        <f t="shared" si="63"/>
        <v>21328501</v>
      </c>
      <c r="I204" s="3">
        <f t="shared" si="63"/>
        <v>19864062</v>
      </c>
      <c r="J204" s="3">
        <f t="shared" si="63"/>
        <v>20583683</v>
      </c>
      <c r="K204" s="3">
        <f t="shared" si="62"/>
        <v>16647020</v>
      </c>
      <c r="L204" s="3">
        <f t="shared" si="62"/>
        <v>11034491</v>
      </c>
      <c r="M204" s="3">
        <f t="shared" si="62"/>
        <v>7722965</v>
      </c>
      <c r="N204" s="3">
        <f t="shared" si="62"/>
        <v>18566373</v>
      </c>
      <c r="O204" s="3">
        <f t="shared" si="62"/>
        <v>0</v>
      </c>
      <c r="P204" s="3">
        <f t="shared" si="62"/>
        <v>0</v>
      </c>
      <c r="Q204" s="4">
        <f t="shared" si="62"/>
        <v>0</v>
      </c>
      <c r="R204" s="4">
        <f t="shared" si="62"/>
        <v>0</v>
      </c>
      <c r="S204" s="4">
        <f t="shared" si="62"/>
        <v>0</v>
      </c>
      <c r="T204" s="4">
        <f t="shared" si="62"/>
        <v>0</v>
      </c>
      <c r="U204" s="4">
        <f t="shared" si="62"/>
        <v>0</v>
      </c>
      <c r="V204" s="4">
        <f t="shared" si="62"/>
        <v>0</v>
      </c>
      <c r="W204" s="4">
        <f t="shared" si="62"/>
        <v>0</v>
      </c>
      <c r="X204" s="4">
        <f t="shared" si="62"/>
        <v>0</v>
      </c>
      <c r="Y204" s="4">
        <f t="shared" si="62"/>
        <v>0</v>
      </c>
      <c r="Z204" s="4">
        <f t="shared" si="62"/>
        <v>0</v>
      </c>
    </row>
    <row r="205" spans="1:26" ht="13.5" thickBot="1">
      <c r="A205" s="2" t="s">
        <v>29</v>
      </c>
      <c r="B205" s="3">
        <f t="shared" ref="B205:J205" si="64">SUM(B193:B204)</f>
        <v>0</v>
      </c>
      <c r="C205" s="3">
        <f t="shared" si="64"/>
        <v>0</v>
      </c>
      <c r="D205" s="3">
        <f t="shared" si="64"/>
        <v>0</v>
      </c>
      <c r="E205" s="3">
        <f t="shared" si="64"/>
        <v>196357089</v>
      </c>
      <c r="F205" s="3">
        <f t="shared" si="64"/>
        <v>257366277</v>
      </c>
      <c r="G205" s="3">
        <f t="shared" si="64"/>
        <v>340903411</v>
      </c>
      <c r="H205" s="3">
        <f t="shared" si="64"/>
        <v>281617019</v>
      </c>
      <c r="I205" s="3">
        <f t="shared" si="64"/>
        <v>244982236</v>
      </c>
      <c r="J205" s="3">
        <f t="shared" si="64"/>
        <v>181065012</v>
      </c>
      <c r="K205" s="3">
        <f t="shared" ref="K205:Z205" si="65">SUM(K193:K204)</f>
        <v>197800871</v>
      </c>
      <c r="L205" s="3">
        <f t="shared" si="65"/>
        <v>129657171</v>
      </c>
      <c r="M205" s="3">
        <f t="shared" si="65"/>
        <v>134670577</v>
      </c>
      <c r="N205" s="3">
        <f t="shared" si="65"/>
        <v>127436021</v>
      </c>
      <c r="O205" s="3">
        <f t="shared" si="65"/>
        <v>102074856</v>
      </c>
      <c r="P205" s="3">
        <f t="shared" si="65"/>
        <v>250191</v>
      </c>
      <c r="Q205" s="4">
        <f t="shared" si="65"/>
        <v>0</v>
      </c>
      <c r="R205" s="4">
        <f t="shared" si="65"/>
        <v>0</v>
      </c>
      <c r="S205" s="4">
        <f t="shared" si="65"/>
        <v>0</v>
      </c>
      <c r="T205" s="4">
        <f t="shared" si="65"/>
        <v>0</v>
      </c>
      <c r="U205" s="4">
        <f t="shared" si="65"/>
        <v>0</v>
      </c>
      <c r="V205" s="4">
        <f t="shared" si="65"/>
        <v>0</v>
      </c>
      <c r="W205" s="4">
        <f t="shared" si="65"/>
        <v>0</v>
      </c>
      <c r="X205" s="4">
        <f t="shared" si="65"/>
        <v>0</v>
      </c>
      <c r="Y205" s="4">
        <f t="shared" si="65"/>
        <v>0</v>
      </c>
      <c r="Z205" s="4">
        <f t="shared" si="65"/>
        <v>0</v>
      </c>
    </row>
    <row r="206" spans="1:26">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row>
    <row r="207" spans="1:26" ht="16.5" thickBot="1">
      <c r="A207" s="109" t="s">
        <v>437</v>
      </c>
    </row>
    <row r="208" spans="1:26" ht="13.5" thickBot="1">
      <c r="A208" s="110"/>
      <c r="B208" s="111">
        <v>2010</v>
      </c>
      <c r="C208" s="111">
        <v>2011</v>
      </c>
      <c r="D208" s="111">
        <v>2012</v>
      </c>
      <c r="E208" s="111">
        <v>2013</v>
      </c>
      <c r="F208" s="111">
        <v>2014</v>
      </c>
      <c r="G208" s="111">
        <v>2015</v>
      </c>
      <c r="H208" s="111">
        <v>2016</v>
      </c>
      <c r="I208" s="111">
        <v>2017</v>
      </c>
      <c r="J208" s="111">
        <v>2018</v>
      </c>
      <c r="K208" s="111">
        <v>2019</v>
      </c>
      <c r="L208" s="111">
        <v>2020</v>
      </c>
      <c r="M208" s="111">
        <v>2021</v>
      </c>
      <c r="N208" s="111">
        <v>2022</v>
      </c>
      <c r="O208" s="111">
        <v>2023</v>
      </c>
      <c r="P208" s="111">
        <v>2024</v>
      </c>
      <c r="Q208" s="111">
        <v>2025</v>
      </c>
      <c r="R208" s="111">
        <v>2026</v>
      </c>
      <c r="S208" s="111">
        <v>2027</v>
      </c>
      <c r="T208" s="111">
        <v>2028</v>
      </c>
      <c r="U208" s="111">
        <v>2029</v>
      </c>
      <c r="V208" s="111">
        <v>2030</v>
      </c>
      <c r="W208" s="111">
        <v>2031</v>
      </c>
      <c r="X208" s="111">
        <v>2032</v>
      </c>
      <c r="Y208" s="111">
        <v>2033</v>
      </c>
      <c r="Z208" s="111">
        <v>2034</v>
      </c>
    </row>
    <row r="209" spans="1:26">
      <c r="A209" s="2" t="s">
        <v>43</v>
      </c>
      <c r="B209" s="3">
        <f>'Monthly D6 RIN Data'!$K4</f>
        <v>0</v>
      </c>
      <c r="C209" s="3">
        <f>'Monthly D6 RIN Data'!$K16</f>
        <v>0</v>
      </c>
      <c r="D209" s="3">
        <f>'Monthly D6 RIN Data'!$K28</f>
        <v>0</v>
      </c>
      <c r="E209" s="3">
        <f>'Monthly D6 RIN Data'!$K40</f>
        <v>0</v>
      </c>
      <c r="F209" s="3">
        <f>'Monthly D6 RIN Data'!$K52</f>
        <v>0</v>
      </c>
      <c r="G209" s="3">
        <f>'Monthly D6 RIN Data'!$K64</f>
        <v>0</v>
      </c>
      <c r="H209" s="3">
        <f>'Monthly D6 RIN Data'!$K76</f>
        <v>0</v>
      </c>
      <c r="I209" s="3">
        <f>'Monthly D6 RIN Data'!$K88</f>
        <v>0</v>
      </c>
      <c r="J209" s="3">
        <f>'Monthly D6 RIN Data'!$K100</f>
        <v>0</v>
      </c>
      <c r="K209" s="3">
        <f>'Monthly D6 RIN Data'!$K112</f>
        <v>0</v>
      </c>
      <c r="L209" s="3">
        <f>'Monthly D6 RIN Data'!$K124</f>
        <v>0</v>
      </c>
      <c r="M209" s="3">
        <f>'Monthly D6 RIN Data'!$K136</f>
        <v>0</v>
      </c>
      <c r="N209" s="3">
        <f>'Monthly D6 RIN Data'!$K148</f>
        <v>0</v>
      </c>
      <c r="O209" s="3">
        <f>'Monthly D6 RIN Data'!$K160</f>
        <v>0</v>
      </c>
      <c r="P209" s="3">
        <f>'Monthly D6 RIN Data'!$K172</f>
        <v>0</v>
      </c>
      <c r="Q209" s="3">
        <f>'Monthly D6 RIN Data'!$K184</f>
        <v>0</v>
      </c>
      <c r="R209" s="4">
        <f>'D6 Gallon Forecast'!R209</f>
        <v>0</v>
      </c>
      <c r="S209" s="4">
        <f>'D6 Gallon Forecast'!S209</f>
        <v>0</v>
      </c>
      <c r="T209" s="4">
        <f>'D6 Gallon Forecast'!T209</f>
        <v>0</v>
      </c>
      <c r="U209" s="4">
        <f>'D6 Gallon Forecast'!U209</f>
        <v>0</v>
      </c>
      <c r="V209" s="4">
        <f>'D6 Gallon Forecast'!V209</f>
        <v>0</v>
      </c>
      <c r="W209" s="4">
        <f>'D6 Gallon Forecast'!W209</f>
        <v>0</v>
      </c>
      <c r="X209" s="4">
        <f>'D6 Gallon Forecast'!X209</f>
        <v>0</v>
      </c>
      <c r="Y209" s="4">
        <f>'D6 Gallon Forecast'!Y209</f>
        <v>0</v>
      </c>
      <c r="Z209" s="4">
        <f>'D6 Gallon Forecast'!Z209</f>
        <v>0</v>
      </c>
    </row>
    <row r="210" spans="1:26">
      <c r="A210" s="2" t="s">
        <v>44</v>
      </c>
      <c r="B210" s="3">
        <f>'Monthly D6 RIN Data'!$K5</f>
        <v>0</v>
      </c>
      <c r="C210" s="3">
        <f>'Monthly D6 RIN Data'!$K17</f>
        <v>0</v>
      </c>
      <c r="D210" s="3">
        <f>'Monthly D6 RIN Data'!$K29</f>
        <v>0</v>
      </c>
      <c r="E210" s="3">
        <f>'Monthly D6 RIN Data'!$K41</f>
        <v>0</v>
      </c>
      <c r="F210" s="3">
        <f>'Monthly D6 RIN Data'!$K53</f>
        <v>0</v>
      </c>
      <c r="G210" s="3">
        <f>'Monthly D6 RIN Data'!$K65</f>
        <v>0</v>
      </c>
      <c r="H210" s="3">
        <f>'Monthly D6 RIN Data'!$K77</f>
        <v>0</v>
      </c>
      <c r="I210" s="3">
        <f>'Monthly D6 RIN Data'!$K89</f>
        <v>0</v>
      </c>
      <c r="J210" s="3">
        <f>'Monthly D6 RIN Data'!$K101</f>
        <v>0</v>
      </c>
      <c r="K210" s="3">
        <f>'Monthly D6 RIN Data'!$K113</f>
        <v>0</v>
      </c>
      <c r="L210" s="3">
        <f>'Monthly D6 RIN Data'!$K125</f>
        <v>0</v>
      </c>
      <c r="M210" s="3">
        <f>'Monthly D6 RIN Data'!$K137</f>
        <v>0</v>
      </c>
      <c r="N210" s="3">
        <f>'Monthly D6 RIN Data'!$K149</f>
        <v>0</v>
      </c>
      <c r="O210" s="3">
        <f>'Monthly D6 RIN Data'!$K161</f>
        <v>0</v>
      </c>
      <c r="P210" s="3">
        <f>'Monthly D6 RIN Data'!$K173</f>
        <v>0</v>
      </c>
      <c r="Q210" s="3">
        <f>'Monthly D6 RIN Data'!$K185</f>
        <v>0</v>
      </c>
      <c r="R210" s="4">
        <f>'D6 Gallon Forecast'!R210</f>
        <v>0</v>
      </c>
      <c r="S210" s="4">
        <f>'D6 Gallon Forecast'!S210</f>
        <v>0</v>
      </c>
      <c r="T210" s="4">
        <f>'D6 Gallon Forecast'!T210</f>
        <v>0</v>
      </c>
      <c r="U210" s="4">
        <f>'D6 Gallon Forecast'!U210</f>
        <v>0</v>
      </c>
      <c r="V210" s="4">
        <f>'D6 Gallon Forecast'!V210</f>
        <v>0</v>
      </c>
      <c r="W210" s="4">
        <f>'D6 Gallon Forecast'!W210</f>
        <v>0</v>
      </c>
      <c r="X210" s="4">
        <f>'D6 Gallon Forecast'!X210</f>
        <v>0</v>
      </c>
      <c r="Y210" s="4">
        <f>'D6 Gallon Forecast'!Y210</f>
        <v>0</v>
      </c>
      <c r="Z210" s="4">
        <f>'D6 Gallon Forecast'!Z210</f>
        <v>0</v>
      </c>
    </row>
    <row r="211" spans="1:26">
      <c r="A211" s="2" t="s">
        <v>45</v>
      </c>
      <c r="B211" s="3">
        <f>'Monthly D6 RIN Data'!$K6</f>
        <v>0</v>
      </c>
      <c r="C211" s="3">
        <f>'Monthly D6 RIN Data'!$K18</f>
        <v>0</v>
      </c>
      <c r="D211" s="3">
        <f>'Monthly D6 RIN Data'!$K30</f>
        <v>0</v>
      </c>
      <c r="E211" s="3">
        <f>'Monthly D6 RIN Data'!$K42</f>
        <v>0</v>
      </c>
      <c r="F211" s="3">
        <f>'Monthly D6 RIN Data'!$K54</f>
        <v>0</v>
      </c>
      <c r="G211" s="3">
        <f>'Monthly D6 RIN Data'!$K66</f>
        <v>0</v>
      </c>
      <c r="H211" s="3">
        <f>'Monthly D6 RIN Data'!$K78</f>
        <v>0</v>
      </c>
      <c r="I211" s="3">
        <f>'Monthly D6 RIN Data'!$K90</f>
        <v>0</v>
      </c>
      <c r="J211" s="3">
        <f>'Monthly D6 RIN Data'!$K102</f>
        <v>0</v>
      </c>
      <c r="K211" s="3">
        <f>'Monthly D6 RIN Data'!$K114</f>
        <v>0</v>
      </c>
      <c r="L211" s="3">
        <f>'Monthly D6 RIN Data'!$K126</f>
        <v>0</v>
      </c>
      <c r="M211" s="3">
        <f>'Monthly D6 RIN Data'!$K138</f>
        <v>0</v>
      </c>
      <c r="N211" s="3">
        <f>'Monthly D6 RIN Data'!$K150</f>
        <v>0</v>
      </c>
      <c r="O211" s="3">
        <f>'Monthly D6 RIN Data'!$K162</f>
        <v>0</v>
      </c>
      <c r="P211" s="3">
        <f>'Monthly D6 RIN Data'!$K174</f>
        <v>0</v>
      </c>
      <c r="Q211" s="3">
        <f>'Monthly D6 RIN Data'!$K186</f>
        <v>0</v>
      </c>
      <c r="R211" s="4">
        <f>'D6 Gallon Forecast'!R211</f>
        <v>0</v>
      </c>
      <c r="S211" s="4">
        <f>'D6 Gallon Forecast'!S211</f>
        <v>0</v>
      </c>
      <c r="T211" s="4">
        <f>'D6 Gallon Forecast'!T211</f>
        <v>0</v>
      </c>
      <c r="U211" s="4">
        <f>'D6 Gallon Forecast'!U211</f>
        <v>0</v>
      </c>
      <c r="V211" s="4">
        <f>'D6 Gallon Forecast'!V211</f>
        <v>0</v>
      </c>
      <c r="W211" s="4">
        <f>'D6 Gallon Forecast'!W211</f>
        <v>0</v>
      </c>
      <c r="X211" s="4">
        <f>'D6 Gallon Forecast'!X211</f>
        <v>0</v>
      </c>
      <c r="Y211" s="4">
        <f>'D6 Gallon Forecast'!Y211</f>
        <v>0</v>
      </c>
      <c r="Z211" s="4">
        <f>'D6 Gallon Forecast'!Z211</f>
        <v>0</v>
      </c>
    </row>
    <row r="212" spans="1:26">
      <c r="A212" s="2" t="s">
        <v>46</v>
      </c>
      <c r="B212" s="3">
        <f>'Monthly D6 RIN Data'!$K7</f>
        <v>0</v>
      </c>
      <c r="C212" s="3">
        <f>'Monthly D6 RIN Data'!$K19</f>
        <v>0</v>
      </c>
      <c r="D212" s="3">
        <f>'Monthly D6 RIN Data'!$K31</f>
        <v>0</v>
      </c>
      <c r="E212" s="3">
        <f>'Monthly D6 RIN Data'!$K43</f>
        <v>0</v>
      </c>
      <c r="F212" s="3">
        <f>'Monthly D6 RIN Data'!$K55</f>
        <v>0</v>
      </c>
      <c r="G212" s="3">
        <f>'Monthly D6 RIN Data'!$K67</f>
        <v>0</v>
      </c>
      <c r="H212" s="3">
        <f>'Monthly D6 RIN Data'!$K79</f>
        <v>0</v>
      </c>
      <c r="I212" s="3">
        <f>'Monthly D6 RIN Data'!$K91</f>
        <v>0</v>
      </c>
      <c r="J212" s="3">
        <f>'Monthly D6 RIN Data'!$K103</f>
        <v>0</v>
      </c>
      <c r="K212" s="3">
        <f>'Monthly D6 RIN Data'!$K115</f>
        <v>0</v>
      </c>
      <c r="L212" s="3">
        <f>'Monthly D6 RIN Data'!$K127</f>
        <v>0</v>
      </c>
      <c r="M212" s="3">
        <f>'Monthly D6 RIN Data'!$K139</f>
        <v>0</v>
      </c>
      <c r="N212" s="3">
        <f>'Monthly D6 RIN Data'!$K151</f>
        <v>0</v>
      </c>
      <c r="O212" s="3">
        <f>'Monthly D6 RIN Data'!$K163</f>
        <v>0</v>
      </c>
      <c r="P212" s="3">
        <f>'Monthly D6 RIN Data'!$K175</f>
        <v>250191</v>
      </c>
      <c r="Q212" s="4">
        <f>'D6 Gallon Forecast'!Q212</f>
        <v>0</v>
      </c>
      <c r="R212" s="4">
        <f>'D6 Gallon Forecast'!R212</f>
        <v>0</v>
      </c>
      <c r="S212" s="4">
        <f>'D6 Gallon Forecast'!S212</f>
        <v>0</v>
      </c>
      <c r="T212" s="4">
        <f>'D6 Gallon Forecast'!T212</f>
        <v>0</v>
      </c>
      <c r="U212" s="4">
        <f>'D6 Gallon Forecast'!U212</f>
        <v>0</v>
      </c>
      <c r="V212" s="4">
        <f>'D6 Gallon Forecast'!V212</f>
        <v>0</v>
      </c>
      <c r="W212" s="4">
        <f>'D6 Gallon Forecast'!W212</f>
        <v>0</v>
      </c>
      <c r="X212" s="4">
        <f>'D6 Gallon Forecast'!X212</f>
        <v>0</v>
      </c>
      <c r="Y212" s="4">
        <f>'D6 Gallon Forecast'!Y212</f>
        <v>0</v>
      </c>
      <c r="Z212" s="4">
        <f>'D6 Gallon Forecast'!Z212</f>
        <v>0</v>
      </c>
    </row>
    <row r="213" spans="1:26">
      <c r="A213" s="2" t="s">
        <v>47</v>
      </c>
      <c r="B213" s="3">
        <f>'Monthly D6 RIN Data'!$K8</f>
        <v>0</v>
      </c>
      <c r="C213" s="3">
        <f>'Monthly D6 RIN Data'!$K20</f>
        <v>0</v>
      </c>
      <c r="D213" s="3">
        <f>'Monthly D6 RIN Data'!$K32</f>
        <v>0</v>
      </c>
      <c r="E213" s="3">
        <f>'Monthly D6 RIN Data'!$K44</f>
        <v>0</v>
      </c>
      <c r="F213" s="3">
        <f>'Monthly D6 RIN Data'!$K56</f>
        <v>0</v>
      </c>
      <c r="G213" s="3">
        <f>'Monthly D6 RIN Data'!$K68</f>
        <v>0</v>
      </c>
      <c r="H213" s="3">
        <f>'Monthly D6 RIN Data'!$K80</f>
        <v>0</v>
      </c>
      <c r="I213" s="3">
        <f>'Monthly D6 RIN Data'!$K92</f>
        <v>0</v>
      </c>
      <c r="J213" s="3">
        <f>'Monthly D6 RIN Data'!$K104</f>
        <v>0</v>
      </c>
      <c r="K213" s="3">
        <f>'Monthly D6 RIN Data'!$K116</f>
        <v>0</v>
      </c>
      <c r="L213" s="3">
        <f>'Monthly D6 RIN Data'!$K128</f>
        <v>0</v>
      </c>
      <c r="M213" s="3">
        <f>'Monthly D6 RIN Data'!$K140</f>
        <v>0</v>
      </c>
      <c r="N213" s="3">
        <f>'Monthly D6 RIN Data'!$K152</f>
        <v>0</v>
      </c>
      <c r="O213" s="3">
        <f>'Monthly D6 RIN Data'!$K164</f>
        <v>0</v>
      </c>
      <c r="P213" s="3">
        <f>'Monthly D6 RIN Data'!$K176</f>
        <v>0</v>
      </c>
      <c r="Q213" s="4">
        <f>'D6 Gallon Forecast'!Q213</f>
        <v>0</v>
      </c>
      <c r="R213" s="4">
        <f>'D6 Gallon Forecast'!R213</f>
        <v>0</v>
      </c>
      <c r="S213" s="4">
        <f>'D6 Gallon Forecast'!S213</f>
        <v>0</v>
      </c>
      <c r="T213" s="4">
        <f>'D6 Gallon Forecast'!T213</f>
        <v>0</v>
      </c>
      <c r="U213" s="4">
        <f>'D6 Gallon Forecast'!U213</f>
        <v>0</v>
      </c>
      <c r="V213" s="4">
        <f>'D6 Gallon Forecast'!V213</f>
        <v>0</v>
      </c>
      <c r="W213" s="4">
        <f>'D6 Gallon Forecast'!W213</f>
        <v>0</v>
      </c>
      <c r="X213" s="4">
        <f>'D6 Gallon Forecast'!X213</f>
        <v>0</v>
      </c>
      <c r="Y213" s="4">
        <f>'D6 Gallon Forecast'!Y213</f>
        <v>0</v>
      </c>
      <c r="Z213" s="4">
        <f>'D6 Gallon Forecast'!Z213</f>
        <v>0</v>
      </c>
    </row>
    <row r="214" spans="1:26">
      <c r="A214" s="2" t="s">
        <v>48</v>
      </c>
      <c r="B214" s="3">
        <f>'Monthly D6 RIN Data'!$K9</f>
        <v>0</v>
      </c>
      <c r="C214" s="3">
        <f>'Monthly D6 RIN Data'!$K21</f>
        <v>0</v>
      </c>
      <c r="D214" s="3">
        <f>'Monthly D6 RIN Data'!$K33</f>
        <v>0</v>
      </c>
      <c r="E214" s="3">
        <f>'Monthly D6 RIN Data'!$K45</f>
        <v>0</v>
      </c>
      <c r="F214" s="3">
        <f>'Monthly D6 RIN Data'!$K57</f>
        <v>0</v>
      </c>
      <c r="G214" s="3">
        <f>'Monthly D6 RIN Data'!$K69</f>
        <v>0</v>
      </c>
      <c r="H214" s="3">
        <f>'Monthly D6 RIN Data'!$K81</f>
        <v>0</v>
      </c>
      <c r="I214" s="3">
        <f>'Monthly D6 RIN Data'!$K93</f>
        <v>0</v>
      </c>
      <c r="J214" s="3">
        <f>'Monthly D6 RIN Data'!$K105</f>
        <v>0</v>
      </c>
      <c r="K214" s="3">
        <f>'Monthly D6 RIN Data'!$K117</f>
        <v>0</v>
      </c>
      <c r="L214" s="3">
        <f>'Monthly D6 RIN Data'!$K129</f>
        <v>0</v>
      </c>
      <c r="M214" s="3">
        <f>'Monthly D6 RIN Data'!$K141</f>
        <v>0</v>
      </c>
      <c r="N214" s="3">
        <f>'Monthly D6 RIN Data'!$K153</f>
        <v>0</v>
      </c>
      <c r="O214" s="3">
        <f>'Monthly D6 RIN Data'!$K165</f>
        <v>0</v>
      </c>
      <c r="P214" s="3">
        <f>'Monthly D6 RIN Data'!$K177</f>
        <v>0</v>
      </c>
      <c r="Q214" s="4">
        <f>'D6 Gallon Forecast'!Q214</f>
        <v>0</v>
      </c>
      <c r="R214" s="4">
        <f>'D6 Gallon Forecast'!R214</f>
        <v>0</v>
      </c>
      <c r="S214" s="4">
        <f>'D6 Gallon Forecast'!S214</f>
        <v>0</v>
      </c>
      <c r="T214" s="4">
        <f>'D6 Gallon Forecast'!T214</f>
        <v>0</v>
      </c>
      <c r="U214" s="4">
        <f>'D6 Gallon Forecast'!U214</f>
        <v>0</v>
      </c>
      <c r="V214" s="4">
        <f>'D6 Gallon Forecast'!V214</f>
        <v>0</v>
      </c>
      <c r="W214" s="4">
        <f>'D6 Gallon Forecast'!W214</f>
        <v>0</v>
      </c>
      <c r="X214" s="4">
        <f>'D6 Gallon Forecast'!X214</f>
        <v>0</v>
      </c>
      <c r="Y214" s="4">
        <f>'D6 Gallon Forecast'!Y214</f>
        <v>0</v>
      </c>
      <c r="Z214" s="4">
        <f>'D6 Gallon Forecast'!Z214</f>
        <v>0</v>
      </c>
    </row>
    <row r="215" spans="1:26">
      <c r="A215" s="2" t="s">
        <v>49</v>
      </c>
      <c r="B215" s="3">
        <f>'Monthly D6 RIN Data'!$K10</f>
        <v>0</v>
      </c>
      <c r="C215" s="3">
        <f>'Monthly D6 RIN Data'!$K22</f>
        <v>0</v>
      </c>
      <c r="D215" s="3">
        <f>'Monthly D6 RIN Data'!$K34</f>
        <v>0</v>
      </c>
      <c r="E215" s="3">
        <f>'Monthly D6 RIN Data'!$K46</f>
        <v>0</v>
      </c>
      <c r="F215" s="3">
        <f>'Monthly D6 RIN Data'!$K58</f>
        <v>0</v>
      </c>
      <c r="G215" s="3">
        <f>'Monthly D6 RIN Data'!$K70</f>
        <v>0</v>
      </c>
      <c r="H215" s="3">
        <f>'Monthly D6 RIN Data'!$K82</f>
        <v>0</v>
      </c>
      <c r="I215" s="3">
        <f>'Monthly D6 RIN Data'!$K94</f>
        <v>0</v>
      </c>
      <c r="J215" s="3">
        <f>'Monthly D6 RIN Data'!$K106</f>
        <v>0</v>
      </c>
      <c r="K215" s="3">
        <f>'Monthly D6 RIN Data'!$K118</f>
        <v>0</v>
      </c>
      <c r="L215" s="3">
        <f>'Monthly D6 RIN Data'!$K130</f>
        <v>0</v>
      </c>
      <c r="M215" s="3">
        <f>'Monthly D6 RIN Data'!$K142</f>
        <v>0</v>
      </c>
      <c r="N215" s="3">
        <f>'Monthly D6 RIN Data'!$K154</f>
        <v>0</v>
      </c>
      <c r="O215" s="3">
        <f>'Monthly D6 RIN Data'!$K166</f>
        <v>0</v>
      </c>
      <c r="P215" s="3">
        <f>'Monthly D6 RIN Data'!$K178</f>
        <v>0</v>
      </c>
      <c r="Q215" s="4">
        <f>'D6 Gallon Forecast'!Q215</f>
        <v>0</v>
      </c>
      <c r="R215" s="4">
        <f>'D6 Gallon Forecast'!R215</f>
        <v>0</v>
      </c>
      <c r="S215" s="4">
        <f>'D6 Gallon Forecast'!S215</f>
        <v>0</v>
      </c>
      <c r="T215" s="4">
        <f>'D6 Gallon Forecast'!T215</f>
        <v>0</v>
      </c>
      <c r="U215" s="4">
        <f>'D6 Gallon Forecast'!U215</f>
        <v>0</v>
      </c>
      <c r="V215" s="4">
        <f>'D6 Gallon Forecast'!V215</f>
        <v>0</v>
      </c>
      <c r="W215" s="4">
        <f>'D6 Gallon Forecast'!W215</f>
        <v>0</v>
      </c>
      <c r="X215" s="4">
        <f>'D6 Gallon Forecast'!X215</f>
        <v>0</v>
      </c>
      <c r="Y215" s="4">
        <f>'D6 Gallon Forecast'!Y215</f>
        <v>0</v>
      </c>
      <c r="Z215" s="4">
        <f>'D6 Gallon Forecast'!Z215</f>
        <v>0</v>
      </c>
    </row>
    <row r="216" spans="1:26">
      <c r="A216" s="2" t="s">
        <v>50</v>
      </c>
      <c r="B216" s="3">
        <f>'Monthly D6 RIN Data'!$K11</f>
        <v>0</v>
      </c>
      <c r="C216" s="3">
        <f>'Monthly D6 RIN Data'!$K23</f>
        <v>0</v>
      </c>
      <c r="D216" s="3">
        <f>'Monthly D6 RIN Data'!$K35</f>
        <v>0</v>
      </c>
      <c r="E216" s="3">
        <f>'Monthly D6 RIN Data'!$K47</f>
        <v>0</v>
      </c>
      <c r="F216" s="3">
        <f>'Monthly D6 RIN Data'!$K59</f>
        <v>0</v>
      </c>
      <c r="G216" s="3">
        <f>'Monthly D6 RIN Data'!$K71</f>
        <v>0</v>
      </c>
      <c r="H216" s="3">
        <f>'Monthly D6 RIN Data'!$K83</f>
        <v>0</v>
      </c>
      <c r="I216" s="3">
        <f>'Monthly D6 RIN Data'!$K95</f>
        <v>0</v>
      </c>
      <c r="J216" s="3">
        <f>'Monthly D6 RIN Data'!$K107</f>
        <v>0</v>
      </c>
      <c r="K216" s="3">
        <f>'Monthly D6 RIN Data'!$K119</f>
        <v>0</v>
      </c>
      <c r="L216" s="3">
        <f>'Monthly D6 RIN Data'!$K131</f>
        <v>0</v>
      </c>
      <c r="M216" s="3">
        <f>'Monthly D6 RIN Data'!$K143</f>
        <v>0</v>
      </c>
      <c r="N216" s="3">
        <f>'Monthly D6 RIN Data'!$K155</f>
        <v>0</v>
      </c>
      <c r="O216" s="3">
        <f>'Monthly D6 RIN Data'!$K167</f>
        <v>327746</v>
      </c>
      <c r="P216" s="3">
        <f>'Monthly D6 RIN Data'!$K179</f>
        <v>0</v>
      </c>
      <c r="Q216" s="4">
        <f>'D6 Gallon Forecast'!Q216</f>
        <v>0</v>
      </c>
      <c r="R216" s="4">
        <f>'D6 Gallon Forecast'!R216</f>
        <v>0</v>
      </c>
      <c r="S216" s="4">
        <f>'D6 Gallon Forecast'!S216</f>
        <v>0</v>
      </c>
      <c r="T216" s="4">
        <f>'D6 Gallon Forecast'!T216</f>
        <v>0</v>
      </c>
      <c r="U216" s="4">
        <f>'D6 Gallon Forecast'!U216</f>
        <v>0</v>
      </c>
      <c r="V216" s="4">
        <f>'D6 Gallon Forecast'!V216</f>
        <v>0</v>
      </c>
      <c r="W216" s="4">
        <f>'D6 Gallon Forecast'!W216</f>
        <v>0</v>
      </c>
      <c r="X216" s="4">
        <f>'D6 Gallon Forecast'!X216</f>
        <v>0</v>
      </c>
      <c r="Y216" s="4">
        <f>'D6 Gallon Forecast'!Y216</f>
        <v>0</v>
      </c>
      <c r="Z216" s="4">
        <f>'D6 Gallon Forecast'!Z216</f>
        <v>0</v>
      </c>
    </row>
    <row r="217" spans="1:26">
      <c r="A217" s="2" t="s">
        <v>51</v>
      </c>
      <c r="B217" s="3">
        <f>'Monthly D6 RIN Data'!$K12</f>
        <v>0</v>
      </c>
      <c r="C217" s="3">
        <f>'Monthly D6 RIN Data'!$K24</f>
        <v>0</v>
      </c>
      <c r="D217" s="3">
        <f>'Monthly D6 RIN Data'!$K36</f>
        <v>0</v>
      </c>
      <c r="E217" s="3">
        <f>'Monthly D6 RIN Data'!$K48</f>
        <v>0</v>
      </c>
      <c r="F217" s="3">
        <f>'Monthly D6 RIN Data'!$K60</f>
        <v>0</v>
      </c>
      <c r="G217" s="3">
        <f>'Monthly D6 RIN Data'!$K72</f>
        <v>0</v>
      </c>
      <c r="H217" s="3">
        <f>'Monthly D6 RIN Data'!$K84</f>
        <v>0</v>
      </c>
      <c r="I217" s="3">
        <f>'Monthly D6 RIN Data'!$K96</f>
        <v>0</v>
      </c>
      <c r="J217" s="3">
        <f>'Monthly D6 RIN Data'!$K108</f>
        <v>0</v>
      </c>
      <c r="K217" s="3">
        <f>'Monthly D6 RIN Data'!$K120</f>
        <v>0</v>
      </c>
      <c r="L217" s="3">
        <f>'Monthly D6 RIN Data'!$K132</f>
        <v>0</v>
      </c>
      <c r="M217" s="3">
        <f>'Monthly D6 RIN Data'!$K144</f>
        <v>0</v>
      </c>
      <c r="N217" s="3">
        <f>'Monthly D6 RIN Data'!$K156</f>
        <v>0</v>
      </c>
      <c r="O217" s="3">
        <f>'Monthly D6 RIN Data'!$K168</f>
        <v>0</v>
      </c>
      <c r="P217" s="3">
        <f>'Monthly D6 RIN Data'!$K180</f>
        <v>0</v>
      </c>
      <c r="Q217" s="4">
        <f>'D6 Gallon Forecast'!Q217</f>
        <v>0</v>
      </c>
      <c r="R217" s="4">
        <f>'D6 Gallon Forecast'!R217</f>
        <v>0</v>
      </c>
      <c r="S217" s="4">
        <f>'D6 Gallon Forecast'!S217</f>
        <v>0</v>
      </c>
      <c r="T217" s="4">
        <f>'D6 Gallon Forecast'!T217</f>
        <v>0</v>
      </c>
      <c r="U217" s="4">
        <f>'D6 Gallon Forecast'!U217</f>
        <v>0</v>
      </c>
      <c r="V217" s="4">
        <f>'D6 Gallon Forecast'!V217</f>
        <v>0</v>
      </c>
      <c r="W217" s="4">
        <f>'D6 Gallon Forecast'!W217</f>
        <v>0</v>
      </c>
      <c r="X217" s="4">
        <f>'D6 Gallon Forecast'!X217</f>
        <v>0</v>
      </c>
      <c r="Y217" s="4">
        <f>'D6 Gallon Forecast'!Y217</f>
        <v>0</v>
      </c>
      <c r="Z217" s="4">
        <f>'D6 Gallon Forecast'!Z217</f>
        <v>0</v>
      </c>
    </row>
    <row r="218" spans="1:26">
      <c r="A218" s="2" t="s">
        <v>52</v>
      </c>
      <c r="B218" s="3">
        <f>'Monthly D6 RIN Data'!$K13</f>
        <v>0</v>
      </c>
      <c r="C218" s="3">
        <f>'Monthly D6 RIN Data'!$K25</f>
        <v>0</v>
      </c>
      <c r="D218" s="3">
        <f>'Monthly D6 RIN Data'!$K37</f>
        <v>0</v>
      </c>
      <c r="E218" s="3">
        <f>'Monthly D6 RIN Data'!$K49</f>
        <v>0</v>
      </c>
      <c r="F218" s="3">
        <f>'Monthly D6 RIN Data'!$K61</f>
        <v>0</v>
      </c>
      <c r="G218" s="3">
        <f>'Monthly D6 RIN Data'!$K73</f>
        <v>0</v>
      </c>
      <c r="H218" s="3">
        <f>'Monthly D6 RIN Data'!$K85</f>
        <v>0</v>
      </c>
      <c r="I218" s="3">
        <f>'Monthly D6 RIN Data'!$K97</f>
        <v>0</v>
      </c>
      <c r="J218" s="3">
        <f>'Monthly D6 RIN Data'!$K109</f>
        <v>0</v>
      </c>
      <c r="K218" s="3">
        <f>'Monthly D6 RIN Data'!$K121</f>
        <v>0</v>
      </c>
      <c r="L218" s="3">
        <f>'Monthly D6 RIN Data'!$K133</f>
        <v>0</v>
      </c>
      <c r="M218" s="3">
        <f>'Monthly D6 RIN Data'!$K145</f>
        <v>0</v>
      </c>
      <c r="N218" s="3">
        <f>'Monthly D6 RIN Data'!$K157</f>
        <v>0</v>
      </c>
      <c r="O218" s="3">
        <f>'Monthly D6 RIN Data'!$K169</f>
        <v>7011</v>
      </c>
      <c r="P218" s="3">
        <f>'Monthly D6 RIN Data'!$K181</f>
        <v>0</v>
      </c>
      <c r="Q218" s="4">
        <f>'D6 Gallon Forecast'!Q218</f>
        <v>0</v>
      </c>
      <c r="R218" s="4">
        <f>'D6 Gallon Forecast'!R218</f>
        <v>0</v>
      </c>
      <c r="S218" s="4">
        <f>'D6 Gallon Forecast'!S218</f>
        <v>0</v>
      </c>
      <c r="T218" s="4">
        <f>'D6 Gallon Forecast'!T218</f>
        <v>0</v>
      </c>
      <c r="U218" s="4">
        <f>'D6 Gallon Forecast'!U218</f>
        <v>0</v>
      </c>
      <c r="V218" s="4">
        <f>'D6 Gallon Forecast'!V218</f>
        <v>0</v>
      </c>
      <c r="W218" s="4">
        <f>'D6 Gallon Forecast'!W218</f>
        <v>0</v>
      </c>
      <c r="X218" s="4">
        <f>'D6 Gallon Forecast'!X218</f>
        <v>0</v>
      </c>
      <c r="Y218" s="4">
        <f>'D6 Gallon Forecast'!Y218</f>
        <v>0</v>
      </c>
      <c r="Z218" s="4">
        <f>'D6 Gallon Forecast'!Z218</f>
        <v>0</v>
      </c>
    </row>
    <row r="219" spans="1:26">
      <c r="A219" s="2" t="s">
        <v>53</v>
      </c>
      <c r="B219" s="3">
        <f>'Monthly D6 RIN Data'!$K14</f>
        <v>0</v>
      </c>
      <c r="C219" s="3">
        <f>'Monthly D6 RIN Data'!$K26</f>
        <v>0</v>
      </c>
      <c r="D219" s="3">
        <f>'Monthly D6 RIN Data'!$K38</f>
        <v>0</v>
      </c>
      <c r="E219" s="3">
        <f>'Monthly D6 RIN Data'!$K50</f>
        <v>0</v>
      </c>
      <c r="F219" s="3">
        <f>'Monthly D6 RIN Data'!$K62</f>
        <v>0</v>
      </c>
      <c r="G219" s="3">
        <f>'Monthly D6 RIN Data'!$K74</f>
        <v>0</v>
      </c>
      <c r="H219" s="3">
        <f>'Monthly D6 RIN Data'!$K86</f>
        <v>0</v>
      </c>
      <c r="I219" s="3">
        <f>'Monthly D6 RIN Data'!$K98</f>
        <v>0</v>
      </c>
      <c r="J219" s="3">
        <f>'Monthly D6 RIN Data'!$K110</f>
        <v>0</v>
      </c>
      <c r="K219" s="3">
        <f>'Monthly D6 RIN Data'!$K122</f>
        <v>0</v>
      </c>
      <c r="L219" s="3">
        <f>'Monthly D6 RIN Data'!$K134</f>
        <v>0</v>
      </c>
      <c r="M219" s="3">
        <f>'Monthly D6 RIN Data'!$K146</f>
        <v>0</v>
      </c>
      <c r="N219" s="3">
        <f>'Monthly D6 RIN Data'!$K158</f>
        <v>0</v>
      </c>
      <c r="O219" s="3">
        <f>'Monthly D6 RIN Data'!$K170</f>
        <v>607090</v>
      </c>
      <c r="P219" s="3">
        <f>'Monthly D6 RIN Data'!$K182</f>
        <v>0</v>
      </c>
      <c r="Q219" s="4">
        <f>'D6 Gallon Forecast'!Q219</f>
        <v>0</v>
      </c>
      <c r="R219" s="4">
        <f>'D6 Gallon Forecast'!R219</f>
        <v>0</v>
      </c>
      <c r="S219" s="4">
        <f>'D6 Gallon Forecast'!S219</f>
        <v>0</v>
      </c>
      <c r="T219" s="4">
        <f>'D6 Gallon Forecast'!T219</f>
        <v>0</v>
      </c>
      <c r="U219" s="4">
        <f>'D6 Gallon Forecast'!U219</f>
        <v>0</v>
      </c>
      <c r="V219" s="4">
        <f>'D6 Gallon Forecast'!V219</f>
        <v>0</v>
      </c>
      <c r="W219" s="4">
        <f>'D6 Gallon Forecast'!W219</f>
        <v>0</v>
      </c>
      <c r="X219" s="4">
        <f>'D6 Gallon Forecast'!X219</f>
        <v>0</v>
      </c>
      <c r="Y219" s="4">
        <f>'D6 Gallon Forecast'!Y219</f>
        <v>0</v>
      </c>
      <c r="Z219" s="4">
        <f>'D6 Gallon Forecast'!Z219</f>
        <v>0</v>
      </c>
    </row>
    <row r="220" spans="1:26">
      <c r="A220" s="2" t="s">
        <v>54</v>
      </c>
      <c r="B220" s="3">
        <f>'Monthly D6 RIN Data'!$K15</f>
        <v>0</v>
      </c>
      <c r="C220" s="3">
        <f>'Monthly D6 RIN Data'!$K27</f>
        <v>0</v>
      </c>
      <c r="D220" s="3">
        <f>'Monthly D6 RIN Data'!$K39</f>
        <v>0</v>
      </c>
      <c r="E220" s="3">
        <f>'Monthly D6 RIN Data'!$K51</f>
        <v>0</v>
      </c>
      <c r="F220" s="3">
        <f>'Monthly D6 RIN Data'!$K63</f>
        <v>0</v>
      </c>
      <c r="G220" s="3">
        <f>'Monthly D6 RIN Data'!$K75</f>
        <v>0</v>
      </c>
      <c r="H220" s="3">
        <f>'Monthly D6 RIN Data'!$K87</f>
        <v>0</v>
      </c>
      <c r="I220" s="3">
        <f>'Monthly D6 RIN Data'!$K99</f>
        <v>0</v>
      </c>
      <c r="J220" s="3">
        <f>'Monthly D6 RIN Data'!$K111</f>
        <v>0</v>
      </c>
      <c r="K220" s="3">
        <f>'Monthly D6 RIN Data'!$K123</f>
        <v>0</v>
      </c>
      <c r="L220" s="3">
        <f>'Monthly D6 RIN Data'!$K135</f>
        <v>0</v>
      </c>
      <c r="M220" s="3">
        <f>'Monthly D6 RIN Data'!$K147</f>
        <v>0</v>
      </c>
      <c r="N220" s="3">
        <f>'Monthly D6 RIN Data'!$K159</f>
        <v>0</v>
      </c>
      <c r="O220" s="3">
        <f>'Monthly D6 RIN Data'!$K171</f>
        <v>0</v>
      </c>
      <c r="P220" s="3">
        <f>'Monthly D6 RIN Data'!$K183</f>
        <v>0</v>
      </c>
      <c r="Q220" s="4">
        <f>'D6 Gallon Forecast'!Q220</f>
        <v>0</v>
      </c>
      <c r="R220" s="4">
        <f>'D6 Gallon Forecast'!R220</f>
        <v>0</v>
      </c>
      <c r="S220" s="4">
        <f>'D6 Gallon Forecast'!S220</f>
        <v>0</v>
      </c>
      <c r="T220" s="4">
        <f>'D6 Gallon Forecast'!T220</f>
        <v>0</v>
      </c>
      <c r="U220" s="4">
        <f>'D6 Gallon Forecast'!U220</f>
        <v>0</v>
      </c>
      <c r="V220" s="4">
        <f>'D6 Gallon Forecast'!V220</f>
        <v>0</v>
      </c>
      <c r="W220" s="4">
        <f>'D6 Gallon Forecast'!W220</f>
        <v>0</v>
      </c>
      <c r="X220" s="4">
        <f>'D6 Gallon Forecast'!X220</f>
        <v>0</v>
      </c>
      <c r="Y220" s="4">
        <f>'D6 Gallon Forecast'!Y220</f>
        <v>0</v>
      </c>
      <c r="Z220" s="4">
        <f>'D6 Gallon Forecast'!Z220</f>
        <v>0</v>
      </c>
    </row>
    <row r="221" spans="1:26" ht="13.5" thickBot="1">
      <c r="A221" s="2" t="s">
        <v>29</v>
      </c>
      <c r="B221" s="3">
        <f t="shared" ref="B221:Z221" si="66">SUM(B209:B220)</f>
        <v>0</v>
      </c>
      <c r="C221" s="3">
        <f t="shared" si="66"/>
        <v>0</v>
      </c>
      <c r="D221" s="3">
        <f t="shared" si="66"/>
        <v>0</v>
      </c>
      <c r="E221" s="3">
        <f t="shared" si="66"/>
        <v>0</v>
      </c>
      <c r="F221" s="3">
        <f t="shared" si="66"/>
        <v>0</v>
      </c>
      <c r="G221" s="3">
        <f t="shared" si="66"/>
        <v>0</v>
      </c>
      <c r="H221" s="3">
        <f t="shared" si="66"/>
        <v>0</v>
      </c>
      <c r="I221" s="3">
        <f t="shared" si="66"/>
        <v>0</v>
      </c>
      <c r="J221" s="3">
        <f t="shared" si="66"/>
        <v>0</v>
      </c>
      <c r="K221" s="3">
        <f t="shared" si="66"/>
        <v>0</v>
      </c>
      <c r="L221" s="3">
        <f t="shared" si="66"/>
        <v>0</v>
      </c>
      <c r="M221" s="3">
        <f t="shared" si="66"/>
        <v>0</v>
      </c>
      <c r="N221" s="3">
        <f t="shared" si="66"/>
        <v>0</v>
      </c>
      <c r="O221" s="3">
        <f t="shared" si="66"/>
        <v>941847</v>
      </c>
      <c r="P221" s="3">
        <f t="shared" si="66"/>
        <v>250191</v>
      </c>
      <c r="Q221" s="4">
        <f t="shared" si="66"/>
        <v>0</v>
      </c>
      <c r="R221" s="4">
        <f t="shared" si="66"/>
        <v>0</v>
      </c>
      <c r="S221" s="4">
        <f t="shared" si="66"/>
        <v>0</v>
      </c>
      <c r="T221" s="4">
        <f t="shared" si="66"/>
        <v>0</v>
      </c>
      <c r="U221" s="4">
        <f t="shared" si="66"/>
        <v>0</v>
      </c>
      <c r="V221" s="4">
        <f t="shared" si="66"/>
        <v>0</v>
      </c>
      <c r="W221" s="4">
        <f t="shared" si="66"/>
        <v>0</v>
      </c>
      <c r="X221" s="4">
        <f t="shared" si="66"/>
        <v>0</v>
      </c>
      <c r="Y221" s="4">
        <f t="shared" si="66"/>
        <v>0</v>
      </c>
      <c r="Z221" s="4">
        <f t="shared" si="66"/>
        <v>0</v>
      </c>
    </row>
    <row r="222" spans="1:26">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row>
    <row r="223" spans="1:26" ht="16.5" thickBot="1">
      <c r="A223" s="109" t="s">
        <v>502</v>
      </c>
    </row>
    <row r="224" spans="1:26" ht="13.5" thickBot="1">
      <c r="A224" s="110"/>
      <c r="B224" s="111">
        <v>2010</v>
      </c>
      <c r="C224" s="111">
        <v>2011</v>
      </c>
      <c r="D224" s="111">
        <v>2012</v>
      </c>
      <c r="E224" s="111">
        <v>2013</v>
      </c>
      <c r="F224" s="111">
        <v>2014</v>
      </c>
      <c r="G224" s="111">
        <v>2015</v>
      </c>
      <c r="H224" s="111">
        <v>2016</v>
      </c>
      <c r="I224" s="111">
        <v>2017</v>
      </c>
      <c r="J224" s="111">
        <v>2018</v>
      </c>
      <c r="K224" s="111">
        <v>2019</v>
      </c>
      <c r="L224" s="111">
        <v>2020</v>
      </c>
      <c r="M224" s="111">
        <v>2021</v>
      </c>
      <c r="N224" s="111">
        <v>2022</v>
      </c>
      <c r="O224" s="111">
        <v>2023</v>
      </c>
      <c r="P224" s="111">
        <v>2024</v>
      </c>
      <c r="Q224" s="111">
        <v>2025</v>
      </c>
      <c r="R224" s="111">
        <v>2026</v>
      </c>
      <c r="S224" s="111">
        <v>2027</v>
      </c>
      <c r="T224" s="111">
        <v>2028</v>
      </c>
      <c r="U224" s="111">
        <v>2029</v>
      </c>
      <c r="V224" s="111">
        <v>2030</v>
      </c>
      <c r="W224" s="111">
        <v>2031</v>
      </c>
      <c r="X224" s="111">
        <v>2032</v>
      </c>
      <c r="Y224" s="111">
        <v>2033</v>
      </c>
      <c r="Z224" s="111">
        <v>2034</v>
      </c>
    </row>
    <row r="225" spans="1:26">
      <c r="A225" s="2" t="s">
        <v>43</v>
      </c>
      <c r="B225" s="3">
        <f>'Monthly D6 RIN Data'!$L4</f>
        <v>0</v>
      </c>
      <c r="C225" s="3">
        <f>'Monthly D6 RIN Data'!$L16</f>
        <v>0</v>
      </c>
      <c r="D225" s="3">
        <f>'Monthly D6 RIN Data'!$L28</f>
        <v>0</v>
      </c>
      <c r="E225" s="3">
        <f>'Monthly D6 RIN Data'!$L40</f>
        <v>0</v>
      </c>
      <c r="F225" s="3">
        <f>'Monthly D6 RIN Data'!$L52</f>
        <v>24442187</v>
      </c>
      <c r="G225" s="3">
        <f>'Monthly D6 RIN Data'!$L64</f>
        <v>34482498</v>
      </c>
      <c r="H225" s="3">
        <f>'Monthly D6 RIN Data'!$L76</f>
        <v>30931447</v>
      </c>
      <c r="I225" s="3">
        <f>'Monthly D6 RIN Data'!$L88</f>
        <v>17061254</v>
      </c>
      <c r="J225" s="3">
        <f>'Monthly D6 RIN Data'!$L100</f>
        <v>27381059</v>
      </c>
      <c r="K225" s="3">
        <f>'Monthly D6 RIN Data'!$L112</f>
        <v>19047220</v>
      </c>
      <c r="L225" s="3">
        <f>'Monthly D6 RIN Data'!$L124</f>
        <v>12787512</v>
      </c>
      <c r="M225" s="3">
        <f>'Monthly D6 RIN Data'!$L136</f>
        <v>5694354</v>
      </c>
      <c r="N225" s="3">
        <f>'Monthly D6 RIN Data'!$L148</f>
        <v>5684758</v>
      </c>
      <c r="O225" s="3">
        <f>'Monthly D6 RIN Data'!$L160</f>
        <v>14648996</v>
      </c>
      <c r="P225" s="3">
        <f>'Monthly D6 RIN Data'!$L172</f>
        <v>0</v>
      </c>
      <c r="Q225" s="3">
        <f>'Monthly D6 RIN Data'!$L184</f>
        <v>0</v>
      </c>
      <c r="R225" s="4">
        <f>'D6 Gallon Forecast'!R225*AVERAGE('D6 RIN Forecast'!$AL$14:$AP$14)</f>
        <v>0</v>
      </c>
      <c r="S225" s="4">
        <f>'D6 Gallon Forecast'!S225*AVERAGE('D6 RIN Forecast'!$AL$14:$AP$14)</f>
        <v>0</v>
      </c>
      <c r="T225" s="4">
        <f>'D6 Gallon Forecast'!T225*AVERAGE('D6 RIN Forecast'!$AL$14:$AP$14)</f>
        <v>0</v>
      </c>
      <c r="U225" s="4">
        <f>'D6 Gallon Forecast'!U225*AVERAGE('D6 RIN Forecast'!$AL$14:$AP$14)</f>
        <v>0</v>
      </c>
      <c r="V225" s="4">
        <f>'D6 Gallon Forecast'!V225*AVERAGE('D6 RIN Forecast'!$AL$14:$AP$14)</f>
        <v>0</v>
      </c>
      <c r="W225" s="4">
        <f>'D6 Gallon Forecast'!W225*AVERAGE('D6 RIN Forecast'!$AL$14:$AP$14)</f>
        <v>0</v>
      </c>
      <c r="X225" s="4">
        <f>'D6 Gallon Forecast'!X225*AVERAGE('D6 RIN Forecast'!$AL$14:$AP$14)</f>
        <v>0</v>
      </c>
      <c r="Y225" s="4">
        <f>'D6 Gallon Forecast'!Y225*AVERAGE('D6 RIN Forecast'!$AL$14:$AP$14)</f>
        <v>0</v>
      </c>
      <c r="Z225" s="4">
        <f>'D6 Gallon Forecast'!Z225*AVERAGE('D6 RIN Forecast'!$AL$14:$AP$14)</f>
        <v>0</v>
      </c>
    </row>
    <row r="226" spans="1:26">
      <c r="A226" s="2" t="s">
        <v>44</v>
      </c>
      <c r="B226" s="3">
        <f>'Monthly D6 RIN Data'!$L5</f>
        <v>0</v>
      </c>
      <c r="C226" s="3">
        <f>'Monthly D6 RIN Data'!$L17</f>
        <v>0</v>
      </c>
      <c r="D226" s="3">
        <f>'Monthly D6 RIN Data'!$L29</f>
        <v>0</v>
      </c>
      <c r="E226" s="3">
        <f>'Monthly D6 RIN Data'!$L41</f>
        <v>0</v>
      </c>
      <c r="F226" s="3">
        <f>'Monthly D6 RIN Data'!$L53</f>
        <v>28942427</v>
      </c>
      <c r="G226" s="3">
        <f>'Monthly D6 RIN Data'!$L65</f>
        <v>29484473</v>
      </c>
      <c r="H226" s="3">
        <f>'Monthly D6 RIN Data'!$L77</f>
        <v>20219733</v>
      </c>
      <c r="I226" s="3">
        <f>'Monthly D6 RIN Data'!$L89</f>
        <v>24378724</v>
      </c>
      <c r="J226" s="3">
        <f>'Monthly D6 RIN Data'!$L101</f>
        <v>27142177</v>
      </c>
      <c r="K226" s="3">
        <f>'Monthly D6 RIN Data'!$L113</f>
        <v>20762824</v>
      </c>
      <c r="L226" s="3">
        <f>'Monthly D6 RIN Data'!$L125</f>
        <v>20901111</v>
      </c>
      <c r="M226" s="3">
        <f>'Monthly D6 RIN Data'!$L137</f>
        <v>13034561</v>
      </c>
      <c r="N226" s="3">
        <f>'Monthly D6 RIN Data'!$L149</f>
        <v>6625390</v>
      </c>
      <c r="O226" s="3">
        <f>'Monthly D6 RIN Data'!$L161</f>
        <v>11014399</v>
      </c>
      <c r="P226" s="3">
        <f>'Monthly D6 RIN Data'!$L173</f>
        <v>0</v>
      </c>
      <c r="Q226" s="3">
        <f>'Monthly D6 RIN Data'!$L185</f>
        <v>0</v>
      </c>
      <c r="R226" s="4">
        <f>'D6 Gallon Forecast'!R226*AVERAGE('D6 RIN Forecast'!$AL$14:$AP$14)</f>
        <v>0</v>
      </c>
      <c r="S226" s="4">
        <f>'D6 Gallon Forecast'!S226*AVERAGE('D6 RIN Forecast'!$AL$14:$AP$14)</f>
        <v>0</v>
      </c>
      <c r="T226" s="4">
        <f>'D6 Gallon Forecast'!T226*AVERAGE('D6 RIN Forecast'!$AL$14:$AP$14)</f>
        <v>0</v>
      </c>
      <c r="U226" s="4">
        <f>'D6 Gallon Forecast'!U226*AVERAGE('D6 RIN Forecast'!$AL$14:$AP$14)</f>
        <v>0</v>
      </c>
      <c r="V226" s="4">
        <f>'D6 Gallon Forecast'!V226*AVERAGE('D6 RIN Forecast'!$AL$14:$AP$14)</f>
        <v>0</v>
      </c>
      <c r="W226" s="4">
        <f>'D6 Gallon Forecast'!W226*AVERAGE('D6 RIN Forecast'!$AL$14:$AP$14)</f>
        <v>0</v>
      </c>
      <c r="X226" s="4">
        <f>'D6 Gallon Forecast'!X226*AVERAGE('D6 RIN Forecast'!$AL$14:$AP$14)</f>
        <v>0</v>
      </c>
      <c r="Y226" s="4">
        <f>'D6 Gallon Forecast'!Y226*AVERAGE('D6 RIN Forecast'!$AL$14:$AP$14)</f>
        <v>0</v>
      </c>
      <c r="Z226" s="4">
        <f>'D6 Gallon Forecast'!Z226*AVERAGE('D6 RIN Forecast'!$AL$14:$AP$14)</f>
        <v>0</v>
      </c>
    </row>
    <row r="227" spans="1:26">
      <c r="A227" s="2" t="s">
        <v>45</v>
      </c>
      <c r="B227" s="3">
        <f>'Monthly D6 RIN Data'!$L6</f>
        <v>0</v>
      </c>
      <c r="C227" s="3">
        <f>'Monthly D6 RIN Data'!$L18</f>
        <v>0</v>
      </c>
      <c r="D227" s="3">
        <f>'Monthly D6 RIN Data'!$L30</f>
        <v>0</v>
      </c>
      <c r="E227" s="3">
        <f>'Monthly D6 RIN Data'!$L42</f>
        <v>488045</v>
      </c>
      <c r="F227" s="3">
        <f>'Monthly D6 RIN Data'!$L54</f>
        <v>22253327</v>
      </c>
      <c r="G227" s="3">
        <f>'Monthly D6 RIN Data'!$L66</f>
        <v>30233567</v>
      </c>
      <c r="H227" s="3">
        <f>'Monthly D6 RIN Data'!$L78</f>
        <v>23448088</v>
      </c>
      <c r="I227" s="3">
        <f>'Monthly D6 RIN Data'!$L90</f>
        <v>24244605</v>
      </c>
      <c r="J227" s="3">
        <f>'Monthly D6 RIN Data'!$L102</f>
        <v>18875866</v>
      </c>
      <c r="K227" s="3">
        <f>'Monthly D6 RIN Data'!$L114</f>
        <v>23287377</v>
      </c>
      <c r="L227" s="3">
        <f>'Monthly D6 RIN Data'!$L126</f>
        <v>26680083</v>
      </c>
      <c r="M227" s="3">
        <f>'Monthly D6 RIN Data'!$L138</f>
        <v>14020086</v>
      </c>
      <c r="N227" s="3">
        <f>'Monthly D6 RIN Data'!$L150</f>
        <v>9784545</v>
      </c>
      <c r="O227" s="3">
        <f>'Monthly D6 RIN Data'!$L162</f>
        <v>13696092</v>
      </c>
      <c r="P227" s="3">
        <f>'Monthly D6 RIN Data'!$L174</f>
        <v>0</v>
      </c>
      <c r="Q227" s="3">
        <f>'Monthly D6 RIN Data'!$L186</f>
        <v>0</v>
      </c>
      <c r="R227" s="4">
        <f>'D6 Gallon Forecast'!R227*AVERAGE('D6 RIN Forecast'!$AL$14:$AP$14)</f>
        <v>0</v>
      </c>
      <c r="S227" s="4">
        <f>'D6 Gallon Forecast'!S227*AVERAGE('D6 RIN Forecast'!$AL$14:$AP$14)</f>
        <v>0</v>
      </c>
      <c r="T227" s="4">
        <f>'D6 Gallon Forecast'!T227*AVERAGE('D6 RIN Forecast'!$AL$14:$AP$14)</f>
        <v>0</v>
      </c>
      <c r="U227" s="4">
        <f>'D6 Gallon Forecast'!U227*AVERAGE('D6 RIN Forecast'!$AL$14:$AP$14)</f>
        <v>0</v>
      </c>
      <c r="V227" s="4">
        <f>'D6 Gallon Forecast'!V227*AVERAGE('D6 RIN Forecast'!$AL$14:$AP$14)</f>
        <v>0</v>
      </c>
      <c r="W227" s="4">
        <f>'D6 Gallon Forecast'!W227*AVERAGE('D6 RIN Forecast'!$AL$14:$AP$14)</f>
        <v>0</v>
      </c>
      <c r="X227" s="4">
        <f>'D6 Gallon Forecast'!X227*AVERAGE('D6 RIN Forecast'!$AL$14:$AP$14)</f>
        <v>0</v>
      </c>
      <c r="Y227" s="4">
        <f>'D6 Gallon Forecast'!Y227*AVERAGE('D6 RIN Forecast'!$AL$14:$AP$14)</f>
        <v>0</v>
      </c>
      <c r="Z227" s="4">
        <f>'D6 Gallon Forecast'!Z227*AVERAGE('D6 RIN Forecast'!$AL$14:$AP$14)</f>
        <v>0</v>
      </c>
    </row>
    <row r="228" spans="1:26">
      <c r="A228" s="2" t="s">
        <v>46</v>
      </c>
      <c r="B228" s="3">
        <f>'Monthly D6 RIN Data'!$L7</f>
        <v>0</v>
      </c>
      <c r="C228" s="3">
        <f>'Monthly D6 RIN Data'!$L19</f>
        <v>0</v>
      </c>
      <c r="D228" s="3">
        <f>'Monthly D6 RIN Data'!$L31</f>
        <v>0</v>
      </c>
      <c r="E228" s="3">
        <f>'Monthly D6 RIN Data'!$L43</f>
        <v>2093</v>
      </c>
      <c r="F228" s="3">
        <f>'Monthly D6 RIN Data'!$L55</f>
        <v>27566581</v>
      </c>
      <c r="G228" s="3">
        <f>'Monthly D6 RIN Data'!$L67</f>
        <v>28404398</v>
      </c>
      <c r="H228" s="3">
        <f>'Monthly D6 RIN Data'!$L79</f>
        <v>27515784</v>
      </c>
      <c r="I228" s="3">
        <f>'Monthly D6 RIN Data'!$L91</f>
        <v>19065575</v>
      </c>
      <c r="J228" s="3">
        <f>'Monthly D6 RIN Data'!$L103</f>
        <v>22632516</v>
      </c>
      <c r="K228" s="3">
        <f>'Monthly D6 RIN Data'!$L115</f>
        <v>18950145</v>
      </c>
      <c r="L228" s="3">
        <f>'Monthly D6 RIN Data'!$L127</f>
        <v>16268134</v>
      </c>
      <c r="M228" s="3">
        <f>'Monthly D6 RIN Data'!$L139</f>
        <v>14115637</v>
      </c>
      <c r="N228" s="3">
        <f>'Monthly D6 RIN Data'!$L151</f>
        <v>8832621</v>
      </c>
      <c r="O228" s="3">
        <f>'Monthly D6 RIN Data'!$L163</f>
        <v>16671195</v>
      </c>
      <c r="P228" s="3">
        <f>'Monthly D6 RIN Data'!$L175</f>
        <v>0</v>
      </c>
      <c r="Q228" s="4">
        <f>'D6 Gallon Forecast'!Q228*AVERAGE('D6 RIN Forecast'!$AL$14:$AP$14)</f>
        <v>0</v>
      </c>
      <c r="R228" s="4">
        <f>'D6 Gallon Forecast'!R228*AVERAGE('D6 RIN Forecast'!$AL$14:$AP$14)</f>
        <v>0</v>
      </c>
      <c r="S228" s="4">
        <f>'D6 Gallon Forecast'!S228*AVERAGE('D6 RIN Forecast'!$AL$14:$AP$14)</f>
        <v>0</v>
      </c>
      <c r="T228" s="4">
        <f>'D6 Gallon Forecast'!T228*AVERAGE('D6 RIN Forecast'!$AL$14:$AP$14)</f>
        <v>0</v>
      </c>
      <c r="U228" s="4">
        <f>'D6 Gallon Forecast'!U228*AVERAGE('D6 RIN Forecast'!$AL$14:$AP$14)</f>
        <v>0</v>
      </c>
      <c r="V228" s="4">
        <f>'D6 Gallon Forecast'!V228*AVERAGE('D6 RIN Forecast'!$AL$14:$AP$14)</f>
        <v>0</v>
      </c>
      <c r="W228" s="4">
        <f>'D6 Gallon Forecast'!W228*AVERAGE('D6 RIN Forecast'!$AL$14:$AP$14)</f>
        <v>0</v>
      </c>
      <c r="X228" s="4">
        <f>'D6 Gallon Forecast'!X228*AVERAGE('D6 RIN Forecast'!$AL$14:$AP$14)</f>
        <v>0</v>
      </c>
      <c r="Y228" s="4">
        <f>'D6 Gallon Forecast'!Y228*AVERAGE('D6 RIN Forecast'!$AL$14:$AP$14)</f>
        <v>0</v>
      </c>
      <c r="Z228" s="4">
        <f>'D6 Gallon Forecast'!Z228*AVERAGE('D6 RIN Forecast'!$AL$14:$AP$14)</f>
        <v>0</v>
      </c>
    </row>
    <row r="229" spans="1:26">
      <c r="A229" s="2" t="s">
        <v>47</v>
      </c>
      <c r="B229" s="3">
        <f>'Monthly D6 RIN Data'!$L8</f>
        <v>0</v>
      </c>
      <c r="C229" s="3">
        <f>'Monthly D6 RIN Data'!$L20</f>
        <v>0</v>
      </c>
      <c r="D229" s="3">
        <f>'Monthly D6 RIN Data'!$L32</f>
        <v>0</v>
      </c>
      <c r="E229" s="3">
        <f>'Monthly D6 RIN Data'!$L44</f>
        <v>22369009</v>
      </c>
      <c r="F229" s="3">
        <f>'Monthly D6 RIN Data'!$L56</f>
        <v>17020152</v>
      </c>
      <c r="G229" s="3">
        <f>'Monthly D6 RIN Data'!$L68</f>
        <v>19287594</v>
      </c>
      <c r="H229" s="3">
        <f>'Monthly D6 RIN Data'!$L80</f>
        <v>27027742</v>
      </c>
      <c r="I229" s="3">
        <f>'Monthly D6 RIN Data'!$L92</f>
        <v>16971245</v>
      </c>
      <c r="J229" s="3">
        <f>'Monthly D6 RIN Data'!$L104</f>
        <v>12892429</v>
      </c>
      <c r="K229" s="3">
        <f>'Monthly D6 RIN Data'!$L116</f>
        <v>12031811</v>
      </c>
      <c r="L229" s="3">
        <f>'Monthly D6 RIN Data'!$L128</f>
        <v>5710944</v>
      </c>
      <c r="M229" s="3">
        <f>'Monthly D6 RIN Data'!$L140</f>
        <v>12955798</v>
      </c>
      <c r="N229" s="3">
        <f>'Monthly D6 RIN Data'!$L152</f>
        <v>10722178</v>
      </c>
      <c r="O229" s="3">
        <f>'Monthly D6 RIN Data'!$L164</f>
        <v>23050598</v>
      </c>
      <c r="P229" s="3">
        <f>'Monthly D6 RIN Data'!$L176</f>
        <v>0</v>
      </c>
      <c r="Q229" s="4">
        <f>'D6 Gallon Forecast'!Q229*AVERAGE('D6 RIN Forecast'!$AL$14:$AP$14)</f>
        <v>0</v>
      </c>
      <c r="R229" s="4">
        <f>'D6 Gallon Forecast'!R229*AVERAGE('D6 RIN Forecast'!$AL$14:$AP$14)</f>
        <v>0</v>
      </c>
      <c r="S229" s="4">
        <f>'D6 Gallon Forecast'!S229*AVERAGE('D6 RIN Forecast'!$AL$14:$AP$14)</f>
        <v>0</v>
      </c>
      <c r="T229" s="4">
        <f>'D6 Gallon Forecast'!T229*AVERAGE('D6 RIN Forecast'!$AL$14:$AP$14)</f>
        <v>0</v>
      </c>
      <c r="U229" s="4">
        <f>'D6 Gallon Forecast'!U229*AVERAGE('D6 RIN Forecast'!$AL$14:$AP$14)</f>
        <v>0</v>
      </c>
      <c r="V229" s="4">
        <f>'D6 Gallon Forecast'!V229*AVERAGE('D6 RIN Forecast'!$AL$14:$AP$14)</f>
        <v>0</v>
      </c>
      <c r="W229" s="4">
        <f>'D6 Gallon Forecast'!W229*AVERAGE('D6 RIN Forecast'!$AL$14:$AP$14)</f>
        <v>0</v>
      </c>
      <c r="X229" s="4">
        <f>'D6 Gallon Forecast'!X229*AVERAGE('D6 RIN Forecast'!$AL$14:$AP$14)</f>
        <v>0</v>
      </c>
      <c r="Y229" s="4">
        <f>'D6 Gallon Forecast'!Y229*AVERAGE('D6 RIN Forecast'!$AL$14:$AP$14)</f>
        <v>0</v>
      </c>
      <c r="Z229" s="4">
        <f>'D6 Gallon Forecast'!Z229*AVERAGE('D6 RIN Forecast'!$AL$14:$AP$14)</f>
        <v>0</v>
      </c>
    </row>
    <row r="230" spans="1:26">
      <c r="A230" s="2" t="s">
        <v>48</v>
      </c>
      <c r="B230" s="3">
        <f>'Monthly D6 RIN Data'!$L9</f>
        <v>0</v>
      </c>
      <c r="C230" s="3">
        <f>'Monthly D6 RIN Data'!$L21</f>
        <v>0</v>
      </c>
      <c r="D230" s="3">
        <f>'Monthly D6 RIN Data'!$L33</f>
        <v>0</v>
      </c>
      <c r="E230" s="3">
        <f>'Monthly D6 RIN Data'!$L45</f>
        <v>19169158</v>
      </c>
      <c r="F230" s="3">
        <f>'Monthly D6 RIN Data'!$L57</f>
        <v>20075321</v>
      </c>
      <c r="G230" s="3">
        <f>'Monthly D6 RIN Data'!$L69</f>
        <v>21260020</v>
      </c>
      <c r="H230" s="3">
        <f>'Monthly D6 RIN Data'!$L81</f>
        <v>14174198</v>
      </c>
      <c r="I230" s="3">
        <f>'Monthly D6 RIN Data'!$L93</f>
        <v>18920538</v>
      </c>
      <c r="J230" s="3">
        <f>'Monthly D6 RIN Data'!$L105</f>
        <v>9684035</v>
      </c>
      <c r="K230" s="3">
        <f>'Monthly D6 RIN Data'!$L117</f>
        <v>11972436</v>
      </c>
      <c r="L230" s="3">
        <f>'Monthly D6 RIN Data'!$L129</f>
        <v>8190807</v>
      </c>
      <c r="M230" s="3">
        <f>'Monthly D6 RIN Data'!$L141</f>
        <v>15528134</v>
      </c>
      <c r="N230" s="3">
        <f>'Monthly D6 RIN Data'!$L153</f>
        <v>5466256</v>
      </c>
      <c r="O230" s="3">
        <f>'Monthly D6 RIN Data'!$L165</f>
        <v>12087264</v>
      </c>
      <c r="P230" s="3">
        <f>'Monthly D6 RIN Data'!$L177</f>
        <v>0</v>
      </c>
      <c r="Q230" s="4">
        <f>'D6 Gallon Forecast'!Q230*AVERAGE('D6 RIN Forecast'!$AL$14:$AP$14)</f>
        <v>0</v>
      </c>
      <c r="R230" s="4">
        <f>'D6 Gallon Forecast'!R230*AVERAGE('D6 RIN Forecast'!$AL$14:$AP$14)</f>
        <v>0</v>
      </c>
      <c r="S230" s="4">
        <f>'D6 Gallon Forecast'!S230*AVERAGE('D6 RIN Forecast'!$AL$14:$AP$14)</f>
        <v>0</v>
      </c>
      <c r="T230" s="4">
        <f>'D6 Gallon Forecast'!T230*AVERAGE('D6 RIN Forecast'!$AL$14:$AP$14)</f>
        <v>0</v>
      </c>
      <c r="U230" s="4">
        <f>'D6 Gallon Forecast'!U230*AVERAGE('D6 RIN Forecast'!$AL$14:$AP$14)</f>
        <v>0</v>
      </c>
      <c r="V230" s="4">
        <f>'D6 Gallon Forecast'!V230*AVERAGE('D6 RIN Forecast'!$AL$14:$AP$14)</f>
        <v>0</v>
      </c>
      <c r="W230" s="4">
        <f>'D6 Gallon Forecast'!W230*AVERAGE('D6 RIN Forecast'!$AL$14:$AP$14)</f>
        <v>0</v>
      </c>
      <c r="X230" s="4">
        <f>'D6 Gallon Forecast'!X230*AVERAGE('D6 RIN Forecast'!$AL$14:$AP$14)</f>
        <v>0</v>
      </c>
      <c r="Y230" s="4">
        <f>'D6 Gallon Forecast'!Y230*AVERAGE('D6 RIN Forecast'!$AL$14:$AP$14)</f>
        <v>0</v>
      </c>
      <c r="Z230" s="4">
        <f>'D6 Gallon Forecast'!Z230*AVERAGE('D6 RIN Forecast'!$AL$14:$AP$14)</f>
        <v>0</v>
      </c>
    </row>
    <row r="231" spans="1:26">
      <c r="A231" s="2" t="s">
        <v>49</v>
      </c>
      <c r="B231" s="3">
        <f>'Monthly D6 RIN Data'!$L10</f>
        <v>0</v>
      </c>
      <c r="C231" s="3">
        <f>'Monthly D6 RIN Data'!$L22</f>
        <v>0</v>
      </c>
      <c r="D231" s="3">
        <f>'Monthly D6 RIN Data'!$L34</f>
        <v>0</v>
      </c>
      <c r="E231" s="3">
        <f>'Monthly D6 RIN Data'!$L46</f>
        <v>28382385</v>
      </c>
      <c r="F231" s="3">
        <f>'Monthly D6 RIN Data'!$L58</f>
        <v>22692446</v>
      </c>
      <c r="G231" s="3">
        <f>'Monthly D6 RIN Data'!$L70</f>
        <v>31975870</v>
      </c>
      <c r="H231" s="3">
        <f>'Monthly D6 RIN Data'!$L82</f>
        <v>18019937</v>
      </c>
      <c r="I231" s="3">
        <f>'Monthly D6 RIN Data'!$L94</f>
        <v>20756297</v>
      </c>
      <c r="J231" s="3">
        <f>'Monthly D6 RIN Data'!$L106</f>
        <v>16428068</v>
      </c>
      <c r="K231" s="3">
        <f>'Monthly D6 RIN Data'!$L118</f>
        <v>14467327</v>
      </c>
      <c r="L231" s="3">
        <f>'Monthly D6 RIN Data'!$L130</f>
        <v>831504</v>
      </c>
      <c r="M231" s="3">
        <f>'Monthly D6 RIN Data'!$L142</f>
        <v>505684</v>
      </c>
      <c r="N231" s="3">
        <f>'Monthly D6 RIN Data'!$L154</f>
        <v>6236673</v>
      </c>
      <c r="O231" s="3">
        <f>'Monthly D6 RIN Data'!$L166</f>
        <v>9222757</v>
      </c>
      <c r="P231" s="3">
        <f>'Monthly D6 RIN Data'!$L178</f>
        <v>0</v>
      </c>
      <c r="Q231" s="4">
        <f>'D6 Gallon Forecast'!Q231*AVERAGE('D6 RIN Forecast'!$AL$14:$AP$14)</f>
        <v>0</v>
      </c>
      <c r="R231" s="4">
        <f>'D6 Gallon Forecast'!R231*AVERAGE('D6 RIN Forecast'!$AL$14:$AP$14)</f>
        <v>0</v>
      </c>
      <c r="S231" s="4">
        <f>'D6 Gallon Forecast'!S231*AVERAGE('D6 RIN Forecast'!$AL$14:$AP$14)</f>
        <v>0</v>
      </c>
      <c r="T231" s="4">
        <f>'D6 Gallon Forecast'!T231*AVERAGE('D6 RIN Forecast'!$AL$14:$AP$14)</f>
        <v>0</v>
      </c>
      <c r="U231" s="4">
        <f>'D6 Gallon Forecast'!U231*AVERAGE('D6 RIN Forecast'!$AL$14:$AP$14)</f>
        <v>0</v>
      </c>
      <c r="V231" s="4">
        <f>'D6 Gallon Forecast'!V231*AVERAGE('D6 RIN Forecast'!$AL$14:$AP$14)</f>
        <v>0</v>
      </c>
      <c r="W231" s="4">
        <f>'D6 Gallon Forecast'!W231*AVERAGE('D6 RIN Forecast'!$AL$14:$AP$14)</f>
        <v>0</v>
      </c>
      <c r="X231" s="4">
        <f>'D6 Gallon Forecast'!X231*AVERAGE('D6 RIN Forecast'!$AL$14:$AP$14)</f>
        <v>0</v>
      </c>
      <c r="Y231" s="4">
        <f>'D6 Gallon Forecast'!Y231*AVERAGE('D6 RIN Forecast'!$AL$14:$AP$14)</f>
        <v>0</v>
      </c>
      <c r="Z231" s="4">
        <f>'D6 Gallon Forecast'!Z231*AVERAGE('D6 RIN Forecast'!$AL$14:$AP$14)</f>
        <v>0</v>
      </c>
    </row>
    <row r="232" spans="1:26">
      <c r="A232" s="2" t="s">
        <v>50</v>
      </c>
      <c r="B232" s="3">
        <f>'Monthly D6 RIN Data'!$L11</f>
        <v>0</v>
      </c>
      <c r="C232" s="3">
        <f>'Monthly D6 RIN Data'!$L23</f>
        <v>0</v>
      </c>
      <c r="D232" s="3">
        <f>'Monthly D6 RIN Data'!$L35</f>
        <v>0</v>
      </c>
      <c r="E232" s="3">
        <f>'Monthly D6 RIN Data'!$L47</f>
        <v>22630462</v>
      </c>
      <c r="F232" s="3">
        <f>'Monthly D6 RIN Data'!$L59</f>
        <v>34072937</v>
      </c>
      <c r="G232" s="3">
        <f>'Monthly D6 RIN Data'!$L71</f>
        <v>25820890</v>
      </c>
      <c r="H232" s="3">
        <f>'Monthly D6 RIN Data'!$L83</f>
        <v>26647330</v>
      </c>
      <c r="I232" s="3">
        <f>'Monthly D6 RIN Data'!$L95</f>
        <v>28696772</v>
      </c>
      <c r="J232" s="3">
        <f>'Monthly D6 RIN Data'!$L107</f>
        <v>14321447</v>
      </c>
      <c r="K232" s="3">
        <f>'Monthly D6 RIN Data'!$L119</f>
        <v>11907318</v>
      </c>
      <c r="L232" s="3">
        <f>'Monthly D6 RIN Data'!$L131</f>
        <v>1137740</v>
      </c>
      <c r="M232" s="3">
        <f>'Monthly D6 RIN Data'!$L143</f>
        <v>4517556</v>
      </c>
      <c r="N232" s="3">
        <f>'Monthly D6 RIN Data'!$L155</f>
        <v>3339016</v>
      </c>
      <c r="O232" s="3">
        <f>'Monthly D6 RIN Data'!$L167</f>
        <v>47892</v>
      </c>
      <c r="P232" s="3">
        <f>'Monthly D6 RIN Data'!$L179</f>
        <v>0</v>
      </c>
      <c r="Q232" s="4">
        <f>'D6 Gallon Forecast'!Q232*AVERAGE('D6 RIN Forecast'!$AL$14:$AP$14)</f>
        <v>0</v>
      </c>
      <c r="R232" s="4">
        <f>'D6 Gallon Forecast'!R232*AVERAGE('D6 RIN Forecast'!$AL$14:$AP$14)</f>
        <v>0</v>
      </c>
      <c r="S232" s="4">
        <f>'D6 Gallon Forecast'!S232*AVERAGE('D6 RIN Forecast'!$AL$14:$AP$14)</f>
        <v>0</v>
      </c>
      <c r="T232" s="4">
        <f>'D6 Gallon Forecast'!T232*AVERAGE('D6 RIN Forecast'!$AL$14:$AP$14)</f>
        <v>0</v>
      </c>
      <c r="U232" s="4">
        <f>'D6 Gallon Forecast'!U232*AVERAGE('D6 RIN Forecast'!$AL$14:$AP$14)</f>
        <v>0</v>
      </c>
      <c r="V232" s="4">
        <f>'D6 Gallon Forecast'!V232*AVERAGE('D6 RIN Forecast'!$AL$14:$AP$14)</f>
        <v>0</v>
      </c>
      <c r="W232" s="4">
        <f>'D6 Gallon Forecast'!W232*AVERAGE('D6 RIN Forecast'!$AL$14:$AP$14)</f>
        <v>0</v>
      </c>
      <c r="X232" s="4">
        <f>'D6 Gallon Forecast'!X232*AVERAGE('D6 RIN Forecast'!$AL$14:$AP$14)</f>
        <v>0</v>
      </c>
      <c r="Y232" s="4">
        <f>'D6 Gallon Forecast'!Y232*AVERAGE('D6 RIN Forecast'!$AL$14:$AP$14)</f>
        <v>0</v>
      </c>
      <c r="Z232" s="4">
        <f>'D6 Gallon Forecast'!Z232*AVERAGE('D6 RIN Forecast'!$AL$14:$AP$14)</f>
        <v>0</v>
      </c>
    </row>
    <row r="233" spans="1:26">
      <c r="A233" s="2" t="s">
        <v>51</v>
      </c>
      <c r="B233" s="3">
        <f>'Monthly D6 RIN Data'!$L12</f>
        <v>0</v>
      </c>
      <c r="C233" s="3">
        <f>'Monthly D6 RIN Data'!$L24</f>
        <v>0</v>
      </c>
      <c r="D233" s="3">
        <f>'Monthly D6 RIN Data'!$L36</f>
        <v>0</v>
      </c>
      <c r="E233" s="3">
        <f>'Monthly D6 RIN Data'!$L48</f>
        <v>29966704</v>
      </c>
      <c r="F233" s="3">
        <f>'Monthly D6 RIN Data'!$L60</f>
        <v>0</v>
      </c>
      <c r="G233" s="3">
        <f>'Monthly D6 RIN Data'!$L72</f>
        <v>32780571</v>
      </c>
      <c r="H233" s="3">
        <f>'Monthly D6 RIN Data'!$L84</f>
        <v>17911537</v>
      </c>
      <c r="I233" s="3">
        <f>'Monthly D6 RIN Data'!$L96</f>
        <v>20172685</v>
      </c>
      <c r="J233" s="3">
        <f>'Monthly D6 RIN Data'!$L108</f>
        <v>9966736</v>
      </c>
      <c r="K233" s="3">
        <f>'Monthly D6 RIN Data'!$L120</f>
        <v>8167871</v>
      </c>
      <c r="L233" s="3">
        <f>'Monthly D6 RIN Data'!$L132</f>
        <v>4502512</v>
      </c>
      <c r="M233" s="3">
        <f>'Monthly D6 RIN Data'!$L144</f>
        <v>12198324</v>
      </c>
      <c r="N233" s="3">
        <f>'Monthly D6 RIN Data'!$L156</f>
        <v>13139069</v>
      </c>
      <c r="O233" s="3">
        <f>'Monthly D6 RIN Data'!$L168</f>
        <v>693816</v>
      </c>
      <c r="P233" s="3">
        <f>'Monthly D6 RIN Data'!$L180</f>
        <v>0</v>
      </c>
      <c r="Q233" s="4">
        <f>'D6 Gallon Forecast'!Q233*AVERAGE('D6 RIN Forecast'!$AL$14:$AP$14)</f>
        <v>0</v>
      </c>
      <c r="R233" s="4">
        <f>'D6 Gallon Forecast'!R233*AVERAGE('D6 RIN Forecast'!$AL$14:$AP$14)</f>
        <v>0</v>
      </c>
      <c r="S233" s="4">
        <f>'D6 Gallon Forecast'!S233*AVERAGE('D6 RIN Forecast'!$AL$14:$AP$14)</f>
        <v>0</v>
      </c>
      <c r="T233" s="4">
        <f>'D6 Gallon Forecast'!T233*AVERAGE('D6 RIN Forecast'!$AL$14:$AP$14)</f>
        <v>0</v>
      </c>
      <c r="U233" s="4">
        <f>'D6 Gallon Forecast'!U233*AVERAGE('D6 RIN Forecast'!$AL$14:$AP$14)</f>
        <v>0</v>
      </c>
      <c r="V233" s="4">
        <f>'D6 Gallon Forecast'!V233*AVERAGE('D6 RIN Forecast'!$AL$14:$AP$14)</f>
        <v>0</v>
      </c>
      <c r="W233" s="4">
        <f>'D6 Gallon Forecast'!W233*AVERAGE('D6 RIN Forecast'!$AL$14:$AP$14)</f>
        <v>0</v>
      </c>
      <c r="X233" s="4">
        <f>'D6 Gallon Forecast'!X233*AVERAGE('D6 RIN Forecast'!$AL$14:$AP$14)</f>
        <v>0</v>
      </c>
      <c r="Y233" s="4">
        <f>'D6 Gallon Forecast'!Y233*AVERAGE('D6 RIN Forecast'!$AL$14:$AP$14)</f>
        <v>0</v>
      </c>
      <c r="Z233" s="4">
        <f>'D6 Gallon Forecast'!Z233*AVERAGE('D6 RIN Forecast'!$AL$14:$AP$14)</f>
        <v>0</v>
      </c>
    </row>
    <row r="234" spans="1:26">
      <c r="A234" s="2" t="s">
        <v>52</v>
      </c>
      <c r="B234" s="3">
        <f>'Monthly D6 RIN Data'!$L13</f>
        <v>0</v>
      </c>
      <c r="C234" s="3">
        <f>'Monthly D6 RIN Data'!$L25</f>
        <v>0</v>
      </c>
      <c r="D234" s="3">
        <f>'Monthly D6 RIN Data'!$L37</f>
        <v>0</v>
      </c>
      <c r="E234" s="3">
        <f>'Monthly D6 RIN Data'!$L49</f>
        <v>25227953</v>
      </c>
      <c r="F234" s="3">
        <f>'Monthly D6 RIN Data'!$L61</f>
        <v>797643</v>
      </c>
      <c r="G234" s="3">
        <f>'Monthly D6 RIN Data'!$L73</f>
        <v>35178094</v>
      </c>
      <c r="H234" s="3">
        <f>'Monthly D6 RIN Data'!$L85</f>
        <v>30744027</v>
      </c>
      <c r="I234" s="3">
        <f>'Monthly D6 RIN Data'!$L97</f>
        <v>27238068</v>
      </c>
      <c r="J234" s="3">
        <f>'Monthly D6 RIN Data'!$L109</f>
        <v>0</v>
      </c>
      <c r="K234" s="3">
        <f>'Monthly D6 RIN Data'!$L121</f>
        <v>18275849</v>
      </c>
      <c r="L234" s="3">
        <f>'Monthly D6 RIN Data'!$L133</f>
        <v>15257933</v>
      </c>
      <c r="M234" s="3">
        <f>'Monthly D6 RIN Data'!$L145</f>
        <v>18198451</v>
      </c>
      <c r="N234" s="3">
        <f>'Monthly D6 RIN Data'!$L157</f>
        <v>22296878</v>
      </c>
      <c r="O234" s="3">
        <f>'Monthly D6 RIN Data'!$L169</f>
        <v>0</v>
      </c>
      <c r="P234" s="3">
        <f>'Monthly D6 RIN Data'!$L181</f>
        <v>0</v>
      </c>
      <c r="Q234" s="4">
        <f>'D6 Gallon Forecast'!Q234*AVERAGE('D6 RIN Forecast'!$AL$14:$AP$14)</f>
        <v>0</v>
      </c>
      <c r="R234" s="4">
        <f>'D6 Gallon Forecast'!R234*AVERAGE('D6 RIN Forecast'!$AL$14:$AP$14)</f>
        <v>0</v>
      </c>
      <c r="S234" s="4">
        <f>'D6 Gallon Forecast'!S234*AVERAGE('D6 RIN Forecast'!$AL$14:$AP$14)</f>
        <v>0</v>
      </c>
      <c r="T234" s="4">
        <f>'D6 Gallon Forecast'!T234*AVERAGE('D6 RIN Forecast'!$AL$14:$AP$14)</f>
        <v>0</v>
      </c>
      <c r="U234" s="4">
        <f>'D6 Gallon Forecast'!U234*AVERAGE('D6 RIN Forecast'!$AL$14:$AP$14)</f>
        <v>0</v>
      </c>
      <c r="V234" s="4">
        <f>'D6 Gallon Forecast'!V234*AVERAGE('D6 RIN Forecast'!$AL$14:$AP$14)</f>
        <v>0</v>
      </c>
      <c r="W234" s="4">
        <f>'D6 Gallon Forecast'!W234*AVERAGE('D6 RIN Forecast'!$AL$14:$AP$14)</f>
        <v>0</v>
      </c>
      <c r="X234" s="4">
        <f>'D6 Gallon Forecast'!X234*AVERAGE('D6 RIN Forecast'!$AL$14:$AP$14)</f>
        <v>0</v>
      </c>
      <c r="Y234" s="4">
        <f>'D6 Gallon Forecast'!Y234*AVERAGE('D6 RIN Forecast'!$AL$14:$AP$14)</f>
        <v>0</v>
      </c>
      <c r="Z234" s="4">
        <f>'D6 Gallon Forecast'!Z234*AVERAGE('D6 RIN Forecast'!$AL$14:$AP$14)</f>
        <v>0</v>
      </c>
    </row>
    <row r="235" spans="1:26">
      <c r="A235" s="2" t="s">
        <v>53</v>
      </c>
      <c r="B235" s="3">
        <f>'Monthly D6 RIN Data'!$L14</f>
        <v>0</v>
      </c>
      <c r="C235" s="3">
        <f>'Monthly D6 RIN Data'!$L26</f>
        <v>0</v>
      </c>
      <c r="D235" s="3">
        <f>'Monthly D6 RIN Data'!$L38</f>
        <v>0</v>
      </c>
      <c r="E235" s="3">
        <f>'Monthly D6 RIN Data'!$L50</f>
        <v>22596358</v>
      </c>
      <c r="F235" s="3">
        <f>'Monthly D6 RIN Data'!$L62</f>
        <v>32767677</v>
      </c>
      <c r="G235" s="3">
        <f>'Monthly D6 RIN Data'!$L74</f>
        <v>23787312</v>
      </c>
      <c r="H235" s="3">
        <f>'Monthly D6 RIN Data'!$L86</f>
        <v>23648695</v>
      </c>
      <c r="I235" s="3">
        <f>'Monthly D6 RIN Data'!$L98</f>
        <v>7612411</v>
      </c>
      <c r="J235" s="3">
        <f>'Monthly D6 RIN Data'!$L110</f>
        <v>1156996</v>
      </c>
      <c r="K235" s="3">
        <f>'Monthly D6 RIN Data'!$L122</f>
        <v>22283673</v>
      </c>
      <c r="L235" s="3">
        <f>'Monthly D6 RIN Data'!$L134</f>
        <v>6354400</v>
      </c>
      <c r="M235" s="3">
        <f>'Monthly D6 RIN Data'!$L146</f>
        <v>16179027</v>
      </c>
      <c r="N235" s="3">
        <f>'Monthly D6 RIN Data'!$L158</f>
        <v>16742264</v>
      </c>
      <c r="O235" s="3">
        <f>'Monthly D6 RIN Data'!$L170</f>
        <v>0</v>
      </c>
      <c r="P235" s="3">
        <f>'Monthly D6 RIN Data'!$L182</f>
        <v>0</v>
      </c>
      <c r="Q235" s="4">
        <f>'D6 Gallon Forecast'!Q235*AVERAGE('D6 RIN Forecast'!$AL$14:$AP$14)</f>
        <v>0</v>
      </c>
      <c r="R235" s="4">
        <f>'D6 Gallon Forecast'!R235*AVERAGE('D6 RIN Forecast'!$AL$14:$AP$14)</f>
        <v>0</v>
      </c>
      <c r="S235" s="4">
        <f>'D6 Gallon Forecast'!S235*AVERAGE('D6 RIN Forecast'!$AL$14:$AP$14)</f>
        <v>0</v>
      </c>
      <c r="T235" s="4">
        <f>'D6 Gallon Forecast'!T235*AVERAGE('D6 RIN Forecast'!$AL$14:$AP$14)</f>
        <v>0</v>
      </c>
      <c r="U235" s="4">
        <f>'D6 Gallon Forecast'!U235*AVERAGE('D6 RIN Forecast'!$AL$14:$AP$14)</f>
        <v>0</v>
      </c>
      <c r="V235" s="4">
        <f>'D6 Gallon Forecast'!V235*AVERAGE('D6 RIN Forecast'!$AL$14:$AP$14)</f>
        <v>0</v>
      </c>
      <c r="W235" s="4">
        <f>'D6 Gallon Forecast'!W235*AVERAGE('D6 RIN Forecast'!$AL$14:$AP$14)</f>
        <v>0</v>
      </c>
      <c r="X235" s="4">
        <f>'D6 Gallon Forecast'!X235*AVERAGE('D6 RIN Forecast'!$AL$14:$AP$14)</f>
        <v>0</v>
      </c>
      <c r="Y235" s="4">
        <f>'D6 Gallon Forecast'!Y235*AVERAGE('D6 RIN Forecast'!$AL$14:$AP$14)</f>
        <v>0</v>
      </c>
      <c r="Z235" s="4">
        <f>'D6 Gallon Forecast'!Z235*AVERAGE('D6 RIN Forecast'!$AL$14:$AP$14)</f>
        <v>0</v>
      </c>
    </row>
    <row r="236" spans="1:26">
      <c r="A236" s="2" t="s">
        <v>54</v>
      </c>
      <c r="B236" s="3">
        <f>'Monthly D6 RIN Data'!$L15</f>
        <v>0</v>
      </c>
      <c r="C236" s="3">
        <f>'Monthly D6 RIN Data'!$L27</f>
        <v>0</v>
      </c>
      <c r="D236" s="3">
        <f>'Monthly D6 RIN Data'!$L39</f>
        <v>0</v>
      </c>
      <c r="E236" s="3">
        <f>'Monthly D6 RIN Data'!$L51</f>
        <v>25524922</v>
      </c>
      <c r="F236" s="3">
        <f>'Monthly D6 RIN Data'!$L63</f>
        <v>26735579</v>
      </c>
      <c r="G236" s="3">
        <f>'Monthly D6 RIN Data'!$L75</f>
        <v>28208124</v>
      </c>
      <c r="H236" s="3">
        <f>'Monthly D6 RIN Data'!$L87</f>
        <v>21328501</v>
      </c>
      <c r="I236" s="3">
        <f>'Monthly D6 RIN Data'!$L99</f>
        <v>19864062</v>
      </c>
      <c r="J236" s="3">
        <f>'Monthly D6 RIN Data'!$L111</f>
        <v>20583683</v>
      </c>
      <c r="K236" s="3">
        <f>'Monthly D6 RIN Data'!$L123</f>
        <v>16647020</v>
      </c>
      <c r="L236" s="3">
        <f>'Monthly D6 RIN Data'!$L135</f>
        <v>11034491</v>
      </c>
      <c r="M236" s="3">
        <f>'Monthly D6 RIN Data'!$L147</f>
        <v>7722965</v>
      </c>
      <c r="N236" s="3">
        <f>'Monthly D6 RIN Data'!$L159</f>
        <v>18566373</v>
      </c>
      <c r="O236" s="3">
        <f>'Monthly D6 RIN Data'!$L171</f>
        <v>0</v>
      </c>
      <c r="P236" s="3">
        <f>'Monthly D6 RIN Data'!$L183</f>
        <v>0</v>
      </c>
      <c r="Q236" s="4">
        <f>'D6 Gallon Forecast'!Q236*AVERAGE('D6 RIN Forecast'!$AL$14:$AP$14)</f>
        <v>0</v>
      </c>
      <c r="R236" s="4">
        <f>'D6 Gallon Forecast'!R236*AVERAGE('D6 RIN Forecast'!$AL$14:$AP$14)</f>
        <v>0</v>
      </c>
      <c r="S236" s="4">
        <f>'D6 Gallon Forecast'!S236*AVERAGE('D6 RIN Forecast'!$AL$14:$AP$14)</f>
        <v>0</v>
      </c>
      <c r="T236" s="4">
        <f>'D6 Gallon Forecast'!T236*AVERAGE('D6 RIN Forecast'!$AL$14:$AP$14)</f>
        <v>0</v>
      </c>
      <c r="U236" s="4">
        <f>'D6 Gallon Forecast'!U236*AVERAGE('D6 RIN Forecast'!$AL$14:$AP$14)</f>
        <v>0</v>
      </c>
      <c r="V236" s="4">
        <f>'D6 Gallon Forecast'!V236*AVERAGE('D6 RIN Forecast'!$AL$14:$AP$14)</f>
        <v>0</v>
      </c>
      <c r="W236" s="4">
        <f>'D6 Gallon Forecast'!W236*AVERAGE('D6 RIN Forecast'!$AL$14:$AP$14)</f>
        <v>0</v>
      </c>
      <c r="X236" s="4">
        <f>'D6 Gallon Forecast'!X236*AVERAGE('D6 RIN Forecast'!$AL$14:$AP$14)</f>
        <v>0</v>
      </c>
      <c r="Y236" s="4">
        <f>'D6 Gallon Forecast'!Y236*AVERAGE('D6 RIN Forecast'!$AL$14:$AP$14)</f>
        <v>0</v>
      </c>
      <c r="Z236" s="4">
        <f>'D6 Gallon Forecast'!Z236*AVERAGE('D6 RIN Forecast'!$AL$14:$AP$14)</f>
        <v>0</v>
      </c>
    </row>
    <row r="237" spans="1:26" ht="13.5" thickBot="1">
      <c r="A237" s="2" t="s">
        <v>29</v>
      </c>
      <c r="B237" s="3">
        <f t="shared" ref="B237:O237" si="67">SUM(B225:B236)</f>
        <v>0</v>
      </c>
      <c r="C237" s="3">
        <f t="shared" si="67"/>
        <v>0</v>
      </c>
      <c r="D237" s="3">
        <f t="shared" si="67"/>
        <v>0</v>
      </c>
      <c r="E237" s="3">
        <f t="shared" si="67"/>
        <v>196357089</v>
      </c>
      <c r="F237" s="3">
        <f t="shared" si="67"/>
        <v>257366277</v>
      </c>
      <c r="G237" s="3">
        <f t="shared" si="67"/>
        <v>340903411</v>
      </c>
      <c r="H237" s="3">
        <f t="shared" si="67"/>
        <v>281617019</v>
      </c>
      <c r="I237" s="3">
        <f t="shared" si="67"/>
        <v>244982236</v>
      </c>
      <c r="J237" s="3">
        <f t="shared" si="67"/>
        <v>181065012</v>
      </c>
      <c r="K237" s="3">
        <f t="shared" si="67"/>
        <v>197800871</v>
      </c>
      <c r="L237" s="3">
        <f t="shared" si="67"/>
        <v>129657171</v>
      </c>
      <c r="M237" s="3">
        <f t="shared" si="67"/>
        <v>134670577</v>
      </c>
      <c r="N237" s="3">
        <f t="shared" si="67"/>
        <v>127436021</v>
      </c>
      <c r="O237" s="3">
        <f t="shared" si="67"/>
        <v>101133009</v>
      </c>
      <c r="P237" s="3">
        <f t="shared" ref="P237:Z237" si="68">SUM(P225:P236)</f>
        <v>0</v>
      </c>
      <c r="Q237" s="4">
        <f t="shared" si="68"/>
        <v>0</v>
      </c>
      <c r="R237" s="4">
        <f t="shared" si="68"/>
        <v>0</v>
      </c>
      <c r="S237" s="4">
        <f t="shared" si="68"/>
        <v>0</v>
      </c>
      <c r="T237" s="4">
        <f t="shared" si="68"/>
        <v>0</v>
      </c>
      <c r="U237" s="4">
        <f t="shared" si="68"/>
        <v>0</v>
      </c>
      <c r="V237" s="4">
        <f t="shared" si="68"/>
        <v>0</v>
      </c>
      <c r="W237" s="4">
        <f t="shared" si="68"/>
        <v>0</v>
      </c>
      <c r="X237" s="4">
        <f t="shared" si="68"/>
        <v>0</v>
      </c>
      <c r="Y237" s="4">
        <f t="shared" si="68"/>
        <v>0</v>
      </c>
      <c r="Z237" s="4">
        <f t="shared" si="68"/>
        <v>0</v>
      </c>
    </row>
    <row r="238" spans="1:26">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c r="W238" s="114"/>
      <c r="X238" s="114"/>
      <c r="Y238" s="114"/>
      <c r="Z238" s="114"/>
    </row>
    <row r="239" spans="1:26" ht="16.5" thickBot="1">
      <c r="A239" s="109" t="s">
        <v>442</v>
      </c>
    </row>
    <row r="240" spans="1:26" ht="13.5" thickBot="1">
      <c r="A240" s="110"/>
      <c r="B240" s="111">
        <v>2010</v>
      </c>
      <c r="C240" s="111">
        <v>2011</v>
      </c>
      <c r="D240" s="111">
        <v>2012</v>
      </c>
      <c r="E240" s="111">
        <v>2013</v>
      </c>
      <c r="F240" s="111">
        <v>2014</v>
      </c>
      <c r="G240" s="111">
        <v>2015</v>
      </c>
      <c r="H240" s="111">
        <v>2016</v>
      </c>
      <c r="I240" s="111">
        <v>2017</v>
      </c>
      <c r="J240" s="111">
        <v>2018</v>
      </c>
      <c r="K240" s="111">
        <v>2019</v>
      </c>
      <c r="L240" s="111">
        <v>2020</v>
      </c>
      <c r="M240" s="111">
        <v>2021</v>
      </c>
      <c r="N240" s="111">
        <v>2022</v>
      </c>
      <c r="O240" s="111">
        <v>2023</v>
      </c>
      <c r="P240" s="111">
        <v>2024</v>
      </c>
      <c r="Q240" s="111">
        <v>2025</v>
      </c>
      <c r="R240" s="111">
        <v>2026</v>
      </c>
      <c r="S240" s="111">
        <v>2027</v>
      </c>
      <c r="T240" s="111">
        <v>2028</v>
      </c>
      <c r="U240" s="111">
        <v>2029</v>
      </c>
      <c r="V240" s="111">
        <v>2030</v>
      </c>
      <c r="W240" s="111">
        <v>2031</v>
      </c>
      <c r="X240" s="111">
        <v>2032</v>
      </c>
      <c r="Y240" s="111">
        <v>2033</v>
      </c>
      <c r="Z240" s="111">
        <v>2034</v>
      </c>
    </row>
    <row r="241" spans="1:26">
      <c r="A241" s="2" t="s">
        <v>43</v>
      </c>
      <c r="B241" s="3">
        <f>'Monthly D6 RIN Data'!$M4</f>
        <v>0</v>
      </c>
      <c r="C241" s="3">
        <f>'Monthly D6 RIN Data'!$M16</f>
        <v>0</v>
      </c>
      <c r="D241" s="3">
        <f>'Monthly D6 RIN Data'!$M28</f>
        <v>0</v>
      </c>
      <c r="E241" s="3">
        <f>'Monthly D6 RIN Data'!$M40</f>
        <v>0</v>
      </c>
      <c r="F241" s="3">
        <f>'Monthly D6 RIN Data'!$M52</f>
        <v>0</v>
      </c>
      <c r="G241" s="3">
        <f>'Monthly D6 RIN Data'!$M64</f>
        <v>0</v>
      </c>
      <c r="H241" s="3">
        <f>'Monthly D6 RIN Data'!$M76</f>
        <v>0</v>
      </c>
      <c r="I241" s="3">
        <f>'Monthly D6 RIN Data'!$M88</f>
        <v>0</v>
      </c>
      <c r="J241" s="3">
        <f>'Monthly D6 RIN Data'!$M100</f>
        <v>0</v>
      </c>
      <c r="K241" s="3">
        <f>'Monthly D6 RIN Data'!$M112</f>
        <v>0</v>
      </c>
      <c r="L241" s="3">
        <f>'Monthly D6 RIN Data'!$M124</f>
        <v>0</v>
      </c>
      <c r="M241" s="3">
        <f>'Monthly D6 RIN Data'!$M136</f>
        <v>0</v>
      </c>
      <c r="N241" s="3">
        <f>'Monthly D6 RIN Data'!$M148</f>
        <v>0</v>
      </c>
      <c r="O241" s="3">
        <f>'Monthly D6 RIN Data'!$M160</f>
        <v>0</v>
      </c>
      <c r="P241" s="3">
        <f>'Monthly D6 RIN Data'!$M172</f>
        <v>0</v>
      </c>
      <c r="Q241" s="3">
        <f>'Monthly D6 RIN Data'!$M184</f>
        <v>0</v>
      </c>
      <c r="R241" s="4">
        <f>'D6 Gallon Forecast'!R241</f>
        <v>0</v>
      </c>
      <c r="S241" s="4">
        <f>'D6 Gallon Forecast'!S241</f>
        <v>0</v>
      </c>
      <c r="T241" s="4">
        <f>'D6 Gallon Forecast'!T241</f>
        <v>0</v>
      </c>
      <c r="U241" s="4">
        <f>'D6 Gallon Forecast'!U241</f>
        <v>0</v>
      </c>
      <c r="V241" s="4">
        <f>'D6 Gallon Forecast'!V241</f>
        <v>0</v>
      </c>
      <c r="W241" s="4">
        <f>'D6 Gallon Forecast'!W241</f>
        <v>0</v>
      </c>
      <c r="X241" s="4">
        <f>'D6 Gallon Forecast'!X241</f>
        <v>0</v>
      </c>
      <c r="Y241" s="4">
        <f>'D6 Gallon Forecast'!Y241</f>
        <v>0</v>
      </c>
      <c r="Z241" s="4">
        <f>'D6 Gallon Forecast'!Z241</f>
        <v>0</v>
      </c>
    </row>
    <row r="242" spans="1:26">
      <c r="A242" s="2" t="s">
        <v>44</v>
      </c>
      <c r="B242" s="3">
        <f>'Monthly D6 RIN Data'!$M5</f>
        <v>0</v>
      </c>
      <c r="C242" s="3">
        <f>'Monthly D6 RIN Data'!$M17</f>
        <v>0</v>
      </c>
      <c r="D242" s="3">
        <f>'Monthly D6 RIN Data'!$M29</f>
        <v>0</v>
      </c>
      <c r="E242" s="3">
        <f>'Monthly D6 RIN Data'!$M41</f>
        <v>0</v>
      </c>
      <c r="F242" s="3">
        <f>'Monthly D6 RIN Data'!$M53</f>
        <v>0</v>
      </c>
      <c r="G242" s="3">
        <f>'Monthly D6 RIN Data'!$M65</f>
        <v>0</v>
      </c>
      <c r="H242" s="3">
        <f>'Monthly D6 RIN Data'!$M77</f>
        <v>0</v>
      </c>
      <c r="I242" s="3">
        <f>'Monthly D6 RIN Data'!$M89</f>
        <v>0</v>
      </c>
      <c r="J242" s="3">
        <f>'Monthly D6 RIN Data'!$M101</f>
        <v>0</v>
      </c>
      <c r="K242" s="3">
        <f>'Monthly D6 RIN Data'!$M113</f>
        <v>0</v>
      </c>
      <c r="L242" s="3">
        <f>'Monthly D6 RIN Data'!$M125</f>
        <v>0</v>
      </c>
      <c r="M242" s="3">
        <f>'Monthly D6 RIN Data'!$M137</f>
        <v>0</v>
      </c>
      <c r="N242" s="3">
        <f>'Monthly D6 RIN Data'!$M149</f>
        <v>0</v>
      </c>
      <c r="O242" s="3">
        <f>'Monthly D6 RIN Data'!$M161</f>
        <v>0</v>
      </c>
      <c r="P242" s="3">
        <f>'Monthly D6 RIN Data'!$M173</f>
        <v>0</v>
      </c>
      <c r="Q242" s="3">
        <f>'Monthly D6 RIN Data'!$M185</f>
        <v>0</v>
      </c>
      <c r="R242" s="4">
        <f>'D6 Gallon Forecast'!R242</f>
        <v>0</v>
      </c>
      <c r="S242" s="4">
        <f>'D6 Gallon Forecast'!S242</f>
        <v>0</v>
      </c>
      <c r="T242" s="4">
        <f>'D6 Gallon Forecast'!T242</f>
        <v>0</v>
      </c>
      <c r="U242" s="4">
        <f>'D6 Gallon Forecast'!U242</f>
        <v>0</v>
      </c>
      <c r="V242" s="4">
        <f>'D6 Gallon Forecast'!V242</f>
        <v>0</v>
      </c>
      <c r="W242" s="4">
        <f>'D6 Gallon Forecast'!W242</f>
        <v>0</v>
      </c>
      <c r="X242" s="4">
        <f>'D6 Gallon Forecast'!X242</f>
        <v>0</v>
      </c>
      <c r="Y242" s="4">
        <f>'D6 Gallon Forecast'!Y242</f>
        <v>0</v>
      </c>
      <c r="Z242" s="4">
        <f>'D6 Gallon Forecast'!Z242</f>
        <v>0</v>
      </c>
    </row>
    <row r="243" spans="1:26">
      <c r="A243" s="2" t="s">
        <v>45</v>
      </c>
      <c r="B243" s="3">
        <f>'Monthly D6 RIN Data'!$M6</f>
        <v>0</v>
      </c>
      <c r="C243" s="3">
        <f>'Monthly D6 RIN Data'!$M18</f>
        <v>0</v>
      </c>
      <c r="D243" s="3">
        <f>'Monthly D6 RIN Data'!$M30</f>
        <v>0</v>
      </c>
      <c r="E243" s="3">
        <f>'Monthly D6 RIN Data'!$M42</f>
        <v>0</v>
      </c>
      <c r="F243" s="3">
        <f>'Monthly D6 RIN Data'!$M54</f>
        <v>0</v>
      </c>
      <c r="G243" s="3">
        <f>'Monthly D6 RIN Data'!$M66</f>
        <v>0</v>
      </c>
      <c r="H243" s="3">
        <f>'Monthly D6 RIN Data'!$M78</f>
        <v>0</v>
      </c>
      <c r="I243" s="3">
        <f>'Monthly D6 RIN Data'!$M90</f>
        <v>0</v>
      </c>
      <c r="J243" s="3">
        <f>'Monthly D6 RIN Data'!$M102</f>
        <v>0</v>
      </c>
      <c r="K243" s="3">
        <f>'Monthly D6 RIN Data'!$M114</f>
        <v>0</v>
      </c>
      <c r="L243" s="3">
        <f>'Monthly D6 RIN Data'!$M126</f>
        <v>0</v>
      </c>
      <c r="M243" s="3">
        <f>'Monthly D6 RIN Data'!$M138</f>
        <v>0</v>
      </c>
      <c r="N243" s="3">
        <f>'Monthly D6 RIN Data'!$M150</f>
        <v>0</v>
      </c>
      <c r="O243" s="3">
        <f>'Monthly D6 RIN Data'!$M162</f>
        <v>0</v>
      </c>
      <c r="P243" s="3">
        <f>'Monthly D6 RIN Data'!$M174</f>
        <v>0</v>
      </c>
      <c r="Q243" s="3">
        <f>'Monthly D6 RIN Data'!$M186</f>
        <v>0</v>
      </c>
      <c r="R243" s="4">
        <f>'D6 Gallon Forecast'!R243</f>
        <v>0</v>
      </c>
      <c r="S243" s="4">
        <f>'D6 Gallon Forecast'!S243</f>
        <v>0</v>
      </c>
      <c r="T243" s="4">
        <f>'D6 Gallon Forecast'!T243</f>
        <v>0</v>
      </c>
      <c r="U243" s="4">
        <f>'D6 Gallon Forecast'!U243</f>
        <v>0</v>
      </c>
      <c r="V243" s="4">
        <f>'D6 Gallon Forecast'!V243</f>
        <v>0</v>
      </c>
      <c r="W243" s="4">
        <f>'D6 Gallon Forecast'!W243</f>
        <v>0</v>
      </c>
      <c r="X243" s="4">
        <f>'D6 Gallon Forecast'!X243</f>
        <v>0</v>
      </c>
      <c r="Y243" s="4">
        <f>'D6 Gallon Forecast'!Y243</f>
        <v>0</v>
      </c>
      <c r="Z243" s="4">
        <f>'D6 Gallon Forecast'!Z243</f>
        <v>0</v>
      </c>
    </row>
    <row r="244" spans="1:26">
      <c r="A244" s="2" t="s">
        <v>46</v>
      </c>
      <c r="B244" s="3">
        <f>'Monthly D6 RIN Data'!$M7</f>
        <v>0</v>
      </c>
      <c r="C244" s="3">
        <f>'Monthly D6 RIN Data'!$M19</f>
        <v>0</v>
      </c>
      <c r="D244" s="3">
        <f>'Monthly D6 RIN Data'!$M31</f>
        <v>0</v>
      </c>
      <c r="E244" s="3">
        <f>'Monthly D6 RIN Data'!$M43</f>
        <v>0</v>
      </c>
      <c r="F244" s="3">
        <f>'Monthly D6 RIN Data'!$M55</f>
        <v>0</v>
      </c>
      <c r="G244" s="3">
        <f>'Monthly D6 RIN Data'!$M67</f>
        <v>0</v>
      </c>
      <c r="H244" s="3">
        <f>'Monthly D6 RIN Data'!$M79</f>
        <v>0</v>
      </c>
      <c r="I244" s="3">
        <f>'Monthly D6 RIN Data'!$M91</f>
        <v>0</v>
      </c>
      <c r="J244" s="3">
        <f>'Monthly D6 RIN Data'!$M103</f>
        <v>0</v>
      </c>
      <c r="K244" s="3">
        <f>'Monthly D6 RIN Data'!$M115</f>
        <v>0</v>
      </c>
      <c r="L244" s="3">
        <f>'Monthly D6 RIN Data'!$M127</f>
        <v>0</v>
      </c>
      <c r="M244" s="3">
        <f>'Monthly D6 RIN Data'!$M139</f>
        <v>0</v>
      </c>
      <c r="N244" s="3">
        <f>'Monthly D6 RIN Data'!$M151</f>
        <v>0</v>
      </c>
      <c r="O244" s="3">
        <f>'Monthly D6 RIN Data'!$M163</f>
        <v>0</v>
      </c>
      <c r="P244" s="3">
        <f>'Monthly D6 RIN Data'!$M175</f>
        <v>0</v>
      </c>
      <c r="Q244" s="4">
        <f>'D6 Gallon Forecast'!Q244</f>
        <v>0</v>
      </c>
      <c r="R244" s="4">
        <f>'D6 Gallon Forecast'!R244</f>
        <v>0</v>
      </c>
      <c r="S244" s="4">
        <f>'D6 Gallon Forecast'!S244</f>
        <v>0</v>
      </c>
      <c r="T244" s="4">
        <f>'D6 Gallon Forecast'!T244</f>
        <v>0</v>
      </c>
      <c r="U244" s="4">
        <f>'D6 Gallon Forecast'!U244</f>
        <v>0</v>
      </c>
      <c r="V244" s="4">
        <f>'D6 Gallon Forecast'!V244</f>
        <v>0</v>
      </c>
      <c r="W244" s="4">
        <f>'D6 Gallon Forecast'!W244</f>
        <v>0</v>
      </c>
      <c r="X244" s="4">
        <f>'D6 Gallon Forecast'!X244</f>
        <v>0</v>
      </c>
      <c r="Y244" s="4">
        <f>'D6 Gallon Forecast'!Y244</f>
        <v>0</v>
      </c>
      <c r="Z244" s="4">
        <f>'D6 Gallon Forecast'!Z244</f>
        <v>0</v>
      </c>
    </row>
    <row r="245" spans="1:26">
      <c r="A245" s="2" t="s">
        <v>47</v>
      </c>
      <c r="B245" s="3">
        <f>'Monthly D6 RIN Data'!$M8</f>
        <v>0</v>
      </c>
      <c r="C245" s="3">
        <f>'Monthly D6 RIN Data'!$M20</f>
        <v>0</v>
      </c>
      <c r="D245" s="3">
        <f>'Monthly D6 RIN Data'!$M32</f>
        <v>0</v>
      </c>
      <c r="E245" s="3">
        <f>'Monthly D6 RIN Data'!$M44</f>
        <v>0</v>
      </c>
      <c r="F245" s="3">
        <f>'Monthly D6 RIN Data'!$M56</f>
        <v>0</v>
      </c>
      <c r="G245" s="3">
        <f>'Monthly D6 RIN Data'!$M68</f>
        <v>0</v>
      </c>
      <c r="H245" s="3">
        <f>'Monthly D6 RIN Data'!$M80</f>
        <v>0</v>
      </c>
      <c r="I245" s="3">
        <f>'Monthly D6 RIN Data'!$M92</f>
        <v>0</v>
      </c>
      <c r="J245" s="3">
        <f>'Monthly D6 RIN Data'!$M104</f>
        <v>0</v>
      </c>
      <c r="K245" s="3">
        <f>'Monthly D6 RIN Data'!$M116</f>
        <v>0</v>
      </c>
      <c r="L245" s="3">
        <f>'Monthly D6 RIN Data'!$M128</f>
        <v>0</v>
      </c>
      <c r="M245" s="3">
        <f>'Monthly D6 RIN Data'!$M140</f>
        <v>0</v>
      </c>
      <c r="N245" s="3">
        <f>'Monthly D6 RIN Data'!$M152</f>
        <v>0</v>
      </c>
      <c r="O245" s="3">
        <f>'Monthly D6 RIN Data'!$M164</f>
        <v>0</v>
      </c>
      <c r="P245" s="3">
        <f>'Monthly D6 RIN Data'!$M176</f>
        <v>0</v>
      </c>
      <c r="Q245" s="4">
        <f>'D6 Gallon Forecast'!Q245</f>
        <v>0</v>
      </c>
      <c r="R245" s="4">
        <f>'D6 Gallon Forecast'!R245</f>
        <v>0</v>
      </c>
      <c r="S245" s="4">
        <f>'D6 Gallon Forecast'!S245</f>
        <v>0</v>
      </c>
      <c r="T245" s="4">
        <f>'D6 Gallon Forecast'!T245</f>
        <v>0</v>
      </c>
      <c r="U245" s="4">
        <f>'D6 Gallon Forecast'!U245</f>
        <v>0</v>
      </c>
      <c r="V245" s="4">
        <f>'D6 Gallon Forecast'!V245</f>
        <v>0</v>
      </c>
      <c r="W245" s="4">
        <f>'D6 Gallon Forecast'!W245</f>
        <v>0</v>
      </c>
      <c r="X245" s="4">
        <f>'D6 Gallon Forecast'!X245</f>
        <v>0</v>
      </c>
      <c r="Y245" s="4">
        <f>'D6 Gallon Forecast'!Y245</f>
        <v>0</v>
      </c>
      <c r="Z245" s="4">
        <f>'D6 Gallon Forecast'!Z245</f>
        <v>0</v>
      </c>
    </row>
    <row r="246" spans="1:26">
      <c r="A246" s="2" t="s">
        <v>48</v>
      </c>
      <c r="B246" s="3">
        <f>'Monthly D6 RIN Data'!$M9</f>
        <v>0</v>
      </c>
      <c r="C246" s="3">
        <f>'Monthly D6 RIN Data'!$M21</f>
        <v>0</v>
      </c>
      <c r="D246" s="3">
        <f>'Monthly D6 RIN Data'!$M33</f>
        <v>0</v>
      </c>
      <c r="E246" s="3">
        <f>'Monthly D6 RIN Data'!$M45</f>
        <v>0</v>
      </c>
      <c r="F246" s="3">
        <f>'Monthly D6 RIN Data'!$M57</f>
        <v>0</v>
      </c>
      <c r="G246" s="3">
        <f>'Monthly D6 RIN Data'!$M69</f>
        <v>0</v>
      </c>
      <c r="H246" s="3">
        <f>'Monthly D6 RIN Data'!$M81</f>
        <v>0</v>
      </c>
      <c r="I246" s="3">
        <f>'Monthly D6 RIN Data'!$M93</f>
        <v>0</v>
      </c>
      <c r="J246" s="3">
        <f>'Monthly D6 RIN Data'!$M105</f>
        <v>0</v>
      </c>
      <c r="K246" s="3">
        <f>'Monthly D6 RIN Data'!$M117</f>
        <v>0</v>
      </c>
      <c r="L246" s="3">
        <f>'Monthly D6 RIN Data'!$M129</f>
        <v>0</v>
      </c>
      <c r="M246" s="3">
        <f>'Monthly D6 RIN Data'!$M141</f>
        <v>0</v>
      </c>
      <c r="N246" s="3">
        <f>'Monthly D6 RIN Data'!$M153</f>
        <v>0</v>
      </c>
      <c r="O246" s="3">
        <f>'Monthly D6 RIN Data'!$M165</f>
        <v>0</v>
      </c>
      <c r="P246" s="3">
        <f>'Monthly D6 RIN Data'!$M177</f>
        <v>0</v>
      </c>
      <c r="Q246" s="4">
        <f>'D6 Gallon Forecast'!Q246</f>
        <v>0</v>
      </c>
      <c r="R246" s="4">
        <f>'D6 Gallon Forecast'!R246</f>
        <v>0</v>
      </c>
      <c r="S246" s="4">
        <f>'D6 Gallon Forecast'!S246</f>
        <v>0</v>
      </c>
      <c r="T246" s="4">
        <f>'D6 Gallon Forecast'!T246</f>
        <v>0</v>
      </c>
      <c r="U246" s="4">
        <f>'D6 Gallon Forecast'!U246</f>
        <v>0</v>
      </c>
      <c r="V246" s="4">
        <f>'D6 Gallon Forecast'!V246</f>
        <v>0</v>
      </c>
      <c r="W246" s="4">
        <f>'D6 Gallon Forecast'!W246</f>
        <v>0</v>
      </c>
      <c r="X246" s="4">
        <f>'D6 Gallon Forecast'!X246</f>
        <v>0</v>
      </c>
      <c r="Y246" s="4">
        <f>'D6 Gallon Forecast'!Y246</f>
        <v>0</v>
      </c>
      <c r="Z246" s="4">
        <f>'D6 Gallon Forecast'!Z246</f>
        <v>0</v>
      </c>
    </row>
    <row r="247" spans="1:26">
      <c r="A247" s="2" t="s">
        <v>49</v>
      </c>
      <c r="B247" s="3">
        <f>'Monthly D6 RIN Data'!$M10</f>
        <v>0</v>
      </c>
      <c r="C247" s="3">
        <f>'Monthly D6 RIN Data'!$M22</f>
        <v>0</v>
      </c>
      <c r="D247" s="3">
        <f>'Monthly D6 RIN Data'!$M34</f>
        <v>0</v>
      </c>
      <c r="E247" s="3">
        <f>'Monthly D6 RIN Data'!$M46</f>
        <v>0</v>
      </c>
      <c r="F247" s="3">
        <f>'Monthly D6 RIN Data'!$M58</f>
        <v>0</v>
      </c>
      <c r="G247" s="3">
        <f>'Monthly D6 RIN Data'!$M70</f>
        <v>0</v>
      </c>
      <c r="H247" s="3">
        <f>'Monthly D6 RIN Data'!$M82</f>
        <v>0</v>
      </c>
      <c r="I247" s="3">
        <f>'Monthly D6 RIN Data'!$M94</f>
        <v>0</v>
      </c>
      <c r="J247" s="3">
        <f>'Monthly D6 RIN Data'!$M106</f>
        <v>0</v>
      </c>
      <c r="K247" s="3">
        <f>'Monthly D6 RIN Data'!$M118</f>
        <v>0</v>
      </c>
      <c r="L247" s="3">
        <f>'Monthly D6 RIN Data'!$M130</f>
        <v>0</v>
      </c>
      <c r="M247" s="3">
        <f>'Monthly D6 RIN Data'!$M142</f>
        <v>0</v>
      </c>
      <c r="N247" s="3">
        <f>'Monthly D6 RIN Data'!$M154</f>
        <v>0</v>
      </c>
      <c r="O247" s="3">
        <f>'Monthly D6 RIN Data'!$M166</f>
        <v>0</v>
      </c>
      <c r="P247" s="3">
        <f>'Monthly D6 RIN Data'!$M178</f>
        <v>0</v>
      </c>
      <c r="Q247" s="4">
        <f>'D6 Gallon Forecast'!Q247</f>
        <v>0</v>
      </c>
      <c r="R247" s="4">
        <f>'D6 Gallon Forecast'!R247</f>
        <v>0</v>
      </c>
      <c r="S247" s="4">
        <f>'D6 Gallon Forecast'!S247</f>
        <v>0</v>
      </c>
      <c r="T247" s="4">
        <f>'D6 Gallon Forecast'!T247</f>
        <v>0</v>
      </c>
      <c r="U247" s="4">
        <f>'D6 Gallon Forecast'!U247</f>
        <v>0</v>
      </c>
      <c r="V247" s="4">
        <f>'D6 Gallon Forecast'!V247</f>
        <v>0</v>
      </c>
      <c r="W247" s="4">
        <f>'D6 Gallon Forecast'!W247</f>
        <v>0</v>
      </c>
      <c r="X247" s="4">
        <f>'D6 Gallon Forecast'!X247</f>
        <v>0</v>
      </c>
      <c r="Y247" s="4">
        <f>'D6 Gallon Forecast'!Y247</f>
        <v>0</v>
      </c>
      <c r="Z247" s="4">
        <f>'D6 Gallon Forecast'!Z247</f>
        <v>0</v>
      </c>
    </row>
    <row r="248" spans="1:26">
      <c r="A248" s="2" t="s">
        <v>50</v>
      </c>
      <c r="B248" s="3">
        <f>'Monthly D6 RIN Data'!$M11</f>
        <v>0</v>
      </c>
      <c r="C248" s="3">
        <f>'Monthly D6 RIN Data'!$M23</f>
        <v>0</v>
      </c>
      <c r="D248" s="3">
        <f>'Monthly D6 RIN Data'!$M35</f>
        <v>0</v>
      </c>
      <c r="E248" s="3">
        <f>'Monthly D6 RIN Data'!$M47</f>
        <v>0</v>
      </c>
      <c r="F248" s="3">
        <f>'Monthly D6 RIN Data'!$M59</f>
        <v>0</v>
      </c>
      <c r="G248" s="3">
        <f>'Monthly D6 RIN Data'!$M71</f>
        <v>0</v>
      </c>
      <c r="H248" s="3">
        <f>'Monthly D6 RIN Data'!$M83</f>
        <v>0</v>
      </c>
      <c r="I248" s="3">
        <f>'Monthly D6 RIN Data'!$M95</f>
        <v>0</v>
      </c>
      <c r="J248" s="3">
        <f>'Monthly D6 RIN Data'!$M107</f>
        <v>0</v>
      </c>
      <c r="K248" s="3">
        <f>'Monthly D6 RIN Data'!$M119</f>
        <v>0</v>
      </c>
      <c r="L248" s="3">
        <f>'Monthly D6 RIN Data'!$M131</f>
        <v>0</v>
      </c>
      <c r="M248" s="3">
        <f>'Monthly D6 RIN Data'!$M143</f>
        <v>0</v>
      </c>
      <c r="N248" s="3">
        <f>'Monthly D6 RIN Data'!$M155</f>
        <v>0</v>
      </c>
      <c r="O248" s="3">
        <f>'Monthly D6 RIN Data'!$M167</f>
        <v>0</v>
      </c>
      <c r="P248" s="3">
        <f>'Monthly D6 RIN Data'!$M179</f>
        <v>0</v>
      </c>
      <c r="Q248" s="4">
        <f>'D6 Gallon Forecast'!Q248</f>
        <v>0</v>
      </c>
      <c r="R248" s="4">
        <f>'D6 Gallon Forecast'!R248</f>
        <v>0</v>
      </c>
      <c r="S248" s="4">
        <f>'D6 Gallon Forecast'!S248</f>
        <v>0</v>
      </c>
      <c r="T248" s="4">
        <f>'D6 Gallon Forecast'!T248</f>
        <v>0</v>
      </c>
      <c r="U248" s="4">
        <f>'D6 Gallon Forecast'!U248</f>
        <v>0</v>
      </c>
      <c r="V248" s="4">
        <f>'D6 Gallon Forecast'!V248</f>
        <v>0</v>
      </c>
      <c r="W248" s="4">
        <f>'D6 Gallon Forecast'!W248</f>
        <v>0</v>
      </c>
      <c r="X248" s="4">
        <f>'D6 Gallon Forecast'!X248</f>
        <v>0</v>
      </c>
      <c r="Y248" s="4">
        <f>'D6 Gallon Forecast'!Y248</f>
        <v>0</v>
      </c>
      <c r="Z248" s="4">
        <f>'D6 Gallon Forecast'!Z248</f>
        <v>0</v>
      </c>
    </row>
    <row r="249" spans="1:26">
      <c r="A249" s="2" t="s">
        <v>51</v>
      </c>
      <c r="B249" s="3">
        <f>'Monthly D6 RIN Data'!$M12</f>
        <v>0</v>
      </c>
      <c r="C249" s="3">
        <f>'Monthly D6 RIN Data'!$M24</f>
        <v>0</v>
      </c>
      <c r="D249" s="3">
        <f>'Monthly D6 RIN Data'!$M36</f>
        <v>0</v>
      </c>
      <c r="E249" s="3">
        <f>'Monthly D6 RIN Data'!$M48</f>
        <v>0</v>
      </c>
      <c r="F249" s="3">
        <f>'Monthly D6 RIN Data'!$M60</f>
        <v>0</v>
      </c>
      <c r="G249" s="3">
        <f>'Monthly D6 RIN Data'!$M72</f>
        <v>0</v>
      </c>
      <c r="H249" s="3">
        <f>'Monthly D6 RIN Data'!$M84</f>
        <v>0</v>
      </c>
      <c r="I249" s="3">
        <f>'Monthly D6 RIN Data'!$M96</f>
        <v>0</v>
      </c>
      <c r="J249" s="3">
        <f>'Monthly D6 RIN Data'!$M108</f>
        <v>0</v>
      </c>
      <c r="K249" s="3">
        <f>'Monthly D6 RIN Data'!$M120</f>
        <v>0</v>
      </c>
      <c r="L249" s="3">
        <f>'Monthly D6 RIN Data'!$M132</f>
        <v>0</v>
      </c>
      <c r="M249" s="3">
        <f>'Monthly D6 RIN Data'!$M144</f>
        <v>0</v>
      </c>
      <c r="N249" s="3">
        <f>'Monthly D6 RIN Data'!$M156</f>
        <v>0</v>
      </c>
      <c r="O249" s="3">
        <f>'Monthly D6 RIN Data'!$M168</f>
        <v>0</v>
      </c>
      <c r="P249" s="3">
        <f>'Monthly D6 RIN Data'!$M180</f>
        <v>0</v>
      </c>
      <c r="Q249" s="4">
        <f>'D6 Gallon Forecast'!Q249</f>
        <v>0</v>
      </c>
      <c r="R249" s="4">
        <f>'D6 Gallon Forecast'!R249</f>
        <v>0</v>
      </c>
      <c r="S249" s="4">
        <f>'D6 Gallon Forecast'!S249</f>
        <v>0</v>
      </c>
      <c r="T249" s="4">
        <f>'D6 Gallon Forecast'!T249</f>
        <v>0</v>
      </c>
      <c r="U249" s="4">
        <f>'D6 Gallon Forecast'!U249</f>
        <v>0</v>
      </c>
      <c r="V249" s="4">
        <f>'D6 Gallon Forecast'!V249</f>
        <v>0</v>
      </c>
      <c r="W249" s="4">
        <f>'D6 Gallon Forecast'!W249</f>
        <v>0</v>
      </c>
      <c r="X249" s="4">
        <f>'D6 Gallon Forecast'!X249</f>
        <v>0</v>
      </c>
      <c r="Y249" s="4">
        <f>'D6 Gallon Forecast'!Y249</f>
        <v>0</v>
      </c>
      <c r="Z249" s="4">
        <f>'D6 Gallon Forecast'!Z249</f>
        <v>0</v>
      </c>
    </row>
    <row r="250" spans="1:26">
      <c r="A250" s="2" t="s">
        <v>52</v>
      </c>
      <c r="B250" s="3">
        <f>'Monthly D6 RIN Data'!$M13</f>
        <v>0</v>
      </c>
      <c r="C250" s="3">
        <f>'Monthly D6 RIN Data'!$M25</f>
        <v>0</v>
      </c>
      <c r="D250" s="3">
        <f>'Monthly D6 RIN Data'!$M37</f>
        <v>0</v>
      </c>
      <c r="E250" s="3">
        <f>'Monthly D6 RIN Data'!$M49</f>
        <v>0</v>
      </c>
      <c r="F250" s="3">
        <f>'Monthly D6 RIN Data'!$M61</f>
        <v>0</v>
      </c>
      <c r="G250" s="3">
        <f>'Monthly D6 RIN Data'!$M73</f>
        <v>0</v>
      </c>
      <c r="H250" s="3">
        <f>'Monthly D6 RIN Data'!$M85</f>
        <v>0</v>
      </c>
      <c r="I250" s="3">
        <f>'Monthly D6 RIN Data'!$M97</f>
        <v>0</v>
      </c>
      <c r="J250" s="3">
        <f>'Monthly D6 RIN Data'!$M109</f>
        <v>0</v>
      </c>
      <c r="K250" s="3">
        <f>'Monthly D6 RIN Data'!$M121</f>
        <v>0</v>
      </c>
      <c r="L250" s="3">
        <f>'Monthly D6 RIN Data'!$M133</f>
        <v>0</v>
      </c>
      <c r="M250" s="3">
        <f>'Monthly D6 RIN Data'!$M145</f>
        <v>0</v>
      </c>
      <c r="N250" s="3">
        <f>'Monthly D6 RIN Data'!$M157</f>
        <v>0</v>
      </c>
      <c r="O250" s="3">
        <f>'Monthly D6 RIN Data'!$M169</f>
        <v>0</v>
      </c>
      <c r="P250" s="3">
        <f>'Monthly D6 RIN Data'!$M181</f>
        <v>0</v>
      </c>
      <c r="Q250" s="4">
        <f>'D6 Gallon Forecast'!Q250</f>
        <v>0</v>
      </c>
      <c r="R250" s="4">
        <f>'D6 Gallon Forecast'!R250</f>
        <v>0</v>
      </c>
      <c r="S250" s="4">
        <f>'D6 Gallon Forecast'!S250</f>
        <v>0</v>
      </c>
      <c r="T250" s="4">
        <f>'D6 Gallon Forecast'!T250</f>
        <v>0</v>
      </c>
      <c r="U250" s="4">
        <f>'D6 Gallon Forecast'!U250</f>
        <v>0</v>
      </c>
      <c r="V250" s="4">
        <f>'D6 Gallon Forecast'!V250</f>
        <v>0</v>
      </c>
      <c r="W250" s="4">
        <f>'D6 Gallon Forecast'!W250</f>
        <v>0</v>
      </c>
      <c r="X250" s="4">
        <f>'D6 Gallon Forecast'!X250</f>
        <v>0</v>
      </c>
      <c r="Y250" s="4">
        <f>'D6 Gallon Forecast'!Y250</f>
        <v>0</v>
      </c>
      <c r="Z250" s="4">
        <f>'D6 Gallon Forecast'!Z250</f>
        <v>0</v>
      </c>
    </row>
    <row r="251" spans="1:26">
      <c r="A251" s="2" t="s">
        <v>53</v>
      </c>
      <c r="B251" s="3">
        <f>'Monthly D6 RIN Data'!$M14</f>
        <v>0</v>
      </c>
      <c r="C251" s="3">
        <f>'Monthly D6 RIN Data'!$M26</f>
        <v>0</v>
      </c>
      <c r="D251" s="3">
        <f>'Monthly D6 RIN Data'!$M38</f>
        <v>0</v>
      </c>
      <c r="E251" s="3">
        <f>'Monthly D6 RIN Data'!$M50</f>
        <v>0</v>
      </c>
      <c r="F251" s="3">
        <f>'Monthly D6 RIN Data'!$M62</f>
        <v>0</v>
      </c>
      <c r="G251" s="3">
        <f>'Monthly D6 RIN Data'!$M74</f>
        <v>0</v>
      </c>
      <c r="H251" s="3">
        <f>'Monthly D6 RIN Data'!$M86</f>
        <v>0</v>
      </c>
      <c r="I251" s="3">
        <f>'Monthly D6 RIN Data'!$M98</f>
        <v>0</v>
      </c>
      <c r="J251" s="3">
        <f>'Monthly D6 RIN Data'!$M110</f>
        <v>0</v>
      </c>
      <c r="K251" s="3">
        <f>'Monthly D6 RIN Data'!$M122</f>
        <v>0</v>
      </c>
      <c r="L251" s="3">
        <f>'Monthly D6 RIN Data'!$M134</f>
        <v>0</v>
      </c>
      <c r="M251" s="3">
        <f>'Monthly D6 RIN Data'!$M146</f>
        <v>0</v>
      </c>
      <c r="N251" s="3">
        <f>'Monthly D6 RIN Data'!$M158</f>
        <v>0</v>
      </c>
      <c r="O251" s="3">
        <f>'Monthly D6 RIN Data'!$M170</f>
        <v>0</v>
      </c>
      <c r="P251" s="3">
        <f>'Monthly D6 RIN Data'!$M182</f>
        <v>0</v>
      </c>
      <c r="Q251" s="4">
        <f>'D6 Gallon Forecast'!Q251</f>
        <v>0</v>
      </c>
      <c r="R251" s="4">
        <f>'D6 Gallon Forecast'!R251</f>
        <v>0</v>
      </c>
      <c r="S251" s="4">
        <f>'D6 Gallon Forecast'!S251</f>
        <v>0</v>
      </c>
      <c r="T251" s="4">
        <f>'D6 Gallon Forecast'!T251</f>
        <v>0</v>
      </c>
      <c r="U251" s="4">
        <f>'D6 Gallon Forecast'!U251</f>
        <v>0</v>
      </c>
      <c r="V251" s="4">
        <f>'D6 Gallon Forecast'!V251</f>
        <v>0</v>
      </c>
      <c r="W251" s="4">
        <f>'D6 Gallon Forecast'!W251</f>
        <v>0</v>
      </c>
      <c r="X251" s="4">
        <f>'D6 Gallon Forecast'!X251</f>
        <v>0</v>
      </c>
      <c r="Y251" s="4">
        <f>'D6 Gallon Forecast'!Y251</f>
        <v>0</v>
      </c>
      <c r="Z251" s="4">
        <f>'D6 Gallon Forecast'!Z251</f>
        <v>0</v>
      </c>
    </row>
    <row r="252" spans="1:26">
      <c r="A252" s="2" t="s">
        <v>54</v>
      </c>
      <c r="B252" s="3">
        <f>'Monthly D6 RIN Data'!$M15</f>
        <v>0</v>
      </c>
      <c r="C252" s="3">
        <f>'Monthly D6 RIN Data'!$M27</f>
        <v>0</v>
      </c>
      <c r="D252" s="3">
        <f>'Monthly D6 RIN Data'!$M39</f>
        <v>0</v>
      </c>
      <c r="E252" s="3">
        <f>'Monthly D6 RIN Data'!$M51</f>
        <v>0</v>
      </c>
      <c r="F252" s="3">
        <f>'Monthly D6 RIN Data'!$M63</f>
        <v>0</v>
      </c>
      <c r="G252" s="3">
        <f>'Monthly D6 RIN Data'!$M75</f>
        <v>0</v>
      </c>
      <c r="H252" s="3">
        <f>'Monthly D6 RIN Data'!$M87</f>
        <v>0</v>
      </c>
      <c r="I252" s="3">
        <f>'Monthly D6 RIN Data'!$M99</f>
        <v>0</v>
      </c>
      <c r="J252" s="3">
        <f>'Monthly D6 RIN Data'!$M111</f>
        <v>0</v>
      </c>
      <c r="K252" s="3">
        <f>'Monthly D6 RIN Data'!$M123</f>
        <v>0</v>
      </c>
      <c r="L252" s="3">
        <f>'Monthly D6 RIN Data'!$M135</f>
        <v>0</v>
      </c>
      <c r="M252" s="3">
        <f>'Monthly D6 RIN Data'!$M147</f>
        <v>0</v>
      </c>
      <c r="N252" s="3">
        <f>'Monthly D6 RIN Data'!$M159</f>
        <v>0</v>
      </c>
      <c r="O252" s="3">
        <f>'Monthly D6 RIN Data'!$M171</f>
        <v>0</v>
      </c>
      <c r="P252" s="3">
        <f>'Monthly D6 RIN Data'!$M183</f>
        <v>0</v>
      </c>
      <c r="Q252" s="4">
        <f>'D6 Gallon Forecast'!Q252</f>
        <v>0</v>
      </c>
      <c r="R252" s="4">
        <f>'D6 Gallon Forecast'!R252</f>
        <v>0</v>
      </c>
      <c r="S252" s="4">
        <f>'D6 Gallon Forecast'!S252</f>
        <v>0</v>
      </c>
      <c r="T252" s="4">
        <f>'D6 Gallon Forecast'!T252</f>
        <v>0</v>
      </c>
      <c r="U252" s="4">
        <f>'D6 Gallon Forecast'!U252</f>
        <v>0</v>
      </c>
      <c r="V252" s="4">
        <f>'D6 Gallon Forecast'!V252</f>
        <v>0</v>
      </c>
      <c r="W252" s="4">
        <f>'D6 Gallon Forecast'!W252</f>
        <v>0</v>
      </c>
      <c r="X252" s="4">
        <f>'D6 Gallon Forecast'!X252</f>
        <v>0</v>
      </c>
      <c r="Y252" s="4">
        <f>'D6 Gallon Forecast'!Y252</f>
        <v>0</v>
      </c>
      <c r="Z252" s="4">
        <f>'D6 Gallon Forecast'!Z252</f>
        <v>0</v>
      </c>
    </row>
    <row r="253" spans="1:26" ht="13.5" thickBot="1">
      <c r="A253" s="2" t="s">
        <v>29</v>
      </c>
      <c r="B253" s="3">
        <f t="shared" ref="B253:Z253" si="69">SUM(B241:B252)</f>
        <v>0</v>
      </c>
      <c r="C253" s="3">
        <f t="shared" si="69"/>
        <v>0</v>
      </c>
      <c r="D253" s="3">
        <f t="shared" si="69"/>
        <v>0</v>
      </c>
      <c r="E253" s="3">
        <f t="shared" si="69"/>
        <v>0</v>
      </c>
      <c r="F253" s="3">
        <f t="shared" si="69"/>
        <v>0</v>
      </c>
      <c r="G253" s="3">
        <f t="shared" si="69"/>
        <v>0</v>
      </c>
      <c r="H253" s="3">
        <f t="shared" si="69"/>
        <v>0</v>
      </c>
      <c r="I253" s="3">
        <f t="shared" si="69"/>
        <v>0</v>
      </c>
      <c r="J253" s="3">
        <f t="shared" si="69"/>
        <v>0</v>
      </c>
      <c r="K253" s="3">
        <f t="shared" si="69"/>
        <v>0</v>
      </c>
      <c r="L253" s="3">
        <f t="shared" si="69"/>
        <v>0</v>
      </c>
      <c r="M253" s="3">
        <f t="shared" si="69"/>
        <v>0</v>
      </c>
      <c r="N253" s="3">
        <f t="shared" si="69"/>
        <v>0</v>
      </c>
      <c r="O253" s="3">
        <f t="shared" si="69"/>
        <v>0</v>
      </c>
      <c r="P253" s="3">
        <f t="shared" si="69"/>
        <v>0</v>
      </c>
      <c r="Q253" s="4">
        <f t="shared" si="69"/>
        <v>0</v>
      </c>
      <c r="R253" s="4">
        <f t="shared" si="69"/>
        <v>0</v>
      </c>
      <c r="S253" s="4">
        <f t="shared" si="69"/>
        <v>0</v>
      </c>
      <c r="T253" s="4">
        <f t="shared" si="69"/>
        <v>0</v>
      </c>
      <c r="U253" s="4">
        <f t="shared" si="69"/>
        <v>0</v>
      </c>
      <c r="V253" s="4">
        <f t="shared" si="69"/>
        <v>0</v>
      </c>
      <c r="W253" s="4">
        <f t="shared" si="69"/>
        <v>0</v>
      </c>
      <c r="X253" s="4">
        <f t="shared" si="69"/>
        <v>0</v>
      </c>
      <c r="Y253" s="4">
        <f t="shared" si="69"/>
        <v>0</v>
      </c>
      <c r="Z253" s="4">
        <f t="shared" si="69"/>
        <v>0</v>
      </c>
    </row>
    <row r="254" spans="1:26">
      <c r="A254" s="114"/>
      <c r="B254" s="114"/>
      <c r="C254" s="114"/>
      <c r="D254" s="114"/>
      <c r="E254" s="114"/>
      <c r="F254" s="114"/>
      <c r="G254" s="114"/>
      <c r="H254" s="114"/>
      <c r="I254" s="114"/>
      <c r="J254" s="114"/>
      <c r="K254" s="114"/>
      <c r="L254" s="114"/>
      <c r="M254" s="114"/>
      <c r="N254" s="114"/>
      <c r="O254" s="114"/>
      <c r="P254" s="114"/>
      <c r="Q254" s="114"/>
      <c r="R254" s="114"/>
      <c r="S254" s="114"/>
      <c r="T254" s="114"/>
      <c r="U254" s="114"/>
      <c r="V254" s="114"/>
      <c r="W254" s="114"/>
      <c r="X254" s="114"/>
      <c r="Y254" s="114"/>
      <c r="Z254" s="114"/>
    </row>
    <row r="255" spans="1:26" ht="16.5" thickBot="1">
      <c r="A255" s="109" t="s">
        <v>503</v>
      </c>
    </row>
    <row r="256" spans="1:26" ht="13.5" thickBot="1">
      <c r="A256" s="110"/>
      <c r="B256" s="111">
        <f>B2</f>
        <v>2010</v>
      </c>
      <c r="C256" s="111">
        <f t="shared" ref="C256:Z256" si="70">C2</f>
        <v>2011</v>
      </c>
      <c r="D256" s="111">
        <f t="shared" si="70"/>
        <v>2012</v>
      </c>
      <c r="E256" s="111">
        <f t="shared" si="70"/>
        <v>2013</v>
      </c>
      <c r="F256" s="111">
        <f t="shared" si="70"/>
        <v>2014</v>
      </c>
      <c r="G256" s="111">
        <f t="shared" si="70"/>
        <v>2015</v>
      </c>
      <c r="H256" s="111">
        <f t="shared" si="70"/>
        <v>2016</v>
      </c>
      <c r="I256" s="111">
        <f t="shared" si="70"/>
        <v>2017</v>
      </c>
      <c r="J256" s="111">
        <f t="shared" si="70"/>
        <v>2018</v>
      </c>
      <c r="K256" s="111">
        <f t="shared" si="70"/>
        <v>2019</v>
      </c>
      <c r="L256" s="111">
        <f t="shared" si="70"/>
        <v>2020</v>
      </c>
      <c r="M256" s="111">
        <f t="shared" si="70"/>
        <v>2021</v>
      </c>
      <c r="N256" s="111">
        <f t="shared" si="70"/>
        <v>2022</v>
      </c>
      <c r="O256" s="111">
        <f t="shared" si="70"/>
        <v>2023</v>
      </c>
      <c r="P256" s="111">
        <f t="shared" si="70"/>
        <v>2024</v>
      </c>
      <c r="Q256" s="111">
        <f t="shared" si="70"/>
        <v>2025</v>
      </c>
      <c r="R256" s="111">
        <f t="shared" si="70"/>
        <v>2026</v>
      </c>
      <c r="S256" s="111">
        <f t="shared" si="70"/>
        <v>2027</v>
      </c>
      <c r="T256" s="111">
        <f t="shared" si="70"/>
        <v>2028</v>
      </c>
      <c r="U256" s="111">
        <f t="shared" si="70"/>
        <v>2029</v>
      </c>
      <c r="V256" s="111">
        <f t="shared" si="70"/>
        <v>2030</v>
      </c>
      <c r="W256" s="111">
        <f t="shared" si="70"/>
        <v>2031</v>
      </c>
      <c r="X256" s="111">
        <f t="shared" si="70"/>
        <v>2032</v>
      </c>
      <c r="Y256" s="111">
        <f t="shared" si="70"/>
        <v>2033</v>
      </c>
      <c r="Z256" s="111">
        <f t="shared" si="70"/>
        <v>2034</v>
      </c>
    </row>
    <row r="257" spans="1:26">
      <c r="A257" s="2" t="s">
        <v>43</v>
      </c>
      <c r="B257" s="3">
        <f t="shared" ref="B257:Z267" si="71">B273+B289+B305</f>
        <v>0</v>
      </c>
      <c r="C257" s="3">
        <f t="shared" si="71"/>
        <v>0</v>
      </c>
      <c r="D257" s="3">
        <f t="shared" si="71"/>
        <v>0</v>
      </c>
      <c r="E257" s="3">
        <f t="shared" si="71"/>
        <v>0</v>
      </c>
      <c r="F257" s="3">
        <f t="shared" si="71"/>
        <v>0</v>
      </c>
      <c r="G257" s="3">
        <f t="shared" si="71"/>
        <v>0</v>
      </c>
      <c r="H257" s="3">
        <f t="shared" si="71"/>
        <v>0</v>
      </c>
      <c r="I257" s="3">
        <f t="shared" si="71"/>
        <v>0</v>
      </c>
      <c r="J257" s="3">
        <f t="shared" si="71"/>
        <v>0</v>
      </c>
      <c r="K257" s="3">
        <f t="shared" si="71"/>
        <v>0</v>
      </c>
      <c r="L257" s="3">
        <f t="shared" si="71"/>
        <v>0</v>
      </c>
      <c r="M257" s="3">
        <f t="shared" si="71"/>
        <v>0</v>
      </c>
      <c r="N257" s="3">
        <f t="shared" si="71"/>
        <v>0</v>
      </c>
      <c r="O257" s="3">
        <f t="shared" si="71"/>
        <v>0</v>
      </c>
      <c r="P257" s="3">
        <f t="shared" si="71"/>
        <v>0</v>
      </c>
      <c r="Q257" s="3">
        <f t="shared" si="71"/>
        <v>0</v>
      </c>
      <c r="R257" s="4">
        <f t="shared" si="71"/>
        <v>620000</v>
      </c>
      <c r="S257" s="4">
        <f t="shared" si="71"/>
        <v>620000</v>
      </c>
      <c r="T257" s="4">
        <f t="shared" si="71"/>
        <v>620000</v>
      </c>
      <c r="U257" s="4">
        <f t="shared" si="71"/>
        <v>620000</v>
      </c>
      <c r="V257" s="4">
        <f t="shared" si="71"/>
        <v>620000</v>
      </c>
      <c r="W257" s="4">
        <f t="shared" si="71"/>
        <v>620000</v>
      </c>
      <c r="X257" s="4">
        <f t="shared" si="71"/>
        <v>620000</v>
      </c>
      <c r="Y257" s="4">
        <f t="shared" si="71"/>
        <v>620000</v>
      </c>
      <c r="Z257" s="4">
        <f t="shared" si="71"/>
        <v>620000</v>
      </c>
    </row>
    <row r="258" spans="1:26">
      <c r="A258" s="2" t="s">
        <v>44</v>
      </c>
      <c r="B258" s="3">
        <f t="shared" si="71"/>
        <v>0</v>
      </c>
      <c r="C258" s="3">
        <f t="shared" si="71"/>
        <v>0</v>
      </c>
      <c r="D258" s="3">
        <f t="shared" si="71"/>
        <v>0</v>
      </c>
      <c r="E258" s="3">
        <f t="shared" si="71"/>
        <v>0</v>
      </c>
      <c r="F258" s="3">
        <f t="shared" si="71"/>
        <v>0</v>
      </c>
      <c r="G258" s="3">
        <f t="shared" si="71"/>
        <v>0</v>
      </c>
      <c r="H258" s="3">
        <f t="shared" si="71"/>
        <v>0</v>
      </c>
      <c r="I258" s="3">
        <f t="shared" si="71"/>
        <v>0</v>
      </c>
      <c r="J258" s="3">
        <f t="shared" si="71"/>
        <v>0</v>
      </c>
      <c r="K258" s="3">
        <f t="shared" si="71"/>
        <v>0</v>
      </c>
      <c r="L258" s="3">
        <f t="shared" si="71"/>
        <v>0</v>
      </c>
      <c r="M258" s="3">
        <f t="shared" si="71"/>
        <v>0</v>
      </c>
      <c r="N258" s="3">
        <f t="shared" si="71"/>
        <v>0</v>
      </c>
      <c r="O258" s="3">
        <f t="shared" si="71"/>
        <v>0</v>
      </c>
      <c r="P258" s="3">
        <f t="shared" si="71"/>
        <v>0</v>
      </c>
      <c r="Q258" s="3">
        <f t="shared" si="71"/>
        <v>0</v>
      </c>
      <c r="R258" s="4">
        <f t="shared" si="71"/>
        <v>620000</v>
      </c>
      <c r="S258" s="4">
        <f t="shared" si="71"/>
        <v>620000</v>
      </c>
      <c r="T258" s="4">
        <f t="shared" si="71"/>
        <v>620000</v>
      </c>
      <c r="U258" s="4">
        <f t="shared" si="71"/>
        <v>620000</v>
      </c>
      <c r="V258" s="4">
        <f t="shared" si="71"/>
        <v>620000</v>
      </c>
      <c r="W258" s="4">
        <f t="shared" si="71"/>
        <v>620000</v>
      </c>
      <c r="X258" s="4">
        <f t="shared" si="71"/>
        <v>620000</v>
      </c>
      <c r="Y258" s="4">
        <f t="shared" si="71"/>
        <v>620000</v>
      </c>
      <c r="Z258" s="4">
        <f t="shared" si="71"/>
        <v>620000</v>
      </c>
    </row>
    <row r="259" spans="1:26">
      <c r="A259" s="2" t="s">
        <v>45</v>
      </c>
      <c r="B259" s="3">
        <f t="shared" si="71"/>
        <v>0</v>
      </c>
      <c r="C259" s="3">
        <f t="shared" si="71"/>
        <v>0</v>
      </c>
      <c r="D259" s="3">
        <f t="shared" si="71"/>
        <v>0</v>
      </c>
      <c r="E259" s="3">
        <f t="shared" si="71"/>
        <v>0</v>
      </c>
      <c r="F259" s="3">
        <f t="shared" si="71"/>
        <v>0</v>
      </c>
      <c r="G259" s="3">
        <f t="shared" si="71"/>
        <v>0</v>
      </c>
      <c r="H259" s="3">
        <f t="shared" si="71"/>
        <v>0</v>
      </c>
      <c r="I259" s="3">
        <f t="shared" si="71"/>
        <v>0</v>
      </c>
      <c r="J259" s="3">
        <f t="shared" si="71"/>
        <v>0</v>
      </c>
      <c r="K259" s="3">
        <f t="shared" si="71"/>
        <v>0</v>
      </c>
      <c r="L259" s="3">
        <f t="shared" si="71"/>
        <v>0</v>
      </c>
      <c r="M259" s="3">
        <f t="shared" si="71"/>
        <v>0</v>
      </c>
      <c r="N259" s="3">
        <f t="shared" si="71"/>
        <v>0</v>
      </c>
      <c r="O259" s="3">
        <f t="shared" si="71"/>
        <v>0</v>
      </c>
      <c r="P259" s="3">
        <f t="shared" si="71"/>
        <v>0</v>
      </c>
      <c r="Q259" s="3">
        <f t="shared" si="71"/>
        <v>0</v>
      </c>
      <c r="R259" s="4">
        <f t="shared" si="71"/>
        <v>620000</v>
      </c>
      <c r="S259" s="4">
        <f t="shared" si="71"/>
        <v>620000</v>
      </c>
      <c r="T259" s="4">
        <f t="shared" si="71"/>
        <v>620000</v>
      </c>
      <c r="U259" s="4">
        <f t="shared" si="71"/>
        <v>620000</v>
      </c>
      <c r="V259" s="4">
        <f t="shared" si="71"/>
        <v>620000</v>
      </c>
      <c r="W259" s="4">
        <f t="shared" si="71"/>
        <v>620000</v>
      </c>
      <c r="X259" s="4">
        <f t="shared" si="71"/>
        <v>620000</v>
      </c>
      <c r="Y259" s="4">
        <f t="shared" si="71"/>
        <v>620000</v>
      </c>
      <c r="Z259" s="4">
        <f t="shared" si="71"/>
        <v>620000</v>
      </c>
    </row>
    <row r="260" spans="1:26">
      <c r="A260" s="2" t="s">
        <v>46</v>
      </c>
      <c r="B260" s="3">
        <f t="shared" si="71"/>
        <v>0</v>
      </c>
      <c r="C260" s="3">
        <f t="shared" si="71"/>
        <v>0</v>
      </c>
      <c r="D260" s="3">
        <f t="shared" si="71"/>
        <v>0</v>
      </c>
      <c r="E260" s="3">
        <f t="shared" si="71"/>
        <v>0</v>
      </c>
      <c r="F260" s="3">
        <f t="shared" si="71"/>
        <v>0</v>
      </c>
      <c r="G260" s="3">
        <f t="shared" si="71"/>
        <v>0</v>
      </c>
      <c r="H260" s="3">
        <f t="shared" si="71"/>
        <v>0</v>
      </c>
      <c r="I260" s="3">
        <f t="shared" si="71"/>
        <v>0</v>
      </c>
      <c r="J260" s="3">
        <f t="shared" si="71"/>
        <v>0</v>
      </c>
      <c r="K260" s="3">
        <f t="shared" si="71"/>
        <v>0</v>
      </c>
      <c r="L260" s="3">
        <f t="shared" si="71"/>
        <v>0</v>
      </c>
      <c r="M260" s="3">
        <f t="shared" si="71"/>
        <v>0</v>
      </c>
      <c r="N260" s="3">
        <f t="shared" si="71"/>
        <v>0</v>
      </c>
      <c r="O260" s="3">
        <f t="shared" si="71"/>
        <v>0</v>
      </c>
      <c r="P260" s="3">
        <f t="shared" si="71"/>
        <v>64809</v>
      </c>
      <c r="Q260" s="4">
        <f t="shared" si="71"/>
        <v>100000</v>
      </c>
      <c r="R260" s="4">
        <f t="shared" si="71"/>
        <v>620000</v>
      </c>
      <c r="S260" s="4">
        <f t="shared" si="71"/>
        <v>620000</v>
      </c>
      <c r="T260" s="4">
        <f t="shared" si="71"/>
        <v>620000</v>
      </c>
      <c r="U260" s="4">
        <f t="shared" si="71"/>
        <v>620000</v>
      </c>
      <c r="V260" s="4">
        <f t="shared" si="71"/>
        <v>620000</v>
      </c>
      <c r="W260" s="4">
        <f t="shared" si="71"/>
        <v>620000</v>
      </c>
      <c r="X260" s="4">
        <f t="shared" si="71"/>
        <v>620000</v>
      </c>
      <c r="Y260" s="4">
        <f t="shared" si="71"/>
        <v>620000</v>
      </c>
      <c r="Z260" s="4">
        <f t="shared" si="71"/>
        <v>620000</v>
      </c>
    </row>
    <row r="261" spans="1:26">
      <c r="A261" s="2" t="s">
        <v>47</v>
      </c>
      <c r="B261" s="3">
        <f t="shared" si="71"/>
        <v>0</v>
      </c>
      <c r="C261" s="3">
        <f t="shared" si="71"/>
        <v>0</v>
      </c>
      <c r="D261" s="3">
        <f t="shared" si="71"/>
        <v>0</v>
      </c>
      <c r="E261" s="3">
        <f t="shared" si="71"/>
        <v>0</v>
      </c>
      <c r="F261" s="3">
        <f t="shared" si="71"/>
        <v>0</v>
      </c>
      <c r="G261" s="3">
        <f t="shared" si="71"/>
        <v>0</v>
      </c>
      <c r="H261" s="3">
        <f t="shared" si="71"/>
        <v>0</v>
      </c>
      <c r="I261" s="3">
        <f t="shared" si="71"/>
        <v>0</v>
      </c>
      <c r="J261" s="3">
        <f t="shared" si="71"/>
        <v>0</v>
      </c>
      <c r="K261" s="3">
        <f t="shared" si="71"/>
        <v>0</v>
      </c>
      <c r="L261" s="3">
        <f t="shared" si="71"/>
        <v>0</v>
      </c>
      <c r="M261" s="3">
        <f t="shared" si="71"/>
        <v>0</v>
      </c>
      <c r="N261" s="3">
        <f t="shared" si="71"/>
        <v>0</v>
      </c>
      <c r="O261" s="3">
        <f t="shared" si="71"/>
        <v>0</v>
      </c>
      <c r="P261" s="3">
        <f t="shared" si="71"/>
        <v>0</v>
      </c>
      <c r="Q261" s="4">
        <f t="shared" si="71"/>
        <v>100000</v>
      </c>
      <c r="R261" s="4">
        <f t="shared" si="71"/>
        <v>620000</v>
      </c>
      <c r="S261" s="4">
        <f t="shared" si="71"/>
        <v>620000</v>
      </c>
      <c r="T261" s="4">
        <f t="shared" si="71"/>
        <v>620000</v>
      </c>
      <c r="U261" s="4">
        <f t="shared" si="71"/>
        <v>620000</v>
      </c>
      <c r="V261" s="4">
        <f t="shared" si="71"/>
        <v>620000</v>
      </c>
      <c r="W261" s="4">
        <f t="shared" si="71"/>
        <v>620000</v>
      </c>
      <c r="X261" s="4">
        <f t="shared" si="71"/>
        <v>620000</v>
      </c>
      <c r="Y261" s="4">
        <f t="shared" si="71"/>
        <v>620000</v>
      </c>
      <c r="Z261" s="4">
        <f t="shared" si="71"/>
        <v>620000</v>
      </c>
    </row>
    <row r="262" spans="1:26">
      <c r="A262" s="2" t="s">
        <v>48</v>
      </c>
      <c r="B262" s="3">
        <f t="shared" si="71"/>
        <v>0</v>
      </c>
      <c r="C262" s="3">
        <f t="shared" si="71"/>
        <v>0</v>
      </c>
      <c r="D262" s="3">
        <f t="shared" si="71"/>
        <v>0</v>
      </c>
      <c r="E262" s="3">
        <f t="shared" si="71"/>
        <v>0</v>
      </c>
      <c r="F262" s="3">
        <f t="shared" si="71"/>
        <v>0</v>
      </c>
      <c r="G262" s="3">
        <f t="shared" si="71"/>
        <v>0</v>
      </c>
      <c r="H262" s="3">
        <f t="shared" si="71"/>
        <v>0</v>
      </c>
      <c r="I262" s="3">
        <f t="shared" si="71"/>
        <v>0</v>
      </c>
      <c r="J262" s="3">
        <f t="shared" si="71"/>
        <v>0</v>
      </c>
      <c r="K262" s="3">
        <f t="shared" si="71"/>
        <v>0</v>
      </c>
      <c r="L262" s="3">
        <f t="shared" si="71"/>
        <v>0</v>
      </c>
      <c r="M262" s="3">
        <f t="shared" si="71"/>
        <v>0</v>
      </c>
      <c r="N262" s="3">
        <f t="shared" si="71"/>
        <v>0</v>
      </c>
      <c r="O262" s="3">
        <f t="shared" si="71"/>
        <v>0</v>
      </c>
      <c r="P262" s="3">
        <f t="shared" si="71"/>
        <v>0</v>
      </c>
      <c r="Q262" s="4">
        <f t="shared" si="71"/>
        <v>100000</v>
      </c>
      <c r="R262" s="4">
        <f t="shared" si="71"/>
        <v>620000</v>
      </c>
      <c r="S262" s="4">
        <f t="shared" si="71"/>
        <v>620000</v>
      </c>
      <c r="T262" s="4">
        <f t="shared" si="71"/>
        <v>620000</v>
      </c>
      <c r="U262" s="4">
        <f t="shared" si="71"/>
        <v>620000</v>
      </c>
      <c r="V262" s="4">
        <f t="shared" si="71"/>
        <v>620000</v>
      </c>
      <c r="W262" s="4">
        <f t="shared" si="71"/>
        <v>620000</v>
      </c>
      <c r="X262" s="4">
        <f t="shared" si="71"/>
        <v>620000</v>
      </c>
      <c r="Y262" s="4">
        <f t="shared" si="71"/>
        <v>620000</v>
      </c>
      <c r="Z262" s="4">
        <f t="shared" si="71"/>
        <v>620000</v>
      </c>
    </row>
    <row r="263" spans="1:26">
      <c r="A263" s="2" t="s">
        <v>49</v>
      </c>
      <c r="B263" s="3">
        <f t="shared" si="71"/>
        <v>0</v>
      </c>
      <c r="C263" s="3">
        <f t="shared" si="71"/>
        <v>0</v>
      </c>
      <c r="D263" s="3">
        <f t="shared" si="71"/>
        <v>0</v>
      </c>
      <c r="E263" s="3">
        <f t="shared" si="71"/>
        <v>0</v>
      </c>
      <c r="F263" s="3">
        <f t="shared" si="71"/>
        <v>0</v>
      </c>
      <c r="G263" s="3">
        <f t="shared" si="71"/>
        <v>0</v>
      </c>
      <c r="H263" s="3">
        <f t="shared" si="71"/>
        <v>0</v>
      </c>
      <c r="I263" s="3">
        <f t="shared" si="71"/>
        <v>0</v>
      </c>
      <c r="J263" s="3">
        <f t="shared" si="71"/>
        <v>0</v>
      </c>
      <c r="K263" s="3">
        <f t="shared" si="71"/>
        <v>0</v>
      </c>
      <c r="L263" s="3">
        <f t="shared" si="71"/>
        <v>0</v>
      </c>
      <c r="M263" s="3">
        <f t="shared" si="71"/>
        <v>0</v>
      </c>
      <c r="N263" s="3">
        <f t="shared" si="71"/>
        <v>0</v>
      </c>
      <c r="O263" s="3">
        <f t="shared" si="71"/>
        <v>0</v>
      </c>
      <c r="P263" s="3">
        <f t="shared" si="71"/>
        <v>0</v>
      </c>
      <c r="Q263" s="4">
        <f t="shared" si="71"/>
        <v>100000</v>
      </c>
      <c r="R263" s="4">
        <f t="shared" si="71"/>
        <v>620000</v>
      </c>
      <c r="S263" s="4">
        <f t="shared" si="71"/>
        <v>620000</v>
      </c>
      <c r="T263" s="4">
        <f t="shared" si="71"/>
        <v>620000</v>
      </c>
      <c r="U263" s="4">
        <f t="shared" si="71"/>
        <v>620000</v>
      </c>
      <c r="V263" s="4">
        <f t="shared" si="71"/>
        <v>620000</v>
      </c>
      <c r="W263" s="4">
        <f t="shared" si="71"/>
        <v>620000</v>
      </c>
      <c r="X263" s="4">
        <f t="shared" si="71"/>
        <v>620000</v>
      </c>
      <c r="Y263" s="4">
        <f t="shared" si="71"/>
        <v>620000</v>
      </c>
      <c r="Z263" s="4">
        <f t="shared" si="71"/>
        <v>620000</v>
      </c>
    </row>
    <row r="264" spans="1:26">
      <c r="A264" s="2" t="s">
        <v>50</v>
      </c>
      <c r="B264" s="3">
        <f t="shared" si="71"/>
        <v>0</v>
      </c>
      <c r="C264" s="3">
        <f t="shared" si="71"/>
        <v>0</v>
      </c>
      <c r="D264" s="3">
        <f t="shared" si="71"/>
        <v>0</v>
      </c>
      <c r="E264" s="3">
        <f t="shared" si="71"/>
        <v>0</v>
      </c>
      <c r="F264" s="3">
        <f t="shared" si="71"/>
        <v>0</v>
      </c>
      <c r="G264" s="3">
        <f t="shared" si="71"/>
        <v>0</v>
      </c>
      <c r="H264" s="3">
        <f t="shared" si="71"/>
        <v>0</v>
      </c>
      <c r="I264" s="3">
        <f t="shared" si="71"/>
        <v>0</v>
      </c>
      <c r="J264" s="3">
        <f t="shared" si="71"/>
        <v>0</v>
      </c>
      <c r="K264" s="3">
        <f t="shared" si="71"/>
        <v>0</v>
      </c>
      <c r="L264" s="3">
        <f t="shared" si="71"/>
        <v>0</v>
      </c>
      <c r="M264" s="3">
        <f t="shared" si="71"/>
        <v>0</v>
      </c>
      <c r="N264" s="3">
        <f t="shared" si="71"/>
        <v>0</v>
      </c>
      <c r="O264" s="3">
        <f t="shared" si="71"/>
        <v>1484063</v>
      </c>
      <c r="P264" s="3">
        <f t="shared" si="71"/>
        <v>0</v>
      </c>
      <c r="Q264" s="4">
        <f t="shared" si="71"/>
        <v>100000</v>
      </c>
      <c r="R264" s="4">
        <f t="shared" si="71"/>
        <v>-2455321.3916809978</v>
      </c>
      <c r="S264" s="4">
        <f t="shared" si="71"/>
        <v>1327417.4603384172</v>
      </c>
      <c r="T264" s="4">
        <f t="shared" si="71"/>
        <v>-682586.34507295617</v>
      </c>
      <c r="U264" s="4">
        <f t="shared" si="71"/>
        <v>36176880.961696811</v>
      </c>
      <c r="V264" s="4">
        <f t="shared" si="71"/>
        <v>-651330841.51664865</v>
      </c>
      <c r="W264" s="4">
        <f t="shared" si="71"/>
        <v>10063060527.557905</v>
      </c>
      <c r="X264" s="4">
        <f t="shared" si="71"/>
        <v>-143485235074.91379</v>
      </c>
      <c r="Y264" s="4">
        <f t="shared" si="71"/>
        <v>1905915026590.427</v>
      </c>
      <c r="Z264" s="4">
        <f t="shared" si="71"/>
        <v>-23699187943463.141</v>
      </c>
    </row>
    <row r="265" spans="1:26">
      <c r="A265" s="2" t="s">
        <v>51</v>
      </c>
      <c r="B265" s="3">
        <f t="shared" si="71"/>
        <v>0</v>
      </c>
      <c r="C265" s="3">
        <f t="shared" si="71"/>
        <v>0</v>
      </c>
      <c r="D265" s="3">
        <f t="shared" si="71"/>
        <v>0</v>
      </c>
      <c r="E265" s="3">
        <f t="shared" si="71"/>
        <v>0</v>
      </c>
      <c r="F265" s="3">
        <f t="shared" si="71"/>
        <v>0</v>
      </c>
      <c r="G265" s="3">
        <f t="shared" si="71"/>
        <v>0</v>
      </c>
      <c r="H265" s="3">
        <f t="shared" si="71"/>
        <v>0</v>
      </c>
      <c r="I265" s="3">
        <f t="shared" si="71"/>
        <v>0</v>
      </c>
      <c r="J265" s="3">
        <f t="shared" si="71"/>
        <v>0</v>
      </c>
      <c r="K265" s="3">
        <f t="shared" si="71"/>
        <v>0</v>
      </c>
      <c r="L265" s="3">
        <f t="shared" si="71"/>
        <v>0</v>
      </c>
      <c r="M265" s="3">
        <f t="shared" si="71"/>
        <v>0</v>
      </c>
      <c r="N265" s="3">
        <f t="shared" si="71"/>
        <v>0</v>
      </c>
      <c r="O265" s="3">
        <f t="shared" si="71"/>
        <v>0</v>
      </c>
      <c r="P265" s="3">
        <f t="shared" si="71"/>
        <v>0</v>
      </c>
      <c r="Q265" s="4">
        <f t="shared" si="71"/>
        <v>100000</v>
      </c>
      <c r="R265" s="4">
        <f t="shared" si="71"/>
        <v>620002</v>
      </c>
      <c r="S265" s="4">
        <f t="shared" si="71"/>
        <v>620003</v>
      </c>
      <c r="T265" s="4">
        <f t="shared" si="71"/>
        <v>620004</v>
      </c>
      <c r="U265" s="4">
        <f t="shared" si="71"/>
        <v>620005</v>
      </c>
      <c r="V265" s="4">
        <f t="shared" si="71"/>
        <v>620006</v>
      </c>
      <c r="W265" s="4">
        <f t="shared" si="71"/>
        <v>620007</v>
      </c>
      <c r="X265" s="4">
        <f t="shared" si="71"/>
        <v>620008</v>
      </c>
      <c r="Y265" s="4">
        <f t="shared" si="71"/>
        <v>620009</v>
      </c>
      <c r="Z265" s="4">
        <f t="shared" si="71"/>
        <v>620010</v>
      </c>
    </row>
    <row r="266" spans="1:26">
      <c r="A266" s="2" t="s">
        <v>52</v>
      </c>
      <c r="B266" s="3">
        <f t="shared" si="71"/>
        <v>0</v>
      </c>
      <c r="C266" s="3">
        <f t="shared" si="71"/>
        <v>0</v>
      </c>
      <c r="D266" s="3">
        <f t="shared" si="71"/>
        <v>0</v>
      </c>
      <c r="E266" s="3">
        <f t="shared" si="71"/>
        <v>0</v>
      </c>
      <c r="F266" s="3">
        <f t="shared" si="71"/>
        <v>0</v>
      </c>
      <c r="G266" s="3">
        <f t="shared" si="71"/>
        <v>0</v>
      </c>
      <c r="H266" s="3">
        <f t="shared" si="71"/>
        <v>0</v>
      </c>
      <c r="I266" s="3">
        <f t="shared" si="71"/>
        <v>0</v>
      </c>
      <c r="J266" s="3">
        <f t="shared" si="71"/>
        <v>0</v>
      </c>
      <c r="K266" s="3">
        <f t="shared" si="71"/>
        <v>0</v>
      </c>
      <c r="L266" s="3">
        <f t="shared" si="71"/>
        <v>0</v>
      </c>
      <c r="M266" s="3">
        <f t="shared" si="71"/>
        <v>0</v>
      </c>
      <c r="N266" s="3">
        <f t="shared" si="71"/>
        <v>0</v>
      </c>
      <c r="O266" s="3">
        <f t="shared" si="71"/>
        <v>829864</v>
      </c>
      <c r="P266" s="3">
        <f t="shared" si="71"/>
        <v>0</v>
      </c>
      <c r="Q266" s="4">
        <f t="shared" si="71"/>
        <v>30000</v>
      </c>
      <c r="R266" s="4">
        <f t="shared" si="71"/>
        <v>-1332802.0875030786</v>
      </c>
      <c r="S266" s="4">
        <f t="shared" si="71"/>
        <v>720551.19469139318</v>
      </c>
      <c r="T266" s="4">
        <f t="shared" si="71"/>
        <v>-370522.77909389464</v>
      </c>
      <c r="U266" s="4">
        <f t="shared" si="71"/>
        <v>20151169.63084881</v>
      </c>
      <c r="V266" s="4">
        <f t="shared" si="71"/>
        <v>-362802926.18653327</v>
      </c>
      <c r="W266" s="4">
        <f t="shared" si="71"/>
        <v>5604885455.5225115</v>
      </c>
      <c r="X266" s="4">
        <f t="shared" si="71"/>
        <v>-79917336680.337067</v>
      </c>
      <c r="Y266" s="4">
        <f t="shared" si="71"/>
        <v>1061542077558.321</v>
      </c>
      <c r="Z266" s="4">
        <f t="shared" si="71"/>
        <v>-13199793594538.313</v>
      </c>
    </row>
    <row r="267" spans="1:26">
      <c r="A267" s="2" t="s">
        <v>53</v>
      </c>
      <c r="B267" s="3">
        <f t="shared" si="71"/>
        <v>0</v>
      </c>
      <c r="C267" s="3">
        <f t="shared" si="71"/>
        <v>0</v>
      </c>
      <c r="D267" s="3">
        <f t="shared" si="71"/>
        <v>0</v>
      </c>
      <c r="E267" s="3">
        <f t="shared" si="71"/>
        <v>0</v>
      </c>
      <c r="F267" s="3">
        <f t="shared" si="71"/>
        <v>0</v>
      </c>
      <c r="G267" s="3">
        <f t="shared" ref="G267:Z268" si="72">G283+G299+G315</f>
        <v>0</v>
      </c>
      <c r="H267" s="3">
        <f t="shared" si="72"/>
        <v>0</v>
      </c>
      <c r="I267" s="3">
        <f t="shared" si="72"/>
        <v>0</v>
      </c>
      <c r="J267" s="3">
        <f t="shared" si="72"/>
        <v>0</v>
      </c>
      <c r="K267" s="3">
        <f t="shared" si="72"/>
        <v>0</v>
      </c>
      <c r="L267" s="3">
        <f t="shared" si="72"/>
        <v>0</v>
      </c>
      <c r="M267" s="3">
        <f t="shared" si="72"/>
        <v>0</v>
      </c>
      <c r="N267" s="3">
        <f t="shared" si="72"/>
        <v>0</v>
      </c>
      <c r="O267" s="3">
        <f t="shared" si="72"/>
        <v>764623</v>
      </c>
      <c r="P267" s="3">
        <f t="shared" si="72"/>
        <v>0</v>
      </c>
      <c r="Q267" s="4">
        <f t="shared" si="72"/>
        <v>30000</v>
      </c>
      <c r="R267" s="4">
        <f t="shared" si="72"/>
        <v>-1231677.5596814833</v>
      </c>
      <c r="S267" s="4">
        <f t="shared" si="72"/>
        <v>665880.36245180527</v>
      </c>
      <c r="T267" s="4">
        <f t="shared" si="72"/>
        <v>-342409.87213318382</v>
      </c>
      <c r="U267" s="4">
        <f t="shared" si="72"/>
        <v>18574085.480707318</v>
      </c>
      <c r="V267" s="4">
        <f t="shared" si="72"/>
        <v>-334409003.89837903</v>
      </c>
      <c r="W267" s="4">
        <f t="shared" si="72"/>
        <v>5166270502.5691986</v>
      </c>
      <c r="X267" s="4">
        <f t="shared" si="72"/>
        <v>-73663387531.094986</v>
      </c>
      <c r="Y267" s="4">
        <f t="shared" si="72"/>
        <v>978470888020.10364</v>
      </c>
      <c r="Z267" s="4">
        <f t="shared" si="72"/>
        <v>-12166841094388.355</v>
      </c>
    </row>
    <row r="268" spans="1:26">
      <c r="A268" s="2" t="s">
        <v>54</v>
      </c>
      <c r="B268" s="3">
        <f t="shared" ref="B268:Q268" si="73">B284+B300+B316</f>
        <v>0</v>
      </c>
      <c r="C268" s="3">
        <f t="shared" si="73"/>
        <v>0</v>
      </c>
      <c r="D268" s="3">
        <f t="shared" si="73"/>
        <v>0</v>
      </c>
      <c r="E268" s="3">
        <f t="shared" si="73"/>
        <v>0</v>
      </c>
      <c r="F268" s="3">
        <f t="shared" si="73"/>
        <v>0</v>
      </c>
      <c r="G268" s="3">
        <f t="shared" si="73"/>
        <v>0</v>
      </c>
      <c r="H268" s="3">
        <f t="shared" si="73"/>
        <v>0</v>
      </c>
      <c r="I268" s="3">
        <f t="shared" si="73"/>
        <v>0</v>
      </c>
      <c r="J268" s="3">
        <f t="shared" si="73"/>
        <v>0</v>
      </c>
      <c r="K268" s="3">
        <f t="shared" si="73"/>
        <v>0</v>
      </c>
      <c r="L268" s="3">
        <f t="shared" si="73"/>
        <v>0</v>
      </c>
      <c r="M268" s="3">
        <f t="shared" si="73"/>
        <v>0</v>
      </c>
      <c r="N268" s="3">
        <f t="shared" si="73"/>
        <v>0</v>
      </c>
      <c r="O268" s="3">
        <f t="shared" si="73"/>
        <v>24475</v>
      </c>
      <c r="P268" s="3">
        <f t="shared" si="73"/>
        <v>0</v>
      </c>
      <c r="Q268" s="4">
        <f t="shared" si="73"/>
        <v>-634012.51398974529</v>
      </c>
      <c r="R268" s="4">
        <f t="shared" si="72"/>
        <v>113169.40888412306</v>
      </c>
      <c r="S268" s="4">
        <f t="shared" si="72"/>
        <v>-7618060.5106629888</v>
      </c>
      <c r="T268" s="4">
        <f t="shared" si="72"/>
        <v>-3504669.774267023</v>
      </c>
      <c r="U268" s="4">
        <f t="shared" si="72"/>
        <v>-79798157.287258536</v>
      </c>
      <c r="V268" s="4">
        <f t="shared" si="72"/>
        <v>1343649277.9174917</v>
      </c>
      <c r="W268" s="4">
        <f t="shared" si="72"/>
        <v>-20839101073.434841</v>
      </c>
      <c r="X268" s="4">
        <f t="shared" si="72"/>
        <v>297061076668.32263</v>
      </c>
      <c r="Y268" s="4">
        <f t="shared" si="72"/>
        <v>-3945932871072.6436</v>
      </c>
      <c r="Z268" s="4">
        <f t="shared" si="72"/>
        <v>49065817758332.773</v>
      </c>
    </row>
    <row r="269" spans="1:26" ht="13.5" thickBot="1">
      <c r="A269" s="2" t="s">
        <v>29</v>
      </c>
      <c r="B269" s="3">
        <f>SUM(B257:B268)</f>
        <v>0</v>
      </c>
      <c r="C269" s="3">
        <f t="shared" ref="C269:Z269" si="74">SUM(C257:C268)</f>
        <v>0</v>
      </c>
      <c r="D269" s="3">
        <f t="shared" si="74"/>
        <v>0</v>
      </c>
      <c r="E269" s="3">
        <f t="shared" si="74"/>
        <v>0</v>
      </c>
      <c r="F269" s="3">
        <f t="shared" si="74"/>
        <v>0</v>
      </c>
      <c r="G269" s="3">
        <f t="shared" si="74"/>
        <v>0</v>
      </c>
      <c r="H269" s="3">
        <f t="shared" si="74"/>
        <v>0</v>
      </c>
      <c r="I269" s="3">
        <f t="shared" si="74"/>
        <v>0</v>
      </c>
      <c r="J269" s="3">
        <f t="shared" si="74"/>
        <v>0</v>
      </c>
      <c r="K269" s="3">
        <f t="shared" si="74"/>
        <v>0</v>
      </c>
      <c r="L269" s="3">
        <f t="shared" si="74"/>
        <v>0</v>
      </c>
      <c r="M269" s="3">
        <f t="shared" si="74"/>
        <v>0</v>
      </c>
      <c r="N269" s="3">
        <f t="shared" si="74"/>
        <v>0</v>
      </c>
      <c r="O269" s="3">
        <f t="shared" si="74"/>
        <v>3103025</v>
      </c>
      <c r="P269" s="3">
        <f t="shared" si="74"/>
        <v>64809</v>
      </c>
      <c r="Q269" s="4">
        <f t="shared" si="74"/>
        <v>25987.48601025471</v>
      </c>
      <c r="R269" s="4">
        <f t="shared" si="74"/>
        <v>53370.370018563321</v>
      </c>
      <c r="S269" s="4">
        <f t="shared" si="74"/>
        <v>55791.506818627007</v>
      </c>
      <c r="T269" s="4">
        <f t="shared" si="74"/>
        <v>59815.22943294188</v>
      </c>
      <c r="U269" s="4">
        <f t="shared" si="74"/>
        <v>63983.785994410515</v>
      </c>
      <c r="V269" s="4">
        <f t="shared" si="74"/>
        <v>66512.315930604935</v>
      </c>
      <c r="W269" s="4">
        <f t="shared" si="74"/>
        <v>75419.214775085449</v>
      </c>
      <c r="X269" s="4">
        <f t="shared" si="74"/>
        <v>77389.976806640625</v>
      </c>
      <c r="Y269" s="4">
        <f t="shared" si="74"/>
        <v>81105.2080078125</v>
      </c>
      <c r="Z269" s="4">
        <f t="shared" si="74"/>
        <v>85952.9609375</v>
      </c>
    </row>
    <row r="270" spans="1:26">
      <c r="A270" s="114"/>
      <c r="B270" s="114"/>
      <c r="C270" s="114"/>
      <c r="D270" s="114"/>
      <c r="E270" s="114"/>
      <c r="F270" s="114"/>
      <c r="G270" s="114"/>
      <c r="H270" s="114"/>
      <c r="I270" s="114"/>
      <c r="J270" s="114"/>
      <c r="K270" s="114"/>
      <c r="L270" s="114"/>
      <c r="M270" s="114"/>
      <c r="N270" s="114"/>
      <c r="O270" s="114"/>
      <c r="P270" s="114"/>
      <c r="Q270" s="114"/>
      <c r="R270" s="114"/>
      <c r="S270" s="114"/>
      <c r="T270" s="114"/>
      <c r="U270" s="114"/>
      <c r="V270" s="114"/>
      <c r="W270" s="114"/>
      <c r="X270" s="114"/>
      <c r="Y270" s="114"/>
      <c r="Z270" s="114"/>
    </row>
    <row r="271" spans="1:26" ht="16.5" thickBot="1">
      <c r="A271" s="109" t="s">
        <v>504</v>
      </c>
    </row>
    <row r="272" spans="1:26" ht="13.5" thickBot="1">
      <c r="A272" s="110"/>
      <c r="B272" s="111">
        <f>B2</f>
        <v>2010</v>
      </c>
      <c r="C272" s="111">
        <f t="shared" ref="C272:Z272" si="75">C2</f>
        <v>2011</v>
      </c>
      <c r="D272" s="111">
        <f t="shared" si="75"/>
        <v>2012</v>
      </c>
      <c r="E272" s="111">
        <f t="shared" si="75"/>
        <v>2013</v>
      </c>
      <c r="F272" s="111">
        <f t="shared" si="75"/>
        <v>2014</v>
      </c>
      <c r="G272" s="111">
        <f t="shared" si="75"/>
        <v>2015</v>
      </c>
      <c r="H272" s="111">
        <f t="shared" si="75"/>
        <v>2016</v>
      </c>
      <c r="I272" s="111">
        <f t="shared" si="75"/>
        <v>2017</v>
      </c>
      <c r="J272" s="111">
        <f t="shared" si="75"/>
        <v>2018</v>
      </c>
      <c r="K272" s="111">
        <f t="shared" si="75"/>
        <v>2019</v>
      </c>
      <c r="L272" s="111">
        <f t="shared" si="75"/>
        <v>2020</v>
      </c>
      <c r="M272" s="111">
        <f t="shared" si="75"/>
        <v>2021</v>
      </c>
      <c r="N272" s="111">
        <f t="shared" si="75"/>
        <v>2022</v>
      </c>
      <c r="O272" s="111">
        <f t="shared" si="75"/>
        <v>2023</v>
      </c>
      <c r="P272" s="111">
        <f t="shared" si="75"/>
        <v>2024</v>
      </c>
      <c r="Q272" s="111">
        <f t="shared" si="75"/>
        <v>2025</v>
      </c>
      <c r="R272" s="111">
        <f t="shared" si="75"/>
        <v>2026</v>
      </c>
      <c r="S272" s="111">
        <f t="shared" si="75"/>
        <v>2027</v>
      </c>
      <c r="T272" s="111">
        <f t="shared" si="75"/>
        <v>2028</v>
      </c>
      <c r="U272" s="111">
        <f t="shared" si="75"/>
        <v>2029</v>
      </c>
      <c r="V272" s="111">
        <f t="shared" si="75"/>
        <v>2030</v>
      </c>
      <c r="W272" s="111">
        <f t="shared" si="75"/>
        <v>2031</v>
      </c>
      <c r="X272" s="111">
        <f t="shared" si="75"/>
        <v>2032</v>
      </c>
      <c r="Y272" s="111">
        <f t="shared" si="75"/>
        <v>2033</v>
      </c>
      <c r="Z272" s="111">
        <f t="shared" si="75"/>
        <v>2034</v>
      </c>
    </row>
    <row r="273" spans="1:26">
      <c r="A273" s="2" t="s">
        <v>43</v>
      </c>
      <c r="B273" s="3">
        <f>'Monthly D6 RIN Data'!$O4</f>
        <v>0</v>
      </c>
      <c r="C273" s="3">
        <f>'Monthly D6 RIN Data'!$O16</f>
        <v>0</v>
      </c>
      <c r="D273" s="3">
        <f>'Monthly D6 RIN Data'!$O28</f>
        <v>0</v>
      </c>
      <c r="E273" s="3">
        <f>'Monthly D6 RIN Data'!$O40</f>
        <v>0</v>
      </c>
      <c r="F273" s="3">
        <f>'Monthly D6 RIN Data'!$O52</f>
        <v>0</v>
      </c>
      <c r="G273" s="3">
        <f>'Monthly D6 RIN Data'!$O64</f>
        <v>0</v>
      </c>
      <c r="H273" s="3">
        <f>'Monthly D6 RIN Data'!$O76</f>
        <v>0</v>
      </c>
      <c r="I273" s="3">
        <f>'Monthly D6 RIN Data'!$O88</f>
        <v>0</v>
      </c>
      <c r="J273" s="3">
        <f>'Monthly D6 RIN Data'!$O100</f>
        <v>0</v>
      </c>
      <c r="K273" s="3">
        <f>'Monthly D6 RIN Data'!$O112</f>
        <v>0</v>
      </c>
      <c r="L273" s="3">
        <f>'Monthly D6 RIN Data'!$O124</f>
        <v>0</v>
      </c>
      <c r="M273" s="3">
        <f>'Monthly D6 RIN Data'!$O136</f>
        <v>0</v>
      </c>
      <c r="N273" s="3">
        <f>'Monthly D6 RIN Data'!$O148</f>
        <v>0</v>
      </c>
      <c r="O273" s="3">
        <f>'Monthly D6 RIN Data'!$O160</f>
        <v>0</v>
      </c>
      <c r="P273" s="3">
        <f>'Monthly D6 RIN Data'!$O172</f>
        <v>0</v>
      </c>
      <c r="Q273" s="3">
        <f>'Monthly D6 RIN Data'!$O184</f>
        <v>0</v>
      </c>
      <c r="R273" s="4">
        <v>620000</v>
      </c>
      <c r="S273" s="4">
        <v>620000</v>
      </c>
      <c r="T273" s="4">
        <v>620000</v>
      </c>
      <c r="U273" s="4">
        <v>620000</v>
      </c>
      <c r="V273" s="4">
        <v>620000</v>
      </c>
      <c r="W273" s="4">
        <v>620000</v>
      </c>
      <c r="X273" s="4">
        <v>620000</v>
      </c>
      <c r="Y273" s="4">
        <v>620000</v>
      </c>
      <c r="Z273" s="4">
        <v>620000</v>
      </c>
    </row>
    <row r="274" spans="1:26">
      <c r="A274" s="2" t="s">
        <v>44</v>
      </c>
      <c r="B274" s="3">
        <f>'Monthly D6 RIN Data'!$O5</f>
        <v>0</v>
      </c>
      <c r="C274" s="3">
        <f>'Monthly D6 RIN Data'!$O17</f>
        <v>0</v>
      </c>
      <c r="D274" s="3">
        <f>'Monthly D6 RIN Data'!$O29</f>
        <v>0</v>
      </c>
      <c r="E274" s="3">
        <f>'Monthly D6 RIN Data'!$O41</f>
        <v>0</v>
      </c>
      <c r="F274" s="3">
        <f>'Monthly D6 RIN Data'!$O53</f>
        <v>0</v>
      </c>
      <c r="G274" s="3">
        <f>'Monthly D6 RIN Data'!$O65</f>
        <v>0</v>
      </c>
      <c r="H274" s="3">
        <f>'Monthly D6 RIN Data'!$O77</f>
        <v>0</v>
      </c>
      <c r="I274" s="3">
        <f>'Monthly D6 RIN Data'!$O89</f>
        <v>0</v>
      </c>
      <c r="J274" s="3">
        <f>'Monthly D6 RIN Data'!$O101</f>
        <v>0</v>
      </c>
      <c r="K274" s="3">
        <f>'Monthly D6 RIN Data'!$O113</f>
        <v>0</v>
      </c>
      <c r="L274" s="3">
        <f>'Monthly D6 RIN Data'!$O125</f>
        <v>0</v>
      </c>
      <c r="M274" s="3">
        <f>'Monthly D6 RIN Data'!$O137</f>
        <v>0</v>
      </c>
      <c r="N274" s="3">
        <f>'Monthly D6 RIN Data'!$O149</f>
        <v>0</v>
      </c>
      <c r="O274" s="3">
        <f>'Monthly D6 RIN Data'!$O161</f>
        <v>0</v>
      </c>
      <c r="P274" s="3">
        <f>'Monthly D6 RIN Data'!$O173</f>
        <v>0</v>
      </c>
      <c r="Q274" s="3">
        <f>'Monthly D6 RIN Data'!$O185</f>
        <v>0</v>
      </c>
      <c r="R274" s="4">
        <v>620000</v>
      </c>
      <c r="S274" s="4">
        <v>620000</v>
      </c>
      <c r="T274" s="4">
        <v>620000</v>
      </c>
      <c r="U274" s="4">
        <v>620000</v>
      </c>
      <c r="V274" s="4">
        <v>620000</v>
      </c>
      <c r="W274" s="4">
        <v>620000</v>
      </c>
      <c r="X274" s="4">
        <v>620000</v>
      </c>
      <c r="Y274" s="4">
        <v>620000</v>
      </c>
      <c r="Z274" s="4">
        <v>620000</v>
      </c>
    </row>
    <row r="275" spans="1:26">
      <c r="A275" s="2" t="s">
        <v>45</v>
      </c>
      <c r="B275" s="3">
        <f>'Monthly D6 RIN Data'!$O6</f>
        <v>0</v>
      </c>
      <c r="C275" s="3">
        <f>'Monthly D6 RIN Data'!$O18</f>
        <v>0</v>
      </c>
      <c r="D275" s="3">
        <f>'Monthly D6 RIN Data'!$O30</f>
        <v>0</v>
      </c>
      <c r="E275" s="3">
        <f>'Monthly D6 RIN Data'!$O42</f>
        <v>0</v>
      </c>
      <c r="F275" s="3">
        <f>'Monthly D6 RIN Data'!$O54</f>
        <v>0</v>
      </c>
      <c r="G275" s="3">
        <f>'Monthly D6 RIN Data'!$O66</f>
        <v>0</v>
      </c>
      <c r="H275" s="3">
        <f>'Monthly D6 RIN Data'!$O78</f>
        <v>0</v>
      </c>
      <c r="I275" s="3">
        <f>'Monthly D6 RIN Data'!$O90</f>
        <v>0</v>
      </c>
      <c r="J275" s="3">
        <f>'Monthly D6 RIN Data'!$O102</f>
        <v>0</v>
      </c>
      <c r="K275" s="3">
        <f>'Monthly D6 RIN Data'!$O114</f>
        <v>0</v>
      </c>
      <c r="L275" s="3">
        <f>'Monthly D6 RIN Data'!$O126</f>
        <v>0</v>
      </c>
      <c r="M275" s="3">
        <f>'Monthly D6 RIN Data'!$O138</f>
        <v>0</v>
      </c>
      <c r="N275" s="3">
        <f>'Monthly D6 RIN Data'!$O150</f>
        <v>0</v>
      </c>
      <c r="O275" s="3">
        <f>'Monthly D6 RIN Data'!$O162</f>
        <v>0</v>
      </c>
      <c r="P275" s="3">
        <f>'Monthly D6 RIN Data'!$O174</f>
        <v>0</v>
      </c>
      <c r="Q275" s="3">
        <f>'Monthly D6 RIN Data'!$O186</f>
        <v>0</v>
      </c>
      <c r="R275" s="4">
        <v>620000</v>
      </c>
      <c r="S275" s="4">
        <v>620000</v>
      </c>
      <c r="T275" s="4">
        <v>620000</v>
      </c>
      <c r="U275" s="4">
        <v>620000</v>
      </c>
      <c r="V275" s="4">
        <v>620000</v>
      </c>
      <c r="W275" s="4">
        <v>620000</v>
      </c>
      <c r="X275" s="4">
        <v>620000</v>
      </c>
      <c r="Y275" s="4">
        <v>620000</v>
      </c>
      <c r="Z275" s="4">
        <v>620000</v>
      </c>
    </row>
    <row r="276" spans="1:26">
      <c r="A276" s="2" t="s">
        <v>46</v>
      </c>
      <c r="B276" s="3">
        <f>'Monthly D6 RIN Data'!$O7</f>
        <v>0</v>
      </c>
      <c r="C276" s="3">
        <f>'Monthly D6 RIN Data'!$O19</f>
        <v>0</v>
      </c>
      <c r="D276" s="3">
        <f>'Monthly D6 RIN Data'!$O31</f>
        <v>0</v>
      </c>
      <c r="E276" s="3">
        <f>'Monthly D6 RIN Data'!$O43</f>
        <v>0</v>
      </c>
      <c r="F276" s="3">
        <f>'Monthly D6 RIN Data'!$O55</f>
        <v>0</v>
      </c>
      <c r="G276" s="3">
        <f>'Monthly D6 RIN Data'!$O67</f>
        <v>0</v>
      </c>
      <c r="H276" s="3">
        <f>'Monthly D6 RIN Data'!$O79</f>
        <v>0</v>
      </c>
      <c r="I276" s="3">
        <f>'Monthly D6 RIN Data'!$O91</f>
        <v>0</v>
      </c>
      <c r="J276" s="3">
        <f>'Monthly D6 RIN Data'!$O103</f>
        <v>0</v>
      </c>
      <c r="K276" s="3">
        <f>'Monthly D6 RIN Data'!$O115</f>
        <v>0</v>
      </c>
      <c r="L276" s="3">
        <f>'Monthly D6 RIN Data'!$O127</f>
        <v>0</v>
      </c>
      <c r="M276" s="3">
        <f>'Monthly D6 RIN Data'!$O139</f>
        <v>0</v>
      </c>
      <c r="N276" s="3">
        <f>'Monthly D6 RIN Data'!$O151</f>
        <v>0</v>
      </c>
      <c r="O276" s="3">
        <f>'Monthly D6 RIN Data'!$O163</f>
        <v>0</v>
      </c>
      <c r="P276" s="3">
        <f>'Monthly D6 RIN Data'!$O175</f>
        <v>64809</v>
      </c>
      <c r="Q276" s="4">
        <v>100000</v>
      </c>
      <c r="R276" s="4">
        <v>620000</v>
      </c>
      <c r="S276" s="4">
        <v>620000</v>
      </c>
      <c r="T276" s="4">
        <v>620000</v>
      </c>
      <c r="U276" s="4">
        <v>620000</v>
      </c>
      <c r="V276" s="4">
        <v>620000</v>
      </c>
      <c r="W276" s="4">
        <v>620000</v>
      </c>
      <c r="X276" s="4">
        <v>620000</v>
      </c>
      <c r="Y276" s="4">
        <v>620000</v>
      </c>
      <c r="Z276" s="4">
        <v>620000</v>
      </c>
    </row>
    <row r="277" spans="1:26">
      <c r="A277" s="2" t="s">
        <v>47</v>
      </c>
      <c r="B277" s="3">
        <f>'Monthly D6 RIN Data'!$O8</f>
        <v>0</v>
      </c>
      <c r="C277" s="3">
        <f>'Monthly D6 RIN Data'!$O20</f>
        <v>0</v>
      </c>
      <c r="D277" s="3">
        <f>'Monthly D6 RIN Data'!$O32</f>
        <v>0</v>
      </c>
      <c r="E277" s="3">
        <f>'Monthly D6 RIN Data'!$O44</f>
        <v>0</v>
      </c>
      <c r="F277" s="3">
        <f>'Monthly D6 RIN Data'!$O56</f>
        <v>0</v>
      </c>
      <c r="G277" s="3">
        <f>'Monthly D6 RIN Data'!$O68</f>
        <v>0</v>
      </c>
      <c r="H277" s="3">
        <f>'Monthly D6 RIN Data'!$O80</f>
        <v>0</v>
      </c>
      <c r="I277" s="3">
        <f>'Monthly D6 RIN Data'!$O92</f>
        <v>0</v>
      </c>
      <c r="J277" s="3">
        <f>'Monthly D6 RIN Data'!$O104</f>
        <v>0</v>
      </c>
      <c r="K277" s="3">
        <f>'Monthly D6 RIN Data'!$O116</f>
        <v>0</v>
      </c>
      <c r="L277" s="3">
        <f>'Monthly D6 RIN Data'!$O128</f>
        <v>0</v>
      </c>
      <c r="M277" s="3">
        <f>'Monthly D6 RIN Data'!$O140</f>
        <v>0</v>
      </c>
      <c r="N277" s="3">
        <f>'Monthly D6 RIN Data'!$O152</f>
        <v>0</v>
      </c>
      <c r="O277" s="3">
        <f>'Monthly D6 RIN Data'!$O164</f>
        <v>0</v>
      </c>
      <c r="P277" s="3">
        <f>'Monthly D6 RIN Data'!$O176</f>
        <v>0</v>
      </c>
      <c r="Q277" s="4">
        <v>100000</v>
      </c>
      <c r="R277" s="4">
        <v>620000</v>
      </c>
      <c r="S277" s="4">
        <v>620000</v>
      </c>
      <c r="T277" s="4">
        <v>620000</v>
      </c>
      <c r="U277" s="4">
        <v>620000</v>
      </c>
      <c r="V277" s="4">
        <v>620000</v>
      </c>
      <c r="W277" s="4">
        <v>620000</v>
      </c>
      <c r="X277" s="4">
        <v>620000</v>
      </c>
      <c r="Y277" s="4">
        <v>620000</v>
      </c>
      <c r="Z277" s="4">
        <v>620000</v>
      </c>
    </row>
    <row r="278" spans="1:26">
      <c r="A278" s="2" t="s">
        <v>48</v>
      </c>
      <c r="B278" s="3">
        <f>'Monthly D6 RIN Data'!$O9</f>
        <v>0</v>
      </c>
      <c r="C278" s="3">
        <f>'Monthly D6 RIN Data'!$O21</f>
        <v>0</v>
      </c>
      <c r="D278" s="3">
        <f>'Monthly D6 RIN Data'!$O33</f>
        <v>0</v>
      </c>
      <c r="E278" s="3">
        <f>'Monthly D6 RIN Data'!$O45</f>
        <v>0</v>
      </c>
      <c r="F278" s="3">
        <f>'Monthly D6 RIN Data'!$O57</f>
        <v>0</v>
      </c>
      <c r="G278" s="3">
        <f>'Monthly D6 RIN Data'!$O69</f>
        <v>0</v>
      </c>
      <c r="H278" s="3">
        <f>'Monthly D6 RIN Data'!$O81</f>
        <v>0</v>
      </c>
      <c r="I278" s="3">
        <f>'Monthly D6 RIN Data'!$O93</f>
        <v>0</v>
      </c>
      <c r="J278" s="3">
        <f>'Monthly D6 RIN Data'!$O105</f>
        <v>0</v>
      </c>
      <c r="K278" s="3">
        <f>'Monthly D6 RIN Data'!$O117</f>
        <v>0</v>
      </c>
      <c r="L278" s="3">
        <f>'Monthly D6 RIN Data'!$O129</f>
        <v>0</v>
      </c>
      <c r="M278" s="3">
        <f>'Monthly D6 RIN Data'!$O141</f>
        <v>0</v>
      </c>
      <c r="N278" s="3">
        <f>'Monthly D6 RIN Data'!$O153</f>
        <v>0</v>
      </c>
      <c r="O278" s="3">
        <f>'Monthly D6 RIN Data'!$O165</f>
        <v>0</v>
      </c>
      <c r="P278" s="3">
        <f>'Monthly D6 RIN Data'!$O177</f>
        <v>0</v>
      </c>
      <c r="Q278" s="4">
        <v>100000</v>
      </c>
      <c r="R278" s="4">
        <v>620000</v>
      </c>
      <c r="S278" s="4">
        <v>620000</v>
      </c>
      <c r="T278" s="4">
        <v>620000</v>
      </c>
      <c r="U278" s="4">
        <v>620000</v>
      </c>
      <c r="V278" s="4">
        <v>620000</v>
      </c>
      <c r="W278" s="4">
        <v>620000</v>
      </c>
      <c r="X278" s="4">
        <v>620000</v>
      </c>
      <c r="Y278" s="4">
        <v>620000</v>
      </c>
      <c r="Z278" s="4">
        <v>620000</v>
      </c>
    </row>
    <row r="279" spans="1:26">
      <c r="A279" s="2" t="s">
        <v>49</v>
      </c>
      <c r="B279" s="3">
        <f>'Monthly D6 RIN Data'!$O10</f>
        <v>0</v>
      </c>
      <c r="C279" s="3">
        <f>'Monthly D6 RIN Data'!$O22</f>
        <v>0</v>
      </c>
      <c r="D279" s="3">
        <f>'Monthly D6 RIN Data'!$O34</f>
        <v>0</v>
      </c>
      <c r="E279" s="3">
        <f>'Monthly D6 RIN Data'!$O46</f>
        <v>0</v>
      </c>
      <c r="F279" s="3">
        <f>'Monthly D6 RIN Data'!$O58</f>
        <v>0</v>
      </c>
      <c r="G279" s="3">
        <f>'Monthly D6 RIN Data'!$O70</f>
        <v>0</v>
      </c>
      <c r="H279" s="3">
        <f>'Monthly D6 RIN Data'!$O82</f>
        <v>0</v>
      </c>
      <c r="I279" s="3">
        <f>'Monthly D6 RIN Data'!$O94</f>
        <v>0</v>
      </c>
      <c r="J279" s="3">
        <f>'Monthly D6 RIN Data'!$O106</f>
        <v>0</v>
      </c>
      <c r="K279" s="3">
        <f>'Monthly D6 RIN Data'!$O118</f>
        <v>0</v>
      </c>
      <c r="L279" s="3">
        <f>'Monthly D6 RIN Data'!$O130</f>
        <v>0</v>
      </c>
      <c r="M279" s="3">
        <f>'Monthly D6 RIN Data'!$O142</f>
        <v>0</v>
      </c>
      <c r="N279" s="3">
        <f>'Monthly D6 RIN Data'!$O154</f>
        <v>0</v>
      </c>
      <c r="O279" s="3">
        <f>'Monthly D6 RIN Data'!$O166</f>
        <v>0</v>
      </c>
      <c r="P279" s="3">
        <f>'Monthly D6 RIN Data'!$O178</f>
        <v>0</v>
      </c>
      <c r="Q279" s="4">
        <v>100000</v>
      </c>
      <c r="R279" s="4">
        <v>620000</v>
      </c>
      <c r="S279" s="4">
        <v>620000</v>
      </c>
      <c r="T279" s="4">
        <v>620000</v>
      </c>
      <c r="U279" s="4">
        <v>620000</v>
      </c>
      <c r="V279" s="4">
        <v>620000</v>
      </c>
      <c r="W279" s="4">
        <v>620000</v>
      </c>
      <c r="X279" s="4">
        <v>620000</v>
      </c>
      <c r="Y279" s="4">
        <v>620000</v>
      </c>
      <c r="Z279" s="4">
        <v>620000</v>
      </c>
    </row>
    <row r="280" spans="1:26">
      <c r="A280" s="2" t="s">
        <v>50</v>
      </c>
      <c r="B280" s="3">
        <f>'Monthly D6 RIN Data'!$O11</f>
        <v>0</v>
      </c>
      <c r="C280" s="3">
        <f>'Monthly D6 RIN Data'!$O23</f>
        <v>0</v>
      </c>
      <c r="D280" s="3">
        <f>'Monthly D6 RIN Data'!$O35</f>
        <v>0</v>
      </c>
      <c r="E280" s="3">
        <f>'Monthly D6 RIN Data'!$O47</f>
        <v>0</v>
      </c>
      <c r="F280" s="3">
        <f>'Monthly D6 RIN Data'!$O59</f>
        <v>0</v>
      </c>
      <c r="G280" s="3">
        <f>'Monthly D6 RIN Data'!$O71</f>
        <v>0</v>
      </c>
      <c r="H280" s="3">
        <f>'Monthly D6 RIN Data'!$O83</f>
        <v>0</v>
      </c>
      <c r="I280" s="3">
        <f>'Monthly D6 RIN Data'!$O95</f>
        <v>0</v>
      </c>
      <c r="J280" s="3">
        <f>'Monthly D6 RIN Data'!$O107</f>
        <v>0</v>
      </c>
      <c r="K280" s="3">
        <f>'Monthly D6 RIN Data'!$O119</f>
        <v>0</v>
      </c>
      <c r="L280" s="3">
        <f>'Monthly D6 RIN Data'!$O131</f>
        <v>0</v>
      </c>
      <c r="M280" s="3">
        <f>'Monthly D6 RIN Data'!$O143</f>
        <v>0</v>
      </c>
      <c r="N280" s="3">
        <f>'Monthly D6 RIN Data'!$O155</f>
        <v>0</v>
      </c>
      <c r="O280" s="3">
        <f>'Monthly D6 RIN Data'!$O167</f>
        <v>1484063</v>
      </c>
      <c r="P280" s="3">
        <f>'Monthly D6 RIN Data'!$O179</f>
        <v>0</v>
      </c>
      <c r="Q280" s="4">
        <v>100000</v>
      </c>
      <c r="R280" s="4">
        <f t="shared" ref="R280:Z280" si="76">(R$285-SUM(R$273:R$279,R$281))*(SUM(M280:Q280)/SUM(M$285:Q$285))</f>
        <v>-2455321.3916809978</v>
      </c>
      <c r="S280" s="4">
        <f t="shared" si="76"/>
        <v>1327417.4603384172</v>
      </c>
      <c r="T280" s="4">
        <f t="shared" si="76"/>
        <v>-682586.34507295617</v>
      </c>
      <c r="U280" s="4">
        <f t="shared" si="76"/>
        <v>36176880.961696811</v>
      </c>
      <c r="V280" s="4">
        <f t="shared" si="76"/>
        <v>-651330841.51664865</v>
      </c>
      <c r="W280" s="4">
        <f t="shared" si="76"/>
        <v>10063060527.557905</v>
      </c>
      <c r="X280" s="4">
        <f t="shared" si="76"/>
        <v>-143485235074.91379</v>
      </c>
      <c r="Y280" s="4">
        <f t="shared" si="76"/>
        <v>1905915026590.427</v>
      </c>
      <c r="Z280" s="4">
        <f t="shared" si="76"/>
        <v>-23699187943463.141</v>
      </c>
    </row>
    <row r="281" spans="1:26">
      <c r="A281" s="2" t="s">
        <v>51</v>
      </c>
      <c r="B281" s="3">
        <f>'Monthly D6 RIN Data'!$O12</f>
        <v>0</v>
      </c>
      <c r="C281" s="3">
        <f>'Monthly D6 RIN Data'!$O24</f>
        <v>0</v>
      </c>
      <c r="D281" s="3">
        <f>'Monthly D6 RIN Data'!$O36</f>
        <v>0</v>
      </c>
      <c r="E281" s="3">
        <f>'Monthly D6 RIN Data'!$O48</f>
        <v>0</v>
      </c>
      <c r="F281" s="3">
        <f>'Monthly D6 RIN Data'!$O60</f>
        <v>0</v>
      </c>
      <c r="G281" s="3">
        <f>'Monthly D6 RIN Data'!$O72</f>
        <v>0</v>
      </c>
      <c r="H281" s="3">
        <f>'Monthly D6 RIN Data'!$O84</f>
        <v>0</v>
      </c>
      <c r="I281" s="3">
        <f>'Monthly D6 RIN Data'!$O96</f>
        <v>0</v>
      </c>
      <c r="J281" s="3">
        <f>'Monthly D6 RIN Data'!$O108</f>
        <v>0</v>
      </c>
      <c r="K281" s="3">
        <f>'Monthly D6 RIN Data'!$O120</f>
        <v>0</v>
      </c>
      <c r="L281" s="3">
        <f>'Monthly D6 RIN Data'!$O132</f>
        <v>0</v>
      </c>
      <c r="M281" s="3">
        <f>'Monthly D6 RIN Data'!$O144</f>
        <v>0</v>
      </c>
      <c r="N281" s="3">
        <f>'Monthly D6 RIN Data'!$O156</f>
        <v>0</v>
      </c>
      <c r="O281" s="3">
        <f>'Monthly D6 RIN Data'!$O168</f>
        <v>0</v>
      </c>
      <c r="P281" s="3">
        <f>'Monthly D6 RIN Data'!$O180</f>
        <v>0</v>
      </c>
      <c r="Q281" s="4">
        <v>100000</v>
      </c>
      <c r="R281" s="4">
        <v>620002</v>
      </c>
      <c r="S281" s="4">
        <v>620003</v>
      </c>
      <c r="T281" s="4">
        <v>620004</v>
      </c>
      <c r="U281" s="4">
        <v>620005</v>
      </c>
      <c r="V281" s="4">
        <v>620006</v>
      </c>
      <c r="W281" s="4">
        <v>620007</v>
      </c>
      <c r="X281" s="4">
        <v>620008</v>
      </c>
      <c r="Y281" s="4">
        <v>620009</v>
      </c>
      <c r="Z281" s="4">
        <v>620010</v>
      </c>
    </row>
    <row r="282" spans="1:26">
      <c r="A282" s="2" t="s">
        <v>52</v>
      </c>
      <c r="B282" s="3">
        <f>'Monthly D6 RIN Data'!$O13</f>
        <v>0</v>
      </c>
      <c r="C282" s="3">
        <f>'Monthly D6 RIN Data'!$O25</f>
        <v>0</v>
      </c>
      <c r="D282" s="3">
        <f>'Monthly D6 RIN Data'!$O37</f>
        <v>0</v>
      </c>
      <c r="E282" s="3">
        <f>'Monthly D6 RIN Data'!$O49</f>
        <v>0</v>
      </c>
      <c r="F282" s="3">
        <f>'Monthly D6 RIN Data'!$O61</f>
        <v>0</v>
      </c>
      <c r="G282" s="3">
        <f>'Monthly D6 RIN Data'!$O73</f>
        <v>0</v>
      </c>
      <c r="H282" s="3">
        <f>'Monthly D6 RIN Data'!$O85</f>
        <v>0</v>
      </c>
      <c r="I282" s="3">
        <f>'Monthly D6 RIN Data'!$O97</f>
        <v>0</v>
      </c>
      <c r="J282" s="3">
        <f>'Monthly D6 RIN Data'!$O109</f>
        <v>0</v>
      </c>
      <c r="K282" s="3">
        <f>'Monthly D6 RIN Data'!$O121</f>
        <v>0</v>
      </c>
      <c r="L282" s="3">
        <f>'Monthly D6 RIN Data'!$O133</f>
        <v>0</v>
      </c>
      <c r="M282" s="3">
        <f>'Monthly D6 RIN Data'!$O145</f>
        <v>0</v>
      </c>
      <c r="N282" s="3">
        <f>'Monthly D6 RIN Data'!$O157</f>
        <v>0</v>
      </c>
      <c r="O282" s="3">
        <f>'Monthly D6 RIN Data'!$O169</f>
        <v>829864</v>
      </c>
      <c r="P282" s="3">
        <f>'Monthly D6 RIN Data'!$O181</f>
        <v>0</v>
      </c>
      <c r="Q282" s="4">
        <v>30000</v>
      </c>
      <c r="R282" s="4">
        <f t="shared" ref="R282:Z283" si="77">(R$285-SUM(R$273:R$279,R$281))*(SUM(M282:Q282)/SUM(M$285:Q$285))</f>
        <v>-1332802.0875030786</v>
      </c>
      <c r="S282" s="4">
        <f t="shared" si="77"/>
        <v>720551.19469139318</v>
      </c>
      <c r="T282" s="4">
        <f t="shared" si="77"/>
        <v>-370522.77909389464</v>
      </c>
      <c r="U282" s="4">
        <f t="shared" si="77"/>
        <v>20151169.63084881</v>
      </c>
      <c r="V282" s="4">
        <f t="shared" si="77"/>
        <v>-362802926.18653327</v>
      </c>
      <c r="W282" s="4">
        <f t="shared" si="77"/>
        <v>5604885455.5225115</v>
      </c>
      <c r="X282" s="4">
        <f t="shared" si="77"/>
        <v>-79917336680.337067</v>
      </c>
      <c r="Y282" s="4">
        <f t="shared" si="77"/>
        <v>1061542077558.321</v>
      </c>
      <c r="Z282" s="4">
        <f t="shared" si="77"/>
        <v>-13199793594538.313</v>
      </c>
    </row>
    <row r="283" spans="1:26">
      <c r="A283" s="2" t="s">
        <v>53</v>
      </c>
      <c r="B283" s="3">
        <f>'Monthly D6 RIN Data'!$O14</f>
        <v>0</v>
      </c>
      <c r="C283" s="3">
        <f>'Monthly D6 RIN Data'!$O26</f>
        <v>0</v>
      </c>
      <c r="D283" s="3">
        <f>'Monthly D6 RIN Data'!$O38</f>
        <v>0</v>
      </c>
      <c r="E283" s="3">
        <f>'Monthly D6 RIN Data'!$O50</f>
        <v>0</v>
      </c>
      <c r="F283" s="3">
        <f>'Monthly D6 RIN Data'!$O62</f>
        <v>0</v>
      </c>
      <c r="G283" s="3">
        <f>'Monthly D6 RIN Data'!$O74</f>
        <v>0</v>
      </c>
      <c r="H283" s="3">
        <f>'Monthly D6 RIN Data'!$O86</f>
        <v>0</v>
      </c>
      <c r="I283" s="3">
        <f>'Monthly D6 RIN Data'!$O98</f>
        <v>0</v>
      </c>
      <c r="J283" s="3">
        <f>'Monthly D6 RIN Data'!$O110</f>
        <v>0</v>
      </c>
      <c r="K283" s="3">
        <f>'Monthly D6 RIN Data'!$O122</f>
        <v>0</v>
      </c>
      <c r="L283" s="3">
        <f>'Monthly D6 RIN Data'!$O134</f>
        <v>0</v>
      </c>
      <c r="M283" s="3">
        <f>'Monthly D6 RIN Data'!$O146</f>
        <v>0</v>
      </c>
      <c r="N283" s="3">
        <f>'Monthly D6 RIN Data'!$O158</f>
        <v>0</v>
      </c>
      <c r="O283" s="3">
        <f>'Monthly D6 RIN Data'!$O170</f>
        <v>764623</v>
      </c>
      <c r="P283" s="3">
        <f>'Monthly D6 RIN Data'!$O182</f>
        <v>0</v>
      </c>
      <c r="Q283" s="4">
        <v>30000</v>
      </c>
      <c r="R283" s="4">
        <f t="shared" si="77"/>
        <v>-1231677.5596814833</v>
      </c>
      <c r="S283" s="4">
        <f t="shared" si="77"/>
        <v>665880.36245180527</v>
      </c>
      <c r="T283" s="4">
        <f t="shared" si="77"/>
        <v>-342409.87213318382</v>
      </c>
      <c r="U283" s="4">
        <f t="shared" si="77"/>
        <v>18574085.480707318</v>
      </c>
      <c r="V283" s="4">
        <f t="shared" si="77"/>
        <v>-334409003.89837903</v>
      </c>
      <c r="W283" s="4">
        <f t="shared" si="77"/>
        <v>5166270502.5691986</v>
      </c>
      <c r="X283" s="4">
        <f t="shared" si="77"/>
        <v>-73663387531.094986</v>
      </c>
      <c r="Y283" s="4">
        <f t="shared" si="77"/>
        <v>978470888020.10364</v>
      </c>
      <c r="Z283" s="4">
        <f t="shared" si="77"/>
        <v>-12166841094388.355</v>
      </c>
    </row>
    <row r="284" spans="1:26">
      <c r="A284" s="2" t="s">
        <v>54</v>
      </c>
      <c r="B284" s="3">
        <f>'Monthly D6 RIN Data'!$O15</f>
        <v>0</v>
      </c>
      <c r="C284" s="3">
        <f>'Monthly D6 RIN Data'!$O27</f>
        <v>0</v>
      </c>
      <c r="D284" s="3">
        <f>'Monthly D6 RIN Data'!$O39</f>
        <v>0</v>
      </c>
      <c r="E284" s="3">
        <f>'Monthly D6 RIN Data'!$O51</f>
        <v>0</v>
      </c>
      <c r="F284" s="3">
        <f>'Monthly D6 RIN Data'!$O63</f>
        <v>0</v>
      </c>
      <c r="G284" s="3">
        <f>'Monthly D6 RIN Data'!$O75</f>
        <v>0</v>
      </c>
      <c r="H284" s="3">
        <f>'Monthly D6 RIN Data'!$O87</f>
        <v>0</v>
      </c>
      <c r="I284" s="3">
        <f>'Monthly D6 RIN Data'!$O99</f>
        <v>0</v>
      </c>
      <c r="J284" s="3">
        <f>'Monthly D6 RIN Data'!$O111</f>
        <v>0</v>
      </c>
      <c r="K284" s="3">
        <f>'Monthly D6 RIN Data'!$O123</f>
        <v>0</v>
      </c>
      <c r="L284" s="3">
        <f>'Monthly D6 RIN Data'!$O135</f>
        <v>0</v>
      </c>
      <c r="M284" s="3">
        <f>'Monthly D6 RIN Data'!$O147</f>
        <v>0</v>
      </c>
      <c r="N284" s="3">
        <f>'Monthly D6 RIN Data'!$O159</f>
        <v>0</v>
      </c>
      <c r="O284" s="3">
        <f>'Monthly D6 RIN Data'!$O171</f>
        <v>24475</v>
      </c>
      <c r="P284" s="3">
        <f>'Monthly D6 RIN Data'!$O183</f>
        <v>0</v>
      </c>
      <c r="Q284" s="119">
        <f t="shared" ref="Q284:Z284" si="78">Q285-SUM(Q273:Q283)</f>
        <v>-634012.51398974529</v>
      </c>
      <c r="R284" s="4">
        <f t="shared" si="78"/>
        <v>113169.40888412306</v>
      </c>
      <c r="S284" s="4">
        <f t="shared" si="78"/>
        <v>-7618060.5106629888</v>
      </c>
      <c r="T284" s="4">
        <f t="shared" si="78"/>
        <v>-3504669.774267023</v>
      </c>
      <c r="U284" s="4">
        <f t="shared" si="78"/>
        <v>-79798157.287258536</v>
      </c>
      <c r="V284" s="4">
        <f t="shared" si="78"/>
        <v>1343649277.9174917</v>
      </c>
      <c r="W284" s="4">
        <f t="shared" si="78"/>
        <v>-20839101073.434841</v>
      </c>
      <c r="X284" s="4">
        <f t="shared" si="78"/>
        <v>297061076668.32263</v>
      </c>
      <c r="Y284" s="4">
        <f t="shared" si="78"/>
        <v>-3945932871072.6436</v>
      </c>
      <c r="Z284" s="4">
        <f t="shared" si="78"/>
        <v>49065817758332.773</v>
      </c>
    </row>
    <row r="285" spans="1:26" ht="13.5" thickBot="1">
      <c r="A285" s="2" t="s">
        <v>29</v>
      </c>
      <c r="B285" s="3">
        <f t="shared" ref="B285:O285" si="79">SUM(B273:B284)</f>
        <v>0</v>
      </c>
      <c r="C285" s="3">
        <f t="shared" si="79"/>
        <v>0</v>
      </c>
      <c r="D285" s="3">
        <f t="shared" si="79"/>
        <v>0</v>
      </c>
      <c r="E285" s="3">
        <f t="shared" si="79"/>
        <v>0</v>
      </c>
      <c r="F285" s="3">
        <f t="shared" si="79"/>
        <v>0</v>
      </c>
      <c r="G285" s="3">
        <f t="shared" si="79"/>
        <v>0</v>
      </c>
      <c r="H285" s="3">
        <f t="shared" si="79"/>
        <v>0</v>
      </c>
      <c r="I285" s="3">
        <f t="shared" si="79"/>
        <v>0</v>
      </c>
      <c r="J285" s="3">
        <f t="shared" si="79"/>
        <v>0</v>
      </c>
      <c r="K285" s="3">
        <f t="shared" si="79"/>
        <v>0</v>
      </c>
      <c r="L285" s="3">
        <f t="shared" si="79"/>
        <v>0</v>
      </c>
      <c r="M285" s="3">
        <f t="shared" si="79"/>
        <v>0</v>
      </c>
      <c r="N285" s="3">
        <f t="shared" si="79"/>
        <v>0</v>
      </c>
      <c r="O285" s="3">
        <f t="shared" si="79"/>
        <v>3103025</v>
      </c>
      <c r="P285" s="3">
        <f>P17</f>
        <v>36525.698122137641</v>
      </c>
      <c r="Q285" s="4">
        <f t="shared" ref="Q285:Z285" si="80">Q17</f>
        <v>25987.48601025475</v>
      </c>
      <c r="R285" s="4">
        <f t="shared" si="80"/>
        <v>53370.370018563328</v>
      </c>
      <c r="S285" s="4">
        <f t="shared" si="80"/>
        <v>55791.506818626818</v>
      </c>
      <c r="T285" s="4">
        <f t="shared" si="80"/>
        <v>59815.229432941895</v>
      </c>
      <c r="U285" s="4">
        <f t="shared" si="80"/>
        <v>63983.785994410428</v>
      </c>
      <c r="V285" s="4">
        <f t="shared" si="80"/>
        <v>66512.315930518496</v>
      </c>
      <c r="W285" s="4">
        <f t="shared" si="80"/>
        <v>75419.214775159679</v>
      </c>
      <c r="X285" s="4">
        <f t="shared" si="80"/>
        <v>77389.976804884122</v>
      </c>
      <c r="Y285" s="4">
        <f t="shared" si="80"/>
        <v>81105.208007210982</v>
      </c>
      <c r="Z285" s="4">
        <f t="shared" si="80"/>
        <v>85952.962510998739</v>
      </c>
    </row>
    <row r="286" spans="1:26">
      <c r="A286" s="114"/>
      <c r="B286" s="114"/>
      <c r="C286" s="114"/>
      <c r="D286" s="114"/>
      <c r="E286" s="114"/>
      <c r="F286" s="114"/>
      <c r="G286" s="114"/>
      <c r="H286" s="114"/>
      <c r="I286" s="114"/>
      <c r="J286" s="114"/>
      <c r="K286" s="114"/>
      <c r="L286" s="114"/>
      <c r="M286" s="114"/>
      <c r="N286" s="114"/>
      <c r="O286" s="114"/>
      <c r="P286" s="114"/>
      <c r="Q286" s="114"/>
      <c r="R286" s="114"/>
      <c r="S286" s="114"/>
      <c r="T286" s="114"/>
      <c r="U286" s="114"/>
      <c r="V286" s="114"/>
      <c r="W286" s="114"/>
      <c r="X286" s="114"/>
      <c r="Y286" s="114"/>
      <c r="Z286" s="114"/>
    </row>
    <row r="287" spans="1:26" ht="16.5" thickBot="1">
      <c r="A287" s="109" t="s">
        <v>330</v>
      </c>
    </row>
    <row r="288" spans="1:26" ht="13.5" thickBot="1">
      <c r="A288" s="110"/>
      <c r="B288" s="111">
        <f>B2</f>
        <v>2010</v>
      </c>
      <c r="C288" s="111">
        <f t="shared" ref="C288:Z288" si="81">C2</f>
        <v>2011</v>
      </c>
      <c r="D288" s="111">
        <f t="shared" si="81"/>
        <v>2012</v>
      </c>
      <c r="E288" s="111">
        <f t="shared" si="81"/>
        <v>2013</v>
      </c>
      <c r="F288" s="111">
        <f t="shared" si="81"/>
        <v>2014</v>
      </c>
      <c r="G288" s="111">
        <f t="shared" si="81"/>
        <v>2015</v>
      </c>
      <c r="H288" s="111">
        <f t="shared" si="81"/>
        <v>2016</v>
      </c>
      <c r="I288" s="111">
        <f t="shared" si="81"/>
        <v>2017</v>
      </c>
      <c r="J288" s="111">
        <f t="shared" si="81"/>
        <v>2018</v>
      </c>
      <c r="K288" s="111">
        <f t="shared" si="81"/>
        <v>2019</v>
      </c>
      <c r="L288" s="111">
        <f t="shared" si="81"/>
        <v>2020</v>
      </c>
      <c r="M288" s="111">
        <f t="shared" si="81"/>
        <v>2021</v>
      </c>
      <c r="N288" s="111">
        <f t="shared" si="81"/>
        <v>2022</v>
      </c>
      <c r="O288" s="111">
        <f t="shared" si="81"/>
        <v>2023</v>
      </c>
      <c r="P288" s="111">
        <f t="shared" si="81"/>
        <v>2024</v>
      </c>
      <c r="Q288" s="111">
        <f t="shared" si="81"/>
        <v>2025</v>
      </c>
      <c r="R288" s="111">
        <f t="shared" si="81"/>
        <v>2026</v>
      </c>
      <c r="S288" s="111">
        <f t="shared" si="81"/>
        <v>2027</v>
      </c>
      <c r="T288" s="111">
        <f t="shared" si="81"/>
        <v>2028</v>
      </c>
      <c r="U288" s="111">
        <f t="shared" si="81"/>
        <v>2029</v>
      </c>
      <c r="V288" s="111">
        <f t="shared" si="81"/>
        <v>2030</v>
      </c>
      <c r="W288" s="111">
        <f t="shared" si="81"/>
        <v>2031</v>
      </c>
      <c r="X288" s="111">
        <f t="shared" si="81"/>
        <v>2032</v>
      </c>
      <c r="Y288" s="111">
        <f t="shared" si="81"/>
        <v>2033</v>
      </c>
      <c r="Z288" s="111">
        <f t="shared" si="81"/>
        <v>2034</v>
      </c>
    </row>
    <row r="289" spans="1:26">
      <c r="A289" s="2" t="s">
        <v>43</v>
      </c>
      <c r="B289" s="3">
        <f>'Monthly D6 RIN Data'!$P4</f>
        <v>0</v>
      </c>
      <c r="C289" s="3">
        <f>'Monthly D6 RIN Data'!$P16</f>
        <v>0</v>
      </c>
      <c r="D289" s="3">
        <f>'Monthly D6 RIN Data'!$P28</f>
        <v>0</v>
      </c>
      <c r="E289" s="3">
        <f>'Monthly D6 RIN Data'!$P40</f>
        <v>0</v>
      </c>
      <c r="F289" s="3">
        <f>'Monthly D6 RIN Data'!$P52</f>
        <v>0</v>
      </c>
      <c r="G289" s="3">
        <f>'Monthly D6 RIN Data'!$P64</f>
        <v>0</v>
      </c>
      <c r="H289" s="3">
        <f>'Monthly D6 RIN Data'!$P76</f>
        <v>0</v>
      </c>
      <c r="I289" s="3">
        <f>'Monthly D6 RIN Data'!$P88</f>
        <v>0</v>
      </c>
      <c r="J289" s="3">
        <f>'Monthly D6 RIN Data'!$P100</f>
        <v>0</v>
      </c>
      <c r="K289" s="3">
        <f>'Monthly D6 RIN Data'!$P112</f>
        <v>0</v>
      </c>
      <c r="L289" s="3">
        <f>'Monthly D6 RIN Data'!$P124</f>
        <v>0</v>
      </c>
      <c r="M289" s="3">
        <f>'Monthly D6 RIN Data'!$P136</f>
        <v>0</v>
      </c>
      <c r="N289" s="3">
        <f>'Monthly D6 RIN Data'!$P148</f>
        <v>0</v>
      </c>
      <c r="O289" s="3">
        <f>'Monthly D6 RIN Data'!$P160</f>
        <v>0</v>
      </c>
      <c r="P289" s="3">
        <f>'Monthly D6 RIN Data'!$P172</f>
        <v>0</v>
      </c>
      <c r="Q289" s="3">
        <f>'Monthly D6 RIN Data'!$P184</f>
        <v>0</v>
      </c>
      <c r="R289" s="94">
        <v>0</v>
      </c>
      <c r="S289" s="94">
        <v>0</v>
      </c>
      <c r="T289" s="94">
        <v>0</v>
      </c>
      <c r="U289" s="94">
        <v>0</v>
      </c>
      <c r="V289" s="94">
        <v>0</v>
      </c>
      <c r="W289" s="94">
        <v>0</v>
      </c>
      <c r="X289" s="94">
        <v>0</v>
      </c>
      <c r="Y289" s="94">
        <v>0</v>
      </c>
      <c r="Z289" s="94">
        <v>0</v>
      </c>
    </row>
    <row r="290" spans="1:26">
      <c r="A290" s="2" t="s">
        <v>44</v>
      </c>
      <c r="B290" s="3">
        <f>'Monthly D6 RIN Data'!$P5</f>
        <v>0</v>
      </c>
      <c r="C290" s="3">
        <f>'Monthly D6 RIN Data'!$P17</f>
        <v>0</v>
      </c>
      <c r="D290" s="3">
        <f>'Monthly D6 RIN Data'!$P29</f>
        <v>0</v>
      </c>
      <c r="E290" s="3">
        <f>'Monthly D6 RIN Data'!$P41</f>
        <v>0</v>
      </c>
      <c r="F290" s="3">
        <f>'Monthly D6 RIN Data'!$P53</f>
        <v>0</v>
      </c>
      <c r="G290" s="3">
        <f>'Monthly D6 RIN Data'!$P65</f>
        <v>0</v>
      </c>
      <c r="H290" s="3">
        <f>'Monthly D6 RIN Data'!$P77</f>
        <v>0</v>
      </c>
      <c r="I290" s="3">
        <f>'Monthly D6 RIN Data'!$P89</f>
        <v>0</v>
      </c>
      <c r="J290" s="3">
        <f>'Monthly D6 RIN Data'!$P101</f>
        <v>0</v>
      </c>
      <c r="K290" s="3">
        <f>'Monthly D6 RIN Data'!$P113</f>
        <v>0</v>
      </c>
      <c r="L290" s="3">
        <f>'Monthly D6 RIN Data'!$P125</f>
        <v>0</v>
      </c>
      <c r="M290" s="3">
        <f>'Monthly D6 RIN Data'!$P137</f>
        <v>0</v>
      </c>
      <c r="N290" s="3">
        <f>'Monthly D6 RIN Data'!$P149</f>
        <v>0</v>
      </c>
      <c r="O290" s="3">
        <f>'Monthly D6 RIN Data'!$P161</f>
        <v>0</v>
      </c>
      <c r="P290" s="3">
        <f>'Monthly D6 RIN Data'!$P173</f>
        <v>0</v>
      </c>
      <c r="Q290" s="3">
        <f>'Monthly D6 RIN Data'!$P185</f>
        <v>0</v>
      </c>
      <c r="R290" s="94">
        <v>0</v>
      </c>
      <c r="S290" s="94">
        <v>0</v>
      </c>
      <c r="T290" s="94">
        <v>0</v>
      </c>
      <c r="U290" s="94">
        <v>0</v>
      </c>
      <c r="V290" s="94">
        <v>0</v>
      </c>
      <c r="W290" s="94">
        <v>0</v>
      </c>
      <c r="X290" s="94">
        <v>0</v>
      </c>
      <c r="Y290" s="94">
        <v>0</v>
      </c>
      <c r="Z290" s="94">
        <v>0</v>
      </c>
    </row>
    <row r="291" spans="1:26">
      <c r="A291" s="2" t="s">
        <v>45</v>
      </c>
      <c r="B291" s="3">
        <f>'Monthly D6 RIN Data'!$P6</f>
        <v>0</v>
      </c>
      <c r="C291" s="3">
        <f>'Monthly D6 RIN Data'!$P18</f>
        <v>0</v>
      </c>
      <c r="D291" s="3">
        <f>'Monthly D6 RIN Data'!$P30</f>
        <v>0</v>
      </c>
      <c r="E291" s="3">
        <f>'Monthly D6 RIN Data'!$P42</f>
        <v>0</v>
      </c>
      <c r="F291" s="3">
        <f>'Monthly D6 RIN Data'!$P54</f>
        <v>0</v>
      </c>
      <c r="G291" s="3">
        <f>'Monthly D6 RIN Data'!$P66</f>
        <v>0</v>
      </c>
      <c r="H291" s="3">
        <f>'Monthly D6 RIN Data'!$P78</f>
        <v>0</v>
      </c>
      <c r="I291" s="3">
        <f>'Monthly D6 RIN Data'!$P90</f>
        <v>0</v>
      </c>
      <c r="J291" s="3">
        <f>'Monthly D6 RIN Data'!$P102</f>
        <v>0</v>
      </c>
      <c r="K291" s="3">
        <f>'Monthly D6 RIN Data'!$P114</f>
        <v>0</v>
      </c>
      <c r="L291" s="3">
        <f>'Monthly D6 RIN Data'!$P126</f>
        <v>0</v>
      </c>
      <c r="M291" s="3">
        <f>'Monthly D6 RIN Data'!$P138</f>
        <v>0</v>
      </c>
      <c r="N291" s="3">
        <f>'Monthly D6 RIN Data'!$P150</f>
        <v>0</v>
      </c>
      <c r="O291" s="3">
        <f>'Monthly D6 RIN Data'!$P162</f>
        <v>0</v>
      </c>
      <c r="P291" s="3">
        <f>'Monthly D6 RIN Data'!$P174</f>
        <v>0</v>
      </c>
      <c r="Q291" s="3">
        <f>'Monthly D6 RIN Data'!$P186</f>
        <v>0</v>
      </c>
      <c r="R291" s="94">
        <v>0</v>
      </c>
      <c r="S291" s="94">
        <v>0</v>
      </c>
      <c r="T291" s="94">
        <v>0</v>
      </c>
      <c r="U291" s="94">
        <v>0</v>
      </c>
      <c r="V291" s="94">
        <v>0</v>
      </c>
      <c r="W291" s="94">
        <v>0</v>
      </c>
      <c r="X291" s="94">
        <v>0</v>
      </c>
      <c r="Y291" s="94">
        <v>0</v>
      </c>
      <c r="Z291" s="94">
        <v>0</v>
      </c>
    </row>
    <row r="292" spans="1:26">
      <c r="A292" s="2" t="s">
        <v>46</v>
      </c>
      <c r="B292" s="3">
        <f>'Monthly D6 RIN Data'!$P7</f>
        <v>0</v>
      </c>
      <c r="C292" s="3">
        <f>'Monthly D6 RIN Data'!$P19</f>
        <v>0</v>
      </c>
      <c r="D292" s="3">
        <f>'Monthly D6 RIN Data'!$P31</f>
        <v>0</v>
      </c>
      <c r="E292" s="3">
        <f>'Monthly D6 RIN Data'!$P43</f>
        <v>0</v>
      </c>
      <c r="F292" s="3">
        <f>'Monthly D6 RIN Data'!$P55</f>
        <v>0</v>
      </c>
      <c r="G292" s="3">
        <f>'Monthly D6 RIN Data'!$P67</f>
        <v>0</v>
      </c>
      <c r="H292" s="3">
        <f>'Monthly D6 RIN Data'!$P79</f>
        <v>0</v>
      </c>
      <c r="I292" s="3">
        <f>'Monthly D6 RIN Data'!$P91</f>
        <v>0</v>
      </c>
      <c r="J292" s="3">
        <f>'Monthly D6 RIN Data'!$P103</f>
        <v>0</v>
      </c>
      <c r="K292" s="3">
        <f>'Monthly D6 RIN Data'!$P115</f>
        <v>0</v>
      </c>
      <c r="L292" s="3">
        <f>'Monthly D6 RIN Data'!$P127</f>
        <v>0</v>
      </c>
      <c r="M292" s="3">
        <f>'Monthly D6 RIN Data'!$P139</f>
        <v>0</v>
      </c>
      <c r="N292" s="3">
        <f>'Monthly D6 RIN Data'!$P151</f>
        <v>0</v>
      </c>
      <c r="O292" s="3">
        <f>'Monthly D6 RIN Data'!$P163</f>
        <v>0</v>
      </c>
      <c r="P292" s="3">
        <f>'Monthly D6 RIN Data'!$P175</f>
        <v>0</v>
      </c>
      <c r="Q292" s="94">
        <v>0</v>
      </c>
      <c r="R292" s="94">
        <v>0</v>
      </c>
      <c r="S292" s="94">
        <v>0</v>
      </c>
      <c r="T292" s="94">
        <v>0</v>
      </c>
      <c r="U292" s="94">
        <v>0</v>
      </c>
      <c r="V292" s="94">
        <v>0</v>
      </c>
      <c r="W292" s="94">
        <v>0</v>
      </c>
      <c r="X292" s="94">
        <v>0</v>
      </c>
      <c r="Y292" s="94">
        <v>0</v>
      </c>
      <c r="Z292" s="94">
        <v>0</v>
      </c>
    </row>
    <row r="293" spans="1:26">
      <c r="A293" s="2" t="s">
        <v>47</v>
      </c>
      <c r="B293" s="3">
        <f>'Monthly D6 RIN Data'!$P8</f>
        <v>0</v>
      </c>
      <c r="C293" s="3">
        <f>'Monthly D6 RIN Data'!$P20</f>
        <v>0</v>
      </c>
      <c r="D293" s="3">
        <f>'Monthly D6 RIN Data'!$P32</f>
        <v>0</v>
      </c>
      <c r="E293" s="3">
        <f>'Monthly D6 RIN Data'!$P44</f>
        <v>0</v>
      </c>
      <c r="F293" s="3">
        <f>'Monthly D6 RIN Data'!$P56</f>
        <v>0</v>
      </c>
      <c r="G293" s="3">
        <f>'Monthly D6 RIN Data'!$P68</f>
        <v>0</v>
      </c>
      <c r="H293" s="3">
        <f>'Monthly D6 RIN Data'!$P80</f>
        <v>0</v>
      </c>
      <c r="I293" s="3">
        <f>'Monthly D6 RIN Data'!$P92</f>
        <v>0</v>
      </c>
      <c r="J293" s="3">
        <f>'Monthly D6 RIN Data'!$P104</f>
        <v>0</v>
      </c>
      <c r="K293" s="3">
        <f>'Monthly D6 RIN Data'!$P116</f>
        <v>0</v>
      </c>
      <c r="L293" s="3">
        <f>'Monthly D6 RIN Data'!$P128</f>
        <v>0</v>
      </c>
      <c r="M293" s="3">
        <f>'Monthly D6 RIN Data'!$P140</f>
        <v>0</v>
      </c>
      <c r="N293" s="3">
        <f>'Monthly D6 RIN Data'!$P152</f>
        <v>0</v>
      </c>
      <c r="O293" s="3">
        <f>'Monthly D6 RIN Data'!$P164</f>
        <v>0</v>
      </c>
      <c r="P293" s="3">
        <f>'Monthly D6 RIN Data'!$P176</f>
        <v>0</v>
      </c>
      <c r="Q293" s="94">
        <v>0</v>
      </c>
      <c r="R293" s="94">
        <v>0</v>
      </c>
      <c r="S293" s="94">
        <v>0</v>
      </c>
      <c r="T293" s="94">
        <v>0</v>
      </c>
      <c r="U293" s="94">
        <v>0</v>
      </c>
      <c r="V293" s="94">
        <v>0</v>
      </c>
      <c r="W293" s="94">
        <v>0</v>
      </c>
      <c r="X293" s="94">
        <v>0</v>
      </c>
      <c r="Y293" s="94">
        <v>0</v>
      </c>
      <c r="Z293" s="94">
        <v>0</v>
      </c>
    </row>
    <row r="294" spans="1:26">
      <c r="A294" s="2" t="s">
        <v>48</v>
      </c>
      <c r="B294" s="3">
        <f>'Monthly D6 RIN Data'!$P9</f>
        <v>0</v>
      </c>
      <c r="C294" s="3">
        <f>'Monthly D6 RIN Data'!$P21</f>
        <v>0</v>
      </c>
      <c r="D294" s="3">
        <f>'Monthly D6 RIN Data'!$P33</f>
        <v>0</v>
      </c>
      <c r="E294" s="3">
        <f>'Monthly D6 RIN Data'!$P45</f>
        <v>0</v>
      </c>
      <c r="F294" s="3">
        <f>'Monthly D6 RIN Data'!$P57</f>
        <v>0</v>
      </c>
      <c r="G294" s="3">
        <f>'Monthly D6 RIN Data'!$P69</f>
        <v>0</v>
      </c>
      <c r="H294" s="3">
        <f>'Monthly D6 RIN Data'!$P81</f>
        <v>0</v>
      </c>
      <c r="I294" s="3">
        <f>'Monthly D6 RIN Data'!$P93</f>
        <v>0</v>
      </c>
      <c r="J294" s="3">
        <f>'Monthly D6 RIN Data'!$P105</f>
        <v>0</v>
      </c>
      <c r="K294" s="3">
        <f>'Monthly D6 RIN Data'!$P117</f>
        <v>0</v>
      </c>
      <c r="L294" s="3">
        <f>'Monthly D6 RIN Data'!$P129</f>
        <v>0</v>
      </c>
      <c r="M294" s="3">
        <f>'Monthly D6 RIN Data'!$P141</f>
        <v>0</v>
      </c>
      <c r="N294" s="3">
        <f>'Monthly D6 RIN Data'!$P153</f>
        <v>0</v>
      </c>
      <c r="O294" s="3">
        <f>'Monthly D6 RIN Data'!$P165</f>
        <v>0</v>
      </c>
      <c r="P294" s="3">
        <f>'Monthly D6 RIN Data'!$P177</f>
        <v>0</v>
      </c>
      <c r="Q294" s="94">
        <v>0</v>
      </c>
      <c r="R294" s="94">
        <v>0</v>
      </c>
      <c r="S294" s="94">
        <v>0</v>
      </c>
      <c r="T294" s="94">
        <v>0</v>
      </c>
      <c r="U294" s="94">
        <v>0</v>
      </c>
      <c r="V294" s="94">
        <v>0</v>
      </c>
      <c r="W294" s="94">
        <v>0</v>
      </c>
      <c r="X294" s="94">
        <v>0</v>
      </c>
      <c r="Y294" s="94">
        <v>0</v>
      </c>
      <c r="Z294" s="94">
        <v>0</v>
      </c>
    </row>
    <row r="295" spans="1:26">
      <c r="A295" s="2" t="s">
        <v>49</v>
      </c>
      <c r="B295" s="3">
        <f>'Monthly D6 RIN Data'!$P10</f>
        <v>0</v>
      </c>
      <c r="C295" s="3">
        <f>'Monthly D6 RIN Data'!$P22</f>
        <v>0</v>
      </c>
      <c r="D295" s="3">
        <f>'Monthly D6 RIN Data'!$P34</f>
        <v>0</v>
      </c>
      <c r="E295" s="3">
        <f>'Monthly D6 RIN Data'!$P46</f>
        <v>0</v>
      </c>
      <c r="F295" s="3">
        <f>'Monthly D6 RIN Data'!$P58</f>
        <v>0</v>
      </c>
      <c r="G295" s="3">
        <f>'Monthly D6 RIN Data'!$P70</f>
        <v>0</v>
      </c>
      <c r="H295" s="3">
        <f>'Monthly D6 RIN Data'!$P82</f>
        <v>0</v>
      </c>
      <c r="I295" s="3">
        <f>'Monthly D6 RIN Data'!$P94</f>
        <v>0</v>
      </c>
      <c r="J295" s="3">
        <f>'Monthly D6 RIN Data'!$P106</f>
        <v>0</v>
      </c>
      <c r="K295" s="3">
        <f>'Monthly D6 RIN Data'!$P118</f>
        <v>0</v>
      </c>
      <c r="L295" s="3">
        <f>'Monthly D6 RIN Data'!$P130</f>
        <v>0</v>
      </c>
      <c r="M295" s="3">
        <f>'Monthly D6 RIN Data'!$P142</f>
        <v>0</v>
      </c>
      <c r="N295" s="3">
        <f>'Monthly D6 RIN Data'!$P154</f>
        <v>0</v>
      </c>
      <c r="O295" s="3">
        <f>'Monthly D6 RIN Data'!$P166</f>
        <v>0</v>
      </c>
      <c r="P295" s="3">
        <f>'Monthly D6 RIN Data'!$P178</f>
        <v>0</v>
      </c>
      <c r="Q295" s="94">
        <v>0</v>
      </c>
      <c r="R295" s="94">
        <v>0</v>
      </c>
      <c r="S295" s="94">
        <v>0</v>
      </c>
      <c r="T295" s="94">
        <v>0</v>
      </c>
      <c r="U295" s="94">
        <v>0</v>
      </c>
      <c r="V295" s="94">
        <v>0</v>
      </c>
      <c r="W295" s="94">
        <v>0</v>
      </c>
      <c r="X295" s="94">
        <v>0</v>
      </c>
      <c r="Y295" s="94">
        <v>0</v>
      </c>
      <c r="Z295" s="94">
        <v>0</v>
      </c>
    </row>
    <row r="296" spans="1:26">
      <c r="A296" s="2" t="s">
        <v>50</v>
      </c>
      <c r="B296" s="3">
        <f>'Monthly D6 RIN Data'!$P11</f>
        <v>0</v>
      </c>
      <c r="C296" s="3">
        <f>'Monthly D6 RIN Data'!$P23</f>
        <v>0</v>
      </c>
      <c r="D296" s="3">
        <f>'Monthly D6 RIN Data'!$P35</f>
        <v>0</v>
      </c>
      <c r="E296" s="3">
        <f>'Monthly D6 RIN Data'!$P47</f>
        <v>0</v>
      </c>
      <c r="F296" s="3">
        <f>'Monthly D6 RIN Data'!$P59</f>
        <v>0</v>
      </c>
      <c r="G296" s="3">
        <f>'Monthly D6 RIN Data'!$P71</f>
        <v>0</v>
      </c>
      <c r="H296" s="3">
        <f>'Monthly D6 RIN Data'!$P83</f>
        <v>0</v>
      </c>
      <c r="I296" s="3">
        <f>'Monthly D6 RIN Data'!$P95</f>
        <v>0</v>
      </c>
      <c r="J296" s="3">
        <f>'Monthly D6 RIN Data'!$P107</f>
        <v>0</v>
      </c>
      <c r="K296" s="3">
        <f>'Monthly D6 RIN Data'!$P119</f>
        <v>0</v>
      </c>
      <c r="L296" s="3">
        <f>'Monthly D6 RIN Data'!$P131</f>
        <v>0</v>
      </c>
      <c r="M296" s="3">
        <f>'Monthly D6 RIN Data'!$P143</f>
        <v>0</v>
      </c>
      <c r="N296" s="3">
        <f>'Monthly D6 RIN Data'!$P155</f>
        <v>0</v>
      </c>
      <c r="O296" s="3">
        <f>'Monthly D6 RIN Data'!$P167</f>
        <v>0</v>
      </c>
      <c r="P296" s="3">
        <f>'Monthly D6 RIN Data'!$P179</f>
        <v>0</v>
      </c>
      <c r="Q296" s="94">
        <v>0</v>
      </c>
      <c r="R296" s="94">
        <v>0</v>
      </c>
      <c r="S296" s="94">
        <v>0</v>
      </c>
      <c r="T296" s="94">
        <v>0</v>
      </c>
      <c r="U296" s="94">
        <v>0</v>
      </c>
      <c r="V296" s="94">
        <v>0</v>
      </c>
      <c r="W296" s="94">
        <v>0</v>
      </c>
      <c r="X296" s="94">
        <v>0</v>
      </c>
      <c r="Y296" s="94">
        <v>0</v>
      </c>
      <c r="Z296" s="94">
        <v>0</v>
      </c>
    </row>
    <row r="297" spans="1:26">
      <c r="A297" s="2" t="s">
        <v>51</v>
      </c>
      <c r="B297" s="3">
        <f>'Monthly D6 RIN Data'!$P12</f>
        <v>0</v>
      </c>
      <c r="C297" s="3">
        <f>'Monthly D6 RIN Data'!$P24</f>
        <v>0</v>
      </c>
      <c r="D297" s="3">
        <f>'Monthly D6 RIN Data'!$P36</f>
        <v>0</v>
      </c>
      <c r="E297" s="3">
        <f>'Monthly D6 RIN Data'!$P48</f>
        <v>0</v>
      </c>
      <c r="F297" s="3">
        <f>'Monthly D6 RIN Data'!$P60</f>
        <v>0</v>
      </c>
      <c r="G297" s="3">
        <f>'Monthly D6 RIN Data'!$P72</f>
        <v>0</v>
      </c>
      <c r="H297" s="3">
        <f>'Monthly D6 RIN Data'!$P84</f>
        <v>0</v>
      </c>
      <c r="I297" s="3">
        <f>'Monthly D6 RIN Data'!$P96</f>
        <v>0</v>
      </c>
      <c r="J297" s="3">
        <f>'Monthly D6 RIN Data'!$P108</f>
        <v>0</v>
      </c>
      <c r="K297" s="3">
        <f>'Monthly D6 RIN Data'!$P120</f>
        <v>0</v>
      </c>
      <c r="L297" s="3">
        <f>'Monthly D6 RIN Data'!$P132</f>
        <v>0</v>
      </c>
      <c r="M297" s="3">
        <f>'Monthly D6 RIN Data'!$P144</f>
        <v>0</v>
      </c>
      <c r="N297" s="3">
        <f>'Monthly D6 RIN Data'!$P156</f>
        <v>0</v>
      </c>
      <c r="O297" s="3">
        <f>'Monthly D6 RIN Data'!$P168</f>
        <v>0</v>
      </c>
      <c r="P297" s="3">
        <f>'Monthly D6 RIN Data'!$P180</f>
        <v>0</v>
      </c>
      <c r="Q297" s="94">
        <v>0</v>
      </c>
      <c r="R297" s="94">
        <v>0</v>
      </c>
      <c r="S297" s="94">
        <v>0</v>
      </c>
      <c r="T297" s="94">
        <v>0</v>
      </c>
      <c r="U297" s="94">
        <v>0</v>
      </c>
      <c r="V297" s="94">
        <v>0</v>
      </c>
      <c r="W297" s="94">
        <v>0</v>
      </c>
      <c r="X297" s="94">
        <v>0</v>
      </c>
      <c r="Y297" s="94">
        <v>0</v>
      </c>
      <c r="Z297" s="94">
        <v>0</v>
      </c>
    </row>
    <row r="298" spans="1:26">
      <c r="A298" s="2" t="s">
        <v>52</v>
      </c>
      <c r="B298" s="3">
        <f>'Monthly D6 RIN Data'!$P13</f>
        <v>0</v>
      </c>
      <c r="C298" s="3">
        <f>'Monthly D6 RIN Data'!$P25</f>
        <v>0</v>
      </c>
      <c r="D298" s="3">
        <f>'Monthly D6 RIN Data'!$P37</f>
        <v>0</v>
      </c>
      <c r="E298" s="3">
        <f>'Monthly D6 RIN Data'!$P49</f>
        <v>0</v>
      </c>
      <c r="F298" s="3">
        <f>'Monthly D6 RIN Data'!$P61</f>
        <v>0</v>
      </c>
      <c r="G298" s="3">
        <f>'Monthly D6 RIN Data'!$P73</f>
        <v>0</v>
      </c>
      <c r="H298" s="3">
        <f>'Monthly D6 RIN Data'!$P85</f>
        <v>0</v>
      </c>
      <c r="I298" s="3">
        <f>'Monthly D6 RIN Data'!$P97</f>
        <v>0</v>
      </c>
      <c r="J298" s="3">
        <f>'Monthly D6 RIN Data'!$P109</f>
        <v>0</v>
      </c>
      <c r="K298" s="3">
        <f>'Monthly D6 RIN Data'!$P121</f>
        <v>0</v>
      </c>
      <c r="L298" s="3">
        <f>'Monthly D6 RIN Data'!$P133</f>
        <v>0</v>
      </c>
      <c r="M298" s="3">
        <f>'Monthly D6 RIN Data'!$P145</f>
        <v>0</v>
      </c>
      <c r="N298" s="3">
        <f>'Monthly D6 RIN Data'!$P157</f>
        <v>0</v>
      </c>
      <c r="O298" s="3">
        <f>'Monthly D6 RIN Data'!$P169</f>
        <v>0</v>
      </c>
      <c r="P298" s="3">
        <f>'Monthly D6 RIN Data'!$P181</f>
        <v>0</v>
      </c>
      <c r="Q298" s="94">
        <v>0</v>
      </c>
      <c r="R298" s="94">
        <v>0</v>
      </c>
      <c r="S298" s="94">
        <v>0</v>
      </c>
      <c r="T298" s="94">
        <v>0</v>
      </c>
      <c r="U298" s="94">
        <v>0</v>
      </c>
      <c r="V298" s="94">
        <v>0</v>
      </c>
      <c r="W298" s="94">
        <v>0</v>
      </c>
      <c r="X298" s="94">
        <v>0</v>
      </c>
      <c r="Y298" s="94">
        <v>0</v>
      </c>
      <c r="Z298" s="94">
        <v>0</v>
      </c>
    </row>
    <row r="299" spans="1:26">
      <c r="A299" s="2" t="s">
        <v>53</v>
      </c>
      <c r="B299" s="3">
        <f>'Monthly D6 RIN Data'!$P14</f>
        <v>0</v>
      </c>
      <c r="C299" s="3">
        <f>'Monthly D6 RIN Data'!$P26</f>
        <v>0</v>
      </c>
      <c r="D299" s="3">
        <f>'Monthly D6 RIN Data'!$P38</f>
        <v>0</v>
      </c>
      <c r="E299" s="3">
        <f>'Monthly D6 RIN Data'!$P50</f>
        <v>0</v>
      </c>
      <c r="F299" s="3">
        <f>'Monthly D6 RIN Data'!$P62</f>
        <v>0</v>
      </c>
      <c r="G299" s="3">
        <f>'Monthly D6 RIN Data'!$P74</f>
        <v>0</v>
      </c>
      <c r="H299" s="3">
        <f>'Monthly D6 RIN Data'!$P86</f>
        <v>0</v>
      </c>
      <c r="I299" s="3">
        <f>'Monthly D6 RIN Data'!$P98</f>
        <v>0</v>
      </c>
      <c r="J299" s="3">
        <f>'Monthly D6 RIN Data'!$P110</f>
        <v>0</v>
      </c>
      <c r="K299" s="3">
        <f>'Monthly D6 RIN Data'!$P122</f>
        <v>0</v>
      </c>
      <c r="L299" s="3">
        <f>'Monthly D6 RIN Data'!$P134</f>
        <v>0</v>
      </c>
      <c r="M299" s="3">
        <f>'Monthly D6 RIN Data'!$P146</f>
        <v>0</v>
      </c>
      <c r="N299" s="3">
        <f>'Monthly D6 RIN Data'!$P158</f>
        <v>0</v>
      </c>
      <c r="O299" s="3">
        <f>'Monthly D6 RIN Data'!$P170</f>
        <v>0</v>
      </c>
      <c r="P299" s="3">
        <f>'Monthly D6 RIN Data'!$P182</f>
        <v>0</v>
      </c>
      <c r="Q299" s="94">
        <v>0</v>
      </c>
      <c r="R299" s="94">
        <v>0</v>
      </c>
      <c r="S299" s="94">
        <v>0</v>
      </c>
      <c r="T299" s="94">
        <v>0</v>
      </c>
      <c r="U299" s="94">
        <v>0</v>
      </c>
      <c r="V299" s="94">
        <v>0</v>
      </c>
      <c r="W299" s="94">
        <v>0</v>
      </c>
      <c r="X299" s="94">
        <v>0</v>
      </c>
      <c r="Y299" s="94">
        <v>0</v>
      </c>
      <c r="Z299" s="94">
        <v>0</v>
      </c>
    </row>
    <row r="300" spans="1:26">
      <c r="A300" s="2" t="s">
        <v>54</v>
      </c>
      <c r="B300" s="3">
        <f>'Monthly D6 RIN Data'!$P15</f>
        <v>0</v>
      </c>
      <c r="C300" s="3">
        <f>'Monthly D6 RIN Data'!$P27</f>
        <v>0</v>
      </c>
      <c r="D300" s="3">
        <f>'Monthly D6 RIN Data'!$P39</f>
        <v>0</v>
      </c>
      <c r="E300" s="3">
        <f>'Monthly D6 RIN Data'!$P51</f>
        <v>0</v>
      </c>
      <c r="F300" s="3">
        <f>'Monthly D6 RIN Data'!$P63</f>
        <v>0</v>
      </c>
      <c r="G300" s="3">
        <f>'Monthly D6 RIN Data'!$P75</f>
        <v>0</v>
      </c>
      <c r="H300" s="3">
        <f>'Monthly D6 RIN Data'!$P87</f>
        <v>0</v>
      </c>
      <c r="I300" s="3">
        <f>'Monthly D6 RIN Data'!$P99</f>
        <v>0</v>
      </c>
      <c r="J300" s="3">
        <f>'Monthly D6 RIN Data'!$P111</f>
        <v>0</v>
      </c>
      <c r="K300" s="3">
        <f>'Monthly D6 RIN Data'!$P123</f>
        <v>0</v>
      </c>
      <c r="L300" s="3">
        <f>'Monthly D6 RIN Data'!$P135</f>
        <v>0</v>
      </c>
      <c r="M300" s="3">
        <f>'Monthly D6 RIN Data'!$P147</f>
        <v>0</v>
      </c>
      <c r="N300" s="3">
        <f>'Monthly D6 RIN Data'!$P159</f>
        <v>0</v>
      </c>
      <c r="O300" s="3">
        <f>'Monthly D6 RIN Data'!$P171</f>
        <v>0</v>
      </c>
      <c r="P300" s="3">
        <f>'Monthly D6 RIN Data'!$P183</f>
        <v>0</v>
      </c>
      <c r="Q300" s="94">
        <v>0</v>
      </c>
      <c r="R300" s="94">
        <v>0</v>
      </c>
      <c r="S300" s="94">
        <v>0</v>
      </c>
      <c r="T300" s="94">
        <v>0</v>
      </c>
      <c r="U300" s="94">
        <v>0</v>
      </c>
      <c r="V300" s="94">
        <v>0</v>
      </c>
      <c r="W300" s="94">
        <v>0</v>
      </c>
      <c r="X300" s="94">
        <v>0</v>
      </c>
      <c r="Y300" s="94">
        <v>0</v>
      </c>
      <c r="Z300" s="94">
        <v>0</v>
      </c>
    </row>
    <row r="301" spans="1:26" ht="13.5" thickBot="1">
      <c r="A301" s="2" t="s">
        <v>29</v>
      </c>
      <c r="B301" s="3">
        <f t="shared" ref="B301:N301" si="82">SUM(B289:B300)</f>
        <v>0</v>
      </c>
      <c r="C301" s="3">
        <f t="shared" si="82"/>
        <v>0</v>
      </c>
      <c r="D301" s="3">
        <f t="shared" si="82"/>
        <v>0</v>
      </c>
      <c r="E301" s="3">
        <f t="shared" si="82"/>
        <v>0</v>
      </c>
      <c r="F301" s="3">
        <f t="shared" si="82"/>
        <v>0</v>
      </c>
      <c r="G301" s="3">
        <f t="shared" si="82"/>
        <v>0</v>
      </c>
      <c r="H301" s="3">
        <f t="shared" si="82"/>
        <v>0</v>
      </c>
      <c r="I301" s="3">
        <f t="shared" si="82"/>
        <v>0</v>
      </c>
      <c r="J301" s="3">
        <f t="shared" si="82"/>
        <v>0</v>
      </c>
      <c r="K301" s="3">
        <f t="shared" si="82"/>
        <v>0</v>
      </c>
      <c r="L301" s="3">
        <f t="shared" si="82"/>
        <v>0</v>
      </c>
      <c r="M301" s="3">
        <f t="shared" si="82"/>
        <v>0</v>
      </c>
      <c r="N301" s="3">
        <f t="shared" si="82"/>
        <v>0</v>
      </c>
      <c r="O301" s="3">
        <f>SUM(O289:O300)</f>
        <v>0</v>
      </c>
      <c r="P301" s="2">
        <f>SUM(P289:P300)</f>
        <v>0</v>
      </c>
      <c r="Q301" s="94">
        <f>SUM(Q289:Q300)</f>
        <v>0</v>
      </c>
      <c r="R301" s="94"/>
      <c r="S301" s="94"/>
      <c r="T301" s="94"/>
      <c r="U301" s="94"/>
      <c r="V301" s="94"/>
      <c r="W301" s="94"/>
      <c r="X301" s="94"/>
      <c r="Y301" s="94"/>
      <c r="Z301" s="94"/>
    </row>
    <row r="302" spans="1:26">
      <c r="A302" s="114"/>
      <c r="B302" s="114"/>
      <c r="C302" s="114"/>
      <c r="D302" s="114"/>
      <c r="E302" s="114"/>
      <c r="F302" s="114"/>
      <c r="G302" s="114"/>
      <c r="H302" s="114"/>
      <c r="I302" s="114"/>
      <c r="J302" s="114"/>
      <c r="K302" s="114"/>
      <c r="L302" s="114"/>
      <c r="M302" s="114"/>
      <c r="N302" s="114"/>
      <c r="O302" s="114"/>
      <c r="P302" s="114"/>
      <c r="Q302" s="114"/>
      <c r="R302" s="114"/>
      <c r="S302" s="114"/>
      <c r="T302" s="114"/>
      <c r="U302" s="114"/>
      <c r="V302" s="114"/>
      <c r="W302" s="114"/>
      <c r="X302" s="114"/>
      <c r="Y302" s="114"/>
      <c r="Z302" s="114"/>
    </row>
    <row r="303" spans="1:26" ht="16.5" thickBot="1">
      <c r="A303" s="109" t="s">
        <v>398</v>
      </c>
    </row>
    <row r="304" spans="1:26" ht="13.5" thickBot="1">
      <c r="A304" s="110"/>
      <c r="B304" s="111">
        <f>B2</f>
        <v>2010</v>
      </c>
      <c r="C304" s="111">
        <f t="shared" ref="C304:Z304" si="83">C2</f>
        <v>2011</v>
      </c>
      <c r="D304" s="111">
        <f t="shared" si="83"/>
        <v>2012</v>
      </c>
      <c r="E304" s="111">
        <f t="shared" si="83"/>
        <v>2013</v>
      </c>
      <c r="F304" s="111">
        <f t="shared" si="83"/>
        <v>2014</v>
      </c>
      <c r="G304" s="111">
        <f t="shared" si="83"/>
        <v>2015</v>
      </c>
      <c r="H304" s="111">
        <f t="shared" si="83"/>
        <v>2016</v>
      </c>
      <c r="I304" s="111">
        <f t="shared" si="83"/>
        <v>2017</v>
      </c>
      <c r="J304" s="111">
        <f t="shared" si="83"/>
        <v>2018</v>
      </c>
      <c r="K304" s="111">
        <f t="shared" si="83"/>
        <v>2019</v>
      </c>
      <c r="L304" s="111">
        <f t="shared" si="83"/>
        <v>2020</v>
      </c>
      <c r="M304" s="111">
        <f t="shared" si="83"/>
        <v>2021</v>
      </c>
      <c r="N304" s="111">
        <f t="shared" si="83"/>
        <v>2022</v>
      </c>
      <c r="O304" s="111">
        <f t="shared" si="83"/>
        <v>2023</v>
      </c>
      <c r="P304" s="111">
        <f t="shared" si="83"/>
        <v>2024</v>
      </c>
      <c r="Q304" s="111">
        <f t="shared" si="83"/>
        <v>2025</v>
      </c>
      <c r="R304" s="111">
        <f t="shared" si="83"/>
        <v>2026</v>
      </c>
      <c r="S304" s="111">
        <f t="shared" si="83"/>
        <v>2027</v>
      </c>
      <c r="T304" s="111">
        <f t="shared" si="83"/>
        <v>2028</v>
      </c>
      <c r="U304" s="111">
        <f t="shared" si="83"/>
        <v>2029</v>
      </c>
      <c r="V304" s="111">
        <f t="shared" si="83"/>
        <v>2030</v>
      </c>
      <c r="W304" s="111">
        <f t="shared" si="83"/>
        <v>2031</v>
      </c>
      <c r="X304" s="111">
        <f t="shared" si="83"/>
        <v>2032</v>
      </c>
      <c r="Y304" s="111">
        <f t="shared" si="83"/>
        <v>2033</v>
      </c>
      <c r="Z304" s="111">
        <f t="shared" si="83"/>
        <v>2034</v>
      </c>
    </row>
    <row r="305" spans="1:26">
      <c r="A305" s="2" t="s">
        <v>43</v>
      </c>
      <c r="B305" s="3">
        <f>'Monthly D6 RIN Data'!$Q4</f>
        <v>0</v>
      </c>
      <c r="C305" s="3">
        <f>'Monthly D6 RIN Data'!$Q16</f>
        <v>0</v>
      </c>
      <c r="D305" s="3">
        <f>'Monthly D6 RIN Data'!$Q28</f>
        <v>0</v>
      </c>
      <c r="E305" s="3">
        <f>'Monthly D6 RIN Data'!$Q40</f>
        <v>0</v>
      </c>
      <c r="F305" s="3">
        <f>'Monthly D6 RIN Data'!$Q52</f>
        <v>0</v>
      </c>
      <c r="G305" s="3">
        <f>'Monthly D6 RIN Data'!$Q64</f>
        <v>0</v>
      </c>
      <c r="H305" s="3">
        <f>'Monthly D6 RIN Data'!$Q76</f>
        <v>0</v>
      </c>
      <c r="I305" s="3">
        <f>'Monthly D6 RIN Data'!$Q88</f>
        <v>0</v>
      </c>
      <c r="J305" s="3">
        <f>'Monthly D6 RIN Data'!$Q100</f>
        <v>0</v>
      </c>
      <c r="K305" s="3">
        <f>'Monthly D6 RIN Data'!$Q112</f>
        <v>0</v>
      </c>
      <c r="L305" s="3">
        <f>'Monthly D6 RIN Data'!$Q124</f>
        <v>0</v>
      </c>
      <c r="M305" s="3">
        <f>'Monthly D6 RIN Data'!$Q136</f>
        <v>0</v>
      </c>
      <c r="N305" s="3">
        <f>'Monthly D6 RIN Data'!$Q148</f>
        <v>0</v>
      </c>
      <c r="O305" s="3">
        <f>'Monthly D6 RIN Data'!$Q160</f>
        <v>0</v>
      </c>
      <c r="P305" s="3">
        <f>'Monthly D6 RIN Data'!$Q172</f>
        <v>0</v>
      </c>
      <c r="Q305" s="3">
        <f>'Monthly D6 RIN Data'!$Q184</f>
        <v>0</v>
      </c>
      <c r="R305" s="94">
        <v>0</v>
      </c>
      <c r="S305" s="94">
        <v>0</v>
      </c>
      <c r="T305" s="94">
        <v>0</v>
      </c>
      <c r="U305" s="94">
        <v>0</v>
      </c>
      <c r="V305" s="94">
        <v>0</v>
      </c>
      <c r="W305" s="94">
        <v>0</v>
      </c>
      <c r="X305" s="94">
        <v>0</v>
      </c>
      <c r="Y305" s="94">
        <v>0</v>
      </c>
      <c r="Z305" s="94">
        <v>0</v>
      </c>
    </row>
    <row r="306" spans="1:26">
      <c r="A306" s="2" t="s">
        <v>44</v>
      </c>
      <c r="B306" s="3">
        <f>'Monthly D6 RIN Data'!$Q5</f>
        <v>0</v>
      </c>
      <c r="C306" s="3">
        <f>'Monthly D6 RIN Data'!$Q17</f>
        <v>0</v>
      </c>
      <c r="D306" s="3">
        <f>'Monthly D6 RIN Data'!$Q29</f>
        <v>0</v>
      </c>
      <c r="E306" s="3">
        <f>'Monthly D6 RIN Data'!$Q41</f>
        <v>0</v>
      </c>
      <c r="F306" s="3">
        <f>'Monthly D6 RIN Data'!$Q53</f>
        <v>0</v>
      </c>
      <c r="G306" s="3">
        <f>'Monthly D6 RIN Data'!$Q65</f>
        <v>0</v>
      </c>
      <c r="H306" s="3">
        <f>'Monthly D6 RIN Data'!$Q77</f>
        <v>0</v>
      </c>
      <c r="I306" s="3">
        <f>'Monthly D6 RIN Data'!$Q89</f>
        <v>0</v>
      </c>
      <c r="J306" s="3">
        <f>'Monthly D6 RIN Data'!$Q101</f>
        <v>0</v>
      </c>
      <c r="K306" s="3">
        <f>'Monthly D6 RIN Data'!$Q113</f>
        <v>0</v>
      </c>
      <c r="L306" s="3">
        <f>'Monthly D6 RIN Data'!$Q125</f>
        <v>0</v>
      </c>
      <c r="M306" s="3">
        <f>'Monthly D6 RIN Data'!$Q137</f>
        <v>0</v>
      </c>
      <c r="N306" s="3">
        <f>'Monthly D6 RIN Data'!$Q149</f>
        <v>0</v>
      </c>
      <c r="O306" s="3">
        <f>'Monthly D6 RIN Data'!$Q161</f>
        <v>0</v>
      </c>
      <c r="P306" s="3">
        <f>'Monthly D6 RIN Data'!$Q173</f>
        <v>0</v>
      </c>
      <c r="Q306" s="3">
        <f>'Monthly D6 RIN Data'!$Q185</f>
        <v>0</v>
      </c>
      <c r="R306" s="94">
        <v>0</v>
      </c>
      <c r="S306" s="94">
        <v>0</v>
      </c>
      <c r="T306" s="94">
        <v>0</v>
      </c>
      <c r="U306" s="94">
        <v>0</v>
      </c>
      <c r="V306" s="94">
        <v>0</v>
      </c>
      <c r="W306" s="94">
        <v>0</v>
      </c>
      <c r="X306" s="94">
        <v>0</v>
      </c>
      <c r="Y306" s="94">
        <v>0</v>
      </c>
      <c r="Z306" s="94">
        <v>0</v>
      </c>
    </row>
    <row r="307" spans="1:26">
      <c r="A307" s="2" t="s">
        <v>45</v>
      </c>
      <c r="B307" s="3">
        <f>'Monthly D6 RIN Data'!$Q6</f>
        <v>0</v>
      </c>
      <c r="C307" s="3">
        <f>'Monthly D6 RIN Data'!$Q18</f>
        <v>0</v>
      </c>
      <c r="D307" s="3">
        <f>'Monthly D6 RIN Data'!$Q30</f>
        <v>0</v>
      </c>
      <c r="E307" s="3">
        <f>'Monthly D6 RIN Data'!$Q42</f>
        <v>0</v>
      </c>
      <c r="F307" s="3">
        <f>'Monthly D6 RIN Data'!$Q54</f>
        <v>0</v>
      </c>
      <c r="G307" s="3">
        <f>'Monthly D6 RIN Data'!$Q66</f>
        <v>0</v>
      </c>
      <c r="H307" s="3">
        <f>'Monthly D6 RIN Data'!$Q78</f>
        <v>0</v>
      </c>
      <c r="I307" s="3">
        <f>'Monthly D6 RIN Data'!$Q90</f>
        <v>0</v>
      </c>
      <c r="J307" s="3">
        <f>'Monthly D6 RIN Data'!$Q102</f>
        <v>0</v>
      </c>
      <c r="K307" s="3">
        <f>'Monthly D6 RIN Data'!$Q114</f>
        <v>0</v>
      </c>
      <c r="L307" s="3">
        <f>'Monthly D6 RIN Data'!$Q126</f>
        <v>0</v>
      </c>
      <c r="M307" s="3">
        <f>'Monthly D6 RIN Data'!$Q138</f>
        <v>0</v>
      </c>
      <c r="N307" s="3">
        <f>'Monthly D6 RIN Data'!$Q150</f>
        <v>0</v>
      </c>
      <c r="O307" s="3">
        <f>'Monthly D6 RIN Data'!$Q162</f>
        <v>0</v>
      </c>
      <c r="P307" s="3">
        <f>'Monthly D6 RIN Data'!$Q174</f>
        <v>0</v>
      </c>
      <c r="Q307" s="3">
        <f>'Monthly D6 RIN Data'!$Q186</f>
        <v>0</v>
      </c>
      <c r="R307" s="94">
        <v>0</v>
      </c>
      <c r="S307" s="94">
        <v>0</v>
      </c>
      <c r="T307" s="94">
        <v>0</v>
      </c>
      <c r="U307" s="94">
        <v>0</v>
      </c>
      <c r="V307" s="94">
        <v>0</v>
      </c>
      <c r="W307" s="94">
        <v>0</v>
      </c>
      <c r="X307" s="94">
        <v>0</v>
      </c>
      <c r="Y307" s="94">
        <v>0</v>
      </c>
      <c r="Z307" s="94">
        <v>0</v>
      </c>
    </row>
    <row r="308" spans="1:26">
      <c r="A308" s="2" t="s">
        <v>46</v>
      </c>
      <c r="B308" s="3">
        <f>'Monthly D6 RIN Data'!$Q7</f>
        <v>0</v>
      </c>
      <c r="C308" s="3">
        <f>'Monthly D6 RIN Data'!$Q19</f>
        <v>0</v>
      </c>
      <c r="D308" s="3">
        <f>'Monthly D6 RIN Data'!$Q31</f>
        <v>0</v>
      </c>
      <c r="E308" s="3">
        <f>'Monthly D6 RIN Data'!$Q43</f>
        <v>0</v>
      </c>
      <c r="F308" s="3">
        <f>'Monthly D6 RIN Data'!$Q55</f>
        <v>0</v>
      </c>
      <c r="G308" s="3">
        <f>'Monthly D6 RIN Data'!$Q67</f>
        <v>0</v>
      </c>
      <c r="H308" s="3">
        <f>'Monthly D6 RIN Data'!$Q79</f>
        <v>0</v>
      </c>
      <c r="I308" s="3">
        <f>'Monthly D6 RIN Data'!$Q91</f>
        <v>0</v>
      </c>
      <c r="J308" s="3">
        <f>'Monthly D6 RIN Data'!$Q103</f>
        <v>0</v>
      </c>
      <c r="K308" s="3">
        <f>'Monthly D6 RIN Data'!$Q115</f>
        <v>0</v>
      </c>
      <c r="L308" s="3">
        <f>'Monthly D6 RIN Data'!$Q127</f>
        <v>0</v>
      </c>
      <c r="M308" s="3">
        <f>'Monthly D6 RIN Data'!$Q139</f>
        <v>0</v>
      </c>
      <c r="N308" s="3">
        <f>'Monthly D6 RIN Data'!$Q151</f>
        <v>0</v>
      </c>
      <c r="O308" s="3">
        <f>'Monthly D6 RIN Data'!$Q163</f>
        <v>0</v>
      </c>
      <c r="P308" s="3">
        <f>'Monthly D6 RIN Data'!$Q175</f>
        <v>0</v>
      </c>
      <c r="Q308" s="94">
        <v>0</v>
      </c>
      <c r="R308" s="94">
        <v>0</v>
      </c>
      <c r="S308" s="94">
        <v>0</v>
      </c>
      <c r="T308" s="94">
        <v>0</v>
      </c>
      <c r="U308" s="94">
        <v>0</v>
      </c>
      <c r="V308" s="94">
        <v>0</v>
      </c>
      <c r="W308" s="94">
        <v>0</v>
      </c>
      <c r="X308" s="94">
        <v>0</v>
      </c>
      <c r="Y308" s="94">
        <v>0</v>
      </c>
      <c r="Z308" s="94">
        <v>0</v>
      </c>
    </row>
    <row r="309" spans="1:26">
      <c r="A309" s="2" t="s">
        <v>47</v>
      </c>
      <c r="B309" s="3">
        <f>'Monthly D6 RIN Data'!$Q8</f>
        <v>0</v>
      </c>
      <c r="C309" s="3">
        <f>'Monthly D6 RIN Data'!$Q20</f>
        <v>0</v>
      </c>
      <c r="D309" s="3">
        <f>'Monthly D6 RIN Data'!$Q32</f>
        <v>0</v>
      </c>
      <c r="E309" s="3">
        <f>'Monthly D6 RIN Data'!$Q44</f>
        <v>0</v>
      </c>
      <c r="F309" s="3">
        <f>'Monthly D6 RIN Data'!$Q56</f>
        <v>0</v>
      </c>
      <c r="G309" s="3">
        <f>'Monthly D6 RIN Data'!$Q68</f>
        <v>0</v>
      </c>
      <c r="H309" s="3">
        <f>'Monthly D6 RIN Data'!$Q80</f>
        <v>0</v>
      </c>
      <c r="I309" s="3">
        <f>'Monthly D6 RIN Data'!$Q92</f>
        <v>0</v>
      </c>
      <c r="J309" s="3">
        <f>'Monthly D6 RIN Data'!$Q104</f>
        <v>0</v>
      </c>
      <c r="K309" s="3">
        <f>'Monthly D6 RIN Data'!$Q116</f>
        <v>0</v>
      </c>
      <c r="L309" s="3">
        <f>'Monthly D6 RIN Data'!$Q128</f>
        <v>0</v>
      </c>
      <c r="M309" s="3">
        <f>'Monthly D6 RIN Data'!$Q140</f>
        <v>0</v>
      </c>
      <c r="N309" s="3">
        <f>'Monthly D6 RIN Data'!$Q152</f>
        <v>0</v>
      </c>
      <c r="O309" s="3">
        <f>'Monthly D6 RIN Data'!$Q164</f>
        <v>0</v>
      </c>
      <c r="P309" s="3">
        <f>'Monthly D6 RIN Data'!$Q176</f>
        <v>0</v>
      </c>
      <c r="Q309" s="94">
        <v>0</v>
      </c>
      <c r="R309" s="94">
        <v>0</v>
      </c>
      <c r="S309" s="94">
        <v>0</v>
      </c>
      <c r="T309" s="94">
        <v>0</v>
      </c>
      <c r="U309" s="94">
        <v>0</v>
      </c>
      <c r="V309" s="94">
        <v>0</v>
      </c>
      <c r="W309" s="94">
        <v>0</v>
      </c>
      <c r="X309" s="94">
        <v>0</v>
      </c>
      <c r="Y309" s="94">
        <v>0</v>
      </c>
      <c r="Z309" s="94">
        <v>0</v>
      </c>
    </row>
    <row r="310" spans="1:26">
      <c r="A310" s="2" t="s">
        <v>48</v>
      </c>
      <c r="B310" s="3">
        <f>'Monthly D6 RIN Data'!$Q9</f>
        <v>0</v>
      </c>
      <c r="C310" s="3">
        <f>'Monthly D6 RIN Data'!$Q21</f>
        <v>0</v>
      </c>
      <c r="D310" s="3">
        <f>'Monthly D6 RIN Data'!$Q33</f>
        <v>0</v>
      </c>
      <c r="E310" s="3">
        <f>'Monthly D6 RIN Data'!$Q45</f>
        <v>0</v>
      </c>
      <c r="F310" s="3">
        <f>'Monthly D6 RIN Data'!$Q57</f>
        <v>0</v>
      </c>
      <c r="G310" s="3">
        <f>'Monthly D6 RIN Data'!$Q69</f>
        <v>0</v>
      </c>
      <c r="H310" s="3">
        <f>'Monthly D6 RIN Data'!$Q81</f>
        <v>0</v>
      </c>
      <c r="I310" s="3">
        <f>'Monthly D6 RIN Data'!$Q93</f>
        <v>0</v>
      </c>
      <c r="J310" s="3">
        <f>'Monthly D6 RIN Data'!$Q105</f>
        <v>0</v>
      </c>
      <c r="K310" s="3">
        <f>'Monthly D6 RIN Data'!$Q117</f>
        <v>0</v>
      </c>
      <c r="L310" s="3">
        <f>'Monthly D6 RIN Data'!$Q129</f>
        <v>0</v>
      </c>
      <c r="M310" s="3">
        <f>'Monthly D6 RIN Data'!$Q141</f>
        <v>0</v>
      </c>
      <c r="N310" s="3">
        <f>'Monthly D6 RIN Data'!$Q153</f>
        <v>0</v>
      </c>
      <c r="O310" s="3">
        <f>'Monthly D6 RIN Data'!$Q165</f>
        <v>0</v>
      </c>
      <c r="P310" s="3">
        <f>'Monthly D6 RIN Data'!$Q177</f>
        <v>0</v>
      </c>
      <c r="Q310" s="94">
        <v>0</v>
      </c>
      <c r="R310" s="94">
        <v>0</v>
      </c>
      <c r="S310" s="94">
        <v>0</v>
      </c>
      <c r="T310" s="94">
        <v>0</v>
      </c>
      <c r="U310" s="94">
        <v>0</v>
      </c>
      <c r="V310" s="94">
        <v>0</v>
      </c>
      <c r="W310" s="94">
        <v>0</v>
      </c>
      <c r="X310" s="94">
        <v>0</v>
      </c>
      <c r="Y310" s="94">
        <v>0</v>
      </c>
      <c r="Z310" s="94">
        <v>0</v>
      </c>
    </row>
    <row r="311" spans="1:26">
      <c r="A311" s="2" t="s">
        <v>49</v>
      </c>
      <c r="B311" s="3">
        <f>'Monthly D6 RIN Data'!$Q10</f>
        <v>0</v>
      </c>
      <c r="C311" s="3">
        <f>'Monthly D6 RIN Data'!$Q22</f>
        <v>0</v>
      </c>
      <c r="D311" s="3">
        <f>'Monthly D6 RIN Data'!$Q34</f>
        <v>0</v>
      </c>
      <c r="E311" s="3">
        <f>'Monthly D6 RIN Data'!$Q46</f>
        <v>0</v>
      </c>
      <c r="F311" s="3">
        <f>'Monthly D6 RIN Data'!$Q58</f>
        <v>0</v>
      </c>
      <c r="G311" s="3">
        <f>'Monthly D6 RIN Data'!$Q70</f>
        <v>0</v>
      </c>
      <c r="H311" s="3">
        <f>'Monthly D6 RIN Data'!$Q82</f>
        <v>0</v>
      </c>
      <c r="I311" s="3">
        <f>'Monthly D6 RIN Data'!$Q94</f>
        <v>0</v>
      </c>
      <c r="J311" s="3">
        <f>'Monthly D6 RIN Data'!$Q106</f>
        <v>0</v>
      </c>
      <c r="K311" s="3">
        <f>'Monthly D6 RIN Data'!$Q118</f>
        <v>0</v>
      </c>
      <c r="L311" s="3">
        <f>'Monthly D6 RIN Data'!$Q130</f>
        <v>0</v>
      </c>
      <c r="M311" s="3">
        <f>'Monthly D6 RIN Data'!$Q142</f>
        <v>0</v>
      </c>
      <c r="N311" s="3">
        <f>'Monthly D6 RIN Data'!$Q154</f>
        <v>0</v>
      </c>
      <c r="O311" s="3">
        <f>'Monthly D6 RIN Data'!$Q166</f>
        <v>0</v>
      </c>
      <c r="P311" s="3">
        <f>'Monthly D6 RIN Data'!$Q178</f>
        <v>0</v>
      </c>
      <c r="Q311" s="94">
        <v>0</v>
      </c>
      <c r="R311" s="94">
        <v>0</v>
      </c>
      <c r="S311" s="94">
        <v>0</v>
      </c>
      <c r="T311" s="94">
        <v>0</v>
      </c>
      <c r="U311" s="94">
        <v>0</v>
      </c>
      <c r="V311" s="94">
        <v>0</v>
      </c>
      <c r="W311" s="94">
        <v>0</v>
      </c>
      <c r="X311" s="94">
        <v>0</v>
      </c>
      <c r="Y311" s="94">
        <v>0</v>
      </c>
      <c r="Z311" s="94">
        <v>0</v>
      </c>
    </row>
    <row r="312" spans="1:26">
      <c r="A312" s="2" t="s">
        <v>50</v>
      </c>
      <c r="B312" s="3">
        <f>'Monthly D6 RIN Data'!$Q11</f>
        <v>0</v>
      </c>
      <c r="C312" s="3">
        <f>'Monthly D6 RIN Data'!$Q23</f>
        <v>0</v>
      </c>
      <c r="D312" s="3">
        <f>'Monthly D6 RIN Data'!$Q35</f>
        <v>0</v>
      </c>
      <c r="E312" s="3">
        <f>'Monthly D6 RIN Data'!$Q47</f>
        <v>0</v>
      </c>
      <c r="F312" s="3">
        <f>'Monthly D6 RIN Data'!$Q59</f>
        <v>0</v>
      </c>
      <c r="G312" s="3">
        <f>'Monthly D6 RIN Data'!$Q71</f>
        <v>0</v>
      </c>
      <c r="H312" s="3">
        <f>'Monthly D6 RIN Data'!$Q83</f>
        <v>0</v>
      </c>
      <c r="I312" s="3">
        <f>'Monthly D6 RIN Data'!$Q95</f>
        <v>0</v>
      </c>
      <c r="J312" s="3">
        <f>'Monthly D6 RIN Data'!$Q107</f>
        <v>0</v>
      </c>
      <c r="K312" s="3">
        <f>'Monthly D6 RIN Data'!$Q119</f>
        <v>0</v>
      </c>
      <c r="L312" s="3">
        <f>'Monthly D6 RIN Data'!$Q131</f>
        <v>0</v>
      </c>
      <c r="M312" s="3">
        <f>'Monthly D6 RIN Data'!$Q143</f>
        <v>0</v>
      </c>
      <c r="N312" s="3">
        <f>'Monthly D6 RIN Data'!$Q155</f>
        <v>0</v>
      </c>
      <c r="O312" s="3">
        <f>'Monthly D6 RIN Data'!$Q167</f>
        <v>0</v>
      </c>
      <c r="P312" s="3">
        <f>'Monthly D6 RIN Data'!$Q179</f>
        <v>0</v>
      </c>
      <c r="Q312" s="94">
        <v>0</v>
      </c>
      <c r="R312" s="94">
        <v>0</v>
      </c>
      <c r="S312" s="94">
        <v>0</v>
      </c>
      <c r="T312" s="94">
        <v>0</v>
      </c>
      <c r="U312" s="94">
        <v>0</v>
      </c>
      <c r="V312" s="94">
        <v>0</v>
      </c>
      <c r="W312" s="94">
        <v>0</v>
      </c>
      <c r="X312" s="94">
        <v>0</v>
      </c>
      <c r="Y312" s="94">
        <v>0</v>
      </c>
      <c r="Z312" s="94">
        <v>0</v>
      </c>
    </row>
    <row r="313" spans="1:26">
      <c r="A313" s="2" t="s">
        <v>51</v>
      </c>
      <c r="B313" s="3">
        <f>'Monthly D6 RIN Data'!$Q12</f>
        <v>0</v>
      </c>
      <c r="C313" s="3">
        <f>'Monthly D6 RIN Data'!$Q24</f>
        <v>0</v>
      </c>
      <c r="D313" s="3">
        <f>'Monthly D6 RIN Data'!$Q36</f>
        <v>0</v>
      </c>
      <c r="E313" s="3">
        <f>'Monthly D6 RIN Data'!$Q48</f>
        <v>0</v>
      </c>
      <c r="F313" s="3">
        <f>'Monthly D6 RIN Data'!$Q60</f>
        <v>0</v>
      </c>
      <c r="G313" s="3">
        <f>'Monthly D6 RIN Data'!$Q72</f>
        <v>0</v>
      </c>
      <c r="H313" s="3">
        <f>'Monthly D6 RIN Data'!$Q84</f>
        <v>0</v>
      </c>
      <c r="I313" s="3">
        <f>'Monthly D6 RIN Data'!$Q96</f>
        <v>0</v>
      </c>
      <c r="J313" s="3">
        <f>'Monthly D6 RIN Data'!$Q108</f>
        <v>0</v>
      </c>
      <c r="K313" s="3">
        <f>'Monthly D6 RIN Data'!$Q120</f>
        <v>0</v>
      </c>
      <c r="L313" s="3">
        <f>'Monthly D6 RIN Data'!$Q132</f>
        <v>0</v>
      </c>
      <c r="M313" s="3">
        <f>'Monthly D6 RIN Data'!$Q144</f>
        <v>0</v>
      </c>
      <c r="N313" s="3">
        <f>'Monthly D6 RIN Data'!$Q156</f>
        <v>0</v>
      </c>
      <c r="O313" s="3">
        <f>'Monthly D6 RIN Data'!$Q168</f>
        <v>0</v>
      </c>
      <c r="P313" s="3">
        <f>'Monthly D6 RIN Data'!$Q180</f>
        <v>0</v>
      </c>
      <c r="Q313" s="94">
        <v>0</v>
      </c>
      <c r="R313" s="94">
        <v>0</v>
      </c>
      <c r="S313" s="94">
        <v>0</v>
      </c>
      <c r="T313" s="94">
        <v>0</v>
      </c>
      <c r="U313" s="94">
        <v>0</v>
      </c>
      <c r="V313" s="94">
        <v>0</v>
      </c>
      <c r="W313" s="94">
        <v>0</v>
      </c>
      <c r="X313" s="94">
        <v>0</v>
      </c>
      <c r="Y313" s="94">
        <v>0</v>
      </c>
      <c r="Z313" s="94">
        <v>0</v>
      </c>
    </row>
    <row r="314" spans="1:26">
      <c r="A314" s="2" t="s">
        <v>52</v>
      </c>
      <c r="B314" s="3">
        <f>'Monthly D6 RIN Data'!$Q13</f>
        <v>0</v>
      </c>
      <c r="C314" s="3">
        <f>'Monthly D6 RIN Data'!$Q25</f>
        <v>0</v>
      </c>
      <c r="D314" s="3">
        <f>'Monthly D6 RIN Data'!$Q37</f>
        <v>0</v>
      </c>
      <c r="E314" s="3">
        <f>'Monthly D6 RIN Data'!$Q49</f>
        <v>0</v>
      </c>
      <c r="F314" s="3">
        <f>'Monthly D6 RIN Data'!$Q61</f>
        <v>0</v>
      </c>
      <c r="G314" s="3">
        <f>'Monthly D6 RIN Data'!$Q73</f>
        <v>0</v>
      </c>
      <c r="H314" s="3">
        <f>'Monthly D6 RIN Data'!$Q85</f>
        <v>0</v>
      </c>
      <c r="I314" s="3">
        <f>'Monthly D6 RIN Data'!$Q97</f>
        <v>0</v>
      </c>
      <c r="J314" s="3">
        <f>'Monthly D6 RIN Data'!$Q109</f>
        <v>0</v>
      </c>
      <c r="K314" s="3">
        <f>'Monthly D6 RIN Data'!$Q121</f>
        <v>0</v>
      </c>
      <c r="L314" s="3">
        <f>'Monthly D6 RIN Data'!$Q133</f>
        <v>0</v>
      </c>
      <c r="M314" s="3">
        <f>'Monthly D6 RIN Data'!$Q145</f>
        <v>0</v>
      </c>
      <c r="N314" s="3">
        <f>'Monthly D6 RIN Data'!$Q157</f>
        <v>0</v>
      </c>
      <c r="O314" s="3">
        <f>'Monthly D6 RIN Data'!$Q169</f>
        <v>0</v>
      </c>
      <c r="P314" s="3">
        <f>'Monthly D6 RIN Data'!$Q181</f>
        <v>0</v>
      </c>
      <c r="Q314" s="94">
        <v>0</v>
      </c>
      <c r="R314" s="94">
        <v>0</v>
      </c>
      <c r="S314" s="94">
        <v>0</v>
      </c>
      <c r="T314" s="94">
        <v>0</v>
      </c>
      <c r="U314" s="94">
        <v>0</v>
      </c>
      <c r="V314" s="94">
        <v>0</v>
      </c>
      <c r="W314" s="94">
        <v>0</v>
      </c>
      <c r="X314" s="94">
        <v>0</v>
      </c>
      <c r="Y314" s="94">
        <v>0</v>
      </c>
      <c r="Z314" s="94">
        <v>0</v>
      </c>
    </row>
    <row r="315" spans="1:26">
      <c r="A315" s="2" t="s">
        <v>53</v>
      </c>
      <c r="B315" s="3">
        <f>'Monthly D6 RIN Data'!$Q14</f>
        <v>0</v>
      </c>
      <c r="C315" s="3">
        <f>'Monthly D6 RIN Data'!$Q26</f>
        <v>0</v>
      </c>
      <c r="D315" s="3">
        <f>'Monthly D6 RIN Data'!$Q38</f>
        <v>0</v>
      </c>
      <c r="E315" s="3">
        <f>'Monthly D6 RIN Data'!$Q50</f>
        <v>0</v>
      </c>
      <c r="F315" s="3">
        <f>'Monthly D6 RIN Data'!$Q62</f>
        <v>0</v>
      </c>
      <c r="G315" s="3">
        <f>'Monthly D6 RIN Data'!$Q74</f>
        <v>0</v>
      </c>
      <c r="H315" s="3">
        <f>'Monthly D6 RIN Data'!$Q86</f>
        <v>0</v>
      </c>
      <c r="I315" s="3">
        <f>'Monthly D6 RIN Data'!$Q98</f>
        <v>0</v>
      </c>
      <c r="J315" s="3">
        <f>'Monthly D6 RIN Data'!$Q110</f>
        <v>0</v>
      </c>
      <c r="K315" s="3">
        <f>'Monthly D6 RIN Data'!$Q122</f>
        <v>0</v>
      </c>
      <c r="L315" s="3">
        <f>'Monthly D6 RIN Data'!$Q134</f>
        <v>0</v>
      </c>
      <c r="M315" s="3">
        <f>'Monthly D6 RIN Data'!$Q146</f>
        <v>0</v>
      </c>
      <c r="N315" s="3">
        <f>'Monthly D6 RIN Data'!$Q158</f>
        <v>0</v>
      </c>
      <c r="O315" s="3">
        <f>'Monthly D6 RIN Data'!$Q170</f>
        <v>0</v>
      </c>
      <c r="P315" s="3">
        <f>'Monthly D6 RIN Data'!$Q182</f>
        <v>0</v>
      </c>
      <c r="Q315" s="94">
        <v>0</v>
      </c>
      <c r="R315" s="94">
        <v>0</v>
      </c>
      <c r="S315" s="94">
        <v>0</v>
      </c>
      <c r="T315" s="94">
        <v>0</v>
      </c>
      <c r="U315" s="94">
        <v>0</v>
      </c>
      <c r="V315" s="94">
        <v>0</v>
      </c>
      <c r="W315" s="94">
        <v>0</v>
      </c>
      <c r="X315" s="94">
        <v>0</v>
      </c>
      <c r="Y315" s="94">
        <v>0</v>
      </c>
      <c r="Z315" s="94">
        <v>0</v>
      </c>
    </row>
    <row r="316" spans="1:26">
      <c r="A316" s="2" t="s">
        <v>54</v>
      </c>
      <c r="B316" s="3">
        <f>'Monthly D6 RIN Data'!$Q15</f>
        <v>0</v>
      </c>
      <c r="C316" s="3">
        <f>'Monthly D6 RIN Data'!$Q27</f>
        <v>0</v>
      </c>
      <c r="D316" s="3">
        <f>'Monthly D6 RIN Data'!$Q39</f>
        <v>0</v>
      </c>
      <c r="E316" s="3">
        <f>'Monthly D6 RIN Data'!$Q51</f>
        <v>0</v>
      </c>
      <c r="F316" s="3">
        <f>'Monthly D6 RIN Data'!$Q63</f>
        <v>0</v>
      </c>
      <c r="G316" s="3">
        <f>'Monthly D6 RIN Data'!$Q75</f>
        <v>0</v>
      </c>
      <c r="H316" s="3">
        <f>'Monthly D6 RIN Data'!$Q87</f>
        <v>0</v>
      </c>
      <c r="I316" s="3">
        <f>'Monthly D6 RIN Data'!$Q99</f>
        <v>0</v>
      </c>
      <c r="J316" s="3">
        <f>'Monthly D6 RIN Data'!$Q111</f>
        <v>0</v>
      </c>
      <c r="K316" s="3">
        <f>'Monthly D6 RIN Data'!$Q123</f>
        <v>0</v>
      </c>
      <c r="L316" s="3">
        <f>'Monthly D6 RIN Data'!$Q135</f>
        <v>0</v>
      </c>
      <c r="M316" s="3">
        <f>'Monthly D6 RIN Data'!$Q147</f>
        <v>0</v>
      </c>
      <c r="N316" s="3">
        <f>'Monthly D6 RIN Data'!$Q159</f>
        <v>0</v>
      </c>
      <c r="O316" s="3">
        <f>'Monthly D6 RIN Data'!$Q171</f>
        <v>0</v>
      </c>
      <c r="P316" s="3">
        <f>'Monthly D6 RIN Data'!$Q183</f>
        <v>0</v>
      </c>
      <c r="Q316" s="94">
        <v>0</v>
      </c>
      <c r="R316" s="94">
        <v>0</v>
      </c>
      <c r="S316" s="94">
        <v>0</v>
      </c>
      <c r="T316" s="94">
        <v>0</v>
      </c>
      <c r="U316" s="94">
        <v>0</v>
      </c>
      <c r="V316" s="94">
        <v>0</v>
      </c>
      <c r="W316" s="94">
        <v>0</v>
      </c>
      <c r="X316" s="94">
        <v>0</v>
      </c>
      <c r="Y316" s="94">
        <v>0</v>
      </c>
      <c r="Z316" s="94">
        <v>0</v>
      </c>
    </row>
    <row r="317" spans="1:26" ht="13.5" thickBot="1">
      <c r="A317" s="2" t="s">
        <v>29</v>
      </c>
      <c r="B317" s="3">
        <f t="shared" ref="B317:N317" si="84">SUM(B305:B316)</f>
        <v>0</v>
      </c>
      <c r="C317" s="3">
        <f t="shared" si="84"/>
        <v>0</v>
      </c>
      <c r="D317" s="3">
        <f t="shared" si="84"/>
        <v>0</v>
      </c>
      <c r="E317" s="3">
        <f t="shared" si="84"/>
        <v>0</v>
      </c>
      <c r="F317" s="3">
        <f t="shared" si="84"/>
        <v>0</v>
      </c>
      <c r="G317" s="3">
        <f t="shared" si="84"/>
        <v>0</v>
      </c>
      <c r="H317" s="3">
        <f t="shared" si="84"/>
        <v>0</v>
      </c>
      <c r="I317" s="3">
        <f t="shared" si="84"/>
        <v>0</v>
      </c>
      <c r="J317" s="3">
        <f t="shared" si="84"/>
        <v>0</v>
      </c>
      <c r="K317" s="3">
        <f t="shared" si="84"/>
        <v>0</v>
      </c>
      <c r="L317" s="3">
        <f t="shared" si="84"/>
        <v>0</v>
      </c>
      <c r="M317" s="3">
        <f t="shared" si="84"/>
        <v>0</v>
      </c>
      <c r="N317" s="3">
        <f t="shared" si="84"/>
        <v>0</v>
      </c>
      <c r="O317" s="3">
        <f>SUM(O305:O316)</f>
        <v>0</v>
      </c>
      <c r="P317" s="94">
        <f>SUM(P305:P316)</f>
        <v>0</v>
      </c>
      <c r="Q317" s="94">
        <f t="shared" ref="Q317:Z317" si="85">SUM(Q305:Q316)</f>
        <v>0</v>
      </c>
      <c r="R317" s="94">
        <f t="shared" si="85"/>
        <v>0</v>
      </c>
      <c r="S317" s="94">
        <f t="shared" si="85"/>
        <v>0</v>
      </c>
      <c r="T317" s="94">
        <f t="shared" si="85"/>
        <v>0</v>
      </c>
      <c r="U317" s="94">
        <f t="shared" si="85"/>
        <v>0</v>
      </c>
      <c r="V317" s="94">
        <f t="shared" si="85"/>
        <v>0</v>
      </c>
      <c r="W317" s="94">
        <f t="shared" si="85"/>
        <v>0</v>
      </c>
      <c r="X317" s="94">
        <f t="shared" si="85"/>
        <v>0</v>
      </c>
      <c r="Y317" s="94">
        <f t="shared" si="85"/>
        <v>0</v>
      </c>
      <c r="Z317" s="94">
        <f t="shared" si="85"/>
        <v>0</v>
      </c>
    </row>
    <row r="318" spans="1:26">
      <c r="A318" s="114"/>
      <c r="B318" s="114"/>
      <c r="C318" s="114"/>
      <c r="D318" s="114"/>
      <c r="E318" s="114"/>
      <c r="F318" s="114"/>
      <c r="G318" s="114"/>
      <c r="H318" s="114"/>
      <c r="I318" s="114"/>
      <c r="J318" s="114"/>
      <c r="K318" s="114"/>
      <c r="L318" s="114"/>
      <c r="M318" s="114"/>
      <c r="N318" s="114"/>
      <c r="O318" s="114"/>
      <c r="P318" s="114"/>
      <c r="Q318" s="114"/>
      <c r="R318" s="114"/>
      <c r="S318" s="114"/>
      <c r="T318" s="114"/>
      <c r="U318" s="114"/>
      <c r="V318" s="114"/>
      <c r="W318" s="114"/>
      <c r="X318" s="114"/>
      <c r="Y318" s="114"/>
      <c r="Z318" s="114"/>
    </row>
    <row r="319" spans="1:26" ht="16.5" thickBot="1">
      <c r="A319" s="109" t="s">
        <v>505</v>
      </c>
    </row>
    <row r="320" spans="1:26" ht="13.5" thickBot="1">
      <c r="A320" s="110"/>
      <c r="B320" s="111">
        <f>B2</f>
        <v>2010</v>
      </c>
      <c r="C320" s="111">
        <f t="shared" ref="C320:Z320" si="86">C2</f>
        <v>2011</v>
      </c>
      <c r="D320" s="111">
        <f t="shared" si="86"/>
        <v>2012</v>
      </c>
      <c r="E320" s="111">
        <f t="shared" si="86"/>
        <v>2013</v>
      </c>
      <c r="F320" s="111">
        <f t="shared" si="86"/>
        <v>2014</v>
      </c>
      <c r="G320" s="111">
        <f t="shared" si="86"/>
        <v>2015</v>
      </c>
      <c r="H320" s="111">
        <f t="shared" si="86"/>
        <v>2016</v>
      </c>
      <c r="I320" s="111">
        <f t="shared" si="86"/>
        <v>2017</v>
      </c>
      <c r="J320" s="111">
        <f t="shared" si="86"/>
        <v>2018</v>
      </c>
      <c r="K320" s="111">
        <f t="shared" si="86"/>
        <v>2019</v>
      </c>
      <c r="L320" s="111">
        <f t="shared" si="86"/>
        <v>2020</v>
      </c>
      <c r="M320" s="111">
        <f t="shared" si="86"/>
        <v>2021</v>
      </c>
      <c r="N320" s="111">
        <f t="shared" si="86"/>
        <v>2022</v>
      </c>
      <c r="O320" s="111">
        <f t="shared" si="86"/>
        <v>2023</v>
      </c>
      <c r="P320" s="111">
        <f t="shared" si="86"/>
        <v>2024</v>
      </c>
      <c r="Q320" s="111">
        <f t="shared" si="86"/>
        <v>2025</v>
      </c>
      <c r="R320" s="111">
        <f t="shared" si="86"/>
        <v>2026</v>
      </c>
      <c r="S320" s="111">
        <f t="shared" si="86"/>
        <v>2027</v>
      </c>
      <c r="T320" s="111">
        <f t="shared" si="86"/>
        <v>2028</v>
      </c>
      <c r="U320" s="111">
        <f t="shared" si="86"/>
        <v>2029</v>
      </c>
      <c r="V320" s="111">
        <f t="shared" si="86"/>
        <v>2030</v>
      </c>
      <c r="W320" s="111">
        <f t="shared" si="86"/>
        <v>2031</v>
      </c>
      <c r="X320" s="111">
        <f t="shared" si="86"/>
        <v>2032</v>
      </c>
      <c r="Y320" s="111">
        <f t="shared" si="86"/>
        <v>2033</v>
      </c>
      <c r="Z320" s="111">
        <f t="shared" si="86"/>
        <v>2034</v>
      </c>
    </row>
    <row r="321" spans="1:26">
      <c r="A321" s="2" t="s">
        <v>43</v>
      </c>
      <c r="B321" s="3">
        <f t="shared" ref="B321:Z331" si="87">B337+B353</f>
        <v>0</v>
      </c>
      <c r="C321" s="3">
        <f t="shared" si="87"/>
        <v>0</v>
      </c>
      <c r="D321" s="3">
        <f t="shared" si="87"/>
        <v>0</v>
      </c>
      <c r="E321" s="3">
        <f t="shared" si="87"/>
        <v>0</v>
      </c>
      <c r="F321" s="3">
        <f t="shared" si="87"/>
        <v>0</v>
      </c>
      <c r="G321" s="3">
        <f t="shared" si="87"/>
        <v>0</v>
      </c>
      <c r="H321" s="3">
        <f t="shared" si="87"/>
        <v>0</v>
      </c>
      <c r="I321" s="3">
        <f t="shared" si="87"/>
        <v>0</v>
      </c>
      <c r="J321" s="3">
        <f t="shared" si="87"/>
        <v>0</v>
      </c>
      <c r="K321" s="3">
        <f t="shared" si="87"/>
        <v>0</v>
      </c>
      <c r="L321" s="3">
        <f t="shared" si="87"/>
        <v>0</v>
      </c>
      <c r="M321" s="3">
        <f t="shared" si="87"/>
        <v>0</v>
      </c>
      <c r="N321" s="3">
        <f t="shared" si="87"/>
        <v>0</v>
      </c>
      <c r="O321" s="3">
        <f t="shared" si="87"/>
        <v>0</v>
      </c>
      <c r="P321" s="3">
        <f t="shared" si="87"/>
        <v>0</v>
      </c>
      <c r="Q321" s="3">
        <f t="shared" si="87"/>
        <v>0</v>
      </c>
      <c r="R321" s="2">
        <f t="shared" si="87"/>
        <v>0</v>
      </c>
      <c r="S321" s="2">
        <f t="shared" si="87"/>
        <v>0</v>
      </c>
      <c r="T321" s="2">
        <f t="shared" si="87"/>
        <v>0</v>
      </c>
      <c r="U321" s="2">
        <f t="shared" si="87"/>
        <v>0</v>
      </c>
      <c r="V321" s="2">
        <f t="shared" si="87"/>
        <v>0</v>
      </c>
      <c r="W321" s="2">
        <f t="shared" si="87"/>
        <v>0</v>
      </c>
      <c r="X321" s="2">
        <f t="shared" si="87"/>
        <v>0</v>
      </c>
      <c r="Y321" s="2">
        <f t="shared" si="87"/>
        <v>0</v>
      </c>
      <c r="Z321" s="2">
        <f t="shared" si="87"/>
        <v>0</v>
      </c>
    </row>
    <row r="322" spans="1:26">
      <c r="A322" s="2" t="s">
        <v>44</v>
      </c>
      <c r="B322" s="3">
        <f t="shared" si="87"/>
        <v>0</v>
      </c>
      <c r="C322" s="3">
        <f t="shared" si="87"/>
        <v>0</v>
      </c>
      <c r="D322" s="3">
        <f t="shared" si="87"/>
        <v>0</v>
      </c>
      <c r="E322" s="3">
        <f t="shared" si="87"/>
        <v>0</v>
      </c>
      <c r="F322" s="3">
        <f t="shared" si="87"/>
        <v>0</v>
      </c>
      <c r="G322" s="3">
        <f t="shared" si="87"/>
        <v>0</v>
      </c>
      <c r="H322" s="3">
        <f t="shared" si="87"/>
        <v>0</v>
      </c>
      <c r="I322" s="3">
        <f t="shared" si="87"/>
        <v>0</v>
      </c>
      <c r="J322" s="3">
        <f t="shared" si="87"/>
        <v>0</v>
      </c>
      <c r="K322" s="3">
        <f t="shared" si="87"/>
        <v>0</v>
      </c>
      <c r="L322" s="3">
        <f t="shared" si="87"/>
        <v>0</v>
      </c>
      <c r="M322" s="3">
        <f t="shared" si="87"/>
        <v>0</v>
      </c>
      <c r="N322" s="3">
        <f t="shared" si="87"/>
        <v>0</v>
      </c>
      <c r="O322" s="3">
        <f t="shared" si="87"/>
        <v>0</v>
      </c>
      <c r="P322" s="3">
        <f t="shared" si="87"/>
        <v>0</v>
      </c>
      <c r="Q322" s="3">
        <f t="shared" si="87"/>
        <v>0</v>
      </c>
      <c r="R322" s="2">
        <f t="shared" si="87"/>
        <v>0</v>
      </c>
      <c r="S322" s="2">
        <f t="shared" si="87"/>
        <v>0</v>
      </c>
      <c r="T322" s="2">
        <f t="shared" si="87"/>
        <v>0</v>
      </c>
      <c r="U322" s="2">
        <f t="shared" si="87"/>
        <v>0</v>
      </c>
      <c r="V322" s="2">
        <f t="shared" si="87"/>
        <v>0</v>
      </c>
      <c r="W322" s="2">
        <f t="shared" si="87"/>
        <v>0</v>
      </c>
      <c r="X322" s="2">
        <f t="shared" si="87"/>
        <v>0</v>
      </c>
      <c r="Y322" s="2">
        <f t="shared" si="87"/>
        <v>0</v>
      </c>
      <c r="Z322" s="2">
        <f t="shared" si="87"/>
        <v>0</v>
      </c>
    </row>
    <row r="323" spans="1:26">
      <c r="A323" s="2" t="s">
        <v>45</v>
      </c>
      <c r="B323" s="3">
        <f t="shared" si="87"/>
        <v>0</v>
      </c>
      <c r="C323" s="3">
        <f t="shared" si="87"/>
        <v>0</v>
      </c>
      <c r="D323" s="3">
        <f t="shared" si="87"/>
        <v>0</v>
      </c>
      <c r="E323" s="3">
        <f t="shared" si="87"/>
        <v>0</v>
      </c>
      <c r="F323" s="3">
        <f t="shared" si="87"/>
        <v>0</v>
      </c>
      <c r="G323" s="3">
        <f t="shared" si="87"/>
        <v>0</v>
      </c>
      <c r="H323" s="3">
        <f t="shared" si="87"/>
        <v>0</v>
      </c>
      <c r="I323" s="3">
        <f t="shared" si="87"/>
        <v>0</v>
      </c>
      <c r="J323" s="3">
        <f t="shared" si="87"/>
        <v>0</v>
      </c>
      <c r="K323" s="3">
        <f t="shared" si="87"/>
        <v>0</v>
      </c>
      <c r="L323" s="3">
        <f t="shared" si="87"/>
        <v>0</v>
      </c>
      <c r="M323" s="3">
        <f t="shared" si="87"/>
        <v>0</v>
      </c>
      <c r="N323" s="3">
        <f t="shared" si="87"/>
        <v>0</v>
      </c>
      <c r="O323" s="3">
        <f t="shared" si="87"/>
        <v>0</v>
      </c>
      <c r="P323" s="3">
        <f>P339+P355</f>
        <v>0</v>
      </c>
      <c r="Q323" s="3">
        <f t="shared" si="87"/>
        <v>0</v>
      </c>
      <c r="R323" s="2">
        <f t="shared" si="87"/>
        <v>0</v>
      </c>
      <c r="S323" s="2">
        <f t="shared" si="87"/>
        <v>0</v>
      </c>
      <c r="T323" s="2">
        <f t="shared" si="87"/>
        <v>0</v>
      </c>
      <c r="U323" s="2">
        <f t="shared" si="87"/>
        <v>0</v>
      </c>
      <c r="V323" s="2">
        <f t="shared" si="87"/>
        <v>0</v>
      </c>
      <c r="W323" s="2">
        <f t="shared" si="87"/>
        <v>0</v>
      </c>
      <c r="X323" s="2">
        <f t="shared" si="87"/>
        <v>0</v>
      </c>
      <c r="Y323" s="2">
        <f t="shared" si="87"/>
        <v>0</v>
      </c>
      <c r="Z323" s="2">
        <f t="shared" si="87"/>
        <v>0</v>
      </c>
    </row>
    <row r="324" spans="1:26">
      <c r="A324" s="2" t="s">
        <v>46</v>
      </c>
      <c r="B324" s="3">
        <f t="shared" si="87"/>
        <v>0</v>
      </c>
      <c r="C324" s="3">
        <f t="shared" si="87"/>
        <v>0</v>
      </c>
      <c r="D324" s="3">
        <f t="shared" si="87"/>
        <v>0</v>
      </c>
      <c r="E324" s="3">
        <f t="shared" si="87"/>
        <v>0</v>
      </c>
      <c r="F324" s="3">
        <f t="shared" si="87"/>
        <v>0</v>
      </c>
      <c r="G324" s="3">
        <f t="shared" si="87"/>
        <v>0</v>
      </c>
      <c r="H324" s="3">
        <f t="shared" si="87"/>
        <v>0</v>
      </c>
      <c r="I324" s="3">
        <f t="shared" si="87"/>
        <v>0</v>
      </c>
      <c r="J324" s="3">
        <f t="shared" si="87"/>
        <v>0</v>
      </c>
      <c r="K324" s="3">
        <f t="shared" si="87"/>
        <v>0</v>
      </c>
      <c r="L324" s="3">
        <f t="shared" si="87"/>
        <v>0</v>
      </c>
      <c r="M324" s="3">
        <f t="shared" si="87"/>
        <v>0</v>
      </c>
      <c r="N324" s="3">
        <f t="shared" si="87"/>
        <v>0</v>
      </c>
      <c r="O324" s="3">
        <f t="shared" si="87"/>
        <v>0</v>
      </c>
      <c r="P324" s="3">
        <f>P340+P356</f>
        <v>3629666</v>
      </c>
      <c r="Q324" s="4">
        <f t="shared" si="87"/>
        <v>0</v>
      </c>
      <c r="R324" s="2">
        <f t="shared" si="87"/>
        <v>0</v>
      </c>
      <c r="S324" s="2">
        <f t="shared" si="87"/>
        <v>0</v>
      </c>
      <c r="T324" s="2">
        <f t="shared" si="87"/>
        <v>0</v>
      </c>
      <c r="U324" s="2">
        <f t="shared" si="87"/>
        <v>0</v>
      </c>
      <c r="V324" s="2">
        <f t="shared" si="87"/>
        <v>0</v>
      </c>
      <c r="W324" s="2">
        <f t="shared" si="87"/>
        <v>0</v>
      </c>
      <c r="X324" s="2">
        <f t="shared" si="87"/>
        <v>0</v>
      </c>
      <c r="Y324" s="2">
        <f t="shared" si="87"/>
        <v>0</v>
      </c>
      <c r="Z324" s="2">
        <f t="shared" si="87"/>
        <v>0</v>
      </c>
    </row>
    <row r="325" spans="1:26">
      <c r="A325" s="2" t="s">
        <v>47</v>
      </c>
      <c r="B325" s="3">
        <f t="shared" si="87"/>
        <v>0</v>
      </c>
      <c r="C325" s="3">
        <f t="shared" si="87"/>
        <v>0</v>
      </c>
      <c r="D325" s="3">
        <f t="shared" si="87"/>
        <v>0</v>
      </c>
      <c r="E325" s="3">
        <f t="shared" si="87"/>
        <v>0</v>
      </c>
      <c r="F325" s="3">
        <f t="shared" si="87"/>
        <v>0</v>
      </c>
      <c r="G325" s="3">
        <f t="shared" si="87"/>
        <v>0</v>
      </c>
      <c r="H325" s="3">
        <f t="shared" si="87"/>
        <v>0</v>
      </c>
      <c r="I325" s="3">
        <f t="shared" si="87"/>
        <v>0</v>
      </c>
      <c r="J325" s="3">
        <f t="shared" si="87"/>
        <v>0</v>
      </c>
      <c r="K325" s="3">
        <f t="shared" si="87"/>
        <v>0</v>
      </c>
      <c r="L325" s="3">
        <f t="shared" si="87"/>
        <v>0</v>
      </c>
      <c r="M325" s="3">
        <f t="shared" si="87"/>
        <v>0</v>
      </c>
      <c r="N325" s="3">
        <f t="shared" si="87"/>
        <v>0</v>
      </c>
      <c r="O325" s="3">
        <f t="shared" si="87"/>
        <v>0</v>
      </c>
      <c r="P325" s="3">
        <f>P341+P357</f>
        <v>300758</v>
      </c>
      <c r="Q325" s="4">
        <f t="shared" si="87"/>
        <v>0</v>
      </c>
      <c r="R325" s="2">
        <f t="shared" si="87"/>
        <v>0</v>
      </c>
      <c r="S325" s="2">
        <f t="shared" si="87"/>
        <v>0</v>
      </c>
      <c r="T325" s="2">
        <f t="shared" si="87"/>
        <v>0</v>
      </c>
      <c r="U325" s="2">
        <f t="shared" si="87"/>
        <v>0</v>
      </c>
      <c r="V325" s="2">
        <f t="shared" si="87"/>
        <v>0</v>
      </c>
      <c r="W325" s="2">
        <f t="shared" si="87"/>
        <v>0</v>
      </c>
      <c r="X325" s="2">
        <f t="shared" si="87"/>
        <v>0</v>
      </c>
      <c r="Y325" s="2">
        <f t="shared" si="87"/>
        <v>0</v>
      </c>
      <c r="Z325" s="2">
        <f t="shared" si="87"/>
        <v>0</v>
      </c>
    </row>
    <row r="326" spans="1:26">
      <c r="A326" s="2" t="s">
        <v>48</v>
      </c>
      <c r="B326" s="3">
        <f t="shared" si="87"/>
        <v>0</v>
      </c>
      <c r="C326" s="3">
        <f t="shared" si="87"/>
        <v>0</v>
      </c>
      <c r="D326" s="3">
        <f t="shared" si="87"/>
        <v>0</v>
      </c>
      <c r="E326" s="3">
        <f t="shared" si="87"/>
        <v>0</v>
      </c>
      <c r="F326" s="3">
        <f t="shared" si="87"/>
        <v>0</v>
      </c>
      <c r="G326" s="3">
        <f t="shared" si="87"/>
        <v>0</v>
      </c>
      <c r="H326" s="3">
        <f t="shared" si="87"/>
        <v>0</v>
      </c>
      <c r="I326" s="3">
        <f t="shared" si="87"/>
        <v>0</v>
      </c>
      <c r="J326" s="3">
        <f t="shared" si="87"/>
        <v>0</v>
      </c>
      <c r="K326" s="3">
        <f t="shared" si="87"/>
        <v>0</v>
      </c>
      <c r="L326" s="3">
        <f t="shared" si="87"/>
        <v>0</v>
      </c>
      <c r="M326" s="3">
        <f t="shared" si="87"/>
        <v>0</v>
      </c>
      <c r="N326" s="3">
        <f t="shared" si="87"/>
        <v>0</v>
      </c>
      <c r="O326" s="3">
        <f t="shared" si="87"/>
        <v>0</v>
      </c>
      <c r="P326" s="3">
        <f t="shared" si="87"/>
        <v>0</v>
      </c>
      <c r="Q326" s="4">
        <f t="shared" si="87"/>
        <v>0</v>
      </c>
      <c r="R326" s="2">
        <f t="shared" si="87"/>
        <v>0</v>
      </c>
      <c r="S326" s="2">
        <f t="shared" si="87"/>
        <v>0</v>
      </c>
      <c r="T326" s="2">
        <f t="shared" si="87"/>
        <v>0</v>
      </c>
      <c r="U326" s="2">
        <f t="shared" si="87"/>
        <v>0</v>
      </c>
      <c r="V326" s="2">
        <f t="shared" si="87"/>
        <v>0</v>
      </c>
      <c r="W326" s="2">
        <f t="shared" si="87"/>
        <v>0</v>
      </c>
      <c r="X326" s="2">
        <f t="shared" si="87"/>
        <v>0</v>
      </c>
      <c r="Y326" s="2">
        <f t="shared" si="87"/>
        <v>0</v>
      </c>
      <c r="Z326" s="2">
        <f t="shared" si="87"/>
        <v>0</v>
      </c>
    </row>
    <row r="327" spans="1:26">
      <c r="A327" s="2" t="s">
        <v>49</v>
      </c>
      <c r="B327" s="3">
        <f t="shared" si="87"/>
        <v>0</v>
      </c>
      <c r="C327" s="3">
        <f t="shared" si="87"/>
        <v>0</v>
      </c>
      <c r="D327" s="3">
        <f t="shared" si="87"/>
        <v>0</v>
      </c>
      <c r="E327" s="3">
        <f t="shared" si="87"/>
        <v>0</v>
      </c>
      <c r="F327" s="3">
        <f t="shared" si="87"/>
        <v>0</v>
      </c>
      <c r="G327" s="3">
        <f t="shared" si="87"/>
        <v>0</v>
      </c>
      <c r="H327" s="3">
        <f t="shared" si="87"/>
        <v>0</v>
      </c>
      <c r="I327" s="3">
        <f t="shared" si="87"/>
        <v>0</v>
      </c>
      <c r="J327" s="3">
        <f t="shared" si="87"/>
        <v>0</v>
      </c>
      <c r="K327" s="3">
        <f t="shared" si="87"/>
        <v>0</v>
      </c>
      <c r="L327" s="3">
        <f t="shared" si="87"/>
        <v>0</v>
      </c>
      <c r="M327" s="3">
        <f t="shared" si="87"/>
        <v>0</v>
      </c>
      <c r="N327" s="3">
        <f t="shared" si="87"/>
        <v>0</v>
      </c>
      <c r="O327" s="3">
        <f t="shared" si="87"/>
        <v>0</v>
      </c>
      <c r="P327" s="3">
        <f t="shared" si="87"/>
        <v>0</v>
      </c>
      <c r="Q327" s="4">
        <f t="shared" si="87"/>
        <v>0</v>
      </c>
      <c r="R327" s="2">
        <f t="shared" si="87"/>
        <v>0</v>
      </c>
      <c r="S327" s="2">
        <f t="shared" si="87"/>
        <v>0</v>
      </c>
      <c r="T327" s="2">
        <f t="shared" si="87"/>
        <v>0</v>
      </c>
      <c r="U327" s="2">
        <f t="shared" si="87"/>
        <v>0</v>
      </c>
      <c r="V327" s="2">
        <f t="shared" si="87"/>
        <v>0</v>
      </c>
      <c r="W327" s="2">
        <f t="shared" si="87"/>
        <v>0</v>
      </c>
      <c r="X327" s="2">
        <f t="shared" si="87"/>
        <v>0</v>
      </c>
      <c r="Y327" s="2">
        <f t="shared" si="87"/>
        <v>0</v>
      </c>
      <c r="Z327" s="2">
        <f t="shared" si="87"/>
        <v>0</v>
      </c>
    </row>
    <row r="328" spans="1:26">
      <c r="A328" s="2" t="s">
        <v>50</v>
      </c>
      <c r="B328" s="3">
        <f t="shared" si="87"/>
        <v>0</v>
      </c>
      <c r="C328" s="3">
        <f t="shared" si="87"/>
        <v>0</v>
      </c>
      <c r="D328" s="3">
        <f t="shared" si="87"/>
        <v>0</v>
      </c>
      <c r="E328" s="3">
        <f t="shared" si="87"/>
        <v>0</v>
      </c>
      <c r="F328" s="3">
        <f t="shared" si="87"/>
        <v>0</v>
      </c>
      <c r="G328" s="3">
        <f t="shared" si="87"/>
        <v>0</v>
      </c>
      <c r="H328" s="3">
        <f t="shared" si="87"/>
        <v>0</v>
      </c>
      <c r="I328" s="3">
        <f t="shared" si="87"/>
        <v>0</v>
      </c>
      <c r="J328" s="3">
        <f t="shared" si="87"/>
        <v>0</v>
      </c>
      <c r="K328" s="3">
        <f t="shared" si="87"/>
        <v>0</v>
      </c>
      <c r="L328" s="3">
        <f t="shared" si="87"/>
        <v>0</v>
      </c>
      <c r="M328" s="3">
        <f t="shared" si="87"/>
        <v>0</v>
      </c>
      <c r="N328" s="3">
        <f t="shared" si="87"/>
        <v>0</v>
      </c>
      <c r="O328" s="3">
        <f t="shared" si="87"/>
        <v>16513951</v>
      </c>
      <c r="P328" s="3">
        <f t="shared" si="87"/>
        <v>0</v>
      </c>
      <c r="Q328" s="4">
        <f t="shared" si="87"/>
        <v>0</v>
      </c>
      <c r="R328" s="2">
        <f t="shared" si="87"/>
        <v>0</v>
      </c>
      <c r="S328" s="2">
        <f t="shared" si="87"/>
        <v>0</v>
      </c>
      <c r="T328" s="2">
        <f t="shared" si="87"/>
        <v>0</v>
      </c>
      <c r="U328" s="2">
        <f t="shared" si="87"/>
        <v>0</v>
      </c>
      <c r="V328" s="2">
        <f t="shared" si="87"/>
        <v>0</v>
      </c>
      <c r="W328" s="2">
        <f t="shared" si="87"/>
        <v>0</v>
      </c>
      <c r="X328" s="2">
        <f t="shared" si="87"/>
        <v>0</v>
      </c>
      <c r="Y328" s="2">
        <f t="shared" si="87"/>
        <v>0</v>
      </c>
      <c r="Z328" s="2">
        <f t="shared" si="87"/>
        <v>0</v>
      </c>
    </row>
    <row r="329" spans="1:26">
      <c r="A329" s="2" t="s">
        <v>51</v>
      </c>
      <c r="B329" s="3">
        <f t="shared" si="87"/>
        <v>0</v>
      </c>
      <c r="C329" s="3">
        <f t="shared" si="87"/>
        <v>0</v>
      </c>
      <c r="D329" s="3">
        <f t="shared" si="87"/>
        <v>0</v>
      </c>
      <c r="E329" s="3">
        <f t="shared" si="87"/>
        <v>0</v>
      </c>
      <c r="F329" s="3">
        <f t="shared" si="87"/>
        <v>0</v>
      </c>
      <c r="G329" s="3">
        <f t="shared" si="87"/>
        <v>0</v>
      </c>
      <c r="H329" s="3">
        <f t="shared" si="87"/>
        <v>0</v>
      </c>
      <c r="I329" s="3">
        <f t="shared" si="87"/>
        <v>0</v>
      </c>
      <c r="J329" s="3">
        <f t="shared" si="87"/>
        <v>0</v>
      </c>
      <c r="K329" s="3">
        <f t="shared" si="87"/>
        <v>0</v>
      </c>
      <c r="L329" s="3">
        <f t="shared" si="87"/>
        <v>0</v>
      </c>
      <c r="M329" s="3">
        <f t="shared" si="87"/>
        <v>0</v>
      </c>
      <c r="N329" s="3">
        <f t="shared" si="87"/>
        <v>0</v>
      </c>
      <c r="O329" s="3">
        <f t="shared" si="87"/>
        <v>0</v>
      </c>
      <c r="P329" s="3">
        <f t="shared" si="87"/>
        <v>0</v>
      </c>
      <c r="Q329" s="4">
        <f t="shared" si="87"/>
        <v>0</v>
      </c>
      <c r="R329" s="2">
        <f t="shared" si="87"/>
        <v>0</v>
      </c>
      <c r="S329" s="2">
        <f t="shared" si="87"/>
        <v>0</v>
      </c>
      <c r="T329" s="2">
        <f t="shared" si="87"/>
        <v>0</v>
      </c>
      <c r="U329" s="2">
        <f t="shared" si="87"/>
        <v>0</v>
      </c>
      <c r="V329" s="2">
        <f t="shared" si="87"/>
        <v>0</v>
      </c>
      <c r="W329" s="2">
        <f t="shared" si="87"/>
        <v>0</v>
      </c>
      <c r="X329" s="2">
        <f t="shared" si="87"/>
        <v>0</v>
      </c>
      <c r="Y329" s="2">
        <f t="shared" si="87"/>
        <v>0</v>
      </c>
      <c r="Z329" s="2">
        <f t="shared" si="87"/>
        <v>0</v>
      </c>
    </row>
    <row r="330" spans="1:26">
      <c r="A330" s="2" t="s">
        <v>52</v>
      </c>
      <c r="B330" s="3">
        <f t="shared" si="87"/>
        <v>0</v>
      </c>
      <c r="C330" s="3">
        <f t="shared" si="87"/>
        <v>0</v>
      </c>
      <c r="D330" s="3">
        <f t="shared" si="87"/>
        <v>0</v>
      </c>
      <c r="E330" s="3">
        <f t="shared" si="87"/>
        <v>0</v>
      </c>
      <c r="F330" s="3">
        <f t="shared" si="87"/>
        <v>0</v>
      </c>
      <c r="G330" s="3">
        <f t="shared" si="87"/>
        <v>0</v>
      </c>
      <c r="H330" s="3">
        <f t="shared" si="87"/>
        <v>0</v>
      </c>
      <c r="I330" s="3">
        <f t="shared" si="87"/>
        <v>0</v>
      </c>
      <c r="J330" s="3">
        <f t="shared" si="87"/>
        <v>0</v>
      </c>
      <c r="K330" s="3">
        <f t="shared" si="87"/>
        <v>0</v>
      </c>
      <c r="L330" s="3">
        <f t="shared" si="87"/>
        <v>0</v>
      </c>
      <c r="M330" s="3">
        <f t="shared" si="87"/>
        <v>0</v>
      </c>
      <c r="N330" s="3">
        <f t="shared" si="87"/>
        <v>0</v>
      </c>
      <c r="O330" s="3">
        <f t="shared" si="87"/>
        <v>8951036</v>
      </c>
      <c r="P330" s="3">
        <f t="shared" si="87"/>
        <v>0</v>
      </c>
      <c r="Q330" s="4">
        <f t="shared" si="87"/>
        <v>0</v>
      </c>
      <c r="R330" s="2">
        <f t="shared" si="87"/>
        <v>0</v>
      </c>
      <c r="S330" s="2">
        <f t="shared" si="87"/>
        <v>0</v>
      </c>
      <c r="T330" s="2">
        <f t="shared" si="87"/>
        <v>0</v>
      </c>
      <c r="U330" s="2">
        <f t="shared" si="87"/>
        <v>0</v>
      </c>
      <c r="V330" s="2">
        <f t="shared" si="87"/>
        <v>0</v>
      </c>
      <c r="W330" s="2">
        <f t="shared" si="87"/>
        <v>0</v>
      </c>
      <c r="X330" s="2">
        <f t="shared" si="87"/>
        <v>0</v>
      </c>
      <c r="Y330" s="2">
        <f t="shared" si="87"/>
        <v>0</v>
      </c>
      <c r="Z330" s="2">
        <f t="shared" si="87"/>
        <v>0</v>
      </c>
    </row>
    <row r="331" spans="1:26">
      <c r="A331" s="2" t="s">
        <v>53</v>
      </c>
      <c r="B331" s="3">
        <f t="shared" si="87"/>
        <v>0</v>
      </c>
      <c r="C331" s="3">
        <f t="shared" si="87"/>
        <v>0</v>
      </c>
      <c r="D331" s="3">
        <f t="shared" si="87"/>
        <v>0</v>
      </c>
      <c r="E331" s="3">
        <f t="shared" si="87"/>
        <v>0</v>
      </c>
      <c r="F331" s="3">
        <f t="shared" si="87"/>
        <v>0</v>
      </c>
      <c r="G331" s="3">
        <f t="shared" si="87"/>
        <v>0</v>
      </c>
      <c r="H331" s="3">
        <f t="shared" si="87"/>
        <v>0</v>
      </c>
      <c r="I331" s="3">
        <f t="shared" si="87"/>
        <v>0</v>
      </c>
      <c r="J331" s="3">
        <f t="shared" ref="C331:Z332" si="88">J347+J363</f>
        <v>0</v>
      </c>
      <c r="K331" s="3">
        <f t="shared" si="88"/>
        <v>0</v>
      </c>
      <c r="L331" s="3">
        <f t="shared" si="88"/>
        <v>0</v>
      </c>
      <c r="M331" s="3">
        <f t="shared" si="88"/>
        <v>0</v>
      </c>
      <c r="N331" s="3">
        <f t="shared" si="88"/>
        <v>0</v>
      </c>
      <c r="O331" s="3">
        <f t="shared" si="88"/>
        <v>9253475</v>
      </c>
      <c r="P331" s="3">
        <f t="shared" si="88"/>
        <v>0</v>
      </c>
      <c r="Q331" s="4">
        <f t="shared" si="88"/>
        <v>0</v>
      </c>
      <c r="R331" s="2">
        <f t="shared" si="88"/>
        <v>0</v>
      </c>
      <c r="S331" s="2">
        <f t="shared" si="88"/>
        <v>0</v>
      </c>
      <c r="T331" s="2">
        <f t="shared" si="88"/>
        <v>0</v>
      </c>
      <c r="U331" s="2">
        <f t="shared" si="88"/>
        <v>0</v>
      </c>
      <c r="V331" s="2">
        <f t="shared" si="88"/>
        <v>0</v>
      </c>
      <c r="W331" s="2">
        <f t="shared" si="88"/>
        <v>0</v>
      </c>
      <c r="X331" s="2">
        <f t="shared" si="88"/>
        <v>0</v>
      </c>
      <c r="Y331" s="2">
        <f t="shared" si="88"/>
        <v>0</v>
      </c>
      <c r="Z331" s="2">
        <f t="shared" si="88"/>
        <v>0</v>
      </c>
    </row>
    <row r="332" spans="1:26">
      <c r="A332" s="2" t="s">
        <v>54</v>
      </c>
      <c r="B332" s="3">
        <f t="shared" ref="B332" si="89">B348+B364</f>
        <v>0</v>
      </c>
      <c r="C332" s="3">
        <f t="shared" si="88"/>
        <v>0</v>
      </c>
      <c r="D332" s="3">
        <f t="shared" si="88"/>
        <v>0</v>
      </c>
      <c r="E332" s="3">
        <f t="shared" si="88"/>
        <v>0</v>
      </c>
      <c r="F332" s="3">
        <f t="shared" si="88"/>
        <v>0</v>
      </c>
      <c r="G332" s="3">
        <f t="shared" si="88"/>
        <v>0</v>
      </c>
      <c r="H332" s="3">
        <f t="shared" si="88"/>
        <v>0</v>
      </c>
      <c r="I332" s="3">
        <f t="shared" si="88"/>
        <v>0</v>
      </c>
      <c r="J332" s="3">
        <f t="shared" si="88"/>
        <v>0</v>
      </c>
      <c r="K332" s="3">
        <f t="shared" si="88"/>
        <v>0</v>
      </c>
      <c r="L332" s="3">
        <f t="shared" si="88"/>
        <v>0</v>
      </c>
      <c r="M332" s="3">
        <f t="shared" si="88"/>
        <v>0</v>
      </c>
      <c r="N332" s="3">
        <f t="shared" si="88"/>
        <v>0</v>
      </c>
      <c r="O332" s="3">
        <f t="shared" si="88"/>
        <v>1197274</v>
      </c>
      <c r="P332" s="3">
        <f t="shared" si="88"/>
        <v>0</v>
      </c>
      <c r="Q332" s="4">
        <f t="shared" si="88"/>
        <v>0</v>
      </c>
      <c r="R332" s="2">
        <f t="shared" si="88"/>
        <v>0</v>
      </c>
      <c r="S332" s="2">
        <f t="shared" si="88"/>
        <v>0</v>
      </c>
      <c r="T332" s="2">
        <f t="shared" si="88"/>
        <v>0</v>
      </c>
      <c r="U332" s="2">
        <f t="shared" si="88"/>
        <v>0</v>
      </c>
      <c r="V332" s="2">
        <f t="shared" si="88"/>
        <v>0</v>
      </c>
      <c r="W332" s="2">
        <f t="shared" si="88"/>
        <v>0</v>
      </c>
      <c r="X332" s="2">
        <f t="shared" si="88"/>
        <v>0</v>
      </c>
      <c r="Y332" s="2">
        <f t="shared" si="88"/>
        <v>0</v>
      </c>
      <c r="Z332" s="2">
        <f t="shared" si="88"/>
        <v>0</v>
      </c>
    </row>
    <row r="333" spans="1:26" ht="13.5" thickBot="1">
      <c r="A333" s="2" t="s">
        <v>29</v>
      </c>
      <c r="B333" s="3">
        <f>SUM(B321:B332)</f>
        <v>0</v>
      </c>
      <c r="C333" s="3">
        <f t="shared" ref="C333:Z333" si="90">SUM(C321:C332)</f>
        <v>0</v>
      </c>
      <c r="D333" s="3">
        <f t="shared" si="90"/>
        <v>0</v>
      </c>
      <c r="E333" s="3">
        <f t="shared" si="90"/>
        <v>0</v>
      </c>
      <c r="F333" s="3">
        <f t="shared" si="90"/>
        <v>0</v>
      </c>
      <c r="G333" s="3">
        <f t="shared" si="90"/>
        <v>0</v>
      </c>
      <c r="H333" s="3">
        <f t="shared" si="90"/>
        <v>0</v>
      </c>
      <c r="I333" s="3">
        <f t="shared" si="90"/>
        <v>0</v>
      </c>
      <c r="J333" s="3">
        <f t="shared" si="90"/>
        <v>0</v>
      </c>
      <c r="K333" s="3">
        <f t="shared" si="90"/>
        <v>0</v>
      </c>
      <c r="L333" s="3">
        <f t="shared" si="90"/>
        <v>0</v>
      </c>
      <c r="M333" s="3">
        <f t="shared" si="90"/>
        <v>0</v>
      </c>
      <c r="N333" s="3">
        <f t="shared" si="90"/>
        <v>0</v>
      </c>
      <c r="O333" s="3">
        <f t="shared" si="90"/>
        <v>35915736</v>
      </c>
      <c r="P333" s="3">
        <f t="shared" si="90"/>
        <v>3930424</v>
      </c>
      <c r="Q333" s="4">
        <f t="shared" si="90"/>
        <v>0</v>
      </c>
      <c r="R333" s="2">
        <f t="shared" si="90"/>
        <v>0</v>
      </c>
      <c r="S333" s="2">
        <f t="shared" si="90"/>
        <v>0</v>
      </c>
      <c r="T333" s="2">
        <f t="shared" si="90"/>
        <v>0</v>
      </c>
      <c r="U333" s="2">
        <f t="shared" si="90"/>
        <v>0</v>
      </c>
      <c r="V333" s="2">
        <f t="shared" si="90"/>
        <v>0</v>
      </c>
      <c r="W333" s="2">
        <f t="shared" si="90"/>
        <v>0</v>
      </c>
      <c r="X333" s="2">
        <f t="shared" si="90"/>
        <v>0</v>
      </c>
      <c r="Y333" s="2">
        <f t="shared" si="90"/>
        <v>0</v>
      </c>
      <c r="Z333" s="2">
        <f t="shared" si="90"/>
        <v>0</v>
      </c>
    </row>
    <row r="334" spans="1:26">
      <c r="A334" s="114"/>
      <c r="B334" s="114"/>
      <c r="C334" s="114"/>
      <c r="D334" s="114"/>
      <c r="E334" s="114"/>
      <c r="F334" s="114"/>
      <c r="G334" s="114"/>
      <c r="H334" s="114"/>
      <c r="I334" s="114"/>
      <c r="J334" s="114"/>
      <c r="K334" s="114"/>
      <c r="L334" s="114"/>
      <c r="M334" s="114"/>
      <c r="N334" s="114"/>
      <c r="O334" s="114"/>
      <c r="P334" s="114"/>
      <c r="Q334" s="114"/>
      <c r="R334" s="114"/>
      <c r="S334" s="114"/>
      <c r="T334" s="114"/>
      <c r="U334" s="114"/>
      <c r="V334" s="114"/>
      <c r="W334" s="114"/>
      <c r="X334" s="114"/>
      <c r="Y334" s="114"/>
      <c r="Z334" s="114"/>
    </row>
    <row r="335" spans="1:26" ht="16.5" thickBot="1">
      <c r="A335" s="109" t="s">
        <v>506</v>
      </c>
    </row>
    <row r="336" spans="1:26" ht="13.5" thickBot="1">
      <c r="A336" s="110"/>
      <c r="B336" s="111">
        <f>B2</f>
        <v>2010</v>
      </c>
      <c r="C336" s="111">
        <f t="shared" ref="C336:Z336" si="91">C2</f>
        <v>2011</v>
      </c>
      <c r="D336" s="111">
        <f t="shared" si="91"/>
        <v>2012</v>
      </c>
      <c r="E336" s="111">
        <f t="shared" si="91"/>
        <v>2013</v>
      </c>
      <c r="F336" s="111">
        <f t="shared" si="91"/>
        <v>2014</v>
      </c>
      <c r="G336" s="111">
        <f t="shared" si="91"/>
        <v>2015</v>
      </c>
      <c r="H336" s="111">
        <f t="shared" si="91"/>
        <v>2016</v>
      </c>
      <c r="I336" s="111">
        <f t="shared" si="91"/>
        <v>2017</v>
      </c>
      <c r="J336" s="111">
        <f t="shared" si="91"/>
        <v>2018</v>
      </c>
      <c r="K336" s="111">
        <f t="shared" si="91"/>
        <v>2019</v>
      </c>
      <c r="L336" s="111">
        <f t="shared" si="91"/>
        <v>2020</v>
      </c>
      <c r="M336" s="111">
        <f t="shared" si="91"/>
        <v>2021</v>
      </c>
      <c r="N336" s="111">
        <f t="shared" si="91"/>
        <v>2022</v>
      </c>
      <c r="O336" s="111">
        <f t="shared" si="91"/>
        <v>2023</v>
      </c>
      <c r="P336" s="111">
        <f t="shared" si="91"/>
        <v>2024</v>
      </c>
      <c r="Q336" s="111">
        <f t="shared" si="91"/>
        <v>2025</v>
      </c>
      <c r="R336" s="111">
        <f t="shared" si="91"/>
        <v>2026</v>
      </c>
      <c r="S336" s="111">
        <f t="shared" si="91"/>
        <v>2027</v>
      </c>
      <c r="T336" s="111">
        <f t="shared" si="91"/>
        <v>2028</v>
      </c>
      <c r="U336" s="111">
        <f t="shared" si="91"/>
        <v>2029</v>
      </c>
      <c r="V336" s="111">
        <f t="shared" si="91"/>
        <v>2030</v>
      </c>
      <c r="W336" s="111">
        <f t="shared" si="91"/>
        <v>2031</v>
      </c>
      <c r="X336" s="111">
        <f t="shared" si="91"/>
        <v>2032</v>
      </c>
      <c r="Y336" s="111">
        <f t="shared" si="91"/>
        <v>2033</v>
      </c>
      <c r="Z336" s="111">
        <f t="shared" si="91"/>
        <v>2034</v>
      </c>
    </row>
    <row r="337" spans="1:26">
      <c r="A337" s="2" t="s">
        <v>43</v>
      </c>
      <c r="B337" s="3">
        <f>'Monthly D6 RIN Data'!$S4</f>
        <v>0</v>
      </c>
      <c r="C337" s="3">
        <f>'Monthly D6 RIN Data'!$S16</f>
        <v>0</v>
      </c>
      <c r="D337" s="3">
        <f>'Monthly D6 RIN Data'!$S28</f>
        <v>0</v>
      </c>
      <c r="E337" s="3">
        <f>'Monthly D6 RIN Data'!$S40</f>
        <v>0</v>
      </c>
      <c r="F337" s="3">
        <f>'Monthly D6 RIN Data'!$S52</f>
        <v>0</v>
      </c>
      <c r="G337" s="3">
        <f>'Monthly D6 RIN Data'!$S64</f>
        <v>0</v>
      </c>
      <c r="H337" s="3">
        <f>'Monthly D6 RIN Data'!$S76</f>
        <v>0</v>
      </c>
      <c r="I337" s="3">
        <f>'Monthly D6 RIN Data'!$S88</f>
        <v>0</v>
      </c>
      <c r="J337" s="3">
        <f>'Monthly D6 RIN Data'!$S100</f>
        <v>0</v>
      </c>
      <c r="K337" s="3">
        <f>'Monthly D6 RIN Data'!$S112</f>
        <v>0</v>
      </c>
      <c r="L337" s="3">
        <f>'Monthly D6 RIN Data'!$S124</f>
        <v>0</v>
      </c>
      <c r="M337" s="3">
        <f>'Monthly D6 RIN Data'!$S136</f>
        <v>0</v>
      </c>
      <c r="N337" s="3">
        <f>'Monthly D6 RIN Data'!$S148</f>
        <v>0</v>
      </c>
      <c r="O337" s="3">
        <f>'Monthly D6 RIN Data'!$S160</f>
        <v>0</v>
      </c>
      <c r="P337" s="3">
        <f>'Monthly D6 RIN Data'!$S172</f>
        <v>0</v>
      </c>
      <c r="Q337" s="3">
        <f>'Monthly D6 RIN Data'!$S184</f>
        <v>0</v>
      </c>
    </row>
    <row r="338" spans="1:26">
      <c r="A338" s="2" t="s">
        <v>44</v>
      </c>
      <c r="B338" s="3">
        <f>'Monthly D6 RIN Data'!$S5</f>
        <v>0</v>
      </c>
      <c r="C338" s="3">
        <f>'Monthly D6 RIN Data'!$S17</f>
        <v>0</v>
      </c>
      <c r="D338" s="3">
        <f>'Monthly D6 RIN Data'!$S29</f>
        <v>0</v>
      </c>
      <c r="E338" s="3">
        <f>'Monthly D6 RIN Data'!$S41</f>
        <v>0</v>
      </c>
      <c r="F338" s="3">
        <f>'Monthly D6 RIN Data'!$S53</f>
        <v>0</v>
      </c>
      <c r="G338" s="3">
        <f>'Monthly D6 RIN Data'!$S65</f>
        <v>0</v>
      </c>
      <c r="H338" s="3">
        <f>'Monthly D6 RIN Data'!$S77</f>
        <v>0</v>
      </c>
      <c r="I338" s="3">
        <f>'Monthly D6 RIN Data'!$S89</f>
        <v>0</v>
      </c>
      <c r="J338" s="3">
        <f>'Monthly D6 RIN Data'!$S101</f>
        <v>0</v>
      </c>
      <c r="K338" s="3">
        <f>'Monthly D6 RIN Data'!$S113</f>
        <v>0</v>
      </c>
      <c r="L338" s="3">
        <f>'Monthly D6 RIN Data'!$S125</f>
        <v>0</v>
      </c>
      <c r="M338" s="3">
        <f>'Monthly D6 RIN Data'!$S137</f>
        <v>0</v>
      </c>
      <c r="N338" s="3">
        <f>'Monthly D6 RIN Data'!$S149</f>
        <v>0</v>
      </c>
      <c r="O338" s="3">
        <f>'Monthly D6 RIN Data'!$S161</f>
        <v>0</v>
      </c>
      <c r="P338" s="3">
        <f>'Monthly D6 RIN Data'!$S173</f>
        <v>0</v>
      </c>
      <c r="Q338" s="3">
        <f>'Monthly D6 RIN Data'!$S185</f>
        <v>0</v>
      </c>
    </row>
    <row r="339" spans="1:26">
      <c r="A339" s="2" t="s">
        <v>45</v>
      </c>
      <c r="B339" s="3">
        <f>'Monthly D6 RIN Data'!$S6</f>
        <v>0</v>
      </c>
      <c r="C339" s="3">
        <f>'Monthly D6 RIN Data'!$S18</f>
        <v>0</v>
      </c>
      <c r="D339" s="3">
        <f>'Monthly D6 RIN Data'!$S30</f>
        <v>0</v>
      </c>
      <c r="E339" s="3">
        <f>'Monthly D6 RIN Data'!$S42</f>
        <v>0</v>
      </c>
      <c r="F339" s="3">
        <f>'Monthly D6 RIN Data'!$S54</f>
        <v>0</v>
      </c>
      <c r="G339" s="3">
        <f>'Monthly D6 RIN Data'!$S66</f>
        <v>0</v>
      </c>
      <c r="H339" s="3">
        <f>'Monthly D6 RIN Data'!$S78</f>
        <v>0</v>
      </c>
      <c r="I339" s="3">
        <f>'Monthly D6 RIN Data'!$S90</f>
        <v>0</v>
      </c>
      <c r="J339" s="3">
        <f>'Monthly D6 RIN Data'!$S102</f>
        <v>0</v>
      </c>
      <c r="K339" s="3">
        <f>'Monthly D6 RIN Data'!$S114</f>
        <v>0</v>
      </c>
      <c r="L339" s="3">
        <f>'Monthly D6 RIN Data'!$S126</f>
        <v>0</v>
      </c>
      <c r="M339" s="3">
        <f>'Monthly D6 RIN Data'!$S138</f>
        <v>0</v>
      </c>
      <c r="N339" s="3">
        <f>'Monthly D6 RIN Data'!$S150</f>
        <v>0</v>
      </c>
      <c r="O339" s="3">
        <f>'Monthly D6 RIN Data'!$S162</f>
        <v>0</v>
      </c>
      <c r="P339" s="3">
        <f>'Monthly D6 RIN Data'!$S174</f>
        <v>0</v>
      </c>
      <c r="Q339" s="3">
        <f>'Monthly D6 RIN Data'!$S186</f>
        <v>0</v>
      </c>
    </row>
    <row r="340" spans="1:26">
      <c r="A340" s="2" t="s">
        <v>46</v>
      </c>
      <c r="B340" s="3">
        <f>'Monthly D6 RIN Data'!$S7</f>
        <v>0</v>
      </c>
      <c r="C340" s="3">
        <f>'Monthly D6 RIN Data'!$S19</f>
        <v>0</v>
      </c>
      <c r="D340" s="3">
        <f>'Monthly D6 RIN Data'!$S31</f>
        <v>0</v>
      </c>
      <c r="E340" s="3">
        <f>'Monthly D6 RIN Data'!$S43</f>
        <v>0</v>
      </c>
      <c r="F340" s="3">
        <f>'Monthly D6 RIN Data'!$S55</f>
        <v>0</v>
      </c>
      <c r="G340" s="3">
        <f>'Monthly D6 RIN Data'!$S67</f>
        <v>0</v>
      </c>
      <c r="H340" s="3">
        <f>'Monthly D6 RIN Data'!$S79</f>
        <v>0</v>
      </c>
      <c r="I340" s="3">
        <f>'Monthly D6 RIN Data'!$S91</f>
        <v>0</v>
      </c>
      <c r="J340" s="3">
        <f>'Monthly D6 RIN Data'!$S103</f>
        <v>0</v>
      </c>
      <c r="K340" s="3">
        <f>'Monthly D6 RIN Data'!$S115</f>
        <v>0</v>
      </c>
      <c r="L340" s="3">
        <f>'Monthly D6 RIN Data'!$S127</f>
        <v>0</v>
      </c>
      <c r="M340" s="3">
        <f>'Monthly D6 RIN Data'!$S139</f>
        <v>0</v>
      </c>
      <c r="N340" s="3">
        <f>'Monthly D6 RIN Data'!$S151</f>
        <v>0</v>
      </c>
      <c r="O340" s="3">
        <f>'Monthly D6 RIN Data'!$S163</f>
        <v>0</v>
      </c>
      <c r="P340" s="3">
        <f>'Monthly D6 RIN Data'!$S175</f>
        <v>3629666</v>
      </c>
      <c r="Q340" s="4">
        <v>0</v>
      </c>
    </row>
    <row r="341" spans="1:26">
      <c r="A341" s="2" t="s">
        <v>47</v>
      </c>
      <c r="B341" s="3">
        <f>'Monthly D6 RIN Data'!$S8</f>
        <v>0</v>
      </c>
      <c r="C341" s="3">
        <f>'Monthly D6 RIN Data'!$S20</f>
        <v>0</v>
      </c>
      <c r="D341" s="3">
        <f>'Monthly D6 RIN Data'!$S32</f>
        <v>0</v>
      </c>
      <c r="E341" s="3">
        <f>'Monthly D6 RIN Data'!$S44</f>
        <v>0</v>
      </c>
      <c r="F341" s="3">
        <f>'Monthly D6 RIN Data'!$S56</f>
        <v>0</v>
      </c>
      <c r="G341" s="3">
        <f>'Monthly D6 RIN Data'!$S68</f>
        <v>0</v>
      </c>
      <c r="H341" s="3">
        <f>'Monthly D6 RIN Data'!$S80</f>
        <v>0</v>
      </c>
      <c r="I341" s="3">
        <f>'Monthly D6 RIN Data'!$S92</f>
        <v>0</v>
      </c>
      <c r="J341" s="3">
        <f>'Monthly D6 RIN Data'!$S104</f>
        <v>0</v>
      </c>
      <c r="K341" s="3">
        <f>'Monthly D6 RIN Data'!$S116</f>
        <v>0</v>
      </c>
      <c r="L341" s="3">
        <f>'Monthly D6 RIN Data'!$S128</f>
        <v>0</v>
      </c>
      <c r="M341" s="3">
        <f>'Monthly D6 RIN Data'!$S140</f>
        <v>0</v>
      </c>
      <c r="N341" s="3">
        <f>'Monthly D6 RIN Data'!$S152</f>
        <v>0</v>
      </c>
      <c r="O341" s="3">
        <f>'Monthly D6 RIN Data'!$S164</f>
        <v>0</v>
      </c>
      <c r="P341" s="3">
        <f>'Monthly D6 RIN Data'!$S176</f>
        <v>300758</v>
      </c>
      <c r="Q341" s="4">
        <v>0</v>
      </c>
    </row>
    <row r="342" spans="1:26">
      <c r="A342" s="2" t="s">
        <v>48</v>
      </c>
      <c r="B342" s="3">
        <f>'Monthly D6 RIN Data'!$S9</f>
        <v>0</v>
      </c>
      <c r="C342" s="3">
        <f>'Monthly D6 RIN Data'!$S21</f>
        <v>0</v>
      </c>
      <c r="D342" s="3">
        <f>'Monthly D6 RIN Data'!$S33</f>
        <v>0</v>
      </c>
      <c r="E342" s="3">
        <f>'Monthly D6 RIN Data'!$S45</f>
        <v>0</v>
      </c>
      <c r="F342" s="3">
        <f>'Monthly D6 RIN Data'!$S57</f>
        <v>0</v>
      </c>
      <c r="G342" s="3">
        <f>'Monthly D6 RIN Data'!$S69</f>
        <v>0</v>
      </c>
      <c r="H342" s="3">
        <f>'Monthly D6 RIN Data'!$S81</f>
        <v>0</v>
      </c>
      <c r="I342" s="3">
        <f>'Monthly D6 RIN Data'!$S93</f>
        <v>0</v>
      </c>
      <c r="J342" s="3">
        <f>'Monthly D6 RIN Data'!$S105</f>
        <v>0</v>
      </c>
      <c r="K342" s="3">
        <f>'Monthly D6 RIN Data'!$S117</f>
        <v>0</v>
      </c>
      <c r="L342" s="3">
        <f>'Monthly D6 RIN Data'!$S129</f>
        <v>0</v>
      </c>
      <c r="M342" s="3">
        <f>'Monthly D6 RIN Data'!$S141</f>
        <v>0</v>
      </c>
      <c r="N342" s="3">
        <f>'Monthly D6 RIN Data'!$S153</f>
        <v>0</v>
      </c>
      <c r="O342" s="3">
        <f>'Monthly D6 RIN Data'!$S165</f>
        <v>0</v>
      </c>
      <c r="P342" s="3">
        <f>'Monthly D6 RIN Data'!$S177</f>
        <v>0</v>
      </c>
      <c r="Q342" s="4">
        <v>0</v>
      </c>
    </row>
    <row r="343" spans="1:26">
      <c r="A343" s="2" t="s">
        <v>49</v>
      </c>
      <c r="B343" s="3">
        <f>'Monthly D6 RIN Data'!$S10</f>
        <v>0</v>
      </c>
      <c r="C343" s="3">
        <f>'Monthly D6 RIN Data'!$S22</f>
        <v>0</v>
      </c>
      <c r="D343" s="3">
        <f>'Monthly D6 RIN Data'!$S34</f>
        <v>0</v>
      </c>
      <c r="E343" s="3">
        <f>'Monthly D6 RIN Data'!$S46</f>
        <v>0</v>
      </c>
      <c r="F343" s="3">
        <f>'Monthly D6 RIN Data'!$S58</f>
        <v>0</v>
      </c>
      <c r="G343" s="3">
        <f>'Monthly D6 RIN Data'!$S70</f>
        <v>0</v>
      </c>
      <c r="H343" s="3">
        <f>'Monthly D6 RIN Data'!$S82</f>
        <v>0</v>
      </c>
      <c r="I343" s="3">
        <f>'Monthly D6 RIN Data'!$S94</f>
        <v>0</v>
      </c>
      <c r="J343" s="3">
        <f>'Monthly D6 RIN Data'!$S106</f>
        <v>0</v>
      </c>
      <c r="K343" s="3">
        <f>'Monthly D6 RIN Data'!$S118</f>
        <v>0</v>
      </c>
      <c r="L343" s="3">
        <f>'Monthly D6 RIN Data'!$S130</f>
        <v>0</v>
      </c>
      <c r="M343" s="3">
        <f>'Monthly D6 RIN Data'!$S142</f>
        <v>0</v>
      </c>
      <c r="N343" s="3">
        <f>'Monthly D6 RIN Data'!$S154</f>
        <v>0</v>
      </c>
      <c r="O343" s="3">
        <f>'Monthly D6 RIN Data'!$S166</f>
        <v>0</v>
      </c>
      <c r="P343" s="3">
        <f>'Monthly D6 RIN Data'!$S178</f>
        <v>0</v>
      </c>
      <c r="Q343" s="4">
        <v>0</v>
      </c>
    </row>
    <row r="344" spans="1:26">
      <c r="A344" s="2" t="s">
        <v>50</v>
      </c>
      <c r="B344" s="3">
        <f>'Monthly D6 RIN Data'!$S11</f>
        <v>0</v>
      </c>
      <c r="C344" s="3">
        <f>'Monthly D6 RIN Data'!$S23</f>
        <v>0</v>
      </c>
      <c r="D344" s="3">
        <f>'Monthly D6 RIN Data'!$S35</f>
        <v>0</v>
      </c>
      <c r="E344" s="3">
        <f>'Monthly D6 RIN Data'!$S47</f>
        <v>0</v>
      </c>
      <c r="F344" s="3">
        <f>'Monthly D6 RIN Data'!$S59</f>
        <v>0</v>
      </c>
      <c r="G344" s="3">
        <f>'Monthly D6 RIN Data'!$S71</f>
        <v>0</v>
      </c>
      <c r="H344" s="3">
        <f>'Monthly D6 RIN Data'!$S83</f>
        <v>0</v>
      </c>
      <c r="I344" s="3">
        <f>'Monthly D6 RIN Data'!$S95</f>
        <v>0</v>
      </c>
      <c r="J344" s="3">
        <f>'Monthly D6 RIN Data'!$S107</f>
        <v>0</v>
      </c>
      <c r="K344" s="3">
        <f>'Monthly D6 RIN Data'!$S119</f>
        <v>0</v>
      </c>
      <c r="L344" s="3">
        <f>'Monthly D6 RIN Data'!$S131</f>
        <v>0</v>
      </c>
      <c r="M344" s="3">
        <f>'Monthly D6 RIN Data'!$S143</f>
        <v>0</v>
      </c>
      <c r="N344" s="3">
        <f>'Monthly D6 RIN Data'!$S155</f>
        <v>0</v>
      </c>
      <c r="O344" s="3">
        <f>'Monthly D6 RIN Data'!$S167</f>
        <v>16513951</v>
      </c>
      <c r="P344" s="3">
        <f>'Monthly D6 RIN Data'!$S179</f>
        <v>0</v>
      </c>
      <c r="Q344" s="4">
        <v>0</v>
      </c>
    </row>
    <row r="345" spans="1:26">
      <c r="A345" s="2" t="s">
        <v>51</v>
      </c>
      <c r="B345" s="3">
        <f>'Monthly D6 RIN Data'!$S12</f>
        <v>0</v>
      </c>
      <c r="C345" s="3">
        <f>'Monthly D6 RIN Data'!$S24</f>
        <v>0</v>
      </c>
      <c r="D345" s="3">
        <f>'Monthly D6 RIN Data'!$S36</f>
        <v>0</v>
      </c>
      <c r="E345" s="3">
        <f>'Monthly D6 RIN Data'!$S48</f>
        <v>0</v>
      </c>
      <c r="F345" s="3">
        <f>'Monthly D6 RIN Data'!$S60</f>
        <v>0</v>
      </c>
      <c r="G345" s="3">
        <f>'Monthly D6 RIN Data'!$S72</f>
        <v>0</v>
      </c>
      <c r="H345" s="3">
        <f>'Monthly D6 RIN Data'!$S84</f>
        <v>0</v>
      </c>
      <c r="I345" s="3">
        <f>'Monthly D6 RIN Data'!$S96</f>
        <v>0</v>
      </c>
      <c r="J345" s="3">
        <f>'Monthly D6 RIN Data'!$S108</f>
        <v>0</v>
      </c>
      <c r="K345" s="3">
        <f>'Monthly D6 RIN Data'!$S120</f>
        <v>0</v>
      </c>
      <c r="L345" s="3">
        <f>'Monthly D6 RIN Data'!$S132</f>
        <v>0</v>
      </c>
      <c r="M345" s="3">
        <f>'Monthly D6 RIN Data'!$S144</f>
        <v>0</v>
      </c>
      <c r="N345" s="3">
        <f>'Monthly D6 RIN Data'!$S156</f>
        <v>0</v>
      </c>
      <c r="O345" s="3">
        <f>'Monthly D6 RIN Data'!$S168</f>
        <v>0</v>
      </c>
      <c r="P345" s="3">
        <f>'Monthly D6 RIN Data'!$S180</f>
        <v>0</v>
      </c>
      <c r="Q345" s="4">
        <v>0</v>
      </c>
    </row>
    <row r="346" spans="1:26">
      <c r="A346" s="2" t="s">
        <v>52</v>
      </c>
      <c r="B346" s="3">
        <f>'Monthly D6 RIN Data'!$S13</f>
        <v>0</v>
      </c>
      <c r="C346" s="3">
        <f>'Monthly D6 RIN Data'!$S25</f>
        <v>0</v>
      </c>
      <c r="D346" s="3">
        <f>'Monthly D6 RIN Data'!$S37</f>
        <v>0</v>
      </c>
      <c r="E346" s="3">
        <f>'Monthly D6 RIN Data'!$S49</f>
        <v>0</v>
      </c>
      <c r="F346" s="3">
        <f>'Monthly D6 RIN Data'!$S61</f>
        <v>0</v>
      </c>
      <c r="G346" s="3">
        <f>'Monthly D6 RIN Data'!$S73</f>
        <v>0</v>
      </c>
      <c r="H346" s="3">
        <f>'Monthly D6 RIN Data'!$S85</f>
        <v>0</v>
      </c>
      <c r="I346" s="3">
        <f>'Monthly D6 RIN Data'!$S97</f>
        <v>0</v>
      </c>
      <c r="J346" s="3">
        <f>'Monthly D6 RIN Data'!$S109</f>
        <v>0</v>
      </c>
      <c r="K346" s="3">
        <f>'Monthly D6 RIN Data'!$S121</f>
        <v>0</v>
      </c>
      <c r="L346" s="3">
        <f>'Monthly D6 RIN Data'!$S133</f>
        <v>0</v>
      </c>
      <c r="M346" s="3">
        <f>'Monthly D6 RIN Data'!$S145</f>
        <v>0</v>
      </c>
      <c r="N346" s="3">
        <f>'Monthly D6 RIN Data'!$S157</f>
        <v>0</v>
      </c>
      <c r="O346" s="3">
        <f>'Monthly D6 RIN Data'!$S169</f>
        <v>8951036</v>
      </c>
      <c r="P346" s="3">
        <f>'Monthly D6 RIN Data'!$S181</f>
        <v>0</v>
      </c>
      <c r="Q346" s="4">
        <v>0</v>
      </c>
    </row>
    <row r="347" spans="1:26">
      <c r="A347" s="2" t="s">
        <v>53</v>
      </c>
      <c r="B347" s="3">
        <f>'Monthly D6 RIN Data'!$S14</f>
        <v>0</v>
      </c>
      <c r="C347" s="3">
        <f>'Monthly D6 RIN Data'!$S26</f>
        <v>0</v>
      </c>
      <c r="D347" s="3">
        <f>'Monthly D6 RIN Data'!$S38</f>
        <v>0</v>
      </c>
      <c r="E347" s="3">
        <f>'Monthly D6 RIN Data'!$S50</f>
        <v>0</v>
      </c>
      <c r="F347" s="3">
        <f>'Monthly D6 RIN Data'!$S62</f>
        <v>0</v>
      </c>
      <c r="G347" s="3">
        <f>'Monthly D6 RIN Data'!$S74</f>
        <v>0</v>
      </c>
      <c r="H347" s="3">
        <f>'Monthly D6 RIN Data'!$S86</f>
        <v>0</v>
      </c>
      <c r="I347" s="3">
        <f>'Monthly D6 RIN Data'!$S98</f>
        <v>0</v>
      </c>
      <c r="J347" s="3">
        <f>'Monthly D6 RIN Data'!$S110</f>
        <v>0</v>
      </c>
      <c r="K347" s="3">
        <f>'Monthly D6 RIN Data'!$S122</f>
        <v>0</v>
      </c>
      <c r="L347" s="3">
        <f>'Monthly D6 RIN Data'!$S134</f>
        <v>0</v>
      </c>
      <c r="M347" s="3">
        <f>'Monthly D6 RIN Data'!$S146</f>
        <v>0</v>
      </c>
      <c r="N347" s="3">
        <f>'Monthly D6 RIN Data'!$S158</f>
        <v>0</v>
      </c>
      <c r="O347" s="3">
        <f>'Monthly D6 RIN Data'!$S170</f>
        <v>9253475</v>
      </c>
      <c r="P347" s="3">
        <f>'Monthly D6 RIN Data'!$S182</f>
        <v>0</v>
      </c>
      <c r="Q347" s="4">
        <v>0</v>
      </c>
    </row>
    <row r="348" spans="1:26">
      <c r="A348" s="2" t="s">
        <v>54</v>
      </c>
      <c r="B348" s="3">
        <f>'Monthly D6 RIN Data'!$S15</f>
        <v>0</v>
      </c>
      <c r="C348" s="3">
        <f>'Monthly D6 RIN Data'!$S27</f>
        <v>0</v>
      </c>
      <c r="D348" s="3">
        <f>'Monthly D6 RIN Data'!$S39</f>
        <v>0</v>
      </c>
      <c r="E348" s="3">
        <f>'Monthly D6 RIN Data'!$S51</f>
        <v>0</v>
      </c>
      <c r="F348" s="3">
        <f>'Monthly D6 RIN Data'!$S63</f>
        <v>0</v>
      </c>
      <c r="G348" s="3">
        <f>'Monthly D6 RIN Data'!$S75</f>
        <v>0</v>
      </c>
      <c r="H348" s="3">
        <f>'Monthly D6 RIN Data'!$S87</f>
        <v>0</v>
      </c>
      <c r="I348" s="3">
        <f>'Monthly D6 RIN Data'!$S99</f>
        <v>0</v>
      </c>
      <c r="J348" s="3">
        <f>'Monthly D6 RIN Data'!$S111</f>
        <v>0</v>
      </c>
      <c r="K348" s="3">
        <f>'Monthly D6 RIN Data'!$S123</f>
        <v>0</v>
      </c>
      <c r="L348" s="3">
        <f>'Monthly D6 RIN Data'!$S135</f>
        <v>0</v>
      </c>
      <c r="M348" s="3">
        <f>'Monthly D6 RIN Data'!$S147</f>
        <v>0</v>
      </c>
      <c r="N348" s="3">
        <f>'Monthly D6 RIN Data'!$S159</f>
        <v>0</v>
      </c>
      <c r="O348" s="3">
        <f>'Monthly D6 RIN Data'!$S171</f>
        <v>1197274</v>
      </c>
      <c r="P348" s="3">
        <f>'Monthly D6 RIN Data'!$S183</f>
        <v>0</v>
      </c>
      <c r="Q348" s="4">
        <v>0</v>
      </c>
    </row>
    <row r="349" spans="1:26" ht="13.5" thickBot="1">
      <c r="A349" s="2" t="s">
        <v>29</v>
      </c>
      <c r="B349" s="3">
        <f t="shared" ref="B349:Z349" si="92">SUM(B337:B348)</f>
        <v>0</v>
      </c>
      <c r="C349" s="3">
        <f t="shared" si="92"/>
        <v>0</v>
      </c>
      <c r="D349" s="3">
        <f t="shared" si="92"/>
        <v>0</v>
      </c>
      <c r="E349" s="3">
        <f t="shared" si="92"/>
        <v>0</v>
      </c>
      <c r="F349" s="3">
        <f t="shared" si="92"/>
        <v>0</v>
      </c>
      <c r="G349" s="3">
        <f t="shared" si="92"/>
        <v>0</v>
      </c>
      <c r="H349" s="3">
        <f t="shared" si="92"/>
        <v>0</v>
      </c>
      <c r="I349" s="3">
        <f t="shared" si="92"/>
        <v>0</v>
      </c>
      <c r="J349" s="3">
        <f t="shared" si="92"/>
        <v>0</v>
      </c>
      <c r="K349" s="3">
        <f t="shared" si="92"/>
        <v>0</v>
      </c>
      <c r="L349" s="3">
        <f t="shared" si="92"/>
        <v>0</v>
      </c>
      <c r="M349" s="3">
        <f t="shared" si="92"/>
        <v>0</v>
      </c>
      <c r="N349" s="3">
        <f t="shared" si="92"/>
        <v>0</v>
      </c>
      <c r="O349" s="3">
        <f t="shared" si="92"/>
        <v>35915736</v>
      </c>
      <c r="P349" s="3">
        <f t="shared" si="92"/>
        <v>3930424</v>
      </c>
      <c r="Q349" s="4">
        <f t="shared" si="92"/>
        <v>0</v>
      </c>
      <c r="R349" s="4">
        <f t="shared" si="92"/>
        <v>0</v>
      </c>
      <c r="S349" s="4">
        <f t="shared" si="92"/>
        <v>0</v>
      </c>
      <c r="T349" s="4">
        <f t="shared" si="92"/>
        <v>0</v>
      </c>
      <c r="U349" s="4">
        <f t="shared" si="92"/>
        <v>0</v>
      </c>
      <c r="V349" s="4">
        <f t="shared" si="92"/>
        <v>0</v>
      </c>
      <c r="W349" s="4">
        <f t="shared" si="92"/>
        <v>0</v>
      </c>
      <c r="X349" s="4">
        <f t="shared" si="92"/>
        <v>0</v>
      </c>
      <c r="Y349" s="4">
        <f t="shared" si="92"/>
        <v>0</v>
      </c>
      <c r="Z349" s="4">
        <f t="shared" si="92"/>
        <v>0</v>
      </c>
    </row>
    <row r="350" spans="1:26">
      <c r="A350" s="114"/>
      <c r="B350" s="114"/>
      <c r="C350" s="114"/>
      <c r="D350" s="114"/>
      <c r="E350" s="114"/>
      <c r="F350" s="114"/>
      <c r="G350" s="114"/>
      <c r="H350" s="114"/>
      <c r="I350" s="114"/>
      <c r="J350" s="114"/>
      <c r="K350" s="114"/>
      <c r="L350" s="114"/>
      <c r="M350" s="114"/>
      <c r="N350" s="114"/>
      <c r="O350" s="114"/>
      <c r="P350" s="114"/>
      <c r="Q350" s="114"/>
      <c r="R350" s="114"/>
      <c r="S350" s="114"/>
      <c r="T350" s="114"/>
      <c r="U350" s="114"/>
      <c r="V350" s="114"/>
      <c r="W350" s="114"/>
      <c r="X350" s="114"/>
      <c r="Y350" s="114"/>
      <c r="Z350" s="114"/>
    </row>
    <row r="351" spans="1:26" ht="16.5" thickBot="1">
      <c r="A351" s="109" t="s">
        <v>507</v>
      </c>
    </row>
    <row r="352" spans="1:26" ht="13.5" thickBot="1">
      <c r="A352" s="110"/>
      <c r="B352" s="111">
        <f>B2</f>
        <v>2010</v>
      </c>
      <c r="C352" s="111">
        <f t="shared" ref="C352:Z352" si="93">C2</f>
        <v>2011</v>
      </c>
      <c r="D352" s="111">
        <f t="shared" si="93"/>
        <v>2012</v>
      </c>
      <c r="E352" s="111">
        <f t="shared" si="93"/>
        <v>2013</v>
      </c>
      <c r="F352" s="111">
        <f t="shared" si="93"/>
        <v>2014</v>
      </c>
      <c r="G352" s="111">
        <f t="shared" si="93"/>
        <v>2015</v>
      </c>
      <c r="H352" s="111">
        <f t="shared" si="93"/>
        <v>2016</v>
      </c>
      <c r="I352" s="111">
        <f t="shared" si="93"/>
        <v>2017</v>
      </c>
      <c r="J352" s="111">
        <f t="shared" si="93"/>
        <v>2018</v>
      </c>
      <c r="K352" s="111">
        <f t="shared" si="93"/>
        <v>2019</v>
      </c>
      <c r="L352" s="111">
        <f t="shared" si="93"/>
        <v>2020</v>
      </c>
      <c r="M352" s="111">
        <f t="shared" si="93"/>
        <v>2021</v>
      </c>
      <c r="N352" s="111">
        <f t="shared" si="93"/>
        <v>2022</v>
      </c>
      <c r="O352" s="111">
        <f t="shared" si="93"/>
        <v>2023</v>
      </c>
      <c r="P352" s="111">
        <f t="shared" si="93"/>
        <v>2024</v>
      </c>
      <c r="Q352" s="111">
        <f t="shared" si="93"/>
        <v>2025</v>
      </c>
      <c r="R352" s="111">
        <f t="shared" si="93"/>
        <v>2026</v>
      </c>
      <c r="S352" s="111">
        <f t="shared" si="93"/>
        <v>2027</v>
      </c>
      <c r="T352" s="111">
        <f t="shared" si="93"/>
        <v>2028</v>
      </c>
      <c r="U352" s="111">
        <f t="shared" si="93"/>
        <v>2029</v>
      </c>
      <c r="V352" s="111">
        <f t="shared" si="93"/>
        <v>2030</v>
      </c>
      <c r="W352" s="111">
        <f t="shared" si="93"/>
        <v>2031</v>
      </c>
      <c r="X352" s="111">
        <f t="shared" si="93"/>
        <v>2032</v>
      </c>
      <c r="Y352" s="111">
        <f t="shared" si="93"/>
        <v>2033</v>
      </c>
      <c r="Z352" s="111">
        <f t="shared" si="93"/>
        <v>2034</v>
      </c>
    </row>
    <row r="353" spans="1:26">
      <c r="A353" s="2" t="s">
        <v>43</v>
      </c>
      <c r="B353" s="3">
        <f>'Monthly D6 RIN Data'!$T4</f>
        <v>0</v>
      </c>
      <c r="C353" s="3">
        <f>'Monthly D6 RIN Data'!$T16</f>
        <v>0</v>
      </c>
      <c r="D353" s="3">
        <f>'Monthly D6 RIN Data'!$T28</f>
        <v>0</v>
      </c>
      <c r="E353" s="3">
        <f>'Monthly D6 RIN Data'!$T40</f>
        <v>0</v>
      </c>
      <c r="F353" s="3">
        <f>'Monthly D6 RIN Data'!$T52</f>
        <v>0</v>
      </c>
      <c r="G353" s="3">
        <f>'Monthly D6 RIN Data'!$T64</f>
        <v>0</v>
      </c>
      <c r="H353" s="3">
        <f>'Monthly D6 RIN Data'!$T76</f>
        <v>0</v>
      </c>
      <c r="I353" s="3">
        <f>'Monthly D6 RIN Data'!$T88</f>
        <v>0</v>
      </c>
      <c r="J353" s="3">
        <f>'Monthly D6 RIN Data'!$T100</f>
        <v>0</v>
      </c>
      <c r="K353" s="3">
        <f>'Monthly D6 RIN Data'!$T112</f>
        <v>0</v>
      </c>
      <c r="L353" s="3">
        <f>'Monthly D6 RIN Data'!$T124</f>
        <v>0</v>
      </c>
      <c r="M353" s="3">
        <f>'Monthly D6 RIN Data'!$T136</f>
        <v>0</v>
      </c>
      <c r="N353" s="3">
        <f>'Monthly D6 RIN Data'!$T148</f>
        <v>0</v>
      </c>
      <c r="O353" s="3">
        <f>'Monthly D6 RIN Data'!$T160</f>
        <v>0</v>
      </c>
      <c r="P353" s="3">
        <f>'Monthly D6 RIN Data'!$T172</f>
        <v>0</v>
      </c>
      <c r="Q353" s="3">
        <f>'Monthly D6 RIN Data'!$T184</f>
        <v>0</v>
      </c>
      <c r="R353" s="94">
        <v>0</v>
      </c>
      <c r="S353" s="94">
        <v>0</v>
      </c>
      <c r="T353" s="94">
        <v>0</v>
      </c>
      <c r="U353" s="94">
        <v>0</v>
      </c>
      <c r="V353" s="94">
        <v>0</v>
      </c>
      <c r="W353" s="94">
        <v>0</v>
      </c>
      <c r="X353" s="94">
        <v>0</v>
      </c>
      <c r="Y353" s="94">
        <v>0</v>
      </c>
      <c r="Z353" s="94">
        <v>0</v>
      </c>
    </row>
    <row r="354" spans="1:26">
      <c r="A354" s="2" t="s">
        <v>44</v>
      </c>
      <c r="B354" s="3">
        <f>'Monthly D6 RIN Data'!$T5</f>
        <v>0</v>
      </c>
      <c r="C354" s="3">
        <f>'Monthly D6 RIN Data'!$T17</f>
        <v>0</v>
      </c>
      <c r="D354" s="3">
        <f>'Monthly D6 RIN Data'!$T29</f>
        <v>0</v>
      </c>
      <c r="E354" s="3">
        <f>'Monthly D6 RIN Data'!$T41</f>
        <v>0</v>
      </c>
      <c r="F354" s="3">
        <f>'Monthly D6 RIN Data'!$T53</f>
        <v>0</v>
      </c>
      <c r="G354" s="3">
        <f>'Monthly D6 RIN Data'!$T65</f>
        <v>0</v>
      </c>
      <c r="H354" s="3">
        <f>'Monthly D6 RIN Data'!$T77</f>
        <v>0</v>
      </c>
      <c r="I354" s="3">
        <f>'Monthly D6 RIN Data'!$T89</f>
        <v>0</v>
      </c>
      <c r="J354" s="3">
        <f>'Monthly D6 RIN Data'!$T101</f>
        <v>0</v>
      </c>
      <c r="K354" s="3">
        <f>'Monthly D6 RIN Data'!$T113</f>
        <v>0</v>
      </c>
      <c r="L354" s="3">
        <f>'Monthly D6 RIN Data'!$T125</f>
        <v>0</v>
      </c>
      <c r="M354" s="3">
        <f>'Monthly D6 RIN Data'!$T137</f>
        <v>0</v>
      </c>
      <c r="N354" s="3">
        <f>'Monthly D6 RIN Data'!$T149</f>
        <v>0</v>
      </c>
      <c r="O354" s="3">
        <f>'Monthly D6 RIN Data'!$T161</f>
        <v>0</v>
      </c>
      <c r="P354" s="3">
        <f>'Monthly D6 RIN Data'!$T173</f>
        <v>0</v>
      </c>
      <c r="Q354" s="3">
        <f>'Monthly D6 RIN Data'!$T185</f>
        <v>0</v>
      </c>
      <c r="R354" s="94">
        <v>0</v>
      </c>
      <c r="S354" s="94">
        <v>0</v>
      </c>
      <c r="T354" s="94">
        <v>0</v>
      </c>
      <c r="U354" s="94">
        <v>0</v>
      </c>
      <c r="V354" s="94">
        <v>0</v>
      </c>
      <c r="W354" s="94">
        <v>0</v>
      </c>
      <c r="X354" s="94">
        <v>0</v>
      </c>
      <c r="Y354" s="94">
        <v>0</v>
      </c>
      <c r="Z354" s="94">
        <v>0</v>
      </c>
    </row>
    <row r="355" spans="1:26">
      <c r="A355" s="2" t="s">
        <v>45</v>
      </c>
      <c r="B355" s="3">
        <f>'Monthly D6 RIN Data'!$T6</f>
        <v>0</v>
      </c>
      <c r="C355" s="3">
        <f>'Monthly D6 RIN Data'!$T18</f>
        <v>0</v>
      </c>
      <c r="D355" s="3">
        <f>'Monthly D6 RIN Data'!$T30</f>
        <v>0</v>
      </c>
      <c r="E355" s="3">
        <f>'Monthly D6 RIN Data'!$T42</f>
        <v>0</v>
      </c>
      <c r="F355" s="3">
        <f>'Monthly D6 RIN Data'!$T54</f>
        <v>0</v>
      </c>
      <c r="G355" s="3">
        <f>'Monthly D6 RIN Data'!$T66</f>
        <v>0</v>
      </c>
      <c r="H355" s="3">
        <f>'Monthly D6 RIN Data'!$T78</f>
        <v>0</v>
      </c>
      <c r="I355" s="3">
        <f>'Monthly D6 RIN Data'!$T90</f>
        <v>0</v>
      </c>
      <c r="J355" s="3">
        <f>'Monthly D6 RIN Data'!$T102</f>
        <v>0</v>
      </c>
      <c r="K355" s="3">
        <f>'Monthly D6 RIN Data'!$T114</f>
        <v>0</v>
      </c>
      <c r="L355" s="3">
        <f>'Monthly D6 RIN Data'!$T126</f>
        <v>0</v>
      </c>
      <c r="M355" s="3">
        <f>'Monthly D6 RIN Data'!$T138</f>
        <v>0</v>
      </c>
      <c r="N355" s="3">
        <f>'Monthly D6 RIN Data'!$T150</f>
        <v>0</v>
      </c>
      <c r="O355" s="3">
        <f>'Monthly D6 RIN Data'!$T162</f>
        <v>0</v>
      </c>
      <c r="P355" s="3">
        <f>'Monthly D6 RIN Data'!$T174</f>
        <v>0</v>
      </c>
      <c r="Q355" s="3">
        <f>'Monthly D6 RIN Data'!$T186</f>
        <v>0</v>
      </c>
      <c r="R355" s="94">
        <v>0</v>
      </c>
      <c r="S355" s="94">
        <v>0</v>
      </c>
      <c r="T355" s="94">
        <v>0</v>
      </c>
      <c r="U355" s="94">
        <v>0</v>
      </c>
      <c r="V355" s="94">
        <v>0</v>
      </c>
      <c r="W355" s="94">
        <v>0</v>
      </c>
      <c r="X355" s="94">
        <v>0</v>
      </c>
      <c r="Y355" s="94">
        <v>0</v>
      </c>
      <c r="Z355" s="94">
        <v>0</v>
      </c>
    </row>
    <row r="356" spans="1:26">
      <c r="A356" s="2" t="s">
        <v>46</v>
      </c>
      <c r="B356" s="3">
        <f>'Monthly D6 RIN Data'!$T7</f>
        <v>0</v>
      </c>
      <c r="C356" s="3">
        <f>'Monthly D6 RIN Data'!$T19</f>
        <v>0</v>
      </c>
      <c r="D356" s="3">
        <f>'Monthly D6 RIN Data'!$T31</f>
        <v>0</v>
      </c>
      <c r="E356" s="3">
        <f>'Monthly D6 RIN Data'!$T43</f>
        <v>0</v>
      </c>
      <c r="F356" s="3">
        <f>'Monthly D6 RIN Data'!$T55</f>
        <v>0</v>
      </c>
      <c r="G356" s="3">
        <f>'Monthly D6 RIN Data'!$T67</f>
        <v>0</v>
      </c>
      <c r="H356" s="3">
        <f>'Monthly D6 RIN Data'!$T79</f>
        <v>0</v>
      </c>
      <c r="I356" s="3">
        <f>'Monthly D6 RIN Data'!$T91</f>
        <v>0</v>
      </c>
      <c r="J356" s="3">
        <f>'Monthly D6 RIN Data'!$T103</f>
        <v>0</v>
      </c>
      <c r="K356" s="3">
        <f>'Monthly D6 RIN Data'!$T115</f>
        <v>0</v>
      </c>
      <c r="L356" s="3">
        <f>'Monthly D6 RIN Data'!$T127</f>
        <v>0</v>
      </c>
      <c r="M356" s="3">
        <f>'Monthly D6 RIN Data'!$T139</f>
        <v>0</v>
      </c>
      <c r="N356" s="3">
        <f>'Monthly D6 RIN Data'!$T151</f>
        <v>0</v>
      </c>
      <c r="O356" s="3">
        <f>'Monthly D6 RIN Data'!$T163</f>
        <v>0</v>
      </c>
      <c r="P356" s="3">
        <f>'Monthly D6 RIN Data'!$T175</f>
        <v>0</v>
      </c>
      <c r="Q356" s="94">
        <v>0</v>
      </c>
      <c r="R356" s="94">
        <v>0</v>
      </c>
      <c r="S356" s="94">
        <v>0</v>
      </c>
      <c r="T356" s="94">
        <v>0</v>
      </c>
      <c r="U356" s="94">
        <v>0</v>
      </c>
      <c r="V356" s="94">
        <v>0</v>
      </c>
      <c r="W356" s="94">
        <v>0</v>
      </c>
      <c r="X356" s="94">
        <v>0</v>
      </c>
      <c r="Y356" s="94">
        <v>0</v>
      </c>
      <c r="Z356" s="94">
        <v>0</v>
      </c>
    </row>
    <row r="357" spans="1:26">
      <c r="A357" s="2" t="s">
        <v>47</v>
      </c>
      <c r="B357" s="3">
        <f>'Monthly D6 RIN Data'!$T8</f>
        <v>0</v>
      </c>
      <c r="C357" s="3">
        <f>'Monthly D6 RIN Data'!$T20</f>
        <v>0</v>
      </c>
      <c r="D357" s="3">
        <f>'Monthly D6 RIN Data'!$T32</f>
        <v>0</v>
      </c>
      <c r="E357" s="3">
        <f>'Monthly D6 RIN Data'!$T44</f>
        <v>0</v>
      </c>
      <c r="F357" s="3">
        <f>'Monthly D6 RIN Data'!$T56</f>
        <v>0</v>
      </c>
      <c r="G357" s="3">
        <f>'Monthly D6 RIN Data'!$T68</f>
        <v>0</v>
      </c>
      <c r="H357" s="3">
        <f>'Monthly D6 RIN Data'!$T80</f>
        <v>0</v>
      </c>
      <c r="I357" s="3">
        <f>'Monthly D6 RIN Data'!$T92</f>
        <v>0</v>
      </c>
      <c r="J357" s="3">
        <f>'Monthly D6 RIN Data'!$T104</f>
        <v>0</v>
      </c>
      <c r="K357" s="3">
        <f>'Monthly D6 RIN Data'!$T116</f>
        <v>0</v>
      </c>
      <c r="L357" s="3">
        <f>'Monthly D6 RIN Data'!$T128</f>
        <v>0</v>
      </c>
      <c r="M357" s="3">
        <f>'Monthly D6 RIN Data'!$T140</f>
        <v>0</v>
      </c>
      <c r="N357" s="3">
        <f>'Monthly D6 RIN Data'!$T152</f>
        <v>0</v>
      </c>
      <c r="O357" s="3">
        <f>'Monthly D6 RIN Data'!$T164</f>
        <v>0</v>
      </c>
      <c r="P357" s="3">
        <f>'Monthly D6 RIN Data'!$T176</f>
        <v>0</v>
      </c>
      <c r="Q357" s="94">
        <v>0</v>
      </c>
      <c r="R357" s="94">
        <v>0</v>
      </c>
      <c r="S357" s="94">
        <v>0</v>
      </c>
      <c r="T357" s="94">
        <v>0</v>
      </c>
      <c r="U357" s="94">
        <v>0</v>
      </c>
      <c r="V357" s="94">
        <v>0</v>
      </c>
      <c r="W357" s="94">
        <v>0</v>
      </c>
      <c r="X357" s="94">
        <v>0</v>
      </c>
      <c r="Y357" s="94">
        <v>0</v>
      </c>
      <c r="Z357" s="94">
        <v>0</v>
      </c>
    </row>
    <row r="358" spans="1:26">
      <c r="A358" s="2" t="s">
        <v>48</v>
      </c>
      <c r="B358" s="3">
        <f>'Monthly D6 RIN Data'!$T9</f>
        <v>0</v>
      </c>
      <c r="C358" s="3">
        <f>'Monthly D6 RIN Data'!$T21</f>
        <v>0</v>
      </c>
      <c r="D358" s="3">
        <f>'Monthly D6 RIN Data'!$T33</f>
        <v>0</v>
      </c>
      <c r="E358" s="3">
        <f>'Monthly D6 RIN Data'!$T45</f>
        <v>0</v>
      </c>
      <c r="F358" s="3">
        <f>'Monthly D6 RIN Data'!$T57</f>
        <v>0</v>
      </c>
      <c r="G358" s="3">
        <f>'Monthly D6 RIN Data'!$T69</f>
        <v>0</v>
      </c>
      <c r="H358" s="3">
        <f>'Monthly D6 RIN Data'!$T81</f>
        <v>0</v>
      </c>
      <c r="I358" s="3">
        <f>'Monthly D6 RIN Data'!$T93</f>
        <v>0</v>
      </c>
      <c r="J358" s="3">
        <f>'Monthly D6 RIN Data'!$T105</f>
        <v>0</v>
      </c>
      <c r="K358" s="3">
        <f>'Monthly D6 RIN Data'!$T117</f>
        <v>0</v>
      </c>
      <c r="L358" s="3">
        <f>'Monthly D6 RIN Data'!$T129</f>
        <v>0</v>
      </c>
      <c r="M358" s="3">
        <f>'Monthly D6 RIN Data'!$T141</f>
        <v>0</v>
      </c>
      <c r="N358" s="3">
        <f>'Monthly D6 RIN Data'!$T153</f>
        <v>0</v>
      </c>
      <c r="O358" s="3">
        <f>'Monthly D6 RIN Data'!$T165</f>
        <v>0</v>
      </c>
      <c r="P358" s="3">
        <f>'Monthly D6 RIN Data'!$T177</f>
        <v>0</v>
      </c>
      <c r="Q358" s="94">
        <v>0</v>
      </c>
      <c r="R358" s="94">
        <v>0</v>
      </c>
      <c r="S358" s="94">
        <v>0</v>
      </c>
      <c r="T358" s="94">
        <v>0</v>
      </c>
      <c r="U358" s="94">
        <v>0</v>
      </c>
      <c r="V358" s="94">
        <v>0</v>
      </c>
      <c r="W358" s="94">
        <v>0</v>
      </c>
      <c r="X358" s="94">
        <v>0</v>
      </c>
      <c r="Y358" s="94">
        <v>0</v>
      </c>
      <c r="Z358" s="94">
        <v>0</v>
      </c>
    </row>
    <row r="359" spans="1:26">
      <c r="A359" s="2" t="s">
        <v>49</v>
      </c>
      <c r="B359" s="3">
        <f>'Monthly D6 RIN Data'!$T10</f>
        <v>0</v>
      </c>
      <c r="C359" s="3">
        <f>'Monthly D6 RIN Data'!$T22</f>
        <v>0</v>
      </c>
      <c r="D359" s="3">
        <f>'Monthly D6 RIN Data'!$T34</f>
        <v>0</v>
      </c>
      <c r="E359" s="3">
        <f>'Monthly D6 RIN Data'!$T46</f>
        <v>0</v>
      </c>
      <c r="F359" s="3">
        <f>'Monthly D6 RIN Data'!$T58</f>
        <v>0</v>
      </c>
      <c r="G359" s="3">
        <f>'Monthly D6 RIN Data'!$T70</f>
        <v>0</v>
      </c>
      <c r="H359" s="3">
        <f>'Monthly D6 RIN Data'!$T82</f>
        <v>0</v>
      </c>
      <c r="I359" s="3">
        <f>'Monthly D6 RIN Data'!$T94</f>
        <v>0</v>
      </c>
      <c r="J359" s="3">
        <f>'Monthly D6 RIN Data'!$T106</f>
        <v>0</v>
      </c>
      <c r="K359" s="3">
        <f>'Monthly D6 RIN Data'!$T118</f>
        <v>0</v>
      </c>
      <c r="L359" s="3">
        <f>'Monthly D6 RIN Data'!$T130</f>
        <v>0</v>
      </c>
      <c r="M359" s="3">
        <f>'Monthly D6 RIN Data'!$T142</f>
        <v>0</v>
      </c>
      <c r="N359" s="3">
        <f>'Monthly D6 RIN Data'!$T154</f>
        <v>0</v>
      </c>
      <c r="O359" s="3">
        <f>'Monthly D6 RIN Data'!$T166</f>
        <v>0</v>
      </c>
      <c r="P359" s="3">
        <f>'Monthly D6 RIN Data'!$T178</f>
        <v>0</v>
      </c>
      <c r="Q359" s="94">
        <v>0</v>
      </c>
      <c r="R359" s="94">
        <v>0</v>
      </c>
      <c r="S359" s="94">
        <v>0</v>
      </c>
      <c r="T359" s="94">
        <v>0</v>
      </c>
      <c r="U359" s="94">
        <v>0</v>
      </c>
      <c r="V359" s="94">
        <v>0</v>
      </c>
      <c r="W359" s="94">
        <v>0</v>
      </c>
      <c r="X359" s="94">
        <v>0</v>
      </c>
      <c r="Y359" s="94">
        <v>0</v>
      </c>
      <c r="Z359" s="94">
        <v>0</v>
      </c>
    </row>
    <row r="360" spans="1:26">
      <c r="A360" s="2" t="s">
        <v>50</v>
      </c>
      <c r="B360" s="3">
        <f>'Monthly D6 RIN Data'!$T11</f>
        <v>0</v>
      </c>
      <c r="C360" s="3">
        <f>'Monthly D6 RIN Data'!$T23</f>
        <v>0</v>
      </c>
      <c r="D360" s="3">
        <f>'Monthly D6 RIN Data'!$T35</f>
        <v>0</v>
      </c>
      <c r="E360" s="3">
        <f>'Monthly D6 RIN Data'!$T47</f>
        <v>0</v>
      </c>
      <c r="F360" s="3">
        <f>'Monthly D6 RIN Data'!$T59</f>
        <v>0</v>
      </c>
      <c r="G360" s="3">
        <f>'Monthly D6 RIN Data'!$T71</f>
        <v>0</v>
      </c>
      <c r="H360" s="3">
        <f>'Monthly D6 RIN Data'!$T83</f>
        <v>0</v>
      </c>
      <c r="I360" s="3">
        <f>'Monthly D6 RIN Data'!$T95</f>
        <v>0</v>
      </c>
      <c r="J360" s="3">
        <f>'Monthly D6 RIN Data'!$T107</f>
        <v>0</v>
      </c>
      <c r="K360" s="3">
        <f>'Monthly D6 RIN Data'!$T119</f>
        <v>0</v>
      </c>
      <c r="L360" s="3">
        <f>'Monthly D6 RIN Data'!$T131</f>
        <v>0</v>
      </c>
      <c r="M360" s="3">
        <f>'Monthly D6 RIN Data'!$T143</f>
        <v>0</v>
      </c>
      <c r="N360" s="3">
        <f>'Monthly D6 RIN Data'!$T155</f>
        <v>0</v>
      </c>
      <c r="O360" s="3">
        <f>'Monthly D6 RIN Data'!$T167</f>
        <v>0</v>
      </c>
      <c r="P360" s="3">
        <f>'Monthly D6 RIN Data'!$T179</f>
        <v>0</v>
      </c>
      <c r="Q360" s="94">
        <v>0</v>
      </c>
      <c r="R360" s="94">
        <v>0</v>
      </c>
      <c r="S360" s="94">
        <v>0</v>
      </c>
      <c r="T360" s="94">
        <v>0</v>
      </c>
      <c r="U360" s="94">
        <v>0</v>
      </c>
      <c r="V360" s="94">
        <v>0</v>
      </c>
      <c r="W360" s="94">
        <v>0</v>
      </c>
      <c r="X360" s="94">
        <v>0</v>
      </c>
      <c r="Y360" s="94">
        <v>0</v>
      </c>
      <c r="Z360" s="94">
        <v>0</v>
      </c>
    </row>
    <row r="361" spans="1:26">
      <c r="A361" s="2" t="s">
        <v>51</v>
      </c>
      <c r="B361" s="3">
        <f>'Monthly D6 RIN Data'!$T12</f>
        <v>0</v>
      </c>
      <c r="C361" s="3">
        <f>'Monthly D6 RIN Data'!$T24</f>
        <v>0</v>
      </c>
      <c r="D361" s="3">
        <f>'Monthly D6 RIN Data'!$T36</f>
        <v>0</v>
      </c>
      <c r="E361" s="3">
        <f>'Monthly D6 RIN Data'!$T48</f>
        <v>0</v>
      </c>
      <c r="F361" s="3">
        <f>'Monthly D6 RIN Data'!$T60</f>
        <v>0</v>
      </c>
      <c r="G361" s="3">
        <f>'Monthly D6 RIN Data'!$T72</f>
        <v>0</v>
      </c>
      <c r="H361" s="3">
        <f>'Monthly D6 RIN Data'!$T84</f>
        <v>0</v>
      </c>
      <c r="I361" s="3">
        <f>'Monthly D6 RIN Data'!$T96</f>
        <v>0</v>
      </c>
      <c r="J361" s="3">
        <f>'Monthly D6 RIN Data'!$T108</f>
        <v>0</v>
      </c>
      <c r="K361" s="3">
        <f>'Monthly D6 RIN Data'!$T120</f>
        <v>0</v>
      </c>
      <c r="L361" s="3">
        <f>'Monthly D6 RIN Data'!$T132</f>
        <v>0</v>
      </c>
      <c r="M361" s="3">
        <f>'Monthly D6 RIN Data'!$T144</f>
        <v>0</v>
      </c>
      <c r="N361" s="3">
        <f>'Monthly D6 RIN Data'!$T156</f>
        <v>0</v>
      </c>
      <c r="O361" s="3">
        <f>'Monthly D6 RIN Data'!$T168</f>
        <v>0</v>
      </c>
      <c r="P361" s="3">
        <f>'Monthly D6 RIN Data'!$T180</f>
        <v>0</v>
      </c>
      <c r="Q361" s="94">
        <v>0</v>
      </c>
      <c r="R361" s="94">
        <v>0</v>
      </c>
      <c r="S361" s="94">
        <v>0</v>
      </c>
      <c r="T361" s="94">
        <v>0</v>
      </c>
      <c r="U361" s="94">
        <v>0</v>
      </c>
      <c r="V361" s="94">
        <v>0</v>
      </c>
      <c r="W361" s="94">
        <v>0</v>
      </c>
      <c r="X361" s="94">
        <v>0</v>
      </c>
      <c r="Y361" s="94">
        <v>0</v>
      </c>
      <c r="Z361" s="94">
        <v>0</v>
      </c>
    </row>
    <row r="362" spans="1:26">
      <c r="A362" s="2" t="s">
        <v>52</v>
      </c>
      <c r="B362" s="3">
        <f>'Monthly D6 RIN Data'!$T13</f>
        <v>0</v>
      </c>
      <c r="C362" s="3">
        <f>'Monthly D6 RIN Data'!$T25</f>
        <v>0</v>
      </c>
      <c r="D362" s="3">
        <f>'Monthly D6 RIN Data'!$T37</f>
        <v>0</v>
      </c>
      <c r="E362" s="3">
        <f>'Monthly D6 RIN Data'!$T49</f>
        <v>0</v>
      </c>
      <c r="F362" s="3">
        <f>'Monthly D6 RIN Data'!$T61</f>
        <v>0</v>
      </c>
      <c r="G362" s="3">
        <f>'Monthly D6 RIN Data'!$T73</f>
        <v>0</v>
      </c>
      <c r="H362" s="3">
        <f>'Monthly D6 RIN Data'!$T85</f>
        <v>0</v>
      </c>
      <c r="I362" s="3">
        <f>'Monthly D6 RIN Data'!$T97</f>
        <v>0</v>
      </c>
      <c r="J362" s="3">
        <f>'Monthly D6 RIN Data'!$T109</f>
        <v>0</v>
      </c>
      <c r="K362" s="3">
        <f>'Monthly D6 RIN Data'!$T121</f>
        <v>0</v>
      </c>
      <c r="L362" s="3">
        <f>'Monthly D6 RIN Data'!$T133</f>
        <v>0</v>
      </c>
      <c r="M362" s="3">
        <f>'Monthly D6 RIN Data'!$T145</f>
        <v>0</v>
      </c>
      <c r="N362" s="3">
        <f>'Monthly D6 RIN Data'!$T157</f>
        <v>0</v>
      </c>
      <c r="O362" s="3">
        <f>'Monthly D6 RIN Data'!$T169</f>
        <v>0</v>
      </c>
      <c r="P362" s="3">
        <f>'Monthly D6 RIN Data'!$T181</f>
        <v>0</v>
      </c>
      <c r="Q362" s="94">
        <v>0</v>
      </c>
      <c r="R362" s="94">
        <v>0</v>
      </c>
      <c r="S362" s="94">
        <v>0</v>
      </c>
      <c r="T362" s="94">
        <v>0</v>
      </c>
      <c r="U362" s="94">
        <v>0</v>
      </c>
      <c r="V362" s="94">
        <v>0</v>
      </c>
      <c r="W362" s="94">
        <v>0</v>
      </c>
      <c r="X362" s="94">
        <v>0</v>
      </c>
      <c r="Y362" s="94">
        <v>0</v>
      </c>
      <c r="Z362" s="94">
        <v>0</v>
      </c>
    </row>
    <row r="363" spans="1:26">
      <c r="A363" s="2" t="s">
        <v>53</v>
      </c>
      <c r="B363" s="3">
        <f>'Monthly D6 RIN Data'!$T14</f>
        <v>0</v>
      </c>
      <c r="C363" s="3">
        <f>'Monthly D6 RIN Data'!$T26</f>
        <v>0</v>
      </c>
      <c r="D363" s="3">
        <f>'Monthly D6 RIN Data'!$T38</f>
        <v>0</v>
      </c>
      <c r="E363" s="3">
        <f>'Monthly D6 RIN Data'!$T50</f>
        <v>0</v>
      </c>
      <c r="F363" s="3">
        <f>'Monthly D6 RIN Data'!$T62</f>
        <v>0</v>
      </c>
      <c r="G363" s="3">
        <f>'Monthly D6 RIN Data'!$T74</f>
        <v>0</v>
      </c>
      <c r="H363" s="3">
        <f>'Monthly D6 RIN Data'!$T86</f>
        <v>0</v>
      </c>
      <c r="I363" s="3">
        <f>'Monthly D6 RIN Data'!$T98</f>
        <v>0</v>
      </c>
      <c r="J363" s="3">
        <f>'Monthly D6 RIN Data'!$T110</f>
        <v>0</v>
      </c>
      <c r="K363" s="3">
        <f>'Monthly D6 RIN Data'!$T122</f>
        <v>0</v>
      </c>
      <c r="L363" s="3">
        <f>'Monthly D6 RIN Data'!$T134</f>
        <v>0</v>
      </c>
      <c r="M363" s="3">
        <f>'Monthly D6 RIN Data'!$T146</f>
        <v>0</v>
      </c>
      <c r="N363" s="3">
        <f>'Monthly D6 RIN Data'!$T158</f>
        <v>0</v>
      </c>
      <c r="O363" s="3">
        <f>'Monthly D6 RIN Data'!$T170</f>
        <v>0</v>
      </c>
      <c r="P363" s="3">
        <f>'Monthly D6 RIN Data'!$T182</f>
        <v>0</v>
      </c>
      <c r="Q363" s="94">
        <v>0</v>
      </c>
      <c r="R363" s="94">
        <v>0</v>
      </c>
      <c r="S363" s="94">
        <v>0</v>
      </c>
      <c r="T363" s="94">
        <v>0</v>
      </c>
      <c r="U363" s="94">
        <v>0</v>
      </c>
      <c r="V363" s="94">
        <v>0</v>
      </c>
      <c r="W363" s="94">
        <v>0</v>
      </c>
      <c r="X363" s="94">
        <v>0</v>
      </c>
      <c r="Y363" s="94">
        <v>0</v>
      </c>
      <c r="Z363" s="94">
        <v>0</v>
      </c>
    </row>
    <row r="364" spans="1:26">
      <c r="A364" s="2" t="s">
        <v>54</v>
      </c>
      <c r="B364" s="3">
        <f>'Monthly D6 RIN Data'!$T15</f>
        <v>0</v>
      </c>
      <c r="C364" s="3">
        <f>'Monthly D6 RIN Data'!$T27</f>
        <v>0</v>
      </c>
      <c r="D364" s="3">
        <f>'Monthly D6 RIN Data'!$T39</f>
        <v>0</v>
      </c>
      <c r="E364" s="3">
        <f>'Monthly D6 RIN Data'!$T51</f>
        <v>0</v>
      </c>
      <c r="F364" s="3">
        <f>'Monthly D6 RIN Data'!$T63</f>
        <v>0</v>
      </c>
      <c r="G364" s="3">
        <f>'Monthly D6 RIN Data'!$T75</f>
        <v>0</v>
      </c>
      <c r="H364" s="3">
        <f>'Monthly D6 RIN Data'!$T87</f>
        <v>0</v>
      </c>
      <c r="I364" s="3">
        <f>'Monthly D6 RIN Data'!$T99</f>
        <v>0</v>
      </c>
      <c r="J364" s="3">
        <f>'Monthly D6 RIN Data'!$T111</f>
        <v>0</v>
      </c>
      <c r="K364" s="3">
        <f>'Monthly D6 RIN Data'!$T123</f>
        <v>0</v>
      </c>
      <c r="L364" s="3">
        <f>'Monthly D6 RIN Data'!$T135</f>
        <v>0</v>
      </c>
      <c r="M364" s="3">
        <f>'Monthly D6 RIN Data'!$T147</f>
        <v>0</v>
      </c>
      <c r="N364" s="3">
        <f>'Monthly D6 RIN Data'!$T159</f>
        <v>0</v>
      </c>
      <c r="O364" s="3">
        <f>'Monthly D6 RIN Data'!$T171</f>
        <v>0</v>
      </c>
      <c r="P364" s="3">
        <f>'Monthly D6 RIN Data'!$T183</f>
        <v>0</v>
      </c>
      <c r="Q364" s="94">
        <v>0</v>
      </c>
      <c r="R364" s="94">
        <v>0</v>
      </c>
      <c r="S364" s="94">
        <v>0</v>
      </c>
      <c r="T364" s="94">
        <v>0</v>
      </c>
      <c r="U364" s="94">
        <v>0</v>
      </c>
      <c r="V364" s="94">
        <v>0</v>
      </c>
      <c r="W364" s="94">
        <v>0</v>
      </c>
      <c r="X364" s="94">
        <v>0</v>
      </c>
      <c r="Y364" s="94">
        <v>0</v>
      </c>
      <c r="Z364" s="94">
        <v>0</v>
      </c>
    </row>
    <row r="365" spans="1:26">
      <c r="A365" s="2" t="s">
        <v>29</v>
      </c>
      <c r="B365" s="3">
        <f t="shared" ref="B365:Z365" si="94">SUM(B353:B364)</f>
        <v>0</v>
      </c>
      <c r="C365" s="3">
        <f t="shared" si="94"/>
        <v>0</v>
      </c>
      <c r="D365" s="3">
        <f t="shared" si="94"/>
        <v>0</v>
      </c>
      <c r="E365" s="3">
        <f t="shared" si="94"/>
        <v>0</v>
      </c>
      <c r="F365" s="3">
        <f t="shared" si="94"/>
        <v>0</v>
      </c>
      <c r="G365" s="3">
        <f t="shared" si="94"/>
        <v>0</v>
      </c>
      <c r="H365" s="3">
        <f t="shared" si="94"/>
        <v>0</v>
      </c>
      <c r="I365" s="3">
        <f t="shared" si="94"/>
        <v>0</v>
      </c>
      <c r="J365" s="3">
        <f t="shared" si="94"/>
        <v>0</v>
      </c>
      <c r="K365" s="3">
        <f t="shared" si="94"/>
        <v>0</v>
      </c>
      <c r="L365" s="3">
        <f t="shared" si="94"/>
        <v>0</v>
      </c>
      <c r="M365" s="3">
        <f t="shared" si="94"/>
        <v>0</v>
      </c>
      <c r="N365" s="3">
        <f t="shared" si="94"/>
        <v>0</v>
      </c>
      <c r="O365" s="3">
        <f t="shared" si="94"/>
        <v>0</v>
      </c>
      <c r="P365" s="2">
        <f t="shared" si="94"/>
        <v>0</v>
      </c>
      <c r="Q365" s="94">
        <f t="shared" si="94"/>
        <v>0</v>
      </c>
      <c r="R365" s="4">
        <f t="shared" si="94"/>
        <v>0</v>
      </c>
      <c r="S365" s="4">
        <f t="shared" si="94"/>
        <v>0</v>
      </c>
      <c r="T365" s="4">
        <f t="shared" si="94"/>
        <v>0</v>
      </c>
      <c r="U365" s="4">
        <f t="shared" si="94"/>
        <v>0</v>
      </c>
      <c r="V365" s="4">
        <f t="shared" si="94"/>
        <v>0</v>
      </c>
      <c r="W365" s="4">
        <f t="shared" si="94"/>
        <v>0</v>
      </c>
      <c r="X365" s="4">
        <f t="shared" si="94"/>
        <v>0</v>
      </c>
      <c r="Y365" s="4">
        <f t="shared" si="94"/>
        <v>0</v>
      </c>
      <c r="Z365" s="4">
        <f t="shared" si="94"/>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14121-EF01-4F64-840D-4FD8FF8E0739}">
  <sheetPr>
    <tabColor theme="0" tint="-0.34998626667073579"/>
  </sheetPr>
  <dimension ref="A1:BA186"/>
  <sheetViews>
    <sheetView zoomScaleNormal="100" workbookViewId="0">
      <pane xSplit="1" ySplit="3" topLeftCell="B16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25" width="11.42578125" customWidth="1"/>
    <col min="26" max="49" width="12.140625" customWidth="1"/>
  </cols>
  <sheetData>
    <row r="1" spans="1:49" ht="18">
      <c r="B1" s="551" t="s">
        <v>536</v>
      </c>
      <c r="C1" s="552"/>
      <c r="D1" s="552"/>
      <c r="E1" s="552"/>
      <c r="F1" s="552"/>
      <c r="G1" s="552"/>
      <c r="H1" s="552"/>
      <c r="I1" s="552"/>
      <c r="J1" s="552"/>
      <c r="K1" s="552"/>
      <c r="L1" s="552"/>
      <c r="M1" s="552"/>
      <c r="N1" s="552"/>
      <c r="O1" s="552"/>
      <c r="P1" s="552"/>
      <c r="Q1" s="552"/>
      <c r="R1" s="552"/>
      <c r="S1" s="552"/>
      <c r="T1" s="552"/>
      <c r="U1" s="552"/>
      <c r="V1" s="552"/>
      <c r="W1" s="552"/>
      <c r="X1" s="552"/>
      <c r="Y1" s="553"/>
      <c r="Z1" s="560" t="s">
        <v>256</v>
      </c>
      <c r="AA1" s="560"/>
      <c r="AB1" s="560"/>
      <c r="AC1" s="560"/>
      <c r="AD1" s="560"/>
      <c r="AE1" s="560"/>
      <c r="AF1" s="560"/>
      <c r="AG1" s="560"/>
      <c r="AH1" s="560"/>
      <c r="AI1" s="560"/>
      <c r="AJ1" s="560"/>
      <c r="AK1" s="560"/>
      <c r="AL1" s="560"/>
      <c r="AM1" s="560"/>
      <c r="AN1" s="560"/>
      <c r="AO1" s="560"/>
      <c r="AP1" s="560"/>
      <c r="AQ1" s="560"/>
      <c r="AR1" s="560"/>
      <c r="AS1" s="560"/>
      <c r="AT1" s="560"/>
      <c r="AU1" s="560"/>
      <c r="AV1" s="560"/>
      <c r="AW1" s="561"/>
    </row>
    <row r="2" spans="1:49">
      <c r="B2" s="584" t="s">
        <v>281</v>
      </c>
      <c r="C2" s="585"/>
      <c r="D2" s="585"/>
      <c r="E2" s="586" t="s">
        <v>479</v>
      </c>
      <c r="F2" s="586"/>
      <c r="G2" s="586"/>
      <c r="H2" s="587" t="s">
        <v>480</v>
      </c>
      <c r="I2" s="587"/>
      <c r="J2" s="587"/>
      <c r="K2" s="588" t="s">
        <v>283</v>
      </c>
      <c r="L2" s="588"/>
      <c r="M2" s="588"/>
      <c r="N2" s="588"/>
      <c r="O2" s="500" t="s">
        <v>287</v>
      </c>
      <c r="P2" s="500"/>
      <c r="Q2" s="500"/>
      <c r="R2" s="500"/>
      <c r="S2" s="502" t="s">
        <v>482</v>
      </c>
      <c r="T2" s="502"/>
      <c r="U2" s="502"/>
      <c r="V2" s="569" t="s">
        <v>531</v>
      </c>
      <c r="W2" s="569"/>
      <c r="X2" s="569"/>
      <c r="Y2" s="570"/>
      <c r="Z2" s="506" t="s">
        <v>281</v>
      </c>
      <c r="AA2" s="506"/>
      <c r="AB2" s="506"/>
      <c r="AC2" s="507" t="s">
        <v>479</v>
      </c>
      <c r="AD2" s="507"/>
      <c r="AE2" s="507"/>
      <c r="AF2" s="508" t="s">
        <v>480</v>
      </c>
      <c r="AG2" s="508"/>
      <c r="AH2" s="508"/>
      <c r="AI2" s="548" t="s">
        <v>283</v>
      </c>
      <c r="AJ2" s="548"/>
      <c r="AK2" s="548"/>
      <c r="AL2" s="548"/>
      <c r="AM2" s="548" t="s">
        <v>287</v>
      </c>
      <c r="AN2" s="548"/>
      <c r="AO2" s="548"/>
      <c r="AP2" s="548"/>
      <c r="AQ2" s="548" t="s">
        <v>482</v>
      </c>
      <c r="AR2" s="548"/>
      <c r="AS2" s="548"/>
      <c r="AT2" s="567" t="s">
        <v>530</v>
      </c>
      <c r="AU2" s="567"/>
      <c r="AV2" s="567"/>
      <c r="AW2" s="567"/>
    </row>
    <row r="3" spans="1:49" ht="26.25" thickBot="1">
      <c r="B3" s="439" t="s">
        <v>260</v>
      </c>
      <c r="C3" s="440" t="s">
        <v>261</v>
      </c>
      <c r="D3" s="440" t="s">
        <v>262</v>
      </c>
      <c r="E3" s="441" t="s">
        <v>260</v>
      </c>
      <c r="F3" s="441" t="s">
        <v>261</v>
      </c>
      <c r="G3" s="441" t="s">
        <v>262</v>
      </c>
      <c r="H3" s="286" t="s">
        <v>260</v>
      </c>
      <c r="I3" s="286" t="s">
        <v>261</v>
      </c>
      <c r="J3" s="286" t="s">
        <v>262</v>
      </c>
      <c r="K3" s="284" t="s">
        <v>260</v>
      </c>
      <c r="L3" s="284" t="s">
        <v>408</v>
      </c>
      <c r="M3" s="284" t="s">
        <v>261</v>
      </c>
      <c r="N3" s="284" t="s">
        <v>262</v>
      </c>
      <c r="O3" s="368" t="s">
        <v>260</v>
      </c>
      <c r="P3" s="368" t="s">
        <v>408</v>
      </c>
      <c r="Q3" s="368" t="s">
        <v>519</v>
      </c>
      <c r="R3" s="368" t="s">
        <v>262</v>
      </c>
      <c r="S3" s="369" t="s">
        <v>260</v>
      </c>
      <c r="T3" s="369" t="s">
        <v>261</v>
      </c>
      <c r="U3" s="369" t="s">
        <v>262</v>
      </c>
      <c r="V3" s="373" t="s">
        <v>260</v>
      </c>
      <c r="W3" s="373" t="s">
        <v>408</v>
      </c>
      <c r="X3" s="373" t="s">
        <v>261</v>
      </c>
      <c r="Y3" s="374" t="s">
        <v>262</v>
      </c>
      <c r="Z3" s="167" t="s">
        <v>260</v>
      </c>
      <c r="AA3" s="167" t="s">
        <v>261</v>
      </c>
      <c r="AB3" s="167" t="s">
        <v>262</v>
      </c>
      <c r="AC3" s="168" t="s">
        <v>260</v>
      </c>
      <c r="AD3" s="168" t="s">
        <v>261</v>
      </c>
      <c r="AE3" s="168" t="s">
        <v>262</v>
      </c>
      <c r="AF3" s="163" t="s">
        <v>260</v>
      </c>
      <c r="AG3" s="163" t="s">
        <v>261</v>
      </c>
      <c r="AH3" s="163" t="s">
        <v>262</v>
      </c>
      <c r="AI3" s="289" t="s">
        <v>260</v>
      </c>
      <c r="AJ3" s="289" t="s">
        <v>408</v>
      </c>
      <c r="AK3" s="289" t="s">
        <v>261</v>
      </c>
      <c r="AL3" s="289" t="s">
        <v>262</v>
      </c>
      <c r="AM3" s="289" t="s">
        <v>260</v>
      </c>
      <c r="AN3" s="289" t="s">
        <v>408</v>
      </c>
      <c r="AO3" s="289" t="s">
        <v>261</v>
      </c>
      <c r="AP3" s="289" t="s">
        <v>262</v>
      </c>
      <c r="AQ3" s="289" t="s">
        <v>260</v>
      </c>
      <c r="AR3" s="289" t="s">
        <v>261</v>
      </c>
      <c r="AS3" s="289" t="s">
        <v>262</v>
      </c>
      <c r="AT3" s="365" t="s">
        <v>260</v>
      </c>
      <c r="AU3" s="365" t="s">
        <v>408</v>
      </c>
      <c r="AV3" s="365" t="s">
        <v>261</v>
      </c>
      <c r="AW3" s="366" t="s">
        <v>262</v>
      </c>
    </row>
    <row r="4" spans="1:49" ht="15.75" hidden="1" thickBot="1">
      <c r="A4" s="170">
        <v>40179</v>
      </c>
      <c r="B4" s="378">
        <v>0</v>
      </c>
      <c r="C4" s="3">
        <v>0</v>
      </c>
      <c r="D4" s="3">
        <f>C4+B4</f>
        <v>0</v>
      </c>
      <c r="E4" s="3">
        <v>0</v>
      </c>
      <c r="F4" s="3">
        <v>0</v>
      </c>
      <c r="G4" s="3">
        <f>F4+E4</f>
        <v>0</v>
      </c>
      <c r="H4" s="3">
        <v>0</v>
      </c>
      <c r="I4" s="3">
        <v>0</v>
      </c>
      <c r="J4" s="3">
        <f>I4+H4</f>
        <v>0</v>
      </c>
      <c r="K4" s="3">
        <v>0</v>
      </c>
      <c r="L4" s="3">
        <v>0</v>
      </c>
      <c r="M4" s="3">
        <v>0</v>
      </c>
      <c r="N4" s="3">
        <f>M4+L4+K4</f>
        <v>0</v>
      </c>
      <c r="O4" s="3">
        <v>0</v>
      </c>
      <c r="P4" s="3">
        <v>0</v>
      </c>
      <c r="Q4" s="3">
        <v>0</v>
      </c>
      <c r="R4" s="3">
        <f>Q4+P4+O4</f>
        <v>0</v>
      </c>
      <c r="S4" s="3">
        <v>0</v>
      </c>
      <c r="T4" s="3">
        <v>0</v>
      </c>
      <c r="U4" s="3">
        <f>T4+S4</f>
        <v>0</v>
      </c>
      <c r="V4" s="3">
        <f>B4+E4+H4+K4</f>
        <v>0</v>
      </c>
      <c r="W4" s="3">
        <f>L4+P4</f>
        <v>0</v>
      </c>
      <c r="X4" s="3">
        <f>C4+F4+I4+M4</f>
        <v>0</v>
      </c>
      <c r="Y4" s="379">
        <f>X4+W4+V4</f>
        <v>0</v>
      </c>
      <c r="Z4" s="389">
        <f>B4</f>
        <v>0</v>
      </c>
      <c r="AA4" s="389">
        <f>C4</f>
        <v>0</v>
      </c>
      <c r="AB4" s="389">
        <f>AA4+Z4</f>
        <v>0</v>
      </c>
      <c r="AC4" s="389">
        <f>E4</f>
        <v>0</v>
      </c>
      <c r="AD4" s="389">
        <f>F4</f>
        <v>0</v>
      </c>
      <c r="AE4" s="389">
        <f>AD4+AC4</f>
        <v>0</v>
      </c>
      <c r="AF4" s="389">
        <f>H4</f>
        <v>0</v>
      </c>
      <c r="AG4" s="389">
        <f>I4</f>
        <v>0</v>
      </c>
      <c r="AH4" s="389">
        <f>AG4+AF4</f>
        <v>0</v>
      </c>
      <c r="AI4" s="389">
        <f>K4</f>
        <v>0</v>
      </c>
      <c r="AJ4" s="389">
        <f>L4</f>
        <v>0</v>
      </c>
      <c r="AK4" s="389">
        <f>M4</f>
        <v>0</v>
      </c>
      <c r="AL4" s="389">
        <f>AK4+AJ4+AI4</f>
        <v>0</v>
      </c>
      <c r="AM4" s="389">
        <f>O4</f>
        <v>0</v>
      </c>
      <c r="AN4" s="389">
        <f>P4</f>
        <v>0</v>
      </c>
      <c r="AO4" s="389">
        <f>Q4</f>
        <v>0</v>
      </c>
      <c r="AP4" s="389">
        <f>AO4+AN4+AM4</f>
        <v>0</v>
      </c>
      <c r="AQ4" s="389">
        <f>S4</f>
        <v>0</v>
      </c>
      <c r="AR4" s="389">
        <f>T4</f>
        <v>0</v>
      </c>
      <c r="AS4" s="389">
        <f>AR4+AQ4</f>
        <v>0</v>
      </c>
      <c r="AT4" s="389">
        <f t="shared" ref="AT4:AT67" si="0">AQ4+AM4+AI4+AF4+AC4+Z4</f>
        <v>0</v>
      </c>
      <c r="AU4" s="389">
        <f t="shared" ref="AU4:AU67" si="1">AJ4+AN4</f>
        <v>0</v>
      </c>
      <c r="AV4" s="389">
        <f t="shared" ref="AV4:AV67" si="2">AR4+AO4+AK4+AG4+AD4+AA4</f>
        <v>0</v>
      </c>
      <c r="AW4" s="390">
        <f t="shared" ref="AW4:AW67" si="3">AT4+AU4+AV4</f>
        <v>0</v>
      </c>
    </row>
    <row r="5" spans="1:49" ht="15.75" hidden="1" thickBot="1">
      <c r="A5" s="170">
        <v>40210</v>
      </c>
      <c r="B5" s="378">
        <v>0</v>
      </c>
      <c r="C5" s="3">
        <v>0</v>
      </c>
      <c r="D5" s="3">
        <f t="shared" ref="D5:D68" si="4">C5+B5</f>
        <v>0</v>
      </c>
      <c r="E5" s="3">
        <v>0</v>
      </c>
      <c r="F5" s="3">
        <v>0</v>
      </c>
      <c r="G5" s="3">
        <f t="shared" ref="G5:G68" si="5">F5+E5</f>
        <v>0</v>
      </c>
      <c r="H5" s="3">
        <v>0</v>
      </c>
      <c r="I5" s="3">
        <v>0</v>
      </c>
      <c r="J5" s="3">
        <f t="shared" ref="J5:J68" si="6">I5+H5</f>
        <v>0</v>
      </c>
      <c r="K5" s="3">
        <v>0</v>
      </c>
      <c r="L5" s="3">
        <v>0</v>
      </c>
      <c r="M5" s="3">
        <v>0</v>
      </c>
      <c r="N5" s="3">
        <f t="shared" ref="N5:N68" si="7">M5+L5+K5</f>
        <v>0</v>
      </c>
      <c r="O5" s="3">
        <v>0</v>
      </c>
      <c r="P5" s="3">
        <v>0</v>
      </c>
      <c r="Q5" s="3">
        <v>0</v>
      </c>
      <c r="R5" s="3">
        <f t="shared" ref="R5:R68" si="8">Q5+P5+O5</f>
        <v>0</v>
      </c>
      <c r="S5" s="3">
        <v>0</v>
      </c>
      <c r="T5" s="3">
        <v>0</v>
      </c>
      <c r="U5" s="3">
        <f t="shared" ref="U5:U68" si="9">T5+S5</f>
        <v>0</v>
      </c>
      <c r="V5" s="3">
        <f t="shared" ref="V5:V68" si="10">B5+E5+H5+K5</f>
        <v>0</v>
      </c>
      <c r="W5" s="3">
        <f t="shared" ref="W5:W68" si="11">L5+P5</f>
        <v>0</v>
      </c>
      <c r="X5" s="3">
        <f t="shared" ref="X5:X68" si="12">C5+F5+I5+M5</f>
        <v>0</v>
      </c>
      <c r="Y5" s="379">
        <f t="shared" ref="Y5:Y68" si="13">X5+W5+V5</f>
        <v>0</v>
      </c>
      <c r="Z5" s="177">
        <f t="shared" ref="Z5:AA15" si="14">Z4+B5</f>
        <v>0</v>
      </c>
      <c r="AA5" s="177">
        <f t="shared" si="14"/>
        <v>0</v>
      </c>
      <c r="AB5" s="177">
        <f t="shared" ref="AB5:AB15" si="15">AA5+Z5</f>
        <v>0</v>
      </c>
      <c r="AC5" s="177">
        <f t="shared" ref="AC5:AD15" si="16">AC4+E5</f>
        <v>0</v>
      </c>
      <c r="AD5" s="177">
        <f t="shared" si="16"/>
        <v>0</v>
      </c>
      <c r="AE5" s="177">
        <f t="shared" ref="AE5:AE15" si="17">AD5+AC5</f>
        <v>0</v>
      </c>
      <c r="AF5" s="177">
        <f t="shared" ref="AF5:AG15" si="18">AF4+H5</f>
        <v>0</v>
      </c>
      <c r="AG5" s="177">
        <f t="shared" si="18"/>
        <v>0</v>
      </c>
      <c r="AH5" s="177">
        <f t="shared" ref="AH5:AH15" si="19">AG5+AF5</f>
        <v>0</v>
      </c>
      <c r="AI5" s="177">
        <f t="shared" ref="AI5:AK15" si="20">AI4+K5</f>
        <v>0</v>
      </c>
      <c r="AJ5" s="177">
        <f t="shared" si="20"/>
        <v>0</v>
      </c>
      <c r="AK5" s="177">
        <f t="shared" si="20"/>
        <v>0</v>
      </c>
      <c r="AL5" s="177">
        <f t="shared" ref="AL5:AL14" si="21">AK5+AJ5+AI5</f>
        <v>0</v>
      </c>
      <c r="AM5" s="177">
        <f t="shared" ref="AM5:AO14" si="22">AM4+O5</f>
        <v>0</v>
      </c>
      <c r="AN5" s="177">
        <f t="shared" si="22"/>
        <v>0</v>
      </c>
      <c r="AO5" s="177">
        <f t="shared" si="22"/>
        <v>0</v>
      </c>
      <c r="AP5" s="177">
        <f t="shared" ref="AP5:AP15" si="23">AO5+AN5+AM5</f>
        <v>0</v>
      </c>
      <c r="AQ5" s="177">
        <f t="shared" ref="AQ5:AR15" si="24">AQ4+S5</f>
        <v>0</v>
      </c>
      <c r="AR5" s="177">
        <f t="shared" si="24"/>
        <v>0</v>
      </c>
      <c r="AS5" s="177">
        <f t="shared" ref="AS5:AS15" si="25">AR5+AQ5</f>
        <v>0</v>
      </c>
      <c r="AT5" s="177">
        <f t="shared" si="0"/>
        <v>0</v>
      </c>
      <c r="AU5" s="177">
        <f t="shared" si="1"/>
        <v>0</v>
      </c>
      <c r="AV5" s="177">
        <f t="shared" si="2"/>
        <v>0</v>
      </c>
      <c r="AW5" s="382">
        <f t="shared" si="3"/>
        <v>0</v>
      </c>
    </row>
    <row r="6" spans="1:49" ht="15.75" hidden="1" thickBot="1">
      <c r="A6" s="170">
        <v>40238</v>
      </c>
      <c r="B6" s="378">
        <v>0</v>
      </c>
      <c r="C6" s="3">
        <v>0</v>
      </c>
      <c r="D6" s="3">
        <f t="shared" si="4"/>
        <v>0</v>
      </c>
      <c r="E6" s="3">
        <v>0</v>
      </c>
      <c r="F6" s="3">
        <v>0</v>
      </c>
      <c r="G6" s="3">
        <f t="shared" si="5"/>
        <v>0</v>
      </c>
      <c r="H6" s="3">
        <v>0</v>
      </c>
      <c r="I6" s="3">
        <v>0</v>
      </c>
      <c r="J6" s="3">
        <f t="shared" si="6"/>
        <v>0</v>
      </c>
      <c r="K6" s="3">
        <v>0</v>
      </c>
      <c r="L6" s="3">
        <v>0</v>
      </c>
      <c r="M6" s="3">
        <v>0</v>
      </c>
      <c r="N6" s="3">
        <f t="shared" si="7"/>
        <v>0</v>
      </c>
      <c r="O6" s="3">
        <v>0</v>
      </c>
      <c r="P6" s="3">
        <v>0</v>
      </c>
      <c r="Q6" s="3">
        <v>0</v>
      </c>
      <c r="R6" s="3">
        <f t="shared" si="8"/>
        <v>0</v>
      </c>
      <c r="S6" s="3">
        <v>0</v>
      </c>
      <c r="T6" s="3">
        <v>0</v>
      </c>
      <c r="U6" s="3">
        <f t="shared" si="9"/>
        <v>0</v>
      </c>
      <c r="V6" s="3">
        <f t="shared" si="10"/>
        <v>0</v>
      </c>
      <c r="W6" s="3">
        <f t="shared" si="11"/>
        <v>0</v>
      </c>
      <c r="X6" s="3">
        <f t="shared" si="12"/>
        <v>0</v>
      </c>
      <c r="Y6" s="379">
        <f t="shared" si="13"/>
        <v>0</v>
      </c>
      <c r="Z6" s="177">
        <f t="shared" si="14"/>
        <v>0</v>
      </c>
      <c r="AA6" s="177">
        <f t="shared" si="14"/>
        <v>0</v>
      </c>
      <c r="AB6" s="177">
        <f t="shared" si="15"/>
        <v>0</v>
      </c>
      <c r="AC6" s="177">
        <f t="shared" si="16"/>
        <v>0</v>
      </c>
      <c r="AD6" s="177">
        <f t="shared" si="16"/>
        <v>0</v>
      </c>
      <c r="AE6" s="177">
        <f t="shared" si="17"/>
        <v>0</v>
      </c>
      <c r="AF6" s="177">
        <f t="shared" si="18"/>
        <v>0</v>
      </c>
      <c r="AG6" s="177">
        <f t="shared" si="18"/>
        <v>0</v>
      </c>
      <c r="AH6" s="177">
        <f t="shared" si="19"/>
        <v>0</v>
      </c>
      <c r="AI6" s="177">
        <f t="shared" si="20"/>
        <v>0</v>
      </c>
      <c r="AJ6" s="177">
        <f t="shared" si="20"/>
        <v>0</v>
      </c>
      <c r="AK6" s="177">
        <f t="shared" si="20"/>
        <v>0</v>
      </c>
      <c r="AL6" s="177">
        <f t="shared" si="21"/>
        <v>0</v>
      </c>
      <c r="AM6" s="177">
        <f t="shared" si="22"/>
        <v>0</v>
      </c>
      <c r="AN6" s="177">
        <f t="shared" si="22"/>
        <v>0</v>
      </c>
      <c r="AO6" s="177">
        <f t="shared" si="22"/>
        <v>0</v>
      </c>
      <c r="AP6" s="177">
        <f t="shared" si="23"/>
        <v>0</v>
      </c>
      <c r="AQ6" s="177">
        <f t="shared" si="24"/>
        <v>0</v>
      </c>
      <c r="AR6" s="177">
        <f t="shared" si="24"/>
        <v>0</v>
      </c>
      <c r="AS6" s="177">
        <f t="shared" si="25"/>
        <v>0</v>
      </c>
      <c r="AT6" s="177">
        <f t="shared" si="0"/>
        <v>0</v>
      </c>
      <c r="AU6" s="177">
        <f t="shared" si="1"/>
        <v>0</v>
      </c>
      <c r="AV6" s="177">
        <f t="shared" si="2"/>
        <v>0</v>
      </c>
      <c r="AW6" s="382">
        <f t="shared" si="3"/>
        <v>0</v>
      </c>
    </row>
    <row r="7" spans="1:49" ht="15.75" hidden="1" thickBot="1">
      <c r="A7" s="170">
        <v>40269</v>
      </c>
      <c r="B7" s="378">
        <v>0</v>
      </c>
      <c r="C7" s="3">
        <v>0</v>
      </c>
      <c r="D7" s="3">
        <f t="shared" si="4"/>
        <v>0</v>
      </c>
      <c r="E7" s="3">
        <v>0</v>
      </c>
      <c r="F7" s="3">
        <v>0</v>
      </c>
      <c r="G7" s="3">
        <f t="shared" si="5"/>
        <v>0</v>
      </c>
      <c r="H7" s="3">
        <v>0</v>
      </c>
      <c r="I7" s="3">
        <v>0</v>
      </c>
      <c r="J7" s="3">
        <f t="shared" si="6"/>
        <v>0</v>
      </c>
      <c r="K7" s="3">
        <v>0</v>
      </c>
      <c r="L7" s="3">
        <v>0</v>
      </c>
      <c r="M7" s="3">
        <v>0</v>
      </c>
      <c r="N7" s="3">
        <f t="shared" si="7"/>
        <v>0</v>
      </c>
      <c r="O7" s="3">
        <v>0</v>
      </c>
      <c r="P7" s="3">
        <v>0</v>
      </c>
      <c r="Q7" s="3">
        <v>0</v>
      </c>
      <c r="R7" s="3">
        <f t="shared" si="8"/>
        <v>0</v>
      </c>
      <c r="S7" s="3">
        <v>0</v>
      </c>
      <c r="T7" s="3">
        <v>0</v>
      </c>
      <c r="U7" s="3">
        <f t="shared" si="9"/>
        <v>0</v>
      </c>
      <c r="V7" s="3">
        <f t="shared" si="10"/>
        <v>0</v>
      </c>
      <c r="W7" s="3">
        <f t="shared" si="11"/>
        <v>0</v>
      </c>
      <c r="X7" s="3">
        <f t="shared" si="12"/>
        <v>0</v>
      </c>
      <c r="Y7" s="379">
        <f t="shared" si="13"/>
        <v>0</v>
      </c>
      <c r="Z7" s="177">
        <f t="shared" si="14"/>
        <v>0</v>
      </c>
      <c r="AA7" s="177">
        <f t="shared" si="14"/>
        <v>0</v>
      </c>
      <c r="AB7" s="177">
        <f t="shared" si="15"/>
        <v>0</v>
      </c>
      <c r="AC7" s="177">
        <f t="shared" si="16"/>
        <v>0</v>
      </c>
      <c r="AD7" s="177">
        <f t="shared" si="16"/>
        <v>0</v>
      </c>
      <c r="AE7" s="177">
        <f t="shared" si="17"/>
        <v>0</v>
      </c>
      <c r="AF7" s="177">
        <f t="shared" si="18"/>
        <v>0</v>
      </c>
      <c r="AG7" s="177">
        <f t="shared" si="18"/>
        <v>0</v>
      </c>
      <c r="AH7" s="177">
        <f t="shared" si="19"/>
        <v>0</v>
      </c>
      <c r="AI7" s="177">
        <f t="shared" si="20"/>
        <v>0</v>
      </c>
      <c r="AJ7" s="177">
        <f t="shared" si="20"/>
        <v>0</v>
      </c>
      <c r="AK7" s="177">
        <f t="shared" si="20"/>
        <v>0</v>
      </c>
      <c r="AL7" s="177">
        <f t="shared" si="21"/>
        <v>0</v>
      </c>
      <c r="AM7" s="177">
        <f t="shared" si="22"/>
        <v>0</v>
      </c>
      <c r="AN7" s="177">
        <f t="shared" si="22"/>
        <v>0</v>
      </c>
      <c r="AO7" s="177">
        <f t="shared" si="22"/>
        <v>0</v>
      </c>
      <c r="AP7" s="177">
        <f t="shared" si="23"/>
        <v>0</v>
      </c>
      <c r="AQ7" s="177">
        <f t="shared" si="24"/>
        <v>0</v>
      </c>
      <c r="AR7" s="177">
        <f t="shared" si="24"/>
        <v>0</v>
      </c>
      <c r="AS7" s="177">
        <f t="shared" si="25"/>
        <v>0</v>
      </c>
      <c r="AT7" s="177">
        <f t="shared" si="0"/>
        <v>0</v>
      </c>
      <c r="AU7" s="177">
        <f t="shared" si="1"/>
        <v>0</v>
      </c>
      <c r="AV7" s="177">
        <f t="shared" si="2"/>
        <v>0</v>
      </c>
      <c r="AW7" s="382">
        <f t="shared" si="3"/>
        <v>0</v>
      </c>
    </row>
    <row r="8" spans="1:49" ht="15.75" hidden="1" thickBot="1">
      <c r="A8" s="170">
        <v>40299</v>
      </c>
      <c r="B8" s="378">
        <v>0</v>
      </c>
      <c r="C8" s="3">
        <v>0</v>
      </c>
      <c r="D8" s="3">
        <f t="shared" si="4"/>
        <v>0</v>
      </c>
      <c r="E8" s="3">
        <v>0</v>
      </c>
      <c r="F8" s="3">
        <v>0</v>
      </c>
      <c r="G8" s="3">
        <f t="shared" si="5"/>
        <v>0</v>
      </c>
      <c r="H8" s="3">
        <v>0</v>
      </c>
      <c r="I8" s="3">
        <v>0</v>
      </c>
      <c r="J8" s="3">
        <f t="shared" si="6"/>
        <v>0</v>
      </c>
      <c r="K8" s="3">
        <v>0</v>
      </c>
      <c r="L8" s="3">
        <v>0</v>
      </c>
      <c r="M8" s="3">
        <v>0</v>
      </c>
      <c r="N8" s="3">
        <f t="shared" si="7"/>
        <v>0</v>
      </c>
      <c r="O8" s="3">
        <v>0</v>
      </c>
      <c r="P8" s="3">
        <v>0</v>
      </c>
      <c r="Q8" s="3">
        <v>0</v>
      </c>
      <c r="R8" s="3">
        <f t="shared" si="8"/>
        <v>0</v>
      </c>
      <c r="S8" s="3">
        <v>0</v>
      </c>
      <c r="T8" s="3">
        <v>0</v>
      </c>
      <c r="U8" s="3">
        <f t="shared" si="9"/>
        <v>0</v>
      </c>
      <c r="V8" s="3">
        <f t="shared" si="10"/>
        <v>0</v>
      </c>
      <c r="W8" s="3">
        <f t="shared" si="11"/>
        <v>0</v>
      </c>
      <c r="X8" s="3">
        <f t="shared" si="12"/>
        <v>0</v>
      </c>
      <c r="Y8" s="379">
        <f t="shared" si="13"/>
        <v>0</v>
      </c>
      <c r="Z8" s="177">
        <f t="shared" si="14"/>
        <v>0</v>
      </c>
      <c r="AA8" s="177">
        <f t="shared" si="14"/>
        <v>0</v>
      </c>
      <c r="AB8" s="177">
        <f t="shared" si="15"/>
        <v>0</v>
      </c>
      <c r="AC8" s="177">
        <f t="shared" si="16"/>
        <v>0</v>
      </c>
      <c r="AD8" s="177">
        <f t="shared" si="16"/>
        <v>0</v>
      </c>
      <c r="AE8" s="177">
        <f t="shared" si="17"/>
        <v>0</v>
      </c>
      <c r="AF8" s="177">
        <f t="shared" si="18"/>
        <v>0</v>
      </c>
      <c r="AG8" s="177">
        <f t="shared" si="18"/>
        <v>0</v>
      </c>
      <c r="AH8" s="177">
        <f t="shared" si="19"/>
        <v>0</v>
      </c>
      <c r="AI8" s="177">
        <f t="shared" si="20"/>
        <v>0</v>
      </c>
      <c r="AJ8" s="177">
        <f t="shared" si="20"/>
        <v>0</v>
      </c>
      <c r="AK8" s="177">
        <f t="shared" si="20"/>
        <v>0</v>
      </c>
      <c r="AL8" s="177">
        <f t="shared" si="21"/>
        <v>0</v>
      </c>
      <c r="AM8" s="177">
        <f t="shared" si="22"/>
        <v>0</v>
      </c>
      <c r="AN8" s="177">
        <f t="shared" si="22"/>
        <v>0</v>
      </c>
      <c r="AO8" s="177">
        <f t="shared" si="22"/>
        <v>0</v>
      </c>
      <c r="AP8" s="177">
        <f t="shared" si="23"/>
        <v>0</v>
      </c>
      <c r="AQ8" s="177">
        <f t="shared" si="24"/>
        <v>0</v>
      </c>
      <c r="AR8" s="177">
        <f t="shared" si="24"/>
        <v>0</v>
      </c>
      <c r="AS8" s="177">
        <f t="shared" si="25"/>
        <v>0</v>
      </c>
      <c r="AT8" s="177">
        <f t="shared" si="0"/>
        <v>0</v>
      </c>
      <c r="AU8" s="177">
        <f t="shared" si="1"/>
        <v>0</v>
      </c>
      <c r="AV8" s="177">
        <f t="shared" si="2"/>
        <v>0</v>
      </c>
      <c r="AW8" s="382">
        <f t="shared" si="3"/>
        <v>0</v>
      </c>
    </row>
    <row r="9" spans="1:49" ht="15.75" hidden="1" thickBot="1">
      <c r="A9" s="170">
        <v>40330</v>
      </c>
      <c r="B9" s="378">
        <v>0</v>
      </c>
      <c r="C9" s="3">
        <v>0</v>
      </c>
      <c r="D9" s="3">
        <f t="shared" si="4"/>
        <v>0</v>
      </c>
      <c r="E9" s="3">
        <v>0</v>
      </c>
      <c r="F9" s="3">
        <v>0</v>
      </c>
      <c r="G9" s="3">
        <f t="shared" si="5"/>
        <v>0</v>
      </c>
      <c r="H9" s="3">
        <v>0</v>
      </c>
      <c r="I9" s="3">
        <v>0</v>
      </c>
      <c r="J9" s="3">
        <f t="shared" si="6"/>
        <v>0</v>
      </c>
      <c r="K9" s="3">
        <v>0</v>
      </c>
      <c r="L9" s="3">
        <v>0</v>
      </c>
      <c r="M9" s="3">
        <v>0</v>
      </c>
      <c r="N9" s="3">
        <f t="shared" si="7"/>
        <v>0</v>
      </c>
      <c r="O9" s="3">
        <v>0</v>
      </c>
      <c r="P9" s="3">
        <v>0</v>
      </c>
      <c r="Q9" s="3">
        <v>0</v>
      </c>
      <c r="R9" s="3">
        <f t="shared" si="8"/>
        <v>0</v>
      </c>
      <c r="S9" s="3">
        <v>0</v>
      </c>
      <c r="T9" s="3">
        <v>0</v>
      </c>
      <c r="U9" s="3">
        <f t="shared" si="9"/>
        <v>0</v>
      </c>
      <c r="V9" s="3">
        <f t="shared" si="10"/>
        <v>0</v>
      </c>
      <c r="W9" s="3">
        <f t="shared" si="11"/>
        <v>0</v>
      </c>
      <c r="X9" s="3">
        <f t="shared" si="12"/>
        <v>0</v>
      </c>
      <c r="Y9" s="379">
        <f t="shared" si="13"/>
        <v>0</v>
      </c>
      <c r="Z9" s="177">
        <f t="shared" si="14"/>
        <v>0</v>
      </c>
      <c r="AA9" s="177">
        <f t="shared" si="14"/>
        <v>0</v>
      </c>
      <c r="AB9" s="177">
        <f t="shared" si="15"/>
        <v>0</v>
      </c>
      <c r="AC9" s="177">
        <f t="shared" si="16"/>
        <v>0</v>
      </c>
      <c r="AD9" s="177">
        <f t="shared" si="16"/>
        <v>0</v>
      </c>
      <c r="AE9" s="177">
        <f t="shared" si="17"/>
        <v>0</v>
      </c>
      <c r="AF9" s="177">
        <f t="shared" si="18"/>
        <v>0</v>
      </c>
      <c r="AG9" s="177">
        <f t="shared" si="18"/>
        <v>0</v>
      </c>
      <c r="AH9" s="177">
        <f t="shared" si="19"/>
        <v>0</v>
      </c>
      <c r="AI9" s="177">
        <f t="shared" si="20"/>
        <v>0</v>
      </c>
      <c r="AJ9" s="177">
        <f t="shared" si="20"/>
        <v>0</v>
      </c>
      <c r="AK9" s="177">
        <f t="shared" si="20"/>
        <v>0</v>
      </c>
      <c r="AL9" s="177">
        <f t="shared" si="21"/>
        <v>0</v>
      </c>
      <c r="AM9" s="177">
        <f t="shared" si="22"/>
        <v>0</v>
      </c>
      <c r="AN9" s="177">
        <f t="shared" si="22"/>
        <v>0</v>
      </c>
      <c r="AO9" s="177">
        <f t="shared" si="22"/>
        <v>0</v>
      </c>
      <c r="AP9" s="177">
        <f t="shared" si="23"/>
        <v>0</v>
      </c>
      <c r="AQ9" s="177">
        <f t="shared" si="24"/>
        <v>0</v>
      </c>
      <c r="AR9" s="177">
        <f t="shared" si="24"/>
        <v>0</v>
      </c>
      <c r="AS9" s="177">
        <f t="shared" si="25"/>
        <v>0</v>
      </c>
      <c r="AT9" s="177">
        <f t="shared" si="0"/>
        <v>0</v>
      </c>
      <c r="AU9" s="177">
        <f t="shared" si="1"/>
        <v>0</v>
      </c>
      <c r="AV9" s="177">
        <f t="shared" si="2"/>
        <v>0</v>
      </c>
      <c r="AW9" s="382">
        <f t="shared" si="3"/>
        <v>0</v>
      </c>
    </row>
    <row r="10" spans="1:49" ht="15.75" hidden="1" thickBot="1">
      <c r="A10" s="170">
        <v>40360</v>
      </c>
      <c r="B10" s="378">
        <v>3745459</v>
      </c>
      <c r="C10" s="3">
        <v>0</v>
      </c>
      <c r="D10" s="3">
        <f t="shared" si="4"/>
        <v>3745459</v>
      </c>
      <c r="E10" s="3">
        <v>1114587380</v>
      </c>
      <c r="F10" s="3">
        <v>1203165</v>
      </c>
      <c r="G10" s="3">
        <f t="shared" si="5"/>
        <v>1115790545</v>
      </c>
      <c r="H10" s="3">
        <v>0</v>
      </c>
      <c r="I10" s="3">
        <v>0</v>
      </c>
      <c r="J10" s="3">
        <f t="shared" si="6"/>
        <v>0</v>
      </c>
      <c r="K10" s="3">
        <v>0</v>
      </c>
      <c r="L10" s="3">
        <v>0</v>
      </c>
      <c r="M10" s="3">
        <v>0</v>
      </c>
      <c r="N10" s="3">
        <f t="shared" si="7"/>
        <v>0</v>
      </c>
      <c r="O10" s="3">
        <v>0</v>
      </c>
      <c r="P10" s="3">
        <v>0</v>
      </c>
      <c r="Q10" s="3">
        <v>0</v>
      </c>
      <c r="R10" s="3">
        <f t="shared" si="8"/>
        <v>0</v>
      </c>
      <c r="S10" s="3">
        <v>0</v>
      </c>
      <c r="T10" s="3">
        <v>0</v>
      </c>
      <c r="U10" s="3">
        <f t="shared" si="9"/>
        <v>0</v>
      </c>
      <c r="V10" s="3">
        <f t="shared" si="10"/>
        <v>1118332839</v>
      </c>
      <c r="W10" s="3">
        <f t="shared" si="11"/>
        <v>0</v>
      </c>
      <c r="X10" s="3">
        <f t="shared" si="12"/>
        <v>1203165</v>
      </c>
      <c r="Y10" s="379">
        <f t="shared" si="13"/>
        <v>1119536004</v>
      </c>
      <c r="Z10" s="177">
        <f t="shared" si="14"/>
        <v>3745459</v>
      </c>
      <c r="AA10" s="177">
        <f t="shared" si="14"/>
        <v>0</v>
      </c>
      <c r="AB10" s="177">
        <f t="shared" si="15"/>
        <v>3745459</v>
      </c>
      <c r="AC10" s="177">
        <f t="shared" si="16"/>
        <v>1114587380</v>
      </c>
      <c r="AD10" s="177">
        <f t="shared" si="16"/>
        <v>1203165</v>
      </c>
      <c r="AE10" s="177">
        <f t="shared" si="17"/>
        <v>1115790545</v>
      </c>
      <c r="AF10" s="177">
        <f t="shared" si="18"/>
        <v>0</v>
      </c>
      <c r="AG10" s="177">
        <f t="shared" si="18"/>
        <v>0</v>
      </c>
      <c r="AH10" s="177">
        <f t="shared" si="19"/>
        <v>0</v>
      </c>
      <c r="AI10" s="177">
        <f t="shared" si="20"/>
        <v>0</v>
      </c>
      <c r="AJ10" s="177">
        <f t="shared" si="20"/>
        <v>0</v>
      </c>
      <c r="AK10" s="177">
        <f t="shared" si="20"/>
        <v>0</v>
      </c>
      <c r="AL10" s="177">
        <f t="shared" si="21"/>
        <v>0</v>
      </c>
      <c r="AM10" s="177">
        <f t="shared" si="22"/>
        <v>0</v>
      </c>
      <c r="AN10" s="177">
        <f t="shared" si="22"/>
        <v>0</v>
      </c>
      <c r="AO10" s="177">
        <f t="shared" si="22"/>
        <v>0</v>
      </c>
      <c r="AP10" s="177">
        <f t="shared" si="23"/>
        <v>0</v>
      </c>
      <c r="AQ10" s="177">
        <f t="shared" si="24"/>
        <v>0</v>
      </c>
      <c r="AR10" s="177">
        <f t="shared" si="24"/>
        <v>0</v>
      </c>
      <c r="AS10" s="177">
        <f t="shared" si="25"/>
        <v>0</v>
      </c>
      <c r="AT10" s="177">
        <f t="shared" si="0"/>
        <v>1118332839</v>
      </c>
      <c r="AU10" s="177">
        <f t="shared" si="1"/>
        <v>0</v>
      </c>
      <c r="AV10" s="177">
        <f t="shared" si="2"/>
        <v>1203165</v>
      </c>
      <c r="AW10" s="382">
        <f t="shared" si="3"/>
        <v>1119536004</v>
      </c>
    </row>
    <row r="11" spans="1:49" ht="15.75" hidden="1" thickBot="1">
      <c r="A11" s="170">
        <v>40391</v>
      </c>
      <c r="B11" s="378">
        <v>5294161</v>
      </c>
      <c r="C11" s="3">
        <v>0</v>
      </c>
      <c r="D11" s="3">
        <f t="shared" si="4"/>
        <v>5294161</v>
      </c>
      <c r="E11" s="3">
        <v>1111134084</v>
      </c>
      <c r="F11" s="3">
        <v>443599</v>
      </c>
      <c r="G11" s="3">
        <f t="shared" si="5"/>
        <v>1111577683</v>
      </c>
      <c r="H11" s="3">
        <v>0</v>
      </c>
      <c r="I11" s="3">
        <v>0</v>
      </c>
      <c r="J11" s="3">
        <f t="shared" si="6"/>
        <v>0</v>
      </c>
      <c r="K11" s="3">
        <v>0</v>
      </c>
      <c r="L11" s="3">
        <v>0</v>
      </c>
      <c r="M11" s="3">
        <v>0</v>
      </c>
      <c r="N11" s="3">
        <f t="shared" si="7"/>
        <v>0</v>
      </c>
      <c r="O11" s="3">
        <v>0</v>
      </c>
      <c r="P11" s="3">
        <v>0</v>
      </c>
      <c r="Q11" s="3">
        <v>0</v>
      </c>
      <c r="R11" s="3">
        <f t="shared" si="8"/>
        <v>0</v>
      </c>
      <c r="S11" s="3">
        <v>0</v>
      </c>
      <c r="T11" s="3">
        <v>0</v>
      </c>
      <c r="U11" s="3">
        <f t="shared" si="9"/>
        <v>0</v>
      </c>
      <c r="V11" s="3">
        <f t="shared" si="10"/>
        <v>1116428245</v>
      </c>
      <c r="W11" s="3">
        <f t="shared" si="11"/>
        <v>0</v>
      </c>
      <c r="X11" s="3">
        <f t="shared" si="12"/>
        <v>443599</v>
      </c>
      <c r="Y11" s="379">
        <f t="shared" si="13"/>
        <v>1116871844</v>
      </c>
      <c r="Z11" s="177">
        <f t="shared" si="14"/>
        <v>9039620</v>
      </c>
      <c r="AA11" s="177">
        <f t="shared" si="14"/>
        <v>0</v>
      </c>
      <c r="AB11" s="177">
        <f t="shared" si="15"/>
        <v>9039620</v>
      </c>
      <c r="AC11" s="177">
        <f t="shared" si="16"/>
        <v>2225721464</v>
      </c>
      <c r="AD11" s="177">
        <f t="shared" si="16"/>
        <v>1646764</v>
      </c>
      <c r="AE11" s="177">
        <f t="shared" si="17"/>
        <v>2227368228</v>
      </c>
      <c r="AF11" s="177">
        <f t="shared" si="18"/>
        <v>0</v>
      </c>
      <c r="AG11" s="177">
        <f t="shared" si="18"/>
        <v>0</v>
      </c>
      <c r="AH11" s="177">
        <f t="shared" si="19"/>
        <v>0</v>
      </c>
      <c r="AI11" s="177">
        <f t="shared" si="20"/>
        <v>0</v>
      </c>
      <c r="AJ11" s="177">
        <f t="shared" si="20"/>
        <v>0</v>
      </c>
      <c r="AK11" s="177">
        <f t="shared" si="20"/>
        <v>0</v>
      </c>
      <c r="AL11" s="177">
        <f t="shared" si="21"/>
        <v>0</v>
      </c>
      <c r="AM11" s="177">
        <f t="shared" si="22"/>
        <v>0</v>
      </c>
      <c r="AN11" s="177">
        <f t="shared" si="22"/>
        <v>0</v>
      </c>
      <c r="AO11" s="177">
        <f t="shared" si="22"/>
        <v>0</v>
      </c>
      <c r="AP11" s="177">
        <f t="shared" si="23"/>
        <v>0</v>
      </c>
      <c r="AQ11" s="177">
        <f t="shared" si="24"/>
        <v>0</v>
      </c>
      <c r="AR11" s="177">
        <f t="shared" si="24"/>
        <v>0</v>
      </c>
      <c r="AS11" s="177">
        <f t="shared" si="25"/>
        <v>0</v>
      </c>
      <c r="AT11" s="177">
        <f t="shared" si="0"/>
        <v>2234761084</v>
      </c>
      <c r="AU11" s="177">
        <f t="shared" si="1"/>
        <v>0</v>
      </c>
      <c r="AV11" s="177">
        <f t="shared" si="2"/>
        <v>1646764</v>
      </c>
      <c r="AW11" s="382">
        <f t="shared" si="3"/>
        <v>2236407848</v>
      </c>
    </row>
    <row r="12" spans="1:49" ht="15.75" hidden="1" thickBot="1">
      <c r="A12" s="170">
        <v>40422</v>
      </c>
      <c r="B12" s="378">
        <v>8711313</v>
      </c>
      <c r="C12" s="3">
        <v>0</v>
      </c>
      <c r="D12" s="3">
        <f t="shared" si="4"/>
        <v>8711313</v>
      </c>
      <c r="E12" s="3">
        <v>1101994951</v>
      </c>
      <c r="F12" s="3">
        <v>222920</v>
      </c>
      <c r="G12" s="3">
        <f t="shared" si="5"/>
        <v>1102217871</v>
      </c>
      <c r="H12" s="3">
        <v>0</v>
      </c>
      <c r="I12" s="3">
        <v>0</v>
      </c>
      <c r="J12" s="3">
        <f t="shared" si="6"/>
        <v>0</v>
      </c>
      <c r="K12" s="3">
        <v>0</v>
      </c>
      <c r="L12" s="3">
        <v>0</v>
      </c>
      <c r="M12" s="3">
        <v>0</v>
      </c>
      <c r="N12" s="3">
        <f t="shared" si="7"/>
        <v>0</v>
      </c>
      <c r="O12" s="3">
        <v>0</v>
      </c>
      <c r="P12" s="3">
        <v>0</v>
      </c>
      <c r="Q12" s="3">
        <v>0</v>
      </c>
      <c r="R12" s="3">
        <f t="shared" si="8"/>
        <v>0</v>
      </c>
      <c r="S12" s="3">
        <v>0</v>
      </c>
      <c r="T12" s="3">
        <v>0</v>
      </c>
      <c r="U12" s="3">
        <f t="shared" si="9"/>
        <v>0</v>
      </c>
      <c r="V12" s="3">
        <f t="shared" si="10"/>
        <v>1110706264</v>
      </c>
      <c r="W12" s="3">
        <f t="shared" si="11"/>
        <v>0</v>
      </c>
      <c r="X12" s="3">
        <f t="shared" si="12"/>
        <v>222920</v>
      </c>
      <c r="Y12" s="379">
        <f t="shared" si="13"/>
        <v>1110929184</v>
      </c>
      <c r="Z12" s="177">
        <f t="shared" si="14"/>
        <v>17750933</v>
      </c>
      <c r="AA12" s="177">
        <f t="shared" si="14"/>
        <v>0</v>
      </c>
      <c r="AB12" s="177">
        <f t="shared" si="15"/>
        <v>17750933</v>
      </c>
      <c r="AC12" s="177">
        <f t="shared" si="16"/>
        <v>3327716415</v>
      </c>
      <c r="AD12" s="177">
        <f t="shared" si="16"/>
        <v>1869684</v>
      </c>
      <c r="AE12" s="177">
        <f t="shared" si="17"/>
        <v>3329586099</v>
      </c>
      <c r="AF12" s="177">
        <f t="shared" si="18"/>
        <v>0</v>
      </c>
      <c r="AG12" s="177">
        <f t="shared" si="18"/>
        <v>0</v>
      </c>
      <c r="AH12" s="177">
        <f t="shared" si="19"/>
        <v>0</v>
      </c>
      <c r="AI12" s="177">
        <f t="shared" si="20"/>
        <v>0</v>
      </c>
      <c r="AJ12" s="177">
        <f t="shared" si="20"/>
        <v>0</v>
      </c>
      <c r="AK12" s="177">
        <f t="shared" si="20"/>
        <v>0</v>
      </c>
      <c r="AL12" s="177">
        <f t="shared" si="21"/>
        <v>0</v>
      </c>
      <c r="AM12" s="177">
        <f t="shared" si="22"/>
        <v>0</v>
      </c>
      <c r="AN12" s="177">
        <f t="shared" si="22"/>
        <v>0</v>
      </c>
      <c r="AO12" s="177">
        <f t="shared" si="22"/>
        <v>0</v>
      </c>
      <c r="AP12" s="177">
        <f t="shared" si="23"/>
        <v>0</v>
      </c>
      <c r="AQ12" s="177">
        <f t="shared" si="24"/>
        <v>0</v>
      </c>
      <c r="AR12" s="177">
        <f t="shared" si="24"/>
        <v>0</v>
      </c>
      <c r="AS12" s="177">
        <f t="shared" si="25"/>
        <v>0</v>
      </c>
      <c r="AT12" s="177">
        <f t="shared" si="0"/>
        <v>3345467348</v>
      </c>
      <c r="AU12" s="177">
        <f t="shared" si="1"/>
        <v>0</v>
      </c>
      <c r="AV12" s="177">
        <f t="shared" si="2"/>
        <v>1869684</v>
      </c>
      <c r="AW12" s="382">
        <f t="shared" si="3"/>
        <v>3347337032</v>
      </c>
    </row>
    <row r="13" spans="1:49" ht="15.75" hidden="1" thickBot="1">
      <c r="A13" s="170">
        <v>40452</v>
      </c>
      <c r="B13" s="378">
        <v>226107</v>
      </c>
      <c r="C13" s="3">
        <v>0</v>
      </c>
      <c r="D13" s="3">
        <f t="shared" si="4"/>
        <v>226107</v>
      </c>
      <c r="E13" s="3">
        <v>1111232019</v>
      </c>
      <c r="F13" s="3">
        <v>164225</v>
      </c>
      <c r="G13" s="3">
        <f t="shared" si="5"/>
        <v>1111396244</v>
      </c>
      <c r="H13" s="3">
        <v>0</v>
      </c>
      <c r="I13" s="3">
        <v>0</v>
      </c>
      <c r="J13" s="3">
        <f t="shared" si="6"/>
        <v>0</v>
      </c>
      <c r="K13" s="3">
        <v>0</v>
      </c>
      <c r="L13" s="3">
        <v>0</v>
      </c>
      <c r="M13" s="3">
        <v>0</v>
      </c>
      <c r="N13" s="3">
        <f t="shared" si="7"/>
        <v>0</v>
      </c>
      <c r="O13" s="3">
        <v>0</v>
      </c>
      <c r="P13" s="3">
        <v>0</v>
      </c>
      <c r="Q13" s="3">
        <v>0</v>
      </c>
      <c r="R13" s="3">
        <f t="shared" si="8"/>
        <v>0</v>
      </c>
      <c r="S13" s="3">
        <v>0</v>
      </c>
      <c r="T13" s="3">
        <v>0</v>
      </c>
      <c r="U13" s="3">
        <f t="shared" si="9"/>
        <v>0</v>
      </c>
      <c r="V13" s="3">
        <f t="shared" si="10"/>
        <v>1111458126</v>
      </c>
      <c r="W13" s="3">
        <f t="shared" si="11"/>
        <v>0</v>
      </c>
      <c r="X13" s="3">
        <f t="shared" si="12"/>
        <v>164225</v>
      </c>
      <c r="Y13" s="379">
        <f t="shared" si="13"/>
        <v>1111622351</v>
      </c>
      <c r="Z13" s="177">
        <f t="shared" si="14"/>
        <v>17977040</v>
      </c>
      <c r="AA13" s="177">
        <f t="shared" si="14"/>
        <v>0</v>
      </c>
      <c r="AB13" s="177">
        <f t="shared" si="15"/>
        <v>17977040</v>
      </c>
      <c r="AC13" s="177">
        <f t="shared" si="16"/>
        <v>4438948434</v>
      </c>
      <c r="AD13" s="177">
        <f t="shared" si="16"/>
        <v>2033909</v>
      </c>
      <c r="AE13" s="177">
        <f t="shared" si="17"/>
        <v>4440982343</v>
      </c>
      <c r="AF13" s="177">
        <f t="shared" si="18"/>
        <v>0</v>
      </c>
      <c r="AG13" s="177">
        <f t="shared" si="18"/>
        <v>0</v>
      </c>
      <c r="AH13" s="177">
        <f t="shared" si="19"/>
        <v>0</v>
      </c>
      <c r="AI13" s="177">
        <f t="shared" si="20"/>
        <v>0</v>
      </c>
      <c r="AJ13" s="177">
        <f t="shared" si="20"/>
        <v>0</v>
      </c>
      <c r="AK13" s="177">
        <f t="shared" si="20"/>
        <v>0</v>
      </c>
      <c r="AL13" s="177">
        <f t="shared" si="21"/>
        <v>0</v>
      </c>
      <c r="AM13" s="177">
        <f t="shared" si="22"/>
        <v>0</v>
      </c>
      <c r="AN13" s="177">
        <f t="shared" si="22"/>
        <v>0</v>
      </c>
      <c r="AO13" s="177">
        <f t="shared" si="22"/>
        <v>0</v>
      </c>
      <c r="AP13" s="177">
        <f t="shared" si="23"/>
        <v>0</v>
      </c>
      <c r="AQ13" s="177">
        <f t="shared" si="24"/>
        <v>0</v>
      </c>
      <c r="AR13" s="177">
        <f t="shared" si="24"/>
        <v>0</v>
      </c>
      <c r="AS13" s="177">
        <f t="shared" si="25"/>
        <v>0</v>
      </c>
      <c r="AT13" s="177">
        <f t="shared" si="0"/>
        <v>4456925474</v>
      </c>
      <c r="AU13" s="177">
        <f t="shared" si="1"/>
        <v>0</v>
      </c>
      <c r="AV13" s="177">
        <f t="shared" si="2"/>
        <v>2033909</v>
      </c>
      <c r="AW13" s="382">
        <f t="shared" si="3"/>
        <v>4458959383</v>
      </c>
    </row>
    <row r="14" spans="1:49" ht="15.75" hidden="1" thickBot="1">
      <c r="A14" s="170">
        <v>40483</v>
      </c>
      <c r="B14" s="378">
        <v>656485</v>
      </c>
      <c r="C14" s="3">
        <v>0</v>
      </c>
      <c r="D14" s="3">
        <f t="shared" si="4"/>
        <v>656485</v>
      </c>
      <c r="E14" s="3">
        <v>1138095958</v>
      </c>
      <c r="F14" s="3">
        <v>345673</v>
      </c>
      <c r="G14" s="3">
        <f t="shared" si="5"/>
        <v>1138441631</v>
      </c>
      <c r="H14" s="3">
        <v>0</v>
      </c>
      <c r="I14" s="3">
        <v>0</v>
      </c>
      <c r="J14" s="3">
        <f t="shared" si="6"/>
        <v>0</v>
      </c>
      <c r="K14" s="3">
        <v>0</v>
      </c>
      <c r="L14" s="3">
        <v>0</v>
      </c>
      <c r="M14" s="3">
        <v>0</v>
      </c>
      <c r="N14" s="3">
        <f t="shared" si="7"/>
        <v>0</v>
      </c>
      <c r="O14" s="3">
        <v>0</v>
      </c>
      <c r="P14" s="3">
        <v>0</v>
      </c>
      <c r="Q14" s="3">
        <v>0</v>
      </c>
      <c r="R14" s="3">
        <f t="shared" si="8"/>
        <v>0</v>
      </c>
      <c r="S14" s="3">
        <v>0</v>
      </c>
      <c r="T14" s="3">
        <v>0</v>
      </c>
      <c r="U14" s="3">
        <f t="shared" si="9"/>
        <v>0</v>
      </c>
      <c r="V14" s="3">
        <f t="shared" si="10"/>
        <v>1138752443</v>
      </c>
      <c r="W14" s="3">
        <f t="shared" si="11"/>
        <v>0</v>
      </c>
      <c r="X14" s="3">
        <f t="shared" si="12"/>
        <v>345673</v>
      </c>
      <c r="Y14" s="379">
        <f t="shared" si="13"/>
        <v>1139098116</v>
      </c>
      <c r="Z14" s="177">
        <f t="shared" si="14"/>
        <v>18633525</v>
      </c>
      <c r="AA14" s="177">
        <f t="shared" si="14"/>
        <v>0</v>
      </c>
      <c r="AB14" s="177">
        <f t="shared" si="15"/>
        <v>18633525</v>
      </c>
      <c r="AC14" s="177">
        <f t="shared" si="16"/>
        <v>5577044392</v>
      </c>
      <c r="AD14" s="177">
        <f t="shared" si="16"/>
        <v>2379582</v>
      </c>
      <c r="AE14" s="177">
        <f t="shared" si="17"/>
        <v>5579423974</v>
      </c>
      <c r="AF14" s="177">
        <f t="shared" si="18"/>
        <v>0</v>
      </c>
      <c r="AG14" s="177">
        <f t="shared" si="18"/>
        <v>0</v>
      </c>
      <c r="AH14" s="177">
        <f t="shared" si="19"/>
        <v>0</v>
      </c>
      <c r="AI14" s="177">
        <f t="shared" si="20"/>
        <v>0</v>
      </c>
      <c r="AJ14" s="177">
        <f t="shared" si="20"/>
        <v>0</v>
      </c>
      <c r="AK14" s="177">
        <f t="shared" si="20"/>
        <v>0</v>
      </c>
      <c r="AL14" s="177">
        <f t="shared" si="21"/>
        <v>0</v>
      </c>
      <c r="AM14" s="177">
        <f t="shared" si="22"/>
        <v>0</v>
      </c>
      <c r="AN14" s="177">
        <f t="shared" si="22"/>
        <v>0</v>
      </c>
      <c r="AO14" s="177">
        <f t="shared" si="22"/>
        <v>0</v>
      </c>
      <c r="AP14" s="177">
        <f t="shared" si="23"/>
        <v>0</v>
      </c>
      <c r="AQ14" s="177">
        <f t="shared" si="24"/>
        <v>0</v>
      </c>
      <c r="AR14" s="177">
        <f t="shared" si="24"/>
        <v>0</v>
      </c>
      <c r="AS14" s="177">
        <f t="shared" si="25"/>
        <v>0</v>
      </c>
      <c r="AT14" s="177">
        <f t="shared" si="0"/>
        <v>5595677917</v>
      </c>
      <c r="AU14" s="177">
        <f t="shared" si="1"/>
        <v>0</v>
      </c>
      <c r="AV14" s="177">
        <f t="shared" si="2"/>
        <v>2379582</v>
      </c>
      <c r="AW14" s="382">
        <f t="shared" si="3"/>
        <v>5598057499</v>
      </c>
    </row>
    <row r="15" spans="1:49" ht="15.75" hidden="1" thickBot="1">
      <c r="A15" s="170">
        <v>40513</v>
      </c>
      <c r="B15" s="378">
        <v>145953</v>
      </c>
      <c r="C15" s="3">
        <v>0</v>
      </c>
      <c r="D15" s="3">
        <f t="shared" si="4"/>
        <v>145953</v>
      </c>
      <c r="E15" s="3">
        <v>1197646493</v>
      </c>
      <c r="F15" s="3">
        <v>237904</v>
      </c>
      <c r="G15" s="3">
        <f t="shared" si="5"/>
        <v>1197884397</v>
      </c>
      <c r="H15" s="3">
        <v>0</v>
      </c>
      <c r="I15" s="3">
        <v>0</v>
      </c>
      <c r="J15" s="3">
        <f t="shared" si="6"/>
        <v>0</v>
      </c>
      <c r="K15" s="3">
        <v>0</v>
      </c>
      <c r="L15" s="3">
        <v>0</v>
      </c>
      <c r="M15" s="3">
        <v>0</v>
      </c>
      <c r="N15" s="3">
        <f t="shared" si="7"/>
        <v>0</v>
      </c>
      <c r="O15" s="3">
        <v>0</v>
      </c>
      <c r="P15" s="3">
        <v>0</v>
      </c>
      <c r="Q15" s="3">
        <v>0</v>
      </c>
      <c r="R15" s="3">
        <f t="shared" si="8"/>
        <v>0</v>
      </c>
      <c r="S15" s="3">
        <v>0</v>
      </c>
      <c r="T15" s="3">
        <v>0</v>
      </c>
      <c r="U15" s="3">
        <f t="shared" si="9"/>
        <v>0</v>
      </c>
      <c r="V15" s="3">
        <f t="shared" si="10"/>
        <v>1197792446</v>
      </c>
      <c r="W15" s="3">
        <f t="shared" si="11"/>
        <v>0</v>
      </c>
      <c r="X15" s="3">
        <f t="shared" si="12"/>
        <v>237904</v>
      </c>
      <c r="Y15" s="379">
        <f t="shared" si="13"/>
        <v>1198030350</v>
      </c>
      <c r="Z15" s="177">
        <f t="shared" si="14"/>
        <v>18779478</v>
      </c>
      <c r="AA15" s="177">
        <f t="shared" si="14"/>
        <v>0</v>
      </c>
      <c r="AB15" s="177">
        <f t="shared" si="15"/>
        <v>18779478</v>
      </c>
      <c r="AC15" s="177">
        <f t="shared" si="16"/>
        <v>6774690885</v>
      </c>
      <c r="AD15" s="177">
        <f t="shared" si="16"/>
        <v>2617486</v>
      </c>
      <c r="AE15" s="177">
        <f t="shared" si="17"/>
        <v>6777308371</v>
      </c>
      <c r="AF15" s="177">
        <f t="shared" si="18"/>
        <v>0</v>
      </c>
      <c r="AG15" s="177">
        <f t="shared" si="18"/>
        <v>0</v>
      </c>
      <c r="AH15" s="177">
        <f t="shared" si="19"/>
        <v>0</v>
      </c>
      <c r="AI15" s="177">
        <f t="shared" si="20"/>
        <v>0</v>
      </c>
      <c r="AJ15" s="177">
        <f t="shared" si="20"/>
        <v>0</v>
      </c>
      <c r="AK15" s="177">
        <f t="shared" si="20"/>
        <v>0</v>
      </c>
      <c r="AL15" s="177">
        <f>AK15+AJ15+AI15</f>
        <v>0</v>
      </c>
      <c r="AM15" s="177">
        <f>AM14+O15</f>
        <v>0</v>
      </c>
      <c r="AN15" s="177">
        <f>AN14+P15</f>
        <v>0</v>
      </c>
      <c r="AO15" s="177">
        <f>AO14+Q15</f>
        <v>0</v>
      </c>
      <c r="AP15" s="177">
        <f t="shared" si="23"/>
        <v>0</v>
      </c>
      <c r="AQ15" s="177">
        <f t="shared" si="24"/>
        <v>0</v>
      </c>
      <c r="AR15" s="177">
        <f t="shared" si="24"/>
        <v>0</v>
      </c>
      <c r="AS15" s="177">
        <f t="shared" si="25"/>
        <v>0</v>
      </c>
      <c r="AT15" s="177">
        <f t="shared" si="0"/>
        <v>6793470363</v>
      </c>
      <c r="AU15" s="177">
        <f t="shared" si="1"/>
        <v>0</v>
      </c>
      <c r="AV15" s="177">
        <f t="shared" si="2"/>
        <v>2617486</v>
      </c>
      <c r="AW15" s="382">
        <f t="shared" si="3"/>
        <v>6796087849</v>
      </c>
    </row>
    <row r="16" spans="1:49" ht="15.75" hidden="1" thickBot="1">
      <c r="A16" s="171">
        <v>40544</v>
      </c>
      <c r="B16" s="385">
        <v>188702</v>
      </c>
      <c r="C16" s="104">
        <v>0</v>
      </c>
      <c r="D16" s="104">
        <f t="shared" si="4"/>
        <v>188702</v>
      </c>
      <c r="E16" s="104">
        <v>1160289818</v>
      </c>
      <c r="F16" s="104">
        <v>91760</v>
      </c>
      <c r="G16" s="104">
        <f t="shared" si="5"/>
        <v>1160381578</v>
      </c>
      <c r="H16" s="104">
        <v>0</v>
      </c>
      <c r="I16" s="104">
        <v>0</v>
      </c>
      <c r="J16" s="104">
        <f t="shared" si="6"/>
        <v>0</v>
      </c>
      <c r="K16" s="104">
        <v>0</v>
      </c>
      <c r="L16" s="104">
        <v>0</v>
      </c>
      <c r="M16" s="104">
        <v>0</v>
      </c>
      <c r="N16" s="104">
        <f t="shared" si="7"/>
        <v>0</v>
      </c>
      <c r="O16" s="104">
        <v>0</v>
      </c>
      <c r="P16" s="104">
        <v>0</v>
      </c>
      <c r="Q16" s="104">
        <v>0</v>
      </c>
      <c r="R16" s="104">
        <f t="shared" si="8"/>
        <v>0</v>
      </c>
      <c r="S16" s="104">
        <v>0</v>
      </c>
      <c r="T16" s="104">
        <v>0</v>
      </c>
      <c r="U16" s="104">
        <f t="shared" si="9"/>
        <v>0</v>
      </c>
      <c r="V16" s="104">
        <f t="shared" si="10"/>
        <v>1160478520</v>
      </c>
      <c r="W16" s="104">
        <f t="shared" si="11"/>
        <v>0</v>
      </c>
      <c r="X16" s="104">
        <f t="shared" si="12"/>
        <v>91760</v>
      </c>
      <c r="Y16" s="386">
        <f t="shared" si="13"/>
        <v>1160570280</v>
      </c>
      <c r="Z16" s="389">
        <f>B16</f>
        <v>188702</v>
      </c>
      <c r="AA16" s="389">
        <f>C16</f>
        <v>0</v>
      </c>
      <c r="AB16" s="389">
        <f>AA16+Z16</f>
        <v>188702</v>
      </c>
      <c r="AC16" s="389">
        <f>E16</f>
        <v>1160289818</v>
      </c>
      <c r="AD16" s="389">
        <f>F16</f>
        <v>91760</v>
      </c>
      <c r="AE16" s="389">
        <f>AD16+AC16</f>
        <v>1160381578</v>
      </c>
      <c r="AF16" s="389">
        <f>H16</f>
        <v>0</v>
      </c>
      <c r="AG16" s="389">
        <f>I16</f>
        <v>0</v>
      </c>
      <c r="AH16" s="389">
        <f>AG16+AF16</f>
        <v>0</v>
      </c>
      <c r="AI16" s="389">
        <f>K16</f>
        <v>0</v>
      </c>
      <c r="AJ16" s="389">
        <f>L16</f>
        <v>0</v>
      </c>
      <c r="AK16" s="389">
        <f>M16</f>
        <v>0</v>
      </c>
      <c r="AL16" s="389">
        <f>AK16+AJ16+AI16</f>
        <v>0</v>
      </c>
      <c r="AM16" s="389">
        <f>O16</f>
        <v>0</v>
      </c>
      <c r="AN16" s="389">
        <f>P16</f>
        <v>0</v>
      </c>
      <c r="AO16" s="389">
        <f>Q16</f>
        <v>0</v>
      </c>
      <c r="AP16" s="389">
        <f>AO16+AN16+AM16</f>
        <v>0</v>
      </c>
      <c r="AQ16" s="389">
        <f>S16</f>
        <v>0</v>
      </c>
      <c r="AR16" s="389">
        <f>T16</f>
        <v>0</v>
      </c>
      <c r="AS16" s="389">
        <f>AR16+AQ16</f>
        <v>0</v>
      </c>
      <c r="AT16" s="389">
        <f t="shared" si="0"/>
        <v>1160478520</v>
      </c>
      <c r="AU16" s="389">
        <f t="shared" si="1"/>
        <v>0</v>
      </c>
      <c r="AV16" s="389">
        <f t="shared" si="2"/>
        <v>91760</v>
      </c>
      <c r="AW16" s="390">
        <f t="shared" si="3"/>
        <v>1160570280</v>
      </c>
    </row>
    <row r="17" spans="1:49" ht="15.75" hidden="1" thickBot="1">
      <c r="A17" s="170">
        <v>40575</v>
      </c>
      <c r="B17" s="378">
        <v>339405</v>
      </c>
      <c r="C17" s="3">
        <v>0</v>
      </c>
      <c r="D17" s="3">
        <f t="shared" si="4"/>
        <v>339405</v>
      </c>
      <c r="E17" s="3">
        <v>1054084139</v>
      </c>
      <c r="F17" s="3">
        <v>0</v>
      </c>
      <c r="G17" s="3">
        <f t="shared" si="5"/>
        <v>1054084139</v>
      </c>
      <c r="H17" s="3">
        <v>0</v>
      </c>
      <c r="I17" s="3">
        <v>0</v>
      </c>
      <c r="J17" s="3">
        <f t="shared" si="6"/>
        <v>0</v>
      </c>
      <c r="K17" s="3">
        <v>0</v>
      </c>
      <c r="L17" s="3">
        <v>0</v>
      </c>
      <c r="M17" s="3">
        <v>0</v>
      </c>
      <c r="N17" s="3">
        <f t="shared" si="7"/>
        <v>0</v>
      </c>
      <c r="O17" s="3">
        <v>0</v>
      </c>
      <c r="P17" s="3">
        <v>0</v>
      </c>
      <c r="Q17" s="3">
        <v>0</v>
      </c>
      <c r="R17" s="3">
        <f t="shared" si="8"/>
        <v>0</v>
      </c>
      <c r="S17" s="3">
        <v>0</v>
      </c>
      <c r="T17" s="3">
        <v>0</v>
      </c>
      <c r="U17" s="3">
        <f t="shared" si="9"/>
        <v>0</v>
      </c>
      <c r="V17" s="3">
        <f t="shared" si="10"/>
        <v>1054423544</v>
      </c>
      <c r="W17" s="3">
        <f t="shared" si="11"/>
        <v>0</v>
      </c>
      <c r="X17" s="3">
        <f t="shared" si="12"/>
        <v>0</v>
      </c>
      <c r="Y17" s="379">
        <f t="shared" si="13"/>
        <v>1054423544</v>
      </c>
      <c r="Z17" s="177">
        <f t="shared" ref="Z17:AA27" si="26">Z16+B17</f>
        <v>528107</v>
      </c>
      <c r="AA17" s="177">
        <f t="shared" si="26"/>
        <v>0</v>
      </c>
      <c r="AB17" s="177">
        <f t="shared" ref="AB17:AB27" si="27">AA17+Z17</f>
        <v>528107</v>
      </c>
      <c r="AC17" s="177">
        <f t="shared" ref="AC17:AD27" si="28">AC16+E17</f>
        <v>2214373957</v>
      </c>
      <c r="AD17" s="177">
        <f t="shared" si="28"/>
        <v>91760</v>
      </c>
      <c r="AE17" s="177">
        <f t="shared" ref="AE17:AE27" si="29">AD17+AC17</f>
        <v>2214465717</v>
      </c>
      <c r="AF17" s="177">
        <f t="shared" ref="AF17:AG27" si="30">AF16+H17</f>
        <v>0</v>
      </c>
      <c r="AG17" s="177">
        <f t="shared" si="30"/>
        <v>0</v>
      </c>
      <c r="AH17" s="177">
        <f t="shared" ref="AH17:AH27" si="31">AG17+AF17</f>
        <v>0</v>
      </c>
      <c r="AI17" s="177">
        <f t="shared" ref="AI17:AK27" si="32">AI16+K17</f>
        <v>0</v>
      </c>
      <c r="AJ17" s="177">
        <f t="shared" si="32"/>
        <v>0</v>
      </c>
      <c r="AK17" s="177">
        <f t="shared" si="32"/>
        <v>0</v>
      </c>
      <c r="AL17" s="177">
        <f t="shared" ref="AL17:AL26" si="33">AK17+AJ17+AI17</f>
        <v>0</v>
      </c>
      <c r="AM17" s="177">
        <f t="shared" ref="AM17:AO26" si="34">AM16+O17</f>
        <v>0</v>
      </c>
      <c r="AN17" s="177">
        <f t="shared" si="34"/>
        <v>0</v>
      </c>
      <c r="AO17" s="177">
        <f t="shared" si="34"/>
        <v>0</v>
      </c>
      <c r="AP17" s="177">
        <f t="shared" ref="AP17:AP27" si="35">AO17+AN17+AM17</f>
        <v>0</v>
      </c>
      <c r="AQ17" s="177">
        <f t="shared" ref="AQ17:AR27" si="36">AQ16+S17</f>
        <v>0</v>
      </c>
      <c r="AR17" s="177">
        <f t="shared" si="36"/>
        <v>0</v>
      </c>
      <c r="AS17" s="177">
        <f t="shared" ref="AS17:AS27" si="37">AR17+AQ17</f>
        <v>0</v>
      </c>
      <c r="AT17" s="177">
        <f t="shared" si="0"/>
        <v>2214902064</v>
      </c>
      <c r="AU17" s="177">
        <f t="shared" si="1"/>
        <v>0</v>
      </c>
      <c r="AV17" s="177">
        <f t="shared" si="2"/>
        <v>91760</v>
      </c>
      <c r="AW17" s="382">
        <f t="shared" si="3"/>
        <v>2214993824</v>
      </c>
    </row>
    <row r="18" spans="1:49" ht="15.75" hidden="1" thickBot="1">
      <c r="A18" s="170">
        <v>40603</v>
      </c>
      <c r="B18" s="378">
        <v>267723</v>
      </c>
      <c r="C18" s="3">
        <v>0</v>
      </c>
      <c r="D18" s="3">
        <f t="shared" si="4"/>
        <v>267723</v>
      </c>
      <c r="E18" s="3">
        <v>1225662401</v>
      </c>
      <c r="F18" s="3">
        <v>0</v>
      </c>
      <c r="G18" s="3">
        <f t="shared" si="5"/>
        <v>1225662401</v>
      </c>
      <c r="H18" s="3">
        <v>0</v>
      </c>
      <c r="I18" s="3">
        <v>0</v>
      </c>
      <c r="J18" s="3">
        <f t="shared" si="6"/>
        <v>0</v>
      </c>
      <c r="K18" s="3">
        <v>0</v>
      </c>
      <c r="L18" s="3">
        <v>0</v>
      </c>
      <c r="M18" s="3">
        <v>0</v>
      </c>
      <c r="N18" s="3">
        <f t="shared" si="7"/>
        <v>0</v>
      </c>
      <c r="O18" s="3">
        <v>0</v>
      </c>
      <c r="P18" s="3">
        <v>0</v>
      </c>
      <c r="Q18" s="3">
        <v>0</v>
      </c>
      <c r="R18" s="3">
        <f t="shared" si="8"/>
        <v>0</v>
      </c>
      <c r="S18" s="3">
        <v>0</v>
      </c>
      <c r="T18" s="3">
        <v>0</v>
      </c>
      <c r="U18" s="3">
        <f t="shared" si="9"/>
        <v>0</v>
      </c>
      <c r="V18" s="3">
        <f t="shared" si="10"/>
        <v>1225930124</v>
      </c>
      <c r="W18" s="3">
        <f t="shared" si="11"/>
        <v>0</v>
      </c>
      <c r="X18" s="3">
        <f t="shared" si="12"/>
        <v>0</v>
      </c>
      <c r="Y18" s="379">
        <f t="shared" si="13"/>
        <v>1225930124</v>
      </c>
      <c r="Z18" s="177">
        <f t="shared" si="26"/>
        <v>795830</v>
      </c>
      <c r="AA18" s="177">
        <f t="shared" si="26"/>
        <v>0</v>
      </c>
      <c r="AB18" s="177">
        <f t="shared" si="27"/>
        <v>795830</v>
      </c>
      <c r="AC18" s="177">
        <f t="shared" si="28"/>
        <v>3440036358</v>
      </c>
      <c r="AD18" s="177">
        <f t="shared" si="28"/>
        <v>91760</v>
      </c>
      <c r="AE18" s="177">
        <f t="shared" si="29"/>
        <v>3440128118</v>
      </c>
      <c r="AF18" s="177">
        <f t="shared" si="30"/>
        <v>0</v>
      </c>
      <c r="AG18" s="177">
        <f t="shared" si="30"/>
        <v>0</v>
      </c>
      <c r="AH18" s="177">
        <f t="shared" si="31"/>
        <v>0</v>
      </c>
      <c r="AI18" s="177">
        <f t="shared" si="32"/>
        <v>0</v>
      </c>
      <c r="AJ18" s="177">
        <f t="shared" si="32"/>
        <v>0</v>
      </c>
      <c r="AK18" s="177">
        <f t="shared" si="32"/>
        <v>0</v>
      </c>
      <c r="AL18" s="177">
        <f t="shared" si="33"/>
        <v>0</v>
      </c>
      <c r="AM18" s="177">
        <f t="shared" si="34"/>
        <v>0</v>
      </c>
      <c r="AN18" s="177">
        <f t="shared" si="34"/>
        <v>0</v>
      </c>
      <c r="AO18" s="177">
        <f t="shared" si="34"/>
        <v>0</v>
      </c>
      <c r="AP18" s="177">
        <f t="shared" si="35"/>
        <v>0</v>
      </c>
      <c r="AQ18" s="177">
        <f t="shared" si="36"/>
        <v>0</v>
      </c>
      <c r="AR18" s="177">
        <f t="shared" si="36"/>
        <v>0</v>
      </c>
      <c r="AS18" s="177">
        <f t="shared" si="37"/>
        <v>0</v>
      </c>
      <c r="AT18" s="177">
        <f t="shared" si="0"/>
        <v>3440832188</v>
      </c>
      <c r="AU18" s="177">
        <f t="shared" si="1"/>
        <v>0</v>
      </c>
      <c r="AV18" s="177">
        <f t="shared" si="2"/>
        <v>91760</v>
      </c>
      <c r="AW18" s="382">
        <f t="shared" si="3"/>
        <v>3440923948</v>
      </c>
    </row>
    <row r="19" spans="1:49" ht="15.75" hidden="1" thickBot="1">
      <c r="A19" s="170">
        <v>40634</v>
      </c>
      <c r="B19" s="378">
        <v>0</v>
      </c>
      <c r="C19" s="3">
        <v>0</v>
      </c>
      <c r="D19" s="3">
        <f t="shared" si="4"/>
        <v>0</v>
      </c>
      <c r="E19" s="3">
        <v>1069645214</v>
      </c>
      <c r="F19" s="3">
        <v>0</v>
      </c>
      <c r="G19" s="3">
        <f t="shared" si="5"/>
        <v>1069645214</v>
      </c>
      <c r="H19" s="3">
        <v>0</v>
      </c>
      <c r="I19" s="3">
        <v>0</v>
      </c>
      <c r="J19" s="3">
        <f t="shared" si="6"/>
        <v>0</v>
      </c>
      <c r="K19" s="3">
        <v>0</v>
      </c>
      <c r="L19" s="3">
        <v>0</v>
      </c>
      <c r="M19" s="3">
        <v>0</v>
      </c>
      <c r="N19" s="3">
        <f t="shared" si="7"/>
        <v>0</v>
      </c>
      <c r="O19" s="3">
        <v>0</v>
      </c>
      <c r="P19" s="3">
        <v>0</v>
      </c>
      <c r="Q19" s="3">
        <v>0</v>
      </c>
      <c r="R19" s="3">
        <f t="shared" si="8"/>
        <v>0</v>
      </c>
      <c r="S19" s="3">
        <v>0</v>
      </c>
      <c r="T19" s="3">
        <v>0</v>
      </c>
      <c r="U19" s="3">
        <f t="shared" si="9"/>
        <v>0</v>
      </c>
      <c r="V19" s="3">
        <f t="shared" si="10"/>
        <v>1069645214</v>
      </c>
      <c r="W19" s="3">
        <f t="shared" si="11"/>
        <v>0</v>
      </c>
      <c r="X19" s="3">
        <f t="shared" si="12"/>
        <v>0</v>
      </c>
      <c r="Y19" s="379">
        <f t="shared" si="13"/>
        <v>1069645214</v>
      </c>
      <c r="Z19" s="177">
        <f t="shared" si="26"/>
        <v>795830</v>
      </c>
      <c r="AA19" s="177">
        <f t="shared" si="26"/>
        <v>0</v>
      </c>
      <c r="AB19" s="177">
        <f t="shared" si="27"/>
        <v>795830</v>
      </c>
      <c r="AC19" s="177">
        <f t="shared" si="28"/>
        <v>4509681572</v>
      </c>
      <c r="AD19" s="177">
        <f t="shared" si="28"/>
        <v>91760</v>
      </c>
      <c r="AE19" s="177">
        <f t="shared" si="29"/>
        <v>4509773332</v>
      </c>
      <c r="AF19" s="177">
        <f t="shared" si="30"/>
        <v>0</v>
      </c>
      <c r="AG19" s="177">
        <f t="shared" si="30"/>
        <v>0</v>
      </c>
      <c r="AH19" s="177">
        <f t="shared" si="31"/>
        <v>0</v>
      </c>
      <c r="AI19" s="177">
        <f t="shared" si="32"/>
        <v>0</v>
      </c>
      <c r="AJ19" s="177">
        <f t="shared" si="32"/>
        <v>0</v>
      </c>
      <c r="AK19" s="177">
        <f t="shared" si="32"/>
        <v>0</v>
      </c>
      <c r="AL19" s="177">
        <f t="shared" si="33"/>
        <v>0</v>
      </c>
      <c r="AM19" s="177">
        <f t="shared" si="34"/>
        <v>0</v>
      </c>
      <c r="AN19" s="177">
        <f t="shared" si="34"/>
        <v>0</v>
      </c>
      <c r="AO19" s="177">
        <f t="shared" si="34"/>
        <v>0</v>
      </c>
      <c r="AP19" s="177">
        <f t="shared" si="35"/>
        <v>0</v>
      </c>
      <c r="AQ19" s="177">
        <f t="shared" si="36"/>
        <v>0</v>
      </c>
      <c r="AR19" s="177">
        <f t="shared" si="36"/>
        <v>0</v>
      </c>
      <c r="AS19" s="177">
        <f t="shared" si="37"/>
        <v>0</v>
      </c>
      <c r="AT19" s="177">
        <f t="shared" si="0"/>
        <v>4510477402</v>
      </c>
      <c r="AU19" s="177">
        <f t="shared" si="1"/>
        <v>0</v>
      </c>
      <c r="AV19" s="177">
        <f t="shared" si="2"/>
        <v>91760</v>
      </c>
      <c r="AW19" s="382">
        <f t="shared" si="3"/>
        <v>4510569162</v>
      </c>
    </row>
    <row r="20" spans="1:49" ht="15.75" hidden="1" thickBot="1">
      <c r="A20" s="170">
        <v>40664</v>
      </c>
      <c r="B20" s="378">
        <v>476208</v>
      </c>
      <c r="C20" s="3">
        <v>0</v>
      </c>
      <c r="D20" s="3">
        <f t="shared" si="4"/>
        <v>476208</v>
      </c>
      <c r="E20" s="3">
        <v>1139975440</v>
      </c>
      <c r="F20" s="3">
        <v>0</v>
      </c>
      <c r="G20" s="3">
        <f t="shared" si="5"/>
        <v>1139975440</v>
      </c>
      <c r="H20" s="3">
        <v>0</v>
      </c>
      <c r="I20" s="3">
        <v>0</v>
      </c>
      <c r="J20" s="3">
        <f t="shared" si="6"/>
        <v>0</v>
      </c>
      <c r="K20" s="3">
        <v>0</v>
      </c>
      <c r="L20" s="3">
        <v>0</v>
      </c>
      <c r="M20" s="3">
        <v>0</v>
      </c>
      <c r="N20" s="3">
        <f t="shared" si="7"/>
        <v>0</v>
      </c>
      <c r="O20" s="3">
        <v>0</v>
      </c>
      <c r="P20" s="3">
        <v>0</v>
      </c>
      <c r="Q20" s="3">
        <v>0</v>
      </c>
      <c r="R20" s="3">
        <f t="shared" si="8"/>
        <v>0</v>
      </c>
      <c r="S20" s="3">
        <v>0</v>
      </c>
      <c r="T20" s="3">
        <v>0</v>
      </c>
      <c r="U20" s="3">
        <f t="shared" si="9"/>
        <v>0</v>
      </c>
      <c r="V20" s="3">
        <f t="shared" si="10"/>
        <v>1140451648</v>
      </c>
      <c r="W20" s="3">
        <f t="shared" si="11"/>
        <v>0</v>
      </c>
      <c r="X20" s="3">
        <f t="shared" si="12"/>
        <v>0</v>
      </c>
      <c r="Y20" s="379">
        <f t="shared" si="13"/>
        <v>1140451648</v>
      </c>
      <c r="Z20" s="177">
        <f t="shared" si="26"/>
        <v>1272038</v>
      </c>
      <c r="AA20" s="177">
        <f t="shared" si="26"/>
        <v>0</v>
      </c>
      <c r="AB20" s="177">
        <f t="shared" si="27"/>
        <v>1272038</v>
      </c>
      <c r="AC20" s="177">
        <f t="shared" si="28"/>
        <v>5649657012</v>
      </c>
      <c r="AD20" s="177">
        <f t="shared" si="28"/>
        <v>91760</v>
      </c>
      <c r="AE20" s="177">
        <f t="shared" si="29"/>
        <v>5649748772</v>
      </c>
      <c r="AF20" s="177">
        <f t="shared" si="30"/>
        <v>0</v>
      </c>
      <c r="AG20" s="177">
        <f t="shared" si="30"/>
        <v>0</v>
      </c>
      <c r="AH20" s="177">
        <f t="shared" si="31"/>
        <v>0</v>
      </c>
      <c r="AI20" s="177">
        <f t="shared" si="32"/>
        <v>0</v>
      </c>
      <c r="AJ20" s="177">
        <f t="shared" si="32"/>
        <v>0</v>
      </c>
      <c r="AK20" s="177">
        <f t="shared" si="32"/>
        <v>0</v>
      </c>
      <c r="AL20" s="177">
        <f t="shared" si="33"/>
        <v>0</v>
      </c>
      <c r="AM20" s="177">
        <f t="shared" si="34"/>
        <v>0</v>
      </c>
      <c r="AN20" s="177">
        <f t="shared" si="34"/>
        <v>0</v>
      </c>
      <c r="AO20" s="177">
        <f t="shared" si="34"/>
        <v>0</v>
      </c>
      <c r="AP20" s="177">
        <f t="shared" si="35"/>
        <v>0</v>
      </c>
      <c r="AQ20" s="177">
        <f t="shared" si="36"/>
        <v>0</v>
      </c>
      <c r="AR20" s="177">
        <f t="shared" si="36"/>
        <v>0</v>
      </c>
      <c r="AS20" s="177">
        <f t="shared" si="37"/>
        <v>0</v>
      </c>
      <c r="AT20" s="177">
        <f t="shared" si="0"/>
        <v>5650929050</v>
      </c>
      <c r="AU20" s="177">
        <f t="shared" si="1"/>
        <v>0</v>
      </c>
      <c r="AV20" s="177">
        <f t="shared" si="2"/>
        <v>91760</v>
      </c>
      <c r="AW20" s="382">
        <f t="shared" si="3"/>
        <v>5651020810</v>
      </c>
    </row>
    <row r="21" spans="1:49" ht="15.75" hidden="1" thickBot="1">
      <c r="A21" s="170">
        <v>40695</v>
      </c>
      <c r="B21" s="378">
        <v>633036</v>
      </c>
      <c r="C21" s="3">
        <v>0</v>
      </c>
      <c r="D21" s="3">
        <f t="shared" si="4"/>
        <v>633036</v>
      </c>
      <c r="E21" s="3">
        <v>1164385720</v>
      </c>
      <c r="F21" s="3">
        <v>0</v>
      </c>
      <c r="G21" s="3">
        <f t="shared" si="5"/>
        <v>1164385720</v>
      </c>
      <c r="H21" s="3">
        <v>0</v>
      </c>
      <c r="I21" s="3">
        <v>0</v>
      </c>
      <c r="J21" s="3">
        <f t="shared" si="6"/>
        <v>0</v>
      </c>
      <c r="K21" s="3">
        <v>0</v>
      </c>
      <c r="L21" s="3">
        <v>0</v>
      </c>
      <c r="M21" s="3">
        <v>0</v>
      </c>
      <c r="N21" s="3">
        <f t="shared" si="7"/>
        <v>0</v>
      </c>
      <c r="O21" s="3">
        <v>0</v>
      </c>
      <c r="P21" s="3">
        <v>0</v>
      </c>
      <c r="Q21" s="3">
        <v>0</v>
      </c>
      <c r="R21" s="3">
        <f t="shared" si="8"/>
        <v>0</v>
      </c>
      <c r="S21" s="3">
        <v>0</v>
      </c>
      <c r="T21" s="3">
        <v>0</v>
      </c>
      <c r="U21" s="3">
        <f t="shared" si="9"/>
        <v>0</v>
      </c>
      <c r="V21" s="3">
        <f t="shared" si="10"/>
        <v>1165018756</v>
      </c>
      <c r="W21" s="3">
        <f t="shared" si="11"/>
        <v>0</v>
      </c>
      <c r="X21" s="3">
        <f t="shared" si="12"/>
        <v>0</v>
      </c>
      <c r="Y21" s="379">
        <f t="shared" si="13"/>
        <v>1165018756</v>
      </c>
      <c r="Z21" s="177">
        <f t="shared" si="26"/>
        <v>1905074</v>
      </c>
      <c r="AA21" s="177">
        <f t="shared" si="26"/>
        <v>0</v>
      </c>
      <c r="AB21" s="177">
        <f t="shared" si="27"/>
        <v>1905074</v>
      </c>
      <c r="AC21" s="177">
        <f t="shared" si="28"/>
        <v>6814042732</v>
      </c>
      <c r="AD21" s="177">
        <f t="shared" si="28"/>
        <v>91760</v>
      </c>
      <c r="AE21" s="177">
        <f t="shared" si="29"/>
        <v>6814134492</v>
      </c>
      <c r="AF21" s="177">
        <f t="shared" si="30"/>
        <v>0</v>
      </c>
      <c r="AG21" s="177">
        <f t="shared" si="30"/>
        <v>0</v>
      </c>
      <c r="AH21" s="177">
        <f t="shared" si="31"/>
        <v>0</v>
      </c>
      <c r="AI21" s="177">
        <f t="shared" si="32"/>
        <v>0</v>
      </c>
      <c r="AJ21" s="177">
        <f t="shared" si="32"/>
        <v>0</v>
      </c>
      <c r="AK21" s="177">
        <f t="shared" si="32"/>
        <v>0</v>
      </c>
      <c r="AL21" s="177">
        <f t="shared" si="33"/>
        <v>0</v>
      </c>
      <c r="AM21" s="177">
        <f t="shared" si="34"/>
        <v>0</v>
      </c>
      <c r="AN21" s="177">
        <f t="shared" si="34"/>
        <v>0</v>
      </c>
      <c r="AO21" s="177">
        <f t="shared" si="34"/>
        <v>0</v>
      </c>
      <c r="AP21" s="177">
        <f t="shared" si="35"/>
        <v>0</v>
      </c>
      <c r="AQ21" s="177">
        <f t="shared" si="36"/>
        <v>0</v>
      </c>
      <c r="AR21" s="177">
        <f t="shared" si="36"/>
        <v>0</v>
      </c>
      <c r="AS21" s="177">
        <f t="shared" si="37"/>
        <v>0</v>
      </c>
      <c r="AT21" s="177">
        <f t="shared" si="0"/>
        <v>6815947806</v>
      </c>
      <c r="AU21" s="177">
        <f t="shared" si="1"/>
        <v>0</v>
      </c>
      <c r="AV21" s="177">
        <f t="shared" si="2"/>
        <v>91760</v>
      </c>
      <c r="AW21" s="382">
        <f t="shared" si="3"/>
        <v>6816039566</v>
      </c>
    </row>
    <row r="22" spans="1:49" ht="15.75" hidden="1" thickBot="1">
      <c r="A22" s="170">
        <v>40725</v>
      </c>
      <c r="B22" s="378">
        <v>236202</v>
      </c>
      <c r="C22" s="3">
        <v>0</v>
      </c>
      <c r="D22" s="3">
        <f t="shared" si="4"/>
        <v>236202</v>
      </c>
      <c r="E22" s="3">
        <v>1126250203</v>
      </c>
      <c r="F22" s="3">
        <v>0</v>
      </c>
      <c r="G22" s="3">
        <f t="shared" si="5"/>
        <v>1126250203</v>
      </c>
      <c r="H22" s="3">
        <v>0</v>
      </c>
      <c r="I22" s="3">
        <v>0</v>
      </c>
      <c r="J22" s="3">
        <f t="shared" si="6"/>
        <v>0</v>
      </c>
      <c r="K22" s="3">
        <v>0</v>
      </c>
      <c r="L22" s="3">
        <v>0</v>
      </c>
      <c r="M22" s="3">
        <v>0</v>
      </c>
      <c r="N22" s="3">
        <f t="shared" si="7"/>
        <v>0</v>
      </c>
      <c r="O22" s="3">
        <v>0</v>
      </c>
      <c r="P22" s="3">
        <v>0</v>
      </c>
      <c r="Q22" s="3">
        <v>0</v>
      </c>
      <c r="R22" s="3">
        <f t="shared" si="8"/>
        <v>0</v>
      </c>
      <c r="S22" s="3">
        <v>0</v>
      </c>
      <c r="T22" s="3">
        <v>0</v>
      </c>
      <c r="U22" s="3">
        <f t="shared" si="9"/>
        <v>0</v>
      </c>
      <c r="V22" s="3">
        <f t="shared" si="10"/>
        <v>1126486405</v>
      </c>
      <c r="W22" s="3">
        <f t="shared" si="11"/>
        <v>0</v>
      </c>
      <c r="X22" s="3">
        <f t="shared" si="12"/>
        <v>0</v>
      </c>
      <c r="Y22" s="379">
        <f t="shared" si="13"/>
        <v>1126486405</v>
      </c>
      <c r="Z22" s="177">
        <f t="shared" si="26"/>
        <v>2141276</v>
      </c>
      <c r="AA22" s="177">
        <f t="shared" si="26"/>
        <v>0</v>
      </c>
      <c r="AB22" s="177">
        <f t="shared" si="27"/>
        <v>2141276</v>
      </c>
      <c r="AC22" s="177">
        <f t="shared" si="28"/>
        <v>7940292935</v>
      </c>
      <c r="AD22" s="177">
        <f t="shared" si="28"/>
        <v>91760</v>
      </c>
      <c r="AE22" s="177">
        <f t="shared" si="29"/>
        <v>7940384695</v>
      </c>
      <c r="AF22" s="177">
        <f t="shared" si="30"/>
        <v>0</v>
      </c>
      <c r="AG22" s="177">
        <f t="shared" si="30"/>
        <v>0</v>
      </c>
      <c r="AH22" s="177">
        <f t="shared" si="31"/>
        <v>0</v>
      </c>
      <c r="AI22" s="177">
        <f t="shared" si="32"/>
        <v>0</v>
      </c>
      <c r="AJ22" s="177">
        <f t="shared" si="32"/>
        <v>0</v>
      </c>
      <c r="AK22" s="177">
        <f t="shared" si="32"/>
        <v>0</v>
      </c>
      <c r="AL22" s="177">
        <f t="shared" si="33"/>
        <v>0</v>
      </c>
      <c r="AM22" s="177">
        <f t="shared" si="34"/>
        <v>0</v>
      </c>
      <c r="AN22" s="177">
        <f t="shared" si="34"/>
        <v>0</v>
      </c>
      <c r="AO22" s="177">
        <f t="shared" si="34"/>
        <v>0</v>
      </c>
      <c r="AP22" s="177">
        <f t="shared" si="35"/>
        <v>0</v>
      </c>
      <c r="AQ22" s="177">
        <f t="shared" si="36"/>
        <v>0</v>
      </c>
      <c r="AR22" s="177">
        <f t="shared" si="36"/>
        <v>0</v>
      </c>
      <c r="AS22" s="177">
        <f t="shared" si="37"/>
        <v>0</v>
      </c>
      <c r="AT22" s="177">
        <f t="shared" si="0"/>
        <v>7942434211</v>
      </c>
      <c r="AU22" s="177">
        <f t="shared" si="1"/>
        <v>0</v>
      </c>
      <c r="AV22" s="177">
        <f t="shared" si="2"/>
        <v>91760</v>
      </c>
      <c r="AW22" s="382">
        <f t="shared" si="3"/>
        <v>7942525971</v>
      </c>
    </row>
    <row r="23" spans="1:49" ht="15.75" hidden="1" thickBot="1">
      <c r="A23" s="170">
        <v>40756</v>
      </c>
      <c r="B23" s="378">
        <v>309609</v>
      </c>
      <c r="C23" s="3">
        <v>0</v>
      </c>
      <c r="D23" s="3">
        <f t="shared" si="4"/>
        <v>309609</v>
      </c>
      <c r="E23" s="3">
        <v>1165619176</v>
      </c>
      <c r="F23" s="3">
        <v>0</v>
      </c>
      <c r="G23" s="3">
        <f t="shared" si="5"/>
        <v>1165619176</v>
      </c>
      <c r="H23" s="3">
        <v>0</v>
      </c>
      <c r="I23" s="3">
        <v>0</v>
      </c>
      <c r="J23" s="3">
        <f t="shared" si="6"/>
        <v>0</v>
      </c>
      <c r="K23" s="3">
        <v>0</v>
      </c>
      <c r="L23" s="3">
        <v>0</v>
      </c>
      <c r="M23" s="3">
        <v>0</v>
      </c>
      <c r="N23" s="3">
        <f t="shared" si="7"/>
        <v>0</v>
      </c>
      <c r="O23" s="3">
        <v>0</v>
      </c>
      <c r="P23" s="3">
        <v>0</v>
      </c>
      <c r="Q23" s="3">
        <v>0</v>
      </c>
      <c r="R23" s="3">
        <f t="shared" si="8"/>
        <v>0</v>
      </c>
      <c r="S23" s="3">
        <v>0</v>
      </c>
      <c r="T23" s="3">
        <v>0</v>
      </c>
      <c r="U23" s="3">
        <f t="shared" si="9"/>
        <v>0</v>
      </c>
      <c r="V23" s="3">
        <f t="shared" si="10"/>
        <v>1165928785</v>
      </c>
      <c r="W23" s="3">
        <f t="shared" si="11"/>
        <v>0</v>
      </c>
      <c r="X23" s="3">
        <f t="shared" si="12"/>
        <v>0</v>
      </c>
      <c r="Y23" s="379">
        <f t="shared" si="13"/>
        <v>1165928785</v>
      </c>
      <c r="Z23" s="177">
        <f t="shared" si="26"/>
        <v>2450885</v>
      </c>
      <c r="AA23" s="177">
        <f t="shared" si="26"/>
        <v>0</v>
      </c>
      <c r="AB23" s="177">
        <f t="shared" si="27"/>
        <v>2450885</v>
      </c>
      <c r="AC23" s="177">
        <f t="shared" si="28"/>
        <v>9105912111</v>
      </c>
      <c r="AD23" s="177">
        <f t="shared" si="28"/>
        <v>91760</v>
      </c>
      <c r="AE23" s="177">
        <f t="shared" si="29"/>
        <v>9106003871</v>
      </c>
      <c r="AF23" s="177">
        <f t="shared" si="30"/>
        <v>0</v>
      </c>
      <c r="AG23" s="177">
        <f t="shared" si="30"/>
        <v>0</v>
      </c>
      <c r="AH23" s="177">
        <f t="shared" si="31"/>
        <v>0</v>
      </c>
      <c r="AI23" s="177">
        <f t="shared" si="32"/>
        <v>0</v>
      </c>
      <c r="AJ23" s="177">
        <f t="shared" si="32"/>
        <v>0</v>
      </c>
      <c r="AK23" s="177">
        <f t="shared" si="32"/>
        <v>0</v>
      </c>
      <c r="AL23" s="177">
        <f t="shared" si="33"/>
        <v>0</v>
      </c>
      <c r="AM23" s="177">
        <f t="shared" si="34"/>
        <v>0</v>
      </c>
      <c r="AN23" s="177">
        <f t="shared" si="34"/>
        <v>0</v>
      </c>
      <c r="AO23" s="177">
        <f t="shared" si="34"/>
        <v>0</v>
      </c>
      <c r="AP23" s="177">
        <f t="shared" si="35"/>
        <v>0</v>
      </c>
      <c r="AQ23" s="177">
        <f t="shared" si="36"/>
        <v>0</v>
      </c>
      <c r="AR23" s="177">
        <f t="shared" si="36"/>
        <v>0</v>
      </c>
      <c r="AS23" s="177">
        <f t="shared" si="37"/>
        <v>0</v>
      </c>
      <c r="AT23" s="177">
        <f t="shared" si="0"/>
        <v>9108362996</v>
      </c>
      <c r="AU23" s="177">
        <f t="shared" si="1"/>
        <v>0</v>
      </c>
      <c r="AV23" s="177">
        <f t="shared" si="2"/>
        <v>91760</v>
      </c>
      <c r="AW23" s="382">
        <f t="shared" si="3"/>
        <v>9108454756</v>
      </c>
    </row>
    <row r="24" spans="1:49" ht="15.75" hidden="1" thickBot="1">
      <c r="A24" s="170">
        <v>40787</v>
      </c>
      <c r="B24" s="378">
        <v>218066</v>
      </c>
      <c r="C24" s="3">
        <v>0</v>
      </c>
      <c r="D24" s="3">
        <f t="shared" si="4"/>
        <v>218066</v>
      </c>
      <c r="E24" s="3">
        <v>1077770849</v>
      </c>
      <c r="F24" s="3">
        <v>1551573</v>
      </c>
      <c r="G24" s="3">
        <f t="shared" si="5"/>
        <v>1079322422</v>
      </c>
      <c r="H24" s="3">
        <v>0</v>
      </c>
      <c r="I24" s="3">
        <v>0</v>
      </c>
      <c r="J24" s="3">
        <f t="shared" si="6"/>
        <v>0</v>
      </c>
      <c r="K24" s="3">
        <v>0</v>
      </c>
      <c r="L24" s="3">
        <v>0</v>
      </c>
      <c r="M24" s="3">
        <v>0</v>
      </c>
      <c r="N24" s="3">
        <f t="shared" si="7"/>
        <v>0</v>
      </c>
      <c r="O24" s="3">
        <v>0</v>
      </c>
      <c r="P24" s="3">
        <v>0</v>
      </c>
      <c r="Q24" s="3">
        <v>0</v>
      </c>
      <c r="R24" s="3">
        <f t="shared" si="8"/>
        <v>0</v>
      </c>
      <c r="S24" s="3">
        <v>0</v>
      </c>
      <c r="T24" s="3">
        <v>0</v>
      </c>
      <c r="U24" s="3">
        <f t="shared" si="9"/>
        <v>0</v>
      </c>
      <c r="V24" s="3">
        <f t="shared" si="10"/>
        <v>1077988915</v>
      </c>
      <c r="W24" s="3">
        <f t="shared" si="11"/>
        <v>0</v>
      </c>
      <c r="X24" s="3">
        <f t="shared" si="12"/>
        <v>1551573</v>
      </c>
      <c r="Y24" s="379">
        <f t="shared" si="13"/>
        <v>1079540488</v>
      </c>
      <c r="Z24" s="177">
        <f t="shared" si="26"/>
        <v>2668951</v>
      </c>
      <c r="AA24" s="177">
        <f t="shared" si="26"/>
        <v>0</v>
      </c>
      <c r="AB24" s="177">
        <f t="shared" si="27"/>
        <v>2668951</v>
      </c>
      <c r="AC24" s="177">
        <f t="shared" si="28"/>
        <v>10183682960</v>
      </c>
      <c r="AD24" s="177">
        <f t="shared" si="28"/>
        <v>1643333</v>
      </c>
      <c r="AE24" s="177">
        <f t="shared" si="29"/>
        <v>10185326293</v>
      </c>
      <c r="AF24" s="177">
        <f t="shared" si="30"/>
        <v>0</v>
      </c>
      <c r="AG24" s="177">
        <f t="shared" si="30"/>
        <v>0</v>
      </c>
      <c r="AH24" s="177">
        <f t="shared" si="31"/>
        <v>0</v>
      </c>
      <c r="AI24" s="177">
        <f t="shared" si="32"/>
        <v>0</v>
      </c>
      <c r="AJ24" s="177">
        <f t="shared" si="32"/>
        <v>0</v>
      </c>
      <c r="AK24" s="177">
        <f t="shared" si="32"/>
        <v>0</v>
      </c>
      <c r="AL24" s="177">
        <f t="shared" si="33"/>
        <v>0</v>
      </c>
      <c r="AM24" s="177">
        <f t="shared" si="34"/>
        <v>0</v>
      </c>
      <c r="AN24" s="177">
        <f t="shared" si="34"/>
        <v>0</v>
      </c>
      <c r="AO24" s="177">
        <f t="shared" si="34"/>
        <v>0</v>
      </c>
      <c r="AP24" s="177">
        <f t="shared" si="35"/>
        <v>0</v>
      </c>
      <c r="AQ24" s="177">
        <f t="shared" si="36"/>
        <v>0</v>
      </c>
      <c r="AR24" s="177">
        <f t="shared" si="36"/>
        <v>0</v>
      </c>
      <c r="AS24" s="177">
        <f t="shared" si="37"/>
        <v>0</v>
      </c>
      <c r="AT24" s="177">
        <f t="shared" si="0"/>
        <v>10186351911</v>
      </c>
      <c r="AU24" s="177">
        <f t="shared" si="1"/>
        <v>0</v>
      </c>
      <c r="AV24" s="177">
        <f t="shared" si="2"/>
        <v>1643333</v>
      </c>
      <c r="AW24" s="382">
        <f t="shared" si="3"/>
        <v>10187995244</v>
      </c>
    </row>
    <row r="25" spans="1:49" ht="15.75" hidden="1" thickBot="1">
      <c r="A25" s="170">
        <v>40817</v>
      </c>
      <c r="B25" s="378">
        <v>2830068</v>
      </c>
      <c r="C25" s="3">
        <v>0</v>
      </c>
      <c r="D25" s="3">
        <f t="shared" si="4"/>
        <v>2830068</v>
      </c>
      <c r="E25" s="3">
        <v>1101246796</v>
      </c>
      <c r="F25" s="3">
        <v>822011</v>
      </c>
      <c r="G25" s="3">
        <f t="shared" si="5"/>
        <v>1102068807</v>
      </c>
      <c r="H25" s="3">
        <v>0</v>
      </c>
      <c r="I25" s="3">
        <v>0</v>
      </c>
      <c r="J25" s="3">
        <f t="shared" si="6"/>
        <v>0</v>
      </c>
      <c r="K25" s="3">
        <v>0</v>
      </c>
      <c r="L25" s="3">
        <v>0</v>
      </c>
      <c r="M25" s="3">
        <v>0</v>
      </c>
      <c r="N25" s="3">
        <f t="shared" si="7"/>
        <v>0</v>
      </c>
      <c r="O25" s="3">
        <v>0</v>
      </c>
      <c r="P25" s="3">
        <v>0</v>
      </c>
      <c r="Q25" s="3">
        <v>0</v>
      </c>
      <c r="R25" s="3">
        <f t="shared" si="8"/>
        <v>0</v>
      </c>
      <c r="S25" s="3">
        <v>0</v>
      </c>
      <c r="T25" s="3">
        <v>0</v>
      </c>
      <c r="U25" s="3">
        <f t="shared" si="9"/>
        <v>0</v>
      </c>
      <c r="V25" s="3">
        <f t="shared" si="10"/>
        <v>1104076864</v>
      </c>
      <c r="W25" s="3">
        <f t="shared" si="11"/>
        <v>0</v>
      </c>
      <c r="X25" s="3">
        <f t="shared" si="12"/>
        <v>822011</v>
      </c>
      <c r="Y25" s="379">
        <f t="shared" si="13"/>
        <v>1104898875</v>
      </c>
      <c r="Z25" s="177">
        <f t="shared" si="26"/>
        <v>5499019</v>
      </c>
      <c r="AA25" s="177">
        <f t="shared" si="26"/>
        <v>0</v>
      </c>
      <c r="AB25" s="177">
        <f t="shared" si="27"/>
        <v>5499019</v>
      </c>
      <c r="AC25" s="177">
        <f t="shared" si="28"/>
        <v>11284929756</v>
      </c>
      <c r="AD25" s="177">
        <f t="shared" si="28"/>
        <v>2465344</v>
      </c>
      <c r="AE25" s="177">
        <f t="shared" si="29"/>
        <v>11287395100</v>
      </c>
      <c r="AF25" s="177">
        <f t="shared" si="30"/>
        <v>0</v>
      </c>
      <c r="AG25" s="177">
        <f t="shared" si="30"/>
        <v>0</v>
      </c>
      <c r="AH25" s="177">
        <f t="shared" si="31"/>
        <v>0</v>
      </c>
      <c r="AI25" s="177">
        <f t="shared" si="32"/>
        <v>0</v>
      </c>
      <c r="AJ25" s="177">
        <f t="shared" si="32"/>
        <v>0</v>
      </c>
      <c r="AK25" s="177">
        <f t="shared" si="32"/>
        <v>0</v>
      </c>
      <c r="AL25" s="177">
        <f t="shared" si="33"/>
        <v>0</v>
      </c>
      <c r="AM25" s="177">
        <f t="shared" si="34"/>
        <v>0</v>
      </c>
      <c r="AN25" s="177">
        <f t="shared" si="34"/>
        <v>0</v>
      </c>
      <c r="AO25" s="177">
        <f t="shared" si="34"/>
        <v>0</v>
      </c>
      <c r="AP25" s="177">
        <f t="shared" si="35"/>
        <v>0</v>
      </c>
      <c r="AQ25" s="177">
        <f t="shared" si="36"/>
        <v>0</v>
      </c>
      <c r="AR25" s="177">
        <f t="shared" si="36"/>
        <v>0</v>
      </c>
      <c r="AS25" s="177">
        <f t="shared" si="37"/>
        <v>0</v>
      </c>
      <c r="AT25" s="177">
        <f t="shared" si="0"/>
        <v>11290428775</v>
      </c>
      <c r="AU25" s="177">
        <f t="shared" si="1"/>
        <v>0</v>
      </c>
      <c r="AV25" s="177">
        <f t="shared" si="2"/>
        <v>2465344</v>
      </c>
      <c r="AW25" s="382">
        <f t="shared" si="3"/>
        <v>11292894119</v>
      </c>
    </row>
    <row r="26" spans="1:49" ht="15.75" hidden="1" thickBot="1">
      <c r="A26" s="170">
        <v>40848</v>
      </c>
      <c r="B26" s="378">
        <v>759558</v>
      </c>
      <c r="C26" s="3">
        <v>0</v>
      </c>
      <c r="D26" s="3">
        <f t="shared" si="4"/>
        <v>759558</v>
      </c>
      <c r="E26" s="3">
        <v>1139105723</v>
      </c>
      <c r="F26" s="3">
        <v>738947</v>
      </c>
      <c r="G26" s="3">
        <f t="shared" si="5"/>
        <v>1139844670</v>
      </c>
      <c r="H26" s="3">
        <v>0</v>
      </c>
      <c r="I26" s="3">
        <v>0</v>
      </c>
      <c r="J26" s="3">
        <f t="shared" si="6"/>
        <v>0</v>
      </c>
      <c r="K26" s="3">
        <v>0</v>
      </c>
      <c r="L26" s="3">
        <v>0</v>
      </c>
      <c r="M26" s="3">
        <v>0</v>
      </c>
      <c r="N26" s="3">
        <f t="shared" si="7"/>
        <v>0</v>
      </c>
      <c r="O26" s="3">
        <v>0</v>
      </c>
      <c r="P26" s="3">
        <v>0</v>
      </c>
      <c r="Q26" s="3">
        <v>0</v>
      </c>
      <c r="R26" s="3">
        <f t="shared" si="8"/>
        <v>0</v>
      </c>
      <c r="S26" s="3">
        <v>0</v>
      </c>
      <c r="T26" s="3">
        <v>0</v>
      </c>
      <c r="U26" s="3">
        <f t="shared" si="9"/>
        <v>0</v>
      </c>
      <c r="V26" s="3">
        <f t="shared" si="10"/>
        <v>1139865281</v>
      </c>
      <c r="W26" s="3">
        <f t="shared" si="11"/>
        <v>0</v>
      </c>
      <c r="X26" s="3">
        <f t="shared" si="12"/>
        <v>738947</v>
      </c>
      <c r="Y26" s="379">
        <f t="shared" si="13"/>
        <v>1140604228</v>
      </c>
      <c r="Z26" s="177">
        <f t="shared" si="26"/>
        <v>6258577</v>
      </c>
      <c r="AA26" s="177">
        <f t="shared" si="26"/>
        <v>0</v>
      </c>
      <c r="AB26" s="177">
        <f t="shared" si="27"/>
        <v>6258577</v>
      </c>
      <c r="AC26" s="177">
        <f t="shared" si="28"/>
        <v>12424035479</v>
      </c>
      <c r="AD26" s="177">
        <f t="shared" si="28"/>
        <v>3204291</v>
      </c>
      <c r="AE26" s="177">
        <f t="shared" si="29"/>
        <v>12427239770</v>
      </c>
      <c r="AF26" s="177">
        <f t="shared" si="30"/>
        <v>0</v>
      </c>
      <c r="AG26" s="177">
        <f t="shared" si="30"/>
        <v>0</v>
      </c>
      <c r="AH26" s="177">
        <f t="shared" si="31"/>
        <v>0</v>
      </c>
      <c r="AI26" s="177">
        <f t="shared" si="32"/>
        <v>0</v>
      </c>
      <c r="AJ26" s="177">
        <f t="shared" si="32"/>
        <v>0</v>
      </c>
      <c r="AK26" s="177">
        <f t="shared" si="32"/>
        <v>0</v>
      </c>
      <c r="AL26" s="177">
        <f t="shared" si="33"/>
        <v>0</v>
      </c>
      <c r="AM26" s="177">
        <f t="shared" si="34"/>
        <v>0</v>
      </c>
      <c r="AN26" s="177">
        <f t="shared" si="34"/>
        <v>0</v>
      </c>
      <c r="AO26" s="177">
        <f t="shared" si="34"/>
        <v>0</v>
      </c>
      <c r="AP26" s="177">
        <f t="shared" si="35"/>
        <v>0</v>
      </c>
      <c r="AQ26" s="177">
        <f t="shared" si="36"/>
        <v>0</v>
      </c>
      <c r="AR26" s="177">
        <f t="shared" si="36"/>
        <v>0</v>
      </c>
      <c r="AS26" s="177">
        <f t="shared" si="37"/>
        <v>0</v>
      </c>
      <c r="AT26" s="177">
        <f t="shared" si="0"/>
        <v>12430294056</v>
      </c>
      <c r="AU26" s="177">
        <f t="shared" si="1"/>
        <v>0</v>
      </c>
      <c r="AV26" s="177">
        <f t="shared" si="2"/>
        <v>3204291</v>
      </c>
      <c r="AW26" s="382">
        <f t="shared" si="3"/>
        <v>12433498347</v>
      </c>
    </row>
    <row r="27" spans="1:49" ht="15.75" hidden="1" thickBot="1">
      <c r="A27" s="170">
        <v>40878</v>
      </c>
      <c r="B27" s="378">
        <v>0</v>
      </c>
      <c r="C27" s="3">
        <v>0</v>
      </c>
      <c r="D27" s="3">
        <f t="shared" si="4"/>
        <v>0</v>
      </c>
      <c r="E27" s="3">
        <v>1181817350</v>
      </c>
      <c r="F27" s="3">
        <v>0</v>
      </c>
      <c r="G27" s="3">
        <f t="shared" si="5"/>
        <v>1181817350</v>
      </c>
      <c r="H27" s="3">
        <v>0</v>
      </c>
      <c r="I27" s="3">
        <v>0</v>
      </c>
      <c r="J27" s="3">
        <f t="shared" si="6"/>
        <v>0</v>
      </c>
      <c r="K27" s="3">
        <v>0</v>
      </c>
      <c r="L27" s="3">
        <v>0</v>
      </c>
      <c r="M27" s="3">
        <v>0</v>
      </c>
      <c r="N27" s="3">
        <f t="shared" si="7"/>
        <v>0</v>
      </c>
      <c r="O27" s="3">
        <v>0</v>
      </c>
      <c r="P27" s="3">
        <v>0</v>
      </c>
      <c r="Q27" s="3">
        <v>0</v>
      </c>
      <c r="R27" s="3">
        <f t="shared" si="8"/>
        <v>0</v>
      </c>
      <c r="S27" s="3">
        <v>0</v>
      </c>
      <c r="T27" s="3">
        <v>0</v>
      </c>
      <c r="U27" s="3">
        <f t="shared" si="9"/>
        <v>0</v>
      </c>
      <c r="V27" s="3">
        <f t="shared" si="10"/>
        <v>1181817350</v>
      </c>
      <c r="W27" s="3">
        <f t="shared" si="11"/>
        <v>0</v>
      </c>
      <c r="X27" s="3">
        <f t="shared" si="12"/>
        <v>0</v>
      </c>
      <c r="Y27" s="379">
        <f t="shared" si="13"/>
        <v>1181817350</v>
      </c>
      <c r="Z27" s="177">
        <f t="shared" si="26"/>
        <v>6258577</v>
      </c>
      <c r="AA27" s="177">
        <f t="shared" si="26"/>
        <v>0</v>
      </c>
      <c r="AB27" s="177">
        <f t="shared" si="27"/>
        <v>6258577</v>
      </c>
      <c r="AC27" s="177">
        <f t="shared" si="28"/>
        <v>13605852829</v>
      </c>
      <c r="AD27" s="177">
        <f t="shared" si="28"/>
        <v>3204291</v>
      </c>
      <c r="AE27" s="177">
        <f t="shared" si="29"/>
        <v>13609057120</v>
      </c>
      <c r="AF27" s="177">
        <f t="shared" si="30"/>
        <v>0</v>
      </c>
      <c r="AG27" s="177">
        <f t="shared" si="30"/>
        <v>0</v>
      </c>
      <c r="AH27" s="177">
        <f t="shared" si="31"/>
        <v>0</v>
      </c>
      <c r="AI27" s="177">
        <f t="shared" si="32"/>
        <v>0</v>
      </c>
      <c r="AJ27" s="177">
        <f t="shared" si="32"/>
        <v>0</v>
      </c>
      <c r="AK27" s="177">
        <f t="shared" si="32"/>
        <v>0</v>
      </c>
      <c r="AL27" s="177">
        <f>AK27+AJ27+AI27</f>
        <v>0</v>
      </c>
      <c r="AM27" s="177">
        <f>AM26+O27</f>
        <v>0</v>
      </c>
      <c r="AN27" s="177">
        <f>AN26+P27</f>
        <v>0</v>
      </c>
      <c r="AO27" s="177">
        <f>AO26+Q27</f>
        <v>0</v>
      </c>
      <c r="AP27" s="177">
        <f t="shared" si="35"/>
        <v>0</v>
      </c>
      <c r="AQ27" s="177">
        <f t="shared" si="36"/>
        <v>0</v>
      </c>
      <c r="AR27" s="177">
        <f t="shared" si="36"/>
        <v>0</v>
      </c>
      <c r="AS27" s="177">
        <f t="shared" si="37"/>
        <v>0</v>
      </c>
      <c r="AT27" s="177">
        <f t="shared" si="0"/>
        <v>13612111406</v>
      </c>
      <c r="AU27" s="177">
        <f t="shared" si="1"/>
        <v>0</v>
      </c>
      <c r="AV27" s="177">
        <f t="shared" si="2"/>
        <v>3204291</v>
      </c>
      <c r="AW27" s="382">
        <f t="shared" si="3"/>
        <v>13615315697</v>
      </c>
    </row>
    <row r="28" spans="1:49" ht="15.75" hidden="1" thickBot="1">
      <c r="A28" s="171">
        <v>40909</v>
      </c>
      <c r="B28" s="385">
        <v>0</v>
      </c>
      <c r="C28" s="104">
        <v>0</v>
      </c>
      <c r="D28" s="104">
        <f t="shared" si="4"/>
        <v>0</v>
      </c>
      <c r="E28" s="104">
        <v>1178481937</v>
      </c>
      <c r="F28" s="104">
        <v>0</v>
      </c>
      <c r="G28" s="104">
        <f t="shared" si="5"/>
        <v>1178481937</v>
      </c>
      <c r="H28" s="104">
        <v>0</v>
      </c>
      <c r="I28" s="104">
        <v>0</v>
      </c>
      <c r="J28" s="104">
        <f t="shared" si="6"/>
        <v>0</v>
      </c>
      <c r="K28" s="104">
        <v>0</v>
      </c>
      <c r="L28" s="104">
        <v>0</v>
      </c>
      <c r="M28" s="104">
        <v>0</v>
      </c>
      <c r="N28" s="104">
        <f t="shared" si="7"/>
        <v>0</v>
      </c>
      <c r="O28" s="104">
        <v>0</v>
      </c>
      <c r="P28" s="104">
        <v>0</v>
      </c>
      <c r="Q28" s="104">
        <v>0</v>
      </c>
      <c r="R28" s="104">
        <f t="shared" si="8"/>
        <v>0</v>
      </c>
      <c r="S28" s="104">
        <v>0</v>
      </c>
      <c r="T28" s="104">
        <v>0</v>
      </c>
      <c r="U28" s="104">
        <f t="shared" si="9"/>
        <v>0</v>
      </c>
      <c r="V28" s="104">
        <f t="shared" si="10"/>
        <v>1178481937</v>
      </c>
      <c r="W28" s="104">
        <f t="shared" si="11"/>
        <v>0</v>
      </c>
      <c r="X28" s="104">
        <f t="shared" si="12"/>
        <v>0</v>
      </c>
      <c r="Y28" s="386">
        <f t="shared" si="13"/>
        <v>1178481937</v>
      </c>
      <c r="Z28" s="389">
        <f>B28</f>
        <v>0</v>
      </c>
      <c r="AA28" s="389">
        <f>C28</f>
        <v>0</v>
      </c>
      <c r="AB28" s="389">
        <f>AA28+Z28</f>
        <v>0</v>
      </c>
      <c r="AC28" s="389">
        <f>E28</f>
        <v>1178481937</v>
      </c>
      <c r="AD28" s="389">
        <f>F28</f>
        <v>0</v>
      </c>
      <c r="AE28" s="389">
        <f>AD28+AC28</f>
        <v>1178481937</v>
      </c>
      <c r="AF28" s="389">
        <f>H28</f>
        <v>0</v>
      </c>
      <c r="AG28" s="389">
        <f>I28</f>
        <v>0</v>
      </c>
      <c r="AH28" s="389">
        <f>AG28+AF28</f>
        <v>0</v>
      </c>
      <c r="AI28" s="389">
        <f>K28</f>
        <v>0</v>
      </c>
      <c r="AJ28" s="389">
        <f>L28</f>
        <v>0</v>
      </c>
      <c r="AK28" s="389">
        <f>M28</f>
        <v>0</v>
      </c>
      <c r="AL28" s="389">
        <f>AK28+AJ28+AI28</f>
        <v>0</v>
      </c>
      <c r="AM28" s="389">
        <f>O28</f>
        <v>0</v>
      </c>
      <c r="AN28" s="389">
        <f>P28</f>
        <v>0</v>
      </c>
      <c r="AO28" s="389">
        <f>Q28</f>
        <v>0</v>
      </c>
      <c r="AP28" s="389">
        <f>AO28+AN28+AM28</f>
        <v>0</v>
      </c>
      <c r="AQ28" s="389">
        <f>S28</f>
        <v>0</v>
      </c>
      <c r="AR28" s="389">
        <f>T28</f>
        <v>0</v>
      </c>
      <c r="AS28" s="389">
        <f>AR28+AQ28</f>
        <v>0</v>
      </c>
      <c r="AT28" s="389">
        <f t="shared" si="0"/>
        <v>1178481937</v>
      </c>
      <c r="AU28" s="389">
        <f t="shared" si="1"/>
        <v>0</v>
      </c>
      <c r="AV28" s="389">
        <f t="shared" si="2"/>
        <v>0</v>
      </c>
      <c r="AW28" s="390">
        <f t="shared" si="3"/>
        <v>1178481937</v>
      </c>
    </row>
    <row r="29" spans="1:49" ht="15.75" hidden="1" thickBot="1">
      <c r="A29" s="170">
        <v>40940</v>
      </c>
      <c r="B29" s="378">
        <v>626129</v>
      </c>
      <c r="C29" s="3">
        <v>0</v>
      </c>
      <c r="D29" s="3">
        <f t="shared" si="4"/>
        <v>626129</v>
      </c>
      <c r="E29" s="3">
        <v>1079500947</v>
      </c>
      <c r="F29" s="3">
        <v>0</v>
      </c>
      <c r="G29" s="3">
        <f t="shared" si="5"/>
        <v>1079500947</v>
      </c>
      <c r="H29" s="3">
        <v>0</v>
      </c>
      <c r="I29" s="3">
        <v>0</v>
      </c>
      <c r="J29" s="3">
        <f t="shared" si="6"/>
        <v>0</v>
      </c>
      <c r="K29" s="3">
        <v>0</v>
      </c>
      <c r="L29" s="3">
        <v>0</v>
      </c>
      <c r="M29" s="3">
        <v>0</v>
      </c>
      <c r="N29" s="3">
        <f t="shared" si="7"/>
        <v>0</v>
      </c>
      <c r="O29" s="3">
        <v>0</v>
      </c>
      <c r="P29" s="3">
        <v>0</v>
      </c>
      <c r="Q29" s="3">
        <v>0</v>
      </c>
      <c r="R29" s="3">
        <f t="shared" si="8"/>
        <v>0</v>
      </c>
      <c r="S29" s="3">
        <v>0</v>
      </c>
      <c r="T29" s="3">
        <v>0</v>
      </c>
      <c r="U29" s="3">
        <f t="shared" si="9"/>
        <v>0</v>
      </c>
      <c r="V29" s="3">
        <f t="shared" si="10"/>
        <v>1080127076</v>
      </c>
      <c r="W29" s="3">
        <f t="shared" si="11"/>
        <v>0</v>
      </c>
      <c r="X29" s="3">
        <f t="shared" si="12"/>
        <v>0</v>
      </c>
      <c r="Y29" s="379">
        <f t="shared" si="13"/>
        <v>1080127076</v>
      </c>
      <c r="Z29" s="177">
        <f t="shared" ref="Z29:AA39" si="38">Z28+B29</f>
        <v>626129</v>
      </c>
      <c r="AA29" s="177">
        <f t="shared" si="38"/>
        <v>0</v>
      </c>
      <c r="AB29" s="177">
        <f t="shared" ref="AB29:AB39" si="39">AA29+Z29</f>
        <v>626129</v>
      </c>
      <c r="AC29" s="177">
        <f t="shared" ref="AC29:AD39" si="40">AC28+E29</f>
        <v>2257982884</v>
      </c>
      <c r="AD29" s="177">
        <f t="shared" si="40"/>
        <v>0</v>
      </c>
      <c r="AE29" s="177">
        <f t="shared" ref="AE29:AE39" si="41">AD29+AC29</f>
        <v>2257982884</v>
      </c>
      <c r="AF29" s="177">
        <f t="shared" ref="AF29:AG39" si="42">AF28+H29</f>
        <v>0</v>
      </c>
      <c r="AG29" s="177">
        <f t="shared" si="42"/>
        <v>0</v>
      </c>
      <c r="AH29" s="177">
        <f t="shared" ref="AH29:AH39" si="43">AG29+AF29</f>
        <v>0</v>
      </c>
      <c r="AI29" s="177">
        <f t="shared" ref="AI29:AK39" si="44">AI28+K29</f>
        <v>0</v>
      </c>
      <c r="AJ29" s="177">
        <f t="shared" si="44"/>
        <v>0</v>
      </c>
      <c r="AK29" s="177">
        <f t="shared" si="44"/>
        <v>0</v>
      </c>
      <c r="AL29" s="177">
        <f t="shared" ref="AL29:AL38" si="45">AK29+AJ29+AI29</f>
        <v>0</v>
      </c>
      <c r="AM29" s="177">
        <f t="shared" ref="AM29:AO38" si="46">AM28+O29</f>
        <v>0</v>
      </c>
      <c r="AN29" s="177">
        <f t="shared" si="46"/>
        <v>0</v>
      </c>
      <c r="AO29" s="177">
        <f t="shared" si="46"/>
        <v>0</v>
      </c>
      <c r="AP29" s="177">
        <f t="shared" ref="AP29:AP39" si="47">AO29+AN29+AM29</f>
        <v>0</v>
      </c>
      <c r="AQ29" s="177">
        <f t="shared" ref="AQ29:AR39" si="48">AQ28+S29</f>
        <v>0</v>
      </c>
      <c r="AR29" s="177">
        <f t="shared" si="48"/>
        <v>0</v>
      </c>
      <c r="AS29" s="177">
        <f t="shared" ref="AS29:AS39" si="49">AR29+AQ29</f>
        <v>0</v>
      </c>
      <c r="AT29" s="177">
        <f t="shared" si="0"/>
        <v>2258609013</v>
      </c>
      <c r="AU29" s="177">
        <f t="shared" si="1"/>
        <v>0</v>
      </c>
      <c r="AV29" s="177">
        <f t="shared" si="2"/>
        <v>0</v>
      </c>
      <c r="AW29" s="382">
        <f t="shared" si="3"/>
        <v>2258609013</v>
      </c>
    </row>
    <row r="30" spans="1:49" ht="15.75" hidden="1" thickBot="1">
      <c r="A30" s="170">
        <v>40969</v>
      </c>
      <c r="B30" s="378">
        <v>0</v>
      </c>
      <c r="C30" s="3">
        <v>0</v>
      </c>
      <c r="D30" s="3">
        <f t="shared" si="4"/>
        <v>0</v>
      </c>
      <c r="E30" s="3">
        <v>1136870708</v>
      </c>
      <c r="F30" s="3">
        <v>0</v>
      </c>
      <c r="G30" s="3">
        <f t="shared" si="5"/>
        <v>1136870708</v>
      </c>
      <c r="H30" s="3">
        <v>0</v>
      </c>
      <c r="I30" s="3">
        <v>0</v>
      </c>
      <c r="J30" s="3">
        <f t="shared" si="6"/>
        <v>0</v>
      </c>
      <c r="K30" s="3">
        <v>0</v>
      </c>
      <c r="L30" s="3">
        <v>0</v>
      </c>
      <c r="M30" s="3">
        <v>0</v>
      </c>
      <c r="N30" s="3">
        <f t="shared" si="7"/>
        <v>0</v>
      </c>
      <c r="O30" s="3">
        <v>0</v>
      </c>
      <c r="P30" s="3">
        <v>0</v>
      </c>
      <c r="Q30" s="3">
        <v>0</v>
      </c>
      <c r="R30" s="3">
        <f t="shared" si="8"/>
        <v>0</v>
      </c>
      <c r="S30" s="3">
        <v>0</v>
      </c>
      <c r="T30" s="3">
        <v>0</v>
      </c>
      <c r="U30" s="3">
        <f t="shared" si="9"/>
        <v>0</v>
      </c>
      <c r="V30" s="3">
        <f t="shared" si="10"/>
        <v>1136870708</v>
      </c>
      <c r="W30" s="3">
        <f t="shared" si="11"/>
        <v>0</v>
      </c>
      <c r="X30" s="3">
        <f t="shared" si="12"/>
        <v>0</v>
      </c>
      <c r="Y30" s="379">
        <f t="shared" si="13"/>
        <v>1136870708</v>
      </c>
      <c r="Z30" s="177">
        <f t="shared" si="38"/>
        <v>626129</v>
      </c>
      <c r="AA30" s="177">
        <f t="shared" si="38"/>
        <v>0</v>
      </c>
      <c r="AB30" s="177">
        <f t="shared" si="39"/>
        <v>626129</v>
      </c>
      <c r="AC30" s="177">
        <f t="shared" si="40"/>
        <v>3394853592</v>
      </c>
      <c r="AD30" s="177">
        <f t="shared" si="40"/>
        <v>0</v>
      </c>
      <c r="AE30" s="177">
        <f t="shared" si="41"/>
        <v>3394853592</v>
      </c>
      <c r="AF30" s="177">
        <f t="shared" si="42"/>
        <v>0</v>
      </c>
      <c r="AG30" s="177">
        <f t="shared" si="42"/>
        <v>0</v>
      </c>
      <c r="AH30" s="177">
        <f t="shared" si="43"/>
        <v>0</v>
      </c>
      <c r="AI30" s="177">
        <f t="shared" si="44"/>
        <v>0</v>
      </c>
      <c r="AJ30" s="177">
        <f t="shared" si="44"/>
        <v>0</v>
      </c>
      <c r="AK30" s="177">
        <f t="shared" si="44"/>
        <v>0</v>
      </c>
      <c r="AL30" s="177">
        <f t="shared" si="45"/>
        <v>0</v>
      </c>
      <c r="AM30" s="177">
        <f t="shared" si="46"/>
        <v>0</v>
      </c>
      <c r="AN30" s="177">
        <f t="shared" si="46"/>
        <v>0</v>
      </c>
      <c r="AO30" s="177">
        <f t="shared" si="46"/>
        <v>0</v>
      </c>
      <c r="AP30" s="177">
        <f t="shared" si="47"/>
        <v>0</v>
      </c>
      <c r="AQ30" s="177">
        <f t="shared" si="48"/>
        <v>0</v>
      </c>
      <c r="AR30" s="177">
        <f t="shared" si="48"/>
        <v>0</v>
      </c>
      <c r="AS30" s="177">
        <f t="shared" si="49"/>
        <v>0</v>
      </c>
      <c r="AT30" s="177">
        <f t="shared" si="0"/>
        <v>3395479721</v>
      </c>
      <c r="AU30" s="177">
        <f t="shared" si="1"/>
        <v>0</v>
      </c>
      <c r="AV30" s="177">
        <f t="shared" si="2"/>
        <v>0</v>
      </c>
      <c r="AW30" s="382">
        <f t="shared" si="3"/>
        <v>3395479721</v>
      </c>
    </row>
    <row r="31" spans="1:49" ht="15.75" hidden="1" thickBot="1">
      <c r="A31" s="170">
        <v>41000</v>
      </c>
      <c r="B31" s="378">
        <v>0</v>
      </c>
      <c r="C31" s="3">
        <v>0</v>
      </c>
      <c r="D31" s="3">
        <f t="shared" si="4"/>
        <v>0</v>
      </c>
      <c r="E31" s="3">
        <v>1096194768</v>
      </c>
      <c r="F31" s="3">
        <v>0</v>
      </c>
      <c r="G31" s="3">
        <f t="shared" si="5"/>
        <v>1096194768</v>
      </c>
      <c r="H31" s="3">
        <v>0</v>
      </c>
      <c r="I31" s="3">
        <v>0</v>
      </c>
      <c r="J31" s="3">
        <f t="shared" si="6"/>
        <v>0</v>
      </c>
      <c r="K31" s="3">
        <v>0</v>
      </c>
      <c r="L31" s="3">
        <v>0</v>
      </c>
      <c r="M31" s="3">
        <v>0</v>
      </c>
      <c r="N31" s="3">
        <f t="shared" si="7"/>
        <v>0</v>
      </c>
      <c r="O31" s="3">
        <v>0</v>
      </c>
      <c r="P31" s="3">
        <v>0</v>
      </c>
      <c r="Q31" s="3">
        <v>0</v>
      </c>
      <c r="R31" s="3">
        <f t="shared" si="8"/>
        <v>0</v>
      </c>
      <c r="S31" s="3">
        <v>0</v>
      </c>
      <c r="T31" s="3">
        <v>0</v>
      </c>
      <c r="U31" s="3">
        <f t="shared" si="9"/>
        <v>0</v>
      </c>
      <c r="V31" s="3">
        <f t="shared" si="10"/>
        <v>1096194768</v>
      </c>
      <c r="W31" s="3">
        <f t="shared" si="11"/>
        <v>0</v>
      </c>
      <c r="X31" s="3">
        <f t="shared" si="12"/>
        <v>0</v>
      </c>
      <c r="Y31" s="379">
        <f t="shared" si="13"/>
        <v>1096194768</v>
      </c>
      <c r="Z31" s="177">
        <f t="shared" si="38"/>
        <v>626129</v>
      </c>
      <c r="AA31" s="177">
        <f t="shared" si="38"/>
        <v>0</v>
      </c>
      <c r="AB31" s="177">
        <f t="shared" si="39"/>
        <v>626129</v>
      </c>
      <c r="AC31" s="177">
        <f t="shared" si="40"/>
        <v>4491048360</v>
      </c>
      <c r="AD31" s="177">
        <f t="shared" si="40"/>
        <v>0</v>
      </c>
      <c r="AE31" s="177">
        <f t="shared" si="41"/>
        <v>4491048360</v>
      </c>
      <c r="AF31" s="177">
        <f t="shared" si="42"/>
        <v>0</v>
      </c>
      <c r="AG31" s="177">
        <f t="shared" si="42"/>
        <v>0</v>
      </c>
      <c r="AH31" s="177">
        <f t="shared" si="43"/>
        <v>0</v>
      </c>
      <c r="AI31" s="177">
        <f t="shared" si="44"/>
        <v>0</v>
      </c>
      <c r="AJ31" s="177">
        <f t="shared" si="44"/>
        <v>0</v>
      </c>
      <c r="AK31" s="177">
        <f t="shared" si="44"/>
        <v>0</v>
      </c>
      <c r="AL31" s="177">
        <f t="shared" si="45"/>
        <v>0</v>
      </c>
      <c r="AM31" s="177">
        <f t="shared" si="46"/>
        <v>0</v>
      </c>
      <c r="AN31" s="177">
        <f t="shared" si="46"/>
        <v>0</v>
      </c>
      <c r="AO31" s="177">
        <f t="shared" si="46"/>
        <v>0</v>
      </c>
      <c r="AP31" s="177">
        <f t="shared" si="47"/>
        <v>0</v>
      </c>
      <c r="AQ31" s="177">
        <f t="shared" si="48"/>
        <v>0</v>
      </c>
      <c r="AR31" s="177">
        <f t="shared" si="48"/>
        <v>0</v>
      </c>
      <c r="AS31" s="177">
        <f t="shared" si="49"/>
        <v>0</v>
      </c>
      <c r="AT31" s="177">
        <f t="shared" si="0"/>
        <v>4491674489</v>
      </c>
      <c r="AU31" s="177">
        <f t="shared" si="1"/>
        <v>0</v>
      </c>
      <c r="AV31" s="177">
        <f t="shared" si="2"/>
        <v>0</v>
      </c>
      <c r="AW31" s="382">
        <f t="shared" si="3"/>
        <v>4491674489</v>
      </c>
    </row>
    <row r="32" spans="1:49" ht="15.75" hidden="1" thickBot="1">
      <c r="A32" s="170">
        <v>41030</v>
      </c>
      <c r="B32" s="378">
        <v>0</v>
      </c>
      <c r="C32" s="3">
        <v>0</v>
      </c>
      <c r="D32" s="3">
        <f t="shared" si="4"/>
        <v>0</v>
      </c>
      <c r="E32" s="3">
        <v>1131920310</v>
      </c>
      <c r="F32" s="3">
        <v>0</v>
      </c>
      <c r="G32" s="3">
        <f t="shared" si="5"/>
        <v>1131920310</v>
      </c>
      <c r="H32" s="3">
        <v>0</v>
      </c>
      <c r="I32" s="3">
        <v>0</v>
      </c>
      <c r="J32" s="3">
        <f t="shared" si="6"/>
        <v>0</v>
      </c>
      <c r="K32" s="3">
        <v>0</v>
      </c>
      <c r="L32" s="3">
        <v>0</v>
      </c>
      <c r="M32" s="3">
        <v>0</v>
      </c>
      <c r="N32" s="3">
        <f t="shared" si="7"/>
        <v>0</v>
      </c>
      <c r="O32" s="3">
        <v>0</v>
      </c>
      <c r="P32" s="3">
        <v>0</v>
      </c>
      <c r="Q32" s="3">
        <v>0</v>
      </c>
      <c r="R32" s="3">
        <f t="shared" si="8"/>
        <v>0</v>
      </c>
      <c r="S32" s="3">
        <v>0</v>
      </c>
      <c r="T32" s="3">
        <v>0</v>
      </c>
      <c r="U32" s="3">
        <f t="shared" si="9"/>
        <v>0</v>
      </c>
      <c r="V32" s="3">
        <f t="shared" si="10"/>
        <v>1131920310</v>
      </c>
      <c r="W32" s="3">
        <f t="shared" si="11"/>
        <v>0</v>
      </c>
      <c r="X32" s="3">
        <f t="shared" si="12"/>
        <v>0</v>
      </c>
      <c r="Y32" s="379">
        <f t="shared" si="13"/>
        <v>1131920310</v>
      </c>
      <c r="Z32" s="177">
        <f t="shared" si="38"/>
        <v>626129</v>
      </c>
      <c r="AA32" s="177">
        <f t="shared" si="38"/>
        <v>0</v>
      </c>
      <c r="AB32" s="177">
        <f t="shared" si="39"/>
        <v>626129</v>
      </c>
      <c r="AC32" s="177">
        <f t="shared" si="40"/>
        <v>5622968670</v>
      </c>
      <c r="AD32" s="177">
        <f t="shared" si="40"/>
        <v>0</v>
      </c>
      <c r="AE32" s="177">
        <f t="shared" si="41"/>
        <v>5622968670</v>
      </c>
      <c r="AF32" s="177">
        <f t="shared" si="42"/>
        <v>0</v>
      </c>
      <c r="AG32" s="177">
        <f t="shared" si="42"/>
        <v>0</v>
      </c>
      <c r="AH32" s="177">
        <f t="shared" si="43"/>
        <v>0</v>
      </c>
      <c r="AI32" s="177">
        <f t="shared" si="44"/>
        <v>0</v>
      </c>
      <c r="AJ32" s="177">
        <f t="shared" si="44"/>
        <v>0</v>
      </c>
      <c r="AK32" s="177">
        <f t="shared" si="44"/>
        <v>0</v>
      </c>
      <c r="AL32" s="177">
        <f t="shared" si="45"/>
        <v>0</v>
      </c>
      <c r="AM32" s="177">
        <f t="shared" si="46"/>
        <v>0</v>
      </c>
      <c r="AN32" s="177">
        <f t="shared" si="46"/>
        <v>0</v>
      </c>
      <c r="AO32" s="177">
        <f t="shared" si="46"/>
        <v>0</v>
      </c>
      <c r="AP32" s="177">
        <f t="shared" si="47"/>
        <v>0</v>
      </c>
      <c r="AQ32" s="177">
        <f t="shared" si="48"/>
        <v>0</v>
      </c>
      <c r="AR32" s="177">
        <f t="shared" si="48"/>
        <v>0</v>
      </c>
      <c r="AS32" s="177">
        <f t="shared" si="49"/>
        <v>0</v>
      </c>
      <c r="AT32" s="177">
        <f t="shared" si="0"/>
        <v>5623594799</v>
      </c>
      <c r="AU32" s="177">
        <f t="shared" si="1"/>
        <v>0</v>
      </c>
      <c r="AV32" s="177">
        <f t="shared" si="2"/>
        <v>0</v>
      </c>
      <c r="AW32" s="382">
        <f t="shared" si="3"/>
        <v>5623594799</v>
      </c>
    </row>
    <row r="33" spans="1:49" ht="15.75" hidden="1" thickBot="1">
      <c r="A33" s="170">
        <v>41061</v>
      </c>
      <c r="B33" s="378">
        <v>0</v>
      </c>
      <c r="C33" s="3">
        <v>0</v>
      </c>
      <c r="D33" s="3">
        <f t="shared" si="4"/>
        <v>0</v>
      </c>
      <c r="E33" s="3">
        <v>1085594445</v>
      </c>
      <c r="F33" s="3">
        <v>0</v>
      </c>
      <c r="G33" s="3">
        <f t="shared" si="5"/>
        <v>1085594445</v>
      </c>
      <c r="H33" s="3">
        <v>0</v>
      </c>
      <c r="I33" s="3">
        <v>0</v>
      </c>
      <c r="J33" s="3">
        <f t="shared" si="6"/>
        <v>0</v>
      </c>
      <c r="K33" s="3">
        <v>0</v>
      </c>
      <c r="L33" s="3">
        <v>0</v>
      </c>
      <c r="M33" s="3">
        <v>0</v>
      </c>
      <c r="N33" s="3">
        <f t="shared" si="7"/>
        <v>0</v>
      </c>
      <c r="O33" s="3">
        <v>0</v>
      </c>
      <c r="P33" s="3">
        <v>0</v>
      </c>
      <c r="Q33" s="3">
        <v>0</v>
      </c>
      <c r="R33" s="3">
        <f t="shared" si="8"/>
        <v>0</v>
      </c>
      <c r="S33" s="3">
        <v>0</v>
      </c>
      <c r="T33" s="3">
        <v>0</v>
      </c>
      <c r="U33" s="3">
        <f t="shared" si="9"/>
        <v>0</v>
      </c>
      <c r="V33" s="3">
        <f t="shared" si="10"/>
        <v>1085594445</v>
      </c>
      <c r="W33" s="3">
        <f t="shared" si="11"/>
        <v>0</v>
      </c>
      <c r="X33" s="3">
        <f t="shared" si="12"/>
        <v>0</v>
      </c>
      <c r="Y33" s="379">
        <f t="shared" si="13"/>
        <v>1085594445</v>
      </c>
      <c r="Z33" s="177">
        <f t="shared" si="38"/>
        <v>626129</v>
      </c>
      <c r="AA33" s="177">
        <f t="shared" si="38"/>
        <v>0</v>
      </c>
      <c r="AB33" s="177">
        <f t="shared" si="39"/>
        <v>626129</v>
      </c>
      <c r="AC33" s="177">
        <f t="shared" si="40"/>
        <v>6708563115</v>
      </c>
      <c r="AD33" s="177">
        <f t="shared" si="40"/>
        <v>0</v>
      </c>
      <c r="AE33" s="177">
        <f t="shared" si="41"/>
        <v>6708563115</v>
      </c>
      <c r="AF33" s="177">
        <f t="shared" si="42"/>
        <v>0</v>
      </c>
      <c r="AG33" s="177">
        <f t="shared" si="42"/>
        <v>0</v>
      </c>
      <c r="AH33" s="177">
        <f t="shared" si="43"/>
        <v>0</v>
      </c>
      <c r="AI33" s="177">
        <f t="shared" si="44"/>
        <v>0</v>
      </c>
      <c r="AJ33" s="177">
        <f t="shared" si="44"/>
        <v>0</v>
      </c>
      <c r="AK33" s="177">
        <f t="shared" si="44"/>
        <v>0</v>
      </c>
      <c r="AL33" s="177">
        <f t="shared" si="45"/>
        <v>0</v>
      </c>
      <c r="AM33" s="177">
        <f t="shared" si="46"/>
        <v>0</v>
      </c>
      <c r="AN33" s="177">
        <f t="shared" si="46"/>
        <v>0</v>
      </c>
      <c r="AO33" s="177">
        <f t="shared" si="46"/>
        <v>0</v>
      </c>
      <c r="AP33" s="177">
        <f t="shared" si="47"/>
        <v>0</v>
      </c>
      <c r="AQ33" s="177">
        <f t="shared" si="48"/>
        <v>0</v>
      </c>
      <c r="AR33" s="177">
        <f t="shared" si="48"/>
        <v>0</v>
      </c>
      <c r="AS33" s="177">
        <f t="shared" si="49"/>
        <v>0</v>
      </c>
      <c r="AT33" s="177">
        <f t="shared" si="0"/>
        <v>6709189244</v>
      </c>
      <c r="AU33" s="177">
        <f t="shared" si="1"/>
        <v>0</v>
      </c>
      <c r="AV33" s="177">
        <f t="shared" si="2"/>
        <v>0</v>
      </c>
      <c r="AW33" s="382">
        <f t="shared" si="3"/>
        <v>6709189244</v>
      </c>
    </row>
    <row r="34" spans="1:49" ht="15.75" hidden="1" thickBot="1">
      <c r="A34" s="170">
        <v>41091</v>
      </c>
      <c r="B34" s="378">
        <v>0</v>
      </c>
      <c r="C34" s="3">
        <v>0</v>
      </c>
      <c r="D34" s="3">
        <f t="shared" si="4"/>
        <v>0</v>
      </c>
      <c r="E34" s="3">
        <v>1057188151</v>
      </c>
      <c r="F34" s="3">
        <v>0</v>
      </c>
      <c r="G34" s="3">
        <f t="shared" si="5"/>
        <v>1057188151</v>
      </c>
      <c r="H34" s="3">
        <v>0</v>
      </c>
      <c r="I34" s="3">
        <v>0</v>
      </c>
      <c r="J34" s="3">
        <f t="shared" si="6"/>
        <v>0</v>
      </c>
      <c r="K34" s="3">
        <v>0</v>
      </c>
      <c r="L34" s="3">
        <v>0</v>
      </c>
      <c r="M34" s="3">
        <v>0</v>
      </c>
      <c r="N34" s="3">
        <f t="shared" si="7"/>
        <v>0</v>
      </c>
      <c r="O34" s="3">
        <v>0</v>
      </c>
      <c r="P34" s="3">
        <v>0</v>
      </c>
      <c r="Q34" s="3">
        <v>0</v>
      </c>
      <c r="R34" s="3">
        <f t="shared" si="8"/>
        <v>0</v>
      </c>
      <c r="S34" s="3">
        <v>0</v>
      </c>
      <c r="T34" s="3">
        <v>0</v>
      </c>
      <c r="U34" s="3">
        <f t="shared" si="9"/>
        <v>0</v>
      </c>
      <c r="V34" s="3">
        <f t="shared" si="10"/>
        <v>1057188151</v>
      </c>
      <c r="W34" s="3">
        <f t="shared" si="11"/>
        <v>0</v>
      </c>
      <c r="X34" s="3">
        <f t="shared" si="12"/>
        <v>0</v>
      </c>
      <c r="Y34" s="379">
        <f t="shared" si="13"/>
        <v>1057188151</v>
      </c>
      <c r="Z34" s="177">
        <f t="shared" si="38"/>
        <v>626129</v>
      </c>
      <c r="AA34" s="177">
        <f t="shared" si="38"/>
        <v>0</v>
      </c>
      <c r="AB34" s="177">
        <f t="shared" si="39"/>
        <v>626129</v>
      </c>
      <c r="AC34" s="177">
        <f t="shared" si="40"/>
        <v>7765751266</v>
      </c>
      <c r="AD34" s="177">
        <f t="shared" si="40"/>
        <v>0</v>
      </c>
      <c r="AE34" s="177">
        <f t="shared" si="41"/>
        <v>7765751266</v>
      </c>
      <c r="AF34" s="177">
        <f t="shared" si="42"/>
        <v>0</v>
      </c>
      <c r="AG34" s="177">
        <f t="shared" si="42"/>
        <v>0</v>
      </c>
      <c r="AH34" s="177">
        <f t="shared" si="43"/>
        <v>0</v>
      </c>
      <c r="AI34" s="177">
        <f t="shared" si="44"/>
        <v>0</v>
      </c>
      <c r="AJ34" s="177">
        <f t="shared" si="44"/>
        <v>0</v>
      </c>
      <c r="AK34" s="177">
        <f t="shared" si="44"/>
        <v>0</v>
      </c>
      <c r="AL34" s="177">
        <f t="shared" si="45"/>
        <v>0</v>
      </c>
      <c r="AM34" s="177">
        <f t="shared" si="46"/>
        <v>0</v>
      </c>
      <c r="AN34" s="177">
        <f t="shared" si="46"/>
        <v>0</v>
      </c>
      <c r="AO34" s="177">
        <f t="shared" si="46"/>
        <v>0</v>
      </c>
      <c r="AP34" s="177">
        <f t="shared" si="47"/>
        <v>0</v>
      </c>
      <c r="AQ34" s="177">
        <f t="shared" si="48"/>
        <v>0</v>
      </c>
      <c r="AR34" s="177">
        <f t="shared" si="48"/>
        <v>0</v>
      </c>
      <c r="AS34" s="177">
        <f t="shared" si="49"/>
        <v>0</v>
      </c>
      <c r="AT34" s="177">
        <f t="shared" si="0"/>
        <v>7766377395</v>
      </c>
      <c r="AU34" s="177">
        <f t="shared" si="1"/>
        <v>0</v>
      </c>
      <c r="AV34" s="177">
        <f t="shared" si="2"/>
        <v>0</v>
      </c>
      <c r="AW34" s="382">
        <f t="shared" si="3"/>
        <v>7766377395</v>
      </c>
    </row>
    <row r="35" spans="1:49" ht="15.75" hidden="1" thickBot="1">
      <c r="A35" s="170">
        <v>41122</v>
      </c>
      <c r="B35" s="378">
        <v>148634</v>
      </c>
      <c r="C35" s="3">
        <v>0</v>
      </c>
      <c r="D35" s="3">
        <f t="shared" si="4"/>
        <v>148634</v>
      </c>
      <c r="E35" s="3">
        <v>1095988419</v>
      </c>
      <c r="F35" s="3">
        <v>0</v>
      </c>
      <c r="G35" s="3">
        <f t="shared" si="5"/>
        <v>1095988419</v>
      </c>
      <c r="H35" s="3">
        <v>0</v>
      </c>
      <c r="I35" s="3">
        <v>0</v>
      </c>
      <c r="J35" s="3">
        <f t="shared" si="6"/>
        <v>0</v>
      </c>
      <c r="K35" s="3">
        <v>0</v>
      </c>
      <c r="L35" s="3">
        <v>0</v>
      </c>
      <c r="M35" s="3">
        <v>0</v>
      </c>
      <c r="N35" s="3">
        <f t="shared" si="7"/>
        <v>0</v>
      </c>
      <c r="O35" s="3">
        <v>0</v>
      </c>
      <c r="P35" s="3">
        <v>0</v>
      </c>
      <c r="Q35" s="3">
        <v>0</v>
      </c>
      <c r="R35" s="3">
        <f t="shared" si="8"/>
        <v>0</v>
      </c>
      <c r="S35" s="3">
        <v>0</v>
      </c>
      <c r="T35" s="3">
        <v>0</v>
      </c>
      <c r="U35" s="3">
        <f t="shared" si="9"/>
        <v>0</v>
      </c>
      <c r="V35" s="3">
        <f t="shared" si="10"/>
        <v>1096137053</v>
      </c>
      <c r="W35" s="3">
        <f t="shared" si="11"/>
        <v>0</v>
      </c>
      <c r="X35" s="3">
        <f t="shared" si="12"/>
        <v>0</v>
      </c>
      <c r="Y35" s="379">
        <f t="shared" si="13"/>
        <v>1096137053</v>
      </c>
      <c r="Z35" s="177">
        <f t="shared" si="38"/>
        <v>774763</v>
      </c>
      <c r="AA35" s="177">
        <f t="shared" si="38"/>
        <v>0</v>
      </c>
      <c r="AB35" s="177">
        <f t="shared" si="39"/>
        <v>774763</v>
      </c>
      <c r="AC35" s="177">
        <f t="shared" si="40"/>
        <v>8861739685</v>
      </c>
      <c r="AD35" s="177">
        <f t="shared" si="40"/>
        <v>0</v>
      </c>
      <c r="AE35" s="177">
        <f t="shared" si="41"/>
        <v>8861739685</v>
      </c>
      <c r="AF35" s="177">
        <f t="shared" si="42"/>
        <v>0</v>
      </c>
      <c r="AG35" s="177">
        <f t="shared" si="42"/>
        <v>0</v>
      </c>
      <c r="AH35" s="177">
        <f t="shared" si="43"/>
        <v>0</v>
      </c>
      <c r="AI35" s="177">
        <f t="shared" si="44"/>
        <v>0</v>
      </c>
      <c r="AJ35" s="177">
        <f t="shared" si="44"/>
        <v>0</v>
      </c>
      <c r="AK35" s="177">
        <f t="shared" si="44"/>
        <v>0</v>
      </c>
      <c r="AL35" s="177">
        <f t="shared" si="45"/>
        <v>0</v>
      </c>
      <c r="AM35" s="177">
        <f t="shared" si="46"/>
        <v>0</v>
      </c>
      <c r="AN35" s="177">
        <f t="shared" si="46"/>
        <v>0</v>
      </c>
      <c r="AO35" s="177">
        <f t="shared" si="46"/>
        <v>0</v>
      </c>
      <c r="AP35" s="177">
        <f t="shared" si="47"/>
        <v>0</v>
      </c>
      <c r="AQ35" s="177">
        <f t="shared" si="48"/>
        <v>0</v>
      </c>
      <c r="AR35" s="177">
        <f t="shared" si="48"/>
        <v>0</v>
      </c>
      <c r="AS35" s="177">
        <f t="shared" si="49"/>
        <v>0</v>
      </c>
      <c r="AT35" s="177">
        <f t="shared" si="0"/>
        <v>8862514448</v>
      </c>
      <c r="AU35" s="177">
        <f t="shared" si="1"/>
        <v>0</v>
      </c>
      <c r="AV35" s="177">
        <f t="shared" si="2"/>
        <v>0</v>
      </c>
      <c r="AW35" s="382">
        <f t="shared" si="3"/>
        <v>8862514448</v>
      </c>
    </row>
    <row r="36" spans="1:49" ht="15.75" hidden="1" thickBot="1">
      <c r="A36" s="170">
        <v>41153</v>
      </c>
      <c r="B36" s="378">
        <v>0</v>
      </c>
      <c r="C36" s="3">
        <v>0</v>
      </c>
      <c r="D36" s="3">
        <f t="shared" si="4"/>
        <v>0</v>
      </c>
      <c r="E36" s="3">
        <v>985889758</v>
      </c>
      <c r="F36" s="3">
        <v>0</v>
      </c>
      <c r="G36" s="3">
        <f t="shared" si="5"/>
        <v>985889758</v>
      </c>
      <c r="H36" s="3">
        <v>0</v>
      </c>
      <c r="I36" s="3">
        <v>0</v>
      </c>
      <c r="J36" s="3">
        <f t="shared" si="6"/>
        <v>0</v>
      </c>
      <c r="K36" s="3">
        <v>0</v>
      </c>
      <c r="L36" s="3">
        <v>0</v>
      </c>
      <c r="M36" s="3">
        <v>0</v>
      </c>
      <c r="N36" s="3">
        <f t="shared" si="7"/>
        <v>0</v>
      </c>
      <c r="O36" s="3">
        <v>0</v>
      </c>
      <c r="P36" s="3">
        <v>0</v>
      </c>
      <c r="Q36" s="3">
        <v>0</v>
      </c>
      <c r="R36" s="3">
        <f t="shared" si="8"/>
        <v>0</v>
      </c>
      <c r="S36" s="3">
        <v>0</v>
      </c>
      <c r="T36" s="3">
        <v>0</v>
      </c>
      <c r="U36" s="3">
        <f t="shared" si="9"/>
        <v>0</v>
      </c>
      <c r="V36" s="3">
        <f t="shared" si="10"/>
        <v>985889758</v>
      </c>
      <c r="W36" s="3">
        <f t="shared" si="11"/>
        <v>0</v>
      </c>
      <c r="X36" s="3">
        <f t="shared" si="12"/>
        <v>0</v>
      </c>
      <c r="Y36" s="379">
        <f t="shared" si="13"/>
        <v>985889758</v>
      </c>
      <c r="Z36" s="177">
        <f t="shared" si="38"/>
        <v>774763</v>
      </c>
      <c r="AA36" s="177">
        <f t="shared" si="38"/>
        <v>0</v>
      </c>
      <c r="AB36" s="177">
        <f t="shared" si="39"/>
        <v>774763</v>
      </c>
      <c r="AC36" s="177">
        <f t="shared" si="40"/>
        <v>9847629443</v>
      </c>
      <c r="AD36" s="177">
        <f t="shared" si="40"/>
        <v>0</v>
      </c>
      <c r="AE36" s="177">
        <f t="shared" si="41"/>
        <v>9847629443</v>
      </c>
      <c r="AF36" s="177">
        <f t="shared" si="42"/>
        <v>0</v>
      </c>
      <c r="AG36" s="177">
        <f t="shared" si="42"/>
        <v>0</v>
      </c>
      <c r="AH36" s="177">
        <f t="shared" si="43"/>
        <v>0</v>
      </c>
      <c r="AI36" s="177">
        <f t="shared" si="44"/>
        <v>0</v>
      </c>
      <c r="AJ36" s="177">
        <f t="shared" si="44"/>
        <v>0</v>
      </c>
      <c r="AK36" s="177">
        <f t="shared" si="44"/>
        <v>0</v>
      </c>
      <c r="AL36" s="177">
        <f t="shared" si="45"/>
        <v>0</v>
      </c>
      <c r="AM36" s="177">
        <f t="shared" si="46"/>
        <v>0</v>
      </c>
      <c r="AN36" s="177">
        <f t="shared" si="46"/>
        <v>0</v>
      </c>
      <c r="AO36" s="177">
        <f t="shared" si="46"/>
        <v>0</v>
      </c>
      <c r="AP36" s="177">
        <f t="shared" si="47"/>
        <v>0</v>
      </c>
      <c r="AQ36" s="177">
        <f t="shared" si="48"/>
        <v>0</v>
      </c>
      <c r="AR36" s="177">
        <f t="shared" si="48"/>
        <v>0</v>
      </c>
      <c r="AS36" s="177">
        <f t="shared" si="49"/>
        <v>0</v>
      </c>
      <c r="AT36" s="177">
        <f t="shared" si="0"/>
        <v>9848404206</v>
      </c>
      <c r="AU36" s="177">
        <f t="shared" si="1"/>
        <v>0</v>
      </c>
      <c r="AV36" s="177">
        <f t="shared" si="2"/>
        <v>0</v>
      </c>
      <c r="AW36" s="382">
        <f t="shared" si="3"/>
        <v>9848404206</v>
      </c>
    </row>
    <row r="37" spans="1:49" ht="15.75" hidden="1" thickBot="1">
      <c r="A37" s="170">
        <v>41183</v>
      </c>
      <c r="B37" s="378">
        <v>167716</v>
      </c>
      <c r="C37" s="3">
        <v>0</v>
      </c>
      <c r="D37" s="3">
        <f t="shared" si="4"/>
        <v>167716</v>
      </c>
      <c r="E37" s="3">
        <v>1056945842</v>
      </c>
      <c r="F37" s="3">
        <v>0</v>
      </c>
      <c r="G37" s="3">
        <f t="shared" si="5"/>
        <v>1056945842</v>
      </c>
      <c r="H37" s="3">
        <v>0</v>
      </c>
      <c r="I37" s="3">
        <v>0</v>
      </c>
      <c r="J37" s="3">
        <f t="shared" si="6"/>
        <v>0</v>
      </c>
      <c r="K37" s="3">
        <v>0</v>
      </c>
      <c r="L37" s="3">
        <v>0</v>
      </c>
      <c r="M37" s="3">
        <v>0</v>
      </c>
      <c r="N37" s="3">
        <f t="shared" si="7"/>
        <v>0</v>
      </c>
      <c r="O37" s="3">
        <v>0</v>
      </c>
      <c r="P37" s="3">
        <v>0</v>
      </c>
      <c r="Q37" s="3">
        <v>0</v>
      </c>
      <c r="R37" s="3">
        <f t="shared" si="8"/>
        <v>0</v>
      </c>
      <c r="S37" s="3">
        <v>0</v>
      </c>
      <c r="T37" s="3">
        <v>0</v>
      </c>
      <c r="U37" s="3">
        <f t="shared" si="9"/>
        <v>0</v>
      </c>
      <c r="V37" s="3">
        <f t="shared" si="10"/>
        <v>1057113558</v>
      </c>
      <c r="W37" s="3">
        <f t="shared" si="11"/>
        <v>0</v>
      </c>
      <c r="X37" s="3">
        <f t="shared" si="12"/>
        <v>0</v>
      </c>
      <c r="Y37" s="379">
        <f t="shared" si="13"/>
        <v>1057113558</v>
      </c>
      <c r="Z37" s="177">
        <f t="shared" si="38"/>
        <v>942479</v>
      </c>
      <c r="AA37" s="177">
        <f t="shared" si="38"/>
        <v>0</v>
      </c>
      <c r="AB37" s="177">
        <f t="shared" si="39"/>
        <v>942479</v>
      </c>
      <c r="AC37" s="177">
        <f t="shared" si="40"/>
        <v>10904575285</v>
      </c>
      <c r="AD37" s="177">
        <f t="shared" si="40"/>
        <v>0</v>
      </c>
      <c r="AE37" s="177">
        <f t="shared" si="41"/>
        <v>10904575285</v>
      </c>
      <c r="AF37" s="177">
        <f t="shared" si="42"/>
        <v>0</v>
      </c>
      <c r="AG37" s="177">
        <f t="shared" si="42"/>
        <v>0</v>
      </c>
      <c r="AH37" s="177">
        <f t="shared" si="43"/>
        <v>0</v>
      </c>
      <c r="AI37" s="177">
        <f t="shared" si="44"/>
        <v>0</v>
      </c>
      <c r="AJ37" s="177">
        <f t="shared" si="44"/>
        <v>0</v>
      </c>
      <c r="AK37" s="177">
        <f t="shared" si="44"/>
        <v>0</v>
      </c>
      <c r="AL37" s="177">
        <f t="shared" si="45"/>
        <v>0</v>
      </c>
      <c r="AM37" s="177">
        <f t="shared" si="46"/>
        <v>0</v>
      </c>
      <c r="AN37" s="177">
        <f t="shared" si="46"/>
        <v>0</v>
      </c>
      <c r="AO37" s="177">
        <f t="shared" si="46"/>
        <v>0</v>
      </c>
      <c r="AP37" s="177">
        <f t="shared" si="47"/>
        <v>0</v>
      </c>
      <c r="AQ37" s="177">
        <f t="shared" si="48"/>
        <v>0</v>
      </c>
      <c r="AR37" s="177">
        <f t="shared" si="48"/>
        <v>0</v>
      </c>
      <c r="AS37" s="177">
        <f t="shared" si="49"/>
        <v>0</v>
      </c>
      <c r="AT37" s="177">
        <f t="shared" si="0"/>
        <v>10905517764</v>
      </c>
      <c r="AU37" s="177">
        <f t="shared" si="1"/>
        <v>0</v>
      </c>
      <c r="AV37" s="177">
        <f t="shared" si="2"/>
        <v>0</v>
      </c>
      <c r="AW37" s="382">
        <f t="shared" si="3"/>
        <v>10905517764</v>
      </c>
    </row>
    <row r="38" spans="1:49" ht="15.75" hidden="1" thickBot="1">
      <c r="A38" s="170">
        <v>41214</v>
      </c>
      <c r="B38" s="378">
        <v>68013</v>
      </c>
      <c r="C38" s="3">
        <v>0</v>
      </c>
      <c r="D38" s="3">
        <f t="shared" si="4"/>
        <v>68013</v>
      </c>
      <c r="E38" s="3">
        <v>1045333458</v>
      </c>
      <c r="F38" s="3">
        <v>0</v>
      </c>
      <c r="G38" s="3">
        <f t="shared" si="5"/>
        <v>1045333458</v>
      </c>
      <c r="H38" s="3">
        <v>0</v>
      </c>
      <c r="I38" s="3">
        <v>0</v>
      </c>
      <c r="J38" s="3">
        <f t="shared" si="6"/>
        <v>0</v>
      </c>
      <c r="K38" s="3">
        <v>0</v>
      </c>
      <c r="L38" s="3">
        <v>0</v>
      </c>
      <c r="M38" s="3">
        <v>0</v>
      </c>
      <c r="N38" s="3">
        <f t="shared" si="7"/>
        <v>0</v>
      </c>
      <c r="O38" s="3">
        <v>0</v>
      </c>
      <c r="P38" s="3">
        <v>0</v>
      </c>
      <c r="Q38" s="3">
        <v>0</v>
      </c>
      <c r="R38" s="3">
        <f t="shared" si="8"/>
        <v>0</v>
      </c>
      <c r="S38" s="3">
        <v>0</v>
      </c>
      <c r="T38" s="3">
        <v>0</v>
      </c>
      <c r="U38" s="3">
        <f t="shared" si="9"/>
        <v>0</v>
      </c>
      <c r="V38" s="3">
        <f t="shared" si="10"/>
        <v>1045401471</v>
      </c>
      <c r="W38" s="3">
        <f t="shared" si="11"/>
        <v>0</v>
      </c>
      <c r="X38" s="3">
        <f t="shared" si="12"/>
        <v>0</v>
      </c>
      <c r="Y38" s="379">
        <f t="shared" si="13"/>
        <v>1045401471</v>
      </c>
      <c r="Z38" s="177">
        <f t="shared" si="38"/>
        <v>1010492</v>
      </c>
      <c r="AA38" s="177">
        <f t="shared" si="38"/>
        <v>0</v>
      </c>
      <c r="AB38" s="177">
        <f t="shared" si="39"/>
        <v>1010492</v>
      </c>
      <c r="AC38" s="177">
        <f t="shared" si="40"/>
        <v>11949908743</v>
      </c>
      <c r="AD38" s="177">
        <f t="shared" si="40"/>
        <v>0</v>
      </c>
      <c r="AE38" s="177">
        <f t="shared" si="41"/>
        <v>11949908743</v>
      </c>
      <c r="AF38" s="177">
        <f t="shared" si="42"/>
        <v>0</v>
      </c>
      <c r="AG38" s="177">
        <f t="shared" si="42"/>
        <v>0</v>
      </c>
      <c r="AH38" s="177">
        <f t="shared" si="43"/>
        <v>0</v>
      </c>
      <c r="AI38" s="177">
        <f t="shared" si="44"/>
        <v>0</v>
      </c>
      <c r="AJ38" s="177">
        <f t="shared" si="44"/>
        <v>0</v>
      </c>
      <c r="AK38" s="177">
        <f t="shared" si="44"/>
        <v>0</v>
      </c>
      <c r="AL38" s="177">
        <f t="shared" si="45"/>
        <v>0</v>
      </c>
      <c r="AM38" s="177">
        <f t="shared" si="46"/>
        <v>0</v>
      </c>
      <c r="AN38" s="177">
        <f t="shared" si="46"/>
        <v>0</v>
      </c>
      <c r="AO38" s="177">
        <f t="shared" si="46"/>
        <v>0</v>
      </c>
      <c r="AP38" s="177">
        <f t="shared" si="47"/>
        <v>0</v>
      </c>
      <c r="AQ38" s="177">
        <f t="shared" si="48"/>
        <v>0</v>
      </c>
      <c r="AR38" s="177">
        <f t="shared" si="48"/>
        <v>0</v>
      </c>
      <c r="AS38" s="177">
        <f t="shared" si="49"/>
        <v>0</v>
      </c>
      <c r="AT38" s="177">
        <f t="shared" si="0"/>
        <v>11950919235</v>
      </c>
      <c r="AU38" s="177">
        <f t="shared" si="1"/>
        <v>0</v>
      </c>
      <c r="AV38" s="177">
        <f t="shared" si="2"/>
        <v>0</v>
      </c>
      <c r="AW38" s="382">
        <f t="shared" si="3"/>
        <v>11950919235</v>
      </c>
    </row>
    <row r="39" spans="1:49" ht="15.75" hidden="1" thickBot="1">
      <c r="A39" s="170">
        <v>41244</v>
      </c>
      <c r="B39" s="378">
        <v>108027</v>
      </c>
      <c r="C39" s="3">
        <v>0</v>
      </c>
      <c r="D39" s="3">
        <f t="shared" si="4"/>
        <v>108027</v>
      </c>
      <c r="E39" s="3">
        <v>1036814339</v>
      </c>
      <c r="F39" s="3">
        <v>0</v>
      </c>
      <c r="G39" s="3">
        <f t="shared" si="5"/>
        <v>1036814339</v>
      </c>
      <c r="H39" s="3">
        <v>0</v>
      </c>
      <c r="I39" s="3">
        <v>0</v>
      </c>
      <c r="J39" s="3">
        <f t="shared" si="6"/>
        <v>0</v>
      </c>
      <c r="K39" s="3">
        <v>0</v>
      </c>
      <c r="L39" s="3">
        <v>0</v>
      </c>
      <c r="M39" s="3">
        <v>0</v>
      </c>
      <c r="N39" s="3">
        <f t="shared" si="7"/>
        <v>0</v>
      </c>
      <c r="O39" s="3">
        <v>0</v>
      </c>
      <c r="P39" s="3">
        <v>0</v>
      </c>
      <c r="Q39" s="3">
        <v>0</v>
      </c>
      <c r="R39" s="3">
        <f t="shared" si="8"/>
        <v>0</v>
      </c>
      <c r="S39" s="3">
        <v>0</v>
      </c>
      <c r="T39" s="3">
        <v>0</v>
      </c>
      <c r="U39" s="3">
        <f t="shared" si="9"/>
        <v>0</v>
      </c>
      <c r="V39" s="3">
        <f t="shared" si="10"/>
        <v>1036922366</v>
      </c>
      <c r="W39" s="3">
        <f t="shared" si="11"/>
        <v>0</v>
      </c>
      <c r="X39" s="3">
        <f t="shared" si="12"/>
        <v>0</v>
      </c>
      <c r="Y39" s="379">
        <f t="shared" si="13"/>
        <v>1036922366</v>
      </c>
      <c r="Z39" s="177">
        <f t="shared" si="38"/>
        <v>1118519</v>
      </c>
      <c r="AA39" s="177">
        <f t="shared" si="38"/>
        <v>0</v>
      </c>
      <c r="AB39" s="177">
        <f t="shared" si="39"/>
        <v>1118519</v>
      </c>
      <c r="AC39" s="177">
        <f t="shared" si="40"/>
        <v>12986723082</v>
      </c>
      <c r="AD39" s="177">
        <f t="shared" si="40"/>
        <v>0</v>
      </c>
      <c r="AE39" s="177">
        <f t="shared" si="41"/>
        <v>12986723082</v>
      </c>
      <c r="AF39" s="177">
        <f t="shared" si="42"/>
        <v>0</v>
      </c>
      <c r="AG39" s="177">
        <f t="shared" si="42"/>
        <v>0</v>
      </c>
      <c r="AH39" s="177">
        <f t="shared" si="43"/>
        <v>0</v>
      </c>
      <c r="AI39" s="177">
        <f t="shared" si="44"/>
        <v>0</v>
      </c>
      <c r="AJ39" s="177">
        <f t="shared" si="44"/>
        <v>0</v>
      </c>
      <c r="AK39" s="177">
        <f t="shared" si="44"/>
        <v>0</v>
      </c>
      <c r="AL39" s="177">
        <f>AK39+AJ39+AI39</f>
        <v>0</v>
      </c>
      <c r="AM39" s="177">
        <f>AM38+O39</f>
        <v>0</v>
      </c>
      <c r="AN39" s="177">
        <f>AN38+P39</f>
        <v>0</v>
      </c>
      <c r="AO39" s="177">
        <f>AO38+Q39</f>
        <v>0</v>
      </c>
      <c r="AP39" s="177">
        <f t="shared" si="47"/>
        <v>0</v>
      </c>
      <c r="AQ39" s="177">
        <f t="shared" si="48"/>
        <v>0</v>
      </c>
      <c r="AR39" s="177">
        <f t="shared" si="48"/>
        <v>0</v>
      </c>
      <c r="AS39" s="177">
        <f t="shared" si="49"/>
        <v>0</v>
      </c>
      <c r="AT39" s="177">
        <f t="shared" si="0"/>
        <v>12987841601</v>
      </c>
      <c r="AU39" s="177">
        <f t="shared" si="1"/>
        <v>0</v>
      </c>
      <c r="AV39" s="177">
        <f t="shared" si="2"/>
        <v>0</v>
      </c>
      <c r="AW39" s="382">
        <f t="shared" si="3"/>
        <v>12987841601</v>
      </c>
    </row>
    <row r="40" spans="1:49" ht="15.75" hidden="1" thickBot="1">
      <c r="A40" s="171">
        <v>41275</v>
      </c>
      <c r="B40" s="385">
        <v>9192</v>
      </c>
      <c r="C40" s="104">
        <v>0</v>
      </c>
      <c r="D40" s="104">
        <f t="shared" si="4"/>
        <v>9192</v>
      </c>
      <c r="E40" s="104">
        <v>1028160966</v>
      </c>
      <c r="F40" s="104">
        <v>0</v>
      </c>
      <c r="G40" s="104">
        <f t="shared" si="5"/>
        <v>1028160966</v>
      </c>
      <c r="H40" s="104">
        <v>0</v>
      </c>
      <c r="I40" s="104">
        <v>0</v>
      </c>
      <c r="J40" s="104">
        <f t="shared" si="6"/>
        <v>0</v>
      </c>
      <c r="K40" s="104">
        <v>0</v>
      </c>
      <c r="L40" s="104">
        <v>0</v>
      </c>
      <c r="M40" s="104">
        <v>0</v>
      </c>
      <c r="N40" s="104">
        <f t="shared" si="7"/>
        <v>0</v>
      </c>
      <c r="O40" s="104">
        <v>0</v>
      </c>
      <c r="P40" s="104">
        <v>0</v>
      </c>
      <c r="Q40" s="104">
        <v>0</v>
      </c>
      <c r="R40" s="104">
        <f t="shared" si="8"/>
        <v>0</v>
      </c>
      <c r="S40" s="104">
        <v>0</v>
      </c>
      <c r="T40" s="104">
        <v>0</v>
      </c>
      <c r="U40" s="104">
        <f t="shared" si="9"/>
        <v>0</v>
      </c>
      <c r="V40" s="104">
        <f t="shared" si="10"/>
        <v>1028170158</v>
      </c>
      <c r="W40" s="104">
        <f t="shared" si="11"/>
        <v>0</v>
      </c>
      <c r="X40" s="104">
        <f t="shared" si="12"/>
        <v>0</v>
      </c>
      <c r="Y40" s="386">
        <f t="shared" si="13"/>
        <v>1028170158</v>
      </c>
      <c r="Z40" s="389">
        <f>B40</f>
        <v>9192</v>
      </c>
      <c r="AA40" s="389">
        <f>C40</f>
        <v>0</v>
      </c>
      <c r="AB40" s="389">
        <f>AA40+Z40</f>
        <v>9192</v>
      </c>
      <c r="AC40" s="389">
        <f>E40</f>
        <v>1028160966</v>
      </c>
      <c r="AD40" s="389">
        <f>F40</f>
        <v>0</v>
      </c>
      <c r="AE40" s="389">
        <f>AD40+AC40</f>
        <v>1028160966</v>
      </c>
      <c r="AF40" s="389">
        <f>H40</f>
        <v>0</v>
      </c>
      <c r="AG40" s="389">
        <f>I40</f>
        <v>0</v>
      </c>
      <c r="AH40" s="389">
        <f>AG40+AF40</f>
        <v>0</v>
      </c>
      <c r="AI40" s="389">
        <f>K40</f>
        <v>0</v>
      </c>
      <c r="AJ40" s="389">
        <f>L40</f>
        <v>0</v>
      </c>
      <c r="AK40" s="389">
        <f>M40</f>
        <v>0</v>
      </c>
      <c r="AL40" s="389">
        <f>AK40+AJ40+AI40</f>
        <v>0</v>
      </c>
      <c r="AM40" s="389">
        <f>O40</f>
        <v>0</v>
      </c>
      <c r="AN40" s="389">
        <f>P40</f>
        <v>0</v>
      </c>
      <c r="AO40" s="389">
        <f>Q40</f>
        <v>0</v>
      </c>
      <c r="AP40" s="389">
        <f>AO40+AN40+AM40</f>
        <v>0</v>
      </c>
      <c r="AQ40" s="389">
        <f>S40</f>
        <v>0</v>
      </c>
      <c r="AR40" s="389">
        <f>T40</f>
        <v>0</v>
      </c>
      <c r="AS40" s="389">
        <f>AR40+AQ40</f>
        <v>0</v>
      </c>
      <c r="AT40" s="389">
        <f t="shared" si="0"/>
        <v>1028170158</v>
      </c>
      <c r="AU40" s="389">
        <f t="shared" si="1"/>
        <v>0</v>
      </c>
      <c r="AV40" s="389">
        <f t="shared" si="2"/>
        <v>0</v>
      </c>
      <c r="AW40" s="390">
        <f t="shared" si="3"/>
        <v>1028170158</v>
      </c>
    </row>
    <row r="41" spans="1:49" ht="15.75" hidden="1" thickBot="1">
      <c r="A41" s="170">
        <v>41306</v>
      </c>
      <c r="B41" s="378">
        <v>9242</v>
      </c>
      <c r="C41" s="3">
        <v>0</v>
      </c>
      <c r="D41" s="3">
        <f t="shared" si="4"/>
        <v>9242</v>
      </c>
      <c r="E41" s="3">
        <v>939513797</v>
      </c>
      <c r="F41" s="3">
        <v>0</v>
      </c>
      <c r="G41" s="3">
        <f t="shared" si="5"/>
        <v>939513797</v>
      </c>
      <c r="H41" s="3">
        <v>0</v>
      </c>
      <c r="I41" s="3">
        <v>0</v>
      </c>
      <c r="J41" s="3">
        <f t="shared" si="6"/>
        <v>0</v>
      </c>
      <c r="K41" s="3">
        <v>0</v>
      </c>
      <c r="L41" s="3">
        <v>0</v>
      </c>
      <c r="M41" s="3">
        <v>0</v>
      </c>
      <c r="N41" s="3">
        <f t="shared" si="7"/>
        <v>0</v>
      </c>
      <c r="O41" s="3">
        <v>0</v>
      </c>
      <c r="P41" s="3">
        <v>0</v>
      </c>
      <c r="Q41" s="3">
        <v>0</v>
      </c>
      <c r="R41" s="3">
        <f t="shared" si="8"/>
        <v>0</v>
      </c>
      <c r="S41" s="3">
        <v>0</v>
      </c>
      <c r="T41" s="3">
        <v>0</v>
      </c>
      <c r="U41" s="3">
        <f t="shared" si="9"/>
        <v>0</v>
      </c>
      <c r="V41" s="3">
        <f t="shared" si="10"/>
        <v>939523039</v>
      </c>
      <c r="W41" s="3">
        <f t="shared" si="11"/>
        <v>0</v>
      </c>
      <c r="X41" s="3">
        <f t="shared" si="12"/>
        <v>0</v>
      </c>
      <c r="Y41" s="379">
        <f t="shared" si="13"/>
        <v>939523039</v>
      </c>
      <c r="Z41" s="177">
        <f t="shared" ref="Z41:AA51" si="50">Z40+B41</f>
        <v>18434</v>
      </c>
      <c r="AA41" s="177">
        <f t="shared" si="50"/>
        <v>0</v>
      </c>
      <c r="AB41" s="177">
        <f t="shared" ref="AB41:AB51" si="51">AA41+Z41</f>
        <v>18434</v>
      </c>
      <c r="AC41" s="177">
        <f t="shared" ref="AC41:AD51" si="52">AC40+E41</f>
        <v>1967674763</v>
      </c>
      <c r="AD41" s="177">
        <f t="shared" si="52"/>
        <v>0</v>
      </c>
      <c r="AE41" s="177">
        <f t="shared" ref="AE41:AE51" si="53">AD41+AC41</f>
        <v>1967674763</v>
      </c>
      <c r="AF41" s="177">
        <f t="shared" ref="AF41:AG51" si="54">AF40+H41</f>
        <v>0</v>
      </c>
      <c r="AG41" s="177">
        <f t="shared" si="54"/>
        <v>0</v>
      </c>
      <c r="AH41" s="177">
        <f t="shared" ref="AH41:AH51" si="55">AG41+AF41</f>
        <v>0</v>
      </c>
      <c r="AI41" s="177">
        <f t="shared" ref="AI41:AK51" si="56">AI40+K41</f>
        <v>0</v>
      </c>
      <c r="AJ41" s="177">
        <f t="shared" si="56"/>
        <v>0</v>
      </c>
      <c r="AK41" s="177">
        <f t="shared" si="56"/>
        <v>0</v>
      </c>
      <c r="AL41" s="177">
        <f t="shared" ref="AL41:AL50" si="57">AK41+AJ41+AI41</f>
        <v>0</v>
      </c>
      <c r="AM41" s="177">
        <f t="shared" ref="AM41:AO50" si="58">AM40+O41</f>
        <v>0</v>
      </c>
      <c r="AN41" s="177">
        <f t="shared" si="58"/>
        <v>0</v>
      </c>
      <c r="AO41" s="177">
        <f t="shared" si="58"/>
        <v>0</v>
      </c>
      <c r="AP41" s="177">
        <f t="shared" ref="AP41:AP51" si="59">AO41+AN41+AM41</f>
        <v>0</v>
      </c>
      <c r="AQ41" s="177">
        <f t="shared" ref="AQ41:AR51" si="60">AQ40+S41</f>
        <v>0</v>
      </c>
      <c r="AR41" s="177">
        <f t="shared" si="60"/>
        <v>0</v>
      </c>
      <c r="AS41" s="177">
        <f t="shared" ref="AS41:AS51" si="61">AR41+AQ41</f>
        <v>0</v>
      </c>
      <c r="AT41" s="177">
        <f t="shared" si="0"/>
        <v>1967693197</v>
      </c>
      <c r="AU41" s="177">
        <f t="shared" si="1"/>
        <v>0</v>
      </c>
      <c r="AV41" s="177">
        <f t="shared" si="2"/>
        <v>0</v>
      </c>
      <c r="AW41" s="382">
        <f t="shared" si="3"/>
        <v>1967693197</v>
      </c>
    </row>
    <row r="42" spans="1:49" ht="15.75" hidden="1" thickBot="1">
      <c r="A42" s="170">
        <v>41334</v>
      </c>
      <c r="B42" s="378">
        <v>0</v>
      </c>
      <c r="C42" s="3">
        <v>0</v>
      </c>
      <c r="D42" s="3">
        <f t="shared" si="4"/>
        <v>0</v>
      </c>
      <c r="E42" s="3">
        <v>1034306785</v>
      </c>
      <c r="F42" s="3">
        <v>0</v>
      </c>
      <c r="G42" s="3">
        <f t="shared" si="5"/>
        <v>1034306785</v>
      </c>
      <c r="H42" s="3">
        <v>0</v>
      </c>
      <c r="I42" s="3">
        <v>0</v>
      </c>
      <c r="J42" s="3">
        <f t="shared" si="6"/>
        <v>0</v>
      </c>
      <c r="K42" s="3">
        <v>0</v>
      </c>
      <c r="L42" s="3">
        <v>488045</v>
      </c>
      <c r="M42" s="3">
        <v>0</v>
      </c>
      <c r="N42" s="3">
        <f t="shared" si="7"/>
        <v>488045</v>
      </c>
      <c r="O42" s="3">
        <v>0</v>
      </c>
      <c r="P42" s="3">
        <v>0</v>
      </c>
      <c r="Q42" s="3">
        <v>0</v>
      </c>
      <c r="R42" s="3">
        <f t="shared" si="8"/>
        <v>0</v>
      </c>
      <c r="S42" s="3">
        <v>0</v>
      </c>
      <c r="T42" s="3">
        <v>0</v>
      </c>
      <c r="U42" s="3">
        <f t="shared" si="9"/>
        <v>0</v>
      </c>
      <c r="V42" s="3">
        <f t="shared" si="10"/>
        <v>1034306785</v>
      </c>
      <c r="W42" s="3">
        <f t="shared" si="11"/>
        <v>488045</v>
      </c>
      <c r="X42" s="3">
        <f t="shared" si="12"/>
        <v>0</v>
      </c>
      <c r="Y42" s="379">
        <f t="shared" si="13"/>
        <v>1034794830</v>
      </c>
      <c r="Z42" s="177">
        <f t="shared" si="50"/>
        <v>18434</v>
      </c>
      <c r="AA42" s="177">
        <f t="shared" si="50"/>
        <v>0</v>
      </c>
      <c r="AB42" s="177">
        <f t="shared" si="51"/>
        <v>18434</v>
      </c>
      <c r="AC42" s="177">
        <f t="shared" si="52"/>
        <v>3001981548</v>
      </c>
      <c r="AD42" s="177">
        <f t="shared" si="52"/>
        <v>0</v>
      </c>
      <c r="AE42" s="177">
        <f t="shared" si="53"/>
        <v>3001981548</v>
      </c>
      <c r="AF42" s="177">
        <f t="shared" si="54"/>
        <v>0</v>
      </c>
      <c r="AG42" s="177">
        <f t="shared" si="54"/>
        <v>0</v>
      </c>
      <c r="AH42" s="177">
        <f t="shared" si="55"/>
        <v>0</v>
      </c>
      <c r="AI42" s="177">
        <f t="shared" si="56"/>
        <v>0</v>
      </c>
      <c r="AJ42" s="177">
        <f t="shared" si="56"/>
        <v>488045</v>
      </c>
      <c r="AK42" s="177">
        <f t="shared" si="56"/>
        <v>0</v>
      </c>
      <c r="AL42" s="177">
        <f t="shared" si="57"/>
        <v>488045</v>
      </c>
      <c r="AM42" s="177">
        <f t="shared" si="58"/>
        <v>0</v>
      </c>
      <c r="AN42" s="177">
        <f t="shared" si="58"/>
        <v>0</v>
      </c>
      <c r="AO42" s="177">
        <f t="shared" si="58"/>
        <v>0</v>
      </c>
      <c r="AP42" s="177">
        <f t="shared" si="59"/>
        <v>0</v>
      </c>
      <c r="AQ42" s="177">
        <f t="shared" si="60"/>
        <v>0</v>
      </c>
      <c r="AR42" s="177">
        <f t="shared" si="60"/>
        <v>0</v>
      </c>
      <c r="AS42" s="177">
        <f t="shared" si="61"/>
        <v>0</v>
      </c>
      <c r="AT42" s="177">
        <f t="shared" si="0"/>
        <v>3001999982</v>
      </c>
      <c r="AU42" s="177">
        <f t="shared" si="1"/>
        <v>488045</v>
      </c>
      <c r="AV42" s="177">
        <f t="shared" si="2"/>
        <v>0</v>
      </c>
      <c r="AW42" s="382">
        <f t="shared" si="3"/>
        <v>3002488027</v>
      </c>
    </row>
    <row r="43" spans="1:49" ht="15.75" hidden="1" thickBot="1">
      <c r="A43" s="170">
        <v>41365</v>
      </c>
      <c r="B43" s="378">
        <v>133752</v>
      </c>
      <c r="C43" s="3">
        <v>0</v>
      </c>
      <c r="D43" s="3">
        <f t="shared" si="4"/>
        <v>133752</v>
      </c>
      <c r="E43" s="3">
        <v>1085559590</v>
      </c>
      <c r="F43" s="3">
        <v>0</v>
      </c>
      <c r="G43" s="3">
        <f t="shared" si="5"/>
        <v>1085559590</v>
      </c>
      <c r="H43" s="3">
        <v>0</v>
      </c>
      <c r="I43" s="3">
        <v>0</v>
      </c>
      <c r="J43" s="3">
        <f t="shared" si="6"/>
        <v>0</v>
      </c>
      <c r="K43" s="3">
        <v>0</v>
      </c>
      <c r="L43" s="3">
        <v>2093</v>
      </c>
      <c r="M43" s="3">
        <v>0</v>
      </c>
      <c r="N43" s="3">
        <f t="shared" si="7"/>
        <v>2093</v>
      </c>
      <c r="O43" s="3">
        <v>0</v>
      </c>
      <c r="P43" s="3">
        <v>0</v>
      </c>
      <c r="Q43" s="3">
        <v>0</v>
      </c>
      <c r="R43" s="3">
        <f t="shared" si="8"/>
        <v>0</v>
      </c>
      <c r="S43" s="3">
        <v>0</v>
      </c>
      <c r="T43" s="3">
        <v>0</v>
      </c>
      <c r="U43" s="3">
        <f t="shared" si="9"/>
        <v>0</v>
      </c>
      <c r="V43" s="3">
        <f t="shared" si="10"/>
        <v>1085693342</v>
      </c>
      <c r="W43" s="3">
        <f t="shared" si="11"/>
        <v>2093</v>
      </c>
      <c r="X43" s="3">
        <f t="shared" si="12"/>
        <v>0</v>
      </c>
      <c r="Y43" s="379">
        <f t="shared" si="13"/>
        <v>1085695435</v>
      </c>
      <c r="Z43" s="177">
        <f t="shared" si="50"/>
        <v>152186</v>
      </c>
      <c r="AA43" s="177">
        <f t="shared" si="50"/>
        <v>0</v>
      </c>
      <c r="AB43" s="177">
        <f t="shared" si="51"/>
        <v>152186</v>
      </c>
      <c r="AC43" s="177">
        <f t="shared" si="52"/>
        <v>4087541138</v>
      </c>
      <c r="AD43" s="177">
        <f t="shared" si="52"/>
        <v>0</v>
      </c>
      <c r="AE43" s="177">
        <f t="shared" si="53"/>
        <v>4087541138</v>
      </c>
      <c r="AF43" s="177">
        <f t="shared" si="54"/>
        <v>0</v>
      </c>
      <c r="AG43" s="177">
        <f t="shared" si="54"/>
        <v>0</v>
      </c>
      <c r="AH43" s="177">
        <f t="shared" si="55"/>
        <v>0</v>
      </c>
      <c r="AI43" s="177">
        <f t="shared" si="56"/>
        <v>0</v>
      </c>
      <c r="AJ43" s="177">
        <f t="shared" si="56"/>
        <v>490138</v>
      </c>
      <c r="AK43" s="177">
        <f t="shared" si="56"/>
        <v>0</v>
      </c>
      <c r="AL43" s="177">
        <f t="shared" si="57"/>
        <v>490138</v>
      </c>
      <c r="AM43" s="177">
        <f t="shared" si="58"/>
        <v>0</v>
      </c>
      <c r="AN43" s="177">
        <f t="shared" si="58"/>
        <v>0</v>
      </c>
      <c r="AO43" s="177">
        <f t="shared" si="58"/>
        <v>0</v>
      </c>
      <c r="AP43" s="177">
        <f t="shared" si="59"/>
        <v>0</v>
      </c>
      <c r="AQ43" s="177">
        <f t="shared" si="60"/>
        <v>0</v>
      </c>
      <c r="AR43" s="177">
        <f t="shared" si="60"/>
        <v>0</v>
      </c>
      <c r="AS43" s="177">
        <f t="shared" si="61"/>
        <v>0</v>
      </c>
      <c r="AT43" s="177">
        <f t="shared" si="0"/>
        <v>4087693324</v>
      </c>
      <c r="AU43" s="177">
        <f t="shared" si="1"/>
        <v>490138</v>
      </c>
      <c r="AV43" s="177">
        <f t="shared" si="2"/>
        <v>0</v>
      </c>
      <c r="AW43" s="382">
        <f t="shared" si="3"/>
        <v>4088183462</v>
      </c>
    </row>
    <row r="44" spans="1:49" ht="15.75" hidden="1" thickBot="1">
      <c r="A44" s="170">
        <v>41395</v>
      </c>
      <c r="B44" s="378">
        <v>76777</v>
      </c>
      <c r="C44" s="3">
        <v>0</v>
      </c>
      <c r="D44" s="3">
        <f t="shared" si="4"/>
        <v>76777</v>
      </c>
      <c r="E44" s="3">
        <v>1140894814</v>
      </c>
      <c r="F44" s="3">
        <v>0</v>
      </c>
      <c r="G44" s="3">
        <f t="shared" si="5"/>
        <v>1140894814</v>
      </c>
      <c r="H44" s="3">
        <v>0</v>
      </c>
      <c r="I44" s="3">
        <v>0</v>
      </c>
      <c r="J44" s="3">
        <f t="shared" si="6"/>
        <v>0</v>
      </c>
      <c r="K44" s="3">
        <v>0</v>
      </c>
      <c r="L44" s="3">
        <v>22369009</v>
      </c>
      <c r="M44" s="3">
        <v>0</v>
      </c>
      <c r="N44" s="3">
        <f t="shared" si="7"/>
        <v>22369009</v>
      </c>
      <c r="O44" s="3">
        <v>0</v>
      </c>
      <c r="P44" s="3">
        <v>0</v>
      </c>
      <c r="Q44" s="3">
        <v>0</v>
      </c>
      <c r="R44" s="3">
        <f t="shared" si="8"/>
        <v>0</v>
      </c>
      <c r="S44" s="3">
        <v>0</v>
      </c>
      <c r="T44" s="3">
        <v>0</v>
      </c>
      <c r="U44" s="3">
        <f t="shared" si="9"/>
        <v>0</v>
      </c>
      <c r="V44" s="3">
        <f t="shared" si="10"/>
        <v>1140971591</v>
      </c>
      <c r="W44" s="3">
        <f t="shared" si="11"/>
        <v>22369009</v>
      </c>
      <c r="X44" s="3">
        <f t="shared" si="12"/>
        <v>0</v>
      </c>
      <c r="Y44" s="379">
        <f t="shared" si="13"/>
        <v>1163340600</v>
      </c>
      <c r="Z44" s="177">
        <f t="shared" si="50"/>
        <v>228963</v>
      </c>
      <c r="AA44" s="177">
        <f t="shared" si="50"/>
        <v>0</v>
      </c>
      <c r="AB44" s="177">
        <f t="shared" si="51"/>
        <v>228963</v>
      </c>
      <c r="AC44" s="177">
        <f t="shared" si="52"/>
        <v>5228435952</v>
      </c>
      <c r="AD44" s="177">
        <f t="shared" si="52"/>
        <v>0</v>
      </c>
      <c r="AE44" s="177">
        <f t="shared" si="53"/>
        <v>5228435952</v>
      </c>
      <c r="AF44" s="177">
        <f t="shared" si="54"/>
        <v>0</v>
      </c>
      <c r="AG44" s="177">
        <f t="shared" si="54"/>
        <v>0</v>
      </c>
      <c r="AH44" s="177">
        <f t="shared" si="55"/>
        <v>0</v>
      </c>
      <c r="AI44" s="177">
        <f t="shared" si="56"/>
        <v>0</v>
      </c>
      <c r="AJ44" s="177">
        <f t="shared" si="56"/>
        <v>22859147</v>
      </c>
      <c r="AK44" s="177">
        <f t="shared" si="56"/>
        <v>0</v>
      </c>
      <c r="AL44" s="177">
        <f t="shared" si="57"/>
        <v>22859147</v>
      </c>
      <c r="AM44" s="177">
        <f t="shared" si="58"/>
        <v>0</v>
      </c>
      <c r="AN44" s="177">
        <f t="shared" si="58"/>
        <v>0</v>
      </c>
      <c r="AO44" s="177">
        <f t="shared" si="58"/>
        <v>0</v>
      </c>
      <c r="AP44" s="177">
        <f t="shared" si="59"/>
        <v>0</v>
      </c>
      <c r="AQ44" s="177">
        <f t="shared" si="60"/>
        <v>0</v>
      </c>
      <c r="AR44" s="177">
        <f t="shared" si="60"/>
        <v>0</v>
      </c>
      <c r="AS44" s="177">
        <f t="shared" si="61"/>
        <v>0</v>
      </c>
      <c r="AT44" s="177">
        <f t="shared" si="0"/>
        <v>5228664915</v>
      </c>
      <c r="AU44" s="177">
        <f t="shared" si="1"/>
        <v>22859147</v>
      </c>
      <c r="AV44" s="177">
        <f t="shared" si="2"/>
        <v>0</v>
      </c>
      <c r="AW44" s="382">
        <f t="shared" si="3"/>
        <v>5251524062</v>
      </c>
    </row>
    <row r="45" spans="1:49" ht="15.75" hidden="1" thickBot="1">
      <c r="A45" s="170">
        <v>41426</v>
      </c>
      <c r="B45" s="378">
        <v>100987</v>
      </c>
      <c r="C45" s="3">
        <v>0</v>
      </c>
      <c r="D45" s="3">
        <f t="shared" si="4"/>
        <v>100987</v>
      </c>
      <c r="E45" s="3">
        <v>1103586859</v>
      </c>
      <c r="F45" s="3">
        <v>0</v>
      </c>
      <c r="G45" s="3">
        <f t="shared" si="5"/>
        <v>1103586859</v>
      </c>
      <c r="H45" s="3">
        <v>0</v>
      </c>
      <c r="I45" s="3">
        <v>0</v>
      </c>
      <c r="J45" s="3">
        <f t="shared" si="6"/>
        <v>0</v>
      </c>
      <c r="K45" s="3">
        <v>0</v>
      </c>
      <c r="L45" s="3">
        <v>19169158</v>
      </c>
      <c r="M45" s="3">
        <v>0</v>
      </c>
      <c r="N45" s="3">
        <f t="shared" si="7"/>
        <v>19169158</v>
      </c>
      <c r="O45" s="3">
        <v>0</v>
      </c>
      <c r="P45" s="3">
        <v>0</v>
      </c>
      <c r="Q45" s="3">
        <v>0</v>
      </c>
      <c r="R45" s="3">
        <f t="shared" si="8"/>
        <v>0</v>
      </c>
      <c r="S45" s="3">
        <v>0</v>
      </c>
      <c r="T45" s="3">
        <v>0</v>
      </c>
      <c r="U45" s="3">
        <f t="shared" si="9"/>
        <v>0</v>
      </c>
      <c r="V45" s="3">
        <f t="shared" si="10"/>
        <v>1103687846</v>
      </c>
      <c r="W45" s="3">
        <f t="shared" si="11"/>
        <v>19169158</v>
      </c>
      <c r="X45" s="3">
        <f t="shared" si="12"/>
        <v>0</v>
      </c>
      <c r="Y45" s="379">
        <f t="shared" si="13"/>
        <v>1122857004</v>
      </c>
      <c r="Z45" s="177">
        <f t="shared" si="50"/>
        <v>329950</v>
      </c>
      <c r="AA45" s="177">
        <f t="shared" si="50"/>
        <v>0</v>
      </c>
      <c r="AB45" s="177">
        <f t="shared" si="51"/>
        <v>329950</v>
      </c>
      <c r="AC45" s="177">
        <f t="shared" si="52"/>
        <v>6332022811</v>
      </c>
      <c r="AD45" s="177">
        <f t="shared" si="52"/>
        <v>0</v>
      </c>
      <c r="AE45" s="177">
        <f t="shared" si="53"/>
        <v>6332022811</v>
      </c>
      <c r="AF45" s="177">
        <f t="shared" si="54"/>
        <v>0</v>
      </c>
      <c r="AG45" s="177">
        <f t="shared" si="54"/>
        <v>0</v>
      </c>
      <c r="AH45" s="177">
        <f t="shared" si="55"/>
        <v>0</v>
      </c>
      <c r="AI45" s="177">
        <f t="shared" si="56"/>
        <v>0</v>
      </c>
      <c r="AJ45" s="177">
        <f t="shared" si="56"/>
        <v>42028305</v>
      </c>
      <c r="AK45" s="177">
        <f t="shared" si="56"/>
        <v>0</v>
      </c>
      <c r="AL45" s="177">
        <f t="shared" si="57"/>
        <v>42028305</v>
      </c>
      <c r="AM45" s="177">
        <f t="shared" si="58"/>
        <v>0</v>
      </c>
      <c r="AN45" s="177">
        <f t="shared" si="58"/>
        <v>0</v>
      </c>
      <c r="AO45" s="177">
        <f t="shared" si="58"/>
        <v>0</v>
      </c>
      <c r="AP45" s="177">
        <f t="shared" si="59"/>
        <v>0</v>
      </c>
      <c r="AQ45" s="177">
        <f t="shared" si="60"/>
        <v>0</v>
      </c>
      <c r="AR45" s="177">
        <f t="shared" si="60"/>
        <v>0</v>
      </c>
      <c r="AS45" s="177">
        <f t="shared" si="61"/>
        <v>0</v>
      </c>
      <c r="AT45" s="177">
        <f t="shared" si="0"/>
        <v>6332352761</v>
      </c>
      <c r="AU45" s="177">
        <f t="shared" si="1"/>
        <v>42028305</v>
      </c>
      <c r="AV45" s="177">
        <f t="shared" si="2"/>
        <v>0</v>
      </c>
      <c r="AW45" s="382">
        <f t="shared" si="3"/>
        <v>6374381066</v>
      </c>
    </row>
    <row r="46" spans="1:49" ht="15.75" hidden="1" thickBot="1">
      <c r="A46" s="170">
        <v>41456</v>
      </c>
      <c r="B46" s="378">
        <v>318418</v>
      </c>
      <c r="C46" s="3">
        <v>0</v>
      </c>
      <c r="D46" s="3">
        <f t="shared" si="4"/>
        <v>318418</v>
      </c>
      <c r="E46" s="3">
        <v>1119553179</v>
      </c>
      <c r="F46" s="3">
        <v>0</v>
      </c>
      <c r="G46" s="3">
        <f t="shared" si="5"/>
        <v>1119553179</v>
      </c>
      <c r="H46" s="3">
        <v>15198</v>
      </c>
      <c r="I46" s="3">
        <v>0</v>
      </c>
      <c r="J46" s="3">
        <f t="shared" si="6"/>
        <v>15198</v>
      </c>
      <c r="K46" s="3">
        <v>0</v>
      </c>
      <c r="L46" s="3">
        <v>28382385</v>
      </c>
      <c r="M46" s="3">
        <v>0</v>
      </c>
      <c r="N46" s="3">
        <f t="shared" si="7"/>
        <v>28382385</v>
      </c>
      <c r="O46" s="3">
        <v>0</v>
      </c>
      <c r="P46" s="3">
        <v>0</v>
      </c>
      <c r="Q46" s="3">
        <v>0</v>
      </c>
      <c r="R46" s="3">
        <f t="shared" si="8"/>
        <v>0</v>
      </c>
      <c r="S46" s="3">
        <v>0</v>
      </c>
      <c r="T46" s="3">
        <v>0</v>
      </c>
      <c r="U46" s="3">
        <f t="shared" si="9"/>
        <v>0</v>
      </c>
      <c r="V46" s="3">
        <f t="shared" si="10"/>
        <v>1119886795</v>
      </c>
      <c r="W46" s="3">
        <f t="shared" si="11"/>
        <v>28382385</v>
      </c>
      <c r="X46" s="3">
        <f t="shared" si="12"/>
        <v>0</v>
      </c>
      <c r="Y46" s="379">
        <f t="shared" si="13"/>
        <v>1148269180</v>
      </c>
      <c r="Z46" s="177">
        <f t="shared" si="50"/>
        <v>648368</v>
      </c>
      <c r="AA46" s="177">
        <f t="shared" si="50"/>
        <v>0</v>
      </c>
      <c r="AB46" s="177">
        <f t="shared" si="51"/>
        <v>648368</v>
      </c>
      <c r="AC46" s="177">
        <f t="shared" si="52"/>
        <v>7451575990</v>
      </c>
      <c r="AD46" s="177">
        <f t="shared" si="52"/>
        <v>0</v>
      </c>
      <c r="AE46" s="177">
        <f t="shared" si="53"/>
        <v>7451575990</v>
      </c>
      <c r="AF46" s="177">
        <f t="shared" si="54"/>
        <v>15198</v>
      </c>
      <c r="AG46" s="177">
        <f t="shared" si="54"/>
        <v>0</v>
      </c>
      <c r="AH46" s="177">
        <f t="shared" si="55"/>
        <v>15198</v>
      </c>
      <c r="AI46" s="177">
        <f t="shared" si="56"/>
        <v>0</v>
      </c>
      <c r="AJ46" s="177">
        <f t="shared" si="56"/>
        <v>70410690</v>
      </c>
      <c r="AK46" s="177">
        <f t="shared" si="56"/>
        <v>0</v>
      </c>
      <c r="AL46" s="177">
        <f t="shared" si="57"/>
        <v>70410690</v>
      </c>
      <c r="AM46" s="177">
        <f t="shared" si="58"/>
        <v>0</v>
      </c>
      <c r="AN46" s="177">
        <f t="shared" si="58"/>
        <v>0</v>
      </c>
      <c r="AO46" s="177">
        <f t="shared" si="58"/>
        <v>0</v>
      </c>
      <c r="AP46" s="177">
        <f t="shared" si="59"/>
        <v>0</v>
      </c>
      <c r="AQ46" s="177">
        <f t="shared" si="60"/>
        <v>0</v>
      </c>
      <c r="AR46" s="177">
        <f t="shared" si="60"/>
        <v>0</v>
      </c>
      <c r="AS46" s="177">
        <f t="shared" si="61"/>
        <v>0</v>
      </c>
      <c r="AT46" s="177">
        <f t="shared" si="0"/>
        <v>7452239556</v>
      </c>
      <c r="AU46" s="177">
        <f t="shared" si="1"/>
        <v>70410690</v>
      </c>
      <c r="AV46" s="177">
        <f t="shared" si="2"/>
        <v>0</v>
      </c>
      <c r="AW46" s="382">
        <f t="shared" si="3"/>
        <v>7522650246</v>
      </c>
    </row>
    <row r="47" spans="1:49" ht="15.75" hidden="1" thickBot="1">
      <c r="A47" s="170">
        <v>41487</v>
      </c>
      <c r="B47" s="378">
        <v>0</v>
      </c>
      <c r="C47" s="3">
        <v>4146178</v>
      </c>
      <c r="D47" s="3">
        <f t="shared" si="4"/>
        <v>4146178</v>
      </c>
      <c r="E47" s="3">
        <v>1102723346</v>
      </c>
      <c r="F47" s="3">
        <v>0</v>
      </c>
      <c r="G47" s="3">
        <f t="shared" si="5"/>
        <v>1102723346</v>
      </c>
      <c r="H47" s="3">
        <v>0</v>
      </c>
      <c r="I47" s="3">
        <v>0</v>
      </c>
      <c r="J47" s="3">
        <f t="shared" si="6"/>
        <v>0</v>
      </c>
      <c r="K47" s="3">
        <v>0</v>
      </c>
      <c r="L47" s="3">
        <v>22630462</v>
      </c>
      <c r="M47" s="3">
        <v>0</v>
      </c>
      <c r="N47" s="3">
        <f t="shared" si="7"/>
        <v>22630462</v>
      </c>
      <c r="O47" s="3">
        <v>0</v>
      </c>
      <c r="P47" s="3">
        <v>0</v>
      </c>
      <c r="Q47" s="3">
        <v>0</v>
      </c>
      <c r="R47" s="3">
        <f t="shared" si="8"/>
        <v>0</v>
      </c>
      <c r="S47" s="3">
        <v>0</v>
      </c>
      <c r="T47" s="3">
        <v>0</v>
      </c>
      <c r="U47" s="3">
        <f t="shared" si="9"/>
        <v>0</v>
      </c>
      <c r="V47" s="3">
        <f t="shared" si="10"/>
        <v>1102723346</v>
      </c>
      <c r="W47" s="3">
        <f t="shared" si="11"/>
        <v>22630462</v>
      </c>
      <c r="X47" s="3">
        <f t="shared" si="12"/>
        <v>4146178</v>
      </c>
      <c r="Y47" s="379">
        <f t="shared" si="13"/>
        <v>1129499986</v>
      </c>
      <c r="Z47" s="177">
        <f t="shared" si="50"/>
        <v>648368</v>
      </c>
      <c r="AA47" s="177">
        <f t="shared" si="50"/>
        <v>4146178</v>
      </c>
      <c r="AB47" s="177">
        <f t="shared" si="51"/>
        <v>4794546</v>
      </c>
      <c r="AC47" s="177">
        <f t="shared" si="52"/>
        <v>8554299336</v>
      </c>
      <c r="AD47" s="177">
        <f t="shared" si="52"/>
        <v>0</v>
      </c>
      <c r="AE47" s="177">
        <f t="shared" si="53"/>
        <v>8554299336</v>
      </c>
      <c r="AF47" s="177">
        <f t="shared" si="54"/>
        <v>15198</v>
      </c>
      <c r="AG47" s="177">
        <f t="shared" si="54"/>
        <v>0</v>
      </c>
      <c r="AH47" s="177">
        <f t="shared" si="55"/>
        <v>15198</v>
      </c>
      <c r="AI47" s="177">
        <f t="shared" si="56"/>
        <v>0</v>
      </c>
      <c r="AJ47" s="177">
        <f t="shared" si="56"/>
        <v>93041152</v>
      </c>
      <c r="AK47" s="177">
        <f t="shared" si="56"/>
        <v>0</v>
      </c>
      <c r="AL47" s="177">
        <f t="shared" si="57"/>
        <v>93041152</v>
      </c>
      <c r="AM47" s="177">
        <f t="shared" si="58"/>
        <v>0</v>
      </c>
      <c r="AN47" s="177">
        <f t="shared" si="58"/>
        <v>0</v>
      </c>
      <c r="AO47" s="177">
        <f t="shared" si="58"/>
        <v>0</v>
      </c>
      <c r="AP47" s="177">
        <f t="shared" si="59"/>
        <v>0</v>
      </c>
      <c r="AQ47" s="177">
        <f t="shared" si="60"/>
        <v>0</v>
      </c>
      <c r="AR47" s="177">
        <f t="shared" si="60"/>
        <v>0</v>
      </c>
      <c r="AS47" s="177">
        <f t="shared" si="61"/>
        <v>0</v>
      </c>
      <c r="AT47" s="177">
        <f t="shared" si="0"/>
        <v>8554962902</v>
      </c>
      <c r="AU47" s="177">
        <f t="shared" si="1"/>
        <v>93041152</v>
      </c>
      <c r="AV47" s="177">
        <f t="shared" si="2"/>
        <v>4146178</v>
      </c>
      <c r="AW47" s="382">
        <f t="shared" si="3"/>
        <v>8652150232</v>
      </c>
    </row>
    <row r="48" spans="1:49" ht="15.75" hidden="1" thickBot="1">
      <c r="A48" s="170">
        <v>41518</v>
      </c>
      <c r="B48" s="378">
        <v>102850</v>
      </c>
      <c r="C48" s="3">
        <v>14322763</v>
      </c>
      <c r="D48" s="3">
        <f t="shared" si="4"/>
        <v>14425613</v>
      </c>
      <c r="E48" s="3">
        <v>1068584497</v>
      </c>
      <c r="F48" s="3">
        <v>0</v>
      </c>
      <c r="G48" s="3">
        <f t="shared" si="5"/>
        <v>1068584497</v>
      </c>
      <c r="H48" s="3">
        <v>0</v>
      </c>
      <c r="I48" s="3">
        <v>0</v>
      </c>
      <c r="J48" s="3">
        <f t="shared" si="6"/>
        <v>0</v>
      </c>
      <c r="K48" s="3">
        <v>0</v>
      </c>
      <c r="L48" s="3">
        <v>29966704</v>
      </c>
      <c r="M48" s="3">
        <v>0</v>
      </c>
      <c r="N48" s="3">
        <f t="shared" si="7"/>
        <v>29966704</v>
      </c>
      <c r="O48" s="3">
        <v>0</v>
      </c>
      <c r="P48" s="3">
        <v>0</v>
      </c>
      <c r="Q48" s="3">
        <v>0</v>
      </c>
      <c r="R48" s="3">
        <f t="shared" si="8"/>
        <v>0</v>
      </c>
      <c r="S48" s="3">
        <v>0</v>
      </c>
      <c r="T48" s="3">
        <v>0</v>
      </c>
      <c r="U48" s="3">
        <f t="shared" si="9"/>
        <v>0</v>
      </c>
      <c r="V48" s="3">
        <f t="shared" si="10"/>
        <v>1068687347</v>
      </c>
      <c r="W48" s="3">
        <f t="shared" si="11"/>
        <v>29966704</v>
      </c>
      <c r="X48" s="3">
        <f t="shared" si="12"/>
        <v>14322763</v>
      </c>
      <c r="Y48" s="379">
        <f t="shared" si="13"/>
        <v>1112976814</v>
      </c>
      <c r="Z48" s="177">
        <f t="shared" si="50"/>
        <v>751218</v>
      </c>
      <c r="AA48" s="177">
        <f t="shared" si="50"/>
        <v>18468941</v>
      </c>
      <c r="AB48" s="177">
        <f t="shared" si="51"/>
        <v>19220159</v>
      </c>
      <c r="AC48" s="177">
        <f t="shared" si="52"/>
        <v>9622883833</v>
      </c>
      <c r="AD48" s="177">
        <f t="shared" si="52"/>
        <v>0</v>
      </c>
      <c r="AE48" s="177">
        <f t="shared" si="53"/>
        <v>9622883833</v>
      </c>
      <c r="AF48" s="177">
        <f t="shared" si="54"/>
        <v>15198</v>
      </c>
      <c r="AG48" s="177">
        <f t="shared" si="54"/>
        <v>0</v>
      </c>
      <c r="AH48" s="177">
        <f t="shared" si="55"/>
        <v>15198</v>
      </c>
      <c r="AI48" s="177">
        <f t="shared" si="56"/>
        <v>0</v>
      </c>
      <c r="AJ48" s="177">
        <f t="shared" si="56"/>
        <v>123007856</v>
      </c>
      <c r="AK48" s="177">
        <f t="shared" si="56"/>
        <v>0</v>
      </c>
      <c r="AL48" s="177">
        <f t="shared" si="57"/>
        <v>123007856</v>
      </c>
      <c r="AM48" s="177">
        <f t="shared" si="58"/>
        <v>0</v>
      </c>
      <c r="AN48" s="177">
        <f t="shared" si="58"/>
        <v>0</v>
      </c>
      <c r="AO48" s="177">
        <f t="shared" si="58"/>
        <v>0</v>
      </c>
      <c r="AP48" s="177">
        <f t="shared" si="59"/>
        <v>0</v>
      </c>
      <c r="AQ48" s="177">
        <f t="shared" si="60"/>
        <v>0</v>
      </c>
      <c r="AR48" s="177">
        <f t="shared" si="60"/>
        <v>0</v>
      </c>
      <c r="AS48" s="177">
        <f t="shared" si="61"/>
        <v>0</v>
      </c>
      <c r="AT48" s="177">
        <f t="shared" si="0"/>
        <v>9623650249</v>
      </c>
      <c r="AU48" s="177">
        <f t="shared" si="1"/>
        <v>123007856</v>
      </c>
      <c r="AV48" s="177">
        <f t="shared" si="2"/>
        <v>18468941</v>
      </c>
      <c r="AW48" s="382">
        <f t="shared" si="3"/>
        <v>9765127046</v>
      </c>
    </row>
    <row r="49" spans="1:49" ht="15.75" hidden="1" thickBot="1">
      <c r="A49" s="170">
        <v>41548</v>
      </c>
      <c r="B49" s="378">
        <v>2030814</v>
      </c>
      <c r="C49" s="3">
        <v>6266107</v>
      </c>
      <c r="D49" s="3">
        <f t="shared" si="4"/>
        <v>8296921</v>
      </c>
      <c r="E49" s="3">
        <v>1151767493</v>
      </c>
      <c r="F49" s="3">
        <v>0</v>
      </c>
      <c r="G49" s="3">
        <f t="shared" si="5"/>
        <v>1151767493</v>
      </c>
      <c r="H49" s="3">
        <v>0</v>
      </c>
      <c r="I49" s="3">
        <v>0</v>
      </c>
      <c r="J49" s="3">
        <f t="shared" si="6"/>
        <v>0</v>
      </c>
      <c r="K49" s="3">
        <v>0</v>
      </c>
      <c r="L49" s="3">
        <v>25227953</v>
      </c>
      <c r="M49" s="3">
        <v>0</v>
      </c>
      <c r="N49" s="3">
        <f t="shared" si="7"/>
        <v>25227953</v>
      </c>
      <c r="O49" s="3">
        <v>0</v>
      </c>
      <c r="P49" s="3">
        <v>0</v>
      </c>
      <c r="Q49" s="3">
        <v>0</v>
      </c>
      <c r="R49" s="3">
        <f t="shared" si="8"/>
        <v>0</v>
      </c>
      <c r="S49" s="3">
        <v>0</v>
      </c>
      <c r="T49" s="3">
        <v>0</v>
      </c>
      <c r="U49" s="3">
        <f t="shared" si="9"/>
        <v>0</v>
      </c>
      <c r="V49" s="3">
        <f t="shared" si="10"/>
        <v>1153798307</v>
      </c>
      <c r="W49" s="3">
        <f t="shared" si="11"/>
        <v>25227953</v>
      </c>
      <c r="X49" s="3">
        <f t="shared" si="12"/>
        <v>6266107</v>
      </c>
      <c r="Y49" s="379">
        <f t="shared" si="13"/>
        <v>1185292367</v>
      </c>
      <c r="Z49" s="177">
        <f t="shared" si="50"/>
        <v>2782032</v>
      </c>
      <c r="AA49" s="177">
        <f t="shared" si="50"/>
        <v>24735048</v>
      </c>
      <c r="AB49" s="177">
        <f t="shared" si="51"/>
        <v>27517080</v>
      </c>
      <c r="AC49" s="177">
        <f t="shared" si="52"/>
        <v>10774651326</v>
      </c>
      <c r="AD49" s="177">
        <f t="shared" si="52"/>
        <v>0</v>
      </c>
      <c r="AE49" s="177">
        <f t="shared" si="53"/>
        <v>10774651326</v>
      </c>
      <c r="AF49" s="177">
        <f t="shared" si="54"/>
        <v>15198</v>
      </c>
      <c r="AG49" s="177">
        <f t="shared" si="54"/>
        <v>0</v>
      </c>
      <c r="AH49" s="177">
        <f t="shared" si="55"/>
        <v>15198</v>
      </c>
      <c r="AI49" s="177">
        <f t="shared" si="56"/>
        <v>0</v>
      </c>
      <c r="AJ49" s="177">
        <f t="shared" si="56"/>
        <v>148235809</v>
      </c>
      <c r="AK49" s="177">
        <f t="shared" si="56"/>
        <v>0</v>
      </c>
      <c r="AL49" s="177">
        <f t="shared" si="57"/>
        <v>148235809</v>
      </c>
      <c r="AM49" s="177">
        <f t="shared" si="58"/>
        <v>0</v>
      </c>
      <c r="AN49" s="177">
        <f t="shared" si="58"/>
        <v>0</v>
      </c>
      <c r="AO49" s="177">
        <f t="shared" si="58"/>
        <v>0</v>
      </c>
      <c r="AP49" s="177">
        <f t="shared" si="59"/>
        <v>0</v>
      </c>
      <c r="AQ49" s="177">
        <f t="shared" si="60"/>
        <v>0</v>
      </c>
      <c r="AR49" s="177">
        <f t="shared" si="60"/>
        <v>0</v>
      </c>
      <c r="AS49" s="177">
        <f t="shared" si="61"/>
        <v>0</v>
      </c>
      <c r="AT49" s="177">
        <f t="shared" si="0"/>
        <v>10777448556</v>
      </c>
      <c r="AU49" s="177">
        <f t="shared" si="1"/>
        <v>148235809</v>
      </c>
      <c r="AV49" s="177">
        <f t="shared" si="2"/>
        <v>24735048</v>
      </c>
      <c r="AW49" s="382">
        <f t="shared" si="3"/>
        <v>10950419413</v>
      </c>
    </row>
    <row r="50" spans="1:49" ht="15.75" hidden="1" thickBot="1">
      <c r="A50" s="170">
        <v>41579</v>
      </c>
      <c r="B50" s="378">
        <v>2353574</v>
      </c>
      <c r="C50" s="3">
        <v>2133826</v>
      </c>
      <c r="D50" s="3">
        <f t="shared" si="4"/>
        <v>4487400</v>
      </c>
      <c r="E50" s="3">
        <v>1124339471</v>
      </c>
      <c r="F50" s="3">
        <v>0</v>
      </c>
      <c r="G50" s="3">
        <f t="shared" si="5"/>
        <v>1124339471</v>
      </c>
      <c r="H50" s="3">
        <v>0</v>
      </c>
      <c r="I50" s="3">
        <v>0</v>
      </c>
      <c r="J50" s="3">
        <f t="shared" si="6"/>
        <v>0</v>
      </c>
      <c r="K50" s="3">
        <v>0</v>
      </c>
      <c r="L50" s="3">
        <v>22596358</v>
      </c>
      <c r="M50" s="3">
        <v>0</v>
      </c>
      <c r="N50" s="3">
        <f t="shared" si="7"/>
        <v>22596358</v>
      </c>
      <c r="O50" s="3">
        <v>0</v>
      </c>
      <c r="P50" s="3">
        <v>0</v>
      </c>
      <c r="Q50" s="3">
        <v>0</v>
      </c>
      <c r="R50" s="3">
        <f t="shared" si="8"/>
        <v>0</v>
      </c>
      <c r="S50" s="3">
        <v>0</v>
      </c>
      <c r="T50" s="3">
        <v>0</v>
      </c>
      <c r="U50" s="3">
        <f t="shared" si="9"/>
        <v>0</v>
      </c>
      <c r="V50" s="3">
        <f t="shared" si="10"/>
        <v>1126693045</v>
      </c>
      <c r="W50" s="3">
        <f t="shared" si="11"/>
        <v>22596358</v>
      </c>
      <c r="X50" s="3">
        <f t="shared" si="12"/>
        <v>2133826</v>
      </c>
      <c r="Y50" s="379">
        <f t="shared" si="13"/>
        <v>1151423229</v>
      </c>
      <c r="Z50" s="177">
        <f t="shared" si="50"/>
        <v>5135606</v>
      </c>
      <c r="AA50" s="177">
        <f t="shared" si="50"/>
        <v>26868874</v>
      </c>
      <c r="AB50" s="177">
        <f t="shared" si="51"/>
        <v>32004480</v>
      </c>
      <c r="AC50" s="177">
        <f t="shared" si="52"/>
        <v>11898990797</v>
      </c>
      <c r="AD50" s="177">
        <f t="shared" si="52"/>
        <v>0</v>
      </c>
      <c r="AE50" s="177">
        <f t="shared" si="53"/>
        <v>11898990797</v>
      </c>
      <c r="AF50" s="177">
        <f t="shared" si="54"/>
        <v>15198</v>
      </c>
      <c r="AG50" s="177">
        <f t="shared" si="54"/>
        <v>0</v>
      </c>
      <c r="AH50" s="177">
        <f t="shared" si="55"/>
        <v>15198</v>
      </c>
      <c r="AI50" s="177">
        <f t="shared" si="56"/>
        <v>0</v>
      </c>
      <c r="AJ50" s="177">
        <f t="shared" si="56"/>
        <v>170832167</v>
      </c>
      <c r="AK50" s="177">
        <f t="shared" si="56"/>
        <v>0</v>
      </c>
      <c r="AL50" s="177">
        <f t="shared" si="57"/>
        <v>170832167</v>
      </c>
      <c r="AM50" s="177">
        <f t="shared" si="58"/>
        <v>0</v>
      </c>
      <c r="AN50" s="177">
        <f t="shared" si="58"/>
        <v>0</v>
      </c>
      <c r="AO50" s="177">
        <f t="shared" si="58"/>
        <v>0</v>
      </c>
      <c r="AP50" s="177">
        <f t="shared" si="59"/>
        <v>0</v>
      </c>
      <c r="AQ50" s="177">
        <f t="shared" si="60"/>
        <v>0</v>
      </c>
      <c r="AR50" s="177">
        <f t="shared" si="60"/>
        <v>0</v>
      </c>
      <c r="AS50" s="177">
        <f t="shared" si="61"/>
        <v>0</v>
      </c>
      <c r="AT50" s="177">
        <f t="shared" si="0"/>
        <v>11904141601</v>
      </c>
      <c r="AU50" s="177">
        <f t="shared" si="1"/>
        <v>170832167</v>
      </c>
      <c r="AV50" s="177">
        <f t="shared" si="2"/>
        <v>26868874</v>
      </c>
      <c r="AW50" s="382">
        <f t="shared" si="3"/>
        <v>12101842642</v>
      </c>
    </row>
    <row r="51" spans="1:49" ht="15.75" hidden="1" thickBot="1">
      <c r="A51" s="170">
        <v>41609</v>
      </c>
      <c r="B51" s="378">
        <v>3875621</v>
      </c>
      <c r="C51" s="3">
        <v>19288261</v>
      </c>
      <c r="D51" s="3">
        <f t="shared" si="4"/>
        <v>23163882</v>
      </c>
      <c r="E51" s="3">
        <v>1199980139</v>
      </c>
      <c r="F51" s="3">
        <v>0</v>
      </c>
      <c r="G51" s="3">
        <f t="shared" si="5"/>
        <v>1199980139</v>
      </c>
      <c r="H51" s="3">
        <v>0</v>
      </c>
      <c r="I51" s="3">
        <v>0</v>
      </c>
      <c r="J51" s="3">
        <f t="shared" si="6"/>
        <v>0</v>
      </c>
      <c r="K51" s="3">
        <v>0</v>
      </c>
      <c r="L51" s="3">
        <v>25524922</v>
      </c>
      <c r="M51" s="3">
        <v>0</v>
      </c>
      <c r="N51" s="3">
        <f t="shared" si="7"/>
        <v>25524922</v>
      </c>
      <c r="O51" s="3">
        <v>0</v>
      </c>
      <c r="P51" s="3">
        <v>0</v>
      </c>
      <c r="Q51" s="3">
        <v>0</v>
      </c>
      <c r="R51" s="3">
        <f t="shared" si="8"/>
        <v>0</v>
      </c>
      <c r="S51" s="3">
        <v>0</v>
      </c>
      <c r="T51" s="3">
        <v>0</v>
      </c>
      <c r="U51" s="3">
        <f t="shared" si="9"/>
        <v>0</v>
      </c>
      <c r="V51" s="3">
        <f t="shared" si="10"/>
        <v>1203855760</v>
      </c>
      <c r="W51" s="3">
        <f t="shared" si="11"/>
        <v>25524922</v>
      </c>
      <c r="X51" s="3">
        <f t="shared" si="12"/>
        <v>19288261</v>
      </c>
      <c r="Y51" s="379">
        <f t="shared" si="13"/>
        <v>1248668943</v>
      </c>
      <c r="Z51" s="177">
        <f t="shared" si="50"/>
        <v>9011227</v>
      </c>
      <c r="AA51" s="177">
        <f t="shared" si="50"/>
        <v>46157135</v>
      </c>
      <c r="AB51" s="177">
        <f t="shared" si="51"/>
        <v>55168362</v>
      </c>
      <c r="AC51" s="177">
        <f t="shared" si="52"/>
        <v>13098970936</v>
      </c>
      <c r="AD51" s="177">
        <f t="shared" si="52"/>
        <v>0</v>
      </c>
      <c r="AE51" s="177">
        <f t="shared" si="53"/>
        <v>13098970936</v>
      </c>
      <c r="AF51" s="177">
        <f t="shared" si="54"/>
        <v>15198</v>
      </c>
      <c r="AG51" s="177">
        <f t="shared" si="54"/>
        <v>0</v>
      </c>
      <c r="AH51" s="177">
        <f t="shared" si="55"/>
        <v>15198</v>
      </c>
      <c r="AI51" s="177">
        <f t="shared" si="56"/>
        <v>0</v>
      </c>
      <c r="AJ51" s="177">
        <f t="shared" si="56"/>
        <v>196357089</v>
      </c>
      <c r="AK51" s="177">
        <f t="shared" si="56"/>
        <v>0</v>
      </c>
      <c r="AL51" s="177">
        <f>AK51+AJ51+AI51</f>
        <v>196357089</v>
      </c>
      <c r="AM51" s="177">
        <f>AM50+O51</f>
        <v>0</v>
      </c>
      <c r="AN51" s="177">
        <f>AN50+P51</f>
        <v>0</v>
      </c>
      <c r="AO51" s="177">
        <f>AO50+Q51</f>
        <v>0</v>
      </c>
      <c r="AP51" s="177">
        <f t="shared" si="59"/>
        <v>0</v>
      </c>
      <c r="AQ51" s="177">
        <f t="shared" si="60"/>
        <v>0</v>
      </c>
      <c r="AR51" s="177">
        <f t="shared" si="60"/>
        <v>0</v>
      </c>
      <c r="AS51" s="177">
        <f t="shared" si="61"/>
        <v>0</v>
      </c>
      <c r="AT51" s="177">
        <f t="shared" si="0"/>
        <v>13107997361</v>
      </c>
      <c r="AU51" s="177">
        <f t="shared" si="1"/>
        <v>196357089</v>
      </c>
      <c r="AV51" s="177">
        <f t="shared" si="2"/>
        <v>46157135</v>
      </c>
      <c r="AW51" s="382">
        <f t="shared" si="3"/>
        <v>13350511585</v>
      </c>
    </row>
    <row r="52" spans="1:49" ht="15.75" hidden="1" thickBot="1">
      <c r="A52" s="171">
        <v>41640</v>
      </c>
      <c r="B52" s="385">
        <v>0</v>
      </c>
      <c r="C52" s="104">
        <v>0</v>
      </c>
      <c r="D52" s="104">
        <f t="shared" si="4"/>
        <v>0</v>
      </c>
      <c r="E52" s="104">
        <v>1150184079</v>
      </c>
      <c r="F52" s="104">
        <v>0</v>
      </c>
      <c r="G52" s="104">
        <f t="shared" si="5"/>
        <v>1150184079</v>
      </c>
      <c r="H52" s="104">
        <v>0</v>
      </c>
      <c r="I52" s="104">
        <v>0</v>
      </c>
      <c r="J52" s="104">
        <f t="shared" si="6"/>
        <v>0</v>
      </c>
      <c r="K52" s="104">
        <v>0</v>
      </c>
      <c r="L52" s="104">
        <v>24442187</v>
      </c>
      <c r="M52" s="104">
        <v>0</v>
      </c>
      <c r="N52" s="104">
        <f t="shared" si="7"/>
        <v>24442187</v>
      </c>
      <c r="O52" s="104">
        <v>0</v>
      </c>
      <c r="P52" s="104">
        <v>0</v>
      </c>
      <c r="Q52" s="104">
        <v>0</v>
      </c>
      <c r="R52" s="104">
        <f t="shared" si="8"/>
        <v>0</v>
      </c>
      <c r="S52" s="104">
        <v>0</v>
      </c>
      <c r="T52" s="104">
        <v>0</v>
      </c>
      <c r="U52" s="104">
        <f t="shared" si="9"/>
        <v>0</v>
      </c>
      <c r="V52" s="104">
        <f t="shared" si="10"/>
        <v>1150184079</v>
      </c>
      <c r="W52" s="104">
        <f t="shared" si="11"/>
        <v>24442187</v>
      </c>
      <c r="X52" s="104">
        <f t="shared" si="12"/>
        <v>0</v>
      </c>
      <c r="Y52" s="386">
        <f t="shared" si="13"/>
        <v>1174626266</v>
      </c>
      <c r="Z52" s="389">
        <f>B52</f>
        <v>0</v>
      </c>
      <c r="AA52" s="389">
        <f>C52</f>
        <v>0</v>
      </c>
      <c r="AB52" s="389">
        <f>AA52+Z52</f>
        <v>0</v>
      </c>
      <c r="AC52" s="389">
        <f>E52</f>
        <v>1150184079</v>
      </c>
      <c r="AD52" s="389">
        <f>F52</f>
        <v>0</v>
      </c>
      <c r="AE52" s="389">
        <f>AD52+AC52</f>
        <v>1150184079</v>
      </c>
      <c r="AF52" s="389">
        <f>H52</f>
        <v>0</v>
      </c>
      <c r="AG52" s="389">
        <f>I52</f>
        <v>0</v>
      </c>
      <c r="AH52" s="389">
        <f>AG52+AF52</f>
        <v>0</v>
      </c>
      <c r="AI52" s="389">
        <f>K52</f>
        <v>0</v>
      </c>
      <c r="AJ52" s="389">
        <f>L52</f>
        <v>24442187</v>
      </c>
      <c r="AK52" s="389">
        <f>M52</f>
        <v>0</v>
      </c>
      <c r="AL52" s="389">
        <f>AK52+AJ52+AI52</f>
        <v>24442187</v>
      </c>
      <c r="AM52" s="389">
        <f>O52</f>
        <v>0</v>
      </c>
      <c r="AN52" s="389">
        <f>P52</f>
        <v>0</v>
      </c>
      <c r="AO52" s="389">
        <f>Q52</f>
        <v>0</v>
      </c>
      <c r="AP52" s="389">
        <f>AO52+AN52+AM52</f>
        <v>0</v>
      </c>
      <c r="AQ52" s="389">
        <f>S52</f>
        <v>0</v>
      </c>
      <c r="AR52" s="389">
        <f>T52</f>
        <v>0</v>
      </c>
      <c r="AS52" s="389">
        <f>AR52+AQ52</f>
        <v>0</v>
      </c>
      <c r="AT52" s="389">
        <f t="shared" si="0"/>
        <v>1150184079</v>
      </c>
      <c r="AU52" s="389">
        <f t="shared" si="1"/>
        <v>24442187</v>
      </c>
      <c r="AV52" s="389">
        <f t="shared" si="2"/>
        <v>0</v>
      </c>
      <c r="AW52" s="390">
        <f t="shared" si="3"/>
        <v>1174626266</v>
      </c>
    </row>
    <row r="53" spans="1:49" ht="15.75" hidden="1" thickBot="1">
      <c r="A53" s="170">
        <v>41671</v>
      </c>
      <c r="B53" s="378">
        <v>0</v>
      </c>
      <c r="C53" s="3">
        <v>168947</v>
      </c>
      <c r="D53" s="3">
        <f t="shared" si="4"/>
        <v>168947</v>
      </c>
      <c r="E53" s="3">
        <v>1020555812</v>
      </c>
      <c r="F53" s="3">
        <v>0</v>
      </c>
      <c r="G53" s="3">
        <f t="shared" si="5"/>
        <v>1020555812</v>
      </c>
      <c r="H53" s="3">
        <v>0</v>
      </c>
      <c r="I53" s="3">
        <v>0</v>
      </c>
      <c r="J53" s="3">
        <f t="shared" si="6"/>
        <v>0</v>
      </c>
      <c r="K53" s="3">
        <v>0</v>
      </c>
      <c r="L53" s="3">
        <v>28942427</v>
      </c>
      <c r="M53" s="3">
        <v>0</v>
      </c>
      <c r="N53" s="3">
        <f t="shared" si="7"/>
        <v>28942427</v>
      </c>
      <c r="O53" s="3">
        <v>0</v>
      </c>
      <c r="P53" s="3">
        <v>0</v>
      </c>
      <c r="Q53" s="3">
        <v>0</v>
      </c>
      <c r="R53" s="3">
        <f t="shared" si="8"/>
        <v>0</v>
      </c>
      <c r="S53" s="3">
        <v>0</v>
      </c>
      <c r="T53" s="3">
        <v>0</v>
      </c>
      <c r="U53" s="3">
        <f t="shared" si="9"/>
        <v>0</v>
      </c>
      <c r="V53" s="3">
        <f t="shared" si="10"/>
        <v>1020555812</v>
      </c>
      <c r="W53" s="3">
        <f t="shared" si="11"/>
        <v>28942427</v>
      </c>
      <c r="X53" s="3">
        <f t="shared" si="12"/>
        <v>168947</v>
      </c>
      <c r="Y53" s="379">
        <f t="shared" si="13"/>
        <v>1049667186</v>
      </c>
      <c r="Z53" s="177">
        <f t="shared" ref="Z53:AA63" si="62">Z52+B53</f>
        <v>0</v>
      </c>
      <c r="AA53" s="177">
        <f t="shared" si="62"/>
        <v>168947</v>
      </c>
      <c r="AB53" s="177">
        <f t="shared" ref="AB53:AB63" si="63">AA53+Z53</f>
        <v>168947</v>
      </c>
      <c r="AC53" s="177">
        <f t="shared" ref="AC53:AD63" si="64">AC52+E53</f>
        <v>2170739891</v>
      </c>
      <c r="AD53" s="177">
        <f t="shared" si="64"/>
        <v>0</v>
      </c>
      <c r="AE53" s="177">
        <f t="shared" ref="AE53:AE63" si="65">AD53+AC53</f>
        <v>2170739891</v>
      </c>
      <c r="AF53" s="177">
        <f t="shared" ref="AF53:AG63" si="66">AF52+H53</f>
        <v>0</v>
      </c>
      <c r="AG53" s="177">
        <f t="shared" si="66"/>
        <v>0</v>
      </c>
      <c r="AH53" s="177">
        <f t="shared" ref="AH53:AH63" si="67">AG53+AF53</f>
        <v>0</v>
      </c>
      <c r="AI53" s="177">
        <f t="shared" ref="AI53:AK63" si="68">AI52+K53</f>
        <v>0</v>
      </c>
      <c r="AJ53" s="177">
        <f t="shared" si="68"/>
        <v>53384614</v>
      </c>
      <c r="AK53" s="177">
        <f t="shared" si="68"/>
        <v>0</v>
      </c>
      <c r="AL53" s="177">
        <f t="shared" ref="AL53:AL62" si="69">AK53+AJ53+AI53</f>
        <v>53384614</v>
      </c>
      <c r="AM53" s="177">
        <f t="shared" ref="AM53:AO62" si="70">AM52+O53</f>
        <v>0</v>
      </c>
      <c r="AN53" s="177">
        <f t="shared" si="70"/>
        <v>0</v>
      </c>
      <c r="AO53" s="177">
        <f t="shared" si="70"/>
        <v>0</v>
      </c>
      <c r="AP53" s="177">
        <f t="shared" ref="AP53:AP63" si="71">AO53+AN53+AM53</f>
        <v>0</v>
      </c>
      <c r="AQ53" s="177">
        <f t="shared" ref="AQ53:AR63" si="72">AQ52+S53</f>
        <v>0</v>
      </c>
      <c r="AR53" s="177">
        <f t="shared" si="72"/>
        <v>0</v>
      </c>
      <c r="AS53" s="177">
        <f t="shared" ref="AS53:AS63" si="73">AR53+AQ53</f>
        <v>0</v>
      </c>
      <c r="AT53" s="177">
        <f t="shared" si="0"/>
        <v>2170739891</v>
      </c>
      <c r="AU53" s="177">
        <f t="shared" si="1"/>
        <v>53384614</v>
      </c>
      <c r="AV53" s="177">
        <f t="shared" si="2"/>
        <v>168947</v>
      </c>
      <c r="AW53" s="382">
        <f t="shared" si="3"/>
        <v>2224293452</v>
      </c>
    </row>
    <row r="54" spans="1:49" ht="15.75" hidden="1" thickBot="1">
      <c r="A54" s="170">
        <v>41699</v>
      </c>
      <c r="B54" s="378">
        <v>0</v>
      </c>
      <c r="C54" s="3">
        <v>0</v>
      </c>
      <c r="D54" s="3">
        <f t="shared" si="4"/>
        <v>0</v>
      </c>
      <c r="E54" s="3">
        <v>1147001684</v>
      </c>
      <c r="F54" s="3">
        <v>0</v>
      </c>
      <c r="G54" s="3">
        <f t="shared" si="5"/>
        <v>1147001684</v>
      </c>
      <c r="H54" s="3">
        <v>0</v>
      </c>
      <c r="I54" s="3">
        <v>0</v>
      </c>
      <c r="J54" s="3">
        <f t="shared" si="6"/>
        <v>0</v>
      </c>
      <c r="K54" s="3">
        <v>0</v>
      </c>
      <c r="L54" s="3">
        <v>22253327</v>
      </c>
      <c r="M54" s="3">
        <v>0</v>
      </c>
      <c r="N54" s="3">
        <f t="shared" si="7"/>
        <v>22253327</v>
      </c>
      <c r="O54" s="3">
        <v>0</v>
      </c>
      <c r="P54" s="3">
        <v>0</v>
      </c>
      <c r="Q54" s="3">
        <v>0</v>
      </c>
      <c r="R54" s="3">
        <f t="shared" si="8"/>
        <v>0</v>
      </c>
      <c r="S54" s="3">
        <v>0</v>
      </c>
      <c r="T54" s="3">
        <v>0</v>
      </c>
      <c r="U54" s="3">
        <f t="shared" si="9"/>
        <v>0</v>
      </c>
      <c r="V54" s="3">
        <f t="shared" si="10"/>
        <v>1147001684</v>
      </c>
      <c r="W54" s="3">
        <f t="shared" si="11"/>
        <v>22253327</v>
      </c>
      <c r="X54" s="3">
        <f t="shared" si="12"/>
        <v>0</v>
      </c>
      <c r="Y54" s="379">
        <f t="shared" si="13"/>
        <v>1169255011</v>
      </c>
      <c r="Z54" s="177">
        <f t="shared" si="62"/>
        <v>0</v>
      </c>
      <c r="AA54" s="177">
        <f t="shared" si="62"/>
        <v>168947</v>
      </c>
      <c r="AB54" s="177">
        <f t="shared" si="63"/>
        <v>168947</v>
      </c>
      <c r="AC54" s="177">
        <f t="shared" si="64"/>
        <v>3317741575</v>
      </c>
      <c r="AD54" s="177">
        <f t="shared" si="64"/>
        <v>0</v>
      </c>
      <c r="AE54" s="177">
        <f t="shared" si="65"/>
        <v>3317741575</v>
      </c>
      <c r="AF54" s="177">
        <f t="shared" si="66"/>
        <v>0</v>
      </c>
      <c r="AG54" s="177">
        <f t="shared" si="66"/>
        <v>0</v>
      </c>
      <c r="AH54" s="177">
        <f t="shared" si="67"/>
        <v>0</v>
      </c>
      <c r="AI54" s="177">
        <f t="shared" si="68"/>
        <v>0</v>
      </c>
      <c r="AJ54" s="177">
        <f t="shared" si="68"/>
        <v>75637941</v>
      </c>
      <c r="AK54" s="177">
        <f t="shared" si="68"/>
        <v>0</v>
      </c>
      <c r="AL54" s="177">
        <f t="shared" si="69"/>
        <v>75637941</v>
      </c>
      <c r="AM54" s="177">
        <f t="shared" si="70"/>
        <v>0</v>
      </c>
      <c r="AN54" s="177">
        <f t="shared" si="70"/>
        <v>0</v>
      </c>
      <c r="AO54" s="177">
        <f t="shared" si="70"/>
        <v>0</v>
      </c>
      <c r="AP54" s="177">
        <f t="shared" si="71"/>
        <v>0</v>
      </c>
      <c r="AQ54" s="177">
        <f t="shared" si="72"/>
        <v>0</v>
      </c>
      <c r="AR54" s="177">
        <f t="shared" si="72"/>
        <v>0</v>
      </c>
      <c r="AS54" s="177">
        <f t="shared" si="73"/>
        <v>0</v>
      </c>
      <c r="AT54" s="177">
        <f t="shared" si="0"/>
        <v>3317741575</v>
      </c>
      <c r="AU54" s="177">
        <f t="shared" si="1"/>
        <v>75637941</v>
      </c>
      <c r="AV54" s="177">
        <f t="shared" si="2"/>
        <v>168947</v>
      </c>
      <c r="AW54" s="382">
        <f t="shared" si="3"/>
        <v>3393548463</v>
      </c>
    </row>
    <row r="55" spans="1:49" ht="15.75" hidden="1" thickBot="1">
      <c r="A55" s="170">
        <v>41730</v>
      </c>
      <c r="B55" s="378">
        <v>58951</v>
      </c>
      <c r="C55" s="3">
        <v>0</v>
      </c>
      <c r="D55" s="3">
        <f t="shared" si="4"/>
        <v>58951</v>
      </c>
      <c r="E55" s="3">
        <v>1175647065</v>
      </c>
      <c r="F55" s="3">
        <v>0</v>
      </c>
      <c r="G55" s="3">
        <f t="shared" si="5"/>
        <v>1175647065</v>
      </c>
      <c r="H55" s="3">
        <v>0</v>
      </c>
      <c r="I55" s="3">
        <v>0</v>
      </c>
      <c r="J55" s="3">
        <f t="shared" si="6"/>
        <v>0</v>
      </c>
      <c r="K55" s="3">
        <v>0</v>
      </c>
      <c r="L55" s="3">
        <v>27566581</v>
      </c>
      <c r="M55" s="3">
        <v>0</v>
      </c>
      <c r="N55" s="3">
        <f t="shared" si="7"/>
        <v>27566581</v>
      </c>
      <c r="O55" s="3">
        <v>0</v>
      </c>
      <c r="P55" s="3">
        <v>0</v>
      </c>
      <c r="Q55" s="3">
        <v>0</v>
      </c>
      <c r="R55" s="3">
        <f t="shared" si="8"/>
        <v>0</v>
      </c>
      <c r="S55" s="3">
        <v>0</v>
      </c>
      <c r="T55" s="3">
        <v>0</v>
      </c>
      <c r="U55" s="3">
        <f t="shared" si="9"/>
        <v>0</v>
      </c>
      <c r="V55" s="3">
        <f t="shared" si="10"/>
        <v>1175706016</v>
      </c>
      <c r="W55" s="3">
        <f t="shared" si="11"/>
        <v>27566581</v>
      </c>
      <c r="X55" s="3">
        <f t="shared" si="12"/>
        <v>0</v>
      </c>
      <c r="Y55" s="379">
        <f t="shared" si="13"/>
        <v>1203272597</v>
      </c>
      <c r="Z55" s="177">
        <f t="shared" si="62"/>
        <v>58951</v>
      </c>
      <c r="AA55" s="177">
        <f t="shared" si="62"/>
        <v>168947</v>
      </c>
      <c r="AB55" s="177">
        <f t="shared" si="63"/>
        <v>227898</v>
      </c>
      <c r="AC55" s="177">
        <f t="shared" si="64"/>
        <v>4493388640</v>
      </c>
      <c r="AD55" s="177">
        <f t="shared" si="64"/>
        <v>0</v>
      </c>
      <c r="AE55" s="177">
        <f t="shared" si="65"/>
        <v>4493388640</v>
      </c>
      <c r="AF55" s="177">
        <f t="shared" si="66"/>
        <v>0</v>
      </c>
      <c r="AG55" s="177">
        <f t="shared" si="66"/>
        <v>0</v>
      </c>
      <c r="AH55" s="177">
        <f t="shared" si="67"/>
        <v>0</v>
      </c>
      <c r="AI55" s="177">
        <f t="shared" si="68"/>
        <v>0</v>
      </c>
      <c r="AJ55" s="177">
        <f t="shared" si="68"/>
        <v>103204522</v>
      </c>
      <c r="AK55" s="177">
        <f t="shared" si="68"/>
        <v>0</v>
      </c>
      <c r="AL55" s="177">
        <f t="shared" si="69"/>
        <v>103204522</v>
      </c>
      <c r="AM55" s="177">
        <f t="shared" si="70"/>
        <v>0</v>
      </c>
      <c r="AN55" s="177">
        <f t="shared" si="70"/>
        <v>0</v>
      </c>
      <c r="AO55" s="177">
        <f t="shared" si="70"/>
        <v>0</v>
      </c>
      <c r="AP55" s="177">
        <f t="shared" si="71"/>
        <v>0</v>
      </c>
      <c r="AQ55" s="177">
        <f t="shared" si="72"/>
        <v>0</v>
      </c>
      <c r="AR55" s="177">
        <f t="shared" si="72"/>
        <v>0</v>
      </c>
      <c r="AS55" s="177">
        <f t="shared" si="73"/>
        <v>0</v>
      </c>
      <c r="AT55" s="177">
        <f t="shared" si="0"/>
        <v>4493447591</v>
      </c>
      <c r="AU55" s="177">
        <f t="shared" si="1"/>
        <v>103204522</v>
      </c>
      <c r="AV55" s="177">
        <f t="shared" si="2"/>
        <v>168947</v>
      </c>
      <c r="AW55" s="382">
        <f t="shared" si="3"/>
        <v>4596821060</v>
      </c>
    </row>
    <row r="56" spans="1:49" ht="15.75" hidden="1" thickBot="1">
      <c r="A56" s="170">
        <v>41760</v>
      </c>
      <c r="B56" s="378">
        <v>778714</v>
      </c>
      <c r="C56" s="3">
        <v>4404191</v>
      </c>
      <c r="D56" s="3">
        <f t="shared" si="4"/>
        <v>5182905</v>
      </c>
      <c r="E56" s="3">
        <v>1199854519</v>
      </c>
      <c r="F56" s="3">
        <v>0</v>
      </c>
      <c r="G56" s="3">
        <f t="shared" si="5"/>
        <v>1199854519</v>
      </c>
      <c r="H56" s="3">
        <v>0</v>
      </c>
      <c r="I56" s="3">
        <v>0</v>
      </c>
      <c r="J56" s="3">
        <f t="shared" si="6"/>
        <v>0</v>
      </c>
      <c r="K56" s="3">
        <v>0</v>
      </c>
      <c r="L56" s="3">
        <v>17020152</v>
      </c>
      <c r="M56" s="3">
        <v>0</v>
      </c>
      <c r="N56" s="3">
        <f t="shared" si="7"/>
        <v>17020152</v>
      </c>
      <c r="O56" s="3">
        <v>0</v>
      </c>
      <c r="P56" s="3">
        <v>0</v>
      </c>
      <c r="Q56" s="3">
        <v>0</v>
      </c>
      <c r="R56" s="3">
        <f t="shared" si="8"/>
        <v>0</v>
      </c>
      <c r="S56" s="3">
        <v>0</v>
      </c>
      <c r="T56" s="3">
        <v>0</v>
      </c>
      <c r="U56" s="3">
        <f t="shared" si="9"/>
        <v>0</v>
      </c>
      <c r="V56" s="3">
        <f t="shared" si="10"/>
        <v>1200633233</v>
      </c>
      <c r="W56" s="3">
        <f t="shared" si="11"/>
        <v>17020152</v>
      </c>
      <c r="X56" s="3">
        <f t="shared" si="12"/>
        <v>4404191</v>
      </c>
      <c r="Y56" s="379">
        <f t="shared" si="13"/>
        <v>1222057576</v>
      </c>
      <c r="Z56" s="177">
        <f t="shared" si="62"/>
        <v>837665</v>
      </c>
      <c r="AA56" s="177">
        <f t="shared" si="62"/>
        <v>4573138</v>
      </c>
      <c r="AB56" s="177">
        <f t="shared" si="63"/>
        <v>5410803</v>
      </c>
      <c r="AC56" s="177">
        <f t="shared" si="64"/>
        <v>5693243159</v>
      </c>
      <c r="AD56" s="177">
        <f t="shared" si="64"/>
        <v>0</v>
      </c>
      <c r="AE56" s="177">
        <f t="shared" si="65"/>
        <v>5693243159</v>
      </c>
      <c r="AF56" s="177">
        <f t="shared" si="66"/>
        <v>0</v>
      </c>
      <c r="AG56" s="177">
        <f t="shared" si="66"/>
        <v>0</v>
      </c>
      <c r="AH56" s="177">
        <f t="shared" si="67"/>
        <v>0</v>
      </c>
      <c r="AI56" s="177">
        <f t="shared" si="68"/>
        <v>0</v>
      </c>
      <c r="AJ56" s="177">
        <f t="shared" si="68"/>
        <v>120224674</v>
      </c>
      <c r="AK56" s="177">
        <f t="shared" si="68"/>
        <v>0</v>
      </c>
      <c r="AL56" s="177">
        <f t="shared" si="69"/>
        <v>120224674</v>
      </c>
      <c r="AM56" s="177">
        <f t="shared" si="70"/>
        <v>0</v>
      </c>
      <c r="AN56" s="177">
        <f t="shared" si="70"/>
        <v>0</v>
      </c>
      <c r="AO56" s="177">
        <f t="shared" si="70"/>
        <v>0</v>
      </c>
      <c r="AP56" s="177">
        <f t="shared" si="71"/>
        <v>0</v>
      </c>
      <c r="AQ56" s="177">
        <f t="shared" si="72"/>
        <v>0</v>
      </c>
      <c r="AR56" s="177">
        <f t="shared" si="72"/>
        <v>0</v>
      </c>
      <c r="AS56" s="177">
        <f t="shared" si="73"/>
        <v>0</v>
      </c>
      <c r="AT56" s="177">
        <f t="shared" si="0"/>
        <v>5694080824</v>
      </c>
      <c r="AU56" s="177">
        <f t="shared" si="1"/>
        <v>120224674</v>
      </c>
      <c r="AV56" s="177">
        <f t="shared" si="2"/>
        <v>4573138</v>
      </c>
      <c r="AW56" s="382">
        <f t="shared" si="3"/>
        <v>5818878636</v>
      </c>
    </row>
    <row r="57" spans="1:49" ht="15.75" hidden="1" thickBot="1">
      <c r="A57" s="170">
        <v>41791</v>
      </c>
      <c r="B57" s="378">
        <v>635093</v>
      </c>
      <c r="C57" s="3">
        <v>6801342</v>
      </c>
      <c r="D57" s="3">
        <f t="shared" si="4"/>
        <v>7436435</v>
      </c>
      <c r="E57" s="3">
        <v>1190780942</v>
      </c>
      <c r="F57" s="3">
        <v>0</v>
      </c>
      <c r="G57" s="3">
        <f t="shared" si="5"/>
        <v>1190780942</v>
      </c>
      <c r="H57" s="3">
        <v>0</v>
      </c>
      <c r="I57" s="3">
        <v>0</v>
      </c>
      <c r="J57" s="3">
        <f t="shared" si="6"/>
        <v>0</v>
      </c>
      <c r="K57" s="3">
        <v>0</v>
      </c>
      <c r="L57" s="3">
        <v>20075321</v>
      </c>
      <c r="M57" s="3">
        <v>0</v>
      </c>
      <c r="N57" s="3">
        <f t="shared" si="7"/>
        <v>20075321</v>
      </c>
      <c r="O57" s="3">
        <v>0</v>
      </c>
      <c r="P57" s="3">
        <v>0</v>
      </c>
      <c r="Q57" s="3">
        <v>0</v>
      </c>
      <c r="R57" s="3">
        <f t="shared" si="8"/>
        <v>0</v>
      </c>
      <c r="S57" s="3">
        <v>0</v>
      </c>
      <c r="T57" s="3">
        <v>0</v>
      </c>
      <c r="U57" s="3">
        <f t="shared" si="9"/>
        <v>0</v>
      </c>
      <c r="V57" s="3">
        <f t="shared" si="10"/>
        <v>1191416035</v>
      </c>
      <c r="W57" s="3">
        <f t="shared" si="11"/>
        <v>20075321</v>
      </c>
      <c r="X57" s="3">
        <f t="shared" si="12"/>
        <v>6801342</v>
      </c>
      <c r="Y57" s="379">
        <f t="shared" si="13"/>
        <v>1218292698</v>
      </c>
      <c r="Z57" s="177">
        <f t="shared" si="62"/>
        <v>1472758</v>
      </c>
      <c r="AA57" s="177">
        <f t="shared" si="62"/>
        <v>11374480</v>
      </c>
      <c r="AB57" s="177">
        <f t="shared" si="63"/>
        <v>12847238</v>
      </c>
      <c r="AC57" s="177">
        <f t="shared" si="64"/>
        <v>6884024101</v>
      </c>
      <c r="AD57" s="177">
        <f t="shared" si="64"/>
        <v>0</v>
      </c>
      <c r="AE57" s="177">
        <f t="shared" si="65"/>
        <v>6884024101</v>
      </c>
      <c r="AF57" s="177">
        <f t="shared" si="66"/>
        <v>0</v>
      </c>
      <c r="AG57" s="177">
        <f t="shared" si="66"/>
        <v>0</v>
      </c>
      <c r="AH57" s="177">
        <f t="shared" si="67"/>
        <v>0</v>
      </c>
      <c r="AI57" s="177">
        <f t="shared" si="68"/>
        <v>0</v>
      </c>
      <c r="AJ57" s="177">
        <f t="shared" si="68"/>
        <v>140299995</v>
      </c>
      <c r="AK57" s="177">
        <f t="shared" si="68"/>
        <v>0</v>
      </c>
      <c r="AL57" s="177">
        <f t="shared" si="69"/>
        <v>140299995</v>
      </c>
      <c r="AM57" s="177">
        <f t="shared" si="70"/>
        <v>0</v>
      </c>
      <c r="AN57" s="177">
        <f t="shared" si="70"/>
        <v>0</v>
      </c>
      <c r="AO57" s="177">
        <f t="shared" si="70"/>
        <v>0</v>
      </c>
      <c r="AP57" s="177">
        <f t="shared" si="71"/>
        <v>0</v>
      </c>
      <c r="AQ57" s="177">
        <f t="shared" si="72"/>
        <v>0</v>
      </c>
      <c r="AR57" s="177">
        <f t="shared" si="72"/>
        <v>0</v>
      </c>
      <c r="AS57" s="177">
        <f t="shared" si="73"/>
        <v>0</v>
      </c>
      <c r="AT57" s="177">
        <f t="shared" si="0"/>
        <v>6885496859</v>
      </c>
      <c r="AU57" s="177">
        <f t="shared" si="1"/>
        <v>140299995</v>
      </c>
      <c r="AV57" s="177">
        <f t="shared" si="2"/>
        <v>11374480</v>
      </c>
      <c r="AW57" s="382">
        <f t="shared" si="3"/>
        <v>7037171334</v>
      </c>
    </row>
    <row r="58" spans="1:49" ht="15.75" hidden="1" thickBot="1">
      <c r="A58" s="170">
        <v>41821</v>
      </c>
      <c r="B58" s="378">
        <v>339213</v>
      </c>
      <c r="C58" s="3">
        <v>11799856</v>
      </c>
      <c r="D58" s="3">
        <f t="shared" si="4"/>
        <v>12139069</v>
      </c>
      <c r="E58" s="3">
        <v>1238378540</v>
      </c>
      <c r="F58" s="3">
        <v>0</v>
      </c>
      <c r="G58" s="3">
        <f t="shared" si="5"/>
        <v>1238378540</v>
      </c>
      <c r="H58" s="3">
        <v>0</v>
      </c>
      <c r="I58" s="3">
        <v>0</v>
      </c>
      <c r="J58" s="3">
        <f t="shared" si="6"/>
        <v>0</v>
      </c>
      <c r="K58" s="3">
        <v>0</v>
      </c>
      <c r="L58" s="3">
        <v>22692446</v>
      </c>
      <c r="M58" s="3">
        <v>0</v>
      </c>
      <c r="N58" s="3">
        <f t="shared" si="7"/>
        <v>22692446</v>
      </c>
      <c r="O58" s="3">
        <v>0</v>
      </c>
      <c r="P58" s="3">
        <v>0</v>
      </c>
      <c r="Q58" s="3">
        <v>0</v>
      </c>
      <c r="R58" s="3">
        <f t="shared" si="8"/>
        <v>0</v>
      </c>
      <c r="S58" s="3">
        <v>0</v>
      </c>
      <c r="T58" s="3">
        <v>0</v>
      </c>
      <c r="U58" s="3">
        <f t="shared" si="9"/>
        <v>0</v>
      </c>
      <c r="V58" s="3">
        <f t="shared" si="10"/>
        <v>1238717753</v>
      </c>
      <c r="W58" s="3">
        <f t="shared" si="11"/>
        <v>22692446</v>
      </c>
      <c r="X58" s="3">
        <f t="shared" si="12"/>
        <v>11799856</v>
      </c>
      <c r="Y58" s="379">
        <f t="shared" si="13"/>
        <v>1273210055</v>
      </c>
      <c r="Z58" s="177">
        <f t="shared" si="62"/>
        <v>1811971</v>
      </c>
      <c r="AA58" s="177">
        <f t="shared" si="62"/>
        <v>23174336</v>
      </c>
      <c r="AB58" s="177">
        <f t="shared" si="63"/>
        <v>24986307</v>
      </c>
      <c r="AC58" s="177">
        <f t="shared" si="64"/>
        <v>8122402641</v>
      </c>
      <c r="AD58" s="177">
        <f t="shared" si="64"/>
        <v>0</v>
      </c>
      <c r="AE58" s="177">
        <f t="shared" si="65"/>
        <v>8122402641</v>
      </c>
      <c r="AF58" s="177">
        <f t="shared" si="66"/>
        <v>0</v>
      </c>
      <c r="AG58" s="177">
        <f t="shared" si="66"/>
        <v>0</v>
      </c>
      <c r="AH58" s="177">
        <f t="shared" si="67"/>
        <v>0</v>
      </c>
      <c r="AI58" s="177">
        <f t="shared" si="68"/>
        <v>0</v>
      </c>
      <c r="AJ58" s="177">
        <f t="shared" si="68"/>
        <v>162992441</v>
      </c>
      <c r="AK58" s="177">
        <f t="shared" si="68"/>
        <v>0</v>
      </c>
      <c r="AL58" s="177">
        <f t="shared" si="69"/>
        <v>162992441</v>
      </c>
      <c r="AM58" s="177">
        <f t="shared" si="70"/>
        <v>0</v>
      </c>
      <c r="AN58" s="177">
        <f t="shared" si="70"/>
        <v>0</v>
      </c>
      <c r="AO58" s="177">
        <f t="shared" si="70"/>
        <v>0</v>
      </c>
      <c r="AP58" s="177">
        <f t="shared" si="71"/>
        <v>0</v>
      </c>
      <c r="AQ58" s="177">
        <f t="shared" si="72"/>
        <v>0</v>
      </c>
      <c r="AR58" s="177">
        <f t="shared" si="72"/>
        <v>0</v>
      </c>
      <c r="AS58" s="177">
        <f t="shared" si="73"/>
        <v>0</v>
      </c>
      <c r="AT58" s="177">
        <f t="shared" si="0"/>
        <v>8124214612</v>
      </c>
      <c r="AU58" s="177">
        <f t="shared" si="1"/>
        <v>162992441</v>
      </c>
      <c r="AV58" s="177">
        <f t="shared" si="2"/>
        <v>23174336</v>
      </c>
      <c r="AW58" s="382">
        <f t="shared" si="3"/>
        <v>8310381389</v>
      </c>
    </row>
    <row r="59" spans="1:49" ht="15.75" hidden="1" thickBot="1">
      <c r="A59" s="170">
        <v>41852</v>
      </c>
      <c r="B59" s="378">
        <v>110155</v>
      </c>
      <c r="C59" s="3">
        <v>9021865</v>
      </c>
      <c r="D59" s="3">
        <f t="shared" si="4"/>
        <v>9132020</v>
      </c>
      <c r="E59" s="3">
        <v>1180098156</v>
      </c>
      <c r="F59" s="3">
        <v>0</v>
      </c>
      <c r="G59" s="3">
        <f t="shared" si="5"/>
        <v>1180098156</v>
      </c>
      <c r="H59" s="3">
        <v>0</v>
      </c>
      <c r="I59" s="3">
        <v>0</v>
      </c>
      <c r="J59" s="3">
        <f t="shared" si="6"/>
        <v>0</v>
      </c>
      <c r="K59" s="3">
        <v>0</v>
      </c>
      <c r="L59" s="3">
        <v>34072937</v>
      </c>
      <c r="M59" s="3">
        <v>0</v>
      </c>
      <c r="N59" s="3">
        <f t="shared" si="7"/>
        <v>34072937</v>
      </c>
      <c r="O59" s="3">
        <v>0</v>
      </c>
      <c r="P59" s="3">
        <v>0</v>
      </c>
      <c r="Q59" s="3">
        <v>0</v>
      </c>
      <c r="R59" s="3">
        <f t="shared" si="8"/>
        <v>0</v>
      </c>
      <c r="S59" s="3">
        <v>0</v>
      </c>
      <c r="T59" s="3">
        <v>0</v>
      </c>
      <c r="U59" s="3">
        <f t="shared" si="9"/>
        <v>0</v>
      </c>
      <c r="V59" s="3">
        <f t="shared" si="10"/>
        <v>1180208311</v>
      </c>
      <c r="W59" s="3">
        <f t="shared" si="11"/>
        <v>34072937</v>
      </c>
      <c r="X59" s="3">
        <f t="shared" si="12"/>
        <v>9021865</v>
      </c>
      <c r="Y59" s="379">
        <f t="shared" si="13"/>
        <v>1223303113</v>
      </c>
      <c r="Z59" s="177">
        <f t="shared" si="62"/>
        <v>1922126</v>
      </c>
      <c r="AA59" s="177">
        <f t="shared" si="62"/>
        <v>32196201</v>
      </c>
      <c r="AB59" s="177">
        <f t="shared" si="63"/>
        <v>34118327</v>
      </c>
      <c r="AC59" s="177">
        <f t="shared" si="64"/>
        <v>9302500797</v>
      </c>
      <c r="AD59" s="177">
        <f t="shared" si="64"/>
        <v>0</v>
      </c>
      <c r="AE59" s="177">
        <f t="shared" si="65"/>
        <v>9302500797</v>
      </c>
      <c r="AF59" s="177">
        <f t="shared" si="66"/>
        <v>0</v>
      </c>
      <c r="AG59" s="177">
        <f t="shared" si="66"/>
        <v>0</v>
      </c>
      <c r="AH59" s="177">
        <f t="shared" si="67"/>
        <v>0</v>
      </c>
      <c r="AI59" s="177">
        <f t="shared" si="68"/>
        <v>0</v>
      </c>
      <c r="AJ59" s="177">
        <f t="shared" si="68"/>
        <v>197065378</v>
      </c>
      <c r="AK59" s="177">
        <f t="shared" si="68"/>
        <v>0</v>
      </c>
      <c r="AL59" s="177">
        <f t="shared" si="69"/>
        <v>197065378</v>
      </c>
      <c r="AM59" s="177">
        <f t="shared" si="70"/>
        <v>0</v>
      </c>
      <c r="AN59" s="177">
        <f t="shared" si="70"/>
        <v>0</v>
      </c>
      <c r="AO59" s="177">
        <f t="shared" si="70"/>
        <v>0</v>
      </c>
      <c r="AP59" s="177">
        <f t="shared" si="71"/>
        <v>0</v>
      </c>
      <c r="AQ59" s="177">
        <f t="shared" si="72"/>
        <v>0</v>
      </c>
      <c r="AR59" s="177">
        <f t="shared" si="72"/>
        <v>0</v>
      </c>
      <c r="AS59" s="177">
        <f t="shared" si="73"/>
        <v>0</v>
      </c>
      <c r="AT59" s="177">
        <f t="shared" si="0"/>
        <v>9304422923</v>
      </c>
      <c r="AU59" s="177">
        <f t="shared" si="1"/>
        <v>197065378</v>
      </c>
      <c r="AV59" s="177">
        <f t="shared" si="2"/>
        <v>32196201</v>
      </c>
      <c r="AW59" s="382">
        <f t="shared" si="3"/>
        <v>9533684502</v>
      </c>
    </row>
    <row r="60" spans="1:49" ht="15.75" hidden="1" thickBot="1">
      <c r="A60" s="170">
        <v>41883</v>
      </c>
      <c r="B60" s="378">
        <v>0</v>
      </c>
      <c r="C60" s="3">
        <v>13940451</v>
      </c>
      <c r="D60" s="3">
        <f t="shared" si="4"/>
        <v>13940451</v>
      </c>
      <c r="E60" s="3">
        <v>1158207576</v>
      </c>
      <c r="F60" s="3">
        <v>302200</v>
      </c>
      <c r="G60" s="3">
        <f t="shared" si="5"/>
        <v>1158509776</v>
      </c>
      <c r="H60" s="3">
        <v>0</v>
      </c>
      <c r="I60" s="3">
        <v>0</v>
      </c>
      <c r="J60" s="3">
        <f t="shared" si="6"/>
        <v>0</v>
      </c>
      <c r="K60" s="3">
        <v>0</v>
      </c>
      <c r="L60" s="3">
        <v>0</v>
      </c>
      <c r="M60" s="3">
        <v>0</v>
      </c>
      <c r="N60" s="3">
        <f t="shared" si="7"/>
        <v>0</v>
      </c>
      <c r="O60" s="3">
        <v>0</v>
      </c>
      <c r="P60" s="3">
        <v>0</v>
      </c>
      <c r="Q60" s="3">
        <v>0</v>
      </c>
      <c r="R60" s="3">
        <f t="shared" si="8"/>
        <v>0</v>
      </c>
      <c r="S60" s="3">
        <v>0</v>
      </c>
      <c r="T60" s="3">
        <v>0</v>
      </c>
      <c r="U60" s="3">
        <f t="shared" si="9"/>
        <v>0</v>
      </c>
      <c r="V60" s="3">
        <f t="shared" si="10"/>
        <v>1158207576</v>
      </c>
      <c r="W60" s="3">
        <f t="shared" si="11"/>
        <v>0</v>
      </c>
      <c r="X60" s="3">
        <f t="shared" si="12"/>
        <v>14242651</v>
      </c>
      <c r="Y60" s="379">
        <f t="shared" si="13"/>
        <v>1172450227</v>
      </c>
      <c r="Z60" s="177">
        <f t="shared" si="62"/>
        <v>1922126</v>
      </c>
      <c r="AA60" s="177">
        <f t="shared" si="62"/>
        <v>46136652</v>
      </c>
      <c r="AB60" s="177">
        <f t="shared" si="63"/>
        <v>48058778</v>
      </c>
      <c r="AC60" s="177">
        <f t="shared" si="64"/>
        <v>10460708373</v>
      </c>
      <c r="AD60" s="177">
        <f t="shared" si="64"/>
        <v>302200</v>
      </c>
      <c r="AE60" s="177">
        <f t="shared" si="65"/>
        <v>10461010573</v>
      </c>
      <c r="AF60" s="177">
        <f t="shared" si="66"/>
        <v>0</v>
      </c>
      <c r="AG60" s="177">
        <f t="shared" si="66"/>
        <v>0</v>
      </c>
      <c r="AH60" s="177">
        <f t="shared" si="67"/>
        <v>0</v>
      </c>
      <c r="AI60" s="177">
        <f t="shared" si="68"/>
        <v>0</v>
      </c>
      <c r="AJ60" s="177">
        <f t="shared" si="68"/>
        <v>197065378</v>
      </c>
      <c r="AK60" s="177">
        <f t="shared" si="68"/>
        <v>0</v>
      </c>
      <c r="AL60" s="177">
        <f t="shared" si="69"/>
        <v>197065378</v>
      </c>
      <c r="AM60" s="177">
        <f t="shared" si="70"/>
        <v>0</v>
      </c>
      <c r="AN60" s="177">
        <f t="shared" si="70"/>
        <v>0</v>
      </c>
      <c r="AO60" s="177">
        <f t="shared" si="70"/>
        <v>0</v>
      </c>
      <c r="AP60" s="177">
        <f t="shared" si="71"/>
        <v>0</v>
      </c>
      <c r="AQ60" s="177">
        <f t="shared" si="72"/>
        <v>0</v>
      </c>
      <c r="AR60" s="177">
        <f t="shared" si="72"/>
        <v>0</v>
      </c>
      <c r="AS60" s="177">
        <f t="shared" si="73"/>
        <v>0</v>
      </c>
      <c r="AT60" s="177">
        <f t="shared" si="0"/>
        <v>10462630499</v>
      </c>
      <c r="AU60" s="177">
        <f t="shared" si="1"/>
        <v>197065378</v>
      </c>
      <c r="AV60" s="177">
        <f t="shared" si="2"/>
        <v>46438852</v>
      </c>
      <c r="AW60" s="382">
        <f t="shared" si="3"/>
        <v>10706134729</v>
      </c>
    </row>
    <row r="61" spans="1:49" ht="15.75" hidden="1" thickBot="1">
      <c r="A61" s="170">
        <v>41913</v>
      </c>
      <c r="B61" s="378">
        <v>12568</v>
      </c>
      <c r="C61" s="3">
        <v>9938717</v>
      </c>
      <c r="D61" s="3">
        <f t="shared" si="4"/>
        <v>9951285</v>
      </c>
      <c r="E61" s="3">
        <v>1161214044</v>
      </c>
      <c r="F61" s="3">
        <v>334809</v>
      </c>
      <c r="G61" s="3">
        <f t="shared" si="5"/>
        <v>1161548853</v>
      </c>
      <c r="H61" s="3">
        <v>0</v>
      </c>
      <c r="I61" s="3">
        <v>0</v>
      </c>
      <c r="J61" s="3">
        <f t="shared" si="6"/>
        <v>0</v>
      </c>
      <c r="K61" s="3">
        <v>0</v>
      </c>
      <c r="L61" s="3">
        <v>797643</v>
      </c>
      <c r="M61" s="3">
        <v>0</v>
      </c>
      <c r="N61" s="3">
        <f t="shared" si="7"/>
        <v>797643</v>
      </c>
      <c r="O61" s="3">
        <v>0</v>
      </c>
      <c r="P61" s="3">
        <v>0</v>
      </c>
      <c r="Q61" s="3">
        <v>0</v>
      </c>
      <c r="R61" s="3">
        <f t="shared" si="8"/>
        <v>0</v>
      </c>
      <c r="S61" s="3">
        <v>0</v>
      </c>
      <c r="T61" s="3">
        <v>0</v>
      </c>
      <c r="U61" s="3">
        <f t="shared" si="9"/>
        <v>0</v>
      </c>
      <c r="V61" s="3">
        <f t="shared" si="10"/>
        <v>1161226612</v>
      </c>
      <c r="W61" s="3">
        <f t="shared" si="11"/>
        <v>797643</v>
      </c>
      <c r="X61" s="3">
        <f t="shared" si="12"/>
        <v>10273526</v>
      </c>
      <c r="Y61" s="379">
        <f t="shared" si="13"/>
        <v>1172297781</v>
      </c>
      <c r="Z61" s="177">
        <f t="shared" si="62"/>
        <v>1934694</v>
      </c>
      <c r="AA61" s="177">
        <f t="shared" si="62"/>
        <v>56075369</v>
      </c>
      <c r="AB61" s="177">
        <f t="shared" si="63"/>
        <v>58010063</v>
      </c>
      <c r="AC61" s="177">
        <f t="shared" si="64"/>
        <v>11621922417</v>
      </c>
      <c r="AD61" s="177">
        <f t="shared" si="64"/>
        <v>637009</v>
      </c>
      <c r="AE61" s="177">
        <f t="shared" si="65"/>
        <v>11622559426</v>
      </c>
      <c r="AF61" s="177">
        <f t="shared" si="66"/>
        <v>0</v>
      </c>
      <c r="AG61" s="177">
        <f t="shared" si="66"/>
        <v>0</v>
      </c>
      <c r="AH61" s="177">
        <f t="shared" si="67"/>
        <v>0</v>
      </c>
      <c r="AI61" s="177">
        <f t="shared" si="68"/>
        <v>0</v>
      </c>
      <c r="AJ61" s="177">
        <f t="shared" si="68"/>
        <v>197863021</v>
      </c>
      <c r="AK61" s="177">
        <f t="shared" si="68"/>
        <v>0</v>
      </c>
      <c r="AL61" s="177">
        <f t="shared" si="69"/>
        <v>197863021</v>
      </c>
      <c r="AM61" s="177">
        <f t="shared" si="70"/>
        <v>0</v>
      </c>
      <c r="AN61" s="177">
        <f t="shared" si="70"/>
        <v>0</v>
      </c>
      <c r="AO61" s="177">
        <f t="shared" si="70"/>
        <v>0</v>
      </c>
      <c r="AP61" s="177">
        <f t="shared" si="71"/>
        <v>0</v>
      </c>
      <c r="AQ61" s="177">
        <f t="shared" si="72"/>
        <v>0</v>
      </c>
      <c r="AR61" s="177">
        <f t="shared" si="72"/>
        <v>0</v>
      </c>
      <c r="AS61" s="177">
        <f t="shared" si="73"/>
        <v>0</v>
      </c>
      <c r="AT61" s="177">
        <f t="shared" si="0"/>
        <v>11623857111</v>
      </c>
      <c r="AU61" s="177">
        <f t="shared" si="1"/>
        <v>197863021</v>
      </c>
      <c r="AV61" s="177">
        <f t="shared" si="2"/>
        <v>56712378</v>
      </c>
      <c r="AW61" s="382">
        <f t="shared" si="3"/>
        <v>11878432510</v>
      </c>
    </row>
    <row r="62" spans="1:49" ht="15.75" hidden="1" thickBot="1">
      <c r="A62" s="170">
        <v>41944</v>
      </c>
      <c r="B62" s="378">
        <v>17670</v>
      </c>
      <c r="C62" s="3">
        <v>9077996</v>
      </c>
      <c r="D62" s="3">
        <f t="shared" si="4"/>
        <v>9095666</v>
      </c>
      <c r="E62" s="3">
        <v>1126806003</v>
      </c>
      <c r="F62" s="3">
        <v>298873</v>
      </c>
      <c r="G62" s="3">
        <f t="shared" si="5"/>
        <v>1127104876</v>
      </c>
      <c r="H62" s="3">
        <v>0</v>
      </c>
      <c r="I62" s="3">
        <v>0</v>
      </c>
      <c r="J62" s="3">
        <f t="shared" si="6"/>
        <v>0</v>
      </c>
      <c r="K62" s="3">
        <v>0</v>
      </c>
      <c r="L62" s="3">
        <v>32767677</v>
      </c>
      <c r="M62" s="3">
        <v>0</v>
      </c>
      <c r="N62" s="3">
        <f t="shared" si="7"/>
        <v>32767677</v>
      </c>
      <c r="O62" s="3">
        <v>0</v>
      </c>
      <c r="P62" s="3">
        <v>0</v>
      </c>
      <c r="Q62" s="3">
        <v>0</v>
      </c>
      <c r="R62" s="3">
        <f t="shared" si="8"/>
        <v>0</v>
      </c>
      <c r="S62" s="3">
        <v>0</v>
      </c>
      <c r="T62" s="3">
        <v>0</v>
      </c>
      <c r="U62" s="3">
        <f t="shared" si="9"/>
        <v>0</v>
      </c>
      <c r="V62" s="3">
        <f t="shared" si="10"/>
        <v>1126823673</v>
      </c>
      <c r="W62" s="3">
        <f t="shared" si="11"/>
        <v>32767677</v>
      </c>
      <c r="X62" s="3">
        <f t="shared" si="12"/>
        <v>9376869</v>
      </c>
      <c r="Y62" s="379">
        <f t="shared" si="13"/>
        <v>1168968219</v>
      </c>
      <c r="Z62" s="177">
        <f t="shared" si="62"/>
        <v>1952364</v>
      </c>
      <c r="AA62" s="177">
        <f t="shared" si="62"/>
        <v>65153365</v>
      </c>
      <c r="AB62" s="177">
        <f t="shared" si="63"/>
        <v>67105729</v>
      </c>
      <c r="AC62" s="177">
        <f t="shared" si="64"/>
        <v>12748728420</v>
      </c>
      <c r="AD62" s="177">
        <f t="shared" si="64"/>
        <v>935882</v>
      </c>
      <c r="AE62" s="177">
        <f t="shared" si="65"/>
        <v>12749664302</v>
      </c>
      <c r="AF62" s="177">
        <f t="shared" si="66"/>
        <v>0</v>
      </c>
      <c r="AG62" s="177">
        <f t="shared" si="66"/>
        <v>0</v>
      </c>
      <c r="AH62" s="177">
        <f t="shared" si="67"/>
        <v>0</v>
      </c>
      <c r="AI62" s="177">
        <f t="shared" si="68"/>
        <v>0</v>
      </c>
      <c r="AJ62" s="177">
        <f t="shared" si="68"/>
        <v>230630698</v>
      </c>
      <c r="AK62" s="177">
        <f t="shared" si="68"/>
        <v>0</v>
      </c>
      <c r="AL62" s="177">
        <f t="shared" si="69"/>
        <v>230630698</v>
      </c>
      <c r="AM62" s="177">
        <f t="shared" si="70"/>
        <v>0</v>
      </c>
      <c r="AN62" s="177">
        <f t="shared" si="70"/>
        <v>0</v>
      </c>
      <c r="AO62" s="177">
        <f t="shared" si="70"/>
        <v>0</v>
      </c>
      <c r="AP62" s="177">
        <f t="shared" si="71"/>
        <v>0</v>
      </c>
      <c r="AQ62" s="177">
        <f t="shared" si="72"/>
        <v>0</v>
      </c>
      <c r="AR62" s="177">
        <f t="shared" si="72"/>
        <v>0</v>
      </c>
      <c r="AS62" s="177">
        <f t="shared" si="73"/>
        <v>0</v>
      </c>
      <c r="AT62" s="177">
        <f t="shared" si="0"/>
        <v>12750680784</v>
      </c>
      <c r="AU62" s="177">
        <f t="shared" si="1"/>
        <v>230630698</v>
      </c>
      <c r="AV62" s="177">
        <f t="shared" si="2"/>
        <v>66089247</v>
      </c>
      <c r="AW62" s="382">
        <f t="shared" si="3"/>
        <v>13047400729</v>
      </c>
    </row>
    <row r="63" spans="1:49" ht="15.75" hidden="1" thickBot="1">
      <c r="A63" s="170">
        <v>41974</v>
      </c>
      <c r="B63" s="378">
        <v>2864</v>
      </c>
      <c r="C63" s="3">
        <v>12668226</v>
      </c>
      <c r="D63" s="3">
        <f t="shared" si="4"/>
        <v>12671090</v>
      </c>
      <c r="E63" s="3">
        <v>1272005545</v>
      </c>
      <c r="F63" s="3">
        <v>251548</v>
      </c>
      <c r="G63" s="3">
        <f t="shared" si="5"/>
        <v>1272257093</v>
      </c>
      <c r="H63" s="3">
        <v>0</v>
      </c>
      <c r="I63" s="3">
        <v>0</v>
      </c>
      <c r="J63" s="3">
        <f t="shared" si="6"/>
        <v>0</v>
      </c>
      <c r="K63" s="3">
        <v>0</v>
      </c>
      <c r="L63" s="3">
        <v>26735579</v>
      </c>
      <c r="M63" s="3">
        <v>0</v>
      </c>
      <c r="N63" s="3">
        <f t="shared" si="7"/>
        <v>26735579</v>
      </c>
      <c r="O63" s="3">
        <v>0</v>
      </c>
      <c r="P63" s="3">
        <v>0</v>
      </c>
      <c r="Q63" s="3">
        <v>0</v>
      </c>
      <c r="R63" s="3">
        <f t="shared" si="8"/>
        <v>0</v>
      </c>
      <c r="S63" s="3">
        <v>0</v>
      </c>
      <c r="T63" s="3">
        <v>0</v>
      </c>
      <c r="U63" s="3">
        <f t="shared" si="9"/>
        <v>0</v>
      </c>
      <c r="V63" s="3">
        <f t="shared" si="10"/>
        <v>1272008409</v>
      </c>
      <c r="W63" s="3">
        <f t="shared" si="11"/>
        <v>26735579</v>
      </c>
      <c r="X63" s="3">
        <f t="shared" si="12"/>
        <v>12919774</v>
      </c>
      <c r="Y63" s="379">
        <f t="shared" si="13"/>
        <v>1311663762</v>
      </c>
      <c r="Z63" s="177">
        <f t="shared" si="62"/>
        <v>1955228</v>
      </c>
      <c r="AA63" s="177">
        <f t="shared" si="62"/>
        <v>77821591</v>
      </c>
      <c r="AB63" s="177">
        <f t="shared" si="63"/>
        <v>79776819</v>
      </c>
      <c r="AC63" s="177">
        <f t="shared" si="64"/>
        <v>14020733965</v>
      </c>
      <c r="AD63" s="177">
        <f t="shared" si="64"/>
        <v>1187430</v>
      </c>
      <c r="AE63" s="177">
        <f t="shared" si="65"/>
        <v>14021921395</v>
      </c>
      <c r="AF63" s="177">
        <f t="shared" si="66"/>
        <v>0</v>
      </c>
      <c r="AG63" s="177">
        <f t="shared" si="66"/>
        <v>0</v>
      </c>
      <c r="AH63" s="177">
        <f t="shared" si="67"/>
        <v>0</v>
      </c>
      <c r="AI63" s="177">
        <f t="shared" si="68"/>
        <v>0</v>
      </c>
      <c r="AJ63" s="177">
        <f t="shared" si="68"/>
        <v>257366277</v>
      </c>
      <c r="AK63" s="177">
        <f t="shared" si="68"/>
        <v>0</v>
      </c>
      <c r="AL63" s="177">
        <f>AK63+AJ63+AI63</f>
        <v>257366277</v>
      </c>
      <c r="AM63" s="177">
        <f>AM62+O63</f>
        <v>0</v>
      </c>
      <c r="AN63" s="177">
        <f>AN62+P63</f>
        <v>0</v>
      </c>
      <c r="AO63" s="177">
        <f>AO62+Q63</f>
        <v>0</v>
      </c>
      <c r="AP63" s="177">
        <f t="shared" si="71"/>
        <v>0</v>
      </c>
      <c r="AQ63" s="177">
        <f t="shared" si="72"/>
        <v>0</v>
      </c>
      <c r="AR63" s="177">
        <f t="shared" si="72"/>
        <v>0</v>
      </c>
      <c r="AS63" s="177">
        <f t="shared" si="73"/>
        <v>0</v>
      </c>
      <c r="AT63" s="177">
        <f t="shared" si="0"/>
        <v>14022689193</v>
      </c>
      <c r="AU63" s="177">
        <f t="shared" si="1"/>
        <v>257366277</v>
      </c>
      <c r="AV63" s="177">
        <f t="shared" si="2"/>
        <v>79009021</v>
      </c>
      <c r="AW63" s="382">
        <f t="shared" si="3"/>
        <v>14359064491</v>
      </c>
    </row>
    <row r="64" spans="1:49" ht="15.75" hidden="1" thickBot="1">
      <c r="A64" s="171">
        <v>42005</v>
      </c>
      <c r="B64" s="385">
        <v>0</v>
      </c>
      <c r="C64" s="104">
        <v>0</v>
      </c>
      <c r="D64" s="104">
        <f t="shared" si="4"/>
        <v>0</v>
      </c>
      <c r="E64" s="104">
        <v>1192708203</v>
      </c>
      <c r="F64" s="104">
        <v>233543</v>
      </c>
      <c r="G64" s="104">
        <f t="shared" si="5"/>
        <v>1192941746</v>
      </c>
      <c r="H64" s="104">
        <v>0</v>
      </c>
      <c r="I64" s="104">
        <v>0</v>
      </c>
      <c r="J64" s="104">
        <f t="shared" si="6"/>
        <v>0</v>
      </c>
      <c r="K64" s="104">
        <v>0</v>
      </c>
      <c r="L64" s="104">
        <v>34482498</v>
      </c>
      <c r="M64" s="104">
        <v>0</v>
      </c>
      <c r="N64" s="104">
        <f t="shared" si="7"/>
        <v>34482498</v>
      </c>
      <c r="O64" s="104">
        <v>0</v>
      </c>
      <c r="P64" s="104">
        <v>0</v>
      </c>
      <c r="Q64" s="104">
        <v>0</v>
      </c>
      <c r="R64" s="104">
        <f t="shared" si="8"/>
        <v>0</v>
      </c>
      <c r="S64" s="104">
        <v>0</v>
      </c>
      <c r="T64" s="104">
        <v>0</v>
      </c>
      <c r="U64" s="104">
        <f t="shared" si="9"/>
        <v>0</v>
      </c>
      <c r="V64" s="104">
        <f t="shared" si="10"/>
        <v>1192708203</v>
      </c>
      <c r="W64" s="104">
        <f t="shared" si="11"/>
        <v>34482498</v>
      </c>
      <c r="X64" s="104">
        <f t="shared" si="12"/>
        <v>233543</v>
      </c>
      <c r="Y64" s="386">
        <f t="shared" si="13"/>
        <v>1227424244</v>
      </c>
      <c r="Z64" s="389">
        <f>B64</f>
        <v>0</v>
      </c>
      <c r="AA64" s="389">
        <f>C64</f>
        <v>0</v>
      </c>
      <c r="AB64" s="389">
        <f>AA64+Z64</f>
        <v>0</v>
      </c>
      <c r="AC64" s="389">
        <f>E64</f>
        <v>1192708203</v>
      </c>
      <c r="AD64" s="389">
        <f>F64</f>
        <v>233543</v>
      </c>
      <c r="AE64" s="389">
        <f>AD64+AC64</f>
        <v>1192941746</v>
      </c>
      <c r="AF64" s="389">
        <f>H64</f>
        <v>0</v>
      </c>
      <c r="AG64" s="389">
        <f>I64</f>
        <v>0</v>
      </c>
      <c r="AH64" s="389">
        <f>AG64+AF64</f>
        <v>0</v>
      </c>
      <c r="AI64" s="389">
        <f>K64</f>
        <v>0</v>
      </c>
      <c r="AJ64" s="389">
        <f>L64</f>
        <v>34482498</v>
      </c>
      <c r="AK64" s="389">
        <f>M64</f>
        <v>0</v>
      </c>
      <c r="AL64" s="389">
        <f>AK64+AJ64+AI64</f>
        <v>34482498</v>
      </c>
      <c r="AM64" s="389">
        <f>O64</f>
        <v>0</v>
      </c>
      <c r="AN64" s="389">
        <f>P64</f>
        <v>0</v>
      </c>
      <c r="AO64" s="389">
        <f>Q64</f>
        <v>0</v>
      </c>
      <c r="AP64" s="389">
        <f>AO64+AN64+AM64</f>
        <v>0</v>
      </c>
      <c r="AQ64" s="389">
        <f>S64</f>
        <v>0</v>
      </c>
      <c r="AR64" s="389">
        <f>T64</f>
        <v>0</v>
      </c>
      <c r="AS64" s="389">
        <f>AR64+AQ64</f>
        <v>0</v>
      </c>
      <c r="AT64" s="389">
        <f t="shared" si="0"/>
        <v>1192708203</v>
      </c>
      <c r="AU64" s="389">
        <f t="shared" si="1"/>
        <v>34482498</v>
      </c>
      <c r="AV64" s="389">
        <f t="shared" si="2"/>
        <v>233543</v>
      </c>
      <c r="AW64" s="390">
        <f t="shared" si="3"/>
        <v>1227424244</v>
      </c>
    </row>
    <row r="65" spans="1:49" ht="15.75" hidden="1" thickBot="1">
      <c r="A65" s="170">
        <v>42036</v>
      </c>
      <c r="B65" s="378">
        <v>17789</v>
      </c>
      <c r="C65" s="3">
        <v>0</v>
      </c>
      <c r="D65" s="3">
        <f t="shared" si="4"/>
        <v>17789</v>
      </c>
      <c r="E65" s="3">
        <v>1077497118</v>
      </c>
      <c r="F65" s="3">
        <v>290228</v>
      </c>
      <c r="G65" s="3">
        <f t="shared" si="5"/>
        <v>1077787346</v>
      </c>
      <c r="H65" s="3">
        <v>0</v>
      </c>
      <c r="I65" s="3">
        <v>0</v>
      </c>
      <c r="J65" s="3">
        <f t="shared" si="6"/>
        <v>0</v>
      </c>
      <c r="K65" s="3">
        <v>0</v>
      </c>
      <c r="L65" s="3">
        <v>29484473</v>
      </c>
      <c r="M65" s="3">
        <v>0</v>
      </c>
      <c r="N65" s="3">
        <f t="shared" si="7"/>
        <v>29484473</v>
      </c>
      <c r="O65" s="3">
        <v>0</v>
      </c>
      <c r="P65" s="3">
        <v>0</v>
      </c>
      <c r="Q65" s="3">
        <v>0</v>
      </c>
      <c r="R65" s="3">
        <f t="shared" si="8"/>
        <v>0</v>
      </c>
      <c r="S65" s="3">
        <v>0</v>
      </c>
      <c r="T65" s="3">
        <v>0</v>
      </c>
      <c r="U65" s="3">
        <f t="shared" si="9"/>
        <v>0</v>
      </c>
      <c r="V65" s="3">
        <f t="shared" si="10"/>
        <v>1077514907</v>
      </c>
      <c r="W65" s="3">
        <f t="shared" si="11"/>
        <v>29484473</v>
      </c>
      <c r="X65" s="3">
        <f t="shared" si="12"/>
        <v>290228</v>
      </c>
      <c r="Y65" s="379">
        <f t="shared" si="13"/>
        <v>1107289608</v>
      </c>
      <c r="Z65" s="177">
        <f t="shared" ref="Z65:AA75" si="74">Z64+B65</f>
        <v>17789</v>
      </c>
      <c r="AA65" s="177">
        <f t="shared" si="74"/>
        <v>0</v>
      </c>
      <c r="AB65" s="177">
        <f t="shared" ref="AB65:AB75" si="75">AA65+Z65</f>
        <v>17789</v>
      </c>
      <c r="AC65" s="177">
        <f t="shared" ref="AC65:AD75" si="76">AC64+E65</f>
        <v>2270205321</v>
      </c>
      <c r="AD65" s="177">
        <f t="shared" si="76"/>
        <v>523771</v>
      </c>
      <c r="AE65" s="177">
        <f t="shared" ref="AE65:AE75" si="77">AD65+AC65</f>
        <v>2270729092</v>
      </c>
      <c r="AF65" s="177">
        <f t="shared" ref="AF65:AG75" si="78">AF64+H65</f>
        <v>0</v>
      </c>
      <c r="AG65" s="177">
        <f t="shared" si="78"/>
        <v>0</v>
      </c>
      <c r="AH65" s="177">
        <f t="shared" ref="AH65:AH75" si="79">AG65+AF65</f>
        <v>0</v>
      </c>
      <c r="AI65" s="177">
        <f t="shared" ref="AI65:AK75" si="80">AI64+K65</f>
        <v>0</v>
      </c>
      <c r="AJ65" s="177">
        <f t="shared" si="80"/>
        <v>63966971</v>
      </c>
      <c r="AK65" s="177">
        <f t="shared" si="80"/>
        <v>0</v>
      </c>
      <c r="AL65" s="177">
        <f t="shared" ref="AL65:AL74" si="81">AK65+AJ65+AI65</f>
        <v>63966971</v>
      </c>
      <c r="AM65" s="177">
        <f t="shared" ref="AM65:AO74" si="82">AM64+O65</f>
        <v>0</v>
      </c>
      <c r="AN65" s="177">
        <f t="shared" si="82"/>
        <v>0</v>
      </c>
      <c r="AO65" s="177">
        <f t="shared" si="82"/>
        <v>0</v>
      </c>
      <c r="AP65" s="177">
        <f t="shared" ref="AP65:AP75" si="83">AO65+AN65+AM65</f>
        <v>0</v>
      </c>
      <c r="AQ65" s="177">
        <f t="shared" ref="AQ65:AR75" si="84">AQ64+S65</f>
        <v>0</v>
      </c>
      <c r="AR65" s="177">
        <f t="shared" si="84"/>
        <v>0</v>
      </c>
      <c r="AS65" s="177">
        <f t="shared" ref="AS65:AS75" si="85">AR65+AQ65</f>
        <v>0</v>
      </c>
      <c r="AT65" s="177">
        <f t="shared" si="0"/>
        <v>2270223110</v>
      </c>
      <c r="AU65" s="177">
        <f t="shared" si="1"/>
        <v>63966971</v>
      </c>
      <c r="AV65" s="177">
        <f t="shared" si="2"/>
        <v>523771</v>
      </c>
      <c r="AW65" s="382">
        <f t="shared" si="3"/>
        <v>2334713852</v>
      </c>
    </row>
    <row r="66" spans="1:49" ht="15.75" hidden="1" thickBot="1">
      <c r="A66" s="170">
        <v>42064</v>
      </c>
      <c r="B66" s="378">
        <v>0</v>
      </c>
      <c r="C66" s="3">
        <v>7350035</v>
      </c>
      <c r="D66" s="3">
        <f t="shared" si="4"/>
        <v>7350035</v>
      </c>
      <c r="E66" s="3">
        <v>1200977243</v>
      </c>
      <c r="F66" s="3">
        <v>243216</v>
      </c>
      <c r="G66" s="3">
        <f t="shared" si="5"/>
        <v>1201220459</v>
      </c>
      <c r="H66" s="3">
        <v>0</v>
      </c>
      <c r="I66" s="3">
        <v>0</v>
      </c>
      <c r="J66" s="3">
        <f t="shared" si="6"/>
        <v>0</v>
      </c>
      <c r="K66" s="3">
        <v>0</v>
      </c>
      <c r="L66" s="3">
        <v>30233567</v>
      </c>
      <c r="M66" s="3">
        <v>0</v>
      </c>
      <c r="N66" s="3">
        <f t="shared" si="7"/>
        <v>30233567</v>
      </c>
      <c r="O66" s="3">
        <v>0</v>
      </c>
      <c r="P66" s="3">
        <v>0</v>
      </c>
      <c r="Q66" s="3">
        <v>0</v>
      </c>
      <c r="R66" s="3">
        <f t="shared" si="8"/>
        <v>0</v>
      </c>
      <c r="S66" s="3">
        <v>0</v>
      </c>
      <c r="T66" s="3">
        <v>0</v>
      </c>
      <c r="U66" s="3">
        <f t="shared" si="9"/>
        <v>0</v>
      </c>
      <c r="V66" s="3">
        <f t="shared" si="10"/>
        <v>1200977243</v>
      </c>
      <c r="W66" s="3">
        <f t="shared" si="11"/>
        <v>30233567</v>
      </c>
      <c r="X66" s="3">
        <f t="shared" si="12"/>
        <v>7593251</v>
      </c>
      <c r="Y66" s="379">
        <f t="shared" si="13"/>
        <v>1238804061</v>
      </c>
      <c r="Z66" s="177">
        <f t="shared" si="74"/>
        <v>17789</v>
      </c>
      <c r="AA66" s="177">
        <f t="shared" si="74"/>
        <v>7350035</v>
      </c>
      <c r="AB66" s="177">
        <f t="shared" si="75"/>
        <v>7367824</v>
      </c>
      <c r="AC66" s="177">
        <f t="shared" si="76"/>
        <v>3471182564</v>
      </c>
      <c r="AD66" s="177">
        <f t="shared" si="76"/>
        <v>766987</v>
      </c>
      <c r="AE66" s="177">
        <f t="shared" si="77"/>
        <v>3471949551</v>
      </c>
      <c r="AF66" s="177">
        <f t="shared" si="78"/>
        <v>0</v>
      </c>
      <c r="AG66" s="177">
        <f t="shared" si="78"/>
        <v>0</v>
      </c>
      <c r="AH66" s="177">
        <f t="shared" si="79"/>
        <v>0</v>
      </c>
      <c r="AI66" s="177">
        <f t="shared" si="80"/>
        <v>0</v>
      </c>
      <c r="AJ66" s="177">
        <f t="shared" si="80"/>
        <v>94200538</v>
      </c>
      <c r="AK66" s="177">
        <f t="shared" si="80"/>
        <v>0</v>
      </c>
      <c r="AL66" s="177">
        <f t="shared" si="81"/>
        <v>94200538</v>
      </c>
      <c r="AM66" s="177">
        <f t="shared" si="82"/>
        <v>0</v>
      </c>
      <c r="AN66" s="177">
        <f t="shared" si="82"/>
        <v>0</v>
      </c>
      <c r="AO66" s="177">
        <f t="shared" si="82"/>
        <v>0</v>
      </c>
      <c r="AP66" s="177">
        <f t="shared" si="83"/>
        <v>0</v>
      </c>
      <c r="AQ66" s="177">
        <f t="shared" si="84"/>
        <v>0</v>
      </c>
      <c r="AR66" s="177">
        <f t="shared" si="84"/>
        <v>0</v>
      </c>
      <c r="AS66" s="177">
        <f t="shared" si="85"/>
        <v>0</v>
      </c>
      <c r="AT66" s="177">
        <f t="shared" si="0"/>
        <v>3471200353</v>
      </c>
      <c r="AU66" s="177">
        <f t="shared" si="1"/>
        <v>94200538</v>
      </c>
      <c r="AV66" s="177">
        <f t="shared" si="2"/>
        <v>8117022</v>
      </c>
      <c r="AW66" s="382">
        <f t="shared" si="3"/>
        <v>3573517913</v>
      </c>
    </row>
    <row r="67" spans="1:49" ht="15.75" hidden="1" thickBot="1">
      <c r="A67" s="170">
        <v>42095</v>
      </c>
      <c r="B67" s="378">
        <v>17072</v>
      </c>
      <c r="C67" s="3">
        <v>11595452</v>
      </c>
      <c r="D67" s="3">
        <f t="shared" si="4"/>
        <v>11612524</v>
      </c>
      <c r="E67" s="3">
        <v>1155991715</v>
      </c>
      <c r="F67" s="3">
        <v>308199</v>
      </c>
      <c r="G67" s="3">
        <f t="shared" si="5"/>
        <v>1156299914</v>
      </c>
      <c r="H67" s="3">
        <v>0</v>
      </c>
      <c r="I67" s="3">
        <v>0</v>
      </c>
      <c r="J67" s="3">
        <f t="shared" si="6"/>
        <v>0</v>
      </c>
      <c r="K67" s="3">
        <v>0</v>
      </c>
      <c r="L67" s="3">
        <v>28404398</v>
      </c>
      <c r="M67" s="3">
        <v>0</v>
      </c>
      <c r="N67" s="3">
        <f t="shared" si="7"/>
        <v>28404398</v>
      </c>
      <c r="O67" s="3">
        <v>0</v>
      </c>
      <c r="P67" s="3">
        <v>0</v>
      </c>
      <c r="Q67" s="3">
        <v>0</v>
      </c>
      <c r="R67" s="3">
        <f t="shared" si="8"/>
        <v>0</v>
      </c>
      <c r="S67" s="3">
        <v>0</v>
      </c>
      <c r="T67" s="3">
        <v>0</v>
      </c>
      <c r="U67" s="3">
        <f t="shared" si="9"/>
        <v>0</v>
      </c>
      <c r="V67" s="3">
        <f t="shared" si="10"/>
        <v>1156008787</v>
      </c>
      <c r="W67" s="3">
        <f t="shared" si="11"/>
        <v>28404398</v>
      </c>
      <c r="X67" s="3">
        <f t="shared" si="12"/>
        <v>11903651</v>
      </c>
      <c r="Y67" s="379">
        <f t="shared" si="13"/>
        <v>1196316836</v>
      </c>
      <c r="Z67" s="177">
        <f t="shared" si="74"/>
        <v>34861</v>
      </c>
      <c r="AA67" s="177">
        <f t="shared" si="74"/>
        <v>18945487</v>
      </c>
      <c r="AB67" s="177">
        <f t="shared" si="75"/>
        <v>18980348</v>
      </c>
      <c r="AC67" s="177">
        <f t="shared" si="76"/>
        <v>4627174279</v>
      </c>
      <c r="AD67" s="177">
        <f t="shared" si="76"/>
        <v>1075186</v>
      </c>
      <c r="AE67" s="177">
        <f t="shared" si="77"/>
        <v>4628249465</v>
      </c>
      <c r="AF67" s="177">
        <f t="shared" si="78"/>
        <v>0</v>
      </c>
      <c r="AG67" s="177">
        <f t="shared" si="78"/>
        <v>0</v>
      </c>
      <c r="AH67" s="177">
        <f t="shared" si="79"/>
        <v>0</v>
      </c>
      <c r="AI67" s="177">
        <f t="shared" si="80"/>
        <v>0</v>
      </c>
      <c r="AJ67" s="177">
        <f t="shared" si="80"/>
        <v>122604936</v>
      </c>
      <c r="AK67" s="177">
        <f t="shared" si="80"/>
        <v>0</v>
      </c>
      <c r="AL67" s="177">
        <f t="shared" si="81"/>
        <v>122604936</v>
      </c>
      <c r="AM67" s="177">
        <f t="shared" si="82"/>
        <v>0</v>
      </c>
      <c r="AN67" s="177">
        <f t="shared" si="82"/>
        <v>0</v>
      </c>
      <c r="AO67" s="177">
        <f t="shared" si="82"/>
        <v>0</v>
      </c>
      <c r="AP67" s="177">
        <f t="shared" si="83"/>
        <v>0</v>
      </c>
      <c r="AQ67" s="177">
        <f t="shared" si="84"/>
        <v>0</v>
      </c>
      <c r="AR67" s="177">
        <f t="shared" si="84"/>
        <v>0</v>
      </c>
      <c r="AS67" s="177">
        <f t="shared" si="85"/>
        <v>0</v>
      </c>
      <c r="AT67" s="177">
        <f t="shared" si="0"/>
        <v>4627209140</v>
      </c>
      <c r="AU67" s="177">
        <f t="shared" si="1"/>
        <v>122604936</v>
      </c>
      <c r="AV67" s="177">
        <f t="shared" si="2"/>
        <v>20020673</v>
      </c>
      <c r="AW67" s="382">
        <f t="shared" si="3"/>
        <v>4769834749</v>
      </c>
    </row>
    <row r="68" spans="1:49" ht="15.75" hidden="1" thickBot="1">
      <c r="A68" s="170">
        <v>42125</v>
      </c>
      <c r="B68" s="378">
        <v>0</v>
      </c>
      <c r="C68" s="3">
        <v>6665912</v>
      </c>
      <c r="D68" s="3">
        <f t="shared" si="4"/>
        <v>6665912</v>
      </c>
      <c r="E68" s="3">
        <v>1199765889</v>
      </c>
      <c r="F68" s="3">
        <v>325513</v>
      </c>
      <c r="G68" s="3">
        <f t="shared" si="5"/>
        <v>1200091402</v>
      </c>
      <c r="H68" s="3">
        <v>0</v>
      </c>
      <c r="I68" s="3">
        <v>0</v>
      </c>
      <c r="J68" s="3">
        <f t="shared" si="6"/>
        <v>0</v>
      </c>
      <c r="K68" s="3">
        <v>0</v>
      </c>
      <c r="L68" s="3">
        <v>19287594</v>
      </c>
      <c r="M68" s="3">
        <v>0</v>
      </c>
      <c r="N68" s="3">
        <f t="shared" si="7"/>
        <v>19287594</v>
      </c>
      <c r="O68" s="3">
        <v>0</v>
      </c>
      <c r="P68" s="3">
        <v>0</v>
      </c>
      <c r="Q68" s="3">
        <v>0</v>
      </c>
      <c r="R68" s="3">
        <f t="shared" si="8"/>
        <v>0</v>
      </c>
      <c r="S68" s="3">
        <v>0</v>
      </c>
      <c r="T68" s="3">
        <v>0</v>
      </c>
      <c r="U68" s="3">
        <f t="shared" si="9"/>
        <v>0</v>
      </c>
      <c r="V68" s="3">
        <f t="shared" si="10"/>
        <v>1199765889</v>
      </c>
      <c r="W68" s="3">
        <f t="shared" si="11"/>
        <v>19287594</v>
      </c>
      <c r="X68" s="3">
        <f t="shared" si="12"/>
        <v>6991425</v>
      </c>
      <c r="Y68" s="379">
        <f t="shared" si="13"/>
        <v>1226044908</v>
      </c>
      <c r="Z68" s="177">
        <f t="shared" si="74"/>
        <v>34861</v>
      </c>
      <c r="AA68" s="177">
        <f t="shared" si="74"/>
        <v>25611399</v>
      </c>
      <c r="AB68" s="177">
        <f t="shared" si="75"/>
        <v>25646260</v>
      </c>
      <c r="AC68" s="177">
        <f t="shared" si="76"/>
        <v>5826940168</v>
      </c>
      <c r="AD68" s="177">
        <f t="shared" si="76"/>
        <v>1400699</v>
      </c>
      <c r="AE68" s="177">
        <f t="shared" si="77"/>
        <v>5828340867</v>
      </c>
      <c r="AF68" s="177">
        <f t="shared" si="78"/>
        <v>0</v>
      </c>
      <c r="AG68" s="177">
        <f t="shared" si="78"/>
        <v>0</v>
      </c>
      <c r="AH68" s="177">
        <f t="shared" si="79"/>
        <v>0</v>
      </c>
      <c r="AI68" s="177">
        <f t="shared" si="80"/>
        <v>0</v>
      </c>
      <c r="AJ68" s="177">
        <f t="shared" si="80"/>
        <v>141892530</v>
      </c>
      <c r="AK68" s="177">
        <f t="shared" si="80"/>
        <v>0</v>
      </c>
      <c r="AL68" s="177">
        <f t="shared" si="81"/>
        <v>141892530</v>
      </c>
      <c r="AM68" s="177">
        <f t="shared" si="82"/>
        <v>0</v>
      </c>
      <c r="AN68" s="177">
        <f t="shared" si="82"/>
        <v>0</v>
      </c>
      <c r="AO68" s="177">
        <f t="shared" si="82"/>
        <v>0</v>
      </c>
      <c r="AP68" s="177">
        <f t="shared" si="83"/>
        <v>0</v>
      </c>
      <c r="AQ68" s="177">
        <f t="shared" si="84"/>
        <v>0</v>
      </c>
      <c r="AR68" s="177">
        <f t="shared" si="84"/>
        <v>0</v>
      </c>
      <c r="AS68" s="177">
        <f t="shared" si="85"/>
        <v>0</v>
      </c>
      <c r="AT68" s="177">
        <f t="shared" ref="AT68:AT131" si="86">AQ68+AM68+AI68+AF68+AC68+Z68</f>
        <v>5826975029</v>
      </c>
      <c r="AU68" s="177">
        <f t="shared" ref="AU68:AU131" si="87">AJ68+AN68</f>
        <v>141892530</v>
      </c>
      <c r="AV68" s="177">
        <f t="shared" ref="AV68:AV131" si="88">AR68+AO68+AK68+AG68+AD68+AA68</f>
        <v>27012098</v>
      </c>
      <c r="AW68" s="382">
        <f t="shared" ref="AW68:AW131" si="89">AT68+AU68+AV68</f>
        <v>5995879657</v>
      </c>
    </row>
    <row r="69" spans="1:49" ht="15.75" hidden="1" thickBot="1">
      <c r="A69" s="170">
        <v>42156</v>
      </c>
      <c r="B69" s="378">
        <v>0</v>
      </c>
      <c r="C69" s="3">
        <v>13317213</v>
      </c>
      <c r="D69" s="3">
        <f t="shared" ref="D69:D115" si="90">C69+B69</f>
        <v>13317213</v>
      </c>
      <c r="E69" s="3">
        <v>1238305509</v>
      </c>
      <c r="F69" s="3">
        <v>336088</v>
      </c>
      <c r="G69" s="3">
        <f t="shared" ref="G69:G115" si="91">F69+E69</f>
        <v>1238641597</v>
      </c>
      <c r="H69" s="3">
        <v>0</v>
      </c>
      <c r="I69" s="3">
        <v>0</v>
      </c>
      <c r="J69" s="3">
        <f t="shared" ref="J69:J132" si="92">I69+H69</f>
        <v>0</v>
      </c>
      <c r="K69" s="3">
        <v>0</v>
      </c>
      <c r="L69" s="3">
        <v>21260020</v>
      </c>
      <c r="M69" s="3">
        <v>0</v>
      </c>
      <c r="N69" s="3">
        <f t="shared" ref="N69:N132" si="93">M69+L69+K69</f>
        <v>21260020</v>
      </c>
      <c r="O69" s="3">
        <v>0</v>
      </c>
      <c r="P69" s="3">
        <v>0</v>
      </c>
      <c r="Q69" s="3">
        <v>0</v>
      </c>
      <c r="R69" s="3">
        <f t="shared" ref="R69:R132" si="94">Q69+P69+O69</f>
        <v>0</v>
      </c>
      <c r="S69" s="3">
        <v>0</v>
      </c>
      <c r="T69" s="3">
        <v>0</v>
      </c>
      <c r="U69" s="3">
        <f t="shared" ref="U69:U132" si="95">T69+S69</f>
        <v>0</v>
      </c>
      <c r="V69" s="3">
        <f t="shared" ref="V69:V132" si="96">B69+E69+H69+K69</f>
        <v>1238305509</v>
      </c>
      <c r="W69" s="3">
        <f t="shared" ref="W69:W132" si="97">L69+P69</f>
        <v>21260020</v>
      </c>
      <c r="X69" s="3">
        <f t="shared" ref="X69:X132" si="98">C69+F69+I69+M69</f>
        <v>13653301</v>
      </c>
      <c r="Y69" s="379">
        <f t="shared" ref="Y69:Y132" si="99">X69+W69+V69</f>
        <v>1273218830</v>
      </c>
      <c r="Z69" s="177">
        <f t="shared" si="74"/>
        <v>34861</v>
      </c>
      <c r="AA69" s="177">
        <f t="shared" si="74"/>
        <v>38928612</v>
      </c>
      <c r="AB69" s="177">
        <f t="shared" si="75"/>
        <v>38963473</v>
      </c>
      <c r="AC69" s="177">
        <f t="shared" si="76"/>
        <v>7065245677</v>
      </c>
      <c r="AD69" s="177">
        <f t="shared" si="76"/>
        <v>1736787</v>
      </c>
      <c r="AE69" s="177">
        <f t="shared" si="77"/>
        <v>7066982464</v>
      </c>
      <c r="AF69" s="177">
        <f t="shared" si="78"/>
        <v>0</v>
      </c>
      <c r="AG69" s="177">
        <f t="shared" si="78"/>
        <v>0</v>
      </c>
      <c r="AH69" s="177">
        <f t="shared" si="79"/>
        <v>0</v>
      </c>
      <c r="AI69" s="177">
        <f t="shared" si="80"/>
        <v>0</v>
      </c>
      <c r="AJ69" s="177">
        <f t="shared" si="80"/>
        <v>163152550</v>
      </c>
      <c r="AK69" s="177">
        <f t="shared" si="80"/>
        <v>0</v>
      </c>
      <c r="AL69" s="177">
        <f t="shared" si="81"/>
        <v>163152550</v>
      </c>
      <c r="AM69" s="177">
        <f t="shared" si="82"/>
        <v>0</v>
      </c>
      <c r="AN69" s="177">
        <f t="shared" si="82"/>
        <v>0</v>
      </c>
      <c r="AO69" s="177">
        <f t="shared" si="82"/>
        <v>0</v>
      </c>
      <c r="AP69" s="177">
        <f t="shared" si="83"/>
        <v>0</v>
      </c>
      <c r="AQ69" s="177">
        <f t="shared" si="84"/>
        <v>0</v>
      </c>
      <c r="AR69" s="177">
        <f t="shared" si="84"/>
        <v>0</v>
      </c>
      <c r="AS69" s="177">
        <f t="shared" si="85"/>
        <v>0</v>
      </c>
      <c r="AT69" s="177">
        <f t="shared" si="86"/>
        <v>7065280538</v>
      </c>
      <c r="AU69" s="177">
        <f t="shared" si="87"/>
        <v>163152550</v>
      </c>
      <c r="AV69" s="177">
        <f t="shared" si="88"/>
        <v>40665399</v>
      </c>
      <c r="AW69" s="382">
        <f t="shared" si="89"/>
        <v>7269098487</v>
      </c>
    </row>
    <row r="70" spans="1:49" ht="15.75" hidden="1" thickBot="1">
      <c r="A70" s="170">
        <v>42186</v>
      </c>
      <c r="B70" s="378">
        <v>0</v>
      </c>
      <c r="C70" s="3">
        <v>20025067</v>
      </c>
      <c r="D70" s="3">
        <f t="shared" si="90"/>
        <v>20025067</v>
      </c>
      <c r="E70" s="3">
        <v>1226889119</v>
      </c>
      <c r="F70" s="3">
        <v>324022</v>
      </c>
      <c r="G70" s="3">
        <f t="shared" si="91"/>
        <v>1227213141</v>
      </c>
      <c r="H70" s="3">
        <v>0</v>
      </c>
      <c r="I70" s="3">
        <v>0</v>
      </c>
      <c r="J70" s="3">
        <f t="shared" si="92"/>
        <v>0</v>
      </c>
      <c r="K70" s="3">
        <v>0</v>
      </c>
      <c r="L70" s="3">
        <v>31975870</v>
      </c>
      <c r="M70" s="3">
        <v>0</v>
      </c>
      <c r="N70" s="3">
        <f t="shared" si="93"/>
        <v>31975870</v>
      </c>
      <c r="O70" s="3">
        <v>0</v>
      </c>
      <c r="P70" s="3">
        <v>0</v>
      </c>
      <c r="Q70" s="3">
        <v>0</v>
      </c>
      <c r="R70" s="3">
        <f t="shared" si="94"/>
        <v>0</v>
      </c>
      <c r="S70" s="3">
        <v>0</v>
      </c>
      <c r="T70" s="3">
        <v>0</v>
      </c>
      <c r="U70" s="3">
        <f t="shared" si="95"/>
        <v>0</v>
      </c>
      <c r="V70" s="3">
        <f t="shared" si="96"/>
        <v>1226889119</v>
      </c>
      <c r="W70" s="3">
        <f t="shared" si="97"/>
        <v>31975870</v>
      </c>
      <c r="X70" s="3">
        <f t="shared" si="98"/>
        <v>20349089</v>
      </c>
      <c r="Y70" s="379">
        <f t="shared" si="99"/>
        <v>1279214078</v>
      </c>
      <c r="Z70" s="177">
        <f t="shared" si="74"/>
        <v>34861</v>
      </c>
      <c r="AA70" s="177">
        <f t="shared" si="74"/>
        <v>58953679</v>
      </c>
      <c r="AB70" s="177">
        <f t="shared" si="75"/>
        <v>58988540</v>
      </c>
      <c r="AC70" s="177">
        <f t="shared" si="76"/>
        <v>8292134796</v>
      </c>
      <c r="AD70" s="177">
        <f t="shared" si="76"/>
        <v>2060809</v>
      </c>
      <c r="AE70" s="177">
        <f t="shared" si="77"/>
        <v>8294195605</v>
      </c>
      <c r="AF70" s="177">
        <f t="shared" si="78"/>
        <v>0</v>
      </c>
      <c r="AG70" s="177">
        <f t="shared" si="78"/>
        <v>0</v>
      </c>
      <c r="AH70" s="177">
        <f t="shared" si="79"/>
        <v>0</v>
      </c>
      <c r="AI70" s="177">
        <f t="shared" si="80"/>
        <v>0</v>
      </c>
      <c r="AJ70" s="177">
        <f t="shared" si="80"/>
        <v>195128420</v>
      </c>
      <c r="AK70" s="177">
        <f t="shared" si="80"/>
        <v>0</v>
      </c>
      <c r="AL70" s="177">
        <f t="shared" si="81"/>
        <v>195128420</v>
      </c>
      <c r="AM70" s="177">
        <f t="shared" si="82"/>
        <v>0</v>
      </c>
      <c r="AN70" s="177">
        <f t="shared" si="82"/>
        <v>0</v>
      </c>
      <c r="AO70" s="177">
        <f t="shared" si="82"/>
        <v>0</v>
      </c>
      <c r="AP70" s="177">
        <f t="shared" si="83"/>
        <v>0</v>
      </c>
      <c r="AQ70" s="177">
        <f t="shared" si="84"/>
        <v>0</v>
      </c>
      <c r="AR70" s="177">
        <f t="shared" si="84"/>
        <v>0</v>
      </c>
      <c r="AS70" s="177">
        <f t="shared" si="85"/>
        <v>0</v>
      </c>
      <c r="AT70" s="177">
        <f t="shared" si="86"/>
        <v>8292169657</v>
      </c>
      <c r="AU70" s="177">
        <f t="shared" si="87"/>
        <v>195128420</v>
      </c>
      <c r="AV70" s="177">
        <f t="shared" si="88"/>
        <v>61014488</v>
      </c>
      <c r="AW70" s="382">
        <f t="shared" si="89"/>
        <v>8548312565</v>
      </c>
    </row>
    <row r="71" spans="1:49" ht="15.75" hidden="1" thickBot="1">
      <c r="A71" s="170">
        <v>42217</v>
      </c>
      <c r="B71" s="378">
        <v>14662</v>
      </c>
      <c r="C71" s="3">
        <v>25471314</v>
      </c>
      <c r="D71" s="3">
        <f t="shared" si="90"/>
        <v>25485976</v>
      </c>
      <c r="E71" s="3">
        <v>1207198849</v>
      </c>
      <c r="F71" s="3">
        <v>1098601</v>
      </c>
      <c r="G71" s="3">
        <f t="shared" si="91"/>
        <v>1208297450</v>
      </c>
      <c r="H71" s="3">
        <v>0</v>
      </c>
      <c r="I71" s="3">
        <v>0</v>
      </c>
      <c r="J71" s="3">
        <f t="shared" si="92"/>
        <v>0</v>
      </c>
      <c r="K71" s="3">
        <v>0</v>
      </c>
      <c r="L71" s="3">
        <v>25820890</v>
      </c>
      <c r="M71" s="3">
        <v>0</v>
      </c>
      <c r="N71" s="3">
        <f t="shared" si="93"/>
        <v>25820890</v>
      </c>
      <c r="O71" s="3">
        <v>0</v>
      </c>
      <c r="P71" s="3">
        <v>0</v>
      </c>
      <c r="Q71" s="3">
        <v>0</v>
      </c>
      <c r="R71" s="3">
        <f t="shared" si="94"/>
        <v>0</v>
      </c>
      <c r="S71" s="3">
        <v>0</v>
      </c>
      <c r="T71" s="3">
        <v>0</v>
      </c>
      <c r="U71" s="3">
        <f t="shared" si="95"/>
        <v>0</v>
      </c>
      <c r="V71" s="3">
        <f t="shared" si="96"/>
        <v>1207213511</v>
      </c>
      <c r="W71" s="3">
        <f t="shared" si="97"/>
        <v>25820890</v>
      </c>
      <c r="X71" s="3">
        <f t="shared" si="98"/>
        <v>26569915</v>
      </c>
      <c r="Y71" s="379">
        <f t="shared" si="99"/>
        <v>1259604316</v>
      </c>
      <c r="Z71" s="177">
        <f t="shared" si="74"/>
        <v>49523</v>
      </c>
      <c r="AA71" s="177">
        <f t="shared" si="74"/>
        <v>84424993</v>
      </c>
      <c r="AB71" s="177">
        <f t="shared" si="75"/>
        <v>84474516</v>
      </c>
      <c r="AC71" s="177">
        <f t="shared" si="76"/>
        <v>9499333645</v>
      </c>
      <c r="AD71" s="177">
        <f t="shared" si="76"/>
        <v>3159410</v>
      </c>
      <c r="AE71" s="177">
        <f t="shared" si="77"/>
        <v>9502493055</v>
      </c>
      <c r="AF71" s="177">
        <f t="shared" si="78"/>
        <v>0</v>
      </c>
      <c r="AG71" s="177">
        <f t="shared" si="78"/>
        <v>0</v>
      </c>
      <c r="AH71" s="177">
        <f t="shared" si="79"/>
        <v>0</v>
      </c>
      <c r="AI71" s="177">
        <f t="shared" si="80"/>
        <v>0</v>
      </c>
      <c r="AJ71" s="177">
        <f t="shared" si="80"/>
        <v>220949310</v>
      </c>
      <c r="AK71" s="177">
        <f t="shared" si="80"/>
        <v>0</v>
      </c>
      <c r="AL71" s="177">
        <f t="shared" si="81"/>
        <v>220949310</v>
      </c>
      <c r="AM71" s="177">
        <f t="shared" si="82"/>
        <v>0</v>
      </c>
      <c r="AN71" s="177">
        <f t="shared" si="82"/>
        <v>0</v>
      </c>
      <c r="AO71" s="177">
        <f t="shared" si="82"/>
        <v>0</v>
      </c>
      <c r="AP71" s="177">
        <f t="shared" si="83"/>
        <v>0</v>
      </c>
      <c r="AQ71" s="177">
        <f t="shared" si="84"/>
        <v>0</v>
      </c>
      <c r="AR71" s="177">
        <f t="shared" si="84"/>
        <v>0</v>
      </c>
      <c r="AS71" s="177">
        <f t="shared" si="85"/>
        <v>0</v>
      </c>
      <c r="AT71" s="177">
        <f t="shared" si="86"/>
        <v>9499383168</v>
      </c>
      <c r="AU71" s="177">
        <f t="shared" si="87"/>
        <v>220949310</v>
      </c>
      <c r="AV71" s="177">
        <f t="shared" si="88"/>
        <v>87584403</v>
      </c>
      <c r="AW71" s="382">
        <f t="shared" si="89"/>
        <v>9807916881</v>
      </c>
    </row>
    <row r="72" spans="1:49" ht="15.75" hidden="1" thickBot="1">
      <c r="A72" s="170">
        <v>42248</v>
      </c>
      <c r="B72" s="378">
        <v>0</v>
      </c>
      <c r="C72" s="3">
        <v>4728220</v>
      </c>
      <c r="D72" s="3">
        <f t="shared" si="90"/>
        <v>4728220</v>
      </c>
      <c r="E72" s="3">
        <v>1179680490</v>
      </c>
      <c r="F72" s="3">
        <v>966470</v>
      </c>
      <c r="G72" s="3">
        <f t="shared" si="91"/>
        <v>1180646960</v>
      </c>
      <c r="H72" s="3">
        <v>0</v>
      </c>
      <c r="I72" s="3">
        <v>0</v>
      </c>
      <c r="J72" s="3">
        <f t="shared" si="92"/>
        <v>0</v>
      </c>
      <c r="K72" s="3">
        <v>0</v>
      </c>
      <c r="L72" s="3">
        <v>32780571</v>
      </c>
      <c r="M72" s="3">
        <v>0</v>
      </c>
      <c r="N72" s="3">
        <f t="shared" si="93"/>
        <v>32780571</v>
      </c>
      <c r="O72" s="3">
        <v>0</v>
      </c>
      <c r="P72" s="3">
        <v>0</v>
      </c>
      <c r="Q72" s="3">
        <v>0</v>
      </c>
      <c r="R72" s="3">
        <f t="shared" si="94"/>
        <v>0</v>
      </c>
      <c r="S72" s="3">
        <v>0</v>
      </c>
      <c r="T72" s="3">
        <v>0</v>
      </c>
      <c r="U72" s="3">
        <f t="shared" si="95"/>
        <v>0</v>
      </c>
      <c r="V72" s="3">
        <f t="shared" si="96"/>
        <v>1179680490</v>
      </c>
      <c r="W72" s="3">
        <f t="shared" si="97"/>
        <v>32780571</v>
      </c>
      <c r="X72" s="3">
        <f t="shared" si="98"/>
        <v>5694690</v>
      </c>
      <c r="Y72" s="379">
        <f t="shared" si="99"/>
        <v>1218155751</v>
      </c>
      <c r="Z72" s="177">
        <f t="shared" si="74"/>
        <v>49523</v>
      </c>
      <c r="AA72" s="177">
        <f t="shared" si="74"/>
        <v>89153213</v>
      </c>
      <c r="AB72" s="177">
        <f t="shared" si="75"/>
        <v>89202736</v>
      </c>
      <c r="AC72" s="177">
        <f t="shared" si="76"/>
        <v>10679014135</v>
      </c>
      <c r="AD72" s="177">
        <f t="shared" si="76"/>
        <v>4125880</v>
      </c>
      <c r="AE72" s="177">
        <f t="shared" si="77"/>
        <v>10683140015</v>
      </c>
      <c r="AF72" s="177">
        <f t="shared" si="78"/>
        <v>0</v>
      </c>
      <c r="AG72" s="177">
        <f t="shared" si="78"/>
        <v>0</v>
      </c>
      <c r="AH72" s="177">
        <f t="shared" si="79"/>
        <v>0</v>
      </c>
      <c r="AI72" s="177">
        <f t="shared" si="80"/>
        <v>0</v>
      </c>
      <c r="AJ72" s="177">
        <f t="shared" si="80"/>
        <v>253729881</v>
      </c>
      <c r="AK72" s="177">
        <f t="shared" si="80"/>
        <v>0</v>
      </c>
      <c r="AL72" s="177">
        <f t="shared" si="81"/>
        <v>253729881</v>
      </c>
      <c r="AM72" s="177">
        <f t="shared" si="82"/>
        <v>0</v>
      </c>
      <c r="AN72" s="177">
        <f t="shared" si="82"/>
        <v>0</v>
      </c>
      <c r="AO72" s="177">
        <f t="shared" si="82"/>
        <v>0</v>
      </c>
      <c r="AP72" s="177">
        <f t="shared" si="83"/>
        <v>0</v>
      </c>
      <c r="AQ72" s="177">
        <f t="shared" si="84"/>
        <v>0</v>
      </c>
      <c r="AR72" s="177">
        <f t="shared" si="84"/>
        <v>0</v>
      </c>
      <c r="AS72" s="177">
        <f t="shared" si="85"/>
        <v>0</v>
      </c>
      <c r="AT72" s="177">
        <f t="shared" si="86"/>
        <v>10679063658</v>
      </c>
      <c r="AU72" s="177">
        <f t="shared" si="87"/>
        <v>253729881</v>
      </c>
      <c r="AV72" s="177">
        <f t="shared" si="88"/>
        <v>93279093</v>
      </c>
      <c r="AW72" s="382">
        <f t="shared" si="89"/>
        <v>11026072632</v>
      </c>
    </row>
    <row r="73" spans="1:49" ht="15.75" hidden="1" thickBot="1">
      <c r="A73" s="170">
        <v>42278</v>
      </c>
      <c r="B73" s="378">
        <v>17125</v>
      </c>
      <c r="C73" s="3">
        <v>10821952</v>
      </c>
      <c r="D73" s="3">
        <f t="shared" si="90"/>
        <v>10839077</v>
      </c>
      <c r="E73" s="3">
        <v>1218627935</v>
      </c>
      <c r="F73" s="3">
        <v>1033369</v>
      </c>
      <c r="G73" s="3">
        <f t="shared" si="91"/>
        <v>1219661304</v>
      </c>
      <c r="H73" s="3">
        <v>0</v>
      </c>
      <c r="I73" s="3">
        <v>0</v>
      </c>
      <c r="J73" s="3">
        <f t="shared" si="92"/>
        <v>0</v>
      </c>
      <c r="K73" s="3">
        <v>0</v>
      </c>
      <c r="L73" s="3">
        <v>35178094</v>
      </c>
      <c r="M73" s="3">
        <v>0</v>
      </c>
      <c r="N73" s="3">
        <f t="shared" si="93"/>
        <v>35178094</v>
      </c>
      <c r="O73" s="3">
        <v>0</v>
      </c>
      <c r="P73" s="3">
        <v>0</v>
      </c>
      <c r="Q73" s="3">
        <v>0</v>
      </c>
      <c r="R73" s="3">
        <f t="shared" si="94"/>
        <v>0</v>
      </c>
      <c r="S73" s="3">
        <v>0</v>
      </c>
      <c r="T73" s="3">
        <v>0</v>
      </c>
      <c r="U73" s="3">
        <f t="shared" si="95"/>
        <v>0</v>
      </c>
      <c r="V73" s="3">
        <f t="shared" si="96"/>
        <v>1218645060</v>
      </c>
      <c r="W73" s="3">
        <f t="shared" si="97"/>
        <v>35178094</v>
      </c>
      <c r="X73" s="3">
        <f t="shared" si="98"/>
        <v>11855321</v>
      </c>
      <c r="Y73" s="379">
        <f t="shared" si="99"/>
        <v>1265678475</v>
      </c>
      <c r="Z73" s="177">
        <f t="shared" si="74"/>
        <v>66648</v>
      </c>
      <c r="AA73" s="177">
        <f t="shared" si="74"/>
        <v>99975165</v>
      </c>
      <c r="AB73" s="177">
        <f t="shared" si="75"/>
        <v>100041813</v>
      </c>
      <c r="AC73" s="177">
        <f t="shared" si="76"/>
        <v>11897642070</v>
      </c>
      <c r="AD73" s="177">
        <f t="shared" si="76"/>
        <v>5159249</v>
      </c>
      <c r="AE73" s="177">
        <f t="shared" si="77"/>
        <v>11902801319</v>
      </c>
      <c r="AF73" s="177">
        <f t="shared" si="78"/>
        <v>0</v>
      </c>
      <c r="AG73" s="177">
        <f t="shared" si="78"/>
        <v>0</v>
      </c>
      <c r="AH73" s="177">
        <f t="shared" si="79"/>
        <v>0</v>
      </c>
      <c r="AI73" s="177">
        <f t="shared" si="80"/>
        <v>0</v>
      </c>
      <c r="AJ73" s="177">
        <f t="shared" si="80"/>
        <v>288907975</v>
      </c>
      <c r="AK73" s="177">
        <f t="shared" si="80"/>
        <v>0</v>
      </c>
      <c r="AL73" s="177">
        <f t="shared" si="81"/>
        <v>288907975</v>
      </c>
      <c r="AM73" s="177">
        <f t="shared" si="82"/>
        <v>0</v>
      </c>
      <c r="AN73" s="177">
        <f t="shared" si="82"/>
        <v>0</v>
      </c>
      <c r="AO73" s="177">
        <f t="shared" si="82"/>
        <v>0</v>
      </c>
      <c r="AP73" s="177">
        <f t="shared" si="83"/>
        <v>0</v>
      </c>
      <c r="AQ73" s="177">
        <f t="shared" si="84"/>
        <v>0</v>
      </c>
      <c r="AR73" s="177">
        <f t="shared" si="84"/>
        <v>0</v>
      </c>
      <c r="AS73" s="177">
        <f t="shared" si="85"/>
        <v>0</v>
      </c>
      <c r="AT73" s="177">
        <f t="shared" si="86"/>
        <v>11897708718</v>
      </c>
      <c r="AU73" s="177">
        <f t="shared" si="87"/>
        <v>288907975</v>
      </c>
      <c r="AV73" s="177">
        <f t="shared" si="88"/>
        <v>105134414</v>
      </c>
      <c r="AW73" s="382">
        <f t="shared" si="89"/>
        <v>12291751107</v>
      </c>
    </row>
    <row r="74" spans="1:49" ht="15.75" hidden="1" thickBot="1">
      <c r="A74" s="170">
        <v>42309</v>
      </c>
      <c r="B74" s="378">
        <v>0</v>
      </c>
      <c r="C74" s="3">
        <v>5297460</v>
      </c>
      <c r="D74" s="3">
        <f t="shared" si="90"/>
        <v>5297460</v>
      </c>
      <c r="E74" s="3">
        <v>1197558646</v>
      </c>
      <c r="F74" s="3">
        <v>898231</v>
      </c>
      <c r="G74" s="3">
        <f t="shared" si="91"/>
        <v>1198456877</v>
      </c>
      <c r="H74" s="3">
        <v>0</v>
      </c>
      <c r="I74" s="3">
        <v>0</v>
      </c>
      <c r="J74" s="3">
        <f t="shared" si="92"/>
        <v>0</v>
      </c>
      <c r="K74" s="3">
        <v>0</v>
      </c>
      <c r="L74" s="3">
        <v>23787312</v>
      </c>
      <c r="M74" s="3">
        <v>0</v>
      </c>
      <c r="N74" s="3">
        <f t="shared" si="93"/>
        <v>23787312</v>
      </c>
      <c r="O74" s="3">
        <v>0</v>
      </c>
      <c r="P74" s="3">
        <v>0</v>
      </c>
      <c r="Q74" s="3">
        <v>0</v>
      </c>
      <c r="R74" s="3">
        <f t="shared" si="94"/>
        <v>0</v>
      </c>
      <c r="S74" s="3">
        <v>0</v>
      </c>
      <c r="T74" s="3">
        <v>0</v>
      </c>
      <c r="U74" s="3">
        <f t="shared" si="95"/>
        <v>0</v>
      </c>
      <c r="V74" s="3">
        <f t="shared" si="96"/>
        <v>1197558646</v>
      </c>
      <c r="W74" s="3">
        <f t="shared" si="97"/>
        <v>23787312</v>
      </c>
      <c r="X74" s="3">
        <f t="shared" si="98"/>
        <v>6195691</v>
      </c>
      <c r="Y74" s="379">
        <f t="shared" si="99"/>
        <v>1227541649</v>
      </c>
      <c r="Z74" s="177">
        <f t="shared" si="74"/>
        <v>66648</v>
      </c>
      <c r="AA74" s="177">
        <f t="shared" si="74"/>
        <v>105272625</v>
      </c>
      <c r="AB74" s="177">
        <f t="shared" si="75"/>
        <v>105339273</v>
      </c>
      <c r="AC74" s="177">
        <f t="shared" si="76"/>
        <v>13095200716</v>
      </c>
      <c r="AD74" s="177">
        <f t="shared" si="76"/>
        <v>6057480</v>
      </c>
      <c r="AE74" s="177">
        <f t="shared" si="77"/>
        <v>13101258196</v>
      </c>
      <c r="AF74" s="177">
        <f t="shared" si="78"/>
        <v>0</v>
      </c>
      <c r="AG74" s="177">
        <f t="shared" si="78"/>
        <v>0</v>
      </c>
      <c r="AH74" s="177">
        <f t="shared" si="79"/>
        <v>0</v>
      </c>
      <c r="AI74" s="177">
        <f t="shared" si="80"/>
        <v>0</v>
      </c>
      <c r="AJ74" s="177">
        <f t="shared" si="80"/>
        <v>312695287</v>
      </c>
      <c r="AK74" s="177">
        <f t="shared" si="80"/>
        <v>0</v>
      </c>
      <c r="AL74" s="177">
        <f t="shared" si="81"/>
        <v>312695287</v>
      </c>
      <c r="AM74" s="177">
        <f t="shared" si="82"/>
        <v>0</v>
      </c>
      <c r="AN74" s="177">
        <f t="shared" si="82"/>
        <v>0</v>
      </c>
      <c r="AO74" s="177">
        <f t="shared" si="82"/>
        <v>0</v>
      </c>
      <c r="AP74" s="177">
        <f t="shared" si="83"/>
        <v>0</v>
      </c>
      <c r="AQ74" s="177">
        <f t="shared" si="84"/>
        <v>0</v>
      </c>
      <c r="AR74" s="177">
        <f t="shared" si="84"/>
        <v>0</v>
      </c>
      <c r="AS74" s="177">
        <f t="shared" si="85"/>
        <v>0</v>
      </c>
      <c r="AT74" s="177">
        <f t="shared" si="86"/>
        <v>13095267364</v>
      </c>
      <c r="AU74" s="177">
        <f t="shared" si="87"/>
        <v>312695287</v>
      </c>
      <c r="AV74" s="177">
        <f t="shared" si="88"/>
        <v>111330105</v>
      </c>
      <c r="AW74" s="382">
        <f t="shared" si="89"/>
        <v>13519292756</v>
      </c>
    </row>
    <row r="75" spans="1:49" ht="15.75" hidden="1" thickBot="1">
      <c r="A75" s="170">
        <v>42339</v>
      </c>
      <c r="B75" s="378">
        <v>0</v>
      </c>
      <c r="C75" s="3">
        <v>6340389</v>
      </c>
      <c r="D75" s="3">
        <f t="shared" si="90"/>
        <v>6340389</v>
      </c>
      <c r="E75" s="3">
        <v>1291110379</v>
      </c>
      <c r="F75" s="3">
        <v>950365</v>
      </c>
      <c r="G75" s="3">
        <f t="shared" si="91"/>
        <v>1292060744</v>
      </c>
      <c r="H75" s="3">
        <v>0</v>
      </c>
      <c r="I75" s="3">
        <v>0</v>
      </c>
      <c r="J75" s="3">
        <f t="shared" si="92"/>
        <v>0</v>
      </c>
      <c r="K75" s="3">
        <v>0</v>
      </c>
      <c r="L75" s="3">
        <v>28208124</v>
      </c>
      <c r="M75" s="3">
        <v>0</v>
      </c>
      <c r="N75" s="3">
        <f t="shared" si="93"/>
        <v>28208124</v>
      </c>
      <c r="O75" s="3">
        <v>0</v>
      </c>
      <c r="P75" s="3">
        <v>0</v>
      </c>
      <c r="Q75" s="3">
        <v>0</v>
      </c>
      <c r="R75" s="3">
        <f t="shared" si="94"/>
        <v>0</v>
      </c>
      <c r="S75" s="3">
        <v>0</v>
      </c>
      <c r="T75" s="3">
        <v>0</v>
      </c>
      <c r="U75" s="3">
        <f t="shared" si="95"/>
        <v>0</v>
      </c>
      <c r="V75" s="3">
        <f t="shared" si="96"/>
        <v>1291110379</v>
      </c>
      <c r="W75" s="3">
        <f t="shared" si="97"/>
        <v>28208124</v>
      </c>
      <c r="X75" s="3">
        <f t="shared" si="98"/>
        <v>7290754</v>
      </c>
      <c r="Y75" s="379">
        <f t="shared" si="99"/>
        <v>1326609257</v>
      </c>
      <c r="Z75" s="177">
        <f t="shared" si="74"/>
        <v>66648</v>
      </c>
      <c r="AA75" s="177">
        <f t="shared" si="74"/>
        <v>111613014</v>
      </c>
      <c r="AB75" s="177">
        <f t="shared" si="75"/>
        <v>111679662</v>
      </c>
      <c r="AC75" s="177">
        <f t="shared" si="76"/>
        <v>14386311095</v>
      </c>
      <c r="AD75" s="177">
        <f t="shared" si="76"/>
        <v>7007845</v>
      </c>
      <c r="AE75" s="177">
        <f t="shared" si="77"/>
        <v>14393318940</v>
      </c>
      <c r="AF75" s="177">
        <f t="shared" si="78"/>
        <v>0</v>
      </c>
      <c r="AG75" s="177">
        <f t="shared" si="78"/>
        <v>0</v>
      </c>
      <c r="AH75" s="177">
        <f t="shared" si="79"/>
        <v>0</v>
      </c>
      <c r="AI75" s="177">
        <f t="shared" si="80"/>
        <v>0</v>
      </c>
      <c r="AJ75" s="177">
        <f t="shared" si="80"/>
        <v>340903411</v>
      </c>
      <c r="AK75" s="177">
        <f t="shared" si="80"/>
        <v>0</v>
      </c>
      <c r="AL75" s="177">
        <f>AK75+AJ75+AI75</f>
        <v>340903411</v>
      </c>
      <c r="AM75" s="177">
        <f>AM74+O75</f>
        <v>0</v>
      </c>
      <c r="AN75" s="177">
        <f>AN74+P75</f>
        <v>0</v>
      </c>
      <c r="AO75" s="177">
        <f>AO74+Q75</f>
        <v>0</v>
      </c>
      <c r="AP75" s="177">
        <f t="shared" si="83"/>
        <v>0</v>
      </c>
      <c r="AQ75" s="177">
        <f t="shared" si="84"/>
        <v>0</v>
      </c>
      <c r="AR75" s="177">
        <f t="shared" si="84"/>
        <v>0</v>
      </c>
      <c r="AS75" s="177">
        <f t="shared" si="85"/>
        <v>0</v>
      </c>
      <c r="AT75" s="177">
        <f t="shared" si="86"/>
        <v>14386377743</v>
      </c>
      <c r="AU75" s="177">
        <f t="shared" si="87"/>
        <v>340903411</v>
      </c>
      <c r="AV75" s="177">
        <f t="shared" si="88"/>
        <v>118620859</v>
      </c>
      <c r="AW75" s="382">
        <f t="shared" si="89"/>
        <v>14845902013</v>
      </c>
    </row>
    <row r="76" spans="1:49">
      <c r="A76" s="171">
        <v>42370</v>
      </c>
      <c r="B76" s="385">
        <v>17461</v>
      </c>
      <c r="C76" s="104">
        <v>0</v>
      </c>
      <c r="D76" s="104">
        <f t="shared" si="90"/>
        <v>17461</v>
      </c>
      <c r="E76" s="104">
        <v>1215577025</v>
      </c>
      <c r="F76" s="104">
        <v>945537</v>
      </c>
      <c r="G76" s="104">
        <f t="shared" si="91"/>
        <v>1216522562</v>
      </c>
      <c r="H76" s="104">
        <v>0</v>
      </c>
      <c r="I76" s="104">
        <v>0</v>
      </c>
      <c r="J76" s="104">
        <f t="shared" si="92"/>
        <v>0</v>
      </c>
      <c r="K76" s="104">
        <v>0</v>
      </c>
      <c r="L76" s="104">
        <v>30931447</v>
      </c>
      <c r="M76" s="104">
        <v>0</v>
      </c>
      <c r="N76" s="104">
        <f t="shared" si="93"/>
        <v>30931447</v>
      </c>
      <c r="O76" s="104">
        <v>0</v>
      </c>
      <c r="P76" s="104">
        <v>0</v>
      </c>
      <c r="Q76" s="104">
        <v>0</v>
      </c>
      <c r="R76" s="104">
        <f t="shared" si="94"/>
        <v>0</v>
      </c>
      <c r="S76" s="104">
        <v>0</v>
      </c>
      <c r="T76" s="104">
        <v>0</v>
      </c>
      <c r="U76" s="104">
        <f t="shared" si="95"/>
        <v>0</v>
      </c>
      <c r="V76" s="104">
        <f t="shared" si="96"/>
        <v>1215594486</v>
      </c>
      <c r="W76" s="104">
        <f t="shared" si="97"/>
        <v>30931447</v>
      </c>
      <c r="X76" s="104">
        <f t="shared" si="98"/>
        <v>945537</v>
      </c>
      <c r="Y76" s="386">
        <f t="shared" si="99"/>
        <v>1247471470</v>
      </c>
      <c r="Z76" s="389">
        <f>B76</f>
        <v>17461</v>
      </c>
      <c r="AA76" s="389">
        <f>C76</f>
        <v>0</v>
      </c>
      <c r="AB76" s="389">
        <f>AA76+Z76</f>
        <v>17461</v>
      </c>
      <c r="AC76" s="389">
        <f>E76</f>
        <v>1215577025</v>
      </c>
      <c r="AD76" s="389">
        <f>F76</f>
        <v>945537</v>
      </c>
      <c r="AE76" s="389">
        <f>AD76+AC76</f>
        <v>1216522562</v>
      </c>
      <c r="AF76" s="389">
        <f>H76</f>
        <v>0</v>
      </c>
      <c r="AG76" s="389">
        <f>I76</f>
        <v>0</v>
      </c>
      <c r="AH76" s="389">
        <f>AG76+AF76</f>
        <v>0</v>
      </c>
      <c r="AI76" s="389">
        <f>K76</f>
        <v>0</v>
      </c>
      <c r="AJ76" s="389">
        <f>L76</f>
        <v>30931447</v>
      </c>
      <c r="AK76" s="389">
        <f>M76</f>
        <v>0</v>
      </c>
      <c r="AL76" s="389">
        <f>AK76+AJ76+AI76</f>
        <v>30931447</v>
      </c>
      <c r="AM76" s="389">
        <f>O76</f>
        <v>0</v>
      </c>
      <c r="AN76" s="389">
        <f>P76</f>
        <v>0</v>
      </c>
      <c r="AO76" s="389">
        <f>Q76</f>
        <v>0</v>
      </c>
      <c r="AP76" s="389">
        <f>AO76+AN76+AM76</f>
        <v>0</v>
      </c>
      <c r="AQ76" s="389">
        <f>S76</f>
        <v>0</v>
      </c>
      <c r="AR76" s="389">
        <f>T76</f>
        <v>0</v>
      </c>
      <c r="AS76" s="389">
        <f>AR76+AQ76</f>
        <v>0</v>
      </c>
      <c r="AT76" s="389">
        <f t="shared" si="86"/>
        <v>1215594486</v>
      </c>
      <c r="AU76" s="389">
        <f t="shared" si="87"/>
        <v>30931447</v>
      </c>
      <c r="AV76" s="389">
        <f t="shared" si="88"/>
        <v>945537</v>
      </c>
      <c r="AW76" s="390">
        <f t="shared" si="89"/>
        <v>1247471470</v>
      </c>
    </row>
    <row r="77" spans="1:49">
      <c r="A77" s="170">
        <v>42401</v>
      </c>
      <c r="B77" s="378">
        <v>3458</v>
      </c>
      <c r="C77" s="3">
        <v>0</v>
      </c>
      <c r="D77" s="3">
        <f t="shared" si="90"/>
        <v>3458</v>
      </c>
      <c r="E77" s="3">
        <v>1162516905</v>
      </c>
      <c r="F77" s="3">
        <v>888665</v>
      </c>
      <c r="G77" s="3">
        <f t="shared" si="91"/>
        <v>1163405570</v>
      </c>
      <c r="H77" s="3">
        <v>0</v>
      </c>
      <c r="I77" s="3">
        <v>0</v>
      </c>
      <c r="J77" s="3">
        <f t="shared" si="92"/>
        <v>0</v>
      </c>
      <c r="K77" s="3">
        <v>0</v>
      </c>
      <c r="L77" s="3">
        <v>20219733</v>
      </c>
      <c r="M77" s="3">
        <v>0</v>
      </c>
      <c r="N77" s="3">
        <f t="shared" si="93"/>
        <v>20219733</v>
      </c>
      <c r="O77" s="3">
        <v>0</v>
      </c>
      <c r="P77" s="3">
        <v>0</v>
      </c>
      <c r="Q77" s="3">
        <v>0</v>
      </c>
      <c r="R77" s="3">
        <f t="shared" si="94"/>
        <v>0</v>
      </c>
      <c r="S77" s="3">
        <v>0</v>
      </c>
      <c r="T77" s="3">
        <v>0</v>
      </c>
      <c r="U77" s="3">
        <f t="shared" si="95"/>
        <v>0</v>
      </c>
      <c r="V77" s="3">
        <f t="shared" si="96"/>
        <v>1162520363</v>
      </c>
      <c r="W77" s="3">
        <f t="shared" si="97"/>
        <v>20219733</v>
      </c>
      <c r="X77" s="3">
        <f t="shared" si="98"/>
        <v>888665</v>
      </c>
      <c r="Y77" s="379">
        <f t="shared" si="99"/>
        <v>1183628761</v>
      </c>
      <c r="Z77" s="177">
        <f t="shared" ref="Z77:AA87" si="100">Z76+B77</f>
        <v>20919</v>
      </c>
      <c r="AA77" s="177">
        <f t="shared" si="100"/>
        <v>0</v>
      </c>
      <c r="AB77" s="177">
        <f t="shared" ref="AB77:AB87" si="101">AA77+Z77</f>
        <v>20919</v>
      </c>
      <c r="AC77" s="177">
        <f t="shared" ref="AC77:AD87" si="102">AC76+E77</f>
        <v>2378093930</v>
      </c>
      <c r="AD77" s="177">
        <f t="shared" si="102"/>
        <v>1834202</v>
      </c>
      <c r="AE77" s="177">
        <f t="shared" ref="AE77:AE87" si="103">AD77+AC77</f>
        <v>2379928132</v>
      </c>
      <c r="AF77" s="177">
        <f t="shared" ref="AF77:AG87" si="104">AF76+H77</f>
        <v>0</v>
      </c>
      <c r="AG77" s="177">
        <f t="shared" si="104"/>
        <v>0</v>
      </c>
      <c r="AH77" s="177">
        <f t="shared" ref="AH77:AH87" si="105">AG77+AF77</f>
        <v>0</v>
      </c>
      <c r="AI77" s="177">
        <f t="shared" ref="AI77:AK87" si="106">AI76+K77</f>
        <v>0</v>
      </c>
      <c r="AJ77" s="177">
        <f t="shared" si="106"/>
        <v>51151180</v>
      </c>
      <c r="AK77" s="177">
        <f t="shared" si="106"/>
        <v>0</v>
      </c>
      <c r="AL77" s="177">
        <f t="shared" ref="AL77:AL86" si="107">AK77+AJ77+AI77</f>
        <v>51151180</v>
      </c>
      <c r="AM77" s="177">
        <f t="shared" ref="AM77:AO86" si="108">AM76+O77</f>
        <v>0</v>
      </c>
      <c r="AN77" s="177">
        <f t="shared" si="108"/>
        <v>0</v>
      </c>
      <c r="AO77" s="177">
        <f t="shared" si="108"/>
        <v>0</v>
      </c>
      <c r="AP77" s="177">
        <f t="shared" ref="AP77:AP87" si="109">AO77+AN77+AM77</f>
        <v>0</v>
      </c>
      <c r="AQ77" s="177">
        <f t="shared" ref="AQ77:AR87" si="110">AQ76+S77</f>
        <v>0</v>
      </c>
      <c r="AR77" s="177">
        <f t="shared" si="110"/>
        <v>0</v>
      </c>
      <c r="AS77" s="177">
        <f t="shared" ref="AS77:AS87" si="111">AR77+AQ77</f>
        <v>0</v>
      </c>
      <c r="AT77" s="177">
        <f t="shared" si="86"/>
        <v>2378114849</v>
      </c>
      <c r="AU77" s="177">
        <f t="shared" si="87"/>
        <v>51151180</v>
      </c>
      <c r="AV77" s="177">
        <f t="shared" si="88"/>
        <v>1834202</v>
      </c>
      <c r="AW77" s="382">
        <f t="shared" si="89"/>
        <v>2431100231</v>
      </c>
    </row>
    <row r="78" spans="1:49">
      <c r="A78" s="170">
        <v>42430</v>
      </c>
      <c r="B78" s="378">
        <v>271850</v>
      </c>
      <c r="C78" s="3">
        <v>1699841</v>
      </c>
      <c r="D78" s="3">
        <f t="shared" si="90"/>
        <v>1971691</v>
      </c>
      <c r="E78" s="3">
        <v>1221790061</v>
      </c>
      <c r="F78" s="3">
        <v>923360</v>
      </c>
      <c r="G78" s="3">
        <f t="shared" si="91"/>
        <v>1222713421</v>
      </c>
      <c r="H78" s="3">
        <v>0</v>
      </c>
      <c r="I78" s="3">
        <v>0</v>
      </c>
      <c r="J78" s="3">
        <f t="shared" si="92"/>
        <v>0</v>
      </c>
      <c r="K78" s="3">
        <v>0</v>
      </c>
      <c r="L78" s="3">
        <v>23448088</v>
      </c>
      <c r="M78" s="3">
        <v>0</v>
      </c>
      <c r="N78" s="3">
        <f t="shared" si="93"/>
        <v>23448088</v>
      </c>
      <c r="O78" s="3">
        <v>0</v>
      </c>
      <c r="P78" s="3">
        <v>0</v>
      </c>
      <c r="Q78" s="3">
        <v>0</v>
      </c>
      <c r="R78" s="3">
        <f t="shared" si="94"/>
        <v>0</v>
      </c>
      <c r="S78" s="3">
        <v>0</v>
      </c>
      <c r="T78" s="3">
        <v>0</v>
      </c>
      <c r="U78" s="3">
        <f t="shared" si="95"/>
        <v>0</v>
      </c>
      <c r="V78" s="3">
        <f t="shared" si="96"/>
        <v>1222061911</v>
      </c>
      <c r="W78" s="3">
        <f t="shared" si="97"/>
        <v>23448088</v>
      </c>
      <c r="X78" s="3">
        <f t="shared" si="98"/>
        <v>2623201</v>
      </c>
      <c r="Y78" s="379">
        <f t="shared" si="99"/>
        <v>1248133200</v>
      </c>
      <c r="Z78" s="177">
        <f t="shared" si="100"/>
        <v>292769</v>
      </c>
      <c r="AA78" s="177">
        <f t="shared" si="100"/>
        <v>1699841</v>
      </c>
      <c r="AB78" s="177">
        <f t="shared" si="101"/>
        <v>1992610</v>
      </c>
      <c r="AC78" s="177">
        <f t="shared" si="102"/>
        <v>3599883991</v>
      </c>
      <c r="AD78" s="177">
        <f t="shared" si="102"/>
        <v>2757562</v>
      </c>
      <c r="AE78" s="177">
        <f t="shared" si="103"/>
        <v>3602641553</v>
      </c>
      <c r="AF78" s="177">
        <f t="shared" si="104"/>
        <v>0</v>
      </c>
      <c r="AG78" s="177">
        <f t="shared" si="104"/>
        <v>0</v>
      </c>
      <c r="AH78" s="177">
        <f t="shared" si="105"/>
        <v>0</v>
      </c>
      <c r="AI78" s="177">
        <f t="shared" si="106"/>
        <v>0</v>
      </c>
      <c r="AJ78" s="177">
        <f t="shared" si="106"/>
        <v>74599268</v>
      </c>
      <c r="AK78" s="177">
        <f t="shared" si="106"/>
        <v>0</v>
      </c>
      <c r="AL78" s="177">
        <f t="shared" si="107"/>
        <v>74599268</v>
      </c>
      <c r="AM78" s="177">
        <f t="shared" si="108"/>
        <v>0</v>
      </c>
      <c r="AN78" s="177">
        <f t="shared" si="108"/>
        <v>0</v>
      </c>
      <c r="AO78" s="177">
        <f t="shared" si="108"/>
        <v>0</v>
      </c>
      <c r="AP78" s="177">
        <f t="shared" si="109"/>
        <v>0</v>
      </c>
      <c r="AQ78" s="177">
        <f t="shared" si="110"/>
        <v>0</v>
      </c>
      <c r="AR78" s="177">
        <f t="shared" si="110"/>
        <v>0</v>
      </c>
      <c r="AS78" s="177">
        <f t="shared" si="111"/>
        <v>0</v>
      </c>
      <c r="AT78" s="177">
        <f t="shared" si="86"/>
        <v>3600176760</v>
      </c>
      <c r="AU78" s="177">
        <f t="shared" si="87"/>
        <v>74599268</v>
      </c>
      <c r="AV78" s="177">
        <f t="shared" si="88"/>
        <v>4457403</v>
      </c>
      <c r="AW78" s="382">
        <f t="shared" si="89"/>
        <v>3679233431</v>
      </c>
    </row>
    <row r="79" spans="1:49">
      <c r="A79" s="170">
        <v>42461</v>
      </c>
      <c r="B79" s="378">
        <v>13456</v>
      </c>
      <c r="C79" s="3">
        <v>7313014</v>
      </c>
      <c r="D79" s="3">
        <f t="shared" si="90"/>
        <v>7326470</v>
      </c>
      <c r="E79" s="3">
        <v>1155665531</v>
      </c>
      <c r="F79" s="3">
        <v>913421</v>
      </c>
      <c r="G79" s="3">
        <f t="shared" si="91"/>
        <v>1156578952</v>
      </c>
      <c r="H79" s="3">
        <v>0</v>
      </c>
      <c r="I79" s="3">
        <v>0</v>
      </c>
      <c r="J79" s="3">
        <f t="shared" si="92"/>
        <v>0</v>
      </c>
      <c r="K79" s="3">
        <v>0</v>
      </c>
      <c r="L79" s="3">
        <v>27515784</v>
      </c>
      <c r="M79" s="3">
        <v>0</v>
      </c>
      <c r="N79" s="3">
        <f t="shared" si="93"/>
        <v>27515784</v>
      </c>
      <c r="O79" s="3">
        <v>0</v>
      </c>
      <c r="P79" s="3">
        <v>0</v>
      </c>
      <c r="Q79" s="3">
        <v>0</v>
      </c>
      <c r="R79" s="3">
        <f t="shared" si="94"/>
        <v>0</v>
      </c>
      <c r="S79" s="3">
        <v>0</v>
      </c>
      <c r="T79" s="3">
        <v>0</v>
      </c>
      <c r="U79" s="3">
        <f t="shared" si="95"/>
        <v>0</v>
      </c>
      <c r="V79" s="3">
        <f t="shared" si="96"/>
        <v>1155678987</v>
      </c>
      <c r="W79" s="3">
        <f t="shared" si="97"/>
        <v>27515784</v>
      </c>
      <c r="X79" s="3">
        <f t="shared" si="98"/>
        <v>8226435</v>
      </c>
      <c r="Y79" s="379">
        <f t="shared" si="99"/>
        <v>1191421206</v>
      </c>
      <c r="Z79" s="177">
        <f t="shared" si="100"/>
        <v>306225</v>
      </c>
      <c r="AA79" s="177">
        <f t="shared" si="100"/>
        <v>9012855</v>
      </c>
      <c r="AB79" s="177">
        <f t="shared" si="101"/>
        <v>9319080</v>
      </c>
      <c r="AC79" s="177">
        <f t="shared" si="102"/>
        <v>4755549522</v>
      </c>
      <c r="AD79" s="177">
        <f t="shared" si="102"/>
        <v>3670983</v>
      </c>
      <c r="AE79" s="177">
        <f t="shared" si="103"/>
        <v>4759220505</v>
      </c>
      <c r="AF79" s="177">
        <f t="shared" si="104"/>
        <v>0</v>
      </c>
      <c r="AG79" s="177">
        <f t="shared" si="104"/>
        <v>0</v>
      </c>
      <c r="AH79" s="177">
        <f t="shared" si="105"/>
        <v>0</v>
      </c>
      <c r="AI79" s="177">
        <f t="shared" si="106"/>
        <v>0</v>
      </c>
      <c r="AJ79" s="177">
        <f t="shared" si="106"/>
        <v>102115052</v>
      </c>
      <c r="AK79" s="177">
        <f t="shared" si="106"/>
        <v>0</v>
      </c>
      <c r="AL79" s="177">
        <f t="shared" si="107"/>
        <v>102115052</v>
      </c>
      <c r="AM79" s="177">
        <f t="shared" si="108"/>
        <v>0</v>
      </c>
      <c r="AN79" s="177">
        <f t="shared" si="108"/>
        <v>0</v>
      </c>
      <c r="AO79" s="177">
        <f t="shared" si="108"/>
        <v>0</v>
      </c>
      <c r="AP79" s="177">
        <f t="shared" si="109"/>
        <v>0</v>
      </c>
      <c r="AQ79" s="177">
        <f t="shared" si="110"/>
        <v>0</v>
      </c>
      <c r="AR79" s="177">
        <f t="shared" si="110"/>
        <v>0</v>
      </c>
      <c r="AS79" s="177">
        <f t="shared" si="111"/>
        <v>0</v>
      </c>
      <c r="AT79" s="177">
        <f t="shared" si="86"/>
        <v>4755855747</v>
      </c>
      <c r="AU79" s="177">
        <f t="shared" si="87"/>
        <v>102115052</v>
      </c>
      <c r="AV79" s="177">
        <f t="shared" si="88"/>
        <v>12683838</v>
      </c>
      <c r="AW79" s="382">
        <f t="shared" si="89"/>
        <v>4870654637</v>
      </c>
    </row>
    <row r="80" spans="1:49">
      <c r="A80" s="170">
        <v>42491</v>
      </c>
      <c r="B80" s="378">
        <v>38026</v>
      </c>
      <c r="C80" s="3">
        <v>20764534</v>
      </c>
      <c r="D80" s="3">
        <f t="shared" si="90"/>
        <v>20802560</v>
      </c>
      <c r="E80" s="3">
        <v>1234936140</v>
      </c>
      <c r="F80" s="3">
        <v>966852</v>
      </c>
      <c r="G80" s="3">
        <f t="shared" si="91"/>
        <v>1235902992</v>
      </c>
      <c r="H80" s="3">
        <v>45371</v>
      </c>
      <c r="I80" s="3">
        <v>0</v>
      </c>
      <c r="J80" s="3">
        <f t="shared" si="92"/>
        <v>45371</v>
      </c>
      <c r="K80" s="3">
        <v>0</v>
      </c>
      <c r="L80" s="3">
        <v>27027742</v>
      </c>
      <c r="M80" s="3">
        <v>0</v>
      </c>
      <c r="N80" s="3">
        <f t="shared" si="93"/>
        <v>27027742</v>
      </c>
      <c r="O80" s="3">
        <v>0</v>
      </c>
      <c r="P80" s="3">
        <v>0</v>
      </c>
      <c r="Q80" s="3">
        <v>0</v>
      </c>
      <c r="R80" s="3">
        <f t="shared" si="94"/>
        <v>0</v>
      </c>
      <c r="S80" s="3">
        <v>0</v>
      </c>
      <c r="T80" s="3">
        <v>0</v>
      </c>
      <c r="U80" s="3">
        <f t="shared" si="95"/>
        <v>0</v>
      </c>
      <c r="V80" s="3">
        <f t="shared" si="96"/>
        <v>1235019537</v>
      </c>
      <c r="W80" s="3">
        <f t="shared" si="97"/>
        <v>27027742</v>
      </c>
      <c r="X80" s="3">
        <f t="shared" si="98"/>
        <v>21731386</v>
      </c>
      <c r="Y80" s="379">
        <f t="shared" si="99"/>
        <v>1283778665</v>
      </c>
      <c r="Z80" s="177">
        <f t="shared" si="100"/>
        <v>344251</v>
      </c>
      <c r="AA80" s="177">
        <f t="shared" si="100"/>
        <v>29777389</v>
      </c>
      <c r="AB80" s="177">
        <f t="shared" si="101"/>
        <v>30121640</v>
      </c>
      <c r="AC80" s="177">
        <f t="shared" si="102"/>
        <v>5990485662</v>
      </c>
      <c r="AD80" s="177">
        <f t="shared" si="102"/>
        <v>4637835</v>
      </c>
      <c r="AE80" s="177">
        <f t="shared" si="103"/>
        <v>5995123497</v>
      </c>
      <c r="AF80" s="177">
        <f t="shared" si="104"/>
        <v>45371</v>
      </c>
      <c r="AG80" s="177">
        <f t="shared" si="104"/>
        <v>0</v>
      </c>
      <c r="AH80" s="177">
        <f t="shared" si="105"/>
        <v>45371</v>
      </c>
      <c r="AI80" s="177">
        <f t="shared" si="106"/>
        <v>0</v>
      </c>
      <c r="AJ80" s="177">
        <f t="shared" si="106"/>
        <v>129142794</v>
      </c>
      <c r="AK80" s="177">
        <f t="shared" si="106"/>
        <v>0</v>
      </c>
      <c r="AL80" s="177">
        <f t="shared" si="107"/>
        <v>129142794</v>
      </c>
      <c r="AM80" s="177">
        <f t="shared" si="108"/>
        <v>0</v>
      </c>
      <c r="AN80" s="177">
        <f t="shared" si="108"/>
        <v>0</v>
      </c>
      <c r="AO80" s="177">
        <f t="shared" si="108"/>
        <v>0</v>
      </c>
      <c r="AP80" s="177">
        <f t="shared" si="109"/>
        <v>0</v>
      </c>
      <c r="AQ80" s="177">
        <f t="shared" si="110"/>
        <v>0</v>
      </c>
      <c r="AR80" s="177">
        <f t="shared" si="110"/>
        <v>0</v>
      </c>
      <c r="AS80" s="177">
        <f t="shared" si="111"/>
        <v>0</v>
      </c>
      <c r="AT80" s="177">
        <f t="shared" si="86"/>
        <v>5990875284</v>
      </c>
      <c r="AU80" s="177">
        <f t="shared" si="87"/>
        <v>129142794</v>
      </c>
      <c r="AV80" s="177">
        <f t="shared" si="88"/>
        <v>34415224</v>
      </c>
      <c r="AW80" s="382">
        <f t="shared" si="89"/>
        <v>6154433302</v>
      </c>
    </row>
    <row r="81" spans="1:49">
      <c r="A81" s="170">
        <v>42522</v>
      </c>
      <c r="B81" s="378">
        <v>48728</v>
      </c>
      <c r="C81" s="3">
        <v>25212499</v>
      </c>
      <c r="D81" s="3">
        <f t="shared" si="90"/>
        <v>25261227</v>
      </c>
      <c r="E81" s="3">
        <v>1269147590</v>
      </c>
      <c r="F81" s="3">
        <v>976339</v>
      </c>
      <c r="G81" s="3">
        <f t="shared" si="91"/>
        <v>1270123929</v>
      </c>
      <c r="H81" s="3">
        <v>36271</v>
      </c>
      <c r="I81" s="3">
        <v>0</v>
      </c>
      <c r="J81" s="3">
        <f t="shared" si="92"/>
        <v>36271</v>
      </c>
      <c r="K81" s="3">
        <v>0</v>
      </c>
      <c r="L81" s="3">
        <v>14174198</v>
      </c>
      <c r="M81" s="3">
        <v>0</v>
      </c>
      <c r="N81" s="3">
        <f t="shared" si="93"/>
        <v>14174198</v>
      </c>
      <c r="O81" s="3">
        <v>0</v>
      </c>
      <c r="P81" s="3">
        <v>0</v>
      </c>
      <c r="Q81" s="3">
        <v>0</v>
      </c>
      <c r="R81" s="3">
        <f t="shared" si="94"/>
        <v>0</v>
      </c>
      <c r="S81" s="3">
        <v>0</v>
      </c>
      <c r="T81" s="3">
        <v>0</v>
      </c>
      <c r="U81" s="3">
        <f t="shared" si="95"/>
        <v>0</v>
      </c>
      <c r="V81" s="3">
        <f t="shared" si="96"/>
        <v>1269232589</v>
      </c>
      <c r="W81" s="3">
        <f t="shared" si="97"/>
        <v>14174198</v>
      </c>
      <c r="X81" s="3">
        <f t="shared" si="98"/>
        <v>26188838</v>
      </c>
      <c r="Y81" s="379">
        <f t="shared" si="99"/>
        <v>1309595625</v>
      </c>
      <c r="Z81" s="177">
        <f t="shared" si="100"/>
        <v>392979</v>
      </c>
      <c r="AA81" s="177">
        <f t="shared" si="100"/>
        <v>54989888</v>
      </c>
      <c r="AB81" s="177">
        <f t="shared" si="101"/>
        <v>55382867</v>
      </c>
      <c r="AC81" s="177">
        <f t="shared" si="102"/>
        <v>7259633252</v>
      </c>
      <c r="AD81" s="177">
        <f t="shared" si="102"/>
        <v>5614174</v>
      </c>
      <c r="AE81" s="177">
        <f t="shared" si="103"/>
        <v>7265247426</v>
      </c>
      <c r="AF81" s="177">
        <f t="shared" si="104"/>
        <v>81642</v>
      </c>
      <c r="AG81" s="177">
        <f t="shared" si="104"/>
        <v>0</v>
      </c>
      <c r="AH81" s="177">
        <f t="shared" si="105"/>
        <v>81642</v>
      </c>
      <c r="AI81" s="177">
        <f t="shared" si="106"/>
        <v>0</v>
      </c>
      <c r="AJ81" s="177">
        <f t="shared" si="106"/>
        <v>143316992</v>
      </c>
      <c r="AK81" s="177">
        <f t="shared" si="106"/>
        <v>0</v>
      </c>
      <c r="AL81" s="177">
        <f t="shared" si="107"/>
        <v>143316992</v>
      </c>
      <c r="AM81" s="177">
        <f t="shared" si="108"/>
        <v>0</v>
      </c>
      <c r="AN81" s="177">
        <f t="shared" si="108"/>
        <v>0</v>
      </c>
      <c r="AO81" s="177">
        <f t="shared" si="108"/>
        <v>0</v>
      </c>
      <c r="AP81" s="177">
        <f t="shared" si="109"/>
        <v>0</v>
      </c>
      <c r="AQ81" s="177">
        <f t="shared" si="110"/>
        <v>0</v>
      </c>
      <c r="AR81" s="177">
        <f t="shared" si="110"/>
        <v>0</v>
      </c>
      <c r="AS81" s="177">
        <f t="shared" si="111"/>
        <v>0</v>
      </c>
      <c r="AT81" s="177">
        <f t="shared" si="86"/>
        <v>7260107873</v>
      </c>
      <c r="AU81" s="177">
        <f t="shared" si="87"/>
        <v>143316992</v>
      </c>
      <c r="AV81" s="177">
        <f t="shared" si="88"/>
        <v>60604062</v>
      </c>
      <c r="AW81" s="382">
        <f t="shared" si="89"/>
        <v>7464028927</v>
      </c>
    </row>
    <row r="82" spans="1:49">
      <c r="A82" s="170">
        <v>42552</v>
      </c>
      <c r="B82" s="378">
        <v>0</v>
      </c>
      <c r="C82" s="3">
        <v>21751351</v>
      </c>
      <c r="D82" s="3">
        <f t="shared" si="90"/>
        <v>21751351</v>
      </c>
      <c r="E82" s="3">
        <v>1228942159</v>
      </c>
      <c r="F82" s="3">
        <v>952163</v>
      </c>
      <c r="G82" s="3">
        <f t="shared" si="91"/>
        <v>1229894322</v>
      </c>
      <c r="H82" s="3">
        <v>8698</v>
      </c>
      <c r="I82" s="3">
        <v>0</v>
      </c>
      <c r="J82" s="3">
        <f t="shared" si="92"/>
        <v>8698</v>
      </c>
      <c r="K82" s="3">
        <v>0</v>
      </c>
      <c r="L82" s="3">
        <v>18019937</v>
      </c>
      <c r="M82" s="3">
        <v>0</v>
      </c>
      <c r="N82" s="3">
        <f t="shared" si="93"/>
        <v>18019937</v>
      </c>
      <c r="O82" s="3">
        <v>0</v>
      </c>
      <c r="P82" s="3">
        <v>0</v>
      </c>
      <c r="Q82" s="3">
        <v>0</v>
      </c>
      <c r="R82" s="3">
        <f t="shared" si="94"/>
        <v>0</v>
      </c>
      <c r="S82" s="3">
        <v>0</v>
      </c>
      <c r="T82" s="3">
        <v>0</v>
      </c>
      <c r="U82" s="3">
        <f t="shared" si="95"/>
        <v>0</v>
      </c>
      <c r="V82" s="3">
        <f t="shared" si="96"/>
        <v>1228950857</v>
      </c>
      <c r="W82" s="3">
        <f t="shared" si="97"/>
        <v>18019937</v>
      </c>
      <c r="X82" s="3">
        <f t="shared" si="98"/>
        <v>22703514</v>
      </c>
      <c r="Y82" s="379">
        <f t="shared" si="99"/>
        <v>1269674308</v>
      </c>
      <c r="Z82" s="177">
        <f t="shared" si="100"/>
        <v>392979</v>
      </c>
      <c r="AA82" s="177">
        <f t="shared" si="100"/>
        <v>76741239</v>
      </c>
      <c r="AB82" s="177">
        <f t="shared" si="101"/>
        <v>77134218</v>
      </c>
      <c r="AC82" s="177">
        <f t="shared" si="102"/>
        <v>8488575411</v>
      </c>
      <c r="AD82" s="177">
        <f t="shared" si="102"/>
        <v>6566337</v>
      </c>
      <c r="AE82" s="177">
        <f t="shared" si="103"/>
        <v>8495141748</v>
      </c>
      <c r="AF82" s="177">
        <f t="shared" si="104"/>
        <v>90340</v>
      </c>
      <c r="AG82" s="177">
        <f t="shared" si="104"/>
        <v>0</v>
      </c>
      <c r="AH82" s="177">
        <f t="shared" si="105"/>
        <v>90340</v>
      </c>
      <c r="AI82" s="177">
        <f t="shared" si="106"/>
        <v>0</v>
      </c>
      <c r="AJ82" s="177">
        <f t="shared" si="106"/>
        <v>161336929</v>
      </c>
      <c r="AK82" s="177">
        <f t="shared" si="106"/>
        <v>0</v>
      </c>
      <c r="AL82" s="177">
        <f t="shared" si="107"/>
        <v>161336929</v>
      </c>
      <c r="AM82" s="177">
        <f t="shared" si="108"/>
        <v>0</v>
      </c>
      <c r="AN82" s="177">
        <f t="shared" si="108"/>
        <v>0</v>
      </c>
      <c r="AO82" s="177">
        <f t="shared" si="108"/>
        <v>0</v>
      </c>
      <c r="AP82" s="177">
        <f t="shared" si="109"/>
        <v>0</v>
      </c>
      <c r="AQ82" s="177">
        <f t="shared" si="110"/>
        <v>0</v>
      </c>
      <c r="AR82" s="177">
        <f t="shared" si="110"/>
        <v>0</v>
      </c>
      <c r="AS82" s="177">
        <f t="shared" si="111"/>
        <v>0</v>
      </c>
      <c r="AT82" s="177">
        <f t="shared" si="86"/>
        <v>8489058730</v>
      </c>
      <c r="AU82" s="177">
        <f t="shared" si="87"/>
        <v>161336929</v>
      </c>
      <c r="AV82" s="177">
        <f t="shared" si="88"/>
        <v>83307576</v>
      </c>
      <c r="AW82" s="382">
        <f t="shared" si="89"/>
        <v>8733703235</v>
      </c>
    </row>
    <row r="83" spans="1:49">
      <c r="A83" s="170">
        <v>42583</v>
      </c>
      <c r="B83" s="378">
        <v>20128</v>
      </c>
      <c r="C83" s="3">
        <v>4590701</v>
      </c>
      <c r="D83" s="3">
        <f t="shared" si="90"/>
        <v>4610829</v>
      </c>
      <c r="E83" s="3">
        <v>1302210348</v>
      </c>
      <c r="F83" s="3">
        <v>1091073</v>
      </c>
      <c r="G83" s="3">
        <f t="shared" si="91"/>
        <v>1303301421</v>
      </c>
      <c r="H83" s="3">
        <v>35887</v>
      </c>
      <c r="I83" s="3">
        <v>0</v>
      </c>
      <c r="J83" s="3">
        <f t="shared" si="92"/>
        <v>35887</v>
      </c>
      <c r="K83" s="3">
        <v>0</v>
      </c>
      <c r="L83" s="3">
        <v>26647330</v>
      </c>
      <c r="M83" s="3">
        <v>0</v>
      </c>
      <c r="N83" s="3">
        <f t="shared" si="93"/>
        <v>26647330</v>
      </c>
      <c r="O83" s="3">
        <v>0</v>
      </c>
      <c r="P83" s="3">
        <v>0</v>
      </c>
      <c r="Q83" s="3">
        <v>0</v>
      </c>
      <c r="R83" s="3">
        <f t="shared" si="94"/>
        <v>0</v>
      </c>
      <c r="S83" s="3">
        <v>0</v>
      </c>
      <c r="T83" s="3">
        <v>0</v>
      </c>
      <c r="U83" s="3">
        <f t="shared" si="95"/>
        <v>0</v>
      </c>
      <c r="V83" s="3">
        <f t="shared" si="96"/>
        <v>1302266363</v>
      </c>
      <c r="W83" s="3">
        <f t="shared" si="97"/>
        <v>26647330</v>
      </c>
      <c r="X83" s="3">
        <f t="shared" si="98"/>
        <v>5681774</v>
      </c>
      <c r="Y83" s="379">
        <f t="shared" si="99"/>
        <v>1334595467</v>
      </c>
      <c r="Z83" s="177">
        <f t="shared" si="100"/>
        <v>413107</v>
      </c>
      <c r="AA83" s="177">
        <f t="shared" si="100"/>
        <v>81331940</v>
      </c>
      <c r="AB83" s="177">
        <f t="shared" si="101"/>
        <v>81745047</v>
      </c>
      <c r="AC83" s="177">
        <f t="shared" si="102"/>
        <v>9790785759</v>
      </c>
      <c r="AD83" s="177">
        <f t="shared" si="102"/>
        <v>7657410</v>
      </c>
      <c r="AE83" s="177">
        <f t="shared" si="103"/>
        <v>9798443169</v>
      </c>
      <c r="AF83" s="177">
        <f t="shared" si="104"/>
        <v>126227</v>
      </c>
      <c r="AG83" s="177">
        <f t="shared" si="104"/>
        <v>0</v>
      </c>
      <c r="AH83" s="177">
        <f t="shared" si="105"/>
        <v>126227</v>
      </c>
      <c r="AI83" s="177">
        <f t="shared" si="106"/>
        <v>0</v>
      </c>
      <c r="AJ83" s="177">
        <f t="shared" si="106"/>
        <v>187984259</v>
      </c>
      <c r="AK83" s="177">
        <f t="shared" si="106"/>
        <v>0</v>
      </c>
      <c r="AL83" s="177">
        <f t="shared" si="107"/>
        <v>187984259</v>
      </c>
      <c r="AM83" s="177">
        <f t="shared" si="108"/>
        <v>0</v>
      </c>
      <c r="AN83" s="177">
        <f t="shared" si="108"/>
        <v>0</v>
      </c>
      <c r="AO83" s="177">
        <f t="shared" si="108"/>
        <v>0</v>
      </c>
      <c r="AP83" s="177">
        <f t="shared" si="109"/>
        <v>0</v>
      </c>
      <c r="AQ83" s="177">
        <f t="shared" si="110"/>
        <v>0</v>
      </c>
      <c r="AR83" s="177">
        <f t="shared" si="110"/>
        <v>0</v>
      </c>
      <c r="AS83" s="177">
        <f t="shared" si="111"/>
        <v>0</v>
      </c>
      <c r="AT83" s="177">
        <f t="shared" si="86"/>
        <v>9791325093</v>
      </c>
      <c r="AU83" s="177">
        <f t="shared" si="87"/>
        <v>187984259</v>
      </c>
      <c r="AV83" s="177">
        <f t="shared" si="88"/>
        <v>88989350</v>
      </c>
      <c r="AW83" s="382">
        <f t="shared" si="89"/>
        <v>10068298702</v>
      </c>
    </row>
    <row r="84" spans="1:49">
      <c r="A84" s="170">
        <v>42614</v>
      </c>
      <c r="B84" s="378">
        <v>80932</v>
      </c>
      <c r="C84" s="3">
        <v>25366040</v>
      </c>
      <c r="D84" s="3">
        <f t="shared" si="90"/>
        <v>25446972</v>
      </c>
      <c r="E84" s="3">
        <v>1210481326</v>
      </c>
      <c r="F84" s="3">
        <v>1070023</v>
      </c>
      <c r="G84" s="3">
        <f t="shared" si="91"/>
        <v>1211551349</v>
      </c>
      <c r="H84" s="3">
        <v>0</v>
      </c>
      <c r="I84" s="3">
        <v>0</v>
      </c>
      <c r="J84" s="3">
        <f t="shared" si="92"/>
        <v>0</v>
      </c>
      <c r="K84" s="3">
        <v>0</v>
      </c>
      <c r="L84" s="3">
        <v>17911537</v>
      </c>
      <c r="M84" s="3">
        <v>0</v>
      </c>
      <c r="N84" s="3">
        <f t="shared" si="93"/>
        <v>17911537</v>
      </c>
      <c r="O84" s="3">
        <v>0</v>
      </c>
      <c r="P84" s="3">
        <v>0</v>
      </c>
      <c r="Q84" s="3">
        <v>0</v>
      </c>
      <c r="R84" s="3">
        <f t="shared" si="94"/>
        <v>0</v>
      </c>
      <c r="S84" s="3">
        <v>0</v>
      </c>
      <c r="T84" s="3">
        <v>0</v>
      </c>
      <c r="U84" s="3">
        <f t="shared" si="95"/>
        <v>0</v>
      </c>
      <c r="V84" s="3">
        <f t="shared" si="96"/>
        <v>1210562258</v>
      </c>
      <c r="W84" s="3">
        <f t="shared" si="97"/>
        <v>17911537</v>
      </c>
      <c r="X84" s="3">
        <f t="shared" si="98"/>
        <v>26436063</v>
      </c>
      <c r="Y84" s="379">
        <f t="shared" si="99"/>
        <v>1254909858</v>
      </c>
      <c r="Z84" s="177">
        <f t="shared" si="100"/>
        <v>494039</v>
      </c>
      <c r="AA84" s="177">
        <f t="shared" si="100"/>
        <v>106697980</v>
      </c>
      <c r="AB84" s="177">
        <f t="shared" si="101"/>
        <v>107192019</v>
      </c>
      <c r="AC84" s="177">
        <f t="shared" si="102"/>
        <v>11001267085</v>
      </c>
      <c r="AD84" s="177">
        <f t="shared" si="102"/>
        <v>8727433</v>
      </c>
      <c r="AE84" s="177">
        <f t="shared" si="103"/>
        <v>11009994518</v>
      </c>
      <c r="AF84" s="177">
        <f t="shared" si="104"/>
        <v>126227</v>
      </c>
      <c r="AG84" s="177">
        <f t="shared" si="104"/>
        <v>0</v>
      </c>
      <c r="AH84" s="177">
        <f t="shared" si="105"/>
        <v>126227</v>
      </c>
      <c r="AI84" s="177">
        <f t="shared" si="106"/>
        <v>0</v>
      </c>
      <c r="AJ84" s="177">
        <f t="shared" si="106"/>
        <v>205895796</v>
      </c>
      <c r="AK84" s="177">
        <f t="shared" si="106"/>
        <v>0</v>
      </c>
      <c r="AL84" s="177">
        <f t="shared" si="107"/>
        <v>205895796</v>
      </c>
      <c r="AM84" s="177">
        <f t="shared" si="108"/>
        <v>0</v>
      </c>
      <c r="AN84" s="177">
        <f t="shared" si="108"/>
        <v>0</v>
      </c>
      <c r="AO84" s="177">
        <f t="shared" si="108"/>
        <v>0</v>
      </c>
      <c r="AP84" s="177">
        <f t="shared" si="109"/>
        <v>0</v>
      </c>
      <c r="AQ84" s="177">
        <f t="shared" si="110"/>
        <v>0</v>
      </c>
      <c r="AR84" s="177">
        <f t="shared" si="110"/>
        <v>0</v>
      </c>
      <c r="AS84" s="177">
        <f t="shared" si="111"/>
        <v>0</v>
      </c>
      <c r="AT84" s="177">
        <f t="shared" si="86"/>
        <v>11001887351</v>
      </c>
      <c r="AU84" s="177">
        <f t="shared" si="87"/>
        <v>205895796</v>
      </c>
      <c r="AV84" s="177">
        <f t="shared" si="88"/>
        <v>115425413</v>
      </c>
      <c r="AW84" s="382">
        <f t="shared" si="89"/>
        <v>11323208560</v>
      </c>
    </row>
    <row r="85" spans="1:49">
      <c r="A85" s="170">
        <v>42644</v>
      </c>
      <c r="B85" s="378">
        <v>31473</v>
      </c>
      <c r="C85" s="3">
        <v>24534835</v>
      </c>
      <c r="D85" s="3">
        <f t="shared" si="90"/>
        <v>24566308</v>
      </c>
      <c r="E85" s="3">
        <v>1234413922</v>
      </c>
      <c r="F85" s="3">
        <v>1000595</v>
      </c>
      <c r="G85" s="3">
        <f t="shared" si="91"/>
        <v>1235414517</v>
      </c>
      <c r="H85" s="3">
        <v>0</v>
      </c>
      <c r="I85" s="3">
        <v>0</v>
      </c>
      <c r="J85" s="3">
        <f t="shared" si="92"/>
        <v>0</v>
      </c>
      <c r="K85" s="3">
        <v>0</v>
      </c>
      <c r="L85" s="3">
        <v>30744027</v>
      </c>
      <c r="M85" s="3">
        <v>0</v>
      </c>
      <c r="N85" s="3">
        <f t="shared" si="93"/>
        <v>30744027</v>
      </c>
      <c r="O85" s="3">
        <v>0</v>
      </c>
      <c r="P85" s="3">
        <v>0</v>
      </c>
      <c r="Q85" s="3">
        <v>0</v>
      </c>
      <c r="R85" s="3">
        <f t="shared" si="94"/>
        <v>0</v>
      </c>
      <c r="S85" s="3">
        <v>0</v>
      </c>
      <c r="T85" s="3">
        <v>0</v>
      </c>
      <c r="U85" s="3">
        <f t="shared" si="95"/>
        <v>0</v>
      </c>
      <c r="V85" s="3">
        <f t="shared" si="96"/>
        <v>1234445395</v>
      </c>
      <c r="W85" s="3">
        <f t="shared" si="97"/>
        <v>30744027</v>
      </c>
      <c r="X85" s="3">
        <f t="shared" si="98"/>
        <v>25535430</v>
      </c>
      <c r="Y85" s="379">
        <f t="shared" si="99"/>
        <v>1290724852</v>
      </c>
      <c r="Z85" s="177">
        <f t="shared" si="100"/>
        <v>525512</v>
      </c>
      <c r="AA85" s="177">
        <f t="shared" si="100"/>
        <v>131232815</v>
      </c>
      <c r="AB85" s="177">
        <f t="shared" si="101"/>
        <v>131758327</v>
      </c>
      <c r="AC85" s="177">
        <f t="shared" si="102"/>
        <v>12235681007</v>
      </c>
      <c r="AD85" s="177">
        <f t="shared" si="102"/>
        <v>9728028</v>
      </c>
      <c r="AE85" s="177">
        <f t="shared" si="103"/>
        <v>12245409035</v>
      </c>
      <c r="AF85" s="177">
        <f t="shared" si="104"/>
        <v>126227</v>
      </c>
      <c r="AG85" s="177">
        <f t="shared" si="104"/>
        <v>0</v>
      </c>
      <c r="AH85" s="177">
        <f t="shared" si="105"/>
        <v>126227</v>
      </c>
      <c r="AI85" s="177">
        <f t="shared" si="106"/>
        <v>0</v>
      </c>
      <c r="AJ85" s="177">
        <f t="shared" si="106"/>
        <v>236639823</v>
      </c>
      <c r="AK85" s="177">
        <f t="shared" si="106"/>
        <v>0</v>
      </c>
      <c r="AL85" s="177">
        <f t="shared" si="107"/>
        <v>236639823</v>
      </c>
      <c r="AM85" s="177">
        <f t="shared" si="108"/>
        <v>0</v>
      </c>
      <c r="AN85" s="177">
        <f t="shared" si="108"/>
        <v>0</v>
      </c>
      <c r="AO85" s="177">
        <f t="shared" si="108"/>
        <v>0</v>
      </c>
      <c r="AP85" s="177">
        <f t="shared" si="109"/>
        <v>0</v>
      </c>
      <c r="AQ85" s="177">
        <f t="shared" si="110"/>
        <v>0</v>
      </c>
      <c r="AR85" s="177">
        <f t="shared" si="110"/>
        <v>0</v>
      </c>
      <c r="AS85" s="177">
        <f t="shared" si="111"/>
        <v>0</v>
      </c>
      <c r="AT85" s="177">
        <f t="shared" si="86"/>
        <v>12236332746</v>
      </c>
      <c r="AU85" s="177">
        <f t="shared" si="87"/>
        <v>236639823</v>
      </c>
      <c r="AV85" s="177">
        <f t="shared" si="88"/>
        <v>140960843</v>
      </c>
      <c r="AW85" s="382">
        <f t="shared" si="89"/>
        <v>12613933412</v>
      </c>
    </row>
    <row r="86" spans="1:49">
      <c r="A86" s="170">
        <v>42675</v>
      </c>
      <c r="B86" s="378">
        <v>6255</v>
      </c>
      <c r="C86" s="3">
        <v>29921452</v>
      </c>
      <c r="D86" s="3">
        <f t="shared" si="90"/>
        <v>29927707</v>
      </c>
      <c r="E86" s="3">
        <v>1205738078</v>
      </c>
      <c r="F86" s="3">
        <v>982939</v>
      </c>
      <c r="G86" s="3">
        <f t="shared" si="91"/>
        <v>1206721017</v>
      </c>
      <c r="H86" s="3">
        <v>36715</v>
      </c>
      <c r="I86" s="3">
        <v>0</v>
      </c>
      <c r="J86" s="3">
        <f t="shared" si="92"/>
        <v>36715</v>
      </c>
      <c r="K86" s="3">
        <v>0</v>
      </c>
      <c r="L86" s="3">
        <v>23648695</v>
      </c>
      <c r="M86" s="3">
        <v>0</v>
      </c>
      <c r="N86" s="3">
        <f t="shared" si="93"/>
        <v>23648695</v>
      </c>
      <c r="O86" s="3">
        <v>0</v>
      </c>
      <c r="P86" s="3">
        <v>0</v>
      </c>
      <c r="Q86" s="3">
        <v>0</v>
      </c>
      <c r="R86" s="3">
        <f t="shared" si="94"/>
        <v>0</v>
      </c>
      <c r="S86" s="3">
        <v>0</v>
      </c>
      <c r="T86" s="3">
        <v>0</v>
      </c>
      <c r="U86" s="3">
        <f t="shared" si="95"/>
        <v>0</v>
      </c>
      <c r="V86" s="3">
        <f t="shared" si="96"/>
        <v>1205781048</v>
      </c>
      <c r="W86" s="3">
        <f t="shared" si="97"/>
        <v>23648695</v>
      </c>
      <c r="X86" s="3">
        <f t="shared" si="98"/>
        <v>30904391</v>
      </c>
      <c r="Y86" s="379">
        <f t="shared" si="99"/>
        <v>1260334134</v>
      </c>
      <c r="Z86" s="177">
        <f t="shared" si="100"/>
        <v>531767</v>
      </c>
      <c r="AA86" s="177">
        <f t="shared" si="100"/>
        <v>161154267</v>
      </c>
      <c r="AB86" s="177">
        <f t="shared" si="101"/>
        <v>161686034</v>
      </c>
      <c r="AC86" s="177">
        <f t="shared" si="102"/>
        <v>13441419085</v>
      </c>
      <c r="AD86" s="177">
        <f t="shared" si="102"/>
        <v>10710967</v>
      </c>
      <c r="AE86" s="177">
        <f t="shared" si="103"/>
        <v>13452130052</v>
      </c>
      <c r="AF86" s="177">
        <f t="shared" si="104"/>
        <v>162942</v>
      </c>
      <c r="AG86" s="177">
        <f t="shared" si="104"/>
        <v>0</v>
      </c>
      <c r="AH86" s="177">
        <f t="shared" si="105"/>
        <v>162942</v>
      </c>
      <c r="AI86" s="177">
        <f t="shared" si="106"/>
        <v>0</v>
      </c>
      <c r="AJ86" s="177">
        <f t="shared" si="106"/>
        <v>260288518</v>
      </c>
      <c r="AK86" s="177">
        <f t="shared" si="106"/>
        <v>0</v>
      </c>
      <c r="AL86" s="177">
        <f t="shared" si="107"/>
        <v>260288518</v>
      </c>
      <c r="AM86" s="177">
        <f t="shared" si="108"/>
        <v>0</v>
      </c>
      <c r="AN86" s="177">
        <f t="shared" si="108"/>
        <v>0</v>
      </c>
      <c r="AO86" s="177">
        <f t="shared" si="108"/>
        <v>0</v>
      </c>
      <c r="AP86" s="177">
        <f t="shared" si="109"/>
        <v>0</v>
      </c>
      <c r="AQ86" s="177">
        <f t="shared" si="110"/>
        <v>0</v>
      </c>
      <c r="AR86" s="177">
        <f t="shared" si="110"/>
        <v>0</v>
      </c>
      <c r="AS86" s="177">
        <f t="shared" si="111"/>
        <v>0</v>
      </c>
      <c r="AT86" s="177">
        <f t="shared" si="86"/>
        <v>13442113794</v>
      </c>
      <c r="AU86" s="177">
        <f t="shared" si="87"/>
        <v>260288518</v>
      </c>
      <c r="AV86" s="177">
        <f t="shared" si="88"/>
        <v>171865234</v>
      </c>
      <c r="AW86" s="382">
        <f t="shared" si="89"/>
        <v>13874267546</v>
      </c>
    </row>
    <row r="87" spans="1:49" ht="15.75" thickBot="1">
      <c r="A87" s="170">
        <v>42705</v>
      </c>
      <c r="B87" s="378">
        <v>0</v>
      </c>
      <c r="C87" s="3">
        <v>7637746</v>
      </c>
      <c r="D87" s="3">
        <f t="shared" si="90"/>
        <v>7637746</v>
      </c>
      <c r="E87" s="3">
        <v>1271455225</v>
      </c>
      <c r="F87" s="3">
        <v>1028018</v>
      </c>
      <c r="G87" s="3">
        <f t="shared" si="91"/>
        <v>1272483243</v>
      </c>
      <c r="H87" s="3">
        <v>0</v>
      </c>
      <c r="I87" s="3">
        <v>0</v>
      </c>
      <c r="J87" s="3">
        <f t="shared" si="92"/>
        <v>0</v>
      </c>
      <c r="K87" s="3">
        <v>0</v>
      </c>
      <c r="L87" s="3">
        <v>21328501</v>
      </c>
      <c r="M87" s="3">
        <v>0</v>
      </c>
      <c r="N87" s="3">
        <f t="shared" si="93"/>
        <v>21328501</v>
      </c>
      <c r="O87" s="3">
        <v>0</v>
      </c>
      <c r="P87" s="3">
        <v>0</v>
      </c>
      <c r="Q87" s="3">
        <v>0</v>
      </c>
      <c r="R87" s="3">
        <f t="shared" si="94"/>
        <v>0</v>
      </c>
      <c r="S87" s="3">
        <v>0</v>
      </c>
      <c r="T87" s="3">
        <v>0</v>
      </c>
      <c r="U87" s="3">
        <f t="shared" si="95"/>
        <v>0</v>
      </c>
      <c r="V87" s="3">
        <f t="shared" si="96"/>
        <v>1271455225</v>
      </c>
      <c r="W87" s="3">
        <f t="shared" si="97"/>
        <v>21328501</v>
      </c>
      <c r="X87" s="3">
        <f t="shared" si="98"/>
        <v>8665764</v>
      </c>
      <c r="Y87" s="379">
        <f t="shared" si="99"/>
        <v>1301449490</v>
      </c>
      <c r="Z87" s="177">
        <f t="shared" si="100"/>
        <v>531767</v>
      </c>
      <c r="AA87" s="177">
        <f t="shared" si="100"/>
        <v>168792013</v>
      </c>
      <c r="AB87" s="177">
        <f t="shared" si="101"/>
        <v>169323780</v>
      </c>
      <c r="AC87" s="177">
        <f t="shared" si="102"/>
        <v>14712874310</v>
      </c>
      <c r="AD87" s="177">
        <f t="shared" si="102"/>
        <v>11738985</v>
      </c>
      <c r="AE87" s="177">
        <f t="shared" si="103"/>
        <v>14724613295</v>
      </c>
      <c r="AF87" s="177">
        <f t="shared" si="104"/>
        <v>162942</v>
      </c>
      <c r="AG87" s="177">
        <f t="shared" si="104"/>
        <v>0</v>
      </c>
      <c r="AH87" s="177">
        <f t="shared" si="105"/>
        <v>162942</v>
      </c>
      <c r="AI87" s="177">
        <f t="shared" si="106"/>
        <v>0</v>
      </c>
      <c r="AJ87" s="177">
        <f t="shared" si="106"/>
        <v>281617019</v>
      </c>
      <c r="AK87" s="177">
        <f t="shared" si="106"/>
        <v>0</v>
      </c>
      <c r="AL87" s="177">
        <f>AK87+AJ87+AI87</f>
        <v>281617019</v>
      </c>
      <c r="AM87" s="177">
        <f>AM86+O87</f>
        <v>0</v>
      </c>
      <c r="AN87" s="177">
        <f>AN86+P87</f>
        <v>0</v>
      </c>
      <c r="AO87" s="177">
        <f>AO86+Q87</f>
        <v>0</v>
      </c>
      <c r="AP87" s="177">
        <f t="shared" si="109"/>
        <v>0</v>
      </c>
      <c r="AQ87" s="177">
        <f t="shared" si="110"/>
        <v>0</v>
      </c>
      <c r="AR87" s="177">
        <f t="shared" si="110"/>
        <v>0</v>
      </c>
      <c r="AS87" s="177">
        <f t="shared" si="111"/>
        <v>0</v>
      </c>
      <c r="AT87" s="177">
        <f t="shared" si="86"/>
        <v>14713569019</v>
      </c>
      <c r="AU87" s="177">
        <f t="shared" si="87"/>
        <v>281617019</v>
      </c>
      <c r="AV87" s="177">
        <f t="shared" si="88"/>
        <v>180530998</v>
      </c>
      <c r="AW87" s="382">
        <f t="shared" si="89"/>
        <v>15175717036</v>
      </c>
    </row>
    <row r="88" spans="1:49">
      <c r="A88" s="171">
        <v>42736</v>
      </c>
      <c r="B88" s="385">
        <v>0</v>
      </c>
      <c r="C88" s="104">
        <v>0</v>
      </c>
      <c r="D88" s="104">
        <f t="shared" si="90"/>
        <v>0</v>
      </c>
      <c r="E88" s="104">
        <v>1238395770</v>
      </c>
      <c r="F88" s="104">
        <v>988952</v>
      </c>
      <c r="G88" s="104">
        <f t="shared" si="91"/>
        <v>1239384722</v>
      </c>
      <c r="H88" s="104">
        <v>0</v>
      </c>
      <c r="I88" s="104">
        <v>0</v>
      </c>
      <c r="J88" s="104">
        <f t="shared" si="92"/>
        <v>0</v>
      </c>
      <c r="K88" s="104">
        <v>0</v>
      </c>
      <c r="L88" s="104">
        <v>17061254</v>
      </c>
      <c r="M88" s="104">
        <v>0</v>
      </c>
      <c r="N88" s="104">
        <f t="shared" si="93"/>
        <v>17061254</v>
      </c>
      <c r="O88" s="104">
        <v>0</v>
      </c>
      <c r="P88" s="104">
        <v>0</v>
      </c>
      <c r="Q88" s="104">
        <v>0</v>
      </c>
      <c r="R88" s="104">
        <f t="shared" si="94"/>
        <v>0</v>
      </c>
      <c r="S88" s="104">
        <v>0</v>
      </c>
      <c r="T88" s="104">
        <v>0</v>
      </c>
      <c r="U88" s="104">
        <f t="shared" si="95"/>
        <v>0</v>
      </c>
      <c r="V88" s="104">
        <f t="shared" si="96"/>
        <v>1238395770</v>
      </c>
      <c r="W88" s="104">
        <f t="shared" si="97"/>
        <v>17061254</v>
      </c>
      <c r="X88" s="104">
        <f t="shared" si="98"/>
        <v>988952</v>
      </c>
      <c r="Y88" s="386">
        <f t="shared" si="99"/>
        <v>1256445976</v>
      </c>
      <c r="Z88" s="389">
        <f>B88</f>
        <v>0</v>
      </c>
      <c r="AA88" s="389">
        <f>C88</f>
        <v>0</v>
      </c>
      <c r="AB88" s="389">
        <f>AA88+Z88</f>
        <v>0</v>
      </c>
      <c r="AC88" s="389">
        <f>E88</f>
        <v>1238395770</v>
      </c>
      <c r="AD88" s="389">
        <f>F88</f>
        <v>988952</v>
      </c>
      <c r="AE88" s="389">
        <f>AD88+AC88</f>
        <v>1239384722</v>
      </c>
      <c r="AF88" s="389">
        <f>H88</f>
        <v>0</v>
      </c>
      <c r="AG88" s="389">
        <f>I88</f>
        <v>0</v>
      </c>
      <c r="AH88" s="389">
        <f>AG88+AF88</f>
        <v>0</v>
      </c>
      <c r="AI88" s="389">
        <f>K88</f>
        <v>0</v>
      </c>
      <c r="AJ88" s="389">
        <f>L88</f>
        <v>17061254</v>
      </c>
      <c r="AK88" s="389">
        <f>M88</f>
        <v>0</v>
      </c>
      <c r="AL88" s="389">
        <f>AK88+AJ88+AI88</f>
        <v>17061254</v>
      </c>
      <c r="AM88" s="389">
        <f>O88</f>
        <v>0</v>
      </c>
      <c r="AN88" s="389">
        <f>P88</f>
        <v>0</v>
      </c>
      <c r="AO88" s="389">
        <f>Q88</f>
        <v>0</v>
      </c>
      <c r="AP88" s="389">
        <f>AO88+AN88+AM88</f>
        <v>0</v>
      </c>
      <c r="AQ88" s="389">
        <f>S88</f>
        <v>0</v>
      </c>
      <c r="AR88" s="389">
        <f>T88</f>
        <v>0</v>
      </c>
      <c r="AS88" s="389">
        <f>AR88+AQ88</f>
        <v>0</v>
      </c>
      <c r="AT88" s="389">
        <f t="shared" si="86"/>
        <v>1238395770</v>
      </c>
      <c r="AU88" s="389">
        <f t="shared" si="87"/>
        <v>17061254</v>
      </c>
      <c r="AV88" s="389">
        <f t="shared" si="88"/>
        <v>988952</v>
      </c>
      <c r="AW88" s="390">
        <f t="shared" si="89"/>
        <v>1256445976</v>
      </c>
    </row>
    <row r="89" spans="1:49">
      <c r="A89" s="170">
        <v>42767</v>
      </c>
      <c r="B89" s="378">
        <v>0</v>
      </c>
      <c r="C89" s="3">
        <v>0</v>
      </c>
      <c r="D89" s="3">
        <f t="shared" si="90"/>
        <v>0</v>
      </c>
      <c r="E89" s="3">
        <v>1130343456</v>
      </c>
      <c r="F89" s="3">
        <v>925413</v>
      </c>
      <c r="G89" s="3">
        <f t="shared" si="91"/>
        <v>1131268869</v>
      </c>
      <c r="H89" s="3">
        <v>0</v>
      </c>
      <c r="I89" s="3">
        <v>0</v>
      </c>
      <c r="J89" s="3">
        <f t="shared" si="92"/>
        <v>0</v>
      </c>
      <c r="K89" s="3">
        <v>0</v>
      </c>
      <c r="L89" s="3">
        <v>24378724</v>
      </c>
      <c r="M89" s="3">
        <v>0</v>
      </c>
      <c r="N89" s="3">
        <f t="shared" si="93"/>
        <v>24378724</v>
      </c>
      <c r="O89" s="3">
        <v>0</v>
      </c>
      <c r="P89" s="3">
        <v>0</v>
      </c>
      <c r="Q89" s="3">
        <v>0</v>
      </c>
      <c r="R89" s="3">
        <f t="shared" si="94"/>
        <v>0</v>
      </c>
      <c r="S89" s="3">
        <v>0</v>
      </c>
      <c r="T89" s="3">
        <v>0</v>
      </c>
      <c r="U89" s="3">
        <f t="shared" si="95"/>
        <v>0</v>
      </c>
      <c r="V89" s="3">
        <f t="shared" si="96"/>
        <v>1130343456</v>
      </c>
      <c r="W89" s="3">
        <f t="shared" si="97"/>
        <v>24378724</v>
      </c>
      <c r="X89" s="3">
        <f t="shared" si="98"/>
        <v>925413</v>
      </c>
      <c r="Y89" s="379">
        <f t="shared" si="99"/>
        <v>1155647593</v>
      </c>
      <c r="Z89" s="177">
        <f t="shared" ref="Z89:AA99" si="112">Z88+B89</f>
        <v>0</v>
      </c>
      <c r="AA89" s="177">
        <f t="shared" si="112"/>
        <v>0</v>
      </c>
      <c r="AB89" s="177">
        <f t="shared" ref="AB89:AB99" si="113">AA89+Z89</f>
        <v>0</v>
      </c>
      <c r="AC89" s="177">
        <f t="shared" ref="AC89:AD99" si="114">AC88+E89</f>
        <v>2368739226</v>
      </c>
      <c r="AD89" s="177">
        <f t="shared" si="114"/>
        <v>1914365</v>
      </c>
      <c r="AE89" s="177">
        <f t="shared" ref="AE89:AE99" si="115">AD89+AC89</f>
        <v>2370653591</v>
      </c>
      <c r="AF89" s="177">
        <f t="shared" ref="AF89:AG99" si="116">AF88+H89</f>
        <v>0</v>
      </c>
      <c r="AG89" s="177">
        <f t="shared" si="116"/>
        <v>0</v>
      </c>
      <c r="AH89" s="177">
        <f t="shared" ref="AH89:AH99" si="117">AG89+AF89</f>
        <v>0</v>
      </c>
      <c r="AI89" s="177">
        <f t="shared" ref="AI89:AK99" si="118">AI88+K89</f>
        <v>0</v>
      </c>
      <c r="AJ89" s="177">
        <f t="shared" si="118"/>
        <v>41439978</v>
      </c>
      <c r="AK89" s="177">
        <f t="shared" si="118"/>
        <v>0</v>
      </c>
      <c r="AL89" s="177">
        <f t="shared" ref="AL89:AL98" si="119">AK89+AJ89+AI89</f>
        <v>41439978</v>
      </c>
      <c r="AM89" s="177">
        <f t="shared" ref="AM89:AO98" si="120">AM88+O89</f>
        <v>0</v>
      </c>
      <c r="AN89" s="177">
        <f t="shared" si="120"/>
        <v>0</v>
      </c>
      <c r="AO89" s="177">
        <f t="shared" si="120"/>
        <v>0</v>
      </c>
      <c r="AP89" s="177">
        <f t="shared" ref="AP89:AP99" si="121">AO89+AN89+AM89</f>
        <v>0</v>
      </c>
      <c r="AQ89" s="177">
        <f t="shared" ref="AQ89:AR99" si="122">AQ88+S89</f>
        <v>0</v>
      </c>
      <c r="AR89" s="177">
        <f t="shared" si="122"/>
        <v>0</v>
      </c>
      <c r="AS89" s="177">
        <f t="shared" ref="AS89:AS99" si="123">AR89+AQ89</f>
        <v>0</v>
      </c>
      <c r="AT89" s="177">
        <f t="shared" si="86"/>
        <v>2368739226</v>
      </c>
      <c r="AU89" s="177">
        <f t="shared" si="87"/>
        <v>41439978</v>
      </c>
      <c r="AV89" s="177">
        <f t="shared" si="88"/>
        <v>1914365</v>
      </c>
      <c r="AW89" s="382">
        <f t="shared" si="89"/>
        <v>2412093569</v>
      </c>
    </row>
    <row r="90" spans="1:49">
      <c r="A90" s="170">
        <v>42795</v>
      </c>
      <c r="B90" s="378">
        <v>0</v>
      </c>
      <c r="C90" s="3">
        <v>0</v>
      </c>
      <c r="D90" s="3">
        <f t="shared" si="90"/>
        <v>0</v>
      </c>
      <c r="E90" s="3">
        <v>1262859797</v>
      </c>
      <c r="F90" s="3">
        <v>1010247</v>
      </c>
      <c r="G90" s="3">
        <f t="shared" si="91"/>
        <v>1263870044</v>
      </c>
      <c r="H90" s="3">
        <v>0</v>
      </c>
      <c r="I90" s="3">
        <v>0</v>
      </c>
      <c r="J90" s="3">
        <f t="shared" si="92"/>
        <v>0</v>
      </c>
      <c r="K90" s="3">
        <v>0</v>
      </c>
      <c r="L90" s="3">
        <v>24244605</v>
      </c>
      <c r="M90" s="3">
        <v>0</v>
      </c>
      <c r="N90" s="3">
        <f t="shared" si="93"/>
        <v>24244605</v>
      </c>
      <c r="O90" s="3">
        <v>0</v>
      </c>
      <c r="P90" s="3">
        <v>0</v>
      </c>
      <c r="Q90" s="3">
        <v>0</v>
      </c>
      <c r="R90" s="3">
        <f t="shared" si="94"/>
        <v>0</v>
      </c>
      <c r="S90" s="3">
        <v>0</v>
      </c>
      <c r="T90" s="3">
        <v>0</v>
      </c>
      <c r="U90" s="3">
        <f t="shared" si="95"/>
        <v>0</v>
      </c>
      <c r="V90" s="3">
        <f t="shared" si="96"/>
        <v>1262859797</v>
      </c>
      <c r="W90" s="3">
        <f t="shared" si="97"/>
        <v>24244605</v>
      </c>
      <c r="X90" s="3">
        <f t="shared" si="98"/>
        <v>1010247</v>
      </c>
      <c r="Y90" s="379">
        <f t="shared" si="99"/>
        <v>1288114649</v>
      </c>
      <c r="Z90" s="177">
        <f t="shared" si="112"/>
        <v>0</v>
      </c>
      <c r="AA90" s="177">
        <f t="shared" si="112"/>
        <v>0</v>
      </c>
      <c r="AB90" s="177">
        <f t="shared" si="113"/>
        <v>0</v>
      </c>
      <c r="AC90" s="177">
        <f t="shared" si="114"/>
        <v>3631599023</v>
      </c>
      <c r="AD90" s="177">
        <f t="shared" si="114"/>
        <v>2924612</v>
      </c>
      <c r="AE90" s="177">
        <f t="shared" si="115"/>
        <v>3634523635</v>
      </c>
      <c r="AF90" s="177">
        <f t="shared" si="116"/>
        <v>0</v>
      </c>
      <c r="AG90" s="177">
        <f t="shared" si="116"/>
        <v>0</v>
      </c>
      <c r="AH90" s="177">
        <f t="shared" si="117"/>
        <v>0</v>
      </c>
      <c r="AI90" s="177">
        <f t="shared" si="118"/>
        <v>0</v>
      </c>
      <c r="AJ90" s="177">
        <f t="shared" si="118"/>
        <v>65684583</v>
      </c>
      <c r="AK90" s="177">
        <f t="shared" si="118"/>
        <v>0</v>
      </c>
      <c r="AL90" s="177">
        <f t="shared" si="119"/>
        <v>65684583</v>
      </c>
      <c r="AM90" s="177">
        <f t="shared" si="120"/>
        <v>0</v>
      </c>
      <c r="AN90" s="177">
        <f t="shared" si="120"/>
        <v>0</v>
      </c>
      <c r="AO90" s="177">
        <f t="shared" si="120"/>
        <v>0</v>
      </c>
      <c r="AP90" s="177">
        <f t="shared" si="121"/>
        <v>0</v>
      </c>
      <c r="AQ90" s="177">
        <f t="shared" si="122"/>
        <v>0</v>
      </c>
      <c r="AR90" s="177">
        <f t="shared" si="122"/>
        <v>0</v>
      </c>
      <c r="AS90" s="177">
        <f t="shared" si="123"/>
        <v>0</v>
      </c>
      <c r="AT90" s="177">
        <f t="shared" si="86"/>
        <v>3631599023</v>
      </c>
      <c r="AU90" s="177">
        <f t="shared" si="87"/>
        <v>65684583</v>
      </c>
      <c r="AV90" s="177">
        <f t="shared" si="88"/>
        <v>2924612</v>
      </c>
      <c r="AW90" s="382">
        <f t="shared" si="89"/>
        <v>3700208218</v>
      </c>
    </row>
    <row r="91" spans="1:49">
      <c r="A91" s="170">
        <v>42826</v>
      </c>
      <c r="B91" s="378">
        <v>0</v>
      </c>
      <c r="C91" s="3">
        <v>0</v>
      </c>
      <c r="D91" s="3">
        <f t="shared" si="90"/>
        <v>0</v>
      </c>
      <c r="E91" s="3">
        <v>1161625887</v>
      </c>
      <c r="F91" s="3">
        <v>909611</v>
      </c>
      <c r="G91" s="3">
        <f t="shared" si="91"/>
        <v>1162535498</v>
      </c>
      <c r="H91" s="3">
        <v>0</v>
      </c>
      <c r="I91" s="3">
        <v>0</v>
      </c>
      <c r="J91" s="3">
        <f t="shared" si="92"/>
        <v>0</v>
      </c>
      <c r="K91" s="3">
        <v>0</v>
      </c>
      <c r="L91" s="3">
        <v>19065575</v>
      </c>
      <c r="M91" s="3">
        <v>0</v>
      </c>
      <c r="N91" s="3">
        <f t="shared" si="93"/>
        <v>19065575</v>
      </c>
      <c r="O91" s="3">
        <v>0</v>
      </c>
      <c r="P91" s="3">
        <v>0</v>
      </c>
      <c r="Q91" s="3">
        <v>0</v>
      </c>
      <c r="R91" s="3">
        <f t="shared" si="94"/>
        <v>0</v>
      </c>
      <c r="S91" s="3">
        <v>0</v>
      </c>
      <c r="T91" s="3">
        <v>0</v>
      </c>
      <c r="U91" s="3">
        <f t="shared" si="95"/>
        <v>0</v>
      </c>
      <c r="V91" s="3">
        <f t="shared" si="96"/>
        <v>1161625887</v>
      </c>
      <c r="W91" s="3">
        <f t="shared" si="97"/>
        <v>19065575</v>
      </c>
      <c r="X91" s="3">
        <f t="shared" si="98"/>
        <v>909611</v>
      </c>
      <c r="Y91" s="379">
        <f t="shared" si="99"/>
        <v>1181601073</v>
      </c>
      <c r="Z91" s="177">
        <f t="shared" si="112"/>
        <v>0</v>
      </c>
      <c r="AA91" s="177">
        <f t="shared" si="112"/>
        <v>0</v>
      </c>
      <c r="AB91" s="177">
        <f t="shared" si="113"/>
        <v>0</v>
      </c>
      <c r="AC91" s="177">
        <f t="shared" si="114"/>
        <v>4793224910</v>
      </c>
      <c r="AD91" s="177">
        <f t="shared" si="114"/>
        <v>3834223</v>
      </c>
      <c r="AE91" s="177">
        <f t="shared" si="115"/>
        <v>4797059133</v>
      </c>
      <c r="AF91" s="177">
        <f t="shared" si="116"/>
        <v>0</v>
      </c>
      <c r="AG91" s="177">
        <f t="shared" si="116"/>
        <v>0</v>
      </c>
      <c r="AH91" s="177">
        <f t="shared" si="117"/>
        <v>0</v>
      </c>
      <c r="AI91" s="177">
        <f t="shared" si="118"/>
        <v>0</v>
      </c>
      <c r="AJ91" s="177">
        <f t="shared" si="118"/>
        <v>84750158</v>
      </c>
      <c r="AK91" s="177">
        <f t="shared" si="118"/>
        <v>0</v>
      </c>
      <c r="AL91" s="177">
        <f t="shared" si="119"/>
        <v>84750158</v>
      </c>
      <c r="AM91" s="177">
        <f t="shared" si="120"/>
        <v>0</v>
      </c>
      <c r="AN91" s="177">
        <f t="shared" si="120"/>
        <v>0</v>
      </c>
      <c r="AO91" s="177">
        <f t="shared" si="120"/>
        <v>0</v>
      </c>
      <c r="AP91" s="177">
        <f t="shared" si="121"/>
        <v>0</v>
      </c>
      <c r="AQ91" s="177">
        <f t="shared" si="122"/>
        <v>0</v>
      </c>
      <c r="AR91" s="177">
        <f t="shared" si="122"/>
        <v>0</v>
      </c>
      <c r="AS91" s="177">
        <f t="shared" si="123"/>
        <v>0</v>
      </c>
      <c r="AT91" s="177">
        <f t="shared" si="86"/>
        <v>4793224910</v>
      </c>
      <c r="AU91" s="177">
        <f t="shared" si="87"/>
        <v>84750158</v>
      </c>
      <c r="AV91" s="177">
        <f t="shared" si="88"/>
        <v>3834223</v>
      </c>
      <c r="AW91" s="382">
        <f t="shared" si="89"/>
        <v>4881809291</v>
      </c>
    </row>
    <row r="92" spans="1:49">
      <c r="A92" s="170">
        <v>42856</v>
      </c>
      <c r="B92" s="378">
        <v>0</v>
      </c>
      <c r="C92" s="3">
        <v>0</v>
      </c>
      <c r="D92" s="3">
        <f t="shared" si="90"/>
        <v>0</v>
      </c>
      <c r="E92" s="3">
        <v>1254112020</v>
      </c>
      <c r="F92" s="3">
        <v>1064278</v>
      </c>
      <c r="G92" s="3">
        <f t="shared" si="91"/>
        <v>1255176298</v>
      </c>
      <c r="H92" s="3">
        <v>0</v>
      </c>
      <c r="I92" s="3">
        <v>0</v>
      </c>
      <c r="J92" s="3">
        <f t="shared" si="92"/>
        <v>0</v>
      </c>
      <c r="K92" s="3">
        <v>0</v>
      </c>
      <c r="L92" s="3">
        <v>16971245</v>
      </c>
      <c r="M92" s="3">
        <v>0</v>
      </c>
      <c r="N92" s="3">
        <f t="shared" si="93"/>
        <v>16971245</v>
      </c>
      <c r="O92" s="3">
        <v>0</v>
      </c>
      <c r="P92" s="3">
        <v>0</v>
      </c>
      <c r="Q92" s="3">
        <v>0</v>
      </c>
      <c r="R92" s="3">
        <f t="shared" si="94"/>
        <v>0</v>
      </c>
      <c r="S92" s="3">
        <v>0</v>
      </c>
      <c r="T92" s="3">
        <v>0</v>
      </c>
      <c r="U92" s="3">
        <f t="shared" si="95"/>
        <v>0</v>
      </c>
      <c r="V92" s="3">
        <f t="shared" si="96"/>
        <v>1254112020</v>
      </c>
      <c r="W92" s="3">
        <f t="shared" si="97"/>
        <v>16971245</v>
      </c>
      <c r="X92" s="3">
        <f t="shared" si="98"/>
        <v>1064278</v>
      </c>
      <c r="Y92" s="379">
        <f t="shared" si="99"/>
        <v>1272147543</v>
      </c>
      <c r="Z92" s="177">
        <f t="shared" si="112"/>
        <v>0</v>
      </c>
      <c r="AA92" s="177">
        <f t="shared" si="112"/>
        <v>0</v>
      </c>
      <c r="AB92" s="177">
        <f t="shared" si="113"/>
        <v>0</v>
      </c>
      <c r="AC92" s="177">
        <f t="shared" si="114"/>
        <v>6047336930</v>
      </c>
      <c r="AD92" s="177">
        <f t="shared" si="114"/>
        <v>4898501</v>
      </c>
      <c r="AE92" s="177">
        <f t="shared" si="115"/>
        <v>6052235431</v>
      </c>
      <c r="AF92" s="177">
        <f t="shared" si="116"/>
        <v>0</v>
      </c>
      <c r="AG92" s="177">
        <f t="shared" si="116"/>
        <v>0</v>
      </c>
      <c r="AH92" s="177">
        <f t="shared" si="117"/>
        <v>0</v>
      </c>
      <c r="AI92" s="177">
        <f t="shared" si="118"/>
        <v>0</v>
      </c>
      <c r="AJ92" s="177">
        <f t="shared" si="118"/>
        <v>101721403</v>
      </c>
      <c r="AK92" s="177">
        <f t="shared" si="118"/>
        <v>0</v>
      </c>
      <c r="AL92" s="177">
        <f t="shared" si="119"/>
        <v>101721403</v>
      </c>
      <c r="AM92" s="177">
        <f t="shared" si="120"/>
        <v>0</v>
      </c>
      <c r="AN92" s="177">
        <f t="shared" si="120"/>
        <v>0</v>
      </c>
      <c r="AO92" s="177">
        <f t="shared" si="120"/>
        <v>0</v>
      </c>
      <c r="AP92" s="177">
        <f t="shared" si="121"/>
        <v>0</v>
      </c>
      <c r="AQ92" s="177">
        <f t="shared" si="122"/>
        <v>0</v>
      </c>
      <c r="AR92" s="177">
        <f t="shared" si="122"/>
        <v>0</v>
      </c>
      <c r="AS92" s="177">
        <f t="shared" si="123"/>
        <v>0</v>
      </c>
      <c r="AT92" s="177">
        <f t="shared" si="86"/>
        <v>6047336930</v>
      </c>
      <c r="AU92" s="177">
        <f t="shared" si="87"/>
        <v>101721403</v>
      </c>
      <c r="AV92" s="177">
        <f t="shared" si="88"/>
        <v>4898501</v>
      </c>
      <c r="AW92" s="382">
        <f t="shared" si="89"/>
        <v>6153956834</v>
      </c>
    </row>
    <row r="93" spans="1:49">
      <c r="A93" s="170">
        <v>42887</v>
      </c>
      <c r="B93" s="378">
        <v>0</v>
      </c>
      <c r="C93" s="3">
        <v>0</v>
      </c>
      <c r="D93" s="3">
        <f t="shared" si="90"/>
        <v>0</v>
      </c>
      <c r="E93" s="3">
        <v>1240909168</v>
      </c>
      <c r="F93" s="3">
        <v>1090991</v>
      </c>
      <c r="G93" s="3">
        <f t="shared" si="91"/>
        <v>1242000159</v>
      </c>
      <c r="H93" s="3">
        <v>0</v>
      </c>
      <c r="I93" s="3">
        <v>0</v>
      </c>
      <c r="J93" s="3">
        <f t="shared" si="92"/>
        <v>0</v>
      </c>
      <c r="K93" s="3">
        <v>0</v>
      </c>
      <c r="L93" s="3">
        <v>18920538</v>
      </c>
      <c r="M93" s="3">
        <v>0</v>
      </c>
      <c r="N93" s="3">
        <f t="shared" si="93"/>
        <v>18920538</v>
      </c>
      <c r="O93" s="3">
        <v>0</v>
      </c>
      <c r="P93" s="3">
        <v>0</v>
      </c>
      <c r="Q93" s="3">
        <v>0</v>
      </c>
      <c r="R93" s="3">
        <f t="shared" si="94"/>
        <v>0</v>
      </c>
      <c r="S93" s="3">
        <v>0</v>
      </c>
      <c r="T93" s="3">
        <v>0</v>
      </c>
      <c r="U93" s="3">
        <f t="shared" si="95"/>
        <v>0</v>
      </c>
      <c r="V93" s="3">
        <f t="shared" si="96"/>
        <v>1240909168</v>
      </c>
      <c r="W93" s="3">
        <f t="shared" si="97"/>
        <v>18920538</v>
      </c>
      <c r="X93" s="3">
        <f t="shared" si="98"/>
        <v>1090991</v>
      </c>
      <c r="Y93" s="379">
        <f t="shared" si="99"/>
        <v>1260920697</v>
      </c>
      <c r="Z93" s="177">
        <f t="shared" si="112"/>
        <v>0</v>
      </c>
      <c r="AA93" s="177">
        <f t="shared" si="112"/>
        <v>0</v>
      </c>
      <c r="AB93" s="177">
        <f t="shared" si="113"/>
        <v>0</v>
      </c>
      <c r="AC93" s="177">
        <f t="shared" si="114"/>
        <v>7288246098</v>
      </c>
      <c r="AD93" s="177">
        <f t="shared" si="114"/>
        <v>5989492</v>
      </c>
      <c r="AE93" s="177">
        <f t="shared" si="115"/>
        <v>7294235590</v>
      </c>
      <c r="AF93" s="177">
        <f t="shared" si="116"/>
        <v>0</v>
      </c>
      <c r="AG93" s="177">
        <f t="shared" si="116"/>
        <v>0</v>
      </c>
      <c r="AH93" s="177">
        <f t="shared" si="117"/>
        <v>0</v>
      </c>
      <c r="AI93" s="177">
        <f t="shared" si="118"/>
        <v>0</v>
      </c>
      <c r="AJ93" s="177">
        <f t="shared" si="118"/>
        <v>120641941</v>
      </c>
      <c r="AK93" s="177">
        <f t="shared" si="118"/>
        <v>0</v>
      </c>
      <c r="AL93" s="177">
        <f t="shared" si="119"/>
        <v>120641941</v>
      </c>
      <c r="AM93" s="177">
        <f t="shared" si="120"/>
        <v>0</v>
      </c>
      <c r="AN93" s="177">
        <f t="shared" si="120"/>
        <v>0</v>
      </c>
      <c r="AO93" s="177">
        <f t="shared" si="120"/>
        <v>0</v>
      </c>
      <c r="AP93" s="177">
        <f t="shared" si="121"/>
        <v>0</v>
      </c>
      <c r="AQ93" s="177">
        <f t="shared" si="122"/>
        <v>0</v>
      </c>
      <c r="AR93" s="177">
        <f t="shared" si="122"/>
        <v>0</v>
      </c>
      <c r="AS93" s="177">
        <f t="shared" si="123"/>
        <v>0</v>
      </c>
      <c r="AT93" s="177">
        <f t="shared" si="86"/>
        <v>7288246098</v>
      </c>
      <c r="AU93" s="177">
        <f t="shared" si="87"/>
        <v>120641941</v>
      </c>
      <c r="AV93" s="177">
        <f t="shared" si="88"/>
        <v>5989492</v>
      </c>
      <c r="AW93" s="382">
        <f t="shared" si="89"/>
        <v>7414877531</v>
      </c>
    </row>
    <row r="94" spans="1:49">
      <c r="A94" s="170">
        <v>42917</v>
      </c>
      <c r="B94" s="378">
        <v>0</v>
      </c>
      <c r="C94" s="3">
        <v>0</v>
      </c>
      <c r="D94" s="3">
        <f t="shared" si="90"/>
        <v>0</v>
      </c>
      <c r="E94" s="3">
        <v>1251971461</v>
      </c>
      <c r="F94" s="3">
        <v>1120198</v>
      </c>
      <c r="G94" s="3">
        <f t="shared" si="91"/>
        <v>1253091659</v>
      </c>
      <c r="H94" s="3">
        <v>0</v>
      </c>
      <c r="I94" s="3">
        <v>0</v>
      </c>
      <c r="J94" s="3">
        <f t="shared" si="92"/>
        <v>0</v>
      </c>
      <c r="K94" s="3">
        <v>0</v>
      </c>
      <c r="L94" s="3">
        <v>20756297</v>
      </c>
      <c r="M94" s="3">
        <v>0</v>
      </c>
      <c r="N94" s="3">
        <f t="shared" si="93"/>
        <v>20756297</v>
      </c>
      <c r="O94" s="3">
        <v>0</v>
      </c>
      <c r="P94" s="3">
        <v>0</v>
      </c>
      <c r="Q94" s="3">
        <v>0</v>
      </c>
      <c r="R94" s="3">
        <f t="shared" si="94"/>
        <v>0</v>
      </c>
      <c r="S94" s="3">
        <v>0</v>
      </c>
      <c r="T94" s="3">
        <v>0</v>
      </c>
      <c r="U94" s="3">
        <f t="shared" si="95"/>
        <v>0</v>
      </c>
      <c r="V94" s="3">
        <f t="shared" si="96"/>
        <v>1251971461</v>
      </c>
      <c r="W94" s="3">
        <f t="shared" si="97"/>
        <v>20756297</v>
      </c>
      <c r="X94" s="3">
        <f t="shared" si="98"/>
        <v>1120198</v>
      </c>
      <c r="Y94" s="379">
        <f t="shared" si="99"/>
        <v>1273847956</v>
      </c>
      <c r="Z94" s="177">
        <f t="shared" si="112"/>
        <v>0</v>
      </c>
      <c r="AA94" s="177">
        <f t="shared" si="112"/>
        <v>0</v>
      </c>
      <c r="AB94" s="177">
        <f t="shared" si="113"/>
        <v>0</v>
      </c>
      <c r="AC94" s="177">
        <f t="shared" si="114"/>
        <v>8540217559</v>
      </c>
      <c r="AD94" s="177">
        <f t="shared" si="114"/>
        <v>7109690</v>
      </c>
      <c r="AE94" s="177">
        <f t="shared" si="115"/>
        <v>8547327249</v>
      </c>
      <c r="AF94" s="177">
        <f t="shared" si="116"/>
        <v>0</v>
      </c>
      <c r="AG94" s="177">
        <f t="shared" si="116"/>
        <v>0</v>
      </c>
      <c r="AH94" s="177">
        <f t="shared" si="117"/>
        <v>0</v>
      </c>
      <c r="AI94" s="177">
        <f t="shared" si="118"/>
        <v>0</v>
      </c>
      <c r="AJ94" s="177">
        <f t="shared" si="118"/>
        <v>141398238</v>
      </c>
      <c r="AK94" s="177">
        <f t="shared" si="118"/>
        <v>0</v>
      </c>
      <c r="AL94" s="177">
        <f t="shared" si="119"/>
        <v>141398238</v>
      </c>
      <c r="AM94" s="177">
        <f t="shared" si="120"/>
        <v>0</v>
      </c>
      <c r="AN94" s="177">
        <f t="shared" si="120"/>
        <v>0</v>
      </c>
      <c r="AO94" s="177">
        <f t="shared" si="120"/>
        <v>0</v>
      </c>
      <c r="AP94" s="177">
        <f t="shared" si="121"/>
        <v>0</v>
      </c>
      <c r="AQ94" s="177">
        <f t="shared" si="122"/>
        <v>0</v>
      </c>
      <c r="AR94" s="177">
        <f t="shared" si="122"/>
        <v>0</v>
      </c>
      <c r="AS94" s="177">
        <f t="shared" si="123"/>
        <v>0</v>
      </c>
      <c r="AT94" s="177">
        <f t="shared" si="86"/>
        <v>8540217559</v>
      </c>
      <c r="AU94" s="177">
        <f t="shared" si="87"/>
        <v>141398238</v>
      </c>
      <c r="AV94" s="177">
        <f t="shared" si="88"/>
        <v>7109690</v>
      </c>
      <c r="AW94" s="382">
        <f t="shared" si="89"/>
        <v>8688725487</v>
      </c>
    </row>
    <row r="95" spans="1:49">
      <c r="A95" s="170">
        <v>42948</v>
      </c>
      <c r="B95" s="378">
        <v>0</v>
      </c>
      <c r="C95" s="3">
        <v>0</v>
      </c>
      <c r="D95" s="3">
        <f t="shared" si="90"/>
        <v>0</v>
      </c>
      <c r="E95" s="3">
        <v>1296498464</v>
      </c>
      <c r="F95" s="3">
        <v>1189169</v>
      </c>
      <c r="G95" s="3">
        <f t="shared" si="91"/>
        <v>1297687633</v>
      </c>
      <c r="H95" s="3">
        <v>0</v>
      </c>
      <c r="I95" s="3">
        <v>0</v>
      </c>
      <c r="J95" s="3">
        <f t="shared" si="92"/>
        <v>0</v>
      </c>
      <c r="K95" s="3">
        <v>0</v>
      </c>
      <c r="L95" s="3">
        <v>28696772</v>
      </c>
      <c r="M95" s="3">
        <v>0</v>
      </c>
      <c r="N95" s="3">
        <f t="shared" si="93"/>
        <v>28696772</v>
      </c>
      <c r="O95" s="3">
        <v>0</v>
      </c>
      <c r="P95" s="3">
        <v>0</v>
      </c>
      <c r="Q95" s="3">
        <v>0</v>
      </c>
      <c r="R95" s="3">
        <f t="shared" si="94"/>
        <v>0</v>
      </c>
      <c r="S95" s="3">
        <v>0</v>
      </c>
      <c r="T95" s="3">
        <v>0</v>
      </c>
      <c r="U95" s="3">
        <f t="shared" si="95"/>
        <v>0</v>
      </c>
      <c r="V95" s="3">
        <f t="shared" si="96"/>
        <v>1296498464</v>
      </c>
      <c r="W95" s="3">
        <f t="shared" si="97"/>
        <v>28696772</v>
      </c>
      <c r="X95" s="3">
        <f t="shared" si="98"/>
        <v>1189169</v>
      </c>
      <c r="Y95" s="379">
        <f t="shared" si="99"/>
        <v>1326384405</v>
      </c>
      <c r="Z95" s="177">
        <f t="shared" si="112"/>
        <v>0</v>
      </c>
      <c r="AA95" s="177">
        <f t="shared" si="112"/>
        <v>0</v>
      </c>
      <c r="AB95" s="177">
        <f t="shared" si="113"/>
        <v>0</v>
      </c>
      <c r="AC95" s="177">
        <f t="shared" si="114"/>
        <v>9836716023</v>
      </c>
      <c r="AD95" s="177">
        <f t="shared" si="114"/>
        <v>8298859</v>
      </c>
      <c r="AE95" s="177">
        <f t="shared" si="115"/>
        <v>9845014882</v>
      </c>
      <c r="AF95" s="177">
        <f t="shared" si="116"/>
        <v>0</v>
      </c>
      <c r="AG95" s="177">
        <f t="shared" si="116"/>
        <v>0</v>
      </c>
      <c r="AH95" s="177">
        <f t="shared" si="117"/>
        <v>0</v>
      </c>
      <c r="AI95" s="177">
        <f t="shared" si="118"/>
        <v>0</v>
      </c>
      <c r="AJ95" s="177">
        <f t="shared" si="118"/>
        <v>170095010</v>
      </c>
      <c r="AK95" s="177">
        <f t="shared" si="118"/>
        <v>0</v>
      </c>
      <c r="AL95" s="177">
        <f t="shared" si="119"/>
        <v>170095010</v>
      </c>
      <c r="AM95" s="177">
        <f t="shared" si="120"/>
        <v>0</v>
      </c>
      <c r="AN95" s="177">
        <f t="shared" si="120"/>
        <v>0</v>
      </c>
      <c r="AO95" s="177">
        <f t="shared" si="120"/>
        <v>0</v>
      </c>
      <c r="AP95" s="177">
        <f t="shared" si="121"/>
        <v>0</v>
      </c>
      <c r="AQ95" s="177">
        <f t="shared" si="122"/>
        <v>0</v>
      </c>
      <c r="AR95" s="177">
        <f t="shared" si="122"/>
        <v>0</v>
      </c>
      <c r="AS95" s="177">
        <f t="shared" si="123"/>
        <v>0</v>
      </c>
      <c r="AT95" s="177">
        <f t="shared" si="86"/>
        <v>9836716023</v>
      </c>
      <c r="AU95" s="177">
        <f t="shared" si="87"/>
        <v>170095010</v>
      </c>
      <c r="AV95" s="177">
        <f t="shared" si="88"/>
        <v>8298859</v>
      </c>
      <c r="AW95" s="382">
        <f t="shared" si="89"/>
        <v>10015109892</v>
      </c>
    </row>
    <row r="96" spans="1:49">
      <c r="A96" s="170">
        <v>42979</v>
      </c>
      <c r="B96" s="378">
        <v>0</v>
      </c>
      <c r="C96" s="3">
        <v>0</v>
      </c>
      <c r="D96" s="3">
        <f t="shared" si="90"/>
        <v>0</v>
      </c>
      <c r="E96" s="3">
        <v>1209078725</v>
      </c>
      <c r="F96" s="3">
        <v>979481</v>
      </c>
      <c r="G96" s="3">
        <f t="shared" si="91"/>
        <v>1210058206</v>
      </c>
      <c r="H96" s="3">
        <v>0</v>
      </c>
      <c r="I96" s="3">
        <v>0</v>
      </c>
      <c r="J96" s="3">
        <f t="shared" si="92"/>
        <v>0</v>
      </c>
      <c r="K96" s="3">
        <v>0</v>
      </c>
      <c r="L96" s="3">
        <v>20172685</v>
      </c>
      <c r="M96" s="3">
        <v>0</v>
      </c>
      <c r="N96" s="3">
        <f t="shared" si="93"/>
        <v>20172685</v>
      </c>
      <c r="O96" s="3">
        <v>0</v>
      </c>
      <c r="P96" s="3">
        <v>0</v>
      </c>
      <c r="Q96" s="3">
        <v>0</v>
      </c>
      <c r="R96" s="3">
        <f t="shared" si="94"/>
        <v>0</v>
      </c>
      <c r="S96" s="3">
        <v>0</v>
      </c>
      <c r="T96" s="3">
        <v>0</v>
      </c>
      <c r="U96" s="3">
        <f t="shared" si="95"/>
        <v>0</v>
      </c>
      <c r="V96" s="3">
        <f t="shared" si="96"/>
        <v>1209078725</v>
      </c>
      <c r="W96" s="3">
        <f t="shared" si="97"/>
        <v>20172685</v>
      </c>
      <c r="X96" s="3">
        <f t="shared" si="98"/>
        <v>979481</v>
      </c>
      <c r="Y96" s="379">
        <f t="shared" si="99"/>
        <v>1230230891</v>
      </c>
      <c r="Z96" s="177">
        <f t="shared" si="112"/>
        <v>0</v>
      </c>
      <c r="AA96" s="177">
        <f t="shared" si="112"/>
        <v>0</v>
      </c>
      <c r="AB96" s="177">
        <f t="shared" si="113"/>
        <v>0</v>
      </c>
      <c r="AC96" s="177">
        <f t="shared" si="114"/>
        <v>11045794748</v>
      </c>
      <c r="AD96" s="177">
        <f t="shared" si="114"/>
        <v>9278340</v>
      </c>
      <c r="AE96" s="177">
        <f t="shared" si="115"/>
        <v>11055073088</v>
      </c>
      <c r="AF96" s="177">
        <f t="shared" si="116"/>
        <v>0</v>
      </c>
      <c r="AG96" s="177">
        <f t="shared" si="116"/>
        <v>0</v>
      </c>
      <c r="AH96" s="177">
        <f t="shared" si="117"/>
        <v>0</v>
      </c>
      <c r="AI96" s="177">
        <f t="shared" si="118"/>
        <v>0</v>
      </c>
      <c r="AJ96" s="177">
        <f t="shared" si="118"/>
        <v>190267695</v>
      </c>
      <c r="AK96" s="177">
        <f t="shared" si="118"/>
        <v>0</v>
      </c>
      <c r="AL96" s="177">
        <f t="shared" si="119"/>
        <v>190267695</v>
      </c>
      <c r="AM96" s="177">
        <f t="shared" si="120"/>
        <v>0</v>
      </c>
      <c r="AN96" s="177">
        <f t="shared" si="120"/>
        <v>0</v>
      </c>
      <c r="AO96" s="177">
        <f t="shared" si="120"/>
        <v>0</v>
      </c>
      <c r="AP96" s="177">
        <f t="shared" si="121"/>
        <v>0</v>
      </c>
      <c r="AQ96" s="177">
        <f t="shared" si="122"/>
        <v>0</v>
      </c>
      <c r="AR96" s="177">
        <f t="shared" si="122"/>
        <v>0</v>
      </c>
      <c r="AS96" s="177">
        <f t="shared" si="123"/>
        <v>0</v>
      </c>
      <c r="AT96" s="177">
        <f t="shared" si="86"/>
        <v>11045794748</v>
      </c>
      <c r="AU96" s="177">
        <f t="shared" si="87"/>
        <v>190267695</v>
      </c>
      <c r="AV96" s="177">
        <f t="shared" si="88"/>
        <v>9278340</v>
      </c>
      <c r="AW96" s="382">
        <f t="shared" si="89"/>
        <v>11245340783</v>
      </c>
    </row>
    <row r="97" spans="1:49">
      <c r="A97" s="170">
        <v>43009</v>
      </c>
      <c r="B97" s="378">
        <v>0</v>
      </c>
      <c r="C97" s="3">
        <v>0</v>
      </c>
      <c r="D97" s="3">
        <f t="shared" si="90"/>
        <v>0</v>
      </c>
      <c r="E97" s="3">
        <v>1274775786</v>
      </c>
      <c r="F97" s="3">
        <v>1017150</v>
      </c>
      <c r="G97" s="3">
        <f t="shared" si="91"/>
        <v>1275792936</v>
      </c>
      <c r="H97" s="3">
        <v>0</v>
      </c>
      <c r="I97" s="3">
        <v>0</v>
      </c>
      <c r="J97" s="3">
        <f t="shared" si="92"/>
        <v>0</v>
      </c>
      <c r="K97" s="3">
        <v>0</v>
      </c>
      <c r="L97" s="3">
        <v>27238068</v>
      </c>
      <c r="M97" s="3">
        <v>0</v>
      </c>
      <c r="N97" s="3">
        <f t="shared" si="93"/>
        <v>27238068</v>
      </c>
      <c r="O97" s="3">
        <v>0</v>
      </c>
      <c r="P97" s="3">
        <v>0</v>
      </c>
      <c r="Q97" s="3">
        <v>0</v>
      </c>
      <c r="R97" s="3">
        <f t="shared" si="94"/>
        <v>0</v>
      </c>
      <c r="S97" s="3">
        <v>0</v>
      </c>
      <c r="T97" s="3">
        <v>0</v>
      </c>
      <c r="U97" s="3">
        <f t="shared" si="95"/>
        <v>0</v>
      </c>
      <c r="V97" s="3">
        <f t="shared" si="96"/>
        <v>1274775786</v>
      </c>
      <c r="W97" s="3">
        <f t="shared" si="97"/>
        <v>27238068</v>
      </c>
      <c r="X97" s="3">
        <f t="shared" si="98"/>
        <v>1017150</v>
      </c>
      <c r="Y97" s="379">
        <f t="shared" si="99"/>
        <v>1303031004</v>
      </c>
      <c r="Z97" s="177">
        <f t="shared" si="112"/>
        <v>0</v>
      </c>
      <c r="AA97" s="177">
        <f t="shared" si="112"/>
        <v>0</v>
      </c>
      <c r="AB97" s="177">
        <f t="shared" si="113"/>
        <v>0</v>
      </c>
      <c r="AC97" s="177">
        <f t="shared" si="114"/>
        <v>12320570534</v>
      </c>
      <c r="AD97" s="177">
        <f t="shared" si="114"/>
        <v>10295490</v>
      </c>
      <c r="AE97" s="177">
        <f t="shared" si="115"/>
        <v>12330866024</v>
      </c>
      <c r="AF97" s="177">
        <f t="shared" si="116"/>
        <v>0</v>
      </c>
      <c r="AG97" s="177">
        <f t="shared" si="116"/>
        <v>0</v>
      </c>
      <c r="AH97" s="177">
        <f t="shared" si="117"/>
        <v>0</v>
      </c>
      <c r="AI97" s="177">
        <f t="shared" si="118"/>
        <v>0</v>
      </c>
      <c r="AJ97" s="177">
        <f t="shared" si="118"/>
        <v>217505763</v>
      </c>
      <c r="AK97" s="177">
        <f t="shared" si="118"/>
        <v>0</v>
      </c>
      <c r="AL97" s="177">
        <f t="shared" si="119"/>
        <v>217505763</v>
      </c>
      <c r="AM97" s="177">
        <f t="shared" si="120"/>
        <v>0</v>
      </c>
      <c r="AN97" s="177">
        <f t="shared" si="120"/>
        <v>0</v>
      </c>
      <c r="AO97" s="177">
        <f t="shared" si="120"/>
        <v>0</v>
      </c>
      <c r="AP97" s="177">
        <f t="shared" si="121"/>
        <v>0</v>
      </c>
      <c r="AQ97" s="177">
        <f t="shared" si="122"/>
        <v>0</v>
      </c>
      <c r="AR97" s="177">
        <f t="shared" si="122"/>
        <v>0</v>
      </c>
      <c r="AS97" s="177">
        <f t="shared" si="123"/>
        <v>0</v>
      </c>
      <c r="AT97" s="177">
        <f t="shared" si="86"/>
        <v>12320570534</v>
      </c>
      <c r="AU97" s="177">
        <f t="shared" si="87"/>
        <v>217505763</v>
      </c>
      <c r="AV97" s="177">
        <f t="shared" si="88"/>
        <v>10295490</v>
      </c>
      <c r="AW97" s="382">
        <f t="shared" si="89"/>
        <v>12548371787</v>
      </c>
    </row>
    <row r="98" spans="1:49">
      <c r="A98" s="170">
        <v>43040</v>
      </c>
      <c r="B98" s="378">
        <v>0</v>
      </c>
      <c r="C98" s="3">
        <v>0</v>
      </c>
      <c r="D98" s="3">
        <f t="shared" si="90"/>
        <v>0</v>
      </c>
      <c r="E98" s="3">
        <v>1272892414</v>
      </c>
      <c r="F98" s="3">
        <v>1027845</v>
      </c>
      <c r="G98" s="3">
        <f t="shared" si="91"/>
        <v>1273920259</v>
      </c>
      <c r="H98" s="3">
        <v>0</v>
      </c>
      <c r="I98" s="3">
        <v>0</v>
      </c>
      <c r="J98" s="3">
        <f t="shared" si="92"/>
        <v>0</v>
      </c>
      <c r="K98" s="3">
        <v>0</v>
      </c>
      <c r="L98" s="3">
        <v>7612411</v>
      </c>
      <c r="M98" s="3">
        <v>0</v>
      </c>
      <c r="N98" s="3">
        <f t="shared" si="93"/>
        <v>7612411</v>
      </c>
      <c r="O98" s="3">
        <v>0</v>
      </c>
      <c r="P98" s="3">
        <v>0</v>
      </c>
      <c r="Q98" s="3">
        <v>0</v>
      </c>
      <c r="R98" s="3">
        <f t="shared" si="94"/>
        <v>0</v>
      </c>
      <c r="S98" s="3">
        <v>0</v>
      </c>
      <c r="T98" s="3">
        <v>0</v>
      </c>
      <c r="U98" s="3">
        <f t="shared" si="95"/>
        <v>0</v>
      </c>
      <c r="V98" s="3">
        <f t="shared" si="96"/>
        <v>1272892414</v>
      </c>
      <c r="W98" s="3">
        <f t="shared" si="97"/>
        <v>7612411</v>
      </c>
      <c r="X98" s="3">
        <f t="shared" si="98"/>
        <v>1027845</v>
      </c>
      <c r="Y98" s="379">
        <f t="shared" si="99"/>
        <v>1281532670</v>
      </c>
      <c r="Z98" s="177">
        <f t="shared" si="112"/>
        <v>0</v>
      </c>
      <c r="AA98" s="177">
        <f t="shared" si="112"/>
        <v>0</v>
      </c>
      <c r="AB98" s="177">
        <f t="shared" si="113"/>
        <v>0</v>
      </c>
      <c r="AC98" s="177">
        <f t="shared" si="114"/>
        <v>13593462948</v>
      </c>
      <c r="AD98" s="177">
        <f t="shared" si="114"/>
        <v>11323335</v>
      </c>
      <c r="AE98" s="177">
        <f t="shared" si="115"/>
        <v>13604786283</v>
      </c>
      <c r="AF98" s="177">
        <f t="shared" si="116"/>
        <v>0</v>
      </c>
      <c r="AG98" s="177">
        <f t="shared" si="116"/>
        <v>0</v>
      </c>
      <c r="AH98" s="177">
        <f t="shared" si="117"/>
        <v>0</v>
      </c>
      <c r="AI98" s="177">
        <f t="shared" si="118"/>
        <v>0</v>
      </c>
      <c r="AJ98" s="177">
        <f t="shared" si="118"/>
        <v>225118174</v>
      </c>
      <c r="AK98" s="177">
        <f t="shared" si="118"/>
        <v>0</v>
      </c>
      <c r="AL98" s="177">
        <f t="shared" si="119"/>
        <v>225118174</v>
      </c>
      <c r="AM98" s="177">
        <f t="shared" si="120"/>
        <v>0</v>
      </c>
      <c r="AN98" s="177">
        <f t="shared" si="120"/>
        <v>0</v>
      </c>
      <c r="AO98" s="177">
        <f t="shared" si="120"/>
        <v>0</v>
      </c>
      <c r="AP98" s="177">
        <f t="shared" si="121"/>
        <v>0</v>
      </c>
      <c r="AQ98" s="177">
        <f t="shared" si="122"/>
        <v>0</v>
      </c>
      <c r="AR98" s="177">
        <f t="shared" si="122"/>
        <v>0</v>
      </c>
      <c r="AS98" s="177">
        <f t="shared" si="123"/>
        <v>0</v>
      </c>
      <c r="AT98" s="177">
        <f t="shared" si="86"/>
        <v>13593462948</v>
      </c>
      <c r="AU98" s="177">
        <f t="shared" si="87"/>
        <v>225118174</v>
      </c>
      <c r="AV98" s="177">
        <f t="shared" si="88"/>
        <v>11323335</v>
      </c>
      <c r="AW98" s="382">
        <f t="shared" si="89"/>
        <v>13829904457</v>
      </c>
    </row>
    <row r="99" spans="1:49" ht="15.75" thickBot="1">
      <c r="A99" s="170">
        <v>43070</v>
      </c>
      <c r="B99" s="378">
        <v>0</v>
      </c>
      <c r="C99" s="3">
        <v>0</v>
      </c>
      <c r="D99" s="3">
        <f t="shared" si="90"/>
        <v>0</v>
      </c>
      <c r="E99" s="3">
        <v>1258409330</v>
      </c>
      <c r="F99" s="3">
        <v>1024633</v>
      </c>
      <c r="G99" s="3">
        <f t="shared" si="91"/>
        <v>1259433963</v>
      </c>
      <c r="H99" s="3">
        <v>0</v>
      </c>
      <c r="I99" s="3">
        <v>0</v>
      </c>
      <c r="J99" s="3">
        <f t="shared" si="92"/>
        <v>0</v>
      </c>
      <c r="K99" s="3">
        <v>0</v>
      </c>
      <c r="L99" s="3">
        <v>19864062</v>
      </c>
      <c r="M99" s="3">
        <v>0</v>
      </c>
      <c r="N99" s="3">
        <f t="shared" si="93"/>
        <v>19864062</v>
      </c>
      <c r="O99" s="3">
        <v>0</v>
      </c>
      <c r="P99" s="3">
        <v>0</v>
      </c>
      <c r="Q99" s="3">
        <v>0</v>
      </c>
      <c r="R99" s="3">
        <f t="shared" si="94"/>
        <v>0</v>
      </c>
      <c r="S99" s="3">
        <v>0</v>
      </c>
      <c r="T99" s="3">
        <v>0</v>
      </c>
      <c r="U99" s="3">
        <f t="shared" si="95"/>
        <v>0</v>
      </c>
      <c r="V99" s="3">
        <f t="shared" si="96"/>
        <v>1258409330</v>
      </c>
      <c r="W99" s="3">
        <f t="shared" si="97"/>
        <v>19864062</v>
      </c>
      <c r="X99" s="3">
        <f t="shared" si="98"/>
        <v>1024633</v>
      </c>
      <c r="Y99" s="379">
        <f t="shared" si="99"/>
        <v>1279298025</v>
      </c>
      <c r="Z99" s="177">
        <f t="shared" si="112"/>
        <v>0</v>
      </c>
      <c r="AA99" s="177">
        <f t="shared" si="112"/>
        <v>0</v>
      </c>
      <c r="AB99" s="177">
        <f t="shared" si="113"/>
        <v>0</v>
      </c>
      <c r="AC99" s="177">
        <f t="shared" si="114"/>
        <v>14851872278</v>
      </c>
      <c r="AD99" s="177">
        <f t="shared" si="114"/>
        <v>12347968</v>
      </c>
      <c r="AE99" s="177">
        <f t="shared" si="115"/>
        <v>14864220246</v>
      </c>
      <c r="AF99" s="177">
        <f t="shared" si="116"/>
        <v>0</v>
      </c>
      <c r="AG99" s="177">
        <f t="shared" si="116"/>
        <v>0</v>
      </c>
      <c r="AH99" s="177">
        <f t="shared" si="117"/>
        <v>0</v>
      </c>
      <c r="AI99" s="177">
        <f t="shared" si="118"/>
        <v>0</v>
      </c>
      <c r="AJ99" s="177">
        <f t="shared" si="118"/>
        <v>244982236</v>
      </c>
      <c r="AK99" s="177">
        <f t="shared" si="118"/>
        <v>0</v>
      </c>
      <c r="AL99" s="177">
        <f>AK99+AJ99+AI99</f>
        <v>244982236</v>
      </c>
      <c r="AM99" s="177">
        <f>AM98+O99</f>
        <v>0</v>
      </c>
      <c r="AN99" s="177">
        <f>AN98+P99</f>
        <v>0</v>
      </c>
      <c r="AO99" s="177">
        <f>AO98+Q99</f>
        <v>0</v>
      </c>
      <c r="AP99" s="177">
        <f t="shared" si="121"/>
        <v>0</v>
      </c>
      <c r="AQ99" s="177">
        <f t="shared" si="122"/>
        <v>0</v>
      </c>
      <c r="AR99" s="177">
        <f t="shared" si="122"/>
        <v>0</v>
      </c>
      <c r="AS99" s="177">
        <f t="shared" si="123"/>
        <v>0</v>
      </c>
      <c r="AT99" s="177">
        <f t="shared" si="86"/>
        <v>14851872278</v>
      </c>
      <c r="AU99" s="177">
        <f t="shared" si="87"/>
        <v>244982236</v>
      </c>
      <c r="AV99" s="177">
        <f t="shared" si="88"/>
        <v>12347968</v>
      </c>
      <c r="AW99" s="382">
        <f t="shared" si="89"/>
        <v>15109202482</v>
      </c>
    </row>
    <row r="100" spans="1:49">
      <c r="A100" s="171">
        <v>43101</v>
      </c>
      <c r="B100" s="385">
        <v>0</v>
      </c>
      <c r="C100" s="104">
        <v>0</v>
      </c>
      <c r="D100" s="104">
        <f t="shared" si="90"/>
        <v>0</v>
      </c>
      <c r="E100" s="104">
        <v>1255494453</v>
      </c>
      <c r="F100" s="104">
        <v>1013263</v>
      </c>
      <c r="G100" s="104">
        <f t="shared" si="91"/>
        <v>1256507716</v>
      </c>
      <c r="H100" s="104">
        <v>0</v>
      </c>
      <c r="I100" s="104">
        <v>0</v>
      </c>
      <c r="J100" s="104">
        <f t="shared" si="92"/>
        <v>0</v>
      </c>
      <c r="K100" s="104">
        <v>0</v>
      </c>
      <c r="L100" s="104">
        <v>27381059</v>
      </c>
      <c r="M100" s="104">
        <v>0</v>
      </c>
      <c r="N100" s="104">
        <f t="shared" si="93"/>
        <v>27381059</v>
      </c>
      <c r="O100" s="104">
        <v>0</v>
      </c>
      <c r="P100" s="104">
        <v>0</v>
      </c>
      <c r="Q100" s="104">
        <v>0</v>
      </c>
      <c r="R100" s="104">
        <f t="shared" si="94"/>
        <v>0</v>
      </c>
      <c r="S100" s="104">
        <v>0</v>
      </c>
      <c r="T100" s="104">
        <v>0</v>
      </c>
      <c r="U100" s="104">
        <f t="shared" si="95"/>
        <v>0</v>
      </c>
      <c r="V100" s="104">
        <f t="shared" si="96"/>
        <v>1255494453</v>
      </c>
      <c r="W100" s="104">
        <f t="shared" si="97"/>
        <v>27381059</v>
      </c>
      <c r="X100" s="104">
        <f t="shared" si="98"/>
        <v>1013263</v>
      </c>
      <c r="Y100" s="386">
        <f t="shared" si="99"/>
        <v>1283888775</v>
      </c>
      <c r="Z100" s="389">
        <f>B100</f>
        <v>0</v>
      </c>
      <c r="AA100" s="389">
        <f>C100</f>
        <v>0</v>
      </c>
      <c r="AB100" s="389">
        <f>AA100+Z100</f>
        <v>0</v>
      </c>
      <c r="AC100" s="389">
        <f>E100</f>
        <v>1255494453</v>
      </c>
      <c r="AD100" s="389">
        <f>F100</f>
        <v>1013263</v>
      </c>
      <c r="AE100" s="389">
        <f>AD100+AC100</f>
        <v>1256507716</v>
      </c>
      <c r="AF100" s="389">
        <f>H100</f>
        <v>0</v>
      </c>
      <c r="AG100" s="389">
        <f>I100</f>
        <v>0</v>
      </c>
      <c r="AH100" s="389">
        <f>AG100+AF100</f>
        <v>0</v>
      </c>
      <c r="AI100" s="389">
        <f>K100</f>
        <v>0</v>
      </c>
      <c r="AJ100" s="389">
        <f>L100</f>
        <v>27381059</v>
      </c>
      <c r="AK100" s="389">
        <f>M100</f>
        <v>0</v>
      </c>
      <c r="AL100" s="389">
        <f>AK100+AJ100+AI100</f>
        <v>27381059</v>
      </c>
      <c r="AM100" s="389">
        <f>O100</f>
        <v>0</v>
      </c>
      <c r="AN100" s="389">
        <f>P100</f>
        <v>0</v>
      </c>
      <c r="AO100" s="389">
        <f>Q100</f>
        <v>0</v>
      </c>
      <c r="AP100" s="389">
        <f>AO100+AN100+AM100</f>
        <v>0</v>
      </c>
      <c r="AQ100" s="389">
        <f>S100</f>
        <v>0</v>
      </c>
      <c r="AR100" s="389">
        <f>T100</f>
        <v>0</v>
      </c>
      <c r="AS100" s="389">
        <f>AR100+AQ100</f>
        <v>0</v>
      </c>
      <c r="AT100" s="389">
        <f t="shared" si="86"/>
        <v>1255494453</v>
      </c>
      <c r="AU100" s="389">
        <f t="shared" si="87"/>
        <v>27381059</v>
      </c>
      <c r="AV100" s="389">
        <f t="shared" si="88"/>
        <v>1013263</v>
      </c>
      <c r="AW100" s="390">
        <f t="shared" si="89"/>
        <v>1283888775</v>
      </c>
    </row>
    <row r="101" spans="1:49">
      <c r="A101" s="170">
        <v>43132</v>
      </c>
      <c r="B101" s="378">
        <v>0</v>
      </c>
      <c r="C101" s="3">
        <v>0</v>
      </c>
      <c r="D101" s="3">
        <f t="shared" si="90"/>
        <v>0</v>
      </c>
      <c r="E101" s="3">
        <v>1098731054</v>
      </c>
      <c r="F101" s="3">
        <v>917632</v>
      </c>
      <c r="G101" s="3">
        <f t="shared" si="91"/>
        <v>1099648686</v>
      </c>
      <c r="H101" s="3">
        <v>0</v>
      </c>
      <c r="I101" s="3">
        <v>0</v>
      </c>
      <c r="J101" s="3">
        <f t="shared" si="92"/>
        <v>0</v>
      </c>
      <c r="K101" s="3">
        <v>0</v>
      </c>
      <c r="L101" s="3">
        <v>27142177</v>
      </c>
      <c r="M101" s="3">
        <v>0</v>
      </c>
      <c r="N101" s="3">
        <f t="shared" si="93"/>
        <v>27142177</v>
      </c>
      <c r="O101" s="3">
        <v>0</v>
      </c>
      <c r="P101" s="3">
        <v>0</v>
      </c>
      <c r="Q101" s="3">
        <v>0</v>
      </c>
      <c r="R101" s="3">
        <f t="shared" si="94"/>
        <v>0</v>
      </c>
      <c r="S101" s="3">
        <v>0</v>
      </c>
      <c r="T101" s="3">
        <v>0</v>
      </c>
      <c r="U101" s="3">
        <f t="shared" si="95"/>
        <v>0</v>
      </c>
      <c r="V101" s="3">
        <f t="shared" si="96"/>
        <v>1098731054</v>
      </c>
      <c r="W101" s="3">
        <f t="shared" si="97"/>
        <v>27142177</v>
      </c>
      <c r="X101" s="3">
        <f t="shared" si="98"/>
        <v>917632</v>
      </c>
      <c r="Y101" s="379">
        <f t="shared" si="99"/>
        <v>1126790863</v>
      </c>
      <c r="Z101" s="177">
        <f t="shared" ref="Z101:AA111" si="124">Z100+B101</f>
        <v>0</v>
      </c>
      <c r="AA101" s="177">
        <f t="shared" si="124"/>
        <v>0</v>
      </c>
      <c r="AB101" s="177">
        <f t="shared" ref="AB101:AB111" si="125">AA101+Z101</f>
        <v>0</v>
      </c>
      <c r="AC101" s="177">
        <f t="shared" ref="AC101:AD111" si="126">AC100+E101</f>
        <v>2354225507</v>
      </c>
      <c r="AD101" s="177">
        <f t="shared" si="126"/>
        <v>1930895</v>
      </c>
      <c r="AE101" s="177">
        <f t="shared" ref="AE101:AE111" si="127">AD101+AC101</f>
        <v>2356156402</v>
      </c>
      <c r="AF101" s="177">
        <f t="shared" ref="AF101:AG111" si="128">AF100+H101</f>
        <v>0</v>
      </c>
      <c r="AG101" s="177">
        <f t="shared" si="128"/>
        <v>0</v>
      </c>
      <c r="AH101" s="177">
        <f t="shared" ref="AH101:AH111" si="129">AG101+AF101</f>
        <v>0</v>
      </c>
      <c r="AI101" s="177">
        <f t="shared" ref="AI101:AK111" si="130">AI100+K101</f>
        <v>0</v>
      </c>
      <c r="AJ101" s="177">
        <f t="shared" si="130"/>
        <v>54523236</v>
      </c>
      <c r="AK101" s="177">
        <f t="shared" si="130"/>
        <v>0</v>
      </c>
      <c r="AL101" s="177">
        <f t="shared" ref="AL101:AL110" si="131">AK101+AJ101+AI101</f>
        <v>54523236</v>
      </c>
      <c r="AM101" s="177">
        <f t="shared" ref="AM101:AO110" si="132">AM100+O101</f>
        <v>0</v>
      </c>
      <c r="AN101" s="177">
        <f t="shared" si="132"/>
        <v>0</v>
      </c>
      <c r="AO101" s="177">
        <f t="shared" si="132"/>
        <v>0</v>
      </c>
      <c r="AP101" s="177">
        <f t="shared" ref="AP101:AP111" si="133">AO101+AN101+AM101</f>
        <v>0</v>
      </c>
      <c r="AQ101" s="177">
        <f t="shared" ref="AQ101:AR111" si="134">AQ100+S101</f>
        <v>0</v>
      </c>
      <c r="AR101" s="177">
        <f t="shared" si="134"/>
        <v>0</v>
      </c>
      <c r="AS101" s="177">
        <f t="shared" ref="AS101:AS111" si="135">AR101+AQ101</f>
        <v>0</v>
      </c>
      <c r="AT101" s="177">
        <f t="shared" si="86"/>
        <v>2354225507</v>
      </c>
      <c r="AU101" s="177">
        <f t="shared" si="87"/>
        <v>54523236</v>
      </c>
      <c r="AV101" s="177">
        <f t="shared" si="88"/>
        <v>1930895</v>
      </c>
      <c r="AW101" s="382">
        <f t="shared" si="89"/>
        <v>2410679638</v>
      </c>
    </row>
    <row r="102" spans="1:49">
      <c r="A102" s="170">
        <v>43160</v>
      </c>
      <c r="B102" s="378">
        <v>0</v>
      </c>
      <c r="C102" s="3">
        <v>0</v>
      </c>
      <c r="D102" s="3">
        <f t="shared" si="90"/>
        <v>0</v>
      </c>
      <c r="E102" s="3">
        <v>1221028438</v>
      </c>
      <c r="F102" s="3">
        <v>1012419</v>
      </c>
      <c r="G102" s="3">
        <f t="shared" si="91"/>
        <v>1222040857</v>
      </c>
      <c r="H102" s="3">
        <v>0</v>
      </c>
      <c r="I102" s="3">
        <v>0</v>
      </c>
      <c r="J102" s="3">
        <f t="shared" si="92"/>
        <v>0</v>
      </c>
      <c r="K102" s="3">
        <v>0</v>
      </c>
      <c r="L102" s="3">
        <v>18875866</v>
      </c>
      <c r="M102" s="3">
        <v>0</v>
      </c>
      <c r="N102" s="3">
        <f t="shared" si="93"/>
        <v>18875866</v>
      </c>
      <c r="O102" s="3">
        <v>0</v>
      </c>
      <c r="P102" s="3">
        <v>0</v>
      </c>
      <c r="Q102" s="3">
        <v>0</v>
      </c>
      <c r="R102" s="3">
        <f t="shared" si="94"/>
        <v>0</v>
      </c>
      <c r="S102" s="3">
        <v>0</v>
      </c>
      <c r="T102" s="3">
        <v>0</v>
      </c>
      <c r="U102" s="3">
        <f t="shared" si="95"/>
        <v>0</v>
      </c>
      <c r="V102" s="3">
        <f t="shared" si="96"/>
        <v>1221028438</v>
      </c>
      <c r="W102" s="3">
        <f t="shared" si="97"/>
        <v>18875866</v>
      </c>
      <c r="X102" s="3">
        <f t="shared" si="98"/>
        <v>1012419</v>
      </c>
      <c r="Y102" s="379">
        <f t="shared" si="99"/>
        <v>1240916723</v>
      </c>
      <c r="Z102" s="177">
        <f t="shared" si="124"/>
        <v>0</v>
      </c>
      <c r="AA102" s="177">
        <f t="shared" si="124"/>
        <v>0</v>
      </c>
      <c r="AB102" s="177">
        <f t="shared" si="125"/>
        <v>0</v>
      </c>
      <c r="AC102" s="177">
        <f t="shared" si="126"/>
        <v>3575253945</v>
      </c>
      <c r="AD102" s="177">
        <f t="shared" si="126"/>
        <v>2943314</v>
      </c>
      <c r="AE102" s="177">
        <f t="shared" si="127"/>
        <v>3578197259</v>
      </c>
      <c r="AF102" s="177">
        <f t="shared" si="128"/>
        <v>0</v>
      </c>
      <c r="AG102" s="177">
        <f t="shared" si="128"/>
        <v>0</v>
      </c>
      <c r="AH102" s="177">
        <f t="shared" si="129"/>
        <v>0</v>
      </c>
      <c r="AI102" s="177">
        <f t="shared" si="130"/>
        <v>0</v>
      </c>
      <c r="AJ102" s="177">
        <f t="shared" si="130"/>
        <v>73399102</v>
      </c>
      <c r="AK102" s="177">
        <f t="shared" si="130"/>
        <v>0</v>
      </c>
      <c r="AL102" s="177">
        <f t="shared" si="131"/>
        <v>73399102</v>
      </c>
      <c r="AM102" s="177">
        <f t="shared" si="132"/>
        <v>0</v>
      </c>
      <c r="AN102" s="177">
        <f t="shared" si="132"/>
        <v>0</v>
      </c>
      <c r="AO102" s="177">
        <f t="shared" si="132"/>
        <v>0</v>
      </c>
      <c r="AP102" s="177">
        <f t="shared" si="133"/>
        <v>0</v>
      </c>
      <c r="AQ102" s="177">
        <f t="shared" si="134"/>
        <v>0</v>
      </c>
      <c r="AR102" s="177">
        <f t="shared" si="134"/>
        <v>0</v>
      </c>
      <c r="AS102" s="177">
        <f t="shared" si="135"/>
        <v>0</v>
      </c>
      <c r="AT102" s="177">
        <f t="shared" si="86"/>
        <v>3575253945</v>
      </c>
      <c r="AU102" s="177">
        <f t="shared" si="87"/>
        <v>73399102</v>
      </c>
      <c r="AV102" s="177">
        <f t="shared" si="88"/>
        <v>2943314</v>
      </c>
      <c r="AW102" s="382">
        <f t="shared" si="89"/>
        <v>3651596361</v>
      </c>
    </row>
    <row r="103" spans="1:49">
      <c r="A103" s="170">
        <v>43191</v>
      </c>
      <c r="B103" s="378">
        <v>0</v>
      </c>
      <c r="C103" s="3">
        <v>0</v>
      </c>
      <c r="D103" s="3">
        <f t="shared" si="90"/>
        <v>0</v>
      </c>
      <c r="E103" s="3">
        <v>1221248344</v>
      </c>
      <c r="F103" s="3">
        <v>861598</v>
      </c>
      <c r="G103" s="3">
        <f t="shared" si="91"/>
        <v>1222109942</v>
      </c>
      <c r="H103" s="3">
        <v>0</v>
      </c>
      <c r="I103" s="3">
        <v>0</v>
      </c>
      <c r="J103" s="3">
        <f t="shared" si="92"/>
        <v>0</v>
      </c>
      <c r="K103" s="3">
        <v>0</v>
      </c>
      <c r="L103" s="3">
        <v>22632516</v>
      </c>
      <c r="M103" s="3">
        <v>0</v>
      </c>
      <c r="N103" s="3">
        <f t="shared" si="93"/>
        <v>22632516</v>
      </c>
      <c r="O103" s="3">
        <v>0</v>
      </c>
      <c r="P103" s="3">
        <v>0</v>
      </c>
      <c r="Q103" s="3">
        <v>0</v>
      </c>
      <c r="R103" s="3">
        <f t="shared" si="94"/>
        <v>0</v>
      </c>
      <c r="S103" s="3">
        <v>0</v>
      </c>
      <c r="T103" s="3">
        <v>0</v>
      </c>
      <c r="U103" s="3">
        <f t="shared" si="95"/>
        <v>0</v>
      </c>
      <c r="V103" s="3">
        <f t="shared" si="96"/>
        <v>1221248344</v>
      </c>
      <c r="W103" s="3">
        <f t="shared" si="97"/>
        <v>22632516</v>
      </c>
      <c r="X103" s="3">
        <f t="shared" si="98"/>
        <v>861598</v>
      </c>
      <c r="Y103" s="379">
        <f t="shared" si="99"/>
        <v>1244742458</v>
      </c>
      <c r="Z103" s="177">
        <f t="shared" si="124"/>
        <v>0</v>
      </c>
      <c r="AA103" s="177">
        <f t="shared" si="124"/>
        <v>0</v>
      </c>
      <c r="AB103" s="177">
        <f t="shared" si="125"/>
        <v>0</v>
      </c>
      <c r="AC103" s="177">
        <f t="shared" si="126"/>
        <v>4796502289</v>
      </c>
      <c r="AD103" s="177">
        <f t="shared" si="126"/>
        <v>3804912</v>
      </c>
      <c r="AE103" s="177">
        <f t="shared" si="127"/>
        <v>4800307201</v>
      </c>
      <c r="AF103" s="177">
        <f t="shared" si="128"/>
        <v>0</v>
      </c>
      <c r="AG103" s="177">
        <f t="shared" si="128"/>
        <v>0</v>
      </c>
      <c r="AH103" s="177">
        <f t="shared" si="129"/>
        <v>0</v>
      </c>
      <c r="AI103" s="177">
        <f t="shared" si="130"/>
        <v>0</v>
      </c>
      <c r="AJ103" s="177">
        <f t="shared" si="130"/>
        <v>96031618</v>
      </c>
      <c r="AK103" s="177">
        <f t="shared" si="130"/>
        <v>0</v>
      </c>
      <c r="AL103" s="177">
        <f t="shared" si="131"/>
        <v>96031618</v>
      </c>
      <c r="AM103" s="177">
        <f t="shared" si="132"/>
        <v>0</v>
      </c>
      <c r="AN103" s="177">
        <f t="shared" si="132"/>
        <v>0</v>
      </c>
      <c r="AO103" s="177">
        <f t="shared" si="132"/>
        <v>0</v>
      </c>
      <c r="AP103" s="177">
        <f t="shared" si="133"/>
        <v>0</v>
      </c>
      <c r="AQ103" s="177">
        <f t="shared" si="134"/>
        <v>0</v>
      </c>
      <c r="AR103" s="177">
        <f t="shared" si="134"/>
        <v>0</v>
      </c>
      <c r="AS103" s="177">
        <f t="shared" si="135"/>
        <v>0</v>
      </c>
      <c r="AT103" s="177">
        <f t="shared" si="86"/>
        <v>4796502289</v>
      </c>
      <c r="AU103" s="177">
        <f t="shared" si="87"/>
        <v>96031618</v>
      </c>
      <c r="AV103" s="177">
        <f t="shared" si="88"/>
        <v>3804912</v>
      </c>
      <c r="AW103" s="382">
        <f t="shared" si="89"/>
        <v>4896338819</v>
      </c>
    </row>
    <row r="104" spans="1:49">
      <c r="A104" s="170">
        <v>43221</v>
      </c>
      <c r="B104" s="378">
        <v>0</v>
      </c>
      <c r="C104" s="3">
        <v>0</v>
      </c>
      <c r="D104" s="3">
        <f t="shared" si="90"/>
        <v>0</v>
      </c>
      <c r="E104" s="3">
        <v>1284250164</v>
      </c>
      <c r="F104" s="3">
        <v>1085440</v>
      </c>
      <c r="G104" s="3">
        <f t="shared" si="91"/>
        <v>1285335604</v>
      </c>
      <c r="H104" s="3">
        <v>0</v>
      </c>
      <c r="I104" s="3">
        <v>0</v>
      </c>
      <c r="J104" s="3">
        <f t="shared" si="92"/>
        <v>0</v>
      </c>
      <c r="K104" s="3">
        <v>0</v>
      </c>
      <c r="L104" s="3">
        <v>12892429</v>
      </c>
      <c r="M104" s="3">
        <v>0</v>
      </c>
      <c r="N104" s="3">
        <f t="shared" si="93"/>
        <v>12892429</v>
      </c>
      <c r="O104" s="3">
        <v>0</v>
      </c>
      <c r="P104" s="3">
        <v>0</v>
      </c>
      <c r="Q104" s="3">
        <v>0</v>
      </c>
      <c r="R104" s="3">
        <f t="shared" si="94"/>
        <v>0</v>
      </c>
      <c r="S104" s="3">
        <v>0</v>
      </c>
      <c r="T104" s="3">
        <v>0</v>
      </c>
      <c r="U104" s="3">
        <f t="shared" si="95"/>
        <v>0</v>
      </c>
      <c r="V104" s="3">
        <f t="shared" si="96"/>
        <v>1284250164</v>
      </c>
      <c r="W104" s="3">
        <f t="shared" si="97"/>
        <v>12892429</v>
      </c>
      <c r="X104" s="3">
        <f t="shared" si="98"/>
        <v>1085440</v>
      </c>
      <c r="Y104" s="379">
        <f t="shared" si="99"/>
        <v>1298228033</v>
      </c>
      <c r="Z104" s="177">
        <f t="shared" si="124"/>
        <v>0</v>
      </c>
      <c r="AA104" s="177">
        <f t="shared" si="124"/>
        <v>0</v>
      </c>
      <c r="AB104" s="177">
        <f t="shared" si="125"/>
        <v>0</v>
      </c>
      <c r="AC104" s="177">
        <f t="shared" si="126"/>
        <v>6080752453</v>
      </c>
      <c r="AD104" s="177">
        <f t="shared" si="126"/>
        <v>4890352</v>
      </c>
      <c r="AE104" s="177">
        <f t="shared" si="127"/>
        <v>6085642805</v>
      </c>
      <c r="AF104" s="177">
        <f t="shared" si="128"/>
        <v>0</v>
      </c>
      <c r="AG104" s="177">
        <f t="shared" si="128"/>
        <v>0</v>
      </c>
      <c r="AH104" s="177">
        <f t="shared" si="129"/>
        <v>0</v>
      </c>
      <c r="AI104" s="177">
        <f t="shared" si="130"/>
        <v>0</v>
      </c>
      <c r="AJ104" s="177">
        <f t="shared" si="130"/>
        <v>108924047</v>
      </c>
      <c r="AK104" s="177">
        <f t="shared" si="130"/>
        <v>0</v>
      </c>
      <c r="AL104" s="177">
        <f t="shared" si="131"/>
        <v>108924047</v>
      </c>
      <c r="AM104" s="177">
        <f t="shared" si="132"/>
        <v>0</v>
      </c>
      <c r="AN104" s="177">
        <f t="shared" si="132"/>
        <v>0</v>
      </c>
      <c r="AO104" s="177">
        <f t="shared" si="132"/>
        <v>0</v>
      </c>
      <c r="AP104" s="177">
        <f t="shared" si="133"/>
        <v>0</v>
      </c>
      <c r="AQ104" s="177">
        <f t="shared" si="134"/>
        <v>0</v>
      </c>
      <c r="AR104" s="177">
        <f t="shared" si="134"/>
        <v>0</v>
      </c>
      <c r="AS104" s="177">
        <f t="shared" si="135"/>
        <v>0</v>
      </c>
      <c r="AT104" s="177">
        <f t="shared" si="86"/>
        <v>6080752453</v>
      </c>
      <c r="AU104" s="177">
        <f t="shared" si="87"/>
        <v>108924047</v>
      </c>
      <c r="AV104" s="177">
        <f t="shared" si="88"/>
        <v>4890352</v>
      </c>
      <c r="AW104" s="382">
        <f t="shared" si="89"/>
        <v>6194566852</v>
      </c>
    </row>
    <row r="105" spans="1:49">
      <c r="A105" s="170">
        <v>43252</v>
      </c>
      <c r="B105" s="378">
        <v>0</v>
      </c>
      <c r="C105" s="3">
        <v>0</v>
      </c>
      <c r="D105" s="3">
        <f t="shared" si="90"/>
        <v>0</v>
      </c>
      <c r="E105" s="3">
        <v>1247223444</v>
      </c>
      <c r="F105" s="3">
        <v>1143777</v>
      </c>
      <c r="G105" s="3">
        <f t="shared" si="91"/>
        <v>1248367221</v>
      </c>
      <c r="H105" s="3">
        <v>0</v>
      </c>
      <c r="I105" s="3">
        <v>0</v>
      </c>
      <c r="J105" s="3">
        <f t="shared" si="92"/>
        <v>0</v>
      </c>
      <c r="K105" s="3">
        <v>0</v>
      </c>
      <c r="L105" s="3">
        <v>9684035</v>
      </c>
      <c r="M105" s="3">
        <v>0</v>
      </c>
      <c r="N105" s="3">
        <f t="shared" si="93"/>
        <v>9684035</v>
      </c>
      <c r="O105" s="3">
        <v>0</v>
      </c>
      <c r="P105" s="3">
        <v>0</v>
      </c>
      <c r="Q105" s="3">
        <v>0</v>
      </c>
      <c r="R105" s="3">
        <f t="shared" si="94"/>
        <v>0</v>
      </c>
      <c r="S105" s="3">
        <v>0</v>
      </c>
      <c r="T105" s="3">
        <v>0</v>
      </c>
      <c r="U105" s="3">
        <f t="shared" si="95"/>
        <v>0</v>
      </c>
      <c r="V105" s="3">
        <f t="shared" si="96"/>
        <v>1247223444</v>
      </c>
      <c r="W105" s="3">
        <f t="shared" si="97"/>
        <v>9684035</v>
      </c>
      <c r="X105" s="3">
        <f t="shared" si="98"/>
        <v>1143777</v>
      </c>
      <c r="Y105" s="379">
        <f t="shared" si="99"/>
        <v>1258051256</v>
      </c>
      <c r="Z105" s="177">
        <f t="shared" si="124"/>
        <v>0</v>
      </c>
      <c r="AA105" s="177">
        <f t="shared" si="124"/>
        <v>0</v>
      </c>
      <c r="AB105" s="177">
        <f t="shared" si="125"/>
        <v>0</v>
      </c>
      <c r="AC105" s="177">
        <f t="shared" si="126"/>
        <v>7327975897</v>
      </c>
      <c r="AD105" s="177">
        <f t="shared" si="126"/>
        <v>6034129</v>
      </c>
      <c r="AE105" s="177">
        <f t="shared" si="127"/>
        <v>7334010026</v>
      </c>
      <c r="AF105" s="177">
        <f t="shared" si="128"/>
        <v>0</v>
      </c>
      <c r="AG105" s="177">
        <f t="shared" si="128"/>
        <v>0</v>
      </c>
      <c r="AH105" s="177">
        <f t="shared" si="129"/>
        <v>0</v>
      </c>
      <c r="AI105" s="177">
        <f t="shared" si="130"/>
        <v>0</v>
      </c>
      <c r="AJ105" s="177">
        <f t="shared" si="130"/>
        <v>118608082</v>
      </c>
      <c r="AK105" s="177">
        <f t="shared" si="130"/>
        <v>0</v>
      </c>
      <c r="AL105" s="177">
        <f t="shared" si="131"/>
        <v>118608082</v>
      </c>
      <c r="AM105" s="177">
        <f t="shared" si="132"/>
        <v>0</v>
      </c>
      <c r="AN105" s="177">
        <f t="shared" si="132"/>
        <v>0</v>
      </c>
      <c r="AO105" s="177">
        <f t="shared" si="132"/>
        <v>0</v>
      </c>
      <c r="AP105" s="177">
        <f t="shared" si="133"/>
        <v>0</v>
      </c>
      <c r="AQ105" s="177">
        <f t="shared" si="134"/>
        <v>0</v>
      </c>
      <c r="AR105" s="177">
        <f t="shared" si="134"/>
        <v>0</v>
      </c>
      <c r="AS105" s="177">
        <f t="shared" si="135"/>
        <v>0</v>
      </c>
      <c r="AT105" s="177">
        <f t="shared" si="86"/>
        <v>7327975897</v>
      </c>
      <c r="AU105" s="177">
        <f t="shared" si="87"/>
        <v>118608082</v>
      </c>
      <c r="AV105" s="177">
        <f t="shared" si="88"/>
        <v>6034129</v>
      </c>
      <c r="AW105" s="382">
        <f t="shared" si="89"/>
        <v>7452618108</v>
      </c>
    </row>
    <row r="106" spans="1:49">
      <c r="A106" s="170">
        <v>43282</v>
      </c>
      <c r="B106" s="378">
        <v>0</v>
      </c>
      <c r="C106" s="3">
        <v>0</v>
      </c>
      <c r="D106" s="3">
        <f t="shared" si="90"/>
        <v>0</v>
      </c>
      <c r="E106" s="3">
        <v>1347918383</v>
      </c>
      <c r="F106" s="3">
        <v>1216753</v>
      </c>
      <c r="G106" s="3">
        <f t="shared" si="91"/>
        <v>1349135136</v>
      </c>
      <c r="H106" s="3">
        <v>0</v>
      </c>
      <c r="I106" s="3">
        <v>0</v>
      </c>
      <c r="J106" s="3">
        <f t="shared" si="92"/>
        <v>0</v>
      </c>
      <c r="K106" s="3">
        <v>0</v>
      </c>
      <c r="L106" s="3">
        <v>16428068</v>
      </c>
      <c r="M106" s="3">
        <v>0</v>
      </c>
      <c r="N106" s="3">
        <f t="shared" si="93"/>
        <v>16428068</v>
      </c>
      <c r="O106" s="3">
        <v>0</v>
      </c>
      <c r="P106" s="3">
        <v>0</v>
      </c>
      <c r="Q106" s="3">
        <v>0</v>
      </c>
      <c r="R106" s="3">
        <f t="shared" si="94"/>
        <v>0</v>
      </c>
      <c r="S106" s="3">
        <v>0</v>
      </c>
      <c r="T106" s="3">
        <v>0</v>
      </c>
      <c r="U106" s="3">
        <f t="shared" si="95"/>
        <v>0</v>
      </c>
      <c r="V106" s="3">
        <f t="shared" si="96"/>
        <v>1347918383</v>
      </c>
      <c r="W106" s="3">
        <f t="shared" si="97"/>
        <v>16428068</v>
      </c>
      <c r="X106" s="3">
        <f t="shared" si="98"/>
        <v>1216753</v>
      </c>
      <c r="Y106" s="379">
        <f t="shared" si="99"/>
        <v>1365563204</v>
      </c>
      <c r="Z106" s="177">
        <f t="shared" si="124"/>
        <v>0</v>
      </c>
      <c r="AA106" s="177">
        <f t="shared" si="124"/>
        <v>0</v>
      </c>
      <c r="AB106" s="177">
        <f t="shared" si="125"/>
        <v>0</v>
      </c>
      <c r="AC106" s="177">
        <f t="shared" si="126"/>
        <v>8675894280</v>
      </c>
      <c r="AD106" s="177">
        <f t="shared" si="126"/>
        <v>7250882</v>
      </c>
      <c r="AE106" s="177">
        <f t="shared" si="127"/>
        <v>8683145162</v>
      </c>
      <c r="AF106" s="177">
        <f t="shared" si="128"/>
        <v>0</v>
      </c>
      <c r="AG106" s="177">
        <f t="shared" si="128"/>
        <v>0</v>
      </c>
      <c r="AH106" s="177">
        <f t="shared" si="129"/>
        <v>0</v>
      </c>
      <c r="AI106" s="177">
        <f t="shared" si="130"/>
        <v>0</v>
      </c>
      <c r="AJ106" s="177">
        <f t="shared" si="130"/>
        <v>135036150</v>
      </c>
      <c r="AK106" s="177">
        <f t="shared" si="130"/>
        <v>0</v>
      </c>
      <c r="AL106" s="177">
        <f t="shared" si="131"/>
        <v>135036150</v>
      </c>
      <c r="AM106" s="177">
        <f t="shared" si="132"/>
        <v>0</v>
      </c>
      <c r="AN106" s="177">
        <f t="shared" si="132"/>
        <v>0</v>
      </c>
      <c r="AO106" s="177">
        <f t="shared" si="132"/>
        <v>0</v>
      </c>
      <c r="AP106" s="177">
        <f t="shared" si="133"/>
        <v>0</v>
      </c>
      <c r="AQ106" s="177">
        <f t="shared" si="134"/>
        <v>0</v>
      </c>
      <c r="AR106" s="177">
        <f t="shared" si="134"/>
        <v>0</v>
      </c>
      <c r="AS106" s="177">
        <f t="shared" si="135"/>
        <v>0</v>
      </c>
      <c r="AT106" s="177">
        <f t="shared" si="86"/>
        <v>8675894280</v>
      </c>
      <c r="AU106" s="177">
        <f t="shared" si="87"/>
        <v>135036150</v>
      </c>
      <c r="AV106" s="177">
        <f t="shared" si="88"/>
        <v>7250882</v>
      </c>
      <c r="AW106" s="382">
        <f t="shared" si="89"/>
        <v>8818181312</v>
      </c>
    </row>
    <row r="107" spans="1:49">
      <c r="A107" s="170">
        <v>43313</v>
      </c>
      <c r="B107" s="378">
        <v>0</v>
      </c>
      <c r="C107" s="3">
        <v>0</v>
      </c>
      <c r="D107" s="3">
        <f t="shared" si="90"/>
        <v>0</v>
      </c>
      <c r="E107" s="3">
        <v>1339874231</v>
      </c>
      <c r="F107" s="3">
        <v>1228733</v>
      </c>
      <c r="G107" s="3">
        <f t="shared" si="91"/>
        <v>1341102964</v>
      </c>
      <c r="H107" s="3">
        <v>0</v>
      </c>
      <c r="I107" s="3">
        <v>0</v>
      </c>
      <c r="J107" s="3">
        <f t="shared" si="92"/>
        <v>0</v>
      </c>
      <c r="K107" s="3">
        <v>0</v>
      </c>
      <c r="L107" s="3">
        <v>14321447</v>
      </c>
      <c r="M107" s="3">
        <v>0</v>
      </c>
      <c r="N107" s="3">
        <f t="shared" si="93"/>
        <v>14321447</v>
      </c>
      <c r="O107" s="3">
        <v>0</v>
      </c>
      <c r="P107" s="3">
        <v>0</v>
      </c>
      <c r="Q107" s="3">
        <v>0</v>
      </c>
      <c r="R107" s="3">
        <f t="shared" si="94"/>
        <v>0</v>
      </c>
      <c r="S107" s="3">
        <v>0</v>
      </c>
      <c r="T107" s="3">
        <v>0</v>
      </c>
      <c r="U107" s="3">
        <f t="shared" si="95"/>
        <v>0</v>
      </c>
      <c r="V107" s="3">
        <f t="shared" si="96"/>
        <v>1339874231</v>
      </c>
      <c r="W107" s="3">
        <f t="shared" si="97"/>
        <v>14321447</v>
      </c>
      <c r="X107" s="3">
        <f t="shared" si="98"/>
        <v>1228733</v>
      </c>
      <c r="Y107" s="379">
        <f t="shared" si="99"/>
        <v>1355424411</v>
      </c>
      <c r="Z107" s="177">
        <f t="shared" si="124"/>
        <v>0</v>
      </c>
      <c r="AA107" s="177">
        <f t="shared" si="124"/>
        <v>0</v>
      </c>
      <c r="AB107" s="177">
        <f t="shared" si="125"/>
        <v>0</v>
      </c>
      <c r="AC107" s="177">
        <f t="shared" si="126"/>
        <v>10015768511</v>
      </c>
      <c r="AD107" s="177">
        <f t="shared" si="126"/>
        <v>8479615</v>
      </c>
      <c r="AE107" s="177">
        <f t="shared" si="127"/>
        <v>10024248126</v>
      </c>
      <c r="AF107" s="177">
        <f t="shared" si="128"/>
        <v>0</v>
      </c>
      <c r="AG107" s="177">
        <f t="shared" si="128"/>
        <v>0</v>
      </c>
      <c r="AH107" s="177">
        <f t="shared" si="129"/>
        <v>0</v>
      </c>
      <c r="AI107" s="177">
        <f t="shared" si="130"/>
        <v>0</v>
      </c>
      <c r="AJ107" s="177">
        <f t="shared" si="130"/>
        <v>149357597</v>
      </c>
      <c r="AK107" s="177">
        <f t="shared" si="130"/>
        <v>0</v>
      </c>
      <c r="AL107" s="177">
        <f t="shared" si="131"/>
        <v>149357597</v>
      </c>
      <c r="AM107" s="177">
        <f t="shared" si="132"/>
        <v>0</v>
      </c>
      <c r="AN107" s="177">
        <f t="shared" si="132"/>
        <v>0</v>
      </c>
      <c r="AO107" s="177">
        <f t="shared" si="132"/>
        <v>0</v>
      </c>
      <c r="AP107" s="177">
        <f t="shared" si="133"/>
        <v>0</v>
      </c>
      <c r="AQ107" s="177">
        <f t="shared" si="134"/>
        <v>0</v>
      </c>
      <c r="AR107" s="177">
        <f t="shared" si="134"/>
        <v>0</v>
      </c>
      <c r="AS107" s="177">
        <f t="shared" si="135"/>
        <v>0</v>
      </c>
      <c r="AT107" s="177">
        <f t="shared" si="86"/>
        <v>10015768511</v>
      </c>
      <c r="AU107" s="177">
        <f t="shared" si="87"/>
        <v>149357597</v>
      </c>
      <c r="AV107" s="177">
        <f t="shared" si="88"/>
        <v>8479615</v>
      </c>
      <c r="AW107" s="382">
        <f t="shared" si="89"/>
        <v>10173605723</v>
      </c>
    </row>
    <row r="108" spans="1:49">
      <c r="A108" s="170">
        <v>43344</v>
      </c>
      <c r="B108" s="378">
        <v>0</v>
      </c>
      <c r="C108" s="3">
        <v>0</v>
      </c>
      <c r="D108" s="3">
        <f t="shared" si="90"/>
        <v>0</v>
      </c>
      <c r="E108" s="3">
        <v>1205946718</v>
      </c>
      <c r="F108" s="3">
        <v>1038106</v>
      </c>
      <c r="G108" s="3">
        <f t="shared" si="91"/>
        <v>1206984824</v>
      </c>
      <c r="H108" s="3">
        <v>0</v>
      </c>
      <c r="I108" s="3">
        <v>0</v>
      </c>
      <c r="J108" s="3">
        <f t="shared" si="92"/>
        <v>0</v>
      </c>
      <c r="K108" s="3">
        <v>0</v>
      </c>
      <c r="L108" s="3">
        <v>9966736</v>
      </c>
      <c r="M108" s="3">
        <v>0</v>
      </c>
      <c r="N108" s="3">
        <f t="shared" si="93"/>
        <v>9966736</v>
      </c>
      <c r="O108" s="3">
        <v>0</v>
      </c>
      <c r="P108" s="3">
        <v>0</v>
      </c>
      <c r="Q108" s="3">
        <v>0</v>
      </c>
      <c r="R108" s="3">
        <f t="shared" si="94"/>
        <v>0</v>
      </c>
      <c r="S108" s="3">
        <v>0</v>
      </c>
      <c r="T108" s="3">
        <v>0</v>
      </c>
      <c r="U108" s="3">
        <f t="shared" si="95"/>
        <v>0</v>
      </c>
      <c r="V108" s="3">
        <f t="shared" si="96"/>
        <v>1205946718</v>
      </c>
      <c r="W108" s="3">
        <f t="shared" si="97"/>
        <v>9966736</v>
      </c>
      <c r="X108" s="3">
        <f t="shared" si="98"/>
        <v>1038106</v>
      </c>
      <c r="Y108" s="379">
        <f t="shared" si="99"/>
        <v>1216951560</v>
      </c>
      <c r="Z108" s="177">
        <f t="shared" si="124"/>
        <v>0</v>
      </c>
      <c r="AA108" s="177">
        <f t="shared" si="124"/>
        <v>0</v>
      </c>
      <c r="AB108" s="177">
        <f t="shared" si="125"/>
        <v>0</v>
      </c>
      <c r="AC108" s="177">
        <f t="shared" si="126"/>
        <v>11221715229</v>
      </c>
      <c r="AD108" s="177">
        <f t="shared" si="126"/>
        <v>9517721</v>
      </c>
      <c r="AE108" s="177">
        <f t="shared" si="127"/>
        <v>11231232950</v>
      </c>
      <c r="AF108" s="177">
        <f t="shared" si="128"/>
        <v>0</v>
      </c>
      <c r="AG108" s="177">
        <f t="shared" si="128"/>
        <v>0</v>
      </c>
      <c r="AH108" s="177">
        <f t="shared" si="129"/>
        <v>0</v>
      </c>
      <c r="AI108" s="177">
        <f t="shared" si="130"/>
        <v>0</v>
      </c>
      <c r="AJ108" s="177">
        <f t="shared" si="130"/>
        <v>159324333</v>
      </c>
      <c r="AK108" s="177">
        <f t="shared" si="130"/>
        <v>0</v>
      </c>
      <c r="AL108" s="177">
        <f t="shared" si="131"/>
        <v>159324333</v>
      </c>
      <c r="AM108" s="177">
        <f t="shared" si="132"/>
        <v>0</v>
      </c>
      <c r="AN108" s="177">
        <f t="shared" si="132"/>
        <v>0</v>
      </c>
      <c r="AO108" s="177">
        <f t="shared" si="132"/>
        <v>0</v>
      </c>
      <c r="AP108" s="177">
        <f t="shared" si="133"/>
        <v>0</v>
      </c>
      <c r="AQ108" s="177">
        <f t="shared" si="134"/>
        <v>0</v>
      </c>
      <c r="AR108" s="177">
        <f t="shared" si="134"/>
        <v>0</v>
      </c>
      <c r="AS108" s="177">
        <f t="shared" si="135"/>
        <v>0</v>
      </c>
      <c r="AT108" s="177">
        <f t="shared" si="86"/>
        <v>11221715229</v>
      </c>
      <c r="AU108" s="177">
        <f t="shared" si="87"/>
        <v>159324333</v>
      </c>
      <c r="AV108" s="177">
        <f t="shared" si="88"/>
        <v>9517721</v>
      </c>
      <c r="AW108" s="382">
        <f t="shared" si="89"/>
        <v>11390557283</v>
      </c>
    </row>
    <row r="109" spans="1:49">
      <c r="A109" s="170">
        <v>43374</v>
      </c>
      <c r="B109" s="378">
        <v>497892</v>
      </c>
      <c r="C109" s="3">
        <v>0</v>
      </c>
      <c r="D109" s="3">
        <f t="shared" si="90"/>
        <v>497892</v>
      </c>
      <c r="E109" s="3">
        <v>1268756030</v>
      </c>
      <c r="F109" s="3">
        <v>1136344</v>
      </c>
      <c r="G109" s="3">
        <f t="shared" si="91"/>
        <v>1269892374</v>
      </c>
      <c r="H109" s="3">
        <v>0</v>
      </c>
      <c r="I109" s="3">
        <v>0</v>
      </c>
      <c r="J109" s="3">
        <f t="shared" si="92"/>
        <v>0</v>
      </c>
      <c r="K109" s="3">
        <v>0</v>
      </c>
      <c r="L109" s="3">
        <v>0</v>
      </c>
      <c r="M109" s="3">
        <v>0</v>
      </c>
      <c r="N109" s="3">
        <f t="shared" si="93"/>
        <v>0</v>
      </c>
      <c r="O109" s="3">
        <v>0</v>
      </c>
      <c r="P109" s="3">
        <v>0</v>
      </c>
      <c r="Q109" s="3">
        <v>0</v>
      </c>
      <c r="R109" s="3">
        <f t="shared" si="94"/>
        <v>0</v>
      </c>
      <c r="S109" s="3">
        <v>0</v>
      </c>
      <c r="T109" s="3">
        <v>0</v>
      </c>
      <c r="U109" s="3">
        <f t="shared" si="95"/>
        <v>0</v>
      </c>
      <c r="V109" s="3">
        <f t="shared" si="96"/>
        <v>1269253922</v>
      </c>
      <c r="W109" s="3">
        <f t="shared" si="97"/>
        <v>0</v>
      </c>
      <c r="X109" s="3">
        <f t="shared" si="98"/>
        <v>1136344</v>
      </c>
      <c r="Y109" s="379">
        <f t="shared" si="99"/>
        <v>1270390266</v>
      </c>
      <c r="Z109" s="177">
        <f t="shared" si="124"/>
        <v>497892</v>
      </c>
      <c r="AA109" s="177">
        <f t="shared" si="124"/>
        <v>0</v>
      </c>
      <c r="AB109" s="177">
        <f t="shared" si="125"/>
        <v>497892</v>
      </c>
      <c r="AC109" s="177">
        <f t="shared" si="126"/>
        <v>12490471259</v>
      </c>
      <c r="AD109" s="177">
        <f t="shared" si="126"/>
        <v>10654065</v>
      </c>
      <c r="AE109" s="177">
        <f t="shared" si="127"/>
        <v>12501125324</v>
      </c>
      <c r="AF109" s="177">
        <f t="shared" si="128"/>
        <v>0</v>
      </c>
      <c r="AG109" s="177">
        <f t="shared" si="128"/>
        <v>0</v>
      </c>
      <c r="AH109" s="177">
        <f t="shared" si="129"/>
        <v>0</v>
      </c>
      <c r="AI109" s="177">
        <f t="shared" si="130"/>
        <v>0</v>
      </c>
      <c r="AJ109" s="177">
        <f t="shared" si="130"/>
        <v>159324333</v>
      </c>
      <c r="AK109" s="177">
        <f t="shared" si="130"/>
        <v>0</v>
      </c>
      <c r="AL109" s="177">
        <f t="shared" si="131"/>
        <v>159324333</v>
      </c>
      <c r="AM109" s="177">
        <f t="shared" si="132"/>
        <v>0</v>
      </c>
      <c r="AN109" s="177">
        <f t="shared" si="132"/>
        <v>0</v>
      </c>
      <c r="AO109" s="177">
        <f t="shared" si="132"/>
        <v>0</v>
      </c>
      <c r="AP109" s="177">
        <f t="shared" si="133"/>
        <v>0</v>
      </c>
      <c r="AQ109" s="177">
        <f t="shared" si="134"/>
        <v>0</v>
      </c>
      <c r="AR109" s="177">
        <f t="shared" si="134"/>
        <v>0</v>
      </c>
      <c r="AS109" s="177">
        <f t="shared" si="135"/>
        <v>0</v>
      </c>
      <c r="AT109" s="177">
        <f t="shared" si="86"/>
        <v>12490969151</v>
      </c>
      <c r="AU109" s="177">
        <f t="shared" si="87"/>
        <v>159324333</v>
      </c>
      <c r="AV109" s="177">
        <f t="shared" si="88"/>
        <v>10654065</v>
      </c>
      <c r="AW109" s="382">
        <f t="shared" si="89"/>
        <v>12660947549</v>
      </c>
    </row>
    <row r="110" spans="1:49">
      <c r="A110" s="170">
        <v>43405</v>
      </c>
      <c r="B110" s="378">
        <v>0</v>
      </c>
      <c r="C110" s="3">
        <v>0</v>
      </c>
      <c r="D110" s="3">
        <f t="shared" si="90"/>
        <v>0</v>
      </c>
      <c r="E110" s="3">
        <v>1231729294</v>
      </c>
      <c r="F110" s="3">
        <v>1041666</v>
      </c>
      <c r="G110" s="3">
        <f t="shared" si="91"/>
        <v>1232770960</v>
      </c>
      <c r="H110" s="3">
        <v>0</v>
      </c>
      <c r="I110" s="3">
        <v>0</v>
      </c>
      <c r="J110" s="3">
        <f t="shared" si="92"/>
        <v>0</v>
      </c>
      <c r="K110" s="3">
        <v>0</v>
      </c>
      <c r="L110" s="3">
        <v>1156996</v>
      </c>
      <c r="M110" s="3">
        <v>0</v>
      </c>
      <c r="N110" s="3">
        <f t="shared" si="93"/>
        <v>1156996</v>
      </c>
      <c r="O110" s="3">
        <v>0</v>
      </c>
      <c r="P110" s="3">
        <v>0</v>
      </c>
      <c r="Q110" s="3">
        <v>0</v>
      </c>
      <c r="R110" s="3">
        <f t="shared" si="94"/>
        <v>0</v>
      </c>
      <c r="S110" s="3">
        <v>0</v>
      </c>
      <c r="T110" s="3">
        <v>0</v>
      </c>
      <c r="U110" s="3">
        <f t="shared" si="95"/>
        <v>0</v>
      </c>
      <c r="V110" s="3">
        <f t="shared" si="96"/>
        <v>1231729294</v>
      </c>
      <c r="W110" s="3">
        <f t="shared" si="97"/>
        <v>1156996</v>
      </c>
      <c r="X110" s="3">
        <f t="shared" si="98"/>
        <v>1041666</v>
      </c>
      <c r="Y110" s="379">
        <f t="shared" si="99"/>
        <v>1233927956</v>
      </c>
      <c r="Z110" s="177">
        <f t="shared" si="124"/>
        <v>497892</v>
      </c>
      <c r="AA110" s="177">
        <f t="shared" si="124"/>
        <v>0</v>
      </c>
      <c r="AB110" s="177">
        <f t="shared" si="125"/>
        <v>497892</v>
      </c>
      <c r="AC110" s="177">
        <f t="shared" si="126"/>
        <v>13722200553</v>
      </c>
      <c r="AD110" s="177">
        <f t="shared" si="126"/>
        <v>11695731</v>
      </c>
      <c r="AE110" s="177">
        <f t="shared" si="127"/>
        <v>13733896284</v>
      </c>
      <c r="AF110" s="177">
        <f t="shared" si="128"/>
        <v>0</v>
      </c>
      <c r="AG110" s="177">
        <f t="shared" si="128"/>
        <v>0</v>
      </c>
      <c r="AH110" s="177">
        <f t="shared" si="129"/>
        <v>0</v>
      </c>
      <c r="AI110" s="177">
        <f t="shared" si="130"/>
        <v>0</v>
      </c>
      <c r="AJ110" s="177">
        <f t="shared" si="130"/>
        <v>160481329</v>
      </c>
      <c r="AK110" s="177">
        <f t="shared" si="130"/>
        <v>0</v>
      </c>
      <c r="AL110" s="177">
        <f t="shared" si="131"/>
        <v>160481329</v>
      </c>
      <c r="AM110" s="177">
        <f t="shared" si="132"/>
        <v>0</v>
      </c>
      <c r="AN110" s="177">
        <f t="shared" si="132"/>
        <v>0</v>
      </c>
      <c r="AO110" s="177">
        <f t="shared" si="132"/>
        <v>0</v>
      </c>
      <c r="AP110" s="177">
        <f t="shared" si="133"/>
        <v>0</v>
      </c>
      <c r="AQ110" s="177">
        <f t="shared" si="134"/>
        <v>0</v>
      </c>
      <c r="AR110" s="177">
        <f t="shared" si="134"/>
        <v>0</v>
      </c>
      <c r="AS110" s="177">
        <f t="shared" si="135"/>
        <v>0</v>
      </c>
      <c r="AT110" s="177">
        <f t="shared" si="86"/>
        <v>13722698445</v>
      </c>
      <c r="AU110" s="177">
        <f t="shared" si="87"/>
        <v>160481329</v>
      </c>
      <c r="AV110" s="177">
        <f t="shared" si="88"/>
        <v>11695731</v>
      </c>
      <c r="AW110" s="382">
        <f t="shared" si="89"/>
        <v>13894875505</v>
      </c>
    </row>
    <row r="111" spans="1:49" ht="15.75" thickBot="1">
      <c r="A111" s="170">
        <v>43435</v>
      </c>
      <c r="B111" s="378">
        <v>0</v>
      </c>
      <c r="C111" s="3">
        <v>0</v>
      </c>
      <c r="D111" s="3">
        <f t="shared" si="90"/>
        <v>0</v>
      </c>
      <c r="E111" s="3">
        <v>1232304025</v>
      </c>
      <c r="F111" s="3">
        <v>1043041</v>
      </c>
      <c r="G111" s="3">
        <f t="shared" si="91"/>
        <v>1233347066</v>
      </c>
      <c r="H111" s="3">
        <v>0</v>
      </c>
      <c r="I111" s="3">
        <v>0</v>
      </c>
      <c r="J111" s="3">
        <f t="shared" si="92"/>
        <v>0</v>
      </c>
      <c r="K111" s="3">
        <v>0</v>
      </c>
      <c r="L111" s="3">
        <v>20583683</v>
      </c>
      <c r="M111" s="3">
        <v>0</v>
      </c>
      <c r="N111" s="3">
        <f t="shared" si="93"/>
        <v>20583683</v>
      </c>
      <c r="O111" s="3">
        <v>0</v>
      </c>
      <c r="P111" s="3">
        <v>0</v>
      </c>
      <c r="Q111" s="3">
        <v>0</v>
      </c>
      <c r="R111" s="3">
        <f t="shared" si="94"/>
        <v>0</v>
      </c>
      <c r="S111" s="3">
        <v>0</v>
      </c>
      <c r="T111" s="3">
        <v>0</v>
      </c>
      <c r="U111" s="3">
        <f t="shared" si="95"/>
        <v>0</v>
      </c>
      <c r="V111" s="3">
        <f t="shared" si="96"/>
        <v>1232304025</v>
      </c>
      <c r="W111" s="3">
        <f t="shared" si="97"/>
        <v>20583683</v>
      </c>
      <c r="X111" s="3">
        <f t="shared" si="98"/>
        <v>1043041</v>
      </c>
      <c r="Y111" s="379">
        <f t="shared" si="99"/>
        <v>1253930749</v>
      </c>
      <c r="Z111" s="177">
        <f t="shared" si="124"/>
        <v>497892</v>
      </c>
      <c r="AA111" s="177">
        <f t="shared" si="124"/>
        <v>0</v>
      </c>
      <c r="AB111" s="177">
        <f t="shared" si="125"/>
        <v>497892</v>
      </c>
      <c r="AC111" s="177">
        <f t="shared" si="126"/>
        <v>14954504578</v>
      </c>
      <c r="AD111" s="177">
        <f t="shared" si="126"/>
        <v>12738772</v>
      </c>
      <c r="AE111" s="177">
        <f t="shared" si="127"/>
        <v>14967243350</v>
      </c>
      <c r="AF111" s="177">
        <f t="shared" si="128"/>
        <v>0</v>
      </c>
      <c r="AG111" s="177">
        <f t="shared" si="128"/>
        <v>0</v>
      </c>
      <c r="AH111" s="177">
        <f t="shared" si="129"/>
        <v>0</v>
      </c>
      <c r="AI111" s="177">
        <f t="shared" si="130"/>
        <v>0</v>
      </c>
      <c r="AJ111" s="177">
        <f t="shared" si="130"/>
        <v>181065012</v>
      </c>
      <c r="AK111" s="177">
        <f t="shared" si="130"/>
        <v>0</v>
      </c>
      <c r="AL111" s="177">
        <f>AK111+AJ111+AI111</f>
        <v>181065012</v>
      </c>
      <c r="AM111" s="177">
        <f>AM110+O111</f>
        <v>0</v>
      </c>
      <c r="AN111" s="177">
        <f>AN110+P111</f>
        <v>0</v>
      </c>
      <c r="AO111" s="177">
        <f>AO110+Q111</f>
        <v>0</v>
      </c>
      <c r="AP111" s="177">
        <f t="shared" si="133"/>
        <v>0</v>
      </c>
      <c r="AQ111" s="177">
        <f t="shared" si="134"/>
        <v>0</v>
      </c>
      <c r="AR111" s="177">
        <f t="shared" si="134"/>
        <v>0</v>
      </c>
      <c r="AS111" s="177">
        <f t="shared" si="135"/>
        <v>0</v>
      </c>
      <c r="AT111" s="177">
        <f t="shared" si="86"/>
        <v>14955002470</v>
      </c>
      <c r="AU111" s="177">
        <f t="shared" si="87"/>
        <v>181065012</v>
      </c>
      <c r="AV111" s="177">
        <f t="shared" si="88"/>
        <v>12738772</v>
      </c>
      <c r="AW111" s="382">
        <f t="shared" si="89"/>
        <v>15148806254</v>
      </c>
    </row>
    <row r="112" spans="1:49">
      <c r="A112" s="171">
        <v>43466</v>
      </c>
      <c r="B112" s="385">
        <v>16767</v>
      </c>
      <c r="C112" s="104">
        <v>0</v>
      </c>
      <c r="D112" s="104">
        <f t="shared" si="90"/>
        <v>16767</v>
      </c>
      <c r="E112" s="104">
        <v>1189779457</v>
      </c>
      <c r="F112" s="104">
        <v>1042372</v>
      </c>
      <c r="G112" s="104">
        <f t="shared" si="91"/>
        <v>1190821829</v>
      </c>
      <c r="H112" s="104">
        <v>0</v>
      </c>
      <c r="I112" s="104">
        <v>0</v>
      </c>
      <c r="J112" s="104">
        <f t="shared" si="92"/>
        <v>0</v>
      </c>
      <c r="K112" s="104">
        <v>0</v>
      </c>
      <c r="L112" s="104">
        <v>19047220</v>
      </c>
      <c r="M112" s="104">
        <v>0</v>
      </c>
      <c r="N112" s="104">
        <f t="shared" si="93"/>
        <v>19047220</v>
      </c>
      <c r="O112" s="104">
        <v>0</v>
      </c>
      <c r="P112" s="104">
        <v>0</v>
      </c>
      <c r="Q112" s="104">
        <v>0</v>
      </c>
      <c r="R112" s="104">
        <f t="shared" si="94"/>
        <v>0</v>
      </c>
      <c r="S112" s="104">
        <v>0</v>
      </c>
      <c r="T112" s="104">
        <v>0</v>
      </c>
      <c r="U112" s="104">
        <f t="shared" si="95"/>
        <v>0</v>
      </c>
      <c r="V112" s="104">
        <f t="shared" si="96"/>
        <v>1189796224</v>
      </c>
      <c r="W112" s="104">
        <f t="shared" si="97"/>
        <v>19047220</v>
      </c>
      <c r="X112" s="104">
        <f t="shared" si="98"/>
        <v>1042372</v>
      </c>
      <c r="Y112" s="386">
        <f t="shared" si="99"/>
        <v>1209885816</v>
      </c>
      <c r="Z112" s="389">
        <f>B112</f>
        <v>16767</v>
      </c>
      <c r="AA112" s="389">
        <f>C112</f>
        <v>0</v>
      </c>
      <c r="AB112" s="389">
        <f>AA112+Z112</f>
        <v>16767</v>
      </c>
      <c r="AC112" s="389">
        <f>E112</f>
        <v>1189779457</v>
      </c>
      <c r="AD112" s="389">
        <f>F112</f>
        <v>1042372</v>
      </c>
      <c r="AE112" s="389">
        <f>AD112+AC112</f>
        <v>1190821829</v>
      </c>
      <c r="AF112" s="389">
        <f>H112</f>
        <v>0</v>
      </c>
      <c r="AG112" s="389">
        <f>I112</f>
        <v>0</v>
      </c>
      <c r="AH112" s="389">
        <f>AG112+AF112</f>
        <v>0</v>
      </c>
      <c r="AI112" s="389">
        <f>K112</f>
        <v>0</v>
      </c>
      <c r="AJ112" s="389">
        <f>L112</f>
        <v>19047220</v>
      </c>
      <c r="AK112" s="389">
        <f>M112</f>
        <v>0</v>
      </c>
      <c r="AL112" s="389">
        <f>AK112+AJ112+AI112</f>
        <v>19047220</v>
      </c>
      <c r="AM112" s="389">
        <f>O112</f>
        <v>0</v>
      </c>
      <c r="AN112" s="389">
        <f>P112</f>
        <v>0</v>
      </c>
      <c r="AO112" s="389">
        <f>Q112</f>
        <v>0</v>
      </c>
      <c r="AP112" s="389">
        <f>AO112+AN112+AM112</f>
        <v>0</v>
      </c>
      <c r="AQ112" s="389">
        <f>S112</f>
        <v>0</v>
      </c>
      <c r="AR112" s="389">
        <f>T112</f>
        <v>0</v>
      </c>
      <c r="AS112" s="389">
        <f>AR112+AQ112</f>
        <v>0</v>
      </c>
      <c r="AT112" s="389">
        <f t="shared" si="86"/>
        <v>1189796224</v>
      </c>
      <c r="AU112" s="389">
        <f t="shared" si="87"/>
        <v>19047220</v>
      </c>
      <c r="AV112" s="389">
        <f t="shared" si="88"/>
        <v>1042372</v>
      </c>
      <c r="AW112" s="390">
        <f t="shared" si="89"/>
        <v>1209885816</v>
      </c>
    </row>
    <row r="113" spans="1:49">
      <c r="A113" s="170">
        <v>43497</v>
      </c>
      <c r="B113" s="378">
        <v>0</v>
      </c>
      <c r="C113" s="3">
        <v>0</v>
      </c>
      <c r="D113" s="3">
        <f t="shared" si="90"/>
        <v>0</v>
      </c>
      <c r="E113" s="3">
        <v>1132553957</v>
      </c>
      <c r="F113" s="3">
        <v>914501</v>
      </c>
      <c r="G113" s="3">
        <f t="shared" si="91"/>
        <v>1133468458</v>
      </c>
      <c r="H113" s="3">
        <v>0</v>
      </c>
      <c r="I113" s="3">
        <v>0</v>
      </c>
      <c r="J113" s="3">
        <f t="shared" si="92"/>
        <v>0</v>
      </c>
      <c r="K113" s="3">
        <v>0</v>
      </c>
      <c r="L113" s="3">
        <v>20762824</v>
      </c>
      <c r="M113" s="3">
        <v>0</v>
      </c>
      <c r="N113" s="3">
        <f t="shared" si="93"/>
        <v>20762824</v>
      </c>
      <c r="O113" s="3">
        <v>0</v>
      </c>
      <c r="P113" s="3">
        <v>0</v>
      </c>
      <c r="Q113" s="3">
        <v>0</v>
      </c>
      <c r="R113" s="3">
        <f t="shared" si="94"/>
        <v>0</v>
      </c>
      <c r="S113" s="3">
        <v>0</v>
      </c>
      <c r="T113" s="3">
        <v>0</v>
      </c>
      <c r="U113" s="3">
        <f t="shared" si="95"/>
        <v>0</v>
      </c>
      <c r="V113" s="3">
        <f t="shared" si="96"/>
        <v>1132553957</v>
      </c>
      <c r="W113" s="3">
        <f t="shared" si="97"/>
        <v>20762824</v>
      </c>
      <c r="X113" s="3">
        <f t="shared" si="98"/>
        <v>914501</v>
      </c>
      <c r="Y113" s="379">
        <f t="shared" si="99"/>
        <v>1154231282</v>
      </c>
      <c r="Z113" s="177">
        <f t="shared" ref="Z113:AA123" si="136">Z112+B113</f>
        <v>16767</v>
      </c>
      <c r="AA113" s="177">
        <f t="shared" si="136"/>
        <v>0</v>
      </c>
      <c r="AB113" s="177">
        <f t="shared" ref="AB113:AB123" si="137">AA113+Z113</f>
        <v>16767</v>
      </c>
      <c r="AC113" s="177">
        <f t="shared" ref="AC113:AD123" si="138">AC112+E113</f>
        <v>2322333414</v>
      </c>
      <c r="AD113" s="177">
        <f t="shared" si="138"/>
        <v>1956873</v>
      </c>
      <c r="AE113" s="177">
        <f t="shared" ref="AE113:AE123" si="139">AD113+AC113</f>
        <v>2324290287</v>
      </c>
      <c r="AF113" s="177">
        <f t="shared" ref="AF113:AG123" si="140">AF112+H113</f>
        <v>0</v>
      </c>
      <c r="AG113" s="177">
        <f t="shared" si="140"/>
        <v>0</v>
      </c>
      <c r="AH113" s="177">
        <f t="shared" ref="AH113:AH123" si="141">AG113+AF113</f>
        <v>0</v>
      </c>
      <c r="AI113" s="177">
        <f t="shared" ref="AI113:AK123" si="142">AI112+K113</f>
        <v>0</v>
      </c>
      <c r="AJ113" s="177">
        <f t="shared" si="142"/>
        <v>39810044</v>
      </c>
      <c r="AK113" s="177">
        <f t="shared" si="142"/>
        <v>0</v>
      </c>
      <c r="AL113" s="177">
        <f t="shared" ref="AL113:AL122" si="143">AK113+AJ113+AI113</f>
        <v>39810044</v>
      </c>
      <c r="AM113" s="177">
        <f t="shared" ref="AM113:AO122" si="144">AM112+O113</f>
        <v>0</v>
      </c>
      <c r="AN113" s="177">
        <f t="shared" si="144"/>
        <v>0</v>
      </c>
      <c r="AO113" s="177">
        <f t="shared" si="144"/>
        <v>0</v>
      </c>
      <c r="AP113" s="177">
        <f t="shared" ref="AP113:AP123" si="145">AO113+AN113+AM113</f>
        <v>0</v>
      </c>
      <c r="AQ113" s="177">
        <f t="shared" ref="AQ113:AR123" si="146">AQ112+S113</f>
        <v>0</v>
      </c>
      <c r="AR113" s="177">
        <f t="shared" si="146"/>
        <v>0</v>
      </c>
      <c r="AS113" s="177">
        <f t="shared" ref="AS113:AS123" si="147">AR113+AQ113</f>
        <v>0</v>
      </c>
      <c r="AT113" s="177">
        <f t="shared" si="86"/>
        <v>2322350181</v>
      </c>
      <c r="AU113" s="177">
        <f t="shared" si="87"/>
        <v>39810044</v>
      </c>
      <c r="AV113" s="177">
        <f t="shared" si="88"/>
        <v>1956873</v>
      </c>
      <c r="AW113" s="382">
        <f t="shared" si="89"/>
        <v>2364117098</v>
      </c>
    </row>
    <row r="114" spans="1:49">
      <c r="A114" s="170">
        <v>43525</v>
      </c>
      <c r="B114" s="378">
        <v>0</v>
      </c>
      <c r="C114" s="3">
        <v>0</v>
      </c>
      <c r="D114" s="3">
        <f t="shared" si="90"/>
        <v>0</v>
      </c>
      <c r="E114" s="3">
        <v>1184062717</v>
      </c>
      <c r="F114" s="3">
        <v>981894</v>
      </c>
      <c r="G114" s="3">
        <f t="shared" si="91"/>
        <v>1185044611</v>
      </c>
      <c r="H114" s="3">
        <v>0</v>
      </c>
      <c r="I114" s="3">
        <v>0</v>
      </c>
      <c r="J114" s="3">
        <f t="shared" si="92"/>
        <v>0</v>
      </c>
      <c r="K114" s="3">
        <v>0</v>
      </c>
      <c r="L114" s="3">
        <v>23287377</v>
      </c>
      <c r="M114" s="3">
        <v>0</v>
      </c>
      <c r="N114" s="3">
        <f t="shared" si="93"/>
        <v>23287377</v>
      </c>
      <c r="O114" s="3">
        <v>0</v>
      </c>
      <c r="P114" s="3">
        <v>0</v>
      </c>
      <c r="Q114" s="3">
        <v>0</v>
      </c>
      <c r="R114" s="3">
        <f t="shared" si="94"/>
        <v>0</v>
      </c>
      <c r="S114" s="3">
        <v>0</v>
      </c>
      <c r="T114" s="3">
        <v>0</v>
      </c>
      <c r="U114" s="3">
        <f t="shared" si="95"/>
        <v>0</v>
      </c>
      <c r="V114" s="3">
        <f t="shared" si="96"/>
        <v>1184062717</v>
      </c>
      <c r="W114" s="3">
        <f t="shared" si="97"/>
        <v>23287377</v>
      </c>
      <c r="X114" s="3">
        <f t="shared" si="98"/>
        <v>981894</v>
      </c>
      <c r="Y114" s="379">
        <f t="shared" si="99"/>
        <v>1208331988</v>
      </c>
      <c r="Z114" s="177">
        <f t="shared" si="136"/>
        <v>16767</v>
      </c>
      <c r="AA114" s="177">
        <f t="shared" si="136"/>
        <v>0</v>
      </c>
      <c r="AB114" s="177">
        <f t="shared" si="137"/>
        <v>16767</v>
      </c>
      <c r="AC114" s="177">
        <f t="shared" si="138"/>
        <v>3506396131</v>
      </c>
      <c r="AD114" s="177">
        <f t="shared" si="138"/>
        <v>2938767</v>
      </c>
      <c r="AE114" s="177">
        <f t="shared" si="139"/>
        <v>3509334898</v>
      </c>
      <c r="AF114" s="177">
        <f t="shared" si="140"/>
        <v>0</v>
      </c>
      <c r="AG114" s="177">
        <f t="shared" si="140"/>
        <v>0</v>
      </c>
      <c r="AH114" s="177">
        <f t="shared" si="141"/>
        <v>0</v>
      </c>
      <c r="AI114" s="177">
        <f t="shared" si="142"/>
        <v>0</v>
      </c>
      <c r="AJ114" s="177">
        <f t="shared" si="142"/>
        <v>63097421</v>
      </c>
      <c r="AK114" s="177">
        <f t="shared" si="142"/>
        <v>0</v>
      </c>
      <c r="AL114" s="177">
        <f t="shared" si="143"/>
        <v>63097421</v>
      </c>
      <c r="AM114" s="177">
        <f t="shared" si="144"/>
        <v>0</v>
      </c>
      <c r="AN114" s="177">
        <f t="shared" si="144"/>
        <v>0</v>
      </c>
      <c r="AO114" s="177">
        <f t="shared" si="144"/>
        <v>0</v>
      </c>
      <c r="AP114" s="177">
        <f t="shared" si="145"/>
        <v>0</v>
      </c>
      <c r="AQ114" s="177">
        <f t="shared" si="146"/>
        <v>0</v>
      </c>
      <c r="AR114" s="177">
        <f t="shared" si="146"/>
        <v>0</v>
      </c>
      <c r="AS114" s="177">
        <f t="shared" si="147"/>
        <v>0</v>
      </c>
      <c r="AT114" s="177">
        <f t="shared" si="86"/>
        <v>3506412898</v>
      </c>
      <c r="AU114" s="177">
        <f t="shared" si="87"/>
        <v>63097421</v>
      </c>
      <c r="AV114" s="177">
        <f t="shared" si="88"/>
        <v>2938767</v>
      </c>
      <c r="AW114" s="382">
        <f t="shared" si="89"/>
        <v>3572449086</v>
      </c>
    </row>
    <row r="115" spans="1:49">
      <c r="A115" s="170">
        <v>43556</v>
      </c>
      <c r="B115" s="378">
        <v>0</v>
      </c>
      <c r="C115" s="3">
        <v>0</v>
      </c>
      <c r="D115" s="3">
        <f t="shared" si="90"/>
        <v>0</v>
      </c>
      <c r="E115" s="3">
        <v>1237246735</v>
      </c>
      <c r="F115" s="3">
        <v>932842</v>
      </c>
      <c r="G115" s="3">
        <f t="shared" si="91"/>
        <v>1238179577</v>
      </c>
      <c r="H115" s="3">
        <v>0</v>
      </c>
      <c r="I115" s="3">
        <v>0</v>
      </c>
      <c r="J115" s="3">
        <f t="shared" si="92"/>
        <v>0</v>
      </c>
      <c r="K115" s="3">
        <v>0</v>
      </c>
      <c r="L115" s="3">
        <v>18950145</v>
      </c>
      <c r="M115" s="3">
        <v>0</v>
      </c>
      <c r="N115" s="3">
        <f t="shared" si="93"/>
        <v>18950145</v>
      </c>
      <c r="O115" s="3">
        <v>0</v>
      </c>
      <c r="P115" s="3">
        <v>0</v>
      </c>
      <c r="Q115" s="3">
        <v>0</v>
      </c>
      <c r="R115" s="3">
        <f t="shared" si="94"/>
        <v>0</v>
      </c>
      <c r="S115" s="3">
        <v>0</v>
      </c>
      <c r="T115" s="3">
        <v>0</v>
      </c>
      <c r="U115" s="3">
        <f t="shared" si="95"/>
        <v>0</v>
      </c>
      <c r="V115" s="3">
        <f t="shared" si="96"/>
        <v>1237246735</v>
      </c>
      <c r="W115" s="3">
        <f t="shared" si="97"/>
        <v>18950145</v>
      </c>
      <c r="X115" s="3">
        <f t="shared" si="98"/>
        <v>932842</v>
      </c>
      <c r="Y115" s="379">
        <f t="shared" si="99"/>
        <v>1257129722</v>
      </c>
      <c r="Z115" s="177">
        <f t="shared" si="136"/>
        <v>16767</v>
      </c>
      <c r="AA115" s="177">
        <f t="shared" si="136"/>
        <v>0</v>
      </c>
      <c r="AB115" s="177">
        <f t="shared" si="137"/>
        <v>16767</v>
      </c>
      <c r="AC115" s="177">
        <f t="shared" si="138"/>
        <v>4743642866</v>
      </c>
      <c r="AD115" s="177">
        <f t="shared" si="138"/>
        <v>3871609</v>
      </c>
      <c r="AE115" s="177">
        <f t="shared" si="139"/>
        <v>4747514475</v>
      </c>
      <c r="AF115" s="177">
        <f t="shared" si="140"/>
        <v>0</v>
      </c>
      <c r="AG115" s="177">
        <f t="shared" si="140"/>
        <v>0</v>
      </c>
      <c r="AH115" s="177">
        <f t="shared" si="141"/>
        <v>0</v>
      </c>
      <c r="AI115" s="177">
        <f t="shared" si="142"/>
        <v>0</v>
      </c>
      <c r="AJ115" s="177">
        <f t="shared" si="142"/>
        <v>82047566</v>
      </c>
      <c r="AK115" s="177">
        <f t="shared" si="142"/>
        <v>0</v>
      </c>
      <c r="AL115" s="177">
        <f t="shared" si="143"/>
        <v>82047566</v>
      </c>
      <c r="AM115" s="177">
        <f t="shared" si="144"/>
        <v>0</v>
      </c>
      <c r="AN115" s="177">
        <f t="shared" si="144"/>
        <v>0</v>
      </c>
      <c r="AO115" s="177">
        <f t="shared" si="144"/>
        <v>0</v>
      </c>
      <c r="AP115" s="177">
        <f t="shared" si="145"/>
        <v>0</v>
      </c>
      <c r="AQ115" s="177">
        <f t="shared" si="146"/>
        <v>0</v>
      </c>
      <c r="AR115" s="177">
        <f t="shared" si="146"/>
        <v>0</v>
      </c>
      <c r="AS115" s="177">
        <f t="shared" si="147"/>
        <v>0</v>
      </c>
      <c r="AT115" s="177">
        <f t="shared" si="86"/>
        <v>4743659633</v>
      </c>
      <c r="AU115" s="177">
        <f t="shared" si="87"/>
        <v>82047566</v>
      </c>
      <c r="AV115" s="177">
        <f t="shared" si="88"/>
        <v>3871609</v>
      </c>
      <c r="AW115" s="382">
        <f t="shared" si="89"/>
        <v>4829578808</v>
      </c>
    </row>
    <row r="116" spans="1:49">
      <c r="A116" s="170">
        <v>43586</v>
      </c>
      <c r="B116" s="378">
        <v>0</v>
      </c>
      <c r="C116" s="3">
        <v>0</v>
      </c>
      <c r="D116" s="3">
        <f>C116+B116</f>
        <v>0</v>
      </c>
      <c r="E116" s="3">
        <v>1276709047</v>
      </c>
      <c r="F116" s="3">
        <v>1192213</v>
      </c>
      <c r="G116" s="3">
        <f>F116+E116</f>
        <v>1277901260</v>
      </c>
      <c r="H116" s="3">
        <v>0</v>
      </c>
      <c r="I116" s="3">
        <v>0</v>
      </c>
      <c r="J116" s="3">
        <f t="shared" si="92"/>
        <v>0</v>
      </c>
      <c r="K116" s="3">
        <v>0</v>
      </c>
      <c r="L116" s="3">
        <v>12031811</v>
      </c>
      <c r="M116" s="3">
        <v>0</v>
      </c>
      <c r="N116" s="3">
        <f t="shared" si="93"/>
        <v>12031811</v>
      </c>
      <c r="O116" s="3">
        <v>0</v>
      </c>
      <c r="P116" s="3">
        <v>0</v>
      </c>
      <c r="Q116" s="3">
        <v>0</v>
      </c>
      <c r="R116" s="3">
        <f t="shared" si="94"/>
        <v>0</v>
      </c>
      <c r="S116" s="3">
        <v>0</v>
      </c>
      <c r="T116" s="3">
        <v>0</v>
      </c>
      <c r="U116" s="3">
        <f t="shared" si="95"/>
        <v>0</v>
      </c>
      <c r="V116" s="3">
        <f t="shared" si="96"/>
        <v>1276709047</v>
      </c>
      <c r="W116" s="3">
        <f t="shared" si="97"/>
        <v>12031811</v>
      </c>
      <c r="X116" s="3">
        <f t="shared" si="98"/>
        <v>1192213</v>
      </c>
      <c r="Y116" s="379">
        <f t="shared" si="99"/>
        <v>1289933071</v>
      </c>
      <c r="Z116" s="177">
        <f t="shared" si="136"/>
        <v>16767</v>
      </c>
      <c r="AA116" s="177">
        <f t="shared" si="136"/>
        <v>0</v>
      </c>
      <c r="AB116" s="177">
        <f t="shared" si="137"/>
        <v>16767</v>
      </c>
      <c r="AC116" s="177">
        <f t="shared" si="138"/>
        <v>6020351913</v>
      </c>
      <c r="AD116" s="177">
        <f t="shared" si="138"/>
        <v>5063822</v>
      </c>
      <c r="AE116" s="177">
        <f t="shared" si="139"/>
        <v>6025415735</v>
      </c>
      <c r="AF116" s="177">
        <f t="shared" si="140"/>
        <v>0</v>
      </c>
      <c r="AG116" s="177">
        <f t="shared" si="140"/>
        <v>0</v>
      </c>
      <c r="AH116" s="177">
        <f t="shared" si="141"/>
        <v>0</v>
      </c>
      <c r="AI116" s="177">
        <f t="shared" si="142"/>
        <v>0</v>
      </c>
      <c r="AJ116" s="177">
        <f t="shared" si="142"/>
        <v>94079377</v>
      </c>
      <c r="AK116" s="177">
        <f t="shared" si="142"/>
        <v>0</v>
      </c>
      <c r="AL116" s="177">
        <f t="shared" si="143"/>
        <v>94079377</v>
      </c>
      <c r="AM116" s="177">
        <f t="shared" si="144"/>
        <v>0</v>
      </c>
      <c r="AN116" s="177">
        <f t="shared" si="144"/>
        <v>0</v>
      </c>
      <c r="AO116" s="177">
        <f t="shared" si="144"/>
        <v>0</v>
      </c>
      <c r="AP116" s="177">
        <f t="shared" si="145"/>
        <v>0</v>
      </c>
      <c r="AQ116" s="177">
        <f t="shared" si="146"/>
        <v>0</v>
      </c>
      <c r="AR116" s="177">
        <f t="shared" si="146"/>
        <v>0</v>
      </c>
      <c r="AS116" s="177">
        <f t="shared" si="147"/>
        <v>0</v>
      </c>
      <c r="AT116" s="177">
        <f t="shared" si="86"/>
        <v>6020368680</v>
      </c>
      <c r="AU116" s="177">
        <f t="shared" si="87"/>
        <v>94079377</v>
      </c>
      <c r="AV116" s="177">
        <f t="shared" si="88"/>
        <v>5063822</v>
      </c>
      <c r="AW116" s="382">
        <f t="shared" si="89"/>
        <v>6119511879</v>
      </c>
    </row>
    <row r="117" spans="1:49">
      <c r="A117" s="170">
        <v>43617</v>
      </c>
      <c r="B117" s="378">
        <v>0</v>
      </c>
      <c r="C117" s="3">
        <v>0</v>
      </c>
      <c r="D117" s="3">
        <f>C117+B117</f>
        <v>0</v>
      </c>
      <c r="E117" s="3">
        <v>1233405028</v>
      </c>
      <c r="F117" s="3">
        <v>1188063</v>
      </c>
      <c r="G117" s="3">
        <f>F117+E117</f>
        <v>1234593091</v>
      </c>
      <c r="H117" s="3">
        <v>0</v>
      </c>
      <c r="I117" s="3">
        <v>0</v>
      </c>
      <c r="J117" s="3">
        <f t="shared" si="92"/>
        <v>0</v>
      </c>
      <c r="K117" s="3">
        <v>0</v>
      </c>
      <c r="L117" s="3">
        <v>11972436</v>
      </c>
      <c r="M117" s="3">
        <v>0</v>
      </c>
      <c r="N117" s="3">
        <f t="shared" si="93"/>
        <v>11972436</v>
      </c>
      <c r="O117" s="3">
        <v>0</v>
      </c>
      <c r="P117" s="3">
        <v>0</v>
      </c>
      <c r="Q117" s="3">
        <v>0</v>
      </c>
      <c r="R117" s="3">
        <f t="shared" si="94"/>
        <v>0</v>
      </c>
      <c r="S117" s="3">
        <v>0</v>
      </c>
      <c r="T117" s="3">
        <v>0</v>
      </c>
      <c r="U117" s="3">
        <f t="shared" si="95"/>
        <v>0</v>
      </c>
      <c r="V117" s="3">
        <f t="shared" si="96"/>
        <v>1233405028</v>
      </c>
      <c r="W117" s="3">
        <f t="shared" si="97"/>
        <v>11972436</v>
      </c>
      <c r="X117" s="3">
        <f t="shared" si="98"/>
        <v>1188063</v>
      </c>
      <c r="Y117" s="379">
        <f t="shared" si="99"/>
        <v>1246565527</v>
      </c>
      <c r="Z117" s="177">
        <f t="shared" si="136"/>
        <v>16767</v>
      </c>
      <c r="AA117" s="177">
        <f t="shared" si="136"/>
        <v>0</v>
      </c>
      <c r="AB117" s="177">
        <f t="shared" si="137"/>
        <v>16767</v>
      </c>
      <c r="AC117" s="177">
        <f t="shared" si="138"/>
        <v>7253756941</v>
      </c>
      <c r="AD117" s="177">
        <f t="shared" si="138"/>
        <v>6251885</v>
      </c>
      <c r="AE117" s="177">
        <f t="shared" si="139"/>
        <v>7260008826</v>
      </c>
      <c r="AF117" s="177">
        <f t="shared" si="140"/>
        <v>0</v>
      </c>
      <c r="AG117" s="177">
        <f t="shared" si="140"/>
        <v>0</v>
      </c>
      <c r="AH117" s="177">
        <f t="shared" si="141"/>
        <v>0</v>
      </c>
      <c r="AI117" s="177">
        <f t="shared" si="142"/>
        <v>0</v>
      </c>
      <c r="AJ117" s="177">
        <f t="shared" si="142"/>
        <v>106051813</v>
      </c>
      <c r="AK117" s="177">
        <f t="shared" si="142"/>
        <v>0</v>
      </c>
      <c r="AL117" s="177">
        <f t="shared" si="143"/>
        <v>106051813</v>
      </c>
      <c r="AM117" s="177">
        <f t="shared" si="144"/>
        <v>0</v>
      </c>
      <c r="AN117" s="177">
        <f t="shared" si="144"/>
        <v>0</v>
      </c>
      <c r="AO117" s="177">
        <f t="shared" si="144"/>
        <v>0</v>
      </c>
      <c r="AP117" s="177">
        <f t="shared" si="145"/>
        <v>0</v>
      </c>
      <c r="AQ117" s="177">
        <f t="shared" si="146"/>
        <v>0</v>
      </c>
      <c r="AR117" s="177">
        <f t="shared" si="146"/>
        <v>0</v>
      </c>
      <c r="AS117" s="177">
        <f t="shared" si="147"/>
        <v>0</v>
      </c>
      <c r="AT117" s="177">
        <f t="shared" si="86"/>
        <v>7253773708</v>
      </c>
      <c r="AU117" s="177">
        <f t="shared" si="87"/>
        <v>106051813</v>
      </c>
      <c r="AV117" s="177">
        <f t="shared" si="88"/>
        <v>6251885</v>
      </c>
      <c r="AW117" s="382">
        <f t="shared" si="89"/>
        <v>7366077406</v>
      </c>
    </row>
    <row r="118" spans="1:49">
      <c r="A118" s="170">
        <v>43647</v>
      </c>
      <c r="B118" s="378">
        <v>0</v>
      </c>
      <c r="C118" s="3">
        <v>0</v>
      </c>
      <c r="D118" s="3">
        <f>C118+B118</f>
        <v>0</v>
      </c>
      <c r="E118" s="3">
        <v>1312351700</v>
      </c>
      <c r="F118" s="3">
        <v>1396026</v>
      </c>
      <c r="G118" s="3">
        <f>F118+E118</f>
        <v>1313747726</v>
      </c>
      <c r="H118" s="3">
        <v>0</v>
      </c>
      <c r="I118" s="3">
        <v>0</v>
      </c>
      <c r="J118" s="3">
        <f t="shared" si="92"/>
        <v>0</v>
      </c>
      <c r="K118" s="3">
        <v>0</v>
      </c>
      <c r="L118" s="3">
        <v>14467327</v>
      </c>
      <c r="M118" s="3">
        <v>0</v>
      </c>
      <c r="N118" s="3">
        <f t="shared" si="93"/>
        <v>14467327</v>
      </c>
      <c r="O118" s="3">
        <v>0</v>
      </c>
      <c r="P118" s="3">
        <v>0</v>
      </c>
      <c r="Q118" s="3">
        <v>0</v>
      </c>
      <c r="R118" s="3">
        <f t="shared" si="94"/>
        <v>0</v>
      </c>
      <c r="S118" s="3">
        <v>0</v>
      </c>
      <c r="T118" s="3">
        <v>0</v>
      </c>
      <c r="U118" s="3">
        <f t="shared" si="95"/>
        <v>0</v>
      </c>
      <c r="V118" s="3">
        <f t="shared" si="96"/>
        <v>1312351700</v>
      </c>
      <c r="W118" s="3">
        <f t="shared" si="97"/>
        <v>14467327</v>
      </c>
      <c r="X118" s="3">
        <f t="shared" si="98"/>
        <v>1396026</v>
      </c>
      <c r="Y118" s="379">
        <f t="shared" si="99"/>
        <v>1328215053</v>
      </c>
      <c r="Z118" s="177">
        <f t="shared" si="136"/>
        <v>16767</v>
      </c>
      <c r="AA118" s="177">
        <f t="shared" si="136"/>
        <v>0</v>
      </c>
      <c r="AB118" s="177">
        <f t="shared" si="137"/>
        <v>16767</v>
      </c>
      <c r="AC118" s="177">
        <f t="shared" si="138"/>
        <v>8566108641</v>
      </c>
      <c r="AD118" s="177">
        <f t="shared" si="138"/>
        <v>7647911</v>
      </c>
      <c r="AE118" s="177">
        <f t="shared" si="139"/>
        <v>8573756552</v>
      </c>
      <c r="AF118" s="177">
        <f t="shared" si="140"/>
        <v>0</v>
      </c>
      <c r="AG118" s="177">
        <f t="shared" si="140"/>
        <v>0</v>
      </c>
      <c r="AH118" s="177">
        <f t="shared" si="141"/>
        <v>0</v>
      </c>
      <c r="AI118" s="177">
        <f t="shared" si="142"/>
        <v>0</v>
      </c>
      <c r="AJ118" s="177">
        <f t="shared" si="142"/>
        <v>120519140</v>
      </c>
      <c r="AK118" s="177">
        <f t="shared" si="142"/>
        <v>0</v>
      </c>
      <c r="AL118" s="177">
        <f t="shared" si="143"/>
        <v>120519140</v>
      </c>
      <c r="AM118" s="177">
        <f t="shared" si="144"/>
        <v>0</v>
      </c>
      <c r="AN118" s="177">
        <f t="shared" si="144"/>
        <v>0</v>
      </c>
      <c r="AO118" s="177">
        <f t="shared" si="144"/>
        <v>0</v>
      </c>
      <c r="AP118" s="177">
        <f t="shared" si="145"/>
        <v>0</v>
      </c>
      <c r="AQ118" s="177">
        <f t="shared" si="146"/>
        <v>0</v>
      </c>
      <c r="AR118" s="177">
        <f t="shared" si="146"/>
        <v>0</v>
      </c>
      <c r="AS118" s="177">
        <f t="shared" si="147"/>
        <v>0</v>
      </c>
      <c r="AT118" s="177">
        <f t="shared" si="86"/>
        <v>8566125408</v>
      </c>
      <c r="AU118" s="177">
        <f t="shared" si="87"/>
        <v>120519140</v>
      </c>
      <c r="AV118" s="177">
        <f t="shared" si="88"/>
        <v>7647911</v>
      </c>
      <c r="AW118" s="382">
        <f t="shared" si="89"/>
        <v>8694292459</v>
      </c>
    </row>
    <row r="119" spans="1:49">
      <c r="A119" s="170">
        <v>43678</v>
      </c>
      <c r="B119" s="378">
        <v>0</v>
      </c>
      <c r="C119" s="3">
        <v>0</v>
      </c>
      <c r="D119" s="3">
        <f>C119+B119</f>
        <v>0</v>
      </c>
      <c r="E119" s="3">
        <v>1243671089</v>
      </c>
      <c r="F119" s="3">
        <v>1317554</v>
      </c>
      <c r="G119" s="3">
        <f>F119+E119</f>
        <v>1244988643</v>
      </c>
      <c r="H119" s="3">
        <v>0</v>
      </c>
      <c r="I119" s="3">
        <v>0</v>
      </c>
      <c r="J119" s="3">
        <f t="shared" si="92"/>
        <v>0</v>
      </c>
      <c r="K119" s="3">
        <v>0</v>
      </c>
      <c r="L119" s="3">
        <v>11907318</v>
      </c>
      <c r="M119" s="3">
        <v>0</v>
      </c>
      <c r="N119" s="3">
        <f t="shared" si="93"/>
        <v>11907318</v>
      </c>
      <c r="O119" s="3">
        <v>0</v>
      </c>
      <c r="P119" s="3">
        <v>0</v>
      </c>
      <c r="Q119" s="3">
        <v>0</v>
      </c>
      <c r="R119" s="3">
        <f t="shared" si="94"/>
        <v>0</v>
      </c>
      <c r="S119" s="3">
        <v>0</v>
      </c>
      <c r="T119" s="3">
        <v>0</v>
      </c>
      <c r="U119" s="3">
        <f t="shared" si="95"/>
        <v>0</v>
      </c>
      <c r="V119" s="3">
        <f t="shared" si="96"/>
        <v>1243671089</v>
      </c>
      <c r="W119" s="3">
        <f t="shared" si="97"/>
        <v>11907318</v>
      </c>
      <c r="X119" s="3">
        <f t="shared" si="98"/>
        <v>1317554</v>
      </c>
      <c r="Y119" s="379">
        <f t="shared" si="99"/>
        <v>1256895961</v>
      </c>
      <c r="Z119" s="177">
        <f t="shared" si="136"/>
        <v>16767</v>
      </c>
      <c r="AA119" s="177">
        <f t="shared" si="136"/>
        <v>0</v>
      </c>
      <c r="AB119" s="177">
        <f t="shared" si="137"/>
        <v>16767</v>
      </c>
      <c r="AC119" s="177">
        <f t="shared" si="138"/>
        <v>9809779730</v>
      </c>
      <c r="AD119" s="177">
        <f t="shared" si="138"/>
        <v>8965465</v>
      </c>
      <c r="AE119" s="177">
        <f t="shared" si="139"/>
        <v>9818745195</v>
      </c>
      <c r="AF119" s="177">
        <f t="shared" si="140"/>
        <v>0</v>
      </c>
      <c r="AG119" s="177">
        <f t="shared" si="140"/>
        <v>0</v>
      </c>
      <c r="AH119" s="177">
        <f t="shared" si="141"/>
        <v>0</v>
      </c>
      <c r="AI119" s="177">
        <f t="shared" si="142"/>
        <v>0</v>
      </c>
      <c r="AJ119" s="177">
        <f t="shared" si="142"/>
        <v>132426458</v>
      </c>
      <c r="AK119" s="177">
        <f t="shared" si="142"/>
        <v>0</v>
      </c>
      <c r="AL119" s="177">
        <f t="shared" si="143"/>
        <v>132426458</v>
      </c>
      <c r="AM119" s="177">
        <f t="shared" si="144"/>
        <v>0</v>
      </c>
      <c r="AN119" s="177">
        <f t="shared" si="144"/>
        <v>0</v>
      </c>
      <c r="AO119" s="177">
        <f t="shared" si="144"/>
        <v>0</v>
      </c>
      <c r="AP119" s="177">
        <f t="shared" si="145"/>
        <v>0</v>
      </c>
      <c r="AQ119" s="177">
        <f t="shared" si="146"/>
        <v>0</v>
      </c>
      <c r="AR119" s="177">
        <f t="shared" si="146"/>
        <v>0</v>
      </c>
      <c r="AS119" s="177">
        <f t="shared" si="147"/>
        <v>0</v>
      </c>
      <c r="AT119" s="177">
        <f t="shared" si="86"/>
        <v>9809796497</v>
      </c>
      <c r="AU119" s="177">
        <f t="shared" si="87"/>
        <v>132426458</v>
      </c>
      <c r="AV119" s="177">
        <f t="shared" si="88"/>
        <v>8965465</v>
      </c>
      <c r="AW119" s="382">
        <f t="shared" si="89"/>
        <v>9951188420</v>
      </c>
    </row>
    <row r="120" spans="1:49">
      <c r="A120" s="170">
        <v>43709</v>
      </c>
      <c r="B120" s="378">
        <v>0</v>
      </c>
      <c r="C120" s="3">
        <v>0</v>
      </c>
      <c r="D120" s="3">
        <f t="shared" ref="D120:D183" si="148">C120+B120</f>
        <v>0</v>
      </c>
      <c r="E120" s="3">
        <v>1186086691</v>
      </c>
      <c r="F120" s="3">
        <v>1155897</v>
      </c>
      <c r="G120" s="3">
        <f>F120+E120</f>
        <v>1187242588</v>
      </c>
      <c r="H120" s="3">
        <v>0</v>
      </c>
      <c r="I120" s="3">
        <v>0</v>
      </c>
      <c r="J120" s="3">
        <f t="shared" si="92"/>
        <v>0</v>
      </c>
      <c r="K120" s="3">
        <v>0</v>
      </c>
      <c r="L120" s="3">
        <v>8167871</v>
      </c>
      <c r="M120" s="3">
        <v>0</v>
      </c>
      <c r="N120" s="3">
        <f t="shared" si="93"/>
        <v>8167871</v>
      </c>
      <c r="O120" s="3">
        <v>0</v>
      </c>
      <c r="P120" s="3">
        <v>0</v>
      </c>
      <c r="Q120" s="3">
        <v>0</v>
      </c>
      <c r="R120" s="3">
        <f t="shared" si="94"/>
        <v>0</v>
      </c>
      <c r="S120" s="3">
        <v>0</v>
      </c>
      <c r="T120" s="3">
        <v>0</v>
      </c>
      <c r="U120" s="3">
        <f t="shared" si="95"/>
        <v>0</v>
      </c>
      <c r="V120" s="3">
        <f t="shared" si="96"/>
        <v>1186086691</v>
      </c>
      <c r="W120" s="3">
        <f t="shared" si="97"/>
        <v>8167871</v>
      </c>
      <c r="X120" s="3">
        <f t="shared" si="98"/>
        <v>1155897</v>
      </c>
      <c r="Y120" s="379">
        <f t="shared" si="99"/>
        <v>1195410459</v>
      </c>
      <c r="Z120" s="177">
        <f t="shared" si="136"/>
        <v>16767</v>
      </c>
      <c r="AA120" s="177">
        <f t="shared" si="136"/>
        <v>0</v>
      </c>
      <c r="AB120" s="177">
        <f t="shared" si="137"/>
        <v>16767</v>
      </c>
      <c r="AC120" s="177">
        <f t="shared" si="138"/>
        <v>10995866421</v>
      </c>
      <c r="AD120" s="177">
        <f t="shared" si="138"/>
        <v>10121362</v>
      </c>
      <c r="AE120" s="177">
        <f t="shared" si="139"/>
        <v>11005987783</v>
      </c>
      <c r="AF120" s="177">
        <f t="shared" si="140"/>
        <v>0</v>
      </c>
      <c r="AG120" s="177">
        <f t="shared" si="140"/>
        <v>0</v>
      </c>
      <c r="AH120" s="177">
        <f t="shared" si="141"/>
        <v>0</v>
      </c>
      <c r="AI120" s="177">
        <f t="shared" si="142"/>
        <v>0</v>
      </c>
      <c r="AJ120" s="177">
        <f t="shared" si="142"/>
        <v>140594329</v>
      </c>
      <c r="AK120" s="177">
        <f t="shared" si="142"/>
        <v>0</v>
      </c>
      <c r="AL120" s="177">
        <f t="shared" si="143"/>
        <v>140594329</v>
      </c>
      <c r="AM120" s="177">
        <f t="shared" si="144"/>
        <v>0</v>
      </c>
      <c r="AN120" s="177">
        <f t="shared" si="144"/>
        <v>0</v>
      </c>
      <c r="AO120" s="177">
        <f t="shared" si="144"/>
        <v>0</v>
      </c>
      <c r="AP120" s="177">
        <f t="shared" si="145"/>
        <v>0</v>
      </c>
      <c r="AQ120" s="177">
        <f t="shared" si="146"/>
        <v>0</v>
      </c>
      <c r="AR120" s="177">
        <f t="shared" si="146"/>
        <v>0</v>
      </c>
      <c r="AS120" s="177">
        <f t="shared" si="147"/>
        <v>0</v>
      </c>
      <c r="AT120" s="177">
        <f t="shared" si="86"/>
        <v>10995883188</v>
      </c>
      <c r="AU120" s="177">
        <f t="shared" si="87"/>
        <v>140594329</v>
      </c>
      <c r="AV120" s="177">
        <f t="shared" si="88"/>
        <v>10121362</v>
      </c>
      <c r="AW120" s="382">
        <f t="shared" si="89"/>
        <v>11146598879</v>
      </c>
    </row>
    <row r="121" spans="1:49">
      <c r="A121" s="170">
        <v>43739</v>
      </c>
      <c r="B121" s="378">
        <v>0</v>
      </c>
      <c r="C121" s="3">
        <v>0</v>
      </c>
      <c r="D121" s="3">
        <f t="shared" si="148"/>
        <v>0</v>
      </c>
      <c r="E121" s="3">
        <v>1237882981</v>
      </c>
      <c r="F121" s="3">
        <v>1202514</v>
      </c>
      <c r="G121" s="3">
        <f t="shared" ref="G121:G184" si="149">F121+E121</f>
        <v>1239085495</v>
      </c>
      <c r="H121" s="3">
        <v>0</v>
      </c>
      <c r="I121" s="3">
        <v>0</v>
      </c>
      <c r="J121" s="3">
        <f t="shared" si="92"/>
        <v>0</v>
      </c>
      <c r="K121" s="3">
        <v>0</v>
      </c>
      <c r="L121" s="3">
        <v>18275849</v>
      </c>
      <c r="M121" s="3">
        <v>0</v>
      </c>
      <c r="N121" s="3">
        <f t="shared" si="93"/>
        <v>18275849</v>
      </c>
      <c r="O121" s="3">
        <v>0</v>
      </c>
      <c r="P121" s="3">
        <v>0</v>
      </c>
      <c r="Q121" s="3">
        <v>0</v>
      </c>
      <c r="R121" s="3">
        <f t="shared" si="94"/>
        <v>0</v>
      </c>
      <c r="S121" s="3">
        <v>0</v>
      </c>
      <c r="T121" s="3">
        <v>0</v>
      </c>
      <c r="U121" s="3">
        <f t="shared" si="95"/>
        <v>0</v>
      </c>
      <c r="V121" s="3">
        <f t="shared" si="96"/>
        <v>1237882981</v>
      </c>
      <c r="W121" s="3">
        <f t="shared" si="97"/>
        <v>18275849</v>
      </c>
      <c r="X121" s="3">
        <f t="shared" si="98"/>
        <v>1202514</v>
      </c>
      <c r="Y121" s="379">
        <f t="shared" si="99"/>
        <v>1257361344</v>
      </c>
      <c r="Z121" s="177">
        <f t="shared" si="136"/>
        <v>16767</v>
      </c>
      <c r="AA121" s="177">
        <f t="shared" si="136"/>
        <v>0</v>
      </c>
      <c r="AB121" s="177">
        <f t="shared" si="137"/>
        <v>16767</v>
      </c>
      <c r="AC121" s="177">
        <f t="shared" si="138"/>
        <v>12233749402</v>
      </c>
      <c r="AD121" s="177">
        <f t="shared" si="138"/>
        <v>11323876</v>
      </c>
      <c r="AE121" s="177">
        <f t="shared" si="139"/>
        <v>12245073278</v>
      </c>
      <c r="AF121" s="177">
        <f t="shared" si="140"/>
        <v>0</v>
      </c>
      <c r="AG121" s="177">
        <f t="shared" si="140"/>
        <v>0</v>
      </c>
      <c r="AH121" s="177">
        <f t="shared" si="141"/>
        <v>0</v>
      </c>
      <c r="AI121" s="177">
        <f t="shared" si="142"/>
        <v>0</v>
      </c>
      <c r="AJ121" s="177">
        <f t="shared" si="142"/>
        <v>158870178</v>
      </c>
      <c r="AK121" s="177">
        <f t="shared" si="142"/>
        <v>0</v>
      </c>
      <c r="AL121" s="177">
        <f t="shared" si="143"/>
        <v>158870178</v>
      </c>
      <c r="AM121" s="177">
        <f t="shared" si="144"/>
        <v>0</v>
      </c>
      <c r="AN121" s="177">
        <f t="shared" si="144"/>
        <v>0</v>
      </c>
      <c r="AO121" s="177">
        <f t="shared" si="144"/>
        <v>0</v>
      </c>
      <c r="AP121" s="177">
        <f t="shared" si="145"/>
        <v>0</v>
      </c>
      <c r="AQ121" s="177">
        <f t="shared" si="146"/>
        <v>0</v>
      </c>
      <c r="AR121" s="177">
        <f t="shared" si="146"/>
        <v>0</v>
      </c>
      <c r="AS121" s="177">
        <f t="shared" si="147"/>
        <v>0</v>
      </c>
      <c r="AT121" s="177">
        <f t="shared" si="86"/>
        <v>12233766169</v>
      </c>
      <c r="AU121" s="177">
        <f t="shared" si="87"/>
        <v>158870178</v>
      </c>
      <c r="AV121" s="177">
        <f t="shared" si="88"/>
        <v>11323876</v>
      </c>
      <c r="AW121" s="382">
        <f t="shared" si="89"/>
        <v>12403960223</v>
      </c>
    </row>
    <row r="122" spans="1:49">
      <c r="A122" s="170">
        <v>43770</v>
      </c>
      <c r="B122" s="378">
        <v>0</v>
      </c>
      <c r="C122" s="3">
        <v>0</v>
      </c>
      <c r="D122" s="3">
        <f t="shared" si="148"/>
        <v>0</v>
      </c>
      <c r="E122" s="3">
        <v>1194230202</v>
      </c>
      <c r="F122" s="3">
        <v>1027120</v>
      </c>
      <c r="G122" s="3">
        <f t="shared" si="149"/>
        <v>1195257322</v>
      </c>
      <c r="H122" s="3">
        <v>0</v>
      </c>
      <c r="I122" s="3">
        <v>0</v>
      </c>
      <c r="J122" s="3">
        <f t="shared" si="92"/>
        <v>0</v>
      </c>
      <c r="K122" s="3">
        <v>0</v>
      </c>
      <c r="L122" s="3">
        <v>22283673</v>
      </c>
      <c r="M122" s="3">
        <v>0</v>
      </c>
      <c r="N122" s="3">
        <f t="shared" si="93"/>
        <v>22283673</v>
      </c>
      <c r="O122" s="3">
        <v>0</v>
      </c>
      <c r="P122" s="3">
        <v>0</v>
      </c>
      <c r="Q122" s="3">
        <v>0</v>
      </c>
      <c r="R122" s="3">
        <f t="shared" si="94"/>
        <v>0</v>
      </c>
      <c r="S122" s="3">
        <v>0</v>
      </c>
      <c r="T122" s="3">
        <v>0</v>
      </c>
      <c r="U122" s="3">
        <f t="shared" si="95"/>
        <v>0</v>
      </c>
      <c r="V122" s="3">
        <f t="shared" si="96"/>
        <v>1194230202</v>
      </c>
      <c r="W122" s="3">
        <f t="shared" si="97"/>
        <v>22283673</v>
      </c>
      <c r="X122" s="3">
        <f t="shared" si="98"/>
        <v>1027120</v>
      </c>
      <c r="Y122" s="379">
        <f t="shared" si="99"/>
        <v>1217540995</v>
      </c>
      <c r="Z122" s="177">
        <f t="shared" si="136"/>
        <v>16767</v>
      </c>
      <c r="AA122" s="177">
        <f t="shared" si="136"/>
        <v>0</v>
      </c>
      <c r="AB122" s="177">
        <f t="shared" si="137"/>
        <v>16767</v>
      </c>
      <c r="AC122" s="177">
        <f t="shared" si="138"/>
        <v>13427979604</v>
      </c>
      <c r="AD122" s="177">
        <f t="shared" si="138"/>
        <v>12350996</v>
      </c>
      <c r="AE122" s="177">
        <f t="shared" si="139"/>
        <v>13440330600</v>
      </c>
      <c r="AF122" s="177">
        <f t="shared" si="140"/>
        <v>0</v>
      </c>
      <c r="AG122" s="177">
        <f t="shared" si="140"/>
        <v>0</v>
      </c>
      <c r="AH122" s="177">
        <f t="shared" si="141"/>
        <v>0</v>
      </c>
      <c r="AI122" s="177">
        <f t="shared" si="142"/>
        <v>0</v>
      </c>
      <c r="AJ122" s="177">
        <f t="shared" si="142"/>
        <v>181153851</v>
      </c>
      <c r="AK122" s="177">
        <f t="shared" si="142"/>
        <v>0</v>
      </c>
      <c r="AL122" s="177">
        <f t="shared" si="143"/>
        <v>181153851</v>
      </c>
      <c r="AM122" s="177">
        <f t="shared" si="144"/>
        <v>0</v>
      </c>
      <c r="AN122" s="177">
        <f t="shared" si="144"/>
        <v>0</v>
      </c>
      <c r="AO122" s="177">
        <f t="shared" si="144"/>
        <v>0</v>
      </c>
      <c r="AP122" s="177">
        <f t="shared" si="145"/>
        <v>0</v>
      </c>
      <c r="AQ122" s="177">
        <f t="shared" si="146"/>
        <v>0</v>
      </c>
      <c r="AR122" s="177">
        <f t="shared" si="146"/>
        <v>0</v>
      </c>
      <c r="AS122" s="177">
        <f t="shared" si="147"/>
        <v>0</v>
      </c>
      <c r="AT122" s="177">
        <f t="shared" si="86"/>
        <v>13427996371</v>
      </c>
      <c r="AU122" s="177">
        <f t="shared" si="87"/>
        <v>181153851</v>
      </c>
      <c r="AV122" s="177">
        <f t="shared" si="88"/>
        <v>12350996</v>
      </c>
      <c r="AW122" s="382">
        <f t="shared" si="89"/>
        <v>13621501218</v>
      </c>
    </row>
    <row r="123" spans="1:49" ht="15.75" thickBot="1">
      <c r="A123" s="170">
        <v>43800</v>
      </c>
      <c r="B123" s="378">
        <v>0</v>
      </c>
      <c r="C123" s="3">
        <v>0</v>
      </c>
      <c r="D123" s="3">
        <f t="shared" si="148"/>
        <v>0</v>
      </c>
      <c r="E123" s="3">
        <v>1288930778</v>
      </c>
      <c r="F123" s="3">
        <v>1132234</v>
      </c>
      <c r="G123" s="3">
        <f t="shared" si="149"/>
        <v>1290063012</v>
      </c>
      <c r="H123" s="3">
        <v>0</v>
      </c>
      <c r="I123" s="3">
        <v>0</v>
      </c>
      <c r="J123" s="3">
        <f t="shared" si="92"/>
        <v>0</v>
      </c>
      <c r="K123" s="3">
        <v>0</v>
      </c>
      <c r="L123" s="3">
        <v>16647020</v>
      </c>
      <c r="M123" s="3">
        <v>0</v>
      </c>
      <c r="N123" s="3">
        <f t="shared" si="93"/>
        <v>16647020</v>
      </c>
      <c r="O123" s="3">
        <v>0</v>
      </c>
      <c r="P123" s="3">
        <v>0</v>
      </c>
      <c r="Q123" s="3">
        <v>0</v>
      </c>
      <c r="R123" s="3">
        <f t="shared" si="94"/>
        <v>0</v>
      </c>
      <c r="S123" s="3">
        <v>0</v>
      </c>
      <c r="T123" s="3">
        <v>0</v>
      </c>
      <c r="U123" s="3">
        <f t="shared" si="95"/>
        <v>0</v>
      </c>
      <c r="V123" s="3">
        <f t="shared" si="96"/>
        <v>1288930778</v>
      </c>
      <c r="W123" s="3">
        <f t="shared" si="97"/>
        <v>16647020</v>
      </c>
      <c r="X123" s="3">
        <f t="shared" si="98"/>
        <v>1132234</v>
      </c>
      <c r="Y123" s="379">
        <f t="shared" si="99"/>
        <v>1306710032</v>
      </c>
      <c r="Z123" s="177">
        <f t="shared" si="136"/>
        <v>16767</v>
      </c>
      <c r="AA123" s="177">
        <f t="shared" si="136"/>
        <v>0</v>
      </c>
      <c r="AB123" s="177">
        <f t="shared" si="137"/>
        <v>16767</v>
      </c>
      <c r="AC123" s="177">
        <f t="shared" si="138"/>
        <v>14716910382</v>
      </c>
      <c r="AD123" s="177">
        <f t="shared" si="138"/>
        <v>13483230</v>
      </c>
      <c r="AE123" s="177">
        <f t="shared" si="139"/>
        <v>14730393612</v>
      </c>
      <c r="AF123" s="177">
        <f t="shared" si="140"/>
        <v>0</v>
      </c>
      <c r="AG123" s="177">
        <f t="shared" si="140"/>
        <v>0</v>
      </c>
      <c r="AH123" s="177">
        <f t="shared" si="141"/>
        <v>0</v>
      </c>
      <c r="AI123" s="177">
        <f t="shared" si="142"/>
        <v>0</v>
      </c>
      <c r="AJ123" s="177">
        <f t="shared" si="142"/>
        <v>197800871</v>
      </c>
      <c r="AK123" s="177">
        <f t="shared" si="142"/>
        <v>0</v>
      </c>
      <c r="AL123" s="177">
        <f>AK123+AJ123+AI123</f>
        <v>197800871</v>
      </c>
      <c r="AM123" s="177">
        <f>AM122+O123</f>
        <v>0</v>
      </c>
      <c r="AN123" s="177">
        <f>AN122+P123</f>
        <v>0</v>
      </c>
      <c r="AO123" s="177">
        <f>AO122+Q123</f>
        <v>0</v>
      </c>
      <c r="AP123" s="177">
        <f t="shared" si="145"/>
        <v>0</v>
      </c>
      <c r="AQ123" s="177">
        <f t="shared" si="146"/>
        <v>0</v>
      </c>
      <c r="AR123" s="177">
        <f t="shared" si="146"/>
        <v>0</v>
      </c>
      <c r="AS123" s="177">
        <f t="shared" si="147"/>
        <v>0</v>
      </c>
      <c r="AT123" s="177">
        <f t="shared" si="86"/>
        <v>14716927149</v>
      </c>
      <c r="AU123" s="177">
        <f t="shared" si="87"/>
        <v>197800871</v>
      </c>
      <c r="AV123" s="177">
        <f t="shared" si="88"/>
        <v>13483230</v>
      </c>
      <c r="AW123" s="382">
        <f t="shared" si="89"/>
        <v>14928211250</v>
      </c>
    </row>
    <row r="124" spans="1:49">
      <c r="A124" s="171">
        <v>43831</v>
      </c>
      <c r="B124" s="385">
        <v>0</v>
      </c>
      <c r="C124" s="104">
        <v>0</v>
      </c>
      <c r="D124" s="104">
        <f t="shared" si="148"/>
        <v>0</v>
      </c>
      <c r="E124" s="104">
        <v>1238303796</v>
      </c>
      <c r="F124" s="104">
        <v>1036449</v>
      </c>
      <c r="G124" s="104">
        <f t="shared" si="149"/>
        <v>1239340245</v>
      </c>
      <c r="H124" s="104">
        <v>0</v>
      </c>
      <c r="I124" s="104">
        <v>0</v>
      </c>
      <c r="J124" s="104">
        <f t="shared" si="92"/>
        <v>0</v>
      </c>
      <c r="K124" s="104">
        <v>0</v>
      </c>
      <c r="L124" s="104">
        <v>12787512</v>
      </c>
      <c r="M124" s="104">
        <v>0</v>
      </c>
      <c r="N124" s="104">
        <f t="shared" si="93"/>
        <v>12787512</v>
      </c>
      <c r="O124" s="104">
        <v>0</v>
      </c>
      <c r="P124" s="104">
        <v>0</v>
      </c>
      <c r="Q124" s="104">
        <v>0</v>
      </c>
      <c r="R124" s="104">
        <f t="shared" si="94"/>
        <v>0</v>
      </c>
      <c r="S124" s="104">
        <v>0</v>
      </c>
      <c r="T124" s="104">
        <v>0</v>
      </c>
      <c r="U124" s="104">
        <f t="shared" si="95"/>
        <v>0</v>
      </c>
      <c r="V124" s="104">
        <f t="shared" si="96"/>
        <v>1238303796</v>
      </c>
      <c r="W124" s="104">
        <f t="shared" si="97"/>
        <v>12787512</v>
      </c>
      <c r="X124" s="104">
        <f t="shared" si="98"/>
        <v>1036449</v>
      </c>
      <c r="Y124" s="386">
        <f t="shared" si="99"/>
        <v>1252127757</v>
      </c>
      <c r="Z124" s="389">
        <f>B124</f>
        <v>0</v>
      </c>
      <c r="AA124" s="389">
        <f>C124</f>
        <v>0</v>
      </c>
      <c r="AB124" s="389">
        <f>AA124+Z124</f>
        <v>0</v>
      </c>
      <c r="AC124" s="389">
        <f>E124</f>
        <v>1238303796</v>
      </c>
      <c r="AD124" s="389">
        <f>F124</f>
        <v>1036449</v>
      </c>
      <c r="AE124" s="389">
        <f>AD124+AC124</f>
        <v>1239340245</v>
      </c>
      <c r="AF124" s="389">
        <f>H124</f>
        <v>0</v>
      </c>
      <c r="AG124" s="389">
        <f>I124</f>
        <v>0</v>
      </c>
      <c r="AH124" s="389">
        <f>AG124+AF124</f>
        <v>0</v>
      </c>
      <c r="AI124" s="389">
        <f>K124</f>
        <v>0</v>
      </c>
      <c r="AJ124" s="389">
        <f>L124</f>
        <v>12787512</v>
      </c>
      <c r="AK124" s="389">
        <f>M124</f>
        <v>0</v>
      </c>
      <c r="AL124" s="389">
        <f>AK124+AJ124+AI124</f>
        <v>12787512</v>
      </c>
      <c r="AM124" s="389">
        <f>O124</f>
        <v>0</v>
      </c>
      <c r="AN124" s="389">
        <f>P124</f>
        <v>0</v>
      </c>
      <c r="AO124" s="389">
        <f>Q124</f>
        <v>0</v>
      </c>
      <c r="AP124" s="389">
        <f>AO124+AN124+AM124</f>
        <v>0</v>
      </c>
      <c r="AQ124" s="389">
        <f>S124</f>
        <v>0</v>
      </c>
      <c r="AR124" s="389">
        <f>T124</f>
        <v>0</v>
      </c>
      <c r="AS124" s="389">
        <f>AR124+AQ124</f>
        <v>0</v>
      </c>
      <c r="AT124" s="389">
        <f t="shared" si="86"/>
        <v>1238303796</v>
      </c>
      <c r="AU124" s="389">
        <f t="shared" si="87"/>
        <v>12787512</v>
      </c>
      <c r="AV124" s="389">
        <f t="shared" si="88"/>
        <v>1036449</v>
      </c>
      <c r="AW124" s="390">
        <f t="shared" si="89"/>
        <v>1252127757</v>
      </c>
    </row>
    <row r="125" spans="1:49">
      <c r="A125" s="170">
        <v>43862</v>
      </c>
      <c r="B125" s="378">
        <v>0</v>
      </c>
      <c r="C125" s="3">
        <v>0</v>
      </c>
      <c r="D125" s="3">
        <f t="shared" si="148"/>
        <v>0</v>
      </c>
      <c r="E125" s="3">
        <v>1141726932</v>
      </c>
      <c r="F125" s="3">
        <v>1019832</v>
      </c>
      <c r="G125" s="3">
        <f t="shared" si="149"/>
        <v>1142746764</v>
      </c>
      <c r="H125" s="3">
        <v>0</v>
      </c>
      <c r="I125" s="3">
        <v>0</v>
      </c>
      <c r="J125" s="3">
        <f t="shared" si="92"/>
        <v>0</v>
      </c>
      <c r="K125" s="3">
        <v>0</v>
      </c>
      <c r="L125" s="3">
        <v>20901111</v>
      </c>
      <c r="M125" s="3">
        <v>0</v>
      </c>
      <c r="N125" s="3">
        <f t="shared" si="93"/>
        <v>20901111</v>
      </c>
      <c r="O125" s="3">
        <v>0</v>
      </c>
      <c r="P125" s="3">
        <v>0</v>
      </c>
      <c r="Q125" s="3">
        <v>0</v>
      </c>
      <c r="R125" s="3">
        <f t="shared" si="94"/>
        <v>0</v>
      </c>
      <c r="S125" s="3">
        <v>0</v>
      </c>
      <c r="T125" s="3">
        <v>0</v>
      </c>
      <c r="U125" s="3">
        <f t="shared" si="95"/>
        <v>0</v>
      </c>
      <c r="V125" s="3">
        <f t="shared" si="96"/>
        <v>1141726932</v>
      </c>
      <c r="W125" s="3">
        <f t="shared" si="97"/>
        <v>20901111</v>
      </c>
      <c r="X125" s="3">
        <f t="shared" si="98"/>
        <v>1019832</v>
      </c>
      <c r="Y125" s="379">
        <f t="shared" si="99"/>
        <v>1163647875</v>
      </c>
      <c r="Z125" s="177">
        <f t="shared" ref="Z125:AA135" si="150">Z124+B125</f>
        <v>0</v>
      </c>
      <c r="AA125" s="177">
        <f t="shared" si="150"/>
        <v>0</v>
      </c>
      <c r="AB125" s="177">
        <f t="shared" ref="AB125:AB135" si="151">AA125+Z125</f>
        <v>0</v>
      </c>
      <c r="AC125" s="177">
        <f t="shared" ref="AC125:AD135" si="152">AC124+E125</f>
        <v>2380030728</v>
      </c>
      <c r="AD125" s="177">
        <f t="shared" si="152"/>
        <v>2056281</v>
      </c>
      <c r="AE125" s="177">
        <f t="shared" ref="AE125:AE135" si="153">AD125+AC125</f>
        <v>2382087009</v>
      </c>
      <c r="AF125" s="177">
        <f t="shared" ref="AF125:AG135" si="154">AF124+H125</f>
        <v>0</v>
      </c>
      <c r="AG125" s="177">
        <f t="shared" si="154"/>
        <v>0</v>
      </c>
      <c r="AH125" s="177">
        <f t="shared" ref="AH125:AH135" si="155">AG125+AF125</f>
        <v>0</v>
      </c>
      <c r="AI125" s="177">
        <f t="shared" ref="AI125:AK135" si="156">AI124+K125</f>
        <v>0</v>
      </c>
      <c r="AJ125" s="177">
        <f t="shared" si="156"/>
        <v>33688623</v>
      </c>
      <c r="AK125" s="177">
        <f t="shared" si="156"/>
        <v>0</v>
      </c>
      <c r="AL125" s="177">
        <f t="shared" ref="AL125:AL134" si="157">AK125+AJ125+AI125</f>
        <v>33688623</v>
      </c>
      <c r="AM125" s="177">
        <f t="shared" ref="AM125:AO134" si="158">AM124+O125</f>
        <v>0</v>
      </c>
      <c r="AN125" s="177">
        <f t="shared" si="158"/>
        <v>0</v>
      </c>
      <c r="AO125" s="177">
        <f t="shared" si="158"/>
        <v>0</v>
      </c>
      <c r="AP125" s="177">
        <f t="shared" ref="AP125:AP135" si="159">AO125+AN125+AM125</f>
        <v>0</v>
      </c>
      <c r="AQ125" s="177">
        <f t="shared" ref="AQ125:AR135" si="160">AQ124+S125</f>
        <v>0</v>
      </c>
      <c r="AR125" s="177">
        <f t="shared" si="160"/>
        <v>0</v>
      </c>
      <c r="AS125" s="177">
        <f t="shared" ref="AS125:AS135" si="161">AR125+AQ125</f>
        <v>0</v>
      </c>
      <c r="AT125" s="177">
        <f t="shared" si="86"/>
        <v>2380030728</v>
      </c>
      <c r="AU125" s="177">
        <f t="shared" si="87"/>
        <v>33688623</v>
      </c>
      <c r="AV125" s="177">
        <f t="shared" si="88"/>
        <v>2056281</v>
      </c>
      <c r="AW125" s="382">
        <f t="shared" si="89"/>
        <v>2415775632</v>
      </c>
    </row>
    <row r="126" spans="1:49">
      <c r="A126" s="170">
        <v>43891</v>
      </c>
      <c r="B126" s="378">
        <v>0</v>
      </c>
      <c r="C126" s="3">
        <v>0</v>
      </c>
      <c r="D126" s="3">
        <f t="shared" si="148"/>
        <v>0</v>
      </c>
      <c r="E126" s="3">
        <v>1112164188</v>
      </c>
      <c r="F126" s="3">
        <v>865092</v>
      </c>
      <c r="G126" s="3">
        <f t="shared" si="149"/>
        <v>1113029280</v>
      </c>
      <c r="H126" s="3">
        <v>0</v>
      </c>
      <c r="I126" s="3">
        <v>0</v>
      </c>
      <c r="J126" s="3">
        <f t="shared" si="92"/>
        <v>0</v>
      </c>
      <c r="K126" s="3">
        <v>0</v>
      </c>
      <c r="L126" s="3">
        <v>26680083</v>
      </c>
      <c r="M126" s="3">
        <v>0</v>
      </c>
      <c r="N126" s="3">
        <f t="shared" si="93"/>
        <v>26680083</v>
      </c>
      <c r="O126" s="3">
        <v>0</v>
      </c>
      <c r="P126" s="3">
        <v>0</v>
      </c>
      <c r="Q126" s="3">
        <v>0</v>
      </c>
      <c r="R126" s="3">
        <f t="shared" si="94"/>
        <v>0</v>
      </c>
      <c r="S126" s="3">
        <v>0</v>
      </c>
      <c r="T126" s="3">
        <v>0</v>
      </c>
      <c r="U126" s="3">
        <f t="shared" si="95"/>
        <v>0</v>
      </c>
      <c r="V126" s="3">
        <f t="shared" si="96"/>
        <v>1112164188</v>
      </c>
      <c r="W126" s="3">
        <f t="shared" si="97"/>
        <v>26680083</v>
      </c>
      <c r="X126" s="3">
        <f t="shared" si="98"/>
        <v>865092</v>
      </c>
      <c r="Y126" s="379">
        <f t="shared" si="99"/>
        <v>1139709363</v>
      </c>
      <c r="Z126" s="177">
        <f t="shared" si="150"/>
        <v>0</v>
      </c>
      <c r="AA126" s="177">
        <f t="shared" si="150"/>
        <v>0</v>
      </c>
      <c r="AB126" s="177">
        <f t="shared" si="151"/>
        <v>0</v>
      </c>
      <c r="AC126" s="177">
        <f t="shared" si="152"/>
        <v>3492194916</v>
      </c>
      <c r="AD126" s="177">
        <f t="shared" si="152"/>
        <v>2921373</v>
      </c>
      <c r="AE126" s="177">
        <f t="shared" si="153"/>
        <v>3495116289</v>
      </c>
      <c r="AF126" s="177">
        <f t="shared" si="154"/>
        <v>0</v>
      </c>
      <c r="AG126" s="177">
        <f t="shared" si="154"/>
        <v>0</v>
      </c>
      <c r="AH126" s="177">
        <f t="shared" si="155"/>
        <v>0</v>
      </c>
      <c r="AI126" s="177">
        <f t="shared" si="156"/>
        <v>0</v>
      </c>
      <c r="AJ126" s="177">
        <f t="shared" si="156"/>
        <v>60368706</v>
      </c>
      <c r="AK126" s="177">
        <f t="shared" si="156"/>
        <v>0</v>
      </c>
      <c r="AL126" s="177">
        <f t="shared" si="157"/>
        <v>60368706</v>
      </c>
      <c r="AM126" s="177">
        <f t="shared" si="158"/>
        <v>0</v>
      </c>
      <c r="AN126" s="177">
        <f t="shared" si="158"/>
        <v>0</v>
      </c>
      <c r="AO126" s="177">
        <f t="shared" si="158"/>
        <v>0</v>
      </c>
      <c r="AP126" s="177">
        <f t="shared" si="159"/>
        <v>0</v>
      </c>
      <c r="AQ126" s="177">
        <f t="shared" si="160"/>
        <v>0</v>
      </c>
      <c r="AR126" s="177">
        <f t="shared" si="160"/>
        <v>0</v>
      </c>
      <c r="AS126" s="177">
        <f t="shared" si="161"/>
        <v>0</v>
      </c>
      <c r="AT126" s="177">
        <f t="shared" si="86"/>
        <v>3492194916</v>
      </c>
      <c r="AU126" s="177">
        <f t="shared" si="87"/>
        <v>60368706</v>
      </c>
      <c r="AV126" s="177">
        <f t="shared" si="88"/>
        <v>2921373</v>
      </c>
      <c r="AW126" s="382">
        <f t="shared" si="89"/>
        <v>3555484995</v>
      </c>
    </row>
    <row r="127" spans="1:49">
      <c r="A127" s="170">
        <v>43922</v>
      </c>
      <c r="B127" s="378">
        <v>0</v>
      </c>
      <c r="C127" s="3">
        <v>0</v>
      </c>
      <c r="D127" s="3">
        <f t="shared" si="148"/>
        <v>0</v>
      </c>
      <c r="E127" s="3">
        <v>628050492</v>
      </c>
      <c r="F127" s="3">
        <v>575961</v>
      </c>
      <c r="G127" s="3">
        <f t="shared" si="149"/>
        <v>628626453</v>
      </c>
      <c r="H127" s="3">
        <v>0</v>
      </c>
      <c r="I127" s="3">
        <v>0</v>
      </c>
      <c r="J127" s="3">
        <f t="shared" si="92"/>
        <v>0</v>
      </c>
      <c r="K127" s="3">
        <v>0</v>
      </c>
      <c r="L127" s="3">
        <v>16268134</v>
      </c>
      <c r="M127" s="3">
        <v>0</v>
      </c>
      <c r="N127" s="3">
        <f t="shared" si="93"/>
        <v>16268134</v>
      </c>
      <c r="O127" s="3">
        <v>0</v>
      </c>
      <c r="P127" s="3">
        <v>0</v>
      </c>
      <c r="Q127" s="3">
        <v>0</v>
      </c>
      <c r="R127" s="3">
        <f t="shared" si="94"/>
        <v>0</v>
      </c>
      <c r="S127" s="3">
        <v>0</v>
      </c>
      <c r="T127" s="3">
        <v>0</v>
      </c>
      <c r="U127" s="3">
        <f t="shared" si="95"/>
        <v>0</v>
      </c>
      <c r="V127" s="3">
        <f t="shared" si="96"/>
        <v>628050492</v>
      </c>
      <c r="W127" s="3">
        <f t="shared" si="97"/>
        <v>16268134</v>
      </c>
      <c r="X127" s="3">
        <f t="shared" si="98"/>
        <v>575961</v>
      </c>
      <c r="Y127" s="379">
        <f t="shared" si="99"/>
        <v>644894587</v>
      </c>
      <c r="Z127" s="177">
        <f t="shared" si="150"/>
        <v>0</v>
      </c>
      <c r="AA127" s="177">
        <f t="shared" si="150"/>
        <v>0</v>
      </c>
      <c r="AB127" s="177">
        <f t="shared" si="151"/>
        <v>0</v>
      </c>
      <c r="AC127" s="177">
        <f t="shared" si="152"/>
        <v>4120245408</v>
      </c>
      <c r="AD127" s="177">
        <f t="shared" si="152"/>
        <v>3497334</v>
      </c>
      <c r="AE127" s="177">
        <f t="shared" si="153"/>
        <v>4123742742</v>
      </c>
      <c r="AF127" s="177">
        <f t="shared" si="154"/>
        <v>0</v>
      </c>
      <c r="AG127" s="177">
        <f t="shared" si="154"/>
        <v>0</v>
      </c>
      <c r="AH127" s="177">
        <f t="shared" si="155"/>
        <v>0</v>
      </c>
      <c r="AI127" s="177">
        <f t="shared" si="156"/>
        <v>0</v>
      </c>
      <c r="AJ127" s="177">
        <f t="shared" si="156"/>
        <v>76636840</v>
      </c>
      <c r="AK127" s="177">
        <f t="shared" si="156"/>
        <v>0</v>
      </c>
      <c r="AL127" s="177">
        <f t="shared" si="157"/>
        <v>76636840</v>
      </c>
      <c r="AM127" s="177">
        <f t="shared" si="158"/>
        <v>0</v>
      </c>
      <c r="AN127" s="177">
        <f t="shared" si="158"/>
        <v>0</v>
      </c>
      <c r="AO127" s="177">
        <f t="shared" si="158"/>
        <v>0</v>
      </c>
      <c r="AP127" s="177">
        <f t="shared" si="159"/>
        <v>0</v>
      </c>
      <c r="AQ127" s="177">
        <f t="shared" si="160"/>
        <v>0</v>
      </c>
      <c r="AR127" s="177">
        <f t="shared" si="160"/>
        <v>0</v>
      </c>
      <c r="AS127" s="177">
        <f t="shared" si="161"/>
        <v>0</v>
      </c>
      <c r="AT127" s="177">
        <f t="shared" si="86"/>
        <v>4120245408</v>
      </c>
      <c r="AU127" s="177">
        <f t="shared" si="87"/>
        <v>76636840</v>
      </c>
      <c r="AV127" s="177">
        <f t="shared" si="88"/>
        <v>3497334</v>
      </c>
      <c r="AW127" s="382">
        <f t="shared" si="89"/>
        <v>4200379582</v>
      </c>
    </row>
    <row r="128" spans="1:49">
      <c r="A128" s="170">
        <v>43952</v>
      </c>
      <c r="B128" s="378">
        <v>0</v>
      </c>
      <c r="C128" s="3">
        <v>0</v>
      </c>
      <c r="D128" s="3">
        <f t="shared" si="148"/>
        <v>0</v>
      </c>
      <c r="E128" s="3">
        <v>835521630</v>
      </c>
      <c r="F128" s="3">
        <v>902901</v>
      </c>
      <c r="G128" s="3">
        <f t="shared" si="149"/>
        <v>836424531</v>
      </c>
      <c r="H128" s="3">
        <v>0</v>
      </c>
      <c r="I128" s="3">
        <v>0</v>
      </c>
      <c r="J128" s="3">
        <f t="shared" si="92"/>
        <v>0</v>
      </c>
      <c r="K128" s="3">
        <v>0</v>
      </c>
      <c r="L128" s="3">
        <v>5710944</v>
      </c>
      <c r="M128" s="3">
        <v>0</v>
      </c>
      <c r="N128" s="3">
        <f t="shared" si="93"/>
        <v>5710944</v>
      </c>
      <c r="O128" s="3">
        <v>0</v>
      </c>
      <c r="P128" s="3">
        <v>0</v>
      </c>
      <c r="Q128" s="3">
        <v>0</v>
      </c>
      <c r="R128" s="3">
        <f t="shared" si="94"/>
        <v>0</v>
      </c>
      <c r="S128" s="3">
        <v>0</v>
      </c>
      <c r="T128" s="3">
        <v>0</v>
      </c>
      <c r="U128" s="3">
        <f t="shared" si="95"/>
        <v>0</v>
      </c>
      <c r="V128" s="3">
        <f t="shared" si="96"/>
        <v>835521630</v>
      </c>
      <c r="W128" s="3">
        <f t="shared" si="97"/>
        <v>5710944</v>
      </c>
      <c r="X128" s="3">
        <f t="shared" si="98"/>
        <v>902901</v>
      </c>
      <c r="Y128" s="379">
        <f t="shared" si="99"/>
        <v>842135475</v>
      </c>
      <c r="Z128" s="177">
        <f t="shared" si="150"/>
        <v>0</v>
      </c>
      <c r="AA128" s="177">
        <f t="shared" si="150"/>
        <v>0</v>
      </c>
      <c r="AB128" s="177">
        <f t="shared" si="151"/>
        <v>0</v>
      </c>
      <c r="AC128" s="177">
        <f t="shared" si="152"/>
        <v>4955767038</v>
      </c>
      <c r="AD128" s="177">
        <f t="shared" si="152"/>
        <v>4400235</v>
      </c>
      <c r="AE128" s="177">
        <f t="shared" si="153"/>
        <v>4960167273</v>
      </c>
      <c r="AF128" s="177">
        <f t="shared" si="154"/>
        <v>0</v>
      </c>
      <c r="AG128" s="177">
        <f t="shared" si="154"/>
        <v>0</v>
      </c>
      <c r="AH128" s="177">
        <f t="shared" si="155"/>
        <v>0</v>
      </c>
      <c r="AI128" s="177">
        <f t="shared" si="156"/>
        <v>0</v>
      </c>
      <c r="AJ128" s="177">
        <f t="shared" si="156"/>
        <v>82347784</v>
      </c>
      <c r="AK128" s="177">
        <f t="shared" si="156"/>
        <v>0</v>
      </c>
      <c r="AL128" s="177">
        <f t="shared" si="157"/>
        <v>82347784</v>
      </c>
      <c r="AM128" s="177">
        <f t="shared" si="158"/>
        <v>0</v>
      </c>
      <c r="AN128" s="177">
        <f t="shared" si="158"/>
        <v>0</v>
      </c>
      <c r="AO128" s="177">
        <f t="shared" si="158"/>
        <v>0</v>
      </c>
      <c r="AP128" s="177">
        <f t="shared" si="159"/>
        <v>0</v>
      </c>
      <c r="AQ128" s="177">
        <f t="shared" si="160"/>
        <v>0</v>
      </c>
      <c r="AR128" s="177">
        <f t="shared" si="160"/>
        <v>0</v>
      </c>
      <c r="AS128" s="177">
        <f t="shared" si="161"/>
        <v>0</v>
      </c>
      <c r="AT128" s="177">
        <f t="shared" si="86"/>
        <v>4955767038</v>
      </c>
      <c r="AU128" s="177">
        <f t="shared" si="87"/>
        <v>82347784</v>
      </c>
      <c r="AV128" s="177">
        <f t="shared" si="88"/>
        <v>4400235</v>
      </c>
      <c r="AW128" s="382">
        <f t="shared" si="89"/>
        <v>5042515057</v>
      </c>
    </row>
    <row r="129" spans="1:49">
      <c r="A129" s="170">
        <v>43983</v>
      </c>
      <c r="B129" s="378">
        <v>0</v>
      </c>
      <c r="C129" s="3">
        <v>0</v>
      </c>
      <c r="D129" s="3">
        <f t="shared" si="148"/>
        <v>0</v>
      </c>
      <c r="E129" s="3">
        <v>1065260312</v>
      </c>
      <c r="F129" s="3">
        <v>1027659</v>
      </c>
      <c r="G129" s="3">
        <f t="shared" si="149"/>
        <v>1066287971</v>
      </c>
      <c r="H129" s="3">
        <v>0</v>
      </c>
      <c r="I129" s="3">
        <v>0</v>
      </c>
      <c r="J129" s="3">
        <f t="shared" si="92"/>
        <v>0</v>
      </c>
      <c r="K129" s="3">
        <v>0</v>
      </c>
      <c r="L129" s="3">
        <v>8190807</v>
      </c>
      <c r="M129" s="3">
        <v>0</v>
      </c>
      <c r="N129" s="3">
        <f t="shared" si="93"/>
        <v>8190807</v>
      </c>
      <c r="O129" s="3">
        <v>0</v>
      </c>
      <c r="P129" s="3">
        <v>0</v>
      </c>
      <c r="Q129" s="3">
        <v>0</v>
      </c>
      <c r="R129" s="3">
        <f t="shared" si="94"/>
        <v>0</v>
      </c>
      <c r="S129" s="3">
        <v>0</v>
      </c>
      <c r="T129" s="3">
        <v>0</v>
      </c>
      <c r="U129" s="3">
        <f t="shared" si="95"/>
        <v>0</v>
      </c>
      <c r="V129" s="3">
        <f t="shared" si="96"/>
        <v>1065260312</v>
      </c>
      <c r="W129" s="3">
        <f t="shared" si="97"/>
        <v>8190807</v>
      </c>
      <c r="X129" s="3">
        <f t="shared" si="98"/>
        <v>1027659</v>
      </c>
      <c r="Y129" s="379">
        <f t="shared" si="99"/>
        <v>1074478778</v>
      </c>
      <c r="Z129" s="177">
        <f t="shared" si="150"/>
        <v>0</v>
      </c>
      <c r="AA129" s="177">
        <f t="shared" si="150"/>
        <v>0</v>
      </c>
      <c r="AB129" s="177">
        <f t="shared" si="151"/>
        <v>0</v>
      </c>
      <c r="AC129" s="177">
        <f t="shared" si="152"/>
        <v>6021027350</v>
      </c>
      <c r="AD129" s="177">
        <f t="shared" si="152"/>
        <v>5427894</v>
      </c>
      <c r="AE129" s="177">
        <f t="shared" si="153"/>
        <v>6026455244</v>
      </c>
      <c r="AF129" s="177">
        <f t="shared" si="154"/>
        <v>0</v>
      </c>
      <c r="AG129" s="177">
        <f t="shared" si="154"/>
        <v>0</v>
      </c>
      <c r="AH129" s="177">
        <f t="shared" si="155"/>
        <v>0</v>
      </c>
      <c r="AI129" s="177">
        <f t="shared" si="156"/>
        <v>0</v>
      </c>
      <c r="AJ129" s="177">
        <f t="shared" si="156"/>
        <v>90538591</v>
      </c>
      <c r="AK129" s="177">
        <f t="shared" si="156"/>
        <v>0</v>
      </c>
      <c r="AL129" s="177">
        <f t="shared" si="157"/>
        <v>90538591</v>
      </c>
      <c r="AM129" s="177">
        <f t="shared" si="158"/>
        <v>0</v>
      </c>
      <c r="AN129" s="177">
        <f t="shared" si="158"/>
        <v>0</v>
      </c>
      <c r="AO129" s="177">
        <f t="shared" si="158"/>
        <v>0</v>
      </c>
      <c r="AP129" s="177">
        <f t="shared" si="159"/>
        <v>0</v>
      </c>
      <c r="AQ129" s="177">
        <f t="shared" si="160"/>
        <v>0</v>
      </c>
      <c r="AR129" s="177">
        <f t="shared" si="160"/>
        <v>0</v>
      </c>
      <c r="AS129" s="177">
        <f t="shared" si="161"/>
        <v>0</v>
      </c>
      <c r="AT129" s="177">
        <f t="shared" si="86"/>
        <v>6021027350</v>
      </c>
      <c r="AU129" s="177">
        <f t="shared" si="87"/>
        <v>90538591</v>
      </c>
      <c r="AV129" s="177">
        <f t="shared" si="88"/>
        <v>5427894</v>
      </c>
      <c r="AW129" s="382">
        <f t="shared" si="89"/>
        <v>6116993835</v>
      </c>
    </row>
    <row r="130" spans="1:49">
      <c r="A130" s="170">
        <v>44013</v>
      </c>
      <c r="B130" s="378">
        <v>0</v>
      </c>
      <c r="C130" s="3">
        <v>0</v>
      </c>
      <c r="D130" s="3">
        <f t="shared" si="148"/>
        <v>0</v>
      </c>
      <c r="E130" s="3">
        <v>1169002095</v>
      </c>
      <c r="F130" s="3">
        <v>1141159</v>
      </c>
      <c r="G130" s="3">
        <f t="shared" si="149"/>
        <v>1170143254</v>
      </c>
      <c r="H130" s="3">
        <v>572</v>
      </c>
      <c r="I130" s="3">
        <v>0</v>
      </c>
      <c r="J130" s="3">
        <f t="shared" si="92"/>
        <v>572</v>
      </c>
      <c r="K130" s="3">
        <v>0</v>
      </c>
      <c r="L130" s="3">
        <v>831504</v>
      </c>
      <c r="M130" s="3">
        <v>0</v>
      </c>
      <c r="N130" s="3">
        <f t="shared" si="93"/>
        <v>831504</v>
      </c>
      <c r="O130" s="3">
        <v>0</v>
      </c>
      <c r="P130" s="3">
        <v>0</v>
      </c>
      <c r="Q130" s="3">
        <v>0</v>
      </c>
      <c r="R130" s="3">
        <f t="shared" si="94"/>
        <v>0</v>
      </c>
      <c r="S130" s="3">
        <v>0</v>
      </c>
      <c r="T130" s="3">
        <v>0</v>
      </c>
      <c r="U130" s="3">
        <f t="shared" si="95"/>
        <v>0</v>
      </c>
      <c r="V130" s="3">
        <f t="shared" si="96"/>
        <v>1169002667</v>
      </c>
      <c r="W130" s="3">
        <f t="shared" si="97"/>
        <v>831504</v>
      </c>
      <c r="X130" s="3">
        <f t="shared" si="98"/>
        <v>1141159</v>
      </c>
      <c r="Y130" s="379">
        <f t="shared" si="99"/>
        <v>1170975330</v>
      </c>
      <c r="Z130" s="177">
        <f t="shared" si="150"/>
        <v>0</v>
      </c>
      <c r="AA130" s="177">
        <f t="shared" si="150"/>
        <v>0</v>
      </c>
      <c r="AB130" s="177">
        <f t="shared" si="151"/>
        <v>0</v>
      </c>
      <c r="AC130" s="177">
        <f t="shared" si="152"/>
        <v>7190029445</v>
      </c>
      <c r="AD130" s="177">
        <f t="shared" si="152"/>
        <v>6569053</v>
      </c>
      <c r="AE130" s="177">
        <f t="shared" si="153"/>
        <v>7196598498</v>
      </c>
      <c r="AF130" s="177">
        <f t="shared" si="154"/>
        <v>572</v>
      </c>
      <c r="AG130" s="177">
        <f t="shared" si="154"/>
        <v>0</v>
      </c>
      <c r="AH130" s="177">
        <f t="shared" si="155"/>
        <v>572</v>
      </c>
      <c r="AI130" s="177">
        <f t="shared" si="156"/>
        <v>0</v>
      </c>
      <c r="AJ130" s="177">
        <f t="shared" si="156"/>
        <v>91370095</v>
      </c>
      <c r="AK130" s="177">
        <f t="shared" si="156"/>
        <v>0</v>
      </c>
      <c r="AL130" s="177">
        <f t="shared" si="157"/>
        <v>91370095</v>
      </c>
      <c r="AM130" s="177">
        <f t="shared" si="158"/>
        <v>0</v>
      </c>
      <c r="AN130" s="177">
        <f t="shared" si="158"/>
        <v>0</v>
      </c>
      <c r="AO130" s="177">
        <f t="shared" si="158"/>
        <v>0</v>
      </c>
      <c r="AP130" s="177">
        <f t="shared" si="159"/>
        <v>0</v>
      </c>
      <c r="AQ130" s="177">
        <f t="shared" si="160"/>
        <v>0</v>
      </c>
      <c r="AR130" s="177">
        <f t="shared" si="160"/>
        <v>0</v>
      </c>
      <c r="AS130" s="177">
        <f t="shared" si="161"/>
        <v>0</v>
      </c>
      <c r="AT130" s="177">
        <f t="shared" si="86"/>
        <v>7190030017</v>
      </c>
      <c r="AU130" s="177">
        <f t="shared" si="87"/>
        <v>91370095</v>
      </c>
      <c r="AV130" s="177">
        <f t="shared" si="88"/>
        <v>6569053</v>
      </c>
      <c r="AW130" s="382">
        <f t="shared" si="89"/>
        <v>7287969165</v>
      </c>
    </row>
    <row r="131" spans="1:49">
      <c r="A131" s="170">
        <v>44044</v>
      </c>
      <c r="B131" s="378">
        <v>0</v>
      </c>
      <c r="C131" s="3">
        <v>0</v>
      </c>
      <c r="D131" s="3">
        <f t="shared" si="148"/>
        <v>0</v>
      </c>
      <c r="E131" s="3">
        <v>1124709247</v>
      </c>
      <c r="F131" s="3">
        <v>1191316</v>
      </c>
      <c r="G131" s="3">
        <f t="shared" si="149"/>
        <v>1125900563</v>
      </c>
      <c r="H131" s="3">
        <v>0</v>
      </c>
      <c r="I131" s="3">
        <v>0</v>
      </c>
      <c r="J131" s="3">
        <f t="shared" si="92"/>
        <v>0</v>
      </c>
      <c r="K131" s="3">
        <v>0</v>
      </c>
      <c r="L131" s="3">
        <v>1137740</v>
      </c>
      <c r="M131" s="3">
        <v>0</v>
      </c>
      <c r="N131" s="3">
        <f t="shared" si="93"/>
        <v>1137740</v>
      </c>
      <c r="O131" s="3">
        <v>0</v>
      </c>
      <c r="P131" s="3">
        <v>0</v>
      </c>
      <c r="Q131" s="3">
        <v>0</v>
      </c>
      <c r="R131" s="3">
        <f t="shared" si="94"/>
        <v>0</v>
      </c>
      <c r="S131" s="3">
        <v>0</v>
      </c>
      <c r="T131" s="3">
        <v>0</v>
      </c>
      <c r="U131" s="3">
        <f t="shared" si="95"/>
        <v>0</v>
      </c>
      <c r="V131" s="3">
        <f t="shared" si="96"/>
        <v>1124709247</v>
      </c>
      <c r="W131" s="3">
        <f t="shared" si="97"/>
        <v>1137740</v>
      </c>
      <c r="X131" s="3">
        <f t="shared" si="98"/>
        <v>1191316</v>
      </c>
      <c r="Y131" s="379">
        <f t="shared" si="99"/>
        <v>1127038303</v>
      </c>
      <c r="Z131" s="177">
        <f t="shared" si="150"/>
        <v>0</v>
      </c>
      <c r="AA131" s="177">
        <f t="shared" si="150"/>
        <v>0</v>
      </c>
      <c r="AB131" s="177">
        <f t="shared" si="151"/>
        <v>0</v>
      </c>
      <c r="AC131" s="177">
        <f t="shared" si="152"/>
        <v>8314738692</v>
      </c>
      <c r="AD131" s="177">
        <f t="shared" si="152"/>
        <v>7760369</v>
      </c>
      <c r="AE131" s="177">
        <f t="shared" si="153"/>
        <v>8322499061</v>
      </c>
      <c r="AF131" s="177">
        <f t="shared" si="154"/>
        <v>572</v>
      </c>
      <c r="AG131" s="177">
        <f t="shared" si="154"/>
        <v>0</v>
      </c>
      <c r="AH131" s="177">
        <f t="shared" si="155"/>
        <v>572</v>
      </c>
      <c r="AI131" s="177">
        <f t="shared" si="156"/>
        <v>0</v>
      </c>
      <c r="AJ131" s="177">
        <f t="shared" si="156"/>
        <v>92507835</v>
      </c>
      <c r="AK131" s="177">
        <f t="shared" si="156"/>
        <v>0</v>
      </c>
      <c r="AL131" s="177">
        <f t="shared" si="157"/>
        <v>92507835</v>
      </c>
      <c r="AM131" s="177">
        <f t="shared" si="158"/>
        <v>0</v>
      </c>
      <c r="AN131" s="177">
        <f t="shared" si="158"/>
        <v>0</v>
      </c>
      <c r="AO131" s="177">
        <f t="shared" si="158"/>
        <v>0</v>
      </c>
      <c r="AP131" s="177">
        <f t="shared" si="159"/>
        <v>0</v>
      </c>
      <c r="AQ131" s="177">
        <f t="shared" si="160"/>
        <v>0</v>
      </c>
      <c r="AR131" s="177">
        <f t="shared" si="160"/>
        <v>0</v>
      </c>
      <c r="AS131" s="177">
        <f t="shared" si="161"/>
        <v>0</v>
      </c>
      <c r="AT131" s="177">
        <f t="shared" si="86"/>
        <v>8314739264</v>
      </c>
      <c r="AU131" s="177">
        <f t="shared" si="87"/>
        <v>92507835</v>
      </c>
      <c r="AV131" s="177">
        <f t="shared" si="88"/>
        <v>7760369</v>
      </c>
      <c r="AW131" s="382">
        <f t="shared" si="89"/>
        <v>8415007468</v>
      </c>
    </row>
    <row r="132" spans="1:49">
      <c r="A132" s="170">
        <v>44075</v>
      </c>
      <c r="B132" s="378">
        <v>0</v>
      </c>
      <c r="C132" s="3">
        <v>0</v>
      </c>
      <c r="D132" s="3">
        <f t="shared" si="148"/>
        <v>0</v>
      </c>
      <c r="E132" s="3">
        <v>1116041079</v>
      </c>
      <c r="F132" s="3">
        <v>1159627</v>
      </c>
      <c r="G132" s="3">
        <f t="shared" si="149"/>
        <v>1117200706</v>
      </c>
      <c r="H132" s="3">
        <v>0</v>
      </c>
      <c r="I132" s="3">
        <v>0</v>
      </c>
      <c r="J132" s="3">
        <f t="shared" si="92"/>
        <v>0</v>
      </c>
      <c r="K132" s="3">
        <v>0</v>
      </c>
      <c r="L132" s="3">
        <v>4502512</v>
      </c>
      <c r="M132" s="3">
        <v>0</v>
      </c>
      <c r="N132" s="3">
        <f t="shared" si="93"/>
        <v>4502512</v>
      </c>
      <c r="O132" s="3">
        <v>0</v>
      </c>
      <c r="P132" s="3">
        <v>0</v>
      </c>
      <c r="Q132" s="3">
        <v>0</v>
      </c>
      <c r="R132" s="3">
        <f t="shared" si="94"/>
        <v>0</v>
      </c>
      <c r="S132" s="3">
        <v>0</v>
      </c>
      <c r="T132" s="3">
        <v>0</v>
      </c>
      <c r="U132" s="3">
        <f t="shared" si="95"/>
        <v>0</v>
      </c>
      <c r="V132" s="3">
        <f t="shared" si="96"/>
        <v>1116041079</v>
      </c>
      <c r="W132" s="3">
        <f t="shared" si="97"/>
        <v>4502512</v>
      </c>
      <c r="X132" s="3">
        <f t="shared" si="98"/>
        <v>1159627</v>
      </c>
      <c r="Y132" s="379">
        <f t="shared" si="99"/>
        <v>1121703218</v>
      </c>
      <c r="Z132" s="177">
        <f t="shared" si="150"/>
        <v>0</v>
      </c>
      <c r="AA132" s="177">
        <f t="shared" si="150"/>
        <v>0</v>
      </c>
      <c r="AB132" s="177">
        <f t="shared" si="151"/>
        <v>0</v>
      </c>
      <c r="AC132" s="177">
        <f t="shared" si="152"/>
        <v>9430779771</v>
      </c>
      <c r="AD132" s="177">
        <f t="shared" si="152"/>
        <v>8919996</v>
      </c>
      <c r="AE132" s="177">
        <f t="shared" si="153"/>
        <v>9439699767</v>
      </c>
      <c r="AF132" s="177">
        <f t="shared" si="154"/>
        <v>572</v>
      </c>
      <c r="AG132" s="177">
        <f t="shared" si="154"/>
        <v>0</v>
      </c>
      <c r="AH132" s="177">
        <f t="shared" si="155"/>
        <v>572</v>
      </c>
      <c r="AI132" s="177">
        <f t="shared" si="156"/>
        <v>0</v>
      </c>
      <c r="AJ132" s="177">
        <f t="shared" si="156"/>
        <v>97010347</v>
      </c>
      <c r="AK132" s="177">
        <f t="shared" si="156"/>
        <v>0</v>
      </c>
      <c r="AL132" s="177">
        <f t="shared" si="157"/>
        <v>97010347</v>
      </c>
      <c r="AM132" s="177">
        <f t="shared" si="158"/>
        <v>0</v>
      </c>
      <c r="AN132" s="177">
        <f t="shared" si="158"/>
        <v>0</v>
      </c>
      <c r="AO132" s="177">
        <f t="shared" si="158"/>
        <v>0</v>
      </c>
      <c r="AP132" s="177">
        <f t="shared" si="159"/>
        <v>0</v>
      </c>
      <c r="AQ132" s="177">
        <f t="shared" si="160"/>
        <v>0</v>
      </c>
      <c r="AR132" s="177">
        <f t="shared" si="160"/>
        <v>0</v>
      </c>
      <c r="AS132" s="177">
        <f t="shared" si="161"/>
        <v>0</v>
      </c>
      <c r="AT132" s="177">
        <f t="shared" ref="AT132" si="162">AQ132+AM132+AI132+AF132+AC132+Z132</f>
        <v>9430780343</v>
      </c>
      <c r="AU132" s="177">
        <f t="shared" ref="AU132" si="163">AJ132+AN132</f>
        <v>97010347</v>
      </c>
      <c r="AV132" s="177">
        <f t="shared" ref="AV132" si="164">AR132+AO132+AK132+AG132+AD132+AA132</f>
        <v>8919996</v>
      </c>
      <c r="AW132" s="382">
        <f t="shared" ref="AW132" si="165">AT132+AU132+AV132</f>
        <v>9536710686</v>
      </c>
    </row>
    <row r="133" spans="1:49">
      <c r="A133" s="170">
        <v>44105</v>
      </c>
      <c r="B133" s="378">
        <v>0</v>
      </c>
      <c r="C133" s="3">
        <v>0</v>
      </c>
      <c r="D133" s="3">
        <f t="shared" si="148"/>
        <v>0</v>
      </c>
      <c r="E133" s="3">
        <v>1138032677</v>
      </c>
      <c r="F133" s="3">
        <v>1153031</v>
      </c>
      <c r="G133" s="3">
        <f t="shared" si="149"/>
        <v>1139185708</v>
      </c>
      <c r="H133" s="3">
        <v>0</v>
      </c>
      <c r="I133" s="3">
        <v>0</v>
      </c>
      <c r="J133" s="3">
        <f t="shared" ref="J133:J186" si="166">I133+H133</f>
        <v>0</v>
      </c>
      <c r="K133" s="3">
        <v>0</v>
      </c>
      <c r="L133" s="3">
        <v>15257933</v>
      </c>
      <c r="M133" s="3">
        <v>0</v>
      </c>
      <c r="N133" s="3">
        <f t="shared" ref="N133:N149" si="167">M133+L133+K133</f>
        <v>15257933</v>
      </c>
      <c r="O133" s="3">
        <v>0</v>
      </c>
      <c r="P133" s="3">
        <v>0</v>
      </c>
      <c r="Q133" s="3">
        <v>0</v>
      </c>
      <c r="R133" s="3">
        <f t="shared" ref="R133:R186" si="168">Q133+P133+O133</f>
        <v>0</v>
      </c>
      <c r="S133" s="3">
        <v>0</v>
      </c>
      <c r="T133" s="3">
        <v>0</v>
      </c>
      <c r="U133" s="3">
        <f t="shared" ref="U133:U186" si="169">T133+S133</f>
        <v>0</v>
      </c>
      <c r="V133" s="3">
        <f t="shared" ref="V133:V149" si="170">B133+E133+H133+K133</f>
        <v>1138032677</v>
      </c>
      <c r="W133" s="3">
        <f t="shared" ref="W133:W186" si="171">L133+P133</f>
        <v>15257933</v>
      </c>
      <c r="X133" s="3">
        <f t="shared" ref="X133:X186" si="172">C133+F133+I133+M133</f>
        <v>1153031</v>
      </c>
      <c r="Y133" s="379">
        <f t="shared" ref="Y133:Y186" si="173">X133+W133+V133</f>
        <v>1154443641</v>
      </c>
      <c r="Z133" s="177">
        <f t="shared" si="150"/>
        <v>0</v>
      </c>
      <c r="AA133" s="177">
        <f t="shared" si="150"/>
        <v>0</v>
      </c>
      <c r="AB133" s="177">
        <f t="shared" si="151"/>
        <v>0</v>
      </c>
      <c r="AC133" s="177">
        <f t="shared" si="152"/>
        <v>10568812448</v>
      </c>
      <c r="AD133" s="177">
        <f t="shared" si="152"/>
        <v>10073027</v>
      </c>
      <c r="AE133" s="177">
        <f t="shared" si="153"/>
        <v>10578885475</v>
      </c>
      <c r="AF133" s="177">
        <f t="shared" si="154"/>
        <v>572</v>
      </c>
      <c r="AG133" s="177">
        <f t="shared" si="154"/>
        <v>0</v>
      </c>
      <c r="AH133" s="177">
        <f t="shared" si="155"/>
        <v>572</v>
      </c>
      <c r="AI133" s="177">
        <f t="shared" si="156"/>
        <v>0</v>
      </c>
      <c r="AJ133" s="177">
        <f t="shared" si="156"/>
        <v>112268280</v>
      </c>
      <c r="AK133" s="177">
        <f t="shared" si="156"/>
        <v>0</v>
      </c>
      <c r="AL133" s="177">
        <f t="shared" si="157"/>
        <v>112268280</v>
      </c>
      <c r="AM133" s="177">
        <f t="shared" si="158"/>
        <v>0</v>
      </c>
      <c r="AN133" s="177">
        <f t="shared" si="158"/>
        <v>0</v>
      </c>
      <c r="AO133" s="177">
        <f t="shared" si="158"/>
        <v>0</v>
      </c>
      <c r="AP133" s="177">
        <f t="shared" si="159"/>
        <v>0</v>
      </c>
      <c r="AQ133" s="177">
        <f t="shared" si="160"/>
        <v>0</v>
      </c>
      <c r="AR133" s="177">
        <f t="shared" si="160"/>
        <v>0</v>
      </c>
      <c r="AS133" s="177">
        <f t="shared" si="161"/>
        <v>0</v>
      </c>
      <c r="AT133" s="177">
        <f>AQ133+AM133+AI133+AF133+AC133+Z133</f>
        <v>10568813020</v>
      </c>
      <c r="AU133" s="177">
        <f>AJ133+AN133</f>
        <v>112268280</v>
      </c>
      <c r="AV133" s="177">
        <f>AR133+AO133+AK133+AG133+AD133+AA133</f>
        <v>10073027</v>
      </c>
      <c r="AW133" s="382">
        <f>AT133+AU133+AV133</f>
        <v>10691154327</v>
      </c>
    </row>
    <row r="134" spans="1:49">
      <c r="A134" s="170">
        <v>44136</v>
      </c>
      <c r="B134" s="378">
        <v>0</v>
      </c>
      <c r="C134" s="3">
        <v>0</v>
      </c>
      <c r="D134" s="3">
        <f t="shared" si="148"/>
        <v>0</v>
      </c>
      <c r="E134" s="3">
        <v>1136429603</v>
      </c>
      <c r="F134" s="3">
        <v>894215</v>
      </c>
      <c r="G134" s="3">
        <f t="shared" si="149"/>
        <v>1137323818</v>
      </c>
      <c r="H134" s="3">
        <v>0</v>
      </c>
      <c r="I134" s="3">
        <v>0</v>
      </c>
      <c r="J134" s="3">
        <f t="shared" si="166"/>
        <v>0</v>
      </c>
      <c r="K134" s="3">
        <v>0</v>
      </c>
      <c r="L134" s="3">
        <v>6354400</v>
      </c>
      <c r="M134" s="3">
        <v>0</v>
      </c>
      <c r="N134" s="3">
        <f t="shared" si="167"/>
        <v>6354400</v>
      </c>
      <c r="O134" s="3">
        <v>0</v>
      </c>
      <c r="P134" s="3">
        <v>0</v>
      </c>
      <c r="Q134" s="3">
        <v>0</v>
      </c>
      <c r="R134" s="3">
        <f t="shared" si="168"/>
        <v>0</v>
      </c>
      <c r="S134" s="3">
        <v>0</v>
      </c>
      <c r="T134" s="3">
        <v>0</v>
      </c>
      <c r="U134" s="3">
        <f t="shared" si="169"/>
        <v>0</v>
      </c>
      <c r="V134" s="3">
        <f t="shared" si="170"/>
        <v>1136429603</v>
      </c>
      <c r="W134" s="3">
        <f t="shared" si="171"/>
        <v>6354400</v>
      </c>
      <c r="X134" s="3">
        <f t="shared" si="172"/>
        <v>894215</v>
      </c>
      <c r="Y134" s="379">
        <f t="shared" si="173"/>
        <v>1143678218</v>
      </c>
      <c r="Z134" s="177">
        <f t="shared" si="150"/>
        <v>0</v>
      </c>
      <c r="AA134" s="177">
        <f t="shared" si="150"/>
        <v>0</v>
      </c>
      <c r="AB134" s="177">
        <f t="shared" si="151"/>
        <v>0</v>
      </c>
      <c r="AC134" s="177">
        <f t="shared" si="152"/>
        <v>11705242051</v>
      </c>
      <c r="AD134" s="177">
        <f t="shared" si="152"/>
        <v>10967242</v>
      </c>
      <c r="AE134" s="177">
        <f t="shared" si="153"/>
        <v>11716209293</v>
      </c>
      <c r="AF134" s="177">
        <f t="shared" si="154"/>
        <v>572</v>
      </c>
      <c r="AG134" s="177">
        <f t="shared" si="154"/>
        <v>0</v>
      </c>
      <c r="AH134" s="177">
        <f t="shared" si="155"/>
        <v>572</v>
      </c>
      <c r="AI134" s="177">
        <f t="shared" si="156"/>
        <v>0</v>
      </c>
      <c r="AJ134" s="177">
        <f t="shared" si="156"/>
        <v>118622680</v>
      </c>
      <c r="AK134" s="177">
        <f t="shared" si="156"/>
        <v>0</v>
      </c>
      <c r="AL134" s="177">
        <f t="shared" si="157"/>
        <v>118622680</v>
      </c>
      <c r="AM134" s="177">
        <f t="shared" si="158"/>
        <v>0</v>
      </c>
      <c r="AN134" s="177">
        <f t="shared" si="158"/>
        <v>0</v>
      </c>
      <c r="AO134" s="177">
        <f t="shared" si="158"/>
        <v>0</v>
      </c>
      <c r="AP134" s="177">
        <f t="shared" si="159"/>
        <v>0</v>
      </c>
      <c r="AQ134" s="177">
        <f t="shared" si="160"/>
        <v>0</v>
      </c>
      <c r="AR134" s="177">
        <f t="shared" si="160"/>
        <v>0</v>
      </c>
      <c r="AS134" s="177">
        <f t="shared" si="161"/>
        <v>0</v>
      </c>
      <c r="AT134" s="177">
        <f>AQ134+AM134+AI134+AF134+AC134+Z134</f>
        <v>11705242623</v>
      </c>
      <c r="AU134" s="177">
        <f>AJ134+AN134</f>
        <v>118622680</v>
      </c>
      <c r="AV134" s="177">
        <f>AR134+AO134+AK134+AG134+AD134+AA134</f>
        <v>10967242</v>
      </c>
      <c r="AW134" s="382">
        <f>AT134+AU134+AV134</f>
        <v>11834832545</v>
      </c>
    </row>
    <row r="135" spans="1:49" ht="15.75" thickBot="1">
      <c r="A135" s="170">
        <v>44166</v>
      </c>
      <c r="B135" s="378">
        <v>0</v>
      </c>
      <c r="C135" s="3">
        <v>0</v>
      </c>
      <c r="D135" s="3">
        <f t="shared" si="148"/>
        <v>0</v>
      </c>
      <c r="E135" s="3">
        <v>1139952619</v>
      </c>
      <c r="F135" s="3">
        <v>1030705</v>
      </c>
      <c r="G135" s="3">
        <f t="shared" si="149"/>
        <v>1140983324</v>
      </c>
      <c r="H135" s="3">
        <v>0</v>
      </c>
      <c r="I135" s="3">
        <v>0</v>
      </c>
      <c r="J135" s="3">
        <f t="shared" si="166"/>
        <v>0</v>
      </c>
      <c r="K135" s="3">
        <v>0</v>
      </c>
      <c r="L135" s="3">
        <v>11034491</v>
      </c>
      <c r="M135" s="3">
        <v>0</v>
      </c>
      <c r="N135" s="3">
        <f t="shared" si="167"/>
        <v>11034491</v>
      </c>
      <c r="O135" s="3">
        <v>0</v>
      </c>
      <c r="P135" s="3">
        <v>0</v>
      </c>
      <c r="Q135" s="3">
        <v>0</v>
      </c>
      <c r="R135" s="3">
        <f t="shared" si="168"/>
        <v>0</v>
      </c>
      <c r="S135" s="3">
        <v>0</v>
      </c>
      <c r="T135" s="3">
        <v>0</v>
      </c>
      <c r="U135" s="3">
        <f t="shared" si="169"/>
        <v>0</v>
      </c>
      <c r="V135" s="3">
        <f t="shared" si="170"/>
        <v>1139952619</v>
      </c>
      <c r="W135" s="3">
        <f t="shared" si="171"/>
        <v>11034491</v>
      </c>
      <c r="X135" s="3">
        <f t="shared" si="172"/>
        <v>1030705</v>
      </c>
      <c r="Y135" s="379">
        <f t="shared" si="173"/>
        <v>1152017815</v>
      </c>
      <c r="Z135" s="177">
        <f t="shared" si="150"/>
        <v>0</v>
      </c>
      <c r="AA135" s="177">
        <f t="shared" si="150"/>
        <v>0</v>
      </c>
      <c r="AB135" s="177">
        <f t="shared" si="151"/>
        <v>0</v>
      </c>
      <c r="AC135" s="177">
        <f t="shared" si="152"/>
        <v>12845194670</v>
      </c>
      <c r="AD135" s="177">
        <f t="shared" si="152"/>
        <v>11997947</v>
      </c>
      <c r="AE135" s="177">
        <f t="shared" si="153"/>
        <v>12857192617</v>
      </c>
      <c r="AF135" s="177">
        <f t="shared" si="154"/>
        <v>572</v>
      </c>
      <c r="AG135" s="177">
        <f t="shared" si="154"/>
        <v>0</v>
      </c>
      <c r="AH135" s="177">
        <f t="shared" si="155"/>
        <v>572</v>
      </c>
      <c r="AI135" s="177">
        <f t="shared" si="156"/>
        <v>0</v>
      </c>
      <c r="AJ135" s="177">
        <f t="shared" si="156"/>
        <v>129657171</v>
      </c>
      <c r="AK135" s="177">
        <f t="shared" si="156"/>
        <v>0</v>
      </c>
      <c r="AL135" s="177">
        <f>AK135+AJ135+AI135</f>
        <v>129657171</v>
      </c>
      <c r="AM135" s="177">
        <f>AM134+O135</f>
        <v>0</v>
      </c>
      <c r="AN135" s="177">
        <f>AN134+P135</f>
        <v>0</v>
      </c>
      <c r="AO135" s="177">
        <f>AO134+Q135</f>
        <v>0</v>
      </c>
      <c r="AP135" s="177">
        <f t="shared" si="159"/>
        <v>0</v>
      </c>
      <c r="AQ135" s="177">
        <f t="shared" si="160"/>
        <v>0</v>
      </c>
      <c r="AR135" s="177">
        <f t="shared" si="160"/>
        <v>0</v>
      </c>
      <c r="AS135" s="177">
        <f t="shared" si="161"/>
        <v>0</v>
      </c>
      <c r="AT135" s="177">
        <f>AQ135+AM135+AI135+AF135+AC135+Z135</f>
        <v>12845195242</v>
      </c>
      <c r="AU135" s="177">
        <f>AJ135+AN135</f>
        <v>129657171</v>
      </c>
      <c r="AV135" s="177">
        <f>AR135+AO135+AK135+AG135+AD135+AA135</f>
        <v>11997947</v>
      </c>
      <c r="AW135" s="382">
        <f>AT135+AU135+AV135</f>
        <v>12986850360</v>
      </c>
    </row>
    <row r="136" spans="1:49">
      <c r="A136" s="171">
        <v>44197</v>
      </c>
      <c r="B136" s="385">
        <v>0</v>
      </c>
      <c r="C136" s="104">
        <v>0</v>
      </c>
      <c r="D136" s="104">
        <f t="shared" si="148"/>
        <v>0</v>
      </c>
      <c r="E136" s="104">
        <v>1072581886</v>
      </c>
      <c r="F136" s="104">
        <v>1008820</v>
      </c>
      <c r="G136" s="104">
        <f t="shared" si="149"/>
        <v>1073590706</v>
      </c>
      <c r="H136" s="104">
        <v>0</v>
      </c>
      <c r="I136" s="104">
        <v>0</v>
      </c>
      <c r="J136" s="104">
        <f t="shared" si="166"/>
        <v>0</v>
      </c>
      <c r="K136" s="104">
        <v>0</v>
      </c>
      <c r="L136" s="104">
        <v>5694354</v>
      </c>
      <c r="M136" s="104">
        <v>0</v>
      </c>
      <c r="N136" s="104">
        <f t="shared" si="167"/>
        <v>5694354</v>
      </c>
      <c r="O136" s="104">
        <v>0</v>
      </c>
      <c r="P136" s="104">
        <v>0</v>
      </c>
      <c r="Q136" s="104">
        <v>0</v>
      </c>
      <c r="R136" s="104">
        <f t="shared" si="168"/>
        <v>0</v>
      </c>
      <c r="S136" s="104">
        <v>0</v>
      </c>
      <c r="T136" s="104">
        <v>0</v>
      </c>
      <c r="U136" s="104">
        <f t="shared" si="169"/>
        <v>0</v>
      </c>
      <c r="V136" s="104">
        <f t="shared" si="170"/>
        <v>1072581886</v>
      </c>
      <c r="W136" s="104">
        <f t="shared" si="171"/>
        <v>5694354</v>
      </c>
      <c r="X136" s="104">
        <f t="shared" si="172"/>
        <v>1008820</v>
      </c>
      <c r="Y136" s="386">
        <f t="shared" si="173"/>
        <v>1079285060</v>
      </c>
      <c r="Z136" s="389">
        <f>B136</f>
        <v>0</v>
      </c>
      <c r="AA136" s="389">
        <f>C136</f>
        <v>0</v>
      </c>
      <c r="AB136" s="389">
        <f>AA136+Z136</f>
        <v>0</v>
      </c>
      <c r="AC136" s="389">
        <f>E136</f>
        <v>1072581886</v>
      </c>
      <c r="AD136" s="389">
        <f>F136</f>
        <v>1008820</v>
      </c>
      <c r="AE136" s="389">
        <f>AD136+AC136</f>
        <v>1073590706</v>
      </c>
      <c r="AF136" s="389">
        <f>H136</f>
        <v>0</v>
      </c>
      <c r="AG136" s="389">
        <f>I136</f>
        <v>0</v>
      </c>
      <c r="AH136" s="389">
        <f>AG136+AF136</f>
        <v>0</v>
      </c>
      <c r="AI136" s="389">
        <f>K136</f>
        <v>0</v>
      </c>
      <c r="AJ136" s="389">
        <f>L136</f>
        <v>5694354</v>
      </c>
      <c r="AK136" s="389">
        <f>M136</f>
        <v>0</v>
      </c>
      <c r="AL136" s="389">
        <f>AK136+AJ136+AI136</f>
        <v>5694354</v>
      </c>
      <c r="AM136" s="389">
        <f>O136</f>
        <v>0</v>
      </c>
      <c r="AN136" s="389">
        <f>P136</f>
        <v>0</v>
      </c>
      <c r="AO136" s="389">
        <f>Q136</f>
        <v>0</v>
      </c>
      <c r="AP136" s="389">
        <f>AO136+AN136+AM136</f>
        <v>0</v>
      </c>
      <c r="AQ136" s="389">
        <f>S136</f>
        <v>0</v>
      </c>
      <c r="AR136" s="389">
        <f>T136</f>
        <v>0</v>
      </c>
      <c r="AS136" s="389">
        <f>AR136+AQ136</f>
        <v>0</v>
      </c>
      <c r="AT136" s="389">
        <f t="shared" ref="AT136:AT167" si="174">AQ136+AM136+AI136+AF136+AC136+Z136</f>
        <v>1072581886</v>
      </c>
      <c r="AU136" s="389">
        <f t="shared" ref="AU136:AU186" si="175">AJ136+AN136</f>
        <v>5694354</v>
      </c>
      <c r="AV136" s="389">
        <f t="shared" ref="AV136:AV184" si="176">AR136+AO136+AK136+AG136+AD136+AA136</f>
        <v>1008820</v>
      </c>
      <c r="AW136" s="390">
        <f t="shared" ref="AW136:AW186" si="177">AT136+AU136+AV136</f>
        <v>1079285060</v>
      </c>
    </row>
    <row r="137" spans="1:49">
      <c r="A137" s="170">
        <v>44228</v>
      </c>
      <c r="B137" s="378">
        <v>0</v>
      </c>
      <c r="C137" s="3">
        <v>0</v>
      </c>
      <c r="D137" s="3">
        <f t="shared" si="148"/>
        <v>0</v>
      </c>
      <c r="E137" s="3">
        <v>889096390</v>
      </c>
      <c r="F137" s="3">
        <v>920519</v>
      </c>
      <c r="G137" s="3">
        <f t="shared" si="149"/>
        <v>890016909</v>
      </c>
      <c r="H137" s="3">
        <v>0</v>
      </c>
      <c r="I137" s="3">
        <v>0</v>
      </c>
      <c r="J137" s="3">
        <f t="shared" si="166"/>
        <v>0</v>
      </c>
      <c r="K137" s="3">
        <v>0</v>
      </c>
      <c r="L137" s="3">
        <v>13034561</v>
      </c>
      <c r="M137" s="3">
        <v>0</v>
      </c>
      <c r="N137" s="3">
        <f t="shared" si="167"/>
        <v>13034561</v>
      </c>
      <c r="O137" s="3">
        <v>0</v>
      </c>
      <c r="P137" s="3">
        <v>0</v>
      </c>
      <c r="Q137" s="3">
        <v>0</v>
      </c>
      <c r="R137" s="3">
        <f t="shared" si="168"/>
        <v>0</v>
      </c>
      <c r="S137" s="3">
        <v>0</v>
      </c>
      <c r="T137" s="3">
        <v>0</v>
      </c>
      <c r="U137" s="3">
        <f t="shared" si="169"/>
        <v>0</v>
      </c>
      <c r="V137" s="3">
        <f t="shared" si="170"/>
        <v>889096390</v>
      </c>
      <c r="W137" s="3">
        <f t="shared" si="171"/>
        <v>13034561</v>
      </c>
      <c r="X137" s="3">
        <f t="shared" si="172"/>
        <v>920519</v>
      </c>
      <c r="Y137" s="379">
        <f t="shared" si="173"/>
        <v>903051470</v>
      </c>
      <c r="Z137" s="177">
        <f t="shared" ref="Z137:AA147" si="178">Z136+B137</f>
        <v>0</v>
      </c>
      <c r="AA137" s="177">
        <f t="shared" si="178"/>
        <v>0</v>
      </c>
      <c r="AB137" s="177">
        <f t="shared" ref="AB137:AB147" si="179">AA137+Z137</f>
        <v>0</v>
      </c>
      <c r="AC137" s="177">
        <f t="shared" ref="AC137:AD147" si="180">AC136+E137</f>
        <v>1961678276</v>
      </c>
      <c r="AD137" s="177">
        <f t="shared" si="180"/>
        <v>1929339</v>
      </c>
      <c r="AE137" s="177">
        <f t="shared" ref="AE137:AE147" si="181">AD137+AC137</f>
        <v>1963607615</v>
      </c>
      <c r="AF137" s="177">
        <f t="shared" ref="AF137:AG147" si="182">AF136+H137</f>
        <v>0</v>
      </c>
      <c r="AG137" s="177">
        <f t="shared" si="182"/>
        <v>0</v>
      </c>
      <c r="AH137" s="177">
        <f t="shared" ref="AH137:AH147" si="183">AG137+AF137</f>
        <v>0</v>
      </c>
      <c r="AI137" s="177">
        <f t="shared" ref="AI137:AK147" si="184">AI136+K137</f>
        <v>0</v>
      </c>
      <c r="AJ137" s="177">
        <f t="shared" si="184"/>
        <v>18728915</v>
      </c>
      <c r="AK137" s="177">
        <f t="shared" si="184"/>
        <v>0</v>
      </c>
      <c r="AL137" s="177">
        <f t="shared" ref="AL137:AL146" si="185">AK137+AJ137+AI137</f>
        <v>18728915</v>
      </c>
      <c r="AM137" s="177">
        <f t="shared" ref="AM137:AO146" si="186">AM136+O137</f>
        <v>0</v>
      </c>
      <c r="AN137" s="177">
        <f t="shared" si="186"/>
        <v>0</v>
      </c>
      <c r="AO137" s="177">
        <f t="shared" si="186"/>
        <v>0</v>
      </c>
      <c r="AP137" s="177">
        <f t="shared" ref="AP137:AP147" si="187">AO137+AN137+AM137</f>
        <v>0</v>
      </c>
      <c r="AQ137" s="177">
        <f t="shared" ref="AQ137:AR147" si="188">AQ136+S137</f>
        <v>0</v>
      </c>
      <c r="AR137" s="177">
        <f t="shared" si="188"/>
        <v>0</v>
      </c>
      <c r="AS137" s="177">
        <f t="shared" ref="AS137:AS147" si="189">AR137+AQ137</f>
        <v>0</v>
      </c>
      <c r="AT137" s="177">
        <f t="shared" si="174"/>
        <v>1961678276</v>
      </c>
      <c r="AU137" s="177">
        <f t="shared" si="175"/>
        <v>18728915</v>
      </c>
      <c r="AV137" s="177">
        <f t="shared" si="176"/>
        <v>1929339</v>
      </c>
      <c r="AW137" s="382">
        <f t="shared" si="177"/>
        <v>1982336530</v>
      </c>
    </row>
    <row r="138" spans="1:49">
      <c r="A138" s="170">
        <v>44256</v>
      </c>
      <c r="B138" s="378">
        <v>0</v>
      </c>
      <c r="C138" s="3">
        <v>0</v>
      </c>
      <c r="D138" s="3">
        <f t="shared" si="148"/>
        <v>0</v>
      </c>
      <c r="E138" s="3">
        <v>1175862799</v>
      </c>
      <c r="F138" s="3">
        <v>1036534</v>
      </c>
      <c r="G138" s="3">
        <f t="shared" si="149"/>
        <v>1176899333</v>
      </c>
      <c r="H138" s="3">
        <v>0</v>
      </c>
      <c r="I138" s="3">
        <v>0</v>
      </c>
      <c r="J138" s="3">
        <f t="shared" si="166"/>
        <v>0</v>
      </c>
      <c r="K138" s="3">
        <v>0</v>
      </c>
      <c r="L138" s="3">
        <v>14020086</v>
      </c>
      <c r="M138" s="3">
        <v>0</v>
      </c>
      <c r="N138" s="3">
        <f t="shared" si="167"/>
        <v>14020086</v>
      </c>
      <c r="O138" s="3">
        <v>0</v>
      </c>
      <c r="P138" s="3">
        <v>0</v>
      </c>
      <c r="Q138" s="3">
        <v>0</v>
      </c>
      <c r="R138" s="3">
        <f t="shared" si="168"/>
        <v>0</v>
      </c>
      <c r="S138" s="3">
        <v>0</v>
      </c>
      <c r="T138" s="3">
        <v>0</v>
      </c>
      <c r="U138" s="3">
        <f t="shared" si="169"/>
        <v>0</v>
      </c>
      <c r="V138" s="3">
        <f t="shared" si="170"/>
        <v>1175862799</v>
      </c>
      <c r="W138" s="3">
        <f t="shared" si="171"/>
        <v>14020086</v>
      </c>
      <c r="X138" s="3">
        <f t="shared" si="172"/>
        <v>1036534</v>
      </c>
      <c r="Y138" s="379">
        <f t="shared" si="173"/>
        <v>1190919419</v>
      </c>
      <c r="Z138" s="177">
        <f t="shared" si="178"/>
        <v>0</v>
      </c>
      <c r="AA138" s="177">
        <f t="shared" si="178"/>
        <v>0</v>
      </c>
      <c r="AB138" s="177">
        <f t="shared" si="179"/>
        <v>0</v>
      </c>
      <c r="AC138" s="177">
        <f t="shared" si="180"/>
        <v>3137541075</v>
      </c>
      <c r="AD138" s="177">
        <f t="shared" si="180"/>
        <v>2965873</v>
      </c>
      <c r="AE138" s="177">
        <f t="shared" si="181"/>
        <v>3140506948</v>
      </c>
      <c r="AF138" s="177">
        <f t="shared" si="182"/>
        <v>0</v>
      </c>
      <c r="AG138" s="177">
        <f t="shared" si="182"/>
        <v>0</v>
      </c>
      <c r="AH138" s="177">
        <f t="shared" si="183"/>
        <v>0</v>
      </c>
      <c r="AI138" s="177">
        <f t="shared" si="184"/>
        <v>0</v>
      </c>
      <c r="AJ138" s="177">
        <f t="shared" si="184"/>
        <v>32749001</v>
      </c>
      <c r="AK138" s="177">
        <f t="shared" si="184"/>
        <v>0</v>
      </c>
      <c r="AL138" s="177">
        <f t="shared" si="185"/>
        <v>32749001</v>
      </c>
      <c r="AM138" s="177">
        <f t="shared" si="186"/>
        <v>0</v>
      </c>
      <c r="AN138" s="177">
        <f t="shared" si="186"/>
        <v>0</v>
      </c>
      <c r="AO138" s="177">
        <f t="shared" si="186"/>
        <v>0</v>
      </c>
      <c r="AP138" s="177">
        <f t="shared" si="187"/>
        <v>0</v>
      </c>
      <c r="AQ138" s="177">
        <f t="shared" si="188"/>
        <v>0</v>
      </c>
      <c r="AR138" s="177">
        <f t="shared" si="188"/>
        <v>0</v>
      </c>
      <c r="AS138" s="177">
        <f t="shared" si="189"/>
        <v>0</v>
      </c>
      <c r="AT138" s="177">
        <f t="shared" si="174"/>
        <v>3137541075</v>
      </c>
      <c r="AU138" s="177">
        <f t="shared" si="175"/>
        <v>32749001</v>
      </c>
      <c r="AV138" s="177">
        <f t="shared" si="176"/>
        <v>2965873</v>
      </c>
      <c r="AW138" s="382">
        <f t="shared" si="177"/>
        <v>3173255949</v>
      </c>
    </row>
    <row r="139" spans="1:49">
      <c r="A139" s="170">
        <v>44287</v>
      </c>
      <c r="B139" s="378">
        <v>0</v>
      </c>
      <c r="C139" s="3">
        <v>0</v>
      </c>
      <c r="D139" s="3">
        <f t="shared" si="148"/>
        <v>0</v>
      </c>
      <c r="E139" s="3">
        <v>1121341351</v>
      </c>
      <c r="F139" s="3">
        <v>1040857</v>
      </c>
      <c r="G139" s="3">
        <f t="shared" si="149"/>
        <v>1122382208</v>
      </c>
      <c r="H139" s="3">
        <v>0</v>
      </c>
      <c r="I139" s="3">
        <v>0</v>
      </c>
      <c r="J139" s="3">
        <f t="shared" si="166"/>
        <v>0</v>
      </c>
      <c r="K139" s="3">
        <v>0</v>
      </c>
      <c r="L139" s="3">
        <v>14115637</v>
      </c>
      <c r="M139" s="3">
        <v>0</v>
      </c>
      <c r="N139" s="3">
        <f t="shared" si="167"/>
        <v>14115637</v>
      </c>
      <c r="O139" s="3">
        <v>0</v>
      </c>
      <c r="P139" s="3">
        <v>0</v>
      </c>
      <c r="Q139" s="3">
        <v>0</v>
      </c>
      <c r="R139" s="3">
        <f t="shared" si="168"/>
        <v>0</v>
      </c>
      <c r="S139" s="3">
        <v>0</v>
      </c>
      <c r="T139" s="3">
        <v>0</v>
      </c>
      <c r="U139" s="3">
        <f t="shared" si="169"/>
        <v>0</v>
      </c>
      <c r="V139" s="3">
        <f t="shared" si="170"/>
        <v>1121341351</v>
      </c>
      <c r="W139" s="3">
        <f t="shared" si="171"/>
        <v>14115637</v>
      </c>
      <c r="X139" s="3">
        <f t="shared" si="172"/>
        <v>1040857</v>
      </c>
      <c r="Y139" s="379">
        <f t="shared" si="173"/>
        <v>1136497845</v>
      </c>
      <c r="Z139" s="177">
        <f t="shared" si="178"/>
        <v>0</v>
      </c>
      <c r="AA139" s="177">
        <f t="shared" si="178"/>
        <v>0</v>
      </c>
      <c r="AB139" s="177">
        <f t="shared" si="179"/>
        <v>0</v>
      </c>
      <c r="AC139" s="177">
        <f t="shared" si="180"/>
        <v>4258882426</v>
      </c>
      <c r="AD139" s="177">
        <f t="shared" si="180"/>
        <v>4006730</v>
      </c>
      <c r="AE139" s="177">
        <f t="shared" si="181"/>
        <v>4262889156</v>
      </c>
      <c r="AF139" s="177">
        <f t="shared" si="182"/>
        <v>0</v>
      </c>
      <c r="AG139" s="177">
        <f t="shared" si="182"/>
        <v>0</v>
      </c>
      <c r="AH139" s="177">
        <f t="shared" si="183"/>
        <v>0</v>
      </c>
      <c r="AI139" s="177">
        <f t="shared" si="184"/>
        <v>0</v>
      </c>
      <c r="AJ139" s="177">
        <f t="shared" si="184"/>
        <v>46864638</v>
      </c>
      <c r="AK139" s="177">
        <f t="shared" si="184"/>
        <v>0</v>
      </c>
      <c r="AL139" s="177">
        <f t="shared" si="185"/>
        <v>46864638</v>
      </c>
      <c r="AM139" s="177">
        <f t="shared" si="186"/>
        <v>0</v>
      </c>
      <c r="AN139" s="177">
        <f t="shared" si="186"/>
        <v>0</v>
      </c>
      <c r="AO139" s="177">
        <f t="shared" si="186"/>
        <v>0</v>
      </c>
      <c r="AP139" s="177">
        <f t="shared" si="187"/>
        <v>0</v>
      </c>
      <c r="AQ139" s="177">
        <f t="shared" si="188"/>
        <v>0</v>
      </c>
      <c r="AR139" s="177">
        <f t="shared" si="188"/>
        <v>0</v>
      </c>
      <c r="AS139" s="177">
        <f t="shared" si="189"/>
        <v>0</v>
      </c>
      <c r="AT139" s="177">
        <f t="shared" si="174"/>
        <v>4258882426</v>
      </c>
      <c r="AU139" s="177">
        <f t="shared" si="175"/>
        <v>46864638</v>
      </c>
      <c r="AV139" s="177">
        <f t="shared" si="176"/>
        <v>4006730</v>
      </c>
      <c r="AW139" s="382">
        <f t="shared" si="177"/>
        <v>4309753794</v>
      </c>
    </row>
    <row r="140" spans="1:49">
      <c r="A140" s="170">
        <v>44317</v>
      </c>
      <c r="B140" s="378">
        <v>0</v>
      </c>
      <c r="C140" s="3">
        <v>0</v>
      </c>
      <c r="D140" s="3">
        <f t="shared" si="148"/>
        <v>0</v>
      </c>
      <c r="E140" s="3">
        <v>1249146048</v>
      </c>
      <c r="F140" s="3">
        <v>1121139</v>
      </c>
      <c r="G140" s="3">
        <f t="shared" si="149"/>
        <v>1250267187</v>
      </c>
      <c r="H140" s="3">
        <v>0</v>
      </c>
      <c r="I140" s="3">
        <v>0</v>
      </c>
      <c r="J140" s="3">
        <f t="shared" si="166"/>
        <v>0</v>
      </c>
      <c r="K140" s="3">
        <v>0</v>
      </c>
      <c r="L140" s="3">
        <v>12955798</v>
      </c>
      <c r="M140" s="3">
        <v>0</v>
      </c>
      <c r="N140" s="3">
        <f t="shared" si="167"/>
        <v>12955798</v>
      </c>
      <c r="O140" s="3">
        <v>0</v>
      </c>
      <c r="P140" s="3">
        <v>0</v>
      </c>
      <c r="Q140" s="3">
        <v>0</v>
      </c>
      <c r="R140" s="3">
        <f t="shared" si="168"/>
        <v>0</v>
      </c>
      <c r="S140" s="3">
        <v>0</v>
      </c>
      <c r="T140" s="3">
        <v>0</v>
      </c>
      <c r="U140" s="3">
        <f t="shared" si="169"/>
        <v>0</v>
      </c>
      <c r="V140" s="3">
        <f t="shared" si="170"/>
        <v>1249146048</v>
      </c>
      <c r="W140" s="3">
        <f t="shared" si="171"/>
        <v>12955798</v>
      </c>
      <c r="X140" s="3">
        <f t="shared" si="172"/>
        <v>1121139</v>
      </c>
      <c r="Y140" s="379">
        <f t="shared" si="173"/>
        <v>1263222985</v>
      </c>
      <c r="Z140" s="177">
        <f t="shared" si="178"/>
        <v>0</v>
      </c>
      <c r="AA140" s="177">
        <f t="shared" si="178"/>
        <v>0</v>
      </c>
      <c r="AB140" s="177">
        <f t="shared" si="179"/>
        <v>0</v>
      </c>
      <c r="AC140" s="177">
        <f t="shared" si="180"/>
        <v>5508028474</v>
      </c>
      <c r="AD140" s="177">
        <f t="shared" si="180"/>
        <v>5127869</v>
      </c>
      <c r="AE140" s="177">
        <f t="shared" si="181"/>
        <v>5513156343</v>
      </c>
      <c r="AF140" s="177">
        <f t="shared" si="182"/>
        <v>0</v>
      </c>
      <c r="AG140" s="177">
        <f t="shared" si="182"/>
        <v>0</v>
      </c>
      <c r="AH140" s="177">
        <f t="shared" si="183"/>
        <v>0</v>
      </c>
      <c r="AI140" s="177">
        <f t="shared" si="184"/>
        <v>0</v>
      </c>
      <c r="AJ140" s="177">
        <f t="shared" si="184"/>
        <v>59820436</v>
      </c>
      <c r="AK140" s="177">
        <f t="shared" si="184"/>
        <v>0</v>
      </c>
      <c r="AL140" s="177">
        <f t="shared" si="185"/>
        <v>59820436</v>
      </c>
      <c r="AM140" s="177">
        <f t="shared" si="186"/>
        <v>0</v>
      </c>
      <c r="AN140" s="177">
        <f t="shared" si="186"/>
        <v>0</v>
      </c>
      <c r="AO140" s="177">
        <f t="shared" si="186"/>
        <v>0</v>
      </c>
      <c r="AP140" s="177">
        <f t="shared" si="187"/>
        <v>0</v>
      </c>
      <c r="AQ140" s="177">
        <f t="shared" si="188"/>
        <v>0</v>
      </c>
      <c r="AR140" s="177">
        <f t="shared" si="188"/>
        <v>0</v>
      </c>
      <c r="AS140" s="177">
        <f t="shared" si="189"/>
        <v>0</v>
      </c>
      <c r="AT140" s="177">
        <f t="shared" si="174"/>
        <v>5508028474</v>
      </c>
      <c r="AU140" s="177">
        <f t="shared" si="175"/>
        <v>59820436</v>
      </c>
      <c r="AV140" s="177">
        <f t="shared" si="176"/>
        <v>5127869</v>
      </c>
      <c r="AW140" s="382">
        <f t="shared" si="177"/>
        <v>5572976779</v>
      </c>
    </row>
    <row r="141" spans="1:49">
      <c r="A141" s="170">
        <v>44348</v>
      </c>
      <c r="B141" s="378">
        <v>0</v>
      </c>
      <c r="C141" s="3">
        <v>0</v>
      </c>
      <c r="D141" s="3">
        <f t="shared" si="148"/>
        <v>0</v>
      </c>
      <c r="E141" s="3">
        <v>1253638702</v>
      </c>
      <c r="F141" s="3">
        <v>1197808</v>
      </c>
      <c r="G141" s="3">
        <f t="shared" si="149"/>
        <v>1254836510</v>
      </c>
      <c r="H141" s="3">
        <v>0</v>
      </c>
      <c r="I141" s="3">
        <v>0</v>
      </c>
      <c r="J141" s="3">
        <f t="shared" si="166"/>
        <v>0</v>
      </c>
      <c r="K141" s="3">
        <v>0</v>
      </c>
      <c r="L141" s="3">
        <v>15528134</v>
      </c>
      <c r="M141" s="3">
        <v>0</v>
      </c>
      <c r="N141" s="3">
        <f t="shared" si="167"/>
        <v>15528134</v>
      </c>
      <c r="O141" s="3">
        <v>0</v>
      </c>
      <c r="P141" s="3">
        <v>0</v>
      </c>
      <c r="Q141" s="3">
        <v>0</v>
      </c>
      <c r="R141" s="3">
        <f t="shared" si="168"/>
        <v>0</v>
      </c>
      <c r="S141" s="3">
        <v>0</v>
      </c>
      <c r="T141" s="3">
        <v>0</v>
      </c>
      <c r="U141" s="3">
        <f t="shared" si="169"/>
        <v>0</v>
      </c>
      <c r="V141" s="3">
        <f t="shared" si="170"/>
        <v>1253638702</v>
      </c>
      <c r="W141" s="3">
        <f t="shared" si="171"/>
        <v>15528134</v>
      </c>
      <c r="X141" s="3">
        <f t="shared" si="172"/>
        <v>1197808</v>
      </c>
      <c r="Y141" s="379">
        <f t="shared" si="173"/>
        <v>1270364644</v>
      </c>
      <c r="Z141" s="177">
        <f t="shared" si="178"/>
        <v>0</v>
      </c>
      <c r="AA141" s="177">
        <f t="shared" si="178"/>
        <v>0</v>
      </c>
      <c r="AB141" s="177">
        <f t="shared" si="179"/>
        <v>0</v>
      </c>
      <c r="AC141" s="177">
        <f t="shared" si="180"/>
        <v>6761667176</v>
      </c>
      <c r="AD141" s="177">
        <f t="shared" si="180"/>
        <v>6325677</v>
      </c>
      <c r="AE141" s="177">
        <f t="shared" si="181"/>
        <v>6767992853</v>
      </c>
      <c r="AF141" s="177">
        <f t="shared" si="182"/>
        <v>0</v>
      </c>
      <c r="AG141" s="177">
        <f t="shared" si="182"/>
        <v>0</v>
      </c>
      <c r="AH141" s="177">
        <f t="shared" si="183"/>
        <v>0</v>
      </c>
      <c r="AI141" s="177">
        <f t="shared" si="184"/>
        <v>0</v>
      </c>
      <c r="AJ141" s="177">
        <f t="shared" si="184"/>
        <v>75348570</v>
      </c>
      <c r="AK141" s="177">
        <f t="shared" si="184"/>
        <v>0</v>
      </c>
      <c r="AL141" s="177">
        <f t="shared" si="185"/>
        <v>75348570</v>
      </c>
      <c r="AM141" s="177">
        <f t="shared" si="186"/>
        <v>0</v>
      </c>
      <c r="AN141" s="177">
        <f t="shared" si="186"/>
        <v>0</v>
      </c>
      <c r="AO141" s="177">
        <f t="shared" si="186"/>
        <v>0</v>
      </c>
      <c r="AP141" s="177">
        <f t="shared" si="187"/>
        <v>0</v>
      </c>
      <c r="AQ141" s="177">
        <f t="shared" si="188"/>
        <v>0</v>
      </c>
      <c r="AR141" s="177">
        <f t="shared" si="188"/>
        <v>0</v>
      </c>
      <c r="AS141" s="177">
        <f t="shared" si="189"/>
        <v>0</v>
      </c>
      <c r="AT141" s="177">
        <f t="shared" si="174"/>
        <v>6761667176</v>
      </c>
      <c r="AU141" s="177">
        <f t="shared" si="175"/>
        <v>75348570</v>
      </c>
      <c r="AV141" s="177">
        <f t="shared" si="176"/>
        <v>6325677</v>
      </c>
      <c r="AW141" s="382">
        <f t="shared" si="177"/>
        <v>6843341423</v>
      </c>
    </row>
    <row r="142" spans="1:49">
      <c r="A142" s="170">
        <v>44378</v>
      </c>
      <c r="B142" s="378">
        <v>0</v>
      </c>
      <c r="C142" s="3">
        <v>0</v>
      </c>
      <c r="D142" s="3">
        <f t="shared" si="148"/>
        <v>0</v>
      </c>
      <c r="E142" s="3">
        <v>1272912460</v>
      </c>
      <c r="F142" s="3">
        <v>1270352</v>
      </c>
      <c r="G142" s="3">
        <f t="shared" si="149"/>
        <v>1274182812</v>
      </c>
      <c r="H142" s="3">
        <v>0</v>
      </c>
      <c r="I142" s="3">
        <v>0</v>
      </c>
      <c r="J142" s="3">
        <f t="shared" si="166"/>
        <v>0</v>
      </c>
      <c r="K142" s="3">
        <v>0</v>
      </c>
      <c r="L142" s="3">
        <v>505684</v>
      </c>
      <c r="M142" s="3">
        <v>0</v>
      </c>
      <c r="N142" s="3">
        <f t="shared" si="167"/>
        <v>505684</v>
      </c>
      <c r="O142" s="3">
        <v>0</v>
      </c>
      <c r="P142" s="3">
        <v>0</v>
      </c>
      <c r="Q142" s="3">
        <v>0</v>
      </c>
      <c r="R142" s="3">
        <f t="shared" si="168"/>
        <v>0</v>
      </c>
      <c r="S142" s="3">
        <v>0</v>
      </c>
      <c r="T142" s="3">
        <v>0</v>
      </c>
      <c r="U142" s="3">
        <f t="shared" si="169"/>
        <v>0</v>
      </c>
      <c r="V142" s="3">
        <f t="shared" si="170"/>
        <v>1272912460</v>
      </c>
      <c r="W142" s="3">
        <f t="shared" si="171"/>
        <v>505684</v>
      </c>
      <c r="X142" s="3">
        <f t="shared" si="172"/>
        <v>1270352</v>
      </c>
      <c r="Y142" s="379">
        <f t="shared" si="173"/>
        <v>1274688496</v>
      </c>
      <c r="Z142" s="177">
        <f t="shared" si="178"/>
        <v>0</v>
      </c>
      <c r="AA142" s="177">
        <f t="shared" si="178"/>
        <v>0</v>
      </c>
      <c r="AB142" s="177">
        <f t="shared" si="179"/>
        <v>0</v>
      </c>
      <c r="AC142" s="177">
        <f t="shared" si="180"/>
        <v>8034579636</v>
      </c>
      <c r="AD142" s="177">
        <f t="shared" si="180"/>
        <v>7596029</v>
      </c>
      <c r="AE142" s="177">
        <f t="shared" si="181"/>
        <v>8042175665</v>
      </c>
      <c r="AF142" s="177">
        <f t="shared" si="182"/>
        <v>0</v>
      </c>
      <c r="AG142" s="177">
        <f t="shared" si="182"/>
        <v>0</v>
      </c>
      <c r="AH142" s="177">
        <f t="shared" si="183"/>
        <v>0</v>
      </c>
      <c r="AI142" s="177">
        <f t="shared" si="184"/>
        <v>0</v>
      </c>
      <c r="AJ142" s="177">
        <f t="shared" si="184"/>
        <v>75854254</v>
      </c>
      <c r="AK142" s="177">
        <f t="shared" si="184"/>
        <v>0</v>
      </c>
      <c r="AL142" s="177">
        <f t="shared" si="185"/>
        <v>75854254</v>
      </c>
      <c r="AM142" s="177">
        <f t="shared" si="186"/>
        <v>0</v>
      </c>
      <c r="AN142" s="177">
        <f t="shared" si="186"/>
        <v>0</v>
      </c>
      <c r="AO142" s="177">
        <f t="shared" si="186"/>
        <v>0</v>
      </c>
      <c r="AP142" s="177">
        <f t="shared" si="187"/>
        <v>0</v>
      </c>
      <c r="AQ142" s="177">
        <f t="shared" si="188"/>
        <v>0</v>
      </c>
      <c r="AR142" s="177">
        <f t="shared" si="188"/>
        <v>0</v>
      </c>
      <c r="AS142" s="177">
        <f t="shared" si="189"/>
        <v>0</v>
      </c>
      <c r="AT142" s="177">
        <f t="shared" si="174"/>
        <v>8034579636</v>
      </c>
      <c r="AU142" s="177">
        <f t="shared" si="175"/>
        <v>75854254</v>
      </c>
      <c r="AV142" s="177">
        <f t="shared" si="176"/>
        <v>7596029</v>
      </c>
      <c r="AW142" s="382">
        <f t="shared" si="177"/>
        <v>8118029919</v>
      </c>
    </row>
    <row r="143" spans="1:49">
      <c r="A143" s="170">
        <v>44409</v>
      </c>
      <c r="B143" s="378">
        <v>0</v>
      </c>
      <c r="C143" s="3">
        <v>0</v>
      </c>
      <c r="D143" s="3">
        <f t="shared" si="148"/>
        <v>0</v>
      </c>
      <c r="E143" s="3">
        <v>1211315327</v>
      </c>
      <c r="F143" s="3">
        <v>958375</v>
      </c>
      <c r="G143" s="3">
        <f t="shared" si="149"/>
        <v>1212273702</v>
      </c>
      <c r="H143" s="3">
        <v>0</v>
      </c>
      <c r="I143" s="3">
        <v>0</v>
      </c>
      <c r="J143" s="3">
        <f t="shared" si="166"/>
        <v>0</v>
      </c>
      <c r="K143" s="3">
        <v>0</v>
      </c>
      <c r="L143" s="3">
        <v>4517556</v>
      </c>
      <c r="M143" s="3">
        <v>0</v>
      </c>
      <c r="N143" s="3">
        <f t="shared" si="167"/>
        <v>4517556</v>
      </c>
      <c r="O143" s="3">
        <v>0</v>
      </c>
      <c r="P143" s="3">
        <v>0</v>
      </c>
      <c r="Q143" s="3">
        <v>0</v>
      </c>
      <c r="R143" s="3">
        <f t="shared" si="168"/>
        <v>0</v>
      </c>
      <c r="S143" s="3">
        <v>0</v>
      </c>
      <c r="T143" s="3">
        <v>0</v>
      </c>
      <c r="U143" s="3">
        <f t="shared" si="169"/>
        <v>0</v>
      </c>
      <c r="V143" s="3">
        <f t="shared" si="170"/>
        <v>1211315327</v>
      </c>
      <c r="W143" s="3">
        <f t="shared" si="171"/>
        <v>4517556</v>
      </c>
      <c r="X143" s="3">
        <f t="shared" si="172"/>
        <v>958375</v>
      </c>
      <c r="Y143" s="379">
        <f t="shared" si="173"/>
        <v>1216791258</v>
      </c>
      <c r="Z143" s="177">
        <f t="shared" si="178"/>
        <v>0</v>
      </c>
      <c r="AA143" s="177">
        <f t="shared" si="178"/>
        <v>0</v>
      </c>
      <c r="AB143" s="177">
        <f t="shared" si="179"/>
        <v>0</v>
      </c>
      <c r="AC143" s="177">
        <f t="shared" si="180"/>
        <v>9245894963</v>
      </c>
      <c r="AD143" s="177">
        <f t="shared" si="180"/>
        <v>8554404</v>
      </c>
      <c r="AE143" s="177">
        <f t="shared" si="181"/>
        <v>9254449367</v>
      </c>
      <c r="AF143" s="177">
        <f t="shared" si="182"/>
        <v>0</v>
      </c>
      <c r="AG143" s="177">
        <f t="shared" si="182"/>
        <v>0</v>
      </c>
      <c r="AH143" s="177">
        <f t="shared" si="183"/>
        <v>0</v>
      </c>
      <c r="AI143" s="177">
        <f t="shared" si="184"/>
        <v>0</v>
      </c>
      <c r="AJ143" s="177">
        <f t="shared" si="184"/>
        <v>80371810</v>
      </c>
      <c r="AK143" s="177">
        <f t="shared" si="184"/>
        <v>0</v>
      </c>
      <c r="AL143" s="177">
        <f t="shared" si="185"/>
        <v>80371810</v>
      </c>
      <c r="AM143" s="177">
        <f t="shared" si="186"/>
        <v>0</v>
      </c>
      <c r="AN143" s="177">
        <f t="shared" si="186"/>
        <v>0</v>
      </c>
      <c r="AO143" s="177">
        <f t="shared" si="186"/>
        <v>0</v>
      </c>
      <c r="AP143" s="177">
        <f t="shared" si="187"/>
        <v>0</v>
      </c>
      <c r="AQ143" s="177">
        <f t="shared" si="188"/>
        <v>0</v>
      </c>
      <c r="AR143" s="177">
        <f t="shared" si="188"/>
        <v>0</v>
      </c>
      <c r="AS143" s="177">
        <f t="shared" si="189"/>
        <v>0</v>
      </c>
      <c r="AT143" s="177">
        <f t="shared" si="174"/>
        <v>9245894963</v>
      </c>
      <c r="AU143" s="177">
        <f t="shared" si="175"/>
        <v>80371810</v>
      </c>
      <c r="AV143" s="177">
        <f t="shared" si="176"/>
        <v>8554404</v>
      </c>
      <c r="AW143" s="382">
        <f t="shared" si="177"/>
        <v>9334821177</v>
      </c>
    </row>
    <row r="144" spans="1:49">
      <c r="A144" s="170">
        <v>44440</v>
      </c>
      <c r="B144" s="378">
        <v>0</v>
      </c>
      <c r="C144" s="3">
        <v>0</v>
      </c>
      <c r="D144" s="3">
        <f t="shared" si="148"/>
        <v>0</v>
      </c>
      <c r="E144" s="3">
        <v>1149352972</v>
      </c>
      <c r="F144" s="3">
        <v>1217879</v>
      </c>
      <c r="G144" s="3">
        <f t="shared" si="149"/>
        <v>1150570851</v>
      </c>
      <c r="H144" s="3">
        <v>0</v>
      </c>
      <c r="I144" s="3">
        <v>0</v>
      </c>
      <c r="J144" s="3">
        <f t="shared" si="166"/>
        <v>0</v>
      </c>
      <c r="K144" s="3">
        <v>0</v>
      </c>
      <c r="L144" s="3">
        <v>12198324</v>
      </c>
      <c r="M144" s="3">
        <v>0</v>
      </c>
      <c r="N144" s="3">
        <f t="shared" si="167"/>
        <v>12198324</v>
      </c>
      <c r="O144" s="3">
        <v>0</v>
      </c>
      <c r="P144" s="3">
        <v>0</v>
      </c>
      <c r="Q144" s="3">
        <v>0</v>
      </c>
      <c r="R144" s="3">
        <f t="shared" si="168"/>
        <v>0</v>
      </c>
      <c r="S144" s="3">
        <v>0</v>
      </c>
      <c r="T144" s="3">
        <v>0</v>
      </c>
      <c r="U144" s="3">
        <f t="shared" si="169"/>
        <v>0</v>
      </c>
      <c r="V144" s="3">
        <f t="shared" si="170"/>
        <v>1149352972</v>
      </c>
      <c r="W144" s="3">
        <f t="shared" si="171"/>
        <v>12198324</v>
      </c>
      <c r="X144" s="3">
        <f t="shared" si="172"/>
        <v>1217879</v>
      </c>
      <c r="Y144" s="379">
        <f t="shared" si="173"/>
        <v>1162769175</v>
      </c>
      <c r="Z144" s="177">
        <f t="shared" si="178"/>
        <v>0</v>
      </c>
      <c r="AA144" s="177">
        <f t="shared" si="178"/>
        <v>0</v>
      </c>
      <c r="AB144" s="177">
        <f t="shared" si="179"/>
        <v>0</v>
      </c>
      <c r="AC144" s="177">
        <f t="shared" si="180"/>
        <v>10395247935</v>
      </c>
      <c r="AD144" s="177">
        <f t="shared" si="180"/>
        <v>9772283</v>
      </c>
      <c r="AE144" s="177">
        <f t="shared" si="181"/>
        <v>10405020218</v>
      </c>
      <c r="AF144" s="177">
        <f t="shared" si="182"/>
        <v>0</v>
      </c>
      <c r="AG144" s="177">
        <f t="shared" si="182"/>
        <v>0</v>
      </c>
      <c r="AH144" s="177">
        <f t="shared" si="183"/>
        <v>0</v>
      </c>
      <c r="AI144" s="177">
        <f t="shared" si="184"/>
        <v>0</v>
      </c>
      <c r="AJ144" s="177">
        <f t="shared" si="184"/>
        <v>92570134</v>
      </c>
      <c r="AK144" s="177">
        <f t="shared" si="184"/>
        <v>0</v>
      </c>
      <c r="AL144" s="177">
        <f t="shared" si="185"/>
        <v>92570134</v>
      </c>
      <c r="AM144" s="177">
        <f t="shared" si="186"/>
        <v>0</v>
      </c>
      <c r="AN144" s="177">
        <f t="shared" si="186"/>
        <v>0</v>
      </c>
      <c r="AO144" s="177">
        <f t="shared" si="186"/>
        <v>0</v>
      </c>
      <c r="AP144" s="177">
        <f t="shared" si="187"/>
        <v>0</v>
      </c>
      <c r="AQ144" s="177">
        <f t="shared" si="188"/>
        <v>0</v>
      </c>
      <c r="AR144" s="177">
        <f t="shared" si="188"/>
        <v>0</v>
      </c>
      <c r="AS144" s="177">
        <f t="shared" si="189"/>
        <v>0</v>
      </c>
      <c r="AT144" s="177">
        <f t="shared" si="174"/>
        <v>10395247935</v>
      </c>
      <c r="AU144" s="177">
        <f t="shared" si="175"/>
        <v>92570134</v>
      </c>
      <c r="AV144" s="177">
        <f t="shared" si="176"/>
        <v>9772283</v>
      </c>
      <c r="AW144" s="382">
        <f t="shared" si="177"/>
        <v>10497590352</v>
      </c>
    </row>
    <row r="145" spans="1:53">
      <c r="A145" s="170">
        <v>44470</v>
      </c>
      <c r="B145" s="378">
        <v>0</v>
      </c>
      <c r="C145" s="3">
        <v>0</v>
      </c>
      <c r="D145" s="3">
        <f t="shared" si="148"/>
        <v>0</v>
      </c>
      <c r="E145" s="3">
        <v>1183784629</v>
      </c>
      <c r="F145" s="3">
        <v>1225091</v>
      </c>
      <c r="G145" s="3">
        <f t="shared" si="149"/>
        <v>1185009720</v>
      </c>
      <c r="H145" s="3">
        <v>0</v>
      </c>
      <c r="I145" s="3">
        <v>0</v>
      </c>
      <c r="J145" s="3">
        <f t="shared" si="166"/>
        <v>0</v>
      </c>
      <c r="K145" s="3">
        <v>0</v>
      </c>
      <c r="L145" s="3">
        <v>18198451</v>
      </c>
      <c r="M145" s="3">
        <v>0</v>
      </c>
      <c r="N145" s="3">
        <f t="shared" si="167"/>
        <v>18198451</v>
      </c>
      <c r="O145" s="3">
        <v>0</v>
      </c>
      <c r="P145" s="3">
        <v>0</v>
      </c>
      <c r="Q145" s="3">
        <v>0</v>
      </c>
      <c r="R145" s="3">
        <f t="shared" si="168"/>
        <v>0</v>
      </c>
      <c r="S145" s="3">
        <v>0</v>
      </c>
      <c r="T145" s="3">
        <v>0</v>
      </c>
      <c r="U145" s="3">
        <f t="shared" si="169"/>
        <v>0</v>
      </c>
      <c r="V145" s="3">
        <f t="shared" si="170"/>
        <v>1183784629</v>
      </c>
      <c r="W145" s="3">
        <f t="shared" si="171"/>
        <v>18198451</v>
      </c>
      <c r="X145" s="3">
        <f t="shared" si="172"/>
        <v>1225091</v>
      </c>
      <c r="Y145" s="379">
        <f t="shared" si="173"/>
        <v>1203208171</v>
      </c>
      <c r="Z145" s="177">
        <f t="shared" si="178"/>
        <v>0</v>
      </c>
      <c r="AA145" s="177">
        <f t="shared" si="178"/>
        <v>0</v>
      </c>
      <c r="AB145" s="177">
        <f t="shared" si="179"/>
        <v>0</v>
      </c>
      <c r="AC145" s="177">
        <f t="shared" si="180"/>
        <v>11579032564</v>
      </c>
      <c r="AD145" s="177">
        <f t="shared" si="180"/>
        <v>10997374</v>
      </c>
      <c r="AE145" s="177">
        <f t="shared" si="181"/>
        <v>11590029938</v>
      </c>
      <c r="AF145" s="177">
        <f t="shared" si="182"/>
        <v>0</v>
      </c>
      <c r="AG145" s="177">
        <f t="shared" si="182"/>
        <v>0</v>
      </c>
      <c r="AH145" s="177">
        <f t="shared" si="183"/>
        <v>0</v>
      </c>
      <c r="AI145" s="177">
        <f t="shared" si="184"/>
        <v>0</v>
      </c>
      <c r="AJ145" s="177">
        <f t="shared" si="184"/>
        <v>110768585</v>
      </c>
      <c r="AK145" s="177">
        <f t="shared" si="184"/>
        <v>0</v>
      </c>
      <c r="AL145" s="177">
        <f t="shared" si="185"/>
        <v>110768585</v>
      </c>
      <c r="AM145" s="177">
        <f t="shared" si="186"/>
        <v>0</v>
      </c>
      <c r="AN145" s="177">
        <f t="shared" si="186"/>
        <v>0</v>
      </c>
      <c r="AO145" s="177">
        <f t="shared" si="186"/>
        <v>0</v>
      </c>
      <c r="AP145" s="177">
        <f t="shared" si="187"/>
        <v>0</v>
      </c>
      <c r="AQ145" s="177">
        <f t="shared" si="188"/>
        <v>0</v>
      </c>
      <c r="AR145" s="177">
        <f t="shared" si="188"/>
        <v>0</v>
      </c>
      <c r="AS145" s="177">
        <f t="shared" si="189"/>
        <v>0</v>
      </c>
      <c r="AT145" s="177">
        <f t="shared" si="174"/>
        <v>11579032564</v>
      </c>
      <c r="AU145" s="177">
        <f t="shared" si="175"/>
        <v>110768585</v>
      </c>
      <c r="AV145" s="177">
        <f t="shared" si="176"/>
        <v>10997374</v>
      </c>
      <c r="AW145" s="382">
        <f t="shared" si="177"/>
        <v>11700798523</v>
      </c>
    </row>
    <row r="146" spans="1:53">
      <c r="A146" s="170">
        <v>44501</v>
      </c>
      <c r="B146" s="378">
        <v>0</v>
      </c>
      <c r="C146" s="3">
        <v>0</v>
      </c>
      <c r="D146" s="3">
        <f t="shared" si="148"/>
        <v>0</v>
      </c>
      <c r="E146" s="3">
        <v>1240293203</v>
      </c>
      <c r="F146" s="3">
        <v>1184651</v>
      </c>
      <c r="G146" s="3">
        <f t="shared" si="149"/>
        <v>1241477854</v>
      </c>
      <c r="H146" s="3">
        <v>0</v>
      </c>
      <c r="I146" s="3">
        <v>0</v>
      </c>
      <c r="J146" s="3">
        <f t="shared" si="166"/>
        <v>0</v>
      </c>
      <c r="K146" s="3">
        <v>0</v>
      </c>
      <c r="L146" s="3">
        <v>16179027</v>
      </c>
      <c r="M146" s="3">
        <v>0</v>
      </c>
      <c r="N146" s="3">
        <f t="shared" si="167"/>
        <v>16179027</v>
      </c>
      <c r="O146" s="3">
        <v>0</v>
      </c>
      <c r="P146" s="3">
        <v>0</v>
      </c>
      <c r="Q146" s="3">
        <v>0</v>
      </c>
      <c r="R146" s="3">
        <f t="shared" si="168"/>
        <v>0</v>
      </c>
      <c r="S146" s="3">
        <v>0</v>
      </c>
      <c r="T146" s="3">
        <v>0</v>
      </c>
      <c r="U146" s="3">
        <f t="shared" si="169"/>
        <v>0</v>
      </c>
      <c r="V146" s="3">
        <f t="shared" si="170"/>
        <v>1240293203</v>
      </c>
      <c r="W146" s="3">
        <f t="shared" si="171"/>
        <v>16179027</v>
      </c>
      <c r="X146" s="3">
        <f t="shared" si="172"/>
        <v>1184651</v>
      </c>
      <c r="Y146" s="379">
        <f t="shared" si="173"/>
        <v>1257656881</v>
      </c>
      <c r="Z146" s="177">
        <f t="shared" si="178"/>
        <v>0</v>
      </c>
      <c r="AA146" s="177">
        <f t="shared" si="178"/>
        <v>0</v>
      </c>
      <c r="AB146" s="177">
        <f t="shared" si="179"/>
        <v>0</v>
      </c>
      <c r="AC146" s="177">
        <f t="shared" si="180"/>
        <v>12819325767</v>
      </c>
      <c r="AD146" s="177">
        <f t="shared" si="180"/>
        <v>12182025</v>
      </c>
      <c r="AE146" s="177">
        <f t="shared" si="181"/>
        <v>12831507792</v>
      </c>
      <c r="AF146" s="177">
        <f t="shared" si="182"/>
        <v>0</v>
      </c>
      <c r="AG146" s="177">
        <f t="shared" si="182"/>
        <v>0</v>
      </c>
      <c r="AH146" s="177">
        <f t="shared" si="183"/>
        <v>0</v>
      </c>
      <c r="AI146" s="177">
        <f t="shared" si="184"/>
        <v>0</v>
      </c>
      <c r="AJ146" s="177">
        <f t="shared" si="184"/>
        <v>126947612</v>
      </c>
      <c r="AK146" s="177">
        <f t="shared" si="184"/>
        <v>0</v>
      </c>
      <c r="AL146" s="177">
        <f t="shared" si="185"/>
        <v>126947612</v>
      </c>
      <c r="AM146" s="177">
        <f t="shared" si="186"/>
        <v>0</v>
      </c>
      <c r="AN146" s="177">
        <f t="shared" si="186"/>
        <v>0</v>
      </c>
      <c r="AO146" s="177">
        <f t="shared" si="186"/>
        <v>0</v>
      </c>
      <c r="AP146" s="177">
        <f t="shared" si="187"/>
        <v>0</v>
      </c>
      <c r="AQ146" s="177">
        <f t="shared" si="188"/>
        <v>0</v>
      </c>
      <c r="AR146" s="177">
        <f t="shared" si="188"/>
        <v>0</v>
      </c>
      <c r="AS146" s="177">
        <f t="shared" si="189"/>
        <v>0</v>
      </c>
      <c r="AT146" s="177">
        <f t="shared" si="174"/>
        <v>12819325767</v>
      </c>
      <c r="AU146" s="177">
        <f t="shared" si="175"/>
        <v>126947612</v>
      </c>
      <c r="AV146" s="177">
        <f t="shared" si="176"/>
        <v>12182025</v>
      </c>
      <c r="AW146" s="382">
        <f t="shared" si="177"/>
        <v>12958455404</v>
      </c>
    </row>
    <row r="147" spans="1:53" ht="15.75" thickBot="1">
      <c r="A147" s="170">
        <v>44531</v>
      </c>
      <c r="B147" s="378">
        <v>0</v>
      </c>
      <c r="C147" s="3">
        <v>0</v>
      </c>
      <c r="D147" s="3">
        <f t="shared" si="148"/>
        <v>0</v>
      </c>
      <c r="E147" s="3">
        <v>1290850653</v>
      </c>
      <c r="F147" s="3">
        <v>1245454</v>
      </c>
      <c r="G147" s="3">
        <f t="shared" si="149"/>
        <v>1292096107</v>
      </c>
      <c r="H147" s="3">
        <v>0</v>
      </c>
      <c r="I147" s="3">
        <v>0</v>
      </c>
      <c r="J147" s="3">
        <f t="shared" si="166"/>
        <v>0</v>
      </c>
      <c r="K147" s="3">
        <v>0</v>
      </c>
      <c r="L147" s="3">
        <v>7722965</v>
      </c>
      <c r="M147" s="3">
        <v>0</v>
      </c>
      <c r="N147" s="3">
        <f t="shared" si="167"/>
        <v>7722965</v>
      </c>
      <c r="O147" s="3">
        <v>0</v>
      </c>
      <c r="P147" s="3">
        <v>0</v>
      </c>
      <c r="Q147" s="3">
        <v>0</v>
      </c>
      <c r="R147" s="3">
        <f t="shared" si="168"/>
        <v>0</v>
      </c>
      <c r="S147" s="3">
        <v>0</v>
      </c>
      <c r="T147" s="3">
        <v>0</v>
      </c>
      <c r="U147" s="3">
        <f t="shared" si="169"/>
        <v>0</v>
      </c>
      <c r="V147" s="3">
        <f t="shared" si="170"/>
        <v>1290850653</v>
      </c>
      <c r="W147" s="3">
        <f t="shared" si="171"/>
        <v>7722965</v>
      </c>
      <c r="X147" s="3">
        <f t="shared" si="172"/>
        <v>1245454</v>
      </c>
      <c r="Y147" s="379">
        <f t="shared" si="173"/>
        <v>1299819072</v>
      </c>
      <c r="Z147" s="177">
        <f t="shared" si="178"/>
        <v>0</v>
      </c>
      <c r="AA147" s="177">
        <f t="shared" si="178"/>
        <v>0</v>
      </c>
      <c r="AB147" s="177">
        <f t="shared" si="179"/>
        <v>0</v>
      </c>
      <c r="AC147" s="177">
        <f t="shared" si="180"/>
        <v>14110176420</v>
      </c>
      <c r="AD147" s="177">
        <f t="shared" si="180"/>
        <v>13427479</v>
      </c>
      <c r="AE147" s="177">
        <f t="shared" si="181"/>
        <v>14123603899</v>
      </c>
      <c r="AF147" s="177">
        <f t="shared" si="182"/>
        <v>0</v>
      </c>
      <c r="AG147" s="177">
        <f t="shared" si="182"/>
        <v>0</v>
      </c>
      <c r="AH147" s="177">
        <f t="shared" si="183"/>
        <v>0</v>
      </c>
      <c r="AI147" s="177">
        <f t="shared" si="184"/>
        <v>0</v>
      </c>
      <c r="AJ147" s="177">
        <f t="shared" si="184"/>
        <v>134670577</v>
      </c>
      <c r="AK147" s="177">
        <f t="shared" si="184"/>
        <v>0</v>
      </c>
      <c r="AL147" s="177">
        <f>AK147+AJ147+AI147</f>
        <v>134670577</v>
      </c>
      <c r="AM147" s="177">
        <f>AM146+O147</f>
        <v>0</v>
      </c>
      <c r="AN147" s="177">
        <f>AN146+P147</f>
        <v>0</v>
      </c>
      <c r="AO147" s="177">
        <f>AO146+Q147</f>
        <v>0</v>
      </c>
      <c r="AP147" s="177">
        <f t="shared" si="187"/>
        <v>0</v>
      </c>
      <c r="AQ147" s="177">
        <f t="shared" si="188"/>
        <v>0</v>
      </c>
      <c r="AR147" s="177">
        <f t="shared" si="188"/>
        <v>0</v>
      </c>
      <c r="AS147" s="177">
        <f t="shared" si="189"/>
        <v>0</v>
      </c>
      <c r="AT147" s="177">
        <f t="shared" si="174"/>
        <v>14110176420</v>
      </c>
      <c r="AU147" s="177">
        <f t="shared" si="175"/>
        <v>134670577</v>
      </c>
      <c r="AV147" s="177">
        <f t="shared" si="176"/>
        <v>13427479</v>
      </c>
      <c r="AW147" s="382">
        <f t="shared" si="177"/>
        <v>14258274476</v>
      </c>
    </row>
    <row r="148" spans="1:53">
      <c r="A148" s="171">
        <v>44562</v>
      </c>
      <c r="B148" s="385">
        <v>0</v>
      </c>
      <c r="C148" s="104">
        <v>0</v>
      </c>
      <c r="D148" s="104">
        <f t="shared" si="148"/>
        <v>0</v>
      </c>
      <c r="E148" s="104">
        <v>1206124523</v>
      </c>
      <c r="F148" s="104">
        <v>1073173</v>
      </c>
      <c r="G148" s="104">
        <f t="shared" si="149"/>
        <v>1207197696</v>
      </c>
      <c r="H148" s="104">
        <v>0</v>
      </c>
      <c r="I148" s="104">
        <v>0</v>
      </c>
      <c r="J148" s="104">
        <f t="shared" si="166"/>
        <v>0</v>
      </c>
      <c r="K148" s="104">
        <v>0</v>
      </c>
      <c r="L148" s="104">
        <v>5684758</v>
      </c>
      <c r="M148" s="104">
        <v>0</v>
      </c>
      <c r="N148" s="104">
        <f t="shared" si="167"/>
        <v>5684758</v>
      </c>
      <c r="O148" s="104">
        <v>0</v>
      </c>
      <c r="P148" s="104">
        <v>0</v>
      </c>
      <c r="Q148" s="104">
        <v>0</v>
      </c>
      <c r="R148" s="104">
        <f t="shared" si="168"/>
        <v>0</v>
      </c>
      <c r="S148" s="104">
        <v>0</v>
      </c>
      <c r="T148" s="104">
        <v>0</v>
      </c>
      <c r="U148" s="104">
        <f t="shared" si="169"/>
        <v>0</v>
      </c>
      <c r="V148" s="104">
        <f t="shared" si="170"/>
        <v>1206124523</v>
      </c>
      <c r="W148" s="104">
        <f t="shared" si="171"/>
        <v>5684758</v>
      </c>
      <c r="X148" s="104">
        <f t="shared" si="172"/>
        <v>1073173</v>
      </c>
      <c r="Y148" s="386">
        <f t="shared" si="173"/>
        <v>1212882454</v>
      </c>
      <c r="Z148" s="389">
        <f>B148</f>
        <v>0</v>
      </c>
      <c r="AA148" s="389">
        <f>C148</f>
        <v>0</v>
      </c>
      <c r="AB148" s="389">
        <f>AA148+Z148</f>
        <v>0</v>
      </c>
      <c r="AC148" s="389">
        <f>E148</f>
        <v>1206124523</v>
      </c>
      <c r="AD148" s="389">
        <f>F148</f>
        <v>1073173</v>
      </c>
      <c r="AE148" s="389">
        <f>AD148+AC148</f>
        <v>1207197696</v>
      </c>
      <c r="AF148" s="389">
        <f>H148</f>
        <v>0</v>
      </c>
      <c r="AG148" s="389">
        <f>I148</f>
        <v>0</v>
      </c>
      <c r="AH148" s="389">
        <f>AG148+AF148</f>
        <v>0</v>
      </c>
      <c r="AI148" s="389">
        <f>K148</f>
        <v>0</v>
      </c>
      <c r="AJ148" s="389">
        <f>L148</f>
        <v>5684758</v>
      </c>
      <c r="AK148" s="389">
        <f>M148</f>
        <v>0</v>
      </c>
      <c r="AL148" s="389">
        <f>AK148+AJ148+AI148</f>
        <v>5684758</v>
      </c>
      <c r="AM148" s="389">
        <f>O148</f>
        <v>0</v>
      </c>
      <c r="AN148" s="389">
        <f>P148</f>
        <v>0</v>
      </c>
      <c r="AO148" s="389">
        <f>Q148</f>
        <v>0</v>
      </c>
      <c r="AP148" s="389">
        <f>AO148+AN148+AM148</f>
        <v>0</v>
      </c>
      <c r="AQ148" s="389">
        <f>S148</f>
        <v>0</v>
      </c>
      <c r="AR148" s="389">
        <f>T148</f>
        <v>0</v>
      </c>
      <c r="AS148" s="389">
        <f>AR148+AQ148</f>
        <v>0</v>
      </c>
      <c r="AT148" s="389">
        <f t="shared" si="174"/>
        <v>1206124523</v>
      </c>
      <c r="AU148" s="389">
        <f t="shared" si="175"/>
        <v>5684758</v>
      </c>
      <c r="AV148" s="389">
        <f t="shared" si="176"/>
        <v>1073173</v>
      </c>
      <c r="AW148" s="390">
        <f t="shared" si="177"/>
        <v>1212882454</v>
      </c>
      <c r="AX148" s="172">
        <f t="shared" ref="AX148:BA171" si="190">AT148/AT136-1</f>
        <v>0.12450577316574218</v>
      </c>
      <c r="AY148" s="172">
        <f t="shared" si="190"/>
        <v>-1.6851779850708404E-3</v>
      </c>
      <c r="AZ148" s="172">
        <f t="shared" si="190"/>
        <v>6.379036894589718E-2</v>
      </c>
      <c r="BA148" s="172">
        <f t="shared" si="190"/>
        <v>0.12378323294867077</v>
      </c>
    </row>
    <row r="149" spans="1:53">
      <c r="A149" s="170">
        <v>44593</v>
      </c>
      <c r="B149" s="378">
        <v>0</v>
      </c>
      <c r="C149" s="3">
        <v>0</v>
      </c>
      <c r="D149" s="3">
        <f t="shared" si="148"/>
        <v>0</v>
      </c>
      <c r="E149" s="3">
        <v>1062372386</v>
      </c>
      <c r="F149" s="3">
        <v>988951</v>
      </c>
      <c r="G149" s="3">
        <f t="shared" si="149"/>
        <v>1063361337</v>
      </c>
      <c r="H149" s="3">
        <v>0</v>
      </c>
      <c r="I149" s="3">
        <v>0</v>
      </c>
      <c r="J149" s="3">
        <f t="shared" si="166"/>
        <v>0</v>
      </c>
      <c r="K149" s="3">
        <v>0</v>
      </c>
      <c r="L149" s="3">
        <v>6625390</v>
      </c>
      <c r="M149" s="3">
        <v>0</v>
      </c>
      <c r="N149" s="3">
        <f t="shared" si="167"/>
        <v>6625390</v>
      </c>
      <c r="O149" s="3">
        <v>0</v>
      </c>
      <c r="P149" s="3">
        <v>0</v>
      </c>
      <c r="Q149" s="3">
        <v>0</v>
      </c>
      <c r="R149" s="3">
        <f t="shared" si="168"/>
        <v>0</v>
      </c>
      <c r="S149" s="3">
        <v>0</v>
      </c>
      <c r="T149" s="3">
        <v>0</v>
      </c>
      <c r="U149" s="3">
        <f t="shared" si="169"/>
        <v>0</v>
      </c>
      <c r="V149" s="3">
        <f t="shared" si="170"/>
        <v>1062372386</v>
      </c>
      <c r="W149" s="3">
        <f t="shared" si="171"/>
        <v>6625390</v>
      </c>
      <c r="X149" s="3">
        <f t="shared" si="172"/>
        <v>988951</v>
      </c>
      <c r="Y149" s="379">
        <f t="shared" si="173"/>
        <v>1069986727</v>
      </c>
      <c r="Z149" s="177">
        <f t="shared" ref="Z149:AA159" si="191">Z148+B149</f>
        <v>0</v>
      </c>
      <c r="AA149" s="177">
        <f t="shared" si="191"/>
        <v>0</v>
      </c>
      <c r="AB149" s="177">
        <f t="shared" ref="AB149:AB159" si="192">AA149+Z149</f>
        <v>0</v>
      </c>
      <c r="AC149" s="177">
        <f t="shared" ref="AC149:AD159" si="193">AC148+E149</f>
        <v>2268496909</v>
      </c>
      <c r="AD149" s="177">
        <f t="shared" si="193"/>
        <v>2062124</v>
      </c>
      <c r="AE149" s="177">
        <f t="shared" ref="AE149:AE159" si="194">AD149+AC149</f>
        <v>2270559033</v>
      </c>
      <c r="AF149" s="177">
        <f t="shared" ref="AF149:AG159" si="195">AF148+H149</f>
        <v>0</v>
      </c>
      <c r="AG149" s="177">
        <f t="shared" si="195"/>
        <v>0</v>
      </c>
      <c r="AH149" s="177">
        <f t="shared" ref="AH149:AH159" si="196">AG149+AF149</f>
        <v>0</v>
      </c>
      <c r="AI149" s="177">
        <f t="shared" ref="AI149:AK159" si="197">AI148+K149</f>
        <v>0</v>
      </c>
      <c r="AJ149" s="177">
        <f t="shared" si="197"/>
        <v>12310148</v>
      </c>
      <c r="AK149" s="177">
        <f t="shared" si="197"/>
        <v>0</v>
      </c>
      <c r="AL149" s="177">
        <f t="shared" ref="AL149:AL158" si="198">AK149+AJ149+AI149</f>
        <v>12310148</v>
      </c>
      <c r="AM149" s="177">
        <f t="shared" ref="AM149:AO158" si="199">AM148+O149</f>
        <v>0</v>
      </c>
      <c r="AN149" s="177">
        <f t="shared" si="199"/>
        <v>0</v>
      </c>
      <c r="AO149" s="177">
        <f t="shared" si="199"/>
        <v>0</v>
      </c>
      <c r="AP149" s="177">
        <f t="shared" ref="AP149:AP159" si="200">AO149+AN149+AM149</f>
        <v>0</v>
      </c>
      <c r="AQ149" s="177">
        <f t="shared" ref="AQ149:AR159" si="201">AQ148+S149</f>
        <v>0</v>
      </c>
      <c r="AR149" s="177">
        <f t="shared" si="201"/>
        <v>0</v>
      </c>
      <c r="AS149" s="177">
        <f t="shared" ref="AS149:AS159" si="202">AR149+AQ149</f>
        <v>0</v>
      </c>
      <c r="AT149" s="177">
        <f t="shared" si="174"/>
        <v>2268496909</v>
      </c>
      <c r="AU149" s="177">
        <f t="shared" si="175"/>
        <v>12310148</v>
      </c>
      <c r="AV149" s="177">
        <f t="shared" si="176"/>
        <v>2062124</v>
      </c>
      <c r="AW149" s="382">
        <f t="shared" si="177"/>
        <v>2282869181</v>
      </c>
      <c r="AX149" s="172">
        <f t="shared" si="190"/>
        <v>0.15640619399916322</v>
      </c>
      <c r="AY149" s="172">
        <f t="shared" si="190"/>
        <v>-0.34271963965878427</v>
      </c>
      <c r="AZ149" s="172">
        <f t="shared" si="190"/>
        <v>6.8824089493862983E-2</v>
      </c>
      <c r="BA149" s="172">
        <f t="shared" si="190"/>
        <v>0.15160526300748733</v>
      </c>
    </row>
    <row r="150" spans="1:53">
      <c r="A150" s="170">
        <v>44621</v>
      </c>
      <c r="B150" s="378">
        <v>0</v>
      </c>
      <c r="C150" s="3">
        <v>0</v>
      </c>
      <c r="D150" s="3">
        <f t="shared" si="148"/>
        <v>0</v>
      </c>
      <c r="E150" s="3">
        <v>1259957647</v>
      </c>
      <c r="F150" s="3">
        <v>1088289</v>
      </c>
      <c r="G150" s="3">
        <f t="shared" si="149"/>
        <v>1261045936</v>
      </c>
      <c r="H150" s="3">
        <v>0</v>
      </c>
      <c r="I150" s="3">
        <v>0</v>
      </c>
      <c r="J150" s="3">
        <f t="shared" si="166"/>
        <v>0</v>
      </c>
      <c r="K150" s="3">
        <v>0</v>
      </c>
      <c r="L150" s="3">
        <v>9784545</v>
      </c>
      <c r="M150" s="3">
        <v>0</v>
      </c>
      <c r="N150" s="3">
        <f>M150+L150+K150</f>
        <v>9784545</v>
      </c>
      <c r="O150" s="3">
        <v>0</v>
      </c>
      <c r="P150" s="3">
        <v>0</v>
      </c>
      <c r="Q150" s="3">
        <v>0</v>
      </c>
      <c r="R150" s="3">
        <f t="shared" si="168"/>
        <v>0</v>
      </c>
      <c r="S150" s="3">
        <v>0</v>
      </c>
      <c r="T150" s="3">
        <v>0</v>
      </c>
      <c r="U150" s="3">
        <f t="shared" si="169"/>
        <v>0</v>
      </c>
      <c r="V150" s="3">
        <f>B150+E150+H150+K150</f>
        <v>1259957647</v>
      </c>
      <c r="W150" s="3">
        <f t="shared" si="171"/>
        <v>9784545</v>
      </c>
      <c r="X150" s="3">
        <f t="shared" si="172"/>
        <v>1088289</v>
      </c>
      <c r="Y150" s="379">
        <f t="shared" si="173"/>
        <v>1270830481</v>
      </c>
      <c r="Z150" s="177">
        <f t="shared" si="191"/>
        <v>0</v>
      </c>
      <c r="AA150" s="177">
        <f t="shared" si="191"/>
        <v>0</v>
      </c>
      <c r="AB150" s="177">
        <f t="shared" si="192"/>
        <v>0</v>
      </c>
      <c r="AC150" s="177">
        <f t="shared" si="193"/>
        <v>3528454556</v>
      </c>
      <c r="AD150" s="177">
        <f t="shared" si="193"/>
        <v>3150413</v>
      </c>
      <c r="AE150" s="177">
        <f t="shared" si="194"/>
        <v>3531604969</v>
      </c>
      <c r="AF150" s="177">
        <f t="shared" si="195"/>
        <v>0</v>
      </c>
      <c r="AG150" s="177">
        <f t="shared" si="195"/>
        <v>0</v>
      </c>
      <c r="AH150" s="177">
        <f t="shared" si="196"/>
        <v>0</v>
      </c>
      <c r="AI150" s="177">
        <f t="shared" si="197"/>
        <v>0</v>
      </c>
      <c r="AJ150" s="177">
        <f t="shared" si="197"/>
        <v>22094693</v>
      </c>
      <c r="AK150" s="177">
        <f t="shared" si="197"/>
        <v>0</v>
      </c>
      <c r="AL150" s="177">
        <f t="shared" si="198"/>
        <v>22094693</v>
      </c>
      <c r="AM150" s="177">
        <f t="shared" si="199"/>
        <v>0</v>
      </c>
      <c r="AN150" s="177">
        <f t="shared" si="199"/>
        <v>0</v>
      </c>
      <c r="AO150" s="177">
        <f t="shared" si="199"/>
        <v>0</v>
      </c>
      <c r="AP150" s="177">
        <f t="shared" si="200"/>
        <v>0</v>
      </c>
      <c r="AQ150" s="177">
        <f t="shared" si="201"/>
        <v>0</v>
      </c>
      <c r="AR150" s="177">
        <f t="shared" si="201"/>
        <v>0</v>
      </c>
      <c r="AS150" s="177">
        <f t="shared" si="202"/>
        <v>0</v>
      </c>
      <c r="AT150" s="177">
        <f t="shared" si="174"/>
        <v>3528454556</v>
      </c>
      <c r="AU150" s="177">
        <f t="shared" si="175"/>
        <v>22094693</v>
      </c>
      <c r="AV150" s="177">
        <f t="shared" si="176"/>
        <v>3150413</v>
      </c>
      <c r="AW150" s="382">
        <f t="shared" si="177"/>
        <v>3553699662</v>
      </c>
      <c r="AX150" s="172">
        <f t="shared" si="190"/>
        <v>0.12459230705051416</v>
      </c>
      <c r="AY150" s="172">
        <f t="shared" si="190"/>
        <v>-0.32533230555643511</v>
      </c>
      <c r="AZ150" s="172">
        <f t="shared" si="190"/>
        <v>6.2221140284833609E-2</v>
      </c>
      <c r="BA150" s="172">
        <f t="shared" si="190"/>
        <v>0.11989064831656293</v>
      </c>
    </row>
    <row r="151" spans="1:53">
      <c r="A151" s="170">
        <v>44652</v>
      </c>
      <c r="B151" s="378">
        <v>0</v>
      </c>
      <c r="C151" s="3">
        <v>0</v>
      </c>
      <c r="D151" s="3">
        <f t="shared" si="148"/>
        <v>0</v>
      </c>
      <c r="E151" s="3">
        <v>1126654731</v>
      </c>
      <c r="F151" s="3">
        <v>1034253</v>
      </c>
      <c r="G151" s="3">
        <f t="shared" si="149"/>
        <v>1127688984</v>
      </c>
      <c r="H151" s="3">
        <v>0</v>
      </c>
      <c r="I151" s="3">
        <v>0</v>
      </c>
      <c r="J151" s="3">
        <f t="shared" si="166"/>
        <v>0</v>
      </c>
      <c r="K151" s="3">
        <v>0</v>
      </c>
      <c r="L151" s="3">
        <v>8832621</v>
      </c>
      <c r="M151" s="3">
        <v>0</v>
      </c>
      <c r="N151" s="3">
        <f>M151+L151+K151</f>
        <v>8832621</v>
      </c>
      <c r="O151" s="3">
        <v>0</v>
      </c>
      <c r="P151" s="3">
        <v>0</v>
      </c>
      <c r="Q151" s="3">
        <v>0</v>
      </c>
      <c r="R151" s="3">
        <f t="shared" si="168"/>
        <v>0</v>
      </c>
      <c r="S151" s="3">
        <v>0</v>
      </c>
      <c r="T151" s="3">
        <v>0</v>
      </c>
      <c r="U151" s="3">
        <f t="shared" si="169"/>
        <v>0</v>
      </c>
      <c r="V151" s="3">
        <f>B151+E151+H151+K151</f>
        <v>1126654731</v>
      </c>
      <c r="W151" s="3">
        <f t="shared" si="171"/>
        <v>8832621</v>
      </c>
      <c r="X151" s="3">
        <f t="shared" si="172"/>
        <v>1034253</v>
      </c>
      <c r="Y151" s="379">
        <f t="shared" si="173"/>
        <v>1136521605</v>
      </c>
      <c r="Z151" s="177">
        <f t="shared" si="191"/>
        <v>0</v>
      </c>
      <c r="AA151" s="177">
        <f t="shared" si="191"/>
        <v>0</v>
      </c>
      <c r="AB151" s="177">
        <f t="shared" si="192"/>
        <v>0</v>
      </c>
      <c r="AC151" s="177">
        <f t="shared" si="193"/>
        <v>4655109287</v>
      </c>
      <c r="AD151" s="177">
        <f t="shared" si="193"/>
        <v>4184666</v>
      </c>
      <c r="AE151" s="177">
        <f t="shared" si="194"/>
        <v>4659293953</v>
      </c>
      <c r="AF151" s="177">
        <f t="shared" si="195"/>
        <v>0</v>
      </c>
      <c r="AG151" s="177">
        <f t="shared" si="195"/>
        <v>0</v>
      </c>
      <c r="AH151" s="177">
        <f t="shared" si="196"/>
        <v>0</v>
      </c>
      <c r="AI151" s="177">
        <f t="shared" si="197"/>
        <v>0</v>
      </c>
      <c r="AJ151" s="177">
        <f t="shared" si="197"/>
        <v>30927314</v>
      </c>
      <c r="AK151" s="177">
        <f t="shared" si="197"/>
        <v>0</v>
      </c>
      <c r="AL151" s="177">
        <f t="shared" si="198"/>
        <v>30927314</v>
      </c>
      <c r="AM151" s="177">
        <f t="shared" si="199"/>
        <v>0</v>
      </c>
      <c r="AN151" s="177">
        <f t="shared" si="199"/>
        <v>0</v>
      </c>
      <c r="AO151" s="177">
        <f t="shared" si="199"/>
        <v>0</v>
      </c>
      <c r="AP151" s="177">
        <f t="shared" si="200"/>
        <v>0</v>
      </c>
      <c r="AQ151" s="177">
        <f t="shared" si="201"/>
        <v>0</v>
      </c>
      <c r="AR151" s="177">
        <f t="shared" si="201"/>
        <v>0</v>
      </c>
      <c r="AS151" s="177">
        <f t="shared" si="202"/>
        <v>0</v>
      </c>
      <c r="AT151" s="177">
        <f t="shared" si="174"/>
        <v>4655109287</v>
      </c>
      <c r="AU151" s="177">
        <f t="shared" si="175"/>
        <v>30927314</v>
      </c>
      <c r="AV151" s="177">
        <f t="shared" si="176"/>
        <v>4184666</v>
      </c>
      <c r="AW151" s="382">
        <f t="shared" si="177"/>
        <v>4690221267</v>
      </c>
      <c r="AX151" s="172">
        <f t="shared" si="190"/>
        <v>9.3035407265783965E-2</v>
      </c>
      <c r="AY151" s="172">
        <f t="shared" si="190"/>
        <v>-0.34007142016118852</v>
      </c>
      <c r="AZ151" s="172">
        <f t="shared" si="190"/>
        <v>4.4409281384071297E-2</v>
      </c>
      <c r="BA151" s="172">
        <f t="shared" si="190"/>
        <v>8.8280558747853233E-2</v>
      </c>
    </row>
    <row r="152" spans="1:53">
      <c r="A152" s="170">
        <v>44682</v>
      </c>
      <c r="B152" s="378">
        <v>0</v>
      </c>
      <c r="C152" s="3">
        <v>0</v>
      </c>
      <c r="D152" s="3">
        <f t="shared" si="148"/>
        <v>0</v>
      </c>
      <c r="E152" s="3">
        <v>1221667543</v>
      </c>
      <c r="F152" s="3">
        <v>1213156</v>
      </c>
      <c r="G152" s="3">
        <f t="shared" si="149"/>
        <v>1222880699</v>
      </c>
      <c r="H152" s="3">
        <v>0</v>
      </c>
      <c r="I152" s="3">
        <v>0</v>
      </c>
      <c r="J152" s="3">
        <f t="shared" si="166"/>
        <v>0</v>
      </c>
      <c r="K152" s="3">
        <v>0</v>
      </c>
      <c r="L152" s="3">
        <v>10722178</v>
      </c>
      <c r="M152" s="3">
        <v>0</v>
      </c>
      <c r="N152" s="3">
        <f t="shared" ref="N152:N186" si="203">M152+L152+K152</f>
        <v>10722178</v>
      </c>
      <c r="O152" s="3">
        <v>0</v>
      </c>
      <c r="P152" s="3">
        <v>0</v>
      </c>
      <c r="Q152" s="3">
        <v>0</v>
      </c>
      <c r="R152" s="3">
        <f t="shared" si="168"/>
        <v>0</v>
      </c>
      <c r="S152" s="3">
        <v>0</v>
      </c>
      <c r="T152" s="3">
        <v>0</v>
      </c>
      <c r="U152" s="3">
        <f t="shared" si="169"/>
        <v>0</v>
      </c>
      <c r="V152" s="3">
        <f t="shared" ref="V152:V171" si="204">B152+E152+H152+K152</f>
        <v>1221667543</v>
      </c>
      <c r="W152" s="3">
        <f t="shared" si="171"/>
        <v>10722178</v>
      </c>
      <c r="X152" s="3">
        <f t="shared" si="172"/>
        <v>1213156</v>
      </c>
      <c r="Y152" s="379">
        <f t="shared" si="173"/>
        <v>1233602877</v>
      </c>
      <c r="Z152" s="177">
        <f t="shared" si="191"/>
        <v>0</v>
      </c>
      <c r="AA152" s="177">
        <f t="shared" si="191"/>
        <v>0</v>
      </c>
      <c r="AB152" s="177">
        <f t="shared" si="192"/>
        <v>0</v>
      </c>
      <c r="AC152" s="177">
        <f t="shared" si="193"/>
        <v>5876776830</v>
      </c>
      <c r="AD152" s="177">
        <f t="shared" si="193"/>
        <v>5397822</v>
      </c>
      <c r="AE152" s="177">
        <f t="shared" si="194"/>
        <v>5882174652</v>
      </c>
      <c r="AF152" s="177">
        <f t="shared" si="195"/>
        <v>0</v>
      </c>
      <c r="AG152" s="177">
        <f t="shared" si="195"/>
        <v>0</v>
      </c>
      <c r="AH152" s="177">
        <f t="shared" si="196"/>
        <v>0</v>
      </c>
      <c r="AI152" s="177">
        <f t="shared" si="197"/>
        <v>0</v>
      </c>
      <c r="AJ152" s="177">
        <f t="shared" si="197"/>
        <v>41649492</v>
      </c>
      <c r="AK152" s="177">
        <f t="shared" si="197"/>
        <v>0</v>
      </c>
      <c r="AL152" s="177">
        <f t="shared" si="198"/>
        <v>41649492</v>
      </c>
      <c r="AM152" s="177">
        <f t="shared" si="199"/>
        <v>0</v>
      </c>
      <c r="AN152" s="177">
        <f t="shared" si="199"/>
        <v>0</v>
      </c>
      <c r="AO152" s="177">
        <f t="shared" si="199"/>
        <v>0</v>
      </c>
      <c r="AP152" s="177">
        <f t="shared" si="200"/>
        <v>0</v>
      </c>
      <c r="AQ152" s="177">
        <f t="shared" si="201"/>
        <v>0</v>
      </c>
      <c r="AR152" s="177">
        <f t="shared" si="201"/>
        <v>0</v>
      </c>
      <c r="AS152" s="177">
        <f t="shared" si="202"/>
        <v>0</v>
      </c>
      <c r="AT152" s="177">
        <f t="shared" si="174"/>
        <v>5876776830</v>
      </c>
      <c r="AU152" s="177">
        <f t="shared" si="175"/>
        <v>41649492</v>
      </c>
      <c r="AV152" s="177">
        <f t="shared" si="176"/>
        <v>5397822</v>
      </c>
      <c r="AW152" s="382">
        <f t="shared" si="177"/>
        <v>5923824144</v>
      </c>
      <c r="AX152" s="172">
        <f t="shared" si="190"/>
        <v>6.6947430962028154E-2</v>
      </c>
      <c r="AY152" s="172">
        <f t="shared" si="190"/>
        <v>-0.30375813375883787</v>
      </c>
      <c r="AZ152" s="172">
        <f t="shared" si="190"/>
        <v>5.264428556969758E-2</v>
      </c>
      <c r="BA152" s="172">
        <f t="shared" si="190"/>
        <v>6.2955109793756403E-2</v>
      </c>
    </row>
    <row r="153" spans="1:53">
      <c r="A153" s="170">
        <v>44713</v>
      </c>
      <c r="B153" s="378">
        <v>0</v>
      </c>
      <c r="C153" s="3">
        <v>0</v>
      </c>
      <c r="D153" s="3">
        <f t="shared" si="148"/>
        <v>0</v>
      </c>
      <c r="E153" s="3">
        <v>1285218955</v>
      </c>
      <c r="F153" s="3">
        <v>1186039</v>
      </c>
      <c r="G153" s="3">
        <f t="shared" si="149"/>
        <v>1286404994</v>
      </c>
      <c r="H153" s="3">
        <v>0</v>
      </c>
      <c r="I153" s="3">
        <v>0</v>
      </c>
      <c r="J153" s="3">
        <f t="shared" si="166"/>
        <v>0</v>
      </c>
      <c r="K153" s="3">
        <v>0</v>
      </c>
      <c r="L153" s="3">
        <v>5466256</v>
      </c>
      <c r="M153" s="3">
        <v>0</v>
      </c>
      <c r="N153" s="3">
        <f t="shared" si="203"/>
        <v>5466256</v>
      </c>
      <c r="O153" s="3">
        <v>0</v>
      </c>
      <c r="P153" s="3">
        <v>0</v>
      </c>
      <c r="Q153" s="3">
        <v>0</v>
      </c>
      <c r="R153" s="3">
        <f t="shared" si="168"/>
        <v>0</v>
      </c>
      <c r="S153" s="3">
        <v>0</v>
      </c>
      <c r="T153" s="3">
        <v>0</v>
      </c>
      <c r="U153" s="3">
        <f t="shared" si="169"/>
        <v>0</v>
      </c>
      <c r="V153" s="3">
        <f t="shared" si="204"/>
        <v>1285218955</v>
      </c>
      <c r="W153" s="3">
        <f t="shared" si="171"/>
        <v>5466256</v>
      </c>
      <c r="X153" s="3">
        <f t="shared" si="172"/>
        <v>1186039</v>
      </c>
      <c r="Y153" s="379">
        <f t="shared" si="173"/>
        <v>1291871250</v>
      </c>
      <c r="Z153" s="177">
        <f t="shared" si="191"/>
        <v>0</v>
      </c>
      <c r="AA153" s="177">
        <f t="shared" si="191"/>
        <v>0</v>
      </c>
      <c r="AB153" s="177">
        <f t="shared" si="192"/>
        <v>0</v>
      </c>
      <c r="AC153" s="177">
        <f t="shared" si="193"/>
        <v>7161995785</v>
      </c>
      <c r="AD153" s="177">
        <f t="shared" si="193"/>
        <v>6583861</v>
      </c>
      <c r="AE153" s="177">
        <f t="shared" si="194"/>
        <v>7168579646</v>
      </c>
      <c r="AF153" s="177">
        <f t="shared" si="195"/>
        <v>0</v>
      </c>
      <c r="AG153" s="177">
        <f t="shared" si="195"/>
        <v>0</v>
      </c>
      <c r="AH153" s="177">
        <f t="shared" si="196"/>
        <v>0</v>
      </c>
      <c r="AI153" s="177">
        <f t="shared" si="197"/>
        <v>0</v>
      </c>
      <c r="AJ153" s="177">
        <f t="shared" si="197"/>
        <v>47115748</v>
      </c>
      <c r="AK153" s="177">
        <f t="shared" si="197"/>
        <v>0</v>
      </c>
      <c r="AL153" s="177">
        <f t="shared" si="198"/>
        <v>47115748</v>
      </c>
      <c r="AM153" s="177">
        <f t="shared" si="199"/>
        <v>0</v>
      </c>
      <c r="AN153" s="177">
        <f t="shared" si="199"/>
        <v>0</v>
      </c>
      <c r="AO153" s="177">
        <f t="shared" si="199"/>
        <v>0</v>
      </c>
      <c r="AP153" s="177">
        <f t="shared" si="200"/>
        <v>0</v>
      </c>
      <c r="AQ153" s="177">
        <f t="shared" si="201"/>
        <v>0</v>
      </c>
      <c r="AR153" s="177">
        <f t="shared" si="201"/>
        <v>0</v>
      </c>
      <c r="AS153" s="177">
        <f t="shared" si="202"/>
        <v>0</v>
      </c>
      <c r="AT153" s="177">
        <f t="shared" si="174"/>
        <v>7161995785</v>
      </c>
      <c r="AU153" s="177">
        <f t="shared" si="175"/>
        <v>47115748</v>
      </c>
      <c r="AV153" s="177">
        <f t="shared" si="176"/>
        <v>6583861</v>
      </c>
      <c r="AW153" s="382">
        <f t="shared" si="177"/>
        <v>7215695394</v>
      </c>
      <c r="AX153" s="172">
        <f t="shared" si="190"/>
        <v>5.9205606927968057E-2</v>
      </c>
      <c r="AY153" s="172">
        <f t="shared" si="190"/>
        <v>-0.37469618866024934</v>
      </c>
      <c r="AZ153" s="172">
        <f t="shared" si="190"/>
        <v>4.0815236060899096E-2</v>
      </c>
      <c r="BA153" s="172">
        <f t="shared" si="190"/>
        <v>5.4411134558995489E-2</v>
      </c>
    </row>
    <row r="154" spans="1:53">
      <c r="A154" s="170">
        <v>44743</v>
      </c>
      <c r="B154" s="378">
        <v>0</v>
      </c>
      <c r="C154" s="3">
        <v>0</v>
      </c>
      <c r="D154" s="3">
        <f t="shared" si="148"/>
        <v>0</v>
      </c>
      <c r="E154" s="3">
        <v>1203742136</v>
      </c>
      <c r="F154" s="3">
        <v>1299629</v>
      </c>
      <c r="G154" s="3">
        <f t="shared" si="149"/>
        <v>1205041765</v>
      </c>
      <c r="H154" s="3">
        <v>0</v>
      </c>
      <c r="I154" s="3">
        <v>0</v>
      </c>
      <c r="J154" s="3">
        <f t="shared" si="166"/>
        <v>0</v>
      </c>
      <c r="K154" s="3">
        <v>0</v>
      </c>
      <c r="L154" s="3">
        <v>6236673</v>
      </c>
      <c r="M154" s="3">
        <v>0</v>
      </c>
      <c r="N154" s="3">
        <f t="shared" si="203"/>
        <v>6236673</v>
      </c>
      <c r="O154" s="3">
        <v>0</v>
      </c>
      <c r="P154" s="3">
        <v>0</v>
      </c>
      <c r="Q154" s="3">
        <v>0</v>
      </c>
      <c r="R154" s="3">
        <f t="shared" si="168"/>
        <v>0</v>
      </c>
      <c r="S154" s="3">
        <v>0</v>
      </c>
      <c r="T154" s="3">
        <v>0</v>
      </c>
      <c r="U154" s="3">
        <f t="shared" si="169"/>
        <v>0</v>
      </c>
      <c r="V154" s="3">
        <f t="shared" si="204"/>
        <v>1203742136</v>
      </c>
      <c r="W154" s="3">
        <f t="shared" si="171"/>
        <v>6236673</v>
      </c>
      <c r="X154" s="3">
        <f t="shared" si="172"/>
        <v>1299629</v>
      </c>
      <c r="Y154" s="379">
        <f t="shared" si="173"/>
        <v>1211278438</v>
      </c>
      <c r="Z154" s="177">
        <f t="shared" si="191"/>
        <v>0</v>
      </c>
      <c r="AA154" s="177">
        <f t="shared" si="191"/>
        <v>0</v>
      </c>
      <c r="AB154" s="177">
        <f t="shared" si="192"/>
        <v>0</v>
      </c>
      <c r="AC154" s="177">
        <f t="shared" si="193"/>
        <v>8365737921</v>
      </c>
      <c r="AD154" s="177">
        <f t="shared" si="193"/>
        <v>7883490</v>
      </c>
      <c r="AE154" s="177">
        <f t="shared" si="194"/>
        <v>8373621411</v>
      </c>
      <c r="AF154" s="177">
        <f t="shared" si="195"/>
        <v>0</v>
      </c>
      <c r="AG154" s="177">
        <f t="shared" si="195"/>
        <v>0</v>
      </c>
      <c r="AH154" s="177">
        <f t="shared" si="196"/>
        <v>0</v>
      </c>
      <c r="AI154" s="177">
        <f t="shared" si="197"/>
        <v>0</v>
      </c>
      <c r="AJ154" s="177">
        <f t="shared" si="197"/>
        <v>53352421</v>
      </c>
      <c r="AK154" s="177">
        <f t="shared" si="197"/>
        <v>0</v>
      </c>
      <c r="AL154" s="177">
        <f t="shared" si="198"/>
        <v>53352421</v>
      </c>
      <c r="AM154" s="177">
        <f t="shared" si="199"/>
        <v>0</v>
      </c>
      <c r="AN154" s="177">
        <f t="shared" si="199"/>
        <v>0</v>
      </c>
      <c r="AO154" s="177">
        <f t="shared" si="199"/>
        <v>0</v>
      </c>
      <c r="AP154" s="177">
        <f t="shared" si="200"/>
        <v>0</v>
      </c>
      <c r="AQ154" s="177">
        <f t="shared" si="201"/>
        <v>0</v>
      </c>
      <c r="AR154" s="177">
        <f t="shared" si="201"/>
        <v>0</v>
      </c>
      <c r="AS154" s="177">
        <f t="shared" si="202"/>
        <v>0</v>
      </c>
      <c r="AT154" s="177">
        <f t="shared" si="174"/>
        <v>8365737921</v>
      </c>
      <c r="AU154" s="177">
        <f t="shared" si="175"/>
        <v>53352421</v>
      </c>
      <c r="AV154" s="177">
        <f t="shared" si="176"/>
        <v>7883490</v>
      </c>
      <c r="AW154" s="382">
        <f t="shared" si="177"/>
        <v>8426973832</v>
      </c>
      <c r="AX154" s="172">
        <f t="shared" si="190"/>
        <v>4.1216628623133023E-2</v>
      </c>
      <c r="AY154" s="172">
        <f t="shared" si="190"/>
        <v>-0.29664563044809589</v>
      </c>
      <c r="AZ154" s="172">
        <f t="shared" si="190"/>
        <v>3.784358906475993E-2</v>
      </c>
      <c r="BA154" s="172">
        <f t="shared" si="190"/>
        <v>3.8056513228280409E-2</v>
      </c>
    </row>
    <row r="155" spans="1:53">
      <c r="A155" s="170">
        <v>44774</v>
      </c>
      <c r="B155" s="378">
        <v>0</v>
      </c>
      <c r="C155" s="3">
        <v>0</v>
      </c>
      <c r="D155" s="3">
        <f t="shared" si="148"/>
        <v>0</v>
      </c>
      <c r="E155" s="3">
        <v>1265634580</v>
      </c>
      <c r="F155" s="3">
        <v>1330253</v>
      </c>
      <c r="G155" s="3">
        <f t="shared" si="149"/>
        <v>1266964833</v>
      </c>
      <c r="H155" s="3">
        <v>0</v>
      </c>
      <c r="I155" s="3">
        <v>0</v>
      </c>
      <c r="J155" s="3">
        <f t="shared" si="166"/>
        <v>0</v>
      </c>
      <c r="K155" s="3">
        <v>0</v>
      </c>
      <c r="L155" s="3">
        <v>3339016</v>
      </c>
      <c r="M155" s="3">
        <v>0</v>
      </c>
      <c r="N155" s="3">
        <f t="shared" si="203"/>
        <v>3339016</v>
      </c>
      <c r="O155" s="3">
        <v>0</v>
      </c>
      <c r="P155" s="3">
        <v>0</v>
      </c>
      <c r="Q155" s="3">
        <v>0</v>
      </c>
      <c r="R155" s="3">
        <f t="shared" si="168"/>
        <v>0</v>
      </c>
      <c r="S155" s="3">
        <v>0</v>
      </c>
      <c r="T155" s="3">
        <v>0</v>
      </c>
      <c r="U155" s="3">
        <f t="shared" si="169"/>
        <v>0</v>
      </c>
      <c r="V155" s="3">
        <f t="shared" si="204"/>
        <v>1265634580</v>
      </c>
      <c r="W155" s="3">
        <f t="shared" si="171"/>
        <v>3339016</v>
      </c>
      <c r="X155" s="3">
        <f t="shared" si="172"/>
        <v>1330253</v>
      </c>
      <c r="Y155" s="379">
        <f t="shared" si="173"/>
        <v>1270303849</v>
      </c>
      <c r="Z155" s="177">
        <f t="shared" si="191"/>
        <v>0</v>
      </c>
      <c r="AA155" s="177">
        <f t="shared" si="191"/>
        <v>0</v>
      </c>
      <c r="AB155" s="177">
        <f t="shared" si="192"/>
        <v>0</v>
      </c>
      <c r="AC155" s="177">
        <f t="shared" si="193"/>
        <v>9631372501</v>
      </c>
      <c r="AD155" s="177">
        <f t="shared" si="193"/>
        <v>9213743</v>
      </c>
      <c r="AE155" s="177">
        <f t="shared" si="194"/>
        <v>9640586244</v>
      </c>
      <c r="AF155" s="177">
        <f t="shared" si="195"/>
        <v>0</v>
      </c>
      <c r="AG155" s="177">
        <f t="shared" si="195"/>
        <v>0</v>
      </c>
      <c r="AH155" s="177">
        <f t="shared" si="196"/>
        <v>0</v>
      </c>
      <c r="AI155" s="177">
        <f t="shared" si="197"/>
        <v>0</v>
      </c>
      <c r="AJ155" s="177">
        <f t="shared" si="197"/>
        <v>56691437</v>
      </c>
      <c r="AK155" s="177">
        <f t="shared" si="197"/>
        <v>0</v>
      </c>
      <c r="AL155" s="177">
        <f t="shared" si="198"/>
        <v>56691437</v>
      </c>
      <c r="AM155" s="177">
        <f t="shared" si="199"/>
        <v>0</v>
      </c>
      <c r="AN155" s="177">
        <f t="shared" si="199"/>
        <v>0</v>
      </c>
      <c r="AO155" s="177">
        <f t="shared" si="199"/>
        <v>0</v>
      </c>
      <c r="AP155" s="177">
        <f t="shared" si="200"/>
        <v>0</v>
      </c>
      <c r="AQ155" s="177">
        <f t="shared" si="201"/>
        <v>0</v>
      </c>
      <c r="AR155" s="177">
        <f t="shared" si="201"/>
        <v>0</v>
      </c>
      <c r="AS155" s="177">
        <f t="shared" si="202"/>
        <v>0</v>
      </c>
      <c r="AT155" s="177">
        <f t="shared" si="174"/>
        <v>9631372501</v>
      </c>
      <c r="AU155" s="177">
        <f t="shared" si="175"/>
        <v>56691437</v>
      </c>
      <c r="AV155" s="177">
        <f t="shared" si="176"/>
        <v>9213743</v>
      </c>
      <c r="AW155" s="382">
        <f t="shared" si="177"/>
        <v>9697277681</v>
      </c>
      <c r="AX155" s="172">
        <f t="shared" si="190"/>
        <v>4.1691749640526465E-2</v>
      </c>
      <c r="AY155" s="172">
        <f t="shared" si="190"/>
        <v>-0.29463530807630189</v>
      </c>
      <c r="AZ155" s="172">
        <f t="shared" si="190"/>
        <v>7.707597162818125E-2</v>
      </c>
      <c r="BA155" s="172">
        <f t="shared" si="190"/>
        <v>3.8828435716910636E-2</v>
      </c>
    </row>
    <row r="156" spans="1:53">
      <c r="A156" s="170">
        <v>44805</v>
      </c>
      <c r="B156" s="378">
        <v>0</v>
      </c>
      <c r="C156" s="3">
        <v>0</v>
      </c>
      <c r="D156" s="3">
        <f t="shared" si="148"/>
        <v>0</v>
      </c>
      <c r="E156" s="3">
        <v>1114873348</v>
      </c>
      <c r="F156" s="3">
        <v>1189662</v>
      </c>
      <c r="G156" s="3">
        <f t="shared" si="149"/>
        <v>1116063010</v>
      </c>
      <c r="H156" s="3">
        <v>0</v>
      </c>
      <c r="I156" s="3">
        <v>0</v>
      </c>
      <c r="J156" s="3">
        <f t="shared" si="166"/>
        <v>0</v>
      </c>
      <c r="K156" s="3">
        <v>0</v>
      </c>
      <c r="L156" s="3">
        <v>13139069</v>
      </c>
      <c r="M156" s="3">
        <v>0</v>
      </c>
      <c r="N156" s="3">
        <f t="shared" si="203"/>
        <v>13139069</v>
      </c>
      <c r="O156" s="3">
        <v>0</v>
      </c>
      <c r="P156" s="3">
        <v>0</v>
      </c>
      <c r="Q156" s="3">
        <v>0</v>
      </c>
      <c r="R156" s="3">
        <f t="shared" si="168"/>
        <v>0</v>
      </c>
      <c r="S156" s="3">
        <v>0</v>
      </c>
      <c r="T156" s="3">
        <v>0</v>
      </c>
      <c r="U156" s="3">
        <f t="shared" si="169"/>
        <v>0</v>
      </c>
      <c r="V156" s="3">
        <f t="shared" si="204"/>
        <v>1114873348</v>
      </c>
      <c r="W156" s="3">
        <f t="shared" si="171"/>
        <v>13139069</v>
      </c>
      <c r="X156" s="3">
        <f t="shared" si="172"/>
        <v>1189662</v>
      </c>
      <c r="Y156" s="379">
        <f t="shared" si="173"/>
        <v>1129202079</v>
      </c>
      <c r="Z156" s="177">
        <f t="shared" si="191"/>
        <v>0</v>
      </c>
      <c r="AA156" s="177">
        <f t="shared" si="191"/>
        <v>0</v>
      </c>
      <c r="AB156" s="177">
        <f t="shared" si="192"/>
        <v>0</v>
      </c>
      <c r="AC156" s="177">
        <f t="shared" si="193"/>
        <v>10746245849</v>
      </c>
      <c r="AD156" s="177">
        <f t="shared" si="193"/>
        <v>10403405</v>
      </c>
      <c r="AE156" s="177">
        <f t="shared" si="194"/>
        <v>10756649254</v>
      </c>
      <c r="AF156" s="177">
        <f t="shared" si="195"/>
        <v>0</v>
      </c>
      <c r="AG156" s="177">
        <f t="shared" si="195"/>
        <v>0</v>
      </c>
      <c r="AH156" s="177">
        <f t="shared" si="196"/>
        <v>0</v>
      </c>
      <c r="AI156" s="177">
        <f t="shared" si="197"/>
        <v>0</v>
      </c>
      <c r="AJ156" s="177">
        <f t="shared" si="197"/>
        <v>69830506</v>
      </c>
      <c r="AK156" s="177">
        <f t="shared" si="197"/>
        <v>0</v>
      </c>
      <c r="AL156" s="177">
        <f t="shared" si="198"/>
        <v>69830506</v>
      </c>
      <c r="AM156" s="177">
        <f t="shared" si="199"/>
        <v>0</v>
      </c>
      <c r="AN156" s="177">
        <f t="shared" si="199"/>
        <v>0</v>
      </c>
      <c r="AO156" s="177">
        <f t="shared" si="199"/>
        <v>0</v>
      </c>
      <c r="AP156" s="177">
        <f t="shared" si="200"/>
        <v>0</v>
      </c>
      <c r="AQ156" s="177">
        <f t="shared" si="201"/>
        <v>0</v>
      </c>
      <c r="AR156" s="177">
        <f t="shared" si="201"/>
        <v>0</v>
      </c>
      <c r="AS156" s="177">
        <f t="shared" si="202"/>
        <v>0</v>
      </c>
      <c r="AT156" s="177">
        <f t="shared" si="174"/>
        <v>10746245849</v>
      </c>
      <c r="AU156" s="177">
        <f t="shared" si="175"/>
        <v>69830506</v>
      </c>
      <c r="AV156" s="177">
        <f t="shared" si="176"/>
        <v>10403405</v>
      </c>
      <c r="AW156" s="382">
        <f t="shared" si="177"/>
        <v>10826479760</v>
      </c>
      <c r="AX156" s="172">
        <f t="shared" si="190"/>
        <v>3.3765227745864212E-2</v>
      </c>
      <c r="AY156" s="172">
        <f t="shared" si="190"/>
        <v>-0.24564756490468076</v>
      </c>
      <c r="AZ156" s="172">
        <f t="shared" si="190"/>
        <v>6.4582861548319936E-2</v>
      </c>
      <c r="BA156" s="172">
        <f t="shared" si="190"/>
        <v>3.132999069041964E-2</v>
      </c>
    </row>
    <row r="157" spans="1:53">
      <c r="A157" s="170">
        <v>44835</v>
      </c>
      <c r="B157" s="378">
        <v>0</v>
      </c>
      <c r="C157" s="3">
        <v>0</v>
      </c>
      <c r="D157" s="3">
        <f t="shared" si="148"/>
        <v>0</v>
      </c>
      <c r="E157" s="3">
        <v>1214405352</v>
      </c>
      <c r="F157" s="3">
        <v>1222050</v>
      </c>
      <c r="G157" s="3">
        <f t="shared" si="149"/>
        <v>1215627402</v>
      </c>
      <c r="H157" s="3">
        <v>0</v>
      </c>
      <c r="I157" s="3">
        <v>0</v>
      </c>
      <c r="J157" s="3">
        <f t="shared" si="166"/>
        <v>0</v>
      </c>
      <c r="K157" s="3">
        <v>0</v>
      </c>
      <c r="L157" s="3">
        <v>22296878</v>
      </c>
      <c r="M157" s="3">
        <v>0</v>
      </c>
      <c r="N157" s="3">
        <f t="shared" si="203"/>
        <v>22296878</v>
      </c>
      <c r="O157" s="3">
        <v>0</v>
      </c>
      <c r="P157" s="3">
        <v>0</v>
      </c>
      <c r="Q157" s="3">
        <v>0</v>
      </c>
      <c r="R157" s="3">
        <f t="shared" si="168"/>
        <v>0</v>
      </c>
      <c r="S157" s="3">
        <v>0</v>
      </c>
      <c r="T157" s="3">
        <v>0</v>
      </c>
      <c r="U157" s="3">
        <f t="shared" si="169"/>
        <v>0</v>
      </c>
      <c r="V157" s="3">
        <f t="shared" si="204"/>
        <v>1214405352</v>
      </c>
      <c r="W157" s="3">
        <f t="shared" si="171"/>
        <v>22296878</v>
      </c>
      <c r="X157" s="3">
        <f t="shared" si="172"/>
        <v>1222050</v>
      </c>
      <c r="Y157" s="379">
        <f t="shared" si="173"/>
        <v>1237924280</v>
      </c>
      <c r="Z157" s="177">
        <f t="shared" si="191"/>
        <v>0</v>
      </c>
      <c r="AA157" s="177">
        <f t="shared" si="191"/>
        <v>0</v>
      </c>
      <c r="AB157" s="177">
        <f t="shared" si="192"/>
        <v>0</v>
      </c>
      <c r="AC157" s="177">
        <f t="shared" si="193"/>
        <v>11960651201</v>
      </c>
      <c r="AD157" s="177">
        <f t="shared" si="193"/>
        <v>11625455</v>
      </c>
      <c r="AE157" s="177">
        <f t="shared" si="194"/>
        <v>11972276656</v>
      </c>
      <c r="AF157" s="177">
        <f t="shared" si="195"/>
        <v>0</v>
      </c>
      <c r="AG157" s="177">
        <f t="shared" si="195"/>
        <v>0</v>
      </c>
      <c r="AH157" s="177">
        <f t="shared" si="196"/>
        <v>0</v>
      </c>
      <c r="AI157" s="177">
        <f t="shared" si="197"/>
        <v>0</v>
      </c>
      <c r="AJ157" s="177">
        <f t="shared" si="197"/>
        <v>92127384</v>
      </c>
      <c r="AK157" s="177">
        <f t="shared" si="197"/>
        <v>0</v>
      </c>
      <c r="AL157" s="177">
        <f t="shared" si="198"/>
        <v>92127384</v>
      </c>
      <c r="AM157" s="177">
        <f t="shared" si="199"/>
        <v>0</v>
      </c>
      <c r="AN157" s="177">
        <f t="shared" si="199"/>
        <v>0</v>
      </c>
      <c r="AO157" s="177">
        <f t="shared" si="199"/>
        <v>0</v>
      </c>
      <c r="AP157" s="177">
        <f t="shared" si="200"/>
        <v>0</v>
      </c>
      <c r="AQ157" s="177">
        <f t="shared" si="201"/>
        <v>0</v>
      </c>
      <c r="AR157" s="177">
        <f t="shared" si="201"/>
        <v>0</v>
      </c>
      <c r="AS157" s="177">
        <f t="shared" si="202"/>
        <v>0</v>
      </c>
      <c r="AT157" s="177">
        <f t="shared" si="174"/>
        <v>11960651201</v>
      </c>
      <c r="AU157" s="177">
        <f t="shared" si="175"/>
        <v>92127384</v>
      </c>
      <c r="AV157" s="177">
        <f t="shared" si="176"/>
        <v>11625455</v>
      </c>
      <c r="AW157" s="382">
        <f t="shared" si="177"/>
        <v>12064404040</v>
      </c>
      <c r="AX157" s="172">
        <f t="shared" si="190"/>
        <v>3.2957730699063603E-2</v>
      </c>
      <c r="AY157" s="172">
        <f t="shared" si="190"/>
        <v>-0.16828960124389059</v>
      </c>
      <c r="AZ157" s="172">
        <f t="shared" si="190"/>
        <v>5.7111906897046483E-2</v>
      </c>
      <c r="BA157" s="172">
        <f t="shared" si="190"/>
        <v>3.1075273733264241E-2</v>
      </c>
    </row>
    <row r="158" spans="1:53">
      <c r="A158" s="170">
        <v>44866</v>
      </c>
      <c r="B158" s="378">
        <v>0</v>
      </c>
      <c r="C158" s="3">
        <v>0</v>
      </c>
      <c r="D158" s="3">
        <f t="shared" si="148"/>
        <v>0</v>
      </c>
      <c r="E158" s="3">
        <v>1247482437</v>
      </c>
      <c r="F158" s="3">
        <v>1189598</v>
      </c>
      <c r="G158" s="3">
        <f t="shared" si="149"/>
        <v>1248672035</v>
      </c>
      <c r="H158" s="3">
        <v>0</v>
      </c>
      <c r="I158" s="3">
        <v>0</v>
      </c>
      <c r="J158" s="3">
        <f t="shared" si="166"/>
        <v>0</v>
      </c>
      <c r="K158" s="3">
        <v>0</v>
      </c>
      <c r="L158" s="3">
        <v>16742264</v>
      </c>
      <c r="M158" s="3">
        <v>0</v>
      </c>
      <c r="N158" s="3">
        <f t="shared" si="203"/>
        <v>16742264</v>
      </c>
      <c r="O158" s="3">
        <v>0</v>
      </c>
      <c r="P158" s="3">
        <v>0</v>
      </c>
      <c r="Q158" s="3">
        <v>0</v>
      </c>
      <c r="R158" s="3">
        <f t="shared" si="168"/>
        <v>0</v>
      </c>
      <c r="S158" s="3">
        <v>0</v>
      </c>
      <c r="T158" s="3">
        <v>0</v>
      </c>
      <c r="U158" s="3">
        <f t="shared" si="169"/>
        <v>0</v>
      </c>
      <c r="V158" s="3">
        <f t="shared" si="204"/>
        <v>1247482437</v>
      </c>
      <c r="W158" s="3">
        <f t="shared" si="171"/>
        <v>16742264</v>
      </c>
      <c r="X158" s="3">
        <f t="shared" si="172"/>
        <v>1189598</v>
      </c>
      <c r="Y158" s="379">
        <f t="shared" si="173"/>
        <v>1265414299</v>
      </c>
      <c r="Z158" s="177">
        <f t="shared" si="191"/>
        <v>0</v>
      </c>
      <c r="AA158" s="177">
        <f t="shared" si="191"/>
        <v>0</v>
      </c>
      <c r="AB158" s="177">
        <f t="shared" si="192"/>
        <v>0</v>
      </c>
      <c r="AC158" s="177">
        <f t="shared" si="193"/>
        <v>13208133638</v>
      </c>
      <c r="AD158" s="177">
        <f t="shared" si="193"/>
        <v>12815053</v>
      </c>
      <c r="AE158" s="177">
        <f t="shared" si="194"/>
        <v>13220948691</v>
      </c>
      <c r="AF158" s="177">
        <f t="shared" si="195"/>
        <v>0</v>
      </c>
      <c r="AG158" s="177">
        <f t="shared" si="195"/>
        <v>0</v>
      </c>
      <c r="AH158" s="177">
        <f t="shared" si="196"/>
        <v>0</v>
      </c>
      <c r="AI158" s="177">
        <f t="shared" si="197"/>
        <v>0</v>
      </c>
      <c r="AJ158" s="177">
        <f t="shared" si="197"/>
        <v>108869648</v>
      </c>
      <c r="AK158" s="177">
        <f t="shared" si="197"/>
        <v>0</v>
      </c>
      <c r="AL158" s="177">
        <f t="shared" si="198"/>
        <v>108869648</v>
      </c>
      <c r="AM158" s="177">
        <f t="shared" si="199"/>
        <v>0</v>
      </c>
      <c r="AN158" s="177">
        <f t="shared" si="199"/>
        <v>0</v>
      </c>
      <c r="AO158" s="177">
        <f t="shared" si="199"/>
        <v>0</v>
      </c>
      <c r="AP158" s="177">
        <f t="shared" si="200"/>
        <v>0</v>
      </c>
      <c r="AQ158" s="177">
        <f t="shared" si="201"/>
        <v>0</v>
      </c>
      <c r="AR158" s="177">
        <f t="shared" si="201"/>
        <v>0</v>
      </c>
      <c r="AS158" s="177">
        <f t="shared" si="202"/>
        <v>0</v>
      </c>
      <c r="AT158" s="177">
        <f t="shared" si="174"/>
        <v>13208133638</v>
      </c>
      <c r="AU158" s="177">
        <f t="shared" si="175"/>
        <v>108869648</v>
      </c>
      <c r="AV158" s="177">
        <f t="shared" si="176"/>
        <v>12815053</v>
      </c>
      <c r="AW158" s="382">
        <f t="shared" si="177"/>
        <v>13329818339</v>
      </c>
      <c r="AX158" s="172">
        <f t="shared" si="190"/>
        <v>3.0329822181513144E-2</v>
      </c>
      <c r="AY158" s="172">
        <f t="shared" si="190"/>
        <v>-0.14240491581677017</v>
      </c>
      <c r="AZ158" s="172">
        <f t="shared" si="190"/>
        <v>5.1964102848253813E-2</v>
      </c>
      <c r="BA158" s="172">
        <f t="shared" si="190"/>
        <v>2.8657962961030625E-2</v>
      </c>
    </row>
    <row r="159" spans="1:53" ht="15.75" thickBot="1">
      <c r="A159" s="170">
        <v>44896</v>
      </c>
      <c r="B159" s="378">
        <v>0</v>
      </c>
      <c r="C159" s="3">
        <v>0</v>
      </c>
      <c r="D159" s="3">
        <f t="shared" si="148"/>
        <v>0</v>
      </c>
      <c r="E159" s="3">
        <v>1192962271</v>
      </c>
      <c r="F159" s="3">
        <v>1287796</v>
      </c>
      <c r="G159" s="3">
        <f t="shared" si="149"/>
        <v>1194250067</v>
      </c>
      <c r="H159" s="3">
        <v>0</v>
      </c>
      <c r="I159" s="3">
        <v>0</v>
      </c>
      <c r="J159" s="3">
        <f t="shared" si="166"/>
        <v>0</v>
      </c>
      <c r="K159" s="3">
        <v>0</v>
      </c>
      <c r="L159" s="3">
        <v>18566373</v>
      </c>
      <c r="M159" s="3">
        <v>0</v>
      </c>
      <c r="N159" s="3">
        <f t="shared" si="203"/>
        <v>18566373</v>
      </c>
      <c r="O159" s="3">
        <v>0</v>
      </c>
      <c r="P159" s="3">
        <v>0</v>
      </c>
      <c r="Q159" s="3">
        <v>0</v>
      </c>
      <c r="R159" s="3">
        <f t="shared" si="168"/>
        <v>0</v>
      </c>
      <c r="S159" s="3">
        <v>0</v>
      </c>
      <c r="T159" s="3">
        <v>0</v>
      </c>
      <c r="U159" s="3">
        <f t="shared" si="169"/>
        <v>0</v>
      </c>
      <c r="V159" s="3">
        <f t="shared" si="204"/>
        <v>1192962271</v>
      </c>
      <c r="W159" s="3">
        <f t="shared" si="171"/>
        <v>18566373</v>
      </c>
      <c r="X159" s="3">
        <f t="shared" si="172"/>
        <v>1287796</v>
      </c>
      <c r="Y159" s="379">
        <f t="shared" si="173"/>
        <v>1212816440</v>
      </c>
      <c r="Z159" s="177">
        <f t="shared" si="191"/>
        <v>0</v>
      </c>
      <c r="AA159" s="177">
        <f t="shared" si="191"/>
        <v>0</v>
      </c>
      <c r="AB159" s="177">
        <f t="shared" si="192"/>
        <v>0</v>
      </c>
      <c r="AC159" s="177">
        <f t="shared" si="193"/>
        <v>14401095909</v>
      </c>
      <c r="AD159" s="177">
        <f t="shared" si="193"/>
        <v>14102849</v>
      </c>
      <c r="AE159" s="177">
        <f t="shared" si="194"/>
        <v>14415198758</v>
      </c>
      <c r="AF159" s="177">
        <f t="shared" si="195"/>
        <v>0</v>
      </c>
      <c r="AG159" s="177">
        <f t="shared" si="195"/>
        <v>0</v>
      </c>
      <c r="AH159" s="177">
        <f t="shared" si="196"/>
        <v>0</v>
      </c>
      <c r="AI159" s="177">
        <f t="shared" si="197"/>
        <v>0</v>
      </c>
      <c r="AJ159" s="177">
        <f t="shared" si="197"/>
        <v>127436021</v>
      </c>
      <c r="AK159" s="177">
        <f t="shared" si="197"/>
        <v>0</v>
      </c>
      <c r="AL159" s="177">
        <f>AK159+AJ159+AI159</f>
        <v>127436021</v>
      </c>
      <c r="AM159" s="177">
        <f>AM158+O159</f>
        <v>0</v>
      </c>
      <c r="AN159" s="177">
        <f>AN158+P159</f>
        <v>0</v>
      </c>
      <c r="AO159" s="177">
        <f>AO158+Q159</f>
        <v>0</v>
      </c>
      <c r="AP159" s="177">
        <f t="shared" si="200"/>
        <v>0</v>
      </c>
      <c r="AQ159" s="177">
        <f t="shared" si="201"/>
        <v>0</v>
      </c>
      <c r="AR159" s="177">
        <f t="shared" si="201"/>
        <v>0</v>
      </c>
      <c r="AS159" s="177">
        <f t="shared" si="202"/>
        <v>0</v>
      </c>
      <c r="AT159" s="177">
        <f t="shared" si="174"/>
        <v>14401095909</v>
      </c>
      <c r="AU159" s="177">
        <f t="shared" si="175"/>
        <v>127436021</v>
      </c>
      <c r="AV159" s="177">
        <f t="shared" si="176"/>
        <v>14102849</v>
      </c>
      <c r="AW159" s="382">
        <f t="shared" si="177"/>
        <v>14542634779</v>
      </c>
      <c r="AX159" s="172">
        <f t="shared" si="190"/>
        <v>2.0617707414887221E-2</v>
      </c>
      <c r="AY159" s="172">
        <f t="shared" si="190"/>
        <v>-5.3720390609152902E-2</v>
      </c>
      <c r="AZ159" s="172">
        <f t="shared" si="190"/>
        <v>5.0297602401761399E-2</v>
      </c>
      <c r="BA159" s="172">
        <f t="shared" si="190"/>
        <v>1.9943528473844729E-2</v>
      </c>
    </row>
    <row r="160" spans="1:53">
      <c r="A160" s="171">
        <v>44927</v>
      </c>
      <c r="B160" s="385">
        <v>0</v>
      </c>
      <c r="C160" s="104">
        <v>0</v>
      </c>
      <c r="D160" s="104">
        <f t="shared" si="148"/>
        <v>0</v>
      </c>
      <c r="E160" s="104">
        <v>1200969763</v>
      </c>
      <c r="F160" s="104">
        <v>93242</v>
      </c>
      <c r="G160" s="104">
        <f t="shared" si="149"/>
        <v>1201063005</v>
      </c>
      <c r="H160" s="104">
        <v>0</v>
      </c>
      <c r="I160" s="104">
        <v>0</v>
      </c>
      <c r="J160" s="104">
        <f t="shared" si="166"/>
        <v>0</v>
      </c>
      <c r="K160" s="104">
        <v>0</v>
      </c>
      <c r="L160" s="104">
        <v>14648996</v>
      </c>
      <c r="M160" s="104">
        <v>0</v>
      </c>
      <c r="N160" s="104">
        <f t="shared" si="203"/>
        <v>14648996</v>
      </c>
      <c r="O160" s="104">
        <v>0</v>
      </c>
      <c r="P160" s="104">
        <v>0</v>
      </c>
      <c r="Q160" s="104">
        <v>0</v>
      </c>
      <c r="R160" s="104">
        <f t="shared" si="168"/>
        <v>0</v>
      </c>
      <c r="S160" s="104">
        <v>0</v>
      </c>
      <c r="T160" s="104">
        <v>0</v>
      </c>
      <c r="U160" s="104">
        <f t="shared" si="169"/>
        <v>0</v>
      </c>
      <c r="V160" s="104">
        <f t="shared" si="204"/>
        <v>1200969763</v>
      </c>
      <c r="W160" s="104">
        <f t="shared" si="171"/>
        <v>14648996</v>
      </c>
      <c r="X160" s="104">
        <f t="shared" si="172"/>
        <v>93242</v>
      </c>
      <c r="Y160" s="386">
        <f t="shared" si="173"/>
        <v>1215712001</v>
      </c>
      <c r="Z160" s="389">
        <f>B160</f>
        <v>0</v>
      </c>
      <c r="AA160" s="389">
        <f>C160</f>
        <v>0</v>
      </c>
      <c r="AB160" s="389">
        <f>AA160+Z160</f>
        <v>0</v>
      </c>
      <c r="AC160" s="389">
        <f>E160</f>
        <v>1200969763</v>
      </c>
      <c r="AD160" s="389">
        <f>F160</f>
        <v>93242</v>
      </c>
      <c r="AE160" s="389">
        <f>AD160+AC160</f>
        <v>1201063005</v>
      </c>
      <c r="AF160" s="389">
        <f>H160</f>
        <v>0</v>
      </c>
      <c r="AG160" s="389">
        <f>I160</f>
        <v>0</v>
      </c>
      <c r="AH160" s="389">
        <f>AG160+AF160</f>
        <v>0</v>
      </c>
      <c r="AI160" s="389">
        <f>K160</f>
        <v>0</v>
      </c>
      <c r="AJ160" s="389">
        <f>L160</f>
        <v>14648996</v>
      </c>
      <c r="AK160" s="389">
        <f>M160</f>
        <v>0</v>
      </c>
      <c r="AL160" s="389">
        <f>AK160+AJ160+AI160</f>
        <v>14648996</v>
      </c>
      <c r="AM160" s="389">
        <f>O160</f>
        <v>0</v>
      </c>
      <c r="AN160" s="389">
        <f>P160</f>
        <v>0</v>
      </c>
      <c r="AO160" s="389">
        <f>Q160</f>
        <v>0</v>
      </c>
      <c r="AP160" s="389">
        <f>AO160+AN160+AM160</f>
        <v>0</v>
      </c>
      <c r="AQ160" s="389">
        <f>S160</f>
        <v>0</v>
      </c>
      <c r="AR160" s="389">
        <f>T160</f>
        <v>0</v>
      </c>
      <c r="AS160" s="389">
        <f>AR160+AQ160</f>
        <v>0</v>
      </c>
      <c r="AT160" s="389">
        <f t="shared" si="174"/>
        <v>1200969763</v>
      </c>
      <c r="AU160" s="389">
        <f t="shared" si="175"/>
        <v>14648996</v>
      </c>
      <c r="AV160" s="389">
        <f t="shared" si="176"/>
        <v>93242</v>
      </c>
      <c r="AW160" s="390">
        <f t="shared" si="177"/>
        <v>1215712001</v>
      </c>
      <c r="AX160" s="172">
        <f t="shared" si="190"/>
        <v>-4.2738207388226535E-3</v>
      </c>
      <c r="AY160" s="172">
        <f t="shared" si="190"/>
        <v>1.5768899925027591</v>
      </c>
      <c r="AZ160" s="172">
        <f t="shared" si="190"/>
        <v>-0.91311559273295173</v>
      </c>
      <c r="BA160" s="172">
        <f t="shared" si="190"/>
        <v>2.3329111495251631E-3</v>
      </c>
    </row>
    <row r="161" spans="1:53">
      <c r="A161" s="170">
        <v>44958</v>
      </c>
      <c r="B161" s="378">
        <v>0</v>
      </c>
      <c r="C161" s="3">
        <v>0</v>
      </c>
      <c r="D161" s="3">
        <f t="shared" si="148"/>
        <v>0</v>
      </c>
      <c r="E161" s="3">
        <v>1118067955</v>
      </c>
      <c r="F161" s="3">
        <v>1100346</v>
      </c>
      <c r="G161" s="3">
        <f t="shared" si="149"/>
        <v>1119168301</v>
      </c>
      <c r="H161" s="3">
        <v>0</v>
      </c>
      <c r="I161" s="3">
        <v>0</v>
      </c>
      <c r="J161" s="3">
        <f t="shared" si="166"/>
        <v>0</v>
      </c>
      <c r="K161" s="3">
        <v>0</v>
      </c>
      <c r="L161" s="3">
        <v>11014399</v>
      </c>
      <c r="M161" s="3">
        <v>0</v>
      </c>
      <c r="N161" s="3">
        <f t="shared" si="203"/>
        <v>11014399</v>
      </c>
      <c r="O161" s="3">
        <v>0</v>
      </c>
      <c r="P161" s="3">
        <v>0</v>
      </c>
      <c r="Q161" s="3">
        <v>0</v>
      </c>
      <c r="R161" s="3">
        <f t="shared" si="168"/>
        <v>0</v>
      </c>
      <c r="S161" s="3">
        <v>0</v>
      </c>
      <c r="T161" s="3">
        <v>0</v>
      </c>
      <c r="U161" s="3">
        <f t="shared" si="169"/>
        <v>0</v>
      </c>
      <c r="V161" s="3">
        <f t="shared" si="204"/>
        <v>1118067955</v>
      </c>
      <c r="W161" s="3">
        <f t="shared" si="171"/>
        <v>11014399</v>
      </c>
      <c r="X161" s="3">
        <f t="shared" si="172"/>
        <v>1100346</v>
      </c>
      <c r="Y161" s="379">
        <f t="shared" si="173"/>
        <v>1130182700</v>
      </c>
      <c r="Z161" s="177">
        <f t="shared" ref="Z161:AA170" si="205">Z160+B161</f>
        <v>0</v>
      </c>
      <c r="AA161" s="177">
        <f t="shared" si="205"/>
        <v>0</v>
      </c>
      <c r="AB161" s="177">
        <f t="shared" ref="AB161:AB186" si="206">AA161+Z161</f>
        <v>0</v>
      </c>
      <c r="AC161" s="177">
        <f t="shared" ref="AC161:AD170" si="207">AC160+E161</f>
        <v>2319037718</v>
      </c>
      <c r="AD161" s="177">
        <f t="shared" si="207"/>
        <v>1193588</v>
      </c>
      <c r="AE161" s="177">
        <f t="shared" ref="AE161:AE186" si="208">AD161+AC161</f>
        <v>2320231306</v>
      </c>
      <c r="AF161" s="177">
        <f t="shared" ref="AF161:AG170" si="209">AF160+H161</f>
        <v>0</v>
      </c>
      <c r="AG161" s="177">
        <f t="shared" si="209"/>
        <v>0</v>
      </c>
      <c r="AH161" s="177">
        <f t="shared" ref="AH161:AH186" si="210">AG161+AF161</f>
        <v>0</v>
      </c>
      <c r="AI161" s="177">
        <f t="shared" ref="AI161:AK170" si="211">AI160+K161</f>
        <v>0</v>
      </c>
      <c r="AJ161" s="177">
        <f t="shared" si="211"/>
        <v>25663395</v>
      </c>
      <c r="AK161" s="177">
        <f t="shared" si="211"/>
        <v>0</v>
      </c>
      <c r="AL161" s="177">
        <f t="shared" ref="AL161:AL186" si="212">AK161+AJ161+AI161</f>
        <v>25663395</v>
      </c>
      <c r="AM161" s="177">
        <f t="shared" ref="AM161:AO170" si="213">AM160+O161</f>
        <v>0</v>
      </c>
      <c r="AN161" s="177">
        <f t="shared" si="213"/>
        <v>0</v>
      </c>
      <c r="AO161" s="177">
        <f t="shared" si="213"/>
        <v>0</v>
      </c>
      <c r="AP161" s="177">
        <f t="shared" ref="AP161:AP186" si="214">AO161+AN161+AM161</f>
        <v>0</v>
      </c>
      <c r="AQ161" s="177">
        <f t="shared" ref="AQ161:AR170" si="215">AQ160+S161</f>
        <v>0</v>
      </c>
      <c r="AR161" s="177">
        <f t="shared" si="215"/>
        <v>0</v>
      </c>
      <c r="AS161" s="177">
        <f t="shared" ref="AS161:AS186" si="216">AR161+AQ161</f>
        <v>0</v>
      </c>
      <c r="AT161" s="177">
        <f t="shared" si="174"/>
        <v>2319037718</v>
      </c>
      <c r="AU161" s="177">
        <f t="shared" si="175"/>
        <v>25663395</v>
      </c>
      <c r="AV161" s="177">
        <f t="shared" si="176"/>
        <v>1193588</v>
      </c>
      <c r="AW161" s="382">
        <f t="shared" si="177"/>
        <v>2345894701</v>
      </c>
      <c r="AX161" s="172">
        <f t="shared" si="190"/>
        <v>2.227942599325794E-2</v>
      </c>
      <c r="AY161" s="172">
        <f t="shared" si="190"/>
        <v>1.0847348870216669</v>
      </c>
      <c r="AZ161" s="172">
        <f t="shared" si="190"/>
        <v>-0.421185146964974</v>
      </c>
      <c r="BA161" s="172">
        <f t="shared" si="190"/>
        <v>2.7608029634178077E-2</v>
      </c>
    </row>
    <row r="162" spans="1:53">
      <c r="A162" s="170">
        <v>44986</v>
      </c>
      <c r="B162" s="378">
        <v>0</v>
      </c>
      <c r="C162" s="3">
        <v>0</v>
      </c>
      <c r="D162" s="3">
        <f t="shared" si="148"/>
        <v>0</v>
      </c>
      <c r="E162" s="3">
        <v>1206945599</v>
      </c>
      <c r="F162" s="3">
        <v>0</v>
      </c>
      <c r="G162" s="3">
        <f t="shared" si="149"/>
        <v>1206945599</v>
      </c>
      <c r="H162" s="3">
        <v>0</v>
      </c>
      <c r="I162" s="3">
        <v>0</v>
      </c>
      <c r="J162" s="3">
        <f t="shared" si="166"/>
        <v>0</v>
      </c>
      <c r="K162" s="3">
        <v>0</v>
      </c>
      <c r="L162" s="3">
        <v>13696092</v>
      </c>
      <c r="M162" s="3">
        <v>0</v>
      </c>
      <c r="N162" s="3">
        <f t="shared" si="203"/>
        <v>13696092</v>
      </c>
      <c r="O162" s="3">
        <v>0</v>
      </c>
      <c r="P162" s="3">
        <v>0</v>
      </c>
      <c r="Q162" s="3">
        <v>0</v>
      </c>
      <c r="R162" s="3">
        <f t="shared" si="168"/>
        <v>0</v>
      </c>
      <c r="S162" s="3">
        <v>0</v>
      </c>
      <c r="T162" s="3">
        <v>0</v>
      </c>
      <c r="U162" s="3">
        <f t="shared" si="169"/>
        <v>0</v>
      </c>
      <c r="V162" s="3">
        <f t="shared" si="204"/>
        <v>1206945599</v>
      </c>
      <c r="W162" s="3">
        <f t="shared" si="171"/>
        <v>13696092</v>
      </c>
      <c r="X162" s="3">
        <f t="shared" si="172"/>
        <v>0</v>
      </c>
      <c r="Y162" s="379">
        <f t="shared" si="173"/>
        <v>1220641691</v>
      </c>
      <c r="Z162" s="177">
        <f t="shared" si="205"/>
        <v>0</v>
      </c>
      <c r="AA162" s="177">
        <f t="shared" si="205"/>
        <v>0</v>
      </c>
      <c r="AB162" s="177">
        <f t="shared" si="206"/>
        <v>0</v>
      </c>
      <c r="AC162" s="177">
        <f t="shared" si="207"/>
        <v>3525983317</v>
      </c>
      <c r="AD162" s="177">
        <f t="shared" si="207"/>
        <v>1193588</v>
      </c>
      <c r="AE162" s="177">
        <f t="shared" si="208"/>
        <v>3527176905</v>
      </c>
      <c r="AF162" s="177">
        <f t="shared" si="209"/>
        <v>0</v>
      </c>
      <c r="AG162" s="177">
        <f t="shared" si="209"/>
        <v>0</v>
      </c>
      <c r="AH162" s="177">
        <f t="shared" si="210"/>
        <v>0</v>
      </c>
      <c r="AI162" s="177">
        <f t="shared" si="211"/>
        <v>0</v>
      </c>
      <c r="AJ162" s="177">
        <f t="shared" si="211"/>
        <v>39359487</v>
      </c>
      <c r="AK162" s="177">
        <f t="shared" si="211"/>
        <v>0</v>
      </c>
      <c r="AL162" s="177">
        <f t="shared" si="212"/>
        <v>39359487</v>
      </c>
      <c r="AM162" s="177">
        <f t="shared" si="213"/>
        <v>0</v>
      </c>
      <c r="AN162" s="177">
        <f t="shared" si="213"/>
        <v>0</v>
      </c>
      <c r="AO162" s="177">
        <f t="shared" si="213"/>
        <v>0</v>
      </c>
      <c r="AP162" s="177">
        <f t="shared" si="214"/>
        <v>0</v>
      </c>
      <c r="AQ162" s="177">
        <f t="shared" si="215"/>
        <v>0</v>
      </c>
      <c r="AR162" s="177">
        <f t="shared" si="215"/>
        <v>0</v>
      </c>
      <c r="AS162" s="177">
        <f t="shared" si="216"/>
        <v>0</v>
      </c>
      <c r="AT162" s="177">
        <f t="shared" si="174"/>
        <v>3525983317</v>
      </c>
      <c r="AU162" s="177">
        <f t="shared" si="175"/>
        <v>39359487</v>
      </c>
      <c r="AV162" s="177">
        <f t="shared" si="176"/>
        <v>1193588</v>
      </c>
      <c r="AW162" s="382">
        <f t="shared" si="177"/>
        <v>3566536392</v>
      </c>
      <c r="AX162" s="172">
        <f t="shared" si="190"/>
        <v>-7.0037433124869874E-4</v>
      </c>
      <c r="AY162" s="172">
        <f t="shared" si="190"/>
        <v>0.78140004027211418</v>
      </c>
      <c r="AZ162" s="172">
        <f t="shared" si="190"/>
        <v>-0.62113284829639803</v>
      </c>
      <c r="BA162" s="172">
        <f t="shared" si="190"/>
        <v>3.612215780997019E-3</v>
      </c>
    </row>
    <row r="163" spans="1:53">
      <c r="A163" s="170">
        <v>45017</v>
      </c>
      <c r="B163" s="378">
        <v>0</v>
      </c>
      <c r="C163" s="3">
        <v>0</v>
      </c>
      <c r="D163" s="3">
        <f t="shared" si="148"/>
        <v>0</v>
      </c>
      <c r="E163" s="3">
        <v>1138611575</v>
      </c>
      <c r="F163" s="3">
        <v>1063202</v>
      </c>
      <c r="G163" s="3">
        <f t="shared" si="149"/>
        <v>1139674777</v>
      </c>
      <c r="H163" s="3">
        <v>0</v>
      </c>
      <c r="I163" s="3">
        <v>0</v>
      </c>
      <c r="J163" s="3">
        <f t="shared" si="166"/>
        <v>0</v>
      </c>
      <c r="K163" s="3">
        <v>0</v>
      </c>
      <c r="L163" s="3">
        <v>16671195</v>
      </c>
      <c r="M163" s="3">
        <v>0</v>
      </c>
      <c r="N163" s="3">
        <f t="shared" si="203"/>
        <v>16671195</v>
      </c>
      <c r="O163" s="3">
        <v>0</v>
      </c>
      <c r="P163" s="3">
        <v>0</v>
      </c>
      <c r="Q163" s="3">
        <v>0</v>
      </c>
      <c r="R163" s="3">
        <f t="shared" si="168"/>
        <v>0</v>
      </c>
      <c r="S163" s="3">
        <v>0</v>
      </c>
      <c r="T163" s="3">
        <v>0</v>
      </c>
      <c r="U163" s="3">
        <f t="shared" si="169"/>
        <v>0</v>
      </c>
      <c r="V163" s="3">
        <f t="shared" si="204"/>
        <v>1138611575</v>
      </c>
      <c r="W163" s="3">
        <f t="shared" si="171"/>
        <v>16671195</v>
      </c>
      <c r="X163" s="3">
        <f t="shared" si="172"/>
        <v>1063202</v>
      </c>
      <c r="Y163" s="379">
        <f t="shared" si="173"/>
        <v>1156345972</v>
      </c>
      <c r="Z163" s="177">
        <f t="shared" si="205"/>
        <v>0</v>
      </c>
      <c r="AA163" s="177">
        <f t="shared" si="205"/>
        <v>0</v>
      </c>
      <c r="AB163" s="177">
        <f t="shared" si="206"/>
        <v>0</v>
      </c>
      <c r="AC163" s="177">
        <f t="shared" si="207"/>
        <v>4664594892</v>
      </c>
      <c r="AD163" s="177">
        <f t="shared" si="207"/>
        <v>2256790</v>
      </c>
      <c r="AE163" s="177">
        <f t="shared" si="208"/>
        <v>4666851682</v>
      </c>
      <c r="AF163" s="177">
        <f t="shared" si="209"/>
        <v>0</v>
      </c>
      <c r="AG163" s="177">
        <f t="shared" si="209"/>
        <v>0</v>
      </c>
      <c r="AH163" s="177">
        <f t="shared" si="210"/>
        <v>0</v>
      </c>
      <c r="AI163" s="177">
        <f t="shared" si="211"/>
        <v>0</v>
      </c>
      <c r="AJ163" s="177">
        <f t="shared" si="211"/>
        <v>56030682</v>
      </c>
      <c r="AK163" s="177">
        <f t="shared" si="211"/>
        <v>0</v>
      </c>
      <c r="AL163" s="177">
        <f t="shared" si="212"/>
        <v>56030682</v>
      </c>
      <c r="AM163" s="177">
        <f t="shared" si="213"/>
        <v>0</v>
      </c>
      <c r="AN163" s="177">
        <f t="shared" si="213"/>
        <v>0</v>
      </c>
      <c r="AO163" s="177">
        <f t="shared" si="213"/>
        <v>0</v>
      </c>
      <c r="AP163" s="177">
        <f t="shared" si="214"/>
        <v>0</v>
      </c>
      <c r="AQ163" s="177">
        <f t="shared" si="215"/>
        <v>0</v>
      </c>
      <c r="AR163" s="177">
        <f t="shared" si="215"/>
        <v>0</v>
      </c>
      <c r="AS163" s="177">
        <f t="shared" si="216"/>
        <v>0</v>
      </c>
      <c r="AT163" s="177">
        <f t="shared" si="174"/>
        <v>4664594892</v>
      </c>
      <c r="AU163" s="177">
        <f t="shared" si="175"/>
        <v>56030682</v>
      </c>
      <c r="AV163" s="177">
        <f t="shared" si="176"/>
        <v>2256790</v>
      </c>
      <c r="AW163" s="382">
        <f t="shared" si="177"/>
        <v>4722882364</v>
      </c>
      <c r="AX163" s="172">
        <f t="shared" si="190"/>
        <v>2.0376761135318944E-3</v>
      </c>
      <c r="AY163" s="172">
        <f t="shared" si="190"/>
        <v>0.81168924013252486</v>
      </c>
      <c r="AZ163" s="172">
        <f t="shared" si="190"/>
        <v>-0.46070008932612538</v>
      </c>
      <c r="BA163" s="172">
        <f t="shared" si="190"/>
        <v>6.9636580324687891E-3</v>
      </c>
    </row>
    <row r="164" spans="1:53">
      <c r="A164" s="170">
        <v>45047</v>
      </c>
      <c r="B164" s="378">
        <v>0</v>
      </c>
      <c r="C164" s="3">
        <v>0</v>
      </c>
      <c r="D164" s="3">
        <f t="shared" si="148"/>
        <v>0</v>
      </c>
      <c r="E164" s="3">
        <v>1254320370</v>
      </c>
      <c r="F164" s="3">
        <v>1270046</v>
      </c>
      <c r="G164" s="3">
        <f t="shared" si="149"/>
        <v>1255590416</v>
      </c>
      <c r="H164" s="3">
        <v>0</v>
      </c>
      <c r="I164" s="3">
        <v>0</v>
      </c>
      <c r="J164" s="3">
        <f t="shared" si="166"/>
        <v>0</v>
      </c>
      <c r="K164" s="3">
        <v>0</v>
      </c>
      <c r="L164" s="3">
        <v>23050598</v>
      </c>
      <c r="M164" s="3">
        <v>0</v>
      </c>
      <c r="N164" s="3">
        <f t="shared" si="203"/>
        <v>23050598</v>
      </c>
      <c r="O164" s="3">
        <v>0</v>
      </c>
      <c r="P164" s="3">
        <v>0</v>
      </c>
      <c r="Q164" s="3">
        <v>0</v>
      </c>
      <c r="R164" s="3">
        <f t="shared" si="168"/>
        <v>0</v>
      </c>
      <c r="S164" s="3">
        <v>0</v>
      </c>
      <c r="T164" s="3">
        <v>0</v>
      </c>
      <c r="U164" s="3">
        <f t="shared" si="169"/>
        <v>0</v>
      </c>
      <c r="V164" s="3">
        <f t="shared" si="204"/>
        <v>1254320370</v>
      </c>
      <c r="W164" s="3">
        <f t="shared" si="171"/>
        <v>23050598</v>
      </c>
      <c r="X164" s="3">
        <f t="shared" si="172"/>
        <v>1270046</v>
      </c>
      <c r="Y164" s="379">
        <f t="shared" si="173"/>
        <v>1278641014</v>
      </c>
      <c r="Z164" s="177">
        <f t="shared" si="205"/>
        <v>0</v>
      </c>
      <c r="AA164" s="177">
        <f t="shared" si="205"/>
        <v>0</v>
      </c>
      <c r="AB164" s="177">
        <f t="shared" si="206"/>
        <v>0</v>
      </c>
      <c r="AC164" s="177">
        <f t="shared" si="207"/>
        <v>5918915262</v>
      </c>
      <c r="AD164" s="177">
        <f t="shared" si="207"/>
        <v>3526836</v>
      </c>
      <c r="AE164" s="177">
        <f t="shared" si="208"/>
        <v>5922442098</v>
      </c>
      <c r="AF164" s="177">
        <f t="shared" si="209"/>
        <v>0</v>
      </c>
      <c r="AG164" s="177">
        <f t="shared" si="209"/>
        <v>0</v>
      </c>
      <c r="AH164" s="177">
        <f t="shared" si="210"/>
        <v>0</v>
      </c>
      <c r="AI164" s="177">
        <f t="shared" si="211"/>
        <v>0</v>
      </c>
      <c r="AJ164" s="177">
        <f t="shared" si="211"/>
        <v>79081280</v>
      </c>
      <c r="AK164" s="177">
        <f t="shared" si="211"/>
        <v>0</v>
      </c>
      <c r="AL164" s="177">
        <f t="shared" si="212"/>
        <v>79081280</v>
      </c>
      <c r="AM164" s="177">
        <f t="shared" si="213"/>
        <v>0</v>
      </c>
      <c r="AN164" s="177">
        <f t="shared" si="213"/>
        <v>0</v>
      </c>
      <c r="AO164" s="177">
        <f t="shared" si="213"/>
        <v>0</v>
      </c>
      <c r="AP164" s="177">
        <f t="shared" si="214"/>
        <v>0</v>
      </c>
      <c r="AQ164" s="177">
        <f t="shared" si="215"/>
        <v>0</v>
      </c>
      <c r="AR164" s="177">
        <f t="shared" si="215"/>
        <v>0</v>
      </c>
      <c r="AS164" s="177">
        <f t="shared" si="216"/>
        <v>0</v>
      </c>
      <c r="AT164" s="177">
        <f t="shared" si="174"/>
        <v>5918915262</v>
      </c>
      <c r="AU164" s="177">
        <f t="shared" si="175"/>
        <v>79081280</v>
      </c>
      <c r="AV164" s="177">
        <f t="shared" si="176"/>
        <v>3526836</v>
      </c>
      <c r="AW164" s="382">
        <f t="shared" si="177"/>
        <v>6001523378</v>
      </c>
      <c r="AX164" s="172">
        <f t="shared" si="190"/>
        <v>7.1703304751833397E-3</v>
      </c>
      <c r="AY164" s="172">
        <f t="shared" si="190"/>
        <v>0.89873336270223891</v>
      </c>
      <c r="AZ164" s="172">
        <f t="shared" si="190"/>
        <v>-0.34661869176123261</v>
      </c>
      <c r="BA164" s="172">
        <f t="shared" si="190"/>
        <v>1.311639780507301E-2</v>
      </c>
    </row>
    <row r="165" spans="1:53">
      <c r="A165" s="170">
        <v>45078</v>
      </c>
      <c r="B165" s="378">
        <v>0</v>
      </c>
      <c r="C165" s="3">
        <v>0</v>
      </c>
      <c r="D165" s="3">
        <f t="shared" si="148"/>
        <v>0</v>
      </c>
      <c r="E165" s="3">
        <v>1272915445</v>
      </c>
      <c r="F165" s="3">
        <v>1197697</v>
      </c>
      <c r="G165" s="3">
        <f t="shared" si="149"/>
        <v>1274113142</v>
      </c>
      <c r="H165" s="3">
        <v>0</v>
      </c>
      <c r="I165" s="3">
        <v>0</v>
      </c>
      <c r="J165" s="3">
        <f t="shared" si="166"/>
        <v>0</v>
      </c>
      <c r="K165" s="3">
        <v>0</v>
      </c>
      <c r="L165" s="3">
        <v>12087264</v>
      </c>
      <c r="M165" s="3">
        <v>0</v>
      </c>
      <c r="N165" s="3">
        <f t="shared" si="203"/>
        <v>12087264</v>
      </c>
      <c r="O165" s="3">
        <v>0</v>
      </c>
      <c r="P165" s="3">
        <v>0</v>
      </c>
      <c r="Q165" s="3">
        <v>0</v>
      </c>
      <c r="R165" s="3">
        <f t="shared" si="168"/>
        <v>0</v>
      </c>
      <c r="S165" s="3">
        <v>0</v>
      </c>
      <c r="T165" s="3">
        <v>0</v>
      </c>
      <c r="U165" s="3">
        <f t="shared" si="169"/>
        <v>0</v>
      </c>
      <c r="V165" s="3">
        <f t="shared" si="204"/>
        <v>1272915445</v>
      </c>
      <c r="W165" s="3">
        <f t="shared" si="171"/>
        <v>12087264</v>
      </c>
      <c r="X165" s="3">
        <f t="shared" si="172"/>
        <v>1197697</v>
      </c>
      <c r="Y165" s="379">
        <f t="shared" si="173"/>
        <v>1286200406</v>
      </c>
      <c r="Z165" s="177">
        <f t="shared" si="205"/>
        <v>0</v>
      </c>
      <c r="AA165" s="177">
        <f t="shared" si="205"/>
        <v>0</v>
      </c>
      <c r="AB165" s="177">
        <f t="shared" si="206"/>
        <v>0</v>
      </c>
      <c r="AC165" s="177">
        <f t="shared" si="207"/>
        <v>7191830707</v>
      </c>
      <c r="AD165" s="177">
        <f t="shared" si="207"/>
        <v>4724533</v>
      </c>
      <c r="AE165" s="177">
        <f t="shared" si="208"/>
        <v>7196555240</v>
      </c>
      <c r="AF165" s="177">
        <f t="shared" si="209"/>
        <v>0</v>
      </c>
      <c r="AG165" s="177">
        <f t="shared" si="209"/>
        <v>0</v>
      </c>
      <c r="AH165" s="177">
        <f t="shared" si="210"/>
        <v>0</v>
      </c>
      <c r="AI165" s="177">
        <f t="shared" si="211"/>
        <v>0</v>
      </c>
      <c r="AJ165" s="177">
        <f t="shared" si="211"/>
        <v>91168544</v>
      </c>
      <c r="AK165" s="177">
        <f t="shared" si="211"/>
        <v>0</v>
      </c>
      <c r="AL165" s="177">
        <f t="shared" si="212"/>
        <v>91168544</v>
      </c>
      <c r="AM165" s="177">
        <f t="shared" si="213"/>
        <v>0</v>
      </c>
      <c r="AN165" s="177">
        <f t="shared" si="213"/>
        <v>0</v>
      </c>
      <c r="AO165" s="177">
        <f t="shared" si="213"/>
        <v>0</v>
      </c>
      <c r="AP165" s="177">
        <f t="shared" si="214"/>
        <v>0</v>
      </c>
      <c r="AQ165" s="177">
        <f t="shared" si="215"/>
        <v>0</v>
      </c>
      <c r="AR165" s="177">
        <f t="shared" si="215"/>
        <v>0</v>
      </c>
      <c r="AS165" s="177">
        <f t="shared" si="216"/>
        <v>0</v>
      </c>
      <c r="AT165" s="177">
        <f t="shared" si="174"/>
        <v>7191830707</v>
      </c>
      <c r="AU165" s="177">
        <f t="shared" si="175"/>
        <v>91168544</v>
      </c>
      <c r="AV165" s="177">
        <f t="shared" si="176"/>
        <v>4724533</v>
      </c>
      <c r="AW165" s="382">
        <f t="shared" si="177"/>
        <v>7287723784</v>
      </c>
      <c r="AX165" s="172">
        <f t="shared" si="190"/>
        <v>4.1657273887938384E-3</v>
      </c>
      <c r="AY165" s="172">
        <f t="shared" si="190"/>
        <v>0.93499090792318529</v>
      </c>
      <c r="AZ165" s="172">
        <f t="shared" si="190"/>
        <v>-0.2824069341682639</v>
      </c>
      <c r="BA165" s="172">
        <f t="shared" si="190"/>
        <v>9.982182737355183E-3</v>
      </c>
    </row>
    <row r="166" spans="1:53">
      <c r="A166" s="170">
        <v>45108</v>
      </c>
      <c r="B166" s="378">
        <v>0</v>
      </c>
      <c r="C166" s="3">
        <v>0</v>
      </c>
      <c r="D166" s="3">
        <f t="shared" si="148"/>
        <v>0</v>
      </c>
      <c r="E166" s="3">
        <v>1269749643</v>
      </c>
      <c r="F166" s="3">
        <v>1373621</v>
      </c>
      <c r="G166" s="3">
        <f t="shared" si="149"/>
        <v>1271123264</v>
      </c>
      <c r="H166" s="3">
        <v>0</v>
      </c>
      <c r="I166" s="3">
        <v>0</v>
      </c>
      <c r="J166" s="3">
        <f t="shared" si="166"/>
        <v>0</v>
      </c>
      <c r="K166" s="3">
        <v>0</v>
      </c>
      <c r="L166" s="3">
        <v>9222757</v>
      </c>
      <c r="M166" s="3">
        <v>0</v>
      </c>
      <c r="N166" s="3">
        <f t="shared" si="203"/>
        <v>9222757</v>
      </c>
      <c r="O166" s="3">
        <v>0</v>
      </c>
      <c r="P166" s="3">
        <v>0</v>
      </c>
      <c r="Q166" s="3">
        <v>0</v>
      </c>
      <c r="R166" s="3">
        <f t="shared" si="168"/>
        <v>0</v>
      </c>
      <c r="S166" s="3">
        <v>0</v>
      </c>
      <c r="T166" s="3">
        <v>0</v>
      </c>
      <c r="U166" s="3">
        <f t="shared" si="169"/>
        <v>0</v>
      </c>
      <c r="V166" s="3">
        <f t="shared" si="204"/>
        <v>1269749643</v>
      </c>
      <c r="W166" s="3">
        <f t="shared" si="171"/>
        <v>9222757</v>
      </c>
      <c r="X166" s="3">
        <f t="shared" si="172"/>
        <v>1373621</v>
      </c>
      <c r="Y166" s="379">
        <f t="shared" si="173"/>
        <v>1280346021</v>
      </c>
      <c r="Z166" s="177">
        <f t="shared" si="205"/>
        <v>0</v>
      </c>
      <c r="AA166" s="177">
        <f t="shared" si="205"/>
        <v>0</v>
      </c>
      <c r="AB166" s="177">
        <f t="shared" si="206"/>
        <v>0</v>
      </c>
      <c r="AC166" s="177">
        <f t="shared" si="207"/>
        <v>8461580350</v>
      </c>
      <c r="AD166" s="177">
        <f t="shared" si="207"/>
        <v>6098154</v>
      </c>
      <c r="AE166" s="177">
        <f t="shared" si="208"/>
        <v>8467678504</v>
      </c>
      <c r="AF166" s="177">
        <f t="shared" si="209"/>
        <v>0</v>
      </c>
      <c r="AG166" s="177">
        <f t="shared" si="209"/>
        <v>0</v>
      </c>
      <c r="AH166" s="177">
        <f t="shared" si="210"/>
        <v>0</v>
      </c>
      <c r="AI166" s="177">
        <f t="shared" si="211"/>
        <v>0</v>
      </c>
      <c r="AJ166" s="177">
        <f t="shared" si="211"/>
        <v>100391301</v>
      </c>
      <c r="AK166" s="177">
        <f t="shared" si="211"/>
        <v>0</v>
      </c>
      <c r="AL166" s="177">
        <f t="shared" si="212"/>
        <v>100391301</v>
      </c>
      <c r="AM166" s="177">
        <f t="shared" si="213"/>
        <v>0</v>
      </c>
      <c r="AN166" s="177">
        <f t="shared" si="213"/>
        <v>0</v>
      </c>
      <c r="AO166" s="177">
        <f t="shared" si="213"/>
        <v>0</v>
      </c>
      <c r="AP166" s="177">
        <f t="shared" si="214"/>
        <v>0</v>
      </c>
      <c r="AQ166" s="177">
        <f t="shared" si="215"/>
        <v>0</v>
      </c>
      <c r="AR166" s="177">
        <f t="shared" si="215"/>
        <v>0</v>
      </c>
      <c r="AS166" s="177">
        <f t="shared" si="216"/>
        <v>0</v>
      </c>
      <c r="AT166" s="177">
        <f t="shared" si="174"/>
        <v>8461580350</v>
      </c>
      <c r="AU166" s="177">
        <f t="shared" si="175"/>
        <v>100391301</v>
      </c>
      <c r="AV166" s="177">
        <f t="shared" si="176"/>
        <v>6098154</v>
      </c>
      <c r="AW166" s="382">
        <f t="shared" si="177"/>
        <v>8568069805</v>
      </c>
      <c r="AX166" s="172">
        <f t="shared" si="190"/>
        <v>1.1456542137115333E-2</v>
      </c>
      <c r="AY166" s="172">
        <f t="shared" si="190"/>
        <v>0.88166345815872171</v>
      </c>
      <c r="AZ166" s="172">
        <f t="shared" si="190"/>
        <v>-0.22646518229870272</v>
      </c>
      <c r="BA166" s="172">
        <f t="shared" si="190"/>
        <v>1.6743373815190088E-2</v>
      </c>
    </row>
    <row r="167" spans="1:53">
      <c r="A167" s="170">
        <v>45139</v>
      </c>
      <c r="B167" s="378">
        <v>81304</v>
      </c>
      <c r="C167" s="3">
        <v>0</v>
      </c>
      <c r="D167" s="3">
        <f t="shared" si="148"/>
        <v>81304</v>
      </c>
      <c r="E167" s="3">
        <v>1259762648</v>
      </c>
      <c r="F167" s="3">
        <v>1450570</v>
      </c>
      <c r="G167" s="3">
        <f t="shared" si="149"/>
        <v>1261213218</v>
      </c>
      <c r="H167" s="3">
        <v>0</v>
      </c>
      <c r="I167" s="3">
        <v>0</v>
      </c>
      <c r="J167" s="3">
        <f t="shared" si="166"/>
        <v>0</v>
      </c>
      <c r="K167" s="3">
        <v>327746</v>
      </c>
      <c r="L167" s="3">
        <v>47892</v>
      </c>
      <c r="M167" s="3">
        <v>0</v>
      </c>
      <c r="N167" s="3">
        <f t="shared" si="203"/>
        <v>375638</v>
      </c>
      <c r="O167" s="3">
        <v>1484063</v>
      </c>
      <c r="P167" s="3">
        <v>0</v>
      </c>
      <c r="Q167" s="3">
        <v>0</v>
      </c>
      <c r="R167" s="3">
        <f t="shared" si="168"/>
        <v>1484063</v>
      </c>
      <c r="S167" s="3">
        <v>16513951</v>
      </c>
      <c r="T167" s="3">
        <v>0</v>
      </c>
      <c r="U167" s="3">
        <f t="shared" si="169"/>
        <v>16513951</v>
      </c>
      <c r="V167" s="3">
        <f t="shared" si="204"/>
        <v>1260171698</v>
      </c>
      <c r="W167" s="3">
        <f t="shared" si="171"/>
        <v>47892</v>
      </c>
      <c r="X167" s="3">
        <f t="shared" si="172"/>
        <v>1450570</v>
      </c>
      <c r="Y167" s="379">
        <f t="shared" si="173"/>
        <v>1261670160</v>
      </c>
      <c r="Z167" s="177">
        <f t="shared" si="205"/>
        <v>81304</v>
      </c>
      <c r="AA167" s="177">
        <f t="shared" si="205"/>
        <v>0</v>
      </c>
      <c r="AB167" s="177">
        <f t="shared" si="206"/>
        <v>81304</v>
      </c>
      <c r="AC167" s="177">
        <f t="shared" si="207"/>
        <v>9721342998</v>
      </c>
      <c r="AD167" s="177">
        <f t="shared" si="207"/>
        <v>7548724</v>
      </c>
      <c r="AE167" s="177">
        <f t="shared" si="208"/>
        <v>9728891722</v>
      </c>
      <c r="AF167" s="177">
        <f t="shared" si="209"/>
        <v>0</v>
      </c>
      <c r="AG167" s="177">
        <f t="shared" si="209"/>
        <v>0</v>
      </c>
      <c r="AH167" s="177">
        <f t="shared" si="210"/>
        <v>0</v>
      </c>
      <c r="AI167" s="177">
        <f t="shared" si="211"/>
        <v>327746</v>
      </c>
      <c r="AJ167" s="177">
        <f t="shared" si="211"/>
        <v>100439193</v>
      </c>
      <c r="AK167" s="177">
        <f t="shared" si="211"/>
        <v>0</v>
      </c>
      <c r="AL167" s="177">
        <f t="shared" si="212"/>
        <v>100766939</v>
      </c>
      <c r="AM167" s="177">
        <f t="shared" si="213"/>
        <v>1484063</v>
      </c>
      <c r="AN167" s="177">
        <f t="shared" si="213"/>
        <v>0</v>
      </c>
      <c r="AO167" s="177">
        <f t="shared" si="213"/>
        <v>0</v>
      </c>
      <c r="AP167" s="177">
        <f t="shared" si="214"/>
        <v>1484063</v>
      </c>
      <c r="AQ167" s="177">
        <f t="shared" si="215"/>
        <v>16513951</v>
      </c>
      <c r="AR167" s="177">
        <f t="shared" si="215"/>
        <v>0</v>
      </c>
      <c r="AS167" s="177">
        <f t="shared" si="216"/>
        <v>16513951</v>
      </c>
      <c r="AT167" s="177">
        <f t="shared" si="174"/>
        <v>9739750062</v>
      </c>
      <c r="AU167" s="177">
        <f t="shared" si="175"/>
        <v>100439193</v>
      </c>
      <c r="AV167" s="177">
        <f t="shared" si="176"/>
        <v>7548724</v>
      </c>
      <c r="AW167" s="382">
        <f t="shared" si="177"/>
        <v>9847737979</v>
      </c>
      <c r="AX167" s="172">
        <f t="shared" si="190"/>
        <v>1.1252556267421721E-2</v>
      </c>
      <c r="AY167" s="172">
        <f t="shared" si="190"/>
        <v>0.77168190321229635</v>
      </c>
      <c r="AZ167" s="172">
        <f t="shared" si="190"/>
        <v>-0.18071038013541296</v>
      </c>
      <c r="BA167" s="172">
        <f t="shared" si="190"/>
        <v>1.5515725438573158E-2</v>
      </c>
    </row>
    <row r="168" spans="1:53">
      <c r="A168" s="170">
        <v>45170</v>
      </c>
      <c r="B168" s="378">
        <v>1523619</v>
      </c>
      <c r="C168" s="3">
        <v>3224990</v>
      </c>
      <c r="D168" s="3">
        <f t="shared" si="148"/>
        <v>4748609</v>
      </c>
      <c r="E168" s="3">
        <v>1173157919</v>
      </c>
      <c r="F168" s="3">
        <v>1272177</v>
      </c>
      <c r="G168" s="3">
        <f t="shared" si="149"/>
        <v>1174430096</v>
      </c>
      <c r="H168" s="3">
        <v>0</v>
      </c>
      <c r="I168" s="3">
        <v>0</v>
      </c>
      <c r="J168" s="3">
        <f t="shared" si="166"/>
        <v>0</v>
      </c>
      <c r="K168" s="3">
        <v>0</v>
      </c>
      <c r="L168" s="3">
        <v>693816</v>
      </c>
      <c r="M168" s="3">
        <v>0</v>
      </c>
      <c r="N168" s="3">
        <f t="shared" si="203"/>
        <v>693816</v>
      </c>
      <c r="O168" s="3">
        <v>0</v>
      </c>
      <c r="P168" s="3">
        <v>0</v>
      </c>
      <c r="Q168" s="3">
        <v>0</v>
      </c>
      <c r="R168" s="3">
        <f t="shared" si="168"/>
        <v>0</v>
      </c>
      <c r="S168" s="3">
        <v>0</v>
      </c>
      <c r="T168" s="3">
        <v>0</v>
      </c>
      <c r="U168" s="3">
        <f t="shared" si="169"/>
        <v>0</v>
      </c>
      <c r="V168" s="3">
        <f t="shared" si="204"/>
        <v>1174681538</v>
      </c>
      <c r="W168" s="3">
        <f t="shared" si="171"/>
        <v>693816</v>
      </c>
      <c r="X168" s="3">
        <f t="shared" si="172"/>
        <v>4497167</v>
      </c>
      <c r="Y168" s="379">
        <f t="shared" si="173"/>
        <v>1179872521</v>
      </c>
      <c r="Z168" s="177">
        <f t="shared" si="205"/>
        <v>1604923</v>
      </c>
      <c r="AA168" s="177">
        <f t="shared" si="205"/>
        <v>3224990</v>
      </c>
      <c r="AB168" s="177">
        <f t="shared" si="206"/>
        <v>4829913</v>
      </c>
      <c r="AC168" s="177">
        <f t="shared" si="207"/>
        <v>10894500917</v>
      </c>
      <c r="AD168" s="177">
        <f t="shared" si="207"/>
        <v>8820901</v>
      </c>
      <c r="AE168" s="177">
        <f t="shared" si="208"/>
        <v>10903321818</v>
      </c>
      <c r="AF168" s="177">
        <f t="shared" si="209"/>
        <v>0</v>
      </c>
      <c r="AG168" s="177">
        <f t="shared" si="209"/>
        <v>0</v>
      </c>
      <c r="AH168" s="177">
        <f t="shared" si="210"/>
        <v>0</v>
      </c>
      <c r="AI168" s="177">
        <f t="shared" si="211"/>
        <v>327746</v>
      </c>
      <c r="AJ168" s="177">
        <f t="shared" si="211"/>
        <v>101133009</v>
      </c>
      <c r="AK168" s="177">
        <f t="shared" si="211"/>
        <v>0</v>
      </c>
      <c r="AL168" s="177">
        <f t="shared" si="212"/>
        <v>101460755</v>
      </c>
      <c r="AM168" s="177">
        <f t="shared" si="213"/>
        <v>1484063</v>
      </c>
      <c r="AN168" s="177">
        <f t="shared" si="213"/>
        <v>0</v>
      </c>
      <c r="AO168" s="177">
        <f t="shared" si="213"/>
        <v>0</v>
      </c>
      <c r="AP168" s="177">
        <f t="shared" si="214"/>
        <v>1484063</v>
      </c>
      <c r="AQ168" s="177">
        <f t="shared" si="215"/>
        <v>16513951</v>
      </c>
      <c r="AR168" s="177">
        <f t="shared" si="215"/>
        <v>0</v>
      </c>
      <c r="AS168" s="177">
        <f t="shared" si="216"/>
        <v>16513951</v>
      </c>
      <c r="AT168" s="177">
        <f>AQ168+AM168+AI168+AF168+AC168+Z168</f>
        <v>10914431600</v>
      </c>
      <c r="AU168" s="177">
        <f t="shared" si="175"/>
        <v>101133009</v>
      </c>
      <c r="AV168" s="177">
        <f t="shared" si="176"/>
        <v>12045891</v>
      </c>
      <c r="AW168" s="382">
        <f t="shared" si="177"/>
        <v>11027610500</v>
      </c>
      <c r="AX168" s="172">
        <f t="shared" si="190"/>
        <v>1.5650651712537433E-2</v>
      </c>
      <c r="AY168" s="172">
        <f t="shared" si="190"/>
        <v>0.4482640151569286</v>
      </c>
      <c r="AZ168" s="172">
        <f t="shared" si="190"/>
        <v>0.15787965574732499</v>
      </c>
      <c r="BA168" s="172">
        <f t="shared" si="190"/>
        <v>1.8577667391307173E-2</v>
      </c>
    </row>
    <row r="169" spans="1:53">
      <c r="A169" s="170">
        <v>45200</v>
      </c>
      <c r="B169" s="378">
        <v>1048749</v>
      </c>
      <c r="C169" s="3">
        <v>0</v>
      </c>
      <c r="D169" s="3">
        <f t="shared" si="148"/>
        <v>1048749</v>
      </c>
      <c r="E169" s="3">
        <v>1290463919</v>
      </c>
      <c r="F169" s="3">
        <v>1344472</v>
      </c>
      <c r="G169" s="3">
        <f t="shared" si="149"/>
        <v>1291808391</v>
      </c>
      <c r="H169" s="3">
        <v>0</v>
      </c>
      <c r="I169" s="3">
        <v>0</v>
      </c>
      <c r="J169" s="3">
        <f t="shared" si="166"/>
        <v>0</v>
      </c>
      <c r="K169" s="3">
        <v>7011</v>
      </c>
      <c r="L169" s="3">
        <v>0</v>
      </c>
      <c r="M169" s="3">
        <v>0</v>
      </c>
      <c r="N169" s="3">
        <f t="shared" si="203"/>
        <v>7011</v>
      </c>
      <c r="O169" s="3">
        <v>829864</v>
      </c>
      <c r="P169" s="3">
        <v>0</v>
      </c>
      <c r="Q169" s="3">
        <v>0</v>
      </c>
      <c r="R169" s="3">
        <f t="shared" si="168"/>
        <v>829864</v>
      </c>
      <c r="S169" s="3">
        <v>8951036</v>
      </c>
      <c r="T169" s="3">
        <v>0</v>
      </c>
      <c r="U169" s="3">
        <f t="shared" si="169"/>
        <v>8951036</v>
      </c>
      <c r="V169" s="3">
        <f t="shared" si="204"/>
        <v>1291519679</v>
      </c>
      <c r="W169" s="3">
        <f t="shared" si="171"/>
        <v>0</v>
      </c>
      <c r="X169" s="3">
        <f t="shared" si="172"/>
        <v>1344472</v>
      </c>
      <c r="Y169" s="379">
        <f t="shared" si="173"/>
        <v>1292864151</v>
      </c>
      <c r="Z169" s="177">
        <f t="shared" si="205"/>
        <v>2653672</v>
      </c>
      <c r="AA169" s="177">
        <f t="shared" si="205"/>
        <v>3224990</v>
      </c>
      <c r="AB169" s="177">
        <f t="shared" si="206"/>
        <v>5878662</v>
      </c>
      <c r="AC169" s="177">
        <f t="shared" si="207"/>
        <v>12184964836</v>
      </c>
      <c r="AD169" s="177">
        <f t="shared" si="207"/>
        <v>10165373</v>
      </c>
      <c r="AE169" s="177">
        <f t="shared" si="208"/>
        <v>12195130209</v>
      </c>
      <c r="AF169" s="177">
        <f t="shared" si="209"/>
        <v>0</v>
      </c>
      <c r="AG169" s="177">
        <f t="shared" si="209"/>
        <v>0</v>
      </c>
      <c r="AH169" s="177">
        <f t="shared" si="210"/>
        <v>0</v>
      </c>
      <c r="AI169" s="177">
        <f t="shared" si="211"/>
        <v>334757</v>
      </c>
      <c r="AJ169" s="177">
        <f t="shared" si="211"/>
        <v>101133009</v>
      </c>
      <c r="AK169" s="177">
        <f t="shared" si="211"/>
        <v>0</v>
      </c>
      <c r="AL169" s="177">
        <f t="shared" si="212"/>
        <v>101467766</v>
      </c>
      <c r="AM169" s="177">
        <f t="shared" si="213"/>
        <v>2313927</v>
      </c>
      <c r="AN169" s="177">
        <f t="shared" si="213"/>
        <v>0</v>
      </c>
      <c r="AO169" s="177">
        <f t="shared" si="213"/>
        <v>0</v>
      </c>
      <c r="AP169" s="177">
        <f t="shared" si="214"/>
        <v>2313927</v>
      </c>
      <c r="AQ169" s="177">
        <f t="shared" si="215"/>
        <v>25464987</v>
      </c>
      <c r="AR169" s="177">
        <f t="shared" si="215"/>
        <v>0</v>
      </c>
      <c r="AS169" s="177">
        <f t="shared" si="216"/>
        <v>25464987</v>
      </c>
      <c r="AT169" s="177">
        <f>AQ169+AM169+AI169+AF169+AC169+Z169</f>
        <v>12215732179</v>
      </c>
      <c r="AU169" s="177">
        <f t="shared" si="175"/>
        <v>101133009</v>
      </c>
      <c r="AV169" s="177">
        <f t="shared" si="176"/>
        <v>13390363</v>
      </c>
      <c r="AW169" s="382">
        <f t="shared" si="177"/>
        <v>12330255551</v>
      </c>
      <c r="AX169" s="172">
        <f t="shared" si="190"/>
        <v>2.1326679769632761E-2</v>
      </c>
      <c r="AY169" s="172">
        <f t="shared" si="190"/>
        <v>9.7751880157586957E-2</v>
      </c>
      <c r="AZ169" s="172">
        <f t="shared" si="190"/>
        <v>0.15181410103948623</v>
      </c>
      <c r="BA169" s="172">
        <f t="shared" si="190"/>
        <v>2.2036025162831097E-2</v>
      </c>
    </row>
    <row r="170" spans="1:53">
      <c r="A170" s="170">
        <v>45231</v>
      </c>
      <c r="B170" s="378">
        <v>1498490</v>
      </c>
      <c r="C170" s="3">
        <v>0</v>
      </c>
      <c r="D170" s="3">
        <f t="shared" si="148"/>
        <v>1498490</v>
      </c>
      <c r="E170" s="3">
        <v>1228482316</v>
      </c>
      <c r="F170" s="3">
        <v>1110302</v>
      </c>
      <c r="G170" s="3">
        <f t="shared" si="149"/>
        <v>1229592618</v>
      </c>
      <c r="H170" s="3">
        <v>0</v>
      </c>
      <c r="I170" s="3">
        <v>0</v>
      </c>
      <c r="J170" s="3">
        <f t="shared" si="166"/>
        <v>0</v>
      </c>
      <c r="K170" s="3">
        <v>607090</v>
      </c>
      <c r="L170" s="3">
        <v>0</v>
      </c>
      <c r="M170" s="3">
        <v>0</v>
      </c>
      <c r="N170" s="3">
        <f t="shared" si="203"/>
        <v>607090</v>
      </c>
      <c r="O170" s="3">
        <v>764623</v>
      </c>
      <c r="P170" s="3">
        <v>0</v>
      </c>
      <c r="Q170" s="3">
        <v>0</v>
      </c>
      <c r="R170" s="3">
        <f t="shared" si="168"/>
        <v>764623</v>
      </c>
      <c r="S170" s="3">
        <v>9253475</v>
      </c>
      <c r="T170" s="3">
        <v>0</v>
      </c>
      <c r="U170" s="3">
        <f t="shared" si="169"/>
        <v>9253475</v>
      </c>
      <c r="V170" s="3">
        <f t="shared" si="204"/>
        <v>1230587896</v>
      </c>
      <c r="W170" s="3">
        <f t="shared" si="171"/>
        <v>0</v>
      </c>
      <c r="X170" s="3">
        <f t="shared" si="172"/>
        <v>1110302</v>
      </c>
      <c r="Y170" s="379">
        <f t="shared" si="173"/>
        <v>1231698198</v>
      </c>
      <c r="Z170" s="177">
        <f t="shared" si="205"/>
        <v>4152162</v>
      </c>
      <c r="AA170" s="177">
        <f t="shared" si="205"/>
        <v>3224990</v>
      </c>
      <c r="AB170" s="177">
        <f t="shared" si="206"/>
        <v>7377152</v>
      </c>
      <c r="AC170" s="177">
        <f t="shared" si="207"/>
        <v>13413447152</v>
      </c>
      <c r="AD170" s="177">
        <f t="shared" si="207"/>
        <v>11275675</v>
      </c>
      <c r="AE170" s="177">
        <f t="shared" si="208"/>
        <v>13424722827</v>
      </c>
      <c r="AF170" s="177">
        <f t="shared" si="209"/>
        <v>0</v>
      </c>
      <c r="AG170" s="177">
        <f t="shared" si="209"/>
        <v>0</v>
      </c>
      <c r="AH170" s="177">
        <f t="shared" si="210"/>
        <v>0</v>
      </c>
      <c r="AI170" s="177">
        <f t="shared" si="211"/>
        <v>941847</v>
      </c>
      <c r="AJ170" s="177">
        <f t="shared" si="211"/>
        <v>101133009</v>
      </c>
      <c r="AK170" s="177">
        <f t="shared" si="211"/>
        <v>0</v>
      </c>
      <c r="AL170" s="177">
        <f t="shared" si="212"/>
        <v>102074856</v>
      </c>
      <c r="AM170" s="177">
        <f t="shared" si="213"/>
        <v>3078550</v>
      </c>
      <c r="AN170" s="177">
        <f t="shared" si="213"/>
        <v>0</v>
      </c>
      <c r="AO170" s="177">
        <f t="shared" si="213"/>
        <v>0</v>
      </c>
      <c r="AP170" s="177">
        <f t="shared" si="214"/>
        <v>3078550</v>
      </c>
      <c r="AQ170" s="177">
        <f t="shared" si="215"/>
        <v>34718462</v>
      </c>
      <c r="AR170" s="177">
        <f t="shared" si="215"/>
        <v>0</v>
      </c>
      <c r="AS170" s="177">
        <f t="shared" si="216"/>
        <v>34718462</v>
      </c>
      <c r="AT170" s="177">
        <f>AQ170+AM170+AI170+AF170+AC170+Z170</f>
        <v>13456338173</v>
      </c>
      <c r="AU170" s="177">
        <f t="shared" si="175"/>
        <v>101133009</v>
      </c>
      <c r="AV170" s="177">
        <f t="shared" si="176"/>
        <v>14500665</v>
      </c>
      <c r="AW170" s="382">
        <f t="shared" si="177"/>
        <v>13571971847</v>
      </c>
      <c r="AX170" s="172">
        <f t="shared" si="190"/>
        <v>1.8791794647346149E-2</v>
      </c>
      <c r="AY170" s="172">
        <f t="shared" si="190"/>
        <v>-7.1063323360795683E-2</v>
      </c>
      <c r="AZ170" s="172">
        <f t="shared" si="190"/>
        <v>0.13153375175272397</v>
      </c>
      <c r="BA170" s="172">
        <f t="shared" si="190"/>
        <v>1.8166302183692418E-2</v>
      </c>
    </row>
    <row r="171" spans="1:53" ht="15.75" thickBot="1">
      <c r="A171" s="170">
        <v>45261</v>
      </c>
      <c r="B171" s="378">
        <v>195565</v>
      </c>
      <c r="C171" s="3">
        <v>6393533</v>
      </c>
      <c r="D171" s="3">
        <f t="shared" si="148"/>
        <v>6589098</v>
      </c>
      <c r="E171" s="3">
        <v>1252844625</v>
      </c>
      <c r="F171" s="3">
        <v>1174079</v>
      </c>
      <c r="G171" s="3">
        <f t="shared" si="149"/>
        <v>1254018704</v>
      </c>
      <c r="H171" s="3">
        <v>0</v>
      </c>
      <c r="I171" s="3">
        <v>0</v>
      </c>
      <c r="J171" s="3">
        <f t="shared" si="166"/>
        <v>0</v>
      </c>
      <c r="K171" s="3">
        <v>0</v>
      </c>
      <c r="L171" s="3">
        <v>0</v>
      </c>
      <c r="M171" s="3">
        <v>0</v>
      </c>
      <c r="N171" s="3">
        <f t="shared" si="203"/>
        <v>0</v>
      </c>
      <c r="O171" s="3">
        <v>24475</v>
      </c>
      <c r="P171" s="3">
        <v>0</v>
      </c>
      <c r="Q171" s="3">
        <v>0</v>
      </c>
      <c r="R171" s="3">
        <f t="shared" si="168"/>
        <v>24475</v>
      </c>
      <c r="S171" s="3">
        <v>1197274</v>
      </c>
      <c r="T171" s="3">
        <v>0</v>
      </c>
      <c r="U171" s="3">
        <f t="shared" si="169"/>
        <v>1197274</v>
      </c>
      <c r="V171" s="3">
        <f t="shared" si="204"/>
        <v>1253040190</v>
      </c>
      <c r="W171" s="3">
        <f t="shared" si="171"/>
        <v>0</v>
      </c>
      <c r="X171" s="3">
        <f t="shared" si="172"/>
        <v>7567612</v>
      </c>
      <c r="Y171" s="379">
        <f t="shared" si="173"/>
        <v>1260607802</v>
      </c>
      <c r="Z171" s="177">
        <f>Z170+B171</f>
        <v>4347727</v>
      </c>
      <c r="AA171" s="177">
        <f>AA170+C171</f>
        <v>9618523</v>
      </c>
      <c r="AB171" s="177">
        <f t="shared" si="206"/>
        <v>13966250</v>
      </c>
      <c r="AC171" s="177">
        <f>AC170+E171</f>
        <v>14666291777</v>
      </c>
      <c r="AD171" s="177">
        <f>AD170+F171</f>
        <v>12449754</v>
      </c>
      <c r="AE171" s="177">
        <f t="shared" si="208"/>
        <v>14678741531</v>
      </c>
      <c r="AF171" s="177">
        <f>AF170+H171</f>
        <v>0</v>
      </c>
      <c r="AG171" s="177">
        <f>AG170+I171</f>
        <v>0</v>
      </c>
      <c r="AH171" s="177">
        <f t="shared" si="210"/>
        <v>0</v>
      </c>
      <c r="AI171" s="177">
        <f>AI170+K171</f>
        <v>941847</v>
      </c>
      <c r="AJ171" s="177">
        <f>AJ170+L171</f>
        <v>101133009</v>
      </c>
      <c r="AK171" s="177">
        <f>AK170+M171</f>
        <v>0</v>
      </c>
      <c r="AL171" s="177">
        <f t="shared" si="212"/>
        <v>102074856</v>
      </c>
      <c r="AM171" s="177">
        <f>AM170+O171</f>
        <v>3103025</v>
      </c>
      <c r="AN171" s="177">
        <f>AN170+P171</f>
        <v>0</v>
      </c>
      <c r="AO171" s="177">
        <f>AO170+Q171</f>
        <v>0</v>
      </c>
      <c r="AP171" s="177">
        <f t="shared" si="214"/>
        <v>3103025</v>
      </c>
      <c r="AQ171" s="177">
        <f>AQ170+S171</f>
        <v>35915736</v>
      </c>
      <c r="AR171" s="177">
        <f>AR170+T171</f>
        <v>0</v>
      </c>
      <c r="AS171" s="177">
        <f t="shared" si="216"/>
        <v>35915736</v>
      </c>
      <c r="AT171" s="177">
        <f>AQ171+AM171+AI171+AF171+AC171+Z171</f>
        <v>14710600112</v>
      </c>
      <c r="AU171" s="177">
        <f t="shared" si="175"/>
        <v>101133009</v>
      </c>
      <c r="AV171" s="177">
        <f t="shared" si="176"/>
        <v>22068277</v>
      </c>
      <c r="AW171" s="382">
        <f t="shared" si="177"/>
        <v>14833801398</v>
      </c>
      <c r="AX171" s="172">
        <f t="shared" si="190"/>
        <v>2.149171180830578E-2</v>
      </c>
      <c r="AY171" s="172">
        <f t="shared" si="190"/>
        <v>-0.20640170489943344</v>
      </c>
      <c r="AZ171" s="172">
        <f t="shared" si="190"/>
        <v>0.56480984799596157</v>
      </c>
      <c r="BA171" s="172">
        <f t="shared" si="190"/>
        <v>2.0021586419845638E-2</v>
      </c>
    </row>
    <row r="172" spans="1:53">
      <c r="A172" s="171">
        <v>45292</v>
      </c>
      <c r="B172" s="385">
        <v>1634348</v>
      </c>
      <c r="C172" s="104">
        <v>0</v>
      </c>
      <c r="D172" s="104">
        <f t="shared" si="148"/>
        <v>1634348</v>
      </c>
      <c r="E172" s="104">
        <v>1203497939</v>
      </c>
      <c r="F172" s="104">
        <v>1114087</v>
      </c>
      <c r="G172" s="104">
        <f t="shared" si="149"/>
        <v>1204612026</v>
      </c>
      <c r="H172" s="104">
        <v>0</v>
      </c>
      <c r="I172" s="104">
        <v>0</v>
      </c>
      <c r="J172" s="104">
        <f t="shared" si="166"/>
        <v>0</v>
      </c>
      <c r="K172" s="104">
        <v>0</v>
      </c>
      <c r="L172" s="104">
        <v>0</v>
      </c>
      <c r="M172" s="104">
        <v>0</v>
      </c>
      <c r="N172" s="104">
        <f t="shared" si="203"/>
        <v>0</v>
      </c>
      <c r="O172" s="104">
        <v>0</v>
      </c>
      <c r="P172" s="104">
        <v>0</v>
      </c>
      <c r="Q172" s="104">
        <v>0</v>
      </c>
      <c r="R172" s="104">
        <f t="shared" si="168"/>
        <v>0</v>
      </c>
      <c r="S172" s="104">
        <v>0</v>
      </c>
      <c r="T172" s="104">
        <v>0</v>
      </c>
      <c r="U172" s="104">
        <f t="shared" si="169"/>
        <v>0</v>
      </c>
      <c r="V172" s="104">
        <f t="shared" ref="V172:V186" si="217">B172+E172+H172+K172+O172+S172</f>
        <v>1205132287</v>
      </c>
      <c r="W172" s="104">
        <f t="shared" si="171"/>
        <v>0</v>
      </c>
      <c r="X172" s="104">
        <f t="shared" si="172"/>
        <v>1114087</v>
      </c>
      <c r="Y172" s="386">
        <f t="shared" si="173"/>
        <v>1206246374</v>
      </c>
      <c r="Z172" s="389">
        <f>B172</f>
        <v>1634348</v>
      </c>
      <c r="AA172" s="389">
        <f>C172</f>
        <v>0</v>
      </c>
      <c r="AB172" s="389">
        <f t="shared" si="206"/>
        <v>1634348</v>
      </c>
      <c r="AC172" s="389">
        <f>E172</f>
        <v>1203497939</v>
      </c>
      <c r="AD172" s="389">
        <f>F172</f>
        <v>1114087</v>
      </c>
      <c r="AE172" s="389">
        <f t="shared" si="208"/>
        <v>1204612026</v>
      </c>
      <c r="AF172" s="389">
        <f>H172</f>
        <v>0</v>
      </c>
      <c r="AG172" s="389">
        <f>I172</f>
        <v>0</v>
      </c>
      <c r="AH172" s="389">
        <f t="shared" si="210"/>
        <v>0</v>
      </c>
      <c r="AI172" s="389">
        <f>K172</f>
        <v>0</v>
      </c>
      <c r="AJ172" s="389">
        <f>L172</f>
        <v>0</v>
      </c>
      <c r="AK172" s="389">
        <f>M172</f>
        <v>0</v>
      </c>
      <c r="AL172" s="389">
        <f t="shared" si="212"/>
        <v>0</v>
      </c>
      <c r="AM172" s="389">
        <f>O172</f>
        <v>0</v>
      </c>
      <c r="AN172" s="389">
        <f>P172</f>
        <v>0</v>
      </c>
      <c r="AO172" s="389">
        <f>Q172</f>
        <v>0</v>
      </c>
      <c r="AP172" s="389">
        <f t="shared" si="214"/>
        <v>0</v>
      </c>
      <c r="AQ172" s="389">
        <f>S172</f>
        <v>0</v>
      </c>
      <c r="AR172" s="389">
        <f>T172</f>
        <v>0</v>
      </c>
      <c r="AS172" s="389">
        <f t="shared" si="216"/>
        <v>0</v>
      </c>
      <c r="AT172" s="389">
        <f t="shared" ref="AT172:AT186" si="218">AQ172+AM172+AI172+AF172+AC172+Z172</f>
        <v>1205132287</v>
      </c>
      <c r="AU172" s="389">
        <f t="shared" si="175"/>
        <v>0</v>
      </c>
      <c r="AV172" s="389">
        <f t="shared" si="176"/>
        <v>1114087</v>
      </c>
      <c r="AW172" s="390">
        <f t="shared" si="177"/>
        <v>1206246374</v>
      </c>
      <c r="AX172" s="172">
        <f t="shared" ref="AX172:BA186" si="219">AT172/AT160-1</f>
        <v>3.4659690262326404E-3</v>
      </c>
      <c r="AY172" s="172">
        <f t="shared" si="219"/>
        <v>-1</v>
      </c>
      <c r="AZ172" s="172">
        <f t="shared" si="219"/>
        <v>10.948338731472941</v>
      </c>
      <c r="BA172" s="172">
        <f t="shared" si="219"/>
        <v>-7.7860767946799081E-3</v>
      </c>
    </row>
    <row r="173" spans="1:53">
      <c r="A173" s="170">
        <v>45323</v>
      </c>
      <c r="B173" s="378">
        <v>970213</v>
      </c>
      <c r="C173" s="3">
        <v>2293790</v>
      </c>
      <c r="D173" s="3">
        <f t="shared" si="148"/>
        <v>3264003</v>
      </c>
      <c r="E173" s="3">
        <v>1206352583</v>
      </c>
      <c r="F173" s="3">
        <v>1082157</v>
      </c>
      <c r="G173" s="3">
        <f t="shared" si="149"/>
        <v>1207434740</v>
      </c>
      <c r="H173" s="3">
        <v>0</v>
      </c>
      <c r="I173" s="3">
        <v>0</v>
      </c>
      <c r="J173" s="3">
        <f t="shared" si="166"/>
        <v>0</v>
      </c>
      <c r="K173" s="3">
        <v>0</v>
      </c>
      <c r="L173" s="3">
        <v>0</v>
      </c>
      <c r="M173" s="3">
        <v>0</v>
      </c>
      <c r="N173" s="3">
        <f t="shared" si="203"/>
        <v>0</v>
      </c>
      <c r="O173" s="3">
        <v>0</v>
      </c>
      <c r="P173" s="3">
        <v>0</v>
      </c>
      <c r="Q173" s="3">
        <v>0</v>
      </c>
      <c r="R173" s="3">
        <f t="shared" si="168"/>
        <v>0</v>
      </c>
      <c r="S173" s="3">
        <v>0</v>
      </c>
      <c r="T173" s="3">
        <v>0</v>
      </c>
      <c r="U173" s="3">
        <f t="shared" si="169"/>
        <v>0</v>
      </c>
      <c r="V173" s="3">
        <f t="shared" si="217"/>
        <v>1207322796</v>
      </c>
      <c r="W173" s="3">
        <f t="shared" si="171"/>
        <v>0</v>
      </c>
      <c r="X173" s="3">
        <f t="shared" si="172"/>
        <v>3375947</v>
      </c>
      <c r="Y173" s="379">
        <f t="shared" si="173"/>
        <v>1210698743</v>
      </c>
      <c r="Z173" s="177">
        <f t="shared" ref="Z173:AA183" si="220">Z172+B173</f>
        <v>2604561</v>
      </c>
      <c r="AA173" s="177">
        <f t="shared" si="220"/>
        <v>2293790</v>
      </c>
      <c r="AB173" s="177">
        <f t="shared" si="206"/>
        <v>4898351</v>
      </c>
      <c r="AC173" s="177">
        <f t="shared" ref="AC173:AD183" si="221">AC172+E173</f>
        <v>2409850522</v>
      </c>
      <c r="AD173" s="177">
        <f t="shared" si="221"/>
        <v>2196244</v>
      </c>
      <c r="AE173" s="177">
        <f t="shared" si="208"/>
        <v>2412046766</v>
      </c>
      <c r="AF173" s="177">
        <f t="shared" ref="AF173:AG183" si="222">AF172+H173</f>
        <v>0</v>
      </c>
      <c r="AG173" s="177">
        <f t="shared" si="222"/>
        <v>0</v>
      </c>
      <c r="AH173" s="177">
        <f t="shared" si="210"/>
        <v>0</v>
      </c>
      <c r="AI173" s="177">
        <f t="shared" ref="AI173:AK183" si="223">AI172+K173</f>
        <v>0</v>
      </c>
      <c r="AJ173" s="177">
        <f t="shared" si="223"/>
        <v>0</v>
      </c>
      <c r="AK173" s="177">
        <f t="shared" si="223"/>
        <v>0</v>
      </c>
      <c r="AL173" s="177">
        <f t="shared" si="212"/>
        <v>0</v>
      </c>
      <c r="AM173" s="177">
        <f t="shared" ref="AM173:AM183" si="224">AM172+O173</f>
        <v>0</v>
      </c>
      <c r="AN173" s="177">
        <f t="shared" ref="AN173:AO183" si="225">AN172+P172</f>
        <v>0</v>
      </c>
      <c r="AO173" s="177">
        <f t="shared" si="225"/>
        <v>0</v>
      </c>
      <c r="AP173" s="177">
        <f t="shared" si="214"/>
        <v>0</v>
      </c>
      <c r="AQ173" s="177">
        <f t="shared" ref="AQ173:AR183" si="226">AQ172+S173</f>
        <v>0</v>
      </c>
      <c r="AR173" s="177">
        <f t="shared" si="226"/>
        <v>0</v>
      </c>
      <c r="AS173" s="177">
        <f t="shared" si="216"/>
        <v>0</v>
      </c>
      <c r="AT173" s="177">
        <f t="shared" si="218"/>
        <v>2412455083</v>
      </c>
      <c r="AU173" s="177">
        <f t="shared" si="175"/>
        <v>0</v>
      </c>
      <c r="AV173" s="177">
        <f>AR173+AO173+AK173+AG173+AD173+AA173</f>
        <v>4490034</v>
      </c>
      <c r="AW173" s="382">
        <f t="shared" si="177"/>
        <v>2416945117</v>
      </c>
      <c r="AX173" s="172">
        <f t="shared" si="219"/>
        <v>4.0282813977068788E-2</v>
      </c>
      <c r="AY173" s="172">
        <f t="shared" si="219"/>
        <v>-1</v>
      </c>
      <c r="AZ173" s="172">
        <f t="shared" si="219"/>
        <v>2.7617955274349275</v>
      </c>
      <c r="BA173" s="172">
        <f t="shared" si="219"/>
        <v>3.0287129243146804E-2</v>
      </c>
    </row>
    <row r="174" spans="1:53">
      <c r="A174" s="170">
        <v>45352</v>
      </c>
      <c r="B174" s="378">
        <v>1316272</v>
      </c>
      <c r="C174" s="3">
        <v>0</v>
      </c>
      <c r="D174" s="3">
        <f t="shared" si="148"/>
        <v>1316272</v>
      </c>
      <c r="E174" s="3">
        <v>1185423732</v>
      </c>
      <c r="F174" s="3">
        <v>1127636</v>
      </c>
      <c r="G174" s="3">
        <f t="shared" si="149"/>
        <v>1186551368</v>
      </c>
      <c r="H174" s="3">
        <v>0</v>
      </c>
      <c r="I174" s="3">
        <v>0</v>
      </c>
      <c r="J174" s="3">
        <f t="shared" si="166"/>
        <v>0</v>
      </c>
      <c r="K174" s="3">
        <v>0</v>
      </c>
      <c r="L174" s="3">
        <v>0</v>
      </c>
      <c r="M174" s="3">
        <v>0</v>
      </c>
      <c r="N174" s="3">
        <f t="shared" si="203"/>
        <v>0</v>
      </c>
      <c r="O174" s="3">
        <v>0</v>
      </c>
      <c r="P174" s="3">
        <v>0</v>
      </c>
      <c r="Q174" s="3">
        <v>0</v>
      </c>
      <c r="R174" s="3">
        <f t="shared" si="168"/>
        <v>0</v>
      </c>
      <c r="S174" s="3">
        <v>0</v>
      </c>
      <c r="T174" s="3">
        <v>0</v>
      </c>
      <c r="U174" s="3">
        <f t="shared" si="169"/>
        <v>0</v>
      </c>
      <c r="V174" s="3">
        <f t="shared" si="217"/>
        <v>1186740004</v>
      </c>
      <c r="W174" s="3">
        <f t="shared" si="171"/>
        <v>0</v>
      </c>
      <c r="X174" s="3">
        <f t="shared" si="172"/>
        <v>1127636</v>
      </c>
      <c r="Y174" s="379">
        <f t="shared" si="173"/>
        <v>1187867640</v>
      </c>
      <c r="Z174" s="177">
        <f t="shared" si="220"/>
        <v>3920833</v>
      </c>
      <c r="AA174" s="177">
        <f t="shared" si="220"/>
        <v>2293790</v>
      </c>
      <c r="AB174" s="177">
        <f t="shared" si="206"/>
        <v>6214623</v>
      </c>
      <c r="AC174" s="177">
        <f t="shared" si="221"/>
        <v>3595274254</v>
      </c>
      <c r="AD174" s="177">
        <f t="shared" si="221"/>
        <v>3323880</v>
      </c>
      <c r="AE174" s="177">
        <f t="shared" si="208"/>
        <v>3598598134</v>
      </c>
      <c r="AF174" s="177">
        <f t="shared" si="222"/>
        <v>0</v>
      </c>
      <c r="AG174" s="177">
        <f t="shared" si="222"/>
        <v>0</v>
      </c>
      <c r="AH174" s="177">
        <f t="shared" si="210"/>
        <v>0</v>
      </c>
      <c r="AI174" s="177">
        <f t="shared" si="223"/>
        <v>0</v>
      </c>
      <c r="AJ174" s="177">
        <f t="shared" si="223"/>
        <v>0</v>
      </c>
      <c r="AK174" s="177">
        <f t="shared" si="223"/>
        <v>0</v>
      </c>
      <c r="AL174" s="177">
        <f t="shared" si="212"/>
        <v>0</v>
      </c>
      <c r="AM174" s="177">
        <f t="shared" si="224"/>
        <v>0</v>
      </c>
      <c r="AN174" s="177">
        <f t="shared" si="225"/>
        <v>0</v>
      </c>
      <c r="AO174" s="177">
        <f t="shared" si="225"/>
        <v>0</v>
      </c>
      <c r="AP174" s="177">
        <f t="shared" si="214"/>
        <v>0</v>
      </c>
      <c r="AQ174" s="177">
        <f t="shared" si="226"/>
        <v>0</v>
      </c>
      <c r="AR174" s="177">
        <f t="shared" si="226"/>
        <v>0</v>
      </c>
      <c r="AS174" s="177">
        <f t="shared" si="216"/>
        <v>0</v>
      </c>
      <c r="AT174" s="177">
        <f t="shared" si="218"/>
        <v>3599195087</v>
      </c>
      <c r="AU174" s="177">
        <f t="shared" si="175"/>
        <v>0</v>
      </c>
      <c r="AV174" s="177">
        <f t="shared" si="176"/>
        <v>5617670</v>
      </c>
      <c r="AW174" s="382">
        <f t="shared" si="177"/>
        <v>3604812757</v>
      </c>
      <c r="AX174" s="172">
        <f t="shared" si="219"/>
        <v>2.0763504366858587E-2</v>
      </c>
      <c r="AY174" s="172">
        <f t="shared" si="219"/>
        <v>-1</v>
      </c>
      <c r="AZ174" s="172">
        <f t="shared" si="219"/>
        <v>3.7065402802306995</v>
      </c>
      <c r="BA174" s="172">
        <f t="shared" si="219"/>
        <v>1.0732083117350744E-2</v>
      </c>
    </row>
    <row r="175" spans="1:53">
      <c r="A175" s="170">
        <v>45383</v>
      </c>
      <c r="B175" s="378">
        <v>1502690</v>
      </c>
      <c r="C175" s="3">
        <v>3640301</v>
      </c>
      <c r="D175" s="3">
        <f t="shared" si="148"/>
        <v>5142991</v>
      </c>
      <c r="E175" s="3">
        <v>1184892171</v>
      </c>
      <c r="F175" s="3">
        <v>1117752</v>
      </c>
      <c r="G175" s="3">
        <f t="shared" si="149"/>
        <v>1186009923</v>
      </c>
      <c r="H175" s="3">
        <v>0</v>
      </c>
      <c r="I175" s="3">
        <v>0</v>
      </c>
      <c r="J175" s="3">
        <f t="shared" si="166"/>
        <v>0</v>
      </c>
      <c r="K175" s="3">
        <v>250191</v>
      </c>
      <c r="L175" s="3">
        <v>0</v>
      </c>
      <c r="M175" s="3">
        <v>0</v>
      </c>
      <c r="N175" s="3">
        <f t="shared" si="203"/>
        <v>250191</v>
      </c>
      <c r="O175" s="3">
        <v>64809</v>
      </c>
      <c r="P175" s="3">
        <v>0</v>
      </c>
      <c r="Q175" s="3">
        <v>0</v>
      </c>
      <c r="R175" s="3">
        <f t="shared" si="168"/>
        <v>64809</v>
      </c>
      <c r="S175" s="3">
        <v>3629666</v>
      </c>
      <c r="T175" s="3">
        <v>0</v>
      </c>
      <c r="U175" s="3">
        <f t="shared" si="169"/>
        <v>3629666</v>
      </c>
      <c r="V175" s="3">
        <f t="shared" si="217"/>
        <v>1190339527</v>
      </c>
      <c r="W175" s="3">
        <f t="shared" si="171"/>
        <v>0</v>
      </c>
      <c r="X175" s="3">
        <f t="shared" si="172"/>
        <v>4758053</v>
      </c>
      <c r="Y175" s="379">
        <f t="shared" si="173"/>
        <v>1195097580</v>
      </c>
      <c r="Z175" s="177">
        <f t="shared" si="220"/>
        <v>5423523</v>
      </c>
      <c r="AA175" s="177">
        <f t="shared" si="220"/>
        <v>5934091</v>
      </c>
      <c r="AB175" s="177">
        <f t="shared" si="206"/>
        <v>11357614</v>
      </c>
      <c r="AC175" s="177">
        <f t="shared" si="221"/>
        <v>4780166425</v>
      </c>
      <c r="AD175" s="177">
        <f t="shared" si="221"/>
        <v>4441632</v>
      </c>
      <c r="AE175" s="177">
        <f t="shared" si="208"/>
        <v>4784608057</v>
      </c>
      <c r="AF175" s="177">
        <f t="shared" si="222"/>
        <v>0</v>
      </c>
      <c r="AG175" s="177">
        <f t="shared" si="222"/>
        <v>0</v>
      </c>
      <c r="AH175" s="177">
        <f t="shared" si="210"/>
        <v>0</v>
      </c>
      <c r="AI175" s="177">
        <f t="shared" si="223"/>
        <v>250191</v>
      </c>
      <c r="AJ175" s="177">
        <f t="shared" si="223"/>
        <v>0</v>
      </c>
      <c r="AK175" s="177">
        <f t="shared" si="223"/>
        <v>0</v>
      </c>
      <c r="AL175" s="177">
        <f t="shared" si="212"/>
        <v>250191</v>
      </c>
      <c r="AM175" s="177">
        <f t="shared" si="224"/>
        <v>64809</v>
      </c>
      <c r="AN175" s="177">
        <f t="shared" si="225"/>
        <v>0</v>
      </c>
      <c r="AO175" s="177">
        <f t="shared" si="225"/>
        <v>0</v>
      </c>
      <c r="AP175" s="177">
        <f t="shared" si="214"/>
        <v>64809</v>
      </c>
      <c r="AQ175" s="177">
        <f t="shared" si="226"/>
        <v>3629666</v>
      </c>
      <c r="AR175" s="177">
        <f t="shared" si="226"/>
        <v>0</v>
      </c>
      <c r="AS175" s="177">
        <f t="shared" si="216"/>
        <v>3629666</v>
      </c>
      <c r="AT175" s="177">
        <f t="shared" si="218"/>
        <v>4789534614</v>
      </c>
      <c r="AU175" s="177">
        <f t="shared" si="175"/>
        <v>0</v>
      </c>
      <c r="AV175" s="177">
        <f t="shared" si="176"/>
        <v>10375723</v>
      </c>
      <c r="AW175" s="382">
        <f t="shared" si="177"/>
        <v>4799910337</v>
      </c>
      <c r="AX175" s="172">
        <f t="shared" si="219"/>
        <v>2.6784688679884594E-2</v>
      </c>
      <c r="AY175" s="172">
        <f t="shared" si="219"/>
        <v>-1</v>
      </c>
      <c r="AZ175" s="172">
        <f t="shared" si="219"/>
        <v>3.5975580359714465</v>
      </c>
      <c r="BA175" s="172">
        <f t="shared" si="219"/>
        <v>1.6309526061276225E-2</v>
      </c>
    </row>
    <row r="176" spans="1:53">
      <c r="A176" s="170">
        <v>45413</v>
      </c>
      <c r="B176" s="378">
        <v>2104533</v>
      </c>
      <c r="C176" s="3">
        <v>0</v>
      </c>
      <c r="D176" s="3">
        <f t="shared" si="148"/>
        <v>2104533</v>
      </c>
      <c r="E176" s="3">
        <v>1262729662</v>
      </c>
      <c r="F176" s="3">
        <v>1287081</v>
      </c>
      <c r="G176" s="3">
        <f t="shared" si="149"/>
        <v>1264016743</v>
      </c>
      <c r="H176" s="3">
        <v>0</v>
      </c>
      <c r="I176" s="3">
        <v>0</v>
      </c>
      <c r="J176" s="3">
        <f t="shared" si="166"/>
        <v>0</v>
      </c>
      <c r="K176" s="3">
        <v>0</v>
      </c>
      <c r="L176" s="3">
        <v>0</v>
      </c>
      <c r="M176" s="3">
        <v>0</v>
      </c>
      <c r="N176" s="3">
        <f t="shared" si="203"/>
        <v>0</v>
      </c>
      <c r="O176" s="3">
        <v>0</v>
      </c>
      <c r="P176" s="3">
        <v>0</v>
      </c>
      <c r="Q176" s="3">
        <v>0</v>
      </c>
      <c r="R176" s="3">
        <f t="shared" si="168"/>
        <v>0</v>
      </c>
      <c r="S176" s="3">
        <v>300758</v>
      </c>
      <c r="T176" s="3">
        <v>0</v>
      </c>
      <c r="U176" s="3">
        <f t="shared" si="169"/>
        <v>300758</v>
      </c>
      <c r="V176" s="3">
        <f t="shared" si="217"/>
        <v>1265134953</v>
      </c>
      <c r="W176" s="3">
        <f t="shared" si="171"/>
        <v>0</v>
      </c>
      <c r="X176" s="3">
        <f t="shared" si="172"/>
        <v>1287081</v>
      </c>
      <c r="Y176" s="379">
        <f t="shared" si="173"/>
        <v>1266422034</v>
      </c>
      <c r="Z176" s="177">
        <f t="shared" si="220"/>
        <v>7528056</v>
      </c>
      <c r="AA176" s="177">
        <f t="shared" si="220"/>
        <v>5934091</v>
      </c>
      <c r="AB176" s="177">
        <f t="shared" si="206"/>
        <v>13462147</v>
      </c>
      <c r="AC176" s="177">
        <f t="shared" si="221"/>
        <v>6042896087</v>
      </c>
      <c r="AD176" s="177">
        <f t="shared" si="221"/>
        <v>5728713</v>
      </c>
      <c r="AE176" s="177">
        <f t="shared" si="208"/>
        <v>6048624800</v>
      </c>
      <c r="AF176" s="177">
        <f t="shared" si="222"/>
        <v>0</v>
      </c>
      <c r="AG176" s="177">
        <f t="shared" si="222"/>
        <v>0</v>
      </c>
      <c r="AH176" s="177">
        <f t="shared" si="210"/>
        <v>0</v>
      </c>
      <c r="AI176" s="177">
        <f t="shared" si="223"/>
        <v>250191</v>
      </c>
      <c r="AJ176" s="177">
        <f t="shared" si="223"/>
        <v>0</v>
      </c>
      <c r="AK176" s="177">
        <f t="shared" si="223"/>
        <v>0</v>
      </c>
      <c r="AL176" s="177">
        <f t="shared" si="212"/>
        <v>250191</v>
      </c>
      <c r="AM176" s="177">
        <f t="shared" si="224"/>
        <v>64809</v>
      </c>
      <c r="AN176" s="177">
        <f t="shared" si="225"/>
        <v>0</v>
      </c>
      <c r="AO176" s="177">
        <f t="shared" si="225"/>
        <v>0</v>
      </c>
      <c r="AP176" s="177">
        <f t="shared" si="214"/>
        <v>64809</v>
      </c>
      <c r="AQ176" s="177">
        <f t="shared" si="226"/>
        <v>3930424</v>
      </c>
      <c r="AR176" s="177">
        <f t="shared" si="226"/>
        <v>0</v>
      </c>
      <c r="AS176" s="177">
        <f t="shared" si="216"/>
        <v>3930424</v>
      </c>
      <c r="AT176" s="177">
        <f t="shared" si="218"/>
        <v>6054669567</v>
      </c>
      <c r="AU176" s="177">
        <f t="shared" si="175"/>
        <v>0</v>
      </c>
      <c r="AV176" s="177">
        <f t="shared" si="176"/>
        <v>11662804</v>
      </c>
      <c r="AW176" s="382">
        <f t="shared" si="177"/>
        <v>6066332371</v>
      </c>
      <c r="AX176" s="172">
        <f t="shared" si="219"/>
        <v>2.2935673006092117E-2</v>
      </c>
      <c r="AY176" s="172">
        <f t="shared" si="219"/>
        <v>-1</v>
      </c>
      <c r="AZ176" s="172">
        <f t="shared" si="219"/>
        <v>2.3068744903363809</v>
      </c>
      <c r="BA176" s="172">
        <f t="shared" si="219"/>
        <v>1.0798757068509079E-2</v>
      </c>
    </row>
    <row r="177" spans="1:53">
      <c r="A177" s="170">
        <v>45444</v>
      </c>
      <c r="B177" s="378">
        <v>3484538</v>
      </c>
      <c r="C177" s="3">
        <v>3414532</v>
      </c>
      <c r="D177" s="3">
        <f t="shared" si="148"/>
        <v>6899070</v>
      </c>
      <c r="E177" s="3">
        <v>1205183155</v>
      </c>
      <c r="F177" s="3">
        <v>1182008</v>
      </c>
      <c r="G177" s="3">
        <f t="shared" si="149"/>
        <v>1206365163</v>
      </c>
      <c r="H177" s="3">
        <v>0</v>
      </c>
      <c r="I177" s="3">
        <v>0</v>
      </c>
      <c r="J177" s="3">
        <f t="shared" si="166"/>
        <v>0</v>
      </c>
      <c r="K177" s="3">
        <v>0</v>
      </c>
      <c r="L177" s="3">
        <v>0</v>
      </c>
      <c r="M177" s="3">
        <v>0</v>
      </c>
      <c r="N177" s="3">
        <f t="shared" si="203"/>
        <v>0</v>
      </c>
      <c r="O177" s="3">
        <v>0</v>
      </c>
      <c r="P177" s="3">
        <v>0</v>
      </c>
      <c r="Q177" s="3">
        <v>0</v>
      </c>
      <c r="R177" s="3">
        <f t="shared" si="168"/>
        <v>0</v>
      </c>
      <c r="S177" s="3">
        <v>0</v>
      </c>
      <c r="T177" s="3">
        <v>0</v>
      </c>
      <c r="U177" s="3">
        <f t="shared" si="169"/>
        <v>0</v>
      </c>
      <c r="V177" s="3">
        <f t="shared" si="217"/>
        <v>1208667693</v>
      </c>
      <c r="W177" s="3">
        <f t="shared" si="171"/>
        <v>0</v>
      </c>
      <c r="X177" s="3">
        <f t="shared" si="172"/>
        <v>4596540</v>
      </c>
      <c r="Y177" s="379">
        <f t="shared" si="173"/>
        <v>1213264233</v>
      </c>
      <c r="Z177" s="177">
        <f t="shared" si="220"/>
        <v>11012594</v>
      </c>
      <c r="AA177" s="177">
        <f t="shared" si="220"/>
        <v>9348623</v>
      </c>
      <c r="AB177" s="177">
        <f t="shared" si="206"/>
        <v>20361217</v>
      </c>
      <c r="AC177" s="177">
        <f t="shared" si="221"/>
        <v>7248079242</v>
      </c>
      <c r="AD177" s="177">
        <f t="shared" si="221"/>
        <v>6910721</v>
      </c>
      <c r="AE177" s="177">
        <f t="shared" si="208"/>
        <v>7254989963</v>
      </c>
      <c r="AF177" s="177">
        <f t="shared" si="222"/>
        <v>0</v>
      </c>
      <c r="AG177" s="177">
        <f t="shared" si="222"/>
        <v>0</v>
      </c>
      <c r="AH177" s="177">
        <f t="shared" si="210"/>
        <v>0</v>
      </c>
      <c r="AI177" s="177">
        <f t="shared" si="223"/>
        <v>250191</v>
      </c>
      <c r="AJ177" s="177">
        <f t="shared" si="223"/>
        <v>0</v>
      </c>
      <c r="AK177" s="177">
        <f t="shared" si="223"/>
        <v>0</v>
      </c>
      <c r="AL177" s="177">
        <f t="shared" si="212"/>
        <v>250191</v>
      </c>
      <c r="AM177" s="177">
        <f t="shared" si="224"/>
        <v>64809</v>
      </c>
      <c r="AN177" s="177">
        <f t="shared" si="225"/>
        <v>0</v>
      </c>
      <c r="AO177" s="177">
        <f t="shared" si="225"/>
        <v>0</v>
      </c>
      <c r="AP177" s="177">
        <f t="shared" si="214"/>
        <v>64809</v>
      </c>
      <c r="AQ177" s="177">
        <f t="shared" si="226"/>
        <v>3930424</v>
      </c>
      <c r="AR177" s="177">
        <f t="shared" si="226"/>
        <v>0</v>
      </c>
      <c r="AS177" s="177">
        <f t="shared" si="216"/>
        <v>3930424</v>
      </c>
      <c r="AT177" s="177">
        <f t="shared" si="218"/>
        <v>7263337260</v>
      </c>
      <c r="AU177" s="177">
        <f t="shared" si="175"/>
        <v>0</v>
      </c>
      <c r="AV177" s="177">
        <f t="shared" si="176"/>
        <v>16259344</v>
      </c>
      <c r="AW177" s="382">
        <f t="shared" si="177"/>
        <v>7279596604</v>
      </c>
      <c r="AX177" s="172">
        <f t="shared" si="219"/>
        <v>9.9427469740633878E-3</v>
      </c>
      <c r="AY177" s="172">
        <f t="shared" si="219"/>
        <v>-1</v>
      </c>
      <c r="AZ177" s="172">
        <f t="shared" si="219"/>
        <v>2.4414711464604015</v>
      </c>
      <c r="BA177" s="172">
        <f t="shared" si="219"/>
        <v>-1.1151877103030561E-3</v>
      </c>
    </row>
    <row r="178" spans="1:53">
      <c r="A178" s="170">
        <v>45474</v>
      </c>
      <c r="B178" s="378">
        <v>909212</v>
      </c>
      <c r="C178" s="3">
        <v>0</v>
      </c>
      <c r="D178" s="3">
        <f t="shared" si="148"/>
        <v>909212</v>
      </c>
      <c r="E178" s="3">
        <v>1323973100</v>
      </c>
      <c r="F178" s="3">
        <v>1350023</v>
      </c>
      <c r="G178" s="3">
        <f t="shared" si="149"/>
        <v>1325323123</v>
      </c>
      <c r="H178" s="3">
        <v>0</v>
      </c>
      <c r="I178" s="3">
        <v>0</v>
      </c>
      <c r="J178" s="3">
        <f t="shared" si="166"/>
        <v>0</v>
      </c>
      <c r="K178" s="3">
        <v>0</v>
      </c>
      <c r="L178" s="3">
        <v>0</v>
      </c>
      <c r="M178" s="3">
        <v>0</v>
      </c>
      <c r="N178" s="3">
        <f t="shared" si="203"/>
        <v>0</v>
      </c>
      <c r="O178" s="3">
        <v>0</v>
      </c>
      <c r="P178" s="3">
        <v>0</v>
      </c>
      <c r="Q178" s="3">
        <v>0</v>
      </c>
      <c r="R178" s="3">
        <f t="shared" si="168"/>
        <v>0</v>
      </c>
      <c r="S178" s="3">
        <v>0</v>
      </c>
      <c r="T178" s="3">
        <v>0</v>
      </c>
      <c r="U178" s="3">
        <f t="shared" si="169"/>
        <v>0</v>
      </c>
      <c r="V178" s="3">
        <f t="shared" si="217"/>
        <v>1324882312</v>
      </c>
      <c r="W178" s="3">
        <f t="shared" si="171"/>
        <v>0</v>
      </c>
      <c r="X178" s="3">
        <f t="shared" si="172"/>
        <v>1350023</v>
      </c>
      <c r="Y178" s="379">
        <f t="shared" si="173"/>
        <v>1326232335</v>
      </c>
      <c r="Z178" s="177">
        <f t="shared" si="220"/>
        <v>11921806</v>
      </c>
      <c r="AA178" s="177">
        <f t="shared" si="220"/>
        <v>9348623</v>
      </c>
      <c r="AB178" s="177">
        <f t="shared" si="206"/>
        <v>21270429</v>
      </c>
      <c r="AC178" s="177">
        <f t="shared" si="221"/>
        <v>8572052342</v>
      </c>
      <c r="AD178" s="177">
        <f t="shared" si="221"/>
        <v>8260744</v>
      </c>
      <c r="AE178" s="177">
        <f t="shared" si="208"/>
        <v>8580313086</v>
      </c>
      <c r="AF178" s="177">
        <f t="shared" si="222"/>
        <v>0</v>
      </c>
      <c r="AG178" s="177">
        <f t="shared" si="222"/>
        <v>0</v>
      </c>
      <c r="AH178" s="177">
        <f t="shared" si="210"/>
        <v>0</v>
      </c>
      <c r="AI178" s="177">
        <f t="shared" si="223"/>
        <v>250191</v>
      </c>
      <c r="AJ178" s="177">
        <f t="shared" si="223"/>
        <v>0</v>
      </c>
      <c r="AK178" s="177">
        <f t="shared" si="223"/>
        <v>0</v>
      </c>
      <c r="AL178" s="177">
        <f t="shared" si="212"/>
        <v>250191</v>
      </c>
      <c r="AM178" s="177">
        <f t="shared" si="224"/>
        <v>64809</v>
      </c>
      <c r="AN178" s="177">
        <f t="shared" si="225"/>
        <v>0</v>
      </c>
      <c r="AO178" s="177">
        <f t="shared" si="225"/>
        <v>0</v>
      </c>
      <c r="AP178" s="177">
        <f t="shared" si="214"/>
        <v>64809</v>
      </c>
      <c r="AQ178" s="177">
        <f t="shared" si="226"/>
        <v>3930424</v>
      </c>
      <c r="AR178" s="177">
        <f t="shared" si="226"/>
        <v>0</v>
      </c>
      <c r="AS178" s="177">
        <f t="shared" si="216"/>
        <v>3930424</v>
      </c>
      <c r="AT178" s="177">
        <f t="shared" si="218"/>
        <v>8588219572</v>
      </c>
      <c r="AU178" s="177">
        <f t="shared" si="175"/>
        <v>0</v>
      </c>
      <c r="AV178" s="177">
        <f t="shared" si="176"/>
        <v>17609367</v>
      </c>
      <c r="AW178" s="382">
        <f t="shared" si="177"/>
        <v>8605828939</v>
      </c>
      <c r="AX178" s="172">
        <f t="shared" si="219"/>
        <v>1.4966379418709819E-2</v>
      </c>
      <c r="AY178" s="172">
        <f t="shared" si="219"/>
        <v>-1</v>
      </c>
      <c r="AZ178" s="172">
        <f t="shared" si="219"/>
        <v>1.887655346191651</v>
      </c>
      <c r="BA178" s="172">
        <f t="shared" si="219"/>
        <v>4.4069591937689889E-3</v>
      </c>
    </row>
    <row r="179" spans="1:53">
      <c r="A179" s="170">
        <v>45505</v>
      </c>
      <c r="B179" s="378">
        <v>419399</v>
      </c>
      <c r="C179" s="3">
        <v>0</v>
      </c>
      <c r="D179" s="3">
        <f t="shared" si="148"/>
        <v>419399</v>
      </c>
      <c r="E179" s="3">
        <v>1316218642</v>
      </c>
      <c r="F179" s="3">
        <v>1345517</v>
      </c>
      <c r="G179" s="3">
        <f t="shared" si="149"/>
        <v>1317564159</v>
      </c>
      <c r="H179" s="3">
        <v>0</v>
      </c>
      <c r="I179" s="3">
        <v>0</v>
      </c>
      <c r="J179" s="3">
        <f t="shared" si="166"/>
        <v>0</v>
      </c>
      <c r="K179" s="3">
        <v>0</v>
      </c>
      <c r="L179" s="3">
        <v>0</v>
      </c>
      <c r="M179" s="3">
        <v>0</v>
      </c>
      <c r="N179" s="3">
        <f t="shared" si="203"/>
        <v>0</v>
      </c>
      <c r="O179" s="3">
        <v>0</v>
      </c>
      <c r="P179" s="3">
        <v>0</v>
      </c>
      <c r="Q179" s="3">
        <v>0</v>
      </c>
      <c r="R179" s="3">
        <f t="shared" si="168"/>
        <v>0</v>
      </c>
      <c r="S179" s="3">
        <v>0</v>
      </c>
      <c r="T179" s="3">
        <v>0</v>
      </c>
      <c r="U179" s="3">
        <f t="shared" si="169"/>
        <v>0</v>
      </c>
      <c r="V179" s="3">
        <f t="shared" si="217"/>
        <v>1316638041</v>
      </c>
      <c r="W179" s="3">
        <f t="shared" si="171"/>
        <v>0</v>
      </c>
      <c r="X179" s="3">
        <f t="shared" si="172"/>
        <v>1345517</v>
      </c>
      <c r="Y179" s="379">
        <f t="shared" si="173"/>
        <v>1317983558</v>
      </c>
      <c r="Z179" s="177">
        <f t="shared" si="220"/>
        <v>12341205</v>
      </c>
      <c r="AA179" s="177">
        <f t="shared" si="220"/>
        <v>9348623</v>
      </c>
      <c r="AB179" s="177">
        <f t="shared" si="206"/>
        <v>21689828</v>
      </c>
      <c r="AC179" s="177">
        <f t="shared" si="221"/>
        <v>9888270984</v>
      </c>
      <c r="AD179" s="177">
        <f t="shared" si="221"/>
        <v>9606261</v>
      </c>
      <c r="AE179" s="177">
        <f t="shared" si="208"/>
        <v>9897877245</v>
      </c>
      <c r="AF179" s="177">
        <f t="shared" si="222"/>
        <v>0</v>
      </c>
      <c r="AG179" s="177">
        <f t="shared" si="222"/>
        <v>0</v>
      </c>
      <c r="AH179" s="177">
        <f t="shared" si="210"/>
        <v>0</v>
      </c>
      <c r="AI179" s="177">
        <f t="shared" si="223"/>
        <v>250191</v>
      </c>
      <c r="AJ179" s="177">
        <f t="shared" si="223"/>
        <v>0</v>
      </c>
      <c r="AK179" s="177">
        <f t="shared" si="223"/>
        <v>0</v>
      </c>
      <c r="AL179" s="177">
        <f t="shared" si="212"/>
        <v>250191</v>
      </c>
      <c r="AM179" s="177">
        <f t="shared" si="224"/>
        <v>64809</v>
      </c>
      <c r="AN179" s="177">
        <f t="shared" si="225"/>
        <v>0</v>
      </c>
      <c r="AO179" s="177">
        <f t="shared" si="225"/>
        <v>0</v>
      </c>
      <c r="AP179" s="177">
        <f t="shared" si="214"/>
        <v>64809</v>
      </c>
      <c r="AQ179" s="177">
        <f t="shared" si="226"/>
        <v>3930424</v>
      </c>
      <c r="AR179" s="177">
        <f t="shared" si="226"/>
        <v>0</v>
      </c>
      <c r="AS179" s="177">
        <f t="shared" si="216"/>
        <v>3930424</v>
      </c>
      <c r="AT179" s="177">
        <f t="shared" si="218"/>
        <v>9904857613</v>
      </c>
      <c r="AU179" s="177">
        <f t="shared" si="175"/>
        <v>0</v>
      </c>
      <c r="AV179" s="177">
        <f t="shared" si="176"/>
        <v>18954884</v>
      </c>
      <c r="AW179" s="382">
        <f t="shared" si="177"/>
        <v>9923812497</v>
      </c>
      <c r="AX179" s="172">
        <f t="shared" si="219"/>
        <v>1.6951928945710071E-2</v>
      </c>
      <c r="AY179" s="172">
        <f t="shared" si="219"/>
        <v>-1</v>
      </c>
      <c r="AZ179" s="172">
        <f t="shared" si="219"/>
        <v>1.5110050387323737</v>
      </c>
      <c r="BA179" s="172">
        <f t="shared" si="219"/>
        <v>7.7250753586484144E-3</v>
      </c>
    </row>
    <row r="180" spans="1:53">
      <c r="A180" s="170">
        <v>45536</v>
      </c>
      <c r="B180" s="378">
        <v>378922</v>
      </c>
      <c r="C180" s="3">
        <v>0</v>
      </c>
      <c r="D180" s="3">
        <f t="shared" si="148"/>
        <v>378922</v>
      </c>
      <c r="E180" s="3">
        <v>1212281209</v>
      </c>
      <c r="F180" s="3">
        <v>1172907</v>
      </c>
      <c r="G180" s="3">
        <f t="shared" si="149"/>
        <v>1213454116</v>
      </c>
      <c r="H180" s="3">
        <v>0</v>
      </c>
      <c r="I180" s="3">
        <v>0</v>
      </c>
      <c r="J180" s="3">
        <f t="shared" si="166"/>
        <v>0</v>
      </c>
      <c r="K180" s="3">
        <v>0</v>
      </c>
      <c r="L180" s="3">
        <v>0</v>
      </c>
      <c r="M180" s="3">
        <v>0</v>
      </c>
      <c r="N180" s="3">
        <f t="shared" si="203"/>
        <v>0</v>
      </c>
      <c r="O180" s="3">
        <v>0</v>
      </c>
      <c r="P180" s="3">
        <v>0</v>
      </c>
      <c r="Q180" s="3">
        <v>0</v>
      </c>
      <c r="R180" s="3">
        <f t="shared" si="168"/>
        <v>0</v>
      </c>
      <c r="S180" s="3">
        <v>0</v>
      </c>
      <c r="T180" s="3">
        <v>0</v>
      </c>
      <c r="U180" s="3">
        <f t="shared" si="169"/>
        <v>0</v>
      </c>
      <c r="V180" s="3">
        <f t="shared" si="217"/>
        <v>1212660131</v>
      </c>
      <c r="W180" s="3">
        <f t="shared" si="171"/>
        <v>0</v>
      </c>
      <c r="X180" s="3">
        <f t="shared" si="172"/>
        <v>1172907</v>
      </c>
      <c r="Y180" s="379">
        <f t="shared" si="173"/>
        <v>1213833038</v>
      </c>
      <c r="Z180" s="177">
        <f t="shared" si="220"/>
        <v>12720127</v>
      </c>
      <c r="AA180" s="177">
        <f t="shared" si="220"/>
        <v>9348623</v>
      </c>
      <c r="AB180" s="177">
        <f t="shared" si="206"/>
        <v>22068750</v>
      </c>
      <c r="AC180" s="177">
        <f t="shared" si="221"/>
        <v>11100552193</v>
      </c>
      <c r="AD180" s="177">
        <f t="shared" si="221"/>
        <v>10779168</v>
      </c>
      <c r="AE180" s="177">
        <f t="shared" si="208"/>
        <v>11111331361</v>
      </c>
      <c r="AF180" s="177">
        <f t="shared" si="222"/>
        <v>0</v>
      </c>
      <c r="AG180" s="177">
        <f t="shared" si="222"/>
        <v>0</v>
      </c>
      <c r="AH180" s="177">
        <f t="shared" si="210"/>
        <v>0</v>
      </c>
      <c r="AI180" s="177">
        <f t="shared" si="223"/>
        <v>250191</v>
      </c>
      <c r="AJ180" s="177">
        <f t="shared" si="223"/>
        <v>0</v>
      </c>
      <c r="AK180" s="177">
        <f t="shared" si="223"/>
        <v>0</v>
      </c>
      <c r="AL180" s="177">
        <f t="shared" si="212"/>
        <v>250191</v>
      </c>
      <c r="AM180" s="177">
        <f t="shared" si="224"/>
        <v>64809</v>
      </c>
      <c r="AN180" s="177">
        <f t="shared" si="225"/>
        <v>0</v>
      </c>
      <c r="AO180" s="177">
        <f t="shared" si="225"/>
        <v>0</v>
      </c>
      <c r="AP180" s="177">
        <f t="shared" si="214"/>
        <v>64809</v>
      </c>
      <c r="AQ180" s="177">
        <f t="shared" si="226"/>
        <v>3930424</v>
      </c>
      <c r="AR180" s="177">
        <f t="shared" si="226"/>
        <v>0</v>
      </c>
      <c r="AS180" s="177">
        <f t="shared" si="216"/>
        <v>3930424</v>
      </c>
      <c r="AT180" s="177">
        <f t="shared" si="218"/>
        <v>11117517744</v>
      </c>
      <c r="AU180" s="177">
        <f t="shared" si="175"/>
        <v>0</v>
      </c>
      <c r="AV180" s="177">
        <f t="shared" si="176"/>
        <v>20127791</v>
      </c>
      <c r="AW180" s="382">
        <f t="shared" si="177"/>
        <v>11137645535</v>
      </c>
      <c r="AX180" s="172">
        <f t="shared" si="219"/>
        <v>1.8607120502729613E-2</v>
      </c>
      <c r="AY180" s="172">
        <f t="shared" si="219"/>
        <v>-1</v>
      </c>
      <c r="AZ180" s="172">
        <f t="shared" si="219"/>
        <v>0.67092587837628614</v>
      </c>
      <c r="BA180" s="172">
        <f t="shared" si="219"/>
        <v>9.9781394165128212E-3</v>
      </c>
    </row>
    <row r="181" spans="1:53">
      <c r="A181" s="170">
        <v>45566</v>
      </c>
      <c r="B181" s="378">
        <v>214363</v>
      </c>
      <c r="C181" s="3">
        <v>0</v>
      </c>
      <c r="D181" s="3">
        <f t="shared" si="148"/>
        <v>214363</v>
      </c>
      <c r="E181" s="3">
        <v>1266660329</v>
      </c>
      <c r="F181" s="3">
        <v>1337021</v>
      </c>
      <c r="G181" s="3">
        <f t="shared" si="149"/>
        <v>1267997350</v>
      </c>
      <c r="H181" s="3">
        <v>0</v>
      </c>
      <c r="I181" s="3">
        <v>0</v>
      </c>
      <c r="J181" s="3">
        <f t="shared" si="166"/>
        <v>0</v>
      </c>
      <c r="K181" s="3">
        <v>0</v>
      </c>
      <c r="L181" s="3">
        <v>0</v>
      </c>
      <c r="M181" s="3">
        <v>0</v>
      </c>
      <c r="N181" s="3">
        <f t="shared" si="203"/>
        <v>0</v>
      </c>
      <c r="O181" s="3">
        <v>0</v>
      </c>
      <c r="P181" s="3">
        <v>0</v>
      </c>
      <c r="Q181" s="3">
        <v>0</v>
      </c>
      <c r="R181" s="3">
        <f t="shared" si="168"/>
        <v>0</v>
      </c>
      <c r="S181" s="3">
        <v>0</v>
      </c>
      <c r="T181" s="3">
        <v>0</v>
      </c>
      <c r="U181" s="3">
        <f t="shared" si="169"/>
        <v>0</v>
      </c>
      <c r="V181" s="3">
        <f t="shared" si="217"/>
        <v>1266874692</v>
      </c>
      <c r="W181" s="3">
        <f t="shared" si="171"/>
        <v>0</v>
      </c>
      <c r="X181" s="3">
        <f t="shared" si="172"/>
        <v>1337021</v>
      </c>
      <c r="Y181" s="379">
        <f t="shared" si="173"/>
        <v>1268211713</v>
      </c>
      <c r="Z181" s="177">
        <f t="shared" si="220"/>
        <v>12934490</v>
      </c>
      <c r="AA181" s="177">
        <f t="shared" si="220"/>
        <v>9348623</v>
      </c>
      <c r="AB181" s="177">
        <f t="shared" si="206"/>
        <v>22283113</v>
      </c>
      <c r="AC181" s="177">
        <f t="shared" si="221"/>
        <v>12367212522</v>
      </c>
      <c r="AD181" s="177">
        <f t="shared" si="221"/>
        <v>12116189</v>
      </c>
      <c r="AE181" s="177">
        <f t="shared" si="208"/>
        <v>12379328711</v>
      </c>
      <c r="AF181" s="177">
        <f t="shared" si="222"/>
        <v>0</v>
      </c>
      <c r="AG181" s="177">
        <f t="shared" si="222"/>
        <v>0</v>
      </c>
      <c r="AH181" s="177">
        <f t="shared" si="210"/>
        <v>0</v>
      </c>
      <c r="AI181" s="177">
        <f t="shared" si="223"/>
        <v>250191</v>
      </c>
      <c r="AJ181" s="177">
        <f t="shared" si="223"/>
        <v>0</v>
      </c>
      <c r="AK181" s="177">
        <f t="shared" si="223"/>
        <v>0</v>
      </c>
      <c r="AL181" s="177">
        <f t="shared" si="212"/>
        <v>250191</v>
      </c>
      <c r="AM181" s="177">
        <f t="shared" si="224"/>
        <v>64809</v>
      </c>
      <c r="AN181" s="177">
        <f t="shared" si="225"/>
        <v>0</v>
      </c>
      <c r="AO181" s="177">
        <f t="shared" si="225"/>
        <v>0</v>
      </c>
      <c r="AP181" s="177">
        <f t="shared" si="214"/>
        <v>64809</v>
      </c>
      <c r="AQ181" s="177">
        <f t="shared" si="226"/>
        <v>3930424</v>
      </c>
      <c r="AR181" s="177">
        <f t="shared" si="226"/>
        <v>0</v>
      </c>
      <c r="AS181" s="177">
        <f t="shared" si="216"/>
        <v>3930424</v>
      </c>
      <c r="AT181" s="177">
        <f t="shared" si="218"/>
        <v>12384392436</v>
      </c>
      <c r="AU181" s="177">
        <f t="shared" si="175"/>
        <v>0</v>
      </c>
      <c r="AV181" s="177">
        <f t="shared" si="176"/>
        <v>21464812</v>
      </c>
      <c r="AW181" s="382">
        <f t="shared" si="177"/>
        <v>12405857248</v>
      </c>
      <c r="AX181" s="172">
        <f t="shared" si="219"/>
        <v>1.3806807036089275E-2</v>
      </c>
      <c r="AY181" s="172">
        <f t="shared" si="219"/>
        <v>-1</v>
      </c>
      <c r="AZ181" s="172">
        <f t="shared" si="219"/>
        <v>0.6030044891240065</v>
      </c>
      <c r="BA181" s="172">
        <f t="shared" si="219"/>
        <v>6.1313974140517757E-3</v>
      </c>
    </row>
    <row r="182" spans="1:53">
      <c r="A182" s="170">
        <v>45597</v>
      </c>
      <c r="B182" s="378">
        <v>173721</v>
      </c>
      <c r="C182" s="3">
        <v>0</v>
      </c>
      <c r="D182" s="3">
        <f t="shared" si="148"/>
        <v>173721</v>
      </c>
      <c r="E182" s="3">
        <v>1190465688</v>
      </c>
      <c r="F182" s="3">
        <v>1118970</v>
      </c>
      <c r="G182" s="3">
        <f t="shared" si="149"/>
        <v>1191584658</v>
      </c>
      <c r="H182" s="3">
        <v>0</v>
      </c>
      <c r="I182" s="3">
        <v>0</v>
      </c>
      <c r="J182" s="3">
        <f t="shared" si="166"/>
        <v>0</v>
      </c>
      <c r="K182" s="3">
        <v>0</v>
      </c>
      <c r="L182" s="3">
        <v>0</v>
      </c>
      <c r="M182" s="3">
        <v>0</v>
      </c>
      <c r="N182" s="3">
        <f t="shared" si="203"/>
        <v>0</v>
      </c>
      <c r="O182" s="3">
        <v>0</v>
      </c>
      <c r="P182" s="3">
        <v>0</v>
      </c>
      <c r="Q182" s="3">
        <v>0</v>
      </c>
      <c r="R182" s="3">
        <f t="shared" si="168"/>
        <v>0</v>
      </c>
      <c r="S182" s="3">
        <v>0</v>
      </c>
      <c r="T182" s="3">
        <v>0</v>
      </c>
      <c r="U182" s="3">
        <f t="shared" si="169"/>
        <v>0</v>
      </c>
      <c r="V182" s="3">
        <f t="shared" si="217"/>
        <v>1190639409</v>
      </c>
      <c r="W182" s="3">
        <f t="shared" si="171"/>
        <v>0</v>
      </c>
      <c r="X182" s="3">
        <f t="shared" si="172"/>
        <v>1118970</v>
      </c>
      <c r="Y182" s="379">
        <f t="shared" si="173"/>
        <v>1191758379</v>
      </c>
      <c r="Z182" s="177">
        <f t="shared" si="220"/>
        <v>13108211</v>
      </c>
      <c r="AA182" s="177">
        <f t="shared" si="220"/>
        <v>9348623</v>
      </c>
      <c r="AB182" s="177">
        <f t="shared" si="206"/>
        <v>22456834</v>
      </c>
      <c r="AC182" s="177">
        <f t="shared" si="221"/>
        <v>13557678210</v>
      </c>
      <c r="AD182" s="177">
        <f t="shared" si="221"/>
        <v>13235159</v>
      </c>
      <c r="AE182" s="177">
        <f t="shared" si="208"/>
        <v>13570913369</v>
      </c>
      <c r="AF182" s="177">
        <f t="shared" si="222"/>
        <v>0</v>
      </c>
      <c r="AG182" s="177">
        <f t="shared" si="222"/>
        <v>0</v>
      </c>
      <c r="AH182" s="177">
        <f t="shared" si="210"/>
        <v>0</v>
      </c>
      <c r="AI182" s="177">
        <f t="shared" si="223"/>
        <v>250191</v>
      </c>
      <c r="AJ182" s="177">
        <f t="shared" si="223"/>
        <v>0</v>
      </c>
      <c r="AK182" s="177">
        <f t="shared" si="223"/>
        <v>0</v>
      </c>
      <c r="AL182" s="177">
        <f t="shared" si="212"/>
        <v>250191</v>
      </c>
      <c r="AM182" s="177">
        <f t="shared" si="224"/>
        <v>64809</v>
      </c>
      <c r="AN182" s="177">
        <f t="shared" si="225"/>
        <v>0</v>
      </c>
      <c r="AO182" s="177">
        <f t="shared" si="225"/>
        <v>0</v>
      </c>
      <c r="AP182" s="177">
        <f t="shared" si="214"/>
        <v>64809</v>
      </c>
      <c r="AQ182" s="177">
        <f t="shared" si="226"/>
        <v>3930424</v>
      </c>
      <c r="AR182" s="177">
        <f t="shared" si="226"/>
        <v>0</v>
      </c>
      <c r="AS182" s="177">
        <f t="shared" si="216"/>
        <v>3930424</v>
      </c>
      <c r="AT182" s="177">
        <f t="shared" si="218"/>
        <v>13575031845</v>
      </c>
      <c r="AU182" s="177">
        <f t="shared" si="175"/>
        <v>0</v>
      </c>
      <c r="AV182" s="177">
        <f t="shared" si="176"/>
        <v>22583782</v>
      </c>
      <c r="AW182" s="382">
        <f t="shared" si="177"/>
        <v>13597615627</v>
      </c>
      <c r="AX182" s="172">
        <f t="shared" si="219"/>
        <v>8.8206516865159124E-3</v>
      </c>
      <c r="AY182" s="172">
        <f t="shared" si="219"/>
        <v>-1</v>
      </c>
      <c r="AZ182" s="172">
        <f t="shared" si="219"/>
        <v>0.55743077989871503</v>
      </c>
      <c r="BA182" s="172">
        <f t="shared" si="219"/>
        <v>1.8894660473134373E-3</v>
      </c>
    </row>
    <row r="183" spans="1:53" ht="15.75" thickBot="1">
      <c r="A183" s="170">
        <v>45627</v>
      </c>
      <c r="B183" s="378">
        <v>301667</v>
      </c>
      <c r="C183" s="3">
        <v>0</v>
      </c>
      <c r="D183" s="3">
        <f t="shared" si="148"/>
        <v>301667</v>
      </c>
      <c r="E183" s="3">
        <v>1295403590</v>
      </c>
      <c r="F183" s="3">
        <v>1210839</v>
      </c>
      <c r="G183" s="3">
        <f t="shared" si="149"/>
        <v>1296614429</v>
      </c>
      <c r="H183" s="3">
        <v>0</v>
      </c>
      <c r="I183" s="3">
        <v>0</v>
      </c>
      <c r="J183" s="3">
        <f t="shared" si="166"/>
        <v>0</v>
      </c>
      <c r="K183" s="3">
        <v>0</v>
      </c>
      <c r="L183" s="3">
        <v>0</v>
      </c>
      <c r="M183" s="3">
        <v>0</v>
      </c>
      <c r="N183" s="3">
        <f t="shared" si="203"/>
        <v>0</v>
      </c>
      <c r="O183" s="3">
        <v>0</v>
      </c>
      <c r="P183" s="3">
        <v>0</v>
      </c>
      <c r="Q183" s="3">
        <v>0</v>
      </c>
      <c r="R183" s="3">
        <f t="shared" si="168"/>
        <v>0</v>
      </c>
      <c r="S183" s="3">
        <v>0</v>
      </c>
      <c r="T183" s="3">
        <v>0</v>
      </c>
      <c r="U183" s="3">
        <f t="shared" si="169"/>
        <v>0</v>
      </c>
      <c r="V183" s="3">
        <f t="shared" si="217"/>
        <v>1295705257</v>
      </c>
      <c r="W183" s="3">
        <f t="shared" si="171"/>
        <v>0</v>
      </c>
      <c r="X183" s="3">
        <f t="shared" si="172"/>
        <v>1210839</v>
      </c>
      <c r="Y183" s="379">
        <f t="shared" si="173"/>
        <v>1296916096</v>
      </c>
      <c r="Z183" s="177">
        <f t="shared" si="220"/>
        <v>13409878</v>
      </c>
      <c r="AA183" s="177">
        <f t="shared" si="220"/>
        <v>9348623</v>
      </c>
      <c r="AB183" s="177">
        <f t="shared" si="206"/>
        <v>22758501</v>
      </c>
      <c r="AC183" s="177">
        <f t="shared" si="221"/>
        <v>14853081800</v>
      </c>
      <c r="AD183" s="177">
        <f t="shared" si="221"/>
        <v>14445998</v>
      </c>
      <c r="AE183" s="177">
        <f t="shared" si="208"/>
        <v>14867527798</v>
      </c>
      <c r="AF183" s="177">
        <f t="shared" si="222"/>
        <v>0</v>
      </c>
      <c r="AG183" s="177">
        <f t="shared" si="222"/>
        <v>0</v>
      </c>
      <c r="AH183" s="177">
        <f t="shared" si="210"/>
        <v>0</v>
      </c>
      <c r="AI183" s="177">
        <f t="shared" si="223"/>
        <v>250191</v>
      </c>
      <c r="AJ183" s="177">
        <f t="shared" si="223"/>
        <v>0</v>
      </c>
      <c r="AK183" s="177">
        <f t="shared" si="223"/>
        <v>0</v>
      </c>
      <c r="AL183" s="177">
        <f t="shared" si="212"/>
        <v>250191</v>
      </c>
      <c r="AM183" s="177">
        <f t="shared" si="224"/>
        <v>64809</v>
      </c>
      <c r="AN183" s="177">
        <f t="shared" si="225"/>
        <v>0</v>
      </c>
      <c r="AO183" s="177">
        <f t="shared" si="225"/>
        <v>0</v>
      </c>
      <c r="AP183" s="177">
        <f t="shared" si="214"/>
        <v>64809</v>
      </c>
      <c r="AQ183" s="177">
        <f t="shared" si="226"/>
        <v>3930424</v>
      </c>
      <c r="AR183" s="177">
        <f t="shared" si="226"/>
        <v>0</v>
      </c>
      <c r="AS183" s="177">
        <f t="shared" si="216"/>
        <v>3930424</v>
      </c>
      <c r="AT183" s="177">
        <f t="shared" si="218"/>
        <v>14870737102</v>
      </c>
      <c r="AU183" s="177">
        <f t="shared" si="175"/>
        <v>0</v>
      </c>
      <c r="AV183" s="177">
        <f t="shared" si="176"/>
        <v>23794621</v>
      </c>
      <c r="AW183" s="382">
        <f t="shared" si="177"/>
        <v>14894531723</v>
      </c>
      <c r="AX183" s="172">
        <f t="shared" si="219"/>
        <v>1.0885823065054367E-2</v>
      </c>
      <c r="AY183" s="172">
        <f t="shared" si="219"/>
        <v>-1</v>
      </c>
      <c r="AZ183" s="172">
        <f t="shared" si="219"/>
        <v>7.8227403072745449E-2</v>
      </c>
      <c r="BA183" s="172">
        <f t="shared" si="219"/>
        <v>4.0940500260566726E-3</v>
      </c>
    </row>
    <row r="184" spans="1:53">
      <c r="A184" s="171">
        <v>45658</v>
      </c>
      <c r="B184" s="385">
        <v>0</v>
      </c>
      <c r="C184" s="104">
        <v>0</v>
      </c>
      <c r="D184" s="104">
        <f t="shared" ref="D184:D186" si="227">C184+B184</f>
        <v>0</v>
      </c>
      <c r="E184" s="104">
        <v>1243974760</v>
      </c>
      <c r="F184" s="104">
        <v>1267752</v>
      </c>
      <c r="G184" s="104">
        <f t="shared" si="149"/>
        <v>1245242512</v>
      </c>
      <c r="H184" s="104">
        <v>0</v>
      </c>
      <c r="I184" s="104">
        <v>0</v>
      </c>
      <c r="J184" s="104">
        <f t="shared" si="166"/>
        <v>0</v>
      </c>
      <c r="K184" s="104">
        <v>0</v>
      </c>
      <c r="L184" s="104">
        <v>0</v>
      </c>
      <c r="M184" s="104">
        <v>0</v>
      </c>
      <c r="N184" s="104">
        <f t="shared" si="203"/>
        <v>0</v>
      </c>
      <c r="O184" s="104">
        <v>0</v>
      </c>
      <c r="P184" s="104">
        <v>0</v>
      </c>
      <c r="Q184" s="104">
        <v>0</v>
      </c>
      <c r="R184" s="104">
        <f t="shared" si="168"/>
        <v>0</v>
      </c>
      <c r="S184" s="104">
        <v>0</v>
      </c>
      <c r="T184" s="104">
        <v>0</v>
      </c>
      <c r="U184" s="104">
        <f t="shared" si="169"/>
        <v>0</v>
      </c>
      <c r="V184" s="104">
        <f t="shared" si="217"/>
        <v>1243974760</v>
      </c>
      <c r="W184" s="104">
        <f t="shared" si="171"/>
        <v>0</v>
      </c>
      <c r="X184" s="104">
        <f t="shared" si="172"/>
        <v>1267752</v>
      </c>
      <c r="Y184" s="386">
        <f t="shared" si="173"/>
        <v>1245242512</v>
      </c>
      <c r="Z184" s="389">
        <f>B184</f>
        <v>0</v>
      </c>
      <c r="AA184" s="389">
        <f>C184</f>
        <v>0</v>
      </c>
      <c r="AB184" s="389">
        <f t="shared" si="206"/>
        <v>0</v>
      </c>
      <c r="AC184" s="389">
        <f>E184</f>
        <v>1243974760</v>
      </c>
      <c r="AD184" s="389">
        <f>F184</f>
        <v>1267752</v>
      </c>
      <c r="AE184" s="389">
        <f t="shared" si="208"/>
        <v>1245242512</v>
      </c>
      <c r="AF184" s="389">
        <f>H184</f>
        <v>0</v>
      </c>
      <c r="AG184" s="389">
        <f>I184</f>
        <v>0</v>
      </c>
      <c r="AH184" s="389">
        <f t="shared" si="210"/>
        <v>0</v>
      </c>
      <c r="AI184" s="389">
        <f>K184</f>
        <v>0</v>
      </c>
      <c r="AJ184" s="389">
        <f>L184</f>
        <v>0</v>
      </c>
      <c r="AK184" s="389">
        <f>M184</f>
        <v>0</v>
      </c>
      <c r="AL184" s="389">
        <f t="shared" si="212"/>
        <v>0</v>
      </c>
      <c r="AM184" s="389">
        <f>O184</f>
        <v>0</v>
      </c>
      <c r="AN184" s="389">
        <f>P184</f>
        <v>0</v>
      </c>
      <c r="AO184" s="389">
        <f>Q184</f>
        <v>0</v>
      </c>
      <c r="AP184" s="389">
        <f t="shared" si="214"/>
        <v>0</v>
      </c>
      <c r="AQ184" s="389">
        <f>S184</f>
        <v>0</v>
      </c>
      <c r="AR184" s="389">
        <f>T184</f>
        <v>0</v>
      </c>
      <c r="AS184" s="389">
        <f t="shared" si="216"/>
        <v>0</v>
      </c>
      <c r="AT184" s="389">
        <f t="shared" si="218"/>
        <v>1243974760</v>
      </c>
      <c r="AU184" s="389">
        <f t="shared" si="175"/>
        <v>0</v>
      </c>
      <c r="AV184" s="389">
        <f t="shared" si="176"/>
        <v>1267752</v>
      </c>
      <c r="AW184" s="390">
        <f t="shared" si="177"/>
        <v>1245242512</v>
      </c>
      <c r="AX184" s="172">
        <f t="shared" si="219"/>
        <v>3.2230879065312079E-2</v>
      </c>
      <c r="AY184" s="172" t="e">
        <f t="shared" si="219"/>
        <v>#DIV/0!</v>
      </c>
      <c r="AZ184" s="172">
        <f t="shared" si="219"/>
        <v>0.13792908453289554</v>
      </c>
      <c r="BA184" s="172">
        <f t="shared" si="219"/>
        <v>3.2328501739396831E-2</v>
      </c>
    </row>
    <row r="185" spans="1:53">
      <c r="A185" s="170">
        <v>45689</v>
      </c>
      <c r="B185" s="378">
        <v>153911</v>
      </c>
      <c r="C185" s="3">
        <v>0</v>
      </c>
      <c r="D185" s="3">
        <f t="shared" si="227"/>
        <v>153911</v>
      </c>
      <c r="E185" s="3">
        <v>1119162157</v>
      </c>
      <c r="F185" s="3">
        <v>1041915</v>
      </c>
      <c r="G185" s="3">
        <f t="shared" ref="G185:G186" si="228">F185+E185</f>
        <v>1120204072</v>
      </c>
      <c r="H185" s="3">
        <v>0</v>
      </c>
      <c r="I185" s="3">
        <v>0</v>
      </c>
      <c r="J185" s="3">
        <f t="shared" si="166"/>
        <v>0</v>
      </c>
      <c r="K185" s="3">
        <v>0</v>
      </c>
      <c r="L185" s="3">
        <v>0</v>
      </c>
      <c r="M185" s="3">
        <v>0</v>
      </c>
      <c r="N185" s="3">
        <f t="shared" si="203"/>
        <v>0</v>
      </c>
      <c r="O185" s="3">
        <v>0</v>
      </c>
      <c r="P185" s="3">
        <v>0</v>
      </c>
      <c r="Q185" s="3">
        <v>0</v>
      </c>
      <c r="R185" s="3">
        <f t="shared" si="168"/>
        <v>0</v>
      </c>
      <c r="S185" s="3">
        <v>0</v>
      </c>
      <c r="T185" s="3">
        <v>0</v>
      </c>
      <c r="U185" s="3">
        <f t="shared" si="169"/>
        <v>0</v>
      </c>
      <c r="V185" s="3">
        <f t="shared" si="217"/>
        <v>1119316068</v>
      </c>
      <c r="W185" s="3">
        <f t="shared" si="171"/>
        <v>0</v>
      </c>
      <c r="X185" s="3">
        <f t="shared" si="172"/>
        <v>1041915</v>
      </c>
      <c r="Y185" s="379">
        <f t="shared" si="173"/>
        <v>1120357983</v>
      </c>
      <c r="Z185" s="177">
        <f t="shared" ref="Z185:AA186" si="229">Z184+B185</f>
        <v>153911</v>
      </c>
      <c r="AA185" s="177">
        <f t="shared" si="229"/>
        <v>0</v>
      </c>
      <c r="AB185" s="177">
        <f t="shared" si="206"/>
        <v>153911</v>
      </c>
      <c r="AC185" s="177">
        <f t="shared" ref="AC185:AD186" si="230">AC184+E185</f>
        <v>2363136917</v>
      </c>
      <c r="AD185" s="177">
        <f t="shared" si="230"/>
        <v>2309667</v>
      </c>
      <c r="AE185" s="177">
        <f t="shared" si="208"/>
        <v>2365446584</v>
      </c>
      <c r="AF185" s="177">
        <f t="shared" ref="AF185:AG186" si="231">AF184+H185</f>
        <v>0</v>
      </c>
      <c r="AG185" s="177">
        <f t="shared" si="231"/>
        <v>0</v>
      </c>
      <c r="AH185" s="177">
        <f t="shared" si="210"/>
        <v>0</v>
      </c>
      <c r="AI185" s="177">
        <f t="shared" ref="AI185:AK186" si="232">AI184+K185</f>
        <v>0</v>
      </c>
      <c r="AJ185" s="177">
        <f t="shared" si="232"/>
        <v>0</v>
      </c>
      <c r="AK185" s="177">
        <f t="shared" si="232"/>
        <v>0</v>
      </c>
      <c r="AL185" s="177">
        <f t="shared" si="212"/>
        <v>0</v>
      </c>
      <c r="AM185" s="177">
        <f t="shared" ref="AM185:AM186" si="233">AM184+O185</f>
        <v>0</v>
      </c>
      <c r="AN185" s="177">
        <f t="shared" ref="AN185:AO186" si="234">AN184+P184</f>
        <v>0</v>
      </c>
      <c r="AO185" s="177">
        <f t="shared" si="234"/>
        <v>0</v>
      </c>
      <c r="AP185" s="177">
        <f t="shared" si="214"/>
        <v>0</v>
      </c>
      <c r="AQ185" s="177">
        <f t="shared" ref="AQ185:AR186" si="235">AQ184+S185</f>
        <v>0</v>
      </c>
      <c r="AR185" s="177">
        <f t="shared" si="235"/>
        <v>0</v>
      </c>
      <c r="AS185" s="177">
        <f t="shared" si="216"/>
        <v>0</v>
      </c>
      <c r="AT185" s="177">
        <f t="shared" si="218"/>
        <v>2363290828</v>
      </c>
      <c r="AU185" s="177">
        <f t="shared" si="175"/>
        <v>0</v>
      </c>
      <c r="AV185" s="177">
        <f>AR185+AO185+AK185+AG185+AD185+AA185</f>
        <v>2309667</v>
      </c>
      <c r="AW185" s="382">
        <f t="shared" si="177"/>
        <v>2365600495</v>
      </c>
      <c r="AX185" s="172">
        <f t="shared" si="219"/>
        <v>-2.0379345234839308E-2</v>
      </c>
      <c r="AY185" s="172" t="e">
        <f t="shared" si="219"/>
        <v>#DIV/0!</v>
      </c>
      <c r="AZ185" s="172">
        <f t="shared" si="219"/>
        <v>-0.48560144533426697</v>
      </c>
      <c r="BA185" s="172">
        <f t="shared" si="219"/>
        <v>-2.1243602777265669E-2</v>
      </c>
    </row>
    <row r="186" spans="1:53">
      <c r="A186" s="170">
        <v>45717</v>
      </c>
      <c r="B186" s="378">
        <v>0</v>
      </c>
      <c r="C186" s="3">
        <v>0</v>
      </c>
      <c r="D186" s="3">
        <f t="shared" si="227"/>
        <v>0</v>
      </c>
      <c r="E186" s="3">
        <v>1213323826</v>
      </c>
      <c r="F186" s="3">
        <v>988011</v>
      </c>
      <c r="G186" s="3">
        <f t="shared" si="228"/>
        <v>1214311837</v>
      </c>
      <c r="H186" s="3">
        <v>0</v>
      </c>
      <c r="I186" s="3">
        <v>0</v>
      </c>
      <c r="J186" s="3">
        <f t="shared" si="166"/>
        <v>0</v>
      </c>
      <c r="K186" s="3">
        <v>0</v>
      </c>
      <c r="L186" s="3">
        <v>0</v>
      </c>
      <c r="M186" s="3">
        <v>0</v>
      </c>
      <c r="N186" s="3">
        <f t="shared" si="203"/>
        <v>0</v>
      </c>
      <c r="O186" s="3">
        <v>0</v>
      </c>
      <c r="P186" s="3">
        <v>0</v>
      </c>
      <c r="Q186" s="3">
        <v>0</v>
      </c>
      <c r="R186" s="3">
        <f t="shared" si="168"/>
        <v>0</v>
      </c>
      <c r="S186" s="3">
        <v>0</v>
      </c>
      <c r="T186" s="3">
        <v>0</v>
      </c>
      <c r="U186" s="3">
        <f t="shared" si="169"/>
        <v>0</v>
      </c>
      <c r="V186" s="3">
        <f t="shared" si="217"/>
        <v>1213323826</v>
      </c>
      <c r="W186" s="3">
        <f t="shared" si="171"/>
        <v>0</v>
      </c>
      <c r="X186" s="3">
        <f t="shared" si="172"/>
        <v>988011</v>
      </c>
      <c r="Y186" s="379">
        <f t="shared" si="173"/>
        <v>1214311837</v>
      </c>
      <c r="Z186" s="177">
        <f t="shared" si="229"/>
        <v>153911</v>
      </c>
      <c r="AA186" s="177">
        <f t="shared" si="229"/>
        <v>0</v>
      </c>
      <c r="AB186" s="177">
        <f t="shared" si="206"/>
        <v>153911</v>
      </c>
      <c r="AC186" s="177">
        <f t="shared" si="230"/>
        <v>3576460743</v>
      </c>
      <c r="AD186" s="177">
        <f t="shared" si="230"/>
        <v>3297678</v>
      </c>
      <c r="AE186" s="177">
        <f t="shared" si="208"/>
        <v>3579758421</v>
      </c>
      <c r="AF186" s="177">
        <f t="shared" si="231"/>
        <v>0</v>
      </c>
      <c r="AG186" s="177">
        <f t="shared" si="231"/>
        <v>0</v>
      </c>
      <c r="AH186" s="177">
        <f t="shared" si="210"/>
        <v>0</v>
      </c>
      <c r="AI186" s="177">
        <f t="shared" si="232"/>
        <v>0</v>
      </c>
      <c r="AJ186" s="177">
        <f t="shared" si="232"/>
        <v>0</v>
      </c>
      <c r="AK186" s="177">
        <f t="shared" si="232"/>
        <v>0</v>
      </c>
      <c r="AL186" s="177">
        <f t="shared" si="212"/>
        <v>0</v>
      </c>
      <c r="AM186" s="177">
        <f t="shared" si="233"/>
        <v>0</v>
      </c>
      <c r="AN186" s="177">
        <f t="shared" si="234"/>
        <v>0</v>
      </c>
      <c r="AO186" s="177">
        <f t="shared" si="234"/>
        <v>0</v>
      </c>
      <c r="AP186" s="177">
        <f t="shared" si="214"/>
        <v>0</v>
      </c>
      <c r="AQ186" s="177">
        <f t="shared" si="235"/>
        <v>0</v>
      </c>
      <c r="AR186" s="177">
        <f t="shared" si="235"/>
        <v>0</v>
      </c>
      <c r="AS186" s="177">
        <f t="shared" si="216"/>
        <v>0</v>
      </c>
      <c r="AT186" s="177">
        <f t="shared" si="218"/>
        <v>3576614654</v>
      </c>
      <c r="AU186" s="177">
        <f t="shared" si="175"/>
        <v>0</v>
      </c>
      <c r="AV186" s="177">
        <f>AR186+AO186+AK186+AG186+AD186+AA186</f>
        <v>3297678</v>
      </c>
      <c r="AW186" s="382">
        <f t="shared" si="177"/>
        <v>3579912332</v>
      </c>
      <c r="AX186" s="172">
        <f t="shared" si="219"/>
        <v>-6.2737452275256622E-3</v>
      </c>
      <c r="AY186" s="172" t="e">
        <f t="shared" si="219"/>
        <v>#DIV/0!</v>
      </c>
      <c r="AZ186" s="172">
        <f t="shared" si="219"/>
        <v>-0.41298118258993499</v>
      </c>
      <c r="BA186" s="172">
        <f t="shared" si="219"/>
        <v>-6.9075501776471038E-3</v>
      </c>
    </row>
  </sheetData>
  <mergeCells count="16">
    <mergeCell ref="AT2:AW2"/>
    <mergeCell ref="B1:Y1"/>
    <mergeCell ref="Z1:AW1"/>
    <mergeCell ref="B2:D2"/>
    <mergeCell ref="E2:G2"/>
    <mergeCell ref="H2:J2"/>
    <mergeCell ref="K2:N2"/>
    <mergeCell ref="O2:R2"/>
    <mergeCell ref="S2:U2"/>
    <mergeCell ref="V2:Y2"/>
    <mergeCell ref="Z2:AB2"/>
    <mergeCell ref="AC2:AE2"/>
    <mergeCell ref="AF2:AH2"/>
    <mergeCell ref="AI2:AL2"/>
    <mergeCell ref="AM2:AP2"/>
    <mergeCell ref="AQ2:AS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A371-8811-4D63-8445-F42C6CF2752E}">
  <sheetPr>
    <tabColor theme="1" tint="0.499984740745262"/>
  </sheetPr>
  <dimension ref="A1:AV193"/>
  <sheetViews>
    <sheetView zoomScale="115" zoomScaleNormal="115" workbookViewId="0">
      <pane xSplit="1" ySplit="2" topLeftCell="N120" activePane="bottomRight" state="frozen"/>
      <selection activeCell="A9" sqref="A9"/>
      <selection pane="topRight" activeCell="A9" sqref="A9"/>
      <selection pane="bottomLeft" activeCell="A9" sqref="A9"/>
      <selection pane="bottomRight" activeCell="A9" sqref="A9"/>
    </sheetView>
  </sheetViews>
  <sheetFormatPr defaultColWidth="9.140625" defaultRowHeight="11.25"/>
  <cols>
    <col min="1" max="1" width="28.7109375" style="443" customWidth="1"/>
    <col min="2" max="10" width="12.140625" style="443" hidden="1" customWidth="1"/>
    <col min="11" max="13" width="10" style="443" hidden="1" customWidth="1"/>
    <col min="14" max="18" width="13.7109375" style="443" customWidth="1"/>
    <col min="19" max="33" width="13.7109375" style="443" hidden="1" customWidth="1"/>
    <col min="34" max="34" width="13.7109375" style="443" customWidth="1"/>
    <col min="35" max="37" width="9.140625" style="443" hidden="1" customWidth="1"/>
    <col min="38" max="41" width="11.42578125" style="443" hidden="1" customWidth="1"/>
    <col min="42" max="44" width="0" style="443" hidden="1" customWidth="1"/>
    <col min="45" max="45" width="10.42578125" style="443" hidden="1" customWidth="1"/>
    <col min="46" max="46" width="9.7109375" style="443" hidden="1" customWidth="1"/>
    <col min="47" max="47" width="10.42578125" style="443" bestFit="1" customWidth="1"/>
    <col min="48" max="48" width="9.28515625" style="443" bestFit="1" customWidth="1"/>
    <col min="49" max="16384" width="9.140625" style="443"/>
  </cols>
  <sheetData>
    <row r="1" spans="1:48" ht="12" thickBot="1">
      <c r="A1" s="442" t="s">
        <v>537</v>
      </c>
    </row>
    <row r="2" spans="1:48" ht="12" thickBot="1">
      <c r="A2" s="444"/>
      <c r="B2" s="445">
        <v>2010</v>
      </c>
      <c r="C2" s="445">
        <v>2011</v>
      </c>
      <c r="D2" s="445">
        <v>2012</v>
      </c>
      <c r="E2" s="445">
        <v>2013</v>
      </c>
      <c r="F2" s="445">
        <v>2014</v>
      </c>
      <c r="G2" s="445">
        <v>2015</v>
      </c>
      <c r="H2" s="445">
        <v>2016</v>
      </c>
      <c r="I2" s="445">
        <v>2017</v>
      </c>
      <c r="J2" s="445">
        <v>2018</v>
      </c>
      <c r="K2" s="445">
        <v>2019</v>
      </c>
      <c r="L2" s="445">
        <v>2020</v>
      </c>
      <c r="M2" s="445">
        <v>2021</v>
      </c>
      <c r="N2" s="445">
        <v>2022</v>
      </c>
      <c r="O2" s="445">
        <v>2023</v>
      </c>
      <c r="P2" s="445">
        <v>2024</v>
      </c>
      <c r="Q2" s="445">
        <v>2025</v>
      </c>
      <c r="R2" s="445">
        <v>2026</v>
      </c>
      <c r="S2" s="445">
        <v>2027</v>
      </c>
      <c r="T2" s="445">
        <v>2028</v>
      </c>
      <c r="U2" s="445">
        <v>2029</v>
      </c>
      <c r="V2" s="445">
        <v>2030</v>
      </c>
      <c r="W2" s="445">
        <v>2031</v>
      </c>
      <c r="X2" s="445">
        <v>2032</v>
      </c>
      <c r="Y2" s="445">
        <v>2033</v>
      </c>
      <c r="Z2" s="445">
        <v>2034</v>
      </c>
      <c r="AA2" s="445">
        <v>2035</v>
      </c>
      <c r="AB2" s="445">
        <v>2036</v>
      </c>
      <c r="AC2" s="445">
        <v>2037</v>
      </c>
      <c r="AD2" s="445">
        <v>2038</v>
      </c>
      <c r="AE2" s="445">
        <v>2039</v>
      </c>
      <c r="AF2" s="445">
        <v>2040</v>
      </c>
      <c r="AG2" s="445">
        <v>2041</v>
      </c>
      <c r="AI2" s="445">
        <v>2019</v>
      </c>
      <c r="AK2" s="445">
        <v>2020</v>
      </c>
      <c r="AM2" s="445">
        <v>2021</v>
      </c>
      <c r="AO2" s="445">
        <v>2022</v>
      </c>
      <c r="AQ2" s="445">
        <v>2023</v>
      </c>
      <c r="AS2" s="445">
        <v>2024</v>
      </c>
      <c r="AU2" s="445">
        <v>2025</v>
      </c>
    </row>
    <row r="3" spans="1:48">
      <c r="A3" s="446" t="s">
        <v>538</v>
      </c>
      <c r="B3" s="447">
        <f>B4+B7</f>
        <v>0</v>
      </c>
      <c r="C3" s="447">
        <f t="shared" ref="C3:P3" si="0">C4+C7</f>
        <v>0</v>
      </c>
      <c r="D3" s="447">
        <f t="shared" si="0"/>
        <v>1024</v>
      </c>
      <c r="E3" s="447">
        <f t="shared" si="0"/>
        <v>232808</v>
      </c>
      <c r="F3" s="447">
        <f t="shared" si="0"/>
        <v>5211</v>
      </c>
      <c r="G3" s="447">
        <f t="shared" si="0"/>
        <v>0</v>
      </c>
      <c r="H3" s="447">
        <f t="shared" si="0"/>
        <v>0</v>
      </c>
      <c r="I3" s="447">
        <f t="shared" si="0"/>
        <v>270</v>
      </c>
      <c r="J3" s="447">
        <f t="shared" si="0"/>
        <v>6620</v>
      </c>
      <c r="K3" s="447">
        <f t="shared" si="0"/>
        <v>0</v>
      </c>
      <c r="L3" s="447">
        <f t="shared" si="0"/>
        <v>0</v>
      </c>
      <c r="M3" s="447">
        <f t="shared" si="0"/>
        <v>0</v>
      </c>
      <c r="N3" s="447">
        <f t="shared" si="0"/>
        <v>0</v>
      </c>
      <c r="O3" s="447">
        <f t="shared" si="0"/>
        <v>0</v>
      </c>
      <c r="P3" s="447">
        <f t="shared" si="0"/>
        <v>0</v>
      </c>
      <c r="Q3" s="448">
        <f>Q13-Q8</f>
        <v>9.061861503723776</v>
      </c>
      <c r="R3" s="448">
        <f t="shared" ref="R3:AG3" si="1">R13-R8</f>
        <v>42.983481559786014</v>
      </c>
      <c r="S3" s="448">
        <f t="shared" si="1"/>
        <v>12.291554642724805</v>
      </c>
      <c r="T3" s="448">
        <f t="shared" si="1"/>
        <v>25.624257073970512</v>
      </c>
      <c r="U3" s="448">
        <f t="shared" si="1"/>
        <v>42.293118436005898</v>
      </c>
      <c r="V3" s="448">
        <f t="shared" si="1"/>
        <v>49.794809019891545</v>
      </c>
      <c r="W3" s="448">
        <f t="shared" si="1"/>
        <v>60.00081543676788</v>
      </c>
      <c r="X3" s="448">
        <f t="shared" si="1"/>
        <v>60.257868749380577</v>
      </c>
      <c r="Y3" s="448">
        <f t="shared" si="1"/>
        <v>76.756697513628751</v>
      </c>
      <c r="Z3" s="448">
        <f t="shared" si="1"/>
        <v>84.430840327113401</v>
      </c>
      <c r="AA3" s="448">
        <f t="shared" si="1"/>
        <v>91.438824405369814</v>
      </c>
      <c r="AB3" s="448">
        <f t="shared" si="1"/>
        <v>100.24754061165731</v>
      </c>
      <c r="AC3" s="448">
        <f t="shared" si="1"/>
        <v>109.10049473959953</v>
      </c>
      <c r="AD3" s="448">
        <f t="shared" si="1"/>
        <v>119.20807539013913</v>
      </c>
      <c r="AE3" s="448">
        <f t="shared" si="1"/>
        <v>126.37120238057105</v>
      </c>
      <c r="AF3" s="448">
        <f t="shared" si="1"/>
        <v>135.31908137735445</v>
      </c>
      <c r="AG3" s="448">
        <f t="shared" si="1"/>
        <v>144.4021882325178</v>
      </c>
      <c r="AI3" s="448">
        <v>7828.3881815327331</v>
      </c>
      <c r="AJ3" s="449">
        <f>K3-AI3</f>
        <v>-7828.3881815327331</v>
      </c>
      <c r="AK3" s="448">
        <v>0.37136614530027146</v>
      </c>
      <c r="AL3" s="449">
        <f>L3-AK3</f>
        <v>-0.37136614530027146</v>
      </c>
      <c r="AM3" s="448">
        <v>2.1599475152900283E-8</v>
      </c>
      <c r="AN3" s="449">
        <f>M3-AM3</f>
        <v>-2.1599475152900283E-8</v>
      </c>
      <c r="AO3" s="448">
        <v>0</v>
      </c>
      <c r="AP3" s="449">
        <f>N3-AO3</f>
        <v>0</v>
      </c>
      <c r="AQ3" s="448">
        <v>0.10260438604746014</v>
      </c>
      <c r="AR3" s="449">
        <f>O3-AQ3</f>
        <v>-0.10260438604746014</v>
      </c>
      <c r="AS3" s="448">
        <v>0.18074696496478282</v>
      </c>
      <c r="AT3" s="449">
        <f>P3-AS3</f>
        <v>-0.18074696496478282</v>
      </c>
      <c r="AU3" s="448">
        <v>9.0617160532565322</v>
      </c>
      <c r="AV3" s="449">
        <f>Q3-AU3</f>
        <v>1.4545046724379063E-4</v>
      </c>
    </row>
    <row r="4" spans="1:48">
      <c r="A4" s="443" t="s">
        <v>224</v>
      </c>
      <c r="B4" s="449">
        <f>B5+B6</f>
        <v>0</v>
      </c>
      <c r="C4" s="449">
        <f t="shared" ref="C4:P4" si="2">C5+C6</f>
        <v>0</v>
      </c>
      <c r="D4" s="449">
        <f t="shared" si="2"/>
        <v>1024</v>
      </c>
      <c r="E4" s="449">
        <f t="shared" si="2"/>
        <v>232808</v>
      </c>
      <c r="F4" s="449">
        <f t="shared" si="2"/>
        <v>5211</v>
      </c>
      <c r="G4" s="449">
        <f t="shared" si="2"/>
        <v>0</v>
      </c>
      <c r="H4" s="449">
        <f t="shared" si="2"/>
        <v>0</v>
      </c>
      <c r="I4" s="449">
        <f t="shared" si="2"/>
        <v>270</v>
      </c>
      <c r="J4" s="449">
        <f t="shared" si="2"/>
        <v>6620</v>
      </c>
      <c r="K4" s="449">
        <f t="shared" si="2"/>
        <v>0</v>
      </c>
      <c r="L4" s="449">
        <f t="shared" si="2"/>
        <v>0</v>
      </c>
      <c r="M4" s="449">
        <f t="shared" si="2"/>
        <v>0</v>
      </c>
      <c r="N4" s="449">
        <f t="shared" si="2"/>
        <v>0</v>
      </c>
      <c r="O4" s="449">
        <f t="shared" si="2"/>
        <v>0</v>
      </c>
      <c r="P4" s="449">
        <f t="shared" si="2"/>
        <v>0</v>
      </c>
      <c r="Q4" s="450">
        <f>Q3-Q7</f>
        <v>9.061861503723776</v>
      </c>
      <c r="R4" s="450">
        <f t="shared" ref="R4:AG4" si="3">R3-R7</f>
        <v>42.983481559786014</v>
      </c>
      <c r="S4" s="450">
        <f t="shared" si="3"/>
        <v>12.291554642724805</v>
      </c>
      <c r="T4" s="450">
        <f t="shared" si="3"/>
        <v>25.624257073970512</v>
      </c>
      <c r="U4" s="450">
        <f t="shared" si="3"/>
        <v>42.293118436005898</v>
      </c>
      <c r="V4" s="450">
        <f t="shared" si="3"/>
        <v>49.794809019891545</v>
      </c>
      <c r="W4" s="450">
        <f t="shared" si="3"/>
        <v>60.00081543676788</v>
      </c>
      <c r="X4" s="450">
        <f t="shared" si="3"/>
        <v>60.257868749380577</v>
      </c>
      <c r="Y4" s="450">
        <f t="shared" si="3"/>
        <v>76.756697513628751</v>
      </c>
      <c r="Z4" s="450">
        <f t="shared" si="3"/>
        <v>84.430840327113401</v>
      </c>
      <c r="AA4" s="450">
        <f t="shared" si="3"/>
        <v>91.438824405369814</v>
      </c>
      <c r="AB4" s="450">
        <f t="shared" si="3"/>
        <v>100.24754061165731</v>
      </c>
      <c r="AC4" s="450">
        <f t="shared" si="3"/>
        <v>109.10049473959953</v>
      </c>
      <c r="AD4" s="450">
        <f t="shared" si="3"/>
        <v>119.20807539013913</v>
      </c>
      <c r="AE4" s="450">
        <f t="shared" si="3"/>
        <v>126.37120238057105</v>
      </c>
      <c r="AF4" s="450">
        <f t="shared" si="3"/>
        <v>135.31908137735445</v>
      </c>
      <c r="AG4" s="450">
        <f t="shared" si="3"/>
        <v>144.4021882325178</v>
      </c>
      <c r="AI4" s="450">
        <v>7828.3881815327331</v>
      </c>
      <c r="AJ4" s="449">
        <f t="shared" ref="AJ4:AJ13" si="4">K4-AI4</f>
        <v>-7828.3881815327331</v>
      </c>
      <c r="AK4" s="450">
        <v>0.37136614530027146</v>
      </c>
      <c r="AL4" s="449">
        <f t="shared" ref="AL4:AL13" si="5">L4-AK4</f>
        <v>-0.37136614530027146</v>
      </c>
      <c r="AM4" s="450">
        <v>2.1599475152900283E-8</v>
      </c>
      <c r="AN4" s="449">
        <f t="shared" ref="AN4:AN13" si="6">M4-AM4</f>
        <v>-2.1599475152900283E-8</v>
      </c>
      <c r="AO4" s="450">
        <v>0</v>
      </c>
      <c r="AP4" s="449">
        <f t="shared" ref="AP4:AP13" si="7">N4-AO4</f>
        <v>0</v>
      </c>
      <c r="AQ4" s="450">
        <v>0.10260438604746014</v>
      </c>
      <c r="AR4" s="449">
        <f t="shared" ref="AR4:AR13" si="8">O4-AQ4</f>
        <v>-0.10260438604746014</v>
      </c>
      <c r="AS4" s="450">
        <v>0.18074696496478282</v>
      </c>
      <c r="AT4" s="449">
        <f t="shared" ref="AT4:AT13" si="9">P4-AS4</f>
        <v>-0.18074696496478282</v>
      </c>
      <c r="AU4" s="450">
        <v>9.0617160532565322</v>
      </c>
      <c r="AV4" s="449">
        <f t="shared" ref="AV4:AV13" si="10">Q4-AU4</f>
        <v>1.4545046724379063E-4</v>
      </c>
    </row>
    <row r="5" spans="1:48">
      <c r="A5" s="443" t="s">
        <v>288</v>
      </c>
      <c r="B5" s="449">
        <f>B81</f>
        <v>0</v>
      </c>
      <c r="C5" s="449">
        <f t="shared" ref="C5:P5" si="11">C81</f>
        <v>0</v>
      </c>
      <c r="D5" s="449">
        <f t="shared" si="11"/>
        <v>1024</v>
      </c>
      <c r="E5" s="449">
        <f t="shared" si="11"/>
        <v>232808</v>
      </c>
      <c r="F5" s="449">
        <f t="shared" si="11"/>
        <v>5211</v>
      </c>
      <c r="G5" s="449">
        <f t="shared" si="11"/>
        <v>0</v>
      </c>
      <c r="H5" s="449">
        <f t="shared" si="11"/>
        <v>0</v>
      </c>
      <c r="I5" s="449">
        <f t="shared" si="11"/>
        <v>270</v>
      </c>
      <c r="J5" s="449">
        <f t="shared" si="11"/>
        <v>6620</v>
      </c>
      <c r="K5" s="449">
        <f t="shared" si="11"/>
        <v>0</v>
      </c>
      <c r="L5" s="449">
        <f t="shared" si="11"/>
        <v>0</v>
      </c>
      <c r="M5" s="449">
        <f t="shared" si="11"/>
        <v>0</v>
      </c>
      <c r="N5" s="449">
        <f t="shared" si="11"/>
        <v>0</v>
      </c>
      <c r="O5" s="449">
        <f t="shared" si="11"/>
        <v>0</v>
      </c>
      <c r="P5" s="449">
        <f t="shared" si="11"/>
        <v>0</v>
      </c>
      <c r="Q5" s="450">
        <f>Q4-Q6</f>
        <v>9.061861503723776</v>
      </c>
      <c r="R5" s="450">
        <f t="shared" ref="R5:AG5" si="12">R4-R6</f>
        <v>42.983481559786014</v>
      </c>
      <c r="S5" s="450">
        <f t="shared" si="12"/>
        <v>12.291554642724805</v>
      </c>
      <c r="T5" s="450">
        <f t="shared" si="12"/>
        <v>25.624257073970512</v>
      </c>
      <c r="U5" s="450">
        <f t="shared" si="12"/>
        <v>42.293118436005898</v>
      </c>
      <c r="V5" s="450">
        <f t="shared" si="12"/>
        <v>49.794809019891545</v>
      </c>
      <c r="W5" s="450">
        <f t="shared" si="12"/>
        <v>60.00081543676788</v>
      </c>
      <c r="X5" s="450">
        <f t="shared" si="12"/>
        <v>60.257868749380577</v>
      </c>
      <c r="Y5" s="450">
        <f t="shared" si="12"/>
        <v>76.756697513628751</v>
      </c>
      <c r="Z5" s="450">
        <f t="shared" si="12"/>
        <v>84.430840327113401</v>
      </c>
      <c r="AA5" s="450">
        <f t="shared" si="12"/>
        <v>91.438824405369814</v>
      </c>
      <c r="AB5" s="450">
        <f t="shared" si="12"/>
        <v>100.24754061165731</v>
      </c>
      <c r="AC5" s="450">
        <f t="shared" si="12"/>
        <v>109.10049473959953</v>
      </c>
      <c r="AD5" s="450">
        <f t="shared" si="12"/>
        <v>119.20807539013913</v>
      </c>
      <c r="AE5" s="450">
        <f t="shared" si="12"/>
        <v>126.37120238057105</v>
      </c>
      <c r="AF5" s="450">
        <f t="shared" si="12"/>
        <v>135.31908137735445</v>
      </c>
      <c r="AG5" s="450">
        <f t="shared" si="12"/>
        <v>144.4021882325178</v>
      </c>
      <c r="AI5" s="450">
        <v>7828.3881815327331</v>
      </c>
      <c r="AJ5" s="449">
        <f t="shared" si="4"/>
        <v>-7828.3881815327331</v>
      </c>
      <c r="AK5" s="450">
        <v>0.37136614530027146</v>
      </c>
      <c r="AL5" s="449">
        <f t="shared" si="5"/>
        <v>-0.37136614530027146</v>
      </c>
      <c r="AM5" s="450">
        <v>2.1599475152900283E-8</v>
      </c>
      <c r="AN5" s="449">
        <f t="shared" si="6"/>
        <v>-2.1599475152900283E-8</v>
      </c>
      <c r="AO5" s="450">
        <v>0</v>
      </c>
      <c r="AP5" s="449">
        <f t="shared" si="7"/>
        <v>0</v>
      </c>
      <c r="AQ5" s="450">
        <v>0.10260438604746014</v>
      </c>
      <c r="AR5" s="449">
        <f t="shared" si="8"/>
        <v>-0.10260438604746014</v>
      </c>
      <c r="AS5" s="450">
        <v>0.18074696496478282</v>
      </c>
      <c r="AT5" s="449">
        <f t="shared" si="9"/>
        <v>-0.18074696496478282</v>
      </c>
      <c r="AU5" s="450">
        <v>9.0617160532565322</v>
      </c>
      <c r="AV5" s="449">
        <f t="shared" si="10"/>
        <v>1.4545046724379063E-4</v>
      </c>
    </row>
    <row r="6" spans="1:48">
      <c r="A6" s="443" t="s">
        <v>539</v>
      </c>
      <c r="B6" s="449">
        <f>B97</f>
        <v>0</v>
      </c>
      <c r="C6" s="449">
        <f t="shared" ref="C6:P6" si="13">C97</f>
        <v>0</v>
      </c>
      <c r="D6" s="449">
        <f t="shared" si="13"/>
        <v>0</v>
      </c>
      <c r="E6" s="449">
        <f t="shared" si="13"/>
        <v>0</v>
      </c>
      <c r="F6" s="449">
        <f t="shared" si="13"/>
        <v>0</v>
      </c>
      <c r="G6" s="449">
        <f t="shared" si="13"/>
        <v>0</v>
      </c>
      <c r="H6" s="449">
        <f t="shared" si="13"/>
        <v>0</v>
      </c>
      <c r="I6" s="449">
        <f t="shared" si="13"/>
        <v>0</v>
      </c>
      <c r="J6" s="449">
        <f t="shared" si="13"/>
        <v>0</v>
      </c>
      <c r="K6" s="449">
        <f t="shared" si="13"/>
        <v>0</v>
      </c>
      <c r="L6" s="449">
        <f t="shared" si="13"/>
        <v>0</v>
      </c>
      <c r="M6" s="449">
        <f t="shared" si="13"/>
        <v>0</v>
      </c>
      <c r="N6" s="449">
        <f t="shared" si="13"/>
        <v>0</v>
      </c>
      <c r="O6" s="449">
        <f t="shared" si="13"/>
        <v>0</v>
      </c>
      <c r="P6" s="449">
        <f t="shared" si="13"/>
        <v>0</v>
      </c>
      <c r="Q6" s="450">
        <f>Q97</f>
        <v>0</v>
      </c>
      <c r="R6" s="450">
        <f t="shared" ref="R6:AG6" si="14">R97</f>
        <v>0</v>
      </c>
      <c r="S6" s="450">
        <f t="shared" si="14"/>
        <v>0</v>
      </c>
      <c r="T6" s="450">
        <f t="shared" si="14"/>
        <v>0</v>
      </c>
      <c r="U6" s="450">
        <f t="shared" si="14"/>
        <v>0</v>
      </c>
      <c r="V6" s="450">
        <f t="shared" si="14"/>
        <v>0</v>
      </c>
      <c r="W6" s="450">
        <f t="shared" si="14"/>
        <v>0</v>
      </c>
      <c r="X6" s="450">
        <f t="shared" si="14"/>
        <v>0</v>
      </c>
      <c r="Y6" s="450">
        <f t="shared" si="14"/>
        <v>0</v>
      </c>
      <c r="Z6" s="450">
        <f t="shared" si="14"/>
        <v>0</v>
      </c>
      <c r="AA6" s="450">
        <f t="shared" si="14"/>
        <v>0</v>
      </c>
      <c r="AB6" s="450">
        <f t="shared" si="14"/>
        <v>0</v>
      </c>
      <c r="AC6" s="450">
        <f t="shared" si="14"/>
        <v>0</v>
      </c>
      <c r="AD6" s="450">
        <f t="shared" si="14"/>
        <v>0</v>
      </c>
      <c r="AE6" s="450">
        <f t="shared" si="14"/>
        <v>0</v>
      </c>
      <c r="AF6" s="450">
        <f t="shared" si="14"/>
        <v>0</v>
      </c>
      <c r="AG6" s="450">
        <f t="shared" si="14"/>
        <v>0</v>
      </c>
      <c r="AI6" s="450">
        <v>0</v>
      </c>
      <c r="AJ6" s="449">
        <f t="shared" si="4"/>
        <v>0</v>
      </c>
      <c r="AK6" s="450">
        <v>0</v>
      </c>
      <c r="AL6" s="449">
        <f t="shared" si="5"/>
        <v>0</v>
      </c>
      <c r="AM6" s="450">
        <v>0</v>
      </c>
      <c r="AN6" s="449">
        <f t="shared" si="6"/>
        <v>0</v>
      </c>
      <c r="AO6" s="450">
        <v>0</v>
      </c>
      <c r="AP6" s="449">
        <f t="shared" si="7"/>
        <v>0</v>
      </c>
      <c r="AQ6" s="450">
        <v>0</v>
      </c>
      <c r="AR6" s="449">
        <f t="shared" si="8"/>
        <v>0</v>
      </c>
      <c r="AS6" s="450">
        <v>0</v>
      </c>
      <c r="AT6" s="449">
        <f t="shared" si="9"/>
        <v>0</v>
      </c>
      <c r="AU6" s="450">
        <v>0</v>
      </c>
      <c r="AV6" s="449">
        <f t="shared" si="10"/>
        <v>0</v>
      </c>
    </row>
    <row r="7" spans="1:48" ht="12" thickBot="1">
      <c r="A7" s="443" t="s">
        <v>225</v>
      </c>
      <c r="B7" s="449">
        <f>B113</f>
        <v>0</v>
      </c>
      <c r="C7" s="449">
        <f t="shared" ref="C7:P7" si="15">C113</f>
        <v>0</v>
      </c>
      <c r="D7" s="449">
        <f t="shared" si="15"/>
        <v>0</v>
      </c>
      <c r="E7" s="449">
        <f t="shared" si="15"/>
        <v>0</v>
      </c>
      <c r="F7" s="449">
        <f t="shared" si="15"/>
        <v>0</v>
      </c>
      <c r="G7" s="449">
        <f t="shared" si="15"/>
        <v>0</v>
      </c>
      <c r="H7" s="449">
        <f t="shared" si="15"/>
        <v>0</v>
      </c>
      <c r="I7" s="449">
        <f t="shared" si="15"/>
        <v>0</v>
      </c>
      <c r="J7" s="449">
        <f t="shared" si="15"/>
        <v>0</v>
      </c>
      <c r="K7" s="449">
        <f t="shared" si="15"/>
        <v>0</v>
      </c>
      <c r="L7" s="449">
        <f t="shared" si="15"/>
        <v>0</v>
      </c>
      <c r="M7" s="449">
        <f t="shared" si="15"/>
        <v>0</v>
      </c>
      <c r="N7" s="449">
        <f t="shared" si="15"/>
        <v>0</v>
      </c>
      <c r="O7" s="449">
        <f t="shared" si="15"/>
        <v>0</v>
      </c>
      <c r="P7" s="449">
        <f t="shared" si="15"/>
        <v>0</v>
      </c>
      <c r="Q7" s="450">
        <f>Q113</f>
        <v>0</v>
      </c>
      <c r="R7" s="450">
        <f t="shared" ref="R7:AG7" si="16">R113</f>
        <v>0</v>
      </c>
      <c r="S7" s="450">
        <f t="shared" si="16"/>
        <v>0</v>
      </c>
      <c r="T7" s="450">
        <f t="shared" si="16"/>
        <v>0</v>
      </c>
      <c r="U7" s="450">
        <f t="shared" si="16"/>
        <v>0</v>
      </c>
      <c r="V7" s="450">
        <f t="shared" si="16"/>
        <v>0</v>
      </c>
      <c r="W7" s="450">
        <f t="shared" si="16"/>
        <v>0</v>
      </c>
      <c r="X7" s="450">
        <f t="shared" si="16"/>
        <v>0</v>
      </c>
      <c r="Y7" s="450">
        <f t="shared" si="16"/>
        <v>0</v>
      </c>
      <c r="Z7" s="450">
        <f t="shared" si="16"/>
        <v>0</v>
      </c>
      <c r="AA7" s="450">
        <f t="shared" si="16"/>
        <v>0</v>
      </c>
      <c r="AB7" s="450">
        <f t="shared" si="16"/>
        <v>0</v>
      </c>
      <c r="AC7" s="450">
        <f t="shared" si="16"/>
        <v>0</v>
      </c>
      <c r="AD7" s="450">
        <f t="shared" si="16"/>
        <v>0</v>
      </c>
      <c r="AE7" s="450">
        <f t="shared" si="16"/>
        <v>0</v>
      </c>
      <c r="AF7" s="450">
        <f t="shared" si="16"/>
        <v>0</v>
      </c>
      <c r="AG7" s="450">
        <f t="shared" si="16"/>
        <v>0</v>
      </c>
      <c r="AI7" s="450">
        <v>0</v>
      </c>
      <c r="AJ7" s="449">
        <f t="shared" si="4"/>
        <v>0</v>
      </c>
      <c r="AK7" s="450">
        <v>0</v>
      </c>
      <c r="AL7" s="449">
        <f t="shared" si="5"/>
        <v>0</v>
      </c>
      <c r="AM7" s="450">
        <v>0</v>
      </c>
      <c r="AN7" s="449">
        <f t="shared" si="6"/>
        <v>0</v>
      </c>
      <c r="AO7" s="450">
        <v>0</v>
      </c>
      <c r="AP7" s="449">
        <f t="shared" si="7"/>
        <v>0</v>
      </c>
      <c r="AQ7" s="450">
        <v>0</v>
      </c>
      <c r="AR7" s="449">
        <f t="shared" si="8"/>
        <v>0</v>
      </c>
      <c r="AS7" s="450">
        <v>0</v>
      </c>
      <c r="AT7" s="449">
        <f t="shared" si="9"/>
        <v>0</v>
      </c>
      <c r="AU7" s="450">
        <v>0</v>
      </c>
      <c r="AV7" s="449">
        <f t="shared" si="10"/>
        <v>0</v>
      </c>
    </row>
    <row r="8" spans="1:48">
      <c r="A8" s="451" t="s">
        <v>540</v>
      </c>
      <c r="B8" s="452">
        <f>B9+B10</f>
        <v>0</v>
      </c>
      <c r="C8" s="452">
        <f t="shared" ref="C8:P8" si="17">C9+C10</f>
        <v>0</v>
      </c>
      <c r="D8" s="452">
        <f t="shared" si="17"/>
        <v>0</v>
      </c>
      <c r="E8" s="452">
        <f t="shared" si="17"/>
        <v>0</v>
      </c>
      <c r="F8" s="452">
        <f t="shared" si="17"/>
        <v>50446</v>
      </c>
      <c r="G8" s="452">
        <f t="shared" si="17"/>
        <v>275315</v>
      </c>
      <c r="H8" s="452">
        <f t="shared" si="17"/>
        <v>534429</v>
      </c>
      <c r="I8" s="452">
        <f t="shared" si="17"/>
        <v>1743435</v>
      </c>
      <c r="J8" s="452">
        <f t="shared" si="17"/>
        <v>2440000</v>
      </c>
      <c r="K8" s="452">
        <f t="shared" si="17"/>
        <v>1315943</v>
      </c>
      <c r="L8" s="452">
        <f t="shared" si="17"/>
        <v>55892</v>
      </c>
      <c r="M8" s="452">
        <f t="shared" si="17"/>
        <v>247518</v>
      </c>
      <c r="N8" s="452">
        <f t="shared" si="17"/>
        <v>236352</v>
      </c>
      <c r="O8" s="452">
        <f t="shared" si="17"/>
        <v>208643</v>
      </c>
      <c r="P8" s="452">
        <f t="shared" si="17"/>
        <v>227964</v>
      </c>
      <c r="Q8" s="453">
        <f>(SUM($G8:$K8)/SUM($G13:$K13))*Q13+228.5</f>
        <v>217762.13813848436</v>
      </c>
      <c r="R8" s="453">
        <f t="shared" ref="R8:AG8" si="18">(SUM($G8:$K8)/SUM($G13:$K13))*R13+1324.5-28.5-382-914+253</f>
        <v>271282.88318509993</v>
      </c>
      <c r="S8" s="453">
        <f t="shared" si="18"/>
        <v>243178.5128897914</v>
      </c>
      <c r="T8" s="453">
        <f t="shared" si="18"/>
        <v>255387.16981698456</v>
      </c>
      <c r="U8" s="453">
        <f t="shared" si="18"/>
        <v>270650.72278277937</v>
      </c>
      <c r="V8" s="453">
        <f t="shared" si="18"/>
        <v>277519.96532264468</v>
      </c>
      <c r="W8" s="453">
        <f t="shared" si="18"/>
        <v>286865.52985339932</v>
      </c>
      <c r="X8" s="453">
        <f t="shared" si="18"/>
        <v>287100.91166903515</v>
      </c>
      <c r="Y8" s="453">
        <f t="shared" si="18"/>
        <v>302208.76704363478</v>
      </c>
      <c r="Z8" s="453">
        <f t="shared" si="18"/>
        <v>309235.92281369056</v>
      </c>
      <c r="AA8" s="453">
        <f t="shared" si="18"/>
        <v>315653.08196084626</v>
      </c>
      <c r="AB8" s="453">
        <f t="shared" si="18"/>
        <v>323719.15818852198</v>
      </c>
      <c r="AC8" s="453">
        <f t="shared" si="18"/>
        <v>331825.74275363144</v>
      </c>
      <c r="AD8" s="453">
        <f t="shared" si="18"/>
        <v>341081.17953870731</v>
      </c>
      <c r="AE8" s="453">
        <f t="shared" si="18"/>
        <v>347640.40190212504</v>
      </c>
      <c r="AF8" s="453">
        <f t="shared" si="18"/>
        <v>355833.90846700582</v>
      </c>
      <c r="AG8" s="453">
        <f t="shared" si="18"/>
        <v>364151.24218080717</v>
      </c>
      <c r="AI8" s="453">
        <v>3262825.7451519119</v>
      </c>
      <c r="AJ8" s="449">
        <f t="shared" si="4"/>
        <v>-1946882.7451519119</v>
      </c>
      <c r="AK8" s="453">
        <v>55891.628667251614</v>
      </c>
      <c r="AL8" s="449">
        <f t="shared" si="5"/>
        <v>0.37133274838561192</v>
      </c>
      <c r="AM8" s="453">
        <v>1.8915349301096285E-5</v>
      </c>
      <c r="AN8" s="449">
        <f t="shared" si="6"/>
        <v>247517.99998108466</v>
      </c>
      <c r="AO8" s="453">
        <v>202455</v>
      </c>
      <c r="AP8" s="449">
        <f t="shared" si="7"/>
        <v>33897</v>
      </c>
      <c r="AQ8" s="453">
        <v>250259.36406231241</v>
      </c>
      <c r="AR8" s="449">
        <f t="shared" si="8"/>
        <v>-41616.364062312408</v>
      </c>
      <c r="AS8" s="453">
        <v>227963.61925298735</v>
      </c>
      <c r="AT8" s="449">
        <f t="shared" si="9"/>
        <v>0.38074701264849864</v>
      </c>
      <c r="AU8" s="453">
        <v>217762.00495054983</v>
      </c>
      <c r="AV8" s="449">
        <f t="shared" si="10"/>
        <v>0.13318793452344835</v>
      </c>
    </row>
    <row r="9" spans="1:48">
      <c r="A9" s="443" t="s">
        <v>224</v>
      </c>
      <c r="B9" s="449">
        <f>B145</f>
        <v>0</v>
      </c>
      <c r="C9" s="449">
        <f t="shared" ref="C9:P9" si="19">C145</f>
        <v>0</v>
      </c>
      <c r="D9" s="449">
        <f t="shared" si="19"/>
        <v>0</v>
      </c>
      <c r="E9" s="449">
        <f t="shared" si="19"/>
        <v>0</v>
      </c>
      <c r="F9" s="449">
        <f t="shared" si="19"/>
        <v>0</v>
      </c>
      <c r="G9" s="449">
        <f t="shared" si="19"/>
        <v>0</v>
      </c>
      <c r="H9" s="449">
        <f t="shared" si="19"/>
        <v>0</v>
      </c>
      <c r="I9" s="449">
        <f t="shared" si="19"/>
        <v>0</v>
      </c>
      <c r="J9" s="449">
        <f t="shared" si="19"/>
        <v>0</v>
      </c>
      <c r="K9" s="449">
        <f t="shared" si="19"/>
        <v>0</v>
      </c>
      <c r="L9" s="449">
        <f t="shared" si="19"/>
        <v>0</v>
      </c>
      <c r="M9" s="449">
        <f t="shared" si="19"/>
        <v>0</v>
      </c>
      <c r="N9" s="449">
        <f t="shared" si="19"/>
        <v>0</v>
      </c>
      <c r="O9" s="449">
        <f t="shared" si="19"/>
        <v>0</v>
      </c>
      <c r="P9" s="449">
        <f t="shared" si="19"/>
        <v>0</v>
      </c>
      <c r="Q9" s="450">
        <f>Q145</f>
        <v>0</v>
      </c>
      <c r="R9" s="450">
        <f t="shared" ref="R9:AG9" si="20">R145</f>
        <v>0</v>
      </c>
      <c r="S9" s="450">
        <f t="shared" si="20"/>
        <v>0</v>
      </c>
      <c r="T9" s="450">
        <f t="shared" si="20"/>
        <v>0</v>
      </c>
      <c r="U9" s="450">
        <f t="shared" si="20"/>
        <v>0</v>
      </c>
      <c r="V9" s="450">
        <f t="shared" si="20"/>
        <v>0</v>
      </c>
      <c r="W9" s="450">
        <f t="shared" si="20"/>
        <v>0</v>
      </c>
      <c r="X9" s="450">
        <f t="shared" si="20"/>
        <v>0</v>
      </c>
      <c r="Y9" s="450">
        <f t="shared" si="20"/>
        <v>0</v>
      </c>
      <c r="Z9" s="450">
        <f t="shared" si="20"/>
        <v>0</v>
      </c>
      <c r="AA9" s="450">
        <f t="shared" si="20"/>
        <v>0</v>
      </c>
      <c r="AB9" s="450">
        <f t="shared" si="20"/>
        <v>0</v>
      </c>
      <c r="AC9" s="450">
        <f t="shared" si="20"/>
        <v>0</v>
      </c>
      <c r="AD9" s="450">
        <f t="shared" si="20"/>
        <v>0</v>
      </c>
      <c r="AE9" s="450">
        <f t="shared" si="20"/>
        <v>0</v>
      </c>
      <c r="AF9" s="450">
        <f t="shared" si="20"/>
        <v>0</v>
      </c>
      <c r="AG9" s="450">
        <f t="shared" si="20"/>
        <v>0</v>
      </c>
      <c r="AI9" s="450">
        <v>0</v>
      </c>
      <c r="AJ9" s="449">
        <f t="shared" si="4"/>
        <v>0</v>
      </c>
      <c r="AK9" s="450">
        <v>0</v>
      </c>
      <c r="AL9" s="449">
        <f t="shared" si="5"/>
        <v>0</v>
      </c>
      <c r="AM9" s="450">
        <v>0</v>
      </c>
      <c r="AN9" s="449">
        <f t="shared" si="6"/>
        <v>0</v>
      </c>
      <c r="AO9" s="450">
        <v>0</v>
      </c>
      <c r="AP9" s="449">
        <f t="shared" si="7"/>
        <v>0</v>
      </c>
      <c r="AQ9" s="450">
        <v>0</v>
      </c>
      <c r="AR9" s="449">
        <f t="shared" si="8"/>
        <v>0</v>
      </c>
      <c r="AS9" s="450">
        <v>0</v>
      </c>
      <c r="AT9" s="449">
        <f t="shared" si="9"/>
        <v>0</v>
      </c>
      <c r="AU9" s="450">
        <v>0</v>
      </c>
      <c r="AV9" s="449">
        <f t="shared" si="10"/>
        <v>0</v>
      </c>
    </row>
    <row r="10" spans="1:48">
      <c r="A10" s="443" t="s">
        <v>225</v>
      </c>
      <c r="B10" s="449">
        <f>B11+B12</f>
        <v>0</v>
      </c>
      <c r="C10" s="449">
        <f t="shared" ref="C10:P10" si="21">C11+C12</f>
        <v>0</v>
      </c>
      <c r="D10" s="449">
        <f t="shared" si="21"/>
        <v>0</v>
      </c>
      <c r="E10" s="449">
        <f t="shared" si="21"/>
        <v>0</v>
      </c>
      <c r="F10" s="449">
        <f t="shared" si="21"/>
        <v>50446</v>
      </c>
      <c r="G10" s="449">
        <f t="shared" si="21"/>
        <v>275315</v>
      </c>
      <c r="H10" s="449">
        <f t="shared" si="21"/>
        <v>534429</v>
      </c>
      <c r="I10" s="449">
        <f t="shared" si="21"/>
        <v>1743435</v>
      </c>
      <c r="J10" s="449">
        <f t="shared" si="21"/>
        <v>2440000</v>
      </c>
      <c r="K10" s="449">
        <f t="shared" si="21"/>
        <v>1315943</v>
      </c>
      <c r="L10" s="449">
        <f t="shared" si="21"/>
        <v>55892</v>
      </c>
      <c r="M10" s="449">
        <f t="shared" si="21"/>
        <v>247518</v>
      </c>
      <c r="N10" s="449">
        <f t="shared" si="21"/>
        <v>236352</v>
      </c>
      <c r="O10" s="449">
        <f t="shared" si="21"/>
        <v>208643</v>
      </c>
      <c r="P10" s="449">
        <f t="shared" si="21"/>
        <v>227964</v>
      </c>
      <c r="Q10" s="450">
        <f>Q11+Q12</f>
        <v>217762.13813848436</v>
      </c>
      <c r="R10" s="450">
        <f t="shared" ref="R10:AG10" si="22">R11+R12</f>
        <v>271282.88318509993</v>
      </c>
      <c r="S10" s="450">
        <f t="shared" si="22"/>
        <v>243178.5128897914</v>
      </c>
      <c r="T10" s="450">
        <f t="shared" si="22"/>
        <v>255387.16981698456</v>
      </c>
      <c r="U10" s="450">
        <f t="shared" si="22"/>
        <v>270650.72278277937</v>
      </c>
      <c r="V10" s="450">
        <f t="shared" si="22"/>
        <v>277519.96532264468</v>
      </c>
      <c r="W10" s="450">
        <f t="shared" si="22"/>
        <v>286865.52985339932</v>
      </c>
      <c r="X10" s="450">
        <f t="shared" si="22"/>
        <v>287100.91166903515</v>
      </c>
      <c r="Y10" s="450">
        <f t="shared" si="22"/>
        <v>302208.76704363478</v>
      </c>
      <c r="Z10" s="450">
        <f t="shared" si="22"/>
        <v>309235.92281369056</v>
      </c>
      <c r="AA10" s="450">
        <f t="shared" si="22"/>
        <v>315653.08196084626</v>
      </c>
      <c r="AB10" s="450">
        <f t="shared" si="22"/>
        <v>323719.15818852198</v>
      </c>
      <c r="AC10" s="450">
        <f t="shared" si="22"/>
        <v>331825.74275363144</v>
      </c>
      <c r="AD10" s="450">
        <f t="shared" si="22"/>
        <v>341081.17953870731</v>
      </c>
      <c r="AE10" s="450">
        <f t="shared" si="22"/>
        <v>347640.40190212504</v>
      </c>
      <c r="AF10" s="450">
        <f t="shared" si="22"/>
        <v>355833.90846700582</v>
      </c>
      <c r="AG10" s="450">
        <f t="shared" si="22"/>
        <v>364151.24218080717</v>
      </c>
      <c r="AI10" s="450">
        <v>3262825.7451519119</v>
      </c>
      <c r="AJ10" s="449">
        <f t="shared" si="4"/>
        <v>-1946882.7451519119</v>
      </c>
      <c r="AK10" s="450">
        <v>55892</v>
      </c>
      <c r="AL10" s="449">
        <f t="shared" si="5"/>
        <v>0</v>
      </c>
      <c r="AM10" s="450">
        <v>1.8915349301096285E-5</v>
      </c>
      <c r="AN10" s="449">
        <f t="shared" si="6"/>
        <v>247517.99998108466</v>
      </c>
      <c r="AO10" s="450">
        <v>202455</v>
      </c>
      <c r="AP10" s="449">
        <f t="shared" si="7"/>
        <v>33897</v>
      </c>
      <c r="AQ10" s="450">
        <v>250259.36406231241</v>
      </c>
      <c r="AR10" s="449">
        <f t="shared" si="8"/>
        <v>-41616.364062312408</v>
      </c>
      <c r="AS10" s="450">
        <v>227963.61925298735</v>
      </c>
      <c r="AT10" s="449">
        <f t="shared" si="9"/>
        <v>0.38074701264849864</v>
      </c>
      <c r="AU10" s="450">
        <v>217762.00495054983</v>
      </c>
      <c r="AV10" s="449">
        <f t="shared" si="10"/>
        <v>0.13318793452344835</v>
      </c>
    </row>
    <row r="11" spans="1:48">
      <c r="A11" s="443" t="s">
        <v>288</v>
      </c>
      <c r="B11" s="449">
        <f>B177</f>
        <v>0</v>
      </c>
      <c r="C11" s="449">
        <f t="shared" ref="C11:P11" si="23">C177</f>
        <v>0</v>
      </c>
      <c r="D11" s="449">
        <f t="shared" si="23"/>
        <v>0</v>
      </c>
      <c r="E11" s="449">
        <f t="shared" si="23"/>
        <v>0</v>
      </c>
      <c r="F11" s="449">
        <f t="shared" si="23"/>
        <v>50446</v>
      </c>
      <c r="G11" s="449">
        <f t="shared" si="23"/>
        <v>275315</v>
      </c>
      <c r="H11" s="449">
        <f t="shared" si="23"/>
        <v>534429</v>
      </c>
      <c r="I11" s="449">
        <f t="shared" si="23"/>
        <v>1743435</v>
      </c>
      <c r="J11" s="449">
        <f t="shared" si="23"/>
        <v>2440000</v>
      </c>
      <c r="K11" s="449">
        <f t="shared" si="23"/>
        <v>1315943</v>
      </c>
      <c r="L11" s="449">
        <f t="shared" si="23"/>
        <v>55892</v>
      </c>
      <c r="M11" s="449">
        <f t="shared" si="23"/>
        <v>247518</v>
      </c>
      <c r="N11" s="449">
        <f t="shared" si="23"/>
        <v>236352</v>
      </c>
      <c r="O11" s="449">
        <f t="shared" si="23"/>
        <v>208643</v>
      </c>
      <c r="P11" s="449">
        <f t="shared" si="23"/>
        <v>227964</v>
      </c>
      <c r="Q11" s="450">
        <f>Q8-Q9-Q12</f>
        <v>217762.13813848436</v>
      </c>
      <c r="R11" s="450">
        <f t="shared" ref="R11:AG11" si="24">R8-R9-R12</f>
        <v>271282.88318509993</v>
      </c>
      <c r="S11" s="450">
        <f t="shared" si="24"/>
        <v>243178.5128897914</v>
      </c>
      <c r="T11" s="450">
        <f t="shared" si="24"/>
        <v>255387.16981698456</v>
      </c>
      <c r="U11" s="450">
        <f t="shared" si="24"/>
        <v>270650.72278277937</v>
      </c>
      <c r="V11" s="450">
        <f t="shared" si="24"/>
        <v>277519.96532264468</v>
      </c>
      <c r="W11" s="450">
        <f t="shared" si="24"/>
        <v>286865.52985339932</v>
      </c>
      <c r="X11" s="450">
        <f t="shared" si="24"/>
        <v>287100.91166903515</v>
      </c>
      <c r="Y11" s="450">
        <f t="shared" si="24"/>
        <v>302208.76704363478</v>
      </c>
      <c r="Z11" s="450">
        <f t="shared" si="24"/>
        <v>309235.92281369056</v>
      </c>
      <c r="AA11" s="450">
        <f t="shared" si="24"/>
        <v>315653.08196084626</v>
      </c>
      <c r="AB11" s="450">
        <f t="shared" si="24"/>
        <v>323719.15818852198</v>
      </c>
      <c r="AC11" s="450">
        <f t="shared" si="24"/>
        <v>331825.74275363144</v>
      </c>
      <c r="AD11" s="450">
        <f t="shared" si="24"/>
        <v>341081.17953870731</v>
      </c>
      <c r="AE11" s="450">
        <f t="shared" si="24"/>
        <v>347640.40190212504</v>
      </c>
      <c r="AF11" s="450">
        <f t="shared" si="24"/>
        <v>355833.90846700582</v>
      </c>
      <c r="AG11" s="450">
        <f t="shared" si="24"/>
        <v>364151.24218080717</v>
      </c>
      <c r="AI11" s="450">
        <v>3262825.7451519119</v>
      </c>
      <c r="AJ11" s="449">
        <f t="shared" si="4"/>
        <v>-1946882.7451519119</v>
      </c>
      <c r="AK11" s="450">
        <v>55892</v>
      </c>
      <c r="AL11" s="449">
        <f t="shared" si="5"/>
        <v>0</v>
      </c>
      <c r="AM11" s="450">
        <v>1.8915349301096285E-5</v>
      </c>
      <c r="AN11" s="449">
        <f t="shared" si="6"/>
        <v>247517.99998108466</v>
      </c>
      <c r="AO11" s="450">
        <v>202455</v>
      </c>
      <c r="AP11" s="449">
        <f t="shared" si="7"/>
        <v>33897</v>
      </c>
      <c r="AQ11" s="450">
        <v>250259.36406231241</v>
      </c>
      <c r="AR11" s="449">
        <f t="shared" si="8"/>
        <v>-41616.364062312408</v>
      </c>
      <c r="AS11" s="450">
        <v>227963.61925298735</v>
      </c>
      <c r="AT11" s="449">
        <f t="shared" si="9"/>
        <v>0.38074701264849864</v>
      </c>
      <c r="AU11" s="450">
        <v>217762.00495054983</v>
      </c>
      <c r="AV11" s="449">
        <f t="shared" si="10"/>
        <v>0.13318793452344835</v>
      </c>
    </row>
    <row r="12" spans="1:48" ht="12" thickBot="1">
      <c r="A12" s="454" t="s">
        <v>539</v>
      </c>
      <c r="B12" s="455">
        <f>B193</f>
        <v>0</v>
      </c>
      <c r="C12" s="455">
        <f t="shared" ref="C12:P12" si="25">C193</f>
        <v>0</v>
      </c>
      <c r="D12" s="455">
        <f t="shared" si="25"/>
        <v>0</v>
      </c>
      <c r="E12" s="455">
        <f t="shared" si="25"/>
        <v>0</v>
      </c>
      <c r="F12" s="455">
        <f t="shared" si="25"/>
        <v>0</v>
      </c>
      <c r="G12" s="455">
        <f t="shared" si="25"/>
        <v>0</v>
      </c>
      <c r="H12" s="455">
        <f t="shared" si="25"/>
        <v>0</v>
      </c>
      <c r="I12" s="455">
        <f t="shared" si="25"/>
        <v>0</v>
      </c>
      <c r="J12" s="455">
        <f t="shared" si="25"/>
        <v>0</v>
      </c>
      <c r="K12" s="455">
        <f t="shared" si="25"/>
        <v>0</v>
      </c>
      <c r="L12" s="455">
        <f t="shared" si="25"/>
        <v>0</v>
      </c>
      <c r="M12" s="455">
        <f t="shared" si="25"/>
        <v>0</v>
      </c>
      <c r="N12" s="455">
        <f t="shared" si="25"/>
        <v>0</v>
      </c>
      <c r="O12" s="455">
        <f t="shared" si="25"/>
        <v>0</v>
      </c>
      <c r="P12" s="455">
        <f t="shared" si="25"/>
        <v>0</v>
      </c>
      <c r="Q12" s="456">
        <f>Q193</f>
        <v>0</v>
      </c>
      <c r="R12" s="456">
        <f t="shared" ref="R12:AG12" si="26">R193</f>
        <v>0</v>
      </c>
      <c r="S12" s="456">
        <f t="shared" si="26"/>
        <v>0</v>
      </c>
      <c r="T12" s="456">
        <f t="shared" si="26"/>
        <v>0</v>
      </c>
      <c r="U12" s="456">
        <f t="shared" si="26"/>
        <v>0</v>
      </c>
      <c r="V12" s="456">
        <f t="shared" si="26"/>
        <v>0</v>
      </c>
      <c r="W12" s="456">
        <f t="shared" si="26"/>
        <v>0</v>
      </c>
      <c r="X12" s="456">
        <f t="shared" si="26"/>
        <v>0</v>
      </c>
      <c r="Y12" s="456">
        <f t="shared" si="26"/>
        <v>0</v>
      </c>
      <c r="Z12" s="456">
        <f t="shared" si="26"/>
        <v>0</v>
      </c>
      <c r="AA12" s="456">
        <f t="shared" si="26"/>
        <v>0</v>
      </c>
      <c r="AB12" s="456">
        <f t="shared" si="26"/>
        <v>0</v>
      </c>
      <c r="AC12" s="456">
        <f t="shared" si="26"/>
        <v>0</v>
      </c>
      <c r="AD12" s="456">
        <f t="shared" si="26"/>
        <v>0</v>
      </c>
      <c r="AE12" s="456">
        <f t="shared" si="26"/>
        <v>0</v>
      </c>
      <c r="AF12" s="456">
        <f t="shared" si="26"/>
        <v>0</v>
      </c>
      <c r="AG12" s="456">
        <f t="shared" si="26"/>
        <v>0</v>
      </c>
      <c r="AI12" s="456">
        <v>0</v>
      </c>
      <c r="AJ12" s="449">
        <f t="shared" si="4"/>
        <v>0</v>
      </c>
      <c r="AK12" s="456">
        <v>0</v>
      </c>
      <c r="AL12" s="449">
        <f t="shared" si="5"/>
        <v>0</v>
      </c>
      <c r="AM12" s="456">
        <v>0</v>
      </c>
      <c r="AN12" s="449">
        <f t="shared" si="6"/>
        <v>0</v>
      </c>
      <c r="AO12" s="456">
        <v>0</v>
      </c>
      <c r="AP12" s="449">
        <f t="shared" si="7"/>
        <v>0</v>
      </c>
      <c r="AQ12" s="456">
        <v>0</v>
      </c>
      <c r="AR12" s="449">
        <f t="shared" si="8"/>
        <v>0</v>
      </c>
      <c r="AS12" s="456">
        <v>0</v>
      </c>
      <c r="AT12" s="449">
        <f t="shared" si="9"/>
        <v>0</v>
      </c>
      <c r="AU12" s="456">
        <v>0</v>
      </c>
      <c r="AV12" s="449">
        <f t="shared" si="10"/>
        <v>0</v>
      </c>
    </row>
    <row r="13" spans="1:48" ht="12" thickBot="1">
      <c r="A13" s="457" t="s">
        <v>541</v>
      </c>
      <c r="B13" s="452">
        <f>B3+B8</f>
        <v>0</v>
      </c>
      <c r="C13" s="452">
        <f t="shared" ref="C13:P13" si="27">C3+C8</f>
        <v>0</v>
      </c>
      <c r="D13" s="452">
        <f t="shared" si="27"/>
        <v>1024</v>
      </c>
      <c r="E13" s="452">
        <f t="shared" si="27"/>
        <v>232808</v>
      </c>
      <c r="F13" s="452">
        <f t="shared" si="27"/>
        <v>55657</v>
      </c>
      <c r="G13" s="452">
        <f t="shared" si="27"/>
        <v>275315</v>
      </c>
      <c r="H13" s="452">
        <f t="shared" si="27"/>
        <v>534429</v>
      </c>
      <c r="I13" s="452">
        <f t="shared" si="27"/>
        <v>1743705</v>
      </c>
      <c r="J13" s="452">
        <f t="shared" si="27"/>
        <v>2446620</v>
      </c>
      <c r="K13" s="452">
        <f t="shared" si="27"/>
        <v>1315943</v>
      </c>
      <c r="L13" s="452">
        <f t="shared" si="27"/>
        <v>55892</v>
      </c>
      <c r="M13" s="452">
        <f t="shared" si="27"/>
        <v>247518</v>
      </c>
      <c r="N13" s="452">
        <f t="shared" si="27"/>
        <v>236352</v>
      </c>
      <c r="O13" s="452">
        <f t="shared" si="27"/>
        <v>208643</v>
      </c>
      <c r="P13" s="452">
        <f t="shared" si="27"/>
        <v>227964</v>
      </c>
      <c r="Q13" s="453">
        <f>FORECAST(Q15,K13:P13,K15:P15)+335000</f>
        <v>217771.19999998808</v>
      </c>
      <c r="R13" s="453">
        <f>FORECAST(R15,L13:Q13,L15:Q15)</f>
        <v>271325.86666665971</v>
      </c>
      <c r="S13" s="453">
        <f t="shared" ref="S13:AG13" si="28">FORECAST(S15,M13:R13,M15:R15)</f>
        <v>243190.80444443412</v>
      </c>
      <c r="T13" s="453">
        <f t="shared" si="28"/>
        <v>255412.79407405853</v>
      </c>
      <c r="U13" s="453">
        <f t="shared" si="28"/>
        <v>270693.01590121537</v>
      </c>
      <c r="V13" s="453">
        <f t="shared" si="28"/>
        <v>277569.76013166457</v>
      </c>
      <c r="W13" s="453">
        <f t="shared" si="28"/>
        <v>286925.53066883609</v>
      </c>
      <c r="X13" s="453">
        <f t="shared" si="28"/>
        <v>287161.16953778453</v>
      </c>
      <c r="Y13" s="453">
        <f t="shared" si="28"/>
        <v>302285.52374114841</v>
      </c>
      <c r="Z13" s="453">
        <f t="shared" si="28"/>
        <v>309320.35365401767</v>
      </c>
      <c r="AA13" s="453">
        <f t="shared" si="28"/>
        <v>315744.52078525163</v>
      </c>
      <c r="AB13" s="453">
        <f t="shared" si="28"/>
        <v>323819.40572913364</v>
      </c>
      <c r="AC13" s="453">
        <f t="shared" si="28"/>
        <v>331934.84324837103</v>
      </c>
      <c r="AD13" s="453">
        <f t="shared" si="28"/>
        <v>341200.38761409745</v>
      </c>
      <c r="AE13" s="453">
        <f t="shared" si="28"/>
        <v>347766.77310450561</v>
      </c>
      <c r="AF13" s="453">
        <f t="shared" si="28"/>
        <v>355969.22754838318</v>
      </c>
      <c r="AG13" s="453">
        <f t="shared" si="28"/>
        <v>364295.64436903968</v>
      </c>
      <c r="AI13" s="453">
        <v>3270654.1333334446</v>
      </c>
      <c r="AJ13" s="449">
        <f t="shared" si="4"/>
        <v>-1954711.1333334446</v>
      </c>
      <c r="AK13" s="453">
        <v>55892.000033396915</v>
      </c>
      <c r="AL13" s="449">
        <f t="shared" si="5"/>
        <v>-3.339691465953365E-5</v>
      </c>
      <c r="AM13" s="453">
        <v>1.8936948776249185E-5</v>
      </c>
      <c r="AN13" s="449">
        <f t="shared" si="6"/>
        <v>247517.99998106304</v>
      </c>
      <c r="AO13" s="453">
        <v>202455</v>
      </c>
      <c r="AP13" s="449">
        <f t="shared" si="7"/>
        <v>33897</v>
      </c>
      <c r="AQ13" s="453">
        <v>250259.46666669846</v>
      </c>
      <c r="AR13" s="449">
        <f t="shared" si="8"/>
        <v>-41616.466666698456</v>
      </c>
      <c r="AS13" s="453">
        <v>227963.79999995232</v>
      </c>
      <c r="AT13" s="449">
        <f t="shared" si="9"/>
        <v>0.20000004768371582</v>
      </c>
      <c r="AU13" s="453">
        <v>217771.06666660309</v>
      </c>
      <c r="AV13" s="449">
        <f t="shared" si="10"/>
        <v>0.13333338499069214</v>
      </c>
    </row>
    <row r="14" spans="1:48" ht="12" thickBot="1">
      <c r="A14" s="457"/>
      <c r="B14" s="458"/>
      <c r="C14" s="458"/>
      <c r="D14" s="458"/>
      <c r="E14" s="458"/>
      <c r="F14" s="458"/>
      <c r="G14" s="458"/>
      <c r="H14" s="458"/>
      <c r="I14" s="458"/>
      <c r="J14" s="444"/>
      <c r="K14" s="444"/>
      <c r="L14" s="444"/>
      <c r="M14" s="444"/>
      <c r="N14" s="444"/>
      <c r="O14" s="444"/>
      <c r="P14" s="444"/>
      <c r="Q14" s="444"/>
      <c r="R14" s="444"/>
      <c r="S14" s="444"/>
      <c r="T14" s="444"/>
      <c r="U14" s="444"/>
      <c r="V14" s="444"/>
      <c r="W14" s="444"/>
      <c r="X14" s="444"/>
      <c r="Y14" s="444"/>
      <c r="Z14" s="444"/>
      <c r="AA14" s="444"/>
      <c r="AB14" s="444"/>
      <c r="AC14" s="444"/>
      <c r="AD14" s="444"/>
      <c r="AE14" s="444"/>
      <c r="AF14" s="444"/>
      <c r="AG14" s="444"/>
    </row>
    <row r="15" spans="1:48" ht="12" thickBot="1">
      <c r="A15" s="445" t="s">
        <v>230</v>
      </c>
      <c r="B15" s="445">
        <v>2010</v>
      </c>
      <c r="C15" s="445">
        <v>2011</v>
      </c>
      <c r="D15" s="445">
        <v>2012</v>
      </c>
      <c r="E15" s="445">
        <v>2013</v>
      </c>
      <c r="F15" s="445">
        <v>2014</v>
      </c>
      <c r="G15" s="445">
        <v>2015</v>
      </c>
      <c r="H15" s="445">
        <v>2016</v>
      </c>
      <c r="I15" s="445">
        <v>2017</v>
      </c>
      <c r="J15" s="445">
        <v>2018</v>
      </c>
      <c r="K15" s="445">
        <v>2019</v>
      </c>
      <c r="L15" s="445">
        <v>2020</v>
      </c>
      <c r="M15" s="445">
        <v>2021</v>
      </c>
      <c r="N15" s="445">
        <v>2022</v>
      </c>
      <c r="O15" s="445">
        <v>2023</v>
      </c>
      <c r="P15" s="445">
        <v>2024</v>
      </c>
      <c r="Q15" s="445">
        <v>2025</v>
      </c>
      <c r="R15" s="445">
        <v>2026</v>
      </c>
      <c r="S15" s="445">
        <v>2027</v>
      </c>
      <c r="T15" s="445">
        <v>2028</v>
      </c>
      <c r="U15" s="445">
        <v>2029</v>
      </c>
      <c r="V15" s="445">
        <v>2030</v>
      </c>
      <c r="W15" s="445">
        <v>2031</v>
      </c>
      <c r="X15" s="445">
        <v>2032</v>
      </c>
      <c r="Y15" s="445">
        <v>2033</v>
      </c>
      <c r="Z15" s="445">
        <v>2034</v>
      </c>
      <c r="AA15" s="445">
        <v>2035</v>
      </c>
      <c r="AB15" s="445">
        <v>2036</v>
      </c>
      <c r="AC15" s="445">
        <v>2037</v>
      </c>
      <c r="AD15" s="445">
        <v>2038</v>
      </c>
      <c r="AE15" s="445">
        <v>2039</v>
      </c>
      <c r="AF15" s="445">
        <v>2040</v>
      </c>
      <c r="AG15" s="445">
        <v>2041</v>
      </c>
    </row>
    <row r="16" spans="1:48">
      <c r="A16" s="443" t="s">
        <v>25</v>
      </c>
    </row>
    <row r="19" spans="1:48" ht="12" thickBot="1">
      <c r="A19" s="442" t="s">
        <v>542</v>
      </c>
    </row>
    <row r="20" spans="1:48" ht="12" thickBot="1">
      <c r="A20" s="459"/>
      <c r="B20" s="460">
        <f t="shared" ref="B20:AD20" si="29">B2</f>
        <v>2010</v>
      </c>
      <c r="C20" s="460">
        <f t="shared" si="29"/>
        <v>2011</v>
      </c>
      <c r="D20" s="460">
        <f t="shared" si="29"/>
        <v>2012</v>
      </c>
      <c r="E20" s="460">
        <f t="shared" si="29"/>
        <v>2013</v>
      </c>
      <c r="F20" s="460">
        <f t="shared" si="29"/>
        <v>2014</v>
      </c>
      <c r="G20" s="460">
        <f t="shared" si="29"/>
        <v>2015</v>
      </c>
      <c r="H20" s="460">
        <f t="shared" si="29"/>
        <v>2016</v>
      </c>
      <c r="I20" s="460">
        <f t="shared" si="29"/>
        <v>2017</v>
      </c>
      <c r="J20" s="460">
        <f t="shared" si="29"/>
        <v>2018</v>
      </c>
      <c r="K20" s="460">
        <f t="shared" si="29"/>
        <v>2019</v>
      </c>
      <c r="L20" s="460">
        <f>L2</f>
        <v>2020</v>
      </c>
      <c r="M20" s="460">
        <f t="shared" si="29"/>
        <v>2021</v>
      </c>
      <c r="N20" s="460">
        <f t="shared" si="29"/>
        <v>2022</v>
      </c>
      <c r="O20" s="460">
        <f t="shared" si="29"/>
        <v>2023</v>
      </c>
      <c r="P20" s="460">
        <f t="shared" si="29"/>
        <v>2024</v>
      </c>
      <c r="Q20" s="460">
        <f t="shared" si="29"/>
        <v>2025</v>
      </c>
      <c r="R20" s="460">
        <f t="shared" si="29"/>
        <v>2026</v>
      </c>
      <c r="S20" s="460">
        <f t="shared" si="29"/>
        <v>2027</v>
      </c>
      <c r="T20" s="460">
        <f t="shared" si="29"/>
        <v>2028</v>
      </c>
      <c r="U20" s="460">
        <f t="shared" si="29"/>
        <v>2029</v>
      </c>
      <c r="V20" s="460">
        <f t="shared" si="29"/>
        <v>2030</v>
      </c>
      <c r="W20" s="460">
        <f t="shared" si="29"/>
        <v>2031</v>
      </c>
      <c r="X20" s="460">
        <f t="shared" si="29"/>
        <v>2032</v>
      </c>
      <c r="Y20" s="460">
        <f t="shared" si="29"/>
        <v>2033</v>
      </c>
      <c r="Z20" s="460">
        <f t="shared" si="29"/>
        <v>2034</v>
      </c>
      <c r="AA20" s="460">
        <f t="shared" si="29"/>
        <v>2035</v>
      </c>
      <c r="AB20" s="460">
        <f t="shared" si="29"/>
        <v>2036</v>
      </c>
      <c r="AC20" s="460">
        <f t="shared" si="29"/>
        <v>2037</v>
      </c>
      <c r="AD20" s="460">
        <f t="shared" si="29"/>
        <v>2038</v>
      </c>
      <c r="AE20" s="460">
        <f>AE2</f>
        <v>2039</v>
      </c>
      <c r="AF20" s="460">
        <f>AF2</f>
        <v>2040</v>
      </c>
      <c r="AG20" s="460">
        <f>AG2</f>
        <v>2041</v>
      </c>
    </row>
    <row r="21" spans="1:48">
      <c r="A21" s="443" t="s">
        <v>43</v>
      </c>
      <c r="B21" s="449">
        <f t="shared" ref="B21:AG29" si="30">B37+B117</f>
        <v>0</v>
      </c>
      <c r="C21" s="449">
        <f t="shared" si="30"/>
        <v>0</v>
      </c>
      <c r="D21" s="449">
        <f t="shared" si="30"/>
        <v>0</v>
      </c>
      <c r="E21" s="449">
        <f t="shared" si="30"/>
        <v>0</v>
      </c>
      <c r="F21" s="449">
        <f t="shared" si="30"/>
        <v>0</v>
      </c>
      <c r="G21" s="449">
        <f t="shared" si="30"/>
        <v>0</v>
      </c>
      <c r="H21" s="449">
        <f t="shared" si="30"/>
        <v>0</v>
      </c>
      <c r="I21" s="449">
        <f t="shared" si="30"/>
        <v>0</v>
      </c>
      <c r="J21" s="449">
        <f t="shared" si="30"/>
        <v>49276</v>
      </c>
      <c r="K21" s="449">
        <f t="shared" si="30"/>
        <v>148993</v>
      </c>
      <c r="L21" s="449">
        <f t="shared" si="30"/>
        <v>0</v>
      </c>
      <c r="M21" s="449">
        <f t="shared" si="30"/>
        <v>0</v>
      </c>
      <c r="N21" s="449">
        <f t="shared" si="30"/>
        <v>0</v>
      </c>
      <c r="O21" s="449">
        <f t="shared" si="30"/>
        <v>0</v>
      </c>
      <c r="P21" s="449">
        <f t="shared" si="30"/>
        <v>60218</v>
      </c>
      <c r="Q21" s="449">
        <f t="shared" si="30"/>
        <v>28782</v>
      </c>
      <c r="R21" s="450">
        <f t="shared" si="30"/>
        <v>0</v>
      </c>
      <c r="S21" s="450">
        <f t="shared" si="30"/>
        <v>0</v>
      </c>
      <c r="T21" s="450">
        <f t="shared" si="30"/>
        <v>0</v>
      </c>
      <c r="U21" s="450">
        <f t="shared" si="30"/>
        <v>0</v>
      </c>
      <c r="V21" s="450">
        <f t="shared" si="30"/>
        <v>0</v>
      </c>
      <c r="W21" s="450">
        <f t="shared" si="30"/>
        <v>0</v>
      </c>
      <c r="X21" s="450">
        <f t="shared" si="30"/>
        <v>0</v>
      </c>
      <c r="Y21" s="450">
        <f t="shared" si="30"/>
        <v>0</v>
      </c>
      <c r="Z21" s="450">
        <f t="shared" si="30"/>
        <v>0</v>
      </c>
      <c r="AA21" s="450">
        <f t="shared" si="30"/>
        <v>0</v>
      </c>
      <c r="AB21" s="450">
        <f t="shared" si="30"/>
        <v>0</v>
      </c>
      <c r="AC21" s="450">
        <f t="shared" si="30"/>
        <v>0</v>
      </c>
      <c r="AD21" s="450">
        <f t="shared" si="30"/>
        <v>0</v>
      </c>
      <c r="AE21" s="450">
        <f t="shared" si="30"/>
        <v>0</v>
      </c>
      <c r="AF21" s="450">
        <f t="shared" si="30"/>
        <v>0</v>
      </c>
      <c r="AG21" s="450">
        <f t="shared" si="30"/>
        <v>0</v>
      </c>
      <c r="AM21" s="449">
        <v>92971.812953337707</v>
      </c>
      <c r="AN21" s="449">
        <f t="shared" ref="AN21:AN33" si="31">L21-AM21</f>
        <v>-92971.812953337707</v>
      </c>
      <c r="AO21" s="449">
        <v>0</v>
      </c>
      <c r="AP21" s="449">
        <f t="shared" ref="AP21:AP33" si="32">N21-AO21</f>
        <v>0</v>
      </c>
      <c r="AQ21" s="449">
        <v>7594.4690294025413</v>
      </c>
      <c r="AR21" s="449">
        <f>O21-AQ21</f>
        <v>-7594.4690294025413</v>
      </c>
      <c r="AS21" s="449">
        <v>60218</v>
      </c>
      <c r="AT21" s="449">
        <f>P21-AS21</f>
        <v>0</v>
      </c>
      <c r="AU21" s="449">
        <v>7089.9204322872374</v>
      </c>
      <c r="AV21" s="449">
        <f>Q21-AU21</f>
        <v>21692.079567712761</v>
      </c>
    </row>
    <row r="22" spans="1:48">
      <c r="A22" s="443" t="s">
        <v>44</v>
      </c>
      <c r="B22" s="449">
        <f t="shared" si="30"/>
        <v>0</v>
      </c>
      <c r="C22" s="449">
        <f t="shared" si="30"/>
        <v>0</v>
      </c>
      <c r="D22" s="449">
        <f t="shared" si="30"/>
        <v>0</v>
      </c>
      <c r="E22" s="449">
        <f t="shared" si="30"/>
        <v>0</v>
      </c>
      <c r="F22" s="449">
        <f t="shared" si="30"/>
        <v>0</v>
      </c>
      <c r="G22" s="449">
        <f t="shared" si="30"/>
        <v>0</v>
      </c>
      <c r="H22" s="449">
        <f t="shared" si="30"/>
        <v>0</v>
      </c>
      <c r="I22" s="449">
        <f t="shared" si="30"/>
        <v>0</v>
      </c>
      <c r="J22" s="449">
        <f t="shared" si="30"/>
        <v>0</v>
      </c>
      <c r="K22" s="449">
        <f t="shared" si="30"/>
        <v>225497</v>
      </c>
      <c r="L22" s="449">
        <f t="shared" si="30"/>
        <v>0</v>
      </c>
      <c r="M22" s="449">
        <f t="shared" si="30"/>
        <v>0</v>
      </c>
      <c r="N22" s="449">
        <f t="shared" si="30"/>
        <v>58930</v>
      </c>
      <c r="O22" s="449">
        <f t="shared" si="30"/>
        <v>0</v>
      </c>
      <c r="P22" s="449">
        <f t="shared" si="30"/>
        <v>0</v>
      </c>
      <c r="Q22" s="449">
        <f t="shared" si="30"/>
        <v>0</v>
      </c>
      <c r="R22" s="450">
        <f t="shared" si="30"/>
        <v>10045.402294857344</v>
      </c>
      <c r="S22" s="450">
        <f t="shared" si="30"/>
        <v>9004.7184796997826</v>
      </c>
      <c r="T22" s="450">
        <f t="shared" si="30"/>
        <v>9456.7959158934718</v>
      </c>
      <c r="U22" s="450">
        <f t="shared" si="30"/>
        <v>10021.993867898625</v>
      </c>
      <c r="V22" s="450">
        <f t="shared" si="30"/>
        <v>10276.356782225263</v>
      </c>
      <c r="W22" s="450">
        <f t="shared" si="30"/>
        <v>10622.416048043095</v>
      </c>
      <c r="X22" s="450">
        <f t="shared" si="30"/>
        <v>10631.132060653968</v>
      </c>
      <c r="Y22" s="450">
        <f t="shared" si="30"/>
        <v>11190.564647290204</v>
      </c>
      <c r="Z22" s="450">
        <f t="shared" si="30"/>
        <v>11450.774970440867</v>
      </c>
      <c r="AA22" s="450">
        <f t="shared" si="30"/>
        <v>11688.397574810338</v>
      </c>
      <c r="AB22" s="450">
        <f t="shared" si="30"/>
        <v>11987.078345586069</v>
      </c>
      <c r="AC22" s="450">
        <f t="shared" si="30"/>
        <v>12287.259109804216</v>
      </c>
      <c r="AD22" s="450">
        <f t="shared" si="30"/>
        <v>12629.981012598468</v>
      </c>
      <c r="AE22" s="450">
        <f t="shared" si="30"/>
        <v>12872.864111629078</v>
      </c>
      <c r="AF22" s="450">
        <f t="shared" si="30"/>
        <v>13176.263532497158</v>
      </c>
      <c r="AG22" s="450">
        <f t="shared" si="30"/>
        <v>13484.24818008993</v>
      </c>
      <c r="AM22" s="449">
        <v>105739.49989932262</v>
      </c>
      <c r="AN22" s="449">
        <f t="shared" si="31"/>
        <v>-105739.49989932262</v>
      </c>
      <c r="AO22" s="449">
        <v>0</v>
      </c>
      <c r="AP22" s="449">
        <f t="shared" si="32"/>
        <v>58930</v>
      </c>
      <c r="AQ22" s="449">
        <v>8637.4066683303226</v>
      </c>
      <c r="AR22" s="449">
        <f t="shared" ref="AR22:AR33" si="33">O22-AQ22</f>
        <v>-8637.4066683303226</v>
      </c>
      <c r="AS22" s="449">
        <v>0</v>
      </c>
      <c r="AT22" s="449">
        <f t="shared" ref="AT22:AT33" si="34">P22-AS22</f>
        <v>0</v>
      </c>
      <c r="AU22" s="449">
        <v>8063.569129412439</v>
      </c>
      <c r="AV22" s="449">
        <f t="shared" ref="AV22:AV33" si="35">Q22-AU22</f>
        <v>-8063.569129412439</v>
      </c>
    </row>
    <row r="23" spans="1:48">
      <c r="A23" s="443" t="s">
        <v>45</v>
      </c>
      <c r="B23" s="449">
        <f t="shared" si="30"/>
        <v>0</v>
      </c>
      <c r="C23" s="449">
        <f t="shared" si="30"/>
        <v>0</v>
      </c>
      <c r="D23" s="449">
        <f t="shared" si="30"/>
        <v>0</v>
      </c>
      <c r="E23" s="449">
        <f t="shared" si="30"/>
        <v>9802</v>
      </c>
      <c r="F23" s="449">
        <f t="shared" si="30"/>
        <v>472</v>
      </c>
      <c r="G23" s="449">
        <f t="shared" si="30"/>
        <v>0</v>
      </c>
      <c r="H23" s="449">
        <f t="shared" si="30"/>
        <v>127593</v>
      </c>
      <c r="I23" s="449">
        <f t="shared" si="30"/>
        <v>0</v>
      </c>
      <c r="J23" s="449">
        <f t="shared" si="30"/>
        <v>596361</v>
      </c>
      <c r="K23" s="449">
        <f t="shared" si="30"/>
        <v>423217</v>
      </c>
      <c r="L23" s="449">
        <f t="shared" si="30"/>
        <v>0</v>
      </c>
      <c r="M23" s="449">
        <f t="shared" si="30"/>
        <v>0</v>
      </c>
      <c r="N23" s="449">
        <f t="shared" si="30"/>
        <v>0</v>
      </c>
      <c r="O23" s="449">
        <f t="shared" si="30"/>
        <v>0</v>
      </c>
      <c r="P23" s="449">
        <f t="shared" si="30"/>
        <v>60193</v>
      </c>
      <c r="Q23" s="449">
        <f t="shared" si="30"/>
        <v>54155</v>
      </c>
      <c r="R23" s="450">
        <f t="shared" si="30"/>
        <v>50939.594874169081</v>
      </c>
      <c r="S23" s="450">
        <f t="shared" si="30"/>
        <v>45646.012316111504</v>
      </c>
      <c r="T23" s="450">
        <f t="shared" si="30"/>
        <v>47945.566893852272</v>
      </c>
      <c r="U23" s="450">
        <f t="shared" si="30"/>
        <v>50820.52466393284</v>
      </c>
      <c r="V23" s="450">
        <f t="shared" si="30"/>
        <v>52114.376905203979</v>
      </c>
      <c r="W23" s="450">
        <f t="shared" si="30"/>
        <v>53874.655355686198</v>
      </c>
      <c r="X23" s="450">
        <f t="shared" si="30"/>
        <v>53918.990562653693</v>
      </c>
      <c r="Y23" s="450">
        <f t="shared" si="30"/>
        <v>56764.622002187723</v>
      </c>
      <c r="Z23" s="450">
        <f t="shared" si="30"/>
        <v>58088.217899418356</v>
      </c>
      <c r="AA23" s="450">
        <f t="shared" si="30"/>
        <v>59296.918232381635</v>
      </c>
      <c r="AB23" s="450">
        <f t="shared" si="30"/>
        <v>60816.199396916927</v>
      </c>
      <c r="AC23" s="450">
        <f t="shared" si="30"/>
        <v>62343.110486130885</v>
      </c>
      <c r="AD23" s="450">
        <f t="shared" si="30"/>
        <v>64086.412976735359</v>
      </c>
      <c r="AE23" s="450">
        <f t="shared" si="30"/>
        <v>65321.871545369642</v>
      </c>
      <c r="AF23" s="450">
        <f t="shared" si="30"/>
        <v>66865.154778028416</v>
      </c>
      <c r="AG23" s="450">
        <f t="shared" si="30"/>
        <v>68431.761402346659</v>
      </c>
      <c r="AM23" s="449">
        <v>219986.57634589952</v>
      </c>
      <c r="AN23" s="449">
        <f t="shared" si="31"/>
        <v>-219986.57634589952</v>
      </c>
      <c r="AO23" s="449">
        <v>0</v>
      </c>
      <c r="AP23" s="449">
        <f t="shared" si="32"/>
        <v>0</v>
      </c>
      <c r="AQ23" s="449">
        <v>43777.006378395417</v>
      </c>
      <c r="AR23" s="449">
        <f t="shared" si="33"/>
        <v>-43777.006378395417</v>
      </c>
      <c r="AS23" s="449">
        <v>60193</v>
      </c>
      <c r="AT23" s="449">
        <f t="shared" si="34"/>
        <v>0</v>
      </c>
      <c r="AU23" s="449">
        <v>40874.000553988386</v>
      </c>
      <c r="AV23" s="449">
        <f t="shared" si="35"/>
        <v>13280.999446011614</v>
      </c>
    </row>
    <row r="24" spans="1:48">
      <c r="A24" s="443" t="s">
        <v>46</v>
      </c>
      <c r="B24" s="449">
        <f t="shared" si="30"/>
        <v>0</v>
      </c>
      <c r="C24" s="449">
        <f t="shared" si="30"/>
        <v>0</v>
      </c>
      <c r="D24" s="449">
        <f t="shared" si="30"/>
        <v>0</v>
      </c>
      <c r="E24" s="449">
        <f t="shared" si="30"/>
        <v>0</v>
      </c>
      <c r="F24" s="449">
        <f t="shared" si="30"/>
        <v>7302</v>
      </c>
      <c r="G24" s="449">
        <f t="shared" si="30"/>
        <v>0</v>
      </c>
      <c r="H24" s="449">
        <f t="shared" si="30"/>
        <v>0</v>
      </c>
      <c r="I24" s="449">
        <f t="shared" si="30"/>
        <v>0</v>
      </c>
      <c r="J24" s="449">
        <f t="shared" si="30"/>
        <v>108589</v>
      </c>
      <c r="K24" s="449">
        <f t="shared" si="30"/>
        <v>239288</v>
      </c>
      <c r="L24" s="449">
        <f>L40+L120</f>
        <v>0</v>
      </c>
      <c r="M24" s="449">
        <f t="shared" si="30"/>
        <v>0</v>
      </c>
      <c r="N24" s="449">
        <f t="shared" si="30"/>
        <v>0</v>
      </c>
      <c r="O24" s="449">
        <f t="shared" si="30"/>
        <v>69961</v>
      </c>
      <c r="P24" s="449">
        <f t="shared" si="30"/>
        <v>47750</v>
      </c>
      <c r="Q24" s="450">
        <f t="shared" si="30"/>
        <v>12359.547646964167</v>
      </c>
      <c r="R24" s="450">
        <f t="shared" si="30"/>
        <v>15407.943519415971</v>
      </c>
      <c r="S24" s="450">
        <f t="shared" si="30"/>
        <v>13802.841595113749</v>
      </c>
      <c r="T24" s="450">
        <f t="shared" si="30"/>
        <v>14500.104637162927</v>
      </c>
      <c r="U24" s="450">
        <f t="shared" si="30"/>
        <v>15371.839459172992</v>
      </c>
      <c r="V24" s="450">
        <f t="shared" si="30"/>
        <v>15764.156892489669</v>
      </c>
      <c r="W24" s="450">
        <f t="shared" si="30"/>
        <v>16297.902479186154</v>
      </c>
      <c r="X24" s="450">
        <f t="shared" si="30"/>
        <v>16311.345648389128</v>
      </c>
      <c r="Y24" s="450">
        <f t="shared" si="30"/>
        <v>17174.188241161864</v>
      </c>
      <c r="Z24" s="450">
        <f t="shared" si="30"/>
        <v>17575.524443694423</v>
      </c>
      <c r="AA24" s="450">
        <f t="shared" si="30"/>
        <v>17942.022407798333</v>
      </c>
      <c r="AB24" s="450">
        <f t="shared" si="30"/>
        <v>18402.693625070617</v>
      </c>
      <c r="AC24" s="450">
        <f t="shared" si="30"/>
        <v>18865.678361901668</v>
      </c>
      <c r="AD24" s="450">
        <f t="shared" si="30"/>
        <v>19394.276556342</v>
      </c>
      <c r="AE24" s="450">
        <f t="shared" si="30"/>
        <v>19768.888060774309</v>
      </c>
      <c r="AF24" s="450">
        <f t="shared" si="30"/>
        <v>20236.837102716305</v>
      </c>
      <c r="AG24" s="450">
        <f t="shared" si="30"/>
        <v>20711.858183381297</v>
      </c>
      <c r="AM24" s="449">
        <v>63187.448676368731</v>
      </c>
      <c r="AN24" s="449">
        <f t="shared" si="31"/>
        <v>-63187.448676368731</v>
      </c>
      <c r="AO24" s="449">
        <v>0</v>
      </c>
      <c r="AP24" s="449">
        <f t="shared" si="32"/>
        <v>0</v>
      </c>
      <c r="AQ24" s="449">
        <v>4.6522139766252179E-3</v>
      </c>
      <c r="AR24" s="449">
        <f t="shared" si="33"/>
        <v>69960.995347786025</v>
      </c>
      <c r="AS24" s="449">
        <v>47750</v>
      </c>
      <c r="AT24" s="449">
        <f t="shared" si="34"/>
        <v>0</v>
      </c>
      <c r="AU24" s="449">
        <v>12359.547646964167</v>
      </c>
      <c r="AV24" s="449">
        <f t="shared" si="35"/>
        <v>0</v>
      </c>
    </row>
    <row r="25" spans="1:48">
      <c r="A25" s="443" t="s">
        <v>47</v>
      </c>
      <c r="B25" s="449">
        <f t="shared" si="30"/>
        <v>0</v>
      </c>
      <c r="C25" s="449">
        <f t="shared" si="30"/>
        <v>0</v>
      </c>
      <c r="D25" s="449">
        <f t="shared" si="30"/>
        <v>0</v>
      </c>
      <c r="E25" s="449">
        <f t="shared" si="30"/>
        <v>0</v>
      </c>
      <c r="F25" s="449">
        <f t="shared" si="30"/>
        <v>0</v>
      </c>
      <c r="G25" s="449">
        <f t="shared" si="30"/>
        <v>173731</v>
      </c>
      <c r="H25" s="449">
        <f t="shared" si="30"/>
        <v>0</v>
      </c>
      <c r="I25" s="449">
        <f t="shared" si="30"/>
        <v>0</v>
      </c>
      <c r="J25" s="449">
        <f t="shared" si="30"/>
        <v>457786</v>
      </c>
      <c r="K25" s="449">
        <f>K41+K121</f>
        <v>132150</v>
      </c>
      <c r="L25" s="449">
        <f>L41+L121</f>
        <v>0</v>
      </c>
      <c r="M25" s="449">
        <f t="shared" si="30"/>
        <v>0</v>
      </c>
      <c r="N25" s="449">
        <f t="shared" si="30"/>
        <v>0</v>
      </c>
      <c r="O25" s="449">
        <f t="shared" si="30"/>
        <v>43465</v>
      </c>
      <c r="P25" s="449">
        <f t="shared" si="30"/>
        <v>0</v>
      </c>
      <c r="Q25" s="450">
        <f t="shared" si="30"/>
        <v>21095.57873465748</v>
      </c>
      <c r="R25" s="450">
        <f t="shared" si="30"/>
        <v>26280.369354000111</v>
      </c>
      <c r="S25" s="450">
        <f t="shared" si="30"/>
        <v>23557.775052617868</v>
      </c>
      <c r="T25" s="450">
        <f t="shared" si="30"/>
        <v>24740.481493937979</v>
      </c>
      <c r="U25" s="450">
        <f t="shared" si="30"/>
        <v>26219.129187761453</v>
      </c>
      <c r="V25" s="450">
        <f t="shared" si="30"/>
        <v>26884.583008549311</v>
      </c>
      <c r="W25" s="450">
        <f t="shared" si="30"/>
        <v>27789.929062108815</v>
      </c>
      <c r="X25" s="450">
        <f t="shared" si="30"/>
        <v>27812.731536712065</v>
      </c>
      <c r="Y25" s="450">
        <f t="shared" si="30"/>
        <v>29276.296118191349</v>
      </c>
      <c r="Z25" s="450">
        <f t="shared" si="30"/>
        <v>29957.047690044674</v>
      </c>
      <c r="AA25" s="450">
        <f t="shared" si="30"/>
        <v>30578.706198722433</v>
      </c>
      <c r="AB25" s="450">
        <f t="shared" si="30"/>
        <v>31360.102577336565</v>
      </c>
      <c r="AC25" s="450">
        <f t="shared" si="30"/>
        <v>32145.423177254957</v>
      </c>
      <c r="AD25" s="450">
        <f t="shared" si="30"/>
        <v>33042.038158593197</v>
      </c>
      <c r="AE25" s="450">
        <f t="shared" si="30"/>
        <v>33677.458957582639</v>
      </c>
      <c r="AF25" s="450">
        <f t="shared" si="30"/>
        <v>34471.200074977693</v>
      </c>
      <c r="AG25" s="450">
        <f t="shared" si="30"/>
        <v>35276.936874413113</v>
      </c>
      <c r="AM25" s="449">
        <v>139644.57653369274</v>
      </c>
      <c r="AN25" s="449">
        <f t="shared" si="31"/>
        <v>-139644.57653369274</v>
      </c>
      <c r="AO25" s="449">
        <v>0</v>
      </c>
      <c r="AP25" s="449">
        <f t="shared" si="32"/>
        <v>0</v>
      </c>
      <c r="AQ25" s="449">
        <v>0</v>
      </c>
      <c r="AR25" s="449">
        <f t="shared" si="33"/>
        <v>43465</v>
      </c>
      <c r="AS25" s="450">
        <v>0</v>
      </c>
      <c r="AT25" s="449">
        <f t="shared" si="34"/>
        <v>0</v>
      </c>
      <c r="AU25" s="450">
        <v>21095.57873465748</v>
      </c>
      <c r="AV25" s="449">
        <f t="shared" si="35"/>
        <v>0</v>
      </c>
    </row>
    <row r="26" spans="1:48">
      <c r="A26" s="443" t="s">
        <v>48</v>
      </c>
      <c r="B26" s="449">
        <f t="shared" si="30"/>
        <v>0</v>
      </c>
      <c r="C26" s="449">
        <f t="shared" si="30"/>
        <v>0</v>
      </c>
      <c r="D26" s="449">
        <f t="shared" si="30"/>
        <v>0</v>
      </c>
      <c r="E26" s="449">
        <f t="shared" si="30"/>
        <v>19251</v>
      </c>
      <c r="F26" s="449">
        <f t="shared" si="30"/>
        <v>0</v>
      </c>
      <c r="G26" s="449">
        <f t="shared" si="30"/>
        <v>0</v>
      </c>
      <c r="H26" s="449">
        <f t="shared" si="30"/>
        <v>0</v>
      </c>
      <c r="I26" s="449">
        <f t="shared" si="30"/>
        <v>756020</v>
      </c>
      <c r="J26" s="449">
        <f t="shared" si="30"/>
        <v>297480</v>
      </c>
      <c r="K26" s="449">
        <f>K42+K122</f>
        <v>107473</v>
      </c>
      <c r="L26" s="449">
        <f>L42+L122</f>
        <v>0</v>
      </c>
      <c r="M26" s="449">
        <f>M42+M122</f>
        <v>0</v>
      </c>
      <c r="N26" s="449">
        <f>N42+N122</f>
        <v>102065</v>
      </c>
      <c r="O26" s="449">
        <f>O42+O122</f>
        <v>23954</v>
      </c>
      <c r="P26" s="449">
        <f t="shared" si="30"/>
        <v>24011</v>
      </c>
      <c r="Q26" s="450">
        <f t="shared" si="30"/>
        <v>41515.346292329166</v>
      </c>
      <c r="R26" s="450">
        <f t="shared" si="30"/>
        <v>51718.829245920861</v>
      </c>
      <c r="S26" s="450">
        <f t="shared" si="30"/>
        <v>46360.860798735666</v>
      </c>
      <c r="T26" s="450">
        <f t="shared" si="30"/>
        <v>48688.38487812518</v>
      </c>
      <c r="U26" s="450">
        <f t="shared" si="30"/>
        <v>51598.310783717177</v>
      </c>
      <c r="V26" s="450">
        <f t="shared" si="30"/>
        <v>52907.900160669153</v>
      </c>
      <c r="W26" s="450">
        <f t="shared" si="30"/>
        <v>54689.588892733547</v>
      </c>
      <c r="X26" s="450">
        <f t="shared" si="30"/>
        <v>54734.463349195874</v>
      </c>
      <c r="Y26" s="450">
        <f t="shared" si="30"/>
        <v>57614.706227836519</v>
      </c>
      <c r="Z26" s="450">
        <f t="shared" si="30"/>
        <v>58954.401033085342</v>
      </c>
      <c r="AA26" s="450">
        <f t="shared" si="30"/>
        <v>60177.802798353347</v>
      </c>
      <c r="AB26" s="450">
        <f t="shared" si="30"/>
        <v>61715.562992457089</v>
      </c>
      <c r="AC26" s="450">
        <f t="shared" si="30"/>
        <v>63261.045914077491</v>
      </c>
      <c r="AD26" s="450">
        <f t="shared" si="30"/>
        <v>65025.552207521534</v>
      </c>
      <c r="AE26" s="450">
        <f t="shared" si="30"/>
        <v>66276.03766910579</v>
      </c>
      <c r="AF26" s="450">
        <f t="shared" si="30"/>
        <v>67838.091868689269</v>
      </c>
      <c r="AG26" s="450">
        <f t="shared" si="30"/>
        <v>69423.753142540911</v>
      </c>
      <c r="AM26" s="449">
        <v>217882.45974495541</v>
      </c>
      <c r="AN26" s="449">
        <f t="shared" si="31"/>
        <v>-217882.45974495541</v>
      </c>
      <c r="AO26" s="449">
        <v>0</v>
      </c>
      <c r="AP26" s="449">
        <f t="shared" si="32"/>
        <v>102065</v>
      </c>
      <c r="AQ26" s="449">
        <v>35783.094288426451</v>
      </c>
      <c r="AR26" s="449">
        <f t="shared" si="33"/>
        <v>-11829.094288426451</v>
      </c>
      <c r="AS26" s="450">
        <v>24011</v>
      </c>
      <c r="AT26" s="449">
        <f t="shared" si="34"/>
        <v>0</v>
      </c>
      <c r="AU26" s="450">
        <v>41515.346292329166</v>
      </c>
      <c r="AV26" s="449">
        <f t="shared" si="35"/>
        <v>0</v>
      </c>
    </row>
    <row r="27" spans="1:48">
      <c r="A27" s="443" t="s">
        <v>49</v>
      </c>
      <c r="B27" s="449">
        <f t="shared" si="30"/>
        <v>0</v>
      </c>
      <c r="C27" s="449">
        <f t="shared" si="30"/>
        <v>0</v>
      </c>
      <c r="D27" s="449">
        <f t="shared" si="30"/>
        <v>0</v>
      </c>
      <c r="E27" s="449">
        <f t="shared" si="30"/>
        <v>26031</v>
      </c>
      <c r="F27" s="449">
        <f t="shared" si="30"/>
        <v>1248</v>
      </c>
      <c r="G27" s="449">
        <f t="shared" si="30"/>
        <v>0</v>
      </c>
      <c r="H27" s="449">
        <f t="shared" si="30"/>
        <v>0</v>
      </c>
      <c r="I27" s="449">
        <f t="shared" si="30"/>
        <v>0</v>
      </c>
      <c r="J27" s="449">
        <f t="shared" si="30"/>
        <v>0</v>
      </c>
      <c r="K27" s="449">
        <f t="shared" si="30"/>
        <v>0</v>
      </c>
      <c r="L27" s="449">
        <f t="shared" si="30"/>
        <v>0</v>
      </c>
      <c r="M27" s="449">
        <f t="shared" si="30"/>
        <v>0</v>
      </c>
      <c r="N27" s="449">
        <f t="shared" si="30"/>
        <v>0</v>
      </c>
      <c r="O27" s="449">
        <f t="shared" si="30"/>
        <v>0</v>
      </c>
      <c r="P27" s="449">
        <f t="shared" si="30"/>
        <v>12018</v>
      </c>
      <c r="Q27" s="450">
        <f t="shared" si="30"/>
        <v>0</v>
      </c>
      <c r="R27" s="450">
        <f t="shared" si="30"/>
        <v>0</v>
      </c>
      <c r="S27" s="450">
        <f t="shared" si="30"/>
        <v>0</v>
      </c>
      <c r="T27" s="450">
        <f t="shared" si="30"/>
        <v>0</v>
      </c>
      <c r="U27" s="450">
        <f t="shared" si="30"/>
        <v>0</v>
      </c>
      <c r="V27" s="450">
        <f t="shared" si="30"/>
        <v>0</v>
      </c>
      <c r="W27" s="450">
        <f t="shared" si="30"/>
        <v>0</v>
      </c>
      <c r="X27" s="450">
        <f t="shared" si="30"/>
        <v>0</v>
      </c>
      <c r="Y27" s="450">
        <f t="shared" si="30"/>
        <v>0</v>
      </c>
      <c r="Z27" s="450">
        <f t="shared" si="30"/>
        <v>0</v>
      </c>
      <c r="AA27" s="450">
        <f t="shared" si="30"/>
        <v>0</v>
      </c>
      <c r="AB27" s="450">
        <f t="shared" si="30"/>
        <v>0</v>
      </c>
      <c r="AC27" s="450">
        <f t="shared" si="30"/>
        <v>0</v>
      </c>
      <c r="AD27" s="450">
        <f t="shared" si="30"/>
        <v>0</v>
      </c>
      <c r="AE27" s="450">
        <f t="shared" si="30"/>
        <v>0</v>
      </c>
      <c r="AF27" s="450">
        <f t="shared" si="30"/>
        <v>0</v>
      </c>
      <c r="AG27" s="450">
        <f t="shared" si="30"/>
        <v>0</v>
      </c>
      <c r="AK27" s="449">
        <v>945.92402569706621</v>
      </c>
      <c r="AL27" s="449">
        <f t="shared" ref="AL27:AL33" si="36">K27-AK27</f>
        <v>-945.92402569706621</v>
      </c>
      <c r="AM27" s="449">
        <v>0</v>
      </c>
      <c r="AN27" s="449">
        <f t="shared" si="31"/>
        <v>0</v>
      </c>
      <c r="AO27" s="449">
        <v>0</v>
      </c>
      <c r="AP27" s="449">
        <f t="shared" si="32"/>
        <v>0</v>
      </c>
      <c r="AQ27" s="449">
        <v>0</v>
      </c>
      <c r="AR27" s="449">
        <f t="shared" si="33"/>
        <v>0</v>
      </c>
      <c r="AS27" s="450">
        <v>12018</v>
      </c>
      <c r="AT27" s="449">
        <f t="shared" si="34"/>
        <v>0</v>
      </c>
      <c r="AU27" s="450">
        <v>0</v>
      </c>
      <c r="AV27" s="449">
        <f t="shared" si="35"/>
        <v>0</v>
      </c>
    </row>
    <row r="28" spans="1:48">
      <c r="A28" s="443" t="s">
        <v>50</v>
      </c>
      <c r="B28" s="449">
        <f t="shared" si="30"/>
        <v>0</v>
      </c>
      <c r="C28" s="449">
        <f t="shared" si="30"/>
        <v>0</v>
      </c>
      <c r="D28" s="449">
        <f t="shared" si="30"/>
        <v>0</v>
      </c>
      <c r="E28" s="449">
        <f t="shared" si="30"/>
        <v>0</v>
      </c>
      <c r="F28" s="449">
        <f t="shared" si="30"/>
        <v>5532</v>
      </c>
      <c r="G28" s="449">
        <f t="shared" si="30"/>
        <v>53303</v>
      </c>
      <c r="H28" s="449">
        <f t="shared" si="30"/>
        <v>0</v>
      </c>
      <c r="I28" s="449">
        <f t="shared" si="30"/>
        <v>282632</v>
      </c>
      <c r="J28" s="449">
        <f t="shared" si="30"/>
        <v>0</v>
      </c>
      <c r="K28" s="449">
        <f t="shared" si="30"/>
        <v>39325</v>
      </c>
      <c r="L28" s="449">
        <f t="shared" si="30"/>
        <v>0</v>
      </c>
      <c r="M28" s="449">
        <f>M44+M124</f>
        <v>0</v>
      </c>
      <c r="N28" s="449">
        <f t="shared" si="30"/>
        <v>30374</v>
      </c>
      <c r="O28" s="449">
        <f t="shared" si="30"/>
        <v>28704</v>
      </c>
      <c r="P28" s="449">
        <f t="shared" si="30"/>
        <v>0</v>
      </c>
      <c r="Q28" s="450">
        <f t="shared" si="30"/>
        <v>11512.89164023575</v>
      </c>
      <c r="R28" s="450">
        <f t="shared" si="30"/>
        <v>14342.486093586107</v>
      </c>
      <c r="S28" s="450">
        <f t="shared" si="30"/>
        <v>12856.632893425203</v>
      </c>
      <c r="T28" s="450">
        <f t="shared" si="30"/>
        <v>13502.093787027388</v>
      </c>
      <c r="U28" s="450">
        <f t="shared" si="30"/>
        <v>14309.064332239623</v>
      </c>
      <c r="V28" s="450">
        <f t="shared" si="30"/>
        <v>14672.235109712765</v>
      </c>
      <c r="W28" s="450">
        <f t="shared" si="30"/>
        <v>15166.326840622318</v>
      </c>
      <c r="X28" s="450">
        <f t="shared" si="30"/>
        <v>15178.771269027837</v>
      </c>
      <c r="Y28" s="450">
        <f t="shared" si="30"/>
        <v>15977.510220302765</v>
      </c>
      <c r="Z28" s="450">
        <f t="shared" si="30"/>
        <v>16349.029730587239</v>
      </c>
      <c r="AA28" s="450">
        <f t="shared" si="30"/>
        <v>16688.299258940086</v>
      </c>
      <c r="AB28" s="450">
        <f t="shared" si="30"/>
        <v>17114.745574929399</v>
      </c>
      <c r="AC28" s="450">
        <f t="shared" si="30"/>
        <v>17543.333530890595</v>
      </c>
      <c r="AD28" s="450">
        <f t="shared" si="30"/>
        <v>18032.660287601011</v>
      </c>
      <c r="AE28" s="450">
        <f t="shared" si="30"/>
        <v>18379.440572547588</v>
      </c>
      <c r="AF28" s="450">
        <f t="shared" si="30"/>
        <v>18812.624017757167</v>
      </c>
      <c r="AG28" s="450">
        <f t="shared" si="30"/>
        <v>19252.354094809307</v>
      </c>
      <c r="AK28" s="449">
        <v>258815.57634831744</v>
      </c>
      <c r="AL28" s="449">
        <f t="shared" si="36"/>
        <v>-219490.57634831744</v>
      </c>
      <c r="AM28" s="449">
        <v>70787.445877631922</v>
      </c>
      <c r="AN28" s="449">
        <f t="shared" si="31"/>
        <v>-70787.445877631922</v>
      </c>
      <c r="AO28" s="449">
        <v>0</v>
      </c>
      <c r="AP28" s="449">
        <f t="shared" si="32"/>
        <v>30374</v>
      </c>
      <c r="AQ28" s="449">
        <v>28704</v>
      </c>
      <c r="AR28" s="449">
        <f t="shared" si="33"/>
        <v>0</v>
      </c>
      <c r="AS28" s="450">
        <v>0</v>
      </c>
      <c r="AT28" s="449">
        <f t="shared" si="34"/>
        <v>0</v>
      </c>
      <c r="AU28" s="450">
        <v>11512.89164023575</v>
      </c>
      <c r="AV28" s="449">
        <f t="shared" si="35"/>
        <v>0</v>
      </c>
    </row>
    <row r="29" spans="1:48">
      <c r="A29" s="443" t="s">
        <v>51</v>
      </c>
      <c r="B29" s="449">
        <f t="shared" si="30"/>
        <v>0</v>
      </c>
      <c r="C29" s="449">
        <f t="shared" si="30"/>
        <v>0</v>
      </c>
      <c r="D29" s="449">
        <f t="shared" si="30"/>
        <v>0</v>
      </c>
      <c r="E29" s="449">
        <f t="shared" si="30"/>
        <v>72906</v>
      </c>
      <c r="F29" s="449">
        <f t="shared" si="30"/>
        <v>17073</v>
      </c>
      <c r="G29" s="449">
        <f t="shared" si="30"/>
        <v>0</v>
      </c>
      <c r="H29" s="449">
        <f t="shared" si="30"/>
        <v>99563</v>
      </c>
      <c r="I29" s="449">
        <f t="shared" si="30"/>
        <v>0</v>
      </c>
      <c r="J29" s="449">
        <f t="shared" ref="B29:AG32" si="37">J45+J125</f>
        <v>0</v>
      </c>
      <c r="K29" s="449">
        <f t="shared" si="37"/>
        <v>0</v>
      </c>
      <c r="L29" s="449">
        <f t="shared" si="37"/>
        <v>0</v>
      </c>
      <c r="M29" s="449">
        <f t="shared" si="37"/>
        <v>0</v>
      </c>
      <c r="N29" s="449">
        <f t="shared" si="37"/>
        <v>11086</v>
      </c>
      <c r="O29" s="449">
        <f t="shared" si="37"/>
        <v>0</v>
      </c>
      <c r="P29" s="449">
        <f t="shared" si="37"/>
        <v>23774</v>
      </c>
      <c r="Q29" s="450">
        <f t="shared" si="37"/>
        <v>3560.2829892712134</v>
      </c>
      <c r="R29" s="450">
        <f t="shared" si="37"/>
        <v>4435.3157189802168</v>
      </c>
      <c r="S29" s="450">
        <f t="shared" si="37"/>
        <v>3975.8257803622646</v>
      </c>
      <c r="T29" s="450">
        <f t="shared" si="37"/>
        <v>4175.4301466276802</v>
      </c>
      <c r="U29" s="450">
        <f t="shared" si="37"/>
        <v>4424.9802678953201</v>
      </c>
      <c r="V29" s="450">
        <f t="shared" si="37"/>
        <v>4537.2883466684434</v>
      </c>
      <c r="W29" s="450">
        <f t="shared" si="37"/>
        <v>4690.0828347663819</v>
      </c>
      <c r="X29" s="450">
        <f t="shared" si="37"/>
        <v>4693.9311891284196</v>
      </c>
      <c r="Y29" s="450">
        <f t="shared" si="37"/>
        <v>4940.9357462766902</v>
      </c>
      <c r="Z29" s="450">
        <f t="shared" si="37"/>
        <v>5055.8256135647225</v>
      </c>
      <c r="AA29" s="450">
        <f t="shared" si="37"/>
        <v>5160.7423945366991</v>
      </c>
      <c r="AB29" s="450">
        <f t="shared" si="37"/>
        <v>5292.6180007786616</v>
      </c>
      <c r="AC29" s="450">
        <f t="shared" si="37"/>
        <v>5425.1558945326869</v>
      </c>
      <c r="AD29" s="450">
        <f t="shared" si="37"/>
        <v>5576.4768469529145</v>
      </c>
      <c r="AE29" s="450">
        <f t="shared" si="37"/>
        <v>5683.7162780264307</v>
      </c>
      <c r="AF29" s="450">
        <f t="shared" si="37"/>
        <v>5817.675295396456</v>
      </c>
      <c r="AG29" s="450">
        <f t="shared" si="37"/>
        <v>5953.6588138835277</v>
      </c>
      <c r="AK29" s="449">
        <v>88404.482901604992</v>
      </c>
      <c r="AL29" s="449">
        <f t="shared" si="36"/>
        <v>-88404.482901604992</v>
      </c>
      <c r="AM29" s="449">
        <v>13258.222177766173</v>
      </c>
      <c r="AN29" s="449">
        <f t="shared" si="31"/>
        <v>-13258.222177766173</v>
      </c>
      <c r="AO29" s="449">
        <v>0</v>
      </c>
      <c r="AP29" s="449">
        <f t="shared" si="32"/>
        <v>11086</v>
      </c>
      <c r="AQ29" s="449">
        <v>28866.374143704648</v>
      </c>
      <c r="AR29" s="449">
        <f t="shared" si="33"/>
        <v>-28866.374143704648</v>
      </c>
      <c r="AS29" s="450">
        <v>0</v>
      </c>
      <c r="AT29" s="449">
        <f t="shared" si="34"/>
        <v>23774</v>
      </c>
      <c r="AU29" s="450">
        <v>3560.2829892712134</v>
      </c>
      <c r="AV29" s="449">
        <f t="shared" si="35"/>
        <v>0</v>
      </c>
    </row>
    <row r="30" spans="1:48">
      <c r="A30" s="443" t="s">
        <v>52</v>
      </c>
      <c r="B30" s="449">
        <f t="shared" si="37"/>
        <v>0</v>
      </c>
      <c r="C30" s="449">
        <f t="shared" si="37"/>
        <v>0</v>
      </c>
      <c r="D30" s="449">
        <f t="shared" si="37"/>
        <v>0</v>
      </c>
      <c r="E30" s="449">
        <f t="shared" si="37"/>
        <v>35298</v>
      </c>
      <c r="F30" s="449">
        <f t="shared" si="37"/>
        <v>24030</v>
      </c>
      <c r="G30" s="449">
        <f t="shared" si="37"/>
        <v>0</v>
      </c>
      <c r="H30" s="449">
        <f t="shared" si="37"/>
        <v>229819</v>
      </c>
      <c r="I30" s="449">
        <f t="shared" si="37"/>
        <v>377775</v>
      </c>
      <c r="J30" s="449">
        <f t="shared" si="37"/>
        <v>533819</v>
      </c>
      <c r="K30" s="449">
        <f t="shared" si="37"/>
        <v>0</v>
      </c>
      <c r="L30" s="449">
        <f t="shared" si="37"/>
        <v>0</v>
      </c>
      <c r="M30" s="449">
        <f t="shared" si="37"/>
        <v>60338</v>
      </c>
      <c r="N30" s="449">
        <f t="shared" si="37"/>
        <v>0</v>
      </c>
      <c r="O30" s="449">
        <f t="shared" si="37"/>
        <v>0</v>
      </c>
      <c r="P30" s="449">
        <f t="shared" si="37"/>
        <v>0</v>
      </c>
      <c r="Q30" s="450">
        <f t="shared" si="37"/>
        <v>40815.898352129036</v>
      </c>
      <c r="R30" s="450">
        <f t="shared" si="37"/>
        <v>50847.473667410239</v>
      </c>
      <c r="S30" s="450">
        <f t="shared" si="37"/>
        <v>45579.775935243342</v>
      </c>
      <c r="T30" s="450">
        <f t="shared" si="37"/>
        <v>47868.086035502543</v>
      </c>
      <c r="U30" s="450">
        <f t="shared" si="37"/>
        <v>50728.985692668975</v>
      </c>
      <c r="V30" s="450">
        <f t="shared" si="37"/>
        <v>52016.511190260113</v>
      </c>
      <c r="W30" s="450">
        <f t="shared" si="37"/>
        <v>53768.182142755839</v>
      </c>
      <c r="X30" s="450">
        <f t="shared" si="37"/>
        <v>53812.300557201335</v>
      </c>
      <c r="Y30" s="450">
        <f t="shared" si="37"/>
        <v>56644.017285185408</v>
      </c>
      <c r="Z30" s="450">
        <f t="shared" si="37"/>
        <v>57961.140996713133</v>
      </c>
      <c r="AA30" s="450">
        <f t="shared" si="37"/>
        <v>59163.930966074913</v>
      </c>
      <c r="AB30" s="450">
        <f t="shared" si="37"/>
        <v>60675.78307325788</v>
      </c>
      <c r="AC30" s="450">
        <f t="shared" si="37"/>
        <v>62195.227795930587</v>
      </c>
      <c r="AD30" s="450">
        <f t="shared" si="37"/>
        <v>63930.005798449893</v>
      </c>
      <c r="AE30" s="450">
        <f t="shared" si="37"/>
        <v>65159.423159717786</v>
      </c>
      <c r="AF30" s="450">
        <f t="shared" si="37"/>
        <v>66695.159968505919</v>
      </c>
      <c r="AG30" s="450">
        <f t="shared" si="37"/>
        <v>68254.106121061428</v>
      </c>
      <c r="AK30" s="449">
        <v>883349.78708370682</v>
      </c>
      <c r="AL30" s="449">
        <f t="shared" si="36"/>
        <v>-883349.78708370682</v>
      </c>
      <c r="AM30" s="449">
        <v>153087.97138084049</v>
      </c>
      <c r="AN30" s="449">
        <f t="shared" si="31"/>
        <v>-153087.97138084049</v>
      </c>
      <c r="AO30" s="449">
        <v>0</v>
      </c>
      <c r="AP30" s="449">
        <f t="shared" si="32"/>
        <v>0</v>
      </c>
      <c r="AQ30" s="449">
        <v>21906.963958720487</v>
      </c>
      <c r="AR30" s="449">
        <f t="shared" si="33"/>
        <v>-21906.963958720487</v>
      </c>
      <c r="AS30" s="450">
        <v>0</v>
      </c>
      <c r="AT30" s="449">
        <f t="shared" si="34"/>
        <v>0</v>
      </c>
      <c r="AU30" s="450">
        <v>40815.898352129036</v>
      </c>
      <c r="AV30" s="449">
        <f t="shared" si="35"/>
        <v>0</v>
      </c>
    </row>
    <row r="31" spans="1:48">
      <c r="A31" s="443" t="s">
        <v>53</v>
      </c>
      <c r="B31" s="449">
        <f t="shared" si="37"/>
        <v>0</v>
      </c>
      <c r="C31" s="449">
        <f t="shared" si="37"/>
        <v>0</v>
      </c>
      <c r="D31" s="449">
        <f t="shared" si="37"/>
        <v>1024</v>
      </c>
      <c r="E31" s="449">
        <f t="shared" si="37"/>
        <v>34761</v>
      </c>
      <c r="F31" s="449">
        <f t="shared" si="37"/>
        <v>0</v>
      </c>
      <c r="G31" s="449">
        <f t="shared" si="37"/>
        <v>48281</v>
      </c>
      <c r="H31" s="449">
        <f t="shared" si="37"/>
        <v>77454</v>
      </c>
      <c r="I31" s="449">
        <f t="shared" si="37"/>
        <v>0</v>
      </c>
      <c r="J31" s="449">
        <f t="shared" si="37"/>
        <v>185644</v>
      </c>
      <c r="K31" s="449">
        <f t="shared" si="37"/>
        <v>0</v>
      </c>
      <c r="L31" s="449">
        <f t="shared" si="37"/>
        <v>55892</v>
      </c>
      <c r="M31" s="449">
        <f t="shared" si="37"/>
        <v>6435</v>
      </c>
      <c r="N31" s="449">
        <f t="shared" si="37"/>
        <v>0</v>
      </c>
      <c r="O31" s="449">
        <f>O47+O127</f>
        <v>42559</v>
      </c>
      <c r="P31" s="449">
        <f t="shared" si="37"/>
        <v>0</v>
      </c>
      <c r="Q31" s="450">
        <f t="shared" si="37"/>
        <v>11406.794398999873</v>
      </c>
      <c r="R31" s="450">
        <f t="shared" si="37"/>
        <v>14210.312678379511</v>
      </c>
      <c r="S31" s="450">
        <f t="shared" si="37"/>
        <v>12738.152382689941</v>
      </c>
      <c r="T31" s="450">
        <f t="shared" si="37"/>
        <v>13377.665020868832</v>
      </c>
      <c r="U31" s="450">
        <f t="shared" si="37"/>
        <v>14177.19891582142</v>
      </c>
      <c r="V31" s="450">
        <f t="shared" si="37"/>
        <v>14537.022887054094</v>
      </c>
      <c r="W31" s="450">
        <f t="shared" si="37"/>
        <v>15026.561307535208</v>
      </c>
      <c r="X31" s="450">
        <f t="shared" si="37"/>
        <v>15038.891054107193</v>
      </c>
      <c r="Y31" s="450">
        <f t="shared" si="37"/>
        <v>15830.269213511056</v>
      </c>
      <c r="Z31" s="450">
        <f t="shared" si="37"/>
        <v>16198.364979671269</v>
      </c>
      <c r="AA31" s="450">
        <f t="shared" si="37"/>
        <v>16534.507964135886</v>
      </c>
      <c r="AB31" s="450">
        <f t="shared" si="37"/>
        <v>16957.024357124486</v>
      </c>
      <c r="AC31" s="450">
        <f t="shared" si="37"/>
        <v>17381.662653766776</v>
      </c>
      <c r="AD31" s="450">
        <f t="shared" si="37"/>
        <v>17866.480011746433</v>
      </c>
      <c r="AE31" s="450">
        <f t="shared" si="37"/>
        <v>18210.06453730453</v>
      </c>
      <c r="AF31" s="450">
        <f t="shared" si="37"/>
        <v>18639.255973388863</v>
      </c>
      <c r="AG31" s="450">
        <f t="shared" si="37"/>
        <v>19074.933710722922</v>
      </c>
      <c r="AK31" s="449">
        <v>236010.31826724907</v>
      </c>
      <c r="AL31" s="449">
        <f t="shared" si="36"/>
        <v>-236010.31826724907</v>
      </c>
      <c r="AM31" s="449">
        <v>1.6464656704197489E-6</v>
      </c>
      <c r="AN31" s="449">
        <f t="shared" si="31"/>
        <v>55891.999998353531</v>
      </c>
      <c r="AO31" s="450">
        <v>0</v>
      </c>
      <c r="AP31" s="449">
        <f t="shared" si="32"/>
        <v>0</v>
      </c>
      <c r="AQ31" s="450">
        <v>23109.060816016856</v>
      </c>
      <c r="AR31" s="449">
        <f t="shared" si="33"/>
        <v>19449.939183983144</v>
      </c>
      <c r="AS31" s="450">
        <v>10089.650045573533</v>
      </c>
      <c r="AT31" s="449">
        <f t="shared" si="34"/>
        <v>-10089.650045573533</v>
      </c>
      <c r="AU31" s="450">
        <v>11406.794398999873</v>
      </c>
      <c r="AV31" s="449">
        <f t="shared" si="35"/>
        <v>0</v>
      </c>
    </row>
    <row r="32" spans="1:48">
      <c r="A32" s="443" t="s">
        <v>54</v>
      </c>
      <c r="B32" s="449">
        <f t="shared" si="37"/>
        <v>0</v>
      </c>
      <c r="C32" s="449">
        <f t="shared" si="37"/>
        <v>0</v>
      </c>
      <c r="D32" s="449">
        <f t="shared" si="37"/>
        <v>0</v>
      </c>
      <c r="E32" s="449">
        <f t="shared" si="37"/>
        <v>34759</v>
      </c>
      <c r="F32" s="449">
        <f t="shared" si="37"/>
        <v>0</v>
      </c>
      <c r="G32" s="449">
        <f t="shared" si="37"/>
        <v>0</v>
      </c>
      <c r="H32" s="449">
        <f t="shared" si="37"/>
        <v>0</v>
      </c>
      <c r="I32" s="449">
        <f t="shared" si="37"/>
        <v>327278</v>
      </c>
      <c r="J32" s="449">
        <f t="shared" si="37"/>
        <v>217665</v>
      </c>
      <c r="K32" s="449">
        <f t="shared" si="37"/>
        <v>0</v>
      </c>
      <c r="L32" s="449">
        <f t="shared" si="37"/>
        <v>0</v>
      </c>
      <c r="M32" s="449">
        <f t="shared" si="37"/>
        <v>180745</v>
      </c>
      <c r="N32" s="449">
        <f t="shared" si="37"/>
        <v>33897</v>
      </c>
      <c r="O32" s="449">
        <f>O48+O128</f>
        <v>0</v>
      </c>
      <c r="P32" s="449">
        <f t="shared" si="37"/>
        <v>0</v>
      </c>
      <c r="Q32" s="450">
        <f t="shared" si="37"/>
        <v>-7432.1400545986071</v>
      </c>
      <c r="R32" s="450">
        <f t="shared" si="37"/>
        <v>33098.139219940291</v>
      </c>
      <c r="S32" s="450">
        <f t="shared" si="37"/>
        <v>29668.209210434787</v>
      </c>
      <c r="T32" s="450">
        <f t="shared" si="37"/>
        <v>31158.185265060241</v>
      </c>
      <c r="U32" s="450">
        <f t="shared" si="37"/>
        <v>33020.988730106954</v>
      </c>
      <c r="V32" s="450">
        <f t="shared" si="37"/>
        <v>33859.328848831778</v>
      </c>
      <c r="W32" s="450">
        <f t="shared" si="37"/>
        <v>34999.885705398541</v>
      </c>
      <c r="X32" s="450">
        <f t="shared" si="37"/>
        <v>35028.612310715012</v>
      </c>
      <c r="Y32" s="450">
        <f t="shared" si="37"/>
        <v>36872.414039204814</v>
      </c>
      <c r="Z32" s="450">
        <f t="shared" si="37"/>
        <v>37730.026296797645</v>
      </c>
      <c r="AA32" s="450">
        <f t="shared" si="37"/>
        <v>38513.192989497918</v>
      </c>
      <c r="AB32" s="450">
        <f t="shared" si="37"/>
        <v>39497.597785675986</v>
      </c>
      <c r="AC32" s="450">
        <f t="shared" si="37"/>
        <v>40486.946324081153</v>
      </c>
      <c r="AD32" s="450">
        <f t="shared" si="37"/>
        <v>41616.503757556573</v>
      </c>
      <c r="AE32" s="450">
        <f t="shared" si="37"/>
        <v>42417.008212447778</v>
      </c>
      <c r="AF32" s="450">
        <f t="shared" si="37"/>
        <v>43416.96493642596</v>
      </c>
      <c r="AG32" s="450">
        <f t="shared" si="37"/>
        <v>44432.033845790553</v>
      </c>
      <c r="AK32" s="449">
        <v>1086510.0447068694</v>
      </c>
      <c r="AL32" s="449">
        <f t="shared" si="36"/>
        <v>-1086510.0447068694</v>
      </c>
      <c r="AM32" s="449">
        <v>0.37136614530027146</v>
      </c>
      <c r="AN32" s="449">
        <f t="shared" si="31"/>
        <v>-0.37136614530027146</v>
      </c>
      <c r="AO32" s="450">
        <v>0</v>
      </c>
      <c r="AP32" s="449">
        <f t="shared" si="32"/>
        <v>33897</v>
      </c>
      <c r="AQ32" s="450">
        <v>61066.405850681593</v>
      </c>
      <c r="AR32" s="449">
        <f t="shared" si="33"/>
        <v>-61066.405850681593</v>
      </c>
      <c r="AS32" s="450">
        <v>1345.1499543787795</v>
      </c>
      <c r="AT32" s="449">
        <f t="shared" si="34"/>
        <v>-1345.1499543787795</v>
      </c>
      <c r="AU32" s="450">
        <v>19477.369829713345</v>
      </c>
      <c r="AV32" s="449">
        <f t="shared" si="35"/>
        <v>-26909.509884311952</v>
      </c>
    </row>
    <row r="33" spans="1:48" ht="12" thickBot="1">
      <c r="A33" s="443" t="s">
        <v>29</v>
      </c>
      <c r="B33" s="449">
        <f>SUM(B21:B32)</f>
        <v>0</v>
      </c>
      <c r="C33" s="449">
        <f t="shared" ref="C33:AD33" si="38">SUM(C21:C32)</f>
        <v>0</v>
      </c>
      <c r="D33" s="449">
        <f t="shared" si="38"/>
        <v>1024</v>
      </c>
      <c r="E33" s="449">
        <f t="shared" si="38"/>
        <v>232808</v>
      </c>
      <c r="F33" s="449">
        <f t="shared" si="38"/>
        <v>55657</v>
      </c>
      <c r="G33" s="449">
        <f t="shared" si="38"/>
        <v>275315</v>
      </c>
      <c r="H33" s="449">
        <f t="shared" si="38"/>
        <v>534429</v>
      </c>
      <c r="I33" s="449">
        <f t="shared" si="38"/>
        <v>1743705</v>
      </c>
      <c r="J33" s="449">
        <f t="shared" si="38"/>
        <v>2446620</v>
      </c>
      <c r="K33" s="449">
        <f t="shared" si="38"/>
        <v>1315943</v>
      </c>
      <c r="L33" s="449">
        <f t="shared" si="38"/>
        <v>55892</v>
      </c>
      <c r="M33" s="449">
        <f t="shared" si="38"/>
        <v>247518</v>
      </c>
      <c r="N33" s="449">
        <f t="shared" si="38"/>
        <v>236352</v>
      </c>
      <c r="O33" s="449">
        <f t="shared" si="38"/>
        <v>208643</v>
      </c>
      <c r="P33" s="449">
        <f t="shared" si="38"/>
        <v>227964</v>
      </c>
      <c r="Q33" s="450">
        <f t="shared" si="38"/>
        <v>217771.19999998811</v>
      </c>
      <c r="R33" s="450">
        <f t="shared" si="38"/>
        <v>271325.86666665971</v>
      </c>
      <c r="S33" s="450">
        <f t="shared" si="38"/>
        <v>243190.80444443412</v>
      </c>
      <c r="T33" s="450">
        <f t="shared" si="38"/>
        <v>255412.79407405853</v>
      </c>
      <c r="U33" s="450">
        <f t="shared" si="38"/>
        <v>270693.01590121537</v>
      </c>
      <c r="V33" s="450">
        <f t="shared" si="38"/>
        <v>277569.76013166457</v>
      </c>
      <c r="W33" s="450">
        <f t="shared" si="38"/>
        <v>286925.53066883609</v>
      </c>
      <c r="X33" s="450">
        <f t="shared" si="38"/>
        <v>287161.16953778453</v>
      </c>
      <c r="Y33" s="450">
        <f t="shared" si="38"/>
        <v>302285.52374114841</v>
      </c>
      <c r="Z33" s="450">
        <f t="shared" si="38"/>
        <v>309320.35365401767</v>
      </c>
      <c r="AA33" s="450">
        <f t="shared" si="38"/>
        <v>315744.52078525163</v>
      </c>
      <c r="AB33" s="450">
        <f t="shared" si="38"/>
        <v>323819.40572913364</v>
      </c>
      <c r="AC33" s="450">
        <f t="shared" si="38"/>
        <v>331934.84324837103</v>
      </c>
      <c r="AD33" s="450">
        <f t="shared" si="38"/>
        <v>341200.38761409733</v>
      </c>
      <c r="AE33" s="450">
        <f>SUM(AE21:AE32)</f>
        <v>347766.77310450561</v>
      </c>
      <c r="AF33" s="450">
        <f>SUM(AF21:AF32)</f>
        <v>355969.22754838318</v>
      </c>
      <c r="AG33" s="450">
        <f>SUM(AG21:AG32)</f>
        <v>364295.64436903957</v>
      </c>
      <c r="AK33" s="449">
        <v>3830654.1333334446</v>
      </c>
      <c r="AL33" s="449">
        <f t="shared" si="36"/>
        <v>-2514711.1333334446</v>
      </c>
      <c r="AM33" s="449">
        <v>55892.3713661453</v>
      </c>
      <c r="AN33" s="449">
        <f t="shared" si="31"/>
        <v>-0.37136614530027146</v>
      </c>
      <c r="AO33" s="450">
        <v>202455</v>
      </c>
      <c r="AP33" s="449">
        <f t="shared" si="32"/>
        <v>33897</v>
      </c>
      <c r="AQ33" s="450">
        <v>250259.46666669846</v>
      </c>
      <c r="AR33" s="449">
        <f t="shared" si="33"/>
        <v>-41616.466666698456</v>
      </c>
      <c r="AS33" s="450">
        <v>215624.79999995232</v>
      </c>
      <c r="AT33" s="449">
        <f t="shared" si="34"/>
        <v>12339.200000047684</v>
      </c>
      <c r="AU33" s="450">
        <v>217771.19999998808</v>
      </c>
      <c r="AV33" s="449">
        <f t="shared" si="35"/>
        <v>0</v>
      </c>
    </row>
    <row r="34" spans="1:48">
      <c r="A34" s="461"/>
      <c r="B34" s="461"/>
      <c r="C34" s="461"/>
      <c r="D34" s="461"/>
      <c r="E34" s="461"/>
      <c r="F34" s="461"/>
      <c r="G34" s="461"/>
      <c r="H34" s="461"/>
      <c r="I34" s="461"/>
      <c r="J34" s="461"/>
      <c r="K34" s="461"/>
      <c r="L34" s="461"/>
      <c r="M34" s="461"/>
      <c r="N34" s="461"/>
      <c r="O34" s="461"/>
      <c r="P34" s="461"/>
      <c r="Q34" s="461"/>
      <c r="R34" s="461"/>
      <c r="S34" s="461"/>
      <c r="T34" s="461"/>
      <c r="U34" s="461"/>
      <c r="V34" s="461"/>
      <c r="W34" s="461"/>
      <c r="X34" s="461"/>
      <c r="Y34" s="461"/>
      <c r="Z34" s="461"/>
      <c r="AA34" s="461"/>
      <c r="AB34" s="461"/>
      <c r="AC34" s="461"/>
      <c r="AD34" s="461"/>
      <c r="AE34" s="461"/>
      <c r="AF34" s="461"/>
      <c r="AG34" s="461"/>
      <c r="AP34" s="450"/>
    </row>
    <row r="35" spans="1:48" ht="12" thickBot="1">
      <c r="A35" s="442" t="s">
        <v>543</v>
      </c>
      <c r="AP35" s="450"/>
    </row>
    <row r="36" spans="1:48" ht="12" thickBot="1">
      <c r="A36" s="459"/>
      <c r="B36" s="460">
        <f t="shared" ref="B36:K36" si="39">B2</f>
        <v>2010</v>
      </c>
      <c r="C36" s="460">
        <f t="shared" si="39"/>
        <v>2011</v>
      </c>
      <c r="D36" s="460">
        <f t="shared" si="39"/>
        <v>2012</v>
      </c>
      <c r="E36" s="460">
        <f t="shared" si="39"/>
        <v>2013</v>
      </c>
      <c r="F36" s="460">
        <f t="shared" si="39"/>
        <v>2014</v>
      </c>
      <c r="G36" s="460">
        <f t="shared" si="39"/>
        <v>2015</v>
      </c>
      <c r="H36" s="460">
        <f t="shared" si="39"/>
        <v>2016</v>
      </c>
      <c r="I36" s="460">
        <f t="shared" si="39"/>
        <v>2017</v>
      </c>
      <c r="J36" s="460">
        <f t="shared" si="39"/>
        <v>2018</v>
      </c>
      <c r="K36" s="460">
        <f t="shared" si="39"/>
        <v>2019</v>
      </c>
      <c r="L36" s="460">
        <f>L2</f>
        <v>2020</v>
      </c>
      <c r="M36" s="460">
        <f>M2</f>
        <v>2021</v>
      </c>
      <c r="N36" s="460">
        <f t="shared" ref="N36:AD36" si="40">N2</f>
        <v>2022</v>
      </c>
      <c r="O36" s="460">
        <f t="shared" si="40"/>
        <v>2023</v>
      </c>
      <c r="P36" s="460">
        <f t="shared" si="40"/>
        <v>2024</v>
      </c>
      <c r="Q36" s="460">
        <f t="shared" si="40"/>
        <v>2025</v>
      </c>
      <c r="R36" s="460">
        <f t="shared" si="40"/>
        <v>2026</v>
      </c>
      <c r="S36" s="460">
        <f t="shared" si="40"/>
        <v>2027</v>
      </c>
      <c r="T36" s="460">
        <f t="shared" si="40"/>
        <v>2028</v>
      </c>
      <c r="U36" s="460">
        <f t="shared" si="40"/>
        <v>2029</v>
      </c>
      <c r="V36" s="460">
        <f t="shared" si="40"/>
        <v>2030</v>
      </c>
      <c r="W36" s="460">
        <f t="shared" si="40"/>
        <v>2031</v>
      </c>
      <c r="X36" s="460">
        <f t="shared" si="40"/>
        <v>2032</v>
      </c>
      <c r="Y36" s="460">
        <f t="shared" si="40"/>
        <v>2033</v>
      </c>
      <c r="Z36" s="460">
        <f t="shared" si="40"/>
        <v>2034</v>
      </c>
      <c r="AA36" s="460">
        <f t="shared" si="40"/>
        <v>2035</v>
      </c>
      <c r="AB36" s="460">
        <f t="shared" si="40"/>
        <v>2036</v>
      </c>
      <c r="AC36" s="460">
        <f t="shared" si="40"/>
        <v>2037</v>
      </c>
      <c r="AD36" s="460">
        <f t="shared" si="40"/>
        <v>2038</v>
      </c>
      <c r="AE36" s="460">
        <f>AE2</f>
        <v>2039</v>
      </c>
      <c r="AF36" s="460">
        <f>AF2</f>
        <v>2040</v>
      </c>
      <c r="AG36" s="460">
        <f>AG2</f>
        <v>2041</v>
      </c>
      <c r="AP36" s="450"/>
    </row>
    <row r="37" spans="1:48">
      <c r="A37" s="443" t="s">
        <v>43</v>
      </c>
      <c r="B37" s="449">
        <f t="shared" ref="B37:AG44" si="41">B53+B101</f>
        <v>0</v>
      </c>
      <c r="C37" s="449">
        <f t="shared" si="41"/>
        <v>0</v>
      </c>
      <c r="D37" s="449">
        <f t="shared" si="41"/>
        <v>0</v>
      </c>
      <c r="E37" s="449">
        <f t="shared" si="41"/>
        <v>0</v>
      </c>
      <c r="F37" s="449">
        <f t="shared" si="41"/>
        <v>0</v>
      </c>
      <c r="G37" s="449">
        <f t="shared" si="41"/>
        <v>0</v>
      </c>
      <c r="H37" s="449">
        <f t="shared" si="41"/>
        <v>0</v>
      </c>
      <c r="I37" s="449">
        <f t="shared" si="41"/>
        <v>0</v>
      </c>
      <c r="J37" s="449">
        <f t="shared" si="41"/>
        <v>0</v>
      </c>
      <c r="K37" s="449">
        <f t="shared" si="41"/>
        <v>0</v>
      </c>
      <c r="L37" s="449">
        <f t="shared" si="41"/>
        <v>0</v>
      </c>
      <c r="M37" s="449">
        <f t="shared" si="41"/>
        <v>0</v>
      </c>
      <c r="N37" s="449">
        <f t="shared" si="41"/>
        <v>0</v>
      </c>
      <c r="O37" s="449">
        <f t="shared" si="41"/>
        <v>0</v>
      </c>
      <c r="P37" s="449">
        <f t="shared" si="41"/>
        <v>0</v>
      </c>
      <c r="Q37" s="449">
        <f t="shared" si="41"/>
        <v>0</v>
      </c>
      <c r="R37" s="450">
        <f t="shared" si="41"/>
        <v>0</v>
      </c>
      <c r="S37" s="450">
        <f t="shared" si="41"/>
        <v>0</v>
      </c>
      <c r="T37" s="450">
        <f t="shared" si="41"/>
        <v>0</v>
      </c>
      <c r="U37" s="450">
        <f t="shared" si="41"/>
        <v>0</v>
      </c>
      <c r="V37" s="450">
        <f t="shared" si="41"/>
        <v>0</v>
      </c>
      <c r="W37" s="450">
        <f t="shared" si="41"/>
        <v>0</v>
      </c>
      <c r="X37" s="450">
        <f t="shared" si="41"/>
        <v>0</v>
      </c>
      <c r="Y37" s="450">
        <f t="shared" si="41"/>
        <v>0</v>
      </c>
      <c r="Z37" s="450">
        <f t="shared" si="41"/>
        <v>0</v>
      </c>
      <c r="AA37" s="450">
        <f t="shared" si="41"/>
        <v>0</v>
      </c>
      <c r="AB37" s="450">
        <f t="shared" si="41"/>
        <v>0</v>
      </c>
      <c r="AC37" s="450">
        <f t="shared" si="41"/>
        <v>0</v>
      </c>
      <c r="AD37" s="450">
        <f t="shared" si="41"/>
        <v>0</v>
      </c>
      <c r="AE37" s="450">
        <f t="shared" si="41"/>
        <v>0</v>
      </c>
      <c r="AF37" s="450">
        <f t="shared" si="41"/>
        <v>0</v>
      </c>
      <c r="AG37" s="450">
        <f t="shared" si="41"/>
        <v>0</v>
      </c>
      <c r="AM37" s="449">
        <v>0</v>
      </c>
      <c r="AN37" s="449">
        <f t="shared" ref="AN37:AN49" si="42">L37-AM37</f>
        <v>0</v>
      </c>
      <c r="AO37" s="449">
        <v>0</v>
      </c>
      <c r="AP37" s="449">
        <f t="shared" ref="AP37:AP49" si="43">N37-AO37</f>
        <v>0</v>
      </c>
      <c r="AQ37" s="449">
        <v>0</v>
      </c>
      <c r="AR37" s="449">
        <f t="shared" ref="AR37:AR49" si="44">O37-AQ37</f>
        <v>0</v>
      </c>
      <c r="AS37" s="449">
        <v>0</v>
      </c>
      <c r="AT37" s="449">
        <f t="shared" ref="AT37:AT49" si="45">P37-AS37</f>
        <v>0</v>
      </c>
      <c r="AU37" s="449">
        <v>0</v>
      </c>
      <c r="AV37" s="449">
        <f>Q37-AU37</f>
        <v>0</v>
      </c>
    </row>
    <row r="38" spans="1:48">
      <c r="A38" s="443" t="s">
        <v>44</v>
      </c>
      <c r="B38" s="449">
        <f t="shared" si="41"/>
        <v>0</v>
      </c>
      <c r="C38" s="449">
        <f t="shared" si="41"/>
        <v>0</v>
      </c>
      <c r="D38" s="449">
        <f t="shared" si="41"/>
        <v>0</v>
      </c>
      <c r="E38" s="449">
        <f t="shared" si="41"/>
        <v>0</v>
      </c>
      <c r="F38" s="449">
        <f t="shared" si="41"/>
        <v>0</v>
      </c>
      <c r="G38" s="449">
        <f t="shared" si="41"/>
        <v>0</v>
      </c>
      <c r="H38" s="449">
        <f t="shared" si="41"/>
        <v>0</v>
      </c>
      <c r="I38" s="449">
        <f t="shared" si="41"/>
        <v>0</v>
      </c>
      <c r="J38" s="449">
        <f t="shared" si="41"/>
        <v>0</v>
      </c>
      <c r="K38" s="449">
        <f t="shared" si="41"/>
        <v>0</v>
      </c>
      <c r="L38" s="449">
        <f t="shared" si="41"/>
        <v>0</v>
      </c>
      <c r="M38" s="449">
        <f t="shared" si="41"/>
        <v>0</v>
      </c>
      <c r="N38" s="449">
        <f t="shared" si="41"/>
        <v>0</v>
      </c>
      <c r="O38" s="449">
        <f t="shared" si="41"/>
        <v>0</v>
      </c>
      <c r="P38" s="449">
        <f t="shared" si="41"/>
        <v>0</v>
      </c>
      <c r="Q38" s="449">
        <f t="shared" si="41"/>
        <v>0</v>
      </c>
      <c r="R38" s="450">
        <f t="shared" si="41"/>
        <v>0</v>
      </c>
      <c r="S38" s="450">
        <f t="shared" si="41"/>
        <v>0</v>
      </c>
      <c r="T38" s="450">
        <f t="shared" si="41"/>
        <v>0</v>
      </c>
      <c r="U38" s="450">
        <f t="shared" si="41"/>
        <v>0</v>
      </c>
      <c r="V38" s="450">
        <f t="shared" si="41"/>
        <v>0</v>
      </c>
      <c r="W38" s="450">
        <f t="shared" si="41"/>
        <v>0</v>
      </c>
      <c r="X38" s="450">
        <f t="shared" si="41"/>
        <v>0</v>
      </c>
      <c r="Y38" s="450">
        <f t="shared" si="41"/>
        <v>0</v>
      </c>
      <c r="Z38" s="450">
        <f t="shared" si="41"/>
        <v>0</v>
      </c>
      <c r="AA38" s="450">
        <f t="shared" si="41"/>
        <v>0</v>
      </c>
      <c r="AB38" s="450">
        <f t="shared" si="41"/>
        <v>0</v>
      </c>
      <c r="AC38" s="450">
        <f t="shared" si="41"/>
        <v>0</v>
      </c>
      <c r="AD38" s="450">
        <f t="shared" si="41"/>
        <v>0</v>
      </c>
      <c r="AE38" s="450">
        <f t="shared" si="41"/>
        <v>0</v>
      </c>
      <c r="AF38" s="450">
        <f t="shared" si="41"/>
        <v>0</v>
      </c>
      <c r="AG38" s="450">
        <f t="shared" si="41"/>
        <v>0</v>
      </c>
      <c r="AM38" s="449">
        <v>0</v>
      </c>
      <c r="AN38" s="449">
        <f t="shared" si="42"/>
        <v>0</v>
      </c>
      <c r="AO38" s="449">
        <v>0</v>
      </c>
      <c r="AP38" s="449">
        <f t="shared" si="43"/>
        <v>0</v>
      </c>
      <c r="AQ38" s="449">
        <v>0</v>
      </c>
      <c r="AR38" s="449">
        <f t="shared" si="44"/>
        <v>0</v>
      </c>
      <c r="AS38" s="449">
        <v>0</v>
      </c>
      <c r="AT38" s="449">
        <f t="shared" si="45"/>
        <v>0</v>
      </c>
      <c r="AU38" s="449">
        <v>0</v>
      </c>
      <c r="AV38" s="449">
        <f t="shared" ref="AV38:AV49" si="46">Q38-AU38</f>
        <v>0</v>
      </c>
    </row>
    <row r="39" spans="1:48">
      <c r="A39" s="443" t="s">
        <v>45</v>
      </c>
      <c r="B39" s="449">
        <f t="shared" si="41"/>
        <v>0</v>
      </c>
      <c r="C39" s="449">
        <f t="shared" si="41"/>
        <v>0</v>
      </c>
      <c r="D39" s="449">
        <f t="shared" si="41"/>
        <v>0</v>
      </c>
      <c r="E39" s="449">
        <f t="shared" si="41"/>
        <v>9802</v>
      </c>
      <c r="F39" s="449">
        <f t="shared" si="41"/>
        <v>0</v>
      </c>
      <c r="G39" s="449">
        <f t="shared" si="41"/>
        <v>0</v>
      </c>
      <c r="H39" s="449">
        <f t="shared" si="41"/>
        <v>0</v>
      </c>
      <c r="I39" s="449">
        <f t="shared" si="41"/>
        <v>0</v>
      </c>
      <c r="J39" s="449">
        <f t="shared" si="41"/>
        <v>4291</v>
      </c>
      <c r="K39" s="449">
        <f t="shared" si="41"/>
        <v>0</v>
      </c>
      <c r="L39" s="449">
        <f t="shared" si="41"/>
        <v>0</v>
      </c>
      <c r="M39" s="449">
        <f t="shared" si="41"/>
        <v>0</v>
      </c>
      <c r="N39" s="449">
        <f t="shared" si="41"/>
        <v>0</v>
      </c>
      <c r="O39" s="449">
        <f t="shared" si="41"/>
        <v>0</v>
      </c>
      <c r="P39" s="449">
        <f t="shared" si="41"/>
        <v>0</v>
      </c>
      <c r="Q39" s="449">
        <f t="shared" si="41"/>
        <v>0</v>
      </c>
      <c r="R39" s="449">
        <f>R55+R103</f>
        <v>26.769538370543074</v>
      </c>
      <c r="S39" s="449">
        <f t="shared" si="41"/>
        <v>7.6550161062310789</v>
      </c>
      <c r="T39" s="449">
        <f t="shared" si="41"/>
        <v>15.958445153034464</v>
      </c>
      <c r="U39" s="449">
        <f t="shared" si="41"/>
        <v>26.33958943525418</v>
      </c>
      <c r="V39" s="449">
        <f t="shared" si="41"/>
        <v>31.011542163186444</v>
      </c>
      <c r="W39" s="449">
        <f t="shared" si="41"/>
        <v>37.367706682027716</v>
      </c>
      <c r="X39" s="449">
        <f t="shared" si="41"/>
        <v>37.527796052770981</v>
      </c>
      <c r="Y39" s="449">
        <f t="shared" si="41"/>
        <v>47.803046303480542</v>
      </c>
      <c r="Z39" s="449">
        <f t="shared" si="41"/>
        <v>52.582399977306757</v>
      </c>
      <c r="AA39" s="449">
        <f t="shared" si="41"/>
        <v>56.946878885840619</v>
      </c>
      <c r="AB39" s="449">
        <f t="shared" si="41"/>
        <v>62.432829719103268</v>
      </c>
      <c r="AC39" s="449">
        <f t="shared" si="41"/>
        <v>67.946331339277435</v>
      </c>
      <c r="AD39" s="449">
        <f t="shared" si="41"/>
        <v>74.241197605092452</v>
      </c>
      <c r="AE39" s="449">
        <f t="shared" si="41"/>
        <v>78.702297447754759</v>
      </c>
      <c r="AF39" s="449">
        <f t="shared" si="41"/>
        <v>84.274917008741355</v>
      </c>
      <c r="AG39" s="449">
        <f t="shared" si="41"/>
        <v>89.931754674271957</v>
      </c>
      <c r="AM39" s="449">
        <v>0.16820696508772101</v>
      </c>
      <c r="AN39" s="449">
        <f t="shared" si="42"/>
        <v>-0.16820696508772101</v>
      </c>
      <c r="AO39" s="449">
        <v>0.28340751123010399</v>
      </c>
      <c r="AP39" s="449">
        <f t="shared" si="43"/>
        <v>-0.28340751123010399</v>
      </c>
      <c r="AQ39" s="449">
        <v>0.2850335377867339</v>
      </c>
      <c r="AR39" s="449">
        <f t="shared" si="44"/>
        <v>-0.2850335377867339</v>
      </c>
      <c r="AS39" s="449">
        <v>0</v>
      </c>
      <c r="AT39" s="449">
        <f t="shared" si="45"/>
        <v>0</v>
      </c>
      <c r="AU39" s="449">
        <v>5.6436063443365336</v>
      </c>
      <c r="AV39" s="449">
        <f t="shared" si="46"/>
        <v>-5.6436063443365336</v>
      </c>
    </row>
    <row r="40" spans="1:48">
      <c r="A40" s="443" t="s">
        <v>46</v>
      </c>
      <c r="B40" s="449">
        <f t="shared" si="41"/>
        <v>0</v>
      </c>
      <c r="C40" s="449">
        <f t="shared" si="41"/>
        <v>0</v>
      </c>
      <c r="D40" s="449">
        <f t="shared" si="41"/>
        <v>0</v>
      </c>
      <c r="E40" s="449">
        <f t="shared" si="41"/>
        <v>0</v>
      </c>
      <c r="F40" s="449">
        <f t="shared" si="41"/>
        <v>5211</v>
      </c>
      <c r="G40" s="449">
        <f t="shared" si="41"/>
        <v>0</v>
      </c>
      <c r="H40" s="449">
        <f t="shared" si="41"/>
        <v>0</v>
      </c>
      <c r="I40" s="449">
        <f t="shared" si="41"/>
        <v>0</v>
      </c>
      <c r="J40" s="449">
        <f t="shared" si="41"/>
        <v>2329</v>
      </c>
      <c r="K40" s="449">
        <f t="shared" si="41"/>
        <v>0</v>
      </c>
      <c r="L40" s="449">
        <f t="shared" si="41"/>
        <v>0</v>
      </c>
      <c r="M40" s="449">
        <f t="shared" si="41"/>
        <v>0</v>
      </c>
      <c r="N40" s="449">
        <f t="shared" si="41"/>
        <v>0</v>
      </c>
      <c r="O40" s="449">
        <f t="shared" si="41"/>
        <v>0</v>
      </c>
      <c r="P40" s="449">
        <f t="shared" si="41"/>
        <v>0</v>
      </c>
      <c r="Q40" s="450">
        <f t="shared" si="41"/>
        <v>3.0631459277463966</v>
      </c>
      <c r="R40" s="450">
        <f t="shared" si="41"/>
        <v>14.529539702865257</v>
      </c>
      <c r="S40" s="450">
        <f t="shared" si="41"/>
        <v>4.1548665838760623</v>
      </c>
      <c r="T40" s="450">
        <f t="shared" si="41"/>
        <v>8.6616683200692766</v>
      </c>
      <c r="U40" s="450">
        <f t="shared" si="41"/>
        <v>14.296178931416216</v>
      </c>
      <c r="V40" s="450">
        <f t="shared" si="41"/>
        <v>16.831946329075095</v>
      </c>
      <c r="W40" s="450">
        <f t="shared" si="41"/>
        <v>20.281843128045338</v>
      </c>
      <c r="X40" s="450">
        <f t="shared" si="41"/>
        <v>20.368733863179589</v>
      </c>
      <c r="Y40" s="450">
        <f t="shared" si="41"/>
        <v>25.94576901440368</v>
      </c>
      <c r="Z40" s="450">
        <f t="shared" si="41"/>
        <v>28.539829770950231</v>
      </c>
      <c r="AA40" s="450">
        <f t="shared" si="41"/>
        <v>30.908711471713541</v>
      </c>
      <c r="AB40" s="450">
        <f t="shared" si="41"/>
        <v>33.886287675551507</v>
      </c>
      <c r="AC40" s="450">
        <f t="shared" si="41"/>
        <v>36.878817452616445</v>
      </c>
      <c r="AD40" s="450">
        <f t="shared" si="41"/>
        <v>40.295443771209584</v>
      </c>
      <c r="AE40" s="450">
        <f t="shared" si="41"/>
        <v>42.716767829368642</v>
      </c>
      <c r="AF40" s="450">
        <f t="shared" si="41"/>
        <v>45.741384691996878</v>
      </c>
      <c r="AG40" s="450">
        <f t="shared" si="41"/>
        <v>48.811712103560808</v>
      </c>
      <c r="AM40" s="449">
        <v>9.1296672498089551E-2</v>
      </c>
      <c r="AN40" s="449">
        <f t="shared" si="42"/>
        <v>-9.1296672498089551E-2</v>
      </c>
      <c r="AO40" s="449">
        <v>0.15382396548280847</v>
      </c>
      <c r="AP40" s="449">
        <f t="shared" si="43"/>
        <v>-0.15382396548280847</v>
      </c>
      <c r="AQ40" s="449">
        <v>0.15470592158128718</v>
      </c>
      <c r="AR40" s="449">
        <f t="shared" si="44"/>
        <v>-0.15470592158128718</v>
      </c>
      <c r="AS40" s="449">
        <v>0</v>
      </c>
      <c r="AT40" s="449">
        <f t="shared" si="45"/>
        <v>0</v>
      </c>
      <c r="AU40" s="449">
        <v>3.0631459277463966</v>
      </c>
      <c r="AV40" s="449">
        <f t="shared" si="46"/>
        <v>0</v>
      </c>
    </row>
    <row r="41" spans="1:48">
      <c r="A41" s="443" t="s">
        <v>47</v>
      </c>
      <c r="B41" s="449">
        <f t="shared" si="41"/>
        <v>0</v>
      </c>
      <c r="C41" s="449">
        <f t="shared" si="41"/>
        <v>0</v>
      </c>
      <c r="D41" s="449">
        <f t="shared" si="41"/>
        <v>0</v>
      </c>
      <c r="E41" s="449">
        <f t="shared" si="41"/>
        <v>0</v>
      </c>
      <c r="F41" s="449">
        <f t="shared" si="41"/>
        <v>0</v>
      </c>
      <c r="G41" s="449">
        <f t="shared" si="41"/>
        <v>0</v>
      </c>
      <c r="H41" s="449">
        <f t="shared" si="41"/>
        <v>0</v>
      </c>
      <c r="I41" s="449">
        <f t="shared" si="41"/>
        <v>0</v>
      </c>
      <c r="J41" s="449">
        <f t="shared" si="41"/>
        <v>0</v>
      </c>
      <c r="K41" s="449">
        <f t="shared" si="41"/>
        <v>0</v>
      </c>
      <c r="L41" s="449">
        <f t="shared" si="41"/>
        <v>0</v>
      </c>
      <c r="M41" s="449">
        <f t="shared" si="41"/>
        <v>0</v>
      </c>
      <c r="N41" s="449">
        <f t="shared" si="41"/>
        <v>0</v>
      </c>
      <c r="O41" s="449">
        <f t="shared" si="41"/>
        <v>0</v>
      </c>
      <c r="P41" s="449">
        <f t="shared" si="41"/>
        <v>0</v>
      </c>
      <c r="Q41" s="450">
        <f t="shared" si="41"/>
        <v>0</v>
      </c>
      <c r="R41" s="450">
        <f t="shared" si="41"/>
        <v>0</v>
      </c>
      <c r="S41" s="450">
        <f t="shared" si="41"/>
        <v>0</v>
      </c>
      <c r="T41" s="450">
        <f t="shared" si="41"/>
        <v>0</v>
      </c>
      <c r="U41" s="450">
        <f t="shared" si="41"/>
        <v>0</v>
      </c>
      <c r="V41" s="450">
        <f t="shared" si="41"/>
        <v>0</v>
      </c>
      <c r="W41" s="450">
        <f t="shared" si="41"/>
        <v>0</v>
      </c>
      <c r="X41" s="450">
        <f t="shared" si="41"/>
        <v>0</v>
      </c>
      <c r="Y41" s="450">
        <f t="shared" si="41"/>
        <v>0</v>
      </c>
      <c r="Z41" s="450">
        <f t="shared" si="41"/>
        <v>0</v>
      </c>
      <c r="AA41" s="450">
        <f t="shared" si="41"/>
        <v>0</v>
      </c>
      <c r="AB41" s="450">
        <f t="shared" si="41"/>
        <v>0</v>
      </c>
      <c r="AC41" s="450">
        <f t="shared" si="41"/>
        <v>0</v>
      </c>
      <c r="AD41" s="450">
        <f t="shared" si="41"/>
        <v>0</v>
      </c>
      <c r="AE41" s="450">
        <f t="shared" si="41"/>
        <v>0</v>
      </c>
      <c r="AF41" s="450">
        <f t="shared" si="41"/>
        <v>0</v>
      </c>
      <c r="AG41" s="450">
        <f t="shared" si="41"/>
        <v>0</v>
      </c>
      <c r="AM41" s="449">
        <v>0</v>
      </c>
      <c r="AN41" s="449">
        <f t="shared" si="42"/>
        <v>0</v>
      </c>
      <c r="AO41" s="449">
        <v>0</v>
      </c>
      <c r="AP41" s="449">
        <f t="shared" si="43"/>
        <v>0</v>
      </c>
      <c r="AQ41" s="449">
        <v>0</v>
      </c>
      <c r="AR41" s="449">
        <f t="shared" si="44"/>
        <v>0</v>
      </c>
      <c r="AS41" s="450">
        <v>0</v>
      </c>
      <c r="AT41" s="449">
        <f t="shared" si="45"/>
        <v>0</v>
      </c>
      <c r="AU41" s="450">
        <v>0</v>
      </c>
      <c r="AV41" s="449">
        <f t="shared" si="46"/>
        <v>0</v>
      </c>
    </row>
    <row r="42" spans="1:48">
      <c r="A42" s="443" t="s">
        <v>48</v>
      </c>
      <c r="B42" s="449">
        <f t="shared" si="41"/>
        <v>0</v>
      </c>
      <c r="C42" s="449">
        <f t="shared" si="41"/>
        <v>0</v>
      </c>
      <c r="D42" s="449">
        <f t="shared" si="41"/>
        <v>0</v>
      </c>
      <c r="E42" s="449">
        <f t="shared" si="41"/>
        <v>19251</v>
      </c>
      <c r="F42" s="449">
        <f t="shared" si="41"/>
        <v>0</v>
      </c>
      <c r="G42" s="449">
        <f t="shared" si="41"/>
        <v>0</v>
      </c>
      <c r="H42" s="449">
        <f t="shared" si="41"/>
        <v>0</v>
      </c>
      <c r="I42" s="449">
        <f t="shared" si="41"/>
        <v>0</v>
      </c>
      <c r="J42" s="449">
        <f t="shared" si="41"/>
        <v>0</v>
      </c>
      <c r="K42" s="449">
        <f t="shared" si="41"/>
        <v>0</v>
      </c>
      <c r="L42" s="449">
        <f t="shared" si="41"/>
        <v>0</v>
      </c>
      <c r="M42" s="449">
        <f t="shared" si="41"/>
        <v>0</v>
      </c>
      <c r="N42" s="449">
        <f t="shared" si="41"/>
        <v>0</v>
      </c>
      <c r="O42" s="449">
        <f t="shared" si="41"/>
        <v>0</v>
      </c>
      <c r="P42" s="449">
        <f t="shared" si="41"/>
        <v>0</v>
      </c>
      <c r="Q42" s="450">
        <f t="shared" si="41"/>
        <v>0</v>
      </c>
      <c r="R42" s="450">
        <f t="shared" si="41"/>
        <v>0</v>
      </c>
      <c r="S42" s="450">
        <f t="shared" si="41"/>
        <v>0</v>
      </c>
      <c r="T42" s="450">
        <f t="shared" si="41"/>
        <v>0</v>
      </c>
      <c r="U42" s="450">
        <f t="shared" si="41"/>
        <v>0</v>
      </c>
      <c r="V42" s="450">
        <f t="shared" si="41"/>
        <v>0</v>
      </c>
      <c r="W42" s="450">
        <f t="shared" si="41"/>
        <v>0</v>
      </c>
      <c r="X42" s="450">
        <f t="shared" si="41"/>
        <v>0</v>
      </c>
      <c r="Y42" s="450">
        <f t="shared" si="41"/>
        <v>0</v>
      </c>
      <c r="Z42" s="450">
        <f t="shared" si="41"/>
        <v>0</v>
      </c>
      <c r="AA42" s="450">
        <f t="shared" si="41"/>
        <v>0</v>
      </c>
      <c r="AB42" s="450">
        <f t="shared" si="41"/>
        <v>0</v>
      </c>
      <c r="AC42" s="450">
        <f t="shared" si="41"/>
        <v>0</v>
      </c>
      <c r="AD42" s="450">
        <f t="shared" si="41"/>
        <v>0</v>
      </c>
      <c r="AE42" s="450">
        <f t="shared" si="41"/>
        <v>0</v>
      </c>
      <c r="AF42" s="450">
        <f t="shared" si="41"/>
        <v>0</v>
      </c>
      <c r="AG42" s="450">
        <f t="shared" si="41"/>
        <v>0</v>
      </c>
      <c r="AM42" s="449">
        <v>0</v>
      </c>
      <c r="AN42" s="449">
        <f t="shared" si="42"/>
        <v>0</v>
      </c>
      <c r="AO42" s="449">
        <v>0</v>
      </c>
      <c r="AP42" s="449">
        <f t="shared" si="43"/>
        <v>0</v>
      </c>
      <c r="AQ42" s="449">
        <v>0</v>
      </c>
      <c r="AR42" s="449">
        <f t="shared" si="44"/>
        <v>0</v>
      </c>
      <c r="AS42" s="450">
        <v>0</v>
      </c>
      <c r="AT42" s="449">
        <f t="shared" si="45"/>
        <v>0</v>
      </c>
      <c r="AU42" s="450">
        <v>0</v>
      </c>
      <c r="AV42" s="449">
        <f t="shared" si="46"/>
        <v>0</v>
      </c>
    </row>
    <row r="43" spans="1:48">
      <c r="A43" s="443" t="s">
        <v>49</v>
      </c>
      <c r="B43" s="449">
        <f t="shared" si="41"/>
        <v>0</v>
      </c>
      <c r="C43" s="449">
        <f t="shared" si="41"/>
        <v>0</v>
      </c>
      <c r="D43" s="449">
        <f t="shared" si="41"/>
        <v>0</v>
      </c>
      <c r="E43" s="449">
        <f t="shared" si="41"/>
        <v>26031</v>
      </c>
      <c r="F43" s="449">
        <f t="shared" si="41"/>
        <v>0</v>
      </c>
      <c r="G43" s="449">
        <f t="shared" si="41"/>
        <v>0</v>
      </c>
      <c r="H43" s="449">
        <f t="shared" si="41"/>
        <v>0</v>
      </c>
      <c r="I43" s="449">
        <f t="shared" si="41"/>
        <v>0</v>
      </c>
      <c r="J43" s="449">
        <f t="shared" si="41"/>
        <v>0</v>
      </c>
      <c r="K43" s="449">
        <f t="shared" si="41"/>
        <v>0</v>
      </c>
      <c r="L43" s="449">
        <f t="shared" si="41"/>
        <v>0</v>
      </c>
      <c r="M43" s="449">
        <f t="shared" si="41"/>
        <v>0</v>
      </c>
      <c r="N43" s="449">
        <f t="shared" si="41"/>
        <v>0</v>
      </c>
      <c r="O43" s="449">
        <f t="shared" si="41"/>
        <v>0</v>
      </c>
      <c r="P43" s="449">
        <f t="shared" si="41"/>
        <v>0</v>
      </c>
      <c r="Q43" s="450">
        <f t="shared" si="41"/>
        <v>0</v>
      </c>
      <c r="R43" s="450">
        <f t="shared" si="41"/>
        <v>0</v>
      </c>
      <c r="S43" s="450">
        <f t="shared" si="41"/>
        <v>0</v>
      </c>
      <c r="T43" s="450">
        <f t="shared" si="41"/>
        <v>0</v>
      </c>
      <c r="U43" s="450">
        <f t="shared" si="41"/>
        <v>0</v>
      </c>
      <c r="V43" s="450">
        <f t="shared" si="41"/>
        <v>0</v>
      </c>
      <c r="W43" s="450">
        <f t="shared" si="41"/>
        <v>0</v>
      </c>
      <c r="X43" s="450">
        <f t="shared" si="41"/>
        <v>0</v>
      </c>
      <c r="Y43" s="450">
        <f t="shared" si="41"/>
        <v>0</v>
      </c>
      <c r="Z43" s="450">
        <f t="shared" si="41"/>
        <v>0</v>
      </c>
      <c r="AA43" s="450">
        <f t="shared" si="41"/>
        <v>0</v>
      </c>
      <c r="AB43" s="450">
        <f t="shared" si="41"/>
        <v>0</v>
      </c>
      <c r="AC43" s="450">
        <f t="shared" si="41"/>
        <v>0</v>
      </c>
      <c r="AD43" s="450">
        <f t="shared" si="41"/>
        <v>0</v>
      </c>
      <c r="AE43" s="450">
        <f t="shared" si="41"/>
        <v>0</v>
      </c>
      <c r="AF43" s="450">
        <f t="shared" si="41"/>
        <v>0</v>
      </c>
      <c r="AG43" s="450">
        <f t="shared" si="41"/>
        <v>0</v>
      </c>
      <c r="AK43" s="449">
        <v>0</v>
      </c>
      <c r="AL43" s="449">
        <f t="shared" ref="AL43:AL49" si="47">K43-AK43</f>
        <v>0</v>
      </c>
      <c r="AM43" s="449">
        <v>0</v>
      </c>
      <c r="AN43" s="449">
        <f t="shared" si="42"/>
        <v>0</v>
      </c>
      <c r="AO43" s="449">
        <v>0</v>
      </c>
      <c r="AP43" s="449">
        <f t="shared" si="43"/>
        <v>0</v>
      </c>
      <c r="AQ43" s="449">
        <v>0</v>
      </c>
      <c r="AR43" s="449">
        <f t="shared" si="44"/>
        <v>0</v>
      </c>
      <c r="AS43" s="450">
        <v>0</v>
      </c>
      <c r="AT43" s="449">
        <f t="shared" si="45"/>
        <v>0</v>
      </c>
      <c r="AU43" s="450">
        <v>0</v>
      </c>
      <c r="AV43" s="449">
        <f t="shared" si="46"/>
        <v>0</v>
      </c>
    </row>
    <row r="44" spans="1:48">
      <c r="A44" s="443" t="s">
        <v>50</v>
      </c>
      <c r="B44" s="449">
        <f t="shared" si="41"/>
        <v>0</v>
      </c>
      <c r="C44" s="449">
        <f t="shared" si="41"/>
        <v>0</v>
      </c>
      <c r="D44" s="449">
        <f t="shared" si="41"/>
        <v>0</v>
      </c>
      <c r="E44" s="449">
        <f t="shared" si="41"/>
        <v>0</v>
      </c>
      <c r="F44" s="449">
        <f t="shared" si="41"/>
        <v>0</v>
      </c>
      <c r="G44" s="449">
        <f t="shared" si="41"/>
        <v>0</v>
      </c>
      <c r="H44" s="449">
        <f t="shared" si="41"/>
        <v>0</v>
      </c>
      <c r="I44" s="449">
        <f t="shared" si="41"/>
        <v>0</v>
      </c>
      <c r="J44" s="449">
        <f t="shared" si="41"/>
        <v>0</v>
      </c>
      <c r="K44" s="449">
        <f t="shared" si="41"/>
        <v>0</v>
      </c>
      <c r="L44" s="449">
        <f t="shared" si="41"/>
        <v>0</v>
      </c>
      <c r="M44" s="449">
        <f t="shared" si="41"/>
        <v>0</v>
      </c>
      <c r="N44" s="449">
        <f t="shared" si="41"/>
        <v>0</v>
      </c>
      <c r="O44" s="449">
        <f t="shared" si="41"/>
        <v>0</v>
      </c>
      <c r="P44" s="449">
        <f t="shared" si="41"/>
        <v>0</v>
      </c>
      <c r="Q44" s="450">
        <f t="shared" si="41"/>
        <v>0</v>
      </c>
      <c r="R44" s="450">
        <f t="shared" si="41"/>
        <v>0</v>
      </c>
      <c r="S44" s="450">
        <f t="shared" si="41"/>
        <v>0</v>
      </c>
      <c r="T44" s="450">
        <f t="shared" si="41"/>
        <v>0</v>
      </c>
      <c r="U44" s="450">
        <f t="shared" si="41"/>
        <v>0</v>
      </c>
      <c r="V44" s="450">
        <f t="shared" si="41"/>
        <v>0</v>
      </c>
      <c r="W44" s="450">
        <f t="shared" si="41"/>
        <v>0</v>
      </c>
      <c r="X44" s="450">
        <f t="shared" si="41"/>
        <v>0</v>
      </c>
      <c r="Y44" s="450">
        <f t="shared" si="41"/>
        <v>0</v>
      </c>
      <c r="Z44" s="450">
        <f t="shared" si="41"/>
        <v>0</v>
      </c>
      <c r="AA44" s="450">
        <f t="shared" si="41"/>
        <v>0</v>
      </c>
      <c r="AB44" s="450">
        <f t="shared" si="41"/>
        <v>0</v>
      </c>
      <c r="AC44" s="450">
        <f t="shared" si="41"/>
        <v>0</v>
      </c>
      <c r="AD44" s="450">
        <f t="shared" si="41"/>
        <v>0</v>
      </c>
      <c r="AE44" s="450">
        <f t="shared" si="41"/>
        <v>0</v>
      </c>
      <c r="AF44" s="450">
        <f t="shared" si="41"/>
        <v>0</v>
      </c>
      <c r="AG44" s="450">
        <f t="shared" si="41"/>
        <v>0</v>
      </c>
      <c r="AK44" s="449">
        <v>0</v>
      </c>
      <c r="AL44" s="449">
        <f t="shared" si="47"/>
        <v>0</v>
      </c>
      <c r="AM44" s="449">
        <v>0</v>
      </c>
      <c r="AN44" s="449">
        <f t="shared" si="42"/>
        <v>0</v>
      </c>
      <c r="AO44" s="449">
        <v>0</v>
      </c>
      <c r="AP44" s="449">
        <f t="shared" si="43"/>
        <v>0</v>
      </c>
      <c r="AQ44" s="449">
        <v>0</v>
      </c>
      <c r="AR44" s="449">
        <f t="shared" si="44"/>
        <v>0</v>
      </c>
      <c r="AS44" s="450">
        <v>0</v>
      </c>
      <c r="AT44" s="449">
        <f t="shared" si="45"/>
        <v>0</v>
      </c>
      <c r="AU44" s="450">
        <v>0</v>
      </c>
      <c r="AV44" s="449">
        <f t="shared" si="46"/>
        <v>0</v>
      </c>
    </row>
    <row r="45" spans="1:48">
      <c r="A45" s="443" t="s">
        <v>51</v>
      </c>
      <c r="B45" s="449">
        <f t="shared" ref="B45:AG48" si="48">B61+B109</f>
        <v>0</v>
      </c>
      <c r="C45" s="449">
        <f t="shared" si="48"/>
        <v>0</v>
      </c>
      <c r="D45" s="449">
        <f t="shared" si="48"/>
        <v>0</v>
      </c>
      <c r="E45" s="449">
        <f t="shared" si="48"/>
        <v>72906</v>
      </c>
      <c r="F45" s="449">
        <f t="shared" si="48"/>
        <v>0</v>
      </c>
      <c r="G45" s="449">
        <f t="shared" si="48"/>
        <v>0</v>
      </c>
      <c r="H45" s="449">
        <f t="shared" si="48"/>
        <v>0</v>
      </c>
      <c r="I45" s="449">
        <f t="shared" si="48"/>
        <v>0</v>
      </c>
      <c r="J45" s="449">
        <f t="shared" si="48"/>
        <v>0</v>
      </c>
      <c r="K45" s="449">
        <f t="shared" si="48"/>
        <v>0</v>
      </c>
      <c r="L45" s="449">
        <f t="shared" si="48"/>
        <v>0</v>
      </c>
      <c r="M45" s="449">
        <f t="shared" si="48"/>
        <v>0</v>
      </c>
      <c r="N45" s="449">
        <f t="shared" si="48"/>
        <v>0</v>
      </c>
      <c r="O45" s="449">
        <f t="shared" si="48"/>
        <v>0</v>
      </c>
      <c r="P45" s="449">
        <f t="shared" si="48"/>
        <v>0</v>
      </c>
      <c r="Q45" s="450">
        <f t="shared" si="48"/>
        <v>0</v>
      </c>
      <c r="R45" s="450">
        <f t="shared" si="48"/>
        <v>0</v>
      </c>
      <c r="S45" s="450">
        <f t="shared" si="48"/>
        <v>0</v>
      </c>
      <c r="T45" s="450">
        <f t="shared" si="48"/>
        <v>0</v>
      </c>
      <c r="U45" s="450">
        <f t="shared" si="48"/>
        <v>0</v>
      </c>
      <c r="V45" s="450">
        <f t="shared" si="48"/>
        <v>0</v>
      </c>
      <c r="W45" s="450">
        <f t="shared" si="48"/>
        <v>0</v>
      </c>
      <c r="X45" s="450">
        <f t="shared" si="48"/>
        <v>0</v>
      </c>
      <c r="Y45" s="450">
        <f t="shared" si="48"/>
        <v>0</v>
      </c>
      <c r="Z45" s="450">
        <f t="shared" si="48"/>
        <v>0</v>
      </c>
      <c r="AA45" s="450">
        <f t="shared" si="48"/>
        <v>0</v>
      </c>
      <c r="AB45" s="450">
        <f t="shared" si="48"/>
        <v>0</v>
      </c>
      <c r="AC45" s="450">
        <f t="shared" si="48"/>
        <v>0</v>
      </c>
      <c r="AD45" s="450">
        <f t="shared" si="48"/>
        <v>0</v>
      </c>
      <c r="AE45" s="450">
        <f t="shared" si="48"/>
        <v>0</v>
      </c>
      <c r="AF45" s="450">
        <f t="shared" si="48"/>
        <v>0</v>
      </c>
      <c r="AG45" s="450">
        <f t="shared" si="48"/>
        <v>0</v>
      </c>
      <c r="AK45" s="449">
        <v>0</v>
      </c>
      <c r="AL45" s="449">
        <f t="shared" si="47"/>
        <v>0</v>
      </c>
      <c r="AM45" s="449">
        <v>0</v>
      </c>
      <c r="AN45" s="449">
        <f t="shared" si="42"/>
        <v>0</v>
      </c>
      <c r="AO45" s="449">
        <v>0</v>
      </c>
      <c r="AP45" s="449">
        <f t="shared" si="43"/>
        <v>0</v>
      </c>
      <c r="AQ45" s="449">
        <v>0</v>
      </c>
      <c r="AR45" s="449">
        <f t="shared" si="44"/>
        <v>0</v>
      </c>
      <c r="AS45" s="450">
        <v>0</v>
      </c>
      <c r="AT45" s="449">
        <f t="shared" si="45"/>
        <v>0</v>
      </c>
      <c r="AU45" s="450">
        <v>0</v>
      </c>
      <c r="AV45" s="449">
        <f t="shared" si="46"/>
        <v>0</v>
      </c>
    </row>
    <row r="46" spans="1:48">
      <c r="A46" s="443" t="s">
        <v>52</v>
      </c>
      <c r="B46" s="449">
        <f t="shared" si="48"/>
        <v>0</v>
      </c>
      <c r="C46" s="449">
        <f t="shared" si="48"/>
        <v>0</v>
      </c>
      <c r="D46" s="449">
        <f t="shared" si="48"/>
        <v>0</v>
      </c>
      <c r="E46" s="449">
        <f t="shared" si="48"/>
        <v>35298</v>
      </c>
      <c r="F46" s="449">
        <f t="shared" si="48"/>
        <v>0</v>
      </c>
      <c r="G46" s="449">
        <f t="shared" si="48"/>
        <v>0</v>
      </c>
      <c r="H46" s="449">
        <f t="shared" si="48"/>
        <v>0</v>
      </c>
      <c r="I46" s="449">
        <f t="shared" si="48"/>
        <v>0</v>
      </c>
      <c r="J46" s="449">
        <f t="shared" si="48"/>
        <v>0</v>
      </c>
      <c r="K46" s="449">
        <f t="shared" si="48"/>
        <v>0</v>
      </c>
      <c r="L46" s="449">
        <f t="shared" si="48"/>
        <v>0</v>
      </c>
      <c r="M46" s="449">
        <f t="shared" si="48"/>
        <v>0</v>
      </c>
      <c r="N46" s="449">
        <f t="shared" si="48"/>
        <v>0</v>
      </c>
      <c r="O46" s="449">
        <f t="shared" si="48"/>
        <v>0</v>
      </c>
      <c r="P46" s="449">
        <f t="shared" si="48"/>
        <v>0</v>
      </c>
      <c r="Q46" s="450">
        <f t="shared" si="48"/>
        <v>0</v>
      </c>
      <c r="R46" s="450">
        <f t="shared" si="48"/>
        <v>0</v>
      </c>
      <c r="S46" s="450">
        <f t="shared" si="48"/>
        <v>0</v>
      </c>
      <c r="T46" s="450">
        <f t="shared" si="48"/>
        <v>0</v>
      </c>
      <c r="U46" s="450">
        <f t="shared" si="48"/>
        <v>0</v>
      </c>
      <c r="V46" s="450">
        <f t="shared" si="48"/>
        <v>0</v>
      </c>
      <c r="W46" s="450">
        <f t="shared" si="48"/>
        <v>0</v>
      </c>
      <c r="X46" s="450">
        <f t="shared" si="48"/>
        <v>0</v>
      </c>
      <c r="Y46" s="450">
        <f t="shared" si="48"/>
        <v>0</v>
      </c>
      <c r="Z46" s="450">
        <f t="shared" si="48"/>
        <v>0</v>
      </c>
      <c r="AA46" s="450">
        <f t="shared" si="48"/>
        <v>0</v>
      </c>
      <c r="AB46" s="450">
        <f t="shared" si="48"/>
        <v>0</v>
      </c>
      <c r="AC46" s="450">
        <f t="shared" si="48"/>
        <v>0</v>
      </c>
      <c r="AD46" s="450">
        <f t="shared" si="48"/>
        <v>0</v>
      </c>
      <c r="AE46" s="450">
        <f t="shared" si="48"/>
        <v>0</v>
      </c>
      <c r="AF46" s="450">
        <f t="shared" si="48"/>
        <v>0</v>
      </c>
      <c r="AG46" s="450">
        <f t="shared" si="48"/>
        <v>0</v>
      </c>
      <c r="AK46" s="449">
        <v>0</v>
      </c>
      <c r="AL46" s="449">
        <f t="shared" si="47"/>
        <v>0</v>
      </c>
      <c r="AM46" s="449">
        <v>0</v>
      </c>
      <c r="AN46" s="449">
        <f t="shared" si="42"/>
        <v>0</v>
      </c>
      <c r="AO46" s="449">
        <v>0</v>
      </c>
      <c r="AP46" s="449">
        <f t="shared" si="43"/>
        <v>0</v>
      </c>
      <c r="AQ46" s="449">
        <v>0</v>
      </c>
      <c r="AR46" s="449">
        <f t="shared" si="44"/>
        <v>0</v>
      </c>
      <c r="AS46" s="450">
        <v>0</v>
      </c>
      <c r="AT46" s="449">
        <f t="shared" si="45"/>
        <v>0</v>
      </c>
      <c r="AU46" s="450">
        <v>0</v>
      </c>
      <c r="AV46" s="449">
        <f t="shared" si="46"/>
        <v>0</v>
      </c>
    </row>
    <row r="47" spans="1:48">
      <c r="A47" s="443" t="s">
        <v>53</v>
      </c>
      <c r="B47" s="449">
        <f t="shared" si="48"/>
        <v>0</v>
      </c>
      <c r="C47" s="449">
        <f t="shared" si="48"/>
        <v>0</v>
      </c>
      <c r="D47" s="449">
        <f t="shared" si="48"/>
        <v>1024</v>
      </c>
      <c r="E47" s="449">
        <f t="shared" si="48"/>
        <v>34761</v>
      </c>
      <c r="F47" s="449">
        <f t="shared" si="48"/>
        <v>0</v>
      </c>
      <c r="G47" s="449">
        <f t="shared" si="48"/>
        <v>0</v>
      </c>
      <c r="H47" s="449">
        <f t="shared" si="48"/>
        <v>0</v>
      </c>
      <c r="I47" s="449">
        <f t="shared" si="48"/>
        <v>0</v>
      </c>
      <c r="J47" s="449">
        <f t="shared" si="48"/>
        <v>0</v>
      </c>
      <c r="K47" s="449">
        <f t="shared" si="48"/>
        <v>0</v>
      </c>
      <c r="L47" s="449">
        <f t="shared" si="48"/>
        <v>0</v>
      </c>
      <c r="M47" s="449">
        <f t="shared" si="48"/>
        <v>0</v>
      </c>
      <c r="N47" s="449">
        <f t="shared" si="48"/>
        <v>0</v>
      </c>
      <c r="O47" s="449">
        <f t="shared" si="48"/>
        <v>0</v>
      </c>
      <c r="P47" s="449">
        <f t="shared" si="48"/>
        <v>0</v>
      </c>
      <c r="Q47" s="450">
        <f t="shared" si="48"/>
        <v>0</v>
      </c>
      <c r="R47" s="450">
        <f t="shared" si="48"/>
        <v>0</v>
      </c>
      <c r="S47" s="450">
        <f t="shared" si="48"/>
        <v>0</v>
      </c>
      <c r="T47" s="450">
        <f t="shared" si="48"/>
        <v>0</v>
      </c>
      <c r="U47" s="450">
        <f t="shared" si="48"/>
        <v>0</v>
      </c>
      <c r="V47" s="450">
        <f t="shared" si="48"/>
        <v>0</v>
      </c>
      <c r="W47" s="450">
        <f t="shared" si="48"/>
        <v>0</v>
      </c>
      <c r="X47" s="450">
        <f t="shared" si="48"/>
        <v>0</v>
      </c>
      <c r="Y47" s="450">
        <f t="shared" si="48"/>
        <v>0</v>
      </c>
      <c r="Z47" s="450">
        <f t="shared" si="48"/>
        <v>0</v>
      </c>
      <c r="AA47" s="450">
        <f t="shared" si="48"/>
        <v>0</v>
      </c>
      <c r="AB47" s="450">
        <f t="shared" si="48"/>
        <v>0</v>
      </c>
      <c r="AC47" s="450">
        <f t="shared" si="48"/>
        <v>0</v>
      </c>
      <c r="AD47" s="450">
        <f t="shared" si="48"/>
        <v>0</v>
      </c>
      <c r="AE47" s="450">
        <f t="shared" si="48"/>
        <v>0</v>
      </c>
      <c r="AF47" s="450">
        <f t="shared" si="48"/>
        <v>0</v>
      </c>
      <c r="AG47" s="450">
        <f t="shared" si="48"/>
        <v>0</v>
      </c>
      <c r="AK47" s="449">
        <v>0</v>
      </c>
      <c r="AL47" s="449">
        <f t="shared" si="47"/>
        <v>0</v>
      </c>
      <c r="AM47" s="449">
        <v>0</v>
      </c>
      <c r="AN47" s="449">
        <f t="shared" si="42"/>
        <v>0</v>
      </c>
      <c r="AO47" s="450">
        <v>0</v>
      </c>
      <c r="AP47" s="449">
        <f t="shared" si="43"/>
        <v>0</v>
      </c>
      <c r="AQ47" s="450">
        <v>0</v>
      </c>
      <c r="AR47" s="449">
        <f t="shared" si="44"/>
        <v>0</v>
      </c>
      <c r="AS47" s="450">
        <v>0</v>
      </c>
      <c r="AT47" s="449">
        <f t="shared" si="45"/>
        <v>0</v>
      </c>
      <c r="AU47" s="450">
        <v>0</v>
      </c>
      <c r="AV47" s="449">
        <f t="shared" si="46"/>
        <v>0</v>
      </c>
    </row>
    <row r="48" spans="1:48">
      <c r="A48" s="443" t="s">
        <v>54</v>
      </c>
      <c r="B48" s="449">
        <f t="shared" si="48"/>
        <v>0</v>
      </c>
      <c r="C48" s="449">
        <f t="shared" si="48"/>
        <v>0</v>
      </c>
      <c r="D48" s="449">
        <f t="shared" si="48"/>
        <v>0</v>
      </c>
      <c r="E48" s="449">
        <f t="shared" si="48"/>
        <v>34759</v>
      </c>
      <c r="F48" s="449">
        <f t="shared" si="48"/>
        <v>0</v>
      </c>
      <c r="G48" s="449">
        <f t="shared" si="48"/>
        <v>0</v>
      </c>
      <c r="H48" s="449">
        <f t="shared" si="48"/>
        <v>0</v>
      </c>
      <c r="I48" s="449">
        <f t="shared" si="48"/>
        <v>270</v>
      </c>
      <c r="J48" s="449">
        <f t="shared" si="48"/>
        <v>0</v>
      </c>
      <c r="K48" s="449">
        <f t="shared" si="48"/>
        <v>0</v>
      </c>
      <c r="L48" s="449">
        <f t="shared" si="48"/>
        <v>0</v>
      </c>
      <c r="M48" s="449">
        <f t="shared" si="48"/>
        <v>0</v>
      </c>
      <c r="N48" s="449">
        <f t="shared" si="48"/>
        <v>0</v>
      </c>
      <c r="O48" s="449">
        <f t="shared" si="48"/>
        <v>0</v>
      </c>
      <c r="P48" s="449">
        <f t="shared" si="48"/>
        <v>0</v>
      </c>
      <c r="Q48" s="450">
        <f t="shared" si="48"/>
        <v>5.9987155759773794</v>
      </c>
      <c r="R48" s="450">
        <f t="shared" si="48"/>
        <v>1.6844034863776827</v>
      </c>
      <c r="S48" s="450">
        <f t="shared" si="48"/>
        <v>0.48167195261766338</v>
      </c>
      <c r="T48" s="450">
        <f t="shared" si="48"/>
        <v>1.0041436008667688</v>
      </c>
      <c r="U48" s="450">
        <f t="shared" si="48"/>
        <v>1.6573500693355001</v>
      </c>
      <c r="V48" s="450">
        <f t="shared" si="48"/>
        <v>1.9513205276300027</v>
      </c>
      <c r="W48" s="450">
        <f t="shared" si="48"/>
        <v>2.3512656266948255</v>
      </c>
      <c r="X48" s="450">
        <f t="shared" si="48"/>
        <v>2.3613388334300112</v>
      </c>
      <c r="Y48" s="450">
        <f t="shared" si="48"/>
        <v>3.0078821957445285</v>
      </c>
      <c r="Z48" s="450">
        <f t="shared" si="48"/>
        <v>3.3086105788564169</v>
      </c>
      <c r="AA48" s="450">
        <f t="shared" si="48"/>
        <v>3.583234047815651</v>
      </c>
      <c r="AB48" s="450">
        <f t="shared" si="48"/>
        <v>3.9284232170025462</v>
      </c>
      <c r="AC48" s="450">
        <f t="shared" si="48"/>
        <v>4.2753459477056452</v>
      </c>
      <c r="AD48" s="450">
        <f t="shared" si="48"/>
        <v>4.6714340138370858</v>
      </c>
      <c r="AE48" s="450">
        <f t="shared" si="48"/>
        <v>4.9521371034476545</v>
      </c>
      <c r="AF48" s="450">
        <f t="shared" si="48"/>
        <v>5.3027796766162112</v>
      </c>
      <c r="AG48" s="450">
        <f t="shared" si="48"/>
        <v>5.6587214546850362</v>
      </c>
      <c r="AK48" s="449">
        <v>7828.7614533435553</v>
      </c>
      <c r="AL48" s="449">
        <f t="shared" si="47"/>
        <v>-7828.7614533435553</v>
      </c>
      <c r="AM48" s="449">
        <v>0.17879095030647768</v>
      </c>
      <c r="AN48" s="449">
        <f t="shared" si="42"/>
        <v>-0.17879095030647768</v>
      </c>
      <c r="AO48" s="450">
        <v>0</v>
      </c>
      <c r="AP48" s="449">
        <f t="shared" si="43"/>
        <v>0</v>
      </c>
      <c r="AQ48" s="450">
        <v>1.376288291066885E-2</v>
      </c>
      <c r="AR48" s="449">
        <f t="shared" si="44"/>
        <v>-1.376288291066885E-2</v>
      </c>
      <c r="AS48" s="450">
        <v>0.2204004678351339</v>
      </c>
      <c r="AT48" s="449">
        <f t="shared" si="45"/>
        <v>-0.2204004678351339</v>
      </c>
      <c r="AU48" s="450">
        <v>0.35510923164084574</v>
      </c>
      <c r="AV48" s="449">
        <f t="shared" si="46"/>
        <v>5.6436063443365336</v>
      </c>
    </row>
    <row r="49" spans="1:48" ht="12" thickBot="1">
      <c r="A49" s="443" t="s">
        <v>29</v>
      </c>
      <c r="B49" s="449">
        <f>SUM(B37:B48)</f>
        <v>0</v>
      </c>
      <c r="C49" s="449">
        <f t="shared" ref="C49:AD49" si="49">SUM(C37:C48)</f>
        <v>0</v>
      </c>
      <c r="D49" s="449">
        <f t="shared" si="49"/>
        <v>1024</v>
      </c>
      <c r="E49" s="449">
        <f t="shared" si="49"/>
        <v>232808</v>
      </c>
      <c r="F49" s="449">
        <f t="shared" si="49"/>
        <v>5211</v>
      </c>
      <c r="G49" s="449">
        <f t="shared" si="49"/>
        <v>0</v>
      </c>
      <c r="H49" s="449">
        <f t="shared" si="49"/>
        <v>0</v>
      </c>
      <c r="I49" s="449">
        <f t="shared" si="49"/>
        <v>270</v>
      </c>
      <c r="J49" s="449">
        <f t="shared" si="49"/>
        <v>6620</v>
      </c>
      <c r="K49" s="449">
        <f t="shared" si="49"/>
        <v>0</v>
      </c>
      <c r="L49" s="449">
        <f t="shared" si="49"/>
        <v>0</v>
      </c>
      <c r="M49" s="449">
        <f t="shared" si="49"/>
        <v>0</v>
      </c>
      <c r="N49" s="449">
        <f t="shared" si="49"/>
        <v>0</v>
      </c>
      <c r="O49" s="449">
        <f t="shared" si="49"/>
        <v>0</v>
      </c>
      <c r="P49" s="449">
        <f t="shared" si="49"/>
        <v>0</v>
      </c>
      <c r="Q49" s="450">
        <f t="shared" si="49"/>
        <v>9.061861503723776</v>
      </c>
      <c r="R49" s="450">
        <f t="shared" si="49"/>
        <v>42.983481559786014</v>
      </c>
      <c r="S49" s="450">
        <f t="shared" si="49"/>
        <v>12.291554642724805</v>
      </c>
      <c r="T49" s="450">
        <f t="shared" si="49"/>
        <v>25.624257073970512</v>
      </c>
      <c r="U49" s="450">
        <f t="shared" si="49"/>
        <v>42.293118436005898</v>
      </c>
      <c r="V49" s="450">
        <f t="shared" si="49"/>
        <v>49.794809019891545</v>
      </c>
      <c r="W49" s="450">
        <f t="shared" si="49"/>
        <v>60.00081543676788</v>
      </c>
      <c r="X49" s="450">
        <f t="shared" si="49"/>
        <v>60.257868749380577</v>
      </c>
      <c r="Y49" s="450">
        <f t="shared" si="49"/>
        <v>76.756697513628751</v>
      </c>
      <c r="Z49" s="450">
        <f t="shared" si="49"/>
        <v>84.430840327113401</v>
      </c>
      <c r="AA49" s="450">
        <f t="shared" si="49"/>
        <v>91.438824405369814</v>
      </c>
      <c r="AB49" s="450">
        <f t="shared" si="49"/>
        <v>100.24754061165731</v>
      </c>
      <c r="AC49" s="450">
        <f t="shared" si="49"/>
        <v>109.10049473959953</v>
      </c>
      <c r="AD49" s="450">
        <f t="shared" si="49"/>
        <v>119.20807539013913</v>
      </c>
      <c r="AE49" s="450">
        <f>SUM(AE37:AE48)</f>
        <v>126.37120238057105</v>
      </c>
      <c r="AF49" s="450">
        <f>SUM(AF37:AF48)</f>
        <v>135.31908137735445</v>
      </c>
      <c r="AG49" s="450">
        <f>SUM(AG37:AG48)</f>
        <v>144.4021882325178</v>
      </c>
      <c r="AK49" s="449">
        <v>7828.7614533435553</v>
      </c>
      <c r="AL49" s="449">
        <f t="shared" si="47"/>
        <v>-7828.7614533435553</v>
      </c>
      <c r="AM49" s="449">
        <v>0.27008762280456722</v>
      </c>
      <c r="AN49" s="449">
        <f t="shared" si="42"/>
        <v>-0.27008762280456722</v>
      </c>
      <c r="AO49" s="450">
        <v>0</v>
      </c>
      <c r="AP49" s="449">
        <f t="shared" si="43"/>
        <v>0</v>
      </c>
      <c r="AQ49" s="450">
        <v>1.376288291066885E-2</v>
      </c>
      <c r="AR49" s="449">
        <f t="shared" si="44"/>
        <v>-1.376288291066885E-2</v>
      </c>
      <c r="AS49" s="450">
        <v>0.2204004678351339</v>
      </c>
      <c r="AT49" s="449">
        <f t="shared" si="45"/>
        <v>-0.2204004678351339</v>
      </c>
      <c r="AU49" s="450">
        <v>9.061861503723776</v>
      </c>
      <c r="AV49" s="449">
        <f t="shared" si="46"/>
        <v>0</v>
      </c>
    </row>
    <row r="50" spans="1:48">
      <c r="A50" s="461"/>
      <c r="B50" s="461"/>
      <c r="C50" s="461"/>
      <c r="D50" s="461"/>
      <c r="E50" s="461"/>
      <c r="F50" s="461"/>
      <c r="G50" s="461"/>
      <c r="H50" s="461"/>
      <c r="I50" s="461"/>
      <c r="J50" s="461"/>
      <c r="K50" s="461"/>
      <c r="L50" s="461"/>
      <c r="M50" s="461"/>
      <c r="N50" s="461"/>
      <c r="O50" s="461"/>
      <c r="P50" s="461"/>
      <c r="Q50" s="461"/>
      <c r="R50" s="461"/>
      <c r="S50" s="461"/>
      <c r="T50" s="461"/>
      <c r="U50" s="461"/>
      <c r="V50" s="461"/>
      <c r="W50" s="461"/>
      <c r="X50" s="461"/>
      <c r="Y50" s="461"/>
      <c r="Z50" s="461"/>
      <c r="AA50" s="461"/>
      <c r="AB50" s="461"/>
      <c r="AC50" s="461"/>
      <c r="AD50" s="461"/>
      <c r="AE50" s="461"/>
      <c r="AF50" s="461"/>
      <c r="AG50" s="461"/>
      <c r="AO50" s="450"/>
    </row>
    <row r="51" spans="1:48" ht="12" thickBot="1">
      <c r="A51" s="442" t="s">
        <v>544</v>
      </c>
      <c r="AO51" s="450"/>
    </row>
    <row r="52" spans="1:48" ht="12" thickBot="1">
      <c r="A52" s="459"/>
      <c r="B52" s="460">
        <f t="shared" ref="B52:K52" si="50">B2</f>
        <v>2010</v>
      </c>
      <c r="C52" s="460">
        <f t="shared" si="50"/>
        <v>2011</v>
      </c>
      <c r="D52" s="460">
        <f t="shared" si="50"/>
        <v>2012</v>
      </c>
      <c r="E52" s="460">
        <f t="shared" si="50"/>
        <v>2013</v>
      </c>
      <c r="F52" s="460">
        <f t="shared" si="50"/>
        <v>2014</v>
      </c>
      <c r="G52" s="460">
        <f t="shared" si="50"/>
        <v>2015</v>
      </c>
      <c r="H52" s="460">
        <f t="shared" si="50"/>
        <v>2016</v>
      </c>
      <c r="I52" s="460">
        <f t="shared" si="50"/>
        <v>2017</v>
      </c>
      <c r="J52" s="460">
        <f t="shared" si="50"/>
        <v>2018</v>
      </c>
      <c r="K52" s="460">
        <f t="shared" si="50"/>
        <v>2019</v>
      </c>
      <c r="L52" s="460">
        <f>L2</f>
        <v>2020</v>
      </c>
      <c r="M52" s="460">
        <f>M2</f>
        <v>2021</v>
      </c>
      <c r="N52" s="460">
        <f t="shared" ref="N52:AD52" si="51">N2</f>
        <v>2022</v>
      </c>
      <c r="O52" s="460">
        <f t="shared" si="51"/>
        <v>2023</v>
      </c>
      <c r="P52" s="460">
        <f t="shared" si="51"/>
        <v>2024</v>
      </c>
      <c r="Q52" s="460">
        <f t="shared" si="51"/>
        <v>2025</v>
      </c>
      <c r="R52" s="460">
        <f t="shared" si="51"/>
        <v>2026</v>
      </c>
      <c r="S52" s="460">
        <f t="shared" si="51"/>
        <v>2027</v>
      </c>
      <c r="T52" s="460">
        <f t="shared" si="51"/>
        <v>2028</v>
      </c>
      <c r="U52" s="460">
        <f t="shared" si="51"/>
        <v>2029</v>
      </c>
      <c r="V52" s="460">
        <f t="shared" si="51"/>
        <v>2030</v>
      </c>
      <c r="W52" s="460">
        <f t="shared" si="51"/>
        <v>2031</v>
      </c>
      <c r="X52" s="460">
        <f t="shared" si="51"/>
        <v>2032</v>
      </c>
      <c r="Y52" s="460">
        <f t="shared" si="51"/>
        <v>2033</v>
      </c>
      <c r="Z52" s="460">
        <f t="shared" si="51"/>
        <v>2034</v>
      </c>
      <c r="AA52" s="460">
        <f t="shared" si="51"/>
        <v>2035</v>
      </c>
      <c r="AB52" s="460">
        <f t="shared" si="51"/>
        <v>2036</v>
      </c>
      <c r="AC52" s="460">
        <f t="shared" si="51"/>
        <v>2037</v>
      </c>
      <c r="AD52" s="460">
        <f t="shared" si="51"/>
        <v>2038</v>
      </c>
      <c r="AE52" s="460">
        <f>AE2</f>
        <v>2039</v>
      </c>
      <c r="AF52" s="460">
        <f>AF2</f>
        <v>2040</v>
      </c>
      <c r="AG52" s="460">
        <f>AG2</f>
        <v>2041</v>
      </c>
      <c r="AO52" s="450"/>
    </row>
    <row r="53" spans="1:48">
      <c r="A53" s="443" t="s">
        <v>43</v>
      </c>
      <c r="B53" s="449">
        <f t="shared" ref="B53:P64" si="52">B69+B85</f>
        <v>0</v>
      </c>
      <c r="C53" s="449">
        <f t="shared" si="52"/>
        <v>0</v>
      </c>
      <c r="D53" s="449">
        <f t="shared" si="52"/>
        <v>0</v>
      </c>
      <c r="E53" s="449">
        <f t="shared" si="52"/>
        <v>0</v>
      </c>
      <c r="F53" s="449">
        <f t="shared" si="52"/>
        <v>0</v>
      </c>
      <c r="G53" s="449">
        <f t="shared" si="52"/>
        <v>0</v>
      </c>
      <c r="H53" s="449">
        <f t="shared" si="52"/>
        <v>0</v>
      </c>
      <c r="I53" s="449">
        <f t="shared" si="52"/>
        <v>0</v>
      </c>
      <c r="J53" s="449">
        <f t="shared" si="52"/>
        <v>0</v>
      </c>
      <c r="K53" s="449">
        <f t="shared" si="52"/>
        <v>0</v>
      </c>
      <c r="L53" s="449">
        <f>L69+L85</f>
        <v>0</v>
      </c>
      <c r="M53" s="449">
        <f>M69+M85</f>
        <v>0</v>
      </c>
      <c r="N53" s="449">
        <f>N69+N85</f>
        <v>0</v>
      </c>
      <c r="O53" s="449">
        <f>O69+O85</f>
        <v>0</v>
      </c>
      <c r="P53" s="449">
        <f>P69+P85</f>
        <v>0</v>
      </c>
      <c r="Q53" s="449">
        <f t="shared" ref="Q53:AG64" si="53">Q69+Q85</f>
        <v>0</v>
      </c>
      <c r="R53" s="450">
        <f t="shared" si="53"/>
        <v>0</v>
      </c>
      <c r="S53" s="450">
        <f t="shared" si="53"/>
        <v>0</v>
      </c>
      <c r="T53" s="450">
        <f t="shared" si="53"/>
        <v>0</v>
      </c>
      <c r="U53" s="450">
        <f t="shared" si="53"/>
        <v>0</v>
      </c>
      <c r="V53" s="450">
        <f t="shared" si="53"/>
        <v>0</v>
      </c>
      <c r="W53" s="450">
        <f t="shared" si="53"/>
        <v>0</v>
      </c>
      <c r="X53" s="450">
        <f t="shared" si="53"/>
        <v>0</v>
      </c>
      <c r="Y53" s="450">
        <f t="shared" si="53"/>
        <v>0</v>
      </c>
      <c r="Z53" s="450">
        <f t="shared" si="53"/>
        <v>0</v>
      </c>
      <c r="AA53" s="450">
        <f t="shared" si="53"/>
        <v>0</v>
      </c>
      <c r="AB53" s="450">
        <f t="shared" si="53"/>
        <v>0</v>
      </c>
      <c r="AC53" s="450">
        <f t="shared" si="53"/>
        <v>0</v>
      </c>
      <c r="AD53" s="450">
        <f t="shared" si="53"/>
        <v>0</v>
      </c>
      <c r="AE53" s="450">
        <f t="shared" si="53"/>
        <v>0</v>
      </c>
      <c r="AF53" s="450">
        <f t="shared" si="53"/>
        <v>0</v>
      </c>
      <c r="AG53" s="450">
        <f t="shared" si="53"/>
        <v>0</v>
      </c>
      <c r="AM53" s="449">
        <v>0</v>
      </c>
      <c r="AN53" s="449">
        <f t="shared" ref="AN53:AN65" si="54">L53-AM53</f>
        <v>0</v>
      </c>
      <c r="AO53" s="449">
        <v>0</v>
      </c>
      <c r="AP53" s="449">
        <f t="shared" ref="AP53:AP65" si="55">N53-AO53</f>
        <v>0</v>
      </c>
      <c r="AQ53" s="449">
        <v>0</v>
      </c>
      <c r="AR53" s="449">
        <f t="shared" ref="AR53:AR65" si="56">O53-AQ53</f>
        <v>0</v>
      </c>
      <c r="AS53" s="449">
        <v>0</v>
      </c>
      <c r="AT53" s="449">
        <f t="shared" ref="AT53:AT65" si="57">P53-AS53</f>
        <v>0</v>
      </c>
      <c r="AU53" s="449">
        <v>0</v>
      </c>
      <c r="AV53" s="449">
        <f>Q53-AU53</f>
        <v>0</v>
      </c>
    </row>
    <row r="54" spans="1:48">
      <c r="A54" s="443" t="s">
        <v>44</v>
      </c>
      <c r="B54" s="449">
        <f>B70+B86</f>
        <v>0</v>
      </c>
      <c r="C54" s="449">
        <f t="shared" si="52"/>
        <v>0</v>
      </c>
      <c r="D54" s="449">
        <f t="shared" si="52"/>
        <v>0</v>
      </c>
      <c r="E54" s="449">
        <f t="shared" si="52"/>
        <v>0</v>
      </c>
      <c r="F54" s="449">
        <f t="shared" si="52"/>
        <v>0</v>
      </c>
      <c r="G54" s="449">
        <f t="shared" si="52"/>
        <v>0</v>
      </c>
      <c r="H54" s="449">
        <f t="shared" si="52"/>
        <v>0</v>
      </c>
      <c r="I54" s="449">
        <f t="shared" si="52"/>
        <v>0</v>
      </c>
      <c r="J54" s="449">
        <f t="shared" si="52"/>
        <v>0</v>
      </c>
      <c r="K54" s="449">
        <f t="shared" si="52"/>
        <v>0</v>
      </c>
      <c r="L54" s="449">
        <f t="shared" si="52"/>
        <v>0</v>
      </c>
      <c r="M54" s="449">
        <f t="shared" si="52"/>
        <v>0</v>
      </c>
      <c r="N54" s="449">
        <f t="shared" si="52"/>
        <v>0</v>
      </c>
      <c r="O54" s="449">
        <f t="shared" si="52"/>
        <v>0</v>
      </c>
      <c r="P54" s="449">
        <f t="shared" si="52"/>
        <v>0</v>
      </c>
      <c r="Q54" s="449">
        <f t="shared" si="53"/>
        <v>0</v>
      </c>
      <c r="R54" s="450">
        <f t="shared" si="53"/>
        <v>0</v>
      </c>
      <c r="S54" s="450">
        <f t="shared" si="53"/>
        <v>0</v>
      </c>
      <c r="T54" s="450">
        <f t="shared" si="53"/>
        <v>0</v>
      </c>
      <c r="U54" s="450">
        <f t="shared" si="53"/>
        <v>0</v>
      </c>
      <c r="V54" s="450">
        <f t="shared" si="53"/>
        <v>0</v>
      </c>
      <c r="W54" s="450">
        <f t="shared" si="53"/>
        <v>0</v>
      </c>
      <c r="X54" s="450">
        <f t="shared" si="53"/>
        <v>0</v>
      </c>
      <c r="Y54" s="450">
        <f t="shared" si="53"/>
        <v>0</v>
      </c>
      <c r="Z54" s="450">
        <f t="shared" si="53"/>
        <v>0</v>
      </c>
      <c r="AA54" s="450">
        <f t="shared" si="53"/>
        <v>0</v>
      </c>
      <c r="AB54" s="450">
        <f t="shared" si="53"/>
        <v>0</v>
      </c>
      <c r="AC54" s="450">
        <f t="shared" si="53"/>
        <v>0</v>
      </c>
      <c r="AD54" s="450">
        <f t="shared" si="53"/>
        <v>0</v>
      </c>
      <c r="AE54" s="450">
        <f t="shared" si="53"/>
        <v>0</v>
      </c>
      <c r="AF54" s="450">
        <f t="shared" si="53"/>
        <v>0</v>
      </c>
      <c r="AG54" s="450">
        <f t="shared" si="53"/>
        <v>0</v>
      </c>
      <c r="AM54" s="449">
        <v>0</v>
      </c>
      <c r="AN54" s="449">
        <f t="shared" si="54"/>
        <v>0</v>
      </c>
      <c r="AO54" s="449">
        <v>0</v>
      </c>
      <c r="AP54" s="449">
        <f t="shared" si="55"/>
        <v>0</v>
      </c>
      <c r="AQ54" s="449">
        <v>0</v>
      </c>
      <c r="AR54" s="449">
        <f t="shared" si="56"/>
        <v>0</v>
      </c>
      <c r="AS54" s="449">
        <v>0</v>
      </c>
      <c r="AT54" s="449">
        <f t="shared" si="57"/>
        <v>0</v>
      </c>
      <c r="AU54" s="449">
        <v>0</v>
      </c>
      <c r="AV54" s="449">
        <f t="shared" ref="AV54:AV65" si="58">Q54-AU54</f>
        <v>0</v>
      </c>
    </row>
    <row r="55" spans="1:48">
      <c r="A55" s="443" t="s">
        <v>45</v>
      </c>
      <c r="B55" s="449">
        <f t="shared" si="52"/>
        <v>0</v>
      </c>
      <c r="C55" s="449">
        <f t="shared" si="52"/>
        <v>0</v>
      </c>
      <c r="D55" s="449">
        <f t="shared" si="52"/>
        <v>0</v>
      </c>
      <c r="E55" s="449">
        <f t="shared" si="52"/>
        <v>9802</v>
      </c>
      <c r="F55" s="449">
        <f t="shared" si="52"/>
        <v>0</v>
      </c>
      <c r="G55" s="449">
        <f t="shared" si="52"/>
        <v>0</v>
      </c>
      <c r="H55" s="449">
        <f t="shared" si="52"/>
        <v>0</v>
      </c>
      <c r="I55" s="449">
        <f t="shared" si="52"/>
        <v>0</v>
      </c>
      <c r="J55" s="449">
        <f t="shared" si="52"/>
        <v>4291</v>
      </c>
      <c r="K55" s="449">
        <f t="shared" si="52"/>
        <v>0</v>
      </c>
      <c r="L55" s="449">
        <f t="shared" si="52"/>
        <v>0</v>
      </c>
      <c r="M55" s="449">
        <f t="shared" si="52"/>
        <v>0</v>
      </c>
      <c r="N55" s="449">
        <f t="shared" si="52"/>
        <v>0</v>
      </c>
      <c r="O55" s="449">
        <f t="shared" si="52"/>
        <v>0</v>
      </c>
      <c r="P55" s="449">
        <f t="shared" si="52"/>
        <v>0</v>
      </c>
      <c r="Q55" s="449">
        <f t="shared" si="53"/>
        <v>0</v>
      </c>
      <c r="R55" s="450">
        <f t="shared" si="53"/>
        <v>26.769538370543074</v>
      </c>
      <c r="S55" s="450">
        <f t="shared" si="53"/>
        <v>7.6550161062310789</v>
      </c>
      <c r="T55" s="450">
        <f t="shared" si="53"/>
        <v>15.958445153034464</v>
      </c>
      <c r="U55" s="450">
        <f t="shared" si="53"/>
        <v>26.33958943525418</v>
      </c>
      <c r="V55" s="450">
        <f t="shared" si="53"/>
        <v>31.011542163186444</v>
      </c>
      <c r="W55" s="450">
        <f t="shared" si="53"/>
        <v>37.367706682027716</v>
      </c>
      <c r="X55" s="450">
        <f t="shared" si="53"/>
        <v>37.527796052770981</v>
      </c>
      <c r="Y55" s="450">
        <f t="shared" si="53"/>
        <v>47.803046303480542</v>
      </c>
      <c r="Z55" s="450">
        <f t="shared" si="53"/>
        <v>52.582399977306757</v>
      </c>
      <c r="AA55" s="450">
        <f t="shared" si="53"/>
        <v>56.946878885840619</v>
      </c>
      <c r="AB55" s="450">
        <f t="shared" si="53"/>
        <v>62.432829719103268</v>
      </c>
      <c r="AC55" s="450">
        <f t="shared" si="53"/>
        <v>67.946331339277435</v>
      </c>
      <c r="AD55" s="450">
        <f t="shared" si="53"/>
        <v>74.241197605092452</v>
      </c>
      <c r="AE55" s="450">
        <f t="shared" si="53"/>
        <v>78.702297447754759</v>
      </c>
      <c r="AF55" s="450">
        <f t="shared" si="53"/>
        <v>84.274917008741355</v>
      </c>
      <c r="AG55" s="450">
        <f t="shared" si="53"/>
        <v>89.931754674271957</v>
      </c>
      <c r="AM55" s="449">
        <v>0.16820696508772101</v>
      </c>
      <c r="AN55" s="449">
        <f t="shared" si="54"/>
        <v>-0.16820696508772101</v>
      </c>
      <c r="AO55" s="449">
        <v>0.28340751123010399</v>
      </c>
      <c r="AP55" s="449">
        <f t="shared" si="55"/>
        <v>-0.28340751123010399</v>
      </c>
      <c r="AQ55" s="449">
        <v>0.2850335377867339</v>
      </c>
      <c r="AR55" s="449">
        <f t="shared" si="56"/>
        <v>-0.2850335377867339</v>
      </c>
      <c r="AS55" s="449">
        <v>0</v>
      </c>
      <c r="AT55" s="449">
        <f t="shared" si="57"/>
        <v>0</v>
      </c>
      <c r="AU55" s="449">
        <v>5.6436063443365336</v>
      </c>
      <c r="AV55" s="449">
        <f t="shared" si="58"/>
        <v>-5.6436063443365336</v>
      </c>
    </row>
    <row r="56" spans="1:48">
      <c r="A56" s="443" t="s">
        <v>46</v>
      </c>
      <c r="B56" s="449">
        <f t="shared" si="52"/>
        <v>0</v>
      </c>
      <c r="C56" s="449">
        <f t="shared" si="52"/>
        <v>0</v>
      </c>
      <c r="D56" s="449">
        <f t="shared" si="52"/>
        <v>0</v>
      </c>
      <c r="E56" s="449">
        <f t="shared" si="52"/>
        <v>0</v>
      </c>
      <c r="F56" s="449">
        <f t="shared" si="52"/>
        <v>5211</v>
      </c>
      <c r="G56" s="449">
        <f t="shared" si="52"/>
        <v>0</v>
      </c>
      <c r="H56" s="449">
        <f t="shared" si="52"/>
        <v>0</v>
      </c>
      <c r="I56" s="449">
        <f t="shared" si="52"/>
        <v>0</v>
      </c>
      <c r="J56" s="449">
        <f t="shared" si="52"/>
        <v>2329</v>
      </c>
      <c r="K56" s="449">
        <f t="shared" si="52"/>
        <v>0</v>
      </c>
      <c r="L56" s="449">
        <f t="shared" si="52"/>
        <v>0</v>
      </c>
      <c r="M56" s="449">
        <f t="shared" si="52"/>
        <v>0</v>
      </c>
      <c r="N56" s="449">
        <f t="shared" si="52"/>
        <v>0</v>
      </c>
      <c r="O56" s="449">
        <f t="shared" si="52"/>
        <v>0</v>
      </c>
      <c r="P56" s="449">
        <f t="shared" si="52"/>
        <v>0</v>
      </c>
      <c r="Q56" s="450">
        <f t="shared" si="53"/>
        <v>3.0631459277463966</v>
      </c>
      <c r="R56" s="450">
        <f t="shared" si="53"/>
        <v>14.529539702865257</v>
      </c>
      <c r="S56" s="450">
        <f t="shared" si="53"/>
        <v>4.1548665838760623</v>
      </c>
      <c r="T56" s="450">
        <f t="shared" si="53"/>
        <v>8.6616683200692766</v>
      </c>
      <c r="U56" s="450">
        <f t="shared" si="53"/>
        <v>14.296178931416216</v>
      </c>
      <c r="V56" s="450">
        <f t="shared" si="53"/>
        <v>16.831946329075095</v>
      </c>
      <c r="W56" s="450">
        <f t="shared" si="53"/>
        <v>20.281843128045338</v>
      </c>
      <c r="X56" s="450">
        <f t="shared" si="53"/>
        <v>20.368733863179589</v>
      </c>
      <c r="Y56" s="450">
        <f t="shared" si="53"/>
        <v>25.94576901440368</v>
      </c>
      <c r="Z56" s="450">
        <f t="shared" si="53"/>
        <v>28.539829770950231</v>
      </c>
      <c r="AA56" s="450">
        <f t="shared" si="53"/>
        <v>30.908711471713541</v>
      </c>
      <c r="AB56" s="450">
        <f t="shared" si="53"/>
        <v>33.886287675551507</v>
      </c>
      <c r="AC56" s="450">
        <f t="shared" si="53"/>
        <v>36.878817452616445</v>
      </c>
      <c r="AD56" s="450">
        <f t="shared" si="53"/>
        <v>40.295443771209584</v>
      </c>
      <c r="AE56" s="450">
        <f t="shared" si="53"/>
        <v>42.716767829368642</v>
      </c>
      <c r="AF56" s="450">
        <f t="shared" si="53"/>
        <v>45.741384691996878</v>
      </c>
      <c r="AG56" s="450">
        <f t="shared" si="53"/>
        <v>48.811712103560808</v>
      </c>
      <c r="AM56" s="449">
        <v>9.1296672498089551E-2</v>
      </c>
      <c r="AN56" s="449">
        <f t="shared" si="54"/>
        <v>-9.1296672498089551E-2</v>
      </c>
      <c r="AO56" s="449">
        <v>0.15382396548280847</v>
      </c>
      <c r="AP56" s="449">
        <f t="shared" si="55"/>
        <v>-0.15382396548280847</v>
      </c>
      <c r="AQ56" s="449">
        <v>0.15470592158128718</v>
      </c>
      <c r="AR56" s="449">
        <f t="shared" si="56"/>
        <v>-0.15470592158128718</v>
      </c>
      <c r="AS56" s="449">
        <v>0</v>
      </c>
      <c r="AT56" s="449">
        <f t="shared" si="57"/>
        <v>0</v>
      </c>
      <c r="AU56" s="449">
        <v>3.0631459277463966</v>
      </c>
      <c r="AV56" s="449">
        <f t="shared" si="58"/>
        <v>0</v>
      </c>
    </row>
    <row r="57" spans="1:48">
      <c r="A57" s="443" t="s">
        <v>47</v>
      </c>
      <c r="B57" s="449">
        <f t="shared" si="52"/>
        <v>0</v>
      </c>
      <c r="C57" s="449">
        <f t="shared" si="52"/>
        <v>0</v>
      </c>
      <c r="D57" s="449">
        <f t="shared" si="52"/>
        <v>0</v>
      </c>
      <c r="E57" s="449">
        <f t="shared" si="52"/>
        <v>0</v>
      </c>
      <c r="F57" s="449">
        <f t="shared" si="52"/>
        <v>0</v>
      </c>
      <c r="G57" s="449">
        <f t="shared" si="52"/>
        <v>0</v>
      </c>
      <c r="H57" s="449">
        <f t="shared" si="52"/>
        <v>0</v>
      </c>
      <c r="I57" s="449">
        <f t="shared" si="52"/>
        <v>0</v>
      </c>
      <c r="J57" s="449">
        <f t="shared" si="52"/>
        <v>0</v>
      </c>
      <c r="K57" s="449">
        <f t="shared" si="52"/>
        <v>0</v>
      </c>
      <c r="L57" s="449">
        <f t="shared" si="52"/>
        <v>0</v>
      </c>
      <c r="M57" s="449">
        <f t="shared" si="52"/>
        <v>0</v>
      </c>
      <c r="N57" s="449">
        <f t="shared" si="52"/>
        <v>0</v>
      </c>
      <c r="O57" s="449">
        <f t="shared" si="52"/>
        <v>0</v>
      </c>
      <c r="P57" s="449">
        <f t="shared" si="52"/>
        <v>0</v>
      </c>
      <c r="Q57" s="450">
        <f t="shared" si="53"/>
        <v>0</v>
      </c>
      <c r="R57" s="450">
        <f t="shared" si="53"/>
        <v>0</v>
      </c>
      <c r="S57" s="450">
        <f t="shared" si="53"/>
        <v>0</v>
      </c>
      <c r="T57" s="450">
        <f t="shared" si="53"/>
        <v>0</v>
      </c>
      <c r="U57" s="450">
        <f t="shared" si="53"/>
        <v>0</v>
      </c>
      <c r="V57" s="450">
        <f t="shared" si="53"/>
        <v>0</v>
      </c>
      <c r="W57" s="450">
        <f t="shared" si="53"/>
        <v>0</v>
      </c>
      <c r="X57" s="450">
        <f t="shared" si="53"/>
        <v>0</v>
      </c>
      <c r="Y57" s="450">
        <f t="shared" si="53"/>
        <v>0</v>
      </c>
      <c r="Z57" s="450">
        <f t="shared" si="53"/>
        <v>0</v>
      </c>
      <c r="AA57" s="450">
        <f t="shared" si="53"/>
        <v>0</v>
      </c>
      <c r="AB57" s="450">
        <f t="shared" si="53"/>
        <v>0</v>
      </c>
      <c r="AC57" s="450">
        <f t="shared" si="53"/>
        <v>0</v>
      </c>
      <c r="AD57" s="450">
        <f t="shared" si="53"/>
        <v>0</v>
      </c>
      <c r="AE57" s="450">
        <f t="shared" si="53"/>
        <v>0</v>
      </c>
      <c r="AF57" s="450">
        <f t="shared" si="53"/>
        <v>0</v>
      </c>
      <c r="AG57" s="450">
        <f t="shared" si="53"/>
        <v>0</v>
      </c>
      <c r="AM57" s="449">
        <v>0</v>
      </c>
      <c r="AN57" s="449">
        <f t="shared" si="54"/>
        <v>0</v>
      </c>
      <c r="AO57" s="449">
        <v>0</v>
      </c>
      <c r="AP57" s="449">
        <f t="shared" si="55"/>
        <v>0</v>
      </c>
      <c r="AQ57" s="449">
        <v>0</v>
      </c>
      <c r="AR57" s="449">
        <f t="shared" si="56"/>
        <v>0</v>
      </c>
      <c r="AS57" s="450">
        <v>0</v>
      </c>
      <c r="AT57" s="449">
        <f t="shared" si="57"/>
        <v>0</v>
      </c>
      <c r="AU57" s="450">
        <v>0</v>
      </c>
      <c r="AV57" s="449">
        <f t="shared" si="58"/>
        <v>0</v>
      </c>
    </row>
    <row r="58" spans="1:48">
      <c r="A58" s="443" t="s">
        <v>48</v>
      </c>
      <c r="B58" s="449">
        <f t="shared" si="52"/>
        <v>0</v>
      </c>
      <c r="C58" s="449">
        <f t="shared" si="52"/>
        <v>0</v>
      </c>
      <c r="D58" s="449">
        <f t="shared" si="52"/>
        <v>0</v>
      </c>
      <c r="E58" s="449">
        <f t="shared" si="52"/>
        <v>19251</v>
      </c>
      <c r="F58" s="449">
        <f t="shared" si="52"/>
        <v>0</v>
      </c>
      <c r="G58" s="449">
        <f t="shared" si="52"/>
        <v>0</v>
      </c>
      <c r="H58" s="449">
        <f t="shared" si="52"/>
        <v>0</v>
      </c>
      <c r="I58" s="449">
        <f t="shared" si="52"/>
        <v>0</v>
      </c>
      <c r="J58" s="449">
        <f t="shared" si="52"/>
        <v>0</v>
      </c>
      <c r="K58" s="449">
        <f t="shared" si="52"/>
        <v>0</v>
      </c>
      <c r="L58" s="449">
        <f t="shared" si="52"/>
        <v>0</v>
      </c>
      <c r="M58" s="449">
        <f t="shared" si="52"/>
        <v>0</v>
      </c>
      <c r="N58" s="449">
        <f t="shared" si="52"/>
        <v>0</v>
      </c>
      <c r="O58" s="449">
        <f t="shared" si="52"/>
        <v>0</v>
      </c>
      <c r="P58" s="449">
        <f t="shared" si="52"/>
        <v>0</v>
      </c>
      <c r="Q58" s="450">
        <f t="shared" si="53"/>
        <v>0</v>
      </c>
      <c r="R58" s="450">
        <f t="shared" si="53"/>
        <v>0</v>
      </c>
      <c r="S58" s="450">
        <f t="shared" si="53"/>
        <v>0</v>
      </c>
      <c r="T58" s="450">
        <f t="shared" si="53"/>
        <v>0</v>
      </c>
      <c r="U58" s="450">
        <f t="shared" si="53"/>
        <v>0</v>
      </c>
      <c r="V58" s="450">
        <f t="shared" si="53"/>
        <v>0</v>
      </c>
      <c r="W58" s="450">
        <f t="shared" si="53"/>
        <v>0</v>
      </c>
      <c r="X58" s="450">
        <f t="shared" si="53"/>
        <v>0</v>
      </c>
      <c r="Y58" s="450">
        <f t="shared" si="53"/>
        <v>0</v>
      </c>
      <c r="Z58" s="450">
        <f t="shared" si="53"/>
        <v>0</v>
      </c>
      <c r="AA58" s="450">
        <f t="shared" si="53"/>
        <v>0</v>
      </c>
      <c r="AB58" s="450">
        <f t="shared" si="53"/>
        <v>0</v>
      </c>
      <c r="AC58" s="450">
        <f t="shared" si="53"/>
        <v>0</v>
      </c>
      <c r="AD58" s="450">
        <f t="shared" si="53"/>
        <v>0</v>
      </c>
      <c r="AE58" s="450">
        <f t="shared" si="53"/>
        <v>0</v>
      </c>
      <c r="AF58" s="450">
        <f t="shared" si="53"/>
        <v>0</v>
      </c>
      <c r="AG58" s="450">
        <f t="shared" si="53"/>
        <v>0</v>
      </c>
      <c r="AM58" s="449">
        <v>0</v>
      </c>
      <c r="AN58" s="449">
        <f t="shared" si="54"/>
        <v>0</v>
      </c>
      <c r="AO58" s="449">
        <v>0</v>
      </c>
      <c r="AP58" s="449">
        <f t="shared" si="55"/>
        <v>0</v>
      </c>
      <c r="AQ58" s="449">
        <v>0</v>
      </c>
      <c r="AR58" s="449">
        <f t="shared" si="56"/>
        <v>0</v>
      </c>
      <c r="AS58" s="450">
        <v>0</v>
      </c>
      <c r="AT58" s="449">
        <f t="shared" si="57"/>
        <v>0</v>
      </c>
      <c r="AU58" s="450">
        <v>0</v>
      </c>
      <c r="AV58" s="449">
        <f t="shared" si="58"/>
        <v>0</v>
      </c>
    </row>
    <row r="59" spans="1:48">
      <c r="A59" s="443" t="s">
        <v>49</v>
      </c>
      <c r="B59" s="449">
        <f t="shared" si="52"/>
        <v>0</v>
      </c>
      <c r="C59" s="449">
        <f t="shared" si="52"/>
        <v>0</v>
      </c>
      <c r="D59" s="449">
        <f t="shared" si="52"/>
        <v>0</v>
      </c>
      <c r="E59" s="449">
        <f t="shared" si="52"/>
        <v>26031</v>
      </c>
      <c r="F59" s="449">
        <f t="shared" si="52"/>
        <v>0</v>
      </c>
      <c r="G59" s="449">
        <f t="shared" si="52"/>
        <v>0</v>
      </c>
      <c r="H59" s="449">
        <f t="shared" si="52"/>
        <v>0</v>
      </c>
      <c r="I59" s="449">
        <f t="shared" si="52"/>
        <v>0</v>
      </c>
      <c r="J59" s="449">
        <f t="shared" si="52"/>
        <v>0</v>
      </c>
      <c r="K59" s="449">
        <f t="shared" si="52"/>
        <v>0</v>
      </c>
      <c r="L59" s="449">
        <f t="shared" si="52"/>
        <v>0</v>
      </c>
      <c r="M59" s="449">
        <f t="shared" si="52"/>
        <v>0</v>
      </c>
      <c r="N59" s="449">
        <f t="shared" si="52"/>
        <v>0</v>
      </c>
      <c r="O59" s="449">
        <f t="shared" si="52"/>
        <v>0</v>
      </c>
      <c r="P59" s="449">
        <f t="shared" si="52"/>
        <v>0</v>
      </c>
      <c r="Q59" s="450">
        <f t="shared" si="53"/>
        <v>0</v>
      </c>
      <c r="R59" s="450">
        <f t="shared" si="53"/>
        <v>0</v>
      </c>
      <c r="S59" s="450">
        <f t="shared" si="53"/>
        <v>0</v>
      </c>
      <c r="T59" s="450">
        <f t="shared" si="53"/>
        <v>0</v>
      </c>
      <c r="U59" s="450">
        <f t="shared" si="53"/>
        <v>0</v>
      </c>
      <c r="V59" s="450">
        <f t="shared" si="53"/>
        <v>0</v>
      </c>
      <c r="W59" s="450">
        <f t="shared" si="53"/>
        <v>0</v>
      </c>
      <c r="X59" s="450">
        <f t="shared" si="53"/>
        <v>0</v>
      </c>
      <c r="Y59" s="450">
        <f t="shared" si="53"/>
        <v>0</v>
      </c>
      <c r="Z59" s="450">
        <f t="shared" si="53"/>
        <v>0</v>
      </c>
      <c r="AA59" s="450">
        <f t="shared" si="53"/>
        <v>0</v>
      </c>
      <c r="AB59" s="450">
        <f t="shared" si="53"/>
        <v>0</v>
      </c>
      <c r="AC59" s="450">
        <f t="shared" si="53"/>
        <v>0</v>
      </c>
      <c r="AD59" s="450">
        <f t="shared" si="53"/>
        <v>0</v>
      </c>
      <c r="AE59" s="450">
        <f t="shared" si="53"/>
        <v>0</v>
      </c>
      <c r="AF59" s="450">
        <f t="shared" si="53"/>
        <v>0</v>
      </c>
      <c r="AG59" s="450">
        <f t="shared" si="53"/>
        <v>0</v>
      </c>
      <c r="AK59" s="449">
        <v>0</v>
      </c>
      <c r="AL59" s="449">
        <f t="shared" ref="AL59:AL65" si="59">K59-AK59</f>
        <v>0</v>
      </c>
      <c r="AM59" s="449">
        <v>0</v>
      </c>
      <c r="AN59" s="449">
        <f t="shared" si="54"/>
        <v>0</v>
      </c>
      <c r="AO59" s="449">
        <v>0</v>
      </c>
      <c r="AP59" s="449">
        <f t="shared" si="55"/>
        <v>0</v>
      </c>
      <c r="AQ59" s="449">
        <v>0</v>
      </c>
      <c r="AR59" s="449">
        <f t="shared" si="56"/>
        <v>0</v>
      </c>
      <c r="AS59" s="450">
        <v>0</v>
      </c>
      <c r="AT59" s="449">
        <f t="shared" si="57"/>
        <v>0</v>
      </c>
      <c r="AU59" s="450">
        <v>0</v>
      </c>
      <c r="AV59" s="449">
        <f t="shared" si="58"/>
        <v>0</v>
      </c>
    </row>
    <row r="60" spans="1:48">
      <c r="A60" s="443" t="s">
        <v>50</v>
      </c>
      <c r="B60" s="449">
        <f t="shared" si="52"/>
        <v>0</v>
      </c>
      <c r="C60" s="449">
        <f t="shared" si="52"/>
        <v>0</v>
      </c>
      <c r="D60" s="449">
        <f t="shared" si="52"/>
        <v>0</v>
      </c>
      <c r="E60" s="449">
        <f t="shared" si="52"/>
        <v>0</v>
      </c>
      <c r="F60" s="449">
        <f t="shared" si="52"/>
        <v>0</v>
      </c>
      <c r="G60" s="449">
        <f t="shared" si="52"/>
        <v>0</v>
      </c>
      <c r="H60" s="449">
        <f t="shared" si="52"/>
        <v>0</v>
      </c>
      <c r="I60" s="449">
        <f t="shared" si="52"/>
        <v>0</v>
      </c>
      <c r="J60" s="449">
        <f t="shared" si="52"/>
        <v>0</v>
      </c>
      <c r="K60" s="449">
        <f t="shared" si="52"/>
        <v>0</v>
      </c>
      <c r="L60" s="449">
        <f>L76+L92</f>
        <v>0</v>
      </c>
      <c r="M60" s="449">
        <f>M76+M92</f>
        <v>0</v>
      </c>
      <c r="N60" s="449">
        <f t="shared" si="52"/>
        <v>0</v>
      </c>
      <c r="O60" s="449">
        <f t="shared" si="52"/>
        <v>0</v>
      </c>
      <c r="P60" s="449">
        <f t="shared" si="52"/>
        <v>0</v>
      </c>
      <c r="Q60" s="450">
        <f t="shared" si="53"/>
        <v>0</v>
      </c>
      <c r="R60" s="450">
        <f t="shared" si="53"/>
        <v>0</v>
      </c>
      <c r="S60" s="450">
        <f t="shared" si="53"/>
        <v>0</v>
      </c>
      <c r="T60" s="450">
        <f t="shared" si="53"/>
        <v>0</v>
      </c>
      <c r="U60" s="450">
        <f t="shared" si="53"/>
        <v>0</v>
      </c>
      <c r="V60" s="450">
        <f t="shared" si="53"/>
        <v>0</v>
      </c>
      <c r="W60" s="450">
        <f t="shared" si="53"/>
        <v>0</v>
      </c>
      <c r="X60" s="450">
        <f t="shared" si="53"/>
        <v>0</v>
      </c>
      <c r="Y60" s="450">
        <f t="shared" si="53"/>
        <v>0</v>
      </c>
      <c r="Z60" s="450">
        <f t="shared" si="53"/>
        <v>0</v>
      </c>
      <c r="AA60" s="450">
        <f t="shared" si="53"/>
        <v>0</v>
      </c>
      <c r="AB60" s="450">
        <f t="shared" si="53"/>
        <v>0</v>
      </c>
      <c r="AC60" s="450">
        <f t="shared" si="53"/>
        <v>0</v>
      </c>
      <c r="AD60" s="450">
        <f t="shared" si="53"/>
        <v>0</v>
      </c>
      <c r="AE60" s="450">
        <f t="shared" si="53"/>
        <v>0</v>
      </c>
      <c r="AF60" s="450">
        <f t="shared" si="53"/>
        <v>0</v>
      </c>
      <c r="AG60" s="450">
        <f t="shared" si="53"/>
        <v>0</v>
      </c>
      <c r="AK60" s="449">
        <v>0</v>
      </c>
      <c r="AL60" s="449">
        <f t="shared" si="59"/>
        <v>0</v>
      </c>
      <c r="AM60" s="449">
        <v>0</v>
      </c>
      <c r="AN60" s="449">
        <f t="shared" si="54"/>
        <v>0</v>
      </c>
      <c r="AO60" s="449">
        <v>0</v>
      </c>
      <c r="AP60" s="449">
        <f t="shared" si="55"/>
        <v>0</v>
      </c>
      <c r="AQ60" s="449">
        <v>0</v>
      </c>
      <c r="AR60" s="449">
        <f t="shared" si="56"/>
        <v>0</v>
      </c>
      <c r="AS60" s="450">
        <v>0</v>
      </c>
      <c r="AT60" s="449">
        <f t="shared" si="57"/>
        <v>0</v>
      </c>
      <c r="AU60" s="450">
        <v>0</v>
      </c>
      <c r="AV60" s="449">
        <f t="shared" si="58"/>
        <v>0</v>
      </c>
    </row>
    <row r="61" spans="1:48">
      <c r="A61" s="443" t="s">
        <v>51</v>
      </c>
      <c r="B61" s="449">
        <f t="shared" si="52"/>
        <v>0</v>
      </c>
      <c r="C61" s="449">
        <f t="shared" si="52"/>
        <v>0</v>
      </c>
      <c r="D61" s="449">
        <f t="shared" si="52"/>
        <v>0</v>
      </c>
      <c r="E61" s="449">
        <f t="shared" si="52"/>
        <v>72906</v>
      </c>
      <c r="F61" s="449">
        <f t="shared" si="52"/>
        <v>0</v>
      </c>
      <c r="G61" s="449">
        <f t="shared" si="52"/>
        <v>0</v>
      </c>
      <c r="H61" s="449">
        <f t="shared" si="52"/>
        <v>0</v>
      </c>
      <c r="I61" s="449">
        <f t="shared" si="52"/>
        <v>0</v>
      </c>
      <c r="J61" s="449">
        <f t="shared" si="52"/>
        <v>0</v>
      </c>
      <c r="K61" s="449">
        <f t="shared" si="52"/>
        <v>0</v>
      </c>
      <c r="L61" s="449">
        <f>L77+L93</f>
        <v>0</v>
      </c>
      <c r="M61" s="449">
        <f t="shared" ref="M61:N64" si="60">M77+M93</f>
        <v>0</v>
      </c>
      <c r="N61" s="449">
        <f t="shared" si="52"/>
        <v>0</v>
      </c>
      <c r="O61" s="449">
        <f t="shared" si="52"/>
        <v>0</v>
      </c>
      <c r="P61" s="449">
        <f t="shared" si="52"/>
        <v>0</v>
      </c>
      <c r="Q61" s="450">
        <f t="shared" si="53"/>
        <v>0</v>
      </c>
      <c r="R61" s="450">
        <f t="shared" si="53"/>
        <v>0</v>
      </c>
      <c r="S61" s="450">
        <f t="shared" si="53"/>
        <v>0</v>
      </c>
      <c r="T61" s="450">
        <f t="shared" si="53"/>
        <v>0</v>
      </c>
      <c r="U61" s="450">
        <f t="shared" si="53"/>
        <v>0</v>
      </c>
      <c r="V61" s="450">
        <f t="shared" si="53"/>
        <v>0</v>
      </c>
      <c r="W61" s="450">
        <f t="shared" si="53"/>
        <v>0</v>
      </c>
      <c r="X61" s="450">
        <f t="shared" si="53"/>
        <v>0</v>
      </c>
      <c r="Y61" s="450">
        <f t="shared" si="53"/>
        <v>0</v>
      </c>
      <c r="Z61" s="450">
        <f t="shared" si="53"/>
        <v>0</v>
      </c>
      <c r="AA61" s="450">
        <f t="shared" si="53"/>
        <v>0</v>
      </c>
      <c r="AB61" s="450">
        <f t="shared" si="53"/>
        <v>0</v>
      </c>
      <c r="AC61" s="450">
        <f t="shared" si="53"/>
        <v>0</v>
      </c>
      <c r="AD61" s="450">
        <f t="shared" si="53"/>
        <v>0</v>
      </c>
      <c r="AE61" s="450">
        <f t="shared" si="53"/>
        <v>0</v>
      </c>
      <c r="AF61" s="450">
        <f t="shared" si="53"/>
        <v>0</v>
      </c>
      <c r="AG61" s="450">
        <f t="shared" si="53"/>
        <v>0</v>
      </c>
      <c r="AK61" s="449">
        <v>0</v>
      </c>
      <c r="AL61" s="449">
        <f t="shared" si="59"/>
        <v>0</v>
      </c>
      <c r="AM61" s="449">
        <v>0</v>
      </c>
      <c r="AN61" s="449">
        <f t="shared" si="54"/>
        <v>0</v>
      </c>
      <c r="AO61" s="449">
        <v>0</v>
      </c>
      <c r="AP61" s="449">
        <f t="shared" si="55"/>
        <v>0</v>
      </c>
      <c r="AQ61" s="449">
        <v>0</v>
      </c>
      <c r="AR61" s="449">
        <f t="shared" si="56"/>
        <v>0</v>
      </c>
      <c r="AS61" s="450">
        <v>0</v>
      </c>
      <c r="AT61" s="449">
        <f t="shared" si="57"/>
        <v>0</v>
      </c>
      <c r="AU61" s="450">
        <v>0</v>
      </c>
      <c r="AV61" s="449">
        <f t="shared" si="58"/>
        <v>0</v>
      </c>
    </row>
    <row r="62" spans="1:48">
      <c r="A62" s="443" t="s">
        <v>52</v>
      </c>
      <c r="B62" s="449">
        <f t="shared" si="52"/>
        <v>0</v>
      </c>
      <c r="C62" s="449">
        <f t="shared" si="52"/>
        <v>0</v>
      </c>
      <c r="D62" s="449">
        <f t="shared" si="52"/>
        <v>0</v>
      </c>
      <c r="E62" s="449">
        <f t="shared" si="52"/>
        <v>35298</v>
      </c>
      <c r="F62" s="449">
        <f t="shared" si="52"/>
        <v>0</v>
      </c>
      <c r="G62" s="449">
        <f t="shared" si="52"/>
        <v>0</v>
      </c>
      <c r="H62" s="449">
        <f t="shared" si="52"/>
        <v>0</v>
      </c>
      <c r="I62" s="449">
        <f t="shared" si="52"/>
        <v>0</v>
      </c>
      <c r="J62" s="449">
        <f t="shared" si="52"/>
        <v>0</v>
      </c>
      <c r="K62" s="449">
        <f t="shared" si="52"/>
        <v>0</v>
      </c>
      <c r="L62" s="449">
        <f>L78+L94</f>
        <v>0</v>
      </c>
      <c r="M62" s="449">
        <f t="shared" si="60"/>
        <v>0</v>
      </c>
      <c r="N62" s="449">
        <f t="shared" si="52"/>
        <v>0</v>
      </c>
      <c r="O62" s="449">
        <f t="shared" si="52"/>
        <v>0</v>
      </c>
      <c r="P62" s="449">
        <f t="shared" si="52"/>
        <v>0</v>
      </c>
      <c r="Q62" s="450">
        <f t="shared" si="53"/>
        <v>0</v>
      </c>
      <c r="R62" s="450">
        <f t="shared" si="53"/>
        <v>0</v>
      </c>
      <c r="S62" s="450">
        <f t="shared" si="53"/>
        <v>0</v>
      </c>
      <c r="T62" s="450">
        <f t="shared" si="53"/>
        <v>0</v>
      </c>
      <c r="U62" s="450">
        <f t="shared" si="53"/>
        <v>0</v>
      </c>
      <c r="V62" s="450">
        <f t="shared" si="53"/>
        <v>0</v>
      </c>
      <c r="W62" s="450">
        <f t="shared" si="53"/>
        <v>0</v>
      </c>
      <c r="X62" s="450">
        <f t="shared" si="53"/>
        <v>0</v>
      </c>
      <c r="Y62" s="450">
        <f t="shared" si="53"/>
        <v>0</v>
      </c>
      <c r="Z62" s="450">
        <f t="shared" si="53"/>
        <v>0</v>
      </c>
      <c r="AA62" s="450">
        <f t="shared" si="53"/>
        <v>0</v>
      </c>
      <c r="AB62" s="450">
        <f t="shared" si="53"/>
        <v>0</v>
      </c>
      <c r="AC62" s="450">
        <f t="shared" si="53"/>
        <v>0</v>
      </c>
      <c r="AD62" s="450">
        <f t="shared" si="53"/>
        <v>0</v>
      </c>
      <c r="AE62" s="450">
        <f t="shared" si="53"/>
        <v>0</v>
      </c>
      <c r="AF62" s="450">
        <f t="shared" si="53"/>
        <v>0</v>
      </c>
      <c r="AG62" s="450">
        <f t="shared" si="53"/>
        <v>0</v>
      </c>
      <c r="AK62" s="449">
        <v>0</v>
      </c>
      <c r="AL62" s="449">
        <f t="shared" si="59"/>
        <v>0</v>
      </c>
      <c r="AM62" s="449">
        <v>0</v>
      </c>
      <c r="AN62" s="449">
        <f t="shared" si="54"/>
        <v>0</v>
      </c>
      <c r="AO62" s="449">
        <v>0</v>
      </c>
      <c r="AP62" s="449">
        <f t="shared" si="55"/>
        <v>0</v>
      </c>
      <c r="AQ62" s="449">
        <v>0</v>
      </c>
      <c r="AR62" s="449">
        <f t="shared" si="56"/>
        <v>0</v>
      </c>
      <c r="AS62" s="450">
        <v>0</v>
      </c>
      <c r="AT62" s="449">
        <f t="shared" si="57"/>
        <v>0</v>
      </c>
      <c r="AU62" s="450">
        <v>0</v>
      </c>
      <c r="AV62" s="449">
        <f t="shared" si="58"/>
        <v>0</v>
      </c>
    </row>
    <row r="63" spans="1:48">
      <c r="A63" s="443" t="s">
        <v>53</v>
      </c>
      <c r="B63" s="449">
        <f t="shared" si="52"/>
        <v>0</v>
      </c>
      <c r="C63" s="449">
        <f t="shared" si="52"/>
        <v>0</v>
      </c>
      <c r="D63" s="449">
        <f t="shared" si="52"/>
        <v>1024</v>
      </c>
      <c r="E63" s="449">
        <f t="shared" si="52"/>
        <v>34761</v>
      </c>
      <c r="F63" s="449">
        <f t="shared" si="52"/>
        <v>0</v>
      </c>
      <c r="G63" s="449">
        <f t="shared" si="52"/>
        <v>0</v>
      </c>
      <c r="H63" s="449">
        <f t="shared" si="52"/>
        <v>0</v>
      </c>
      <c r="I63" s="449">
        <f t="shared" si="52"/>
        <v>0</v>
      </c>
      <c r="J63" s="449">
        <f t="shared" si="52"/>
        <v>0</v>
      </c>
      <c r="K63" s="449">
        <f t="shared" si="52"/>
        <v>0</v>
      </c>
      <c r="L63" s="449">
        <f>L79+L95</f>
        <v>0</v>
      </c>
      <c r="M63" s="449">
        <f t="shared" si="60"/>
        <v>0</v>
      </c>
      <c r="N63" s="449">
        <f t="shared" si="60"/>
        <v>0</v>
      </c>
      <c r="O63" s="449">
        <f>O79+O95</f>
        <v>0</v>
      </c>
      <c r="P63" s="449">
        <f t="shared" si="52"/>
        <v>0</v>
      </c>
      <c r="Q63" s="450">
        <f t="shared" si="53"/>
        <v>0</v>
      </c>
      <c r="R63" s="450">
        <f t="shared" si="53"/>
        <v>0</v>
      </c>
      <c r="S63" s="450">
        <f t="shared" si="53"/>
        <v>0</v>
      </c>
      <c r="T63" s="450">
        <f t="shared" si="53"/>
        <v>0</v>
      </c>
      <c r="U63" s="450">
        <f t="shared" si="53"/>
        <v>0</v>
      </c>
      <c r="V63" s="450">
        <f t="shared" si="53"/>
        <v>0</v>
      </c>
      <c r="W63" s="450">
        <f t="shared" si="53"/>
        <v>0</v>
      </c>
      <c r="X63" s="450">
        <f t="shared" si="53"/>
        <v>0</v>
      </c>
      <c r="Y63" s="450">
        <f t="shared" si="53"/>
        <v>0</v>
      </c>
      <c r="Z63" s="450">
        <f t="shared" si="53"/>
        <v>0</v>
      </c>
      <c r="AA63" s="450">
        <f t="shared" si="53"/>
        <v>0</v>
      </c>
      <c r="AB63" s="450">
        <f t="shared" si="53"/>
        <v>0</v>
      </c>
      <c r="AC63" s="450">
        <f t="shared" si="53"/>
        <v>0</v>
      </c>
      <c r="AD63" s="450">
        <f t="shared" si="53"/>
        <v>0</v>
      </c>
      <c r="AE63" s="450">
        <f t="shared" si="53"/>
        <v>0</v>
      </c>
      <c r="AF63" s="450">
        <f t="shared" si="53"/>
        <v>0</v>
      </c>
      <c r="AG63" s="450">
        <f t="shared" si="53"/>
        <v>0</v>
      </c>
      <c r="AK63" s="449">
        <v>0</v>
      </c>
      <c r="AL63" s="449">
        <f t="shared" si="59"/>
        <v>0</v>
      </c>
      <c r="AM63" s="449">
        <v>0</v>
      </c>
      <c r="AN63" s="449">
        <f t="shared" si="54"/>
        <v>0</v>
      </c>
      <c r="AO63" s="450">
        <v>0</v>
      </c>
      <c r="AP63" s="449">
        <f t="shared" si="55"/>
        <v>0</v>
      </c>
      <c r="AQ63" s="450">
        <v>0</v>
      </c>
      <c r="AR63" s="449">
        <f t="shared" si="56"/>
        <v>0</v>
      </c>
      <c r="AS63" s="450">
        <v>0</v>
      </c>
      <c r="AT63" s="449">
        <f t="shared" si="57"/>
        <v>0</v>
      </c>
      <c r="AU63" s="450">
        <v>0</v>
      </c>
      <c r="AV63" s="449">
        <f t="shared" si="58"/>
        <v>0</v>
      </c>
    </row>
    <row r="64" spans="1:48">
      <c r="A64" s="443" t="s">
        <v>54</v>
      </c>
      <c r="B64" s="449">
        <f t="shared" si="52"/>
        <v>0</v>
      </c>
      <c r="C64" s="449">
        <f t="shared" si="52"/>
        <v>0</v>
      </c>
      <c r="D64" s="449">
        <f t="shared" si="52"/>
        <v>0</v>
      </c>
      <c r="E64" s="449">
        <f t="shared" si="52"/>
        <v>34759</v>
      </c>
      <c r="F64" s="449">
        <f t="shared" si="52"/>
        <v>0</v>
      </c>
      <c r="G64" s="449">
        <f t="shared" si="52"/>
        <v>0</v>
      </c>
      <c r="H64" s="449">
        <f t="shared" si="52"/>
        <v>0</v>
      </c>
      <c r="I64" s="449">
        <f t="shared" si="52"/>
        <v>270</v>
      </c>
      <c r="J64" s="449">
        <f t="shared" si="52"/>
        <v>0</v>
      </c>
      <c r="K64" s="449">
        <f t="shared" si="52"/>
        <v>0</v>
      </c>
      <c r="L64" s="449">
        <f>L80+L96</f>
        <v>0</v>
      </c>
      <c r="M64" s="449">
        <f t="shared" si="60"/>
        <v>0</v>
      </c>
      <c r="N64" s="449">
        <f t="shared" si="60"/>
        <v>0</v>
      </c>
      <c r="O64" s="449">
        <f>O80+O96</f>
        <v>0</v>
      </c>
      <c r="P64" s="449">
        <f t="shared" si="52"/>
        <v>0</v>
      </c>
      <c r="Q64" s="450">
        <f t="shared" si="53"/>
        <v>5.9987155759773794</v>
      </c>
      <c r="R64" s="450">
        <f t="shared" si="53"/>
        <v>1.6844034863776827</v>
      </c>
      <c r="S64" s="450">
        <f t="shared" si="53"/>
        <v>0.48167195261766338</v>
      </c>
      <c r="T64" s="450">
        <f t="shared" si="53"/>
        <v>1.0041436008667688</v>
      </c>
      <c r="U64" s="450">
        <f t="shared" si="53"/>
        <v>1.6573500693355001</v>
      </c>
      <c r="V64" s="450">
        <f t="shared" si="53"/>
        <v>1.9513205276300027</v>
      </c>
      <c r="W64" s="450">
        <f t="shared" si="53"/>
        <v>2.3512656266948255</v>
      </c>
      <c r="X64" s="450">
        <f t="shared" si="53"/>
        <v>2.3613388334300112</v>
      </c>
      <c r="Y64" s="450">
        <f t="shared" si="53"/>
        <v>3.0078821957445285</v>
      </c>
      <c r="Z64" s="450">
        <f t="shared" si="53"/>
        <v>3.3086105788564169</v>
      </c>
      <c r="AA64" s="450">
        <f t="shared" si="53"/>
        <v>3.583234047815651</v>
      </c>
      <c r="AB64" s="450">
        <f t="shared" si="53"/>
        <v>3.9284232170025462</v>
      </c>
      <c r="AC64" s="450">
        <f t="shared" si="53"/>
        <v>4.2753459477056452</v>
      </c>
      <c r="AD64" s="450">
        <f t="shared" si="53"/>
        <v>4.6714340138370858</v>
      </c>
      <c r="AE64" s="450">
        <f t="shared" si="53"/>
        <v>4.9521371034476545</v>
      </c>
      <c r="AF64" s="450">
        <f t="shared" si="53"/>
        <v>5.3027796766162112</v>
      </c>
      <c r="AG64" s="450">
        <f t="shared" si="53"/>
        <v>5.6587214546850362</v>
      </c>
      <c r="AK64" s="449">
        <v>7828.7614533435553</v>
      </c>
      <c r="AL64" s="449">
        <f t="shared" si="59"/>
        <v>-7828.7614533435553</v>
      </c>
      <c r="AM64" s="449">
        <v>0.17879095030647768</v>
      </c>
      <c r="AN64" s="449">
        <f t="shared" si="54"/>
        <v>-0.17879095030647768</v>
      </c>
      <c r="AO64" s="450">
        <v>0</v>
      </c>
      <c r="AP64" s="449">
        <f t="shared" si="55"/>
        <v>0</v>
      </c>
      <c r="AQ64" s="450">
        <v>1.376288291066885E-2</v>
      </c>
      <c r="AR64" s="449">
        <f t="shared" si="56"/>
        <v>-1.376288291066885E-2</v>
      </c>
      <c r="AS64" s="450">
        <v>0.2204004678351339</v>
      </c>
      <c r="AT64" s="449">
        <f t="shared" si="57"/>
        <v>-0.2204004678351339</v>
      </c>
      <c r="AU64" s="450">
        <v>0.35510923164084574</v>
      </c>
      <c r="AV64" s="449">
        <f t="shared" si="58"/>
        <v>5.6436063443365336</v>
      </c>
    </row>
    <row r="65" spans="1:48" ht="12" thickBot="1">
      <c r="A65" s="443" t="s">
        <v>29</v>
      </c>
      <c r="B65" s="449">
        <f>SUM(B53:B64)</f>
        <v>0</v>
      </c>
      <c r="C65" s="449">
        <f t="shared" ref="C65:AD65" si="61">SUM(C53:C64)</f>
        <v>0</v>
      </c>
      <c r="D65" s="449">
        <f t="shared" si="61"/>
        <v>1024</v>
      </c>
      <c r="E65" s="449">
        <f t="shared" si="61"/>
        <v>232808</v>
      </c>
      <c r="F65" s="449">
        <f t="shared" si="61"/>
        <v>5211</v>
      </c>
      <c r="G65" s="449">
        <f t="shared" si="61"/>
        <v>0</v>
      </c>
      <c r="H65" s="449">
        <f t="shared" si="61"/>
        <v>0</v>
      </c>
      <c r="I65" s="449">
        <f t="shared" si="61"/>
        <v>270</v>
      </c>
      <c r="J65" s="449">
        <f t="shared" si="61"/>
        <v>6620</v>
      </c>
      <c r="K65" s="449">
        <f t="shared" si="61"/>
        <v>0</v>
      </c>
      <c r="L65" s="449">
        <f t="shared" si="61"/>
        <v>0</v>
      </c>
      <c r="M65" s="449">
        <f t="shared" si="61"/>
        <v>0</v>
      </c>
      <c r="N65" s="449">
        <f t="shared" si="61"/>
        <v>0</v>
      </c>
      <c r="O65" s="449">
        <f t="shared" si="61"/>
        <v>0</v>
      </c>
      <c r="P65" s="449">
        <f t="shared" si="61"/>
        <v>0</v>
      </c>
      <c r="Q65" s="450">
        <f t="shared" si="61"/>
        <v>9.061861503723776</v>
      </c>
      <c r="R65" s="450">
        <f t="shared" si="61"/>
        <v>42.983481559786014</v>
      </c>
      <c r="S65" s="450">
        <f t="shared" si="61"/>
        <v>12.291554642724805</v>
      </c>
      <c r="T65" s="450">
        <f t="shared" si="61"/>
        <v>25.624257073970512</v>
      </c>
      <c r="U65" s="450">
        <f t="shared" si="61"/>
        <v>42.293118436005898</v>
      </c>
      <c r="V65" s="450">
        <f t="shared" si="61"/>
        <v>49.794809019891545</v>
      </c>
      <c r="W65" s="450">
        <f t="shared" si="61"/>
        <v>60.00081543676788</v>
      </c>
      <c r="X65" s="450">
        <f t="shared" si="61"/>
        <v>60.257868749380577</v>
      </c>
      <c r="Y65" s="450">
        <f t="shared" si="61"/>
        <v>76.756697513628751</v>
      </c>
      <c r="Z65" s="450">
        <f t="shared" si="61"/>
        <v>84.430840327113401</v>
      </c>
      <c r="AA65" s="450">
        <f t="shared" si="61"/>
        <v>91.438824405369814</v>
      </c>
      <c r="AB65" s="450">
        <f t="shared" si="61"/>
        <v>100.24754061165731</v>
      </c>
      <c r="AC65" s="450">
        <f t="shared" si="61"/>
        <v>109.10049473959953</v>
      </c>
      <c r="AD65" s="450">
        <f t="shared" si="61"/>
        <v>119.20807539013913</v>
      </c>
      <c r="AE65" s="450">
        <f>SUM(AE53:AE64)</f>
        <v>126.37120238057105</v>
      </c>
      <c r="AF65" s="450">
        <f>SUM(AF53:AF64)</f>
        <v>135.31908137735445</v>
      </c>
      <c r="AG65" s="450">
        <f>SUM(AG53:AG64)</f>
        <v>144.4021882325178</v>
      </c>
      <c r="AK65" s="449">
        <v>7828.7614533435553</v>
      </c>
      <c r="AL65" s="449">
        <f t="shared" si="59"/>
        <v>-7828.7614533435553</v>
      </c>
      <c r="AM65" s="449">
        <v>0.27008762280456722</v>
      </c>
      <c r="AN65" s="449">
        <f t="shared" si="54"/>
        <v>-0.27008762280456722</v>
      </c>
      <c r="AO65" s="450">
        <v>0</v>
      </c>
      <c r="AP65" s="449">
        <f t="shared" si="55"/>
        <v>0</v>
      </c>
      <c r="AQ65" s="450">
        <v>1.376288291066885E-2</v>
      </c>
      <c r="AR65" s="449">
        <f t="shared" si="56"/>
        <v>-1.376288291066885E-2</v>
      </c>
      <c r="AS65" s="450">
        <v>0.2204004678351339</v>
      </c>
      <c r="AT65" s="449">
        <f t="shared" si="57"/>
        <v>-0.2204004678351339</v>
      </c>
      <c r="AU65" s="450">
        <v>9.061861503723776</v>
      </c>
      <c r="AV65" s="449">
        <f t="shared" si="58"/>
        <v>0</v>
      </c>
    </row>
    <row r="66" spans="1:48">
      <c r="A66" s="461"/>
      <c r="B66" s="461"/>
      <c r="C66" s="461"/>
      <c r="D66" s="461"/>
      <c r="E66" s="461"/>
      <c r="F66" s="461"/>
      <c r="G66" s="461"/>
      <c r="H66" s="461"/>
      <c r="I66" s="461"/>
      <c r="J66" s="461"/>
      <c r="K66" s="461"/>
      <c r="L66" s="461"/>
      <c r="M66" s="461"/>
      <c r="N66" s="461"/>
      <c r="O66" s="461"/>
      <c r="P66" s="461"/>
      <c r="Q66" s="461"/>
      <c r="R66" s="461"/>
      <c r="S66" s="461"/>
      <c r="T66" s="461"/>
      <c r="U66" s="461"/>
      <c r="V66" s="461"/>
      <c r="W66" s="461"/>
      <c r="X66" s="461"/>
      <c r="Y66" s="461"/>
      <c r="Z66" s="461"/>
      <c r="AA66" s="461"/>
      <c r="AB66" s="461"/>
      <c r="AC66" s="461"/>
      <c r="AD66" s="461"/>
      <c r="AE66" s="461"/>
      <c r="AF66" s="461"/>
      <c r="AG66" s="461"/>
      <c r="AO66" s="450"/>
    </row>
    <row r="67" spans="1:48" ht="12" thickBot="1">
      <c r="A67" s="442" t="s">
        <v>545</v>
      </c>
      <c r="AO67" s="450"/>
    </row>
    <row r="68" spans="1:48" ht="12" thickBot="1">
      <c r="A68" s="459"/>
      <c r="B68" s="460">
        <f t="shared" ref="B68:K68" si="62">B2</f>
        <v>2010</v>
      </c>
      <c r="C68" s="460">
        <f t="shared" si="62"/>
        <v>2011</v>
      </c>
      <c r="D68" s="460">
        <f t="shared" si="62"/>
        <v>2012</v>
      </c>
      <c r="E68" s="460">
        <f t="shared" si="62"/>
        <v>2013</v>
      </c>
      <c r="F68" s="460">
        <f t="shared" si="62"/>
        <v>2014</v>
      </c>
      <c r="G68" s="460">
        <f t="shared" si="62"/>
        <v>2015</v>
      </c>
      <c r="H68" s="460">
        <f t="shared" si="62"/>
        <v>2016</v>
      </c>
      <c r="I68" s="460">
        <f t="shared" si="62"/>
        <v>2017</v>
      </c>
      <c r="J68" s="460">
        <f t="shared" si="62"/>
        <v>2018</v>
      </c>
      <c r="K68" s="460">
        <f t="shared" si="62"/>
        <v>2019</v>
      </c>
      <c r="L68" s="460">
        <f>L2</f>
        <v>2020</v>
      </c>
      <c r="M68" s="460">
        <f>M2</f>
        <v>2021</v>
      </c>
      <c r="N68" s="460">
        <f t="shared" ref="N68:AD68" si="63">N2</f>
        <v>2022</v>
      </c>
      <c r="O68" s="460">
        <f t="shared" si="63"/>
        <v>2023</v>
      </c>
      <c r="P68" s="460">
        <f t="shared" si="63"/>
        <v>2024</v>
      </c>
      <c r="Q68" s="460">
        <f t="shared" si="63"/>
        <v>2025</v>
      </c>
      <c r="R68" s="460">
        <f t="shared" si="63"/>
        <v>2026</v>
      </c>
      <c r="S68" s="460">
        <f t="shared" si="63"/>
        <v>2027</v>
      </c>
      <c r="T68" s="460">
        <f t="shared" si="63"/>
        <v>2028</v>
      </c>
      <c r="U68" s="460">
        <f t="shared" si="63"/>
        <v>2029</v>
      </c>
      <c r="V68" s="460">
        <f t="shared" si="63"/>
        <v>2030</v>
      </c>
      <c r="W68" s="460">
        <f t="shared" si="63"/>
        <v>2031</v>
      </c>
      <c r="X68" s="460">
        <f t="shared" si="63"/>
        <v>2032</v>
      </c>
      <c r="Y68" s="460">
        <f t="shared" si="63"/>
        <v>2033</v>
      </c>
      <c r="Z68" s="460">
        <f t="shared" si="63"/>
        <v>2034</v>
      </c>
      <c r="AA68" s="460">
        <f t="shared" si="63"/>
        <v>2035</v>
      </c>
      <c r="AB68" s="460">
        <f t="shared" si="63"/>
        <v>2036</v>
      </c>
      <c r="AC68" s="460">
        <f t="shared" si="63"/>
        <v>2037</v>
      </c>
      <c r="AD68" s="460">
        <f t="shared" si="63"/>
        <v>2038</v>
      </c>
      <c r="AE68" s="460">
        <f>AE2</f>
        <v>2039</v>
      </c>
      <c r="AF68" s="460">
        <f>AF2</f>
        <v>2040</v>
      </c>
      <c r="AG68" s="460">
        <f>AG2</f>
        <v>2041</v>
      </c>
      <c r="AO68" s="450"/>
    </row>
    <row r="69" spans="1:48">
      <c r="A69" s="443" t="s">
        <v>43</v>
      </c>
      <c r="B69" s="449">
        <f>'Monthly D7 Gallon Data'!$K4</f>
        <v>0</v>
      </c>
      <c r="C69" s="449">
        <f>'Monthly D7 Gallon Data'!$K16</f>
        <v>0</v>
      </c>
      <c r="D69" s="449">
        <f>'Monthly D7 Gallon Data'!$K28</f>
        <v>0</v>
      </c>
      <c r="E69" s="449">
        <f>'Monthly D7 Gallon Data'!$K40</f>
        <v>0</v>
      </c>
      <c r="F69" s="449">
        <f>'Monthly D7 Gallon Data'!$K52</f>
        <v>0</v>
      </c>
      <c r="G69" s="449">
        <f>'Monthly D7 Gallon Data'!$K64</f>
        <v>0</v>
      </c>
      <c r="H69" s="449">
        <f>'Monthly D7 Gallon Data'!$K76</f>
        <v>0</v>
      </c>
      <c r="I69" s="449">
        <f>'Monthly D7 Gallon Data'!$K88</f>
        <v>0</v>
      </c>
      <c r="J69" s="449">
        <f>'Monthly D7 Gallon Data'!$K100</f>
        <v>0</v>
      </c>
      <c r="K69" s="449">
        <f>'Monthly D7 Gallon Data'!$K112</f>
        <v>0</v>
      </c>
      <c r="L69" s="449">
        <f>'Monthly D7 Gallon Data'!$K124</f>
        <v>0</v>
      </c>
      <c r="M69" s="449">
        <f>'Monthly D7 Gallon Data'!$K136</f>
        <v>0</v>
      </c>
      <c r="N69" s="449">
        <f>'Monthly D7 Gallon Data'!$K148</f>
        <v>0</v>
      </c>
      <c r="O69" s="449">
        <f>'Monthly D7 Gallon Data'!$K160</f>
        <v>0</v>
      </c>
      <c r="P69" s="449">
        <f>'Monthly D7 Gallon Data'!$K172</f>
        <v>0</v>
      </c>
      <c r="Q69" s="449">
        <f>'Monthly D7 Gallon Data'!$K184</f>
        <v>0</v>
      </c>
      <c r="R69" s="450">
        <f t="shared" ref="R69:AG71" si="64">(SUM($H69:$L69)/SUM($H$81:$L$81))*R$81</f>
        <v>0</v>
      </c>
      <c r="S69" s="450">
        <f t="shared" si="64"/>
        <v>0</v>
      </c>
      <c r="T69" s="450">
        <f t="shared" si="64"/>
        <v>0</v>
      </c>
      <c r="U69" s="450">
        <f t="shared" si="64"/>
        <v>0</v>
      </c>
      <c r="V69" s="450">
        <f t="shared" si="64"/>
        <v>0</v>
      </c>
      <c r="W69" s="450">
        <f t="shared" si="64"/>
        <v>0</v>
      </c>
      <c r="X69" s="450">
        <f t="shared" si="64"/>
        <v>0</v>
      </c>
      <c r="Y69" s="450">
        <f t="shared" si="64"/>
        <v>0</v>
      </c>
      <c r="Z69" s="450">
        <f t="shared" si="64"/>
        <v>0</v>
      </c>
      <c r="AA69" s="450">
        <f t="shared" si="64"/>
        <v>0</v>
      </c>
      <c r="AB69" s="450">
        <f t="shared" si="64"/>
        <v>0</v>
      </c>
      <c r="AC69" s="450">
        <f t="shared" si="64"/>
        <v>0</v>
      </c>
      <c r="AD69" s="450">
        <f t="shared" si="64"/>
        <v>0</v>
      </c>
      <c r="AE69" s="450">
        <f t="shared" si="64"/>
        <v>0</v>
      </c>
      <c r="AF69" s="450">
        <f t="shared" si="64"/>
        <v>0</v>
      </c>
      <c r="AG69" s="450">
        <f t="shared" si="64"/>
        <v>0</v>
      </c>
      <c r="AM69" s="449">
        <v>0</v>
      </c>
      <c r="AN69" s="449">
        <f t="shared" ref="AN69:AN81" si="65">L69-AM69</f>
        <v>0</v>
      </c>
      <c r="AO69" s="449">
        <v>0</v>
      </c>
      <c r="AP69" s="449">
        <f t="shared" ref="AP69:AP81" si="66">N69-AO69</f>
        <v>0</v>
      </c>
      <c r="AQ69" s="449">
        <v>0</v>
      </c>
      <c r="AR69" s="449">
        <f t="shared" ref="AR69:AR81" si="67">O69-AQ69</f>
        <v>0</v>
      </c>
      <c r="AS69" s="449">
        <v>0</v>
      </c>
      <c r="AT69" s="449">
        <f t="shared" ref="AT69:AT81" si="68">P69-AS69</f>
        <v>0</v>
      </c>
      <c r="AU69" s="449">
        <v>0</v>
      </c>
      <c r="AV69" s="449">
        <f>Q69-AU69</f>
        <v>0</v>
      </c>
    </row>
    <row r="70" spans="1:48">
      <c r="A70" s="443" t="s">
        <v>44</v>
      </c>
      <c r="B70" s="449">
        <f>'Monthly D7 Gallon Data'!$K5</f>
        <v>0</v>
      </c>
      <c r="C70" s="449">
        <f>'Monthly D7 Gallon Data'!$K17</f>
        <v>0</v>
      </c>
      <c r="D70" s="449">
        <f>'Monthly D7 Gallon Data'!$K29</f>
        <v>0</v>
      </c>
      <c r="E70" s="449">
        <f>'Monthly D7 Gallon Data'!$K41</f>
        <v>0</v>
      </c>
      <c r="F70" s="449">
        <f>'Monthly D7 Gallon Data'!$K53</f>
        <v>0</v>
      </c>
      <c r="G70" s="449">
        <f>'Monthly D7 Gallon Data'!$K65</f>
        <v>0</v>
      </c>
      <c r="H70" s="449">
        <f>'Monthly D7 Gallon Data'!$K77</f>
        <v>0</v>
      </c>
      <c r="I70" s="449">
        <f>'Monthly D7 Gallon Data'!$K89</f>
        <v>0</v>
      </c>
      <c r="J70" s="449">
        <f>'Monthly D7 Gallon Data'!$K101</f>
        <v>0</v>
      </c>
      <c r="K70" s="449">
        <f>'Monthly D7 Gallon Data'!$K113</f>
        <v>0</v>
      </c>
      <c r="L70" s="449">
        <f>'Monthly D7 Gallon Data'!$K125</f>
        <v>0</v>
      </c>
      <c r="M70" s="449">
        <f>'Monthly D7 Gallon Data'!$K137</f>
        <v>0</v>
      </c>
      <c r="N70" s="449">
        <f>'Monthly D7 Gallon Data'!$K149</f>
        <v>0</v>
      </c>
      <c r="O70" s="449">
        <f>'Monthly D7 Gallon Data'!$K161</f>
        <v>0</v>
      </c>
      <c r="P70" s="449">
        <f>'Monthly D7 Gallon Data'!$K173</f>
        <v>0</v>
      </c>
      <c r="Q70" s="449">
        <f>'Monthly D7 Gallon Data'!$K185</f>
        <v>0</v>
      </c>
      <c r="R70" s="450">
        <f t="shared" si="64"/>
        <v>0</v>
      </c>
      <c r="S70" s="450">
        <f t="shared" si="64"/>
        <v>0</v>
      </c>
      <c r="T70" s="450">
        <f t="shared" si="64"/>
        <v>0</v>
      </c>
      <c r="U70" s="450">
        <f t="shared" si="64"/>
        <v>0</v>
      </c>
      <c r="V70" s="450">
        <f t="shared" si="64"/>
        <v>0</v>
      </c>
      <c r="W70" s="450">
        <f t="shared" si="64"/>
        <v>0</v>
      </c>
      <c r="X70" s="450">
        <f t="shared" si="64"/>
        <v>0</v>
      </c>
      <c r="Y70" s="450">
        <f t="shared" si="64"/>
        <v>0</v>
      </c>
      <c r="Z70" s="450">
        <f t="shared" si="64"/>
        <v>0</v>
      </c>
      <c r="AA70" s="450">
        <f t="shared" si="64"/>
        <v>0</v>
      </c>
      <c r="AB70" s="450">
        <f t="shared" si="64"/>
        <v>0</v>
      </c>
      <c r="AC70" s="450">
        <f t="shared" si="64"/>
        <v>0</v>
      </c>
      <c r="AD70" s="450">
        <f t="shared" si="64"/>
        <v>0</v>
      </c>
      <c r="AE70" s="450">
        <f t="shared" si="64"/>
        <v>0</v>
      </c>
      <c r="AF70" s="450">
        <f t="shared" si="64"/>
        <v>0</v>
      </c>
      <c r="AG70" s="450">
        <f t="shared" si="64"/>
        <v>0</v>
      </c>
      <c r="AM70" s="449">
        <v>0</v>
      </c>
      <c r="AN70" s="449">
        <f t="shared" si="65"/>
        <v>0</v>
      </c>
      <c r="AO70" s="449">
        <v>0</v>
      </c>
      <c r="AP70" s="449">
        <f t="shared" si="66"/>
        <v>0</v>
      </c>
      <c r="AQ70" s="449">
        <v>0</v>
      </c>
      <c r="AR70" s="449">
        <f t="shared" si="67"/>
        <v>0</v>
      </c>
      <c r="AS70" s="449">
        <v>0</v>
      </c>
      <c r="AT70" s="449">
        <f t="shared" si="68"/>
        <v>0</v>
      </c>
      <c r="AU70" s="449">
        <v>0</v>
      </c>
      <c r="AV70" s="449">
        <f t="shared" ref="AV70:AV81" si="69">Q70-AU70</f>
        <v>0</v>
      </c>
    </row>
    <row r="71" spans="1:48">
      <c r="A71" s="443" t="s">
        <v>45</v>
      </c>
      <c r="B71" s="449">
        <f>'Monthly D7 Gallon Data'!$K6</f>
        <v>0</v>
      </c>
      <c r="C71" s="449">
        <f>'Monthly D7 Gallon Data'!$K18</f>
        <v>0</v>
      </c>
      <c r="D71" s="449">
        <f>'Monthly D7 Gallon Data'!$K30</f>
        <v>0</v>
      </c>
      <c r="E71" s="449">
        <f>'Monthly D7 Gallon Data'!$K42</f>
        <v>9802</v>
      </c>
      <c r="F71" s="449">
        <f>'Monthly D7 Gallon Data'!$K54</f>
        <v>0</v>
      </c>
      <c r="G71" s="449">
        <f>'Monthly D7 Gallon Data'!$K66</f>
        <v>0</v>
      </c>
      <c r="H71" s="449">
        <f>'Monthly D7 Gallon Data'!$K78</f>
        <v>0</v>
      </c>
      <c r="I71" s="449">
        <f>'Monthly D7 Gallon Data'!$K90</f>
        <v>0</v>
      </c>
      <c r="J71" s="449">
        <f>'Monthly D7 Gallon Data'!$K102</f>
        <v>4291</v>
      </c>
      <c r="K71" s="449">
        <f>'Monthly D7 Gallon Data'!$K114</f>
        <v>0</v>
      </c>
      <c r="L71" s="449">
        <f>'Monthly D7 Gallon Data'!$K126</f>
        <v>0</v>
      </c>
      <c r="M71" s="449">
        <f>'Monthly D7 Gallon Data'!$K138</f>
        <v>0</v>
      </c>
      <c r="N71" s="449">
        <f>'Monthly D7 Gallon Data'!$K150</f>
        <v>0</v>
      </c>
      <c r="O71" s="449">
        <f>'Monthly D7 Gallon Data'!$K162</f>
        <v>0</v>
      </c>
      <c r="P71" s="449">
        <f>'Monthly D7 Gallon Data'!$K174</f>
        <v>0</v>
      </c>
      <c r="Q71" s="449">
        <f>'Monthly D7 Gallon Data'!$K186</f>
        <v>0</v>
      </c>
      <c r="R71" s="450">
        <f t="shared" si="64"/>
        <v>26.769538370543074</v>
      </c>
      <c r="S71" s="450">
        <f t="shared" si="64"/>
        <v>7.6550161062310789</v>
      </c>
      <c r="T71" s="450">
        <f t="shared" si="64"/>
        <v>15.958445153034464</v>
      </c>
      <c r="U71" s="450">
        <f t="shared" si="64"/>
        <v>26.33958943525418</v>
      </c>
      <c r="V71" s="450">
        <f t="shared" si="64"/>
        <v>31.011542163186444</v>
      </c>
      <c r="W71" s="450">
        <f t="shared" si="64"/>
        <v>37.367706682027716</v>
      </c>
      <c r="X71" s="450">
        <f t="shared" si="64"/>
        <v>37.527796052770981</v>
      </c>
      <c r="Y71" s="450">
        <f t="shared" si="64"/>
        <v>47.803046303480542</v>
      </c>
      <c r="Z71" s="450">
        <f t="shared" si="64"/>
        <v>52.582399977306757</v>
      </c>
      <c r="AA71" s="450">
        <f t="shared" si="64"/>
        <v>56.946878885840619</v>
      </c>
      <c r="AB71" s="450">
        <f t="shared" si="64"/>
        <v>62.432829719103268</v>
      </c>
      <c r="AC71" s="450">
        <f t="shared" si="64"/>
        <v>67.946331339277435</v>
      </c>
      <c r="AD71" s="450">
        <f t="shared" si="64"/>
        <v>74.241197605092452</v>
      </c>
      <c r="AE71" s="450">
        <f t="shared" si="64"/>
        <v>78.702297447754759</v>
      </c>
      <c r="AF71" s="450">
        <f t="shared" si="64"/>
        <v>84.274917008741355</v>
      </c>
      <c r="AG71" s="450">
        <f t="shared" si="64"/>
        <v>89.931754674271957</v>
      </c>
      <c r="AM71" s="449">
        <v>0.16820696508772101</v>
      </c>
      <c r="AN71" s="449">
        <f t="shared" si="65"/>
        <v>-0.16820696508772101</v>
      </c>
      <c r="AO71" s="449">
        <v>0.28340751123010399</v>
      </c>
      <c r="AP71" s="449">
        <f t="shared" si="66"/>
        <v>-0.28340751123010399</v>
      </c>
      <c r="AQ71" s="449">
        <v>0.2850335377867339</v>
      </c>
      <c r="AR71" s="449">
        <f t="shared" si="67"/>
        <v>-0.2850335377867339</v>
      </c>
      <c r="AS71" s="449">
        <v>0</v>
      </c>
      <c r="AT71" s="449">
        <f t="shared" si="68"/>
        <v>0</v>
      </c>
      <c r="AU71" s="449">
        <v>5.6436063443365336</v>
      </c>
      <c r="AV71" s="449">
        <f t="shared" si="69"/>
        <v>-5.6436063443365336</v>
      </c>
    </row>
    <row r="72" spans="1:48">
      <c r="A72" s="443" t="s">
        <v>46</v>
      </c>
      <c r="B72" s="449">
        <f>'Monthly D7 Gallon Data'!$K7</f>
        <v>0</v>
      </c>
      <c r="C72" s="449">
        <f>'Monthly D7 Gallon Data'!$K19</f>
        <v>0</v>
      </c>
      <c r="D72" s="449">
        <f>'Monthly D7 Gallon Data'!$K31</f>
        <v>0</v>
      </c>
      <c r="E72" s="449">
        <f>'Monthly D7 Gallon Data'!$K43</f>
        <v>0</v>
      </c>
      <c r="F72" s="449">
        <f>'Monthly D7 Gallon Data'!$K55</f>
        <v>5211</v>
      </c>
      <c r="G72" s="449">
        <f>'Monthly D7 Gallon Data'!$K67</f>
        <v>0</v>
      </c>
      <c r="H72" s="449">
        <f>'Monthly D7 Gallon Data'!$K79</f>
        <v>0</v>
      </c>
      <c r="I72" s="449">
        <f>'Monthly D7 Gallon Data'!$K91</f>
        <v>0</v>
      </c>
      <c r="J72" s="449">
        <f>'Monthly D7 Gallon Data'!$K103</f>
        <v>2329</v>
      </c>
      <c r="K72" s="449">
        <f>'Monthly D7 Gallon Data'!$K115</f>
        <v>0</v>
      </c>
      <c r="L72" s="449">
        <f>'Monthly D7 Gallon Data'!$K127</f>
        <v>0</v>
      </c>
      <c r="M72" s="449">
        <f>'Monthly D7 Gallon Data'!$K139</f>
        <v>0</v>
      </c>
      <c r="N72" s="449">
        <f>'Monthly D7 Gallon Data'!$K151</f>
        <v>0</v>
      </c>
      <c r="O72" s="449">
        <f>'Monthly D7 Gallon Data'!$K163</f>
        <v>0</v>
      </c>
      <c r="P72" s="449">
        <f>'Monthly D7 Gallon Data'!$K175</f>
        <v>0</v>
      </c>
      <c r="Q72" s="450">
        <f t="shared" ref="Q72:AG73" si="70">(SUM($H72:$L72)/SUM($H$81:$L$81))*Q$81</f>
        <v>3.0631459277463966</v>
      </c>
      <c r="R72" s="450">
        <f t="shared" si="70"/>
        <v>14.529539702865257</v>
      </c>
      <c r="S72" s="450">
        <f t="shared" si="70"/>
        <v>4.1548665838760623</v>
      </c>
      <c r="T72" s="450">
        <f t="shared" si="70"/>
        <v>8.6616683200692766</v>
      </c>
      <c r="U72" s="450">
        <f t="shared" si="70"/>
        <v>14.296178931416216</v>
      </c>
      <c r="V72" s="450">
        <f t="shared" si="70"/>
        <v>16.831946329075095</v>
      </c>
      <c r="W72" s="450">
        <f t="shared" si="70"/>
        <v>20.281843128045338</v>
      </c>
      <c r="X72" s="450">
        <f t="shared" si="70"/>
        <v>20.368733863179589</v>
      </c>
      <c r="Y72" s="450">
        <f t="shared" si="70"/>
        <v>25.94576901440368</v>
      </c>
      <c r="Z72" s="450">
        <f t="shared" si="70"/>
        <v>28.539829770950231</v>
      </c>
      <c r="AA72" s="450">
        <f t="shared" si="70"/>
        <v>30.908711471713541</v>
      </c>
      <c r="AB72" s="450">
        <f t="shared" si="70"/>
        <v>33.886287675551507</v>
      </c>
      <c r="AC72" s="450">
        <f t="shared" si="70"/>
        <v>36.878817452616445</v>
      </c>
      <c r="AD72" s="450">
        <f t="shared" si="70"/>
        <v>40.295443771209584</v>
      </c>
      <c r="AE72" s="450">
        <f t="shared" si="70"/>
        <v>42.716767829368642</v>
      </c>
      <c r="AF72" s="450">
        <f t="shared" si="70"/>
        <v>45.741384691996878</v>
      </c>
      <c r="AG72" s="450">
        <f t="shared" si="70"/>
        <v>48.811712103560808</v>
      </c>
      <c r="AM72" s="449">
        <v>9.1296672498089551E-2</v>
      </c>
      <c r="AN72" s="449">
        <f t="shared" si="65"/>
        <v>-9.1296672498089551E-2</v>
      </c>
      <c r="AO72" s="449">
        <v>0.15382396548280847</v>
      </c>
      <c r="AP72" s="449">
        <f t="shared" si="66"/>
        <v>-0.15382396548280847</v>
      </c>
      <c r="AQ72" s="449">
        <v>0.15470592158128718</v>
      </c>
      <c r="AR72" s="449">
        <f t="shared" si="67"/>
        <v>-0.15470592158128718</v>
      </c>
      <c r="AS72" s="449">
        <v>0</v>
      </c>
      <c r="AT72" s="449">
        <f t="shared" si="68"/>
        <v>0</v>
      </c>
      <c r="AU72" s="449">
        <v>3.0631459277463966</v>
      </c>
      <c r="AV72" s="449">
        <f t="shared" si="69"/>
        <v>0</v>
      </c>
    </row>
    <row r="73" spans="1:48">
      <c r="A73" s="443" t="s">
        <v>47</v>
      </c>
      <c r="B73" s="449">
        <f>'Monthly D7 Gallon Data'!$K8</f>
        <v>0</v>
      </c>
      <c r="C73" s="449">
        <f>'Monthly D7 Gallon Data'!$K20</f>
        <v>0</v>
      </c>
      <c r="D73" s="449">
        <f>'Monthly D7 Gallon Data'!$K32</f>
        <v>0</v>
      </c>
      <c r="E73" s="449">
        <f>'Monthly D7 Gallon Data'!$K44</f>
        <v>0</v>
      </c>
      <c r="F73" s="449">
        <f>'Monthly D7 Gallon Data'!$K56</f>
        <v>0</v>
      </c>
      <c r="G73" s="449">
        <f>'Monthly D7 Gallon Data'!$K68</f>
        <v>0</v>
      </c>
      <c r="H73" s="449">
        <f>'Monthly D7 Gallon Data'!$K80</f>
        <v>0</v>
      </c>
      <c r="I73" s="449">
        <f>'Monthly D7 Gallon Data'!$K92</f>
        <v>0</v>
      </c>
      <c r="J73" s="449">
        <f>'Monthly D7 Gallon Data'!$K104</f>
        <v>0</v>
      </c>
      <c r="K73" s="449">
        <f>'Monthly D7 Gallon Data'!$K116</f>
        <v>0</v>
      </c>
      <c r="L73" s="449">
        <f>'Monthly D7 Gallon Data'!$K128</f>
        <v>0</v>
      </c>
      <c r="M73" s="449">
        <f>'Monthly D7 Gallon Data'!$K140</f>
        <v>0</v>
      </c>
      <c r="N73" s="449">
        <f>'Monthly D7 Gallon Data'!$K152</f>
        <v>0</v>
      </c>
      <c r="O73" s="449">
        <f>'Monthly D7 Gallon Data'!$K164</f>
        <v>0</v>
      </c>
      <c r="P73" s="449">
        <f>'Monthly D7 Gallon Data'!$K176</f>
        <v>0</v>
      </c>
      <c r="Q73" s="450">
        <f t="shared" si="70"/>
        <v>0</v>
      </c>
      <c r="R73" s="450">
        <f t="shared" si="70"/>
        <v>0</v>
      </c>
      <c r="S73" s="450">
        <f t="shared" si="70"/>
        <v>0</v>
      </c>
      <c r="T73" s="450">
        <f t="shared" si="70"/>
        <v>0</v>
      </c>
      <c r="U73" s="450">
        <f t="shared" si="70"/>
        <v>0</v>
      </c>
      <c r="V73" s="450">
        <f t="shared" si="70"/>
        <v>0</v>
      </c>
      <c r="W73" s="450">
        <f t="shared" ref="W73:AG73" si="71">(SUM($H73:$L73)/SUM($H$81:$L$81))*W$81</f>
        <v>0</v>
      </c>
      <c r="X73" s="450">
        <f t="shared" si="71"/>
        <v>0</v>
      </c>
      <c r="Y73" s="450">
        <f t="shared" si="71"/>
        <v>0</v>
      </c>
      <c r="Z73" s="450">
        <f t="shared" si="71"/>
        <v>0</v>
      </c>
      <c r="AA73" s="450">
        <f t="shared" si="71"/>
        <v>0</v>
      </c>
      <c r="AB73" s="450">
        <f t="shared" si="71"/>
        <v>0</v>
      </c>
      <c r="AC73" s="450">
        <f t="shared" si="71"/>
        <v>0</v>
      </c>
      <c r="AD73" s="450">
        <f t="shared" si="71"/>
        <v>0</v>
      </c>
      <c r="AE73" s="450">
        <f t="shared" si="71"/>
        <v>0</v>
      </c>
      <c r="AF73" s="450">
        <f t="shared" si="71"/>
        <v>0</v>
      </c>
      <c r="AG73" s="450">
        <f t="shared" si="71"/>
        <v>0</v>
      </c>
      <c r="AM73" s="449">
        <v>0</v>
      </c>
      <c r="AN73" s="449">
        <f t="shared" si="65"/>
        <v>0</v>
      </c>
      <c r="AO73" s="449">
        <v>0</v>
      </c>
      <c r="AP73" s="449">
        <f t="shared" si="66"/>
        <v>0</v>
      </c>
      <c r="AQ73" s="449">
        <v>0</v>
      </c>
      <c r="AR73" s="449">
        <f t="shared" si="67"/>
        <v>0</v>
      </c>
      <c r="AS73" s="450">
        <v>0</v>
      </c>
      <c r="AT73" s="449">
        <f t="shared" si="68"/>
        <v>0</v>
      </c>
      <c r="AU73" s="450">
        <v>0</v>
      </c>
      <c r="AV73" s="449">
        <f t="shared" si="69"/>
        <v>0</v>
      </c>
    </row>
    <row r="74" spans="1:48">
      <c r="A74" s="443" t="s">
        <v>48</v>
      </c>
      <c r="B74" s="449">
        <f>'Monthly D7 Gallon Data'!$K9</f>
        <v>0</v>
      </c>
      <c r="C74" s="449">
        <f>'Monthly D7 Gallon Data'!$K21</f>
        <v>0</v>
      </c>
      <c r="D74" s="449">
        <f>'Monthly D7 Gallon Data'!$K33</f>
        <v>0</v>
      </c>
      <c r="E74" s="449">
        <f>'Monthly D7 Gallon Data'!$K45</f>
        <v>19251</v>
      </c>
      <c r="F74" s="449">
        <f>'Monthly D7 Gallon Data'!$K57</f>
        <v>0</v>
      </c>
      <c r="G74" s="449">
        <f>'Monthly D7 Gallon Data'!$K69</f>
        <v>0</v>
      </c>
      <c r="H74" s="449">
        <f>'Monthly D7 Gallon Data'!$K81</f>
        <v>0</v>
      </c>
      <c r="I74" s="449">
        <f>'Monthly D7 Gallon Data'!$K93</f>
        <v>0</v>
      </c>
      <c r="J74" s="449">
        <f>'Monthly D7 Gallon Data'!$K105</f>
        <v>0</v>
      </c>
      <c r="K74" s="449">
        <f>'Monthly D7 Gallon Data'!$K117</f>
        <v>0</v>
      </c>
      <c r="L74" s="449">
        <f>'Monthly D7 Gallon Data'!$K129</f>
        <v>0</v>
      </c>
      <c r="M74" s="449">
        <f>'Monthly D7 Gallon Data'!$K141</f>
        <v>0</v>
      </c>
      <c r="N74" s="449">
        <f>'Monthly D7 Gallon Data'!$K153</f>
        <v>0</v>
      </c>
      <c r="O74" s="449">
        <f>'Monthly D7 Gallon Data'!$K165</f>
        <v>0</v>
      </c>
      <c r="P74" s="449">
        <f>'Monthly D7 Gallon Data'!$K177</f>
        <v>0</v>
      </c>
      <c r="Q74" s="450">
        <f t="shared" ref="Q74:AF79" si="72">(SUM($H74:$L74)/SUM($H$81:$L$81))*Q$81</f>
        <v>0</v>
      </c>
      <c r="R74" s="450">
        <f t="shared" si="72"/>
        <v>0</v>
      </c>
      <c r="S74" s="450">
        <f t="shared" si="72"/>
        <v>0</v>
      </c>
      <c r="T74" s="450">
        <f t="shared" si="72"/>
        <v>0</v>
      </c>
      <c r="U74" s="450">
        <f t="shared" si="72"/>
        <v>0</v>
      </c>
      <c r="V74" s="450">
        <f t="shared" si="72"/>
        <v>0</v>
      </c>
      <c r="W74" s="450">
        <f t="shared" si="72"/>
        <v>0</v>
      </c>
      <c r="X74" s="450">
        <f t="shared" si="72"/>
        <v>0</v>
      </c>
      <c r="Y74" s="450">
        <f t="shared" si="72"/>
        <v>0</v>
      </c>
      <c r="Z74" s="450">
        <f t="shared" si="72"/>
        <v>0</v>
      </c>
      <c r="AA74" s="450">
        <f t="shared" si="72"/>
        <v>0</v>
      </c>
      <c r="AB74" s="450">
        <f t="shared" si="72"/>
        <v>0</v>
      </c>
      <c r="AC74" s="450">
        <f t="shared" si="72"/>
        <v>0</v>
      </c>
      <c r="AD74" s="450">
        <f t="shared" si="72"/>
        <v>0</v>
      </c>
      <c r="AE74" s="450">
        <f t="shared" si="72"/>
        <v>0</v>
      </c>
      <c r="AF74" s="450">
        <f t="shared" si="72"/>
        <v>0</v>
      </c>
      <c r="AG74" s="450">
        <f t="shared" ref="AF74:AG79" si="73">(SUM($H74:$L74)/SUM($H$81:$L$81))*AG$81</f>
        <v>0</v>
      </c>
      <c r="AM74" s="449">
        <v>0</v>
      </c>
      <c r="AN74" s="449">
        <f t="shared" si="65"/>
        <v>0</v>
      </c>
      <c r="AO74" s="449">
        <v>0</v>
      </c>
      <c r="AP74" s="449">
        <f t="shared" si="66"/>
        <v>0</v>
      </c>
      <c r="AQ74" s="449">
        <v>0</v>
      </c>
      <c r="AR74" s="449">
        <f t="shared" si="67"/>
        <v>0</v>
      </c>
      <c r="AS74" s="450">
        <v>0</v>
      </c>
      <c r="AT74" s="449">
        <f t="shared" si="68"/>
        <v>0</v>
      </c>
      <c r="AU74" s="450">
        <v>0</v>
      </c>
      <c r="AV74" s="449">
        <f t="shared" si="69"/>
        <v>0</v>
      </c>
    </row>
    <row r="75" spans="1:48">
      <c r="A75" s="443" t="s">
        <v>49</v>
      </c>
      <c r="B75" s="449">
        <f>'Monthly D7 Gallon Data'!$K10</f>
        <v>0</v>
      </c>
      <c r="C75" s="449">
        <f>'Monthly D7 Gallon Data'!$K22</f>
        <v>0</v>
      </c>
      <c r="D75" s="449">
        <f>'Monthly D7 Gallon Data'!$K34</f>
        <v>0</v>
      </c>
      <c r="E75" s="449">
        <f>'Monthly D7 Gallon Data'!$K46</f>
        <v>26031</v>
      </c>
      <c r="F75" s="449">
        <f>'Monthly D7 Gallon Data'!$K58</f>
        <v>0</v>
      </c>
      <c r="G75" s="449">
        <f>'Monthly D7 Gallon Data'!$K70</f>
        <v>0</v>
      </c>
      <c r="H75" s="449">
        <f>'Monthly D7 Gallon Data'!$K82</f>
        <v>0</v>
      </c>
      <c r="I75" s="449">
        <f>'Monthly D7 Gallon Data'!$K94</f>
        <v>0</v>
      </c>
      <c r="J75" s="449">
        <f>'Monthly D7 Gallon Data'!$K106</f>
        <v>0</v>
      </c>
      <c r="K75" s="449">
        <f>'Monthly D7 Gallon Data'!$K118</f>
        <v>0</v>
      </c>
      <c r="L75" s="449">
        <f>'Monthly D7 Gallon Data'!$K130</f>
        <v>0</v>
      </c>
      <c r="M75" s="449">
        <f>'Monthly D7 Gallon Data'!$K142</f>
        <v>0</v>
      </c>
      <c r="N75" s="449">
        <f>'Monthly D7 Gallon Data'!$K154</f>
        <v>0</v>
      </c>
      <c r="O75" s="449">
        <f>'Monthly D7 Gallon Data'!$K166</f>
        <v>0</v>
      </c>
      <c r="P75" s="449">
        <f>'Monthly D7 Gallon Data'!$K178</f>
        <v>0</v>
      </c>
      <c r="Q75" s="450">
        <f t="shared" si="72"/>
        <v>0</v>
      </c>
      <c r="R75" s="450">
        <f t="shared" si="72"/>
        <v>0</v>
      </c>
      <c r="S75" s="450">
        <f t="shared" si="72"/>
        <v>0</v>
      </c>
      <c r="T75" s="450">
        <f t="shared" si="72"/>
        <v>0</v>
      </c>
      <c r="U75" s="450">
        <f t="shared" si="72"/>
        <v>0</v>
      </c>
      <c r="V75" s="450">
        <f t="shared" si="72"/>
        <v>0</v>
      </c>
      <c r="W75" s="450">
        <f t="shared" si="72"/>
        <v>0</v>
      </c>
      <c r="X75" s="450">
        <f t="shared" si="72"/>
        <v>0</v>
      </c>
      <c r="Y75" s="450">
        <f t="shared" si="72"/>
        <v>0</v>
      </c>
      <c r="Z75" s="450">
        <f t="shared" si="72"/>
        <v>0</v>
      </c>
      <c r="AA75" s="450">
        <f t="shared" si="72"/>
        <v>0</v>
      </c>
      <c r="AB75" s="450">
        <f t="shared" si="72"/>
        <v>0</v>
      </c>
      <c r="AC75" s="450">
        <f t="shared" si="72"/>
        <v>0</v>
      </c>
      <c r="AD75" s="450">
        <f t="shared" si="72"/>
        <v>0</v>
      </c>
      <c r="AE75" s="450">
        <f t="shared" si="72"/>
        <v>0</v>
      </c>
      <c r="AF75" s="450">
        <f t="shared" si="73"/>
        <v>0</v>
      </c>
      <c r="AG75" s="450">
        <f t="shared" si="73"/>
        <v>0</v>
      </c>
      <c r="AK75" s="449">
        <v>0</v>
      </c>
      <c r="AL75" s="449">
        <f t="shared" ref="AL75:AL81" si="74">K75-AK75</f>
        <v>0</v>
      </c>
      <c r="AM75" s="449">
        <v>0</v>
      </c>
      <c r="AN75" s="449">
        <f t="shared" si="65"/>
        <v>0</v>
      </c>
      <c r="AO75" s="449">
        <v>0</v>
      </c>
      <c r="AP75" s="449">
        <f t="shared" si="66"/>
        <v>0</v>
      </c>
      <c r="AQ75" s="449">
        <v>0</v>
      </c>
      <c r="AR75" s="449">
        <f t="shared" si="67"/>
        <v>0</v>
      </c>
      <c r="AS75" s="450">
        <v>0</v>
      </c>
      <c r="AT75" s="449">
        <f t="shared" si="68"/>
        <v>0</v>
      </c>
      <c r="AU75" s="450">
        <v>0</v>
      </c>
      <c r="AV75" s="449">
        <f t="shared" si="69"/>
        <v>0</v>
      </c>
    </row>
    <row r="76" spans="1:48">
      <c r="A76" s="443" t="s">
        <v>50</v>
      </c>
      <c r="B76" s="449">
        <f>'Monthly D7 Gallon Data'!$K11</f>
        <v>0</v>
      </c>
      <c r="C76" s="449">
        <f>'Monthly D7 Gallon Data'!$K23</f>
        <v>0</v>
      </c>
      <c r="D76" s="449">
        <f>'Monthly D7 Gallon Data'!$K35</f>
        <v>0</v>
      </c>
      <c r="E76" s="449">
        <f>'Monthly D7 Gallon Data'!$K47</f>
        <v>0</v>
      </c>
      <c r="F76" s="449">
        <f>'Monthly D7 Gallon Data'!$K59</f>
        <v>0</v>
      </c>
      <c r="G76" s="449">
        <f>'Monthly D7 Gallon Data'!$K71</f>
        <v>0</v>
      </c>
      <c r="H76" s="449">
        <f>'Monthly D7 Gallon Data'!$K83</f>
        <v>0</v>
      </c>
      <c r="I76" s="449">
        <f>'Monthly D7 Gallon Data'!$K95</f>
        <v>0</v>
      </c>
      <c r="J76" s="449">
        <f>'Monthly D7 Gallon Data'!$K107</f>
        <v>0</v>
      </c>
      <c r="K76" s="449">
        <f>'Monthly D7 Gallon Data'!$K119</f>
        <v>0</v>
      </c>
      <c r="L76" s="449">
        <f>'Monthly D7 Gallon Data'!$K131</f>
        <v>0</v>
      </c>
      <c r="M76" s="449">
        <f>'Monthly D7 Gallon Data'!$K143</f>
        <v>0</v>
      </c>
      <c r="N76" s="449">
        <f>'Monthly D7 Gallon Data'!$K155</f>
        <v>0</v>
      </c>
      <c r="O76" s="449">
        <f>'Monthly D7 Gallon Data'!$K167</f>
        <v>0</v>
      </c>
      <c r="P76" s="449">
        <f>'Monthly D7 Gallon Data'!$K179</f>
        <v>0</v>
      </c>
      <c r="Q76" s="450">
        <f t="shared" si="72"/>
        <v>0</v>
      </c>
      <c r="R76" s="450">
        <f t="shared" si="72"/>
        <v>0</v>
      </c>
      <c r="S76" s="450">
        <f t="shared" si="72"/>
        <v>0</v>
      </c>
      <c r="T76" s="450">
        <f t="shared" si="72"/>
        <v>0</v>
      </c>
      <c r="U76" s="450">
        <f t="shared" si="72"/>
        <v>0</v>
      </c>
      <c r="V76" s="450">
        <f t="shared" si="72"/>
        <v>0</v>
      </c>
      <c r="W76" s="450">
        <f t="shared" si="72"/>
        <v>0</v>
      </c>
      <c r="X76" s="450">
        <f t="shared" si="72"/>
        <v>0</v>
      </c>
      <c r="Y76" s="450">
        <f t="shared" si="72"/>
        <v>0</v>
      </c>
      <c r="Z76" s="450">
        <f t="shared" si="72"/>
        <v>0</v>
      </c>
      <c r="AA76" s="450">
        <f t="shared" si="72"/>
        <v>0</v>
      </c>
      <c r="AB76" s="450">
        <f t="shared" si="72"/>
        <v>0</v>
      </c>
      <c r="AC76" s="450">
        <f t="shared" si="72"/>
        <v>0</v>
      </c>
      <c r="AD76" s="450">
        <f t="shared" si="72"/>
        <v>0</v>
      </c>
      <c r="AE76" s="450">
        <f t="shared" si="72"/>
        <v>0</v>
      </c>
      <c r="AF76" s="450">
        <f t="shared" si="73"/>
        <v>0</v>
      </c>
      <c r="AG76" s="450">
        <f t="shared" si="73"/>
        <v>0</v>
      </c>
      <c r="AK76" s="449">
        <v>0</v>
      </c>
      <c r="AL76" s="449">
        <f t="shared" si="74"/>
        <v>0</v>
      </c>
      <c r="AM76" s="449">
        <v>0</v>
      </c>
      <c r="AN76" s="449">
        <f t="shared" si="65"/>
        <v>0</v>
      </c>
      <c r="AO76" s="449">
        <v>0</v>
      </c>
      <c r="AP76" s="449">
        <f t="shared" si="66"/>
        <v>0</v>
      </c>
      <c r="AQ76" s="449">
        <v>0</v>
      </c>
      <c r="AR76" s="449">
        <f t="shared" si="67"/>
        <v>0</v>
      </c>
      <c r="AS76" s="450">
        <v>0</v>
      </c>
      <c r="AT76" s="449">
        <f t="shared" si="68"/>
        <v>0</v>
      </c>
      <c r="AU76" s="450">
        <v>0</v>
      </c>
      <c r="AV76" s="449">
        <f t="shared" si="69"/>
        <v>0</v>
      </c>
    </row>
    <row r="77" spans="1:48">
      <c r="A77" s="443" t="s">
        <v>51</v>
      </c>
      <c r="B77" s="449">
        <f>'Monthly D7 Gallon Data'!$K12</f>
        <v>0</v>
      </c>
      <c r="C77" s="449">
        <f>'Monthly D7 Gallon Data'!$K24</f>
        <v>0</v>
      </c>
      <c r="D77" s="449">
        <f>'Monthly D7 Gallon Data'!$K36</f>
        <v>0</v>
      </c>
      <c r="E77" s="449">
        <f>'Monthly D7 Gallon Data'!$K48</f>
        <v>72906</v>
      </c>
      <c r="F77" s="449">
        <f>'Monthly D7 Gallon Data'!$K60</f>
        <v>0</v>
      </c>
      <c r="G77" s="449">
        <f>'Monthly D7 Gallon Data'!$K72</f>
        <v>0</v>
      </c>
      <c r="H77" s="449">
        <f>'Monthly D7 Gallon Data'!$K84</f>
        <v>0</v>
      </c>
      <c r="I77" s="449">
        <f>'Monthly D7 Gallon Data'!$K96</f>
        <v>0</v>
      </c>
      <c r="J77" s="449">
        <f>'Monthly D7 Gallon Data'!$K108</f>
        <v>0</v>
      </c>
      <c r="K77" s="449">
        <f>'Monthly D7 Gallon Data'!$K120</f>
        <v>0</v>
      </c>
      <c r="L77" s="449">
        <f>'Monthly D7 Gallon Data'!$K132</f>
        <v>0</v>
      </c>
      <c r="M77" s="449">
        <f>'Monthly D7 Gallon Data'!$K144</f>
        <v>0</v>
      </c>
      <c r="N77" s="449">
        <f>'Monthly D7 Gallon Data'!$K156</f>
        <v>0</v>
      </c>
      <c r="O77" s="449">
        <f>'Monthly D7 Gallon Data'!$K168</f>
        <v>0</v>
      </c>
      <c r="P77" s="449">
        <f>'Monthly D7 Gallon Data'!$K180</f>
        <v>0</v>
      </c>
      <c r="Q77" s="450">
        <f t="shared" si="72"/>
        <v>0</v>
      </c>
      <c r="R77" s="450">
        <f t="shared" si="72"/>
        <v>0</v>
      </c>
      <c r="S77" s="450">
        <f t="shared" si="72"/>
        <v>0</v>
      </c>
      <c r="T77" s="450">
        <f t="shared" si="72"/>
        <v>0</v>
      </c>
      <c r="U77" s="450">
        <f t="shared" si="72"/>
        <v>0</v>
      </c>
      <c r="V77" s="450">
        <f t="shared" si="72"/>
        <v>0</v>
      </c>
      <c r="W77" s="450">
        <f t="shared" si="72"/>
        <v>0</v>
      </c>
      <c r="X77" s="450">
        <f t="shared" si="72"/>
        <v>0</v>
      </c>
      <c r="Y77" s="450">
        <f t="shared" si="72"/>
        <v>0</v>
      </c>
      <c r="Z77" s="450">
        <f t="shared" si="72"/>
        <v>0</v>
      </c>
      <c r="AA77" s="450">
        <f t="shared" si="72"/>
        <v>0</v>
      </c>
      <c r="AB77" s="450">
        <f t="shared" si="72"/>
        <v>0</v>
      </c>
      <c r="AC77" s="450">
        <f t="shared" si="72"/>
        <v>0</v>
      </c>
      <c r="AD77" s="450">
        <f t="shared" si="72"/>
        <v>0</v>
      </c>
      <c r="AE77" s="450">
        <f t="shared" si="72"/>
        <v>0</v>
      </c>
      <c r="AF77" s="450">
        <f t="shared" si="73"/>
        <v>0</v>
      </c>
      <c r="AG77" s="450">
        <f t="shared" si="73"/>
        <v>0</v>
      </c>
      <c r="AK77" s="449">
        <v>0</v>
      </c>
      <c r="AL77" s="449">
        <f t="shared" si="74"/>
        <v>0</v>
      </c>
      <c r="AM77" s="449">
        <v>0</v>
      </c>
      <c r="AN77" s="449">
        <f t="shared" si="65"/>
        <v>0</v>
      </c>
      <c r="AO77" s="449">
        <v>0</v>
      </c>
      <c r="AP77" s="449">
        <f t="shared" si="66"/>
        <v>0</v>
      </c>
      <c r="AQ77" s="449">
        <v>0</v>
      </c>
      <c r="AR77" s="449">
        <f t="shared" si="67"/>
        <v>0</v>
      </c>
      <c r="AS77" s="450">
        <v>0</v>
      </c>
      <c r="AT77" s="449">
        <f t="shared" si="68"/>
        <v>0</v>
      </c>
      <c r="AU77" s="450">
        <v>0</v>
      </c>
      <c r="AV77" s="449">
        <f t="shared" si="69"/>
        <v>0</v>
      </c>
    </row>
    <row r="78" spans="1:48">
      <c r="A78" s="443" t="s">
        <v>52</v>
      </c>
      <c r="B78" s="449">
        <f>'Monthly D7 Gallon Data'!$K13</f>
        <v>0</v>
      </c>
      <c r="C78" s="449">
        <f>'Monthly D7 Gallon Data'!$K25</f>
        <v>0</v>
      </c>
      <c r="D78" s="449">
        <f>'Monthly D7 Gallon Data'!$K37</f>
        <v>0</v>
      </c>
      <c r="E78" s="449">
        <f>'Monthly D7 Gallon Data'!$K49</f>
        <v>35298</v>
      </c>
      <c r="F78" s="449">
        <f>'Monthly D7 Gallon Data'!$K61</f>
        <v>0</v>
      </c>
      <c r="G78" s="449">
        <f>'Monthly D7 Gallon Data'!$K73</f>
        <v>0</v>
      </c>
      <c r="H78" s="449">
        <f>'Monthly D7 Gallon Data'!$K85</f>
        <v>0</v>
      </c>
      <c r="I78" s="449">
        <f>'Monthly D7 Gallon Data'!$K97</f>
        <v>0</v>
      </c>
      <c r="J78" s="449">
        <f>'Monthly D7 Gallon Data'!$K109</f>
        <v>0</v>
      </c>
      <c r="K78" s="449">
        <f>'Monthly D7 Gallon Data'!$K121</f>
        <v>0</v>
      </c>
      <c r="L78" s="449">
        <f>'Monthly D7 Gallon Data'!$K133</f>
        <v>0</v>
      </c>
      <c r="M78" s="449">
        <f>'Monthly D7 Gallon Data'!$K145</f>
        <v>0</v>
      </c>
      <c r="N78" s="449">
        <f>'Monthly D7 Gallon Data'!$K157</f>
        <v>0</v>
      </c>
      <c r="O78" s="449">
        <f>'Monthly D7 Gallon Data'!$K169</f>
        <v>0</v>
      </c>
      <c r="P78" s="449">
        <f>'Monthly D7 Gallon Data'!$K181</f>
        <v>0</v>
      </c>
      <c r="Q78" s="450">
        <f t="shared" si="72"/>
        <v>0</v>
      </c>
      <c r="R78" s="450">
        <f t="shared" si="72"/>
        <v>0</v>
      </c>
      <c r="S78" s="450">
        <f t="shared" si="72"/>
        <v>0</v>
      </c>
      <c r="T78" s="450">
        <f t="shared" si="72"/>
        <v>0</v>
      </c>
      <c r="U78" s="450">
        <f t="shared" si="72"/>
        <v>0</v>
      </c>
      <c r="V78" s="450">
        <f t="shared" si="72"/>
        <v>0</v>
      </c>
      <c r="W78" s="450">
        <f t="shared" si="72"/>
        <v>0</v>
      </c>
      <c r="X78" s="450">
        <f t="shared" si="72"/>
        <v>0</v>
      </c>
      <c r="Y78" s="450">
        <f t="shared" si="72"/>
        <v>0</v>
      </c>
      <c r="Z78" s="450">
        <f t="shared" si="72"/>
        <v>0</v>
      </c>
      <c r="AA78" s="450">
        <f t="shared" si="72"/>
        <v>0</v>
      </c>
      <c r="AB78" s="450">
        <f t="shared" si="72"/>
        <v>0</v>
      </c>
      <c r="AC78" s="450">
        <f t="shared" si="72"/>
        <v>0</v>
      </c>
      <c r="AD78" s="450">
        <f t="shared" si="72"/>
        <v>0</v>
      </c>
      <c r="AE78" s="450">
        <f t="shared" si="72"/>
        <v>0</v>
      </c>
      <c r="AF78" s="450">
        <f t="shared" si="73"/>
        <v>0</v>
      </c>
      <c r="AG78" s="450">
        <f t="shared" si="73"/>
        <v>0</v>
      </c>
      <c r="AK78" s="449">
        <v>0</v>
      </c>
      <c r="AL78" s="449">
        <f t="shared" si="74"/>
        <v>0</v>
      </c>
      <c r="AM78" s="449">
        <v>0</v>
      </c>
      <c r="AN78" s="449">
        <f t="shared" si="65"/>
        <v>0</v>
      </c>
      <c r="AO78" s="449">
        <v>0</v>
      </c>
      <c r="AP78" s="449">
        <f t="shared" si="66"/>
        <v>0</v>
      </c>
      <c r="AQ78" s="449">
        <v>0</v>
      </c>
      <c r="AR78" s="449">
        <f t="shared" si="67"/>
        <v>0</v>
      </c>
      <c r="AS78" s="450">
        <v>0</v>
      </c>
      <c r="AT78" s="449">
        <f t="shared" si="68"/>
        <v>0</v>
      </c>
      <c r="AU78" s="450">
        <v>0</v>
      </c>
      <c r="AV78" s="449">
        <f t="shared" si="69"/>
        <v>0</v>
      </c>
    </row>
    <row r="79" spans="1:48">
      <c r="A79" s="443" t="s">
        <v>53</v>
      </c>
      <c r="B79" s="449">
        <f>'Monthly D7 Gallon Data'!$K14</f>
        <v>0</v>
      </c>
      <c r="C79" s="449">
        <f>'Monthly D7 Gallon Data'!$K26</f>
        <v>0</v>
      </c>
      <c r="D79" s="449">
        <f>'Monthly D7 Gallon Data'!$K38</f>
        <v>1024</v>
      </c>
      <c r="E79" s="449">
        <f>'Monthly D7 Gallon Data'!$K50</f>
        <v>34761</v>
      </c>
      <c r="F79" s="449">
        <f>'Monthly D7 Gallon Data'!$K62</f>
        <v>0</v>
      </c>
      <c r="G79" s="449">
        <f>'Monthly D7 Gallon Data'!$K74</f>
        <v>0</v>
      </c>
      <c r="H79" s="449">
        <f>'Monthly D7 Gallon Data'!$K86</f>
        <v>0</v>
      </c>
      <c r="I79" s="449">
        <f>'Monthly D7 Gallon Data'!$K98</f>
        <v>0</v>
      </c>
      <c r="J79" s="449">
        <f>'Monthly D7 Gallon Data'!$K110</f>
        <v>0</v>
      </c>
      <c r="K79" s="449">
        <f>'Monthly D7 Gallon Data'!$K122</f>
        <v>0</v>
      </c>
      <c r="L79" s="449">
        <f>'Monthly D7 Gallon Data'!$K134</f>
        <v>0</v>
      </c>
      <c r="M79" s="449">
        <f>'Monthly D7 Gallon Data'!$K146</f>
        <v>0</v>
      </c>
      <c r="N79" s="449">
        <f>'Monthly D7 Gallon Data'!$K158</f>
        <v>0</v>
      </c>
      <c r="O79" s="449">
        <f>'Monthly D7 Gallon Data'!$K170</f>
        <v>0</v>
      </c>
      <c r="P79" s="449">
        <f>'Monthly D7 Gallon Data'!$K182</f>
        <v>0</v>
      </c>
      <c r="Q79" s="450">
        <f t="shared" si="72"/>
        <v>0</v>
      </c>
      <c r="R79" s="450">
        <f t="shared" si="72"/>
        <v>0</v>
      </c>
      <c r="S79" s="450">
        <f t="shared" si="72"/>
        <v>0</v>
      </c>
      <c r="T79" s="450">
        <f t="shared" si="72"/>
        <v>0</v>
      </c>
      <c r="U79" s="450">
        <f t="shared" si="72"/>
        <v>0</v>
      </c>
      <c r="V79" s="450">
        <f t="shared" si="72"/>
        <v>0</v>
      </c>
      <c r="W79" s="450">
        <f t="shared" si="72"/>
        <v>0</v>
      </c>
      <c r="X79" s="450">
        <f t="shared" si="72"/>
        <v>0</v>
      </c>
      <c r="Y79" s="450">
        <f t="shared" si="72"/>
        <v>0</v>
      </c>
      <c r="Z79" s="450">
        <f t="shared" si="72"/>
        <v>0</v>
      </c>
      <c r="AA79" s="450">
        <f t="shared" si="72"/>
        <v>0</v>
      </c>
      <c r="AB79" s="450">
        <f t="shared" si="72"/>
        <v>0</v>
      </c>
      <c r="AC79" s="450">
        <f t="shared" si="72"/>
        <v>0</v>
      </c>
      <c r="AD79" s="450">
        <f t="shared" si="72"/>
        <v>0</v>
      </c>
      <c r="AE79" s="450">
        <f t="shared" si="72"/>
        <v>0</v>
      </c>
      <c r="AF79" s="450">
        <f t="shared" si="73"/>
        <v>0</v>
      </c>
      <c r="AG79" s="450">
        <f t="shared" si="73"/>
        <v>0</v>
      </c>
      <c r="AK79" s="449">
        <v>0</v>
      </c>
      <c r="AL79" s="449">
        <f t="shared" si="74"/>
        <v>0</v>
      </c>
      <c r="AM79" s="449">
        <v>0</v>
      </c>
      <c r="AN79" s="449">
        <f t="shared" si="65"/>
        <v>0</v>
      </c>
      <c r="AO79" s="450">
        <v>0</v>
      </c>
      <c r="AP79" s="449">
        <f t="shared" si="66"/>
        <v>0</v>
      </c>
      <c r="AQ79" s="450">
        <v>0</v>
      </c>
      <c r="AR79" s="449">
        <f t="shared" si="67"/>
        <v>0</v>
      </c>
      <c r="AS79" s="450">
        <v>0</v>
      </c>
      <c r="AT79" s="449">
        <f t="shared" si="68"/>
        <v>0</v>
      </c>
      <c r="AU79" s="450">
        <v>0</v>
      </c>
      <c r="AV79" s="449">
        <f t="shared" si="69"/>
        <v>0</v>
      </c>
    </row>
    <row r="80" spans="1:48">
      <c r="A80" s="443" t="s">
        <v>54</v>
      </c>
      <c r="B80" s="449">
        <f>'Monthly D7 Gallon Data'!$K15</f>
        <v>0</v>
      </c>
      <c r="C80" s="449">
        <f>'Monthly D7 Gallon Data'!$K27</f>
        <v>0</v>
      </c>
      <c r="D80" s="449">
        <f>'Monthly D7 Gallon Data'!$K39</f>
        <v>0</v>
      </c>
      <c r="E80" s="449">
        <f>'Monthly D7 Gallon Data'!$K51</f>
        <v>34759</v>
      </c>
      <c r="F80" s="449">
        <f>'Monthly D7 Gallon Data'!$K63</f>
        <v>0</v>
      </c>
      <c r="G80" s="449">
        <f>'Monthly D7 Gallon Data'!$K75</f>
        <v>0</v>
      </c>
      <c r="H80" s="449">
        <f>'Monthly D7 Gallon Data'!$K87</f>
        <v>0</v>
      </c>
      <c r="I80" s="449">
        <f>'Monthly D7 Gallon Data'!$K99</f>
        <v>270</v>
      </c>
      <c r="J80" s="449">
        <f>'Monthly D7 Gallon Data'!$K111</f>
        <v>0</v>
      </c>
      <c r="K80" s="449">
        <f>'Monthly D7 Gallon Data'!$K123</f>
        <v>0</v>
      </c>
      <c r="L80" s="449">
        <f>'Monthly D7 Gallon Data'!$K135</f>
        <v>0</v>
      </c>
      <c r="M80" s="449">
        <f>'Monthly D7 Gallon Data'!$K147</f>
        <v>0</v>
      </c>
      <c r="N80" s="449">
        <f>'Monthly D7 Gallon Data'!$K159</f>
        <v>0</v>
      </c>
      <c r="O80" s="449">
        <f>'Monthly D7 Gallon Data'!$K171</f>
        <v>0</v>
      </c>
      <c r="P80" s="449">
        <f>'Monthly D7 Gallon Data'!$K183</f>
        <v>0</v>
      </c>
      <c r="Q80" s="450">
        <f t="shared" ref="Q80:AG80" si="75">Q81-SUM(Q69:Q79)</f>
        <v>5.9987155759773794</v>
      </c>
      <c r="R80" s="450">
        <f t="shared" si="75"/>
        <v>1.6844034863776827</v>
      </c>
      <c r="S80" s="450">
        <f t="shared" si="75"/>
        <v>0.48167195261766338</v>
      </c>
      <c r="T80" s="450">
        <f t="shared" si="75"/>
        <v>1.0041436008667688</v>
      </c>
      <c r="U80" s="450">
        <f t="shared" si="75"/>
        <v>1.6573500693355001</v>
      </c>
      <c r="V80" s="450">
        <f t="shared" si="75"/>
        <v>1.9513205276300027</v>
      </c>
      <c r="W80" s="450">
        <f t="shared" si="75"/>
        <v>2.3512656266948255</v>
      </c>
      <c r="X80" s="450">
        <f t="shared" si="75"/>
        <v>2.3613388334300112</v>
      </c>
      <c r="Y80" s="450">
        <f t="shared" si="75"/>
        <v>3.0078821957445285</v>
      </c>
      <c r="Z80" s="450">
        <f t="shared" si="75"/>
        <v>3.3086105788564169</v>
      </c>
      <c r="AA80" s="450">
        <f t="shared" si="75"/>
        <v>3.583234047815651</v>
      </c>
      <c r="AB80" s="450">
        <f t="shared" si="75"/>
        <v>3.9284232170025462</v>
      </c>
      <c r="AC80" s="450">
        <f t="shared" si="75"/>
        <v>4.2753459477056452</v>
      </c>
      <c r="AD80" s="450">
        <f t="shared" si="75"/>
        <v>4.6714340138370858</v>
      </c>
      <c r="AE80" s="450">
        <f t="shared" si="75"/>
        <v>4.9521371034476545</v>
      </c>
      <c r="AF80" s="450">
        <f t="shared" si="75"/>
        <v>5.3027796766162112</v>
      </c>
      <c r="AG80" s="450">
        <f t="shared" si="75"/>
        <v>5.6587214546850362</v>
      </c>
      <c r="AK80" s="449">
        <v>7828.7614533435553</v>
      </c>
      <c r="AL80" s="449">
        <f t="shared" si="74"/>
        <v>-7828.7614533435553</v>
      </c>
      <c r="AM80" s="449">
        <v>0.17879095030647768</v>
      </c>
      <c r="AN80" s="449">
        <f t="shared" si="65"/>
        <v>-0.17879095030647768</v>
      </c>
      <c r="AO80" s="450">
        <v>0</v>
      </c>
      <c r="AP80" s="449">
        <f t="shared" si="66"/>
        <v>0</v>
      </c>
      <c r="AQ80" s="450">
        <v>1.376288291066885E-2</v>
      </c>
      <c r="AR80" s="449">
        <f t="shared" si="67"/>
        <v>-1.376288291066885E-2</v>
      </c>
      <c r="AS80" s="450">
        <v>0.2204004678351339</v>
      </c>
      <c r="AT80" s="449">
        <f t="shared" si="68"/>
        <v>-0.2204004678351339</v>
      </c>
      <c r="AU80" s="450">
        <v>0.35510923164084574</v>
      </c>
      <c r="AV80" s="449">
        <f t="shared" si="69"/>
        <v>5.6436063443365336</v>
      </c>
    </row>
    <row r="81" spans="1:48" ht="12" thickBot="1">
      <c r="A81" s="443" t="s">
        <v>29</v>
      </c>
      <c r="B81" s="449">
        <f t="shared" ref="B81:P81" si="76">SUM(B69:B80)</f>
        <v>0</v>
      </c>
      <c r="C81" s="449">
        <f t="shared" si="76"/>
        <v>0</v>
      </c>
      <c r="D81" s="449">
        <f t="shared" si="76"/>
        <v>1024</v>
      </c>
      <c r="E81" s="449">
        <f t="shared" si="76"/>
        <v>232808</v>
      </c>
      <c r="F81" s="449">
        <f t="shared" si="76"/>
        <v>5211</v>
      </c>
      <c r="G81" s="449">
        <f t="shared" si="76"/>
        <v>0</v>
      </c>
      <c r="H81" s="449">
        <f>SUM(H69:H80)</f>
        <v>0</v>
      </c>
      <c r="I81" s="449">
        <f t="shared" si="76"/>
        <v>270</v>
      </c>
      <c r="J81" s="449">
        <f t="shared" si="76"/>
        <v>6620</v>
      </c>
      <c r="K81" s="449">
        <f t="shared" si="76"/>
        <v>0</v>
      </c>
      <c r="L81" s="449">
        <f t="shared" si="76"/>
        <v>0</v>
      </c>
      <c r="M81" s="449">
        <f t="shared" si="76"/>
        <v>0</v>
      </c>
      <c r="N81" s="449">
        <f t="shared" si="76"/>
        <v>0</v>
      </c>
      <c r="O81" s="449">
        <f t="shared" si="76"/>
        <v>0</v>
      </c>
      <c r="P81" s="449">
        <f t="shared" si="76"/>
        <v>0</v>
      </c>
      <c r="Q81" s="450">
        <f t="shared" ref="Q81:AD81" si="77">Q5</f>
        <v>9.061861503723776</v>
      </c>
      <c r="R81" s="450">
        <f t="shared" si="77"/>
        <v>42.983481559786014</v>
      </c>
      <c r="S81" s="450">
        <f t="shared" si="77"/>
        <v>12.291554642724805</v>
      </c>
      <c r="T81" s="450">
        <f t="shared" si="77"/>
        <v>25.624257073970512</v>
      </c>
      <c r="U81" s="450">
        <f t="shared" si="77"/>
        <v>42.293118436005898</v>
      </c>
      <c r="V81" s="450">
        <f t="shared" si="77"/>
        <v>49.794809019891545</v>
      </c>
      <c r="W81" s="450">
        <f t="shared" si="77"/>
        <v>60.00081543676788</v>
      </c>
      <c r="X81" s="450">
        <f t="shared" si="77"/>
        <v>60.257868749380577</v>
      </c>
      <c r="Y81" s="450">
        <f t="shared" si="77"/>
        <v>76.756697513628751</v>
      </c>
      <c r="Z81" s="450">
        <f t="shared" si="77"/>
        <v>84.430840327113401</v>
      </c>
      <c r="AA81" s="450">
        <f t="shared" si="77"/>
        <v>91.438824405369814</v>
      </c>
      <c r="AB81" s="450">
        <f t="shared" si="77"/>
        <v>100.24754061165731</v>
      </c>
      <c r="AC81" s="450">
        <f t="shared" si="77"/>
        <v>109.10049473959953</v>
      </c>
      <c r="AD81" s="450">
        <f t="shared" si="77"/>
        <v>119.20807539013913</v>
      </c>
      <c r="AE81" s="450">
        <f>AE5</f>
        <v>126.37120238057105</v>
      </c>
      <c r="AF81" s="450">
        <f>AF5</f>
        <v>135.31908137735445</v>
      </c>
      <c r="AG81" s="450">
        <f>AG5</f>
        <v>144.4021882325178</v>
      </c>
      <c r="AK81" s="449">
        <v>7828.7614533435553</v>
      </c>
      <c r="AL81" s="449">
        <f t="shared" si="74"/>
        <v>-7828.7614533435553</v>
      </c>
      <c r="AM81" s="449">
        <v>0.27008762280456722</v>
      </c>
      <c r="AN81" s="449">
        <f t="shared" si="65"/>
        <v>-0.27008762280456722</v>
      </c>
      <c r="AO81" s="450">
        <v>0</v>
      </c>
      <c r="AP81" s="449">
        <f t="shared" si="66"/>
        <v>0</v>
      </c>
      <c r="AQ81" s="450">
        <v>1.376288291066885E-2</v>
      </c>
      <c r="AR81" s="449">
        <f t="shared" si="67"/>
        <v>-1.376288291066885E-2</v>
      </c>
      <c r="AS81" s="450">
        <v>0.2204004678351339</v>
      </c>
      <c r="AT81" s="449">
        <f t="shared" si="68"/>
        <v>-0.2204004678351339</v>
      </c>
      <c r="AU81" s="450">
        <v>9.061861503723776</v>
      </c>
      <c r="AV81" s="449">
        <f t="shared" si="69"/>
        <v>0</v>
      </c>
    </row>
    <row r="82" spans="1:48">
      <c r="A82" s="461"/>
      <c r="B82" s="461"/>
      <c r="C82" s="461"/>
      <c r="D82" s="461"/>
      <c r="E82" s="461"/>
      <c r="F82" s="461"/>
      <c r="G82" s="461"/>
      <c r="H82" s="461"/>
      <c r="I82" s="461"/>
      <c r="J82" s="461"/>
      <c r="K82" s="461"/>
      <c r="L82" s="461"/>
      <c r="M82" s="461"/>
      <c r="N82" s="461"/>
      <c r="O82" s="461"/>
      <c r="P82" s="461"/>
      <c r="Q82" s="461"/>
      <c r="R82" s="461"/>
      <c r="S82" s="461"/>
      <c r="T82" s="461"/>
      <c r="U82" s="461"/>
      <c r="V82" s="461"/>
      <c r="W82" s="461"/>
      <c r="X82" s="461"/>
      <c r="Y82" s="461"/>
      <c r="Z82" s="461"/>
      <c r="AA82" s="461"/>
      <c r="AB82" s="461"/>
      <c r="AC82" s="461"/>
      <c r="AD82" s="461"/>
      <c r="AE82" s="461"/>
      <c r="AF82" s="461"/>
      <c r="AG82" s="461"/>
      <c r="AO82" s="450"/>
    </row>
    <row r="83" spans="1:48" ht="12" thickBot="1">
      <c r="A83" s="442" t="s">
        <v>546</v>
      </c>
      <c r="AO83" s="450"/>
    </row>
    <row r="84" spans="1:48" ht="12" thickBot="1">
      <c r="A84" s="459"/>
      <c r="B84" s="460">
        <f t="shared" ref="B84:K84" si="78">B2</f>
        <v>2010</v>
      </c>
      <c r="C84" s="460">
        <f t="shared" si="78"/>
        <v>2011</v>
      </c>
      <c r="D84" s="460">
        <f t="shared" si="78"/>
        <v>2012</v>
      </c>
      <c r="E84" s="460">
        <f t="shared" si="78"/>
        <v>2013</v>
      </c>
      <c r="F84" s="460">
        <f t="shared" si="78"/>
        <v>2014</v>
      </c>
      <c r="G84" s="460">
        <f t="shared" si="78"/>
        <v>2015</v>
      </c>
      <c r="H84" s="460">
        <f t="shared" si="78"/>
        <v>2016</v>
      </c>
      <c r="I84" s="460">
        <f t="shared" si="78"/>
        <v>2017</v>
      </c>
      <c r="J84" s="460">
        <f t="shared" si="78"/>
        <v>2018</v>
      </c>
      <c r="K84" s="460">
        <f t="shared" si="78"/>
        <v>2019</v>
      </c>
      <c r="L84" s="460">
        <f>L2</f>
        <v>2020</v>
      </c>
      <c r="M84" s="460">
        <f>M2</f>
        <v>2021</v>
      </c>
      <c r="N84" s="460">
        <f t="shared" ref="N84:AD84" si="79">N2</f>
        <v>2022</v>
      </c>
      <c r="O84" s="460">
        <f t="shared" si="79"/>
        <v>2023</v>
      </c>
      <c r="P84" s="460">
        <f t="shared" si="79"/>
        <v>2024</v>
      </c>
      <c r="Q84" s="460">
        <f t="shared" si="79"/>
        <v>2025</v>
      </c>
      <c r="R84" s="460">
        <f t="shared" si="79"/>
        <v>2026</v>
      </c>
      <c r="S84" s="460">
        <f t="shared" si="79"/>
        <v>2027</v>
      </c>
      <c r="T84" s="460">
        <f t="shared" si="79"/>
        <v>2028</v>
      </c>
      <c r="U84" s="460">
        <f t="shared" si="79"/>
        <v>2029</v>
      </c>
      <c r="V84" s="460">
        <f t="shared" si="79"/>
        <v>2030</v>
      </c>
      <c r="W84" s="460">
        <f t="shared" si="79"/>
        <v>2031</v>
      </c>
      <c r="X84" s="460">
        <f t="shared" si="79"/>
        <v>2032</v>
      </c>
      <c r="Y84" s="460">
        <f t="shared" si="79"/>
        <v>2033</v>
      </c>
      <c r="Z84" s="460">
        <f t="shared" si="79"/>
        <v>2034</v>
      </c>
      <c r="AA84" s="460">
        <f t="shared" si="79"/>
        <v>2035</v>
      </c>
      <c r="AB84" s="460">
        <f t="shared" si="79"/>
        <v>2036</v>
      </c>
      <c r="AC84" s="460">
        <f t="shared" si="79"/>
        <v>2037</v>
      </c>
      <c r="AD84" s="460">
        <f t="shared" si="79"/>
        <v>2038</v>
      </c>
      <c r="AE84" s="460">
        <f>AE2</f>
        <v>2039</v>
      </c>
      <c r="AF84" s="460">
        <f>AF2</f>
        <v>2040</v>
      </c>
      <c r="AG84" s="460">
        <f>AG2</f>
        <v>2041</v>
      </c>
      <c r="AO84" s="450"/>
    </row>
    <row r="85" spans="1:48">
      <c r="A85" s="443" t="s">
        <v>43</v>
      </c>
      <c r="B85" s="449">
        <f>'Monthly D7 Gallon Data'!$L4</f>
        <v>0</v>
      </c>
      <c r="C85" s="449">
        <f>'Monthly D7 Gallon Data'!$L16</f>
        <v>0</v>
      </c>
      <c r="D85" s="449">
        <f>'Monthly D7 Gallon Data'!$L28</f>
        <v>0</v>
      </c>
      <c r="E85" s="449">
        <f>'Monthly D7 Gallon Data'!$L40</f>
        <v>0</v>
      </c>
      <c r="F85" s="449">
        <f>'Monthly D7 Gallon Data'!$L52</f>
        <v>0</v>
      </c>
      <c r="G85" s="449">
        <f>'Monthly D7 Gallon Data'!$L64</f>
        <v>0</v>
      </c>
      <c r="H85" s="449">
        <f>'Monthly D7 Gallon Data'!$L76</f>
        <v>0</v>
      </c>
      <c r="I85" s="449">
        <f>'Monthly D7 Gallon Data'!$L88</f>
        <v>0</v>
      </c>
      <c r="J85" s="449">
        <f>'Monthly D7 Gallon Data'!$L100</f>
        <v>0</v>
      </c>
      <c r="K85" s="449">
        <f>'Monthly D7 Gallon Data'!$L112</f>
        <v>0</v>
      </c>
      <c r="L85" s="449">
        <f>'Monthly D7 Gallon Data'!$L124</f>
        <v>0</v>
      </c>
      <c r="M85" s="449">
        <f>'Monthly D7 Gallon Data'!$L136</f>
        <v>0</v>
      </c>
      <c r="N85" s="449">
        <f>'Monthly D7 Gallon Data'!$L148</f>
        <v>0</v>
      </c>
      <c r="O85" s="449">
        <f>'Monthly D7 Gallon Data'!$L160</f>
        <v>0</v>
      </c>
      <c r="P85" s="449">
        <f>'Monthly D7 Gallon Data'!$L172</f>
        <v>0</v>
      </c>
      <c r="Q85" s="449">
        <f>'Monthly D7 Gallon Data'!$L184</f>
        <v>0</v>
      </c>
      <c r="R85" s="450">
        <f>'D7 RIN Forecast'!AF87/1.7</f>
        <v>0</v>
      </c>
      <c r="S85" s="450">
        <f>'D7 RIN Forecast'!AG87/1.7</f>
        <v>0</v>
      </c>
      <c r="T85" s="450">
        <f>'D7 RIN Forecast'!AH87/1.7</f>
        <v>0</v>
      </c>
      <c r="U85" s="450">
        <f>'D7 RIN Forecast'!AI87/1.7</f>
        <v>0</v>
      </c>
      <c r="V85" s="450">
        <f>'D7 RIN Forecast'!AJ87/1.7</f>
        <v>0</v>
      </c>
      <c r="W85" s="450">
        <f>'D7 RIN Forecast'!AK87/1.7</f>
        <v>0</v>
      </c>
      <c r="X85" s="450">
        <f>'D7 RIN Forecast'!AL87/1.7</f>
        <v>0</v>
      </c>
      <c r="Y85" s="450">
        <f>'D7 RIN Forecast'!AM87/1.7</f>
        <v>0</v>
      </c>
      <c r="Z85" s="450">
        <f>'D7 RIN Forecast'!AN87/1.7</f>
        <v>0</v>
      </c>
      <c r="AA85" s="450">
        <f>'D7 RIN Forecast'!AO87/1.7</f>
        <v>0</v>
      </c>
      <c r="AB85" s="450">
        <f>'D7 RIN Forecast'!AP87/1.7</f>
        <v>0</v>
      </c>
      <c r="AC85" s="450">
        <f>'D7 RIN Forecast'!AQ87/1.7</f>
        <v>0</v>
      </c>
      <c r="AD85" s="450">
        <f>'D7 RIN Forecast'!AR87/1.7</f>
        <v>0</v>
      </c>
      <c r="AE85" s="450">
        <f>'D7 RIN Forecast'!AS87/1.7</f>
        <v>0</v>
      </c>
      <c r="AF85" s="450">
        <f>'D7 RIN Forecast'!AT87/1.7</f>
        <v>0</v>
      </c>
      <c r="AG85" s="450">
        <f>'D7 RIN Forecast'!AU87/1.7</f>
        <v>0</v>
      </c>
      <c r="AM85" s="449">
        <v>0</v>
      </c>
      <c r="AN85" s="449">
        <f t="shared" ref="AN85:AN97" si="80">L85-AM85</f>
        <v>0</v>
      </c>
      <c r="AO85" s="449">
        <v>0</v>
      </c>
      <c r="AP85" s="449">
        <f t="shared" ref="AP85:AP97" si="81">N85-AO85</f>
        <v>0</v>
      </c>
      <c r="AQ85" s="449">
        <v>0</v>
      </c>
      <c r="AR85" s="449">
        <f t="shared" ref="AR85:AR97" si="82">O85-AQ85</f>
        <v>0</v>
      </c>
      <c r="AS85" s="449">
        <v>0</v>
      </c>
      <c r="AT85" s="449">
        <f t="shared" ref="AT85:AT97" si="83">P85-AS85</f>
        <v>0</v>
      </c>
      <c r="AU85" s="449">
        <v>0</v>
      </c>
      <c r="AV85" s="449">
        <f>Q85-AU85</f>
        <v>0</v>
      </c>
    </row>
    <row r="86" spans="1:48">
      <c r="A86" s="443" t="s">
        <v>44</v>
      </c>
      <c r="B86" s="449">
        <f>'Monthly D7 Gallon Data'!$L5</f>
        <v>0</v>
      </c>
      <c r="C86" s="449">
        <f>'Monthly D7 Gallon Data'!$L17</f>
        <v>0</v>
      </c>
      <c r="D86" s="449">
        <f>'Monthly D7 Gallon Data'!$L29</f>
        <v>0</v>
      </c>
      <c r="E86" s="449">
        <f>'Monthly D7 Gallon Data'!$L41</f>
        <v>0</v>
      </c>
      <c r="F86" s="449">
        <f>'Monthly D7 Gallon Data'!$L53</f>
        <v>0</v>
      </c>
      <c r="G86" s="449">
        <f>'Monthly D7 Gallon Data'!$L65</f>
        <v>0</v>
      </c>
      <c r="H86" s="449">
        <f>'Monthly D7 Gallon Data'!$L77</f>
        <v>0</v>
      </c>
      <c r="I86" s="449">
        <f>'Monthly D7 Gallon Data'!$L89</f>
        <v>0</v>
      </c>
      <c r="J86" s="449">
        <f>'Monthly D7 Gallon Data'!$L101</f>
        <v>0</v>
      </c>
      <c r="K86" s="449">
        <f>'Monthly D7 Gallon Data'!$L113</f>
        <v>0</v>
      </c>
      <c r="L86" s="449">
        <f>'Monthly D7 Gallon Data'!$L125</f>
        <v>0</v>
      </c>
      <c r="M86" s="449">
        <f>'Monthly D7 Gallon Data'!$L137</f>
        <v>0</v>
      </c>
      <c r="N86" s="449">
        <f>'Monthly D7 Gallon Data'!$L149</f>
        <v>0</v>
      </c>
      <c r="O86" s="449">
        <f>'Monthly D7 Gallon Data'!$L161</f>
        <v>0</v>
      </c>
      <c r="P86" s="449">
        <f>'Monthly D7 Gallon Data'!$L173</f>
        <v>0</v>
      </c>
      <c r="Q86" s="449">
        <f>'Monthly D7 Gallon Data'!$L185</f>
        <v>0</v>
      </c>
      <c r="R86" s="450">
        <f>'D7 RIN Forecast'!AF88/1.7</f>
        <v>0</v>
      </c>
      <c r="S86" s="450">
        <f>'D7 RIN Forecast'!AG88/1.7</f>
        <v>0</v>
      </c>
      <c r="T86" s="450">
        <f>'D7 RIN Forecast'!AH88/1.7</f>
        <v>0</v>
      </c>
      <c r="U86" s="450">
        <f>'D7 RIN Forecast'!AI88/1.7</f>
        <v>0</v>
      </c>
      <c r="V86" s="450">
        <f>'D7 RIN Forecast'!AJ88/1.7</f>
        <v>0</v>
      </c>
      <c r="W86" s="450">
        <f>'D7 RIN Forecast'!AK88/1.7</f>
        <v>0</v>
      </c>
      <c r="X86" s="450">
        <f>'D7 RIN Forecast'!AL88/1.7</f>
        <v>0</v>
      </c>
      <c r="Y86" s="450">
        <f>'D7 RIN Forecast'!AM88/1.7</f>
        <v>0</v>
      </c>
      <c r="Z86" s="450">
        <f>'D7 RIN Forecast'!AN88/1.7</f>
        <v>0</v>
      </c>
      <c r="AA86" s="450">
        <f>'D7 RIN Forecast'!AO88/1.7</f>
        <v>0</v>
      </c>
      <c r="AB86" s="450">
        <f>'D7 RIN Forecast'!AP88/1.7</f>
        <v>0</v>
      </c>
      <c r="AC86" s="450">
        <f>'D7 RIN Forecast'!AQ88/1.7</f>
        <v>0</v>
      </c>
      <c r="AD86" s="450">
        <f>'D7 RIN Forecast'!AR88/1.7</f>
        <v>0</v>
      </c>
      <c r="AE86" s="450">
        <f>'D7 RIN Forecast'!AS88/1.7</f>
        <v>0</v>
      </c>
      <c r="AF86" s="450">
        <f>'D7 RIN Forecast'!AT88/1.7</f>
        <v>0</v>
      </c>
      <c r="AG86" s="450">
        <f>'D7 RIN Forecast'!AU88/1.7</f>
        <v>0</v>
      </c>
      <c r="AM86" s="449">
        <v>0</v>
      </c>
      <c r="AN86" s="449">
        <f t="shared" si="80"/>
        <v>0</v>
      </c>
      <c r="AO86" s="449">
        <v>0</v>
      </c>
      <c r="AP86" s="449">
        <f t="shared" si="81"/>
        <v>0</v>
      </c>
      <c r="AQ86" s="449">
        <v>0</v>
      </c>
      <c r="AR86" s="449">
        <f t="shared" si="82"/>
        <v>0</v>
      </c>
      <c r="AS86" s="449">
        <v>0</v>
      </c>
      <c r="AT86" s="449">
        <f t="shared" si="83"/>
        <v>0</v>
      </c>
      <c r="AU86" s="449">
        <v>0</v>
      </c>
      <c r="AV86" s="449">
        <f t="shared" ref="AV86:AV97" si="84">Q86-AU86</f>
        <v>0</v>
      </c>
    </row>
    <row r="87" spans="1:48">
      <c r="A87" s="443" t="s">
        <v>45</v>
      </c>
      <c r="B87" s="449">
        <f>'Monthly D7 Gallon Data'!$L6</f>
        <v>0</v>
      </c>
      <c r="C87" s="449">
        <f>'Monthly D7 Gallon Data'!$L18</f>
        <v>0</v>
      </c>
      <c r="D87" s="449">
        <f>'Monthly D7 Gallon Data'!$L30</f>
        <v>0</v>
      </c>
      <c r="E87" s="449">
        <f>'Monthly D7 Gallon Data'!$L42</f>
        <v>0</v>
      </c>
      <c r="F87" s="449">
        <f>'Monthly D7 Gallon Data'!$L54</f>
        <v>0</v>
      </c>
      <c r="G87" s="449">
        <f>'Monthly D7 Gallon Data'!$L66</f>
        <v>0</v>
      </c>
      <c r="H87" s="449">
        <f>'Monthly D7 Gallon Data'!$L78</f>
        <v>0</v>
      </c>
      <c r="I87" s="449">
        <f>'Monthly D7 Gallon Data'!$L90</f>
        <v>0</v>
      </c>
      <c r="J87" s="449">
        <f>'Monthly D7 Gallon Data'!$L102</f>
        <v>0</v>
      </c>
      <c r="K87" s="449">
        <f>'Monthly D7 Gallon Data'!$L114</f>
        <v>0</v>
      </c>
      <c r="L87" s="449">
        <f>'Monthly D7 Gallon Data'!$L126</f>
        <v>0</v>
      </c>
      <c r="M87" s="449">
        <f>'Monthly D7 Gallon Data'!$L138</f>
        <v>0</v>
      </c>
      <c r="N87" s="449">
        <f>'Monthly D7 Gallon Data'!$L150</f>
        <v>0</v>
      </c>
      <c r="O87" s="449">
        <f>'Monthly D7 Gallon Data'!$L162</f>
        <v>0</v>
      </c>
      <c r="P87" s="449">
        <f>'Monthly D7 Gallon Data'!$L174</f>
        <v>0</v>
      </c>
      <c r="Q87" s="449">
        <f>'Monthly D7 Gallon Data'!$L186</f>
        <v>0</v>
      </c>
      <c r="R87" s="450">
        <f>'D7 RIN Forecast'!AF89/1.7</f>
        <v>0</v>
      </c>
      <c r="S87" s="450">
        <f>'D7 RIN Forecast'!AG89/1.7</f>
        <v>0</v>
      </c>
      <c r="T87" s="450">
        <f>'D7 RIN Forecast'!AH89/1.7</f>
        <v>0</v>
      </c>
      <c r="U87" s="450">
        <f>'D7 RIN Forecast'!AI89/1.7</f>
        <v>0</v>
      </c>
      <c r="V87" s="450">
        <f>'D7 RIN Forecast'!AJ89/1.7</f>
        <v>0</v>
      </c>
      <c r="W87" s="450">
        <f>'D7 RIN Forecast'!AK89/1.7</f>
        <v>0</v>
      </c>
      <c r="X87" s="450">
        <f>'D7 RIN Forecast'!AL89/1.7</f>
        <v>0</v>
      </c>
      <c r="Y87" s="450">
        <f>'D7 RIN Forecast'!AM89/1.7</f>
        <v>0</v>
      </c>
      <c r="Z87" s="450">
        <f>'D7 RIN Forecast'!AN89/1.7</f>
        <v>0</v>
      </c>
      <c r="AA87" s="450">
        <f>'D7 RIN Forecast'!AO89/1.7</f>
        <v>0</v>
      </c>
      <c r="AB87" s="450">
        <f>'D7 RIN Forecast'!AP89/1.7</f>
        <v>0</v>
      </c>
      <c r="AC87" s="450">
        <f>'D7 RIN Forecast'!AQ89/1.7</f>
        <v>0</v>
      </c>
      <c r="AD87" s="450">
        <f>'D7 RIN Forecast'!AR89/1.7</f>
        <v>0</v>
      </c>
      <c r="AE87" s="450">
        <f>'D7 RIN Forecast'!AS89/1.7</f>
        <v>0</v>
      </c>
      <c r="AF87" s="450">
        <f>'D7 RIN Forecast'!AT89/1.7</f>
        <v>0</v>
      </c>
      <c r="AG87" s="450">
        <f>'D7 RIN Forecast'!AU89/1.7</f>
        <v>0</v>
      </c>
      <c r="AM87" s="449">
        <v>0</v>
      </c>
      <c r="AN87" s="449">
        <f t="shared" si="80"/>
        <v>0</v>
      </c>
      <c r="AO87" s="449">
        <v>0</v>
      </c>
      <c r="AP87" s="449">
        <f t="shared" si="81"/>
        <v>0</v>
      </c>
      <c r="AQ87" s="449">
        <v>0.2850335377867339</v>
      </c>
      <c r="AR87" s="449">
        <f t="shared" si="82"/>
        <v>-0.2850335377867339</v>
      </c>
      <c r="AS87" s="449">
        <v>0</v>
      </c>
      <c r="AT87" s="449">
        <f t="shared" si="83"/>
        <v>0</v>
      </c>
      <c r="AU87" s="449">
        <v>0</v>
      </c>
      <c r="AV87" s="449">
        <f t="shared" si="84"/>
        <v>0</v>
      </c>
    </row>
    <row r="88" spans="1:48">
      <c r="A88" s="443" t="s">
        <v>46</v>
      </c>
      <c r="B88" s="449">
        <f>'Monthly D7 Gallon Data'!$L7</f>
        <v>0</v>
      </c>
      <c r="C88" s="449">
        <f>'Monthly D7 Gallon Data'!$L19</f>
        <v>0</v>
      </c>
      <c r="D88" s="449">
        <f>'Monthly D7 Gallon Data'!$L31</f>
        <v>0</v>
      </c>
      <c r="E88" s="449">
        <f>'Monthly D7 Gallon Data'!$L43</f>
        <v>0</v>
      </c>
      <c r="F88" s="449">
        <f>'Monthly D7 Gallon Data'!$L55</f>
        <v>0</v>
      </c>
      <c r="G88" s="449">
        <f>'Monthly D7 Gallon Data'!$L67</f>
        <v>0</v>
      </c>
      <c r="H88" s="449">
        <f>'Monthly D7 Gallon Data'!$L79</f>
        <v>0</v>
      </c>
      <c r="I88" s="449">
        <f>'Monthly D7 Gallon Data'!$L91</f>
        <v>0</v>
      </c>
      <c r="J88" s="449">
        <f>'Monthly D7 Gallon Data'!$L103</f>
        <v>0</v>
      </c>
      <c r="K88" s="449">
        <f>'Monthly D7 Gallon Data'!$L115</f>
        <v>0</v>
      </c>
      <c r="L88" s="449">
        <f>'Monthly D7 Gallon Data'!$L127</f>
        <v>0</v>
      </c>
      <c r="M88" s="449">
        <f>'Monthly D7 Gallon Data'!$L139</f>
        <v>0</v>
      </c>
      <c r="N88" s="449">
        <f>'Monthly D7 Gallon Data'!$L151</f>
        <v>0</v>
      </c>
      <c r="O88" s="449">
        <f>'Monthly D7 Gallon Data'!$L163</f>
        <v>0</v>
      </c>
      <c r="P88" s="449">
        <f>'Monthly D7 Gallon Data'!$L175</f>
        <v>0</v>
      </c>
      <c r="Q88" s="450">
        <f>'D7 RIN Forecast'!AE90/1.7</f>
        <v>0</v>
      </c>
      <c r="R88" s="450">
        <f>'D7 RIN Forecast'!AF90/1.7</f>
        <v>0</v>
      </c>
      <c r="S88" s="450">
        <f>'D7 RIN Forecast'!AG90/1.7</f>
        <v>0</v>
      </c>
      <c r="T88" s="450">
        <f>'D7 RIN Forecast'!AH90/1.7</f>
        <v>0</v>
      </c>
      <c r="U88" s="450">
        <f>'D7 RIN Forecast'!AI90/1.7</f>
        <v>0</v>
      </c>
      <c r="V88" s="450">
        <f>'D7 RIN Forecast'!AJ90/1.7</f>
        <v>0</v>
      </c>
      <c r="W88" s="450">
        <f>'D7 RIN Forecast'!AK90/1.7</f>
        <v>0</v>
      </c>
      <c r="X88" s="450">
        <f>'D7 RIN Forecast'!AL90/1.7</f>
        <v>0</v>
      </c>
      <c r="Y88" s="450">
        <f>'D7 RIN Forecast'!AM90/1.7</f>
        <v>0</v>
      </c>
      <c r="Z88" s="450">
        <f>'D7 RIN Forecast'!AN90/1.7</f>
        <v>0</v>
      </c>
      <c r="AA88" s="450">
        <f>'D7 RIN Forecast'!AO90/1.7</f>
        <v>0</v>
      </c>
      <c r="AB88" s="450">
        <f>'D7 RIN Forecast'!AP90/1.7</f>
        <v>0</v>
      </c>
      <c r="AC88" s="450">
        <f>'D7 RIN Forecast'!AQ90/1.7</f>
        <v>0</v>
      </c>
      <c r="AD88" s="450">
        <f>'D7 RIN Forecast'!AR90/1.7</f>
        <v>0</v>
      </c>
      <c r="AE88" s="450">
        <f>'D7 RIN Forecast'!AS90/1.7</f>
        <v>0</v>
      </c>
      <c r="AF88" s="450">
        <f>'D7 RIN Forecast'!AT90/1.7</f>
        <v>0</v>
      </c>
      <c r="AG88" s="450">
        <f>'D7 RIN Forecast'!AU90/1.7</f>
        <v>0</v>
      </c>
      <c r="AM88" s="449">
        <v>0</v>
      </c>
      <c r="AN88" s="449">
        <f t="shared" si="80"/>
        <v>0</v>
      </c>
      <c r="AO88" s="449">
        <v>0</v>
      </c>
      <c r="AP88" s="449">
        <f t="shared" si="81"/>
        <v>0</v>
      </c>
      <c r="AQ88" s="449">
        <v>0.15470592158128718</v>
      </c>
      <c r="AR88" s="449">
        <f t="shared" si="82"/>
        <v>-0.15470592158128718</v>
      </c>
      <c r="AS88" s="449">
        <v>0</v>
      </c>
      <c r="AT88" s="449">
        <f t="shared" si="83"/>
        <v>0</v>
      </c>
      <c r="AU88" s="449">
        <v>0</v>
      </c>
      <c r="AV88" s="449">
        <f t="shared" si="84"/>
        <v>0</v>
      </c>
    </row>
    <row r="89" spans="1:48">
      <c r="A89" s="443" t="s">
        <v>47</v>
      </c>
      <c r="B89" s="449">
        <f>'Monthly D7 Gallon Data'!$L8</f>
        <v>0</v>
      </c>
      <c r="C89" s="449">
        <f>'Monthly D7 Gallon Data'!$L20</f>
        <v>0</v>
      </c>
      <c r="D89" s="449">
        <f>'Monthly D7 Gallon Data'!$L32</f>
        <v>0</v>
      </c>
      <c r="E89" s="449">
        <f>'Monthly D7 Gallon Data'!$L44</f>
        <v>0</v>
      </c>
      <c r="F89" s="449">
        <f>'Monthly D7 Gallon Data'!$L56</f>
        <v>0</v>
      </c>
      <c r="G89" s="449">
        <f>'Monthly D7 Gallon Data'!$L68</f>
        <v>0</v>
      </c>
      <c r="H89" s="449">
        <f>'Monthly D7 Gallon Data'!$L80</f>
        <v>0</v>
      </c>
      <c r="I89" s="449">
        <f>'Monthly D7 Gallon Data'!$L92</f>
        <v>0</v>
      </c>
      <c r="J89" s="449">
        <f>'Monthly D7 Gallon Data'!$L104</f>
        <v>0</v>
      </c>
      <c r="K89" s="449">
        <f>'Monthly D7 Gallon Data'!$L116</f>
        <v>0</v>
      </c>
      <c r="L89" s="449">
        <f>'Monthly D7 Gallon Data'!$L128</f>
        <v>0</v>
      </c>
      <c r="M89" s="449">
        <f>'Monthly D7 Gallon Data'!$L140</f>
        <v>0</v>
      </c>
      <c r="N89" s="449">
        <f>'Monthly D7 Gallon Data'!$L152</f>
        <v>0</v>
      </c>
      <c r="O89" s="449">
        <f>'Monthly D7 Gallon Data'!$L164</f>
        <v>0</v>
      </c>
      <c r="P89" s="449">
        <f>'Monthly D7 Gallon Data'!$L176</f>
        <v>0</v>
      </c>
      <c r="Q89" s="450">
        <f>'D7 RIN Forecast'!AE91/1.7</f>
        <v>0</v>
      </c>
      <c r="R89" s="450">
        <f>'D7 RIN Forecast'!AF91/1.7</f>
        <v>0</v>
      </c>
      <c r="S89" s="450">
        <f>'D7 RIN Forecast'!AG91/1.7</f>
        <v>0</v>
      </c>
      <c r="T89" s="450">
        <f>'D7 RIN Forecast'!AH91/1.7</f>
        <v>0</v>
      </c>
      <c r="U89" s="450">
        <f>'D7 RIN Forecast'!AI91/1.7</f>
        <v>0</v>
      </c>
      <c r="V89" s="450">
        <f>'D7 RIN Forecast'!AJ91/1.7</f>
        <v>0</v>
      </c>
      <c r="W89" s="450">
        <f>'D7 RIN Forecast'!AK91/1.7</f>
        <v>0</v>
      </c>
      <c r="X89" s="450">
        <f>'D7 RIN Forecast'!AL91/1.7</f>
        <v>0</v>
      </c>
      <c r="Y89" s="450">
        <f>'D7 RIN Forecast'!AM91/1.7</f>
        <v>0</v>
      </c>
      <c r="Z89" s="450">
        <f>'D7 RIN Forecast'!AN91/1.7</f>
        <v>0</v>
      </c>
      <c r="AA89" s="450">
        <f>'D7 RIN Forecast'!AO91/1.7</f>
        <v>0</v>
      </c>
      <c r="AB89" s="450">
        <f>'D7 RIN Forecast'!AP91/1.7</f>
        <v>0</v>
      </c>
      <c r="AC89" s="450">
        <f>'D7 RIN Forecast'!AQ91/1.7</f>
        <v>0</v>
      </c>
      <c r="AD89" s="450">
        <f>'D7 RIN Forecast'!AR91/1.7</f>
        <v>0</v>
      </c>
      <c r="AE89" s="450">
        <f>'D7 RIN Forecast'!AS91/1.7</f>
        <v>0</v>
      </c>
      <c r="AF89" s="450">
        <f>'D7 RIN Forecast'!AT91/1.7</f>
        <v>0</v>
      </c>
      <c r="AG89" s="450">
        <f>'D7 RIN Forecast'!AU91/1.7</f>
        <v>0</v>
      </c>
      <c r="AM89" s="449">
        <v>0</v>
      </c>
      <c r="AN89" s="449">
        <f t="shared" si="80"/>
        <v>0</v>
      </c>
      <c r="AO89" s="449">
        <v>0</v>
      </c>
      <c r="AP89" s="449">
        <f t="shared" si="81"/>
        <v>0</v>
      </c>
      <c r="AQ89" s="449">
        <v>0</v>
      </c>
      <c r="AR89" s="449">
        <f t="shared" si="82"/>
        <v>0</v>
      </c>
      <c r="AS89" s="450">
        <v>0</v>
      </c>
      <c r="AT89" s="449">
        <f t="shared" si="83"/>
        <v>0</v>
      </c>
      <c r="AU89" s="450">
        <v>0</v>
      </c>
      <c r="AV89" s="449">
        <f t="shared" si="84"/>
        <v>0</v>
      </c>
    </row>
    <row r="90" spans="1:48">
      <c r="A90" s="443" t="s">
        <v>48</v>
      </c>
      <c r="B90" s="449">
        <f>'Monthly D7 Gallon Data'!$L9</f>
        <v>0</v>
      </c>
      <c r="C90" s="449">
        <f>'Monthly D7 Gallon Data'!$L21</f>
        <v>0</v>
      </c>
      <c r="D90" s="449">
        <f>'Monthly D7 Gallon Data'!$L33</f>
        <v>0</v>
      </c>
      <c r="E90" s="449">
        <f>'Monthly D7 Gallon Data'!$L45</f>
        <v>0</v>
      </c>
      <c r="F90" s="449">
        <f>'Monthly D7 Gallon Data'!$L57</f>
        <v>0</v>
      </c>
      <c r="G90" s="449">
        <f>'Monthly D7 Gallon Data'!$L69</f>
        <v>0</v>
      </c>
      <c r="H90" s="449">
        <f>'Monthly D7 Gallon Data'!$L81</f>
        <v>0</v>
      </c>
      <c r="I90" s="449">
        <f>'Monthly D7 Gallon Data'!$L93</f>
        <v>0</v>
      </c>
      <c r="J90" s="449">
        <f>'Monthly D7 Gallon Data'!$L105</f>
        <v>0</v>
      </c>
      <c r="K90" s="449">
        <f>'Monthly D7 Gallon Data'!$L117</f>
        <v>0</v>
      </c>
      <c r="L90" s="449">
        <f>'Monthly D7 Gallon Data'!$L129</f>
        <v>0</v>
      </c>
      <c r="M90" s="449">
        <f>'Monthly D7 Gallon Data'!$L141</f>
        <v>0</v>
      </c>
      <c r="N90" s="449">
        <f>'Monthly D7 Gallon Data'!$L153</f>
        <v>0</v>
      </c>
      <c r="O90" s="449">
        <f>'Monthly D7 Gallon Data'!$L165</f>
        <v>0</v>
      </c>
      <c r="P90" s="449">
        <f>'Monthly D7 Gallon Data'!$L177</f>
        <v>0</v>
      </c>
      <c r="Q90" s="450">
        <f>'D7 RIN Forecast'!AE92/1.7</f>
        <v>0</v>
      </c>
      <c r="R90" s="450">
        <f>'D7 RIN Forecast'!AF92/1.7</f>
        <v>0</v>
      </c>
      <c r="S90" s="450">
        <f>'D7 RIN Forecast'!AG92/1.7</f>
        <v>0</v>
      </c>
      <c r="T90" s="450">
        <f>'D7 RIN Forecast'!AH92/1.7</f>
        <v>0</v>
      </c>
      <c r="U90" s="450">
        <f>'D7 RIN Forecast'!AI92/1.7</f>
        <v>0</v>
      </c>
      <c r="V90" s="450">
        <f>'D7 RIN Forecast'!AJ92/1.7</f>
        <v>0</v>
      </c>
      <c r="W90" s="450">
        <f>'D7 RIN Forecast'!AK92/1.7</f>
        <v>0</v>
      </c>
      <c r="X90" s="450">
        <f>'D7 RIN Forecast'!AL92/1.7</f>
        <v>0</v>
      </c>
      <c r="Y90" s="450">
        <f>'D7 RIN Forecast'!AM92/1.7</f>
        <v>0</v>
      </c>
      <c r="Z90" s="450">
        <f>'D7 RIN Forecast'!AN92/1.7</f>
        <v>0</v>
      </c>
      <c r="AA90" s="450">
        <f>'D7 RIN Forecast'!AO92/1.7</f>
        <v>0</v>
      </c>
      <c r="AB90" s="450">
        <f>'D7 RIN Forecast'!AP92/1.7</f>
        <v>0</v>
      </c>
      <c r="AC90" s="450">
        <f>'D7 RIN Forecast'!AQ92/1.7</f>
        <v>0</v>
      </c>
      <c r="AD90" s="450">
        <f>'D7 RIN Forecast'!AR92/1.7</f>
        <v>0</v>
      </c>
      <c r="AE90" s="450">
        <f>'D7 RIN Forecast'!AS92/1.7</f>
        <v>0</v>
      </c>
      <c r="AF90" s="450">
        <f>'D7 RIN Forecast'!AT92/1.7</f>
        <v>0</v>
      </c>
      <c r="AG90" s="450">
        <f>'D7 RIN Forecast'!AU92/1.7</f>
        <v>0</v>
      </c>
      <c r="AM90" s="449">
        <v>0</v>
      </c>
      <c r="AN90" s="449">
        <f t="shared" si="80"/>
        <v>0</v>
      </c>
      <c r="AO90" s="449">
        <v>0</v>
      </c>
      <c r="AP90" s="449">
        <f t="shared" si="81"/>
        <v>0</v>
      </c>
      <c r="AQ90" s="449">
        <v>0</v>
      </c>
      <c r="AR90" s="449">
        <f t="shared" si="82"/>
        <v>0</v>
      </c>
      <c r="AS90" s="450">
        <v>0</v>
      </c>
      <c r="AT90" s="449">
        <f t="shared" si="83"/>
        <v>0</v>
      </c>
      <c r="AU90" s="450">
        <v>0</v>
      </c>
      <c r="AV90" s="449">
        <f t="shared" si="84"/>
        <v>0</v>
      </c>
    </row>
    <row r="91" spans="1:48">
      <c r="A91" s="443" t="s">
        <v>49</v>
      </c>
      <c r="B91" s="449">
        <f>'Monthly D7 Gallon Data'!$L10</f>
        <v>0</v>
      </c>
      <c r="C91" s="449">
        <f>'Monthly D7 Gallon Data'!$L22</f>
        <v>0</v>
      </c>
      <c r="D91" s="449">
        <f>'Monthly D7 Gallon Data'!$L34</f>
        <v>0</v>
      </c>
      <c r="E91" s="449">
        <f>'Monthly D7 Gallon Data'!$L46</f>
        <v>0</v>
      </c>
      <c r="F91" s="449">
        <f>'Monthly D7 Gallon Data'!$L58</f>
        <v>0</v>
      </c>
      <c r="G91" s="449">
        <f>'Monthly D7 Gallon Data'!$L70</f>
        <v>0</v>
      </c>
      <c r="H91" s="449">
        <f>'Monthly D7 Gallon Data'!$L82</f>
        <v>0</v>
      </c>
      <c r="I91" s="449">
        <f>'Monthly D7 Gallon Data'!$L94</f>
        <v>0</v>
      </c>
      <c r="J91" s="449">
        <f>'Monthly D7 Gallon Data'!$L106</f>
        <v>0</v>
      </c>
      <c r="K91" s="449">
        <f>'Monthly D7 Gallon Data'!$L118</f>
        <v>0</v>
      </c>
      <c r="L91" s="449">
        <f>'Monthly D7 Gallon Data'!$L130</f>
        <v>0</v>
      </c>
      <c r="M91" s="449">
        <f>'Monthly D7 Gallon Data'!$L142</f>
        <v>0</v>
      </c>
      <c r="N91" s="449">
        <f>'Monthly D7 Gallon Data'!$L154</f>
        <v>0</v>
      </c>
      <c r="O91" s="449">
        <f>'Monthly D7 Gallon Data'!$L166</f>
        <v>0</v>
      </c>
      <c r="P91" s="449">
        <f>'Monthly D7 Gallon Data'!$L178</f>
        <v>0</v>
      </c>
      <c r="Q91" s="450">
        <f>'D7 RIN Forecast'!AE93/1.7</f>
        <v>0</v>
      </c>
      <c r="R91" s="450">
        <f>'D7 RIN Forecast'!AF93/1.7</f>
        <v>0</v>
      </c>
      <c r="S91" s="450">
        <f>'D7 RIN Forecast'!AG93/1.7</f>
        <v>0</v>
      </c>
      <c r="T91" s="450">
        <f>'D7 RIN Forecast'!AH93/1.7</f>
        <v>0</v>
      </c>
      <c r="U91" s="450">
        <f>'D7 RIN Forecast'!AI93/1.7</f>
        <v>0</v>
      </c>
      <c r="V91" s="450">
        <f>'D7 RIN Forecast'!AJ93/1.7</f>
        <v>0</v>
      </c>
      <c r="W91" s="450">
        <f>'D7 RIN Forecast'!AK93/1.7</f>
        <v>0</v>
      </c>
      <c r="X91" s="450">
        <f>'D7 RIN Forecast'!AL93/1.7</f>
        <v>0</v>
      </c>
      <c r="Y91" s="450">
        <f>'D7 RIN Forecast'!AM93/1.7</f>
        <v>0</v>
      </c>
      <c r="Z91" s="450">
        <f>'D7 RIN Forecast'!AN93/1.7</f>
        <v>0</v>
      </c>
      <c r="AA91" s="450">
        <f>'D7 RIN Forecast'!AO93/1.7</f>
        <v>0</v>
      </c>
      <c r="AB91" s="450">
        <f>'D7 RIN Forecast'!AP93/1.7</f>
        <v>0</v>
      </c>
      <c r="AC91" s="450">
        <f>'D7 RIN Forecast'!AQ93/1.7</f>
        <v>0</v>
      </c>
      <c r="AD91" s="450">
        <f>'D7 RIN Forecast'!AR93/1.7</f>
        <v>0</v>
      </c>
      <c r="AE91" s="450">
        <f>'D7 RIN Forecast'!AS93/1.7</f>
        <v>0</v>
      </c>
      <c r="AF91" s="450">
        <f>'D7 RIN Forecast'!AT93/1.7</f>
        <v>0</v>
      </c>
      <c r="AG91" s="450">
        <f>'D7 RIN Forecast'!AU93/1.7</f>
        <v>0</v>
      </c>
      <c r="AK91" s="449">
        <v>0</v>
      </c>
      <c r="AL91" s="449">
        <f t="shared" ref="AL91:AL97" si="85">K91-AK91</f>
        <v>0</v>
      </c>
      <c r="AM91" s="449">
        <v>0</v>
      </c>
      <c r="AN91" s="449">
        <f t="shared" si="80"/>
        <v>0</v>
      </c>
      <c r="AO91" s="449">
        <v>0</v>
      </c>
      <c r="AP91" s="449">
        <f t="shared" si="81"/>
        <v>0</v>
      </c>
      <c r="AQ91" s="449">
        <v>0</v>
      </c>
      <c r="AR91" s="449">
        <f t="shared" si="82"/>
        <v>0</v>
      </c>
      <c r="AS91" s="450">
        <v>0</v>
      </c>
      <c r="AT91" s="449">
        <f t="shared" si="83"/>
        <v>0</v>
      </c>
      <c r="AU91" s="450">
        <v>0</v>
      </c>
      <c r="AV91" s="449">
        <f t="shared" si="84"/>
        <v>0</v>
      </c>
    </row>
    <row r="92" spans="1:48">
      <c r="A92" s="443" t="s">
        <v>50</v>
      </c>
      <c r="B92" s="449">
        <f>'Monthly D7 Gallon Data'!$L11</f>
        <v>0</v>
      </c>
      <c r="C92" s="449">
        <f>'Monthly D7 Gallon Data'!$L23</f>
        <v>0</v>
      </c>
      <c r="D92" s="449">
        <f>'Monthly D7 Gallon Data'!$L35</f>
        <v>0</v>
      </c>
      <c r="E92" s="449">
        <f>'Monthly D7 Gallon Data'!$L47</f>
        <v>0</v>
      </c>
      <c r="F92" s="449">
        <f>'Monthly D7 Gallon Data'!$L59</f>
        <v>0</v>
      </c>
      <c r="G92" s="449">
        <f>'Monthly D7 Gallon Data'!$L71</f>
        <v>0</v>
      </c>
      <c r="H92" s="449">
        <f>'Monthly D7 Gallon Data'!$L83</f>
        <v>0</v>
      </c>
      <c r="I92" s="449">
        <f>'Monthly D7 Gallon Data'!$L95</f>
        <v>0</v>
      </c>
      <c r="J92" s="449">
        <f>'Monthly D7 Gallon Data'!$L107</f>
        <v>0</v>
      </c>
      <c r="K92" s="449">
        <f>'Monthly D7 Gallon Data'!$L119</f>
        <v>0</v>
      </c>
      <c r="L92" s="449">
        <f>'Monthly D7 Gallon Data'!$L131</f>
        <v>0</v>
      </c>
      <c r="M92" s="449">
        <f>'Monthly D7 Gallon Data'!$L143</f>
        <v>0</v>
      </c>
      <c r="N92" s="449">
        <f>'Monthly D7 Gallon Data'!$L155</f>
        <v>0</v>
      </c>
      <c r="O92" s="449">
        <f>'Monthly D7 Gallon Data'!$L167</f>
        <v>0</v>
      </c>
      <c r="P92" s="449">
        <f>'Monthly D7 Gallon Data'!$L179</f>
        <v>0</v>
      </c>
      <c r="Q92" s="450">
        <f>'D7 RIN Forecast'!AE94/1.7</f>
        <v>0</v>
      </c>
      <c r="R92" s="450">
        <f>'D7 RIN Forecast'!AF94/1.7</f>
        <v>0</v>
      </c>
      <c r="S92" s="450">
        <f>'D7 RIN Forecast'!AG94/1.7</f>
        <v>0</v>
      </c>
      <c r="T92" s="450">
        <f>'D7 RIN Forecast'!AH94/1.7</f>
        <v>0</v>
      </c>
      <c r="U92" s="450">
        <f>'D7 RIN Forecast'!AI94/1.7</f>
        <v>0</v>
      </c>
      <c r="V92" s="450">
        <f>'D7 RIN Forecast'!AJ94/1.7</f>
        <v>0</v>
      </c>
      <c r="W92" s="450">
        <f>'D7 RIN Forecast'!AK94/1.7</f>
        <v>0</v>
      </c>
      <c r="X92" s="450">
        <f>'D7 RIN Forecast'!AL94/1.7</f>
        <v>0</v>
      </c>
      <c r="Y92" s="450">
        <f>'D7 RIN Forecast'!AM94/1.7</f>
        <v>0</v>
      </c>
      <c r="Z92" s="450">
        <f>'D7 RIN Forecast'!AN94/1.7</f>
        <v>0</v>
      </c>
      <c r="AA92" s="450">
        <f>'D7 RIN Forecast'!AO94/1.7</f>
        <v>0</v>
      </c>
      <c r="AB92" s="450">
        <f>'D7 RIN Forecast'!AP94/1.7</f>
        <v>0</v>
      </c>
      <c r="AC92" s="450">
        <f>'D7 RIN Forecast'!AQ94/1.7</f>
        <v>0</v>
      </c>
      <c r="AD92" s="450">
        <f>'D7 RIN Forecast'!AR94/1.7</f>
        <v>0</v>
      </c>
      <c r="AE92" s="450">
        <f>'D7 RIN Forecast'!AS94/1.7</f>
        <v>0</v>
      </c>
      <c r="AF92" s="450">
        <f>'D7 RIN Forecast'!AT94/1.7</f>
        <v>0</v>
      </c>
      <c r="AG92" s="450">
        <f>'D7 RIN Forecast'!AU94/1.7</f>
        <v>0</v>
      </c>
      <c r="AK92" s="449">
        <v>0</v>
      </c>
      <c r="AL92" s="449">
        <f t="shared" si="85"/>
        <v>0</v>
      </c>
      <c r="AM92" s="449">
        <v>0</v>
      </c>
      <c r="AN92" s="449">
        <f t="shared" si="80"/>
        <v>0</v>
      </c>
      <c r="AO92" s="449">
        <v>0</v>
      </c>
      <c r="AP92" s="449">
        <f t="shared" si="81"/>
        <v>0</v>
      </c>
      <c r="AQ92" s="449">
        <v>0</v>
      </c>
      <c r="AR92" s="449">
        <f t="shared" si="82"/>
        <v>0</v>
      </c>
      <c r="AS92" s="450">
        <v>0</v>
      </c>
      <c r="AT92" s="449">
        <f t="shared" si="83"/>
        <v>0</v>
      </c>
      <c r="AU92" s="450">
        <v>0</v>
      </c>
      <c r="AV92" s="449">
        <f t="shared" si="84"/>
        <v>0</v>
      </c>
    </row>
    <row r="93" spans="1:48">
      <c r="A93" s="443" t="s">
        <v>51</v>
      </c>
      <c r="B93" s="449">
        <f>'Monthly D7 Gallon Data'!$L12</f>
        <v>0</v>
      </c>
      <c r="C93" s="449">
        <f>'Monthly D7 Gallon Data'!$L24</f>
        <v>0</v>
      </c>
      <c r="D93" s="449">
        <f>'Monthly D7 Gallon Data'!$L36</f>
        <v>0</v>
      </c>
      <c r="E93" s="449">
        <f>'Monthly D7 Gallon Data'!$L48</f>
        <v>0</v>
      </c>
      <c r="F93" s="449">
        <f>'Monthly D7 Gallon Data'!$L60</f>
        <v>0</v>
      </c>
      <c r="G93" s="449">
        <f>'Monthly D7 Gallon Data'!$L72</f>
        <v>0</v>
      </c>
      <c r="H93" s="449">
        <f>'Monthly D7 Gallon Data'!$L84</f>
        <v>0</v>
      </c>
      <c r="I93" s="449">
        <f>'Monthly D7 Gallon Data'!$L96</f>
        <v>0</v>
      </c>
      <c r="J93" s="449">
        <f>'Monthly D7 Gallon Data'!$L108</f>
        <v>0</v>
      </c>
      <c r="K93" s="449">
        <f>'Monthly D7 Gallon Data'!$L120</f>
        <v>0</v>
      </c>
      <c r="L93" s="449">
        <f>'Monthly D7 Gallon Data'!$L132</f>
        <v>0</v>
      </c>
      <c r="M93" s="449">
        <f>'Monthly D7 Gallon Data'!$L144</f>
        <v>0</v>
      </c>
      <c r="N93" s="449">
        <f>'Monthly D7 Gallon Data'!$L156</f>
        <v>0</v>
      </c>
      <c r="O93" s="449">
        <f>'Monthly D7 Gallon Data'!$L168</f>
        <v>0</v>
      </c>
      <c r="P93" s="449">
        <f>'Monthly D7 Gallon Data'!$L180</f>
        <v>0</v>
      </c>
      <c r="Q93" s="450">
        <f>'D7 RIN Forecast'!AE95/1.7</f>
        <v>0</v>
      </c>
      <c r="R93" s="450">
        <f>'D7 RIN Forecast'!AF95/1.7</f>
        <v>0</v>
      </c>
      <c r="S93" s="450">
        <f>'D7 RIN Forecast'!AG95/1.7</f>
        <v>0</v>
      </c>
      <c r="T93" s="450">
        <f>'D7 RIN Forecast'!AH95/1.7</f>
        <v>0</v>
      </c>
      <c r="U93" s="450">
        <f>'D7 RIN Forecast'!AI95/1.7</f>
        <v>0</v>
      </c>
      <c r="V93" s="450">
        <f>'D7 RIN Forecast'!AJ95/1.7</f>
        <v>0</v>
      </c>
      <c r="W93" s="450">
        <f>'D7 RIN Forecast'!AK95/1.7</f>
        <v>0</v>
      </c>
      <c r="X93" s="450">
        <f>'D7 RIN Forecast'!AL95/1.7</f>
        <v>0</v>
      </c>
      <c r="Y93" s="450">
        <f>'D7 RIN Forecast'!AM95/1.7</f>
        <v>0</v>
      </c>
      <c r="Z93" s="450">
        <f>'D7 RIN Forecast'!AN95/1.7</f>
        <v>0</v>
      </c>
      <c r="AA93" s="450">
        <f>'D7 RIN Forecast'!AO95/1.7</f>
        <v>0</v>
      </c>
      <c r="AB93" s="450">
        <f>'D7 RIN Forecast'!AP95/1.7</f>
        <v>0</v>
      </c>
      <c r="AC93" s="450">
        <f>'D7 RIN Forecast'!AQ95/1.7</f>
        <v>0</v>
      </c>
      <c r="AD93" s="450">
        <f>'D7 RIN Forecast'!AR95/1.7</f>
        <v>0</v>
      </c>
      <c r="AE93" s="450">
        <f>'D7 RIN Forecast'!AS95/1.7</f>
        <v>0</v>
      </c>
      <c r="AF93" s="450">
        <f>'D7 RIN Forecast'!AT95/1.7</f>
        <v>0</v>
      </c>
      <c r="AG93" s="450">
        <f>'D7 RIN Forecast'!AU95/1.7</f>
        <v>0</v>
      </c>
      <c r="AK93" s="449">
        <v>0</v>
      </c>
      <c r="AL93" s="449">
        <f t="shared" si="85"/>
        <v>0</v>
      </c>
      <c r="AM93" s="449">
        <v>0</v>
      </c>
      <c r="AN93" s="449">
        <f t="shared" si="80"/>
        <v>0</v>
      </c>
      <c r="AO93" s="449">
        <v>0</v>
      </c>
      <c r="AP93" s="449">
        <f t="shared" si="81"/>
        <v>0</v>
      </c>
      <c r="AQ93" s="449">
        <v>0</v>
      </c>
      <c r="AR93" s="449">
        <f t="shared" si="82"/>
        <v>0</v>
      </c>
      <c r="AS93" s="450">
        <v>0</v>
      </c>
      <c r="AT93" s="449">
        <f t="shared" si="83"/>
        <v>0</v>
      </c>
      <c r="AU93" s="450">
        <v>0</v>
      </c>
      <c r="AV93" s="449">
        <f t="shared" si="84"/>
        <v>0</v>
      </c>
    </row>
    <row r="94" spans="1:48">
      <c r="A94" s="443" t="s">
        <v>52</v>
      </c>
      <c r="B94" s="449">
        <f>'Monthly D7 Gallon Data'!$L13</f>
        <v>0</v>
      </c>
      <c r="C94" s="449">
        <f>'Monthly D7 Gallon Data'!$L25</f>
        <v>0</v>
      </c>
      <c r="D94" s="449">
        <f>'Monthly D7 Gallon Data'!$L37</f>
        <v>0</v>
      </c>
      <c r="E94" s="449">
        <f>'Monthly D7 Gallon Data'!$L49</f>
        <v>0</v>
      </c>
      <c r="F94" s="449">
        <f>'Monthly D7 Gallon Data'!$L61</f>
        <v>0</v>
      </c>
      <c r="G94" s="449">
        <f>'Monthly D7 Gallon Data'!$L73</f>
        <v>0</v>
      </c>
      <c r="H94" s="449">
        <f>'Monthly D7 Gallon Data'!$L85</f>
        <v>0</v>
      </c>
      <c r="I94" s="449">
        <f>'Monthly D7 Gallon Data'!$L97</f>
        <v>0</v>
      </c>
      <c r="J94" s="449">
        <f>'Monthly D7 Gallon Data'!$L109</f>
        <v>0</v>
      </c>
      <c r="K94" s="449">
        <f>'Monthly D7 Gallon Data'!$L121</f>
        <v>0</v>
      </c>
      <c r="L94" s="449">
        <f>'Monthly D7 Gallon Data'!$L133</f>
        <v>0</v>
      </c>
      <c r="M94" s="449">
        <f>'Monthly D7 Gallon Data'!$L145</f>
        <v>0</v>
      </c>
      <c r="N94" s="449">
        <f>'Monthly D7 Gallon Data'!$L157</f>
        <v>0</v>
      </c>
      <c r="O94" s="449">
        <f>'Monthly D7 Gallon Data'!$L169</f>
        <v>0</v>
      </c>
      <c r="P94" s="449">
        <f>'Monthly D7 Gallon Data'!$L181</f>
        <v>0</v>
      </c>
      <c r="Q94" s="450">
        <f>'D7 RIN Forecast'!AE96/1.7</f>
        <v>0</v>
      </c>
      <c r="R94" s="450">
        <f>'D7 RIN Forecast'!AF96/1.7</f>
        <v>0</v>
      </c>
      <c r="S94" s="450">
        <f>'D7 RIN Forecast'!AG96/1.7</f>
        <v>0</v>
      </c>
      <c r="T94" s="450">
        <f>'D7 RIN Forecast'!AH96/1.7</f>
        <v>0</v>
      </c>
      <c r="U94" s="450">
        <f>'D7 RIN Forecast'!AI96/1.7</f>
        <v>0</v>
      </c>
      <c r="V94" s="450">
        <f>'D7 RIN Forecast'!AJ96/1.7</f>
        <v>0</v>
      </c>
      <c r="W94" s="450">
        <f>'D7 RIN Forecast'!AK96/1.7</f>
        <v>0</v>
      </c>
      <c r="X94" s="450">
        <f>'D7 RIN Forecast'!AL96/1.7</f>
        <v>0</v>
      </c>
      <c r="Y94" s="450">
        <f>'D7 RIN Forecast'!AM96/1.7</f>
        <v>0</v>
      </c>
      <c r="Z94" s="450">
        <f>'D7 RIN Forecast'!AN96/1.7</f>
        <v>0</v>
      </c>
      <c r="AA94" s="450">
        <f>'D7 RIN Forecast'!AO96/1.7</f>
        <v>0</v>
      </c>
      <c r="AB94" s="450">
        <f>'D7 RIN Forecast'!AP96/1.7</f>
        <v>0</v>
      </c>
      <c r="AC94" s="450">
        <f>'D7 RIN Forecast'!AQ96/1.7</f>
        <v>0</v>
      </c>
      <c r="AD94" s="450">
        <f>'D7 RIN Forecast'!AR96/1.7</f>
        <v>0</v>
      </c>
      <c r="AE94" s="450">
        <f>'D7 RIN Forecast'!AS96/1.7</f>
        <v>0</v>
      </c>
      <c r="AF94" s="450">
        <f>'D7 RIN Forecast'!AT96/1.7</f>
        <v>0</v>
      </c>
      <c r="AG94" s="450">
        <f>'D7 RIN Forecast'!AU96/1.7</f>
        <v>0</v>
      </c>
      <c r="AK94" s="449">
        <v>0</v>
      </c>
      <c r="AL94" s="449">
        <f t="shared" si="85"/>
        <v>0</v>
      </c>
      <c r="AM94" s="449">
        <v>0</v>
      </c>
      <c r="AN94" s="449">
        <f t="shared" si="80"/>
        <v>0</v>
      </c>
      <c r="AO94" s="449">
        <v>0</v>
      </c>
      <c r="AP94" s="449">
        <f t="shared" si="81"/>
        <v>0</v>
      </c>
      <c r="AQ94" s="449">
        <v>0</v>
      </c>
      <c r="AR94" s="449">
        <f t="shared" si="82"/>
        <v>0</v>
      </c>
      <c r="AS94" s="450">
        <v>0</v>
      </c>
      <c r="AT94" s="449">
        <f t="shared" si="83"/>
        <v>0</v>
      </c>
      <c r="AU94" s="450">
        <v>0</v>
      </c>
      <c r="AV94" s="449">
        <f t="shared" si="84"/>
        <v>0</v>
      </c>
    </row>
    <row r="95" spans="1:48">
      <c r="A95" s="443" t="s">
        <v>53</v>
      </c>
      <c r="B95" s="449">
        <f>'Monthly D7 Gallon Data'!$L14</f>
        <v>0</v>
      </c>
      <c r="C95" s="449">
        <f>'Monthly D7 Gallon Data'!$L26</f>
        <v>0</v>
      </c>
      <c r="D95" s="449">
        <f>'Monthly D7 Gallon Data'!$L38</f>
        <v>0</v>
      </c>
      <c r="E95" s="449">
        <f>'Monthly D7 Gallon Data'!$L50</f>
        <v>0</v>
      </c>
      <c r="F95" s="449">
        <f>'Monthly D7 Gallon Data'!$L62</f>
        <v>0</v>
      </c>
      <c r="G95" s="449">
        <f>'Monthly D7 Gallon Data'!$L74</f>
        <v>0</v>
      </c>
      <c r="H95" s="449">
        <f>'Monthly D7 Gallon Data'!$L86</f>
        <v>0</v>
      </c>
      <c r="I95" s="449">
        <f>'Monthly D7 Gallon Data'!$L98</f>
        <v>0</v>
      </c>
      <c r="J95" s="449">
        <f>'Monthly D7 Gallon Data'!$L110</f>
        <v>0</v>
      </c>
      <c r="K95" s="449">
        <f>'Monthly D7 Gallon Data'!$L122</f>
        <v>0</v>
      </c>
      <c r="L95" s="449">
        <f>'Monthly D7 Gallon Data'!$L134</f>
        <v>0</v>
      </c>
      <c r="M95" s="449">
        <f>'Monthly D7 Gallon Data'!$L146</f>
        <v>0</v>
      </c>
      <c r="N95" s="449">
        <f>'Monthly D7 Gallon Data'!$L158</f>
        <v>0</v>
      </c>
      <c r="O95" s="449">
        <f>'Monthly D7 Gallon Data'!$L170</f>
        <v>0</v>
      </c>
      <c r="P95" s="449">
        <f>'Monthly D7 Gallon Data'!$L182</f>
        <v>0</v>
      </c>
      <c r="Q95" s="450">
        <f>'D7 RIN Forecast'!AE97/1.7</f>
        <v>0</v>
      </c>
      <c r="R95" s="450">
        <f>'D7 RIN Forecast'!AF97/1.7</f>
        <v>0</v>
      </c>
      <c r="S95" s="450">
        <f>'D7 RIN Forecast'!AG97/1.7</f>
        <v>0</v>
      </c>
      <c r="T95" s="450">
        <f>'D7 RIN Forecast'!AH97/1.7</f>
        <v>0</v>
      </c>
      <c r="U95" s="450">
        <f>'D7 RIN Forecast'!AI97/1.7</f>
        <v>0</v>
      </c>
      <c r="V95" s="450">
        <f>'D7 RIN Forecast'!AJ97/1.7</f>
        <v>0</v>
      </c>
      <c r="W95" s="450">
        <f>'D7 RIN Forecast'!AK97/1.7</f>
        <v>0</v>
      </c>
      <c r="X95" s="450">
        <f>'D7 RIN Forecast'!AL97/1.7</f>
        <v>0</v>
      </c>
      <c r="Y95" s="450">
        <f>'D7 RIN Forecast'!AM97/1.7</f>
        <v>0</v>
      </c>
      <c r="Z95" s="450">
        <f>'D7 RIN Forecast'!AN97/1.7</f>
        <v>0</v>
      </c>
      <c r="AA95" s="450">
        <f>'D7 RIN Forecast'!AO97/1.7</f>
        <v>0</v>
      </c>
      <c r="AB95" s="450">
        <f>'D7 RIN Forecast'!AP97/1.7</f>
        <v>0</v>
      </c>
      <c r="AC95" s="450">
        <f>'D7 RIN Forecast'!AQ97/1.7</f>
        <v>0</v>
      </c>
      <c r="AD95" s="450">
        <f>'D7 RIN Forecast'!AR97/1.7</f>
        <v>0</v>
      </c>
      <c r="AE95" s="450">
        <f>'D7 RIN Forecast'!AS97/1.7</f>
        <v>0</v>
      </c>
      <c r="AF95" s="450">
        <f>'D7 RIN Forecast'!AT97/1.7</f>
        <v>0</v>
      </c>
      <c r="AG95" s="450">
        <f>'D7 RIN Forecast'!AU97/1.7</f>
        <v>0</v>
      </c>
      <c r="AK95" s="449">
        <v>0</v>
      </c>
      <c r="AL95" s="449">
        <f t="shared" si="85"/>
        <v>0</v>
      </c>
      <c r="AM95" s="449">
        <v>0</v>
      </c>
      <c r="AN95" s="449">
        <f t="shared" si="80"/>
        <v>0</v>
      </c>
      <c r="AO95" s="450">
        <v>0</v>
      </c>
      <c r="AP95" s="449">
        <f t="shared" si="81"/>
        <v>0</v>
      </c>
      <c r="AQ95" s="450">
        <v>0</v>
      </c>
      <c r="AR95" s="449">
        <f t="shared" si="82"/>
        <v>0</v>
      </c>
      <c r="AS95" s="450">
        <v>0</v>
      </c>
      <c r="AT95" s="449">
        <f t="shared" si="83"/>
        <v>0</v>
      </c>
      <c r="AU95" s="450">
        <v>0</v>
      </c>
      <c r="AV95" s="449">
        <f t="shared" si="84"/>
        <v>0</v>
      </c>
    </row>
    <row r="96" spans="1:48">
      <c r="A96" s="443" t="s">
        <v>54</v>
      </c>
      <c r="B96" s="449">
        <f>'Monthly D7 Gallon Data'!$L15</f>
        <v>0</v>
      </c>
      <c r="C96" s="449">
        <f>'Monthly D7 Gallon Data'!$L27</f>
        <v>0</v>
      </c>
      <c r="D96" s="449">
        <f>'Monthly D7 Gallon Data'!$L39</f>
        <v>0</v>
      </c>
      <c r="E96" s="449">
        <f>'Monthly D7 Gallon Data'!$L51</f>
        <v>0</v>
      </c>
      <c r="F96" s="449">
        <f>'Monthly D7 Gallon Data'!$L63</f>
        <v>0</v>
      </c>
      <c r="G96" s="449">
        <f>'Monthly D7 Gallon Data'!$L75</f>
        <v>0</v>
      </c>
      <c r="H96" s="449">
        <f>'Monthly D7 Gallon Data'!$L87</f>
        <v>0</v>
      </c>
      <c r="I96" s="449">
        <f>'Monthly D7 Gallon Data'!$L99</f>
        <v>0</v>
      </c>
      <c r="J96" s="449">
        <f>'Monthly D7 Gallon Data'!$L111</f>
        <v>0</v>
      </c>
      <c r="K96" s="449">
        <f>'Monthly D7 Gallon Data'!$L123</f>
        <v>0</v>
      </c>
      <c r="L96" s="449">
        <f>'Monthly D7 Gallon Data'!$L135</f>
        <v>0</v>
      </c>
      <c r="M96" s="449">
        <f>'Monthly D7 Gallon Data'!$L147</f>
        <v>0</v>
      </c>
      <c r="N96" s="449">
        <f>'Monthly D7 Gallon Data'!$L159</f>
        <v>0</v>
      </c>
      <c r="O96" s="449">
        <f>'Monthly D7 Gallon Data'!$L171</f>
        <v>0</v>
      </c>
      <c r="P96" s="449">
        <f>'Monthly D7 Gallon Data'!$L183</f>
        <v>0</v>
      </c>
      <c r="Q96" s="450">
        <f>'D7 RIN Forecast'!AE98/1.7</f>
        <v>0</v>
      </c>
      <c r="R96" s="450">
        <f>'D7 RIN Forecast'!AF98/1.7</f>
        <v>0</v>
      </c>
      <c r="S96" s="450">
        <f>'D7 RIN Forecast'!AG98/1.7</f>
        <v>0</v>
      </c>
      <c r="T96" s="450">
        <f>'D7 RIN Forecast'!AH98/1.7</f>
        <v>0</v>
      </c>
      <c r="U96" s="450">
        <f>'D7 RIN Forecast'!AI98/1.7</f>
        <v>0</v>
      </c>
      <c r="V96" s="450">
        <f>'D7 RIN Forecast'!AJ98/1.7</f>
        <v>0</v>
      </c>
      <c r="W96" s="450">
        <f>'D7 RIN Forecast'!AK98/1.7</f>
        <v>0</v>
      </c>
      <c r="X96" s="450">
        <f>'D7 RIN Forecast'!AL98/1.7</f>
        <v>0</v>
      </c>
      <c r="Y96" s="450">
        <f>'D7 RIN Forecast'!AM98/1.7</f>
        <v>0</v>
      </c>
      <c r="Z96" s="450">
        <f>'D7 RIN Forecast'!AN98/1.7</f>
        <v>0</v>
      </c>
      <c r="AA96" s="450">
        <f>'D7 RIN Forecast'!AO98/1.7</f>
        <v>0</v>
      </c>
      <c r="AB96" s="450">
        <f>'D7 RIN Forecast'!AP98/1.7</f>
        <v>0</v>
      </c>
      <c r="AC96" s="450">
        <f>'D7 RIN Forecast'!AQ98/1.7</f>
        <v>0</v>
      </c>
      <c r="AD96" s="450">
        <f>'D7 RIN Forecast'!AR98/1.7</f>
        <v>0</v>
      </c>
      <c r="AE96" s="450">
        <f>'D7 RIN Forecast'!AS98/1.7</f>
        <v>0</v>
      </c>
      <c r="AF96" s="450">
        <f>'D7 RIN Forecast'!AT98/1.7</f>
        <v>0</v>
      </c>
      <c r="AG96" s="450">
        <f>'D7 RIN Forecast'!AU98/1.7</f>
        <v>0</v>
      </c>
      <c r="AK96" s="449">
        <v>0</v>
      </c>
      <c r="AL96" s="449">
        <f t="shared" si="85"/>
        <v>0</v>
      </c>
      <c r="AM96" s="449">
        <v>0</v>
      </c>
      <c r="AN96" s="449">
        <f t="shared" si="80"/>
        <v>0</v>
      </c>
      <c r="AO96" s="450">
        <v>0</v>
      </c>
      <c r="AP96" s="449">
        <f t="shared" si="81"/>
        <v>0</v>
      </c>
      <c r="AQ96" s="450">
        <v>0</v>
      </c>
      <c r="AR96" s="449">
        <f t="shared" si="82"/>
        <v>0</v>
      </c>
      <c r="AS96" s="450">
        <v>0</v>
      </c>
      <c r="AT96" s="449">
        <f t="shared" si="83"/>
        <v>0</v>
      </c>
      <c r="AU96" s="450">
        <v>0</v>
      </c>
      <c r="AV96" s="449">
        <f t="shared" si="84"/>
        <v>0</v>
      </c>
    </row>
    <row r="97" spans="1:48" ht="12" thickBot="1">
      <c r="A97" s="443" t="s">
        <v>29</v>
      </c>
      <c r="B97" s="449">
        <f t="shared" ref="B97:P97" si="86">SUM(B85:B96)</f>
        <v>0</v>
      </c>
      <c r="C97" s="449">
        <f t="shared" si="86"/>
        <v>0</v>
      </c>
      <c r="D97" s="449">
        <f t="shared" si="86"/>
        <v>0</v>
      </c>
      <c r="E97" s="449">
        <f t="shared" si="86"/>
        <v>0</v>
      </c>
      <c r="F97" s="449">
        <f t="shared" si="86"/>
        <v>0</v>
      </c>
      <c r="G97" s="449">
        <f t="shared" si="86"/>
        <v>0</v>
      </c>
      <c r="H97" s="449">
        <f t="shared" si="86"/>
        <v>0</v>
      </c>
      <c r="I97" s="449">
        <f t="shared" si="86"/>
        <v>0</v>
      </c>
      <c r="J97" s="449">
        <f t="shared" si="86"/>
        <v>0</v>
      </c>
      <c r="K97" s="449">
        <f t="shared" si="86"/>
        <v>0</v>
      </c>
      <c r="L97" s="449">
        <f t="shared" si="86"/>
        <v>0</v>
      </c>
      <c r="M97" s="449">
        <f t="shared" si="86"/>
        <v>0</v>
      </c>
      <c r="N97" s="449">
        <f t="shared" si="86"/>
        <v>0</v>
      </c>
      <c r="O97" s="449">
        <f t="shared" si="86"/>
        <v>0</v>
      </c>
      <c r="P97" s="449">
        <f t="shared" si="86"/>
        <v>0</v>
      </c>
      <c r="Q97" s="450">
        <f t="shared" ref="Q97:AD97" si="87">SUM(Q85:Q96)</f>
        <v>0</v>
      </c>
      <c r="R97" s="450">
        <f t="shared" si="87"/>
        <v>0</v>
      </c>
      <c r="S97" s="450">
        <f t="shared" si="87"/>
        <v>0</v>
      </c>
      <c r="T97" s="450">
        <f t="shared" si="87"/>
        <v>0</v>
      </c>
      <c r="U97" s="450">
        <f t="shared" si="87"/>
        <v>0</v>
      </c>
      <c r="V97" s="450">
        <f t="shared" si="87"/>
        <v>0</v>
      </c>
      <c r="W97" s="450">
        <f t="shared" si="87"/>
        <v>0</v>
      </c>
      <c r="X97" s="450">
        <f t="shared" si="87"/>
        <v>0</v>
      </c>
      <c r="Y97" s="450">
        <f t="shared" si="87"/>
        <v>0</v>
      </c>
      <c r="Z97" s="450">
        <f t="shared" si="87"/>
        <v>0</v>
      </c>
      <c r="AA97" s="450">
        <f t="shared" si="87"/>
        <v>0</v>
      </c>
      <c r="AB97" s="450">
        <f t="shared" si="87"/>
        <v>0</v>
      </c>
      <c r="AC97" s="450">
        <f t="shared" si="87"/>
        <v>0</v>
      </c>
      <c r="AD97" s="450">
        <f t="shared" si="87"/>
        <v>0</v>
      </c>
      <c r="AE97" s="450">
        <f>SUM(AE85:AE96)</f>
        <v>0</v>
      </c>
      <c r="AF97" s="450">
        <f>SUM(AF85:AF96)</f>
        <v>0</v>
      </c>
      <c r="AG97" s="450">
        <f>SUM(AG85:AG96)</f>
        <v>0</v>
      </c>
      <c r="AK97" s="449">
        <v>0</v>
      </c>
      <c r="AL97" s="449">
        <f t="shared" si="85"/>
        <v>0</v>
      </c>
      <c r="AM97" s="449">
        <v>0</v>
      </c>
      <c r="AN97" s="449">
        <f t="shared" si="80"/>
        <v>0</v>
      </c>
      <c r="AO97" s="450">
        <v>0</v>
      </c>
      <c r="AP97" s="449">
        <f t="shared" si="81"/>
        <v>0</v>
      </c>
      <c r="AQ97" s="450">
        <v>0</v>
      </c>
      <c r="AR97" s="449">
        <f t="shared" si="82"/>
        <v>0</v>
      </c>
      <c r="AS97" s="450">
        <v>0</v>
      </c>
      <c r="AT97" s="449">
        <f t="shared" si="83"/>
        <v>0</v>
      </c>
      <c r="AU97" s="450">
        <v>0</v>
      </c>
      <c r="AV97" s="449">
        <f t="shared" si="84"/>
        <v>0</v>
      </c>
    </row>
    <row r="98" spans="1:48">
      <c r="A98" s="461"/>
      <c r="B98" s="461"/>
      <c r="C98" s="461"/>
      <c r="D98" s="461"/>
      <c r="E98" s="461"/>
      <c r="F98" s="461"/>
      <c r="G98" s="461"/>
      <c r="H98" s="461"/>
      <c r="I98" s="461"/>
      <c r="J98" s="461"/>
      <c r="K98" s="461"/>
      <c r="L98" s="461"/>
      <c r="M98" s="461"/>
      <c r="N98" s="461"/>
      <c r="O98" s="461"/>
      <c r="P98" s="461"/>
      <c r="Q98" s="461"/>
      <c r="R98" s="461"/>
      <c r="S98" s="461"/>
      <c r="T98" s="461"/>
      <c r="U98" s="461"/>
      <c r="V98" s="461"/>
      <c r="W98" s="461"/>
      <c r="X98" s="461"/>
      <c r="Y98" s="461"/>
      <c r="Z98" s="461"/>
      <c r="AA98" s="461"/>
      <c r="AB98" s="461"/>
      <c r="AC98" s="461"/>
      <c r="AD98" s="461"/>
      <c r="AE98" s="461"/>
      <c r="AF98" s="461"/>
      <c r="AG98" s="461"/>
      <c r="AO98" s="450"/>
    </row>
    <row r="99" spans="1:48" ht="12" thickBot="1">
      <c r="A99" s="442" t="s">
        <v>547</v>
      </c>
      <c r="AO99" s="450"/>
    </row>
    <row r="100" spans="1:48" ht="12" thickBot="1">
      <c r="A100" s="459"/>
      <c r="B100" s="460">
        <f t="shared" ref="B100:K100" si="88">B2</f>
        <v>2010</v>
      </c>
      <c r="C100" s="460">
        <f t="shared" si="88"/>
        <v>2011</v>
      </c>
      <c r="D100" s="460">
        <f t="shared" si="88"/>
        <v>2012</v>
      </c>
      <c r="E100" s="460">
        <f t="shared" si="88"/>
        <v>2013</v>
      </c>
      <c r="F100" s="460">
        <f t="shared" si="88"/>
        <v>2014</v>
      </c>
      <c r="G100" s="460">
        <f t="shared" si="88"/>
        <v>2015</v>
      </c>
      <c r="H100" s="460">
        <f t="shared" si="88"/>
        <v>2016</v>
      </c>
      <c r="I100" s="460">
        <f t="shared" si="88"/>
        <v>2017</v>
      </c>
      <c r="J100" s="460">
        <f t="shared" si="88"/>
        <v>2018</v>
      </c>
      <c r="K100" s="460">
        <f t="shared" si="88"/>
        <v>2019</v>
      </c>
      <c r="L100" s="460">
        <f>L2</f>
        <v>2020</v>
      </c>
      <c r="M100" s="460">
        <f>M2</f>
        <v>2021</v>
      </c>
      <c r="N100" s="460">
        <f t="shared" ref="N100:AD100" si="89">N2</f>
        <v>2022</v>
      </c>
      <c r="O100" s="460">
        <f t="shared" si="89"/>
        <v>2023</v>
      </c>
      <c r="P100" s="460">
        <f t="shared" si="89"/>
        <v>2024</v>
      </c>
      <c r="Q100" s="460">
        <f t="shared" si="89"/>
        <v>2025</v>
      </c>
      <c r="R100" s="460">
        <f t="shared" si="89"/>
        <v>2026</v>
      </c>
      <c r="S100" s="460">
        <f t="shared" si="89"/>
        <v>2027</v>
      </c>
      <c r="T100" s="460">
        <f t="shared" si="89"/>
        <v>2028</v>
      </c>
      <c r="U100" s="460">
        <f t="shared" si="89"/>
        <v>2029</v>
      </c>
      <c r="V100" s="460">
        <f t="shared" si="89"/>
        <v>2030</v>
      </c>
      <c r="W100" s="460">
        <f t="shared" si="89"/>
        <v>2031</v>
      </c>
      <c r="X100" s="460">
        <f t="shared" si="89"/>
        <v>2032</v>
      </c>
      <c r="Y100" s="460">
        <f t="shared" si="89"/>
        <v>2033</v>
      </c>
      <c r="Z100" s="460">
        <f t="shared" si="89"/>
        <v>2034</v>
      </c>
      <c r="AA100" s="460">
        <f t="shared" si="89"/>
        <v>2035</v>
      </c>
      <c r="AB100" s="460">
        <f t="shared" si="89"/>
        <v>2036</v>
      </c>
      <c r="AC100" s="460">
        <f t="shared" si="89"/>
        <v>2037</v>
      </c>
      <c r="AD100" s="460">
        <f t="shared" si="89"/>
        <v>2038</v>
      </c>
      <c r="AE100" s="460">
        <f>AE2</f>
        <v>2039</v>
      </c>
      <c r="AF100" s="460">
        <f>AF2</f>
        <v>2040</v>
      </c>
      <c r="AG100" s="460">
        <f>AG2</f>
        <v>2041</v>
      </c>
      <c r="AO100" s="450"/>
    </row>
    <row r="101" spans="1:48">
      <c r="A101" s="443" t="s">
        <v>43</v>
      </c>
      <c r="B101" s="449">
        <f>'Monthly D7 Gallon Data'!$C4</f>
        <v>0</v>
      </c>
      <c r="C101" s="449">
        <f>'Monthly D7 Gallon Data'!$C16</f>
        <v>0</v>
      </c>
      <c r="D101" s="449">
        <f>'Monthly D7 Gallon Data'!$C28</f>
        <v>0</v>
      </c>
      <c r="E101" s="449">
        <f>'Monthly D7 Gallon Data'!$C40</f>
        <v>0</v>
      </c>
      <c r="F101" s="449">
        <f>'Monthly D7 Gallon Data'!$C52</f>
        <v>0</v>
      </c>
      <c r="G101" s="449">
        <f>'Monthly D7 Gallon Data'!$C64</f>
        <v>0</v>
      </c>
      <c r="H101" s="449">
        <f>'Monthly D7 Gallon Data'!$C76</f>
        <v>0</v>
      </c>
      <c r="I101" s="449">
        <f>'Monthly D7 Gallon Data'!$C88</f>
        <v>0</v>
      </c>
      <c r="J101" s="449">
        <f>'Monthly D7 Gallon Data'!$C100</f>
        <v>0</v>
      </c>
      <c r="K101" s="449">
        <f>'Monthly D7 Gallon Data'!$C112</f>
        <v>0</v>
      </c>
      <c r="L101" s="449">
        <f>'Monthly D7 Gallon Data'!$C124</f>
        <v>0</v>
      </c>
      <c r="M101" s="449">
        <f>'Monthly D7 Gallon Data'!$C136</f>
        <v>0</v>
      </c>
      <c r="N101" s="449">
        <f>'Monthly D7 Gallon Data'!$C148</f>
        <v>0</v>
      </c>
      <c r="O101" s="449">
        <f>'Monthly D7 Gallon Data'!$C160</f>
        <v>0</v>
      </c>
      <c r="P101" s="449">
        <f>'Monthly D7 Gallon Data'!$C172</f>
        <v>0</v>
      </c>
      <c r="Q101" s="449">
        <f>'Monthly D7 Gallon Data'!$C184</f>
        <v>0</v>
      </c>
      <c r="R101" s="450">
        <v>0</v>
      </c>
      <c r="S101" s="450">
        <v>0</v>
      </c>
      <c r="T101" s="450">
        <v>0</v>
      </c>
      <c r="U101" s="450">
        <v>0</v>
      </c>
      <c r="V101" s="450">
        <v>0</v>
      </c>
      <c r="W101" s="450">
        <v>0</v>
      </c>
      <c r="X101" s="450">
        <v>0</v>
      </c>
      <c r="Y101" s="450">
        <v>0</v>
      </c>
      <c r="Z101" s="450">
        <v>0</v>
      </c>
      <c r="AA101" s="450">
        <v>0</v>
      </c>
      <c r="AB101" s="450">
        <v>0</v>
      </c>
      <c r="AC101" s="450">
        <v>0</v>
      </c>
      <c r="AD101" s="450">
        <v>0</v>
      </c>
      <c r="AE101" s="450">
        <v>0</v>
      </c>
      <c r="AF101" s="450">
        <v>0</v>
      </c>
      <c r="AG101" s="450">
        <v>0</v>
      </c>
      <c r="AM101" s="449">
        <v>0</v>
      </c>
      <c r="AN101" s="449">
        <f t="shared" ref="AN101:AN113" si="90">L101-AM101</f>
        <v>0</v>
      </c>
      <c r="AO101" s="449">
        <v>0</v>
      </c>
      <c r="AP101" s="449">
        <f t="shared" ref="AP101:AP113" si="91">N101-AO101</f>
        <v>0</v>
      </c>
      <c r="AQ101" s="449">
        <v>0</v>
      </c>
      <c r="AR101" s="449">
        <f t="shared" ref="AR101:AR113" si="92">O101-AQ101</f>
        <v>0</v>
      </c>
      <c r="AS101" s="449">
        <v>0</v>
      </c>
      <c r="AT101" s="449">
        <f t="shared" ref="AT101:AT113" si="93">P101-AS101</f>
        <v>0</v>
      </c>
      <c r="AU101" s="449">
        <v>0</v>
      </c>
      <c r="AV101" s="449">
        <f>Q101-AU101</f>
        <v>0</v>
      </c>
    </row>
    <row r="102" spans="1:48">
      <c r="A102" s="443" t="s">
        <v>44</v>
      </c>
      <c r="B102" s="449">
        <f>'Monthly D7 Gallon Data'!$C5</f>
        <v>0</v>
      </c>
      <c r="C102" s="449">
        <f>'Monthly D7 Gallon Data'!$C17</f>
        <v>0</v>
      </c>
      <c r="D102" s="449">
        <f>'Monthly D7 Gallon Data'!$C29</f>
        <v>0</v>
      </c>
      <c r="E102" s="449">
        <f>'Monthly D7 Gallon Data'!$C41</f>
        <v>0</v>
      </c>
      <c r="F102" s="449">
        <f>'Monthly D7 Gallon Data'!$C53</f>
        <v>0</v>
      </c>
      <c r="G102" s="449">
        <f>'Monthly D7 Gallon Data'!$C65</f>
        <v>0</v>
      </c>
      <c r="H102" s="449">
        <f>'Monthly D7 Gallon Data'!$C77</f>
        <v>0</v>
      </c>
      <c r="I102" s="449">
        <f>'Monthly D7 Gallon Data'!$C89</f>
        <v>0</v>
      </c>
      <c r="J102" s="449">
        <f>'Monthly D7 Gallon Data'!$C101</f>
        <v>0</v>
      </c>
      <c r="K102" s="449">
        <f>'Monthly D7 Gallon Data'!$C113</f>
        <v>0</v>
      </c>
      <c r="L102" s="449">
        <f>'Monthly D7 Gallon Data'!$C125</f>
        <v>0</v>
      </c>
      <c r="M102" s="449">
        <f>'Monthly D7 Gallon Data'!$C137</f>
        <v>0</v>
      </c>
      <c r="N102" s="449">
        <f>'Monthly D7 Gallon Data'!$C149</f>
        <v>0</v>
      </c>
      <c r="O102" s="449">
        <f>'Monthly D7 Gallon Data'!$C161</f>
        <v>0</v>
      </c>
      <c r="P102" s="449">
        <f>'Monthly D7 Gallon Data'!$C173</f>
        <v>0</v>
      </c>
      <c r="Q102" s="449">
        <f>'Monthly D7 Gallon Data'!$C185</f>
        <v>0</v>
      </c>
      <c r="R102" s="450">
        <v>0</v>
      </c>
      <c r="S102" s="450">
        <v>0</v>
      </c>
      <c r="T102" s="450">
        <v>0</v>
      </c>
      <c r="U102" s="450">
        <v>0</v>
      </c>
      <c r="V102" s="450">
        <v>0</v>
      </c>
      <c r="W102" s="450">
        <v>0</v>
      </c>
      <c r="X102" s="450">
        <v>0</v>
      </c>
      <c r="Y102" s="450">
        <v>0</v>
      </c>
      <c r="Z102" s="450">
        <v>0</v>
      </c>
      <c r="AA102" s="450">
        <v>0</v>
      </c>
      <c r="AB102" s="450">
        <v>0</v>
      </c>
      <c r="AC102" s="450">
        <v>0</v>
      </c>
      <c r="AD102" s="450">
        <v>0</v>
      </c>
      <c r="AE102" s="450">
        <v>0</v>
      </c>
      <c r="AF102" s="450">
        <v>0</v>
      </c>
      <c r="AG102" s="450">
        <v>0</v>
      </c>
      <c r="AM102" s="449">
        <v>0</v>
      </c>
      <c r="AN102" s="449">
        <f t="shared" si="90"/>
        <v>0</v>
      </c>
      <c r="AO102" s="449">
        <v>0</v>
      </c>
      <c r="AP102" s="449">
        <f t="shared" si="91"/>
        <v>0</v>
      </c>
      <c r="AQ102" s="449">
        <v>0</v>
      </c>
      <c r="AR102" s="449">
        <f t="shared" si="92"/>
        <v>0</v>
      </c>
      <c r="AS102" s="449">
        <v>0</v>
      </c>
      <c r="AT102" s="449">
        <f t="shared" si="93"/>
        <v>0</v>
      </c>
      <c r="AU102" s="449">
        <v>0</v>
      </c>
      <c r="AV102" s="449">
        <f t="shared" ref="AV102:AV113" si="94">Q102-AU102</f>
        <v>0</v>
      </c>
    </row>
    <row r="103" spans="1:48">
      <c r="A103" s="443" t="s">
        <v>45</v>
      </c>
      <c r="B103" s="449">
        <f>'Monthly D7 Gallon Data'!$C6</f>
        <v>0</v>
      </c>
      <c r="C103" s="449">
        <f>'Monthly D7 Gallon Data'!$C18</f>
        <v>0</v>
      </c>
      <c r="D103" s="449">
        <f>'Monthly D7 Gallon Data'!$C30</f>
        <v>0</v>
      </c>
      <c r="E103" s="449">
        <f>'Monthly D7 Gallon Data'!$C42</f>
        <v>0</v>
      </c>
      <c r="F103" s="449">
        <f>'Monthly D7 Gallon Data'!$C54</f>
        <v>0</v>
      </c>
      <c r="G103" s="449">
        <f>'Monthly D7 Gallon Data'!$C66</f>
        <v>0</v>
      </c>
      <c r="H103" s="449">
        <f>'Monthly D7 Gallon Data'!$C78</f>
        <v>0</v>
      </c>
      <c r="I103" s="449">
        <f>'Monthly D7 Gallon Data'!$C90</f>
        <v>0</v>
      </c>
      <c r="J103" s="449">
        <f>'Monthly D7 Gallon Data'!$C102</f>
        <v>0</v>
      </c>
      <c r="K103" s="449">
        <f>'Monthly D7 Gallon Data'!$C114</f>
        <v>0</v>
      </c>
      <c r="L103" s="449">
        <f>'Monthly D7 Gallon Data'!$C126</f>
        <v>0</v>
      </c>
      <c r="M103" s="449">
        <f>'Monthly D7 Gallon Data'!$C138</f>
        <v>0</v>
      </c>
      <c r="N103" s="449">
        <f>'Monthly D7 Gallon Data'!$C150</f>
        <v>0</v>
      </c>
      <c r="O103" s="449">
        <f>'Monthly D7 Gallon Data'!$C162</f>
        <v>0</v>
      </c>
      <c r="P103" s="449">
        <f>'Monthly D7 Gallon Data'!$C174</f>
        <v>0</v>
      </c>
      <c r="Q103" s="449">
        <f>'Monthly D7 Gallon Data'!$C186</f>
        <v>0</v>
      </c>
      <c r="R103" s="450">
        <v>0</v>
      </c>
      <c r="S103" s="450">
        <v>0</v>
      </c>
      <c r="T103" s="450">
        <v>0</v>
      </c>
      <c r="U103" s="450">
        <v>0</v>
      </c>
      <c r="V103" s="450">
        <v>0</v>
      </c>
      <c r="W103" s="450">
        <v>0</v>
      </c>
      <c r="X103" s="450">
        <v>0</v>
      </c>
      <c r="Y103" s="450">
        <v>0</v>
      </c>
      <c r="Z103" s="450">
        <v>0</v>
      </c>
      <c r="AA103" s="450">
        <v>0</v>
      </c>
      <c r="AB103" s="450">
        <v>0</v>
      </c>
      <c r="AC103" s="450">
        <v>0</v>
      </c>
      <c r="AD103" s="450">
        <v>0</v>
      </c>
      <c r="AE103" s="450">
        <v>0</v>
      </c>
      <c r="AF103" s="450">
        <v>0</v>
      </c>
      <c r="AG103" s="450">
        <v>0</v>
      </c>
      <c r="AM103" s="449">
        <v>0</v>
      </c>
      <c r="AN103" s="449">
        <f t="shared" si="90"/>
        <v>0</v>
      </c>
      <c r="AO103" s="449">
        <v>0</v>
      </c>
      <c r="AP103" s="449">
        <f t="shared" si="91"/>
        <v>0</v>
      </c>
      <c r="AQ103" s="449">
        <v>0.2850335377867339</v>
      </c>
      <c r="AR103" s="449">
        <f t="shared" si="92"/>
        <v>-0.2850335377867339</v>
      </c>
      <c r="AS103" s="449">
        <v>0</v>
      </c>
      <c r="AT103" s="449">
        <f t="shared" si="93"/>
        <v>0</v>
      </c>
      <c r="AU103" s="449">
        <v>0</v>
      </c>
      <c r="AV103" s="449">
        <f t="shared" si="94"/>
        <v>0</v>
      </c>
    </row>
    <row r="104" spans="1:48">
      <c r="A104" s="443" t="s">
        <v>46</v>
      </c>
      <c r="B104" s="449">
        <f>'Monthly D7 Gallon Data'!$C7</f>
        <v>0</v>
      </c>
      <c r="C104" s="449">
        <f>'Monthly D7 Gallon Data'!$C19</f>
        <v>0</v>
      </c>
      <c r="D104" s="449">
        <f>'Monthly D7 Gallon Data'!$C31</f>
        <v>0</v>
      </c>
      <c r="E104" s="449">
        <f>'Monthly D7 Gallon Data'!$C43</f>
        <v>0</v>
      </c>
      <c r="F104" s="449">
        <f>'Monthly D7 Gallon Data'!$C55</f>
        <v>0</v>
      </c>
      <c r="G104" s="449">
        <f>'Monthly D7 Gallon Data'!$C67</f>
        <v>0</v>
      </c>
      <c r="H104" s="449">
        <f>'Monthly D7 Gallon Data'!$C79</f>
        <v>0</v>
      </c>
      <c r="I104" s="449">
        <f>'Monthly D7 Gallon Data'!$C91</f>
        <v>0</v>
      </c>
      <c r="J104" s="449">
        <f>'Monthly D7 Gallon Data'!$C103</f>
        <v>0</v>
      </c>
      <c r="K104" s="449">
        <f>'Monthly D7 Gallon Data'!$C115</f>
        <v>0</v>
      </c>
      <c r="L104" s="449">
        <f>'Monthly D7 Gallon Data'!$C127</f>
        <v>0</v>
      </c>
      <c r="M104" s="449">
        <f>'Monthly D7 Gallon Data'!$C139</f>
        <v>0</v>
      </c>
      <c r="N104" s="449">
        <f>'Monthly D7 Gallon Data'!$C151</f>
        <v>0</v>
      </c>
      <c r="O104" s="449">
        <f>'Monthly D7 Gallon Data'!$C163</f>
        <v>0</v>
      </c>
      <c r="P104" s="449">
        <f>'Monthly D7 Gallon Data'!$C175</f>
        <v>0</v>
      </c>
      <c r="Q104" s="450">
        <v>0</v>
      </c>
      <c r="R104" s="450">
        <v>0</v>
      </c>
      <c r="S104" s="450">
        <v>0</v>
      </c>
      <c r="T104" s="450">
        <v>0</v>
      </c>
      <c r="U104" s="450">
        <v>0</v>
      </c>
      <c r="V104" s="450">
        <v>0</v>
      </c>
      <c r="W104" s="450">
        <v>0</v>
      </c>
      <c r="X104" s="450">
        <v>0</v>
      </c>
      <c r="Y104" s="450">
        <v>0</v>
      </c>
      <c r="Z104" s="450">
        <v>0</v>
      </c>
      <c r="AA104" s="450">
        <v>0</v>
      </c>
      <c r="AB104" s="450">
        <v>0</v>
      </c>
      <c r="AC104" s="450">
        <v>0</v>
      </c>
      <c r="AD104" s="450">
        <v>0</v>
      </c>
      <c r="AE104" s="450">
        <v>0</v>
      </c>
      <c r="AF104" s="450">
        <v>0</v>
      </c>
      <c r="AG104" s="450">
        <v>0</v>
      </c>
      <c r="AM104" s="449">
        <v>0</v>
      </c>
      <c r="AN104" s="449">
        <f t="shared" si="90"/>
        <v>0</v>
      </c>
      <c r="AO104" s="449">
        <v>0</v>
      </c>
      <c r="AP104" s="449">
        <f t="shared" si="91"/>
        <v>0</v>
      </c>
      <c r="AQ104" s="449">
        <v>0.15470592158128718</v>
      </c>
      <c r="AR104" s="449">
        <f t="shared" si="92"/>
        <v>-0.15470592158128718</v>
      </c>
      <c r="AS104" s="449">
        <v>0</v>
      </c>
      <c r="AT104" s="449">
        <f t="shared" si="93"/>
        <v>0</v>
      </c>
      <c r="AU104" s="449">
        <v>0</v>
      </c>
      <c r="AV104" s="449">
        <f t="shared" si="94"/>
        <v>0</v>
      </c>
    </row>
    <row r="105" spans="1:48">
      <c r="A105" s="443" t="s">
        <v>47</v>
      </c>
      <c r="B105" s="449">
        <f>'Monthly D7 Gallon Data'!$C8</f>
        <v>0</v>
      </c>
      <c r="C105" s="449">
        <f>'Monthly D7 Gallon Data'!$C20</f>
        <v>0</v>
      </c>
      <c r="D105" s="449">
        <f>'Monthly D7 Gallon Data'!$C32</f>
        <v>0</v>
      </c>
      <c r="E105" s="449">
        <f>'Monthly D7 Gallon Data'!$C44</f>
        <v>0</v>
      </c>
      <c r="F105" s="449">
        <f>'Monthly D7 Gallon Data'!$C56</f>
        <v>0</v>
      </c>
      <c r="G105" s="449">
        <f>'Monthly D7 Gallon Data'!$C68</f>
        <v>0</v>
      </c>
      <c r="H105" s="449">
        <f>'Monthly D7 Gallon Data'!$C80</f>
        <v>0</v>
      </c>
      <c r="I105" s="449">
        <f>'Monthly D7 Gallon Data'!$C92</f>
        <v>0</v>
      </c>
      <c r="J105" s="449">
        <f>'Monthly D7 Gallon Data'!$C104</f>
        <v>0</v>
      </c>
      <c r="K105" s="449">
        <f>'Monthly D7 Gallon Data'!$C116</f>
        <v>0</v>
      </c>
      <c r="L105" s="449">
        <f>'Monthly D7 Gallon Data'!$C128</f>
        <v>0</v>
      </c>
      <c r="M105" s="449">
        <f>'Monthly D7 Gallon Data'!$C140</f>
        <v>0</v>
      </c>
      <c r="N105" s="449">
        <f>'Monthly D7 Gallon Data'!$C152</f>
        <v>0</v>
      </c>
      <c r="O105" s="449">
        <f>'Monthly D7 Gallon Data'!$C164</f>
        <v>0</v>
      </c>
      <c r="P105" s="449">
        <f>'Monthly D7 Gallon Data'!$C176</f>
        <v>0</v>
      </c>
      <c r="Q105" s="450">
        <v>0</v>
      </c>
      <c r="R105" s="450">
        <v>0</v>
      </c>
      <c r="S105" s="450">
        <v>0</v>
      </c>
      <c r="T105" s="450">
        <v>0</v>
      </c>
      <c r="U105" s="450">
        <v>0</v>
      </c>
      <c r="V105" s="450">
        <v>0</v>
      </c>
      <c r="W105" s="450">
        <v>0</v>
      </c>
      <c r="X105" s="450">
        <v>0</v>
      </c>
      <c r="Y105" s="450">
        <v>0</v>
      </c>
      <c r="Z105" s="450">
        <v>0</v>
      </c>
      <c r="AA105" s="450">
        <v>0</v>
      </c>
      <c r="AB105" s="450">
        <v>0</v>
      </c>
      <c r="AC105" s="450">
        <v>0</v>
      </c>
      <c r="AD105" s="450">
        <v>0</v>
      </c>
      <c r="AE105" s="450">
        <v>0</v>
      </c>
      <c r="AF105" s="450">
        <v>0</v>
      </c>
      <c r="AG105" s="450">
        <v>0</v>
      </c>
      <c r="AM105" s="449">
        <v>0</v>
      </c>
      <c r="AN105" s="449">
        <f t="shared" si="90"/>
        <v>0</v>
      </c>
      <c r="AO105" s="449">
        <v>0</v>
      </c>
      <c r="AP105" s="449">
        <f t="shared" si="91"/>
        <v>0</v>
      </c>
      <c r="AQ105" s="449">
        <v>0</v>
      </c>
      <c r="AR105" s="449">
        <f t="shared" si="92"/>
        <v>0</v>
      </c>
      <c r="AS105" s="450">
        <v>0</v>
      </c>
      <c r="AT105" s="449">
        <f t="shared" si="93"/>
        <v>0</v>
      </c>
      <c r="AU105" s="450">
        <v>0</v>
      </c>
      <c r="AV105" s="449">
        <f t="shared" si="94"/>
        <v>0</v>
      </c>
    </row>
    <row r="106" spans="1:48">
      <c r="A106" s="443" t="s">
        <v>48</v>
      </c>
      <c r="B106" s="449">
        <f>'Monthly D7 Gallon Data'!$C9</f>
        <v>0</v>
      </c>
      <c r="C106" s="449">
        <f>'Monthly D7 Gallon Data'!$C21</f>
        <v>0</v>
      </c>
      <c r="D106" s="449">
        <f>'Monthly D7 Gallon Data'!$C33</f>
        <v>0</v>
      </c>
      <c r="E106" s="449">
        <f>'Monthly D7 Gallon Data'!$C45</f>
        <v>0</v>
      </c>
      <c r="F106" s="449">
        <f>'Monthly D7 Gallon Data'!$C57</f>
        <v>0</v>
      </c>
      <c r="G106" s="449">
        <f>'Monthly D7 Gallon Data'!$C69</f>
        <v>0</v>
      </c>
      <c r="H106" s="449">
        <f>'Monthly D7 Gallon Data'!$C81</f>
        <v>0</v>
      </c>
      <c r="I106" s="449">
        <f>'Monthly D7 Gallon Data'!$C93</f>
        <v>0</v>
      </c>
      <c r="J106" s="449">
        <f>'Monthly D7 Gallon Data'!$C105</f>
        <v>0</v>
      </c>
      <c r="K106" s="449">
        <f>'Monthly D7 Gallon Data'!$C117</f>
        <v>0</v>
      </c>
      <c r="L106" s="449">
        <f>'Monthly D7 Gallon Data'!$C129</f>
        <v>0</v>
      </c>
      <c r="M106" s="449">
        <f>'Monthly D7 Gallon Data'!$C141</f>
        <v>0</v>
      </c>
      <c r="N106" s="449">
        <f>'Monthly D7 Gallon Data'!$C153</f>
        <v>0</v>
      </c>
      <c r="O106" s="449">
        <f>'Monthly D7 Gallon Data'!$C165</f>
        <v>0</v>
      </c>
      <c r="P106" s="449">
        <f>'Monthly D7 Gallon Data'!$C177</f>
        <v>0</v>
      </c>
      <c r="Q106" s="450">
        <v>0</v>
      </c>
      <c r="R106" s="450">
        <v>0</v>
      </c>
      <c r="S106" s="450">
        <v>0</v>
      </c>
      <c r="T106" s="450">
        <v>0</v>
      </c>
      <c r="U106" s="450">
        <v>0</v>
      </c>
      <c r="V106" s="450">
        <v>0</v>
      </c>
      <c r="W106" s="450">
        <v>0</v>
      </c>
      <c r="X106" s="450">
        <v>0</v>
      </c>
      <c r="Y106" s="450">
        <v>0</v>
      </c>
      <c r="Z106" s="450">
        <v>0</v>
      </c>
      <c r="AA106" s="450">
        <v>0</v>
      </c>
      <c r="AB106" s="450">
        <v>0</v>
      </c>
      <c r="AC106" s="450">
        <v>0</v>
      </c>
      <c r="AD106" s="450">
        <v>0</v>
      </c>
      <c r="AE106" s="450">
        <v>0</v>
      </c>
      <c r="AF106" s="450">
        <v>0</v>
      </c>
      <c r="AG106" s="450">
        <v>0</v>
      </c>
      <c r="AM106" s="449">
        <v>0</v>
      </c>
      <c r="AN106" s="449">
        <f t="shared" si="90"/>
        <v>0</v>
      </c>
      <c r="AO106" s="449">
        <v>0</v>
      </c>
      <c r="AP106" s="449">
        <f t="shared" si="91"/>
        <v>0</v>
      </c>
      <c r="AQ106" s="449">
        <v>0</v>
      </c>
      <c r="AR106" s="449">
        <f t="shared" si="92"/>
        <v>0</v>
      </c>
      <c r="AS106" s="450">
        <v>0</v>
      </c>
      <c r="AT106" s="449">
        <f t="shared" si="93"/>
        <v>0</v>
      </c>
      <c r="AU106" s="450">
        <v>0</v>
      </c>
      <c r="AV106" s="449">
        <f t="shared" si="94"/>
        <v>0</v>
      </c>
    </row>
    <row r="107" spans="1:48">
      <c r="A107" s="443" t="s">
        <v>49</v>
      </c>
      <c r="B107" s="449">
        <f>'Monthly D7 Gallon Data'!$C10</f>
        <v>0</v>
      </c>
      <c r="C107" s="449">
        <f>'Monthly D7 Gallon Data'!$C22</f>
        <v>0</v>
      </c>
      <c r="D107" s="449">
        <f>'Monthly D7 Gallon Data'!$C34</f>
        <v>0</v>
      </c>
      <c r="E107" s="449">
        <f>'Monthly D7 Gallon Data'!$C46</f>
        <v>0</v>
      </c>
      <c r="F107" s="449">
        <f>'Monthly D7 Gallon Data'!$C58</f>
        <v>0</v>
      </c>
      <c r="G107" s="449">
        <f>'Monthly D7 Gallon Data'!$C70</f>
        <v>0</v>
      </c>
      <c r="H107" s="449">
        <f>'Monthly D7 Gallon Data'!$C82</f>
        <v>0</v>
      </c>
      <c r="I107" s="449">
        <f>'Monthly D7 Gallon Data'!$C94</f>
        <v>0</v>
      </c>
      <c r="J107" s="449">
        <f>'Monthly D7 Gallon Data'!$C106</f>
        <v>0</v>
      </c>
      <c r="K107" s="449">
        <f>'Monthly D7 Gallon Data'!$C118</f>
        <v>0</v>
      </c>
      <c r="L107" s="449">
        <f>'Monthly D7 Gallon Data'!$C130</f>
        <v>0</v>
      </c>
      <c r="M107" s="449">
        <f>'Monthly D7 Gallon Data'!$C142</f>
        <v>0</v>
      </c>
      <c r="N107" s="449">
        <f>'Monthly D7 Gallon Data'!$C154</f>
        <v>0</v>
      </c>
      <c r="O107" s="449">
        <f>'Monthly D7 Gallon Data'!$C166</f>
        <v>0</v>
      </c>
      <c r="P107" s="449">
        <f>'Monthly D7 Gallon Data'!$C178</f>
        <v>0</v>
      </c>
      <c r="Q107" s="450">
        <v>0</v>
      </c>
      <c r="R107" s="450">
        <v>0</v>
      </c>
      <c r="S107" s="450">
        <v>0</v>
      </c>
      <c r="T107" s="450">
        <v>0</v>
      </c>
      <c r="U107" s="450">
        <v>0</v>
      </c>
      <c r="V107" s="450">
        <v>0</v>
      </c>
      <c r="W107" s="450">
        <v>0</v>
      </c>
      <c r="X107" s="450">
        <v>0</v>
      </c>
      <c r="Y107" s="450">
        <v>0</v>
      </c>
      <c r="Z107" s="450">
        <v>0</v>
      </c>
      <c r="AA107" s="450">
        <v>0</v>
      </c>
      <c r="AB107" s="450">
        <v>0</v>
      </c>
      <c r="AC107" s="450">
        <v>0</v>
      </c>
      <c r="AD107" s="450">
        <v>0</v>
      </c>
      <c r="AE107" s="450">
        <v>0</v>
      </c>
      <c r="AF107" s="450">
        <v>0</v>
      </c>
      <c r="AG107" s="450">
        <v>0</v>
      </c>
      <c r="AK107" s="449">
        <v>0</v>
      </c>
      <c r="AL107" s="449">
        <f t="shared" ref="AL107:AL113" si="95">K107-AK107</f>
        <v>0</v>
      </c>
      <c r="AM107" s="449">
        <v>0</v>
      </c>
      <c r="AN107" s="449">
        <f t="shared" si="90"/>
        <v>0</v>
      </c>
      <c r="AO107" s="449">
        <v>0</v>
      </c>
      <c r="AP107" s="449">
        <f t="shared" si="91"/>
        <v>0</v>
      </c>
      <c r="AQ107" s="449">
        <v>0</v>
      </c>
      <c r="AR107" s="449">
        <f t="shared" si="92"/>
        <v>0</v>
      </c>
      <c r="AS107" s="450">
        <v>0</v>
      </c>
      <c r="AT107" s="449">
        <f t="shared" si="93"/>
        <v>0</v>
      </c>
      <c r="AU107" s="450">
        <v>0</v>
      </c>
      <c r="AV107" s="449">
        <f t="shared" si="94"/>
        <v>0</v>
      </c>
    </row>
    <row r="108" spans="1:48">
      <c r="A108" s="443" t="s">
        <v>50</v>
      </c>
      <c r="B108" s="449">
        <f>'Monthly D7 Gallon Data'!$C11</f>
        <v>0</v>
      </c>
      <c r="C108" s="449">
        <f>'Monthly D7 Gallon Data'!$C23</f>
        <v>0</v>
      </c>
      <c r="D108" s="449">
        <f>'Monthly D7 Gallon Data'!$C35</f>
        <v>0</v>
      </c>
      <c r="E108" s="449">
        <f>'Monthly D7 Gallon Data'!$C47</f>
        <v>0</v>
      </c>
      <c r="F108" s="449">
        <f>'Monthly D7 Gallon Data'!$C59</f>
        <v>0</v>
      </c>
      <c r="G108" s="449">
        <f>'Monthly D7 Gallon Data'!$C71</f>
        <v>0</v>
      </c>
      <c r="H108" s="449">
        <f>'Monthly D7 Gallon Data'!$C83</f>
        <v>0</v>
      </c>
      <c r="I108" s="449">
        <f>'Monthly D7 Gallon Data'!$C95</f>
        <v>0</v>
      </c>
      <c r="J108" s="449">
        <f>'Monthly D7 Gallon Data'!$C107</f>
        <v>0</v>
      </c>
      <c r="K108" s="449">
        <f>'Monthly D7 Gallon Data'!$C119</f>
        <v>0</v>
      </c>
      <c r="L108" s="449">
        <f>'Monthly D7 Gallon Data'!$C131</f>
        <v>0</v>
      </c>
      <c r="M108" s="449">
        <f>'Monthly D7 Gallon Data'!$C143</f>
        <v>0</v>
      </c>
      <c r="N108" s="449">
        <f>'Monthly D7 Gallon Data'!$C155</f>
        <v>0</v>
      </c>
      <c r="O108" s="449">
        <f>'Monthly D7 Gallon Data'!$C167</f>
        <v>0</v>
      </c>
      <c r="P108" s="449">
        <f>'Monthly D7 Gallon Data'!$C179</f>
        <v>0</v>
      </c>
      <c r="Q108" s="450">
        <v>0</v>
      </c>
      <c r="R108" s="450">
        <v>0</v>
      </c>
      <c r="S108" s="450">
        <v>0</v>
      </c>
      <c r="T108" s="450">
        <v>0</v>
      </c>
      <c r="U108" s="450">
        <v>0</v>
      </c>
      <c r="V108" s="450">
        <v>0</v>
      </c>
      <c r="W108" s="450">
        <v>0</v>
      </c>
      <c r="X108" s="450">
        <v>0</v>
      </c>
      <c r="Y108" s="450">
        <v>0</v>
      </c>
      <c r="Z108" s="450">
        <v>0</v>
      </c>
      <c r="AA108" s="450">
        <v>0</v>
      </c>
      <c r="AB108" s="450">
        <v>0</v>
      </c>
      <c r="AC108" s="450">
        <v>0</v>
      </c>
      <c r="AD108" s="450">
        <v>0</v>
      </c>
      <c r="AE108" s="450">
        <v>0</v>
      </c>
      <c r="AF108" s="450">
        <v>0</v>
      </c>
      <c r="AG108" s="450">
        <v>0</v>
      </c>
      <c r="AK108" s="449">
        <v>0</v>
      </c>
      <c r="AL108" s="449">
        <f t="shared" si="95"/>
        <v>0</v>
      </c>
      <c r="AM108" s="449">
        <v>0</v>
      </c>
      <c r="AN108" s="449">
        <f t="shared" si="90"/>
        <v>0</v>
      </c>
      <c r="AO108" s="449">
        <v>0</v>
      </c>
      <c r="AP108" s="449">
        <f t="shared" si="91"/>
        <v>0</v>
      </c>
      <c r="AQ108" s="449">
        <v>0</v>
      </c>
      <c r="AR108" s="449">
        <f t="shared" si="92"/>
        <v>0</v>
      </c>
      <c r="AS108" s="450">
        <v>0</v>
      </c>
      <c r="AT108" s="449">
        <f t="shared" si="93"/>
        <v>0</v>
      </c>
      <c r="AU108" s="450">
        <v>0</v>
      </c>
      <c r="AV108" s="449">
        <f t="shared" si="94"/>
        <v>0</v>
      </c>
    </row>
    <row r="109" spans="1:48">
      <c r="A109" s="443" t="s">
        <v>51</v>
      </c>
      <c r="B109" s="449">
        <f>'Monthly D7 Gallon Data'!$C12</f>
        <v>0</v>
      </c>
      <c r="C109" s="449">
        <f>'Monthly D7 Gallon Data'!$C24</f>
        <v>0</v>
      </c>
      <c r="D109" s="449">
        <f>'Monthly D7 Gallon Data'!$C36</f>
        <v>0</v>
      </c>
      <c r="E109" s="449">
        <f>'Monthly D7 Gallon Data'!$C48</f>
        <v>0</v>
      </c>
      <c r="F109" s="449">
        <f>'Monthly D7 Gallon Data'!$C60</f>
        <v>0</v>
      </c>
      <c r="G109" s="449">
        <f>'Monthly D7 Gallon Data'!$C72</f>
        <v>0</v>
      </c>
      <c r="H109" s="449">
        <f>'Monthly D7 Gallon Data'!$C84</f>
        <v>0</v>
      </c>
      <c r="I109" s="449">
        <f>'Monthly D7 Gallon Data'!$C96</f>
        <v>0</v>
      </c>
      <c r="J109" s="449">
        <f>'Monthly D7 Gallon Data'!$C108</f>
        <v>0</v>
      </c>
      <c r="K109" s="449">
        <f>'Monthly D7 Gallon Data'!$C120</f>
        <v>0</v>
      </c>
      <c r="L109" s="449">
        <f>'Monthly D7 Gallon Data'!$C132</f>
        <v>0</v>
      </c>
      <c r="M109" s="449">
        <f>'Monthly D7 Gallon Data'!$C144</f>
        <v>0</v>
      </c>
      <c r="N109" s="449">
        <f>'Monthly D7 Gallon Data'!$C156</f>
        <v>0</v>
      </c>
      <c r="O109" s="449">
        <f>'Monthly D7 Gallon Data'!$C168</f>
        <v>0</v>
      </c>
      <c r="P109" s="449">
        <f>'Monthly D7 Gallon Data'!$C180</f>
        <v>0</v>
      </c>
      <c r="Q109" s="450">
        <v>0</v>
      </c>
      <c r="R109" s="450">
        <v>0</v>
      </c>
      <c r="S109" s="450">
        <v>0</v>
      </c>
      <c r="T109" s="450">
        <v>0</v>
      </c>
      <c r="U109" s="450">
        <v>0</v>
      </c>
      <c r="V109" s="450">
        <v>0</v>
      </c>
      <c r="W109" s="450">
        <v>0</v>
      </c>
      <c r="X109" s="450">
        <v>0</v>
      </c>
      <c r="Y109" s="450">
        <v>0</v>
      </c>
      <c r="Z109" s="450">
        <v>0</v>
      </c>
      <c r="AA109" s="450">
        <v>0</v>
      </c>
      <c r="AB109" s="450">
        <v>0</v>
      </c>
      <c r="AC109" s="450">
        <v>0</v>
      </c>
      <c r="AD109" s="450">
        <v>0</v>
      </c>
      <c r="AE109" s="450">
        <v>0</v>
      </c>
      <c r="AF109" s="450">
        <v>0</v>
      </c>
      <c r="AG109" s="450">
        <v>0</v>
      </c>
      <c r="AK109" s="449">
        <v>0</v>
      </c>
      <c r="AL109" s="449">
        <f t="shared" si="95"/>
        <v>0</v>
      </c>
      <c r="AM109" s="449">
        <v>0</v>
      </c>
      <c r="AN109" s="449">
        <f t="shared" si="90"/>
        <v>0</v>
      </c>
      <c r="AO109" s="449">
        <v>0</v>
      </c>
      <c r="AP109" s="449">
        <f t="shared" si="91"/>
        <v>0</v>
      </c>
      <c r="AQ109" s="449">
        <v>0</v>
      </c>
      <c r="AR109" s="449">
        <f t="shared" si="92"/>
        <v>0</v>
      </c>
      <c r="AS109" s="450">
        <v>0</v>
      </c>
      <c r="AT109" s="449">
        <f t="shared" si="93"/>
        <v>0</v>
      </c>
      <c r="AU109" s="450">
        <v>0</v>
      </c>
      <c r="AV109" s="449">
        <f t="shared" si="94"/>
        <v>0</v>
      </c>
    </row>
    <row r="110" spans="1:48">
      <c r="A110" s="443" t="s">
        <v>52</v>
      </c>
      <c r="B110" s="449">
        <f>'Monthly D7 Gallon Data'!$C13</f>
        <v>0</v>
      </c>
      <c r="C110" s="449">
        <f>'Monthly D7 Gallon Data'!$C25</f>
        <v>0</v>
      </c>
      <c r="D110" s="449">
        <f>'Monthly D7 Gallon Data'!$C37</f>
        <v>0</v>
      </c>
      <c r="E110" s="449">
        <f>'Monthly D7 Gallon Data'!$C49</f>
        <v>0</v>
      </c>
      <c r="F110" s="449">
        <f>'Monthly D7 Gallon Data'!$C61</f>
        <v>0</v>
      </c>
      <c r="G110" s="449">
        <f>'Monthly D7 Gallon Data'!$C73</f>
        <v>0</v>
      </c>
      <c r="H110" s="449">
        <f>'Monthly D7 Gallon Data'!$C85</f>
        <v>0</v>
      </c>
      <c r="I110" s="449">
        <f>'Monthly D7 Gallon Data'!$C97</f>
        <v>0</v>
      </c>
      <c r="J110" s="449">
        <f>'Monthly D7 Gallon Data'!$C109</f>
        <v>0</v>
      </c>
      <c r="K110" s="449">
        <f>'Monthly D7 Gallon Data'!$C121</f>
        <v>0</v>
      </c>
      <c r="L110" s="449">
        <f>'Monthly D7 Gallon Data'!$C133</f>
        <v>0</v>
      </c>
      <c r="M110" s="449">
        <f>'Monthly D7 Gallon Data'!$C145</f>
        <v>0</v>
      </c>
      <c r="N110" s="449">
        <f>'Monthly D7 Gallon Data'!$C157</f>
        <v>0</v>
      </c>
      <c r="O110" s="449">
        <f>'Monthly D7 Gallon Data'!$C169</f>
        <v>0</v>
      </c>
      <c r="P110" s="449">
        <f>'Monthly D7 Gallon Data'!$C181</f>
        <v>0</v>
      </c>
      <c r="Q110" s="450">
        <v>0</v>
      </c>
      <c r="R110" s="450">
        <v>0</v>
      </c>
      <c r="S110" s="450">
        <v>0</v>
      </c>
      <c r="T110" s="450">
        <v>0</v>
      </c>
      <c r="U110" s="450">
        <v>0</v>
      </c>
      <c r="V110" s="450">
        <v>0</v>
      </c>
      <c r="W110" s="450">
        <v>0</v>
      </c>
      <c r="X110" s="450">
        <v>0</v>
      </c>
      <c r="Y110" s="450">
        <v>0</v>
      </c>
      <c r="Z110" s="450">
        <v>0</v>
      </c>
      <c r="AA110" s="450">
        <v>0</v>
      </c>
      <c r="AB110" s="450">
        <v>0</v>
      </c>
      <c r="AC110" s="450">
        <v>0</v>
      </c>
      <c r="AD110" s="450">
        <v>0</v>
      </c>
      <c r="AE110" s="450">
        <v>0</v>
      </c>
      <c r="AF110" s="450">
        <v>0</v>
      </c>
      <c r="AG110" s="450">
        <v>0</v>
      </c>
      <c r="AK110" s="449">
        <v>0</v>
      </c>
      <c r="AL110" s="449">
        <f t="shared" si="95"/>
        <v>0</v>
      </c>
      <c r="AM110" s="449">
        <v>0</v>
      </c>
      <c r="AN110" s="449">
        <f t="shared" si="90"/>
        <v>0</v>
      </c>
      <c r="AO110" s="449">
        <v>0</v>
      </c>
      <c r="AP110" s="449">
        <f t="shared" si="91"/>
        <v>0</v>
      </c>
      <c r="AQ110" s="449">
        <v>0</v>
      </c>
      <c r="AR110" s="449">
        <f t="shared" si="92"/>
        <v>0</v>
      </c>
      <c r="AS110" s="450">
        <v>0</v>
      </c>
      <c r="AT110" s="449">
        <f t="shared" si="93"/>
        <v>0</v>
      </c>
      <c r="AU110" s="450">
        <v>0</v>
      </c>
      <c r="AV110" s="449">
        <f t="shared" si="94"/>
        <v>0</v>
      </c>
    </row>
    <row r="111" spans="1:48">
      <c r="A111" s="443" t="s">
        <v>53</v>
      </c>
      <c r="B111" s="449">
        <f>'Monthly D7 Gallon Data'!$C14</f>
        <v>0</v>
      </c>
      <c r="C111" s="449">
        <f>'Monthly D7 Gallon Data'!$C26</f>
        <v>0</v>
      </c>
      <c r="D111" s="449">
        <f>'Monthly D7 Gallon Data'!$C38</f>
        <v>0</v>
      </c>
      <c r="E111" s="449">
        <f>'Monthly D7 Gallon Data'!$C50</f>
        <v>0</v>
      </c>
      <c r="F111" s="449">
        <f>'Monthly D7 Gallon Data'!$C62</f>
        <v>0</v>
      </c>
      <c r="G111" s="449">
        <f>'Monthly D7 Gallon Data'!$C74</f>
        <v>0</v>
      </c>
      <c r="H111" s="449">
        <f>'Monthly D7 Gallon Data'!$C86</f>
        <v>0</v>
      </c>
      <c r="I111" s="449">
        <f>'Monthly D7 Gallon Data'!$C98</f>
        <v>0</v>
      </c>
      <c r="J111" s="449">
        <f>'Monthly D7 Gallon Data'!$C110</f>
        <v>0</v>
      </c>
      <c r="K111" s="449">
        <f>'Monthly D7 Gallon Data'!$C122</f>
        <v>0</v>
      </c>
      <c r="L111" s="449">
        <f>'Monthly D7 Gallon Data'!$C134</f>
        <v>0</v>
      </c>
      <c r="M111" s="449">
        <f>'Monthly D7 Gallon Data'!$C146</f>
        <v>0</v>
      </c>
      <c r="N111" s="449">
        <f>'Monthly D7 Gallon Data'!$C158</f>
        <v>0</v>
      </c>
      <c r="O111" s="449">
        <f>'Monthly D7 Gallon Data'!$C170</f>
        <v>0</v>
      </c>
      <c r="P111" s="449">
        <f>'Monthly D7 Gallon Data'!$C182</f>
        <v>0</v>
      </c>
      <c r="Q111" s="450">
        <v>0</v>
      </c>
      <c r="R111" s="450">
        <v>0</v>
      </c>
      <c r="S111" s="450">
        <v>0</v>
      </c>
      <c r="T111" s="450">
        <v>0</v>
      </c>
      <c r="U111" s="450">
        <v>0</v>
      </c>
      <c r="V111" s="450">
        <v>0</v>
      </c>
      <c r="W111" s="450">
        <v>0</v>
      </c>
      <c r="X111" s="450">
        <v>0</v>
      </c>
      <c r="Y111" s="450">
        <v>0</v>
      </c>
      <c r="Z111" s="450">
        <v>0</v>
      </c>
      <c r="AA111" s="450">
        <v>0</v>
      </c>
      <c r="AB111" s="450">
        <v>0</v>
      </c>
      <c r="AC111" s="450">
        <v>0</v>
      </c>
      <c r="AD111" s="450">
        <v>0</v>
      </c>
      <c r="AE111" s="450">
        <v>0</v>
      </c>
      <c r="AF111" s="450">
        <v>0</v>
      </c>
      <c r="AG111" s="450">
        <v>0</v>
      </c>
      <c r="AK111" s="449">
        <v>0</v>
      </c>
      <c r="AL111" s="449">
        <f t="shared" si="95"/>
        <v>0</v>
      </c>
      <c r="AM111" s="449">
        <v>0</v>
      </c>
      <c r="AN111" s="449">
        <f t="shared" si="90"/>
        <v>0</v>
      </c>
      <c r="AO111" s="450">
        <v>0</v>
      </c>
      <c r="AP111" s="449">
        <f t="shared" si="91"/>
        <v>0</v>
      </c>
      <c r="AQ111" s="450">
        <v>0</v>
      </c>
      <c r="AR111" s="449">
        <f t="shared" si="92"/>
        <v>0</v>
      </c>
      <c r="AS111" s="450">
        <v>0</v>
      </c>
      <c r="AT111" s="449">
        <f t="shared" si="93"/>
        <v>0</v>
      </c>
      <c r="AU111" s="450">
        <v>0</v>
      </c>
      <c r="AV111" s="449">
        <f t="shared" si="94"/>
        <v>0</v>
      </c>
    </row>
    <row r="112" spans="1:48">
      <c r="A112" s="443" t="s">
        <v>54</v>
      </c>
      <c r="B112" s="449">
        <f>'Monthly D7 Gallon Data'!$C15</f>
        <v>0</v>
      </c>
      <c r="C112" s="449">
        <f>'Monthly D7 Gallon Data'!$C27</f>
        <v>0</v>
      </c>
      <c r="D112" s="449">
        <f>'Monthly D7 Gallon Data'!$C39</f>
        <v>0</v>
      </c>
      <c r="E112" s="449">
        <f>'Monthly D7 Gallon Data'!$C51</f>
        <v>0</v>
      </c>
      <c r="F112" s="449">
        <f>'Monthly D7 Gallon Data'!$C63</f>
        <v>0</v>
      </c>
      <c r="G112" s="449">
        <f>'Monthly D7 Gallon Data'!$C75</f>
        <v>0</v>
      </c>
      <c r="H112" s="449">
        <f>'Monthly D7 Gallon Data'!$C87</f>
        <v>0</v>
      </c>
      <c r="I112" s="449">
        <f>'Monthly D7 Gallon Data'!$C99</f>
        <v>0</v>
      </c>
      <c r="J112" s="449">
        <f>'Monthly D7 Gallon Data'!$C111</f>
        <v>0</v>
      </c>
      <c r="K112" s="449">
        <f>'Monthly D7 Gallon Data'!$C123</f>
        <v>0</v>
      </c>
      <c r="L112" s="449">
        <f>'Monthly D7 Gallon Data'!$C135</f>
        <v>0</v>
      </c>
      <c r="M112" s="449">
        <f>'Monthly D7 Gallon Data'!$C147</f>
        <v>0</v>
      </c>
      <c r="N112" s="449">
        <f>'Monthly D7 Gallon Data'!$C159</f>
        <v>0</v>
      </c>
      <c r="O112" s="449">
        <f>'Monthly D7 Gallon Data'!$C171</f>
        <v>0</v>
      </c>
      <c r="P112" s="449">
        <f>'Monthly D7 Gallon Data'!$C183</f>
        <v>0</v>
      </c>
      <c r="Q112" s="450">
        <v>0</v>
      </c>
      <c r="R112" s="450">
        <v>0</v>
      </c>
      <c r="S112" s="450">
        <v>0</v>
      </c>
      <c r="T112" s="450">
        <v>0</v>
      </c>
      <c r="U112" s="450">
        <v>0</v>
      </c>
      <c r="V112" s="450">
        <v>0</v>
      </c>
      <c r="W112" s="450">
        <v>0</v>
      </c>
      <c r="X112" s="450">
        <v>0</v>
      </c>
      <c r="Y112" s="450">
        <v>0</v>
      </c>
      <c r="Z112" s="450">
        <v>0</v>
      </c>
      <c r="AA112" s="450">
        <v>0</v>
      </c>
      <c r="AB112" s="450">
        <v>0</v>
      </c>
      <c r="AC112" s="450">
        <v>0</v>
      </c>
      <c r="AD112" s="450">
        <v>0</v>
      </c>
      <c r="AE112" s="450">
        <v>0</v>
      </c>
      <c r="AF112" s="450">
        <v>0</v>
      </c>
      <c r="AG112" s="450">
        <v>0</v>
      </c>
      <c r="AK112" s="449">
        <v>0</v>
      </c>
      <c r="AL112" s="449">
        <f t="shared" si="95"/>
        <v>0</v>
      </c>
      <c r="AM112" s="449">
        <v>0</v>
      </c>
      <c r="AN112" s="449">
        <f t="shared" si="90"/>
        <v>0</v>
      </c>
      <c r="AO112" s="450">
        <v>0</v>
      </c>
      <c r="AP112" s="449">
        <f t="shared" si="91"/>
        <v>0</v>
      </c>
      <c r="AQ112" s="450">
        <v>1.793499305579549E-2</v>
      </c>
      <c r="AR112" s="449">
        <f t="shared" si="92"/>
        <v>-1.793499305579549E-2</v>
      </c>
      <c r="AS112" s="450">
        <v>0</v>
      </c>
      <c r="AT112" s="449">
        <f t="shared" si="93"/>
        <v>0</v>
      </c>
      <c r="AU112" s="450">
        <v>0</v>
      </c>
      <c r="AV112" s="449">
        <f t="shared" si="94"/>
        <v>0</v>
      </c>
    </row>
    <row r="113" spans="1:48" ht="12" thickBot="1">
      <c r="A113" s="443" t="s">
        <v>29</v>
      </c>
      <c r="B113" s="449">
        <f>SUM(B101:B112)</f>
        <v>0</v>
      </c>
      <c r="C113" s="449">
        <f t="shared" ref="C113:AD113" si="96">SUM(C101:C112)</f>
        <v>0</v>
      </c>
      <c r="D113" s="449">
        <f t="shared" si="96"/>
        <v>0</v>
      </c>
      <c r="E113" s="449">
        <f t="shared" si="96"/>
        <v>0</v>
      </c>
      <c r="F113" s="449">
        <f t="shared" si="96"/>
        <v>0</v>
      </c>
      <c r="G113" s="449">
        <f t="shared" si="96"/>
        <v>0</v>
      </c>
      <c r="H113" s="449">
        <f t="shared" si="96"/>
        <v>0</v>
      </c>
      <c r="I113" s="449">
        <f t="shared" si="96"/>
        <v>0</v>
      </c>
      <c r="J113" s="449">
        <f t="shared" si="96"/>
        <v>0</v>
      </c>
      <c r="K113" s="449">
        <f t="shared" si="96"/>
        <v>0</v>
      </c>
      <c r="L113" s="449">
        <f t="shared" si="96"/>
        <v>0</v>
      </c>
      <c r="M113" s="449">
        <f t="shared" si="96"/>
        <v>0</v>
      </c>
      <c r="N113" s="449">
        <f t="shared" si="96"/>
        <v>0</v>
      </c>
      <c r="O113" s="449">
        <f t="shared" si="96"/>
        <v>0</v>
      </c>
      <c r="P113" s="449">
        <f t="shared" si="96"/>
        <v>0</v>
      </c>
      <c r="Q113" s="450">
        <f t="shared" si="96"/>
        <v>0</v>
      </c>
      <c r="R113" s="450">
        <f t="shared" si="96"/>
        <v>0</v>
      </c>
      <c r="S113" s="450">
        <f t="shared" si="96"/>
        <v>0</v>
      </c>
      <c r="T113" s="450">
        <f t="shared" si="96"/>
        <v>0</v>
      </c>
      <c r="U113" s="450">
        <f t="shared" si="96"/>
        <v>0</v>
      </c>
      <c r="V113" s="450">
        <f t="shared" si="96"/>
        <v>0</v>
      </c>
      <c r="W113" s="450">
        <f t="shared" si="96"/>
        <v>0</v>
      </c>
      <c r="X113" s="450">
        <f t="shared" si="96"/>
        <v>0</v>
      </c>
      <c r="Y113" s="450">
        <f t="shared" si="96"/>
        <v>0</v>
      </c>
      <c r="Z113" s="450">
        <f t="shared" si="96"/>
        <v>0</v>
      </c>
      <c r="AA113" s="450">
        <f t="shared" si="96"/>
        <v>0</v>
      </c>
      <c r="AB113" s="450">
        <f t="shared" si="96"/>
        <v>0</v>
      </c>
      <c r="AC113" s="450">
        <f t="shared" si="96"/>
        <v>0</v>
      </c>
      <c r="AD113" s="450">
        <f t="shared" si="96"/>
        <v>0</v>
      </c>
      <c r="AE113" s="450">
        <f>SUM(AE101:AE112)</f>
        <v>0</v>
      </c>
      <c r="AF113" s="450">
        <f>SUM(AF101:AF112)</f>
        <v>0</v>
      </c>
      <c r="AG113" s="450">
        <f>SUM(AG101:AG112)</f>
        <v>0</v>
      </c>
      <c r="AK113" s="449">
        <v>0</v>
      </c>
      <c r="AL113" s="449">
        <f t="shared" si="95"/>
        <v>0</v>
      </c>
      <c r="AM113" s="449">
        <v>0</v>
      </c>
      <c r="AN113" s="449">
        <f t="shared" si="90"/>
        <v>0</v>
      </c>
      <c r="AO113" s="450">
        <v>0</v>
      </c>
      <c r="AP113" s="449">
        <f t="shared" si="91"/>
        <v>0</v>
      </c>
      <c r="AQ113" s="450">
        <v>0.45767445242381655</v>
      </c>
      <c r="AR113" s="449">
        <f t="shared" si="92"/>
        <v>-0.45767445242381655</v>
      </c>
      <c r="AS113" s="450">
        <v>0</v>
      </c>
      <c r="AT113" s="449">
        <f t="shared" si="93"/>
        <v>0</v>
      </c>
      <c r="AU113" s="450">
        <v>0</v>
      </c>
      <c r="AV113" s="449">
        <f t="shared" si="94"/>
        <v>0</v>
      </c>
    </row>
    <row r="114" spans="1:48">
      <c r="A114" s="461"/>
      <c r="B114" s="461"/>
      <c r="C114" s="461"/>
      <c r="D114" s="461"/>
      <c r="E114" s="461"/>
      <c r="F114" s="461"/>
      <c r="G114" s="461"/>
      <c r="H114" s="461"/>
      <c r="I114" s="461"/>
      <c r="J114" s="461"/>
      <c r="K114" s="461"/>
      <c r="L114" s="461"/>
      <c r="M114" s="461"/>
      <c r="N114" s="461"/>
      <c r="O114" s="461"/>
      <c r="P114" s="461"/>
      <c r="Q114" s="461"/>
      <c r="R114" s="461"/>
      <c r="S114" s="461"/>
      <c r="T114" s="461"/>
      <c r="U114" s="461"/>
      <c r="V114" s="461"/>
      <c r="W114" s="461"/>
      <c r="X114" s="461"/>
      <c r="Y114" s="461"/>
      <c r="Z114" s="461"/>
      <c r="AA114" s="461"/>
      <c r="AB114" s="461"/>
      <c r="AC114" s="461"/>
      <c r="AD114" s="461"/>
      <c r="AE114" s="461"/>
      <c r="AF114" s="461"/>
      <c r="AG114" s="461"/>
      <c r="AO114" s="450"/>
    </row>
    <row r="115" spans="1:48" ht="12" thickBot="1">
      <c r="A115" s="442" t="s">
        <v>548</v>
      </c>
      <c r="AO115" s="450"/>
    </row>
    <row r="116" spans="1:48" ht="12" thickBot="1">
      <c r="A116" s="459"/>
      <c r="B116" s="460">
        <f t="shared" ref="B116:K116" si="97">B2</f>
        <v>2010</v>
      </c>
      <c r="C116" s="460">
        <f t="shared" si="97"/>
        <v>2011</v>
      </c>
      <c r="D116" s="460">
        <f t="shared" si="97"/>
        <v>2012</v>
      </c>
      <c r="E116" s="460">
        <f t="shared" si="97"/>
        <v>2013</v>
      </c>
      <c r="F116" s="460">
        <f t="shared" si="97"/>
        <v>2014</v>
      </c>
      <c r="G116" s="460">
        <f t="shared" si="97"/>
        <v>2015</v>
      </c>
      <c r="H116" s="460">
        <f t="shared" si="97"/>
        <v>2016</v>
      </c>
      <c r="I116" s="460">
        <f t="shared" si="97"/>
        <v>2017</v>
      </c>
      <c r="J116" s="460">
        <f t="shared" si="97"/>
        <v>2018</v>
      </c>
      <c r="K116" s="460">
        <f t="shared" si="97"/>
        <v>2019</v>
      </c>
      <c r="L116" s="460">
        <f>L2</f>
        <v>2020</v>
      </c>
      <c r="M116" s="460">
        <f>M2</f>
        <v>2021</v>
      </c>
      <c r="N116" s="460">
        <f t="shared" ref="N116:AD116" si="98">N2</f>
        <v>2022</v>
      </c>
      <c r="O116" s="460">
        <f t="shared" si="98"/>
        <v>2023</v>
      </c>
      <c r="P116" s="460">
        <f t="shared" si="98"/>
        <v>2024</v>
      </c>
      <c r="Q116" s="460">
        <f t="shared" si="98"/>
        <v>2025</v>
      </c>
      <c r="R116" s="460">
        <f t="shared" si="98"/>
        <v>2026</v>
      </c>
      <c r="S116" s="460">
        <f t="shared" si="98"/>
        <v>2027</v>
      </c>
      <c r="T116" s="460">
        <f t="shared" si="98"/>
        <v>2028</v>
      </c>
      <c r="U116" s="460">
        <f t="shared" si="98"/>
        <v>2029</v>
      </c>
      <c r="V116" s="460">
        <f t="shared" si="98"/>
        <v>2030</v>
      </c>
      <c r="W116" s="460">
        <f t="shared" si="98"/>
        <v>2031</v>
      </c>
      <c r="X116" s="460">
        <f t="shared" si="98"/>
        <v>2032</v>
      </c>
      <c r="Y116" s="460">
        <f t="shared" si="98"/>
        <v>2033</v>
      </c>
      <c r="Z116" s="460">
        <f t="shared" si="98"/>
        <v>2034</v>
      </c>
      <c r="AA116" s="460">
        <f t="shared" si="98"/>
        <v>2035</v>
      </c>
      <c r="AB116" s="460">
        <f t="shared" si="98"/>
        <v>2036</v>
      </c>
      <c r="AC116" s="460">
        <f t="shared" si="98"/>
        <v>2037</v>
      </c>
      <c r="AD116" s="460">
        <f t="shared" si="98"/>
        <v>2038</v>
      </c>
      <c r="AE116" s="460">
        <f>AE2</f>
        <v>2039</v>
      </c>
      <c r="AF116" s="460">
        <f>AF2</f>
        <v>2040</v>
      </c>
      <c r="AG116" s="460">
        <f>AG2</f>
        <v>2041</v>
      </c>
      <c r="AO116" s="450"/>
    </row>
    <row r="117" spans="1:48">
      <c r="A117" s="443" t="s">
        <v>43</v>
      </c>
      <c r="B117" s="449">
        <f t="shared" ref="B117:AG124" si="99">B133+B149</f>
        <v>0</v>
      </c>
      <c r="C117" s="449">
        <f t="shared" si="99"/>
        <v>0</v>
      </c>
      <c r="D117" s="449">
        <f t="shared" si="99"/>
        <v>0</v>
      </c>
      <c r="E117" s="449">
        <f t="shared" si="99"/>
        <v>0</v>
      </c>
      <c r="F117" s="449">
        <f t="shared" si="99"/>
        <v>0</v>
      </c>
      <c r="G117" s="449">
        <f t="shared" si="99"/>
        <v>0</v>
      </c>
      <c r="H117" s="449">
        <f t="shared" si="99"/>
        <v>0</v>
      </c>
      <c r="I117" s="449">
        <f t="shared" si="99"/>
        <v>0</v>
      </c>
      <c r="J117" s="449">
        <f t="shared" si="99"/>
        <v>49276</v>
      </c>
      <c r="K117" s="449">
        <f t="shared" si="99"/>
        <v>148993</v>
      </c>
      <c r="L117" s="449">
        <f t="shared" si="99"/>
        <v>0</v>
      </c>
      <c r="M117" s="449">
        <f t="shared" si="99"/>
        <v>0</v>
      </c>
      <c r="N117" s="449">
        <f t="shared" si="99"/>
        <v>0</v>
      </c>
      <c r="O117" s="449">
        <f t="shared" si="99"/>
        <v>0</v>
      </c>
      <c r="P117" s="449">
        <f t="shared" si="99"/>
        <v>60218</v>
      </c>
      <c r="Q117" s="449">
        <f t="shared" si="99"/>
        <v>28782</v>
      </c>
      <c r="R117" s="450">
        <f t="shared" si="99"/>
        <v>0</v>
      </c>
      <c r="S117" s="450">
        <f t="shared" si="99"/>
        <v>0</v>
      </c>
      <c r="T117" s="450">
        <f t="shared" si="99"/>
        <v>0</v>
      </c>
      <c r="U117" s="450">
        <f t="shared" si="99"/>
        <v>0</v>
      </c>
      <c r="V117" s="450">
        <f t="shared" si="99"/>
        <v>0</v>
      </c>
      <c r="W117" s="450">
        <f t="shared" si="99"/>
        <v>0</v>
      </c>
      <c r="X117" s="450">
        <f t="shared" si="99"/>
        <v>0</v>
      </c>
      <c r="Y117" s="450">
        <f t="shared" si="99"/>
        <v>0</v>
      </c>
      <c r="Z117" s="450">
        <f t="shared" si="99"/>
        <v>0</v>
      </c>
      <c r="AA117" s="450">
        <f t="shared" si="99"/>
        <v>0</v>
      </c>
      <c r="AB117" s="450">
        <f t="shared" si="99"/>
        <v>0</v>
      </c>
      <c r="AC117" s="450">
        <f t="shared" si="99"/>
        <v>0</v>
      </c>
      <c r="AD117" s="450">
        <f t="shared" si="99"/>
        <v>0</v>
      </c>
      <c r="AE117" s="450">
        <f t="shared" si="99"/>
        <v>0</v>
      </c>
      <c r="AF117" s="450">
        <f t="shared" si="99"/>
        <v>0</v>
      </c>
      <c r="AG117" s="450">
        <f t="shared" si="99"/>
        <v>0</v>
      </c>
      <c r="AM117" s="449">
        <v>92971.812953337707</v>
      </c>
      <c r="AN117" s="449">
        <f t="shared" ref="AN117:AN129" si="100">L117-AM117</f>
        <v>-92971.812953337707</v>
      </c>
      <c r="AO117" s="449">
        <v>0</v>
      </c>
      <c r="AP117" s="449">
        <f t="shared" ref="AP117:AP129" si="101">N117-AO117</f>
        <v>0</v>
      </c>
      <c r="AQ117" s="449">
        <v>7594.4690294025413</v>
      </c>
      <c r="AR117" s="449">
        <f t="shared" ref="AR117:AR129" si="102">O117-AQ117</f>
        <v>-7594.4690294025413</v>
      </c>
      <c r="AS117" s="449">
        <v>60218</v>
      </c>
      <c r="AT117" s="449">
        <f t="shared" ref="AT117:AT129" si="103">P117-AS117</f>
        <v>0</v>
      </c>
      <c r="AU117" s="449">
        <v>7089.9204322872374</v>
      </c>
      <c r="AV117" s="449">
        <f>Q117-AU117</f>
        <v>21692.079567712761</v>
      </c>
    </row>
    <row r="118" spans="1:48">
      <c r="A118" s="443" t="s">
        <v>44</v>
      </c>
      <c r="B118" s="449">
        <f t="shared" si="99"/>
        <v>0</v>
      </c>
      <c r="C118" s="449">
        <f t="shared" si="99"/>
        <v>0</v>
      </c>
      <c r="D118" s="449">
        <f t="shared" si="99"/>
        <v>0</v>
      </c>
      <c r="E118" s="449">
        <f t="shared" si="99"/>
        <v>0</v>
      </c>
      <c r="F118" s="449">
        <f t="shared" si="99"/>
        <v>0</v>
      </c>
      <c r="G118" s="449">
        <f t="shared" si="99"/>
        <v>0</v>
      </c>
      <c r="H118" s="449">
        <f t="shared" si="99"/>
        <v>0</v>
      </c>
      <c r="I118" s="449">
        <f t="shared" si="99"/>
        <v>0</v>
      </c>
      <c r="J118" s="449">
        <f t="shared" si="99"/>
        <v>0</v>
      </c>
      <c r="K118" s="449">
        <f t="shared" si="99"/>
        <v>225497</v>
      </c>
      <c r="L118" s="449">
        <f t="shared" si="99"/>
        <v>0</v>
      </c>
      <c r="M118" s="449">
        <f t="shared" si="99"/>
        <v>0</v>
      </c>
      <c r="N118" s="449">
        <f t="shared" si="99"/>
        <v>58930</v>
      </c>
      <c r="O118" s="449">
        <f t="shared" si="99"/>
        <v>0</v>
      </c>
      <c r="P118" s="449">
        <f t="shared" si="99"/>
        <v>0</v>
      </c>
      <c r="Q118" s="449">
        <f t="shared" si="99"/>
        <v>0</v>
      </c>
      <c r="R118" s="450">
        <f t="shared" si="99"/>
        <v>10045.402294857344</v>
      </c>
      <c r="S118" s="450">
        <f t="shared" si="99"/>
        <v>9004.7184796997826</v>
      </c>
      <c r="T118" s="450">
        <f t="shared" si="99"/>
        <v>9456.7959158934718</v>
      </c>
      <c r="U118" s="450">
        <f t="shared" si="99"/>
        <v>10021.993867898625</v>
      </c>
      <c r="V118" s="450">
        <f t="shared" si="99"/>
        <v>10276.356782225263</v>
      </c>
      <c r="W118" s="450">
        <f t="shared" si="99"/>
        <v>10622.416048043095</v>
      </c>
      <c r="X118" s="450">
        <f t="shared" si="99"/>
        <v>10631.132060653968</v>
      </c>
      <c r="Y118" s="450">
        <f t="shared" si="99"/>
        <v>11190.564647290204</v>
      </c>
      <c r="Z118" s="450">
        <f t="shared" si="99"/>
        <v>11450.774970440867</v>
      </c>
      <c r="AA118" s="450">
        <f t="shared" si="99"/>
        <v>11688.397574810338</v>
      </c>
      <c r="AB118" s="450">
        <f t="shared" si="99"/>
        <v>11987.078345586069</v>
      </c>
      <c r="AC118" s="450">
        <f t="shared" si="99"/>
        <v>12287.259109804216</v>
      </c>
      <c r="AD118" s="450">
        <f t="shared" si="99"/>
        <v>12629.981012598468</v>
      </c>
      <c r="AE118" s="450">
        <f t="shared" si="99"/>
        <v>12872.864111629078</v>
      </c>
      <c r="AF118" s="450">
        <f t="shared" si="99"/>
        <v>13176.263532497158</v>
      </c>
      <c r="AG118" s="450">
        <f t="shared" si="99"/>
        <v>13484.24818008993</v>
      </c>
      <c r="AM118" s="449">
        <v>105739.49989932262</v>
      </c>
      <c r="AN118" s="449">
        <f t="shared" si="100"/>
        <v>-105739.49989932262</v>
      </c>
      <c r="AO118" s="449">
        <v>0</v>
      </c>
      <c r="AP118" s="449">
        <f t="shared" si="101"/>
        <v>58930</v>
      </c>
      <c r="AQ118" s="449">
        <v>8637.4066683303226</v>
      </c>
      <c r="AR118" s="449">
        <f t="shared" si="102"/>
        <v>-8637.4066683303226</v>
      </c>
      <c r="AS118" s="449">
        <v>0</v>
      </c>
      <c r="AT118" s="449">
        <f t="shared" si="103"/>
        <v>0</v>
      </c>
      <c r="AU118" s="449">
        <v>8063.569129412439</v>
      </c>
      <c r="AV118" s="449">
        <f t="shared" ref="AV118:AV129" si="104">Q118-AU118</f>
        <v>-8063.569129412439</v>
      </c>
    </row>
    <row r="119" spans="1:48">
      <c r="A119" s="443" t="s">
        <v>45</v>
      </c>
      <c r="B119" s="449">
        <f t="shared" si="99"/>
        <v>0</v>
      </c>
      <c r="C119" s="449">
        <f t="shared" si="99"/>
        <v>0</v>
      </c>
      <c r="D119" s="449">
        <f t="shared" si="99"/>
        <v>0</v>
      </c>
      <c r="E119" s="449">
        <f t="shared" si="99"/>
        <v>0</v>
      </c>
      <c r="F119" s="449">
        <f t="shared" si="99"/>
        <v>472</v>
      </c>
      <c r="G119" s="449">
        <f t="shared" si="99"/>
        <v>0</v>
      </c>
      <c r="H119" s="449">
        <f t="shared" si="99"/>
        <v>127593</v>
      </c>
      <c r="I119" s="449">
        <f t="shared" si="99"/>
        <v>0</v>
      </c>
      <c r="J119" s="449">
        <f t="shared" si="99"/>
        <v>592070</v>
      </c>
      <c r="K119" s="449">
        <f t="shared" si="99"/>
        <v>423217</v>
      </c>
      <c r="L119" s="449">
        <f t="shared" si="99"/>
        <v>0</v>
      </c>
      <c r="M119" s="449">
        <f t="shared" si="99"/>
        <v>0</v>
      </c>
      <c r="N119" s="449">
        <f t="shared" si="99"/>
        <v>0</v>
      </c>
      <c r="O119" s="449">
        <f t="shared" si="99"/>
        <v>0</v>
      </c>
      <c r="P119" s="449">
        <f t="shared" si="99"/>
        <v>60193</v>
      </c>
      <c r="Q119" s="449">
        <f t="shared" si="99"/>
        <v>54155</v>
      </c>
      <c r="R119" s="450">
        <f t="shared" si="99"/>
        <v>50912.825335798538</v>
      </c>
      <c r="S119" s="450">
        <f t="shared" si="99"/>
        <v>45638.357300005271</v>
      </c>
      <c r="T119" s="450">
        <f t="shared" si="99"/>
        <v>47929.60844869924</v>
      </c>
      <c r="U119" s="450">
        <f t="shared" si="99"/>
        <v>50794.185074497589</v>
      </c>
      <c r="V119" s="450">
        <f t="shared" si="99"/>
        <v>52083.365363040793</v>
      </c>
      <c r="W119" s="450">
        <f t="shared" si="99"/>
        <v>53837.287649004167</v>
      </c>
      <c r="X119" s="450">
        <f t="shared" si="99"/>
        <v>53881.462766600926</v>
      </c>
      <c r="Y119" s="450">
        <f t="shared" si="99"/>
        <v>56716.818955884242</v>
      </c>
      <c r="Z119" s="450">
        <f t="shared" si="99"/>
        <v>58035.63549944105</v>
      </c>
      <c r="AA119" s="450">
        <f t="shared" si="99"/>
        <v>59239.971353495792</v>
      </c>
      <c r="AB119" s="450">
        <f t="shared" si="99"/>
        <v>60753.766567197825</v>
      </c>
      <c r="AC119" s="450">
        <f t="shared" si="99"/>
        <v>62275.164154791608</v>
      </c>
      <c r="AD119" s="450">
        <f t="shared" si="99"/>
        <v>64012.171779130265</v>
      </c>
      <c r="AE119" s="450">
        <f t="shared" si="99"/>
        <v>65243.169247921891</v>
      </c>
      <c r="AF119" s="450">
        <f t="shared" si="99"/>
        <v>66780.879861019668</v>
      </c>
      <c r="AG119" s="450">
        <f t="shared" si="99"/>
        <v>68341.829647672392</v>
      </c>
      <c r="AM119" s="449">
        <v>219986.40813893444</v>
      </c>
      <c r="AN119" s="449">
        <f t="shared" si="100"/>
        <v>-219986.40813893444</v>
      </c>
      <c r="AO119" s="449">
        <v>0</v>
      </c>
      <c r="AP119" s="449">
        <f t="shared" si="101"/>
        <v>0</v>
      </c>
      <c r="AQ119" s="449">
        <v>43776.721344857629</v>
      </c>
      <c r="AR119" s="449">
        <f t="shared" si="102"/>
        <v>-43776.721344857629</v>
      </c>
      <c r="AS119" s="449">
        <v>60193</v>
      </c>
      <c r="AT119" s="449">
        <f t="shared" si="103"/>
        <v>0</v>
      </c>
      <c r="AU119" s="449">
        <v>40868.356947644046</v>
      </c>
      <c r="AV119" s="449">
        <f t="shared" si="104"/>
        <v>13286.643052355954</v>
      </c>
    </row>
    <row r="120" spans="1:48">
      <c r="A120" s="443" t="s">
        <v>46</v>
      </c>
      <c r="B120" s="449">
        <f t="shared" si="99"/>
        <v>0</v>
      </c>
      <c r="C120" s="449">
        <f t="shared" si="99"/>
        <v>0</v>
      </c>
      <c r="D120" s="449">
        <f t="shared" si="99"/>
        <v>0</v>
      </c>
      <c r="E120" s="449">
        <f t="shared" si="99"/>
        <v>0</v>
      </c>
      <c r="F120" s="449">
        <f t="shared" si="99"/>
        <v>2091</v>
      </c>
      <c r="G120" s="449">
        <f t="shared" si="99"/>
        <v>0</v>
      </c>
      <c r="H120" s="449">
        <f t="shared" si="99"/>
        <v>0</v>
      </c>
      <c r="I120" s="449">
        <f t="shared" si="99"/>
        <v>0</v>
      </c>
      <c r="J120" s="449">
        <f t="shared" si="99"/>
        <v>106260</v>
      </c>
      <c r="K120" s="449">
        <f t="shared" si="99"/>
        <v>239288</v>
      </c>
      <c r="L120" s="449">
        <f t="shared" si="99"/>
        <v>0</v>
      </c>
      <c r="M120" s="449">
        <f t="shared" si="99"/>
        <v>0</v>
      </c>
      <c r="N120" s="449">
        <f t="shared" si="99"/>
        <v>0</v>
      </c>
      <c r="O120" s="449">
        <f t="shared" si="99"/>
        <v>69961</v>
      </c>
      <c r="P120" s="449">
        <f t="shared" si="99"/>
        <v>47750</v>
      </c>
      <c r="Q120" s="450">
        <f t="shared" si="99"/>
        <v>12356.484501036421</v>
      </c>
      <c r="R120" s="450">
        <f t="shared" si="99"/>
        <v>15393.413979713105</v>
      </c>
      <c r="S120" s="450">
        <f t="shared" si="99"/>
        <v>13798.686728529872</v>
      </c>
      <c r="T120" s="450">
        <f t="shared" si="99"/>
        <v>14491.442968842857</v>
      </c>
      <c r="U120" s="450">
        <f t="shared" si="99"/>
        <v>15357.543280241576</v>
      </c>
      <c r="V120" s="450">
        <f t="shared" si="99"/>
        <v>15747.324946160594</v>
      </c>
      <c r="W120" s="450">
        <f t="shared" si="99"/>
        <v>16277.620636058109</v>
      </c>
      <c r="X120" s="450">
        <f t="shared" si="99"/>
        <v>16290.976914525949</v>
      </c>
      <c r="Y120" s="450">
        <f t="shared" si="99"/>
        <v>17148.24247214746</v>
      </c>
      <c r="Z120" s="450">
        <f t="shared" si="99"/>
        <v>17546.984613923472</v>
      </c>
      <c r="AA120" s="450">
        <f t="shared" si="99"/>
        <v>17911.113696326618</v>
      </c>
      <c r="AB120" s="450">
        <f t="shared" si="99"/>
        <v>18368.807337395065</v>
      </c>
      <c r="AC120" s="450">
        <f t="shared" si="99"/>
        <v>18828.799544449052</v>
      </c>
      <c r="AD120" s="450">
        <f t="shared" si="99"/>
        <v>19353.981112570789</v>
      </c>
      <c r="AE120" s="450">
        <f t="shared" si="99"/>
        <v>19726.171292944939</v>
      </c>
      <c r="AF120" s="450">
        <f t="shared" si="99"/>
        <v>20191.095718024309</v>
      </c>
      <c r="AG120" s="450">
        <f t="shared" si="99"/>
        <v>20663.046471277736</v>
      </c>
      <c r="AM120" s="449">
        <v>63187.43970613429</v>
      </c>
      <c r="AN120" s="449">
        <f t="shared" si="100"/>
        <v>-63187.43970613429</v>
      </c>
      <c r="AO120" s="449">
        <v>0</v>
      </c>
      <c r="AP120" s="449">
        <f t="shared" si="101"/>
        <v>0</v>
      </c>
      <c r="AQ120" s="449">
        <v>0</v>
      </c>
      <c r="AR120" s="449">
        <f t="shared" si="102"/>
        <v>69961</v>
      </c>
      <c r="AS120" s="449">
        <v>47750</v>
      </c>
      <c r="AT120" s="449">
        <f t="shared" si="103"/>
        <v>0</v>
      </c>
      <c r="AU120" s="449">
        <v>12356.484501036421</v>
      </c>
      <c r="AV120" s="449">
        <f t="shared" si="104"/>
        <v>0</v>
      </c>
    </row>
    <row r="121" spans="1:48">
      <c r="A121" s="443" t="s">
        <v>47</v>
      </c>
      <c r="B121" s="449">
        <f t="shared" si="99"/>
        <v>0</v>
      </c>
      <c r="C121" s="449">
        <f t="shared" si="99"/>
        <v>0</v>
      </c>
      <c r="D121" s="449">
        <f t="shared" si="99"/>
        <v>0</v>
      </c>
      <c r="E121" s="449">
        <f t="shared" si="99"/>
        <v>0</v>
      </c>
      <c r="F121" s="449">
        <f t="shared" si="99"/>
        <v>0</v>
      </c>
      <c r="G121" s="449">
        <f t="shared" si="99"/>
        <v>173731</v>
      </c>
      <c r="H121" s="449">
        <f t="shared" si="99"/>
        <v>0</v>
      </c>
      <c r="I121" s="449">
        <f t="shared" si="99"/>
        <v>0</v>
      </c>
      <c r="J121" s="449">
        <f t="shared" si="99"/>
        <v>457786</v>
      </c>
      <c r="K121" s="449">
        <f t="shared" si="99"/>
        <v>132150</v>
      </c>
      <c r="L121" s="449">
        <f t="shared" si="99"/>
        <v>0</v>
      </c>
      <c r="M121" s="449">
        <f t="shared" si="99"/>
        <v>0</v>
      </c>
      <c r="N121" s="449">
        <f t="shared" si="99"/>
        <v>0</v>
      </c>
      <c r="O121" s="449">
        <f t="shared" si="99"/>
        <v>43465</v>
      </c>
      <c r="P121" s="449">
        <f t="shared" si="99"/>
        <v>0</v>
      </c>
      <c r="Q121" s="450">
        <f t="shared" si="99"/>
        <v>21095.57873465748</v>
      </c>
      <c r="R121" s="450">
        <f t="shared" si="99"/>
        <v>26280.369354000111</v>
      </c>
      <c r="S121" s="450">
        <f t="shared" si="99"/>
        <v>23557.775052617868</v>
      </c>
      <c r="T121" s="450">
        <f t="shared" si="99"/>
        <v>24740.481493937979</v>
      </c>
      <c r="U121" s="450">
        <f t="shared" si="99"/>
        <v>26219.129187761453</v>
      </c>
      <c r="V121" s="450">
        <f t="shared" si="99"/>
        <v>26884.583008549311</v>
      </c>
      <c r="W121" s="450">
        <f t="shared" si="99"/>
        <v>27789.929062108815</v>
      </c>
      <c r="X121" s="450">
        <f t="shared" si="99"/>
        <v>27812.731536712065</v>
      </c>
      <c r="Y121" s="450">
        <f t="shared" si="99"/>
        <v>29276.296118191349</v>
      </c>
      <c r="Z121" s="450">
        <f t="shared" si="99"/>
        <v>29957.047690044674</v>
      </c>
      <c r="AA121" s="450">
        <f t="shared" si="99"/>
        <v>30578.706198722433</v>
      </c>
      <c r="AB121" s="450">
        <f t="shared" si="99"/>
        <v>31360.102577336565</v>
      </c>
      <c r="AC121" s="450">
        <f t="shared" si="99"/>
        <v>32145.423177254957</v>
      </c>
      <c r="AD121" s="450">
        <f t="shared" si="99"/>
        <v>33042.038158593197</v>
      </c>
      <c r="AE121" s="450">
        <f t="shared" si="99"/>
        <v>33677.458957582639</v>
      </c>
      <c r="AF121" s="450">
        <f t="shared" si="99"/>
        <v>34471.200074977693</v>
      </c>
      <c r="AG121" s="450">
        <f t="shared" si="99"/>
        <v>35276.936874413113</v>
      </c>
      <c r="AM121" s="449">
        <v>139644.57653369274</v>
      </c>
      <c r="AN121" s="449">
        <f t="shared" si="100"/>
        <v>-139644.57653369274</v>
      </c>
      <c r="AO121" s="449">
        <v>0</v>
      </c>
      <c r="AP121" s="449">
        <f t="shared" si="101"/>
        <v>0</v>
      </c>
      <c r="AQ121" s="449">
        <v>0</v>
      </c>
      <c r="AR121" s="449">
        <f t="shared" si="102"/>
        <v>43465</v>
      </c>
      <c r="AS121" s="450">
        <v>0</v>
      </c>
      <c r="AT121" s="449">
        <f t="shared" si="103"/>
        <v>0</v>
      </c>
      <c r="AU121" s="450">
        <v>21095.57873465748</v>
      </c>
      <c r="AV121" s="449">
        <f t="shared" si="104"/>
        <v>0</v>
      </c>
    </row>
    <row r="122" spans="1:48">
      <c r="A122" s="443" t="s">
        <v>48</v>
      </c>
      <c r="B122" s="449">
        <f t="shared" si="99"/>
        <v>0</v>
      </c>
      <c r="C122" s="449">
        <f t="shared" si="99"/>
        <v>0</v>
      </c>
      <c r="D122" s="449">
        <f t="shared" si="99"/>
        <v>0</v>
      </c>
      <c r="E122" s="449">
        <f t="shared" si="99"/>
        <v>0</v>
      </c>
      <c r="F122" s="449">
        <f t="shared" si="99"/>
        <v>0</v>
      </c>
      <c r="G122" s="449">
        <f t="shared" si="99"/>
        <v>0</v>
      </c>
      <c r="H122" s="449">
        <f t="shared" si="99"/>
        <v>0</v>
      </c>
      <c r="I122" s="449">
        <f t="shared" si="99"/>
        <v>756020</v>
      </c>
      <c r="J122" s="449">
        <f t="shared" si="99"/>
        <v>297480</v>
      </c>
      <c r="K122" s="449">
        <f t="shared" si="99"/>
        <v>107473</v>
      </c>
      <c r="L122" s="449">
        <f t="shared" si="99"/>
        <v>0</v>
      </c>
      <c r="M122" s="449">
        <f t="shared" si="99"/>
        <v>0</v>
      </c>
      <c r="N122" s="449">
        <f t="shared" si="99"/>
        <v>102065</v>
      </c>
      <c r="O122" s="449">
        <f t="shared" si="99"/>
        <v>23954</v>
      </c>
      <c r="P122" s="449">
        <f t="shared" si="99"/>
        <v>24011</v>
      </c>
      <c r="Q122" s="450">
        <f t="shared" si="99"/>
        <v>41515.346292329166</v>
      </c>
      <c r="R122" s="450">
        <f t="shared" si="99"/>
        <v>51718.829245920861</v>
      </c>
      <c r="S122" s="450">
        <f t="shared" si="99"/>
        <v>46360.860798735666</v>
      </c>
      <c r="T122" s="450">
        <f t="shared" si="99"/>
        <v>48688.38487812518</v>
      </c>
      <c r="U122" s="450">
        <f t="shared" si="99"/>
        <v>51598.310783717177</v>
      </c>
      <c r="V122" s="450">
        <f t="shared" si="99"/>
        <v>52907.900160669153</v>
      </c>
      <c r="W122" s="450">
        <f t="shared" si="99"/>
        <v>54689.588892733547</v>
      </c>
      <c r="X122" s="450">
        <f t="shared" si="99"/>
        <v>54734.463349195874</v>
      </c>
      <c r="Y122" s="450">
        <f t="shared" si="99"/>
        <v>57614.706227836519</v>
      </c>
      <c r="Z122" s="450">
        <f t="shared" si="99"/>
        <v>58954.401033085342</v>
      </c>
      <c r="AA122" s="450">
        <f t="shared" si="99"/>
        <v>60177.802798353347</v>
      </c>
      <c r="AB122" s="450">
        <f t="shared" si="99"/>
        <v>61715.562992457089</v>
      </c>
      <c r="AC122" s="450">
        <f t="shared" si="99"/>
        <v>63261.045914077491</v>
      </c>
      <c r="AD122" s="450">
        <f t="shared" si="99"/>
        <v>65025.552207521534</v>
      </c>
      <c r="AE122" s="450">
        <f t="shared" si="99"/>
        <v>66276.03766910579</v>
      </c>
      <c r="AF122" s="450">
        <f t="shared" si="99"/>
        <v>67838.091868689269</v>
      </c>
      <c r="AG122" s="450">
        <f t="shared" si="99"/>
        <v>69423.753142540911</v>
      </c>
      <c r="AM122" s="449">
        <v>217882.45974495541</v>
      </c>
      <c r="AN122" s="449">
        <f t="shared" si="100"/>
        <v>-217882.45974495541</v>
      </c>
      <c r="AO122" s="449">
        <v>0</v>
      </c>
      <c r="AP122" s="449">
        <f t="shared" si="101"/>
        <v>102065</v>
      </c>
      <c r="AQ122" s="449">
        <v>35783.094288426451</v>
      </c>
      <c r="AR122" s="449">
        <f t="shared" si="102"/>
        <v>-11829.094288426451</v>
      </c>
      <c r="AS122" s="450">
        <v>24011</v>
      </c>
      <c r="AT122" s="449">
        <f t="shared" si="103"/>
        <v>0</v>
      </c>
      <c r="AU122" s="450">
        <v>41515.346292329166</v>
      </c>
      <c r="AV122" s="449">
        <f t="shared" si="104"/>
        <v>0</v>
      </c>
    </row>
    <row r="123" spans="1:48">
      <c r="A123" s="443" t="s">
        <v>49</v>
      </c>
      <c r="B123" s="449">
        <f t="shared" si="99"/>
        <v>0</v>
      </c>
      <c r="C123" s="449">
        <f t="shared" si="99"/>
        <v>0</v>
      </c>
      <c r="D123" s="449">
        <f t="shared" si="99"/>
        <v>0</v>
      </c>
      <c r="E123" s="449">
        <f t="shared" si="99"/>
        <v>0</v>
      </c>
      <c r="F123" s="449">
        <f t="shared" si="99"/>
        <v>1248</v>
      </c>
      <c r="G123" s="449">
        <f t="shared" si="99"/>
        <v>0</v>
      </c>
      <c r="H123" s="449">
        <f t="shared" si="99"/>
        <v>0</v>
      </c>
      <c r="I123" s="449">
        <f t="shared" si="99"/>
        <v>0</v>
      </c>
      <c r="J123" s="449">
        <f t="shared" si="99"/>
        <v>0</v>
      </c>
      <c r="K123" s="449">
        <f t="shared" si="99"/>
        <v>0</v>
      </c>
      <c r="L123" s="449">
        <f t="shared" si="99"/>
        <v>0</v>
      </c>
      <c r="M123" s="449">
        <f t="shared" si="99"/>
        <v>0</v>
      </c>
      <c r="N123" s="449">
        <f t="shared" si="99"/>
        <v>0</v>
      </c>
      <c r="O123" s="449">
        <f t="shared" si="99"/>
        <v>0</v>
      </c>
      <c r="P123" s="449">
        <f t="shared" si="99"/>
        <v>12018</v>
      </c>
      <c r="Q123" s="450">
        <f t="shared" si="99"/>
        <v>0</v>
      </c>
      <c r="R123" s="450">
        <f t="shared" si="99"/>
        <v>0</v>
      </c>
      <c r="S123" s="450">
        <f t="shared" si="99"/>
        <v>0</v>
      </c>
      <c r="T123" s="450">
        <f t="shared" si="99"/>
        <v>0</v>
      </c>
      <c r="U123" s="450">
        <f t="shared" si="99"/>
        <v>0</v>
      </c>
      <c r="V123" s="450">
        <f t="shared" si="99"/>
        <v>0</v>
      </c>
      <c r="W123" s="450">
        <f t="shared" si="99"/>
        <v>0</v>
      </c>
      <c r="X123" s="450">
        <f t="shared" si="99"/>
        <v>0</v>
      </c>
      <c r="Y123" s="450">
        <f t="shared" si="99"/>
        <v>0</v>
      </c>
      <c r="Z123" s="450">
        <f t="shared" si="99"/>
        <v>0</v>
      </c>
      <c r="AA123" s="450">
        <f t="shared" si="99"/>
        <v>0</v>
      </c>
      <c r="AB123" s="450">
        <f t="shared" si="99"/>
        <v>0</v>
      </c>
      <c r="AC123" s="450">
        <f t="shared" si="99"/>
        <v>0</v>
      </c>
      <c r="AD123" s="450">
        <f t="shared" si="99"/>
        <v>0</v>
      </c>
      <c r="AE123" s="450">
        <f t="shared" si="99"/>
        <v>0</v>
      </c>
      <c r="AF123" s="450">
        <f t="shared" si="99"/>
        <v>0</v>
      </c>
      <c r="AG123" s="450">
        <f t="shared" si="99"/>
        <v>0</v>
      </c>
      <c r="AK123" s="449">
        <v>945.92402569706621</v>
      </c>
      <c r="AL123" s="449">
        <f t="shared" ref="AL123:AL129" si="105">K123-AK123</f>
        <v>-945.92402569706621</v>
      </c>
      <c r="AM123" s="449">
        <v>0</v>
      </c>
      <c r="AN123" s="449">
        <f t="shared" si="100"/>
        <v>0</v>
      </c>
      <c r="AO123" s="449">
        <v>0</v>
      </c>
      <c r="AP123" s="449">
        <f t="shared" si="101"/>
        <v>0</v>
      </c>
      <c r="AQ123" s="449">
        <v>0</v>
      </c>
      <c r="AR123" s="449">
        <f t="shared" si="102"/>
        <v>0</v>
      </c>
      <c r="AS123" s="450">
        <v>12018</v>
      </c>
      <c r="AT123" s="449">
        <f t="shared" si="103"/>
        <v>0</v>
      </c>
      <c r="AU123" s="450">
        <v>0</v>
      </c>
      <c r="AV123" s="449">
        <f t="shared" si="104"/>
        <v>0</v>
      </c>
    </row>
    <row r="124" spans="1:48">
      <c r="A124" s="443" t="s">
        <v>50</v>
      </c>
      <c r="B124" s="449">
        <f t="shared" si="99"/>
        <v>0</v>
      </c>
      <c r="C124" s="449">
        <f t="shared" si="99"/>
        <v>0</v>
      </c>
      <c r="D124" s="449">
        <f t="shared" si="99"/>
        <v>0</v>
      </c>
      <c r="E124" s="449">
        <f t="shared" si="99"/>
        <v>0</v>
      </c>
      <c r="F124" s="449">
        <f t="shared" si="99"/>
        <v>5532</v>
      </c>
      <c r="G124" s="449">
        <f t="shared" si="99"/>
        <v>53303</v>
      </c>
      <c r="H124" s="449">
        <f t="shared" si="99"/>
        <v>0</v>
      </c>
      <c r="I124" s="449">
        <f t="shared" si="99"/>
        <v>282632</v>
      </c>
      <c r="J124" s="449">
        <f t="shared" si="99"/>
        <v>0</v>
      </c>
      <c r="K124" s="449">
        <f t="shared" si="99"/>
        <v>39325</v>
      </c>
      <c r="L124" s="449">
        <f t="shared" si="99"/>
        <v>0</v>
      </c>
      <c r="M124" s="449">
        <f t="shared" si="99"/>
        <v>0</v>
      </c>
      <c r="N124" s="449">
        <f t="shared" si="99"/>
        <v>30374</v>
      </c>
      <c r="O124" s="449">
        <f t="shared" si="99"/>
        <v>28704</v>
      </c>
      <c r="P124" s="449">
        <f t="shared" si="99"/>
        <v>0</v>
      </c>
      <c r="Q124" s="450">
        <f t="shared" si="99"/>
        <v>11512.89164023575</v>
      </c>
      <c r="R124" s="450">
        <f t="shared" si="99"/>
        <v>14342.486093586107</v>
      </c>
      <c r="S124" s="450">
        <f t="shared" si="99"/>
        <v>12856.632893425203</v>
      </c>
      <c r="T124" s="450">
        <f t="shared" si="99"/>
        <v>13502.093787027388</v>
      </c>
      <c r="U124" s="450">
        <f t="shared" si="99"/>
        <v>14309.064332239623</v>
      </c>
      <c r="V124" s="450">
        <f t="shared" si="99"/>
        <v>14672.235109712765</v>
      </c>
      <c r="W124" s="450">
        <f t="shared" si="99"/>
        <v>15166.326840622318</v>
      </c>
      <c r="X124" s="450">
        <f t="shared" si="99"/>
        <v>15178.771269027837</v>
      </c>
      <c r="Y124" s="450">
        <f t="shared" si="99"/>
        <v>15977.510220302765</v>
      </c>
      <c r="Z124" s="450">
        <f t="shared" si="99"/>
        <v>16349.029730587239</v>
      </c>
      <c r="AA124" s="450">
        <f t="shared" si="99"/>
        <v>16688.299258940086</v>
      </c>
      <c r="AB124" s="450">
        <f t="shared" si="99"/>
        <v>17114.745574929399</v>
      </c>
      <c r="AC124" s="450">
        <f t="shared" si="99"/>
        <v>17543.333530890595</v>
      </c>
      <c r="AD124" s="450">
        <f t="shared" si="99"/>
        <v>18032.660287601011</v>
      </c>
      <c r="AE124" s="450">
        <f t="shared" si="99"/>
        <v>18379.440572547588</v>
      </c>
      <c r="AF124" s="450">
        <f t="shared" si="99"/>
        <v>18812.624017757167</v>
      </c>
      <c r="AG124" s="450">
        <f t="shared" ref="AE124:AG128" si="106">AG140+AG156</f>
        <v>19252.354094809307</v>
      </c>
      <c r="AK124" s="449">
        <v>258815.57634831744</v>
      </c>
      <c r="AL124" s="449">
        <f t="shared" si="105"/>
        <v>-219490.57634831744</v>
      </c>
      <c r="AM124" s="449">
        <v>49969.799257038605</v>
      </c>
      <c r="AN124" s="449">
        <f t="shared" si="100"/>
        <v>-49969.799257038605</v>
      </c>
      <c r="AO124" s="449">
        <v>0</v>
      </c>
      <c r="AP124" s="449">
        <f t="shared" si="101"/>
        <v>30374</v>
      </c>
      <c r="AQ124" s="449">
        <v>39692.973696438814</v>
      </c>
      <c r="AR124" s="449">
        <f t="shared" si="102"/>
        <v>-10988.973696438814</v>
      </c>
      <c r="AS124" s="450">
        <v>0</v>
      </c>
      <c r="AT124" s="449">
        <f t="shared" si="103"/>
        <v>0</v>
      </c>
      <c r="AU124" s="450">
        <v>11512.89164023575</v>
      </c>
      <c r="AV124" s="449">
        <f t="shared" si="104"/>
        <v>0</v>
      </c>
    </row>
    <row r="125" spans="1:48">
      <c r="A125" s="443" t="s">
        <v>51</v>
      </c>
      <c r="B125" s="449">
        <f t="shared" ref="B125:AD128" si="107">B141+B157</f>
        <v>0</v>
      </c>
      <c r="C125" s="449">
        <f t="shared" si="107"/>
        <v>0</v>
      </c>
      <c r="D125" s="449">
        <f t="shared" si="107"/>
        <v>0</v>
      </c>
      <c r="E125" s="449">
        <f t="shared" si="107"/>
        <v>0</v>
      </c>
      <c r="F125" s="449">
        <f t="shared" si="107"/>
        <v>17073</v>
      </c>
      <c r="G125" s="449">
        <f t="shared" si="107"/>
        <v>0</v>
      </c>
      <c r="H125" s="449">
        <f t="shared" si="107"/>
        <v>99563</v>
      </c>
      <c r="I125" s="449">
        <f t="shared" si="107"/>
        <v>0</v>
      </c>
      <c r="J125" s="449">
        <f t="shared" si="107"/>
        <v>0</v>
      </c>
      <c r="K125" s="449">
        <f t="shared" si="107"/>
        <v>0</v>
      </c>
      <c r="L125" s="449">
        <f t="shared" si="107"/>
        <v>0</v>
      </c>
      <c r="M125" s="449">
        <f t="shared" si="107"/>
        <v>0</v>
      </c>
      <c r="N125" s="449">
        <f t="shared" si="107"/>
        <v>11086</v>
      </c>
      <c r="O125" s="449">
        <f t="shared" si="107"/>
        <v>0</v>
      </c>
      <c r="P125" s="449">
        <f t="shared" si="107"/>
        <v>23774</v>
      </c>
      <c r="Q125" s="450">
        <f t="shared" si="107"/>
        <v>3560.2829892712134</v>
      </c>
      <c r="R125" s="450">
        <f t="shared" si="107"/>
        <v>4435.3157189802168</v>
      </c>
      <c r="S125" s="450">
        <f t="shared" si="107"/>
        <v>3975.8257803622646</v>
      </c>
      <c r="T125" s="450">
        <f t="shared" si="107"/>
        <v>4175.4301466276802</v>
      </c>
      <c r="U125" s="450">
        <f t="shared" si="107"/>
        <v>4424.9802678953201</v>
      </c>
      <c r="V125" s="450">
        <f t="shared" si="107"/>
        <v>4537.2883466684434</v>
      </c>
      <c r="W125" s="450">
        <f t="shared" si="107"/>
        <v>4690.0828347663819</v>
      </c>
      <c r="X125" s="450">
        <f t="shared" si="107"/>
        <v>4693.9311891284196</v>
      </c>
      <c r="Y125" s="450">
        <f t="shared" si="107"/>
        <v>4940.9357462766902</v>
      </c>
      <c r="Z125" s="450">
        <f t="shared" si="107"/>
        <v>5055.8256135647225</v>
      </c>
      <c r="AA125" s="450">
        <f t="shared" si="107"/>
        <v>5160.7423945366991</v>
      </c>
      <c r="AB125" s="450">
        <f t="shared" si="107"/>
        <v>5292.6180007786616</v>
      </c>
      <c r="AC125" s="450">
        <f t="shared" si="107"/>
        <v>5425.1558945326869</v>
      </c>
      <c r="AD125" s="450">
        <f t="shared" si="107"/>
        <v>5576.4768469529145</v>
      </c>
      <c r="AE125" s="450">
        <f t="shared" si="106"/>
        <v>5683.7162780264307</v>
      </c>
      <c r="AF125" s="450">
        <f t="shared" si="106"/>
        <v>5817.675295396456</v>
      </c>
      <c r="AG125" s="450">
        <f t="shared" si="106"/>
        <v>5953.6588138835277</v>
      </c>
      <c r="AK125" s="449">
        <v>88404.482901604992</v>
      </c>
      <c r="AL125" s="449">
        <f t="shared" si="105"/>
        <v>-88404.482901604992</v>
      </c>
      <c r="AM125" s="449">
        <v>13258.222177766173</v>
      </c>
      <c r="AN125" s="449">
        <f t="shared" si="100"/>
        <v>-13258.222177766173</v>
      </c>
      <c r="AO125" s="449">
        <v>0</v>
      </c>
      <c r="AP125" s="449">
        <f t="shared" si="101"/>
        <v>11086</v>
      </c>
      <c r="AQ125" s="449">
        <v>28866.374143704648</v>
      </c>
      <c r="AR125" s="449">
        <f t="shared" si="102"/>
        <v>-28866.374143704648</v>
      </c>
      <c r="AS125" s="450">
        <v>0</v>
      </c>
      <c r="AT125" s="449">
        <f t="shared" si="103"/>
        <v>23774</v>
      </c>
      <c r="AU125" s="450">
        <v>3560.2829892712134</v>
      </c>
      <c r="AV125" s="449">
        <f t="shared" si="104"/>
        <v>0</v>
      </c>
    </row>
    <row r="126" spans="1:48">
      <c r="A126" s="443" t="s">
        <v>52</v>
      </c>
      <c r="B126" s="449">
        <f t="shared" si="107"/>
        <v>0</v>
      </c>
      <c r="C126" s="449">
        <f t="shared" si="107"/>
        <v>0</v>
      </c>
      <c r="D126" s="449">
        <f t="shared" si="107"/>
        <v>0</v>
      </c>
      <c r="E126" s="449">
        <f t="shared" si="107"/>
        <v>0</v>
      </c>
      <c r="F126" s="449">
        <f t="shared" si="107"/>
        <v>24030</v>
      </c>
      <c r="G126" s="449">
        <f t="shared" si="107"/>
        <v>0</v>
      </c>
      <c r="H126" s="449">
        <f t="shared" si="107"/>
        <v>229819</v>
      </c>
      <c r="I126" s="449">
        <f t="shared" si="107"/>
        <v>377775</v>
      </c>
      <c r="J126" s="449">
        <f t="shared" si="107"/>
        <v>533819</v>
      </c>
      <c r="K126" s="449">
        <f t="shared" si="107"/>
        <v>0</v>
      </c>
      <c r="L126" s="449">
        <f t="shared" si="107"/>
        <v>0</v>
      </c>
      <c r="M126" s="449">
        <f t="shared" si="107"/>
        <v>60338</v>
      </c>
      <c r="N126" s="449">
        <f t="shared" si="107"/>
        <v>0</v>
      </c>
      <c r="O126" s="449">
        <f t="shared" si="107"/>
        <v>0</v>
      </c>
      <c r="P126" s="449">
        <f t="shared" si="107"/>
        <v>0</v>
      </c>
      <c r="Q126" s="450">
        <f t="shared" si="107"/>
        <v>40815.898352129036</v>
      </c>
      <c r="R126" s="450">
        <f t="shared" si="107"/>
        <v>50847.473667410239</v>
      </c>
      <c r="S126" s="450">
        <f t="shared" si="107"/>
        <v>45579.775935243342</v>
      </c>
      <c r="T126" s="450">
        <f t="shared" si="107"/>
        <v>47868.086035502543</v>
      </c>
      <c r="U126" s="450">
        <f t="shared" si="107"/>
        <v>50728.985692668975</v>
      </c>
      <c r="V126" s="450">
        <f t="shared" si="107"/>
        <v>52016.511190260113</v>
      </c>
      <c r="W126" s="450">
        <f t="shared" si="107"/>
        <v>53768.182142755839</v>
      </c>
      <c r="X126" s="450">
        <f t="shared" si="107"/>
        <v>53812.300557201335</v>
      </c>
      <c r="Y126" s="450">
        <f t="shared" si="107"/>
        <v>56644.017285185408</v>
      </c>
      <c r="Z126" s="450">
        <f t="shared" si="107"/>
        <v>57961.140996713133</v>
      </c>
      <c r="AA126" s="450">
        <f t="shared" si="107"/>
        <v>59163.930966074913</v>
      </c>
      <c r="AB126" s="450">
        <f t="shared" si="107"/>
        <v>60675.78307325788</v>
      </c>
      <c r="AC126" s="450">
        <f t="shared" si="107"/>
        <v>62195.227795930587</v>
      </c>
      <c r="AD126" s="450">
        <f t="shared" si="107"/>
        <v>63930.005798449893</v>
      </c>
      <c r="AE126" s="450">
        <f t="shared" si="106"/>
        <v>65159.423159717786</v>
      </c>
      <c r="AF126" s="450">
        <f t="shared" si="106"/>
        <v>66695.159968505919</v>
      </c>
      <c r="AG126" s="450">
        <f t="shared" si="106"/>
        <v>68254.106121061428</v>
      </c>
      <c r="AK126" s="449">
        <v>883349.78708370682</v>
      </c>
      <c r="AL126" s="449">
        <f t="shared" si="105"/>
        <v>-883349.78708370682</v>
      </c>
      <c r="AM126" s="449">
        <v>153087.97138084049</v>
      </c>
      <c r="AN126" s="449">
        <f t="shared" si="100"/>
        <v>-153087.97138084049</v>
      </c>
      <c r="AO126" s="449">
        <v>0</v>
      </c>
      <c r="AP126" s="449">
        <f t="shared" si="101"/>
        <v>0</v>
      </c>
      <c r="AQ126" s="449">
        <v>21906.963958720487</v>
      </c>
      <c r="AR126" s="449">
        <f t="shared" si="102"/>
        <v>-21906.963958720487</v>
      </c>
      <c r="AS126" s="450">
        <v>0</v>
      </c>
      <c r="AT126" s="449">
        <f t="shared" si="103"/>
        <v>0</v>
      </c>
      <c r="AU126" s="450">
        <v>40815.898352129036</v>
      </c>
      <c r="AV126" s="449">
        <f t="shared" si="104"/>
        <v>0</v>
      </c>
    </row>
    <row r="127" spans="1:48">
      <c r="A127" s="443" t="s">
        <v>53</v>
      </c>
      <c r="B127" s="449">
        <f t="shared" si="107"/>
        <v>0</v>
      </c>
      <c r="C127" s="449">
        <f t="shared" si="107"/>
        <v>0</v>
      </c>
      <c r="D127" s="449">
        <f t="shared" si="107"/>
        <v>0</v>
      </c>
      <c r="E127" s="449">
        <f t="shared" si="107"/>
        <v>0</v>
      </c>
      <c r="F127" s="449">
        <f t="shared" si="107"/>
        <v>0</v>
      </c>
      <c r="G127" s="449">
        <f t="shared" si="107"/>
        <v>48281</v>
      </c>
      <c r="H127" s="449">
        <f t="shared" si="107"/>
        <v>77454</v>
      </c>
      <c r="I127" s="449">
        <f t="shared" si="107"/>
        <v>0</v>
      </c>
      <c r="J127" s="449">
        <f t="shared" si="107"/>
        <v>185644</v>
      </c>
      <c r="K127" s="449">
        <f t="shared" si="107"/>
        <v>0</v>
      </c>
      <c r="L127" s="449">
        <f t="shared" si="107"/>
        <v>55892</v>
      </c>
      <c r="M127" s="449">
        <f t="shared" si="107"/>
        <v>6435</v>
      </c>
      <c r="N127" s="449">
        <f t="shared" si="107"/>
        <v>0</v>
      </c>
      <c r="O127" s="449">
        <f t="shared" si="107"/>
        <v>42559</v>
      </c>
      <c r="P127" s="449">
        <f t="shared" si="107"/>
        <v>0</v>
      </c>
      <c r="Q127" s="450">
        <f t="shared" si="107"/>
        <v>11406.794398999873</v>
      </c>
      <c r="R127" s="450">
        <f t="shared" si="107"/>
        <v>14210.312678379511</v>
      </c>
      <c r="S127" s="450">
        <f t="shared" si="107"/>
        <v>12738.152382689941</v>
      </c>
      <c r="T127" s="450">
        <f t="shared" si="107"/>
        <v>13377.665020868832</v>
      </c>
      <c r="U127" s="450">
        <f t="shared" si="107"/>
        <v>14177.19891582142</v>
      </c>
      <c r="V127" s="450">
        <f t="shared" si="107"/>
        <v>14537.022887054094</v>
      </c>
      <c r="W127" s="450">
        <f t="shared" si="107"/>
        <v>15026.561307535208</v>
      </c>
      <c r="X127" s="450">
        <f t="shared" si="107"/>
        <v>15038.891054107193</v>
      </c>
      <c r="Y127" s="450">
        <f t="shared" si="107"/>
        <v>15830.269213511056</v>
      </c>
      <c r="Z127" s="450">
        <f t="shared" si="107"/>
        <v>16198.364979671269</v>
      </c>
      <c r="AA127" s="450">
        <f t="shared" si="107"/>
        <v>16534.507964135886</v>
      </c>
      <c r="AB127" s="450">
        <f t="shared" si="107"/>
        <v>16957.024357124486</v>
      </c>
      <c r="AC127" s="450">
        <f t="shared" si="107"/>
        <v>17381.662653766776</v>
      </c>
      <c r="AD127" s="450">
        <f t="shared" si="107"/>
        <v>17866.480011746433</v>
      </c>
      <c r="AE127" s="450">
        <f t="shared" si="106"/>
        <v>18210.06453730453</v>
      </c>
      <c r="AF127" s="450">
        <f t="shared" si="106"/>
        <v>18639.255973388863</v>
      </c>
      <c r="AG127" s="450">
        <f t="shared" si="106"/>
        <v>19074.933710722922</v>
      </c>
      <c r="AK127" s="449">
        <v>236010.31826724907</v>
      </c>
      <c r="AL127" s="449">
        <f t="shared" si="105"/>
        <v>-236010.31826724907</v>
      </c>
      <c r="AM127" s="449">
        <v>1.6464656704197489E-6</v>
      </c>
      <c r="AN127" s="449">
        <f t="shared" si="100"/>
        <v>55891.999998353531</v>
      </c>
      <c r="AO127" s="450">
        <v>0</v>
      </c>
      <c r="AP127" s="449">
        <f t="shared" si="101"/>
        <v>0</v>
      </c>
      <c r="AQ127" s="450">
        <v>23109.060816016856</v>
      </c>
      <c r="AR127" s="449">
        <f t="shared" si="102"/>
        <v>19449.939183983144</v>
      </c>
      <c r="AS127" s="450">
        <v>10089.650045573533</v>
      </c>
      <c r="AT127" s="449">
        <f t="shared" si="103"/>
        <v>-10089.650045573533</v>
      </c>
      <c r="AU127" s="450">
        <v>11406.794398999873</v>
      </c>
      <c r="AV127" s="449">
        <f t="shared" si="104"/>
        <v>0</v>
      </c>
    </row>
    <row r="128" spans="1:48">
      <c r="A128" s="443" t="s">
        <v>54</v>
      </c>
      <c r="B128" s="449">
        <f t="shared" si="107"/>
        <v>0</v>
      </c>
      <c r="C128" s="449">
        <f t="shared" si="107"/>
        <v>0</v>
      </c>
      <c r="D128" s="449">
        <f t="shared" si="107"/>
        <v>0</v>
      </c>
      <c r="E128" s="449">
        <f t="shared" si="107"/>
        <v>0</v>
      </c>
      <c r="F128" s="449">
        <f t="shared" si="107"/>
        <v>0</v>
      </c>
      <c r="G128" s="449">
        <f t="shared" si="107"/>
        <v>0</v>
      </c>
      <c r="H128" s="449">
        <f t="shared" si="107"/>
        <v>0</v>
      </c>
      <c r="I128" s="449">
        <f t="shared" si="107"/>
        <v>327008</v>
      </c>
      <c r="J128" s="449">
        <f t="shared" si="107"/>
        <v>217665</v>
      </c>
      <c r="K128" s="449">
        <f t="shared" si="107"/>
        <v>0</v>
      </c>
      <c r="L128" s="449">
        <f t="shared" si="107"/>
        <v>0</v>
      </c>
      <c r="M128" s="449">
        <f t="shared" si="107"/>
        <v>180745</v>
      </c>
      <c r="N128" s="449">
        <f t="shared" si="107"/>
        <v>33897</v>
      </c>
      <c r="O128" s="449">
        <f t="shared" si="107"/>
        <v>0</v>
      </c>
      <c r="P128" s="449">
        <f t="shared" si="107"/>
        <v>0</v>
      </c>
      <c r="Q128" s="450">
        <f t="shared" si="107"/>
        <v>-7438.1387701745844</v>
      </c>
      <c r="R128" s="450">
        <f t="shared" si="107"/>
        <v>33096.454816453916</v>
      </c>
      <c r="S128" s="450">
        <f t="shared" si="107"/>
        <v>29667.72753848217</v>
      </c>
      <c r="T128" s="450">
        <f t="shared" si="107"/>
        <v>31157.181121459376</v>
      </c>
      <c r="U128" s="450">
        <f t="shared" si="107"/>
        <v>33019.33138003762</v>
      </c>
      <c r="V128" s="450">
        <f t="shared" si="107"/>
        <v>33857.377528304147</v>
      </c>
      <c r="W128" s="450">
        <f t="shared" si="107"/>
        <v>34997.534439771844</v>
      </c>
      <c r="X128" s="450">
        <f t="shared" si="107"/>
        <v>35026.250971881585</v>
      </c>
      <c r="Y128" s="450">
        <f t="shared" si="107"/>
        <v>36869.406157009071</v>
      </c>
      <c r="Z128" s="450">
        <f t="shared" si="107"/>
        <v>37726.717686218792</v>
      </c>
      <c r="AA128" s="450">
        <f t="shared" si="107"/>
        <v>38509.609755450103</v>
      </c>
      <c r="AB128" s="450">
        <f t="shared" si="107"/>
        <v>39493.669362458983</v>
      </c>
      <c r="AC128" s="450">
        <f t="shared" si="107"/>
        <v>40482.67097813345</v>
      </c>
      <c r="AD128" s="450">
        <f t="shared" si="107"/>
        <v>41611.832323542738</v>
      </c>
      <c r="AE128" s="450">
        <f t="shared" si="106"/>
        <v>42412.056075344328</v>
      </c>
      <c r="AF128" s="450">
        <f t="shared" si="106"/>
        <v>43411.662156749342</v>
      </c>
      <c r="AG128" s="450">
        <f t="shared" si="106"/>
        <v>44426.375124335871</v>
      </c>
      <c r="AK128" s="449">
        <v>1078681.2832535258</v>
      </c>
      <c r="AL128" s="449">
        <f t="shared" si="105"/>
        <v>-1078681.2832535258</v>
      </c>
      <c r="AM128" s="449">
        <v>3.171401394923985E-5</v>
      </c>
      <c r="AN128" s="449">
        <f t="shared" si="100"/>
        <v>-3.171401394923985E-5</v>
      </c>
      <c r="AO128" s="450">
        <v>0</v>
      </c>
      <c r="AP128" s="449">
        <f t="shared" si="101"/>
        <v>33897</v>
      </c>
      <c r="AQ128" s="450">
        <v>61066.303246295545</v>
      </c>
      <c r="AR128" s="449">
        <f t="shared" si="102"/>
        <v>-61066.303246295545</v>
      </c>
      <c r="AS128" s="450">
        <v>1344.9295539109444</v>
      </c>
      <c r="AT128" s="449">
        <f t="shared" si="103"/>
        <v>-1344.9295539109444</v>
      </c>
      <c r="AU128" s="450">
        <v>19477.014720481704</v>
      </c>
      <c r="AV128" s="449">
        <f t="shared" si="104"/>
        <v>-26915.153490656288</v>
      </c>
    </row>
    <row r="129" spans="1:48" ht="12" thickBot="1">
      <c r="A129" s="443" t="s">
        <v>29</v>
      </c>
      <c r="B129" s="449">
        <f t="shared" ref="B129:AG129" si="108">SUM(B117:B128)</f>
        <v>0</v>
      </c>
      <c r="C129" s="449">
        <f t="shared" si="108"/>
        <v>0</v>
      </c>
      <c r="D129" s="449">
        <f t="shared" si="108"/>
        <v>0</v>
      </c>
      <c r="E129" s="449">
        <f t="shared" si="108"/>
        <v>0</v>
      </c>
      <c r="F129" s="449">
        <f t="shared" si="108"/>
        <v>50446</v>
      </c>
      <c r="G129" s="449">
        <f t="shared" si="108"/>
        <v>275315</v>
      </c>
      <c r="H129" s="449">
        <f t="shared" si="108"/>
        <v>534429</v>
      </c>
      <c r="I129" s="449">
        <f t="shared" si="108"/>
        <v>1743435</v>
      </c>
      <c r="J129" s="449">
        <f t="shared" si="108"/>
        <v>2440000</v>
      </c>
      <c r="K129" s="449">
        <f t="shared" si="108"/>
        <v>1315943</v>
      </c>
      <c r="L129" s="449">
        <f t="shared" si="108"/>
        <v>55892</v>
      </c>
      <c r="M129" s="449">
        <f t="shared" si="108"/>
        <v>247518</v>
      </c>
      <c r="N129" s="449">
        <f t="shared" si="108"/>
        <v>236352</v>
      </c>
      <c r="O129" s="449">
        <f t="shared" si="108"/>
        <v>208643</v>
      </c>
      <c r="P129" s="449">
        <f t="shared" si="108"/>
        <v>227964</v>
      </c>
      <c r="Q129" s="450">
        <f t="shared" si="108"/>
        <v>217762.13813848436</v>
      </c>
      <c r="R129" s="449">
        <f t="shared" si="108"/>
        <v>271282.88318509993</v>
      </c>
      <c r="S129" s="449">
        <f t="shared" si="108"/>
        <v>243178.5128897914</v>
      </c>
      <c r="T129" s="449">
        <f t="shared" si="108"/>
        <v>255387.16981698456</v>
      </c>
      <c r="U129" s="449">
        <f t="shared" si="108"/>
        <v>270650.72278277937</v>
      </c>
      <c r="V129" s="449">
        <f t="shared" si="108"/>
        <v>277519.96532264468</v>
      </c>
      <c r="W129" s="449">
        <f t="shared" si="108"/>
        <v>286865.52985339932</v>
      </c>
      <c r="X129" s="449">
        <f t="shared" si="108"/>
        <v>287100.91166903515</v>
      </c>
      <c r="Y129" s="449">
        <f t="shared" si="108"/>
        <v>302208.76704363478</v>
      </c>
      <c r="Z129" s="449">
        <f t="shared" si="108"/>
        <v>309235.92281369056</v>
      </c>
      <c r="AA129" s="449">
        <f t="shared" si="108"/>
        <v>315653.08196084626</v>
      </c>
      <c r="AB129" s="449">
        <f t="shared" si="108"/>
        <v>323719.15818852198</v>
      </c>
      <c r="AC129" s="449">
        <f t="shared" si="108"/>
        <v>331825.74275363144</v>
      </c>
      <c r="AD129" s="449">
        <f t="shared" si="108"/>
        <v>341081.17953870731</v>
      </c>
      <c r="AE129" s="449">
        <f t="shared" si="108"/>
        <v>347640.40190212504</v>
      </c>
      <c r="AF129" s="449">
        <f t="shared" si="108"/>
        <v>355833.90846700582</v>
      </c>
      <c r="AG129" s="449">
        <f t="shared" si="108"/>
        <v>364151.24218080717</v>
      </c>
      <c r="AK129" s="449">
        <v>3822825.371880101</v>
      </c>
      <c r="AL129" s="449">
        <f t="shared" si="105"/>
        <v>-2506882.371880101</v>
      </c>
      <c r="AM129" s="449">
        <v>3.33604796196596E-5</v>
      </c>
      <c r="AN129" s="449">
        <f t="shared" si="100"/>
        <v>55891.999966639523</v>
      </c>
      <c r="AO129" s="450">
        <v>202455</v>
      </c>
      <c r="AP129" s="449">
        <f t="shared" si="101"/>
        <v>33897</v>
      </c>
      <c r="AQ129" s="450">
        <v>250259.36406231241</v>
      </c>
      <c r="AR129" s="449">
        <f t="shared" si="102"/>
        <v>-41616.364062312408</v>
      </c>
      <c r="AS129" s="450">
        <v>215624.57959948448</v>
      </c>
      <c r="AT129" s="449">
        <f t="shared" si="103"/>
        <v>12339.420400515519</v>
      </c>
      <c r="AU129" s="450">
        <v>217762.13813848436</v>
      </c>
      <c r="AV129" s="449">
        <f t="shared" si="104"/>
        <v>0</v>
      </c>
    </row>
    <row r="130" spans="1:48">
      <c r="A130" s="461"/>
      <c r="B130" s="461"/>
      <c r="C130" s="461"/>
      <c r="D130" s="461"/>
      <c r="E130" s="461"/>
      <c r="F130" s="461"/>
      <c r="G130" s="461"/>
      <c r="H130" s="461"/>
      <c r="I130" s="461"/>
      <c r="J130" s="461"/>
      <c r="K130" s="461"/>
      <c r="L130" s="461"/>
      <c r="M130" s="461"/>
      <c r="N130" s="461"/>
      <c r="O130" s="461"/>
      <c r="P130" s="461"/>
      <c r="Q130" s="461"/>
      <c r="R130" s="461"/>
      <c r="S130" s="461"/>
      <c r="T130" s="461"/>
      <c r="U130" s="461"/>
      <c r="V130" s="461"/>
      <c r="W130" s="461"/>
      <c r="X130" s="461"/>
      <c r="Y130" s="461"/>
      <c r="Z130" s="461"/>
      <c r="AA130" s="461"/>
      <c r="AB130" s="461"/>
      <c r="AC130" s="461"/>
      <c r="AD130" s="461"/>
      <c r="AE130" s="461"/>
      <c r="AF130" s="461"/>
      <c r="AG130" s="461"/>
      <c r="AO130" s="450"/>
    </row>
    <row r="131" spans="1:48" ht="12" thickBot="1">
      <c r="A131" s="442" t="s">
        <v>549</v>
      </c>
      <c r="AO131" s="450"/>
    </row>
    <row r="132" spans="1:48" ht="12" thickBot="1">
      <c r="A132" s="459"/>
      <c r="B132" s="460">
        <f t="shared" ref="B132:K132" si="109">B2</f>
        <v>2010</v>
      </c>
      <c r="C132" s="460">
        <f t="shared" si="109"/>
        <v>2011</v>
      </c>
      <c r="D132" s="460">
        <f t="shared" si="109"/>
        <v>2012</v>
      </c>
      <c r="E132" s="460">
        <f t="shared" si="109"/>
        <v>2013</v>
      </c>
      <c r="F132" s="460">
        <f t="shared" si="109"/>
        <v>2014</v>
      </c>
      <c r="G132" s="460">
        <f t="shared" si="109"/>
        <v>2015</v>
      </c>
      <c r="H132" s="460">
        <f t="shared" si="109"/>
        <v>2016</v>
      </c>
      <c r="I132" s="460">
        <f t="shared" si="109"/>
        <v>2017</v>
      </c>
      <c r="J132" s="460">
        <f t="shared" si="109"/>
        <v>2018</v>
      </c>
      <c r="K132" s="460">
        <f t="shared" si="109"/>
        <v>2019</v>
      </c>
      <c r="L132" s="460">
        <f>L2</f>
        <v>2020</v>
      </c>
      <c r="M132" s="460">
        <f>M2</f>
        <v>2021</v>
      </c>
      <c r="N132" s="460">
        <f t="shared" ref="N132:AD132" si="110">N2</f>
        <v>2022</v>
      </c>
      <c r="O132" s="460">
        <f t="shared" si="110"/>
        <v>2023</v>
      </c>
      <c r="P132" s="460">
        <f t="shared" si="110"/>
        <v>2024</v>
      </c>
      <c r="Q132" s="460">
        <f t="shared" si="110"/>
        <v>2025</v>
      </c>
      <c r="R132" s="460">
        <f t="shared" si="110"/>
        <v>2026</v>
      </c>
      <c r="S132" s="460">
        <f t="shared" si="110"/>
        <v>2027</v>
      </c>
      <c r="T132" s="460">
        <f t="shared" si="110"/>
        <v>2028</v>
      </c>
      <c r="U132" s="460">
        <f t="shared" si="110"/>
        <v>2029</v>
      </c>
      <c r="V132" s="460">
        <f t="shared" si="110"/>
        <v>2030</v>
      </c>
      <c r="W132" s="460">
        <f t="shared" si="110"/>
        <v>2031</v>
      </c>
      <c r="X132" s="460">
        <f t="shared" si="110"/>
        <v>2032</v>
      </c>
      <c r="Y132" s="460">
        <f t="shared" si="110"/>
        <v>2033</v>
      </c>
      <c r="Z132" s="460">
        <f t="shared" si="110"/>
        <v>2034</v>
      </c>
      <c r="AA132" s="460">
        <f t="shared" si="110"/>
        <v>2035</v>
      </c>
      <c r="AB132" s="460">
        <f t="shared" si="110"/>
        <v>2036</v>
      </c>
      <c r="AC132" s="460">
        <f t="shared" si="110"/>
        <v>2037</v>
      </c>
      <c r="AD132" s="460">
        <f t="shared" si="110"/>
        <v>2038</v>
      </c>
      <c r="AE132" s="460">
        <f>AE2</f>
        <v>2039</v>
      </c>
      <c r="AF132" s="460">
        <f>AF2</f>
        <v>2040</v>
      </c>
      <c r="AG132" s="460">
        <f>AG2</f>
        <v>2041</v>
      </c>
      <c r="AO132" s="450"/>
    </row>
    <row r="133" spans="1:48">
      <c r="A133" s="443" t="s">
        <v>43</v>
      </c>
      <c r="B133" s="449">
        <f>'Monthly D7 Gallon Data'!$E4</f>
        <v>0</v>
      </c>
      <c r="C133" s="449">
        <f>'Monthly D7 Gallon Data'!$E16</f>
        <v>0</v>
      </c>
      <c r="D133" s="449">
        <f>'Monthly D7 Gallon Data'!$E28</f>
        <v>0</v>
      </c>
      <c r="E133" s="449">
        <f>'Monthly D7 Gallon Data'!$E40</f>
        <v>0</v>
      </c>
      <c r="F133" s="449">
        <f>'Monthly D7 Gallon Data'!$E52</f>
        <v>0</v>
      </c>
      <c r="G133" s="449">
        <f>'Monthly D7 Gallon Data'!$E64</f>
        <v>0</v>
      </c>
      <c r="H133" s="449">
        <f>'Monthly D7 Gallon Data'!$E76</f>
        <v>0</v>
      </c>
      <c r="I133" s="449">
        <f>'Monthly D7 Gallon Data'!$E88</f>
        <v>0</v>
      </c>
      <c r="J133" s="449">
        <f>'Monthly D7 Gallon Data'!$E100</f>
        <v>0</v>
      </c>
      <c r="K133" s="449">
        <f>'Monthly D7 Gallon Data'!$E112</f>
        <v>0</v>
      </c>
      <c r="L133" s="449">
        <f>'Monthly D7 Gallon Data'!$E124</f>
        <v>0</v>
      </c>
      <c r="M133" s="449">
        <f>'Monthly D7 Gallon Data'!$E136</f>
        <v>0</v>
      </c>
      <c r="N133" s="449">
        <f>'Monthly D7 Gallon Data'!$E148</f>
        <v>0</v>
      </c>
      <c r="O133" s="449">
        <f>'Monthly D7 Gallon Data'!$E160</f>
        <v>0</v>
      </c>
      <c r="P133" s="449">
        <f>'Monthly D7 Gallon Data'!$E172</f>
        <v>0</v>
      </c>
      <c r="Q133" s="449">
        <f>'Monthly D7 Gallon Data'!$E184</f>
        <v>0</v>
      </c>
      <c r="R133" s="450">
        <v>0</v>
      </c>
      <c r="S133" s="450">
        <v>0</v>
      </c>
      <c r="T133" s="450">
        <v>0</v>
      </c>
      <c r="U133" s="450">
        <v>0</v>
      </c>
      <c r="V133" s="450">
        <v>0</v>
      </c>
      <c r="W133" s="450">
        <v>0</v>
      </c>
      <c r="X133" s="450">
        <v>0</v>
      </c>
      <c r="Y133" s="450">
        <v>0</v>
      </c>
      <c r="Z133" s="450">
        <v>0</v>
      </c>
      <c r="AA133" s="450">
        <v>0</v>
      </c>
      <c r="AB133" s="450">
        <v>0</v>
      </c>
      <c r="AC133" s="450">
        <v>0</v>
      </c>
      <c r="AD133" s="450">
        <v>0</v>
      </c>
      <c r="AE133" s="450">
        <v>0</v>
      </c>
      <c r="AF133" s="450">
        <v>0</v>
      </c>
      <c r="AG133" s="450">
        <v>0</v>
      </c>
      <c r="AM133" s="449">
        <v>0</v>
      </c>
      <c r="AN133" s="449">
        <f t="shared" ref="AN133:AN145" si="111">L133-AM133</f>
        <v>0</v>
      </c>
      <c r="AO133" s="449">
        <v>0</v>
      </c>
      <c r="AP133" s="449">
        <f t="shared" ref="AP133:AP145" si="112">N133-AO133</f>
        <v>0</v>
      </c>
      <c r="AQ133" s="449">
        <v>0</v>
      </c>
      <c r="AR133" s="449">
        <f t="shared" ref="AR133:AR145" si="113">O133-AQ133</f>
        <v>0</v>
      </c>
      <c r="AS133" s="449">
        <v>0</v>
      </c>
      <c r="AT133" s="449">
        <f t="shared" ref="AT133:AT145" si="114">P133-AS133</f>
        <v>0</v>
      </c>
      <c r="AU133" s="449">
        <v>0</v>
      </c>
      <c r="AV133" s="449">
        <f>Q133-AU133</f>
        <v>0</v>
      </c>
    </row>
    <row r="134" spans="1:48">
      <c r="A134" s="443" t="s">
        <v>44</v>
      </c>
      <c r="B134" s="449">
        <f>'Monthly D7 Gallon Data'!$E5</f>
        <v>0</v>
      </c>
      <c r="C134" s="449">
        <f>'Monthly D7 Gallon Data'!$E17</f>
        <v>0</v>
      </c>
      <c r="D134" s="449">
        <f>'Monthly D7 Gallon Data'!$E29</f>
        <v>0</v>
      </c>
      <c r="E134" s="449">
        <f>'Monthly D7 Gallon Data'!$E41</f>
        <v>0</v>
      </c>
      <c r="F134" s="449">
        <f>'Monthly D7 Gallon Data'!$E53</f>
        <v>0</v>
      </c>
      <c r="G134" s="449">
        <f>'Monthly D7 Gallon Data'!$E65</f>
        <v>0</v>
      </c>
      <c r="H134" s="449">
        <f>'Monthly D7 Gallon Data'!$E77</f>
        <v>0</v>
      </c>
      <c r="I134" s="449">
        <f>'Monthly D7 Gallon Data'!$E89</f>
        <v>0</v>
      </c>
      <c r="J134" s="449">
        <f>'Monthly D7 Gallon Data'!$E101</f>
        <v>0</v>
      </c>
      <c r="K134" s="449">
        <f>'Monthly D7 Gallon Data'!$E113</f>
        <v>0</v>
      </c>
      <c r="L134" s="449">
        <f>'Monthly D7 Gallon Data'!$E125</f>
        <v>0</v>
      </c>
      <c r="M134" s="449">
        <f>'Monthly D7 Gallon Data'!$E137</f>
        <v>0</v>
      </c>
      <c r="N134" s="449">
        <f>'Monthly D7 Gallon Data'!$E149</f>
        <v>0</v>
      </c>
      <c r="O134" s="449">
        <f>'Monthly D7 Gallon Data'!$E161</f>
        <v>0</v>
      </c>
      <c r="P134" s="449">
        <f>'Monthly D7 Gallon Data'!$E173</f>
        <v>0</v>
      </c>
      <c r="Q134" s="449">
        <f>'Monthly D7 Gallon Data'!$E185</f>
        <v>0</v>
      </c>
      <c r="R134" s="450">
        <f>'Monthly D7 Gallon Data'!$E137</f>
        <v>0</v>
      </c>
      <c r="S134" s="450">
        <f>'Monthly D7 Gallon Data'!$E137</f>
        <v>0</v>
      </c>
      <c r="T134" s="450">
        <f>'Monthly D7 Gallon Data'!$E137</f>
        <v>0</v>
      </c>
      <c r="U134" s="450">
        <f>'Monthly D7 Gallon Data'!$E137</f>
        <v>0</v>
      </c>
      <c r="V134" s="450">
        <f>'Monthly D7 Gallon Data'!$E137</f>
        <v>0</v>
      </c>
      <c r="W134" s="450">
        <f>'Monthly D7 Gallon Data'!$E137</f>
        <v>0</v>
      </c>
      <c r="X134" s="450">
        <f>'Monthly D7 Gallon Data'!$E137</f>
        <v>0</v>
      </c>
      <c r="Y134" s="450">
        <f>'Monthly D7 Gallon Data'!$E137</f>
        <v>0</v>
      </c>
      <c r="Z134" s="450">
        <f>'Monthly D7 Gallon Data'!$E137</f>
        <v>0</v>
      </c>
      <c r="AA134" s="450">
        <f>'Monthly D7 Gallon Data'!$E137</f>
        <v>0</v>
      </c>
      <c r="AB134" s="450">
        <f>'Monthly D7 Gallon Data'!$E137</f>
        <v>0</v>
      </c>
      <c r="AC134" s="450">
        <f>'Monthly D7 Gallon Data'!$E137</f>
        <v>0</v>
      </c>
      <c r="AD134" s="450">
        <f>'Monthly D7 Gallon Data'!$E137</f>
        <v>0</v>
      </c>
      <c r="AE134" s="450">
        <f>'Monthly D7 Gallon Data'!$E137</f>
        <v>0</v>
      </c>
      <c r="AF134" s="450">
        <f>'Monthly D7 Gallon Data'!$E137</f>
        <v>0</v>
      </c>
      <c r="AG134" s="450">
        <f>'Monthly D7 Gallon Data'!$E137</f>
        <v>0</v>
      </c>
      <c r="AH134" s="442"/>
      <c r="AM134" s="449">
        <v>0</v>
      </c>
      <c r="AN134" s="449">
        <f t="shared" si="111"/>
        <v>0</v>
      </c>
      <c r="AO134" s="449">
        <v>0</v>
      </c>
      <c r="AP134" s="449">
        <f t="shared" si="112"/>
        <v>0</v>
      </c>
      <c r="AQ134" s="449">
        <v>0</v>
      </c>
      <c r="AR134" s="449">
        <f t="shared" si="113"/>
        <v>0</v>
      </c>
      <c r="AS134" s="449">
        <v>0</v>
      </c>
      <c r="AT134" s="449">
        <f t="shared" si="114"/>
        <v>0</v>
      </c>
      <c r="AU134" s="449">
        <v>0</v>
      </c>
      <c r="AV134" s="449">
        <f t="shared" ref="AV134:AV145" si="115">Q134-AU134</f>
        <v>0</v>
      </c>
    </row>
    <row r="135" spans="1:48">
      <c r="A135" s="443" t="s">
        <v>45</v>
      </c>
      <c r="B135" s="449">
        <f>'Monthly D7 Gallon Data'!$E6</f>
        <v>0</v>
      </c>
      <c r="C135" s="449">
        <f>'Monthly D7 Gallon Data'!$E18</f>
        <v>0</v>
      </c>
      <c r="D135" s="449">
        <f>'Monthly D7 Gallon Data'!$E30</f>
        <v>0</v>
      </c>
      <c r="E135" s="449">
        <f>'Monthly D7 Gallon Data'!$E42</f>
        <v>0</v>
      </c>
      <c r="F135" s="449">
        <f>'Monthly D7 Gallon Data'!$E54</f>
        <v>0</v>
      </c>
      <c r="G135" s="449">
        <f>'Monthly D7 Gallon Data'!$E66</f>
        <v>0</v>
      </c>
      <c r="H135" s="449">
        <f>'Monthly D7 Gallon Data'!$E78</f>
        <v>0</v>
      </c>
      <c r="I135" s="449">
        <f>'Monthly D7 Gallon Data'!$E90</f>
        <v>0</v>
      </c>
      <c r="J135" s="449">
        <f>'Monthly D7 Gallon Data'!$E102</f>
        <v>0</v>
      </c>
      <c r="K135" s="449">
        <f>'Monthly D7 Gallon Data'!$E114</f>
        <v>0</v>
      </c>
      <c r="L135" s="449">
        <f>'Monthly D7 Gallon Data'!$E126</f>
        <v>0</v>
      </c>
      <c r="M135" s="449">
        <f>'Monthly D7 Gallon Data'!$E138</f>
        <v>0</v>
      </c>
      <c r="N135" s="449">
        <f>'Monthly D7 Gallon Data'!$E150</f>
        <v>0</v>
      </c>
      <c r="O135" s="449">
        <f>'Monthly D7 Gallon Data'!$E162</f>
        <v>0</v>
      </c>
      <c r="P135" s="449">
        <f>'Monthly D7 Gallon Data'!$E174</f>
        <v>0</v>
      </c>
      <c r="Q135" s="449">
        <f>'Monthly D7 Gallon Data'!$E186</f>
        <v>0</v>
      </c>
      <c r="R135" s="450">
        <v>0</v>
      </c>
      <c r="S135" s="450">
        <v>0</v>
      </c>
      <c r="T135" s="450">
        <v>0</v>
      </c>
      <c r="U135" s="450">
        <v>0</v>
      </c>
      <c r="V135" s="450">
        <v>0</v>
      </c>
      <c r="W135" s="450">
        <v>0</v>
      </c>
      <c r="X135" s="450">
        <v>0</v>
      </c>
      <c r="Y135" s="450">
        <v>0</v>
      </c>
      <c r="Z135" s="450">
        <v>0</v>
      </c>
      <c r="AA135" s="450">
        <v>0</v>
      </c>
      <c r="AB135" s="450">
        <v>0</v>
      </c>
      <c r="AC135" s="450">
        <v>0</v>
      </c>
      <c r="AD135" s="450">
        <v>0</v>
      </c>
      <c r="AE135" s="450">
        <v>0</v>
      </c>
      <c r="AF135" s="450">
        <v>0</v>
      </c>
      <c r="AG135" s="450">
        <v>0</v>
      </c>
      <c r="AM135" s="449">
        <v>0</v>
      </c>
      <c r="AN135" s="449">
        <f t="shared" si="111"/>
        <v>0</v>
      </c>
      <c r="AO135" s="449">
        <v>0</v>
      </c>
      <c r="AP135" s="449">
        <f t="shared" si="112"/>
        <v>0</v>
      </c>
      <c r="AQ135" s="449">
        <v>0.2850335377867339</v>
      </c>
      <c r="AR135" s="449">
        <f t="shared" si="113"/>
        <v>-0.2850335377867339</v>
      </c>
      <c r="AS135" s="449">
        <v>0</v>
      </c>
      <c r="AT135" s="449">
        <f t="shared" si="114"/>
        <v>0</v>
      </c>
      <c r="AU135" s="449">
        <v>0</v>
      </c>
      <c r="AV135" s="449">
        <f t="shared" si="115"/>
        <v>0</v>
      </c>
    </row>
    <row r="136" spans="1:48">
      <c r="A136" s="443" t="s">
        <v>46</v>
      </c>
      <c r="B136" s="449">
        <f>'Monthly D7 Gallon Data'!$E7</f>
        <v>0</v>
      </c>
      <c r="C136" s="449">
        <f>'Monthly D7 Gallon Data'!$E19</f>
        <v>0</v>
      </c>
      <c r="D136" s="449">
        <f>'Monthly D7 Gallon Data'!$E31</f>
        <v>0</v>
      </c>
      <c r="E136" s="449">
        <f>'Monthly D7 Gallon Data'!$E43</f>
        <v>0</v>
      </c>
      <c r="F136" s="449">
        <f>'Monthly D7 Gallon Data'!$E55</f>
        <v>0</v>
      </c>
      <c r="G136" s="449">
        <f>'Monthly D7 Gallon Data'!$E67</f>
        <v>0</v>
      </c>
      <c r="H136" s="449">
        <f>'Monthly D7 Gallon Data'!$E79</f>
        <v>0</v>
      </c>
      <c r="I136" s="449">
        <f>'Monthly D7 Gallon Data'!$E91</f>
        <v>0</v>
      </c>
      <c r="J136" s="449">
        <f>'Monthly D7 Gallon Data'!$E103</f>
        <v>0</v>
      </c>
      <c r="K136" s="449">
        <f>'Monthly D7 Gallon Data'!$E115</f>
        <v>0</v>
      </c>
      <c r="L136" s="449">
        <f>'Monthly D7 Gallon Data'!$E127</f>
        <v>0</v>
      </c>
      <c r="M136" s="449">
        <f>'Monthly D7 Gallon Data'!$E139</f>
        <v>0</v>
      </c>
      <c r="N136" s="449">
        <f>'Monthly D7 Gallon Data'!$E151</f>
        <v>0</v>
      </c>
      <c r="O136" s="449">
        <f>'Monthly D7 Gallon Data'!$E163</f>
        <v>0</v>
      </c>
      <c r="P136" s="449">
        <f>'Monthly D7 Gallon Data'!$E175</f>
        <v>0</v>
      </c>
      <c r="Q136" s="450">
        <v>0</v>
      </c>
      <c r="R136" s="450">
        <v>0</v>
      </c>
      <c r="S136" s="450">
        <v>0</v>
      </c>
      <c r="T136" s="450">
        <v>0</v>
      </c>
      <c r="U136" s="450">
        <v>0</v>
      </c>
      <c r="V136" s="450">
        <v>0</v>
      </c>
      <c r="W136" s="450">
        <v>0</v>
      </c>
      <c r="X136" s="450">
        <v>0</v>
      </c>
      <c r="Y136" s="450">
        <v>0</v>
      </c>
      <c r="Z136" s="450">
        <v>0</v>
      </c>
      <c r="AA136" s="450">
        <v>0</v>
      </c>
      <c r="AB136" s="450">
        <v>0</v>
      </c>
      <c r="AC136" s="450">
        <v>0</v>
      </c>
      <c r="AD136" s="450">
        <v>0</v>
      </c>
      <c r="AE136" s="450">
        <v>0</v>
      </c>
      <c r="AF136" s="450">
        <v>0</v>
      </c>
      <c r="AG136" s="450">
        <v>0</v>
      </c>
      <c r="AM136" s="449">
        <v>0</v>
      </c>
      <c r="AN136" s="449">
        <f t="shared" si="111"/>
        <v>0</v>
      </c>
      <c r="AO136" s="449">
        <v>0</v>
      </c>
      <c r="AP136" s="449">
        <f t="shared" si="112"/>
        <v>0</v>
      </c>
      <c r="AQ136" s="449">
        <v>0.15470592158128718</v>
      </c>
      <c r="AR136" s="449">
        <f t="shared" si="113"/>
        <v>-0.15470592158128718</v>
      </c>
      <c r="AS136" s="449">
        <v>0</v>
      </c>
      <c r="AT136" s="449">
        <f t="shared" si="114"/>
        <v>0</v>
      </c>
      <c r="AU136" s="449">
        <v>0</v>
      </c>
      <c r="AV136" s="449">
        <f t="shared" si="115"/>
        <v>0</v>
      </c>
    </row>
    <row r="137" spans="1:48">
      <c r="A137" s="443" t="s">
        <v>47</v>
      </c>
      <c r="B137" s="449">
        <f>'Monthly D7 Gallon Data'!$E8</f>
        <v>0</v>
      </c>
      <c r="C137" s="449">
        <f>'Monthly D7 Gallon Data'!$E20</f>
        <v>0</v>
      </c>
      <c r="D137" s="449">
        <f>'Monthly D7 Gallon Data'!$E32</f>
        <v>0</v>
      </c>
      <c r="E137" s="449">
        <f>'Monthly D7 Gallon Data'!$E44</f>
        <v>0</v>
      </c>
      <c r="F137" s="449">
        <f>'Monthly D7 Gallon Data'!$E56</f>
        <v>0</v>
      </c>
      <c r="G137" s="449">
        <f>'Monthly D7 Gallon Data'!$E68</f>
        <v>0</v>
      </c>
      <c r="H137" s="449">
        <f>'Monthly D7 Gallon Data'!$E80</f>
        <v>0</v>
      </c>
      <c r="I137" s="449">
        <f>'Monthly D7 Gallon Data'!$E92</f>
        <v>0</v>
      </c>
      <c r="J137" s="449">
        <f>'Monthly D7 Gallon Data'!$E104</f>
        <v>0</v>
      </c>
      <c r="K137" s="449">
        <f>'Monthly D7 Gallon Data'!$E116</f>
        <v>0</v>
      </c>
      <c r="L137" s="449">
        <f>'Monthly D7 Gallon Data'!$E128</f>
        <v>0</v>
      </c>
      <c r="M137" s="449">
        <f>'Monthly D7 Gallon Data'!$E140</f>
        <v>0</v>
      </c>
      <c r="N137" s="449">
        <f>'Monthly D7 Gallon Data'!$E152</f>
        <v>0</v>
      </c>
      <c r="O137" s="449">
        <f>'Monthly D7 Gallon Data'!$E164</f>
        <v>0</v>
      </c>
      <c r="P137" s="449">
        <f>'Monthly D7 Gallon Data'!$E176</f>
        <v>0</v>
      </c>
      <c r="Q137" s="450">
        <v>0</v>
      </c>
      <c r="R137" s="450">
        <v>0</v>
      </c>
      <c r="S137" s="450">
        <v>0</v>
      </c>
      <c r="T137" s="450">
        <v>0</v>
      </c>
      <c r="U137" s="450">
        <v>0</v>
      </c>
      <c r="V137" s="450">
        <v>0</v>
      </c>
      <c r="W137" s="450">
        <v>0</v>
      </c>
      <c r="X137" s="450">
        <v>0</v>
      </c>
      <c r="Y137" s="450">
        <v>0</v>
      </c>
      <c r="Z137" s="450">
        <v>0</v>
      </c>
      <c r="AA137" s="450">
        <v>0</v>
      </c>
      <c r="AB137" s="450">
        <v>0</v>
      </c>
      <c r="AC137" s="450">
        <v>0</v>
      </c>
      <c r="AD137" s="450">
        <v>0</v>
      </c>
      <c r="AE137" s="450">
        <v>0</v>
      </c>
      <c r="AF137" s="450">
        <v>0</v>
      </c>
      <c r="AG137" s="450">
        <v>0</v>
      </c>
      <c r="AM137" s="449">
        <v>0</v>
      </c>
      <c r="AN137" s="449">
        <f t="shared" si="111"/>
        <v>0</v>
      </c>
      <c r="AO137" s="449">
        <v>0</v>
      </c>
      <c r="AP137" s="449">
        <f t="shared" si="112"/>
        <v>0</v>
      </c>
      <c r="AQ137" s="449">
        <v>0</v>
      </c>
      <c r="AR137" s="449">
        <f t="shared" si="113"/>
        <v>0</v>
      </c>
      <c r="AS137" s="450">
        <v>0</v>
      </c>
      <c r="AT137" s="449">
        <f t="shared" si="114"/>
        <v>0</v>
      </c>
      <c r="AU137" s="450">
        <v>0</v>
      </c>
      <c r="AV137" s="449">
        <f t="shared" si="115"/>
        <v>0</v>
      </c>
    </row>
    <row r="138" spans="1:48">
      <c r="A138" s="443" t="s">
        <v>48</v>
      </c>
      <c r="B138" s="449">
        <f>'Monthly D7 Gallon Data'!$E9</f>
        <v>0</v>
      </c>
      <c r="C138" s="449">
        <f>'Monthly D7 Gallon Data'!$E21</f>
        <v>0</v>
      </c>
      <c r="D138" s="449">
        <f>'Monthly D7 Gallon Data'!$E33</f>
        <v>0</v>
      </c>
      <c r="E138" s="449">
        <f>'Monthly D7 Gallon Data'!$E45</f>
        <v>0</v>
      </c>
      <c r="F138" s="449">
        <f>'Monthly D7 Gallon Data'!$E57</f>
        <v>0</v>
      </c>
      <c r="G138" s="449">
        <f>'Monthly D7 Gallon Data'!$E69</f>
        <v>0</v>
      </c>
      <c r="H138" s="449">
        <f>'Monthly D7 Gallon Data'!$E81</f>
        <v>0</v>
      </c>
      <c r="I138" s="449">
        <f>'Monthly D7 Gallon Data'!$E93</f>
        <v>0</v>
      </c>
      <c r="J138" s="449">
        <f>'Monthly D7 Gallon Data'!$E105</f>
        <v>0</v>
      </c>
      <c r="K138" s="449">
        <f>'Monthly D7 Gallon Data'!$E117</f>
        <v>0</v>
      </c>
      <c r="L138" s="449">
        <f>'Monthly D7 Gallon Data'!$E129</f>
        <v>0</v>
      </c>
      <c r="M138" s="449">
        <f>'Monthly D7 Gallon Data'!$E141</f>
        <v>0</v>
      </c>
      <c r="N138" s="449">
        <f>'Monthly D7 Gallon Data'!$E153</f>
        <v>0</v>
      </c>
      <c r="O138" s="449">
        <f>'Monthly D7 Gallon Data'!$E165</f>
        <v>0</v>
      </c>
      <c r="P138" s="449">
        <f>'Monthly D7 Gallon Data'!$E177</f>
        <v>0</v>
      </c>
      <c r="Q138" s="450">
        <v>0</v>
      </c>
      <c r="R138" s="450">
        <v>0</v>
      </c>
      <c r="S138" s="450">
        <v>0</v>
      </c>
      <c r="T138" s="450">
        <v>0</v>
      </c>
      <c r="U138" s="450">
        <v>0</v>
      </c>
      <c r="V138" s="450">
        <v>0</v>
      </c>
      <c r="W138" s="450">
        <v>0</v>
      </c>
      <c r="X138" s="450">
        <v>0</v>
      </c>
      <c r="Y138" s="450">
        <v>0</v>
      </c>
      <c r="Z138" s="450">
        <v>0</v>
      </c>
      <c r="AA138" s="450">
        <v>0</v>
      </c>
      <c r="AB138" s="450">
        <v>0</v>
      </c>
      <c r="AC138" s="450">
        <v>0</v>
      </c>
      <c r="AD138" s="450">
        <v>0</v>
      </c>
      <c r="AE138" s="450">
        <v>0</v>
      </c>
      <c r="AF138" s="450">
        <v>0</v>
      </c>
      <c r="AG138" s="450">
        <v>0</v>
      </c>
      <c r="AM138" s="449">
        <v>0</v>
      </c>
      <c r="AN138" s="449">
        <f t="shared" si="111"/>
        <v>0</v>
      </c>
      <c r="AO138" s="449">
        <v>0</v>
      </c>
      <c r="AP138" s="449">
        <f t="shared" si="112"/>
        <v>0</v>
      </c>
      <c r="AQ138" s="449">
        <v>0</v>
      </c>
      <c r="AR138" s="449">
        <f t="shared" si="113"/>
        <v>0</v>
      </c>
      <c r="AS138" s="450">
        <v>0</v>
      </c>
      <c r="AT138" s="449">
        <f t="shared" si="114"/>
        <v>0</v>
      </c>
      <c r="AU138" s="450">
        <v>0</v>
      </c>
      <c r="AV138" s="449">
        <f t="shared" si="115"/>
        <v>0</v>
      </c>
    </row>
    <row r="139" spans="1:48">
      <c r="A139" s="443" t="s">
        <v>49</v>
      </c>
      <c r="B139" s="449">
        <f>'Monthly D7 Gallon Data'!$E10</f>
        <v>0</v>
      </c>
      <c r="C139" s="449">
        <f>'Monthly D7 Gallon Data'!$E22</f>
        <v>0</v>
      </c>
      <c r="D139" s="449">
        <f>'Monthly D7 Gallon Data'!$E34</f>
        <v>0</v>
      </c>
      <c r="E139" s="449">
        <f>'Monthly D7 Gallon Data'!$E46</f>
        <v>0</v>
      </c>
      <c r="F139" s="449">
        <f>'Monthly D7 Gallon Data'!$E58</f>
        <v>0</v>
      </c>
      <c r="G139" s="449">
        <f>'Monthly D7 Gallon Data'!$E70</f>
        <v>0</v>
      </c>
      <c r="H139" s="449">
        <f>'Monthly D7 Gallon Data'!$E82</f>
        <v>0</v>
      </c>
      <c r="I139" s="449">
        <f>'Monthly D7 Gallon Data'!$E94</f>
        <v>0</v>
      </c>
      <c r="J139" s="449">
        <f>'Monthly D7 Gallon Data'!$E106</f>
        <v>0</v>
      </c>
      <c r="K139" s="449">
        <f>'Monthly D7 Gallon Data'!$E118</f>
        <v>0</v>
      </c>
      <c r="L139" s="449">
        <f>'Monthly D7 Gallon Data'!$E130</f>
        <v>0</v>
      </c>
      <c r="M139" s="449">
        <f>'Monthly D7 Gallon Data'!$E142</f>
        <v>0</v>
      </c>
      <c r="N139" s="449">
        <f>'Monthly D7 Gallon Data'!$E154</f>
        <v>0</v>
      </c>
      <c r="O139" s="449">
        <f>'Monthly D7 Gallon Data'!$E166</f>
        <v>0</v>
      </c>
      <c r="P139" s="449">
        <f>'Monthly D7 Gallon Data'!$E178</f>
        <v>0</v>
      </c>
      <c r="Q139" s="450">
        <v>0</v>
      </c>
      <c r="R139" s="450">
        <v>0</v>
      </c>
      <c r="S139" s="450">
        <v>0</v>
      </c>
      <c r="T139" s="450">
        <v>0</v>
      </c>
      <c r="U139" s="450">
        <v>0</v>
      </c>
      <c r="V139" s="450">
        <v>0</v>
      </c>
      <c r="W139" s="450">
        <v>0</v>
      </c>
      <c r="X139" s="450">
        <v>0</v>
      </c>
      <c r="Y139" s="450">
        <v>0</v>
      </c>
      <c r="Z139" s="450">
        <v>0</v>
      </c>
      <c r="AA139" s="450">
        <v>0</v>
      </c>
      <c r="AB139" s="450">
        <v>0</v>
      </c>
      <c r="AC139" s="450">
        <v>0</v>
      </c>
      <c r="AD139" s="450">
        <v>0</v>
      </c>
      <c r="AE139" s="450">
        <v>0</v>
      </c>
      <c r="AF139" s="450">
        <v>0</v>
      </c>
      <c r="AG139" s="450">
        <v>0</v>
      </c>
      <c r="AK139" s="449">
        <v>0</v>
      </c>
      <c r="AL139" s="449">
        <f t="shared" ref="AL139:AL145" si="116">K139-AK139</f>
        <v>0</v>
      </c>
      <c r="AM139" s="449">
        <v>0</v>
      </c>
      <c r="AN139" s="449">
        <f t="shared" si="111"/>
        <v>0</v>
      </c>
      <c r="AO139" s="449">
        <v>0</v>
      </c>
      <c r="AP139" s="449">
        <f t="shared" si="112"/>
        <v>0</v>
      </c>
      <c r="AQ139" s="449">
        <v>0</v>
      </c>
      <c r="AR139" s="449">
        <f t="shared" si="113"/>
        <v>0</v>
      </c>
      <c r="AS139" s="450">
        <v>0</v>
      </c>
      <c r="AT139" s="449">
        <f t="shared" si="114"/>
        <v>0</v>
      </c>
      <c r="AU139" s="450">
        <v>0</v>
      </c>
      <c r="AV139" s="449">
        <f t="shared" si="115"/>
        <v>0</v>
      </c>
    </row>
    <row r="140" spans="1:48">
      <c r="A140" s="443" t="s">
        <v>50</v>
      </c>
      <c r="B140" s="449">
        <f>'Monthly D7 Gallon Data'!$E11</f>
        <v>0</v>
      </c>
      <c r="C140" s="449">
        <f>'Monthly D7 Gallon Data'!$E23</f>
        <v>0</v>
      </c>
      <c r="D140" s="449">
        <f>'Monthly D7 Gallon Data'!$E35</f>
        <v>0</v>
      </c>
      <c r="E140" s="449">
        <f>'Monthly D7 Gallon Data'!$E47</f>
        <v>0</v>
      </c>
      <c r="F140" s="449">
        <f>'Monthly D7 Gallon Data'!$E59</f>
        <v>0</v>
      </c>
      <c r="G140" s="449">
        <f>'Monthly D7 Gallon Data'!$E71</f>
        <v>0</v>
      </c>
      <c r="H140" s="449">
        <f>'Monthly D7 Gallon Data'!$E83</f>
        <v>0</v>
      </c>
      <c r="I140" s="449">
        <f>'Monthly D7 Gallon Data'!$E95</f>
        <v>0</v>
      </c>
      <c r="J140" s="449">
        <f>'Monthly D7 Gallon Data'!$E107</f>
        <v>0</v>
      </c>
      <c r="K140" s="449">
        <f>'Monthly D7 Gallon Data'!$E119</f>
        <v>0</v>
      </c>
      <c r="L140" s="449">
        <f>'Monthly D7 Gallon Data'!$E131</f>
        <v>0</v>
      </c>
      <c r="M140" s="449">
        <f>'Monthly D7 Gallon Data'!$E143</f>
        <v>0</v>
      </c>
      <c r="N140" s="449">
        <f>'Monthly D7 Gallon Data'!$E155</f>
        <v>0</v>
      </c>
      <c r="O140" s="449">
        <f>'Monthly D7 Gallon Data'!$E167</f>
        <v>0</v>
      </c>
      <c r="P140" s="449">
        <f>'Monthly D7 Gallon Data'!$E179</f>
        <v>0</v>
      </c>
      <c r="Q140" s="450">
        <v>0</v>
      </c>
      <c r="R140" s="450">
        <v>0</v>
      </c>
      <c r="S140" s="450">
        <v>0</v>
      </c>
      <c r="T140" s="450">
        <v>0</v>
      </c>
      <c r="U140" s="450">
        <v>0</v>
      </c>
      <c r="V140" s="450">
        <v>0</v>
      </c>
      <c r="W140" s="450">
        <v>0</v>
      </c>
      <c r="X140" s="450">
        <v>0</v>
      </c>
      <c r="Y140" s="450">
        <v>0</v>
      </c>
      <c r="Z140" s="450">
        <v>0</v>
      </c>
      <c r="AA140" s="450">
        <v>0</v>
      </c>
      <c r="AB140" s="450">
        <v>0</v>
      </c>
      <c r="AC140" s="450">
        <v>0</v>
      </c>
      <c r="AD140" s="450">
        <v>0</v>
      </c>
      <c r="AE140" s="450">
        <v>0</v>
      </c>
      <c r="AF140" s="450">
        <v>0</v>
      </c>
      <c r="AG140" s="450">
        <v>0</v>
      </c>
      <c r="AK140" s="449">
        <v>0</v>
      </c>
      <c r="AL140" s="449">
        <f t="shared" si="116"/>
        <v>0</v>
      </c>
      <c r="AM140" s="449">
        <v>0</v>
      </c>
      <c r="AN140" s="449">
        <f t="shared" si="111"/>
        <v>0</v>
      </c>
      <c r="AO140" s="449">
        <v>0</v>
      </c>
      <c r="AP140" s="449">
        <f t="shared" si="112"/>
        <v>0</v>
      </c>
      <c r="AQ140" s="449">
        <v>0</v>
      </c>
      <c r="AR140" s="449">
        <f t="shared" si="113"/>
        <v>0</v>
      </c>
      <c r="AS140" s="450">
        <v>0</v>
      </c>
      <c r="AT140" s="449">
        <f t="shared" si="114"/>
        <v>0</v>
      </c>
      <c r="AU140" s="450">
        <v>0</v>
      </c>
      <c r="AV140" s="449">
        <f t="shared" si="115"/>
        <v>0</v>
      </c>
    </row>
    <row r="141" spans="1:48">
      <c r="A141" s="443" t="s">
        <v>51</v>
      </c>
      <c r="B141" s="449">
        <f>'Monthly D7 Gallon Data'!$E12</f>
        <v>0</v>
      </c>
      <c r="C141" s="449">
        <f>'Monthly D7 Gallon Data'!$E24</f>
        <v>0</v>
      </c>
      <c r="D141" s="449">
        <f>'Monthly D7 Gallon Data'!$E36</f>
        <v>0</v>
      </c>
      <c r="E141" s="449">
        <f>'Monthly D7 Gallon Data'!$E48</f>
        <v>0</v>
      </c>
      <c r="F141" s="449">
        <f>'Monthly D7 Gallon Data'!$E60</f>
        <v>0</v>
      </c>
      <c r="G141" s="449">
        <f>'Monthly D7 Gallon Data'!$E72</f>
        <v>0</v>
      </c>
      <c r="H141" s="449">
        <f>'Monthly D7 Gallon Data'!$E84</f>
        <v>0</v>
      </c>
      <c r="I141" s="449">
        <f>'Monthly D7 Gallon Data'!$E96</f>
        <v>0</v>
      </c>
      <c r="J141" s="449">
        <f>'Monthly D7 Gallon Data'!$E108</f>
        <v>0</v>
      </c>
      <c r="K141" s="449">
        <f>'Monthly D7 Gallon Data'!$E120</f>
        <v>0</v>
      </c>
      <c r="L141" s="449">
        <f>'Monthly D7 Gallon Data'!$E132</f>
        <v>0</v>
      </c>
      <c r="M141" s="449">
        <f>'Monthly D7 Gallon Data'!$E144</f>
        <v>0</v>
      </c>
      <c r="N141" s="449">
        <f>'Monthly D7 Gallon Data'!$E156</f>
        <v>0</v>
      </c>
      <c r="O141" s="449">
        <f>'Monthly D7 Gallon Data'!$E168</f>
        <v>0</v>
      </c>
      <c r="P141" s="449">
        <f>'Monthly D7 Gallon Data'!$E180</f>
        <v>0</v>
      </c>
      <c r="Q141" s="450">
        <v>0</v>
      </c>
      <c r="R141" s="450">
        <v>0</v>
      </c>
      <c r="S141" s="450">
        <v>0</v>
      </c>
      <c r="T141" s="450">
        <v>0</v>
      </c>
      <c r="U141" s="450">
        <v>0</v>
      </c>
      <c r="V141" s="450">
        <v>0</v>
      </c>
      <c r="W141" s="450">
        <v>0</v>
      </c>
      <c r="X141" s="450">
        <v>0</v>
      </c>
      <c r="Y141" s="450">
        <v>0</v>
      </c>
      <c r="Z141" s="450">
        <v>0</v>
      </c>
      <c r="AA141" s="450">
        <v>0</v>
      </c>
      <c r="AB141" s="450">
        <v>0</v>
      </c>
      <c r="AC141" s="450">
        <v>0</v>
      </c>
      <c r="AD141" s="450">
        <v>0</v>
      </c>
      <c r="AE141" s="450">
        <v>0</v>
      </c>
      <c r="AF141" s="450">
        <v>0</v>
      </c>
      <c r="AG141" s="450">
        <v>0</v>
      </c>
      <c r="AK141" s="449">
        <v>0</v>
      </c>
      <c r="AL141" s="449">
        <f t="shared" si="116"/>
        <v>0</v>
      </c>
      <c r="AM141" s="449">
        <v>0</v>
      </c>
      <c r="AN141" s="449">
        <f t="shared" si="111"/>
        <v>0</v>
      </c>
      <c r="AO141" s="449">
        <v>0</v>
      </c>
      <c r="AP141" s="449">
        <f t="shared" si="112"/>
        <v>0</v>
      </c>
      <c r="AQ141" s="449">
        <v>0</v>
      </c>
      <c r="AR141" s="449">
        <f t="shared" si="113"/>
        <v>0</v>
      </c>
      <c r="AS141" s="450">
        <v>0</v>
      </c>
      <c r="AT141" s="449">
        <f t="shared" si="114"/>
        <v>0</v>
      </c>
      <c r="AU141" s="450">
        <v>0</v>
      </c>
      <c r="AV141" s="449">
        <f t="shared" si="115"/>
        <v>0</v>
      </c>
    </row>
    <row r="142" spans="1:48">
      <c r="A142" s="443" t="s">
        <v>52</v>
      </c>
      <c r="B142" s="449">
        <f>'Monthly D7 Gallon Data'!$E13</f>
        <v>0</v>
      </c>
      <c r="C142" s="449">
        <f>'Monthly D7 Gallon Data'!$E25</f>
        <v>0</v>
      </c>
      <c r="D142" s="449">
        <f>'Monthly D7 Gallon Data'!$E37</f>
        <v>0</v>
      </c>
      <c r="E142" s="449">
        <f>'Monthly D7 Gallon Data'!$E49</f>
        <v>0</v>
      </c>
      <c r="F142" s="449">
        <f>'Monthly D7 Gallon Data'!$E61</f>
        <v>0</v>
      </c>
      <c r="G142" s="449">
        <f>'Monthly D7 Gallon Data'!$E73</f>
        <v>0</v>
      </c>
      <c r="H142" s="449">
        <f>'Monthly D7 Gallon Data'!$E85</f>
        <v>0</v>
      </c>
      <c r="I142" s="449">
        <f>'Monthly D7 Gallon Data'!$E97</f>
        <v>0</v>
      </c>
      <c r="J142" s="449">
        <f>'Monthly D7 Gallon Data'!$E109</f>
        <v>0</v>
      </c>
      <c r="K142" s="449">
        <f>'Monthly D7 Gallon Data'!$E121</f>
        <v>0</v>
      </c>
      <c r="L142" s="449">
        <f>'Monthly D7 Gallon Data'!$E133</f>
        <v>0</v>
      </c>
      <c r="M142" s="449">
        <f>'Monthly D7 Gallon Data'!$E145</f>
        <v>0</v>
      </c>
      <c r="N142" s="449">
        <f>'Monthly D7 Gallon Data'!$E157</f>
        <v>0</v>
      </c>
      <c r="O142" s="449">
        <f>'Monthly D7 Gallon Data'!$E169</f>
        <v>0</v>
      </c>
      <c r="P142" s="449">
        <f>'Monthly D7 Gallon Data'!$E181</f>
        <v>0</v>
      </c>
      <c r="Q142" s="450">
        <v>0</v>
      </c>
      <c r="R142" s="450">
        <v>0</v>
      </c>
      <c r="S142" s="450">
        <v>0</v>
      </c>
      <c r="T142" s="450">
        <v>0</v>
      </c>
      <c r="U142" s="450">
        <v>0</v>
      </c>
      <c r="V142" s="450">
        <v>0</v>
      </c>
      <c r="W142" s="450">
        <v>0</v>
      </c>
      <c r="X142" s="450">
        <v>0</v>
      </c>
      <c r="Y142" s="450">
        <v>0</v>
      </c>
      <c r="Z142" s="450">
        <v>0</v>
      </c>
      <c r="AA142" s="450">
        <v>0</v>
      </c>
      <c r="AB142" s="450">
        <v>0</v>
      </c>
      <c r="AC142" s="450">
        <v>0</v>
      </c>
      <c r="AD142" s="450">
        <v>0</v>
      </c>
      <c r="AE142" s="450">
        <v>0</v>
      </c>
      <c r="AF142" s="450">
        <v>0</v>
      </c>
      <c r="AG142" s="450">
        <v>0</v>
      </c>
      <c r="AK142" s="449">
        <v>0</v>
      </c>
      <c r="AL142" s="449">
        <f t="shared" si="116"/>
        <v>0</v>
      </c>
      <c r="AM142" s="449">
        <v>0</v>
      </c>
      <c r="AN142" s="449">
        <f t="shared" si="111"/>
        <v>0</v>
      </c>
      <c r="AO142" s="449">
        <v>0</v>
      </c>
      <c r="AP142" s="449">
        <f t="shared" si="112"/>
        <v>0</v>
      </c>
      <c r="AQ142" s="449">
        <v>0</v>
      </c>
      <c r="AR142" s="449">
        <f t="shared" si="113"/>
        <v>0</v>
      </c>
      <c r="AS142" s="450">
        <v>0</v>
      </c>
      <c r="AT142" s="449">
        <f t="shared" si="114"/>
        <v>0</v>
      </c>
      <c r="AU142" s="450">
        <v>0</v>
      </c>
      <c r="AV142" s="449">
        <f t="shared" si="115"/>
        <v>0</v>
      </c>
    </row>
    <row r="143" spans="1:48">
      <c r="A143" s="443" t="s">
        <v>53</v>
      </c>
      <c r="B143" s="449">
        <f>'Monthly D7 Gallon Data'!$E14</f>
        <v>0</v>
      </c>
      <c r="C143" s="449">
        <f>'Monthly D7 Gallon Data'!$E26</f>
        <v>0</v>
      </c>
      <c r="D143" s="449">
        <f>'Monthly D7 Gallon Data'!$E38</f>
        <v>0</v>
      </c>
      <c r="E143" s="449">
        <f>'Monthly D7 Gallon Data'!$E50</f>
        <v>0</v>
      </c>
      <c r="F143" s="449">
        <f>'Monthly D7 Gallon Data'!$E62</f>
        <v>0</v>
      </c>
      <c r="G143" s="449">
        <f>'Monthly D7 Gallon Data'!$E74</f>
        <v>0</v>
      </c>
      <c r="H143" s="449">
        <f>'Monthly D7 Gallon Data'!$E86</f>
        <v>0</v>
      </c>
      <c r="I143" s="449">
        <f>'Monthly D7 Gallon Data'!$E98</f>
        <v>0</v>
      </c>
      <c r="J143" s="449">
        <f>'Monthly D7 Gallon Data'!$E110</f>
        <v>0</v>
      </c>
      <c r="K143" s="449">
        <f>'Monthly D7 Gallon Data'!$E122</f>
        <v>0</v>
      </c>
      <c r="L143" s="449">
        <f>'Monthly D7 Gallon Data'!$E134</f>
        <v>0</v>
      </c>
      <c r="M143" s="449">
        <f>'Monthly D7 Gallon Data'!$E146</f>
        <v>0</v>
      </c>
      <c r="N143" s="449">
        <f>'Monthly D7 Gallon Data'!$E158</f>
        <v>0</v>
      </c>
      <c r="O143" s="449">
        <f>'Monthly D7 Gallon Data'!$E170</f>
        <v>0</v>
      </c>
      <c r="P143" s="449">
        <f>'Monthly D7 Gallon Data'!$E182</f>
        <v>0</v>
      </c>
      <c r="Q143" s="450">
        <v>0</v>
      </c>
      <c r="R143" s="450">
        <v>0</v>
      </c>
      <c r="S143" s="450">
        <v>0</v>
      </c>
      <c r="T143" s="450">
        <v>0</v>
      </c>
      <c r="U143" s="450">
        <v>0</v>
      </c>
      <c r="V143" s="450">
        <v>0</v>
      </c>
      <c r="W143" s="450">
        <v>0</v>
      </c>
      <c r="X143" s="450">
        <v>0</v>
      </c>
      <c r="Y143" s="450">
        <v>0</v>
      </c>
      <c r="Z143" s="450">
        <v>0</v>
      </c>
      <c r="AA143" s="450">
        <v>0</v>
      </c>
      <c r="AB143" s="450">
        <v>0</v>
      </c>
      <c r="AC143" s="450">
        <v>0</v>
      </c>
      <c r="AD143" s="450">
        <v>0</v>
      </c>
      <c r="AE143" s="450">
        <v>0</v>
      </c>
      <c r="AF143" s="450">
        <v>0</v>
      </c>
      <c r="AG143" s="450">
        <v>0</v>
      </c>
      <c r="AK143" s="449">
        <v>0</v>
      </c>
      <c r="AL143" s="449">
        <f t="shared" si="116"/>
        <v>0</v>
      </c>
      <c r="AM143" s="449">
        <v>0</v>
      </c>
      <c r="AN143" s="449">
        <f t="shared" si="111"/>
        <v>0</v>
      </c>
      <c r="AO143" s="450">
        <v>0</v>
      </c>
      <c r="AP143" s="449">
        <f t="shared" si="112"/>
        <v>0</v>
      </c>
      <c r="AQ143" s="450">
        <v>0</v>
      </c>
      <c r="AR143" s="449">
        <f t="shared" si="113"/>
        <v>0</v>
      </c>
      <c r="AS143" s="450">
        <v>0</v>
      </c>
      <c r="AT143" s="449">
        <f t="shared" si="114"/>
        <v>0</v>
      </c>
      <c r="AU143" s="450">
        <v>0</v>
      </c>
      <c r="AV143" s="449">
        <f t="shared" si="115"/>
        <v>0</v>
      </c>
    </row>
    <row r="144" spans="1:48">
      <c r="A144" s="443" t="s">
        <v>54</v>
      </c>
      <c r="B144" s="449">
        <f>'Monthly D7 Gallon Data'!$E15</f>
        <v>0</v>
      </c>
      <c r="C144" s="449">
        <f>'Monthly D7 Gallon Data'!$E27</f>
        <v>0</v>
      </c>
      <c r="D144" s="449">
        <f>'Monthly D7 Gallon Data'!$E39</f>
        <v>0</v>
      </c>
      <c r="E144" s="449">
        <f>'Monthly D7 Gallon Data'!$E51</f>
        <v>0</v>
      </c>
      <c r="F144" s="449">
        <f>'Monthly D7 Gallon Data'!$E63</f>
        <v>0</v>
      </c>
      <c r="G144" s="449">
        <f>'Monthly D7 Gallon Data'!$E75</f>
        <v>0</v>
      </c>
      <c r="H144" s="449">
        <f>'Monthly D7 Gallon Data'!$E87</f>
        <v>0</v>
      </c>
      <c r="I144" s="449">
        <f>'Monthly D7 Gallon Data'!$E99</f>
        <v>0</v>
      </c>
      <c r="J144" s="449">
        <f>'Monthly D7 Gallon Data'!$E111</f>
        <v>0</v>
      </c>
      <c r="K144" s="449">
        <f>'Monthly D7 Gallon Data'!$E123</f>
        <v>0</v>
      </c>
      <c r="L144" s="449">
        <f>'Monthly D7 Gallon Data'!$E135</f>
        <v>0</v>
      </c>
      <c r="M144" s="449">
        <f>'Monthly D7 Gallon Data'!$E147</f>
        <v>0</v>
      </c>
      <c r="N144" s="449">
        <f>'Monthly D7 Gallon Data'!$E159</f>
        <v>0</v>
      </c>
      <c r="O144" s="449">
        <f>'Monthly D7 Gallon Data'!$E171</f>
        <v>0</v>
      </c>
      <c r="P144" s="449">
        <f>'Monthly D7 Gallon Data'!$E183</f>
        <v>0</v>
      </c>
      <c r="Q144" s="450">
        <v>0</v>
      </c>
      <c r="R144" s="450">
        <v>0</v>
      </c>
      <c r="S144" s="450">
        <v>0</v>
      </c>
      <c r="T144" s="450">
        <v>0</v>
      </c>
      <c r="U144" s="450">
        <v>0</v>
      </c>
      <c r="V144" s="450">
        <v>0</v>
      </c>
      <c r="W144" s="450">
        <v>0</v>
      </c>
      <c r="X144" s="450">
        <v>0</v>
      </c>
      <c r="Y144" s="450">
        <v>0</v>
      </c>
      <c r="Z144" s="450">
        <v>0</v>
      </c>
      <c r="AA144" s="450">
        <v>0</v>
      </c>
      <c r="AB144" s="450">
        <v>0</v>
      </c>
      <c r="AC144" s="450">
        <v>0</v>
      </c>
      <c r="AD144" s="450">
        <v>0</v>
      </c>
      <c r="AE144" s="450">
        <v>0</v>
      </c>
      <c r="AF144" s="450">
        <v>0</v>
      </c>
      <c r="AG144" s="450">
        <v>0</v>
      </c>
      <c r="AK144" s="449">
        <v>0</v>
      </c>
      <c r="AL144" s="449">
        <f t="shared" si="116"/>
        <v>0</v>
      </c>
      <c r="AM144" s="449">
        <v>0</v>
      </c>
      <c r="AN144" s="449">
        <f t="shared" si="111"/>
        <v>0</v>
      </c>
      <c r="AO144" s="450">
        <v>0</v>
      </c>
      <c r="AP144" s="449">
        <f t="shared" si="112"/>
        <v>0</v>
      </c>
      <c r="AQ144" s="450">
        <v>0</v>
      </c>
      <c r="AR144" s="449">
        <f t="shared" si="113"/>
        <v>0</v>
      </c>
      <c r="AS144" s="450">
        <v>0</v>
      </c>
      <c r="AT144" s="449">
        <f t="shared" si="114"/>
        <v>0</v>
      </c>
      <c r="AU144" s="450">
        <v>0</v>
      </c>
      <c r="AV144" s="449">
        <f t="shared" si="115"/>
        <v>0</v>
      </c>
    </row>
    <row r="145" spans="1:48" ht="12" thickBot="1">
      <c r="A145" s="443" t="s">
        <v>29</v>
      </c>
      <c r="B145" s="449">
        <f t="shared" ref="B145:AD145" si="117">SUM(B133:B144)</f>
        <v>0</v>
      </c>
      <c r="C145" s="449">
        <f t="shared" si="117"/>
        <v>0</v>
      </c>
      <c r="D145" s="449">
        <f t="shared" si="117"/>
        <v>0</v>
      </c>
      <c r="E145" s="449">
        <f t="shared" si="117"/>
        <v>0</v>
      </c>
      <c r="F145" s="449">
        <f t="shared" si="117"/>
        <v>0</v>
      </c>
      <c r="G145" s="449">
        <f t="shared" si="117"/>
        <v>0</v>
      </c>
      <c r="H145" s="449">
        <f t="shared" si="117"/>
        <v>0</v>
      </c>
      <c r="I145" s="449">
        <f t="shared" si="117"/>
        <v>0</v>
      </c>
      <c r="J145" s="449">
        <f t="shared" si="117"/>
        <v>0</v>
      </c>
      <c r="K145" s="449">
        <f t="shared" si="117"/>
        <v>0</v>
      </c>
      <c r="L145" s="449">
        <f t="shared" si="117"/>
        <v>0</v>
      </c>
      <c r="M145" s="449">
        <f t="shared" si="117"/>
        <v>0</v>
      </c>
      <c r="N145" s="449">
        <f t="shared" si="117"/>
        <v>0</v>
      </c>
      <c r="O145" s="449">
        <f t="shared" si="117"/>
        <v>0</v>
      </c>
      <c r="P145" s="449">
        <f t="shared" si="117"/>
        <v>0</v>
      </c>
      <c r="Q145" s="450">
        <f t="shared" si="117"/>
        <v>0</v>
      </c>
      <c r="R145" s="450">
        <f t="shared" si="117"/>
        <v>0</v>
      </c>
      <c r="S145" s="450">
        <f t="shared" si="117"/>
        <v>0</v>
      </c>
      <c r="T145" s="450">
        <f t="shared" si="117"/>
        <v>0</v>
      </c>
      <c r="U145" s="450">
        <f t="shared" si="117"/>
        <v>0</v>
      </c>
      <c r="V145" s="450">
        <f t="shared" si="117"/>
        <v>0</v>
      </c>
      <c r="W145" s="450">
        <f t="shared" si="117"/>
        <v>0</v>
      </c>
      <c r="X145" s="450">
        <f t="shared" si="117"/>
        <v>0</v>
      </c>
      <c r="Y145" s="450">
        <f t="shared" si="117"/>
        <v>0</v>
      </c>
      <c r="Z145" s="450">
        <f t="shared" si="117"/>
        <v>0</v>
      </c>
      <c r="AA145" s="450">
        <f t="shared" si="117"/>
        <v>0</v>
      </c>
      <c r="AB145" s="450">
        <f t="shared" si="117"/>
        <v>0</v>
      </c>
      <c r="AC145" s="450">
        <f t="shared" si="117"/>
        <v>0</v>
      </c>
      <c r="AD145" s="450">
        <f t="shared" si="117"/>
        <v>0</v>
      </c>
      <c r="AE145" s="450">
        <f>SUM(AE133:AE144)</f>
        <v>0</v>
      </c>
      <c r="AF145" s="450">
        <f>SUM(AF133:AF144)</f>
        <v>0</v>
      </c>
      <c r="AG145" s="450">
        <f>SUM(AG133:AG144)</f>
        <v>0</v>
      </c>
      <c r="AK145" s="449">
        <v>0</v>
      </c>
      <c r="AL145" s="449">
        <f t="shared" si="116"/>
        <v>0</v>
      </c>
      <c r="AM145" s="449">
        <v>0</v>
      </c>
      <c r="AN145" s="449">
        <f t="shared" si="111"/>
        <v>0</v>
      </c>
      <c r="AO145" s="450">
        <v>0</v>
      </c>
      <c r="AP145" s="449">
        <f t="shared" si="112"/>
        <v>0</v>
      </c>
      <c r="AQ145" s="450">
        <v>0</v>
      </c>
      <c r="AR145" s="449">
        <f t="shared" si="113"/>
        <v>0</v>
      </c>
      <c r="AS145" s="450">
        <v>0</v>
      </c>
      <c r="AT145" s="449">
        <f t="shared" si="114"/>
        <v>0</v>
      </c>
      <c r="AU145" s="450">
        <v>0</v>
      </c>
      <c r="AV145" s="449">
        <f t="shared" si="115"/>
        <v>0</v>
      </c>
    </row>
    <row r="146" spans="1:48">
      <c r="A146" s="461"/>
      <c r="B146" s="461"/>
      <c r="C146" s="461"/>
      <c r="D146" s="461"/>
      <c r="E146" s="461"/>
      <c r="F146" s="461"/>
      <c r="G146" s="461"/>
      <c r="H146" s="461"/>
      <c r="I146" s="461"/>
      <c r="J146" s="461"/>
      <c r="K146" s="461"/>
      <c r="L146" s="461"/>
      <c r="M146" s="461"/>
      <c r="N146" s="461"/>
      <c r="O146" s="461"/>
      <c r="P146" s="461"/>
      <c r="Q146" s="461"/>
      <c r="R146" s="461"/>
      <c r="S146" s="461"/>
      <c r="T146" s="461"/>
      <c r="U146" s="461"/>
      <c r="V146" s="461"/>
      <c r="W146" s="461"/>
      <c r="X146" s="461"/>
      <c r="Y146" s="461"/>
      <c r="Z146" s="461"/>
      <c r="AA146" s="461"/>
      <c r="AB146" s="461"/>
      <c r="AC146" s="461"/>
      <c r="AD146" s="461"/>
      <c r="AE146" s="461"/>
      <c r="AF146" s="461"/>
      <c r="AG146" s="461"/>
      <c r="AO146" s="450"/>
    </row>
    <row r="147" spans="1:48" ht="12" thickBot="1">
      <c r="A147" s="442" t="s">
        <v>550</v>
      </c>
      <c r="AO147" s="450"/>
    </row>
    <row r="148" spans="1:48" ht="12" thickBot="1">
      <c r="A148" s="459"/>
      <c r="B148" s="460">
        <f t="shared" ref="B148:K148" si="118">B2</f>
        <v>2010</v>
      </c>
      <c r="C148" s="460">
        <f t="shared" si="118"/>
        <v>2011</v>
      </c>
      <c r="D148" s="460">
        <f t="shared" si="118"/>
        <v>2012</v>
      </c>
      <c r="E148" s="460">
        <f t="shared" si="118"/>
        <v>2013</v>
      </c>
      <c r="F148" s="460">
        <f t="shared" si="118"/>
        <v>2014</v>
      </c>
      <c r="G148" s="460">
        <f t="shared" si="118"/>
        <v>2015</v>
      </c>
      <c r="H148" s="460">
        <f t="shared" si="118"/>
        <v>2016</v>
      </c>
      <c r="I148" s="460">
        <f t="shared" si="118"/>
        <v>2017</v>
      </c>
      <c r="J148" s="460">
        <f t="shared" si="118"/>
        <v>2018</v>
      </c>
      <c r="K148" s="460">
        <f t="shared" si="118"/>
        <v>2019</v>
      </c>
      <c r="L148" s="460">
        <f>L2</f>
        <v>2020</v>
      </c>
      <c r="M148" s="460">
        <f>M2</f>
        <v>2021</v>
      </c>
      <c r="N148" s="460">
        <f t="shared" ref="N148:AD148" si="119">N2</f>
        <v>2022</v>
      </c>
      <c r="O148" s="460">
        <f t="shared" si="119"/>
        <v>2023</v>
      </c>
      <c r="P148" s="460">
        <f t="shared" si="119"/>
        <v>2024</v>
      </c>
      <c r="Q148" s="460">
        <f t="shared" si="119"/>
        <v>2025</v>
      </c>
      <c r="R148" s="460">
        <f t="shared" si="119"/>
        <v>2026</v>
      </c>
      <c r="S148" s="460">
        <f t="shared" si="119"/>
        <v>2027</v>
      </c>
      <c r="T148" s="460">
        <f t="shared" si="119"/>
        <v>2028</v>
      </c>
      <c r="U148" s="460">
        <f t="shared" si="119"/>
        <v>2029</v>
      </c>
      <c r="V148" s="460">
        <f t="shared" si="119"/>
        <v>2030</v>
      </c>
      <c r="W148" s="460">
        <f t="shared" si="119"/>
        <v>2031</v>
      </c>
      <c r="X148" s="460">
        <f t="shared" si="119"/>
        <v>2032</v>
      </c>
      <c r="Y148" s="460">
        <f t="shared" si="119"/>
        <v>2033</v>
      </c>
      <c r="Z148" s="460">
        <f t="shared" si="119"/>
        <v>2034</v>
      </c>
      <c r="AA148" s="460">
        <f t="shared" si="119"/>
        <v>2035</v>
      </c>
      <c r="AB148" s="460">
        <f t="shared" si="119"/>
        <v>2036</v>
      </c>
      <c r="AC148" s="460">
        <f t="shared" si="119"/>
        <v>2037</v>
      </c>
      <c r="AD148" s="460">
        <f t="shared" si="119"/>
        <v>2038</v>
      </c>
      <c r="AE148" s="460">
        <f>AE2</f>
        <v>2039</v>
      </c>
      <c r="AF148" s="460">
        <f>AF2</f>
        <v>2040</v>
      </c>
      <c r="AG148" s="460">
        <f>AG2</f>
        <v>2041</v>
      </c>
      <c r="AO148" s="450"/>
    </row>
    <row r="149" spans="1:48">
      <c r="A149" s="443" t="s">
        <v>43</v>
      </c>
      <c r="B149" s="449">
        <f t="shared" ref="B149:AG157" si="120">B165+B181</f>
        <v>0</v>
      </c>
      <c r="C149" s="449">
        <f t="shared" si="120"/>
        <v>0</v>
      </c>
      <c r="D149" s="449">
        <f t="shared" si="120"/>
        <v>0</v>
      </c>
      <c r="E149" s="449">
        <f t="shared" si="120"/>
        <v>0</v>
      </c>
      <c r="F149" s="449">
        <f t="shared" si="120"/>
        <v>0</v>
      </c>
      <c r="G149" s="449">
        <f t="shared" si="120"/>
        <v>0</v>
      </c>
      <c r="H149" s="449">
        <f t="shared" si="120"/>
        <v>0</v>
      </c>
      <c r="I149" s="449">
        <f t="shared" si="120"/>
        <v>0</v>
      </c>
      <c r="J149" s="449">
        <f t="shared" si="120"/>
        <v>49276</v>
      </c>
      <c r="K149" s="449">
        <f t="shared" si="120"/>
        <v>148993</v>
      </c>
      <c r="L149" s="449">
        <f t="shared" si="120"/>
        <v>0</v>
      </c>
      <c r="M149" s="449">
        <f t="shared" si="120"/>
        <v>0</v>
      </c>
      <c r="N149" s="449">
        <f t="shared" si="120"/>
        <v>0</v>
      </c>
      <c r="O149" s="449">
        <f t="shared" si="120"/>
        <v>0</v>
      </c>
      <c r="P149" s="449">
        <f t="shared" si="120"/>
        <v>60218</v>
      </c>
      <c r="Q149" s="449">
        <f t="shared" si="120"/>
        <v>28782</v>
      </c>
      <c r="R149" s="450">
        <f t="shared" si="120"/>
        <v>0</v>
      </c>
      <c r="S149" s="450">
        <f t="shared" si="120"/>
        <v>0</v>
      </c>
      <c r="T149" s="450">
        <f t="shared" si="120"/>
        <v>0</v>
      </c>
      <c r="U149" s="450">
        <f t="shared" si="120"/>
        <v>0</v>
      </c>
      <c r="V149" s="450">
        <f t="shared" si="120"/>
        <v>0</v>
      </c>
      <c r="W149" s="450">
        <f t="shared" si="120"/>
        <v>0</v>
      </c>
      <c r="X149" s="450">
        <f t="shared" si="120"/>
        <v>0</v>
      </c>
      <c r="Y149" s="450">
        <f t="shared" si="120"/>
        <v>0</v>
      </c>
      <c r="Z149" s="450">
        <f t="shared" si="120"/>
        <v>0</v>
      </c>
      <c r="AA149" s="450">
        <f t="shared" si="120"/>
        <v>0</v>
      </c>
      <c r="AB149" s="450">
        <f t="shared" si="120"/>
        <v>0</v>
      </c>
      <c r="AC149" s="450">
        <f t="shared" si="120"/>
        <v>0</v>
      </c>
      <c r="AD149" s="450">
        <f t="shared" si="120"/>
        <v>0</v>
      </c>
      <c r="AE149" s="450">
        <f t="shared" si="120"/>
        <v>0</v>
      </c>
      <c r="AF149" s="450">
        <f t="shared" si="120"/>
        <v>0</v>
      </c>
      <c r="AG149" s="450">
        <f t="shared" si="120"/>
        <v>0</v>
      </c>
      <c r="AM149" s="449">
        <v>92971.812953337707</v>
      </c>
      <c r="AN149" s="449">
        <f t="shared" ref="AN149:AN161" si="121">L149-AM149</f>
        <v>-92971.812953337707</v>
      </c>
      <c r="AO149" s="449">
        <v>0</v>
      </c>
      <c r="AP149" s="449">
        <f t="shared" ref="AP149:AP161" si="122">N149-AO149</f>
        <v>0</v>
      </c>
      <c r="AQ149" s="449">
        <v>7594.4690294025413</v>
      </c>
      <c r="AR149" s="449">
        <f t="shared" ref="AR149:AR161" si="123">O149-AQ149</f>
        <v>-7594.4690294025413</v>
      </c>
      <c r="AS149" s="449">
        <v>60218</v>
      </c>
      <c r="AT149" s="449">
        <f t="shared" ref="AT149:AT161" si="124">P149-AS149</f>
        <v>0</v>
      </c>
      <c r="AU149" s="449">
        <v>7089.9204322872374</v>
      </c>
      <c r="AV149" s="449">
        <f>Q149-AU149</f>
        <v>21692.079567712761</v>
      </c>
    </row>
    <row r="150" spans="1:48">
      <c r="A150" s="443" t="s">
        <v>44</v>
      </c>
      <c r="B150" s="449">
        <f t="shared" si="120"/>
        <v>0</v>
      </c>
      <c r="C150" s="449">
        <f t="shared" si="120"/>
        <v>0</v>
      </c>
      <c r="D150" s="449">
        <f t="shared" si="120"/>
        <v>0</v>
      </c>
      <c r="E150" s="449">
        <f t="shared" si="120"/>
        <v>0</v>
      </c>
      <c r="F150" s="449">
        <f t="shared" si="120"/>
        <v>0</v>
      </c>
      <c r="G150" s="449">
        <f t="shared" si="120"/>
        <v>0</v>
      </c>
      <c r="H150" s="449">
        <f t="shared" si="120"/>
        <v>0</v>
      </c>
      <c r="I150" s="449">
        <f t="shared" si="120"/>
        <v>0</v>
      </c>
      <c r="J150" s="449">
        <f t="shared" si="120"/>
        <v>0</v>
      </c>
      <c r="K150" s="449">
        <f t="shared" si="120"/>
        <v>225497</v>
      </c>
      <c r="L150" s="449">
        <f t="shared" si="120"/>
        <v>0</v>
      </c>
      <c r="M150" s="449">
        <f t="shared" si="120"/>
        <v>0</v>
      </c>
      <c r="N150" s="449">
        <f t="shared" si="120"/>
        <v>58930</v>
      </c>
      <c r="O150" s="449">
        <f t="shared" si="120"/>
        <v>0</v>
      </c>
      <c r="P150" s="449">
        <f t="shared" si="120"/>
        <v>0</v>
      </c>
      <c r="Q150" s="449">
        <f t="shared" si="120"/>
        <v>0</v>
      </c>
      <c r="R150" s="450">
        <f t="shared" si="120"/>
        <v>10045.402294857344</v>
      </c>
      <c r="S150" s="450">
        <f t="shared" si="120"/>
        <v>9004.7184796997826</v>
      </c>
      <c r="T150" s="450">
        <f t="shared" si="120"/>
        <v>9456.7959158934718</v>
      </c>
      <c r="U150" s="450">
        <f t="shared" si="120"/>
        <v>10021.993867898625</v>
      </c>
      <c r="V150" s="450">
        <f t="shared" si="120"/>
        <v>10276.356782225263</v>
      </c>
      <c r="W150" s="450">
        <f t="shared" si="120"/>
        <v>10622.416048043095</v>
      </c>
      <c r="X150" s="450">
        <f t="shared" si="120"/>
        <v>10631.132060653968</v>
      </c>
      <c r="Y150" s="450">
        <f t="shared" si="120"/>
        <v>11190.564647290204</v>
      </c>
      <c r="Z150" s="450">
        <f t="shared" si="120"/>
        <v>11450.774970440867</v>
      </c>
      <c r="AA150" s="450">
        <f t="shared" si="120"/>
        <v>11688.397574810338</v>
      </c>
      <c r="AB150" s="450">
        <f t="shared" si="120"/>
        <v>11987.078345586069</v>
      </c>
      <c r="AC150" s="450">
        <f t="shared" si="120"/>
        <v>12287.259109804216</v>
      </c>
      <c r="AD150" s="450">
        <f t="shared" si="120"/>
        <v>12629.981012598468</v>
      </c>
      <c r="AE150" s="450">
        <f t="shared" si="120"/>
        <v>12872.864111629078</v>
      </c>
      <c r="AF150" s="450">
        <f t="shared" si="120"/>
        <v>13176.263532497158</v>
      </c>
      <c r="AG150" s="450">
        <f t="shared" si="120"/>
        <v>13484.24818008993</v>
      </c>
      <c r="AM150" s="449">
        <v>105739.49989932262</v>
      </c>
      <c r="AN150" s="449">
        <f t="shared" si="121"/>
        <v>-105739.49989932262</v>
      </c>
      <c r="AO150" s="449">
        <v>0</v>
      </c>
      <c r="AP150" s="449">
        <f t="shared" si="122"/>
        <v>58930</v>
      </c>
      <c r="AQ150" s="449">
        <v>8637.4066683303226</v>
      </c>
      <c r="AR150" s="449">
        <f t="shared" si="123"/>
        <v>-8637.4066683303226</v>
      </c>
      <c r="AS150" s="449">
        <v>0</v>
      </c>
      <c r="AT150" s="449">
        <f t="shared" si="124"/>
        <v>0</v>
      </c>
      <c r="AU150" s="449">
        <v>8063.569129412439</v>
      </c>
      <c r="AV150" s="449">
        <f t="shared" ref="AV150:AV161" si="125">Q150-AU150</f>
        <v>-8063.569129412439</v>
      </c>
    </row>
    <row r="151" spans="1:48">
      <c r="A151" s="443" t="s">
        <v>45</v>
      </c>
      <c r="B151" s="449">
        <f t="shared" si="120"/>
        <v>0</v>
      </c>
      <c r="C151" s="449">
        <f t="shared" si="120"/>
        <v>0</v>
      </c>
      <c r="D151" s="449">
        <f t="shared" si="120"/>
        <v>0</v>
      </c>
      <c r="E151" s="449">
        <f t="shared" si="120"/>
        <v>0</v>
      </c>
      <c r="F151" s="449">
        <f t="shared" si="120"/>
        <v>472</v>
      </c>
      <c r="G151" s="449">
        <f t="shared" si="120"/>
        <v>0</v>
      </c>
      <c r="H151" s="449">
        <f t="shared" si="120"/>
        <v>127593</v>
      </c>
      <c r="I151" s="449">
        <f t="shared" si="120"/>
        <v>0</v>
      </c>
      <c r="J151" s="449">
        <f t="shared" si="120"/>
        <v>592070</v>
      </c>
      <c r="K151" s="449">
        <f>K167+K183</f>
        <v>423217</v>
      </c>
      <c r="L151" s="449">
        <f t="shared" si="120"/>
        <v>0</v>
      </c>
      <c r="M151" s="449">
        <f t="shared" si="120"/>
        <v>0</v>
      </c>
      <c r="N151" s="449">
        <f t="shared" si="120"/>
        <v>0</v>
      </c>
      <c r="O151" s="449">
        <f t="shared" si="120"/>
        <v>0</v>
      </c>
      <c r="P151" s="449">
        <f t="shared" si="120"/>
        <v>60193</v>
      </c>
      <c r="Q151" s="449">
        <f t="shared" si="120"/>
        <v>54155</v>
      </c>
      <c r="R151" s="450">
        <f t="shared" si="120"/>
        <v>50912.825335798538</v>
      </c>
      <c r="S151" s="450">
        <f t="shared" si="120"/>
        <v>45638.357300005271</v>
      </c>
      <c r="T151" s="450">
        <f t="shared" si="120"/>
        <v>47929.60844869924</v>
      </c>
      <c r="U151" s="450">
        <f t="shared" si="120"/>
        <v>50794.185074497589</v>
      </c>
      <c r="V151" s="450">
        <f t="shared" si="120"/>
        <v>52083.365363040793</v>
      </c>
      <c r="W151" s="450">
        <f t="shared" si="120"/>
        <v>53837.287649004167</v>
      </c>
      <c r="X151" s="450">
        <f t="shared" si="120"/>
        <v>53881.462766600926</v>
      </c>
      <c r="Y151" s="450">
        <f t="shared" si="120"/>
        <v>56716.818955884242</v>
      </c>
      <c r="Z151" s="450">
        <f t="shared" si="120"/>
        <v>58035.63549944105</v>
      </c>
      <c r="AA151" s="450">
        <f t="shared" si="120"/>
        <v>59239.971353495792</v>
      </c>
      <c r="AB151" s="450">
        <f t="shared" si="120"/>
        <v>60753.766567197825</v>
      </c>
      <c r="AC151" s="450">
        <f t="shared" si="120"/>
        <v>62275.164154791608</v>
      </c>
      <c r="AD151" s="450">
        <f t="shared" si="120"/>
        <v>64012.171779130265</v>
      </c>
      <c r="AE151" s="450">
        <f t="shared" si="120"/>
        <v>65243.169247921891</v>
      </c>
      <c r="AF151" s="450">
        <f t="shared" si="120"/>
        <v>66780.879861019668</v>
      </c>
      <c r="AG151" s="450">
        <f t="shared" si="120"/>
        <v>68341.829647672392</v>
      </c>
      <c r="AM151" s="449">
        <v>219986.40813893444</v>
      </c>
      <c r="AN151" s="449">
        <f t="shared" si="121"/>
        <v>-219986.40813893444</v>
      </c>
      <c r="AO151" s="449">
        <v>0</v>
      </c>
      <c r="AP151" s="449">
        <f t="shared" si="122"/>
        <v>0</v>
      </c>
      <c r="AQ151" s="449">
        <v>43776.721344857629</v>
      </c>
      <c r="AR151" s="449">
        <f t="shared" si="123"/>
        <v>-43776.721344857629</v>
      </c>
      <c r="AS151" s="449">
        <v>60193</v>
      </c>
      <c r="AT151" s="449">
        <f t="shared" si="124"/>
        <v>0</v>
      </c>
      <c r="AU151" s="449">
        <v>40868.356947644046</v>
      </c>
      <c r="AV151" s="449">
        <f t="shared" si="125"/>
        <v>13286.643052355954</v>
      </c>
    </row>
    <row r="152" spans="1:48">
      <c r="A152" s="443" t="s">
        <v>46</v>
      </c>
      <c r="B152" s="449">
        <f t="shared" si="120"/>
        <v>0</v>
      </c>
      <c r="C152" s="449">
        <f t="shared" si="120"/>
        <v>0</v>
      </c>
      <c r="D152" s="449">
        <f t="shared" si="120"/>
        <v>0</v>
      </c>
      <c r="E152" s="449">
        <f t="shared" si="120"/>
        <v>0</v>
      </c>
      <c r="F152" s="449">
        <f t="shared" si="120"/>
        <v>2091</v>
      </c>
      <c r="G152" s="449">
        <f t="shared" si="120"/>
        <v>0</v>
      </c>
      <c r="H152" s="449">
        <f t="shared" si="120"/>
        <v>0</v>
      </c>
      <c r="I152" s="449">
        <f t="shared" si="120"/>
        <v>0</v>
      </c>
      <c r="J152" s="449">
        <f t="shared" si="120"/>
        <v>106260</v>
      </c>
      <c r="K152" s="449">
        <f t="shared" si="120"/>
        <v>239288</v>
      </c>
      <c r="L152" s="449">
        <f t="shared" si="120"/>
        <v>0</v>
      </c>
      <c r="M152" s="449">
        <f t="shared" si="120"/>
        <v>0</v>
      </c>
      <c r="N152" s="449">
        <f t="shared" si="120"/>
        <v>0</v>
      </c>
      <c r="O152" s="449">
        <f t="shared" si="120"/>
        <v>69961</v>
      </c>
      <c r="P152" s="449">
        <f t="shared" si="120"/>
        <v>47750</v>
      </c>
      <c r="Q152" s="450">
        <f t="shared" si="120"/>
        <v>12356.484501036421</v>
      </c>
      <c r="R152" s="450">
        <f t="shared" si="120"/>
        <v>15393.413979713105</v>
      </c>
      <c r="S152" s="450">
        <f t="shared" si="120"/>
        <v>13798.686728529872</v>
      </c>
      <c r="T152" s="450">
        <f t="shared" si="120"/>
        <v>14491.442968842857</v>
      </c>
      <c r="U152" s="450">
        <f t="shared" si="120"/>
        <v>15357.543280241576</v>
      </c>
      <c r="V152" s="450">
        <f t="shared" si="120"/>
        <v>15747.324946160594</v>
      </c>
      <c r="W152" s="450">
        <f t="shared" si="120"/>
        <v>16277.620636058109</v>
      </c>
      <c r="X152" s="450">
        <f t="shared" si="120"/>
        <v>16290.976914525949</v>
      </c>
      <c r="Y152" s="450">
        <f t="shared" si="120"/>
        <v>17148.24247214746</v>
      </c>
      <c r="Z152" s="450">
        <f t="shared" si="120"/>
        <v>17546.984613923472</v>
      </c>
      <c r="AA152" s="450">
        <f t="shared" si="120"/>
        <v>17911.113696326618</v>
      </c>
      <c r="AB152" s="450">
        <f t="shared" si="120"/>
        <v>18368.807337395065</v>
      </c>
      <c r="AC152" s="450">
        <f t="shared" si="120"/>
        <v>18828.799544449052</v>
      </c>
      <c r="AD152" s="450">
        <f t="shared" si="120"/>
        <v>19353.981112570789</v>
      </c>
      <c r="AE152" s="450">
        <f t="shared" si="120"/>
        <v>19726.171292944939</v>
      </c>
      <c r="AF152" s="450">
        <f t="shared" si="120"/>
        <v>20191.095718024309</v>
      </c>
      <c r="AG152" s="450">
        <f t="shared" si="120"/>
        <v>20663.046471277736</v>
      </c>
      <c r="AM152" s="449">
        <v>63187.43970613429</v>
      </c>
      <c r="AN152" s="449">
        <f t="shared" si="121"/>
        <v>-63187.43970613429</v>
      </c>
      <c r="AO152" s="449">
        <v>0</v>
      </c>
      <c r="AP152" s="449">
        <f t="shared" si="122"/>
        <v>0</v>
      </c>
      <c r="AQ152" s="449">
        <v>0</v>
      </c>
      <c r="AR152" s="449">
        <f t="shared" si="123"/>
        <v>69961</v>
      </c>
      <c r="AS152" s="449">
        <v>47750</v>
      </c>
      <c r="AT152" s="449">
        <f t="shared" si="124"/>
        <v>0</v>
      </c>
      <c r="AU152" s="449">
        <v>12356.484501036421</v>
      </c>
      <c r="AV152" s="449">
        <f t="shared" si="125"/>
        <v>0</v>
      </c>
    </row>
    <row r="153" spans="1:48">
      <c r="A153" s="443" t="s">
        <v>47</v>
      </c>
      <c r="B153" s="449">
        <f t="shared" si="120"/>
        <v>0</v>
      </c>
      <c r="C153" s="449">
        <f t="shared" si="120"/>
        <v>0</v>
      </c>
      <c r="D153" s="449">
        <f t="shared" si="120"/>
        <v>0</v>
      </c>
      <c r="E153" s="449">
        <f t="shared" si="120"/>
        <v>0</v>
      </c>
      <c r="F153" s="449">
        <f t="shared" si="120"/>
        <v>0</v>
      </c>
      <c r="G153" s="449">
        <f t="shared" si="120"/>
        <v>173731</v>
      </c>
      <c r="H153" s="449">
        <f t="shared" si="120"/>
        <v>0</v>
      </c>
      <c r="I153" s="449">
        <f t="shared" si="120"/>
        <v>0</v>
      </c>
      <c r="J153" s="449">
        <f t="shared" si="120"/>
        <v>457786</v>
      </c>
      <c r="K153" s="449">
        <f t="shared" si="120"/>
        <v>132150</v>
      </c>
      <c r="L153" s="449">
        <f t="shared" si="120"/>
        <v>0</v>
      </c>
      <c r="M153" s="449">
        <f t="shared" si="120"/>
        <v>0</v>
      </c>
      <c r="N153" s="449">
        <f t="shared" si="120"/>
        <v>0</v>
      </c>
      <c r="O153" s="449">
        <f t="shared" si="120"/>
        <v>43465</v>
      </c>
      <c r="P153" s="449">
        <f t="shared" si="120"/>
        <v>0</v>
      </c>
      <c r="Q153" s="450">
        <f t="shared" si="120"/>
        <v>21095.57873465748</v>
      </c>
      <c r="R153" s="450">
        <f t="shared" si="120"/>
        <v>26280.369354000111</v>
      </c>
      <c r="S153" s="450">
        <f t="shared" si="120"/>
        <v>23557.775052617868</v>
      </c>
      <c r="T153" s="450">
        <f t="shared" si="120"/>
        <v>24740.481493937979</v>
      </c>
      <c r="U153" s="450">
        <f t="shared" si="120"/>
        <v>26219.129187761453</v>
      </c>
      <c r="V153" s="450">
        <f t="shared" si="120"/>
        <v>26884.583008549311</v>
      </c>
      <c r="W153" s="450">
        <f t="shared" si="120"/>
        <v>27789.929062108815</v>
      </c>
      <c r="X153" s="450">
        <f t="shared" si="120"/>
        <v>27812.731536712065</v>
      </c>
      <c r="Y153" s="450">
        <f t="shared" si="120"/>
        <v>29276.296118191349</v>
      </c>
      <c r="Z153" s="450">
        <f t="shared" si="120"/>
        <v>29957.047690044674</v>
      </c>
      <c r="AA153" s="450">
        <f t="shared" si="120"/>
        <v>30578.706198722433</v>
      </c>
      <c r="AB153" s="450">
        <f t="shared" si="120"/>
        <v>31360.102577336565</v>
      </c>
      <c r="AC153" s="450">
        <f t="shared" si="120"/>
        <v>32145.423177254957</v>
      </c>
      <c r="AD153" s="450">
        <f t="shared" si="120"/>
        <v>33042.038158593197</v>
      </c>
      <c r="AE153" s="450">
        <f t="shared" si="120"/>
        <v>33677.458957582639</v>
      </c>
      <c r="AF153" s="450">
        <f t="shared" si="120"/>
        <v>34471.200074977693</v>
      </c>
      <c r="AG153" s="450">
        <f t="shared" si="120"/>
        <v>35276.936874413113</v>
      </c>
      <c r="AM153" s="449">
        <v>139644.57653369274</v>
      </c>
      <c r="AN153" s="449">
        <f t="shared" si="121"/>
        <v>-139644.57653369274</v>
      </c>
      <c r="AO153" s="449">
        <v>0</v>
      </c>
      <c r="AP153" s="449">
        <f t="shared" si="122"/>
        <v>0</v>
      </c>
      <c r="AQ153" s="449">
        <v>0</v>
      </c>
      <c r="AR153" s="449">
        <f t="shared" si="123"/>
        <v>43465</v>
      </c>
      <c r="AS153" s="450">
        <v>0</v>
      </c>
      <c r="AT153" s="449">
        <f t="shared" si="124"/>
        <v>0</v>
      </c>
      <c r="AU153" s="450">
        <v>21095.57873465748</v>
      </c>
      <c r="AV153" s="449">
        <f t="shared" si="125"/>
        <v>0</v>
      </c>
    </row>
    <row r="154" spans="1:48">
      <c r="A154" s="443" t="s">
        <v>48</v>
      </c>
      <c r="B154" s="449">
        <f t="shared" si="120"/>
        <v>0</v>
      </c>
      <c r="C154" s="449">
        <f t="shared" si="120"/>
        <v>0</v>
      </c>
      <c r="D154" s="449">
        <f t="shared" si="120"/>
        <v>0</v>
      </c>
      <c r="E154" s="449">
        <f t="shared" si="120"/>
        <v>0</v>
      </c>
      <c r="F154" s="449">
        <f t="shared" si="120"/>
        <v>0</v>
      </c>
      <c r="G154" s="449">
        <f t="shared" si="120"/>
        <v>0</v>
      </c>
      <c r="H154" s="449">
        <f t="shared" si="120"/>
        <v>0</v>
      </c>
      <c r="I154" s="449">
        <f t="shared" si="120"/>
        <v>756020</v>
      </c>
      <c r="J154" s="449">
        <f t="shared" si="120"/>
        <v>297480</v>
      </c>
      <c r="K154" s="449">
        <f t="shared" si="120"/>
        <v>107473</v>
      </c>
      <c r="L154" s="449">
        <f t="shared" si="120"/>
        <v>0</v>
      </c>
      <c r="M154" s="449">
        <f t="shared" si="120"/>
        <v>0</v>
      </c>
      <c r="N154" s="449">
        <f t="shared" si="120"/>
        <v>102065</v>
      </c>
      <c r="O154" s="449">
        <f t="shared" si="120"/>
        <v>23954</v>
      </c>
      <c r="P154" s="449">
        <f t="shared" si="120"/>
        <v>24011</v>
      </c>
      <c r="Q154" s="450">
        <f t="shared" si="120"/>
        <v>41515.346292329166</v>
      </c>
      <c r="R154" s="450">
        <f t="shared" si="120"/>
        <v>51718.829245920861</v>
      </c>
      <c r="S154" s="450">
        <f t="shared" si="120"/>
        <v>46360.860798735666</v>
      </c>
      <c r="T154" s="450">
        <f t="shared" si="120"/>
        <v>48688.38487812518</v>
      </c>
      <c r="U154" s="450">
        <f t="shared" si="120"/>
        <v>51598.310783717177</v>
      </c>
      <c r="V154" s="450">
        <f t="shared" si="120"/>
        <v>52907.900160669153</v>
      </c>
      <c r="W154" s="450">
        <f t="shared" si="120"/>
        <v>54689.588892733547</v>
      </c>
      <c r="X154" s="450">
        <f t="shared" si="120"/>
        <v>54734.463349195874</v>
      </c>
      <c r="Y154" s="450">
        <f t="shared" si="120"/>
        <v>57614.706227836519</v>
      </c>
      <c r="Z154" s="450">
        <f t="shared" si="120"/>
        <v>58954.401033085342</v>
      </c>
      <c r="AA154" s="450">
        <f t="shared" si="120"/>
        <v>60177.802798353347</v>
      </c>
      <c r="AB154" s="450">
        <f t="shared" si="120"/>
        <v>61715.562992457089</v>
      </c>
      <c r="AC154" s="450">
        <f t="shared" si="120"/>
        <v>63261.045914077491</v>
      </c>
      <c r="AD154" s="450">
        <f t="shared" si="120"/>
        <v>65025.552207521534</v>
      </c>
      <c r="AE154" s="450">
        <f t="shared" si="120"/>
        <v>66276.03766910579</v>
      </c>
      <c r="AF154" s="450">
        <f t="shared" si="120"/>
        <v>67838.091868689269</v>
      </c>
      <c r="AG154" s="450">
        <f t="shared" si="120"/>
        <v>69423.753142540911</v>
      </c>
      <c r="AM154" s="449">
        <v>217882.45974495541</v>
      </c>
      <c r="AN154" s="449">
        <f t="shared" si="121"/>
        <v>-217882.45974495541</v>
      </c>
      <c r="AO154" s="449">
        <v>0</v>
      </c>
      <c r="AP154" s="449">
        <f t="shared" si="122"/>
        <v>102065</v>
      </c>
      <c r="AQ154" s="449">
        <v>35783.094288426451</v>
      </c>
      <c r="AR154" s="449">
        <f t="shared" si="123"/>
        <v>-11829.094288426451</v>
      </c>
      <c r="AS154" s="450">
        <v>24011</v>
      </c>
      <c r="AT154" s="449">
        <f t="shared" si="124"/>
        <v>0</v>
      </c>
      <c r="AU154" s="450">
        <v>41515.346292329166</v>
      </c>
      <c r="AV154" s="449">
        <f t="shared" si="125"/>
        <v>0</v>
      </c>
    </row>
    <row r="155" spans="1:48">
      <c r="A155" s="443" t="s">
        <v>49</v>
      </c>
      <c r="B155" s="449">
        <f t="shared" si="120"/>
        <v>0</v>
      </c>
      <c r="C155" s="449">
        <f t="shared" si="120"/>
        <v>0</v>
      </c>
      <c r="D155" s="449">
        <f t="shared" si="120"/>
        <v>0</v>
      </c>
      <c r="E155" s="449">
        <f t="shared" si="120"/>
        <v>0</v>
      </c>
      <c r="F155" s="449">
        <f t="shared" si="120"/>
        <v>1248</v>
      </c>
      <c r="G155" s="449">
        <f t="shared" si="120"/>
        <v>0</v>
      </c>
      <c r="H155" s="449">
        <f t="shared" si="120"/>
        <v>0</v>
      </c>
      <c r="I155" s="449">
        <f t="shared" si="120"/>
        <v>0</v>
      </c>
      <c r="J155" s="449">
        <f t="shared" si="120"/>
        <v>0</v>
      </c>
      <c r="K155" s="449">
        <f t="shared" si="120"/>
        <v>0</v>
      </c>
      <c r="L155" s="449">
        <f t="shared" si="120"/>
        <v>0</v>
      </c>
      <c r="M155" s="449">
        <f t="shared" si="120"/>
        <v>0</v>
      </c>
      <c r="N155" s="449">
        <f t="shared" si="120"/>
        <v>0</v>
      </c>
      <c r="O155" s="449">
        <f t="shared" si="120"/>
        <v>0</v>
      </c>
      <c r="P155" s="449">
        <f t="shared" si="120"/>
        <v>12018</v>
      </c>
      <c r="Q155" s="450">
        <f t="shared" si="120"/>
        <v>0</v>
      </c>
      <c r="R155" s="450">
        <f t="shared" si="120"/>
        <v>0</v>
      </c>
      <c r="S155" s="450">
        <f t="shared" si="120"/>
        <v>0</v>
      </c>
      <c r="T155" s="450">
        <f t="shared" si="120"/>
        <v>0</v>
      </c>
      <c r="U155" s="450">
        <f t="shared" si="120"/>
        <v>0</v>
      </c>
      <c r="V155" s="450">
        <f t="shared" si="120"/>
        <v>0</v>
      </c>
      <c r="W155" s="450">
        <f t="shared" si="120"/>
        <v>0</v>
      </c>
      <c r="X155" s="450">
        <f t="shared" si="120"/>
        <v>0</v>
      </c>
      <c r="Y155" s="450">
        <f t="shared" si="120"/>
        <v>0</v>
      </c>
      <c r="Z155" s="450">
        <f t="shared" si="120"/>
        <v>0</v>
      </c>
      <c r="AA155" s="450">
        <f t="shared" si="120"/>
        <v>0</v>
      </c>
      <c r="AB155" s="450">
        <f t="shared" si="120"/>
        <v>0</v>
      </c>
      <c r="AC155" s="450">
        <f t="shared" si="120"/>
        <v>0</v>
      </c>
      <c r="AD155" s="450">
        <f t="shared" si="120"/>
        <v>0</v>
      </c>
      <c r="AE155" s="450">
        <f t="shared" si="120"/>
        <v>0</v>
      </c>
      <c r="AF155" s="450">
        <f t="shared" si="120"/>
        <v>0</v>
      </c>
      <c r="AG155" s="450">
        <f t="shared" si="120"/>
        <v>0</v>
      </c>
      <c r="AK155" s="449">
        <v>945.92402569706621</v>
      </c>
      <c r="AL155" s="449">
        <f t="shared" ref="AL155:AL161" si="126">K155-AK155</f>
        <v>-945.92402569706621</v>
      </c>
      <c r="AM155" s="449">
        <v>0</v>
      </c>
      <c r="AN155" s="449">
        <f t="shared" si="121"/>
        <v>0</v>
      </c>
      <c r="AO155" s="449">
        <v>0</v>
      </c>
      <c r="AP155" s="449">
        <f t="shared" si="122"/>
        <v>0</v>
      </c>
      <c r="AQ155" s="449">
        <v>0</v>
      </c>
      <c r="AR155" s="449">
        <f t="shared" si="123"/>
        <v>0</v>
      </c>
      <c r="AS155" s="450">
        <v>12018</v>
      </c>
      <c r="AT155" s="449">
        <f t="shared" si="124"/>
        <v>0</v>
      </c>
      <c r="AU155" s="450">
        <v>0</v>
      </c>
      <c r="AV155" s="449">
        <f t="shared" si="125"/>
        <v>0</v>
      </c>
    </row>
    <row r="156" spans="1:48">
      <c r="A156" s="443" t="s">
        <v>50</v>
      </c>
      <c r="B156" s="449">
        <f t="shared" si="120"/>
        <v>0</v>
      </c>
      <c r="C156" s="449">
        <f t="shared" si="120"/>
        <v>0</v>
      </c>
      <c r="D156" s="449">
        <f t="shared" si="120"/>
        <v>0</v>
      </c>
      <c r="E156" s="449">
        <f t="shared" si="120"/>
        <v>0</v>
      </c>
      <c r="F156" s="449">
        <f t="shared" si="120"/>
        <v>5532</v>
      </c>
      <c r="G156" s="449">
        <f t="shared" si="120"/>
        <v>53303</v>
      </c>
      <c r="H156" s="449">
        <f t="shared" si="120"/>
        <v>0</v>
      </c>
      <c r="I156" s="449">
        <f t="shared" si="120"/>
        <v>282632</v>
      </c>
      <c r="J156" s="449">
        <f t="shared" si="120"/>
        <v>0</v>
      </c>
      <c r="K156" s="449">
        <f t="shared" si="120"/>
        <v>39325</v>
      </c>
      <c r="L156" s="449">
        <f t="shared" si="120"/>
        <v>0</v>
      </c>
      <c r="M156" s="449">
        <f>M172+M188</f>
        <v>0</v>
      </c>
      <c r="N156" s="449">
        <f t="shared" si="120"/>
        <v>30374</v>
      </c>
      <c r="O156" s="449">
        <f t="shared" si="120"/>
        <v>28704</v>
      </c>
      <c r="P156" s="449">
        <f t="shared" si="120"/>
        <v>0</v>
      </c>
      <c r="Q156" s="450">
        <f t="shared" si="120"/>
        <v>11512.89164023575</v>
      </c>
      <c r="R156" s="450">
        <f t="shared" si="120"/>
        <v>14342.486093586107</v>
      </c>
      <c r="S156" s="450">
        <f t="shared" si="120"/>
        <v>12856.632893425203</v>
      </c>
      <c r="T156" s="450">
        <f t="shared" si="120"/>
        <v>13502.093787027388</v>
      </c>
      <c r="U156" s="450">
        <f t="shared" si="120"/>
        <v>14309.064332239623</v>
      </c>
      <c r="V156" s="450">
        <f t="shared" si="120"/>
        <v>14672.235109712765</v>
      </c>
      <c r="W156" s="450">
        <f t="shared" si="120"/>
        <v>15166.326840622318</v>
      </c>
      <c r="X156" s="450">
        <f t="shared" si="120"/>
        <v>15178.771269027837</v>
      </c>
      <c r="Y156" s="450">
        <f t="shared" si="120"/>
        <v>15977.510220302765</v>
      </c>
      <c r="Z156" s="450">
        <f t="shared" si="120"/>
        <v>16349.029730587239</v>
      </c>
      <c r="AA156" s="450">
        <f t="shared" si="120"/>
        <v>16688.299258940086</v>
      </c>
      <c r="AB156" s="450">
        <f t="shared" si="120"/>
        <v>17114.745574929399</v>
      </c>
      <c r="AC156" s="450">
        <f t="shared" si="120"/>
        <v>17543.333530890595</v>
      </c>
      <c r="AD156" s="450">
        <f t="shared" si="120"/>
        <v>18032.660287601011</v>
      </c>
      <c r="AE156" s="450">
        <f t="shared" si="120"/>
        <v>18379.440572547588</v>
      </c>
      <c r="AF156" s="450">
        <f t="shared" si="120"/>
        <v>18812.624017757167</v>
      </c>
      <c r="AG156" s="450">
        <f t="shared" si="120"/>
        <v>19252.354094809307</v>
      </c>
      <c r="AK156" s="449">
        <v>258815.57634831744</v>
      </c>
      <c r="AL156" s="449">
        <f t="shared" si="126"/>
        <v>-219490.57634831744</v>
      </c>
      <c r="AM156" s="449">
        <v>49969.799257038605</v>
      </c>
      <c r="AN156" s="449">
        <f t="shared" si="121"/>
        <v>-49969.799257038605</v>
      </c>
      <c r="AO156" s="449">
        <v>0</v>
      </c>
      <c r="AP156" s="449">
        <f t="shared" si="122"/>
        <v>30374</v>
      </c>
      <c r="AQ156" s="449">
        <v>39692.973696438814</v>
      </c>
      <c r="AR156" s="449">
        <f t="shared" si="123"/>
        <v>-10988.973696438814</v>
      </c>
      <c r="AS156" s="450">
        <v>0</v>
      </c>
      <c r="AT156" s="449">
        <f t="shared" si="124"/>
        <v>0</v>
      </c>
      <c r="AU156" s="450">
        <v>11512.89164023575</v>
      </c>
      <c r="AV156" s="449">
        <f t="shared" si="125"/>
        <v>0</v>
      </c>
    </row>
    <row r="157" spans="1:48">
      <c r="A157" s="443" t="s">
        <v>51</v>
      </c>
      <c r="B157" s="449">
        <f t="shared" si="120"/>
        <v>0</v>
      </c>
      <c r="C157" s="449">
        <f t="shared" ref="B157:AG160" si="127">C173+C189</f>
        <v>0</v>
      </c>
      <c r="D157" s="449">
        <f t="shared" si="127"/>
        <v>0</v>
      </c>
      <c r="E157" s="449">
        <f t="shared" si="127"/>
        <v>0</v>
      </c>
      <c r="F157" s="449">
        <f t="shared" si="127"/>
        <v>17073</v>
      </c>
      <c r="G157" s="449">
        <f t="shared" si="127"/>
        <v>0</v>
      </c>
      <c r="H157" s="449">
        <f t="shared" si="127"/>
        <v>99563</v>
      </c>
      <c r="I157" s="449">
        <f t="shared" si="127"/>
        <v>0</v>
      </c>
      <c r="J157" s="449">
        <f t="shared" si="127"/>
        <v>0</v>
      </c>
      <c r="K157" s="449">
        <f t="shared" si="127"/>
        <v>0</v>
      </c>
      <c r="L157" s="449">
        <f t="shared" si="127"/>
        <v>0</v>
      </c>
      <c r="M157" s="449">
        <f t="shared" si="127"/>
        <v>0</v>
      </c>
      <c r="N157" s="449">
        <f t="shared" si="127"/>
        <v>11086</v>
      </c>
      <c r="O157" s="449">
        <f t="shared" si="127"/>
        <v>0</v>
      </c>
      <c r="P157" s="449">
        <f t="shared" si="127"/>
        <v>23774</v>
      </c>
      <c r="Q157" s="450">
        <f t="shared" si="127"/>
        <v>3560.2829892712134</v>
      </c>
      <c r="R157" s="450">
        <f t="shared" si="127"/>
        <v>4435.3157189802168</v>
      </c>
      <c r="S157" s="450">
        <f t="shared" si="127"/>
        <v>3975.8257803622646</v>
      </c>
      <c r="T157" s="450">
        <f t="shared" si="127"/>
        <v>4175.4301466276802</v>
      </c>
      <c r="U157" s="450">
        <f t="shared" si="127"/>
        <v>4424.9802678953201</v>
      </c>
      <c r="V157" s="450">
        <f t="shared" si="127"/>
        <v>4537.2883466684434</v>
      </c>
      <c r="W157" s="450">
        <f t="shared" si="127"/>
        <v>4690.0828347663819</v>
      </c>
      <c r="X157" s="450">
        <f t="shared" si="127"/>
        <v>4693.9311891284196</v>
      </c>
      <c r="Y157" s="450">
        <f t="shared" si="127"/>
        <v>4940.9357462766902</v>
      </c>
      <c r="Z157" s="450">
        <f t="shared" si="127"/>
        <v>5055.8256135647225</v>
      </c>
      <c r="AA157" s="450">
        <f t="shared" si="127"/>
        <v>5160.7423945366991</v>
      </c>
      <c r="AB157" s="450">
        <f t="shared" si="127"/>
        <v>5292.6180007786616</v>
      </c>
      <c r="AC157" s="450">
        <f t="shared" si="127"/>
        <v>5425.1558945326869</v>
      </c>
      <c r="AD157" s="450">
        <f t="shared" si="127"/>
        <v>5576.4768469529145</v>
      </c>
      <c r="AE157" s="450">
        <f t="shared" si="127"/>
        <v>5683.7162780264307</v>
      </c>
      <c r="AF157" s="450">
        <f t="shared" si="127"/>
        <v>5817.675295396456</v>
      </c>
      <c r="AG157" s="450">
        <f t="shared" si="127"/>
        <v>5953.6588138835277</v>
      </c>
      <c r="AK157" s="449">
        <v>88404.482901604992</v>
      </c>
      <c r="AL157" s="449">
        <f t="shared" si="126"/>
        <v>-88404.482901604992</v>
      </c>
      <c r="AM157" s="449">
        <v>13258.222177766173</v>
      </c>
      <c r="AN157" s="449">
        <f t="shared" si="121"/>
        <v>-13258.222177766173</v>
      </c>
      <c r="AO157" s="449">
        <v>0</v>
      </c>
      <c r="AP157" s="449">
        <f t="shared" si="122"/>
        <v>11086</v>
      </c>
      <c r="AQ157" s="449">
        <v>28866.374143704648</v>
      </c>
      <c r="AR157" s="449">
        <f t="shared" si="123"/>
        <v>-28866.374143704648</v>
      </c>
      <c r="AS157" s="450">
        <v>0</v>
      </c>
      <c r="AT157" s="449">
        <f t="shared" si="124"/>
        <v>23774</v>
      </c>
      <c r="AU157" s="450">
        <v>3560.2829892712134</v>
      </c>
      <c r="AV157" s="449">
        <f t="shared" si="125"/>
        <v>0</v>
      </c>
    </row>
    <row r="158" spans="1:48">
      <c r="A158" s="443" t="s">
        <v>52</v>
      </c>
      <c r="B158" s="449">
        <f t="shared" si="127"/>
        <v>0</v>
      </c>
      <c r="C158" s="449">
        <f t="shared" si="127"/>
        <v>0</v>
      </c>
      <c r="D158" s="449">
        <f t="shared" si="127"/>
        <v>0</v>
      </c>
      <c r="E158" s="449">
        <f t="shared" si="127"/>
        <v>0</v>
      </c>
      <c r="F158" s="449">
        <f t="shared" si="127"/>
        <v>24030</v>
      </c>
      <c r="G158" s="449">
        <f t="shared" si="127"/>
        <v>0</v>
      </c>
      <c r="H158" s="449">
        <f t="shared" si="127"/>
        <v>229819</v>
      </c>
      <c r="I158" s="449">
        <f t="shared" si="127"/>
        <v>377775</v>
      </c>
      <c r="J158" s="449">
        <f t="shared" si="127"/>
        <v>533819</v>
      </c>
      <c r="K158" s="449">
        <f t="shared" si="127"/>
        <v>0</v>
      </c>
      <c r="L158" s="449">
        <f t="shared" si="127"/>
        <v>0</v>
      </c>
      <c r="M158" s="449">
        <f t="shared" si="127"/>
        <v>60338</v>
      </c>
      <c r="N158" s="449">
        <f t="shared" si="127"/>
        <v>0</v>
      </c>
      <c r="O158" s="449">
        <f t="shared" si="127"/>
        <v>0</v>
      </c>
      <c r="P158" s="449">
        <f t="shared" si="127"/>
        <v>0</v>
      </c>
      <c r="Q158" s="450">
        <f t="shared" si="127"/>
        <v>40815.898352129036</v>
      </c>
      <c r="R158" s="450">
        <f t="shared" si="127"/>
        <v>50847.473667410239</v>
      </c>
      <c r="S158" s="450">
        <f t="shared" si="127"/>
        <v>45579.775935243342</v>
      </c>
      <c r="T158" s="450">
        <f t="shared" si="127"/>
        <v>47868.086035502543</v>
      </c>
      <c r="U158" s="450">
        <f t="shared" si="127"/>
        <v>50728.985692668975</v>
      </c>
      <c r="V158" s="450">
        <f t="shared" si="127"/>
        <v>52016.511190260113</v>
      </c>
      <c r="W158" s="450">
        <f t="shared" si="127"/>
        <v>53768.182142755839</v>
      </c>
      <c r="X158" s="450">
        <f t="shared" si="127"/>
        <v>53812.300557201335</v>
      </c>
      <c r="Y158" s="450">
        <f t="shared" si="127"/>
        <v>56644.017285185408</v>
      </c>
      <c r="Z158" s="450">
        <f t="shared" si="127"/>
        <v>57961.140996713133</v>
      </c>
      <c r="AA158" s="450">
        <f t="shared" si="127"/>
        <v>59163.930966074913</v>
      </c>
      <c r="AB158" s="450">
        <f t="shared" si="127"/>
        <v>60675.78307325788</v>
      </c>
      <c r="AC158" s="450">
        <f t="shared" si="127"/>
        <v>62195.227795930587</v>
      </c>
      <c r="AD158" s="450">
        <f t="shared" si="127"/>
        <v>63930.005798449893</v>
      </c>
      <c r="AE158" s="450">
        <f t="shared" si="127"/>
        <v>65159.423159717786</v>
      </c>
      <c r="AF158" s="450">
        <f t="shared" si="127"/>
        <v>66695.159968505919</v>
      </c>
      <c r="AG158" s="450">
        <f t="shared" si="127"/>
        <v>68254.106121061428</v>
      </c>
      <c r="AK158" s="449">
        <v>883349.78708370682</v>
      </c>
      <c r="AL158" s="449">
        <f t="shared" si="126"/>
        <v>-883349.78708370682</v>
      </c>
      <c r="AM158" s="449">
        <v>153087.97138084049</v>
      </c>
      <c r="AN158" s="449">
        <f t="shared" si="121"/>
        <v>-153087.97138084049</v>
      </c>
      <c r="AO158" s="449">
        <v>0</v>
      </c>
      <c r="AP158" s="449">
        <f t="shared" si="122"/>
        <v>0</v>
      </c>
      <c r="AQ158" s="449">
        <v>21906.963958720487</v>
      </c>
      <c r="AR158" s="449">
        <f t="shared" si="123"/>
        <v>-21906.963958720487</v>
      </c>
      <c r="AS158" s="450">
        <v>0</v>
      </c>
      <c r="AT158" s="449">
        <f t="shared" si="124"/>
        <v>0</v>
      </c>
      <c r="AU158" s="450">
        <v>40815.898352129036</v>
      </c>
      <c r="AV158" s="449">
        <f t="shared" si="125"/>
        <v>0</v>
      </c>
    </row>
    <row r="159" spans="1:48">
      <c r="A159" s="443" t="s">
        <v>53</v>
      </c>
      <c r="B159" s="449">
        <f t="shared" si="127"/>
        <v>0</v>
      </c>
      <c r="C159" s="449">
        <f t="shared" si="127"/>
        <v>0</v>
      </c>
      <c r="D159" s="449">
        <f t="shared" si="127"/>
        <v>0</v>
      </c>
      <c r="E159" s="449">
        <f t="shared" si="127"/>
        <v>0</v>
      </c>
      <c r="F159" s="449">
        <f t="shared" si="127"/>
        <v>0</v>
      </c>
      <c r="G159" s="449">
        <f t="shared" si="127"/>
        <v>48281</v>
      </c>
      <c r="H159" s="449">
        <f t="shared" si="127"/>
        <v>77454</v>
      </c>
      <c r="I159" s="449">
        <f t="shared" si="127"/>
        <v>0</v>
      </c>
      <c r="J159" s="449">
        <f t="shared" si="127"/>
        <v>185644</v>
      </c>
      <c r="K159" s="449">
        <f t="shared" si="127"/>
        <v>0</v>
      </c>
      <c r="L159" s="449">
        <f t="shared" si="127"/>
        <v>55892</v>
      </c>
      <c r="M159" s="449">
        <f t="shared" si="127"/>
        <v>6435</v>
      </c>
      <c r="N159" s="449">
        <f t="shared" si="127"/>
        <v>0</v>
      </c>
      <c r="O159" s="449">
        <f>O175+O191</f>
        <v>42559</v>
      </c>
      <c r="P159" s="449">
        <f t="shared" si="127"/>
        <v>0</v>
      </c>
      <c r="Q159" s="450">
        <f t="shared" si="127"/>
        <v>11406.794398999873</v>
      </c>
      <c r="R159" s="450">
        <f t="shared" si="127"/>
        <v>14210.312678379511</v>
      </c>
      <c r="S159" s="450">
        <f t="shared" si="127"/>
        <v>12738.152382689941</v>
      </c>
      <c r="T159" s="450">
        <f t="shared" si="127"/>
        <v>13377.665020868832</v>
      </c>
      <c r="U159" s="450">
        <f t="shared" si="127"/>
        <v>14177.19891582142</v>
      </c>
      <c r="V159" s="450">
        <f t="shared" si="127"/>
        <v>14537.022887054094</v>
      </c>
      <c r="W159" s="450">
        <f t="shared" si="127"/>
        <v>15026.561307535208</v>
      </c>
      <c r="X159" s="450">
        <f t="shared" si="127"/>
        <v>15038.891054107193</v>
      </c>
      <c r="Y159" s="450">
        <f t="shared" si="127"/>
        <v>15830.269213511056</v>
      </c>
      <c r="Z159" s="450">
        <f t="shared" si="127"/>
        <v>16198.364979671269</v>
      </c>
      <c r="AA159" s="450">
        <f t="shared" si="127"/>
        <v>16534.507964135886</v>
      </c>
      <c r="AB159" s="450">
        <f t="shared" si="127"/>
        <v>16957.024357124486</v>
      </c>
      <c r="AC159" s="450">
        <f t="shared" si="127"/>
        <v>17381.662653766776</v>
      </c>
      <c r="AD159" s="450">
        <f t="shared" si="127"/>
        <v>17866.480011746433</v>
      </c>
      <c r="AE159" s="450">
        <f t="shared" si="127"/>
        <v>18210.06453730453</v>
      </c>
      <c r="AF159" s="450">
        <f t="shared" si="127"/>
        <v>18639.255973388863</v>
      </c>
      <c r="AG159" s="450">
        <f t="shared" si="127"/>
        <v>19074.933710722922</v>
      </c>
      <c r="AK159" s="449">
        <v>236010.31826724907</v>
      </c>
      <c r="AL159" s="449">
        <f t="shared" si="126"/>
        <v>-236010.31826724907</v>
      </c>
      <c r="AM159" s="449">
        <v>1.6464656704197489E-6</v>
      </c>
      <c r="AN159" s="449">
        <f t="shared" si="121"/>
        <v>55891.999998353531</v>
      </c>
      <c r="AO159" s="450">
        <v>0</v>
      </c>
      <c r="AP159" s="449">
        <f t="shared" si="122"/>
        <v>0</v>
      </c>
      <c r="AQ159" s="450">
        <v>23109.060816016856</v>
      </c>
      <c r="AR159" s="449">
        <f t="shared" si="123"/>
        <v>19449.939183983144</v>
      </c>
      <c r="AS159" s="450">
        <v>10089.650045573533</v>
      </c>
      <c r="AT159" s="449">
        <f t="shared" si="124"/>
        <v>-10089.650045573533</v>
      </c>
      <c r="AU159" s="450">
        <v>11406.794398999873</v>
      </c>
      <c r="AV159" s="449">
        <f t="shared" si="125"/>
        <v>0</v>
      </c>
    </row>
    <row r="160" spans="1:48">
      <c r="A160" s="443" t="s">
        <v>54</v>
      </c>
      <c r="B160" s="449">
        <f t="shared" si="127"/>
        <v>0</v>
      </c>
      <c r="C160" s="449">
        <f t="shared" si="127"/>
        <v>0</v>
      </c>
      <c r="D160" s="449">
        <f t="shared" si="127"/>
        <v>0</v>
      </c>
      <c r="E160" s="449">
        <f t="shared" si="127"/>
        <v>0</v>
      </c>
      <c r="F160" s="449">
        <f t="shared" si="127"/>
        <v>0</v>
      </c>
      <c r="G160" s="449">
        <f t="shared" si="127"/>
        <v>0</v>
      </c>
      <c r="H160" s="449">
        <f t="shared" si="127"/>
        <v>0</v>
      </c>
      <c r="I160" s="449">
        <f t="shared" si="127"/>
        <v>327008</v>
      </c>
      <c r="J160" s="449">
        <f t="shared" si="127"/>
        <v>217665</v>
      </c>
      <c r="K160" s="449">
        <f t="shared" si="127"/>
        <v>0</v>
      </c>
      <c r="L160" s="449">
        <f t="shared" si="127"/>
        <v>0</v>
      </c>
      <c r="M160" s="449">
        <f t="shared" si="127"/>
        <v>180745</v>
      </c>
      <c r="N160" s="449">
        <f t="shared" si="127"/>
        <v>33897</v>
      </c>
      <c r="O160" s="449">
        <f>O176+O192</f>
        <v>0</v>
      </c>
      <c r="P160" s="449">
        <f t="shared" si="127"/>
        <v>0</v>
      </c>
      <c r="Q160" s="450">
        <f t="shared" si="127"/>
        <v>-7438.1387701745844</v>
      </c>
      <c r="R160" s="450">
        <f t="shared" si="127"/>
        <v>33096.454816453916</v>
      </c>
      <c r="S160" s="450">
        <f t="shared" si="127"/>
        <v>29667.72753848217</v>
      </c>
      <c r="T160" s="450">
        <f t="shared" si="127"/>
        <v>31157.181121459376</v>
      </c>
      <c r="U160" s="450">
        <f t="shared" si="127"/>
        <v>33019.33138003762</v>
      </c>
      <c r="V160" s="450">
        <f t="shared" si="127"/>
        <v>33857.377528304147</v>
      </c>
      <c r="W160" s="450">
        <f t="shared" si="127"/>
        <v>34997.534439771844</v>
      </c>
      <c r="X160" s="450">
        <f t="shared" si="127"/>
        <v>35026.250971881585</v>
      </c>
      <c r="Y160" s="450">
        <f t="shared" si="127"/>
        <v>36869.406157009071</v>
      </c>
      <c r="Z160" s="450">
        <f t="shared" si="127"/>
        <v>37726.717686218792</v>
      </c>
      <c r="AA160" s="450">
        <f t="shared" si="127"/>
        <v>38509.609755450103</v>
      </c>
      <c r="AB160" s="450">
        <f t="shared" si="127"/>
        <v>39493.669362458983</v>
      </c>
      <c r="AC160" s="450">
        <f t="shared" si="127"/>
        <v>40482.67097813345</v>
      </c>
      <c r="AD160" s="450">
        <f t="shared" si="127"/>
        <v>41611.832323542738</v>
      </c>
      <c r="AE160" s="450">
        <f t="shared" si="127"/>
        <v>42412.056075344328</v>
      </c>
      <c r="AF160" s="450">
        <f t="shared" si="127"/>
        <v>43411.662156749342</v>
      </c>
      <c r="AG160" s="450">
        <f t="shared" si="127"/>
        <v>44426.375124335871</v>
      </c>
      <c r="AK160" s="449">
        <v>1078681.2832535258</v>
      </c>
      <c r="AL160" s="449">
        <f t="shared" si="126"/>
        <v>-1078681.2832535258</v>
      </c>
      <c r="AM160" s="449">
        <v>3.171401394923985E-5</v>
      </c>
      <c r="AN160" s="449">
        <f t="shared" si="121"/>
        <v>-3.171401394923985E-5</v>
      </c>
      <c r="AO160" s="450">
        <v>0</v>
      </c>
      <c r="AP160" s="449">
        <f t="shared" si="122"/>
        <v>33897</v>
      </c>
      <c r="AQ160" s="450">
        <v>61066.303246295545</v>
      </c>
      <c r="AR160" s="449">
        <f t="shared" si="123"/>
        <v>-61066.303246295545</v>
      </c>
      <c r="AS160" s="450">
        <v>1344.9295539109444</v>
      </c>
      <c r="AT160" s="449">
        <f t="shared" si="124"/>
        <v>-1344.9295539109444</v>
      </c>
      <c r="AU160" s="450">
        <v>19477.014720481704</v>
      </c>
      <c r="AV160" s="449">
        <f t="shared" si="125"/>
        <v>-26915.153490656288</v>
      </c>
    </row>
    <row r="161" spans="1:48" ht="12" thickBot="1">
      <c r="A161" s="443" t="s">
        <v>29</v>
      </c>
      <c r="B161" s="449">
        <f t="shared" ref="B161:AD161" si="128">SUM(B149:B160)</f>
        <v>0</v>
      </c>
      <c r="C161" s="449">
        <f t="shared" si="128"/>
        <v>0</v>
      </c>
      <c r="D161" s="449">
        <f t="shared" si="128"/>
        <v>0</v>
      </c>
      <c r="E161" s="449">
        <f t="shared" si="128"/>
        <v>0</v>
      </c>
      <c r="F161" s="449">
        <f t="shared" si="128"/>
        <v>50446</v>
      </c>
      <c r="G161" s="449">
        <f t="shared" si="128"/>
        <v>275315</v>
      </c>
      <c r="H161" s="449">
        <f t="shared" si="128"/>
        <v>534429</v>
      </c>
      <c r="I161" s="449">
        <f t="shared" si="128"/>
        <v>1743435</v>
      </c>
      <c r="J161" s="449">
        <f t="shared" si="128"/>
        <v>2440000</v>
      </c>
      <c r="K161" s="449">
        <f t="shared" si="128"/>
        <v>1315943</v>
      </c>
      <c r="L161" s="449">
        <f t="shared" si="128"/>
        <v>55892</v>
      </c>
      <c r="M161" s="449">
        <f t="shared" si="128"/>
        <v>247518</v>
      </c>
      <c r="N161" s="449">
        <f t="shared" si="128"/>
        <v>236352</v>
      </c>
      <c r="O161" s="449">
        <f t="shared" si="128"/>
        <v>208643</v>
      </c>
      <c r="P161" s="449">
        <f t="shared" si="128"/>
        <v>227964</v>
      </c>
      <c r="Q161" s="450">
        <f t="shared" si="128"/>
        <v>217762.13813848436</v>
      </c>
      <c r="R161" s="450">
        <f t="shared" si="128"/>
        <v>271282.88318509993</v>
      </c>
      <c r="S161" s="450">
        <f t="shared" si="128"/>
        <v>243178.5128897914</v>
      </c>
      <c r="T161" s="450">
        <f t="shared" si="128"/>
        <v>255387.16981698456</v>
      </c>
      <c r="U161" s="450">
        <f t="shared" si="128"/>
        <v>270650.72278277937</v>
      </c>
      <c r="V161" s="450">
        <f t="shared" si="128"/>
        <v>277519.96532264468</v>
      </c>
      <c r="W161" s="450">
        <f t="shared" si="128"/>
        <v>286865.52985339932</v>
      </c>
      <c r="X161" s="450">
        <f t="shared" si="128"/>
        <v>287100.91166903515</v>
      </c>
      <c r="Y161" s="450">
        <f t="shared" si="128"/>
        <v>302208.76704363478</v>
      </c>
      <c r="Z161" s="450">
        <f t="shared" si="128"/>
        <v>309235.92281369056</v>
      </c>
      <c r="AA161" s="450">
        <f t="shared" si="128"/>
        <v>315653.08196084626</v>
      </c>
      <c r="AB161" s="450">
        <f t="shared" si="128"/>
        <v>323719.15818852198</v>
      </c>
      <c r="AC161" s="450">
        <f t="shared" si="128"/>
        <v>331825.74275363144</v>
      </c>
      <c r="AD161" s="450">
        <f t="shared" si="128"/>
        <v>341081.17953870731</v>
      </c>
      <c r="AE161" s="450">
        <f>SUM(AE149:AE160)</f>
        <v>347640.40190212504</v>
      </c>
      <c r="AF161" s="450">
        <f>SUM(AF149:AF160)</f>
        <v>355833.90846700582</v>
      </c>
      <c r="AG161" s="450">
        <f>SUM(AG149:AG160)</f>
        <v>364151.24218080717</v>
      </c>
      <c r="AK161" s="449">
        <v>3822825.371880101</v>
      </c>
      <c r="AL161" s="449">
        <f t="shared" si="126"/>
        <v>-2506882.371880101</v>
      </c>
      <c r="AM161" s="449">
        <v>55892</v>
      </c>
      <c r="AN161" s="449">
        <f t="shared" si="121"/>
        <v>0</v>
      </c>
      <c r="AO161" s="450">
        <v>202455</v>
      </c>
      <c r="AP161" s="449">
        <f t="shared" si="122"/>
        <v>33897</v>
      </c>
      <c r="AQ161" s="450">
        <v>250259.36406231241</v>
      </c>
      <c r="AR161" s="449">
        <f t="shared" si="123"/>
        <v>-41616.364062312408</v>
      </c>
      <c r="AS161" s="450">
        <v>215624.57959948448</v>
      </c>
      <c r="AT161" s="449">
        <f t="shared" si="124"/>
        <v>12339.420400515519</v>
      </c>
      <c r="AU161" s="450">
        <v>217762.13813848436</v>
      </c>
      <c r="AV161" s="449">
        <f t="shared" si="125"/>
        <v>0</v>
      </c>
    </row>
    <row r="162" spans="1:48">
      <c r="A162" s="461"/>
      <c r="B162" s="461"/>
      <c r="C162" s="461"/>
      <c r="D162" s="461"/>
      <c r="E162" s="461"/>
      <c r="F162" s="461"/>
      <c r="G162" s="461"/>
      <c r="H162" s="461"/>
      <c r="I162" s="461"/>
      <c r="J162" s="461"/>
      <c r="K162" s="461"/>
      <c r="L162" s="461"/>
      <c r="M162" s="461"/>
      <c r="N162" s="461"/>
      <c r="O162" s="461"/>
      <c r="P162" s="461"/>
      <c r="Q162" s="461"/>
      <c r="R162" s="461"/>
      <c r="S162" s="461"/>
      <c r="T162" s="461"/>
      <c r="U162" s="461"/>
      <c r="V162" s="461"/>
      <c r="W162" s="461"/>
      <c r="X162" s="461"/>
      <c r="Y162" s="461"/>
      <c r="Z162" s="461"/>
      <c r="AA162" s="461"/>
      <c r="AB162" s="461"/>
      <c r="AC162" s="461"/>
      <c r="AD162" s="461"/>
      <c r="AE162" s="461"/>
      <c r="AF162" s="461"/>
      <c r="AG162" s="461"/>
      <c r="AO162" s="450"/>
    </row>
    <row r="163" spans="1:48" ht="12" thickBot="1">
      <c r="A163" s="442" t="s">
        <v>551</v>
      </c>
      <c r="AO163" s="450"/>
    </row>
    <row r="164" spans="1:48" ht="12" thickBot="1">
      <c r="A164" s="459"/>
      <c r="B164" s="460">
        <f t="shared" ref="B164:K164" si="129">B2</f>
        <v>2010</v>
      </c>
      <c r="C164" s="460">
        <f t="shared" si="129"/>
        <v>2011</v>
      </c>
      <c r="D164" s="460">
        <f t="shared" si="129"/>
        <v>2012</v>
      </c>
      <c r="E164" s="460">
        <f t="shared" si="129"/>
        <v>2013</v>
      </c>
      <c r="F164" s="460">
        <f t="shared" si="129"/>
        <v>2014</v>
      </c>
      <c r="G164" s="460">
        <f t="shared" si="129"/>
        <v>2015</v>
      </c>
      <c r="H164" s="460">
        <f t="shared" si="129"/>
        <v>2016</v>
      </c>
      <c r="I164" s="460">
        <f t="shared" si="129"/>
        <v>2017</v>
      </c>
      <c r="J164" s="460">
        <f t="shared" si="129"/>
        <v>2018</v>
      </c>
      <c r="K164" s="460">
        <f t="shared" si="129"/>
        <v>2019</v>
      </c>
      <c r="L164" s="460">
        <f>L2</f>
        <v>2020</v>
      </c>
      <c r="M164" s="460">
        <f>M2</f>
        <v>2021</v>
      </c>
      <c r="N164" s="460">
        <f t="shared" ref="N164:AD164" si="130">N2</f>
        <v>2022</v>
      </c>
      <c r="O164" s="460">
        <f t="shared" si="130"/>
        <v>2023</v>
      </c>
      <c r="P164" s="460">
        <f t="shared" si="130"/>
        <v>2024</v>
      </c>
      <c r="Q164" s="460">
        <f t="shared" si="130"/>
        <v>2025</v>
      </c>
      <c r="R164" s="460">
        <f t="shared" si="130"/>
        <v>2026</v>
      </c>
      <c r="S164" s="460">
        <f t="shared" si="130"/>
        <v>2027</v>
      </c>
      <c r="T164" s="460">
        <f t="shared" si="130"/>
        <v>2028</v>
      </c>
      <c r="U164" s="460">
        <f t="shared" si="130"/>
        <v>2029</v>
      </c>
      <c r="V164" s="460">
        <f t="shared" si="130"/>
        <v>2030</v>
      </c>
      <c r="W164" s="460">
        <f t="shared" si="130"/>
        <v>2031</v>
      </c>
      <c r="X164" s="460">
        <f t="shared" si="130"/>
        <v>2032</v>
      </c>
      <c r="Y164" s="460">
        <f t="shared" si="130"/>
        <v>2033</v>
      </c>
      <c r="Z164" s="460">
        <f t="shared" si="130"/>
        <v>2034</v>
      </c>
      <c r="AA164" s="460">
        <f t="shared" si="130"/>
        <v>2035</v>
      </c>
      <c r="AB164" s="460">
        <f t="shared" si="130"/>
        <v>2036</v>
      </c>
      <c r="AC164" s="460">
        <f t="shared" si="130"/>
        <v>2037</v>
      </c>
      <c r="AD164" s="460">
        <f t="shared" si="130"/>
        <v>2038</v>
      </c>
      <c r="AE164" s="460">
        <f>AE2</f>
        <v>2039</v>
      </c>
      <c r="AF164" s="460">
        <f>AF2</f>
        <v>2040</v>
      </c>
      <c r="AG164" s="460">
        <f>AG2</f>
        <v>2041</v>
      </c>
      <c r="AO164" s="450"/>
    </row>
    <row r="165" spans="1:48">
      <c r="A165" s="443" t="s">
        <v>43</v>
      </c>
      <c r="B165" s="449">
        <f>'Monthly D7 Gallon Data'!$N4</f>
        <v>0</v>
      </c>
      <c r="C165" s="449">
        <f>'Monthly D7 Gallon Data'!$N16</f>
        <v>0</v>
      </c>
      <c r="D165" s="449">
        <f>'Monthly D7 Gallon Data'!$N28</f>
        <v>0</v>
      </c>
      <c r="E165" s="449">
        <f>'Monthly D7 Gallon Data'!$N40</f>
        <v>0</v>
      </c>
      <c r="F165" s="449">
        <f>'Monthly D7 Gallon Data'!$N52</f>
        <v>0</v>
      </c>
      <c r="G165" s="449">
        <f>'Monthly D7 Gallon Data'!$N64</f>
        <v>0</v>
      </c>
      <c r="H165" s="449">
        <f>'Monthly D7 Gallon Data'!$N76</f>
        <v>0</v>
      </c>
      <c r="I165" s="449">
        <f>'Monthly D7 Gallon Data'!$N88</f>
        <v>0</v>
      </c>
      <c r="J165" s="449">
        <f>'Monthly D7 Gallon Data'!$N100</f>
        <v>49276</v>
      </c>
      <c r="K165" s="449">
        <f>'Monthly D7 Gallon Data'!$N112</f>
        <v>148993</v>
      </c>
      <c r="L165" s="449">
        <f>'Monthly D7 Gallon Data'!$N124</f>
        <v>0</v>
      </c>
      <c r="M165" s="449">
        <f>'Monthly D7 Gallon Data'!$N136</f>
        <v>0</v>
      </c>
      <c r="N165" s="449">
        <f>'Monthly D7 Gallon Data'!$N148</f>
        <v>0</v>
      </c>
      <c r="O165" s="449">
        <f>'Monthly D7 Gallon Data'!$N160</f>
        <v>0</v>
      </c>
      <c r="P165" s="449">
        <f>'Monthly D7 Gallon Data'!$N172</f>
        <v>60218</v>
      </c>
      <c r="Q165" s="449">
        <f>'Monthly D7 Gallon Data'!$N184</f>
        <v>28782</v>
      </c>
      <c r="R165" s="449">
        <f>'Monthly D7 Gallon Data'!$N124</f>
        <v>0</v>
      </c>
      <c r="S165" s="449">
        <f>'Monthly D7 Gallon Data'!$N124</f>
        <v>0</v>
      </c>
      <c r="T165" s="449">
        <f>'Monthly D7 Gallon Data'!$N124</f>
        <v>0</v>
      </c>
      <c r="U165" s="449">
        <f>'Monthly D7 Gallon Data'!$N124</f>
        <v>0</v>
      </c>
      <c r="V165" s="449">
        <f>'Monthly D7 Gallon Data'!$N124</f>
        <v>0</v>
      </c>
      <c r="W165" s="449">
        <f>'Monthly D7 Gallon Data'!$N124</f>
        <v>0</v>
      </c>
      <c r="X165" s="449">
        <f>'Monthly D7 Gallon Data'!$N124</f>
        <v>0</v>
      </c>
      <c r="Y165" s="449">
        <f>'Monthly D7 Gallon Data'!$N124</f>
        <v>0</v>
      </c>
      <c r="Z165" s="449">
        <f>'Monthly D7 Gallon Data'!$N124</f>
        <v>0</v>
      </c>
      <c r="AA165" s="449">
        <f>'Monthly D7 Gallon Data'!$N124</f>
        <v>0</v>
      </c>
      <c r="AB165" s="449">
        <f>'Monthly D7 Gallon Data'!$N124</f>
        <v>0</v>
      </c>
      <c r="AC165" s="449">
        <f>'Monthly D7 Gallon Data'!$N124</f>
        <v>0</v>
      </c>
      <c r="AD165" s="449">
        <f>'Monthly D7 Gallon Data'!$N124</f>
        <v>0</v>
      </c>
      <c r="AE165" s="449">
        <f>'Monthly D7 Gallon Data'!$N124</f>
        <v>0</v>
      </c>
      <c r="AF165" s="449">
        <f>'Monthly D7 Gallon Data'!$N124</f>
        <v>0</v>
      </c>
      <c r="AG165" s="449">
        <f>'Monthly D7 Gallon Data'!$N124</f>
        <v>0</v>
      </c>
      <c r="AH165" s="449"/>
      <c r="AM165" s="449">
        <v>92971.812953337707</v>
      </c>
      <c r="AN165" s="449">
        <f t="shared" ref="AN165:AN177" si="131">L165-AM165</f>
        <v>-92971.812953337707</v>
      </c>
      <c r="AO165" s="449">
        <v>0</v>
      </c>
      <c r="AP165" s="449">
        <f t="shared" ref="AP165:AP177" si="132">N165-AO165</f>
        <v>0</v>
      </c>
      <c r="AQ165" s="449">
        <v>7594.4690294025413</v>
      </c>
      <c r="AR165" s="449">
        <f t="shared" ref="AR165:AR177" si="133">O165-AQ165</f>
        <v>-7594.4690294025413</v>
      </c>
      <c r="AS165" s="449">
        <v>60218</v>
      </c>
      <c r="AT165" s="449">
        <f t="shared" ref="AT165:AT177" si="134">P165-AS165</f>
        <v>0</v>
      </c>
      <c r="AU165" s="449">
        <v>7089.9204322872374</v>
      </c>
      <c r="AV165" s="449">
        <f>Q165-AU165</f>
        <v>21692.079567712761</v>
      </c>
    </row>
    <row r="166" spans="1:48">
      <c r="A166" s="443" t="s">
        <v>44</v>
      </c>
      <c r="B166" s="449">
        <f>'Monthly D7 Gallon Data'!$N5</f>
        <v>0</v>
      </c>
      <c r="C166" s="449">
        <f>'Monthly D7 Gallon Data'!$N17</f>
        <v>0</v>
      </c>
      <c r="D166" s="449">
        <f>'Monthly D7 Gallon Data'!$N29</f>
        <v>0</v>
      </c>
      <c r="E166" s="449">
        <f>'Monthly D7 Gallon Data'!$N41</f>
        <v>0</v>
      </c>
      <c r="F166" s="449">
        <f>'Monthly D7 Gallon Data'!$N53</f>
        <v>0</v>
      </c>
      <c r="G166" s="449">
        <f>'Monthly D7 Gallon Data'!$N65</f>
        <v>0</v>
      </c>
      <c r="H166" s="449">
        <f>'Monthly D7 Gallon Data'!$N77</f>
        <v>0</v>
      </c>
      <c r="I166" s="449">
        <f>'Monthly D7 Gallon Data'!$N89</f>
        <v>0</v>
      </c>
      <c r="J166" s="449">
        <f>'Monthly D7 Gallon Data'!$N101</f>
        <v>0</v>
      </c>
      <c r="K166" s="449">
        <f>'Monthly D7 Gallon Data'!$N113</f>
        <v>225497</v>
      </c>
      <c r="L166" s="449">
        <f>'Monthly D7 Gallon Data'!$N125</f>
        <v>0</v>
      </c>
      <c r="M166" s="449">
        <f>'Monthly D7 Gallon Data'!$N137</f>
        <v>0</v>
      </c>
      <c r="N166" s="449">
        <f>'Monthly D7 Gallon Data'!$N149</f>
        <v>58930</v>
      </c>
      <c r="O166" s="449">
        <f>'Monthly D7 Gallon Data'!$N161</f>
        <v>0</v>
      </c>
      <c r="P166" s="449">
        <f>'Monthly D7 Gallon Data'!$N173</f>
        <v>0</v>
      </c>
      <c r="Q166" s="449">
        <f>'Monthly D7 Gallon Data'!$N185</f>
        <v>0</v>
      </c>
      <c r="R166" s="450">
        <f t="shared" ref="R166:AB166" si="135">(SUM($H166:$L166)/SUM($H$177:$L$177))*R$177</f>
        <v>10045.402294857344</v>
      </c>
      <c r="S166" s="450">
        <f t="shared" si="135"/>
        <v>9004.7184796997826</v>
      </c>
      <c r="T166" s="450">
        <f t="shared" si="135"/>
        <v>9456.7959158934718</v>
      </c>
      <c r="U166" s="450">
        <f t="shared" si="135"/>
        <v>10021.993867898625</v>
      </c>
      <c r="V166" s="450">
        <f t="shared" si="135"/>
        <v>10276.356782225263</v>
      </c>
      <c r="W166" s="450">
        <f t="shared" si="135"/>
        <v>10622.416048043095</v>
      </c>
      <c r="X166" s="450">
        <f t="shared" si="135"/>
        <v>10631.132060653968</v>
      </c>
      <c r="Y166" s="450">
        <f t="shared" si="135"/>
        <v>11190.564647290204</v>
      </c>
      <c r="Z166" s="450">
        <f t="shared" si="135"/>
        <v>11450.774970440867</v>
      </c>
      <c r="AA166" s="450">
        <f t="shared" si="135"/>
        <v>11688.397574810338</v>
      </c>
      <c r="AB166" s="450">
        <f t="shared" si="135"/>
        <v>11987.078345586069</v>
      </c>
      <c r="AC166" s="450">
        <f t="shared" ref="AC166:AG166" si="136">(SUM($H166:$L166)/SUM($H$177:$L$177))*AC$177</f>
        <v>12287.259109804216</v>
      </c>
      <c r="AD166" s="450">
        <f t="shared" si="136"/>
        <v>12629.981012598468</v>
      </c>
      <c r="AE166" s="450">
        <f t="shared" si="136"/>
        <v>12872.864111629078</v>
      </c>
      <c r="AF166" s="450">
        <f t="shared" si="136"/>
        <v>13176.263532497158</v>
      </c>
      <c r="AG166" s="450">
        <f t="shared" si="136"/>
        <v>13484.24818008993</v>
      </c>
      <c r="AM166" s="449">
        <v>105739.49989932262</v>
      </c>
      <c r="AN166" s="449">
        <f t="shared" si="131"/>
        <v>-105739.49989932262</v>
      </c>
      <c r="AO166" s="449">
        <v>0</v>
      </c>
      <c r="AP166" s="449">
        <f t="shared" si="132"/>
        <v>58930</v>
      </c>
      <c r="AQ166" s="449">
        <v>8637.4066683303226</v>
      </c>
      <c r="AR166" s="449">
        <f t="shared" si="133"/>
        <v>-8637.4066683303226</v>
      </c>
      <c r="AS166" s="449">
        <v>0</v>
      </c>
      <c r="AT166" s="449">
        <f t="shared" si="134"/>
        <v>0</v>
      </c>
      <c r="AU166" s="449">
        <v>8063.569129412439</v>
      </c>
      <c r="AV166" s="449">
        <f t="shared" ref="AV166:AV177" si="137">Q166-AU166</f>
        <v>-8063.569129412439</v>
      </c>
    </row>
    <row r="167" spans="1:48">
      <c r="A167" s="443" t="s">
        <v>45</v>
      </c>
      <c r="B167" s="449">
        <f>'Monthly D7 Gallon Data'!$N6</f>
        <v>0</v>
      </c>
      <c r="C167" s="449">
        <f>'Monthly D7 Gallon Data'!$N18</f>
        <v>0</v>
      </c>
      <c r="D167" s="449">
        <f>'Monthly D7 Gallon Data'!$N30</f>
        <v>0</v>
      </c>
      <c r="E167" s="449">
        <f>'Monthly D7 Gallon Data'!$N42</f>
        <v>0</v>
      </c>
      <c r="F167" s="449">
        <f>'Monthly D7 Gallon Data'!$N54</f>
        <v>472</v>
      </c>
      <c r="G167" s="449">
        <f>'Monthly D7 Gallon Data'!$N66</f>
        <v>0</v>
      </c>
      <c r="H167" s="449">
        <f>'Monthly D7 Gallon Data'!$N78</f>
        <v>127593</v>
      </c>
      <c r="I167" s="449">
        <f>'Monthly D7 Gallon Data'!$N90</f>
        <v>0</v>
      </c>
      <c r="J167" s="449">
        <f>'Monthly D7 Gallon Data'!$N102</f>
        <v>592070</v>
      </c>
      <c r="K167" s="449">
        <f>'Monthly D7 Gallon Data'!$N114</f>
        <v>423217</v>
      </c>
      <c r="L167" s="449">
        <f>'Monthly D7 Gallon Data'!$N126</f>
        <v>0</v>
      </c>
      <c r="M167" s="449">
        <f>'Monthly D7 Gallon Data'!$N138</f>
        <v>0</v>
      </c>
      <c r="N167" s="449">
        <f>'Monthly D7 Gallon Data'!$N150</f>
        <v>0</v>
      </c>
      <c r="O167" s="449">
        <f>'Monthly D7 Gallon Data'!$N162</f>
        <v>0</v>
      </c>
      <c r="P167" s="449">
        <f>'Monthly D7 Gallon Data'!$N174</f>
        <v>60193</v>
      </c>
      <c r="Q167" s="449">
        <f>'Monthly D7 Gallon Data'!$N186</f>
        <v>54155</v>
      </c>
      <c r="R167" s="450">
        <f t="shared" ref="R167:AG167" si="138">(SUM($H167:$L167)/SUM($H$177:$L$177))*R$177</f>
        <v>50912.825335798538</v>
      </c>
      <c r="S167" s="450">
        <f t="shared" si="138"/>
        <v>45638.357300005271</v>
      </c>
      <c r="T167" s="450">
        <f t="shared" si="138"/>
        <v>47929.60844869924</v>
      </c>
      <c r="U167" s="450">
        <f t="shared" si="138"/>
        <v>50794.185074497589</v>
      </c>
      <c r="V167" s="450">
        <f t="shared" si="138"/>
        <v>52083.365363040793</v>
      </c>
      <c r="W167" s="450">
        <f t="shared" si="138"/>
        <v>53837.287649004167</v>
      </c>
      <c r="X167" s="450">
        <f t="shared" si="138"/>
        <v>53881.462766600926</v>
      </c>
      <c r="Y167" s="450">
        <f t="shared" si="138"/>
        <v>56716.818955884242</v>
      </c>
      <c r="Z167" s="450">
        <f t="shared" si="138"/>
        <v>58035.63549944105</v>
      </c>
      <c r="AA167" s="450">
        <f t="shared" si="138"/>
        <v>59239.971353495792</v>
      </c>
      <c r="AB167" s="450">
        <f t="shared" si="138"/>
        <v>60753.766567197825</v>
      </c>
      <c r="AC167" s="450">
        <f t="shared" si="138"/>
        <v>62275.164154791608</v>
      </c>
      <c r="AD167" s="450">
        <f t="shared" si="138"/>
        <v>64012.171779130265</v>
      </c>
      <c r="AE167" s="450">
        <f t="shared" si="138"/>
        <v>65243.169247921891</v>
      </c>
      <c r="AF167" s="450">
        <f t="shared" si="138"/>
        <v>66780.879861019668</v>
      </c>
      <c r="AG167" s="450">
        <f t="shared" si="138"/>
        <v>68341.829647672392</v>
      </c>
      <c r="AM167" s="449">
        <v>219986.40813893444</v>
      </c>
      <c r="AN167" s="449">
        <f t="shared" si="131"/>
        <v>-219986.40813893444</v>
      </c>
      <c r="AO167" s="449">
        <v>0</v>
      </c>
      <c r="AP167" s="449">
        <f t="shared" si="132"/>
        <v>0</v>
      </c>
      <c r="AQ167" s="449">
        <v>43776.721344857629</v>
      </c>
      <c r="AR167" s="449">
        <f t="shared" si="133"/>
        <v>-43776.721344857629</v>
      </c>
      <c r="AS167" s="449">
        <v>60193</v>
      </c>
      <c r="AT167" s="449">
        <f t="shared" si="134"/>
        <v>0</v>
      </c>
      <c r="AU167" s="449">
        <v>40868.356947644046</v>
      </c>
      <c r="AV167" s="449">
        <f t="shared" si="137"/>
        <v>13286.643052355954</v>
      </c>
    </row>
    <row r="168" spans="1:48">
      <c r="A168" s="443" t="s">
        <v>46</v>
      </c>
      <c r="B168" s="449">
        <f>'Monthly D7 Gallon Data'!$N7</f>
        <v>0</v>
      </c>
      <c r="C168" s="449">
        <f>'Monthly D7 Gallon Data'!$N19</f>
        <v>0</v>
      </c>
      <c r="D168" s="449">
        <f>'Monthly D7 Gallon Data'!$N31</f>
        <v>0</v>
      </c>
      <c r="E168" s="449">
        <f>'Monthly D7 Gallon Data'!$N43</f>
        <v>0</v>
      </c>
      <c r="F168" s="449">
        <f>'Monthly D7 Gallon Data'!$N55</f>
        <v>2091</v>
      </c>
      <c r="G168" s="449">
        <f>'Monthly D7 Gallon Data'!$N67</f>
        <v>0</v>
      </c>
      <c r="H168" s="449">
        <f>'Monthly D7 Gallon Data'!$N79</f>
        <v>0</v>
      </c>
      <c r="I168" s="449">
        <f>'Monthly D7 Gallon Data'!$N91</f>
        <v>0</v>
      </c>
      <c r="J168" s="449">
        <f>'Monthly D7 Gallon Data'!$N103</f>
        <v>106260</v>
      </c>
      <c r="K168" s="449">
        <f>'Monthly D7 Gallon Data'!$N115</f>
        <v>239288</v>
      </c>
      <c r="L168" s="449">
        <f>'Monthly D7 Gallon Data'!$N127</f>
        <v>0</v>
      </c>
      <c r="M168" s="449">
        <f>'Monthly D7 Gallon Data'!$N139</f>
        <v>0</v>
      </c>
      <c r="N168" s="449">
        <f>'Monthly D7 Gallon Data'!$N151</f>
        <v>0</v>
      </c>
      <c r="O168" s="449">
        <f>'Monthly D7 Gallon Data'!$N163</f>
        <v>69961</v>
      </c>
      <c r="P168" s="449">
        <f>'Monthly D7 Gallon Data'!$N175</f>
        <v>47750</v>
      </c>
      <c r="Q168" s="450">
        <f t="shared" ref="Q168:AG175" si="139">(SUM($H168:$L168)/SUM($H$177:$L$177))*Q$177</f>
        <v>12356.484501036421</v>
      </c>
      <c r="R168" s="450">
        <f t="shared" si="139"/>
        <v>15393.413979713105</v>
      </c>
      <c r="S168" s="450">
        <f t="shared" si="139"/>
        <v>13798.686728529872</v>
      </c>
      <c r="T168" s="450">
        <f t="shared" si="139"/>
        <v>14491.442968842857</v>
      </c>
      <c r="U168" s="450">
        <f t="shared" si="139"/>
        <v>15357.543280241576</v>
      </c>
      <c r="V168" s="450">
        <f t="shared" si="139"/>
        <v>15747.324946160594</v>
      </c>
      <c r="W168" s="450">
        <f t="shared" si="139"/>
        <v>16277.620636058109</v>
      </c>
      <c r="X168" s="450">
        <f t="shared" si="139"/>
        <v>16290.976914525949</v>
      </c>
      <c r="Y168" s="450">
        <f t="shared" si="139"/>
        <v>17148.24247214746</v>
      </c>
      <c r="Z168" s="450">
        <f t="shared" si="139"/>
        <v>17546.984613923472</v>
      </c>
      <c r="AA168" s="450">
        <f t="shared" si="139"/>
        <v>17911.113696326618</v>
      </c>
      <c r="AB168" s="450">
        <f t="shared" si="139"/>
        <v>18368.807337395065</v>
      </c>
      <c r="AC168" s="450">
        <f t="shared" si="139"/>
        <v>18828.799544449052</v>
      </c>
      <c r="AD168" s="450">
        <f t="shared" si="139"/>
        <v>19353.981112570789</v>
      </c>
      <c r="AE168" s="450">
        <f t="shared" si="139"/>
        <v>19726.171292944939</v>
      </c>
      <c r="AF168" s="450">
        <f t="shared" si="139"/>
        <v>20191.095718024309</v>
      </c>
      <c r="AG168" s="450">
        <f t="shared" si="139"/>
        <v>20663.046471277736</v>
      </c>
      <c r="AM168" s="449">
        <v>63187.43970613429</v>
      </c>
      <c r="AN168" s="449">
        <f t="shared" si="131"/>
        <v>-63187.43970613429</v>
      </c>
      <c r="AO168" s="449">
        <v>0</v>
      </c>
      <c r="AP168" s="449">
        <f t="shared" si="132"/>
        <v>0</v>
      </c>
      <c r="AQ168" s="449">
        <v>0</v>
      </c>
      <c r="AR168" s="449">
        <f t="shared" si="133"/>
        <v>69961</v>
      </c>
      <c r="AS168" s="449">
        <v>47750</v>
      </c>
      <c r="AT168" s="449">
        <f t="shared" si="134"/>
        <v>0</v>
      </c>
      <c r="AU168" s="449">
        <v>12356.484501036421</v>
      </c>
      <c r="AV168" s="449">
        <f t="shared" si="137"/>
        <v>0</v>
      </c>
    </row>
    <row r="169" spans="1:48">
      <c r="A169" s="443" t="s">
        <v>47</v>
      </c>
      <c r="B169" s="449">
        <f>'Monthly D7 Gallon Data'!$N8</f>
        <v>0</v>
      </c>
      <c r="C169" s="449">
        <f>'Monthly D7 Gallon Data'!$N20</f>
        <v>0</v>
      </c>
      <c r="D169" s="449">
        <f>'Monthly D7 Gallon Data'!$N32</f>
        <v>0</v>
      </c>
      <c r="E169" s="449">
        <f>'Monthly D7 Gallon Data'!$N44</f>
        <v>0</v>
      </c>
      <c r="F169" s="449">
        <f>'Monthly D7 Gallon Data'!$N56</f>
        <v>0</v>
      </c>
      <c r="G169" s="449">
        <f>'Monthly D7 Gallon Data'!$N68</f>
        <v>173731</v>
      </c>
      <c r="H169" s="449">
        <f>'Monthly D7 Gallon Data'!$N80</f>
        <v>0</v>
      </c>
      <c r="I169" s="449">
        <f>'Monthly D7 Gallon Data'!$N92</f>
        <v>0</v>
      </c>
      <c r="J169" s="449">
        <f>'Monthly D7 Gallon Data'!$N104</f>
        <v>457786</v>
      </c>
      <c r="K169" s="449">
        <f>'Monthly D7 Gallon Data'!$N116</f>
        <v>132150</v>
      </c>
      <c r="L169" s="449">
        <f>'Monthly D7 Gallon Data'!$N128</f>
        <v>0</v>
      </c>
      <c r="M169" s="449">
        <f>'Monthly D7 Gallon Data'!$N140</f>
        <v>0</v>
      </c>
      <c r="N169" s="449">
        <f>'Monthly D7 Gallon Data'!$N152</f>
        <v>0</v>
      </c>
      <c r="O169" s="449">
        <f>'Monthly D7 Gallon Data'!$N164</f>
        <v>43465</v>
      </c>
      <c r="P169" s="449">
        <f>'Monthly D7 Gallon Data'!$N176</f>
        <v>0</v>
      </c>
      <c r="Q169" s="450">
        <f t="shared" si="139"/>
        <v>21095.57873465748</v>
      </c>
      <c r="R169" s="450">
        <f t="shared" si="139"/>
        <v>26280.369354000111</v>
      </c>
      <c r="S169" s="450">
        <f t="shared" si="139"/>
        <v>23557.775052617868</v>
      </c>
      <c r="T169" s="450">
        <f t="shared" si="139"/>
        <v>24740.481493937979</v>
      </c>
      <c r="U169" s="450">
        <f t="shared" si="139"/>
        <v>26219.129187761453</v>
      </c>
      <c r="V169" s="450">
        <f t="shared" si="139"/>
        <v>26884.583008549311</v>
      </c>
      <c r="W169" s="450">
        <f t="shared" si="139"/>
        <v>27789.929062108815</v>
      </c>
      <c r="X169" s="450">
        <f t="shared" si="139"/>
        <v>27812.731536712065</v>
      </c>
      <c r="Y169" s="450">
        <f t="shared" si="139"/>
        <v>29276.296118191349</v>
      </c>
      <c r="Z169" s="450">
        <f t="shared" si="139"/>
        <v>29957.047690044674</v>
      </c>
      <c r="AA169" s="450">
        <f t="shared" si="139"/>
        <v>30578.706198722433</v>
      </c>
      <c r="AB169" s="450">
        <f t="shared" si="139"/>
        <v>31360.102577336565</v>
      </c>
      <c r="AC169" s="450">
        <f t="shared" si="139"/>
        <v>32145.423177254957</v>
      </c>
      <c r="AD169" s="450">
        <f t="shared" si="139"/>
        <v>33042.038158593197</v>
      </c>
      <c r="AE169" s="450">
        <f t="shared" si="139"/>
        <v>33677.458957582639</v>
      </c>
      <c r="AF169" s="450">
        <f t="shared" si="139"/>
        <v>34471.200074977693</v>
      </c>
      <c r="AG169" s="450">
        <f t="shared" si="139"/>
        <v>35276.936874413113</v>
      </c>
      <c r="AM169" s="449">
        <v>139644.57653369274</v>
      </c>
      <c r="AN169" s="449">
        <f t="shared" si="131"/>
        <v>-139644.57653369274</v>
      </c>
      <c r="AO169" s="449">
        <v>0</v>
      </c>
      <c r="AP169" s="449">
        <f t="shared" si="132"/>
        <v>0</v>
      </c>
      <c r="AQ169" s="449">
        <v>0</v>
      </c>
      <c r="AR169" s="449">
        <f t="shared" si="133"/>
        <v>43465</v>
      </c>
      <c r="AS169" s="450">
        <v>0</v>
      </c>
      <c r="AT169" s="449">
        <f t="shared" si="134"/>
        <v>0</v>
      </c>
      <c r="AU169" s="450">
        <v>21095.57873465748</v>
      </c>
      <c r="AV169" s="449">
        <f t="shared" si="137"/>
        <v>0</v>
      </c>
    </row>
    <row r="170" spans="1:48">
      <c r="A170" s="443" t="s">
        <v>48</v>
      </c>
      <c r="B170" s="449">
        <f>'Monthly D7 Gallon Data'!$N9</f>
        <v>0</v>
      </c>
      <c r="C170" s="449">
        <f>'Monthly D7 Gallon Data'!$N21</f>
        <v>0</v>
      </c>
      <c r="D170" s="449">
        <f>'Monthly D7 Gallon Data'!$N33</f>
        <v>0</v>
      </c>
      <c r="E170" s="449">
        <f>'Monthly D7 Gallon Data'!$N45</f>
        <v>0</v>
      </c>
      <c r="F170" s="449">
        <f>'Monthly D7 Gallon Data'!$N57</f>
        <v>0</v>
      </c>
      <c r="G170" s="449">
        <f>'Monthly D7 Gallon Data'!$N69</f>
        <v>0</v>
      </c>
      <c r="H170" s="449">
        <f>'Monthly D7 Gallon Data'!$N81</f>
        <v>0</v>
      </c>
      <c r="I170" s="449">
        <f>'Monthly D7 Gallon Data'!$N93</f>
        <v>756020</v>
      </c>
      <c r="J170" s="449">
        <f>'Monthly D7 Gallon Data'!$N105</f>
        <v>297480</v>
      </c>
      <c r="K170" s="449">
        <f>'Monthly D7 Gallon Data'!$N117</f>
        <v>107473</v>
      </c>
      <c r="L170" s="449">
        <f>'Monthly D7 Gallon Data'!$N129</f>
        <v>0</v>
      </c>
      <c r="M170" s="449">
        <f>'Monthly D7 Gallon Data'!$N141</f>
        <v>0</v>
      </c>
      <c r="N170" s="449">
        <f>'Monthly D7 Gallon Data'!$N153</f>
        <v>102065</v>
      </c>
      <c r="O170" s="449">
        <f>'Monthly D7 Gallon Data'!$N165</f>
        <v>23954</v>
      </c>
      <c r="P170" s="449">
        <f>'Monthly D7 Gallon Data'!$N177</f>
        <v>24011</v>
      </c>
      <c r="Q170" s="450">
        <f t="shared" si="139"/>
        <v>41515.346292329166</v>
      </c>
      <c r="R170" s="450">
        <f t="shared" si="139"/>
        <v>51718.829245920861</v>
      </c>
      <c r="S170" s="450">
        <f t="shared" si="139"/>
        <v>46360.860798735666</v>
      </c>
      <c r="T170" s="450">
        <f t="shared" si="139"/>
        <v>48688.38487812518</v>
      </c>
      <c r="U170" s="450">
        <f t="shared" si="139"/>
        <v>51598.310783717177</v>
      </c>
      <c r="V170" s="450">
        <f t="shared" si="139"/>
        <v>52907.900160669153</v>
      </c>
      <c r="W170" s="450">
        <f t="shared" si="139"/>
        <v>54689.588892733547</v>
      </c>
      <c r="X170" s="450">
        <f t="shared" si="139"/>
        <v>54734.463349195874</v>
      </c>
      <c r="Y170" s="450">
        <f t="shared" si="139"/>
        <v>57614.706227836519</v>
      </c>
      <c r="Z170" s="450">
        <f t="shared" si="139"/>
        <v>58954.401033085342</v>
      </c>
      <c r="AA170" s="450">
        <f t="shared" si="139"/>
        <v>60177.802798353347</v>
      </c>
      <c r="AB170" s="450">
        <f t="shared" si="139"/>
        <v>61715.562992457089</v>
      </c>
      <c r="AC170" s="450">
        <f t="shared" si="139"/>
        <v>63261.045914077491</v>
      </c>
      <c r="AD170" s="450">
        <f t="shared" si="139"/>
        <v>65025.552207521534</v>
      </c>
      <c r="AE170" s="450">
        <f t="shared" si="139"/>
        <v>66276.03766910579</v>
      </c>
      <c r="AF170" s="450">
        <f t="shared" si="139"/>
        <v>67838.091868689269</v>
      </c>
      <c r="AG170" s="450">
        <f t="shared" si="139"/>
        <v>69423.753142540911</v>
      </c>
      <c r="AM170" s="449">
        <v>217882.45974495541</v>
      </c>
      <c r="AN170" s="449">
        <f t="shared" si="131"/>
        <v>-217882.45974495541</v>
      </c>
      <c r="AO170" s="449">
        <v>0</v>
      </c>
      <c r="AP170" s="449">
        <f t="shared" si="132"/>
        <v>102065</v>
      </c>
      <c r="AQ170" s="449">
        <v>35783.094288426451</v>
      </c>
      <c r="AR170" s="449">
        <f t="shared" si="133"/>
        <v>-11829.094288426451</v>
      </c>
      <c r="AS170" s="450">
        <v>24011</v>
      </c>
      <c r="AT170" s="449">
        <f t="shared" si="134"/>
        <v>0</v>
      </c>
      <c r="AU170" s="450">
        <v>41515.346292329166</v>
      </c>
      <c r="AV170" s="449">
        <f t="shared" si="137"/>
        <v>0</v>
      </c>
    </row>
    <row r="171" spans="1:48">
      <c r="A171" s="443" t="s">
        <v>49</v>
      </c>
      <c r="B171" s="449">
        <f>'Monthly D7 Gallon Data'!$N10</f>
        <v>0</v>
      </c>
      <c r="C171" s="449">
        <f>'Monthly D7 Gallon Data'!$N22</f>
        <v>0</v>
      </c>
      <c r="D171" s="449">
        <f>'Monthly D7 Gallon Data'!$N34</f>
        <v>0</v>
      </c>
      <c r="E171" s="449">
        <f>'Monthly D7 Gallon Data'!$N46</f>
        <v>0</v>
      </c>
      <c r="F171" s="449">
        <f>'Monthly D7 Gallon Data'!$N58</f>
        <v>1248</v>
      </c>
      <c r="G171" s="449">
        <f>'Monthly D7 Gallon Data'!$N70</f>
        <v>0</v>
      </c>
      <c r="H171" s="449">
        <f>'Monthly D7 Gallon Data'!$N82</f>
        <v>0</v>
      </c>
      <c r="I171" s="449">
        <f>'Monthly D7 Gallon Data'!$N94</f>
        <v>0</v>
      </c>
      <c r="J171" s="449">
        <f>'Monthly D7 Gallon Data'!$N106</f>
        <v>0</v>
      </c>
      <c r="K171" s="449">
        <f>'Monthly D7 Gallon Data'!$N118</f>
        <v>0</v>
      </c>
      <c r="L171" s="449">
        <f>'Monthly D7 Gallon Data'!$N130</f>
        <v>0</v>
      </c>
      <c r="M171" s="449">
        <f>'Monthly D7 Gallon Data'!$N142</f>
        <v>0</v>
      </c>
      <c r="N171" s="449">
        <f>'Monthly D7 Gallon Data'!$N154</f>
        <v>0</v>
      </c>
      <c r="O171" s="449">
        <f>'Monthly D7 Gallon Data'!$N166</f>
        <v>0</v>
      </c>
      <c r="P171" s="449">
        <f>'Monthly D7 Gallon Data'!$N178</f>
        <v>12018</v>
      </c>
      <c r="Q171" s="450">
        <f t="shared" si="139"/>
        <v>0</v>
      </c>
      <c r="R171" s="450">
        <f t="shared" si="139"/>
        <v>0</v>
      </c>
      <c r="S171" s="450">
        <f t="shared" si="139"/>
        <v>0</v>
      </c>
      <c r="T171" s="450">
        <f t="shared" si="139"/>
        <v>0</v>
      </c>
      <c r="U171" s="450">
        <f t="shared" si="139"/>
        <v>0</v>
      </c>
      <c r="V171" s="450">
        <f t="shared" si="139"/>
        <v>0</v>
      </c>
      <c r="W171" s="450">
        <f t="shared" si="139"/>
        <v>0</v>
      </c>
      <c r="X171" s="450">
        <f t="shared" si="139"/>
        <v>0</v>
      </c>
      <c r="Y171" s="450">
        <f t="shared" si="139"/>
        <v>0</v>
      </c>
      <c r="Z171" s="450">
        <f t="shared" si="139"/>
        <v>0</v>
      </c>
      <c r="AA171" s="450">
        <f t="shared" si="139"/>
        <v>0</v>
      </c>
      <c r="AB171" s="450">
        <f t="shared" si="139"/>
        <v>0</v>
      </c>
      <c r="AC171" s="450">
        <f t="shared" si="139"/>
        <v>0</v>
      </c>
      <c r="AD171" s="450">
        <f t="shared" si="139"/>
        <v>0</v>
      </c>
      <c r="AE171" s="450">
        <f t="shared" si="139"/>
        <v>0</v>
      </c>
      <c r="AF171" s="450">
        <f t="shared" si="139"/>
        <v>0</v>
      </c>
      <c r="AG171" s="450">
        <f t="shared" si="139"/>
        <v>0</v>
      </c>
      <c r="AK171" s="449">
        <v>945.92402569706621</v>
      </c>
      <c r="AL171" s="449">
        <f t="shared" ref="AL171:AL177" si="140">K171-AK171</f>
        <v>-945.92402569706621</v>
      </c>
      <c r="AM171" s="449">
        <v>0</v>
      </c>
      <c r="AN171" s="449">
        <f t="shared" si="131"/>
        <v>0</v>
      </c>
      <c r="AO171" s="449">
        <v>0</v>
      </c>
      <c r="AP171" s="449">
        <f t="shared" si="132"/>
        <v>0</v>
      </c>
      <c r="AQ171" s="449">
        <v>0</v>
      </c>
      <c r="AR171" s="449">
        <f t="shared" si="133"/>
        <v>0</v>
      </c>
      <c r="AS171" s="450">
        <v>12018</v>
      </c>
      <c r="AT171" s="449">
        <f t="shared" si="134"/>
        <v>0</v>
      </c>
      <c r="AU171" s="450">
        <v>0</v>
      </c>
      <c r="AV171" s="449">
        <f t="shared" si="137"/>
        <v>0</v>
      </c>
    </row>
    <row r="172" spans="1:48">
      <c r="A172" s="443" t="s">
        <v>50</v>
      </c>
      <c r="B172" s="449">
        <f>'Monthly D7 Gallon Data'!$N11</f>
        <v>0</v>
      </c>
      <c r="C172" s="449">
        <f>'Monthly D7 Gallon Data'!$N23</f>
        <v>0</v>
      </c>
      <c r="D172" s="449">
        <f>'Monthly D7 Gallon Data'!$N35</f>
        <v>0</v>
      </c>
      <c r="E172" s="449">
        <f>'Monthly D7 Gallon Data'!$N47</f>
        <v>0</v>
      </c>
      <c r="F172" s="449">
        <f>'Monthly D7 Gallon Data'!$N59</f>
        <v>5532</v>
      </c>
      <c r="G172" s="449">
        <f>'Monthly D7 Gallon Data'!$N71</f>
        <v>53303</v>
      </c>
      <c r="H172" s="449">
        <f>'Monthly D7 Gallon Data'!$N83</f>
        <v>0</v>
      </c>
      <c r="I172" s="449">
        <f>'Monthly D7 Gallon Data'!$N95</f>
        <v>282632</v>
      </c>
      <c r="J172" s="449">
        <f>'Monthly D7 Gallon Data'!$N107</f>
        <v>0</v>
      </c>
      <c r="K172" s="449">
        <f>'Monthly D7 Gallon Data'!$N119</f>
        <v>39325</v>
      </c>
      <c r="L172" s="449">
        <f>'Monthly D7 Gallon Data'!$N131</f>
        <v>0</v>
      </c>
      <c r="M172" s="449">
        <f>'Monthly D7 Gallon Data'!$N143</f>
        <v>0</v>
      </c>
      <c r="N172" s="449">
        <f>'Monthly D7 Gallon Data'!$N155</f>
        <v>30374</v>
      </c>
      <c r="O172" s="449">
        <f>'Monthly D7 Gallon Data'!$N167</f>
        <v>28704</v>
      </c>
      <c r="P172" s="449">
        <f>'Monthly D7 Gallon Data'!$N179</f>
        <v>0</v>
      </c>
      <c r="Q172" s="450">
        <f t="shared" si="139"/>
        <v>11512.89164023575</v>
      </c>
      <c r="R172" s="450">
        <f t="shared" si="139"/>
        <v>14342.486093586107</v>
      </c>
      <c r="S172" s="450">
        <f t="shared" si="139"/>
        <v>12856.632893425203</v>
      </c>
      <c r="T172" s="450">
        <f t="shared" si="139"/>
        <v>13502.093787027388</v>
      </c>
      <c r="U172" s="450">
        <f t="shared" si="139"/>
        <v>14309.064332239623</v>
      </c>
      <c r="V172" s="450">
        <f t="shared" si="139"/>
        <v>14672.235109712765</v>
      </c>
      <c r="W172" s="450">
        <f t="shared" si="139"/>
        <v>15166.326840622318</v>
      </c>
      <c r="X172" s="450">
        <f t="shared" si="139"/>
        <v>15178.771269027837</v>
      </c>
      <c r="Y172" s="450">
        <f t="shared" si="139"/>
        <v>15977.510220302765</v>
      </c>
      <c r="Z172" s="450">
        <f t="shared" si="139"/>
        <v>16349.029730587239</v>
      </c>
      <c r="AA172" s="450">
        <f t="shared" si="139"/>
        <v>16688.299258940086</v>
      </c>
      <c r="AB172" s="450">
        <f t="shared" si="139"/>
        <v>17114.745574929399</v>
      </c>
      <c r="AC172" s="450">
        <f t="shared" si="139"/>
        <v>17543.333530890595</v>
      </c>
      <c r="AD172" s="450">
        <f t="shared" si="139"/>
        <v>18032.660287601011</v>
      </c>
      <c r="AE172" s="450">
        <f t="shared" si="139"/>
        <v>18379.440572547588</v>
      </c>
      <c r="AF172" s="450">
        <f t="shared" si="139"/>
        <v>18812.624017757167</v>
      </c>
      <c r="AG172" s="450">
        <f t="shared" si="139"/>
        <v>19252.354094809307</v>
      </c>
      <c r="AK172" s="449">
        <v>258815.57634831744</v>
      </c>
      <c r="AL172" s="449">
        <f t="shared" si="140"/>
        <v>-219490.57634831744</v>
      </c>
      <c r="AM172" s="449">
        <v>49969.799257038605</v>
      </c>
      <c r="AN172" s="449">
        <f t="shared" si="131"/>
        <v>-49969.799257038605</v>
      </c>
      <c r="AO172" s="449">
        <v>0</v>
      </c>
      <c r="AP172" s="449">
        <f t="shared" si="132"/>
        <v>30374</v>
      </c>
      <c r="AQ172" s="449">
        <v>39692.973696438814</v>
      </c>
      <c r="AR172" s="449">
        <f t="shared" si="133"/>
        <v>-10988.973696438814</v>
      </c>
      <c r="AS172" s="450">
        <v>0</v>
      </c>
      <c r="AT172" s="449">
        <f t="shared" si="134"/>
        <v>0</v>
      </c>
      <c r="AU172" s="450">
        <v>11512.89164023575</v>
      </c>
      <c r="AV172" s="449">
        <f t="shared" si="137"/>
        <v>0</v>
      </c>
    </row>
    <row r="173" spans="1:48">
      <c r="A173" s="443" t="s">
        <v>51</v>
      </c>
      <c r="B173" s="449">
        <f>'Monthly D7 Gallon Data'!$N12</f>
        <v>0</v>
      </c>
      <c r="C173" s="449">
        <f>'Monthly D7 Gallon Data'!$N24</f>
        <v>0</v>
      </c>
      <c r="D173" s="449">
        <f>'Monthly D7 Gallon Data'!$N36</f>
        <v>0</v>
      </c>
      <c r="E173" s="449">
        <f>'Monthly D7 Gallon Data'!$N48</f>
        <v>0</v>
      </c>
      <c r="F173" s="449">
        <f>'Monthly D7 Gallon Data'!$N60</f>
        <v>17073</v>
      </c>
      <c r="G173" s="449">
        <f>'Monthly D7 Gallon Data'!$N72</f>
        <v>0</v>
      </c>
      <c r="H173" s="449">
        <f>'Monthly D7 Gallon Data'!$N84</f>
        <v>99563</v>
      </c>
      <c r="I173" s="449">
        <f>'Monthly D7 Gallon Data'!$N96</f>
        <v>0</v>
      </c>
      <c r="J173" s="449">
        <f>'Monthly D7 Gallon Data'!$N108</f>
        <v>0</v>
      </c>
      <c r="K173" s="449">
        <f>'Monthly D7 Gallon Data'!$N120</f>
        <v>0</v>
      </c>
      <c r="L173" s="449">
        <f>'Monthly D7 Gallon Data'!$N132</f>
        <v>0</v>
      </c>
      <c r="M173" s="449">
        <f>'Monthly D7 Gallon Data'!$N144</f>
        <v>0</v>
      </c>
      <c r="N173" s="449">
        <f>'Monthly D7 Gallon Data'!$N156</f>
        <v>11086</v>
      </c>
      <c r="O173" s="449">
        <f>'Monthly D7 Gallon Data'!$N168</f>
        <v>0</v>
      </c>
      <c r="P173" s="449">
        <f>'Monthly D7 Gallon Data'!$N180</f>
        <v>23774</v>
      </c>
      <c r="Q173" s="450">
        <f t="shared" si="139"/>
        <v>3560.2829892712134</v>
      </c>
      <c r="R173" s="450">
        <f t="shared" si="139"/>
        <v>4435.3157189802168</v>
      </c>
      <c r="S173" s="450">
        <f t="shared" si="139"/>
        <v>3975.8257803622646</v>
      </c>
      <c r="T173" s="450">
        <f t="shared" si="139"/>
        <v>4175.4301466276802</v>
      </c>
      <c r="U173" s="450">
        <f t="shared" si="139"/>
        <v>4424.9802678953201</v>
      </c>
      <c r="V173" s="450">
        <f t="shared" si="139"/>
        <v>4537.2883466684434</v>
      </c>
      <c r="W173" s="450">
        <f t="shared" si="139"/>
        <v>4690.0828347663819</v>
      </c>
      <c r="X173" s="450">
        <f t="shared" si="139"/>
        <v>4693.9311891284196</v>
      </c>
      <c r="Y173" s="450">
        <f t="shared" si="139"/>
        <v>4940.9357462766902</v>
      </c>
      <c r="Z173" s="450">
        <f t="shared" si="139"/>
        <v>5055.8256135647225</v>
      </c>
      <c r="AA173" s="450">
        <f t="shared" si="139"/>
        <v>5160.7423945366991</v>
      </c>
      <c r="AB173" s="450">
        <f t="shared" si="139"/>
        <v>5292.6180007786616</v>
      </c>
      <c r="AC173" s="450">
        <f t="shared" si="139"/>
        <v>5425.1558945326869</v>
      </c>
      <c r="AD173" s="450">
        <f t="shared" si="139"/>
        <v>5576.4768469529145</v>
      </c>
      <c r="AE173" s="450">
        <f t="shared" si="139"/>
        <v>5683.7162780264307</v>
      </c>
      <c r="AF173" s="450">
        <f t="shared" si="139"/>
        <v>5817.675295396456</v>
      </c>
      <c r="AG173" s="450">
        <f t="shared" si="139"/>
        <v>5953.6588138835277</v>
      </c>
      <c r="AK173" s="449">
        <v>88404.482901604992</v>
      </c>
      <c r="AL173" s="449">
        <f t="shared" si="140"/>
        <v>-88404.482901604992</v>
      </c>
      <c r="AM173" s="449">
        <v>13258.222177766173</v>
      </c>
      <c r="AN173" s="449">
        <f t="shared" si="131"/>
        <v>-13258.222177766173</v>
      </c>
      <c r="AO173" s="449">
        <v>0</v>
      </c>
      <c r="AP173" s="449">
        <f t="shared" si="132"/>
        <v>11086</v>
      </c>
      <c r="AQ173" s="449">
        <v>28866.374143704648</v>
      </c>
      <c r="AR173" s="449">
        <f t="shared" si="133"/>
        <v>-28866.374143704648</v>
      </c>
      <c r="AS173" s="450">
        <v>0</v>
      </c>
      <c r="AT173" s="449">
        <f t="shared" si="134"/>
        <v>23774</v>
      </c>
      <c r="AU173" s="450">
        <v>3560.2829892712134</v>
      </c>
      <c r="AV173" s="449">
        <f t="shared" si="137"/>
        <v>0</v>
      </c>
    </row>
    <row r="174" spans="1:48">
      <c r="A174" s="443" t="s">
        <v>52</v>
      </c>
      <c r="B174" s="449">
        <f>'Monthly D7 Gallon Data'!$N13</f>
        <v>0</v>
      </c>
      <c r="C174" s="449">
        <f>'Monthly D7 Gallon Data'!$N25</f>
        <v>0</v>
      </c>
      <c r="D174" s="449">
        <f>'Monthly D7 Gallon Data'!$N37</f>
        <v>0</v>
      </c>
      <c r="E174" s="449">
        <f>'Monthly D7 Gallon Data'!$N49</f>
        <v>0</v>
      </c>
      <c r="F174" s="449">
        <f>'Monthly D7 Gallon Data'!$N61</f>
        <v>24030</v>
      </c>
      <c r="G174" s="449">
        <f>'Monthly D7 Gallon Data'!$N73</f>
        <v>0</v>
      </c>
      <c r="H174" s="449">
        <f>'Monthly D7 Gallon Data'!$N85</f>
        <v>229819</v>
      </c>
      <c r="I174" s="449">
        <f>'Monthly D7 Gallon Data'!$N97</f>
        <v>377775</v>
      </c>
      <c r="J174" s="449">
        <f>'Monthly D7 Gallon Data'!$N109</f>
        <v>533819</v>
      </c>
      <c r="K174" s="449">
        <f>'Monthly D7 Gallon Data'!$N121</f>
        <v>0</v>
      </c>
      <c r="L174" s="449">
        <f>'Monthly D7 Gallon Data'!$N133</f>
        <v>0</v>
      </c>
      <c r="M174" s="449">
        <f>'Monthly D7 Gallon Data'!$N145</f>
        <v>60338</v>
      </c>
      <c r="N174" s="449">
        <f>'Monthly D7 Gallon Data'!$N157</f>
        <v>0</v>
      </c>
      <c r="O174" s="449">
        <f>'Monthly D7 Gallon Data'!$N169</f>
        <v>0</v>
      </c>
      <c r="P174" s="449">
        <f>'Monthly D7 Gallon Data'!$N181</f>
        <v>0</v>
      </c>
      <c r="Q174" s="450">
        <f t="shared" si="139"/>
        <v>40815.898352129036</v>
      </c>
      <c r="R174" s="450">
        <f t="shared" si="139"/>
        <v>50847.473667410239</v>
      </c>
      <c r="S174" s="450">
        <f t="shared" si="139"/>
        <v>45579.775935243342</v>
      </c>
      <c r="T174" s="450">
        <f t="shared" si="139"/>
        <v>47868.086035502543</v>
      </c>
      <c r="U174" s="450">
        <f t="shared" si="139"/>
        <v>50728.985692668975</v>
      </c>
      <c r="V174" s="450">
        <f t="shared" si="139"/>
        <v>52016.511190260113</v>
      </c>
      <c r="W174" s="450">
        <f t="shared" si="139"/>
        <v>53768.182142755839</v>
      </c>
      <c r="X174" s="450">
        <f t="shared" si="139"/>
        <v>53812.300557201335</v>
      </c>
      <c r="Y174" s="450">
        <f t="shared" si="139"/>
        <v>56644.017285185408</v>
      </c>
      <c r="Z174" s="450">
        <f t="shared" si="139"/>
        <v>57961.140996713133</v>
      </c>
      <c r="AA174" s="450">
        <f t="shared" si="139"/>
        <v>59163.930966074913</v>
      </c>
      <c r="AB174" s="450">
        <f t="shared" si="139"/>
        <v>60675.78307325788</v>
      </c>
      <c r="AC174" s="450">
        <f t="shared" si="139"/>
        <v>62195.227795930587</v>
      </c>
      <c r="AD174" s="450">
        <f t="shared" si="139"/>
        <v>63930.005798449893</v>
      </c>
      <c r="AE174" s="450">
        <f t="shared" si="139"/>
        <v>65159.423159717786</v>
      </c>
      <c r="AF174" s="450">
        <f t="shared" si="139"/>
        <v>66695.159968505919</v>
      </c>
      <c r="AG174" s="450">
        <f t="shared" si="139"/>
        <v>68254.106121061428</v>
      </c>
      <c r="AK174" s="449">
        <v>883349.78708370682</v>
      </c>
      <c r="AL174" s="449">
        <f t="shared" si="140"/>
        <v>-883349.78708370682</v>
      </c>
      <c r="AM174" s="449">
        <v>153087.97138084049</v>
      </c>
      <c r="AN174" s="449">
        <f t="shared" si="131"/>
        <v>-153087.97138084049</v>
      </c>
      <c r="AO174" s="449">
        <v>0</v>
      </c>
      <c r="AP174" s="449">
        <f t="shared" si="132"/>
        <v>0</v>
      </c>
      <c r="AQ174" s="449">
        <v>21906.963958720487</v>
      </c>
      <c r="AR174" s="449">
        <f t="shared" si="133"/>
        <v>-21906.963958720487</v>
      </c>
      <c r="AS174" s="450">
        <v>0</v>
      </c>
      <c r="AT174" s="449">
        <f t="shared" si="134"/>
        <v>0</v>
      </c>
      <c r="AU174" s="450">
        <v>40815.898352129036</v>
      </c>
      <c r="AV174" s="449">
        <f t="shared" si="137"/>
        <v>0</v>
      </c>
    </row>
    <row r="175" spans="1:48">
      <c r="A175" s="443" t="s">
        <v>53</v>
      </c>
      <c r="B175" s="449">
        <f>'Monthly D7 Gallon Data'!$N14</f>
        <v>0</v>
      </c>
      <c r="C175" s="449">
        <f>'Monthly D7 Gallon Data'!$N26</f>
        <v>0</v>
      </c>
      <c r="D175" s="449">
        <f>'Monthly D7 Gallon Data'!$N38</f>
        <v>0</v>
      </c>
      <c r="E175" s="449">
        <f>'Monthly D7 Gallon Data'!$N50</f>
        <v>0</v>
      </c>
      <c r="F175" s="449">
        <f>'Monthly D7 Gallon Data'!$N62</f>
        <v>0</v>
      </c>
      <c r="G175" s="449">
        <f>'Monthly D7 Gallon Data'!$N74</f>
        <v>48281</v>
      </c>
      <c r="H175" s="449">
        <f>'Monthly D7 Gallon Data'!$N86</f>
        <v>77454</v>
      </c>
      <c r="I175" s="449">
        <f>'Monthly D7 Gallon Data'!$N98</f>
        <v>0</v>
      </c>
      <c r="J175" s="449">
        <f>'Monthly D7 Gallon Data'!$N110</f>
        <v>185644</v>
      </c>
      <c r="K175" s="449">
        <f>'Monthly D7 Gallon Data'!$N122</f>
        <v>0</v>
      </c>
      <c r="L175" s="449">
        <f>'Monthly D7 Gallon Data'!$N134</f>
        <v>55892</v>
      </c>
      <c r="M175" s="449">
        <f>'Monthly D7 Gallon Data'!$N146</f>
        <v>6435</v>
      </c>
      <c r="N175" s="449">
        <f>'Monthly D7 Gallon Data'!$N158</f>
        <v>0</v>
      </c>
      <c r="O175" s="449">
        <f>'Monthly D7 Gallon Data'!$N170</f>
        <v>42559</v>
      </c>
      <c r="P175" s="449">
        <f>'Monthly D7 Gallon Data'!$N182</f>
        <v>0</v>
      </c>
      <c r="Q175" s="450">
        <f t="shared" si="139"/>
        <v>11406.794398999873</v>
      </c>
      <c r="R175" s="450">
        <f t="shared" si="139"/>
        <v>14210.312678379511</v>
      </c>
      <c r="S175" s="450">
        <f t="shared" si="139"/>
        <v>12738.152382689941</v>
      </c>
      <c r="T175" s="450">
        <f t="shared" si="139"/>
        <v>13377.665020868832</v>
      </c>
      <c r="U175" s="450">
        <f t="shared" si="139"/>
        <v>14177.19891582142</v>
      </c>
      <c r="V175" s="450">
        <f t="shared" si="139"/>
        <v>14537.022887054094</v>
      </c>
      <c r="W175" s="450">
        <f t="shared" si="139"/>
        <v>15026.561307535208</v>
      </c>
      <c r="X175" s="450">
        <f t="shared" si="139"/>
        <v>15038.891054107193</v>
      </c>
      <c r="Y175" s="450">
        <f t="shared" si="139"/>
        <v>15830.269213511056</v>
      </c>
      <c r="Z175" s="450">
        <f t="shared" si="139"/>
        <v>16198.364979671269</v>
      </c>
      <c r="AA175" s="450">
        <f t="shared" si="139"/>
        <v>16534.507964135886</v>
      </c>
      <c r="AB175" s="450">
        <f t="shared" si="139"/>
        <v>16957.024357124486</v>
      </c>
      <c r="AC175" s="450">
        <f t="shared" si="139"/>
        <v>17381.662653766776</v>
      </c>
      <c r="AD175" s="450">
        <f t="shared" si="139"/>
        <v>17866.480011746433</v>
      </c>
      <c r="AE175" s="450">
        <f t="shared" si="139"/>
        <v>18210.06453730453</v>
      </c>
      <c r="AF175" s="450">
        <f t="shared" si="139"/>
        <v>18639.255973388863</v>
      </c>
      <c r="AG175" s="450">
        <f t="shared" si="139"/>
        <v>19074.933710722922</v>
      </c>
      <c r="AK175" s="449">
        <v>236010.31826724907</v>
      </c>
      <c r="AL175" s="449">
        <f t="shared" si="140"/>
        <v>-236010.31826724907</v>
      </c>
      <c r="AM175" s="449">
        <v>1.6464656704197489E-6</v>
      </c>
      <c r="AN175" s="449">
        <f t="shared" si="131"/>
        <v>55891.999998353531</v>
      </c>
      <c r="AO175" s="450">
        <v>0</v>
      </c>
      <c r="AP175" s="449">
        <f t="shared" si="132"/>
        <v>0</v>
      </c>
      <c r="AQ175" s="450">
        <v>23109.060816016856</v>
      </c>
      <c r="AR175" s="449">
        <f t="shared" si="133"/>
        <v>19449.939183983144</v>
      </c>
      <c r="AS175" s="450">
        <v>10089.650045573533</v>
      </c>
      <c r="AT175" s="449">
        <f t="shared" si="134"/>
        <v>-10089.650045573533</v>
      </c>
      <c r="AU175" s="450">
        <v>11406.794398999873</v>
      </c>
      <c r="AV175" s="449">
        <f t="shared" si="137"/>
        <v>0</v>
      </c>
    </row>
    <row r="176" spans="1:48">
      <c r="A176" s="443" t="s">
        <v>54</v>
      </c>
      <c r="B176" s="449">
        <f>'Monthly D7 Gallon Data'!$N15</f>
        <v>0</v>
      </c>
      <c r="C176" s="449">
        <f>'Monthly D7 Gallon Data'!$N27</f>
        <v>0</v>
      </c>
      <c r="D176" s="449">
        <f>'Monthly D7 Gallon Data'!$N39</f>
        <v>0</v>
      </c>
      <c r="E176" s="449">
        <f>'Monthly D7 Gallon Data'!$N51</f>
        <v>0</v>
      </c>
      <c r="F176" s="449">
        <f>'Monthly D7 Gallon Data'!$N63</f>
        <v>0</v>
      </c>
      <c r="G176" s="449">
        <f>'Monthly D7 Gallon Data'!$N75</f>
        <v>0</v>
      </c>
      <c r="H176" s="449">
        <f>'Monthly D7 Gallon Data'!$N87</f>
        <v>0</v>
      </c>
      <c r="I176" s="449">
        <f>'Monthly D7 Gallon Data'!$N99</f>
        <v>327008</v>
      </c>
      <c r="J176" s="449">
        <f>'Monthly D7 Gallon Data'!$N111</f>
        <v>217665</v>
      </c>
      <c r="K176" s="449">
        <f>'Monthly D7 Gallon Data'!$N123</f>
        <v>0</v>
      </c>
      <c r="L176" s="449">
        <f>'Monthly D7 Gallon Data'!$N135</f>
        <v>0</v>
      </c>
      <c r="M176" s="449">
        <f>'Monthly D7 Gallon Data'!$N147</f>
        <v>180745</v>
      </c>
      <c r="N176" s="449">
        <f>'Monthly D7 Gallon Data'!$N159</f>
        <v>33897</v>
      </c>
      <c r="O176" s="449">
        <f>'Monthly D7 Gallon Data'!$N171</f>
        <v>0</v>
      </c>
      <c r="P176" s="449">
        <f>'Monthly D7 Gallon Data'!$N183</f>
        <v>0</v>
      </c>
      <c r="Q176" s="450">
        <f t="shared" ref="Q176:AG176" si="141">Q177-SUM(Q165:Q175)</f>
        <v>-7438.1387701745844</v>
      </c>
      <c r="R176" s="450">
        <f t="shared" si="141"/>
        <v>33096.454816453916</v>
      </c>
      <c r="S176" s="450">
        <f t="shared" si="141"/>
        <v>29667.72753848217</v>
      </c>
      <c r="T176" s="450">
        <f t="shared" si="141"/>
        <v>31157.181121459376</v>
      </c>
      <c r="U176" s="450">
        <f t="shared" si="141"/>
        <v>33019.33138003762</v>
      </c>
      <c r="V176" s="450">
        <f t="shared" si="141"/>
        <v>33857.377528304147</v>
      </c>
      <c r="W176" s="450">
        <f t="shared" si="141"/>
        <v>34997.534439771844</v>
      </c>
      <c r="X176" s="450">
        <f t="shared" si="141"/>
        <v>35026.250971881585</v>
      </c>
      <c r="Y176" s="450">
        <f t="shared" si="141"/>
        <v>36869.406157009071</v>
      </c>
      <c r="Z176" s="450">
        <f t="shared" si="141"/>
        <v>37726.717686218792</v>
      </c>
      <c r="AA176" s="450">
        <f t="shared" si="141"/>
        <v>38509.609755450103</v>
      </c>
      <c r="AB176" s="450">
        <f t="shared" si="141"/>
        <v>39493.669362458983</v>
      </c>
      <c r="AC176" s="450">
        <f t="shared" si="141"/>
        <v>40482.67097813345</v>
      </c>
      <c r="AD176" s="450">
        <f t="shared" si="141"/>
        <v>41611.832323542738</v>
      </c>
      <c r="AE176" s="450">
        <f t="shared" si="141"/>
        <v>42412.056075344328</v>
      </c>
      <c r="AF176" s="450">
        <f t="shared" si="141"/>
        <v>43411.662156749342</v>
      </c>
      <c r="AG176" s="450">
        <f t="shared" si="141"/>
        <v>44426.375124335871</v>
      </c>
      <c r="AK176" s="449">
        <v>1078681.2832535258</v>
      </c>
      <c r="AL176" s="449">
        <f t="shared" si="140"/>
        <v>-1078681.2832535258</v>
      </c>
      <c r="AM176" s="449">
        <v>0</v>
      </c>
      <c r="AN176" s="449">
        <f t="shared" si="131"/>
        <v>0</v>
      </c>
      <c r="AO176" s="450">
        <v>0</v>
      </c>
      <c r="AP176" s="449">
        <f t="shared" si="132"/>
        <v>33897</v>
      </c>
      <c r="AQ176" s="450">
        <v>61066.303246295545</v>
      </c>
      <c r="AR176" s="449">
        <f t="shared" si="133"/>
        <v>-61066.303246295545</v>
      </c>
      <c r="AS176" s="450">
        <v>1344.9295539109444</v>
      </c>
      <c r="AT176" s="449">
        <f t="shared" si="134"/>
        <v>-1344.9295539109444</v>
      </c>
      <c r="AU176" s="450">
        <v>19477.014720481704</v>
      </c>
      <c r="AV176" s="449">
        <f t="shared" si="137"/>
        <v>-26915.153490656288</v>
      </c>
    </row>
    <row r="177" spans="1:48" ht="12" thickBot="1">
      <c r="A177" s="443" t="s">
        <v>29</v>
      </c>
      <c r="B177" s="449">
        <f t="shared" ref="B177:P177" si="142">SUM(B165:B176)</f>
        <v>0</v>
      </c>
      <c r="C177" s="449">
        <f t="shared" si="142"/>
        <v>0</v>
      </c>
      <c r="D177" s="449">
        <f t="shared" si="142"/>
        <v>0</v>
      </c>
      <c r="E177" s="449">
        <f t="shared" si="142"/>
        <v>0</v>
      </c>
      <c r="F177" s="449">
        <f t="shared" si="142"/>
        <v>50446</v>
      </c>
      <c r="G177" s="449">
        <f t="shared" si="142"/>
        <v>275315</v>
      </c>
      <c r="H177" s="449">
        <f t="shared" si="142"/>
        <v>534429</v>
      </c>
      <c r="I177" s="449">
        <f t="shared" si="142"/>
        <v>1743435</v>
      </c>
      <c r="J177" s="449">
        <f t="shared" si="142"/>
        <v>2440000</v>
      </c>
      <c r="K177" s="449">
        <f t="shared" si="142"/>
        <v>1315943</v>
      </c>
      <c r="L177" s="449">
        <f t="shared" si="142"/>
        <v>55892</v>
      </c>
      <c r="M177" s="449">
        <f t="shared" si="142"/>
        <v>247518</v>
      </c>
      <c r="N177" s="449">
        <f t="shared" si="142"/>
        <v>236352</v>
      </c>
      <c r="O177" s="449">
        <f t="shared" si="142"/>
        <v>208643</v>
      </c>
      <c r="P177" s="449">
        <f t="shared" si="142"/>
        <v>227964</v>
      </c>
      <c r="Q177" s="450">
        <f t="shared" ref="Q177:AD177" si="143">Q11</f>
        <v>217762.13813848436</v>
      </c>
      <c r="R177" s="450">
        <f t="shared" si="143"/>
        <v>271282.88318509993</v>
      </c>
      <c r="S177" s="450">
        <f t="shared" si="143"/>
        <v>243178.5128897914</v>
      </c>
      <c r="T177" s="450">
        <f t="shared" si="143"/>
        <v>255387.16981698456</v>
      </c>
      <c r="U177" s="450">
        <f t="shared" si="143"/>
        <v>270650.72278277937</v>
      </c>
      <c r="V177" s="450">
        <f t="shared" si="143"/>
        <v>277519.96532264468</v>
      </c>
      <c r="W177" s="450">
        <f t="shared" si="143"/>
        <v>286865.52985339932</v>
      </c>
      <c r="X177" s="450">
        <f t="shared" si="143"/>
        <v>287100.91166903515</v>
      </c>
      <c r="Y177" s="450">
        <f t="shared" si="143"/>
        <v>302208.76704363478</v>
      </c>
      <c r="Z177" s="450">
        <f t="shared" si="143"/>
        <v>309235.92281369056</v>
      </c>
      <c r="AA177" s="450">
        <f t="shared" si="143"/>
        <v>315653.08196084626</v>
      </c>
      <c r="AB177" s="450">
        <f t="shared" si="143"/>
        <v>323719.15818852198</v>
      </c>
      <c r="AC177" s="450">
        <f t="shared" si="143"/>
        <v>331825.74275363144</v>
      </c>
      <c r="AD177" s="450">
        <f t="shared" si="143"/>
        <v>341081.17953870731</v>
      </c>
      <c r="AE177" s="450">
        <f>AE11</f>
        <v>347640.40190212504</v>
      </c>
      <c r="AF177" s="450">
        <f>AF11</f>
        <v>355833.90846700582</v>
      </c>
      <c r="AG177" s="450">
        <f>AG11</f>
        <v>364151.24218080717</v>
      </c>
      <c r="AK177" s="449">
        <v>3822825.371880101</v>
      </c>
      <c r="AL177" s="449">
        <f t="shared" si="140"/>
        <v>-2506882.371880101</v>
      </c>
      <c r="AM177" s="449">
        <v>55892</v>
      </c>
      <c r="AN177" s="449">
        <f t="shared" si="131"/>
        <v>0</v>
      </c>
      <c r="AO177" s="450">
        <v>202455</v>
      </c>
      <c r="AP177" s="449">
        <f t="shared" si="132"/>
        <v>33897</v>
      </c>
      <c r="AQ177" s="450">
        <v>250259.36406231241</v>
      </c>
      <c r="AR177" s="449">
        <f t="shared" si="133"/>
        <v>-41616.364062312408</v>
      </c>
      <c r="AS177" s="450">
        <v>215624.57959948448</v>
      </c>
      <c r="AT177" s="449">
        <f t="shared" si="134"/>
        <v>12339.420400515519</v>
      </c>
      <c r="AU177" s="450">
        <v>217762.13813848436</v>
      </c>
      <c r="AV177" s="449">
        <f t="shared" si="137"/>
        <v>0</v>
      </c>
    </row>
    <row r="178" spans="1:48">
      <c r="A178" s="461"/>
      <c r="B178" s="461"/>
      <c r="C178" s="461"/>
      <c r="D178" s="461"/>
      <c r="E178" s="461"/>
      <c r="F178" s="461"/>
      <c r="G178" s="461"/>
      <c r="H178" s="461"/>
      <c r="I178" s="461"/>
      <c r="J178" s="461"/>
      <c r="K178" s="461"/>
      <c r="L178" s="461"/>
      <c r="M178" s="461"/>
      <c r="N178" s="461"/>
      <c r="O178" s="461"/>
      <c r="P178" s="461"/>
      <c r="Q178" s="461"/>
      <c r="R178" s="461"/>
      <c r="S178" s="461"/>
      <c r="T178" s="461"/>
      <c r="U178" s="461"/>
      <c r="V178" s="461"/>
      <c r="W178" s="461"/>
      <c r="X178" s="461"/>
      <c r="Y178" s="461"/>
      <c r="Z178" s="461"/>
      <c r="AA178" s="461"/>
      <c r="AB178" s="461"/>
      <c r="AC178" s="461"/>
      <c r="AD178" s="461"/>
      <c r="AE178" s="461"/>
      <c r="AF178" s="461"/>
      <c r="AG178" s="461"/>
      <c r="AO178" s="450"/>
    </row>
    <row r="179" spans="1:48" ht="12" thickBot="1">
      <c r="A179" s="442" t="s">
        <v>552</v>
      </c>
      <c r="AO179" s="450"/>
    </row>
    <row r="180" spans="1:48" ht="12" thickBot="1">
      <c r="A180" s="459"/>
      <c r="B180" s="460">
        <f t="shared" ref="B180:K180" si="144">B2</f>
        <v>2010</v>
      </c>
      <c r="C180" s="460">
        <f t="shared" si="144"/>
        <v>2011</v>
      </c>
      <c r="D180" s="460">
        <f t="shared" si="144"/>
        <v>2012</v>
      </c>
      <c r="E180" s="460">
        <f t="shared" si="144"/>
        <v>2013</v>
      </c>
      <c r="F180" s="460">
        <f t="shared" si="144"/>
        <v>2014</v>
      </c>
      <c r="G180" s="460">
        <f t="shared" si="144"/>
        <v>2015</v>
      </c>
      <c r="H180" s="460">
        <f t="shared" si="144"/>
        <v>2016</v>
      </c>
      <c r="I180" s="460">
        <f t="shared" si="144"/>
        <v>2017</v>
      </c>
      <c r="J180" s="460">
        <f t="shared" si="144"/>
        <v>2018</v>
      </c>
      <c r="K180" s="460">
        <f t="shared" si="144"/>
        <v>2019</v>
      </c>
      <c r="L180" s="460">
        <f>L2</f>
        <v>2020</v>
      </c>
      <c r="M180" s="460">
        <f>M2</f>
        <v>2021</v>
      </c>
      <c r="N180" s="460">
        <f t="shared" ref="N180:AD180" si="145">N2</f>
        <v>2022</v>
      </c>
      <c r="O180" s="460">
        <f t="shared" si="145"/>
        <v>2023</v>
      </c>
      <c r="P180" s="460">
        <f t="shared" si="145"/>
        <v>2024</v>
      </c>
      <c r="Q180" s="460">
        <f t="shared" si="145"/>
        <v>2025</v>
      </c>
      <c r="R180" s="460">
        <f t="shared" si="145"/>
        <v>2026</v>
      </c>
      <c r="S180" s="460">
        <f t="shared" si="145"/>
        <v>2027</v>
      </c>
      <c r="T180" s="460">
        <f t="shared" si="145"/>
        <v>2028</v>
      </c>
      <c r="U180" s="460">
        <f t="shared" si="145"/>
        <v>2029</v>
      </c>
      <c r="V180" s="460">
        <f t="shared" si="145"/>
        <v>2030</v>
      </c>
      <c r="W180" s="460">
        <f t="shared" si="145"/>
        <v>2031</v>
      </c>
      <c r="X180" s="460">
        <f t="shared" si="145"/>
        <v>2032</v>
      </c>
      <c r="Y180" s="460">
        <f t="shared" si="145"/>
        <v>2033</v>
      </c>
      <c r="Z180" s="460">
        <f t="shared" si="145"/>
        <v>2034</v>
      </c>
      <c r="AA180" s="460">
        <f t="shared" si="145"/>
        <v>2035</v>
      </c>
      <c r="AB180" s="460">
        <f t="shared" si="145"/>
        <v>2036</v>
      </c>
      <c r="AC180" s="460">
        <f t="shared" si="145"/>
        <v>2037</v>
      </c>
      <c r="AD180" s="460">
        <f t="shared" si="145"/>
        <v>2038</v>
      </c>
      <c r="AE180" s="460">
        <f>AE2</f>
        <v>2039</v>
      </c>
      <c r="AF180" s="460">
        <f>AF2</f>
        <v>2040</v>
      </c>
      <c r="AG180" s="460">
        <f>AG2</f>
        <v>2041</v>
      </c>
      <c r="AO180" s="450"/>
    </row>
    <row r="181" spans="1:48">
      <c r="A181" s="443" t="s">
        <v>43</v>
      </c>
      <c r="B181" s="449">
        <f>'Monthly D7 Gallon Data'!$O4</f>
        <v>0</v>
      </c>
      <c r="C181" s="449">
        <f>'Monthly D7 Gallon Data'!$O16</f>
        <v>0</v>
      </c>
      <c r="D181" s="449">
        <f>'Monthly D7 Gallon Data'!$O28</f>
        <v>0</v>
      </c>
      <c r="E181" s="449">
        <f>'Monthly D7 Gallon Data'!$O40</f>
        <v>0</v>
      </c>
      <c r="F181" s="449">
        <f>'Monthly D7 Gallon Data'!$O52</f>
        <v>0</v>
      </c>
      <c r="G181" s="449">
        <f>'Monthly D7 Gallon Data'!$O64</f>
        <v>0</v>
      </c>
      <c r="H181" s="449">
        <f>'Monthly D7 Gallon Data'!$O76</f>
        <v>0</v>
      </c>
      <c r="I181" s="449">
        <f>'Monthly D7 Gallon Data'!$O88</f>
        <v>0</v>
      </c>
      <c r="J181" s="449">
        <f>'Monthly D7 Gallon Data'!$O100</f>
        <v>0</v>
      </c>
      <c r="K181" s="449">
        <f>'Monthly D7 Gallon Data'!$O112</f>
        <v>0</v>
      </c>
      <c r="L181" s="449">
        <f>'Monthly D7 Gallon Data'!$O124</f>
        <v>0</v>
      </c>
      <c r="M181" s="449">
        <f>'Monthly D7 Gallon Data'!$O136</f>
        <v>0</v>
      </c>
      <c r="N181" s="449">
        <f>'Monthly D7 Gallon Data'!$O148</f>
        <v>0</v>
      </c>
      <c r="O181" s="449">
        <f>'Monthly D7 Gallon Data'!$O160</f>
        <v>0</v>
      </c>
      <c r="P181" s="449">
        <f>'Monthly D7 Gallon Data'!$O172</f>
        <v>0</v>
      </c>
      <c r="Q181" s="449">
        <f>'Monthly D7 Gallon Data'!$O184</f>
        <v>0</v>
      </c>
      <c r="R181" s="450">
        <v>0</v>
      </c>
      <c r="S181" s="450">
        <v>0</v>
      </c>
      <c r="T181" s="450">
        <v>0</v>
      </c>
      <c r="U181" s="450">
        <v>0</v>
      </c>
      <c r="V181" s="450">
        <v>0</v>
      </c>
      <c r="W181" s="450">
        <v>0</v>
      </c>
      <c r="X181" s="450">
        <v>0</v>
      </c>
      <c r="Y181" s="450">
        <v>0</v>
      </c>
      <c r="Z181" s="450">
        <v>0</v>
      </c>
      <c r="AA181" s="450">
        <v>0</v>
      </c>
      <c r="AB181" s="450">
        <v>0</v>
      </c>
      <c r="AC181" s="450">
        <v>0</v>
      </c>
      <c r="AD181" s="450">
        <v>0</v>
      </c>
      <c r="AE181" s="450">
        <v>0</v>
      </c>
      <c r="AF181" s="450">
        <v>0</v>
      </c>
      <c r="AG181" s="450">
        <v>0</v>
      </c>
      <c r="AM181" s="449">
        <v>0</v>
      </c>
      <c r="AN181" s="449">
        <f t="shared" ref="AN181:AN193" si="146">L181-AM181</f>
        <v>0</v>
      </c>
      <c r="AO181" s="449">
        <v>0</v>
      </c>
      <c r="AP181" s="449">
        <f t="shared" ref="AP181:AP193" si="147">N181-AO181</f>
        <v>0</v>
      </c>
      <c r="AQ181" s="449">
        <v>0</v>
      </c>
      <c r="AR181" s="449">
        <f t="shared" ref="AR181:AR193" si="148">O181-AQ181</f>
        <v>0</v>
      </c>
      <c r="AS181" s="449">
        <v>0</v>
      </c>
      <c r="AT181" s="449">
        <f t="shared" ref="AT181:AT193" si="149">P181-AS181</f>
        <v>0</v>
      </c>
      <c r="AU181" s="449">
        <v>0</v>
      </c>
      <c r="AV181" s="449">
        <f>Q181-AU181</f>
        <v>0</v>
      </c>
    </row>
    <row r="182" spans="1:48">
      <c r="A182" s="443" t="s">
        <v>44</v>
      </c>
      <c r="B182" s="449">
        <f>'Monthly D7 Gallon Data'!$O5</f>
        <v>0</v>
      </c>
      <c r="C182" s="449">
        <f>'Monthly D7 Gallon Data'!$O17</f>
        <v>0</v>
      </c>
      <c r="D182" s="449">
        <f>'Monthly D7 Gallon Data'!$O29</f>
        <v>0</v>
      </c>
      <c r="E182" s="449">
        <f>'Monthly D7 Gallon Data'!$O41</f>
        <v>0</v>
      </c>
      <c r="F182" s="449">
        <f>'Monthly D7 Gallon Data'!$O53</f>
        <v>0</v>
      </c>
      <c r="G182" s="449">
        <f>'Monthly D7 Gallon Data'!$O65</f>
        <v>0</v>
      </c>
      <c r="H182" s="449">
        <f>'Monthly D7 Gallon Data'!$O77</f>
        <v>0</v>
      </c>
      <c r="I182" s="449">
        <f>'Monthly D7 Gallon Data'!$O89</f>
        <v>0</v>
      </c>
      <c r="J182" s="449">
        <f>'Monthly D7 Gallon Data'!$O101</f>
        <v>0</v>
      </c>
      <c r="K182" s="449">
        <f>'Monthly D7 Gallon Data'!$O113</f>
        <v>0</v>
      </c>
      <c r="L182" s="449">
        <f>'Monthly D7 Gallon Data'!$O125</f>
        <v>0</v>
      </c>
      <c r="M182" s="449">
        <f>'Monthly D7 Gallon Data'!$O137</f>
        <v>0</v>
      </c>
      <c r="N182" s="449">
        <f>'Monthly D7 Gallon Data'!$O149</f>
        <v>0</v>
      </c>
      <c r="O182" s="449">
        <f>'Monthly D7 Gallon Data'!$O161</f>
        <v>0</v>
      </c>
      <c r="P182" s="449">
        <f>'Monthly D7 Gallon Data'!$O173</f>
        <v>0</v>
      </c>
      <c r="Q182" s="449">
        <f>'Monthly D7 Gallon Data'!$O185</f>
        <v>0</v>
      </c>
      <c r="R182" s="450">
        <v>0</v>
      </c>
      <c r="S182" s="450">
        <v>0</v>
      </c>
      <c r="T182" s="450">
        <v>0</v>
      </c>
      <c r="U182" s="450">
        <v>0</v>
      </c>
      <c r="V182" s="450">
        <v>0</v>
      </c>
      <c r="W182" s="450">
        <v>0</v>
      </c>
      <c r="X182" s="450">
        <v>0</v>
      </c>
      <c r="Y182" s="450">
        <v>0</v>
      </c>
      <c r="Z182" s="450">
        <v>0</v>
      </c>
      <c r="AA182" s="450">
        <v>0</v>
      </c>
      <c r="AB182" s="450">
        <v>0</v>
      </c>
      <c r="AC182" s="450">
        <v>0</v>
      </c>
      <c r="AD182" s="450">
        <v>0</v>
      </c>
      <c r="AE182" s="450">
        <v>0</v>
      </c>
      <c r="AF182" s="450">
        <v>0</v>
      </c>
      <c r="AG182" s="450">
        <v>0</v>
      </c>
      <c r="AM182" s="449">
        <v>0</v>
      </c>
      <c r="AN182" s="449">
        <f t="shared" si="146"/>
        <v>0</v>
      </c>
      <c r="AO182" s="449">
        <v>0</v>
      </c>
      <c r="AP182" s="449">
        <f t="shared" si="147"/>
        <v>0</v>
      </c>
      <c r="AQ182" s="449">
        <v>0</v>
      </c>
      <c r="AR182" s="449">
        <f t="shared" si="148"/>
        <v>0</v>
      </c>
      <c r="AS182" s="449">
        <v>0</v>
      </c>
      <c r="AT182" s="449">
        <f t="shared" si="149"/>
        <v>0</v>
      </c>
      <c r="AU182" s="449">
        <v>0</v>
      </c>
      <c r="AV182" s="449">
        <f t="shared" ref="AV182:AV193" si="150">Q182-AU182</f>
        <v>0</v>
      </c>
    </row>
    <row r="183" spans="1:48">
      <c r="A183" s="443" t="s">
        <v>45</v>
      </c>
      <c r="B183" s="449">
        <f>'Monthly D7 Gallon Data'!$O6</f>
        <v>0</v>
      </c>
      <c r="C183" s="449">
        <f>'Monthly D7 Gallon Data'!$O18</f>
        <v>0</v>
      </c>
      <c r="D183" s="449">
        <f>'Monthly D7 Gallon Data'!$O30</f>
        <v>0</v>
      </c>
      <c r="E183" s="449">
        <f>'Monthly D7 Gallon Data'!$O42</f>
        <v>0</v>
      </c>
      <c r="F183" s="449">
        <f>'Monthly D7 Gallon Data'!$O54</f>
        <v>0</v>
      </c>
      <c r="G183" s="449">
        <f>'Monthly D7 Gallon Data'!$O66</f>
        <v>0</v>
      </c>
      <c r="H183" s="449">
        <f>'Monthly D7 Gallon Data'!$O78</f>
        <v>0</v>
      </c>
      <c r="I183" s="449">
        <f>'Monthly D7 Gallon Data'!$O90</f>
        <v>0</v>
      </c>
      <c r="J183" s="449">
        <f>'Monthly D7 Gallon Data'!$O102</f>
        <v>0</v>
      </c>
      <c r="K183" s="449">
        <f>'Monthly D7 Gallon Data'!$O114</f>
        <v>0</v>
      </c>
      <c r="L183" s="449">
        <f>'Monthly D7 Gallon Data'!$O126</f>
        <v>0</v>
      </c>
      <c r="M183" s="449">
        <f>'Monthly D7 Gallon Data'!$O138</f>
        <v>0</v>
      </c>
      <c r="N183" s="449">
        <f>'Monthly D7 Gallon Data'!$O150</f>
        <v>0</v>
      </c>
      <c r="O183" s="449">
        <f>'Monthly D7 Gallon Data'!$O162</f>
        <v>0</v>
      </c>
      <c r="P183" s="449">
        <f>'Monthly D7 Gallon Data'!$O174</f>
        <v>0</v>
      </c>
      <c r="Q183" s="449">
        <f>'Monthly D7 Gallon Data'!$O186</f>
        <v>0</v>
      </c>
      <c r="R183" s="450">
        <v>0</v>
      </c>
      <c r="S183" s="450">
        <v>0</v>
      </c>
      <c r="T183" s="450">
        <v>0</v>
      </c>
      <c r="U183" s="450">
        <v>0</v>
      </c>
      <c r="V183" s="450">
        <v>0</v>
      </c>
      <c r="W183" s="450">
        <v>0</v>
      </c>
      <c r="X183" s="450">
        <v>0</v>
      </c>
      <c r="Y183" s="450">
        <v>0</v>
      </c>
      <c r="Z183" s="450">
        <v>0</v>
      </c>
      <c r="AA183" s="450">
        <v>0</v>
      </c>
      <c r="AB183" s="450">
        <v>0</v>
      </c>
      <c r="AC183" s="450">
        <v>0</v>
      </c>
      <c r="AD183" s="450">
        <v>0</v>
      </c>
      <c r="AE183" s="450">
        <v>0</v>
      </c>
      <c r="AF183" s="450">
        <v>0</v>
      </c>
      <c r="AG183" s="450">
        <v>0</v>
      </c>
      <c r="AM183" s="449">
        <v>0</v>
      </c>
      <c r="AN183" s="449">
        <f t="shared" si="146"/>
        <v>0</v>
      </c>
      <c r="AO183" s="449">
        <v>0</v>
      </c>
      <c r="AP183" s="449">
        <f t="shared" si="147"/>
        <v>0</v>
      </c>
      <c r="AQ183" s="449">
        <v>0</v>
      </c>
      <c r="AR183" s="449">
        <f t="shared" si="148"/>
        <v>0</v>
      </c>
      <c r="AS183" s="449">
        <v>0</v>
      </c>
      <c r="AT183" s="449">
        <f t="shared" si="149"/>
        <v>0</v>
      </c>
      <c r="AU183" s="449">
        <v>0</v>
      </c>
      <c r="AV183" s="449">
        <f t="shared" si="150"/>
        <v>0</v>
      </c>
    </row>
    <row r="184" spans="1:48">
      <c r="A184" s="443" t="s">
        <v>46</v>
      </c>
      <c r="B184" s="449">
        <f>'Monthly D7 Gallon Data'!$O7</f>
        <v>0</v>
      </c>
      <c r="C184" s="449">
        <f>'Monthly D7 Gallon Data'!$O19</f>
        <v>0</v>
      </c>
      <c r="D184" s="449">
        <f>'Monthly D7 Gallon Data'!$O31</f>
        <v>0</v>
      </c>
      <c r="E184" s="449">
        <f>'Monthly D7 Gallon Data'!$O43</f>
        <v>0</v>
      </c>
      <c r="F184" s="449">
        <f>'Monthly D7 Gallon Data'!$O55</f>
        <v>0</v>
      </c>
      <c r="G184" s="449">
        <f>'Monthly D7 Gallon Data'!$O67</f>
        <v>0</v>
      </c>
      <c r="H184" s="449">
        <f>'Monthly D7 Gallon Data'!$O79</f>
        <v>0</v>
      </c>
      <c r="I184" s="449">
        <f>'Monthly D7 Gallon Data'!$O91</f>
        <v>0</v>
      </c>
      <c r="J184" s="449">
        <f>'Monthly D7 Gallon Data'!$O103</f>
        <v>0</v>
      </c>
      <c r="K184" s="449">
        <f>'Monthly D7 Gallon Data'!$O115</f>
        <v>0</v>
      </c>
      <c r="L184" s="449">
        <f>'Monthly D7 Gallon Data'!$O127</f>
        <v>0</v>
      </c>
      <c r="M184" s="449">
        <f>'Monthly D7 Gallon Data'!$O139</f>
        <v>0</v>
      </c>
      <c r="N184" s="449">
        <f>'Monthly D7 Gallon Data'!$O151</f>
        <v>0</v>
      </c>
      <c r="O184" s="449">
        <f>'Monthly D7 Gallon Data'!$O163</f>
        <v>0</v>
      </c>
      <c r="P184" s="449">
        <f>'Monthly D7 Gallon Data'!$O175</f>
        <v>0</v>
      </c>
      <c r="Q184" s="450">
        <v>0</v>
      </c>
      <c r="R184" s="450">
        <v>0</v>
      </c>
      <c r="S184" s="450">
        <v>0</v>
      </c>
      <c r="T184" s="450">
        <v>0</v>
      </c>
      <c r="U184" s="450">
        <v>0</v>
      </c>
      <c r="V184" s="450">
        <v>0</v>
      </c>
      <c r="W184" s="450">
        <v>0</v>
      </c>
      <c r="X184" s="450">
        <v>0</v>
      </c>
      <c r="Y184" s="450">
        <v>0</v>
      </c>
      <c r="Z184" s="450">
        <v>0</v>
      </c>
      <c r="AA184" s="450">
        <v>0</v>
      </c>
      <c r="AB184" s="450">
        <v>0</v>
      </c>
      <c r="AC184" s="450">
        <v>0</v>
      </c>
      <c r="AD184" s="450">
        <v>0</v>
      </c>
      <c r="AE184" s="450">
        <v>0</v>
      </c>
      <c r="AF184" s="450">
        <v>0</v>
      </c>
      <c r="AG184" s="450">
        <v>0</v>
      </c>
      <c r="AM184" s="449">
        <v>0</v>
      </c>
      <c r="AN184" s="449">
        <f t="shared" si="146"/>
        <v>0</v>
      </c>
      <c r="AO184" s="449">
        <v>0</v>
      </c>
      <c r="AP184" s="449">
        <f t="shared" si="147"/>
        <v>0</v>
      </c>
      <c r="AQ184" s="449">
        <v>0</v>
      </c>
      <c r="AR184" s="449">
        <f t="shared" si="148"/>
        <v>0</v>
      </c>
      <c r="AS184" s="449">
        <v>0</v>
      </c>
      <c r="AT184" s="449">
        <f t="shared" si="149"/>
        <v>0</v>
      </c>
      <c r="AU184" s="449">
        <v>0</v>
      </c>
      <c r="AV184" s="449">
        <f t="shared" si="150"/>
        <v>0</v>
      </c>
    </row>
    <row r="185" spans="1:48">
      <c r="A185" s="443" t="s">
        <v>47</v>
      </c>
      <c r="B185" s="449">
        <f>'Monthly D7 Gallon Data'!$O8</f>
        <v>0</v>
      </c>
      <c r="C185" s="449">
        <f>'Monthly D7 Gallon Data'!$O20</f>
        <v>0</v>
      </c>
      <c r="D185" s="449">
        <f>'Monthly D7 Gallon Data'!$O32</f>
        <v>0</v>
      </c>
      <c r="E185" s="449">
        <f>'Monthly D7 Gallon Data'!$O44</f>
        <v>0</v>
      </c>
      <c r="F185" s="449">
        <f>'Monthly D7 Gallon Data'!$O56</f>
        <v>0</v>
      </c>
      <c r="G185" s="449">
        <f>'Monthly D7 Gallon Data'!$O68</f>
        <v>0</v>
      </c>
      <c r="H185" s="449">
        <f>'Monthly D7 Gallon Data'!$O80</f>
        <v>0</v>
      </c>
      <c r="I185" s="449">
        <f>'Monthly D7 Gallon Data'!$O92</f>
        <v>0</v>
      </c>
      <c r="J185" s="449">
        <f>'Monthly D7 Gallon Data'!$O104</f>
        <v>0</v>
      </c>
      <c r="K185" s="449">
        <f>'Monthly D7 Gallon Data'!$O116</f>
        <v>0</v>
      </c>
      <c r="L185" s="449">
        <f>'Monthly D7 Gallon Data'!$O128</f>
        <v>0</v>
      </c>
      <c r="M185" s="449">
        <f>'Monthly D7 Gallon Data'!$O140</f>
        <v>0</v>
      </c>
      <c r="N185" s="449">
        <f>'Monthly D7 Gallon Data'!$O152</f>
        <v>0</v>
      </c>
      <c r="O185" s="449">
        <f>'Monthly D7 Gallon Data'!$O164</f>
        <v>0</v>
      </c>
      <c r="P185" s="449">
        <f>'Monthly D7 Gallon Data'!$O176</f>
        <v>0</v>
      </c>
      <c r="Q185" s="450">
        <v>0</v>
      </c>
      <c r="R185" s="450">
        <v>0</v>
      </c>
      <c r="S185" s="450">
        <v>0</v>
      </c>
      <c r="T185" s="450">
        <v>0</v>
      </c>
      <c r="U185" s="450">
        <v>0</v>
      </c>
      <c r="V185" s="450">
        <v>0</v>
      </c>
      <c r="W185" s="450">
        <v>0</v>
      </c>
      <c r="X185" s="450">
        <v>0</v>
      </c>
      <c r="Y185" s="450">
        <v>0</v>
      </c>
      <c r="Z185" s="450">
        <v>0</v>
      </c>
      <c r="AA185" s="450">
        <v>0</v>
      </c>
      <c r="AB185" s="450">
        <v>0</v>
      </c>
      <c r="AC185" s="450">
        <v>0</v>
      </c>
      <c r="AD185" s="450">
        <v>0</v>
      </c>
      <c r="AE185" s="450">
        <v>0</v>
      </c>
      <c r="AF185" s="450">
        <v>0</v>
      </c>
      <c r="AG185" s="450">
        <v>0</v>
      </c>
      <c r="AM185" s="449">
        <v>0</v>
      </c>
      <c r="AN185" s="449">
        <f t="shared" si="146"/>
        <v>0</v>
      </c>
      <c r="AO185" s="449">
        <v>0</v>
      </c>
      <c r="AP185" s="449">
        <f t="shared" si="147"/>
        <v>0</v>
      </c>
      <c r="AQ185" s="449">
        <v>0</v>
      </c>
      <c r="AR185" s="449">
        <f t="shared" si="148"/>
        <v>0</v>
      </c>
      <c r="AS185" s="450">
        <v>0</v>
      </c>
      <c r="AT185" s="449">
        <f t="shared" si="149"/>
        <v>0</v>
      </c>
      <c r="AU185" s="450">
        <v>0</v>
      </c>
      <c r="AV185" s="449">
        <f t="shared" si="150"/>
        <v>0</v>
      </c>
    </row>
    <row r="186" spans="1:48">
      <c r="A186" s="443" t="s">
        <v>48</v>
      </c>
      <c r="B186" s="449">
        <f>'Monthly D7 Gallon Data'!$O9</f>
        <v>0</v>
      </c>
      <c r="C186" s="449">
        <f>'Monthly D7 Gallon Data'!$O21</f>
        <v>0</v>
      </c>
      <c r="D186" s="449">
        <f>'Monthly D7 Gallon Data'!$O33</f>
        <v>0</v>
      </c>
      <c r="E186" s="449">
        <f>'Monthly D7 Gallon Data'!$O45</f>
        <v>0</v>
      </c>
      <c r="F186" s="449">
        <f>'Monthly D7 Gallon Data'!$O57</f>
        <v>0</v>
      </c>
      <c r="G186" s="449">
        <f>'Monthly D7 Gallon Data'!$O69</f>
        <v>0</v>
      </c>
      <c r="H186" s="449">
        <f>'Monthly D7 Gallon Data'!$O81</f>
        <v>0</v>
      </c>
      <c r="I186" s="449">
        <f>'Monthly D7 Gallon Data'!$O93</f>
        <v>0</v>
      </c>
      <c r="J186" s="449">
        <f>'Monthly D7 Gallon Data'!$O105</f>
        <v>0</v>
      </c>
      <c r="K186" s="449">
        <f>'Monthly D7 Gallon Data'!$O117</f>
        <v>0</v>
      </c>
      <c r="L186" s="449">
        <f>'Monthly D7 Gallon Data'!$O129</f>
        <v>0</v>
      </c>
      <c r="M186" s="449">
        <f>'Monthly D7 Gallon Data'!$O141</f>
        <v>0</v>
      </c>
      <c r="N186" s="449">
        <f>'Monthly D7 Gallon Data'!$O153</f>
        <v>0</v>
      </c>
      <c r="O186" s="449">
        <f>'Monthly D7 Gallon Data'!$O165</f>
        <v>0</v>
      </c>
      <c r="P186" s="449">
        <f>'Monthly D7 Gallon Data'!$O177</f>
        <v>0</v>
      </c>
      <c r="Q186" s="450">
        <v>0</v>
      </c>
      <c r="R186" s="450">
        <v>0</v>
      </c>
      <c r="S186" s="450">
        <v>0</v>
      </c>
      <c r="T186" s="450">
        <v>0</v>
      </c>
      <c r="U186" s="450">
        <v>0</v>
      </c>
      <c r="V186" s="450">
        <v>0</v>
      </c>
      <c r="W186" s="450">
        <v>0</v>
      </c>
      <c r="X186" s="450">
        <v>0</v>
      </c>
      <c r="Y186" s="450">
        <v>0</v>
      </c>
      <c r="Z186" s="450">
        <v>0</v>
      </c>
      <c r="AA186" s="450">
        <v>0</v>
      </c>
      <c r="AB186" s="450">
        <v>0</v>
      </c>
      <c r="AC186" s="450">
        <v>0</v>
      </c>
      <c r="AD186" s="450">
        <v>0</v>
      </c>
      <c r="AE186" s="450">
        <v>0</v>
      </c>
      <c r="AF186" s="450">
        <v>0</v>
      </c>
      <c r="AG186" s="450">
        <v>0</v>
      </c>
      <c r="AM186" s="449">
        <v>0</v>
      </c>
      <c r="AN186" s="449">
        <f t="shared" si="146"/>
        <v>0</v>
      </c>
      <c r="AO186" s="449">
        <v>0</v>
      </c>
      <c r="AP186" s="449">
        <f t="shared" si="147"/>
        <v>0</v>
      </c>
      <c r="AQ186" s="449">
        <v>0</v>
      </c>
      <c r="AR186" s="449">
        <f t="shared" si="148"/>
        <v>0</v>
      </c>
      <c r="AS186" s="450">
        <v>0</v>
      </c>
      <c r="AT186" s="449">
        <f t="shared" si="149"/>
        <v>0</v>
      </c>
      <c r="AU186" s="450">
        <v>0</v>
      </c>
      <c r="AV186" s="449">
        <f t="shared" si="150"/>
        <v>0</v>
      </c>
    </row>
    <row r="187" spans="1:48">
      <c r="A187" s="443" t="s">
        <v>49</v>
      </c>
      <c r="B187" s="449">
        <f>'Monthly D7 Gallon Data'!$O10</f>
        <v>0</v>
      </c>
      <c r="C187" s="449">
        <f>'Monthly D7 Gallon Data'!$O22</f>
        <v>0</v>
      </c>
      <c r="D187" s="449">
        <f>'Monthly D7 Gallon Data'!$O34</f>
        <v>0</v>
      </c>
      <c r="E187" s="449">
        <f>'Monthly D7 Gallon Data'!$O46</f>
        <v>0</v>
      </c>
      <c r="F187" s="449">
        <f>'Monthly D7 Gallon Data'!$O58</f>
        <v>0</v>
      </c>
      <c r="G187" s="449">
        <f>'Monthly D7 Gallon Data'!$O70</f>
        <v>0</v>
      </c>
      <c r="H187" s="449">
        <f>'Monthly D7 Gallon Data'!$O82</f>
        <v>0</v>
      </c>
      <c r="I187" s="449">
        <f>'Monthly D7 Gallon Data'!$O94</f>
        <v>0</v>
      </c>
      <c r="J187" s="449">
        <f>'Monthly D7 Gallon Data'!$O106</f>
        <v>0</v>
      </c>
      <c r="K187" s="449">
        <f>'Monthly D7 Gallon Data'!$O118</f>
        <v>0</v>
      </c>
      <c r="L187" s="449">
        <f>'Monthly D7 Gallon Data'!$O130</f>
        <v>0</v>
      </c>
      <c r="M187" s="449">
        <f>'Monthly D7 Gallon Data'!$O142</f>
        <v>0</v>
      </c>
      <c r="N187" s="449">
        <f>'Monthly D7 Gallon Data'!$O154</f>
        <v>0</v>
      </c>
      <c r="O187" s="449">
        <f>'Monthly D7 Gallon Data'!$O166</f>
        <v>0</v>
      </c>
      <c r="P187" s="449">
        <f>'Monthly D7 Gallon Data'!$O178</f>
        <v>0</v>
      </c>
      <c r="Q187" s="450">
        <v>0</v>
      </c>
      <c r="R187" s="450">
        <v>0</v>
      </c>
      <c r="S187" s="450">
        <v>0</v>
      </c>
      <c r="T187" s="450">
        <v>0</v>
      </c>
      <c r="U187" s="450">
        <v>0</v>
      </c>
      <c r="V187" s="450">
        <v>0</v>
      </c>
      <c r="W187" s="450">
        <v>0</v>
      </c>
      <c r="X187" s="450">
        <v>0</v>
      </c>
      <c r="Y187" s="450">
        <v>0</v>
      </c>
      <c r="Z187" s="450">
        <v>0</v>
      </c>
      <c r="AA187" s="450">
        <v>0</v>
      </c>
      <c r="AB187" s="450">
        <v>0</v>
      </c>
      <c r="AC187" s="450">
        <v>0</v>
      </c>
      <c r="AD187" s="450">
        <v>0</v>
      </c>
      <c r="AE187" s="450">
        <v>0</v>
      </c>
      <c r="AF187" s="450">
        <v>0</v>
      </c>
      <c r="AG187" s="450">
        <v>0</v>
      </c>
      <c r="AK187" s="449">
        <v>0</v>
      </c>
      <c r="AL187" s="449">
        <f t="shared" ref="AL187:AL193" si="151">K187-AK187</f>
        <v>0</v>
      </c>
      <c r="AM187" s="449">
        <v>0</v>
      </c>
      <c r="AN187" s="449">
        <f t="shared" si="146"/>
        <v>0</v>
      </c>
      <c r="AO187" s="449">
        <v>0</v>
      </c>
      <c r="AP187" s="449">
        <f t="shared" si="147"/>
        <v>0</v>
      </c>
      <c r="AQ187" s="449">
        <v>0</v>
      </c>
      <c r="AR187" s="449">
        <f t="shared" si="148"/>
        <v>0</v>
      </c>
      <c r="AS187" s="450">
        <v>0</v>
      </c>
      <c r="AT187" s="449">
        <f t="shared" si="149"/>
        <v>0</v>
      </c>
      <c r="AU187" s="450">
        <v>0</v>
      </c>
      <c r="AV187" s="449">
        <f t="shared" si="150"/>
        <v>0</v>
      </c>
    </row>
    <row r="188" spans="1:48">
      <c r="A188" s="443" t="s">
        <v>50</v>
      </c>
      <c r="B188" s="449">
        <f>'Monthly D7 Gallon Data'!$O11</f>
        <v>0</v>
      </c>
      <c r="C188" s="449">
        <f>'Monthly D7 Gallon Data'!$O23</f>
        <v>0</v>
      </c>
      <c r="D188" s="449">
        <f>'Monthly D7 Gallon Data'!$O35</f>
        <v>0</v>
      </c>
      <c r="E188" s="449">
        <f>'Monthly D7 Gallon Data'!$O47</f>
        <v>0</v>
      </c>
      <c r="F188" s="449">
        <f>'Monthly D7 Gallon Data'!$O59</f>
        <v>0</v>
      </c>
      <c r="G188" s="449">
        <f>'Monthly D7 Gallon Data'!$O71</f>
        <v>0</v>
      </c>
      <c r="H188" s="449">
        <f>'Monthly D7 Gallon Data'!$O83</f>
        <v>0</v>
      </c>
      <c r="I188" s="449">
        <f>'Monthly D7 Gallon Data'!$O95</f>
        <v>0</v>
      </c>
      <c r="J188" s="449">
        <f>'Monthly D7 Gallon Data'!$O107</f>
        <v>0</v>
      </c>
      <c r="K188" s="449">
        <f>'Monthly D7 Gallon Data'!$O119</f>
        <v>0</v>
      </c>
      <c r="L188" s="449">
        <f>'Monthly D7 Gallon Data'!$O131</f>
        <v>0</v>
      </c>
      <c r="M188" s="449">
        <f>'Monthly D7 Gallon Data'!$O143</f>
        <v>0</v>
      </c>
      <c r="N188" s="449">
        <f>'Monthly D7 Gallon Data'!$O155</f>
        <v>0</v>
      </c>
      <c r="O188" s="449">
        <f>'Monthly D7 Gallon Data'!$O167</f>
        <v>0</v>
      </c>
      <c r="P188" s="449">
        <f>'Monthly D7 Gallon Data'!$O179</f>
        <v>0</v>
      </c>
      <c r="Q188" s="450">
        <v>0</v>
      </c>
      <c r="R188" s="450">
        <v>0</v>
      </c>
      <c r="S188" s="450">
        <v>0</v>
      </c>
      <c r="T188" s="450">
        <v>0</v>
      </c>
      <c r="U188" s="450">
        <v>0</v>
      </c>
      <c r="V188" s="450">
        <v>0</v>
      </c>
      <c r="W188" s="450">
        <v>0</v>
      </c>
      <c r="X188" s="450">
        <v>0</v>
      </c>
      <c r="Y188" s="450">
        <v>0</v>
      </c>
      <c r="Z188" s="450">
        <v>0</v>
      </c>
      <c r="AA188" s="450">
        <v>0</v>
      </c>
      <c r="AB188" s="450">
        <v>0</v>
      </c>
      <c r="AC188" s="450">
        <v>0</v>
      </c>
      <c r="AD188" s="450">
        <v>0</v>
      </c>
      <c r="AE188" s="450">
        <v>0</v>
      </c>
      <c r="AF188" s="450">
        <v>0</v>
      </c>
      <c r="AG188" s="450">
        <v>0</v>
      </c>
      <c r="AK188" s="449">
        <v>0</v>
      </c>
      <c r="AL188" s="449">
        <f t="shared" si="151"/>
        <v>0</v>
      </c>
      <c r="AM188" s="449">
        <v>0</v>
      </c>
      <c r="AN188" s="449">
        <f t="shared" si="146"/>
        <v>0</v>
      </c>
      <c r="AO188" s="449">
        <v>0</v>
      </c>
      <c r="AP188" s="449">
        <f t="shared" si="147"/>
        <v>0</v>
      </c>
      <c r="AQ188" s="449">
        <v>0</v>
      </c>
      <c r="AR188" s="449">
        <f t="shared" si="148"/>
        <v>0</v>
      </c>
      <c r="AS188" s="450">
        <v>0</v>
      </c>
      <c r="AT188" s="449">
        <f t="shared" si="149"/>
        <v>0</v>
      </c>
      <c r="AU188" s="450">
        <v>0</v>
      </c>
      <c r="AV188" s="449">
        <f t="shared" si="150"/>
        <v>0</v>
      </c>
    </row>
    <row r="189" spans="1:48">
      <c r="A189" s="443" t="s">
        <v>51</v>
      </c>
      <c r="B189" s="449">
        <f>'Monthly D7 Gallon Data'!$O12</f>
        <v>0</v>
      </c>
      <c r="C189" s="449">
        <f>'Monthly D7 Gallon Data'!$O24</f>
        <v>0</v>
      </c>
      <c r="D189" s="449">
        <f>'Monthly D7 Gallon Data'!$O36</f>
        <v>0</v>
      </c>
      <c r="E189" s="449">
        <f>'Monthly D7 Gallon Data'!$O48</f>
        <v>0</v>
      </c>
      <c r="F189" s="449">
        <f>'Monthly D7 Gallon Data'!$O60</f>
        <v>0</v>
      </c>
      <c r="G189" s="449">
        <f>'Monthly D7 Gallon Data'!$O72</f>
        <v>0</v>
      </c>
      <c r="H189" s="449">
        <f>'Monthly D7 Gallon Data'!$O84</f>
        <v>0</v>
      </c>
      <c r="I189" s="449">
        <f>'Monthly D7 Gallon Data'!$O96</f>
        <v>0</v>
      </c>
      <c r="J189" s="449">
        <f>'Monthly D7 Gallon Data'!$O108</f>
        <v>0</v>
      </c>
      <c r="K189" s="449">
        <f>'Monthly D7 Gallon Data'!$O120</f>
        <v>0</v>
      </c>
      <c r="L189" s="449">
        <f>'Monthly D7 Gallon Data'!$O132</f>
        <v>0</v>
      </c>
      <c r="M189" s="449">
        <f>'Monthly D7 Gallon Data'!$O144</f>
        <v>0</v>
      </c>
      <c r="N189" s="449">
        <f>'Monthly D7 Gallon Data'!$O156</f>
        <v>0</v>
      </c>
      <c r="O189" s="449">
        <f>'Monthly D7 Gallon Data'!$O168</f>
        <v>0</v>
      </c>
      <c r="P189" s="449">
        <f>'Monthly D7 Gallon Data'!$O180</f>
        <v>0</v>
      </c>
      <c r="Q189" s="450">
        <v>0</v>
      </c>
      <c r="R189" s="450">
        <v>0</v>
      </c>
      <c r="S189" s="450">
        <v>0</v>
      </c>
      <c r="T189" s="450">
        <v>0</v>
      </c>
      <c r="U189" s="450">
        <v>0</v>
      </c>
      <c r="V189" s="450">
        <v>0</v>
      </c>
      <c r="W189" s="450">
        <v>0</v>
      </c>
      <c r="X189" s="450">
        <v>0</v>
      </c>
      <c r="Y189" s="450">
        <v>0</v>
      </c>
      <c r="Z189" s="450">
        <v>0</v>
      </c>
      <c r="AA189" s="450">
        <v>0</v>
      </c>
      <c r="AB189" s="450">
        <v>0</v>
      </c>
      <c r="AC189" s="450">
        <v>0</v>
      </c>
      <c r="AD189" s="450">
        <v>0</v>
      </c>
      <c r="AE189" s="450">
        <v>0</v>
      </c>
      <c r="AF189" s="450">
        <v>0</v>
      </c>
      <c r="AG189" s="450">
        <v>0</v>
      </c>
      <c r="AK189" s="449">
        <v>0</v>
      </c>
      <c r="AL189" s="449">
        <f t="shared" si="151"/>
        <v>0</v>
      </c>
      <c r="AM189" s="449">
        <v>0</v>
      </c>
      <c r="AN189" s="449">
        <f t="shared" si="146"/>
        <v>0</v>
      </c>
      <c r="AO189" s="449">
        <v>0</v>
      </c>
      <c r="AP189" s="449">
        <f t="shared" si="147"/>
        <v>0</v>
      </c>
      <c r="AQ189" s="449">
        <v>0</v>
      </c>
      <c r="AR189" s="449">
        <f t="shared" si="148"/>
        <v>0</v>
      </c>
      <c r="AS189" s="450">
        <v>0</v>
      </c>
      <c r="AT189" s="449">
        <f t="shared" si="149"/>
        <v>0</v>
      </c>
      <c r="AU189" s="450">
        <v>0</v>
      </c>
      <c r="AV189" s="449">
        <f t="shared" si="150"/>
        <v>0</v>
      </c>
    </row>
    <row r="190" spans="1:48">
      <c r="A190" s="443" t="s">
        <v>52</v>
      </c>
      <c r="B190" s="449">
        <f>'Monthly D7 Gallon Data'!$O13</f>
        <v>0</v>
      </c>
      <c r="C190" s="449">
        <f>'Monthly D7 Gallon Data'!$O25</f>
        <v>0</v>
      </c>
      <c r="D190" s="449">
        <f>'Monthly D7 Gallon Data'!$O37</f>
        <v>0</v>
      </c>
      <c r="E190" s="449">
        <f>'Monthly D7 Gallon Data'!$O49</f>
        <v>0</v>
      </c>
      <c r="F190" s="449">
        <f>'Monthly D7 Gallon Data'!$O61</f>
        <v>0</v>
      </c>
      <c r="G190" s="449">
        <f>'Monthly D7 Gallon Data'!$O73</f>
        <v>0</v>
      </c>
      <c r="H190" s="449">
        <f>'Monthly D7 Gallon Data'!$O85</f>
        <v>0</v>
      </c>
      <c r="I190" s="449">
        <f>'Monthly D7 Gallon Data'!$O97</f>
        <v>0</v>
      </c>
      <c r="J190" s="449">
        <f>'Monthly D7 Gallon Data'!$O109</f>
        <v>0</v>
      </c>
      <c r="K190" s="449">
        <f>'Monthly D7 Gallon Data'!$O121</f>
        <v>0</v>
      </c>
      <c r="L190" s="449">
        <f>'Monthly D7 Gallon Data'!$O133</f>
        <v>0</v>
      </c>
      <c r="M190" s="449">
        <f>'Monthly D7 Gallon Data'!$O145</f>
        <v>0</v>
      </c>
      <c r="N190" s="449">
        <f>'Monthly D7 Gallon Data'!$O157</f>
        <v>0</v>
      </c>
      <c r="O190" s="449">
        <f>'Monthly D7 Gallon Data'!$O169</f>
        <v>0</v>
      </c>
      <c r="P190" s="449">
        <f>'Monthly D7 Gallon Data'!$O181</f>
        <v>0</v>
      </c>
      <c r="Q190" s="450">
        <v>0</v>
      </c>
      <c r="R190" s="450">
        <v>0</v>
      </c>
      <c r="S190" s="450">
        <v>0</v>
      </c>
      <c r="T190" s="450">
        <v>0</v>
      </c>
      <c r="U190" s="450">
        <v>0</v>
      </c>
      <c r="V190" s="450">
        <v>0</v>
      </c>
      <c r="W190" s="450">
        <v>0</v>
      </c>
      <c r="X190" s="450">
        <v>0</v>
      </c>
      <c r="Y190" s="450">
        <v>0</v>
      </c>
      <c r="Z190" s="450">
        <v>0</v>
      </c>
      <c r="AA190" s="450">
        <v>0</v>
      </c>
      <c r="AB190" s="450">
        <v>0</v>
      </c>
      <c r="AC190" s="450">
        <v>0</v>
      </c>
      <c r="AD190" s="450">
        <v>0</v>
      </c>
      <c r="AE190" s="450">
        <v>0</v>
      </c>
      <c r="AF190" s="450">
        <v>0</v>
      </c>
      <c r="AG190" s="450">
        <v>0</v>
      </c>
      <c r="AK190" s="449">
        <v>0</v>
      </c>
      <c r="AL190" s="449">
        <f t="shared" si="151"/>
        <v>0</v>
      </c>
      <c r="AM190" s="449">
        <v>0</v>
      </c>
      <c r="AN190" s="449">
        <f t="shared" si="146"/>
        <v>0</v>
      </c>
      <c r="AO190" s="449">
        <v>0</v>
      </c>
      <c r="AP190" s="449">
        <f t="shared" si="147"/>
        <v>0</v>
      </c>
      <c r="AQ190" s="449">
        <v>0</v>
      </c>
      <c r="AR190" s="449">
        <f t="shared" si="148"/>
        <v>0</v>
      </c>
      <c r="AS190" s="450">
        <v>0</v>
      </c>
      <c r="AT190" s="449">
        <f t="shared" si="149"/>
        <v>0</v>
      </c>
      <c r="AU190" s="450">
        <v>0</v>
      </c>
      <c r="AV190" s="449">
        <f t="shared" si="150"/>
        <v>0</v>
      </c>
    </row>
    <row r="191" spans="1:48">
      <c r="A191" s="443" t="s">
        <v>53</v>
      </c>
      <c r="B191" s="449">
        <f>'Monthly D7 Gallon Data'!$O14</f>
        <v>0</v>
      </c>
      <c r="C191" s="449">
        <f>'Monthly D7 Gallon Data'!$O26</f>
        <v>0</v>
      </c>
      <c r="D191" s="449">
        <f>'Monthly D7 Gallon Data'!$O38</f>
        <v>0</v>
      </c>
      <c r="E191" s="449">
        <f>'Monthly D7 Gallon Data'!$O50</f>
        <v>0</v>
      </c>
      <c r="F191" s="449">
        <f>'Monthly D7 Gallon Data'!$O62</f>
        <v>0</v>
      </c>
      <c r="G191" s="449">
        <f>'Monthly D7 Gallon Data'!$O74</f>
        <v>0</v>
      </c>
      <c r="H191" s="449">
        <f>'Monthly D7 Gallon Data'!$O86</f>
        <v>0</v>
      </c>
      <c r="I191" s="449">
        <f>'Monthly D7 Gallon Data'!$O98</f>
        <v>0</v>
      </c>
      <c r="J191" s="449">
        <f>'Monthly D7 Gallon Data'!$O110</f>
        <v>0</v>
      </c>
      <c r="K191" s="449">
        <f>'Monthly D7 Gallon Data'!$O122</f>
        <v>0</v>
      </c>
      <c r="L191" s="449">
        <f>'Monthly D7 Gallon Data'!$O134</f>
        <v>0</v>
      </c>
      <c r="M191" s="449">
        <f>'Monthly D7 Gallon Data'!$O146</f>
        <v>0</v>
      </c>
      <c r="N191" s="449">
        <f>'Monthly D7 Gallon Data'!$O158</f>
        <v>0</v>
      </c>
      <c r="O191" s="449">
        <f>'Monthly D7 Gallon Data'!$O170</f>
        <v>0</v>
      </c>
      <c r="P191" s="449">
        <f>'Monthly D7 Gallon Data'!$O182</f>
        <v>0</v>
      </c>
      <c r="Q191" s="450">
        <v>0</v>
      </c>
      <c r="R191" s="450">
        <v>0</v>
      </c>
      <c r="S191" s="450">
        <v>0</v>
      </c>
      <c r="T191" s="450">
        <v>0</v>
      </c>
      <c r="U191" s="450">
        <v>0</v>
      </c>
      <c r="V191" s="450">
        <v>0</v>
      </c>
      <c r="W191" s="450">
        <v>0</v>
      </c>
      <c r="X191" s="450">
        <v>0</v>
      </c>
      <c r="Y191" s="450">
        <v>0</v>
      </c>
      <c r="Z191" s="450">
        <v>0</v>
      </c>
      <c r="AA191" s="450">
        <v>0</v>
      </c>
      <c r="AB191" s="450">
        <v>0</v>
      </c>
      <c r="AC191" s="450">
        <v>0</v>
      </c>
      <c r="AD191" s="450">
        <v>0</v>
      </c>
      <c r="AE191" s="450">
        <v>0</v>
      </c>
      <c r="AF191" s="450">
        <v>0</v>
      </c>
      <c r="AG191" s="450">
        <v>0</v>
      </c>
      <c r="AK191" s="449">
        <v>0</v>
      </c>
      <c r="AL191" s="449">
        <f t="shared" si="151"/>
        <v>0</v>
      </c>
      <c r="AM191" s="449">
        <v>0</v>
      </c>
      <c r="AN191" s="449">
        <f t="shared" si="146"/>
        <v>0</v>
      </c>
      <c r="AO191" s="450">
        <v>0</v>
      </c>
      <c r="AP191" s="449">
        <f t="shared" si="147"/>
        <v>0</v>
      </c>
      <c r="AQ191" s="450">
        <v>0</v>
      </c>
      <c r="AR191" s="449">
        <f t="shared" si="148"/>
        <v>0</v>
      </c>
      <c r="AS191" s="450">
        <v>0</v>
      </c>
      <c r="AT191" s="449">
        <f t="shared" si="149"/>
        <v>0</v>
      </c>
      <c r="AU191" s="450">
        <v>0</v>
      </c>
      <c r="AV191" s="449">
        <f t="shared" si="150"/>
        <v>0</v>
      </c>
    </row>
    <row r="192" spans="1:48">
      <c r="A192" s="443" t="s">
        <v>54</v>
      </c>
      <c r="B192" s="449">
        <f>'Monthly D7 Gallon Data'!$O15</f>
        <v>0</v>
      </c>
      <c r="C192" s="449">
        <f>'Monthly D7 Gallon Data'!$O27</f>
        <v>0</v>
      </c>
      <c r="D192" s="449">
        <f>'Monthly D7 Gallon Data'!$O39</f>
        <v>0</v>
      </c>
      <c r="E192" s="449">
        <f>'Monthly D7 Gallon Data'!$O51</f>
        <v>0</v>
      </c>
      <c r="F192" s="449">
        <f>'Monthly D7 Gallon Data'!$O63</f>
        <v>0</v>
      </c>
      <c r="G192" s="449">
        <f>'Monthly D7 Gallon Data'!$O75</f>
        <v>0</v>
      </c>
      <c r="H192" s="449">
        <f>'Monthly D7 Gallon Data'!$O87</f>
        <v>0</v>
      </c>
      <c r="I192" s="449">
        <f>'Monthly D7 Gallon Data'!$O99</f>
        <v>0</v>
      </c>
      <c r="J192" s="449">
        <f>'Monthly D7 Gallon Data'!$O111</f>
        <v>0</v>
      </c>
      <c r="K192" s="449">
        <f>'Monthly D7 Gallon Data'!$O123</f>
        <v>0</v>
      </c>
      <c r="L192" s="449">
        <f>'Monthly D7 Gallon Data'!$O135</f>
        <v>0</v>
      </c>
      <c r="M192" s="449">
        <f>'Monthly D7 Gallon Data'!$O147</f>
        <v>0</v>
      </c>
      <c r="N192" s="449">
        <f>'Monthly D7 Gallon Data'!$O159</f>
        <v>0</v>
      </c>
      <c r="O192" s="449">
        <f>'Monthly D7 Gallon Data'!$O171</f>
        <v>0</v>
      </c>
      <c r="P192" s="449">
        <f>'Monthly D7 Gallon Data'!$O183</f>
        <v>0</v>
      </c>
      <c r="Q192" s="450">
        <v>0</v>
      </c>
      <c r="R192" s="450">
        <v>0</v>
      </c>
      <c r="S192" s="450">
        <v>0</v>
      </c>
      <c r="T192" s="450">
        <v>0</v>
      </c>
      <c r="U192" s="450">
        <v>0</v>
      </c>
      <c r="V192" s="450">
        <v>0</v>
      </c>
      <c r="W192" s="450">
        <v>0</v>
      </c>
      <c r="X192" s="450">
        <v>0</v>
      </c>
      <c r="Y192" s="450">
        <v>0</v>
      </c>
      <c r="Z192" s="450">
        <v>0</v>
      </c>
      <c r="AA192" s="450">
        <v>0</v>
      </c>
      <c r="AB192" s="450">
        <v>0</v>
      </c>
      <c r="AC192" s="450">
        <v>0</v>
      </c>
      <c r="AD192" s="450">
        <v>0</v>
      </c>
      <c r="AE192" s="450">
        <v>0</v>
      </c>
      <c r="AF192" s="450">
        <v>0</v>
      </c>
      <c r="AG192" s="450">
        <v>0</v>
      </c>
      <c r="AK192" s="449">
        <v>0</v>
      </c>
      <c r="AL192" s="449">
        <f t="shared" si="151"/>
        <v>0</v>
      </c>
      <c r="AM192" s="449">
        <v>0</v>
      </c>
      <c r="AN192" s="449">
        <f t="shared" si="146"/>
        <v>0</v>
      </c>
      <c r="AO192" s="450">
        <v>0</v>
      </c>
      <c r="AP192" s="449">
        <f t="shared" si="147"/>
        <v>0</v>
      </c>
      <c r="AQ192" s="450">
        <v>0</v>
      </c>
      <c r="AR192" s="449">
        <f t="shared" si="148"/>
        <v>0</v>
      </c>
      <c r="AS192" s="450">
        <v>0</v>
      </c>
      <c r="AT192" s="449">
        <f t="shared" si="149"/>
        <v>0</v>
      </c>
      <c r="AU192" s="450">
        <v>0</v>
      </c>
      <c r="AV192" s="449">
        <f t="shared" si="150"/>
        <v>0</v>
      </c>
    </row>
    <row r="193" spans="1:48">
      <c r="A193" s="443" t="s">
        <v>29</v>
      </c>
      <c r="B193" s="449">
        <f t="shared" ref="B193:AD193" si="152">SUM(B181:B192)</f>
        <v>0</v>
      </c>
      <c r="C193" s="449">
        <f t="shared" si="152"/>
        <v>0</v>
      </c>
      <c r="D193" s="449">
        <f t="shared" si="152"/>
        <v>0</v>
      </c>
      <c r="E193" s="449">
        <f t="shared" si="152"/>
        <v>0</v>
      </c>
      <c r="F193" s="449">
        <f t="shared" si="152"/>
        <v>0</v>
      </c>
      <c r="G193" s="449">
        <f t="shared" si="152"/>
        <v>0</v>
      </c>
      <c r="H193" s="449">
        <f t="shared" si="152"/>
        <v>0</v>
      </c>
      <c r="I193" s="449">
        <f t="shared" si="152"/>
        <v>0</v>
      </c>
      <c r="J193" s="449">
        <f t="shared" si="152"/>
        <v>0</v>
      </c>
      <c r="K193" s="449">
        <f t="shared" si="152"/>
        <v>0</v>
      </c>
      <c r="L193" s="449">
        <f t="shared" si="152"/>
        <v>0</v>
      </c>
      <c r="M193" s="449">
        <f t="shared" si="152"/>
        <v>0</v>
      </c>
      <c r="N193" s="449">
        <f t="shared" si="152"/>
        <v>0</v>
      </c>
      <c r="O193" s="449">
        <f t="shared" si="152"/>
        <v>0</v>
      </c>
      <c r="P193" s="449">
        <f t="shared" si="152"/>
        <v>0</v>
      </c>
      <c r="Q193" s="450">
        <f t="shared" si="152"/>
        <v>0</v>
      </c>
      <c r="R193" s="450">
        <f t="shared" si="152"/>
        <v>0</v>
      </c>
      <c r="S193" s="450">
        <f t="shared" si="152"/>
        <v>0</v>
      </c>
      <c r="T193" s="450">
        <f t="shared" si="152"/>
        <v>0</v>
      </c>
      <c r="U193" s="450">
        <f t="shared" si="152"/>
        <v>0</v>
      </c>
      <c r="V193" s="450">
        <f t="shared" si="152"/>
        <v>0</v>
      </c>
      <c r="W193" s="450">
        <f t="shared" si="152"/>
        <v>0</v>
      </c>
      <c r="X193" s="450">
        <f t="shared" si="152"/>
        <v>0</v>
      </c>
      <c r="Y193" s="450">
        <f t="shared" si="152"/>
        <v>0</v>
      </c>
      <c r="Z193" s="450">
        <f t="shared" si="152"/>
        <v>0</v>
      </c>
      <c r="AA193" s="450">
        <f t="shared" si="152"/>
        <v>0</v>
      </c>
      <c r="AB193" s="450">
        <f t="shared" si="152"/>
        <v>0</v>
      </c>
      <c r="AC193" s="450">
        <f t="shared" si="152"/>
        <v>0</v>
      </c>
      <c r="AD193" s="450">
        <f t="shared" si="152"/>
        <v>0</v>
      </c>
      <c r="AE193" s="450">
        <f>SUM(AE181:AE192)</f>
        <v>0</v>
      </c>
      <c r="AF193" s="450">
        <f>SUM(AF181:AF192)</f>
        <v>0</v>
      </c>
      <c r="AG193" s="450">
        <f>SUM(AG181:AG192)</f>
        <v>0</v>
      </c>
      <c r="AK193" s="449">
        <v>0</v>
      </c>
      <c r="AL193" s="449">
        <f t="shared" si="151"/>
        <v>0</v>
      </c>
      <c r="AM193" s="449">
        <v>0</v>
      </c>
      <c r="AN193" s="449">
        <f t="shared" si="146"/>
        <v>0</v>
      </c>
      <c r="AO193" s="450">
        <v>0</v>
      </c>
      <c r="AP193" s="449">
        <f t="shared" si="147"/>
        <v>0</v>
      </c>
      <c r="AQ193" s="450">
        <v>0</v>
      </c>
      <c r="AR193" s="449">
        <f t="shared" si="148"/>
        <v>0</v>
      </c>
      <c r="AS193" s="450">
        <v>0</v>
      </c>
      <c r="AT193" s="449">
        <f t="shared" si="149"/>
        <v>0</v>
      </c>
      <c r="AU193" s="450">
        <v>0</v>
      </c>
      <c r="AV193" s="449">
        <f t="shared" si="150"/>
        <v>0</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3AF4C-9F54-478E-B773-55A426490249}">
  <sheetPr>
    <tabColor theme="2" tint="-0.499984740745262"/>
  </sheetPr>
  <dimension ref="A1:AA186"/>
  <sheetViews>
    <sheetView zoomScaleNormal="100" workbookViewId="0">
      <pane xSplit="1" ySplit="3" topLeftCell="B162"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1" max="1" width="9.5703125" style="138" bestFit="1" customWidth="1"/>
    <col min="2" max="16" width="14.28515625" style="234" customWidth="1"/>
    <col min="17" max="23" width="14.28515625" style="18" customWidth="1"/>
    <col min="24" max="24" width="9" style="234" bestFit="1" customWidth="1"/>
    <col min="25" max="16384" width="8.85546875" style="234"/>
  </cols>
  <sheetData>
    <row r="1" spans="1:24" ht="21">
      <c r="B1" s="589" t="s">
        <v>553</v>
      </c>
      <c r="C1" s="590"/>
      <c r="D1" s="590"/>
      <c r="E1" s="590"/>
      <c r="F1" s="590"/>
      <c r="G1" s="590"/>
      <c r="H1" s="590"/>
      <c r="I1" s="590"/>
      <c r="J1" s="591"/>
      <c r="K1" s="592" t="s">
        <v>554</v>
      </c>
      <c r="L1" s="592"/>
      <c r="M1" s="592"/>
      <c r="N1" s="592"/>
      <c r="O1" s="592"/>
      <c r="P1" s="593"/>
      <c r="Q1" s="594" t="s">
        <v>275</v>
      </c>
      <c r="R1" s="594"/>
      <c r="S1" s="594"/>
      <c r="T1" s="594"/>
      <c r="U1" s="594"/>
      <c r="V1" s="594"/>
      <c r="W1" s="595"/>
      <c r="X1" s="13"/>
    </row>
    <row r="2" spans="1:24" ht="15.75">
      <c r="A2" s="215"/>
      <c r="B2" s="486" t="s">
        <v>538</v>
      </c>
      <c r="C2" s="487"/>
      <c r="D2" s="487"/>
      <c r="E2" s="489" t="s">
        <v>540</v>
      </c>
      <c r="F2" s="489"/>
      <c r="G2" s="489"/>
      <c r="H2" s="538" t="s">
        <v>555</v>
      </c>
      <c r="I2" s="538"/>
      <c r="J2" s="539"/>
      <c r="K2" s="596" t="s">
        <v>556</v>
      </c>
      <c r="L2" s="596"/>
      <c r="M2" s="596"/>
      <c r="N2" s="597" t="s">
        <v>557</v>
      </c>
      <c r="O2" s="597"/>
      <c r="P2" s="598"/>
      <c r="Q2" s="494" t="s">
        <v>538</v>
      </c>
      <c r="R2" s="494"/>
      <c r="S2" s="494"/>
      <c r="T2" s="495" t="s">
        <v>540</v>
      </c>
      <c r="U2" s="495"/>
      <c r="V2" s="495"/>
      <c r="W2" s="543" t="s">
        <v>553</v>
      </c>
    </row>
    <row r="3" spans="1:24" ht="45.75" thickBot="1">
      <c r="A3" s="215"/>
      <c r="B3" s="216" t="s">
        <v>260</v>
      </c>
      <c r="C3" s="217" t="s">
        <v>261</v>
      </c>
      <c r="D3" s="217" t="s">
        <v>262</v>
      </c>
      <c r="E3" s="218" t="s">
        <v>260</v>
      </c>
      <c r="F3" s="218" t="s">
        <v>261</v>
      </c>
      <c r="G3" s="218" t="s">
        <v>262</v>
      </c>
      <c r="H3" s="221" t="s">
        <v>260</v>
      </c>
      <c r="I3" s="221" t="s">
        <v>261</v>
      </c>
      <c r="J3" s="222" t="s">
        <v>262</v>
      </c>
      <c r="K3" s="462" t="s">
        <v>412</v>
      </c>
      <c r="L3" s="463" t="s">
        <v>558</v>
      </c>
      <c r="M3" s="463" t="s">
        <v>262</v>
      </c>
      <c r="N3" s="464" t="s">
        <v>412</v>
      </c>
      <c r="O3" s="465" t="s">
        <v>558</v>
      </c>
      <c r="P3" s="466" t="s">
        <v>262</v>
      </c>
      <c r="Q3" s="230" t="s">
        <v>260</v>
      </c>
      <c r="R3" s="230" t="s">
        <v>261</v>
      </c>
      <c r="S3" s="230" t="s">
        <v>262</v>
      </c>
      <c r="T3" s="136" t="s">
        <v>260</v>
      </c>
      <c r="U3" s="136" t="s">
        <v>261</v>
      </c>
      <c r="V3" s="136" t="s">
        <v>262</v>
      </c>
      <c r="W3" s="543"/>
    </row>
    <row r="4" spans="1:24" ht="15.75" hidden="1" thickBot="1">
      <c r="A4" s="138">
        <v>40179</v>
      </c>
      <c r="B4" s="139">
        <f>M4</f>
        <v>0</v>
      </c>
      <c r="C4" s="18">
        <v>0</v>
      </c>
      <c r="D4" s="18">
        <f>C4+B4</f>
        <v>0</v>
      </c>
      <c r="E4" s="18">
        <v>0</v>
      </c>
      <c r="F4" s="18">
        <f>P4</f>
        <v>0</v>
      </c>
      <c r="G4" s="18">
        <f>F4+E4</f>
        <v>0</v>
      </c>
      <c r="H4" s="18">
        <f>B4+E4</f>
        <v>0</v>
      </c>
      <c r="I4" s="18">
        <f>C4+F4</f>
        <v>0</v>
      </c>
      <c r="J4" s="235">
        <f>I4+H4</f>
        <v>0</v>
      </c>
      <c r="K4" s="18">
        <v>0</v>
      </c>
      <c r="L4" s="18">
        <v>0</v>
      </c>
      <c r="M4" s="18">
        <f>L4+K4</f>
        <v>0</v>
      </c>
      <c r="N4" s="18">
        <v>0</v>
      </c>
      <c r="O4" s="18">
        <v>0</v>
      </c>
      <c r="P4" s="236">
        <f>O4+N4</f>
        <v>0</v>
      </c>
      <c r="Q4" s="18">
        <f>B4</f>
        <v>0</v>
      </c>
      <c r="R4" s="18">
        <f>C4</f>
        <v>0</v>
      </c>
      <c r="S4" s="18">
        <f>R4+Q4</f>
        <v>0</v>
      </c>
      <c r="T4" s="18">
        <f>E4</f>
        <v>0</v>
      </c>
      <c r="U4" s="18">
        <f>F4</f>
        <v>0</v>
      </c>
      <c r="V4" s="18">
        <f>U4+T4</f>
        <v>0</v>
      </c>
      <c r="W4" s="140">
        <f>V4+S4</f>
        <v>0</v>
      </c>
    </row>
    <row r="5" spans="1:24" ht="15.75" hidden="1" thickBot="1">
      <c r="A5" s="138">
        <v>40210</v>
      </c>
      <c r="B5" s="139">
        <f t="shared" ref="B5:B68" si="0">M5</f>
        <v>0</v>
      </c>
      <c r="C5" s="18">
        <v>0</v>
      </c>
      <c r="D5" s="18">
        <f t="shared" ref="D5:D68" si="1">C5+B5</f>
        <v>0</v>
      </c>
      <c r="E5" s="18">
        <v>0</v>
      </c>
      <c r="F5" s="18">
        <f t="shared" ref="F5:F68" si="2">P5</f>
        <v>0</v>
      </c>
      <c r="G5" s="18">
        <f t="shared" ref="G5:G68" si="3">F5+E5</f>
        <v>0</v>
      </c>
      <c r="H5" s="18">
        <f t="shared" ref="H5:I68" si="4">B5+E5</f>
        <v>0</v>
      </c>
      <c r="I5" s="18">
        <f t="shared" si="4"/>
        <v>0</v>
      </c>
      <c r="J5" s="235">
        <f t="shared" ref="J5:J68" si="5">I5+H5</f>
        <v>0</v>
      </c>
      <c r="K5" s="18">
        <v>0</v>
      </c>
      <c r="L5" s="18">
        <v>0</v>
      </c>
      <c r="M5" s="18">
        <f t="shared" ref="M5:M68" si="6">L5+K5</f>
        <v>0</v>
      </c>
      <c r="N5" s="18">
        <v>0</v>
      </c>
      <c r="O5" s="18">
        <v>0</v>
      </c>
      <c r="P5" s="236">
        <f t="shared" ref="P5:P68" si="7">O5+N5</f>
        <v>0</v>
      </c>
      <c r="Q5" s="18">
        <f>Q4+B5</f>
        <v>0</v>
      </c>
      <c r="R5" s="18">
        <f>R4+C5</f>
        <v>0</v>
      </c>
      <c r="S5" s="18">
        <f>R5+Q5</f>
        <v>0</v>
      </c>
      <c r="T5" s="18">
        <f>T4+E5</f>
        <v>0</v>
      </c>
      <c r="U5" s="18">
        <f>U4+F5</f>
        <v>0</v>
      </c>
      <c r="V5" s="18">
        <f>U5+T5</f>
        <v>0</v>
      </c>
      <c r="W5" s="140">
        <f>V5+S5</f>
        <v>0</v>
      </c>
    </row>
    <row r="6" spans="1:24" ht="15.75" hidden="1" thickBot="1">
      <c r="A6" s="138">
        <v>40238</v>
      </c>
      <c r="B6" s="139">
        <f t="shared" si="0"/>
        <v>0</v>
      </c>
      <c r="C6" s="18">
        <v>0</v>
      </c>
      <c r="D6" s="18">
        <f t="shared" si="1"/>
        <v>0</v>
      </c>
      <c r="E6" s="18">
        <v>0</v>
      </c>
      <c r="F6" s="18">
        <f t="shared" si="2"/>
        <v>0</v>
      </c>
      <c r="G6" s="18">
        <f t="shared" si="3"/>
        <v>0</v>
      </c>
      <c r="H6" s="18">
        <f t="shared" si="4"/>
        <v>0</v>
      </c>
      <c r="I6" s="18">
        <f t="shared" si="4"/>
        <v>0</v>
      </c>
      <c r="J6" s="235">
        <f t="shared" si="5"/>
        <v>0</v>
      </c>
      <c r="K6" s="18">
        <v>0</v>
      </c>
      <c r="L6" s="18">
        <v>0</v>
      </c>
      <c r="M6" s="18">
        <f t="shared" si="6"/>
        <v>0</v>
      </c>
      <c r="N6" s="18">
        <v>0</v>
      </c>
      <c r="O6" s="18">
        <v>0</v>
      </c>
      <c r="P6" s="236">
        <f t="shared" si="7"/>
        <v>0</v>
      </c>
      <c r="Q6" s="18">
        <f t="shared" ref="Q6:R15" si="8">Q5+B6</f>
        <v>0</v>
      </c>
      <c r="R6" s="18">
        <f t="shared" si="8"/>
        <v>0</v>
      </c>
      <c r="S6" s="18">
        <f t="shared" ref="S6:S15" si="9">R6+Q6</f>
        <v>0</v>
      </c>
      <c r="T6" s="18">
        <f t="shared" ref="T6:U15" si="10">T5+E6</f>
        <v>0</v>
      </c>
      <c r="U6" s="18">
        <f t="shared" si="10"/>
        <v>0</v>
      </c>
      <c r="V6" s="18">
        <f t="shared" ref="V6:V15" si="11">U6+T6</f>
        <v>0</v>
      </c>
      <c r="W6" s="140">
        <f t="shared" ref="W6:W15" si="12">V6+S6</f>
        <v>0</v>
      </c>
    </row>
    <row r="7" spans="1:24" ht="15.75" hidden="1" thickBot="1">
      <c r="A7" s="138">
        <v>40269</v>
      </c>
      <c r="B7" s="139">
        <f t="shared" si="0"/>
        <v>0</v>
      </c>
      <c r="C7" s="18">
        <v>0</v>
      </c>
      <c r="D7" s="18">
        <f t="shared" si="1"/>
        <v>0</v>
      </c>
      <c r="E7" s="18">
        <v>0</v>
      </c>
      <c r="F7" s="18">
        <f t="shared" si="2"/>
        <v>0</v>
      </c>
      <c r="G7" s="18">
        <f t="shared" si="3"/>
        <v>0</v>
      </c>
      <c r="H7" s="18">
        <f t="shared" si="4"/>
        <v>0</v>
      </c>
      <c r="I7" s="18">
        <f t="shared" si="4"/>
        <v>0</v>
      </c>
      <c r="J7" s="235">
        <f t="shared" si="5"/>
        <v>0</v>
      </c>
      <c r="K7" s="18">
        <v>0</v>
      </c>
      <c r="L7" s="18">
        <v>0</v>
      </c>
      <c r="M7" s="18">
        <f t="shared" si="6"/>
        <v>0</v>
      </c>
      <c r="N7" s="18">
        <v>0</v>
      </c>
      <c r="O7" s="18">
        <v>0</v>
      </c>
      <c r="P7" s="236">
        <f t="shared" si="7"/>
        <v>0</v>
      </c>
      <c r="Q7" s="18">
        <f t="shared" si="8"/>
        <v>0</v>
      </c>
      <c r="R7" s="18">
        <f t="shared" si="8"/>
        <v>0</v>
      </c>
      <c r="S7" s="18">
        <f t="shared" si="9"/>
        <v>0</v>
      </c>
      <c r="T7" s="18">
        <f t="shared" si="10"/>
        <v>0</v>
      </c>
      <c r="U7" s="18">
        <f t="shared" si="10"/>
        <v>0</v>
      </c>
      <c r="V7" s="18">
        <f t="shared" si="11"/>
        <v>0</v>
      </c>
      <c r="W7" s="140">
        <f t="shared" si="12"/>
        <v>0</v>
      </c>
    </row>
    <row r="8" spans="1:24" ht="15.75" hidden="1" thickBot="1">
      <c r="A8" s="138">
        <v>40299</v>
      </c>
      <c r="B8" s="139">
        <f t="shared" si="0"/>
        <v>0</v>
      </c>
      <c r="C8" s="18">
        <v>0</v>
      </c>
      <c r="D8" s="18">
        <f t="shared" si="1"/>
        <v>0</v>
      </c>
      <c r="E8" s="18">
        <v>0</v>
      </c>
      <c r="F8" s="18">
        <f t="shared" si="2"/>
        <v>0</v>
      </c>
      <c r="G8" s="18">
        <f t="shared" si="3"/>
        <v>0</v>
      </c>
      <c r="H8" s="18">
        <f t="shared" si="4"/>
        <v>0</v>
      </c>
      <c r="I8" s="18">
        <f t="shared" si="4"/>
        <v>0</v>
      </c>
      <c r="J8" s="235">
        <f t="shared" si="5"/>
        <v>0</v>
      </c>
      <c r="K8" s="18">
        <v>0</v>
      </c>
      <c r="L8" s="18">
        <v>0</v>
      </c>
      <c r="M8" s="18">
        <f t="shared" si="6"/>
        <v>0</v>
      </c>
      <c r="N8" s="18">
        <v>0</v>
      </c>
      <c r="O8" s="18">
        <v>0</v>
      </c>
      <c r="P8" s="236">
        <f t="shared" si="7"/>
        <v>0</v>
      </c>
      <c r="Q8" s="18">
        <f t="shared" si="8"/>
        <v>0</v>
      </c>
      <c r="R8" s="18">
        <f t="shared" si="8"/>
        <v>0</v>
      </c>
      <c r="S8" s="18">
        <f t="shared" si="9"/>
        <v>0</v>
      </c>
      <c r="T8" s="18">
        <f t="shared" si="10"/>
        <v>0</v>
      </c>
      <c r="U8" s="18">
        <f t="shared" si="10"/>
        <v>0</v>
      </c>
      <c r="V8" s="18">
        <f t="shared" si="11"/>
        <v>0</v>
      </c>
      <c r="W8" s="140">
        <f t="shared" si="12"/>
        <v>0</v>
      </c>
    </row>
    <row r="9" spans="1:24" ht="15.75" hidden="1" thickBot="1">
      <c r="A9" s="138">
        <v>40330</v>
      </c>
      <c r="B9" s="139">
        <f t="shared" si="0"/>
        <v>0</v>
      </c>
      <c r="C9" s="18">
        <v>0</v>
      </c>
      <c r="D9" s="18">
        <f t="shared" si="1"/>
        <v>0</v>
      </c>
      <c r="E9" s="18">
        <v>0</v>
      </c>
      <c r="F9" s="18">
        <f t="shared" si="2"/>
        <v>0</v>
      </c>
      <c r="G9" s="18">
        <f t="shared" si="3"/>
        <v>0</v>
      </c>
      <c r="H9" s="18">
        <f t="shared" si="4"/>
        <v>0</v>
      </c>
      <c r="I9" s="18">
        <f t="shared" si="4"/>
        <v>0</v>
      </c>
      <c r="J9" s="235">
        <f t="shared" si="5"/>
        <v>0</v>
      </c>
      <c r="K9" s="18">
        <v>0</v>
      </c>
      <c r="L9" s="18">
        <v>0</v>
      </c>
      <c r="M9" s="18">
        <f t="shared" si="6"/>
        <v>0</v>
      </c>
      <c r="N9" s="18">
        <v>0</v>
      </c>
      <c r="O9" s="18">
        <v>0</v>
      </c>
      <c r="P9" s="236">
        <f t="shared" si="7"/>
        <v>0</v>
      </c>
      <c r="Q9" s="18">
        <f t="shared" si="8"/>
        <v>0</v>
      </c>
      <c r="R9" s="18">
        <f t="shared" si="8"/>
        <v>0</v>
      </c>
      <c r="S9" s="18">
        <f t="shared" si="9"/>
        <v>0</v>
      </c>
      <c r="T9" s="18">
        <f t="shared" si="10"/>
        <v>0</v>
      </c>
      <c r="U9" s="18">
        <f t="shared" si="10"/>
        <v>0</v>
      </c>
      <c r="V9" s="18">
        <f t="shared" si="11"/>
        <v>0</v>
      </c>
      <c r="W9" s="140">
        <f t="shared" si="12"/>
        <v>0</v>
      </c>
    </row>
    <row r="10" spans="1:24" ht="15.75" hidden="1" thickBot="1">
      <c r="A10" s="138">
        <v>40360</v>
      </c>
      <c r="B10" s="139">
        <f t="shared" si="0"/>
        <v>0</v>
      </c>
      <c r="C10" s="18">
        <v>0</v>
      </c>
      <c r="D10" s="18">
        <f t="shared" si="1"/>
        <v>0</v>
      </c>
      <c r="E10" s="18">
        <v>0</v>
      </c>
      <c r="F10" s="18">
        <f t="shared" si="2"/>
        <v>0</v>
      </c>
      <c r="G10" s="18">
        <f t="shared" si="3"/>
        <v>0</v>
      </c>
      <c r="H10" s="18">
        <f t="shared" si="4"/>
        <v>0</v>
      </c>
      <c r="I10" s="18">
        <f t="shared" si="4"/>
        <v>0</v>
      </c>
      <c r="J10" s="235">
        <f t="shared" si="5"/>
        <v>0</v>
      </c>
      <c r="K10" s="18">
        <v>0</v>
      </c>
      <c r="L10" s="18">
        <v>0</v>
      </c>
      <c r="M10" s="18">
        <f t="shared" si="6"/>
        <v>0</v>
      </c>
      <c r="N10" s="18">
        <v>0</v>
      </c>
      <c r="O10" s="18">
        <v>0</v>
      </c>
      <c r="P10" s="236">
        <f t="shared" si="7"/>
        <v>0</v>
      </c>
      <c r="Q10" s="18">
        <f t="shared" si="8"/>
        <v>0</v>
      </c>
      <c r="R10" s="18">
        <f t="shared" si="8"/>
        <v>0</v>
      </c>
      <c r="S10" s="18">
        <f t="shared" si="9"/>
        <v>0</v>
      </c>
      <c r="T10" s="18">
        <f t="shared" si="10"/>
        <v>0</v>
      </c>
      <c r="U10" s="18">
        <f t="shared" si="10"/>
        <v>0</v>
      </c>
      <c r="V10" s="18">
        <f t="shared" si="11"/>
        <v>0</v>
      </c>
      <c r="W10" s="140">
        <f t="shared" si="12"/>
        <v>0</v>
      </c>
    </row>
    <row r="11" spans="1:24" ht="15.75" hidden="1" thickBot="1">
      <c r="A11" s="138">
        <v>40391</v>
      </c>
      <c r="B11" s="139">
        <f t="shared" si="0"/>
        <v>0</v>
      </c>
      <c r="C11" s="18">
        <v>0</v>
      </c>
      <c r="D11" s="18">
        <f t="shared" si="1"/>
        <v>0</v>
      </c>
      <c r="E11" s="18">
        <v>0</v>
      </c>
      <c r="F11" s="18">
        <f t="shared" si="2"/>
        <v>0</v>
      </c>
      <c r="G11" s="18">
        <f t="shared" si="3"/>
        <v>0</v>
      </c>
      <c r="H11" s="18">
        <f t="shared" si="4"/>
        <v>0</v>
      </c>
      <c r="I11" s="18">
        <f t="shared" si="4"/>
        <v>0</v>
      </c>
      <c r="J11" s="235">
        <f t="shared" si="5"/>
        <v>0</v>
      </c>
      <c r="K11" s="18">
        <v>0</v>
      </c>
      <c r="L11" s="18">
        <v>0</v>
      </c>
      <c r="M11" s="18">
        <f t="shared" si="6"/>
        <v>0</v>
      </c>
      <c r="N11" s="18">
        <v>0</v>
      </c>
      <c r="O11" s="18">
        <v>0</v>
      </c>
      <c r="P11" s="236">
        <f t="shared" si="7"/>
        <v>0</v>
      </c>
      <c r="Q11" s="18">
        <f t="shared" si="8"/>
        <v>0</v>
      </c>
      <c r="R11" s="18">
        <f t="shared" si="8"/>
        <v>0</v>
      </c>
      <c r="S11" s="18">
        <f t="shared" si="9"/>
        <v>0</v>
      </c>
      <c r="T11" s="18">
        <f t="shared" si="10"/>
        <v>0</v>
      </c>
      <c r="U11" s="18">
        <f t="shared" si="10"/>
        <v>0</v>
      </c>
      <c r="V11" s="18">
        <f t="shared" si="11"/>
        <v>0</v>
      </c>
      <c r="W11" s="140">
        <f t="shared" si="12"/>
        <v>0</v>
      </c>
    </row>
    <row r="12" spans="1:24" ht="15.75" hidden="1" thickBot="1">
      <c r="A12" s="138">
        <v>40422</v>
      </c>
      <c r="B12" s="139">
        <f t="shared" si="0"/>
        <v>0</v>
      </c>
      <c r="C12" s="18">
        <v>0</v>
      </c>
      <c r="D12" s="18">
        <f t="shared" si="1"/>
        <v>0</v>
      </c>
      <c r="E12" s="18">
        <v>0</v>
      </c>
      <c r="F12" s="18">
        <f t="shared" si="2"/>
        <v>0</v>
      </c>
      <c r="G12" s="18">
        <f t="shared" si="3"/>
        <v>0</v>
      </c>
      <c r="H12" s="18">
        <f t="shared" si="4"/>
        <v>0</v>
      </c>
      <c r="I12" s="18">
        <f t="shared" si="4"/>
        <v>0</v>
      </c>
      <c r="J12" s="235">
        <f t="shared" si="5"/>
        <v>0</v>
      </c>
      <c r="K12" s="18">
        <v>0</v>
      </c>
      <c r="L12" s="18">
        <v>0</v>
      </c>
      <c r="M12" s="18">
        <f t="shared" si="6"/>
        <v>0</v>
      </c>
      <c r="N12" s="18">
        <v>0</v>
      </c>
      <c r="O12" s="18">
        <v>0</v>
      </c>
      <c r="P12" s="236">
        <f t="shared" si="7"/>
        <v>0</v>
      </c>
      <c r="Q12" s="18">
        <f t="shared" si="8"/>
        <v>0</v>
      </c>
      <c r="R12" s="18">
        <f t="shared" si="8"/>
        <v>0</v>
      </c>
      <c r="S12" s="18">
        <f t="shared" si="9"/>
        <v>0</v>
      </c>
      <c r="T12" s="18">
        <f t="shared" si="10"/>
        <v>0</v>
      </c>
      <c r="U12" s="18">
        <f t="shared" si="10"/>
        <v>0</v>
      </c>
      <c r="V12" s="18">
        <f t="shared" si="11"/>
        <v>0</v>
      </c>
      <c r="W12" s="140">
        <f t="shared" si="12"/>
        <v>0</v>
      </c>
    </row>
    <row r="13" spans="1:24" ht="15.75" hidden="1" thickBot="1">
      <c r="A13" s="138">
        <v>40452</v>
      </c>
      <c r="B13" s="139">
        <f t="shared" si="0"/>
        <v>0</v>
      </c>
      <c r="C13" s="18">
        <v>0</v>
      </c>
      <c r="D13" s="18">
        <f t="shared" si="1"/>
        <v>0</v>
      </c>
      <c r="E13" s="18">
        <v>0</v>
      </c>
      <c r="F13" s="18">
        <f t="shared" si="2"/>
        <v>0</v>
      </c>
      <c r="G13" s="18">
        <f t="shared" si="3"/>
        <v>0</v>
      </c>
      <c r="H13" s="18">
        <f t="shared" si="4"/>
        <v>0</v>
      </c>
      <c r="I13" s="18">
        <f t="shared" si="4"/>
        <v>0</v>
      </c>
      <c r="J13" s="235">
        <f t="shared" si="5"/>
        <v>0</v>
      </c>
      <c r="K13" s="18">
        <v>0</v>
      </c>
      <c r="L13" s="18">
        <v>0</v>
      </c>
      <c r="M13" s="18">
        <f t="shared" si="6"/>
        <v>0</v>
      </c>
      <c r="N13" s="18">
        <v>0</v>
      </c>
      <c r="O13" s="18">
        <v>0</v>
      </c>
      <c r="P13" s="236">
        <f t="shared" si="7"/>
        <v>0</v>
      </c>
      <c r="Q13" s="18">
        <f t="shared" si="8"/>
        <v>0</v>
      </c>
      <c r="R13" s="18">
        <f t="shared" si="8"/>
        <v>0</v>
      </c>
      <c r="S13" s="18">
        <f t="shared" si="9"/>
        <v>0</v>
      </c>
      <c r="T13" s="18">
        <f t="shared" si="10"/>
        <v>0</v>
      </c>
      <c r="U13" s="18">
        <f t="shared" si="10"/>
        <v>0</v>
      </c>
      <c r="V13" s="18">
        <f t="shared" si="11"/>
        <v>0</v>
      </c>
      <c r="W13" s="140">
        <f t="shared" si="12"/>
        <v>0</v>
      </c>
    </row>
    <row r="14" spans="1:24" ht="15.75" hidden="1" thickBot="1">
      <c r="A14" s="138">
        <v>40483</v>
      </c>
      <c r="B14" s="139">
        <f t="shared" si="0"/>
        <v>0</v>
      </c>
      <c r="C14" s="18">
        <v>0</v>
      </c>
      <c r="D14" s="18">
        <f t="shared" si="1"/>
        <v>0</v>
      </c>
      <c r="E14" s="18">
        <v>0</v>
      </c>
      <c r="F14" s="18">
        <f t="shared" si="2"/>
        <v>0</v>
      </c>
      <c r="G14" s="18">
        <f t="shared" si="3"/>
        <v>0</v>
      </c>
      <c r="H14" s="18">
        <f t="shared" si="4"/>
        <v>0</v>
      </c>
      <c r="I14" s="18">
        <f t="shared" si="4"/>
        <v>0</v>
      </c>
      <c r="J14" s="235">
        <f t="shared" si="5"/>
        <v>0</v>
      </c>
      <c r="K14" s="18">
        <v>0</v>
      </c>
      <c r="L14" s="18">
        <v>0</v>
      </c>
      <c r="M14" s="18">
        <f t="shared" si="6"/>
        <v>0</v>
      </c>
      <c r="N14" s="18">
        <v>0</v>
      </c>
      <c r="O14" s="18">
        <v>0</v>
      </c>
      <c r="P14" s="236">
        <f t="shared" si="7"/>
        <v>0</v>
      </c>
      <c r="Q14" s="18">
        <f t="shared" si="8"/>
        <v>0</v>
      </c>
      <c r="R14" s="18">
        <f t="shared" si="8"/>
        <v>0</v>
      </c>
      <c r="S14" s="18">
        <f t="shared" si="9"/>
        <v>0</v>
      </c>
      <c r="T14" s="18">
        <f t="shared" si="10"/>
        <v>0</v>
      </c>
      <c r="U14" s="18">
        <f t="shared" si="10"/>
        <v>0</v>
      </c>
      <c r="V14" s="18">
        <f t="shared" si="11"/>
        <v>0</v>
      </c>
      <c r="W14" s="140">
        <f t="shared" si="12"/>
        <v>0</v>
      </c>
    </row>
    <row r="15" spans="1:24" ht="15.75" hidden="1" thickBot="1">
      <c r="A15" s="138">
        <v>40513</v>
      </c>
      <c r="B15" s="139">
        <f t="shared" si="0"/>
        <v>0</v>
      </c>
      <c r="C15" s="18">
        <v>0</v>
      </c>
      <c r="D15" s="18">
        <f t="shared" si="1"/>
        <v>0</v>
      </c>
      <c r="E15" s="18">
        <v>0</v>
      </c>
      <c r="F15" s="18">
        <f t="shared" si="2"/>
        <v>0</v>
      </c>
      <c r="G15" s="18">
        <f t="shared" si="3"/>
        <v>0</v>
      </c>
      <c r="H15" s="18">
        <f t="shared" si="4"/>
        <v>0</v>
      </c>
      <c r="I15" s="18">
        <f t="shared" si="4"/>
        <v>0</v>
      </c>
      <c r="J15" s="235">
        <f t="shared" si="5"/>
        <v>0</v>
      </c>
      <c r="K15" s="18">
        <v>0</v>
      </c>
      <c r="L15" s="18">
        <v>0</v>
      </c>
      <c r="M15" s="18">
        <f t="shared" si="6"/>
        <v>0</v>
      </c>
      <c r="N15" s="18">
        <v>0</v>
      </c>
      <c r="O15" s="18">
        <v>0</v>
      </c>
      <c r="P15" s="236">
        <f t="shared" si="7"/>
        <v>0</v>
      </c>
      <c r="Q15" s="18">
        <f t="shared" si="8"/>
        <v>0</v>
      </c>
      <c r="R15" s="18">
        <f t="shared" si="8"/>
        <v>0</v>
      </c>
      <c r="S15" s="18">
        <f t="shared" si="9"/>
        <v>0</v>
      </c>
      <c r="T15" s="18">
        <f t="shared" si="10"/>
        <v>0</v>
      </c>
      <c r="U15" s="18">
        <f t="shared" si="10"/>
        <v>0</v>
      </c>
      <c r="V15" s="18">
        <f t="shared" si="11"/>
        <v>0</v>
      </c>
      <c r="W15" s="140">
        <f t="shared" si="12"/>
        <v>0</v>
      </c>
    </row>
    <row r="16" spans="1:24" ht="15.75" hidden="1" thickBot="1">
      <c r="A16" s="138">
        <v>40544</v>
      </c>
      <c r="B16" s="142">
        <f t="shared" si="0"/>
        <v>0</v>
      </c>
      <c r="C16" s="143">
        <v>0</v>
      </c>
      <c r="D16" s="143">
        <f t="shared" si="1"/>
        <v>0</v>
      </c>
      <c r="E16" s="143">
        <v>0</v>
      </c>
      <c r="F16" s="143">
        <f t="shared" si="2"/>
        <v>0</v>
      </c>
      <c r="G16" s="143">
        <f t="shared" si="3"/>
        <v>0</v>
      </c>
      <c r="H16" s="143">
        <f t="shared" si="4"/>
        <v>0</v>
      </c>
      <c r="I16" s="143">
        <f t="shared" si="4"/>
        <v>0</v>
      </c>
      <c r="J16" s="237">
        <f t="shared" si="5"/>
        <v>0</v>
      </c>
      <c r="K16" s="143">
        <v>0</v>
      </c>
      <c r="L16" s="143">
        <v>0</v>
      </c>
      <c r="M16" s="143">
        <f t="shared" si="6"/>
        <v>0</v>
      </c>
      <c r="N16" s="143">
        <v>0</v>
      </c>
      <c r="O16" s="143">
        <v>0</v>
      </c>
      <c r="P16" s="238">
        <f t="shared" si="7"/>
        <v>0</v>
      </c>
      <c r="Q16" s="143">
        <f>B16</f>
        <v>0</v>
      </c>
      <c r="R16" s="143">
        <f>C16</f>
        <v>0</v>
      </c>
      <c r="S16" s="143">
        <f>R16+Q16</f>
        <v>0</v>
      </c>
      <c r="T16" s="143">
        <f>E16</f>
        <v>0</v>
      </c>
      <c r="U16" s="143">
        <f>F16</f>
        <v>0</v>
      </c>
      <c r="V16" s="143">
        <f>U16+T16</f>
        <v>0</v>
      </c>
      <c r="W16" s="144">
        <f>V16+S16</f>
        <v>0</v>
      </c>
    </row>
    <row r="17" spans="1:23" ht="15.75" hidden="1" thickBot="1">
      <c r="A17" s="138">
        <v>40575</v>
      </c>
      <c r="B17" s="139">
        <f t="shared" si="0"/>
        <v>0</v>
      </c>
      <c r="C17" s="18">
        <v>0</v>
      </c>
      <c r="D17" s="18">
        <f t="shared" si="1"/>
        <v>0</v>
      </c>
      <c r="E17" s="18">
        <v>0</v>
      </c>
      <c r="F17" s="18">
        <f t="shared" si="2"/>
        <v>0</v>
      </c>
      <c r="G17" s="18">
        <f t="shared" si="3"/>
        <v>0</v>
      </c>
      <c r="H17" s="18">
        <f t="shared" si="4"/>
        <v>0</v>
      </c>
      <c r="I17" s="18">
        <f t="shared" si="4"/>
        <v>0</v>
      </c>
      <c r="J17" s="235">
        <f t="shared" si="5"/>
        <v>0</v>
      </c>
      <c r="K17" s="18">
        <v>0</v>
      </c>
      <c r="L17" s="18">
        <v>0</v>
      </c>
      <c r="M17" s="18">
        <f t="shared" si="6"/>
        <v>0</v>
      </c>
      <c r="N17" s="18">
        <v>0</v>
      </c>
      <c r="O17" s="18">
        <v>0</v>
      </c>
      <c r="P17" s="236">
        <f t="shared" si="7"/>
        <v>0</v>
      </c>
      <c r="Q17" s="18">
        <f>Q16+B17</f>
        <v>0</v>
      </c>
      <c r="R17" s="18">
        <f>R16+C17</f>
        <v>0</v>
      </c>
      <c r="S17" s="18">
        <f>R17+Q17</f>
        <v>0</v>
      </c>
      <c r="T17" s="18">
        <f>T16+E17</f>
        <v>0</v>
      </c>
      <c r="U17" s="18">
        <f>U16+F17</f>
        <v>0</v>
      </c>
      <c r="V17" s="18">
        <f>U17+T17</f>
        <v>0</v>
      </c>
      <c r="W17" s="140">
        <f>V17+S17</f>
        <v>0</v>
      </c>
    </row>
    <row r="18" spans="1:23" ht="15.75" hidden="1" thickBot="1">
      <c r="A18" s="138">
        <v>40603</v>
      </c>
      <c r="B18" s="139">
        <f t="shared" si="0"/>
        <v>0</v>
      </c>
      <c r="C18" s="18">
        <v>0</v>
      </c>
      <c r="D18" s="18">
        <f t="shared" si="1"/>
        <v>0</v>
      </c>
      <c r="E18" s="18">
        <v>0</v>
      </c>
      <c r="F18" s="18">
        <f t="shared" si="2"/>
        <v>0</v>
      </c>
      <c r="G18" s="18">
        <f t="shared" si="3"/>
        <v>0</v>
      </c>
      <c r="H18" s="18">
        <f t="shared" si="4"/>
        <v>0</v>
      </c>
      <c r="I18" s="18">
        <f t="shared" si="4"/>
        <v>0</v>
      </c>
      <c r="J18" s="235">
        <f t="shared" si="5"/>
        <v>0</v>
      </c>
      <c r="K18" s="18">
        <v>0</v>
      </c>
      <c r="L18" s="18">
        <v>0</v>
      </c>
      <c r="M18" s="18">
        <f t="shared" si="6"/>
        <v>0</v>
      </c>
      <c r="N18" s="18">
        <v>0</v>
      </c>
      <c r="O18" s="18">
        <v>0</v>
      </c>
      <c r="P18" s="236">
        <f t="shared" si="7"/>
        <v>0</v>
      </c>
      <c r="Q18" s="18">
        <f t="shared" ref="Q18:R27" si="13">Q17+B18</f>
        <v>0</v>
      </c>
      <c r="R18" s="18">
        <f t="shared" si="13"/>
        <v>0</v>
      </c>
      <c r="S18" s="18">
        <f t="shared" ref="S18:S27" si="14">R18+Q18</f>
        <v>0</v>
      </c>
      <c r="T18" s="18">
        <f t="shared" ref="T18:U27" si="15">T17+E18</f>
        <v>0</v>
      </c>
      <c r="U18" s="18">
        <f t="shared" si="15"/>
        <v>0</v>
      </c>
      <c r="V18" s="18">
        <f t="shared" ref="V18:V27" si="16">U18+T18</f>
        <v>0</v>
      </c>
      <c r="W18" s="140">
        <f t="shared" ref="W18:W27" si="17">V18+S18</f>
        <v>0</v>
      </c>
    </row>
    <row r="19" spans="1:23" ht="15.75" hidden="1" thickBot="1">
      <c r="A19" s="138">
        <v>40634</v>
      </c>
      <c r="B19" s="139">
        <f t="shared" si="0"/>
        <v>0</v>
      </c>
      <c r="C19" s="18">
        <v>0</v>
      </c>
      <c r="D19" s="18">
        <f t="shared" si="1"/>
        <v>0</v>
      </c>
      <c r="E19" s="18">
        <v>0</v>
      </c>
      <c r="F19" s="18">
        <f t="shared" si="2"/>
        <v>0</v>
      </c>
      <c r="G19" s="18">
        <f t="shared" si="3"/>
        <v>0</v>
      </c>
      <c r="H19" s="18">
        <f t="shared" si="4"/>
        <v>0</v>
      </c>
      <c r="I19" s="18">
        <f t="shared" si="4"/>
        <v>0</v>
      </c>
      <c r="J19" s="235">
        <f t="shared" si="5"/>
        <v>0</v>
      </c>
      <c r="K19" s="18">
        <v>0</v>
      </c>
      <c r="L19" s="18">
        <v>0</v>
      </c>
      <c r="M19" s="18">
        <f t="shared" si="6"/>
        <v>0</v>
      </c>
      <c r="N19" s="18">
        <v>0</v>
      </c>
      <c r="O19" s="18">
        <v>0</v>
      </c>
      <c r="P19" s="236">
        <f t="shared" si="7"/>
        <v>0</v>
      </c>
      <c r="Q19" s="18">
        <f t="shared" si="13"/>
        <v>0</v>
      </c>
      <c r="R19" s="18">
        <f t="shared" si="13"/>
        <v>0</v>
      </c>
      <c r="S19" s="18">
        <f t="shared" si="14"/>
        <v>0</v>
      </c>
      <c r="T19" s="18">
        <f t="shared" si="15"/>
        <v>0</v>
      </c>
      <c r="U19" s="18">
        <f t="shared" si="15"/>
        <v>0</v>
      </c>
      <c r="V19" s="18">
        <f t="shared" si="16"/>
        <v>0</v>
      </c>
      <c r="W19" s="140">
        <f t="shared" si="17"/>
        <v>0</v>
      </c>
    </row>
    <row r="20" spans="1:23" ht="15.75" hidden="1" thickBot="1">
      <c r="A20" s="138">
        <v>40664</v>
      </c>
      <c r="B20" s="139">
        <f t="shared" si="0"/>
        <v>0</v>
      </c>
      <c r="C20" s="18">
        <v>0</v>
      </c>
      <c r="D20" s="18">
        <f t="shared" si="1"/>
        <v>0</v>
      </c>
      <c r="E20" s="18">
        <v>0</v>
      </c>
      <c r="F20" s="18">
        <f t="shared" si="2"/>
        <v>0</v>
      </c>
      <c r="G20" s="18">
        <f t="shared" si="3"/>
        <v>0</v>
      </c>
      <c r="H20" s="18">
        <f t="shared" si="4"/>
        <v>0</v>
      </c>
      <c r="I20" s="18">
        <f t="shared" si="4"/>
        <v>0</v>
      </c>
      <c r="J20" s="235">
        <f t="shared" si="5"/>
        <v>0</v>
      </c>
      <c r="K20" s="18">
        <v>0</v>
      </c>
      <c r="L20" s="18">
        <v>0</v>
      </c>
      <c r="M20" s="18">
        <f t="shared" si="6"/>
        <v>0</v>
      </c>
      <c r="N20" s="18">
        <v>0</v>
      </c>
      <c r="O20" s="18">
        <v>0</v>
      </c>
      <c r="P20" s="236">
        <f t="shared" si="7"/>
        <v>0</v>
      </c>
      <c r="Q20" s="18">
        <f t="shared" si="13"/>
        <v>0</v>
      </c>
      <c r="R20" s="18">
        <f t="shared" si="13"/>
        <v>0</v>
      </c>
      <c r="S20" s="18">
        <f t="shared" si="14"/>
        <v>0</v>
      </c>
      <c r="T20" s="18">
        <f t="shared" si="15"/>
        <v>0</v>
      </c>
      <c r="U20" s="18">
        <f t="shared" si="15"/>
        <v>0</v>
      </c>
      <c r="V20" s="18">
        <f t="shared" si="16"/>
        <v>0</v>
      </c>
      <c r="W20" s="140">
        <f t="shared" si="17"/>
        <v>0</v>
      </c>
    </row>
    <row r="21" spans="1:23" ht="15.75" hidden="1" thickBot="1">
      <c r="A21" s="138">
        <v>40695</v>
      </c>
      <c r="B21" s="139">
        <f t="shared" si="0"/>
        <v>0</v>
      </c>
      <c r="C21" s="18">
        <v>0</v>
      </c>
      <c r="D21" s="18">
        <f t="shared" si="1"/>
        <v>0</v>
      </c>
      <c r="E21" s="18">
        <v>0</v>
      </c>
      <c r="F21" s="18">
        <f t="shared" si="2"/>
        <v>0</v>
      </c>
      <c r="G21" s="18">
        <f t="shared" si="3"/>
        <v>0</v>
      </c>
      <c r="H21" s="18">
        <f t="shared" si="4"/>
        <v>0</v>
      </c>
      <c r="I21" s="18">
        <f t="shared" si="4"/>
        <v>0</v>
      </c>
      <c r="J21" s="235">
        <f t="shared" si="5"/>
        <v>0</v>
      </c>
      <c r="K21" s="18">
        <v>0</v>
      </c>
      <c r="L21" s="18">
        <v>0</v>
      </c>
      <c r="M21" s="18">
        <f t="shared" si="6"/>
        <v>0</v>
      </c>
      <c r="N21" s="18">
        <v>0</v>
      </c>
      <c r="O21" s="18">
        <v>0</v>
      </c>
      <c r="P21" s="236">
        <f t="shared" si="7"/>
        <v>0</v>
      </c>
      <c r="Q21" s="18">
        <f t="shared" si="13"/>
        <v>0</v>
      </c>
      <c r="R21" s="18">
        <f t="shared" si="13"/>
        <v>0</v>
      </c>
      <c r="S21" s="18">
        <f t="shared" si="14"/>
        <v>0</v>
      </c>
      <c r="T21" s="18">
        <f t="shared" si="15"/>
        <v>0</v>
      </c>
      <c r="U21" s="18">
        <f t="shared" si="15"/>
        <v>0</v>
      </c>
      <c r="V21" s="18">
        <f t="shared" si="16"/>
        <v>0</v>
      </c>
      <c r="W21" s="140">
        <f t="shared" si="17"/>
        <v>0</v>
      </c>
    </row>
    <row r="22" spans="1:23" ht="15.75" hidden="1" thickBot="1">
      <c r="A22" s="138">
        <v>40725</v>
      </c>
      <c r="B22" s="139">
        <f t="shared" si="0"/>
        <v>0</v>
      </c>
      <c r="C22" s="18">
        <v>0</v>
      </c>
      <c r="D22" s="18">
        <f t="shared" si="1"/>
        <v>0</v>
      </c>
      <c r="E22" s="18">
        <v>0</v>
      </c>
      <c r="F22" s="18">
        <f t="shared" si="2"/>
        <v>0</v>
      </c>
      <c r="G22" s="18">
        <f t="shared" si="3"/>
        <v>0</v>
      </c>
      <c r="H22" s="18">
        <f t="shared" si="4"/>
        <v>0</v>
      </c>
      <c r="I22" s="18">
        <f t="shared" si="4"/>
        <v>0</v>
      </c>
      <c r="J22" s="235">
        <f t="shared" si="5"/>
        <v>0</v>
      </c>
      <c r="K22" s="18">
        <v>0</v>
      </c>
      <c r="L22" s="18">
        <v>0</v>
      </c>
      <c r="M22" s="18">
        <f t="shared" si="6"/>
        <v>0</v>
      </c>
      <c r="N22" s="18">
        <v>0</v>
      </c>
      <c r="O22" s="18">
        <v>0</v>
      </c>
      <c r="P22" s="236">
        <f t="shared" si="7"/>
        <v>0</v>
      </c>
      <c r="Q22" s="18">
        <f t="shared" si="13"/>
        <v>0</v>
      </c>
      <c r="R22" s="18">
        <f t="shared" si="13"/>
        <v>0</v>
      </c>
      <c r="S22" s="18">
        <f t="shared" si="14"/>
        <v>0</v>
      </c>
      <c r="T22" s="18">
        <f t="shared" si="15"/>
        <v>0</v>
      </c>
      <c r="U22" s="18">
        <f t="shared" si="15"/>
        <v>0</v>
      </c>
      <c r="V22" s="18">
        <f t="shared" si="16"/>
        <v>0</v>
      </c>
      <c r="W22" s="140">
        <f t="shared" si="17"/>
        <v>0</v>
      </c>
    </row>
    <row r="23" spans="1:23" ht="15.75" hidden="1" thickBot="1">
      <c r="A23" s="138">
        <v>40756</v>
      </c>
      <c r="B23" s="139">
        <f t="shared" si="0"/>
        <v>0</v>
      </c>
      <c r="C23" s="18">
        <v>0</v>
      </c>
      <c r="D23" s="18">
        <f t="shared" si="1"/>
        <v>0</v>
      </c>
      <c r="E23" s="18">
        <v>0</v>
      </c>
      <c r="F23" s="18">
        <f t="shared" si="2"/>
        <v>0</v>
      </c>
      <c r="G23" s="18">
        <f t="shared" si="3"/>
        <v>0</v>
      </c>
      <c r="H23" s="18">
        <f t="shared" si="4"/>
        <v>0</v>
      </c>
      <c r="I23" s="18">
        <f t="shared" si="4"/>
        <v>0</v>
      </c>
      <c r="J23" s="235">
        <f t="shared" si="5"/>
        <v>0</v>
      </c>
      <c r="K23" s="18">
        <v>0</v>
      </c>
      <c r="L23" s="18">
        <v>0</v>
      </c>
      <c r="M23" s="18">
        <f t="shared" si="6"/>
        <v>0</v>
      </c>
      <c r="N23" s="18">
        <v>0</v>
      </c>
      <c r="O23" s="18">
        <v>0</v>
      </c>
      <c r="P23" s="236">
        <f t="shared" si="7"/>
        <v>0</v>
      </c>
      <c r="Q23" s="18">
        <f t="shared" si="13"/>
        <v>0</v>
      </c>
      <c r="R23" s="18">
        <f t="shared" si="13"/>
        <v>0</v>
      </c>
      <c r="S23" s="18">
        <f t="shared" si="14"/>
        <v>0</v>
      </c>
      <c r="T23" s="18">
        <f t="shared" si="15"/>
        <v>0</v>
      </c>
      <c r="U23" s="18">
        <f t="shared" si="15"/>
        <v>0</v>
      </c>
      <c r="V23" s="18">
        <f t="shared" si="16"/>
        <v>0</v>
      </c>
      <c r="W23" s="140">
        <f t="shared" si="17"/>
        <v>0</v>
      </c>
    </row>
    <row r="24" spans="1:23" ht="15.75" hidden="1" thickBot="1">
      <c r="A24" s="138">
        <v>40787</v>
      </c>
      <c r="B24" s="139">
        <f t="shared" si="0"/>
        <v>0</v>
      </c>
      <c r="C24" s="18">
        <v>0</v>
      </c>
      <c r="D24" s="18">
        <f t="shared" si="1"/>
        <v>0</v>
      </c>
      <c r="E24" s="18">
        <v>0</v>
      </c>
      <c r="F24" s="18">
        <f t="shared" si="2"/>
        <v>0</v>
      </c>
      <c r="G24" s="18">
        <f t="shared" si="3"/>
        <v>0</v>
      </c>
      <c r="H24" s="18">
        <f t="shared" si="4"/>
        <v>0</v>
      </c>
      <c r="I24" s="18">
        <f t="shared" si="4"/>
        <v>0</v>
      </c>
      <c r="J24" s="235">
        <f t="shared" si="5"/>
        <v>0</v>
      </c>
      <c r="K24" s="18">
        <v>0</v>
      </c>
      <c r="L24" s="18">
        <v>0</v>
      </c>
      <c r="M24" s="18">
        <f t="shared" si="6"/>
        <v>0</v>
      </c>
      <c r="N24" s="18">
        <v>0</v>
      </c>
      <c r="O24" s="18">
        <v>0</v>
      </c>
      <c r="P24" s="236">
        <f t="shared" si="7"/>
        <v>0</v>
      </c>
      <c r="Q24" s="18">
        <f t="shared" si="13"/>
        <v>0</v>
      </c>
      <c r="R24" s="18">
        <f t="shared" si="13"/>
        <v>0</v>
      </c>
      <c r="S24" s="18">
        <f t="shared" si="14"/>
        <v>0</v>
      </c>
      <c r="T24" s="18">
        <f t="shared" si="15"/>
        <v>0</v>
      </c>
      <c r="U24" s="18">
        <f t="shared" si="15"/>
        <v>0</v>
      </c>
      <c r="V24" s="18">
        <f t="shared" si="16"/>
        <v>0</v>
      </c>
      <c r="W24" s="140">
        <f t="shared" si="17"/>
        <v>0</v>
      </c>
    </row>
    <row r="25" spans="1:23" ht="15.75" hidden="1" thickBot="1">
      <c r="A25" s="138">
        <v>40817</v>
      </c>
      <c r="B25" s="139">
        <f t="shared" si="0"/>
        <v>0</v>
      </c>
      <c r="C25" s="18">
        <v>0</v>
      </c>
      <c r="D25" s="18">
        <f t="shared" si="1"/>
        <v>0</v>
      </c>
      <c r="E25" s="18">
        <v>0</v>
      </c>
      <c r="F25" s="18">
        <f t="shared" si="2"/>
        <v>0</v>
      </c>
      <c r="G25" s="18">
        <f t="shared" si="3"/>
        <v>0</v>
      </c>
      <c r="H25" s="18">
        <f t="shared" si="4"/>
        <v>0</v>
      </c>
      <c r="I25" s="18">
        <f t="shared" si="4"/>
        <v>0</v>
      </c>
      <c r="J25" s="235">
        <f t="shared" si="5"/>
        <v>0</v>
      </c>
      <c r="K25" s="18">
        <v>0</v>
      </c>
      <c r="L25" s="18">
        <v>0</v>
      </c>
      <c r="M25" s="18">
        <f t="shared" si="6"/>
        <v>0</v>
      </c>
      <c r="N25" s="18">
        <v>0</v>
      </c>
      <c r="O25" s="18">
        <v>0</v>
      </c>
      <c r="P25" s="236">
        <f t="shared" si="7"/>
        <v>0</v>
      </c>
      <c r="Q25" s="18">
        <f t="shared" si="13"/>
        <v>0</v>
      </c>
      <c r="R25" s="18">
        <f t="shared" si="13"/>
        <v>0</v>
      </c>
      <c r="S25" s="18">
        <f t="shared" si="14"/>
        <v>0</v>
      </c>
      <c r="T25" s="18">
        <f t="shared" si="15"/>
        <v>0</v>
      </c>
      <c r="U25" s="18">
        <f t="shared" si="15"/>
        <v>0</v>
      </c>
      <c r="V25" s="18">
        <f t="shared" si="16"/>
        <v>0</v>
      </c>
      <c r="W25" s="140">
        <f t="shared" si="17"/>
        <v>0</v>
      </c>
    </row>
    <row r="26" spans="1:23" ht="15.75" hidden="1" thickBot="1">
      <c r="A26" s="138">
        <v>40848</v>
      </c>
      <c r="B26" s="139">
        <f t="shared" si="0"/>
        <v>0</v>
      </c>
      <c r="C26" s="18">
        <v>0</v>
      </c>
      <c r="D26" s="18">
        <f t="shared" si="1"/>
        <v>0</v>
      </c>
      <c r="E26" s="18">
        <v>0</v>
      </c>
      <c r="F26" s="18">
        <f t="shared" si="2"/>
        <v>0</v>
      </c>
      <c r="G26" s="18">
        <f t="shared" si="3"/>
        <v>0</v>
      </c>
      <c r="H26" s="18">
        <f t="shared" si="4"/>
        <v>0</v>
      </c>
      <c r="I26" s="18">
        <f t="shared" si="4"/>
        <v>0</v>
      </c>
      <c r="J26" s="235">
        <f t="shared" si="5"/>
        <v>0</v>
      </c>
      <c r="K26" s="18">
        <v>0</v>
      </c>
      <c r="L26" s="18">
        <v>0</v>
      </c>
      <c r="M26" s="18">
        <f t="shared" si="6"/>
        <v>0</v>
      </c>
      <c r="N26" s="18">
        <v>0</v>
      </c>
      <c r="O26" s="18">
        <v>0</v>
      </c>
      <c r="P26" s="236">
        <f t="shared" si="7"/>
        <v>0</v>
      </c>
      <c r="Q26" s="18">
        <f t="shared" si="13"/>
        <v>0</v>
      </c>
      <c r="R26" s="18">
        <f t="shared" si="13"/>
        <v>0</v>
      </c>
      <c r="S26" s="18">
        <f t="shared" si="14"/>
        <v>0</v>
      </c>
      <c r="T26" s="18">
        <f t="shared" si="15"/>
        <v>0</v>
      </c>
      <c r="U26" s="18">
        <f t="shared" si="15"/>
        <v>0</v>
      </c>
      <c r="V26" s="18">
        <f t="shared" si="16"/>
        <v>0</v>
      </c>
      <c r="W26" s="140">
        <f t="shared" si="17"/>
        <v>0</v>
      </c>
    </row>
    <row r="27" spans="1:23" ht="15.75" hidden="1" thickBot="1">
      <c r="A27" s="138">
        <v>40878</v>
      </c>
      <c r="B27" s="139">
        <f t="shared" si="0"/>
        <v>0</v>
      </c>
      <c r="C27" s="18">
        <v>0</v>
      </c>
      <c r="D27" s="18">
        <f t="shared" si="1"/>
        <v>0</v>
      </c>
      <c r="E27" s="18">
        <v>0</v>
      </c>
      <c r="F27" s="18">
        <f t="shared" si="2"/>
        <v>0</v>
      </c>
      <c r="G27" s="18">
        <f t="shared" si="3"/>
        <v>0</v>
      </c>
      <c r="H27" s="18">
        <f t="shared" si="4"/>
        <v>0</v>
      </c>
      <c r="I27" s="18">
        <f t="shared" si="4"/>
        <v>0</v>
      </c>
      <c r="J27" s="235">
        <f t="shared" si="5"/>
        <v>0</v>
      </c>
      <c r="K27" s="18">
        <v>0</v>
      </c>
      <c r="L27" s="18">
        <v>0</v>
      </c>
      <c r="M27" s="18">
        <f t="shared" si="6"/>
        <v>0</v>
      </c>
      <c r="N27" s="18">
        <v>0</v>
      </c>
      <c r="O27" s="18">
        <v>0</v>
      </c>
      <c r="P27" s="236">
        <f t="shared" si="7"/>
        <v>0</v>
      </c>
      <c r="Q27" s="18">
        <f t="shared" si="13"/>
        <v>0</v>
      </c>
      <c r="R27" s="18">
        <f t="shared" si="13"/>
        <v>0</v>
      </c>
      <c r="S27" s="18">
        <f t="shared" si="14"/>
        <v>0</v>
      </c>
      <c r="T27" s="18">
        <f t="shared" si="15"/>
        <v>0</v>
      </c>
      <c r="U27" s="18">
        <f t="shared" si="15"/>
        <v>0</v>
      </c>
      <c r="V27" s="18">
        <f t="shared" si="16"/>
        <v>0</v>
      </c>
      <c r="W27" s="140">
        <f t="shared" si="17"/>
        <v>0</v>
      </c>
    </row>
    <row r="28" spans="1:23" ht="15.75" hidden="1" thickBot="1">
      <c r="A28" s="138">
        <v>40909</v>
      </c>
      <c r="B28" s="142">
        <f t="shared" si="0"/>
        <v>0</v>
      </c>
      <c r="C28" s="143">
        <v>0</v>
      </c>
      <c r="D28" s="143">
        <f t="shared" si="1"/>
        <v>0</v>
      </c>
      <c r="E28" s="143">
        <v>0</v>
      </c>
      <c r="F28" s="143">
        <f t="shared" si="2"/>
        <v>0</v>
      </c>
      <c r="G28" s="143">
        <f t="shared" si="3"/>
        <v>0</v>
      </c>
      <c r="H28" s="143">
        <f t="shared" si="4"/>
        <v>0</v>
      </c>
      <c r="I28" s="143">
        <f t="shared" si="4"/>
        <v>0</v>
      </c>
      <c r="J28" s="237">
        <f t="shared" si="5"/>
        <v>0</v>
      </c>
      <c r="K28" s="143">
        <v>0</v>
      </c>
      <c r="L28" s="143">
        <v>0</v>
      </c>
      <c r="M28" s="143">
        <f t="shared" si="6"/>
        <v>0</v>
      </c>
      <c r="N28" s="143">
        <v>0</v>
      </c>
      <c r="O28" s="143">
        <v>0</v>
      </c>
      <c r="P28" s="238">
        <f t="shared" si="7"/>
        <v>0</v>
      </c>
      <c r="Q28" s="143">
        <f>B28</f>
        <v>0</v>
      </c>
      <c r="R28" s="143">
        <f>C28</f>
        <v>0</v>
      </c>
      <c r="S28" s="143">
        <f>R28+Q28</f>
        <v>0</v>
      </c>
      <c r="T28" s="143">
        <f>E28</f>
        <v>0</v>
      </c>
      <c r="U28" s="143">
        <f>F28</f>
        <v>0</v>
      </c>
      <c r="V28" s="143">
        <f>U28+T28</f>
        <v>0</v>
      </c>
      <c r="W28" s="144">
        <f>V28+S28</f>
        <v>0</v>
      </c>
    </row>
    <row r="29" spans="1:23" ht="15.75" hidden="1" thickBot="1">
      <c r="A29" s="138">
        <v>40940</v>
      </c>
      <c r="B29" s="139">
        <f t="shared" si="0"/>
        <v>0</v>
      </c>
      <c r="C29" s="18">
        <v>0</v>
      </c>
      <c r="D29" s="18">
        <f t="shared" si="1"/>
        <v>0</v>
      </c>
      <c r="E29" s="18">
        <v>0</v>
      </c>
      <c r="F29" s="18">
        <f t="shared" si="2"/>
        <v>0</v>
      </c>
      <c r="G29" s="18">
        <f t="shared" si="3"/>
        <v>0</v>
      </c>
      <c r="H29" s="18">
        <f t="shared" si="4"/>
        <v>0</v>
      </c>
      <c r="I29" s="18">
        <f t="shared" si="4"/>
        <v>0</v>
      </c>
      <c r="J29" s="235">
        <f t="shared" si="5"/>
        <v>0</v>
      </c>
      <c r="K29" s="18">
        <v>0</v>
      </c>
      <c r="L29" s="18">
        <v>0</v>
      </c>
      <c r="M29" s="18">
        <f t="shared" si="6"/>
        <v>0</v>
      </c>
      <c r="N29" s="18">
        <v>0</v>
      </c>
      <c r="O29" s="18">
        <v>0</v>
      </c>
      <c r="P29" s="236">
        <f t="shared" si="7"/>
        <v>0</v>
      </c>
      <c r="Q29" s="18">
        <f>Q28+B29</f>
        <v>0</v>
      </c>
      <c r="R29" s="18">
        <f>R28+C29</f>
        <v>0</v>
      </c>
      <c r="S29" s="18">
        <f>R29+Q29</f>
        <v>0</v>
      </c>
      <c r="T29" s="18">
        <f>T28+E29</f>
        <v>0</v>
      </c>
      <c r="U29" s="18">
        <f>U28+F29</f>
        <v>0</v>
      </c>
      <c r="V29" s="18">
        <f>U29+T29</f>
        <v>0</v>
      </c>
      <c r="W29" s="140">
        <f>V29+S29</f>
        <v>0</v>
      </c>
    </row>
    <row r="30" spans="1:23" ht="15.75" hidden="1" thickBot="1">
      <c r="A30" s="138">
        <v>40969</v>
      </c>
      <c r="B30" s="139">
        <f t="shared" si="0"/>
        <v>0</v>
      </c>
      <c r="C30" s="18">
        <v>0</v>
      </c>
      <c r="D30" s="18">
        <f t="shared" si="1"/>
        <v>0</v>
      </c>
      <c r="E30" s="18">
        <v>0</v>
      </c>
      <c r="F30" s="18">
        <f t="shared" si="2"/>
        <v>0</v>
      </c>
      <c r="G30" s="18">
        <f t="shared" si="3"/>
        <v>0</v>
      </c>
      <c r="H30" s="18">
        <f t="shared" si="4"/>
        <v>0</v>
      </c>
      <c r="I30" s="18">
        <f t="shared" si="4"/>
        <v>0</v>
      </c>
      <c r="J30" s="235">
        <f t="shared" si="5"/>
        <v>0</v>
      </c>
      <c r="K30" s="18">
        <v>0</v>
      </c>
      <c r="L30" s="18">
        <v>0</v>
      </c>
      <c r="M30" s="18">
        <f t="shared" si="6"/>
        <v>0</v>
      </c>
      <c r="N30" s="18">
        <v>0</v>
      </c>
      <c r="O30" s="18">
        <v>0</v>
      </c>
      <c r="P30" s="236">
        <f t="shared" si="7"/>
        <v>0</v>
      </c>
      <c r="Q30" s="18">
        <f t="shared" ref="Q30:R39" si="18">Q29+B30</f>
        <v>0</v>
      </c>
      <c r="R30" s="18">
        <f t="shared" si="18"/>
        <v>0</v>
      </c>
      <c r="S30" s="18">
        <f t="shared" ref="S30:S39" si="19">R30+Q30</f>
        <v>0</v>
      </c>
      <c r="T30" s="18">
        <f t="shared" ref="T30:U39" si="20">T29+E30</f>
        <v>0</v>
      </c>
      <c r="U30" s="18">
        <f t="shared" si="20"/>
        <v>0</v>
      </c>
      <c r="V30" s="18">
        <f t="shared" ref="V30:V39" si="21">U30+T30</f>
        <v>0</v>
      </c>
      <c r="W30" s="140">
        <f t="shared" ref="W30:W39" si="22">V30+S30</f>
        <v>0</v>
      </c>
    </row>
    <row r="31" spans="1:23" ht="15.75" hidden="1" thickBot="1">
      <c r="A31" s="138">
        <v>41000</v>
      </c>
      <c r="B31" s="139">
        <f t="shared" si="0"/>
        <v>0</v>
      </c>
      <c r="C31" s="18">
        <v>0</v>
      </c>
      <c r="D31" s="18">
        <f t="shared" si="1"/>
        <v>0</v>
      </c>
      <c r="E31" s="18">
        <v>0</v>
      </c>
      <c r="F31" s="18">
        <f t="shared" si="2"/>
        <v>0</v>
      </c>
      <c r="G31" s="18">
        <f t="shared" si="3"/>
        <v>0</v>
      </c>
      <c r="H31" s="18">
        <f t="shared" si="4"/>
        <v>0</v>
      </c>
      <c r="I31" s="18">
        <f t="shared" si="4"/>
        <v>0</v>
      </c>
      <c r="J31" s="235">
        <f t="shared" si="5"/>
        <v>0</v>
      </c>
      <c r="K31" s="18">
        <v>0</v>
      </c>
      <c r="L31" s="18">
        <v>0</v>
      </c>
      <c r="M31" s="18">
        <f t="shared" si="6"/>
        <v>0</v>
      </c>
      <c r="N31" s="18">
        <v>0</v>
      </c>
      <c r="O31" s="18">
        <v>0</v>
      </c>
      <c r="P31" s="236">
        <f t="shared" si="7"/>
        <v>0</v>
      </c>
      <c r="Q31" s="18">
        <f t="shared" si="18"/>
        <v>0</v>
      </c>
      <c r="R31" s="18">
        <f t="shared" si="18"/>
        <v>0</v>
      </c>
      <c r="S31" s="18">
        <f t="shared" si="19"/>
        <v>0</v>
      </c>
      <c r="T31" s="18">
        <f t="shared" si="20"/>
        <v>0</v>
      </c>
      <c r="U31" s="18">
        <f t="shared" si="20"/>
        <v>0</v>
      </c>
      <c r="V31" s="18">
        <f t="shared" si="21"/>
        <v>0</v>
      </c>
      <c r="W31" s="140">
        <f t="shared" si="22"/>
        <v>0</v>
      </c>
    </row>
    <row r="32" spans="1:23" ht="15.75" hidden="1" thickBot="1">
      <c r="A32" s="138">
        <v>41030</v>
      </c>
      <c r="B32" s="139">
        <f t="shared" si="0"/>
        <v>0</v>
      </c>
      <c r="C32" s="18">
        <v>0</v>
      </c>
      <c r="D32" s="18">
        <f t="shared" si="1"/>
        <v>0</v>
      </c>
      <c r="E32" s="18">
        <v>0</v>
      </c>
      <c r="F32" s="18">
        <f t="shared" si="2"/>
        <v>0</v>
      </c>
      <c r="G32" s="18">
        <f t="shared" si="3"/>
        <v>0</v>
      </c>
      <c r="H32" s="18">
        <f t="shared" si="4"/>
        <v>0</v>
      </c>
      <c r="I32" s="18">
        <f t="shared" si="4"/>
        <v>0</v>
      </c>
      <c r="J32" s="235">
        <f t="shared" si="5"/>
        <v>0</v>
      </c>
      <c r="K32" s="18">
        <v>0</v>
      </c>
      <c r="L32" s="18">
        <v>0</v>
      </c>
      <c r="M32" s="18">
        <f t="shared" si="6"/>
        <v>0</v>
      </c>
      <c r="N32" s="18">
        <v>0</v>
      </c>
      <c r="O32" s="18">
        <v>0</v>
      </c>
      <c r="P32" s="236">
        <f t="shared" si="7"/>
        <v>0</v>
      </c>
      <c r="Q32" s="18">
        <f t="shared" si="18"/>
        <v>0</v>
      </c>
      <c r="R32" s="18">
        <f t="shared" si="18"/>
        <v>0</v>
      </c>
      <c r="S32" s="18">
        <f t="shared" si="19"/>
        <v>0</v>
      </c>
      <c r="T32" s="18">
        <f t="shared" si="20"/>
        <v>0</v>
      </c>
      <c r="U32" s="18">
        <f t="shared" si="20"/>
        <v>0</v>
      </c>
      <c r="V32" s="18">
        <f t="shared" si="21"/>
        <v>0</v>
      </c>
      <c r="W32" s="140">
        <f t="shared" si="22"/>
        <v>0</v>
      </c>
    </row>
    <row r="33" spans="1:23" ht="15.75" hidden="1" thickBot="1">
      <c r="A33" s="138">
        <v>41061</v>
      </c>
      <c r="B33" s="139">
        <f t="shared" si="0"/>
        <v>0</v>
      </c>
      <c r="C33" s="18">
        <v>0</v>
      </c>
      <c r="D33" s="18">
        <f t="shared" si="1"/>
        <v>0</v>
      </c>
      <c r="E33" s="18">
        <v>0</v>
      </c>
      <c r="F33" s="18">
        <f t="shared" si="2"/>
        <v>0</v>
      </c>
      <c r="G33" s="18">
        <f t="shared" si="3"/>
        <v>0</v>
      </c>
      <c r="H33" s="18">
        <f t="shared" si="4"/>
        <v>0</v>
      </c>
      <c r="I33" s="18">
        <f t="shared" si="4"/>
        <v>0</v>
      </c>
      <c r="J33" s="235">
        <f t="shared" si="5"/>
        <v>0</v>
      </c>
      <c r="K33" s="18">
        <v>0</v>
      </c>
      <c r="L33" s="18">
        <v>0</v>
      </c>
      <c r="M33" s="18">
        <f t="shared" si="6"/>
        <v>0</v>
      </c>
      <c r="N33" s="18">
        <v>0</v>
      </c>
      <c r="O33" s="18">
        <v>0</v>
      </c>
      <c r="P33" s="236">
        <f t="shared" si="7"/>
        <v>0</v>
      </c>
      <c r="Q33" s="18">
        <f t="shared" si="18"/>
        <v>0</v>
      </c>
      <c r="R33" s="18">
        <f t="shared" si="18"/>
        <v>0</v>
      </c>
      <c r="S33" s="18">
        <f t="shared" si="19"/>
        <v>0</v>
      </c>
      <c r="T33" s="18">
        <f t="shared" si="20"/>
        <v>0</v>
      </c>
      <c r="U33" s="18">
        <f t="shared" si="20"/>
        <v>0</v>
      </c>
      <c r="V33" s="18">
        <f t="shared" si="21"/>
        <v>0</v>
      </c>
      <c r="W33" s="140">
        <f t="shared" si="22"/>
        <v>0</v>
      </c>
    </row>
    <row r="34" spans="1:23" ht="15.75" hidden="1" thickBot="1">
      <c r="A34" s="138">
        <v>41091</v>
      </c>
      <c r="B34" s="139">
        <f t="shared" si="0"/>
        <v>0</v>
      </c>
      <c r="C34" s="18">
        <v>0</v>
      </c>
      <c r="D34" s="18">
        <f t="shared" si="1"/>
        <v>0</v>
      </c>
      <c r="E34" s="18">
        <v>0</v>
      </c>
      <c r="F34" s="18">
        <f t="shared" si="2"/>
        <v>0</v>
      </c>
      <c r="G34" s="18">
        <f t="shared" si="3"/>
        <v>0</v>
      </c>
      <c r="H34" s="18">
        <f t="shared" si="4"/>
        <v>0</v>
      </c>
      <c r="I34" s="18">
        <f t="shared" si="4"/>
        <v>0</v>
      </c>
      <c r="J34" s="235">
        <f t="shared" si="5"/>
        <v>0</v>
      </c>
      <c r="K34" s="18">
        <v>0</v>
      </c>
      <c r="L34" s="18">
        <v>0</v>
      </c>
      <c r="M34" s="18">
        <f t="shared" si="6"/>
        <v>0</v>
      </c>
      <c r="N34" s="18">
        <v>0</v>
      </c>
      <c r="O34" s="18">
        <v>0</v>
      </c>
      <c r="P34" s="236">
        <f t="shared" si="7"/>
        <v>0</v>
      </c>
      <c r="Q34" s="18">
        <f t="shared" si="18"/>
        <v>0</v>
      </c>
      <c r="R34" s="18">
        <f t="shared" si="18"/>
        <v>0</v>
      </c>
      <c r="S34" s="18">
        <f t="shared" si="19"/>
        <v>0</v>
      </c>
      <c r="T34" s="18">
        <f t="shared" si="20"/>
        <v>0</v>
      </c>
      <c r="U34" s="18">
        <f t="shared" si="20"/>
        <v>0</v>
      </c>
      <c r="V34" s="18">
        <f t="shared" si="21"/>
        <v>0</v>
      </c>
      <c r="W34" s="140">
        <f t="shared" si="22"/>
        <v>0</v>
      </c>
    </row>
    <row r="35" spans="1:23" ht="15.75" hidden="1" thickBot="1">
      <c r="A35" s="138">
        <v>41122</v>
      </c>
      <c r="B35" s="139">
        <f t="shared" si="0"/>
        <v>0</v>
      </c>
      <c r="C35" s="18">
        <v>0</v>
      </c>
      <c r="D35" s="18">
        <f t="shared" si="1"/>
        <v>0</v>
      </c>
      <c r="E35" s="18">
        <v>0</v>
      </c>
      <c r="F35" s="18">
        <f t="shared" si="2"/>
        <v>0</v>
      </c>
      <c r="G35" s="18">
        <f t="shared" si="3"/>
        <v>0</v>
      </c>
      <c r="H35" s="18">
        <f t="shared" si="4"/>
        <v>0</v>
      </c>
      <c r="I35" s="18">
        <f t="shared" si="4"/>
        <v>0</v>
      </c>
      <c r="J35" s="235">
        <f t="shared" si="5"/>
        <v>0</v>
      </c>
      <c r="K35" s="18">
        <v>0</v>
      </c>
      <c r="L35" s="18">
        <v>0</v>
      </c>
      <c r="M35" s="18">
        <f t="shared" si="6"/>
        <v>0</v>
      </c>
      <c r="N35" s="18">
        <v>0</v>
      </c>
      <c r="O35" s="18">
        <v>0</v>
      </c>
      <c r="P35" s="236">
        <f t="shared" si="7"/>
        <v>0</v>
      </c>
      <c r="Q35" s="18">
        <f t="shared" si="18"/>
        <v>0</v>
      </c>
      <c r="R35" s="18">
        <f t="shared" si="18"/>
        <v>0</v>
      </c>
      <c r="S35" s="18">
        <f t="shared" si="19"/>
        <v>0</v>
      </c>
      <c r="T35" s="18">
        <f t="shared" si="20"/>
        <v>0</v>
      </c>
      <c r="U35" s="18">
        <f t="shared" si="20"/>
        <v>0</v>
      </c>
      <c r="V35" s="18">
        <f t="shared" si="21"/>
        <v>0</v>
      </c>
      <c r="W35" s="140">
        <f t="shared" si="22"/>
        <v>0</v>
      </c>
    </row>
    <row r="36" spans="1:23" ht="15.75" hidden="1" thickBot="1">
      <c r="A36" s="138">
        <v>41153</v>
      </c>
      <c r="B36" s="139">
        <f t="shared" si="0"/>
        <v>0</v>
      </c>
      <c r="C36" s="18">
        <v>0</v>
      </c>
      <c r="D36" s="18">
        <f t="shared" si="1"/>
        <v>0</v>
      </c>
      <c r="E36" s="18">
        <v>0</v>
      </c>
      <c r="F36" s="18">
        <f t="shared" si="2"/>
        <v>0</v>
      </c>
      <c r="G36" s="18">
        <f t="shared" si="3"/>
        <v>0</v>
      </c>
      <c r="H36" s="18">
        <f t="shared" si="4"/>
        <v>0</v>
      </c>
      <c r="I36" s="18">
        <f t="shared" si="4"/>
        <v>0</v>
      </c>
      <c r="J36" s="235">
        <f t="shared" si="5"/>
        <v>0</v>
      </c>
      <c r="K36" s="18">
        <v>0</v>
      </c>
      <c r="L36" s="18">
        <v>0</v>
      </c>
      <c r="M36" s="18">
        <f t="shared" si="6"/>
        <v>0</v>
      </c>
      <c r="N36" s="18">
        <v>0</v>
      </c>
      <c r="O36" s="18">
        <v>0</v>
      </c>
      <c r="P36" s="236">
        <f t="shared" si="7"/>
        <v>0</v>
      </c>
      <c r="Q36" s="18">
        <f t="shared" si="18"/>
        <v>0</v>
      </c>
      <c r="R36" s="18">
        <f t="shared" si="18"/>
        <v>0</v>
      </c>
      <c r="S36" s="18">
        <f t="shared" si="19"/>
        <v>0</v>
      </c>
      <c r="T36" s="18">
        <f t="shared" si="20"/>
        <v>0</v>
      </c>
      <c r="U36" s="18">
        <f t="shared" si="20"/>
        <v>0</v>
      </c>
      <c r="V36" s="18">
        <f t="shared" si="21"/>
        <v>0</v>
      </c>
      <c r="W36" s="140">
        <f t="shared" si="22"/>
        <v>0</v>
      </c>
    </row>
    <row r="37" spans="1:23" ht="15.75" hidden="1" thickBot="1">
      <c r="A37" s="138">
        <v>41183</v>
      </c>
      <c r="B37" s="139">
        <f t="shared" si="0"/>
        <v>0</v>
      </c>
      <c r="C37" s="18">
        <v>0</v>
      </c>
      <c r="D37" s="18">
        <f t="shared" si="1"/>
        <v>0</v>
      </c>
      <c r="E37" s="18">
        <v>0</v>
      </c>
      <c r="F37" s="18">
        <f t="shared" si="2"/>
        <v>0</v>
      </c>
      <c r="G37" s="18">
        <f t="shared" si="3"/>
        <v>0</v>
      </c>
      <c r="H37" s="18">
        <f t="shared" si="4"/>
        <v>0</v>
      </c>
      <c r="I37" s="18">
        <f t="shared" si="4"/>
        <v>0</v>
      </c>
      <c r="J37" s="235">
        <f t="shared" si="5"/>
        <v>0</v>
      </c>
      <c r="K37" s="18">
        <v>0</v>
      </c>
      <c r="L37" s="18">
        <v>0</v>
      </c>
      <c r="M37" s="18">
        <f t="shared" si="6"/>
        <v>0</v>
      </c>
      <c r="N37" s="18">
        <v>0</v>
      </c>
      <c r="O37" s="18">
        <v>0</v>
      </c>
      <c r="P37" s="236">
        <f t="shared" si="7"/>
        <v>0</v>
      </c>
      <c r="Q37" s="18">
        <f t="shared" si="18"/>
        <v>0</v>
      </c>
      <c r="R37" s="18">
        <f t="shared" si="18"/>
        <v>0</v>
      </c>
      <c r="S37" s="18">
        <f t="shared" si="19"/>
        <v>0</v>
      </c>
      <c r="T37" s="18">
        <f t="shared" si="20"/>
        <v>0</v>
      </c>
      <c r="U37" s="18">
        <f t="shared" si="20"/>
        <v>0</v>
      </c>
      <c r="V37" s="18">
        <f t="shared" si="21"/>
        <v>0</v>
      </c>
      <c r="W37" s="140">
        <f t="shared" si="22"/>
        <v>0</v>
      </c>
    </row>
    <row r="38" spans="1:23" ht="15.75" hidden="1" thickBot="1">
      <c r="A38" s="138">
        <v>41214</v>
      </c>
      <c r="B38" s="139">
        <f t="shared" si="0"/>
        <v>1024</v>
      </c>
      <c r="C38" s="18">
        <v>0</v>
      </c>
      <c r="D38" s="18">
        <f t="shared" si="1"/>
        <v>1024</v>
      </c>
      <c r="E38" s="18">
        <v>0</v>
      </c>
      <c r="F38" s="18">
        <f t="shared" si="2"/>
        <v>0</v>
      </c>
      <c r="G38" s="18">
        <f t="shared" si="3"/>
        <v>0</v>
      </c>
      <c r="H38" s="18">
        <f t="shared" si="4"/>
        <v>1024</v>
      </c>
      <c r="I38" s="18">
        <f t="shared" si="4"/>
        <v>0</v>
      </c>
      <c r="J38" s="235">
        <f t="shared" si="5"/>
        <v>1024</v>
      </c>
      <c r="K38" s="18">
        <v>1024</v>
      </c>
      <c r="L38" s="18">
        <v>0</v>
      </c>
      <c r="M38" s="18">
        <f t="shared" si="6"/>
        <v>1024</v>
      </c>
      <c r="N38" s="18">
        <v>0</v>
      </c>
      <c r="O38" s="18">
        <v>0</v>
      </c>
      <c r="P38" s="236">
        <f t="shared" si="7"/>
        <v>0</v>
      </c>
      <c r="Q38" s="18">
        <f t="shared" si="18"/>
        <v>1024</v>
      </c>
      <c r="R38" s="18">
        <f t="shared" si="18"/>
        <v>0</v>
      </c>
      <c r="S38" s="18">
        <f t="shared" si="19"/>
        <v>1024</v>
      </c>
      <c r="T38" s="18">
        <f t="shared" si="20"/>
        <v>0</v>
      </c>
      <c r="U38" s="18">
        <f t="shared" si="20"/>
        <v>0</v>
      </c>
      <c r="V38" s="18">
        <f t="shared" si="21"/>
        <v>0</v>
      </c>
      <c r="W38" s="140">
        <f t="shared" si="22"/>
        <v>1024</v>
      </c>
    </row>
    <row r="39" spans="1:23" ht="15.75" hidden="1" thickBot="1">
      <c r="A39" s="138">
        <v>41244</v>
      </c>
      <c r="B39" s="139">
        <f t="shared" si="0"/>
        <v>0</v>
      </c>
      <c r="C39" s="18">
        <v>0</v>
      </c>
      <c r="D39" s="18">
        <f t="shared" si="1"/>
        <v>0</v>
      </c>
      <c r="E39" s="18">
        <v>0</v>
      </c>
      <c r="F39" s="18">
        <f t="shared" si="2"/>
        <v>0</v>
      </c>
      <c r="G39" s="18">
        <f t="shared" si="3"/>
        <v>0</v>
      </c>
      <c r="H39" s="18">
        <f t="shared" si="4"/>
        <v>0</v>
      </c>
      <c r="I39" s="18">
        <f t="shared" si="4"/>
        <v>0</v>
      </c>
      <c r="J39" s="235">
        <f t="shared" si="5"/>
        <v>0</v>
      </c>
      <c r="K39" s="18">
        <v>0</v>
      </c>
      <c r="L39" s="18">
        <v>0</v>
      </c>
      <c r="M39" s="18">
        <f t="shared" si="6"/>
        <v>0</v>
      </c>
      <c r="N39" s="18">
        <v>0</v>
      </c>
      <c r="O39" s="18">
        <v>0</v>
      </c>
      <c r="P39" s="236">
        <f t="shared" si="7"/>
        <v>0</v>
      </c>
      <c r="Q39" s="18">
        <f t="shared" si="18"/>
        <v>1024</v>
      </c>
      <c r="R39" s="18">
        <f t="shared" si="18"/>
        <v>0</v>
      </c>
      <c r="S39" s="18">
        <f t="shared" si="19"/>
        <v>1024</v>
      </c>
      <c r="T39" s="18">
        <f t="shared" si="20"/>
        <v>0</v>
      </c>
      <c r="U39" s="18">
        <f t="shared" si="20"/>
        <v>0</v>
      </c>
      <c r="V39" s="18">
        <f t="shared" si="21"/>
        <v>0</v>
      </c>
      <c r="W39" s="140">
        <f t="shared" si="22"/>
        <v>1024</v>
      </c>
    </row>
    <row r="40" spans="1:23" ht="15.75" hidden="1" thickBot="1">
      <c r="A40" s="138">
        <v>41275</v>
      </c>
      <c r="B40" s="142">
        <f t="shared" si="0"/>
        <v>0</v>
      </c>
      <c r="C40" s="143">
        <v>0</v>
      </c>
      <c r="D40" s="143">
        <f t="shared" si="1"/>
        <v>0</v>
      </c>
      <c r="E40" s="143">
        <v>0</v>
      </c>
      <c r="F40" s="143">
        <f t="shared" si="2"/>
        <v>0</v>
      </c>
      <c r="G40" s="143">
        <f t="shared" si="3"/>
        <v>0</v>
      </c>
      <c r="H40" s="143">
        <f t="shared" si="4"/>
        <v>0</v>
      </c>
      <c r="I40" s="143">
        <f t="shared" si="4"/>
        <v>0</v>
      </c>
      <c r="J40" s="237">
        <f t="shared" si="5"/>
        <v>0</v>
      </c>
      <c r="K40" s="143">
        <v>0</v>
      </c>
      <c r="L40" s="143">
        <v>0</v>
      </c>
      <c r="M40" s="143">
        <f t="shared" si="6"/>
        <v>0</v>
      </c>
      <c r="N40" s="143">
        <v>0</v>
      </c>
      <c r="O40" s="143">
        <v>0</v>
      </c>
      <c r="P40" s="238">
        <f t="shared" si="7"/>
        <v>0</v>
      </c>
      <c r="Q40" s="143">
        <f>B40</f>
        <v>0</v>
      </c>
      <c r="R40" s="143">
        <f>C40</f>
        <v>0</v>
      </c>
      <c r="S40" s="143">
        <f>R40+Q40</f>
        <v>0</v>
      </c>
      <c r="T40" s="143">
        <f>E40</f>
        <v>0</v>
      </c>
      <c r="U40" s="143">
        <f>F40</f>
        <v>0</v>
      </c>
      <c r="V40" s="143">
        <f>U40+T40</f>
        <v>0</v>
      </c>
      <c r="W40" s="144">
        <f>V40+S40</f>
        <v>0</v>
      </c>
    </row>
    <row r="41" spans="1:23" ht="15.75" hidden="1" thickBot="1">
      <c r="A41" s="138">
        <v>41306</v>
      </c>
      <c r="B41" s="139">
        <f t="shared" si="0"/>
        <v>0</v>
      </c>
      <c r="C41" s="18">
        <v>0</v>
      </c>
      <c r="D41" s="18">
        <f t="shared" si="1"/>
        <v>0</v>
      </c>
      <c r="E41" s="18">
        <v>0</v>
      </c>
      <c r="F41" s="18">
        <f t="shared" si="2"/>
        <v>0</v>
      </c>
      <c r="G41" s="18">
        <f t="shared" si="3"/>
        <v>0</v>
      </c>
      <c r="H41" s="18">
        <f t="shared" si="4"/>
        <v>0</v>
      </c>
      <c r="I41" s="18">
        <f t="shared" si="4"/>
        <v>0</v>
      </c>
      <c r="J41" s="235">
        <f t="shared" si="5"/>
        <v>0</v>
      </c>
      <c r="K41" s="18">
        <v>0</v>
      </c>
      <c r="L41" s="18">
        <v>0</v>
      </c>
      <c r="M41" s="18">
        <f t="shared" si="6"/>
        <v>0</v>
      </c>
      <c r="N41" s="18">
        <v>0</v>
      </c>
      <c r="O41" s="18">
        <v>0</v>
      </c>
      <c r="P41" s="236">
        <f t="shared" si="7"/>
        <v>0</v>
      </c>
      <c r="Q41" s="18">
        <f>Q40+B41</f>
        <v>0</v>
      </c>
      <c r="R41" s="18">
        <f>R40+C41</f>
        <v>0</v>
      </c>
      <c r="S41" s="18">
        <f>R41+Q41</f>
        <v>0</v>
      </c>
      <c r="T41" s="18">
        <f>T40+E41</f>
        <v>0</v>
      </c>
      <c r="U41" s="18">
        <f>U40+F41</f>
        <v>0</v>
      </c>
      <c r="V41" s="18">
        <f>U41+T41</f>
        <v>0</v>
      </c>
      <c r="W41" s="140">
        <f>V41+S41</f>
        <v>0</v>
      </c>
    </row>
    <row r="42" spans="1:23" ht="15.75" hidden="1" thickBot="1">
      <c r="A42" s="138">
        <v>41334</v>
      </c>
      <c r="B42" s="139">
        <f t="shared" si="0"/>
        <v>9802</v>
      </c>
      <c r="C42" s="18">
        <v>0</v>
      </c>
      <c r="D42" s="18">
        <f t="shared" si="1"/>
        <v>9802</v>
      </c>
      <c r="E42" s="18">
        <v>0</v>
      </c>
      <c r="F42" s="18">
        <f t="shared" si="2"/>
        <v>0</v>
      </c>
      <c r="G42" s="18">
        <f t="shared" si="3"/>
        <v>0</v>
      </c>
      <c r="H42" s="18">
        <f t="shared" si="4"/>
        <v>9802</v>
      </c>
      <c r="I42" s="18">
        <f t="shared" si="4"/>
        <v>0</v>
      </c>
      <c r="J42" s="235">
        <f t="shared" si="5"/>
        <v>9802</v>
      </c>
      <c r="K42" s="18">
        <v>9802</v>
      </c>
      <c r="L42" s="18">
        <v>0</v>
      </c>
      <c r="M42" s="18">
        <f t="shared" si="6"/>
        <v>9802</v>
      </c>
      <c r="N42" s="18">
        <v>0</v>
      </c>
      <c r="O42" s="18">
        <v>0</v>
      </c>
      <c r="P42" s="236">
        <f t="shared" si="7"/>
        <v>0</v>
      </c>
      <c r="Q42" s="18">
        <f t="shared" ref="Q42:R51" si="23">Q41+B42</f>
        <v>9802</v>
      </c>
      <c r="R42" s="18">
        <f t="shared" si="23"/>
        <v>0</v>
      </c>
      <c r="S42" s="18">
        <f t="shared" ref="S42:S51" si="24">R42+Q42</f>
        <v>9802</v>
      </c>
      <c r="T42" s="18">
        <f t="shared" ref="T42:U51" si="25">T41+E42</f>
        <v>0</v>
      </c>
      <c r="U42" s="18">
        <f t="shared" si="25"/>
        <v>0</v>
      </c>
      <c r="V42" s="18">
        <f t="shared" ref="V42:V51" si="26">U42+T42</f>
        <v>0</v>
      </c>
      <c r="W42" s="140">
        <f t="shared" ref="W42:W51" si="27">V42+S42</f>
        <v>9802</v>
      </c>
    </row>
    <row r="43" spans="1:23" ht="15.75" hidden="1" thickBot="1">
      <c r="A43" s="138">
        <v>41365</v>
      </c>
      <c r="B43" s="139">
        <f t="shared" si="0"/>
        <v>0</v>
      </c>
      <c r="C43" s="18">
        <v>0</v>
      </c>
      <c r="D43" s="18">
        <f t="shared" si="1"/>
        <v>0</v>
      </c>
      <c r="E43" s="18">
        <v>0</v>
      </c>
      <c r="F43" s="18">
        <f t="shared" si="2"/>
        <v>0</v>
      </c>
      <c r="G43" s="18">
        <f t="shared" si="3"/>
        <v>0</v>
      </c>
      <c r="H43" s="18">
        <f t="shared" si="4"/>
        <v>0</v>
      </c>
      <c r="I43" s="18">
        <f t="shared" si="4"/>
        <v>0</v>
      </c>
      <c r="J43" s="235">
        <f t="shared" si="5"/>
        <v>0</v>
      </c>
      <c r="K43" s="18">
        <v>0</v>
      </c>
      <c r="L43" s="18">
        <v>0</v>
      </c>
      <c r="M43" s="18">
        <f t="shared" si="6"/>
        <v>0</v>
      </c>
      <c r="N43" s="18">
        <v>0</v>
      </c>
      <c r="O43" s="18">
        <v>0</v>
      </c>
      <c r="P43" s="236">
        <f t="shared" si="7"/>
        <v>0</v>
      </c>
      <c r="Q43" s="18">
        <f t="shared" si="23"/>
        <v>9802</v>
      </c>
      <c r="R43" s="18">
        <f t="shared" si="23"/>
        <v>0</v>
      </c>
      <c r="S43" s="18">
        <f t="shared" si="24"/>
        <v>9802</v>
      </c>
      <c r="T43" s="18">
        <f t="shared" si="25"/>
        <v>0</v>
      </c>
      <c r="U43" s="18">
        <f t="shared" si="25"/>
        <v>0</v>
      </c>
      <c r="V43" s="18">
        <f t="shared" si="26"/>
        <v>0</v>
      </c>
      <c r="W43" s="140">
        <f t="shared" si="27"/>
        <v>9802</v>
      </c>
    </row>
    <row r="44" spans="1:23" ht="15.75" hidden="1" thickBot="1">
      <c r="A44" s="138">
        <v>41395</v>
      </c>
      <c r="B44" s="139">
        <f t="shared" si="0"/>
        <v>0</v>
      </c>
      <c r="C44" s="18">
        <v>0</v>
      </c>
      <c r="D44" s="18">
        <f t="shared" si="1"/>
        <v>0</v>
      </c>
      <c r="E44" s="18">
        <v>0</v>
      </c>
      <c r="F44" s="18">
        <f t="shared" si="2"/>
        <v>0</v>
      </c>
      <c r="G44" s="18">
        <f t="shared" si="3"/>
        <v>0</v>
      </c>
      <c r="H44" s="18">
        <f t="shared" si="4"/>
        <v>0</v>
      </c>
      <c r="I44" s="18">
        <f t="shared" si="4"/>
        <v>0</v>
      </c>
      <c r="J44" s="235">
        <f t="shared" si="5"/>
        <v>0</v>
      </c>
      <c r="K44" s="18">
        <v>0</v>
      </c>
      <c r="L44" s="18">
        <v>0</v>
      </c>
      <c r="M44" s="18">
        <f t="shared" si="6"/>
        <v>0</v>
      </c>
      <c r="N44" s="18">
        <v>0</v>
      </c>
      <c r="O44" s="18">
        <v>0</v>
      </c>
      <c r="P44" s="236">
        <f t="shared" si="7"/>
        <v>0</v>
      </c>
      <c r="Q44" s="18">
        <f t="shared" si="23"/>
        <v>9802</v>
      </c>
      <c r="R44" s="18">
        <f t="shared" si="23"/>
        <v>0</v>
      </c>
      <c r="S44" s="18">
        <f t="shared" si="24"/>
        <v>9802</v>
      </c>
      <c r="T44" s="18">
        <f t="shared" si="25"/>
        <v>0</v>
      </c>
      <c r="U44" s="18">
        <f t="shared" si="25"/>
        <v>0</v>
      </c>
      <c r="V44" s="18">
        <f t="shared" si="26"/>
        <v>0</v>
      </c>
      <c r="W44" s="140">
        <f t="shared" si="27"/>
        <v>9802</v>
      </c>
    </row>
    <row r="45" spans="1:23" ht="15.75" hidden="1" thickBot="1">
      <c r="A45" s="138">
        <v>41426</v>
      </c>
      <c r="B45" s="139">
        <f t="shared" si="0"/>
        <v>19251</v>
      </c>
      <c r="C45" s="18">
        <v>0</v>
      </c>
      <c r="D45" s="18">
        <f t="shared" si="1"/>
        <v>19251</v>
      </c>
      <c r="E45" s="18">
        <v>0</v>
      </c>
      <c r="F45" s="18">
        <f t="shared" si="2"/>
        <v>0</v>
      </c>
      <c r="G45" s="18">
        <f t="shared" si="3"/>
        <v>0</v>
      </c>
      <c r="H45" s="18">
        <f t="shared" si="4"/>
        <v>19251</v>
      </c>
      <c r="I45" s="18">
        <f t="shared" si="4"/>
        <v>0</v>
      </c>
      <c r="J45" s="235">
        <f t="shared" si="5"/>
        <v>19251</v>
      </c>
      <c r="K45" s="18">
        <v>19251</v>
      </c>
      <c r="L45" s="18">
        <v>0</v>
      </c>
      <c r="M45" s="18">
        <f t="shared" si="6"/>
        <v>19251</v>
      </c>
      <c r="N45" s="18">
        <v>0</v>
      </c>
      <c r="O45" s="18">
        <v>0</v>
      </c>
      <c r="P45" s="236">
        <f t="shared" si="7"/>
        <v>0</v>
      </c>
      <c r="Q45" s="18">
        <f t="shared" si="23"/>
        <v>29053</v>
      </c>
      <c r="R45" s="18">
        <f t="shared" si="23"/>
        <v>0</v>
      </c>
      <c r="S45" s="18">
        <f t="shared" si="24"/>
        <v>29053</v>
      </c>
      <c r="T45" s="18">
        <f t="shared" si="25"/>
        <v>0</v>
      </c>
      <c r="U45" s="18">
        <f t="shared" si="25"/>
        <v>0</v>
      </c>
      <c r="V45" s="18">
        <f t="shared" si="26"/>
        <v>0</v>
      </c>
      <c r="W45" s="140">
        <f t="shared" si="27"/>
        <v>29053</v>
      </c>
    </row>
    <row r="46" spans="1:23" ht="15.75" hidden="1" thickBot="1">
      <c r="A46" s="138">
        <v>41456</v>
      </c>
      <c r="B46" s="139">
        <f t="shared" si="0"/>
        <v>26031</v>
      </c>
      <c r="C46" s="18">
        <v>0</v>
      </c>
      <c r="D46" s="18">
        <f t="shared" si="1"/>
        <v>26031</v>
      </c>
      <c r="E46" s="18">
        <v>0</v>
      </c>
      <c r="F46" s="18">
        <f t="shared" si="2"/>
        <v>0</v>
      </c>
      <c r="G46" s="18">
        <f t="shared" si="3"/>
        <v>0</v>
      </c>
      <c r="H46" s="18">
        <f t="shared" si="4"/>
        <v>26031</v>
      </c>
      <c r="I46" s="18">
        <f t="shared" si="4"/>
        <v>0</v>
      </c>
      <c r="J46" s="235">
        <f t="shared" si="5"/>
        <v>26031</v>
      </c>
      <c r="K46" s="18">
        <v>26031</v>
      </c>
      <c r="L46" s="18">
        <v>0</v>
      </c>
      <c r="M46" s="18">
        <f t="shared" si="6"/>
        <v>26031</v>
      </c>
      <c r="N46" s="18">
        <v>0</v>
      </c>
      <c r="O46" s="18">
        <v>0</v>
      </c>
      <c r="P46" s="236">
        <f t="shared" si="7"/>
        <v>0</v>
      </c>
      <c r="Q46" s="18">
        <f t="shared" si="23"/>
        <v>55084</v>
      </c>
      <c r="R46" s="18">
        <f t="shared" si="23"/>
        <v>0</v>
      </c>
      <c r="S46" s="18">
        <f t="shared" si="24"/>
        <v>55084</v>
      </c>
      <c r="T46" s="18">
        <f t="shared" si="25"/>
        <v>0</v>
      </c>
      <c r="U46" s="18">
        <f t="shared" si="25"/>
        <v>0</v>
      </c>
      <c r="V46" s="18">
        <f t="shared" si="26"/>
        <v>0</v>
      </c>
      <c r="W46" s="140">
        <f t="shared" si="27"/>
        <v>55084</v>
      </c>
    </row>
    <row r="47" spans="1:23" ht="15.75" hidden="1" thickBot="1">
      <c r="A47" s="138">
        <v>41487</v>
      </c>
      <c r="B47" s="139">
        <f t="shared" si="0"/>
        <v>0</v>
      </c>
      <c r="C47" s="18">
        <v>0</v>
      </c>
      <c r="D47" s="18">
        <f t="shared" si="1"/>
        <v>0</v>
      </c>
      <c r="E47" s="18">
        <v>0</v>
      </c>
      <c r="F47" s="18">
        <f t="shared" si="2"/>
        <v>0</v>
      </c>
      <c r="G47" s="18">
        <f t="shared" si="3"/>
        <v>0</v>
      </c>
      <c r="H47" s="18">
        <f t="shared" si="4"/>
        <v>0</v>
      </c>
      <c r="I47" s="18">
        <f t="shared" si="4"/>
        <v>0</v>
      </c>
      <c r="J47" s="235">
        <f t="shared" si="5"/>
        <v>0</v>
      </c>
      <c r="K47" s="18">
        <v>0</v>
      </c>
      <c r="L47" s="18">
        <v>0</v>
      </c>
      <c r="M47" s="18">
        <f t="shared" si="6"/>
        <v>0</v>
      </c>
      <c r="N47" s="18">
        <v>0</v>
      </c>
      <c r="O47" s="18">
        <v>0</v>
      </c>
      <c r="P47" s="236">
        <f t="shared" si="7"/>
        <v>0</v>
      </c>
      <c r="Q47" s="18">
        <f t="shared" si="23"/>
        <v>55084</v>
      </c>
      <c r="R47" s="18">
        <f t="shared" si="23"/>
        <v>0</v>
      </c>
      <c r="S47" s="18">
        <f t="shared" si="24"/>
        <v>55084</v>
      </c>
      <c r="T47" s="18">
        <f t="shared" si="25"/>
        <v>0</v>
      </c>
      <c r="U47" s="18">
        <f t="shared" si="25"/>
        <v>0</v>
      </c>
      <c r="V47" s="18">
        <f t="shared" si="26"/>
        <v>0</v>
      </c>
      <c r="W47" s="140">
        <f t="shared" si="27"/>
        <v>55084</v>
      </c>
    </row>
    <row r="48" spans="1:23" ht="15.75" hidden="1" thickBot="1">
      <c r="A48" s="138">
        <v>41518</v>
      </c>
      <c r="B48" s="139">
        <f t="shared" si="0"/>
        <v>72906</v>
      </c>
      <c r="C48" s="18">
        <v>0</v>
      </c>
      <c r="D48" s="18">
        <f t="shared" si="1"/>
        <v>72906</v>
      </c>
      <c r="E48" s="18">
        <v>0</v>
      </c>
      <c r="F48" s="18">
        <f t="shared" si="2"/>
        <v>0</v>
      </c>
      <c r="G48" s="18">
        <f t="shared" si="3"/>
        <v>0</v>
      </c>
      <c r="H48" s="18">
        <f t="shared" si="4"/>
        <v>72906</v>
      </c>
      <c r="I48" s="18">
        <f t="shared" si="4"/>
        <v>0</v>
      </c>
      <c r="J48" s="235">
        <f t="shared" si="5"/>
        <v>72906</v>
      </c>
      <c r="K48" s="18">
        <v>72906</v>
      </c>
      <c r="L48" s="18">
        <v>0</v>
      </c>
      <c r="M48" s="18">
        <f t="shared" si="6"/>
        <v>72906</v>
      </c>
      <c r="N48" s="18">
        <v>0</v>
      </c>
      <c r="O48" s="18">
        <v>0</v>
      </c>
      <c r="P48" s="236">
        <f t="shared" si="7"/>
        <v>0</v>
      </c>
      <c r="Q48" s="18">
        <f t="shared" si="23"/>
        <v>127990</v>
      </c>
      <c r="R48" s="18">
        <f t="shared" si="23"/>
        <v>0</v>
      </c>
      <c r="S48" s="18">
        <f t="shared" si="24"/>
        <v>127990</v>
      </c>
      <c r="T48" s="18">
        <f t="shared" si="25"/>
        <v>0</v>
      </c>
      <c r="U48" s="18">
        <f t="shared" si="25"/>
        <v>0</v>
      </c>
      <c r="V48" s="18">
        <f t="shared" si="26"/>
        <v>0</v>
      </c>
      <c r="W48" s="140">
        <f t="shared" si="27"/>
        <v>127990</v>
      </c>
    </row>
    <row r="49" spans="1:23" ht="15.75" hidden="1" thickBot="1">
      <c r="A49" s="138">
        <v>41548</v>
      </c>
      <c r="B49" s="139">
        <f t="shared" si="0"/>
        <v>35298</v>
      </c>
      <c r="C49" s="18">
        <v>0</v>
      </c>
      <c r="D49" s="18">
        <f t="shared" si="1"/>
        <v>35298</v>
      </c>
      <c r="E49" s="18">
        <v>0</v>
      </c>
      <c r="F49" s="18">
        <f t="shared" si="2"/>
        <v>0</v>
      </c>
      <c r="G49" s="18">
        <f t="shared" si="3"/>
        <v>0</v>
      </c>
      <c r="H49" s="18">
        <f t="shared" si="4"/>
        <v>35298</v>
      </c>
      <c r="I49" s="18">
        <f t="shared" si="4"/>
        <v>0</v>
      </c>
      <c r="J49" s="235">
        <f t="shared" si="5"/>
        <v>35298</v>
      </c>
      <c r="K49" s="18">
        <v>35298</v>
      </c>
      <c r="L49" s="18">
        <v>0</v>
      </c>
      <c r="M49" s="18">
        <f t="shared" si="6"/>
        <v>35298</v>
      </c>
      <c r="N49" s="18">
        <v>0</v>
      </c>
      <c r="O49" s="18">
        <v>0</v>
      </c>
      <c r="P49" s="236">
        <f t="shared" si="7"/>
        <v>0</v>
      </c>
      <c r="Q49" s="18">
        <f t="shared" si="23"/>
        <v>163288</v>
      </c>
      <c r="R49" s="18">
        <f t="shared" si="23"/>
        <v>0</v>
      </c>
      <c r="S49" s="18">
        <f t="shared" si="24"/>
        <v>163288</v>
      </c>
      <c r="T49" s="18">
        <f t="shared" si="25"/>
        <v>0</v>
      </c>
      <c r="U49" s="18">
        <f t="shared" si="25"/>
        <v>0</v>
      </c>
      <c r="V49" s="18">
        <f t="shared" si="26"/>
        <v>0</v>
      </c>
      <c r="W49" s="140">
        <f t="shared" si="27"/>
        <v>163288</v>
      </c>
    </row>
    <row r="50" spans="1:23" ht="15.75" hidden="1" thickBot="1">
      <c r="A50" s="138">
        <v>41579</v>
      </c>
      <c r="B50" s="139">
        <f t="shared" si="0"/>
        <v>34761</v>
      </c>
      <c r="C50" s="18">
        <v>0</v>
      </c>
      <c r="D50" s="18">
        <f t="shared" si="1"/>
        <v>34761</v>
      </c>
      <c r="E50" s="18">
        <v>0</v>
      </c>
      <c r="F50" s="18">
        <f t="shared" si="2"/>
        <v>0</v>
      </c>
      <c r="G50" s="18">
        <f t="shared" si="3"/>
        <v>0</v>
      </c>
      <c r="H50" s="18">
        <f t="shared" si="4"/>
        <v>34761</v>
      </c>
      <c r="I50" s="18">
        <f t="shared" si="4"/>
        <v>0</v>
      </c>
      <c r="J50" s="235">
        <f t="shared" si="5"/>
        <v>34761</v>
      </c>
      <c r="K50" s="18">
        <v>34761</v>
      </c>
      <c r="L50" s="18">
        <v>0</v>
      </c>
      <c r="M50" s="18">
        <f t="shared" si="6"/>
        <v>34761</v>
      </c>
      <c r="N50" s="18">
        <v>0</v>
      </c>
      <c r="O50" s="18">
        <v>0</v>
      </c>
      <c r="P50" s="236">
        <f t="shared" si="7"/>
        <v>0</v>
      </c>
      <c r="Q50" s="18">
        <f t="shared" si="23"/>
        <v>198049</v>
      </c>
      <c r="R50" s="18">
        <f t="shared" si="23"/>
        <v>0</v>
      </c>
      <c r="S50" s="18">
        <f t="shared" si="24"/>
        <v>198049</v>
      </c>
      <c r="T50" s="18">
        <f t="shared" si="25"/>
        <v>0</v>
      </c>
      <c r="U50" s="18">
        <f t="shared" si="25"/>
        <v>0</v>
      </c>
      <c r="V50" s="18">
        <f t="shared" si="26"/>
        <v>0</v>
      </c>
      <c r="W50" s="140">
        <f t="shared" si="27"/>
        <v>198049</v>
      </c>
    </row>
    <row r="51" spans="1:23" ht="15.75" hidden="1" thickBot="1">
      <c r="A51" s="138">
        <v>41609</v>
      </c>
      <c r="B51" s="139">
        <f t="shared" si="0"/>
        <v>34759</v>
      </c>
      <c r="C51" s="18">
        <v>0</v>
      </c>
      <c r="D51" s="18">
        <f t="shared" si="1"/>
        <v>34759</v>
      </c>
      <c r="E51" s="18">
        <v>0</v>
      </c>
      <c r="F51" s="18">
        <f t="shared" si="2"/>
        <v>0</v>
      </c>
      <c r="G51" s="18">
        <f t="shared" si="3"/>
        <v>0</v>
      </c>
      <c r="H51" s="18">
        <f t="shared" si="4"/>
        <v>34759</v>
      </c>
      <c r="I51" s="18">
        <f t="shared" si="4"/>
        <v>0</v>
      </c>
      <c r="J51" s="235">
        <f t="shared" si="5"/>
        <v>34759</v>
      </c>
      <c r="K51" s="18">
        <v>34759</v>
      </c>
      <c r="L51" s="18">
        <v>0</v>
      </c>
      <c r="M51" s="18">
        <f t="shared" si="6"/>
        <v>34759</v>
      </c>
      <c r="N51" s="18">
        <v>0</v>
      </c>
      <c r="O51" s="18">
        <v>0</v>
      </c>
      <c r="P51" s="236">
        <f t="shared" si="7"/>
        <v>0</v>
      </c>
      <c r="Q51" s="18">
        <f t="shared" si="23"/>
        <v>232808</v>
      </c>
      <c r="R51" s="18">
        <f t="shared" si="23"/>
        <v>0</v>
      </c>
      <c r="S51" s="18">
        <f t="shared" si="24"/>
        <v>232808</v>
      </c>
      <c r="T51" s="18">
        <f t="shared" si="25"/>
        <v>0</v>
      </c>
      <c r="U51" s="18">
        <f t="shared" si="25"/>
        <v>0</v>
      </c>
      <c r="V51" s="18">
        <f t="shared" si="26"/>
        <v>0</v>
      </c>
      <c r="W51" s="140">
        <f t="shared" si="27"/>
        <v>232808</v>
      </c>
    </row>
    <row r="52" spans="1:23" ht="15.75" hidden="1" thickBot="1">
      <c r="A52" s="138">
        <v>41640</v>
      </c>
      <c r="B52" s="142">
        <f t="shared" si="0"/>
        <v>0</v>
      </c>
      <c r="C52" s="143">
        <v>0</v>
      </c>
      <c r="D52" s="143">
        <f t="shared" si="1"/>
        <v>0</v>
      </c>
      <c r="E52" s="143">
        <v>0</v>
      </c>
      <c r="F52" s="143">
        <f t="shared" si="2"/>
        <v>0</v>
      </c>
      <c r="G52" s="143">
        <f t="shared" si="3"/>
        <v>0</v>
      </c>
      <c r="H52" s="143">
        <f t="shared" si="4"/>
        <v>0</v>
      </c>
      <c r="I52" s="143">
        <f t="shared" si="4"/>
        <v>0</v>
      </c>
      <c r="J52" s="237">
        <f t="shared" si="5"/>
        <v>0</v>
      </c>
      <c r="K52" s="143">
        <v>0</v>
      </c>
      <c r="L52" s="143">
        <v>0</v>
      </c>
      <c r="M52" s="143">
        <f t="shared" si="6"/>
        <v>0</v>
      </c>
      <c r="N52" s="143">
        <v>0</v>
      </c>
      <c r="O52" s="143">
        <v>0</v>
      </c>
      <c r="P52" s="238">
        <f t="shared" si="7"/>
        <v>0</v>
      </c>
      <c r="Q52" s="143">
        <f>B52</f>
        <v>0</v>
      </c>
      <c r="R52" s="143">
        <f>C52</f>
        <v>0</v>
      </c>
      <c r="S52" s="143">
        <f>R52+Q52</f>
        <v>0</v>
      </c>
      <c r="T52" s="143">
        <f>E52</f>
        <v>0</v>
      </c>
      <c r="U52" s="143">
        <f>F52</f>
        <v>0</v>
      </c>
      <c r="V52" s="143">
        <f>U52+T52</f>
        <v>0</v>
      </c>
      <c r="W52" s="144">
        <f>V52+S52</f>
        <v>0</v>
      </c>
    </row>
    <row r="53" spans="1:23" ht="15.75" hidden="1" thickBot="1">
      <c r="A53" s="138">
        <v>41671</v>
      </c>
      <c r="B53" s="139">
        <f t="shared" si="0"/>
        <v>0</v>
      </c>
      <c r="C53" s="18">
        <v>0</v>
      </c>
      <c r="D53" s="18">
        <f t="shared" si="1"/>
        <v>0</v>
      </c>
      <c r="E53" s="18">
        <v>0</v>
      </c>
      <c r="F53" s="18">
        <f t="shared" si="2"/>
        <v>0</v>
      </c>
      <c r="G53" s="18">
        <f t="shared" si="3"/>
        <v>0</v>
      </c>
      <c r="H53" s="18">
        <f t="shared" si="4"/>
        <v>0</v>
      </c>
      <c r="I53" s="18">
        <f t="shared" si="4"/>
        <v>0</v>
      </c>
      <c r="J53" s="235">
        <f t="shared" si="5"/>
        <v>0</v>
      </c>
      <c r="K53" s="18">
        <v>0</v>
      </c>
      <c r="L53" s="18">
        <v>0</v>
      </c>
      <c r="M53" s="18">
        <f t="shared" si="6"/>
        <v>0</v>
      </c>
      <c r="N53" s="18">
        <v>0</v>
      </c>
      <c r="O53" s="18">
        <v>0</v>
      </c>
      <c r="P53" s="236">
        <f t="shared" si="7"/>
        <v>0</v>
      </c>
      <c r="Q53" s="18">
        <f>Q52+B53</f>
        <v>0</v>
      </c>
      <c r="R53" s="18">
        <f>R52+C53</f>
        <v>0</v>
      </c>
      <c r="S53" s="18">
        <f>R53+Q53</f>
        <v>0</v>
      </c>
      <c r="T53" s="18">
        <f>T52+E53</f>
        <v>0</v>
      </c>
      <c r="U53" s="18">
        <f>U52+F53</f>
        <v>0</v>
      </c>
      <c r="V53" s="18">
        <f>U53+T53</f>
        <v>0</v>
      </c>
      <c r="W53" s="140">
        <f>V53+S53</f>
        <v>0</v>
      </c>
    </row>
    <row r="54" spans="1:23" ht="15.75" hidden="1" thickBot="1">
      <c r="A54" s="138">
        <v>41699</v>
      </c>
      <c r="B54" s="139">
        <f t="shared" si="0"/>
        <v>0</v>
      </c>
      <c r="C54" s="18">
        <v>0</v>
      </c>
      <c r="D54" s="18">
        <f t="shared" si="1"/>
        <v>0</v>
      </c>
      <c r="E54" s="18">
        <v>0</v>
      </c>
      <c r="F54" s="18">
        <f t="shared" si="2"/>
        <v>472</v>
      </c>
      <c r="G54" s="18">
        <f t="shared" si="3"/>
        <v>472</v>
      </c>
      <c r="H54" s="18">
        <f t="shared" si="4"/>
        <v>0</v>
      </c>
      <c r="I54" s="18">
        <f t="shared" si="4"/>
        <v>472</v>
      </c>
      <c r="J54" s="235">
        <f t="shared" si="5"/>
        <v>472</v>
      </c>
      <c r="K54" s="18">
        <v>0</v>
      </c>
      <c r="L54" s="18">
        <v>0</v>
      </c>
      <c r="M54" s="18">
        <f t="shared" si="6"/>
        <v>0</v>
      </c>
      <c r="N54" s="18">
        <v>472</v>
      </c>
      <c r="O54" s="18">
        <v>0</v>
      </c>
      <c r="P54" s="236">
        <f t="shared" si="7"/>
        <v>472</v>
      </c>
      <c r="Q54" s="18">
        <f t="shared" ref="Q54:R63" si="28">Q53+B54</f>
        <v>0</v>
      </c>
      <c r="R54" s="18">
        <f t="shared" si="28"/>
        <v>0</v>
      </c>
      <c r="S54" s="18">
        <f t="shared" ref="S54:S63" si="29">R54+Q54</f>
        <v>0</v>
      </c>
      <c r="T54" s="18">
        <f t="shared" ref="T54:U63" si="30">T53+E54</f>
        <v>0</v>
      </c>
      <c r="U54" s="18">
        <f t="shared" si="30"/>
        <v>472</v>
      </c>
      <c r="V54" s="18">
        <f t="shared" ref="V54:V63" si="31">U54+T54</f>
        <v>472</v>
      </c>
      <c r="W54" s="140">
        <f t="shared" ref="W54:W63" si="32">V54+S54</f>
        <v>472</v>
      </c>
    </row>
    <row r="55" spans="1:23" ht="15.75" hidden="1" thickBot="1">
      <c r="A55" s="138">
        <v>41730</v>
      </c>
      <c r="B55" s="139">
        <f t="shared" si="0"/>
        <v>5211</v>
      </c>
      <c r="C55" s="18">
        <v>0</v>
      </c>
      <c r="D55" s="18">
        <f t="shared" si="1"/>
        <v>5211</v>
      </c>
      <c r="E55" s="18">
        <v>0</v>
      </c>
      <c r="F55" s="18">
        <f t="shared" si="2"/>
        <v>2091</v>
      </c>
      <c r="G55" s="18">
        <f t="shared" si="3"/>
        <v>2091</v>
      </c>
      <c r="H55" s="18">
        <f t="shared" si="4"/>
        <v>5211</v>
      </c>
      <c r="I55" s="18">
        <f t="shared" si="4"/>
        <v>2091</v>
      </c>
      <c r="J55" s="235">
        <f t="shared" si="5"/>
        <v>7302</v>
      </c>
      <c r="K55" s="18">
        <v>5211</v>
      </c>
      <c r="L55" s="18">
        <v>0</v>
      </c>
      <c r="M55" s="18">
        <f t="shared" si="6"/>
        <v>5211</v>
      </c>
      <c r="N55" s="18">
        <v>2091</v>
      </c>
      <c r="O55" s="18">
        <v>0</v>
      </c>
      <c r="P55" s="236">
        <f t="shared" si="7"/>
        <v>2091</v>
      </c>
      <c r="Q55" s="18">
        <f t="shared" si="28"/>
        <v>5211</v>
      </c>
      <c r="R55" s="18">
        <f t="shared" si="28"/>
        <v>0</v>
      </c>
      <c r="S55" s="18">
        <f t="shared" si="29"/>
        <v>5211</v>
      </c>
      <c r="T55" s="18">
        <f t="shared" si="30"/>
        <v>0</v>
      </c>
      <c r="U55" s="18">
        <f t="shared" si="30"/>
        <v>2563</v>
      </c>
      <c r="V55" s="18">
        <f t="shared" si="31"/>
        <v>2563</v>
      </c>
      <c r="W55" s="140">
        <f t="shared" si="32"/>
        <v>7774</v>
      </c>
    </row>
    <row r="56" spans="1:23" ht="15.75" hidden="1" thickBot="1">
      <c r="A56" s="138">
        <v>41760</v>
      </c>
      <c r="B56" s="139">
        <f t="shared" si="0"/>
        <v>0</v>
      </c>
      <c r="C56" s="18">
        <v>0</v>
      </c>
      <c r="D56" s="18">
        <f t="shared" si="1"/>
        <v>0</v>
      </c>
      <c r="E56" s="18">
        <v>0</v>
      </c>
      <c r="F56" s="18">
        <f t="shared" si="2"/>
        <v>0</v>
      </c>
      <c r="G56" s="18">
        <f t="shared" si="3"/>
        <v>0</v>
      </c>
      <c r="H56" s="18">
        <f t="shared" si="4"/>
        <v>0</v>
      </c>
      <c r="I56" s="18">
        <f t="shared" si="4"/>
        <v>0</v>
      </c>
      <c r="J56" s="235">
        <f t="shared" si="5"/>
        <v>0</v>
      </c>
      <c r="K56" s="18">
        <v>0</v>
      </c>
      <c r="L56" s="18">
        <v>0</v>
      </c>
      <c r="M56" s="18">
        <f t="shared" si="6"/>
        <v>0</v>
      </c>
      <c r="N56" s="18">
        <v>0</v>
      </c>
      <c r="O56" s="18">
        <v>0</v>
      </c>
      <c r="P56" s="236">
        <f t="shared" si="7"/>
        <v>0</v>
      </c>
      <c r="Q56" s="18">
        <f t="shared" si="28"/>
        <v>5211</v>
      </c>
      <c r="R56" s="18">
        <f t="shared" si="28"/>
        <v>0</v>
      </c>
      <c r="S56" s="18">
        <f t="shared" si="29"/>
        <v>5211</v>
      </c>
      <c r="T56" s="18">
        <f t="shared" si="30"/>
        <v>0</v>
      </c>
      <c r="U56" s="18">
        <f t="shared" si="30"/>
        <v>2563</v>
      </c>
      <c r="V56" s="18">
        <f t="shared" si="31"/>
        <v>2563</v>
      </c>
      <c r="W56" s="140">
        <f t="shared" si="32"/>
        <v>7774</v>
      </c>
    </row>
    <row r="57" spans="1:23" ht="15.75" hidden="1" thickBot="1">
      <c r="A57" s="138">
        <v>41791</v>
      </c>
      <c r="B57" s="139">
        <f t="shared" si="0"/>
        <v>0</v>
      </c>
      <c r="C57" s="18">
        <v>0</v>
      </c>
      <c r="D57" s="18">
        <f t="shared" si="1"/>
        <v>0</v>
      </c>
      <c r="E57" s="18">
        <v>0</v>
      </c>
      <c r="F57" s="18">
        <f t="shared" si="2"/>
        <v>0</v>
      </c>
      <c r="G57" s="18">
        <f t="shared" si="3"/>
        <v>0</v>
      </c>
      <c r="H57" s="18">
        <f t="shared" si="4"/>
        <v>0</v>
      </c>
      <c r="I57" s="18">
        <f t="shared" si="4"/>
        <v>0</v>
      </c>
      <c r="J57" s="235">
        <f t="shared" si="5"/>
        <v>0</v>
      </c>
      <c r="K57" s="18">
        <v>0</v>
      </c>
      <c r="L57" s="18">
        <v>0</v>
      </c>
      <c r="M57" s="18">
        <f t="shared" si="6"/>
        <v>0</v>
      </c>
      <c r="N57" s="18">
        <v>0</v>
      </c>
      <c r="O57" s="18">
        <v>0</v>
      </c>
      <c r="P57" s="236">
        <f t="shared" si="7"/>
        <v>0</v>
      </c>
      <c r="Q57" s="18">
        <f t="shared" si="28"/>
        <v>5211</v>
      </c>
      <c r="R57" s="18">
        <f t="shared" si="28"/>
        <v>0</v>
      </c>
      <c r="S57" s="18">
        <f t="shared" si="29"/>
        <v>5211</v>
      </c>
      <c r="T57" s="18">
        <f t="shared" si="30"/>
        <v>0</v>
      </c>
      <c r="U57" s="18">
        <f t="shared" si="30"/>
        <v>2563</v>
      </c>
      <c r="V57" s="18">
        <f t="shared" si="31"/>
        <v>2563</v>
      </c>
      <c r="W57" s="140">
        <f t="shared" si="32"/>
        <v>7774</v>
      </c>
    </row>
    <row r="58" spans="1:23" ht="15.75" hidden="1" thickBot="1">
      <c r="A58" s="138">
        <v>41821</v>
      </c>
      <c r="B58" s="139">
        <f t="shared" si="0"/>
        <v>0</v>
      </c>
      <c r="C58" s="18">
        <v>0</v>
      </c>
      <c r="D58" s="18">
        <f t="shared" si="1"/>
        <v>0</v>
      </c>
      <c r="E58" s="18">
        <v>0</v>
      </c>
      <c r="F58" s="18">
        <f t="shared" si="2"/>
        <v>1248</v>
      </c>
      <c r="G58" s="18">
        <f t="shared" si="3"/>
        <v>1248</v>
      </c>
      <c r="H58" s="18">
        <f t="shared" si="4"/>
        <v>0</v>
      </c>
      <c r="I58" s="18">
        <f t="shared" si="4"/>
        <v>1248</v>
      </c>
      <c r="J58" s="235">
        <f t="shared" si="5"/>
        <v>1248</v>
      </c>
      <c r="K58" s="18">
        <v>0</v>
      </c>
      <c r="L58" s="18">
        <v>0</v>
      </c>
      <c r="M58" s="18">
        <f t="shared" si="6"/>
        <v>0</v>
      </c>
      <c r="N58" s="18">
        <v>1248</v>
      </c>
      <c r="O58" s="18">
        <v>0</v>
      </c>
      <c r="P58" s="236">
        <f t="shared" si="7"/>
        <v>1248</v>
      </c>
      <c r="Q58" s="18">
        <f t="shared" si="28"/>
        <v>5211</v>
      </c>
      <c r="R58" s="18">
        <f t="shared" si="28"/>
        <v>0</v>
      </c>
      <c r="S58" s="18">
        <f t="shared" si="29"/>
        <v>5211</v>
      </c>
      <c r="T58" s="18">
        <f t="shared" si="30"/>
        <v>0</v>
      </c>
      <c r="U58" s="18">
        <f t="shared" si="30"/>
        <v>3811</v>
      </c>
      <c r="V58" s="18">
        <f t="shared" si="31"/>
        <v>3811</v>
      </c>
      <c r="W58" s="140">
        <f t="shared" si="32"/>
        <v>9022</v>
      </c>
    </row>
    <row r="59" spans="1:23" ht="15.75" hidden="1" thickBot="1">
      <c r="A59" s="138">
        <v>41852</v>
      </c>
      <c r="B59" s="139">
        <f t="shared" si="0"/>
        <v>0</v>
      </c>
      <c r="C59" s="18">
        <v>0</v>
      </c>
      <c r="D59" s="18">
        <f t="shared" si="1"/>
        <v>0</v>
      </c>
      <c r="E59" s="18">
        <v>0</v>
      </c>
      <c r="F59" s="18">
        <f t="shared" si="2"/>
        <v>5532</v>
      </c>
      <c r="G59" s="18">
        <f t="shared" si="3"/>
        <v>5532</v>
      </c>
      <c r="H59" s="18">
        <f t="shared" si="4"/>
        <v>0</v>
      </c>
      <c r="I59" s="18">
        <f t="shared" si="4"/>
        <v>5532</v>
      </c>
      <c r="J59" s="235">
        <f t="shared" si="5"/>
        <v>5532</v>
      </c>
      <c r="K59" s="18">
        <v>0</v>
      </c>
      <c r="L59" s="18">
        <v>0</v>
      </c>
      <c r="M59" s="18">
        <f t="shared" si="6"/>
        <v>0</v>
      </c>
      <c r="N59" s="18">
        <v>5532</v>
      </c>
      <c r="O59" s="18">
        <v>0</v>
      </c>
      <c r="P59" s="236">
        <f t="shared" si="7"/>
        <v>5532</v>
      </c>
      <c r="Q59" s="18">
        <f t="shared" si="28"/>
        <v>5211</v>
      </c>
      <c r="R59" s="18">
        <f t="shared" si="28"/>
        <v>0</v>
      </c>
      <c r="S59" s="18">
        <f t="shared" si="29"/>
        <v>5211</v>
      </c>
      <c r="T59" s="18">
        <f t="shared" si="30"/>
        <v>0</v>
      </c>
      <c r="U59" s="18">
        <f t="shared" si="30"/>
        <v>9343</v>
      </c>
      <c r="V59" s="18">
        <f t="shared" si="31"/>
        <v>9343</v>
      </c>
      <c r="W59" s="140">
        <f t="shared" si="32"/>
        <v>14554</v>
      </c>
    </row>
    <row r="60" spans="1:23" ht="15.75" hidden="1" thickBot="1">
      <c r="A60" s="138">
        <v>41883</v>
      </c>
      <c r="B60" s="139">
        <f t="shared" si="0"/>
        <v>0</v>
      </c>
      <c r="C60" s="18">
        <v>0</v>
      </c>
      <c r="D60" s="18">
        <f t="shared" si="1"/>
        <v>0</v>
      </c>
      <c r="E60" s="18">
        <v>0</v>
      </c>
      <c r="F60" s="18">
        <f t="shared" si="2"/>
        <v>17073</v>
      </c>
      <c r="G60" s="18">
        <f t="shared" si="3"/>
        <v>17073</v>
      </c>
      <c r="H60" s="18">
        <f t="shared" si="4"/>
        <v>0</v>
      </c>
      <c r="I60" s="18">
        <f t="shared" si="4"/>
        <v>17073</v>
      </c>
      <c r="J60" s="235">
        <f t="shared" si="5"/>
        <v>17073</v>
      </c>
      <c r="K60" s="18">
        <v>0</v>
      </c>
      <c r="L60" s="18">
        <v>0</v>
      </c>
      <c r="M60" s="18">
        <f t="shared" si="6"/>
        <v>0</v>
      </c>
      <c r="N60" s="18">
        <v>17073</v>
      </c>
      <c r="O60" s="18">
        <v>0</v>
      </c>
      <c r="P60" s="236">
        <f t="shared" si="7"/>
        <v>17073</v>
      </c>
      <c r="Q60" s="18">
        <f t="shared" si="28"/>
        <v>5211</v>
      </c>
      <c r="R60" s="18">
        <f t="shared" si="28"/>
        <v>0</v>
      </c>
      <c r="S60" s="18">
        <f t="shared" si="29"/>
        <v>5211</v>
      </c>
      <c r="T60" s="18">
        <f t="shared" si="30"/>
        <v>0</v>
      </c>
      <c r="U60" s="18">
        <f t="shared" si="30"/>
        <v>26416</v>
      </c>
      <c r="V60" s="18">
        <f t="shared" si="31"/>
        <v>26416</v>
      </c>
      <c r="W60" s="140">
        <f t="shared" si="32"/>
        <v>31627</v>
      </c>
    </row>
    <row r="61" spans="1:23" ht="15.75" hidden="1" thickBot="1">
      <c r="A61" s="138">
        <v>41913</v>
      </c>
      <c r="B61" s="139">
        <f t="shared" si="0"/>
        <v>0</v>
      </c>
      <c r="C61" s="18">
        <v>0</v>
      </c>
      <c r="D61" s="18">
        <f t="shared" si="1"/>
        <v>0</v>
      </c>
      <c r="E61" s="18">
        <v>0</v>
      </c>
      <c r="F61" s="18">
        <f t="shared" si="2"/>
        <v>24030</v>
      </c>
      <c r="G61" s="18">
        <f t="shared" si="3"/>
        <v>24030</v>
      </c>
      <c r="H61" s="18">
        <f t="shared" si="4"/>
        <v>0</v>
      </c>
      <c r="I61" s="18">
        <f t="shared" si="4"/>
        <v>24030</v>
      </c>
      <c r="J61" s="235">
        <f t="shared" si="5"/>
        <v>24030</v>
      </c>
      <c r="K61" s="18">
        <v>0</v>
      </c>
      <c r="L61" s="18">
        <v>0</v>
      </c>
      <c r="M61" s="18">
        <f t="shared" si="6"/>
        <v>0</v>
      </c>
      <c r="N61" s="18">
        <v>24030</v>
      </c>
      <c r="O61" s="18">
        <v>0</v>
      </c>
      <c r="P61" s="236">
        <f t="shared" si="7"/>
        <v>24030</v>
      </c>
      <c r="Q61" s="18">
        <f t="shared" si="28"/>
        <v>5211</v>
      </c>
      <c r="R61" s="18">
        <f t="shared" si="28"/>
        <v>0</v>
      </c>
      <c r="S61" s="18">
        <f t="shared" si="29"/>
        <v>5211</v>
      </c>
      <c r="T61" s="18">
        <f t="shared" si="30"/>
        <v>0</v>
      </c>
      <c r="U61" s="18">
        <f t="shared" si="30"/>
        <v>50446</v>
      </c>
      <c r="V61" s="18">
        <f t="shared" si="31"/>
        <v>50446</v>
      </c>
      <c r="W61" s="140">
        <f t="shared" si="32"/>
        <v>55657</v>
      </c>
    </row>
    <row r="62" spans="1:23" ht="15.75" hidden="1" thickBot="1">
      <c r="A62" s="138">
        <v>41944</v>
      </c>
      <c r="B62" s="139">
        <f t="shared" si="0"/>
        <v>0</v>
      </c>
      <c r="C62" s="18">
        <v>0</v>
      </c>
      <c r="D62" s="18">
        <f t="shared" si="1"/>
        <v>0</v>
      </c>
      <c r="E62" s="18">
        <v>0</v>
      </c>
      <c r="F62" s="18">
        <f t="shared" si="2"/>
        <v>0</v>
      </c>
      <c r="G62" s="18">
        <f t="shared" si="3"/>
        <v>0</v>
      </c>
      <c r="H62" s="18">
        <f t="shared" si="4"/>
        <v>0</v>
      </c>
      <c r="I62" s="18">
        <f t="shared" si="4"/>
        <v>0</v>
      </c>
      <c r="J62" s="235">
        <f t="shared" si="5"/>
        <v>0</v>
      </c>
      <c r="K62" s="18">
        <v>0</v>
      </c>
      <c r="L62" s="18">
        <v>0</v>
      </c>
      <c r="M62" s="18">
        <f t="shared" si="6"/>
        <v>0</v>
      </c>
      <c r="N62" s="18">
        <v>0</v>
      </c>
      <c r="O62" s="18">
        <v>0</v>
      </c>
      <c r="P62" s="236">
        <f t="shared" si="7"/>
        <v>0</v>
      </c>
      <c r="Q62" s="18">
        <f t="shared" si="28"/>
        <v>5211</v>
      </c>
      <c r="R62" s="18">
        <f t="shared" si="28"/>
        <v>0</v>
      </c>
      <c r="S62" s="18">
        <f t="shared" si="29"/>
        <v>5211</v>
      </c>
      <c r="T62" s="18">
        <f t="shared" si="30"/>
        <v>0</v>
      </c>
      <c r="U62" s="18">
        <f t="shared" si="30"/>
        <v>50446</v>
      </c>
      <c r="V62" s="18">
        <f t="shared" si="31"/>
        <v>50446</v>
      </c>
      <c r="W62" s="140">
        <f t="shared" si="32"/>
        <v>55657</v>
      </c>
    </row>
    <row r="63" spans="1:23" ht="15.75" hidden="1" thickBot="1">
      <c r="A63" s="138">
        <v>41974</v>
      </c>
      <c r="B63" s="139">
        <f t="shared" si="0"/>
        <v>0</v>
      </c>
      <c r="C63" s="18">
        <v>0</v>
      </c>
      <c r="D63" s="18">
        <f t="shared" si="1"/>
        <v>0</v>
      </c>
      <c r="E63" s="18">
        <v>0</v>
      </c>
      <c r="F63" s="18">
        <f t="shared" si="2"/>
        <v>0</v>
      </c>
      <c r="G63" s="18">
        <f t="shared" si="3"/>
        <v>0</v>
      </c>
      <c r="H63" s="18">
        <f t="shared" si="4"/>
        <v>0</v>
      </c>
      <c r="I63" s="18">
        <f t="shared" si="4"/>
        <v>0</v>
      </c>
      <c r="J63" s="235">
        <f t="shared" si="5"/>
        <v>0</v>
      </c>
      <c r="K63" s="18">
        <v>0</v>
      </c>
      <c r="L63" s="18">
        <v>0</v>
      </c>
      <c r="M63" s="18">
        <f t="shared" si="6"/>
        <v>0</v>
      </c>
      <c r="N63" s="18">
        <v>0</v>
      </c>
      <c r="O63" s="18">
        <v>0</v>
      </c>
      <c r="P63" s="236">
        <f t="shared" si="7"/>
        <v>0</v>
      </c>
      <c r="Q63" s="18">
        <f t="shared" si="28"/>
        <v>5211</v>
      </c>
      <c r="R63" s="18">
        <f t="shared" si="28"/>
        <v>0</v>
      </c>
      <c r="S63" s="18">
        <f t="shared" si="29"/>
        <v>5211</v>
      </c>
      <c r="T63" s="18">
        <f t="shared" si="30"/>
        <v>0</v>
      </c>
      <c r="U63" s="18">
        <f t="shared" si="30"/>
        <v>50446</v>
      </c>
      <c r="V63" s="18">
        <f t="shared" si="31"/>
        <v>50446</v>
      </c>
      <c r="W63" s="140">
        <f t="shared" si="32"/>
        <v>55657</v>
      </c>
    </row>
    <row r="64" spans="1:23" ht="15.75" hidden="1" thickBot="1">
      <c r="A64" s="138">
        <v>42005</v>
      </c>
      <c r="B64" s="142">
        <f t="shared" si="0"/>
        <v>0</v>
      </c>
      <c r="C64" s="143">
        <v>0</v>
      </c>
      <c r="D64" s="143">
        <f t="shared" si="1"/>
        <v>0</v>
      </c>
      <c r="E64" s="143">
        <v>0</v>
      </c>
      <c r="F64" s="143">
        <f t="shared" si="2"/>
        <v>0</v>
      </c>
      <c r="G64" s="143">
        <f t="shared" si="3"/>
        <v>0</v>
      </c>
      <c r="H64" s="143">
        <f t="shared" si="4"/>
        <v>0</v>
      </c>
      <c r="I64" s="143">
        <f t="shared" si="4"/>
        <v>0</v>
      </c>
      <c r="J64" s="237">
        <f t="shared" si="5"/>
        <v>0</v>
      </c>
      <c r="K64" s="143">
        <v>0</v>
      </c>
      <c r="L64" s="143">
        <v>0</v>
      </c>
      <c r="M64" s="143">
        <f t="shared" si="6"/>
        <v>0</v>
      </c>
      <c r="N64" s="143">
        <v>0</v>
      </c>
      <c r="O64" s="143">
        <v>0</v>
      </c>
      <c r="P64" s="238">
        <f t="shared" si="7"/>
        <v>0</v>
      </c>
      <c r="Q64" s="143">
        <f>B64</f>
        <v>0</v>
      </c>
      <c r="R64" s="143">
        <f>C64</f>
        <v>0</v>
      </c>
      <c r="S64" s="143">
        <f>R64+Q64</f>
        <v>0</v>
      </c>
      <c r="T64" s="143">
        <f>E64</f>
        <v>0</v>
      </c>
      <c r="U64" s="143">
        <f>F64</f>
        <v>0</v>
      </c>
      <c r="V64" s="143">
        <f>U64+T64</f>
        <v>0</v>
      </c>
      <c r="W64" s="144">
        <f>V64+S64</f>
        <v>0</v>
      </c>
    </row>
    <row r="65" spans="1:23" ht="15.75" hidden="1" thickBot="1">
      <c r="A65" s="138">
        <v>42036</v>
      </c>
      <c r="B65" s="139">
        <f t="shared" si="0"/>
        <v>0</v>
      </c>
      <c r="C65" s="18">
        <v>0</v>
      </c>
      <c r="D65" s="18">
        <f t="shared" si="1"/>
        <v>0</v>
      </c>
      <c r="E65" s="18">
        <v>0</v>
      </c>
      <c r="F65" s="18">
        <f t="shared" si="2"/>
        <v>0</v>
      </c>
      <c r="G65" s="18">
        <f t="shared" si="3"/>
        <v>0</v>
      </c>
      <c r="H65" s="18">
        <f t="shared" si="4"/>
        <v>0</v>
      </c>
      <c r="I65" s="18">
        <f t="shared" si="4"/>
        <v>0</v>
      </c>
      <c r="J65" s="235">
        <f t="shared" si="5"/>
        <v>0</v>
      </c>
      <c r="K65" s="18">
        <v>0</v>
      </c>
      <c r="L65" s="18">
        <v>0</v>
      </c>
      <c r="M65" s="18">
        <f t="shared" si="6"/>
        <v>0</v>
      </c>
      <c r="N65" s="18">
        <v>0</v>
      </c>
      <c r="O65" s="18">
        <v>0</v>
      </c>
      <c r="P65" s="236">
        <f t="shared" si="7"/>
        <v>0</v>
      </c>
      <c r="Q65" s="18">
        <f>Q64+B65</f>
        <v>0</v>
      </c>
      <c r="R65" s="18">
        <f>R64+C65</f>
        <v>0</v>
      </c>
      <c r="S65" s="18">
        <f>R65+Q65</f>
        <v>0</v>
      </c>
      <c r="T65" s="18">
        <f>T64+E65</f>
        <v>0</v>
      </c>
      <c r="U65" s="18">
        <f>U64+F65</f>
        <v>0</v>
      </c>
      <c r="V65" s="18">
        <f>U65+T65</f>
        <v>0</v>
      </c>
      <c r="W65" s="140">
        <f>V65+S65</f>
        <v>0</v>
      </c>
    </row>
    <row r="66" spans="1:23" ht="15.75" hidden="1" thickBot="1">
      <c r="A66" s="138">
        <v>42064</v>
      </c>
      <c r="B66" s="139">
        <f t="shared" si="0"/>
        <v>0</v>
      </c>
      <c r="C66" s="18">
        <v>0</v>
      </c>
      <c r="D66" s="18">
        <f t="shared" si="1"/>
        <v>0</v>
      </c>
      <c r="E66" s="18">
        <v>0</v>
      </c>
      <c r="F66" s="18">
        <f t="shared" si="2"/>
        <v>0</v>
      </c>
      <c r="G66" s="18">
        <f t="shared" si="3"/>
        <v>0</v>
      </c>
      <c r="H66" s="18">
        <f t="shared" si="4"/>
        <v>0</v>
      </c>
      <c r="I66" s="18">
        <f t="shared" si="4"/>
        <v>0</v>
      </c>
      <c r="J66" s="235">
        <f t="shared" si="5"/>
        <v>0</v>
      </c>
      <c r="K66" s="18">
        <v>0</v>
      </c>
      <c r="L66" s="18">
        <v>0</v>
      </c>
      <c r="M66" s="18">
        <f t="shared" si="6"/>
        <v>0</v>
      </c>
      <c r="N66" s="18">
        <v>0</v>
      </c>
      <c r="O66" s="18">
        <v>0</v>
      </c>
      <c r="P66" s="236">
        <f t="shared" si="7"/>
        <v>0</v>
      </c>
      <c r="Q66" s="18">
        <f t="shared" ref="Q66:R75" si="33">Q65+B66</f>
        <v>0</v>
      </c>
      <c r="R66" s="18">
        <f t="shared" si="33"/>
        <v>0</v>
      </c>
      <c r="S66" s="18">
        <f t="shared" ref="S66:S75" si="34">R66+Q66</f>
        <v>0</v>
      </c>
      <c r="T66" s="18">
        <f t="shared" ref="T66:U75" si="35">T65+E66</f>
        <v>0</v>
      </c>
      <c r="U66" s="18">
        <f t="shared" si="35"/>
        <v>0</v>
      </c>
      <c r="V66" s="18">
        <f t="shared" ref="V66:V75" si="36">U66+T66</f>
        <v>0</v>
      </c>
      <c r="W66" s="140">
        <f t="shared" ref="W66:W75" si="37">V66+S66</f>
        <v>0</v>
      </c>
    </row>
    <row r="67" spans="1:23" ht="15.75" hidden="1" thickBot="1">
      <c r="A67" s="138">
        <v>42095</v>
      </c>
      <c r="B67" s="139">
        <f t="shared" si="0"/>
        <v>0</v>
      </c>
      <c r="C67" s="18">
        <v>0</v>
      </c>
      <c r="D67" s="18">
        <f t="shared" si="1"/>
        <v>0</v>
      </c>
      <c r="E67" s="18">
        <v>0</v>
      </c>
      <c r="F67" s="18">
        <f t="shared" si="2"/>
        <v>0</v>
      </c>
      <c r="G67" s="18">
        <f t="shared" si="3"/>
        <v>0</v>
      </c>
      <c r="H67" s="18">
        <f t="shared" si="4"/>
        <v>0</v>
      </c>
      <c r="I67" s="18">
        <f t="shared" si="4"/>
        <v>0</v>
      </c>
      <c r="J67" s="235">
        <f t="shared" si="5"/>
        <v>0</v>
      </c>
      <c r="K67" s="18">
        <v>0</v>
      </c>
      <c r="L67" s="18">
        <v>0</v>
      </c>
      <c r="M67" s="18">
        <f t="shared" si="6"/>
        <v>0</v>
      </c>
      <c r="N67" s="18">
        <v>0</v>
      </c>
      <c r="O67" s="18">
        <v>0</v>
      </c>
      <c r="P67" s="236">
        <f t="shared" si="7"/>
        <v>0</v>
      </c>
      <c r="Q67" s="18">
        <f t="shared" si="33"/>
        <v>0</v>
      </c>
      <c r="R67" s="18">
        <f t="shared" si="33"/>
        <v>0</v>
      </c>
      <c r="S67" s="18">
        <f t="shared" si="34"/>
        <v>0</v>
      </c>
      <c r="T67" s="18">
        <f t="shared" si="35"/>
        <v>0</v>
      </c>
      <c r="U67" s="18">
        <f t="shared" si="35"/>
        <v>0</v>
      </c>
      <c r="V67" s="18">
        <f t="shared" si="36"/>
        <v>0</v>
      </c>
      <c r="W67" s="140">
        <f t="shared" si="37"/>
        <v>0</v>
      </c>
    </row>
    <row r="68" spans="1:23" ht="15.75" hidden="1" thickBot="1">
      <c r="A68" s="138">
        <v>42125</v>
      </c>
      <c r="B68" s="139">
        <f t="shared" si="0"/>
        <v>0</v>
      </c>
      <c r="C68" s="18">
        <v>0</v>
      </c>
      <c r="D68" s="18">
        <f t="shared" si="1"/>
        <v>0</v>
      </c>
      <c r="E68" s="18">
        <v>0</v>
      </c>
      <c r="F68" s="18">
        <f t="shared" si="2"/>
        <v>173731</v>
      </c>
      <c r="G68" s="18">
        <f t="shared" si="3"/>
        <v>173731</v>
      </c>
      <c r="H68" s="18">
        <f t="shared" si="4"/>
        <v>0</v>
      </c>
      <c r="I68" s="18">
        <f t="shared" si="4"/>
        <v>173731</v>
      </c>
      <c r="J68" s="235">
        <f t="shared" si="5"/>
        <v>173731</v>
      </c>
      <c r="K68" s="18">
        <v>0</v>
      </c>
      <c r="L68" s="18">
        <v>0</v>
      </c>
      <c r="M68" s="18">
        <f t="shared" si="6"/>
        <v>0</v>
      </c>
      <c r="N68" s="18">
        <v>173731</v>
      </c>
      <c r="O68" s="18">
        <v>0</v>
      </c>
      <c r="P68" s="236">
        <f t="shared" si="7"/>
        <v>173731</v>
      </c>
      <c r="Q68" s="18">
        <f t="shared" si="33"/>
        <v>0</v>
      </c>
      <c r="R68" s="18">
        <f t="shared" si="33"/>
        <v>0</v>
      </c>
      <c r="S68" s="18">
        <f t="shared" si="34"/>
        <v>0</v>
      </c>
      <c r="T68" s="18">
        <f t="shared" si="35"/>
        <v>0</v>
      </c>
      <c r="U68" s="18">
        <f t="shared" si="35"/>
        <v>173731</v>
      </c>
      <c r="V68" s="18">
        <f t="shared" si="36"/>
        <v>173731</v>
      </c>
      <c r="W68" s="140">
        <f t="shared" si="37"/>
        <v>173731</v>
      </c>
    </row>
    <row r="69" spans="1:23" ht="15.75" hidden="1" thickBot="1">
      <c r="A69" s="138">
        <v>42156</v>
      </c>
      <c r="B69" s="139">
        <f t="shared" ref="B69:B109" si="38">M69</f>
        <v>0</v>
      </c>
      <c r="C69" s="18">
        <v>0</v>
      </c>
      <c r="D69" s="18">
        <f t="shared" ref="D69:D132" si="39">C69+B69</f>
        <v>0</v>
      </c>
      <c r="E69" s="18">
        <v>0</v>
      </c>
      <c r="F69" s="18">
        <f t="shared" ref="F69:F111" si="40">P69</f>
        <v>0</v>
      </c>
      <c r="G69" s="18">
        <f t="shared" ref="G69:G132" si="41">F69+E69</f>
        <v>0</v>
      </c>
      <c r="H69" s="18">
        <f t="shared" ref="H69:I109" si="42">B69+E69</f>
        <v>0</v>
      </c>
      <c r="I69" s="18">
        <f t="shared" si="42"/>
        <v>0</v>
      </c>
      <c r="J69" s="235">
        <f t="shared" ref="J69:J132" si="43">I69+H69</f>
        <v>0</v>
      </c>
      <c r="K69" s="18">
        <v>0</v>
      </c>
      <c r="L69" s="18">
        <v>0</v>
      </c>
      <c r="M69" s="18">
        <f t="shared" ref="M69:M132" si="44">L69+K69</f>
        <v>0</v>
      </c>
      <c r="N69" s="18">
        <v>0</v>
      </c>
      <c r="O69" s="18">
        <v>0</v>
      </c>
      <c r="P69" s="236">
        <f t="shared" ref="P69:P132" si="45">O69+N69</f>
        <v>0</v>
      </c>
      <c r="Q69" s="18">
        <f t="shared" si="33"/>
        <v>0</v>
      </c>
      <c r="R69" s="18">
        <f t="shared" si="33"/>
        <v>0</v>
      </c>
      <c r="S69" s="18">
        <f t="shared" si="34"/>
        <v>0</v>
      </c>
      <c r="T69" s="18">
        <f t="shared" si="35"/>
        <v>0</v>
      </c>
      <c r="U69" s="18">
        <f t="shared" si="35"/>
        <v>173731</v>
      </c>
      <c r="V69" s="18">
        <f t="shared" si="36"/>
        <v>173731</v>
      </c>
      <c r="W69" s="140">
        <f t="shared" si="37"/>
        <v>173731</v>
      </c>
    </row>
    <row r="70" spans="1:23" ht="15.75" hidden="1" thickBot="1">
      <c r="A70" s="138">
        <v>42186</v>
      </c>
      <c r="B70" s="139">
        <f t="shared" si="38"/>
        <v>0</v>
      </c>
      <c r="C70" s="18">
        <v>0</v>
      </c>
      <c r="D70" s="18">
        <f t="shared" si="39"/>
        <v>0</v>
      </c>
      <c r="E70" s="18">
        <v>0</v>
      </c>
      <c r="F70" s="18">
        <f t="shared" si="40"/>
        <v>0</v>
      </c>
      <c r="G70" s="18">
        <f t="shared" si="41"/>
        <v>0</v>
      </c>
      <c r="H70" s="18">
        <f t="shared" si="42"/>
        <v>0</v>
      </c>
      <c r="I70" s="18">
        <f t="shared" si="42"/>
        <v>0</v>
      </c>
      <c r="J70" s="235">
        <f t="shared" si="43"/>
        <v>0</v>
      </c>
      <c r="K70" s="18">
        <v>0</v>
      </c>
      <c r="L70" s="18">
        <v>0</v>
      </c>
      <c r="M70" s="18">
        <f t="shared" si="44"/>
        <v>0</v>
      </c>
      <c r="N70" s="18">
        <v>0</v>
      </c>
      <c r="O70" s="18">
        <v>0</v>
      </c>
      <c r="P70" s="236">
        <f t="shared" si="45"/>
        <v>0</v>
      </c>
      <c r="Q70" s="18">
        <f t="shared" si="33"/>
        <v>0</v>
      </c>
      <c r="R70" s="18">
        <f t="shared" si="33"/>
        <v>0</v>
      </c>
      <c r="S70" s="18">
        <f t="shared" si="34"/>
        <v>0</v>
      </c>
      <c r="T70" s="18">
        <f t="shared" si="35"/>
        <v>0</v>
      </c>
      <c r="U70" s="18">
        <f t="shared" si="35"/>
        <v>173731</v>
      </c>
      <c r="V70" s="18">
        <f t="shared" si="36"/>
        <v>173731</v>
      </c>
      <c r="W70" s="140">
        <f t="shared" si="37"/>
        <v>173731</v>
      </c>
    </row>
    <row r="71" spans="1:23" ht="15.75" hidden="1" thickBot="1">
      <c r="A71" s="138">
        <v>42217</v>
      </c>
      <c r="B71" s="139">
        <f t="shared" si="38"/>
        <v>0</v>
      </c>
      <c r="C71" s="18">
        <v>0</v>
      </c>
      <c r="D71" s="18">
        <f t="shared" si="39"/>
        <v>0</v>
      </c>
      <c r="E71" s="18">
        <v>0</v>
      </c>
      <c r="F71" s="18">
        <f t="shared" si="40"/>
        <v>53303</v>
      </c>
      <c r="G71" s="18">
        <f t="shared" si="41"/>
        <v>53303</v>
      </c>
      <c r="H71" s="18">
        <f t="shared" si="42"/>
        <v>0</v>
      </c>
      <c r="I71" s="18">
        <f t="shared" si="42"/>
        <v>53303</v>
      </c>
      <c r="J71" s="235">
        <f t="shared" si="43"/>
        <v>53303</v>
      </c>
      <c r="K71" s="18">
        <v>0</v>
      </c>
      <c r="L71" s="18">
        <v>0</v>
      </c>
      <c r="M71" s="18">
        <f t="shared" si="44"/>
        <v>0</v>
      </c>
      <c r="N71" s="18">
        <v>53303</v>
      </c>
      <c r="O71" s="18">
        <v>0</v>
      </c>
      <c r="P71" s="236">
        <f t="shared" si="45"/>
        <v>53303</v>
      </c>
      <c r="Q71" s="18">
        <f t="shared" si="33"/>
        <v>0</v>
      </c>
      <c r="R71" s="18">
        <f t="shared" si="33"/>
        <v>0</v>
      </c>
      <c r="S71" s="18">
        <f t="shared" si="34"/>
        <v>0</v>
      </c>
      <c r="T71" s="18">
        <f t="shared" si="35"/>
        <v>0</v>
      </c>
      <c r="U71" s="18">
        <f t="shared" si="35"/>
        <v>227034</v>
      </c>
      <c r="V71" s="18">
        <f t="shared" si="36"/>
        <v>227034</v>
      </c>
      <c r="W71" s="140">
        <f t="shared" si="37"/>
        <v>227034</v>
      </c>
    </row>
    <row r="72" spans="1:23" ht="15.75" hidden="1" thickBot="1">
      <c r="A72" s="138">
        <v>42248</v>
      </c>
      <c r="B72" s="139">
        <f t="shared" si="38"/>
        <v>0</v>
      </c>
      <c r="C72" s="18">
        <v>0</v>
      </c>
      <c r="D72" s="18">
        <f t="shared" si="39"/>
        <v>0</v>
      </c>
      <c r="E72" s="18">
        <v>0</v>
      </c>
      <c r="F72" s="18">
        <f t="shared" si="40"/>
        <v>0</v>
      </c>
      <c r="G72" s="18">
        <f t="shared" si="41"/>
        <v>0</v>
      </c>
      <c r="H72" s="18">
        <f t="shared" si="42"/>
        <v>0</v>
      </c>
      <c r="I72" s="18">
        <f t="shared" si="42"/>
        <v>0</v>
      </c>
      <c r="J72" s="235">
        <f t="shared" si="43"/>
        <v>0</v>
      </c>
      <c r="K72" s="18">
        <v>0</v>
      </c>
      <c r="L72" s="18">
        <v>0</v>
      </c>
      <c r="M72" s="18">
        <f t="shared" si="44"/>
        <v>0</v>
      </c>
      <c r="N72" s="18">
        <v>0</v>
      </c>
      <c r="O72" s="18">
        <v>0</v>
      </c>
      <c r="P72" s="236">
        <f t="shared" si="45"/>
        <v>0</v>
      </c>
      <c r="Q72" s="18">
        <f t="shared" si="33"/>
        <v>0</v>
      </c>
      <c r="R72" s="18">
        <f t="shared" si="33"/>
        <v>0</v>
      </c>
      <c r="S72" s="18">
        <f t="shared" si="34"/>
        <v>0</v>
      </c>
      <c r="T72" s="18">
        <f t="shared" si="35"/>
        <v>0</v>
      </c>
      <c r="U72" s="18">
        <f t="shared" si="35"/>
        <v>227034</v>
      </c>
      <c r="V72" s="18">
        <f t="shared" si="36"/>
        <v>227034</v>
      </c>
      <c r="W72" s="140">
        <f t="shared" si="37"/>
        <v>227034</v>
      </c>
    </row>
    <row r="73" spans="1:23" ht="15.75" hidden="1" thickBot="1">
      <c r="A73" s="138">
        <v>42278</v>
      </c>
      <c r="B73" s="139">
        <f t="shared" si="38"/>
        <v>0</v>
      </c>
      <c r="C73" s="18">
        <v>0</v>
      </c>
      <c r="D73" s="18">
        <f t="shared" si="39"/>
        <v>0</v>
      </c>
      <c r="E73" s="18">
        <v>0</v>
      </c>
      <c r="F73" s="18">
        <f t="shared" si="40"/>
        <v>0</v>
      </c>
      <c r="G73" s="18">
        <f t="shared" si="41"/>
        <v>0</v>
      </c>
      <c r="H73" s="18">
        <f t="shared" si="42"/>
        <v>0</v>
      </c>
      <c r="I73" s="18">
        <f t="shared" si="42"/>
        <v>0</v>
      </c>
      <c r="J73" s="235">
        <f t="shared" si="43"/>
        <v>0</v>
      </c>
      <c r="K73" s="18">
        <v>0</v>
      </c>
      <c r="L73" s="18">
        <v>0</v>
      </c>
      <c r="M73" s="18">
        <f t="shared" si="44"/>
        <v>0</v>
      </c>
      <c r="N73" s="18">
        <v>0</v>
      </c>
      <c r="O73" s="18">
        <v>0</v>
      </c>
      <c r="P73" s="236">
        <f t="shared" si="45"/>
        <v>0</v>
      </c>
      <c r="Q73" s="18">
        <f t="shared" si="33"/>
        <v>0</v>
      </c>
      <c r="R73" s="18">
        <f t="shared" si="33"/>
        <v>0</v>
      </c>
      <c r="S73" s="18">
        <f t="shared" si="34"/>
        <v>0</v>
      </c>
      <c r="T73" s="18">
        <f t="shared" si="35"/>
        <v>0</v>
      </c>
      <c r="U73" s="18">
        <f t="shared" si="35"/>
        <v>227034</v>
      </c>
      <c r="V73" s="18">
        <f t="shared" si="36"/>
        <v>227034</v>
      </c>
      <c r="W73" s="140">
        <f t="shared" si="37"/>
        <v>227034</v>
      </c>
    </row>
    <row r="74" spans="1:23" ht="15.75" hidden="1" thickBot="1">
      <c r="A74" s="138">
        <v>42309</v>
      </c>
      <c r="B74" s="139">
        <f t="shared" si="38"/>
        <v>0</v>
      </c>
      <c r="C74" s="18">
        <v>0</v>
      </c>
      <c r="D74" s="18">
        <f t="shared" si="39"/>
        <v>0</v>
      </c>
      <c r="E74" s="18">
        <v>0</v>
      </c>
      <c r="F74" s="18">
        <f t="shared" si="40"/>
        <v>48281</v>
      </c>
      <c r="G74" s="18">
        <f t="shared" si="41"/>
        <v>48281</v>
      </c>
      <c r="H74" s="18">
        <f t="shared" si="42"/>
        <v>0</v>
      </c>
      <c r="I74" s="18">
        <f t="shared" si="42"/>
        <v>48281</v>
      </c>
      <c r="J74" s="235">
        <f t="shared" si="43"/>
        <v>48281</v>
      </c>
      <c r="K74" s="18">
        <v>0</v>
      </c>
      <c r="L74" s="18">
        <v>0</v>
      </c>
      <c r="M74" s="18">
        <f t="shared" si="44"/>
        <v>0</v>
      </c>
      <c r="N74" s="18">
        <v>48281</v>
      </c>
      <c r="O74" s="18">
        <v>0</v>
      </c>
      <c r="P74" s="236">
        <f t="shared" si="45"/>
        <v>48281</v>
      </c>
      <c r="Q74" s="18">
        <f t="shared" si="33"/>
        <v>0</v>
      </c>
      <c r="R74" s="18">
        <f t="shared" si="33"/>
        <v>0</v>
      </c>
      <c r="S74" s="18">
        <f t="shared" si="34"/>
        <v>0</v>
      </c>
      <c r="T74" s="18">
        <f t="shared" si="35"/>
        <v>0</v>
      </c>
      <c r="U74" s="18">
        <f t="shared" si="35"/>
        <v>275315</v>
      </c>
      <c r="V74" s="18">
        <f t="shared" si="36"/>
        <v>275315</v>
      </c>
      <c r="W74" s="140">
        <f t="shared" si="37"/>
        <v>275315</v>
      </c>
    </row>
    <row r="75" spans="1:23" ht="15.75" hidden="1" thickBot="1">
      <c r="A75" s="138">
        <v>42339</v>
      </c>
      <c r="B75" s="139">
        <f t="shared" si="38"/>
        <v>0</v>
      </c>
      <c r="C75" s="18">
        <v>0</v>
      </c>
      <c r="D75" s="18">
        <f t="shared" si="39"/>
        <v>0</v>
      </c>
      <c r="E75" s="18">
        <v>0</v>
      </c>
      <c r="F75" s="18">
        <f t="shared" si="40"/>
        <v>0</v>
      </c>
      <c r="G75" s="18">
        <f t="shared" si="41"/>
        <v>0</v>
      </c>
      <c r="H75" s="18">
        <f t="shared" si="42"/>
        <v>0</v>
      </c>
      <c r="I75" s="18">
        <f t="shared" si="42"/>
        <v>0</v>
      </c>
      <c r="J75" s="235">
        <f t="shared" si="43"/>
        <v>0</v>
      </c>
      <c r="K75" s="18">
        <v>0</v>
      </c>
      <c r="L75" s="18">
        <v>0</v>
      </c>
      <c r="M75" s="18">
        <f t="shared" si="44"/>
        <v>0</v>
      </c>
      <c r="N75" s="18">
        <v>0</v>
      </c>
      <c r="O75" s="18">
        <v>0</v>
      </c>
      <c r="P75" s="236">
        <f t="shared" si="45"/>
        <v>0</v>
      </c>
      <c r="Q75" s="18">
        <f t="shared" si="33"/>
        <v>0</v>
      </c>
      <c r="R75" s="18">
        <f t="shared" si="33"/>
        <v>0</v>
      </c>
      <c r="S75" s="18">
        <f t="shared" si="34"/>
        <v>0</v>
      </c>
      <c r="T75" s="18">
        <f t="shared" si="35"/>
        <v>0</v>
      </c>
      <c r="U75" s="18">
        <f t="shared" si="35"/>
        <v>275315</v>
      </c>
      <c r="V75" s="18">
        <f t="shared" si="36"/>
        <v>275315</v>
      </c>
      <c r="W75" s="140">
        <f t="shared" si="37"/>
        <v>275315</v>
      </c>
    </row>
    <row r="76" spans="1:23">
      <c r="A76" s="138">
        <v>42370</v>
      </c>
      <c r="B76" s="142">
        <f t="shared" si="38"/>
        <v>0</v>
      </c>
      <c r="C76" s="143">
        <v>0</v>
      </c>
      <c r="D76" s="143">
        <f t="shared" si="39"/>
        <v>0</v>
      </c>
      <c r="E76" s="143">
        <v>0</v>
      </c>
      <c r="F76" s="143">
        <f t="shared" si="40"/>
        <v>0</v>
      </c>
      <c r="G76" s="143">
        <f t="shared" si="41"/>
        <v>0</v>
      </c>
      <c r="H76" s="143">
        <f t="shared" si="42"/>
        <v>0</v>
      </c>
      <c r="I76" s="143">
        <f t="shared" si="42"/>
        <v>0</v>
      </c>
      <c r="J76" s="237">
        <f t="shared" si="43"/>
        <v>0</v>
      </c>
      <c r="K76" s="143">
        <v>0</v>
      </c>
      <c r="L76" s="143">
        <v>0</v>
      </c>
      <c r="M76" s="143">
        <f t="shared" si="44"/>
        <v>0</v>
      </c>
      <c r="N76" s="143">
        <v>0</v>
      </c>
      <c r="O76" s="143">
        <v>0</v>
      </c>
      <c r="P76" s="238">
        <f t="shared" si="45"/>
        <v>0</v>
      </c>
      <c r="Q76" s="143">
        <f>B76</f>
        <v>0</v>
      </c>
      <c r="R76" s="143">
        <f>C76</f>
        <v>0</v>
      </c>
      <c r="S76" s="143">
        <f>R76+Q76</f>
        <v>0</v>
      </c>
      <c r="T76" s="143">
        <f>E76</f>
        <v>0</v>
      </c>
      <c r="U76" s="143">
        <f>F76</f>
        <v>0</v>
      </c>
      <c r="V76" s="143">
        <f>U76+T76</f>
        <v>0</v>
      </c>
      <c r="W76" s="144">
        <f>V76+S76</f>
        <v>0</v>
      </c>
    </row>
    <row r="77" spans="1:23">
      <c r="A77" s="138">
        <v>42401</v>
      </c>
      <c r="B77" s="139">
        <f t="shared" si="38"/>
        <v>0</v>
      </c>
      <c r="C77" s="18">
        <v>0</v>
      </c>
      <c r="D77" s="18">
        <f t="shared" si="39"/>
        <v>0</v>
      </c>
      <c r="E77" s="18">
        <v>0</v>
      </c>
      <c r="F77" s="18">
        <f t="shared" si="40"/>
        <v>0</v>
      </c>
      <c r="G77" s="18">
        <f t="shared" si="41"/>
        <v>0</v>
      </c>
      <c r="H77" s="18">
        <f t="shared" si="42"/>
        <v>0</v>
      </c>
      <c r="I77" s="18">
        <f t="shared" si="42"/>
        <v>0</v>
      </c>
      <c r="J77" s="235">
        <f t="shared" si="43"/>
        <v>0</v>
      </c>
      <c r="K77" s="18">
        <v>0</v>
      </c>
      <c r="L77" s="18">
        <v>0</v>
      </c>
      <c r="M77" s="18">
        <f t="shared" si="44"/>
        <v>0</v>
      </c>
      <c r="N77" s="18">
        <v>0</v>
      </c>
      <c r="O77" s="18">
        <v>0</v>
      </c>
      <c r="P77" s="236">
        <f t="shared" si="45"/>
        <v>0</v>
      </c>
      <c r="Q77" s="18">
        <f>Q76+B77</f>
        <v>0</v>
      </c>
      <c r="R77" s="18">
        <f>R76+C77</f>
        <v>0</v>
      </c>
      <c r="S77" s="18">
        <f>R77+Q77</f>
        <v>0</v>
      </c>
      <c r="T77" s="18">
        <f>T76+E77</f>
        <v>0</v>
      </c>
      <c r="U77" s="18">
        <f>U76+F77</f>
        <v>0</v>
      </c>
      <c r="V77" s="18">
        <f>U77+T77</f>
        <v>0</v>
      </c>
      <c r="W77" s="140">
        <f>V77+S77</f>
        <v>0</v>
      </c>
    </row>
    <row r="78" spans="1:23">
      <c r="A78" s="138">
        <v>42430</v>
      </c>
      <c r="B78" s="139">
        <f t="shared" si="38"/>
        <v>0</v>
      </c>
      <c r="C78" s="18">
        <v>0</v>
      </c>
      <c r="D78" s="18">
        <f t="shared" si="39"/>
        <v>0</v>
      </c>
      <c r="E78" s="18">
        <v>0</v>
      </c>
      <c r="F78" s="18">
        <f t="shared" si="40"/>
        <v>127593</v>
      </c>
      <c r="G78" s="18">
        <f t="shared" si="41"/>
        <v>127593</v>
      </c>
      <c r="H78" s="18">
        <f t="shared" si="42"/>
        <v>0</v>
      </c>
      <c r="I78" s="18">
        <f t="shared" si="42"/>
        <v>127593</v>
      </c>
      <c r="J78" s="235">
        <f t="shared" si="43"/>
        <v>127593</v>
      </c>
      <c r="K78" s="18">
        <v>0</v>
      </c>
      <c r="L78" s="18">
        <v>0</v>
      </c>
      <c r="M78" s="18">
        <f t="shared" si="44"/>
        <v>0</v>
      </c>
      <c r="N78" s="18">
        <v>127593</v>
      </c>
      <c r="O78" s="18">
        <v>0</v>
      </c>
      <c r="P78" s="236">
        <f t="shared" si="45"/>
        <v>127593</v>
      </c>
      <c r="Q78" s="18">
        <f t="shared" ref="Q78:R87" si="46">Q77+B78</f>
        <v>0</v>
      </c>
      <c r="R78" s="18">
        <f t="shared" si="46"/>
        <v>0</v>
      </c>
      <c r="S78" s="18">
        <f t="shared" ref="S78:S87" si="47">R78+Q78</f>
        <v>0</v>
      </c>
      <c r="T78" s="18">
        <f t="shared" ref="T78:U87" si="48">T77+E78</f>
        <v>0</v>
      </c>
      <c r="U78" s="18">
        <f t="shared" si="48"/>
        <v>127593</v>
      </c>
      <c r="V78" s="18">
        <f t="shared" ref="V78:V87" si="49">U78+T78</f>
        <v>127593</v>
      </c>
      <c r="W78" s="140">
        <f t="shared" ref="W78:W87" si="50">V78+S78</f>
        <v>127593</v>
      </c>
    </row>
    <row r="79" spans="1:23">
      <c r="A79" s="138">
        <v>42461</v>
      </c>
      <c r="B79" s="139">
        <f t="shared" si="38"/>
        <v>0</v>
      </c>
      <c r="C79" s="18">
        <v>0</v>
      </c>
      <c r="D79" s="18">
        <f t="shared" si="39"/>
        <v>0</v>
      </c>
      <c r="E79" s="18">
        <v>0</v>
      </c>
      <c r="F79" s="18">
        <f t="shared" si="40"/>
        <v>0</v>
      </c>
      <c r="G79" s="18">
        <f t="shared" si="41"/>
        <v>0</v>
      </c>
      <c r="H79" s="18">
        <f t="shared" si="42"/>
        <v>0</v>
      </c>
      <c r="I79" s="18">
        <f t="shared" si="42"/>
        <v>0</v>
      </c>
      <c r="J79" s="235">
        <f t="shared" si="43"/>
        <v>0</v>
      </c>
      <c r="K79" s="18">
        <v>0</v>
      </c>
      <c r="L79" s="18">
        <v>0</v>
      </c>
      <c r="M79" s="18">
        <f t="shared" si="44"/>
        <v>0</v>
      </c>
      <c r="N79" s="18">
        <v>0</v>
      </c>
      <c r="O79" s="18">
        <v>0</v>
      </c>
      <c r="P79" s="236">
        <f t="shared" si="45"/>
        <v>0</v>
      </c>
      <c r="Q79" s="18">
        <f t="shared" si="46"/>
        <v>0</v>
      </c>
      <c r="R79" s="18">
        <f t="shared" si="46"/>
        <v>0</v>
      </c>
      <c r="S79" s="18">
        <f t="shared" si="47"/>
        <v>0</v>
      </c>
      <c r="T79" s="18">
        <f t="shared" si="48"/>
        <v>0</v>
      </c>
      <c r="U79" s="18">
        <f t="shared" si="48"/>
        <v>127593</v>
      </c>
      <c r="V79" s="18">
        <f t="shared" si="49"/>
        <v>127593</v>
      </c>
      <c r="W79" s="140">
        <f t="shared" si="50"/>
        <v>127593</v>
      </c>
    </row>
    <row r="80" spans="1:23">
      <c r="A80" s="138">
        <v>42491</v>
      </c>
      <c r="B80" s="139">
        <f t="shared" si="38"/>
        <v>0</v>
      </c>
      <c r="C80" s="18">
        <v>0</v>
      </c>
      <c r="D80" s="18">
        <f t="shared" si="39"/>
        <v>0</v>
      </c>
      <c r="E80" s="18">
        <v>0</v>
      </c>
      <c r="F80" s="18">
        <f t="shared" si="40"/>
        <v>0</v>
      </c>
      <c r="G80" s="18">
        <f t="shared" si="41"/>
        <v>0</v>
      </c>
      <c r="H80" s="18">
        <f t="shared" si="42"/>
        <v>0</v>
      </c>
      <c r="I80" s="18">
        <f t="shared" si="42"/>
        <v>0</v>
      </c>
      <c r="J80" s="235">
        <f t="shared" si="43"/>
        <v>0</v>
      </c>
      <c r="K80" s="18">
        <v>0</v>
      </c>
      <c r="L80" s="18">
        <v>0</v>
      </c>
      <c r="M80" s="18">
        <f t="shared" si="44"/>
        <v>0</v>
      </c>
      <c r="N80" s="18">
        <v>0</v>
      </c>
      <c r="O80" s="18">
        <v>0</v>
      </c>
      <c r="P80" s="236">
        <f t="shared" si="45"/>
        <v>0</v>
      </c>
      <c r="Q80" s="18">
        <f t="shared" si="46"/>
        <v>0</v>
      </c>
      <c r="R80" s="18">
        <f t="shared" si="46"/>
        <v>0</v>
      </c>
      <c r="S80" s="18">
        <f t="shared" si="47"/>
        <v>0</v>
      </c>
      <c r="T80" s="18">
        <f t="shared" si="48"/>
        <v>0</v>
      </c>
      <c r="U80" s="18">
        <f t="shared" si="48"/>
        <v>127593</v>
      </c>
      <c r="V80" s="18">
        <f t="shared" si="49"/>
        <v>127593</v>
      </c>
      <c r="W80" s="140">
        <f t="shared" si="50"/>
        <v>127593</v>
      </c>
    </row>
    <row r="81" spans="1:23">
      <c r="A81" s="138">
        <v>42522</v>
      </c>
      <c r="B81" s="139">
        <f t="shared" si="38"/>
        <v>0</v>
      </c>
      <c r="C81" s="18">
        <v>0</v>
      </c>
      <c r="D81" s="18">
        <f t="shared" si="39"/>
        <v>0</v>
      </c>
      <c r="E81" s="18">
        <v>0</v>
      </c>
      <c r="F81" s="18">
        <f t="shared" si="40"/>
        <v>0</v>
      </c>
      <c r="G81" s="18">
        <f t="shared" si="41"/>
        <v>0</v>
      </c>
      <c r="H81" s="18">
        <f t="shared" si="42"/>
        <v>0</v>
      </c>
      <c r="I81" s="18">
        <f t="shared" si="42"/>
        <v>0</v>
      </c>
      <c r="J81" s="235">
        <f t="shared" si="43"/>
        <v>0</v>
      </c>
      <c r="K81" s="18">
        <v>0</v>
      </c>
      <c r="L81" s="18">
        <v>0</v>
      </c>
      <c r="M81" s="18">
        <f t="shared" si="44"/>
        <v>0</v>
      </c>
      <c r="N81" s="18">
        <v>0</v>
      </c>
      <c r="O81" s="18">
        <v>0</v>
      </c>
      <c r="P81" s="236">
        <f t="shared" si="45"/>
        <v>0</v>
      </c>
      <c r="Q81" s="18">
        <f t="shared" si="46"/>
        <v>0</v>
      </c>
      <c r="R81" s="18">
        <f t="shared" si="46"/>
        <v>0</v>
      </c>
      <c r="S81" s="18">
        <f t="shared" si="47"/>
        <v>0</v>
      </c>
      <c r="T81" s="18">
        <f t="shared" si="48"/>
        <v>0</v>
      </c>
      <c r="U81" s="18">
        <f t="shared" si="48"/>
        <v>127593</v>
      </c>
      <c r="V81" s="18">
        <f t="shared" si="49"/>
        <v>127593</v>
      </c>
      <c r="W81" s="140">
        <f t="shared" si="50"/>
        <v>127593</v>
      </c>
    </row>
    <row r="82" spans="1:23">
      <c r="A82" s="138">
        <v>42552</v>
      </c>
      <c r="B82" s="139">
        <f t="shared" si="38"/>
        <v>0</v>
      </c>
      <c r="C82" s="18">
        <v>0</v>
      </c>
      <c r="D82" s="18">
        <f t="shared" si="39"/>
        <v>0</v>
      </c>
      <c r="E82" s="18">
        <v>0</v>
      </c>
      <c r="F82" s="18">
        <f t="shared" si="40"/>
        <v>0</v>
      </c>
      <c r="G82" s="18">
        <f t="shared" si="41"/>
        <v>0</v>
      </c>
      <c r="H82" s="18">
        <f t="shared" si="42"/>
        <v>0</v>
      </c>
      <c r="I82" s="18">
        <f t="shared" si="42"/>
        <v>0</v>
      </c>
      <c r="J82" s="235">
        <f t="shared" si="43"/>
        <v>0</v>
      </c>
      <c r="K82" s="18">
        <v>0</v>
      </c>
      <c r="L82" s="18">
        <v>0</v>
      </c>
      <c r="M82" s="18">
        <f t="shared" si="44"/>
        <v>0</v>
      </c>
      <c r="N82" s="18">
        <v>0</v>
      </c>
      <c r="O82" s="18">
        <v>0</v>
      </c>
      <c r="P82" s="236">
        <f t="shared" si="45"/>
        <v>0</v>
      </c>
      <c r="Q82" s="18">
        <f t="shared" si="46"/>
        <v>0</v>
      </c>
      <c r="R82" s="18">
        <f t="shared" si="46"/>
        <v>0</v>
      </c>
      <c r="S82" s="18">
        <f t="shared" si="47"/>
        <v>0</v>
      </c>
      <c r="T82" s="18">
        <f t="shared" si="48"/>
        <v>0</v>
      </c>
      <c r="U82" s="18">
        <f t="shared" si="48"/>
        <v>127593</v>
      </c>
      <c r="V82" s="18">
        <f t="shared" si="49"/>
        <v>127593</v>
      </c>
      <c r="W82" s="140">
        <f t="shared" si="50"/>
        <v>127593</v>
      </c>
    </row>
    <row r="83" spans="1:23">
      <c r="A83" s="138">
        <v>42583</v>
      </c>
      <c r="B83" s="139">
        <f t="shared" si="38"/>
        <v>0</v>
      </c>
      <c r="C83" s="18">
        <v>0</v>
      </c>
      <c r="D83" s="18">
        <f t="shared" si="39"/>
        <v>0</v>
      </c>
      <c r="E83" s="18">
        <v>0</v>
      </c>
      <c r="F83" s="18">
        <f t="shared" si="40"/>
        <v>0</v>
      </c>
      <c r="G83" s="18">
        <f t="shared" si="41"/>
        <v>0</v>
      </c>
      <c r="H83" s="18">
        <f t="shared" si="42"/>
        <v>0</v>
      </c>
      <c r="I83" s="18">
        <f t="shared" si="42"/>
        <v>0</v>
      </c>
      <c r="J83" s="235">
        <f t="shared" si="43"/>
        <v>0</v>
      </c>
      <c r="K83" s="18">
        <v>0</v>
      </c>
      <c r="L83" s="18">
        <v>0</v>
      </c>
      <c r="M83" s="18">
        <f t="shared" si="44"/>
        <v>0</v>
      </c>
      <c r="N83" s="18">
        <v>0</v>
      </c>
      <c r="O83" s="18">
        <v>0</v>
      </c>
      <c r="P83" s="236">
        <f t="shared" si="45"/>
        <v>0</v>
      </c>
      <c r="Q83" s="18">
        <f t="shared" si="46"/>
        <v>0</v>
      </c>
      <c r="R83" s="18">
        <f t="shared" si="46"/>
        <v>0</v>
      </c>
      <c r="S83" s="18">
        <f t="shared" si="47"/>
        <v>0</v>
      </c>
      <c r="T83" s="18">
        <f t="shared" si="48"/>
        <v>0</v>
      </c>
      <c r="U83" s="18">
        <f t="shared" si="48"/>
        <v>127593</v>
      </c>
      <c r="V83" s="18">
        <f t="shared" si="49"/>
        <v>127593</v>
      </c>
      <c r="W83" s="140">
        <f t="shared" si="50"/>
        <v>127593</v>
      </c>
    </row>
    <row r="84" spans="1:23">
      <c r="A84" s="138">
        <v>42614</v>
      </c>
      <c r="B84" s="139">
        <f t="shared" si="38"/>
        <v>0</v>
      </c>
      <c r="C84" s="18">
        <v>0</v>
      </c>
      <c r="D84" s="18">
        <f t="shared" si="39"/>
        <v>0</v>
      </c>
      <c r="E84" s="18">
        <v>0</v>
      </c>
      <c r="F84" s="18">
        <f t="shared" si="40"/>
        <v>99563</v>
      </c>
      <c r="G84" s="18">
        <f t="shared" si="41"/>
        <v>99563</v>
      </c>
      <c r="H84" s="18">
        <f t="shared" si="42"/>
        <v>0</v>
      </c>
      <c r="I84" s="18">
        <f t="shared" si="42"/>
        <v>99563</v>
      </c>
      <c r="J84" s="235">
        <f t="shared" si="43"/>
        <v>99563</v>
      </c>
      <c r="K84" s="18">
        <v>0</v>
      </c>
      <c r="L84" s="18">
        <v>0</v>
      </c>
      <c r="M84" s="18">
        <f t="shared" si="44"/>
        <v>0</v>
      </c>
      <c r="N84" s="18">
        <v>99563</v>
      </c>
      <c r="O84" s="18">
        <v>0</v>
      </c>
      <c r="P84" s="236">
        <f t="shared" si="45"/>
        <v>99563</v>
      </c>
      <c r="Q84" s="18">
        <f t="shared" si="46"/>
        <v>0</v>
      </c>
      <c r="R84" s="18">
        <f t="shared" si="46"/>
        <v>0</v>
      </c>
      <c r="S84" s="18">
        <f t="shared" si="47"/>
        <v>0</v>
      </c>
      <c r="T84" s="18">
        <f t="shared" si="48"/>
        <v>0</v>
      </c>
      <c r="U84" s="18">
        <f t="shared" si="48"/>
        <v>227156</v>
      </c>
      <c r="V84" s="18">
        <f t="shared" si="49"/>
        <v>227156</v>
      </c>
      <c r="W84" s="140">
        <f t="shared" si="50"/>
        <v>227156</v>
      </c>
    </row>
    <row r="85" spans="1:23">
      <c r="A85" s="138">
        <v>42644</v>
      </c>
      <c r="B85" s="139">
        <f t="shared" si="38"/>
        <v>0</v>
      </c>
      <c r="C85" s="18">
        <v>0</v>
      </c>
      <c r="D85" s="18">
        <f t="shared" si="39"/>
        <v>0</v>
      </c>
      <c r="E85" s="18">
        <v>0</v>
      </c>
      <c r="F85" s="18">
        <f t="shared" si="40"/>
        <v>229819</v>
      </c>
      <c r="G85" s="18">
        <f t="shared" si="41"/>
        <v>229819</v>
      </c>
      <c r="H85" s="18">
        <f t="shared" si="42"/>
        <v>0</v>
      </c>
      <c r="I85" s="18">
        <f t="shared" si="42"/>
        <v>229819</v>
      </c>
      <c r="J85" s="235">
        <f t="shared" si="43"/>
        <v>229819</v>
      </c>
      <c r="K85" s="18">
        <v>0</v>
      </c>
      <c r="L85" s="18">
        <v>0</v>
      </c>
      <c r="M85" s="18">
        <f t="shared" si="44"/>
        <v>0</v>
      </c>
      <c r="N85" s="18">
        <v>229819</v>
      </c>
      <c r="O85" s="18">
        <v>0</v>
      </c>
      <c r="P85" s="236">
        <f t="shared" si="45"/>
        <v>229819</v>
      </c>
      <c r="Q85" s="18">
        <f t="shared" si="46"/>
        <v>0</v>
      </c>
      <c r="R85" s="18">
        <f t="shared" si="46"/>
        <v>0</v>
      </c>
      <c r="S85" s="18">
        <f t="shared" si="47"/>
        <v>0</v>
      </c>
      <c r="T85" s="18">
        <f t="shared" si="48"/>
        <v>0</v>
      </c>
      <c r="U85" s="18">
        <f t="shared" si="48"/>
        <v>456975</v>
      </c>
      <c r="V85" s="18">
        <f t="shared" si="49"/>
        <v>456975</v>
      </c>
      <c r="W85" s="140">
        <f t="shared" si="50"/>
        <v>456975</v>
      </c>
    </row>
    <row r="86" spans="1:23">
      <c r="A86" s="138">
        <v>42675</v>
      </c>
      <c r="B86" s="139">
        <f t="shared" si="38"/>
        <v>0</v>
      </c>
      <c r="C86" s="18">
        <v>0</v>
      </c>
      <c r="D86" s="18">
        <f t="shared" si="39"/>
        <v>0</v>
      </c>
      <c r="E86" s="18">
        <v>0</v>
      </c>
      <c r="F86" s="18">
        <f t="shared" si="40"/>
        <v>77454</v>
      </c>
      <c r="G86" s="18">
        <f t="shared" si="41"/>
        <v>77454</v>
      </c>
      <c r="H86" s="18">
        <f t="shared" si="42"/>
        <v>0</v>
      </c>
      <c r="I86" s="18">
        <f t="shared" si="42"/>
        <v>77454</v>
      </c>
      <c r="J86" s="235">
        <f t="shared" si="43"/>
        <v>77454</v>
      </c>
      <c r="K86" s="18">
        <v>0</v>
      </c>
      <c r="L86" s="18">
        <v>0</v>
      </c>
      <c r="M86" s="18">
        <f t="shared" si="44"/>
        <v>0</v>
      </c>
      <c r="N86" s="18">
        <v>77454</v>
      </c>
      <c r="O86" s="18">
        <v>0</v>
      </c>
      <c r="P86" s="236">
        <f t="shared" si="45"/>
        <v>77454</v>
      </c>
      <c r="Q86" s="18">
        <f t="shared" si="46"/>
        <v>0</v>
      </c>
      <c r="R86" s="18">
        <f t="shared" si="46"/>
        <v>0</v>
      </c>
      <c r="S86" s="18">
        <f t="shared" si="47"/>
        <v>0</v>
      </c>
      <c r="T86" s="18">
        <f t="shared" si="48"/>
        <v>0</v>
      </c>
      <c r="U86" s="18">
        <f t="shared" si="48"/>
        <v>534429</v>
      </c>
      <c r="V86" s="18">
        <f t="shared" si="49"/>
        <v>534429</v>
      </c>
      <c r="W86" s="140">
        <f t="shared" si="50"/>
        <v>534429</v>
      </c>
    </row>
    <row r="87" spans="1:23" ht="15.75" thickBot="1">
      <c r="A87" s="138">
        <v>42705</v>
      </c>
      <c r="B87" s="139">
        <f t="shared" si="38"/>
        <v>0</v>
      </c>
      <c r="C87" s="18">
        <v>0</v>
      </c>
      <c r="D87" s="18">
        <f t="shared" si="39"/>
        <v>0</v>
      </c>
      <c r="E87" s="18">
        <v>0</v>
      </c>
      <c r="F87" s="18">
        <f t="shared" si="40"/>
        <v>0</v>
      </c>
      <c r="G87" s="18">
        <f t="shared" si="41"/>
        <v>0</v>
      </c>
      <c r="H87" s="18">
        <f t="shared" si="42"/>
        <v>0</v>
      </c>
      <c r="I87" s="18">
        <f t="shared" si="42"/>
        <v>0</v>
      </c>
      <c r="J87" s="235">
        <f t="shared" si="43"/>
        <v>0</v>
      </c>
      <c r="K87" s="18">
        <v>0</v>
      </c>
      <c r="L87" s="18">
        <v>0</v>
      </c>
      <c r="M87" s="18">
        <f t="shared" si="44"/>
        <v>0</v>
      </c>
      <c r="N87" s="18">
        <v>0</v>
      </c>
      <c r="O87" s="18">
        <v>0</v>
      </c>
      <c r="P87" s="236">
        <f t="shared" si="45"/>
        <v>0</v>
      </c>
      <c r="Q87" s="18">
        <f t="shared" si="46"/>
        <v>0</v>
      </c>
      <c r="R87" s="18">
        <f t="shared" si="46"/>
        <v>0</v>
      </c>
      <c r="S87" s="18">
        <f t="shared" si="47"/>
        <v>0</v>
      </c>
      <c r="T87" s="18">
        <f t="shared" si="48"/>
        <v>0</v>
      </c>
      <c r="U87" s="18">
        <f t="shared" si="48"/>
        <v>534429</v>
      </c>
      <c r="V87" s="18">
        <f t="shared" si="49"/>
        <v>534429</v>
      </c>
      <c r="W87" s="140">
        <f t="shared" si="50"/>
        <v>534429</v>
      </c>
    </row>
    <row r="88" spans="1:23">
      <c r="A88" s="138">
        <v>42736</v>
      </c>
      <c r="B88" s="142">
        <f t="shared" si="38"/>
        <v>0</v>
      </c>
      <c r="C88" s="143">
        <v>0</v>
      </c>
      <c r="D88" s="143">
        <f t="shared" si="39"/>
        <v>0</v>
      </c>
      <c r="E88" s="143">
        <v>0</v>
      </c>
      <c r="F88" s="143">
        <f t="shared" si="40"/>
        <v>0</v>
      </c>
      <c r="G88" s="143">
        <f t="shared" si="41"/>
        <v>0</v>
      </c>
      <c r="H88" s="143">
        <f t="shared" si="42"/>
        <v>0</v>
      </c>
      <c r="I88" s="143">
        <f t="shared" si="42"/>
        <v>0</v>
      </c>
      <c r="J88" s="237">
        <f t="shared" si="43"/>
        <v>0</v>
      </c>
      <c r="K88" s="143">
        <v>0</v>
      </c>
      <c r="L88" s="143">
        <v>0</v>
      </c>
      <c r="M88" s="143">
        <f t="shared" si="44"/>
        <v>0</v>
      </c>
      <c r="N88" s="143">
        <v>0</v>
      </c>
      <c r="O88" s="143">
        <v>0</v>
      </c>
      <c r="P88" s="238">
        <f t="shared" si="45"/>
        <v>0</v>
      </c>
      <c r="Q88" s="143">
        <f>B88</f>
        <v>0</v>
      </c>
      <c r="R88" s="143">
        <f>C88</f>
        <v>0</v>
      </c>
      <c r="S88" s="143">
        <f>R88+Q88</f>
        <v>0</v>
      </c>
      <c r="T88" s="143">
        <f>E88</f>
        <v>0</v>
      </c>
      <c r="U88" s="143">
        <f>F88</f>
        <v>0</v>
      </c>
      <c r="V88" s="143">
        <f>U88+T88</f>
        <v>0</v>
      </c>
      <c r="W88" s="144">
        <f>V88+S88</f>
        <v>0</v>
      </c>
    </row>
    <row r="89" spans="1:23">
      <c r="A89" s="138">
        <v>42767</v>
      </c>
      <c r="B89" s="139">
        <f t="shared" si="38"/>
        <v>0</v>
      </c>
      <c r="C89" s="18">
        <v>0</v>
      </c>
      <c r="D89" s="18">
        <f t="shared" si="39"/>
        <v>0</v>
      </c>
      <c r="E89" s="18">
        <v>0</v>
      </c>
      <c r="F89" s="18">
        <f t="shared" si="40"/>
        <v>0</v>
      </c>
      <c r="G89" s="18">
        <f t="shared" si="41"/>
        <v>0</v>
      </c>
      <c r="H89" s="18">
        <f t="shared" si="42"/>
        <v>0</v>
      </c>
      <c r="I89" s="18">
        <f t="shared" si="42"/>
        <v>0</v>
      </c>
      <c r="J89" s="235">
        <f t="shared" si="43"/>
        <v>0</v>
      </c>
      <c r="K89" s="18">
        <v>0</v>
      </c>
      <c r="L89" s="18">
        <v>0</v>
      </c>
      <c r="M89" s="18">
        <f t="shared" si="44"/>
        <v>0</v>
      </c>
      <c r="N89" s="18">
        <v>0</v>
      </c>
      <c r="O89" s="18">
        <v>0</v>
      </c>
      <c r="P89" s="236">
        <f t="shared" si="45"/>
        <v>0</v>
      </c>
      <c r="Q89" s="18">
        <f>Q88+B89</f>
        <v>0</v>
      </c>
      <c r="R89" s="18">
        <f>R88+C89</f>
        <v>0</v>
      </c>
      <c r="S89" s="18">
        <f>R89+Q89</f>
        <v>0</v>
      </c>
      <c r="T89" s="18">
        <f>T88+E89</f>
        <v>0</v>
      </c>
      <c r="U89" s="18">
        <f>U88+F89</f>
        <v>0</v>
      </c>
      <c r="V89" s="18">
        <f>U89+T89</f>
        <v>0</v>
      </c>
      <c r="W89" s="140">
        <f>V89+S89</f>
        <v>0</v>
      </c>
    </row>
    <row r="90" spans="1:23">
      <c r="A90" s="138">
        <v>42795</v>
      </c>
      <c r="B90" s="139">
        <f t="shared" si="38"/>
        <v>0</v>
      </c>
      <c r="C90" s="18">
        <v>0</v>
      </c>
      <c r="D90" s="18">
        <f t="shared" si="39"/>
        <v>0</v>
      </c>
      <c r="E90" s="18">
        <v>0</v>
      </c>
      <c r="F90" s="18">
        <f t="shared" si="40"/>
        <v>0</v>
      </c>
      <c r="G90" s="18">
        <f t="shared" si="41"/>
        <v>0</v>
      </c>
      <c r="H90" s="18">
        <f t="shared" si="42"/>
        <v>0</v>
      </c>
      <c r="I90" s="18">
        <f t="shared" si="42"/>
        <v>0</v>
      </c>
      <c r="J90" s="235">
        <f t="shared" si="43"/>
        <v>0</v>
      </c>
      <c r="K90" s="18">
        <v>0</v>
      </c>
      <c r="L90" s="18">
        <v>0</v>
      </c>
      <c r="M90" s="18">
        <f t="shared" si="44"/>
        <v>0</v>
      </c>
      <c r="N90" s="18">
        <v>0</v>
      </c>
      <c r="O90" s="18">
        <v>0</v>
      </c>
      <c r="P90" s="236">
        <f t="shared" si="45"/>
        <v>0</v>
      </c>
      <c r="Q90" s="18">
        <f t="shared" ref="Q90:R99" si="51">Q89+B90</f>
        <v>0</v>
      </c>
      <c r="R90" s="18">
        <f t="shared" si="51"/>
        <v>0</v>
      </c>
      <c r="S90" s="18">
        <f t="shared" ref="S90:S99" si="52">R90+Q90</f>
        <v>0</v>
      </c>
      <c r="T90" s="18">
        <f t="shared" ref="T90:U99" si="53">T89+E90</f>
        <v>0</v>
      </c>
      <c r="U90" s="18">
        <f t="shared" si="53"/>
        <v>0</v>
      </c>
      <c r="V90" s="18">
        <f t="shared" ref="V90:V99" si="54">U90+T90</f>
        <v>0</v>
      </c>
      <c r="W90" s="140">
        <f t="shared" ref="W90:W99" si="55">V90+S90</f>
        <v>0</v>
      </c>
    </row>
    <row r="91" spans="1:23">
      <c r="A91" s="138">
        <v>42826</v>
      </c>
      <c r="B91" s="139">
        <f t="shared" si="38"/>
        <v>0</v>
      </c>
      <c r="C91" s="18">
        <v>0</v>
      </c>
      <c r="D91" s="18">
        <f t="shared" si="39"/>
        <v>0</v>
      </c>
      <c r="E91" s="18">
        <v>0</v>
      </c>
      <c r="F91" s="18">
        <f t="shared" si="40"/>
        <v>0</v>
      </c>
      <c r="G91" s="18">
        <f t="shared" si="41"/>
        <v>0</v>
      </c>
      <c r="H91" s="18">
        <f t="shared" si="42"/>
        <v>0</v>
      </c>
      <c r="I91" s="18">
        <f t="shared" si="42"/>
        <v>0</v>
      </c>
      <c r="J91" s="235">
        <f t="shared" si="43"/>
        <v>0</v>
      </c>
      <c r="K91" s="18">
        <v>0</v>
      </c>
      <c r="L91" s="18">
        <v>0</v>
      </c>
      <c r="M91" s="18">
        <f t="shared" si="44"/>
        <v>0</v>
      </c>
      <c r="N91" s="18">
        <v>0</v>
      </c>
      <c r="O91" s="18">
        <v>0</v>
      </c>
      <c r="P91" s="236">
        <f t="shared" si="45"/>
        <v>0</v>
      </c>
      <c r="Q91" s="18">
        <f t="shared" si="51"/>
        <v>0</v>
      </c>
      <c r="R91" s="18">
        <f t="shared" si="51"/>
        <v>0</v>
      </c>
      <c r="S91" s="18">
        <f t="shared" si="52"/>
        <v>0</v>
      </c>
      <c r="T91" s="18">
        <f t="shared" si="53"/>
        <v>0</v>
      </c>
      <c r="U91" s="18">
        <f t="shared" si="53"/>
        <v>0</v>
      </c>
      <c r="V91" s="18">
        <f t="shared" si="54"/>
        <v>0</v>
      </c>
      <c r="W91" s="140">
        <f t="shared" si="55"/>
        <v>0</v>
      </c>
    </row>
    <row r="92" spans="1:23">
      <c r="A92" s="138">
        <v>42856</v>
      </c>
      <c r="B92" s="139">
        <f t="shared" si="38"/>
        <v>0</v>
      </c>
      <c r="C92" s="18">
        <v>0</v>
      </c>
      <c r="D92" s="18">
        <f t="shared" si="39"/>
        <v>0</v>
      </c>
      <c r="E92" s="18">
        <v>0</v>
      </c>
      <c r="F92" s="18">
        <f t="shared" si="40"/>
        <v>0</v>
      </c>
      <c r="G92" s="18">
        <f t="shared" si="41"/>
        <v>0</v>
      </c>
      <c r="H92" s="18">
        <f t="shared" si="42"/>
        <v>0</v>
      </c>
      <c r="I92" s="18">
        <f t="shared" si="42"/>
        <v>0</v>
      </c>
      <c r="J92" s="235">
        <f t="shared" si="43"/>
        <v>0</v>
      </c>
      <c r="K92" s="18">
        <v>0</v>
      </c>
      <c r="L92" s="18">
        <v>0</v>
      </c>
      <c r="M92" s="18">
        <f t="shared" si="44"/>
        <v>0</v>
      </c>
      <c r="N92" s="18">
        <v>0</v>
      </c>
      <c r="O92" s="18">
        <v>0</v>
      </c>
      <c r="P92" s="236">
        <f t="shared" si="45"/>
        <v>0</v>
      </c>
      <c r="Q92" s="18">
        <f t="shared" si="51"/>
        <v>0</v>
      </c>
      <c r="R92" s="18">
        <f t="shared" si="51"/>
        <v>0</v>
      </c>
      <c r="S92" s="18">
        <f t="shared" si="52"/>
        <v>0</v>
      </c>
      <c r="T92" s="18">
        <f t="shared" si="53"/>
        <v>0</v>
      </c>
      <c r="U92" s="18">
        <f t="shared" si="53"/>
        <v>0</v>
      </c>
      <c r="V92" s="18">
        <f t="shared" si="54"/>
        <v>0</v>
      </c>
      <c r="W92" s="140">
        <f t="shared" si="55"/>
        <v>0</v>
      </c>
    </row>
    <row r="93" spans="1:23">
      <c r="A93" s="138">
        <v>42887</v>
      </c>
      <c r="B93" s="139">
        <f t="shared" si="38"/>
        <v>0</v>
      </c>
      <c r="C93" s="18">
        <v>0</v>
      </c>
      <c r="D93" s="18">
        <f t="shared" si="39"/>
        <v>0</v>
      </c>
      <c r="E93" s="18">
        <v>0</v>
      </c>
      <c r="F93" s="18">
        <f t="shared" si="40"/>
        <v>756020</v>
      </c>
      <c r="G93" s="18">
        <f t="shared" si="41"/>
        <v>756020</v>
      </c>
      <c r="H93" s="18">
        <f t="shared" si="42"/>
        <v>0</v>
      </c>
      <c r="I93" s="18">
        <f t="shared" si="42"/>
        <v>756020</v>
      </c>
      <c r="J93" s="235">
        <f t="shared" si="43"/>
        <v>756020</v>
      </c>
      <c r="K93" s="18">
        <v>0</v>
      </c>
      <c r="L93" s="18">
        <v>0</v>
      </c>
      <c r="M93" s="18">
        <f t="shared" si="44"/>
        <v>0</v>
      </c>
      <c r="N93" s="18">
        <v>756020</v>
      </c>
      <c r="O93" s="18">
        <v>0</v>
      </c>
      <c r="P93" s="236">
        <f t="shared" si="45"/>
        <v>756020</v>
      </c>
      <c r="Q93" s="18">
        <f t="shared" si="51"/>
        <v>0</v>
      </c>
      <c r="R93" s="18">
        <f t="shared" si="51"/>
        <v>0</v>
      </c>
      <c r="S93" s="18">
        <f t="shared" si="52"/>
        <v>0</v>
      </c>
      <c r="T93" s="18">
        <f t="shared" si="53"/>
        <v>0</v>
      </c>
      <c r="U93" s="18">
        <f t="shared" si="53"/>
        <v>756020</v>
      </c>
      <c r="V93" s="18">
        <f t="shared" si="54"/>
        <v>756020</v>
      </c>
      <c r="W93" s="140">
        <f t="shared" si="55"/>
        <v>756020</v>
      </c>
    </row>
    <row r="94" spans="1:23">
      <c r="A94" s="138">
        <v>42917</v>
      </c>
      <c r="B94" s="139">
        <f t="shared" si="38"/>
        <v>0</v>
      </c>
      <c r="C94" s="18">
        <v>0</v>
      </c>
      <c r="D94" s="18">
        <f t="shared" si="39"/>
        <v>0</v>
      </c>
      <c r="E94" s="18">
        <v>0</v>
      </c>
      <c r="F94" s="18">
        <f t="shared" si="40"/>
        <v>0</v>
      </c>
      <c r="G94" s="18">
        <f t="shared" si="41"/>
        <v>0</v>
      </c>
      <c r="H94" s="18">
        <f t="shared" si="42"/>
        <v>0</v>
      </c>
      <c r="I94" s="18">
        <f t="shared" si="42"/>
        <v>0</v>
      </c>
      <c r="J94" s="235">
        <f t="shared" si="43"/>
        <v>0</v>
      </c>
      <c r="K94" s="18">
        <v>0</v>
      </c>
      <c r="L94" s="18">
        <v>0</v>
      </c>
      <c r="M94" s="18">
        <f t="shared" si="44"/>
        <v>0</v>
      </c>
      <c r="N94" s="18">
        <v>0</v>
      </c>
      <c r="O94" s="18">
        <v>0</v>
      </c>
      <c r="P94" s="236">
        <f t="shared" si="45"/>
        <v>0</v>
      </c>
      <c r="Q94" s="18">
        <f t="shared" si="51"/>
        <v>0</v>
      </c>
      <c r="R94" s="18">
        <f t="shared" si="51"/>
        <v>0</v>
      </c>
      <c r="S94" s="18">
        <f t="shared" si="52"/>
        <v>0</v>
      </c>
      <c r="T94" s="18">
        <f t="shared" si="53"/>
        <v>0</v>
      </c>
      <c r="U94" s="18">
        <f t="shared" si="53"/>
        <v>756020</v>
      </c>
      <c r="V94" s="18">
        <f t="shared" si="54"/>
        <v>756020</v>
      </c>
      <c r="W94" s="140">
        <f t="shared" si="55"/>
        <v>756020</v>
      </c>
    </row>
    <row r="95" spans="1:23">
      <c r="A95" s="138">
        <v>42948</v>
      </c>
      <c r="B95" s="139">
        <f t="shared" si="38"/>
        <v>0</v>
      </c>
      <c r="C95" s="18">
        <v>0</v>
      </c>
      <c r="D95" s="18">
        <f t="shared" si="39"/>
        <v>0</v>
      </c>
      <c r="E95" s="18">
        <v>0</v>
      </c>
      <c r="F95" s="18">
        <f t="shared" si="40"/>
        <v>282632</v>
      </c>
      <c r="G95" s="18">
        <f t="shared" si="41"/>
        <v>282632</v>
      </c>
      <c r="H95" s="18">
        <f t="shared" si="42"/>
        <v>0</v>
      </c>
      <c r="I95" s="18">
        <f t="shared" si="42"/>
        <v>282632</v>
      </c>
      <c r="J95" s="235">
        <f t="shared" si="43"/>
        <v>282632</v>
      </c>
      <c r="K95" s="18">
        <v>0</v>
      </c>
      <c r="L95" s="18">
        <v>0</v>
      </c>
      <c r="M95" s="18">
        <f t="shared" si="44"/>
        <v>0</v>
      </c>
      <c r="N95" s="18">
        <v>282632</v>
      </c>
      <c r="O95" s="18">
        <v>0</v>
      </c>
      <c r="P95" s="236">
        <f t="shared" si="45"/>
        <v>282632</v>
      </c>
      <c r="Q95" s="18">
        <f t="shared" si="51"/>
        <v>0</v>
      </c>
      <c r="R95" s="18">
        <f t="shared" si="51"/>
        <v>0</v>
      </c>
      <c r="S95" s="18">
        <f t="shared" si="52"/>
        <v>0</v>
      </c>
      <c r="T95" s="18">
        <f t="shared" si="53"/>
        <v>0</v>
      </c>
      <c r="U95" s="18">
        <f t="shared" si="53"/>
        <v>1038652</v>
      </c>
      <c r="V95" s="18">
        <f t="shared" si="54"/>
        <v>1038652</v>
      </c>
      <c r="W95" s="140">
        <f t="shared" si="55"/>
        <v>1038652</v>
      </c>
    </row>
    <row r="96" spans="1:23">
      <c r="A96" s="138">
        <v>42979</v>
      </c>
      <c r="B96" s="139">
        <f t="shared" si="38"/>
        <v>0</v>
      </c>
      <c r="C96" s="18">
        <v>0</v>
      </c>
      <c r="D96" s="18">
        <f t="shared" si="39"/>
        <v>0</v>
      </c>
      <c r="E96" s="18">
        <v>0</v>
      </c>
      <c r="F96" s="18">
        <f t="shared" si="40"/>
        <v>0</v>
      </c>
      <c r="G96" s="18">
        <f t="shared" si="41"/>
        <v>0</v>
      </c>
      <c r="H96" s="18">
        <f t="shared" si="42"/>
        <v>0</v>
      </c>
      <c r="I96" s="18">
        <f t="shared" si="42"/>
        <v>0</v>
      </c>
      <c r="J96" s="235">
        <f t="shared" si="43"/>
        <v>0</v>
      </c>
      <c r="K96" s="18">
        <v>0</v>
      </c>
      <c r="L96" s="18">
        <v>0</v>
      </c>
      <c r="M96" s="18">
        <f t="shared" si="44"/>
        <v>0</v>
      </c>
      <c r="N96" s="18">
        <v>0</v>
      </c>
      <c r="O96" s="18">
        <v>0</v>
      </c>
      <c r="P96" s="236">
        <f t="shared" si="45"/>
        <v>0</v>
      </c>
      <c r="Q96" s="18">
        <f t="shared" si="51"/>
        <v>0</v>
      </c>
      <c r="R96" s="18">
        <f t="shared" si="51"/>
        <v>0</v>
      </c>
      <c r="S96" s="18">
        <f t="shared" si="52"/>
        <v>0</v>
      </c>
      <c r="T96" s="18">
        <f t="shared" si="53"/>
        <v>0</v>
      </c>
      <c r="U96" s="18">
        <f t="shared" si="53"/>
        <v>1038652</v>
      </c>
      <c r="V96" s="18">
        <f t="shared" si="54"/>
        <v>1038652</v>
      </c>
      <c r="W96" s="140">
        <f t="shared" si="55"/>
        <v>1038652</v>
      </c>
    </row>
    <row r="97" spans="1:23">
      <c r="A97" s="138">
        <v>43009</v>
      </c>
      <c r="B97" s="139">
        <f t="shared" si="38"/>
        <v>0</v>
      </c>
      <c r="C97" s="18">
        <v>0</v>
      </c>
      <c r="D97" s="18">
        <f t="shared" si="39"/>
        <v>0</v>
      </c>
      <c r="E97" s="18">
        <v>0</v>
      </c>
      <c r="F97" s="18">
        <f t="shared" si="40"/>
        <v>377775</v>
      </c>
      <c r="G97" s="18">
        <f t="shared" si="41"/>
        <v>377775</v>
      </c>
      <c r="H97" s="18">
        <f t="shared" si="42"/>
        <v>0</v>
      </c>
      <c r="I97" s="18">
        <f t="shared" si="42"/>
        <v>377775</v>
      </c>
      <c r="J97" s="235">
        <f t="shared" si="43"/>
        <v>377775</v>
      </c>
      <c r="K97" s="18">
        <v>0</v>
      </c>
      <c r="L97" s="18">
        <v>0</v>
      </c>
      <c r="M97" s="18">
        <f t="shared" si="44"/>
        <v>0</v>
      </c>
      <c r="N97" s="18">
        <v>377775</v>
      </c>
      <c r="O97" s="18">
        <v>0</v>
      </c>
      <c r="P97" s="236">
        <f t="shared" si="45"/>
        <v>377775</v>
      </c>
      <c r="Q97" s="18">
        <f t="shared" si="51"/>
        <v>0</v>
      </c>
      <c r="R97" s="18">
        <f t="shared" si="51"/>
        <v>0</v>
      </c>
      <c r="S97" s="18">
        <f t="shared" si="52"/>
        <v>0</v>
      </c>
      <c r="T97" s="18">
        <f t="shared" si="53"/>
        <v>0</v>
      </c>
      <c r="U97" s="18">
        <f t="shared" si="53"/>
        <v>1416427</v>
      </c>
      <c r="V97" s="18">
        <f t="shared" si="54"/>
        <v>1416427</v>
      </c>
      <c r="W97" s="140">
        <f t="shared" si="55"/>
        <v>1416427</v>
      </c>
    </row>
    <row r="98" spans="1:23">
      <c r="A98" s="138">
        <v>43040</v>
      </c>
      <c r="B98" s="139">
        <f t="shared" si="38"/>
        <v>0</v>
      </c>
      <c r="C98" s="18">
        <v>0</v>
      </c>
      <c r="D98" s="18">
        <f t="shared" si="39"/>
        <v>0</v>
      </c>
      <c r="E98" s="18">
        <v>0</v>
      </c>
      <c r="F98" s="18">
        <f t="shared" si="40"/>
        <v>0</v>
      </c>
      <c r="G98" s="18">
        <f t="shared" si="41"/>
        <v>0</v>
      </c>
      <c r="H98" s="18">
        <f t="shared" si="42"/>
        <v>0</v>
      </c>
      <c r="I98" s="18">
        <f t="shared" si="42"/>
        <v>0</v>
      </c>
      <c r="J98" s="235">
        <f t="shared" si="43"/>
        <v>0</v>
      </c>
      <c r="K98" s="18">
        <v>0</v>
      </c>
      <c r="L98" s="18">
        <v>0</v>
      </c>
      <c r="M98" s="18">
        <f t="shared" si="44"/>
        <v>0</v>
      </c>
      <c r="N98" s="18">
        <v>0</v>
      </c>
      <c r="O98" s="18">
        <v>0</v>
      </c>
      <c r="P98" s="236">
        <f t="shared" si="45"/>
        <v>0</v>
      </c>
      <c r="Q98" s="18">
        <f t="shared" si="51"/>
        <v>0</v>
      </c>
      <c r="R98" s="18">
        <f t="shared" si="51"/>
        <v>0</v>
      </c>
      <c r="S98" s="18">
        <f t="shared" si="52"/>
        <v>0</v>
      </c>
      <c r="T98" s="18">
        <f t="shared" si="53"/>
        <v>0</v>
      </c>
      <c r="U98" s="18">
        <f t="shared" si="53"/>
        <v>1416427</v>
      </c>
      <c r="V98" s="18">
        <f t="shared" si="54"/>
        <v>1416427</v>
      </c>
      <c r="W98" s="140">
        <f t="shared" si="55"/>
        <v>1416427</v>
      </c>
    </row>
    <row r="99" spans="1:23" ht="15.75" thickBot="1">
      <c r="A99" s="138">
        <v>43070</v>
      </c>
      <c r="B99" s="139">
        <f t="shared" si="38"/>
        <v>270</v>
      </c>
      <c r="C99" s="18">
        <v>0</v>
      </c>
      <c r="D99" s="18">
        <f t="shared" si="39"/>
        <v>270</v>
      </c>
      <c r="E99" s="18">
        <v>0</v>
      </c>
      <c r="F99" s="18">
        <f t="shared" si="40"/>
        <v>327008</v>
      </c>
      <c r="G99" s="18">
        <f t="shared" si="41"/>
        <v>327008</v>
      </c>
      <c r="H99" s="18">
        <f t="shared" si="42"/>
        <v>270</v>
      </c>
      <c r="I99" s="18">
        <f t="shared" si="42"/>
        <v>327008</v>
      </c>
      <c r="J99" s="235">
        <f t="shared" si="43"/>
        <v>327278</v>
      </c>
      <c r="K99" s="18">
        <v>270</v>
      </c>
      <c r="L99" s="18">
        <v>0</v>
      </c>
      <c r="M99" s="18">
        <f t="shared" si="44"/>
        <v>270</v>
      </c>
      <c r="N99" s="18">
        <v>327008</v>
      </c>
      <c r="O99" s="18">
        <v>0</v>
      </c>
      <c r="P99" s="236">
        <f t="shared" si="45"/>
        <v>327008</v>
      </c>
      <c r="Q99" s="18">
        <f t="shared" si="51"/>
        <v>270</v>
      </c>
      <c r="R99" s="18">
        <f t="shared" si="51"/>
        <v>0</v>
      </c>
      <c r="S99" s="18">
        <f t="shared" si="52"/>
        <v>270</v>
      </c>
      <c r="T99" s="18">
        <f t="shared" si="53"/>
        <v>0</v>
      </c>
      <c r="U99" s="18">
        <f t="shared" si="53"/>
        <v>1743435</v>
      </c>
      <c r="V99" s="18">
        <f t="shared" si="54"/>
        <v>1743435</v>
      </c>
      <c r="W99" s="140">
        <f t="shared" si="55"/>
        <v>1743705</v>
      </c>
    </row>
    <row r="100" spans="1:23">
      <c r="A100" s="138">
        <v>43101</v>
      </c>
      <c r="B100" s="142">
        <f t="shared" si="38"/>
        <v>0</v>
      </c>
      <c r="C100" s="143">
        <v>0</v>
      </c>
      <c r="D100" s="143">
        <f t="shared" si="39"/>
        <v>0</v>
      </c>
      <c r="E100" s="143">
        <v>0</v>
      </c>
      <c r="F100" s="143">
        <f t="shared" si="40"/>
        <v>49276</v>
      </c>
      <c r="G100" s="143">
        <f t="shared" si="41"/>
        <v>49276</v>
      </c>
      <c r="H100" s="143">
        <f t="shared" si="42"/>
        <v>0</v>
      </c>
      <c r="I100" s="143">
        <f t="shared" si="42"/>
        <v>49276</v>
      </c>
      <c r="J100" s="237">
        <f t="shared" si="43"/>
        <v>49276</v>
      </c>
      <c r="K100" s="143">
        <v>0</v>
      </c>
      <c r="L100" s="143">
        <v>0</v>
      </c>
      <c r="M100" s="143">
        <f t="shared" si="44"/>
        <v>0</v>
      </c>
      <c r="N100" s="143">
        <v>49276</v>
      </c>
      <c r="O100" s="143">
        <v>0</v>
      </c>
      <c r="P100" s="238">
        <f t="shared" si="45"/>
        <v>49276</v>
      </c>
      <c r="Q100" s="143">
        <f>B100</f>
        <v>0</v>
      </c>
      <c r="R100" s="143">
        <f>C100</f>
        <v>0</v>
      </c>
      <c r="S100" s="143">
        <f>R100+Q100</f>
        <v>0</v>
      </c>
      <c r="T100" s="143">
        <f>E100</f>
        <v>0</v>
      </c>
      <c r="U100" s="143">
        <f>F100</f>
        <v>49276</v>
      </c>
      <c r="V100" s="143">
        <f>U100+T100</f>
        <v>49276</v>
      </c>
      <c r="W100" s="144">
        <f>V100+S100</f>
        <v>49276</v>
      </c>
    </row>
    <row r="101" spans="1:23">
      <c r="A101" s="138">
        <v>43132</v>
      </c>
      <c r="B101" s="139">
        <f t="shared" si="38"/>
        <v>0</v>
      </c>
      <c r="C101" s="18">
        <v>0</v>
      </c>
      <c r="D101" s="18">
        <f t="shared" si="39"/>
        <v>0</v>
      </c>
      <c r="E101" s="18">
        <v>0</v>
      </c>
      <c r="F101" s="18">
        <f t="shared" si="40"/>
        <v>0</v>
      </c>
      <c r="G101" s="18">
        <f t="shared" si="41"/>
        <v>0</v>
      </c>
      <c r="H101" s="18">
        <f t="shared" si="42"/>
        <v>0</v>
      </c>
      <c r="I101" s="18">
        <f t="shared" si="42"/>
        <v>0</v>
      </c>
      <c r="J101" s="235">
        <f t="shared" si="43"/>
        <v>0</v>
      </c>
      <c r="K101" s="18">
        <v>0</v>
      </c>
      <c r="L101" s="18">
        <v>0</v>
      </c>
      <c r="M101" s="18">
        <f t="shared" si="44"/>
        <v>0</v>
      </c>
      <c r="N101" s="18">
        <v>0</v>
      </c>
      <c r="O101" s="18">
        <v>0</v>
      </c>
      <c r="P101" s="236">
        <f t="shared" si="45"/>
        <v>0</v>
      </c>
      <c r="Q101" s="18">
        <f>Q100+B101</f>
        <v>0</v>
      </c>
      <c r="R101" s="18">
        <f>R100+C101</f>
        <v>0</v>
      </c>
      <c r="S101" s="18">
        <f>R101+Q101</f>
        <v>0</v>
      </c>
      <c r="T101" s="18">
        <f>T100+E101</f>
        <v>0</v>
      </c>
      <c r="U101" s="18">
        <f>U100+F101</f>
        <v>49276</v>
      </c>
      <c r="V101" s="18">
        <f>U101+T101</f>
        <v>49276</v>
      </c>
      <c r="W101" s="140">
        <f>V101+S101</f>
        <v>49276</v>
      </c>
    </row>
    <row r="102" spans="1:23">
      <c r="A102" s="138">
        <v>43160</v>
      </c>
      <c r="B102" s="139">
        <f t="shared" si="38"/>
        <v>4291</v>
      </c>
      <c r="C102" s="18">
        <v>0</v>
      </c>
      <c r="D102" s="18">
        <f t="shared" si="39"/>
        <v>4291</v>
      </c>
      <c r="E102" s="18">
        <v>0</v>
      </c>
      <c r="F102" s="18">
        <f t="shared" si="40"/>
        <v>592070</v>
      </c>
      <c r="G102" s="18">
        <f t="shared" si="41"/>
        <v>592070</v>
      </c>
      <c r="H102" s="18">
        <f t="shared" si="42"/>
        <v>4291</v>
      </c>
      <c r="I102" s="18">
        <f t="shared" si="42"/>
        <v>592070</v>
      </c>
      <c r="J102" s="235">
        <f t="shared" si="43"/>
        <v>596361</v>
      </c>
      <c r="K102" s="18">
        <v>4291</v>
      </c>
      <c r="L102" s="18">
        <v>0</v>
      </c>
      <c r="M102" s="18">
        <f t="shared" si="44"/>
        <v>4291</v>
      </c>
      <c r="N102" s="18">
        <v>592070</v>
      </c>
      <c r="O102" s="18">
        <v>0</v>
      </c>
      <c r="P102" s="236">
        <f t="shared" si="45"/>
        <v>592070</v>
      </c>
      <c r="Q102" s="18">
        <f t="shared" ref="Q102:R111" si="56">Q101+B102</f>
        <v>4291</v>
      </c>
      <c r="R102" s="18">
        <f t="shared" si="56"/>
        <v>0</v>
      </c>
      <c r="S102" s="18">
        <f t="shared" ref="S102:S165" si="57">R102+Q102</f>
        <v>4291</v>
      </c>
      <c r="T102" s="18">
        <f t="shared" ref="T102:U111" si="58">T101+E102</f>
        <v>0</v>
      </c>
      <c r="U102" s="18">
        <f t="shared" si="58"/>
        <v>641346</v>
      </c>
      <c r="V102" s="18">
        <f t="shared" ref="V102:V165" si="59">U102+T102</f>
        <v>641346</v>
      </c>
      <c r="W102" s="140">
        <f t="shared" ref="W102:W165" si="60">V102+S102</f>
        <v>645637</v>
      </c>
    </row>
    <row r="103" spans="1:23">
      <c r="A103" s="138">
        <v>43191</v>
      </c>
      <c r="B103" s="139">
        <f t="shared" si="38"/>
        <v>2329</v>
      </c>
      <c r="C103" s="18">
        <v>0</v>
      </c>
      <c r="D103" s="18">
        <f t="shared" si="39"/>
        <v>2329</v>
      </c>
      <c r="E103" s="18">
        <v>0</v>
      </c>
      <c r="F103" s="18">
        <f t="shared" si="40"/>
        <v>106260</v>
      </c>
      <c r="G103" s="18">
        <f t="shared" si="41"/>
        <v>106260</v>
      </c>
      <c r="H103" s="18">
        <f t="shared" si="42"/>
        <v>2329</v>
      </c>
      <c r="I103" s="18">
        <f t="shared" si="42"/>
        <v>106260</v>
      </c>
      <c r="J103" s="235">
        <f t="shared" si="43"/>
        <v>108589</v>
      </c>
      <c r="K103" s="18">
        <v>2329</v>
      </c>
      <c r="L103" s="18">
        <v>0</v>
      </c>
      <c r="M103" s="18">
        <f t="shared" si="44"/>
        <v>2329</v>
      </c>
      <c r="N103" s="18">
        <v>106260</v>
      </c>
      <c r="O103" s="18">
        <v>0</v>
      </c>
      <c r="P103" s="236">
        <f t="shared" si="45"/>
        <v>106260</v>
      </c>
      <c r="Q103" s="18">
        <f t="shared" si="56"/>
        <v>6620</v>
      </c>
      <c r="R103" s="18">
        <f t="shared" si="56"/>
        <v>0</v>
      </c>
      <c r="S103" s="18">
        <f t="shared" si="57"/>
        <v>6620</v>
      </c>
      <c r="T103" s="18">
        <f t="shared" si="58"/>
        <v>0</v>
      </c>
      <c r="U103" s="18">
        <f t="shared" si="58"/>
        <v>747606</v>
      </c>
      <c r="V103" s="18">
        <f t="shared" si="59"/>
        <v>747606</v>
      </c>
      <c r="W103" s="140">
        <f t="shared" si="60"/>
        <v>754226</v>
      </c>
    </row>
    <row r="104" spans="1:23">
      <c r="A104" s="138">
        <v>43221</v>
      </c>
      <c r="B104" s="139">
        <f t="shared" si="38"/>
        <v>0</v>
      </c>
      <c r="C104" s="18">
        <v>0</v>
      </c>
      <c r="D104" s="18">
        <f t="shared" si="39"/>
        <v>0</v>
      </c>
      <c r="E104" s="18">
        <v>0</v>
      </c>
      <c r="F104" s="18">
        <f t="shared" si="40"/>
        <v>457786</v>
      </c>
      <c r="G104" s="18">
        <f t="shared" si="41"/>
        <v>457786</v>
      </c>
      <c r="H104" s="18">
        <f t="shared" si="42"/>
        <v>0</v>
      </c>
      <c r="I104" s="18">
        <f t="shared" si="42"/>
        <v>457786</v>
      </c>
      <c r="J104" s="235">
        <f t="shared" si="43"/>
        <v>457786</v>
      </c>
      <c r="K104" s="18">
        <v>0</v>
      </c>
      <c r="L104" s="18">
        <v>0</v>
      </c>
      <c r="M104" s="18">
        <f t="shared" si="44"/>
        <v>0</v>
      </c>
      <c r="N104" s="18">
        <v>457786</v>
      </c>
      <c r="O104" s="18">
        <v>0</v>
      </c>
      <c r="P104" s="236">
        <f t="shared" si="45"/>
        <v>457786</v>
      </c>
      <c r="Q104" s="18">
        <f t="shared" si="56"/>
        <v>6620</v>
      </c>
      <c r="R104" s="18">
        <f t="shared" si="56"/>
        <v>0</v>
      </c>
      <c r="S104" s="18">
        <f t="shared" si="57"/>
        <v>6620</v>
      </c>
      <c r="T104" s="18">
        <f t="shared" si="58"/>
        <v>0</v>
      </c>
      <c r="U104" s="18">
        <f t="shared" si="58"/>
        <v>1205392</v>
      </c>
      <c r="V104" s="18">
        <f t="shared" si="59"/>
        <v>1205392</v>
      </c>
      <c r="W104" s="140">
        <f t="shared" si="60"/>
        <v>1212012</v>
      </c>
    </row>
    <row r="105" spans="1:23">
      <c r="A105" s="138">
        <v>43252</v>
      </c>
      <c r="B105" s="139">
        <f t="shared" si="38"/>
        <v>0</v>
      </c>
      <c r="C105" s="18">
        <v>0</v>
      </c>
      <c r="D105" s="18">
        <f t="shared" si="39"/>
        <v>0</v>
      </c>
      <c r="E105" s="18">
        <v>0</v>
      </c>
      <c r="F105" s="18">
        <f t="shared" si="40"/>
        <v>297480</v>
      </c>
      <c r="G105" s="18">
        <f t="shared" si="41"/>
        <v>297480</v>
      </c>
      <c r="H105" s="18">
        <f t="shared" si="42"/>
        <v>0</v>
      </c>
      <c r="I105" s="18">
        <f t="shared" si="42"/>
        <v>297480</v>
      </c>
      <c r="J105" s="235">
        <f t="shared" si="43"/>
        <v>297480</v>
      </c>
      <c r="K105" s="18">
        <v>0</v>
      </c>
      <c r="L105" s="18">
        <v>0</v>
      </c>
      <c r="M105" s="18">
        <f t="shared" si="44"/>
        <v>0</v>
      </c>
      <c r="N105" s="18">
        <v>297480</v>
      </c>
      <c r="O105" s="18">
        <v>0</v>
      </c>
      <c r="P105" s="236">
        <f t="shared" si="45"/>
        <v>297480</v>
      </c>
      <c r="Q105" s="18">
        <f t="shared" si="56"/>
        <v>6620</v>
      </c>
      <c r="R105" s="18">
        <f t="shared" si="56"/>
        <v>0</v>
      </c>
      <c r="S105" s="18">
        <f t="shared" si="57"/>
        <v>6620</v>
      </c>
      <c r="T105" s="18">
        <f t="shared" si="58"/>
        <v>0</v>
      </c>
      <c r="U105" s="18">
        <f t="shared" si="58"/>
        <v>1502872</v>
      </c>
      <c r="V105" s="18">
        <f t="shared" si="59"/>
        <v>1502872</v>
      </c>
      <c r="W105" s="140">
        <f t="shared" si="60"/>
        <v>1509492</v>
      </c>
    </row>
    <row r="106" spans="1:23">
      <c r="A106" s="138">
        <v>43282</v>
      </c>
      <c r="B106" s="139">
        <f t="shared" si="38"/>
        <v>0</v>
      </c>
      <c r="C106" s="18">
        <v>0</v>
      </c>
      <c r="D106" s="18">
        <f t="shared" si="39"/>
        <v>0</v>
      </c>
      <c r="E106" s="18">
        <v>0</v>
      </c>
      <c r="F106" s="18">
        <f t="shared" si="40"/>
        <v>0</v>
      </c>
      <c r="G106" s="18">
        <f t="shared" si="41"/>
        <v>0</v>
      </c>
      <c r="H106" s="18">
        <f t="shared" si="42"/>
        <v>0</v>
      </c>
      <c r="I106" s="18">
        <f t="shared" si="42"/>
        <v>0</v>
      </c>
      <c r="J106" s="235">
        <f t="shared" si="43"/>
        <v>0</v>
      </c>
      <c r="K106" s="18">
        <v>0</v>
      </c>
      <c r="L106" s="18">
        <v>0</v>
      </c>
      <c r="M106" s="18">
        <f t="shared" si="44"/>
        <v>0</v>
      </c>
      <c r="N106" s="18">
        <v>0</v>
      </c>
      <c r="O106" s="18">
        <v>0</v>
      </c>
      <c r="P106" s="236">
        <f t="shared" si="45"/>
        <v>0</v>
      </c>
      <c r="Q106" s="18">
        <f t="shared" si="56"/>
        <v>6620</v>
      </c>
      <c r="R106" s="18">
        <f t="shared" si="56"/>
        <v>0</v>
      </c>
      <c r="S106" s="18">
        <f t="shared" si="57"/>
        <v>6620</v>
      </c>
      <c r="T106" s="18">
        <f t="shared" si="58"/>
        <v>0</v>
      </c>
      <c r="U106" s="18">
        <f t="shared" si="58"/>
        <v>1502872</v>
      </c>
      <c r="V106" s="18">
        <f t="shared" si="59"/>
        <v>1502872</v>
      </c>
      <c r="W106" s="140">
        <f t="shared" si="60"/>
        <v>1509492</v>
      </c>
    </row>
    <row r="107" spans="1:23">
      <c r="A107" s="138">
        <v>43313</v>
      </c>
      <c r="B107" s="139">
        <f t="shared" si="38"/>
        <v>0</v>
      </c>
      <c r="C107" s="18">
        <v>0</v>
      </c>
      <c r="D107" s="18">
        <f t="shared" si="39"/>
        <v>0</v>
      </c>
      <c r="E107" s="18">
        <v>0</v>
      </c>
      <c r="F107" s="18">
        <f t="shared" si="40"/>
        <v>0</v>
      </c>
      <c r="G107" s="18">
        <f t="shared" si="41"/>
        <v>0</v>
      </c>
      <c r="H107" s="18">
        <f t="shared" si="42"/>
        <v>0</v>
      </c>
      <c r="I107" s="18">
        <f t="shared" si="42"/>
        <v>0</v>
      </c>
      <c r="J107" s="235">
        <f t="shared" si="43"/>
        <v>0</v>
      </c>
      <c r="K107" s="18">
        <v>0</v>
      </c>
      <c r="L107" s="18">
        <v>0</v>
      </c>
      <c r="M107" s="18">
        <f t="shared" si="44"/>
        <v>0</v>
      </c>
      <c r="N107" s="18">
        <v>0</v>
      </c>
      <c r="O107" s="18">
        <v>0</v>
      </c>
      <c r="P107" s="236">
        <f t="shared" si="45"/>
        <v>0</v>
      </c>
      <c r="Q107" s="18">
        <f t="shared" si="56"/>
        <v>6620</v>
      </c>
      <c r="R107" s="18">
        <f t="shared" si="56"/>
        <v>0</v>
      </c>
      <c r="S107" s="18">
        <f t="shared" si="57"/>
        <v>6620</v>
      </c>
      <c r="T107" s="18">
        <f t="shared" si="58"/>
        <v>0</v>
      </c>
      <c r="U107" s="18">
        <f t="shared" si="58"/>
        <v>1502872</v>
      </c>
      <c r="V107" s="18">
        <f t="shared" si="59"/>
        <v>1502872</v>
      </c>
      <c r="W107" s="140">
        <f t="shared" si="60"/>
        <v>1509492</v>
      </c>
    </row>
    <row r="108" spans="1:23">
      <c r="A108" s="138">
        <v>43344</v>
      </c>
      <c r="B108" s="139">
        <f t="shared" si="38"/>
        <v>0</v>
      </c>
      <c r="C108" s="18">
        <v>0</v>
      </c>
      <c r="D108" s="18">
        <f t="shared" si="39"/>
        <v>0</v>
      </c>
      <c r="E108" s="18">
        <v>0</v>
      </c>
      <c r="F108" s="18">
        <f t="shared" si="40"/>
        <v>0</v>
      </c>
      <c r="G108" s="18">
        <f t="shared" si="41"/>
        <v>0</v>
      </c>
      <c r="H108" s="18">
        <f t="shared" si="42"/>
        <v>0</v>
      </c>
      <c r="I108" s="18">
        <f t="shared" si="42"/>
        <v>0</v>
      </c>
      <c r="J108" s="235">
        <f t="shared" si="43"/>
        <v>0</v>
      </c>
      <c r="K108" s="18">
        <v>0</v>
      </c>
      <c r="L108" s="18">
        <v>0</v>
      </c>
      <c r="M108" s="18">
        <f t="shared" si="44"/>
        <v>0</v>
      </c>
      <c r="N108" s="18">
        <v>0</v>
      </c>
      <c r="O108" s="18">
        <v>0</v>
      </c>
      <c r="P108" s="236">
        <f t="shared" si="45"/>
        <v>0</v>
      </c>
      <c r="Q108" s="18">
        <f t="shared" si="56"/>
        <v>6620</v>
      </c>
      <c r="R108" s="18">
        <f t="shared" si="56"/>
        <v>0</v>
      </c>
      <c r="S108" s="18">
        <f t="shared" si="57"/>
        <v>6620</v>
      </c>
      <c r="T108" s="18">
        <f t="shared" si="58"/>
        <v>0</v>
      </c>
      <c r="U108" s="18">
        <f t="shared" si="58"/>
        <v>1502872</v>
      </c>
      <c r="V108" s="18">
        <f t="shared" si="59"/>
        <v>1502872</v>
      </c>
      <c r="W108" s="140">
        <f t="shared" si="60"/>
        <v>1509492</v>
      </c>
    </row>
    <row r="109" spans="1:23">
      <c r="A109" s="138">
        <v>43374</v>
      </c>
      <c r="B109" s="139">
        <f t="shared" si="38"/>
        <v>0</v>
      </c>
      <c r="C109" s="18">
        <v>0</v>
      </c>
      <c r="D109" s="18">
        <f t="shared" si="39"/>
        <v>0</v>
      </c>
      <c r="E109" s="18">
        <v>0</v>
      </c>
      <c r="F109" s="18">
        <f t="shared" si="40"/>
        <v>533819</v>
      </c>
      <c r="G109" s="18">
        <f t="shared" si="41"/>
        <v>533819</v>
      </c>
      <c r="H109" s="18">
        <f t="shared" si="42"/>
        <v>0</v>
      </c>
      <c r="I109" s="18">
        <f t="shared" si="42"/>
        <v>533819</v>
      </c>
      <c r="J109" s="235">
        <f t="shared" si="43"/>
        <v>533819</v>
      </c>
      <c r="K109" s="18">
        <v>0</v>
      </c>
      <c r="L109" s="18">
        <v>0</v>
      </c>
      <c r="M109" s="18">
        <f t="shared" si="44"/>
        <v>0</v>
      </c>
      <c r="N109" s="18">
        <v>533819</v>
      </c>
      <c r="O109" s="18">
        <v>0</v>
      </c>
      <c r="P109" s="236">
        <f t="shared" si="45"/>
        <v>533819</v>
      </c>
      <c r="Q109" s="18">
        <f t="shared" si="56"/>
        <v>6620</v>
      </c>
      <c r="R109" s="18">
        <f t="shared" si="56"/>
        <v>0</v>
      </c>
      <c r="S109" s="18">
        <f t="shared" si="57"/>
        <v>6620</v>
      </c>
      <c r="T109" s="18">
        <f t="shared" si="58"/>
        <v>0</v>
      </c>
      <c r="U109" s="18">
        <f t="shared" si="58"/>
        <v>2036691</v>
      </c>
      <c r="V109" s="18">
        <f t="shared" si="59"/>
        <v>2036691</v>
      </c>
      <c r="W109" s="140">
        <f t="shared" si="60"/>
        <v>2043311</v>
      </c>
    </row>
    <row r="110" spans="1:23">
      <c r="A110" s="138">
        <v>43405</v>
      </c>
      <c r="B110" s="139">
        <f>M110</f>
        <v>0</v>
      </c>
      <c r="C110" s="18">
        <v>0</v>
      </c>
      <c r="D110" s="18">
        <f t="shared" si="39"/>
        <v>0</v>
      </c>
      <c r="E110" s="18">
        <v>0</v>
      </c>
      <c r="F110" s="18">
        <f t="shared" si="40"/>
        <v>185644</v>
      </c>
      <c r="G110" s="18">
        <f t="shared" si="41"/>
        <v>185644</v>
      </c>
      <c r="H110" s="18">
        <f t="shared" ref="H110:I125" si="61">B110+E110</f>
        <v>0</v>
      </c>
      <c r="I110" s="18">
        <f t="shared" si="61"/>
        <v>185644</v>
      </c>
      <c r="J110" s="235">
        <f t="shared" si="43"/>
        <v>185644</v>
      </c>
      <c r="K110" s="18">
        <v>0</v>
      </c>
      <c r="L110" s="18">
        <v>0</v>
      </c>
      <c r="M110" s="18">
        <f t="shared" si="44"/>
        <v>0</v>
      </c>
      <c r="N110" s="18">
        <v>185644</v>
      </c>
      <c r="O110" s="18">
        <v>0</v>
      </c>
      <c r="P110" s="236">
        <f t="shared" si="45"/>
        <v>185644</v>
      </c>
      <c r="Q110" s="18">
        <f t="shared" si="56"/>
        <v>6620</v>
      </c>
      <c r="R110" s="18">
        <f t="shared" si="56"/>
        <v>0</v>
      </c>
      <c r="S110" s="18">
        <f t="shared" si="57"/>
        <v>6620</v>
      </c>
      <c r="T110" s="18">
        <f t="shared" si="58"/>
        <v>0</v>
      </c>
      <c r="U110" s="18">
        <f t="shared" si="58"/>
        <v>2222335</v>
      </c>
      <c r="V110" s="18">
        <f t="shared" si="59"/>
        <v>2222335</v>
      </c>
      <c r="W110" s="140">
        <f t="shared" si="60"/>
        <v>2228955</v>
      </c>
    </row>
    <row r="111" spans="1:23" ht="15.75" thickBot="1">
      <c r="A111" s="138">
        <v>43435</v>
      </c>
      <c r="B111" s="139">
        <f>M111</f>
        <v>0</v>
      </c>
      <c r="C111" s="18">
        <v>0</v>
      </c>
      <c r="D111" s="18">
        <f t="shared" si="39"/>
        <v>0</v>
      </c>
      <c r="E111" s="18">
        <v>0</v>
      </c>
      <c r="F111" s="18">
        <f t="shared" si="40"/>
        <v>217665</v>
      </c>
      <c r="G111" s="18">
        <f t="shared" si="41"/>
        <v>217665</v>
      </c>
      <c r="H111" s="18">
        <f t="shared" si="61"/>
        <v>0</v>
      </c>
      <c r="I111" s="18">
        <f t="shared" si="61"/>
        <v>217665</v>
      </c>
      <c r="J111" s="235">
        <f t="shared" si="43"/>
        <v>217665</v>
      </c>
      <c r="K111" s="18">
        <v>0</v>
      </c>
      <c r="L111" s="18">
        <v>0</v>
      </c>
      <c r="M111" s="18">
        <f t="shared" si="44"/>
        <v>0</v>
      </c>
      <c r="N111" s="18">
        <v>217665</v>
      </c>
      <c r="O111" s="18">
        <v>0</v>
      </c>
      <c r="P111" s="236">
        <f t="shared" si="45"/>
        <v>217665</v>
      </c>
      <c r="Q111" s="18">
        <f t="shared" si="56"/>
        <v>6620</v>
      </c>
      <c r="R111" s="18">
        <f t="shared" si="56"/>
        <v>0</v>
      </c>
      <c r="S111" s="18">
        <f t="shared" si="57"/>
        <v>6620</v>
      </c>
      <c r="T111" s="18">
        <f t="shared" si="58"/>
        <v>0</v>
      </c>
      <c r="U111" s="18">
        <f t="shared" si="58"/>
        <v>2440000</v>
      </c>
      <c r="V111" s="18">
        <f t="shared" si="59"/>
        <v>2440000</v>
      </c>
      <c r="W111" s="140">
        <f t="shared" si="60"/>
        <v>2446620</v>
      </c>
    </row>
    <row r="112" spans="1:23">
      <c r="A112" s="138">
        <v>43466</v>
      </c>
      <c r="B112" s="142">
        <v>0</v>
      </c>
      <c r="C112" s="143">
        <v>0</v>
      </c>
      <c r="D112" s="143">
        <f t="shared" si="39"/>
        <v>0</v>
      </c>
      <c r="E112" s="143">
        <v>0</v>
      </c>
      <c r="F112" s="143">
        <f>P112</f>
        <v>148993</v>
      </c>
      <c r="G112" s="143">
        <f t="shared" si="41"/>
        <v>148993</v>
      </c>
      <c r="H112" s="143">
        <f t="shared" si="61"/>
        <v>0</v>
      </c>
      <c r="I112" s="143">
        <f t="shared" si="61"/>
        <v>148993</v>
      </c>
      <c r="J112" s="237">
        <f t="shared" si="43"/>
        <v>148993</v>
      </c>
      <c r="K112" s="143">
        <v>0</v>
      </c>
      <c r="L112" s="143">
        <v>0</v>
      </c>
      <c r="M112" s="143">
        <f t="shared" si="44"/>
        <v>0</v>
      </c>
      <c r="N112" s="143">
        <v>148993</v>
      </c>
      <c r="O112" s="143">
        <v>0</v>
      </c>
      <c r="P112" s="238">
        <f t="shared" si="45"/>
        <v>148993</v>
      </c>
      <c r="Q112" s="143">
        <f>B112</f>
        <v>0</v>
      </c>
      <c r="R112" s="143">
        <f>C112</f>
        <v>0</v>
      </c>
      <c r="S112" s="143">
        <f t="shared" si="57"/>
        <v>0</v>
      </c>
      <c r="T112" s="143">
        <f>E112</f>
        <v>0</v>
      </c>
      <c r="U112" s="143">
        <f>F112</f>
        <v>148993</v>
      </c>
      <c r="V112" s="143">
        <f t="shared" si="59"/>
        <v>148993</v>
      </c>
      <c r="W112" s="144">
        <f t="shared" si="60"/>
        <v>148993</v>
      </c>
    </row>
    <row r="113" spans="1:23">
      <c r="A113" s="138">
        <v>43497</v>
      </c>
      <c r="B113" s="139">
        <v>0</v>
      </c>
      <c r="C113" s="18">
        <v>0</v>
      </c>
      <c r="D113" s="18">
        <f t="shared" si="39"/>
        <v>0</v>
      </c>
      <c r="E113" s="18">
        <v>0</v>
      </c>
      <c r="F113" s="18">
        <f>P113</f>
        <v>225497</v>
      </c>
      <c r="G113" s="18">
        <f t="shared" si="41"/>
        <v>225497</v>
      </c>
      <c r="H113" s="18">
        <f t="shared" si="61"/>
        <v>0</v>
      </c>
      <c r="I113" s="18">
        <f t="shared" si="61"/>
        <v>225497</v>
      </c>
      <c r="J113" s="235">
        <f t="shared" si="43"/>
        <v>225497</v>
      </c>
      <c r="K113" s="18">
        <v>0</v>
      </c>
      <c r="L113" s="18">
        <v>0</v>
      </c>
      <c r="M113" s="18">
        <f t="shared" si="44"/>
        <v>0</v>
      </c>
      <c r="N113" s="18">
        <v>225497</v>
      </c>
      <c r="O113" s="18">
        <v>0</v>
      </c>
      <c r="P113" s="236">
        <f t="shared" si="45"/>
        <v>225497</v>
      </c>
      <c r="Q113" s="18">
        <f t="shared" ref="Q113:R123" si="62">Q112+B113</f>
        <v>0</v>
      </c>
      <c r="R113" s="18">
        <f t="shared" si="62"/>
        <v>0</v>
      </c>
      <c r="S113" s="18">
        <f t="shared" si="57"/>
        <v>0</v>
      </c>
      <c r="T113" s="18">
        <f t="shared" ref="T113:U123" si="63">T112+E113</f>
        <v>0</v>
      </c>
      <c r="U113" s="18">
        <f t="shared" si="63"/>
        <v>374490</v>
      </c>
      <c r="V113" s="18">
        <f t="shared" si="59"/>
        <v>374490</v>
      </c>
      <c r="W113" s="140">
        <f t="shared" si="60"/>
        <v>374490</v>
      </c>
    </row>
    <row r="114" spans="1:23">
      <c r="A114" s="138">
        <v>43525</v>
      </c>
      <c r="B114" s="139">
        <v>0</v>
      </c>
      <c r="C114" s="18">
        <v>0</v>
      </c>
      <c r="D114" s="18">
        <f t="shared" si="39"/>
        <v>0</v>
      </c>
      <c r="E114" s="18">
        <v>0</v>
      </c>
      <c r="F114" s="18">
        <f t="shared" ref="F114:F137" si="64">P114</f>
        <v>423217</v>
      </c>
      <c r="G114" s="18">
        <f t="shared" si="41"/>
        <v>423217</v>
      </c>
      <c r="H114" s="18">
        <f t="shared" si="61"/>
        <v>0</v>
      </c>
      <c r="I114" s="18">
        <f t="shared" si="61"/>
        <v>423217</v>
      </c>
      <c r="J114" s="235">
        <f t="shared" si="43"/>
        <v>423217</v>
      </c>
      <c r="K114" s="18">
        <v>0</v>
      </c>
      <c r="L114" s="18">
        <v>0</v>
      </c>
      <c r="M114" s="18">
        <f t="shared" si="44"/>
        <v>0</v>
      </c>
      <c r="N114" s="18">
        <v>423217</v>
      </c>
      <c r="O114" s="18">
        <v>0</v>
      </c>
      <c r="P114" s="236">
        <f t="shared" si="45"/>
        <v>423217</v>
      </c>
      <c r="Q114" s="18">
        <f t="shared" si="62"/>
        <v>0</v>
      </c>
      <c r="R114" s="18">
        <f t="shared" si="62"/>
        <v>0</v>
      </c>
      <c r="S114" s="18">
        <f t="shared" si="57"/>
        <v>0</v>
      </c>
      <c r="T114" s="18">
        <f t="shared" si="63"/>
        <v>0</v>
      </c>
      <c r="U114" s="18">
        <f t="shared" si="63"/>
        <v>797707</v>
      </c>
      <c r="V114" s="18">
        <f t="shared" si="59"/>
        <v>797707</v>
      </c>
      <c r="W114" s="140">
        <f t="shared" si="60"/>
        <v>797707</v>
      </c>
    </row>
    <row r="115" spans="1:23">
      <c r="A115" s="138">
        <v>43556</v>
      </c>
      <c r="B115" s="139">
        <v>0</v>
      </c>
      <c r="C115" s="18">
        <v>0</v>
      </c>
      <c r="D115" s="18">
        <f t="shared" si="39"/>
        <v>0</v>
      </c>
      <c r="E115" s="18">
        <v>0</v>
      </c>
      <c r="F115" s="18">
        <f t="shared" si="64"/>
        <v>239288</v>
      </c>
      <c r="G115" s="18">
        <f t="shared" si="41"/>
        <v>239288</v>
      </c>
      <c r="H115" s="18">
        <f t="shared" si="61"/>
        <v>0</v>
      </c>
      <c r="I115" s="18">
        <f t="shared" si="61"/>
        <v>239288</v>
      </c>
      <c r="J115" s="235">
        <f t="shared" si="43"/>
        <v>239288</v>
      </c>
      <c r="K115" s="18">
        <v>0</v>
      </c>
      <c r="L115" s="18">
        <v>0</v>
      </c>
      <c r="M115" s="18">
        <f t="shared" si="44"/>
        <v>0</v>
      </c>
      <c r="N115" s="18">
        <v>239288</v>
      </c>
      <c r="O115" s="18">
        <v>0</v>
      </c>
      <c r="P115" s="236">
        <f t="shared" si="45"/>
        <v>239288</v>
      </c>
      <c r="Q115" s="18">
        <f t="shared" si="62"/>
        <v>0</v>
      </c>
      <c r="R115" s="18">
        <f t="shared" si="62"/>
        <v>0</v>
      </c>
      <c r="S115" s="18">
        <f t="shared" si="57"/>
        <v>0</v>
      </c>
      <c r="T115" s="18">
        <f t="shared" si="63"/>
        <v>0</v>
      </c>
      <c r="U115" s="18">
        <f t="shared" si="63"/>
        <v>1036995</v>
      </c>
      <c r="V115" s="18">
        <f t="shared" si="59"/>
        <v>1036995</v>
      </c>
      <c r="W115" s="140">
        <f t="shared" si="60"/>
        <v>1036995</v>
      </c>
    </row>
    <row r="116" spans="1:23">
      <c r="A116" s="138">
        <v>43586</v>
      </c>
      <c r="B116" s="139">
        <v>0</v>
      </c>
      <c r="C116" s="18">
        <v>0</v>
      </c>
      <c r="D116" s="18">
        <f t="shared" si="39"/>
        <v>0</v>
      </c>
      <c r="E116" s="18">
        <v>0</v>
      </c>
      <c r="F116" s="18">
        <f t="shared" si="64"/>
        <v>132150</v>
      </c>
      <c r="G116" s="18">
        <f t="shared" si="41"/>
        <v>132150</v>
      </c>
      <c r="H116" s="18">
        <f t="shared" si="61"/>
        <v>0</v>
      </c>
      <c r="I116" s="18">
        <f t="shared" si="61"/>
        <v>132150</v>
      </c>
      <c r="J116" s="235">
        <f t="shared" si="43"/>
        <v>132150</v>
      </c>
      <c r="K116" s="18">
        <v>0</v>
      </c>
      <c r="L116" s="18">
        <v>0</v>
      </c>
      <c r="M116" s="18">
        <f t="shared" si="44"/>
        <v>0</v>
      </c>
      <c r="N116" s="18">
        <v>132150</v>
      </c>
      <c r="O116" s="18">
        <v>0</v>
      </c>
      <c r="P116" s="236">
        <f t="shared" si="45"/>
        <v>132150</v>
      </c>
      <c r="Q116" s="18">
        <f t="shared" si="62"/>
        <v>0</v>
      </c>
      <c r="R116" s="18">
        <f t="shared" si="62"/>
        <v>0</v>
      </c>
      <c r="S116" s="18">
        <f t="shared" si="57"/>
        <v>0</v>
      </c>
      <c r="T116" s="18">
        <f t="shared" si="63"/>
        <v>0</v>
      </c>
      <c r="U116" s="18">
        <f t="shared" si="63"/>
        <v>1169145</v>
      </c>
      <c r="V116" s="18">
        <f t="shared" si="59"/>
        <v>1169145</v>
      </c>
      <c r="W116" s="140">
        <f t="shared" si="60"/>
        <v>1169145</v>
      </c>
    </row>
    <row r="117" spans="1:23">
      <c r="A117" s="138">
        <v>43617</v>
      </c>
      <c r="B117" s="139">
        <v>0</v>
      </c>
      <c r="C117" s="18">
        <v>0</v>
      </c>
      <c r="D117" s="18">
        <f t="shared" si="39"/>
        <v>0</v>
      </c>
      <c r="E117" s="18">
        <v>0</v>
      </c>
      <c r="F117" s="18">
        <f t="shared" si="64"/>
        <v>107473</v>
      </c>
      <c r="G117" s="18">
        <f t="shared" si="41"/>
        <v>107473</v>
      </c>
      <c r="H117" s="18">
        <f t="shared" si="61"/>
        <v>0</v>
      </c>
      <c r="I117" s="18">
        <f t="shared" si="61"/>
        <v>107473</v>
      </c>
      <c r="J117" s="235">
        <f t="shared" si="43"/>
        <v>107473</v>
      </c>
      <c r="K117" s="18">
        <v>0</v>
      </c>
      <c r="L117" s="18">
        <v>0</v>
      </c>
      <c r="M117" s="18">
        <f t="shared" si="44"/>
        <v>0</v>
      </c>
      <c r="N117" s="18">
        <v>107473</v>
      </c>
      <c r="O117" s="18">
        <v>0</v>
      </c>
      <c r="P117" s="236">
        <f t="shared" si="45"/>
        <v>107473</v>
      </c>
      <c r="Q117" s="18">
        <f t="shared" si="62"/>
        <v>0</v>
      </c>
      <c r="R117" s="18">
        <f t="shared" si="62"/>
        <v>0</v>
      </c>
      <c r="S117" s="18">
        <f t="shared" si="57"/>
        <v>0</v>
      </c>
      <c r="T117" s="18">
        <f t="shared" si="63"/>
        <v>0</v>
      </c>
      <c r="U117" s="18">
        <f t="shared" si="63"/>
        <v>1276618</v>
      </c>
      <c r="V117" s="18">
        <f t="shared" si="59"/>
        <v>1276618</v>
      </c>
      <c r="W117" s="140">
        <f t="shared" si="60"/>
        <v>1276618</v>
      </c>
    </row>
    <row r="118" spans="1:23">
      <c r="A118" s="138">
        <v>43647</v>
      </c>
      <c r="B118" s="139">
        <f>M118</f>
        <v>0</v>
      </c>
      <c r="C118" s="18">
        <v>0</v>
      </c>
      <c r="D118" s="18">
        <f t="shared" si="39"/>
        <v>0</v>
      </c>
      <c r="E118" s="18">
        <v>0</v>
      </c>
      <c r="F118" s="18">
        <f t="shared" si="64"/>
        <v>0</v>
      </c>
      <c r="G118" s="18">
        <f t="shared" si="41"/>
        <v>0</v>
      </c>
      <c r="H118" s="18">
        <f t="shared" si="61"/>
        <v>0</v>
      </c>
      <c r="I118" s="18">
        <f t="shared" si="61"/>
        <v>0</v>
      </c>
      <c r="J118" s="235">
        <f t="shared" si="43"/>
        <v>0</v>
      </c>
      <c r="K118" s="18">
        <v>0</v>
      </c>
      <c r="L118" s="18">
        <v>0</v>
      </c>
      <c r="M118" s="18">
        <f t="shared" si="44"/>
        <v>0</v>
      </c>
      <c r="N118" s="18">
        <v>0</v>
      </c>
      <c r="O118" s="18">
        <v>0</v>
      </c>
      <c r="P118" s="236">
        <f t="shared" si="45"/>
        <v>0</v>
      </c>
      <c r="Q118" s="18">
        <f t="shared" si="62"/>
        <v>0</v>
      </c>
      <c r="R118" s="18">
        <f t="shared" si="62"/>
        <v>0</v>
      </c>
      <c r="S118" s="18">
        <f t="shared" si="57"/>
        <v>0</v>
      </c>
      <c r="T118" s="18">
        <f t="shared" si="63"/>
        <v>0</v>
      </c>
      <c r="U118" s="18">
        <f t="shared" si="63"/>
        <v>1276618</v>
      </c>
      <c r="V118" s="18">
        <f t="shared" si="59"/>
        <v>1276618</v>
      </c>
      <c r="W118" s="140">
        <f t="shared" si="60"/>
        <v>1276618</v>
      </c>
    </row>
    <row r="119" spans="1:23">
      <c r="A119" s="138">
        <v>43678</v>
      </c>
      <c r="B119" s="139">
        <v>0</v>
      </c>
      <c r="C119" s="18">
        <v>0</v>
      </c>
      <c r="D119" s="18">
        <f t="shared" si="39"/>
        <v>0</v>
      </c>
      <c r="E119" s="18">
        <v>0</v>
      </c>
      <c r="F119" s="18">
        <f t="shared" si="64"/>
        <v>39325</v>
      </c>
      <c r="G119" s="18">
        <f t="shared" si="41"/>
        <v>39325</v>
      </c>
      <c r="H119" s="18">
        <f t="shared" si="61"/>
        <v>0</v>
      </c>
      <c r="I119" s="18">
        <f t="shared" si="61"/>
        <v>39325</v>
      </c>
      <c r="J119" s="235">
        <f t="shared" si="43"/>
        <v>39325</v>
      </c>
      <c r="K119" s="18">
        <v>0</v>
      </c>
      <c r="L119" s="18">
        <v>0</v>
      </c>
      <c r="M119" s="18">
        <f t="shared" si="44"/>
        <v>0</v>
      </c>
      <c r="N119" s="18">
        <v>39325</v>
      </c>
      <c r="O119" s="18">
        <v>0</v>
      </c>
      <c r="P119" s="236">
        <f t="shared" si="45"/>
        <v>39325</v>
      </c>
      <c r="Q119" s="18">
        <f t="shared" si="62"/>
        <v>0</v>
      </c>
      <c r="R119" s="18">
        <f t="shared" si="62"/>
        <v>0</v>
      </c>
      <c r="S119" s="18">
        <f t="shared" si="57"/>
        <v>0</v>
      </c>
      <c r="T119" s="18">
        <f t="shared" si="63"/>
        <v>0</v>
      </c>
      <c r="U119" s="18">
        <f t="shared" si="63"/>
        <v>1315943</v>
      </c>
      <c r="V119" s="18">
        <f t="shared" si="59"/>
        <v>1315943</v>
      </c>
      <c r="W119" s="140">
        <f t="shared" si="60"/>
        <v>1315943</v>
      </c>
    </row>
    <row r="120" spans="1:23">
      <c r="A120" s="138">
        <v>43709</v>
      </c>
      <c r="B120" s="139">
        <f t="shared" ref="B120:B157" si="65">M120</f>
        <v>0</v>
      </c>
      <c r="C120" s="18">
        <v>0</v>
      </c>
      <c r="D120" s="18">
        <f t="shared" si="39"/>
        <v>0</v>
      </c>
      <c r="E120" s="18">
        <v>0</v>
      </c>
      <c r="F120" s="18">
        <f t="shared" si="64"/>
        <v>0</v>
      </c>
      <c r="G120" s="18">
        <f t="shared" si="41"/>
        <v>0</v>
      </c>
      <c r="H120" s="18">
        <f t="shared" si="61"/>
        <v>0</v>
      </c>
      <c r="I120" s="18">
        <f t="shared" si="61"/>
        <v>0</v>
      </c>
      <c r="J120" s="235">
        <f t="shared" si="43"/>
        <v>0</v>
      </c>
      <c r="K120" s="18">
        <v>0</v>
      </c>
      <c r="L120" s="18">
        <v>0</v>
      </c>
      <c r="M120" s="18">
        <f t="shared" si="44"/>
        <v>0</v>
      </c>
      <c r="N120" s="18">
        <v>0</v>
      </c>
      <c r="O120" s="18">
        <v>0</v>
      </c>
      <c r="P120" s="236">
        <f t="shared" si="45"/>
        <v>0</v>
      </c>
      <c r="Q120" s="18">
        <f t="shared" si="62"/>
        <v>0</v>
      </c>
      <c r="R120" s="18">
        <f t="shared" si="62"/>
        <v>0</v>
      </c>
      <c r="S120" s="18">
        <f t="shared" si="57"/>
        <v>0</v>
      </c>
      <c r="T120" s="18">
        <f t="shared" si="63"/>
        <v>0</v>
      </c>
      <c r="U120" s="18">
        <f t="shared" si="63"/>
        <v>1315943</v>
      </c>
      <c r="V120" s="18">
        <f t="shared" si="59"/>
        <v>1315943</v>
      </c>
      <c r="W120" s="140">
        <f t="shared" si="60"/>
        <v>1315943</v>
      </c>
    </row>
    <row r="121" spans="1:23">
      <c r="A121" s="138">
        <v>43739</v>
      </c>
      <c r="B121" s="139">
        <f t="shared" si="65"/>
        <v>0</v>
      </c>
      <c r="C121" s="18">
        <v>0</v>
      </c>
      <c r="D121" s="18">
        <f t="shared" si="39"/>
        <v>0</v>
      </c>
      <c r="E121" s="18">
        <v>0</v>
      </c>
      <c r="F121" s="18">
        <f t="shared" si="64"/>
        <v>0</v>
      </c>
      <c r="G121" s="18">
        <f t="shared" si="41"/>
        <v>0</v>
      </c>
      <c r="H121" s="18">
        <f t="shared" si="61"/>
        <v>0</v>
      </c>
      <c r="I121" s="18">
        <f t="shared" si="61"/>
        <v>0</v>
      </c>
      <c r="J121" s="235">
        <f t="shared" si="43"/>
        <v>0</v>
      </c>
      <c r="K121" s="18">
        <v>0</v>
      </c>
      <c r="L121" s="18">
        <v>0</v>
      </c>
      <c r="M121" s="18">
        <f t="shared" si="44"/>
        <v>0</v>
      </c>
      <c r="N121" s="18">
        <v>0</v>
      </c>
      <c r="O121" s="18">
        <v>0</v>
      </c>
      <c r="P121" s="236">
        <f t="shared" si="45"/>
        <v>0</v>
      </c>
      <c r="Q121" s="18">
        <f t="shared" si="62"/>
        <v>0</v>
      </c>
      <c r="R121" s="18">
        <f t="shared" si="62"/>
        <v>0</v>
      </c>
      <c r="S121" s="18">
        <f t="shared" si="57"/>
        <v>0</v>
      </c>
      <c r="T121" s="18">
        <f t="shared" si="63"/>
        <v>0</v>
      </c>
      <c r="U121" s="18">
        <f t="shared" si="63"/>
        <v>1315943</v>
      </c>
      <c r="V121" s="18">
        <f t="shared" si="59"/>
        <v>1315943</v>
      </c>
      <c r="W121" s="140">
        <f t="shared" si="60"/>
        <v>1315943</v>
      </c>
    </row>
    <row r="122" spans="1:23">
      <c r="A122" s="138">
        <v>43770</v>
      </c>
      <c r="B122" s="139">
        <f t="shared" si="65"/>
        <v>0</v>
      </c>
      <c r="C122" s="18">
        <v>0</v>
      </c>
      <c r="D122" s="18">
        <f t="shared" si="39"/>
        <v>0</v>
      </c>
      <c r="E122" s="18">
        <v>0</v>
      </c>
      <c r="F122" s="18">
        <f t="shared" si="64"/>
        <v>0</v>
      </c>
      <c r="G122" s="18">
        <f t="shared" si="41"/>
        <v>0</v>
      </c>
      <c r="H122" s="18">
        <f t="shared" si="61"/>
        <v>0</v>
      </c>
      <c r="I122" s="18">
        <f t="shared" si="61"/>
        <v>0</v>
      </c>
      <c r="J122" s="235">
        <f t="shared" si="43"/>
        <v>0</v>
      </c>
      <c r="K122" s="18">
        <v>0</v>
      </c>
      <c r="L122" s="18">
        <v>0</v>
      </c>
      <c r="M122" s="18">
        <f t="shared" si="44"/>
        <v>0</v>
      </c>
      <c r="N122" s="18">
        <v>0</v>
      </c>
      <c r="O122" s="18">
        <v>0</v>
      </c>
      <c r="P122" s="236">
        <f t="shared" si="45"/>
        <v>0</v>
      </c>
      <c r="Q122" s="18">
        <f t="shared" si="62"/>
        <v>0</v>
      </c>
      <c r="R122" s="18">
        <f t="shared" si="62"/>
        <v>0</v>
      </c>
      <c r="S122" s="18">
        <f t="shared" si="57"/>
        <v>0</v>
      </c>
      <c r="T122" s="18">
        <f t="shared" si="63"/>
        <v>0</v>
      </c>
      <c r="U122" s="18">
        <f t="shared" si="63"/>
        <v>1315943</v>
      </c>
      <c r="V122" s="18">
        <f t="shared" si="59"/>
        <v>1315943</v>
      </c>
      <c r="W122" s="140">
        <f t="shared" si="60"/>
        <v>1315943</v>
      </c>
    </row>
    <row r="123" spans="1:23" ht="15.75" thickBot="1">
      <c r="A123" s="138">
        <v>43800</v>
      </c>
      <c r="B123" s="139">
        <f t="shared" si="65"/>
        <v>0</v>
      </c>
      <c r="C123" s="18">
        <v>0</v>
      </c>
      <c r="D123" s="18">
        <f t="shared" si="39"/>
        <v>0</v>
      </c>
      <c r="E123" s="18">
        <v>0</v>
      </c>
      <c r="F123" s="18">
        <f t="shared" si="64"/>
        <v>0</v>
      </c>
      <c r="G123" s="18">
        <f t="shared" si="41"/>
        <v>0</v>
      </c>
      <c r="H123" s="18">
        <f t="shared" si="61"/>
        <v>0</v>
      </c>
      <c r="I123" s="18">
        <f t="shared" si="61"/>
        <v>0</v>
      </c>
      <c r="J123" s="235">
        <f t="shared" si="43"/>
        <v>0</v>
      </c>
      <c r="K123" s="18">
        <v>0</v>
      </c>
      <c r="L123" s="18">
        <v>0</v>
      </c>
      <c r="M123" s="18">
        <f t="shared" si="44"/>
        <v>0</v>
      </c>
      <c r="N123" s="18">
        <v>0</v>
      </c>
      <c r="O123" s="18">
        <v>0</v>
      </c>
      <c r="P123" s="236">
        <f t="shared" si="45"/>
        <v>0</v>
      </c>
      <c r="Q123" s="18">
        <f t="shared" si="62"/>
        <v>0</v>
      </c>
      <c r="R123" s="18">
        <f t="shared" si="62"/>
        <v>0</v>
      </c>
      <c r="S123" s="18">
        <f t="shared" si="57"/>
        <v>0</v>
      </c>
      <c r="T123" s="18">
        <f t="shared" si="63"/>
        <v>0</v>
      </c>
      <c r="U123" s="18">
        <f t="shared" si="63"/>
        <v>1315943</v>
      </c>
      <c r="V123" s="18">
        <f t="shared" si="59"/>
        <v>1315943</v>
      </c>
      <c r="W123" s="140">
        <f t="shared" si="60"/>
        <v>1315943</v>
      </c>
    </row>
    <row r="124" spans="1:23">
      <c r="A124" s="138">
        <v>43831</v>
      </c>
      <c r="B124" s="142">
        <f t="shared" si="65"/>
        <v>0</v>
      </c>
      <c r="C124" s="143">
        <v>0</v>
      </c>
      <c r="D124" s="143">
        <f t="shared" si="39"/>
        <v>0</v>
      </c>
      <c r="E124" s="143">
        <v>0</v>
      </c>
      <c r="F124" s="143">
        <f t="shared" si="64"/>
        <v>0</v>
      </c>
      <c r="G124" s="143">
        <f t="shared" si="41"/>
        <v>0</v>
      </c>
      <c r="H124" s="143">
        <f t="shared" si="61"/>
        <v>0</v>
      </c>
      <c r="I124" s="143">
        <f t="shared" si="61"/>
        <v>0</v>
      </c>
      <c r="J124" s="237">
        <f t="shared" si="43"/>
        <v>0</v>
      </c>
      <c r="K124" s="143">
        <v>0</v>
      </c>
      <c r="L124" s="143">
        <v>0</v>
      </c>
      <c r="M124" s="143">
        <f t="shared" si="44"/>
        <v>0</v>
      </c>
      <c r="N124" s="143">
        <v>0</v>
      </c>
      <c r="O124" s="143">
        <v>0</v>
      </c>
      <c r="P124" s="238">
        <f t="shared" si="45"/>
        <v>0</v>
      </c>
      <c r="Q124" s="143">
        <f>B124</f>
        <v>0</v>
      </c>
      <c r="R124" s="143">
        <f>C124</f>
        <v>0</v>
      </c>
      <c r="S124" s="143">
        <f t="shared" si="57"/>
        <v>0</v>
      </c>
      <c r="T124" s="143">
        <f>E124</f>
        <v>0</v>
      </c>
      <c r="U124" s="143">
        <f>F124</f>
        <v>0</v>
      </c>
      <c r="V124" s="143">
        <f t="shared" si="59"/>
        <v>0</v>
      </c>
      <c r="W124" s="144">
        <f t="shared" si="60"/>
        <v>0</v>
      </c>
    </row>
    <row r="125" spans="1:23">
      <c r="A125" s="138">
        <v>43862</v>
      </c>
      <c r="B125" s="139">
        <f t="shared" si="65"/>
        <v>0</v>
      </c>
      <c r="C125" s="18">
        <v>0</v>
      </c>
      <c r="D125" s="18">
        <f t="shared" si="39"/>
        <v>0</v>
      </c>
      <c r="E125" s="18">
        <v>0</v>
      </c>
      <c r="F125" s="18">
        <f t="shared" si="64"/>
        <v>0</v>
      </c>
      <c r="G125" s="18">
        <f t="shared" si="41"/>
        <v>0</v>
      </c>
      <c r="H125" s="18">
        <f t="shared" si="61"/>
        <v>0</v>
      </c>
      <c r="I125" s="18">
        <f t="shared" si="61"/>
        <v>0</v>
      </c>
      <c r="J125" s="235">
        <f t="shared" si="43"/>
        <v>0</v>
      </c>
      <c r="K125" s="18">
        <v>0</v>
      </c>
      <c r="L125" s="18">
        <v>0</v>
      </c>
      <c r="M125" s="18">
        <f t="shared" si="44"/>
        <v>0</v>
      </c>
      <c r="N125" s="18">
        <v>0</v>
      </c>
      <c r="O125" s="18">
        <v>0</v>
      </c>
      <c r="P125" s="236">
        <f t="shared" si="45"/>
        <v>0</v>
      </c>
      <c r="Q125" s="18">
        <f>Q124+B125</f>
        <v>0</v>
      </c>
      <c r="R125" s="18">
        <f>R124+C125</f>
        <v>0</v>
      </c>
      <c r="S125" s="18">
        <f t="shared" si="57"/>
        <v>0</v>
      </c>
      <c r="T125" s="18">
        <f>T124+E125</f>
        <v>0</v>
      </c>
      <c r="U125" s="18">
        <f>U124+F125</f>
        <v>0</v>
      </c>
      <c r="V125" s="18">
        <f t="shared" si="59"/>
        <v>0</v>
      </c>
      <c r="W125" s="140">
        <f t="shared" si="60"/>
        <v>0</v>
      </c>
    </row>
    <row r="126" spans="1:23">
      <c r="A126" s="138">
        <v>43891</v>
      </c>
      <c r="B126" s="139">
        <f t="shared" si="65"/>
        <v>0</v>
      </c>
      <c r="C126" s="18">
        <v>0</v>
      </c>
      <c r="D126" s="18">
        <f t="shared" si="39"/>
        <v>0</v>
      </c>
      <c r="E126" s="18">
        <v>0</v>
      </c>
      <c r="F126" s="18">
        <f t="shared" si="64"/>
        <v>0</v>
      </c>
      <c r="G126" s="18">
        <f t="shared" si="41"/>
        <v>0</v>
      </c>
      <c r="H126" s="18">
        <f t="shared" ref="H126:I147" si="66">B126+E126</f>
        <v>0</v>
      </c>
      <c r="I126" s="18">
        <f t="shared" si="66"/>
        <v>0</v>
      </c>
      <c r="J126" s="235">
        <f t="shared" si="43"/>
        <v>0</v>
      </c>
      <c r="K126" s="18">
        <v>0</v>
      </c>
      <c r="L126" s="18">
        <v>0</v>
      </c>
      <c r="M126" s="18">
        <f t="shared" si="44"/>
        <v>0</v>
      </c>
      <c r="N126" s="18">
        <v>0</v>
      </c>
      <c r="O126" s="18">
        <v>0</v>
      </c>
      <c r="P126" s="236">
        <f t="shared" si="45"/>
        <v>0</v>
      </c>
      <c r="Q126" s="18">
        <f>B126</f>
        <v>0</v>
      </c>
      <c r="R126" s="18">
        <f>C126</f>
        <v>0</v>
      </c>
      <c r="S126" s="18">
        <f t="shared" si="57"/>
        <v>0</v>
      </c>
      <c r="T126" s="18">
        <f>E126</f>
        <v>0</v>
      </c>
      <c r="U126" s="18">
        <f>F126</f>
        <v>0</v>
      </c>
      <c r="V126" s="18">
        <f t="shared" si="59"/>
        <v>0</v>
      </c>
      <c r="W126" s="140">
        <f t="shared" si="60"/>
        <v>0</v>
      </c>
    </row>
    <row r="127" spans="1:23">
      <c r="A127" s="138">
        <v>43922</v>
      </c>
      <c r="B127" s="139">
        <f t="shared" si="65"/>
        <v>0</v>
      </c>
      <c r="C127" s="18">
        <v>0</v>
      </c>
      <c r="D127" s="18">
        <f t="shared" si="39"/>
        <v>0</v>
      </c>
      <c r="E127" s="18">
        <v>0</v>
      </c>
      <c r="F127" s="18">
        <f t="shared" si="64"/>
        <v>0</v>
      </c>
      <c r="G127" s="18">
        <f t="shared" si="41"/>
        <v>0</v>
      </c>
      <c r="H127" s="18">
        <f t="shared" si="66"/>
        <v>0</v>
      </c>
      <c r="I127" s="18">
        <f t="shared" si="66"/>
        <v>0</v>
      </c>
      <c r="J127" s="235">
        <f t="shared" si="43"/>
        <v>0</v>
      </c>
      <c r="K127" s="18">
        <v>0</v>
      </c>
      <c r="L127" s="18">
        <v>0</v>
      </c>
      <c r="M127" s="18">
        <f t="shared" si="44"/>
        <v>0</v>
      </c>
      <c r="N127" s="18">
        <v>0</v>
      </c>
      <c r="O127" s="18">
        <v>0</v>
      </c>
      <c r="P127" s="236">
        <f t="shared" si="45"/>
        <v>0</v>
      </c>
      <c r="Q127" s="18">
        <f>Q126+B127</f>
        <v>0</v>
      </c>
      <c r="R127" s="18">
        <f>R126+C127</f>
        <v>0</v>
      </c>
      <c r="S127" s="18">
        <f t="shared" si="57"/>
        <v>0</v>
      </c>
      <c r="T127" s="18">
        <f>T126+E127</f>
        <v>0</v>
      </c>
      <c r="U127" s="18">
        <f>U126+F127</f>
        <v>0</v>
      </c>
      <c r="V127" s="18">
        <f t="shared" si="59"/>
        <v>0</v>
      </c>
      <c r="W127" s="140">
        <f t="shared" si="60"/>
        <v>0</v>
      </c>
    </row>
    <row r="128" spans="1:23">
      <c r="A128" s="138">
        <v>43952</v>
      </c>
      <c r="B128" s="139">
        <f t="shared" si="65"/>
        <v>0</v>
      </c>
      <c r="C128" s="18">
        <v>0</v>
      </c>
      <c r="D128" s="18">
        <f t="shared" si="39"/>
        <v>0</v>
      </c>
      <c r="E128" s="18">
        <v>0</v>
      </c>
      <c r="F128" s="18">
        <f t="shared" si="64"/>
        <v>0</v>
      </c>
      <c r="G128" s="18">
        <f t="shared" si="41"/>
        <v>0</v>
      </c>
      <c r="H128" s="18">
        <f t="shared" si="66"/>
        <v>0</v>
      </c>
      <c r="I128" s="18">
        <f t="shared" si="66"/>
        <v>0</v>
      </c>
      <c r="J128" s="235">
        <f t="shared" si="43"/>
        <v>0</v>
      </c>
      <c r="K128" s="18">
        <v>0</v>
      </c>
      <c r="L128" s="18">
        <v>0</v>
      </c>
      <c r="M128" s="18">
        <f t="shared" si="44"/>
        <v>0</v>
      </c>
      <c r="N128" s="18">
        <v>0</v>
      </c>
      <c r="O128" s="18">
        <v>0</v>
      </c>
      <c r="P128" s="236">
        <f t="shared" si="45"/>
        <v>0</v>
      </c>
      <c r="Q128" s="18">
        <f>B128</f>
        <v>0</v>
      </c>
      <c r="R128" s="18">
        <f>C128</f>
        <v>0</v>
      </c>
      <c r="S128" s="18">
        <f t="shared" si="57"/>
        <v>0</v>
      </c>
      <c r="T128" s="18">
        <f>E128</f>
        <v>0</v>
      </c>
      <c r="U128" s="18">
        <f>F128</f>
        <v>0</v>
      </c>
      <c r="V128" s="18">
        <f t="shared" si="59"/>
        <v>0</v>
      </c>
      <c r="W128" s="140">
        <f t="shared" si="60"/>
        <v>0</v>
      </c>
    </row>
    <row r="129" spans="1:23">
      <c r="A129" s="138">
        <v>43983</v>
      </c>
      <c r="B129" s="139">
        <f t="shared" si="65"/>
        <v>0</v>
      </c>
      <c r="C129" s="18">
        <v>0</v>
      </c>
      <c r="D129" s="18">
        <f t="shared" si="39"/>
        <v>0</v>
      </c>
      <c r="E129" s="18">
        <v>0</v>
      </c>
      <c r="F129" s="18">
        <f t="shared" si="64"/>
        <v>0</v>
      </c>
      <c r="G129" s="18">
        <f t="shared" si="41"/>
        <v>0</v>
      </c>
      <c r="H129" s="18">
        <f t="shared" si="66"/>
        <v>0</v>
      </c>
      <c r="I129" s="18">
        <f t="shared" si="66"/>
        <v>0</v>
      </c>
      <c r="J129" s="235">
        <f t="shared" si="43"/>
        <v>0</v>
      </c>
      <c r="K129" s="18">
        <v>0</v>
      </c>
      <c r="L129" s="18">
        <v>0</v>
      </c>
      <c r="M129" s="18">
        <f t="shared" si="44"/>
        <v>0</v>
      </c>
      <c r="N129" s="18">
        <v>0</v>
      </c>
      <c r="O129" s="18">
        <v>0</v>
      </c>
      <c r="P129" s="236">
        <f t="shared" si="45"/>
        <v>0</v>
      </c>
      <c r="Q129" s="18">
        <f>Q128+B129</f>
        <v>0</v>
      </c>
      <c r="R129" s="18">
        <f>R128+C129</f>
        <v>0</v>
      </c>
      <c r="S129" s="18">
        <f t="shared" si="57"/>
        <v>0</v>
      </c>
      <c r="T129" s="18">
        <f>T128+E129</f>
        <v>0</v>
      </c>
      <c r="U129" s="18">
        <f>U128+F129</f>
        <v>0</v>
      </c>
      <c r="V129" s="18">
        <f t="shared" si="59"/>
        <v>0</v>
      </c>
      <c r="W129" s="140">
        <f t="shared" si="60"/>
        <v>0</v>
      </c>
    </row>
    <row r="130" spans="1:23">
      <c r="A130" s="138">
        <v>44013</v>
      </c>
      <c r="B130" s="139">
        <f t="shared" si="65"/>
        <v>0</v>
      </c>
      <c r="C130" s="18">
        <v>0</v>
      </c>
      <c r="D130" s="18">
        <f t="shared" si="39"/>
        <v>0</v>
      </c>
      <c r="E130" s="18">
        <v>0</v>
      </c>
      <c r="F130" s="18">
        <f t="shared" si="64"/>
        <v>0</v>
      </c>
      <c r="G130" s="18">
        <f t="shared" si="41"/>
        <v>0</v>
      </c>
      <c r="H130" s="18">
        <f t="shared" si="66"/>
        <v>0</v>
      </c>
      <c r="I130" s="18">
        <f t="shared" si="66"/>
        <v>0</v>
      </c>
      <c r="J130" s="235">
        <f t="shared" si="43"/>
        <v>0</v>
      </c>
      <c r="K130" s="18">
        <v>0</v>
      </c>
      <c r="L130" s="18">
        <v>0</v>
      </c>
      <c r="M130" s="18">
        <f t="shared" si="44"/>
        <v>0</v>
      </c>
      <c r="N130" s="18">
        <v>0</v>
      </c>
      <c r="O130" s="18">
        <v>0</v>
      </c>
      <c r="P130" s="236">
        <f t="shared" si="45"/>
        <v>0</v>
      </c>
      <c r="Q130" s="18">
        <f>B130</f>
        <v>0</v>
      </c>
      <c r="R130" s="18">
        <f>C130</f>
        <v>0</v>
      </c>
      <c r="S130" s="18">
        <f t="shared" si="57"/>
        <v>0</v>
      </c>
      <c r="T130" s="18">
        <f>E130</f>
        <v>0</v>
      </c>
      <c r="U130" s="18">
        <f>F130</f>
        <v>0</v>
      </c>
      <c r="V130" s="18">
        <f t="shared" si="59"/>
        <v>0</v>
      </c>
      <c r="W130" s="140">
        <f t="shared" si="60"/>
        <v>0</v>
      </c>
    </row>
    <row r="131" spans="1:23">
      <c r="A131" s="138">
        <v>44044</v>
      </c>
      <c r="B131" s="139">
        <f t="shared" si="65"/>
        <v>0</v>
      </c>
      <c r="C131" s="18">
        <v>0</v>
      </c>
      <c r="D131" s="18">
        <f t="shared" si="39"/>
        <v>0</v>
      </c>
      <c r="E131" s="18">
        <v>0</v>
      </c>
      <c r="F131" s="18">
        <f t="shared" si="64"/>
        <v>0</v>
      </c>
      <c r="G131" s="18">
        <f t="shared" si="41"/>
        <v>0</v>
      </c>
      <c r="H131" s="18">
        <f t="shared" si="66"/>
        <v>0</v>
      </c>
      <c r="I131" s="18">
        <f t="shared" si="66"/>
        <v>0</v>
      </c>
      <c r="J131" s="235">
        <f t="shared" si="43"/>
        <v>0</v>
      </c>
      <c r="K131" s="18">
        <v>0</v>
      </c>
      <c r="L131" s="18">
        <v>0</v>
      </c>
      <c r="M131" s="18">
        <f t="shared" si="44"/>
        <v>0</v>
      </c>
      <c r="N131" s="18">
        <v>0</v>
      </c>
      <c r="O131" s="18">
        <v>0</v>
      </c>
      <c r="P131" s="236">
        <f t="shared" si="45"/>
        <v>0</v>
      </c>
      <c r="Q131" s="18">
        <f>Q130+B131</f>
        <v>0</v>
      </c>
      <c r="R131" s="18">
        <f>R130+C131</f>
        <v>0</v>
      </c>
      <c r="S131" s="18">
        <f t="shared" si="57"/>
        <v>0</v>
      </c>
      <c r="T131" s="18">
        <f>T130+E131</f>
        <v>0</v>
      </c>
      <c r="U131" s="18">
        <f>U130+F131</f>
        <v>0</v>
      </c>
      <c r="V131" s="18">
        <f t="shared" si="59"/>
        <v>0</v>
      </c>
      <c r="W131" s="140">
        <f t="shared" si="60"/>
        <v>0</v>
      </c>
    </row>
    <row r="132" spans="1:23">
      <c r="A132" s="138">
        <v>44075</v>
      </c>
      <c r="B132" s="139">
        <f t="shared" si="65"/>
        <v>0</v>
      </c>
      <c r="C132" s="18">
        <v>0</v>
      </c>
      <c r="D132" s="18">
        <f t="shared" si="39"/>
        <v>0</v>
      </c>
      <c r="E132" s="18">
        <v>0</v>
      </c>
      <c r="F132" s="18">
        <f t="shared" si="64"/>
        <v>0</v>
      </c>
      <c r="G132" s="18">
        <f t="shared" si="41"/>
        <v>0</v>
      </c>
      <c r="H132" s="18">
        <f t="shared" si="66"/>
        <v>0</v>
      </c>
      <c r="I132" s="18">
        <f t="shared" si="66"/>
        <v>0</v>
      </c>
      <c r="J132" s="235">
        <f t="shared" si="43"/>
        <v>0</v>
      </c>
      <c r="K132" s="18">
        <v>0</v>
      </c>
      <c r="L132" s="18">
        <v>0</v>
      </c>
      <c r="M132" s="18">
        <f t="shared" si="44"/>
        <v>0</v>
      </c>
      <c r="N132" s="18">
        <v>0</v>
      </c>
      <c r="O132" s="18">
        <v>0</v>
      </c>
      <c r="P132" s="236">
        <f t="shared" si="45"/>
        <v>0</v>
      </c>
      <c r="Q132" s="18">
        <f t="shared" ref="Q132:R136" si="67">B132</f>
        <v>0</v>
      </c>
      <c r="R132" s="18">
        <f t="shared" si="67"/>
        <v>0</v>
      </c>
      <c r="S132" s="18">
        <f t="shared" si="57"/>
        <v>0</v>
      </c>
      <c r="T132" s="18">
        <f t="shared" ref="T132:U136" si="68">E132</f>
        <v>0</v>
      </c>
      <c r="U132" s="18">
        <f t="shared" si="68"/>
        <v>0</v>
      </c>
      <c r="V132" s="18">
        <f t="shared" si="59"/>
        <v>0</v>
      </c>
      <c r="W132" s="140">
        <f t="shared" si="60"/>
        <v>0</v>
      </c>
    </row>
    <row r="133" spans="1:23">
      <c r="A133" s="138">
        <v>44105</v>
      </c>
      <c r="B133" s="139">
        <f t="shared" si="65"/>
        <v>0</v>
      </c>
      <c r="C133" s="18">
        <v>0</v>
      </c>
      <c r="D133" s="18">
        <f t="shared" ref="D133:D186" si="69">C133+B133</f>
        <v>0</v>
      </c>
      <c r="E133" s="18">
        <v>0</v>
      </c>
      <c r="F133" s="18">
        <f t="shared" si="64"/>
        <v>0</v>
      </c>
      <c r="G133" s="18">
        <f t="shared" ref="G133:G186" si="70">F133+E133</f>
        <v>0</v>
      </c>
      <c r="H133" s="18">
        <f t="shared" si="66"/>
        <v>0</v>
      </c>
      <c r="I133" s="18">
        <f t="shared" si="66"/>
        <v>0</v>
      </c>
      <c r="J133" s="235">
        <f t="shared" ref="J133:J186" si="71">I133+H133</f>
        <v>0</v>
      </c>
      <c r="K133" s="18">
        <v>0</v>
      </c>
      <c r="L133" s="18">
        <v>0</v>
      </c>
      <c r="M133" s="18">
        <f t="shared" ref="M133:M186" si="72">L133+K133</f>
        <v>0</v>
      </c>
      <c r="N133" s="18">
        <v>0</v>
      </c>
      <c r="O133" s="18">
        <v>0</v>
      </c>
      <c r="P133" s="236">
        <f t="shared" ref="P133:P186" si="73">O133+N133</f>
        <v>0</v>
      </c>
      <c r="Q133" s="18">
        <f t="shared" si="67"/>
        <v>0</v>
      </c>
      <c r="R133" s="18">
        <f t="shared" si="67"/>
        <v>0</v>
      </c>
      <c r="S133" s="18">
        <f t="shared" si="57"/>
        <v>0</v>
      </c>
      <c r="T133" s="18">
        <f t="shared" si="68"/>
        <v>0</v>
      </c>
      <c r="U133" s="18">
        <f t="shared" si="68"/>
        <v>0</v>
      </c>
      <c r="V133" s="18">
        <f t="shared" si="59"/>
        <v>0</v>
      </c>
      <c r="W133" s="140">
        <f t="shared" si="60"/>
        <v>0</v>
      </c>
    </row>
    <row r="134" spans="1:23">
      <c r="A134" s="138">
        <v>44136</v>
      </c>
      <c r="B134" s="139">
        <f t="shared" si="65"/>
        <v>0</v>
      </c>
      <c r="C134" s="18">
        <v>0</v>
      </c>
      <c r="D134" s="18">
        <f t="shared" si="69"/>
        <v>0</v>
      </c>
      <c r="E134" s="18">
        <v>0</v>
      </c>
      <c r="F134" s="18">
        <f t="shared" si="64"/>
        <v>55892</v>
      </c>
      <c r="G134" s="18">
        <f t="shared" si="70"/>
        <v>55892</v>
      </c>
      <c r="H134" s="18">
        <f t="shared" si="66"/>
        <v>0</v>
      </c>
      <c r="I134" s="18">
        <f t="shared" si="66"/>
        <v>55892</v>
      </c>
      <c r="J134" s="235">
        <f t="shared" si="71"/>
        <v>55892</v>
      </c>
      <c r="K134" s="18">
        <v>0</v>
      </c>
      <c r="L134" s="18">
        <v>0</v>
      </c>
      <c r="M134" s="18">
        <f t="shared" si="72"/>
        <v>0</v>
      </c>
      <c r="N134" s="18">
        <v>55892</v>
      </c>
      <c r="O134" s="18">
        <v>0</v>
      </c>
      <c r="P134" s="236">
        <f t="shared" si="73"/>
        <v>55892</v>
      </c>
      <c r="Q134" s="18">
        <f t="shared" si="67"/>
        <v>0</v>
      </c>
      <c r="R134" s="18">
        <f t="shared" si="67"/>
        <v>0</v>
      </c>
      <c r="S134" s="18">
        <f t="shared" si="57"/>
        <v>0</v>
      </c>
      <c r="T134" s="18">
        <f t="shared" si="68"/>
        <v>0</v>
      </c>
      <c r="U134" s="18">
        <f t="shared" si="68"/>
        <v>55892</v>
      </c>
      <c r="V134" s="18">
        <f t="shared" si="59"/>
        <v>55892</v>
      </c>
      <c r="W134" s="140">
        <f t="shared" si="60"/>
        <v>55892</v>
      </c>
    </row>
    <row r="135" spans="1:23" ht="15.75" thickBot="1">
      <c r="A135" s="138">
        <v>44166</v>
      </c>
      <c r="B135" s="139">
        <f t="shared" si="65"/>
        <v>0</v>
      </c>
      <c r="C135" s="18">
        <v>0</v>
      </c>
      <c r="D135" s="18">
        <f t="shared" si="69"/>
        <v>0</v>
      </c>
      <c r="E135" s="18">
        <v>0</v>
      </c>
      <c r="F135" s="18">
        <f t="shared" si="64"/>
        <v>0</v>
      </c>
      <c r="G135" s="18">
        <f t="shared" si="70"/>
        <v>0</v>
      </c>
      <c r="H135" s="18">
        <f t="shared" si="66"/>
        <v>0</v>
      </c>
      <c r="I135" s="18">
        <f t="shared" si="66"/>
        <v>0</v>
      </c>
      <c r="J135" s="235">
        <f t="shared" si="71"/>
        <v>0</v>
      </c>
      <c r="K135" s="18">
        <v>0</v>
      </c>
      <c r="L135" s="18">
        <v>0</v>
      </c>
      <c r="M135" s="18">
        <f t="shared" si="72"/>
        <v>0</v>
      </c>
      <c r="N135" s="18">
        <v>0</v>
      </c>
      <c r="O135" s="18">
        <v>0</v>
      </c>
      <c r="P135" s="236">
        <f t="shared" si="73"/>
        <v>0</v>
      </c>
      <c r="Q135" s="18">
        <f t="shared" si="67"/>
        <v>0</v>
      </c>
      <c r="R135" s="18">
        <f t="shared" si="67"/>
        <v>0</v>
      </c>
      <c r="S135" s="18">
        <f t="shared" si="57"/>
        <v>0</v>
      </c>
      <c r="T135" s="18">
        <f t="shared" si="68"/>
        <v>0</v>
      </c>
      <c r="U135" s="18">
        <f t="shared" si="68"/>
        <v>0</v>
      </c>
      <c r="V135" s="18">
        <f t="shared" si="59"/>
        <v>0</v>
      </c>
      <c r="W135" s="140">
        <f t="shared" si="60"/>
        <v>0</v>
      </c>
    </row>
    <row r="136" spans="1:23">
      <c r="A136" s="138">
        <v>44197</v>
      </c>
      <c r="B136" s="142">
        <f t="shared" si="65"/>
        <v>0</v>
      </c>
      <c r="C136" s="143">
        <v>0</v>
      </c>
      <c r="D136" s="143">
        <f t="shared" si="69"/>
        <v>0</v>
      </c>
      <c r="E136" s="143">
        <v>0</v>
      </c>
      <c r="F136" s="143">
        <f t="shared" si="64"/>
        <v>0</v>
      </c>
      <c r="G136" s="143">
        <f t="shared" si="70"/>
        <v>0</v>
      </c>
      <c r="H136" s="143">
        <f t="shared" si="66"/>
        <v>0</v>
      </c>
      <c r="I136" s="143">
        <f t="shared" si="66"/>
        <v>0</v>
      </c>
      <c r="J136" s="237">
        <f t="shared" si="71"/>
        <v>0</v>
      </c>
      <c r="K136" s="143">
        <v>0</v>
      </c>
      <c r="L136" s="143">
        <v>0</v>
      </c>
      <c r="M136" s="143">
        <f t="shared" si="72"/>
        <v>0</v>
      </c>
      <c r="N136" s="143">
        <v>0</v>
      </c>
      <c r="O136" s="143">
        <v>0</v>
      </c>
      <c r="P136" s="238">
        <f t="shared" si="73"/>
        <v>0</v>
      </c>
      <c r="Q136" s="143">
        <f t="shared" si="67"/>
        <v>0</v>
      </c>
      <c r="R136" s="143">
        <f t="shared" si="67"/>
        <v>0</v>
      </c>
      <c r="S136" s="143">
        <f t="shared" si="57"/>
        <v>0</v>
      </c>
      <c r="T136" s="143">
        <f t="shared" si="68"/>
        <v>0</v>
      </c>
      <c r="U136" s="143">
        <f t="shared" si="68"/>
        <v>0</v>
      </c>
      <c r="V136" s="143">
        <f t="shared" si="59"/>
        <v>0</v>
      </c>
      <c r="W136" s="144">
        <f t="shared" si="60"/>
        <v>0</v>
      </c>
    </row>
    <row r="137" spans="1:23">
      <c r="A137" s="138">
        <v>44228</v>
      </c>
      <c r="B137" s="139">
        <f t="shared" si="65"/>
        <v>0</v>
      </c>
      <c r="C137" s="18">
        <v>0</v>
      </c>
      <c r="D137" s="18">
        <f t="shared" si="69"/>
        <v>0</v>
      </c>
      <c r="E137" s="18">
        <v>0</v>
      </c>
      <c r="F137" s="18">
        <f t="shared" si="64"/>
        <v>0</v>
      </c>
      <c r="G137" s="18">
        <f t="shared" si="70"/>
        <v>0</v>
      </c>
      <c r="H137" s="18">
        <f t="shared" si="66"/>
        <v>0</v>
      </c>
      <c r="I137" s="18">
        <f t="shared" si="66"/>
        <v>0</v>
      </c>
      <c r="J137" s="235">
        <f t="shared" si="71"/>
        <v>0</v>
      </c>
      <c r="K137" s="18">
        <v>0</v>
      </c>
      <c r="L137" s="18">
        <v>0</v>
      </c>
      <c r="M137" s="18">
        <f t="shared" si="72"/>
        <v>0</v>
      </c>
      <c r="N137" s="18">
        <v>0</v>
      </c>
      <c r="O137" s="18">
        <v>0</v>
      </c>
      <c r="P137" s="236">
        <f t="shared" si="73"/>
        <v>0</v>
      </c>
      <c r="Q137" s="18">
        <f t="shared" ref="Q137:R147" si="74">Q136+B137</f>
        <v>0</v>
      </c>
      <c r="R137" s="18">
        <f t="shared" si="74"/>
        <v>0</v>
      </c>
      <c r="S137" s="18">
        <f t="shared" si="57"/>
        <v>0</v>
      </c>
      <c r="T137" s="18">
        <f t="shared" ref="T137:U147" si="75">T136+E137</f>
        <v>0</v>
      </c>
      <c r="U137" s="18">
        <f t="shared" si="75"/>
        <v>0</v>
      </c>
      <c r="V137" s="18">
        <f t="shared" si="59"/>
        <v>0</v>
      </c>
      <c r="W137" s="140">
        <f t="shared" si="60"/>
        <v>0</v>
      </c>
    </row>
    <row r="138" spans="1:23">
      <c r="A138" s="138">
        <v>44256</v>
      </c>
      <c r="B138" s="139">
        <f t="shared" si="65"/>
        <v>0</v>
      </c>
      <c r="C138" s="18">
        <v>0</v>
      </c>
      <c r="D138" s="18">
        <f t="shared" si="69"/>
        <v>0</v>
      </c>
      <c r="E138" s="18">
        <v>0</v>
      </c>
      <c r="F138" s="18">
        <f>P138</f>
        <v>0</v>
      </c>
      <c r="G138" s="18">
        <f t="shared" si="70"/>
        <v>0</v>
      </c>
      <c r="H138" s="18">
        <f t="shared" si="66"/>
        <v>0</v>
      </c>
      <c r="I138" s="18">
        <f t="shared" si="66"/>
        <v>0</v>
      </c>
      <c r="J138" s="235">
        <f t="shared" si="71"/>
        <v>0</v>
      </c>
      <c r="K138" s="18">
        <v>0</v>
      </c>
      <c r="L138" s="18">
        <v>0</v>
      </c>
      <c r="M138" s="18">
        <f t="shared" si="72"/>
        <v>0</v>
      </c>
      <c r="N138" s="18">
        <v>0</v>
      </c>
      <c r="O138" s="18">
        <v>0</v>
      </c>
      <c r="P138" s="236">
        <f t="shared" si="73"/>
        <v>0</v>
      </c>
      <c r="Q138" s="18">
        <f t="shared" si="74"/>
        <v>0</v>
      </c>
      <c r="R138" s="18">
        <f t="shared" si="74"/>
        <v>0</v>
      </c>
      <c r="S138" s="18">
        <f t="shared" si="57"/>
        <v>0</v>
      </c>
      <c r="T138" s="18">
        <f t="shared" si="75"/>
        <v>0</v>
      </c>
      <c r="U138" s="18">
        <f t="shared" si="75"/>
        <v>0</v>
      </c>
      <c r="V138" s="18">
        <f t="shared" si="59"/>
        <v>0</v>
      </c>
      <c r="W138" s="140">
        <f t="shared" si="60"/>
        <v>0</v>
      </c>
    </row>
    <row r="139" spans="1:23">
      <c r="A139" s="138">
        <v>44287</v>
      </c>
      <c r="B139" s="139">
        <f t="shared" si="65"/>
        <v>0</v>
      </c>
      <c r="C139" s="18">
        <v>0</v>
      </c>
      <c r="D139" s="18">
        <f t="shared" si="69"/>
        <v>0</v>
      </c>
      <c r="E139" s="18">
        <v>0</v>
      </c>
      <c r="F139" s="18">
        <f>P139</f>
        <v>0</v>
      </c>
      <c r="G139" s="18">
        <f t="shared" si="70"/>
        <v>0</v>
      </c>
      <c r="H139" s="18">
        <f t="shared" si="66"/>
        <v>0</v>
      </c>
      <c r="I139" s="18">
        <f t="shared" si="66"/>
        <v>0</v>
      </c>
      <c r="J139" s="235">
        <f t="shared" si="71"/>
        <v>0</v>
      </c>
      <c r="K139" s="18">
        <v>0</v>
      </c>
      <c r="L139" s="18">
        <v>0</v>
      </c>
      <c r="M139" s="18">
        <f t="shared" si="72"/>
        <v>0</v>
      </c>
      <c r="N139" s="18">
        <v>0</v>
      </c>
      <c r="O139" s="18">
        <v>0</v>
      </c>
      <c r="P139" s="236">
        <f t="shared" si="73"/>
        <v>0</v>
      </c>
      <c r="Q139" s="18">
        <f t="shared" si="74"/>
        <v>0</v>
      </c>
      <c r="R139" s="18">
        <f t="shared" si="74"/>
        <v>0</v>
      </c>
      <c r="S139" s="18">
        <f t="shared" si="57"/>
        <v>0</v>
      </c>
      <c r="T139" s="18">
        <f t="shared" si="75"/>
        <v>0</v>
      </c>
      <c r="U139" s="18">
        <f t="shared" si="75"/>
        <v>0</v>
      </c>
      <c r="V139" s="18">
        <f t="shared" si="59"/>
        <v>0</v>
      </c>
      <c r="W139" s="140">
        <f t="shared" si="60"/>
        <v>0</v>
      </c>
    </row>
    <row r="140" spans="1:23">
      <c r="A140" s="138">
        <v>44317</v>
      </c>
      <c r="B140" s="139">
        <f t="shared" si="65"/>
        <v>0</v>
      </c>
      <c r="C140" s="18">
        <v>0</v>
      </c>
      <c r="D140" s="18">
        <f t="shared" si="69"/>
        <v>0</v>
      </c>
      <c r="E140" s="18">
        <v>0</v>
      </c>
      <c r="F140" s="18">
        <f>P140</f>
        <v>0</v>
      </c>
      <c r="G140" s="18">
        <f t="shared" si="70"/>
        <v>0</v>
      </c>
      <c r="H140" s="18">
        <f t="shared" si="66"/>
        <v>0</v>
      </c>
      <c r="I140" s="18">
        <f t="shared" si="66"/>
        <v>0</v>
      </c>
      <c r="J140" s="235">
        <f t="shared" si="71"/>
        <v>0</v>
      </c>
      <c r="K140" s="18">
        <v>0</v>
      </c>
      <c r="L140" s="18">
        <v>0</v>
      </c>
      <c r="M140" s="18">
        <f t="shared" si="72"/>
        <v>0</v>
      </c>
      <c r="N140" s="18">
        <v>0</v>
      </c>
      <c r="O140" s="18">
        <v>0</v>
      </c>
      <c r="P140" s="236">
        <f t="shared" si="73"/>
        <v>0</v>
      </c>
      <c r="Q140" s="18">
        <f t="shared" si="74"/>
        <v>0</v>
      </c>
      <c r="R140" s="18">
        <f t="shared" si="74"/>
        <v>0</v>
      </c>
      <c r="S140" s="18">
        <f t="shared" si="57"/>
        <v>0</v>
      </c>
      <c r="T140" s="18">
        <f t="shared" si="75"/>
        <v>0</v>
      </c>
      <c r="U140" s="18">
        <f t="shared" si="75"/>
        <v>0</v>
      </c>
      <c r="V140" s="18">
        <f t="shared" si="59"/>
        <v>0</v>
      </c>
      <c r="W140" s="140">
        <f t="shared" si="60"/>
        <v>0</v>
      </c>
    </row>
    <row r="141" spans="1:23">
      <c r="A141" s="138">
        <v>44348</v>
      </c>
      <c r="B141" s="139">
        <f t="shared" si="65"/>
        <v>0</v>
      </c>
      <c r="C141" s="18">
        <v>0</v>
      </c>
      <c r="D141" s="18">
        <f t="shared" si="69"/>
        <v>0</v>
      </c>
      <c r="E141" s="18">
        <v>0</v>
      </c>
      <c r="F141" s="18">
        <f>P141</f>
        <v>0</v>
      </c>
      <c r="G141" s="18">
        <f t="shared" si="70"/>
        <v>0</v>
      </c>
      <c r="H141" s="18">
        <f t="shared" si="66"/>
        <v>0</v>
      </c>
      <c r="I141" s="18">
        <f t="shared" si="66"/>
        <v>0</v>
      </c>
      <c r="J141" s="235">
        <f t="shared" si="71"/>
        <v>0</v>
      </c>
      <c r="K141" s="18">
        <v>0</v>
      </c>
      <c r="L141" s="18">
        <v>0</v>
      </c>
      <c r="M141" s="18">
        <f t="shared" si="72"/>
        <v>0</v>
      </c>
      <c r="N141" s="18">
        <v>0</v>
      </c>
      <c r="O141" s="18">
        <v>0</v>
      </c>
      <c r="P141" s="236">
        <f t="shared" si="73"/>
        <v>0</v>
      </c>
      <c r="Q141" s="18">
        <f t="shared" si="74"/>
        <v>0</v>
      </c>
      <c r="R141" s="18">
        <f t="shared" si="74"/>
        <v>0</v>
      </c>
      <c r="S141" s="18">
        <f t="shared" si="57"/>
        <v>0</v>
      </c>
      <c r="T141" s="18">
        <f t="shared" si="75"/>
        <v>0</v>
      </c>
      <c r="U141" s="18">
        <f t="shared" si="75"/>
        <v>0</v>
      </c>
      <c r="V141" s="18">
        <f t="shared" si="59"/>
        <v>0</v>
      </c>
      <c r="W141" s="140">
        <f t="shared" si="60"/>
        <v>0</v>
      </c>
    </row>
    <row r="142" spans="1:23">
      <c r="A142" s="138">
        <v>44378</v>
      </c>
      <c r="B142" s="139">
        <f t="shared" si="65"/>
        <v>0</v>
      </c>
      <c r="C142" s="18">
        <v>0</v>
      </c>
      <c r="D142" s="18">
        <f t="shared" si="69"/>
        <v>0</v>
      </c>
      <c r="E142" s="18">
        <v>0</v>
      </c>
      <c r="F142" s="18">
        <f>P142</f>
        <v>0</v>
      </c>
      <c r="G142" s="18">
        <f t="shared" si="70"/>
        <v>0</v>
      </c>
      <c r="H142" s="18">
        <f t="shared" si="66"/>
        <v>0</v>
      </c>
      <c r="I142" s="18">
        <f t="shared" si="66"/>
        <v>0</v>
      </c>
      <c r="J142" s="235">
        <f t="shared" si="71"/>
        <v>0</v>
      </c>
      <c r="K142" s="18">
        <v>0</v>
      </c>
      <c r="L142" s="18">
        <v>0</v>
      </c>
      <c r="M142" s="18">
        <f t="shared" si="72"/>
        <v>0</v>
      </c>
      <c r="N142" s="18">
        <v>0</v>
      </c>
      <c r="O142" s="18">
        <v>0</v>
      </c>
      <c r="P142" s="236">
        <f t="shared" si="73"/>
        <v>0</v>
      </c>
      <c r="Q142" s="18">
        <f t="shared" si="74"/>
        <v>0</v>
      </c>
      <c r="R142" s="18">
        <f t="shared" si="74"/>
        <v>0</v>
      </c>
      <c r="S142" s="18">
        <f t="shared" si="57"/>
        <v>0</v>
      </c>
      <c r="T142" s="18">
        <f t="shared" si="75"/>
        <v>0</v>
      </c>
      <c r="U142" s="18">
        <f t="shared" si="75"/>
        <v>0</v>
      </c>
      <c r="V142" s="18">
        <f t="shared" si="59"/>
        <v>0</v>
      </c>
      <c r="W142" s="140">
        <f t="shared" si="60"/>
        <v>0</v>
      </c>
    </row>
    <row r="143" spans="1:23">
      <c r="A143" s="138">
        <v>44409</v>
      </c>
      <c r="B143" s="139">
        <f t="shared" si="65"/>
        <v>0</v>
      </c>
      <c r="C143" s="18">
        <v>0</v>
      </c>
      <c r="D143" s="18">
        <f t="shared" si="69"/>
        <v>0</v>
      </c>
      <c r="E143" s="18">
        <v>0</v>
      </c>
      <c r="F143" s="18">
        <f t="shared" ref="F143:F179" si="76">P143</f>
        <v>0</v>
      </c>
      <c r="G143" s="18">
        <f t="shared" si="70"/>
        <v>0</v>
      </c>
      <c r="H143" s="18">
        <f t="shared" si="66"/>
        <v>0</v>
      </c>
      <c r="I143" s="18">
        <f t="shared" si="66"/>
        <v>0</v>
      </c>
      <c r="J143" s="235">
        <f t="shared" si="71"/>
        <v>0</v>
      </c>
      <c r="K143" s="18">
        <v>0</v>
      </c>
      <c r="L143" s="18">
        <v>0</v>
      </c>
      <c r="M143" s="18">
        <f t="shared" si="72"/>
        <v>0</v>
      </c>
      <c r="N143" s="18">
        <v>0</v>
      </c>
      <c r="O143" s="18">
        <v>0</v>
      </c>
      <c r="P143" s="236">
        <f t="shared" si="73"/>
        <v>0</v>
      </c>
      <c r="Q143" s="18">
        <f t="shared" si="74"/>
        <v>0</v>
      </c>
      <c r="R143" s="18">
        <f t="shared" si="74"/>
        <v>0</v>
      </c>
      <c r="S143" s="18">
        <f t="shared" si="57"/>
        <v>0</v>
      </c>
      <c r="T143" s="18">
        <f t="shared" si="75"/>
        <v>0</v>
      </c>
      <c r="U143" s="18">
        <f t="shared" si="75"/>
        <v>0</v>
      </c>
      <c r="V143" s="18">
        <f t="shared" si="59"/>
        <v>0</v>
      </c>
      <c r="W143" s="140">
        <f t="shared" si="60"/>
        <v>0</v>
      </c>
    </row>
    <row r="144" spans="1:23">
      <c r="A144" s="138">
        <v>44440</v>
      </c>
      <c r="B144" s="139">
        <f t="shared" si="65"/>
        <v>0</v>
      </c>
      <c r="C144" s="18">
        <v>0</v>
      </c>
      <c r="D144" s="18">
        <f t="shared" si="69"/>
        <v>0</v>
      </c>
      <c r="E144" s="18">
        <v>0</v>
      </c>
      <c r="F144" s="18">
        <f t="shared" si="76"/>
        <v>0</v>
      </c>
      <c r="G144" s="18">
        <f t="shared" si="70"/>
        <v>0</v>
      </c>
      <c r="H144" s="18">
        <f t="shared" si="66"/>
        <v>0</v>
      </c>
      <c r="I144" s="18">
        <f t="shared" si="66"/>
        <v>0</v>
      </c>
      <c r="J144" s="235">
        <f t="shared" si="71"/>
        <v>0</v>
      </c>
      <c r="K144" s="18">
        <v>0</v>
      </c>
      <c r="L144" s="18">
        <v>0</v>
      </c>
      <c r="M144" s="18">
        <f t="shared" si="72"/>
        <v>0</v>
      </c>
      <c r="N144" s="18">
        <v>0</v>
      </c>
      <c r="O144" s="18">
        <v>0</v>
      </c>
      <c r="P144" s="236">
        <f t="shared" si="73"/>
        <v>0</v>
      </c>
      <c r="Q144" s="18">
        <f t="shared" si="74"/>
        <v>0</v>
      </c>
      <c r="R144" s="18">
        <f t="shared" si="74"/>
        <v>0</v>
      </c>
      <c r="S144" s="18">
        <f t="shared" si="57"/>
        <v>0</v>
      </c>
      <c r="T144" s="18">
        <f t="shared" si="75"/>
        <v>0</v>
      </c>
      <c r="U144" s="18">
        <f t="shared" si="75"/>
        <v>0</v>
      </c>
      <c r="V144" s="18">
        <f t="shared" si="59"/>
        <v>0</v>
      </c>
      <c r="W144" s="140">
        <f t="shared" si="60"/>
        <v>0</v>
      </c>
    </row>
    <row r="145" spans="1:27">
      <c r="A145" s="138">
        <v>44470</v>
      </c>
      <c r="B145" s="139">
        <f t="shared" si="65"/>
        <v>0</v>
      </c>
      <c r="C145" s="18">
        <v>0</v>
      </c>
      <c r="D145" s="18">
        <f t="shared" si="69"/>
        <v>0</v>
      </c>
      <c r="E145" s="18">
        <v>0</v>
      </c>
      <c r="F145" s="18">
        <f t="shared" si="76"/>
        <v>60338</v>
      </c>
      <c r="G145" s="18">
        <f t="shared" si="70"/>
        <v>60338</v>
      </c>
      <c r="H145" s="18">
        <f t="shared" si="66"/>
        <v>0</v>
      </c>
      <c r="I145" s="18">
        <f t="shared" si="66"/>
        <v>60338</v>
      </c>
      <c r="J145" s="235">
        <f t="shared" si="71"/>
        <v>60338</v>
      </c>
      <c r="K145" s="18">
        <v>0</v>
      </c>
      <c r="L145" s="18">
        <v>0</v>
      </c>
      <c r="M145" s="18">
        <f t="shared" si="72"/>
        <v>0</v>
      </c>
      <c r="N145" s="18">
        <v>60338</v>
      </c>
      <c r="O145" s="18">
        <v>0</v>
      </c>
      <c r="P145" s="236">
        <f t="shared" si="73"/>
        <v>60338</v>
      </c>
      <c r="Q145" s="18">
        <f t="shared" si="74"/>
        <v>0</v>
      </c>
      <c r="R145" s="18">
        <f t="shared" si="74"/>
        <v>0</v>
      </c>
      <c r="S145" s="18">
        <f t="shared" si="57"/>
        <v>0</v>
      </c>
      <c r="T145" s="18">
        <f t="shared" si="75"/>
        <v>0</v>
      </c>
      <c r="U145" s="18">
        <f t="shared" si="75"/>
        <v>60338</v>
      </c>
      <c r="V145" s="18">
        <f t="shared" si="59"/>
        <v>60338</v>
      </c>
      <c r="W145" s="140">
        <f t="shared" si="60"/>
        <v>60338</v>
      </c>
    </row>
    <row r="146" spans="1:27">
      <c r="A146" s="138">
        <v>44501</v>
      </c>
      <c r="B146" s="139">
        <f t="shared" si="65"/>
        <v>0</v>
      </c>
      <c r="C146" s="18">
        <v>0</v>
      </c>
      <c r="D146" s="18">
        <f t="shared" si="69"/>
        <v>0</v>
      </c>
      <c r="E146" s="18">
        <v>0</v>
      </c>
      <c r="F146" s="18">
        <f t="shared" si="76"/>
        <v>6435</v>
      </c>
      <c r="G146" s="18">
        <f t="shared" si="70"/>
        <v>6435</v>
      </c>
      <c r="H146" s="18">
        <f t="shared" si="66"/>
        <v>0</v>
      </c>
      <c r="I146" s="18">
        <f t="shared" si="66"/>
        <v>6435</v>
      </c>
      <c r="J146" s="235">
        <f t="shared" si="71"/>
        <v>6435</v>
      </c>
      <c r="K146" s="18">
        <v>0</v>
      </c>
      <c r="L146" s="18">
        <v>0</v>
      </c>
      <c r="M146" s="18">
        <f t="shared" si="72"/>
        <v>0</v>
      </c>
      <c r="N146" s="18">
        <v>6435</v>
      </c>
      <c r="O146" s="18">
        <v>0</v>
      </c>
      <c r="P146" s="236">
        <f t="shared" si="73"/>
        <v>6435</v>
      </c>
      <c r="Q146" s="18">
        <f t="shared" si="74"/>
        <v>0</v>
      </c>
      <c r="R146" s="18">
        <f t="shared" si="74"/>
        <v>0</v>
      </c>
      <c r="S146" s="18">
        <f t="shared" si="57"/>
        <v>0</v>
      </c>
      <c r="T146" s="18">
        <f t="shared" si="75"/>
        <v>0</v>
      </c>
      <c r="U146" s="18">
        <f t="shared" si="75"/>
        <v>66773</v>
      </c>
      <c r="V146" s="18">
        <f t="shared" si="59"/>
        <v>66773</v>
      </c>
      <c r="W146" s="140">
        <f t="shared" si="60"/>
        <v>66773</v>
      </c>
    </row>
    <row r="147" spans="1:27" ht="15.75" thickBot="1">
      <c r="A147" s="138">
        <v>44531</v>
      </c>
      <c r="B147" s="139">
        <f t="shared" si="65"/>
        <v>0</v>
      </c>
      <c r="C147" s="18">
        <v>0</v>
      </c>
      <c r="D147" s="18">
        <f t="shared" si="69"/>
        <v>0</v>
      </c>
      <c r="E147" s="18">
        <v>0</v>
      </c>
      <c r="F147" s="18">
        <f t="shared" si="76"/>
        <v>180745</v>
      </c>
      <c r="G147" s="18">
        <f t="shared" si="70"/>
        <v>180745</v>
      </c>
      <c r="H147" s="18">
        <f t="shared" si="66"/>
        <v>0</v>
      </c>
      <c r="I147" s="18">
        <f t="shared" si="66"/>
        <v>180745</v>
      </c>
      <c r="J147" s="235">
        <f t="shared" si="71"/>
        <v>180745</v>
      </c>
      <c r="K147" s="18">
        <v>0</v>
      </c>
      <c r="L147" s="18">
        <v>0</v>
      </c>
      <c r="M147" s="18">
        <f t="shared" si="72"/>
        <v>0</v>
      </c>
      <c r="N147" s="18">
        <v>180745</v>
      </c>
      <c r="O147" s="18">
        <v>0</v>
      </c>
      <c r="P147" s="236">
        <f t="shared" si="73"/>
        <v>180745</v>
      </c>
      <c r="Q147" s="18">
        <f t="shared" si="74"/>
        <v>0</v>
      </c>
      <c r="R147" s="18">
        <f t="shared" si="74"/>
        <v>0</v>
      </c>
      <c r="S147" s="18">
        <f t="shared" si="57"/>
        <v>0</v>
      </c>
      <c r="T147" s="18">
        <f t="shared" si="75"/>
        <v>0</v>
      </c>
      <c r="U147" s="18">
        <f t="shared" si="75"/>
        <v>247518</v>
      </c>
      <c r="V147" s="18">
        <f t="shared" si="59"/>
        <v>247518</v>
      </c>
      <c r="W147" s="140">
        <f t="shared" si="60"/>
        <v>247518</v>
      </c>
    </row>
    <row r="148" spans="1:27">
      <c r="A148" s="138">
        <v>44562</v>
      </c>
      <c r="B148" s="142">
        <f t="shared" si="65"/>
        <v>0</v>
      </c>
      <c r="C148" s="143">
        <v>0</v>
      </c>
      <c r="D148" s="143">
        <f t="shared" si="69"/>
        <v>0</v>
      </c>
      <c r="E148" s="143">
        <v>0</v>
      </c>
      <c r="F148" s="143">
        <f t="shared" si="76"/>
        <v>0</v>
      </c>
      <c r="G148" s="143">
        <f t="shared" si="70"/>
        <v>0</v>
      </c>
      <c r="H148" s="143">
        <f t="shared" ref="H148:I166" si="77">B148+E148</f>
        <v>0</v>
      </c>
      <c r="I148" s="143">
        <f t="shared" si="77"/>
        <v>0</v>
      </c>
      <c r="J148" s="237">
        <f t="shared" si="71"/>
        <v>0</v>
      </c>
      <c r="K148" s="143">
        <v>0</v>
      </c>
      <c r="L148" s="143">
        <v>0</v>
      </c>
      <c r="M148" s="143">
        <f t="shared" si="72"/>
        <v>0</v>
      </c>
      <c r="N148" s="143">
        <v>0</v>
      </c>
      <c r="O148" s="143">
        <v>0</v>
      </c>
      <c r="P148" s="238">
        <f t="shared" si="73"/>
        <v>0</v>
      </c>
      <c r="Q148" s="143">
        <f>B148</f>
        <v>0</v>
      </c>
      <c r="R148" s="143">
        <f>C148</f>
        <v>0</v>
      </c>
      <c r="S148" s="143">
        <f t="shared" si="57"/>
        <v>0</v>
      </c>
      <c r="T148" s="143">
        <f>E148</f>
        <v>0</v>
      </c>
      <c r="U148" s="143">
        <f>F148</f>
        <v>0</v>
      </c>
      <c r="V148" s="143">
        <f t="shared" si="59"/>
        <v>0</v>
      </c>
      <c r="W148" s="144">
        <f t="shared" si="60"/>
        <v>0</v>
      </c>
    </row>
    <row r="149" spans="1:27">
      <c r="A149" s="138">
        <v>44593</v>
      </c>
      <c r="B149" s="139">
        <f t="shared" si="65"/>
        <v>0</v>
      </c>
      <c r="C149" s="18">
        <v>0</v>
      </c>
      <c r="D149" s="18">
        <f t="shared" si="69"/>
        <v>0</v>
      </c>
      <c r="E149" s="18">
        <v>0</v>
      </c>
      <c r="F149" s="18">
        <f t="shared" si="76"/>
        <v>58930</v>
      </c>
      <c r="G149" s="18">
        <f t="shared" si="70"/>
        <v>58930</v>
      </c>
      <c r="H149" s="18">
        <f t="shared" si="77"/>
        <v>0</v>
      </c>
      <c r="I149" s="18">
        <f t="shared" si="77"/>
        <v>58930</v>
      </c>
      <c r="J149" s="235">
        <f t="shared" si="71"/>
        <v>58930</v>
      </c>
      <c r="K149" s="18">
        <v>0</v>
      </c>
      <c r="L149" s="18">
        <v>0</v>
      </c>
      <c r="M149" s="18">
        <f t="shared" si="72"/>
        <v>0</v>
      </c>
      <c r="N149" s="18">
        <v>58930</v>
      </c>
      <c r="O149" s="18">
        <v>0</v>
      </c>
      <c r="P149" s="236">
        <f t="shared" si="73"/>
        <v>58930</v>
      </c>
      <c r="Q149" s="18">
        <f t="shared" ref="Q149:R159" si="78">Q148+B149</f>
        <v>0</v>
      </c>
      <c r="R149" s="18">
        <f t="shared" si="78"/>
        <v>0</v>
      </c>
      <c r="S149" s="18">
        <f t="shared" si="57"/>
        <v>0</v>
      </c>
      <c r="T149" s="18">
        <f t="shared" ref="T149:U159" si="79">T148+E149</f>
        <v>0</v>
      </c>
      <c r="U149" s="18">
        <f t="shared" si="79"/>
        <v>58930</v>
      </c>
      <c r="V149" s="18">
        <f t="shared" si="59"/>
        <v>58930</v>
      </c>
      <c r="W149" s="140">
        <f t="shared" si="60"/>
        <v>58930</v>
      </c>
    </row>
    <row r="150" spans="1:27">
      <c r="A150" s="138">
        <v>44621</v>
      </c>
      <c r="B150" s="139">
        <f t="shared" si="65"/>
        <v>0</v>
      </c>
      <c r="C150" s="18">
        <v>0</v>
      </c>
      <c r="D150" s="18">
        <f t="shared" si="69"/>
        <v>0</v>
      </c>
      <c r="E150" s="18">
        <v>0</v>
      </c>
      <c r="F150" s="18">
        <f t="shared" si="76"/>
        <v>0</v>
      </c>
      <c r="G150" s="18">
        <f t="shared" si="70"/>
        <v>0</v>
      </c>
      <c r="H150" s="18">
        <f t="shared" si="77"/>
        <v>0</v>
      </c>
      <c r="I150" s="18">
        <f t="shared" si="77"/>
        <v>0</v>
      </c>
      <c r="J150" s="235">
        <f t="shared" si="71"/>
        <v>0</v>
      </c>
      <c r="K150" s="18">
        <v>0</v>
      </c>
      <c r="L150" s="18">
        <v>0</v>
      </c>
      <c r="M150" s="18">
        <f t="shared" si="72"/>
        <v>0</v>
      </c>
      <c r="N150" s="18">
        <v>0</v>
      </c>
      <c r="O150" s="18">
        <v>0</v>
      </c>
      <c r="P150" s="236">
        <f t="shared" si="73"/>
        <v>0</v>
      </c>
      <c r="Q150" s="18">
        <f t="shared" si="78"/>
        <v>0</v>
      </c>
      <c r="R150" s="18">
        <f t="shared" si="78"/>
        <v>0</v>
      </c>
      <c r="S150" s="18">
        <f t="shared" si="57"/>
        <v>0</v>
      </c>
      <c r="T150" s="18">
        <f t="shared" si="79"/>
        <v>0</v>
      </c>
      <c r="U150" s="18">
        <f t="shared" si="79"/>
        <v>58930</v>
      </c>
      <c r="V150" s="18">
        <f t="shared" si="59"/>
        <v>58930</v>
      </c>
      <c r="W150" s="140">
        <f t="shared" si="60"/>
        <v>58930</v>
      </c>
    </row>
    <row r="151" spans="1:27">
      <c r="A151" s="138">
        <v>44652</v>
      </c>
      <c r="B151" s="139">
        <f t="shared" si="65"/>
        <v>0</v>
      </c>
      <c r="C151" s="18">
        <v>0</v>
      </c>
      <c r="D151" s="18">
        <f t="shared" si="69"/>
        <v>0</v>
      </c>
      <c r="E151" s="18">
        <v>0</v>
      </c>
      <c r="F151" s="18">
        <f t="shared" si="76"/>
        <v>0</v>
      </c>
      <c r="G151" s="18">
        <f t="shared" si="70"/>
        <v>0</v>
      </c>
      <c r="H151" s="18">
        <f t="shared" si="77"/>
        <v>0</v>
      </c>
      <c r="I151" s="18">
        <f t="shared" si="77"/>
        <v>0</v>
      </c>
      <c r="J151" s="235">
        <f t="shared" si="71"/>
        <v>0</v>
      </c>
      <c r="K151" s="18">
        <v>0</v>
      </c>
      <c r="L151" s="18">
        <v>0</v>
      </c>
      <c r="M151" s="18">
        <f t="shared" si="72"/>
        <v>0</v>
      </c>
      <c r="N151" s="18">
        <v>0</v>
      </c>
      <c r="O151" s="18">
        <v>0</v>
      </c>
      <c r="P151" s="236">
        <f t="shared" si="73"/>
        <v>0</v>
      </c>
      <c r="Q151" s="18">
        <f t="shared" si="78"/>
        <v>0</v>
      </c>
      <c r="R151" s="18">
        <f t="shared" si="78"/>
        <v>0</v>
      </c>
      <c r="S151" s="18">
        <f t="shared" si="57"/>
        <v>0</v>
      </c>
      <c r="T151" s="18">
        <f t="shared" si="79"/>
        <v>0</v>
      </c>
      <c r="U151" s="18">
        <f t="shared" si="79"/>
        <v>58930</v>
      </c>
      <c r="V151" s="18">
        <f t="shared" si="59"/>
        <v>58930</v>
      </c>
      <c r="W151" s="140">
        <f t="shared" si="60"/>
        <v>58930</v>
      </c>
    </row>
    <row r="152" spans="1:27">
      <c r="A152" s="138">
        <v>44682</v>
      </c>
      <c r="B152" s="139">
        <f t="shared" si="65"/>
        <v>0</v>
      </c>
      <c r="C152" s="18">
        <v>0</v>
      </c>
      <c r="D152" s="18">
        <f t="shared" si="69"/>
        <v>0</v>
      </c>
      <c r="E152" s="18">
        <v>0</v>
      </c>
      <c r="F152" s="18">
        <f t="shared" si="76"/>
        <v>0</v>
      </c>
      <c r="G152" s="18">
        <f t="shared" si="70"/>
        <v>0</v>
      </c>
      <c r="H152" s="18">
        <f t="shared" si="77"/>
        <v>0</v>
      </c>
      <c r="I152" s="18">
        <f t="shared" si="77"/>
        <v>0</v>
      </c>
      <c r="J152" s="235">
        <f t="shared" si="71"/>
        <v>0</v>
      </c>
      <c r="K152" s="18">
        <v>0</v>
      </c>
      <c r="L152" s="18">
        <v>0</v>
      </c>
      <c r="M152" s="18">
        <f t="shared" si="72"/>
        <v>0</v>
      </c>
      <c r="N152" s="18">
        <v>0</v>
      </c>
      <c r="O152" s="18">
        <v>0</v>
      </c>
      <c r="P152" s="236">
        <f t="shared" si="73"/>
        <v>0</v>
      </c>
      <c r="Q152" s="18">
        <f t="shared" si="78"/>
        <v>0</v>
      </c>
      <c r="R152" s="18">
        <f t="shared" si="78"/>
        <v>0</v>
      </c>
      <c r="S152" s="18">
        <f t="shared" si="57"/>
        <v>0</v>
      </c>
      <c r="T152" s="18">
        <f t="shared" si="79"/>
        <v>0</v>
      </c>
      <c r="U152" s="18">
        <f t="shared" si="79"/>
        <v>58930</v>
      </c>
      <c r="V152" s="18">
        <f t="shared" si="59"/>
        <v>58930</v>
      </c>
      <c r="W152" s="140">
        <f t="shared" si="60"/>
        <v>58930</v>
      </c>
    </row>
    <row r="153" spans="1:27">
      <c r="A153" s="138">
        <v>44713</v>
      </c>
      <c r="B153" s="139">
        <f t="shared" si="65"/>
        <v>0</v>
      </c>
      <c r="C153" s="18">
        <v>0</v>
      </c>
      <c r="D153" s="18">
        <f t="shared" si="69"/>
        <v>0</v>
      </c>
      <c r="E153" s="18">
        <v>0</v>
      </c>
      <c r="F153" s="18">
        <f t="shared" si="76"/>
        <v>102065</v>
      </c>
      <c r="G153" s="18">
        <f t="shared" si="70"/>
        <v>102065</v>
      </c>
      <c r="H153" s="18">
        <f t="shared" si="77"/>
        <v>0</v>
      </c>
      <c r="I153" s="18">
        <f t="shared" si="77"/>
        <v>102065</v>
      </c>
      <c r="J153" s="235">
        <f t="shared" si="71"/>
        <v>102065</v>
      </c>
      <c r="K153" s="18">
        <v>0</v>
      </c>
      <c r="L153" s="18">
        <v>0</v>
      </c>
      <c r="M153" s="18">
        <f t="shared" si="72"/>
        <v>0</v>
      </c>
      <c r="N153" s="18">
        <v>102065</v>
      </c>
      <c r="O153" s="18">
        <v>0</v>
      </c>
      <c r="P153" s="236">
        <f t="shared" si="73"/>
        <v>102065</v>
      </c>
      <c r="Q153" s="18">
        <f t="shared" si="78"/>
        <v>0</v>
      </c>
      <c r="R153" s="18">
        <f t="shared" si="78"/>
        <v>0</v>
      </c>
      <c r="S153" s="18">
        <f t="shared" si="57"/>
        <v>0</v>
      </c>
      <c r="T153" s="18">
        <f t="shared" si="79"/>
        <v>0</v>
      </c>
      <c r="U153" s="18">
        <f t="shared" si="79"/>
        <v>160995</v>
      </c>
      <c r="V153" s="18">
        <f t="shared" si="59"/>
        <v>160995</v>
      </c>
      <c r="W153" s="140">
        <f t="shared" si="60"/>
        <v>160995</v>
      </c>
    </row>
    <row r="154" spans="1:27">
      <c r="A154" s="138">
        <v>44743</v>
      </c>
      <c r="B154" s="139">
        <f t="shared" si="65"/>
        <v>0</v>
      </c>
      <c r="C154" s="18">
        <v>0</v>
      </c>
      <c r="D154" s="18">
        <f t="shared" si="69"/>
        <v>0</v>
      </c>
      <c r="E154" s="18">
        <v>0</v>
      </c>
      <c r="F154" s="18">
        <f t="shared" si="76"/>
        <v>0</v>
      </c>
      <c r="G154" s="18">
        <f t="shared" si="70"/>
        <v>0</v>
      </c>
      <c r="H154" s="18">
        <f t="shared" si="77"/>
        <v>0</v>
      </c>
      <c r="I154" s="18">
        <f t="shared" si="77"/>
        <v>0</v>
      </c>
      <c r="J154" s="235">
        <f t="shared" si="71"/>
        <v>0</v>
      </c>
      <c r="K154" s="18">
        <v>0</v>
      </c>
      <c r="L154" s="18">
        <v>0</v>
      </c>
      <c r="M154" s="18">
        <f t="shared" si="72"/>
        <v>0</v>
      </c>
      <c r="N154" s="18">
        <v>0</v>
      </c>
      <c r="O154" s="18">
        <v>0</v>
      </c>
      <c r="P154" s="236">
        <f t="shared" si="73"/>
        <v>0</v>
      </c>
      <c r="Q154" s="18">
        <f t="shared" si="78"/>
        <v>0</v>
      </c>
      <c r="R154" s="18">
        <f t="shared" si="78"/>
        <v>0</v>
      </c>
      <c r="S154" s="18">
        <f t="shared" si="57"/>
        <v>0</v>
      </c>
      <c r="T154" s="18">
        <f t="shared" si="79"/>
        <v>0</v>
      </c>
      <c r="U154" s="18">
        <f t="shared" si="79"/>
        <v>160995</v>
      </c>
      <c r="V154" s="18">
        <f t="shared" si="59"/>
        <v>160995</v>
      </c>
      <c r="W154" s="140">
        <f t="shared" si="60"/>
        <v>160995</v>
      </c>
    </row>
    <row r="155" spans="1:27">
      <c r="A155" s="138">
        <v>44774</v>
      </c>
      <c r="B155" s="139">
        <f t="shared" si="65"/>
        <v>0</v>
      </c>
      <c r="C155" s="18">
        <v>0</v>
      </c>
      <c r="D155" s="18">
        <f t="shared" si="69"/>
        <v>0</v>
      </c>
      <c r="E155" s="18">
        <v>0</v>
      </c>
      <c r="F155" s="18">
        <f t="shared" si="76"/>
        <v>30374</v>
      </c>
      <c r="G155" s="18">
        <f t="shared" si="70"/>
        <v>30374</v>
      </c>
      <c r="H155" s="18">
        <f t="shared" si="77"/>
        <v>0</v>
      </c>
      <c r="I155" s="18">
        <f t="shared" si="77"/>
        <v>30374</v>
      </c>
      <c r="J155" s="235">
        <f t="shared" si="71"/>
        <v>30374</v>
      </c>
      <c r="K155" s="18">
        <v>0</v>
      </c>
      <c r="L155" s="18">
        <v>0</v>
      </c>
      <c r="M155" s="18">
        <f t="shared" si="72"/>
        <v>0</v>
      </c>
      <c r="N155" s="18">
        <v>30374</v>
      </c>
      <c r="O155" s="18">
        <v>0</v>
      </c>
      <c r="P155" s="236">
        <f t="shared" si="73"/>
        <v>30374</v>
      </c>
      <c r="Q155" s="18">
        <f t="shared" si="78"/>
        <v>0</v>
      </c>
      <c r="R155" s="18">
        <f t="shared" si="78"/>
        <v>0</v>
      </c>
      <c r="S155" s="18">
        <f t="shared" si="57"/>
        <v>0</v>
      </c>
      <c r="T155" s="18">
        <f t="shared" si="79"/>
        <v>0</v>
      </c>
      <c r="U155" s="18">
        <f t="shared" si="79"/>
        <v>191369</v>
      </c>
      <c r="V155" s="18">
        <f t="shared" si="59"/>
        <v>191369</v>
      </c>
      <c r="W155" s="140">
        <f t="shared" si="60"/>
        <v>191369</v>
      </c>
    </row>
    <row r="156" spans="1:27">
      <c r="A156" s="138">
        <v>44805</v>
      </c>
      <c r="B156" s="139">
        <f t="shared" si="65"/>
        <v>0</v>
      </c>
      <c r="C156" s="18">
        <v>0</v>
      </c>
      <c r="D156" s="18">
        <f t="shared" si="69"/>
        <v>0</v>
      </c>
      <c r="E156" s="18">
        <v>0</v>
      </c>
      <c r="F156" s="18">
        <f t="shared" si="76"/>
        <v>11086</v>
      </c>
      <c r="G156" s="18">
        <f t="shared" si="70"/>
        <v>11086</v>
      </c>
      <c r="H156" s="18">
        <f t="shared" si="77"/>
        <v>0</v>
      </c>
      <c r="I156" s="18">
        <f t="shared" si="77"/>
        <v>11086</v>
      </c>
      <c r="J156" s="235">
        <f t="shared" si="71"/>
        <v>11086</v>
      </c>
      <c r="K156" s="18">
        <v>0</v>
      </c>
      <c r="L156" s="18">
        <v>0</v>
      </c>
      <c r="M156" s="18">
        <f t="shared" si="72"/>
        <v>0</v>
      </c>
      <c r="N156" s="18">
        <v>11086</v>
      </c>
      <c r="O156" s="18">
        <v>0</v>
      </c>
      <c r="P156" s="236">
        <f t="shared" si="73"/>
        <v>11086</v>
      </c>
      <c r="Q156" s="18">
        <f t="shared" si="78"/>
        <v>0</v>
      </c>
      <c r="R156" s="18">
        <f t="shared" si="78"/>
        <v>0</v>
      </c>
      <c r="S156" s="18">
        <f t="shared" si="57"/>
        <v>0</v>
      </c>
      <c r="T156" s="18">
        <f t="shared" si="79"/>
        <v>0</v>
      </c>
      <c r="U156" s="18">
        <f t="shared" si="79"/>
        <v>202455</v>
      </c>
      <c r="V156" s="18">
        <f t="shared" si="59"/>
        <v>202455</v>
      </c>
      <c r="W156" s="140">
        <f t="shared" si="60"/>
        <v>202455</v>
      </c>
    </row>
    <row r="157" spans="1:27">
      <c r="A157" s="138">
        <v>44835</v>
      </c>
      <c r="B157" s="139">
        <f t="shared" si="65"/>
        <v>0</v>
      </c>
      <c r="C157" s="18">
        <v>0</v>
      </c>
      <c r="D157" s="18">
        <f t="shared" si="69"/>
        <v>0</v>
      </c>
      <c r="E157" s="18">
        <v>0</v>
      </c>
      <c r="F157" s="18">
        <f t="shared" si="76"/>
        <v>0</v>
      </c>
      <c r="G157" s="18">
        <f t="shared" si="70"/>
        <v>0</v>
      </c>
      <c r="H157" s="18">
        <f t="shared" si="77"/>
        <v>0</v>
      </c>
      <c r="I157" s="18">
        <v>0</v>
      </c>
      <c r="J157" s="235">
        <f t="shared" si="71"/>
        <v>0</v>
      </c>
      <c r="K157" s="18">
        <v>0</v>
      </c>
      <c r="L157" s="18">
        <v>0</v>
      </c>
      <c r="M157" s="18">
        <f t="shared" si="72"/>
        <v>0</v>
      </c>
      <c r="N157" s="18">
        <v>0</v>
      </c>
      <c r="O157" s="18">
        <v>0</v>
      </c>
      <c r="P157" s="236">
        <f t="shared" si="73"/>
        <v>0</v>
      </c>
      <c r="Q157" s="18">
        <f t="shared" si="78"/>
        <v>0</v>
      </c>
      <c r="R157" s="18">
        <f t="shared" si="78"/>
        <v>0</v>
      </c>
      <c r="S157" s="18">
        <f t="shared" si="57"/>
        <v>0</v>
      </c>
      <c r="T157" s="18">
        <f t="shared" si="79"/>
        <v>0</v>
      </c>
      <c r="U157" s="18">
        <f t="shared" si="79"/>
        <v>202455</v>
      </c>
      <c r="V157" s="18">
        <f t="shared" si="59"/>
        <v>202455</v>
      </c>
      <c r="W157" s="140">
        <f t="shared" si="60"/>
        <v>202455</v>
      </c>
    </row>
    <row r="158" spans="1:27">
      <c r="A158" s="138">
        <v>44866</v>
      </c>
      <c r="B158" s="139">
        <f>M158</f>
        <v>0</v>
      </c>
      <c r="C158" s="18">
        <v>0</v>
      </c>
      <c r="D158" s="18">
        <f t="shared" si="69"/>
        <v>0</v>
      </c>
      <c r="E158" s="18">
        <v>0</v>
      </c>
      <c r="F158" s="18">
        <f t="shared" si="76"/>
        <v>0</v>
      </c>
      <c r="G158" s="18">
        <f t="shared" si="70"/>
        <v>0</v>
      </c>
      <c r="H158" s="18">
        <f t="shared" si="77"/>
        <v>0</v>
      </c>
      <c r="I158" s="18">
        <f>C158+F158</f>
        <v>0</v>
      </c>
      <c r="J158" s="235">
        <f t="shared" si="71"/>
        <v>0</v>
      </c>
      <c r="K158" s="18">
        <v>0</v>
      </c>
      <c r="L158" s="18">
        <v>0</v>
      </c>
      <c r="M158" s="18">
        <f t="shared" si="72"/>
        <v>0</v>
      </c>
      <c r="N158" s="18">
        <v>0</v>
      </c>
      <c r="O158" s="18">
        <v>0</v>
      </c>
      <c r="P158" s="236">
        <f t="shared" si="73"/>
        <v>0</v>
      </c>
      <c r="Q158" s="18">
        <f t="shared" si="78"/>
        <v>0</v>
      </c>
      <c r="R158" s="18">
        <f t="shared" si="78"/>
        <v>0</v>
      </c>
      <c r="S158" s="18">
        <f t="shared" si="57"/>
        <v>0</v>
      </c>
      <c r="T158" s="18">
        <f t="shared" si="79"/>
        <v>0</v>
      </c>
      <c r="U158" s="18">
        <f t="shared" si="79"/>
        <v>202455</v>
      </c>
      <c r="V158" s="18">
        <f t="shared" si="59"/>
        <v>202455</v>
      </c>
      <c r="W158" s="140">
        <f t="shared" si="60"/>
        <v>202455</v>
      </c>
    </row>
    <row r="159" spans="1:27" ht="15.75" thickBot="1">
      <c r="A159" s="138">
        <v>44896</v>
      </c>
      <c r="B159" s="139">
        <f>M159</f>
        <v>0</v>
      </c>
      <c r="C159" s="18">
        <v>0</v>
      </c>
      <c r="D159" s="18">
        <f t="shared" si="69"/>
        <v>0</v>
      </c>
      <c r="E159" s="18">
        <v>0</v>
      </c>
      <c r="F159" s="18">
        <f t="shared" si="76"/>
        <v>33897</v>
      </c>
      <c r="G159" s="18">
        <f t="shared" si="70"/>
        <v>33897</v>
      </c>
      <c r="H159" s="18">
        <f t="shared" si="77"/>
        <v>0</v>
      </c>
      <c r="I159" s="18">
        <v>0</v>
      </c>
      <c r="J159" s="235">
        <f t="shared" si="71"/>
        <v>0</v>
      </c>
      <c r="K159" s="18">
        <v>0</v>
      </c>
      <c r="L159" s="18">
        <v>0</v>
      </c>
      <c r="M159" s="18">
        <f t="shared" si="72"/>
        <v>0</v>
      </c>
      <c r="N159" s="18">
        <v>33897</v>
      </c>
      <c r="O159" s="18">
        <v>0</v>
      </c>
      <c r="P159" s="236">
        <f t="shared" si="73"/>
        <v>33897</v>
      </c>
      <c r="Q159" s="18">
        <f t="shared" si="78"/>
        <v>0</v>
      </c>
      <c r="R159" s="18">
        <f t="shared" si="78"/>
        <v>0</v>
      </c>
      <c r="S159" s="18">
        <f t="shared" si="57"/>
        <v>0</v>
      </c>
      <c r="T159" s="18">
        <f t="shared" si="79"/>
        <v>0</v>
      </c>
      <c r="U159" s="18">
        <f t="shared" si="79"/>
        <v>236352</v>
      </c>
      <c r="V159" s="18">
        <f t="shared" si="59"/>
        <v>236352</v>
      </c>
      <c r="W159" s="140">
        <f t="shared" si="60"/>
        <v>236352</v>
      </c>
    </row>
    <row r="160" spans="1:27">
      <c r="A160" s="138">
        <v>44927</v>
      </c>
      <c r="B160" s="142">
        <v>0</v>
      </c>
      <c r="C160" s="143">
        <v>0</v>
      </c>
      <c r="D160" s="143">
        <f t="shared" si="69"/>
        <v>0</v>
      </c>
      <c r="E160" s="143">
        <v>0</v>
      </c>
      <c r="F160" s="143">
        <f t="shared" si="76"/>
        <v>0</v>
      </c>
      <c r="G160" s="143">
        <f t="shared" si="70"/>
        <v>0</v>
      </c>
      <c r="H160" s="143">
        <f t="shared" si="77"/>
        <v>0</v>
      </c>
      <c r="I160" s="143">
        <f t="shared" si="77"/>
        <v>0</v>
      </c>
      <c r="J160" s="237">
        <f t="shared" si="71"/>
        <v>0</v>
      </c>
      <c r="K160" s="143">
        <v>0</v>
      </c>
      <c r="L160" s="143">
        <v>0</v>
      </c>
      <c r="M160" s="143">
        <f t="shared" si="72"/>
        <v>0</v>
      </c>
      <c r="N160" s="143">
        <v>0</v>
      </c>
      <c r="O160" s="143">
        <v>0</v>
      </c>
      <c r="P160" s="238">
        <f t="shared" si="73"/>
        <v>0</v>
      </c>
      <c r="Q160" s="143">
        <f>B160</f>
        <v>0</v>
      </c>
      <c r="R160" s="143">
        <f>C160</f>
        <v>0</v>
      </c>
      <c r="S160" s="143">
        <f t="shared" si="57"/>
        <v>0</v>
      </c>
      <c r="T160" s="143">
        <f>E160</f>
        <v>0</v>
      </c>
      <c r="U160" s="143">
        <f>F160</f>
        <v>0</v>
      </c>
      <c r="V160" s="143">
        <f t="shared" si="59"/>
        <v>0</v>
      </c>
      <c r="W160" s="144">
        <f t="shared" si="60"/>
        <v>0</v>
      </c>
      <c r="X160" s="26"/>
      <c r="Z160" s="467">
        <f>W160-AA160</f>
        <v>0</v>
      </c>
      <c r="AA160" s="467">
        <v>0</v>
      </c>
    </row>
    <row r="161" spans="1:27">
      <c r="A161" s="138">
        <v>44958</v>
      </c>
      <c r="B161" s="139">
        <v>0</v>
      </c>
      <c r="C161" s="18">
        <v>0</v>
      </c>
      <c r="D161" s="18">
        <f t="shared" si="69"/>
        <v>0</v>
      </c>
      <c r="E161" s="18">
        <v>0</v>
      </c>
      <c r="F161" s="18">
        <f t="shared" si="76"/>
        <v>0</v>
      </c>
      <c r="G161" s="18">
        <f t="shared" si="70"/>
        <v>0</v>
      </c>
      <c r="H161" s="18">
        <f t="shared" si="77"/>
        <v>0</v>
      </c>
      <c r="I161" s="18">
        <f t="shared" si="77"/>
        <v>0</v>
      </c>
      <c r="J161" s="235">
        <f t="shared" si="71"/>
        <v>0</v>
      </c>
      <c r="K161" s="18">
        <v>0</v>
      </c>
      <c r="L161" s="18">
        <v>0</v>
      </c>
      <c r="M161" s="18">
        <f t="shared" si="72"/>
        <v>0</v>
      </c>
      <c r="N161" s="18">
        <v>0</v>
      </c>
      <c r="O161" s="18">
        <v>0</v>
      </c>
      <c r="P161" s="236">
        <f t="shared" si="73"/>
        <v>0</v>
      </c>
      <c r="Q161" s="18">
        <f t="shared" ref="Q161:R171" si="80">Q160+B161</f>
        <v>0</v>
      </c>
      <c r="R161" s="18">
        <f t="shared" si="80"/>
        <v>0</v>
      </c>
      <c r="S161" s="18">
        <f t="shared" si="57"/>
        <v>0</v>
      </c>
      <c r="T161" s="18">
        <f t="shared" ref="T161:U171" si="81">T160+E161</f>
        <v>0</v>
      </c>
      <c r="U161" s="18">
        <f t="shared" si="81"/>
        <v>0</v>
      </c>
      <c r="V161" s="18">
        <f t="shared" si="59"/>
        <v>0</v>
      </c>
      <c r="W161" s="140">
        <f t="shared" si="60"/>
        <v>0</v>
      </c>
      <c r="X161" s="26">
        <f t="shared" ref="X161:X171" si="82">W161/W149-1</f>
        <v>-1</v>
      </c>
      <c r="Z161" s="467">
        <f t="shared" ref="Z161:Z174" si="83">W161-AA161</f>
        <v>0</v>
      </c>
      <c r="AA161" s="467">
        <v>0</v>
      </c>
    </row>
    <row r="162" spans="1:27">
      <c r="A162" s="138">
        <v>44986</v>
      </c>
      <c r="B162" s="139">
        <v>0</v>
      </c>
      <c r="C162" s="18">
        <v>0</v>
      </c>
      <c r="D162" s="18">
        <f t="shared" si="69"/>
        <v>0</v>
      </c>
      <c r="E162" s="18">
        <v>0</v>
      </c>
      <c r="F162" s="18">
        <f t="shared" si="76"/>
        <v>0</v>
      </c>
      <c r="G162" s="18">
        <f t="shared" si="70"/>
        <v>0</v>
      </c>
      <c r="H162" s="18">
        <f t="shared" si="77"/>
        <v>0</v>
      </c>
      <c r="I162" s="18">
        <f t="shared" si="77"/>
        <v>0</v>
      </c>
      <c r="J162" s="235">
        <f t="shared" si="71"/>
        <v>0</v>
      </c>
      <c r="K162" s="18">
        <v>0</v>
      </c>
      <c r="L162" s="18">
        <v>0</v>
      </c>
      <c r="M162" s="18">
        <f t="shared" si="72"/>
        <v>0</v>
      </c>
      <c r="N162" s="18">
        <v>0</v>
      </c>
      <c r="O162" s="18">
        <v>0</v>
      </c>
      <c r="P162" s="236">
        <f t="shared" si="73"/>
        <v>0</v>
      </c>
      <c r="Q162" s="18">
        <f t="shared" si="80"/>
        <v>0</v>
      </c>
      <c r="R162" s="18">
        <f t="shared" si="80"/>
        <v>0</v>
      </c>
      <c r="S162" s="18">
        <f t="shared" si="57"/>
        <v>0</v>
      </c>
      <c r="T162" s="18">
        <f t="shared" si="81"/>
        <v>0</v>
      </c>
      <c r="U162" s="18">
        <f t="shared" si="81"/>
        <v>0</v>
      </c>
      <c r="V162" s="18">
        <f t="shared" si="59"/>
        <v>0</v>
      </c>
      <c r="W162" s="140">
        <f t="shared" si="60"/>
        <v>0</v>
      </c>
      <c r="X162" s="26">
        <f t="shared" si="82"/>
        <v>-1</v>
      </c>
      <c r="Z162" s="467">
        <f t="shared" si="83"/>
        <v>0</v>
      </c>
      <c r="AA162" s="467">
        <v>0</v>
      </c>
    </row>
    <row r="163" spans="1:27">
      <c r="A163" s="138">
        <v>45017</v>
      </c>
      <c r="B163" s="139">
        <v>0</v>
      </c>
      <c r="C163" s="18">
        <v>0</v>
      </c>
      <c r="D163" s="18">
        <f t="shared" si="69"/>
        <v>0</v>
      </c>
      <c r="E163" s="18">
        <v>0</v>
      </c>
      <c r="F163" s="18">
        <f t="shared" si="76"/>
        <v>69961</v>
      </c>
      <c r="G163" s="18">
        <f t="shared" si="70"/>
        <v>69961</v>
      </c>
      <c r="H163" s="18">
        <f t="shared" si="77"/>
        <v>0</v>
      </c>
      <c r="I163" s="18">
        <f t="shared" si="77"/>
        <v>69961</v>
      </c>
      <c r="J163" s="235">
        <f t="shared" si="71"/>
        <v>69961</v>
      </c>
      <c r="K163" s="18">
        <v>0</v>
      </c>
      <c r="L163" s="18">
        <v>0</v>
      </c>
      <c r="M163" s="18">
        <f t="shared" si="72"/>
        <v>0</v>
      </c>
      <c r="N163" s="18">
        <v>69961</v>
      </c>
      <c r="O163" s="18">
        <v>0</v>
      </c>
      <c r="P163" s="236">
        <f t="shared" si="73"/>
        <v>69961</v>
      </c>
      <c r="Q163" s="18">
        <f t="shared" si="80"/>
        <v>0</v>
      </c>
      <c r="R163" s="18">
        <f t="shared" si="80"/>
        <v>0</v>
      </c>
      <c r="S163" s="18">
        <f t="shared" si="57"/>
        <v>0</v>
      </c>
      <c r="T163" s="18">
        <f t="shared" si="81"/>
        <v>0</v>
      </c>
      <c r="U163" s="18">
        <f t="shared" si="81"/>
        <v>69961</v>
      </c>
      <c r="V163" s="18">
        <f t="shared" si="59"/>
        <v>69961</v>
      </c>
      <c r="W163" s="140">
        <f t="shared" si="60"/>
        <v>69961</v>
      </c>
      <c r="X163" s="26">
        <f t="shared" si="82"/>
        <v>0.18718818937722714</v>
      </c>
      <c r="Z163" s="467">
        <f t="shared" si="83"/>
        <v>0</v>
      </c>
      <c r="AA163" s="467">
        <v>69961</v>
      </c>
    </row>
    <row r="164" spans="1:27">
      <c r="A164" s="138">
        <v>45047</v>
      </c>
      <c r="B164" s="139">
        <v>0</v>
      </c>
      <c r="C164" s="18">
        <v>0</v>
      </c>
      <c r="D164" s="18">
        <f t="shared" si="69"/>
        <v>0</v>
      </c>
      <c r="E164" s="18">
        <v>0</v>
      </c>
      <c r="F164" s="18">
        <f t="shared" si="76"/>
        <v>43465</v>
      </c>
      <c r="G164" s="18">
        <f t="shared" si="70"/>
        <v>43465</v>
      </c>
      <c r="H164" s="18">
        <f t="shared" si="77"/>
        <v>0</v>
      </c>
      <c r="I164" s="18">
        <f t="shared" si="77"/>
        <v>43465</v>
      </c>
      <c r="J164" s="235">
        <f t="shared" si="71"/>
        <v>43465</v>
      </c>
      <c r="K164" s="18">
        <v>0</v>
      </c>
      <c r="L164" s="18">
        <v>0</v>
      </c>
      <c r="M164" s="18">
        <f t="shared" si="72"/>
        <v>0</v>
      </c>
      <c r="N164" s="18">
        <v>43465</v>
      </c>
      <c r="O164" s="18">
        <v>0</v>
      </c>
      <c r="P164" s="236">
        <f t="shared" si="73"/>
        <v>43465</v>
      </c>
      <c r="Q164" s="18">
        <f t="shared" si="80"/>
        <v>0</v>
      </c>
      <c r="R164" s="18">
        <f t="shared" si="80"/>
        <v>0</v>
      </c>
      <c r="S164" s="18">
        <f t="shared" si="57"/>
        <v>0</v>
      </c>
      <c r="T164" s="18">
        <f t="shared" si="81"/>
        <v>0</v>
      </c>
      <c r="U164" s="18">
        <f t="shared" si="81"/>
        <v>113426</v>
      </c>
      <c r="V164" s="18">
        <f t="shared" si="59"/>
        <v>113426</v>
      </c>
      <c r="W164" s="140">
        <f t="shared" si="60"/>
        <v>113426</v>
      </c>
      <c r="X164" s="26">
        <f t="shared" si="82"/>
        <v>0.9247581876802986</v>
      </c>
      <c r="Z164" s="467">
        <f t="shared" si="83"/>
        <v>0</v>
      </c>
      <c r="AA164" s="467">
        <v>113426</v>
      </c>
    </row>
    <row r="165" spans="1:27">
      <c r="A165" s="138">
        <v>45078</v>
      </c>
      <c r="B165" s="139">
        <v>0</v>
      </c>
      <c r="C165" s="18">
        <v>0</v>
      </c>
      <c r="D165" s="18">
        <f t="shared" si="69"/>
        <v>0</v>
      </c>
      <c r="E165" s="18">
        <v>0</v>
      </c>
      <c r="F165" s="18">
        <f t="shared" si="76"/>
        <v>23954</v>
      </c>
      <c r="G165" s="18">
        <f t="shared" si="70"/>
        <v>23954</v>
      </c>
      <c r="H165" s="18">
        <f t="shared" si="77"/>
        <v>0</v>
      </c>
      <c r="I165" s="18">
        <f t="shared" si="77"/>
        <v>23954</v>
      </c>
      <c r="J165" s="235">
        <f t="shared" si="71"/>
        <v>23954</v>
      </c>
      <c r="K165" s="18">
        <v>0</v>
      </c>
      <c r="L165" s="18">
        <v>0</v>
      </c>
      <c r="M165" s="18">
        <f t="shared" si="72"/>
        <v>0</v>
      </c>
      <c r="N165" s="18">
        <v>23954</v>
      </c>
      <c r="O165" s="18">
        <v>0</v>
      </c>
      <c r="P165" s="236">
        <f t="shared" si="73"/>
        <v>23954</v>
      </c>
      <c r="Q165" s="18">
        <f t="shared" si="80"/>
        <v>0</v>
      </c>
      <c r="R165" s="18">
        <f t="shared" si="80"/>
        <v>0</v>
      </c>
      <c r="S165" s="18">
        <f t="shared" si="57"/>
        <v>0</v>
      </c>
      <c r="T165" s="18">
        <f t="shared" si="81"/>
        <v>0</v>
      </c>
      <c r="U165" s="18">
        <f t="shared" si="81"/>
        <v>137380</v>
      </c>
      <c r="V165" s="18">
        <f t="shared" si="59"/>
        <v>137380</v>
      </c>
      <c r="W165" s="140">
        <f t="shared" si="60"/>
        <v>137380</v>
      </c>
      <c r="X165" s="26">
        <f t="shared" si="82"/>
        <v>-0.14668157396192427</v>
      </c>
      <c r="Z165" s="467">
        <f t="shared" si="83"/>
        <v>0</v>
      </c>
      <c r="AA165" s="467">
        <v>137380</v>
      </c>
    </row>
    <row r="166" spans="1:27">
      <c r="A166" s="138">
        <v>45108</v>
      </c>
      <c r="B166" s="139">
        <v>0</v>
      </c>
      <c r="C166" s="18">
        <v>0</v>
      </c>
      <c r="D166" s="18">
        <f t="shared" si="69"/>
        <v>0</v>
      </c>
      <c r="E166" s="18">
        <v>0</v>
      </c>
      <c r="F166" s="18">
        <f t="shared" si="76"/>
        <v>0</v>
      </c>
      <c r="G166" s="18">
        <f t="shared" si="70"/>
        <v>0</v>
      </c>
      <c r="H166" s="18">
        <f t="shared" si="77"/>
        <v>0</v>
      </c>
      <c r="I166" s="18">
        <f t="shared" si="77"/>
        <v>0</v>
      </c>
      <c r="J166" s="235">
        <f t="shared" si="71"/>
        <v>0</v>
      </c>
      <c r="K166" s="18">
        <v>0</v>
      </c>
      <c r="L166" s="18">
        <v>0</v>
      </c>
      <c r="M166" s="18">
        <f t="shared" si="72"/>
        <v>0</v>
      </c>
      <c r="N166" s="18">
        <v>0</v>
      </c>
      <c r="O166" s="18">
        <v>0</v>
      </c>
      <c r="P166" s="236">
        <f t="shared" si="73"/>
        <v>0</v>
      </c>
      <c r="Q166" s="18">
        <f t="shared" si="80"/>
        <v>0</v>
      </c>
      <c r="R166" s="18">
        <f t="shared" si="80"/>
        <v>0</v>
      </c>
      <c r="S166" s="18">
        <f t="shared" ref="S166:S186" si="84">R166+Q166</f>
        <v>0</v>
      </c>
      <c r="T166" s="18">
        <f t="shared" si="81"/>
        <v>0</v>
      </c>
      <c r="U166" s="18">
        <f t="shared" si="81"/>
        <v>137380</v>
      </c>
      <c r="V166" s="18">
        <f t="shared" ref="V166:V186" si="85">U166+T166</f>
        <v>137380</v>
      </c>
      <c r="W166" s="140">
        <f t="shared" ref="W166:W186" si="86">V166+S166</f>
        <v>137380</v>
      </c>
      <c r="X166" s="26">
        <f t="shared" si="82"/>
        <v>-0.14668157396192427</v>
      </c>
      <c r="Z166" s="467">
        <f t="shared" si="83"/>
        <v>0</v>
      </c>
      <c r="AA166" s="467">
        <v>137380</v>
      </c>
    </row>
    <row r="167" spans="1:27">
      <c r="A167" s="138">
        <v>45139</v>
      </c>
      <c r="B167" s="139">
        <v>0</v>
      </c>
      <c r="C167" s="18">
        <v>0</v>
      </c>
      <c r="D167" s="18">
        <f t="shared" si="69"/>
        <v>0</v>
      </c>
      <c r="E167" s="18">
        <v>0</v>
      </c>
      <c r="F167" s="18">
        <f t="shared" si="76"/>
        <v>28704</v>
      </c>
      <c r="G167" s="18">
        <f t="shared" si="70"/>
        <v>28704</v>
      </c>
      <c r="H167" s="18">
        <f t="shared" ref="H167:I186" si="87">B167+E167</f>
        <v>0</v>
      </c>
      <c r="I167" s="18">
        <f t="shared" si="87"/>
        <v>28704</v>
      </c>
      <c r="J167" s="235">
        <f t="shared" si="71"/>
        <v>28704</v>
      </c>
      <c r="K167" s="18">
        <v>0</v>
      </c>
      <c r="L167" s="18">
        <v>0</v>
      </c>
      <c r="M167" s="18">
        <f t="shared" si="72"/>
        <v>0</v>
      </c>
      <c r="N167" s="18">
        <v>28704</v>
      </c>
      <c r="O167" s="18">
        <v>0</v>
      </c>
      <c r="P167" s="236">
        <f t="shared" si="73"/>
        <v>28704</v>
      </c>
      <c r="Q167" s="18">
        <f t="shared" si="80"/>
        <v>0</v>
      </c>
      <c r="R167" s="18">
        <f t="shared" si="80"/>
        <v>0</v>
      </c>
      <c r="S167" s="18">
        <f t="shared" si="84"/>
        <v>0</v>
      </c>
      <c r="T167" s="18">
        <f t="shared" si="81"/>
        <v>0</v>
      </c>
      <c r="U167" s="18">
        <f t="shared" si="81"/>
        <v>166084</v>
      </c>
      <c r="V167" s="18">
        <f t="shared" si="85"/>
        <v>166084</v>
      </c>
      <c r="W167" s="140">
        <f t="shared" si="86"/>
        <v>166084</v>
      </c>
      <c r="X167" s="26">
        <f t="shared" si="82"/>
        <v>-0.13212693800981345</v>
      </c>
      <c r="Z167" s="467">
        <f t="shared" si="83"/>
        <v>0</v>
      </c>
      <c r="AA167" s="467">
        <v>166084</v>
      </c>
    </row>
    <row r="168" spans="1:27">
      <c r="A168" s="138">
        <v>45170</v>
      </c>
      <c r="B168" s="139">
        <v>0</v>
      </c>
      <c r="C168" s="18">
        <v>0</v>
      </c>
      <c r="D168" s="18">
        <f t="shared" si="69"/>
        <v>0</v>
      </c>
      <c r="E168" s="18">
        <v>0</v>
      </c>
      <c r="F168" s="18">
        <f t="shared" si="76"/>
        <v>0</v>
      </c>
      <c r="G168" s="18">
        <f t="shared" si="70"/>
        <v>0</v>
      </c>
      <c r="H168" s="18">
        <f t="shared" si="87"/>
        <v>0</v>
      </c>
      <c r="I168" s="18">
        <f t="shared" si="87"/>
        <v>0</v>
      </c>
      <c r="J168" s="235">
        <f t="shared" si="71"/>
        <v>0</v>
      </c>
      <c r="K168" s="18">
        <v>0</v>
      </c>
      <c r="L168" s="18">
        <v>0</v>
      </c>
      <c r="M168" s="18">
        <f t="shared" si="72"/>
        <v>0</v>
      </c>
      <c r="N168" s="18">
        <v>0</v>
      </c>
      <c r="O168" s="18">
        <v>0</v>
      </c>
      <c r="P168" s="236">
        <f t="shared" si="73"/>
        <v>0</v>
      </c>
      <c r="Q168" s="18">
        <f t="shared" si="80"/>
        <v>0</v>
      </c>
      <c r="R168" s="18">
        <f t="shared" si="80"/>
        <v>0</v>
      </c>
      <c r="S168" s="18">
        <f t="shared" si="84"/>
        <v>0</v>
      </c>
      <c r="T168" s="18">
        <f t="shared" si="81"/>
        <v>0</v>
      </c>
      <c r="U168" s="18">
        <f t="shared" si="81"/>
        <v>166084</v>
      </c>
      <c r="V168" s="18">
        <f t="shared" si="85"/>
        <v>166084</v>
      </c>
      <c r="W168" s="140">
        <f t="shared" si="86"/>
        <v>166084</v>
      </c>
      <c r="X168" s="26">
        <f t="shared" si="82"/>
        <v>-0.17964979872070341</v>
      </c>
      <c r="Z168" s="467">
        <f t="shared" si="83"/>
        <v>0</v>
      </c>
      <c r="AA168" s="467">
        <v>166084</v>
      </c>
    </row>
    <row r="169" spans="1:27">
      <c r="A169" s="138">
        <v>45200</v>
      </c>
      <c r="B169" s="139">
        <v>0</v>
      </c>
      <c r="C169" s="18">
        <v>0</v>
      </c>
      <c r="D169" s="18">
        <f t="shared" si="69"/>
        <v>0</v>
      </c>
      <c r="E169" s="18">
        <v>0</v>
      </c>
      <c r="F169" s="18">
        <f t="shared" si="76"/>
        <v>0</v>
      </c>
      <c r="G169" s="18">
        <f t="shared" si="70"/>
        <v>0</v>
      </c>
      <c r="H169" s="18">
        <f t="shared" si="87"/>
        <v>0</v>
      </c>
      <c r="I169" s="18">
        <f t="shared" si="87"/>
        <v>0</v>
      </c>
      <c r="J169" s="235">
        <f t="shared" si="71"/>
        <v>0</v>
      </c>
      <c r="K169" s="18">
        <v>0</v>
      </c>
      <c r="L169" s="18">
        <v>0</v>
      </c>
      <c r="M169" s="18">
        <f t="shared" si="72"/>
        <v>0</v>
      </c>
      <c r="N169" s="18">
        <v>0</v>
      </c>
      <c r="O169" s="18">
        <v>0</v>
      </c>
      <c r="P169" s="236">
        <f t="shared" si="73"/>
        <v>0</v>
      </c>
      <c r="Q169" s="18">
        <f t="shared" si="80"/>
        <v>0</v>
      </c>
      <c r="R169" s="18">
        <f t="shared" si="80"/>
        <v>0</v>
      </c>
      <c r="S169" s="18">
        <f t="shared" si="84"/>
        <v>0</v>
      </c>
      <c r="T169" s="18">
        <f t="shared" si="81"/>
        <v>0</v>
      </c>
      <c r="U169" s="18">
        <f t="shared" si="81"/>
        <v>166084</v>
      </c>
      <c r="V169" s="18">
        <f t="shared" si="85"/>
        <v>166084</v>
      </c>
      <c r="W169" s="140">
        <f t="shared" si="86"/>
        <v>166084</v>
      </c>
      <c r="X169" s="26">
        <f t="shared" si="82"/>
        <v>-0.17964979872070341</v>
      </c>
      <c r="Z169" s="467">
        <f t="shared" si="83"/>
        <v>0</v>
      </c>
      <c r="AA169" s="467">
        <v>166084</v>
      </c>
    </row>
    <row r="170" spans="1:27">
      <c r="A170" s="138">
        <v>45231</v>
      </c>
      <c r="B170" s="139">
        <v>0</v>
      </c>
      <c r="C170" s="18">
        <v>0</v>
      </c>
      <c r="D170" s="18">
        <f t="shared" si="69"/>
        <v>0</v>
      </c>
      <c r="E170" s="18">
        <v>0</v>
      </c>
      <c r="F170" s="18">
        <f t="shared" si="76"/>
        <v>42559</v>
      </c>
      <c r="G170" s="18">
        <f t="shared" si="70"/>
        <v>42559</v>
      </c>
      <c r="H170" s="18">
        <f t="shared" si="87"/>
        <v>0</v>
      </c>
      <c r="I170" s="18">
        <f t="shared" si="87"/>
        <v>42559</v>
      </c>
      <c r="J170" s="235">
        <f t="shared" si="71"/>
        <v>42559</v>
      </c>
      <c r="K170" s="18">
        <v>0</v>
      </c>
      <c r="L170" s="18">
        <v>0</v>
      </c>
      <c r="M170" s="18">
        <f t="shared" si="72"/>
        <v>0</v>
      </c>
      <c r="N170" s="467">
        <v>42559</v>
      </c>
      <c r="O170" s="18">
        <v>0</v>
      </c>
      <c r="P170" s="236">
        <f t="shared" si="73"/>
        <v>42559</v>
      </c>
      <c r="Q170" s="18">
        <f t="shared" si="80"/>
        <v>0</v>
      </c>
      <c r="R170" s="18">
        <f t="shared" si="80"/>
        <v>0</v>
      </c>
      <c r="S170" s="18">
        <f t="shared" si="84"/>
        <v>0</v>
      </c>
      <c r="T170" s="18">
        <f t="shared" si="81"/>
        <v>0</v>
      </c>
      <c r="U170" s="18">
        <f t="shared" si="81"/>
        <v>208643</v>
      </c>
      <c r="V170" s="18">
        <f t="shared" si="85"/>
        <v>208643</v>
      </c>
      <c r="W170" s="140">
        <f t="shared" si="86"/>
        <v>208643</v>
      </c>
      <c r="X170" s="26">
        <f t="shared" si="82"/>
        <v>3.056481687288537E-2</v>
      </c>
      <c r="Z170" s="467">
        <f t="shared" si="83"/>
        <v>0</v>
      </c>
      <c r="AA170" s="467">
        <v>208643</v>
      </c>
    </row>
    <row r="171" spans="1:27" ht="15.75" thickBot="1">
      <c r="A171" s="138">
        <v>45261</v>
      </c>
      <c r="B171" s="139">
        <v>0</v>
      </c>
      <c r="C171" s="18">
        <v>0</v>
      </c>
      <c r="D171" s="18">
        <f t="shared" si="69"/>
        <v>0</v>
      </c>
      <c r="E171" s="18">
        <v>0</v>
      </c>
      <c r="F171" s="18">
        <f t="shared" si="76"/>
        <v>0</v>
      </c>
      <c r="G171" s="18">
        <f t="shared" si="70"/>
        <v>0</v>
      </c>
      <c r="H171" s="18">
        <f t="shared" si="87"/>
        <v>0</v>
      </c>
      <c r="I171" s="18">
        <f t="shared" si="87"/>
        <v>0</v>
      </c>
      <c r="J171" s="235">
        <f t="shared" si="71"/>
        <v>0</v>
      </c>
      <c r="K171" s="18">
        <v>0</v>
      </c>
      <c r="L171" s="18">
        <v>0</v>
      </c>
      <c r="M171" s="18">
        <f t="shared" si="72"/>
        <v>0</v>
      </c>
      <c r="N171" s="18">
        <v>0</v>
      </c>
      <c r="O171" s="18">
        <v>0</v>
      </c>
      <c r="P171" s="236">
        <f t="shared" si="73"/>
        <v>0</v>
      </c>
      <c r="Q171" s="18">
        <f t="shared" si="80"/>
        <v>0</v>
      </c>
      <c r="R171" s="18">
        <f t="shared" si="80"/>
        <v>0</v>
      </c>
      <c r="S171" s="18">
        <f t="shared" si="84"/>
        <v>0</v>
      </c>
      <c r="T171" s="18">
        <f t="shared" si="81"/>
        <v>0</v>
      </c>
      <c r="U171" s="18">
        <f t="shared" si="81"/>
        <v>208643</v>
      </c>
      <c r="V171" s="18">
        <f t="shared" si="85"/>
        <v>208643</v>
      </c>
      <c r="W171" s="140">
        <f t="shared" si="86"/>
        <v>208643</v>
      </c>
      <c r="X171" s="26">
        <f t="shared" si="82"/>
        <v>-0.11723615624153805</v>
      </c>
      <c r="Z171" s="467">
        <f t="shared" si="83"/>
        <v>0</v>
      </c>
      <c r="AA171" s="467">
        <v>208643</v>
      </c>
    </row>
    <row r="172" spans="1:27">
      <c r="A172" s="138">
        <v>45292</v>
      </c>
      <c r="B172" s="142">
        <v>0</v>
      </c>
      <c r="C172" s="143">
        <v>0</v>
      </c>
      <c r="D172" s="143">
        <f t="shared" si="69"/>
        <v>0</v>
      </c>
      <c r="E172" s="143">
        <v>0</v>
      </c>
      <c r="F172" s="143">
        <f t="shared" si="76"/>
        <v>60218</v>
      </c>
      <c r="G172" s="143">
        <f t="shared" si="70"/>
        <v>60218</v>
      </c>
      <c r="H172" s="143">
        <f t="shared" si="87"/>
        <v>0</v>
      </c>
      <c r="I172" s="143">
        <f t="shared" si="87"/>
        <v>60218</v>
      </c>
      <c r="J172" s="237">
        <f t="shared" si="71"/>
        <v>60218</v>
      </c>
      <c r="K172" s="143">
        <v>0</v>
      </c>
      <c r="L172" s="143">
        <v>0</v>
      </c>
      <c r="M172" s="143">
        <f t="shared" si="72"/>
        <v>0</v>
      </c>
      <c r="N172" s="143">
        <v>60218</v>
      </c>
      <c r="O172" s="143">
        <v>0</v>
      </c>
      <c r="P172" s="238">
        <f t="shared" si="73"/>
        <v>60218</v>
      </c>
      <c r="Q172" s="143">
        <f>B172</f>
        <v>0</v>
      </c>
      <c r="R172" s="143">
        <f>C172</f>
        <v>0</v>
      </c>
      <c r="S172" s="143">
        <f t="shared" si="84"/>
        <v>0</v>
      </c>
      <c r="T172" s="143">
        <f>E172</f>
        <v>0</v>
      </c>
      <c r="U172" s="143">
        <f>F172</f>
        <v>60218</v>
      </c>
      <c r="V172" s="143">
        <f t="shared" si="85"/>
        <v>60218</v>
      </c>
      <c r="W172" s="144">
        <f t="shared" si="86"/>
        <v>60218</v>
      </c>
      <c r="X172" s="26"/>
      <c r="Z172" s="467">
        <f t="shared" si="83"/>
        <v>0</v>
      </c>
      <c r="AA172" s="467">
        <v>60218</v>
      </c>
    </row>
    <row r="173" spans="1:27">
      <c r="A173" s="138">
        <v>45323</v>
      </c>
      <c r="B173" s="139">
        <v>0</v>
      </c>
      <c r="C173" s="18">
        <v>0</v>
      </c>
      <c r="D173" s="18">
        <f t="shared" si="69"/>
        <v>0</v>
      </c>
      <c r="E173" s="18">
        <v>0</v>
      </c>
      <c r="F173" s="18">
        <f t="shared" si="76"/>
        <v>0</v>
      </c>
      <c r="G173" s="18">
        <f t="shared" si="70"/>
        <v>0</v>
      </c>
      <c r="H173" s="18">
        <f t="shared" si="87"/>
        <v>0</v>
      </c>
      <c r="I173" s="18">
        <f t="shared" si="87"/>
        <v>0</v>
      </c>
      <c r="J173" s="235">
        <f t="shared" si="71"/>
        <v>0</v>
      </c>
      <c r="K173" s="18">
        <v>0</v>
      </c>
      <c r="L173" s="18">
        <v>0</v>
      </c>
      <c r="M173" s="18">
        <f t="shared" si="72"/>
        <v>0</v>
      </c>
      <c r="N173" s="18">
        <v>0</v>
      </c>
      <c r="O173" s="18">
        <v>0</v>
      </c>
      <c r="P173" s="236">
        <f t="shared" si="73"/>
        <v>0</v>
      </c>
      <c r="Q173" s="18">
        <f t="shared" ref="Q173:R183" si="88">Q172+B173</f>
        <v>0</v>
      </c>
      <c r="R173" s="18">
        <f t="shared" si="88"/>
        <v>0</v>
      </c>
      <c r="S173" s="18">
        <f t="shared" si="84"/>
        <v>0</v>
      </c>
      <c r="T173" s="18">
        <f t="shared" ref="T173:U183" si="89">T172+E173</f>
        <v>0</v>
      </c>
      <c r="U173" s="18">
        <f t="shared" si="89"/>
        <v>60218</v>
      </c>
      <c r="V173" s="18">
        <f t="shared" si="85"/>
        <v>60218</v>
      </c>
      <c r="W173" s="140">
        <f t="shared" si="86"/>
        <v>60218</v>
      </c>
      <c r="X173" s="26" t="e">
        <f t="shared" ref="X173:X183" si="90">W173/W161-1</f>
        <v>#DIV/0!</v>
      </c>
      <c r="Z173" s="467">
        <f t="shared" si="83"/>
        <v>0</v>
      </c>
      <c r="AA173" s="467">
        <v>60218</v>
      </c>
    </row>
    <row r="174" spans="1:27">
      <c r="A174" s="138">
        <v>45352</v>
      </c>
      <c r="B174" s="139">
        <v>0</v>
      </c>
      <c r="C174" s="18">
        <v>0</v>
      </c>
      <c r="D174" s="18">
        <f t="shared" si="69"/>
        <v>0</v>
      </c>
      <c r="E174" s="18">
        <v>0</v>
      </c>
      <c r="F174" s="18">
        <f t="shared" si="76"/>
        <v>60193</v>
      </c>
      <c r="G174" s="18">
        <f t="shared" si="70"/>
        <v>60193</v>
      </c>
      <c r="H174" s="18">
        <f t="shared" si="87"/>
        <v>0</v>
      </c>
      <c r="I174" s="18">
        <f t="shared" si="87"/>
        <v>60193</v>
      </c>
      <c r="J174" s="235">
        <f t="shared" si="71"/>
        <v>60193</v>
      </c>
      <c r="K174" s="18">
        <v>0</v>
      </c>
      <c r="L174" s="18">
        <v>0</v>
      </c>
      <c r="M174" s="18">
        <f t="shared" si="72"/>
        <v>0</v>
      </c>
      <c r="N174" s="18">
        <v>60193</v>
      </c>
      <c r="O174" s="18">
        <v>0</v>
      </c>
      <c r="P174" s="236">
        <f t="shared" si="73"/>
        <v>60193</v>
      </c>
      <c r="Q174" s="18">
        <f t="shared" si="88"/>
        <v>0</v>
      </c>
      <c r="R174" s="18">
        <f t="shared" si="88"/>
        <v>0</v>
      </c>
      <c r="S174" s="18">
        <f t="shared" si="84"/>
        <v>0</v>
      </c>
      <c r="T174" s="18">
        <f t="shared" si="89"/>
        <v>0</v>
      </c>
      <c r="U174" s="18">
        <f t="shared" si="89"/>
        <v>120411</v>
      </c>
      <c r="V174" s="18">
        <f t="shared" si="85"/>
        <v>120411</v>
      </c>
      <c r="W174" s="140">
        <f t="shared" si="86"/>
        <v>120411</v>
      </c>
      <c r="X174" s="26" t="e">
        <f t="shared" si="90"/>
        <v>#DIV/0!</v>
      </c>
      <c r="Z174" s="467">
        <f t="shared" si="83"/>
        <v>0</v>
      </c>
      <c r="AA174" s="467">
        <v>120411</v>
      </c>
    </row>
    <row r="175" spans="1:27">
      <c r="A175" s="138">
        <v>45383</v>
      </c>
      <c r="B175" s="139">
        <v>0</v>
      </c>
      <c r="C175" s="18">
        <v>0</v>
      </c>
      <c r="D175" s="18">
        <f t="shared" si="69"/>
        <v>0</v>
      </c>
      <c r="E175" s="18">
        <v>0</v>
      </c>
      <c r="F175" s="18">
        <f t="shared" si="76"/>
        <v>47750</v>
      </c>
      <c r="G175" s="18">
        <f t="shared" si="70"/>
        <v>47750</v>
      </c>
      <c r="H175" s="18">
        <f t="shared" si="87"/>
        <v>0</v>
      </c>
      <c r="I175" s="18">
        <f t="shared" si="87"/>
        <v>47750</v>
      </c>
      <c r="J175" s="235">
        <f t="shared" si="71"/>
        <v>47750</v>
      </c>
      <c r="K175" s="18">
        <v>0</v>
      </c>
      <c r="L175" s="18">
        <v>0</v>
      </c>
      <c r="M175" s="18">
        <f t="shared" si="72"/>
        <v>0</v>
      </c>
      <c r="N175" s="18">
        <v>47750</v>
      </c>
      <c r="O175" s="18">
        <v>0</v>
      </c>
      <c r="P175" s="236">
        <f t="shared" si="73"/>
        <v>47750</v>
      </c>
      <c r="Q175" s="18">
        <f t="shared" si="88"/>
        <v>0</v>
      </c>
      <c r="R175" s="18">
        <f t="shared" si="88"/>
        <v>0</v>
      </c>
      <c r="S175" s="18">
        <f t="shared" si="84"/>
        <v>0</v>
      </c>
      <c r="T175" s="18">
        <f t="shared" si="89"/>
        <v>0</v>
      </c>
      <c r="U175" s="18">
        <f t="shared" si="89"/>
        <v>168161</v>
      </c>
      <c r="V175" s="18">
        <f t="shared" si="85"/>
        <v>168161</v>
      </c>
      <c r="W175" s="140">
        <f t="shared" si="86"/>
        <v>168161</v>
      </c>
      <c r="X175" s="26">
        <f t="shared" si="90"/>
        <v>1.4036391703949342</v>
      </c>
      <c r="Z175" s="467"/>
      <c r="AA175" s="467"/>
    </row>
    <row r="176" spans="1:27">
      <c r="A176" s="138">
        <v>45413</v>
      </c>
      <c r="B176" s="139">
        <v>0</v>
      </c>
      <c r="C176" s="18">
        <v>0</v>
      </c>
      <c r="D176" s="18">
        <f t="shared" si="69"/>
        <v>0</v>
      </c>
      <c r="E176" s="18">
        <v>0</v>
      </c>
      <c r="F176" s="18">
        <f t="shared" si="76"/>
        <v>0</v>
      </c>
      <c r="G176" s="18">
        <f t="shared" si="70"/>
        <v>0</v>
      </c>
      <c r="H176" s="18">
        <f t="shared" si="87"/>
        <v>0</v>
      </c>
      <c r="I176" s="18">
        <f t="shared" si="87"/>
        <v>0</v>
      </c>
      <c r="J176" s="235">
        <f t="shared" si="71"/>
        <v>0</v>
      </c>
      <c r="K176" s="18">
        <v>0</v>
      </c>
      <c r="L176" s="18">
        <v>0</v>
      </c>
      <c r="M176" s="18">
        <f t="shared" si="72"/>
        <v>0</v>
      </c>
      <c r="N176" s="18">
        <v>0</v>
      </c>
      <c r="O176" s="18">
        <v>0</v>
      </c>
      <c r="P176" s="236">
        <f t="shared" si="73"/>
        <v>0</v>
      </c>
      <c r="Q176" s="18">
        <f t="shared" si="88"/>
        <v>0</v>
      </c>
      <c r="R176" s="18">
        <f t="shared" si="88"/>
        <v>0</v>
      </c>
      <c r="S176" s="18">
        <f t="shared" si="84"/>
        <v>0</v>
      </c>
      <c r="T176" s="18">
        <f t="shared" si="89"/>
        <v>0</v>
      </c>
      <c r="U176" s="18">
        <f t="shared" si="89"/>
        <v>168161</v>
      </c>
      <c r="V176" s="18">
        <f t="shared" si="85"/>
        <v>168161</v>
      </c>
      <c r="W176" s="140">
        <f t="shared" si="86"/>
        <v>168161</v>
      </c>
      <c r="X176" s="26">
        <f t="shared" si="90"/>
        <v>0.48256131751097642</v>
      </c>
      <c r="Z176" s="467">
        <f t="shared" ref="Z176:Z186" si="91">W176-AA176</f>
        <v>107943</v>
      </c>
      <c r="AA176" s="467">
        <v>60218</v>
      </c>
    </row>
    <row r="177" spans="1:27">
      <c r="A177" s="138">
        <v>45444</v>
      </c>
      <c r="B177" s="139">
        <v>0</v>
      </c>
      <c r="C177" s="18">
        <v>0</v>
      </c>
      <c r="D177" s="18">
        <f t="shared" si="69"/>
        <v>0</v>
      </c>
      <c r="E177" s="18">
        <v>0</v>
      </c>
      <c r="F177" s="18">
        <f t="shared" si="76"/>
        <v>24011</v>
      </c>
      <c r="G177" s="18">
        <f t="shared" si="70"/>
        <v>24011</v>
      </c>
      <c r="H177" s="18">
        <f t="shared" si="87"/>
        <v>0</v>
      </c>
      <c r="I177" s="18">
        <f t="shared" si="87"/>
        <v>24011</v>
      </c>
      <c r="J177" s="235">
        <f t="shared" si="71"/>
        <v>24011</v>
      </c>
      <c r="K177" s="18">
        <v>0</v>
      </c>
      <c r="L177" s="18">
        <v>0</v>
      </c>
      <c r="M177" s="18">
        <f t="shared" si="72"/>
        <v>0</v>
      </c>
      <c r="N177" s="18">
        <v>24011</v>
      </c>
      <c r="O177" s="18">
        <v>0</v>
      </c>
      <c r="P177" s="236">
        <f t="shared" si="73"/>
        <v>24011</v>
      </c>
      <c r="Q177" s="18">
        <f t="shared" si="88"/>
        <v>0</v>
      </c>
      <c r="R177" s="18">
        <f t="shared" si="88"/>
        <v>0</v>
      </c>
      <c r="S177" s="18">
        <f t="shared" si="84"/>
        <v>0</v>
      </c>
      <c r="T177" s="18">
        <f t="shared" si="89"/>
        <v>0</v>
      </c>
      <c r="U177" s="18">
        <f t="shared" si="89"/>
        <v>192172</v>
      </c>
      <c r="V177" s="18">
        <f t="shared" si="85"/>
        <v>192172</v>
      </c>
      <c r="W177" s="140">
        <f t="shared" si="86"/>
        <v>192172</v>
      </c>
      <c r="X177" s="26">
        <f t="shared" si="90"/>
        <v>0.39883534721211245</v>
      </c>
      <c r="Z177" s="467">
        <f t="shared" si="91"/>
        <v>131954</v>
      </c>
      <c r="AA177" s="467">
        <v>60218</v>
      </c>
    </row>
    <row r="178" spans="1:27">
      <c r="A178" s="138">
        <v>45474</v>
      </c>
      <c r="B178" s="139">
        <v>0</v>
      </c>
      <c r="C178" s="18">
        <v>0</v>
      </c>
      <c r="D178" s="18">
        <f t="shared" si="69"/>
        <v>0</v>
      </c>
      <c r="E178" s="18">
        <v>0</v>
      </c>
      <c r="F178" s="18">
        <f t="shared" si="76"/>
        <v>12018</v>
      </c>
      <c r="G178" s="18">
        <f t="shared" si="70"/>
        <v>12018</v>
      </c>
      <c r="H178" s="18">
        <f t="shared" si="87"/>
        <v>0</v>
      </c>
      <c r="I178" s="18">
        <f t="shared" si="87"/>
        <v>12018</v>
      </c>
      <c r="J178" s="235">
        <f t="shared" si="71"/>
        <v>12018</v>
      </c>
      <c r="K178" s="18">
        <v>0</v>
      </c>
      <c r="L178" s="18">
        <v>0</v>
      </c>
      <c r="M178" s="18">
        <f t="shared" si="72"/>
        <v>0</v>
      </c>
      <c r="N178" s="18">
        <v>12018</v>
      </c>
      <c r="O178" s="18">
        <v>0</v>
      </c>
      <c r="P178" s="236">
        <f t="shared" si="73"/>
        <v>12018</v>
      </c>
      <c r="Q178" s="18">
        <f t="shared" si="88"/>
        <v>0</v>
      </c>
      <c r="R178" s="18">
        <f t="shared" si="88"/>
        <v>0</v>
      </c>
      <c r="S178" s="18">
        <f t="shared" si="84"/>
        <v>0</v>
      </c>
      <c r="T178" s="18">
        <f t="shared" si="89"/>
        <v>0</v>
      </c>
      <c r="U178" s="18">
        <f t="shared" si="89"/>
        <v>204190</v>
      </c>
      <c r="V178" s="18">
        <f t="shared" si="85"/>
        <v>204190</v>
      </c>
      <c r="W178" s="140">
        <f t="shared" si="86"/>
        <v>204190</v>
      </c>
      <c r="X178" s="26">
        <f t="shared" si="90"/>
        <v>0.48631532974232061</v>
      </c>
      <c r="Z178" s="467">
        <f t="shared" si="91"/>
        <v>143972</v>
      </c>
      <c r="AA178" s="467">
        <v>60218</v>
      </c>
    </row>
    <row r="179" spans="1:27">
      <c r="A179" s="138">
        <v>45505</v>
      </c>
      <c r="B179" s="139">
        <v>0</v>
      </c>
      <c r="C179" s="18">
        <v>0</v>
      </c>
      <c r="D179" s="18">
        <f t="shared" si="69"/>
        <v>0</v>
      </c>
      <c r="E179" s="18">
        <v>0</v>
      </c>
      <c r="F179" s="18">
        <f t="shared" si="76"/>
        <v>0</v>
      </c>
      <c r="G179" s="18">
        <f t="shared" si="70"/>
        <v>0</v>
      </c>
      <c r="H179" s="18">
        <f t="shared" si="87"/>
        <v>0</v>
      </c>
      <c r="I179" s="18">
        <f t="shared" si="87"/>
        <v>0</v>
      </c>
      <c r="J179" s="235">
        <f t="shared" si="71"/>
        <v>0</v>
      </c>
      <c r="K179" s="18">
        <v>0</v>
      </c>
      <c r="L179" s="18">
        <v>0</v>
      </c>
      <c r="M179" s="18">
        <f t="shared" si="72"/>
        <v>0</v>
      </c>
      <c r="N179" s="18">
        <v>0</v>
      </c>
      <c r="O179" s="18">
        <v>0</v>
      </c>
      <c r="P179" s="236">
        <f t="shared" si="73"/>
        <v>0</v>
      </c>
      <c r="Q179" s="18">
        <f t="shared" si="88"/>
        <v>0</v>
      </c>
      <c r="R179" s="18">
        <f t="shared" si="88"/>
        <v>0</v>
      </c>
      <c r="S179" s="18">
        <f t="shared" si="84"/>
        <v>0</v>
      </c>
      <c r="T179" s="18">
        <f t="shared" si="89"/>
        <v>0</v>
      </c>
      <c r="U179" s="18">
        <f t="shared" si="89"/>
        <v>204190</v>
      </c>
      <c r="V179" s="18">
        <f t="shared" si="85"/>
        <v>204190</v>
      </c>
      <c r="W179" s="140">
        <f t="shared" si="86"/>
        <v>204190</v>
      </c>
      <c r="X179" s="26">
        <f t="shared" si="90"/>
        <v>0.22943811565232042</v>
      </c>
      <c r="Z179" s="467">
        <f t="shared" si="91"/>
        <v>143972</v>
      </c>
      <c r="AA179" s="467">
        <v>60218</v>
      </c>
    </row>
    <row r="180" spans="1:27">
      <c r="A180" s="138">
        <v>45536</v>
      </c>
      <c r="B180" s="139">
        <v>0</v>
      </c>
      <c r="C180" s="18">
        <v>0</v>
      </c>
      <c r="D180" s="18">
        <f t="shared" si="69"/>
        <v>0</v>
      </c>
      <c r="E180" s="18">
        <v>0</v>
      </c>
      <c r="F180" s="18">
        <v>23774</v>
      </c>
      <c r="G180" s="18">
        <f t="shared" si="70"/>
        <v>23774</v>
      </c>
      <c r="H180" s="18">
        <f t="shared" si="87"/>
        <v>0</v>
      </c>
      <c r="I180" s="18">
        <f t="shared" si="87"/>
        <v>23774</v>
      </c>
      <c r="J180" s="235">
        <f t="shared" si="71"/>
        <v>23774</v>
      </c>
      <c r="K180" s="18">
        <v>0</v>
      </c>
      <c r="L180" s="18">
        <v>0</v>
      </c>
      <c r="M180" s="18">
        <f t="shared" si="72"/>
        <v>0</v>
      </c>
      <c r="N180" s="18">
        <v>23774</v>
      </c>
      <c r="O180" s="18">
        <v>0</v>
      </c>
      <c r="P180" s="236">
        <f t="shared" si="73"/>
        <v>23774</v>
      </c>
      <c r="Q180" s="18">
        <f t="shared" si="88"/>
        <v>0</v>
      </c>
      <c r="R180" s="18">
        <f t="shared" si="88"/>
        <v>0</v>
      </c>
      <c r="S180" s="18">
        <f t="shared" si="84"/>
        <v>0</v>
      </c>
      <c r="T180" s="18">
        <f t="shared" si="89"/>
        <v>0</v>
      </c>
      <c r="U180" s="18">
        <f t="shared" si="89"/>
        <v>227964</v>
      </c>
      <c r="V180" s="18">
        <f t="shared" si="85"/>
        <v>227964</v>
      </c>
      <c r="W180" s="140">
        <f t="shared" si="86"/>
        <v>227964</v>
      </c>
      <c r="X180" s="26">
        <f t="shared" si="90"/>
        <v>0.37258254858987017</v>
      </c>
      <c r="Z180" s="467">
        <f t="shared" si="91"/>
        <v>167746</v>
      </c>
      <c r="AA180" s="467">
        <v>60218</v>
      </c>
    </row>
    <row r="181" spans="1:27">
      <c r="A181" s="138">
        <v>45566</v>
      </c>
      <c r="B181" s="139">
        <v>0</v>
      </c>
      <c r="C181" s="18">
        <v>0</v>
      </c>
      <c r="D181" s="18">
        <f t="shared" si="69"/>
        <v>0</v>
      </c>
      <c r="E181" s="18">
        <v>0</v>
      </c>
      <c r="F181" s="18">
        <v>0</v>
      </c>
      <c r="G181" s="18">
        <f t="shared" si="70"/>
        <v>0</v>
      </c>
      <c r="H181" s="18">
        <f t="shared" si="87"/>
        <v>0</v>
      </c>
      <c r="I181" s="18">
        <f t="shared" si="87"/>
        <v>0</v>
      </c>
      <c r="J181" s="235">
        <f t="shared" si="71"/>
        <v>0</v>
      </c>
      <c r="K181" s="18">
        <v>0</v>
      </c>
      <c r="L181" s="18">
        <v>0</v>
      </c>
      <c r="M181" s="18">
        <f t="shared" si="72"/>
        <v>0</v>
      </c>
      <c r="N181" s="18">
        <v>0</v>
      </c>
      <c r="O181" s="18">
        <v>0</v>
      </c>
      <c r="P181" s="236">
        <f t="shared" si="73"/>
        <v>0</v>
      </c>
      <c r="Q181" s="18">
        <f t="shared" si="88"/>
        <v>0</v>
      </c>
      <c r="R181" s="18">
        <f t="shared" si="88"/>
        <v>0</v>
      </c>
      <c r="S181" s="18">
        <f t="shared" si="84"/>
        <v>0</v>
      </c>
      <c r="T181" s="18">
        <f t="shared" si="89"/>
        <v>0</v>
      </c>
      <c r="U181" s="18">
        <f t="shared" si="89"/>
        <v>227964</v>
      </c>
      <c r="V181" s="18">
        <f t="shared" si="85"/>
        <v>227964</v>
      </c>
      <c r="W181" s="140">
        <f t="shared" si="86"/>
        <v>227964</v>
      </c>
      <c r="X181" s="26">
        <f t="shared" si="90"/>
        <v>0.37258254858987017</v>
      </c>
      <c r="Z181" s="467">
        <f t="shared" si="91"/>
        <v>167746</v>
      </c>
      <c r="AA181" s="467">
        <v>60218</v>
      </c>
    </row>
    <row r="182" spans="1:27">
      <c r="A182" s="138">
        <v>45597</v>
      </c>
      <c r="B182" s="139">
        <v>0</v>
      </c>
      <c r="C182" s="18">
        <v>0</v>
      </c>
      <c r="D182" s="18">
        <f t="shared" si="69"/>
        <v>0</v>
      </c>
      <c r="E182" s="18">
        <v>0</v>
      </c>
      <c r="F182" s="18">
        <v>37211</v>
      </c>
      <c r="G182" s="18">
        <f t="shared" si="70"/>
        <v>37211</v>
      </c>
      <c r="H182" s="18">
        <f t="shared" si="87"/>
        <v>0</v>
      </c>
      <c r="I182" s="18">
        <f t="shared" si="87"/>
        <v>37211</v>
      </c>
      <c r="J182" s="235">
        <f t="shared" si="71"/>
        <v>37211</v>
      </c>
      <c r="K182" s="18">
        <v>0</v>
      </c>
      <c r="L182" s="18">
        <v>0</v>
      </c>
      <c r="M182" s="18">
        <f t="shared" si="72"/>
        <v>0</v>
      </c>
      <c r="N182" s="18">
        <v>0</v>
      </c>
      <c r="O182" s="18">
        <v>0</v>
      </c>
      <c r="P182" s="236">
        <f t="shared" si="73"/>
        <v>0</v>
      </c>
      <c r="Q182" s="18">
        <f t="shared" si="88"/>
        <v>0</v>
      </c>
      <c r="R182" s="18">
        <f t="shared" si="88"/>
        <v>0</v>
      </c>
      <c r="S182" s="18">
        <f t="shared" si="84"/>
        <v>0</v>
      </c>
      <c r="T182" s="18">
        <f t="shared" si="89"/>
        <v>0</v>
      </c>
      <c r="U182" s="18">
        <f t="shared" si="89"/>
        <v>265175</v>
      </c>
      <c r="V182" s="18">
        <f t="shared" si="85"/>
        <v>265175</v>
      </c>
      <c r="W182" s="140">
        <f t="shared" si="86"/>
        <v>265175</v>
      </c>
      <c r="X182" s="26">
        <f t="shared" si="90"/>
        <v>0.27095085864371193</v>
      </c>
      <c r="Z182" s="467">
        <f t="shared" si="91"/>
        <v>204957</v>
      </c>
      <c r="AA182" s="467">
        <v>60218</v>
      </c>
    </row>
    <row r="183" spans="1:27" ht="15.75" thickBot="1">
      <c r="A183" s="138">
        <v>45627</v>
      </c>
      <c r="B183" s="139">
        <v>0</v>
      </c>
      <c r="C183" s="18">
        <v>0</v>
      </c>
      <c r="D183" s="18">
        <f t="shared" si="69"/>
        <v>0</v>
      </c>
      <c r="E183" s="18">
        <v>0</v>
      </c>
      <c r="F183" s="18">
        <v>18084</v>
      </c>
      <c r="G183" s="18">
        <f t="shared" si="70"/>
        <v>18084</v>
      </c>
      <c r="H183" s="18">
        <f t="shared" si="87"/>
        <v>0</v>
      </c>
      <c r="I183" s="18">
        <f t="shared" si="87"/>
        <v>18084</v>
      </c>
      <c r="J183" s="235">
        <f t="shared" si="71"/>
        <v>18084</v>
      </c>
      <c r="K183" s="18">
        <v>0</v>
      </c>
      <c r="L183" s="18">
        <v>0</v>
      </c>
      <c r="M183" s="18">
        <f t="shared" si="72"/>
        <v>0</v>
      </c>
      <c r="N183" s="18">
        <v>0</v>
      </c>
      <c r="O183" s="18">
        <v>0</v>
      </c>
      <c r="P183" s="236">
        <f t="shared" si="73"/>
        <v>0</v>
      </c>
      <c r="Q183" s="18">
        <f t="shared" si="88"/>
        <v>0</v>
      </c>
      <c r="R183" s="18">
        <f t="shared" si="88"/>
        <v>0</v>
      </c>
      <c r="S183" s="18">
        <f t="shared" si="84"/>
        <v>0</v>
      </c>
      <c r="T183" s="18">
        <f t="shared" si="89"/>
        <v>0</v>
      </c>
      <c r="U183" s="18">
        <f t="shared" si="89"/>
        <v>283259</v>
      </c>
      <c r="V183" s="18">
        <f t="shared" si="85"/>
        <v>283259</v>
      </c>
      <c r="W183" s="140">
        <f t="shared" si="86"/>
        <v>283259</v>
      </c>
      <c r="X183" s="26">
        <f t="shared" si="90"/>
        <v>0.35762522586427536</v>
      </c>
      <c r="Z183" s="467">
        <f t="shared" si="91"/>
        <v>223041</v>
      </c>
      <c r="AA183" s="467">
        <v>60218</v>
      </c>
    </row>
    <row r="184" spans="1:27">
      <c r="A184" s="138">
        <v>45658</v>
      </c>
      <c r="B184" s="142">
        <v>0</v>
      </c>
      <c r="C184" s="143">
        <v>0</v>
      </c>
      <c r="D184" s="143">
        <f t="shared" si="69"/>
        <v>0</v>
      </c>
      <c r="E184" s="143">
        <v>0</v>
      </c>
      <c r="F184" s="143">
        <f>P184</f>
        <v>28782</v>
      </c>
      <c r="G184" s="143">
        <f t="shared" si="70"/>
        <v>28782</v>
      </c>
      <c r="H184" s="143">
        <f t="shared" si="87"/>
        <v>0</v>
      </c>
      <c r="I184" s="143">
        <f t="shared" si="87"/>
        <v>28782</v>
      </c>
      <c r="J184" s="237">
        <f t="shared" si="71"/>
        <v>28782</v>
      </c>
      <c r="K184" s="143">
        <v>0</v>
      </c>
      <c r="L184" s="143">
        <v>0</v>
      </c>
      <c r="M184" s="143">
        <f t="shared" si="72"/>
        <v>0</v>
      </c>
      <c r="N184" s="143">
        <v>28782</v>
      </c>
      <c r="O184" s="143">
        <v>0</v>
      </c>
      <c r="P184" s="238">
        <f t="shared" si="73"/>
        <v>28782</v>
      </c>
      <c r="Q184" s="143">
        <f>B184</f>
        <v>0</v>
      </c>
      <c r="R184" s="143">
        <f>C184</f>
        <v>0</v>
      </c>
      <c r="S184" s="143">
        <f t="shared" si="84"/>
        <v>0</v>
      </c>
      <c r="T184" s="143">
        <f>E184</f>
        <v>0</v>
      </c>
      <c r="U184" s="143">
        <f>F184</f>
        <v>28782</v>
      </c>
      <c r="V184" s="143">
        <f t="shared" si="85"/>
        <v>28782</v>
      </c>
      <c r="W184" s="144">
        <f t="shared" si="86"/>
        <v>28782</v>
      </c>
      <c r="X184" s="26"/>
      <c r="Z184" s="467">
        <f t="shared" si="91"/>
        <v>-31436</v>
      </c>
      <c r="AA184" s="467">
        <v>60218</v>
      </c>
    </row>
    <row r="185" spans="1:27">
      <c r="A185" s="138">
        <v>45689</v>
      </c>
      <c r="B185" s="139">
        <v>0</v>
      </c>
      <c r="C185" s="18">
        <v>0</v>
      </c>
      <c r="D185" s="18">
        <f t="shared" si="69"/>
        <v>0</v>
      </c>
      <c r="E185" s="18">
        <v>0</v>
      </c>
      <c r="F185" s="18">
        <f t="shared" ref="F185:F186" si="92">P185</f>
        <v>0</v>
      </c>
      <c r="G185" s="18">
        <f t="shared" si="70"/>
        <v>0</v>
      </c>
      <c r="H185" s="18">
        <f t="shared" si="87"/>
        <v>0</v>
      </c>
      <c r="I185" s="18">
        <f t="shared" si="87"/>
        <v>0</v>
      </c>
      <c r="J185" s="235">
        <f t="shared" si="71"/>
        <v>0</v>
      </c>
      <c r="K185" s="18">
        <v>0</v>
      </c>
      <c r="L185" s="18">
        <v>0</v>
      </c>
      <c r="M185" s="18">
        <f t="shared" si="72"/>
        <v>0</v>
      </c>
      <c r="N185" s="18">
        <v>0</v>
      </c>
      <c r="O185" s="18">
        <v>0</v>
      </c>
      <c r="P185" s="236">
        <f t="shared" si="73"/>
        <v>0</v>
      </c>
      <c r="Q185" s="18">
        <f t="shared" ref="Q185:R186" si="93">Q184+B185</f>
        <v>0</v>
      </c>
      <c r="R185" s="18">
        <f t="shared" si="93"/>
        <v>0</v>
      </c>
      <c r="S185" s="18">
        <f t="shared" si="84"/>
        <v>0</v>
      </c>
      <c r="T185" s="18">
        <f t="shared" ref="T185:U186" si="94">T184+E185</f>
        <v>0</v>
      </c>
      <c r="U185" s="18">
        <f t="shared" si="94"/>
        <v>28782</v>
      </c>
      <c r="V185" s="18">
        <f t="shared" si="85"/>
        <v>28782</v>
      </c>
      <c r="W185" s="140">
        <f t="shared" si="86"/>
        <v>28782</v>
      </c>
      <c r="X185" s="26">
        <f t="shared" ref="X185:X186" si="95">W185/W173-1</f>
        <v>-0.52203660035205424</v>
      </c>
      <c r="Z185" s="467">
        <f t="shared" si="91"/>
        <v>-31436</v>
      </c>
      <c r="AA185" s="467">
        <v>60218</v>
      </c>
    </row>
    <row r="186" spans="1:27">
      <c r="A186" s="138">
        <v>45717</v>
      </c>
      <c r="B186" s="139">
        <v>0</v>
      </c>
      <c r="C186" s="18">
        <v>0</v>
      </c>
      <c r="D186" s="18">
        <f t="shared" si="69"/>
        <v>0</v>
      </c>
      <c r="E186" s="18">
        <v>0</v>
      </c>
      <c r="F186" s="18">
        <f t="shared" si="92"/>
        <v>54155</v>
      </c>
      <c r="G186" s="18">
        <f t="shared" si="70"/>
        <v>54155</v>
      </c>
      <c r="H186" s="18">
        <f t="shared" si="87"/>
        <v>0</v>
      </c>
      <c r="I186" s="18">
        <f t="shared" si="87"/>
        <v>54155</v>
      </c>
      <c r="J186" s="235">
        <f t="shared" si="71"/>
        <v>54155</v>
      </c>
      <c r="K186" s="18">
        <v>0</v>
      </c>
      <c r="L186" s="18">
        <v>0</v>
      </c>
      <c r="M186" s="18">
        <f t="shared" si="72"/>
        <v>0</v>
      </c>
      <c r="N186" s="18">
        <v>54155</v>
      </c>
      <c r="O186" s="18">
        <v>0</v>
      </c>
      <c r="P186" s="236">
        <f t="shared" si="73"/>
        <v>54155</v>
      </c>
      <c r="Q186" s="18">
        <f t="shared" si="93"/>
        <v>0</v>
      </c>
      <c r="R186" s="18">
        <f t="shared" si="93"/>
        <v>0</v>
      </c>
      <c r="S186" s="18">
        <f t="shared" si="84"/>
        <v>0</v>
      </c>
      <c r="T186" s="18">
        <f t="shared" si="94"/>
        <v>0</v>
      </c>
      <c r="U186" s="18">
        <f t="shared" si="94"/>
        <v>82937</v>
      </c>
      <c r="V186" s="18">
        <f t="shared" si="85"/>
        <v>82937</v>
      </c>
      <c r="W186" s="140">
        <f t="shared" si="86"/>
        <v>82937</v>
      </c>
      <c r="X186" s="26">
        <f t="shared" si="95"/>
        <v>-0.31121741369144018</v>
      </c>
      <c r="Z186" s="467">
        <f t="shared" si="91"/>
        <v>22719</v>
      </c>
      <c r="AA186" s="467">
        <v>60218</v>
      </c>
    </row>
  </sheetData>
  <mergeCells count="11">
    <mergeCell ref="W2:W3"/>
    <mergeCell ref="B1:J1"/>
    <mergeCell ref="K1:P1"/>
    <mergeCell ref="Q1:W1"/>
    <mergeCell ref="B2:D2"/>
    <mergeCell ref="E2:G2"/>
    <mergeCell ref="H2:J2"/>
    <mergeCell ref="K2:M2"/>
    <mergeCell ref="N2:P2"/>
    <mergeCell ref="Q2:S2"/>
    <mergeCell ref="T2:V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6A76-F32F-4A30-83A1-D4A291F276C2}">
  <dimension ref="A1:AS195"/>
  <sheetViews>
    <sheetView workbookViewId="0">
      <pane xSplit="1" ySplit="2" topLeftCell="B42" activePane="bottomRight" state="frozen"/>
      <selection activeCell="A9" sqref="A9"/>
      <selection pane="topRight" activeCell="A9" sqref="A9"/>
      <selection pane="bottomLeft" activeCell="A9" sqref="A9"/>
      <selection pane="bottomRight" activeCell="A9" sqref="A9"/>
    </sheetView>
  </sheetViews>
  <sheetFormatPr defaultColWidth="9.140625" defaultRowHeight="12.75"/>
  <cols>
    <col min="1" max="1" width="28.7109375" style="2" customWidth="1"/>
    <col min="2" max="2" width="13.42578125" style="2" customWidth="1"/>
    <col min="3" max="14" width="13.42578125" style="2" hidden="1" customWidth="1"/>
    <col min="15" max="17" width="13.42578125" style="2" customWidth="1"/>
    <col min="18" max="26" width="13.42578125" style="2" hidden="1" customWidth="1"/>
    <col min="27" max="16384" width="9.140625" style="2"/>
  </cols>
  <sheetData>
    <row r="1" spans="1:45" ht="18.75" thickBot="1">
      <c r="A1" s="78" t="s">
        <v>559</v>
      </c>
    </row>
    <row r="2" spans="1:45" ht="13.5" thickBot="1">
      <c r="A2" s="79"/>
      <c r="B2" s="80">
        <v>2010</v>
      </c>
      <c r="C2" s="80">
        <v>2011</v>
      </c>
      <c r="D2" s="80">
        <v>2012</v>
      </c>
      <c r="E2" s="80">
        <v>2013</v>
      </c>
      <c r="F2" s="80">
        <v>2014</v>
      </c>
      <c r="G2" s="80">
        <v>2015</v>
      </c>
      <c r="H2" s="80">
        <v>2016</v>
      </c>
      <c r="I2" s="80">
        <v>2017</v>
      </c>
      <c r="J2" s="80">
        <v>2018</v>
      </c>
      <c r="K2" s="80">
        <v>2019</v>
      </c>
      <c r="L2" s="80">
        <v>2020</v>
      </c>
      <c r="M2" s="80">
        <v>2021</v>
      </c>
      <c r="N2" s="80">
        <v>2022</v>
      </c>
      <c r="O2" s="80">
        <v>2023</v>
      </c>
      <c r="P2" s="80">
        <v>2024</v>
      </c>
      <c r="Q2" s="80">
        <v>2025</v>
      </c>
      <c r="R2" s="80">
        <v>2026</v>
      </c>
      <c r="S2" s="80">
        <v>2027</v>
      </c>
      <c r="T2" s="80">
        <v>2028</v>
      </c>
      <c r="U2" s="80">
        <v>2029</v>
      </c>
      <c r="V2" s="80">
        <v>2030</v>
      </c>
      <c r="W2" s="80">
        <v>2031</v>
      </c>
      <c r="X2" s="80">
        <v>2032</v>
      </c>
      <c r="Y2" s="80">
        <v>2033</v>
      </c>
      <c r="Z2" s="80">
        <v>2034</v>
      </c>
      <c r="AC2" s="80">
        <f t="shared" ref="AC2:AS2" si="0">B2</f>
        <v>2010</v>
      </c>
      <c r="AD2" s="80">
        <f t="shared" si="0"/>
        <v>2011</v>
      </c>
      <c r="AE2" s="80">
        <f t="shared" si="0"/>
        <v>2012</v>
      </c>
      <c r="AF2" s="80">
        <f t="shared" si="0"/>
        <v>2013</v>
      </c>
      <c r="AG2" s="80">
        <f t="shared" si="0"/>
        <v>2014</v>
      </c>
      <c r="AH2" s="80">
        <f t="shared" si="0"/>
        <v>2015</v>
      </c>
      <c r="AI2" s="80">
        <f t="shared" si="0"/>
        <v>2016</v>
      </c>
      <c r="AJ2" s="80">
        <f t="shared" si="0"/>
        <v>2017</v>
      </c>
      <c r="AK2" s="80">
        <f t="shared" si="0"/>
        <v>2018</v>
      </c>
      <c r="AL2" s="80">
        <f t="shared" si="0"/>
        <v>2019</v>
      </c>
      <c r="AM2" s="80">
        <f t="shared" si="0"/>
        <v>2020</v>
      </c>
      <c r="AN2" s="80">
        <f t="shared" si="0"/>
        <v>2021</v>
      </c>
      <c r="AO2" s="80">
        <f t="shared" si="0"/>
        <v>2022</v>
      </c>
      <c r="AP2" s="80">
        <f t="shared" si="0"/>
        <v>2023</v>
      </c>
      <c r="AQ2" s="80">
        <f t="shared" si="0"/>
        <v>2024</v>
      </c>
      <c r="AR2" s="80">
        <f t="shared" si="0"/>
        <v>2025</v>
      </c>
      <c r="AS2" s="80">
        <f t="shared" si="0"/>
        <v>2026</v>
      </c>
    </row>
    <row r="3" spans="1:45">
      <c r="A3" s="356" t="s">
        <v>538</v>
      </c>
      <c r="B3" s="96">
        <f>B4+B7</f>
        <v>0</v>
      </c>
      <c r="C3" s="96">
        <f t="shared" ref="C3:I3" si="1">C4+C7</f>
        <v>0</v>
      </c>
      <c r="D3" s="96">
        <f t="shared" si="1"/>
        <v>1741</v>
      </c>
      <c r="E3" s="96">
        <f t="shared" si="1"/>
        <v>395777</v>
      </c>
      <c r="F3" s="96">
        <f t="shared" si="1"/>
        <v>8859</v>
      </c>
      <c r="G3" s="96">
        <f t="shared" si="1"/>
        <v>0</v>
      </c>
      <c r="H3" s="96">
        <f t="shared" si="1"/>
        <v>0</v>
      </c>
      <c r="I3" s="96">
        <f t="shared" si="1"/>
        <v>459</v>
      </c>
      <c r="J3" s="96">
        <f>J4+J7</f>
        <v>11256</v>
      </c>
      <c r="K3" s="96">
        <f>K4+K7</f>
        <v>0</v>
      </c>
      <c r="L3" s="96">
        <f>L4+L7</f>
        <v>0</v>
      </c>
      <c r="M3" s="96">
        <f>M4+M7</f>
        <v>0</v>
      </c>
      <c r="N3" s="96">
        <f>N4+N7</f>
        <v>0</v>
      </c>
      <c r="O3" s="177">
        <f>'D7 Gallon Forecast'!O3*1.7</f>
        <v>0</v>
      </c>
      <c r="P3" s="177">
        <f>'D7 Gallon Forecast'!P3*1.7</f>
        <v>0</v>
      </c>
      <c r="Q3" s="102">
        <f>'D7 Gallon Forecast'!Q3*1.7</f>
        <v>15.405164556330419</v>
      </c>
      <c r="R3" s="102">
        <f>'D7 Gallon Forecast'!R3*1.7</f>
        <v>73.071918651636224</v>
      </c>
      <c r="S3" s="102">
        <f>'D7 Gallon Forecast'!S3*1.7</f>
        <v>20.895642892632168</v>
      </c>
      <c r="T3" s="102">
        <f>'D7 Gallon Forecast'!T3*1.7</f>
        <v>43.561237025749868</v>
      </c>
      <c r="U3" s="102">
        <f>'D7 Gallon Forecast'!U3*1.7</f>
        <v>71.898301341210029</v>
      </c>
      <c r="V3" s="102">
        <f>'D7 Gallon Forecast'!V3*1.7</f>
        <v>84.65117533381563</v>
      </c>
      <c r="W3" s="102">
        <f>'D7 Gallon Forecast'!W3*1.7</f>
        <v>102.00138624250539</v>
      </c>
      <c r="X3" s="102">
        <f>'D7 Gallon Forecast'!X3*1.7</f>
        <v>102.43837687394698</v>
      </c>
      <c r="Y3" s="102">
        <f>'D7 Gallon Forecast'!Y3*1.7</f>
        <v>130.48638577316888</v>
      </c>
      <c r="Z3" s="102">
        <f>'D7 Gallon Forecast'!Z3*1.7</f>
        <v>143.53242855609278</v>
      </c>
      <c r="AB3" s="210" t="s">
        <v>538</v>
      </c>
      <c r="AC3" s="468" t="e">
        <f>B3/'D7 Gallon Forecast'!B3</f>
        <v>#DIV/0!</v>
      </c>
      <c r="AD3" s="468" t="e">
        <f>C3/'D7 Gallon Forecast'!C3</f>
        <v>#DIV/0!</v>
      </c>
      <c r="AE3" s="468">
        <f>D3/'D7 Gallon Forecast'!D3</f>
        <v>1.7001953125</v>
      </c>
      <c r="AF3" s="468">
        <f>E3/'D7 Gallon Forecast'!E3</f>
        <v>1.7000146043091302</v>
      </c>
      <c r="AG3" s="468">
        <f>F3/'D7 Gallon Forecast'!F3</f>
        <v>1.7000575705238918</v>
      </c>
      <c r="AH3" s="468" t="e">
        <f>G3/'D7 Gallon Forecast'!G3</f>
        <v>#DIV/0!</v>
      </c>
      <c r="AI3" s="468" t="e">
        <f>H3/'D7 Gallon Forecast'!H3</f>
        <v>#DIV/0!</v>
      </c>
      <c r="AJ3" s="468">
        <f>I3/'D7 Gallon Forecast'!I3</f>
        <v>1.7</v>
      </c>
      <c r="AK3" s="468">
        <f>J3/'D7 Gallon Forecast'!J3</f>
        <v>1.7003021148036255</v>
      </c>
      <c r="AL3" s="468" t="e">
        <f>K3/'D7 Gallon Forecast'!K3</f>
        <v>#DIV/0!</v>
      </c>
      <c r="AM3" s="468" t="e">
        <f>L3/'D7 Gallon Forecast'!L3</f>
        <v>#DIV/0!</v>
      </c>
      <c r="AN3" s="468" t="e">
        <f>M3/'D7 Gallon Forecast'!M3</f>
        <v>#DIV/0!</v>
      </c>
      <c r="AO3" s="468" t="e">
        <f>N3/'D7 Gallon Forecast'!N3</f>
        <v>#DIV/0!</v>
      </c>
      <c r="AP3" s="468" t="e">
        <f>O3/'D7 Gallon Forecast'!O3</f>
        <v>#DIV/0!</v>
      </c>
      <c r="AQ3" s="469" t="e">
        <f>P3/'D7 Gallon Forecast'!P3</f>
        <v>#DIV/0!</v>
      </c>
      <c r="AR3" s="469">
        <f>Q3/'D7 Gallon Forecast'!Q3</f>
        <v>1.7</v>
      </c>
      <c r="AS3" s="469">
        <f>R3/'D7 Gallon Forecast'!R3</f>
        <v>1.7</v>
      </c>
    </row>
    <row r="4" spans="1:45">
      <c r="A4" s="2" t="s">
        <v>224</v>
      </c>
      <c r="B4" s="3">
        <f>B5+B6</f>
        <v>0</v>
      </c>
      <c r="C4" s="3">
        <f t="shared" ref="C4:I4" si="2">C5+C6</f>
        <v>0</v>
      </c>
      <c r="D4" s="3">
        <f t="shared" si="2"/>
        <v>1741</v>
      </c>
      <c r="E4" s="3">
        <f t="shared" si="2"/>
        <v>395777</v>
      </c>
      <c r="F4" s="3">
        <f t="shared" si="2"/>
        <v>8859</v>
      </c>
      <c r="G4" s="3">
        <f t="shared" si="2"/>
        <v>0</v>
      </c>
      <c r="H4" s="3">
        <f t="shared" si="2"/>
        <v>0</v>
      </c>
      <c r="I4" s="3">
        <f t="shared" si="2"/>
        <v>459</v>
      </c>
      <c r="J4" s="3">
        <f>J5+J6</f>
        <v>11256</v>
      </c>
      <c r="K4" s="3">
        <f>K5+K6</f>
        <v>0</v>
      </c>
      <c r="L4" s="3">
        <f>L5+L6</f>
        <v>0</v>
      </c>
      <c r="M4" s="3">
        <f>M5+M6</f>
        <v>0</v>
      </c>
      <c r="N4" s="3">
        <f>N5+N6</f>
        <v>0</v>
      </c>
      <c r="O4" s="3">
        <f t="shared" ref="O4:X4" si="3">O5+O6</f>
        <v>0</v>
      </c>
      <c r="P4" s="3">
        <f t="shared" si="3"/>
        <v>0</v>
      </c>
      <c r="Q4" s="4">
        <f t="shared" si="3"/>
        <v>15.406196887465326</v>
      </c>
      <c r="R4" s="4">
        <f t="shared" si="3"/>
        <v>73.076815348223633</v>
      </c>
      <c r="S4" s="4">
        <f t="shared" si="3"/>
        <v>20.89704315178961</v>
      </c>
      <c r="T4" s="4">
        <f t="shared" si="3"/>
        <v>43.564156152065742</v>
      </c>
      <c r="U4" s="4">
        <f t="shared" si="3"/>
        <v>71.903119391335366</v>
      </c>
      <c r="V4" s="4">
        <f t="shared" si="3"/>
        <v>84.656847979737961</v>
      </c>
      <c r="W4" s="4">
        <f t="shared" si="3"/>
        <v>102.00822156104009</v>
      </c>
      <c r="X4" s="4">
        <f t="shared" si="3"/>
        <v>102.44524147610488</v>
      </c>
      <c r="Y4" s="4">
        <f>Y5+Y6</f>
        <v>130.49512992895004</v>
      </c>
      <c r="Z4" s="4">
        <f>Z5+Z6</f>
        <v>143.54204695350265</v>
      </c>
      <c r="AB4" s="210" t="s">
        <v>224</v>
      </c>
      <c r="AC4" s="468" t="e">
        <f>B4/'D7 Gallon Forecast'!B4</f>
        <v>#DIV/0!</v>
      </c>
      <c r="AD4" s="468" t="e">
        <f>C4/'D7 Gallon Forecast'!C4</f>
        <v>#DIV/0!</v>
      </c>
      <c r="AE4" s="468">
        <f>D4/'D7 Gallon Forecast'!D4</f>
        <v>1.7001953125</v>
      </c>
      <c r="AF4" s="468">
        <f>E4/'D7 Gallon Forecast'!E4</f>
        <v>1.7000146043091302</v>
      </c>
      <c r="AG4" s="468">
        <f>F4/'D7 Gallon Forecast'!F4</f>
        <v>1.7000575705238918</v>
      </c>
      <c r="AH4" s="468" t="e">
        <f>G4/'D7 Gallon Forecast'!G4</f>
        <v>#DIV/0!</v>
      </c>
      <c r="AI4" s="468" t="e">
        <f>H4/'D7 Gallon Forecast'!H4</f>
        <v>#DIV/0!</v>
      </c>
      <c r="AJ4" s="468">
        <f>I4/'D7 Gallon Forecast'!I4</f>
        <v>1.7</v>
      </c>
      <c r="AK4" s="468">
        <f>J4/'D7 Gallon Forecast'!J4</f>
        <v>1.7003021148036255</v>
      </c>
      <c r="AL4" s="468" t="e">
        <f>K4/'D7 Gallon Forecast'!K4</f>
        <v>#DIV/0!</v>
      </c>
      <c r="AM4" s="468" t="e">
        <f>L4/'D7 Gallon Forecast'!L4</f>
        <v>#DIV/0!</v>
      </c>
      <c r="AN4" s="468" t="e">
        <f>M4/'D7 Gallon Forecast'!M4</f>
        <v>#DIV/0!</v>
      </c>
      <c r="AO4" s="468" t="e">
        <f>N4/'D7 Gallon Forecast'!N4</f>
        <v>#DIV/0!</v>
      </c>
      <c r="AP4" s="468" t="e">
        <f>O4/'D7 Gallon Forecast'!O4</f>
        <v>#DIV/0!</v>
      </c>
      <c r="AQ4" s="469" t="e">
        <f>P4/'D7 Gallon Forecast'!P4</f>
        <v>#DIV/0!</v>
      </c>
      <c r="AR4" s="469">
        <f>Q4/'D7 Gallon Forecast'!Q4</f>
        <v>1.7001139204273297</v>
      </c>
      <c r="AS4" s="469">
        <f>R4/'D7 Gallon Forecast'!R4</f>
        <v>1.7001139204273297</v>
      </c>
    </row>
    <row r="5" spans="1:45">
      <c r="A5" s="2" t="s">
        <v>288</v>
      </c>
      <c r="B5" s="3">
        <f>B83</f>
        <v>0</v>
      </c>
      <c r="C5" s="3">
        <f t="shared" ref="C5:I5" si="4">C83</f>
        <v>0</v>
      </c>
      <c r="D5" s="3">
        <f t="shared" si="4"/>
        <v>1741</v>
      </c>
      <c r="E5" s="3">
        <f t="shared" si="4"/>
        <v>395777</v>
      </c>
      <c r="F5" s="3">
        <f t="shared" si="4"/>
        <v>8859</v>
      </c>
      <c r="G5" s="3">
        <f t="shared" si="4"/>
        <v>0</v>
      </c>
      <c r="H5" s="3">
        <f t="shared" si="4"/>
        <v>0</v>
      </c>
      <c r="I5" s="3">
        <f t="shared" si="4"/>
        <v>459</v>
      </c>
      <c r="J5" s="3">
        <f>J83</f>
        <v>11256</v>
      </c>
      <c r="K5" s="3">
        <f>K83</f>
        <v>0</v>
      </c>
      <c r="L5" s="3">
        <f>L83</f>
        <v>0</v>
      </c>
      <c r="M5" s="3">
        <f>M83</f>
        <v>0</v>
      </c>
      <c r="N5" s="3">
        <f>N83</f>
        <v>0</v>
      </c>
      <c r="O5" s="3">
        <f t="shared" ref="O5:Z5" si="5">O83</f>
        <v>0</v>
      </c>
      <c r="P5" s="3">
        <f t="shared" si="5"/>
        <v>0</v>
      </c>
      <c r="Q5" s="4">
        <f t="shared" si="5"/>
        <v>15.406196887465326</v>
      </c>
      <c r="R5" s="4">
        <f t="shared" si="5"/>
        <v>73.076815348223633</v>
      </c>
      <c r="S5" s="4">
        <f t="shared" si="5"/>
        <v>20.89704315178961</v>
      </c>
      <c r="T5" s="4">
        <f t="shared" si="5"/>
        <v>43.564156152065742</v>
      </c>
      <c r="U5" s="4">
        <f t="shared" si="5"/>
        <v>71.903119391335366</v>
      </c>
      <c r="V5" s="4">
        <f t="shared" si="5"/>
        <v>84.656847979737961</v>
      </c>
      <c r="W5" s="4">
        <f t="shared" si="5"/>
        <v>102.00822156104009</v>
      </c>
      <c r="X5" s="4">
        <f t="shared" si="5"/>
        <v>102.44524147610488</v>
      </c>
      <c r="Y5" s="4">
        <f t="shared" si="5"/>
        <v>130.49512992895004</v>
      </c>
      <c r="Z5" s="4">
        <f t="shared" si="5"/>
        <v>143.54204695350265</v>
      </c>
      <c r="AB5" s="210" t="s">
        <v>288</v>
      </c>
      <c r="AC5" s="468" t="e">
        <f>B5/'D7 Gallon Forecast'!B5</f>
        <v>#DIV/0!</v>
      </c>
      <c r="AD5" s="468" t="e">
        <f>C5/'D7 Gallon Forecast'!C5</f>
        <v>#DIV/0!</v>
      </c>
      <c r="AE5" s="468">
        <f>D5/'D7 Gallon Forecast'!D5</f>
        <v>1.7001953125</v>
      </c>
      <c r="AF5" s="468">
        <f>E5/'D7 Gallon Forecast'!E5</f>
        <v>1.7000146043091302</v>
      </c>
      <c r="AG5" s="468">
        <f>F5/'D7 Gallon Forecast'!F5</f>
        <v>1.7000575705238918</v>
      </c>
      <c r="AH5" s="468" t="e">
        <f>G5/'D7 Gallon Forecast'!G5</f>
        <v>#DIV/0!</v>
      </c>
      <c r="AI5" s="468" t="e">
        <f>H5/'D7 Gallon Forecast'!H5</f>
        <v>#DIV/0!</v>
      </c>
      <c r="AJ5" s="468">
        <f>I5/'D7 Gallon Forecast'!I5</f>
        <v>1.7</v>
      </c>
      <c r="AK5" s="468">
        <f>J5/'D7 Gallon Forecast'!J5</f>
        <v>1.7003021148036255</v>
      </c>
      <c r="AL5" s="468" t="e">
        <f>K5/'D7 Gallon Forecast'!K5</f>
        <v>#DIV/0!</v>
      </c>
      <c r="AM5" s="468" t="e">
        <f>L5/'D7 Gallon Forecast'!L5</f>
        <v>#DIV/0!</v>
      </c>
      <c r="AN5" s="468" t="e">
        <f>M5/'D7 Gallon Forecast'!M5</f>
        <v>#DIV/0!</v>
      </c>
      <c r="AO5" s="468" t="e">
        <f>N5/'D7 Gallon Forecast'!N5</f>
        <v>#DIV/0!</v>
      </c>
      <c r="AP5" s="468" t="e">
        <f>O5/'D7 Gallon Forecast'!O5</f>
        <v>#DIV/0!</v>
      </c>
      <c r="AQ5" s="469" t="e">
        <f>P5/'D7 Gallon Forecast'!P5</f>
        <v>#DIV/0!</v>
      </c>
      <c r="AR5" s="469">
        <f>Q5/'D7 Gallon Forecast'!Q5</f>
        <v>1.7001139204273297</v>
      </c>
      <c r="AS5" s="469">
        <f>R5/'D7 Gallon Forecast'!R5</f>
        <v>1.7001139204273297</v>
      </c>
    </row>
    <row r="6" spans="1:45">
      <c r="A6" s="2" t="s">
        <v>539</v>
      </c>
      <c r="B6" s="3">
        <f>B99</f>
        <v>0</v>
      </c>
      <c r="C6" s="3">
        <f t="shared" ref="C6:I6" si="6">C99</f>
        <v>0</v>
      </c>
      <c r="D6" s="3">
        <f t="shared" si="6"/>
        <v>0</v>
      </c>
      <c r="E6" s="3">
        <f t="shared" si="6"/>
        <v>0</v>
      </c>
      <c r="F6" s="3">
        <f t="shared" si="6"/>
        <v>0</v>
      </c>
      <c r="G6" s="3">
        <f t="shared" si="6"/>
        <v>0</v>
      </c>
      <c r="H6" s="3">
        <f t="shared" si="6"/>
        <v>0</v>
      </c>
      <c r="I6" s="3">
        <f t="shared" si="6"/>
        <v>0</v>
      </c>
      <c r="J6" s="3">
        <f>J99</f>
        <v>0</v>
      </c>
      <c r="K6" s="3">
        <f>K99</f>
        <v>0</v>
      </c>
      <c r="L6" s="3">
        <f>L99</f>
        <v>0</v>
      </c>
      <c r="M6" s="3">
        <f>M99</f>
        <v>0</v>
      </c>
      <c r="N6" s="3">
        <f>N99</f>
        <v>0</v>
      </c>
      <c r="O6" s="3">
        <f t="shared" ref="O6:X6" si="7">O99</f>
        <v>0</v>
      </c>
      <c r="P6" s="3">
        <f t="shared" si="7"/>
        <v>0</v>
      </c>
      <c r="Q6" s="4">
        <f t="shared" si="7"/>
        <v>0</v>
      </c>
      <c r="R6" s="4">
        <f t="shared" si="7"/>
        <v>0</v>
      </c>
      <c r="S6" s="4">
        <f t="shared" si="7"/>
        <v>0</v>
      </c>
      <c r="T6" s="4">
        <f t="shared" si="7"/>
        <v>0</v>
      </c>
      <c r="U6" s="4">
        <f t="shared" si="7"/>
        <v>0</v>
      </c>
      <c r="V6" s="4">
        <f t="shared" si="7"/>
        <v>0</v>
      </c>
      <c r="W6" s="4">
        <f t="shared" si="7"/>
        <v>0</v>
      </c>
      <c r="X6" s="4">
        <f t="shared" si="7"/>
        <v>0</v>
      </c>
      <c r="Y6" s="4">
        <f>Y99</f>
        <v>0</v>
      </c>
      <c r="Z6" s="4">
        <f>Z99</f>
        <v>0</v>
      </c>
      <c r="AB6" s="210" t="s">
        <v>539</v>
      </c>
      <c r="AC6" s="468" t="e">
        <f>B6/'D7 Gallon Forecast'!B6</f>
        <v>#DIV/0!</v>
      </c>
      <c r="AD6" s="468" t="e">
        <f>C6/'D7 Gallon Forecast'!C6</f>
        <v>#DIV/0!</v>
      </c>
      <c r="AE6" s="468" t="e">
        <f>D6/'D7 Gallon Forecast'!D6</f>
        <v>#DIV/0!</v>
      </c>
      <c r="AF6" s="468" t="e">
        <f>E6/'D7 Gallon Forecast'!E6</f>
        <v>#DIV/0!</v>
      </c>
      <c r="AG6" s="468" t="e">
        <f>F6/'D7 Gallon Forecast'!F6</f>
        <v>#DIV/0!</v>
      </c>
      <c r="AH6" s="468" t="e">
        <f>G6/'D7 Gallon Forecast'!G6</f>
        <v>#DIV/0!</v>
      </c>
      <c r="AI6" s="468" t="e">
        <f>H6/'D7 Gallon Forecast'!H6</f>
        <v>#DIV/0!</v>
      </c>
      <c r="AJ6" s="468" t="e">
        <f>I6/'D7 Gallon Forecast'!I6</f>
        <v>#DIV/0!</v>
      </c>
      <c r="AK6" s="468" t="e">
        <f>J6/'D7 Gallon Forecast'!J6</f>
        <v>#DIV/0!</v>
      </c>
      <c r="AL6" s="468" t="e">
        <f>K6/'D7 Gallon Forecast'!K6</f>
        <v>#DIV/0!</v>
      </c>
      <c r="AM6" s="468" t="e">
        <f>L6/'D7 Gallon Forecast'!L6</f>
        <v>#DIV/0!</v>
      </c>
      <c r="AN6" s="468" t="e">
        <f>M6/'D7 Gallon Forecast'!M6</f>
        <v>#DIV/0!</v>
      </c>
      <c r="AO6" s="468" t="e">
        <f>N6/'D7 Gallon Forecast'!N6</f>
        <v>#DIV/0!</v>
      </c>
      <c r="AP6" s="468" t="e">
        <f>O6/'D7 Gallon Forecast'!O6</f>
        <v>#DIV/0!</v>
      </c>
      <c r="AQ6" s="469" t="e">
        <f>P6/'D7 Gallon Forecast'!P6</f>
        <v>#DIV/0!</v>
      </c>
      <c r="AR6" s="469" t="e">
        <f>Q6/'D7 Gallon Forecast'!Q6</f>
        <v>#DIV/0!</v>
      </c>
      <c r="AS6" s="469" t="e">
        <f>R6/'D7 Gallon Forecast'!R6</f>
        <v>#DIV/0!</v>
      </c>
    </row>
    <row r="7" spans="1:45" ht="13.5" thickBot="1">
      <c r="A7" s="2" t="s">
        <v>225</v>
      </c>
      <c r="B7" s="3">
        <f>B115</f>
        <v>0</v>
      </c>
      <c r="C7" s="3">
        <f t="shared" ref="C7:I7" si="8">C115</f>
        <v>0</v>
      </c>
      <c r="D7" s="3">
        <f t="shared" si="8"/>
        <v>0</v>
      </c>
      <c r="E7" s="3">
        <f t="shared" si="8"/>
        <v>0</v>
      </c>
      <c r="F7" s="3">
        <f t="shared" si="8"/>
        <v>0</v>
      </c>
      <c r="G7" s="3">
        <f t="shared" si="8"/>
        <v>0</v>
      </c>
      <c r="H7" s="3">
        <f t="shared" si="8"/>
        <v>0</v>
      </c>
      <c r="I7" s="3">
        <f t="shared" si="8"/>
        <v>0</v>
      </c>
      <c r="J7" s="3">
        <f>J115</f>
        <v>0</v>
      </c>
      <c r="K7" s="3">
        <f>K115</f>
        <v>0</v>
      </c>
      <c r="L7" s="3">
        <f>L115</f>
        <v>0</v>
      </c>
      <c r="M7" s="3">
        <f>M115</f>
        <v>0</v>
      </c>
      <c r="N7" s="3">
        <f>N115</f>
        <v>0</v>
      </c>
      <c r="O7" s="3">
        <f t="shared" ref="O7:X7" si="9">O115</f>
        <v>0</v>
      </c>
      <c r="P7" s="3">
        <f t="shared" si="9"/>
        <v>0</v>
      </c>
      <c r="Q7" s="4">
        <f t="shared" si="9"/>
        <v>0</v>
      </c>
      <c r="R7" s="4">
        <f t="shared" si="9"/>
        <v>0</v>
      </c>
      <c r="S7" s="4">
        <f t="shared" si="9"/>
        <v>0</v>
      </c>
      <c r="T7" s="4">
        <f t="shared" si="9"/>
        <v>0</v>
      </c>
      <c r="U7" s="4">
        <f t="shared" si="9"/>
        <v>0</v>
      </c>
      <c r="V7" s="4">
        <f t="shared" si="9"/>
        <v>0</v>
      </c>
      <c r="W7" s="4">
        <f t="shared" si="9"/>
        <v>0</v>
      </c>
      <c r="X7" s="4">
        <f t="shared" si="9"/>
        <v>0</v>
      </c>
      <c r="Y7" s="4">
        <f>Y115</f>
        <v>0</v>
      </c>
      <c r="Z7" s="4">
        <f>Z115</f>
        <v>0</v>
      </c>
      <c r="AB7" s="210" t="s">
        <v>225</v>
      </c>
      <c r="AC7" s="468" t="e">
        <f>B7/'D7 Gallon Forecast'!B7</f>
        <v>#DIV/0!</v>
      </c>
      <c r="AD7" s="468" t="e">
        <f>C7/'D7 Gallon Forecast'!C7</f>
        <v>#DIV/0!</v>
      </c>
      <c r="AE7" s="468" t="e">
        <f>D7/'D7 Gallon Forecast'!D7</f>
        <v>#DIV/0!</v>
      </c>
      <c r="AF7" s="468" t="e">
        <f>E7/'D7 Gallon Forecast'!E7</f>
        <v>#DIV/0!</v>
      </c>
      <c r="AG7" s="468" t="e">
        <f>F7/'D7 Gallon Forecast'!F7</f>
        <v>#DIV/0!</v>
      </c>
      <c r="AH7" s="468" t="e">
        <f>G7/'D7 Gallon Forecast'!G7</f>
        <v>#DIV/0!</v>
      </c>
      <c r="AI7" s="468" t="e">
        <f>H7/'D7 Gallon Forecast'!H7</f>
        <v>#DIV/0!</v>
      </c>
      <c r="AJ7" s="468" t="e">
        <f>I7/'D7 Gallon Forecast'!I7</f>
        <v>#DIV/0!</v>
      </c>
      <c r="AK7" s="468" t="e">
        <f>J7/'D7 Gallon Forecast'!J7</f>
        <v>#DIV/0!</v>
      </c>
      <c r="AL7" s="468" t="e">
        <f>K7/'D7 Gallon Forecast'!K7</f>
        <v>#DIV/0!</v>
      </c>
      <c r="AM7" s="468" t="e">
        <f>L7/'D7 Gallon Forecast'!L7</f>
        <v>#DIV/0!</v>
      </c>
      <c r="AN7" s="468" t="e">
        <f>M7/'D7 Gallon Forecast'!M7</f>
        <v>#DIV/0!</v>
      </c>
      <c r="AO7" s="468" t="e">
        <f>N7/'D7 Gallon Forecast'!N7</f>
        <v>#DIV/0!</v>
      </c>
      <c r="AP7" s="468" t="e">
        <f>O7/'D7 Gallon Forecast'!O7</f>
        <v>#DIV/0!</v>
      </c>
      <c r="AQ7" s="469" t="e">
        <f>P7/'D7 Gallon Forecast'!P7</f>
        <v>#DIV/0!</v>
      </c>
      <c r="AR7" s="469" t="e">
        <f>Q7/'D7 Gallon Forecast'!Q7</f>
        <v>#DIV/0!</v>
      </c>
      <c r="AS7" s="469" t="e">
        <f>R7/'D7 Gallon Forecast'!R7</f>
        <v>#DIV/0!</v>
      </c>
    </row>
    <row r="8" spans="1:45">
      <c r="A8" s="359" t="s">
        <v>540</v>
      </c>
      <c r="B8" s="98">
        <f>B9+B10</f>
        <v>0</v>
      </c>
      <c r="C8" s="98">
        <f t="shared" ref="C8:I8" si="10">C9+C10</f>
        <v>0</v>
      </c>
      <c r="D8" s="98">
        <f t="shared" si="10"/>
        <v>0</v>
      </c>
      <c r="E8" s="98">
        <f t="shared" si="10"/>
        <v>0</v>
      </c>
      <c r="F8" s="98">
        <f t="shared" si="10"/>
        <v>50446</v>
      </c>
      <c r="G8" s="98">
        <f t="shared" si="10"/>
        <v>275315</v>
      </c>
      <c r="H8" s="98">
        <f t="shared" si="10"/>
        <v>534429</v>
      </c>
      <c r="I8" s="98">
        <f t="shared" si="10"/>
        <v>1743435</v>
      </c>
      <c r="J8" s="98">
        <f>J9+J10</f>
        <v>2440000</v>
      </c>
      <c r="K8" s="98">
        <f>K9+K10</f>
        <v>1315943</v>
      </c>
      <c r="L8" s="98">
        <f>L9+L10</f>
        <v>55892</v>
      </c>
      <c r="M8" s="98">
        <f>M9+M10</f>
        <v>247518</v>
      </c>
      <c r="N8" s="98">
        <f>N9+N10</f>
        <v>236352</v>
      </c>
      <c r="O8" s="470">
        <f>'D7 Gallon Forecast'!O8</f>
        <v>208643</v>
      </c>
      <c r="P8" s="470">
        <f>'D7 Gallon Forecast'!P8</f>
        <v>227964</v>
      </c>
      <c r="Q8" s="179">
        <f>'D7 Gallon Forecast'!Q8</f>
        <v>217762.13813848436</v>
      </c>
      <c r="R8" s="179">
        <f>'D7 Gallon Forecast'!R8</f>
        <v>271282.88318509993</v>
      </c>
      <c r="S8" s="179">
        <f>'D7 Gallon Forecast'!S8</f>
        <v>243178.5128897914</v>
      </c>
      <c r="T8" s="179">
        <f>'D7 Gallon Forecast'!T8</f>
        <v>255387.16981698456</v>
      </c>
      <c r="U8" s="179">
        <f>'D7 Gallon Forecast'!U8</f>
        <v>270650.72278277937</v>
      </c>
      <c r="V8" s="179">
        <f>'D7 Gallon Forecast'!V8</f>
        <v>277519.96532264468</v>
      </c>
      <c r="W8" s="179">
        <f>'D7 Gallon Forecast'!W8</f>
        <v>286865.52985339932</v>
      </c>
      <c r="X8" s="179">
        <f>'D7 Gallon Forecast'!X8</f>
        <v>287100.91166903515</v>
      </c>
      <c r="Y8" s="179">
        <f>'D7 Gallon Forecast'!Y8</f>
        <v>302208.76704363478</v>
      </c>
      <c r="Z8" s="179">
        <f>'D7 Gallon Forecast'!Z8</f>
        <v>309235.92281369056</v>
      </c>
      <c r="AB8" s="210" t="s">
        <v>540</v>
      </c>
      <c r="AC8" s="468" t="e">
        <f>B8/'D7 Gallon Forecast'!B8</f>
        <v>#DIV/0!</v>
      </c>
      <c r="AD8" s="468" t="e">
        <f>C8/'D7 Gallon Forecast'!C8</f>
        <v>#DIV/0!</v>
      </c>
      <c r="AE8" s="468" t="e">
        <f>D8/'D7 Gallon Forecast'!D8</f>
        <v>#DIV/0!</v>
      </c>
      <c r="AF8" s="468" t="e">
        <f>E8/'D7 Gallon Forecast'!E8</f>
        <v>#DIV/0!</v>
      </c>
      <c r="AG8" s="468">
        <f>F8/'D7 Gallon Forecast'!F8</f>
        <v>1</v>
      </c>
      <c r="AH8" s="468">
        <f>G8/'D7 Gallon Forecast'!G8</f>
        <v>1</v>
      </c>
      <c r="AI8" s="468">
        <f>H8/'D7 Gallon Forecast'!H8</f>
        <v>1</v>
      </c>
      <c r="AJ8" s="468">
        <f>I8/'D7 Gallon Forecast'!I8</f>
        <v>1</v>
      </c>
      <c r="AK8" s="468">
        <f>J8/'D7 Gallon Forecast'!J8</f>
        <v>1</v>
      </c>
      <c r="AL8" s="468">
        <f>K8/'D7 Gallon Forecast'!K8</f>
        <v>1</v>
      </c>
      <c r="AM8" s="468">
        <f>L8/'D7 Gallon Forecast'!L8</f>
        <v>1</v>
      </c>
      <c r="AN8" s="468">
        <f>M8/'D7 Gallon Forecast'!M8</f>
        <v>1</v>
      </c>
      <c r="AO8" s="468">
        <f>N8/'D7 Gallon Forecast'!N8</f>
        <v>1</v>
      </c>
      <c r="AP8" s="468">
        <f>O8/'D7 Gallon Forecast'!O8</f>
        <v>1</v>
      </c>
      <c r="AQ8" s="469">
        <f>P8/'D7 Gallon Forecast'!P8</f>
        <v>1</v>
      </c>
      <c r="AR8" s="469">
        <f>Q8/'D7 Gallon Forecast'!Q8</f>
        <v>1</v>
      </c>
      <c r="AS8" s="469">
        <f>R8/'D7 Gallon Forecast'!R8</f>
        <v>1</v>
      </c>
    </row>
    <row r="9" spans="1:45">
      <c r="A9" s="2" t="s">
        <v>224</v>
      </c>
      <c r="B9" s="3">
        <f>B147</f>
        <v>0</v>
      </c>
      <c r="C9" s="3">
        <f t="shared" ref="C9:I9" si="11">C147</f>
        <v>0</v>
      </c>
      <c r="D9" s="3">
        <f t="shared" si="11"/>
        <v>0</v>
      </c>
      <c r="E9" s="3">
        <f t="shared" si="11"/>
        <v>0</v>
      </c>
      <c r="F9" s="3">
        <f t="shared" si="11"/>
        <v>0</v>
      </c>
      <c r="G9" s="3">
        <f t="shared" si="11"/>
        <v>0</v>
      </c>
      <c r="H9" s="3">
        <f t="shared" si="11"/>
        <v>0</v>
      </c>
      <c r="I9" s="3">
        <f t="shared" si="11"/>
        <v>0</v>
      </c>
      <c r="J9" s="3">
        <f>J147</f>
        <v>0</v>
      </c>
      <c r="K9" s="3">
        <f>K147</f>
        <v>0</v>
      </c>
      <c r="L9" s="3">
        <f>L147</f>
        <v>0</v>
      </c>
      <c r="M9" s="3">
        <f>M147</f>
        <v>0</v>
      </c>
      <c r="N9" s="3">
        <f>N147</f>
        <v>0</v>
      </c>
      <c r="O9" s="3">
        <f t="shared" ref="O9:X9" si="12">O147</f>
        <v>0</v>
      </c>
      <c r="P9" s="3">
        <f t="shared" si="12"/>
        <v>0</v>
      </c>
      <c r="Q9" s="4">
        <f t="shared" si="12"/>
        <v>0</v>
      </c>
      <c r="R9" s="4">
        <f t="shared" si="12"/>
        <v>0</v>
      </c>
      <c r="S9" s="4">
        <f t="shared" si="12"/>
        <v>0</v>
      </c>
      <c r="T9" s="4">
        <f t="shared" si="12"/>
        <v>0</v>
      </c>
      <c r="U9" s="4">
        <f t="shared" si="12"/>
        <v>0</v>
      </c>
      <c r="V9" s="4">
        <f t="shared" si="12"/>
        <v>0</v>
      </c>
      <c r="W9" s="4">
        <f t="shared" si="12"/>
        <v>0</v>
      </c>
      <c r="X9" s="4">
        <f t="shared" si="12"/>
        <v>0</v>
      </c>
      <c r="Y9" s="4">
        <f>Y147</f>
        <v>0</v>
      </c>
      <c r="Z9" s="4">
        <f>Z147</f>
        <v>0</v>
      </c>
      <c r="AB9" s="210" t="s">
        <v>224</v>
      </c>
      <c r="AC9" s="468" t="e">
        <f>B9/'D7 Gallon Forecast'!B9</f>
        <v>#DIV/0!</v>
      </c>
      <c r="AD9" s="468" t="e">
        <f>C9/'D7 Gallon Forecast'!C9</f>
        <v>#DIV/0!</v>
      </c>
      <c r="AE9" s="468" t="e">
        <f>D9/'D7 Gallon Forecast'!D9</f>
        <v>#DIV/0!</v>
      </c>
      <c r="AF9" s="468" t="e">
        <f>E9/'D7 Gallon Forecast'!E9</f>
        <v>#DIV/0!</v>
      </c>
      <c r="AG9" s="468" t="e">
        <f>F9/'D7 Gallon Forecast'!F9</f>
        <v>#DIV/0!</v>
      </c>
      <c r="AH9" s="468" t="e">
        <f>G9/'D7 Gallon Forecast'!G9</f>
        <v>#DIV/0!</v>
      </c>
      <c r="AI9" s="468" t="e">
        <f>H9/'D7 Gallon Forecast'!H9</f>
        <v>#DIV/0!</v>
      </c>
      <c r="AJ9" s="468" t="e">
        <f>I9/'D7 Gallon Forecast'!I9</f>
        <v>#DIV/0!</v>
      </c>
      <c r="AK9" s="468" t="e">
        <f>J9/'D7 Gallon Forecast'!J9</f>
        <v>#DIV/0!</v>
      </c>
      <c r="AL9" s="468" t="e">
        <f>K9/'D7 Gallon Forecast'!K9</f>
        <v>#DIV/0!</v>
      </c>
      <c r="AM9" s="468" t="e">
        <f>L9/'D7 Gallon Forecast'!L9</f>
        <v>#DIV/0!</v>
      </c>
      <c r="AN9" s="468" t="e">
        <f>M9/'D7 Gallon Forecast'!M9</f>
        <v>#DIV/0!</v>
      </c>
      <c r="AO9" s="468" t="e">
        <f>N9/'D7 Gallon Forecast'!N9</f>
        <v>#DIV/0!</v>
      </c>
      <c r="AP9" s="468" t="e">
        <f>O9/'D7 Gallon Forecast'!O9</f>
        <v>#DIV/0!</v>
      </c>
      <c r="AQ9" s="469" t="e">
        <f>P9/'D7 Gallon Forecast'!P9</f>
        <v>#DIV/0!</v>
      </c>
      <c r="AR9" s="469" t="e">
        <f>Q9/'D7 Gallon Forecast'!Q9</f>
        <v>#DIV/0!</v>
      </c>
      <c r="AS9" s="469" t="e">
        <f>R9/'D7 Gallon Forecast'!R9</f>
        <v>#DIV/0!</v>
      </c>
    </row>
    <row r="10" spans="1:45">
      <c r="A10" s="2" t="s">
        <v>225</v>
      </c>
      <c r="B10" s="3">
        <f>B11+B12</f>
        <v>0</v>
      </c>
      <c r="C10" s="3">
        <f t="shared" ref="C10:I10" si="13">C11+C12</f>
        <v>0</v>
      </c>
      <c r="D10" s="3">
        <f t="shared" si="13"/>
        <v>0</v>
      </c>
      <c r="E10" s="3">
        <f t="shared" si="13"/>
        <v>0</v>
      </c>
      <c r="F10" s="3">
        <f t="shared" si="13"/>
        <v>50446</v>
      </c>
      <c r="G10" s="3">
        <f t="shared" si="13"/>
        <v>275315</v>
      </c>
      <c r="H10" s="3">
        <f t="shared" si="13"/>
        <v>534429</v>
      </c>
      <c r="I10" s="3">
        <f t="shared" si="13"/>
        <v>1743435</v>
      </c>
      <c r="J10" s="3">
        <f>J11+J12</f>
        <v>2440000</v>
      </c>
      <c r="K10" s="3">
        <f>K11+K12</f>
        <v>1315943</v>
      </c>
      <c r="L10" s="3">
        <f>L11+L12</f>
        <v>55892</v>
      </c>
      <c r="M10" s="3">
        <f>M11+M12</f>
        <v>247518</v>
      </c>
      <c r="N10" s="3">
        <f>N11+N12</f>
        <v>236352</v>
      </c>
      <c r="O10" s="3">
        <f t="shared" ref="O10:X10" si="14">O11+O12</f>
        <v>208643</v>
      </c>
      <c r="P10" s="3">
        <f t="shared" si="14"/>
        <v>0</v>
      </c>
      <c r="Q10" s="4">
        <f t="shared" si="14"/>
        <v>134825.13813848436</v>
      </c>
      <c r="R10" s="4">
        <f t="shared" si="14"/>
        <v>271282.88318509993</v>
      </c>
      <c r="S10" s="4">
        <f t="shared" si="14"/>
        <v>243178.5128897914</v>
      </c>
      <c r="T10" s="4">
        <f t="shared" si="14"/>
        <v>255387.16981698456</v>
      </c>
      <c r="U10" s="4">
        <f t="shared" si="14"/>
        <v>270650.72278277937</v>
      </c>
      <c r="V10" s="4">
        <f t="shared" si="14"/>
        <v>277519.96532264468</v>
      </c>
      <c r="W10" s="4">
        <f t="shared" si="14"/>
        <v>286865.52985339932</v>
      </c>
      <c r="X10" s="4">
        <f t="shared" si="14"/>
        <v>287100.91166903515</v>
      </c>
      <c r="Y10" s="4">
        <f>Y11+Y12</f>
        <v>302208.76704363478</v>
      </c>
      <c r="Z10" s="4">
        <f>Z11+Z12</f>
        <v>309235.92281369056</v>
      </c>
      <c r="AB10" s="210" t="s">
        <v>225</v>
      </c>
      <c r="AC10" s="468" t="e">
        <f>B10/'D7 Gallon Forecast'!B10</f>
        <v>#DIV/0!</v>
      </c>
      <c r="AD10" s="468" t="e">
        <f>C10/'D7 Gallon Forecast'!C10</f>
        <v>#DIV/0!</v>
      </c>
      <c r="AE10" s="468" t="e">
        <f>D10/'D7 Gallon Forecast'!D10</f>
        <v>#DIV/0!</v>
      </c>
      <c r="AF10" s="468" t="e">
        <f>E10/'D7 Gallon Forecast'!E10</f>
        <v>#DIV/0!</v>
      </c>
      <c r="AG10" s="468">
        <f>F10/'D7 Gallon Forecast'!F10</f>
        <v>1</v>
      </c>
      <c r="AH10" s="468">
        <f>G10/'D7 Gallon Forecast'!G10</f>
        <v>1</v>
      </c>
      <c r="AI10" s="468">
        <f>H10/'D7 Gallon Forecast'!H10</f>
        <v>1</v>
      </c>
      <c r="AJ10" s="468">
        <f>I10/'D7 Gallon Forecast'!I10</f>
        <v>1</v>
      </c>
      <c r="AK10" s="468">
        <f>J10/'D7 Gallon Forecast'!J10</f>
        <v>1</v>
      </c>
      <c r="AL10" s="468">
        <f>K10/'D7 Gallon Forecast'!K10</f>
        <v>1</v>
      </c>
      <c r="AM10" s="468">
        <f>L10/'D7 Gallon Forecast'!L10</f>
        <v>1</v>
      </c>
      <c r="AN10" s="468">
        <f>M10/'D7 Gallon Forecast'!M10</f>
        <v>1</v>
      </c>
      <c r="AO10" s="468">
        <f>N10/'D7 Gallon Forecast'!N10</f>
        <v>1</v>
      </c>
      <c r="AP10" s="468">
        <f>O10/'D7 Gallon Forecast'!O10</f>
        <v>1</v>
      </c>
      <c r="AQ10" s="469">
        <f>P10/'D7 Gallon Forecast'!P10</f>
        <v>0</v>
      </c>
      <c r="AR10" s="469">
        <f>Q10/'D7 Gallon Forecast'!Q10</f>
        <v>0.61913948536243346</v>
      </c>
      <c r="AS10" s="469">
        <f>R10/'D7 Gallon Forecast'!R10</f>
        <v>1</v>
      </c>
    </row>
    <row r="11" spans="1:45">
      <c r="A11" s="2" t="s">
        <v>288</v>
      </c>
      <c r="B11" s="3">
        <f>B179</f>
        <v>0</v>
      </c>
      <c r="C11" s="3">
        <f t="shared" ref="C11:I11" si="15">C179</f>
        <v>0</v>
      </c>
      <c r="D11" s="3">
        <f t="shared" si="15"/>
        <v>0</v>
      </c>
      <c r="E11" s="3">
        <f t="shared" si="15"/>
        <v>0</v>
      </c>
      <c r="F11" s="3">
        <f t="shared" si="15"/>
        <v>50446</v>
      </c>
      <c r="G11" s="3">
        <f t="shared" si="15"/>
        <v>275315</v>
      </c>
      <c r="H11" s="3">
        <f t="shared" si="15"/>
        <v>534429</v>
      </c>
      <c r="I11" s="3">
        <f t="shared" si="15"/>
        <v>1743435</v>
      </c>
      <c r="J11" s="3">
        <f>J179</f>
        <v>2440000</v>
      </c>
      <c r="K11" s="3">
        <f>K179</f>
        <v>1315943</v>
      </c>
      <c r="L11" s="3">
        <f>L179</f>
        <v>55892</v>
      </c>
      <c r="M11" s="3">
        <f>M179</f>
        <v>247518</v>
      </c>
      <c r="N11" s="3">
        <f>N179</f>
        <v>236352</v>
      </c>
      <c r="O11" s="3">
        <f t="shared" ref="O11:Z11" si="16">O163</f>
        <v>208643</v>
      </c>
      <c r="P11" s="3">
        <f t="shared" si="16"/>
        <v>0</v>
      </c>
      <c r="Q11" s="4">
        <f t="shared" si="16"/>
        <v>134825.13813848436</v>
      </c>
      <c r="R11" s="4">
        <f t="shared" si="16"/>
        <v>271282.88318509993</v>
      </c>
      <c r="S11" s="4">
        <f t="shared" si="16"/>
        <v>243178.5128897914</v>
      </c>
      <c r="T11" s="4">
        <f t="shared" si="16"/>
        <v>255387.16981698456</v>
      </c>
      <c r="U11" s="4">
        <f t="shared" si="16"/>
        <v>270650.72278277937</v>
      </c>
      <c r="V11" s="4">
        <f t="shared" si="16"/>
        <v>277519.96532264468</v>
      </c>
      <c r="W11" s="4">
        <f t="shared" si="16"/>
        <v>286865.52985339932</v>
      </c>
      <c r="X11" s="4">
        <f t="shared" si="16"/>
        <v>287100.91166903515</v>
      </c>
      <c r="Y11" s="4">
        <f t="shared" si="16"/>
        <v>302208.76704363478</v>
      </c>
      <c r="Z11" s="4">
        <f t="shared" si="16"/>
        <v>309235.92281369056</v>
      </c>
      <c r="AB11" s="210" t="s">
        <v>288</v>
      </c>
      <c r="AC11" s="468" t="e">
        <f>B11/'D7 Gallon Forecast'!B11</f>
        <v>#DIV/0!</v>
      </c>
      <c r="AD11" s="468" t="e">
        <f>C11/'D7 Gallon Forecast'!C11</f>
        <v>#DIV/0!</v>
      </c>
      <c r="AE11" s="468" t="e">
        <f>D11/'D7 Gallon Forecast'!D11</f>
        <v>#DIV/0!</v>
      </c>
      <c r="AF11" s="468" t="e">
        <f>E11/'D7 Gallon Forecast'!E11</f>
        <v>#DIV/0!</v>
      </c>
      <c r="AG11" s="468">
        <f>F11/'D7 Gallon Forecast'!F11</f>
        <v>1</v>
      </c>
      <c r="AH11" s="468">
        <f>G11/'D7 Gallon Forecast'!G11</f>
        <v>1</v>
      </c>
      <c r="AI11" s="468">
        <f>H11/'D7 Gallon Forecast'!H11</f>
        <v>1</v>
      </c>
      <c r="AJ11" s="468">
        <f>I11/'D7 Gallon Forecast'!I11</f>
        <v>1</v>
      </c>
      <c r="AK11" s="468">
        <f>J11/'D7 Gallon Forecast'!J11</f>
        <v>1</v>
      </c>
      <c r="AL11" s="468">
        <f>K11/'D7 Gallon Forecast'!K11</f>
        <v>1</v>
      </c>
      <c r="AM11" s="468">
        <f>L11/'D7 Gallon Forecast'!L11</f>
        <v>1</v>
      </c>
      <c r="AN11" s="468">
        <f>M11/'D7 Gallon Forecast'!M11</f>
        <v>1</v>
      </c>
      <c r="AO11" s="468">
        <f>N11/'D7 Gallon Forecast'!N11</f>
        <v>1</v>
      </c>
      <c r="AP11" s="468">
        <f>O11/'D7 Gallon Forecast'!O11</f>
        <v>1</v>
      </c>
      <c r="AQ11" s="469">
        <f>P11/'D7 Gallon Forecast'!P11</f>
        <v>0</v>
      </c>
      <c r="AR11" s="469">
        <f>Q11/'D7 Gallon Forecast'!Q11</f>
        <v>0.61913948536243346</v>
      </c>
      <c r="AS11" s="469">
        <f>R11/'D7 Gallon Forecast'!R11</f>
        <v>1</v>
      </c>
    </row>
    <row r="12" spans="1:45" ht="13.5" thickBot="1">
      <c r="A12" s="434" t="s">
        <v>539</v>
      </c>
      <c r="B12" s="435">
        <f>B195</f>
        <v>0</v>
      </c>
      <c r="C12" s="435">
        <f t="shared" ref="C12:I12" si="17">C195</f>
        <v>0</v>
      </c>
      <c r="D12" s="435">
        <f t="shared" si="17"/>
        <v>0</v>
      </c>
      <c r="E12" s="435">
        <f t="shared" si="17"/>
        <v>0</v>
      </c>
      <c r="F12" s="435">
        <f t="shared" si="17"/>
        <v>0</v>
      </c>
      <c r="G12" s="435">
        <f t="shared" si="17"/>
        <v>0</v>
      </c>
      <c r="H12" s="435">
        <f t="shared" si="17"/>
        <v>0</v>
      </c>
      <c r="I12" s="435">
        <f t="shared" si="17"/>
        <v>0</v>
      </c>
      <c r="J12" s="435">
        <f>J195</f>
        <v>0</v>
      </c>
      <c r="K12" s="435">
        <f>K195</f>
        <v>0</v>
      </c>
      <c r="L12" s="435">
        <f>L195</f>
        <v>0</v>
      </c>
      <c r="M12" s="435">
        <f>M195</f>
        <v>0</v>
      </c>
      <c r="N12" s="435">
        <f>N195</f>
        <v>0</v>
      </c>
      <c r="O12" s="435">
        <f t="shared" ref="O12:X12" si="18">O195</f>
        <v>0</v>
      </c>
      <c r="P12" s="435">
        <f t="shared" si="18"/>
        <v>0</v>
      </c>
      <c r="Q12" s="471">
        <f t="shared" si="18"/>
        <v>0</v>
      </c>
      <c r="R12" s="471">
        <f t="shared" si="18"/>
        <v>0</v>
      </c>
      <c r="S12" s="471">
        <f t="shared" si="18"/>
        <v>0</v>
      </c>
      <c r="T12" s="471">
        <f t="shared" si="18"/>
        <v>0</v>
      </c>
      <c r="U12" s="471">
        <f t="shared" si="18"/>
        <v>0</v>
      </c>
      <c r="V12" s="471">
        <f t="shared" si="18"/>
        <v>0</v>
      </c>
      <c r="W12" s="471">
        <f t="shared" si="18"/>
        <v>0</v>
      </c>
      <c r="X12" s="471">
        <f t="shared" si="18"/>
        <v>0</v>
      </c>
      <c r="Y12" s="471">
        <f>Y195</f>
        <v>0</v>
      </c>
      <c r="Z12" s="471">
        <f>Z195</f>
        <v>0</v>
      </c>
      <c r="AB12" s="210" t="s">
        <v>539</v>
      </c>
      <c r="AC12" s="468" t="e">
        <f>B12/'D7 Gallon Forecast'!B12</f>
        <v>#DIV/0!</v>
      </c>
      <c r="AD12" s="468" t="e">
        <f>C12/'D7 Gallon Forecast'!C12</f>
        <v>#DIV/0!</v>
      </c>
      <c r="AE12" s="468" t="e">
        <f>D12/'D7 Gallon Forecast'!D12</f>
        <v>#DIV/0!</v>
      </c>
      <c r="AF12" s="468" t="e">
        <f>E12/'D7 Gallon Forecast'!E12</f>
        <v>#DIV/0!</v>
      </c>
      <c r="AG12" s="468" t="e">
        <f>F12/'D7 Gallon Forecast'!F12</f>
        <v>#DIV/0!</v>
      </c>
      <c r="AH12" s="468" t="e">
        <f>G12/'D7 Gallon Forecast'!G12</f>
        <v>#DIV/0!</v>
      </c>
      <c r="AI12" s="468" t="e">
        <f>H12/'D7 Gallon Forecast'!H12</f>
        <v>#DIV/0!</v>
      </c>
      <c r="AJ12" s="468" t="e">
        <f>I12/'D7 Gallon Forecast'!I12</f>
        <v>#DIV/0!</v>
      </c>
      <c r="AK12" s="468" t="e">
        <f>J12/'D7 Gallon Forecast'!J12</f>
        <v>#DIV/0!</v>
      </c>
      <c r="AL12" s="468" t="e">
        <f>K12/'D7 Gallon Forecast'!K12</f>
        <v>#DIV/0!</v>
      </c>
      <c r="AM12" s="468" t="e">
        <f>L12/'D7 Gallon Forecast'!L12</f>
        <v>#DIV/0!</v>
      </c>
      <c r="AN12" s="468" t="e">
        <f>M12/'D7 Gallon Forecast'!M12</f>
        <v>#DIV/0!</v>
      </c>
      <c r="AO12" s="468" t="e">
        <f>N12/'D7 Gallon Forecast'!N12</f>
        <v>#DIV/0!</v>
      </c>
      <c r="AP12" s="468" t="e">
        <f>O12/'D7 Gallon Forecast'!O12</f>
        <v>#DIV/0!</v>
      </c>
      <c r="AQ12" s="469" t="e">
        <f>P12/'D7 Gallon Forecast'!P12</f>
        <v>#DIV/0!</v>
      </c>
      <c r="AR12" s="469" t="e">
        <f>Q12/'D7 Gallon Forecast'!Q12</f>
        <v>#DIV/0!</v>
      </c>
      <c r="AS12" s="469" t="e">
        <f>R12/'D7 Gallon Forecast'!R12</f>
        <v>#DIV/0!</v>
      </c>
    </row>
    <row r="13" spans="1:45" ht="13.5" thickBot="1">
      <c r="A13" s="97" t="s">
        <v>541</v>
      </c>
      <c r="B13" s="98">
        <f>B3+B8</f>
        <v>0</v>
      </c>
      <c r="C13" s="98">
        <f t="shared" ref="C13:I13" si="19">C3+C8</f>
        <v>0</v>
      </c>
      <c r="D13" s="98">
        <f t="shared" si="19"/>
        <v>1741</v>
      </c>
      <c r="E13" s="98">
        <f t="shared" si="19"/>
        <v>395777</v>
      </c>
      <c r="F13" s="98">
        <f t="shared" si="19"/>
        <v>59305</v>
      </c>
      <c r="G13" s="98">
        <f t="shared" si="19"/>
        <v>275315</v>
      </c>
      <c r="H13" s="98">
        <f t="shared" si="19"/>
        <v>534429</v>
      </c>
      <c r="I13" s="98">
        <f t="shared" si="19"/>
        <v>1743894</v>
      </c>
      <c r="J13" s="98">
        <f>J3+J8</f>
        <v>2451256</v>
      </c>
      <c r="K13" s="98">
        <f>K3+K8</f>
        <v>1315943</v>
      </c>
      <c r="L13" s="98">
        <f>L3+L8</f>
        <v>55892</v>
      </c>
      <c r="M13" s="98">
        <f>M3+M8</f>
        <v>247518</v>
      </c>
      <c r="N13" s="98">
        <f>N3+N8</f>
        <v>236352</v>
      </c>
      <c r="O13" s="470">
        <f t="shared" ref="O13:X13" si="20">O3+O8</f>
        <v>208643</v>
      </c>
      <c r="P13" s="470">
        <f t="shared" si="20"/>
        <v>227964</v>
      </c>
      <c r="Q13" s="179">
        <f t="shared" si="20"/>
        <v>217777.54330304067</v>
      </c>
      <c r="R13" s="179">
        <f t="shared" si="20"/>
        <v>271355.95510375156</v>
      </c>
      <c r="S13" s="179">
        <f t="shared" si="20"/>
        <v>243199.40853268403</v>
      </c>
      <c r="T13" s="179">
        <f t="shared" si="20"/>
        <v>255430.73105401031</v>
      </c>
      <c r="U13" s="179">
        <f t="shared" si="20"/>
        <v>270722.62108412059</v>
      </c>
      <c r="V13" s="179">
        <f t="shared" si="20"/>
        <v>277604.61649797851</v>
      </c>
      <c r="W13" s="179">
        <f t="shared" si="20"/>
        <v>286967.53123964183</v>
      </c>
      <c r="X13" s="179">
        <f t="shared" si="20"/>
        <v>287203.35004590912</v>
      </c>
      <c r="Y13" s="179">
        <f>Y3+Y8</f>
        <v>302339.25342940795</v>
      </c>
      <c r="Z13" s="179">
        <f>Z3+Z8</f>
        <v>309379.45524224662</v>
      </c>
      <c r="AB13" s="210" t="s">
        <v>541</v>
      </c>
      <c r="AC13" s="468" t="e">
        <f>B13/'D7 Gallon Forecast'!B13</f>
        <v>#DIV/0!</v>
      </c>
      <c r="AD13" s="468" t="e">
        <f>C13/'D7 Gallon Forecast'!C13</f>
        <v>#DIV/0!</v>
      </c>
      <c r="AE13" s="468">
        <f>D13/'D7 Gallon Forecast'!D13</f>
        <v>1.7001953125</v>
      </c>
      <c r="AF13" s="468">
        <f>E13/'D7 Gallon Forecast'!E13</f>
        <v>1.7000146043091302</v>
      </c>
      <c r="AG13" s="468">
        <f>F13/'D7 Gallon Forecast'!F13</f>
        <v>1.06554431607884</v>
      </c>
      <c r="AH13" s="468">
        <f>G13/'D7 Gallon Forecast'!G13</f>
        <v>1</v>
      </c>
      <c r="AI13" s="468">
        <f>H13/'D7 Gallon Forecast'!H13</f>
        <v>1</v>
      </c>
      <c r="AJ13" s="468">
        <f>I13/'D7 Gallon Forecast'!I13</f>
        <v>1.0001083898939327</v>
      </c>
      <c r="AK13" s="468">
        <f>J13/'D7 Gallon Forecast'!J13</f>
        <v>1.0018948590300087</v>
      </c>
      <c r="AL13" s="468">
        <f>K13/'D7 Gallon Forecast'!K13</f>
        <v>1</v>
      </c>
      <c r="AM13" s="468">
        <f>L13/'D7 Gallon Forecast'!L13</f>
        <v>1</v>
      </c>
      <c r="AN13" s="468">
        <f>M13/'D7 Gallon Forecast'!M13</f>
        <v>1</v>
      </c>
      <c r="AO13" s="468">
        <f>N13/'D7 Gallon Forecast'!N13</f>
        <v>1</v>
      </c>
      <c r="AP13" s="468">
        <f>O13/'D7 Gallon Forecast'!O13</f>
        <v>1</v>
      </c>
      <c r="AQ13" s="469">
        <f>P13/'D7 Gallon Forecast'!P13</f>
        <v>1</v>
      </c>
      <c r="AR13" s="469">
        <f>Q13/'D7 Gallon Forecast'!Q13</f>
        <v>1.0000291282917695</v>
      </c>
      <c r="AS13" s="469">
        <f>R13/'D7 Gallon Forecast'!R13</f>
        <v>1.0001108940974242</v>
      </c>
    </row>
    <row r="14" spans="1:45" ht="13.5" thickBot="1">
      <c r="A14" s="97"/>
      <c r="B14" s="437"/>
      <c r="C14" s="437"/>
      <c r="D14" s="79"/>
      <c r="E14" s="79"/>
      <c r="F14" s="79"/>
      <c r="G14" s="79"/>
      <c r="H14" s="79"/>
      <c r="I14" s="79"/>
      <c r="J14" s="79"/>
      <c r="K14" s="79"/>
      <c r="L14" s="79"/>
      <c r="M14" s="79"/>
      <c r="N14" s="79"/>
      <c r="O14" s="79"/>
      <c r="P14" s="79"/>
      <c r="Q14" s="79"/>
      <c r="R14" s="79"/>
      <c r="S14" s="79"/>
      <c r="T14" s="79"/>
      <c r="U14" s="79"/>
      <c r="V14" s="79"/>
      <c r="W14" s="79"/>
      <c r="X14" s="79"/>
      <c r="Y14" s="79"/>
      <c r="Z14" s="79"/>
    </row>
    <row r="15" spans="1:45" ht="13.5" thickBot="1">
      <c r="A15" s="80" t="s">
        <v>230</v>
      </c>
      <c r="B15" s="80">
        <v>2010</v>
      </c>
      <c r="C15" s="80">
        <v>2011</v>
      </c>
      <c r="D15" s="80">
        <v>2012</v>
      </c>
      <c r="E15" s="80">
        <v>2013</v>
      </c>
      <c r="F15" s="80">
        <v>2014</v>
      </c>
      <c r="G15" s="80">
        <v>2015</v>
      </c>
      <c r="H15" s="80">
        <v>2016</v>
      </c>
      <c r="I15" s="80">
        <v>2017</v>
      </c>
      <c r="J15" s="80">
        <v>2018</v>
      </c>
      <c r="K15" s="80">
        <v>2019</v>
      </c>
      <c r="L15" s="80">
        <v>2020</v>
      </c>
      <c r="M15" s="80">
        <v>2021</v>
      </c>
      <c r="N15" s="80">
        <v>2022</v>
      </c>
      <c r="O15" s="79">
        <v>2023</v>
      </c>
      <c r="P15" s="79">
        <v>2024</v>
      </c>
      <c r="Q15" s="80">
        <v>2025</v>
      </c>
      <c r="R15" s="80">
        <v>2026</v>
      </c>
      <c r="S15" s="80">
        <v>2027</v>
      </c>
      <c r="T15" s="80">
        <v>2028</v>
      </c>
      <c r="U15" s="80">
        <v>2029</v>
      </c>
      <c r="V15" s="80">
        <v>2030</v>
      </c>
      <c r="W15" s="80">
        <v>2031</v>
      </c>
      <c r="X15" s="80">
        <v>2032</v>
      </c>
      <c r="Y15" s="80">
        <v>2033</v>
      </c>
      <c r="Z15" s="80">
        <v>2034</v>
      </c>
    </row>
    <row r="16" spans="1:45">
      <c r="A16" s="94" t="s">
        <v>560</v>
      </c>
      <c r="B16" s="2" t="e">
        <f>B13/'D7 Gallon Forecast'!B13</f>
        <v>#DIV/0!</v>
      </c>
      <c r="C16" s="2" t="e">
        <f>C13/'D7 Gallon Forecast'!C13</f>
        <v>#DIV/0!</v>
      </c>
      <c r="D16" s="2">
        <f>D13/'D7 Gallon Forecast'!D13</f>
        <v>1.7001953125</v>
      </c>
      <c r="E16" s="2">
        <f>E13/'D7 Gallon Forecast'!E13</f>
        <v>1.7000146043091302</v>
      </c>
      <c r="F16" s="2">
        <f>F13/'D7 Gallon Forecast'!F13</f>
        <v>1.06554431607884</v>
      </c>
      <c r="G16" s="2">
        <f>G13/'D7 Gallon Forecast'!G13</f>
        <v>1</v>
      </c>
      <c r="H16" s="2">
        <f>H13/'D7 Gallon Forecast'!H13</f>
        <v>1</v>
      </c>
      <c r="I16" s="2">
        <f>I13/'D7 Gallon Forecast'!I13</f>
        <v>1.0001083898939327</v>
      </c>
      <c r="J16" s="2">
        <f>J13/'D7 Gallon Forecast'!J13</f>
        <v>1.0018948590300087</v>
      </c>
      <c r="K16" s="2">
        <f>K13/'D7 Gallon Forecast'!K13</f>
        <v>1</v>
      </c>
      <c r="L16" s="2">
        <f>L13/'D7 Gallon Forecast'!L13</f>
        <v>1</v>
      </c>
      <c r="M16" s="2">
        <f>M13/'D7 Gallon Forecast'!M13</f>
        <v>1</v>
      </c>
      <c r="N16" s="2">
        <f>N13/'D7 Gallon Forecast'!N13</f>
        <v>1</v>
      </c>
      <c r="O16" s="2">
        <f>O13/'D7 Gallon Forecast'!O13</f>
        <v>1</v>
      </c>
      <c r="P16" s="2">
        <f>P13/'D7 Gallon Forecast'!P13</f>
        <v>1</v>
      </c>
      <c r="Q16" s="2">
        <f>Q13/'D7 Gallon Forecast'!Q13</f>
        <v>1.0000291282917695</v>
      </c>
      <c r="R16" s="2">
        <f>R13/'D7 Gallon Forecast'!R13</f>
        <v>1.0001108940974242</v>
      </c>
      <c r="S16" s="2">
        <f>S13/'D7 Gallon Forecast'!S13</f>
        <v>1.0000353799900845</v>
      </c>
      <c r="T16" s="2">
        <f>T13/'D7 Gallon Forecast'!T13</f>
        <v>1.0000702274136923</v>
      </c>
      <c r="U16" s="2">
        <f>U13/'D7 Gallon Forecast'!U13</f>
        <v>1.0001093681076576</v>
      </c>
      <c r="V16" s="2">
        <f>V13/'D7 Gallon Forecast'!V13</f>
        <v>1.0001255769587343</v>
      </c>
      <c r="W16" s="2">
        <f>W13/'D7 Gallon Forecast'!W13</f>
        <v>1.0001463814346108</v>
      </c>
      <c r="X16" s="2">
        <f>X13/'D7 Gallon Forecast'!X13</f>
        <v>1.0001468879242708</v>
      </c>
      <c r="Y16" s="2">
        <f>Y13/'D7 Gallon Forecast'!Y13</f>
        <v>1.0001777448274551</v>
      </c>
      <c r="Z16" s="2">
        <f>Z13/'D7 Gallon Forecast'!Z13</f>
        <v>1.0001910691861391</v>
      </c>
    </row>
    <row r="17" spans="1:26">
      <c r="A17" s="94" t="s">
        <v>233</v>
      </c>
      <c r="E17" s="94"/>
      <c r="F17" s="94"/>
      <c r="G17" s="94"/>
      <c r="H17" s="94"/>
      <c r="I17" s="94"/>
      <c r="J17" s="94"/>
      <c r="K17" s="94"/>
      <c r="M17" s="94"/>
      <c r="O17" s="94"/>
      <c r="Q17" s="94"/>
      <c r="S17" s="94"/>
      <c r="U17" s="94"/>
      <c r="W17" s="94"/>
      <c r="Y17" s="94"/>
    </row>
    <row r="18" spans="1:26" ht="13.5" thickBot="1">
      <c r="A18" s="94" t="s">
        <v>561</v>
      </c>
      <c r="E18" s="4"/>
      <c r="F18" s="4"/>
      <c r="G18" s="4"/>
      <c r="H18" s="4"/>
      <c r="I18" s="4"/>
      <c r="J18" s="4"/>
      <c r="K18" s="4"/>
      <c r="M18" s="4"/>
      <c r="O18" s="4"/>
      <c r="Q18" s="4"/>
      <c r="S18" s="4"/>
      <c r="U18" s="4"/>
      <c r="W18" s="4"/>
      <c r="Y18" s="4"/>
    </row>
    <row r="19" spans="1:26">
      <c r="A19" s="191"/>
      <c r="B19" s="191"/>
      <c r="C19" s="191"/>
      <c r="D19" s="191"/>
      <c r="E19" s="191"/>
      <c r="F19" s="191"/>
      <c r="G19" s="191"/>
      <c r="H19" s="191"/>
      <c r="I19" s="191"/>
      <c r="J19" s="101">
        <f>'Monthly D7 RIN Data'!W111</f>
        <v>2451256</v>
      </c>
      <c r="K19" s="101">
        <f>'Monthly D7 RIN Data'!W123</f>
        <v>1315943</v>
      </c>
      <c r="L19" s="101">
        <f>'Monthly D7 RIN Data'!W135</f>
        <v>55892</v>
      </c>
      <c r="M19" s="101">
        <f>'Monthly D7 RIN Data'!W147</f>
        <v>247518</v>
      </c>
      <c r="N19" s="191"/>
      <c r="O19" s="191"/>
      <c r="P19" s="191"/>
      <c r="Q19" s="191"/>
      <c r="R19" s="191"/>
      <c r="S19" s="191"/>
      <c r="T19" s="191"/>
      <c r="U19" s="191"/>
      <c r="V19" s="191"/>
      <c r="W19" s="191"/>
      <c r="X19" s="191"/>
      <c r="Y19" s="191"/>
      <c r="Z19" s="191"/>
    </row>
    <row r="20" spans="1:26">
      <c r="J20" s="3">
        <f>J13-J19</f>
        <v>0</v>
      </c>
      <c r="K20" s="3">
        <f>K13-K19</f>
        <v>0</v>
      </c>
      <c r="L20" s="3">
        <f>L13-L19</f>
        <v>0</v>
      </c>
      <c r="M20" s="3">
        <f>M13-M19</f>
        <v>0</v>
      </c>
    </row>
    <row r="21" spans="1:26" ht="16.5" thickBot="1">
      <c r="A21" s="109" t="s">
        <v>542</v>
      </c>
    </row>
    <row r="22" spans="1:26" ht="13.5" thickBot="1">
      <c r="A22" s="110"/>
      <c r="B22" s="111">
        <v>2010</v>
      </c>
      <c r="C22" s="111">
        <v>2011</v>
      </c>
      <c r="D22" s="111">
        <v>2012</v>
      </c>
      <c r="E22" s="111">
        <v>2013</v>
      </c>
      <c r="F22" s="111">
        <v>2014</v>
      </c>
      <c r="G22" s="111">
        <v>2015</v>
      </c>
      <c r="H22" s="111">
        <v>2016</v>
      </c>
      <c r="I22" s="111">
        <v>2017</v>
      </c>
      <c r="J22" s="111">
        <v>2018</v>
      </c>
      <c r="K22" s="111">
        <v>2019</v>
      </c>
      <c r="L22" s="111">
        <v>2020</v>
      </c>
      <c r="M22" s="111">
        <v>2021</v>
      </c>
      <c r="N22" s="111">
        <v>2022</v>
      </c>
      <c r="O22" s="111">
        <v>2023</v>
      </c>
      <c r="P22" s="111">
        <v>2024</v>
      </c>
      <c r="Q22" s="111">
        <v>2025</v>
      </c>
      <c r="R22" s="111">
        <v>2026</v>
      </c>
      <c r="S22" s="111">
        <v>2027</v>
      </c>
      <c r="T22" s="111">
        <v>2028</v>
      </c>
      <c r="U22" s="111">
        <v>2029</v>
      </c>
      <c r="V22" s="111">
        <v>2030</v>
      </c>
      <c r="W22" s="111">
        <v>2031</v>
      </c>
      <c r="X22" s="111">
        <v>2032</v>
      </c>
      <c r="Y22" s="111">
        <v>2033</v>
      </c>
      <c r="Z22" s="111">
        <v>2034</v>
      </c>
    </row>
    <row r="23" spans="1:26">
      <c r="A23" s="2" t="s">
        <v>43</v>
      </c>
      <c r="B23" s="3">
        <f>B39+B119</f>
        <v>0</v>
      </c>
      <c r="C23" s="3">
        <f t="shared" ref="C23:Z34" si="21">C39+C119</f>
        <v>0</v>
      </c>
      <c r="D23" s="3">
        <f t="shared" si="21"/>
        <v>0</v>
      </c>
      <c r="E23" s="3">
        <f t="shared" si="21"/>
        <v>0</v>
      </c>
      <c r="F23" s="3">
        <f t="shared" si="21"/>
        <v>0</v>
      </c>
      <c r="G23" s="3">
        <f t="shared" si="21"/>
        <v>0</v>
      </c>
      <c r="H23" s="3">
        <f t="shared" si="21"/>
        <v>0</v>
      </c>
      <c r="I23" s="3">
        <f t="shared" si="21"/>
        <v>0</v>
      </c>
      <c r="J23" s="3">
        <f t="shared" si="21"/>
        <v>49276</v>
      </c>
      <c r="K23" s="3">
        <f t="shared" si="21"/>
        <v>148993</v>
      </c>
      <c r="L23" s="3">
        <f t="shared" si="21"/>
        <v>0</v>
      </c>
      <c r="M23" s="3">
        <f t="shared" si="21"/>
        <v>0</v>
      </c>
      <c r="N23" s="3">
        <f t="shared" si="21"/>
        <v>0</v>
      </c>
      <c r="O23" s="3">
        <f t="shared" si="21"/>
        <v>0</v>
      </c>
      <c r="P23" s="3">
        <f t="shared" si="21"/>
        <v>0</v>
      </c>
      <c r="Q23" s="3">
        <f t="shared" si="21"/>
        <v>0</v>
      </c>
      <c r="R23" s="4">
        <f t="shared" si="21"/>
        <v>0</v>
      </c>
      <c r="S23" s="4">
        <f t="shared" si="21"/>
        <v>0</v>
      </c>
      <c r="T23" s="4">
        <f t="shared" si="21"/>
        <v>0</v>
      </c>
      <c r="U23" s="4">
        <f t="shared" si="21"/>
        <v>0</v>
      </c>
      <c r="V23" s="4">
        <f t="shared" si="21"/>
        <v>0</v>
      </c>
      <c r="W23" s="4">
        <f t="shared" si="21"/>
        <v>0</v>
      </c>
      <c r="X23" s="4">
        <f t="shared" si="21"/>
        <v>0</v>
      </c>
      <c r="Y23" s="4">
        <f t="shared" si="21"/>
        <v>0</v>
      </c>
      <c r="Z23" s="4">
        <f t="shared" si="21"/>
        <v>0</v>
      </c>
    </row>
    <row r="24" spans="1:26">
      <c r="A24" s="2" t="s">
        <v>44</v>
      </c>
      <c r="B24" s="3">
        <f t="shared" ref="B24:J34" si="22">B40+B120</f>
        <v>0</v>
      </c>
      <c r="C24" s="3">
        <f t="shared" si="22"/>
        <v>0</v>
      </c>
      <c r="D24" s="3">
        <f t="shared" si="22"/>
        <v>0</v>
      </c>
      <c r="E24" s="3">
        <f t="shared" si="22"/>
        <v>0</v>
      </c>
      <c r="F24" s="3">
        <f t="shared" si="22"/>
        <v>0</v>
      </c>
      <c r="G24" s="3">
        <f t="shared" si="22"/>
        <v>0</v>
      </c>
      <c r="H24" s="3">
        <f t="shared" si="22"/>
        <v>0</v>
      </c>
      <c r="I24" s="3">
        <f t="shared" si="22"/>
        <v>0</v>
      </c>
      <c r="J24" s="3">
        <f t="shared" si="22"/>
        <v>0</v>
      </c>
      <c r="K24" s="3">
        <f t="shared" si="21"/>
        <v>225497</v>
      </c>
      <c r="L24" s="3">
        <f t="shared" si="21"/>
        <v>0</v>
      </c>
      <c r="M24" s="3">
        <f t="shared" si="21"/>
        <v>0</v>
      </c>
      <c r="N24" s="3">
        <f t="shared" si="21"/>
        <v>58930</v>
      </c>
      <c r="O24" s="3">
        <f>O40+O120</f>
        <v>0</v>
      </c>
      <c r="P24" s="3">
        <f>P40+P120</f>
        <v>0</v>
      </c>
      <c r="Q24" s="3">
        <f t="shared" si="21"/>
        <v>0</v>
      </c>
      <c r="R24" s="4">
        <f t="shared" si="21"/>
        <v>10045.402294857344</v>
      </c>
      <c r="S24" s="4">
        <f t="shared" si="21"/>
        <v>9004.7184796997826</v>
      </c>
      <c r="T24" s="4">
        <f t="shared" si="21"/>
        <v>9456.7959158934718</v>
      </c>
      <c r="U24" s="4">
        <f t="shared" si="21"/>
        <v>10021.993867898625</v>
      </c>
      <c r="V24" s="4">
        <f t="shared" si="21"/>
        <v>10276.356782225263</v>
      </c>
      <c r="W24" s="4">
        <f t="shared" si="21"/>
        <v>10622.416048043095</v>
      </c>
      <c r="X24" s="4">
        <f t="shared" si="21"/>
        <v>10631.132060653968</v>
      </c>
      <c r="Y24" s="4">
        <f t="shared" si="21"/>
        <v>11190.564647290204</v>
      </c>
      <c r="Z24" s="4">
        <f t="shared" si="21"/>
        <v>11450.774970440867</v>
      </c>
    </row>
    <row r="25" spans="1:26">
      <c r="A25" s="2" t="s">
        <v>45</v>
      </c>
      <c r="B25" s="3">
        <f t="shared" si="22"/>
        <v>0</v>
      </c>
      <c r="C25" s="3">
        <f t="shared" si="22"/>
        <v>0</v>
      </c>
      <c r="D25" s="3">
        <f t="shared" si="22"/>
        <v>0</v>
      </c>
      <c r="E25" s="3">
        <f t="shared" si="22"/>
        <v>16664</v>
      </c>
      <c r="F25" s="3">
        <f t="shared" si="22"/>
        <v>472</v>
      </c>
      <c r="G25" s="3">
        <f t="shared" si="22"/>
        <v>0</v>
      </c>
      <c r="H25" s="3">
        <f t="shared" si="22"/>
        <v>127593</v>
      </c>
      <c r="I25" s="3">
        <f t="shared" si="22"/>
        <v>0</v>
      </c>
      <c r="J25" s="3">
        <f t="shared" si="22"/>
        <v>599366</v>
      </c>
      <c r="K25" s="3">
        <f t="shared" si="21"/>
        <v>423217</v>
      </c>
      <c r="L25" s="3">
        <f t="shared" si="21"/>
        <v>0</v>
      </c>
      <c r="M25" s="3">
        <f t="shared" si="21"/>
        <v>0</v>
      </c>
      <c r="N25" s="3">
        <f t="shared" si="21"/>
        <v>0</v>
      </c>
      <c r="O25" s="3">
        <f t="shared" si="21"/>
        <v>0</v>
      </c>
      <c r="P25" s="3">
        <f t="shared" si="21"/>
        <v>0</v>
      </c>
      <c r="Q25" s="3">
        <f t="shared" si="21"/>
        <v>0</v>
      </c>
      <c r="R25" s="4">
        <f t="shared" si="21"/>
        <v>50958.336600625713</v>
      </c>
      <c r="S25" s="4">
        <f t="shared" si="21"/>
        <v>45651.371699448573</v>
      </c>
      <c r="T25" s="4">
        <f t="shared" si="21"/>
        <v>47956.739623452289</v>
      </c>
      <c r="U25" s="4">
        <f t="shared" si="21"/>
        <v>50838.965377154804</v>
      </c>
      <c r="V25" s="4">
        <f t="shared" si="21"/>
        <v>52136.088517566342</v>
      </c>
      <c r="W25" s="4">
        <f t="shared" si="21"/>
        <v>53900.817007308731</v>
      </c>
      <c r="X25" s="4">
        <f t="shared" si="21"/>
        <v>53945.264295073197</v>
      </c>
      <c r="Y25" s="4">
        <f t="shared" si="21"/>
        <v>56798.089580343621</v>
      </c>
      <c r="Z25" s="4">
        <f t="shared" si="21"/>
        <v>58125.031569611951</v>
      </c>
    </row>
    <row r="26" spans="1:26">
      <c r="A26" s="2" t="s">
        <v>46</v>
      </c>
      <c r="B26" s="3">
        <f t="shared" si="22"/>
        <v>0</v>
      </c>
      <c r="C26" s="3">
        <f t="shared" si="22"/>
        <v>0</v>
      </c>
      <c r="D26" s="3">
        <f t="shared" si="22"/>
        <v>0</v>
      </c>
      <c r="E26" s="3">
        <f t="shared" si="22"/>
        <v>0</v>
      </c>
      <c r="F26" s="3">
        <f t="shared" si="22"/>
        <v>10950</v>
      </c>
      <c r="G26" s="3">
        <f t="shared" si="22"/>
        <v>0</v>
      </c>
      <c r="H26" s="3">
        <f t="shared" si="22"/>
        <v>0</v>
      </c>
      <c r="I26" s="3">
        <f t="shared" si="22"/>
        <v>0</v>
      </c>
      <c r="J26" s="3">
        <f t="shared" si="22"/>
        <v>110220</v>
      </c>
      <c r="K26" s="3">
        <f t="shared" si="21"/>
        <v>239288</v>
      </c>
      <c r="L26" s="3">
        <f t="shared" si="21"/>
        <v>0</v>
      </c>
      <c r="M26" s="3">
        <f t="shared" si="21"/>
        <v>0</v>
      </c>
      <c r="N26" s="3">
        <f t="shared" si="21"/>
        <v>0</v>
      </c>
      <c r="O26" s="3">
        <f t="shared" si="21"/>
        <v>69961</v>
      </c>
      <c r="P26" s="3">
        <f t="shared" si="21"/>
        <v>0</v>
      </c>
      <c r="Q26" s="4">
        <f t="shared" si="21"/>
        <v>12361.692198068482</v>
      </c>
      <c r="R26" s="4">
        <f t="shared" si="21"/>
        <v>15418.115852419347</v>
      </c>
      <c r="S26" s="4">
        <f t="shared" si="21"/>
        <v>13805.750475046638</v>
      </c>
      <c r="T26" s="4">
        <f t="shared" si="21"/>
        <v>14506.168791727931</v>
      </c>
      <c r="U26" s="4">
        <f t="shared" si="21"/>
        <v>15381.848413051797</v>
      </c>
      <c r="V26" s="4">
        <f t="shared" si="21"/>
        <v>15775.941172422539</v>
      </c>
      <c r="W26" s="4">
        <f t="shared" si="21"/>
        <v>16312.102079892022</v>
      </c>
      <c r="X26" s="4">
        <f t="shared" si="21"/>
        <v>16325.60608250822</v>
      </c>
      <c r="Y26" s="4">
        <f t="shared" si="21"/>
        <v>17192.35323522504</v>
      </c>
      <c r="Z26" s="4">
        <f t="shared" si="21"/>
        <v>17595.505575803691</v>
      </c>
    </row>
    <row r="27" spans="1:26">
      <c r="A27" s="2" t="s">
        <v>47</v>
      </c>
      <c r="B27" s="3">
        <f t="shared" si="22"/>
        <v>0</v>
      </c>
      <c r="C27" s="3">
        <f t="shared" si="22"/>
        <v>0</v>
      </c>
      <c r="D27" s="3">
        <f t="shared" si="22"/>
        <v>0</v>
      </c>
      <c r="E27" s="3">
        <f t="shared" si="22"/>
        <v>0</v>
      </c>
      <c r="F27" s="3">
        <f t="shared" si="22"/>
        <v>0</v>
      </c>
      <c r="G27" s="3">
        <f t="shared" si="22"/>
        <v>173731</v>
      </c>
      <c r="H27" s="3">
        <f t="shared" si="22"/>
        <v>0</v>
      </c>
      <c r="I27" s="3">
        <f t="shared" si="22"/>
        <v>0</v>
      </c>
      <c r="J27" s="3">
        <f t="shared" si="22"/>
        <v>457786</v>
      </c>
      <c r="K27" s="3">
        <f t="shared" si="21"/>
        <v>132150</v>
      </c>
      <c r="L27" s="3">
        <f t="shared" si="21"/>
        <v>0</v>
      </c>
      <c r="M27" s="3">
        <f t="shared" si="21"/>
        <v>0</v>
      </c>
      <c r="N27" s="3">
        <f t="shared" si="21"/>
        <v>0</v>
      </c>
      <c r="O27" s="3">
        <f t="shared" si="21"/>
        <v>43465</v>
      </c>
      <c r="P27" s="3">
        <f t="shared" si="21"/>
        <v>0</v>
      </c>
      <c r="Q27" s="4">
        <f t="shared" si="21"/>
        <v>21095.57873465748</v>
      </c>
      <c r="R27" s="4">
        <f t="shared" si="21"/>
        <v>26280.369354000111</v>
      </c>
      <c r="S27" s="4">
        <f t="shared" si="21"/>
        <v>23557.775052617868</v>
      </c>
      <c r="T27" s="4">
        <f t="shared" si="21"/>
        <v>24740.481493937979</v>
      </c>
      <c r="U27" s="4">
        <f t="shared" si="21"/>
        <v>26219.129187761453</v>
      </c>
      <c r="V27" s="4">
        <f t="shared" si="21"/>
        <v>26884.583008549311</v>
      </c>
      <c r="W27" s="4">
        <f t="shared" si="21"/>
        <v>27789.929062108815</v>
      </c>
      <c r="X27" s="4">
        <f t="shared" si="21"/>
        <v>27812.731536712065</v>
      </c>
      <c r="Y27" s="4">
        <f t="shared" si="21"/>
        <v>29276.296118191349</v>
      </c>
      <c r="Z27" s="4">
        <f t="shared" si="21"/>
        <v>29957.047690044674</v>
      </c>
    </row>
    <row r="28" spans="1:26">
      <c r="A28" s="2" t="s">
        <v>48</v>
      </c>
      <c r="B28" s="3">
        <f t="shared" si="22"/>
        <v>0</v>
      </c>
      <c r="C28" s="3">
        <f t="shared" si="22"/>
        <v>0</v>
      </c>
      <c r="D28" s="3">
        <f t="shared" si="22"/>
        <v>0</v>
      </c>
      <c r="E28" s="3">
        <f t="shared" si="22"/>
        <v>32728</v>
      </c>
      <c r="F28" s="3">
        <f t="shared" si="22"/>
        <v>0</v>
      </c>
      <c r="G28" s="3">
        <f t="shared" si="22"/>
        <v>0</v>
      </c>
      <c r="H28" s="3">
        <f t="shared" si="22"/>
        <v>0</v>
      </c>
      <c r="I28" s="3">
        <f t="shared" si="22"/>
        <v>756020</v>
      </c>
      <c r="J28" s="3">
        <f t="shared" si="22"/>
        <v>297480</v>
      </c>
      <c r="K28" s="3">
        <f t="shared" si="21"/>
        <v>107473</v>
      </c>
      <c r="L28" s="3">
        <f t="shared" si="21"/>
        <v>0</v>
      </c>
      <c r="M28" s="3">
        <f t="shared" si="21"/>
        <v>0</v>
      </c>
      <c r="N28" s="3">
        <f t="shared" si="21"/>
        <v>102065</v>
      </c>
      <c r="O28" s="3">
        <f t="shared" si="21"/>
        <v>23954</v>
      </c>
      <c r="P28" s="3">
        <f t="shared" si="21"/>
        <v>0</v>
      </c>
      <c r="Q28" s="4">
        <f t="shared" si="21"/>
        <v>41515.346292329166</v>
      </c>
      <c r="R28" s="4">
        <f t="shared" si="21"/>
        <v>51718.829245920861</v>
      </c>
      <c r="S28" s="4">
        <f t="shared" si="21"/>
        <v>46360.860798735666</v>
      </c>
      <c r="T28" s="4">
        <f t="shared" si="21"/>
        <v>48688.38487812518</v>
      </c>
      <c r="U28" s="4">
        <f t="shared" si="21"/>
        <v>51598.310783717177</v>
      </c>
      <c r="V28" s="4">
        <f t="shared" si="21"/>
        <v>52907.900160669153</v>
      </c>
      <c r="W28" s="4">
        <f t="shared" si="21"/>
        <v>54689.588892733547</v>
      </c>
      <c r="X28" s="4">
        <f t="shared" si="21"/>
        <v>54734.463349195874</v>
      </c>
      <c r="Y28" s="4">
        <f t="shared" si="21"/>
        <v>57614.706227836519</v>
      </c>
      <c r="Z28" s="4">
        <f t="shared" si="21"/>
        <v>58954.401033085342</v>
      </c>
    </row>
    <row r="29" spans="1:26">
      <c r="A29" s="2" t="s">
        <v>49</v>
      </c>
      <c r="B29" s="3">
        <f t="shared" si="22"/>
        <v>0</v>
      </c>
      <c r="C29" s="3">
        <f t="shared" si="22"/>
        <v>0</v>
      </c>
      <c r="D29" s="3">
        <f t="shared" si="22"/>
        <v>0</v>
      </c>
      <c r="E29" s="3">
        <f t="shared" si="22"/>
        <v>44253</v>
      </c>
      <c r="F29" s="3">
        <f t="shared" si="22"/>
        <v>1248</v>
      </c>
      <c r="G29" s="3">
        <f t="shared" si="22"/>
        <v>0</v>
      </c>
      <c r="H29" s="3">
        <f t="shared" si="22"/>
        <v>0</v>
      </c>
      <c r="I29" s="3">
        <f t="shared" si="22"/>
        <v>0</v>
      </c>
      <c r="J29" s="3">
        <f t="shared" si="22"/>
        <v>0</v>
      </c>
      <c r="K29" s="3">
        <f t="shared" si="21"/>
        <v>0</v>
      </c>
      <c r="L29" s="3">
        <f t="shared" si="21"/>
        <v>0</v>
      </c>
      <c r="M29" s="3">
        <f t="shared" si="21"/>
        <v>0</v>
      </c>
      <c r="N29" s="3">
        <f t="shared" si="21"/>
        <v>0</v>
      </c>
      <c r="O29" s="3">
        <f t="shared" si="21"/>
        <v>0</v>
      </c>
      <c r="P29" s="3">
        <f t="shared" si="21"/>
        <v>0</v>
      </c>
      <c r="Q29" s="4">
        <f t="shared" si="21"/>
        <v>0</v>
      </c>
      <c r="R29" s="4">
        <f t="shared" si="21"/>
        <v>0</v>
      </c>
      <c r="S29" s="4">
        <f t="shared" si="21"/>
        <v>0</v>
      </c>
      <c r="T29" s="4">
        <f t="shared" si="21"/>
        <v>0</v>
      </c>
      <c r="U29" s="4">
        <f t="shared" si="21"/>
        <v>0</v>
      </c>
      <c r="V29" s="4">
        <f t="shared" si="21"/>
        <v>0</v>
      </c>
      <c r="W29" s="4">
        <f t="shared" si="21"/>
        <v>0</v>
      </c>
      <c r="X29" s="4">
        <f t="shared" si="21"/>
        <v>0</v>
      </c>
      <c r="Y29" s="4">
        <f t="shared" si="21"/>
        <v>0</v>
      </c>
      <c r="Z29" s="4">
        <f t="shared" si="21"/>
        <v>0</v>
      </c>
    </row>
    <row r="30" spans="1:26">
      <c r="A30" s="2" t="s">
        <v>50</v>
      </c>
      <c r="B30" s="3">
        <f t="shared" si="22"/>
        <v>0</v>
      </c>
      <c r="C30" s="3">
        <f t="shared" si="22"/>
        <v>0</v>
      </c>
      <c r="D30" s="3">
        <f t="shared" si="22"/>
        <v>0</v>
      </c>
      <c r="E30" s="3">
        <f t="shared" si="22"/>
        <v>0</v>
      </c>
      <c r="F30" s="3">
        <f t="shared" si="22"/>
        <v>5532</v>
      </c>
      <c r="G30" s="3">
        <f t="shared" si="22"/>
        <v>53303</v>
      </c>
      <c r="H30" s="3">
        <f t="shared" si="22"/>
        <v>0</v>
      </c>
      <c r="I30" s="3">
        <f t="shared" si="22"/>
        <v>282632</v>
      </c>
      <c r="J30" s="3">
        <f t="shared" si="22"/>
        <v>0</v>
      </c>
      <c r="K30" s="3">
        <f t="shared" si="21"/>
        <v>39325</v>
      </c>
      <c r="L30" s="3">
        <f t="shared" si="21"/>
        <v>0</v>
      </c>
      <c r="M30" s="3">
        <f t="shared" si="21"/>
        <v>0</v>
      </c>
      <c r="N30" s="3">
        <f t="shared" si="21"/>
        <v>30374</v>
      </c>
      <c r="O30" s="3">
        <f t="shared" si="21"/>
        <v>28704</v>
      </c>
      <c r="P30" s="3">
        <f t="shared" si="21"/>
        <v>0</v>
      </c>
      <c r="Q30" s="4">
        <f t="shared" si="21"/>
        <v>11512.89164023575</v>
      </c>
      <c r="R30" s="4">
        <f t="shared" si="21"/>
        <v>14342.486093586107</v>
      </c>
      <c r="S30" s="4">
        <f t="shared" si="21"/>
        <v>12856.632893425203</v>
      </c>
      <c r="T30" s="4">
        <f t="shared" si="21"/>
        <v>13502.093787027388</v>
      </c>
      <c r="U30" s="4">
        <f t="shared" si="21"/>
        <v>14309.064332239623</v>
      </c>
      <c r="V30" s="4">
        <f t="shared" si="21"/>
        <v>14672.235109712765</v>
      </c>
      <c r="W30" s="4">
        <f t="shared" si="21"/>
        <v>15166.326840622318</v>
      </c>
      <c r="X30" s="4">
        <f t="shared" si="21"/>
        <v>15178.771269027837</v>
      </c>
      <c r="Y30" s="4">
        <f t="shared" si="21"/>
        <v>15977.510220302765</v>
      </c>
      <c r="Z30" s="4">
        <f t="shared" si="21"/>
        <v>16349.029730587239</v>
      </c>
    </row>
    <row r="31" spans="1:26">
      <c r="A31" s="2" t="s">
        <v>51</v>
      </c>
      <c r="B31" s="3">
        <f t="shared" si="22"/>
        <v>0</v>
      </c>
      <c r="C31" s="3">
        <f t="shared" si="22"/>
        <v>0</v>
      </c>
      <c r="D31" s="3">
        <f t="shared" si="22"/>
        <v>0</v>
      </c>
      <c r="E31" s="3">
        <f t="shared" si="22"/>
        <v>123940</v>
      </c>
      <c r="F31" s="3">
        <f t="shared" si="22"/>
        <v>17073</v>
      </c>
      <c r="G31" s="3">
        <f t="shared" si="22"/>
        <v>0</v>
      </c>
      <c r="H31" s="3">
        <f t="shared" si="22"/>
        <v>99563</v>
      </c>
      <c r="I31" s="3">
        <f t="shared" si="22"/>
        <v>0</v>
      </c>
      <c r="J31" s="3">
        <f t="shared" si="22"/>
        <v>0</v>
      </c>
      <c r="K31" s="3">
        <f t="shared" si="21"/>
        <v>0</v>
      </c>
      <c r="L31" s="3">
        <f t="shared" si="21"/>
        <v>0</v>
      </c>
      <c r="M31" s="3">
        <f t="shared" si="21"/>
        <v>0</v>
      </c>
      <c r="N31" s="3">
        <f t="shared" si="21"/>
        <v>11086</v>
      </c>
      <c r="O31" s="3">
        <f t="shared" si="21"/>
        <v>0</v>
      </c>
      <c r="P31" s="3">
        <f t="shared" si="21"/>
        <v>0</v>
      </c>
      <c r="Q31" s="4">
        <f t="shared" si="21"/>
        <v>3560.2829892712134</v>
      </c>
      <c r="R31" s="4">
        <f t="shared" si="21"/>
        <v>4435.3157189802168</v>
      </c>
      <c r="S31" s="4">
        <f t="shared" si="21"/>
        <v>3975.8257803622646</v>
      </c>
      <c r="T31" s="4">
        <f t="shared" si="21"/>
        <v>4175.4301466276802</v>
      </c>
      <c r="U31" s="4">
        <f t="shared" si="21"/>
        <v>4424.9802678953201</v>
      </c>
      <c r="V31" s="4">
        <f t="shared" si="21"/>
        <v>4537.2883466684434</v>
      </c>
      <c r="W31" s="4">
        <f t="shared" si="21"/>
        <v>4690.0828347663819</v>
      </c>
      <c r="X31" s="4">
        <f t="shared" si="21"/>
        <v>4693.9311891284196</v>
      </c>
      <c r="Y31" s="4">
        <f t="shared" si="21"/>
        <v>4940.9357462766902</v>
      </c>
      <c r="Z31" s="4">
        <f t="shared" si="21"/>
        <v>5055.8256135647225</v>
      </c>
    </row>
    <row r="32" spans="1:26">
      <c r="A32" s="2" t="s">
        <v>52</v>
      </c>
      <c r="B32" s="3">
        <f t="shared" si="22"/>
        <v>0</v>
      </c>
      <c r="C32" s="3">
        <f t="shared" si="22"/>
        <v>0</v>
      </c>
      <c r="D32" s="3">
        <f t="shared" si="22"/>
        <v>0</v>
      </c>
      <c r="E32" s="3">
        <f t="shared" si="22"/>
        <v>60007</v>
      </c>
      <c r="F32" s="3">
        <f t="shared" si="22"/>
        <v>24030</v>
      </c>
      <c r="G32" s="3">
        <f t="shared" si="22"/>
        <v>0</v>
      </c>
      <c r="H32" s="3">
        <f t="shared" si="22"/>
        <v>229819</v>
      </c>
      <c r="I32" s="3">
        <f t="shared" si="22"/>
        <v>377775</v>
      </c>
      <c r="J32" s="3">
        <f t="shared" si="22"/>
        <v>533819</v>
      </c>
      <c r="K32" s="3">
        <f t="shared" si="21"/>
        <v>0</v>
      </c>
      <c r="L32" s="3">
        <f t="shared" si="21"/>
        <v>0</v>
      </c>
      <c r="M32" s="3">
        <f t="shared" si="21"/>
        <v>60338</v>
      </c>
      <c r="N32" s="3">
        <f t="shared" si="21"/>
        <v>0</v>
      </c>
      <c r="O32" s="3">
        <f t="shared" si="21"/>
        <v>0</v>
      </c>
      <c r="P32" s="3">
        <f t="shared" si="21"/>
        <v>0</v>
      </c>
      <c r="Q32" s="4">
        <f t="shared" si="21"/>
        <v>40815.898352129036</v>
      </c>
      <c r="R32" s="4">
        <f t="shared" si="21"/>
        <v>50847.473667410239</v>
      </c>
      <c r="S32" s="4">
        <f t="shared" si="21"/>
        <v>45579.775935243342</v>
      </c>
      <c r="T32" s="4">
        <f t="shared" si="21"/>
        <v>47868.086035502543</v>
      </c>
      <c r="U32" s="4">
        <f t="shared" si="21"/>
        <v>50728.985692668975</v>
      </c>
      <c r="V32" s="4">
        <f t="shared" si="21"/>
        <v>52016.511190260113</v>
      </c>
      <c r="W32" s="4">
        <f t="shared" si="21"/>
        <v>53768.182142755839</v>
      </c>
      <c r="X32" s="4">
        <f t="shared" si="21"/>
        <v>53812.300557201335</v>
      </c>
      <c r="Y32" s="4">
        <f t="shared" si="21"/>
        <v>56644.017285185408</v>
      </c>
      <c r="Z32" s="4">
        <f t="shared" si="21"/>
        <v>57961.140996713133</v>
      </c>
    </row>
    <row r="33" spans="1:26">
      <c r="A33" s="2" t="s">
        <v>53</v>
      </c>
      <c r="B33" s="3">
        <f t="shared" si="22"/>
        <v>0</v>
      </c>
      <c r="C33" s="3">
        <f t="shared" si="22"/>
        <v>0</v>
      </c>
      <c r="D33" s="3">
        <f t="shared" si="22"/>
        <v>1741</v>
      </c>
      <c r="E33" s="3">
        <f t="shared" si="22"/>
        <v>59094</v>
      </c>
      <c r="F33" s="3">
        <f t="shared" si="22"/>
        <v>0</v>
      </c>
      <c r="G33" s="3">
        <f t="shared" si="22"/>
        <v>48281</v>
      </c>
      <c r="H33" s="3">
        <f t="shared" si="22"/>
        <v>77454</v>
      </c>
      <c r="I33" s="3">
        <f t="shared" si="22"/>
        <v>0</v>
      </c>
      <c r="J33" s="3">
        <f t="shared" si="22"/>
        <v>185644</v>
      </c>
      <c r="K33" s="3">
        <f t="shared" si="21"/>
        <v>0</v>
      </c>
      <c r="L33" s="3">
        <f t="shared" si="21"/>
        <v>55892</v>
      </c>
      <c r="M33" s="3">
        <f t="shared" si="21"/>
        <v>6435</v>
      </c>
      <c r="N33" s="3">
        <f t="shared" si="21"/>
        <v>0</v>
      </c>
      <c r="O33" s="3">
        <f t="shared" si="21"/>
        <v>42559</v>
      </c>
      <c r="P33" s="3">
        <f t="shared" si="21"/>
        <v>0</v>
      </c>
      <c r="Q33" s="4">
        <f t="shared" si="21"/>
        <v>11406.794398999873</v>
      </c>
      <c r="R33" s="4">
        <f t="shared" si="21"/>
        <v>14210.312678379511</v>
      </c>
      <c r="S33" s="4">
        <f t="shared" si="21"/>
        <v>12738.152382689941</v>
      </c>
      <c r="T33" s="4">
        <f t="shared" si="21"/>
        <v>13377.665020868832</v>
      </c>
      <c r="U33" s="4">
        <f t="shared" si="21"/>
        <v>14177.19891582142</v>
      </c>
      <c r="V33" s="4">
        <f t="shared" si="21"/>
        <v>14537.022887054094</v>
      </c>
      <c r="W33" s="4">
        <f t="shared" si="21"/>
        <v>15026.561307535208</v>
      </c>
      <c r="X33" s="4">
        <f t="shared" si="21"/>
        <v>15038.891054107193</v>
      </c>
      <c r="Y33" s="4">
        <f t="shared" si="21"/>
        <v>15830.269213511056</v>
      </c>
      <c r="Z33" s="4">
        <f t="shared" si="21"/>
        <v>16198.364979671269</v>
      </c>
    </row>
    <row r="34" spans="1:26">
      <c r="A34" s="2" t="s">
        <v>54</v>
      </c>
      <c r="B34" s="3">
        <f t="shared" si="22"/>
        <v>0</v>
      </c>
      <c r="C34" s="3">
        <f t="shared" si="22"/>
        <v>0</v>
      </c>
      <c r="D34" s="3">
        <f t="shared" si="22"/>
        <v>0</v>
      </c>
      <c r="E34" s="3">
        <f t="shared" si="22"/>
        <v>59091</v>
      </c>
      <c r="F34" s="3">
        <f t="shared" si="22"/>
        <v>0</v>
      </c>
      <c r="G34" s="3">
        <f t="shared" si="22"/>
        <v>0</v>
      </c>
      <c r="H34" s="3">
        <f t="shared" si="22"/>
        <v>0</v>
      </c>
      <c r="I34" s="3">
        <f t="shared" si="22"/>
        <v>327467</v>
      </c>
      <c r="J34" s="3">
        <f t="shared" si="22"/>
        <v>217665</v>
      </c>
      <c r="K34" s="3">
        <f t="shared" si="21"/>
        <v>0</v>
      </c>
      <c r="L34" s="3">
        <f t="shared" si="21"/>
        <v>0</v>
      </c>
      <c r="M34" s="3">
        <f t="shared" si="21"/>
        <v>180745</v>
      </c>
      <c r="N34" s="3">
        <f t="shared" si="21"/>
        <v>33897</v>
      </c>
      <c r="O34" s="3">
        <f t="shared" si="21"/>
        <v>0</v>
      </c>
      <c r="P34" s="3">
        <f t="shared" si="21"/>
        <v>0</v>
      </c>
      <c r="Q34" s="4">
        <f t="shared" si="21"/>
        <v>-7427.9402703191809</v>
      </c>
      <c r="R34" s="4">
        <f t="shared" si="21"/>
        <v>33099.318494268722</v>
      </c>
      <c r="S34" s="4">
        <f t="shared" si="21"/>
        <v>29668.546435673896</v>
      </c>
      <c r="T34" s="4">
        <f t="shared" si="21"/>
        <v>31158.888279973318</v>
      </c>
      <c r="U34" s="4">
        <f t="shared" si="21"/>
        <v>33022.149063961515</v>
      </c>
      <c r="V34" s="4">
        <f t="shared" si="21"/>
        <v>33860.694995496386</v>
      </c>
      <c r="W34" s="4">
        <f t="shared" si="21"/>
        <v>35001.531859194409</v>
      </c>
      <c r="X34" s="4">
        <f t="shared" si="21"/>
        <v>35030.265516903142</v>
      </c>
      <c r="Y34" s="4">
        <f t="shared" si="21"/>
        <v>36874.519899401064</v>
      </c>
      <c r="Z34" s="4">
        <f t="shared" si="21"/>
        <v>37732.342701121175</v>
      </c>
    </row>
    <row r="35" spans="1:26" ht="13.5" thickBot="1">
      <c r="A35" s="2" t="s">
        <v>29</v>
      </c>
      <c r="B35" s="3">
        <f>SUM(B23:B34)</f>
        <v>0</v>
      </c>
      <c r="C35" s="3">
        <f t="shared" ref="C35:Z35" si="23">SUM(C23:C34)</f>
        <v>0</v>
      </c>
      <c r="D35" s="3">
        <f t="shared" si="23"/>
        <v>1741</v>
      </c>
      <c r="E35" s="3">
        <f t="shared" si="23"/>
        <v>395777</v>
      </c>
      <c r="F35" s="3">
        <f t="shared" si="23"/>
        <v>59305</v>
      </c>
      <c r="G35" s="3">
        <f t="shared" si="23"/>
        <v>275315</v>
      </c>
      <c r="H35" s="3">
        <f t="shared" si="23"/>
        <v>534429</v>
      </c>
      <c r="I35" s="3">
        <f t="shared" si="23"/>
        <v>1743894</v>
      </c>
      <c r="J35" s="3">
        <f t="shared" si="23"/>
        <v>2451256</v>
      </c>
      <c r="K35" s="3">
        <f t="shared" si="23"/>
        <v>1315943</v>
      </c>
      <c r="L35" s="3">
        <f t="shared" si="23"/>
        <v>55892</v>
      </c>
      <c r="M35" s="3">
        <f t="shared" si="23"/>
        <v>247518</v>
      </c>
      <c r="N35" s="3">
        <f t="shared" si="23"/>
        <v>236352</v>
      </c>
      <c r="O35" s="3">
        <f t="shared" si="23"/>
        <v>208643</v>
      </c>
      <c r="P35" s="3">
        <f t="shared" si="23"/>
        <v>0</v>
      </c>
      <c r="Q35" s="4">
        <f t="shared" si="23"/>
        <v>134840.54433537181</v>
      </c>
      <c r="R35" s="4">
        <f t="shared" si="23"/>
        <v>271355.96000044816</v>
      </c>
      <c r="S35" s="4">
        <f t="shared" si="23"/>
        <v>243199.40993294318</v>
      </c>
      <c r="T35" s="4">
        <f t="shared" si="23"/>
        <v>255430.73397313661</v>
      </c>
      <c r="U35" s="4">
        <f t="shared" si="23"/>
        <v>270722.62590217066</v>
      </c>
      <c r="V35" s="4">
        <f t="shared" si="23"/>
        <v>277604.62217062438</v>
      </c>
      <c r="W35" s="4">
        <f t="shared" si="23"/>
        <v>286967.53807496035</v>
      </c>
      <c r="X35" s="4">
        <f t="shared" si="23"/>
        <v>287203.35691051127</v>
      </c>
      <c r="Y35" s="4">
        <f t="shared" si="23"/>
        <v>302339.26217356371</v>
      </c>
      <c r="Z35" s="4">
        <f t="shared" si="23"/>
        <v>309379.46486064408</v>
      </c>
    </row>
    <row r="36" spans="1:26">
      <c r="A36" s="114"/>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spans="1:26" ht="16.5" thickBot="1">
      <c r="A37" s="109" t="s">
        <v>543</v>
      </c>
    </row>
    <row r="38" spans="1:26" ht="13.5" thickBot="1">
      <c r="A38" s="110"/>
      <c r="B38" s="111">
        <v>2010</v>
      </c>
      <c r="C38" s="111">
        <v>2011</v>
      </c>
      <c r="D38" s="111">
        <v>2012</v>
      </c>
      <c r="E38" s="111">
        <v>2013</v>
      </c>
      <c r="F38" s="111">
        <v>2014</v>
      </c>
      <c r="G38" s="111">
        <v>2015</v>
      </c>
      <c r="H38" s="111">
        <v>2016</v>
      </c>
      <c r="I38" s="111">
        <v>2017</v>
      </c>
      <c r="J38" s="111">
        <v>2018</v>
      </c>
      <c r="K38" s="111">
        <v>2019</v>
      </c>
      <c r="L38" s="111">
        <v>2020</v>
      </c>
      <c r="M38" s="111">
        <v>2021</v>
      </c>
      <c r="N38" s="111">
        <v>2022</v>
      </c>
      <c r="O38" s="111">
        <v>2023</v>
      </c>
      <c r="P38" s="111">
        <v>2024</v>
      </c>
      <c r="Q38" s="111">
        <v>2025</v>
      </c>
      <c r="R38" s="111">
        <v>2026</v>
      </c>
      <c r="S38" s="111">
        <v>2027</v>
      </c>
      <c r="T38" s="111">
        <v>2028</v>
      </c>
      <c r="U38" s="111">
        <v>2029</v>
      </c>
      <c r="V38" s="111">
        <v>2030</v>
      </c>
      <c r="W38" s="111">
        <v>2031</v>
      </c>
      <c r="X38" s="111">
        <v>2032</v>
      </c>
      <c r="Y38" s="111">
        <v>2033</v>
      </c>
      <c r="Z38" s="111">
        <v>2034</v>
      </c>
    </row>
    <row r="39" spans="1:26">
      <c r="A39" s="2" t="s">
        <v>43</v>
      </c>
      <c r="B39" s="3">
        <f t="shared" ref="B39:Q50" si="24">B55+B103</f>
        <v>0</v>
      </c>
      <c r="C39" s="3">
        <f t="shared" si="24"/>
        <v>0</v>
      </c>
      <c r="D39" s="3">
        <f t="shared" si="24"/>
        <v>0</v>
      </c>
      <c r="E39" s="3">
        <f t="shared" si="24"/>
        <v>0</v>
      </c>
      <c r="F39" s="3">
        <f t="shared" si="24"/>
        <v>0</v>
      </c>
      <c r="G39" s="3">
        <f t="shared" si="24"/>
        <v>0</v>
      </c>
      <c r="H39" s="3">
        <f t="shared" si="24"/>
        <v>0</v>
      </c>
      <c r="I39" s="3">
        <f t="shared" si="24"/>
        <v>0</v>
      </c>
      <c r="J39" s="3">
        <f t="shared" si="24"/>
        <v>0</v>
      </c>
      <c r="K39" s="3">
        <f>K55+K103</f>
        <v>0</v>
      </c>
      <c r="L39" s="3">
        <f>L55+L103</f>
        <v>0</v>
      </c>
      <c r="M39" s="3">
        <f>M55+M103</f>
        <v>0</v>
      </c>
      <c r="N39" s="3">
        <f>N55+N103</f>
        <v>0</v>
      </c>
      <c r="O39" s="3">
        <f>O55+O103</f>
        <v>0</v>
      </c>
      <c r="P39" s="3">
        <f t="shared" ref="P39:Z50" si="25">P55+P103</f>
        <v>0</v>
      </c>
      <c r="Q39" s="3">
        <f t="shared" si="25"/>
        <v>0</v>
      </c>
      <c r="R39" s="4">
        <f t="shared" si="25"/>
        <v>0</v>
      </c>
      <c r="S39" s="4">
        <f t="shared" si="25"/>
        <v>0</v>
      </c>
      <c r="T39" s="4">
        <f t="shared" si="25"/>
        <v>0</v>
      </c>
      <c r="U39" s="4">
        <f t="shared" si="25"/>
        <v>0</v>
      </c>
      <c r="V39" s="4">
        <f t="shared" si="25"/>
        <v>0</v>
      </c>
      <c r="W39" s="4">
        <f t="shared" si="25"/>
        <v>0</v>
      </c>
      <c r="X39" s="4">
        <f t="shared" si="25"/>
        <v>0</v>
      </c>
      <c r="Y39" s="4">
        <f t="shared" si="25"/>
        <v>0</v>
      </c>
      <c r="Z39" s="4">
        <f t="shared" si="25"/>
        <v>0</v>
      </c>
    </row>
    <row r="40" spans="1:26">
      <c r="A40" s="2" t="s">
        <v>44</v>
      </c>
      <c r="B40" s="3">
        <f t="shared" si="24"/>
        <v>0</v>
      </c>
      <c r="C40" s="3">
        <f t="shared" si="24"/>
        <v>0</v>
      </c>
      <c r="D40" s="3">
        <f t="shared" si="24"/>
        <v>0</v>
      </c>
      <c r="E40" s="3">
        <f t="shared" si="24"/>
        <v>0</v>
      </c>
      <c r="F40" s="3">
        <f t="shared" si="24"/>
        <v>0</v>
      </c>
      <c r="G40" s="3">
        <f t="shared" si="24"/>
        <v>0</v>
      </c>
      <c r="H40" s="3">
        <f t="shared" si="24"/>
        <v>0</v>
      </c>
      <c r="I40" s="3">
        <f t="shared" si="24"/>
        <v>0</v>
      </c>
      <c r="J40" s="3">
        <f t="shared" si="24"/>
        <v>0</v>
      </c>
      <c r="K40" s="3">
        <f t="shared" si="24"/>
        <v>0</v>
      </c>
      <c r="L40" s="3">
        <f t="shared" si="24"/>
        <v>0</v>
      </c>
      <c r="M40" s="3">
        <f t="shared" si="24"/>
        <v>0</v>
      </c>
      <c r="N40" s="3">
        <f t="shared" si="24"/>
        <v>0</v>
      </c>
      <c r="O40" s="3">
        <f>O56+O104</f>
        <v>0</v>
      </c>
      <c r="P40" s="3">
        <f t="shared" si="25"/>
        <v>0</v>
      </c>
      <c r="Q40" s="3">
        <f t="shared" si="25"/>
        <v>0</v>
      </c>
      <c r="R40" s="4">
        <f t="shared" si="25"/>
        <v>0</v>
      </c>
      <c r="S40" s="4">
        <f t="shared" si="25"/>
        <v>0</v>
      </c>
      <c r="T40" s="4">
        <f t="shared" si="25"/>
        <v>0</v>
      </c>
      <c r="U40" s="4">
        <f t="shared" si="25"/>
        <v>0</v>
      </c>
      <c r="V40" s="4">
        <f t="shared" si="25"/>
        <v>0</v>
      </c>
      <c r="W40" s="4">
        <f t="shared" si="25"/>
        <v>0</v>
      </c>
      <c r="X40" s="4">
        <f t="shared" si="25"/>
        <v>0</v>
      </c>
      <c r="Y40" s="4">
        <f t="shared" si="25"/>
        <v>0</v>
      </c>
      <c r="Z40" s="4">
        <f t="shared" si="25"/>
        <v>0</v>
      </c>
    </row>
    <row r="41" spans="1:26">
      <c r="A41" s="2" t="s">
        <v>45</v>
      </c>
      <c r="B41" s="3">
        <f t="shared" si="24"/>
        <v>0</v>
      </c>
      <c r="C41" s="3">
        <f t="shared" si="24"/>
        <v>0</v>
      </c>
      <c r="D41" s="3">
        <f t="shared" si="24"/>
        <v>0</v>
      </c>
      <c r="E41" s="3">
        <f t="shared" si="24"/>
        <v>16664</v>
      </c>
      <c r="F41" s="3">
        <f t="shared" si="24"/>
        <v>0</v>
      </c>
      <c r="G41" s="3">
        <f t="shared" si="24"/>
        <v>0</v>
      </c>
      <c r="H41" s="3">
        <f t="shared" si="24"/>
        <v>0</v>
      </c>
      <c r="I41" s="3">
        <f t="shared" si="24"/>
        <v>0</v>
      </c>
      <c r="J41" s="3">
        <f t="shared" si="24"/>
        <v>7296</v>
      </c>
      <c r="K41" s="3">
        <f t="shared" si="24"/>
        <v>0</v>
      </c>
      <c r="L41" s="3">
        <f t="shared" si="24"/>
        <v>0</v>
      </c>
      <c r="M41" s="3">
        <f t="shared" si="24"/>
        <v>0</v>
      </c>
      <c r="N41" s="3">
        <f t="shared" si="24"/>
        <v>0</v>
      </c>
      <c r="O41" s="3">
        <f t="shared" si="24"/>
        <v>0</v>
      </c>
      <c r="P41" s="3">
        <f t="shared" si="25"/>
        <v>0</v>
      </c>
      <c r="Q41" s="3">
        <f t="shared" si="25"/>
        <v>0</v>
      </c>
      <c r="R41" s="4">
        <f t="shared" si="25"/>
        <v>45.511264827173818</v>
      </c>
      <c r="S41" s="4">
        <f t="shared" si="25"/>
        <v>13.014399443298871</v>
      </c>
      <c r="T41" s="4">
        <f t="shared" si="25"/>
        <v>27.13117475304994</v>
      </c>
      <c r="U41" s="4">
        <f t="shared" si="25"/>
        <v>44.780302657216261</v>
      </c>
      <c r="V41" s="4">
        <f t="shared" si="25"/>
        <v>52.723154525552339</v>
      </c>
      <c r="W41" s="4">
        <f t="shared" si="25"/>
        <v>63.529358304560667</v>
      </c>
      <c r="X41" s="4">
        <f t="shared" si="25"/>
        <v>63.801528472273738</v>
      </c>
      <c r="Y41" s="4">
        <f t="shared" si="25"/>
        <v>81.270624459379476</v>
      </c>
      <c r="Z41" s="4">
        <f t="shared" si="25"/>
        <v>89.39607017089692</v>
      </c>
    </row>
    <row r="42" spans="1:26">
      <c r="A42" s="2" t="s">
        <v>46</v>
      </c>
      <c r="B42" s="3">
        <f t="shared" si="24"/>
        <v>0</v>
      </c>
      <c r="C42" s="3">
        <f t="shared" si="24"/>
        <v>0</v>
      </c>
      <c r="D42" s="3">
        <f t="shared" si="24"/>
        <v>0</v>
      </c>
      <c r="E42" s="3">
        <f t="shared" si="24"/>
        <v>0</v>
      </c>
      <c r="F42" s="3">
        <f t="shared" si="24"/>
        <v>8859</v>
      </c>
      <c r="G42" s="3">
        <f t="shared" si="24"/>
        <v>0</v>
      </c>
      <c r="H42" s="3">
        <f t="shared" si="24"/>
        <v>0</v>
      </c>
      <c r="I42" s="3">
        <f t="shared" si="24"/>
        <v>0</v>
      </c>
      <c r="J42" s="3">
        <f t="shared" si="24"/>
        <v>3960</v>
      </c>
      <c r="K42" s="3">
        <f t="shared" si="24"/>
        <v>0</v>
      </c>
      <c r="L42" s="3">
        <f t="shared" si="24"/>
        <v>0</v>
      </c>
      <c r="M42" s="3">
        <f t="shared" si="24"/>
        <v>0</v>
      </c>
      <c r="N42" s="3">
        <f t="shared" si="24"/>
        <v>0</v>
      </c>
      <c r="O42" s="3">
        <f t="shared" si="24"/>
        <v>0</v>
      </c>
      <c r="P42" s="3">
        <f t="shared" si="25"/>
        <v>0</v>
      </c>
      <c r="Q42" s="4">
        <f t="shared" si="25"/>
        <v>5.2076970320619367</v>
      </c>
      <c r="R42" s="4">
        <f t="shared" si="25"/>
        <v>24.701872706242792</v>
      </c>
      <c r="S42" s="4">
        <f t="shared" si="25"/>
        <v>7.0637465167660389</v>
      </c>
      <c r="T42" s="4">
        <f t="shared" si="25"/>
        <v>14.72582288507418</v>
      </c>
      <c r="U42" s="4">
        <f t="shared" si="25"/>
        <v>24.305132810220616</v>
      </c>
      <c r="V42" s="4">
        <f t="shared" si="25"/>
        <v>28.61622626194626</v>
      </c>
      <c r="W42" s="4">
        <f t="shared" si="25"/>
        <v>34.481443833913254</v>
      </c>
      <c r="X42" s="4">
        <f t="shared" si="25"/>
        <v>34.629167982271156</v>
      </c>
      <c r="Y42" s="4">
        <f t="shared" si="25"/>
        <v>44.110763077579776</v>
      </c>
      <c r="Z42" s="4">
        <f t="shared" si="25"/>
        <v>48.520961880218813</v>
      </c>
    </row>
    <row r="43" spans="1:26">
      <c r="A43" s="2" t="s">
        <v>47</v>
      </c>
      <c r="B43" s="3">
        <f t="shared" si="24"/>
        <v>0</v>
      </c>
      <c r="C43" s="3">
        <f t="shared" si="24"/>
        <v>0</v>
      </c>
      <c r="D43" s="3">
        <f t="shared" si="24"/>
        <v>0</v>
      </c>
      <c r="E43" s="3">
        <f t="shared" si="24"/>
        <v>0</v>
      </c>
      <c r="F43" s="3">
        <f t="shared" si="24"/>
        <v>0</v>
      </c>
      <c r="G43" s="3">
        <f t="shared" si="24"/>
        <v>0</v>
      </c>
      <c r="H43" s="3">
        <f t="shared" si="24"/>
        <v>0</v>
      </c>
      <c r="I43" s="3">
        <f t="shared" si="24"/>
        <v>0</v>
      </c>
      <c r="J43" s="3">
        <f t="shared" si="24"/>
        <v>0</v>
      </c>
      <c r="K43" s="3">
        <f t="shared" si="24"/>
        <v>0</v>
      </c>
      <c r="L43" s="3">
        <f t="shared" si="24"/>
        <v>0</v>
      </c>
      <c r="M43" s="3">
        <f t="shared" si="24"/>
        <v>0</v>
      </c>
      <c r="N43" s="3">
        <f t="shared" si="24"/>
        <v>0</v>
      </c>
      <c r="O43" s="3">
        <f t="shared" si="24"/>
        <v>0</v>
      </c>
      <c r="P43" s="3">
        <f t="shared" si="25"/>
        <v>0</v>
      </c>
      <c r="Q43" s="4">
        <f t="shared" si="25"/>
        <v>0</v>
      </c>
      <c r="R43" s="4">
        <f t="shared" si="25"/>
        <v>0</v>
      </c>
      <c r="S43" s="4">
        <f t="shared" si="25"/>
        <v>0</v>
      </c>
      <c r="T43" s="4">
        <f t="shared" si="25"/>
        <v>0</v>
      </c>
      <c r="U43" s="4">
        <f t="shared" si="25"/>
        <v>0</v>
      </c>
      <c r="V43" s="4">
        <f t="shared" si="25"/>
        <v>0</v>
      </c>
      <c r="W43" s="4">
        <f t="shared" si="25"/>
        <v>0</v>
      </c>
      <c r="X43" s="4">
        <f t="shared" si="25"/>
        <v>0</v>
      </c>
      <c r="Y43" s="4">
        <f t="shared" si="25"/>
        <v>0</v>
      </c>
      <c r="Z43" s="4">
        <f t="shared" si="25"/>
        <v>0</v>
      </c>
    </row>
    <row r="44" spans="1:26">
      <c r="A44" s="2" t="s">
        <v>48</v>
      </c>
      <c r="B44" s="3">
        <f t="shared" si="24"/>
        <v>0</v>
      </c>
      <c r="C44" s="3">
        <f t="shared" si="24"/>
        <v>0</v>
      </c>
      <c r="D44" s="3">
        <f t="shared" si="24"/>
        <v>0</v>
      </c>
      <c r="E44" s="3">
        <f t="shared" si="24"/>
        <v>32728</v>
      </c>
      <c r="F44" s="3">
        <f t="shared" si="24"/>
        <v>0</v>
      </c>
      <c r="G44" s="3">
        <f t="shared" si="24"/>
        <v>0</v>
      </c>
      <c r="H44" s="3">
        <f t="shared" si="24"/>
        <v>0</v>
      </c>
      <c r="I44" s="3">
        <f t="shared" si="24"/>
        <v>0</v>
      </c>
      <c r="J44" s="3">
        <f t="shared" si="24"/>
        <v>0</v>
      </c>
      <c r="K44" s="3">
        <f t="shared" si="24"/>
        <v>0</v>
      </c>
      <c r="L44" s="3">
        <f t="shared" si="24"/>
        <v>0</v>
      </c>
      <c r="M44" s="3">
        <f t="shared" si="24"/>
        <v>0</v>
      </c>
      <c r="N44" s="3">
        <f t="shared" si="24"/>
        <v>0</v>
      </c>
      <c r="O44" s="3">
        <f t="shared" si="24"/>
        <v>0</v>
      </c>
      <c r="P44" s="3">
        <f t="shared" si="24"/>
        <v>0</v>
      </c>
      <c r="Q44" s="4">
        <f t="shared" si="25"/>
        <v>0</v>
      </c>
      <c r="R44" s="4">
        <f t="shared" si="25"/>
        <v>0</v>
      </c>
      <c r="S44" s="4">
        <f t="shared" si="25"/>
        <v>0</v>
      </c>
      <c r="T44" s="4">
        <f t="shared" si="25"/>
        <v>0</v>
      </c>
      <c r="U44" s="4">
        <f t="shared" si="25"/>
        <v>0</v>
      </c>
      <c r="V44" s="4">
        <f t="shared" si="25"/>
        <v>0</v>
      </c>
      <c r="W44" s="4">
        <f t="shared" si="25"/>
        <v>0</v>
      </c>
      <c r="X44" s="4">
        <f t="shared" si="25"/>
        <v>0</v>
      </c>
      <c r="Y44" s="4">
        <f t="shared" si="25"/>
        <v>0</v>
      </c>
      <c r="Z44" s="4">
        <f t="shared" si="25"/>
        <v>0</v>
      </c>
    </row>
    <row r="45" spans="1:26">
      <c r="A45" s="2" t="s">
        <v>49</v>
      </c>
      <c r="B45" s="3">
        <f t="shared" si="24"/>
        <v>0</v>
      </c>
      <c r="C45" s="3">
        <f t="shared" si="24"/>
        <v>0</v>
      </c>
      <c r="D45" s="3">
        <f t="shared" si="24"/>
        <v>0</v>
      </c>
      <c r="E45" s="3">
        <f t="shared" si="24"/>
        <v>44253</v>
      </c>
      <c r="F45" s="3">
        <f t="shared" si="24"/>
        <v>0</v>
      </c>
      <c r="G45" s="3">
        <f t="shared" si="24"/>
        <v>0</v>
      </c>
      <c r="H45" s="3">
        <f t="shared" si="24"/>
        <v>0</v>
      </c>
      <c r="I45" s="3">
        <f t="shared" si="24"/>
        <v>0</v>
      </c>
      <c r="J45" s="3">
        <f t="shared" si="24"/>
        <v>0</v>
      </c>
      <c r="K45" s="3">
        <f t="shared" si="24"/>
        <v>0</v>
      </c>
      <c r="L45" s="3">
        <f t="shared" si="24"/>
        <v>0</v>
      </c>
      <c r="M45" s="3">
        <f t="shared" si="24"/>
        <v>0</v>
      </c>
      <c r="N45" s="3">
        <f t="shared" si="24"/>
        <v>0</v>
      </c>
      <c r="O45" s="3">
        <f t="shared" si="24"/>
        <v>0</v>
      </c>
      <c r="P45" s="3">
        <f t="shared" si="24"/>
        <v>0</v>
      </c>
      <c r="Q45" s="4">
        <f t="shared" si="25"/>
        <v>0</v>
      </c>
      <c r="R45" s="4">
        <f t="shared" si="25"/>
        <v>0</v>
      </c>
      <c r="S45" s="4">
        <f t="shared" si="25"/>
        <v>0</v>
      </c>
      <c r="T45" s="4">
        <f t="shared" si="25"/>
        <v>0</v>
      </c>
      <c r="U45" s="4">
        <f t="shared" si="25"/>
        <v>0</v>
      </c>
      <c r="V45" s="4">
        <f t="shared" si="25"/>
        <v>0</v>
      </c>
      <c r="W45" s="4">
        <f t="shared" si="25"/>
        <v>0</v>
      </c>
      <c r="X45" s="4">
        <f t="shared" si="25"/>
        <v>0</v>
      </c>
      <c r="Y45" s="4">
        <f t="shared" si="25"/>
        <v>0</v>
      </c>
      <c r="Z45" s="4">
        <f t="shared" si="25"/>
        <v>0</v>
      </c>
    </row>
    <row r="46" spans="1:26">
      <c r="A46" s="2" t="s">
        <v>50</v>
      </c>
      <c r="B46" s="3">
        <f t="shared" si="24"/>
        <v>0</v>
      </c>
      <c r="C46" s="3">
        <f t="shared" si="24"/>
        <v>0</v>
      </c>
      <c r="D46" s="3">
        <f t="shared" si="24"/>
        <v>0</v>
      </c>
      <c r="E46" s="3">
        <f t="shared" si="24"/>
        <v>0</v>
      </c>
      <c r="F46" s="3">
        <f t="shared" si="24"/>
        <v>0</v>
      </c>
      <c r="G46" s="3">
        <f t="shared" si="24"/>
        <v>0</v>
      </c>
      <c r="H46" s="3">
        <f t="shared" si="24"/>
        <v>0</v>
      </c>
      <c r="I46" s="3">
        <f t="shared" si="24"/>
        <v>0</v>
      </c>
      <c r="J46" s="3">
        <f t="shared" si="24"/>
        <v>0</v>
      </c>
      <c r="K46" s="3">
        <f t="shared" si="24"/>
        <v>0</v>
      </c>
      <c r="L46" s="3">
        <f t="shared" si="24"/>
        <v>0</v>
      </c>
      <c r="M46" s="3">
        <f t="shared" si="24"/>
        <v>0</v>
      </c>
      <c r="N46" s="3">
        <f t="shared" si="24"/>
        <v>0</v>
      </c>
      <c r="O46" s="3">
        <f t="shared" si="24"/>
        <v>0</v>
      </c>
      <c r="P46" s="3">
        <f t="shared" si="24"/>
        <v>0</v>
      </c>
      <c r="Q46" s="4">
        <f t="shared" si="25"/>
        <v>0</v>
      </c>
      <c r="R46" s="4">
        <f t="shared" si="25"/>
        <v>0</v>
      </c>
      <c r="S46" s="4">
        <f t="shared" si="25"/>
        <v>0</v>
      </c>
      <c r="T46" s="4">
        <f t="shared" si="25"/>
        <v>0</v>
      </c>
      <c r="U46" s="4">
        <f t="shared" si="25"/>
        <v>0</v>
      </c>
      <c r="V46" s="4">
        <f t="shared" si="25"/>
        <v>0</v>
      </c>
      <c r="W46" s="4">
        <f t="shared" si="25"/>
        <v>0</v>
      </c>
      <c r="X46" s="4">
        <f t="shared" si="25"/>
        <v>0</v>
      </c>
      <c r="Y46" s="4">
        <f t="shared" si="25"/>
        <v>0</v>
      </c>
      <c r="Z46" s="4">
        <f t="shared" si="25"/>
        <v>0</v>
      </c>
    </row>
    <row r="47" spans="1:26">
      <c r="A47" s="2" t="s">
        <v>51</v>
      </c>
      <c r="B47" s="3">
        <f t="shared" si="24"/>
        <v>0</v>
      </c>
      <c r="C47" s="3">
        <f t="shared" si="24"/>
        <v>0</v>
      </c>
      <c r="D47" s="3">
        <f t="shared" si="24"/>
        <v>0</v>
      </c>
      <c r="E47" s="3">
        <f t="shared" si="24"/>
        <v>123940</v>
      </c>
      <c r="F47" s="3">
        <f t="shared" si="24"/>
        <v>0</v>
      </c>
      <c r="G47" s="3">
        <f t="shared" si="24"/>
        <v>0</v>
      </c>
      <c r="H47" s="3">
        <f t="shared" si="24"/>
        <v>0</v>
      </c>
      <c r="I47" s="3">
        <f t="shared" si="24"/>
        <v>0</v>
      </c>
      <c r="J47" s="3">
        <f t="shared" si="24"/>
        <v>0</v>
      </c>
      <c r="K47" s="3">
        <f t="shared" si="24"/>
        <v>0</v>
      </c>
      <c r="L47" s="3">
        <f t="shared" si="24"/>
        <v>0</v>
      </c>
      <c r="M47" s="3">
        <f t="shared" si="24"/>
        <v>0</v>
      </c>
      <c r="N47" s="3">
        <f t="shared" si="24"/>
        <v>0</v>
      </c>
      <c r="O47" s="3">
        <f t="shared" si="24"/>
        <v>0</v>
      </c>
      <c r="P47" s="3">
        <f t="shared" si="24"/>
        <v>0</v>
      </c>
      <c r="Q47" s="4">
        <f t="shared" si="25"/>
        <v>0</v>
      </c>
      <c r="R47" s="4">
        <f t="shared" si="25"/>
        <v>0</v>
      </c>
      <c r="S47" s="4">
        <f t="shared" si="25"/>
        <v>0</v>
      </c>
      <c r="T47" s="4">
        <f t="shared" si="25"/>
        <v>0</v>
      </c>
      <c r="U47" s="4">
        <f t="shared" si="25"/>
        <v>0</v>
      </c>
      <c r="V47" s="4">
        <f t="shared" si="25"/>
        <v>0</v>
      </c>
      <c r="W47" s="4">
        <f t="shared" si="25"/>
        <v>0</v>
      </c>
      <c r="X47" s="4">
        <f t="shared" si="25"/>
        <v>0</v>
      </c>
      <c r="Y47" s="4">
        <f t="shared" si="25"/>
        <v>0</v>
      </c>
      <c r="Z47" s="4">
        <f t="shared" si="25"/>
        <v>0</v>
      </c>
    </row>
    <row r="48" spans="1:26">
      <c r="A48" s="2" t="s">
        <v>52</v>
      </c>
      <c r="B48" s="3">
        <f t="shared" si="24"/>
        <v>0</v>
      </c>
      <c r="C48" s="3">
        <f t="shared" si="24"/>
        <v>0</v>
      </c>
      <c r="D48" s="3">
        <f t="shared" si="24"/>
        <v>0</v>
      </c>
      <c r="E48" s="3">
        <f t="shared" si="24"/>
        <v>60007</v>
      </c>
      <c r="F48" s="3">
        <f t="shared" si="24"/>
        <v>0</v>
      </c>
      <c r="G48" s="3">
        <f t="shared" si="24"/>
        <v>0</v>
      </c>
      <c r="H48" s="3">
        <f t="shared" si="24"/>
        <v>0</v>
      </c>
      <c r="I48" s="3">
        <f t="shared" si="24"/>
        <v>0</v>
      </c>
      <c r="J48" s="3">
        <f t="shared" si="24"/>
        <v>0</v>
      </c>
      <c r="K48" s="3">
        <f t="shared" si="24"/>
        <v>0</v>
      </c>
      <c r="L48" s="3">
        <f t="shared" si="24"/>
        <v>0</v>
      </c>
      <c r="M48" s="3">
        <f t="shared" si="24"/>
        <v>0</v>
      </c>
      <c r="N48" s="3">
        <f t="shared" si="24"/>
        <v>0</v>
      </c>
      <c r="O48" s="3">
        <f t="shared" si="24"/>
        <v>0</v>
      </c>
      <c r="P48" s="3">
        <f t="shared" si="24"/>
        <v>0</v>
      </c>
      <c r="Q48" s="4">
        <f t="shared" si="25"/>
        <v>0</v>
      </c>
      <c r="R48" s="4">
        <f t="shared" si="25"/>
        <v>0</v>
      </c>
      <c r="S48" s="4">
        <f t="shared" si="25"/>
        <v>0</v>
      </c>
      <c r="T48" s="4">
        <f t="shared" si="25"/>
        <v>0</v>
      </c>
      <c r="U48" s="4">
        <f t="shared" si="25"/>
        <v>0</v>
      </c>
      <c r="V48" s="4">
        <f t="shared" si="25"/>
        <v>0</v>
      </c>
      <c r="W48" s="4">
        <f t="shared" si="25"/>
        <v>0</v>
      </c>
      <c r="X48" s="4">
        <f t="shared" si="25"/>
        <v>0</v>
      </c>
      <c r="Y48" s="4">
        <f t="shared" si="25"/>
        <v>0</v>
      </c>
      <c r="Z48" s="4">
        <f t="shared" si="25"/>
        <v>0</v>
      </c>
    </row>
    <row r="49" spans="1:26">
      <c r="A49" s="2" t="s">
        <v>53</v>
      </c>
      <c r="B49" s="3">
        <f t="shared" si="24"/>
        <v>0</v>
      </c>
      <c r="C49" s="3">
        <f t="shared" si="24"/>
        <v>0</v>
      </c>
      <c r="D49" s="3">
        <f t="shared" si="24"/>
        <v>1741</v>
      </c>
      <c r="E49" s="3">
        <f t="shared" si="24"/>
        <v>59094</v>
      </c>
      <c r="F49" s="3">
        <f t="shared" si="24"/>
        <v>0</v>
      </c>
      <c r="G49" s="3">
        <f t="shared" si="24"/>
        <v>0</v>
      </c>
      <c r="H49" s="3">
        <f t="shared" si="24"/>
        <v>0</v>
      </c>
      <c r="I49" s="3">
        <f t="shared" si="24"/>
        <v>0</v>
      </c>
      <c r="J49" s="3">
        <f t="shared" si="24"/>
        <v>0</v>
      </c>
      <c r="K49" s="3">
        <f t="shared" si="24"/>
        <v>0</v>
      </c>
      <c r="L49" s="3">
        <f t="shared" si="24"/>
        <v>0</v>
      </c>
      <c r="M49" s="3">
        <f t="shared" si="24"/>
        <v>0</v>
      </c>
      <c r="N49" s="3">
        <f t="shared" si="24"/>
        <v>0</v>
      </c>
      <c r="O49" s="3">
        <f t="shared" si="24"/>
        <v>0</v>
      </c>
      <c r="P49" s="3">
        <f t="shared" si="24"/>
        <v>0</v>
      </c>
      <c r="Q49" s="4">
        <f t="shared" si="25"/>
        <v>0</v>
      </c>
      <c r="R49" s="4">
        <f t="shared" si="25"/>
        <v>0</v>
      </c>
      <c r="S49" s="4">
        <f t="shared" si="25"/>
        <v>0</v>
      </c>
      <c r="T49" s="4">
        <f t="shared" si="25"/>
        <v>0</v>
      </c>
      <c r="U49" s="4">
        <f t="shared" si="25"/>
        <v>0</v>
      </c>
      <c r="V49" s="4">
        <f t="shared" si="25"/>
        <v>0</v>
      </c>
      <c r="W49" s="4">
        <f t="shared" si="25"/>
        <v>0</v>
      </c>
      <c r="X49" s="4">
        <f t="shared" si="25"/>
        <v>0</v>
      </c>
      <c r="Y49" s="4">
        <f t="shared" si="25"/>
        <v>0</v>
      </c>
      <c r="Z49" s="4">
        <f t="shared" si="25"/>
        <v>0</v>
      </c>
    </row>
    <row r="50" spans="1:26">
      <c r="A50" s="2" t="s">
        <v>54</v>
      </c>
      <c r="B50" s="3">
        <f t="shared" si="24"/>
        <v>0</v>
      </c>
      <c r="C50" s="3">
        <f t="shared" si="24"/>
        <v>0</v>
      </c>
      <c r="D50" s="3">
        <f t="shared" si="24"/>
        <v>0</v>
      </c>
      <c r="E50" s="3">
        <f t="shared" si="24"/>
        <v>59091</v>
      </c>
      <c r="F50" s="3">
        <f t="shared" si="24"/>
        <v>0</v>
      </c>
      <c r="G50" s="3">
        <f t="shared" si="24"/>
        <v>0</v>
      </c>
      <c r="H50" s="3">
        <f t="shared" si="24"/>
        <v>0</v>
      </c>
      <c r="I50" s="3">
        <f t="shared" si="24"/>
        <v>459</v>
      </c>
      <c r="J50" s="3">
        <f t="shared" si="24"/>
        <v>0</v>
      </c>
      <c r="K50" s="3">
        <f t="shared" si="24"/>
        <v>0</v>
      </c>
      <c r="L50" s="3">
        <f t="shared" si="24"/>
        <v>0</v>
      </c>
      <c r="M50" s="3">
        <f t="shared" si="24"/>
        <v>0</v>
      </c>
      <c r="N50" s="3">
        <f t="shared" si="24"/>
        <v>0</v>
      </c>
      <c r="O50" s="3">
        <f t="shared" si="24"/>
        <v>0</v>
      </c>
      <c r="P50" s="3">
        <f t="shared" si="24"/>
        <v>0</v>
      </c>
      <c r="Q50" s="4">
        <f t="shared" si="24"/>
        <v>10.198499855403389</v>
      </c>
      <c r="R50" s="4">
        <f t="shared" si="25"/>
        <v>2.8636778148070241</v>
      </c>
      <c r="S50" s="4">
        <f t="shared" si="25"/>
        <v>0.81889719172470266</v>
      </c>
      <c r="T50" s="4">
        <f t="shared" si="25"/>
        <v>1.7071585139416181</v>
      </c>
      <c r="U50" s="4">
        <f t="shared" si="25"/>
        <v>2.8176839238984837</v>
      </c>
      <c r="V50" s="4">
        <f t="shared" si="25"/>
        <v>3.3174671922393695</v>
      </c>
      <c r="W50" s="4">
        <f t="shared" si="25"/>
        <v>3.9974194225661619</v>
      </c>
      <c r="X50" s="4">
        <f t="shared" si="25"/>
        <v>4.0145450215599938</v>
      </c>
      <c r="Y50" s="4">
        <f t="shared" si="25"/>
        <v>5.1137423919907947</v>
      </c>
      <c r="Z50" s="4">
        <f t="shared" si="25"/>
        <v>5.6250149023869191</v>
      </c>
    </row>
    <row r="51" spans="1:26" ht="13.5" thickBot="1">
      <c r="A51" s="2" t="s">
        <v>29</v>
      </c>
      <c r="B51" s="3">
        <f>SUM(B39:B50)</f>
        <v>0</v>
      </c>
      <c r="C51" s="3">
        <f t="shared" ref="C51:J51" si="26">SUM(C39:C50)</f>
        <v>0</v>
      </c>
      <c r="D51" s="3">
        <f t="shared" si="26"/>
        <v>1741</v>
      </c>
      <c r="E51" s="3">
        <f t="shared" si="26"/>
        <v>395777</v>
      </c>
      <c r="F51" s="3">
        <f t="shared" si="26"/>
        <v>8859</v>
      </c>
      <c r="G51" s="3">
        <f t="shared" si="26"/>
        <v>0</v>
      </c>
      <c r="H51" s="3">
        <f t="shared" si="26"/>
        <v>0</v>
      </c>
      <c r="I51" s="3">
        <f t="shared" si="26"/>
        <v>459</v>
      </c>
      <c r="J51" s="3">
        <f t="shared" si="26"/>
        <v>11256</v>
      </c>
      <c r="K51" s="3">
        <f>SUM(K39:K50)</f>
        <v>0</v>
      </c>
      <c r="L51" s="3">
        <f>SUM(L39:L50)</f>
        <v>0</v>
      </c>
      <c r="M51" s="3">
        <f>SUM(M39:M50)</f>
        <v>0</v>
      </c>
      <c r="N51" s="3">
        <f>SUM(N39:N50)</f>
        <v>0</v>
      </c>
      <c r="O51" s="3">
        <f>SUM(O39:O50)</f>
        <v>0</v>
      </c>
      <c r="P51" s="3">
        <f t="shared" ref="P51:Z51" si="27">SUM(P39:P50)</f>
        <v>0</v>
      </c>
      <c r="Q51" s="4">
        <f t="shared" si="27"/>
        <v>15.406196887465326</v>
      </c>
      <c r="R51" s="4">
        <f t="shared" si="27"/>
        <v>73.076815348223633</v>
      </c>
      <c r="S51" s="4">
        <f t="shared" si="27"/>
        <v>20.89704315178961</v>
      </c>
      <c r="T51" s="4">
        <f t="shared" si="27"/>
        <v>43.564156152065742</v>
      </c>
      <c r="U51" s="4">
        <f t="shared" si="27"/>
        <v>71.903119391335366</v>
      </c>
      <c r="V51" s="4">
        <f t="shared" si="27"/>
        <v>84.656847979737961</v>
      </c>
      <c r="W51" s="4">
        <f t="shared" si="27"/>
        <v>102.00822156104009</v>
      </c>
      <c r="X51" s="4">
        <f t="shared" si="27"/>
        <v>102.44524147610488</v>
      </c>
      <c r="Y51" s="4">
        <f t="shared" si="27"/>
        <v>130.49512992895004</v>
      </c>
      <c r="Z51" s="4">
        <f t="shared" si="27"/>
        <v>143.54204695350265</v>
      </c>
    </row>
    <row r="52" spans="1:26">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spans="1:26" ht="16.5" thickBot="1">
      <c r="A53" s="109" t="s">
        <v>544</v>
      </c>
    </row>
    <row r="54" spans="1:26" ht="13.5" thickBot="1">
      <c r="A54" s="110"/>
      <c r="B54" s="111">
        <v>2010</v>
      </c>
      <c r="C54" s="111">
        <v>2011</v>
      </c>
      <c r="D54" s="111">
        <v>2012</v>
      </c>
      <c r="E54" s="111">
        <v>2013</v>
      </c>
      <c r="F54" s="111">
        <v>2014</v>
      </c>
      <c r="G54" s="111">
        <v>2015</v>
      </c>
      <c r="H54" s="111">
        <v>2016</v>
      </c>
      <c r="I54" s="111">
        <v>2017</v>
      </c>
      <c r="J54" s="111">
        <v>2018</v>
      </c>
      <c r="K54" s="111">
        <v>2019</v>
      </c>
      <c r="L54" s="111">
        <v>2020</v>
      </c>
      <c r="M54" s="111">
        <v>2021</v>
      </c>
      <c r="N54" s="111">
        <v>2022</v>
      </c>
      <c r="O54" s="111">
        <v>2023</v>
      </c>
      <c r="P54" s="111">
        <v>2024</v>
      </c>
      <c r="Q54" s="111">
        <v>2025</v>
      </c>
      <c r="R54" s="111">
        <v>2026</v>
      </c>
      <c r="S54" s="111">
        <v>2027</v>
      </c>
      <c r="T54" s="111">
        <v>2028</v>
      </c>
      <c r="U54" s="111">
        <v>2029</v>
      </c>
      <c r="V54" s="111">
        <v>2030</v>
      </c>
      <c r="W54" s="111">
        <v>2031</v>
      </c>
      <c r="X54" s="111">
        <v>2032</v>
      </c>
      <c r="Y54" s="111">
        <v>2033</v>
      </c>
      <c r="Z54" s="111">
        <v>2034</v>
      </c>
    </row>
    <row r="55" spans="1:26">
      <c r="A55" s="2" t="s">
        <v>43</v>
      </c>
      <c r="B55" s="3">
        <f>B71+B87</f>
        <v>0</v>
      </c>
      <c r="C55" s="3">
        <f t="shared" ref="B55:Q66" si="28">C71+C87</f>
        <v>0</v>
      </c>
      <c r="D55" s="3">
        <f t="shared" si="28"/>
        <v>0</v>
      </c>
      <c r="E55" s="3">
        <f t="shared" si="28"/>
        <v>0</v>
      </c>
      <c r="F55" s="3">
        <f t="shared" si="28"/>
        <v>0</v>
      </c>
      <c r="G55" s="3">
        <f t="shared" si="28"/>
        <v>0</v>
      </c>
      <c r="H55" s="3">
        <f t="shared" si="28"/>
        <v>0</v>
      </c>
      <c r="I55" s="3">
        <f t="shared" si="28"/>
        <v>0</v>
      </c>
      <c r="J55" s="3">
        <f t="shared" si="28"/>
        <v>0</v>
      </c>
      <c r="K55" s="3">
        <f>K71+K87</f>
        <v>0</v>
      </c>
      <c r="L55" s="3">
        <f>L71+L87</f>
        <v>0</v>
      </c>
      <c r="M55" s="3">
        <f>M71+M87</f>
        <v>0</v>
      </c>
      <c r="N55" s="3">
        <f>N71+N87</f>
        <v>0</v>
      </c>
      <c r="O55" s="3">
        <f>O71+O87</f>
        <v>0</v>
      </c>
      <c r="P55" s="3">
        <f t="shared" ref="P55:Z66" si="29">P71+P87</f>
        <v>0</v>
      </c>
      <c r="Q55" s="3">
        <f t="shared" si="29"/>
        <v>0</v>
      </c>
      <c r="R55" s="4">
        <f t="shared" si="29"/>
        <v>0</v>
      </c>
      <c r="S55" s="4">
        <f t="shared" si="29"/>
        <v>0</v>
      </c>
      <c r="T55" s="4">
        <f t="shared" si="29"/>
        <v>0</v>
      </c>
      <c r="U55" s="4">
        <f t="shared" si="29"/>
        <v>0</v>
      </c>
      <c r="V55" s="4">
        <f t="shared" si="29"/>
        <v>0</v>
      </c>
      <c r="W55" s="4">
        <f t="shared" si="29"/>
        <v>0</v>
      </c>
      <c r="X55" s="4">
        <f t="shared" si="29"/>
        <v>0</v>
      </c>
      <c r="Y55" s="4">
        <f t="shared" si="29"/>
        <v>0</v>
      </c>
      <c r="Z55" s="4">
        <f t="shared" si="29"/>
        <v>0</v>
      </c>
    </row>
    <row r="56" spans="1:26">
      <c r="A56" s="2" t="s">
        <v>44</v>
      </c>
      <c r="B56" s="3">
        <f>B72+B88</f>
        <v>0</v>
      </c>
      <c r="C56" s="3">
        <f t="shared" si="28"/>
        <v>0</v>
      </c>
      <c r="D56" s="3">
        <f t="shared" si="28"/>
        <v>0</v>
      </c>
      <c r="E56" s="3">
        <f t="shared" si="28"/>
        <v>0</v>
      </c>
      <c r="F56" s="3">
        <f t="shared" si="28"/>
        <v>0</v>
      </c>
      <c r="G56" s="3">
        <f t="shared" si="28"/>
        <v>0</v>
      </c>
      <c r="H56" s="3">
        <f t="shared" si="28"/>
        <v>0</v>
      </c>
      <c r="I56" s="3">
        <f t="shared" si="28"/>
        <v>0</v>
      </c>
      <c r="J56" s="3">
        <f t="shared" si="28"/>
        <v>0</v>
      </c>
      <c r="K56" s="3">
        <f t="shared" si="28"/>
        <v>0</v>
      </c>
      <c r="L56" s="3">
        <f t="shared" si="28"/>
        <v>0</v>
      </c>
      <c r="M56" s="3">
        <f t="shared" si="28"/>
        <v>0</v>
      </c>
      <c r="N56" s="3">
        <f t="shared" si="28"/>
        <v>0</v>
      </c>
      <c r="O56" s="3">
        <f>O72+O88</f>
        <v>0</v>
      </c>
      <c r="P56" s="3">
        <f t="shared" si="29"/>
        <v>0</v>
      </c>
      <c r="Q56" s="3">
        <f t="shared" si="29"/>
        <v>0</v>
      </c>
      <c r="R56" s="4">
        <f t="shared" si="29"/>
        <v>0</v>
      </c>
      <c r="S56" s="4">
        <f t="shared" si="29"/>
        <v>0</v>
      </c>
      <c r="T56" s="4">
        <f t="shared" si="29"/>
        <v>0</v>
      </c>
      <c r="U56" s="4">
        <f t="shared" si="29"/>
        <v>0</v>
      </c>
      <c r="V56" s="4">
        <f t="shared" si="29"/>
        <v>0</v>
      </c>
      <c r="W56" s="4">
        <f t="shared" si="29"/>
        <v>0</v>
      </c>
      <c r="X56" s="4">
        <f t="shared" si="29"/>
        <v>0</v>
      </c>
      <c r="Y56" s="4">
        <f t="shared" si="29"/>
        <v>0</v>
      </c>
      <c r="Z56" s="4">
        <f t="shared" si="29"/>
        <v>0</v>
      </c>
    </row>
    <row r="57" spans="1:26">
      <c r="A57" s="2" t="s">
        <v>45</v>
      </c>
      <c r="B57" s="3">
        <f t="shared" si="28"/>
        <v>0</v>
      </c>
      <c r="C57" s="3">
        <f t="shared" si="28"/>
        <v>0</v>
      </c>
      <c r="D57" s="3">
        <f t="shared" si="28"/>
        <v>0</v>
      </c>
      <c r="E57" s="3">
        <f t="shared" si="28"/>
        <v>16664</v>
      </c>
      <c r="F57" s="3">
        <f t="shared" si="28"/>
        <v>0</v>
      </c>
      <c r="G57" s="3">
        <f t="shared" si="28"/>
        <v>0</v>
      </c>
      <c r="H57" s="3">
        <f t="shared" si="28"/>
        <v>0</v>
      </c>
      <c r="I57" s="3">
        <f t="shared" si="28"/>
        <v>0</v>
      </c>
      <c r="J57" s="3">
        <f t="shared" si="28"/>
        <v>7296</v>
      </c>
      <c r="K57" s="3">
        <f t="shared" si="28"/>
        <v>0</v>
      </c>
      <c r="L57" s="3">
        <f t="shared" si="28"/>
        <v>0</v>
      </c>
      <c r="M57" s="3">
        <f t="shared" si="28"/>
        <v>0</v>
      </c>
      <c r="N57" s="3">
        <f t="shared" si="28"/>
        <v>0</v>
      </c>
      <c r="O57" s="3">
        <f t="shared" si="28"/>
        <v>0</v>
      </c>
      <c r="P57" s="3">
        <f t="shared" si="29"/>
        <v>0</v>
      </c>
      <c r="Q57" s="3">
        <f t="shared" si="29"/>
        <v>0</v>
      </c>
      <c r="R57" s="4">
        <f t="shared" si="29"/>
        <v>45.511264827173818</v>
      </c>
      <c r="S57" s="4">
        <f t="shared" si="29"/>
        <v>13.014399443298871</v>
      </c>
      <c r="T57" s="4">
        <f t="shared" si="29"/>
        <v>27.13117475304994</v>
      </c>
      <c r="U57" s="4">
        <f t="shared" si="29"/>
        <v>44.780302657216261</v>
      </c>
      <c r="V57" s="4">
        <f t="shared" si="29"/>
        <v>52.723154525552339</v>
      </c>
      <c r="W57" s="4">
        <f t="shared" si="29"/>
        <v>63.529358304560667</v>
      </c>
      <c r="X57" s="4">
        <f t="shared" si="29"/>
        <v>63.801528472273738</v>
      </c>
      <c r="Y57" s="4">
        <f t="shared" si="29"/>
        <v>81.270624459379476</v>
      </c>
      <c r="Z57" s="4">
        <f t="shared" si="29"/>
        <v>89.39607017089692</v>
      </c>
    </row>
    <row r="58" spans="1:26">
      <c r="A58" s="2" t="s">
        <v>46</v>
      </c>
      <c r="B58" s="3">
        <f t="shared" si="28"/>
        <v>0</v>
      </c>
      <c r="C58" s="3">
        <f t="shared" si="28"/>
        <v>0</v>
      </c>
      <c r="D58" s="3">
        <f t="shared" si="28"/>
        <v>0</v>
      </c>
      <c r="E58" s="3">
        <f t="shared" si="28"/>
        <v>0</v>
      </c>
      <c r="F58" s="3">
        <f t="shared" si="28"/>
        <v>8859</v>
      </c>
      <c r="G58" s="3">
        <f t="shared" si="28"/>
        <v>0</v>
      </c>
      <c r="H58" s="3">
        <f t="shared" si="28"/>
        <v>0</v>
      </c>
      <c r="I58" s="3">
        <f t="shared" si="28"/>
        <v>0</v>
      </c>
      <c r="J58" s="3">
        <f t="shared" si="28"/>
        <v>3960</v>
      </c>
      <c r="K58" s="3">
        <f t="shared" si="28"/>
        <v>0</v>
      </c>
      <c r="L58" s="3">
        <f t="shared" si="28"/>
        <v>0</v>
      </c>
      <c r="M58" s="3">
        <f t="shared" si="28"/>
        <v>0</v>
      </c>
      <c r="N58" s="3">
        <f t="shared" si="28"/>
        <v>0</v>
      </c>
      <c r="O58" s="3">
        <f t="shared" si="28"/>
        <v>0</v>
      </c>
      <c r="P58" s="3">
        <f t="shared" si="29"/>
        <v>0</v>
      </c>
      <c r="Q58" s="4">
        <f t="shared" si="29"/>
        <v>5.2076970320619367</v>
      </c>
      <c r="R58" s="4">
        <f t="shared" si="29"/>
        <v>24.701872706242792</v>
      </c>
      <c r="S58" s="4">
        <f t="shared" si="29"/>
        <v>7.0637465167660389</v>
      </c>
      <c r="T58" s="4">
        <f t="shared" si="29"/>
        <v>14.72582288507418</v>
      </c>
      <c r="U58" s="4">
        <f t="shared" si="29"/>
        <v>24.305132810220616</v>
      </c>
      <c r="V58" s="4">
        <f t="shared" si="29"/>
        <v>28.61622626194626</v>
      </c>
      <c r="W58" s="4">
        <f t="shared" si="29"/>
        <v>34.481443833913254</v>
      </c>
      <c r="X58" s="4">
        <f t="shared" si="29"/>
        <v>34.629167982271156</v>
      </c>
      <c r="Y58" s="4">
        <f t="shared" si="29"/>
        <v>44.110763077579776</v>
      </c>
      <c r="Z58" s="4">
        <f t="shared" si="29"/>
        <v>48.520961880218813</v>
      </c>
    </row>
    <row r="59" spans="1:26">
      <c r="A59" s="2" t="s">
        <v>47</v>
      </c>
      <c r="B59" s="3">
        <f t="shared" si="28"/>
        <v>0</v>
      </c>
      <c r="C59" s="3">
        <f t="shared" si="28"/>
        <v>0</v>
      </c>
      <c r="D59" s="3">
        <f t="shared" si="28"/>
        <v>0</v>
      </c>
      <c r="E59" s="3">
        <f t="shared" si="28"/>
        <v>0</v>
      </c>
      <c r="F59" s="3">
        <f t="shared" si="28"/>
        <v>0</v>
      </c>
      <c r="G59" s="3">
        <f t="shared" si="28"/>
        <v>0</v>
      </c>
      <c r="H59" s="3">
        <f t="shared" si="28"/>
        <v>0</v>
      </c>
      <c r="I59" s="3">
        <f t="shared" si="28"/>
        <v>0</v>
      </c>
      <c r="J59" s="3">
        <f t="shared" si="28"/>
        <v>0</v>
      </c>
      <c r="K59" s="3">
        <f t="shared" si="28"/>
        <v>0</v>
      </c>
      <c r="L59" s="3">
        <f t="shared" si="28"/>
        <v>0</v>
      </c>
      <c r="M59" s="3">
        <f t="shared" si="28"/>
        <v>0</v>
      </c>
      <c r="N59" s="3">
        <f t="shared" si="28"/>
        <v>0</v>
      </c>
      <c r="O59" s="3">
        <f>O75+O91</f>
        <v>0</v>
      </c>
      <c r="P59" s="3">
        <f t="shared" si="29"/>
        <v>0</v>
      </c>
      <c r="Q59" s="4">
        <f t="shared" si="29"/>
        <v>0</v>
      </c>
      <c r="R59" s="4">
        <f t="shared" si="29"/>
        <v>0</v>
      </c>
      <c r="S59" s="4">
        <f t="shared" si="29"/>
        <v>0</v>
      </c>
      <c r="T59" s="4">
        <f t="shared" si="29"/>
        <v>0</v>
      </c>
      <c r="U59" s="4">
        <f t="shared" si="29"/>
        <v>0</v>
      </c>
      <c r="V59" s="4">
        <f t="shared" si="29"/>
        <v>0</v>
      </c>
      <c r="W59" s="4">
        <f t="shared" si="29"/>
        <v>0</v>
      </c>
      <c r="X59" s="4">
        <f t="shared" si="29"/>
        <v>0</v>
      </c>
      <c r="Y59" s="4">
        <f t="shared" si="29"/>
        <v>0</v>
      </c>
      <c r="Z59" s="4">
        <f t="shared" si="29"/>
        <v>0</v>
      </c>
    </row>
    <row r="60" spans="1:26">
      <c r="A60" s="2" t="s">
        <v>48</v>
      </c>
      <c r="B60" s="3">
        <f t="shared" si="28"/>
        <v>0</v>
      </c>
      <c r="C60" s="3">
        <f t="shared" si="28"/>
        <v>0</v>
      </c>
      <c r="D60" s="3">
        <f t="shared" si="28"/>
        <v>0</v>
      </c>
      <c r="E60" s="3">
        <f t="shared" si="28"/>
        <v>32728</v>
      </c>
      <c r="F60" s="3">
        <f t="shared" si="28"/>
        <v>0</v>
      </c>
      <c r="G60" s="3">
        <f t="shared" si="28"/>
        <v>0</v>
      </c>
      <c r="H60" s="3">
        <f t="shared" si="28"/>
        <v>0</v>
      </c>
      <c r="I60" s="3">
        <f t="shared" si="28"/>
        <v>0</v>
      </c>
      <c r="J60" s="3">
        <f t="shared" si="28"/>
        <v>0</v>
      </c>
      <c r="K60" s="3">
        <f t="shared" si="28"/>
        <v>0</v>
      </c>
      <c r="L60" s="3">
        <f t="shared" si="28"/>
        <v>0</v>
      </c>
      <c r="M60" s="3">
        <f t="shared" si="28"/>
        <v>0</v>
      </c>
      <c r="N60" s="3">
        <f t="shared" si="28"/>
        <v>0</v>
      </c>
      <c r="O60" s="3">
        <f>O76+O92</f>
        <v>0</v>
      </c>
      <c r="P60" s="3">
        <f t="shared" si="29"/>
        <v>0</v>
      </c>
      <c r="Q60" s="4">
        <f t="shared" si="29"/>
        <v>0</v>
      </c>
      <c r="R60" s="4">
        <f t="shared" si="29"/>
        <v>0</v>
      </c>
      <c r="S60" s="4">
        <f t="shared" si="29"/>
        <v>0</v>
      </c>
      <c r="T60" s="4">
        <f t="shared" si="29"/>
        <v>0</v>
      </c>
      <c r="U60" s="4">
        <f t="shared" si="29"/>
        <v>0</v>
      </c>
      <c r="V60" s="4">
        <f t="shared" si="29"/>
        <v>0</v>
      </c>
      <c r="W60" s="4">
        <f t="shared" si="29"/>
        <v>0</v>
      </c>
      <c r="X60" s="4">
        <f t="shared" si="29"/>
        <v>0</v>
      </c>
      <c r="Y60" s="4">
        <f t="shared" si="29"/>
        <v>0</v>
      </c>
      <c r="Z60" s="4">
        <f t="shared" si="29"/>
        <v>0</v>
      </c>
    </row>
    <row r="61" spans="1:26">
      <c r="A61" s="2" t="s">
        <v>49</v>
      </c>
      <c r="B61" s="3">
        <f t="shared" si="28"/>
        <v>0</v>
      </c>
      <c r="C61" s="3">
        <f t="shared" si="28"/>
        <v>0</v>
      </c>
      <c r="D61" s="3">
        <f t="shared" si="28"/>
        <v>0</v>
      </c>
      <c r="E61" s="3">
        <f t="shared" si="28"/>
        <v>44253</v>
      </c>
      <c r="F61" s="3">
        <f t="shared" si="28"/>
        <v>0</v>
      </c>
      <c r="G61" s="3">
        <f t="shared" si="28"/>
        <v>0</v>
      </c>
      <c r="H61" s="3">
        <f t="shared" si="28"/>
        <v>0</v>
      </c>
      <c r="I61" s="3">
        <f t="shared" si="28"/>
        <v>0</v>
      </c>
      <c r="J61" s="3">
        <f t="shared" si="28"/>
        <v>0</v>
      </c>
      <c r="K61" s="3">
        <f t="shared" si="28"/>
        <v>0</v>
      </c>
      <c r="L61" s="3">
        <f t="shared" si="28"/>
        <v>0</v>
      </c>
      <c r="M61" s="3">
        <f t="shared" si="28"/>
        <v>0</v>
      </c>
      <c r="N61" s="3">
        <f t="shared" si="28"/>
        <v>0</v>
      </c>
      <c r="O61" s="3">
        <f>O77+O93</f>
        <v>0</v>
      </c>
      <c r="P61" s="3">
        <f t="shared" si="29"/>
        <v>0</v>
      </c>
      <c r="Q61" s="4">
        <f t="shared" si="29"/>
        <v>0</v>
      </c>
      <c r="R61" s="4">
        <f t="shared" si="29"/>
        <v>0</v>
      </c>
      <c r="S61" s="4">
        <f t="shared" si="29"/>
        <v>0</v>
      </c>
      <c r="T61" s="4">
        <f t="shared" si="29"/>
        <v>0</v>
      </c>
      <c r="U61" s="4">
        <f t="shared" si="29"/>
        <v>0</v>
      </c>
      <c r="V61" s="4">
        <f t="shared" si="29"/>
        <v>0</v>
      </c>
      <c r="W61" s="4">
        <f t="shared" si="29"/>
        <v>0</v>
      </c>
      <c r="X61" s="4">
        <f t="shared" si="29"/>
        <v>0</v>
      </c>
      <c r="Y61" s="4">
        <f t="shared" si="29"/>
        <v>0</v>
      </c>
      <c r="Z61" s="4">
        <f t="shared" si="29"/>
        <v>0</v>
      </c>
    </row>
    <row r="62" spans="1:26">
      <c r="A62" s="2" t="s">
        <v>50</v>
      </c>
      <c r="B62" s="3">
        <f t="shared" si="28"/>
        <v>0</v>
      </c>
      <c r="C62" s="3">
        <f t="shared" si="28"/>
        <v>0</v>
      </c>
      <c r="D62" s="3">
        <f t="shared" si="28"/>
        <v>0</v>
      </c>
      <c r="E62" s="3">
        <f t="shared" si="28"/>
        <v>0</v>
      </c>
      <c r="F62" s="3">
        <f t="shared" si="28"/>
        <v>0</v>
      </c>
      <c r="G62" s="3">
        <f t="shared" si="28"/>
        <v>0</v>
      </c>
      <c r="H62" s="3">
        <f t="shared" si="28"/>
        <v>0</v>
      </c>
      <c r="I62" s="3">
        <f t="shared" si="28"/>
        <v>0</v>
      </c>
      <c r="J62" s="3">
        <f t="shared" si="28"/>
        <v>0</v>
      </c>
      <c r="K62" s="3">
        <f t="shared" si="28"/>
        <v>0</v>
      </c>
      <c r="L62" s="3">
        <f t="shared" si="28"/>
        <v>0</v>
      </c>
      <c r="M62" s="3">
        <f t="shared" si="28"/>
        <v>0</v>
      </c>
      <c r="N62" s="3">
        <f t="shared" si="28"/>
        <v>0</v>
      </c>
      <c r="O62" s="3">
        <f>O78+O94</f>
        <v>0</v>
      </c>
      <c r="P62" s="3">
        <f t="shared" si="29"/>
        <v>0</v>
      </c>
      <c r="Q62" s="4">
        <f t="shared" si="29"/>
        <v>0</v>
      </c>
      <c r="R62" s="4">
        <f t="shared" si="29"/>
        <v>0</v>
      </c>
      <c r="S62" s="4">
        <f t="shared" si="29"/>
        <v>0</v>
      </c>
      <c r="T62" s="4">
        <f t="shared" si="29"/>
        <v>0</v>
      </c>
      <c r="U62" s="4">
        <f t="shared" si="29"/>
        <v>0</v>
      </c>
      <c r="V62" s="4">
        <f t="shared" si="29"/>
        <v>0</v>
      </c>
      <c r="W62" s="4">
        <f t="shared" si="29"/>
        <v>0</v>
      </c>
      <c r="X62" s="4">
        <f t="shared" si="29"/>
        <v>0</v>
      </c>
      <c r="Y62" s="4">
        <f t="shared" si="29"/>
        <v>0</v>
      </c>
      <c r="Z62" s="4">
        <f t="shared" si="29"/>
        <v>0</v>
      </c>
    </row>
    <row r="63" spans="1:26">
      <c r="A63" s="2" t="s">
        <v>51</v>
      </c>
      <c r="B63" s="3">
        <f t="shared" si="28"/>
        <v>0</v>
      </c>
      <c r="C63" s="3">
        <f t="shared" si="28"/>
        <v>0</v>
      </c>
      <c r="D63" s="3">
        <f t="shared" si="28"/>
        <v>0</v>
      </c>
      <c r="E63" s="3">
        <f t="shared" si="28"/>
        <v>123940</v>
      </c>
      <c r="F63" s="3">
        <f t="shared" si="28"/>
        <v>0</v>
      </c>
      <c r="G63" s="3">
        <f t="shared" si="28"/>
        <v>0</v>
      </c>
      <c r="H63" s="3">
        <f t="shared" si="28"/>
        <v>0</v>
      </c>
      <c r="I63" s="3">
        <f t="shared" si="28"/>
        <v>0</v>
      </c>
      <c r="J63" s="3">
        <f t="shared" si="28"/>
        <v>0</v>
      </c>
      <c r="K63" s="3">
        <f t="shared" si="28"/>
        <v>0</v>
      </c>
      <c r="L63" s="3">
        <f t="shared" si="28"/>
        <v>0</v>
      </c>
      <c r="M63" s="3">
        <f t="shared" si="28"/>
        <v>0</v>
      </c>
      <c r="N63" s="3">
        <f t="shared" si="28"/>
        <v>0</v>
      </c>
      <c r="O63" s="3">
        <f t="shared" si="28"/>
        <v>0</v>
      </c>
      <c r="P63" s="3">
        <f t="shared" si="28"/>
        <v>0</v>
      </c>
      <c r="Q63" s="4">
        <f t="shared" si="29"/>
        <v>0</v>
      </c>
      <c r="R63" s="4">
        <f t="shared" si="29"/>
        <v>0</v>
      </c>
      <c r="S63" s="4">
        <f t="shared" si="29"/>
        <v>0</v>
      </c>
      <c r="T63" s="4">
        <f t="shared" si="29"/>
        <v>0</v>
      </c>
      <c r="U63" s="4">
        <f t="shared" si="29"/>
        <v>0</v>
      </c>
      <c r="V63" s="4">
        <f t="shared" si="29"/>
        <v>0</v>
      </c>
      <c r="W63" s="4">
        <f t="shared" si="29"/>
        <v>0</v>
      </c>
      <c r="X63" s="4">
        <f t="shared" si="29"/>
        <v>0</v>
      </c>
      <c r="Y63" s="4">
        <f t="shared" si="29"/>
        <v>0</v>
      </c>
      <c r="Z63" s="4">
        <f t="shared" si="29"/>
        <v>0</v>
      </c>
    </row>
    <row r="64" spans="1:26">
      <c r="A64" s="2" t="s">
        <v>52</v>
      </c>
      <c r="B64" s="3">
        <f t="shared" si="28"/>
        <v>0</v>
      </c>
      <c r="C64" s="3">
        <f t="shared" si="28"/>
        <v>0</v>
      </c>
      <c r="D64" s="3">
        <f t="shared" si="28"/>
        <v>0</v>
      </c>
      <c r="E64" s="3">
        <f t="shared" si="28"/>
        <v>60007</v>
      </c>
      <c r="F64" s="3">
        <f t="shared" si="28"/>
        <v>0</v>
      </c>
      <c r="G64" s="3">
        <f t="shared" si="28"/>
        <v>0</v>
      </c>
      <c r="H64" s="3">
        <f t="shared" si="28"/>
        <v>0</v>
      </c>
      <c r="I64" s="3">
        <f t="shared" si="28"/>
        <v>0</v>
      </c>
      <c r="J64" s="3">
        <f t="shared" si="28"/>
        <v>0</v>
      </c>
      <c r="K64" s="3">
        <f t="shared" si="28"/>
        <v>0</v>
      </c>
      <c r="L64" s="3">
        <f t="shared" si="28"/>
        <v>0</v>
      </c>
      <c r="M64" s="3">
        <f t="shared" si="28"/>
        <v>0</v>
      </c>
      <c r="N64" s="3">
        <f t="shared" si="28"/>
        <v>0</v>
      </c>
      <c r="O64" s="3">
        <f>O80+O96</f>
        <v>0</v>
      </c>
      <c r="P64" s="3">
        <f t="shared" si="28"/>
        <v>0</v>
      </c>
      <c r="Q64" s="4">
        <f t="shared" si="29"/>
        <v>0</v>
      </c>
      <c r="R64" s="4">
        <f t="shared" si="29"/>
        <v>0</v>
      </c>
      <c r="S64" s="4">
        <f t="shared" si="29"/>
        <v>0</v>
      </c>
      <c r="T64" s="4">
        <f t="shared" si="29"/>
        <v>0</v>
      </c>
      <c r="U64" s="4">
        <f t="shared" si="29"/>
        <v>0</v>
      </c>
      <c r="V64" s="4">
        <f t="shared" si="29"/>
        <v>0</v>
      </c>
      <c r="W64" s="4">
        <f t="shared" si="29"/>
        <v>0</v>
      </c>
      <c r="X64" s="4">
        <f t="shared" si="29"/>
        <v>0</v>
      </c>
      <c r="Y64" s="4">
        <f t="shared" si="29"/>
        <v>0</v>
      </c>
      <c r="Z64" s="4">
        <f t="shared" si="29"/>
        <v>0</v>
      </c>
    </row>
    <row r="65" spans="1:26">
      <c r="A65" s="2" t="s">
        <v>53</v>
      </c>
      <c r="B65" s="3">
        <f t="shared" si="28"/>
        <v>0</v>
      </c>
      <c r="C65" s="3">
        <f t="shared" si="28"/>
        <v>0</v>
      </c>
      <c r="D65" s="3">
        <f t="shared" si="28"/>
        <v>1741</v>
      </c>
      <c r="E65" s="3">
        <f t="shared" si="28"/>
        <v>59094</v>
      </c>
      <c r="F65" s="3">
        <f t="shared" si="28"/>
        <v>0</v>
      </c>
      <c r="G65" s="3">
        <f t="shared" si="28"/>
        <v>0</v>
      </c>
      <c r="H65" s="3">
        <f t="shared" si="28"/>
        <v>0</v>
      </c>
      <c r="I65" s="3">
        <f t="shared" si="28"/>
        <v>0</v>
      </c>
      <c r="J65" s="3">
        <f>J81+J97</f>
        <v>0</v>
      </c>
      <c r="K65" s="3">
        <f t="shared" si="28"/>
        <v>0</v>
      </c>
      <c r="L65" s="3">
        <f t="shared" si="28"/>
        <v>0</v>
      </c>
      <c r="M65" s="3">
        <f t="shared" si="28"/>
        <v>0</v>
      </c>
      <c r="N65" s="3">
        <f t="shared" si="28"/>
        <v>0</v>
      </c>
      <c r="O65" s="3">
        <f>O81+O97</f>
        <v>0</v>
      </c>
      <c r="P65" s="3">
        <f t="shared" si="28"/>
        <v>0</v>
      </c>
      <c r="Q65" s="4">
        <f t="shared" si="29"/>
        <v>0</v>
      </c>
      <c r="R65" s="4">
        <f t="shared" si="29"/>
        <v>0</v>
      </c>
      <c r="S65" s="4">
        <f t="shared" si="29"/>
        <v>0</v>
      </c>
      <c r="T65" s="4">
        <f t="shared" si="29"/>
        <v>0</v>
      </c>
      <c r="U65" s="4">
        <f t="shared" si="29"/>
        <v>0</v>
      </c>
      <c r="V65" s="4">
        <f t="shared" si="29"/>
        <v>0</v>
      </c>
      <c r="W65" s="4">
        <f t="shared" si="29"/>
        <v>0</v>
      </c>
      <c r="X65" s="4">
        <f t="shared" si="29"/>
        <v>0</v>
      </c>
      <c r="Y65" s="4">
        <f t="shared" si="29"/>
        <v>0</v>
      </c>
      <c r="Z65" s="4">
        <f t="shared" si="29"/>
        <v>0</v>
      </c>
    </row>
    <row r="66" spans="1:26">
      <c r="A66" s="2" t="s">
        <v>54</v>
      </c>
      <c r="B66" s="3">
        <f t="shared" si="28"/>
        <v>0</v>
      </c>
      <c r="C66" s="3">
        <f t="shared" si="28"/>
        <v>0</v>
      </c>
      <c r="D66" s="3">
        <f t="shared" si="28"/>
        <v>0</v>
      </c>
      <c r="E66" s="3">
        <f t="shared" si="28"/>
        <v>59091</v>
      </c>
      <c r="F66" s="3">
        <f t="shared" si="28"/>
        <v>0</v>
      </c>
      <c r="G66" s="3">
        <f t="shared" si="28"/>
        <v>0</v>
      </c>
      <c r="H66" s="3">
        <f t="shared" si="28"/>
        <v>0</v>
      </c>
      <c r="I66" s="3">
        <f t="shared" si="28"/>
        <v>459</v>
      </c>
      <c r="J66" s="3">
        <f>J82+J98</f>
        <v>0</v>
      </c>
      <c r="K66" s="3">
        <f t="shared" si="28"/>
        <v>0</v>
      </c>
      <c r="L66" s="3">
        <f t="shared" si="28"/>
        <v>0</v>
      </c>
      <c r="M66" s="3">
        <f t="shared" si="28"/>
        <v>0</v>
      </c>
      <c r="N66" s="3">
        <f t="shared" si="28"/>
        <v>0</v>
      </c>
      <c r="O66" s="3">
        <f>O82+O98</f>
        <v>0</v>
      </c>
      <c r="P66" s="4">
        <f t="shared" si="28"/>
        <v>0</v>
      </c>
      <c r="Q66" s="4">
        <f t="shared" si="28"/>
        <v>10.198499855403389</v>
      </c>
      <c r="R66" s="4">
        <f t="shared" si="29"/>
        <v>2.8636778148070241</v>
      </c>
      <c r="S66" s="4">
        <f t="shared" si="29"/>
        <v>0.81889719172470266</v>
      </c>
      <c r="T66" s="4">
        <f t="shared" si="29"/>
        <v>1.7071585139416181</v>
      </c>
      <c r="U66" s="4">
        <f t="shared" si="29"/>
        <v>2.8176839238984837</v>
      </c>
      <c r="V66" s="4">
        <f t="shared" si="29"/>
        <v>3.3174671922393695</v>
      </c>
      <c r="W66" s="4">
        <f t="shared" si="29"/>
        <v>3.9974194225661619</v>
      </c>
      <c r="X66" s="4">
        <f t="shared" si="29"/>
        <v>4.0145450215599938</v>
      </c>
      <c r="Y66" s="4">
        <f t="shared" si="29"/>
        <v>5.1137423919907947</v>
      </c>
      <c r="Z66" s="4">
        <f t="shared" si="29"/>
        <v>5.6250149023869191</v>
      </c>
    </row>
    <row r="67" spans="1:26" ht="13.5" thickBot="1">
      <c r="A67" s="2" t="s">
        <v>29</v>
      </c>
      <c r="B67" s="3">
        <f>SUM(B55:B66)</f>
        <v>0</v>
      </c>
      <c r="C67" s="3">
        <f t="shared" ref="C67:J67" si="30">SUM(C55:C66)</f>
        <v>0</v>
      </c>
      <c r="D67" s="3">
        <f t="shared" si="30"/>
        <v>1741</v>
      </c>
      <c r="E67" s="3">
        <f t="shared" si="30"/>
        <v>395777</v>
      </c>
      <c r="F67" s="3">
        <f t="shared" si="30"/>
        <v>8859</v>
      </c>
      <c r="G67" s="3">
        <f t="shared" si="30"/>
        <v>0</v>
      </c>
      <c r="H67" s="3">
        <f t="shared" si="30"/>
        <v>0</v>
      </c>
      <c r="I67" s="3">
        <f t="shared" si="30"/>
        <v>459</v>
      </c>
      <c r="J67" s="3">
        <f t="shared" si="30"/>
        <v>11256</v>
      </c>
      <c r="K67" s="3">
        <f>SUM(K55:K66)</f>
        <v>0</v>
      </c>
      <c r="L67" s="3">
        <f>SUM(L55:L66)</f>
        <v>0</v>
      </c>
      <c r="M67" s="3">
        <f>SUM(M55:M66)</f>
        <v>0</v>
      </c>
      <c r="N67" s="3">
        <f>SUM(N55:N66)</f>
        <v>0</v>
      </c>
      <c r="O67" s="3">
        <f>SUM(O55:O66)</f>
        <v>0</v>
      </c>
      <c r="P67" s="4">
        <f t="shared" ref="P67:X67" si="31">SUM(P55:P66)</f>
        <v>0</v>
      </c>
      <c r="Q67" s="4">
        <f t="shared" si="31"/>
        <v>15.406196887465326</v>
      </c>
      <c r="R67" s="4">
        <f t="shared" si="31"/>
        <v>73.076815348223633</v>
      </c>
      <c r="S67" s="4">
        <f t="shared" si="31"/>
        <v>20.89704315178961</v>
      </c>
      <c r="T67" s="4">
        <f t="shared" si="31"/>
        <v>43.564156152065742</v>
      </c>
      <c r="U67" s="4">
        <f t="shared" si="31"/>
        <v>71.903119391335366</v>
      </c>
      <c r="V67" s="4">
        <f t="shared" si="31"/>
        <v>84.656847979737961</v>
      </c>
      <c r="W67" s="4">
        <f t="shared" si="31"/>
        <v>102.00822156104009</v>
      </c>
      <c r="X67" s="4">
        <f t="shared" si="31"/>
        <v>102.44524147610488</v>
      </c>
      <c r="Y67" s="4">
        <f>SUM(Y55:Y66)</f>
        <v>130.49512992895004</v>
      </c>
      <c r="Z67" s="4">
        <f>SUM(Z55:Z66)</f>
        <v>143.54204695350265</v>
      </c>
    </row>
    <row r="68" spans="1:26">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spans="1:26" ht="16.5" thickBot="1">
      <c r="A69" s="109" t="s">
        <v>545</v>
      </c>
    </row>
    <row r="70" spans="1:26" ht="13.5" thickBot="1">
      <c r="A70" s="110"/>
      <c r="B70" s="111">
        <v>2010</v>
      </c>
      <c r="C70" s="111">
        <v>2011</v>
      </c>
      <c r="D70" s="111">
        <v>2012</v>
      </c>
      <c r="E70" s="111">
        <v>2013</v>
      </c>
      <c r="F70" s="111">
        <v>2014</v>
      </c>
      <c r="G70" s="111">
        <v>2015</v>
      </c>
      <c r="H70" s="111">
        <v>2016</v>
      </c>
      <c r="I70" s="111">
        <v>2017</v>
      </c>
      <c r="J70" s="111">
        <v>2018</v>
      </c>
      <c r="K70" s="111">
        <v>2019</v>
      </c>
      <c r="L70" s="111">
        <v>2020</v>
      </c>
      <c r="M70" s="111">
        <v>2021</v>
      </c>
      <c r="N70" s="111">
        <v>2022</v>
      </c>
      <c r="O70" s="111">
        <v>2023</v>
      </c>
      <c r="P70" s="111">
        <v>2024</v>
      </c>
      <c r="Q70" s="111">
        <v>2025</v>
      </c>
      <c r="R70" s="111">
        <v>2026</v>
      </c>
      <c r="S70" s="111">
        <v>2027</v>
      </c>
      <c r="T70" s="111">
        <v>2028</v>
      </c>
      <c r="U70" s="111">
        <v>2029</v>
      </c>
      <c r="V70" s="111">
        <v>2030</v>
      </c>
      <c r="W70" s="111">
        <v>2031</v>
      </c>
      <c r="X70" s="111">
        <v>2032</v>
      </c>
      <c r="Y70" s="111">
        <v>2033</v>
      </c>
      <c r="Z70" s="111">
        <v>2034</v>
      </c>
    </row>
    <row r="71" spans="1:26">
      <c r="A71" s="2" t="s">
        <v>43</v>
      </c>
      <c r="B71" s="3">
        <f>'Monthly D7 RIN Data'!$K4</f>
        <v>0</v>
      </c>
      <c r="C71" s="3">
        <f>'Monthly D7 RIN Data'!$K16</f>
        <v>0</v>
      </c>
      <c r="D71" s="3">
        <f>'Monthly D7 RIN Data'!$K28</f>
        <v>0</v>
      </c>
      <c r="E71" s="3">
        <f>'Monthly D7 RIN Data'!$K40</f>
        <v>0</v>
      </c>
      <c r="F71" s="3">
        <f>'Monthly D7 RIN Data'!$K52</f>
        <v>0</v>
      </c>
      <c r="G71" s="3">
        <f>'Monthly D7 RIN Data'!$K64</f>
        <v>0</v>
      </c>
      <c r="H71" s="3">
        <f>'Monthly D7 RIN Data'!$K76</f>
        <v>0</v>
      </c>
      <c r="I71" s="3">
        <f>'Monthly D7 RIN Data'!$K88</f>
        <v>0</v>
      </c>
      <c r="J71" s="3">
        <f>'Monthly D7 RIN Data'!$K100</f>
        <v>0</v>
      </c>
      <c r="K71" s="3">
        <f>'Monthly D7 RIN Data'!$K112</f>
        <v>0</v>
      </c>
      <c r="L71" s="3">
        <f>'Monthly D7 RIN Data'!$K124</f>
        <v>0</v>
      </c>
      <c r="M71" s="3">
        <f>'Monthly D7 RIN Data'!$K136</f>
        <v>0</v>
      </c>
      <c r="N71" s="3">
        <f>'Monthly D7 RIN Data'!$K148</f>
        <v>0</v>
      </c>
      <c r="O71" s="3">
        <f>'Monthly D7 RIN Data'!$K160</f>
        <v>0</v>
      </c>
      <c r="P71" s="3">
        <f>'Monthly D7 RIN Data'!$K172</f>
        <v>0</v>
      </c>
      <c r="Q71" s="3">
        <f>'Monthly D7 RIN Data'!$K184</f>
        <v>0</v>
      </c>
      <c r="R71" s="4">
        <f>'D7 Gallon Forecast'!R69*AVERAGE($AE$5:$AG$5,$AJ$5:$AK$5)</f>
        <v>0</v>
      </c>
      <c r="S71" s="4">
        <f>'D7 Gallon Forecast'!S69*AVERAGE($AE$5:$AG$5,$AJ$5:$AK$5)</f>
        <v>0</v>
      </c>
      <c r="T71" s="4">
        <f>'D7 Gallon Forecast'!T69*AVERAGE($AE$5:$AG$5,$AJ$5:$AK$5)</f>
        <v>0</v>
      </c>
      <c r="U71" s="4">
        <f>'D7 Gallon Forecast'!U69*AVERAGE($AE$5:$AG$5,$AJ$5:$AK$5)</f>
        <v>0</v>
      </c>
      <c r="V71" s="4">
        <f>'D7 Gallon Forecast'!V69*AVERAGE($AE$5:$AG$5,$AJ$5:$AK$5)</f>
        <v>0</v>
      </c>
      <c r="W71" s="4">
        <f>'D7 Gallon Forecast'!W69*AVERAGE($AE$5:$AG$5,$AJ$5:$AK$5)</f>
        <v>0</v>
      </c>
      <c r="X71" s="4">
        <f>'D7 Gallon Forecast'!X69*AVERAGE($AE$5:$AG$5,$AJ$5:$AK$5)</f>
        <v>0</v>
      </c>
      <c r="Y71" s="4">
        <f>'D7 Gallon Forecast'!Y69*AVERAGE($AE$5:$AG$5,$AJ$5:$AK$5)</f>
        <v>0</v>
      </c>
      <c r="Z71" s="4">
        <f>'D7 Gallon Forecast'!Z69*AVERAGE($AE$5:$AG$5,$AJ$5:$AK$5)</f>
        <v>0</v>
      </c>
    </row>
    <row r="72" spans="1:26">
      <c r="A72" s="2" t="s">
        <v>44</v>
      </c>
      <c r="B72" s="3">
        <f>'Monthly D7 RIN Data'!$K5</f>
        <v>0</v>
      </c>
      <c r="C72" s="3">
        <f>'Monthly D7 RIN Data'!$K17</f>
        <v>0</v>
      </c>
      <c r="D72" s="3">
        <f>'Monthly D7 RIN Data'!$K29</f>
        <v>0</v>
      </c>
      <c r="E72" s="3">
        <f>'Monthly D7 RIN Data'!$K41</f>
        <v>0</v>
      </c>
      <c r="F72" s="3">
        <f>'Monthly D7 RIN Data'!$K53</f>
        <v>0</v>
      </c>
      <c r="G72" s="3">
        <f>'Monthly D7 RIN Data'!$K65</f>
        <v>0</v>
      </c>
      <c r="H72" s="3">
        <f>'Monthly D7 RIN Data'!$K77</f>
        <v>0</v>
      </c>
      <c r="I72" s="3">
        <f>'Monthly D7 RIN Data'!$K89</f>
        <v>0</v>
      </c>
      <c r="J72" s="3">
        <f>'Monthly D7 RIN Data'!$K101</f>
        <v>0</v>
      </c>
      <c r="K72" s="3">
        <f>'Monthly D7 RIN Data'!$K113</f>
        <v>0</v>
      </c>
      <c r="L72" s="3">
        <f>'Monthly D7 RIN Data'!$K125</f>
        <v>0</v>
      </c>
      <c r="M72" s="3">
        <f>'Monthly D7 RIN Data'!$K137</f>
        <v>0</v>
      </c>
      <c r="N72" s="3">
        <f>'Monthly D7 RIN Data'!$K149</f>
        <v>0</v>
      </c>
      <c r="O72" s="3">
        <f>'Monthly D7 RIN Data'!$K161</f>
        <v>0</v>
      </c>
      <c r="P72" s="3">
        <f>'Monthly D7 RIN Data'!$K173</f>
        <v>0</v>
      </c>
      <c r="Q72" s="3">
        <f>'Monthly D7 RIN Data'!$K185</f>
        <v>0</v>
      </c>
      <c r="R72" s="4">
        <f>'D7 Gallon Forecast'!R70*AVERAGE($AE$5:$AG$5,$AJ$5:$AK$5)</f>
        <v>0</v>
      </c>
      <c r="S72" s="4">
        <f>'D7 Gallon Forecast'!S70*AVERAGE($AE$5:$AG$5,$AJ$5:$AK$5)</f>
        <v>0</v>
      </c>
      <c r="T72" s="4">
        <f>'D7 Gallon Forecast'!T70*AVERAGE($AE$5:$AG$5,$AJ$5:$AK$5)</f>
        <v>0</v>
      </c>
      <c r="U72" s="4">
        <f>'D7 Gallon Forecast'!U70*AVERAGE($AE$5:$AG$5,$AJ$5:$AK$5)</f>
        <v>0</v>
      </c>
      <c r="V72" s="4">
        <f>'D7 Gallon Forecast'!V70*AVERAGE($AE$5:$AG$5,$AJ$5:$AK$5)</f>
        <v>0</v>
      </c>
      <c r="W72" s="4">
        <f>'D7 Gallon Forecast'!W70*AVERAGE($AE$5:$AG$5,$AJ$5:$AK$5)</f>
        <v>0</v>
      </c>
      <c r="X72" s="4">
        <f>'D7 Gallon Forecast'!X70*AVERAGE($AE$5:$AG$5,$AJ$5:$AK$5)</f>
        <v>0</v>
      </c>
      <c r="Y72" s="4">
        <f>'D7 Gallon Forecast'!Y70*AVERAGE($AE$5:$AG$5,$AJ$5:$AK$5)</f>
        <v>0</v>
      </c>
      <c r="Z72" s="4">
        <f>'D7 Gallon Forecast'!Z70*AVERAGE($AE$5:$AG$5,$AJ$5:$AK$5)</f>
        <v>0</v>
      </c>
    </row>
    <row r="73" spans="1:26">
      <c r="A73" s="2" t="s">
        <v>45</v>
      </c>
      <c r="B73" s="3">
        <f>'Monthly D7 RIN Data'!$K6</f>
        <v>0</v>
      </c>
      <c r="C73" s="3">
        <f>'Monthly D7 RIN Data'!$K18</f>
        <v>0</v>
      </c>
      <c r="D73" s="3">
        <f>'Monthly D7 RIN Data'!$K30</f>
        <v>0</v>
      </c>
      <c r="E73" s="3">
        <f>'Monthly D7 RIN Data'!$K42</f>
        <v>16664</v>
      </c>
      <c r="F73" s="3">
        <f>'Monthly D7 RIN Data'!$K54</f>
        <v>0</v>
      </c>
      <c r="G73" s="3">
        <f>'Monthly D7 RIN Data'!$K66</f>
        <v>0</v>
      </c>
      <c r="H73" s="3">
        <f>'Monthly D7 RIN Data'!$K78</f>
        <v>0</v>
      </c>
      <c r="I73" s="3">
        <f>'Monthly D7 RIN Data'!$K90</f>
        <v>0</v>
      </c>
      <c r="J73" s="3">
        <f>'Monthly D7 RIN Data'!$K102</f>
        <v>7296</v>
      </c>
      <c r="K73" s="3">
        <f>'Monthly D7 RIN Data'!$K114</f>
        <v>0</v>
      </c>
      <c r="L73" s="3">
        <f>'Monthly D7 RIN Data'!$K126</f>
        <v>0</v>
      </c>
      <c r="M73" s="3">
        <f>'Monthly D7 RIN Data'!$K138</f>
        <v>0</v>
      </c>
      <c r="N73" s="3">
        <f>'Monthly D7 RIN Data'!$K150</f>
        <v>0</v>
      </c>
      <c r="O73" s="3">
        <f>'Monthly D7 RIN Data'!$K162</f>
        <v>0</v>
      </c>
      <c r="P73" s="3">
        <f>'Monthly D7 RIN Data'!$K174</f>
        <v>0</v>
      </c>
      <c r="Q73" s="3">
        <f>'Monthly D7 RIN Data'!$K186</f>
        <v>0</v>
      </c>
      <c r="R73" s="4">
        <f>'D7 Gallon Forecast'!R71*AVERAGE($AE$5:$AG$5,$AJ$5:$AK$5)</f>
        <v>45.511264827173818</v>
      </c>
      <c r="S73" s="4">
        <f>'D7 Gallon Forecast'!S71*AVERAGE($AE$5:$AG$5,$AJ$5:$AK$5)</f>
        <v>13.014399443298871</v>
      </c>
      <c r="T73" s="4">
        <f>'D7 Gallon Forecast'!T71*AVERAGE($AE$5:$AG$5,$AJ$5:$AK$5)</f>
        <v>27.13117475304994</v>
      </c>
      <c r="U73" s="4">
        <f>'D7 Gallon Forecast'!U71*AVERAGE($AE$5:$AG$5,$AJ$5:$AK$5)</f>
        <v>44.780302657216261</v>
      </c>
      <c r="V73" s="4">
        <f>'D7 Gallon Forecast'!V71*AVERAGE($AE$5:$AG$5,$AJ$5:$AK$5)</f>
        <v>52.723154525552339</v>
      </c>
      <c r="W73" s="4">
        <f>'D7 Gallon Forecast'!W71*AVERAGE($AE$5:$AG$5,$AJ$5:$AK$5)</f>
        <v>63.529358304560667</v>
      </c>
      <c r="X73" s="4">
        <f>'D7 Gallon Forecast'!X71*AVERAGE($AE$5:$AG$5,$AJ$5:$AK$5)</f>
        <v>63.801528472273738</v>
      </c>
      <c r="Y73" s="4">
        <f>'D7 Gallon Forecast'!Y71*AVERAGE($AE$5:$AG$5,$AJ$5:$AK$5)</f>
        <v>81.270624459379476</v>
      </c>
      <c r="Z73" s="4">
        <f>'D7 Gallon Forecast'!Z71*AVERAGE($AE$5:$AG$5,$AJ$5:$AK$5)</f>
        <v>89.39607017089692</v>
      </c>
    </row>
    <row r="74" spans="1:26">
      <c r="A74" s="2" t="s">
        <v>46</v>
      </c>
      <c r="B74" s="3">
        <f>'Monthly D7 RIN Data'!$K7</f>
        <v>0</v>
      </c>
      <c r="C74" s="3">
        <f>'Monthly D7 RIN Data'!$K19</f>
        <v>0</v>
      </c>
      <c r="D74" s="3">
        <f>'Monthly D7 RIN Data'!$K31</f>
        <v>0</v>
      </c>
      <c r="E74" s="3">
        <f>'Monthly D7 RIN Data'!$K43</f>
        <v>0</v>
      </c>
      <c r="F74" s="3">
        <f>'Monthly D7 RIN Data'!$K55</f>
        <v>8859</v>
      </c>
      <c r="G74" s="3">
        <f>'Monthly D7 RIN Data'!$K67</f>
        <v>0</v>
      </c>
      <c r="H74" s="3">
        <f>'Monthly D7 RIN Data'!$K79</f>
        <v>0</v>
      </c>
      <c r="I74" s="3">
        <f>'Monthly D7 RIN Data'!$K91</f>
        <v>0</v>
      </c>
      <c r="J74" s="3">
        <f>'Monthly D7 RIN Data'!$K103</f>
        <v>3960</v>
      </c>
      <c r="K74" s="3">
        <f>'Monthly D7 RIN Data'!$K115</f>
        <v>0</v>
      </c>
      <c r="L74" s="3">
        <f>'Monthly D7 RIN Data'!$K127</f>
        <v>0</v>
      </c>
      <c r="M74" s="3">
        <f>'Monthly D7 RIN Data'!$K139</f>
        <v>0</v>
      </c>
      <c r="N74" s="3">
        <f>'Monthly D7 RIN Data'!$K151</f>
        <v>0</v>
      </c>
      <c r="O74" s="3">
        <f>'Monthly D7 RIN Data'!$K163</f>
        <v>0</v>
      </c>
      <c r="P74" s="3">
        <f>'Monthly D7 RIN Data'!$K175</f>
        <v>0</v>
      </c>
      <c r="Q74" s="4">
        <f>'D7 Gallon Forecast'!Q72*AVERAGE($AE$5:$AG$5,$AJ$5:$AK$5)</f>
        <v>5.2076970320619367</v>
      </c>
      <c r="R74" s="4">
        <f>'D7 Gallon Forecast'!R72*AVERAGE($AE$5:$AG$5,$AJ$5:$AK$5)</f>
        <v>24.701872706242792</v>
      </c>
      <c r="S74" s="4">
        <f>'D7 Gallon Forecast'!S72*AVERAGE($AE$5:$AG$5,$AJ$5:$AK$5)</f>
        <v>7.0637465167660389</v>
      </c>
      <c r="T74" s="4">
        <f>'D7 Gallon Forecast'!T72*AVERAGE($AE$5:$AG$5,$AJ$5:$AK$5)</f>
        <v>14.72582288507418</v>
      </c>
      <c r="U74" s="4">
        <f>'D7 Gallon Forecast'!U72*AVERAGE($AE$5:$AG$5,$AJ$5:$AK$5)</f>
        <v>24.305132810220616</v>
      </c>
      <c r="V74" s="4">
        <f>'D7 Gallon Forecast'!V72*AVERAGE($AE$5:$AG$5,$AJ$5:$AK$5)</f>
        <v>28.61622626194626</v>
      </c>
      <c r="W74" s="4">
        <f>'D7 Gallon Forecast'!W72*AVERAGE($AE$5:$AG$5,$AJ$5:$AK$5)</f>
        <v>34.481443833913254</v>
      </c>
      <c r="X74" s="4">
        <f>'D7 Gallon Forecast'!X72*AVERAGE($AE$5:$AG$5,$AJ$5:$AK$5)</f>
        <v>34.629167982271156</v>
      </c>
      <c r="Y74" s="4">
        <f>'D7 Gallon Forecast'!Y72*AVERAGE($AE$5:$AG$5,$AJ$5:$AK$5)</f>
        <v>44.110763077579776</v>
      </c>
      <c r="Z74" s="4">
        <f>'D7 Gallon Forecast'!Z72*AVERAGE($AE$5:$AG$5,$AJ$5:$AK$5)</f>
        <v>48.520961880218813</v>
      </c>
    </row>
    <row r="75" spans="1:26">
      <c r="A75" s="2" t="s">
        <v>47</v>
      </c>
      <c r="B75" s="3">
        <f>'Monthly D7 RIN Data'!$K8</f>
        <v>0</v>
      </c>
      <c r="C75" s="3">
        <f>'Monthly D7 RIN Data'!$K20</f>
        <v>0</v>
      </c>
      <c r="D75" s="3">
        <f>'Monthly D7 RIN Data'!$K32</f>
        <v>0</v>
      </c>
      <c r="E75" s="3">
        <f>'Monthly D7 RIN Data'!$K44</f>
        <v>0</v>
      </c>
      <c r="F75" s="3">
        <f>'Monthly D7 RIN Data'!$K56</f>
        <v>0</v>
      </c>
      <c r="G75" s="3">
        <f>'Monthly D7 RIN Data'!$K68</f>
        <v>0</v>
      </c>
      <c r="H75" s="3">
        <f>'Monthly D7 RIN Data'!$K80</f>
        <v>0</v>
      </c>
      <c r="I75" s="3">
        <f>'Monthly D7 RIN Data'!$K92</f>
        <v>0</v>
      </c>
      <c r="J75" s="3">
        <f>'Monthly D7 RIN Data'!$K104</f>
        <v>0</v>
      </c>
      <c r="K75" s="3">
        <f>'Monthly D7 RIN Data'!$K116</f>
        <v>0</v>
      </c>
      <c r="L75" s="3">
        <f>'Monthly D7 RIN Data'!$K128</f>
        <v>0</v>
      </c>
      <c r="M75" s="3">
        <f>'Monthly D7 RIN Data'!$K140</f>
        <v>0</v>
      </c>
      <c r="N75" s="3">
        <f>'Monthly D7 RIN Data'!$K152</f>
        <v>0</v>
      </c>
      <c r="O75" s="3">
        <f>'Monthly D7 RIN Data'!$K164</f>
        <v>0</v>
      </c>
      <c r="P75" s="3">
        <f>'Monthly D7 RIN Data'!$K176</f>
        <v>0</v>
      </c>
      <c r="Q75" s="4">
        <f>'D7 Gallon Forecast'!Q73*AVERAGE($AE$5:$AG$5,$AJ$5:$AK$5)</f>
        <v>0</v>
      </c>
      <c r="R75" s="4">
        <f>'D7 Gallon Forecast'!R73*AVERAGE($AE$5:$AG$5,$AJ$5:$AK$5)</f>
        <v>0</v>
      </c>
      <c r="S75" s="4">
        <f>'D7 Gallon Forecast'!S73*AVERAGE($AE$5:$AG$5,$AJ$5:$AK$5)</f>
        <v>0</v>
      </c>
      <c r="T75" s="4">
        <f>'D7 Gallon Forecast'!T73*AVERAGE($AE$5:$AG$5,$AJ$5:$AK$5)</f>
        <v>0</v>
      </c>
      <c r="U75" s="4">
        <f>'D7 Gallon Forecast'!U73*AVERAGE($AE$5:$AG$5,$AJ$5:$AK$5)</f>
        <v>0</v>
      </c>
      <c r="V75" s="4">
        <f>'D7 Gallon Forecast'!V73*AVERAGE($AE$5:$AG$5,$AJ$5:$AK$5)</f>
        <v>0</v>
      </c>
      <c r="W75" s="4">
        <f>'D7 Gallon Forecast'!W73*AVERAGE($AE$5:$AG$5,$AJ$5:$AK$5)</f>
        <v>0</v>
      </c>
      <c r="X75" s="4">
        <f>'D7 Gallon Forecast'!X73*AVERAGE($AE$5:$AG$5,$AJ$5:$AK$5)</f>
        <v>0</v>
      </c>
      <c r="Y75" s="4">
        <f>'D7 Gallon Forecast'!Y73*AVERAGE($AE$5:$AG$5,$AJ$5:$AK$5)</f>
        <v>0</v>
      </c>
      <c r="Z75" s="4">
        <f>'D7 Gallon Forecast'!Z73*AVERAGE($AE$5:$AG$5,$AJ$5:$AK$5)</f>
        <v>0</v>
      </c>
    </row>
    <row r="76" spans="1:26">
      <c r="A76" s="2" t="s">
        <v>48</v>
      </c>
      <c r="B76" s="3">
        <f>'Monthly D7 RIN Data'!$K9</f>
        <v>0</v>
      </c>
      <c r="C76" s="3">
        <f>'Monthly D7 RIN Data'!$K21</f>
        <v>0</v>
      </c>
      <c r="D76" s="3">
        <f>'Monthly D7 RIN Data'!$K33</f>
        <v>0</v>
      </c>
      <c r="E76" s="3">
        <f>'Monthly D7 RIN Data'!$K45</f>
        <v>32728</v>
      </c>
      <c r="F76" s="3">
        <f>'Monthly D7 RIN Data'!$K57</f>
        <v>0</v>
      </c>
      <c r="G76" s="3">
        <f>'Monthly D7 RIN Data'!$K69</f>
        <v>0</v>
      </c>
      <c r="H76" s="3">
        <f>'Monthly D7 RIN Data'!$K81</f>
        <v>0</v>
      </c>
      <c r="I76" s="3">
        <f>'Monthly D7 RIN Data'!$K93</f>
        <v>0</v>
      </c>
      <c r="J76" s="3">
        <f>'Monthly D7 RIN Data'!$K105</f>
        <v>0</v>
      </c>
      <c r="K76" s="3">
        <f>'Monthly D7 RIN Data'!$K117</f>
        <v>0</v>
      </c>
      <c r="L76" s="3">
        <f>'Monthly D7 RIN Data'!$K129</f>
        <v>0</v>
      </c>
      <c r="M76" s="3">
        <f>'Monthly D7 RIN Data'!$K141</f>
        <v>0</v>
      </c>
      <c r="N76" s="3">
        <f>'Monthly D7 RIN Data'!$K153</f>
        <v>0</v>
      </c>
      <c r="O76" s="3">
        <f>'Monthly D7 RIN Data'!$K165</f>
        <v>0</v>
      </c>
      <c r="P76" s="3">
        <f>'Monthly D7 RIN Data'!$K177</f>
        <v>0</v>
      </c>
      <c r="Q76" s="4">
        <f>'D7 Gallon Forecast'!Q74*AVERAGE($AE$5:$AG$5,$AJ$5:$AK$5)</f>
        <v>0</v>
      </c>
      <c r="R76" s="4">
        <f>'D7 Gallon Forecast'!R74*AVERAGE($AE$5:$AG$5,$AJ$5:$AK$5)</f>
        <v>0</v>
      </c>
      <c r="S76" s="4">
        <f>'D7 Gallon Forecast'!S74*AVERAGE($AE$5:$AG$5,$AJ$5:$AK$5)</f>
        <v>0</v>
      </c>
      <c r="T76" s="4">
        <f>'D7 Gallon Forecast'!T74*AVERAGE($AE$5:$AG$5,$AJ$5:$AK$5)</f>
        <v>0</v>
      </c>
      <c r="U76" s="4">
        <f>'D7 Gallon Forecast'!U74*AVERAGE($AE$5:$AG$5,$AJ$5:$AK$5)</f>
        <v>0</v>
      </c>
      <c r="V76" s="4">
        <f>'D7 Gallon Forecast'!V74*AVERAGE($AE$5:$AG$5,$AJ$5:$AK$5)</f>
        <v>0</v>
      </c>
      <c r="W76" s="4">
        <f>'D7 Gallon Forecast'!W74*AVERAGE($AE$5:$AG$5,$AJ$5:$AK$5)</f>
        <v>0</v>
      </c>
      <c r="X76" s="4">
        <f>'D7 Gallon Forecast'!X74*AVERAGE($AE$5:$AG$5,$AJ$5:$AK$5)</f>
        <v>0</v>
      </c>
      <c r="Y76" s="4">
        <f>'D7 Gallon Forecast'!Y74*AVERAGE($AE$5:$AG$5,$AJ$5:$AK$5)</f>
        <v>0</v>
      </c>
      <c r="Z76" s="4">
        <f>'D7 Gallon Forecast'!Z74*AVERAGE($AE$5:$AG$5,$AJ$5:$AK$5)</f>
        <v>0</v>
      </c>
    </row>
    <row r="77" spans="1:26">
      <c r="A77" s="2" t="s">
        <v>49</v>
      </c>
      <c r="B77" s="3">
        <f>'Monthly D7 RIN Data'!$K10</f>
        <v>0</v>
      </c>
      <c r="C77" s="3">
        <f>'Monthly D7 RIN Data'!$K22</f>
        <v>0</v>
      </c>
      <c r="D77" s="3">
        <f>'Monthly D7 RIN Data'!$K34</f>
        <v>0</v>
      </c>
      <c r="E77" s="3">
        <f>'Monthly D7 RIN Data'!$K46</f>
        <v>44253</v>
      </c>
      <c r="F77" s="3">
        <f>'Monthly D7 RIN Data'!$K58</f>
        <v>0</v>
      </c>
      <c r="G77" s="3">
        <f>'Monthly D7 RIN Data'!$K70</f>
        <v>0</v>
      </c>
      <c r="H77" s="3">
        <f>'Monthly D7 RIN Data'!$K82</f>
        <v>0</v>
      </c>
      <c r="I77" s="3">
        <f>'Monthly D7 RIN Data'!$K94</f>
        <v>0</v>
      </c>
      <c r="J77" s="3">
        <f>'Monthly D7 RIN Data'!$K106</f>
        <v>0</v>
      </c>
      <c r="K77" s="3">
        <f>'Monthly D7 RIN Data'!$K118</f>
        <v>0</v>
      </c>
      <c r="L77" s="3">
        <f>'Monthly D7 RIN Data'!$K130</f>
        <v>0</v>
      </c>
      <c r="M77" s="3">
        <f>'Monthly D7 RIN Data'!$K142</f>
        <v>0</v>
      </c>
      <c r="N77" s="3">
        <f>'Monthly D7 RIN Data'!$K154</f>
        <v>0</v>
      </c>
      <c r="O77" s="3">
        <f>'Monthly D7 RIN Data'!$K166</f>
        <v>0</v>
      </c>
      <c r="P77" s="3">
        <f>'Monthly D7 RIN Data'!$K178</f>
        <v>0</v>
      </c>
      <c r="Q77" s="4">
        <f>'D7 Gallon Forecast'!Q75*AVERAGE($AE$5:$AG$5,$AJ$5:$AK$5)</f>
        <v>0</v>
      </c>
      <c r="R77" s="4">
        <f>'D7 Gallon Forecast'!R75*AVERAGE($AE$5:$AG$5,$AJ$5:$AK$5)</f>
        <v>0</v>
      </c>
      <c r="S77" s="4">
        <f>'D7 Gallon Forecast'!S75*AVERAGE($AE$5:$AG$5,$AJ$5:$AK$5)</f>
        <v>0</v>
      </c>
      <c r="T77" s="4">
        <f>'D7 Gallon Forecast'!T75*AVERAGE($AE$5:$AG$5,$AJ$5:$AK$5)</f>
        <v>0</v>
      </c>
      <c r="U77" s="4">
        <f>'D7 Gallon Forecast'!U75*AVERAGE($AE$5:$AG$5,$AJ$5:$AK$5)</f>
        <v>0</v>
      </c>
      <c r="V77" s="4">
        <f>'D7 Gallon Forecast'!V75*AVERAGE($AE$5:$AG$5,$AJ$5:$AK$5)</f>
        <v>0</v>
      </c>
      <c r="W77" s="4">
        <f>'D7 Gallon Forecast'!W75*AVERAGE($AE$5:$AG$5,$AJ$5:$AK$5)</f>
        <v>0</v>
      </c>
      <c r="X77" s="4">
        <f>'D7 Gallon Forecast'!X75*AVERAGE($AE$5:$AG$5,$AJ$5:$AK$5)</f>
        <v>0</v>
      </c>
      <c r="Y77" s="4">
        <f>'D7 Gallon Forecast'!Y75*AVERAGE($AE$5:$AG$5,$AJ$5:$AK$5)</f>
        <v>0</v>
      </c>
      <c r="Z77" s="4">
        <f>'D7 Gallon Forecast'!Z75*AVERAGE($AE$5:$AG$5,$AJ$5:$AK$5)</f>
        <v>0</v>
      </c>
    </row>
    <row r="78" spans="1:26">
      <c r="A78" s="2" t="s">
        <v>50</v>
      </c>
      <c r="B78" s="3">
        <f>'Monthly D7 RIN Data'!$K11</f>
        <v>0</v>
      </c>
      <c r="C78" s="3">
        <f>'Monthly D7 RIN Data'!$K23</f>
        <v>0</v>
      </c>
      <c r="D78" s="3">
        <f>'Monthly D7 RIN Data'!$K35</f>
        <v>0</v>
      </c>
      <c r="E78" s="3">
        <f>'Monthly D7 RIN Data'!$K47</f>
        <v>0</v>
      </c>
      <c r="F78" s="3">
        <f>'Monthly D7 RIN Data'!$K59</f>
        <v>0</v>
      </c>
      <c r="G78" s="3">
        <f>'Monthly D7 RIN Data'!$K71</f>
        <v>0</v>
      </c>
      <c r="H78" s="3">
        <f>'Monthly D7 RIN Data'!$K83</f>
        <v>0</v>
      </c>
      <c r="I78" s="3">
        <f>'Monthly D7 RIN Data'!$K95</f>
        <v>0</v>
      </c>
      <c r="J78" s="3">
        <f>'Monthly D7 RIN Data'!$K107</f>
        <v>0</v>
      </c>
      <c r="K78" s="3">
        <f>'Monthly D7 RIN Data'!$K119</f>
        <v>0</v>
      </c>
      <c r="L78" s="3">
        <f>'Monthly D7 RIN Data'!$K131</f>
        <v>0</v>
      </c>
      <c r="M78" s="3">
        <f>'Monthly D7 RIN Data'!$K143</f>
        <v>0</v>
      </c>
      <c r="N78" s="3">
        <f>'Monthly D7 RIN Data'!$K155</f>
        <v>0</v>
      </c>
      <c r="O78" s="3">
        <f>'Monthly D7 RIN Data'!$K167</f>
        <v>0</v>
      </c>
      <c r="P78" s="3">
        <f>'Monthly D7 RIN Data'!$K179</f>
        <v>0</v>
      </c>
      <c r="Q78" s="4">
        <f>'D7 Gallon Forecast'!Q76*AVERAGE($AE$5:$AG$5,$AJ$5:$AK$5)</f>
        <v>0</v>
      </c>
      <c r="R78" s="4">
        <f>'D7 Gallon Forecast'!R76*AVERAGE($AE$5:$AG$5,$AJ$5:$AK$5)</f>
        <v>0</v>
      </c>
      <c r="S78" s="4">
        <f>'D7 Gallon Forecast'!S76*AVERAGE($AE$5:$AG$5,$AJ$5:$AK$5)</f>
        <v>0</v>
      </c>
      <c r="T78" s="4">
        <f>'D7 Gallon Forecast'!T76*AVERAGE($AE$5:$AG$5,$AJ$5:$AK$5)</f>
        <v>0</v>
      </c>
      <c r="U78" s="4">
        <f>'D7 Gallon Forecast'!U76*AVERAGE($AE$5:$AG$5,$AJ$5:$AK$5)</f>
        <v>0</v>
      </c>
      <c r="V78" s="4">
        <f>'D7 Gallon Forecast'!V76*AVERAGE($AE$5:$AG$5,$AJ$5:$AK$5)</f>
        <v>0</v>
      </c>
      <c r="W78" s="4">
        <f>'D7 Gallon Forecast'!W76*AVERAGE($AE$5:$AG$5,$AJ$5:$AK$5)</f>
        <v>0</v>
      </c>
      <c r="X78" s="4">
        <f>'D7 Gallon Forecast'!X76*AVERAGE($AE$5:$AG$5,$AJ$5:$AK$5)</f>
        <v>0</v>
      </c>
      <c r="Y78" s="4">
        <f>'D7 Gallon Forecast'!Y76*AVERAGE($AE$5:$AG$5,$AJ$5:$AK$5)</f>
        <v>0</v>
      </c>
      <c r="Z78" s="4">
        <f>'D7 Gallon Forecast'!Z76*AVERAGE($AE$5:$AG$5,$AJ$5:$AK$5)</f>
        <v>0</v>
      </c>
    </row>
    <row r="79" spans="1:26">
      <c r="A79" s="2" t="s">
        <v>51</v>
      </c>
      <c r="B79" s="3">
        <f>'Monthly D7 RIN Data'!$K12</f>
        <v>0</v>
      </c>
      <c r="C79" s="3">
        <f>'Monthly D7 RIN Data'!$K24</f>
        <v>0</v>
      </c>
      <c r="D79" s="3">
        <f>'Monthly D7 RIN Data'!$K36</f>
        <v>0</v>
      </c>
      <c r="E79" s="3">
        <f>'Monthly D7 RIN Data'!$K48</f>
        <v>123940</v>
      </c>
      <c r="F79" s="3">
        <f>'Monthly D7 RIN Data'!$K60</f>
        <v>0</v>
      </c>
      <c r="G79" s="3">
        <f>'Monthly D7 RIN Data'!$K72</f>
        <v>0</v>
      </c>
      <c r="H79" s="3">
        <f>'Monthly D7 RIN Data'!$K84</f>
        <v>0</v>
      </c>
      <c r="I79" s="3">
        <f>'Monthly D7 RIN Data'!$K96</f>
        <v>0</v>
      </c>
      <c r="J79" s="3">
        <f>'Monthly D7 RIN Data'!$K108</f>
        <v>0</v>
      </c>
      <c r="K79" s="3">
        <f>'Monthly D7 RIN Data'!$K120</f>
        <v>0</v>
      </c>
      <c r="L79" s="3">
        <f>'Monthly D7 RIN Data'!$K132</f>
        <v>0</v>
      </c>
      <c r="M79" s="3">
        <f>'Monthly D7 RIN Data'!$K144</f>
        <v>0</v>
      </c>
      <c r="N79" s="3">
        <f>'Monthly D7 RIN Data'!$K156</f>
        <v>0</v>
      </c>
      <c r="O79" s="3">
        <f>'Monthly D7 RIN Data'!$K168</f>
        <v>0</v>
      </c>
      <c r="P79" s="3">
        <f>'Monthly D7 RIN Data'!$K180</f>
        <v>0</v>
      </c>
      <c r="Q79" s="4">
        <f>'D7 Gallon Forecast'!Q77*AVERAGE($AE$5:$AG$5,$AJ$5:$AK$5)</f>
        <v>0</v>
      </c>
      <c r="R79" s="4">
        <f>'D7 Gallon Forecast'!R77*AVERAGE($AE$5:$AG$5,$AJ$5:$AK$5)</f>
        <v>0</v>
      </c>
      <c r="S79" s="4">
        <f>'D7 Gallon Forecast'!S77*AVERAGE($AE$5:$AG$5,$AJ$5:$AK$5)</f>
        <v>0</v>
      </c>
      <c r="T79" s="4">
        <f>'D7 Gallon Forecast'!T77*AVERAGE($AE$5:$AG$5,$AJ$5:$AK$5)</f>
        <v>0</v>
      </c>
      <c r="U79" s="4">
        <f>'D7 Gallon Forecast'!U77*AVERAGE($AE$5:$AG$5,$AJ$5:$AK$5)</f>
        <v>0</v>
      </c>
      <c r="V79" s="4">
        <f>'D7 Gallon Forecast'!V77*AVERAGE($AE$5:$AG$5,$AJ$5:$AK$5)</f>
        <v>0</v>
      </c>
      <c r="W79" s="4">
        <f>'D7 Gallon Forecast'!W77*AVERAGE($AE$5:$AG$5,$AJ$5:$AK$5)</f>
        <v>0</v>
      </c>
      <c r="X79" s="4">
        <f>'D7 Gallon Forecast'!X77*AVERAGE($AE$5:$AG$5,$AJ$5:$AK$5)</f>
        <v>0</v>
      </c>
      <c r="Y79" s="4">
        <f>'D7 Gallon Forecast'!Y77*AVERAGE($AE$5:$AG$5,$AJ$5:$AK$5)</f>
        <v>0</v>
      </c>
      <c r="Z79" s="4">
        <f>'D7 Gallon Forecast'!Z77*AVERAGE($AE$5:$AG$5,$AJ$5:$AK$5)</f>
        <v>0</v>
      </c>
    </row>
    <row r="80" spans="1:26">
      <c r="A80" s="2" t="s">
        <v>52</v>
      </c>
      <c r="B80" s="3">
        <f>'Monthly D7 RIN Data'!$K13</f>
        <v>0</v>
      </c>
      <c r="C80" s="3">
        <f>'Monthly D7 RIN Data'!$K25</f>
        <v>0</v>
      </c>
      <c r="D80" s="3">
        <f>'Monthly D7 RIN Data'!$K37</f>
        <v>0</v>
      </c>
      <c r="E80" s="3">
        <f>'Monthly D7 RIN Data'!$K49</f>
        <v>60007</v>
      </c>
      <c r="F80" s="3">
        <f>'Monthly D7 RIN Data'!$K61</f>
        <v>0</v>
      </c>
      <c r="G80" s="3">
        <f>'Monthly D7 RIN Data'!$K73</f>
        <v>0</v>
      </c>
      <c r="H80" s="3">
        <f>'Monthly D7 RIN Data'!$K85</f>
        <v>0</v>
      </c>
      <c r="I80" s="3">
        <f>'Monthly D7 RIN Data'!$K97</f>
        <v>0</v>
      </c>
      <c r="J80" s="3">
        <f>'Monthly D7 RIN Data'!$K109</f>
        <v>0</v>
      </c>
      <c r="K80" s="3">
        <f>'Monthly D7 RIN Data'!$K121</f>
        <v>0</v>
      </c>
      <c r="L80" s="3">
        <f>'Monthly D7 RIN Data'!$K133</f>
        <v>0</v>
      </c>
      <c r="M80" s="3">
        <f>'Monthly D7 RIN Data'!$K145</f>
        <v>0</v>
      </c>
      <c r="N80" s="3">
        <f>'Monthly D7 RIN Data'!$K157</f>
        <v>0</v>
      </c>
      <c r="O80" s="3">
        <f>'Monthly D7 RIN Data'!$K169</f>
        <v>0</v>
      </c>
      <c r="P80" s="3">
        <f>'Monthly D7 RIN Data'!$K181</f>
        <v>0</v>
      </c>
      <c r="Q80" s="4">
        <f>'D7 Gallon Forecast'!Q78*AVERAGE($AE$5:$AG$5,$AJ$5:$AK$5)</f>
        <v>0</v>
      </c>
      <c r="R80" s="4">
        <f>'D7 Gallon Forecast'!R78*AVERAGE($AE$5:$AG$5,$AJ$5:$AK$5)</f>
        <v>0</v>
      </c>
      <c r="S80" s="4">
        <f>'D7 Gallon Forecast'!S78*AVERAGE($AE$5:$AG$5,$AJ$5:$AK$5)</f>
        <v>0</v>
      </c>
      <c r="T80" s="4">
        <f>'D7 Gallon Forecast'!T78*AVERAGE($AE$5:$AG$5,$AJ$5:$AK$5)</f>
        <v>0</v>
      </c>
      <c r="U80" s="4">
        <f>'D7 Gallon Forecast'!U78*AVERAGE($AE$5:$AG$5,$AJ$5:$AK$5)</f>
        <v>0</v>
      </c>
      <c r="V80" s="4">
        <f>'D7 Gallon Forecast'!V78*AVERAGE($AE$5:$AG$5,$AJ$5:$AK$5)</f>
        <v>0</v>
      </c>
      <c r="W80" s="4">
        <f>'D7 Gallon Forecast'!W78*AVERAGE($AE$5:$AG$5,$AJ$5:$AK$5)</f>
        <v>0</v>
      </c>
      <c r="X80" s="4">
        <f>'D7 Gallon Forecast'!X78*AVERAGE($AE$5:$AG$5,$AJ$5:$AK$5)</f>
        <v>0</v>
      </c>
      <c r="Y80" s="4">
        <f>'D7 Gallon Forecast'!Y78*AVERAGE($AE$5:$AG$5,$AJ$5:$AK$5)</f>
        <v>0</v>
      </c>
      <c r="Z80" s="4">
        <f>'D7 Gallon Forecast'!Z78*AVERAGE($AE$5:$AG$5,$AJ$5:$AK$5)</f>
        <v>0</v>
      </c>
    </row>
    <row r="81" spans="1:26">
      <c r="A81" s="2" t="s">
        <v>53</v>
      </c>
      <c r="B81" s="3">
        <f>'Monthly D7 RIN Data'!$K14</f>
        <v>0</v>
      </c>
      <c r="C81" s="3">
        <f>'Monthly D7 RIN Data'!$K26</f>
        <v>0</v>
      </c>
      <c r="D81" s="3">
        <f>'Monthly D7 RIN Data'!$K38</f>
        <v>1741</v>
      </c>
      <c r="E81" s="3">
        <f>'Monthly D7 RIN Data'!$K50</f>
        <v>59094</v>
      </c>
      <c r="F81" s="3">
        <f>'Monthly D7 RIN Data'!$K62</f>
        <v>0</v>
      </c>
      <c r="G81" s="3">
        <f>'Monthly D7 RIN Data'!$K74</f>
        <v>0</v>
      </c>
      <c r="H81" s="3">
        <f>'Monthly D7 RIN Data'!$K86</f>
        <v>0</v>
      </c>
      <c r="I81" s="3">
        <f>'Monthly D7 RIN Data'!$K98</f>
        <v>0</v>
      </c>
      <c r="J81" s="3">
        <f>'Monthly D7 RIN Data'!$K110</f>
        <v>0</v>
      </c>
      <c r="K81" s="3">
        <f>'Monthly D7 RIN Data'!$K122</f>
        <v>0</v>
      </c>
      <c r="L81" s="3">
        <f>'Monthly D7 RIN Data'!$K134</f>
        <v>0</v>
      </c>
      <c r="M81" s="3">
        <f>'Monthly D7 RIN Data'!$K146</f>
        <v>0</v>
      </c>
      <c r="N81" s="3">
        <f>'Monthly D7 RIN Data'!$K158</f>
        <v>0</v>
      </c>
      <c r="O81" s="3">
        <f>'Monthly D7 RIN Data'!$K170</f>
        <v>0</v>
      </c>
      <c r="P81" s="3">
        <f>'Monthly D7 RIN Data'!$K182</f>
        <v>0</v>
      </c>
      <c r="Q81" s="4">
        <f>'D7 Gallon Forecast'!Q79*AVERAGE($AE$5:$AG$5,$AJ$5:$AK$5)</f>
        <v>0</v>
      </c>
      <c r="R81" s="4">
        <f>'D7 Gallon Forecast'!R79*AVERAGE($AE$5:$AG$5,$AJ$5:$AK$5)</f>
        <v>0</v>
      </c>
      <c r="S81" s="4">
        <f>'D7 Gallon Forecast'!S79*AVERAGE($AE$5:$AG$5,$AJ$5:$AK$5)</f>
        <v>0</v>
      </c>
      <c r="T81" s="4">
        <f>'D7 Gallon Forecast'!T79*AVERAGE($AE$5:$AG$5,$AJ$5:$AK$5)</f>
        <v>0</v>
      </c>
      <c r="U81" s="4">
        <f>'D7 Gallon Forecast'!U79*AVERAGE($AE$5:$AG$5,$AJ$5:$AK$5)</f>
        <v>0</v>
      </c>
      <c r="V81" s="4">
        <f>'D7 Gallon Forecast'!V79*AVERAGE($AE$5:$AG$5,$AJ$5:$AK$5)</f>
        <v>0</v>
      </c>
      <c r="W81" s="4">
        <f>'D7 Gallon Forecast'!W79*AVERAGE($AE$5:$AG$5,$AJ$5:$AK$5)</f>
        <v>0</v>
      </c>
      <c r="X81" s="4">
        <f>'D7 Gallon Forecast'!X79*AVERAGE($AE$5:$AG$5,$AJ$5:$AK$5)</f>
        <v>0</v>
      </c>
      <c r="Y81" s="4">
        <f>'D7 Gallon Forecast'!Y79*AVERAGE($AE$5:$AG$5,$AJ$5:$AK$5)</f>
        <v>0</v>
      </c>
      <c r="Z81" s="4">
        <f>'D7 Gallon Forecast'!Z79*AVERAGE($AE$5:$AG$5,$AJ$5:$AK$5)</f>
        <v>0</v>
      </c>
    </row>
    <row r="82" spans="1:26">
      <c r="A82" s="2" t="s">
        <v>54</v>
      </c>
      <c r="B82" s="3">
        <f>'Monthly D7 RIN Data'!$K15</f>
        <v>0</v>
      </c>
      <c r="C82" s="3">
        <f>'Monthly D7 RIN Data'!$K27</f>
        <v>0</v>
      </c>
      <c r="D82" s="3">
        <f>'Monthly D7 RIN Data'!$K39</f>
        <v>0</v>
      </c>
      <c r="E82" s="3">
        <f>'Monthly D7 RIN Data'!$K51</f>
        <v>59091</v>
      </c>
      <c r="F82" s="3">
        <f>'Monthly D7 RIN Data'!$K63</f>
        <v>0</v>
      </c>
      <c r="G82" s="3">
        <f>'Monthly D7 RIN Data'!$K75</f>
        <v>0</v>
      </c>
      <c r="H82" s="3">
        <f>'Monthly D7 RIN Data'!$K87</f>
        <v>0</v>
      </c>
      <c r="I82" s="3">
        <f>'Monthly D7 RIN Data'!$K99</f>
        <v>459</v>
      </c>
      <c r="J82" s="3">
        <f>'Monthly D7 RIN Data'!$K111</f>
        <v>0</v>
      </c>
      <c r="K82" s="3">
        <f>'Monthly D7 RIN Data'!$K123</f>
        <v>0</v>
      </c>
      <c r="L82" s="3">
        <f>'Monthly D7 RIN Data'!$K135</f>
        <v>0</v>
      </c>
      <c r="M82" s="3">
        <f>'Monthly D7 RIN Data'!$K147</f>
        <v>0</v>
      </c>
      <c r="N82" s="3">
        <f>'Monthly D7 RIN Data'!$K159</f>
        <v>0</v>
      </c>
      <c r="O82" s="3">
        <f>'Monthly D7 RIN Data'!$K171</f>
        <v>0</v>
      </c>
      <c r="P82" s="3">
        <f>'Monthly D7 RIN Data'!$K183</f>
        <v>0</v>
      </c>
      <c r="Q82" s="4">
        <f>'D7 Gallon Forecast'!Q80*AVERAGE($AE$5:$AG$5,$AJ$5:$AK$5)</f>
        <v>10.198499855403389</v>
      </c>
      <c r="R82" s="4">
        <f>'D7 Gallon Forecast'!R80*AVERAGE($AE$5:$AG$5,$AJ$5:$AK$5)</f>
        <v>2.8636778148070241</v>
      </c>
      <c r="S82" s="4">
        <f>'D7 Gallon Forecast'!S80*AVERAGE($AE$5:$AG$5,$AJ$5:$AK$5)</f>
        <v>0.81889719172470266</v>
      </c>
      <c r="T82" s="4">
        <f>'D7 Gallon Forecast'!T80*AVERAGE($AE$5:$AG$5,$AJ$5:$AK$5)</f>
        <v>1.7071585139416181</v>
      </c>
      <c r="U82" s="4">
        <f>'D7 Gallon Forecast'!U80*AVERAGE($AE$5:$AG$5,$AJ$5:$AK$5)</f>
        <v>2.8176839238984837</v>
      </c>
      <c r="V82" s="4">
        <f>'D7 Gallon Forecast'!V80*AVERAGE($AE$5:$AG$5,$AJ$5:$AK$5)</f>
        <v>3.3174671922393695</v>
      </c>
      <c r="W82" s="4">
        <f>'D7 Gallon Forecast'!W80*AVERAGE($AE$5:$AG$5,$AJ$5:$AK$5)</f>
        <v>3.9974194225661619</v>
      </c>
      <c r="X82" s="4">
        <f>'D7 Gallon Forecast'!X80*AVERAGE($AE$5:$AG$5,$AJ$5:$AK$5)</f>
        <v>4.0145450215599938</v>
      </c>
      <c r="Y82" s="4">
        <f>'D7 Gallon Forecast'!Y80*AVERAGE($AE$5:$AG$5,$AJ$5:$AK$5)</f>
        <v>5.1137423919907947</v>
      </c>
      <c r="Z82" s="4">
        <f>'D7 Gallon Forecast'!Z80*AVERAGE($AE$5:$AG$5,$AJ$5:$AK$5)</f>
        <v>5.6250149023869191</v>
      </c>
    </row>
    <row r="83" spans="1:26" ht="13.5" thickBot="1">
      <c r="A83" s="2" t="s">
        <v>29</v>
      </c>
      <c r="B83" s="3">
        <f t="shared" ref="B83:Z83" si="32">SUM(B71:B82)</f>
        <v>0</v>
      </c>
      <c r="C83" s="3">
        <f t="shared" si="32"/>
        <v>0</v>
      </c>
      <c r="D83" s="3">
        <f t="shared" si="32"/>
        <v>1741</v>
      </c>
      <c r="E83" s="3">
        <f t="shared" si="32"/>
        <v>395777</v>
      </c>
      <c r="F83" s="3">
        <f t="shared" si="32"/>
        <v>8859</v>
      </c>
      <c r="G83" s="3">
        <f t="shared" si="32"/>
        <v>0</v>
      </c>
      <c r="H83" s="3">
        <f t="shared" si="32"/>
        <v>0</v>
      </c>
      <c r="I83" s="3">
        <f t="shared" si="32"/>
        <v>459</v>
      </c>
      <c r="J83" s="3">
        <f t="shared" si="32"/>
        <v>11256</v>
      </c>
      <c r="K83" s="3">
        <f t="shared" si="32"/>
        <v>0</v>
      </c>
      <c r="L83" s="3">
        <f t="shared" si="32"/>
        <v>0</v>
      </c>
      <c r="M83" s="3">
        <f t="shared" si="32"/>
        <v>0</v>
      </c>
      <c r="N83" s="3">
        <f t="shared" si="32"/>
        <v>0</v>
      </c>
      <c r="O83" s="3">
        <f t="shared" si="32"/>
        <v>0</v>
      </c>
      <c r="P83" s="3">
        <f>SUM(P71:P82)</f>
        <v>0</v>
      </c>
      <c r="Q83" s="4">
        <f t="shared" si="32"/>
        <v>15.406196887465326</v>
      </c>
      <c r="R83" s="4">
        <f t="shared" si="32"/>
        <v>73.076815348223633</v>
      </c>
      <c r="S83" s="4">
        <f t="shared" si="32"/>
        <v>20.89704315178961</v>
      </c>
      <c r="T83" s="4">
        <f t="shared" si="32"/>
        <v>43.564156152065742</v>
      </c>
      <c r="U83" s="4">
        <f t="shared" si="32"/>
        <v>71.903119391335366</v>
      </c>
      <c r="V83" s="4">
        <f t="shared" si="32"/>
        <v>84.656847979737961</v>
      </c>
      <c r="W83" s="4">
        <f t="shared" si="32"/>
        <v>102.00822156104009</v>
      </c>
      <c r="X83" s="4">
        <f t="shared" si="32"/>
        <v>102.44524147610488</v>
      </c>
      <c r="Y83" s="4">
        <f t="shared" si="32"/>
        <v>130.49512992895004</v>
      </c>
      <c r="Z83" s="4">
        <f t="shared" si="32"/>
        <v>143.54204695350265</v>
      </c>
    </row>
    <row r="84" spans="1:26">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row>
    <row r="85" spans="1:26" ht="16.5" thickBot="1">
      <c r="A85" s="109" t="s">
        <v>546</v>
      </c>
    </row>
    <row r="86" spans="1:26" ht="13.5" thickBot="1">
      <c r="A86" s="110"/>
      <c r="B86" s="111">
        <v>2010</v>
      </c>
      <c r="C86" s="111">
        <v>2011</v>
      </c>
      <c r="D86" s="111">
        <v>2012</v>
      </c>
      <c r="E86" s="111">
        <v>2013</v>
      </c>
      <c r="F86" s="111">
        <v>2014</v>
      </c>
      <c r="G86" s="111">
        <v>2015</v>
      </c>
      <c r="H86" s="111">
        <v>2016</v>
      </c>
      <c r="I86" s="111">
        <v>2017</v>
      </c>
      <c r="J86" s="111">
        <v>2018</v>
      </c>
      <c r="K86" s="111">
        <v>2019</v>
      </c>
      <c r="L86" s="111">
        <v>2020</v>
      </c>
      <c r="M86" s="111">
        <v>2021</v>
      </c>
      <c r="N86" s="111">
        <v>2022</v>
      </c>
      <c r="O86" s="111">
        <v>2023</v>
      </c>
      <c r="P86" s="111">
        <v>2024</v>
      </c>
      <c r="Q86" s="111">
        <v>2025</v>
      </c>
      <c r="R86" s="111">
        <v>2026</v>
      </c>
      <c r="S86" s="111">
        <v>2027</v>
      </c>
      <c r="T86" s="111">
        <v>2028</v>
      </c>
      <c r="U86" s="111">
        <v>2029</v>
      </c>
      <c r="V86" s="111">
        <v>2030</v>
      </c>
      <c r="W86" s="111">
        <v>2031</v>
      </c>
      <c r="X86" s="111">
        <v>2032</v>
      </c>
      <c r="Y86" s="111">
        <v>2033</v>
      </c>
      <c r="Z86" s="111">
        <v>2034</v>
      </c>
    </row>
    <row r="87" spans="1:26">
      <c r="A87" s="2" t="s">
        <v>43</v>
      </c>
      <c r="B87" s="3">
        <f>'Monthly D7 RIN Data'!$L4</f>
        <v>0</v>
      </c>
      <c r="C87" s="3">
        <f>'Monthly D7 RIN Data'!$L16</f>
        <v>0</v>
      </c>
      <c r="D87" s="3">
        <f>'Monthly D7 RIN Data'!$L28</f>
        <v>0</v>
      </c>
      <c r="E87" s="3">
        <f>'Monthly D7 RIN Data'!$L40</f>
        <v>0</v>
      </c>
      <c r="F87" s="3">
        <f>'Monthly D7 RIN Data'!$L52</f>
        <v>0</v>
      </c>
      <c r="G87" s="3">
        <f>'Monthly D7 RIN Data'!$L64</f>
        <v>0</v>
      </c>
      <c r="H87" s="3">
        <f>'Monthly D7 RIN Data'!$L76</f>
        <v>0</v>
      </c>
      <c r="I87" s="3">
        <f>'Monthly D7 RIN Data'!$L88</f>
        <v>0</v>
      </c>
      <c r="J87" s="3">
        <f>'Monthly D7 RIN Data'!$L100</f>
        <v>0</v>
      </c>
      <c r="K87" s="3">
        <f>'Monthly D7 RIN Data'!$L112</f>
        <v>0</v>
      </c>
      <c r="L87" s="3">
        <f>'Monthly D7 RIN Data'!$L124</f>
        <v>0</v>
      </c>
      <c r="M87" s="3">
        <f>'Monthly D7 RIN Data'!$L136</f>
        <v>0</v>
      </c>
      <c r="N87" s="3">
        <f>'Monthly D7 RIN Data'!$L148</f>
        <v>0</v>
      </c>
      <c r="O87" s="3">
        <f>'Monthly D7 RIN Data'!$L160</f>
        <v>0</v>
      </c>
      <c r="P87" s="3">
        <f>'Monthly D7 RIN Data'!$L172</f>
        <v>0</v>
      </c>
      <c r="Q87" s="3">
        <f>'Monthly D7 RIN Data'!$L184</f>
        <v>0</v>
      </c>
      <c r="R87" s="4">
        <f>'D7 Gallon Forecast'!R85</f>
        <v>0</v>
      </c>
      <c r="S87" s="4">
        <f>'D7 Gallon Forecast'!S85</f>
        <v>0</v>
      </c>
      <c r="T87" s="4">
        <f>'D7 Gallon Forecast'!T85</f>
        <v>0</v>
      </c>
      <c r="U87" s="4">
        <f>'D7 Gallon Forecast'!U85</f>
        <v>0</v>
      </c>
      <c r="V87" s="4">
        <f>'D7 Gallon Forecast'!V85</f>
        <v>0</v>
      </c>
      <c r="W87" s="4">
        <f>'D7 Gallon Forecast'!W85</f>
        <v>0</v>
      </c>
      <c r="X87" s="4">
        <f>'D7 Gallon Forecast'!X85</f>
        <v>0</v>
      </c>
      <c r="Y87" s="4">
        <f>'D7 Gallon Forecast'!Y85</f>
        <v>0</v>
      </c>
      <c r="Z87" s="4">
        <f>'D7 Gallon Forecast'!Z85</f>
        <v>0</v>
      </c>
    </row>
    <row r="88" spans="1:26">
      <c r="A88" s="2" t="s">
        <v>44</v>
      </c>
      <c r="B88" s="3">
        <f>'Monthly D7 RIN Data'!$L5</f>
        <v>0</v>
      </c>
      <c r="C88" s="3">
        <f>'Monthly D7 RIN Data'!$L17</f>
        <v>0</v>
      </c>
      <c r="D88" s="3">
        <f>'Monthly D7 RIN Data'!$L29</f>
        <v>0</v>
      </c>
      <c r="E88" s="3">
        <f>'Monthly D7 RIN Data'!$L41</f>
        <v>0</v>
      </c>
      <c r="F88" s="3">
        <f>'Monthly D7 RIN Data'!$L53</f>
        <v>0</v>
      </c>
      <c r="G88" s="3">
        <f>'Monthly D7 RIN Data'!$L65</f>
        <v>0</v>
      </c>
      <c r="H88" s="3">
        <f>'Monthly D7 RIN Data'!$L77</f>
        <v>0</v>
      </c>
      <c r="I88" s="3">
        <f>'Monthly D7 RIN Data'!$L89</f>
        <v>0</v>
      </c>
      <c r="J88" s="3">
        <f>'Monthly D7 RIN Data'!$L101</f>
        <v>0</v>
      </c>
      <c r="K88" s="3">
        <f>'Monthly D7 RIN Data'!$L113</f>
        <v>0</v>
      </c>
      <c r="L88" s="3">
        <f>'Monthly D7 RIN Data'!$L125</f>
        <v>0</v>
      </c>
      <c r="M88" s="3">
        <f>'Monthly D7 RIN Data'!$L137</f>
        <v>0</v>
      </c>
      <c r="N88" s="3">
        <f>'Monthly D7 RIN Data'!$L149</f>
        <v>0</v>
      </c>
      <c r="O88" s="3">
        <f>'Monthly D7 RIN Data'!$L161</f>
        <v>0</v>
      </c>
      <c r="P88" s="3">
        <f>'Monthly D7 RIN Data'!$L173</f>
        <v>0</v>
      </c>
      <c r="Q88" s="3">
        <f>'Monthly D7 RIN Data'!$L185</f>
        <v>0</v>
      </c>
      <c r="R88" s="4">
        <f>'D7 Gallon Forecast'!R86</f>
        <v>0</v>
      </c>
      <c r="S88" s="4">
        <f>'D7 Gallon Forecast'!S86</f>
        <v>0</v>
      </c>
      <c r="T88" s="4">
        <f>'D7 Gallon Forecast'!T86</f>
        <v>0</v>
      </c>
      <c r="U88" s="4">
        <f>'D7 Gallon Forecast'!U86</f>
        <v>0</v>
      </c>
      <c r="V88" s="4">
        <f>'D7 Gallon Forecast'!V86</f>
        <v>0</v>
      </c>
      <c r="W88" s="4">
        <f>'D7 Gallon Forecast'!W86</f>
        <v>0</v>
      </c>
      <c r="X88" s="4">
        <f>'D7 Gallon Forecast'!X86</f>
        <v>0</v>
      </c>
      <c r="Y88" s="4">
        <f>'D7 Gallon Forecast'!Y86</f>
        <v>0</v>
      </c>
      <c r="Z88" s="4">
        <f>'D7 Gallon Forecast'!Z86</f>
        <v>0</v>
      </c>
    </row>
    <row r="89" spans="1:26">
      <c r="A89" s="2" t="s">
        <v>45</v>
      </c>
      <c r="B89" s="3">
        <f>'Monthly D7 RIN Data'!$L6</f>
        <v>0</v>
      </c>
      <c r="C89" s="3">
        <f>'Monthly D7 RIN Data'!$L18</f>
        <v>0</v>
      </c>
      <c r="D89" s="3">
        <f>'Monthly D7 RIN Data'!$L30</f>
        <v>0</v>
      </c>
      <c r="E89" s="3">
        <f>'Monthly D7 RIN Data'!$L42</f>
        <v>0</v>
      </c>
      <c r="F89" s="3">
        <f>'Monthly D7 RIN Data'!$L54</f>
        <v>0</v>
      </c>
      <c r="G89" s="3">
        <f>'Monthly D7 RIN Data'!$L66</f>
        <v>0</v>
      </c>
      <c r="H89" s="3">
        <f>'Monthly D7 RIN Data'!$L78</f>
        <v>0</v>
      </c>
      <c r="I89" s="3">
        <f>'Monthly D7 RIN Data'!$L90</f>
        <v>0</v>
      </c>
      <c r="J89" s="3">
        <f>'Monthly D7 RIN Data'!$L102</f>
        <v>0</v>
      </c>
      <c r="K89" s="3">
        <f>'Monthly D7 RIN Data'!$L114</f>
        <v>0</v>
      </c>
      <c r="L89" s="3">
        <f>'Monthly D7 RIN Data'!$L126</f>
        <v>0</v>
      </c>
      <c r="M89" s="3">
        <f>'Monthly D7 RIN Data'!$L138</f>
        <v>0</v>
      </c>
      <c r="N89" s="3">
        <f>'Monthly D7 RIN Data'!$L150</f>
        <v>0</v>
      </c>
      <c r="O89" s="3">
        <f>'Monthly D7 RIN Data'!$L162</f>
        <v>0</v>
      </c>
      <c r="P89" s="3">
        <f>'Monthly D7 RIN Data'!$L174</f>
        <v>0</v>
      </c>
      <c r="Q89" s="3">
        <f>'Monthly D7 RIN Data'!$L186</f>
        <v>0</v>
      </c>
      <c r="R89" s="4">
        <f>'D7 Gallon Forecast'!R87</f>
        <v>0</v>
      </c>
      <c r="S89" s="4">
        <f>'D7 Gallon Forecast'!S87</f>
        <v>0</v>
      </c>
      <c r="T89" s="4">
        <f>'D7 Gallon Forecast'!T87</f>
        <v>0</v>
      </c>
      <c r="U89" s="4">
        <f>'D7 Gallon Forecast'!U87</f>
        <v>0</v>
      </c>
      <c r="V89" s="4">
        <f>'D7 Gallon Forecast'!V87</f>
        <v>0</v>
      </c>
      <c r="W89" s="4">
        <f>'D7 Gallon Forecast'!W87</f>
        <v>0</v>
      </c>
      <c r="X89" s="4">
        <f>'D7 Gallon Forecast'!X87</f>
        <v>0</v>
      </c>
      <c r="Y89" s="4">
        <f>'D7 Gallon Forecast'!Y87</f>
        <v>0</v>
      </c>
      <c r="Z89" s="4">
        <f>'D7 Gallon Forecast'!Z87</f>
        <v>0</v>
      </c>
    </row>
    <row r="90" spans="1:26">
      <c r="A90" s="2" t="s">
        <v>46</v>
      </c>
      <c r="B90" s="3">
        <f>'Monthly D7 RIN Data'!$L7</f>
        <v>0</v>
      </c>
      <c r="C90" s="3">
        <f>'Monthly D7 RIN Data'!$L19</f>
        <v>0</v>
      </c>
      <c r="D90" s="3">
        <f>'Monthly D7 RIN Data'!$L31</f>
        <v>0</v>
      </c>
      <c r="E90" s="3">
        <f>'Monthly D7 RIN Data'!$L43</f>
        <v>0</v>
      </c>
      <c r="F90" s="3">
        <f>'Monthly D7 RIN Data'!$L55</f>
        <v>0</v>
      </c>
      <c r="G90" s="3">
        <f>'Monthly D7 RIN Data'!$L67</f>
        <v>0</v>
      </c>
      <c r="H90" s="3">
        <f>'Monthly D7 RIN Data'!$L79</f>
        <v>0</v>
      </c>
      <c r="I90" s="3">
        <f>'Monthly D7 RIN Data'!$L91</f>
        <v>0</v>
      </c>
      <c r="J90" s="3">
        <f>'Monthly D7 RIN Data'!$L103</f>
        <v>0</v>
      </c>
      <c r="K90" s="3">
        <f>'Monthly D7 RIN Data'!$L115</f>
        <v>0</v>
      </c>
      <c r="L90" s="3">
        <f>'Monthly D7 RIN Data'!$L127</f>
        <v>0</v>
      </c>
      <c r="M90" s="3">
        <f>'Monthly D7 RIN Data'!$L139</f>
        <v>0</v>
      </c>
      <c r="N90" s="3">
        <f>'Monthly D7 RIN Data'!$L151</f>
        <v>0</v>
      </c>
      <c r="O90" s="3">
        <f>'Monthly D7 RIN Data'!$L163</f>
        <v>0</v>
      </c>
      <c r="P90" s="3">
        <f>'Monthly D7 RIN Data'!$L175</f>
        <v>0</v>
      </c>
      <c r="Q90" s="4">
        <f>'D7 Gallon Forecast'!Q88</f>
        <v>0</v>
      </c>
      <c r="R90" s="4">
        <f>'D7 Gallon Forecast'!R88</f>
        <v>0</v>
      </c>
      <c r="S90" s="4">
        <f>'D7 Gallon Forecast'!S88</f>
        <v>0</v>
      </c>
      <c r="T90" s="4">
        <f>'D7 Gallon Forecast'!T88</f>
        <v>0</v>
      </c>
      <c r="U90" s="4">
        <f>'D7 Gallon Forecast'!U88</f>
        <v>0</v>
      </c>
      <c r="V90" s="4">
        <f>'D7 Gallon Forecast'!V88</f>
        <v>0</v>
      </c>
      <c r="W90" s="4">
        <f>'D7 Gallon Forecast'!W88</f>
        <v>0</v>
      </c>
      <c r="X90" s="4">
        <f>'D7 Gallon Forecast'!X88</f>
        <v>0</v>
      </c>
      <c r="Y90" s="4">
        <f>'D7 Gallon Forecast'!Y88</f>
        <v>0</v>
      </c>
      <c r="Z90" s="4">
        <f>'D7 Gallon Forecast'!Z88</f>
        <v>0</v>
      </c>
    </row>
    <row r="91" spans="1:26">
      <c r="A91" s="2" t="s">
        <v>47</v>
      </c>
      <c r="B91" s="3">
        <f>'Monthly D7 RIN Data'!$L8</f>
        <v>0</v>
      </c>
      <c r="C91" s="3">
        <f>'Monthly D7 RIN Data'!$L20</f>
        <v>0</v>
      </c>
      <c r="D91" s="3">
        <f>'Monthly D7 RIN Data'!$L32</f>
        <v>0</v>
      </c>
      <c r="E91" s="3">
        <f>'Monthly D7 RIN Data'!$L44</f>
        <v>0</v>
      </c>
      <c r="F91" s="3">
        <f>'Monthly D7 RIN Data'!$L56</f>
        <v>0</v>
      </c>
      <c r="G91" s="3">
        <f>'Monthly D7 RIN Data'!$L68</f>
        <v>0</v>
      </c>
      <c r="H91" s="3">
        <f>'Monthly D7 RIN Data'!$L80</f>
        <v>0</v>
      </c>
      <c r="I91" s="3">
        <f>'Monthly D7 RIN Data'!$L92</f>
        <v>0</v>
      </c>
      <c r="J91" s="3">
        <f>'Monthly D7 RIN Data'!$L104</f>
        <v>0</v>
      </c>
      <c r="K91" s="3">
        <f>'Monthly D7 RIN Data'!$L116</f>
        <v>0</v>
      </c>
      <c r="L91" s="3">
        <f>'Monthly D7 RIN Data'!$L128</f>
        <v>0</v>
      </c>
      <c r="M91" s="3">
        <f>'Monthly D7 RIN Data'!$L140</f>
        <v>0</v>
      </c>
      <c r="N91" s="3">
        <f>'Monthly D7 RIN Data'!$L152</f>
        <v>0</v>
      </c>
      <c r="O91" s="3">
        <f>'Monthly D7 RIN Data'!$L164</f>
        <v>0</v>
      </c>
      <c r="P91" s="3">
        <f>'Monthly D7 RIN Data'!$L176</f>
        <v>0</v>
      </c>
      <c r="Q91" s="4">
        <f>'D7 Gallon Forecast'!Q89</f>
        <v>0</v>
      </c>
      <c r="R91" s="4">
        <f>'D7 Gallon Forecast'!R89</f>
        <v>0</v>
      </c>
      <c r="S91" s="4">
        <f>'D7 Gallon Forecast'!S89</f>
        <v>0</v>
      </c>
      <c r="T91" s="4">
        <f>'D7 Gallon Forecast'!T89</f>
        <v>0</v>
      </c>
      <c r="U91" s="4">
        <f>'D7 Gallon Forecast'!U89</f>
        <v>0</v>
      </c>
      <c r="V91" s="4">
        <f>'D7 Gallon Forecast'!V89</f>
        <v>0</v>
      </c>
      <c r="W91" s="4">
        <f>'D7 Gallon Forecast'!W89</f>
        <v>0</v>
      </c>
      <c r="X91" s="4">
        <f>'D7 Gallon Forecast'!X89</f>
        <v>0</v>
      </c>
      <c r="Y91" s="4">
        <f>'D7 Gallon Forecast'!Y89</f>
        <v>0</v>
      </c>
      <c r="Z91" s="4">
        <f>'D7 Gallon Forecast'!Z89</f>
        <v>0</v>
      </c>
    </row>
    <row r="92" spans="1:26">
      <c r="A92" s="2" t="s">
        <v>48</v>
      </c>
      <c r="B92" s="3">
        <f>'Monthly D7 RIN Data'!$L9</f>
        <v>0</v>
      </c>
      <c r="C92" s="3">
        <f>'Monthly D7 RIN Data'!$L21</f>
        <v>0</v>
      </c>
      <c r="D92" s="3">
        <f>'Monthly D7 RIN Data'!$L33</f>
        <v>0</v>
      </c>
      <c r="E92" s="3">
        <f>'Monthly D7 RIN Data'!$L45</f>
        <v>0</v>
      </c>
      <c r="F92" s="3">
        <f>'Monthly D7 RIN Data'!$L57</f>
        <v>0</v>
      </c>
      <c r="G92" s="3">
        <f>'Monthly D7 RIN Data'!$L69</f>
        <v>0</v>
      </c>
      <c r="H92" s="3">
        <f>'Monthly D7 RIN Data'!$L81</f>
        <v>0</v>
      </c>
      <c r="I92" s="3">
        <f>'Monthly D7 RIN Data'!$L93</f>
        <v>0</v>
      </c>
      <c r="J92" s="3">
        <f>'Monthly D7 RIN Data'!$L105</f>
        <v>0</v>
      </c>
      <c r="K92" s="3">
        <f>'Monthly D7 RIN Data'!$L117</f>
        <v>0</v>
      </c>
      <c r="L92" s="3">
        <f>'Monthly D7 RIN Data'!$L129</f>
        <v>0</v>
      </c>
      <c r="M92" s="3">
        <f>'Monthly D7 RIN Data'!$L141</f>
        <v>0</v>
      </c>
      <c r="N92" s="3">
        <f>'Monthly D7 RIN Data'!$L153</f>
        <v>0</v>
      </c>
      <c r="O92" s="3">
        <f>'Monthly D7 RIN Data'!$L165</f>
        <v>0</v>
      </c>
      <c r="P92" s="3">
        <f>'Monthly D7 RIN Data'!$L177</f>
        <v>0</v>
      </c>
      <c r="Q92" s="4">
        <f>'D7 Gallon Forecast'!Q90</f>
        <v>0</v>
      </c>
      <c r="R92" s="4">
        <f>'D7 Gallon Forecast'!R90</f>
        <v>0</v>
      </c>
      <c r="S92" s="4">
        <f>'D7 Gallon Forecast'!S90</f>
        <v>0</v>
      </c>
      <c r="T92" s="4">
        <f>'D7 Gallon Forecast'!T90</f>
        <v>0</v>
      </c>
      <c r="U92" s="4">
        <f>'D7 Gallon Forecast'!U90</f>
        <v>0</v>
      </c>
      <c r="V92" s="4">
        <f>'D7 Gallon Forecast'!V90</f>
        <v>0</v>
      </c>
      <c r="W92" s="4">
        <f>'D7 Gallon Forecast'!W90</f>
        <v>0</v>
      </c>
      <c r="X92" s="4">
        <f>'D7 Gallon Forecast'!X90</f>
        <v>0</v>
      </c>
      <c r="Y92" s="4">
        <f>'D7 Gallon Forecast'!Y90</f>
        <v>0</v>
      </c>
      <c r="Z92" s="4">
        <f>'D7 Gallon Forecast'!Z90</f>
        <v>0</v>
      </c>
    </row>
    <row r="93" spans="1:26">
      <c r="A93" s="2" t="s">
        <v>49</v>
      </c>
      <c r="B93" s="3">
        <f>'Monthly D7 RIN Data'!$L10</f>
        <v>0</v>
      </c>
      <c r="C93" s="3">
        <f>'Monthly D7 RIN Data'!$L22</f>
        <v>0</v>
      </c>
      <c r="D93" s="3">
        <f>'Monthly D7 RIN Data'!$L34</f>
        <v>0</v>
      </c>
      <c r="E93" s="3">
        <f>'Monthly D7 RIN Data'!$L46</f>
        <v>0</v>
      </c>
      <c r="F93" s="3">
        <f>'Monthly D7 RIN Data'!$L58</f>
        <v>0</v>
      </c>
      <c r="G93" s="3">
        <f>'Monthly D7 RIN Data'!$L70</f>
        <v>0</v>
      </c>
      <c r="H93" s="3">
        <f>'Monthly D7 RIN Data'!$L82</f>
        <v>0</v>
      </c>
      <c r="I93" s="3">
        <f>'Monthly D7 RIN Data'!$L94</f>
        <v>0</v>
      </c>
      <c r="J93" s="3">
        <f>'Monthly D7 RIN Data'!$L106</f>
        <v>0</v>
      </c>
      <c r="K93" s="3">
        <f>'Monthly D7 RIN Data'!$L118</f>
        <v>0</v>
      </c>
      <c r="L93" s="3">
        <f>'Monthly D7 RIN Data'!$L130</f>
        <v>0</v>
      </c>
      <c r="M93" s="3">
        <f>'Monthly D7 RIN Data'!$L142</f>
        <v>0</v>
      </c>
      <c r="N93" s="3">
        <f>'Monthly D7 RIN Data'!$L154</f>
        <v>0</v>
      </c>
      <c r="O93" s="3">
        <f>'Monthly D7 RIN Data'!$L166</f>
        <v>0</v>
      </c>
      <c r="P93" s="3">
        <f>'Monthly D7 RIN Data'!$L178</f>
        <v>0</v>
      </c>
      <c r="Q93" s="4">
        <f>'D7 Gallon Forecast'!Q91</f>
        <v>0</v>
      </c>
      <c r="R93" s="4">
        <f>'D7 Gallon Forecast'!R91</f>
        <v>0</v>
      </c>
      <c r="S93" s="4">
        <f>'D7 Gallon Forecast'!S91</f>
        <v>0</v>
      </c>
      <c r="T93" s="4">
        <f>'D7 Gallon Forecast'!T91</f>
        <v>0</v>
      </c>
      <c r="U93" s="4">
        <f>'D7 Gallon Forecast'!U91</f>
        <v>0</v>
      </c>
      <c r="V93" s="4">
        <f>'D7 Gallon Forecast'!V91</f>
        <v>0</v>
      </c>
      <c r="W93" s="4">
        <f>'D7 Gallon Forecast'!W91</f>
        <v>0</v>
      </c>
      <c r="X93" s="4">
        <f>'D7 Gallon Forecast'!X91</f>
        <v>0</v>
      </c>
      <c r="Y93" s="4">
        <f>'D7 Gallon Forecast'!Y91</f>
        <v>0</v>
      </c>
      <c r="Z93" s="4">
        <f>'D7 Gallon Forecast'!Z91</f>
        <v>0</v>
      </c>
    </row>
    <row r="94" spans="1:26">
      <c r="A94" s="2" t="s">
        <v>50</v>
      </c>
      <c r="B94" s="3">
        <f>'Monthly D7 RIN Data'!$L11</f>
        <v>0</v>
      </c>
      <c r="C94" s="3">
        <f>'Monthly D7 RIN Data'!$L23</f>
        <v>0</v>
      </c>
      <c r="D94" s="3">
        <f>'Monthly D7 RIN Data'!$L35</f>
        <v>0</v>
      </c>
      <c r="E94" s="3">
        <f>'Monthly D7 RIN Data'!$L47</f>
        <v>0</v>
      </c>
      <c r="F94" s="3">
        <f>'Monthly D7 RIN Data'!$L59</f>
        <v>0</v>
      </c>
      <c r="G94" s="3">
        <f>'Monthly D7 RIN Data'!$L71</f>
        <v>0</v>
      </c>
      <c r="H94" s="3">
        <f>'Monthly D7 RIN Data'!$L83</f>
        <v>0</v>
      </c>
      <c r="I94" s="3">
        <f>'Monthly D7 RIN Data'!$L95</f>
        <v>0</v>
      </c>
      <c r="J94" s="3">
        <f>'Monthly D7 RIN Data'!$L107</f>
        <v>0</v>
      </c>
      <c r="K94" s="3">
        <f>'Monthly D7 RIN Data'!$L119</f>
        <v>0</v>
      </c>
      <c r="L94" s="3">
        <f>'Monthly D7 RIN Data'!$L131</f>
        <v>0</v>
      </c>
      <c r="M94" s="3">
        <f>'Monthly D7 RIN Data'!$L143</f>
        <v>0</v>
      </c>
      <c r="N94" s="3">
        <f>'Monthly D7 RIN Data'!$L155</f>
        <v>0</v>
      </c>
      <c r="O94" s="3">
        <f>'Monthly D7 RIN Data'!$L167</f>
        <v>0</v>
      </c>
      <c r="P94" s="3">
        <f>'Monthly D7 RIN Data'!$L179</f>
        <v>0</v>
      </c>
      <c r="Q94" s="4">
        <f>'D7 Gallon Forecast'!Q92</f>
        <v>0</v>
      </c>
      <c r="R94" s="4">
        <f>'D7 Gallon Forecast'!R92</f>
        <v>0</v>
      </c>
      <c r="S94" s="4">
        <f>'D7 Gallon Forecast'!S92</f>
        <v>0</v>
      </c>
      <c r="T94" s="4">
        <f>'D7 Gallon Forecast'!T92</f>
        <v>0</v>
      </c>
      <c r="U94" s="4">
        <f>'D7 Gallon Forecast'!U92</f>
        <v>0</v>
      </c>
      <c r="V94" s="4">
        <f>'D7 Gallon Forecast'!V92</f>
        <v>0</v>
      </c>
      <c r="W94" s="4">
        <f>'D7 Gallon Forecast'!W92</f>
        <v>0</v>
      </c>
      <c r="X94" s="4">
        <f>'D7 Gallon Forecast'!X92</f>
        <v>0</v>
      </c>
      <c r="Y94" s="4">
        <f>'D7 Gallon Forecast'!Y92</f>
        <v>0</v>
      </c>
      <c r="Z94" s="4">
        <f>'D7 Gallon Forecast'!Z92</f>
        <v>0</v>
      </c>
    </row>
    <row r="95" spans="1:26">
      <c r="A95" s="2" t="s">
        <v>51</v>
      </c>
      <c r="B95" s="3">
        <f>'Monthly D7 RIN Data'!$L12</f>
        <v>0</v>
      </c>
      <c r="C95" s="3">
        <f>'Monthly D7 RIN Data'!$L24</f>
        <v>0</v>
      </c>
      <c r="D95" s="3">
        <f>'Monthly D7 RIN Data'!$L36</f>
        <v>0</v>
      </c>
      <c r="E95" s="3">
        <f>'Monthly D7 RIN Data'!$L48</f>
        <v>0</v>
      </c>
      <c r="F95" s="3">
        <f>'Monthly D7 RIN Data'!$L60</f>
        <v>0</v>
      </c>
      <c r="G95" s="3">
        <f>'Monthly D7 RIN Data'!$L72</f>
        <v>0</v>
      </c>
      <c r="H95" s="3">
        <f>'Monthly D7 RIN Data'!$L84</f>
        <v>0</v>
      </c>
      <c r="I95" s="3">
        <f>'Monthly D7 RIN Data'!$L96</f>
        <v>0</v>
      </c>
      <c r="J95" s="3">
        <f>'Monthly D7 RIN Data'!$L108</f>
        <v>0</v>
      </c>
      <c r="K95" s="3">
        <f>'Monthly D7 RIN Data'!$L120</f>
        <v>0</v>
      </c>
      <c r="L95" s="3">
        <f>'Monthly D7 RIN Data'!$L132</f>
        <v>0</v>
      </c>
      <c r="M95" s="3">
        <f>'Monthly D7 RIN Data'!$L144</f>
        <v>0</v>
      </c>
      <c r="N95" s="3">
        <f>'Monthly D7 RIN Data'!$L156</f>
        <v>0</v>
      </c>
      <c r="O95" s="3">
        <f>'Monthly D7 RIN Data'!$L168</f>
        <v>0</v>
      </c>
      <c r="P95" s="3">
        <f>'Monthly D7 RIN Data'!$L180</f>
        <v>0</v>
      </c>
      <c r="Q95" s="4">
        <f>'D7 Gallon Forecast'!Q93</f>
        <v>0</v>
      </c>
      <c r="R95" s="4">
        <f>'D7 Gallon Forecast'!R93</f>
        <v>0</v>
      </c>
      <c r="S95" s="4">
        <f>'D7 Gallon Forecast'!S93</f>
        <v>0</v>
      </c>
      <c r="T95" s="4">
        <f>'D7 Gallon Forecast'!T93</f>
        <v>0</v>
      </c>
      <c r="U95" s="4">
        <f>'D7 Gallon Forecast'!U93</f>
        <v>0</v>
      </c>
      <c r="V95" s="4">
        <f>'D7 Gallon Forecast'!V93</f>
        <v>0</v>
      </c>
      <c r="W95" s="4">
        <f>'D7 Gallon Forecast'!W93</f>
        <v>0</v>
      </c>
      <c r="X95" s="4">
        <f>'D7 Gallon Forecast'!X93</f>
        <v>0</v>
      </c>
      <c r="Y95" s="4">
        <f>'D7 Gallon Forecast'!Y93</f>
        <v>0</v>
      </c>
      <c r="Z95" s="4">
        <f>'D7 Gallon Forecast'!Z93</f>
        <v>0</v>
      </c>
    </row>
    <row r="96" spans="1:26">
      <c r="A96" s="2" t="s">
        <v>52</v>
      </c>
      <c r="B96" s="3">
        <f>'Monthly D7 RIN Data'!$L13</f>
        <v>0</v>
      </c>
      <c r="C96" s="3">
        <f>'Monthly D7 RIN Data'!$L25</f>
        <v>0</v>
      </c>
      <c r="D96" s="3">
        <f>'Monthly D7 RIN Data'!$L37</f>
        <v>0</v>
      </c>
      <c r="E96" s="3">
        <f>'Monthly D7 RIN Data'!$L49</f>
        <v>0</v>
      </c>
      <c r="F96" s="3">
        <f>'Monthly D7 RIN Data'!$L61</f>
        <v>0</v>
      </c>
      <c r="G96" s="3">
        <f>'Monthly D7 RIN Data'!$L73</f>
        <v>0</v>
      </c>
      <c r="H96" s="3">
        <f>'Monthly D7 RIN Data'!$L85</f>
        <v>0</v>
      </c>
      <c r="I96" s="3">
        <f>'Monthly D7 RIN Data'!$L97</f>
        <v>0</v>
      </c>
      <c r="J96" s="3">
        <f>'Monthly D7 RIN Data'!$L109</f>
        <v>0</v>
      </c>
      <c r="K96" s="3">
        <f>'Monthly D7 RIN Data'!$L121</f>
        <v>0</v>
      </c>
      <c r="L96" s="3">
        <f>'Monthly D7 RIN Data'!$L133</f>
        <v>0</v>
      </c>
      <c r="M96" s="3">
        <f>'Monthly D7 RIN Data'!$L145</f>
        <v>0</v>
      </c>
      <c r="N96" s="3">
        <f>'Monthly D7 RIN Data'!$L157</f>
        <v>0</v>
      </c>
      <c r="O96" s="3">
        <f>'Monthly D7 RIN Data'!$L169</f>
        <v>0</v>
      </c>
      <c r="P96" s="3">
        <f>'Monthly D7 RIN Data'!$L181</f>
        <v>0</v>
      </c>
      <c r="Q96" s="4">
        <f>'D7 Gallon Forecast'!Q94</f>
        <v>0</v>
      </c>
      <c r="R96" s="4">
        <f>'D7 Gallon Forecast'!R94</f>
        <v>0</v>
      </c>
      <c r="S96" s="4">
        <f>'D7 Gallon Forecast'!S94</f>
        <v>0</v>
      </c>
      <c r="T96" s="4">
        <f>'D7 Gallon Forecast'!T94</f>
        <v>0</v>
      </c>
      <c r="U96" s="4">
        <f>'D7 Gallon Forecast'!U94</f>
        <v>0</v>
      </c>
      <c r="V96" s="4">
        <f>'D7 Gallon Forecast'!V94</f>
        <v>0</v>
      </c>
      <c r="W96" s="4">
        <f>'D7 Gallon Forecast'!W94</f>
        <v>0</v>
      </c>
      <c r="X96" s="4">
        <f>'D7 Gallon Forecast'!X94</f>
        <v>0</v>
      </c>
      <c r="Y96" s="4">
        <f>'D7 Gallon Forecast'!Y94</f>
        <v>0</v>
      </c>
      <c r="Z96" s="4">
        <f>'D7 Gallon Forecast'!Z94</f>
        <v>0</v>
      </c>
    </row>
    <row r="97" spans="1:26">
      <c r="A97" s="2" t="s">
        <v>53</v>
      </c>
      <c r="B97" s="3">
        <f>'Monthly D7 RIN Data'!$L14</f>
        <v>0</v>
      </c>
      <c r="C97" s="3">
        <f>'Monthly D7 RIN Data'!$L26</f>
        <v>0</v>
      </c>
      <c r="D97" s="3">
        <f>'Monthly D7 RIN Data'!$L38</f>
        <v>0</v>
      </c>
      <c r="E97" s="3">
        <f>'Monthly D7 RIN Data'!$L50</f>
        <v>0</v>
      </c>
      <c r="F97" s="3">
        <f>'Monthly D7 RIN Data'!$L62</f>
        <v>0</v>
      </c>
      <c r="G97" s="3">
        <f>'Monthly D7 RIN Data'!$L74</f>
        <v>0</v>
      </c>
      <c r="H97" s="3">
        <f>'Monthly D7 RIN Data'!$L86</f>
        <v>0</v>
      </c>
      <c r="I97" s="3">
        <f>'Monthly D7 RIN Data'!$L98</f>
        <v>0</v>
      </c>
      <c r="J97" s="3">
        <f>'Monthly D7 RIN Data'!$L110</f>
        <v>0</v>
      </c>
      <c r="K97" s="3">
        <f>'Monthly D7 RIN Data'!$L122</f>
        <v>0</v>
      </c>
      <c r="L97" s="3">
        <f>'Monthly D7 RIN Data'!$L134</f>
        <v>0</v>
      </c>
      <c r="M97" s="3">
        <f>'Monthly D7 RIN Data'!$L146</f>
        <v>0</v>
      </c>
      <c r="N97" s="3">
        <f>'Monthly D7 RIN Data'!$L158</f>
        <v>0</v>
      </c>
      <c r="O97" s="3">
        <f>'Monthly D7 RIN Data'!$L170</f>
        <v>0</v>
      </c>
      <c r="P97" s="3">
        <f>'Monthly D7 RIN Data'!$L182</f>
        <v>0</v>
      </c>
      <c r="Q97" s="4">
        <f>'D7 Gallon Forecast'!Q95</f>
        <v>0</v>
      </c>
      <c r="R97" s="4">
        <f>'D7 Gallon Forecast'!R95</f>
        <v>0</v>
      </c>
      <c r="S97" s="4">
        <f>'D7 Gallon Forecast'!S95</f>
        <v>0</v>
      </c>
      <c r="T97" s="4">
        <f>'D7 Gallon Forecast'!T95</f>
        <v>0</v>
      </c>
      <c r="U97" s="4">
        <f>'D7 Gallon Forecast'!U95</f>
        <v>0</v>
      </c>
      <c r="V97" s="4">
        <f>'D7 Gallon Forecast'!V95</f>
        <v>0</v>
      </c>
      <c r="W97" s="4">
        <f>'D7 Gallon Forecast'!W95</f>
        <v>0</v>
      </c>
      <c r="X97" s="4">
        <f>'D7 Gallon Forecast'!X95</f>
        <v>0</v>
      </c>
      <c r="Y97" s="4">
        <f>'D7 Gallon Forecast'!Y95</f>
        <v>0</v>
      </c>
      <c r="Z97" s="4">
        <f>'D7 Gallon Forecast'!Z95</f>
        <v>0</v>
      </c>
    </row>
    <row r="98" spans="1:26">
      <c r="A98" s="2" t="s">
        <v>54</v>
      </c>
      <c r="B98" s="3">
        <f>'Monthly D7 RIN Data'!$L15</f>
        <v>0</v>
      </c>
      <c r="C98" s="3">
        <f>'Monthly D7 RIN Data'!$L27</f>
        <v>0</v>
      </c>
      <c r="D98" s="3">
        <f>'Monthly D7 RIN Data'!$L39</f>
        <v>0</v>
      </c>
      <c r="E98" s="3">
        <f>'Monthly D7 RIN Data'!$L51</f>
        <v>0</v>
      </c>
      <c r="F98" s="3">
        <f>'Monthly D7 RIN Data'!$L63</f>
        <v>0</v>
      </c>
      <c r="G98" s="3">
        <f>'Monthly D7 RIN Data'!$L75</f>
        <v>0</v>
      </c>
      <c r="H98" s="3">
        <f>'Monthly D7 RIN Data'!$L87</f>
        <v>0</v>
      </c>
      <c r="I98" s="3">
        <f>'Monthly D7 RIN Data'!$L99</f>
        <v>0</v>
      </c>
      <c r="J98" s="3">
        <f>'Monthly D7 RIN Data'!$L111</f>
        <v>0</v>
      </c>
      <c r="K98" s="3">
        <f>'Monthly D7 RIN Data'!$L123</f>
        <v>0</v>
      </c>
      <c r="L98" s="3">
        <f>'Monthly D7 RIN Data'!$L135</f>
        <v>0</v>
      </c>
      <c r="M98" s="3">
        <f>'Monthly D7 RIN Data'!$L147</f>
        <v>0</v>
      </c>
      <c r="N98" s="3">
        <f>'Monthly D7 RIN Data'!$L159</f>
        <v>0</v>
      </c>
      <c r="O98" s="3">
        <f>'Monthly D7 RIN Data'!$L171</f>
        <v>0</v>
      </c>
      <c r="P98" s="3">
        <f>'Monthly D7 RIN Data'!$L183</f>
        <v>0</v>
      </c>
      <c r="Q98" s="4">
        <f>'D7 Gallon Forecast'!Q96</f>
        <v>0</v>
      </c>
      <c r="R98" s="4">
        <f>'D7 Gallon Forecast'!R96</f>
        <v>0</v>
      </c>
      <c r="S98" s="4">
        <f>'D7 Gallon Forecast'!S96</f>
        <v>0</v>
      </c>
      <c r="T98" s="4">
        <f>'D7 Gallon Forecast'!T96</f>
        <v>0</v>
      </c>
      <c r="U98" s="4">
        <f>'D7 Gallon Forecast'!U96</f>
        <v>0</v>
      </c>
      <c r="V98" s="4">
        <f>'D7 Gallon Forecast'!V96</f>
        <v>0</v>
      </c>
      <c r="W98" s="4">
        <f>'D7 Gallon Forecast'!W96</f>
        <v>0</v>
      </c>
      <c r="X98" s="4">
        <f>'D7 Gallon Forecast'!X96</f>
        <v>0</v>
      </c>
      <c r="Y98" s="4">
        <f>'D7 Gallon Forecast'!Y96</f>
        <v>0</v>
      </c>
      <c r="Z98" s="4">
        <f>'D7 Gallon Forecast'!Z96</f>
        <v>0</v>
      </c>
    </row>
    <row r="99" spans="1:26" ht="13.5" thickBot="1">
      <c r="A99" s="2" t="s">
        <v>29</v>
      </c>
      <c r="B99" s="3">
        <f t="shared" ref="B99:Z99" si="33">SUM(B87:B98)</f>
        <v>0</v>
      </c>
      <c r="C99" s="3">
        <f t="shared" si="33"/>
        <v>0</v>
      </c>
      <c r="D99" s="3">
        <f t="shared" si="33"/>
        <v>0</v>
      </c>
      <c r="E99" s="3">
        <f t="shared" si="33"/>
        <v>0</v>
      </c>
      <c r="F99" s="3">
        <f t="shared" si="33"/>
        <v>0</v>
      </c>
      <c r="G99" s="3">
        <f t="shared" si="33"/>
        <v>0</v>
      </c>
      <c r="H99" s="3">
        <f t="shared" si="33"/>
        <v>0</v>
      </c>
      <c r="I99" s="3">
        <f t="shared" si="33"/>
        <v>0</v>
      </c>
      <c r="J99" s="3">
        <f t="shared" si="33"/>
        <v>0</v>
      </c>
      <c r="K99" s="3">
        <f t="shared" si="33"/>
        <v>0</v>
      </c>
      <c r="L99" s="3">
        <f t="shared" si="33"/>
        <v>0</v>
      </c>
      <c r="M99" s="3">
        <f t="shared" si="33"/>
        <v>0</v>
      </c>
      <c r="N99" s="3">
        <f t="shared" si="33"/>
        <v>0</v>
      </c>
      <c r="O99" s="3">
        <f t="shared" si="33"/>
        <v>0</v>
      </c>
      <c r="P99" s="3">
        <f t="shared" si="33"/>
        <v>0</v>
      </c>
      <c r="Q99" s="4">
        <f t="shared" si="33"/>
        <v>0</v>
      </c>
      <c r="R99" s="4">
        <f t="shared" si="33"/>
        <v>0</v>
      </c>
      <c r="S99" s="4">
        <f t="shared" si="33"/>
        <v>0</v>
      </c>
      <c r="T99" s="4">
        <f t="shared" si="33"/>
        <v>0</v>
      </c>
      <c r="U99" s="4">
        <f t="shared" si="33"/>
        <v>0</v>
      </c>
      <c r="V99" s="4">
        <f t="shared" si="33"/>
        <v>0</v>
      </c>
      <c r="W99" s="4">
        <f t="shared" si="33"/>
        <v>0</v>
      </c>
      <c r="X99" s="4">
        <f t="shared" si="33"/>
        <v>0</v>
      </c>
      <c r="Y99" s="4">
        <f t="shared" si="33"/>
        <v>0</v>
      </c>
      <c r="Z99" s="4">
        <f t="shared" si="33"/>
        <v>0</v>
      </c>
    </row>
    <row r="100" spans="1:26">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row>
    <row r="101" spans="1:26" ht="16.5" thickBot="1">
      <c r="A101" s="109" t="s">
        <v>547</v>
      </c>
    </row>
    <row r="102" spans="1:26" ht="13.5" thickBot="1">
      <c r="A102" s="110"/>
      <c r="B102" s="111">
        <v>2010</v>
      </c>
      <c r="C102" s="111">
        <v>2011</v>
      </c>
      <c r="D102" s="111">
        <v>2012</v>
      </c>
      <c r="E102" s="111">
        <v>2013</v>
      </c>
      <c r="F102" s="111">
        <v>2014</v>
      </c>
      <c r="G102" s="111">
        <v>2015</v>
      </c>
      <c r="H102" s="111">
        <v>2016</v>
      </c>
      <c r="I102" s="111">
        <v>2017</v>
      </c>
      <c r="J102" s="111">
        <v>2018</v>
      </c>
      <c r="K102" s="111">
        <v>2019</v>
      </c>
      <c r="L102" s="111">
        <v>2020</v>
      </c>
      <c r="M102" s="111">
        <v>2021</v>
      </c>
      <c r="N102" s="111">
        <v>2022</v>
      </c>
      <c r="O102" s="111">
        <v>2023</v>
      </c>
      <c r="P102" s="111">
        <v>2024</v>
      </c>
      <c r="Q102" s="111">
        <v>2025</v>
      </c>
      <c r="R102" s="111">
        <v>2026</v>
      </c>
      <c r="S102" s="111">
        <v>2027</v>
      </c>
      <c r="T102" s="111">
        <v>2028</v>
      </c>
      <c r="U102" s="111">
        <v>2029</v>
      </c>
      <c r="V102" s="111">
        <v>2030</v>
      </c>
      <c r="W102" s="111">
        <v>2031</v>
      </c>
      <c r="X102" s="111">
        <v>2032</v>
      </c>
      <c r="Y102" s="111">
        <v>2033</v>
      </c>
      <c r="Z102" s="111">
        <v>2034</v>
      </c>
    </row>
    <row r="103" spans="1:26">
      <c r="A103" s="2" t="s">
        <v>43</v>
      </c>
      <c r="B103" s="3">
        <f>'Monthly D7 RIN Data'!$C4</f>
        <v>0</v>
      </c>
      <c r="C103" s="3">
        <f>'Monthly D7 RIN Data'!$C16</f>
        <v>0</v>
      </c>
      <c r="D103" s="3">
        <f>'Monthly D7 RIN Data'!$C28</f>
        <v>0</v>
      </c>
      <c r="E103" s="3">
        <f>'Monthly D7 RIN Data'!$C40</f>
        <v>0</v>
      </c>
      <c r="F103" s="3">
        <f>'Monthly D7 RIN Data'!$C52</f>
        <v>0</v>
      </c>
      <c r="G103" s="3">
        <f>'Monthly D7 RIN Data'!$C64</f>
        <v>0</v>
      </c>
      <c r="H103" s="3">
        <f>'Monthly D7 RIN Data'!$C76</f>
        <v>0</v>
      </c>
      <c r="I103" s="3">
        <f>'Monthly D7 RIN Data'!$C88</f>
        <v>0</v>
      </c>
      <c r="J103" s="3">
        <f>'Monthly D7 RIN Data'!$C100</f>
        <v>0</v>
      </c>
      <c r="K103" s="3">
        <f>'Monthly D7 RIN Data'!$C112</f>
        <v>0</v>
      </c>
      <c r="L103" s="3">
        <f>'Monthly D7 RIN Data'!$C124</f>
        <v>0</v>
      </c>
      <c r="M103" s="3">
        <f>'Monthly D7 RIN Data'!$C136</f>
        <v>0</v>
      </c>
      <c r="N103" s="3">
        <f>'Monthly D7 RIN Data'!$C148</f>
        <v>0</v>
      </c>
      <c r="O103" s="3">
        <f>'Monthly D7 RIN Data'!$C160</f>
        <v>0</v>
      </c>
      <c r="P103" s="3">
        <f>'Monthly D7 RIN Data'!$C172</f>
        <v>0</v>
      </c>
      <c r="Q103" s="3">
        <f>'Monthly D7 RIN Data'!$C184</f>
        <v>0</v>
      </c>
      <c r="R103" s="4">
        <f>'D7 Gallon Forecast'!R101</f>
        <v>0</v>
      </c>
      <c r="S103" s="4">
        <f>'D7 Gallon Forecast'!S101</f>
        <v>0</v>
      </c>
      <c r="T103" s="4">
        <f>'D7 Gallon Forecast'!T101</f>
        <v>0</v>
      </c>
      <c r="U103" s="4">
        <f>'D7 Gallon Forecast'!U101</f>
        <v>0</v>
      </c>
      <c r="V103" s="4">
        <f>'D7 Gallon Forecast'!V101</f>
        <v>0</v>
      </c>
      <c r="W103" s="4">
        <f>'D7 Gallon Forecast'!W101</f>
        <v>0</v>
      </c>
      <c r="X103" s="4">
        <f>'D7 Gallon Forecast'!X101</f>
        <v>0</v>
      </c>
      <c r="Y103" s="4">
        <f>'D7 Gallon Forecast'!Y101</f>
        <v>0</v>
      </c>
      <c r="Z103" s="4">
        <f>'D7 Gallon Forecast'!Z101</f>
        <v>0</v>
      </c>
    </row>
    <row r="104" spans="1:26">
      <c r="A104" s="2" t="s">
        <v>44</v>
      </c>
      <c r="B104" s="3">
        <f>'Monthly D7 RIN Data'!$C5</f>
        <v>0</v>
      </c>
      <c r="C104" s="3">
        <f>'Monthly D7 RIN Data'!$C17</f>
        <v>0</v>
      </c>
      <c r="D104" s="3">
        <f>'Monthly D7 RIN Data'!$C29</f>
        <v>0</v>
      </c>
      <c r="E104" s="3">
        <f>'Monthly D7 RIN Data'!$C41</f>
        <v>0</v>
      </c>
      <c r="F104" s="3">
        <f>'Monthly D7 RIN Data'!$C53</f>
        <v>0</v>
      </c>
      <c r="G104" s="3">
        <f>'Monthly D7 RIN Data'!$C65</f>
        <v>0</v>
      </c>
      <c r="H104" s="3">
        <f>'Monthly D7 RIN Data'!$C77</f>
        <v>0</v>
      </c>
      <c r="I104" s="3">
        <f>'Monthly D7 RIN Data'!$C89</f>
        <v>0</v>
      </c>
      <c r="J104" s="3">
        <f>'Monthly D7 RIN Data'!$C101</f>
        <v>0</v>
      </c>
      <c r="K104" s="3">
        <f>'Monthly D7 RIN Data'!$C113</f>
        <v>0</v>
      </c>
      <c r="L104" s="3">
        <f>'Monthly D7 RIN Data'!$C125</f>
        <v>0</v>
      </c>
      <c r="M104" s="3">
        <f>'Monthly D7 RIN Data'!$C137</f>
        <v>0</v>
      </c>
      <c r="N104" s="3">
        <f>'Monthly D7 RIN Data'!$C149</f>
        <v>0</v>
      </c>
      <c r="O104" s="3">
        <f>'Monthly D7 RIN Data'!$C161</f>
        <v>0</v>
      </c>
      <c r="P104" s="3">
        <f>'Monthly D7 RIN Data'!$C173</f>
        <v>0</v>
      </c>
      <c r="Q104" s="3">
        <f>'Monthly D7 RIN Data'!$C185</f>
        <v>0</v>
      </c>
      <c r="R104" s="4">
        <f>'D7 Gallon Forecast'!R102</f>
        <v>0</v>
      </c>
      <c r="S104" s="4">
        <f>'D7 Gallon Forecast'!S102</f>
        <v>0</v>
      </c>
      <c r="T104" s="4">
        <f>'D7 Gallon Forecast'!T102</f>
        <v>0</v>
      </c>
      <c r="U104" s="4">
        <f>'D7 Gallon Forecast'!U102</f>
        <v>0</v>
      </c>
      <c r="V104" s="4">
        <f>'D7 Gallon Forecast'!V102</f>
        <v>0</v>
      </c>
      <c r="W104" s="4">
        <f>'D7 Gallon Forecast'!W102</f>
        <v>0</v>
      </c>
      <c r="X104" s="4">
        <f>'D7 Gallon Forecast'!X102</f>
        <v>0</v>
      </c>
      <c r="Y104" s="4">
        <f>'D7 Gallon Forecast'!Y102</f>
        <v>0</v>
      </c>
      <c r="Z104" s="4">
        <f>'D7 Gallon Forecast'!Z102</f>
        <v>0</v>
      </c>
    </row>
    <row r="105" spans="1:26">
      <c r="A105" s="2" t="s">
        <v>45</v>
      </c>
      <c r="B105" s="3">
        <f>'Monthly D7 RIN Data'!$C6</f>
        <v>0</v>
      </c>
      <c r="C105" s="3">
        <f>'Monthly D7 RIN Data'!$C18</f>
        <v>0</v>
      </c>
      <c r="D105" s="3">
        <f>'Monthly D7 RIN Data'!$C30</f>
        <v>0</v>
      </c>
      <c r="E105" s="3">
        <f>'Monthly D7 RIN Data'!$C42</f>
        <v>0</v>
      </c>
      <c r="F105" s="3">
        <f>'Monthly D7 RIN Data'!$C54</f>
        <v>0</v>
      </c>
      <c r="G105" s="3">
        <f>'Monthly D7 RIN Data'!$C66</f>
        <v>0</v>
      </c>
      <c r="H105" s="3">
        <f>'Monthly D7 RIN Data'!$C78</f>
        <v>0</v>
      </c>
      <c r="I105" s="3">
        <f>'Monthly D7 RIN Data'!$C90</f>
        <v>0</v>
      </c>
      <c r="J105" s="3">
        <f>'Monthly D7 RIN Data'!$C102</f>
        <v>0</v>
      </c>
      <c r="K105" s="3">
        <f>'Monthly D7 RIN Data'!$C114</f>
        <v>0</v>
      </c>
      <c r="L105" s="3">
        <f>'Monthly D7 RIN Data'!$C126</f>
        <v>0</v>
      </c>
      <c r="M105" s="3">
        <f>'Monthly D7 RIN Data'!$C138</f>
        <v>0</v>
      </c>
      <c r="N105" s="3">
        <f>'Monthly D7 RIN Data'!$C150</f>
        <v>0</v>
      </c>
      <c r="O105" s="3">
        <f>'Monthly D7 RIN Data'!$C162</f>
        <v>0</v>
      </c>
      <c r="P105" s="3">
        <f>'Monthly D7 RIN Data'!$C174</f>
        <v>0</v>
      </c>
      <c r="Q105" s="3">
        <f>'Monthly D7 RIN Data'!$C186</f>
        <v>0</v>
      </c>
      <c r="R105" s="4">
        <f>'D7 Gallon Forecast'!R103</f>
        <v>0</v>
      </c>
      <c r="S105" s="4">
        <f>'D7 Gallon Forecast'!S103</f>
        <v>0</v>
      </c>
      <c r="T105" s="4">
        <f>'D7 Gallon Forecast'!T103</f>
        <v>0</v>
      </c>
      <c r="U105" s="4">
        <f>'D7 Gallon Forecast'!U103</f>
        <v>0</v>
      </c>
      <c r="V105" s="4">
        <f>'D7 Gallon Forecast'!V103</f>
        <v>0</v>
      </c>
      <c r="W105" s="4">
        <f>'D7 Gallon Forecast'!W103</f>
        <v>0</v>
      </c>
      <c r="X105" s="4">
        <f>'D7 Gallon Forecast'!X103</f>
        <v>0</v>
      </c>
      <c r="Y105" s="4">
        <f>'D7 Gallon Forecast'!Y103</f>
        <v>0</v>
      </c>
      <c r="Z105" s="4">
        <f>'D7 Gallon Forecast'!Z103</f>
        <v>0</v>
      </c>
    </row>
    <row r="106" spans="1:26">
      <c r="A106" s="2" t="s">
        <v>46</v>
      </c>
      <c r="B106" s="3">
        <f>'Monthly D7 RIN Data'!$C7</f>
        <v>0</v>
      </c>
      <c r="C106" s="3">
        <f>'Monthly D7 RIN Data'!$C19</f>
        <v>0</v>
      </c>
      <c r="D106" s="3">
        <f>'Monthly D7 RIN Data'!$C31</f>
        <v>0</v>
      </c>
      <c r="E106" s="3">
        <f>'Monthly D7 RIN Data'!$C43</f>
        <v>0</v>
      </c>
      <c r="F106" s="3">
        <f>'Monthly D7 RIN Data'!$C55</f>
        <v>0</v>
      </c>
      <c r="G106" s="3">
        <f>'Monthly D7 RIN Data'!$C67</f>
        <v>0</v>
      </c>
      <c r="H106" s="3">
        <f>'Monthly D7 RIN Data'!$C79</f>
        <v>0</v>
      </c>
      <c r="I106" s="3">
        <f>'Monthly D7 RIN Data'!$C91</f>
        <v>0</v>
      </c>
      <c r="J106" s="3">
        <f>'Monthly D7 RIN Data'!$C103</f>
        <v>0</v>
      </c>
      <c r="K106" s="3">
        <f>'Monthly D7 RIN Data'!$C115</f>
        <v>0</v>
      </c>
      <c r="L106" s="3">
        <f>'Monthly D7 RIN Data'!$C127</f>
        <v>0</v>
      </c>
      <c r="M106" s="3">
        <f>'Monthly D7 RIN Data'!$C139</f>
        <v>0</v>
      </c>
      <c r="N106" s="3">
        <f>'Monthly D7 RIN Data'!$C151</f>
        <v>0</v>
      </c>
      <c r="O106" s="3">
        <f>'Monthly D7 RIN Data'!$C163</f>
        <v>0</v>
      </c>
      <c r="P106" s="3">
        <f>'Monthly D7 RIN Data'!$C175</f>
        <v>0</v>
      </c>
      <c r="Q106" s="4">
        <f>'D7 Gallon Forecast'!Q104</f>
        <v>0</v>
      </c>
      <c r="R106" s="4">
        <f>'D7 Gallon Forecast'!R104</f>
        <v>0</v>
      </c>
      <c r="S106" s="4">
        <f>'D7 Gallon Forecast'!S104</f>
        <v>0</v>
      </c>
      <c r="T106" s="4">
        <f>'D7 Gallon Forecast'!T104</f>
        <v>0</v>
      </c>
      <c r="U106" s="4">
        <f>'D7 Gallon Forecast'!U104</f>
        <v>0</v>
      </c>
      <c r="V106" s="4">
        <f>'D7 Gallon Forecast'!V104</f>
        <v>0</v>
      </c>
      <c r="W106" s="4">
        <f>'D7 Gallon Forecast'!W104</f>
        <v>0</v>
      </c>
      <c r="X106" s="4">
        <f>'D7 Gallon Forecast'!X104</f>
        <v>0</v>
      </c>
      <c r="Y106" s="4">
        <f>'D7 Gallon Forecast'!Y104</f>
        <v>0</v>
      </c>
      <c r="Z106" s="4">
        <f>'D7 Gallon Forecast'!Z104</f>
        <v>0</v>
      </c>
    </row>
    <row r="107" spans="1:26">
      <c r="A107" s="2" t="s">
        <v>47</v>
      </c>
      <c r="B107" s="3">
        <f>'Monthly D7 RIN Data'!$C8</f>
        <v>0</v>
      </c>
      <c r="C107" s="3">
        <f>'Monthly D7 RIN Data'!$C20</f>
        <v>0</v>
      </c>
      <c r="D107" s="3">
        <f>'Monthly D7 RIN Data'!$C32</f>
        <v>0</v>
      </c>
      <c r="E107" s="3">
        <f>'Monthly D7 RIN Data'!$C44</f>
        <v>0</v>
      </c>
      <c r="F107" s="3">
        <f>'Monthly D7 RIN Data'!$C56</f>
        <v>0</v>
      </c>
      <c r="G107" s="3">
        <f>'Monthly D7 RIN Data'!$C68</f>
        <v>0</v>
      </c>
      <c r="H107" s="3">
        <f>'Monthly D7 RIN Data'!$C80</f>
        <v>0</v>
      </c>
      <c r="I107" s="3">
        <f>'Monthly D7 RIN Data'!$C92</f>
        <v>0</v>
      </c>
      <c r="J107" s="3">
        <f>'Monthly D7 RIN Data'!$C104</f>
        <v>0</v>
      </c>
      <c r="K107" s="3">
        <f>'Monthly D7 RIN Data'!$C116</f>
        <v>0</v>
      </c>
      <c r="L107" s="3">
        <f>'Monthly D7 RIN Data'!$C128</f>
        <v>0</v>
      </c>
      <c r="M107" s="3">
        <f>'Monthly D7 RIN Data'!$C140</f>
        <v>0</v>
      </c>
      <c r="N107" s="3">
        <f>'Monthly D7 RIN Data'!$C152</f>
        <v>0</v>
      </c>
      <c r="O107" s="3">
        <f>'Monthly D7 RIN Data'!$C164</f>
        <v>0</v>
      </c>
      <c r="P107" s="3">
        <f>'Monthly D7 RIN Data'!$C176</f>
        <v>0</v>
      </c>
      <c r="Q107" s="4">
        <f>'D7 Gallon Forecast'!Q105</f>
        <v>0</v>
      </c>
      <c r="R107" s="4">
        <f>'D7 Gallon Forecast'!R105</f>
        <v>0</v>
      </c>
      <c r="S107" s="4">
        <f>'D7 Gallon Forecast'!S105</f>
        <v>0</v>
      </c>
      <c r="T107" s="4">
        <f>'D7 Gallon Forecast'!T105</f>
        <v>0</v>
      </c>
      <c r="U107" s="4">
        <f>'D7 Gallon Forecast'!U105</f>
        <v>0</v>
      </c>
      <c r="V107" s="4">
        <f>'D7 Gallon Forecast'!V105</f>
        <v>0</v>
      </c>
      <c r="W107" s="4">
        <f>'D7 Gallon Forecast'!W105</f>
        <v>0</v>
      </c>
      <c r="X107" s="4">
        <f>'D7 Gallon Forecast'!X105</f>
        <v>0</v>
      </c>
      <c r="Y107" s="4">
        <f>'D7 Gallon Forecast'!Y105</f>
        <v>0</v>
      </c>
      <c r="Z107" s="4">
        <f>'D7 Gallon Forecast'!Z105</f>
        <v>0</v>
      </c>
    </row>
    <row r="108" spans="1:26">
      <c r="A108" s="2" t="s">
        <v>48</v>
      </c>
      <c r="B108" s="3">
        <f>'Monthly D7 RIN Data'!$C9</f>
        <v>0</v>
      </c>
      <c r="C108" s="3">
        <f>'Monthly D7 RIN Data'!$C21</f>
        <v>0</v>
      </c>
      <c r="D108" s="3">
        <f>'Monthly D7 RIN Data'!$C33</f>
        <v>0</v>
      </c>
      <c r="E108" s="3">
        <f>'Monthly D7 RIN Data'!$C45</f>
        <v>0</v>
      </c>
      <c r="F108" s="3">
        <f>'Monthly D7 RIN Data'!$C57</f>
        <v>0</v>
      </c>
      <c r="G108" s="3">
        <f>'Monthly D7 RIN Data'!$C69</f>
        <v>0</v>
      </c>
      <c r="H108" s="3">
        <f>'Monthly D7 RIN Data'!$C81</f>
        <v>0</v>
      </c>
      <c r="I108" s="3">
        <f>'Monthly D7 RIN Data'!$C93</f>
        <v>0</v>
      </c>
      <c r="J108" s="3">
        <f>'Monthly D7 RIN Data'!$C105</f>
        <v>0</v>
      </c>
      <c r="K108" s="3">
        <f>'Monthly D7 RIN Data'!$C117</f>
        <v>0</v>
      </c>
      <c r="L108" s="3">
        <f>'Monthly D7 RIN Data'!$C129</f>
        <v>0</v>
      </c>
      <c r="M108" s="3">
        <f>'Monthly D7 RIN Data'!$C141</f>
        <v>0</v>
      </c>
      <c r="N108" s="3">
        <f>'Monthly D7 RIN Data'!$C153</f>
        <v>0</v>
      </c>
      <c r="O108" s="3">
        <f>'Monthly D7 RIN Data'!$C165</f>
        <v>0</v>
      </c>
      <c r="P108" s="3">
        <f>'Monthly D7 RIN Data'!$C177</f>
        <v>0</v>
      </c>
      <c r="Q108" s="4">
        <f>'D7 Gallon Forecast'!Q106</f>
        <v>0</v>
      </c>
      <c r="R108" s="4">
        <f>'D7 Gallon Forecast'!R106</f>
        <v>0</v>
      </c>
      <c r="S108" s="4">
        <f>'D7 Gallon Forecast'!S106</f>
        <v>0</v>
      </c>
      <c r="T108" s="4">
        <f>'D7 Gallon Forecast'!T106</f>
        <v>0</v>
      </c>
      <c r="U108" s="4">
        <f>'D7 Gallon Forecast'!U106</f>
        <v>0</v>
      </c>
      <c r="V108" s="4">
        <f>'D7 Gallon Forecast'!V106</f>
        <v>0</v>
      </c>
      <c r="W108" s="4">
        <f>'D7 Gallon Forecast'!W106</f>
        <v>0</v>
      </c>
      <c r="X108" s="4">
        <f>'D7 Gallon Forecast'!X106</f>
        <v>0</v>
      </c>
      <c r="Y108" s="4">
        <f>'D7 Gallon Forecast'!Y106</f>
        <v>0</v>
      </c>
      <c r="Z108" s="4">
        <f>'D7 Gallon Forecast'!Z106</f>
        <v>0</v>
      </c>
    </row>
    <row r="109" spans="1:26">
      <c r="A109" s="2" t="s">
        <v>49</v>
      </c>
      <c r="B109" s="3">
        <f>'Monthly D7 RIN Data'!$C10</f>
        <v>0</v>
      </c>
      <c r="C109" s="3">
        <f>'Monthly D7 RIN Data'!$C22</f>
        <v>0</v>
      </c>
      <c r="D109" s="3">
        <f>'Monthly D7 RIN Data'!$C34</f>
        <v>0</v>
      </c>
      <c r="E109" s="3">
        <f>'Monthly D7 RIN Data'!$C46</f>
        <v>0</v>
      </c>
      <c r="F109" s="3">
        <f>'Monthly D7 RIN Data'!$C58</f>
        <v>0</v>
      </c>
      <c r="G109" s="3">
        <f>'Monthly D7 RIN Data'!$C70</f>
        <v>0</v>
      </c>
      <c r="H109" s="3">
        <f>'Monthly D7 RIN Data'!$C82</f>
        <v>0</v>
      </c>
      <c r="I109" s="3">
        <f>'Monthly D7 RIN Data'!$C94</f>
        <v>0</v>
      </c>
      <c r="J109" s="3">
        <f>'Monthly D7 RIN Data'!$C106</f>
        <v>0</v>
      </c>
      <c r="K109" s="3">
        <f>'Monthly D7 RIN Data'!$C118</f>
        <v>0</v>
      </c>
      <c r="L109" s="3">
        <f>'Monthly D7 RIN Data'!$C130</f>
        <v>0</v>
      </c>
      <c r="M109" s="3">
        <f>'Monthly D7 RIN Data'!$C142</f>
        <v>0</v>
      </c>
      <c r="N109" s="3">
        <f>'Monthly D7 RIN Data'!$C154</f>
        <v>0</v>
      </c>
      <c r="O109" s="3">
        <f>'Monthly D7 RIN Data'!$C166</f>
        <v>0</v>
      </c>
      <c r="P109" s="3">
        <f>'Monthly D7 RIN Data'!$C178</f>
        <v>0</v>
      </c>
      <c r="Q109" s="4">
        <f>'D7 Gallon Forecast'!Q107</f>
        <v>0</v>
      </c>
      <c r="R109" s="4">
        <f>'D7 Gallon Forecast'!R107</f>
        <v>0</v>
      </c>
      <c r="S109" s="4">
        <f>'D7 Gallon Forecast'!S107</f>
        <v>0</v>
      </c>
      <c r="T109" s="4">
        <f>'D7 Gallon Forecast'!T107</f>
        <v>0</v>
      </c>
      <c r="U109" s="4">
        <f>'D7 Gallon Forecast'!U107</f>
        <v>0</v>
      </c>
      <c r="V109" s="4">
        <f>'D7 Gallon Forecast'!V107</f>
        <v>0</v>
      </c>
      <c r="W109" s="4">
        <f>'D7 Gallon Forecast'!W107</f>
        <v>0</v>
      </c>
      <c r="X109" s="4">
        <f>'D7 Gallon Forecast'!X107</f>
        <v>0</v>
      </c>
      <c r="Y109" s="4">
        <f>'D7 Gallon Forecast'!Y107</f>
        <v>0</v>
      </c>
      <c r="Z109" s="4">
        <f>'D7 Gallon Forecast'!Z107</f>
        <v>0</v>
      </c>
    </row>
    <row r="110" spans="1:26">
      <c r="A110" s="2" t="s">
        <v>50</v>
      </c>
      <c r="B110" s="3">
        <f>'Monthly D7 RIN Data'!$C11</f>
        <v>0</v>
      </c>
      <c r="C110" s="3">
        <f>'Monthly D7 RIN Data'!$C23</f>
        <v>0</v>
      </c>
      <c r="D110" s="3">
        <f>'Monthly D7 RIN Data'!$C35</f>
        <v>0</v>
      </c>
      <c r="E110" s="3">
        <f>'Monthly D7 RIN Data'!$C47</f>
        <v>0</v>
      </c>
      <c r="F110" s="3">
        <f>'Monthly D7 RIN Data'!$C59</f>
        <v>0</v>
      </c>
      <c r="G110" s="3">
        <f>'Monthly D7 RIN Data'!$C71</f>
        <v>0</v>
      </c>
      <c r="H110" s="3">
        <f>'Monthly D7 RIN Data'!$C83</f>
        <v>0</v>
      </c>
      <c r="I110" s="3">
        <f>'Monthly D7 RIN Data'!$C95</f>
        <v>0</v>
      </c>
      <c r="J110" s="3">
        <f>'Monthly D7 RIN Data'!$C107</f>
        <v>0</v>
      </c>
      <c r="K110" s="3">
        <f>'Monthly D7 RIN Data'!$C119</f>
        <v>0</v>
      </c>
      <c r="L110" s="3">
        <f>'Monthly D7 RIN Data'!$C131</f>
        <v>0</v>
      </c>
      <c r="M110" s="3">
        <f>'Monthly D7 RIN Data'!$C143</f>
        <v>0</v>
      </c>
      <c r="N110" s="3">
        <f>'Monthly D7 RIN Data'!$C155</f>
        <v>0</v>
      </c>
      <c r="O110" s="3">
        <f>'Monthly D7 RIN Data'!$C167</f>
        <v>0</v>
      </c>
      <c r="P110" s="3">
        <f>'Monthly D7 RIN Data'!$C179</f>
        <v>0</v>
      </c>
      <c r="Q110" s="4">
        <f>'D7 Gallon Forecast'!Q108</f>
        <v>0</v>
      </c>
      <c r="R110" s="4">
        <f>'D7 Gallon Forecast'!R108</f>
        <v>0</v>
      </c>
      <c r="S110" s="4">
        <f>'D7 Gallon Forecast'!S108</f>
        <v>0</v>
      </c>
      <c r="T110" s="4">
        <f>'D7 Gallon Forecast'!T108</f>
        <v>0</v>
      </c>
      <c r="U110" s="4">
        <f>'D7 Gallon Forecast'!U108</f>
        <v>0</v>
      </c>
      <c r="V110" s="4">
        <f>'D7 Gallon Forecast'!V108</f>
        <v>0</v>
      </c>
      <c r="W110" s="4">
        <f>'D7 Gallon Forecast'!W108</f>
        <v>0</v>
      </c>
      <c r="X110" s="4">
        <f>'D7 Gallon Forecast'!X108</f>
        <v>0</v>
      </c>
      <c r="Y110" s="4">
        <f>'D7 Gallon Forecast'!Y108</f>
        <v>0</v>
      </c>
      <c r="Z110" s="4">
        <f>'D7 Gallon Forecast'!Z108</f>
        <v>0</v>
      </c>
    </row>
    <row r="111" spans="1:26">
      <c r="A111" s="2" t="s">
        <v>51</v>
      </c>
      <c r="B111" s="3">
        <f>'Monthly D7 RIN Data'!$C12</f>
        <v>0</v>
      </c>
      <c r="C111" s="3">
        <f>'Monthly D7 RIN Data'!$C24</f>
        <v>0</v>
      </c>
      <c r="D111" s="3">
        <f>'Monthly D7 RIN Data'!$C36</f>
        <v>0</v>
      </c>
      <c r="E111" s="3">
        <f>'Monthly D7 RIN Data'!$C48</f>
        <v>0</v>
      </c>
      <c r="F111" s="3">
        <f>'Monthly D7 RIN Data'!$C60</f>
        <v>0</v>
      </c>
      <c r="G111" s="3">
        <f>'Monthly D7 RIN Data'!$C72</f>
        <v>0</v>
      </c>
      <c r="H111" s="3">
        <f>'Monthly D7 RIN Data'!$C84</f>
        <v>0</v>
      </c>
      <c r="I111" s="3">
        <f>'Monthly D7 RIN Data'!$C96</f>
        <v>0</v>
      </c>
      <c r="J111" s="3">
        <f>'Monthly D7 RIN Data'!$C108</f>
        <v>0</v>
      </c>
      <c r="K111" s="3">
        <f>'Monthly D7 RIN Data'!$C120</f>
        <v>0</v>
      </c>
      <c r="L111" s="3">
        <f>'Monthly D7 RIN Data'!$C132</f>
        <v>0</v>
      </c>
      <c r="M111" s="3">
        <f>'Monthly D7 RIN Data'!$C144</f>
        <v>0</v>
      </c>
      <c r="N111" s="3">
        <f>'Monthly D7 RIN Data'!$C156</f>
        <v>0</v>
      </c>
      <c r="O111" s="3">
        <f>'Monthly D7 RIN Data'!$C168</f>
        <v>0</v>
      </c>
      <c r="P111" s="3">
        <f>'Monthly D7 RIN Data'!$C180</f>
        <v>0</v>
      </c>
      <c r="Q111" s="4">
        <f>'D7 Gallon Forecast'!Q109</f>
        <v>0</v>
      </c>
      <c r="R111" s="4">
        <f>'D7 Gallon Forecast'!R109</f>
        <v>0</v>
      </c>
      <c r="S111" s="4">
        <f>'D7 Gallon Forecast'!S109</f>
        <v>0</v>
      </c>
      <c r="T111" s="4">
        <f>'D7 Gallon Forecast'!T109</f>
        <v>0</v>
      </c>
      <c r="U111" s="4">
        <f>'D7 Gallon Forecast'!U109</f>
        <v>0</v>
      </c>
      <c r="V111" s="4">
        <f>'D7 Gallon Forecast'!V109</f>
        <v>0</v>
      </c>
      <c r="W111" s="4">
        <f>'D7 Gallon Forecast'!W109</f>
        <v>0</v>
      </c>
      <c r="X111" s="4">
        <f>'D7 Gallon Forecast'!X109</f>
        <v>0</v>
      </c>
      <c r="Y111" s="4">
        <f>'D7 Gallon Forecast'!Y109</f>
        <v>0</v>
      </c>
      <c r="Z111" s="4">
        <f>'D7 Gallon Forecast'!Z109</f>
        <v>0</v>
      </c>
    </row>
    <row r="112" spans="1:26">
      <c r="A112" s="2" t="s">
        <v>52</v>
      </c>
      <c r="B112" s="3">
        <f>'Monthly D7 RIN Data'!$C13</f>
        <v>0</v>
      </c>
      <c r="C112" s="3">
        <f>'Monthly D7 RIN Data'!$C25</f>
        <v>0</v>
      </c>
      <c r="D112" s="3">
        <f>'Monthly D7 RIN Data'!$C37</f>
        <v>0</v>
      </c>
      <c r="E112" s="3">
        <f>'Monthly D7 RIN Data'!$C49</f>
        <v>0</v>
      </c>
      <c r="F112" s="3">
        <f>'Monthly D7 RIN Data'!$C61</f>
        <v>0</v>
      </c>
      <c r="G112" s="3">
        <f>'Monthly D7 RIN Data'!$C73</f>
        <v>0</v>
      </c>
      <c r="H112" s="3">
        <f>'Monthly D7 RIN Data'!$C85</f>
        <v>0</v>
      </c>
      <c r="I112" s="3">
        <f>'Monthly D7 RIN Data'!$C97</f>
        <v>0</v>
      </c>
      <c r="J112" s="3">
        <f>'Monthly D7 RIN Data'!$C109</f>
        <v>0</v>
      </c>
      <c r="K112" s="3">
        <f>'Monthly D7 RIN Data'!$C121</f>
        <v>0</v>
      </c>
      <c r="L112" s="3">
        <f>'Monthly D7 RIN Data'!$C133</f>
        <v>0</v>
      </c>
      <c r="M112" s="3">
        <f>'Monthly D7 RIN Data'!$C145</f>
        <v>0</v>
      </c>
      <c r="N112" s="3">
        <f>'Monthly D7 RIN Data'!$C157</f>
        <v>0</v>
      </c>
      <c r="O112" s="3">
        <f>'Monthly D7 RIN Data'!$C169</f>
        <v>0</v>
      </c>
      <c r="P112" s="3">
        <f>'Monthly D7 RIN Data'!$C181</f>
        <v>0</v>
      </c>
      <c r="Q112" s="4">
        <f>'D7 Gallon Forecast'!Q110</f>
        <v>0</v>
      </c>
      <c r="R112" s="4">
        <f>'D7 Gallon Forecast'!R110</f>
        <v>0</v>
      </c>
      <c r="S112" s="4">
        <f>'D7 Gallon Forecast'!S110</f>
        <v>0</v>
      </c>
      <c r="T112" s="4">
        <f>'D7 Gallon Forecast'!T110</f>
        <v>0</v>
      </c>
      <c r="U112" s="4">
        <f>'D7 Gallon Forecast'!U110</f>
        <v>0</v>
      </c>
      <c r="V112" s="4">
        <f>'D7 Gallon Forecast'!V110</f>
        <v>0</v>
      </c>
      <c r="W112" s="4">
        <f>'D7 Gallon Forecast'!W110</f>
        <v>0</v>
      </c>
      <c r="X112" s="4">
        <f>'D7 Gallon Forecast'!X110</f>
        <v>0</v>
      </c>
      <c r="Y112" s="4">
        <f>'D7 Gallon Forecast'!Y110</f>
        <v>0</v>
      </c>
      <c r="Z112" s="4">
        <f>'D7 Gallon Forecast'!Z110</f>
        <v>0</v>
      </c>
    </row>
    <row r="113" spans="1:26">
      <c r="A113" s="2" t="s">
        <v>53</v>
      </c>
      <c r="B113" s="3">
        <f>'Monthly D7 RIN Data'!$C14</f>
        <v>0</v>
      </c>
      <c r="C113" s="3">
        <f>'Monthly D7 RIN Data'!$C26</f>
        <v>0</v>
      </c>
      <c r="D113" s="3">
        <f>'Monthly D7 RIN Data'!$C38</f>
        <v>0</v>
      </c>
      <c r="E113" s="3">
        <f>'Monthly D7 RIN Data'!$C50</f>
        <v>0</v>
      </c>
      <c r="F113" s="3">
        <f>'Monthly D7 RIN Data'!$C62</f>
        <v>0</v>
      </c>
      <c r="G113" s="3">
        <f>'Monthly D7 RIN Data'!$C74</f>
        <v>0</v>
      </c>
      <c r="H113" s="3">
        <f>'Monthly D7 RIN Data'!$C86</f>
        <v>0</v>
      </c>
      <c r="I113" s="3">
        <f>'Monthly D7 RIN Data'!$C98</f>
        <v>0</v>
      </c>
      <c r="J113" s="3">
        <f>'Monthly D7 RIN Data'!$C110</f>
        <v>0</v>
      </c>
      <c r="K113" s="3">
        <f>'Monthly D7 RIN Data'!$C122</f>
        <v>0</v>
      </c>
      <c r="L113" s="3">
        <f>'Monthly D7 RIN Data'!$C134</f>
        <v>0</v>
      </c>
      <c r="M113" s="3">
        <f>'Monthly D7 RIN Data'!$C146</f>
        <v>0</v>
      </c>
      <c r="N113" s="3">
        <f>'Monthly D7 RIN Data'!$C158</f>
        <v>0</v>
      </c>
      <c r="O113" s="3">
        <f>'Monthly D7 RIN Data'!$C170</f>
        <v>0</v>
      </c>
      <c r="P113" s="3">
        <f>'Monthly D7 RIN Data'!$C182</f>
        <v>0</v>
      </c>
      <c r="Q113" s="4">
        <f>'D7 Gallon Forecast'!Q111</f>
        <v>0</v>
      </c>
      <c r="R113" s="4">
        <f>'D7 Gallon Forecast'!R111</f>
        <v>0</v>
      </c>
      <c r="S113" s="4">
        <f>'D7 Gallon Forecast'!S111</f>
        <v>0</v>
      </c>
      <c r="T113" s="4">
        <f>'D7 Gallon Forecast'!T111</f>
        <v>0</v>
      </c>
      <c r="U113" s="4">
        <f>'D7 Gallon Forecast'!U111</f>
        <v>0</v>
      </c>
      <c r="V113" s="4">
        <f>'D7 Gallon Forecast'!V111</f>
        <v>0</v>
      </c>
      <c r="W113" s="4">
        <f>'D7 Gallon Forecast'!W111</f>
        <v>0</v>
      </c>
      <c r="X113" s="4">
        <f>'D7 Gallon Forecast'!X111</f>
        <v>0</v>
      </c>
      <c r="Y113" s="4">
        <f>'D7 Gallon Forecast'!Y111</f>
        <v>0</v>
      </c>
      <c r="Z113" s="4">
        <f>'D7 Gallon Forecast'!Z111</f>
        <v>0</v>
      </c>
    </row>
    <row r="114" spans="1:26">
      <c r="A114" s="2" t="s">
        <v>54</v>
      </c>
      <c r="B114" s="3">
        <f>'Monthly D7 RIN Data'!$C15</f>
        <v>0</v>
      </c>
      <c r="C114" s="3">
        <f>'Monthly D7 RIN Data'!$C27</f>
        <v>0</v>
      </c>
      <c r="D114" s="3">
        <f>'Monthly D7 RIN Data'!$C39</f>
        <v>0</v>
      </c>
      <c r="E114" s="3">
        <f>'Monthly D7 RIN Data'!$C51</f>
        <v>0</v>
      </c>
      <c r="F114" s="3">
        <f>'Monthly D7 RIN Data'!$C63</f>
        <v>0</v>
      </c>
      <c r="G114" s="3">
        <f>'Monthly D7 RIN Data'!$C75</f>
        <v>0</v>
      </c>
      <c r="H114" s="3">
        <f>'Monthly D7 RIN Data'!$C87</f>
        <v>0</v>
      </c>
      <c r="I114" s="3">
        <f>'Monthly D7 RIN Data'!$C99</f>
        <v>0</v>
      </c>
      <c r="J114" s="3">
        <f>'Monthly D7 RIN Data'!$C111</f>
        <v>0</v>
      </c>
      <c r="K114" s="3">
        <f>'Monthly D7 RIN Data'!$C123</f>
        <v>0</v>
      </c>
      <c r="L114" s="3">
        <f>'Monthly D7 RIN Data'!$C135</f>
        <v>0</v>
      </c>
      <c r="M114" s="3">
        <f>'Monthly D7 RIN Data'!$C147</f>
        <v>0</v>
      </c>
      <c r="N114" s="3">
        <f>'Monthly D7 RIN Data'!$C159</f>
        <v>0</v>
      </c>
      <c r="O114" s="3">
        <f>'Monthly D7 RIN Data'!$C171</f>
        <v>0</v>
      </c>
      <c r="P114" s="3">
        <f>'Monthly D7 RIN Data'!$C183</f>
        <v>0</v>
      </c>
      <c r="Q114" s="4">
        <f>'D7 Gallon Forecast'!Q112</f>
        <v>0</v>
      </c>
      <c r="R114" s="4">
        <f>'D7 Gallon Forecast'!R112</f>
        <v>0</v>
      </c>
      <c r="S114" s="4">
        <f>'D7 Gallon Forecast'!S112</f>
        <v>0</v>
      </c>
      <c r="T114" s="4">
        <f>'D7 Gallon Forecast'!T112</f>
        <v>0</v>
      </c>
      <c r="U114" s="4">
        <f>'D7 Gallon Forecast'!U112</f>
        <v>0</v>
      </c>
      <c r="V114" s="4">
        <f>'D7 Gallon Forecast'!V112</f>
        <v>0</v>
      </c>
      <c r="W114" s="4">
        <f>'D7 Gallon Forecast'!W112</f>
        <v>0</v>
      </c>
      <c r="X114" s="4">
        <f>'D7 Gallon Forecast'!X112</f>
        <v>0</v>
      </c>
      <c r="Y114" s="4">
        <f>'D7 Gallon Forecast'!Y112</f>
        <v>0</v>
      </c>
      <c r="Z114" s="4">
        <f>'D7 Gallon Forecast'!Z112</f>
        <v>0</v>
      </c>
    </row>
    <row r="115" spans="1:26" ht="13.5" thickBot="1">
      <c r="A115" s="2" t="s">
        <v>29</v>
      </c>
      <c r="B115" s="3">
        <f>SUM(B103:B114)</f>
        <v>0</v>
      </c>
      <c r="C115" s="3">
        <f t="shared" ref="C115:Z115" si="34">SUM(C103:C114)</f>
        <v>0</v>
      </c>
      <c r="D115" s="3">
        <f t="shared" si="34"/>
        <v>0</v>
      </c>
      <c r="E115" s="3">
        <f t="shared" si="34"/>
        <v>0</v>
      </c>
      <c r="F115" s="3">
        <f t="shared" si="34"/>
        <v>0</v>
      </c>
      <c r="G115" s="3">
        <f t="shared" si="34"/>
        <v>0</v>
      </c>
      <c r="H115" s="3">
        <f t="shared" si="34"/>
        <v>0</v>
      </c>
      <c r="I115" s="3">
        <f t="shared" si="34"/>
        <v>0</v>
      </c>
      <c r="J115" s="3">
        <f t="shared" si="34"/>
        <v>0</v>
      </c>
      <c r="K115" s="3">
        <f t="shared" si="34"/>
        <v>0</v>
      </c>
      <c r="L115" s="3">
        <f t="shared" si="34"/>
        <v>0</v>
      </c>
      <c r="M115" s="3">
        <f t="shared" si="34"/>
        <v>0</v>
      </c>
      <c r="N115" s="3">
        <f t="shared" si="34"/>
        <v>0</v>
      </c>
      <c r="O115" s="3">
        <f t="shared" si="34"/>
        <v>0</v>
      </c>
      <c r="P115" s="3">
        <f t="shared" si="34"/>
        <v>0</v>
      </c>
      <c r="Q115" s="4">
        <f t="shared" si="34"/>
        <v>0</v>
      </c>
      <c r="R115" s="4">
        <f t="shared" si="34"/>
        <v>0</v>
      </c>
      <c r="S115" s="4">
        <f t="shared" si="34"/>
        <v>0</v>
      </c>
      <c r="T115" s="4">
        <f t="shared" si="34"/>
        <v>0</v>
      </c>
      <c r="U115" s="4">
        <f t="shared" si="34"/>
        <v>0</v>
      </c>
      <c r="V115" s="4">
        <f t="shared" si="34"/>
        <v>0</v>
      </c>
      <c r="W115" s="4">
        <f t="shared" si="34"/>
        <v>0</v>
      </c>
      <c r="X115" s="4">
        <f t="shared" si="34"/>
        <v>0</v>
      </c>
      <c r="Y115" s="4">
        <f t="shared" si="34"/>
        <v>0</v>
      </c>
      <c r="Z115" s="4">
        <f t="shared" si="34"/>
        <v>0</v>
      </c>
    </row>
    <row r="116" spans="1:26">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row>
    <row r="117" spans="1:26" ht="16.5" thickBot="1">
      <c r="A117" s="109" t="s">
        <v>548</v>
      </c>
    </row>
    <row r="118" spans="1:26" ht="13.5" thickBot="1">
      <c r="A118" s="110"/>
      <c r="B118" s="111">
        <v>2010</v>
      </c>
      <c r="C118" s="111">
        <v>2011</v>
      </c>
      <c r="D118" s="111">
        <v>2012</v>
      </c>
      <c r="E118" s="111">
        <v>2013</v>
      </c>
      <c r="F118" s="111">
        <v>2014</v>
      </c>
      <c r="G118" s="111">
        <v>2015</v>
      </c>
      <c r="H118" s="111">
        <v>2016</v>
      </c>
      <c r="I118" s="111">
        <v>2017</v>
      </c>
      <c r="J118" s="111">
        <v>2018</v>
      </c>
      <c r="K118" s="111">
        <v>2019</v>
      </c>
      <c r="L118" s="111">
        <v>2020</v>
      </c>
      <c r="M118" s="111">
        <v>2021</v>
      </c>
      <c r="N118" s="111">
        <v>2022</v>
      </c>
      <c r="O118" s="111">
        <v>2023</v>
      </c>
      <c r="P118" s="111">
        <v>2024</v>
      </c>
      <c r="Q118" s="111">
        <v>2025</v>
      </c>
      <c r="R118" s="111">
        <v>2026</v>
      </c>
      <c r="S118" s="111">
        <v>2027</v>
      </c>
      <c r="T118" s="111">
        <v>2028</v>
      </c>
      <c r="U118" s="111">
        <v>2029</v>
      </c>
      <c r="V118" s="111">
        <v>2030</v>
      </c>
      <c r="W118" s="111">
        <v>2031</v>
      </c>
      <c r="X118" s="111">
        <v>2032</v>
      </c>
      <c r="Y118" s="111">
        <v>2033</v>
      </c>
      <c r="Z118" s="111">
        <v>2034</v>
      </c>
    </row>
    <row r="119" spans="1:26">
      <c r="A119" s="2" t="s">
        <v>43</v>
      </c>
      <c r="B119" s="3">
        <f t="shared" ref="B119:Q130" si="35">B135+B151</f>
        <v>0</v>
      </c>
      <c r="C119" s="3">
        <f t="shared" si="35"/>
        <v>0</v>
      </c>
      <c r="D119" s="3">
        <f t="shared" si="35"/>
        <v>0</v>
      </c>
      <c r="E119" s="3">
        <f t="shared" si="35"/>
        <v>0</v>
      </c>
      <c r="F119" s="3">
        <f t="shared" si="35"/>
        <v>0</v>
      </c>
      <c r="G119" s="3">
        <f t="shared" si="35"/>
        <v>0</v>
      </c>
      <c r="H119" s="3">
        <f t="shared" si="35"/>
        <v>0</v>
      </c>
      <c r="I119" s="3">
        <f t="shared" si="35"/>
        <v>0</v>
      </c>
      <c r="J119" s="3">
        <f t="shared" si="35"/>
        <v>49276</v>
      </c>
      <c r="K119" s="3">
        <f>K135+K151</f>
        <v>148993</v>
      </c>
      <c r="L119" s="3">
        <f>L135+L151</f>
        <v>0</v>
      </c>
      <c r="M119" s="3">
        <f>M135+M151</f>
        <v>0</v>
      </c>
      <c r="N119" s="3">
        <f>N135+N151</f>
        <v>0</v>
      </c>
      <c r="O119" s="3">
        <f>O135+O151</f>
        <v>0</v>
      </c>
      <c r="P119" s="3">
        <f t="shared" ref="P119:Z130" si="36">P135+P151</f>
        <v>0</v>
      </c>
      <c r="Q119" s="3">
        <f t="shared" si="36"/>
        <v>0</v>
      </c>
      <c r="R119" s="4">
        <f t="shared" si="36"/>
        <v>0</v>
      </c>
      <c r="S119" s="4">
        <f t="shared" si="36"/>
        <v>0</v>
      </c>
      <c r="T119" s="4">
        <f t="shared" si="36"/>
        <v>0</v>
      </c>
      <c r="U119" s="4">
        <f t="shared" si="36"/>
        <v>0</v>
      </c>
      <c r="V119" s="4">
        <f t="shared" si="36"/>
        <v>0</v>
      </c>
      <c r="W119" s="4">
        <f t="shared" si="36"/>
        <v>0</v>
      </c>
      <c r="X119" s="4">
        <f t="shared" si="36"/>
        <v>0</v>
      </c>
      <c r="Y119" s="4">
        <f t="shared" si="36"/>
        <v>0</v>
      </c>
      <c r="Z119" s="4">
        <f t="shared" si="36"/>
        <v>0</v>
      </c>
    </row>
    <row r="120" spans="1:26">
      <c r="A120" s="2" t="s">
        <v>44</v>
      </c>
      <c r="B120" s="3">
        <f t="shared" si="35"/>
        <v>0</v>
      </c>
      <c r="C120" s="3">
        <f t="shared" si="35"/>
        <v>0</v>
      </c>
      <c r="D120" s="3">
        <f t="shared" si="35"/>
        <v>0</v>
      </c>
      <c r="E120" s="3">
        <f t="shared" si="35"/>
        <v>0</v>
      </c>
      <c r="F120" s="3">
        <f t="shared" si="35"/>
        <v>0</v>
      </c>
      <c r="G120" s="3">
        <f t="shared" si="35"/>
        <v>0</v>
      </c>
      <c r="H120" s="3">
        <f t="shared" si="35"/>
        <v>0</v>
      </c>
      <c r="I120" s="3">
        <f t="shared" si="35"/>
        <v>0</v>
      </c>
      <c r="J120" s="3">
        <f t="shared" si="35"/>
        <v>0</v>
      </c>
      <c r="K120" s="3">
        <f t="shared" si="35"/>
        <v>225497</v>
      </c>
      <c r="L120" s="3">
        <f t="shared" si="35"/>
        <v>0</v>
      </c>
      <c r="M120" s="3">
        <f t="shared" si="35"/>
        <v>0</v>
      </c>
      <c r="N120" s="3">
        <f t="shared" si="35"/>
        <v>58930</v>
      </c>
      <c r="O120" s="3">
        <f>O136+O152</f>
        <v>0</v>
      </c>
      <c r="P120" s="3">
        <f t="shared" si="36"/>
        <v>0</v>
      </c>
      <c r="Q120" s="3">
        <f t="shared" si="36"/>
        <v>0</v>
      </c>
      <c r="R120" s="4">
        <f t="shared" si="36"/>
        <v>10045.402294857344</v>
      </c>
      <c r="S120" s="4">
        <f t="shared" si="36"/>
        <v>9004.7184796997826</v>
      </c>
      <c r="T120" s="4">
        <f t="shared" si="36"/>
        <v>9456.7959158934718</v>
      </c>
      <c r="U120" s="4">
        <f t="shared" si="36"/>
        <v>10021.993867898625</v>
      </c>
      <c r="V120" s="4">
        <f t="shared" si="36"/>
        <v>10276.356782225263</v>
      </c>
      <c r="W120" s="4">
        <f t="shared" si="36"/>
        <v>10622.416048043095</v>
      </c>
      <c r="X120" s="4">
        <f t="shared" si="36"/>
        <v>10631.132060653968</v>
      </c>
      <c r="Y120" s="4">
        <f t="shared" si="36"/>
        <v>11190.564647290204</v>
      </c>
      <c r="Z120" s="4">
        <f t="shared" si="36"/>
        <v>11450.774970440867</v>
      </c>
    </row>
    <row r="121" spans="1:26">
      <c r="A121" s="2" t="s">
        <v>45</v>
      </c>
      <c r="B121" s="3">
        <f t="shared" si="35"/>
        <v>0</v>
      </c>
      <c r="C121" s="3">
        <f t="shared" si="35"/>
        <v>0</v>
      </c>
      <c r="D121" s="3">
        <f t="shared" si="35"/>
        <v>0</v>
      </c>
      <c r="E121" s="3">
        <f t="shared" si="35"/>
        <v>0</v>
      </c>
      <c r="F121" s="3">
        <f t="shared" si="35"/>
        <v>472</v>
      </c>
      <c r="G121" s="3">
        <f t="shared" si="35"/>
        <v>0</v>
      </c>
      <c r="H121" s="3">
        <f t="shared" si="35"/>
        <v>127593</v>
      </c>
      <c r="I121" s="3">
        <f t="shared" si="35"/>
        <v>0</v>
      </c>
      <c r="J121" s="3">
        <f t="shared" si="35"/>
        <v>592070</v>
      </c>
      <c r="K121" s="3">
        <f t="shared" si="35"/>
        <v>423217</v>
      </c>
      <c r="L121" s="3">
        <f t="shared" si="35"/>
        <v>0</v>
      </c>
      <c r="M121" s="3">
        <f t="shared" si="35"/>
        <v>0</v>
      </c>
      <c r="N121" s="3">
        <f t="shared" si="35"/>
        <v>0</v>
      </c>
      <c r="O121" s="3">
        <f t="shared" si="35"/>
        <v>0</v>
      </c>
      <c r="P121" s="3">
        <f t="shared" si="36"/>
        <v>0</v>
      </c>
      <c r="Q121" s="3">
        <f t="shared" si="36"/>
        <v>0</v>
      </c>
      <c r="R121" s="4">
        <f t="shared" si="36"/>
        <v>50912.825335798538</v>
      </c>
      <c r="S121" s="4">
        <f t="shared" si="36"/>
        <v>45638.357300005271</v>
      </c>
      <c r="T121" s="4">
        <f t="shared" si="36"/>
        <v>47929.60844869924</v>
      </c>
      <c r="U121" s="4">
        <f t="shared" si="36"/>
        <v>50794.185074497589</v>
      </c>
      <c r="V121" s="4">
        <f t="shared" si="36"/>
        <v>52083.365363040793</v>
      </c>
      <c r="W121" s="4">
        <f t="shared" si="36"/>
        <v>53837.287649004167</v>
      </c>
      <c r="X121" s="4">
        <f t="shared" si="36"/>
        <v>53881.462766600926</v>
      </c>
      <c r="Y121" s="4">
        <f t="shared" si="36"/>
        <v>56716.818955884242</v>
      </c>
      <c r="Z121" s="4">
        <f t="shared" si="36"/>
        <v>58035.63549944105</v>
      </c>
    </row>
    <row r="122" spans="1:26">
      <c r="A122" s="2" t="s">
        <v>46</v>
      </c>
      <c r="B122" s="3">
        <f t="shared" si="35"/>
        <v>0</v>
      </c>
      <c r="C122" s="3">
        <f t="shared" si="35"/>
        <v>0</v>
      </c>
      <c r="D122" s="3">
        <f t="shared" si="35"/>
        <v>0</v>
      </c>
      <c r="E122" s="3">
        <f t="shared" si="35"/>
        <v>0</v>
      </c>
      <c r="F122" s="3">
        <f t="shared" si="35"/>
        <v>2091</v>
      </c>
      <c r="G122" s="3">
        <f t="shared" si="35"/>
        <v>0</v>
      </c>
      <c r="H122" s="3">
        <f t="shared" si="35"/>
        <v>0</v>
      </c>
      <c r="I122" s="3">
        <f t="shared" si="35"/>
        <v>0</v>
      </c>
      <c r="J122" s="3">
        <f t="shared" si="35"/>
        <v>106260</v>
      </c>
      <c r="K122" s="3">
        <f t="shared" si="35"/>
        <v>239288</v>
      </c>
      <c r="L122" s="3">
        <f t="shared" si="35"/>
        <v>0</v>
      </c>
      <c r="M122" s="3">
        <f t="shared" si="35"/>
        <v>0</v>
      </c>
      <c r="N122" s="3">
        <f t="shared" si="35"/>
        <v>0</v>
      </c>
      <c r="O122" s="3">
        <f t="shared" si="35"/>
        <v>69961</v>
      </c>
      <c r="P122" s="3">
        <f t="shared" si="36"/>
        <v>0</v>
      </c>
      <c r="Q122" s="4">
        <f t="shared" si="36"/>
        <v>12356.484501036421</v>
      </c>
      <c r="R122" s="4">
        <f t="shared" si="36"/>
        <v>15393.413979713105</v>
      </c>
      <c r="S122" s="4">
        <f t="shared" si="36"/>
        <v>13798.686728529872</v>
      </c>
      <c r="T122" s="4">
        <f t="shared" si="36"/>
        <v>14491.442968842857</v>
      </c>
      <c r="U122" s="4">
        <f t="shared" si="36"/>
        <v>15357.543280241576</v>
      </c>
      <c r="V122" s="4">
        <f t="shared" si="36"/>
        <v>15747.324946160594</v>
      </c>
      <c r="W122" s="4">
        <f t="shared" si="36"/>
        <v>16277.620636058109</v>
      </c>
      <c r="X122" s="4">
        <f t="shared" si="36"/>
        <v>16290.976914525949</v>
      </c>
      <c r="Y122" s="4">
        <f t="shared" si="36"/>
        <v>17148.24247214746</v>
      </c>
      <c r="Z122" s="4">
        <f t="shared" si="36"/>
        <v>17546.984613923472</v>
      </c>
    </row>
    <row r="123" spans="1:26">
      <c r="A123" s="2" t="s">
        <v>47</v>
      </c>
      <c r="B123" s="3">
        <f t="shared" si="35"/>
        <v>0</v>
      </c>
      <c r="C123" s="3">
        <f t="shared" si="35"/>
        <v>0</v>
      </c>
      <c r="D123" s="3">
        <f t="shared" si="35"/>
        <v>0</v>
      </c>
      <c r="E123" s="3">
        <f t="shared" si="35"/>
        <v>0</v>
      </c>
      <c r="F123" s="3">
        <f t="shared" si="35"/>
        <v>0</v>
      </c>
      <c r="G123" s="3">
        <f t="shared" si="35"/>
        <v>173731</v>
      </c>
      <c r="H123" s="3">
        <f t="shared" si="35"/>
        <v>0</v>
      </c>
      <c r="I123" s="3">
        <f t="shared" si="35"/>
        <v>0</v>
      </c>
      <c r="J123" s="3">
        <f t="shared" si="35"/>
        <v>457786</v>
      </c>
      <c r="K123" s="3">
        <f t="shared" si="35"/>
        <v>132150</v>
      </c>
      <c r="L123" s="3">
        <f t="shared" si="35"/>
        <v>0</v>
      </c>
      <c r="M123" s="3">
        <f t="shared" si="35"/>
        <v>0</v>
      </c>
      <c r="N123" s="3">
        <f t="shared" si="35"/>
        <v>0</v>
      </c>
      <c r="O123" s="3">
        <f t="shared" si="35"/>
        <v>43465</v>
      </c>
      <c r="P123" s="3">
        <f t="shared" si="36"/>
        <v>0</v>
      </c>
      <c r="Q123" s="4">
        <f t="shared" si="36"/>
        <v>21095.57873465748</v>
      </c>
      <c r="R123" s="4">
        <f t="shared" si="36"/>
        <v>26280.369354000111</v>
      </c>
      <c r="S123" s="4">
        <f t="shared" si="36"/>
        <v>23557.775052617868</v>
      </c>
      <c r="T123" s="4">
        <f t="shared" si="36"/>
        <v>24740.481493937979</v>
      </c>
      <c r="U123" s="4">
        <f t="shared" si="36"/>
        <v>26219.129187761453</v>
      </c>
      <c r="V123" s="4">
        <f t="shared" si="36"/>
        <v>26884.583008549311</v>
      </c>
      <c r="W123" s="4">
        <f t="shared" si="36"/>
        <v>27789.929062108815</v>
      </c>
      <c r="X123" s="4">
        <f t="shared" si="36"/>
        <v>27812.731536712065</v>
      </c>
      <c r="Y123" s="4">
        <f t="shared" si="36"/>
        <v>29276.296118191349</v>
      </c>
      <c r="Z123" s="4">
        <f t="shared" si="36"/>
        <v>29957.047690044674</v>
      </c>
    </row>
    <row r="124" spans="1:26">
      <c r="A124" s="2" t="s">
        <v>48</v>
      </c>
      <c r="B124" s="3">
        <f t="shared" si="35"/>
        <v>0</v>
      </c>
      <c r="C124" s="3">
        <f t="shared" si="35"/>
        <v>0</v>
      </c>
      <c r="D124" s="3">
        <f t="shared" si="35"/>
        <v>0</v>
      </c>
      <c r="E124" s="3">
        <f t="shared" si="35"/>
        <v>0</v>
      </c>
      <c r="F124" s="3">
        <f t="shared" si="35"/>
        <v>0</v>
      </c>
      <c r="G124" s="3">
        <f t="shared" si="35"/>
        <v>0</v>
      </c>
      <c r="H124" s="3">
        <f t="shared" si="35"/>
        <v>0</v>
      </c>
      <c r="I124" s="3">
        <f t="shared" si="35"/>
        <v>756020</v>
      </c>
      <c r="J124" s="3">
        <f t="shared" si="35"/>
        <v>297480</v>
      </c>
      <c r="K124" s="3">
        <f t="shared" si="35"/>
        <v>107473</v>
      </c>
      <c r="L124" s="3">
        <f t="shared" si="35"/>
        <v>0</v>
      </c>
      <c r="M124" s="3">
        <f t="shared" si="35"/>
        <v>0</v>
      </c>
      <c r="N124" s="3">
        <f t="shared" si="35"/>
        <v>102065</v>
      </c>
      <c r="O124" s="3">
        <f t="shared" si="35"/>
        <v>23954</v>
      </c>
      <c r="P124" s="3">
        <f t="shared" si="35"/>
        <v>0</v>
      </c>
      <c r="Q124" s="4">
        <f t="shared" si="36"/>
        <v>41515.346292329166</v>
      </c>
      <c r="R124" s="4">
        <f t="shared" si="36"/>
        <v>51718.829245920861</v>
      </c>
      <c r="S124" s="4">
        <f t="shared" si="36"/>
        <v>46360.860798735666</v>
      </c>
      <c r="T124" s="4">
        <f t="shared" si="36"/>
        <v>48688.38487812518</v>
      </c>
      <c r="U124" s="4">
        <f t="shared" si="36"/>
        <v>51598.310783717177</v>
      </c>
      <c r="V124" s="4">
        <f t="shared" si="36"/>
        <v>52907.900160669153</v>
      </c>
      <c r="W124" s="4">
        <f t="shared" si="36"/>
        <v>54689.588892733547</v>
      </c>
      <c r="X124" s="4">
        <f t="shared" si="36"/>
        <v>54734.463349195874</v>
      </c>
      <c r="Y124" s="4">
        <f t="shared" si="36"/>
        <v>57614.706227836519</v>
      </c>
      <c r="Z124" s="4">
        <f t="shared" si="36"/>
        <v>58954.401033085342</v>
      </c>
    </row>
    <row r="125" spans="1:26">
      <c r="A125" s="2" t="s">
        <v>49</v>
      </c>
      <c r="B125" s="3">
        <f t="shared" si="35"/>
        <v>0</v>
      </c>
      <c r="C125" s="3">
        <f t="shared" si="35"/>
        <v>0</v>
      </c>
      <c r="D125" s="3">
        <f t="shared" si="35"/>
        <v>0</v>
      </c>
      <c r="E125" s="3">
        <f t="shared" si="35"/>
        <v>0</v>
      </c>
      <c r="F125" s="3">
        <f t="shared" si="35"/>
        <v>1248</v>
      </c>
      <c r="G125" s="3">
        <f t="shared" si="35"/>
        <v>0</v>
      </c>
      <c r="H125" s="3">
        <f t="shared" si="35"/>
        <v>0</v>
      </c>
      <c r="I125" s="3">
        <f t="shared" si="35"/>
        <v>0</v>
      </c>
      <c r="J125" s="3">
        <f t="shared" si="35"/>
        <v>0</v>
      </c>
      <c r="K125" s="3">
        <f t="shared" si="35"/>
        <v>0</v>
      </c>
      <c r="L125" s="3">
        <f t="shared" si="35"/>
        <v>0</v>
      </c>
      <c r="M125" s="3">
        <f t="shared" si="35"/>
        <v>0</v>
      </c>
      <c r="N125" s="3">
        <f t="shared" si="35"/>
        <v>0</v>
      </c>
      <c r="O125" s="3">
        <f t="shared" si="35"/>
        <v>0</v>
      </c>
      <c r="P125" s="3">
        <f t="shared" si="35"/>
        <v>0</v>
      </c>
      <c r="Q125" s="4">
        <f t="shared" si="36"/>
        <v>0</v>
      </c>
      <c r="R125" s="4">
        <f t="shared" si="36"/>
        <v>0</v>
      </c>
      <c r="S125" s="4">
        <f t="shared" si="36"/>
        <v>0</v>
      </c>
      <c r="T125" s="4">
        <f t="shared" si="36"/>
        <v>0</v>
      </c>
      <c r="U125" s="4">
        <f t="shared" si="36"/>
        <v>0</v>
      </c>
      <c r="V125" s="4">
        <f t="shared" si="36"/>
        <v>0</v>
      </c>
      <c r="W125" s="4">
        <f t="shared" si="36"/>
        <v>0</v>
      </c>
      <c r="X125" s="4">
        <f t="shared" si="36"/>
        <v>0</v>
      </c>
      <c r="Y125" s="4">
        <f t="shared" si="36"/>
        <v>0</v>
      </c>
      <c r="Z125" s="4">
        <f t="shared" si="36"/>
        <v>0</v>
      </c>
    </row>
    <row r="126" spans="1:26">
      <c r="A126" s="2" t="s">
        <v>50</v>
      </c>
      <c r="B126" s="3">
        <f t="shared" si="35"/>
        <v>0</v>
      </c>
      <c r="C126" s="3">
        <f t="shared" si="35"/>
        <v>0</v>
      </c>
      <c r="D126" s="3">
        <f t="shared" si="35"/>
        <v>0</v>
      </c>
      <c r="E126" s="3">
        <f t="shared" si="35"/>
        <v>0</v>
      </c>
      <c r="F126" s="3">
        <f t="shared" si="35"/>
        <v>5532</v>
      </c>
      <c r="G126" s="3">
        <f t="shared" si="35"/>
        <v>53303</v>
      </c>
      <c r="H126" s="3">
        <f t="shared" si="35"/>
        <v>0</v>
      </c>
      <c r="I126" s="3">
        <f t="shared" si="35"/>
        <v>282632</v>
      </c>
      <c r="J126" s="3">
        <f t="shared" si="35"/>
        <v>0</v>
      </c>
      <c r="K126" s="3">
        <f t="shared" si="35"/>
        <v>39325</v>
      </c>
      <c r="L126" s="3">
        <f t="shared" si="35"/>
        <v>0</v>
      </c>
      <c r="M126" s="3">
        <f t="shared" si="35"/>
        <v>0</v>
      </c>
      <c r="N126" s="3">
        <f t="shared" si="35"/>
        <v>30374</v>
      </c>
      <c r="O126" s="3">
        <f t="shared" si="35"/>
        <v>28704</v>
      </c>
      <c r="P126" s="3">
        <f t="shared" si="35"/>
        <v>0</v>
      </c>
      <c r="Q126" s="4">
        <f t="shared" si="36"/>
        <v>11512.89164023575</v>
      </c>
      <c r="R126" s="4">
        <f t="shared" si="36"/>
        <v>14342.486093586107</v>
      </c>
      <c r="S126" s="4">
        <f t="shared" si="36"/>
        <v>12856.632893425203</v>
      </c>
      <c r="T126" s="4">
        <f t="shared" si="36"/>
        <v>13502.093787027388</v>
      </c>
      <c r="U126" s="4">
        <f t="shared" si="36"/>
        <v>14309.064332239623</v>
      </c>
      <c r="V126" s="4">
        <f t="shared" si="36"/>
        <v>14672.235109712765</v>
      </c>
      <c r="W126" s="4">
        <f t="shared" si="36"/>
        <v>15166.326840622318</v>
      </c>
      <c r="X126" s="4">
        <f t="shared" si="36"/>
        <v>15178.771269027837</v>
      </c>
      <c r="Y126" s="4">
        <f t="shared" si="36"/>
        <v>15977.510220302765</v>
      </c>
      <c r="Z126" s="4">
        <f t="shared" si="36"/>
        <v>16349.029730587239</v>
      </c>
    </row>
    <row r="127" spans="1:26">
      <c r="A127" s="2" t="s">
        <v>51</v>
      </c>
      <c r="B127" s="3">
        <f t="shared" si="35"/>
        <v>0</v>
      </c>
      <c r="C127" s="3">
        <f t="shared" si="35"/>
        <v>0</v>
      </c>
      <c r="D127" s="3">
        <f t="shared" si="35"/>
        <v>0</v>
      </c>
      <c r="E127" s="3">
        <f t="shared" si="35"/>
        <v>0</v>
      </c>
      <c r="F127" s="3">
        <f t="shared" si="35"/>
        <v>17073</v>
      </c>
      <c r="G127" s="3">
        <f t="shared" si="35"/>
        <v>0</v>
      </c>
      <c r="H127" s="3">
        <f t="shared" si="35"/>
        <v>99563</v>
      </c>
      <c r="I127" s="3">
        <f t="shared" si="35"/>
        <v>0</v>
      </c>
      <c r="J127" s="3">
        <f t="shared" si="35"/>
        <v>0</v>
      </c>
      <c r="K127" s="3">
        <f t="shared" si="35"/>
        <v>0</v>
      </c>
      <c r="L127" s="3">
        <f t="shared" si="35"/>
        <v>0</v>
      </c>
      <c r="M127" s="3">
        <f t="shared" si="35"/>
        <v>0</v>
      </c>
      <c r="N127" s="3">
        <f t="shared" si="35"/>
        <v>11086</v>
      </c>
      <c r="O127" s="3">
        <f t="shared" si="35"/>
        <v>0</v>
      </c>
      <c r="P127" s="3">
        <f t="shared" si="35"/>
        <v>0</v>
      </c>
      <c r="Q127" s="4">
        <f t="shared" si="36"/>
        <v>3560.2829892712134</v>
      </c>
      <c r="R127" s="4">
        <f t="shared" si="36"/>
        <v>4435.3157189802168</v>
      </c>
      <c r="S127" s="4">
        <f t="shared" si="36"/>
        <v>3975.8257803622646</v>
      </c>
      <c r="T127" s="4">
        <f t="shared" si="36"/>
        <v>4175.4301466276802</v>
      </c>
      <c r="U127" s="4">
        <f t="shared" si="36"/>
        <v>4424.9802678953201</v>
      </c>
      <c r="V127" s="4">
        <f t="shared" si="36"/>
        <v>4537.2883466684434</v>
      </c>
      <c r="W127" s="4">
        <f t="shared" si="36"/>
        <v>4690.0828347663819</v>
      </c>
      <c r="X127" s="4">
        <f t="shared" si="36"/>
        <v>4693.9311891284196</v>
      </c>
      <c r="Y127" s="4">
        <f t="shared" si="36"/>
        <v>4940.9357462766902</v>
      </c>
      <c r="Z127" s="4">
        <f t="shared" si="36"/>
        <v>5055.8256135647225</v>
      </c>
    </row>
    <row r="128" spans="1:26">
      <c r="A128" s="2" t="s">
        <v>52</v>
      </c>
      <c r="B128" s="3">
        <f t="shared" si="35"/>
        <v>0</v>
      </c>
      <c r="C128" s="3">
        <f t="shared" si="35"/>
        <v>0</v>
      </c>
      <c r="D128" s="3">
        <f t="shared" si="35"/>
        <v>0</v>
      </c>
      <c r="E128" s="3">
        <f t="shared" si="35"/>
        <v>0</v>
      </c>
      <c r="F128" s="3">
        <f t="shared" si="35"/>
        <v>24030</v>
      </c>
      <c r="G128" s="3">
        <f t="shared" si="35"/>
        <v>0</v>
      </c>
      <c r="H128" s="3">
        <f t="shared" si="35"/>
        <v>229819</v>
      </c>
      <c r="I128" s="3">
        <f t="shared" si="35"/>
        <v>377775</v>
      </c>
      <c r="J128" s="3">
        <f t="shared" si="35"/>
        <v>533819</v>
      </c>
      <c r="K128" s="3">
        <f t="shared" si="35"/>
        <v>0</v>
      </c>
      <c r="L128" s="3">
        <f t="shared" si="35"/>
        <v>0</v>
      </c>
      <c r="M128" s="3">
        <f t="shared" si="35"/>
        <v>60338</v>
      </c>
      <c r="N128" s="3">
        <f t="shared" si="35"/>
        <v>0</v>
      </c>
      <c r="O128" s="3">
        <f t="shared" si="35"/>
        <v>0</v>
      </c>
      <c r="P128" s="3">
        <f t="shared" si="35"/>
        <v>0</v>
      </c>
      <c r="Q128" s="4">
        <f t="shared" si="36"/>
        <v>40815.898352129036</v>
      </c>
      <c r="R128" s="4">
        <f t="shared" si="36"/>
        <v>50847.473667410239</v>
      </c>
      <c r="S128" s="4">
        <f t="shared" si="36"/>
        <v>45579.775935243342</v>
      </c>
      <c r="T128" s="4">
        <f t="shared" si="36"/>
        <v>47868.086035502543</v>
      </c>
      <c r="U128" s="4">
        <f t="shared" si="36"/>
        <v>50728.985692668975</v>
      </c>
      <c r="V128" s="4">
        <f t="shared" si="36"/>
        <v>52016.511190260113</v>
      </c>
      <c r="W128" s="4">
        <f t="shared" si="36"/>
        <v>53768.182142755839</v>
      </c>
      <c r="X128" s="4">
        <f t="shared" si="36"/>
        <v>53812.300557201335</v>
      </c>
      <c r="Y128" s="4">
        <f t="shared" si="36"/>
        <v>56644.017285185408</v>
      </c>
      <c r="Z128" s="4">
        <f t="shared" si="36"/>
        <v>57961.140996713133</v>
      </c>
    </row>
    <row r="129" spans="1:26">
      <c r="A129" s="2" t="s">
        <v>53</v>
      </c>
      <c r="B129" s="3">
        <f t="shared" si="35"/>
        <v>0</v>
      </c>
      <c r="C129" s="3">
        <f t="shared" si="35"/>
        <v>0</v>
      </c>
      <c r="D129" s="3">
        <f t="shared" si="35"/>
        <v>0</v>
      </c>
      <c r="E129" s="3">
        <f t="shared" si="35"/>
        <v>0</v>
      </c>
      <c r="F129" s="3">
        <f t="shared" si="35"/>
        <v>0</v>
      </c>
      <c r="G129" s="3">
        <f t="shared" si="35"/>
        <v>48281</v>
      </c>
      <c r="H129" s="3">
        <f t="shared" si="35"/>
        <v>77454</v>
      </c>
      <c r="I129" s="3">
        <f t="shared" si="35"/>
        <v>0</v>
      </c>
      <c r="J129" s="3">
        <f t="shared" si="35"/>
        <v>185644</v>
      </c>
      <c r="K129" s="3">
        <f t="shared" si="35"/>
        <v>0</v>
      </c>
      <c r="L129" s="3">
        <f t="shared" si="35"/>
        <v>55892</v>
      </c>
      <c r="M129" s="3">
        <f t="shared" si="35"/>
        <v>6435</v>
      </c>
      <c r="N129" s="3">
        <f t="shared" si="35"/>
        <v>0</v>
      </c>
      <c r="O129" s="3">
        <f t="shared" si="35"/>
        <v>42559</v>
      </c>
      <c r="P129" s="3">
        <f t="shared" si="35"/>
        <v>0</v>
      </c>
      <c r="Q129" s="4">
        <f t="shared" si="36"/>
        <v>11406.794398999873</v>
      </c>
      <c r="R129" s="4">
        <f t="shared" si="36"/>
        <v>14210.312678379511</v>
      </c>
      <c r="S129" s="4">
        <f t="shared" si="36"/>
        <v>12738.152382689941</v>
      </c>
      <c r="T129" s="4">
        <f t="shared" si="36"/>
        <v>13377.665020868832</v>
      </c>
      <c r="U129" s="4">
        <f t="shared" si="36"/>
        <v>14177.19891582142</v>
      </c>
      <c r="V129" s="4">
        <f t="shared" si="36"/>
        <v>14537.022887054094</v>
      </c>
      <c r="W129" s="4">
        <f t="shared" si="36"/>
        <v>15026.561307535208</v>
      </c>
      <c r="X129" s="4">
        <f t="shared" si="36"/>
        <v>15038.891054107193</v>
      </c>
      <c r="Y129" s="4">
        <f t="shared" si="36"/>
        <v>15830.269213511056</v>
      </c>
      <c r="Z129" s="4">
        <f t="shared" si="36"/>
        <v>16198.364979671269</v>
      </c>
    </row>
    <row r="130" spans="1:26">
      <c r="A130" s="2" t="s">
        <v>54</v>
      </c>
      <c r="B130" s="3">
        <f t="shared" si="35"/>
        <v>0</v>
      </c>
      <c r="C130" s="3">
        <f t="shared" si="35"/>
        <v>0</v>
      </c>
      <c r="D130" s="3">
        <f t="shared" si="35"/>
        <v>0</v>
      </c>
      <c r="E130" s="3">
        <f t="shared" si="35"/>
        <v>0</v>
      </c>
      <c r="F130" s="3">
        <f t="shared" si="35"/>
        <v>0</v>
      </c>
      <c r="G130" s="3">
        <f t="shared" si="35"/>
        <v>0</v>
      </c>
      <c r="H130" s="3">
        <f t="shared" si="35"/>
        <v>0</v>
      </c>
      <c r="I130" s="3">
        <f t="shared" si="35"/>
        <v>327008</v>
      </c>
      <c r="J130" s="3">
        <f t="shared" si="35"/>
        <v>217665</v>
      </c>
      <c r="K130" s="3">
        <f t="shared" si="35"/>
        <v>0</v>
      </c>
      <c r="L130" s="3">
        <f t="shared" si="35"/>
        <v>0</v>
      </c>
      <c r="M130" s="3">
        <f t="shared" si="35"/>
        <v>180745</v>
      </c>
      <c r="N130" s="3">
        <f t="shared" si="35"/>
        <v>33897</v>
      </c>
      <c r="O130" s="3">
        <f t="shared" si="35"/>
        <v>0</v>
      </c>
      <c r="P130" s="3">
        <f t="shared" si="35"/>
        <v>0</v>
      </c>
      <c r="Q130" s="4">
        <f t="shared" si="35"/>
        <v>-7438.1387701745844</v>
      </c>
      <c r="R130" s="4">
        <f t="shared" si="36"/>
        <v>33096.454816453916</v>
      </c>
      <c r="S130" s="4">
        <f t="shared" si="36"/>
        <v>29667.72753848217</v>
      </c>
      <c r="T130" s="4">
        <f t="shared" si="36"/>
        <v>31157.181121459376</v>
      </c>
      <c r="U130" s="4">
        <f t="shared" si="36"/>
        <v>33019.33138003762</v>
      </c>
      <c r="V130" s="4">
        <f t="shared" si="36"/>
        <v>33857.377528304147</v>
      </c>
      <c r="W130" s="4">
        <f t="shared" si="36"/>
        <v>34997.534439771844</v>
      </c>
      <c r="X130" s="4">
        <f t="shared" si="36"/>
        <v>35026.250971881585</v>
      </c>
      <c r="Y130" s="4">
        <f t="shared" si="36"/>
        <v>36869.406157009071</v>
      </c>
      <c r="Z130" s="4">
        <f t="shared" si="36"/>
        <v>37726.717686218792</v>
      </c>
    </row>
    <row r="131" spans="1:26" ht="13.5" thickBot="1">
      <c r="A131" s="2" t="s">
        <v>29</v>
      </c>
      <c r="B131" s="3">
        <f t="shared" ref="B131:J131" si="37">SUM(B119:B130)</f>
        <v>0</v>
      </c>
      <c r="C131" s="3">
        <f t="shared" si="37"/>
        <v>0</v>
      </c>
      <c r="D131" s="3">
        <f t="shared" si="37"/>
        <v>0</v>
      </c>
      <c r="E131" s="3">
        <f t="shared" si="37"/>
        <v>0</v>
      </c>
      <c r="F131" s="3">
        <f t="shared" si="37"/>
        <v>50446</v>
      </c>
      <c r="G131" s="3">
        <f t="shared" si="37"/>
        <v>275315</v>
      </c>
      <c r="H131" s="3">
        <f t="shared" si="37"/>
        <v>534429</v>
      </c>
      <c r="I131" s="3">
        <f t="shared" si="37"/>
        <v>1743435</v>
      </c>
      <c r="J131" s="3">
        <f t="shared" si="37"/>
        <v>2440000</v>
      </c>
      <c r="K131" s="3">
        <f>SUM(K119:K130)</f>
        <v>1315943</v>
      </c>
      <c r="L131" s="3">
        <f>SUM(L119:L130)</f>
        <v>55892</v>
      </c>
      <c r="M131" s="3">
        <f>SUM(M119:M130)</f>
        <v>247518</v>
      </c>
      <c r="N131" s="3">
        <f>SUM(N119:N130)</f>
        <v>236352</v>
      </c>
      <c r="O131" s="3">
        <f>SUM(O119:O130)</f>
        <v>208643</v>
      </c>
      <c r="P131" s="3">
        <f t="shared" ref="P131:Z131" si="38">SUM(P119:P130)</f>
        <v>0</v>
      </c>
      <c r="Q131" s="4">
        <f t="shared" si="38"/>
        <v>134825.13813848436</v>
      </c>
      <c r="R131" s="4">
        <f t="shared" si="38"/>
        <v>271282.88318509993</v>
      </c>
      <c r="S131" s="4">
        <f t="shared" si="38"/>
        <v>243178.5128897914</v>
      </c>
      <c r="T131" s="4">
        <f t="shared" si="38"/>
        <v>255387.16981698456</v>
      </c>
      <c r="U131" s="4">
        <f t="shared" si="38"/>
        <v>270650.72278277937</v>
      </c>
      <c r="V131" s="4">
        <f t="shared" si="38"/>
        <v>277519.96532264468</v>
      </c>
      <c r="W131" s="4">
        <f t="shared" si="38"/>
        <v>286865.52985339932</v>
      </c>
      <c r="X131" s="4">
        <f t="shared" si="38"/>
        <v>287100.91166903515</v>
      </c>
      <c r="Y131" s="4">
        <f t="shared" si="38"/>
        <v>302208.76704363478</v>
      </c>
      <c r="Z131" s="4">
        <f t="shared" si="38"/>
        <v>309235.92281369056</v>
      </c>
    </row>
    <row r="132" spans="1:26">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row>
    <row r="133" spans="1:26" ht="16.5" thickBot="1">
      <c r="A133" s="109" t="s">
        <v>549</v>
      </c>
    </row>
    <row r="134" spans="1:26" ht="13.5" thickBot="1">
      <c r="A134" s="110"/>
      <c r="B134" s="111">
        <v>2010</v>
      </c>
      <c r="C134" s="111">
        <v>2011</v>
      </c>
      <c r="D134" s="111">
        <v>2012</v>
      </c>
      <c r="E134" s="111">
        <v>2013</v>
      </c>
      <c r="F134" s="111">
        <v>2014</v>
      </c>
      <c r="G134" s="111">
        <v>2015</v>
      </c>
      <c r="H134" s="111">
        <v>2016</v>
      </c>
      <c r="I134" s="111">
        <v>2017</v>
      </c>
      <c r="J134" s="111">
        <v>2018</v>
      </c>
      <c r="K134" s="111">
        <v>2019</v>
      </c>
      <c r="L134" s="111">
        <v>2020</v>
      </c>
      <c r="M134" s="111">
        <v>2021</v>
      </c>
      <c r="N134" s="111">
        <v>2022</v>
      </c>
      <c r="O134" s="111">
        <v>2023</v>
      </c>
      <c r="P134" s="111">
        <v>2024</v>
      </c>
      <c r="Q134" s="111">
        <v>2025</v>
      </c>
      <c r="R134" s="111">
        <v>2026</v>
      </c>
      <c r="S134" s="111">
        <v>2027</v>
      </c>
      <c r="T134" s="111">
        <v>2028</v>
      </c>
      <c r="U134" s="111">
        <v>2029</v>
      </c>
      <c r="V134" s="111">
        <v>2030</v>
      </c>
      <c r="W134" s="111">
        <v>2031</v>
      </c>
      <c r="X134" s="111">
        <v>2032</v>
      </c>
      <c r="Y134" s="111">
        <v>2033</v>
      </c>
      <c r="Z134" s="111">
        <v>2034</v>
      </c>
    </row>
    <row r="135" spans="1:26">
      <c r="A135" s="2" t="s">
        <v>43</v>
      </c>
      <c r="B135" s="3">
        <f>'Monthly D7 RIN Data'!$E4</f>
        <v>0</v>
      </c>
      <c r="C135" s="3">
        <f>'Monthly D7 RIN Data'!$E16</f>
        <v>0</v>
      </c>
      <c r="D135" s="3">
        <f>'Monthly D7 RIN Data'!$E28</f>
        <v>0</v>
      </c>
      <c r="E135" s="3">
        <f>'Monthly D7 RIN Data'!$E40</f>
        <v>0</v>
      </c>
      <c r="F135" s="3">
        <f>'Monthly D7 RIN Data'!$E52</f>
        <v>0</v>
      </c>
      <c r="G135" s="3">
        <f>'Monthly D7 RIN Data'!$E64</f>
        <v>0</v>
      </c>
      <c r="H135" s="3">
        <f>'Monthly D7 RIN Data'!$E76</f>
        <v>0</v>
      </c>
      <c r="I135" s="3">
        <f>'Monthly D7 RIN Data'!$E88</f>
        <v>0</v>
      </c>
      <c r="J135" s="3">
        <f>'Monthly D7 RIN Data'!$E100</f>
        <v>0</v>
      </c>
      <c r="K135" s="3">
        <f>'Monthly D7 RIN Data'!$E112</f>
        <v>0</v>
      </c>
      <c r="L135" s="3">
        <f>'Monthly D7 RIN Data'!$E124</f>
        <v>0</v>
      </c>
      <c r="M135" s="3">
        <f>'Monthly D7 RIN Data'!$E136</f>
        <v>0</v>
      </c>
      <c r="N135" s="3">
        <f>'Monthly D7 RIN Data'!$E148</f>
        <v>0</v>
      </c>
      <c r="O135" s="3">
        <f>'Monthly D7 RIN Data'!$E160</f>
        <v>0</v>
      </c>
      <c r="P135" s="3">
        <f>'Monthly D7 RIN Data'!$E172</f>
        <v>0</v>
      </c>
      <c r="Q135" s="3">
        <f>'Monthly D7 RIN Data'!$E184</f>
        <v>0</v>
      </c>
      <c r="R135" s="4">
        <f>'D7 Gallon Forecast'!R85</f>
        <v>0</v>
      </c>
      <c r="S135" s="4">
        <f>'D7 Gallon Forecast'!S85</f>
        <v>0</v>
      </c>
      <c r="T135" s="4">
        <f>'D7 Gallon Forecast'!T85</f>
        <v>0</v>
      </c>
      <c r="U135" s="4">
        <f>'D7 Gallon Forecast'!U85</f>
        <v>0</v>
      </c>
      <c r="V135" s="4">
        <f>'D7 Gallon Forecast'!V85</f>
        <v>0</v>
      </c>
      <c r="W135" s="4">
        <f>'D7 Gallon Forecast'!W85</f>
        <v>0</v>
      </c>
      <c r="X135" s="4">
        <f>'D7 Gallon Forecast'!X85</f>
        <v>0</v>
      </c>
      <c r="Y135" s="4">
        <f>'D7 Gallon Forecast'!Y85</f>
        <v>0</v>
      </c>
      <c r="Z135" s="4">
        <f>'D7 Gallon Forecast'!Z85</f>
        <v>0</v>
      </c>
    </row>
    <row r="136" spans="1:26">
      <c r="A136" s="2" t="s">
        <v>44</v>
      </c>
      <c r="B136" s="3">
        <f>'Monthly D7 RIN Data'!$E5</f>
        <v>0</v>
      </c>
      <c r="C136" s="3">
        <f>'Monthly D7 RIN Data'!$E17</f>
        <v>0</v>
      </c>
      <c r="D136" s="3">
        <f>'Monthly D7 RIN Data'!$E29</f>
        <v>0</v>
      </c>
      <c r="E136" s="3">
        <f>'Monthly D7 RIN Data'!$E41</f>
        <v>0</v>
      </c>
      <c r="F136" s="3">
        <f>'Monthly D7 RIN Data'!$E53</f>
        <v>0</v>
      </c>
      <c r="G136" s="3">
        <f>'Monthly D7 RIN Data'!$E65</f>
        <v>0</v>
      </c>
      <c r="H136" s="3">
        <f>'Monthly D7 RIN Data'!$E77</f>
        <v>0</v>
      </c>
      <c r="I136" s="3">
        <f>'Monthly D7 RIN Data'!$E89</f>
        <v>0</v>
      </c>
      <c r="J136" s="3">
        <f>'Monthly D7 RIN Data'!$E101</f>
        <v>0</v>
      </c>
      <c r="K136" s="3">
        <f>'Monthly D7 RIN Data'!$E113</f>
        <v>0</v>
      </c>
      <c r="L136" s="3">
        <f>'Monthly D7 RIN Data'!$E125</f>
        <v>0</v>
      </c>
      <c r="M136" s="3">
        <f>'Monthly D7 RIN Data'!$E137</f>
        <v>0</v>
      </c>
      <c r="N136" s="3">
        <f>'Monthly D7 RIN Data'!$E149</f>
        <v>0</v>
      </c>
      <c r="O136" s="3">
        <f>'Monthly D7 RIN Data'!$E161</f>
        <v>0</v>
      </c>
      <c r="P136" s="3">
        <f>'Monthly D7 RIN Data'!$E173</f>
        <v>0</v>
      </c>
      <c r="Q136" s="3">
        <f>'Monthly D7 RIN Data'!$E185</f>
        <v>0</v>
      </c>
      <c r="R136" s="4">
        <f>'D7 Gallon Forecast'!R86</f>
        <v>0</v>
      </c>
      <c r="S136" s="4">
        <f>'D7 Gallon Forecast'!S86</f>
        <v>0</v>
      </c>
      <c r="T136" s="4">
        <f>'D7 Gallon Forecast'!T86</f>
        <v>0</v>
      </c>
      <c r="U136" s="4">
        <f>'D7 Gallon Forecast'!U86</f>
        <v>0</v>
      </c>
      <c r="V136" s="4">
        <f>'D7 Gallon Forecast'!V86</f>
        <v>0</v>
      </c>
      <c r="W136" s="4">
        <f>'D7 Gallon Forecast'!W86</f>
        <v>0</v>
      </c>
      <c r="X136" s="4">
        <f>'D7 Gallon Forecast'!X86</f>
        <v>0</v>
      </c>
      <c r="Y136" s="4">
        <f>'D7 Gallon Forecast'!Y86</f>
        <v>0</v>
      </c>
      <c r="Z136" s="4">
        <f>'D7 Gallon Forecast'!Z86</f>
        <v>0</v>
      </c>
    </row>
    <row r="137" spans="1:26">
      <c r="A137" s="2" t="s">
        <v>45</v>
      </c>
      <c r="B137" s="3">
        <f>'Monthly D7 RIN Data'!$E6</f>
        <v>0</v>
      </c>
      <c r="C137" s="3">
        <f>'Monthly D7 RIN Data'!$E18</f>
        <v>0</v>
      </c>
      <c r="D137" s="3">
        <f>'Monthly D7 RIN Data'!$E30</f>
        <v>0</v>
      </c>
      <c r="E137" s="3">
        <f>'Monthly D7 RIN Data'!$E42</f>
        <v>0</v>
      </c>
      <c r="F137" s="3">
        <f>'Monthly D7 RIN Data'!$E54</f>
        <v>0</v>
      </c>
      <c r="G137" s="3">
        <f>'Monthly D7 RIN Data'!$E66</f>
        <v>0</v>
      </c>
      <c r="H137" s="3">
        <f>'Monthly D7 RIN Data'!$E78</f>
        <v>0</v>
      </c>
      <c r="I137" s="3">
        <f>'Monthly D7 RIN Data'!$E90</f>
        <v>0</v>
      </c>
      <c r="J137" s="3">
        <f>'Monthly D7 RIN Data'!$E102</f>
        <v>0</v>
      </c>
      <c r="K137" s="3">
        <f>'Monthly D7 RIN Data'!$E114</f>
        <v>0</v>
      </c>
      <c r="L137" s="3">
        <f>'Monthly D7 RIN Data'!$E126</f>
        <v>0</v>
      </c>
      <c r="M137" s="3">
        <f>'Monthly D7 RIN Data'!$E138</f>
        <v>0</v>
      </c>
      <c r="N137" s="3">
        <f>'Monthly D7 RIN Data'!$E150</f>
        <v>0</v>
      </c>
      <c r="O137" s="3">
        <f>'Monthly D7 RIN Data'!$E162</f>
        <v>0</v>
      </c>
      <c r="P137" s="3">
        <f>'Monthly D7 RIN Data'!$E174</f>
        <v>0</v>
      </c>
      <c r="Q137" s="3">
        <f>'Monthly D7 RIN Data'!$E186</f>
        <v>0</v>
      </c>
      <c r="R137" s="4">
        <f>'D7 Gallon Forecast'!R87</f>
        <v>0</v>
      </c>
      <c r="S137" s="4">
        <f>'D7 Gallon Forecast'!S87</f>
        <v>0</v>
      </c>
      <c r="T137" s="4">
        <f>'D7 Gallon Forecast'!T87</f>
        <v>0</v>
      </c>
      <c r="U137" s="4">
        <f>'D7 Gallon Forecast'!U87</f>
        <v>0</v>
      </c>
      <c r="V137" s="4">
        <f>'D7 Gallon Forecast'!V87</f>
        <v>0</v>
      </c>
      <c r="W137" s="4">
        <f>'D7 Gallon Forecast'!W87</f>
        <v>0</v>
      </c>
      <c r="X137" s="4">
        <f>'D7 Gallon Forecast'!X87</f>
        <v>0</v>
      </c>
      <c r="Y137" s="4">
        <f>'D7 Gallon Forecast'!Y87</f>
        <v>0</v>
      </c>
      <c r="Z137" s="4">
        <f>'D7 Gallon Forecast'!Z87</f>
        <v>0</v>
      </c>
    </row>
    <row r="138" spans="1:26">
      <c r="A138" s="2" t="s">
        <v>46</v>
      </c>
      <c r="B138" s="3">
        <f>'Monthly D7 RIN Data'!$E7</f>
        <v>0</v>
      </c>
      <c r="C138" s="3">
        <f>'Monthly D7 RIN Data'!$E19</f>
        <v>0</v>
      </c>
      <c r="D138" s="3">
        <f>'Monthly D7 RIN Data'!$E31</f>
        <v>0</v>
      </c>
      <c r="E138" s="3">
        <f>'Monthly D7 RIN Data'!$E43</f>
        <v>0</v>
      </c>
      <c r="F138" s="3">
        <f>'Monthly D7 RIN Data'!$E55</f>
        <v>0</v>
      </c>
      <c r="G138" s="3">
        <f>'Monthly D7 RIN Data'!$E67</f>
        <v>0</v>
      </c>
      <c r="H138" s="3">
        <f>'Monthly D7 RIN Data'!$E79</f>
        <v>0</v>
      </c>
      <c r="I138" s="3">
        <f>'Monthly D7 RIN Data'!$E91</f>
        <v>0</v>
      </c>
      <c r="J138" s="3">
        <f>'Monthly D7 RIN Data'!$E103</f>
        <v>0</v>
      </c>
      <c r="K138" s="3">
        <f>'Monthly D7 RIN Data'!$E115</f>
        <v>0</v>
      </c>
      <c r="L138" s="3">
        <f>'Monthly D7 RIN Data'!$E127</f>
        <v>0</v>
      </c>
      <c r="M138" s="3">
        <f>'Monthly D7 RIN Data'!$E139</f>
        <v>0</v>
      </c>
      <c r="N138" s="3">
        <f>'Monthly D7 RIN Data'!$E151</f>
        <v>0</v>
      </c>
      <c r="O138" s="3">
        <f>'Monthly D7 RIN Data'!$E163</f>
        <v>0</v>
      </c>
      <c r="P138" s="3">
        <f>'Monthly D7 RIN Data'!$E175</f>
        <v>0</v>
      </c>
      <c r="Q138" s="4">
        <f>'D7 Gallon Forecast'!Q88</f>
        <v>0</v>
      </c>
      <c r="R138" s="4">
        <f>'D7 Gallon Forecast'!R88</f>
        <v>0</v>
      </c>
      <c r="S138" s="4">
        <f>'D7 Gallon Forecast'!S88</f>
        <v>0</v>
      </c>
      <c r="T138" s="4">
        <f>'D7 Gallon Forecast'!T88</f>
        <v>0</v>
      </c>
      <c r="U138" s="4">
        <f>'D7 Gallon Forecast'!U88</f>
        <v>0</v>
      </c>
      <c r="V138" s="4">
        <f>'D7 Gallon Forecast'!V88</f>
        <v>0</v>
      </c>
      <c r="W138" s="4">
        <f>'D7 Gallon Forecast'!W88</f>
        <v>0</v>
      </c>
      <c r="X138" s="4">
        <f>'D7 Gallon Forecast'!X88</f>
        <v>0</v>
      </c>
      <c r="Y138" s="4">
        <f>'D7 Gallon Forecast'!Y88</f>
        <v>0</v>
      </c>
      <c r="Z138" s="4">
        <f>'D7 Gallon Forecast'!Z88</f>
        <v>0</v>
      </c>
    </row>
    <row r="139" spans="1:26">
      <c r="A139" s="2" t="s">
        <v>47</v>
      </c>
      <c r="B139" s="3">
        <f>'Monthly D7 RIN Data'!$E8</f>
        <v>0</v>
      </c>
      <c r="C139" s="3">
        <f>'Monthly D7 RIN Data'!$E20</f>
        <v>0</v>
      </c>
      <c r="D139" s="3">
        <f>'Monthly D7 RIN Data'!$E32</f>
        <v>0</v>
      </c>
      <c r="E139" s="3">
        <f>'Monthly D7 RIN Data'!$E44</f>
        <v>0</v>
      </c>
      <c r="F139" s="3">
        <f>'Monthly D7 RIN Data'!$E56</f>
        <v>0</v>
      </c>
      <c r="G139" s="3">
        <f>'Monthly D7 RIN Data'!$E68</f>
        <v>0</v>
      </c>
      <c r="H139" s="3">
        <f>'Monthly D7 RIN Data'!$E80</f>
        <v>0</v>
      </c>
      <c r="I139" s="3">
        <f>'Monthly D7 RIN Data'!$E92</f>
        <v>0</v>
      </c>
      <c r="J139" s="3">
        <f>'Monthly D7 RIN Data'!$E104</f>
        <v>0</v>
      </c>
      <c r="K139" s="3">
        <f>'Monthly D7 RIN Data'!$E116</f>
        <v>0</v>
      </c>
      <c r="L139" s="3">
        <f>'Monthly D7 RIN Data'!$E128</f>
        <v>0</v>
      </c>
      <c r="M139" s="3">
        <f>'Monthly D7 RIN Data'!$E140</f>
        <v>0</v>
      </c>
      <c r="N139" s="3">
        <f>'Monthly D7 RIN Data'!$E152</f>
        <v>0</v>
      </c>
      <c r="O139" s="3">
        <f>'Monthly D7 RIN Data'!$E164</f>
        <v>0</v>
      </c>
      <c r="P139" s="3">
        <f>'Monthly D7 RIN Data'!$E176</f>
        <v>0</v>
      </c>
      <c r="Q139" s="4">
        <f>'D7 Gallon Forecast'!Q89</f>
        <v>0</v>
      </c>
      <c r="R139" s="4">
        <f>'D7 Gallon Forecast'!R89</f>
        <v>0</v>
      </c>
      <c r="S139" s="4">
        <f>'D7 Gallon Forecast'!S89</f>
        <v>0</v>
      </c>
      <c r="T139" s="4">
        <f>'D7 Gallon Forecast'!T89</f>
        <v>0</v>
      </c>
      <c r="U139" s="4">
        <f>'D7 Gallon Forecast'!U89</f>
        <v>0</v>
      </c>
      <c r="V139" s="4">
        <f>'D7 Gallon Forecast'!V89</f>
        <v>0</v>
      </c>
      <c r="W139" s="4">
        <f>'D7 Gallon Forecast'!W89</f>
        <v>0</v>
      </c>
      <c r="X139" s="4">
        <f>'D7 Gallon Forecast'!X89</f>
        <v>0</v>
      </c>
      <c r="Y139" s="4">
        <f>'D7 Gallon Forecast'!Y89</f>
        <v>0</v>
      </c>
      <c r="Z139" s="4">
        <f>'D7 Gallon Forecast'!Z89</f>
        <v>0</v>
      </c>
    </row>
    <row r="140" spans="1:26">
      <c r="A140" s="2" t="s">
        <v>48</v>
      </c>
      <c r="B140" s="3">
        <f>'Monthly D7 RIN Data'!$E9</f>
        <v>0</v>
      </c>
      <c r="C140" s="3">
        <f>'Monthly D7 RIN Data'!$E21</f>
        <v>0</v>
      </c>
      <c r="D140" s="3">
        <f>'Monthly D7 RIN Data'!$E33</f>
        <v>0</v>
      </c>
      <c r="E140" s="3">
        <f>'Monthly D7 RIN Data'!$E45</f>
        <v>0</v>
      </c>
      <c r="F140" s="3">
        <f>'Monthly D7 RIN Data'!$E57</f>
        <v>0</v>
      </c>
      <c r="G140" s="3">
        <f>'Monthly D7 RIN Data'!$E69</f>
        <v>0</v>
      </c>
      <c r="H140" s="3">
        <f>'Monthly D7 RIN Data'!$E81</f>
        <v>0</v>
      </c>
      <c r="I140" s="3">
        <f>'Monthly D7 RIN Data'!$E93</f>
        <v>0</v>
      </c>
      <c r="J140" s="3">
        <f>'Monthly D7 RIN Data'!$E105</f>
        <v>0</v>
      </c>
      <c r="K140" s="3">
        <f>'Monthly D7 RIN Data'!$E117</f>
        <v>0</v>
      </c>
      <c r="L140" s="3">
        <f>'Monthly D7 RIN Data'!$E129</f>
        <v>0</v>
      </c>
      <c r="M140" s="3">
        <f>'Monthly D7 RIN Data'!$E141</f>
        <v>0</v>
      </c>
      <c r="N140" s="3">
        <f>'Monthly D7 RIN Data'!$E153</f>
        <v>0</v>
      </c>
      <c r="O140" s="3">
        <f>'Monthly D7 RIN Data'!$E165</f>
        <v>0</v>
      </c>
      <c r="P140" s="3">
        <f>'Monthly D7 RIN Data'!$E177</f>
        <v>0</v>
      </c>
      <c r="Q140" s="4">
        <f>'D7 Gallon Forecast'!Q90</f>
        <v>0</v>
      </c>
      <c r="R140" s="4">
        <f>'D7 Gallon Forecast'!R90</f>
        <v>0</v>
      </c>
      <c r="S140" s="4">
        <f>'D7 Gallon Forecast'!S90</f>
        <v>0</v>
      </c>
      <c r="T140" s="4">
        <f>'D7 Gallon Forecast'!T90</f>
        <v>0</v>
      </c>
      <c r="U140" s="4">
        <f>'D7 Gallon Forecast'!U90</f>
        <v>0</v>
      </c>
      <c r="V140" s="4">
        <f>'D7 Gallon Forecast'!V90</f>
        <v>0</v>
      </c>
      <c r="W140" s="4">
        <f>'D7 Gallon Forecast'!W90</f>
        <v>0</v>
      </c>
      <c r="X140" s="4">
        <f>'D7 Gallon Forecast'!X90</f>
        <v>0</v>
      </c>
      <c r="Y140" s="4">
        <f>'D7 Gallon Forecast'!Y90</f>
        <v>0</v>
      </c>
      <c r="Z140" s="4">
        <f>'D7 Gallon Forecast'!Z90</f>
        <v>0</v>
      </c>
    </row>
    <row r="141" spans="1:26">
      <c r="A141" s="2" t="s">
        <v>49</v>
      </c>
      <c r="B141" s="3">
        <f>'Monthly D7 RIN Data'!$E10</f>
        <v>0</v>
      </c>
      <c r="C141" s="3">
        <f>'Monthly D7 RIN Data'!$E22</f>
        <v>0</v>
      </c>
      <c r="D141" s="3">
        <f>'Monthly D7 RIN Data'!$E34</f>
        <v>0</v>
      </c>
      <c r="E141" s="3">
        <f>'Monthly D7 RIN Data'!$E46</f>
        <v>0</v>
      </c>
      <c r="F141" s="3">
        <f>'Monthly D7 RIN Data'!$E58</f>
        <v>0</v>
      </c>
      <c r="G141" s="3">
        <f>'Monthly D7 RIN Data'!$E70</f>
        <v>0</v>
      </c>
      <c r="H141" s="3">
        <f>'Monthly D7 RIN Data'!$E82</f>
        <v>0</v>
      </c>
      <c r="I141" s="3">
        <f>'Monthly D7 RIN Data'!$E94</f>
        <v>0</v>
      </c>
      <c r="J141" s="3">
        <f>'Monthly D7 RIN Data'!$E106</f>
        <v>0</v>
      </c>
      <c r="K141" s="3">
        <f>'Monthly D7 RIN Data'!$E118</f>
        <v>0</v>
      </c>
      <c r="L141" s="3">
        <f>'Monthly D7 RIN Data'!$E130</f>
        <v>0</v>
      </c>
      <c r="M141" s="3">
        <f>'Monthly D7 RIN Data'!$E142</f>
        <v>0</v>
      </c>
      <c r="N141" s="3">
        <f>'Monthly D7 RIN Data'!$E154</f>
        <v>0</v>
      </c>
      <c r="O141" s="3">
        <f>'Monthly D7 RIN Data'!$E166</f>
        <v>0</v>
      </c>
      <c r="P141" s="3">
        <f>'Monthly D7 RIN Data'!$E178</f>
        <v>0</v>
      </c>
      <c r="Q141" s="4">
        <f>'D7 Gallon Forecast'!Q91</f>
        <v>0</v>
      </c>
      <c r="R141" s="4">
        <f>'D7 Gallon Forecast'!R91</f>
        <v>0</v>
      </c>
      <c r="S141" s="4">
        <f>'D7 Gallon Forecast'!S91</f>
        <v>0</v>
      </c>
      <c r="T141" s="4">
        <f>'D7 Gallon Forecast'!T91</f>
        <v>0</v>
      </c>
      <c r="U141" s="4">
        <f>'D7 Gallon Forecast'!U91</f>
        <v>0</v>
      </c>
      <c r="V141" s="4">
        <f>'D7 Gallon Forecast'!V91</f>
        <v>0</v>
      </c>
      <c r="W141" s="4">
        <f>'D7 Gallon Forecast'!W91</f>
        <v>0</v>
      </c>
      <c r="X141" s="4">
        <f>'D7 Gallon Forecast'!X91</f>
        <v>0</v>
      </c>
      <c r="Y141" s="4">
        <f>'D7 Gallon Forecast'!Y91</f>
        <v>0</v>
      </c>
      <c r="Z141" s="4">
        <f>'D7 Gallon Forecast'!Z91</f>
        <v>0</v>
      </c>
    </row>
    <row r="142" spans="1:26">
      <c r="A142" s="2" t="s">
        <v>50</v>
      </c>
      <c r="B142" s="3">
        <f>'Monthly D7 RIN Data'!$E11</f>
        <v>0</v>
      </c>
      <c r="C142" s="3">
        <f>'Monthly D7 RIN Data'!$E23</f>
        <v>0</v>
      </c>
      <c r="D142" s="3">
        <f>'Monthly D7 RIN Data'!$E35</f>
        <v>0</v>
      </c>
      <c r="E142" s="3">
        <f>'Monthly D7 RIN Data'!$E47</f>
        <v>0</v>
      </c>
      <c r="F142" s="3">
        <f>'Monthly D7 RIN Data'!$E59</f>
        <v>0</v>
      </c>
      <c r="G142" s="3">
        <f>'Monthly D7 RIN Data'!$E71</f>
        <v>0</v>
      </c>
      <c r="H142" s="3">
        <f>'Monthly D7 RIN Data'!$E83</f>
        <v>0</v>
      </c>
      <c r="I142" s="3">
        <f>'Monthly D7 RIN Data'!$E95</f>
        <v>0</v>
      </c>
      <c r="J142" s="3">
        <f>'Monthly D7 RIN Data'!$E107</f>
        <v>0</v>
      </c>
      <c r="K142" s="3">
        <f>'Monthly D7 RIN Data'!$E119</f>
        <v>0</v>
      </c>
      <c r="L142" s="3">
        <f>'Monthly D7 RIN Data'!$E131</f>
        <v>0</v>
      </c>
      <c r="M142" s="3">
        <f>'Monthly D7 RIN Data'!$E143</f>
        <v>0</v>
      </c>
      <c r="N142" s="3">
        <f>'Monthly D7 RIN Data'!$E155</f>
        <v>0</v>
      </c>
      <c r="O142" s="3">
        <f>'Monthly D7 RIN Data'!$E167</f>
        <v>0</v>
      </c>
      <c r="P142" s="3">
        <f>'Monthly D7 RIN Data'!$E179</f>
        <v>0</v>
      </c>
      <c r="Q142" s="4">
        <f>'D7 Gallon Forecast'!Q92</f>
        <v>0</v>
      </c>
      <c r="R142" s="4">
        <f>'D7 Gallon Forecast'!R92</f>
        <v>0</v>
      </c>
      <c r="S142" s="4">
        <f>'D7 Gallon Forecast'!S92</f>
        <v>0</v>
      </c>
      <c r="T142" s="4">
        <f>'D7 Gallon Forecast'!T92</f>
        <v>0</v>
      </c>
      <c r="U142" s="4">
        <f>'D7 Gallon Forecast'!U92</f>
        <v>0</v>
      </c>
      <c r="V142" s="4">
        <f>'D7 Gallon Forecast'!V92</f>
        <v>0</v>
      </c>
      <c r="W142" s="4">
        <f>'D7 Gallon Forecast'!W92</f>
        <v>0</v>
      </c>
      <c r="X142" s="4">
        <f>'D7 Gallon Forecast'!X92</f>
        <v>0</v>
      </c>
      <c r="Y142" s="4">
        <f>'D7 Gallon Forecast'!Y92</f>
        <v>0</v>
      </c>
      <c r="Z142" s="4">
        <f>'D7 Gallon Forecast'!Z92</f>
        <v>0</v>
      </c>
    </row>
    <row r="143" spans="1:26">
      <c r="A143" s="2" t="s">
        <v>51</v>
      </c>
      <c r="B143" s="3">
        <f>'Monthly D7 RIN Data'!$E12</f>
        <v>0</v>
      </c>
      <c r="C143" s="3">
        <f>'Monthly D7 RIN Data'!$E24</f>
        <v>0</v>
      </c>
      <c r="D143" s="3">
        <f>'Monthly D7 RIN Data'!$E36</f>
        <v>0</v>
      </c>
      <c r="E143" s="3">
        <f>'Monthly D7 RIN Data'!$E48</f>
        <v>0</v>
      </c>
      <c r="F143" s="3">
        <f>'Monthly D7 RIN Data'!$E60</f>
        <v>0</v>
      </c>
      <c r="G143" s="3">
        <f>'Monthly D7 RIN Data'!$E72</f>
        <v>0</v>
      </c>
      <c r="H143" s="3">
        <f>'Monthly D7 RIN Data'!$E84</f>
        <v>0</v>
      </c>
      <c r="I143" s="3">
        <f>'Monthly D7 RIN Data'!$E96</f>
        <v>0</v>
      </c>
      <c r="J143" s="3">
        <f>'Monthly D7 RIN Data'!$E108</f>
        <v>0</v>
      </c>
      <c r="K143" s="3">
        <f>'Monthly D7 RIN Data'!$E120</f>
        <v>0</v>
      </c>
      <c r="L143" s="3">
        <f>'Monthly D7 RIN Data'!$E132</f>
        <v>0</v>
      </c>
      <c r="M143" s="3">
        <f>'Monthly D7 RIN Data'!$E144</f>
        <v>0</v>
      </c>
      <c r="N143" s="3">
        <f>'Monthly D7 RIN Data'!$E156</f>
        <v>0</v>
      </c>
      <c r="O143" s="3">
        <f>'Monthly D7 RIN Data'!$E168</f>
        <v>0</v>
      </c>
      <c r="P143" s="3">
        <f>'Monthly D7 RIN Data'!$E180</f>
        <v>0</v>
      </c>
      <c r="Q143" s="4">
        <f>'D7 Gallon Forecast'!Q93</f>
        <v>0</v>
      </c>
      <c r="R143" s="4">
        <f>'D7 Gallon Forecast'!R93</f>
        <v>0</v>
      </c>
      <c r="S143" s="4">
        <f>'D7 Gallon Forecast'!S93</f>
        <v>0</v>
      </c>
      <c r="T143" s="4">
        <f>'D7 Gallon Forecast'!T93</f>
        <v>0</v>
      </c>
      <c r="U143" s="4">
        <f>'D7 Gallon Forecast'!U93</f>
        <v>0</v>
      </c>
      <c r="V143" s="4">
        <f>'D7 Gallon Forecast'!V93</f>
        <v>0</v>
      </c>
      <c r="W143" s="4">
        <f>'D7 Gallon Forecast'!W93</f>
        <v>0</v>
      </c>
      <c r="X143" s="4">
        <f>'D7 Gallon Forecast'!X93</f>
        <v>0</v>
      </c>
      <c r="Y143" s="4">
        <f>'D7 Gallon Forecast'!Y93</f>
        <v>0</v>
      </c>
      <c r="Z143" s="4">
        <f>'D7 Gallon Forecast'!Z93</f>
        <v>0</v>
      </c>
    </row>
    <row r="144" spans="1:26">
      <c r="A144" s="2" t="s">
        <v>52</v>
      </c>
      <c r="B144" s="3">
        <f>'Monthly D7 RIN Data'!$E13</f>
        <v>0</v>
      </c>
      <c r="C144" s="3">
        <f>'Monthly D7 RIN Data'!$E25</f>
        <v>0</v>
      </c>
      <c r="D144" s="3">
        <f>'Monthly D7 RIN Data'!$E37</f>
        <v>0</v>
      </c>
      <c r="E144" s="3">
        <f>'Monthly D7 RIN Data'!$E49</f>
        <v>0</v>
      </c>
      <c r="F144" s="3">
        <f>'Monthly D7 RIN Data'!$E61</f>
        <v>0</v>
      </c>
      <c r="G144" s="3">
        <f>'Monthly D7 RIN Data'!$E73</f>
        <v>0</v>
      </c>
      <c r="H144" s="3">
        <f>'Monthly D7 RIN Data'!$E85</f>
        <v>0</v>
      </c>
      <c r="I144" s="3">
        <f>'Monthly D7 RIN Data'!$E97</f>
        <v>0</v>
      </c>
      <c r="J144" s="3">
        <f>'Monthly D7 RIN Data'!$E109</f>
        <v>0</v>
      </c>
      <c r="K144" s="3">
        <f>'Monthly D7 RIN Data'!$E121</f>
        <v>0</v>
      </c>
      <c r="L144" s="3">
        <f>'Monthly D7 RIN Data'!$E133</f>
        <v>0</v>
      </c>
      <c r="M144" s="3">
        <f>'Monthly D7 RIN Data'!$E145</f>
        <v>0</v>
      </c>
      <c r="N144" s="3">
        <f>'Monthly D7 RIN Data'!$E157</f>
        <v>0</v>
      </c>
      <c r="O144" s="3">
        <f>'Monthly D7 RIN Data'!$E169</f>
        <v>0</v>
      </c>
      <c r="P144" s="3">
        <f>'Monthly D7 RIN Data'!$E181</f>
        <v>0</v>
      </c>
      <c r="Q144" s="4">
        <f>'D7 Gallon Forecast'!Q94</f>
        <v>0</v>
      </c>
      <c r="R144" s="4">
        <f>'D7 Gallon Forecast'!R94</f>
        <v>0</v>
      </c>
      <c r="S144" s="4">
        <f>'D7 Gallon Forecast'!S94</f>
        <v>0</v>
      </c>
      <c r="T144" s="4">
        <f>'D7 Gallon Forecast'!T94</f>
        <v>0</v>
      </c>
      <c r="U144" s="4">
        <f>'D7 Gallon Forecast'!U94</f>
        <v>0</v>
      </c>
      <c r="V144" s="4">
        <f>'D7 Gallon Forecast'!V94</f>
        <v>0</v>
      </c>
      <c r="W144" s="4">
        <f>'D7 Gallon Forecast'!W94</f>
        <v>0</v>
      </c>
      <c r="X144" s="4">
        <f>'D7 Gallon Forecast'!X94</f>
        <v>0</v>
      </c>
      <c r="Y144" s="4">
        <f>'D7 Gallon Forecast'!Y94</f>
        <v>0</v>
      </c>
      <c r="Z144" s="4">
        <f>'D7 Gallon Forecast'!Z94</f>
        <v>0</v>
      </c>
    </row>
    <row r="145" spans="1:26">
      <c r="A145" s="2" t="s">
        <v>53</v>
      </c>
      <c r="B145" s="3">
        <f>'Monthly D7 RIN Data'!$E14</f>
        <v>0</v>
      </c>
      <c r="C145" s="3">
        <f>'Monthly D7 RIN Data'!$E26</f>
        <v>0</v>
      </c>
      <c r="D145" s="3">
        <f>'Monthly D7 RIN Data'!$E38</f>
        <v>0</v>
      </c>
      <c r="E145" s="3">
        <f>'Monthly D7 RIN Data'!$E50</f>
        <v>0</v>
      </c>
      <c r="F145" s="3">
        <f>'Monthly D7 RIN Data'!$E62</f>
        <v>0</v>
      </c>
      <c r="G145" s="3">
        <f>'Monthly D7 RIN Data'!$E74</f>
        <v>0</v>
      </c>
      <c r="H145" s="3">
        <f>'Monthly D7 RIN Data'!$E86</f>
        <v>0</v>
      </c>
      <c r="I145" s="3">
        <f>'Monthly D7 RIN Data'!$E98</f>
        <v>0</v>
      </c>
      <c r="J145" s="3">
        <f>'Monthly D7 RIN Data'!$E110</f>
        <v>0</v>
      </c>
      <c r="K145" s="3">
        <f>'Monthly D7 RIN Data'!$E122</f>
        <v>0</v>
      </c>
      <c r="L145" s="3">
        <f>'Monthly D7 RIN Data'!$E134</f>
        <v>0</v>
      </c>
      <c r="M145" s="3">
        <f>'Monthly D7 RIN Data'!$E146</f>
        <v>0</v>
      </c>
      <c r="N145" s="3">
        <f>'Monthly D7 RIN Data'!$E158</f>
        <v>0</v>
      </c>
      <c r="O145" s="3">
        <f>'Monthly D7 RIN Data'!$E170</f>
        <v>0</v>
      </c>
      <c r="P145" s="3">
        <f>'Monthly D7 RIN Data'!$E182</f>
        <v>0</v>
      </c>
      <c r="Q145" s="4">
        <f>'D7 Gallon Forecast'!Q95</f>
        <v>0</v>
      </c>
      <c r="R145" s="4">
        <f>'D7 Gallon Forecast'!R95</f>
        <v>0</v>
      </c>
      <c r="S145" s="4">
        <f>'D7 Gallon Forecast'!S95</f>
        <v>0</v>
      </c>
      <c r="T145" s="4">
        <f>'D7 Gallon Forecast'!T95</f>
        <v>0</v>
      </c>
      <c r="U145" s="4">
        <f>'D7 Gallon Forecast'!U95</f>
        <v>0</v>
      </c>
      <c r="V145" s="4">
        <f>'D7 Gallon Forecast'!V95</f>
        <v>0</v>
      </c>
      <c r="W145" s="4">
        <f>'D7 Gallon Forecast'!W95</f>
        <v>0</v>
      </c>
      <c r="X145" s="4">
        <f>'D7 Gallon Forecast'!X95</f>
        <v>0</v>
      </c>
      <c r="Y145" s="4">
        <f>'D7 Gallon Forecast'!Y95</f>
        <v>0</v>
      </c>
      <c r="Z145" s="4">
        <f>'D7 Gallon Forecast'!Z95</f>
        <v>0</v>
      </c>
    </row>
    <row r="146" spans="1:26">
      <c r="A146" s="2" t="s">
        <v>54</v>
      </c>
      <c r="B146" s="3">
        <f>'Monthly D7 RIN Data'!$E15</f>
        <v>0</v>
      </c>
      <c r="C146" s="3">
        <f>'Monthly D7 RIN Data'!$E27</f>
        <v>0</v>
      </c>
      <c r="D146" s="3">
        <f>'Monthly D7 RIN Data'!$E39</f>
        <v>0</v>
      </c>
      <c r="E146" s="3">
        <f>'Monthly D7 RIN Data'!$E51</f>
        <v>0</v>
      </c>
      <c r="F146" s="3">
        <f>'Monthly D7 RIN Data'!$E63</f>
        <v>0</v>
      </c>
      <c r="G146" s="3">
        <f>'Monthly D7 RIN Data'!$E75</f>
        <v>0</v>
      </c>
      <c r="H146" s="3">
        <f>'Monthly D7 RIN Data'!$E87</f>
        <v>0</v>
      </c>
      <c r="I146" s="3">
        <f>'Monthly D7 RIN Data'!$E99</f>
        <v>0</v>
      </c>
      <c r="J146" s="3">
        <f>'Monthly D7 RIN Data'!$E111</f>
        <v>0</v>
      </c>
      <c r="K146" s="3">
        <f>'Monthly D7 RIN Data'!$E123</f>
        <v>0</v>
      </c>
      <c r="L146" s="3">
        <f>'Monthly D7 RIN Data'!$E135</f>
        <v>0</v>
      </c>
      <c r="M146" s="3">
        <f>'Monthly D7 RIN Data'!$E147</f>
        <v>0</v>
      </c>
      <c r="N146" s="3">
        <f>'Monthly D7 RIN Data'!$E159</f>
        <v>0</v>
      </c>
      <c r="O146" s="3">
        <f>'Monthly D7 RIN Data'!$E171</f>
        <v>0</v>
      </c>
      <c r="P146" s="3">
        <f>'Monthly D7 RIN Data'!$E183</f>
        <v>0</v>
      </c>
      <c r="Q146" s="4">
        <f>'D7 Gallon Forecast'!Q96</f>
        <v>0</v>
      </c>
      <c r="R146" s="4">
        <f>'D7 Gallon Forecast'!R96</f>
        <v>0</v>
      </c>
      <c r="S146" s="4">
        <f>'D7 Gallon Forecast'!S96</f>
        <v>0</v>
      </c>
      <c r="T146" s="4">
        <f>'D7 Gallon Forecast'!T96</f>
        <v>0</v>
      </c>
      <c r="U146" s="4">
        <f>'D7 Gallon Forecast'!U96</f>
        <v>0</v>
      </c>
      <c r="V146" s="4">
        <f>'D7 Gallon Forecast'!V96</f>
        <v>0</v>
      </c>
      <c r="W146" s="4">
        <f>'D7 Gallon Forecast'!W96</f>
        <v>0</v>
      </c>
      <c r="X146" s="4">
        <f>'D7 Gallon Forecast'!X96</f>
        <v>0</v>
      </c>
      <c r="Y146" s="4">
        <f>'D7 Gallon Forecast'!Y96</f>
        <v>0</v>
      </c>
      <c r="Z146" s="4">
        <f>'D7 Gallon Forecast'!Z96</f>
        <v>0</v>
      </c>
    </row>
    <row r="147" spans="1:26" ht="13.5" thickBot="1">
      <c r="A147" s="2" t="s">
        <v>29</v>
      </c>
      <c r="B147" s="3">
        <f t="shared" ref="B147:Z147" si="39">SUM(B135:B146)</f>
        <v>0</v>
      </c>
      <c r="C147" s="3">
        <f t="shared" si="39"/>
        <v>0</v>
      </c>
      <c r="D147" s="3">
        <f t="shared" si="39"/>
        <v>0</v>
      </c>
      <c r="E147" s="3">
        <f t="shared" si="39"/>
        <v>0</v>
      </c>
      <c r="F147" s="3">
        <f t="shared" si="39"/>
        <v>0</v>
      </c>
      <c r="G147" s="3">
        <f t="shared" si="39"/>
        <v>0</v>
      </c>
      <c r="H147" s="3">
        <f t="shared" si="39"/>
        <v>0</v>
      </c>
      <c r="I147" s="3">
        <f t="shared" si="39"/>
        <v>0</v>
      </c>
      <c r="J147" s="3">
        <f t="shared" si="39"/>
        <v>0</v>
      </c>
      <c r="K147" s="3">
        <f t="shared" si="39"/>
        <v>0</v>
      </c>
      <c r="L147" s="3">
        <f t="shared" si="39"/>
        <v>0</v>
      </c>
      <c r="M147" s="3">
        <f t="shared" si="39"/>
        <v>0</v>
      </c>
      <c r="N147" s="3">
        <f t="shared" si="39"/>
        <v>0</v>
      </c>
      <c r="O147" s="3">
        <f t="shared" si="39"/>
        <v>0</v>
      </c>
      <c r="P147" s="3">
        <f t="shared" si="39"/>
        <v>0</v>
      </c>
      <c r="Q147" s="4">
        <f t="shared" si="39"/>
        <v>0</v>
      </c>
      <c r="R147" s="4">
        <f t="shared" si="39"/>
        <v>0</v>
      </c>
      <c r="S147" s="4">
        <f t="shared" si="39"/>
        <v>0</v>
      </c>
      <c r="T147" s="4">
        <f t="shared" si="39"/>
        <v>0</v>
      </c>
      <c r="U147" s="4">
        <f t="shared" si="39"/>
        <v>0</v>
      </c>
      <c r="V147" s="4">
        <f t="shared" si="39"/>
        <v>0</v>
      </c>
      <c r="W147" s="4">
        <f t="shared" si="39"/>
        <v>0</v>
      </c>
      <c r="X147" s="4">
        <f t="shared" si="39"/>
        <v>0</v>
      </c>
      <c r="Y147" s="4">
        <f t="shared" si="39"/>
        <v>0</v>
      </c>
      <c r="Z147" s="4">
        <f t="shared" si="39"/>
        <v>0</v>
      </c>
    </row>
    <row r="148" spans="1:26">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row>
    <row r="149" spans="1:26" ht="16.5" thickBot="1">
      <c r="A149" s="109" t="s">
        <v>550</v>
      </c>
    </row>
    <row r="150" spans="1:26" ht="13.5" thickBot="1">
      <c r="A150" s="110"/>
      <c r="B150" s="111">
        <v>2010</v>
      </c>
      <c r="C150" s="111">
        <v>2011</v>
      </c>
      <c r="D150" s="111">
        <v>2012</v>
      </c>
      <c r="E150" s="111">
        <v>2013</v>
      </c>
      <c r="F150" s="111">
        <v>2014</v>
      </c>
      <c r="G150" s="111">
        <v>2015</v>
      </c>
      <c r="H150" s="111">
        <v>2016</v>
      </c>
      <c r="I150" s="111">
        <v>2017</v>
      </c>
      <c r="J150" s="111">
        <v>2018</v>
      </c>
      <c r="K150" s="111">
        <v>2019</v>
      </c>
      <c r="L150" s="111">
        <v>2020</v>
      </c>
      <c r="M150" s="111">
        <v>2021</v>
      </c>
      <c r="N150" s="111">
        <v>2022</v>
      </c>
      <c r="O150" s="111">
        <v>2023</v>
      </c>
      <c r="P150" s="111">
        <v>2024</v>
      </c>
      <c r="Q150" s="111">
        <v>2025</v>
      </c>
      <c r="R150" s="111">
        <v>2026</v>
      </c>
      <c r="S150" s="111">
        <v>2027</v>
      </c>
      <c r="T150" s="111">
        <v>2028</v>
      </c>
      <c r="U150" s="111">
        <v>2029</v>
      </c>
      <c r="V150" s="111">
        <v>2030</v>
      </c>
      <c r="W150" s="111">
        <v>2031</v>
      </c>
      <c r="X150" s="111">
        <v>2032</v>
      </c>
      <c r="Y150" s="111">
        <v>2033</v>
      </c>
      <c r="Z150" s="111">
        <v>2034</v>
      </c>
    </row>
    <row r="151" spans="1:26">
      <c r="A151" s="2" t="s">
        <v>43</v>
      </c>
      <c r="B151" s="3">
        <f>B167+B183</f>
        <v>0</v>
      </c>
      <c r="C151" s="3">
        <f t="shared" ref="C151:J151" si="40">C167+C183</f>
        <v>0</v>
      </c>
      <c r="D151" s="3">
        <f t="shared" si="40"/>
        <v>0</v>
      </c>
      <c r="E151" s="3">
        <f t="shared" si="40"/>
        <v>0</v>
      </c>
      <c r="F151" s="3">
        <f t="shared" si="40"/>
        <v>0</v>
      </c>
      <c r="G151" s="3">
        <f t="shared" si="40"/>
        <v>0</v>
      </c>
      <c r="H151" s="3">
        <f t="shared" si="40"/>
        <v>0</v>
      </c>
      <c r="I151" s="3">
        <f t="shared" si="40"/>
        <v>0</v>
      </c>
      <c r="J151" s="3">
        <f t="shared" si="40"/>
        <v>49276</v>
      </c>
      <c r="K151" s="3">
        <f>K167+K183</f>
        <v>148993</v>
      </c>
      <c r="L151" s="3">
        <f>L167+L183</f>
        <v>0</v>
      </c>
      <c r="M151" s="3">
        <f>M167+M183</f>
        <v>0</v>
      </c>
      <c r="N151" s="3">
        <f>N167+N183</f>
        <v>0</v>
      </c>
      <c r="O151" s="3">
        <f>O167+O183</f>
        <v>0</v>
      </c>
      <c r="P151" s="3">
        <f t="shared" ref="P151:Z162" si="41">P167+P183</f>
        <v>0</v>
      </c>
      <c r="Q151" s="3">
        <f t="shared" si="41"/>
        <v>0</v>
      </c>
      <c r="R151" s="4">
        <f t="shared" si="41"/>
        <v>0</v>
      </c>
      <c r="S151" s="4">
        <f t="shared" si="41"/>
        <v>0</v>
      </c>
      <c r="T151" s="4">
        <f t="shared" si="41"/>
        <v>0</v>
      </c>
      <c r="U151" s="4">
        <f t="shared" si="41"/>
        <v>0</v>
      </c>
      <c r="V151" s="4">
        <f t="shared" si="41"/>
        <v>0</v>
      </c>
      <c r="W151" s="4">
        <f t="shared" si="41"/>
        <v>0</v>
      </c>
      <c r="X151" s="4">
        <f t="shared" si="41"/>
        <v>0</v>
      </c>
      <c r="Y151" s="4">
        <f t="shared" si="41"/>
        <v>0</v>
      </c>
      <c r="Z151" s="4">
        <f t="shared" si="41"/>
        <v>0</v>
      </c>
    </row>
    <row r="152" spans="1:26">
      <c r="A152" s="2" t="s">
        <v>44</v>
      </c>
      <c r="B152" s="3">
        <f t="shared" ref="B152:Q162" si="42">B168+B184</f>
        <v>0</v>
      </c>
      <c r="C152" s="3">
        <f t="shared" si="42"/>
        <v>0</v>
      </c>
      <c r="D152" s="3">
        <f t="shared" si="42"/>
        <v>0</v>
      </c>
      <c r="E152" s="3">
        <f t="shared" si="42"/>
        <v>0</v>
      </c>
      <c r="F152" s="3">
        <f t="shared" si="42"/>
        <v>0</v>
      </c>
      <c r="G152" s="3">
        <f t="shared" si="42"/>
        <v>0</v>
      </c>
      <c r="H152" s="3">
        <f t="shared" si="42"/>
        <v>0</v>
      </c>
      <c r="I152" s="3">
        <f t="shared" si="42"/>
        <v>0</v>
      </c>
      <c r="J152" s="3">
        <f t="shared" si="42"/>
        <v>0</v>
      </c>
      <c r="K152" s="3">
        <f t="shared" si="42"/>
        <v>225497</v>
      </c>
      <c r="L152" s="3">
        <f t="shared" si="42"/>
        <v>0</v>
      </c>
      <c r="M152" s="3">
        <f t="shared" si="42"/>
        <v>0</v>
      </c>
      <c r="N152" s="3">
        <f t="shared" si="42"/>
        <v>58930</v>
      </c>
      <c r="O152" s="3">
        <f>O168+O184</f>
        <v>0</v>
      </c>
      <c r="P152" s="3">
        <f t="shared" si="41"/>
        <v>0</v>
      </c>
      <c r="Q152" s="3">
        <f t="shared" si="41"/>
        <v>0</v>
      </c>
      <c r="R152" s="4">
        <f t="shared" si="41"/>
        <v>10045.402294857344</v>
      </c>
      <c r="S152" s="4">
        <f t="shared" si="41"/>
        <v>9004.7184796997826</v>
      </c>
      <c r="T152" s="4">
        <f t="shared" si="41"/>
        <v>9456.7959158934718</v>
      </c>
      <c r="U152" s="4">
        <f t="shared" si="41"/>
        <v>10021.993867898625</v>
      </c>
      <c r="V152" s="4">
        <f t="shared" si="41"/>
        <v>10276.356782225263</v>
      </c>
      <c r="W152" s="4">
        <f t="shared" si="41"/>
        <v>10622.416048043095</v>
      </c>
      <c r="X152" s="4">
        <f t="shared" si="41"/>
        <v>10631.132060653968</v>
      </c>
      <c r="Y152" s="4">
        <f t="shared" si="41"/>
        <v>11190.564647290204</v>
      </c>
      <c r="Z152" s="4">
        <f t="shared" si="41"/>
        <v>11450.774970440867</v>
      </c>
    </row>
    <row r="153" spans="1:26">
      <c r="A153" s="2" t="s">
        <v>45</v>
      </c>
      <c r="B153" s="3">
        <f t="shared" si="42"/>
        <v>0</v>
      </c>
      <c r="C153" s="3">
        <f t="shared" si="42"/>
        <v>0</v>
      </c>
      <c r="D153" s="3">
        <f t="shared" si="42"/>
        <v>0</v>
      </c>
      <c r="E153" s="3">
        <f t="shared" si="42"/>
        <v>0</v>
      </c>
      <c r="F153" s="3">
        <f t="shared" si="42"/>
        <v>472</v>
      </c>
      <c r="G153" s="3">
        <f t="shared" si="42"/>
        <v>0</v>
      </c>
      <c r="H153" s="3">
        <f t="shared" si="42"/>
        <v>127593</v>
      </c>
      <c r="I153" s="3">
        <f t="shared" si="42"/>
        <v>0</v>
      </c>
      <c r="J153" s="3">
        <f t="shared" si="42"/>
        <v>592070</v>
      </c>
      <c r="K153" s="3">
        <f t="shared" si="42"/>
        <v>423217</v>
      </c>
      <c r="L153" s="3">
        <f t="shared" si="42"/>
        <v>0</v>
      </c>
      <c r="M153" s="3">
        <f t="shared" si="42"/>
        <v>0</v>
      </c>
      <c r="N153" s="3">
        <f t="shared" si="42"/>
        <v>0</v>
      </c>
      <c r="O153" s="3">
        <f t="shared" si="42"/>
        <v>0</v>
      </c>
      <c r="P153" s="3">
        <f t="shared" si="41"/>
        <v>0</v>
      </c>
      <c r="Q153" s="3">
        <f t="shared" si="41"/>
        <v>0</v>
      </c>
      <c r="R153" s="4">
        <f t="shared" si="41"/>
        <v>50912.825335798538</v>
      </c>
      <c r="S153" s="4">
        <f t="shared" si="41"/>
        <v>45638.357300005271</v>
      </c>
      <c r="T153" s="4">
        <f t="shared" si="41"/>
        <v>47929.60844869924</v>
      </c>
      <c r="U153" s="4">
        <f t="shared" si="41"/>
        <v>50794.185074497589</v>
      </c>
      <c r="V153" s="4">
        <f t="shared" si="41"/>
        <v>52083.365363040793</v>
      </c>
      <c r="W153" s="4">
        <f t="shared" si="41"/>
        <v>53837.287649004167</v>
      </c>
      <c r="X153" s="4">
        <f t="shared" si="41"/>
        <v>53881.462766600926</v>
      </c>
      <c r="Y153" s="4">
        <f t="shared" si="41"/>
        <v>56716.818955884242</v>
      </c>
      <c r="Z153" s="4">
        <f t="shared" si="41"/>
        <v>58035.63549944105</v>
      </c>
    </row>
    <row r="154" spans="1:26">
      <c r="A154" s="2" t="s">
        <v>46</v>
      </c>
      <c r="B154" s="3">
        <f t="shared" si="42"/>
        <v>0</v>
      </c>
      <c r="C154" s="3">
        <f t="shared" si="42"/>
        <v>0</v>
      </c>
      <c r="D154" s="3">
        <f t="shared" si="42"/>
        <v>0</v>
      </c>
      <c r="E154" s="3">
        <f t="shared" si="42"/>
        <v>0</v>
      </c>
      <c r="F154" s="3">
        <f t="shared" si="42"/>
        <v>2091</v>
      </c>
      <c r="G154" s="3">
        <f t="shared" si="42"/>
        <v>0</v>
      </c>
      <c r="H154" s="3">
        <f t="shared" si="42"/>
        <v>0</v>
      </c>
      <c r="I154" s="3">
        <f t="shared" si="42"/>
        <v>0</v>
      </c>
      <c r="J154" s="3">
        <f t="shared" si="42"/>
        <v>106260</v>
      </c>
      <c r="K154" s="3">
        <f t="shared" si="42"/>
        <v>239288</v>
      </c>
      <c r="L154" s="3">
        <f t="shared" si="42"/>
        <v>0</v>
      </c>
      <c r="M154" s="3">
        <f t="shared" si="42"/>
        <v>0</v>
      </c>
      <c r="N154" s="3">
        <f t="shared" si="42"/>
        <v>0</v>
      </c>
      <c r="O154" s="3">
        <f t="shared" si="42"/>
        <v>69961</v>
      </c>
      <c r="P154" s="3">
        <f t="shared" si="41"/>
        <v>0</v>
      </c>
      <c r="Q154" s="4">
        <f t="shared" si="41"/>
        <v>12356.484501036421</v>
      </c>
      <c r="R154" s="4">
        <f t="shared" si="41"/>
        <v>15393.413979713105</v>
      </c>
      <c r="S154" s="4">
        <f t="shared" si="41"/>
        <v>13798.686728529872</v>
      </c>
      <c r="T154" s="4">
        <f t="shared" si="41"/>
        <v>14491.442968842857</v>
      </c>
      <c r="U154" s="4">
        <f t="shared" si="41"/>
        <v>15357.543280241576</v>
      </c>
      <c r="V154" s="4">
        <f t="shared" si="41"/>
        <v>15747.324946160594</v>
      </c>
      <c r="W154" s="4">
        <f t="shared" si="41"/>
        <v>16277.620636058109</v>
      </c>
      <c r="X154" s="4">
        <f t="shared" si="41"/>
        <v>16290.976914525949</v>
      </c>
      <c r="Y154" s="4">
        <f t="shared" si="41"/>
        <v>17148.24247214746</v>
      </c>
      <c r="Z154" s="4">
        <f t="shared" si="41"/>
        <v>17546.984613923472</v>
      </c>
    </row>
    <row r="155" spans="1:26">
      <c r="A155" s="2" t="s">
        <v>47</v>
      </c>
      <c r="B155" s="3">
        <f t="shared" si="42"/>
        <v>0</v>
      </c>
      <c r="C155" s="3">
        <f t="shared" si="42"/>
        <v>0</v>
      </c>
      <c r="D155" s="3">
        <f t="shared" si="42"/>
        <v>0</v>
      </c>
      <c r="E155" s="3">
        <f t="shared" si="42"/>
        <v>0</v>
      </c>
      <c r="F155" s="3">
        <f t="shared" si="42"/>
        <v>0</v>
      </c>
      <c r="G155" s="3">
        <f t="shared" si="42"/>
        <v>173731</v>
      </c>
      <c r="H155" s="3">
        <f t="shared" si="42"/>
        <v>0</v>
      </c>
      <c r="I155" s="3">
        <f t="shared" si="42"/>
        <v>0</v>
      </c>
      <c r="J155" s="3">
        <f t="shared" si="42"/>
        <v>457786</v>
      </c>
      <c r="K155" s="3">
        <f t="shared" si="42"/>
        <v>132150</v>
      </c>
      <c r="L155" s="3">
        <f t="shared" si="42"/>
        <v>0</v>
      </c>
      <c r="M155" s="3">
        <f t="shared" si="42"/>
        <v>0</v>
      </c>
      <c r="N155" s="3">
        <f t="shared" si="42"/>
        <v>0</v>
      </c>
      <c r="O155" s="3">
        <f t="shared" si="42"/>
        <v>43465</v>
      </c>
      <c r="P155" s="3">
        <f t="shared" si="41"/>
        <v>0</v>
      </c>
      <c r="Q155" s="4">
        <f t="shared" si="41"/>
        <v>21095.57873465748</v>
      </c>
      <c r="R155" s="4">
        <f t="shared" si="41"/>
        <v>26280.369354000111</v>
      </c>
      <c r="S155" s="4">
        <f t="shared" si="41"/>
        <v>23557.775052617868</v>
      </c>
      <c r="T155" s="4">
        <f t="shared" si="41"/>
        <v>24740.481493937979</v>
      </c>
      <c r="U155" s="4">
        <f t="shared" si="41"/>
        <v>26219.129187761453</v>
      </c>
      <c r="V155" s="4">
        <f t="shared" si="41"/>
        <v>26884.583008549311</v>
      </c>
      <c r="W155" s="4">
        <f t="shared" si="41"/>
        <v>27789.929062108815</v>
      </c>
      <c r="X155" s="4">
        <f t="shared" si="41"/>
        <v>27812.731536712065</v>
      </c>
      <c r="Y155" s="4">
        <f t="shared" si="41"/>
        <v>29276.296118191349</v>
      </c>
      <c r="Z155" s="4">
        <f t="shared" si="41"/>
        <v>29957.047690044674</v>
      </c>
    </row>
    <row r="156" spans="1:26">
      <c r="A156" s="2" t="s">
        <v>48</v>
      </c>
      <c r="B156" s="3">
        <f t="shared" si="42"/>
        <v>0</v>
      </c>
      <c r="C156" s="3">
        <f t="shared" si="42"/>
        <v>0</v>
      </c>
      <c r="D156" s="3">
        <f t="shared" si="42"/>
        <v>0</v>
      </c>
      <c r="E156" s="3">
        <f t="shared" si="42"/>
        <v>0</v>
      </c>
      <c r="F156" s="3">
        <f t="shared" si="42"/>
        <v>0</v>
      </c>
      <c r="G156" s="3">
        <f t="shared" si="42"/>
        <v>0</v>
      </c>
      <c r="H156" s="3">
        <f t="shared" si="42"/>
        <v>0</v>
      </c>
      <c r="I156" s="3">
        <f t="shared" si="42"/>
        <v>756020</v>
      </c>
      <c r="J156" s="3">
        <f t="shared" si="42"/>
        <v>297480</v>
      </c>
      <c r="K156" s="3">
        <f t="shared" si="42"/>
        <v>107473</v>
      </c>
      <c r="L156" s="3">
        <f t="shared" si="42"/>
        <v>0</v>
      </c>
      <c r="M156" s="3">
        <f t="shared" si="42"/>
        <v>0</v>
      </c>
      <c r="N156" s="3">
        <f t="shared" si="42"/>
        <v>102065</v>
      </c>
      <c r="O156" s="3">
        <f t="shared" si="42"/>
        <v>23954</v>
      </c>
      <c r="P156" s="3">
        <f t="shared" si="42"/>
        <v>0</v>
      </c>
      <c r="Q156" s="4">
        <f t="shared" si="41"/>
        <v>41515.346292329166</v>
      </c>
      <c r="R156" s="4">
        <f t="shared" si="41"/>
        <v>51718.829245920861</v>
      </c>
      <c r="S156" s="4">
        <f t="shared" si="41"/>
        <v>46360.860798735666</v>
      </c>
      <c r="T156" s="4">
        <f t="shared" si="41"/>
        <v>48688.38487812518</v>
      </c>
      <c r="U156" s="4">
        <f t="shared" si="41"/>
        <v>51598.310783717177</v>
      </c>
      <c r="V156" s="4">
        <f t="shared" si="41"/>
        <v>52907.900160669153</v>
      </c>
      <c r="W156" s="4">
        <f t="shared" si="41"/>
        <v>54689.588892733547</v>
      </c>
      <c r="X156" s="4">
        <f t="shared" si="41"/>
        <v>54734.463349195874</v>
      </c>
      <c r="Y156" s="4">
        <f t="shared" si="41"/>
        <v>57614.706227836519</v>
      </c>
      <c r="Z156" s="4">
        <f t="shared" si="41"/>
        <v>58954.401033085342</v>
      </c>
    </row>
    <row r="157" spans="1:26">
      <c r="A157" s="2" t="s">
        <v>49</v>
      </c>
      <c r="B157" s="3">
        <f t="shared" si="42"/>
        <v>0</v>
      </c>
      <c r="C157" s="3">
        <f t="shared" si="42"/>
        <v>0</v>
      </c>
      <c r="D157" s="3">
        <f t="shared" si="42"/>
        <v>0</v>
      </c>
      <c r="E157" s="3">
        <f t="shared" si="42"/>
        <v>0</v>
      </c>
      <c r="F157" s="3">
        <f t="shared" si="42"/>
        <v>1248</v>
      </c>
      <c r="G157" s="3">
        <f t="shared" si="42"/>
        <v>0</v>
      </c>
      <c r="H157" s="3">
        <f t="shared" si="42"/>
        <v>0</v>
      </c>
      <c r="I157" s="3">
        <f t="shared" si="42"/>
        <v>0</v>
      </c>
      <c r="J157" s="3">
        <f t="shared" si="42"/>
        <v>0</v>
      </c>
      <c r="K157" s="3">
        <f t="shared" si="42"/>
        <v>0</v>
      </c>
      <c r="L157" s="3">
        <f t="shared" si="42"/>
        <v>0</v>
      </c>
      <c r="M157" s="3">
        <f t="shared" si="42"/>
        <v>0</v>
      </c>
      <c r="N157" s="3">
        <f t="shared" si="42"/>
        <v>0</v>
      </c>
      <c r="O157" s="3">
        <f t="shared" si="42"/>
        <v>0</v>
      </c>
      <c r="P157" s="3">
        <f t="shared" si="42"/>
        <v>0</v>
      </c>
      <c r="Q157" s="4">
        <f t="shared" si="41"/>
        <v>0</v>
      </c>
      <c r="R157" s="4">
        <f t="shared" si="41"/>
        <v>0</v>
      </c>
      <c r="S157" s="4">
        <f t="shared" si="41"/>
        <v>0</v>
      </c>
      <c r="T157" s="4">
        <f t="shared" si="41"/>
        <v>0</v>
      </c>
      <c r="U157" s="4">
        <f t="shared" si="41"/>
        <v>0</v>
      </c>
      <c r="V157" s="4">
        <f t="shared" si="41"/>
        <v>0</v>
      </c>
      <c r="W157" s="4">
        <f t="shared" si="41"/>
        <v>0</v>
      </c>
      <c r="X157" s="4">
        <f t="shared" si="41"/>
        <v>0</v>
      </c>
      <c r="Y157" s="4">
        <f t="shared" si="41"/>
        <v>0</v>
      </c>
      <c r="Z157" s="4">
        <f t="shared" si="41"/>
        <v>0</v>
      </c>
    </row>
    <row r="158" spans="1:26">
      <c r="A158" s="2" t="s">
        <v>50</v>
      </c>
      <c r="B158" s="3">
        <f t="shared" si="42"/>
        <v>0</v>
      </c>
      <c r="C158" s="3">
        <f t="shared" si="42"/>
        <v>0</v>
      </c>
      <c r="D158" s="3">
        <f t="shared" si="42"/>
        <v>0</v>
      </c>
      <c r="E158" s="3">
        <f t="shared" si="42"/>
        <v>0</v>
      </c>
      <c r="F158" s="3">
        <f t="shared" si="42"/>
        <v>5532</v>
      </c>
      <c r="G158" s="3">
        <f t="shared" si="42"/>
        <v>53303</v>
      </c>
      <c r="H158" s="3">
        <f t="shared" si="42"/>
        <v>0</v>
      </c>
      <c r="I158" s="3">
        <f t="shared" si="42"/>
        <v>282632</v>
      </c>
      <c r="J158" s="3">
        <f t="shared" si="42"/>
        <v>0</v>
      </c>
      <c r="K158" s="3">
        <f t="shared" si="42"/>
        <v>39325</v>
      </c>
      <c r="L158" s="3">
        <f t="shared" si="42"/>
        <v>0</v>
      </c>
      <c r="M158" s="3">
        <f t="shared" si="42"/>
        <v>0</v>
      </c>
      <c r="N158" s="3">
        <f t="shared" si="42"/>
        <v>30374</v>
      </c>
      <c r="O158" s="3">
        <f t="shared" si="42"/>
        <v>28704</v>
      </c>
      <c r="P158" s="3">
        <f t="shared" si="42"/>
        <v>0</v>
      </c>
      <c r="Q158" s="4">
        <f t="shared" si="41"/>
        <v>11512.89164023575</v>
      </c>
      <c r="R158" s="4">
        <f t="shared" si="41"/>
        <v>14342.486093586107</v>
      </c>
      <c r="S158" s="4">
        <f t="shared" si="41"/>
        <v>12856.632893425203</v>
      </c>
      <c r="T158" s="4">
        <f t="shared" si="41"/>
        <v>13502.093787027388</v>
      </c>
      <c r="U158" s="4">
        <f t="shared" si="41"/>
        <v>14309.064332239623</v>
      </c>
      <c r="V158" s="4">
        <f t="shared" si="41"/>
        <v>14672.235109712765</v>
      </c>
      <c r="W158" s="4">
        <f t="shared" si="41"/>
        <v>15166.326840622318</v>
      </c>
      <c r="X158" s="4">
        <f t="shared" si="41"/>
        <v>15178.771269027837</v>
      </c>
      <c r="Y158" s="4">
        <f t="shared" si="41"/>
        <v>15977.510220302765</v>
      </c>
      <c r="Z158" s="4">
        <f t="shared" si="41"/>
        <v>16349.029730587239</v>
      </c>
    </row>
    <row r="159" spans="1:26">
      <c r="A159" s="2" t="s">
        <v>51</v>
      </c>
      <c r="B159" s="3">
        <f t="shared" si="42"/>
        <v>0</v>
      </c>
      <c r="C159" s="3">
        <f t="shared" si="42"/>
        <v>0</v>
      </c>
      <c r="D159" s="3">
        <f t="shared" si="42"/>
        <v>0</v>
      </c>
      <c r="E159" s="3">
        <f t="shared" si="42"/>
        <v>0</v>
      </c>
      <c r="F159" s="3">
        <f t="shared" si="42"/>
        <v>17073</v>
      </c>
      <c r="G159" s="3">
        <f t="shared" si="42"/>
        <v>0</v>
      </c>
      <c r="H159" s="3">
        <f t="shared" si="42"/>
        <v>99563</v>
      </c>
      <c r="I159" s="3">
        <f t="shared" si="42"/>
        <v>0</v>
      </c>
      <c r="J159" s="3">
        <f t="shared" si="42"/>
        <v>0</v>
      </c>
      <c r="K159" s="3">
        <f t="shared" si="42"/>
        <v>0</v>
      </c>
      <c r="L159" s="3">
        <f t="shared" si="42"/>
        <v>0</v>
      </c>
      <c r="M159" s="3">
        <f t="shared" si="42"/>
        <v>0</v>
      </c>
      <c r="N159" s="3">
        <f t="shared" si="42"/>
        <v>11086</v>
      </c>
      <c r="O159" s="3">
        <f t="shared" si="42"/>
        <v>0</v>
      </c>
      <c r="P159" s="3">
        <f t="shared" si="42"/>
        <v>0</v>
      </c>
      <c r="Q159" s="4">
        <f t="shared" si="41"/>
        <v>3560.2829892712134</v>
      </c>
      <c r="R159" s="4">
        <f t="shared" si="41"/>
        <v>4435.3157189802168</v>
      </c>
      <c r="S159" s="4">
        <f t="shared" si="41"/>
        <v>3975.8257803622646</v>
      </c>
      <c r="T159" s="4">
        <f t="shared" si="41"/>
        <v>4175.4301466276802</v>
      </c>
      <c r="U159" s="4">
        <f t="shared" si="41"/>
        <v>4424.9802678953201</v>
      </c>
      <c r="V159" s="4">
        <f t="shared" si="41"/>
        <v>4537.2883466684434</v>
      </c>
      <c r="W159" s="4">
        <f t="shared" si="41"/>
        <v>4690.0828347663819</v>
      </c>
      <c r="X159" s="4">
        <f t="shared" si="41"/>
        <v>4693.9311891284196</v>
      </c>
      <c r="Y159" s="4">
        <f t="shared" si="41"/>
        <v>4940.9357462766902</v>
      </c>
      <c r="Z159" s="4">
        <f t="shared" si="41"/>
        <v>5055.8256135647225</v>
      </c>
    </row>
    <row r="160" spans="1:26">
      <c r="A160" s="2" t="s">
        <v>52</v>
      </c>
      <c r="B160" s="3">
        <f t="shared" si="42"/>
        <v>0</v>
      </c>
      <c r="C160" s="3">
        <f t="shared" si="42"/>
        <v>0</v>
      </c>
      <c r="D160" s="3">
        <f t="shared" si="42"/>
        <v>0</v>
      </c>
      <c r="E160" s="3">
        <f t="shared" si="42"/>
        <v>0</v>
      </c>
      <c r="F160" s="3">
        <f t="shared" si="42"/>
        <v>24030</v>
      </c>
      <c r="G160" s="3">
        <f t="shared" si="42"/>
        <v>0</v>
      </c>
      <c r="H160" s="3">
        <f t="shared" si="42"/>
        <v>229819</v>
      </c>
      <c r="I160" s="3">
        <f t="shared" si="42"/>
        <v>377775</v>
      </c>
      <c r="J160" s="3">
        <f t="shared" si="42"/>
        <v>533819</v>
      </c>
      <c r="K160" s="3">
        <f t="shared" si="42"/>
        <v>0</v>
      </c>
      <c r="L160" s="3">
        <f t="shared" si="42"/>
        <v>0</v>
      </c>
      <c r="M160" s="3">
        <f t="shared" si="42"/>
        <v>60338</v>
      </c>
      <c r="N160" s="3">
        <f t="shared" si="42"/>
        <v>0</v>
      </c>
      <c r="O160" s="3">
        <f t="shared" si="42"/>
        <v>0</v>
      </c>
      <c r="P160" s="3">
        <f t="shared" si="42"/>
        <v>0</v>
      </c>
      <c r="Q160" s="4">
        <f t="shared" si="41"/>
        <v>40815.898352129036</v>
      </c>
      <c r="R160" s="4">
        <f t="shared" si="41"/>
        <v>50847.473667410239</v>
      </c>
      <c r="S160" s="4">
        <f t="shared" si="41"/>
        <v>45579.775935243342</v>
      </c>
      <c r="T160" s="4">
        <f t="shared" si="41"/>
        <v>47868.086035502543</v>
      </c>
      <c r="U160" s="4">
        <f t="shared" si="41"/>
        <v>50728.985692668975</v>
      </c>
      <c r="V160" s="4">
        <f t="shared" si="41"/>
        <v>52016.511190260113</v>
      </c>
      <c r="W160" s="4">
        <f t="shared" si="41"/>
        <v>53768.182142755839</v>
      </c>
      <c r="X160" s="4">
        <f t="shared" si="41"/>
        <v>53812.300557201335</v>
      </c>
      <c r="Y160" s="4">
        <f t="shared" si="41"/>
        <v>56644.017285185408</v>
      </c>
      <c r="Z160" s="4">
        <f t="shared" si="41"/>
        <v>57961.140996713133</v>
      </c>
    </row>
    <row r="161" spans="1:26">
      <c r="A161" s="2" t="s">
        <v>53</v>
      </c>
      <c r="B161" s="3">
        <f t="shared" si="42"/>
        <v>0</v>
      </c>
      <c r="C161" s="3">
        <f t="shared" si="42"/>
        <v>0</v>
      </c>
      <c r="D161" s="3">
        <f t="shared" si="42"/>
        <v>0</v>
      </c>
      <c r="E161" s="3">
        <f t="shared" si="42"/>
        <v>0</v>
      </c>
      <c r="F161" s="3">
        <f t="shared" si="42"/>
        <v>0</v>
      </c>
      <c r="G161" s="3">
        <f t="shared" si="42"/>
        <v>48281</v>
      </c>
      <c r="H161" s="3">
        <f t="shared" si="42"/>
        <v>77454</v>
      </c>
      <c r="I161" s="3">
        <f t="shared" si="42"/>
        <v>0</v>
      </c>
      <c r="J161" s="3">
        <f t="shared" si="42"/>
        <v>185644</v>
      </c>
      <c r="K161" s="3">
        <f t="shared" si="42"/>
        <v>0</v>
      </c>
      <c r="L161" s="3">
        <f t="shared" si="42"/>
        <v>55892</v>
      </c>
      <c r="M161" s="3">
        <f t="shared" si="42"/>
        <v>6435</v>
      </c>
      <c r="N161" s="3">
        <f t="shared" si="42"/>
        <v>0</v>
      </c>
      <c r="O161" s="3">
        <f t="shared" si="42"/>
        <v>42559</v>
      </c>
      <c r="P161" s="3">
        <f t="shared" si="42"/>
        <v>0</v>
      </c>
      <c r="Q161" s="4">
        <f t="shared" si="41"/>
        <v>11406.794398999873</v>
      </c>
      <c r="R161" s="4">
        <f t="shared" si="41"/>
        <v>14210.312678379511</v>
      </c>
      <c r="S161" s="4">
        <f t="shared" si="41"/>
        <v>12738.152382689941</v>
      </c>
      <c r="T161" s="4">
        <f t="shared" si="41"/>
        <v>13377.665020868832</v>
      </c>
      <c r="U161" s="4">
        <f t="shared" si="41"/>
        <v>14177.19891582142</v>
      </c>
      <c r="V161" s="4">
        <f t="shared" si="41"/>
        <v>14537.022887054094</v>
      </c>
      <c r="W161" s="4">
        <f t="shared" si="41"/>
        <v>15026.561307535208</v>
      </c>
      <c r="X161" s="4">
        <f t="shared" si="41"/>
        <v>15038.891054107193</v>
      </c>
      <c r="Y161" s="4">
        <f t="shared" si="41"/>
        <v>15830.269213511056</v>
      </c>
      <c r="Z161" s="4">
        <f t="shared" si="41"/>
        <v>16198.364979671269</v>
      </c>
    </row>
    <row r="162" spans="1:26">
      <c r="A162" s="2" t="s">
        <v>54</v>
      </c>
      <c r="B162" s="3">
        <f t="shared" si="42"/>
        <v>0</v>
      </c>
      <c r="C162" s="3">
        <f t="shared" si="42"/>
        <v>0</v>
      </c>
      <c r="D162" s="3">
        <f t="shared" si="42"/>
        <v>0</v>
      </c>
      <c r="E162" s="3">
        <f t="shared" si="42"/>
        <v>0</v>
      </c>
      <c r="F162" s="3">
        <f t="shared" si="42"/>
        <v>0</v>
      </c>
      <c r="G162" s="3">
        <f t="shared" si="42"/>
        <v>0</v>
      </c>
      <c r="H162" s="3">
        <f t="shared" si="42"/>
        <v>0</v>
      </c>
      <c r="I162" s="3">
        <f t="shared" si="42"/>
        <v>327008</v>
      </c>
      <c r="J162" s="3">
        <f t="shared" si="42"/>
        <v>217665</v>
      </c>
      <c r="K162" s="3">
        <f t="shared" si="42"/>
        <v>0</v>
      </c>
      <c r="L162" s="3">
        <f t="shared" si="42"/>
        <v>0</v>
      </c>
      <c r="M162" s="3">
        <f t="shared" si="42"/>
        <v>180745</v>
      </c>
      <c r="N162" s="3">
        <f t="shared" si="42"/>
        <v>33897</v>
      </c>
      <c r="O162" s="3">
        <f t="shared" si="42"/>
        <v>0</v>
      </c>
      <c r="P162" s="3">
        <f t="shared" si="42"/>
        <v>0</v>
      </c>
      <c r="Q162" s="4">
        <f t="shared" si="42"/>
        <v>-7438.1387701745844</v>
      </c>
      <c r="R162" s="4">
        <f t="shared" si="41"/>
        <v>33096.454816453916</v>
      </c>
      <c r="S162" s="4">
        <f t="shared" si="41"/>
        <v>29667.72753848217</v>
      </c>
      <c r="T162" s="4">
        <f t="shared" si="41"/>
        <v>31157.181121459376</v>
      </c>
      <c r="U162" s="4">
        <f t="shared" si="41"/>
        <v>33019.33138003762</v>
      </c>
      <c r="V162" s="4">
        <f t="shared" si="41"/>
        <v>33857.377528304147</v>
      </c>
      <c r="W162" s="4">
        <f t="shared" si="41"/>
        <v>34997.534439771844</v>
      </c>
      <c r="X162" s="4">
        <f t="shared" si="41"/>
        <v>35026.250971881585</v>
      </c>
      <c r="Y162" s="4">
        <f t="shared" si="41"/>
        <v>36869.406157009071</v>
      </c>
      <c r="Z162" s="4">
        <f t="shared" si="41"/>
        <v>37726.717686218792</v>
      </c>
    </row>
    <row r="163" spans="1:26" ht="13.5" thickBot="1">
      <c r="A163" s="2" t="s">
        <v>29</v>
      </c>
      <c r="B163" s="3">
        <f t="shared" ref="B163:X163" si="43">SUM(B151:B162)</f>
        <v>0</v>
      </c>
      <c r="C163" s="3">
        <f t="shared" si="43"/>
        <v>0</v>
      </c>
      <c r="D163" s="3">
        <f t="shared" si="43"/>
        <v>0</v>
      </c>
      <c r="E163" s="3">
        <f t="shared" si="43"/>
        <v>0</v>
      </c>
      <c r="F163" s="3">
        <f t="shared" si="43"/>
        <v>50446</v>
      </c>
      <c r="G163" s="3">
        <f t="shared" si="43"/>
        <v>275315</v>
      </c>
      <c r="H163" s="3">
        <f t="shared" si="43"/>
        <v>534429</v>
      </c>
      <c r="I163" s="3">
        <f t="shared" si="43"/>
        <v>1743435</v>
      </c>
      <c r="J163" s="3">
        <f t="shared" si="43"/>
        <v>2440000</v>
      </c>
      <c r="K163" s="3">
        <f t="shared" si="43"/>
        <v>1315943</v>
      </c>
      <c r="L163" s="3">
        <f t="shared" si="43"/>
        <v>55892</v>
      </c>
      <c r="M163" s="3">
        <f t="shared" si="43"/>
        <v>247518</v>
      </c>
      <c r="N163" s="3">
        <f t="shared" si="43"/>
        <v>236352</v>
      </c>
      <c r="O163" s="3">
        <f t="shared" si="43"/>
        <v>208643</v>
      </c>
      <c r="P163" s="3">
        <f t="shared" si="43"/>
        <v>0</v>
      </c>
      <c r="Q163" s="4">
        <f t="shared" si="43"/>
        <v>134825.13813848436</v>
      </c>
      <c r="R163" s="4">
        <f t="shared" si="43"/>
        <v>271282.88318509993</v>
      </c>
      <c r="S163" s="4">
        <f t="shared" si="43"/>
        <v>243178.5128897914</v>
      </c>
      <c r="T163" s="4">
        <f t="shared" si="43"/>
        <v>255387.16981698456</v>
      </c>
      <c r="U163" s="4">
        <f t="shared" si="43"/>
        <v>270650.72278277937</v>
      </c>
      <c r="V163" s="4">
        <f t="shared" si="43"/>
        <v>277519.96532264468</v>
      </c>
      <c r="W163" s="4">
        <f t="shared" si="43"/>
        <v>286865.52985339932</v>
      </c>
      <c r="X163" s="4">
        <f t="shared" si="43"/>
        <v>287100.91166903515</v>
      </c>
      <c r="Y163" s="4">
        <f>SUM(Y151:Y162)</f>
        <v>302208.76704363478</v>
      </c>
      <c r="Z163" s="4">
        <f>SUM(Z151:Z162)</f>
        <v>309235.92281369056</v>
      </c>
    </row>
    <row r="164" spans="1:26">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row>
    <row r="165" spans="1:26" ht="16.5" thickBot="1">
      <c r="A165" s="109" t="s">
        <v>551</v>
      </c>
    </row>
    <row r="166" spans="1:26" ht="13.5" thickBot="1">
      <c r="A166" s="110"/>
      <c r="B166" s="111">
        <v>2010</v>
      </c>
      <c r="C166" s="111">
        <v>2011</v>
      </c>
      <c r="D166" s="111">
        <v>2012</v>
      </c>
      <c r="E166" s="111">
        <v>2013</v>
      </c>
      <c r="F166" s="111">
        <v>2014</v>
      </c>
      <c r="G166" s="111">
        <v>2015</v>
      </c>
      <c r="H166" s="111">
        <v>2016</v>
      </c>
      <c r="I166" s="111">
        <v>2017</v>
      </c>
      <c r="J166" s="111">
        <v>2018</v>
      </c>
      <c r="K166" s="111">
        <v>2019</v>
      </c>
      <c r="L166" s="111">
        <v>2020</v>
      </c>
      <c r="M166" s="111">
        <v>2021</v>
      </c>
      <c r="N166" s="111">
        <v>2022</v>
      </c>
      <c r="O166" s="111">
        <v>2023</v>
      </c>
      <c r="P166" s="111">
        <v>2024</v>
      </c>
      <c r="Q166" s="111">
        <v>2025</v>
      </c>
      <c r="R166" s="111">
        <v>2026</v>
      </c>
      <c r="S166" s="111">
        <v>2027</v>
      </c>
      <c r="T166" s="111">
        <v>2028</v>
      </c>
      <c r="U166" s="111">
        <v>2029</v>
      </c>
      <c r="V166" s="111">
        <v>2030</v>
      </c>
      <c r="W166" s="111">
        <v>2031</v>
      </c>
      <c r="X166" s="111">
        <v>2032</v>
      </c>
      <c r="Y166" s="111">
        <v>2033</v>
      </c>
      <c r="Z166" s="111">
        <v>2034</v>
      </c>
    </row>
    <row r="167" spans="1:26">
      <c r="A167" s="2" t="s">
        <v>43</v>
      </c>
      <c r="B167" s="3">
        <f>'Monthly D7 RIN Data'!$N4</f>
        <v>0</v>
      </c>
      <c r="C167" s="3">
        <f>'Monthly D7 RIN Data'!$N16</f>
        <v>0</v>
      </c>
      <c r="D167" s="3">
        <f>'Monthly D7 RIN Data'!$N28</f>
        <v>0</v>
      </c>
      <c r="E167" s="3">
        <f>'Monthly D7 RIN Data'!$N40</f>
        <v>0</v>
      </c>
      <c r="F167" s="3">
        <f>'Monthly D7 RIN Data'!$N52</f>
        <v>0</v>
      </c>
      <c r="G167" s="3">
        <f>'Monthly D7 RIN Data'!$N64</f>
        <v>0</v>
      </c>
      <c r="H167" s="3">
        <f>'Monthly D7 RIN Data'!$N76</f>
        <v>0</v>
      </c>
      <c r="I167" s="3">
        <f>'Monthly D7 RIN Data'!$N88</f>
        <v>0</v>
      </c>
      <c r="J167" s="3">
        <f>'Monthly D7 RIN Data'!$N100</f>
        <v>49276</v>
      </c>
      <c r="K167" s="3">
        <f>'Monthly D7 RIN Data'!$N112</f>
        <v>148993</v>
      </c>
      <c r="L167" s="3">
        <f>'Monthly D7 RIN Data'!$N124</f>
        <v>0</v>
      </c>
      <c r="M167" s="3">
        <f>'Monthly D7 RIN Data'!$N136</f>
        <v>0</v>
      </c>
      <c r="N167" s="3">
        <f>'Monthly D7 RIN Data'!$N148</f>
        <v>0</v>
      </c>
      <c r="O167" s="3">
        <f>'Monthly D7 RIN Data'!$N160</f>
        <v>0</v>
      </c>
      <c r="P167" s="3">
        <f>'Monthly D7 RIN Data'!$N172</f>
        <v>0</v>
      </c>
      <c r="Q167" s="3">
        <f>'Monthly D7 RIN Data'!$N184</f>
        <v>0</v>
      </c>
      <c r="R167" s="4">
        <f>'D7 Gallon Forecast'!R149*AVERAGE('D7 RIN Forecast'!$AG$10:$AK$10)</f>
        <v>0</v>
      </c>
      <c r="S167" s="4">
        <f>'D7 Gallon Forecast'!S149*AVERAGE('D7 RIN Forecast'!$AG$10:$AK$10)</f>
        <v>0</v>
      </c>
      <c r="T167" s="4">
        <f>'D7 Gallon Forecast'!T149*AVERAGE('D7 RIN Forecast'!$AG$10:$AK$10)</f>
        <v>0</v>
      </c>
      <c r="U167" s="4">
        <f>'D7 Gallon Forecast'!U149*AVERAGE('D7 RIN Forecast'!$AG$10:$AK$10)</f>
        <v>0</v>
      </c>
      <c r="V167" s="4">
        <f>'D7 Gallon Forecast'!V149*AVERAGE('D7 RIN Forecast'!$AG$10:$AK$10)</f>
        <v>0</v>
      </c>
      <c r="W167" s="4">
        <f>'D7 Gallon Forecast'!W149*AVERAGE('D7 RIN Forecast'!$AG$10:$AK$10)</f>
        <v>0</v>
      </c>
      <c r="X167" s="4">
        <f>'D7 Gallon Forecast'!X149*AVERAGE('D7 RIN Forecast'!$AG$10:$AK$10)</f>
        <v>0</v>
      </c>
      <c r="Y167" s="4">
        <f>'D7 Gallon Forecast'!Y149*AVERAGE('D7 RIN Forecast'!$AG$10:$AK$10)</f>
        <v>0</v>
      </c>
      <c r="Z167" s="4">
        <f>'D7 Gallon Forecast'!Z149*AVERAGE('D7 RIN Forecast'!$AG$10:$AK$10)</f>
        <v>0</v>
      </c>
    </row>
    <row r="168" spans="1:26">
      <c r="A168" s="2" t="s">
        <v>44</v>
      </c>
      <c r="B168" s="3">
        <f>'Monthly D7 RIN Data'!$N5</f>
        <v>0</v>
      </c>
      <c r="C168" s="3">
        <f>'Monthly D7 RIN Data'!$N17</f>
        <v>0</v>
      </c>
      <c r="D168" s="3">
        <f>'Monthly D7 RIN Data'!$N29</f>
        <v>0</v>
      </c>
      <c r="E168" s="3">
        <f>'Monthly D7 RIN Data'!$N41</f>
        <v>0</v>
      </c>
      <c r="F168" s="3">
        <f>'Monthly D7 RIN Data'!$N53</f>
        <v>0</v>
      </c>
      <c r="G168" s="3">
        <f>'Monthly D7 RIN Data'!$N65</f>
        <v>0</v>
      </c>
      <c r="H168" s="3">
        <f>'Monthly D7 RIN Data'!$N77</f>
        <v>0</v>
      </c>
      <c r="I168" s="3">
        <f>'Monthly D7 RIN Data'!$N89</f>
        <v>0</v>
      </c>
      <c r="J168" s="3">
        <f>'Monthly D7 RIN Data'!$N101</f>
        <v>0</v>
      </c>
      <c r="K168" s="3">
        <f>'Monthly D7 RIN Data'!$N113</f>
        <v>225497</v>
      </c>
      <c r="L168" s="3">
        <f>'Monthly D7 RIN Data'!$N125</f>
        <v>0</v>
      </c>
      <c r="M168" s="3">
        <f>'Monthly D7 RIN Data'!$N137</f>
        <v>0</v>
      </c>
      <c r="N168" s="3">
        <f>'Monthly D7 RIN Data'!$N149</f>
        <v>58930</v>
      </c>
      <c r="O168" s="3">
        <f>'Monthly D7 RIN Data'!$N161</f>
        <v>0</v>
      </c>
      <c r="P168" s="3">
        <f>'Monthly D7 RIN Data'!$N173</f>
        <v>0</v>
      </c>
      <c r="Q168" s="3">
        <f>'Monthly D7 RIN Data'!$N185</f>
        <v>0</v>
      </c>
      <c r="R168" s="4">
        <f>'D7 Gallon Forecast'!R150*AVERAGE('D7 RIN Forecast'!$AG$10:$AK$10)</f>
        <v>10045.402294857344</v>
      </c>
      <c r="S168" s="4">
        <f>'D7 Gallon Forecast'!S150*AVERAGE('D7 RIN Forecast'!$AG$10:$AK$10)</f>
        <v>9004.7184796997826</v>
      </c>
      <c r="T168" s="4">
        <f>'D7 Gallon Forecast'!T150*AVERAGE('D7 RIN Forecast'!$AG$10:$AK$10)</f>
        <v>9456.7959158934718</v>
      </c>
      <c r="U168" s="4">
        <f>'D7 Gallon Forecast'!U150*AVERAGE('D7 RIN Forecast'!$AG$10:$AK$10)</f>
        <v>10021.993867898625</v>
      </c>
      <c r="V168" s="4">
        <f>'D7 Gallon Forecast'!V150*AVERAGE('D7 RIN Forecast'!$AG$10:$AK$10)</f>
        <v>10276.356782225263</v>
      </c>
      <c r="W168" s="4">
        <f>'D7 Gallon Forecast'!W150*AVERAGE('D7 RIN Forecast'!$AG$10:$AK$10)</f>
        <v>10622.416048043095</v>
      </c>
      <c r="X168" s="4">
        <f>'D7 Gallon Forecast'!X150*AVERAGE('D7 RIN Forecast'!$AG$10:$AK$10)</f>
        <v>10631.132060653968</v>
      </c>
      <c r="Y168" s="4">
        <f>'D7 Gallon Forecast'!Y150*AVERAGE('D7 RIN Forecast'!$AG$10:$AK$10)</f>
        <v>11190.564647290204</v>
      </c>
      <c r="Z168" s="4">
        <f>'D7 Gallon Forecast'!Z150*AVERAGE('D7 RIN Forecast'!$AG$10:$AK$10)</f>
        <v>11450.774970440867</v>
      </c>
    </row>
    <row r="169" spans="1:26">
      <c r="A169" s="2" t="s">
        <v>45</v>
      </c>
      <c r="B169" s="3">
        <f>'Monthly D7 RIN Data'!$N6</f>
        <v>0</v>
      </c>
      <c r="C169" s="3">
        <f>'Monthly D7 RIN Data'!$N18</f>
        <v>0</v>
      </c>
      <c r="D169" s="3">
        <f>'Monthly D7 RIN Data'!$N30</f>
        <v>0</v>
      </c>
      <c r="E169" s="3">
        <f>'Monthly D7 RIN Data'!$N42</f>
        <v>0</v>
      </c>
      <c r="F169" s="3">
        <f>'Monthly D7 RIN Data'!$N54</f>
        <v>472</v>
      </c>
      <c r="G169" s="3">
        <f>'Monthly D7 RIN Data'!$N66</f>
        <v>0</v>
      </c>
      <c r="H169" s="3">
        <f>'Monthly D7 RIN Data'!$N78</f>
        <v>127593</v>
      </c>
      <c r="I169" s="3">
        <f>'Monthly D7 RIN Data'!$N90</f>
        <v>0</v>
      </c>
      <c r="J169" s="3">
        <f>'Monthly D7 RIN Data'!$N102</f>
        <v>592070</v>
      </c>
      <c r="K169" s="3">
        <f>'Monthly D7 RIN Data'!$N114</f>
        <v>423217</v>
      </c>
      <c r="L169" s="3">
        <f>'Monthly D7 RIN Data'!$N126</f>
        <v>0</v>
      </c>
      <c r="M169" s="3">
        <f>'Monthly D7 RIN Data'!$N138</f>
        <v>0</v>
      </c>
      <c r="N169" s="3">
        <f>'Monthly D7 RIN Data'!$N150</f>
        <v>0</v>
      </c>
      <c r="O169" s="3">
        <f>'Monthly D7 RIN Data'!$N162</f>
        <v>0</v>
      </c>
      <c r="P169" s="3">
        <f>'Monthly D7 RIN Data'!$N174</f>
        <v>0</v>
      </c>
      <c r="Q169" s="3">
        <f>'Monthly D7 RIN Data'!$N186</f>
        <v>0</v>
      </c>
      <c r="R169" s="4">
        <f>'D7 Gallon Forecast'!R151*AVERAGE('D7 RIN Forecast'!$AG$10:$AK$10)</f>
        <v>50912.825335798538</v>
      </c>
      <c r="S169" s="4">
        <f>'D7 Gallon Forecast'!S151*AVERAGE('D7 RIN Forecast'!$AG$10:$AK$10)</f>
        <v>45638.357300005271</v>
      </c>
      <c r="T169" s="4">
        <f>'D7 Gallon Forecast'!T151*AVERAGE('D7 RIN Forecast'!$AG$10:$AK$10)</f>
        <v>47929.60844869924</v>
      </c>
      <c r="U169" s="4">
        <f>'D7 Gallon Forecast'!U151*AVERAGE('D7 RIN Forecast'!$AG$10:$AK$10)</f>
        <v>50794.185074497589</v>
      </c>
      <c r="V169" s="4">
        <f>'D7 Gallon Forecast'!V151*AVERAGE('D7 RIN Forecast'!$AG$10:$AK$10)</f>
        <v>52083.365363040793</v>
      </c>
      <c r="W169" s="4">
        <f>'D7 Gallon Forecast'!W151*AVERAGE('D7 RIN Forecast'!$AG$10:$AK$10)</f>
        <v>53837.287649004167</v>
      </c>
      <c r="X169" s="4">
        <f>'D7 Gallon Forecast'!X151*AVERAGE('D7 RIN Forecast'!$AG$10:$AK$10)</f>
        <v>53881.462766600926</v>
      </c>
      <c r="Y169" s="4">
        <f>'D7 Gallon Forecast'!Y151*AVERAGE('D7 RIN Forecast'!$AG$10:$AK$10)</f>
        <v>56716.818955884242</v>
      </c>
      <c r="Z169" s="4">
        <f>'D7 Gallon Forecast'!Z151*AVERAGE('D7 RIN Forecast'!$AG$10:$AK$10)</f>
        <v>58035.63549944105</v>
      </c>
    </row>
    <row r="170" spans="1:26">
      <c r="A170" s="2" t="s">
        <v>46</v>
      </c>
      <c r="B170" s="3">
        <f>'Monthly D7 RIN Data'!$N7</f>
        <v>0</v>
      </c>
      <c r="C170" s="3">
        <f>'Monthly D7 RIN Data'!$N19</f>
        <v>0</v>
      </c>
      <c r="D170" s="3">
        <f>'Monthly D7 RIN Data'!$N31</f>
        <v>0</v>
      </c>
      <c r="E170" s="3">
        <f>'Monthly D7 RIN Data'!$N43</f>
        <v>0</v>
      </c>
      <c r="F170" s="3">
        <f>'Monthly D7 RIN Data'!$N55</f>
        <v>2091</v>
      </c>
      <c r="G170" s="3">
        <f>'Monthly D7 RIN Data'!$N67</f>
        <v>0</v>
      </c>
      <c r="H170" s="3">
        <f>'Monthly D7 RIN Data'!$N79</f>
        <v>0</v>
      </c>
      <c r="I170" s="3">
        <f>'Monthly D7 RIN Data'!$N91</f>
        <v>0</v>
      </c>
      <c r="J170" s="3">
        <f>'Monthly D7 RIN Data'!$N103</f>
        <v>106260</v>
      </c>
      <c r="K170" s="3">
        <f>'Monthly D7 RIN Data'!$N115</f>
        <v>239288</v>
      </c>
      <c r="L170" s="3">
        <f>'Monthly D7 RIN Data'!$N127</f>
        <v>0</v>
      </c>
      <c r="M170" s="3">
        <f>'Monthly D7 RIN Data'!$N139</f>
        <v>0</v>
      </c>
      <c r="N170" s="3">
        <f>'Monthly D7 RIN Data'!$N151</f>
        <v>0</v>
      </c>
      <c r="O170" s="3">
        <f>'Monthly D7 RIN Data'!$N163</f>
        <v>69961</v>
      </c>
      <c r="P170" s="3">
        <f>'Monthly D7 RIN Data'!$N175</f>
        <v>0</v>
      </c>
      <c r="Q170" s="4">
        <f>'D7 Gallon Forecast'!Q152*AVERAGE('D7 RIN Forecast'!$AG$10:$AK$10)</f>
        <v>12356.484501036421</v>
      </c>
      <c r="R170" s="4">
        <f>'D7 Gallon Forecast'!R152*AVERAGE('D7 RIN Forecast'!$AG$10:$AK$10)</f>
        <v>15393.413979713105</v>
      </c>
      <c r="S170" s="4">
        <f>'D7 Gallon Forecast'!S152*AVERAGE('D7 RIN Forecast'!$AG$10:$AK$10)</f>
        <v>13798.686728529872</v>
      </c>
      <c r="T170" s="4">
        <f>'D7 Gallon Forecast'!T152*AVERAGE('D7 RIN Forecast'!$AG$10:$AK$10)</f>
        <v>14491.442968842857</v>
      </c>
      <c r="U170" s="4">
        <f>'D7 Gallon Forecast'!U152*AVERAGE('D7 RIN Forecast'!$AG$10:$AK$10)</f>
        <v>15357.543280241576</v>
      </c>
      <c r="V170" s="4">
        <f>'D7 Gallon Forecast'!V152*AVERAGE('D7 RIN Forecast'!$AG$10:$AK$10)</f>
        <v>15747.324946160594</v>
      </c>
      <c r="W170" s="4">
        <f>'D7 Gallon Forecast'!W152*AVERAGE('D7 RIN Forecast'!$AG$10:$AK$10)</f>
        <v>16277.620636058109</v>
      </c>
      <c r="X170" s="4">
        <f>'D7 Gallon Forecast'!X152*AVERAGE('D7 RIN Forecast'!$AG$10:$AK$10)</f>
        <v>16290.976914525949</v>
      </c>
      <c r="Y170" s="4">
        <f>'D7 Gallon Forecast'!Y152*AVERAGE('D7 RIN Forecast'!$AG$10:$AK$10)</f>
        <v>17148.24247214746</v>
      </c>
      <c r="Z170" s="4">
        <f>'D7 Gallon Forecast'!Z152*AVERAGE('D7 RIN Forecast'!$AG$10:$AK$10)</f>
        <v>17546.984613923472</v>
      </c>
    </row>
    <row r="171" spans="1:26">
      <c r="A171" s="2" t="s">
        <v>47</v>
      </c>
      <c r="B171" s="3">
        <f>'Monthly D7 RIN Data'!$N8</f>
        <v>0</v>
      </c>
      <c r="C171" s="3">
        <f>'Monthly D7 RIN Data'!$N20</f>
        <v>0</v>
      </c>
      <c r="D171" s="3">
        <f>'Monthly D7 RIN Data'!$N32</f>
        <v>0</v>
      </c>
      <c r="E171" s="3">
        <f>'Monthly D7 RIN Data'!$N44</f>
        <v>0</v>
      </c>
      <c r="F171" s="3">
        <f>'Monthly D7 RIN Data'!$N56</f>
        <v>0</v>
      </c>
      <c r="G171" s="3">
        <f>'Monthly D7 RIN Data'!$N68</f>
        <v>173731</v>
      </c>
      <c r="H171" s="3">
        <f>'Monthly D7 RIN Data'!$N80</f>
        <v>0</v>
      </c>
      <c r="I171" s="3">
        <f>'Monthly D7 RIN Data'!$N92</f>
        <v>0</v>
      </c>
      <c r="J171" s="3">
        <f>'Monthly D7 RIN Data'!$N104</f>
        <v>457786</v>
      </c>
      <c r="K171" s="3">
        <f>'Monthly D7 RIN Data'!$N116</f>
        <v>132150</v>
      </c>
      <c r="L171" s="3">
        <f>'Monthly D7 RIN Data'!$N128</f>
        <v>0</v>
      </c>
      <c r="M171" s="3">
        <f>'Monthly D7 RIN Data'!$N140</f>
        <v>0</v>
      </c>
      <c r="N171" s="3">
        <f>'Monthly D7 RIN Data'!$N152</f>
        <v>0</v>
      </c>
      <c r="O171" s="3">
        <f>'Monthly D7 RIN Data'!$N164</f>
        <v>43465</v>
      </c>
      <c r="P171" s="3">
        <f>'Monthly D7 RIN Data'!$N176</f>
        <v>0</v>
      </c>
      <c r="Q171" s="4">
        <f>'D7 Gallon Forecast'!Q153*AVERAGE('D7 RIN Forecast'!$AG$10:$AK$10)</f>
        <v>21095.57873465748</v>
      </c>
      <c r="R171" s="4">
        <f>'D7 Gallon Forecast'!R153*AVERAGE('D7 RIN Forecast'!$AG$10:$AK$10)</f>
        <v>26280.369354000111</v>
      </c>
      <c r="S171" s="4">
        <f>'D7 Gallon Forecast'!S153*AVERAGE('D7 RIN Forecast'!$AG$10:$AK$10)</f>
        <v>23557.775052617868</v>
      </c>
      <c r="T171" s="4">
        <f>'D7 Gallon Forecast'!T153*AVERAGE('D7 RIN Forecast'!$AG$10:$AK$10)</f>
        <v>24740.481493937979</v>
      </c>
      <c r="U171" s="4">
        <f>'D7 Gallon Forecast'!U153*AVERAGE('D7 RIN Forecast'!$AG$10:$AK$10)</f>
        <v>26219.129187761453</v>
      </c>
      <c r="V171" s="4">
        <f>'D7 Gallon Forecast'!V153*AVERAGE('D7 RIN Forecast'!$AG$10:$AK$10)</f>
        <v>26884.583008549311</v>
      </c>
      <c r="W171" s="4">
        <f>'D7 Gallon Forecast'!W153*AVERAGE('D7 RIN Forecast'!$AG$10:$AK$10)</f>
        <v>27789.929062108815</v>
      </c>
      <c r="X171" s="4">
        <f>'D7 Gallon Forecast'!X153*AVERAGE('D7 RIN Forecast'!$AG$10:$AK$10)</f>
        <v>27812.731536712065</v>
      </c>
      <c r="Y171" s="4">
        <f>'D7 Gallon Forecast'!Y153*AVERAGE('D7 RIN Forecast'!$AG$10:$AK$10)</f>
        <v>29276.296118191349</v>
      </c>
      <c r="Z171" s="4">
        <f>'D7 Gallon Forecast'!Z153*AVERAGE('D7 RIN Forecast'!$AG$10:$AK$10)</f>
        <v>29957.047690044674</v>
      </c>
    </row>
    <row r="172" spans="1:26">
      <c r="A172" s="2" t="s">
        <v>48</v>
      </c>
      <c r="B172" s="3">
        <f>'Monthly D7 RIN Data'!$N9</f>
        <v>0</v>
      </c>
      <c r="C172" s="3">
        <f>'Monthly D7 RIN Data'!$N21</f>
        <v>0</v>
      </c>
      <c r="D172" s="3">
        <f>'Monthly D7 RIN Data'!$N33</f>
        <v>0</v>
      </c>
      <c r="E172" s="3">
        <f>'Monthly D7 RIN Data'!$N45</f>
        <v>0</v>
      </c>
      <c r="F172" s="3">
        <f>'Monthly D7 RIN Data'!$N57</f>
        <v>0</v>
      </c>
      <c r="G172" s="3">
        <f>'Monthly D7 RIN Data'!$N69</f>
        <v>0</v>
      </c>
      <c r="H172" s="3">
        <f>'Monthly D7 RIN Data'!$N81</f>
        <v>0</v>
      </c>
      <c r="I172" s="3">
        <f>'Monthly D7 RIN Data'!$N93</f>
        <v>756020</v>
      </c>
      <c r="J172" s="3">
        <f>'Monthly D7 RIN Data'!$N105</f>
        <v>297480</v>
      </c>
      <c r="K172" s="3">
        <f>'Monthly D7 RIN Data'!$N117</f>
        <v>107473</v>
      </c>
      <c r="L172" s="3">
        <f>'Monthly D7 RIN Data'!$N129</f>
        <v>0</v>
      </c>
      <c r="M172" s="3">
        <f>'Monthly D7 RIN Data'!$N141</f>
        <v>0</v>
      </c>
      <c r="N172" s="3">
        <f>'Monthly D7 RIN Data'!$N153</f>
        <v>102065</v>
      </c>
      <c r="O172" s="3">
        <f>'Monthly D7 RIN Data'!$N165</f>
        <v>23954</v>
      </c>
      <c r="P172" s="3">
        <f>'Monthly D7 RIN Data'!$N177</f>
        <v>0</v>
      </c>
      <c r="Q172" s="4">
        <f>'D7 Gallon Forecast'!Q154*AVERAGE('D7 RIN Forecast'!$AG$10:$AK$10)</f>
        <v>41515.346292329166</v>
      </c>
      <c r="R172" s="4">
        <f>'D7 Gallon Forecast'!R154*AVERAGE('D7 RIN Forecast'!$AG$10:$AK$10)</f>
        <v>51718.829245920861</v>
      </c>
      <c r="S172" s="4">
        <f>'D7 Gallon Forecast'!S154*AVERAGE('D7 RIN Forecast'!$AG$10:$AK$10)</f>
        <v>46360.860798735666</v>
      </c>
      <c r="T172" s="4">
        <f>'D7 Gallon Forecast'!T154*AVERAGE('D7 RIN Forecast'!$AG$10:$AK$10)</f>
        <v>48688.38487812518</v>
      </c>
      <c r="U172" s="4">
        <f>'D7 Gallon Forecast'!U154*AVERAGE('D7 RIN Forecast'!$AG$10:$AK$10)</f>
        <v>51598.310783717177</v>
      </c>
      <c r="V172" s="4">
        <f>'D7 Gallon Forecast'!V154*AVERAGE('D7 RIN Forecast'!$AG$10:$AK$10)</f>
        <v>52907.900160669153</v>
      </c>
      <c r="W172" s="4">
        <f>'D7 Gallon Forecast'!W154*AVERAGE('D7 RIN Forecast'!$AG$10:$AK$10)</f>
        <v>54689.588892733547</v>
      </c>
      <c r="X172" s="4">
        <f>'D7 Gallon Forecast'!X154*AVERAGE('D7 RIN Forecast'!$AG$10:$AK$10)</f>
        <v>54734.463349195874</v>
      </c>
      <c r="Y172" s="4">
        <f>'D7 Gallon Forecast'!Y154*AVERAGE('D7 RIN Forecast'!$AG$10:$AK$10)</f>
        <v>57614.706227836519</v>
      </c>
      <c r="Z172" s="4">
        <f>'D7 Gallon Forecast'!Z154*AVERAGE('D7 RIN Forecast'!$AG$10:$AK$10)</f>
        <v>58954.401033085342</v>
      </c>
    </row>
    <row r="173" spans="1:26">
      <c r="A173" s="2" t="s">
        <v>49</v>
      </c>
      <c r="B173" s="3">
        <f>'Monthly D7 RIN Data'!$N10</f>
        <v>0</v>
      </c>
      <c r="C173" s="3">
        <f>'Monthly D7 RIN Data'!$N22</f>
        <v>0</v>
      </c>
      <c r="D173" s="3">
        <f>'Monthly D7 RIN Data'!$N34</f>
        <v>0</v>
      </c>
      <c r="E173" s="3">
        <f>'Monthly D7 RIN Data'!$N46</f>
        <v>0</v>
      </c>
      <c r="F173" s="3">
        <f>'Monthly D7 RIN Data'!$N58</f>
        <v>1248</v>
      </c>
      <c r="G173" s="3">
        <f>'Monthly D7 RIN Data'!$N70</f>
        <v>0</v>
      </c>
      <c r="H173" s="3">
        <f>'Monthly D7 RIN Data'!$N82</f>
        <v>0</v>
      </c>
      <c r="I173" s="3">
        <f>'Monthly D7 RIN Data'!$N94</f>
        <v>0</v>
      </c>
      <c r="J173" s="3">
        <f>'Monthly D7 RIN Data'!$N106</f>
        <v>0</v>
      </c>
      <c r="K173" s="3">
        <f>'Monthly D7 RIN Data'!$N118</f>
        <v>0</v>
      </c>
      <c r="L173" s="3">
        <f>'Monthly D7 RIN Data'!$N130</f>
        <v>0</v>
      </c>
      <c r="M173" s="3">
        <f>'Monthly D7 RIN Data'!$N142</f>
        <v>0</v>
      </c>
      <c r="N173" s="3">
        <f>'Monthly D7 RIN Data'!$N154</f>
        <v>0</v>
      </c>
      <c r="O173" s="3">
        <f>'Monthly D7 RIN Data'!$N166</f>
        <v>0</v>
      </c>
      <c r="P173" s="3">
        <f>'Monthly D7 RIN Data'!$N178</f>
        <v>0</v>
      </c>
      <c r="Q173" s="4">
        <f>'D7 Gallon Forecast'!Q155*AVERAGE('D7 RIN Forecast'!$AG$10:$AK$10)</f>
        <v>0</v>
      </c>
      <c r="R173" s="4">
        <f>'D7 Gallon Forecast'!R155*AVERAGE('D7 RIN Forecast'!$AG$10:$AK$10)</f>
        <v>0</v>
      </c>
      <c r="S173" s="4">
        <f>'D7 Gallon Forecast'!S155*AVERAGE('D7 RIN Forecast'!$AG$10:$AK$10)</f>
        <v>0</v>
      </c>
      <c r="T173" s="4">
        <f>'D7 Gallon Forecast'!T155*AVERAGE('D7 RIN Forecast'!$AG$10:$AK$10)</f>
        <v>0</v>
      </c>
      <c r="U173" s="4">
        <f>'D7 Gallon Forecast'!U155*AVERAGE('D7 RIN Forecast'!$AG$10:$AK$10)</f>
        <v>0</v>
      </c>
      <c r="V173" s="4">
        <f>'D7 Gallon Forecast'!V155*AVERAGE('D7 RIN Forecast'!$AG$10:$AK$10)</f>
        <v>0</v>
      </c>
      <c r="W173" s="4">
        <f>'D7 Gallon Forecast'!W155*AVERAGE('D7 RIN Forecast'!$AG$10:$AK$10)</f>
        <v>0</v>
      </c>
      <c r="X173" s="4">
        <f>'D7 Gallon Forecast'!X155*AVERAGE('D7 RIN Forecast'!$AG$10:$AK$10)</f>
        <v>0</v>
      </c>
      <c r="Y173" s="4">
        <f>'D7 Gallon Forecast'!Y155*AVERAGE('D7 RIN Forecast'!$AG$10:$AK$10)</f>
        <v>0</v>
      </c>
      <c r="Z173" s="4">
        <f>'D7 Gallon Forecast'!Z155*AVERAGE('D7 RIN Forecast'!$AG$10:$AK$10)</f>
        <v>0</v>
      </c>
    </row>
    <row r="174" spans="1:26">
      <c r="A174" s="2" t="s">
        <v>50</v>
      </c>
      <c r="B174" s="3">
        <f>'Monthly D7 RIN Data'!$N11</f>
        <v>0</v>
      </c>
      <c r="C174" s="3">
        <f>'Monthly D7 RIN Data'!$N23</f>
        <v>0</v>
      </c>
      <c r="D174" s="3">
        <f>'Monthly D7 RIN Data'!$N35</f>
        <v>0</v>
      </c>
      <c r="E174" s="3">
        <f>'Monthly D7 RIN Data'!$N47</f>
        <v>0</v>
      </c>
      <c r="F174" s="3">
        <f>'Monthly D7 RIN Data'!$N59</f>
        <v>5532</v>
      </c>
      <c r="G174" s="3">
        <f>'Monthly D7 RIN Data'!$N71</f>
        <v>53303</v>
      </c>
      <c r="H174" s="3">
        <f>'Monthly D7 RIN Data'!$N83</f>
        <v>0</v>
      </c>
      <c r="I174" s="3">
        <f>'Monthly D7 RIN Data'!$N95</f>
        <v>282632</v>
      </c>
      <c r="J174" s="3">
        <f>'Monthly D7 RIN Data'!$N107</f>
        <v>0</v>
      </c>
      <c r="K174" s="3">
        <f>'Monthly D7 RIN Data'!$N119</f>
        <v>39325</v>
      </c>
      <c r="L174" s="3">
        <f>'Monthly D7 RIN Data'!$N131</f>
        <v>0</v>
      </c>
      <c r="M174" s="3">
        <f>'Monthly D7 RIN Data'!$N143</f>
        <v>0</v>
      </c>
      <c r="N174" s="3">
        <f>'Monthly D7 RIN Data'!$N155</f>
        <v>30374</v>
      </c>
      <c r="O174" s="3">
        <f>'Monthly D7 RIN Data'!$N167</f>
        <v>28704</v>
      </c>
      <c r="P174" s="3">
        <f>'Monthly D7 RIN Data'!$N179</f>
        <v>0</v>
      </c>
      <c r="Q174" s="4">
        <f>'D7 Gallon Forecast'!Q156*AVERAGE('D7 RIN Forecast'!$AG$10:$AK$10)</f>
        <v>11512.89164023575</v>
      </c>
      <c r="R174" s="4">
        <f>'D7 Gallon Forecast'!R156*AVERAGE('D7 RIN Forecast'!$AG$10:$AK$10)</f>
        <v>14342.486093586107</v>
      </c>
      <c r="S174" s="4">
        <f>'D7 Gallon Forecast'!S156*AVERAGE('D7 RIN Forecast'!$AG$10:$AK$10)</f>
        <v>12856.632893425203</v>
      </c>
      <c r="T174" s="4">
        <f>'D7 Gallon Forecast'!T156*AVERAGE('D7 RIN Forecast'!$AG$10:$AK$10)</f>
        <v>13502.093787027388</v>
      </c>
      <c r="U174" s="4">
        <f>'D7 Gallon Forecast'!U156*AVERAGE('D7 RIN Forecast'!$AG$10:$AK$10)</f>
        <v>14309.064332239623</v>
      </c>
      <c r="V174" s="4">
        <f>'D7 Gallon Forecast'!V156*AVERAGE('D7 RIN Forecast'!$AG$10:$AK$10)</f>
        <v>14672.235109712765</v>
      </c>
      <c r="W174" s="4">
        <f>'D7 Gallon Forecast'!W156*AVERAGE('D7 RIN Forecast'!$AG$10:$AK$10)</f>
        <v>15166.326840622318</v>
      </c>
      <c r="X174" s="4">
        <f>'D7 Gallon Forecast'!X156*AVERAGE('D7 RIN Forecast'!$AG$10:$AK$10)</f>
        <v>15178.771269027837</v>
      </c>
      <c r="Y174" s="4">
        <f>'D7 Gallon Forecast'!Y156*AVERAGE('D7 RIN Forecast'!$AG$10:$AK$10)</f>
        <v>15977.510220302765</v>
      </c>
      <c r="Z174" s="4">
        <f>'D7 Gallon Forecast'!Z156*AVERAGE('D7 RIN Forecast'!$AG$10:$AK$10)</f>
        <v>16349.029730587239</v>
      </c>
    </row>
    <row r="175" spans="1:26">
      <c r="A175" s="2" t="s">
        <v>51</v>
      </c>
      <c r="B175" s="3">
        <f>'Monthly D7 RIN Data'!$N12</f>
        <v>0</v>
      </c>
      <c r="C175" s="3">
        <f>'Monthly D7 RIN Data'!$N24</f>
        <v>0</v>
      </c>
      <c r="D175" s="3">
        <f>'Monthly D7 RIN Data'!$N36</f>
        <v>0</v>
      </c>
      <c r="E175" s="3">
        <f>'Monthly D7 RIN Data'!$N48</f>
        <v>0</v>
      </c>
      <c r="F175" s="3">
        <f>'Monthly D7 RIN Data'!$N60</f>
        <v>17073</v>
      </c>
      <c r="G175" s="3">
        <f>'Monthly D7 RIN Data'!$N72</f>
        <v>0</v>
      </c>
      <c r="H175" s="3">
        <f>'Monthly D7 RIN Data'!$N84</f>
        <v>99563</v>
      </c>
      <c r="I175" s="3">
        <f>'Monthly D7 RIN Data'!$N96</f>
        <v>0</v>
      </c>
      <c r="J175" s="3">
        <f>'Monthly D7 RIN Data'!$N108</f>
        <v>0</v>
      </c>
      <c r="K175" s="3">
        <f>'Monthly D7 RIN Data'!$N120</f>
        <v>0</v>
      </c>
      <c r="L175" s="3">
        <f>'Monthly D7 RIN Data'!$N132</f>
        <v>0</v>
      </c>
      <c r="M175" s="3">
        <f>'Monthly D7 RIN Data'!$N144</f>
        <v>0</v>
      </c>
      <c r="N175" s="3">
        <f>'Monthly D7 RIN Data'!$N156</f>
        <v>11086</v>
      </c>
      <c r="O175" s="3">
        <f>'Monthly D7 RIN Data'!$N168</f>
        <v>0</v>
      </c>
      <c r="P175" s="3">
        <f>'Monthly D7 RIN Data'!$N180</f>
        <v>0</v>
      </c>
      <c r="Q175" s="4">
        <f>'D7 Gallon Forecast'!Q157*AVERAGE('D7 RIN Forecast'!$AG$10:$AK$10)</f>
        <v>3560.2829892712134</v>
      </c>
      <c r="R175" s="4">
        <f>'D7 Gallon Forecast'!R157*AVERAGE('D7 RIN Forecast'!$AG$10:$AK$10)</f>
        <v>4435.3157189802168</v>
      </c>
      <c r="S175" s="4">
        <f>'D7 Gallon Forecast'!S157*AVERAGE('D7 RIN Forecast'!$AG$10:$AK$10)</f>
        <v>3975.8257803622646</v>
      </c>
      <c r="T175" s="4">
        <f>'D7 Gallon Forecast'!T157*AVERAGE('D7 RIN Forecast'!$AG$10:$AK$10)</f>
        <v>4175.4301466276802</v>
      </c>
      <c r="U175" s="4">
        <f>'D7 Gallon Forecast'!U157*AVERAGE('D7 RIN Forecast'!$AG$10:$AK$10)</f>
        <v>4424.9802678953201</v>
      </c>
      <c r="V175" s="4">
        <f>'D7 Gallon Forecast'!V157*AVERAGE('D7 RIN Forecast'!$AG$10:$AK$10)</f>
        <v>4537.2883466684434</v>
      </c>
      <c r="W175" s="4">
        <f>'D7 Gallon Forecast'!W157*AVERAGE('D7 RIN Forecast'!$AG$10:$AK$10)</f>
        <v>4690.0828347663819</v>
      </c>
      <c r="X175" s="4">
        <f>'D7 Gallon Forecast'!X157*AVERAGE('D7 RIN Forecast'!$AG$10:$AK$10)</f>
        <v>4693.9311891284196</v>
      </c>
      <c r="Y175" s="4">
        <f>'D7 Gallon Forecast'!Y157*AVERAGE('D7 RIN Forecast'!$AG$10:$AK$10)</f>
        <v>4940.9357462766902</v>
      </c>
      <c r="Z175" s="4">
        <f>'D7 Gallon Forecast'!Z157*AVERAGE('D7 RIN Forecast'!$AG$10:$AK$10)</f>
        <v>5055.8256135647225</v>
      </c>
    </row>
    <row r="176" spans="1:26">
      <c r="A176" s="2" t="s">
        <v>52</v>
      </c>
      <c r="B176" s="3">
        <f>'Monthly D7 RIN Data'!$N13</f>
        <v>0</v>
      </c>
      <c r="C176" s="3">
        <f>'Monthly D7 RIN Data'!$N25</f>
        <v>0</v>
      </c>
      <c r="D176" s="3">
        <f>'Monthly D7 RIN Data'!$N37</f>
        <v>0</v>
      </c>
      <c r="E176" s="3">
        <f>'Monthly D7 RIN Data'!$N49</f>
        <v>0</v>
      </c>
      <c r="F176" s="3">
        <f>'Monthly D7 RIN Data'!$N61</f>
        <v>24030</v>
      </c>
      <c r="G176" s="3">
        <f>'Monthly D7 RIN Data'!$N73</f>
        <v>0</v>
      </c>
      <c r="H176" s="3">
        <f>'Monthly D7 RIN Data'!$N85</f>
        <v>229819</v>
      </c>
      <c r="I176" s="3">
        <f>'Monthly D7 RIN Data'!$N97</f>
        <v>377775</v>
      </c>
      <c r="J176" s="3">
        <f>'Monthly D7 RIN Data'!$N109</f>
        <v>533819</v>
      </c>
      <c r="K176" s="3">
        <f>'Monthly D7 RIN Data'!$N121</f>
        <v>0</v>
      </c>
      <c r="L176" s="3">
        <f>'Monthly D7 RIN Data'!$N133</f>
        <v>0</v>
      </c>
      <c r="M176" s="3">
        <f>'Monthly D7 RIN Data'!$N145</f>
        <v>60338</v>
      </c>
      <c r="N176" s="3">
        <f>'Monthly D7 RIN Data'!$N157</f>
        <v>0</v>
      </c>
      <c r="O176" s="3">
        <f>'Monthly D7 RIN Data'!$N169</f>
        <v>0</v>
      </c>
      <c r="P176" s="3">
        <f>'Monthly D7 RIN Data'!$N181</f>
        <v>0</v>
      </c>
      <c r="Q176" s="4">
        <f>'D7 Gallon Forecast'!Q158*AVERAGE('D7 RIN Forecast'!$AG$10:$AK$10)</f>
        <v>40815.898352129036</v>
      </c>
      <c r="R176" s="4">
        <f>'D7 Gallon Forecast'!R158*AVERAGE('D7 RIN Forecast'!$AG$10:$AK$10)</f>
        <v>50847.473667410239</v>
      </c>
      <c r="S176" s="4">
        <f>'D7 Gallon Forecast'!S158*AVERAGE('D7 RIN Forecast'!$AG$10:$AK$10)</f>
        <v>45579.775935243342</v>
      </c>
      <c r="T176" s="4">
        <f>'D7 Gallon Forecast'!T158*AVERAGE('D7 RIN Forecast'!$AG$10:$AK$10)</f>
        <v>47868.086035502543</v>
      </c>
      <c r="U176" s="4">
        <f>'D7 Gallon Forecast'!U158*AVERAGE('D7 RIN Forecast'!$AG$10:$AK$10)</f>
        <v>50728.985692668975</v>
      </c>
      <c r="V176" s="4">
        <f>'D7 Gallon Forecast'!V158*AVERAGE('D7 RIN Forecast'!$AG$10:$AK$10)</f>
        <v>52016.511190260113</v>
      </c>
      <c r="W176" s="4">
        <f>'D7 Gallon Forecast'!W158*AVERAGE('D7 RIN Forecast'!$AG$10:$AK$10)</f>
        <v>53768.182142755839</v>
      </c>
      <c r="X176" s="4">
        <f>'D7 Gallon Forecast'!X158*AVERAGE('D7 RIN Forecast'!$AG$10:$AK$10)</f>
        <v>53812.300557201335</v>
      </c>
      <c r="Y176" s="4">
        <f>'D7 Gallon Forecast'!Y158*AVERAGE('D7 RIN Forecast'!$AG$10:$AK$10)</f>
        <v>56644.017285185408</v>
      </c>
      <c r="Z176" s="4">
        <f>'D7 Gallon Forecast'!Z158*AVERAGE('D7 RIN Forecast'!$AG$10:$AK$10)</f>
        <v>57961.140996713133</v>
      </c>
    </row>
    <row r="177" spans="1:26">
      <c r="A177" s="2" t="s">
        <v>53</v>
      </c>
      <c r="B177" s="3">
        <f>'Monthly D7 RIN Data'!$N14</f>
        <v>0</v>
      </c>
      <c r="C177" s="3">
        <f>'Monthly D7 RIN Data'!$N26</f>
        <v>0</v>
      </c>
      <c r="D177" s="3">
        <f>'Monthly D7 RIN Data'!$N38</f>
        <v>0</v>
      </c>
      <c r="E177" s="3">
        <f>'Monthly D7 RIN Data'!$N50</f>
        <v>0</v>
      </c>
      <c r="F177" s="3">
        <f>'Monthly D7 RIN Data'!$N62</f>
        <v>0</v>
      </c>
      <c r="G177" s="3">
        <f>'Monthly D7 RIN Data'!$N74</f>
        <v>48281</v>
      </c>
      <c r="H177" s="3">
        <f>'Monthly D7 RIN Data'!$N86</f>
        <v>77454</v>
      </c>
      <c r="I177" s="3">
        <f>'Monthly D7 RIN Data'!$N98</f>
        <v>0</v>
      </c>
      <c r="J177" s="3">
        <f>'Monthly D7 RIN Data'!$N110</f>
        <v>185644</v>
      </c>
      <c r="K177" s="3">
        <f>'Monthly D7 RIN Data'!$N122</f>
        <v>0</v>
      </c>
      <c r="L177" s="3">
        <f>'Monthly D7 RIN Data'!$N134</f>
        <v>55892</v>
      </c>
      <c r="M177" s="3">
        <f>'Monthly D7 RIN Data'!$N146</f>
        <v>6435</v>
      </c>
      <c r="N177" s="3">
        <f>'Monthly D7 RIN Data'!$N158</f>
        <v>0</v>
      </c>
      <c r="O177" s="3">
        <f>'Monthly D7 RIN Data'!$N170</f>
        <v>42559</v>
      </c>
      <c r="P177" s="3">
        <f>'Monthly D7 RIN Data'!$N182</f>
        <v>0</v>
      </c>
      <c r="Q177" s="4">
        <f>'D7 Gallon Forecast'!Q159*AVERAGE('D7 RIN Forecast'!$AG$10:$AK$10)</f>
        <v>11406.794398999873</v>
      </c>
      <c r="R177" s="4">
        <f>'D7 Gallon Forecast'!R159*AVERAGE('D7 RIN Forecast'!$AG$10:$AK$10)</f>
        <v>14210.312678379511</v>
      </c>
      <c r="S177" s="4">
        <f>'D7 Gallon Forecast'!S159*AVERAGE('D7 RIN Forecast'!$AG$10:$AK$10)</f>
        <v>12738.152382689941</v>
      </c>
      <c r="T177" s="4">
        <f>'D7 Gallon Forecast'!T159*AVERAGE('D7 RIN Forecast'!$AG$10:$AK$10)</f>
        <v>13377.665020868832</v>
      </c>
      <c r="U177" s="4">
        <f>'D7 Gallon Forecast'!U159*AVERAGE('D7 RIN Forecast'!$AG$10:$AK$10)</f>
        <v>14177.19891582142</v>
      </c>
      <c r="V177" s="4">
        <f>'D7 Gallon Forecast'!V159*AVERAGE('D7 RIN Forecast'!$AG$10:$AK$10)</f>
        <v>14537.022887054094</v>
      </c>
      <c r="W177" s="4">
        <f>'D7 Gallon Forecast'!W159*AVERAGE('D7 RIN Forecast'!$AG$10:$AK$10)</f>
        <v>15026.561307535208</v>
      </c>
      <c r="X177" s="4">
        <f>'D7 Gallon Forecast'!X159*AVERAGE('D7 RIN Forecast'!$AG$10:$AK$10)</f>
        <v>15038.891054107193</v>
      </c>
      <c r="Y177" s="4">
        <f>'D7 Gallon Forecast'!Y159*AVERAGE('D7 RIN Forecast'!$AG$10:$AK$10)</f>
        <v>15830.269213511056</v>
      </c>
      <c r="Z177" s="4">
        <f>'D7 Gallon Forecast'!Z159*AVERAGE('D7 RIN Forecast'!$AG$10:$AK$10)</f>
        <v>16198.364979671269</v>
      </c>
    </row>
    <row r="178" spans="1:26">
      <c r="A178" s="2" t="s">
        <v>54</v>
      </c>
      <c r="B178" s="3">
        <f>'Monthly D7 RIN Data'!$N15</f>
        <v>0</v>
      </c>
      <c r="C178" s="3">
        <f>'Monthly D7 RIN Data'!$N27</f>
        <v>0</v>
      </c>
      <c r="D178" s="3">
        <f>'Monthly D7 RIN Data'!$N39</f>
        <v>0</v>
      </c>
      <c r="E178" s="3">
        <f>'Monthly D7 RIN Data'!$N51</f>
        <v>0</v>
      </c>
      <c r="F178" s="3">
        <f>'Monthly D7 RIN Data'!$N63</f>
        <v>0</v>
      </c>
      <c r="G178" s="3">
        <f>'Monthly D7 RIN Data'!$N75</f>
        <v>0</v>
      </c>
      <c r="H178" s="3">
        <f>'Monthly D7 RIN Data'!$N87</f>
        <v>0</v>
      </c>
      <c r="I178" s="3">
        <f>'Monthly D7 RIN Data'!$N99</f>
        <v>327008</v>
      </c>
      <c r="J178" s="3">
        <f>'Monthly D7 RIN Data'!$N111</f>
        <v>217665</v>
      </c>
      <c r="K178" s="3">
        <f>'Monthly D7 RIN Data'!$N123</f>
        <v>0</v>
      </c>
      <c r="L178" s="3">
        <f>'Monthly D7 RIN Data'!$N135</f>
        <v>0</v>
      </c>
      <c r="M178" s="3">
        <f>'Monthly D7 RIN Data'!$N147</f>
        <v>180745</v>
      </c>
      <c r="N178" s="3">
        <f>'Monthly D7 RIN Data'!$N159</f>
        <v>33897</v>
      </c>
      <c r="O178" s="3">
        <f>'Monthly D7 RIN Data'!$N171</f>
        <v>0</v>
      </c>
      <c r="P178" s="3">
        <f>'Monthly D7 RIN Data'!$N183</f>
        <v>0</v>
      </c>
      <c r="Q178" s="4">
        <f>'D7 Gallon Forecast'!Q160*AVERAGE('D7 RIN Forecast'!$AG$10:$AK$10)</f>
        <v>-7438.1387701745844</v>
      </c>
      <c r="R178" s="4">
        <f>'D7 Gallon Forecast'!R160*AVERAGE('D7 RIN Forecast'!$AG$10:$AK$10)</f>
        <v>33096.454816453916</v>
      </c>
      <c r="S178" s="4">
        <f>'D7 Gallon Forecast'!S160*AVERAGE('D7 RIN Forecast'!$AG$10:$AK$10)</f>
        <v>29667.72753848217</v>
      </c>
      <c r="T178" s="4">
        <f>'D7 Gallon Forecast'!T160*AVERAGE('D7 RIN Forecast'!$AG$10:$AK$10)</f>
        <v>31157.181121459376</v>
      </c>
      <c r="U178" s="4">
        <f>'D7 Gallon Forecast'!U160*AVERAGE('D7 RIN Forecast'!$AG$10:$AK$10)</f>
        <v>33019.33138003762</v>
      </c>
      <c r="V178" s="4">
        <f>'D7 Gallon Forecast'!V160*AVERAGE('D7 RIN Forecast'!$AG$10:$AK$10)</f>
        <v>33857.377528304147</v>
      </c>
      <c r="W178" s="4">
        <f>'D7 Gallon Forecast'!W160*AVERAGE('D7 RIN Forecast'!$AG$10:$AK$10)</f>
        <v>34997.534439771844</v>
      </c>
      <c r="X178" s="4">
        <f>'D7 Gallon Forecast'!X160*AVERAGE('D7 RIN Forecast'!$AG$10:$AK$10)</f>
        <v>35026.250971881585</v>
      </c>
      <c r="Y178" s="4">
        <f>'D7 Gallon Forecast'!Y160*AVERAGE('D7 RIN Forecast'!$AG$10:$AK$10)</f>
        <v>36869.406157009071</v>
      </c>
      <c r="Z178" s="4">
        <f>'D7 Gallon Forecast'!Z160*AVERAGE('D7 RIN Forecast'!$AG$10:$AK$10)</f>
        <v>37726.717686218792</v>
      </c>
    </row>
    <row r="179" spans="1:26" ht="13.5" thickBot="1">
      <c r="A179" s="2" t="s">
        <v>29</v>
      </c>
      <c r="B179" s="3">
        <f t="shared" ref="B179:O179" si="44">SUM(B167:B178)</f>
        <v>0</v>
      </c>
      <c r="C179" s="3">
        <f t="shared" si="44"/>
        <v>0</v>
      </c>
      <c r="D179" s="3">
        <f t="shared" si="44"/>
        <v>0</v>
      </c>
      <c r="E179" s="3">
        <f t="shared" si="44"/>
        <v>0</v>
      </c>
      <c r="F179" s="3">
        <f t="shared" si="44"/>
        <v>50446</v>
      </c>
      <c r="G179" s="3">
        <f t="shared" si="44"/>
        <v>275315</v>
      </c>
      <c r="H179" s="3">
        <f t="shared" si="44"/>
        <v>534429</v>
      </c>
      <c r="I179" s="3">
        <f t="shared" si="44"/>
        <v>1743435</v>
      </c>
      <c r="J179" s="3">
        <f t="shared" si="44"/>
        <v>2440000</v>
      </c>
      <c r="K179" s="3">
        <f t="shared" si="44"/>
        <v>1315943</v>
      </c>
      <c r="L179" s="3">
        <f t="shared" si="44"/>
        <v>55892</v>
      </c>
      <c r="M179" s="3">
        <f t="shared" si="44"/>
        <v>247518</v>
      </c>
      <c r="N179" s="3">
        <f t="shared" si="44"/>
        <v>236352</v>
      </c>
      <c r="O179" s="3">
        <f t="shared" si="44"/>
        <v>208643</v>
      </c>
      <c r="P179" s="3">
        <f>SUM(P167:P178)</f>
        <v>0</v>
      </c>
      <c r="Q179" s="4">
        <f>SUM(Q167:Q178)</f>
        <v>134825.13813848436</v>
      </c>
      <c r="R179" s="4">
        <f>SUM(R167:R178)</f>
        <v>271282.88318509993</v>
      </c>
      <c r="S179" s="4">
        <f>SUM(S167:S178)</f>
        <v>243178.5128897914</v>
      </c>
      <c r="T179" s="4">
        <f>SUM(T167:T178)</f>
        <v>255387.16981698456</v>
      </c>
      <c r="U179" s="4">
        <f t="shared" ref="U179:Z179" si="45">SUM(U167:U178)</f>
        <v>270650.72278277937</v>
      </c>
      <c r="V179" s="4">
        <f t="shared" si="45"/>
        <v>277519.96532264468</v>
      </c>
      <c r="W179" s="4">
        <f t="shared" si="45"/>
        <v>286865.52985339932</v>
      </c>
      <c r="X179" s="4">
        <f t="shared" si="45"/>
        <v>287100.91166903515</v>
      </c>
      <c r="Y179" s="4">
        <f t="shared" si="45"/>
        <v>302208.76704363478</v>
      </c>
      <c r="Z179" s="4">
        <f t="shared" si="45"/>
        <v>309235.92281369056</v>
      </c>
    </row>
    <row r="180" spans="1:26">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row>
    <row r="181" spans="1:26" ht="16.5" thickBot="1">
      <c r="A181" s="109" t="s">
        <v>552</v>
      </c>
    </row>
    <row r="182" spans="1:26" ht="13.5" thickBot="1">
      <c r="A182" s="110"/>
      <c r="B182" s="111">
        <v>2010</v>
      </c>
      <c r="C182" s="111">
        <v>2011</v>
      </c>
      <c r="D182" s="111">
        <v>2012</v>
      </c>
      <c r="E182" s="111">
        <v>2013</v>
      </c>
      <c r="F182" s="111">
        <v>2014</v>
      </c>
      <c r="G182" s="111">
        <v>2015</v>
      </c>
      <c r="H182" s="111">
        <v>2016</v>
      </c>
      <c r="I182" s="111">
        <v>2017</v>
      </c>
      <c r="J182" s="111">
        <v>2018</v>
      </c>
      <c r="K182" s="111">
        <v>2019</v>
      </c>
      <c r="L182" s="111">
        <v>2020</v>
      </c>
      <c r="M182" s="111">
        <v>2021</v>
      </c>
      <c r="N182" s="111">
        <v>2022</v>
      </c>
      <c r="O182" s="111">
        <v>2023</v>
      </c>
      <c r="P182" s="111">
        <v>2024</v>
      </c>
      <c r="Q182" s="111">
        <v>2025</v>
      </c>
      <c r="R182" s="111">
        <v>2026</v>
      </c>
      <c r="S182" s="111">
        <v>2027</v>
      </c>
      <c r="T182" s="111">
        <v>2028</v>
      </c>
      <c r="U182" s="111">
        <v>2029</v>
      </c>
      <c r="V182" s="111">
        <v>2030</v>
      </c>
      <c r="W182" s="111">
        <v>2031</v>
      </c>
      <c r="X182" s="111">
        <v>2032</v>
      </c>
      <c r="Y182" s="111">
        <v>2033</v>
      </c>
      <c r="Z182" s="111">
        <v>2034</v>
      </c>
    </row>
    <row r="183" spans="1:26">
      <c r="A183" s="2" t="s">
        <v>43</v>
      </c>
      <c r="B183" s="3">
        <f>'Monthly D7 RIN Data'!$O4</f>
        <v>0</v>
      </c>
      <c r="C183" s="3">
        <f>'Monthly D7 RIN Data'!$O16</f>
        <v>0</v>
      </c>
      <c r="D183" s="3">
        <f>'Monthly D7 RIN Data'!$O28</f>
        <v>0</v>
      </c>
      <c r="E183" s="3">
        <f>'Monthly D7 RIN Data'!$O40</f>
        <v>0</v>
      </c>
      <c r="F183" s="3">
        <f>'Monthly D7 RIN Data'!$O52</f>
        <v>0</v>
      </c>
      <c r="G183" s="3">
        <f>'Monthly D7 RIN Data'!$O64</f>
        <v>0</v>
      </c>
      <c r="H183" s="3">
        <f>'Monthly D7 RIN Data'!$O76</f>
        <v>0</v>
      </c>
      <c r="I183" s="3">
        <f>'Monthly D7 RIN Data'!$O88</f>
        <v>0</v>
      </c>
      <c r="J183" s="3">
        <f>'Monthly D7 RIN Data'!$O100</f>
        <v>0</v>
      </c>
      <c r="K183" s="3">
        <f>'Monthly D7 RIN Data'!$O112</f>
        <v>0</v>
      </c>
      <c r="L183" s="3">
        <f>'Monthly D7 RIN Data'!$O124</f>
        <v>0</v>
      </c>
      <c r="M183" s="3">
        <f>'Monthly D7 RIN Data'!$O136</f>
        <v>0</v>
      </c>
      <c r="N183" s="3">
        <f>'Monthly D7 RIN Data'!$O148</f>
        <v>0</v>
      </c>
      <c r="O183" s="3">
        <f>'Monthly D7 RIN Data'!$O160</f>
        <v>0</v>
      </c>
      <c r="P183" s="3">
        <f>'Monthly D7 RIN Data'!$O172</f>
        <v>0</v>
      </c>
      <c r="Q183" s="3">
        <f>'Monthly D7 RIN Data'!$O184</f>
        <v>0</v>
      </c>
      <c r="R183" s="4">
        <f>'D7 Gallon Forecast'!R181</f>
        <v>0</v>
      </c>
      <c r="S183" s="4">
        <f>'D7 Gallon Forecast'!S181</f>
        <v>0</v>
      </c>
      <c r="T183" s="4">
        <f>'D7 Gallon Forecast'!T181</f>
        <v>0</v>
      </c>
      <c r="U183" s="4">
        <f>'D7 Gallon Forecast'!U181</f>
        <v>0</v>
      </c>
      <c r="V183" s="4">
        <f>'D7 Gallon Forecast'!V181</f>
        <v>0</v>
      </c>
      <c r="W183" s="4">
        <f>'D7 Gallon Forecast'!W181</f>
        <v>0</v>
      </c>
      <c r="X183" s="4">
        <f>'D7 Gallon Forecast'!X181</f>
        <v>0</v>
      </c>
      <c r="Y183" s="4">
        <f>'D7 Gallon Forecast'!Y181</f>
        <v>0</v>
      </c>
      <c r="Z183" s="4">
        <f>'D7 Gallon Forecast'!Z181</f>
        <v>0</v>
      </c>
    </row>
    <row r="184" spans="1:26">
      <c r="A184" s="2" t="s">
        <v>44</v>
      </c>
      <c r="B184" s="3">
        <f>'Monthly D7 RIN Data'!$O5</f>
        <v>0</v>
      </c>
      <c r="C184" s="3">
        <f>'Monthly D7 RIN Data'!$O17</f>
        <v>0</v>
      </c>
      <c r="D184" s="3">
        <f>'Monthly D7 RIN Data'!$O29</f>
        <v>0</v>
      </c>
      <c r="E184" s="3">
        <f>'Monthly D7 RIN Data'!$O41</f>
        <v>0</v>
      </c>
      <c r="F184" s="3">
        <f>'Monthly D7 RIN Data'!$O53</f>
        <v>0</v>
      </c>
      <c r="G184" s="3">
        <f>'Monthly D7 RIN Data'!$O65</f>
        <v>0</v>
      </c>
      <c r="H184" s="3">
        <f>'Monthly D7 RIN Data'!$O77</f>
        <v>0</v>
      </c>
      <c r="I184" s="3">
        <f>'Monthly D7 RIN Data'!$O89</f>
        <v>0</v>
      </c>
      <c r="J184" s="3">
        <f>'Monthly D7 RIN Data'!$O101</f>
        <v>0</v>
      </c>
      <c r="K184" s="3">
        <f>'Monthly D7 RIN Data'!$O113</f>
        <v>0</v>
      </c>
      <c r="L184" s="3">
        <f>'Monthly D7 RIN Data'!$O125</f>
        <v>0</v>
      </c>
      <c r="M184" s="3">
        <f>'Monthly D7 RIN Data'!$O137</f>
        <v>0</v>
      </c>
      <c r="N184" s="3">
        <f>'Monthly D7 RIN Data'!$O149</f>
        <v>0</v>
      </c>
      <c r="O184" s="3">
        <f>'Monthly D7 RIN Data'!$O161</f>
        <v>0</v>
      </c>
      <c r="P184" s="3">
        <f>'Monthly D7 RIN Data'!$O173</f>
        <v>0</v>
      </c>
      <c r="Q184" s="3">
        <f>'Monthly D7 RIN Data'!$O185</f>
        <v>0</v>
      </c>
      <c r="R184" s="4">
        <f>'D7 Gallon Forecast'!R182</f>
        <v>0</v>
      </c>
      <c r="S184" s="4">
        <f>'D7 Gallon Forecast'!S182</f>
        <v>0</v>
      </c>
      <c r="T184" s="4">
        <f>'D7 Gallon Forecast'!T182</f>
        <v>0</v>
      </c>
      <c r="U184" s="4">
        <f>'D7 Gallon Forecast'!U182</f>
        <v>0</v>
      </c>
      <c r="V184" s="4">
        <f>'D7 Gallon Forecast'!V182</f>
        <v>0</v>
      </c>
      <c r="W184" s="4">
        <f>'D7 Gallon Forecast'!W182</f>
        <v>0</v>
      </c>
      <c r="X184" s="4">
        <f>'D7 Gallon Forecast'!X182</f>
        <v>0</v>
      </c>
      <c r="Y184" s="4">
        <f>'D7 Gallon Forecast'!Y182</f>
        <v>0</v>
      </c>
      <c r="Z184" s="4">
        <f>'D7 Gallon Forecast'!Z182</f>
        <v>0</v>
      </c>
    </row>
    <row r="185" spans="1:26">
      <c r="A185" s="2" t="s">
        <v>45</v>
      </c>
      <c r="B185" s="3">
        <f>'Monthly D7 RIN Data'!$O6</f>
        <v>0</v>
      </c>
      <c r="C185" s="3">
        <f>'Monthly D7 RIN Data'!$O18</f>
        <v>0</v>
      </c>
      <c r="D185" s="3">
        <f>'Monthly D7 RIN Data'!$O30</f>
        <v>0</v>
      </c>
      <c r="E185" s="3">
        <f>'Monthly D7 RIN Data'!$O42</f>
        <v>0</v>
      </c>
      <c r="F185" s="3">
        <f>'Monthly D7 RIN Data'!$O54</f>
        <v>0</v>
      </c>
      <c r="G185" s="3">
        <f>'Monthly D7 RIN Data'!$O66</f>
        <v>0</v>
      </c>
      <c r="H185" s="3">
        <f>'Monthly D7 RIN Data'!$O78</f>
        <v>0</v>
      </c>
      <c r="I185" s="3">
        <f>'Monthly D7 RIN Data'!$O90</f>
        <v>0</v>
      </c>
      <c r="J185" s="3">
        <f>'Monthly D7 RIN Data'!$O102</f>
        <v>0</v>
      </c>
      <c r="K185" s="3">
        <f>'Monthly D7 RIN Data'!$O114</f>
        <v>0</v>
      </c>
      <c r="L185" s="3">
        <f>'Monthly D7 RIN Data'!$O126</f>
        <v>0</v>
      </c>
      <c r="M185" s="3">
        <f>'Monthly D7 RIN Data'!$O138</f>
        <v>0</v>
      </c>
      <c r="N185" s="3">
        <f>'Monthly D7 RIN Data'!$O150</f>
        <v>0</v>
      </c>
      <c r="O185" s="3">
        <f>'Monthly D7 RIN Data'!$O162</f>
        <v>0</v>
      </c>
      <c r="P185" s="3">
        <f>'Monthly D7 RIN Data'!$O174</f>
        <v>0</v>
      </c>
      <c r="Q185" s="3">
        <f>'Monthly D7 RIN Data'!$O186</f>
        <v>0</v>
      </c>
      <c r="R185" s="4">
        <f>'D7 Gallon Forecast'!R183</f>
        <v>0</v>
      </c>
      <c r="S185" s="4">
        <f>'D7 Gallon Forecast'!S183</f>
        <v>0</v>
      </c>
      <c r="T185" s="4">
        <f>'D7 Gallon Forecast'!T183</f>
        <v>0</v>
      </c>
      <c r="U185" s="4">
        <f>'D7 Gallon Forecast'!U183</f>
        <v>0</v>
      </c>
      <c r="V185" s="4">
        <f>'D7 Gallon Forecast'!V183</f>
        <v>0</v>
      </c>
      <c r="W185" s="4">
        <f>'D7 Gallon Forecast'!W183</f>
        <v>0</v>
      </c>
      <c r="X185" s="4">
        <f>'D7 Gallon Forecast'!X183</f>
        <v>0</v>
      </c>
      <c r="Y185" s="4">
        <f>'D7 Gallon Forecast'!Y183</f>
        <v>0</v>
      </c>
      <c r="Z185" s="4">
        <f>'D7 Gallon Forecast'!Z183</f>
        <v>0</v>
      </c>
    </row>
    <row r="186" spans="1:26">
      <c r="A186" s="2" t="s">
        <v>46</v>
      </c>
      <c r="B186" s="3">
        <f>'Monthly D7 RIN Data'!$O7</f>
        <v>0</v>
      </c>
      <c r="C186" s="3">
        <f>'Monthly D7 RIN Data'!$O19</f>
        <v>0</v>
      </c>
      <c r="D186" s="3">
        <f>'Monthly D7 RIN Data'!$O31</f>
        <v>0</v>
      </c>
      <c r="E186" s="3">
        <f>'Monthly D7 RIN Data'!$O43</f>
        <v>0</v>
      </c>
      <c r="F186" s="3">
        <f>'Monthly D7 RIN Data'!$O55</f>
        <v>0</v>
      </c>
      <c r="G186" s="3">
        <f>'Monthly D7 RIN Data'!$O67</f>
        <v>0</v>
      </c>
      <c r="H186" s="3">
        <f>'Monthly D7 RIN Data'!$O79</f>
        <v>0</v>
      </c>
      <c r="I186" s="3">
        <f>'Monthly D7 RIN Data'!$O91</f>
        <v>0</v>
      </c>
      <c r="J186" s="3">
        <f>'Monthly D7 RIN Data'!$O103</f>
        <v>0</v>
      </c>
      <c r="K186" s="3">
        <f>'Monthly D7 RIN Data'!$O115</f>
        <v>0</v>
      </c>
      <c r="L186" s="3">
        <f>'Monthly D7 RIN Data'!$O127</f>
        <v>0</v>
      </c>
      <c r="M186" s="3">
        <f>'Monthly D7 RIN Data'!$O139</f>
        <v>0</v>
      </c>
      <c r="N186" s="3">
        <f>'Monthly D7 RIN Data'!$O151</f>
        <v>0</v>
      </c>
      <c r="O186" s="3">
        <f>'Monthly D7 RIN Data'!$O163</f>
        <v>0</v>
      </c>
      <c r="P186" s="3">
        <f>'Monthly D7 RIN Data'!$O175</f>
        <v>0</v>
      </c>
      <c r="Q186" s="4">
        <f>'D7 Gallon Forecast'!Q184</f>
        <v>0</v>
      </c>
      <c r="R186" s="4">
        <f>'D7 Gallon Forecast'!R184</f>
        <v>0</v>
      </c>
      <c r="S186" s="4">
        <f>'D7 Gallon Forecast'!S184</f>
        <v>0</v>
      </c>
      <c r="T186" s="4">
        <f>'D7 Gallon Forecast'!T184</f>
        <v>0</v>
      </c>
      <c r="U186" s="4">
        <f>'D7 Gallon Forecast'!U184</f>
        <v>0</v>
      </c>
      <c r="V186" s="4">
        <f>'D7 Gallon Forecast'!V184</f>
        <v>0</v>
      </c>
      <c r="W186" s="4">
        <f>'D7 Gallon Forecast'!W184</f>
        <v>0</v>
      </c>
      <c r="X186" s="4">
        <f>'D7 Gallon Forecast'!X184</f>
        <v>0</v>
      </c>
      <c r="Y186" s="4">
        <f>'D7 Gallon Forecast'!Y184</f>
        <v>0</v>
      </c>
      <c r="Z186" s="4">
        <f>'D7 Gallon Forecast'!Z184</f>
        <v>0</v>
      </c>
    </row>
    <row r="187" spans="1:26">
      <c r="A187" s="2" t="s">
        <v>47</v>
      </c>
      <c r="B187" s="3">
        <f>'Monthly D7 RIN Data'!$O8</f>
        <v>0</v>
      </c>
      <c r="C187" s="3">
        <f>'Monthly D7 RIN Data'!$O20</f>
        <v>0</v>
      </c>
      <c r="D187" s="3">
        <f>'Monthly D7 RIN Data'!$O32</f>
        <v>0</v>
      </c>
      <c r="E187" s="3">
        <f>'Monthly D7 RIN Data'!$O44</f>
        <v>0</v>
      </c>
      <c r="F187" s="3">
        <f>'Monthly D7 RIN Data'!$O56</f>
        <v>0</v>
      </c>
      <c r="G187" s="3">
        <f>'Monthly D7 RIN Data'!$O68</f>
        <v>0</v>
      </c>
      <c r="H187" s="3">
        <f>'Monthly D7 RIN Data'!$O80</f>
        <v>0</v>
      </c>
      <c r="I187" s="3">
        <f>'Monthly D7 RIN Data'!$O92</f>
        <v>0</v>
      </c>
      <c r="J187" s="3">
        <f>'Monthly D7 RIN Data'!$O104</f>
        <v>0</v>
      </c>
      <c r="K187" s="3">
        <f>'Monthly D7 RIN Data'!$O116</f>
        <v>0</v>
      </c>
      <c r="L187" s="3">
        <f>'Monthly D7 RIN Data'!$O128</f>
        <v>0</v>
      </c>
      <c r="M187" s="3">
        <f>'Monthly D7 RIN Data'!$O140</f>
        <v>0</v>
      </c>
      <c r="N187" s="3">
        <f>'Monthly D7 RIN Data'!$O152</f>
        <v>0</v>
      </c>
      <c r="O187" s="3">
        <f>'Monthly D7 RIN Data'!$O164</f>
        <v>0</v>
      </c>
      <c r="P187" s="3">
        <f>'Monthly D7 RIN Data'!$O176</f>
        <v>0</v>
      </c>
      <c r="Q187" s="4">
        <f>'D7 Gallon Forecast'!Q185</f>
        <v>0</v>
      </c>
      <c r="R187" s="4">
        <f>'D7 Gallon Forecast'!R185</f>
        <v>0</v>
      </c>
      <c r="S187" s="4">
        <f>'D7 Gallon Forecast'!S185</f>
        <v>0</v>
      </c>
      <c r="T187" s="4">
        <f>'D7 Gallon Forecast'!T185</f>
        <v>0</v>
      </c>
      <c r="U187" s="4">
        <f>'D7 Gallon Forecast'!U185</f>
        <v>0</v>
      </c>
      <c r="V187" s="4">
        <f>'D7 Gallon Forecast'!V185</f>
        <v>0</v>
      </c>
      <c r="W187" s="4">
        <f>'D7 Gallon Forecast'!W185</f>
        <v>0</v>
      </c>
      <c r="X187" s="4">
        <f>'D7 Gallon Forecast'!X185</f>
        <v>0</v>
      </c>
      <c r="Y187" s="4">
        <f>'D7 Gallon Forecast'!Y185</f>
        <v>0</v>
      </c>
      <c r="Z187" s="4">
        <f>'D7 Gallon Forecast'!Z185</f>
        <v>0</v>
      </c>
    </row>
    <row r="188" spans="1:26">
      <c r="A188" s="2" t="s">
        <v>48</v>
      </c>
      <c r="B188" s="3">
        <f>'Monthly D7 RIN Data'!$O9</f>
        <v>0</v>
      </c>
      <c r="C188" s="3">
        <f>'Monthly D7 RIN Data'!$O21</f>
        <v>0</v>
      </c>
      <c r="D188" s="3">
        <f>'Monthly D7 RIN Data'!$O33</f>
        <v>0</v>
      </c>
      <c r="E188" s="3">
        <f>'Monthly D7 RIN Data'!$O45</f>
        <v>0</v>
      </c>
      <c r="F188" s="3">
        <f>'Monthly D7 RIN Data'!$O57</f>
        <v>0</v>
      </c>
      <c r="G188" s="3">
        <f>'Monthly D7 RIN Data'!$O69</f>
        <v>0</v>
      </c>
      <c r="H188" s="3">
        <f>'Monthly D7 RIN Data'!$O81</f>
        <v>0</v>
      </c>
      <c r="I188" s="3">
        <f>'Monthly D7 RIN Data'!$O93</f>
        <v>0</v>
      </c>
      <c r="J188" s="3">
        <f>'Monthly D7 RIN Data'!$O105</f>
        <v>0</v>
      </c>
      <c r="K188" s="3">
        <f>'Monthly D7 RIN Data'!$O117</f>
        <v>0</v>
      </c>
      <c r="L188" s="3">
        <f>'Monthly D7 RIN Data'!$O129</f>
        <v>0</v>
      </c>
      <c r="M188" s="3">
        <f>'Monthly D7 RIN Data'!$O141</f>
        <v>0</v>
      </c>
      <c r="N188" s="3">
        <f>'Monthly D7 RIN Data'!$O153</f>
        <v>0</v>
      </c>
      <c r="O188" s="3">
        <f>'Monthly D7 RIN Data'!$O165</f>
        <v>0</v>
      </c>
      <c r="P188" s="3">
        <f>'Monthly D7 RIN Data'!$O177</f>
        <v>0</v>
      </c>
      <c r="Q188" s="4">
        <f>'D7 Gallon Forecast'!Q186</f>
        <v>0</v>
      </c>
      <c r="R188" s="4">
        <f>'D7 Gallon Forecast'!R186</f>
        <v>0</v>
      </c>
      <c r="S188" s="4">
        <f>'D7 Gallon Forecast'!S186</f>
        <v>0</v>
      </c>
      <c r="T188" s="4">
        <f>'D7 Gallon Forecast'!T186</f>
        <v>0</v>
      </c>
      <c r="U188" s="4">
        <f>'D7 Gallon Forecast'!U186</f>
        <v>0</v>
      </c>
      <c r="V188" s="4">
        <f>'D7 Gallon Forecast'!V186</f>
        <v>0</v>
      </c>
      <c r="W188" s="4">
        <f>'D7 Gallon Forecast'!W186</f>
        <v>0</v>
      </c>
      <c r="X188" s="4">
        <f>'D7 Gallon Forecast'!X186</f>
        <v>0</v>
      </c>
      <c r="Y188" s="4">
        <f>'D7 Gallon Forecast'!Y186</f>
        <v>0</v>
      </c>
      <c r="Z188" s="4">
        <f>'D7 Gallon Forecast'!Z186</f>
        <v>0</v>
      </c>
    </row>
    <row r="189" spans="1:26">
      <c r="A189" s="2" t="s">
        <v>49</v>
      </c>
      <c r="B189" s="3">
        <f>'Monthly D7 RIN Data'!$O10</f>
        <v>0</v>
      </c>
      <c r="C189" s="3">
        <f>'Monthly D7 RIN Data'!$O22</f>
        <v>0</v>
      </c>
      <c r="D189" s="3">
        <f>'Monthly D7 RIN Data'!$O34</f>
        <v>0</v>
      </c>
      <c r="E189" s="3">
        <f>'Monthly D7 RIN Data'!$O46</f>
        <v>0</v>
      </c>
      <c r="F189" s="3">
        <f>'Monthly D7 RIN Data'!$O58</f>
        <v>0</v>
      </c>
      <c r="G189" s="3">
        <f>'Monthly D7 RIN Data'!$O70</f>
        <v>0</v>
      </c>
      <c r="H189" s="3">
        <f>'Monthly D7 RIN Data'!$O82</f>
        <v>0</v>
      </c>
      <c r="I189" s="3">
        <f>'Monthly D7 RIN Data'!$O94</f>
        <v>0</v>
      </c>
      <c r="J189" s="3">
        <f>'Monthly D7 RIN Data'!$O106</f>
        <v>0</v>
      </c>
      <c r="K189" s="3">
        <f>'Monthly D7 RIN Data'!$O118</f>
        <v>0</v>
      </c>
      <c r="L189" s="3">
        <f>'Monthly D7 RIN Data'!$O130</f>
        <v>0</v>
      </c>
      <c r="M189" s="3">
        <f>'Monthly D7 RIN Data'!$O142</f>
        <v>0</v>
      </c>
      <c r="N189" s="3">
        <f>'Monthly D7 RIN Data'!$O154</f>
        <v>0</v>
      </c>
      <c r="O189" s="3">
        <f>'Monthly D7 RIN Data'!$O166</f>
        <v>0</v>
      </c>
      <c r="P189" s="3">
        <f>'Monthly D7 RIN Data'!$O178</f>
        <v>0</v>
      </c>
      <c r="Q189" s="4">
        <f>'D7 Gallon Forecast'!Q187</f>
        <v>0</v>
      </c>
      <c r="R189" s="4">
        <f>'D7 Gallon Forecast'!R187</f>
        <v>0</v>
      </c>
      <c r="S189" s="4">
        <f>'D7 Gallon Forecast'!S187</f>
        <v>0</v>
      </c>
      <c r="T189" s="4">
        <f>'D7 Gallon Forecast'!T187</f>
        <v>0</v>
      </c>
      <c r="U189" s="4">
        <f>'D7 Gallon Forecast'!U187</f>
        <v>0</v>
      </c>
      <c r="V189" s="4">
        <f>'D7 Gallon Forecast'!V187</f>
        <v>0</v>
      </c>
      <c r="W189" s="4">
        <f>'D7 Gallon Forecast'!W187</f>
        <v>0</v>
      </c>
      <c r="X189" s="4">
        <f>'D7 Gallon Forecast'!X187</f>
        <v>0</v>
      </c>
      <c r="Y189" s="4">
        <f>'D7 Gallon Forecast'!Y187</f>
        <v>0</v>
      </c>
      <c r="Z189" s="4">
        <f>'D7 Gallon Forecast'!Z187</f>
        <v>0</v>
      </c>
    </row>
    <row r="190" spans="1:26">
      <c r="A190" s="2" t="s">
        <v>50</v>
      </c>
      <c r="B190" s="3">
        <f>'Monthly D7 RIN Data'!$O11</f>
        <v>0</v>
      </c>
      <c r="C190" s="3">
        <f>'Monthly D7 RIN Data'!$O23</f>
        <v>0</v>
      </c>
      <c r="D190" s="3">
        <f>'Monthly D7 RIN Data'!$O35</f>
        <v>0</v>
      </c>
      <c r="E190" s="3">
        <f>'Monthly D7 RIN Data'!$O47</f>
        <v>0</v>
      </c>
      <c r="F190" s="3">
        <f>'Monthly D7 RIN Data'!$O59</f>
        <v>0</v>
      </c>
      <c r="G190" s="3">
        <f>'Monthly D7 RIN Data'!$O71</f>
        <v>0</v>
      </c>
      <c r="H190" s="3">
        <f>'Monthly D7 RIN Data'!$O83</f>
        <v>0</v>
      </c>
      <c r="I190" s="3">
        <f>'Monthly D7 RIN Data'!$O95</f>
        <v>0</v>
      </c>
      <c r="J190" s="3">
        <f>'Monthly D7 RIN Data'!$O107</f>
        <v>0</v>
      </c>
      <c r="K190" s="3">
        <f>'Monthly D7 RIN Data'!$O119</f>
        <v>0</v>
      </c>
      <c r="L190" s="3">
        <f>'Monthly D7 RIN Data'!$O131</f>
        <v>0</v>
      </c>
      <c r="M190" s="3">
        <f>'Monthly D7 RIN Data'!$O143</f>
        <v>0</v>
      </c>
      <c r="N190" s="3">
        <f>'Monthly D7 RIN Data'!$O155</f>
        <v>0</v>
      </c>
      <c r="O190" s="3">
        <f>'Monthly D7 RIN Data'!$O167</f>
        <v>0</v>
      </c>
      <c r="P190" s="3">
        <f>'Monthly D7 RIN Data'!$O179</f>
        <v>0</v>
      </c>
      <c r="Q190" s="4">
        <f>'D7 Gallon Forecast'!Q188</f>
        <v>0</v>
      </c>
      <c r="R190" s="4">
        <f>'D7 Gallon Forecast'!R188</f>
        <v>0</v>
      </c>
      <c r="S190" s="4">
        <f>'D7 Gallon Forecast'!S188</f>
        <v>0</v>
      </c>
      <c r="T190" s="4">
        <f>'D7 Gallon Forecast'!T188</f>
        <v>0</v>
      </c>
      <c r="U190" s="4">
        <f>'D7 Gallon Forecast'!U188</f>
        <v>0</v>
      </c>
      <c r="V190" s="4">
        <f>'D7 Gallon Forecast'!V188</f>
        <v>0</v>
      </c>
      <c r="W190" s="4">
        <f>'D7 Gallon Forecast'!W188</f>
        <v>0</v>
      </c>
      <c r="X190" s="4">
        <f>'D7 Gallon Forecast'!X188</f>
        <v>0</v>
      </c>
      <c r="Y190" s="4">
        <f>'D7 Gallon Forecast'!Y188</f>
        <v>0</v>
      </c>
      <c r="Z190" s="4">
        <f>'D7 Gallon Forecast'!Z188</f>
        <v>0</v>
      </c>
    </row>
    <row r="191" spans="1:26">
      <c r="A191" s="2" t="s">
        <v>51</v>
      </c>
      <c r="B191" s="3">
        <f>'Monthly D7 RIN Data'!$O12</f>
        <v>0</v>
      </c>
      <c r="C191" s="3">
        <f>'Monthly D7 RIN Data'!$O24</f>
        <v>0</v>
      </c>
      <c r="D191" s="3">
        <f>'Monthly D7 RIN Data'!$O36</f>
        <v>0</v>
      </c>
      <c r="E191" s="3">
        <f>'Monthly D7 RIN Data'!$O48</f>
        <v>0</v>
      </c>
      <c r="F191" s="3">
        <f>'Monthly D7 RIN Data'!$O60</f>
        <v>0</v>
      </c>
      <c r="G191" s="3">
        <f>'Monthly D7 RIN Data'!$O72</f>
        <v>0</v>
      </c>
      <c r="H191" s="3">
        <f>'Monthly D7 RIN Data'!$O84</f>
        <v>0</v>
      </c>
      <c r="I191" s="3">
        <f>'Monthly D7 RIN Data'!$O96</f>
        <v>0</v>
      </c>
      <c r="J191" s="3">
        <f>'Monthly D7 RIN Data'!$O108</f>
        <v>0</v>
      </c>
      <c r="K191" s="3">
        <f>'Monthly D7 RIN Data'!$O120</f>
        <v>0</v>
      </c>
      <c r="L191" s="3">
        <f>'Monthly D7 RIN Data'!$O132</f>
        <v>0</v>
      </c>
      <c r="M191" s="3">
        <f>'Monthly D7 RIN Data'!$O144</f>
        <v>0</v>
      </c>
      <c r="N191" s="3">
        <f>'Monthly D7 RIN Data'!$O156</f>
        <v>0</v>
      </c>
      <c r="O191" s="3">
        <f>'Monthly D7 RIN Data'!$O168</f>
        <v>0</v>
      </c>
      <c r="P191" s="3">
        <f>'Monthly D7 RIN Data'!$O180</f>
        <v>0</v>
      </c>
      <c r="Q191" s="4">
        <f>'D7 Gallon Forecast'!Q189</f>
        <v>0</v>
      </c>
      <c r="R191" s="4">
        <f>'D7 Gallon Forecast'!R189</f>
        <v>0</v>
      </c>
      <c r="S191" s="4">
        <f>'D7 Gallon Forecast'!S189</f>
        <v>0</v>
      </c>
      <c r="T191" s="4">
        <f>'D7 Gallon Forecast'!T189</f>
        <v>0</v>
      </c>
      <c r="U191" s="4">
        <f>'D7 Gallon Forecast'!U189</f>
        <v>0</v>
      </c>
      <c r="V191" s="4">
        <f>'D7 Gallon Forecast'!V189</f>
        <v>0</v>
      </c>
      <c r="W191" s="4">
        <f>'D7 Gallon Forecast'!W189</f>
        <v>0</v>
      </c>
      <c r="X191" s="4">
        <f>'D7 Gallon Forecast'!X189</f>
        <v>0</v>
      </c>
      <c r="Y191" s="4">
        <f>'D7 Gallon Forecast'!Y189</f>
        <v>0</v>
      </c>
      <c r="Z191" s="4">
        <f>'D7 Gallon Forecast'!Z189</f>
        <v>0</v>
      </c>
    </row>
    <row r="192" spans="1:26">
      <c r="A192" s="2" t="s">
        <v>52</v>
      </c>
      <c r="B192" s="3">
        <f>'Monthly D7 RIN Data'!$O13</f>
        <v>0</v>
      </c>
      <c r="C192" s="3">
        <f>'Monthly D7 RIN Data'!$O25</f>
        <v>0</v>
      </c>
      <c r="D192" s="3">
        <f>'Monthly D7 RIN Data'!$O37</f>
        <v>0</v>
      </c>
      <c r="E192" s="3">
        <f>'Monthly D7 RIN Data'!$O49</f>
        <v>0</v>
      </c>
      <c r="F192" s="3">
        <f>'Monthly D7 RIN Data'!$O61</f>
        <v>0</v>
      </c>
      <c r="G192" s="3">
        <f>'Monthly D7 RIN Data'!$O73</f>
        <v>0</v>
      </c>
      <c r="H192" s="3">
        <f>'Monthly D7 RIN Data'!$O85</f>
        <v>0</v>
      </c>
      <c r="I192" s="3">
        <f>'Monthly D7 RIN Data'!$O97</f>
        <v>0</v>
      </c>
      <c r="J192" s="3">
        <f>'Monthly D7 RIN Data'!$O109</f>
        <v>0</v>
      </c>
      <c r="K192" s="3">
        <f>'Monthly D7 RIN Data'!$O121</f>
        <v>0</v>
      </c>
      <c r="L192" s="3">
        <f>'Monthly D7 RIN Data'!$O133</f>
        <v>0</v>
      </c>
      <c r="M192" s="3">
        <f>'Monthly D7 RIN Data'!$O145</f>
        <v>0</v>
      </c>
      <c r="N192" s="3">
        <f>'Monthly D7 RIN Data'!$O157</f>
        <v>0</v>
      </c>
      <c r="O192" s="3">
        <f>'Monthly D7 RIN Data'!$O169</f>
        <v>0</v>
      </c>
      <c r="P192" s="3">
        <f>'Monthly D7 RIN Data'!$O181</f>
        <v>0</v>
      </c>
      <c r="Q192" s="4">
        <f>'D7 Gallon Forecast'!Q190</f>
        <v>0</v>
      </c>
      <c r="R192" s="4">
        <f>'D7 Gallon Forecast'!R190</f>
        <v>0</v>
      </c>
      <c r="S192" s="4">
        <f>'D7 Gallon Forecast'!S190</f>
        <v>0</v>
      </c>
      <c r="T192" s="4">
        <f>'D7 Gallon Forecast'!T190</f>
        <v>0</v>
      </c>
      <c r="U192" s="4">
        <f>'D7 Gallon Forecast'!U190</f>
        <v>0</v>
      </c>
      <c r="V192" s="4">
        <f>'D7 Gallon Forecast'!V190</f>
        <v>0</v>
      </c>
      <c r="W192" s="4">
        <f>'D7 Gallon Forecast'!W190</f>
        <v>0</v>
      </c>
      <c r="X192" s="4">
        <f>'D7 Gallon Forecast'!X190</f>
        <v>0</v>
      </c>
      <c r="Y192" s="4">
        <f>'D7 Gallon Forecast'!Y190</f>
        <v>0</v>
      </c>
      <c r="Z192" s="4">
        <f>'D7 Gallon Forecast'!Z190</f>
        <v>0</v>
      </c>
    </row>
    <row r="193" spans="1:26">
      <c r="A193" s="2" t="s">
        <v>53</v>
      </c>
      <c r="B193" s="3">
        <f>'Monthly D7 RIN Data'!$O14</f>
        <v>0</v>
      </c>
      <c r="C193" s="3">
        <f>'Monthly D7 RIN Data'!$O26</f>
        <v>0</v>
      </c>
      <c r="D193" s="3">
        <f>'Monthly D7 RIN Data'!$O38</f>
        <v>0</v>
      </c>
      <c r="E193" s="3">
        <f>'Monthly D7 RIN Data'!$O50</f>
        <v>0</v>
      </c>
      <c r="F193" s="3">
        <f>'Monthly D7 RIN Data'!$O62</f>
        <v>0</v>
      </c>
      <c r="G193" s="3">
        <f>'Monthly D7 RIN Data'!$O74</f>
        <v>0</v>
      </c>
      <c r="H193" s="3">
        <f>'Monthly D7 RIN Data'!$O86</f>
        <v>0</v>
      </c>
      <c r="I193" s="3">
        <f>'Monthly D7 RIN Data'!$O98</f>
        <v>0</v>
      </c>
      <c r="J193" s="3">
        <f>'Monthly D7 RIN Data'!$O110</f>
        <v>0</v>
      </c>
      <c r="K193" s="3">
        <f>'Monthly D7 RIN Data'!$O122</f>
        <v>0</v>
      </c>
      <c r="L193" s="3">
        <f>'Monthly D7 RIN Data'!$O134</f>
        <v>0</v>
      </c>
      <c r="M193" s="3">
        <f>'Monthly D7 RIN Data'!$O146</f>
        <v>0</v>
      </c>
      <c r="N193" s="3">
        <f>'Monthly D7 RIN Data'!$O158</f>
        <v>0</v>
      </c>
      <c r="O193" s="3">
        <f>'Monthly D7 RIN Data'!$O170</f>
        <v>0</v>
      </c>
      <c r="P193" s="3">
        <f>'Monthly D7 RIN Data'!$O182</f>
        <v>0</v>
      </c>
      <c r="Q193" s="4">
        <f>'D7 Gallon Forecast'!Q191</f>
        <v>0</v>
      </c>
      <c r="R193" s="4">
        <f>'D7 Gallon Forecast'!R191</f>
        <v>0</v>
      </c>
      <c r="S193" s="4">
        <f>'D7 Gallon Forecast'!S191</f>
        <v>0</v>
      </c>
      <c r="T193" s="4">
        <f>'D7 Gallon Forecast'!T191</f>
        <v>0</v>
      </c>
      <c r="U193" s="4">
        <f>'D7 Gallon Forecast'!U191</f>
        <v>0</v>
      </c>
      <c r="V193" s="4">
        <f>'D7 Gallon Forecast'!V191</f>
        <v>0</v>
      </c>
      <c r="W193" s="4">
        <f>'D7 Gallon Forecast'!W191</f>
        <v>0</v>
      </c>
      <c r="X193" s="4">
        <f>'D7 Gallon Forecast'!X191</f>
        <v>0</v>
      </c>
      <c r="Y193" s="4">
        <f>'D7 Gallon Forecast'!Y191</f>
        <v>0</v>
      </c>
      <c r="Z193" s="4">
        <f>'D7 Gallon Forecast'!Z191</f>
        <v>0</v>
      </c>
    </row>
    <row r="194" spans="1:26">
      <c r="A194" s="2" t="s">
        <v>54</v>
      </c>
      <c r="B194" s="3">
        <f>'Monthly D7 RIN Data'!$O15</f>
        <v>0</v>
      </c>
      <c r="C194" s="3">
        <f>'Monthly D7 RIN Data'!$O27</f>
        <v>0</v>
      </c>
      <c r="D194" s="3">
        <f>'Monthly D7 RIN Data'!$O39</f>
        <v>0</v>
      </c>
      <c r="E194" s="3">
        <f>'Monthly D7 RIN Data'!$O51</f>
        <v>0</v>
      </c>
      <c r="F194" s="3">
        <f>'Monthly D7 RIN Data'!$O63</f>
        <v>0</v>
      </c>
      <c r="G194" s="3">
        <f>'Monthly D7 RIN Data'!$O75</f>
        <v>0</v>
      </c>
      <c r="H194" s="3">
        <f>'Monthly D7 RIN Data'!$O87</f>
        <v>0</v>
      </c>
      <c r="I194" s="3">
        <f>'Monthly D7 RIN Data'!$O99</f>
        <v>0</v>
      </c>
      <c r="J194" s="3">
        <f>'Monthly D7 RIN Data'!$O111</f>
        <v>0</v>
      </c>
      <c r="K194" s="3">
        <f>'Monthly D7 RIN Data'!$O123</f>
        <v>0</v>
      </c>
      <c r="L194" s="3">
        <f>'Monthly D7 RIN Data'!$O135</f>
        <v>0</v>
      </c>
      <c r="M194" s="3">
        <f>'Monthly D7 RIN Data'!$O147</f>
        <v>0</v>
      </c>
      <c r="N194" s="3">
        <f>'Monthly D7 RIN Data'!$O159</f>
        <v>0</v>
      </c>
      <c r="O194" s="3">
        <f>'Monthly D7 RIN Data'!$O171</f>
        <v>0</v>
      </c>
      <c r="P194" s="3">
        <f>'Monthly D7 RIN Data'!$O183</f>
        <v>0</v>
      </c>
      <c r="Q194" s="4">
        <f>'D7 Gallon Forecast'!Q192</f>
        <v>0</v>
      </c>
      <c r="R194" s="4">
        <f>'D7 Gallon Forecast'!R192</f>
        <v>0</v>
      </c>
      <c r="S194" s="4">
        <f>'D7 Gallon Forecast'!S192</f>
        <v>0</v>
      </c>
      <c r="T194" s="4">
        <f>'D7 Gallon Forecast'!T192</f>
        <v>0</v>
      </c>
      <c r="U194" s="4">
        <f>'D7 Gallon Forecast'!U192</f>
        <v>0</v>
      </c>
      <c r="V194" s="4">
        <f>'D7 Gallon Forecast'!V192</f>
        <v>0</v>
      </c>
      <c r="W194" s="4">
        <f>'D7 Gallon Forecast'!W192</f>
        <v>0</v>
      </c>
      <c r="X194" s="4">
        <f>'D7 Gallon Forecast'!X192</f>
        <v>0</v>
      </c>
      <c r="Y194" s="4">
        <f>'D7 Gallon Forecast'!Y192</f>
        <v>0</v>
      </c>
      <c r="Z194" s="4">
        <f>'D7 Gallon Forecast'!Z192</f>
        <v>0</v>
      </c>
    </row>
    <row r="195" spans="1:26">
      <c r="A195" s="2" t="s">
        <v>29</v>
      </c>
      <c r="B195" s="3">
        <f t="shared" ref="B195:Z195" si="46">SUM(B183:B194)</f>
        <v>0</v>
      </c>
      <c r="C195" s="3">
        <f t="shared" si="46"/>
        <v>0</v>
      </c>
      <c r="D195" s="3">
        <f t="shared" si="46"/>
        <v>0</v>
      </c>
      <c r="E195" s="3">
        <f t="shared" si="46"/>
        <v>0</v>
      </c>
      <c r="F195" s="3">
        <f t="shared" si="46"/>
        <v>0</v>
      </c>
      <c r="G195" s="3">
        <f t="shared" si="46"/>
        <v>0</v>
      </c>
      <c r="H195" s="3">
        <f t="shared" si="46"/>
        <v>0</v>
      </c>
      <c r="I195" s="3">
        <f t="shared" si="46"/>
        <v>0</v>
      </c>
      <c r="J195" s="3">
        <f t="shared" si="46"/>
        <v>0</v>
      </c>
      <c r="K195" s="3">
        <f t="shared" si="46"/>
        <v>0</v>
      </c>
      <c r="L195" s="3">
        <f t="shared" si="46"/>
        <v>0</v>
      </c>
      <c r="M195" s="3">
        <f t="shared" si="46"/>
        <v>0</v>
      </c>
      <c r="N195" s="3">
        <f t="shared" si="46"/>
        <v>0</v>
      </c>
      <c r="O195" s="3">
        <f t="shared" si="46"/>
        <v>0</v>
      </c>
      <c r="P195" s="3">
        <f t="shared" si="46"/>
        <v>0</v>
      </c>
      <c r="Q195" s="4">
        <f t="shared" si="46"/>
        <v>0</v>
      </c>
      <c r="R195" s="4">
        <f t="shared" si="46"/>
        <v>0</v>
      </c>
      <c r="S195" s="4">
        <f t="shared" si="46"/>
        <v>0</v>
      </c>
      <c r="T195" s="4">
        <f t="shared" si="46"/>
        <v>0</v>
      </c>
      <c r="U195" s="4">
        <f t="shared" si="46"/>
        <v>0</v>
      </c>
      <c r="V195" s="4">
        <f t="shared" si="46"/>
        <v>0</v>
      </c>
      <c r="W195" s="4">
        <f t="shared" si="46"/>
        <v>0</v>
      </c>
      <c r="X195" s="4">
        <f t="shared" si="46"/>
        <v>0</v>
      </c>
      <c r="Y195" s="4">
        <f t="shared" si="46"/>
        <v>0</v>
      </c>
      <c r="Z195" s="4">
        <f t="shared" si="46"/>
        <v>0</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8717-F260-4E51-908A-F7F045CF1372}">
  <sheetPr>
    <tabColor theme="0" tint="-0.34998626667073579"/>
  </sheetPr>
  <dimension ref="A1:X186"/>
  <sheetViews>
    <sheetView zoomScaleNormal="100" workbookViewId="0">
      <pane xSplit="1" ySplit="3" topLeftCell="B163" activePane="bottomRight" state="frozen"/>
      <selection activeCell="A9" sqref="A9"/>
      <selection pane="topRight" activeCell="A9" sqref="A9"/>
      <selection pane="bottomLeft" activeCell="A9" sqref="A9"/>
      <selection pane="bottomRight" activeCell="A9" sqref="A9"/>
    </sheetView>
  </sheetViews>
  <sheetFormatPr defaultColWidth="8.85546875" defaultRowHeight="15"/>
  <cols>
    <col min="2" max="16" width="11.42578125" customWidth="1"/>
    <col min="17" max="23" width="8.85546875" style="3"/>
  </cols>
  <sheetData>
    <row r="1" spans="1:24" ht="18">
      <c r="B1" s="551" t="s">
        <v>562</v>
      </c>
      <c r="C1" s="552"/>
      <c r="D1" s="552"/>
      <c r="E1" s="552"/>
      <c r="F1" s="552"/>
      <c r="G1" s="552"/>
      <c r="H1" s="552"/>
      <c r="I1" s="552"/>
      <c r="J1" s="553"/>
      <c r="K1" s="555" t="s">
        <v>554</v>
      </c>
      <c r="L1" s="555"/>
      <c r="M1" s="555"/>
      <c r="N1" s="555"/>
      <c r="O1" s="555"/>
      <c r="P1" s="556"/>
      <c r="Q1" s="560" t="s">
        <v>275</v>
      </c>
      <c r="R1" s="560"/>
      <c r="S1" s="560"/>
      <c r="T1" s="560"/>
      <c r="U1" s="560"/>
      <c r="V1" s="560"/>
      <c r="W1" s="561"/>
      <c r="X1" s="78"/>
    </row>
    <row r="2" spans="1:24">
      <c r="B2" s="562" t="s">
        <v>538</v>
      </c>
      <c r="C2" s="500"/>
      <c r="D2" s="500"/>
      <c r="E2" s="502" t="s">
        <v>540</v>
      </c>
      <c r="F2" s="502"/>
      <c r="G2" s="502"/>
      <c r="H2" s="569" t="s">
        <v>555</v>
      </c>
      <c r="I2" s="569"/>
      <c r="J2" s="570"/>
      <c r="K2" s="599" t="s">
        <v>556</v>
      </c>
      <c r="L2" s="599"/>
      <c r="M2" s="599"/>
      <c r="N2" s="600" t="s">
        <v>557</v>
      </c>
      <c r="O2" s="600"/>
      <c r="P2" s="601"/>
      <c r="Q2" s="506" t="s">
        <v>538</v>
      </c>
      <c r="R2" s="506"/>
      <c r="S2" s="506"/>
      <c r="T2" s="507" t="s">
        <v>540</v>
      </c>
      <c r="U2" s="507"/>
      <c r="V2" s="507"/>
      <c r="W2" s="567" t="s">
        <v>553</v>
      </c>
    </row>
    <row r="3" spans="1:24" ht="39" thickBot="1">
      <c r="B3" s="367" t="s">
        <v>260</v>
      </c>
      <c r="C3" s="368" t="s">
        <v>261</v>
      </c>
      <c r="D3" s="368" t="s">
        <v>262</v>
      </c>
      <c r="E3" s="369" t="s">
        <v>260</v>
      </c>
      <c r="F3" s="369" t="s">
        <v>261</v>
      </c>
      <c r="G3" s="369" t="s">
        <v>262</v>
      </c>
      <c r="H3" s="373" t="s">
        <v>260</v>
      </c>
      <c r="I3" s="373" t="s">
        <v>261</v>
      </c>
      <c r="J3" s="374" t="s">
        <v>262</v>
      </c>
      <c r="K3" s="283" t="s">
        <v>412</v>
      </c>
      <c r="L3" s="283" t="s">
        <v>558</v>
      </c>
      <c r="M3" s="283" t="s">
        <v>262</v>
      </c>
      <c r="N3" s="472" t="s">
        <v>412</v>
      </c>
      <c r="O3" s="472" t="s">
        <v>558</v>
      </c>
      <c r="P3" s="473" t="s">
        <v>262</v>
      </c>
      <c r="Q3" s="167" t="s">
        <v>260</v>
      </c>
      <c r="R3" s="167" t="s">
        <v>261</v>
      </c>
      <c r="S3" s="167" t="s">
        <v>262</v>
      </c>
      <c r="T3" s="168" t="s">
        <v>260</v>
      </c>
      <c r="U3" s="168" t="s">
        <v>261</v>
      </c>
      <c r="V3" s="168" t="s">
        <v>262</v>
      </c>
      <c r="W3" s="567"/>
    </row>
    <row r="4" spans="1:24" ht="15.75" hidden="1" thickBot="1">
      <c r="A4" s="170">
        <v>40179</v>
      </c>
      <c r="B4" s="378">
        <f>M4</f>
        <v>0</v>
      </c>
      <c r="C4" s="3">
        <v>0</v>
      </c>
      <c r="D4" s="3">
        <f>C4+B4</f>
        <v>0</v>
      </c>
      <c r="E4" s="3">
        <f>M4</f>
        <v>0</v>
      </c>
      <c r="F4" s="3">
        <f>P4</f>
        <v>0</v>
      </c>
      <c r="G4" s="3">
        <f>F4+E4</f>
        <v>0</v>
      </c>
      <c r="H4" s="3">
        <f>B4+E4</f>
        <v>0</v>
      </c>
      <c r="I4" s="3">
        <f>C4+F4</f>
        <v>0</v>
      </c>
      <c r="J4" s="379">
        <f>I4+H4</f>
        <v>0</v>
      </c>
      <c r="K4" s="3">
        <v>0</v>
      </c>
      <c r="L4" s="3">
        <v>0</v>
      </c>
      <c r="M4" s="3">
        <f>L4+K4</f>
        <v>0</v>
      </c>
      <c r="N4" s="3">
        <v>0</v>
      </c>
      <c r="O4" s="3">
        <v>0</v>
      </c>
      <c r="P4" s="380">
        <f>O4+N4</f>
        <v>0</v>
      </c>
      <c r="Q4" s="3">
        <f>B4</f>
        <v>0</v>
      </c>
      <c r="R4" s="3">
        <f>C4</f>
        <v>0</v>
      </c>
      <c r="S4" s="3">
        <f>R4+Q4</f>
        <v>0</v>
      </c>
      <c r="T4" s="3">
        <f>E4</f>
        <v>0</v>
      </c>
      <c r="U4" s="3">
        <f>F4</f>
        <v>0</v>
      </c>
      <c r="V4" s="3">
        <f>U4+T4</f>
        <v>0</v>
      </c>
      <c r="W4" s="474">
        <f>V4+S4</f>
        <v>0</v>
      </c>
    </row>
    <row r="5" spans="1:24" ht="15.75" hidden="1" thickBot="1">
      <c r="A5" s="170">
        <v>40210</v>
      </c>
      <c r="B5" s="378">
        <f t="shared" ref="B5:B68" si="0">M5</f>
        <v>0</v>
      </c>
      <c r="C5" s="3">
        <v>0</v>
      </c>
      <c r="D5" s="3">
        <f t="shared" ref="D5:D68" si="1">C5+B5</f>
        <v>0</v>
      </c>
      <c r="E5" s="3">
        <v>0</v>
      </c>
      <c r="F5" s="3">
        <f t="shared" ref="F5:F68" si="2">P5</f>
        <v>0</v>
      </c>
      <c r="G5" s="3">
        <f t="shared" ref="G5:G68" si="3">F5+E5</f>
        <v>0</v>
      </c>
      <c r="H5" s="3">
        <f t="shared" ref="H5:I68" si="4">B5+E5</f>
        <v>0</v>
      </c>
      <c r="I5" s="3">
        <f t="shared" si="4"/>
        <v>0</v>
      </c>
      <c r="J5" s="379">
        <f t="shared" ref="J5:J68" si="5">I5+H5</f>
        <v>0</v>
      </c>
      <c r="K5" s="3">
        <v>0</v>
      </c>
      <c r="L5" s="3">
        <v>0</v>
      </c>
      <c r="M5" s="3">
        <f t="shared" ref="M5:M68" si="6">L5+K5</f>
        <v>0</v>
      </c>
      <c r="N5" s="3">
        <v>0</v>
      </c>
      <c r="O5" s="3">
        <v>0</v>
      </c>
      <c r="P5" s="380">
        <f t="shared" ref="P5:P68" si="7">O5+N5</f>
        <v>0</v>
      </c>
      <c r="Q5" s="3">
        <f>Q4+B5</f>
        <v>0</v>
      </c>
      <c r="R5" s="3">
        <f>R4+C5</f>
        <v>0</v>
      </c>
      <c r="S5" s="3">
        <f>R5+Q5</f>
        <v>0</v>
      </c>
      <c r="T5" s="3">
        <f>T4+E5</f>
        <v>0</v>
      </c>
      <c r="U5" s="3">
        <f>U4+F5</f>
        <v>0</v>
      </c>
      <c r="V5" s="3">
        <f>U5+T5</f>
        <v>0</v>
      </c>
      <c r="W5" s="474">
        <f>V5+S5</f>
        <v>0</v>
      </c>
    </row>
    <row r="6" spans="1:24" ht="15.75" hidden="1" thickBot="1">
      <c r="A6" s="170">
        <v>40238</v>
      </c>
      <c r="B6" s="378">
        <f t="shared" si="0"/>
        <v>0</v>
      </c>
      <c r="C6" s="3">
        <v>0</v>
      </c>
      <c r="D6" s="3">
        <f t="shared" si="1"/>
        <v>0</v>
      </c>
      <c r="E6" s="3">
        <v>0</v>
      </c>
      <c r="F6" s="3">
        <f t="shared" si="2"/>
        <v>0</v>
      </c>
      <c r="G6" s="3">
        <f t="shared" si="3"/>
        <v>0</v>
      </c>
      <c r="H6" s="3">
        <f t="shared" si="4"/>
        <v>0</v>
      </c>
      <c r="I6" s="3">
        <f t="shared" si="4"/>
        <v>0</v>
      </c>
      <c r="J6" s="379">
        <f t="shared" si="5"/>
        <v>0</v>
      </c>
      <c r="K6" s="3">
        <v>0</v>
      </c>
      <c r="L6" s="3">
        <v>0</v>
      </c>
      <c r="M6" s="3">
        <f t="shared" si="6"/>
        <v>0</v>
      </c>
      <c r="N6" s="3">
        <v>0</v>
      </c>
      <c r="O6" s="3">
        <v>0</v>
      </c>
      <c r="P6" s="380">
        <f t="shared" si="7"/>
        <v>0</v>
      </c>
      <c r="Q6" s="3">
        <f t="shared" ref="Q6:R15" si="8">Q5+B6</f>
        <v>0</v>
      </c>
      <c r="R6" s="3">
        <f t="shared" si="8"/>
        <v>0</v>
      </c>
      <c r="S6" s="3">
        <f t="shared" ref="S6:S15" si="9">R6+Q6</f>
        <v>0</v>
      </c>
      <c r="T6" s="3">
        <f t="shared" ref="T6:U15" si="10">T5+E6</f>
        <v>0</v>
      </c>
      <c r="U6" s="3">
        <f t="shared" si="10"/>
        <v>0</v>
      </c>
      <c r="V6" s="3">
        <f t="shared" ref="V6:V15" si="11">U6+T6</f>
        <v>0</v>
      </c>
      <c r="W6" s="474">
        <f t="shared" ref="W6:W15" si="12">V6+S6</f>
        <v>0</v>
      </c>
    </row>
    <row r="7" spans="1:24" ht="15.75" hidden="1" thickBot="1">
      <c r="A7" s="170">
        <v>40269</v>
      </c>
      <c r="B7" s="378">
        <f t="shared" si="0"/>
        <v>0</v>
      </c>
      <c r="C7" s="3">
        <v>0</v>
      </c>
      <c r="D7" s="3">
        <f t="shared" si="1"/>
        <v>0</v>
      </c>
      <c r="E7" s="3">
        <v>0</v>
      </c>
      <c r="F7" s="3">
        <f t="shared" si="2"/>
        <v>0</v>
      </c>
      <c r="G7" s="3">
        <f t="shared" si="3"/>
        <v>0</v>
      </c>
      <c r="H7" s="3">
        <f t="shared" si="4"/>
        <v>0</v>
      </c>
      <c r="I7" s="3">
        <f t="shared" si="4"/>
        <v>0</v>
      </c>
      <c r="J7" s="379">
        <f t="shared" si="5"/>
        <v>0</v>
      </c>
      <c r="K7" s="3">
        <v>0</v>
      </c>
      <c r="L7" s="3">
        <v>0</v>
      </c>
      <c r="M7" s="3">
        <f t="shared" si="6"/>
        <v>0</v>
      </c>
      <c r="N7" s="3">
        <v>0</v>
      </c>
      <c r="O7" s="3">
        <v>0</v>
      </c>
      <c r="P7" s="380">
        <f t="shared" si="7"/>
        <v>0</v>
      </c>
      <c r="Q7" s="3">
        <f t="shared" si="8"/>
        <v>0</v>
      </c>
      <c r="R7" s="3">
        <f t="shared" si="8"/>
        <v>0</v>
      </c>
      <c r="S7" s="3">
        <f t="shared" si="9"/>
        <v>0</v>
      </c>
      <c r="T7" s="3">
        <f t="shared" si="10"/>
        <v>0</v>
      </c>
      <c r="U7" s="3">
        <f t="shared" si="10"/>
        <v>0</v>
      </c>
      <c r="V7" s="3">
        <f t="shared" si="11"/>
        <v>0</v>
      </c>
      <c r="W7" s="474">
        <f t="shared" si="12"/>
        <v>0</v>
      </c>
    </row>
    <row r="8" spans="1:24" ht="15.75" hidden="1" thickBot="1">
      <c r="A8" s="170">
        <v>40299</v>
      </c>
      <c r="B8" s="378">
        <f t="shared" si="0"/>
        <v>0</v>
      </c>
      <c r="C8" s="3">
        <v>0</v>
      </c>
      <c r="D8" s="3">
        <f t="shared" si="1"/>
        <v>0</v>
      </c>
      <c r="E8" s="3">
        <v>0</v>
      </c>
      <c r="F8" s="3">
        <f t="shared" si="2"/>
        <v>0</v>
      </c>
      <c r="G8" s="3">
        <f t="shared" si="3"/>
        <v>0</v>
      </c>
      <c r="H8" s="3">
        <f t="shared" si="4"/>
        <v>0</v>
      </c>
      <c r="I8" s="3">
        <f t="shared" si="4"/>
        <v>0</v>
      </c>
      <c r="J8" s="379">
        <f t="shared" si="5"/>
        <v>0</v>
      </c>
      <c r="K8" s="3">
        <v>0</v>
      </c>
      <c r="L8" s="3">
        <v>0</v>
      </c>
      <c r="M8" s="3">
        <f t="shared" si="6"/>
        <v>0</v>
      </c>
      <c r="N8" s="3">
        <v>0</v>
      </c>
      <c r="O8" s="3">
        <v>0</v>
      </c>
      <c r="P8" s="380">
        <f t="shared" si="7"/>
        <v>0</v>
      </c>
      <c r="Q8" s="3">
        <f t="shared" si="8"/>
        <v>0</v>
      </c>
      <c r="R8" s="3">
        <f t="shared" si="8"/>
        <v>0</v>
      </c>
      <c r="S8" s="3">
        <f t="shared" si="9"/>
        <v>0</v>
      </c>
      <c r="T8" s="3">
        <f t="shared" si="10"/>
        <v>0</v>
      </c>
      <c r="U8" s="3">
        <f t="shared" si="10"/>
        <v>0</v>
      </c>
      <c r="V8" s="3">
        <f t="shared" si="11"/>
        <v>0</v>
      </c>
      <c r="W8" s="474">
        <f t="shared" si="12"/>
        <v>0</v>
      </c>
    </row>
    <row r="9" spans="1:24" ht="15.75" hidden="1" thickBot="1">
      <c r="A9" s="170">
        <v>40330</v>
      </c>
      <c r="B9" s="378">
        <f t="shared" si="0"/>
        <v>0</v>
      </c>
      <c r="C9" s="3">
        <v>0</v>
      </c>
      <c r="D9" s="3">
        <f t="shared" si="1"/>
        <v>0</v>
      </c>
      <c r="E9" s="3">
        <v>0</v>
      </c>
      <c r="F9" s="3">
        <f t="shared" si="2"/>
        <v>0</v>
      </c>
      <c r="G9" s="3">
        <f t="shared" si="3"/>
        <v>0</v>
      </c>
      <c r="H9" s="3">
        <f t="shared" si="4"/>
        <v>0</v>
      </c>
      <c r="I9" s="3">
        <f t="shared" si="4"/>
        <v>0</v>
      </c>
      <c r="J9" s="379">
        <f t="shared" si="5"/>
        <v>0</v>
      </c>
      <c r="K9" s="3">
        <v>0</v>
      </c>
      <c r="L9" s="3">
        <v>0</v>
      </c>
      <c r="M9" s="3">
        <f t="shared" si="6"/>
        <v>0</v>
      </c>
      <c r="N9" s="3">
        <v>0</v>
      </c>
      <c r="O9" s="3">
        <v>0</v>
      </c>
      <c r="P9" s="380">
        <f t="shared" si="7"/>
        <v>0</v>
      </c>
      <c r="Q9" s="3">
        <f t="shared" si="8"/>
        <v>0</v>
      </c>
      <c r="R9" s="3">
        <f t="shared" si="8"/>
        <v>0</v>
      </c>
      <c r="S9" s="3">
        <f t="shared" si="9"/>
        <v>0</v>
      </c>
      <c r="T9" s="3">
        <f t="shared" si="10"/>
        <v>0</v>
      </c>
      <c r="U9" s="3">
        <f t="shared" si="10"/>
        <v>0</v>
      </c>
      <c r="V9" s="3">
        <f t="shared" si="11"/>
        <v>0</v>
      </c>
      <c r="W9" s="474">
        <f t="shared" si="12"/>
        <v>0</v>
      </c>
    </row>
    <row r="10" spans="1:24" ht="15.75" hidden="1" thickBot="1">
      <c r="A10" s="170">
        <v>40360</v>
      </c>
      <c r="B10" s="378">
        <f t="shared" si="0"/>
        <v>0</v>
      </c>
      <c r="C10" s="3">
        <v>0</v>
      </c>
      <c r="D10" s="3">
        <f t="shared" si="1"/>
        <v>0</v>
      </c>
      <c r="E10" s="3">
        <v>0</v>
      </c>
      <c r="F10" s="3">
        <f t="shared" si="2"/>
        <v>0</v>
      </c>
      <c r="G10" s="3">
        <f t="shared" si="3"/>
        <v>0</v>
      </c>
      <c r="H10" s="3">
        <f t="shared" si="4"/>
        <v>0</v>
      </c>
      <c r="I10" s="3">
        <f t="shared" si="4"/>
        <v>0</v>
      </c>
      <c r="J10" s="379">
        <f t="shared" si="5"/>
        <v>0</v>
      </c>
      <c r="K10" s="3">
        <v>0</v>
      </c>
      <c r="L10" s="3">
        <v>0</v>
      </c>
      <c r="M10" s="3">
        <f t="shared" si="6"/>
        <v>0</v>
      </c>
      <c r="N10" s="3">
        <v>0</v>
      </c>
      <c r="O10" s="3">
        <v>0</v>
      </c>
      <c r="P10" s="380">
        <f t="shared" si="7"/>
        <v>0</v>
      </c>
      <c r="Q10" s="3">
        <f t="shared" si="8"/>
        <v>0</v>
      </c>
      <c r="R10" s="3">
        <f t="shared" si="8"/>
        <v>0</v>
      </c>
      <c r="S10" s="3">
        <f t="shared" si="9"/>
        <v>0</v>
      </c>
      <c r="T10" s="3">
        <f t="shared" si="10"/>
        <v>0</v>
      </c>
      <c r="U10" s="3">
        <f t="shared" si="10"/>
        <v>0</v>
      </c>
      <c r="V10" s="3">
        <f t="shared" si="11"/>
        <v>0</v>
      </c>
      <c r="W10" s="474">
        <f t="shared" si="12"/>
        <v>0</v>
      </c>
    </row>
    <row r="11" spans="1:24" ht="15.75" hidden="1" thickBot="1">
      <c r="A11" s="170">
        <v>40391</v>
      </c>
      <c r="B11" s="378">
        <f t="shared" si="0"/>
        <v>0</v>
      </c>
      <c r="C11" s="3">
        <v>0</v>
      </c>
      <c r="D11" s="3">
        <f t="shared" si="1"/>
        <v>0</v>
      </c>
      <c r="E11" s="3">
        <v>0</v>
      </c>
      <c r="F11" s="3">
        <f t="shared" si="2"/>
        <v>0</v>
      </c>
      <c r="G11" s="3">
        <f t="shared" si="3"/>
        <v>0</v>
      </c>
      <c r="H11" s="3">
        <f t="shared" si="4"/>
        <v>0</v>
      </c>
      <c r="I11" s="3">
        <f t="shared" si="4"/>
        <v>0</v>
      </c>
      <c r="J11" s="379">
        <f t="shared" si="5"/>
        <v>0</v>
      </c>
      <c r="K11" s="3">
        <v>0</v>
      </c>
      <c r="L11" s="3">
        <v>0</v>
      </c>
      <c r="M11" s="3">
        <f t="shared" si="6"/>
        <v>0</v>
      </c>
      <c r="N11" s="3">
        <v>0</v>
      </c>
      <c r="O11" s="3">
        <v>0</v>
      </c>
      <c r="P11" s="380">
        <f t="shared" si="7"/>
        <v>0</v>
      </c>
      <c r="Q11" s="3">
        <f t="shared" si="8"/>
        <v>0</v>
      </c>
      <c r="R11" s="3">
        <f t="shared" si="8"/>
        <v>0</v>
      </c>
      <c r="S11" s="3">
        <f t="shared" si="9"/>
        <v>0</v>
      </c>
      <c r="T11" s="3">
        <f t="shared" si="10"/>
        <v>0</v>
      </c>
      <c r="U11" s="3">
        <f t="shared" si="10"/>
        <v>0</v>
      </c>
      <c r="V11" s="3">
        <f t="shared" si="11"/>
        <v>0</v>
      </c>
      <c r="W11" s="474">
        <f t="shared" si="12"/>
        <v>0</v>
      </c>
    </row>
    <row r="12" spans="1:24" ht="15.75" hidden="1" thickBot="1">
      <c r="A12" s="170">
        <v>40422</v>
      </c>
      <c r="B12" s="378">
        <f t="shared" si="0"/>
        <v>0</v>
      </c>
      <c r="C12" s="3">
        <v>0</v>
      </c>
      <c r="D12" s="3">
        <f t="shared" si="1"/>
        <v>0</v>
      </c>
      <c r="E12" s="3">
        <v>0</v>
      </c>
      <c r="F12" s="3">
        <f t="shared" si="2"/>
        <v>0</v>
      </c>
      <c r="G12" s="3">
        <f t="shared" si="3"/>
        <v>0</v>
      </c>
      <c r="H12" s="3">
        <f t="shared" si="4"/>
        <v>0</v>
      </c>
      <c r="I12" s="3">
        <f t="shared" si="4"/>
        <v>0</v>
      </c>
      <c r="J12" s="379">
        <f t="shared" si="5"/>
        <v>0</v>
      </c>
      <c r="K12" s="3">
        <v>0</v>
      </c>
      <c r="L12" s="3">
        <v>0</v>
      </c>
      <c r="M12" s="3">
        <f t="shared" si="6"/>
        <v>0</v>
      </c>
      <c r="N12" s="3">
        <v>0</v>
      </c>
      <c r="O12" s="3">
        <v>0</v>
      </c>
      <c r="P12" s="380">
        <f t="shared" si="7"/>
        <v>0</v>
      </c>
      <c r="Q12" s="3">
        <f t="shared" si="8"/>
        <v>0</v>
      </c>
      <c r="R12" s="3">
        <f t="shared" si="8"/>
        <v>0</v>
      </c>
      <c r="S12" s="3">
        <f t="shared" si="9"/>
        <v>0</v>
      </c>
      <c r="T12" s="3">
        <f t="shared" si="10"/>
        <v>0</v>
      </c>
      <c r="U12" s="3">
        <f t="shared" si="10"/>
        <v>0</v>
      </c>
      <c r="V12" s="3">
        <f t="shared" si="11"/>
        <v>0</v>
      </c>
      <c r="W12" s="474">
        <f t="shared" si="12"/>
        <v>0</v>
      </c>
    </row>
    <row r="13" spans="1:24" ht="15.75" hidden="1" thickBot="1">
      <c r="A13" s="170">
        <v>40452</v>
      </c>
      <c r="B13" s="378">
        <f t="shared" si="0"/>
        <v>0</v>
      </c>
      <c r="C13" s="3">
        <v>0</v>
      </c>
      <c r="D13" s="3">
        <f t="shared" si="1"/>
        <v>0</v>
      </c>
      <c r="E13" s="3">
        <v>0</v>
      </c>
      <c r="F13" s="3">
        <f t="shared" si="2"/>
        <v>0</v>
      </c>
      <c r="G13" s="3">
        <f t="shared" si="3"/>
        <v>0</v>
      </c>
      <c r="H13" s="3">
        <f t="shared" si="4"/>
        <v>0</v>
      </c>
      <c r="I13" s="3">
        <f t="shared" si="4"/>
        <v>0</v>
      </c>
      <c r="J13" s="379">
        <f t="shared" si="5"/>
        <v>0</v>
      </c>
      <c r="K13" s="3">
        <v>0</v>
      </c>
      <c r="L13" s="3">
        <v>0</v>
      </c>
      <c r="M13" s="3">
        <f t="shared" si="6"/>
        <v>0</v>
      </c>
      <c r="N13" s="3">
        <v>0</v>
      </c>
      <c r="O13" s="3">
        <v>0</v>
      </c>
      <c r="P13" s="380">
        <f t="shared" si="7"/>
        <v>0</v>
      </c>
      <c r="Q13" s="3">
        <f t="shared" si="8"/>
        <v>0</v>
      </c>
      <c r="R13" s="3">
        <f t="shared" si="8"/>
        <v>0</v>
      </c>
      <c r="S13" s="3">
        <f t="shared" si="9"/>
        <v>0</v>
      </c>
      <c r="T13" s="3">
        <f t="shared" si="10"/>
        <v>0</v>
      </c>
      <c r="U13" s="3">
        <f t="shared" si="10"/>
        <v>0</v>
      </c>
      <c r="V13" s="3">
        <f t="shared" si="11"/>
        <v>0</v>
      </c>
      <c r="W13" s="474">
        <f t="shared" si="12"/>
        <v>0</v>
      </c>
    </row>
    <row r="14" spans="1:24" ht="15.75" hidden="1" thickBot="1">
      <c r="A14" s="170">
        <v>40483</v>
      </c>
      <c r="B14" s="378">
        <f t="shared" si="0"/>
        <v>0</v>
      </c>
      <c r="C14" s="3">
        <v>0</v>
      </c>
      <c r="D14" s="3">
        <f t="shared" si="1"/>
        <v>0</v>
      </c>
      <c r="E14" s="3">
        <v>0</v>
      </c>
      <c r="F14" s="3">
        <f t="shared" si="2"/>
        <v>0</v>
      </c>
      <c r="G14" s="3">
        <f t="shared" si="3"/>
        <v>0</v>
      </c>
      <c r="H14" s="3">
        <f t="shared" si="4"/>
        <v>0</v>
      </c>
      <c r="I14" s="3">
        <f t="shared" si="4"/>
        <v>0</v>
      </c>
      <c r="J14" s="379">
        <f t="shared" si="5"/>
        <v>0</v>
      </c>
      <c r="K14" s="3">
        <v>0</v>
      </c>
      <c r="L14" s="3">
        <v>0</v>
      </c>
      <c r="M14" s="3">
        <f t="shared" si="6"/>
        <v>0</v>
      </c>
      <c r="N14" s="3">
        <v>0</v>
      </c>
      <c r="O14" s="3">
        <v>0</v>
      </c>
      <c r="P14" s="380">
        <f t="shared" si="7"/>
        <v>0</v>
      </c>
      <c r="Q14" s="3">
        <f t="shared" si="8"/>
        <v>0</v>
      </c>
      <c r="R14" s="3">
        <f t="shared" si="8"/>
        <v>0</v>
      </c>
      <c r="S14" s="3">
        <f t="shared" si="9"/>
        <v>0</v>
      </c>
      <c r="T14" s="3">
        <f t="shared" si="10"/>
        <v>0</v>
      </c>
      <c r="U14" s="3">
        <f t="shared" si="10"/>
        <v>0</v>
      </c>
      <c r="V14" s="3">
        <f t="shared" si="11"/>
        <v>0</v>
      </c>
      <c r="W14" s="474">
        <f t="shared" si="12"/>
        <v>0</v>
      </c>
    </row>
    <row r="15" spans="1:24" ht="15.75" hidden="1" thickBot="1">
      <c r="A15" s="170">
        <v>40513</v>
      </c>
      <c r="B15" s="378">
        <f t="shared" si="0"/>
        <v>0</v>
      </c>
      <c r="C15" s="3">
        <v>0</v>
      </c>
      <c r="D15" s="3">
        <f t="shared" si="1"/>
        <v>0</v>
      </c>
      <c r="E15" s="3">
        <v>0</v>
      </c>
      <c r="F15" s="3">
        <f t="shared" si="2"/>
        <v>0</v>
      </c>
      <c r="G15" s="3">
        <f t="shared" si="3"/>
        <v>0</v>
      </c>
      <c r="H15" s="3">
        <f t="shared" si="4"/>
        <v>0</v>
      </c>
      <c r="I15" s="3">
        <f t="shared" si="4"/>
        <v>0</v>
      </c>
      <c r="J15" s="379">
        <f t="shared" si="5"/>
        <v>0</v>
      </c>
      <c r="K15" s="3">
        <v>0</v>
      </c>
      <c r="L15" s="3">
        <v>0</v>
      </c>
      <c r="M15" s="3">
        <f t="shared" si="6"/>
        <v>0</v>
      </c>
      <c r="N15" s="3">
        <v>0</v>
      </c>
      <c r="O15" s="3">
        <v>0</v>
      </c>
      <c r="P15" s="380">
        <f t="shared" si="7"/>
        <v>0</v>
      </c>
      <c r="Q15" s="3">
        <f t="shared" si="8"/>
        <v>0</v>
      </c>
      <c r="R15" s="3">
        <f t="shared" si="8"/>
        <v>0</v>
      </c>
      <c r="S15" s="3">
        <f t="shared" si="9"/>
        <v>0</v>
      </c>
      <c r="T15" s="3">
        <f t="shared" si="10"/>
        <v>0</v>
      </c>
      <c r="U15" s="3">
        <f t="shared" si="10"/>
        <v>0</v>
      </c>
      <c r="V15" s="3">
        <f t="shared" si="11"/>
        <v>0</v>
      </c>
      <c r="W15" s="474">
        <f t="shared" si="12"/>
        <v>0</v>
      </c>
    </row>
    <row r="16" spans="1:24" ht="15.75" hidden="1" thickBot="1">
      <c r="A16" s="171">
        <v>40544</v>
      </c>
      <c r="B16" s="385">
        <f t="shared" si="0"/>
        <v>0</v>
      </c>
      <c r="C16" s="104">
        <v>0</v>
      </c>
      <c r="D16" s="104">
        <f t="shared" si="1"/>
        <v>0</v>
      </c>
      <c r="E16" s="104">
        <v>0</v>
      </c>
      <c r="F16" s="104">
        <f t="shared" si="2"/>
        <v>0</v>
      </c>
      <c r="G16" s="104">
        <f t="shared" si="3"/>
        <v>0</v>
      </c>
      <c r="H16" s="104">
        <f t="shared" si="4"/>
        <v>0</v>
      </c>
      <c r="I16" s="104">
        <f t="shared" si="4"/>
        <v>0</v>
      </c>
      <c r="J16" s="386">
        <f t="shared" si="5"/>
        <v>0</v>
      </c>
      <c r="K16" s="104">
        <v>0</v>
      </c>
      <c r="L16" s="104">
        <v>0</v>
      </c>
      <c r="M16" s="104">
        <f t="shared" si="6"/>
        <v>0</v>
      </c>
      <c r="N16" s="104">
        <v>0</v>
      </c>
      <c r="O16" s="104">
        <v>0</v>
      </c>
      <c r="P16" s="387">
        <f t="shared" si="7"/>
        <v>0</v>
      </c>
      <c r="Q16" s="104">
        <f>B16</f>
        <v>0</v>
      </c>
      <c r="R16" s="104">
        <f>C16</f>
        <v>0</v>
      </c>
      <c r="S16" s="104">
        <f>R16+Q16</f>
        <v>0</v>
      </c>
      <c r="T16" s="104">
        <f>E16</f>
        <v>0</v>
      </c>
      <c r="U16" s="104">
        <f>F16</f>
        <v>0</v>
      </c>
      <c r="V16" s="104">
        <f>U16+T16</f>
        <v>0</v>
      </c>
      <c r="W16" s="475">
        <f>V16+S16</f>
        <v>0</v>
      </c>
    </row>
    <row r="17" spans="1:23" ht="15.75" hidden="1" thickBot="1">
      <c r="A17" s="170">
        <v>40575</v>
      </c>
      <c r="B17" s="378">
        <f t="shared" si="0"/>
        <v>0</v>
      </c>
      <c r="C17" s="3">
        <v>0</v>
      </c>
      <c r="D17" s="3">
        <f t="shared" si="1"/>
        <v>0</v>
      </c>
      <c r="E17" s="3">
        <v>0</v>
      </c>
      <c r="F17" s="3">
        <f t="shared" si="2"/>
        <v>0</v>
      </c>
      <c r="G17" s="3">
        <f t="shared" si="3"/>
        <v>0</v>
      </c>
      <c r="H17" s="3">
        <f t="shared" si="4"/>
        <v>0</v>
      </c>
      <c r="I17" s="3">
        <f t="shared" si="4"/>
        <v>0</v>
      </c>
      <c r="J17" s="379">
        <f t="shared" si="5"/>
        <v>0</v>
      </c>
      <c r="K17" s="3">
        <v>0</v>
      </c>
      <c r="L17" s="3">
        <v>0</v>
      </c>
      <c r="M17" s="3">
        <f t="shared" si="6"/>
        <v>0</v>
      </c>
      <c r="N17" s="3">
        <v>0</v>
      </c>
      <c r="O17" s="3">
        <v>0</v>
      </c>
      <c r="P17" s="380">
        <f t="shared" si="7"/>
        <v>0</v>
      </c>
      <c r="Q17" s="3">
        <f>Q16+B17</f>
        <v>0</v>
      </c>
      <c r="R17" s="3">
        <f>R16+C17</f>
        <v>0</v>
      </c>
      <c r="S17" s="3">
        <f>R17+Q17</f>
        <v>0</v>
      </c>
      <c r="T17" s="3">
        <f>T16+E17</f>
        <v>0</v>
      </c>
      <c r="U17" s="3">
        <f>U16+F17</f>
        <v>0</v>
      </c>
      <c r="V17" s="3">
        <f>U17+T17</f>
        <v>0</v>
      </c>
      <c r="W17" s="474">
        <f>V17+S17</f>
        <v>0</v>
      </c>
    </row>
    <row r="18" spans="1:23" ht="15.75" hidden="1" thickBot="1">
      <c r="A18" s="170">
        <v>40603</v>
      </c>
      <c r="B18" s="378">
        <f t="shared" si="0"/>
        <v>0</v>
      </c>
      <c r="C18" s="3">
        <v>0</v>
      </c>
      <c r="D18" s="3">
        <f t="shared" si="1"/>
        <v>0</v>
      </c>
      <c r="E18" s="3">
        <v>0</v>
      </c>
      <c r="F18" s="3">
        <f t="shared" si="2"/>
        <v>0</v>
      </c>
      <c r="G18" s="3">
        <f t="shared" si="3"/>
        <v>0</v>
      </c>
      <c r="H18" s="3">
        <f t="shared" si="4"/>
        <v>0</v>
      </c>
      <c r="I18" s="3">
        <f t="shared" si="4"/>
        <v>0</v>
      </c>
      <c r="J18" s="379">
        <f t="shared" si="5"/>
        <v>0</v>
      </c>
      <c r="K18" s="3">
        <v>0</v>
      </c>
      <c r="L18" s="3">
        <v>0</v>
      </c>
      <c r="M18" s="3">
        <f t="shared" si="6"/>
        <v>0</v>
      </c>
      <c r="N18" s="3">
        <v>0</v>
      </c>
      <c r="O18" s="3">
        <v>0</v>
      </c>
      <c r="P18" s="380">
        <f t="shared" si="7"/>
        <v>0</v>
      </c>
      <c r="Q18" s="3">
        <f t="shared" ref="Q18:R27" si="13">Q17+B18</f>
        <v>0</v>
      </c>
      <c r="R18" s="3">
        <f t="shared" si="13"/>
        <v>0</v>
      </c>
      <c r="S18" s="3">
        <f t="shared" ref="S18:S27" si="14">R18+Q18</f>
        <v>0</v>
      </c>
      <c r="T18" s="3">
        <f t="shared" ref="T18:U27" si="15">T17+E18</f>
        <v>0</v>
      </c>
      <c r="U18" s="3">
        <f t="shared" si="15"/>
        <v>0</v>
      </c>
      <c r="V18" s="3">
        <f t="shared" ref="V18:V27" si="16">U18+T18</f>
        <v>0</v>
      </c>
      <c r="W18" s="474">
        <f t="shared" ref="W18:W27" si="17">V18+S18</f>
        <v>0</v>
      </c>
    </row>
    <row r="19" spans="1:23" ht="15.75" hidden="1" thickBot="1">
      <c r="A19" s="170">
        <v>40634</v>
      </c>
      <c r="B19" s="378">
        <f t="shared" si="0"/>
        <v>0</v>
      </c>
      <c r="C19" s="3">
        <v>0</v>
      </c>
      <c r="D19" s="3">
        <f t="shared" si="1"/>
        <v>0</v>
      </c>
      <c r="E19" s="3">
        <v>0</v>
      </c>
      <c r="F19" s="3">
        <f t="shared" si="2"/>
        <v>0</v>
      </c>
      <c r="G19" s="3">
        <f t="shared" si="3"/>
        <v>0</v>
      </c>
      <c r="H19" s="3">
        <f t="shared" si="4"/>
        <v>0</v>
      </c>
      <c r="I19" s="3">
        <f t="shared" si="4"/>
        <v>0</v>
      </c>
      <c r="J19" s="379">
        <f t="shared" si="5"/>
        <v>0</v>
      </c>
      <c r="K19" s="3">
        <v>0</v>
      </c>
      <c r="L19" s="3">
        <v>0</v>
      </c>
      <c r="M19" s="3">
        <f t="shared" si="6"/>
        <v>0</v>
      </c>
      <c r="N19" s="3">
        <v>0</v>
      </c>
      <c r="O19" s="3">
        <v>0</v>
      </c>
      <c r="P19" s="380">
        <f t="shared" si="7"/>
        <v>0</v>
      </c>
      <c r="Q19" s="3">
        <f t="shared" si="13"/>
        <v>0</v>
      </c>
      <c r="R19" s="3">
        <f t="shared" si="13"/>
        <v>0</v>
      </c>
      <c r="S19" s="3">
        <f t="shared" si="14"/>
        <v>0</v>
      </c>
      <c r="T19" s="3">
        <f t="shared" si="15"/>
        <v>0</v>
      </c>
      <c r="U19" s="3">
        <f t="shared" si="15"/>
        <v>0</v>
      </c>
      <c r="V19" s="3">
        <f t="shared" si="16"/>
        <v>0</v>
      </c>
      <c r="W19" s="474">
        <f t="shared" si="17"/>
        <v>0</v>
      </c>
    </row>
    <row r="20" spans="1:23" ht="15.75" hidden="1" thickBot="1">
      <c r="A20" s="170">
        <v>40664</v>
      </c>
      <c r="B20" s="378">
        <f t="shared" si="0"/>
        <v>0</v>
      </c>
      <c r="C20" s="3">
        <v>0</v>
      </c>
      <c r="D20" s="3">
        <f t="shared" si="1"/>
        <v>0</v>
      </c>
      <c r="E20" s="3">
        <v>0</v>
      </c>
      <c r="F20" s="3">
        <f t="shared" si="2"/>
        <v>0</v>
      </c>
      <c r="G20" s="3">
        <f t="shared" si="3"/>
        <v>0</v>
      </c>
      <c r="H20" s="3">
        <f t="shared" si="4"/>
        <v>0</v>
      </c>
      <c r="I20" s="3">
        <f t="shared" si="4"/>
        <v>0</v>
      </c>
      <c r="J20" s="379">
        <f t="shared" si="5"/>
        <v>0</v>
      </c>
      <c r="K20" s="3">
        <v>0</v>
      </c>
      <c r="L20" s="3">
        <v>0</v>
      </c>
      <c r="M20" s="3">
        <f t="shared" si="6"/>
        <v>0</v>
      </c>
      <c r="N20" s="3">
        <v>0</v>
      </c>
      <c r="O20" s="3">
        <v>0</v>
      </c>
      <c r="P20" s="380">
        <f t="shared" si="7"/>
        <v>0</v>
      </c>
      <c r="Q20" s="3">
        <f t="shared" si="13"/>
        <v>0</v>
      </c>
      <c r="R20" s="3">
        <f t="shared" si="13"/>
        <v>0</v>
      </c>
      <c r="S20" s="3">
        <f t="shared" si="14"/>
        <v>0</v>
      </c>
      <c r="T20" s="3">
        <f t="shared" si="15"/>
        <v>0</v>
      </c>
      <c r="U20" s="3">
        <f t="shared" si="15"/>
        <v>0</v>
      </c>
      <c r="V20" s="3">
        <f t="shared" si="16"/>
        <v>0</v>
      </c>
      <c r="W20" s="474">
        <f t="shared" si="17"/>
        <v>0</v>
      </c>
    </row>
    <row r="21" spans="1:23" ht="15.75" hidden="1" thickBot="1">
      <c r="A21" s="170">
        <v>40695</v>
      </c>
      <c r="B21" s="378">
        <f t="shared" si="0"/>
        <v>0</v>
      </c>
      <c r="C21" s="3">
        <v>0</v>
      </c>
      <c r="D21" s="3">
        <f t="shared" si="1"/>
        <v>0</v>
      </c>
      <c r="E21" s="3">
        <v>0</v>
      </c>
      <c r="F21" s="3">
        <f t="shared" si="2"/>
        <v>0</v>
      </c>
      <c r="G21" s="3">
        <f t="shared" si="3"/>
        <v>0</v>
      </c>
      <c r="H21" s="3">
        <f t="shared" si="4"/>
        <v>0</v>
      </c>
      <c r="I21" s="3">
        <f t="shared" si="4"/>
        <v>0</v>
      </c>
      <c r="J21" s="379">
        <f t="shared" si="5"/>
        <v>0</v>
      </c>
      <c r="K21" s="3">
        <v>0</v>
      </c>
      <c r="L21" s="3">
        <v>0</v>
      </c>
      <c r="M21" s="3">
        <f t="shared" si="6"/>
        <v>0</v>
      </c>
      <c r="N21" s="3">
        <v>0</v>
      </c>
      <c r="O21" s="3">
        <v>0</v>
      </c>
      <c r="P21" s="380">
        <f t="shared" si="7"/>
        <v>0</v>
      </c>
      <c r="Q21" s="3">
        <f t="shared" si="13"/>
        <v>0</v>
      </c>
      <c r="R21" s="3">
        <f t="shared" si="13"/>
        <v>0</v>
      </c>
      <c r="S21" s="3">
        <f t="shared" si="14"/>
        <v>0</v>
      </c>
      <c r="T21" s="3">
        <f t="shared" si="15"/>
        <v>0</v>
      </c>
      <c r="U21" s="3">
        <f t="shared" si="15"/>
        <v>0</v>
      </c>
      <c r="V21" s="3">
        <f t="shared" si="16"/>
        <v>0</v>
      </c>
      <c r="W21" s="474">
        <f t="shared" si="17"/>
        <v>0</v>
      </c>
    </row>
    <row r="22" spans="1:23" ht="15.75" hidden="1" thickBot="1">
      <c r="A22" s="170">
        <v>40725</v>
      </c>
      <c r="B22" s="378">
        <f t="shared" si="0"/>
        <v>0</v>
      </c>
      <c r="C22" s="3">
        <v>0</v>
      </c>
      <c r="D22" s="3">
        <f t="shared" si="1"/>
        <v>0</v>
      </c>
      <c r="E22" s="3">
        <v>0</v>
      </c>
      <c r="F22" s="3">
        <f t="shared" si="2"/>
        <v>0</v>
      </c>
      <c r="G22" s="3">
        <f t="shared" si="3"/>
        <v>0</v>
      </c>
      <c r="H22" s="3">
        <f t="shared" si="4"/>
        <v>0</v>
      </c>
      <c r="I22" s="3">
        <f t="shared" si="4"/>
        <v>0</v>
      </c>
      <c r="J22" s="379">
        <f t="shared" si="5"/>
        <v>0</v>
      </c>
      <c r="K22" s="3">
        <v>0</v>
      </c>
      <c r="L22" s="3">
        <v>0</v>
      </c>
      <c r="M22" s="3">
        <f t="shared" si="6"/>
        <v>0</v>
      </c>
      <c r="N22" s="3">
        <v>0</v>
      </c>
      <c r="O22" s="3">
        <v>0</v>
      </c>
      <c r="P22" s="380">
        <f t="shared" si="7"/>
        <v>0</v>
      </c>
      <c r="Q22" s="3">
        <f t="shared" si="13"/>
        <v>0</v>
      </c>
      <c r="R22" s="3">
        <f t="shared" si="13"/>
        <v>0</v>
      </c>
      <c r="S22" s="3">
        <f t="shared" si="14"/>
        <v>0</v>
      </c>
      <c r="T22" s="3">
        <f t="shared" si="15"/>
        <v>0</v>
      </c>
      <c r="U22" s="3">
        <f t="shared" si="15"/>
        <v>0</v>
      </c>
      <c r="V22" s="3">
        <f t="shared" si="16"/>
        <v>0</v>
      </c>
      <c r="W22" s="474">
        <f t="shared" si="17"/>
        <v>0</v>
      </c>
    </row>
    <row r="23" spans="1:23" ht="15.75" hidden="1" thickBot="1">
      <c r="A23" s="170">
        <v>40756</v>
      </c>
      <c r="B23" s="378">
        <f t="shared" si="0"/>
        <v>0</v>
      </c>
      <c r="C23" s="3">
        <v>0</v>
      </c>
      <c r="D23" s="3">
        <f t="shared" si="1"/>
        <v>0</v>
      </c>
      <c r="E23" s="3">
        <v>0</v>
      </c>
      <c r="F23" s="3">
        <f t="shared" si="2"/>
        <v>0</v>
      </c>
      <c r="G23" s="3">
        <f t="shared" si="3"/>
        <v>0</v>
      </c>
      <c r="H23" s="3">
        <f t="shared" si="4"/>
        <v>0</v>
      </c>
      <c r="I23" s="3">
        <f t="shared" si="4"/>
        <v>0</v>
      </c>
      <c r="J23" s="379">
        <f t="shared" si="5"/>
        <v>0</v>
      </c>
      <c r="K23" s="3">
        <v>0</v>
      </c>
      <c r="L23" s="3">
        <v>0</v>
      </c>
      <c r="M23" s="3">
        <f t="shared" si="6"/>
        <v>0</v>
      </c>
      <c r="N23" s="3">
        <v>0</v>
      </c>
      <c r="O23" s="3">
        <v>0</v>
      </c>
      <c r="P23" s="380">
        <f t="shared" si="7"/>
        <v>0</v>
      </c>
      <c r="Q23" s="3">
        <f t="shared" si="13"/>
        <v>0</v>
      </c>
      <c r="R23" s="3">
        <f t="shared" si="13"/>
        <v>0</v>
      </c>
      <c r="S23" s="3">
        <f t="shared" si="14"/>
        <v>0</v>
      </c>
      <c r="T23" s="3">
        <f t="shared" si="15"/>
        <v>0</v>
      </c>
      <c r="U23" s="3">
        <f t="shared" si="15"/>
        <v>0</v>
      </c>
      <c r="V23" s="3">
        <f t="shared" si="16"/>
        <v>0</v>
      </c>
      <c r="W23" s="474">
        <f t="shared" si="17"/>
        <v>0</v>
      </c>
    </row>
    <row r="24" spans="1:23" ht="15.75" hidden="1" thickBot="1">
      <c r="A24" s="170">
        <v>40787</v>
      </c>
      <c r="B24" s="378">
        <f t="shared" si="0"/>
        <v>0</v>
      </c>
      <c r="C24" s="3">
        <v>0</v>
      </c>
      <c r="D24" s="3">
        <f t="shared" si="1"/>
        <v>0</v>
      </c>
      <c r="E24" s="3">
        <v>0</v>
      </c>
      <c r="F24" s="3">
        <f t="shared" si="2"/>
        <v>0</v>
      </c>
      <c r="G24" s="3">
        <f t="shared" si="3"/>
        <v>0</v>
      </c>
      <c r="H24" s="3">
        <f t="shared" si="4"/>
        <v>0</v>
      </c>
      <c r="I24" s="3">
        <f t="shared" si="4"/>
        <v>0</v>
      </c>
      <c r="J24" s="379">
        <f t="shared" si="5"/>
        <v>0</v>
      </c>
      <c r="K24" s="3">
        <v>0</v>
      </c>
      <c r="L24" s="3">
        <v>0</v>
      </c>
      <c r="M24" s="3">
        <f t="shared" si="6"/>
        <v>0</v>
      </c>
      <c r="N24" s="3">
        <v>0</v>
      </c>
      <c r="O24" s="3">
        <v>0</v>
      </c>
      <c r="P24" s="380">
        <f t="shared" si="7"/>
        <v>0</v>
      </c>
      <c r="Q24" s="3">
        <f t="shared" si="13"/>
        <v>0</v>
      </c>
      <c r="R24" s="3">
        <f t="shared" si="13"/>
        <v>0</v>
      </c>
      <c r="S24" s="3">
        <f t="shared" si="14"/>
        <v>0</v>
      </c>
      <c r="T24" s="3">
        <f t="shared" si="15"/>
        <v>0</v>
      </c>
      <c r="U24" s="3">
        <f t="shared" si="15"/>
        <v>0</v>
      </c>
      <c r="V24" s="3">
        <f t="shared" si="16"/>
        <v>0</v>
      </c>
      <c r="W24" s="474">
        <f t="shared" si="17"/>
        <v>0</v>
      </c>
    </row>
    <row r="25" spans="1:23" ht="15.75" hidden="1" thickBot="1">
      <c r="A25" s="170">
        <v>40817</v>
      </c>
      <c r="B25" s="378">
        <f t="shared" si="0"/>
        <v>0</v>
      </c>
      <c r="C25" s="3">
        <v>0</v>
      </c>
      <c r="D25" s="3">
        <f t="shared" si="1"/>
        <v>0</v>
      </c>
      <c r="E25" s="3">
        <v>0</v>
      </c>
      <c r="F25" s="3">
        <f t="shared" si="2"/>
        <v>0</v>
      </c>
      <c r="G25" s="3">
        <f t="shared" si="3"/>
        <v>0</v>
      </c>
      <c r="H25" s="3">
        <f t="shared" si="4"/>
        <v>0</v>
      </c>
      <c r="I25" s="3">
        <f t="shared" si="4"/>
        <v>0</v>
      </c>
      <c r="J25" s="379">
        <f t="shared" si="5"/>
        <v>0</v>
      </c>
      <c r="K25" s="3">
        <v>0</v>
      </c>
      <c r="L25" s="3">
        <v>0</v>
      </c>
      <c r="M25" s="3">
        <f t="shared" si="6"/>
        <v>0</v>
      </c>
      <c r="N25" s="3">
        <v>0</v>
      </c>
      <c r="O25" s="3">
        <v>0</v>
      </c>
      <c r="P25" s="380">
        <f t="shared" si="7"/>
        <v>0</v>
      </c>
      <c r="Q25" s="3">
        <f t="shared" si="13"/>
        <v>0</v>
      </c>
      <c r="R25" s="3">
        <f t="shared" si="13"/>
        <v>0</v>
      </c>
      <c r="S25" s="3">
        <f t="shared" si="14"/>
        <v>0</v>
      </c>
      <c r="T25" s="3">
        <f t="shared" si="15"/>
        <v>0</v>
      </c>
      <c r="U25" s="3">
        <f t="shared" si="15"/>
        <v>0</v>
      </c>
      <c r="V25" s="3">
        <f t="shared" si="16"/>
        <v>0</v>
      </c>
      <c r="W25" s="474">
        <f t="shared" si="17"/>
        <v>0</v>
      </c>
    </row>
    <row r="26" spans="1:23" ht="15.75" hidden="1" thickBot="1">
      <c r="A26" s="170">
        <v>40848</v>
      </c>
      <c r="B26" s="378">
        <f t="shared" si="0"/>
        <v>0</v>
      </c>
      <c r="C26" s="3">
        <v>0</v>
      </c>
      <c r="D26" s="3">
        <f t="shared" si="1"/>
        <v>0</v>
      </c>
      <c r="E26" s="3">
        <v>0</v>
      </c>
      <c r="F26" s="3">
        <f t="shared" si="2"/>
        <v>0</v>
      </c>
      <c r="G26" s="3">
        <f t="shared" si="3"/>
        <v>0</v>
      </c>
      <c r="H26" s="3">
        <f t="shared" si="4"/>
        <v>0</v>
      </c>
      <c r="I26" s="3">
        <f t="shared" si="4"/>
        <v>0</v>
      </c>
      <c r="J26" s="379">
        <f t="shared" si="5"/>
        <v>0</v>
      </c>
      <c r="K26" s="3">
        <v>0</v>
      </c>
      <c r="L26" s="3">
        <v>0</v>
      </c>
      <c r="M26" s="3">
        <f t="shared" si="6"/>
        <v>0</v>
      </c>
      <c r="N26" s="3">
        <v>0</v>
      </c>
      <c r="O26" s="3">
        <v>0</v>
      </c>
      <c r="P26" s="380">
        <f t="shared" si="7"/>
        <v>0</v>
      </c>
      <c r="Q26" s="3">
        <f t="shared" si="13"/>
        <v>0</v>
      </c>
      <c r="R26" s="3">
        <f t="shared" si="13"/>
        <v>0</v>
      </c>
      <c r="S26" s="3">
        <f t="shared" si="14"/>
        <v>0</v>
      </c>
      <c r="T26" s="3">
        <f t="shared" si="15"/>
        <v>0</v>
      </c>
      <c r="U26" s="3">
        <f t="shared" si="15"/>
        <v>0</v>
      </c>
      <c r="V26" s="3">
        <f t="shared" si="16"/>
        <v>0</v>
      </c>
      <c r="W26" s="474">
        <f t="shared" si="17"/>
        <v>0</v>
      </c>
    </row>
    <row r="27" spans="1:23" ht="15.75" hidden="1" thickBot="1">
      <c r="A27" s="170">
        <v>40878</v>
      </c>
      <c r="B27" s="378">
        <f t="shared" si="0"/>
        <v>0</v>
      </c>
      <c r="C27" s="3">
        <v>0</v>
      </c>
      <c r="D27" s="3">
        <f t="shared" si="1"/>
        <v>0</v>
      </c>
      <c r="E27" s="3">
        <v>0</v>
      </c>
      <c r="F27" s="3">
        <f t="shared" si="2"/>
        <v>0</v>
      </c>
      <c r="G27" s="3">
        <f t="shared" si="3"/>
        <v>0</v>
      </c>
      <c r="H27" s="3">
        <f t="shared" si="4"/>
        <v>0</v>
      </c>
      <c r="I27" s="3">
        <f t="shared" si="4"/>
        <v>0</v>
      </c>
      <c r="J27" s="379">
        <f t="shared" si="5"/>
        <v>0</v>
      </c>
      <c r="K27" s="3">
        <v>0</v>
      </c>
      <c r="L27" s="3">
        <v>0</v>
      </c>
      <c r="M27" s="3">
        <f t="shared" si="6"/>
        <v>0</v>
      </c>
      <c r="N27" s="3">
        <v>0</v>
      </c>
      <c r="O27" s="3">
        <v>0</v>
      </c>
      <c r="P27" s="380">
        <f t="shared" si="7"/>
        <v>0</v>
      </c>
      <c r="Q27" s="3">
        <f t="shared" si="13"/>
        <v>0</v>
      </c>
      <c r="R27" s="3">
        <f t="shared" si="13"/>
        <v>0</v>
      </c>
      <c r="S27" s="3">
        <f t="shared" si="14"/>
        <v>0</v>
      </c>
      <c r="T27" s="3">
        <f t="shared" si="15"/>
        <v>0</v>
      </c>
      <c r="U27" s="3">
        <f t="shared" si="15"/>
        <v>0</v>
      </c>
      <c r="V27" s="3">
        <f t="shared" si="16"/>
        <v>0</v>
      </c>
      <c r="W27" s="474">
        <f t="shared" si="17"/>
        <v>0</v>
      </c>
    </row>
    <row r="28" spans="1:23" ht="15.75" hidden="1" thickBot="1">
      <c r="A28" s="171">
        <v>40909</v>
      </c>
      <c r="B28" s="385">
        <f t="shared" si="0"/>
        <v>0</v>
      </c>
      <c r="C28" s="104">
        <v>0</v>
      </c>
      <c r="D28" s="104">
        <f t="shared" si="1"/>
        <v>0</v>
      </c>
      <c r="E28" s="104">
        <v>0</v>
      </c>
      <c r="F28" s="104">
        <f t="shared" si="2"/>
        <v>0</v>
      </c>
      <c r="G28" s="104">
        <f t="shared" si="3"/>
        <v>0</v>
      </c>
      <c r="H28" s="104">
        <f t="shared" si="4"/>
        <v>0</v>
      </c>
      <c r="I28" s="104">
        <f t="shared" si="4"/>
        <v>0</v>
      </c>
      <c r="J28" s="386">
        <f t="shared" si="5"/>
        <v>0</v>
      </c>
      <c r="K28" s="104">
        <v>0</v>
      </c>
      <c r="L28" s="104">
        <v>0</v>
      </c>
      <c r="M28" s="104">
        <f t="shared" si="6"/>
        <v>0</v>
      </c>
      <c r="N28" s="104">
        <v>0</v>
      </c>
      <c r="O28" s="104">
        <v>0</v>
      </c>
      <c r="P28" s="387">
        <f t="shared" si="7"/>
        <v>0</v>
      </c>
      <c r="Q28" s="104">
        <f>B28</f>
        <v>0</v>
      </c>
      <c r="R28" s="104">
        <f>C28</f>
        <v>0</v>
      </c>
      <c r="S28" s="104">
        <f>R28+Q28</f>
        <v>0</v>
      </c>
      <c r="T28" s="104">
        <f>E28</f>
        <v>0</v>
      </c>
      <c r="U28" s="104">
        <f>F28</f>
        <v>0</v>
      </c>
      <c r="V28" s="104">
        <f>U28+T28</f>
        <v>0</v>
      </c>
      <c r="W28" s="475">
        <f>V28+S28</f>
        <v>0</v>
      </c>
    </row>
    <row r="29" spans="1:23" ht="15.75" hidden="1" thickBot="1">
      <c r="A29" s="170">
        <v>40940</v>
      </c>
      <c r="B29" s="378">
        <f t="shared" si="0"/>
        <v>0</v>
      </c>
      <c r="C29" s="3">
        <v>0</v>
      </c>
      <c r="D29" s="3">
        <f t="shared" si="1"/>
        <v>0</v>
      </c>
      <c r="E29" s="3">
        <v>0</v>
      </c>
      <c r="F29" s="3">
        <f t="shared" si="2"/>
        <v>0</v>
      </c>
      <c r="G29" s="3">
        <f t="shared" si="3"/>
        <v>0</v>
      </c>
      <c r="H29" s="3">
        <f t="shared" si="4"/>
        <v>0</v>
      </c>
      <c r="I29" s="3">
        <f t="shared" si="4"/>
        <v>0</v>
      </c>
      <c r="J29" s="379">
        <f t="shared" si="5"/>
        <v>0</v>
      </c>
      <c r="K29" s="3">
        <v>0</v>
      </c>
      <c r="L29" s="3">
        <v>0</v>
      </c>
      <c r="M29" s="3">
        <f t="shared" si="6"/>
        <v>0</v>
      </c>
      <c r="N29" s="3">
        <v>0</v>
      </c>
      <c r="O29" s="3">
        <v>0</v>
      </c>
      <c r="P29" s="380">
        <f t="shared" si="7"/>
        <v>0</v>
      </c>
      <c r="Q29" s="3">
        <f>Q28+B29</f>
        <v>0</v>
      </c>
      <c r="R29" s="3">
        <f>R28+C29</f>
        <v>0</v>
      </c>
      <c r="S29" s="3">
        <f>R29+Q29</f>
        <v>0</v>
      </c>
      <c r="T29" s="3">
        <f>T28+E29</f>
        <v>0</v>
      </c>
      <c r="U29" s="3">
        <f>U28+F29</f>
        <v>0</v>
      </c>
      <c r="V29" s="3">
        <f>U29+T29</f>
        <v>0</v>
      </c>
      <c r="W29" s="474">
        <f>V29+S29</f>
        <v>0</v>
      </c>
    </row>
    <row r="30" spans="1:23" ht="15.75" hidden="1" thickBot="1">
      <c r="A30" s="170">
        <v>40969</v>
      </c>
      <c r="B30" s="378">
        <f t="shared" si="0"/>
        <v>0</v>
      </c>
      <c r="C30" s="3">
        <v>0</v>
      </c>
      <c r="D30" s="3">
        <f t="shared" si="1"/>
        <v>0</v>
      </c>
      <c r="E30" s="3">
        <v>0</v>
      </c>
      <c r="F30" s="3">
        <f t="shared" si="2"/>
        <v>0</v>
      </c>
      <c r="G30" s="3">
        <f t="shared" si="3"/>
        <v>0</v>
      </c>
      <c r="H30" s="3">
        <f t="shared" si="4"/>
        <v>0</v>
      </c>
      <c r="I30" s="3">
        <f t="shared" si="4"/>
        <v>0</v>
      </c>
      <c r="J30" s="379">
        <f t="shared" si="5"/>
        <v>0</v>
      </c>
      <c r="K30" s="3">
        <v>0</v>
      </c>
      <c r="L30" s="3">
        <v>0</v>
      </c>
      <c r="M30" s="3">
        <f t="shared" si="6"/>
        <v>0</v>
      </c>
      <c r="N30" s="3">
        <v>0</v>
      </c>
      <c r="O30" s="3">
        <v>0</v>
      </c>
      <c r="P30" s="380">
        <f t="shared" si="7"/>
        <v>0</v>
      </c>
      <c r="Q30" s="3">
        <f t="shared" ref="Q30:R39" si="18">Q29+B30</f>
        <v>0</v>
      </c>
      <c r="R30" s="3">
        <f t="shared" si="18"/>
        <v>0</v>
      </c>
      <c r="S30" s="3">
        <f t="shared" ref="S30:S39" si="19">R30+Q30</f>
        <v>0</v>
      </c>
      <c r="T30" s="3">
        <f t="shared" ref="T30:U39" si="20">T29+E30</f>
        <v>0</v>
      </c>
      <c r="U30" s="3">
        <f t="shared" si="20"/>
        <v>0</v>
      </c>
      <c r="V30" s="3">
        <f t="shared" ref="V30:V39" si="21">U30+T30</f>
        <v>0</v>
      </c>
      <c r="W30" s="474">
        <f t="shared" ref="W30:W39" si="22">V30+S30</f>
        <v>0</v>
      </c>
    </row>
    <row r="31" spans="1:23" ht="15.75" hidden="1" thickBot="1">
      <c r="A31" s="170">
        <v>41000</v>
      </c>
      <c r="B31" s="378">
        <f t="shared" si="0"/>
        <v>0</v>
      </c>
      <c r="C31" s="3">
        <v>0</v>
      </c>
      <c r="D31" s="3">
        <f t="shared" si="1"/>
        <v>0</v>
      </c>
      <c r="E31" s="3">
        <v>0</v>
      </c>
      <c r="F31" s="3">
        <f t="shared" si="2"/>
        <v>0</v>
      </c>
      <c r="G31" s="3">
        <f t="shared" si="3"/>
        <v>0</v>
      </c>
      <c r="H31" s="3">
        <f t="shared" si="4"/>
        <v>0</v>
      </c>
      <c r="I31" s="3">
        <f t="shared" si="4"/>
        <v>0</v>
      </c>
      <c r="J31" s="379">
        <f t="shared" si="5"/>
        <v>0</v>
      </c>
      <c r="K31" s="3">
        <v>0</v>
      </c>
      <c r="L31" s="3">
        <v>0</v>
      </c>
      <c r="M31" s="3">
        <f t="shared" si="6"/>
        <v>0</v>
      </c>
      <c r="N31" s="3">
        <v>0</v>
      </c>
      <c r="O31" s="3">
        <v>0</v>
      </c>
      <c r="P31" s="380">
        <f t="shared" si="7"/>
        <v>0</v>
      </c>
      <c r="Q31" s="3">
        <f t="shared" si="18"/>
        <v>0</v>
      </c>
      <c r="R31" s="3">
        <f t="shared" si="18"/>
        <v>0</v>
      </c>
      <c r="S31" s="3">
        <f t="shared" si="19"/>
        <v>0</v>
      </c>
      <c r="T31" s="3">
        <f t="shared" si="20"/>
        <v>0</v>
      </c>
      <c r="U31" s="3">
        <f t="shared" si="20"/>
        <v>0</v>
      </c>
      <c r="V31" s="3">
        <f t="shared" si="21"/>
        <v>0</v>
      </c>
      <c r="W31" s="474">
        <f t="shared" si="22"/>
        <v>0</v>
      </c>
    </row>
    <row r="32" spans="1:23" ht="15.75" hidden="1" thickBot="1">
      <c r="A32" s="170">
        <v>41030</v>
      </c>
      <c r="B32" s="378">
        <f t="shared" si="0"/>
        <v>0</v>
      </c>
      <c r="C32" s="3">
        <v>0</v>
      </c>
      <c r="D32" s="3">
        <f t="shared" si="1"/>
        <v>0</v>
      </c>
      <c r="E32" s="3">
        <v>0</v>
      </c>
      <c r="F32" s="3">
        <f t="shared" si="2"/>
        <v>0</v>
      </c>
      <c r="G32" s="3">
        <f t="shared" si="3"/>
        <v>0</v>
      </c>
      <c r="H32" s="3">
        <f t="shared" si="4"/>
        <v>0</v>
      </c>
      <c r="I32" s="3">
        <f t="shared" si="4"/>
        <v>0</v>
      </c>
      <c r="J32" s="379">
        <f t="shared" si="5"/>
        <v>0</v>
      </c>
      <c r="K32" s="3">
        <v>0</v>
      </c>
      <c r="L32" s="3">
        <v>0</v>
      </c>
      <c r="M32" s="3">
        <f t="shared" si="6"/>
        <v>0</v>
      </c>
      <c r="N32" s="3">
        <v>0</v>
      </c>
      <c r="O32" s="3">
        <v>0</v>
      </c>
      <c r="P32" s="380">
        <f t="shared" si="7"/>
        <v>0</v>
      </c>
      <c r="Q32" s="3">
        <f t="shared" si="18"/>
        <v>0</v>
      </c>
      <c r="R32" s="3">
        <f t="shared" si="18"/>
        <v>0</v>
      </c>
      <c r="S32" s="3">
        <f t="shared" si="19"/>
        <v>0</v>
      </c>
      <c r="T32" s="3">
        <f t="shared" si="20"/>
        <v>0</v>
      </c>
      <c r="U32" s="3">
        <f t="shared" si="20"/>
        <v>0</v>
      </c>
      <c r="V32" s="3">
        <f t="shared" si="21"/>
        <v>0</v>
      </c>
      <c r="W32" s="474">
        <f t="shared" si="22"/>
        <v>0</v>
      </c>
    </row>
    <row r="33" spans="1:23" ht="15.75" hidden="1" thickBot="1">
      <c r="A33" s="170">
        <v>41061</v>
      </c>
      <c r="B33" s="378">
        <f t="shared" si="0"/>
        <v>0</v>
      </c>
      <c r="C33" s="3">
        <v>0</v>
      </c>
      <c r="D33" s="3">
        <f t="shared" si="1"/>
        <v>0</v>
      </c>
      <c r="E33" s="3">
        <v>0</v>
      </c>
      <c r="F33" s="3">
        <f t="shared" si="2"/>
        <v>0</v>
      </c>
      <c r="G33" s="3">
        <f t="shared" si="3"/>
        <v>0</v>
      </c>
      <c r="H33" s="3">
        <f t="shared" si="4"/>
        <v>0</v>
      </c>
      <c r="I33" s="3">
        <f t="shared" si="4"/>
        <v>0</v>
      </c>
      <c r="J33" s="379">
        <f t="shared" si="5"/>
        <v>0</v>
      </c>
      <c r="K33" s="3">
        <v>0</v>
      </c>
      <c r="L33" s="3">
        <v>0</v>
      </c>
      <c r="M33" s="3">
        <f t="shared" si="6"/>
        <v>0</v>
      </c>
      <c r="N33" s="3">
        <v>0</v>
      </c>
      <c r="O33" s="3">
        <v>0</v>
      </c>
      <c r="P33" s="380">
        <f t="shared" si="7"/>
        <v>0</v>
      </c>
      <c r="Q33" s="3">
        <f t="shared" si="18"/>
        <v>0</v>
      </c>
      <c r="R33" s="3">
        <f t="shared" si="18"/>
        <v>0</v>
      </c>
      <c r="S33" s="3">
        <f t="shared" si="19"/>
        <v>0</v>
      </c>
      <c r="T33" s="3">
        <f t="shared" si="20"/>
        <v>0</v>
      </c>
      <c r="U33" s="3">
        <f t="shared" si="20"/>
        <v>0</v>
      </c>
      <c r="V33" s="3">
        <f t="shared" si="21"/>
        <v>0</v>
      </c>
      <c r="W33" s="474">
        <f t="shared" si="22"/>
        <v>0</v>
      </c>
    </row>
    <row r="34" spans="1:23" ht="15.75" hidden="1" thickBot="1">
      <c r="A34" s="170">
        <v>41091</v>
      </c>
      <c r="B34" s="378">
        <f t="shared" si="0"/>
        <v>0</v>
      </c>
      <c r="C34" s="3">
        <v>0</v>
      </c>
      <c r="D34" s="3">
        <f t="shared" si="1"/>
        <v>0</v>
      </c>
      <c r="E34" s="3">
        <v>0</v>
      </c>
      <c r="F34" s="3">
        <f t="shared" si="2"/>
        <v>0</v>
      </c>
      <c r="G34" s="3">
        <f t="shared" si="3"/>
        <v>0</v>
      </c>
      <c r="H34" s="3">
        <f t="shared" si="4"/>
        <v>0</v>
      </c>
      <c r="I34" s="3">
        <f t="shared" si="4"/>
        <v>0</v>
      </c>
      <c r="J34" s="379">
        <f t="shared" si="5"/>
        <v>0</v>
      </c>
      <c r="K34" s="3">
        <v>0</v>
      </c>
      <c r="L34" s="3">
        <v>0</v>
      </c>
      <c r="M34" s="3">
        <f t="shared" si="6"/>
        <v>0</v>
      </c>
      <c r="N34" s="3">
        <v>0</v>
      </c>
      <c r="O34" s="3">
        <v>0</v>
      </c>
      <c r="P34" s="380">
        <f t="shared" si="7"/>
        <v>0</v>
      </c>
      <c r="Q34" s="3">
        <f t="shared" si="18"/>
        <v>0</v>
      </c>
      <c r="R34" s="3">
        <f t="shared" si="18"/>
        <v>0</v>
      </c>
      <c r="S34" s="3">
        <f t="shared" si="19"/>
        <v>0</v>
      </c>
      <c r="T34" s="3">
        <f t="shared" si="20"/>
        <v>0</v>
      </c>
      <c r="U34" s="3">
        <f t="shared" si="20"/>
        <v>0</v>
      </c>
      <c r="V34" s="3">
        <f t="shared" si="21"/>
        <v>0</v>
      </c>
      <c r="W34" s="474">
        <f t="shared" si="22"/>
        <v>0</v>
      </c>
    </row>
    <row r="35" spans="1:23" ht="15.75" hidden="1" thickBot="1">
      <c r="A35" s="170">
        <v>41122</v>
      </c>
      <c r="B35" s="378">
        <f t="shared" si="0"/>
        <v>0</v>
      </c>
      <c r="C35" s="3">
        <v>0</v>
      </c>
      <c r="D35" s="3">
        <f t="shared" si="1"/>
        <v>0</v>
      </c>
      <c r="E35" s="3">
        <v>0</v>
      </c>
      <c r="F35" s="3">
        <f t="shared" si="2"/>
        <v>0</v>
      </c>
      <c r="G35" s="3">
        <f t="shared" si="3"/>
        <v>0</v>
      </c>
      <c r="H35" s="3">
        <f t="shared" si="4"/>
        <v>0</v>
      </c>
      <c r="I35" s="3">
        <f t="shared" si="4"/>
        <v>0</v>
      </c>
      <c r="J35" s="379">
        <f t="shared" si="5"/>
        <v>0</v>
      </c>
      <c r="K35" s="3">
        <v>0</v>
      </c>
      <c r="L35" s="3">
        <v>0</v>
      </c>
      <c r="M35" s="3">
        <f t="shared" si="6"/>
        <v>0</v>
      </c>
      <c r="N35" s="3">
        <v>0</v>
      </c>
      <c r="O35" s="3">
        <v>0</v>
      </c>
      <c r="P35" s="380">
        <f t="shared" si="7"/>
        <v>0</v>
      </c>
      <c r="Q35" s="3">
        <f t="shared" si="18"/>
        <v>0</v>
      </c>
      <c r="R35" s="3">
        <f t="shared" si="18"/>
        <v>0</v>
      </c>
      <c r="S35" s="3">
        <f t="shared" si="19"/>
        <v>0</v>
      </c>
      <c r="T35" s="3">
        <f t="shared" si="20"/>
        <v>0</v>
      </c>
      <c r="U35" s="3">
        <f t="shared" si="20"/>
        <v>0</v>
      </c>
      <c r="V35" s="3">
        <f t="shared" si="21"/>
        <v>0</v>
      </c>
      <c r="W35" s="474">
        <f t="shared" si="22"/>
        <v>0</v>
      </c>
    </row>
    <row r="36" spans="1:23" ht="15.75" hidden="1" thickBot="1">
      <c r="A36" s="170">
        <v>41153</v>
      </c>
      <c r="B36" s="378">
        <f t="shared" si="0"/>
        <v>0</v>
      </c>
      <c r="C36" s="3">
        <v>0</v>
      </c>
      <c r="D36" s="3">
        <f t="shared" si="1"/>
        <v>0</v>
      </c>
      <c r="E36" s="3">
        <v>0</v>
      </c>
      <c r="F36" s="3">
        <f t="shared" si="2"/>
        <v>0</v>
      </c>
      <c r="G36" s="3">
        <f t="shared" si="3"/>
        <v>0</v>
      </c>
      <c r="H36" s="3">
        <f t="shared" si="4"/>
        <v>0</v>
      </c>
      <c r="I36" s="3">
        <f t="shared" si="4"/>
        <v>0</v>
      </c>
      <c r="J36" s="379">
        <f t="shared" si="5"/>
        <v>0</v>
      </c>
      <c r="K36" s="3">
        <v>0</v>
      </c>
      <c r="L36" s="3">
        <v>0</v>
      </c>
      <c r="M36" s="3">
        <f t="shared" si="6"/>
        <v>0</v>
      </c>
      <c r="N36" s="3">
        <v>0</v>
      </c>
      <c r="O36" s="3">
        <v>0</v>
      </c>
      <c r="P36" s="380">
        <f t="shared" si="7"/>
        <v>0</v>
      </c>
      <c r="Q36" s="3">
        <f t="shared" si="18"/>
        <v>0</v>
      </c>
      <c r="R36" s="3">
        <f t="shared" si="18"/>
        <v>0</v>
      </c>
      <c r="S36" s="3">
        <f t="shared" si="19"/>
        <v>0</v>
      </c>
      <c r="T36" s="3">
        <f t="shared" si="20"/>
        <v>0</v>
      </c>
      <c r="U36" s="3">
        <f t="shared" si="20"/>
        <v>0</v>
      </c>
      <c r="V36" s="3">
        <f t="shared" si="21"/>
        <v>0</v>
      </c>
      <c r="W36" s="474">
        <f t="shared" si="22"/>
        <v>0</v>
      </c>
    </row>
    <row r="37" spans="1:23" ht="15.75" hidden="1" thickBot="1">
      <c r="A37" s="170">
        <v>41183</v>
      </c>
      <c r="B37" s="378">
        <f t="shared" si="0"/>
        <v>0</v>
      </c>
      <c r="C37" s="3">
        <v>0</v>
      </c>
      <c r="D37" s="3">
        <f t="shared" si="1"/>
        <v>0</v>
      </c>
      <c r="E37" s="3">
        <v>0</v>
      </c>
      <c r="F37" s="3">
        <f t="shared" si="2"/>
        <v>0</v>
      </c>
      <c r="G37" s="3">
        <f t="shared" si="3"/>
        <v>0</v>
      </c>
      <c r="H37" s="3">
        <f t="shared" si="4"/>
        <v>0</v>
      </c>
      <c r="I37" s="3">
        <f t="shared" si="4"/>
        <v>0</v>
      </c>
      <c r="J37" s="379">
        <f t="shared" si="5"/>
        <v>0</v>
      </c>
      <c r="K37" s="3">
        <v>0</v>
      </c>
      <c r="L37" s="3">
        <v>0</v>
      </c>
      <c r="M37" s="3">
        <f t="shared" si="6"/>
        <v>0</v>
      </c>
      <c r="N37" s="3">
        <v>0</v>
      </c>
      <c r="O37" s="3">
        <v>0</v>
      </c>
      <c r="P37" s="380">
        <f t="shared" si="7"/>
        <v>0</v>
      </c>
      <c r="Q37" s="3">
        <f t="shared" si="18"/>
        <v>0</v>
      </c>
      <c r="R37" s="3">
        <f t="shared" si="18"/>
        <v>0</v>
      </c>
      <c r="S37" s="3">
        <f t="shared" si="19"/>
        <v>0</v>
      </c>
      <c r="T37" s="3">
        <f t="shared" si="20"/>
        <v>0</v>
      </c>
      <c r="U37" s="3">
        <f t="shared" si="20"/>
        <v>0</v>
      </c>
      <c r="V37" s="3">
        <f t="shared" si="21"/>
        <v>0</v>
      </c>
      <c r="W37" s="474">
        <f t="shared" si="22"/>
        <v>0</v>
      </c>
    </row>
    <row r="38" spans="1:23" ht="15.75" hidden="1" thickBot="1">
      <c r="A38" s="170">
        <v>41214</v>
      </c>
      <c r="B38" s="378">
        <f t="shared" si="0"/>
        <v>1741</v>
      </c>
      <c r="C38" s="3">
        <v>0</v>
      </c>
      <c r="D38" s="3">
        <f t="shared" si="1"/>
        <v>1741</v>
      </c>
      <c r="E38" s="3">
        <v>0</v>
      </c>
      <c r="F38" s="3">
        <f t="shared" si="2"/>
        <v>0</v>
      </c>
      <c r="G38" s="3">
        <f t="shared" si="3"/>
        <v>0</v>
      </c>
      <c r="H38" s="3">
        <f t="shared" si="4"/>
        <v>1741</v>
      </c>
      <c r="I38" s="3">
        <f t="shared" si="4"/>
        <v>0</v>
      </c>
      <c r="J38" s="379">
        <f t="shared" si="5"/>
        <v>1741</v>
      </c>
      <c r="K38" s="3">
        <v>1741</v>
      </c>
      <c r="L38" s="3">
        <v>0</v>
      </c>
      <c r="M38" s="3">
        <f t="shared" si="6"/>
        <v>1741</v>
      </c>
      <c r="N38" s="3">
        <v>0</v>
      </c>
      <c r="O38" s="3">
        <v>0</v>
      </c>
      <c r="P38" s="380">
        <f t="shared" si="7"/>
        <v>0</v>
      </c>
      <c r="Q38" s="3">
        <f t="shared" si="18"/>
        <v>1741</v>
      </c>
      <c r="R38" s="3">
        <f t="shared" si="18"/>
        <v>0</v>
      </c>
      <c r="S38" s="3">
        <f t="shared" si="19"/>
        <v>1741</v>
      </c>
      <c r="T38" s="3">
        <f t="shared" si="20"/>
        <v>0</v>
      </c>
      <c r="U38" s="3">
        <f t="shared" si="20"/>
        <v>0</v>
      </c>
      <c r="V38" s="3">
        <f t="shared" si="21"/>
        <v>0</v>
      </c>
      <c r="W38" s="474">
        <f t="shared" si="22"/>
        <v>1741</v>
      </c>
    </row>
    <row r="39" spans="1:23" ht="15.75" hidden="1" thickBot="1">
      <c r="A39" s="170">
        <v>41244</v>
      </c>
      <c r="B39" s="378">
        <f t="shared" si="0"/>
        <v>0</v>
      </c>
      <c r="C39" s="3">
        <v>0</v>
      </c>
      <c r="D39" s="3">
        <f t="shared" si="1"/>
        <v>0</v>
      </c>
      <c r="E39" s="3">
        <v>0</v>
      </c>
      <c r="F39" s="3">
        <f t="shared" si="2"/>
        <v>0</v>
      </c>
      <c r="G39" s="3">
        <f t="shared" si="3"/>
        <v>0</v>
      </c>
      <c r="H39" s="3">
        <f t="shared" si="4"/>
        <v>0</v>
      </c>
      <c r="I39" s="3">
        <f t="shared" si="4"/>
        <v>0</v>
      </c>
      <c r="J39" s="379">
        <f t="shared" si="5"/>
        <v>0</v>
      </c>
      <c r="K39" s="3">
        <v>0</v>
      </c>
      <c r="L39" s="3">
        <v>0</v>
      </c>
      <c r="M39" s="3">
        <f t="shared" si="6"/>
        <v>0</v>
      </c>
      <c r="N39" s="3">
        <v>0</v>
      </c>
      <c r="O39" s="3">
        <v>0</v>
      </c>
      <c r="P39" s="380">
        <f t="shared" si="7"/>
        <v>0</v>
      </c>
      <c r="Q39" s="3">
        <f t="shared" si="18"/>
        <v>1741</v>
      </c>
      <c r="R39" s="3">
        <f t="shared" si="18"/>
        <v>0</v>
      </c>
      <c r="S39" s="3">
        <f t="shared" si="19"/>
        <v>1741</v>
      </c>
      <c r="T39" s="3">
        <f t="shared" si="20"/>
        <v>0</v>
      </c>
      <c r="U39" s="3">
        <f t="shared" si="20"/>
        <v>0</v>
      </c>
      <c r="V39" s="3">
        <f t="shared" si="21"/>
        <v>0</v>
      </c>
      <c r="W39" s="474">
        <f t="shared" si="22"/>
        <v>1741</v>
      </c>
    </row>
    <row r="40" spans="1:23" ht="15.75" hidden="1" thickBot="1">
      <c r="A40" s="171">
        <v>41275</v>
      </c>
      <c r="B40" s="385">
        <f t="shared" si="0"/>
        <v>0</v>
      </c>
      <c r="C40" s="104">
        <v>0</v>
      </c>
      <c r="D40" s="104">
        <f t="shared" si="1"/>
        <v>0</v>
      </c>
      <c r="E40" s="104">
        <v>0</v>
      </c>
      <c r="F40" s="104">
        <f t="shared" si="2"/>
        <v>0</v>
      </c>
      <c r="G40" s="104">
        <f t="shared" si="3"/>
        <v>0</v>
      </c>
      <c r="H40" s="104">
        <f t="shared" si="4"/>
        <v>0</v>
      </c>
      <c r="I40" s="104">
        <f t="shared" si="4"/>
        <v>0</v>
      </c>
      <c r="J40" s="386">
        <f t="shared" si="5"/>
        <v>0</v>
      </c>
      <c r="K40" s="104">
        <v>0</v>
      </c>
      <c r="L40" s="104">
        <v>0</v>
      </c>
      <c r="M40" s="104">
        <f t="shared" si="6"/>
        <v>0</v>
      </c>
      <c r="N40" s="104">
        <v>0</v>
      </c>
      <c r="O40" s="104">
        <v>0</v>
      </c>
      <c r="P40" s="387">
        <f t="shared" si="7"/>
        <v>0</v>
      </c>
      <c r="Q40" s="104">
        <f>B40</f>
        <v>0</v>
      </c>
      <c r="R40" s="104">
        <f>C40</f>
        <v>0</v>
      </c>
      <c r="S40" s="104">
        <f>R40+Q40</f>
        <v>0</v>
      </c>
      <c r="T40" s="104">
        <f>E40</f>
        <v>0</v>
      </c>
      <c r="U40" s="104">
        <f>F40</f>
        <v>0</v>
      </c>
      <c r="V40" s="104">
        <f>U40+T40</f>
        <v>0</v>
      </c>
      <c r="W40" s="475">
        <f>V40+S40</f>
        <v>0</v>
      </c>
    </row>
    <row r="41" spans="1:23" ht="15.75" hidden="1" thickBot="1">
      <c r="A41" s="170">
        <v>41306</v>
      </c>
      <c r="B41" s="378">
        <f t="shared" si="0"/>
        <v>0</v>
      </c>
      <c r="C41" s="3">
        <v>0</v>
      </c>
      <c r="D41" s="3">
        <f t="shared" si="1"/>
        <v>0</v>
      </c>
      <c r="E41" s="3">
        <v>0</v>
      </c>
      <c r="F41" s="3">
        <f t="shared" si="2"/>
        <v>0</v>
      </c>
      <c r="G41" s="3">
        <f t="shared" si="3"/>
        <v>0</v>
      </c>
      <c r="H41" s="3">
        <f t="shared" si="4"/>
        <v>0</v>
      </c>
      <c r="I41" s="3">
        <f t="shared" si="4"/>
        <v>0</v>
      </c>
      <c r="J41" s="379">
        <f t="shared" si="5"/>
        <v>0</v>
      </c>
      <c r="K41" s="3">
        <v>0</v>
      </c>
      <c r="L41" s="3">
        <v>0</v>
      </c>
      <c r="M41" s="3">
        <f t="shared" si="6"/>
        <v>0</v>
      </c>
      <c r="N41" s="3">
        <v>0</v>
      </c>
      <c r="O41" s="3">
        <v>0</v>
      </c>
      <c r="P41" s="380">
        <f t="shared" si="7"/>
        <v>0</v>
      </c>
      <c r="Q41" s="3">
        <f>Q40+B41</f>
        <v>0</v>
      </c>
      <c r="R41" s="3">
        <f>R40+C41</f>
        <v>0</v>
      </c>
      <c r="S41" s="3">
        <f>R41+Q41</f>
        <v>0</v>
      </c>
      <c r="T41" s="3">
        <f>T40+E41</f>
        <v>0</v>
      </c>
      <c r="U41" s="3">
        <f>U40+F41</f>
        <v>0</v>
      </c>
      <c r="V41" s="3">
        <f>U41+T41</f>
        <v>0</v>
      </c>
      <c r="W41" s="474">
        <f>V41+S41</f>
        <v>0</v>
      </c>
    </row>
    <row r="42" spans="1:23" ht="15.75" hidden="1" thickBot="1">
      <c r="A42" s="170">
        <v>41334</v>
      </c>
      <c r="B42" s="378">
        <f t="shared" si="0"/>
        <v>16664</v>
      </c>
      <c r="C42" s="3">
        <v>0</v>
      </c>
      <c r="D42" s="3">
        <f t="shared" si="1"/>
        <v>16664</v>
      </c>
      <c r="E42" s="3">
        <v>0</v>
      </c>
      <c r="F42" s="3">
        <f t="shared" si="2"/>
        <v>0</v>
      </c>
      <c r="G42" s="3">
        <f t="shared" si="3"/>
        <v>0</v>
      </c>
      <c r="H42" s="3">
        <f t="shared" si="4"/>
        <v>16664</v>
      </c>
      <c r="I42" s="3">
        <f t="shared" si="4"/>
        <v>0</v>
      </c>
      <c r="J42" s="379">
        <f t="shared" si="5"/>
        <v>16664</v>
      </c>
      <c r="K42" s="3">
        <v>16664</v>
      </c>
      <c r="L42" s="3">
        <v>0</v>
      </c>
      <c r="M42" s="3">
        <f t="shared" si="6"/>
        <v>16664</v>
      </c>
      <c r="N42" s="3">
        <v>0</v>
      </c>
      <c r="O42" s="3">
        <v>0</v>
      </c>
      <c r="P42" s="380">
        <f t="shared" si="7"/>
        <v>0</v>
      </c>
      <c r="Q42" s="3">
        <f t="shared" ref="Q42:R51" si="23">Q41+B42</f>
        <v>16664</v>
      </c>
      <c r="R42" s="3">
        <f t="shared" si="23"/>
        <v>0</v>
      </c>
      <c r="S42" s="3">
        <f t="shared" ref="S42:S51" si="24">R42+Q42</f>
        <v>16664</v>
      </c>
      <c r="T42" s="3">
        <f t="shared" ref="T42:U51" si="25">T41+E42</f>
        <v>0</v>
      </c>
      <c r="U42" s="3">
        <f t="shared" si="25"/>
        <v>0</v>
      </c>
      <c r="V42" s="3">
        <f t="shared" ref="V42:V51" si="26">U42+T42</f>
        <v>0</v>
      </c>
      <c r="W42" s="474">
        <f t="shared" ref="W42:W51" si="27">V42+S42</f>
        <v>16664</v>
      </c>
    </row>
    <row r="43" spans="1:23" ht="15.75" hidden="1" thickBot="1">
      <c r="A43" s="170">
        <v>41365</v>
      </c>
      <c r="B43" s="378">
        <f t="shared" si="0"/>
        <v>0</v>
      </c>
      <c r="C43" s="3">
        <v>0</v>
      </c>
      <c r="D43" s="3">
        <f t="shared" si="1"/>
        <v>0</v>
      </c>
      <c r="E43" s="3">
        <v>0</v>
      </c>
      <c r="F43" s="3">
        <f t="shared" si="2"/>
        <v>0</v>
      </c>
      <c r="G43" s="3">
        <f t="shared" si="3"/>
        <v>0</v>
      </c>
      <c r="H43" s="3">
        <f t="shared" si="4"/>
        <v>0</v>
      </c>
      <c r="I43" s="3">
        <f t="shared" si="4"/>
        <v>0</v>
      </c>
      <c r="J43" s="379">
        <f t="shared" si="5"/>
        <v>0</v>
      </c>
      <c r="K43" s="3">
        <v>0</v>
      </c>
      <c r="L43" s="3">
        <v>0</v>
      </c>
      <c r="M43" s="3">
        <f t="shared" si="6"/>
        <v>0</v>
      </c>
      <c r="N43" s="3">
        <v>0</v>
      </c>
      <c r="O43" s="3">
        <v>0</v>
      </c>
      <c r="P43" s="380">
        <f t="shared" si="7"/>
        <v>0</v>
      </c>
      <c r="Q43" s="3">
        <f t="shared" si="23"/>
        <v>16664</v>
      </c>
      <c r="R43" s="3">
        <f t="shared" si="23"/>
        <v>0</v>
      </c>
      <c r="S43" s="3">
        <f t="shared" si="24"/>
        <v>16664</v>
      </c>
      <c r="T43" s="3">
        <f t="shared" si="25"/>
        <v>0</v>
      </c>
      <c r="U43" s="3">
        <f t="shared" si="25"/>
        <v>0</v>
      </c>
      <c r="V43" s="3">
        <f t="shared" si="26"/>
        <v>0</v>
      </c>
      <c r="W43" s="474">
        <f t="shared" si="27"/>
        <v>16664</v>
      </c>
    </row>
    <row r="44" spans="1:23" ht="15.75" hidden="1" thickBot="1">
      <c r="A44" s="170">
        <v>41395</v>
      </c>
      <c r="B44" s="378">
        <f t="shared" si="0"/>
        <v>0</v>
      </c>
      <c r="C44" s="3">
        <v>0</v>
      </c>
      <c r="D44" s="3">
        <f t="shared" si="1"/>
        <v>0</v>
      </c>
      <c r="E44" s="3">
        <v>0</v>
      </c>
      <c r="F44" s="3">
        <f t="shared" si="2"/>
        <v>0</v>
      </c>
      <c r="G44" s="3">
        <f t="shared" si="3"/>
        <v>0</v>
      </c>
      <c r="H44" s="3">
        <f t="shared" si="4"/>
        <v>0</v>
      </c>
      <c r="I44" s="3">
        <f t="shared" si="4"/>
        <v>0</v>
      </c>
      <c r="J44" s="379">
        <f t="shared" si="5"/>
        <v>0</v>
      </c>
      <c r="K44" s="3">
        <v>0</v>
      </c>
      <c r="L44" s="3">
        <v>0</v>
      </c>
      <c r="M44" s="3">
        <f t="shared" si="6"/>
        <v>0</v>
      </c>
      <c r="N44" s="3">
        <v>0</v>
      </c>
      <c r="O44" s="3">
        <v>0</v>
      </c>
      <c r="P44" s="380">
        <f t="shared" si="7"/>
        <v>0</v>
      </c>
      <c r="Q44" s="3">
        <f t="shared" si="23"/>
        <v>16664</v>
      </c>
      <c r="R44" s="3">
        <f t="shared" si="23"/>
        <v>0</v>
      </c>
      <c r="S44" s="3">
        <f t="shared" si="24"/>
        <v>16664</v>
      </c>
      <c r="T44" s="3">
        <f t="shared" si="25"/>
        <v>0</v>
      </c>
      <c r="U44" s="3">
        <f t="shared" si="25"/>
        <v>0</v>
      </c>
      <c r="V44" s="3">
        <f t="shared" si="26"/>
        <v>0</v>
      </c>
      <c r="W44" s="474">
        <f t="shared" si="27"/>
        <v>16664</v>
      </c>
    </row>
    <row r="45" spans="1:23" ht="15.75" hidden="1" thickBot="1">
      <c r="A45" s="170">
        <v>41426</v>
      </c>
      <c r="B45" s="378">
        <f t="shared" si="0"/>
        <v>32728</v>
      </c>
      <c r="C45" s="3">
        <v>0</v>
      </c>
      <c r="D45" s="3">
        <f t="shared" si="1"/>
        <v>32728</v>
      </c>
      <c r="E45" s="3">
        <v>0</v>
      </c>
      <c r="F45" s="3">
        <f t="shared" si="2"/>
        <v>0</v>
      </c>
      <c r="G45" s="3">
        <f t="shared" si="3"/>
        <v>0</v>
      </c>
      <c r="H45" s="3">
        <f t="shared" si="4"/>
        <v>32728</v>
      </c>
      <c r="I45" s="3">
        <f t="shared" si="4"/>
        <v>0</v>
      </c>
      <c r="J45" s="379">
        <f t="shared" si="5"/>
        <v>32728</v>
      </c>
      <c r="K45" s="3">
        <v>32728</v>
      </c>
      <c r="L45" s="3">
        <v>0</v>
      </c>
      <c r="M45" s="3">
        <f t="shared" si="6"/>
        <v>32728</v>
      </c>
      <c r="N45" s="3">
        <v>0</v>
      </c>
      <c r="O45" s="3">
        <v>0</v>
      </c>
      <c r="P45" s="380">
        <f t="shared" si="7"/>
        <v>0</v>
      </c>
      <c r="Q45" s="3">
        <f t="shared" si="23"/>
        <v>49392</v>
      </c>
      <c r="R45" s="3">
        <f t="shared" si="23"/>
        <v>0</v>
      </c>
      <c r="S45" s="3">
        <f t="shared" si="24"/>
        <v>49392</v>
      </c>
      <c r="T45" s="3">
        <f t="shared" si="25"/>
        <v>0</v>
      </c>
      <c r="U45" s="3">
        <f t="shared" si="25"/>
        <v>0</v>
      </c>
      <c r="V45" s="3">
        <f t="shared" si="26"/>
        <v>0</v>
      </c>
      <c r="W45" s="474">
        <f t="shared" si="27"/>
        <v>49392</v>
      </c>
    </row>
    <row r="46" spans="1:23" ht="15.75" hidden="1" thickBot="1">
      <c r="A46" s="170">
        <v>41456</v>
      </c>
      <c r="B46" s="378">
        <f t="shared" si="0"/>
        <v>44253</v>
      </c>
      <c r="C46" s="3">
        <v>0</v>
      </c>
      <c r="D46" s="3">
        <f t="shared" si="1"/>
        <v>44253</v>
      </c>
      <c r="E46" s="3">
        <v>0</v>
      </c>
      <c r="F46" s="3">
        <f t="shared" si="2"/>
        <v>0</v>
      </c>
      <c r="G46" s="3">
        <f t="shared" si="3"/>
        <v>0</v>
      </c>
      <c r="H46" s="3">
        <f t="shared" si="4"/>
        <v>44253</v>
      </c>
      <c r="I46" s="3">
        <f t="shared" si="4"/>
        <v>0</v>
      </c>
      <c r="J46" s="379">
        <f t="shared" si="5"/>
        <v>44253</v>
      </c>
      <c r="K46" s="3">
        <v>44253</v>
      </c>
      <c r="L46" s="3">
        <v>0</v>
      </c>
      <c r="M46" s="3">
        <f t="shared" si="6"/>
        <v>44253</v>
      </c>
      <c r="N46" s="3">
        <v>0</v>
      </c>
      <c r="O46" s="3">
        <v>0</v>
      </c>
      <c r="P46" s="380">
        <f t="shared" si="7"/>
        <v>0</v>
      </c>
      <c r="Q46" s="3">
        <f t="shared" si="23"/>
        <v>93645</v>
      </c>
      <c r="R46" s="3">
        <f t="shared" si="23"/>
        <v>0</v>
      </c>
      <c r="S46" s="3">
        <f t="shared" si="24"/>
        <v>93645</v>
      </c>
      <c r="T46" s="3">
        <f t="shared" si="25"/>
        <v>0</v>
      </c>
      <c r="U46" s="3">
        <f t="shared" si="25"/>
        <v>0</v>
      </c>
      <c r="V46" s="3">
        <f t="shared" si="26"/>
        <v>0</v>
      </c>
      <c r="W46" s="474">
        <f t="shared" si="27"/>
        <v>93645</v>
      </c>
    </row>
    <row r="47" spans="1:23" ht="15.75" hidden="1" thickBot="1">
      <c r="A47" s="170">
        <v>41487</v>
      </c>
      <c r="B47" s="378">
        <f t="shared" si="0"/>
        <v>0</v>
      </c>
      <c r="C47" s="3">
        <v>0</v>
      </c>
      <c r="D47" s="3">
        <f t="shared" si="1"/>
        <v>0</v>
      </c>
      <c r="E47" s="3">
        <v>0</v>
      </c>
      <c r="F47" s="3">
        <f t="shared" si="2"/>
        <v>0</v>
      </c>
      <c r="G47" s="3">
        <f t="shared" si="3"/>
        <v>0</v>
      </c>
      <c r="H47" s="3">
        <f t="shared" si="4"/>
        <v>0</v>
      </c>
      <c r="I47" s="3">
        <f t="shared" si="4"/>
        <v>0</v>
      </c>
      <c r="J47" s="379">
        <f t="shared" si="5"/>
        <v>0</v>
      </c>
      <c r="K47" s="3">
        <v>0</v>
      </c>
      <c r="L47" s="3">
        <v>0</v>
      </c>
      <c r="M47" s="3">
        <f t="shared" si="6"/>
        <v>0</v>
      </c>
      <c r="N47" s="3">
        <v>0</v>
      </c>
      <c r="O47" s="3">
        <v>0</v>
      </c>
      <c r="P47" s="380">
        <f t="shared" si="7"/>
        <v>0</v>
      </c>
      <c r="Q47" s="3">
        <f t="shared" si="23"/>
        <v>93645</v>
      </c>
      <c r="R47" s="3">
        <f t="shared" si="23"/>
        <v>0</v>
      </c>
      <c r="S47" s="3">
        <f t="shared" si="24"/>
        <v>93645</v>
      </c>
      <c r="T47" s="3">
        <f t="shared" si="25"/>
        <v>0</v>
      </c>
      <c r="U47" s="3">
        <f t="shared" si="25"/>
        <v>0</v>
      </c>
      <c r="V47" s="3">
        <f t="shared" si="26"/>
        <v>0</v>
      </c>
      <c r="W47" s="474">
        <f t="shared" si="27"/>
        <v>93645</v>
      </c>
    </row>
    <row r="48" spans="1:23" ht="15.75" hidden="1" thickBot="1">
      <c r="A48" s="170">
        <v>41518</v>
      </c>
      <c r="B48" s="378">
        <f t="shared" si="0"/>
        <v>123940</v>
      </c>
      <c r="C48" s="3">
        <v>0</v>
      </c>
      <c r="D48" s="3">
        <f t="shared" si="1"/>
        <v>123940</v>
      </c>
      <c r="E48" s="3">
        <v>0</v>
      </c>
      <c r="F48" s="3">
        <f t="shared" si="2"/>
        <v>0</v>
      </c>
      <c r="G48" s="3">
        <f t="shared" si="3"/>
        <v>0</v>
      </c>
      <c r="H48" s="3">
        <f t="shared" si="4"/>
        <v>123940</v>
      </c>
      <c r="I48" s="3">
        <f t="shared" si="4"/>
        <v>0</v>
      </c>
      <c r="J48" s="379">
        <f t="shared" si="5"/>
        <v>123940</v>
      </c>
      <c r="K48" s="3">
        <v>123940</v>
      </c>
      <c r="L48" s="3">
        <v>0</v>
      </c>
      <c r="M48" s="3">
        <f t="shared" si="6"/>
        <v>123940</v>
      </c>
      <c r="N48" s="3">
        <v>0</v>
      </c>
      <c r="O48" s="3">
        <v>0</v>
      </c>
      <c r="P48" s="380">
        <f t="shared" si="7"/>
        <v>0</v>
      </c>
      <c r="Q48" s="3">
        <f t="shared" si="23"/>
        <v>217585</v>
      </c>
      <c r="R48" s="3">
        <f t="shared" si="23"/>
        <v>0</v>
      </c>
      <c r="S48" s="3">
        <f t="shared" si="24"/>
        <v>217585</v>
      </c>
      <c r="T48" s="3">
        <f t="shared" si="25"/>
        <v>0</v>
      </c>
      <c r="U48" s="3">
        <f t="shared" si="25"/>
        <v>0</v>
      </c>
      <c r="V48" s="3">
        <f t="shared" si="26"/>
        <v>0</v>
      </c>
      <c r="W48" s="474">
        <f t="shared" si="27"/>
        <v>217585</v>
      </c>
    </row>
    <row r="49" spans="1:23" ht="15.75" hidden="1" thickBot="1">
      <c r="A49" s="170">
        <v>41548</v>
      </c>
      <c r="B49" s="378">
        <f t="shared" si="0"/>
        <v>60007</v>
      </c>
      <c r="C49" s="3">
        <v>0</v>
      </c>
      <c r="D49" s="3">
        <f t="shared" si="1"/>
        <v>60007</v>
      </c>
      <c r="E49" s="3">
        <v>0</v>
      </c>
      <c r="F49" s="3">
        <f t="shared" si="2"/>
        <v>0</v>
      </c>
      <c r="G49" s="3">
        <f t="shared" si="3"/>
        <v>0</v>
      </c>
      <c r="H49" s="3">
        <f t="shared" si="4"/>
        <v>60007</v>
      </c>
      <c r="I49" s="3">
        <f t="shared" si="4"/>
        <v>0</v>
      </c>
      <c r="J49" s="379">
        <f t="shared" si="5"/>
        <v>60007</v>
      </c>
      <c r="K49" s="3">
        <v>60007</v>
      </c>
      <c r="L49" s="3">
        <v>0</v>
      </c>
      <c r="M49" s="3">
        <f t="shared" si="6"/>
        <v>60007</v>
      </c>
      <c r="N49" s="3">
        <v>0</v>
      </c>
      <c r="O49" s="3">
        <v>0</v>
      </c>
      <c r="P49" s="380">
        <f t="shared" si="7"/>
        <v>0</v>
      </c>
      <c r="Q49" s="3">
        <f t="shared" si="23"/>
        <v>277592</v>
      </c>
      <c r="R49" s="3">
        <f t="shared" si="23"/>
        <v>0</v>
      </c>
      <c r="S49" s="3">
        <f t="shared" si="24"/>
        <v>277592</v>
      </c>
      <c r="T49" s="3">
        <f t="shared" si="25"/>
        <v>0</v>
      </c>
      <c r="U49" s="3">
        <f t="shared" si="25"/>
        <v>0</v>
      </c>
      <c r="V49" s="3">
        <f t="shared" si="26"/>
        <v>0</v>
      </c>
      <c r="W49" s="474">
        <f t="shared" si="27"/>
        <v>277592</v>
      </c>
    </row>
    <row r="50" spans="1:23" ht="15.75" hidden="1" thickBot="1">
      <c r="A50" s="170">
        <v>41579</v>
      </c>
      <c r="B50" s="378">
        <f t="shared" si="0"/>
        <v>59094</v>
      </c>
      <c r="C50" s="3">
        <v>0</v>
      </c>
      <c r="D50" s="3">
        <f t="shared" si="1"/>
        <v>59094</v>
      </c>
      <c r="E50" s="3">
        <v>0</v>
      </c>
      <c r="F50" s="3">
        <f t="shared" si="2"/>
        <v>0</v>
      </c>
      <c r="G50" s="3">
        <f t="shared" si="3"/>
        <v>0</v>
      </c>
      <c r="H50" s="3">
        <f t="shared" si="4"/>
        <v>59094</v>
      </c>
      <c r="I50" s="3">
        <f t="shared" si="4"/>
        <v>0</v>
      </c>
      <c r="J50" s="379">
        <f t="shared" si="5"/>
        <v>59094</v>
      </c>
      <c r="K50" s="3">
        <v>59094</v>
      </c>
      <c r="L50" s="3">
        <v>0</v>
      </c>
      <c r="M50" s="3">
        <f t="shared" si="6"/>
        <v>59094</v>
      </c>
      <c r="N50" s="3">
        <v>0</v>
      </c>
      <c r="O50" s="3">
        <v>0</v>
      </c>
      <c r="P50" s="380">
        <f t="shared" si="7"/>
        <v>0</v>
      </c>
      <c r="Q50" s="3">
        <f t="shared" si="23"/>
        <v>336686</v>
      </c>
      <c r="R50" s="3">
        <f t="shared" si="23"/>
        <v>0</v>
      </c>
      <c r="S50" s="3">
        <f t="shared" si="24"/>
        <v>336686</v>
      </c>
      <c r="T50" s="3">
        <f t="shared" si="25"/>
        <v>0</v>
      </c>
      <c r="U50" s="3">
        <f t="shared" si="25"/>
        <v>0</v>
      </c>
      <c r="V50" s="3">
        <f t="shared" si="26"/>
        <v>0</v>
      </c>
      <c r="W50" s="474">
        <f t="shared" si="27"/>
        <v>336686</v>
      </c>
    </row>
    <row r="51" spans="1:23" ht="15.75" hidden="1" thickBot="1">
      <c r="A51" s="170">
        <v>41609</v>
      </c>
      <c r="B51" s="378">
        <f t="shared" si="0"/>
        <v>59091</v>
      </c>
      <c r="C51" s="3">
        <v>0</v>
      </c>
      <c r="D51" s="3">
        <f t="shared" si="1"/>
        <v>59091</v>
      </c>
      <c r="E51" s="3">
        <v>0</v>
      </c>
      <c r="F51" s="3">
        <f t="shared" si="2"/>
        <v>0</v>
      </c>
      <c r="G51" s="3">
        <f t="shared" si="3"/>
        <v>0</v>
      </c>
      <c r="H51" s="3">
        <f t="shared" si="4"/>
        <v>59091</v>
      </c>
      <c r="I51" s="3">
        <f t="shared" si="4"/>
        <v>0</v>
      </c>
      <c r="J51" s="379">
        <f t="shared" si="5"/>
        <v>59091</v>
      </c>
      <c r="K51" s="3">
        <v>59091</v>
      </c>
      <c r="L51" s="3">
        <v>0</v>
      </c>
      <c r="M51" s="3">
        <f t="shared" si="6"/>
        <v>59091</v>
      </c>
      <c r="N51" s="3">
        <v>0</v>
      </c>
      <c r="O51" s="3">
        <v>0</v>
      </c>
      <c r="P51" s="380">
        <f t="shared" si="7"/>
        <v>0</v>
      </c>
      <c r="Q51" s="3">
        <f t="shared" si="23"/>
        <v>395777</v>
      </c>
      <c r="R51" s="3">
        <f t="shared" si="23"/>
        <v>0</v>
      </c>
      <c r="S51" s="3">
        <f t="shared" si="24"/>
        <v>395777</v>
      </c>
      <c r="T51" s="3">
        <f t="shared" si="25"/>
        <v>0</v>
      </c>
      <c r="U51" s="3">
        <f t="shared" si="25"/>
        <v>0</v>
      </c>
      <c r="V51" s="3">
        <f t="shared" si="26"/>
        <v>0</v>
      </c>
      <c r="W51" s="474">
        <f t="shared" si="27"/>
        <v>395777</v>
      </c>
    </row>
    <row r="52" spans="1:23" ht="15.75" hidden="1" thickBot="1">
      <c r="A52" s="171">
        <v>41640</v>
      </c>
      <c r="B52" s="385">
        <f t="shared" si="0"/>
        <v>0</v>
      </c>
      <c r="C52" s="104">
        <v>0</v>
      </c>
      <c r="D52" s="104">
        <f t="shared" si="1"/>
        <v>0</v>
      </c>
      <c r="E52" s="104">
        <v>0</v>
      </c>
      <c r="F52" s="104">
        <f t="shared" si="2"/>
        <v>0</v>
      </c>
      <c r="G52" s="104">
        <f t="shared" si="3"/>
        <v>0</v>
      </c>
      <c r="H52" s="104">
        <f t="shared" si="4"/>
        <v>0</v>
      </c>
      <c r="I52" s="104">
        <f t="shared" si="4"/>
        <v>0</v>
      </c>
      <c r="J52" s="386">
        <f t="shared" si="5"/>
        <v>0</v>
      </c>
      <c r="K52" s="104">
        <v>0</v>
      </c>
      <c r="L52" s="104">
        <v>0</v>
      </c>
      <c r="M52" s="104">
        <f t="shared" si="6"/>
        <v>0</v>
      </c>
      <c r="N52" s="104">
        <v>0</v>
      </c>
      <c r="O52" s="104">
        <v>0</v>
      </c>
      <c r="P52" s="387">
        <f t="shared" si="7"/>
        <v>0</v>
      </c>
      <c r="Q52" s="104">
        <f>B52</f>
        <v>0</v>
      </c>
      <c r="R52" s="104">
        <f>C52</f>
        <v>0</v>
      </c>
      <c r="S52" s="104">
        <f>R52+Q52</f>
        <v>0</v>
      </c>
      <c r="T52" s="104">
        <f>E52</f>
        <v>0</v>
      </c>
      <c r="U52" s="104">
        <f>F52</f>
        <v>0</v>
      </c>
      <c r="V52" s="104">
        <f>U52+T52</f>
        <v>0</v>
      </c>
      <c r="W52" s="475">
        <f>V52+S52</f>
        <v>0</v>
      </c>
    </row>
    <row r="53" spans="1:23" ht="15.75" hidden="1" thickBot="1">
      <c r="A53" s="170">
        <v>41671</v>
      </c>
      <c r="B53" s="378">
        <f t="shared" si="0"/>
        <v>0</v>
      </c>
      <c r="C53" s="3">
        <v>0</v>
      </c>
      <c r="D53" s="3">
        <f t="shared" si="1"/>
        <v>0</v>
      </c>
      <c r="E53" s="3">
        <v>0</v>
      </c>
      <c r="F53" s="3">
        <f t="shared" si="2"/>
        <v>0</v>
      </c>
      <c r="G53" s="3">
        <f t="shared" si="3"/>
        <v>0</v>
      </c>
      <c r="H53" s="3">
        <f t="shared" si="4"/>
        <v>0</v>
      </c>
      <c r="I53" s="3">
        <f t="shared" si="4"/>
        <v>0</v>
      </c>
      <c r="J53" s="379">
        <f t="shared" si="5"/>
        <v>0</v>
      </c>
      <c r="K53" s="3">
        <v>0</v>
      </c>
      <c r="L53" s="3">
        <v>0</v>
      </c>
      <c r="M53" s="3">
        <f t="shared" si="6"/>
        <v>0</v>
      </c>
      <c r="N53" s="3">
        <v>0</v>
      </c>
      <c r="O53" s="3">
        <v>0</v>
      </c>
      <c r="P53" s="380">
        <f t="shared" si="7"/>
        <v>0</v>
      </c>
      <c r="Q53" s="3">
        <f>Q52+B53</f>
        <v>0</v>
      </c>
      <c r="R53" s="3">
        <f>R52+C53</f>
        <v>0</v>
      </c>
      <c r="S53" s="3">
        <f>R53+Q53</f>
        <v>0</v>
      </c>
      <c r="T53" s="3">
        <f>T52+E53</f>
        <v>0</v>
      </c>
      <c r="U53" s="3">
        <f>U52+F53</f>
        <v>0</v>
      </c>
      <c r="V53" s="3">
        <f>U53+T53</f>
        <v>0</v>
      </c>
      <c r="W53" s="474">
        <f>V53+S53</f>
        <v>0</v>
      </c>
    </row>
    <row r="54" spans="1:23" ht="15.75" hidden="1" thickBot="1">
      <c r="A54" s="170">
        <v>41699</v>
      </c>
      <c r="B54" s="378">
        <f t="shared" si="0"/>
        <v>0</v>
      </c>
      <c r="C54" s="3">
        <v>0</v>
      </c>
      <c r="D54" s="3">
        <f t="shared" si="1"/>
        <v>0</v>
      </c>
      <c r="E54" s="3">
        <v>0</v>
      </c>
      <c r="F54" s="3">
        <f t="shared" si="2"/>
        <v>472</v>
      </c>
      <c r="G54" s="3">
        <f t="shared" si="3"/>
        <v>472</v>
      </c>
      <c r="H54" s="3">
        <f t="shared" si="4"/>
        <v>0</v>
      </c>
      <c r="I54" s="3">
        <f t="shared" si="4"/>
        <v>472</v>
      </c>
      <c r="J54" s="379">
        <f t="shared" si="5"/>
        <v>472</v>
      </c>
      <c r="K54" s="3">
        <v>0</v>
      </c>
      <c r="L54" s="3">
        <v>0</v>
      </c>
      <c r="M54" s="3">
        <f t="shared" si="6"/>
        <v>0</v>
      </c>
      <c r="N54" s="3">
        <v>472</v>
      </c>
      <c r="O54" s="3">
        <v>0</v>
      </c>
      <c r="P54" s="380">
        <f t="shared" si="7"/>
        <v>472</v>
      </c>
      <c r="Q54" s="3">
        <f t="shared" ref="Q54:R63" si="28">Q53+B54</f>
        <v>0</v>
      </c>
      <c r="R54" s="3">
        <f t="shared" si="28"/>
        <v>0</v>
      </c>
      <c r="S54" s="3">
        <f t="shared" ref="S54:S63" si="29">R54+Q54</f>
        <v>0</v>
      </c>
      <c r="T54" s="3">
        <f t="shared" ref="T54:U63" si="30">T53+E54</f>
        <v>0</v>
      </c>
      <c r="U54" s="3">
        <f t="shared" si="30"/>
        <v>472</v>
      </c>
      <c r="V54" s="3">
        <f t="shared" ref="V54:V63" si="31">U54+T54</f>
        <v>472</v>
      </c>
      <c r="W54" s="474">
        <f t="shared" ref="W54:W63" si="32">V54+S54</f>
        <v>472</v>
      </c>
    </row>
    <row r="55" spans="1:23" ht="15.75" hidden="1" thickBot="1">
      <c r="A55" s="170">
        <v>41730</v>
      </c>
      <c r="B55" s="378">
        <f t="shared" si="0"/>
        <v>8859</v>
      </c>
      <c r="C55" s="3">
        <v>0</v>
      </c>
      <c r="D55" s="3">
        <f t="shared" si="1"/>
        <v>8859</v>
      </c>
      <c r="E55" s="3">
        <v>0</v>
      </c>
      <c r="F55" s="3">
        <f t="shared" si="2"/>
        <v>2091</v>
      </c>
      <c r="G55" s="3">
        <f t="shared" si="3"/>
        <v>2091</v>
      </c>
      <c r="H55" s="3">
        <f t="shared" si="4"/>
        <v>8859</v>
      </c>
      <c r="I55" s="3">
        <f t="shared" si="4"/>
        <v>2091</v>
      </c>
      <c r="J55" s="379">
        <f t="shared" si="5"/>
        <v>10950</v>
      </c>
      <c r="K55" s="3">
        <v>8859</v>
      </c>
      <c r="L55" s="3">
        <v>0</v>
      </c>
      <c r="M55" s="3">
        <f t="shared" si="6"/>
        <v>8859</v>
      </c>
      <c r="N55" s="3">
        <v>2091</v>
      </c>
      <c r="O55" s="3">
        <v>0</v>
      </c>
      <c r="P55" s="380">
        <f t="shared" si="7"/>
        <v>2091</v>
      </c>
      <c r="Q55" s="3">
        <f t="shared" si="28"/>
        <v>8859</v>
      </c>
      <c r="R55" s="3">
        <f t="shared" si="28"/>
        <v>0</v>
      </c>
      <c r="S55" s="3">
        <f t="shared" si="29"/>
        <v>8859</v>
      </c>
      <c r="T55" s="3">
        <f t="shared" si="30"/>
        <v>0</v>
      </c>
      <c r="U55" s="3">
        <f t="shared" si="30"/>
        <v>2563</v>
      </c>
      <c r="V55" s="3">
        <f t="shared" si="31"/>
        <v>2563</v>
      </c>
      <c r="W55" s="474">
        <f t="shared" si="32"/>
        <v>11422</v>
      </c>
    </row>
    <row r="56" spans="1:23" ht="15.75" hidden="1" thickBot="1">
      <c r="A56" s="170">
        <v>41760</v>
      </c>
      <c r="B56" s="378">
        <f t="shared" si="0"/>
        <v>0</v>
      </c>
      <c r="C56" s="3">
        <v>0</v>
      </c>
      <c r="D56" s="3">
        <f t="shared" si="1"/>
        <v>0</v>
      </c>
      <c r="E56" s="3">
        <v>0</v>
      </c>
      <c r="F56" s="3">
        <f t="shared" si="2"/>
        <v>0</v>
      </c>
      <c r="G56" s="3">
        <f t="shared" si="3"/>
        <v>0</v>
      </c>
      <c r="H56" s="3">
        <f t="shared" si="4"/>
        <v>0</v>
      </c>
      <c r="I56" s="3">
        <f t="shared" si="4"/>
        <v>0</v>
      </c>
      <c r="J56" s="379">
        <f t="shared" si="5"/>
        <v>0</v>
      </c>
      <c r="K56" s="3">
        <v>0</v>
      </c>
      <c r="L56" s="3">
        <v>0</v>
      </c>
      <c r="M56" s="3">
        <f t="shared" si="6"/>
        <v>0</v>
      </c>
      <c r="N56" s="3">
        <v>0</v>
      </c>
      <c r="O56" s="3">
        <v>0</v>
      </c>
      <c r="P56" s="380">
        <f t="shared" si="7"/>
        <v>0</v>
      </c>
      <c r="Q56" s="3">
        <f t="shared" si="28"/>
        <v>8859</v>
      </c>
      <c r="R56" s="3">
        <f t="shared" si="28"/>
        <v>0</v>
      </c>
      <c r="S56" s="3">
        <f t="shared" si="29"/>
        <v>8859</v>
      </c>
      <c r="T56" s="3">
        <f t="shared" si="30"/>
        <v>0</v>
      </c>
      <c r="U56" s="3">
        <f t="shared" si="30"/>
        <v>2563</v>
      </c>
      <c r="V56" s="3">
        <f t="shared" si="31"/>
        <v>2563</v>
      </c>
      <c r="W56" s="474">
        <f t="shared" si="32"/>
        <v>11422</v>
      </c>
    </row>
    <row r="57" spans="1:23" ht="15.75" hidden="1" thickBot="1">
      <c r="A57" s="170">
        <v>41791</v>
      </c>
      <c r="B57" s="378">
        <f t="shared" si="0"/>
        <v>0</v>
      </c>
      <c r="C57" s="3">
        <v>0</v>
      </c>
      <c r="D57" s="3">
        <f t="shared" si="1"/>
        <v>0</v>
      </c>
      <c r="E57" s="3">
        <v>0</v>
      </c>
      <c r="F57" s="3">
        <f t="shared" si="2"/>
        <v>0</v>
      </c>
      <c r="G57" s="3">
        <f t="shared" si="3"/>
        <v>0</v>
      </c>
      <c r="H57" s="3">
        <f t="shared" si="4"/>
        <v>0</v>
      </c>
      <c r="I57" s="3">
        <f t="shared" si="4"/>
        <v>0</v>
      </c>
      <c r="J57" s="379">
        <f t="shared" si="5"/>
        <v>0</v>
      </c>
      <c r="K57" s="3">
        <v>0</v>
      </c>
      <c r="L57" s="3">
        <v>0</v>
      </c>
      <c r="M57" s="3">
        <f t="shared" si="6"/>
        <v>0</v>
      </c>
      <c r="N57" s="3">
        <v>0</v>
      </c>
      <c r="O57" s="3">
        <v>0</v>
      </c>
      <c r="P57" s="380">
        <f t="shared" si="7"/>
        <v>0</v>
      </c>
      <c r="Q57" s="3">
        <f t="shared" si="28"/>
        <v>8859</v>
      </c>
      <c r="R57" s="3">
        <f t="shared" si="28"/>
        <v>0</v>
      </c>
      <c r="S57" s="3">
        <f t="shared" si="29"/>
        <v>8859</v>
      </c>
      <c r="T57" s="3">
        <f t="shared" si="30"/>
        <v>0</v>
      </c>
      <c r="U57" s="3">
        <f t="shared" si="30"/>
        <v>2563</v>
      </c>
      <c r="V57" s="3">
        <f t="shared" si="31"/>
        <v>2563</v>
      </c>
      <c r="W57" s="474">
        <f t="shared" si="32"/>
        <v>11422</v>
      </c>
    </row>
    <row r="58" spans="1:23" ht="15.75" hidden="1" thickBot="1">
      <c r="A58" s="170">
        <v>41821</v>
      </c>
      <c r="B58" s="378">
        <f t="shared" si="0"/>
        <v>0</v>
      </c>
      <c r="C58" s="3">
        <v>0</v>
      </c>
      <c r="D58" s="3">
        <f t="shared" si="1"/>
        <v>0</v>
      </c>
      <c r="E58" s="3">
        <v>0</v>
      </c>
      <c r="F58" s="3">
        <f t="shared" si="2"/>
        <v>1248</v>
      </c>
      <c r="G58" s="3">
        <f t="shared" si="3"/>
        <v>1248</v>
      </c>
      <c r="H58" s="3">
        <f t="shared" si="4"/>
        <v>0</v>
      </c>
      <c r="I58" s="3">
        <f t="shared" si="4"/>
        <v>1248</v>
      </c>
      <c r="J58" s="379">
        <f t="shared" si="5"/>
        <v>1248</v>
      </c>
      <c r="K58" s="3">
        <v>0</v>
      </c>
      <c r="L58" s="3">
        <v>0</v>
      </c>
      <c r="M58" s="3">
        <f t="shared" si="6"/>
        <v>0</v>
      </c>
      <c r="N58" s="3">
        <v>1248</v>
      </c>
      <c r="O58" s="3">
        <v>0</v>
      </c>
      <c r="P58" s="380">
        <f t="shared" si="7"/>
        <v>1248</v>
      </c>
      <c r="Q58" s="3">
        <f t="shared" si="28"/>
        <v>8859</v>
      </c>
      <c r="R58" s="3">
        <f t="shared" si="28"/>
        <v>0</v>
      </c>
      <c r="S58" s="3">
        <f t="shared" si="29"/>
        <v>8859</v>
      </c>
      <c r="T58" s="3">
        <f t="shared" si="30"/>
        <v>0</v>
      </c>
      <c r="U58" s="3">
        <f t="shared" si="30"/>
        <v>3811</v>
      </c>
      <c r="V58" s="3">
        <f t="shared" si="31"/>
        <v>3811</v>
      </c>
      <c r="W58" s="474">
        <f t="shared" si="32"/>
        <v>12670</v>
      </c>
    </row>
    <row r="59" spans="1:23" ht="15.75" hidden="1" thickBot="1">
      <c r="A59" s="170">
        <v>41852</v>
      </c>
      <c r="B59" s="378">
        <f t="shared" si="0"/>
        <v>0</v>
      </c>
      <c r="C59" s="3">
        <v>0</v>
      </c>
      <c r="D59" s="3">
        <f t="shared" si="1"/>
        <v>0</v>
      </c>
      <c r="E59" s="3">
        <v>0</v>
      </c>
      <c r="F59" s="3">
        <f t="shared" si="2"/>
        <v>5532</v>
      </c>
      <c r="G59" s="3">
        <f t="shared" si="3"/>
        <v>5532</v>
      </c>
      <c r="H59" s="3">
        <f t="shared" si="4"/>
        <v>0</v>
      </c>
      <c r="I59" s="3">
        <f t="shared" si="4"/>
        <v>5532</v>
      </c>
      <c r="J59" s="379">
        <f t="shared" si="5"/>
        <v>5532</v>
      </c>
      <c r="K59" s="3">
        <v>0</v>
      </c>
      <c r="L59" s="3">
        <v>0</v>
      </c>
      <c r="M59" s="3">
        <f t="shared" si="6"/>
        <v>0</v>
      </c>
      <c r="N59" s="3">
        <v>5532</v>
      </c>
      <c r="O59" s="3">
        <v>0</v>
      </c>
      <c r="P59" s="380">
        <f t="shared" si="7"/>
        <v>5532</v>
      </c>
      <c r="Q59" s="3">
        <f t="shared" si="28"/>
        <v>8859</v>
      </c>
      <c r="R59" s="3">
        <f t="shared" si="28"/>
        <v>0</v>
      </c>
      <c r="S59" s="3">
        <f t="shared" si="29"/>
        <v>8859</v>
      </c>
      <c r="T59" s="3">
        <f t="shared" si="30"/>
        <v>0</v>
      </c>
      <c r="U59" s="3">
        <f t="shared" si="30"/>
        <v>9343</v>
      </c>
      <c r="V59" s="3">
        <f t="shared" si="31"/>
        <v>9343</v>
      </c>
      <c r="W59" s="474">
        <f t="shared" si="32"/>
        <v>18202</v>
      </c>
    </row>
    <row r="60" spans="1:23" ht="15.75" hidden="1" thickBot="1">
      <c r="A60" s="170">
        <v>41883</v>
      </c>
      <c r="B60" s="378">
        <f t="shared" si="0"/>
        <v>0</v>
      </c>
      <c r="C60" s="3">
        <v>0</v>
      </c>
      <c r="D60" s="3">
        <f t="shared" si="1"/>
        <v>0</v>
      </c>
      <c r="E60" s="3">
        <v>0</v>
      </c>
      <c r="F60" s="3">
        <f t="shared" si="2"/>
        <v>17073</v>
      </c>
      <c r="G60" s="3">
        <f t="shared" si="3"/>
        <v>17073</v>
      </c>
      <c r="H60" s="3">
        <f t="shared" si="4"/>
        <v>0</v>
      </c>
      <c r="I60" s="3">
        <f t="shared" si="4"/>
        <v>17073</v>
      </c>
      <c r="J60" s="379">
        <f t="shared" si="5"/>
        <v>17073</v>
      </c>
      <c r="K60" s="3">
        <v>0</v>
      </c>
      <c r="L60" s="3">
        <v>0</v>
      </c>
      <c r="M60" s="3">
        <f t="shared" si="6"/>
        <v>0</v>
      </c>
      <c r="N60" s="3">
        <v>17073</v>
      </c>
      <c r="O60" s="3">
        <v>0</v>
      </c>
      <c r="P60" s="380">
        <f t="shared" si="7"/>
        <v>17073</v>
      </c>
      <c r="Q60" s="3">
        <f t="shared" si="28"/>
        <v>8859</v>
      </c>
      <c r="R60" s="3">
        <f t="shared" si="28"/>
        <v>0</v>
      </c>
      <c r="S60" s="3">
        <f t="shared" si="29"/>
        <v>8859</v>
      </c>
      <c r="T60" s="3">
        <f t="shared" si="30"/>
        <v>0</v>
      </c>
      <c r="U60" s="3">
        <f t="shared" si="30"/>
        <v>26416</v>
      </c>
      <c r="V60" s="3">
        <f t="shared" si="31"/>
        <v>26416</v>
      </c>
      <c r="W60" s="474">
        <f t="shared" si="32"/>
        <v>35275</v>
      </c>
    </row>
    <row r="61" spans="1:23" ht="15.75" hidden="1" thickBot="1">
      <c r="A61" s="170">
        <v>41913</v>
      </c>
      <c r="B61" s="378">
        <f t="shared" si="0"/>
        <v>0</v>
      </c>
      <c r="C61" s="3">
        <v>0</v>
      </c>
      <c r="D61" s="3">
        <f t="shared" si="1"/>
        <v>0</v>
      </c>
      <c r="E61" s="3">
        <v>0</v>
      </c>
      <c r="F61" s="3">
        <f t="shared" si="2"/>
        <v>24030</v>
      </c>
      <c r="G61" s="3">
        <f t="shared" si="3"/>
        <v>24030</v>
      </c>
      <c r="H61" s="3">
        <f t="shared" si="4"/>
        <v>0</v>
      </c>
      <c r="I61" s="3">
        <f t="shared" si="4"/>
        <v>24030</v>
      </c>
      <c r="J61" s="379">
        <f t="shared" si="5"/>
        <v>24030</v>
      </c>
      <c r="K61" s="3">
        <v>0</v>
      </c>
      <c r="L61" s="3">
        <v>0</v>
      </c>
      <c r="M61" s="3">
        <f t="shared" si="6"/>
        <v>0</v>
      </c>
      <c r="N61" s="3">
        <v>24030</v>
      </c>
      <c r="O61" s="3">
        <v>0</v>
      </c>
      <c r="P61" s="380">
        <f t="shared" si="7"/>
        <v>24030</v>
      </c>
      <c r="Q61" s="3">
        <f t="shared" si="28"/>
        <v>8859</v>
      </c>
      <c r="R61" s="3">
        <f t="shared" si="28"/>
        <v>0</v>
      </c>
      <c r="S61" s="3">
        <f t="shared" si="29"/>
        <v>8859</v>
      </c>
      <c r="T61" s="3">
        <f t="shared" si="30"/>
        <v>0</v>
      </c>
      <c r="U61" s="3">
        <f t="shared" si="30"/>
        <v>50446</v>
      </c>
      <c r="V61" s="3">
        <f t="shared" si="31"/>
        <v>50446</v>
      </c>
      <c r="W61" s="474">
        <f t="shared" si="32"/>
        <v>59305</v>
      </c>
    </row>
    <row r="62" spans="1:23" ht="15.75" hidden="1" thickBot="1">
      <c r="A62" s="170">
        <v>41944</v>
      </c>
      <c r="B62" s="378">
        <f t="shared" si="0"/>
        <v>0</v>
      </c>
      <c r="C62" s="3">
        <v>0</v>
      </c>
      <c r="D62" s="3">
        <f t="shared" si="1"/>
        <v>0</v>
      </c>
      <c r="E62" s="3">
        <v>0</v>
      </c>
      <c r="F62" s="3">
        <f t="shared" si="2"/>
        <v>0</v>
      </c>
      <c r="G62" s="3">
        <f t="shared" si="3"/>
        <v>0</v>
      </c>
      <c r="H62" s="3">
        <f t="shared" si="4"/>
        <v>0</v>
      </c>
      <c r="I62" s="3">
        <f t="shared" si="4"/>
        <v>0</v>
      </c>
      <c r="J62" s="379">
        <f t="shared" si="5"/>
        <v>0</v>
      </c>
      <c r="K62" s="3">
        <v>0</v>
      </c>
      <c r="L62" s="3">
        <v>0</v>
      </c>
      <c r="M62" s="3">
        <f t="shared" si="6"/>
        <v>0</v>
      </c>
      <c r="N62" s="3">
        <v>0</v>
      </c>
      <c r="O62" s="3">
        <v>0</v>
      </c>
      <c r="P62" s="380">
        <f t="shared" si="7"/>
        <v>0</v>
      </c>
      <c r="Q62" s="3">
        <f t="shared" si="28"/>
        <v>8859</v>
      </c>
      <c r="R62" s="3">
        <f t="shared" si="28"/>
        <v>0</v>
      </c>
      <c r="S62" s="3">
        <f t="shared" si="29"/>
        <v>8859</v>
      </c>
      <c r="T62" s="3">
        <f t="shared" si="30"/>
        <v>0</v>
      </c>
      <c r="U62" s="3">
        <f t="shared" si="30"/>
        <v>50446</v>
      </c>
      <c r="V62" s="3">
        <f t="shared" si="31"/>
        <v>50446</v>
      </c>
      <c r="W62" s="474">
        <f t="shared" si="32"/>
        <v>59305</v>
      </c>
    </row>
    <row r="63" spans="1:23" ht="15.75" hidden="1" thickBot="1">
      <c r="A63" s="170">
        <v>41974</v>
      </c>
      <c r="B63" s="378">
        <f t="shared" si="0"/>
        <v>0</v>
      </c>
      <c r="C63" s="3">
        <v>0</v>
      </c>
      <c r="D63" s="3">
        <f t="shared" si="1"/>
        <v>0</v>
      </c>
      <c r="E63" s="3">
        <v>0</v>
      </c>
      <c r="F63" s="3">
        <f t="shared" si="2"/>
        <v>0</v>
      </c>
      <c r="G63" s="3">
        <f t="shared" si="3"/>
        <v>0</v>
      </c>
      <c r="H63" s="3">
        <f t="shared" si="4"/>
        <v>0</v>
      </c>
      <c r="I63" s="3">
        <f t="shared" si="4"/>
        <v>0</v>
      </c>
      <c r="J63" s="379">
        <f t="shared" si="5"/>
        <v>0</v>
      </c>
      <c r="K63" s="3">
        <v>0</v>
      </c>
      <c r="L63" s="3">
        <v>0</v>
      </c>
      <c r="M63" s="3">
        <f t="shared" si="6"/>
        <v>0</v>
      </c>
      <c r="N63" s="3">
        <v>0</v>
      </c>
      <c r="O63" s="3">
        <v>0</v>
      </c>
      <c r="P63" s="380">
        <f t="shared" si="7"/>
        <v>0</v>
      </c>
      <c r="Q63" s="3">
        <f t="shared" si="28"/>
        <v>8859</v>
      </c>
      <c r="R63" s="3">
        <f t="shared" si="28"/>
        <v>0</v>
      </c>
      <c r="S63" s="3">
        <f t="shared" si="29"/>
        <v>8859</v>
      </c>
      <c r="T63" s="3">
        <f t="shared" si="30"/>
        <v>0</v>
      </c>
      <c r="U63" s="3">
        <f t="shared" si="30"/>
        <v>50446</v>
      </c>
      <c r="V63" s="3">
        <f t="shared" si="31"/>
        <v>50446</v>
      </c>
      <c r="W63" s="474">
        <f t="shared" si="32"/>
        <v>59305</v>
      </c>
    </row>
    <row r="64" spans="1:23" ht="15.75" hidden="1" thickBot="1">
      <c r="A64" s="171">
        <v>42005</v>
      </c>
      <c r="B64" s="385">
        <f t="shared" si="0"/>
        <v>0</v>
      </c>
      <c r="C64" s="104">
        <v>0</v>
      </c>
      <c r="D64" s="104">
        <f t="shared" si="1"/>
        <v>0</v>
      </c>
      <c r="E64" s="104">
        <v>0</v>
      </c>
      <c r="F64" s="104">
        <f t="shared" si="2"/>
        <v>0</v>
      </c>
      <c r="G64" s="104">
        <f t="shared" si="3"/>
        <v>0</v>
      </c>
      <c r="H64" s="104">
        <f t="shared" si="4"/>
        <v>0</v>
      </c>
      <c r="I64" s="104">
        <f t="shared" si="4"/>
        <v>0</v>
      </c>
      <c r="J64" s="386">
        <f t="shared" si="5"/>
        <v>0</v>
      </c>
      <c r="K64" s="104">
        <v>0</v>
      </c>
      <c r="L64" s="104">
        <v>0</v>
      </c>
      <c r="M64" s="104">
        <f t="shared" si="6"/>
        <v>0</v>
      </c>
      <c r="N64" s="104">
        <v>0</v>
      </c>
      <c r="O64" s="104">
        <v>0</v>
      </c>
      <c r="P64" s="387">
        <f t="shared" si="7"/>
        <v>0</v>
      </c>
      <c r="Q64" s="104">
        <f>B64</f>
        <v>0</v>
      </c>
      <c r="R64" s="104">
        <f>C64</f>
        <v>0</v>
      </c>
      <c r="S64" s="104">
        <f>R64+Q64</f>
        <v>0</v>
      </c>
      <c r="T64" s="104">
        <f>E64</f>
        <v>0</v>
      </c>
      <c r="U64" s="104">
        <f>F64</f>
        <v>0</v>
      </c>
      <c r="V64" s="104">
        <f>U64+T64</f>
        <v>0</v>
      </c>
      <c r="W64" s="475">
        <f>V64+S64</f>
        <v>0</v>
      </c>
    </row>
    <row r="65" spans="1:23" ht="15.75" hidden="1" thickBot="1">
      <c r="A65" s="170">
        <v>42036</v>
      </c>
      <c r="B65" s="378">
        <f t="shared" si="0"/>
        <v>0</v>
      </c>
      <c r="C65" s="3">
        <v>0</v>
      </c>
      <c r="D65" s="3">
        <f t="shared" si="1"/>
        <v>0</v>
      </c>
      <c r="E65" s="3">
        <v>0</v>
      </c>
      <c r="F65" s="3">
        <f t="shared" si="2"/>
        <v>0</v>
      </c>
      <c r="G65" s="3">
        <f t="shared" si="3"/>
        <v>0</v>
      </c>
      <c r="H65" s="3">
        <f t="shared" si="4"/>
        <v>0</v>
      </c>
      <c r="I65" s="3">
        <f t="shared" si="4"/>
        <v>0</v>
      </c>
      <c r="J65" s="379">
        <f t="shared" si="5"/>
        <v>0</v>
      </c>
      <c r="K65" s="3">
        <v>0</v>
      </c>
      <c r="L65" s="3">
        <v>0</v>
      </c>
      <c r="M65" s="3">
        <f t="shared" si="6"/>
        <v>0</v>
      </c>
      <c r="N65" s="3">
        <v>0</v>
      </c>
      <c r="O65" s="3">
        <v>0</v>
      </c>
      <c r="P65" s="380">
        <f t="shared" si="7"/>
        <v>0</v>
      </c>
      <c r="Q65" s="3">
        <f>Q64+B65</f>
        <v>0</v>
      </c>
      <c r="R65" s="3">
        <f>R64+C65</f>
        <v>0</v>
      </c>
      <c r="S65" s="3">
        <f>R65+Q65</f>
        <v>0</v>
      </c>
      <c r="T65" s="3">
        <f>T64+E65</f>
        <v>0</v>
      </c>
      <c r="U65" s="3">
        <f>U64+F65</f>
        <v>0</v>
      </c>
      <c r="V65" s="3">
        <f>U65+T65</f>
        <v>0</v>
      </c>
      <c r="W65" s="474">
        <f>V65+S65</f>
        <v>0</v>
      </c>
    </row>
    <row r="66" spans="1:23" ht="15.75" hidden="1" thickBot="1">
      <c r="A66" s="170">
        <v>42064</v>
      </c>
      <c r="B66" s="378">
        <f t="shared" si="0"/>
        <v>0</v>
      </c>
      <c r="C66" s="3">
        <v>0</v>
      </c>
      <c r="D66" s="3">
        <f t="shared" si="1"/>
        <v>0</v>
      </c>
      <c r="E66" s="3">
        <v>0</v>
      </c>
      <c r="F66" s="3">
        <f t="shared" si="2"/>
        <v>0</v>
      </c>
      <c r="G66" s="3">
        <f t="shared" si="3"/>
        <v>0</v>
      </c>
      <c r="H66" s="3">
        <f t="shared" si="4"/>
        <v>0</v>
      </c>
      <c r="I66" s="3">
        <f t="shared" si="4"/>
        <v>0</v>
      </c>
      <c r="J66" s="379">
        <f t="shared" si="5"/>
        <v>0</v>
      </c>
      <c r="K66" s="3">
        <v>0</v>
      </c>
      <c r="L66" s="3">
        <v>0</v>
      </c>
      <c r="M66" s="3">
        <f t="shared" si="6"/>
        <v>0</v>
      </c>
      <c r="N66" s="3">
        <v>0</v>
      </c>
      <c r="O66" s="3">
        <v>0</v>
      </c>
      <c r="P66" s="380">
        <f t="shared" si="7"/>
        <v>0</v>
      </c>
      <c r="Q66" s="3">
        <f t="shared" ref="Q66:R75" si="33">Q65+B66</f>
        <v>0</v>
      </c>
      <c r="R66" s="3">
        <f t="shared" si="33"/>
        <v>0</v>
      </c>
      <c r="S66" s="3">
        <f t="shared" ref="S66:S75" si="34">R66+Q66</f>
        <v>0</v>
      </c>
      <c r="T66" s="3">
        <f t="shared" ref="T66:U75" si="35">T65+E66</f>
        <v>0</v>
      </c>
      <c r="U66" s="3">
        <f t="shared" si="35"/>
        <v>0</v>
      </c>
      <c r="V66" s="3">
        <f t="shared" ref="V66:V75" si="36">U66+T66</f>
        <v>0</v>
      </c>
      <c r="W66" s="474">
        <f t="shared" ref="W66:W75" si="37">V66+S66</f>
        <v>0</v>
      </c>
    </row>
    <row r="67" spans="1:23" ht="15.75" hidden="1" thickBot="1">
      <c r="A67" s="170">
        <v>42095</v>
      </c>
      <c r="B67" s="378">
        <f t="shared" si="0"/>
        <v>0</v>
      </c>
      <c r="C67" s="3">
        <v>0</v>
      </c>
      <c r="D67" s="3">
        <f t="shared" si="1"/>
        <v>0</v>
      </c>
      <c r="E67" s="3">
        <v>0</v>
      </c>
      <c r="F67" s="3">
        <f t="shared" si="2"/>
        <v>0</v>
      </c>
      <c r="G67" s="3">
        <f t="shared" si="3"/>
        <v>0</v>
      </c>
      <c r="H67" s="3">
        <f t="shared" si="4"/>
        <v>0</v>
      </c>
      <c r="I67" s="3">
        <f t="shared" si="4"/>
        <v>0</v>
      </c>
      <c r="J67" s="379">
        <f t="shared" si="5"/>
        <v>0</v>
      </c>
      <c r="K67" s="3">
        <v>0</v>
      </c>
      <c r="L67" s="3">
        <v>0</v>
      </c>
      <c r="M67" s="3">
        <f t="shared" si="6"/>
        <v>0</v>
      </c>
      <c r="N67" s="3">
        <v>0</v>
      </c>
      <c r="O67" s="3">
        <v>0</v>
      </c>
      <c r="P67" s="380">
        <f t="shared" si="7"/>
        <v>0</v>
      </c>
      <c r="Q67" s="3">
        <f t="shared" si="33"/>
        <v>0</v>
      </c>
      <c r="R67" s="3">
        <f t="shared" si="33"/>
        <v>0</v>
      </c>
      <c r="S67" s="3">
        <f t="shared" si="34"/>
        <v>0</v>
      </c>
      <c r="T67" s="3">
        <f t="shared" si="35"/>
        <v>0</v>
      </c>
      <c r="U67" s="3">
        <f t="shared" si="35"/>
        <v>0</v>
      </c>
      <c r="V67" s="3">
        <f t="shared" si="36"/>
        <v>0</v>
      </c>
      <c r="W67" s="474">
        <f t="shared" si="37"/>
        <v>0</v>
      </c>
    </row>
    <row r="68" spans="1:23" ht="15.75" hidden="1" thickBot="1">
      <c r="A68" s="170">
        <v>42125</v>
      </c>
      <c r="B68" s="378">
        <f t="shared" si="0"/>
        <v>0</v>
      </c>
      <c r="C68" s="3">
        <v>0</v>
      </c>
      <c r="D68" s="3">
        <f t="shared" si="1"/>
        <v>0</v>
      </c>
      <c r="E68" s="3">
        <v>0</v>
      </c>
      <c r="F68" s="3">
        <f t="shared" si="2"/>
        <v>173731</v>
      </c>
      <c r="G68" s="3">
        <f t="shared" si="3"/>
        <v>173731</v>
      </c>
      <c r="H68" s="3">
        <f t="shared" si="4"/>
        <v>0</v>
      </c>
      <c r="I68" s="3">
        <f t="shared" si="4"/>
        <v>173731</v>
      </c>
      <c r="J68" s="379">
        <f t="shared" si="5"/>
        <v>173731</v>
      </c>
      <c r="K68" s="3">
        <v>0</v>
      </c>
      <c r="L68" s="3">
        <v>0</v>
      </c>
      <c r="M68" s="3">
        <f t="shared" si="6"/>
        <v>0</v>
      </c>
      <c r="N68" s="3">
        <v>173731</v>
      </c>
      <c r="O68" s="3">
        <v>0</v>
      </c>
      <c r="P68" s="380">
        <f t="shared" si="7"/>
        <v>173731</v>
      </c>
      <c r="Q68" s="3">
        <f t="shared" si="33"/>
        <v>0</v>
      </c>
      <c r="R68" s="3">
        <f t="shared" si="33"/>
        <v>0</v>
      </c>
      <c r="S68" s="3">
        <f t="shared" si="34"/>
        <v>0</v>
      </c>
      <c r="T68" s="3">
        <f t="shared" si="35"/>
        <v>0</v>
      </c>
      <c r="U68" s="3">
        <f t="shared" si="35"/>
        <v>173731</v>
      </c>
      <c r="V68" s="3">
        <f t="shared" si="36"/>
        <v>173731</v>
      </c>
      <c r="W68" s="474">
        <f t="shared" si="37"/>
        <v>173731</v>
      </c>
    </row>
    <row r="69" spans="1:23" ht="15.75" hidden="1" thickBot="1">
      <c r="A69" s="170">
        <v>42156</v>
      </c>
      <c r="B69" s="378">
        <f t="shared" ref="B69:B99" si="38">M69</f>
        <v>0</v>
      </c>
      <c r="C69" s="3">
        <v>0</v>
      </c>
      <c r="D69" s="3">
        <f t="shared" ref="D69:D120" si="39">C69+B69</f>
        <v>0</v>
      </c>
      <c r="E69" s="3">
        <v>0</v>
      </c>
      <c r="F69" s="3">
        <f t="shared" ref="F69:F99" si="40">P69</f>
        <v>0</v>
      </c>
      <c r="G69" s="3">
        <f t="shared" ref="G69:G120" si="41">F69+E69</f>
        <v>0</v>
      </c>
      <c r="H69" s="3">
        <f t="shared" ref="H69:I109" si="42">B69+E69</f>
        <v>0</v>
      </c>
      <c r="I69" s="3">
        <f t="shared" si="42"/>
        <v>0</v>
      </c>
      <c r="J69" s="379">
        <f t="shared" ref="J69:J119" si="43">I69+H69</f>
        <v>0</v>
      </c>
      <c r="K69" s="3">
        <v>0</v>
      </c>
      <c r="L69" s="3">
        <v>0</v>
      </c>
      <c r="M69" s="3">
        <f t="shared" ref="M69:M120" si="44">L69+K69</f>
        <v>0</v>
      </c>
      <c r="N69" s="3">
        <v>0</v>
      </c>
      <c r="O69" s="3">
        <v>0</v>
      </c>
      <c r="P69" s="380">
        <f t="shared" ref="P69:P120" si="45">O69+N69</f>
        <v>0</v>
      </c>
      <c r="Q69" s="3">
        <f t="shared" si="33"/>
        <v>0</v>
      </c>
      <c r="R69" s="3">
        <f t="shared" si="33"/>
        <v>0</v>
      </c>
      <c r="S69" s="3">
        <f t="shared" si="34"/>
        <v>0</v>
      </c>
      <c r="T69" s="3">
        <f t="shared" si="35"/>
        <v>0</v>
      </c>
      <c r="U69" s="3">
        <f t="shared" si="35"/>
        <v>173731</v>
      </c>
      <c r="V69" s="3">
        <f t="shared" si="36"/>
        <v>173731</v>
      </c>
      <c r="W69" s="474">
        <f t="shared" si="37"/>
        <v>173731</v>
      </c>
    </row>
    <row r="70" spans="1:23" ht="15.75" hidden="1" thickBot="1">
      <c r="A70" s="170">
        <v>42186</v>
      </c>
      <c r="B70" s="378">
        <f t="shared" si="38"/>
        <v>0</v>
      </c>
      <c r="C70" s="3">
        <v>0</v>
      </c>
      <c r="D70" s="3">
        <f t="shared" si="39"/>
        <v>0</v>
      </c>
      <c r="E70" s="3">
        <v>0</v>
      </c>
      <c r="F70" s="3">
        <f t="shared" si="40"/>
        <v>0</v>
      </c>
      <c r="G70" s="3">
        <f t="shared" si="41"/>
        <v>0</v>
      </c>
      <c r="H70" s="3">
        <f t="shared" si="42"/>
        <v>0</v>
      </c>
      <c r="I70" s="3">
        <f t="shared" si="42"/>
        <v>0</v>
      </c>
      <c r="J70" s="379">
        <f t="shared" si="43"/>
        <v>0</v>
      </c>
      <c r="K70" s="3">
        <v>0</v>
      </c>
      <c r="L70" s="3">
        <v>0</v>
      </c>
      <c r="M70" s="3">
        <f t="shared" si="44"/>
        <v>0</v>
      </c>
      <c r="N70" s="3">
        <v>0</v>
      </c>
      <c r="O70" s="3">
        <v>0</v>
      </c>
      <c r="P70" s="380">
        <f t="shared" si="45"/>
        <v>0</v>
      </c>
      <c r="Q70" s="3">
        <f t="shared" si="33"/>
        <v>0</v>
      </c>
      <c r="R70" s="3">
        <f t="shared" si="33"/>
        <v>0</v>
      </c>
      <c r="S70" s="3">
        <f t="shared" si="34"/>
        <v>0</v>
      </c>
      <c r="T70" s="3">
        <f t="shared" si="35"/>
        <v>0</v>
      </c>
      <c r="U70" s="3">
        <f t="shared" si="35"/>
        <v>173731</v>
      </c>
      <c r="V70" s="3">
        <f t="shared" si="36"/>
        <v>173731</v>
      </c>
      <c r="W70" s="474">
        <f t="shared" si="37"/>
        <v>173731</v>
      </c>
    </row>
    <row r="71" spans="1:23" ht="15.75" hidden="1" thickBot="1">
      <c r="A71" s="170">
        <v>42217</v>
      </c>
      <c r="B71" s="378">
        <f t="shared" si="38"/>
        <v>0</v>
      </c>
      <c r="C71" s="3">
        <v>0</v>
      </c>
      <c r="D71" s="3">
        <f t="shared" si="39"/>
        <v>0</v>
      </c>
      <c r="E71" s="3">
        <v>0</v>
      </c>
      <c r="F71" s="3">
        <f t="shared" si="40"/>
        <v>53303</v>
      </c>
      <c r="G71" s="3">
        <f t="shared" si="41"/>
        <v>53303</v>
      </c>
      <c r="H71" s="3">
        <f t="shared" si="42"/>
        <v>0</v>
      </c>
      <c r="I71" s="3">
        <f t="shared" si="42"/>
        <v>53303</v>
      </c>
      <c r="J71" s="379">
        <f t="shared" si="43"/>
        <v>53303</v>
      </c>
      <c r="K71" s="3">
        <v>0</v>
      </c>
      <c r="L71" s="3">
        <v>0</v>
      </c>
      <c r="M71" s="3">
        <f t="shared" si="44"/>
        <v>0</v>
      </c>
      <c r="N71" s="3">
        <v>53303</v>
      </c>
      <c r="O71" s="3">
        <v>0</v>
      </c>
      <c r="P71" s="380">
        <f t="shared" si="45"/>
        <v>53303</v>
      </c>
      <c r="Q71" s="3">
        <f t="shared" si="33"/>
        <v>0</v>
      </c>
      <c r="R71" s="3">
        <f t="shared" si="33"/>
        <v>0</v>
      </c>
      <c r="S71" s="3">
        <f t="shared" si="34"/>
        <v>0</v>
      </c>
      <c r="T71" s="3">
        <f t="shared" si="35"/>
        <v>0</v>
      </c>
      <c r="U71" s="3">
        <f t="shared" si="35"/>
        <v>227034</v>
      </c>
      <c r="V71" s="3">
        <f t="shared" si="36"/>
        <v>227034</v>
      </c>
      <c r="W71" s="474">
        <f t="shared" si="37"/>
        <v>227034</v>
      </c>
    </row>
    <row r="72" spans="1:23" ht="15.75" hidden="1" thickBot="1">
      <c r="A72" s="170">
        <v>42248</v>
      </c>
      <c r="B72" s="378">
        <f t="shared" si="38"/>
        <v>0</v>
      </c>
      <c r="C72" s="3">
        <v>0</v>
      </c>
      <c r="D72" s="3">
        <f t="shared" si="39"/>
        <v>0</v>
      </c>
      <c r="E72" s="3">
        <v>0</v>
      </c>
      <c r="F72" s="3">
        <f t="shared" si="40"/>
        <v>0</v>
      </c>
      <c r="G72" s="3">
        <f t="shared" si="41"/>
        <v>0</v>
      </c>
      <c r="H72" s="3">
        <f t="shared" si="42"/>
        <v>0</v>
      </c>
      <c r="I72" s="3">
        <f t="shared" si="42"/>
        <v>0</v>
      </c>
      <c r="J72" s="379">
        <f t="shared" si="43"/>
        <v>0</v>
      </c>
      <c r="K72" s="3">
        <v>0</v>
      </c>
      <c r="L72" s="3">
        <v>0</v>
      </c>
      <c r="M72" s="3">
        <f t="shared" si="44"/>
        <v>0</v>
      </c>
      <c r="N72" s="3">
        <v>0</v>
      </c>
      <c r="O72" s="3">
        <v>0</v>
      </c>
      <c r="P72" s="380">
        <f t="shared" si="45"/>
        <v>0</v>
      </c>
      <c r="Q72" s="3">
        <f t="shared" si="33"/>
        <v>0</v>
      </c>
      <c r="R72" s="3">
        <f t="shared" si="33"/>
        <v>0</v>
      </c>
      <c r="S72" s="3">
        <f t="shared" si="34"/>
        <v>0</v>
      </c>
      <c r="T72" s="3">
        <f t="shared" si="35"/>
        <v>0</v>
      </c>
      <c r="U72" s="3">
        <f t="shared" si="35"/>
        <v>227034</v>
      </c>
      <c r="V72" s="3">
        <f t="shared" si="36"/>
        <v>227034</v>
      </c>
      <c r="W72" s="474">
        <f t="shared" si="37"/>
        <v>227034</v>
      </c>
    </row>
    <row r="73" spans="1:23" ht="15.75" hidden="1" thickBot="1">
      <c r="A73" s="170">
        <v>42278</v>
      </c>
      <c r="B73" s="378">
        <f t="shared" si="38"/>
        <v>0</v>
      </c>
      <c r="C73" s="3">
        <v>0</v>
      </c>
      <c r="D73" s="3">
        <f t="shared" si="39"/>
        <v>0</v>
      </c>
      <c r="E73" s="3">
        <v>0</v>
      </c>
      <c r="F73" s="3">
        <f t="shared" si="40"/>
        <v>0</v>
      </c>
      <c r="G73" s="3">
        <f t="shared" si="41"/>
        <v>0</v>
      </c>
      <c r="H73" s="3">
        <f t="shared" si="42"/>
        <v>0</v>
      </c>
      <c r="I73" s="3">
        <f t="shared" si="42"/>
        <v>0</v>
      </c>
      <c r="J73" s="379">
        <f t="shared" si="43"/>
        <v>0</v>
      </c>
      <c r="K73" s="3">
        <v>0</v>
      </c>
      <c r="L73" s="3">
        <v>0</v>
      </c>
      <c r="M73" s="3">
        <f t="shared" si="44"/>
        <v>0</v>
      </c>
      <c r="N73" s="3">
        <v>0</v>
      </c>
      <c r="O73" s="3">
        <v>0</v>
      </c>
      <c r="P73" s="380">
        <f t="shared" si="45"/>
        <v>0</v>
      </c>
      <c r="Q73" s="3">
        <f t="shared" si="33"/>
        <v>0</v>
      </c>
      <c r="R73" s="3">
        <f t="shared" si="33"/>
        <v>0</v>
      </c>
      <c r="S73" s="3">
        <f t="shared" si="34"/>
        <v>0</v>
      </c>
      <c r="T73" s="3">
        <f t="shared" si="35"/>
        <v>0</v>
      </c>
      <c r="U73" s="3">
        <f t="shared" si="35"/>
        <v>227034</v>
      </c>
      <c r="V73" s="3">
        <f t="shared" si="36"/>
        <v>227034</v>
      </c>
      <c r="W73" s="474">
        <f t="shared" si="37"/>
        <v>227034</v>
      </c>
    </row>
    <row r="74" spans="1:23" ht="15.75" hidden="1" thickBot="1">
      <c r="A74" s="170">
        <v>42309</v>
      </c>
      <c r="B74" s="378">
        <f t="shared" si="38"/>
        <v>0</v>
      </c>
      <c r="C74" s="3">
        <v>0</v>
      </c>
      <c r="D74" s="3">
        <f t="shared" si="39"/>
        <v>0</v>
      </c>
      <c r="E74" s="3">
        <v>0</v>
      </c>
      <c r="F74" s="3">
        <f t="shared" si="40"/>
        <v>48281</v>
      </c>
      <c r="G74" s="3">
        <f t="shared" si="41"/>
        <v>48281</v>
      </c>
      <c r="H74" s="3">
        <f t="shared" si="42"/>
        <v>0</v>
      </c>
      <c r="I74" s="3">
        <f t="shared" si="42"/>
        <v>48281</v>
      </c>
      <c r="J74" s="379">
        <f t="shared" si="43"/>
        <v>48281</v>
      </c>
      <c r="K74" s="3">
        <v>0</v>
      </c>
      <c r="L74" s="3">
        <v>0</v>
      </c>
      <c r="M74" s="3">
        <f t="shared" si="44"/>
        <v>0</v>
      </c>
      <c r="N74" s="3">
        <v>48281</v>
      </c>
      <c r="O74" s="3">
        <v>0</v>
      </c>
      <c r="P74" s="380">
        <f t="shared" si="45"/>
        <v>48281</v>
      </c>
      <c r="Q74" s="3">
        <f t="shared" si="33"/>
        <v>0</v>
      </c>
      <c r="R74" s="3">
        <f t="shared" si="33"/>
        <v>0</v>
      </c>
      <c r="S74" s="3">
        <f t="shared" si="34"/>
        <v>0</v>
      </c>
      <c r="T74" s="3">
        <f t="shared" si="35"/>
        <v>0</v>
      </c>
      <c r="U74" s="3">
        <f t="shared" si="35"/>
        <v>275315</v>
      </c>
      <c r="V74" s="3">
        <f t="shared" si="36"/>
        <v>275315</v>
      </c>
      <c r="W74" s="474">
        <f t="shared" si="37"/>
        <v>275315</v>
      </c>
    </row>
    <row r="75" spans="1:23" ht="15.75" hidden="1" thickBot="1">
      <c r="A75" s="170">
        <v>42339</v>
      </c>
      <c r="B75" s="378">
        <f t="shared" si="38"/>
        <v>0</v>
      </c>
      <c r="C75" s="3">
        <v>0</v>
      </c>
      <c r="D75" s="3">
        <f t="shared" si="39"/>
        <v>0</v>
      </c>
      <c r="E75" s="3">
        <v>0</v>
      </c>
      <c r="F75" s="3">
        <f t="shared" si="40"/>
        <v>0</v>
      </c>
      <c r="G75" s="3">
        <f t="shared" si="41"/>
        <v>0</v>
      </c>
      <c r="H75" s="3">
        <f t="shared" si="42"/>
        <v>0</v>
      </c>
      <c r="I75" s="3">
        <f t="shared" si="42"/>
        <v>0</v>
      </c>
      <c r="J75" s="379">
        <f t="shared" si="43"/>
        <v>0</v>
      </c>
      <c r="K75" s="3">
        <v>0</v>
      </c>
      <c r="L75" s="3">
        <v>0</v>
      </c>
      <c r="M75" s="3">
        <f t="shared" si="44"/>
        <v>0</v>
      </c>
      <c r="N75" s="3">
        <v>0</v>
      </c>
      <c r="O75" s="3">
        <v>0</v>
      </c>
      <c r="P75" s="380">
        <f t="shared" si="45"/>
        <v>0</v>
      </c>
      <c r="Q75" s="3">
        <f t="shared" si="33"/>
        <v>0</v>
      </c>
      <c r="R75" s="3">
        <f t="shared" si="33"/>
        <v>0</v>
      </c>
      <c r="S75" s="3">
        <f t="shared" si="34"/>
        <v>0</v>
      </c>
      <c r="T75" s="3">
        <f t="shared" si="35"/>
        <v>0</v>
      </c>
      <c r="U75" s="3">
        <f t="shared" si="35"/>
        <v>275315</v>
      </c>
      <c r="V75" s="3">
        <f t="shared" si="36"/>
        <v>275315</v>
      </c>
      <c r="W75" s="474">
        <f t="shared" si="37"/>
        <v>275315</v>
      </c>
    </row>
    <row r="76" spans="1:23">
      <c r="A76" s="171">
        <v>42370</v>
      </c>
      <c r="B76" s="385">
        <f t="shared" si="38"/>
        <v>0</v>
      </c>
      <c r="C76" s="104">
        <v>0</v>
      </c>
      <c r="D76" s="104">
        <f t="shared" si="39"/>
        <v>0</v>
      </c>
      <c r="E76" s="104">
        <v>0</v>
      </c>
      <c r="F76" s="104">
        <f t="shared" si="40"/>
        <v>0</v>
      </c>
      <c r="G76" s="104">
        <f t="shared" si="41"/>
        <v>0</v>
      </c>
      <c r="H76" s="104">
        <f t="shared" si="42"/>
        <v>0</v>
      </c>
      <c r="I76" s="104">
        <f t="shared" si="42"/>
        <v>0</v>
      </c>
      <c r="J76" s="386">
        <f t="shared" si="43"/>
        <v>0</v>
      </c>
      <c r="K76" s="104">
        <v>0</v>
      </c>
      <c r="L76" s="104">
        <v>0</v>
      </c>
      <c r="M76" s="104">
        <f t="shared" si="44"/>
        <v>0</v>
      </c>
      <c r="N76" s="104">
        <v>0</v>
      </c>
      <c r="O76" s="104">
        <v>0</v>
      </c>
      <c r="P76" s="387">
        <f t="shared" si="45"/>
        <v>0</v>
      </c>
      <c r="Q76" s="104">
        <f>B76</f>
        <v>0</v>
      </c>
      <c r="R76" s="104">
        <f>C76</f>
        <v>0</v>
      </c>
      <c r="S76" s="104">
        <f>R76+Q76</f>
        <v>0</v>
      </c>
      <c r="T76" s="104">
        <f>E76</f>
        <v>0</v>
      </c>
      <c r="U76" s="104">
        <f>F76</f>
        <v>0</v>
      </c>
      <c r="V76" s="104">
        <f>U76+T76</f>
        <v>0</v>
      </c>
      <c r="W76" s="475">
        <f>V76+S76</f>
        <v>0</v>
      </c>
    </row>
    <row r="77" spans="1:23">
      <c r="A77" s="170">
        <v>42401</v>
      </c>
      <c r="B77" s="378">
        <f t="shared" si="38"/>
        <v>0</v>
      </c>
      <c r="C77" s="3">
        <v>0</v>
      </c>
      <c r="D77" s="3">
        <f t="shared" si="39"/>
        <v>0</v>
      </c>
      <c r="E77" s="3">
        <v>0</v>
      </c>
      <c r="F77" s="3">
        <f t="shared" si="40"/>
        <v>0</v>
      </c>
      <c r="G77" s="3">
        <f t="shared" si="41"/>
        <v>0</v>
      </c>
      <c r="H77" s="3">
        <f t="shared" si="42"/>
        <v>0</v>
      </c>
      <c r="I77" s="3">
        <f t="shared" si="42"/>
        <v>0</v>
      </c>
      <c r="J77" s="379">
        <f t="shared" si="43"/>
        <v>0</v>
      </c>
      <c r="K77" s="3">
        <v>0</v>
      </c>
      <c r="L77" s="3">
        <v>0</v>
      </c>
      <c r="M77" s="3">
        <f t="shared" si="44"/>
        <v>0</v>
      </c>
      <c r="N77" s="3">
        <v>0</v>
      </c>
      <c r="O77" s="3">
        <v>0</v>
      </c>
      <c r="P77" s="380">
        <f t="shared" si="45"/>
        <v>0</v>
      </c>
      <c r="Q77" s="3">
        <f>Q76+B77</f>
        <v>0</v>
      </c>
      <c r="R77" s="3">
        <f>R76+C77</f>
        <v>0</v>
      </c>
      <c r="S77" s="3">
        <f>R77+Q77</f>
        <v>0</v>
      </c>
      <c r="T77" s="3">
        <f>T76+E77</f>
        <v>0</v>
      </c>
      <c r="U77" s="3">
        <f>U76+F77</f>
        <v>0</v>
      </c>
      <c r="V77" s="3">
        <f>U77+T77</f>
        <v>0</v>
      </c>
      <c r="W77" s="474">
        <f>V77+S77</f>
        <v>0</v>
      </c>
    </row>
    <row r="78" spans="1:23">
      <c r="A78" s="170">
        <v>42430</v>
      </c>
      <c r="B78" s="378">
        <f t="shared" si="38"/>
        <v>0</v>
      </c>
      <c r="C78" s="3">
        <v>0</v>
      </c>
      <c r="D78" s="3">
        <f t="shared" si="39"/>
        <v>0</v>
      </c>
      <c r="E78" s="3">
        <v>0</v>
      </c>
      <c r="F78" s="3">
        <f t="shared" si="40"/>
        <v>127593</v>
      </c>
      <c r="G78" s="3">
        <f t="shared" si="41"/>
        <v>127593</v>
      </c>
      <c r="H78" s="3">
        <f t="shared" si="42"/>
        <v>0</v>
      </c>
      <c r="I78" s="3">
        <f t="shared" si="42"/>
        <v>127593</v>
      </c>
      <c r="J78" s="379">
        <f t="shared" si="43"/>
        <v>127593</v>
      </c>
      <c r="K78" s="3">
        <v>0</v>
      </c>
      <c r="L78" s="3">
        <v>0</v>
      </c>
      <c r="M78" s="3">
        <f t="shared" si="44"/>
        <v>0</v>
      </c>
      <c r="N78" s="3">
        <v>127593</v>
      </c>
      <c r="O78" s="3">
        <v>0</v>
      </c>
      <c r="P78" s="380">
        <f t="shared" si="45"/>
        <v>127593</v>
      </c>
      <c r="Q78" s="3">
        <f t="shared" ref="Q78:R87" si="46">Q77+B78</f>
        <v>0</v>
      </c>
      <c r="R78" s="3">
        <f t="shared" si="46"/>
        <v>0</v>
      </c>
      <c r="S78" s="3">
        <f t="shared" ref="S78:S87" si="47">R78+Q78</f>
        <v>0</v>
      </c>
      <c r="T78" s="3">
        <f t="shared" ref="T78:U87" si="48">T77+E78</f>
        <v>0</v>
      </c>
      <c r="U78" s="3">
        <f t="shared" si="48"/>
        <v>127593</v>
      </c>
      <c r="V78" s="3">
        <f t="shared" ref="V78:V87" si="49">U78+T78</f>
        <v>127593</v>
      </c>
      <c r="W78" s="474">
        <f t="shared" ref="W78:W87" si="50">V78+S78</f>
        <v>127593</v>
      </c>
    </row>
    <row r="79" spans="1:23">
      <c r="A79" s="170">
        <v>42461</v>
      </c>
      <c r="B79" s="378">
        <f t="shared" si="38"/>
        <v>0</v>
      </c>
      <c r="C79" s="3">
        <v>0</v>
      </c>
      <c r="D79" s="3">
        <f t="shared" si="39"/>
        <v>0</v>
      </c>
      <c r="E79" s="3">
        <v>0</v>
      </c>
      <c r="F79" s="3">
        <f t="shared" si="40"/>
        <v>0</v>
      </c>
      <c r="G79" s="3">
        <f t="shared" si="41"/>
        <v>0</v>
      </c>
      <c r="H79" s="3">
        <f t="shared" si="42"/>
        <v>0</v>
      </c>
      <c r="I79" s="3">
        <f t="shared" si="42"/>
        <v>0</v>
      </c>
      <c r="J79" s="379">
        <f t="shared" si="43"/>
        <v>0</v>
      </c>
      <c r="K79" s="3">
        <v>0</v>
      </c>
      <c r="L79" s="3">
        <v>0</v>
      </c>
      <c r="M79" s="3">
        <f t="shared" si="44"/>
        <v>0</v>
      </c>
      <c r="N79" s="3">
        <v>0</v>
      </c>
      <c r="O79" s="3">
        <v>0</v>
      </c>
      <c r="P79" s="380">
        <f t="shared" si="45"/>
        <v>0</v>
      </c>
      <c r="Q79" s="3">
        <f t="shared" si="46"/>
        <v>0</v>
      </c>
      <c r="R79" s="3">
        <f t="shared" si="46"/>
        <v>0</v>
      </c>
      <c r="S79" s="3">
        <f t="shared" si="47"/>
        <v>0</v>
      </c>
      <c r="T79" s="3">
        <f t="shared" si="48"/>
        <v>0</v>
      </c>
      <c r="U79" s="3">
        <f t="shared" si="48"/>
        <v>127593</v>
      </c>
      <c r="V79" s="3">
        <f t="shared" si="49"/>
        <v>127593</v>
      </c>
      <c r="W79" s="474">
        <f t="shared" si="50"/>
        <v>127593</v>
      </c>
    </row>
    <row r="80" spans="1:23">
      <c r="A80" s="170">
        <v>42491</v>
      </c>
      <c r="B80" s="378">
        <f t="shared" si="38"/>
        <v>0</v>
      </c>
      <c r="C80" s="3">
        <v>0</v>
      </c>
      <c r="D80" s="3">
        <f t="shared" si="39"/>
        <v>0</v>
      </c>
      <c r="E80" s="3">
        <v>0</v>
      </c>
      <c r="F80" s="3">
        <f t="shared" si="40"/>
        <v>0</v>
      </c>
      <c r="G80" s="3">
        <f t="shared" si="41"/>
        <v>0</v>
      </c>
      <c r="H80" s="3">
        <f t="shared" si="42"/>
        <v>0</v>
      </c>
      <c r="I80" s="3">
        <f t="shared" si="42"/>
        <v>0</v>
      </c>
      <c r="J80" s="379">
        <f t="shared" si="43"/>
        <v>0</v>
      </c>
      <c r="K80" s="3">
        <v>0</v>
      </c>
      <c r="L80" s="3">
        <v>0</v>
      </c>
      <c r="M80" s="3">
        <f t="shared" si="44"/>
        <v>0</v>
      </c>
      <c r="N80" s="3">
        <v>0</v>
      </c>
      <c r="O80" s="3">
        <v>0</v>
      </c>
      <c r="P80" s="380">
        <f t="shared" si="45"/>
        <v>0</v>
      </c>
      <c r="Q80" s="3">
        <f t="shared" si="46"/>
        <v>0</v>
      </c>
      <c r="R80" s="3">
        <f t="shared" si="46"/>
        <v>0</v>
      </c>
      <c r="S80" s="3">
        <f t="shared" si="47"/>
        <v>0</v>
      </c>
      <c r="T80" s="3">
        <f t="shared" si="48"/>
        <v>0</v>
      </c>
      <c r="U80" s="3">
        <f t="shared" si="48"/>
        <v>127593</v>
      </c>
      <c r="V80" s="3">
        <f t="shared" si="49"/>
        <v>127593</v>
      </c>
      <c r="W80" s="474">
        <f t="shared" si="50"/>
        <v>127593</v>
      </c>
    </row>
    <row r="81" spans="1:23">
      <c r="A81" s="170">
        <v>42522</v>
      </c>
      <c r="B81" s="378">
        <f t="shared" si="38"/>
        <v>0</v>
      </c>
      <c r="C81" s="3">
        <v>0</v>
      </c>
      <c r="D81" s="3">
        <f t="shared" si="39"/>
        <v>0</v>
      </c>
      <c r="E81" s="3">
        <v>0</v>
      </c>
      <c r="F81" s="3">
        <f t="shared" si="40"/>
        <v>0</v>
      </c>
      <c r="G81" s="3">
        <f t="shared" si="41"/>
        <v>0</v>
      </c>
      <c r="H81" s="3">
        <f t="shared" si="42"/>
        <v>0</v>
      </c>
      <c r="I81" s="3">
        <f t="shared" si="42"/>
        <v>0</v>
      </c>
      <c r="J81" s="379">
        <f t="shared" si="43"/>
        <v>0</v>
      </c>
      <c r="K81" s="3">
        <v>0</v>
      </c>
      <c r="L81" s="3">
        <v>0</v>
      </c>
      <c r="M81" s="3">
        <f t="shared" si="44"/>
        <v>0</v>
      </c>
      <c r="N81" s="3">
        <v>0</v>
      </c>
      <c r="O81" s="3">
        <v>0</v>
      </c>
      <c r="P81" s="380">
        <f t="shared" si="45"/>
        <v>0</v>
      </c>
      <c r="Q81" s="3">
        <f t="shared" si="46"/>
        <v>0</v>
      </c>
      <c r="R81" s="3">
        <f t="shared" si="46"/>
        <v>0</v>
      </c>
      <c r="S81" s="3">
        <f t="shared" si="47"/>
        <v>0</v>
      </c>
      <c r="T81" s="3">
        <f t="shared" si="48"/>
        <v>0</v>
      </c>
      <c r="U81" s="3">
        <f t="shared" si="48"/>
        <v>127593</v>
      </c>
      <c r="V81" s="3">
        <f t="shared" si="49"/>
        <v>127593</v>
      </c>
      <c r="W81" s="474">
        <f t="shared" si="50"/>
        <v>127593</v>
      </c>
    </row>
    <row r="82" spans="1:23">
      <c r="A82" s="170">
        <v>42552</v>
      </c>
      <c r="B82" s="378">
        <f t="shared" si="38"/>
        <v>0</v>
      </c>
      <c r="C82" s="3">
        <v>0</v>
      </c>
      <c r="D82" s="3">
        <f t="shared" si="39"/>
        <v>0</v>
      </c>
      <c r="E82" s="3">
        <v>0</v>
      </c>
      <c r="F82" s="3">
        <f t="shared" si="40"/>
        <v>0</v>
      </c>
      <c r="G82" s="3">
        <f t="shared" si="41"/>
        <v>0</v>
      </c>
      <c r="H82" s="3">
        <f t="shared" si="42"/>
        <v>0</v>
      </c>
      <c r="I82" s="3">
        <f t="shared" si="42"/>
        <v>0</v>
      </c>
      <c r="J82" s="379">
        <f t="shared" si="43"/>
        <v>0</v>
      </c>
      <c r="K82" s="3">
        <v>0</v>
      </c>
      <c r="L82" s="3">
        <v>0</v>
      </c>
      <c r="M82" s="3">
        <f t="shared" si="44"/>
        <v>0</v>
      </c>
      <c r="N82" s="3">
        <v>0</v>
      </c>
      <c r="O82" s="3">
        <v>0</v>
      </c>
      <c r="P82" s="380">
        <f t="shared" si="45"/>
        <v>0</v>
      </c>
      <c r="Q82" s="3">
        <f t="shared" si="46"/>
        <v>0</v>
      </c>
      <c r="R82" s="3">
        <f t="shared" si="46"/>
        <v>0</v>
      </c>
      <c r="S82" s="3">
        <f t="shared" si="47"/>
        <v>0</v>
      </c>
      <c r="T82" s="3">
        <f t="shared" si="48"/>
        <v>0</v>
      </c>
      <c r="U82" s="3">
        <f t="shared" si="48"/>
        <v>127593</v>
      </c>
      <c r="V82" s="3">
        <f t="shared" si="49"/>
        <v>127593</v>
      </c>
      <c r="W82" s="474">
        <f t="shared" si="50"/>
        <v>127593</v>
      </c>
    </row>
    <row r="83" spans="1:23">
      <c r="A83" s="170">
        <v>42583</v>
      </c>
      <c r="B83" s="378">
        <f t="shared" si="38"/>
        <v>0</v>
      </c>
      <c r="C83" s="3">
        <v>0</v>
      </c>
      <c r="D83" s="3">
        <f t="shared" si="39"/>
        <v>0</v>
      </c>
      <c r="E83" s="3">
        <v>0</v>
      </c>
      <c r="F83" s="3">
        <f t="shared" si="40"/>
        <v>0</v>
      </c>
      <c r="G83" s="3">
        <f t="shared" si="41"/>
        <v>0</v>
      </c>
      <c r="H83" s="3">
        <f t="shared" si="42"/>
        <v>0</v>
      </c>
      <c r="I83" s="3">
        <f t="shared" si="42"/>
        <v>0</v>
      </c>
      <c r="J83" s="379">
        <f t="shared" si="43"/>
        <v>0</v>
      </c>
      <c r="K83" s="3">
        <v>0</v>
      </c>
      <c r="L83" s="3">
        <v>0</v>
      </c>
      <c r="M83" s="3">
        <f t="shared" si="44"/>
        <v>0</v>
      </c>
      <c r="N83" s="3">
        <v>0</v>
      </c>
      <c r="O83" s="3">
        <v>0</v>
      </c>
      <c r="P83" s="380">
        <f t="shared" si="45"/>
        <v>0</v>
      </c>
      <c r="Q83" s="3">
        <f t="shared" si="46"/>
        <v>0</v>
      </c>
      <c r="R83" s="3">
        <f t="shared" si="46"/>
        <v>0</v>
      </c>
      <c r="S83" s="3">
        <f t="shared" si="47"/>
        <v>0</v>
      </c>
      <c r="T83" s="3">
        <f t="shared" si="48"/>
        <v>0</v>
      </c>
      <c r="U83" s="3">
        <f t="shared" si="48"/>
        <v>127593</v>
      </c>
      <c r="V83" s="3">
        <f t="shared" si="49"/>
        <v>127593</v>
      </c>
      <c r="W83" s="474">
        <f t="shared" si="50"/>
        <v>127593</v>
      </c>
    </row>
    <row r="84" spans="1:23">
      <c r="A84" s="170">
        <v>42614</v>
      </c>
      <c r="B84" s="378">
        <f t="shared" si="38"/>
        <v>0</v>
      </c>
      <c r="C84" s="3">
        <v>0</v>
      </c>
      <c r="D84" s="3">
        <f t="shared" si="39"/>
        <v>0</v>
      </c>
      <c r="E84" s="3">
        <v>0</v>
      </c>
      <c r="F84" s="3">
        <f t="shared" si="40"/>
        <v>99563</v>
      </c>
      <c r="G84" s="3">
        <f t="shared" si="41"/>
        <v>99563</v>
      </c>
      <c r="H84" s="3">
        <f t="shared" si="42"/>
        <v>0</v>
      </c>
      <c r="I84" s="3">
        <f t="shared" si="42"/>
        <v>99563</v>
      </c>
      <c r="J84" s="379">
        <f t="shared" si="43"/>
        <v>99563</v>
      </c>
      <c r="K84" s="3">
        <v>0</v>
      </c>
      <c r="L84" s="3">
        <v>0</v>
      </c>
      <c r="M84" s="3">
        <f t="shared" si="44"/>
        <v>0</v>
      </c>
      <c r="N84" s="3">
        <v>99563</v>
      </c>
      <c r="O84" s="3">
        <v>0</v>
      </c>
      <c r="P84" s="380">
        <f t="shared" si="45"/>
        <v>99563</v>
      </c>
      <c r="Q84" s="3">
        <f t="shared" si="46"/>
        <v>0</v>
      </c>
      <c r="R84" s="3">
        <f t="shared" si="46"/>
        <v>0</v>
      </c>
      <c r="S84" s="3">
        <f t="shared" si="47"/>
        <v>0</v>
      </c>
      <c r="T84" s="3">
        <f t="shared" si="48"/>
        <v>0</v>
      </c>
      <c r="U84" s="3">
        <f t="shared" si="48"/>
        <v>227156</v>
      </c>
      <c r="V84" s="3">
        <f t="shared" si="49"/>
        <v>227156</v>
      </c>
      <c r="W84" s="474">
        <f t="shared" si="50"/>
        <v>227156</v>
      </c>
    </row>
    <row r="85" spans="1:23">
      <c r="A85" s="170">
        <v>42644</v>
      </c>
      <c r="B85" s="378">
        <f t="shared" si="38"/>
        <v>0</v>
      </c>
      <c r="C85" s="3">
        <v>0</v>
      </c>
      <c r="D85" s="3">
        <f t="shared" si="39"/>
        <v>0</v>
      </c>
      <c r="E85" s="3">
        <v>0</v>
      </c>
      <c r="F85" s="3">
        <f t="shared" si="40"/>
        <v>229819</v>
      </c>
      <c r="G85" s="3">
        <f t="shared" si="41"/>
        <v>229819</v>
      </c>
      <c r="H85" s="3">
        <f t="shared" si="42"/>
        <v>0</v>
      </c>
      <c r="I85" s="3">
        <f t="shared" si="42"/>
        <v>229819</v>
      </c>
      <c r="J85" s="379">
        <f t="shared" si="43"/>
        <v>229819</v>
      </c>
      <c r="K85" s="3">
        <v>0</v>
      </c>
      <c r="L85" s="3">
        <v>0</v>
      </c>
      <c r="M85" s="3">
        <f t="shared" si="44"/>
        <v>0</v>
      </c>
      <c r="N85" s="3">
        <v>229819</v>
      </c>
      <c r="O85" s="3">
        <v>0</v>
      </c>
      <c r="P85" s="380">
        <f t="shared" si="45"/>
        <v>229819</v>
      </c>
      <c r="Q85" s="3">
        <f t="shared" si="46"/>
        <v>0</v>
      </c>
      <c r="R85" s="3">
        <f t="shared" si="46"/>
        <v>0</v>
      </c>
      <c r="S85" s="3">
        <f t="shared" si="47"/>
        <v>0</v>
      </c>
      <c r="T85" s="3">
        <f t="shared" si="48"/>
        <v>0</v>
      </c>
      <c r="U85" s="3">
        <f t="shared" si="48"/>
        <v>456975</v>
      </c>
      <c r="V85" s="3">
        <f t="shared" si="49"/>
        <v>456975</v>
      </c>
      <c r="W85" s="474">
        <f t="shared" si="50"/>
        <v>456975</v>
      </c>
    </row>
    <row r="86" spans="1:23">
      <c r="A86" s="170">
        <v>42675</v>
      </c>
      <c r="B86" s="378">
        <f t="shared" si="38"/>
        <v>0</v>
      </c>
      <c r="C86" s="3">
        <v>0</v>
      </c>
      <c r="D86" s="3">
        <f t="shared" si="39"/>
        <v>0</v>
      </c>
      <c r="E86" s="3">
        <v>0</v>
      </c>
      <c r="F86" s="3">
        <f t="shared" si="40"/>
        <v>77454</v>
      </c>
      <c r="G86" s="3">
        <f t="shared" si="41"/>
        <v>77454</v>
      </c>
      <c r="H86" s="3">
        <f t="shared" si="42"/>
        <v>0</v>
      </c>
      <c r="I86" s="3">
        <f t="shared" si="42"/>
        <v>77454</v>
      </c>
      <c r="J86" s="379">
        <f t="shared" si="43"/>
        <v>77454</v>
      </c>
      <c r="K86" s="3">
        <v>0</v>
      </c>
      <c r="L86" s="3">
        <v>0</v>
      </c>
      <c r="M86" s="3">
        <f t="shared" si="44"/>
        <v>0</v>
      </c>
      <c r="N86" s="3">
        <v>77454</v>
      </c>
      <c r="O86" s="3">
        <v>0</v>
      </c>
      <c r="P86" s="380">
        <f t="shared" si="45"/>
        <v>77454</v>
      </c>
      <c r="Q86" s="3">
        <f t="shared" si="46"/>
        <v>0</v>
      </c>
      <c r="R86" s="3">
        <f t="shared" si="46"/>
        <v>0</v>
      </c>
      <c r="S86" s="3">
        <f t="shared" si="47"/>
        <v>0</v>
      </c>
      <c r="T86" s="3">
        <f t="shared" si="48"/>
        <v>0</v>
      </c>
      <c r="U86" s="3">
        <f t="shared" si="48"/>
        <v>534429</v>
      </c>
      <c r="V86" s="3">
        <f t="shared" si="49"/>
        <v>534429</v>
      </c>
      <c r="W86" s="474">
        <f t="shared" si="50"/>
        <v>534429</v>
      </c>
    </row>
    <row r="87" spans="1:23" ht="15.75" thickBot="1">
      <c r="A87" s="170">
        <v>42705</v>
      </c>
      <c r="B87" s="378">
        <f t="shared" si="38"/>
        <v>0</v>
      </c>
      <c r="C87" s="3">
        <v>0</v>
      </c>
      <c r="D87" s="3">
        <f t="shared" si="39"/>
        <v>0</v>
      </c>
      <c r="E87" s="3">
        <v>0</v>
      </c>
      <c r="F87" s="3">
        <f t="shared" si="40"/>
        <v>0</v>
      </c>
      <c r="G87" s="3">
        <f t="shared" si="41"/>
        <v>0</v>
      </c>
      <c r="H87" s="3">
        <f t="shared" si="42"/>
        <v>0</v>
      </c>
      <c r="I87" s="3">
        <f t="shared" si="42"/>
        <v>0</v>
      </c>
      <c r="J87" s="379">
        <f t="shared" si="43"/>
        <v>0</v>
      </c>
      <c r="K87" s="3">
        <v>0</v>
      </c>
      <c r="L87" s="3">
        <v>0</v>
      </c>
      <c r="M87" s="3">
        <f t="shared" si="44"/>
        <v>0</v>
      </c>
      <c r="N87" s="3">
        <v>0</v>
      </c>
      <c r="O87" s="3">
        <v>0</v>
      </c>
      <c r="P87" s="380">
        <f t="shared" si="45"/>
        <v>0</v>
      </c>
      <c r="Q87" s="3">
        <f t="shared" si="46"/>
        <v>0</v>
      </c>
      <c r="R87" s="3">
        <f t="shared" si="46"/>
        <v>0</v>
      </c>
      <c r="S87" s="3">
        <f t="shared" si="47"/>
        <v>0</v>
      </c>
      <c r="T87" s="3">
        <f t="shared" si="48"/>
        <v>0</v>
      </c>
      <c r="U87" s="3">
        <f t="shared" si="48"/>
        <v>534429</v>
      </c>
      <c r="V87" s="3">
        <f t="shared" si="49"/>
        <v>534429</v>
      </c>
      <c r="W87" s="474">
        <f t="shared" si="50"/>
        <v>534429</v>
      </c>
    </row>
    <row r="88" spans="1:23">
      <c r="A88" s="171">
        <v>42736</v>
      </c>
      <c r="B88" s="385">
        <f t="shared" si="38"/>
        <v>0</v>
      </c>
      <c r="C88" s="104">
        <v>0</v>
      </c>
      <c r="D88" s="104">
        <f t="shared" si="39"/>
        <v>0</v>
      </c>
      <c r="E88" s="104">
        <v>0</v>
      </c>
      <c r="F88" s="104">
        <f t="shared" si="40"/>
        <v>0</v>
      </c>
      <c r="G88" s="104">
        <f t="shared" si="41"/>
        <v>0</v>
      </c>
      <c r="H88" s="104">
        <f t="shared" si="42"/>
        <v>0</v>
      </c>
      <c r="I88" s="104">
        <f t="shared" si="42"/>
        <v>0</v>
      </c>
      <c r="J88" s="386">
        <f t="shared" si="43"/>
        <v>0</v>
      </c>
      <c r="K88" s="104">
        <v>0</v>
      </c>
      <c r="L88" s="104">
        <v>0</v>
      </c>
      <c r="M88" s="104">
        <f t="shared" si="44"/>
        <v>0</v>
      </c>
      <c r="N88" s="104">
        <v>0</v>
      </c>
      <c r="O88" s="104">
        <v>0</v>
      </c>
      <c r="P88" s="387">
        <f t="shared" si="45"/>
        <v>0</v>
      </c>
      <c r="Q88" s="104">
        <f>B88</f>
        <v>0</v>
      </c>
      <c r="R88" s="104">
        <f>C88</f>
        <v>0</v>
      </c>
      <c r="S88" s="104">
        <f>R88+Q88</f>
        <v>0</v>
      </c>
      <c r="T88" s="104">
        <f>E88</f>
        <v>0</v>
      </c>
      <c r="U88" s="104">
        <f>F88</f>
        <v>0</v>
      </c>
      <c r="V88" s="104">
        <f>U88+T88</f>
        <v>0</v>
      </c>
      <c r="W88" s="475">
        <f>V88+S88</f>
        <v>0</v>
      </c>
    </row>
    <row r="89" spans="1:23">
      <c r="A89" s="170">
        <v>42767</v>
      </c>
      <c r="B89" s="378">
        <f t="shared" si="38"/>
        <v>0</v>
      </c>
      <c r="C89" s="3">
        <v>0</v>
      </c>
      <c r="D89" s="3">
        <f t="shared" si="39"/>
        <v>0</v>
      </c>
      <c r="E89" s="3">
        <v>0</v>
      </c>
      <c r="F89" s="3">
        <f t="shared" si="40"/>
        <v>0</v>
      </c>
      <c r="G89" s="3">
        <f t="shared" si="41"/>
        <v>0</v>
      </c>
      <c r="H89" s="3">
        <f t="shared" si="42"/>
        <v>0</v>
      </c>
      <c r="I89" s="3">
        <f t="shared" si="42"/>
        <v>0</v>
      </c>
      <c r="J89" s="379">
        <f t="shared" si="43"/>
        <v>0</v>
      </c>
      <c r="K89" s="3">
        <v>0</v>
      </c>
      <c r="L89" s="3">
        <v>0</v>
      </c>
      <c r="M89" s="3">
        <f t="shared" si="44"/>
        <v>0</v>
      </c>
      <c r="N89" s="3">
        <v>0</v>
      </c>
      <c r="O89" s="3">
        <v>0</v>
      </c>
      <c r="P89" s="380">
        <f t="shared" si="45"/>
        <v>0</v>
      </c>
      <c r="Q89" s="3">
        <f>Q88+B89</f>
        <v>0</v>
      </c>
      <c r="R89" s="3">
        <f>R88+C89</f>
        <v>0</v>
      </c>
      <c r="S89" s="3">
        <f>R89+Q89</f>
        <v>0</v>
      </c>
      <c r="T89" s="3">
        <f>T88+E89</f>
        <v>0</v>
      </c>
      <c r="U89" s="3">
        <f>U88+F89</f>
        <v>0</v>
      </c>
      <c r="V89" s="3">
        <f>U89+T89</f>
        <v>0</v>
      </c>
      <c r="W89" s="474">
        <f>V89+S89</f>
        <v>0</v>
      </c>
    </row>
    <row r="90" spans="1:23">
      <c r="A90" s="170">
        <v>42795</v>
      </c>
      <c r="B90" s="378">
        <f t="shared" si="38"/>
        <v>0</v>
      </c>
      <c r="C90" s="3">
        <v>0</v>
      </c>
      <c r="D90" s="3">
        <f t="shared" si="39"/>
        <v>0</v>
      </c>
      <c r="E90" s="3">
        <v>0</v>
      </c>
      <c r="F90" s="3">
        <f t="shared" si="40"/>
        <v>0</v>
      </c>
      <c r="G90" s="3">
        <f t="shared" si="41"/>
        <v>0</v>
      </c>
      <c r="H90" s="3">
        <f t="shared" si="42"/>
        <v>0</v>
      </c>
      <c r="I90" s="3">
        <f t="shared" si="42"/>
        <v>0</v>
      </c>
      <c r="J90" s="379">
        <f t="shared" si="43"/>
        <v>0</v>
      </c>
      <c r="K90" s="3">
        <v>0</v>
      </c>
      <c r="L90" s="3">
        <v>0</v>
      </c>
      <c r="M90" s="3">
        <f t="shared" si="44"/>
        <v>0</v>
      </c>
      <c r="N90" s="3">
        <v>0</v>
      </c>
      <c r="O90" s="3">
        <v>0</v>
      </c>
      <c r="P90" s="380">
        <f t="shared" si="45"/>
        <v>0</v>
      </c>
      <c r="Q90" s="3">
        <f t="shared" ref="Q90:R99" si="51">Q89+B90</f>
        <v>0</v>
      </c>
      <c r="R90" s="3">
        <f t="shared" si="51"/>
        <v>0</v>
      </c>
      <c r="S90" s="3">
        <f t="shared" ref="S90:S99" si="52">R90+Q90</f>
        <v>0</v>
      </c>
      <c r="T90" s="3">
        <f t="shared" ref="T90:U99" si="53">T89+E90</f>
        <v>0</v>
      </c>
      <c r="U90" s="3">
        <f t="shared" si="53"/>
        <v>0</v>
      </c>
      <c r="V90" s="3">
        <f t="shared" ref="V90:V99" si="54">U90+T90</f>
        <v>0</v>
      </c>
      <c r="W90" s="474">
        <f t="shared" ref="W90:W99" si="55">V90+S90</f>
        <v>0</v>
      </c>
    </row>
    <row r="91" spans="1:23">
      <c r="A91" s="170">
        <v>42826</v>
      </c>
      <c r="B91" s="378">
        <f t="shared" si="38"/>
        <v>0</v>
      </c>
      <c r="C91" s="3">
        <v>0</v>
      </c>
      <c r="D91" s="3">
        <f t="shared" si="39"/>
        <v>0</v>
      </c>
      <c r="E91" s="3">
        <v>0</v>
      </c>
      <c r="F91" s="3">
        <f t="shared" si="40"/>
        <v>0</v>
      </c>
      <c r="G91" s="3">
        <f t="shared" si="41"/>
        <v>0</v>
      </c>
      <c r="H91" s="3">
        <f t="shared" si="42"/>
        <v>0</v>
      </c>
      <c r="I91" s="3">
        <f t="shared" si="42"/>
        <v>0</v>
      </c>
      <c r="J91" s="379">
        <f t="shared" si="43"/>
        <v>0</v>
      </c>
      <c r="K91" s="3">
        <v>0</v>
      </c>
      <c r="L91" s="3">
        <v>0</v>
      </c>
      <c r="M91" s="3">
        <f t="shared" si="44"/>
        <v>0</v>
      </c>
      <c r="N91" s="3">
        <v>0</v>
      </c>
      <c r="O91" s="3">
        <v>0</v>
      </c>
      <c r="P91" s="380">
        <f t="shared" si="45"/>
        <v>0</v>
      </c>
      <c r="Q91" s="3">
        <f t="shared" si="51"/>
        <v>0</v>
      </c>
      <c r="R91" s="3">
        <f t="shared" si="51"/>
        <v>0</v>
      </c>
      <c r="S91" s="3">
        <f t="shared" si="52"/>
        <v>0</v>
      </c>
      <c r="T91" s="3">
        <f t="shared" si="53"/>
        <v>0</v>
      </c>
      <c r="U91" s="3">
        <f t="shared" si="53"/>
        <v>0</v>
      </c>
      <c r="V91" s="3">
        <f t="shared" si="54"/>
        <v>0</v>
      </c>
      <c r="W91" s="474">
        <f t="shared" si="55"/>
        <v>0</v>
      </c>
    </row>
    <row r="92" spans="1:23">
      <c r="A92" s="170">
        <v>42856</v>
      </c>
      <c r="B92" s="378">
        <f t="shared" si="38"/>
        <v>0</v>
      </c>
      <c r="C92" s="3">
        <v>0</v>
      </c>
      <c r="D92" s="3">
        <f t="shared" si="39"/>
        <v>0</v>
      </c>
      <c r="E92" s="3">
        <v>0</v>
      </c>
      <c r="F92" s="3">
        <f t="shared" si="40"/>
        <v>0</v>
      </c>
      <c r="G92" s="3">
        <f t="shared" si="41"/>
        <v>0</v>
      </c>
      <c r="H92" s="3">
        <f t="shared" si="42"/>
        <v>0</v>
      </c>
      <c r="I92" s="3">
        <f t="shared" si="42"/>
        <v>0</v>
      </c>
      <c r="J92" s="379">
        <f t="shared" si="43"/>
        <v>0</v>
      </c>
      <c r="K92" s="3">
        <v>0</v>
      </c>
      <c r="L92" s="3">
        <v>0</v>
      </c>
      <c r="M92" s="3">
        <f t="shared" si="44"/>
        <v>0</v>
      </c>
      <c r="N92" s="3">
        <v>0</v>
      </c>
      <c r="O92" s="3">
        <v>0</v>
      </c>
      <c r="P92" s="380">
        <f t="shared" si="45"/>
        <v>0</v>
      </c>
      <c r="Q92" s="3">
        <f t="shared" si="51"/>
        <v>0</v>
      </c>
      <c r="R92" s="3">
        <f t="shared" si="51"/>
        <v>0</v>
      </c>
      <c r="S92" s="3">
        <f t="shared" si="52"/>
        <v>0</v>
      </c>
      <c r="T92" s="3">
        <f t="shared" si="53"/>
        <v>0</v>
      </c>
      <c r="U92" s="3">
        <f t="shared" si="53"/>
        <v>0</v>
      </c>
      <c r="V92" s="3">
        <f t="shared" si="54"/>
        <v>0</v>
      </c>
      <c r="W92" s="474">
        <f t="shared" si="55"/>
        <v>0</v>
      </c>
    </row>
    <row r="93" spans="1:23">
      <c r="A93" s="170">
        <v>42887</v>
      </c>
      <c r="B93" s="378">
        <f t="shared" si="38"/>
        <v>0</v>
      </c>
      <c r="C93" s="3">
        <v>0</v>
      </c>
      <c r="D93" s="3">
        <f t="shared" si="39"/>
        <v>0</v>
      </c>
      <c r="E93" s="3">
        <v>0</v>
      </c>
      <c r="F93" s="3">
        <f t="shared" si="40"/>
        <v>756020</v>
      </c>
      <c r="G93" s="3">
        <f t="shared" si="41"/>
        <v>756020</v>
      </c>
      <c r="H93" s="3">
        <f t="shared" si="42"/>
        <v>0</v>
      </c>
      <c r="I93" s="3">
        <f t="shared" si="42"/>
        <v>756020</v>
      </c>
      <c r="J93" s="379">
        <f t="shared" si="43"/>
        <v>756020</v>
      </c>
      <c r="K93" s="3">
        <v>0</v>
      </c>
      <c r="L93" s="3">
        <v>0</v>
      </c>
      <c r="M93" s="3">
        <f t="shared" si="44"/>
        <v>0</v>
      </c>
      <c r="N93" s="3">
        <v>756020</v>
      </c>
      <c r="O93" s="3">
        <v>0</v>
      </c>
      <c r="P93" s="380">
        <f t="shared" si="45"/>
        <v>756020</v>
      </c>
      <c r="Q93" s="3">
        <f t="shared" si="51"/>
        <v>0</v>
      </c>
      <c r="R93" s="3">
        <f t="shared" si="51"/>
        <v>0</v>
      </c>
      <c r="S93" s="3">
        <f t="shared" si="52"/>
        <v>0</v>
      </c>
      <c r="T93" s="3">
        <f t="shared" si="53"/>
        <v>0</v>
      </c>
      <c r="U93" s="3">
        <f t="shared" si="53"/>
        <v>756020</v>
      </c>
      <c r="V93" s="3">
        <f t="shared" si="54"/>
        <v>756020</v>
      </c>
      <c r="W93" s="474">
        <f t="shared" si="55"/>
        <v>756020</v>
      </c>
    </row>
    <row r="94" spans="1:23">
      <c r="A94" s="170">
        <v>42917</v>
      </c>
      <c r="B94" s="378">
        <f t="shared" si="38"/>
        <v>0</v>
      </c>
      <c r="C94" s="3">
        <v>0</v>
      </c>
      <c r="D94" s="3">
        <f t="shared" si="39"/>
        <v>0</v>
      </c>
      <c r="E94" s="3">
        <v>0</v>
      </c>
      <c r="F94" s="3">
        <f t="shared" si="40"/>
        <v>0</v>
      </c>
      <c r="G94" s="3">
        <f t="shared" si="41"/>
        <v>0</v>
      </c>
      <c r="H94" s="3">
        <f t="shared" si="42"/>
        <v>0</v>
      </c>
      <c r="I94" s="3">
        <f t="shared" si="42"/>
        <v>0</v>
      </c>
      <c r="J94" s="379">
        <f t="shared" si="43"/>
        <v>0</v>
      </c>
      <c r="K94" s="3">
        <v>0</v>
      </c>
      <c r="L94" s="3">
        <v>0</v>
      </c>
      <c r="M94" s="3">
        <f t="shared" si="44"/>
        <v>0</v>
      </c>
      <c r="N94" s="3">
        <v>0</v>
      </c>
      <c r="O94" s="3">
        <v>0</v>
      </c>
      <c r="P94" s="380">
        <f t="shared" si="45"/>
        <v>0</v>
      </c>
      <c r="Q94" s="3">
        <f t="shared" si="51"/>
        <v>0</v>
      </c>
      <c r="R94" s="3">
        <f t="shared" si="51"/>
        <v>0</v>
      </c>
      <c r="S94" s="3">
        <f t="shared" si="52"/>
        <v>0</v>
      </c>
      <c r="T94" s="3">
        <f t="shared" si="53"/>
        <v>0</v>
      </c>
      <c r="U94" s="3">
        <f t="shared" si="53"/>
        <v>756020</v>
      </c>
      <c r="V94" s="3">
        <f t="shared" si="54"/>
        <v>756020</v>
      </c>
      <c r="W94" s="474">
        <f t="shared" si="55"/>
        <v>756020</v>
      </c>
    </row>
    <row r="95" spans="1:23">
      <c r="A95" s="170">
        <v>42948</v>
      </c>
      <c r="B95" s="378">
        <f t="shared" si="38"/>
        <v>0</v>
      </c>
      <c r="C95" s="3">
        <v>0</v>
      </c>
      <c r="D95" s="3">
        <f t="shared" si="39"/>
        <v>0</v>
      </c>
      <c r="E95" s="3">
        <v>0</v>
      </c>
      <c r="F95" s="3">
        <f t="shared" si="40"/>
        <v>282632</v>
      </c>
      <c r="G95" s="3">
        <f t="shared" si="41"/>
        <v>282632</v>
      </c>
      <c r="H95" s="3">
        <f t="shared" si="42"/>
        <v>0</v>
      </c>
      <c r="I95" s="3">
        <f t="shared" si="42"/>
        <v>282632</v>
      </c>
      <c r="J95" s="379">
        <f t="shared" si="43"/>
        <v>282632</v>
      </c>
      <c r="K95" s="3">
        <v>0</v>
      </c>
      <c r="L95" s="3">
        <v>0</v>
      </c>
      <c r="M95" s="3">
        <f t="shared" si="44"/>
        <v>0</v>
      </c>
      <c r="N95" s="3">
        <v>282632</v>
      </c>
      <c r="O95" s="3">
        <v>0</v>
      </c>
      <c r="P95" s="380">
        <f t="shared" si="45"/>
        <v>282632</v>
      </c>
      <c r="Q95" s="3">
        <f t="shared" si="51"/>
        <v>0</v>
      </c>
      <c r="R95" s="3">
        <f t="shared" si="51"/>
        <v>0</v>
      </c>
      <c r="S95" s="3">
        <f t="shared" si="52"/>
        <v>0</v>
      </c>
      <c r="T95" s="3">
        <f t="shared" si="53"/>
        <v>0</v>
      </c>
      <c r="U95" s="3">
        <f t="shared" si="53"/>
        <v>1038652</v>
      </c>
      <c r="V95" s="3">
        <f t="shared" si="54"/>
        <v>1038652</v>
      </c>
      <c r="W95" s="474">
        <f t="shared" si="55"/>
        <v>1038652</v>
      </c>
    </row>
    <row r="96" spans="1:23">
      <c r="A96" s="170">
        <v>42979</v>
      </c>
      <c r="B96" s="378">
        <f t="shared" si="38"/>
        <v>0</v>
      </c>
      <c r="C96" s="3">
        <v>0</v>
      </c>
      <c r="D96" s="3">
        <f t="shared" si="39"/>
        <v>0</v>
      </c>
      <c r="E96" s="3">
        <v>0</v>
      </c>
      <c r="F96" s="3">
        <f t="shared" si="40"/>
        <v>0</v>
      </c>
      <c r="G96" s="3">
        <f t="shared" si="41"/>
        <v>0</v>
      </c>
      <c r="H96" s="3">
        <f t="shared" si="42"/>
        <v>0</v>
      </c>
      <c r="I96" s="3">
        <f t="shared" si="42"/>
        <v>0</v>
      </c>
      <c r="J96" s="379">
        <f t="shared" si="43"/>
        <v>0</v>
      </c>
      <c r="K96" s="3">
        <v>0</v>
      </c>
      <c r="L96" s="3">
        <v>0</v>
      </c>
      <c r="M96" s="3">
        <f t="shared" si="44"/>
        <v>0</v>
      </c>
      <c r="N96" s="3">
        <v>0</v>
      </c>
      <c r="O96" s="3">
        <v>0</v>
      </c>
      <c r="P96" s="380">
        <f t="shared" si="45"/>
        <v>0</v>
      </c>
      <c r="Q96" s="3">
        <f t="shared" si="51"/>
        <v>0</v>
      </c>
      <c r="R96" s="3">
        <f t="shared" si="51"/>
        <v>0</v>
      </c>
      <c r="S96" s="3">
        <f t="shared" si="52"/>
        <v>0</v>
      </c>
      <c r="T96" s="3">
        <f t="shared" si="53"/>
        <v>0</v>
      </c>
      <c r="U96" s="3">
        <f t="shared" si="53"/>
        <v>1038652</v>
      </c>
      <c r="V96" s="3">
        <f t="shared" si="54"/>
        <v>1038652</v>
      </c>
      <c r="W96" s="474">
        <f t="shared" si="55"/>
        <v>1038652</v>
      </c>
    </row>
    <row r="97" spans="1:23">
      <c r="A97" s="170">
        <v>43009</v>
      </c>
      <c r="B97" s="378">
        <f t="shared" si="38"/>
        <v>0</v>
      </c>
      <c r="C97" s="3">
        <v>0</v>
      </c>
      <c r="D97" s="3">
        <f t="shared" si="39"/>
        <v>0</v>
      </c>
      <c r="E97" s="3">
        <v>0</v>
      </c>
      <c r="F97" s="3">
        <f t="shared" si="40"/>
        <v>377775</v>
      </c>
      <c r="G97" s="3">
        <f t="shared" si="41"/>
        <v>377775</v>
      </c>
      <c r="H97" s="3">
        <f t="shared" si="42"/>
        <v>0</v>
      </c>
      <c r="I97" s="3">
        <f t="shared" si="42"/>
        <v>377775</v>
      </c>
      <c r="J97" s="379">
        <f t="shared" si="43"/>
        <v>377775</v>
      </c>
      <c r="K97" s="3">
        <v>0</v>
      </c>
      <c r="L97" s="3">
        <v>0</v>
      </c>
      <c r="M97" s="3">
        <f t="shared" si="44"/>
        <v>0</v>
      </c>
      <c r="N97" s="3">
        <v>377775</v>
      </c>
      <c r="O97" s="3">
        <v>0</v>
      </c>
      <c r="P97" s="380">
        <f t="shared" si="45"/>
        <v>377775</v>
      </c>
      <c r="Q97" s="3">
        <f t="shared" si="51"/>
        <v>0</v>
      </c>
      <c r="R97" s="3">
        <f t="shared" si="51"/>
        <v>0</v>
      </c>
      <c r="S97" s="3">
        <f t="shared" si="52"/>
        <v>0</v>
      </c>
      <c r="T97" s="3">
        <f t="shared" si="53"/>
        <v>0</v>
      </c>
      <c r="U97" s="3">
        <f t="shared" si="53"/>
        <v>1416427</v>
      </c>
      <c r="V97" s="3">
        <f t="shared" si="54"/>
        <v>1416427</v>
      </c>
      <c r="W97" s="474">
        <f t="shared" si="55"/>
        <v>1416427</v>
      </c>
    </row>
    <row r="98" spans="1:23">
      <c r="A98" s="170">
        <v>43040</v>
      </c>
      <c r="B98" s="378">
        <f t="shared" si="38"/>
        <v>0</v>
      </c>
      <c r="C98" s="3">
        <v>0</v>
      </c>
      <c r="D98" s="3">
        <f t="shared" si="39"/>
        <v>0</v>
      </c>
      <c r="E98" s="3">
        <v>0</v>
      </c>
      <c r="F98" s="3">
        <f t="shared" si="40"/>
        <v>0</v>
      </c>
      <c r="G98" s="3">
        <f t="shared" si="41"/>
        <v>0</v>
      </c>
      <c r="H98" s="3">
        <f t="shared" si="42"/>
        <v>0</v>
      </c>
      <c r="I98" s="3">
        <f t="shared" si="42"/>
        <v>0</v>
      </c>
      <c r="J98" s="379">
        <f t="shared" si="43"/>
        <v>0</v>
      </c>
      <c r="K98" s="3">
        <v>0</v>
      </c>
      <c r="L98" s="3">
        <v>0</v>
      </c>
      <c r="M98" s="3">
        <f t="shared" si="44"/>
        <v>0</v>
      </c>
      <c r="N98" s="3">
        <v>0</v>
      </c>
      <c r="O98" s="3">
        <v>0</v>
      </c>
      <c r="P98" s="380">
        <f t="shared" si="45"/>
        <v>0</v>
      </c>
      <c r="Q98" s="3">
        <f t="shared" si="51"/>
        <v>0</v>
      </c>
      <c r="R98" s="3">
        <f t="shared" si="51"/>
        <v>0</v>
      </c>
      <c r="S98" s="3">
        <f t="shared" si="52"/>
        <v>0</v>
      </c>
      <c r="T98" s="3">
        <f t="shared" si="53"/>
        <v>0</v>
      </c>
      <c r="U98" s="3">
        <f t="shared" si="53"/>
        <v>1416427</v>
      </c>
      <c r="V98" s="3">
        <f t="shared" si="54"/>
        <v>1416427</v>
      </c>
      <c r="W98" s="474">
        <f t="shared" si="55"/>
        <v>1416427</v>
      </c>
    </row>
    <row r="99" spans="1:23" ht="15.75" thickBot="1">
      <c r="A99" s="170">
        <v>43070</v>
      </c>
      <c r="B99" s="378">
        <f t="shared" si="38"/>
        <v>459</v>
      </c>
      <c r="C99" s="3">
        <v>0</v>
      </c>
      <c r="D99" s="3">
        <f t="shared" si="39"/>
        <v>459</v>
      </c>
      <c r="E99" s="3">
        <v>0</v>
      </c>
      <c r="F99" s="3">
        <f t="shared" si="40"/>
        <v>327008</v>
      </c>
      <c r="G99" s="3">
        <f t="shared" si="41"/>
        <v>327008</v>
      </c>
      <c r="H99" s="3">
        <f t="shared" si="42"/>
        <v>459</v>
      </c>
      <c r="I99" s="3">
        <f t="shared" si="42"/>
        <v>327008</v>
      </c>
      <c r="J99" s="379">
        <f t="shared" si="43"/>
        <v>327467</v>
      </c>
      <c r="K99" s="3">
        <v>459</v>
      </c>
      <c r="L99" s="3">
        <v>0</v>
      </c>
      <c r="M99" s="3">
        <f t="shared" si="44"/>
        <v>459</v>
      </c>
      <c r="N99" s="3">
        <v>327008</v>
      </c>
      <c r="O99" s="3">
        <v>0</v>
      </c>
      <c r="P99" s="380">
        <f t="shared" si="45"/>
        <v>327008</v>
      </c>
      <c r="Q99" s="3">
        <f t="shared" si="51"/>
        <v>459</v>
      </c>
      <c r="R99" s="3">
        <f t="shared" si="51"/>
        <v>0</v>
      </c>
      <c r="S99" s="3">
        <f t="shared" si="52"/>
        <v>459</v>
      </c>
      <c r="T99" s="3">
        <f t="shared" si="53"/>
        <v>0</v>
      </c>
      <c r="U99" s="3">
        <f t="shared" si="53"/>
        <v>1743435</v>
      </c>
      <c r="V99" s="3">
        <f t="shared" si="54"/>
        <v>1743435</v>
      </c>
      <c r="W99" s="474">
        <f t="shared" si="55"/>
        <v>1743894</v>
      </c>
    </row>
    <row r="100" spans="1:23">
      <c r="A100" s="171">
        <v>43101</v>
      </c>
      <c r="B100" s="385">
        <f>M100</f>
        <v>0</v>
      </c>
      <c r="C100" s="104">
        <v>0</v>
      </c>
      <c r="D100" s="104">
        <f t="shared" si="39"/>
        <v>0</v>
      </c>
      <c r="E100" s="104">
        <v>0</v>
      </c>
      <c r="F100" s="104">
        <f>P100</f>
        <v>49276</v>
      </c>
      <c r="G100" s="104">
        <f t="shared" si="41"/>
        <v>49276</v>
      </c>
      <c r="H100" s="104">
        <f t="shared" si="42"/>
        <v>0</v>
      </c>
      <c r="I100" s="104">
        <f t="shared" si="42"/>
        <v>49276</v>
      </c>
      <c r="J100" s="386">
        <f t="shared" si="43"/>
        <v>49276</v>
      </c>
      <c r="K100" s="104">
        <v>0</v>
      </c>
      <c r="L100" s="104">
        <v>0</v>
      </c>
      <c r="M100" s="104">
        <f t="shared" si="44"/>
        <v>0</v>
      </c>
      <c r="N100" s="104">
        <v>49276</v>
      </c>
      <c r="O100" s="104">
        <v>0</v>
      </c>
      <c r="P100" s="387">
        <f t="shared" si="45"/>
        <v>49276</v>
      </c>
      <c r="Q100" s="104">
        <f>B100</f>
        <v>0</v>
      </c>
      <c r="R100" s="104">
        <f>C100</f>
        <v>0</v>
      </c>
      <c r="S100" s="104">
        <f>R100+Q100</f>
        <v>0</v>
      </c>
      <c r="T100" s="104">
        <f>E100</f>
        <v>0</v>
      </c>
      <c r="U100" s="104">
        <f>F100</f>
        <v>49276</v>
      </c>
      <c r="V100" s="104">
        <f>U100+T100</f>
        <v>49276</v>
      </c>
      <c r="W100" s="475">
        <f>V100+S100</f>
        <v>49276</v>
      </c>
    </row>
    <row r="101" spans="1:23">
      <c r="A101" s="170">
        <v>43132</v>
      </c>
      <c r="B101" s="378">
        <f t="shared" ref="B101:B118" si="56">M101</f>
        <v>0</v>
      </c>
      <c r="C101" s="3">
        <v>0</v>
      </c>
      <c r="D101" s="3">
        <f t="shared" si="39"/>
        <v>0</v>
      </c>
      <c r="E101" s="3">
        <v>0</v>
      </c>
      <c r="F101" s="3">
        <f t="shared" ref="F101:F144" si="57">P101</f>
        <v>0</v>
      </c>
      <c r="G101" s="3">
        <f t="shared" si="41"/>
        <v>0</v>
      </c>
      <c r="H101" s="3">
        <f t="shared" si="42"/>
        <v>0</v>
      </c>
      <c r="I101" s="3">
        <f t="shared" si="42"/>
        <v>0</v>
      </c>
      <c r="J101" s="379">
        <f t="shared" si="43"/>
        <v>0</v>
      </c>
      <c r="K101" s="3">
        <v>0</v>
      </c>
      <c r="L101" s="3">
        <v>0</v>
      </c>
      <c r="M101" s="3">
        <f t="shared" si="44"/>
        <v>0</v>
      </c>
      <c r="N101" s="3">
        <v>0</v>
      </c>
      <c r="O101" s="3">
        <v>0</v>
      </c>
      <c r="P101" s="380">
        <f t="shared" si="45"/>
        <v>0</v>
      </c>
      <c r="Q101" s="3">
        <f>Q100+B101</f>
        <v>0</v>
      </c>
      <c r="R101" s="3">
        <f>R100+C101</f>
        <v>0</v>
      </c>
      <c r="S101" s="3">
        <f>R101+Q101</f>
        <v>0</v>
      </c>
      <c r="T101" s="3">
        <f>T100+E101</f>
        <v>0</v>
      </c>
      <c r="U101" s="3">
        <f>U100+F101</f>
        <v>49276</v>
      </c>
      <c r="V101" s="3">
        <f>U101+T101</f>
        <v>49276</v>
      </c>
      <c r="W101" s="474">
        <f>V101+S101</f>
        <v>49276</v>
      </c>
    </row>
    <row r="102" spans="1:23">
      <c r="A102" s="170">
        <v>43160</v>
      </c>
      <c r="B102" s="378">
        <f t="shared" si="56"/>
        <v>7296</v>
      </c>
      <c r="C102" s="3">
        <v>0</v>
      </c>
      <c r="D102" s="3">
        <f t="shared" si="39"/>
        <v>7296</v>
      </c>
      <c r="E102" s="3">
        <v>0</v>
      </c>
      <c r="F102" s="3">
        <f t="shared" si="57"/>
        <v>592070</v>
      </c>
      <c r="G102" s="3">
        <f t="shared" si="41"/>
        <v>592070</v>
      </c>
      <c r="H102" s="3">
        <f t="shared" si="42"/>
        <v>7296</v>
      </c>
      <c r="I102" s="3">
        <f t="shared" si="42"/>
        <v>592070</v>
      </c>
      <c r="J102" s="379">
        <f t="shared" si="43"/>
        <v>599366</v>
      </c>
      <c r="K102" s="3">
        <v>7296</v>
      </c>
      <c r="L102" s="3">
        <v>0</v>
      </c>
      <c r="M102" s="3">
        <f t="shared" si="44"/>
        <v>7296</v>
      </c>
      <c r="N102" s="3">
        <v>592070</v>
      </c>
      <c r="O102" s="3">
        <v>0</v>
      </c>
      <c r="P102" s="380">
        <f t="shared" si="45"/>
        <v>592070</v>
      </c>
      <c r="Q102" s="3">
        <f t="shared" ref="Q102:R111" si="58">Q101+B102</f>
        <v>7296</v>
      </c>
      <c r="R102" s="3">
        <f t="shared" si="58"/>
        <v>0</v>
      </c>
      <c r="S102" s="3">
        <f t="shared" ref="S102:S108" si="59">R102+Q102</f>
        <v>7296</v>
      </c>
      <c r="T102" s="3">
        <f t="shared" ref="T102:U111" si="60">T101+E102</f>
        <v>0</v>
      </c>
      <c r="U102" s="3">
        <f t="shared" si="60"/>
        <v>641346</v>
      </c>
      <c r="V102" s="3">
        <f t="shared" ref="V102:V108" si="61">U102+T102</f>
        <v>641346</v>
      </c>
      <c r="W102" s="474">
        <f t="shared" ref="W102:W108" si="62">V102+S102</f>
        <v>648642</v>
      </c>
    </row>
    <row r="103" spans="1:23">
      <c r="A103" s="170">
        <v>43191</v>
      </c>
      <c r="B103" s="378">
        <f t="shared" si="56"/>
        <v>3960</v>
      </c>
      <c r="C103" s="3">
        <v>0</v>
      </c>
      <c r="D103" s="3">
        <f t="shared" si="39"/>
        <v>3960</v>
      </c>
      <c r="E103" s="3">
        <v>0</v>
      </c>
      <c r="F103" s="3">
        <f t="shared" si="57"/>
        <v>106260</v>
      </c>
      <c r="G103" s="3">
        <f t="shared" si="41"/>
        <v>106260</v>
      </c>
      <c r="H103" s="3">
        <f t="shared" si="42"/>
        <v>3960</v>
      </c>
      <c r="I103" s="3">
        <f t="shared" si="42"/>
        <v>106260</v>
      </c>
      <c r="J103" s="379">
        <f t="shared" si="43"/>
        <v>110220</v>
      </c>
      <c r="K103" s="3">
        <v>3960</v>
      </c>
      <c r="L103" s="3">
        <v>0</v>
      </c>
      <c r="M103" s="3">
        <f t="shared" si="44"/>
        <v>3960</v>
      </c>
      <c r="N103" s="3">
        <v>106260</v>
      </c>
      <c r="O103" s="3">
        <v>0</v>
      </c>
      <c r="P103" s="380">
        <f t="shared" si="45"/>
        <v>106260</v>
      </c>
      <c r="Q103" s="3">
        <f t="shared" si="58"/>
        <v>11256</v>
      </c>
      <c r="R103" s="3">
        <f t="shared" si="58"/>
        <v>0</v>
      </c>
      <c r="S103" s="3">
        <f t="shared" si="59"/>
        <v>11256</v>
      </c>
      <c r="T103" s="3">
        <f t="shared" si="60"/>
        <v>0</v>
      </c>
      <c r="U103" s="3">
        <f t="shared" si="60"/>
        <v>747606</v>
      </c>
      <c r="V103" s="3">
        <f t="shared" si="61"/>
        <v>747606</v>
      </c>
      <c r="W103" s="474">
        <f t="shared" si="62"/>
        <v>758862</v>
      </c>
    </row>
    <row r="104" spans="1:23">
      <c r="A104" s="170">
        <v>43221</v>
      </c>
      <c r="B104" s="378">
        <f t="shared" si="56"/>
        <v>0</v>
      </c>
      <c r="C104" s="3">
        <v>0</v>
      </c>
      <c r="D104" s="3">
        <f t="shared" si="39"/>
        <v>0</v>
      </c>
      <c r="E104" s="3">
        <v>0</v>
      </c>
      <c r="F104" s="3">
        <f t="shared" si="57"/>
        <v>457786</v>
      </c>
      <c r="G104" s="3">
        <f t="shared" si="41"/>
        <v>457786</v>
      </c>
      <c r="H104" s="3">
        <f t="shared" si="42"/>
        <v>0</v>
      </c>
      <c r="I104" s="3">
        <f t="shared" si="42"/>
        <v>457786</v>
      </c>
      <c r="J104" s="379">
        <f t="shared" si="43"/>
        <v>457786</v>
      </c>
      <c r="K104" s="3">
        <v>0</v>
      </c>
      <c r="L104" s="3">
        <v>0</v>
      </c>
      <c r="M104" s="3">
        <f t="shared" si="44"/>
        <v>0</v>
      </c>
      <c r="N104" s="3">
        <v>457786</v>
      </c>
      <c r="O104" s="3">
        <v>0</v>
      </c>
      <c r="P104" s="380">
        <f t="shared" si="45"/>
        <v>457786</v>
      </c>
      <c r="Q104" s="3">
        <f t="shared" si="58"/>
        <v>11256</v>
      </c>
      <c r="R104" s="3">
        <f t="shared" si="58"/>
        <v>0</v>
      </c>
      <c r="S104" s="3">
        <f t="shared" si="59"/>
        <v>11256</v>
      </c>
      <c r="T104" s="3">
        <f t="shared" si="60"/>
        <v>0</v>
      </c>
      <c r="U104" s="3">
        <f t="shared" si="60"/>
        <v>1205392</v>
      </c>
      <c r="V104" s="3">
        <f t="shared" si="61"/>
        <v>1205392</v>
      </c>
      <c r="W104" s="474">
        <f t="shared" si="62"/>
        <v>1216648</v>
      </c>
    </row>
    <row r="105" spans="1:23">
      <c r="A105" s="170">
        <v>43252</v>
      </c>
      <c r="B105" s="378">
        <f t="shared" si="56"/>
        <v>0</v>
      </c>
      <c r="C105" s="3">
        <v>0</v>
      </c>
      <c r="D105" s="3">
        <f t="shared" si="39"/>
        <v>0</v>
      </c>
      <c r="E105" s="3">
        <v>0</v>
      </c>
      <c r="F105" s="3">
        <f t="shared" si="57"/>
        <v>297480</v>
      </c>
      <c r="G105" s="3">
        <f t="shared" si="41"/>
        <v>297480</v>
      </c>
      <c r="H105" s="3">
        <f t="shared" si="42"/>
        <v>0</v>
      </c>
      <c r="I105" s="3">
        <f t="shared" si="42"/>
        <v>297480</v>
      </c>
      <c r="J105" s="379">
        <f t="shared" si="43"/>
        <v>297480</v>
      </c>
      <c r="K105" s="3">
        <v>0</v>
      </c>
      <c r="L105" s="3">
        <v>0</v>
      </c>
      <c r="M105" s="3">
        <f t="shared" si="44"/>
        <v>0</v>
      </c>
      <c r="N105" s="3">
        <v>297480</v>
      </c>
      <c r="O105" s="3">
        <v>0</v>
      </c>
      <c r="P105" s="380">
        <f t="shared" si="45"/>
        <v>297480</v>
      </c>
      <c r="Q105" s="3">
        <f t="shared" si="58"/>
        <v>11256</v>
      </c>
      <c r="R105" s="3">
        <f t="shared" si="58"/>
        <v>0</v>
      </c>
      <c r="S105" s="3">
        <f t="shared" si="59"/>
        <v>11256</v>
      </c>
      <c r="T105" s="3">
        <f t="shared" si="60"/>
        <v>0</v>
      </c>
      <c r="U105" s="3">
        <f t="shared" si="60"/>
        <v>1502872</v>
      </c>
      <c r="V105" s="3">
        <f t="shared" si="61"/>
        <v>1502872</v>
      </c>
      <c r="W105" s="474">
        <f t="shared" si="62"/>
        <v>1514128</v>
      </c>
    </row>
    <row r="106" spans="1:23">
      <c r="A106" s="170">
        <v>43282</v>
      </c>
      <c r="B106" s="378">
        <f t="shared" si="56"/>
        <v>0</v>
      </c>
      <c r="C106" s="3">
        <v>0</v>
      </c>
      <c r="D106" s="3">
        <f t="shared" si="39"/>
        <v>0</v>
      </c>
      <c r="E106" s="3">
        <v>0</v>
      </c>
      <c r="F106" s="3">
        <f t="shared" si="57"/>
        <v>0</v>
      </c>
      <c r="G106" s="3">
        <f t="shared" si="41"/>
        <v>0</v>
      </c>
      <c r="H106" s="3">
        <f t="shared" si="42"/>
        <v>0</v>
      </c>
      <c r="I106" s="3">
        <f t="shared" si="42"/>
        <v>0</v>
      </c>
      <c r="J106" s="379">
        <f t="shared" si="43"/>
        <v>0</v>
      </c>
      <c r="K106" s="3">
        <v>0</v>
      </c>
      <c r="L106" s="3">
        <v>0</v>
      </c>
      <c r="M106" s="3">
        <f t="shared" si="44"/>
        <v>0</v>
      </c>
      <c r="N106" s="3">
        <v>0</v>
      </c>
      <c r="O106" s="3">
        <v>0</v>
      </c>
      <c r="P106" s="380">
        <f t="shared" si="45"/>
        <v>0</v>
      </c>
      <c r="Q106" s="3">
        <f t="shared" si="58"/>
        <v>11256</v>
      </c>
      <c r="R106" s="3">
        <f t="shared" si="58"/>
        <v>0</v>
      </c>
      <c r="S106" s="3">
        <f t="shared" si="59"/>
        <v>11256</v>
      </c>
      <c r="T106" s="3">
        <f t="shared" si="60"/>
        <v>0</v>
      </c>
      <c r="U106" s="3">
        <f t="shared" si="60"/>
        <v>1502872</v>
      </c>
      <c r="V106" s="3">
        <f t="shared" si="61"/>
        <v>1502872</v>
      </c>
      <c r="W106" s="474">
        <f t="shared" si="62"/>
        <v>1514128</v>
      </c>
    </row>
    <row r="107" spans="1:23">
      <c r="A107" s="170">
        <v>43313</v>
      </c>
      <c r="B107" s="378">
        <f t="shared" si="56"/>
        <v>0</v>
      </c>
      <c r="C107" s="3">
        <v>0</v>
      </c>
      <c r="D107" s="3">
        <f t="shared" si="39"/>
        <v>0</v>
      </c>
      <c r="E107" s="3">
        <v>0</v>
      </c>
      <c r="F107" s="3">
        <f t="shared" si="57"/>
        <v>0</v>
      </c>
      <c r="G107" s="3">
        <f t="shared" si="41"/>
        <v>0</v>
      </c>
      <c r="H107" s="3">
        <f t="shared" si="42"/>
        <v>0</v>
      </c>
      <c r="I107" s="3">
        <f t="shared" si="42"/>
        <v>0</v>
      </c>
      <c r="J107" s="379">
        <f t="shared" si="43"/>
        <v>0</v>
      </c>
      <c r="K107" s="3">
        <v>0</v>
      </c>
      <c r="L107" s="3">
        <v>0</v>
      </c>
      <c r="M107" s="3">
        <f t="shared" si="44"/>
        <v>0</v>
      </c>
      <c r="N107" s="3">
        <v>0</v>
      </c>
      <c r="O107" s="3">
        <v>0</v>
      </c>
      <c r="P107" s="380">
        <f t="shared" si="45"/>
        <v>0</v>
      </c>
      <c r="Q107" s="3">
        <f t="shared" si="58"/>
        <v>11256</v>
      </c>
      <c r="R107" s="3">
        <f t="shared" si="58"/>
        <v>0</v>
      </c>
      <c r="S107" s="3">
        <f t="shared" si="59"/>
        <v>11256</v>
      </c>
      <c r="T107" s="3">
        <f t="shared" si="60"/>
        <v>0</v>
      </c>
      <c r="U107" s="3">
        <f t="shared" si="60"/>
        <v>1502872</v>
      </c>
      <c r="V107" s="3">
        <f t="shared" si="61"/>
        <v>1502872</v>
      </c>
      <c r="W107" s="474">
        <f t="shared" si="62"/>
        <v>1514128</v>
      </c>
    </row>
    <row r="108" spans="1:23">
      <c r="A108" s="170">
        <v>43344</v>
      </c>
      <c r="B108" s="378">
        <f t="shared" si="56"/>
        <v>0</v>
      </c>
      <c r="C108" s="3">
        <v>0</v>
      </c>
      <c r="D108" s="3">
        <f t="shared" si="39"/>
        <v>0</v>
      </c>
      <c r="E108" s="3">
        <v>0</v>
      </c>
      <c r="F108" s="3">
        <f t="shared" si="57"/>
        <v>0</v>
      </c>
      <c r="G108" s="3">
        <f t="shared" si="41"/>
        <v>0</v>
      </c>
      <c r="H108" s="3">
        <f t="shared" si="42"/>
        <v>0</v>
      </c>
      <c r="I108" s="3">
        <f t="shared" si="42"/>
        <v>0</v>
      </c>
      <c r="J108" s="379">
        <f t="shared" si="43"/>
        <v>0</v>
      </c>
      <c r="K108" s="3">
        <v>0</v>
      </c>
      <c r="L108" s="3">
        <v>0</v>
      </c>
      <c r="M108" s="3">
        <f t="shared" si="44"/>
        <v>0</v>
      </c>
      <c r="N108" s="3">
        <v>0</v>
      </c>
      <c r="O108" s="3">
        <v>0</v>
      </c>
      <c r="P108" s="380">
        <f t="shared" si="45"/>
        <v>0</v>
      </c>
      <c r="Q108" s="3">
        <f t="shared" si="58"/>
        <v>11256</v>
      </c>
      <c r="R108" s="3">
        <f t="shared" si="58"/>
        <v>0</v>
      </c>
      <c r="S108" s="3">
        <f t="shared" si="59"/>
        <v>11256</v>
      </c>
      <c r="T108" s="3">
        <f t="shared" si="60"/>
        <v>0</v>
      </c>
      <c r="U108" s="3">
        <f t="shared" si="60"/>
        <v>1502872</v>
      </c>
      <c r="V108" s="3">
        <f t="shared" si="61"/>
        <v>1502872</v>
      </c>
      <c r="W108" s="474">
        <f t="shared" si="62"/>
        <v>1514128</v>
      </c>
    </row>
    <row r="109" spans="1:23">
      <c r="A109" s="170">
        <v>43374</v>
      </c>
      <c r="B109" s="378">
        <f t="shared" si="56"/>
        <v>0</v>
      </c>
      <c r="C109" s="3">
        <v>0</v>
      </c>
      <c r="D109" s="3">
        <f t="shared" si="39"/>
        <v>0</v>
      </c>
      <c r="E109" s="3">
        <v>0</v>
      </c>
      <c r="F109" s="3">
        <f t="shared" si="57"/>
        <v>533819</v>
      </c>
      <c r="G109" s="3">
        <f t="shared" si="41"/>
        <v>533819</v>
      </c>
      <c r="H109" s="3">
        <f t="shared" si="42"/>
        <v>0</v>
      </c>
      <c r="I109" s="3">
        <f t="shared" si="42"/>
        <v>533819</v>
      </c>
      <c r="J109" s="379">
        <f t="shared" si="43"/>
        <v>533819</v>
      </c>
      <c r="K109" s="3">
        <v>0</v>
      </c>
      <c r="L109" s="3">
        <v>0</v>
      </c>
      <c r="M109" s="3">
        <f t="shared" si="44"/>
        <v>0</v>
      </c>
      <c r="N109" s="3">
        <v>533819</v>
      </c>
      <c r="O109" s="3">
        <v>0</v>
      </c>
      <c r="P109" s="380">
        <f t="shared" si="45"/>
        <v>533819</v>
      </c>
      <c r="Q109" s="3">
        <f t="shared" si="58"/>
        <v>11256</v>
      </c>
      <c r="R109" s="3">
        <f t="shared" si="58"/>
        <v>0</v>
      </c>
      <c r="S109" s="3">
        <f>R109+Q109</f>
        <v>11256</v>
      </c>
      <c r="T109" s="3">
        <f t="shared" si="60"/>
        <v>0</v>
      </c>
      <c r="U109" s="3">
        <f t="shared" si="60"/>
        <v>2036691</v>
      </c>
      <c r="V109" s="3">
        <f>U109+T109</f>
        <v>2036691</v>
      </c>
      <c r="W109" s="474">
        <f>V109+S109</f>
        <v>2047947</v>
      </c>
    </row>
    <row r="110" spans="1:23">
      <c r="A110" s="170">
        <v>43405</v>
      </c>
      <c r="B110" s="378">
        <f t="shared" si="56"/>
        <v>0</v>
      </c>
      <c r="C110" s="3">
        <v>0</v>
      </c>
      <c r="D110" s="3">
        <f t="shared" si="39"/>
        <v>0</v>
      </c>
      <c r="E110" s="3">
        <v>0</v>
      </c>
      <c r="F110" s="3">
        <f t="shared" si="57"/>
        <v>185644</v>
      </c>
      <c r="G110" s="3">
        <f t="shared" si="41"/>
        <v>185644</v>
      </c>
      <c r="H110" s="3">
        <f t="shared" ref="H110:I119" si="63">B110+E110</f>
        <v>0</v>
      </c>
      <c r="I110" s="3">
        <f t="shared" si="63"/>
        <v>185644</v>
      </c>
      <c r="J110" s="379">
        <f t="shared" si="43"/>
        <v>185644</v>
      </c>
      <c r="K110" s="3">
        <v>0</v>
      </c>
      <c r="L110" s="3">
        <v>0</v>
      </c>
      <c r="M110" s="3">
        <f t="shared" si="44"/>
        <v>0</v>
      </c>
      <c r="N110" s="3">
        <v>185644</v>
      </c>
      <c r="O110" s="3">
        <v>0</v>
      </c>
      <c r="P110" s="380">
        <f t="shared" si="45"/>
        <v>185644</v>
      </c>
      <c r="Q110" s="3">
        <f t="shared" si="58"/>
        <v>11256</v>
      </c>
      <c r="R110" s="3">
        <f t="shared" si="58"/>
        <v>0</v>
      </c>
      <c r="S110" s="3">
        <f>R110+Q110</f>
        <v>11256</v>
      </c>
      <c r="T110" s="3">
        <f t="shared" si="60"/>
        <v>0</v>
      </c>
      <c r="U110" s="3">
        <f t="shared" si="60"/>
        <v>2222335</v>
      </c>
      <c r="V110" s="3">
        <f>U110+T110</f>
        <v>2222335</v>
      </c>
      <c r="W110" s="474">
        <f>V110+S110</f>
        <v>2233591</v>
      </c>
    </row>
    <row r="111" spans="1:23" ht="15.75" thickBot="1">
      <c r="A111" s="170">
        <v>43435</v>
      </c>
      <c r="B111" s="378">
        <f t="shared" si="56"/>
        <v>0</v>
      </c>
      <c r="C111" s="3">
        <v>0</v>
      </c>
      <c r="D111" s="3">
        <f t="shared" si="39"/>
        <v>0</v>
      </c>
      <c r="E111" s="3">
        <v>0</v>
      </c>
      <c r="F111" s="3">
        <f t="shared" si="57"/>
        <v>217665</v>
      </c>
      <c r="G111" s="3">
        <f t="shared" si="41"/>
        <v>217665</v>
      </c>
      <c r="H111" s="3">
        <f t="shared" si="63"/>
        <v>0</v>
      </c>
      <c r="I111" s="3">
        <f t="shared" si="63"/>
        <v>217665</v>
      </c>
      <c r="J111" s="379">
        <f t="shared" si="43"/>
        <v>217665</v>
      </c>
      <c r="K111" s="3">
        <v>0</v>
      </c>
      <c r="L111" s="3">
        <v>0</v>
      </c>
      <c r="M111" s="3">
        <f t="shared" si="44"/>
        <v>0</v>
      </c>
      <c r="N111" s="3">
        <v>217665</v>
      </c>
      <c r="O111" s="3">
        <v>0</v>
      </c>
      <c r="P111" s="380">
        <f t="shared" si="45"/>
        <v>217665</v>
      </c>
      <c r="Q111" s="3">
        <f t="shared" si="58"/>
        <v>11256</v>
      </c>
      <c r="R111" s="3">
        <f t="shared" si="58"/>
        <v>0</v>
      </c>
      <c r="S111" s="3">
        <f>R111+Q111</f>
        <v>11256</v>
      </c>
      <c r="T111" s="3">
        <f t="shared" si="60"/>
        <v>0</v>
      </c>
      <c r="U111" s="3">
        <f t="shared" si="60"/>
        <v>2440000</v>
      </c>
      <c r="V111" s="3">
        <f>U111+T111</f>
        <v>2440000</v>
      </c>
      <c r="W111" s="474">
        <f>V111+S111</f>
        <v>2451256</v>
      </c>
    </row>
    <row r="112" spans="1:23">
      <c r="A112" s="171">
        <v>43466</v>
      </c>
      <c r="B112" s="385">
        <v>0</v>
      </c>
      <c r="C112" s="104">
        <v>0</v>
      </c>
      <c r="D112" s="104">
        <f t="shared" si="39"/>
        <v>0</v>
      </c>
      <c r="E112" s="104">
        <v>0</v>
      </c>
      <c r="F112" s="104">
        <f>P112</f>
        <v>148993</v>
      </c>
      <c r="G112" s="104">
        <f t="shared" si="41"/>
        <v>148993</v>
      </c>
      <c r="H112" s="104">
        <f t="shared" si="63"/>
        <v>0</v>
      </c>
      <c r="I112" s="104">
        <f t="shared" si="63"/>
        <v>148993</v>
      </c>
      <c r="J112" s="386">
        <f t="shared" si="43"/>
        <v>148993</v>
      </c>
      <c r="K112" s="104">
        <v>0</v>
      </c>
      <c r="L112" s="104">
        <v>0</v>
      </c>
      <c r="M112" s="104">
        <f t="shared" si="44"/>
        <v>0</v>
      </c>
      <c r="N112" s="104">
        <v>148993</v>
      </c>
      <c r="O112" s="104">
        <v>0</v>
      </c>
      <c r="P112" s="387">
        <f t="shared" si="45"/>
        <v>148993</v>
      </c>
      <c r="Q112" s="104">
        <f>B112</f>
        <v>0</v>
      </c>
      <c r="R112" s="104">
        <f>C112</f>
        <v>0</v>
      </c>
      <c r="S112" s="104">
        <f>R112+Q112</f>
        <v>0</v>
      </c>
      <c r="T112" s="104">
        <f>E112</f>
        <v>0</v>
      </c>
      <c r="U112" s="104">
        <f>F112</f>
        <v>148993</v>
      </c>
      <c r="V112" s="104">
        <f>U112+T112</f>
        <v>148993</v>
      </c>
      <c r="W112" s="475">
        <f>V112+S112</f>
        <v>148993</v>
      </c>
    </row>
    <row r="113" spans="1:23">
      <c r="A113" s="170">
        <v>43497</v>
      </c>
      <c r="B113" s="378">
        <v>0</v>
      </c>
      <c r="C113" s="3">
        <v>0</v>
      </c>
      <c r="D113" s="3">
        <f t="shared" si="39"/>
        <v>0</v>
      </c>
      <c r="E113" s="3">
        <v>0</v>
      </c>
      <c r="F113" s="3">
        <f t="shared" si="57"/>
        <v>225497</v>
      </c>
      <c r="G113" s="3">
        <f t="shared" si="41"/>
        <v>225497</v>
      </c>
      <c r="H113" s="3">
        <f t="shared" si="63"/>
        <v>0</v>
      </c>
      <c r="I113" s="3">
        <f t="shared" si="63"/>
        <v>225497</v>
      </c>
      <c r="J113" s="379">
        <f t="shared" si="43"/>
        <v>225497</v>
      </c>
      <c r="K113" s="3">
        <v>0</v>
      </c>
      <c r="L113" s="3">
        <v>0</v>
      </c>
      <c r="M113" s="3">
        <f t="shared" si="44"/>
        <v>0</v>
      </c>
      <c r="N113" s="3">
        <v>225497</v>
      </c>
      <c r="O113" s="3">
        <v>0</v>
      </c>
      <c r="P113" s="380">
        <f t="shared" si="45"/>
        <v>225497</v>
      </c>
      <c r="Q113" s="3">
        <f>Q112+B113</f>
        <v>0</v>
      </c>
      <c r="R113" s="3">
        <f>R112+C113</f>
        <v>0</v>
      </c>
      <c r="S113" s="3">
        <f>R113+Q113</f>
        <v>0</v>
      </c>
      <c r="T113" s="3">
        <f>T112+E113</f>
        <v>0</v>
      </c>
      <c r="U113" s="3">
        <f>U112+F113</f>
        <v>374490</v>
      </c>
      <c r="V113" s="3">
        <f>U113+T113</f>
        <v>374490</v>
      </c>
      <c r="W113" s="474">
        <f>V113+S113</f>
        <v>374490</v>
      </c>
    </row>
    <row r="114" spans="1:23">
      <c r="A114" s="170">
        <v>43525</v>
      </c>
      <c r="B114" s="378">
        <v>0</v>
      </c>
      <c r="C114" s="3">
        <v>0</v>
      </c>
      <c r="D114" s="3">
        <f t="shared" si="39"/>
        <v>0</v>
      </c>
      <c r="E114" s="3">
        <v>0</v>
      </c>
      <c r="F114" s="3">
        <f t="shared" si="57"/>
        <v>423217</v>
      </c>
      <c r="G114" s="3">
        <f t="shared" si="41"/>
        <v>423217</v>
      </c>
      <c r="H114" s="3">
        <f t="shared" si="63"/>
        <v>0</v>
      </c>
      <c r="I114" s="3">
        <f t="shared" si="63"/>
        <v>423217</v>
      </c>
      <c r="J114" s="379">
        <f t="shared" si="43"/>
        <v>423217</v>
      </c>
      <c r="K114" s="3">
        <v>0</v>
      </c>
      <c r="L114" s="3">
        <v>0</v>
      </c>
      <c r="M114" s="3">
        <f t="shared" si="44"/>
        <v>0</v>
      </c>
      <c r="N114" s="3">
        <v>423217</v>
      </c>
      <c r="O114" s="3">
        <v>0</v>
      </c>
      <c r="P114" s="380">
        <f t="shared" si="45"/>
        <v>423217</v>
      </c>
      <c r="Q114" s="3">
        <f t="shared" ref="Q114:R123" si="64">Q113+B114</f>
        <v>0</v>
      </c>
      <c r="R114" s="3">
        <f t="shared" si="64"/>
        <v>0</v>
      </c>
      <c r="S114" s="3">
        <f t="shared" ref="S114:S123" si="65">R114+Q114</f>
        <v>0</v>
      </c>
      <c r="T114" s="3">
        <f t="shared" ref="T114:U123" si="66">T113+E114</f>
        <v>0</v>
      </c>
      <c r="U114" s="3">
        <f t="shared" si="66"/>
        <v>797707</v>
      </c>
      <c r="V114" s="3">
        <f t="shared" ref="V114:V123" si="67">U114+T114</f>
        <v>797707</v>
      </c>
      <c r="W114" s="474">
        <f t="shared" ref="W114:W123" si="68">V114+S114</f>
        <v>797707</v>
      </c>
    </row>
    <row r="115" spans="1:23">
      <c r="A115" s="170">
        <v>43556</v>
      </c>
      <c r="B115" s="378">
        <v>0</v>
      </c>
      <c r="C115" s="3">
        <v>0</v>
      </c>
      <c r="D115" s="3">
        <f t="shared" si="39"/>
        <v>0</v>
      </c>
      <c r="E115" s="3">
        <v>0</v>
      </c>
      <c r="F115" s="3">
        <f t="shared" si="57"/>
        <v>239288</v>
      </c>
      <c r="G115" s="3">
        <f t="shared" si="41"/>
        <v>239288</v>
      </c>
      <c r="H115" s="3">
        <f t="shared" si="63"/>
        <v>0</v>
      </c>
      <c r="I115" s="3">
        <f t="shared" si="63"/>
        <v>239288</v>
      </c>
      <c r="J115" s="379">
        <f t="shared" si="43"/>
        <v>239288</v>
      </c>
      <c r="K115" s="3">
        <v>0</v>
      </c>
      <c r="L115" s="3">
        <v>0</v>
      </c>
      <c r="M115" s="3">
        <f t="shared" si="44"/>
        <v>0</v>
      </c>
      <c r="N115" s="3">
        <v>239288</v>
      </c>
      <c r="O115" s="3">
        <v>0</v>
      </c>
      <c r="P115" s="380">
        <f t="shared" si="45"/>
        <v>239288</v>
      </c>
      <c r="Q115" s="3">
        <f t="shared" si="64"/>
        <v>0</v>
      </c>
      <c r="R115" s="3">
        <f t="shared" si="64"/>
        <v>0</v>
      </c>
      <c r="S115" s="3">
        <f t="shared" si="65"/>
        <v>0</v>
      </c>
      <c r="T115" s="3">
        <f t="shared" si="66"/>
        <v>0</v>
      </c>
      <c r="U115" s="3">
        <f t="shared" si="66"/>
        <v>1036995</v>
      </c>
      <c r="V115" s="3">
        <f t="shared" si="67"/>
        <v>1036995</v>
      </c>
      <c r="W115" s="474">
        <f t="shared" si="68"/>
        <v>1036995</v>
      </c>
    </row>
    <row r="116" spans="1:23">
      <c r="A116" s="170">
        <v>43586</v>
      </c>
      <c r="B116" s="378">
        <v>0</v>
      </c>
      <c r="C116" s="3">
        <v>0</v>
      </c>
      <c r="D116" s="3">
        <f t="shared" si="39"/>
        <v>0</v>
      </c>
      <c r="E116" s="3">
        <v>0</v>
      </c>
      <c r="F116" s="3">
        <f t="shared" si="57"/>
        <v>132150</v>
      </c>
      <c r="G116" s="3">
        <f t="shared" si="41"/>
        <v>132150</v>
      </c>
      <c r="H116" s="3">
        <f t="shared" si="63"/>
        <v>0</v>
      </c>
      <c r="I116" s="3">
        <f t="shared" si="63"/>
        <v>132150</v>
      </c>
      <c r="J116" s="379">
        <f t="shared" si="43"/>
        <v>132150</v>
      </c>
      <c r="K116" s="3">
        <v>0</v>
      </c>
      <c r="L116" s="3">
        <v>0</v>
      </c>
      <c r="M116" s="3">
        <f t="shared" si="44"/>
        <v>0</v>
      </c>
      <c r="N116" s="3">
        <v>132150</v>
      </c>
      <c r="O116" s="3">
        <v>0</v>
      </c>
      <c r="P116" s="380">
        <f t="shared" si="45"/>
        <v>132150</v>
      </c>
      <c r="Q116" s="3">
        <f t="shared" si="64"/>
        <v>0</v>
      </c>
      <c r="R116" s="3">
        <f t="shared" si="64"/>
        <v>0</v>
      </c>
      <c r="S116" s="3">
        <f t="shared" si="65"/>
        <v>0</v>
      </c>
      <c r="T116" s="3">
        <f t="shared" si="66"/>
        <v>0</v>
      </c>
      <c r="U116" s="3">
        <f t="shared" si="66"/>
        <v>1169145</v>
      </c>
      <c r="V116" s="3">
        <f t="shared" si="67"/>
        <v>1169145</v>
      </c>
      <c r="W116" s="474">
        <f t="shared" si="68"/>
        <v>1169145</v>
      </c>
    </row>
    <row r="117" spans="1:23">
      <c r="A117" s="170">
        <v>43617</v>
      </c>
      <c r="B117" s="378">
        <v>0</v>
      </c>
      <c r="C117" s="3">
        <v>0</v>
      </c>
      <c r="D117" s="3">
        <f t="shared" si="39"/>
        <v>0</v>
      </c>
      <c r="E117" s="3">
        <v>0</v>
      </c>
      <c r="F117" s="3">
        <f t="shared" si="57"/>
        <v>107473</v>
      </c>
      <c r="G117" s="3">
        <f t="shared" si="41"/>
        <v>107473</v>
      </c>
      <c r="H117" s="3">
        <f t="shared" si="63"/>
        <v>0</v>
      </c>
      <c r="I117" s="3">
        <f t="shared" si="63"/>
        <v>107473</v>
      </c>
      <c r="J117" s="379">
        <f t="shared" si="43"/>
        <v>107473</v>
      </c>
      <c r="K117" s="3">
        <v>0</v>
      </c>
      <c r="L117" s="3">
        <v>0</v>
      </c>
      <c r="M117" s="3">
        <f t="shared" si="44"/>
        <v>0</v>
      </c>
      <c r="N117" s="3">
        <v>107473</v>
      </c>
      <c r="O117" s="3">
        <v>0</v>
      </c>
      <c r="P117" s="380">
        <f t="shared" si="45"/>
        <v>107473</v>
      </c>
      <c r="Q117" s="3">
        <f t="shared" si="64"/>
        <v>0</v>
      </c>
      <c r="R117" s="3">
        <f t="shared" si="64"/>
        <v>0</v>
      </c>
      <c r="S117" s="3">
        <f t="shared" si="65"/>
        <v>0</v>
      </c>
      <c r="T117" s="3">
        <f t="shared" si="66"/>
        <v>0</v>
      </c>
      <c r="U117" s="3">
        <f t="shared" si="66"/>
        <v>1276618</v>
      </c>
      <c r="V117" s="3">
        <f t="shared" si="67"/>
        <v>1276618</v>
      </c>
      <c r="W117" s="474">
        <f t="shared" si="68"/>
        <v>1276618</v>
      </c>
    </row>
    <row r="118" spans="1:23">
      <c r="A118" s="170">
        <v>43647</v>
      </c>
      <c r="B118" s="378">
        <f t="shared" si="56"/>
        <v>0</v>
      </c>
      <c r="C118" s="3">
        <v>0</v>
      </c>
      <c r="D118" s="3">
        <f t="shared" si="39"/>
        <v>0</v>
      </c>
      <c r="E118" s="3">
        <v>0</v>
      </c>
      <c r="F118" s="3">
        <f t="shared" si="57"/>
        <v>0</v>
      </c>
      <c r="G118" s="3">
        <f t="shared" si="41"/>
        <v>0</v>
      </c>
      <c r="H118" s="3">
        <f t="shared" si="63"/>
        <v>0</v>
      </c>
      <c r="I118" s="3">
        <f t="shared" si="63"/>
        <v>0</v>
      </c>
      <c r="J118" s="379">
        <f t="shared" si="43"/>
        <v>0</v>
      </c>
      <c r="K118" s="3">
        <v>0</v>
      </c>
      <c r="L118" s="3">
        <v>0</v>
      </c>
      <c r="M118" s="3">
        <f t="shared" si="44"/>
        <v>0</v>
      </c>
      <c r="N118" s="3">
        <v>0</v>
      </c>
      <c r="O118" s="3">
        <v>0</v>
      </c>
      <c r="P118" s="380">
        <f t="shared" si="45"/>
        <v>0</v>
      </c>
      <c r="Q118" s="3">
        <f t="shared" si="64"/>
        <v>0</v>
      </c>
      <c r="R118" s="3">
        <f t="shared" si="64"/>
        <v>0</v>
      </c>
      <c r="S118" s="3">
        <f t="shared" si="65"/>
        <v>0</v>
      </c>
      <c r="T118" s="3">
        <f t="shared" si="66"/>
        <v>0</v>
      </c>
      <c r="U118" s="3">
        <f t="shared" si="66"/>
        <v>1276618</v>
      </c>
      <c r="V118" s="3">
        <f t="shared" si="67"/>
        <v>1276618</v>
      </c>
      <c r="W118" s="474">
        <f t="shared" si="68"/>
        <v>1276618</v>
      </c>
    </row>
    <row r="119" spans="1:23">
      <c r="A119" s="170">
        <v>43678</v>
      </c>
      <c r="B119" s="378">
        <v>0</v>
      </c>
      <c r="C119" s="3">
        <v>0</v>
      </c>
      <c r="D119" s="3">
        <f t="shared" si="39"/>
        <v>0</v>
      </c>
      <c r="E119" s="3">
        <v>0</v>
      </c>
      <c r="F119" s="3">
        <f t="shared" si="57"/>
        <v>39325</v>
      </c>
      <c r="G119" s="3">
        <v>39325</v>
      </c>
      <c r="H119" s="3">
        <f t="shared" si="63"/>
        <v>0</v>
      </c>
      <c r="I119" s="3">
        <f>C119+F119</f>
        <v>39325</v>
      </c>
      <c r="J119" s="379">
        <f t="shared" si="43"/>
        <v>39325</v>
      </c>
      <c r="K119" s="3">
        <v>0</v>
      </c>
      <c r="L119" s="3">
        <v>0</v>
      </c>
      <c r="M119" s="3">
        <f t="shared" si="44"/>
        <v>0</v>
      </c>
      <c r="N119" s="3">
        <v>39325</v>
      </c>
      <c r="O119" s="3">
        <v>0</v>
      </c>
      <c r="P119" s="380">
        <f t="shared" si="45"/>
        <v>39325</v>
      </c>
      <c r="Q119" s="3">
        <f t="shared" si="64"/>
        <v>0</v>
      </c>
      <c r="R119" s="3">
        <f t="shared" si="64"/>
        <v>0</v>
      </c>
      <c r="S119" s="3">
        <f t="shared" si="65"/>
        <v>0</v>
      </c>
      <c r="T119" s="3">
        <f t="shared" si="66"/>
        <v>0</v>
      </c>
      <c r="U119" s="3">
        <f t="shared" si="66"/>
        <v>1315943</v>
      </c>
      <c r="V119" s="3">
        <f t="shared" si="67"/>
        <v>1315943</v>
      </c>
      <c r="W119" s="474">
        <f t="shared" si="68"/>
        <v>1315943</v>
      </c>
    </row>
    <row r="120" spans="1:23">
      <c r="A120" s="170">
        <v>43709</v>
      </c>
      <c r="B120" s="378">
        <f>M120</f>
        <v>0</v>
      </c>
      <c r="C120" s="3">
        <v>0</v>
      </c>
      <c r="D120" s="3">
        <f t="shared" si="39"/>
        <v>0</v>
      </c>
      <c r="E120" s="3">
        <v>0</v>
      </c>
      <c r="F120" s="3">
        <f t="shared" si="57"/>
        <v>0</v>
      </c>
      <c r="G120" s="3">
        <f t="shared" si="41"/>
        <v>0</v>
      </c>
      <c r="H120" s="3">
        <f>B120+E120</f>
        <v>0</v>
      </c>
      <c r="I120" s="3">
        <f>C120+F120</f>
        <v>0</v>
      </c>
      <c r="J120" s="379">
        <f>I120+H120</f>
        <v>0</v>
      </c>
      <c r="K120" s="3">
        <v>0</v>
      </c>
      <c r="L120" s="3">
        <v>0</v>
      </c>
      <c r="M120" s="3">
        <f t="shared" si="44"/>
        <v>0</v>
      </c>
      <c r="N120" s="3">
        <v>0</v>
      </c>
      <c r="O120" s="3">
        <v>0</v>
      </c>
      <c r="P120" s="380">
        <f t="shared" si="45"/>
        <v>0</v>
      </c>
      <c r="Q120" s="3">
        <f t="shared" si="64"/>
        <v>0</v>
      </c>
      <c r="R120" s="3">
        <f t="shared" si="64"/>
        <v>0</v>
      </c>
      <c r="S120" s="3">
        <f t="shared" si="65"/>
        <v>0</v>
      </c>
      <c r="T120" s="3">
        <f t="shared" si="66"/>
        <v>0</v>
      </c>
      <c r="U120" s="3">
        <f t="shared" si="66"/>
        <v>1315943</v>
      </c>
      <c r="V120" s="3">
        <f t="shared" si="67"/>
        <v>1315943</v>
      </c>
      <c r="W120" s="474">
        <f t="shared" si="68"/>
        <v>1315943</v>
      </c>
    </row>
    <row r="121" spans="1:23">
      <c r="A121" s="170">
        <v>43739</v>
      </c>
      <c r="B121" s="378">
        <v>0</v>
      </c>
      <c r="C121" s="3">
        <v>0</v>
      </c>
      <c r="D121" s="3">
        <f>C121+B121</f>
        <v>0</v>
      </c>
      <c r="E121" s="3">
        <v>0</v>
      </c>
      <c r="F121" s="3">
        <f t="shared" si="57"/>
        <v>0</v>
      </c>
      <c r="G121" s="3">
        <f>F121+E121</f>
        <v>0</v>
      </c>
      <c r="H121" s="3">
        <f>B121+E121</f>
        <v>0</v>
      </c>
      <c r="I121" s="3">
        <f>C121+F121</f>
        <v>0</v>
      </c>
      <c r="J121" s="379">
        <f>I121+H121</f>
        <v>0</v>
      </c>
      <c r="K121" s="3">
        <v>0</v>
      </c>
      <c r="L121" s="3">
        <v>0</v>
      </c>
      <c r="M121" s="3">
        <f>L121+K121</f>
        <v>0</v>
      </c>
      <c r="N121" s="3">
        <v>0</v>
      </c>
      <c r="O121" s="3">
        <v>0</v>
      </c>
      <c r="P121" s="380">
        <f>O121+N121</f>
        <v>0</v>
      </c>
      <c r="Q121" s="3">
        <f t="shared" si="64"/>
        <v>0</v>
      </c>
      <c r="R121" s="3">
        <f t="shared" si="64"/>
        <v>0</v>
      </c>
      <c r="S121" s="3">
        <f t="shared" si="65"/>
        <v>0</v>
      </c>
      <c r="T121" s="3">
        <f t="shared" si="66"/>
        <v>0</v>
      </c>
      <c r="U121" s="3">
        <f t="shared" si="66"/>
        <v>1315943</v>
      </c>
      <c r="V121" s="3">
        <f t="shared" si="67"/>
        <v>1315943</v>
      </c>
      <c r="W121" s="474">
        <f t="shared" si="68"/>
        <v>1315943</v>
      </c>
    </row>
    <row r="122" spans="1:23">
      <c r="A122" s="170">
        <v>43770</v>
      </c>
      <c r="B122" s="378">
        <f>M122</f>
        <v>0</v>
      </c>
      <c r="C122" s="3">
        <v>0</v>
      </c>
      <c r="D122" s="3">
        <f>C122+B122</f>
        <v>0</v>
      </c>
      <c r="E122" s="3">
        <v>0</v>
      </c>
      <c r="F122" s="3">
        <f t="shared" si="57"/>
        <v>0</v>
      </c>
      <c r="G122" s="3">
        <f>F122+E122</f>
        <v>0</v>
      </c>
      <c r="H122" s="3">
        <f>B122+E122</f>
        <v>0</v>
      </c>
      <c r="I122" s="3">
        <f>C122+F122</f>
        <v>0</v>
      </c>
      <c r="J122" s="379">
        <f>I122+H122</f>
        <v>0</v>
      </c>
      <c r="K122" s="3">
        <v>0</v>
      </c>
      <c r="L122" s="3">
        <v>0</v>
      </c>
      <c r="M122" s="3">
        <f>L122+K122</f>
        <v>0</v>
      </c>
      <c r="N122" s="3">
        <v>0</v>
      </c>
      <c r="O122" s="3">
        <v>0</v>
      </c>
      <c r="P122" s="380">
        <f>O122+N122</f>
        <v>0</v>
      </c>
      <c r="Q122" s="3">
        <f t="shared" si="64"/>
        <v>0</v>
      </c>
      <c r="R122" s="3">
        <f t="shared" si="64"/>
        <v>0</v>
      </c>
      <c r="S122" s="3">
        <f t="shared" si="65"/>
        <v>0</v>
      </c>
      <c r="T122" s="3">
        <f t="shared" si="66"/>
        <v>0</v>
      </c>
      <c r="U122" s="3">
        <f t="shared" si="66"/>
        <v>1315943</v>
      </c>
      <c r="V122" s="3">
        <f t="shared" si="67"/>
        <v>1315943</v>
      </c>
      <c r="W122" s="474">
        <f t="shared" si="68"/>
        <v>1315943</v>
      </c>
    </row>
    <row r="123" spans="1:23" ht="15.75" thickBot="1">
      <c r="A123" s="170">
        <v>43800</v>
      </c>
      <c r="B123" s="378">
        <v>0</v>
      </c>
      <c r="C123" s="3">
        <v>0</v>
      </c>
      <c r="D123" s="3">
        <f>C123+B123</f>
        <v>0</v>
      </c>
      <c r="E123" s="3">
        <v>0</v>
      </c>
      <c r="F123" s="3">
        <f t="shared" si="57"/>
        <v>0</v>
      </c>
      <c r="G123" s="3">
        <f>F123+E123</f>
        <v>0</v>
      </c>
      <c r="H123" s="3">
        <f>B123+E123</f>
        <v>0</v>
      </c>
      <c r="I123" s="3">
        <f>C123+F123</f>
        <v>0</v>
      </c>
      <c r="J123" s="379">
        <f>I123+H123</f>
        <v>0</v>
      </c>
      <c r="K123" s="3">
        <v>0</v>
      </c>
      <c r="L123" s="3">
        <v>0</v>
      </c>
      <c r="M123" s="3">
        <f>L123+K123</f>
        <v>0</v>
      </c>
      <c r="N123" s="3">
        <v>0</v>
      </c>
      <c r="O123" s="3">
        <v>0</v>
      </c>
      <c r="P123" s="380">
        <f>O123+N123</f>
        <v>0</v>
      </c>
      <c r="Q123" s="3">
        <f t="shared" si="64"/>
        <v>0</v>
      </c>
      <c r="R123" s="3">
        <f t="shared" si="64"/>
        <v>0</v>
      </c>
      <c r="S123" s="3">
        <f t="shared" si="65"/>
        <v>0</v>
      </c>
      <c r="T123" s="3">
        <f t="shared" si="66"/>
        <v>0</v>
      </c>
      <c r="U123" s="3">
        <f t="shared" si="66"/>
        <v>1315943</v>
      </c>
      <c r="V123" s="3">
        <f t="shared" si="67"/>
        <v>1315943</v>
      </c>
      <c r="W123" s="474">
        <f t="shared" si="68"/>
        <v>1315943</v>
      </c>
    </row>
    <row r="124" spans="1:23">
      <c r="A124" s="171">
        <v>43831</v>
      </c>
      <c r="B124" s="385">
        <f>M124</f>
        <v>0</v>
      </c>
      <c r="C124" s="104">
        <v>0</v>
      </c>
      <c r="D124" s="104">
        <f t="shared" ref="D124:D147" si="69">C124+B124</f>
        <v>0</v>
      </c>
      <c r="E124" s="104">
        <v>0</v>
      </c>
      <c r="F124" s="104">
        <f t="shared" si="57"/>
        <v>0</v>
      </c>
      <c r="G124" s="104">
        <f t="shared" ref="G124:G147" si="70">F124+E124</f>
        <v>0</v>
      </c>
      <c r="H124" s="104">
        <f t="shared" ref="H124:I139" si="71">B124+E124</f>
        <v>0</v>
      </c>
      <c r="I124" s="104">
        <f t="shared" si="71"/>
        <v>0</v>
      </c>
      <c r="J124" s="386">
        <f t="shared" ref="J124:J147" si="72">I124+H124</f>
        <v>0</v>
      </c>
      <c r="K124" s="104">
        <v>0</v>
      </c>
      <c r="L124" s="104">
        <v>0</v>
      </c>
      <c r="M124" s="104">
        <f t="shared" ref="M124:M150" si="73">L124+K124</f>
        <v>0</v>
      </c>
      <c r="N124" s="104">
        <v>0</v>
      </c>
      <c r="O124" s="104">
        <v>0</v>
      </c>
      <c r="P124" s="387">
        <f t="shared" ref="P124:P133" si="74">O124+N124</f>
        <v>0</v>
      </c>
      <c r="Q124" s="104">
        <f>B124</f>
        <v>0</v>
      </c>
      <c r="R124" s="104">
        <f>C124</f>
        <v>0</v>
      </c>
      <c r="S124" s="104">
        <f>R124+Q124</f>
        <v>0</v>
      </c>
      <c r="T124" s="104">
        <f>E124</f>
        <v>0</v>
      </c>
      <c r="U124" s="104">
        <f>F124</f>
        <v>0</v>
      </c>
      <c r="V124" s="104">
        <f>U124+T124</f>
        <v>0</v>
      </c>
      <c r="W124" s="475">
        <f>V124+S124</f>
        <v>0</v>
      </c>
    </row>
    <row r="125" spans="1:23">
      <c r="A125" s="170">
        <v>43862</v>
      </c>
      <c r="B125" s="378">
        <v>0</v>
      </c>
      <c r="C125" s="3">
        <v>0</v>
      </c>
      <c r="D125" s="3">
        <f t="shared" si="69"/>
        <v>0</v>
      </c>
      <c r="E125" s="3">
        <v>0</v>
      </c>
      <c r="F125" s="3">
        <f t="shared" si="57"/>
        <v>0</v>
      </c>
      <c r="G125" s="3">
        <f t="shared" si="70"/>
        <v>0</v>
      </c>
      <c r="H125" s="3">
        <f t="shared" si="71"/>
        <v>0</v>
      </c>
      <c r="I125" s="3">
        <f t="shared" si="71"/>
        <v>0</v>
      </c>
      <c r="J125" s="379">
        <f t="shared" si="72"/>
        <v>0</v>
      </c>
      <c r="K125" s="3">
        <v>0</v>
      </c>
      <c r="L125" s="3">
        <v>0</v>
      </c>
      <c r="M125" s="3">
        <f t="shared" si="73"/>
        <v>0</v>
      </c>
      <c r="N125" s="3">
        <v>0</v>
      </c>
      <c r="O125" s="3">
        <v>0</v>
      </c>
      <c r="P125" s="380">
        <f t="shared" si="74"/>
        <v>0</v>
      </c>
      <c r="Q125" s="3">
        <f>Q124+B125</f>
        <v>0</v>
      </c>
      <c r="R125" s="3">
        <f>R124+C125</f>
        <v>0</v>
      </c>
      <c r="S125" s="3">
        <f>R125+Q125</f>
        <v>0</v>
      </c>
      <c r="T125" s="3">
        <f>T124+E125</f>
        <v>0</v>
      </c>
      <c r="U125" s="3">
        <f>U124+F125</f>
        <v>0</v>
      </c>
      <c r="V125" s="3">
        <f>U125+T125</f>
        <v>0</v>
      </c>
      <c r="W125" s="474">
        <f>V125+S125</f>
        <v>0</v>
      </c>
    </row>
    <row r="126" spans="1:23">
      <c r="A126" s="170">
        <v>43891</v>
      </c>
      <c r="B126" s="378">
        <f>M126</f>
        <v>0</v>
      </c>
      <c r="C126" s="3">
        <v>0</v>
      </c>
      <c r="D126" s="3">
        <f t="shared" si="69"/>
        <v>0</v>
      </c>
      <c r="E126" s="3">
        <v>0</v>
      </c>
      <c r="F126" s="3">
        <f t="shared" si="57"/>
        <v>0</v>
      </c>
      <c r="G126" s="3">
        <f t="shared" si="70"/>
        <v>0</v>
      </c>
      <c r="H126" s="3">
        <f t="shared" si="71"/>
        <v>0</v>
      </c>
      <c r="I126" s="3">
        <f t="shared" si="71"/>
        <v>0</v>
      </c>
      <c r="J126" s="379">
        <f t="shared" si="72"/>
        <v>0</v>
      </c>
      <c r="K126" s="3">
        <v>0</v>
      </c>
      <c r="L126" s="3">
        <v>0</v>
      </c>
      <c r="M126" s="3">
        <f t="shared" si="73"/>
        <v>0</v>
      </c>
      <c r="N126" s="3">
        <v>0</v>
      </c>
      <c r="O126" s="3">
        <v>0</v>
      </c>
      <c r="P126" s="380">
        <f t="shared" si="74"/>
        <v>0</v>
      </c>
      <c r="Q126" s="3">
        <f t="shared" ref="Q126:R135" si="75">Q125+B126</f>
        <v>0</v>
      </c>
      <c r="R126" s="3">
        <f t="shared" si="75"/>
        <v>0</v>
      </c>
      <c r="S126" s="3">
        <f t="shared" ref="S126:S135" si="76">R126+Q126</f>
        <v>0</v>
      </c>
      <c r="T126" s="3">
        <f t="shared" ref="T126:U135" si="77">T125+E126</f>
        <v>0</v>
      </c>
      <c r="U126" s="3">
        <f t="shared" si="77"/>
        <v>0</v>
      </c>
      <c r="V126" s="3">
        <f t="shared" ref="V126:V135" si="78">U126+T126</f>
        <v>0</v>
      </c>
      <c r="W126" s="474">
        <f t="shared" ref="W126:W135" si="79">V126+S126</f>
        <v>0</v>
      </c>
    </row>
    <row r="127" spans="1:23">
      <c r="A127" s="170">
        <v>43922</v>
      </c>
      <c r="B127" s="378">
        <v>0</v>
      </c>
      <c r="C127" s="3">
        <v>0</v>
      </c>
      <c r="D127" s="3">
        <f t="shared" si="69"/>
        <v>0</v>
      </c>
      <c r="E127" s="3">
        <v>0</v>
      </c>
      <c r="F127" s="3">
        <f t="shared" si="57"/>
        <v>0</v>
      </c>
      <c r="G127" s="3">
        <f t="shared" si="70"/>
        <v>0</v>
      </c>
      <c r="H127" s="3">
        <f t="shared" si="71"/>
        <v>0</v>
      </c>
      <c r="I127" s="3">
        <f t="shared" si="71"/>
        <v>0</v>
      </c>
      <c r="J127" s="379">
        <f t="shared" si="72"/>
        <v>0</v>
      </c>
      <c r="K127" s="3">
        <v>0</v>
      </c>
      <c r="L127" s="3">
        <v>0</v>
      </c>
      <c r="M127" s="3">
        <f t="shared" si="73"/>
        <v>0</v>
      </c>
      <c r="N127" s="3">
        <v>0</v>
      </c>
      <c r="O127" s="3">
        <v>0</v>
      </c>
      <c r="P127" s="380">
        <f t="shared" si="74"/>
        <v>0</v>
      </c>
      <c r="Q127" s="3">
        <f t="shared" si="75"/>
        <v>0</v>
      </c>
      <c r="R127" s="3">
        <f t="shared" si="75"/>
        <v>0</v>
      </c>
      <c r="S127" s="3">
        <f t="shared" si="76"/>
        <v>0</v>
      </c>
      <c r="T127" s="3">
        <f t="shared" si="77"/>
        <v>0</v>
      </c>
      <c r="U127" s="3">
        <f t="shared" si="77"/>
        <v>0</v>
      </c>
      <c r="V127" s="3">
        <f t="shared" si="78"/>
        <v>0</v>
      </c>
      <c r="W127" s="474">
        <f t="shared" si="79"/>
        <v>0</v>
      </c>
    </row>
    <row r="128" spans="1:23">
      <c r="A128" s="170">
        <v>43952</v>
      </c>
      <c r="B128" s="378">
        <f>M128</f>
        <v>0</v>
      </c>
      <c r="C128" s="3">
        <v>0</v>
      </c>
      <c r="D128" s="3">
        <f t="shared" si="69"/>
        <v>0</v>
      </c>
      <c r="E128" s="3">
        <v>0</v>
      </c>
      <c r="F128" s="3">
        <f t="shared" si="57"/>
        <v>0</v>
      </c>
      <c r="G128" s="3">
        <f t="shared" si="70"/>
        <v>0</v>
      </c>
      <c r="H128" s="3">
        <f t="shared" si="71"/>
        <v>0</v>
      </c>
      <c r="I128" s="3">
        <f t="shared" si="71"/>
        <v>0</v>
      </c>
      <c r="J128" s="379">
        <f t="shared" si="72"/>
        <v>0</v>
      </c>
      <c r="K128" s="3">
        <v>0</v>
      </c>
      <c r="L128" s="3">
        <v>0</v>
      </c>
      <c r="M128" s="3">
        <f t="shared" si="73"/>
        <v>0</v>
      </c>
      <c r="N128" s="3">
        <v>0</v>
      </c>
      <c r="O128" s="3">
        <v>0</v>
      </c>
      <c r="P128" s="380">
        <f t="shared" si="74"/>
        <v>0</v>
      </c>
      <c r="Q128" s="3">
        <f t="shared" si="75"/>
        <v>0</v>
      </c>
      <c r="R128" s="3">
        <f t="shared" si="75"/>
        <v>0</v>
      </c>
      <c r="S128" s="3">
        <f t="shared" si="76"/>
        <v>0</v>
      </c>
      <c r="T128" s="3">
        <f t="shared" si="77"/>
        <v>0</v>
      </c>
      <c r="U128" s="3">
        <f t="shared" si="77"/>
        <v>0</v>
      </c>
      <c r="V128" s="3">
        <f t="shared" si="78"/>
        <v>0</v>
      </c>
      <c r="W128" s="474">
        <f t="shared" si="79"/>
        <v>0</v>
      </c>
    </row>
    <row r="129" spans="1:23">
      <c r="A129" s="170">
        <v>43983</v>
      </c>
      <c r="B129" s="378">
        <v>0</v>
      </c>
      <c r="C129" s="3">
        <v>0</v>
      </c>
      <c r="D129" s="3">
        <f t="shared" si="69"/>
        <v>0</v>
      </c>
      <c r="E129" s="3">
        <v>0</v>
      </c>
      <c r="F129" s="3">
        <f t="shared" si="57"/>
        <v>0</v>
      </c>
      <c r="G129" s="3">
        <f t="shared" si="70"/>
        <v>0</v>
      </c>
      <c r="H129" s="3">
        <f t="shared" si="71"/>
        <v>0</v>
      </c>
      <c r="I129" s="3">
        <f t="shared" si="71"/>
        <v>0</v>
      </c>
      <c r="J129" s="379">
        <f t="shared" si="72"/>
        <v>0</v>
      </c>
      <c r="K129" s="3">
        <v>0</v>
      </c>
      <c r="L129" s="3">
        <v>0</v>
      </c>
      <c r="M129" s="3">
        <f t="shared" si="73"/>
        <v>0</v>
      </c>
      <c r="N129" s="3">
        <v>0</v>
      </c>
      <c r="O129" s="3">
        <v>0</v>
      </c>
      <c r="P129" s="380">
        <f t="shared" si="74"/>
        <v>0</v>
      </c>
      <c r="Q129" s="3">
        <f t="shared" si="75"/>
        <v>0</v>
      </c>
      <c r="R129" s="3">
        <f t="shared" si="75"/>
        <v>0</v>
      </c>
      <c r="S129" s="3">
        <f t="shared" si="76"/>
        <v>0</v>
      </c>
      <c r="T129" s="3">
        <f t="shared" si="77"/>
        <v>0</v>
      </c>
      <c r="U129" s="3">
        <f t="shared" si="77"/>
        <v>0</v>
      </c>
      <c r="V129" s="3">
        <f t="shared" si="78"/>
        <v>0</v>
      </c>
      <c r="W129" s="474">
        <f t="shared" si="79"/>
        <v>0</v>
      </c>
    </row>
    <row r="130" spans="1:23">
      <c r="A130" s="170">
        <v>44013</v>
      </c>
      <c r="B130" s="378">
        <f>M130</f>
        <v>0</v>
      </c>
      <c r="C130" s="3">
        <v>0</v>
      </c>
      <c r="D130" s="3">
        <f t="shared" si="69"/>
        <v>0</v>
      </c>
      <c r="E130" s="3">
        <v>0</v>
      </c>
      <c r="F130" s="3">
        <f t="shared" si="57"/>
        <v>0</v>
      </c>
      <c r="G130" s="3">
        <f t="shared" si="70"/>
        <v>0</v>
      </c>
      <c r="H130" s="3">
        <f t="shared" si="71"/>
        <v>0</v>
      </c>
      <c r="I130" s="3">
        <f t="shared" si="71"/>
        <v>0</v>
      </c>
      <c r="J130" s="379">
        <f t="shared" si="72"/>
        <v>0</v>
      </c>
      <c r="K130" s="3">
        <v>0</v>
      </c>
      <c r="L130" s="3">
        <v>0</v>
      </c>
      <c r="M130" s="3">
        <f t="shared" si="73"/>
        <v>0</v>
      </c>
      <c r="N130" s="3">
        <v>0</v>
      </c>
      <c r="O130" s="3">
        <v>0</v>
      </c>
      <c r="P130" s="380">
        <f t="shared" si="74"/>
        <v>0</v>
      </c>
      <c r="Q130" s="3">
        <f t="shared" si="75"/>
        <v>0</v>
      </c>
      <c r="R130" s="3">
        <f t="shared" si="75"/>
        <v>0</v>
      </c>
      <c r="S130" s="3">
        <f t="shared" si="76"/>
        <v>0</v>
      </c>
      <c r="T130" s="3">
        <f t="shared" si="77"/>
        <v>0</v>
      </c>
      <c r="U130" s="3">
        <f t="shared" si="77"/>
        <v>0</v>
      </c>
      <c r="V130" s="3">
        <f t="shared" si="78"/>
        <v>0</v>
      </c>
      <c r="W130" s="474">
        <f t="shared" si="79"/>
        <v>0</v>
      </c>
    </row>
    <row r="131" spans="1:23">
      <c r="A131" s="170">
        <v>44044</v>
      </c>
      <c r="B131" s="378">
        <v>0</v>
      </c>
      <c r="C131" s="3">
        <v>0</v>
      </c>
      <c r="D131" s="3">
        <f t="shared" si="69"/>
        <v>0</v>
      </c>
      <c r="E131" s="3">
        <v>0</v>
      </c>
      <c r="F131" s="3">
        <f t="shared" si="57"/>
        <v>0</v>
      </c>
      <c r="G131" s="3">
        <f t="shared" si="70"/>
        <v>0</v>
      </c>
      <c r="H131" s="3">
        <f t="shared" si="71"/>
        <v>0</v>
      </c>
      <c r="I131" s="3">
        <f t="shared" si="71"/>
        <v>0</v>
      </c>
      <c r="J131" s="379">
        <f t="shared" si="72"/>
        <v>0</v>
      </c>
      <c r="K131" s="3">
        <v>0</v>
      </c>
      <c r="L131" s="3">
        <v>0</v>
      </c>
      <c r="M131" s="3">
        <f t="shared" si="73"/>
        <v>0</v>
      </c>
      <c r="N131" s="3">
        <v>0</v>
      </c>
      <c r="O131" s="3">
        <v>0</v>
      </c>
      <c r="P131" s="380">
        <f t="shared" si="74"/>
        <v>0</v>
      </c>
      <c r="Q131" s="3">
        <f t="shared" si="75"/>
        <v>0</v>
      </c>
      <c r="R131" s="3">
        <f t="shared" si="75"/>
        <v>0</v>
      </c>
      <c r="S131" s="3">
        <f t="shared" si="76"/>
        <v>0</v>
      </c>
      <c r="T131" s="3">
        <f t="shared" si="77"/>
        <v>0</v>
      </c>
      <c r="U131" s="3">
        <f t="shared" si="77"/>
        <v>0</v>
      </c>
      <c r="V131" s="3">
        <f t="shared" si="78"/>
        <v>0</v>
      </c>
      <c r="W131" s="474">
        <f t="shared" si="79"/>
        <v>0</v>
      </c>
    </row>
    <row r="132" spans="1:23">
      <c r="A132" s="170">
        <v>44075</v>
      </c>
      <c r="B132" s="378">
        <f>M132</f>
        <v>0</v>
      </c>
      <c r="C132" s="3">
        <v>0</v>
      </c>
      <c r="D132" s="3">
        <f t="shared" si="69"/>
        <v>0</v>
      </c>
      <c r="E132" s="3">
        <v>0</v>
      </c>
      <c r="F132" s="3">
        <f t="shared" si="57"/>
        <v>0</v>
      </c>
      <c r="G132" s="3">
        <f t="shared" si="70"/>
        <v>0</v>
      </c>
      <c r="H132" s="3">
        <f t="shared" si="71"/>
        <v>0</v>
      </c>
      <c r="I132" s="3">
        <f t="shared" si="71"/>
        <v>0</v>
      </c>
      <c r="J132" s="379">
        <f t="shared" si="72"/>
        <v>0</v>
      </c>
      <c r="K132" s="3">
        <v>0</v>
      </c>
      <c r="L132" s="3">
        <v>0</v>
      </c>
      <c r="M132" s="3">
        <f t="shared" si="73"/>
        <v>0</v>
      </c>
      <c r="N132" s="3">
        <v>0</v>
      </c>
      <c r="O132" s="3">
        <v>0</v>
      </c>
      <c r="P132" s="380">
        <f t="shared" si="74"/>
        <v>0</v>
      </c>
      <c r="Q132" s="3">
        <f t="shared" si="75"/>
        <v>0</v>
      </c>
      <c r="R132" s="3">
        <f t="shared" si="75"/>
        <v>0</v>
      </c>
      <c r="S132" s="3">
        <f t="shared" si="76"/>
        <v>0</v>
      </c>
      <c r="T132" s="3">
        <f t="shared" si="77"/>
        <v>0</v>
      </c>
      <c r="U132" s="3">
        <f t="shared" si="77"/>
        <v>0</v>
      </c>
      <c r="V132" s="3">
        <f t="shared" si="78"/>
        <v>0</v>
      </c>
      <c r="W132" s="474">
        <f t="shared" si="79"/>
        <v>0</v>
      </c>
    </row>
    <row r="133" spans="1:23">
      <c r="A133" s="170">
        <v>44105</v>
      </c>
      <c r="B133" s="378">
        <v>0</v>
      </c>
      <c r="C133" s="3">
        <v>0</v>
      </c>
      <c r="D133" s="3">
        <f t="shared" si="69"/>
        <v>0</v>
      </c>
      <c r="E133" s="3">
        <v>0</v>
      </c>
      <c r="F133" s="3">
        <f t="shared" si="57"/>
        <v>0</v>
      </c>
      <c r="G133" s="3">
        <f t="shared" si="70"/>
        <v>0</v>
      </c>
      <c r="H133" s="3">
        <f t="shared" si="71"/>
        <v>0</v>
      </c>
      <c r="I133" s="3">
        <f t="shared" si="71"/>
        <v>0</v>
      </c>
      <c r="J133" s="379">
        <f t="shared" si="72"/>
        <v>0</v>
      </c>
      <c r="K133" s="3">
        <v>0</v>
      </c>
      <c r="L133" s="3">
        <v>0</v>
      </c>
      <c r="M133" s="3">
        <f t="shared" si="73"/>
        <v>0</v>
      </c>
      <c r="N133" s="3">
        <v>0</v>
      </c>
      <c r="O133" s="3">
        <v>0</v>
      </c>
      <c r="P133" s="380">
        <f t="shared" si="74"/>
        <v>0</v>
      </c>
      <c r="Q133" s="3">
        <f t="shared" si="75"/>
        <v>0</v>
      </c>
      <c r="R133" s="3">
        <f t="shared" si="75"/>
        <v>0</v>
      </c>
      <c r="S133" s="3">
        <f t="shared" si="76"/>
        <v>0</v>
      </c>
      <c r="T133" s="3">
        <f t="shared" si="77"/>
        <v>0</v>
      </c>
      <c r="U133" s="3">
        <f t="shared" si="77"/>
        <v>0</v>
      </c>
      <c r="V133" s="3">
        <f t="shared" si="78"/>
        <v>0</v>
      </c>
      <c r="W133" s="474">
        <f t="shared" si="79"/>
        <v>0</v>
      </c>
    </row>
    <row r="134" spans="1:23">
      <c r="A134" s="170">
        <v>44136</v>
      </c>
      <c r="B134" s="378">
        <f>M134</f>
        <v>0</v>
      </c>
      <c r="C134" s="3">
        <v>0</v>
      </c>
      <c r="D134" s="3">
        <f t="shared" si="69"/>
        <v>0</v>
      </c>
      <c r="E134" s="3">
        <v>0</v>
      </c>
      <c r="F134" s="3">
        <f t="shared" si="57"/>
        <v>55892</v>
      </c>
      <c r="G134" s="3">
        <f t="shared" si="70"/>
        <v>55892</v>
      </c>
      <c r="H134" s="3">
        <f t="shared" si="71"/>
        <v>0</v>
      </c>
      <c r="I134" s="3">
        <f t="shared" si="71"/>
        <v>55892</v>
      </c>
      <c r="J134" s="379">
        <f t="shared" si="72"/>
        <v>55892</v>
      </c>
      <c r="K134" s="3">
        <v>0</v>
      </c>
      <c r="L134" s="3">
        <v>0</v>
      </c>
      <c r="M134" s="3">
        <f t="shared" si="73"/>
        <v>0</v>
      </c>
      <c r="N134" s="3">
        <v>55892</v>
      </c>
      <c r="O134" s="3">
        <v>0</v>
      </c>
      <c r="P134" s="380">
        <f>O134+N134</f>
        <v>55892</v>
      </c>
      <c r="Q134" s="3">
        <f t="shared" si="75"/>
        <v>0</v>
      </c>
      <c r="R134" s="3">
        <f t="shared" si="75"/>
        <v>0</v>
      </c>
      <c r="S134" s="3">
        <f t="shared" si="76"/>
        <v>0</v>
      </c>
      <c r="T134" s="3">
        <f t="shared" si="77"/>
        <v>0</v>
      </c>
      <c r="U134" s="3">
        <f t="shared" si="77"/>
        <v>55892</v>
      </c>
      <c r="V134" s="3">
        <f t="shared" si="78"/>
        <v>55892</v>
      </c>
      <c r="W134" s="474">
        <f t="shared" si="79"/>
        <v>55892</v>
      </c>
    </row>
    <row r="135" spans="1:23" ht="15.75" thickBot="1">
      <c r="A135" s="170">
        <v>44166</v>
      </c>
      <c r="B135" s="378">
        <v>0</v>
      </c>
      <c r="C135" s="3">
        <v>0</v>
      </c>
      <c r="D135" s="3">
        <f t="shared" si="69"/>
        <v>0</v>
      </c>
      <c r="E135" s="3">
        <v>0</v>
      </c>
      <c r="F135" s="3">
        <f t="shared" si="57"/>
        <v>0</v>
      </c>
      <c r="G135" s="3">
        <f t="shared" si="70"/>
        <v>0</v>
      </c>
      <c r="H135" s="3">
        <f t="shared" si="71"/>
        <v>0</v>
      </c>
      <c r="I135" s="3">
        <f t="shared" si="71"/>
        <v>0</v>
      </c>
      <c r="J135" s="379">
        <f t="shared" si="72"/>
        <v>0</v>
      </c>
      <c r="K135" s="3">
        <v>0</v>
      </c>
      <c r="L135" s="3">
        <v>0</v>
      </c>
      <c r="M135" s="3">
        <f t="shared" si="73"/>
        <v>0</v>
      </c>
      <c r="N135" s="3">
        <v>0</v>
      </c>
      <c r="O135" s="3">
        <v>0</v>
      </c>
      <c r="P135" s="380">
        <f>O135+N135</f>
        <v>0</v>
      </c>
      <c r="Q135" s="3">
        <f t="shared" si="75"/>
        <v>0</v>
      </c>
      <c r="R135" s="3">
        <f t="shared" si="75"/>
        <v>0</v>
      </c>
      <c r="S135" s="3">
        <f t="shared" si="76"/>
        <v>0</v>
      </c>
      <c r="T135" s="3">
        <f t="shared" si="77"/>
        <v>0</v>
      </c>
      <c r="U135" s="3">
        <f t="shared" si="77"/>
        <v>55892</v>
      </c>
      <c r="V135" s="3">
        <f t="shared" si="78"/>
        <v>55892</v>
      </c>
      <c r="W135" s="474">
        <f t="shared" si="79"/>
        <v>55892</v>
      </c>
    </row>
    <row r="136" spans="1:23">
      <c r="A136" s="171">
        <v>44197</v>
      </c>
      <c r="B136" s="385">
        <f>M136</f>
        <v>0</v>
      </c>
      <c r="C136" s="104">
        <v>0</v>
      </c>
      <c r="D136" s="104">
        <f t="shared" si="69"/>
        <v>0</v>
      </c>
      <c r="E136" s="104">
        <v>0</v>
      </c>
      <c r="F136" s="104">
        <f t="shared" si="57"/>
        <v>0</v>
      </c>
      <c r="G136" s="104">
        <f t="shared" si="70"/>
        <v>0</v>
      </c>
      <c r="H136" s="104">
        <f t="shared" si="71"/>
        <v>0</v>
      </c>
      <c r="I136" s="104">
        <f t="shared" si="71"/>
        <v>0</v>
      </c>
      <c r="J136" s="386">
        <f t="shared" si="72"/>
        <v>0</v>
      </c>
      <c r="K136" s="104">
        <v>0</v>
      </c>
      <c r="L136" s="104">
        <v>0</v>
      </c>
      <c r="M136" s="104">
        <f t="shared" si="73"/>
        <v>0</v>
      </c>
      <c r="N136" s="104">
        <v>0</v>
      </c>
      <c r="O136" s="104">
        <v>0</v>
      </c>
      <c r="P136" s="387">
        <f t="shared" ref="P136:P150" si="80">O136+N136</f>
        <v>0</v>
      </c>
      <c r="Q136" s="104">
        <f>B136</f>
        <v>0</v>
      </c>
      <c r="R136" s="104">
        <f>C136</f>
        <v>0</v>
      </c>
      <c r="S136" s="104">
        <f>R136+Q136</f>
        <v>0</v>
      </c>
      <c r="T136" s="104">
        <f>E136</f>
        <v>0</v>
      </c>
      <c r="U136" s="104">
        <f>F136</f>
        <v>0</v>
      </c>
      <c r="V136" s="104">
        <f>U136+T136</f>
        <v>0</v>
      </c>
      <c r="W136" s="475">
        <f>V136+S136</f>
        <v>0</v>
      </c>
    </row>
    <row r="137" spans="1:23">
      <c r="A137" s="170">
        <v>44228</v>
      </c>
      <c r="B137" s="378">
        <v>0</v>
      </c>
      <c r="C137" s="3">
        <v>0</v>
      </c>
      <c r="D137" s="3">
        <f t="shared" si="69"/>
        <v>0</v>
      </c>
      <c r="E137" s="3">
        <v>0</v>
      </c>
      <c r="F137" s="3">
        <f t="shared" si="57"/>
        <v>0</v>
      </c>
      <c r="G137" s="3">
        <f t="shared" si="70"/>
        <v>0</v>
      </c>
      <c r="H137" s="3">
        <f t="shared" si="71"/>
        <v>0</v>
      </c>
      <c r="I137" s="3">
        <f t="shared" si="71"/>
        <v>0</v>
      </c>
      <c r="J137" s="379">
        <f t="shared" si="72"/>
        <v>0</v>
      </c>
      <c r="K137" s="3">
        <v>0</v>
      </c>
      <c r="L137" s="3">
        <v>0</v>
      </c>
      <c r="M137" s="3">
        <f t="shared" si="73"/>
        <v>0</v>
      </c>
      <c r="N137" s="3">
        <v>0</v>
      </c>
      <c r="O137" s="3">
        <v>0</v>
      </c>
      <c r="P137" s="380">
        <f t="shared" si="80"/>
        <v>0</v>
      </c>
      <c r="Q137" s="3">
        <f>Q136+B137</f>
        <v>0</v>
      </c>
      <c r="R137" s="3">
        <f>R136+C137</f>
        <v>0</v>
      </c>
      <c r="S137" s="3">
        <f>R137+Q137</f>
        <v>0</v>
      </c>
      <c r="T137" s="3">
        <f>T136+E137</f>
        <v>0</v>
      </c>
      <c r="U137" s="3">
        <f>U136+F137</f>
        <v>0</v>
      </c>
      <c r="V137" s="3">
        <f>U137+T137</f>
        <v>0</v>
      </c>
      <c r="W137" s="474">
        <f>V137+S137</f>
        <v>0</v>
      </c>
    </row>
    <row r="138" spans="1:23">
      <c r="A138" s="170">
        <v>44256</v>
      </c>
      <c r="B138" s="378">
        <f>M138</f>
        <v>0</v>
      </c>
      <c r="C138" s="3">
        <v>0</v>
      </c>
      <c r="D138" s="3">
        <f t="shared" si="69"/>
        <v>0</v>
      </c>
      <c r="E138" s="3">
        <v>0</v>
      </c>
      <c r="F138" s="3">
        <f t="shared" si="57"/>
        <v>0</v>
      </c>
      <c r="G138" s="3">
        <f t="shared" si="70"/>
        <v>0</v>
      </c>
      <c r="H138" s="3">
        <f t="shared" si="71"/>
        <v>0</v>
      </c>
      <c r="I138" s="3">
        <f t="shared" si="71"/>
        <v>0</v>
      </c>
      <c r="J138" s="379">
        <f t="shared" si="72"/>
        <v>0</v>
      </c>
      <c r="K138" s="3">
        <v>0</v>
      </c>
      <c r="L138" s="3">
        <v>0</v>
      </c>
      <c r="M138" s="3">
        <f t="shared" si="73"/>
        <v>0</v>
      </c>
      <c r="N138" s="3">
        <v>0</v>
      </c>
      <c r="O138" s="3">
        <v>0</v>
      </c>
      <c r="P138" s="380">
        <f t="shared" si="80"/>
        <v>0</v>
      </c>
      <c r="Q138" s="3">
        <f t="shared" ref="Q138:R147" si="81">Q137+B138</f>
        <v>0</v>
      </c>
      <c r="R138" s="3">
        <f t="shared" si="81"/>
        <v>0</v>
      </c>
      <c r="S138" s="3">
        <f t="shared" ref="S138:S147" si="82">R138+Q138</f>
        <v>0</v>
      </c>
      <c r="T138" s="3">
        <f t="shared" ref="T138:U147" si="83">T137+E138</f>
        <v>0</v>
      </c>
      <c r="U138" s="3">
        <f t="shared" si="83"/>
        <v>0</v>
      </c>
      <c r="V138" s="3">
        <f t="shared" ref="V138:V147" si="84">U138+T138</f>
        <v>0</v>
      </c>
      <c r="W138" s="474">
        <f t="shared" ref="W138:W147" si="85">V138+S138</f>
        <v>0</v>
      </c>
    </row>
    <row r="139" spans="1:23">
      <c r="A139" s="170">
        <v>44287</v>
      </c>
      <c r="B139" s="378">
        <v>0</v>
      </c>
      <c r="C139" s="3">
        <v>0</v>
      </c>
      <c r="D139" s="3">
        <f t="shared" si="69"/>
        <v>0</v>
      </c>
      <c r="E139" s="3">
        <v>0</v>
      </c>
      <c r="F139" s="3">
        <f t="shared" si="57"/>
        <v>0</v>
      </c>
      <c r="G139" s="3">
        <f t="shared" si="70"/>
        <v>0</v>
      </c>
      <c r="H139" s="3">
        <f t="shared" si="71"/>
        <v>0</v>
      </c>
      <c r="I139" s="3">
        <f t="shared" si="71"/>
        <v>0</v>
      </c>
      <c r="J139" s="379">
        <f t="shared" si="72"/>
        <v>0</v>
      </c>
      <c r="K139" s="3">
        <v>0</v>
      </c>
      <c r="L139" s="3">
        <v>0</v>
      </c>
      <c r="M139" s="3">
        <f t="shared" si="73"/>
        <v>0</v>
      </c>
      <c r="N139" s="3">
        <v>0</v>
      </c>
      <c r="O139" s="3">
        <v>0</v>
      </c>
      <c r="P139" s="380">
        <f t="shared" si="80"/>
        <v>0</v>
      </c>
      <c r="Q139" s="3">
        <f t="shared" si="81"/>
        <v>0</v>
      </c>
      <c r="R139" s="3">
        <f t="shared" si="81"/>
        <v>0</v>
      </c>
      <c r="S139" s="3">
        <f t="shared" si="82"/>
        <v>0</v>
      </c>
      <c r="T139" s="3">
        <f t="shared" si="83"/>
        <v>0</v>
      </c>
      <c r="U139" s="3">
        <f t="shared" si="83"/>
        <v>0</v>
      </c>
      <c r="V139" s="3">
        <f t="shared" si="84"/>
        <v>0</v>
      </c>
      <c r="W139" s="474">
        <f t="shared" si="85"/>
        <v>0</v>
      </c>
    </row>
    <row r="140" spans="1:23">
      <c r="A140" s="170">
        <v>44317</v>
      </c>
      <c r="B140" s="378">
        <f>M140</f>
        <v>0</v>
      </c>
      <c r="C140" s="3">
        <v>0</v>
      </c>
      <c r="D140" s="3">
        <f t="shared" si="69"/>
        <v>0</v>
      </c>
      <c r="E140" s="3">
        <v>0</v>
      </c>
      <c r="F140" s="3">
        <f t="shared" si="57"/>
        <v>0</v>
      </c>
      <c r="G140" s="3">
        <f t="shared" si="70"/>
        <v>0</v>
      </c>
      <c r="H140" s="3">
        <f t="shared" ref="H140:I155" si="86">B140+E140</f>
        <v>0</v>
      </c>
      <c r="I140" s="3">
        <f t="shared" si="86"/>
        <v>0</v>
      </c>
      <c r="J140" s="379">
        <f t="shared" si="72"/>
        <v>0</v>
      </c>
      <c r="K140" s="3">
        <v>0</v>
      </c>
      <c r="L140" s="3">
        <v>0</v>
      </c>
      <c r="M140" s="3">
        <f t="shared" si="73"/>
        <v>0</v>
      </c>
      <c r="N140" s="3">
        <v>0</v>
      </c>
      <c r="O140" s="3">
        <v>0</v>
      </c>
      <c r="P140" s="380">
        <f t="shared" si="80"/>
        <v>0</v>
      </c>
      <c r="Q140" s="3">
        <f t="shared" si="81"/>
        <v>0</v>
      </c>
      <c r="R140" s="3">
        <f t="shared" si="81"/>
        <v>0</v>
      </c>
      <c r="S140" s="3">
        <f t="shared" si="82"/>
        <v>0</v>
      </c>
      <c r="T140" s="3">
        <f t="shared" si="83"/>
        <v>0</v>
      </c>
      <c r="U140" s="3">
        <f t="shared" si="83"/>
        <v>0</v>
      </c>
      <c r="V140" s="3">
        <f t="shared" si="84"/>
        <v>0</v>
      </c>
      <c r="W140" s="474">
        <f t="shared" si="85"/>
        <v>0</v>
      </c>
    </row>
    <row r="141" spans="1:23">
      <c r="A141" s="170">
        <v>44348</v>
      </c>
      <c r="B141" s="378">
        <v>0</v>
      </c>
      <c r="C141" s="3">
        <v>0</v>
      </c>
      <c r="D141" s="3">
        <f t="shared" si="69"/>
        <v>0</v>
      </c>
      <c r="E141" s="3">
        <v>0</v>
      </c>
      <c r="F141" s="3">
        <f t="shared" si="57"/>
        <v>0</v>
      </c>
      <c r="G141" s="3">
        <f t="shared" si="70"/>
        <v>0</v>
      </c>
      <c r="H141" s="3">
        <f t="shared" si="86"/>
        <v>0</v>
      </c>
      <c r="I141" s="3">
        <f t="shared" si="86"/>
        <v>0</v>
      </c>
      <c r="J141" s="379">
        <f t="shared" si="72"/>
        <v>0</v>
      </c>
      <c r="K141" s="3">
        <v>0</v>
      </c>
      <c r="L141" s="3">
        <v>0</v>
      </c>
      <c r="M141" s="3">
        <f t="shared" si="73"/>
        <v>0</v>
      </c>
      <c r="N141" s="3">
        <v>0</v>
      </c>
      <c r="O141" s="3">
        <v>0</v>
      </c>
      <c r="P141" s="380">
        <f t="shared" si="80"/>
        <v>0</v>
      </c>
      <c r="Q141" s="3">
        <f t="shared" si="81"/>
        <v>0</v>
      </c>
      <c r="R141" s="3">
        <f t="shared" si="81"/>
        <v>0</v>
      </c>
      <c r="S141" s="3">
        <f t="shared" si="82"/>
        <v>0</v>
      </c>
      <c r="T141" s="3">
        <f t="shared" si="83"/>
        <v>0</v>
      </c>
      <c r="U141" s="3">
        <f t="shared" si="83"/>
        <v>0</v>
      </c>
      <c r="V141" s="3">
        <f t="shared" si="84"/>
        <v>0</v>
      </c>
      <c r="W141" s="474">
        <f t="shared" si="85"/>
        <v>0</v>
      </c>
    </row>
    <row r="142" spans="1:23">
      <c r="A142" s="170">
        <v>44378</v>
      </c>
      <c r="B142" s="378">
        <f>M142</f>
        <v>0</v>
      </c>
      <c r="C142" s="3">
        <v>0</v>
      </c>
      <c r="D142" s="3">
        <f t="shared" si="69"/>
        <v>0</v>
      </c>
      <c r="E142" s="3">
        <v>0</v>
      </c>
      <c r="F142" s="3">
        <f t="shared" si="57"/>
        <v>0</v>
      </c>
      <c r="G142" s="3">
        <f t="shared" si="70"/>
        <v>0</v>
      </c>
      <c r="H142" s="3">
        <f t="shared" si="86"/>
        <v>0</v>
      </c>
      <c r="I142" s="3">
        <f t="shared" si="86"/>
        <v>0</v>
      </c>
      <c r="J142" s="379">
        <f t="shared" si="72"/>
        <v>0</v>
      </c>
      <c r="K142" s="3">
        <v>0</v>
      </c>
      <c r="L142" s="3">
        <v>0</v>
      </c>
      <c r="M142" s="3">
        <f t="shared" si="73"/>
        <v>0</v>
      </c>
      <c r="N142" s="3">
        <v>0</v>
      </c>
      <c r="O142" s="3">
        <v>0</v>
      </c>
      <c r="P142" s="380">
        <f t="shared" si="80"/>
        <v>0</v>
      </c>
      <c r="Q142" s="3">
        <f t="shared" si="81"/>
        <v>0</v>
      </c>
      <c r="R142" s="3">
        <f t="shared" si="81"/>
        <v>0</v>
      </c>
      <c r="S142" s="3">
        <f t="shared" si="82"/>
        <v>0</v>
      </c>
      <c r="T142" s="3">
        <f t="shared" si="83"/>
        <v>0</v>
      </c>
      <c r="U142" s="3">
        <f t="shared" si="83"/>
        <v>0</v>
      </c>
      <c r="V142" s="3">
        <f t="shared" si="84"/>
        <v>0</v>
      </c>
      <c r="W142" s="474">
        <f t="shared" si="85"/>
        <v>0</v>
      </c>
    </row>
    <row r="143" spans="1:23">
      <c r="A143" s="170">
        <v>44409</v>
      </c>
      <c r="B143" s="378">
        <v>0</v>
      </c>
      <c r="C143" s="3">
        <v>0</v>
      </c>
      <c r="D143" s="3">
        <f t="shared" si="69"/>
        <v>0</v>
      </c>
      <c r="E143" s="3">
        <v>0</v>
      </c>
      <c r="F143" s="3">
        <f t="shared" si="57"/>
        <v>0</v>
      </c>
      <c r="G143" s="3">
        <f t="shared" si="70"/>
        <v>0</v>
      </c>
      <c r="H143" s="3">
        <f t="shared" si="86"/>
        <v>0</v>
      </c>
      <c r="I143" s="3">
        <f t="shared" si="86"/>
        <v>0</v>
      </c>
      <c r="J143" s="379">
        <f t="shared" si="72"/>
        <v>0</v>
      </c>
      <c r="K143" s="3">
        <v>0</v>
      </c>
      <c r="L143" s="3">
        <v>0</v>
      </c>
      <c r="M143" s="3">
        <f t="shared" si="73"/>
        <v>0</v>
      </c>
      <c r="N143" s="3">
        <v>0</v>
      </c>
      <c r="O143" s="3">
        <v>0</v>
      </c>
      <c r="P143" s="380">
        <f t="shared" si="80"/>
        <v>0</v>
      </c>
      <c r="Q143" s="3">
        <f t="shared" si="81"/>
        <v>0</v>
      </c>
      <c r="R143" s="3">
        <f t="shared" si="81"/>
        <v>0</v>
      </c>
      <c r="S143" s="3">
        <f t="shared" si="82"/>
        <v>0</v>
      </c>
      <c r="T143" s="3">
        <f t="shared" si="83"/>
        <v>0</v>
      </c>
      <c r="U143" s="3">
        <f t="shared" si="83"/>
        <v>0</v>
      </c>
      <c r="V143" s="3">
        <f t="shared" si="84"/>
        <v>0</v>
      </c>
      <c r="W143" s="474">
        <f t="shared" si="85"/>
        <v>0</v>
      </c>
    </row>
    <row r="144" spans="1:23">
      <c r="A144" s="170">
        <v>44440</v>
      </c>
      <c r="B144" s="378">
        <f>M144</f>
        <v>0</v>
      </c>
      <c r="C144" s="3">
        <v>0</v>
      </c>
      <c r="D144" s="3">
        <f t="shared" si="69"/>
        <v>0</v>
      </c>
      <c r="E144" s="3">
        <v>0</v>
      </c>
      <c r="F144" s="3">
        <f t="shared" si="57"/>
        <v>0</v>
      </c>
      <c r="G144" s="3">
        <f t="shared" si="70"/>
        <v>0</v>
      </c>
      <c r="H144" s="3">
        <f t="shared" si="86"/>
        <v>0</v>
      </c>
      <c r="I144" s="3">
        <f t="shared" si="86"/>
        <v>0</v>
      </c>
      <c r="J144" s="379">
        <f t="shared" si="72"/>
        <v>0</v>
      </c>
      <c r="K144" s="3">
        <v>0</v>
      </c>
      <c r="L144" s="3">
        <v>0</v>
      </c>
      <c r="M144" s="3">
        <f t="shared" si="73"/>
        <v>0</v>
      </c>
      <c r="N144" s="3">
        <v>0</v>
      </c>
      <c r="O144" s="3">
        <v>0</v>
      </c>
      <c r="P144" s="380">
        <f t="shared" si="80"/>
        <v>0</v>
      </c>
      <c r="Q144" s="3">
        <f t="shared" si="81"/>
        <v>0</v>
      </c>
      <c r="R144" s="3">
        <f t="shared" si="81"/>
        <v>0</v>
      </c>
      <c r="S144" s="3">
        <f t="shared" si="82"/>
        <v>0</v>
      </c>
      <c r="T144" s="3">
        <f t="shared" si="83"/>
        <v>0</v>
      </c>
      <c r="U144" s="3">
        <f t="shared" si="83"/>
        <v>0</v>
      </c>
      <c r="V144" s="3">
        <f t="shared" si="84"/>
        <v>0</v>
      </c>
      <c r="W144" s="474">
        <f t="shared" si="85"/>
        <v>0</v>
      </c>
    </row>
    <row r="145" spans="1:24">
      <c r="A145" s="170">
        <v>44470</v>
      </c>
      <c r="B145" s="378">
        <v>0</v>
      </c>
      <c r="C145" s="3">
        <v>0</v>
      </c>
      <c r="D145" s="3">
        <f t="shared" si="69"/>
        <v>0</v>
      </c>
      <c r="E145" s="3">
        <v>0</v>
      </c>
      <c r="F145" s="3">
        <v>60338</v>
      </c>
      <c r="G145" s="3">
        <f t="shared" si="70"/>
        <v>60338</v>
      </c>
      <c r="H145" s="3">
        <f t="shared" si="86"/>
        <v>0</v>
      </c>
      <c r="I145" s="3">
        <f t="shared" si="86"/>
        <v>60338</v>
      </c>
      <c r="J145" s="379">
        <f t="shared" si="72"/>
        <v>60338</v>
      </c>
      <c r="K145" s="3">
        <v>0</v>
      </c>
      <c r="L145" s="3">
        <v>0</v>
      </c>
      <c r="M145" s="3">
        <f t="shared" si="73"/>
        <v>0</v>
      </c>
      <c r="N145" s="3">
        <v>60338</v>
      </c>
      <c r="O145" s="3">
        <v>0</v>
      </c>
      <c r="P145" s="380">
        <f t="shared" si="80"/>
        <v>60338</v>
      </c>
      <c r="Q145" s="3">
        <f t="shared" si="81"/>
        <v>0</v>
      </c>
      <c r="R145" s="3">
        <f t="shared" si="81"/>
        <v>0</v>
      </c>
      <c r="S145" s="3">
        <f t="shared" si="82"/>
        <v>0</v>
      </c>
      <c r="T145" s="3">
        <f t="shared" si="83"/>
        <v>0</v>
      </c>
      <c r="U145" s="3">
        <f t="shared" si="83"/>
        <v>60338</v>
      </c>
      <c r="V145" s="3">
        <f t="shared" si="84"/>
        <v>60338</v>
      </c>
      <c r="W145" s="474">
        <f t="shared" si="85"/>
        <v>60338</v>
      </c>
    </row>
    <row r="146" spans="1:24">
      <c r="A146" s="170">
        <v>44501</v>
      </c>
      <c r="B146" s="378">
        <f>M146</f>
        <v>0</v>
      </c>
      <c r="C146" s="3">
        <v>0</v>
      </c>
      <c r="D146" s="3">
        <f t="shared" si="69"/>
        <v>0</v>
      </c>
      <c r="E146" s="3">
        <v>0</v>
      </c>
      <c r="F146" s="3">
        <v>6435</v>
      </c>
      <c r="G146" s="3">
        <f t="shared" si="70"/>
        <v>6435</v>
      </c>
      <c r="H146" s="3">
        <f t="shared" si="86"/>
        <v>0</v>
      </c>
      <c r="I146" s="3">
        <f t="shared" si="86"/>
        <v>6435</v>
      </c>
      <c r="J146" s="379">
        <f t="shared" si="72"/>
        <v>6435</v>
      </c>
      <c r="K146" s="3">
        <v>0</v>
      </c>
      <c r="L146" s="3">
        <v>0</v>
      </c>
      <c r="M146" s="3">
        <f t="shared" si="73"/>
        <v>0</v>
      </c>
      <c r="N146" s="3">
        <v>6435</v>
      </c>
      <c r="O146" s="3">
        <v>0</v>
      </c>
      <c r="P146" s="380">
        <f t="shared" si="80"/>
        <v>6435</v>
      </c>
      <c r="Q146" s="3">
        <f t="shared" si="81"/>
        <v>0</v>
      </c>
      <c r="R146" s="3">
        <f t="shared" si="81"/>
        <v>0</v>
      </c>
      <c r="S146" s="3">
        <f t="shared" si="82"/>
        <v>0</v>
      </c>
      <c r="T146" s="3">
        <f t="shared" si="83"/>
        <v>0</v>
      </c>
      <c r="U146" s="3">
        <f t="shared" si="83"/>
        <v>66773</v>
      </c>
      <c r="V146" s="3">
        <f t="shared" si="84"/>
        <v>66773</v>
      </c>
      <c r="W146" s="474">
        <f t="shared" si="85"/>
        <v>66773</v>
      </c>
    </row>
    <row r="147" spans="1:24" ht="15.75" thickBot="1">
      <c r="A147" s="170">
        <v>44531</v>
      </c>
      <c r="B147" s="378">
        <v>0</v>
      </c>
      <c r="C147" s="3">
        <v>0</v>
      </c>
      <c r="D147" s="3">
        <f t="shared" si="69"/>
        <v>0</v>
      </c>
      <c r="E147" s="3">
        <v>0</v>
      </c>
      <c r="F147" s="3">
        <v>180745</v>
      </c>
      <c r="G147" s="3">
        <f t="shared" si="70"/>
        <v>180745</v>
      </c>
      <c r="H147" s="3">
        <f t="shared" si="86"/>
        <v>0</v>
      </c>
      <c r="I147" s="3">
        <f t="shared" si="86"/>
        <v>180745</v>
      </c>
      <c r="J147" s="379">
        <f t="shared" si="72"/>
        <v>180745</v>
      </c>
      <c r="K147" s="3">
        <v>0</v>
      </c>
      <c r="L147" s="3">
        <v>0</v>
      </c>
      <c r="M147" s="3">
        <f t="shared" si="73"/>
        <v>0</v>
      </c>
      <c r="N147" s="3">
        <v>180745</v>
      </c>
      <c r="O147" s="3">
        <v>0</v>
      </c>
      <c r="P147" s="380">
        <f t="shared" si="80"/>
        <v>180745</v>
      </c>
      <c r="Q147" s="3">
        <f t="shared" si="81"/>
        <v>0</v>
      </c>
      <c r="R147" s="3">
        <f t="shared" si="81"/>
        <v>0</v>
      </c>
      <c r="S147" s="3">
        <f t="shared" si="82"/>
        <v>0</v>
      </c>
      <c r="T147" s="3">
        <f t="shared" si="83"/>
        <v>0</v>
      </c>
      <c r="U147" s="3">
        <f t="shared" si="83"/>
        <v>247518</v>
      </c>
      <c r="V147" s="3">
        <f t="shared" si="84"/>
        <v>247518</v>
      </c>
      <c r="W147" s="474">
        <f t="shared" si="85"/>
        <v>247518</v>
      </c>
    </row>
    <row r="148" spans="1:24">
      <c r="A148" s="171">
        <v>44562</v>
      </c>
      <c r="B148" s="385">
        <f>M148</f>
        <v>0</v>
      </c>
      <c r="C148" s="104">
        <v>0</v>
      </c>
      <c r="D148" s="104">
        <f>C148+B148</f>
        <v>0</v>
      </c>
      <c r="E148" s="104">
        <v>0</v>
      </c>
      <c r="F148" s="104">
        <f t="shared" ref="F148:F171" si="87">P148</f>
        <v>0</v>
      </c>
      <c r="G148" s="104">
        <f>F148+E148</f>
        <v>0</v>
      </c>
      <c r="H148" s="104">
        <f t="shared" si="86"/>
        <v>0</v>
      </c>
      <c r="I148" s="104">
        <f t="shared" si="86"/>
        <v>0</v>
      </c>
      <c r="J148" s="386">
        <f>I148+H148</f>
        <v>0</v>
      </c>
      <c r="K148" s="104">
        <v>0</v>
      </c>
      <c r="L148" s="104">
        <v>0</v>
      </c>
      <c r="M148" s="104">
        <f t="shared" si="73"/>
        <v>0</v>
      </c>
      <c r="N148" s="104">
        <v>0</v>
      </c>
      <c r="O148" s="104">
        <v>0</v>
      </c>
      <c r="P148" s="387">
        <f t="shared" si="80"/>
        <v>0</v>
      </c>
      <c r="Q148" s="104">
        <f>B148</f>
        <v>0</v>
      </c>
      <c r="R148" s="104">
        <f>C148</f>
        <v>0</v>
      </c>
      <c r="S148" s="104">
        <f>R148+Q148</f>
        <v>0</v>
      </c>
      <c r="T148" s="104">
        <f>E148</f>
        <v>0</v>
      </c>
      <c r="U148" s="104">
        <f>F148</f>
        <v>0</v>
      </c>
      <c r="V148" s="104">
        <f>U148+T148</f>
        <v>0</v>
      </c>
      <c r="W148" s="475">
        <f>V148+S148</f>
        <v>0</v>
      </c>
    </row>
    <row r="149" spans="1:24">
      <c r="A149" s="170">
        <v>44593</v>
      </c>
      <c r="B149" s="378">
        <v>0</v>
      </c>
      <c r="C149" s="3">
        <v>0</v>
      </c>
      <c r="D149" s="3">
        <f>C149+B149</f>
        <v>0</v>
      </c>
      <c r="E149" s="3">
        <v>0</v>
      </c>
      <c r="F149" s="3">
        <f t="shared" si="87"/>
        <v>58930</v>
      </c>
      <c r="G149" s="3">
        <f>F149+E149</f>
        <v>58930</v>
      </c>
      <c r="H149" s="3">
        <f t="shared" si="86"/>
        <v>0</v>
      </c>
      <c r="I149" s="3">
        <f t="shared" si="86"/>
        <v>58930</v>
      </c>
      <c r="J149" s="379">
        <f>I149+H149</f>
        <v>58930</v>
      </c>
      <c r="K149" s="3">
        <v>0</v>
      </c>
      <c r="L149" s="3">
        <v>0</v>
      </c>
      <c r="M149" s="3">
        <f t="shared" si="73"/>
        <v>0</v>
      </c>
      <c r="N149" s="3">
        <v>58930</v>
      </c>
      <c r="O149" s="3">
        <v>0</v>
      </c>
      <c r="P149" s="380">
        <f t="shared" si="80"/>
        <v>58930</v>
      </c>
      <c r="Q149" s="3">
        <f t="shared" ref="Q149:R158" si="88">Q148+B149</f>
        <v>0</v>
      </c>
      <c r="R149" s="3">
        <f t="shared" si="88"/>
        <v>0</v>
      </c>
      <c r="S149" s="3">
        <f>R149+Q149</f>
        <v>0</v>
      </c>
      <c r="T149" s="3">
        <f t="shared" ref="T149:U158" si="89">T148+E149</f>
        <v>0</v>
      </c>
      <c r="U149" s="3">
        <f t="shared" si="89"/>
        <v>58930</v>
      </c>
      <c r="V149" s="3">
        <f>U149+T149</f>
        <v>58930</v>
      </c>
      <c r="W149" s="474">
        <f>V149+S149</f>
        <v>58930</v>
      </c>
    </row>
    <row r="150" spans="1:24">
      <c r="A150" s="170">
        <v>44621</v>
      </c>
      <c r="B150" s="378">
        <v>0</v>
      </c>
      <c r="C150" s="3">
        <v>0</v>
      </c>
      <c r="D150" s="3">
        <f>C150+B150</f>
        <v>0</v>
      </c>
      <c r="E150" s="3">
        <v>0</v>
      </c>
      <c r="F150" s="3">
        <f t="shared" si="87"/>
        <v>0</v>
      </c>
      <c r="G150" s="3">
        <f>F150+E150</f>
        <v>0</v>
      </c>
      <c r="H150" s="3">
        <f t="shared" si="86"/>
        <v>0</v>
      </c>
      <c r="I150" s="3">
        <f t="shared" si="86"/>
        <v>0</v>
      </c>
      <c r="J150" s="379">
        <f>I150+H150</f>
        <v>0</v>
      </c>
      <c r="K150" s="3">
        <v>0</v>
      </c>
      <c r="L150" s="3">
        <v>0</v>
      </c>
      <c r="M150" s="3">
        <f t="shared" si="73"/>
        <v>0</v>
      </c>
      <c r="N150" s="3">
        <v>0</v>
      </c>
      <c r="O150" s="3">
        <v>0</v>
      </c>
      <c r="P150" s="380">
        <f t="shared" si="80"/>
        <v>0</v>
      </c>
      <c r="Q150" s="3">
        <f t="shared" si="88"/>
        <v>0</v>
      </c>
      <c r="R150" s="3">
        <f t="shared" si="88"/>
        <v>0</v>
      </c>
      <c r="S150" s="3">
        <f>R150+Q150</f>
        <v>0</v>
      </c>
      <c r="T150" s="3">
        <f t="shared" si="89"/>
        <v>0</v>
      </c>
      <c r="U150" s="3">
        <f t="shared" si="89"/>
        <v>58930</v>
      </c>
      <c r="V150" s="3">
        <f>U150+T150</f>
        <v>58930</v>
      </c>
      <c r="W150" s="474">
        <f>V150+S150</f>
        <v>58930</v>
      </c>
    </row>
    <row r="151" spans="1:24">
      <c r="A151" s="170">
        <v>44652</v>
      </c>
      <c r="B151" s="378">
        <v>0</v>
      </c>
      <c r="C151" s="3">
        <v>0</v>
      </c>
      <c r="D151" s="3">
        <f>C151+B151</f>
        <v>0</v>
      </c>
      <c r="E151" s="3">
        <v>0</v>
      </c>
      <c r="F151" s="3">
        <f t="shared" si="87"/>
        <v>0</v>
      </c>
      <c r="G151" s="3">
        <f>F151+E151</f>
        <v>0</v>
      </c>
      <c r="H151" s="3">
        <f t="shared" si="86"/>
        <v>0</v>
      </c>
      <c r="I151" s="3">
        <f t="shared" si="86"/>
        <v>0</v>
      </c>
      <c r="J151" s="379">
        <f>I151+H151</f>
        <v>0</v>
      </c>
      <c r="K151" s="3">
        <v>0</v>
      </c>
      <c r="L151" s="3">
        <v>0</v>
      </c>
      <c r="M151" s="3">
        <f>L151+K151</f>
        <v>0</v>
      </c>
      <c r="N151" s="3">
        <v>0</v>
      </c>
      <c r="O151" s="3">
        <v>0</v>
      </c>
      <c r="P151" s="380">
        <f>O151+N151</f>
        <v>0</v>
      </c>
      <c r="Q151" s="3">
        <f t="shared" si="88"/>
        <v>0</v>
      </c>
      <c r="R151" s="3">
        <f t="shared" si="88"/>
        <v>0</v>
      </c>
      <c r="S151" s="3">
        <f>R151+Q151</f>
        <v>0</v>
      </c>
      <c r="T151" s="3">
        <f t="shared" si="89"/>
        <v>0</v>
      </c>
      <c r="U151" s="3">
        <f t="shared" si="89"/>
        <v>58930</v>
      </c>
      <c r="V151" s="3">
        <f>U151+T151</f>
        <v>58930</v>
      </c>
      <c r="W151" s="474">
        <f>V151+S151</f>
        <v>58930</v>
      </c>
    </row>
    <row r="152" spans="1:24">
      <c r="A152" s="170">
        <v>44682</v>
      </c>
      <c r="B152" s="378">
        <v>0</v>
      </c>
      <c r="C152" s="3">
        <v>0</v>
      </c>
      <c r="D152" s="3">
        <f>C152+B152</f>
        <v>0</v>
      </c>
      <c r="E152" s="3">
        <v>0</v>
      </c>
      <c r="F152" s="3">
        <f t="shared" si="87"/>
        <v>0</v>
      </c>
      <c r="G152" s="3">
        <f>F152+E152</f>
        <v>0</v>
      </c>
      <c r="H152" s="3">
        <f t="shared" si="86"/>
        <v>0</v>
      </c>
      <c r="I152" s="3">
        <f t="shared" si="86"/>
        <v>0</v>
      </c>
      <c r="J152" s="379">
        <f>I152+H152</f>
        <v>0</v>
      </c>
      <c r="K152" s="3">
        <v>0</v>
      </c>
      <c r="L152" s="3">
        <v>0</v>
      </c>
      <c r="M152" s="3">
        <f>L152+K152</f>
        <v>0</v>
      </c>
      <c r="N152" s="3">
        <v>0</v>
      </c>
      <c r="O152" s="3">
        <v>0</v>
      </c>
      <c r="P152" s="380">
        <f>O152+N152</f>
        <v>0</v>
      </c>
      <c r="Q152" s="3">
        <f t="shared" si="88"/>
        <v>0</v>
      </c>
      <c r="R152" s="3">
        <f t="shared" si="88"/>
        <v>0</v>
      </c>
      <c r="S152" s="3">
        <f t="shared" ref="S152:S186" si="90">R152+Q152</f>
        <v>0</v>
      </c>
      <c r="T152" s="3">
        <f t="shared" si="89"/>
        <v>0</v>
      </c>
      <c r="U152" s="3">
        <f t="shared" si="89"/>
        <v>58930</v>
      </c>
      <c r="V152" s="3">
        <f t="shared" ref="V152:V186" si="91">U152+T152</f>
        <v>58930</v>
      </c>
      <c r="W152" s="474">
        <f t="shared" ref="W152:W186" si="92">V152+S152</f>
        <v>58930</v>
      </c>
    </row>
    <row r="153" spans="1:24">
      <c r="A153" s="170">
        <v>44713</v>
      </c>
      <c r="B153" s="378">
        <v>0</v>
      </c>
      <c r="C153" s="3">
        <v>0</v>
      </c>
      <c r="D153" s="3">
        <f t="shared" ref="D153:D186" si="93">C153+B153</f>
        <v>0</v>
      </c>
      <c r="E153" s="3">
        <v>0</v>
      </c>
      <c r="F153" s="3">
        <f t="shared" si="87"/>
        <v>102065</v>
      </c>
      <c r="G153" s="3">
        <f t="shared" ref="G153:G186" si="94">F153+E153</f>
        <v>102065</v>
      </c>
      <c r="H153" s="3">
        <f t="shared" si="86"/>
        <v>0</v>
      </c>
      <c r="I153" s="3">
        <f t="shared" si="86"/>
        <v>102065</v>
      </c>
      <c r="J153" s="379">
        <f t="shared" ref="J153:J186" si="95">I153+H153</f>
        <v>102065</v>
      </c>
      <c r="K153" s="3">
        <v>0</v>
      </c>
      <c r="L153" s="3">
        <v>0</v>
      </c>
      <c r="M153" s="3">
        <f t="shared" ref="M153:M186" si="96">L153+K153</f>
        <v>0</v>
      </c>
      <c r="N153" s="3">
        <v>102065</v>
      </c>
      <c r="O153" s="3">
        <v>0</v>
      </c>
      <c r="P153" s="380">
        <f t="shared" ref="P153:P186" si="97">O153+N153</f>
        <v>102065</v>
      </c>
      <c r="Q153" s="3">
        <f t="shared" si="88"/>
        <v>0</v>
      </c>
      <c r="R153" s="3">
        <f t="shared" si="88"/>
        <v>0</v>
      </c>
      <c r="S153" s="3">
        <f t="shared" si="90"/>
        <v>0</v>
      </c>
      <c r="T153" s="3">
        <f t="shared" si="89"/>
        <v>0</v>
      </c>
      <c r="U153" s="3">
        <f t="shared" si="89"/>
        <v>160995</v>
      </c>
      <c r="V153" s="3">
        <f t="shared" si="91"/>
        <v>160995</v>
      </c>
      <c r="W153" s="474">
        <f t="shared" si="92"/>
        <v>160995</v>
      </c>
    </row>
    <row r="154" spans="1:24">
      <c r="A154" s="170">
        <v>44743</v>
      </c>
      <c r="B154" s="378">
        <v>0</v>
      </c>
      <c r="C154" s="3">
        <v>0</v>
      </c>
      <c r="D154" s="3">
        <f t="shared" si="93"/>
        <v>0</v>
      </c>
      <c r="E154" s="3">
        <v>0</v>
      </c>
      <c r="F154" s="3">
        <f t="shared" si="87"/>
        <v>0</v>
      </c>
      <c r="G154" s="3">
        <f t="shared" si="94"/>
        <v>0</v>
      </c>
      <c r="H154" s="3">
        <f t="shared" si="86"/>
        <v>0</v>
      </c>
      <c r="I154" s="3">
        <f t="shared" si="86"/>
        <v>0</v>
      </c>
      <c r="J154" s="379">
        <f t="shared" si="95"/>
        <v>0</v>
      </c>
      <c r="K154" s="3">
        <v>0</v>
      </c>
      <c r="L154" s="3">
        <v>0</v>
      </c>
      <c r="M154" s="3">
        <f t="shared" si="96"/>
        <v>0</v>
      </c>
      <c r="N154" s="3">
        <v>0</v>
      </c>
      <c r="O154" s="3">
        <v>0</v>
      </c>
      <c r="P154" s="380">
        <f t="shared" si="97"/>
        <v>0</v>
      </c>
      <c r="Q154" s="3">
        <f t="shared" si="88"/>
        <v>0</v>
      </c>
      <c r="R154" s="3">
        <f t="shared" si="88"/>
        <v>0</v>
      </c>
      <c r="S154" s="3">
        <f t="shared" si="90"/>
        <v>0</v>
      </c>
      <c r="T154" s="3">
        <f t="shared" si="89"/>
        <v>0</v>
      </c>
      <c r="U154" s="3">
        <f t="shared" si="89"/>
        <v>160995</v>
      </c>
      <c r="V154" s="3">
        <f t="shared" si="91"/>
        <v>160995</v>
      </c>
      <c r="W154" s="474">
        <f t="shared" si="92"/>
        <v>160995</v>
      </c>
    </row>
    <row r="155" spans="1:24">
      <c r="A155" s="170">
        <v>44774</v>
      </c>
      <c r="B155" s="378">
        <v>0</v>
      </c>
      <c r="C155" s="3">
        <v>0</v>
      </c>
      <c r="D155" s="3">
        <f t="shared" si="93"/>
        <v>0</v>
      </c>
      <c r="E155" s="3">
        <v>0</v>
      </c>
      <c r="F155" s="3">
        <f t="shared" si="87"/>
        <v>30374</v>
      </c>
      <c r="G155" s="3">
        <f t="shared" si="94"/>
        <v>30374</v>
      </c>
      <c r="H155" s="3">
        <f t="shared" si="86"/>
        <v>0</v>
      </c>
      <c r="I155" s="3">
        <f t="shared" si="86"/>
        <v>30374</v>
      </c>
      <c r="J155" s="379">
        <f t="shared" si="95"/>
        <v>30374</v>
      </c>
      <c r="K155" s="3">
        <v>0</v>
      </c>
      <c r="L155" s="3">
        <v>0</v>
      </c>
      <c r="M155" s="3">
        <f t="shared" si="96"/>
        <v>0</v>
      </c>
      <c r="N155" s="3">
        <v>30374</v>
      </c>
      <c r="O155" s="3">
        <v>0</v>
      </c>
      <c r="P155" s="380">
        <f t="shared" si="97"/>
        <v>30374</v>
      </c>
      <c r="Q155" s="3">
        <f t="shared" si="88"/>
        <v>0</v>
      </c>
      <c r="R155" s="3">
        <f t="shared" si="88"/>
        <v>0</v>
      </c>
      <c r="S155" s="3">
        <f t="shared" si="90"/>
        <v>0</v>
      </c>
      <c r="T155" s="3">
        <f t="shared" si="89"/>
        <v>0</v>
      </c>
      <c r="U155" s="3">
        <f t="shared" si="89"/>
        <v>191369</v>
      </c>
      <c r="V155" s="3">
        <f t="shared" si="91"/>
        <v>191369</v>
      </c>
      <c r="W155" s="474">
        <f t="shared" si="92"/>
        <v>191369</v>
      </c>
    </row>
    <row r="156" spans="1:24">
      <c r="A156" s="170">
        <v>44805</v>
      </c>
      <c r="B156" s="378">
        <v>0</v>
      </c>
      <c r="C156" s="3">
        <v>0</v>
      </c>
      <c r="D156" s="3">
        <f t="shared" si="93"/>
        <v>0</v>
      </c>
      <c r="E156" s="3">
        <v>0</v>
      </c>
      <c r="F156" s="3">
        <f t="shared" si="87"/>
        <v>11086</v>
      </c>
      <c r="G156" s="3">
        <f t="shared" si="94"/>
        <v>11086</v>
      </c>
      <c r="H156" s="3">
        <f t="shared" ref="H156:I171" si="98">B156+E156</f>
        <v>0</v>
      </c>
      <c r="I156" s="3">
        <f t="shared" si="98"/>
        <v>11086</v>
      </c>
      <c r="J156" s="379">
        <f t="shared" si="95"/>
        <v>11086</v>
      </c>
      <c r="K156" s="3">
        <v>0</v>
      </c>
      <c r="L156" s="3">
        <v>0</v>
      </c>
      <c r="M156" s="3">
        <f t="shared" si="96"/>
        <v>0</v>
      </c>
      <c r="N156" s="3">
        <v>11086</v>
      </c>
      <c r="O156" s="3">
        <v>0</v>
      </c>
      <c r="P156" s="380">
        <f t="shared" si="97"/>
        <v>11086</v>
      </c>
      <c r="Q156" s="3">
        <f t="shared" si="88"/>
        <v>0</v>
      </c>
      <c r="R156" s="3">
        <f t="shared" si="88"/>
        <v>0</v>
      </c>
      <c r="S156" s="3">
        <f t="shared" si="90"/>
        <v>0</v>
      </c>
      <c r="T156" s="3">
        <f t="shared" si="89"/>
        <v>0</v>
      </c>
      <c r="U156" s="3">
        <f t="shared" si="89"/>
        <v>202455</v>
      </c>
      <c r="V156" s="3">
        <f t="shared" si="91"/>
        <v>202455</v>
      </c>
      <c r="W156" s="474">
        <f t="shared" si="92"/>
        <v>202455</v>
      </c>
    </row>
    <row r="157" spans="1:24">
      <c r="A157" s="170">
        <v>44835</v>
      </c>
      <c r="B157" s="378">
        <v>0</v>
      </c>
      <c r="C157" s="3">
        <v>0</v>
      </c>
      <c r="D157" s="3">
        <f t="shared" si="93"/>
        <v>0</v>
      </c>
      <c r="E157" s="3">
        <v>0</v>
      </c>
      <c r="F157" s="3">
        <f t="shared" si="87"/>
        <v>0</v>
      </c>
      <c r="G157" s="3">
        <f t="shared" si="94"/>
        <v>0</v>
      </c>
      <c r="H157" s="3">
        <f t="shared" si="98"/>
        <v>0</v>
      </c>
      <c r="I157" s="3">
        <f t="shared" si="98"/>
        <v>0</v>
      </c>
      <c r="J157" s="379">
        <f t="shared" si="95"/>
        <v>0</v>
      </c>
      <c r="K157" s="3">
        <v>0</v>
      </c>
      <c r="L157" s="3">
        <v>0</v>
      </c>
      <c r="M157" s="3">
        <f t="shared" si="96"/>
        <v>0</v>
      </c>
      <c r="N157" s="3">
        <v>0</v>
      </c>
      <c r="O157" s="3">
        <v>0</v>
      </c>
      <c r="P157" s="380">
        <f t="shared" si="97"/>
        <v>0</v>
      </c>
      <c r="Q157" s="3">
        <f t="shared" si="88"/>
        <v>0</v>
      </c>
      <c r="R157" s="3">
        <f t="shared" si="88"/>
        <v>0</v>
      </c>
      <c r="S157" s="3">
        <f t="shared" si="90"/>
        <v>0</v>
      </c>
      <c r="T157" s="3">
        <f t="shared" si="89"/>
        <v>0</v>
      </c>
      <c r="U157" s="3">
        <f t="shared" si="89"/>
        <v>202455</v>
      </c>
      <c r="V157" s="3">
        <f t="shared" si="91"/>
        <v>202455</v>
      </c>
      <c r="W157" s="474">
        <f t="shared" si="92"/>
        <v>202455</v>
      </c>
    </row>
    <row r="158" spans="1:24">
      <c r="A158" s="170">
        <v>44866</v>
      </c>
      <c r="B158" s="378">
        <v>0</v>
      </c>
      <c r="C158" s="3">
        <v>0</v>
      </c>
      <c r="D158" s="3">
        <f t="shared" si="93"/>
        <v>0</v>
      </c>
      <c r="E158" s="3">
        <v>0</v>
      </c>
      <c r="F158" s="3">
        <f t="shared" si="87"/>
        <v>0</v>
      </c>
      <c r="G158" s="3">
        <f t="shared" si="94"/>
        <v>0</v>
      </c>
      <c r="H158" s="3">
        <f t="shared" si="98"/>
        <v>0</v>
      </c>
      <c r="I158" s="3">
        <f t="shared" si="98"/>
        <v>0</v>
      </c>
      <c r="J158" s="379">
        <f t="shared" si="95"/>
        <v>0</v>
      </c>
      <c r="K158" s="3">
        <v>0</v>
      </c>
      <c r="L158" s="3">
        <v>0</v>
      </c>
      <c r="M158" s="3">
        <f t="shared" si="96"/>
        <v>0</v>
      </c>
      <c r="N158" s="3">
        <v>0</v>
      </c>
      <c r="O158" s="3">
        <v>0</v>
      </c>
      <c r="P158" s="380">
        <f t="shared" si="97"/>
        <v>0</v>
      </c>
      <c r="Q158" s="3">
        <f t="shared" si="88"/>
        <v>0</v>
      </c>
      <c r="R158" s="3">
        <f t="shared" si="88"/>
        <v>0</v>
      </c>
      <c r="S158" s="3">
        <f t="shared" si="90"/>
        <v>0</v>
      </c>
      <c r="T158" s="3">
        <f t="shared" si="89"/>
        <v>0</v>
      </c>
      <c r="U158" s="3">
        <f t="shared" si="89"/>
        <v>202455</v>
      </c>
      <c r="V158" s="3">
        <f t="shared" si="91"/>
        <v>202455</v>
      </c>
      <c r="W158" s="474">
        <f t="shared" si="92"/>
        <v>202455</v>
      </c>
    </row>
    <row r="159" spans="1:24" ht="15.75" thickBot="1">
      <c r="A159" s="170">
        <v>44896</v>
      </c>
      <c r="B159" s="378">
        <v>0</v>
      </c>
      <c r="C159" s="3">
        <v>0</v>
      </c>
      <c r="D159" s="3">
        <f t="shared" si="93"/>
        <v>0</v>
      </c>
      <c r="E159" s="3">
        <v>0</v>
      </c>
      <c r="F159" s="3">
        <f t="shared" si="87"/>
        <v>33897</v>
      </c>
      <c r="G159" s="3">
        <f t="shared" si="94"/>
        <v>33897</v>
      </c>
      <c r="H159" s="3">
        <f t="shared" si="98"/>
        <v>0</v>
      </c>
      <c r="I159" s="3">
        <f t="shared" si="98"/>
        <v>33897</v>
      </c>
      <c r="J159" s="379">
        <f t="shared" si="95"/>
        <v>33897</v>
      </c>
      <c r="K159" s="3">
        <v>0</v>
      </c>
      <c r="L159" s="3">
        <v>0</v>
      </c>
      <c r="M159" s="3">
        <f t="shared" si="96"/>
        <v>0</v>
      </c>
      <c r="N159" s="3">
        <v>33897</v>
      </c>
      <c r="O159" s="3">
        <v>0</v>
      </c>
      <c r="P159" s="380">
        <f t="shared" si="97"/>
        <v>33897</v>
      </c>
      <c r="Q159" s="3">
        <f>Q158+B159</f>
        <v>0</v>
      </c>
      <c r="R159" s="3">
        <f>R158+C159</f>
        <v>0</v>
      </c>
      <c r="S159" s="3">
        <f t="shared" si="90"/>
        <v>0</v>
      </c>
      <c r="T159" s="3">
        <f>T158+E159</f>
        <v>0</v>
      </c>
      <c r="U159" s="3">
        <f>U158+F159</f>
        <v>236352</v>
      </c>
      <c r="V159" s="3">
        <f t="shared" si="91"/>
        <v>236352</v>
      </c>
      <c r="W159" s="474">
        <f t="shared" si="92"/>
        <v>236352</v>
      </c>
    </row>
    <row r="160" spans="1:24">
      <c r="A160" s="171">
        <v>44927</v>
      </c>
      <c r="B160" s="385">
        <v>0</v>
      </c>
      <c r="C160" s="104">
        <v>0</v>
      </c>
      <c r="D160" s="104">
        <f t="shared" si="93"/>
        <v>0</v>
      </c>
      <c r="E160" s="104">
        <v>0</v>
      </c>
      <c r="F160" s="104">
        <f t="shared" si="87"/>
        <v>0</v>
      </c>
      <c r="G160" s="104">
        <f t="shared" si="94"/>
        <v>0</v>
      </c>
      <c r="H160" s="104">
        <f t="shared" si="98"/>
        <v>0</v>
      </c>
      <c r="I160" s="104">
        <f t="shared" si="98"/>
        <v>0</v>
      </c>
      <c r="J160" s="386">
        <f t="shared" si="95"/>
        <v>0</v>
      </c>
      <c r="K160" s="104">
        <v>0</v>
      </c>
      <c r="L160" s="104">
        <v>0</v>
      </c>
      <c r="M160" s="104">
        <f t="shared" si="96"/>
        <v>0</v>
      </c>
      <c r="N160" s="104">
        <v>0</v>
      </c>
      <c r="O160" s="104">
        <v>0</v>
      </c>
      <c r="P160" s="387">
        <f t="shared" si="97"/>
        <v>0</v>
      </c>
      <c r="Q160" s="104">
        <f>B160</f>
        <v>0</v>
      </c>
      <c r="R160" s="104">
        <f>C160</f>
        <v>0</v>
      </c>
      <c r="S160" s="104">
        <f t="shared" si="90"/>
        <v>0</v>
      </c>
      <c r="T160" s="104">
        <f>E160</f>
        <v>0</v>
      </c>
      <c r="U160" s="104">
        <f>F160</f>
        <v>0</v>
      </c>
      <c r="V160" s="104">
        <f t="shared" si="91"/>
        <v>0</v>
      </c>
      <c r="W160" s="475">
        <f t="shared" si="92"/>
        <v>0</v>
      </c>
      <c r="X160" s="172" t="e">
        <f t="shared" ref="X160:X186" si="99">W160/W148-1</f>
        <v>#DIV/0!</v>
      </c>
    </row>
    <row r="161" spans="1:24">
      <c r="A161" s="170">
        <v>44958</v>
      </c>
      <c r="B161" s="378">
        <v>0</v>
      </c>
      <c r="C161" s="3">
        <v>0</v>
      </c>
      <c r="D161" s="3">
        <f t="shared" si="93"/>
        <v>0</v>
      </c>
      <c r="E161" s="3">
        <v>0</v>
      </c>
      <c r="F161" s="3">
        <f t="shared" si="87"/>
        <v>0</v>
      </c>
      <c r="G161" s="3">
        <f t="shared" si="94"/>
        <v>0</v>
      </c>
      <c r="H161" s="3">
        <f t="shared" si="98"/>
        <v>0</v>
      </c>
      <c r="I161" s="3">
        <f t="shared" si="98"/>
        <v>0</v>
      </c>
      <c r="J161" s="379">
        <f t="shared" si="95"/>
        <v>0</v>
      </c>
      <c r="K161" s="3">
        <v>0</v>
      </c>
      <c r="L161" s="3">
        <v>0</v>
      </c>
      <c r="M161" s="3">
        <f t="shared" si="96"/>
        <v>0</v>
      </c>
      <c r="N161" s="3">
        <v>0</v>
      </c>
      <c r="O161" s="3">
        <v>0</v>
      </c>
      <c r="P161" s="380">
        <f t="shared" si="97"/>
        <v>0</v>
      </c>
      <c r="Q161" s="3">
        <f t="shared" ref="Q161:R171" si="100">Q160+B161</f>
        <v>0</v>
      </c>
      <c r="R161" s="3">
        <f t="shared" si="100"/>
        <v>0</v>
      </c>
      <c r="S161" s="3">
        <f t="shared" si="90"/>
        <v>0</v>
      </c>
      <c r="T161" s="3">
        <f t="shared" ref="T161:U171" si="101">T160+E161</f>
        <v>0</v>
      </c>
      <c r="U161" s="3">
        <f t="shared" si="101"/>
        <v>0</v>
      </c>
      <c r="V161" s="3">
        <f t="shared" si="91"/>
        <v>0</v>
      </c>
      <c r="W161" s="474">
        <f t="shared" si="92"/>
        <v>0</v>
      </c>
      <c r="X161" s="172">
        <f t="shared" si="99"/>
        <v>-1</v>
      </c>
    </row>
    <row r="162" spans="1:24">
      <c r="A162" s="170">
        <v>44986</v>
      </c>
      <c r="B162" s="378">
        <v>0</v>
      </c>
      <c r="C162" s="3">
        <v>0</v>
      </c>
      <c r="D162" s="3">
        <f t="shared" si="93"/>
        <v>0</v>
      </c>
      <c r="E162" s="3">
        <v>0</v>
      </c>
      <c r="F162" s="3">
        <f t="shared" si="87"/>
        <v>0</v>
      </c>
      <c r="G162" s="3">
        <f t="shared" si="94"/>
        <v>0</v>
      </c>
      <c r="H162" s="3">
        <f t="shared" si="98"/>
        <v>0</v>
      </c>
      <c r="I162" s="3">
        <f t="shared" si="98"/>
        <v>0</v>
      </c>
      <c r="J162" s="379">
        <f t="shared" si="95"/>
        <v>0</v>
      </c>
      <c r="K162" s="3">
        <v>0</v>
      </c>
      <c r="L162" s="3">
        <v>0</v>
      </c>
      <c r="M162" s="3">
        <f t="shared" si="96"/>
        <v>0</v>
      </c>
      <c r="N162" s="3">
        <v>0</v>
      </c>
      <c r="O162" s="3">
        <v>0</v>
      </c>
      <c r="P162" s="380">
        <f t="shared" si="97"/>
        <v>0</v>
      </c>
      <c r="Q162" s="3">
        <f t="shared" si="100"/>
        <v>0</v>
      </c>
      <c r="R162" s="3">
        <f t="shared" si="100"/>
        <v>0</v>
      </c>
      <c r="S162" s="3">
        <f t="shared" si="90"/>
        <v>0</v>
      </c>
      <c r="T162" s="3">
        <f t="shared" si="101"/>
        <v>0</v>
      </c>
      <c r="U162" s="3">
        <f t="shared" si="101"/>
        <v>0</v>
      </c>
      <c r="V162" s="3">
        <f t="shared" si="91"/>
        <v>0</v>
      </c>
      <c r="W162" s="474">
        <f t="shared" si="92"/>
        <v>0</v>
      </c>
      <c r="X162" s="172">
        <f t="shared" si="99"/>
        <v>-1</v>
      </c>
    </row>
    <row r="163" spans="1:24">
      <c r="A163" s="170">
        <v>45017</v>
      </c>
      <c r="B163" s="378">
        <v>0</v>
      </c>
      <c r="C163" s="3">
        <v>0</v>
      </c>
      <c r="D163" s="3">
        <f t="shared" si="93"/>
        <v>0</v>
      </c>
      <c r="E163" s="3">
        <v>0</v>
      </c>
      <c r="F163" s="3">
        <f t="shared" si="87"/>
        <v>69961</v>
      </c>
      <c r="G163" s="3">
        <f t="shared" si="94"/>
        <v>69961</v>
      </c>
      <c r="H163" s="3">
        <f t="shared" si="98"/>
        <v>0</v>
      </c>
      <c r="I163" s="3">
        <f t="shared" si="98"/>
        <v>69961</v>
      </c>
      <c r="J163" s="379">
        <f t="shared" si="95"/>
        <v>69961</v>
      </c>
      <c r="K163" s="3">
        <v>0</v>
      </c>
      <c r="L163" s="3">
        <v>0</v>
      </c>
      <c r="M163" s="3">
        <f t="shared" si="96"/>
        <v>0</v>
      </c>
      <c r="N163" s="3">
        <v>69961</v>
      </c>
      <c r="O163" s="3">
        <v>0</v>
      </c>
      <c r="P163" s="380">
        <f t="shared" si="97"/>
        <v>69961</v>
      </c>
      <c r="Q163" s="3">
        <f t="shared" si="100"/>
        <v>0</v>
      </c>
      <c r="R163" s="3">
        <f t="shared" si="100"/>
        <v>0</v>
      </c>
      <c r="S163" s="3">
        <f t="shared" si="90"/>
        <v>0</v>
      </c>
      <c r="T163" s="3">
        <f t="shared" si="101"/>
        <v>0</v>
      </c>
      <c r="U163" s="3">
        <f t="shared" si="101"/>
        <v>69961</v>
      </c>
      <c r="V163" s="3">
        <f t="shared" si="91"/>
        <v>69961</v>
      </c>
      <c r="W163" s="474">
        <f t="shared" si="92"/>
        <v>69961</v>
      </c>
      <c r="X163" s="172">
        <f t="shared" si="99"/>
        <v>0.18718818937722714</v>
      </c>
    </row>
    <row r="164" spans="1:24">
      <c r="A164" s="170">
        <v>45047</v>
      </c>
      <c r="B164" s="378">
        <v>0</v>
      </c>
      <c r="C164" s="3">
        <v>0</v>
      </c>
      <c r="D164" s="3">
        <f t="shared" si="93"/>
        <v>0</v>
      </c>
      <c r="E164" s="3">
        <v>0</v>
      </c>
      <c r="F164" s="3">
        <f t="shared" si="87"/>
        <v>43465</v>
      </c>
      <c r="G164" s="3">
        <f t="shared" si="94"/>
        <v>43465</v>
      </c>
      <c r="H164" s="3">
        <f t="shared" si="98"/>
        <v>0</v>
      </c>
      <c r="I164" s="3">
        <f t="shared" si="98"/>
        <v>43465</v>
      </c>
      <c r="J164" s="379">
        <f t="shared" si="95"/>
        <v>43465</v>
      </c>
      <c r="K164" s="3">
        <v>0</v>
      </c>
      <c r="L164" s="3">
        <v>0</v>
      </c>
      <c r="M164" s="3">
        <f t="shared" si="96"/>
        <v>0</v>
      </c>
      <c r="N164" s="3">
        <v>43465</v>
      </c>
      <c r="O164" s="3">
        <v>0</v>
      </c>
      <c r="P164" s="380">
        <f t="shared" si="97"/>
        <v>43465</v>
      </c>
      <c r="Q164" s="3">
        <f t="shared" si="100"/>
        <v>0</v>
      </c>
      <c r="R164" s="3">
        <f t="shared" si="100"/>
        <v>0</v>
      </c>
      <c r="S164" s="3">
        <f t="shared" si="90"/>
        <v>0</v>
      </c>
      <c r="T164" s="3">
        <f t="shared" si="101"/>
        <v>0</v>
      </c>
      <c r="U164" s="3">
        <f t="shared" si="101"/>
        <v>113426</v>
      </c>
      <c r="V164" s="3">
        <f t="shared" si="91"/>
        <v>113426</v>
      </c>
      <c r="W164" s="474">
        <f t="shared" si="92"/>
        <v>113426</v>
      </c>
      <c r="X164" s="172">
        <f t="shared" si="99"/>
        <v>0.9247581876802986</v>
      </c>
    </row>
    <row r="165" spans="1:24">
      <c r="A165" s="170">
        <v>45078</v>
      </c>
      <c r="B165" s="378">
        <v>0</v>
      </c>
      <c r="C165" s="3">
        <v>0</v>
      </c>
      <c r="D165" s="3">
        <f t="shared" si="93"/>
        <v>0</v>
      </c>
      <c r="E165" s="3">
        <v>0</v>
      </c>
      <c r="F165" s="3">
        <f t="shared" si="87"/>
        <v>23954</v>
      </c>
      <c r="G165" s="3">
        <f t="shared" si="94"/>
        <v>23954</v>
      </c>
      <c r="H165" s="3">
        <f t="shared" si="98"/>
        <v>0</v>
      </c>
      <c r="I165" s="3">
        <f t="shared" si="98"/>
        <v>23954</v>
      </c>
      <c r="J165" s="379">
        <f t="shared" si="95"/>
        <v>23954</v>
      </c>
      <c r="K165" s="3">
        <v>0</v>
      </c>
      <c r="L165" s="3">
        <v>0</v>
      </c>
      <c r="M165" s="3">
        <f t="shared" si="96"/>
        <v>0</v>
      </c>
      <c r="N165" s="3">
        <v>23954</v>
      </c>
      <c r="O165" s="3">
        <v>0</v>
      </c>
      <c r="P165" s="380">
        <f t="shared" si="97"/>
        <v>23954</v>
      </c>
      <c r="Q165" s="3">
        <f t="shared" si="100"/>
        <v>0</v>
      </c>
      <c r="R165" s="3">
        <f t="shared" si="100"/>
        <v>0</v>
      </c>
      <c r="S165" s="3">
        <f t="shared" si="90"/>
        <v>0</v>
      </c>
      <c r="T165" s="3">
        <f t="shared" si="101"/>
        <v>0</v>
      </c>
      <c r="U165" s="3">
        <f t="shared" si="101"/>
        <v>137380</v>
      </c>
      <c r="V165" s="3">
        <f t="shared" si="91"/>
        <v>137380</v>
      </c>
      <c r="W165" s="474">
        <f t="shared" si="92"/>
        <v>137380</v>
      </c>
      <c r="X165" s="172">
        <f t="shared" si="99"/>
        <v>-0.14668157396192427</v>
      </c>
    </row>
    <row r="166" spans="1:24">
      <c r="A166" s="170">
        <v>45108</v>
      </c>
      <c r="B166" s="378">
        <v>0</v>
      </c>
      <c r="C166" s="3">
        <v>0</v>
      </c>
      <c r="D166" s="3">
        <f t="shared" si="93"/>
        <v>0</v>
      </c>
      <c r="E166" s="3">
        <v>0</v>
      </c>
      <c r="F166" s="3">
        <f t="shared" si="87"/>
        <v>0</v>
      </c>
      <c r="G166" s="3">
        <f t="shared" si="94"/>
        <v>0</v>
      </c>
      <c r="H166" s="3">
        <f t="shared" si="98"/>
        <v>0</v>
      </c>
      <c r="I166" s="3">
        <f t="shared" si="98"/>
        <v>0</v>
      </c>
      <c r="J166" s="379">
        <f t="shared" si="95"/>
        <v>0</v>
      </c>
      <c r="K166" s="3">
        <v>0</v>
      </c>
      <c r="L166" s="3">
        <v>0</v>
      </c>
      <c r="M166" s="3">
        <f t="shared" si="96"/>
        <v>0</v>
      </c>
      <c r="N166" s="3">
        <v>0</v>
      </c>
      <c r="O166" s="3">
        <v>0</v>
      </c>
      <c r="P166" s="380">
        <f t="shared" si="97"/>
        <v>0</v>
      </c>
      <c r="Q166" s="3">
        <f t="shared" si="100"/>
        <v>0</v>
      </c>
      <c r="R166" s="3">
        <f t="shared" si="100"/>
        <v>0</v>
      </c>
      <c r="S166" s="3">
        <f t="shared" si="90"/>
        <v>0</v>
      </c>
      <c r="T166" s="3">
        <f t="shared" si="101"/>
        <v>0</v>
      </c>
      <c r="U166" s="3">
        <f t="shared" si="101"/>
        <v>137380</v>
      </c>
      <c r="V166" s="3">
        <f t="shared" si="91"/>
        <v>137380</v>
      </c>
      <c r="W166" s="474">
        <f t="shared" si="92"/>
        <v>137380</v>
      </c>
      <c r="X166" s="172">
        <f t="shared" si="99"/>
        <v>-0.14668157396192427</v>
      </c>
    </row>
    <row r="167" spans="1:24">
      <c r="A167" s="170">
        <v>45139</v>
      </c>
      <c r="B167" s="378">
        <v>0</v>
      </c>
      <c r="C167" s="3">
        <v>0</v>
      </c>
      <c r="D167" s="3">
        <f t="shared" si="93"/>
        <v>0</v>
      </c>
      <c r="E167" s="3">
        <v>0</v>
      </c>
      <c r="F167" s="3">
        <f t="shared" si="87"/>
        <v>28704</v>
      </c>
      <c r="G167" s="3">
        <f t="shared" si="94"/>
        <v>28704</v>
      </c>
      <c r="H167" s="3">
        <f t="shared" si="98"/>
        <v>0</v>
      </c>
      <c r="I167" s="3">
        <f t="shared" si="98"/>
        <v>28704</v>
      </c>
      <c r="J167" s="379">
        <f t="shared" si="95"/>
        <v>28704</v>
      </c>
      <c r="K167" s="3">
        <v>0</v>
      </c>
      <c r="L167" s="3">
        <v>0</v>
      </c>
      <c r="M167" s="3">
        <f t="shared" si="96"/>
        <v>0</v>
      </c>
      <c r="N167" s="3">
        <v>28704</v>
      </c>
      <c r="O167" s="3">
        <v>0</v>
      </c>
      <c r="P167" s="380">
        <f t="shared" si="97"/>
        <v>28704</v>
      </c>
      <c r="Q167" s="3">
        <f t="shared" si="100"/>
        <v>0</v>
      </c>
      <c r="R167" s="3">
        <f t="shared" si="100"/>
        <v>0</v>
      </c>
      <c r="S167" s="3">
        <f t="shared" si="90"/>
        <v>0</v>
      </c>
      <c r="T167" s="3">
        <f t="shared" si="101"/>
        <v>0</v>
      </c>
      <c r="U167" s="3">
        <f t="shared" si="101"/>
        <v>166084</v>
      </c>
      <c r="V167" s="3">
        <f t="shared" si="91"/>
        <v>166084</v>
      </c>
      <c r="W167" s="474">
        <f t="shared" si="92"/>
        <v>166084</v>
      </c>
      <c r="X167" s="172">
        <f t="shared" si="99"/>
        <v>-0.13212693800981345</v>
      </c>
    </row>
    <row r="168" spans="1:24">
      <c r="A168" s="170">
        <v>45170</v>
      </c>
      <c r="B168" s="378">
        <v>0</v>
      </c>
      <c r="C168" s="3">
        <v>0</v>
      </c>
      <c r="D168" s="3">
        <f t="shared" si="93"/>
        <v>0</v>
      </c>
      <c r="E168" s="3">
        <v>0</v>
      </c>
      <c r="F168" s="3">
        <f t="shared" si="87"/>
        <v>0</v>
      </c>
      <c r="G168" s="3">
        <f t="shared" si="94"/>
        <v>0</v>
      </c>
      <c r="H168" s="3">
        <f t="shared" si="98"/>
        <v>0</v>
      </c>
      <c r="I168" s="3">
        <f t="shared" si="98"/>
        <v>0</v>
      </c>
      <c r="J168" s="379">
        <f t="shared" si="95"/>
        <v>0</v>
      </c>
      <c r="K168" s="3">
        <v>0</v>
      </c>
      <c r="L168" s="3">
        <v>0</v>
      </c>
      <c r="M168" s="3">
        <f t="shared" si="96"/>
        <v>0</v>
      </c>
      <c r="N168" s="3">
        <v>0</v>
      </c>
      <c r="O168" s="3">
        <v>0</v>
      </c>
      <c r="P168" s="380">
        <f t="shared" si="97"/>
        <v>0</v>
      </c>
      <c r="Q168" s="3">
        <f t="shared" si="100"/>
        <v>0</v>
      </c>
      <c r="R168" s="3">
        <f t="shared" si="100"/>
        <v>0</v>
      </c>
      <c r="S168" s="3">
        <f t="shared" si="90"/>
        <v>0</v>
      </c>
      <c r="T168" s="3">
        <f t="shared" si="101"/>
        <v>0</v>
      </c>
      <c r="U168" s="3">
        <f t="shared" si="101"/>
        <v>166084</v>
      </c>
      <c r="V168" s="3">
        <f t="shared" si="91"/>
        <v>166084</v>
      </c>
      <c r="W168" s="474">
        <f t="shared" si="92"/>
        <v>166084</v>
      </c>
      <c r="X168" s="172">
        <f t="shared" si="99"/>
        <v>-0.17964979872070341</v>
      </c>
    </row>
    <row r="169" spans="1:24">
      <c r="A169" s="170">
        <v>45200</v>
      </c>
      <c r="B169" s="378">
        <v>0</v>
      </c>
      <c r="C169" s="3">
        <v>0</v>
      </c>
      <c r="D169" s="3">
        <f t="shared" si="93"/>
        <v>0</v>
      </c>
      <c r="E169" s="3">
        <v>0</v>
      </c>
      <c r="F169" s="3">
        <f t="shared" si="87"/>
        <v>0</v>
      </c>
      <c r="G169" s="3">
        <f t="shared" si="94"/>
        <v>0</v>
      </c>
      <c r="H169" s="3">
        <f t="shared" si="98"/>
        <v>0</v>
      </c>
      <c r="I169" s="3">
        <f t="shared" si="98"/>
        <v>0</v>
      </c>
      <c r="J169" s="379">
        <f t="shared" si="95"/>
        <v>0</v>
      </c>
      <c r="K169" s="3">
        <v>0</v>
      </c>
      <c r="L169" s="3">
        <v>0</v>
      </c>
      <c r="M169" s="3">
        <f t="shared" si="96"/>
        <v>0</v>
      </c>
      <c r="N169" s="3">
        <v>0</v>
      </c>
      <c r="O169" s="3">
        <v>0</v>
      </c>
      <c r="P169" s="380">
        <f t="shared" si="97"/>
        <v>0</v>
      </c>
      <c r="Q169" s="3">
        <f t="shared" si="100"/>
        <v>0</v>
      </c>
      <c r="R169" s="3">
        <f t="shared" si="100"/>
        <v>0</v>
      </c>
      <c r="S169" s="3">
        <f t="shared" si="90"/>
        <v>0</v>
      </c>
      <c r="T169" s="3">
        <f t="shared" si="101"/>
        <v>0</v>
      </c>
      <c r="U169" s="3">
        <f t="shared" si="101"/>
        <v>166084</v>
      </c>
      <c r="V169" s="3">
        <f t="shared" si="91"/>
        <v>166084</v>
      </c>
      <c r="W169" s="474">
        <f t="shared" si="92"/>
        <v>166084</v>
      </c>
      <c r="X169" s="172">
        <f t="shared" si="99"/>
        <v>-0.17964979872070341</v>
      </c>
    </row>
    <row r="170" spans="1:24">
      <c r="A170" s="170">
        <v>45231</v>
      </c>
      <c r="B170" s="378">
        <v>0</v>
      </c>
      <c r="C170" s="3">
        <v>0</v>
      </c>
      <c r="D170" s="3">
        <f t="shared" si="93"/>
        <v>0</v>
      </c>
      <c r="E170" s="3">
        <v>0</v>
      </c>
      <c r="F170" s="3">
        <f t="shared" si="87"/>
        <v>42559</v>
      </c>
      <c r="G170" s="3">
        <f t="shared" si="94"/>
        <v>42559</v>
      </c>
      <c r="H170" s="3">
        <f t="shared" si="98"/>
        <v>0</v>
      </c>
      <c r="I170" s="3">
        <f t="shared" si="98"/>
        <v>42559</v>
      </c>
      <c r="J170" s="379">
        <f t="shared" si="95"/>
        <v>42559</v>
      </c>
      <c r="K170" s="3">
        <v>0</v>
      </c>
      <c r="L170" s="3">
        <v>0</v>
      </c>
      <c r="M170" s="3">
        <f t="shared" si="96"/>
        <v>0</v>
      </c>
      <c r="N170" s="3">
        <v>42559</v>
      </c>
      <c r="O170" s="3">
        <v>0</v>
      </c>
      <c r="P170" s="380">
        <f t="shared" si="97"/>
        <v>42559</v>
      </c>
      <c r="Q170" s="3">
        <f t="shared" si="100"/>
        <v>0</v>
      </c>
      <c r="R170" s="3">
        <f t="shared" si="100"/>
        <v>0</v>
      </c>
      <c r="S170" s="3">
        <f t="shared" si="90"/>
        <v>0</v>
      </c>
      <c r="T170" s="3">
        <f t="shared" si="101"/>
        <v>0</v>
      </c>
      <c r="U170" s="3">
        <f t="shared" si="101"/>
        <v>208643</v>
      </c>
      <c r="V170" s="3">
        <f t="shared" si="91"/>
        <v>208643</v>
      </c>
      <c r="W170" s="474">
        <f t="shared" si="92"/>
        <v>208643</v>
      </c>
      <c r="X170" s="172">
        <f t="shared" si="99"/>
        <v>3.056481687288537E-2</v>
      </c>
    </row>
    <row r="171" spans="1:24" ht="15.75" thickBot="1">
      <c r="A171" s="170">
        <v>45261</v>
      </c>
      <c r="B171" s="378">
        <v>0</v>
      </c>
      <c r="C171" s="3">
        <v>0</v>
      </c>
      <c r="D171" s="3">
        <f t="shared" si="93"/>
        <v>0</v>
      </c>
      <c r="E171" s="3">
        <v>0</v>
      </c>
      <c r="F171" s="3">
        <f t="shared" si="87"/>
        <v>0</v>
      </c>
      <c r="G171" s="3">
        <f t="shared" si="94"/>
        <v>0</v>
      </c>
      <c r="H171" s="3">
        <f t="shared" si="98"/>
        <v>0</v>
      </c>
      <c r="I171" s="3">
        <f t="shared" si="98"/>
        <v>0</v>
      </c>
      <c r="J171" s="379">
        <f t="shared" si="95"/>
        <v>0</v>
      </c>
      <c r="K171" s="3">
        <v>0</v>
      </c>
      <c r="L171" s="3">
        <v>0</v>
      </c>
      <c r="M171" s="3">
        <f t="shared" si="96"/>
        <v>0</v>
      </c>
      <c r="N171" s="3">
        <v>0</v>
      </c>
      <c r="O171" s="3">
        <v>0</v>
      </c>
      <c r="P171" s="380">
        <f t="shared" si="97"/>
        <v>0</v>
      </c>
      <c r="Q171" s="3">
        <f t="shared" si="100"/>
        <v>0</v>
      </c>
      <c r="R171" s="3">
        <f t="shared" si="100"/>
        <v>0</v>
      </c>
      <c r="S171" s="3">
        <f t="shared" si="90"/>
        <v>0</v>
      </c>
      <c r="T171" s="3">
        <f t="shared" si="101"/>
        <v>0</v>
      </c>
      <c r="U171" s="3">
        <f t="shared" si="101"/>
        <v>208643</v>
      </c>
      <c r="V171" s="3">
        <f t="shared" si="91"/>
        <v>208643</v>
      </c>
      <c r="W171" s="474">
        <f t="shared" si="92"/>
        <v>208643</v>
      </c>
      <c r="X171" s="172">
        <f t="shared" si="99"/>
        <v>-0.11723615624153805</v>
      </c>
    </row>
    <row r="172" spans="1:24">
      <c r="A172" s="171">
        <v>45292</v>
      </c>
      <c r="B172" s="385">
        <v>0</v>
      </c>
      <c r="C172" s="104">
        <v>0</v>
      </c>
      <c r="D172" s="104">
        <f t="shared" si="93"/>
        <v>0</v>
      </c>
      <c r="E172" s="104">
        <v>0</v>
      </c>
      <c r="F172" s="104">
        <v>60218</v>
      </c>
      <c r="G172" s="104">
        <f t="shared" si="94"/>
        <v>60218</v>
      </c>
      <c r="H172" s="104">
        <f t="shared" ref="H172:I186" si="102">B172+E172</f>
        <v>0</v>
      </c>
      <c r="I172" s="104">
        <f t="shared" si="102"/>
        <v>60218</v>
      </c>
      <c r="J172" s="386">
        <f t="shared" si="95"/>
        <v>60218</v>
      </c>
      <c r="K172" s="104">
        <v>0</v>
      </c>
      <c r="L172" s="104">
        <v>0</v>
      </c>
      <c r="M172" s="104">
        <f t="shared" si="96"/>
        <v>0</v>
      </c>
      <c r="N172" s="104">
        <v>0</v>
      </c>
      <c r="O172" s="104">
        <v>0</v>
      </c>
      <c r="P172" s="387">
        <f t="shared" si="97"/>
        <v>0</v>
      </c>
      <c r="Q172" s="104">
        <f>B172</f>
        <v>0</v>
      </c>
      <c r="R172" s="104">
        <f>C172</f>
        <v>0</v>
      </c>
      <c r="S172" s="104">
        <f t="shared" si="90"/>
        <v>0</v>
      </c>
      <c r="T172" s="104">
        <f>E172</f>
        <v>0</v>
      </c>
      <c r="U172" s="104">
        <f>F172</f>
        <v>60218</v>
      </c>
      <c r="V172" s="104">
        <f t="shared" si="91"/>
        <v>60218</v>
      </c>
      <c r="W172" s="475">
        <f t="shared" si="92"/>
        <v>60218</v>
      </c>
      <c r="X172" s="172" t="e">
        <f t="shared" si="99"/>
        <v>#DIV/0!</v>
      </c>
    </row>
    <row r="173" spans="1:24">
      <c r="A173" s="170">
        <v>45323</v>
      </c>
      <c r="B173" s="378">
        <v>0</v>
      </c>
      <c r="C173" s="3">
        <v>0</v>
      </c>
      <c r="D173" s="3">
        <f t="shared" si="93"/>
        <v>0</v>
      </c>
      <c r="E173" s="3">
        <v>0</v>
      </c>
      <c r="F173" s="3">
        <v>0</v>
      </c>
      <c r="G173" s="3">
        <f t="shared" si="94"/>
        <v>0</v>
      </c>
      <c r="H173" s="3">
        <f t="shared" si="102"/>
        <v>0</v>
      </c>
      <c r="I173" s="3">
        <f t="shared" si="102"/>
        <v>0</v>
      </c>
      <c r="J173" s="379">
        <f t="shared" si="95"/>
        <v>0</v>
      </c>
      <c r="K173" s="3">
        <v>0</v>
      </c>
      <c r="L173" s="3">
        <v>0</v>
      </c>
      <c r="M173" s="3">
        <f t="shared" si="96"/>
        <v>0</v>
      </c>
      <c r="N173" s="3">
        <v>0</v>
      </c>
      <c r="O173" s="3">
        <v>0</v>
      </c>
      <c r="P173" s="380">
        <f t="shared" si="97"/>
        <v>0</v>
      </c>
      <c r="Q173" s="3">
        <f t="shared" ref="Q173:R183" si="103">Q172+B173</f>
        <v>0</v>
      </c>
      <c r="R173" s="3">
        <f t="shared" si="103"/>
        <v>0</v>
      </c>
      <c r="S173" s="3">
        <f t="shared" si="90"/>
        <v>0</v>
      </c>
      <c r="T173" s="3">
        <f t="shared" ref="T173:U183" si="104">T172+E173</f>
        <v>0</v>
      </c>
      <c r="U173" s="3">
        <f t="shared" si="104"/>
        <v>60218</v>
      </c>
      <c r="V173" s="3">
        <f t="shared" si="91"/>
        <v>60218</v>
      </c>
      <c r="W173" s="474">
        <f t="shared" si="92"/>
        <v>60218</v>
      </c>
      <c r="X173" s="172" t="e">
        <f t="shared" si="99"/>
        <v>#DIV/0!</v>
      </c>
    </row>
    <row r="174" spans="1:24">
      <c r="A174" s="170">
        <v>45352</v>
      </c>
      <c r="B174" s="378">
        <v>0</v>
      </c>
      <c r="C174" s="3">
        <v>0</v>
      </c>
      <c r="D174" s="3">
        <f t="shared" si="93"/>
        <v>0</v>
      </c>
      <c r="E174" s="3">
        <v>0</v>
      </c>
      <c r="F174" s="3">
        <v>60193</v>
      </c>
      <c r="G174" s="3">
        <f t="shared" si="94"/>
        <v>60193</v>
      </c>
      <c r="H174" s="3">
        <f t="shared" si="102"/>
        <v>0</v>
      </c>
      <c r="I174" s="3">
        <f t="shared" si="102"/>
        <v>60193</v>
      </c>
      <c r="J174" s="379">
        <f t="shared" si="95"/>
        <v>60193</v>
      </c>
      <c r="K174" s="3">
        <v>0</v>
      </c>
      <c r="L174" s="3">
        <v>0</v>
      </c>
      <c r="M174" s="3">
        <f t="shared" si="96"/>
        <v>0</v>
      </c>
      <c r="N174" s="3">
        <v>0</v>
      </c>
      <c r="O174" s="3">
        <v>0</v>
      </c>
      <c r="P174" s="380">
        <f t="shared" si="97"/>
        <v>0</v>
      </c>
      <c r="Q174" s="3">
        <f t="shared" si="103"/>
        <v>0</v>
      </c>
      <c r="R174" s="3">
        <f t="shared" si="103"/>
        <v>0</v>
      </c>
      <c r="S174" s="3">
        <f t="shared" si="90"/>
        <v>0</v>
      </c>
      <c r="T174" s="3">
        <f t="shared" si="104"/>
        <v>0</v>
      </c>
      <c r="U174" s="3">
        <f t="shared" si="104"/>
        <v>120411</v>
      </c>
      <c r="V174" s="3">
        <f t="shared" si="91"/>
        <v>120411</v>
      </c>
      <c r="W174" s="474">
        <f t="shared" si="92"/>
        <v>120411</v>
      </c>
      <c r="X174" s="172" t="e">
        <f t="shared" si="99"/>
        <v>#DIV/0!</v>
      </c>
    </row>
    <row r="175" spans="1:24">
      <c r="A175" s="170">
        <v>45383</v>
      </c>
      <c r="B175" s="378">
        <v>0</v>
      </c>
      <c r="C175" s="3">
        <v>0</v>
      </c>
      <c r="D175" s="3">
        <f t="shared" si="93"/>
        <v>0</v>
      </c>
      <c r="E175" s="3">
        <v>0</v>
      </c>
      <c r="F175" s="3">
        <v>47750</v>
      </c>
      <c r="G175" s="3">
        <f t="shared" si="94"/>
        <v>47750</v>
      </c>
      <c r="H175" s="3">
        <f t="shared" si="102"/>
        <v>0</v>
      </c>
      <c r="I175" s="3">
        <f t="shared" si="102"/>
        <v>47750</v>
      </c>
      <c r="J175" s="379">
        <f t="shared" si="95"/>
        <v>47750</v>
      </c>
      <c r="K175" s="3">
        <v>0</v>
      </c>
      <c r="L175" s="3">
        <v>0</v>
      </c>
      <c r="M175" s="3">
        <f t="shared" si="96"/>
        <v>0</v>
      </c>
      <c r="N175" s="3">
        <v>0</v>
      </c>
      <c r="O175" s="3">
        <v>0</v>
      </c>
      <c r="P175" s="380">
        <f t="shared" si="97"/>
        <v>0</v>
      </c>
      <c r="Q175" s="3">
        <f t="shared" si="103"/>
        <v>0</v>
      </c>
      <c r="R175" s="3">
        <f t="shared" si="103"/>
        <v>0</v>
      </c>
      <c r="S175" s="3">
        <f t="shared" si="90"/>
        <v>0</v>
      </c>
      <c r="T175" s="3">
        <f t="shared" si="104"/>
        <v>0</v>
      </c>
      <c r="U175" s="3">
        <f t="shared" si="104"/>
        <v>168161</v>
      </c>
      <c r="V175" s="3">
        <f t="shared" si="91"/>
        <v>168161</v>
      </c>
      <c r="W175" s="474">
        <f t="shared" si="92"/>
        <v>168161</v>
      </c>
      <c r="X175" s="172">
        <f t="shared" si="99"/>
        <v>1.4036391703949342</v>
      </c>
    </row>
    <row r="176" spans="1:24">
      <c r="A176" s="170">
        <v>45413</v>
      </c>
      <c r="B176" s="378">
        <v>0</v>
      </c>
      <c r="C176" s="3">
        <v>0</v>
      </c>
      <c r="D176" s="3">
        <f t="shared" si="93"/>
        <v>0</v>
      </c>
      <c r="E176" s="3">
        <v>0</v>
      </c>
      <c r="F176" s="3">
        <v>0</v>
      </c>
      <c r="G176" s="3">
        <f t="shared" si="94"/>
        <v>0</v>
      </c>
      <c r="H176" s="3">
        <f t="shared" si="102"/>
        <v>0</v>
      </c>
      <c r="I176" s="3">
        <f t="shared" si="102"/>
        <v>0</v>
      </c>
      <c r="J176" s="379">
        <f t="shared" si="95"/>
        <v>0</v>
      </c>
      <c r="K176" s="3">
        <v>0</v>
      </c>
      <c r="L176" s="3">
        <v>0</v>
      </c>
      <c r="M176" s="3">
        <f t="shared" si="96"/>
        <v>0</v>
      </c>
      <c r="N176" s="3">
        <v>0</v>
      </c>
      <c r="O176" s="3">
        <v>0</v>
      </c>
      <c r="P176" s="380">
        <f t="shared" si="97"/>
        <v>0</v>
      </c>
      <c r="Q176" s="3">
        <f t="shared" si="103"/>
        <v>0</v>
      </c>
      <c r="R176" s="3">
        <f t="shared" si="103"/>
        <v>0</v>
      </c>
      <c r="S176" s="3">
        <f t="shared" si="90"/>
        <v>0</v>
      </c>
      <c r="T176" s="3">
        <f t="shared" si="104"/>
        <v>0</v>
      </c>
      <c r="U176" s="3">
        <f t="shared" si="104"/>
        <v>168161</v>
      </c>
      <c r="V176" s="3">
        <f t="shared" si="91"/>
        <v>168161</v>
      </c>
      <c r="W176" s="474">
        <f t="shared" si="92"/>
        <v>168161</v>
      </c>
      <c r="X176" s="172">
        <f t="shared" si="99"/>
        <v>0.48256131751097642</v>
      </c>
    </row>
    <row r="177" spans="1:24">
      <c r="A177" s="170">
        <v>45444</v>
      </c>
      <c r="B177" s="378">
        <v>0</v>
      </c>
      <c r="C177" s="3">
        <v>0</v>
      </c>
      <c r="D177" s="3">
        <f t="shared" si="93"/>
        <v>0</v>
      </c>
      <c r="E177" s="3">
        <v>0</v>
      </c>
      <c r="F177" s="3">
        <v>24011</v>
      </c>
      <c r="G177" s="3">
        <f t="shared" si="94"/>
        <v>24011</v>
      </c>
      <c r="H177" s="3">
        <f t="shared" si="102"/>
        <v>0</v>
      </c>
      <c r="I177" s="3">
        <f t="shared" si="102"/>
        <v>24011</v>
      </c>
      <c r="J177" s="379">
        <f t="shared" si="95"/>
        <v>24011</v>
      </c>
      <c r="K177" s="3">
        <v>0</v>
      </c>
      <c r="L177" s="3">
        <v>0</v>
      </c>
      <c r="M177" s="3">
        <f t="shared" si="96"/>
        <v>0</v>
      </c>
      <c r="N177" s="3">
        <v>0</v>
      </c>
      <c r="O177" s="3">
        <v>0</v>
      </c>
      <c r="P177" s="380">
        <f t="shared" si="97"/>
        <v>0</v>
      </c>
      <c r="Q177" s="3">
        <f t="shared" si="103"/>
        <v>0</v>
      </c>
      <c r="R177" s="3">
        <f t="shared" si="103"/>
        <v>0</v>
      </c>
      <c r="S177" s="3">
        <f t="shared" si="90"/>
        <v>0</v>
      </c>
      <c r="T177" s="3">
        <f t="shared" si="104"/>
        <v>0</v>
      </c>
      <c r="U177" s="3">
        <f t="shared" si="104"/>
        <v>192172</v>
      </c>
      <c r="V177" s="3">
        <f t="shared" si="91"/>
        <v>192172</v>
      </c>
      <c r="W177" s="474">
        <f t="shared" si="92"/>
        <v>192172</v>
      </c>
      <c r="X177" s="172">
        <f t="shared" si="99"/>
        <v>0.39883534721211245</v>
      </c>
    </row>
    <row r="178" spans="1:24">
      <c r="A178" s="170">
        <v>45474</v>
      </c>
      <c r="B178" s="378">
        <v>0</v>
      </c>
      <c r="C178" s="3">
        <v>0</v>
      </c>
      <c r="D178" s="3">
        <f t="shared" si="93"/>
        <v>0</v>
      </c>
      <c r="E178" s="3">
        <v>0</v>
      </c>
      <c r="F178" s="3">
        <v>12018</v>
      </c>
      <c r="G178" s="3">
        <f t="shared" si="94"/>
        <v>12018</v>
      </c>
      <c r="H178" s="3">
        <f t="shared" si="102"/>
        <v>0</v>
      </c>
      <c r="I178" s="3">
        <f t="shared" si="102"/>
        <v>12018</v>
      </c>
      <c r="J178" s="379">
        <f t="shared" si="95"/>
        <v>12018</v>
      </c>
      <c r="K178" s="3">
        <v>0</v>
      </c>
      <c r="L178" s="3">
        <v>0</v>
      </c>
      <c r="M178" s="3">
        <f t="shared" si="96"/>
        <v>0</v>
      </c>
      <c r="N178" s="3">
        <v>0</v>
      </c>
      <c r="O178" s="3">
        <v>0</v>
      </c>
      <c r="P178" s="380">
        <f t="shared" si="97"/>
        <v>0</v>
      </c>
      <c r="Q178" s="3">
        <f t="shared" si="103"/>
        <v>0</v>
      </c>
      <c r="R178" s="3">
        <f t="shared" si="103"/>
        <v>0</v>
      </c>
      <c r="S178" s="3">
        <f t="shared" si="90"/>
        <v>0</v>
      </c>
      <c r="T178" s="3">
        <f t="shared" si="104"/>
        <v>0</v>
      </c>
      <c r="U178" s="3">
        <f t="shared" si="104"/>
        <v>204190</v>
      </c>
      <c r="V178" s="3">
        <f t="shared" si="91"/>
        <v>204190</v>
      </c>
      <c r="W178" s="474">
        <f t="shared" si="92"/>
        <v>204190</v>
      </c>
      <c r="X178" s="172">
        <f t="shared" si="99"/>
        <v>0.48631532974232061</v>
      </c>
    </row>
    <row r="179" spans="1:24">
      <c r="A179" s="170">
        <v>45505</v>
      </c>
      <c r="B179" s="378">
        <v>0</v>
      </c>
      <c r="C179" s="3">
        <v>0</v>
      </c>
      <c r="D179" s="3">
        <f t="shared" si="93"/>
        <v>0</v>
      </c>
      <c r="E179" s="3">
        <v>0</v>
      </c>
      <c r="F179" s="3">
        <v>0</v>
      </c>
      <c r="G179" s="3">
        <f t="shared" si="94"/>
        <v>0</v>
      </c>
      <c r="H179" s="3">
        <f t="shared" si="102"/>
        <v>0</v>
      </c>
      <c r="I179" s="3">
        <f t="shared" si="102"/>
        <v>0</v>
      </c>
      <c r="J179" s="379">
        <f t="shared" si="95"/>
        <v>0</v>
      </c>
      <c r="K179" s="3">
        <v>0</v>
      </c>
      <c r="L179" s="3">
        <v>0</v>
      </c>
      <c r="M179" s="3">
        <f t="shared" si="96"/>
        <v>0</v>
      </c>
      <c r="N179" s="3">
        <v>0</v>
      </c>
      <c r="O179" s="3">
        <v>0</v>
      </c>
      <c r="P179" s="380">
        <f t="shared" si="97"/>
        <v>0</v>
      </c>
      <c r="Q179" s="3">
        <f t="shared" si="103"/>
        <v>0</v>
      </c>
      <c r="R179" s="3">
        <f t="shared" si="103"/>
        <v>0</v>
      </c>
      <c r="S179" s="3">
        <f t="shared" si="90"/>
        <v>0</v>
      </c>
      <c r="T179" s="3">
        <f t="shared" si="104"/>
        <v>0</v>
      </c>
      <c r="U179" s="3">
        <f t="shared" si="104"/>
        <v>204190</v>
      </c>
      <c r="V179" s="3">
        <f t="shared" si="91"/>
        <v>204190</v>
      </c>
      <c r="W179" s="474">
        <f t="shared" si="92"/>
        <v>204190</v>
      </c>
      <c r="X179" s="172">
        <f t="shared" si="99"/>
        <v>0.22943811565232042</v>
      </c>
    </row>
    <row r="180" spans="1:24">
      <c r="A180" s="170">
        <v>45536</v>
      </c>
      <c r="B180" s="378">
        <v>0</v>
      </c>
      <c r="C180" s="3">
        <v>0</v>
      </c>
      <c r="D180" s="3">
        <f t="shared" si="93"/>
        <v>0</v>
      </c>
      <c r="E180" s="3">
        <v>0</v>
      </c>
      <c r="F180" s="3">
        <v>23774</v>
      </c>
      <c r="G180" s="3">
        <f t="shared" si="94"/>
        <v>23774</v>
      </c>
      <c r="H180" s="3">
        <f t="shared" si="102"/>
        <v>0</v>
      </c>
      <c r="I180" s="3">
        <f t="shared" si="102"/>
        <v>23774</v>
      </c>
      <c r="J180" s="379">
        <f t="shared" si="95"/>
        <v>23774</v>
      </c>
      <c r="K180" s="3">
        <v>0</v>
      </c>
      <c r="L180" s="3">
        <v>0</v>
      </c>
      <c r="M180" s="3">
        <f t="shared" si="96"/>
        <v>0</v>
      </c>
      <c r="N180" s="3">
        <v>0</v>
      </c>
      <c r="O180" s="3">
        <v>0</v>
      </c>
      <c r="P180" s="380">
        <f t="shared" si="97"/>
        <v>0</v>
      </c>
      <c r="Q180" s="3">
        <f t="shared" si="103"/>
        <v>0</v>
      </c>
      <c r="R180" s="3">
        <f t="shared" si="103"/>
        <v>0</v>
      </c>
      <c r="S180" s="3">
        <f t="shared" si="90"/>
        <v>0</v>
      </c>
      <c r="T180" s="3">
        <f t="shared" si="104"/>
        <v>0</v>
      </c>
      <c r="U180" s="3">
        <f t="shared" si="104"/>
        <v>227964</v>
      </c>
      <c r="V180" s="3">
        <f t="shared" si="91"/>
        <v>227964</v>
      </c>
      <c r="W180" s="474">
        <f t="shared" si="92"/>
        <v>227964</v>
      </c>
      <c r="X180" s="172">
        <f t="shared" si="99"/>
        <v>0.37258254858987017</v>
      </c>
    </row>
    <row r="181" spans="1:24">
      <c r="A181" s="170">
        <v>45566</v>
      </c>
      <c r="B181" s="378">
        <v>0</v>
      </c>
      <c r="C181" s="3">
        <v>0</v>
      </c>
      <c r="D181" s="3">
        <f t="shared" si="93"/>
        <v>0</v>
      </c>
      <c r="E181" s="3">
        <v>0</v>
      </c>
      <c r="F181" s="3">
        <v>0</v>
      </c>
      <c r="G181" s="3">
        <f t="shared" si="94"/>
        <v>0</v>
      </c>
      <c r="H181" s="3">
        <f t="shared" si="102"/>
        <v>0</v>
      </c>
      <c r="I181" s="3">
        <f t="shared" si="102"/>
        <v>0</v>
      </c>
      <c r="J181" s="379">
        <f t="shared" si="95"/>
        <v>0</v>
      </c>
      <c r="K181" s="3">
        <v>0</v>
      </c>
      <c r="L181" s="3">
        <v>0</v>
      </c>
      <c r="M181" s="3">
        <f t="shared" si="96"/>
        <v>0</v>
      </c>
      <c r="N181" s="3">
        <v>0</v>
      </c>
      <c r="O181" s="3">
        <v>0</v>
      </c>
      <c r="P181" s="380">
        <f t="shared" si="97"/>
        <v>0</v>
      </c>
      <c r="Q181" s="3">
        <f t="shared" si="103"/>
        <v>0</v>
      </c>
      <c r="R181" s="3">
        <f t="shared" si="103"/>
        <v>0</v>
      </c>
      <c r="S181" s="3">
        <f t="shared" si="90"/>
        <v>0</v>
      </c>
      <c r="T181" s="3">
        <f t="shared" si="104"/>
        <v>0</v>
      </c>
      <c r="U181" s="3">
        <f t="shared" si="104"/>
        <v>227964</v>
      </c>
      <c r="V181" s="3">
        <f t="shared" si="91"/>
        <v>227964</v>
      </c>
      <c r="W181" s="474">
        <f t="shared" si="92"/>
        <v>227964</v>
      </c>
      <c r="X181" s="172">
        <f t="shared" si="99"/>
        <v>0.37258254858987017</v>
      </c>
    </row>
    <row r="182" spans="1:24">
      <c r="A182" s="170">
        <v>45597</v>
      </c>
      <c r="B182" s="378">
        <v>0</v>
      </c>
      <c r="C182" s="3">
        <v>0</v>
      </c>
      <c r="D182" s="3">
        <f t="shared" si="93"/>
        <v>0</v>
      </c>
      <c r="E182" s="3">
        <v>0</v>
      </c>
      <c r="F182" s="3">
        <v>37211</v>
      </c>
      <c r="G182" s="3">
        <f t="shared" si="94"/>
        <v>37211</v>
      </c>
      <c r="H182" s="3">
        <f t="shared" si="102"/>
        <v>0</v>
      </c>
      <c r="I182" s="3">
        <f t="shared" si="102"/>
        <v>37211</v>
      </c>
      <c r="J182" s="379">
        <f t="shared" si="95"/>
        <v>37211</v>
      </c>
      <c r="K182" s="3">
        <v>0</v>
      </c>
      <c r="L182" s="3">
        <v>0</v>
      </c>
      <c r="M182" s="3">
        <f t="shared" si="96"/>
        <v>0</v>
      </c>
      <c r="N182" s="3">
        <v>0</v>
      </c>
      <c r="O182" s="3">
        <v>0</v>
      </c>
      <c r="P182" s="380">
        <f t="shared" si="97"/>
        <v>0</v>
      </c>
      <c r="Q182" s="3">
        <f t="shared" si="103"/>
        <v>0</v>
      </c>
      <c r="R182" s="3">
        <f t="shared" si="103"/>
        <v>0</v>
      </c>
      <c r="S182" s="3">
        <f t="shared" si="90"/>
        <v>0</v>
      </c>
      <c r="T182" s="3">
        <f t="shared" si="104"/>
        <v>0</v>
      </c>
      <c r="U182" s="3">
        <f t="shared" si="104"/>
        <v>265175</v>
      </c>
      <c r="V182" s="3">
        <f t="shared" si="91"/>
        <v>265175</v>
      </c>
      <c r="W182" s="474">
        <f t="shared" si="92"/>
        <v>265175</v>
      </c>
      <c r="X182" s="172">
        <f t="shared" si="99"/>
        <v>0.27095085864371193</v>
      </c>
    </row>
    <row r="183" spans="1:24" ht="15.75" thickBot="1">
      <c r="A183" s="170">
        <v>45627</v>
      </c>
      <c r="B183" s="378">
        <v>0</v>
      </c>
      <c r="C183" s="3">
        <v>0</v>
      </c>
      <c r="D183" s="3">
        <f t="shared" si="93"/>
        <v>0</v>
      </c>
      <c r="E183" s="3">
        <v>0</v>
      </c>
      <c r="F183" s="3">
        <v>18084</v>
      </c>
      <c r="G183" s="3">
        <f t="shared" si="94"/>
        <v>18084</v>
      </c>
      <c r="H183" s="3">
        <f t="shared" si="102"/>
        <v>0</v>
      </c>
      <c r="I183" s="3">
        <f t="shared" si="102"/>
        <v>18084</v>
      </c>
      <c r="J183" s="379">
        <f t="shared" si="95"/>
        <v>18084</v>
      </c>
      <c r="K183" s="3">
        <v>0</v>
      </c>
      <c r="L183" s="3">
        <v>0</v>
      </c>
      <c r="M183" s="3">
        <f t="shared" si="96"/>
        <v>0</v>
      </c>
      <c r="N183" s="3">
        <v>0</v>
      </c>
      <c r="O183" s="3">
        <v>0</v>
      </c>
      <c r="P183" s="380">
        <f t="shared" si="97"/>
        <v>0</v>
      </c>
      <c r="Q183" s="3">
        <f t="shared" si="103"/>
        <v>0</v>
      </c>
      <c r="R183" s="3">
        <f t="shared" si="103"/>
        <v>0</v>
      </c>
      <c r="S183" s="3">
        <f t="shared" si="90"/>
        <v>0</v>
      </c>
      <c r="T183" s="3">
        <f t="shared" si="104"/>
        <v>0</v>
      </c>
      <c r="U183" s="3">
        <f t="shared" si="104"/>
        <v>283259</v>
      </c>
      <c r="V183" s="3">
        <f t="shared" si="91"/>
        <v>283259</v>
      </c>
      <c r="W183" s="474">
        <f t="shared" si="92"/>
        <v>283259</v>
      </c>
      <c r="X183" s="172">
        <f t="shared" si="99"/>
        <v>0.35762522586427536</v>
      </c>
    </row>
    <row r="184" spans="1:24">
      <c r="A184" s="171">
        <v>45658</v>
      </c>
      <c r="B184" s="385">
        <v>0</v>
      </c>
      <c r="C184" s="104">
        <v>0</v>
      </c>
      <c r="D184" s="104">
        <f t="shared" si="93"/>
        <v>0</v>
      </c>
      <c r="E184" s="104">
        <v>0</v>
      </c>
      <c r="F184" s="104">
        <v>28782</v>
      </c>
      <c r="G184" s="104">
        <f t="shared" si="94"/>
        <v>28782</v>
      </c>
      <c r="H184" s="104">
        <f t="shared" si="102"/>
        <v>0</v>
      </c>
      <c r="I184" s="104">
        <f t="shared" si="102"/>
        <v>28782</v>
      </c>
      <c r="J184" s="386">
        <f t="shared" si="95"/>
        <v>28782</v>
      </c>
      <c r="K184" s="104">
        <v>0</v>
      </c>
      <c r="L184" s="104">
        <v>0</v>
      </c>
      <c r="M184" s="104">
        <f t="shared" si="96"/>
        <v>0</v>
      </c>
      <c r="N184" s="104">
        <v>0</v>
      </c>
      <c r="O184" s="104">
        <v>0</v>
      </c>
      <c r="P184" s="387">
        <f t="shared" si="97"/>
        <v>0</v>
      </c>
      <c r="Q184" s="104">
        <f>B184</f>
        <v>0</v>
      </c>
      <c r="R184" s="104">
        <f>C184</f>
        <v>0</v>
      </c>
      <c r="S184" s="104">
        <f t="shared" si="90"/>
        <v>0</v>
      </c>
      <c r="T184" s="104">
        <f>E184</f>
        <v>0</v>
      </c>
      <c r="U184" s="104">
        <f>F184</f>
        <v>28782</v>
      </c>
      <c r="V184" s="104">
        <f t="shared" si="91"/>
        <v>28782</v>
      </c>
      <c r="W184" s="475">
        <f t="shared" si="92"/>
        <v>28782</v>
      </c>
      <c r="X184" s="172">
        <f t="shared" si="99"/>
        <v>-0.52203660035205424</v>
      </c>
    </row>
    <row r="185" spans="1:24">
      <c r="A185" s="170">
        <v>45689</v>
      </c>
      <c r="B185" s="378">
        <v>0</v>
      </c>
      <c r="C185" s="3">
        <v>0</v>
      </c>
      <c r="D185" s="3">
        <f t="shared" si="93"/>
        <v>0</v>
      </c>
      <c r="E185" s="3">
        <v>0</v>
      </c>
      <c r="F185" s="3">
        <v>0</v>
      </c>
      <c r="G185" s="3">
        <f t="shared" si="94"/>
        <v>0</v>
      </c>
      <c r="H185" s="3">
        <f t="shared" si="102"/>
        <v>0</v>
      </c>
      <c r="I185" s="3">
        <f t="shared" si="102"/>
        <v>0</v>
      </c>
      <c r="J185" s="379">
        <f t="shared" si="95"/>
        <v>0</v>
      </c>
      <c r="K185" s="3">
        <v>0</v>
      </c>
      <c r="L185" s="3">
        <v>0</v>
      </c>
      <c r="M185" s="3">
        <f t="shared" si="96"/>
        <v>0</v>
      </c>
      <c r="N185" s="3">
        <v>0</v>
      </c>
      <c r="O185" s="3">
        <v>0</v>
      </c>
      <c r="P185" s="380">
        <f t="shared" si="97"/>
        <v>0</v>
      </c>
      <c r="Q185" s="3">
        <f t="shared" ref="Q185:R186" si="105">Q184+B185</f>
        <v>0</v>
      </c>
      <c r="R185" s="3">
        <f t="shared" si="105"/>
        <v>0</v>
      </c>
      <c r="S185" s="3">
        <f t="shared" si="90"/>
        <v>0</v>
      </c>
      <c r="T185" s="3">
        <f t="shared" ref="T185:U186" si="106">T184+E185</f>
        <v>0</v>
      </c>
      <c r="U185" s="3">
        <f t="shared" si="106"/>
        <v>28782</v>
      </c>
      <c r="V185" s="3">
        <f t="shared" si="91"/>
        <v>28782</v>
      </c>
      <c r="W185" s="474">
        <f t="shared" si="92"/>
        <v>28782</v>
      </c>
      <c r="X185" s="172">
        <f t="shared" si="99"/>
        <v>-0.52203660035205424</v>
      </c>
    </row>
    <row r="186" spans="1:24">
      <c r="A186" s="170">
        <v>45717</v>
      </c>
      <c r="B186" s="378">
        <v>0</v>
      </c>
      <c r="C186" s="3">
        <v>0</v>
      </c>
      <c r="D186" s="3">
        <f t="shared" si="93"/>
        <v>0</v>
      </c>
      <c r="E186" s="3">
        <v>0</v>
      </c>
      <c r="F186" s="3">
        <v>54155</v>
      </c>
      <c r="G186" s="3">
        <f t="shared" si="94"/>
        <v>54155</v>
      </c>
      <c r="H186" s="3">
        <f t="shared" si="102"/>
        <v>0</v>
      </c>
      <c r="I186" s="3">
        <f t="shared" si="102"/>
        <v>54155</v>
      </c>
      <c r="J186" s="379">
        <f t="shared" si="95"/>
        <v>54155</v>
      </c>
      <c r="K186" s="3">
        <v>0</v>
      </c>
      <c r="L186" s="3">
        <v>0</v>
      </c>
      <c r="M186" s="3">
        <f t="shared" si="96"/>
        <v>0</v>
      </c>
      <c r="N186" s="3">
        <v>0</v>
      </c>
      <c r="O186" s="3">
        <v>0</v>
      </c>
      <c r="P186" s="380">
        <f t="shared" si="97"/>
        <v>0</v>
      </c>
      <c r="Q186" s="3">
        <f t="shared" si="105"/>
        <v>0</v>
      </c>
      <c r="R186" s="3">
        <f t="shared" si="105"/>
        <v>0</v>
      </c>
      <c r="S186" s="3">
        <f t="shared" si="90"/>
        <v>0</v>
      </c>
      <c r="T186" s="3">
        <f t="shared" si="106"/>
        <v>0</v>
      </c>
      <c r="U186" s="3">
        <f t="shared" si="106"/>
        <v>82937</v>
      </c>
      <c r="V186" s="3">
        <f t="shared" si="91"/>
        <v>82937</v>
      </c>
      <c r="W186" s="474">
        <f t="shared" si="92"/>
        <v>82937</v>
      </c>
      <c r="X186" s="172">
        <f t="shared" si="99"/>
        <v>-0.31121741369144018</v>
      </c>
    </row>
  </sheetData>
  <mergeCells count="11">
    <mergeCell ref="W2:W3"/>
    <mergeCell ref="B1:J1"/>
    <mergeCell ref="K1:P1"/>
    <mergeCell ref="Q1:W1"/>
    <mergeCell ref="B2:D2"/>
    <mergeCell ref="E2:G2"/>
    <mergeCell ref="H2:J2"/>
    <mergeCell ref="K2:M2"/>
    <mergeCell ref="N2:P2"/>
    <mergeCell ref="Q2:S2"/>
    <mergeCell ref="T2:V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RFS Data</vt:lpstr>
      <vt:lpstr>RIN Summary</vt:lpstr>
      <vt:lpstr>Monthly RIN Summary</vt:lpstr>
      <vt:lpstr>Monthly Gallon Summary</vt:lpstr>
      <vt:lpstr>Qtrly Gallon Summary</vt:lpstr>
      <vt:lpstr>Production Summary</vt:lpstr>
      <vt:lpstr>D3 Gallon Forecast</vt:lpstr>
      <vt:lpstr>Monthly D3 Gallon Data</vt:lpstr>
      <vt:lpstr>D3 RIN Forecast</vt:lpstr>
      <vt:lpstr>Monthly D3 RIN Data</vt:lpstr>
      <vt:lpstr>D4 Gallon Forecast</vt:lpstr>
      <vt:lpstr>Monthly D4 Gallon Data</vt:lpstr>
      <vt:lpstr>D4 RIN Forecast</vt:lpstr>
      <vt:lpstr>Monthly D4 RIN Data</vt:lpstr>
      <vt:lpstr>D5 Gallon Forecast</vt:lpstr>
      <vt:lpstr>Monthly D5 Gallon Data</vt:lpstr>
      <vt:lpstr>D5 RIN Forecast</vt:lpstr>
      <vt:lpstr>Monthly D5 RIN Data</vt:lpstr>
      <vt:lpstr>D6 Gallon Forecast</vt:lpstr>
      <vt:lpstr>Monthly D6 Gallon Data</vt:lpstr>
      <vt:lpstr>D6 RIN Forecast</vt:lpstr>
      <vt:lpstr>Monthly D6 RIN Data</vt:lpstr>
      <vt:lpstr>D7 Gallon Forecast</vt:lpstr>
      <vt:lpstr>Monthly D7 Gallon Data</vt:lpstr>
      <vt:lpstr>D7 RIN Forecast</vt:lpstr>
      <vt:lpstr>Monthly D7 RIN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Tore Alden</dc:creator>
  <cp:lastModifiedBy>Tore Alden</cp:lastModifiedBy>
  <dcterms:created xsi:type="dcterms:W3CDTF">2025-07-09T12:06:10Z</dcterms:created>
  <dcterms:modified xsi:type="dcterms:W3CDTF">2025-09-09T10:47:19Z</dcterms:modified>
</cp:coreProperties>
</file>